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<sst xmlns="http://schemas.openxmlformats.org/spreadsheetml/2006/main" count="264702" uniqueCount="56074">
  <si>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</si>
  <si>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</si>
  <si>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</si>
  <si>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</si>
  <si>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</si>
  <si>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</si>
  <si>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</si>
  <si>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</si>
  <si>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</si>
  <si>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</si>
  <si>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</si>
  <si>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</si>
  <si>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</si>
  <si>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</si>
  <si>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</si>
  <si>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</si>
  <si>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</si>
  <si>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</si>
  <si>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</si>
  <si>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</si>
  <si>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</si>
  <si>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</si>
  <si>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</si>
  <si>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</si>
  <si>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BARANGAY STO. NIÑO - SORSOGON CITY SORSOGON</t>
  </si>
  <si>
    <t>BARANGAY RIZAL, MAKATI CITY</t>
  </si>
  <si>
    <t>DEPARTMENT OF PUBLIC WORKS AND HIGHWAYS - MASBATE 2ND DEO</t>
  </si>
  <si>
    <t>ASSOCIATION OF BARANGAY CAPTAINS - MINALABAC, CAMARINES SUR</t>
  </si>
  <si>
    <t>MUNICIPALITY OF LAOANG, NORTHERN SAMAR</t>
  </si>
  <si>
    <t>DEPARTMENT OF SOCIAL WELFARE AND DEVELOPMENT - REGION IX</t>
  </si>
  <si>
    <t>MUNICIPALITY OF CALATRAVA, ROMBLON</t>
  </si>
  <si>
    <t>DEPARTMENT OF PUBLIC WORKS AND HIGHWAYS - BATAAN 1ST DEO</t>
  </si>
  <si>
    <t>PROVINCE OF BATANES</t>
  </si>
  <si>
    <t>PROVINCE OF ILOILO</t>
  </si>
  <si>
    <t>MUNICIPALITY OF TANZA, CAVITE</t>
  </si>
  <si>
    <t>MUNICIPALITY OF LAUREL, BATANGAS</t>
  </si>
  <si>
    <t>MUNICIPALITY OF PANGANTUCAN, BUKIDNON</t>
  </si>
  <si>
    <t>MUNICIPALITY OF TAMPILISAN, ZAMBOANGA DEL NORTE</t>
  </si>
  <si>
    <t>MUNICIPALITY OF ALANGALANG, LEYTE</t>
  </si>
  <si>
    <t>MUNICIPALITY OF TINEG, ABRA</t>
  </si>
  <si>
    <t>MUNICIPALITY OF SAN ENRIQUE, ILOILO</t>
  </si>
  <si>
    <t>CIVIL AVIATION AUTHORITY OF THE PHILIPPINES - REGION II</t>
  </si>
  <si>
    <t>PROVINCE OF GUIMARAS</t>
  </si>
  <si>
    <t>NATIONAL IRRIGATION ADMINISTRATION - REGIONAL OFFICE NO. 2</t>
  </si>
  <si>
    <t>CITY OF KIDAPAWAN, NORTH COTABATO</t>
  </si>
  <si>
    <t>PHILIPPINE NORMAL UNIVERSITY, NEGROS OCCIDENTAL BRANCH</t>
  </si>
  <si>
    <t>MUNICIPALITY OF SANTA FE, CEBU</t>
  </si>
  <si>
    <t>J H CERILLES STATE COLLEGE</t>
  </si>
  <si>
    <t>MUNICIPALITY OF SAN VICENTE, CAMARINES NORTE</t>
  </si>
  <si>
    <t>BARANGAY LA TORRE NORTH, BAYOMBONG, NUEVA VIZCAYA</t>
  </si>
  <si>
    <t>DEPARTMENT OF EDUCATION - SCHOOLS DIVISION OF CALAPAN CITY</t>
  </si>
  <si>
    <t>PROVINCE OF PALAWAN</t>
  </si>
  <si>
    <t>MUNICIPALITY OF ALFONSO CASTAÑEDA, NUEVA VIZCAYA</t>
  </si>
  <si>
    <t>MUNICIPALITY OF CARAGA, DAVAO ORIENTAL</t>
  </si>
  <si>
    <t>MUNICIPALITY OF DALAGUETE, CEBU</t>
  </si>
  <si>
    <t>MUNICIPALITY OF DINGRAS, ILOCOS NORTE</t>
  </si>
  <si>
    <t>ASSOCIATION OF BARANGAYS-IGUIG,CAGAYAN</t>
  </si>
  <si>
    <t>MUNICIPALITY OF MALAPATAN, SARANGANI</t>
  </si>
  <si>
    <t>BARANGAY  POBLACION - GODOD ZAMBOANGA DEL NORTE</t>
  </si>
  <si>
    <t>AGRICULTURAL TRAINING INSTITUTE-REGIONAL TRAINING CENTER X</t>
  </si>
  <si>
    <t>PHILIPPINE VETERANS AFFAIRS OFFICE, DND</t>
  </si>
  <si>
    <t>PALOMPON INSTITUTE OF TECHNOLOGY</t>
  </si>
  <si>
    <t>SK OF BARANGAY SOUTHSIDE - MAKATI CITY</t>
  </si>
  <si>
    <t>BARANGAY BAHIT PANITA CAPIZ</t>
  </si>
  <si>
    <t>MUNICIPALITY OF SAN FELIPE, ZAMBALES</t>
  </si>
  <si>
    <t>PROVINCE OF NEGROS OCCIDENTAL</t>
  </si>
  <si>
    <t>MUNICIPALITY OF LILIW, LAGUNA</t>
  </si>
  <si>
    <t>METRO MIDSAYAP WATER DISTRICT</t>
  </si>
  <si>
    <t>MUNICIPALITY OF CAMILING, TARLAC</t>
  </si>
  <si>
    <t>DEPARTMENT OF PUBLIC WORKS AND HIGHWAYS - BENGUET I DEO</t>
  </si>
  <si>
    <t>BARANGAY CATALUNAN PEQUEÑO, DAVAO CITY</t>
  </si>
  <si>
    <t>DEVELOPMENT BANK OF THE PHILIPPINES - BBG - NORTHERN MINDANA</t>
  </si>
  <si>
    <t>DEPARTMENT OF PUBLIC WORKS AND HIGHWAYS - NUEVA ECIJA 1ST DE</t>
  </si>
  <si>
    <t>BARANGAY SAN FELIPE, NAGA CITY, CAMARINES SUR</t>
  </si>
  <si>
    <t>TINAJEROS NATIONAL HIGH SCHOOL</t>
  </si>
  <si>
    <t>BARANGAY EASTERN, HILONGOS, LEYTE</t>
  </si>
  <si>
    <t>CITY GOVERNMENT OF BALANGA, BATAAN</t>
  </si>
  <si>
    <t>MUNICIPALITY OF TUNGAWAN, ZAMBOANGA SIBUGAY</t>
  </si>
  <si>
    <t>MUNICIPALITY OF BACONG, NEGROS ORIENTAL</t>
  </si>
  <si>
    <t>PROVINCE OF MOUNTAIN PROVINCE</t>
  </si>
  <si>
    <t>BASILAN STATE COLLEGE</t>
  </si>
  <si>
    <t>DEPARTMENT OF AGRICULTURE - CARAGA</t>
  </si>
  <si>
    <t>BARANGAY SAN JOSE KALAWIT ZAMBOANGA DEL NORTE</t>
  </si>
  <si>
    <t>KALAWAAN ELEMENTARY SCHOOL</t>
  </si>
  <si>
    <t>PROVINCE OF AURORA</t>
  </si>
  <si>
    <t>GENERAL TRIAS CITY CAVITE</t>
  </si>
  <si>
    <t>PROVINCE OF ISABELA</t>
  </si>
  <si>
    <t>MUNICIPALITY OF BOTOLAN, ZAMBALES</t>
  </si>
  <si>
    <t>BARANGAY PAMUKID, SAN FERNANDO, CAMARINES SUR</t>
  </si>
  <si>
    <t>METRO ROXAS WATER DISTRICT</t>
  </si>
  <si>
    <t>MUNICIPALITY OF BALANGIGA, EASTERN SAMAR</t>
  </si>
  <si>
    <t>MUNICIPALITY OF PRESIDENT CARLOS P. GARCIA, BOHOL</t>
  </si>
  <si>
    <t>106TH CONTRACTING OFFICE, AFP PROCUREMENT SERVICE</t>
  </si>
  <si>
    <t>GUIUAN WATER DISTRICT</t>
  </si>
  <si>
    <t>DEPARTMENT OF PUBLIC WORKS AND HIGHWAYS - NORTH COTABATO 2ND</t>
  </si>
  <si>
    <t>NATIONAL IRRIGATION ADMINISTRATION - CAMARINES NORTE</t>
  </si>
  <si>
    <t>CITY OF ALAMINOS, PANGASINAN</t>
  </si>
  <si>
    <t>MUNICIPALITY OF PLACER, MASBATE</t>
  </si>
  <si>
    <t>MUNICIPALITY OF AGNO, PANGASINAN</t>
  </si>
  <si>
    <t>MUNICIPALITY OF PINUKPUK, KALINGA</t>
  </si>
  <si>
    <t>BANGKO SENTRAL NG PILIPINAS</t>
  </si>
  <si>
    <t>PHILIPPINE RICE RESEARCH INSTITUTE</t>
  </si>
  <si>
    <t>DEPARTMENT OF PUBLIC WORKS AND HIGHWAYS - PALAWAN 1ST DEO</t>
  </si>
  <si>
    <t>MINSALIRAC ELEMENTARY SCHOOL</t>
  </si>
  <si>
    <t>BARANGAY BAGUMBUHAY, QUEZON CITY</t>
  </si>
  <si>
    <t>MUNICIPALITY OF OMAR, SULU</t>
  </si>
  <si>
    <t>MUNICIPALITY OF MAGDIWANG, ROMBLON</t>
  </si>
  <si>
    <t>DEPARTMENT OF PUBLIC WORKS AND HIGHWAYS - ALBAY 1ST DEO</t>
  </si>
  <si>
    <t>BARANGAY SANTA LUCIA, ABUYOG, LEYTE</t>
  </si>
  <si>
    <t>BUREAU OF JAIL MANAGEMENT AND PENOLOGY - NHQ</t>
  </si>
  <si>
    <t>BARANGAY IBABANG DUPAY, LUCENA CITY</t>
  </si>
  <si>
    <t>MUNICIPALITY OF LANTAPAN, BUKIDNON</t>
  </si>
  <si>
    <t>BARANGAY LINAO -MATALAM COTABATO REGION XII</t>
  </si>
  <si>
    <t>LAND BANK OF THE PHILIPPINES - REGION V</t>
  </si>
  <si>
    <t>VETERANS MEMORIAL MEDICAL CENTER, DND</t>
  </si>
  <si>
    <t>MUNICIPALITY OF MANGALDAN, PANGASINAN</t>
  </si>
  <si>
    <t>BARANGAY SAN LUCAS, LIPA CITY, BATANGAS</t>
  </si>
  <si>
    <t>BARANGAY LEPOTE, SAN JOSE, BATANGAS</t>
  </si>
  <si>
    <t>SILANGIT ELEMENTARY SCHOOL - MOLAVE ZAMBOANGA DEL SUR</t>
  </si>
  <si>
    <t>BARANGAY BIGAIN 1.0, SAN JOSE, BATANGAS</t>
  </si>
  <si>
    <t>DEPARTMENT OF ENVIRONMENT AND NATURAL RESOURCES - RIV-A</t>
  </si>
  <si>
    <t>TECHNICAL EDUCATION &amp; SKILLS DEVELOPMENT AUTHORITY - NCR</t>
  </si>
  <si>
    <t>PROVINCE OF BILIRAN</t>
  </si>
  <si>
    <t>PHILIPPINE HEART CENTER</t>
  </si>
  <si>
    <t>CITY OF BATAC, ILOCOS NORTE</t>
  </si>
  <si>
    <t>BUENAVISTA CENTRAL SCHOOL</t>
  </si>
  <si>
    <t>CITY OF PASIG</t>
  </si>
  <si>
    <t>MUNICIPALITY OF CALATAGAN, BATANGAS</t>
  </si>
  <si>
    <t>MUNICIPAL GOVERNMENT OF SABLAN, BENGUET</t>
  </si>
  <si>
    <t>BARANGAY AGUILA, SAN JOSE, BATANGAS</t>
  </si>
  <si>
    <t>PROVINCE OF EASTERN SAMAR</t>
  </si>
  <si>
    <t>MUNICIPALITY OF ANGADANAN, ISABELA</t>
  </si>
  <si>
    <t>PROVINCE OF MISAMIS ORIENTAL</t>
  </si>
  <si>
    <t>ISLAND GARDEN CITY OF SAMAL, DAVAO DEL NORTE</t>
  </si>
  <si>
    <t>TECHNICAL EDUCATION &amp; SKILLS DEVELOPMENT AUTHORITY - NCR, CA</t>
  </si>
  <si>
    <t>METROPOLITAN TUGUEGARAO WATER DISTRICT</t>
  </si>
  <si>
    <t>PROVINCE OF BENGUET</t>
  </si>
  <si>
    <t>CITY OF LIGAO, ALBAY</t>
  </si>
  <si>
    <t>MUNICIPALITY OF MOISES PADILLA, NEGROS OCCIDENTAL</t>
  </si>
  <si>
    <t>MUNICIPALITY OF BUGALLON - PANGASINAN</t>
  </si>
  <si>
    <t>MUNICIPALITY OF CAN-AVID, EASTERN SAMAR</t>
  </si>
  <si>
    <t>SOUTHERN ISABELA COLLEGE OF ARTS AND TRADES</t>
  </si>
  <si>
    <t>DEPARTMENT OF SOCIAL WELFARE AND DEVELOPMENT - MAIN</t>
  </si>
  <si>
    <t>CITY OF SAN PEDRO, LAGUNA</t>
  </si>
  <si>
    <t>BARANGAY SAN ANDRES II, BACARRA, ILOCOS NORTE</t>
  </si>
  <si>
    <t>BUKIDNON STATE UNIVERSITY</t>
  </si>
  <si>
    <t>BARANGAY PUNONG, TOMAS OPPUS, SOUTHERN LEYTE</t>
  </si>
  <si>
    <t>MUNICIPALITY OF ROXAS, PALAWAN</t>
  </si>
  <si>
    <t>DR. JOSE RIZAL MEMORIAL HOSPITAL</t>
  </si>
  <si>
    <t>BARANGAY TUMAY, MINA, ILOILO</t>
  </si>
  <si>
    <t>302ND CONTRACTING OFFICE, AFP PROCUREMENT SERVICE</t>
  </si>
  <si>
    <t>MUNICIPALITY OF BANAYBANAY, DAVAO ORIENTAL</t>
  </si>
  <si>
    <t>TARLAC AGRICULTURAL UNIVERSITY</t>
  </si>
  <si>
    <t>PHILIPPINE HEALTH INSURANCE CORPORATION - REGION V</t>
  </si>
  <si>
    <t>MUNICIPALITY OF SAN ISIDRO, LEYTE</t>
  </si>
  <si>
    <t>MUNICIPALITY OF MADRIDEJOS, CEBU</t>
  </si>
  <si>
    <t>NATIONAL IRRIGATION ADMINISTRATION - SOUTH COTABATO</t>
  </si>
  <si>
    <t>CITY OF TAGBILARAN, BOHOL</t>
  </si>
  <si>
    <t>LUNG CENTER OF THE PHILIPPINES</t>
  </si>
  <si>
    <t>MUNICIPALITY OF TOLOSA, LEYTE</t>
  </si>
  <si>
    <t>PARTIDO DEVELOPMENT ADMINISTRATION</t>
  </si>
  <si>
    <t>MUNICIPALITY OF SISON, SURIGAO DEL NORTE</t>
  </si>
  <si>
    <t>BARANGAY MAMAT-ING SUR, NAGUILIAN, LA UNION</t>
  </si>
  <si>
    <t>MUNICIPALITY OF GIGAQUIT, SURIGAO DEL NORTE</t>
  </si>
  <si>
    <t>MUNICIPALITY OF CABAGAN, ISABELA</t>
  </si>
  <si>
    <t>102ND CONTRACTING OFFICE, AFP PROCUREMENT SERVICE</t>
  </si>
  <si>
    <t>MUNICIPALITY OF SAN SEBASTIAN, SAMAR</t>
  </si>
  <si>
    <t>MUNICIPALITY OF LUCBAN, QUEZON</t>
  </si>
  <si>
    <t>BARANGAY DOS - KATIPUNAN ZAMBOANGA DEL NORTE</t>
  </si>
  <si>
    <t>CITY OF ZAMBOANGA, ZAMBOANGA DEL SUR</t>
  </si>
  <si>
    <t>MUNICIPALITY OF INITAO, MISAMIS ORIENTAL</t>
  </si>
  <si>
    <t>BARANGAY PAA, HILONGOS, LEYTE</t>
  </si>
  <si>
    <t>MUNICIPALITY OF ARAKAN, COTABATO</t>
  </si>
  <si>
    <t>LIBMANAN WATER DISTRICT</t>
  </si>
  <si>
    <t>DEPARTMENT OF SOCIAL WELFARE AND DEVELOPMENT - REGION IV-B</t>
  </si>
  <si>
    <t>DA - RFO I ILOCOS NORTE RESEARCH &amp; EXPERIMENT CENTER</t>
  </si>
  <si>
    <t>MUNICIPALITY OF TANUDAN, KALINGA</t>
  </si>
  <si>
    <t>MUNICIPALITY OF BANNA, ILOCOS NORTE</t>
  </si>
  <si>
    <t>NATIONAL KIDNEY AND TRANSPLANT INSTITUTE</t>
  </si>
  <si>
    <t>MUNICIPALITY OF PAYAO, ZAMBOANGA SIBUGAY</t>
  </si>
  <si>
    <t>MUNICIPALITY OF DON MARCELINO - DAVAO OCCIDENTAL</t>
  </si>
  <si>
    <t>MUNICIPALITY OF IPIL, ZAMBOANGA SIBUGAY</t>
  </si>
  <si>
    <t>DEPARTMENT OF PUBLIC WORKS AND HIGHWAYS - CAPIZ 1ST DEO</t>
  </si>
  <si>
    <t>PAG-IBIG FUND - REGION II</t>
  </si>
  <si>
    <t>MUNICIPALITY OF MAPANDAN, PANGASINAN</t>
  </si>
  <si>
    <t>CITY OF OROQUIETA, MISAMIS OCCIDENTAL</t>
  </si>
  <si>
    <t>MUNICIPALITY OF ASINGAN, PANGASINAN</t>
  </si>
  <si>
    <t>CIVIL AVIATION AUTHORITY OF THE PHILIPPINES - CATANDUANES</t>
  </si>
  <si>
    <t>PROVINCE OF BOHOL</t>
  </si>
  <si>
    <t>DEPARTMENT OF EDUCATION - REGION VIII</t>
  </si>
  <si>
    <t>CITY OF BISLIG, SURIGAO DEL SUR</t>
  </si>
  <si>
    <t>MUNICIPALITY OF BASCO, BATANES</t>
  </si>
  <si>
    <t>BARANGAY BANGON, AROROY, MASBATE</t>
  </si>
  <si>
    <t>MUNICIPALITY OF SARIAYA, QUEZON</t>
  </si>
  <si>
    <t>PROVINCE OF OCCIDENTAL MINDORO</t>
  </si>
  <si>
    <t>MUNICIPALITY OF LOPEZ JAENA , MISAMIS OCCIDENTAL</t>
  </si>
  <si>
    <t>NATIONAL IRRIGATION ADMINISTRATION - CBIMO</t>
  </si>
  <si>
    <t>DEPARTMENT OF PUBLIC WORKS AND HIGHWAYS - MASBATE 3RD DEO</t>
  </si>
  <si>
    <t>SOUTHERN ISABELA MEDICAL CENTER</t>
  </si>
  <si>
    <t>BARANGAY MALALINTA - TUAO CAGAYAN</t>
  </si>
  <si>
    <t>NATIONAL CHILDREN'S HOSPITAL</t>
  </si>
  <si>
    <t>MUNICIPALITY OF KAPATAGAN, LANAO DEL NORTE</t>
  </si>
  <si>
    <t>MUNICIPALITY OF SANTA FE, NUEVA VIZCAYA</t>
  </si>
  <si>
    <t>BARANGAY STA. CRUZ V, SAN JOSE DEL MONTE CITY</t>
  </si>
  <si>
    <t>DEPARTMENT OF SCIENCE AND TECHNOLOGY - REGION VII</t>
  </si>
  <si>
    <t>MUNICIPALITY OF VILLASIS, PANGASINAN</t>
  </si>
  <si>
    <t>DEPARTMENT OF EDUCATION - SCHOOLS DIVISION OF BACOOR CITY</t>
  </si>
  <si>
    <t>UNIVERSITY OF SOUTHERN MINDANAO</t>
  </si>
  <si>
    <t>MUNICIPALITY OF MAMBAJAO, CAMIGUIN</t>
  </si>
  <si>
    <t>AURORA REGIONAL PILOT SCHOOL - REGULAR</t>
  </si>
  <si>
    <t>DEPARTMENT OF PUBLIC WORKS AND HIGHWAYS - ILOCOS NORTE 2ND D</t>
  </si>
  <si>
    <t>MUNICIPALITY OF STO. TOMAS, BATANGAS</t>
  </si>
  <si>
    <t>BENGUET STATE UNIVERSITY</t>
  </si>
  <si>
    <t>MUNICIPALITY OF CARMEN, AGUSAN DEL NORTE</t>
  </si>
  <si>
    <t>BULUA CENTRAL SCHOOL</t>
  </si>
  <si>
    <t>MUNICIPALITY OF DUMARAN, PALAWAN</t>
  </si>
  <si>
    <t>MUNICIPALITY OF SAN FERNANDO, CAMARINES SUR</t>
  </si>
  <si>
    <t>BATANGAS STATE UNIVERSITY</t>
  </si>
  <si>
    <t>PHILIPPINE POSTAL CORPORATION - ILOILO CITY ILOILO</t>
  </si>
  <si>
    <t>MUNICIPALITY OF GUMACA, QUEZON</t>
  </si>
  <si>
    <t>CITY  OF DANAO, CEBU</t>
  </si>
  <si>
    <t>CITY OF MATI, PROVINCE OF DAVAO ORIENTAL</t>
  </si>
  <si>
    <t>MUNICIPALITY OF TABINA, ZAMBOANGA DEL SUR</t>
  </si>
  <si>
    <t>BARANGAY MARANGOG, HILONGOS, LEYTE</t>
  </si>
  <si>
    <t>MUNICIPALITY OF ISABELA, NEGROS OCCIDENTAL</t>
  </si>
  <si>
    <t>NIA-JALAUR RIVER MULTI-PURPOSE PROJECT STAGE II</t>
  </si>
  <si>
    <t>MUNICIPALITY OF PANAY, CAPIZ</t>
  </si>
  <si>
    <t>DEPARTMENT OF EDUCATION - DIVISION OF NAGA CITY</t>
  </si>
  <si>
    <t>SAN LAZARO HOSPITAL</t>
  </si>
  <si>
    <t>EMPLOYEES' COMPENSATION COMMISSION</t>
  </si>
  <si>
    <t>TABLON ELEMENTARY SCHOOL</t>
  </si>
  <si>
    <t>DEPARTMENT OF PUBLIC WORKS AND HIGHWAYS - UPPER KALINGA DEO</t>
  </si>
  <si>
    <t>CITY OF TANAUAN, BATANGAS</t>
  </si>
  <si>
    <t>CITY OF URDANETA, PANGASINAN</t>
  </si>
  <si>
    <t>BUTUAN CITY WATER DISTRICT</t>
  </si>
  <si>
    <t>DEPARTMENT OF HEALTH - TREATMENT AND REHABILITATION CENTER -</t>
  </si>
  <si>
    <t>CITY OF GENERAL SANTOS , SOUTH COTABATO</t>
  </si>
  <si>
    <t>MUNICIPALITY OF TALISAYAN, MISAMIS ORIENTAL</t>
  </si>
  <si>
    <t>CITY OF SAN PABLO, LAGUNA</t>
  </si>
  <si>
    <t>MUNICIPALITY OF PALOMPON, LEYTE</t>
  </si>
  <si>
    <t>BARANGAY PAMPANGO LIBACAO AKLAN</t>
  </si>
  <si>
    <t>MUNICIPALITY OF TUBIGON, BOHOL</t>
  </si>
  <si>
    <t>DON MARIANO MARCOS MEMORIAL STATE UNIVERSITY - SLUC</t>
  </si>
  <si>
    <t>NATIONAL FOOD AUTHORITY - REGION IV</t>
  </si>
  <si>
    <t>MUNICIPALITY OF BANI, PANGASINAN</t>
  </si>
  <si>
    <t>BARANGAY SAN DIEGO - LEMERY,ILOILO</t>
  </si>
  <si>
    <t>MUNICIPALITY OF TERESA, RIZAL</t>
  </si>
  <si>
    <t>BARANGAY V, LUCENA CITY</t>
  </si>
  <si>
    <t>MUNICIPALITY OF MAGPET - NORTH COTABATO</t>
  </si>
  <si>
    <t>DEPARTMENT OF ENVIRONMENT AND NATURAL RES. - PENRO Z. SIBUGA</t>
  </si>
  <si>
    <t>CITY OF ORMOC, LEYTE</t>
  </si>
  <si>
    <t>BARANGAY SAN FRANCISCO, ABUYOG, LEYTE</t>
  </si>
  <si>
    <t>VETERANS REGIONAL HOSPITAL</t>
  </si>
  <si>
    <t>MUNICIPALITY OF DAGAMI, LEYTE</t>
  </si>
  <si>
    <t>BARANGAY TUBURAN, BONTOC, SOUTHERN LEYTE</t>
  </si>
  <si>
    <t>DEPARTMENT OF ENVIRONMENT AND NATURAL RESOURCES - REGION V</t>
  </si>
  <si>
    <t>DON EMILIO DEL VALLE MEMORIAL HOSPITAL</t>
  </si>
  <si>
    <t>DEPARTMENT OF EDUCATION - DIVISION OF SOUTH COTABATO</t>
  </si>
  <si>
    <t>BULACAN STATE UNIVERSITY</t>
  </si>
  <si>
    <t>MUNICIPALITY OF LIBMANAN, CAMARINES SUR</t>
  </si>
  <si>
    <t>MUNICIPALITY OF LIMAY, BATAAN</t>
  </si>
  <si>
    <t>BARANGAY COYUGAN NORTE - LEON ILOILO</t>
  </si>
  <si>
    <t>MUNICIPALITY OF VERUELA, AGUSAN DEL SUR</t>
  </si>
  <si>
    <t>ISABELA STATE UNIVERSITY - CABAGAN CAMPUS</t>
  </si>
  <si>
    <t>MUNICIPALITY OF LINGAYEN, PANGASINAN</t>
  </si>
  <si>
    <t>PHILIPPINE NATIONAL OIL COMPANY - MAIN OFFICE</t>
  </si>
  <si>
    <t>DA - PHILIPPINE RURAL DEVELOPMENT PROJECT</t>
  </si>
  <si>
    <t>CITY OF SAN FERNANDO, PAMPANGA</t>
  </si>
  <si>
    <t>CITY OF VALENZUELA</t>
  </si>
  <si>
    <t>MUNICIPALITY OF CABANGLASAN, BUKIDNON</t>
  </si>
  <si>
    <t>MUNICIPALITY OF AYUNGON, NEGROS ORIENTAL</t>
  </si>
  <si>
    <t>ILOILO SCIENCE AND TECHNOLOGY UNIVERSITY</t>
  </si>
  <si>
    <t>EDUCATION AND TRAINING CENTER SCHOOL II, BACOLOD CITY</t>
  </si>
  <si>
    <t>MUNICIPALITY OF TUY, BATANGAS</t>
  </si>
  <si>
    <t>MUNICIPALITY OF SEN. NINOY AQUINO, SULTAN KUDARAT</t>
  </si>
  <si>
    <t>LA TRINIDAD WATER DISTRICT - LA TRINIDAD BENGUET</t>
  </si>
  <si>
    <t>VICENTE SOTTO MEMORIAL MEDICAL CENTER - REGION VII</t>
  </si>
  <si>
    <t>MUNICIPALITY OF SAN QUINTIN, ABRA</t>
  </si>
  <si>
    <t>BANGKO SENTRAL NG PILIPINAS (SECURITY PLANT COMPLEX) - QUEZO</t>
  </si>
  <si>
    <t>DON MARIANO MARCOS MEMORIAL STATE UNIVERSITY - MID LA UNION</t>
  </si>
  <si>
    <t>101ST CONTRACTING OFFICE, AFP PROCUREMENT SERVICE</t>
  </si>
  <si>
    <t>MUNICIPALITY OF MAYDOLONG, EASTERN SAMAR</t>
  </si>
  <si>
    <t>BARANGAY MINANE, CONCEPCION, TARLAC</t>
  </si>
  <si>
    <t>DEPARTMENT OF SOCIAL WELFARE AND DEVELOPMENT - CAR</t>
  </si>
  <si>
    <t>CENTER FOR HEALTH DEVELOPMENT - REGION IV-B (MIMAROPA)</t>
  </si>
  <si>
    <t>MUNICIPALITY OF BURGOS, ISABELA</t>
  </si>
  <si>
    <t>TAMALAGON INTEGRATED SCHOOL</t>
  </si>
  <si>
    <t>MUNICIPALITY OF MARGOSATUBIG, ZAMBOANGA DEL SUR</t>
  </si>
  <si>
    <t>AMANG RODRIGUEZ MEMORIAL MEDICAL CENTER</t>
  </si>
  <si>
    <t>CITY OF MALABON</t>
  </si>
  <si>
    <t>DEPARTMENT OF EDUCATION - DIVISION OF BATAAN</t>
  </si>
  <si>
    <t>MUNICIPAL GOVERNMENT OF TIAONG, QUEZON</t>
  </si>
  <si>
    <t>AGUSAN DEL SUR SCHOOL OF ARTS AND TRADES - CARAGA</t>
  </si>
  <si>
    <t>MUNICIPALITY OF ALILEM, ILOCOS SUR</t>
  </si>
  <si>
    <t>NATIONAL IRRIGATION ADMINISTRATION - LRIMO</t>
  </si>
  <si>
    <t>NATIONAL IRRIGATION ADMINISTRATION REGION 7</t>
  </si>
  <si>
    <t>402ND CONTRACTING OFFICE, AFP PROCUREMENT SERVICE</t>
  </si>
  <si>
    <t>NATIONAL IRRIGATION ADMINISTRATION -CAUAYAN CITY ISABELA</t>
  </si>
  <si>
    <t>BUREAU OF SOILS AND WATER MANAGEMENT</t>
  </si>
  <si>
    <t>CITY OF EL SALVADOR, MISAMIS ORIENTAL</t>
  </si>
  <si>
    <t>KALASUNGAY CENTRAL SCHOOL - MALAYBALAY CITY BUKIDNON</t>
  </si>
  <si>
    <t>MUNICIPALITY OF ROXAS, ISABELA</t>
  </si>
  <si>
    <t>BARANGAY SANDAYONG NORTE DANAO CITY CEBU</t>
  </si>
  <si>
    <t>MUNICIPALITY OF WAO, LANAO DEL SUR</t>
  </si>
  <si>
    <t>MUNICIPALITY OF PARACALE, CAMARINES NORTE</t>
  </si>
  <si>
    <t>MUNICIPALITY OF BILAR, BOHOL</t>
  </si>
  <si>
    <t>DEPARTMENT OF AGRARIAN REFORM - TARLAC CITY</t>
  </si>
  <si>
    <t>BARANGAY FUNDADO, CAMARINES NORTE</t>
  </si>
  <si>
    <t xml:space="preserve">DEPARTMENT OF PUBLIC WORKS AND HIGHWAYS - ZAMBOANGA SIBUGAY </t>
  </si>
  <si>
    <t>CRISPINO V. RAMOS ELEMENTARY SCHOOL-BACOLOD CITY NEGROS OCCI</t>
  </si>
  <si>
    <t>CITY OF ILIGAN, LANAO DEL NORTE</t>
  </si>
  <si>
    <t>METROPOLITAN CEBU WATER DISTRICT</t>
  </si>
  <si>
    <t>MUNICIPALITY OF KUMALARANG, ZAMBOANGA DEL SUR</t>
  </si>
  <si>
    <t>CITY OF BAGUIO, BENGUET</t>
  </si>
  <si>
    <t>BUREAU OF CORRECTIONS - SABLAYAN PRISON AND PENAL FARM</t>
  </si>
  <si>
    <t>MAKATO INTEGTRATED SCHOOL</t>
  </si>
  <si>
    <t>BARANGAY ILAOR SUR, OAS, ALBAY</t>
  </si>
  <si>
    <t>GHQ PROCUREMENT CENTER, AFP PROCUREMENT SERVICE</t>
  </si>
  <si>
    <t>MUNICIPALITY OF SUMILAO, BUKIDNON</t>
  </si>
  <si>
    <t>MUNICIPALITY OF DIMIAO, BOHOL</t>
  </si>
  <si>
    <t>BARANGAY DAGUPAN, LUNA, APAYAO</t>
  </si>
  <si>
    <t>CARAGA REGIONAL HOSPITAL</t>
  </si>
  <si>
    <t>CITY OF TABUK, KALINGA</t>
  </si>
  <si>
    <t>UNIVERSITY OF THE PHILIPPINES - MANILA PGH</t>
  </si>
  <si>
    <t>MUNICIPALITY OF DOLORES, QUEZON</t>
  </si>
  <si>
    <t>CITY OF PANABO, DAVAO DEL NORTE</t>
  </si>
  <si>
    <t>PROVINCIAL GOVERNMENT OF SURIGAO DEL NORTE</t>
  </si>
  <si>
    <t>PROVINCE OF DINAGAT ISLANDS</t>
  </si>
  <si>
    <t>JOSE RIZAL MEMORIAL STATE UNIVERSITY - DIPOLOG CAMPUS</t>
  </si>
  <si>
    <t>BUREAU OF INTERNAL REVENUE - REVENUE REGION NO. 19</t>
  </si>
  <si>
    <t>SALAPAWAN ELEMENTARY SCHOOL</t>
  </si>
  <si>
    <t>MUNICIPALITY OF BAYOG, ZAMBOANGA DEL SUR</t>
  </si>
  <si>
    <t>CAMARINES SUR POLYTECHNIC COLLEGES - NABUA CAMPUS</t>
  </si>
  <si>
    <t>BARANGAY BARAOAS NORTE, NAGUILIAN, LA UNION</t>
  </si>
  <si>
    <t>CAPIZ PROVINCIAL GOVERNMENT</t>
  </si>
  <si>
    <t>BUREAU OF FISHERIES AND AQUATIC RESOURCES - REGION X</t>
  </si>
  <si>
    <t>CAGAYAN STATE UNIVERSITY - TUGUEGARAO CITY CAGAYAN</t>
  </si>
  <si>
    <t>DEPARTMENT OF HEALTH - CARAGA</t>
  </si>
  <si>
    <t>MUNICIPALITY OF CAGWAIT, SURIGAO DEL SUR</t>
  </si>
  <si>
    <t>DEPARTMENT OF PUBLIC WORKS AND HIGHWAYS - ABRA ED</t>
  </si>
  <si>
    <t>DEPARTMENT OF SOCIAL WELFARE AND DEVELOPMENT - REGION I</t>
  </si>
  <si>
    <t>CITY OF BORONGAN, EASTERN SAMAR</t>
  </si>
  <si>
    <t>PHIL. ATMOSPHERIC GEOPHYSICAL &amp; ASTRONOMICAL SERVICES ADM.</t>
  </si>
  <si>
    <t>BARANGAY SAN JOSE, SAN JUAN, SOUTHERN LEYTE</t>
  </si>
  <si>
    <t>RESEARCH INSTITUTE FOR TROPICAL MEDICINE, DOH</t>
  </si>
  <si>
    <t>ILOCOS TRAINING AND REGIONAL MEDICAL CENTER</t>
  </si>
  <si>
    <t>DEPARTMENT OF PUBLIC WORKS AND HIGHWAYS - QUEZON 4TH ED</t>
  </si>
  <si>
    <t>BARANGAY FLORDELIZ, MACROHON, SOUTHERN LEYTE</t>
  </si>
  <si>
    <t>DEPARTMENT OF AGRARIAN REFORM - ALBAY PROVINCIAL OFFICE</t>
  </si>
  <si>
    <t>CITY OF BUTUAN, AGUSAN DEL NORTE</t>
  </si>
  <si>
    <t>BARANGAY NAGPALANGAN, BINMALEY, PANGASINAN</t>
  </si>
  <si>
    <t>SILANG WATER DISTRICT</t>
  </si>
  <si>
    <t>PHILIPPINE STATE COLLEGE OF AERONAUTICS</t>
  </si>
  <si>
    <t>MUNICIPALITY OF RODRIGUEZ, RIZAL</t>
  </si>
  <si>
    <t>MUNICIPALITY OF BULAN, SORSOGON</t>
  </si>
  <si>
    <t>105TH CONTRACTING OFFICE, AFP PROCUREMENT SERVICE</t>
  </si>
  <si>
    <t>DEPARTMENT OF HEALTH - REGION X</t>
  </si>
  <si>
    <t>BATAAN GENERAL HOSPITAL AND MEDICAL CENTER</t>
  </si>
  <si>
    <t>IFUGAO STATE UNIVERSITY</t>
  </si>
  <si>
    <t>MUNICIPALITY OF LOOC, OCCIDENTAL MINDORO</t>
  </si>
  <si>
    <t>DEPARTMENT OF ENVIRONMENT AND NATURAL RES. - PENRO XII-4</t>
  </si>
  <si>
    <t>MUNICIPALITY OF SAN ISIDRO, SURIGAO DEL NORTE</t>
  </si>
  <si>
    <t>MUNICIPALITY OF KITAOTAO, BUKIDNON</t>
  </si>
  <si>
    <t>CARAGA STATE UNIVERSITY - CABADBARAN CAMPUS</t>
  </si>
  <si>
    <t>CABAGAN WATER DISTRICT</t>
  </si>
  <si>
    <t>MUNICIPALITY OF HINGYON, IFUGAO</t>
  </si>
  <si>
    <t>JOSE J. GONZAGA ELEMENTARY SCHOOL-BACOLOD CITY</t>
  </si>
  <si>
    <t>BIDS AND AWARDS COMMITTEE - MUNICIPALITY OF CALATRAVA</t>
  </si>
  <si>
    <t>MUNICIPALITY OF BAY, LAGUNA</t>
  </si>
  <si>
    <t>PROVINCE OF BUKIDNON</t>
  </si>
  <si>
    <t>MUNICIPALITY OF ROXAS, ORIENTAL MINDORO</t>
  </si>
  <si>
    <t>MUNICIPALITY OF LASAM, CAGAYAN</t>
  </si>
  <si>
    <t>DEPARTMENT OF PUBLIC WORKS AND HIGHWAYS - SOUTH COTABATO 1ST</t>
  </si>
  <si>
    <t>BATANGAS MEDICAL CENTER</t>
  </si>
  <si>
    <t>BARANGAY ANINGALAN - SAN REMIGIO ANTIQUE</t>
  </si>
  <si>
    <t>JOSE RIZAL MEMORIAL STATE UNIVERSITY - KATIPUNAN CAMPUS</t>
  </si>
  <si>
    <t>MANILA INTERNATIONAL AIRPORT AUTHORITY</t>
  </si>
  <si>
    <t>BARANGAY CADCADIR EAST, CLAVERIA,CAGAYAN</t>
  </si>
  <si>
    <t>MUNICIPALITY OF LA LIBERTAD, NEGROS ORIENTAL</t>
  </si>
  <si>
    <t>NATIONAL POLICE COMMISSION - REGION VII</t>
  </si>
  <si>
    <t>CALAMBA NATIONAL HIGH SCHOOL-MAIN</t>
  </si>
  <si>
    <t>MUNICIPALITY OF ANTIPAS, COTABATO</t>
  </si>
  <si>
    <t>MUNICIPALITY OF BUENAVISTA, BOHOL</t>
  </si>
  <si>
    <t>NATIONAL FOOD AUTHORITY - MARINDUQUE PROVINCIAL OFFICE</t>
  </si>
  <si>
    <t>EASTERN SAMAR STATE UNIVERSITY - SALCEDO CAMPUS</t>
  </si>
  <si>
    <t>MUNICIPALITY OF DUMALINAO, ZAMBOANGA DEL SUR</t>
  </si>
  <si>
    <t>PROVINCIAL GOVERNMENT OF CAMARINES SUR</t>
  </si>
  <si>
    <t>MUNICIPALITY OF MANITO, ALBAY</t>
  </si>
  <si>
    <t>BARANGAY SAN JOSE, PILAR, SORSOGON</t>
  </si>
  <si>
    <t>SUMILAO ELEMENTARY SCHOOL</t>
  </si>
  <si>
    <t>BARANGAY SAN ROQUE, CATANAUAN, QUEZON</t>
  </si>
  <si>
    <t>CITY OF SAN JOSE DEL MONTE, BULACAN</t>
  </si>
  <si>
    <t>MUNICIPALITY OF SALCEDO, ILOCOS SUR</t>
  </si>
  <si>
    <t>MUNICIPALITY OF SIPOCOT, CAMARINES SUR</t>
  </si>
  <si>
    <t>PROVINCE OF AGUSAN DEL NORTE</t>
  </si>
  <si>
    <t>BARANGAY  - ROXAS ORIENTAL MINDORO</t>
  </si>
  <si>
    <t>PHILIPPINE POSTAL CORPORATION - REGION X</t>
  </si>
  <si>
    <t>POLO NATIONAL HIGH SCHOOL VALENZUELA CITY</t>
  </si>
  <si>
    <t>BARANGAY SAN RAFAEL VILLAGE, NAVOTAS</t>
  </si>
  <si>
    <t>DR. E. B. ESPINOSA, SR. MEMORIAL STATE COL OF AGRIC AND TECH</t>
  </si>
  <si>
    <t>BARANGAY POBLACION - TAMPAKAN SOUTH COTABATO</t>
  </si>
  <si>
    <t>MUNICIPALITY OF BONGABONG, ORIENTAL MINDORO</t>
  </si>
  <si>
    <t>BARANGAY PASONG TAMO, QUEZON CITY</t>
  </si>
  <si>
    <t>BARANGAY LIGA IBAAN BATANGAS</t>
  </si>
  <si>
    <t>MUNICIPALITY OF MARCOS, ILOCOS NORTE</t>
  </si>
  <si>
    <t>MUNICIPALITY OF CUYO, PALAWAN</t>
  </si>
  <si>
    <t>DEPARTMENT OF PUBLIC WORKS AND HIGHWAYS - NUEVA ECIJA 2ND DE</t>
  </si>
  <si>
    <t>BARANGAY DAJA DIOT</t>
  </si>
  <si>
    <t>CITY OF MALOLOS, BULACAN</t>
  </si>
  <si>
    <t>MUNICIPALITY OF LORETO - DINAGAT ISLANDS</t>
  </si>
  <si>
    <t>PROVINCE OF ORIENTAL MINDORO</t>
  </si>
  <si>
    <t>DEPARTMENT OF AGRICULTURE - REGION VI</t>
  </si>
  <si>
    <t>HEADQUARTERS COAST  GUARD CIVIL SERVICE COMMAND</t>
  </si>
  <si>
    <t>SILANGAN ELEMENTARY SCHOOL</t>
  </si>
  <si>
    <t>DEPARTMENT OF EDUCATION - DIVISION OF CITY SCHOOLS, VALENZUE</t>
  </si>
  <si>
    <t>BARANGAY GANATAN - ARAKAN COTABATO</t>
  </si>
  <si>
    <t>BARANGAY SAGRADA, BAAO, CAMARINES SUR</t>
  </si>
  <si>
    <t>MUNICIPALITY OF PALAPAG, NORTHERN SAMAR</t>
  </si>
  <si>
    <t>BAGUIO GENERAL HOSPITAL AND MEDICAL CENTER</t>
  </si>
  <si>
    <t>BALUCUC NATIONAL HIGH SCHOOL</t>
  </si>
  <si>
    <t>MUNICIPALITY OF BALUNGAO, PANGASINAN</t>
  </si>
  <si>
    <t>DEPARTMENT OF EDUCATION - DIVISION OF VALENCIA CITY</t>
  </si>
  <si>
    <t>PROVINCE OF LAGUNA</t>
  </si>
  <si>
    <t>BARANGAY MAULAWIN - PAGSANJAN LAGUNA</t>
  </si>
  <si>
    <t>MUNICIPALITY OF PLARIDEL, MISAMIS OCCIDENTAL</t>
  </si>
  <si>
    <t>PROVINCE OF MAGUINDANAO</t>
  </si>
  <si>
    <t>HOME DEVELOPMENT MUTUAL FUND - REGION I</t>
  </si>
  <si>
    <t>DEPARTMENT OF ENVIRONMENT AND NATURAL RESOURCES - MAIN</t>
  </si>
  <si>
    <t>DEPARTMENT OF ENVIRONMENT AND NATURAL RESOURCES - N.ECIJA</t>
  </si>
  <si>
    <t>ILOILO STATE COLLEGE OF FISHERIES - DINGLE CAMPUS</t>
  </si>
  <si>
    <t>DAAT ELEMENTARY SCHOOL</t>
  </si>
  <si>
    <t>DEPARTMENT OF EDUCATION - SCHOOLS DIVISION OF SORSOGON PROVI</t>
  </si>
  <si>
    <t>BARANGAY TAMIA, COMPOSTELA, COMPOSTELA VALLEY</t>
  </si>
  <si>
    <t>MUNICIPALITY OF HINOBA-AN, NEGROS OCCIDENTAL</t>
  </si>
  <si>
    <t>BARANGAY POBLACION, TRENTO, AGUSAN DEL SUR</t>
  </si>
  <si>
    <t>LIGHT RAIL TRANSIT AUTHORITY</t>
  </si>
  <si>
    <t>BARANGAY BANGCURO NAGCARLAN, LAGUNA</t>
  </si>
  <si>
    <t>GUIMBA WATER DISTRICT</t>
  </si>
  <si>
    <t>CIVIL AVIATION AUTHORITY OF THE PHILIPPINES - ILOILO AIRPORT</t>
  </si>
  <si>
    <t>DEPARTMENT OF PUBLIC WORKS AND HIGHWAYS - NORTH MANILA DEO</t>
  </si>
  <si>
    <t>BARANGAY BANGKEROHAN, IPIL, ZAMBOANGA SIBUGAY</t>
  </si>
  <si>
    <t>TOURISM INFRASTRUCTURE AND ENTERPRISE ZONE AUTHORITY</t>
  </si>
  <si>
    <t>MUNICIPALITY OF JUBAN, SORSOGON</t>
  </si>
  <si>
    <t>DEPARTMENT OF ENVIRONMENT AND NATURAL RESOURCES - REGION IX</t>
  </si>
  <si>
    <t>DASMARIÑAS EAST NATIONAL HIGH SCHOOL</t>
  </si>
  <si>
    <t>PROVINCE OF SIQUIJOR</t>
  </si>
  <si>
    <t>MUNICIPALITY OF SIBAGAT, AGUSAN DEL SUR</t>
  </si>
  <si>
    <t>CITY OF MANILA</t>
  </si>
  <si>
    <t>MUNICIPALITY OF LUPON, DAVAO ORIENTAL</t>
  </si>
  <si>
    <t>MUNICIPALITY OF MEXICO, PAMPANGA</t>
  </si>
  <si>
    <t>MUNICIPALITY OF ABUYOG, LEYTE</t>
  </si>
  <si>
    <t>DEPARTMENT OF EDUCATION - DIVISION OF ZAMBOANGA SIBUGAY</t>
  </si>
  <si>
    <t>RIZAL TECHNOLOGICAL UNIVERSITY</t>
  </si>
  <si>
    <t>MUNICIPALITY OF PINILI, ILOCOS NORTE</t>
  </si>
  <si>
    <t>PHILIPPINE STATISTICS AUTHORITY - REGION XI</t>
  </si>
  <si>
    <t>BARANGAY DAGUPAN, ALLACAPAN, CAGAYAN</t>
  </si>
  <si>
    <t>CANDABA WATER DISTRICT</t>
  </si>
  <si>
    <t>DEPARTMENT OF PUBLIC WORKS AND HIGHWAYS - REGION XIII (CARAG</t>
  </si>
  <si>
    <t>PHILIPPINE COAST GUARD - COAST GUARD DISTRICT SOUTHERN TAGAL</t>
  </si>
  <si>
    <t>MUNICIPALITY OF LAMBUNAO, ILOILO</t>
  </si>
  <si>
    <t>MUNICIPALITY OF ALOGUINSAN, CEBU</t>
  </si>
  <si>
    <t>BARANGAY PALINA, NAGCARLAN, LAGUNA</t>
  </si>
  <si>
    <t>NATIONAL NUTRITION COUNCIL - NATIONAL CAPITAL REGION</t>
  </si>
  <si>
    <t>EASTERN VISAYAS STATE UNIVERSITY-ORMOC CITY CAMPUS</t>
  </si>
  <si>
    <t>MUNICIPALITY OF DUPAX DEL NORTE, NUEVA VIZCAYA</t>
  </si>
  <si>
    <t>MAINIT ELEMENTARY SCHOOL</t>
  </si>
  <si>
    <t>DEPARTMENT OF EDUCATION - DIVISION OF CAPIZ</t>
  </si>
  <si>
    <t>BARANGAY POBLACION AJUY ILOILO</t>
  </si>
  <si>
    <t>MUNICIPALITY OF DEL GALLEGO, CAMARINES SUR</t>
  </si>
  <si>
    <t>MUNICIPALITY OF SIQUIJOR, SIQUIJOR</t>
  </si>
  <si>
    <t>CITY OF GINGOOG, MISAMIS ORIENTAL</t>
  </si>
  <si>
    <t>DANIEL C. MANTOS ELEMENTARY SCHOOL</t>
  </si>
  <si>
    <t>HOME DEVELOPMENT MUTUAL FUND - REGION X</t>
  </si>
  <si>
    <t>MUNICIPALITY OF NAGA, ZAMBOANGA SIBUGAY</t>
  </si>
  <si>
    <t>PROVINCE OF ILOCOS SUR</t>
  </si>
  <si>
    <t>CENTER FOR HEALTH DEVELOPMENT - REGION I</t>
  </si>
  <si>
    <t xml:space="preserve">DEPARTMENT OF PUBLIC WORKS AND HIGHWAYS - CAMARINES SUR 5TH </t>
  </si>
  <si>
    <t>ORANI NORTH ELEMENTARY SCHOOL</t>
  </si>
  <si>
    <t>MUNICIPALITY OF PIKIT, NORTH COTABATO</t>
  </si>
  <si>
    <t>BUREAU OF PLANT INDUSTRY - NCR</t>
  </si>
  <si>
    <t>CITY OF TRECE MARTIRES</t>
  </si>
  <si>
    <t>LAUREANO SALUSOD NATIONAL HIGH SCHOOL</t>
  </si>
  <si>
    <t>MUNICIPALITY OF LAOAC, PANGASINAN</t>
  </si>
  <si>
    <t>PROVINCE OF AKLAN</t>
  </si>
  <si>
    <t>DEPARTMENT OF PUBLIC WORKS AND HIGHWAYS - PAMPANGA 2ND DEO</t>
  </si>
  <si>
    <t>MUNICIPALITY OF SAN MATEO, RIZAL</t>
  </si>
  <si>
    <t>PHILIPPINE SCIENCE HIGH SCHOOL - MIMAROPA REGION CAMPUS</t>
  </si>
  <si>
    <t>NATIONAL IRRIGATION ADMINISTRATION - NIA MOMARO IMO</t>
  </si>
  <si>
    <t>TECHNICAL EDUCATION &amp; SKILLS DEVELOPMENT AUTHORITY - NCR PAM</t>
  </si>
  <si>
    <t>PHILIPPINE PORTS AUTHORITY - HEAD OFFICE</t>
  </si>
  <si>
    <t>NATIONAL IRRIGATION ADMINISTRATION - REGION IX</t>
  </si>
  <si>
    <t>CITY OF DAGUPAN  - PANGASINAN</t>
  </si>
  <si>
    <t>MUNICIPALITY OF HILONGOS, LEYTE</t>
  </si>
  <si>
    <t>113RD CO AFP PROCUREMENT SERVICE</t>
  </si>
  <si>
    <t>OFFICE FOR TRANSPORTATION SECURITY</t>
  </si>
  <si>
    <t>MUNICIPALITY OF BOSTON, DAVAO ORIENTAL</t>
  </si>
  <si>
    <t>BARANGAY ARAS-ASAN - CAGWAIT SURIGAO DEL SUR</t>
  </si>
  <si>
    <t>DEVELOPMENT ACADEMY OF THE PHILIPPINES</t>
  </si>
  <si>
    <t>COMMISSION ON POPULATION AND DEVELOPMENT  - SAN FERNANDO CIT</t>
  </si>
  <si>
    <t>DEPARTMENT OF AGRARIAN REFORM - KALINGA PROVINCE</t>
  </si>
  <si>
    <t>BARANGAY LAYON - LIGAO, ALBAY</t>
  </si>
  <si>
    <t>TECHNICAL EDUCATION &amp; SKILLS DEVELOPMENT AUTHORITY - LEYTE</t>
  </si>
  <si>
    <t>AUTHORITY OF THE FREEPORT AREA OF BATAAN</t>
  </si>
  <si>
    <t>MUNICIPALITY OF TAGOLOAN, MISAMIS ORIENTAL</t>
  </si>
  <si>
    <t>BUREAU OF INTERNAL REVENUE - REVENUE REGION NO. 16</t>
  </si>
  <si>
    <t>MUNICIPALITY OF SAINT BERNARD, SOUTHERN LEYTE</t>
  </si>
  <si>
    <t>MUNICIPALITY OF NUEVA VALENCIA, GUIMARAS</t>
  </si>
  <si>
    <t>NATIONAL ACADEMY OF SCIENCE AND TECHNOLOGY</t>
  </si>
  <si>
    <t>MUNICIPALITY OF CATARMAN, NORTHERN SAMAR</t>
  </si>
  <si>
    <t>MUNICIPALITY OF ORANI, BATAAN</t>
  </si>
  <si>
    <t>DEPARTMENT OF EDUCATION - DIVISION OF CITY SCHOOLS, MANILA</t>
  </si>
  <si>
    <t>DEPARTMENT OF PUBLIC WORKS AND HIGHWAYS - BILIRAN ED</t>
  </si>
  <si>
    <t>BUREAU OF THE TREASURY</t>
  </si>
  <si>
    <t>MUNICIPALITY OF PRESIDENT ROXAS, CAPIZ</t>
  </si>
  <si>
    <t>PHILIPPINE SCIENCE HIGH SCHOOL - CALABARZON REGION CAMPUS</t>
  </si>
  <si>
    <t>MUNICIPALITY OF SAPANG DALAGA, MISAMIS OCCIDENTAL</t>
  </si>
  <si>
    <t>MUNICIPALITY OF M'LANG, COTABATO</t>
  </si>
  <si>
    <t>LIGA NG BARANGAY DIPLAHAN</t>
  </si>
  <si>
    <t>BUTUAN CITY SCHOOL OF ARTS AND TRADES</t>
  </si>
  <si>
    <t>LAGUNA LAKE DEVELOPMENT AUTHORITY, DENR</t>
  </si>
  <si>
    <t>MUNICIPALITY OF SINILOAN. LAGUNA</t>
  </si>
  <si>
    <t>BULIASNIN ELEMENTARY SCHOOL</t>
  </si>
  <si>
    <t>MUNICIPALITY OF PADADA, DAVAO DEL SUR</t>
  </si>
  <si>
    <t>BARANGAY STO. NIÑO - ABUYOG LEYTE</t>
  </si>
  <si>
    <t>MUNICIPALITY OF SAN MANUEL, PANGASINAN</t>
  </si>
  <si>
    <t>NATIONAL HISTORICAL COMMISSION OF THE PHILIPPINES</t>
  </si>
  <si>
    <t>SULTAN KUDARAT STATE UNIVERSITY</t>
  </si>
  <si>
    <t>MUNICIPALITY OF OSLOB, CEBU</t>
  </si>
  <si>
    <t>BARANGAY SAN ANTONIO, MAKATI CITY</t>
  </si>
  <si>
    <t>DEPARTMENT OF AGRARIAN REFORM - NEGROS OCCIDENTAL 2 (SOUTH)</t>
  </si>
  <si>
    <t>MUNICIPALITY OF SAN LUIS, PAMPANGA</t>
  </si>
  <si>
    <t>MUNICIPALITY OF MIDSALIP, ZAMBOANGA DEL SUR</t>
  </si>
  <si>
    <t>CITY OF CABADBARAN, AGUSAN DEL NORTE</t>
  </si>
  <si>
    <t>CITY OF TARLAC, TARLAC</t>
  </si>
  <si>
    <t>MUNICIPALITY OF VICTORIA, ORIENTAL MINDORO</t>
  </si>
  <si>
    <t>CULION SANITARIUM AND GENERAL HOSPITAL</t>
  </si>
  <si>
    <t>BARANGAY BITA, CULASI, ANTIQUE</t>
  </si>
  <si>
    <t>NATIONAL IRRIGATION ADMINISTRATION - REGION IV-A CALABARZON</t>
  </si>
  <si>
    <t>DEPARTMENT OF PUBLIC WORKS AND HIGHWAYS - MALABON-NAVOTAS SD</t>
  </si>
  <si>
    <t>MUNICIPALITY OF MAINIT, SURIGAO DEL NORTE</t>
  </si>
  <si>
    <t>MUNICIPALITY OF ECHAGUE, ISABELA</t>
  </si>
  <si>
    <t>MUNICIPALITY OF MEDINA, MISAMIS ORIENTAL</t>
  </si>
  <si>
    <t>DON JOSE S. MONFORT MEDICAL CENTER EXTENSION HOSPITAL</t>
  </si>
  <si>
    <t>DEPARTMENT OF EDUCATION - DIVISION OF PANGASINAN I</t>
  </si>
  <si>
    <t>RAMON MAGSAYSAY CENTRAL - ELEMENTARY SCHOOL</t>
  </si>
  <si>
    <t>MUNICIPALITY OF KALIBO, AKLAN</t>
  </si>
  <si>
    <t>MUNICIPALITY OF KAYAPA, NUEVA VIZCAYA</t>
  </si>
  <si>
    <t>MUNICIPALITY OF PORO, CEBU</t>
  </si>
  <si>
    <t>PHILIPPINE HEALTH INSURANCE CORPORATION - REGION III</t>
  </si>
  <si>
    <t>PROVINCE OF BATAAN</t>
  </si>
  <si>
    <t>GENERAL SANTOS CITY WATER DISTRICT</t>
  </si>
  <si>
    <t>BISLIG CITY WATER DISTRICT</t>
  </si>
  <si>
    <t>BARANGAY SAN MIGUEL, BATANGAS CITY</t>
  </si>
  <si>
    <t>BARANGAY GUESSET, NAGUILIAN, LA UNION</t>
  </si>
  <si>
    <t>GINGOOG CITY WATER DISTRICT</t>
  </si>
  <si>
    <t>BARANGAY NAGSIDORISAN, NAGUILIAN, LA UNION</t>
  </si>
  <si>
    <t>ABKASA ELEMENTARY SCHOOL</t>
  </si>
  <si>
    <t>LAS PIÑAS GENERAL HOSPITAL AND SATELLITE TRAUMA CENTER</t>
  </si>
  <si>
    <t>DEPARTMENT OF EDUCATION - DIVISION OF PANGASINAN II</t>
  </si>
  <si>
    <t>CITY  OF CABANATUAN, NUEVA ECIJA</t>
  </si>
  <si>
    <t>BUREAU OF CUSTOMS</t>
  </si>
  <si>
    <t>MUNICIPALITY OF VALLEHERMOSO, NEGROS</t>
  </si>
  <si>
    <t>MUNICIPALITY OF TAYASAN, NEGROS ORIENTAL</t>
  </si>
  <si>
    <t>WEST VISAYAS STATE UNIVERSITY  - LAMBUNAO  CAMPUS</t>
  </si>
  <si>
    <t>MUNICIPALITY OF SIBONGA, CEBU</t>
  </si>
  <si>
    <t>DEPARTMENT OF AGRICULTURE - REGION XI</t>
  </si>
  <si>
    <t>MUNICIPALITY OF BALIGUIAN, ZAMBOANGA DEL NORTE</t>
  </si>
  <si>
    <t>BARANGAY PAPANDUNGIN - GLORIA ORIENTAL MINDORO</t>
  </si>
  <si>
    <t>BUREAU OF INTERNAL REVENUE</t>
  </si>
  <si>
    <t>DEPARTMENT OF PUBLIC WORKS AND HIGHWAYS SARANGANI DISTRICT E</t>
  </si>
  <si>
    <t>MUNICIPALITY OF LAZI, SIQUIJOR</t>
  </si>
  <si>
    <t>BARANGAY SAN MIGUEL, TAGUM CITY, DAVAO DEL NORTE</t>
  </si>
  <si>
    <t>MUNICIPALITY OF BAGGAO, CAGAYAN</t>
  </si>
  <si>
    <t>DEPARTMENT OF AGRICULTURE - REGION V</t>
  </si>
  <si>
    <t>MUNICIPALITY OF BOKOD, BENGUET</t>
  </si>
  <si>
    <t>MARINDUQUE STATE COLLEGE</t>
  </si>
  <si>
    <t>CAGAYAN DE ORO NATIONAL HIGH SCHOOL</t>
  </si>
  <si>
    <t>CITY OF KABANKALAN, NEGROS OCCIDENTAL</t>
  </si>
  <si>
    <t>MUNICIPALITY OF BATAD, ILOILO</t>
  </si>
  <si>
    <t>MUNICIPALITY OF BACO, ORIENTAL MINDORO</t>
  </si>
  <si>
    <t>BARANGAY MARINIG, CABUYAO, LAGUNA</t>
  </si>
  <si>
    <t>PHILIPPINE NATIONAL POLICE - INFORMATION TECHNOLOGY MANAGEME</t>
  </si>
  <si>
    <t>DEPARTMENT OF EDUCATION - DIVISION OF BILIRAN</t>
  </si>
  <si>
    <t>PHILIPPINE HEALTH INSURANCE CORPORATION - REGION IX</t>
  </si>
  <si>
    <t>MUNICIPALITY OF JARO, LEYTE</t>
  </si>
  <si>
    <t>CITY OF LEGAZPI, ALBAY</t>
  </si>
  <si>
    <t>PROVINCE OF ROMBLON</t>
  </si>
  <si>
    <t>CIVIL SERVICE COMMISSION  - CENTRAL OFFICE</t>
  </si>
  <si>
    <t>BUREAU OF FISHERIES AND AQUATIC RESOURCES - REGION IV-A</t>
  </si>
  <si>
    <t>BARANGAY ALUMBRADO, NAGCARLAN, LAGUNA</t>
  </si>
  <si>
    <t>PALAWAN STATE UNIVERSITY</t>
  </si>
  <si>
    <t>BICOL REGIONAL TRAINING AND TEACHING HOSPITAL</t>
  </si>
  <si>
    <t>PHILIPPINE CROP INSURANCE CORPORATION</t>
  </si>
  <si>
    <t>BARANGAY AMAMAROS, POTOTAN, ILOILO</t>
  </si>
  <si>
    <t>SAN JOSE DEL MONTE NATIONAL TRADE SCHOOL</t>
  </si>
  <si>
    <t>MUNICIPALITY OF SISON, PANGASINAN</t>
  </si>
  <si>
    <t>DEPARTMENT OF PUBLIC WORKS AND HIGHWAYS - REGION VI</t>
  </si>
  <si>
    <t>CITY OF NAGA, CAMARINES SUR</t>
  </si>
  <si>
    <t>BARANGAY CAMPISONG, GINATILAN, CEBU</t>
  </si>
  <si>
    <t>DEPARTMENT OF PUBLIC WORKS AND HIGHWAYS - CAVITE 3RD DISTRIC</t>
  </si>
  <si>
    <t>TOURISM PROMOTIONS BOARD</t>
  </si>
  <si>
    <t>BUREAU OF ANIMAL INDUSTRY, DA</t>
  </si>
  <si>
    <t>CITY OF TAGUM, DAVAO DEL NORTE</t>
  </si>
  <si>
    <t>BICOL REGION GENERAL HOSPITAL AND GERIATRIC MEDICAL CENTER(F</t>
  </si>
  <si>
    <t>MUNICIPALITY OF MURCIA, NEGROS OCCIDENTAL</t>
  </si>
  <si>
    <t>MUNICIPALITY OF TALAINGOD, DAVAO DEL NORTE</t>
  </si>
  <si>
    <t>BUREAU OF FIRE PROTECTION - REGION VI</t>
  </si>
  <si>
    <t>CITY OF TABACO, ALBAY</t>
  </si>
  <si>
    <t>PILI WATER DISTRICT</t>
  </si>
  <si>
    <t>DEVELOPMENT BANK OF THE PHILIPPINES - HEAD OFFICE</t>
  </si>
  <si>
    <t>DON HONORIO VENTURA TECHNOLOGICAL STATE UNIVERSITY</t>
  </si>
  <si>
    <t>PHILIPPINE COAST GUARD (HUMAN RESOURCE MANAGEMENT SERVICE) -</t>
  </si>
  <si>
    <t>BUREAU OF PLANT INDUSTRY (NSQCS7) - UBAY, BOHOL</t>
  </si>
  <si>
    <t>DIGOS WATER DISTRICT</t>
  </si>
  <si>
    <t>MUNICIPALITY  OF SAN JOSE, NEGROS ORIENTAL</t>
  </si>
  <si>
    <t>MUNICIPALITY OF BAMBAN, TARLAC</t>
  </si>
  <si>
    <t>SCHISTOSOMIASIS CONTROL AND RESEARCH HOSPITAL</t>
  </si>
  <si>
    <t>BUREAU OF AGRICULTURAL RESEARCH</t>
  </si>
  <si>
    <t>MUNICIPALITY OF ALCALA, PANGASINAN</t>
  </si>
  <si>
    <t>MUNICIPALITY OF ALAMINOS, LAGUNA</t>
  </si>
  <si>
    <t>BARANGAY LAMAK, HILONGOS, LEYTE</t>
  </si>
  <si>
    <t>LUIS HORA MEMORIAL REGIONAL HOSPITAL</t>
  </si>
  <si>
    <t>BARANGAY COTTA, LUCENA CITY</t>
  </si>
  <si>
    <t>BARANGAY KULAPI, LUCBAN, QUEZON</t>
  </si>
  <si>
    <t>COMMISSION ON POPULATION AND DEVELOPMENT</t>
  </si>
  <si>
    <t>DEPARTMENT OF SOCIAL WELFARE AND DEVELOPMENT - REGION III</t>
  </si>
  <si>
    <t>LEGARDA DOS NATIONAL HIGH SCHOOL</t>
  </si>
  <si>
    <t>MUNICIPALITY OF SIAYAN, ZAMBOANGA DEL NORTE</t>
  </si>
  <si>
    <t>CITY OF BAYBAY, LEYTE</t>
  </si>
  <si>
    <t>CITY OF BAIS, NEGROS ORIENTAL</t>
  </si>
  <si>
    <t>DEPARTMENT OF ENVIRONMENT AND NATURAL RESOURCES - NCR</t>
  </si>
  <si>
    <t>MUNICIPALITY OF MARAGONDON, CAVITE</t>
  </si>
  <si>
    <t>BARANGAY MALINAO, PASIG CITY</t>
  </si>
  <si>
    <t>FORT BONIFACIO HIGH SCHOOL</t>
  </si>
  <si>
    <t>MUNICIPALITY OF STA. ROSA, NUEVA ECIJA</t>
  </si>
  <si>
    <t>BUREAU OF CUSTOMS - ZAMBOANGA CITY</t>
  </si>
  <si>
    <t>MUNICIPALITY OF SIATON, NEGROS ORIENTAL</t>
  </si>
  <si>
    <t>MUNICIPALITY OF TALUSAN, ZAMBOANGA SIBUGAY</t>
  </si>
  <si>
    <t>MUNICIPALITY OF CARMEN, BOHOL</t>
  </si>
  <si>
    <t>BARANGAY CALUMPANG EAST- SAN LUIS BATANGAS</t>
  </si>
  <si>
    <t>CITY OF CALOOCAN</t>
  </si>
  <si>
    <t>DEPARTMENT OF EDUCATION - REGION II</t>
  </si>
  <si>
    <t>DEPARTMENT OF AGRICULTURE - CARFU</t>
  </si>
  <si>
    <t>BARANGAY STA. ROSA, BINMALEY, PANGASINAN</t>
  </si>
  <si>
    <t>BARANGAY SAN FRANCISCO, NAGCARLAN, LAGUNA</t>
  </si>
  <si>
    <t>MUNICIPALITY OF SAN AGUSTIN, ISABELA</t>
  </si>
  <si>
    <t>PHILIPPINE DRUG ENFORCEMENT AGENCY</t>
  </si>
  <si>
    <t>MUNICIPALITY OF DINAS, ZAMBOANGA DEL SUR</t>
  </si>
  <si>
    <t>CITY OF DUMAGUETE, NEGROS ORIENTAL</t>
  </si>
  <si>
    <t>PHILIPPINE RICE RESEARCH INSTITUTE - AGUSAN</t>
  </si>
  <si>
    <t>PHILIPPINE FISHERIES DEVELOPMENT AUTHORITY- REGION IX</t>
  </si>
  <si>
    <t>NATIONAL IRRIGATION ADMINISTRATION - UPRIIS, DIVISION 2</t>
  </si>
  <si>
    <t>MUNICIPALITY OF LOAY, BOHOL</t>
  </si>
  <si>
    <t>PHILIPPINE SCIENCE HIGH SCHOOL - CENTRAL LUZON CAMPUS</t>
  </si>
  <si>
    <t>MUNICIPALITY OF JOSE ABAD SANTOS, DAVAO DEL SUR</t>
  </si>
  <si>
    <t>SANTIAGO WATER DISTRICT</t>
  </si>
  <si>
    <t>CIVIL AVIATION AUTHORITY OF THE PHILIPPINES - REGION V</t>
  </si>
  <si>
    <t>BARANGAY BONGOL, JANIUAY, ILOILO</t>
  </si>
  <si>
    <t>CAGAYAN VALLEY MEDICAL CENTER</t>
  </si>
  <si>
    <t>PROVINCE OF DAVAO DEL SUR</t>
  </si>
  <si>
    <t>NATIONAL IRRIGATION ADMINISTRATION - NEGROS ISLAND REGION</t>
  </si>
  <si>
    <t>APO PRODUCTION UNIT, INC.</t>
  </si>
  <si>
    <t>MINDANAO STATE UNIVERSITY - ILIGAN INSTITUTE OF TECHNOLOGY</t>
  </si>
  <si>
    <t>MUNICIPALITY OF CALABANGA, CAMARINES SUR</t>
  </si>
  <si>
    <t>NATIONAL IRRIGATION ADMINISTRATION - SURIGAO SUR IMO</t>
  </si>
  <si>
    <t>PHILIPPINE CHARITY SWEEPSTAKES OFFICE - MANDALUYONG CITY</t>
  </si>
  <si>
    <t>MUNICIPALITY OF UBAY, BOHOL</t>
  </si>
  <si>
    <t>CITY OF CALAPAN, ORIENTAL MINDORO</t>
  </si>
  <si>
    <t>CORON SCHOOL OF FISHERIES - SENIOR HIGH SCHOOL</t>
  </si>
  <si>
    <t>MUNICIPALITY OF CAMALIG, ALBAY</t>
  </si>
  <si>
    <t>TECHNICAL EDUCATION &amp; SKILLS DEVELOPMENT AUTHORITY - PANGASI</t>
  </si>
  <si>
    <t>UNIVERSITY OF SCIENCE AND TECHNOLOGY OF SOUTHERN PHILIPPINES</t>
  </si>
  <si>
    <t>MUNICIPALITY OF GERONA, TARLAC</t>
  </si>
  <si>
    <t>PHIVIDEC INDUSTRIAL AUTHORITY, DND</t>
  </si>
  <si>
    <t>JOSE RIZAL MEMORIAL STATE UNIVERSITY - MAIN CAMPUS</t>
  </si>
  <si>
    <t>MUNICIPALITY OF SAN FRANCISCO, AGUSAN DEL SUR</t>
  </si>
  <si>
    <t>DEPARTMENT OF ENVIRONMENT AND NATURAL RESOURCES-10</t>
  </si>
  <si>
    <t>DEPARTMENT OF HEALTH - REGION VII</t>
  </si>
  <si>
    <t>MUNICIPALITY OF LAMBAYONG, SULTAN KUDARAT</t>
  </si>
  <si>
    <t>PROVINCE OF SARANGANI</t>
  </si>
  <si>
    <t>MUNICIPALITY OF JOSEFINA, ZAMBOANGA DEL SUR</t>
  </si>
  <si>
    <t>PROVINCE OF SURIGAO DEL SUR</t>
  </si>
  <si>
    <t>BUREAU OF CUSTOMS - DAVAO CITY</t>
  </si>
  <si>
    <t>METROPOLITAN WATERWORKS AND SEWERAGE SYSTEM</t>
  </si>
  <si>
    <t>UNIVERSITY OF THE PHILIPPINES - CEBU</t>
  </si>
  <si>
    <t>MUNICIPALITY OF PANGIL, LAGUNA</t>
  </si>
  <si>
    <t>PAG-IBIG FUND - DAVAO HUB (TECHNICAL AND ADMIN SUPPORT)</t>
  </si>
  <si>
    <t>DEPARTMENT OF SOCIAL WELFARE AND DEVELOPMENT - CARAGA</t>
  </si>
  <si>
    <t>DEPARTMENT OF PUBLIC WORKS AND HIGHWAYS - BUKIDNON 1ST DEO</t>
  </si>
  <si>
    <t>SUPREME COURT OF THE PHILIPPINES</t>
  </si>
  <si>
    <t>CALUMPIT WATER DISTRICT</t>
  </si>
  <si>
    <t>DEPARTMENT OF AGRARIAN REFORM - ZAMBOANGA SIBUGAY</t>
  </si>
  <si>
    <t>SOCIAL SECURITY SYSTEM - LUZON CENTRAL CLUSTER</t>
  </si>
  <si>
    <t>109TH CONTRACTING OFFICE, AFP PROCUREMENT SERVICE</t>
  </si>
  <si>
    <t>MUNICIPALITY OF COMPOSTELA, COMPOSTELA VALLEY</t>
  </si>
  <si>
    <t>NATIONAL DEVELOPMENT COMPANY</t>
  </si>
  <si>
    <t>DEPARTMENT OF AGRICULTURE - REGION IX</t>
  </si>
  <si>
    <t>NATIONAL HOUSING AUTHORITY</t>
  </si>
  <si>
    <t>CITY  OF CALBAYOG, SAMAR</t>
  </si>
  <si>
    <t>BUREAU OF FISHERIES AND AQUATIC RESOURCES - REGION II</t>
  </si>
  <si>
    <t>DEPARTMENT OF PUBLIC WORKS AND HIGHWAYS - ZAMBOANGA DEL NORT</t>
  </si>
  <si>
    <t>MUNICIPALITY OF TUBUNGAN, ILOILO</t>
  </si>
  <si>
    <t>ENVIRONMENTAL MANAGEMENT BUREAU - REGION V</t>
  </si>
  <si>
    <t>LANDBANK OF THE PHILIPPINES - HEAD OFFICE</t>
  </si>
  <si>
    <t>CITY OF VIGAN, ILOCOS SUR</t>
  </si>
  <si>
    <t>MUNICIPALITY OF MAUBAN, QUEZON</t>
  </si>
  <si>
    <t>PRESIDENTIAL COMMUNICATIONS OPERATIONS OFFICE</t>
  </si>
  <si>
    <t>PUNONG ELEMENTARY SCHOOL</t>
  </si>
  <si>
    <t>LANDBANK OF THE PHILIPPINES - REGION VI</t>
  </si>
  <si>
    <t>MUNICIPALITY OF PASTRANA, LEYTE</t>
  </si>
  <si>
    <t>DEPARTMENT OF EDUCATION - DIVISION OF NEGROS OCCIDENTAL</t>
  </si>
  <si>
    <t>MUNICIPALITY OF BARILI, CEBU</t>
  </si>
  <si>
    <t>DEPARTMENT OF NATIONAL DEFENSE - PROCUREMENT UNIT</t>
  </si>
  <si>
    <t>DEPARTMENT OF EDUCATION - DIVISION OF SILAY CITY</t>
  </si>
  <si>
    <t>CITY OF MARIKINA</t>
  </si>
  <si>
    <t>DEPARTMENT OF AGRICULTURE - REGION II</t>
  </si>
  <si>
    <t>PROVINCE OF ILOCOS NORTE</t>
  </si>
  <si>
    <t>DR. PAULINO J. GARCIA MEMORIAL RESEARCH AND MEDICAL CENTER</t>
  </si>
  <si>
    <t>BARANGAY LUCKY, LEMERY, BATANGAS</t>
  </si>
  <si>
    <t>BARANGAY CABLALAN, GLAN, SARANGANI</t>
  </si>
  <si>
    <t>MUNICIPALITY OF NAGCARLAN, LAGUNA</t>
  </si>
  <si>
    <t>NATIONAL IRRIGATION ADMINISTRATION - SKIMO</t>
  </si>
  <si>
    <t>BARANGAY KINUBAN, MACO, COMPOSTELA VALLEY</t>
  </si>
  <si>
    <t>401ST CONTRACTING OFFICE, AFP PROCUREMENT SERVICE</t>
  </si>
  <si>
    <t>BARANGAY MAIIT, NAGCARLAN, LAGUNA</t>
  </si>
  <si>
    <t>MUNICIPALITY OF TAGBINA, SURIGAO DEL SUR</t>
  </si>
  <si>
    <t>DEPARTMENT OF EDUCATION - DIVISION OF TALISAY CITY</t>
  </si>
  <si>
    <t>DAVAO DEL NORTE STATE COLLEGE</t>
  </si>
  <si>
    <t>MUNICIPALITY OF SAN MARIANO, ISABELA</t>
  </si>
  <si>
    <t>EULOGIO "AMANG" RODRIGUEZ INSTITUTE OF SCIENCE AND TECH.</t>
  </si>
  <si>
    <t>SEWAHON ELEMENTARY SCHOOL</t>
  </si>
  <si>
    <t>MUNICIPALITY OF BAGAC, BATAAN</t>
  </si>
  <si>
    <t>DEPARTMENT OF HEALTH - MAIN</t>
  </si>
  <si>
    <t>BARANGAY PAKIAD, OTON, ILOILO</t>
  </si>
  <si>
    <t>MUNICIPALITY OF PURA, TARLAC</t>
  </si>
  <si>
    <t>MUNICIPALITY OF LAS NIEVES , AGUSAN DEL NORTE</t>
  </si>
  <si>
    <t>DEPARTMENT OF LABOR AND EMPLOYMENT - REGION XI</t>
  </si>
  <si>
    <t>MUNICIPALITY OF MALITA, DAVAO OCCIDENTAL</t>
  </si>
  <si>
    <t>BARANGAY ORAS, TABACO CITY</t>
  </si>
  <si>
    <t>BARANGAY MONTE DUJALI, SAN ISIDRO DAVAO DEL NORTE</t>
  </si>
  <si>
    <t>BARANGAY POBLACION,KABACAN,COTABATO</t>
  </si>
  <si>
    <t>MUNICIPALITY OF SANTA MARIA, ILOCOS SUR</t>
  </si>
  <si>
    <t>BARANGAY SUFATUBO, GLAN, SARANGANI</t>
  </si>
  <si>
    <t>PROVINCE OF NUEVA VIZCAYA - BAYOMBONG NUEVA VIZCAYA</t>
  </si>
  <si>
    <t>HOUSE OF REPRESENTATIVES</t>
  </si>
  <si>
    <t>MUNICIPALITY OF SAN FERNANDO, BUKIDNON</t>
  </si>
  <si>
    <t>MUNICIPALITY OF MALALAG, DAVAO DEL SUR</t>
  </si>
  <si>
    <t>MUNICIPALITY OF STO. DOMINGO, ALBAY</t>
  </si>
  <si>
    <t>MUNICIPALITY OF DUPAX DEL SUR, NUEVA VIZCAYA</t>
  </si>
  <si>
    <t>APAYAO STATE COLLEGE</t>
  </si>
  <si>
    <t>DEPARTMENT OF PUBLIC WORKS AND HIGHWAYS - SIQUIJOR DEO</t>
  </si>
  <si>
    <t>CITY OF LAOAG, ILOCOS NORTE</t>
  </si>
  <si>
    <t>DEPARTMENT OF AGRICULTURE - REGION III</t>
  </si>
  <si>
    <t>VNHS - SEWAHON EXTENSION HIGH SCHOOL - CADIZ CITY NEGROS OCC</t>
  </si>
  <si>
    <t>NATIONAL POLICE COMMISSION</t>
  </si>
  <si>
    <t>BUTONG ELEMENTARY SCHOOL</t>
  </si>
  <si>
    <t>BARANGAY KAPANIKIAN STA. ANA CAGAYAN</t>
  </si>
  <si>
    <t>MUNICIPALITY OF PANDAN, ANTIQUE</t>
  </si>
  <si>
    <t>MINES AND GEOSCIENCES BUREAU - CARAGA</t>
  </si>
  <si>
    <t>BARANGAY 40 BALATONG, LAOAG CITY</t>
  </si>
  <si>
    <t>VILLASIS WATER DISTRICT</t>
  </si>
  <si>
    <t>NATIONAL COMMISSION FOR CULTURE AND THE ARTS</t>
  </si>
  <si>
    <t>UNIVERSITY OF THE PHILIPPINES - DILIMAN</t>
  </si>
  <si>
    <t>DEPARTMENT OF PUBLIC WORKS AND HIGHWAYS - CEBU CITY DEO</t>
  </si>
  <si>
    <t>NORTHERN MINDANAO SCHOOL OF FISHERIES</t>
  </si>
  <si>
    <t>BARANGAY SAN ANTONIO, LABO, CAMARINES NORTE</t>
  </si>
  <si>
    <t>MUNICIPALITY OF NEW CORELLA, DAVAO DEL NORTE</t>
  </si>
  <si>
    <t>BARANGAY BALLUYAN FLORA APAYAO</t>
  </si>
  <si>
    <t>CITY OF OZAMIS, MISAMIS OCCIDENTAL</t>
  </si>
  <si>
    <t>WEST VISAYAS STATE UNIVERSITY - CALINOG BRANCH</t>
  </si>
  <si>
    <t>BARANGAY I POBLACION, MALILIPOT, ALBAY</t>
  </si>
  <si>
    <t>CITY OF SAN JUAN</t>
  </si>
  <si>
    <t>DEPARTMENT OF ENVIRONMENT AND NATURAL RES. - PENRO S.DEL NOR</t>
  </si>
  <si>
    <t>KIMAGTING ELEMENTARY SCHOOL NINOY AQUINO KALILANGAN,BUKIDNON</t>
  </si>
  <si>
    <t>CAMP EVANGELISTA ELEM SCHOOL - CAGAYAN DE ORO CITY</t>
  </si>
  <si>
    <t>DEPARTMENT OF PUBLIC WORKS AND HIGHWAYS - REGION III</t>
  </si>
  <si>
    <t>BARANGAY PLARIDEL, STA. ELENA, CAMARINES NORTE</t>
  </si>
  <si>
    <t>BARANGAY LISUB-A, ANINI-Y, ANTIQUE</t>
  </si>
  <si>
    <t>MUNICIPALITY OF NASIPIT, AGUSAN DEL NORTE</t>
  </si>
  <si>
    <t>MUNICIPALITY OF CAMALIGAN, CAMARINES SUR</t>
  </si>
  <si>
    <t>SURIGAO DEL SUR STATE UNIVERSITY</t>
  </si>
  <si>
    <t>MUNICIPALITY OF PIÑAN, ZAMBOANGA DEL NORTE</t>
  </si>
  <si>
    <t>MUNICIPALITY OF GUINAYANGAN, QUEZON</t>
  </si>
  <si>
    <t>LAND BANK OF THE PHILIPPINES - OAH IV-B</t>
  </si>
  <si>
    <t>MUNICIPALITY OF KAPALONG, DAVAO DEL NORTE</t>
  </si>
  <si>
    <t>MUNICIPALITY OF SAN MIGUEL, ZAMBOANGA DEL SUR</t>
  </si>
  <si>
    <t>BANGKO SENTRAL NG PILIPINAS - CEBU REGIONAL OFFICE</t>
  </si>
  <si>
    <t>GEN. VICENTE LIM ELEMENTARY SCHOOL</t>
  </si>
  <si>
    <t>CITY OF TANJAY, NEGROS ORIENTAL</t>
  </si>
  <si>
    <t>DEPARTMENT OF TOURISM</t>
  </si>
  <si>
    <t>MATE ELEMENTARY SCHOOL</t>
  </si>
  <si>
    <t>MUNICIPALITY OF PORAC, PAMPANGA</t>
  </si>
  <si>
    <t>BUREAU OF FIRE PROTECTION - REGION IV-A (CALABARZON)</t>
  </si>
  <si>
    <t>BARANGAY DELUSOM, MAHAYAG, ZAMBOANGA DEL SUR</t>
  </si>
  <si>
    <t>MUNICIPALITY OF GUIPOS, ZAMBOANGA DEL SUR</t>
  </si>
  <si>
    <t>NEW IMBATUG ELEMENTARY SCHOOL - IMPASUG-ONG BUKIDNON</t>
  </si>
  <si>
    <t>PHILIPPINE HEALTH INSURANCE CORPORATION - REGION II</t>
  </si>
  <si>
    <t>PROVINCE OF RIZAL</t>
  </si>
  <si>
    <t>MUNICIPALITY OF PARACELIS, MOUNTAIN PROVINCE</t>
  </si>
  <si>
    <t>MUNICIPALITY OF SALCEDO, EASTERN SAMAR</t>
  </si>
  <si>
    <t>MUNICIPALITY OF LUNA, APAYAO</t>
  </si>
  <si>
    <t>MOLAVE REGIONAL PILOT SCHOOL TRAINING CENTER</t>
  </si>
  <si>
    <t>DEPARTMENT OF TRADE AND INDUSTRY - REGION VII</t>
  </si>
  <si>
    <t>BOHOL ISLAND STATE UNIVERSITY - CANDIJAY CAMPUS</t>
  </si>
  <si>
    <t>NATIONAL IRRIGATION ADMINISTRATION - ILOCOS NORTE IRRIGATION</t>
  </si>
  <si>
    <t>JERUSALEM NATIONAL HIGH SCHOOL - CADIZ CITY NEGROS OCCIDENTA</t>
  </si>
  <si>
    <t>MUNICIPALITY OF SAN QUINTIN, PANGASINAN</t>
  </si>
  <si>
    <t>DEPARTMENT OF AGRICULTURE - REGION I</t>
  </si>
  <si>
    <t>DEPARTMENT OF PUBLIC WORKS AND HIGHWAYS - NORTHERN SAMAR 1ST</t>
  </si>
  <si>
    <t>LOCAL GOVERNMENT UNIT OF OTON, ILOILO</t>
  </si>
  <si>
    <t>MINDANAO STATE UNIVERSITY - TAWI-TAWI</t>
  </si>
  <si>
    <t>BARANGAY BULUANG, BAAO, CAMARINES SUR</t>
  </si>
  <si>
    <t>MUNICIPALITY OF BUENAVISTA, QUEZON</t>
  </si>
  <si>
    <t>HOME DEVELOPMENT MUTUAL FUND - MAKATI BRANCH</t>
  </si>
  <si>
    <t>BARANGAY STA CRUZ - ROSARIO AGUSAN DEL SUR</t>
  </si>
  <si>
    <t>NATIONAL CONCILIATION AND MEDIATION BOARD</t>
  </si>
  <si>
    <t>SOCIAL SECURITY SYSTEM - LUZON CENTRAL 2</t>
  </si>
  <si>
    <t>MUNICIPALITY OF PINAMUNGAJAN, CEBU</t>
  </si>
  <si>
    <t>MUNICIPALITY OF SIKATUNA, BOHOL</t>
  </si>
  <si>
    <t>GULOD ELEMENTARY SCHOOL</t>
  </si>
  <si>
    <t>ENVIRONMENTAL MANAGEMENT BUREAU - DENR</t>
  </si>
  <si>
    <t>OCCIDENTAL MINDORO STATE COLLEGE</t>
  </si>
  <si>
    <t>CIVIL AVIATION AUTHORITY OF THE PHILIPPINES</t>
  </si>
  <si>
    <t>M.V. GAMBOA ELEMENTARY SCHOOL- CADIZ CITY</t>
  </si>
  <si>
    <t>CENTRAL MINDANAO UNIVERSITY</t>
  </si>
  <si>
    <t>PHILIPPINE PORTS AUTHORITY - PMO CAGAYAN DE ORO</t>
  </si>
  <si>
    <t>DEPARTMENT OF PUBLIC WORKS AND HIGHWAYS - NEG. OCC. 4TH DEO</t>
  </si>
  <si>
    <t>DEPARTMENT OF SCIENCE AND TECHNOLOGY - REGION IX</t>
  </si>
  <si>
    <t>DEPARTMENT OF EDUCATION - DIVISION OF TANJAY CITY</t>
  </si>
  <si>
    <t>HOME DEVELOPMENT MUTUAL FUND - CALAMBA BRANCH</t>
  </si>
  <si>
    <t>BARANGAY PANTIHAN 1 MARAGONDON CAVITE</t>
  </si>
  <si>
    <t>MUNICIPALITY OF ABULUG, CAGAYAN</t>
  </si>
  <si>
    <t>BARANGAY BUENAVISTA, RAPU-RAPU, ALBAY</t>
  </si>
  <si>
    <t>BARANGAY 76, ZONE 10, PASAY CITY</t>
  </si>
  <si>
    <t>DEPARTMENT OF PUBLIC WORKS AND HIGHWAYS - BAGUIO CITY DEO</t>
  </si>
  <si>
    <t>MUNICIPALITY OF LAGONOY, CAMARINES SUR</t>
  </si>
  <si>
    <t>BARANGAY CANUBAY, OROQUIETA CITY</t>
  </si>
  <si>
    <t>MUNICIPALITY OF STA. RITA, WESTERN SAMAR</t>
  </si>
  <si>
    <t>MUNICIPALITY OF TINGLOY, BATANGAS</t>
  </si>
  <si>
    <t>BARANGAY LICTIN - SAN ANDRES, CATANDUANES</t>
  </si>
  <si>
    <t>BALULANG ELEMENTARY SCHOOL - CAGAYAN DE ORO CITY</t>
  </si>
  <si>
    <t>BARANGAY PANGGALAAN - CALAPAN, ORIENTAL MINDORO</t>
  </si>
  <si>
    <t>DEPARTMENT OF PUBLIC WORKS AND HIGHWAYS - QUEZON 1ST ED</t>
  </si>
  <si>
    <t>304TH CONTRACTING OFFICE, AFP PROCUREMENT SERVICE</t>
  </si>
  <si>
    <t>DEPARTMENT OF PUBLIC WORKS AND HIGHWAYS - ISABELA CITY DEO</t>
  </si>
  <si>
    <t>LAWANG BATO NATIONAL HIGH SCHOOL</t>
  </si>
  <si>
    <t>BARANGAY BON-OT - SAN ANDRES, CATANDUANES</t>
  </si>
  <si>
    <t>BUREAU OF FISHERIES AND AQUATIC RESOURCES - REGION III</t>
  </si>
  <si>
    <t>TECHNICAL EDUCATION AND SKILLS DEVELOPMENT AUTHORITY - REGIO</t>
  </si>
  <si>
    <t>CITY  OF LA CARLOTA, NEGROS OCCIDENTAL</t>
  </si>
  <si>
    <t>MUNICIPALITY OF MABINI, COMPOSTELA VALLEY</t>
  </si>
  <si>
    <t>MUNICIPALITY OF SUAL -  PANGASINAN</t>
  </si>
  <si>
    <t>JOSE B. LINGAD MEMORIAL GENERAL HOSPITAL</t>
  </si>
  <si>
    <t>PN BAC SECRETARIAT, AFP PROCUREMENT SERVICE</t>
  </si>
  <si>
    <t>BARANGAY BALIWAGAN, BALAMBAN, CEBU</t>
  </si>
  <si>
    <t>BARANGAY BUENAVISTA CULASI ANTIQUE</t>
  </si>
  <si>
    <t>BARANGAY STA. ANA- NASIPIT AGUSAN DEL NORTE</t>
  </si>
  <si>
    <t>BUREAU OF JAIL MANAGEMENT AND PENOLOGY-NCR</t>
  </si>
  <si>
    <t>MUNICIPALITY OF MAHAPLAG - LEYTE</t>
  </si>
  <si>
    <t>SIBUYAO NATIONAL HIGH SCHOOL</t>
  </si>
  <si>
    <t>MUNICIPALITY OF BUNAWAN, AGUSAN DEL SUR</t>
  </si>
  <si>
    <t>NATIONAL FOOD AUTHORITY - REGION VII</t>
  </si>
  <si>
    <t>MUNICIPALITY  OF MALASIQUI, PANGASINAN</t>
  </si>
  <si>
    <t>BARANGAY MAYABAY DARAM SAMAR</t>
  </si>
  <si>
    <t>ANTI-MONEY LAUNDERING COUNCIL</t>
  </si>
  <si>
    <t>BARANGAY MEGKAWAYAN, CALINAN DISTRICT, DAVAO CITY</t>
  </si>
  <si>
    <t>BARANGAY BAGALANGIT, MABINI, BATANGAS</t>
  </si>
  <si>
    <t>BARANGAY SAN CARLOS, LIPA CITY</t>
  </si>
  <si>
    <t>BARANGAY LIM-AO, KANANGA, LEYTE</t>
  </si>
  <si>
    <t>ASUNCION L. LIZARES ELEMENTARY SCHOOL</t>
  </si>
  <si>
    <t>DEPARTMENT OF PUBLIC WORKS AND HIGHWAYS - BATANGAS 3RD ED</t>
  </si>
  <si>
    <t>BARANGAY BAGONG POOK, LIPA CITY</t>
  </si>
  <si>
    <t>MUNICIPALITY OF GIGMOTO, CATANDUANES</t>
  </si>
  <si>
    <t>DEPARTMENT OF EDUCATION - DIVISION OF ISLAND GARDEN CITY</t>
  </si>
  <si>
    <t>SAN RAFAEL ELEMENTARY SCHOOL - CADIZ CITY</t>
  </si>
  <si>
    <t>MINISTRY OF PUBLIC WORKS-BARMM</t>
  </si>
  <si>
    <t>CITY OF CATBALOGAN, SAMAR</t>
  </si>
  <si>
    <t>MUNICIPALITY OF UNISAN, QUEZON</t>
  </si>
  <si>
    <t>MABINI ELEMENTARY SCHOOL - PONTEVEDRA NEGROS OCCIDENTAL</t>
  </si>
  <si>
    <t>PROVINCIAL GOVERNMENT OF APAYAO</t>
  </si>
  <si>
    <t>CAMINGAWAN ELEMENTARY SCHOOL - PONTEVEDRA NEGROS OCCIDENTAL</t>
  </si>
  <si>
    <t>MUNICIPALITY OF LAWAAN, EASTERN SAMAR</t>
  </si>
  <si>
    <t>BARANGAY ABBANGKERUAN, PAMPLONA, CAGAYAN</t>
  </si>
  <si>
    <t>ANGELES CITY WATER DISTRICT</t>
  </si>
  <si>
    <t>DEPARTMENT OF SCIENCE AND TECHNOLOGY - CARAGA</t>
  </si>
  <si>
    <t>IPIL NATIONAL HIGH SCHOOL</t>
  </si>
  <si>
    <t>CITY OF PALAYAN, NUEVA ECIJA</t>
  </si>
  <si>
    <t>MUNICIPALITY OF SABLAYAN, OCCIDENTAL MINDORO</t>
  </si>
  <si>
    <t>BARANGAY MACAAS,	TUBIGON, BOHOL</t>
  </si>
  <si>
    <t>PROVINCE OF NUEVA ECIJA</t>
  </si>
  <si>
    <t>DEPARTMENT OF THE INTERIOR AND LOCAL GOVERNMENT - ABRA</t>
  </si>
  <si>
    <t>CITY OF PUERTO PRINCESA, PALAWAN</t>
  </si>
  <si>
    <t>MUNICIPALITY OF LOBOC, BOHOL</t>
  </si>
  <si>
    <t>PHILIPPINE NATIONAL RAILWAYS</t>
  </si>
  <si>
    <t>AGRICULTURAL TRAINING INSTITUTE - REGION IV-B</t>
  </si>
  <si>
    <t>SUMALIG ELEMENTARY SCHOOL</t>
  </si>
  <si>
    <t>ALUYAN ELEMENTARY SCHOOL</t>
  </si>
  <si>
    <t>MUNICIPALITY OF AGUTAYA, PALAWAN</t>
  </si>
  <si>
    <t>BARANGAY DINAWEHAN, GINGOOG CITY, MISAMIS ORIENTAL</t>
  </si>
  <si>
    <t>TARLAC COLLEGE OF AGRICULTURE</t>
  </si>
  <si>
    <t>DEPARTMENT OF PUBLIC WORKS AND HIGHWAYS - MT. PROVINCE I DEO</t>
  </si>
  <si>
    <t>MUNICIPALITY OF AURORA, ZAMBOANGA DEL SUR</t>
  </si>
  <si>
    <t>PHILIPPINE SPORTS COMMISSION</t>
  </si>
  <si>
    <t>MUNICIPALITY OF TRENTO, AGUSAN DEL SUR</t>
  </si>
  <si>
    <t>BARANGAY GUINOBATAN, CALAPAN, ORIENTAL MINDORO</t>
  </si>
  <si>
    <t>MUNICIPALITY OF MADDELA, QUIRINO</t>
  </si>
  <si>
    <t>MUNICIPALITY OF KIANGAN, IFUGAO</t>
  </si>
  <si>
    <t>SUGAR REGULATORY ADMINISTRATION</t>
  </si>
  <si>
    <t>BINALBAGAN NATIONAL HIGH SCHOOL - BINALBAGAN NEGROS OCCIDENT</t>
  </si>
  <si>
    <t>PROVINCE OF SOUTHERN LEYTE</t>
  </si>
  <si>
    <t>PHILIPPINE ARMY (PA)</t>
  </si>
  <si>
    <t>MUNICIPALITY OF MOTIONG, SAMAR</t>
  </si>
  <si>
    <t>MUNICIPALITY OF LOON, BOHOL</t>
  </si>
  <si>
    <t>MUNICIPALITY OF MOALBOAL, CEBU</t>
  </si>
  <si>
    <t>CAA ELEMENTARY SCHOOL</t>
  </si>
  <si>
    <t>BARANGAY CENTRAL SIGNAL VILLAGE -TAGUIG CITY</t>
  </si>
  <si>
    <t>SIERRA-BULLONES TECHNICAL VOCATIONAL HIGH SCHOOL- SIERRA BUL</t>
  </si>
  <si>
    <t>BARANGAY KALIPAY, GINGOOG CITY</t>
  </si>
  <si>
    <t>BARANGAY CABATANGAN, ZAMBOANGA CITY, ZAMBOANGA DEL SUR</t>
  </si>
  <si>
    <t>PUBLIC ELEMENTARY SCHOOL</t>
  </si>
  <si>
    <t>BARANGAY CODON - SAN ANDRES CATANDUANES</t>
  </si>
  <si>
    <t>BARANGAY HILAWAN - SAN ANDRES CATANDUANES</t>
  </si>
  <si>
    <t>BARANGAY SUGCAD, POLANGUI, ALBAY</t>
  </si>
  <si>
    <t>BARANGAY BUYO - POLANGUI, ALBAY</t>
  </si>
  <si>
    <t>NEWBORN SCREENING REFERENCE CENTER</t>
  </si>
  <si>
    <t>PHILIPPINE STATISTICS AUTHORITY - REGION VII</t>
  </si>
  <si>
    <t>NATIONAL IRRIGATION ADMINISTRATION - COTABATO IMO</t>
  </si>
  <si>
    <t>NATIONAL IRRIGATION ADMINISTRATION - BANE-IMO</t>
  </si>
  <si>
    <t>MUNICIPALITY OF MILAGROS, MASBATE</t>
  </si>
  <si>
    <t>PHILIPPINE PORTS AUTHORITY - PMO MINDORO</t>
  </si>
  <si>
    <t>MUNICIPALITY OF GENERAL NAKAR, QUEZON</t>
  </si>
  <si>
    <t>PRESIDENTIAL LEGISLATIVE LIAISON OFFICE</t>
  </si>
  <si>
    <t>BARANGAY NAGACADAN - KIANGAN IFUGAO</t>
  </si>
  <si>
    <t>MUNICIPALITY OF POTOTAN, ILOILO</t>
  </si>
  <si>
    <t>INTERCOUNTRY ADOPTION BOARD</t>
  </si>
  <si>
    <t>PUERTO PRINCESA CITY WATER DISTRICT</t>
  </si>
  <si>
    <t>CITY OF CALAMBA, LAGUNA</t>
  </si>
  <si>
    <t>CITY OF CAGAYAN DE ORO, MISAMIS ORIENTAL</t>
  </si>
  <si>
    <t>BARANGAY MABINI, BURDEOS, QUEZON</t>
  </si>
  <si>
    <t>DEPARTMENT OF PUBLIC WORKS AND HIGHWAYS - ALBAY 2ND DEO</t>
  </si>
  <si>
    <t>NATIONAL MARITIME POLYTECHNIC - REGION VIII</t>
  </si>
  <si>
    <t>PHILIPPINE NUCLEAR RESEARCH INSTITUTE</t>
  </si>
  <si>
    <t>CITY OF DIPOLOG, ZAMBOANGA DEL NORTE</t>
  </si>
  <si>
    <t>MUNICIPALITY OF CLAVER, SURIGAO DEL NORTE</t>
  </si>
  <si>
    <t>MUNICIPALITY OF CUARTERO, CAPIZ</t>
  </si>
  <si>
    <t>DEPARTMENT OF BUDGET AND MANAGEMENT</t>
  </si>
  <si>
    <t>DEPARTMENT OF PUBLIC WORKS AND HIGHWAYS - CAPIZ 2ND ED</t>
  </si>
  <si>
    <t>NATIONAL POWER CORPORATION - SPUG PALAWAN</t>
  </si>
  <si>
    <t>DEPARTMENT OF PUBLIC WORKS AND HIGHWAYS - MINDORO OCCIDENTAL</t>
  </si>
  <si>
    <t>ENVIRONMENTAL MANAGEMENT BUREAU - CARAGA</t>
  </si>
  <si>
    <t>MUNICIPALITY OF RAGAY, CAMARINES SUR</t>
  </si>
  <si>
    <t>MUNICIPALITY OF NAGUILIAN, LA UNION</t>
  </si>
  <si>
    <t>BARANGAY POBLACION, TACURONG, SULTAN KUDARAT</t>
  </si>
  <si>
    <t>MUNICIPALITY OF PATEROS</t>
  </si>
  <si>
    <t>PEÑARANDA WATER DISTRICT</t>
  </si>
  <si>
    <t>SANDIGANBAYAN</t>
  </si>
  <si>
    <t>PAMPANGA STATE AGRICULTURAL UNIVERSITY</t>
  </si>
  <si>
    <t>MUNICIPALITY OF MASLOG, EASTERN SAMAR</t>
  </si>
  <si>
    <t>MUNICIPALITY OF SAN NARCISO, QUEZON</t>
  </si>
  <si>
    <t>SK OF BARANGAY SILANGAN DOS - ROSARIO CAVITE</t>
  </si>
  <si>
    <t>BARANGAY IHAN, KIBLAWAN, DAVAO DEL SUR</t>
  </si>
  <si>
    <t>TECHNICAL EDUCATION &amp; SKILLS DEVELOPMENT AUTHORITY - BUKIDNO</t>
  </si>
  <si>
    <t>CITY OF PAGADIAN, ZAMBOANGA DEL SUR</t>
  </si>
  <si>
    <t>CITY OF SAN CARLOS, NEGROS OCCIDENTAL</t>
  </si>
  <si>
    <t>BARANGAY CAIGANGAN VERUELA AGUSAN DEL SUR</t>
  </si>
  <si>
    <t>PHILIPPINE NATIONAL POLICE - LOGISTICS SUPPORT SERVICE</t>
  </si>
  <si>
    <t>405TH CONTRACTING OFFICE, AFP PROCUREMENT SERVICE</t>
  </si>
  <si>
    <t>BUYABOD ELEMENTARY SCHOOL - SANTA CRUZ SOUTH</t>
  </si>
  <si>
    <t>MUNICIPALITY OF STA. LUCIA , ILOCOS SUR</t>
  </si>
  <si>
    <t>BARANGAY PAMUL-OGAN - CABATUAN ILOILO</t>
  </si>
  <si>
    <t>BARANGAY NAMOCON - TIGBAUAN ILOILO</t>
  </si>
  <si>
    <t>BARANGAY STA. LUCIA - PASIG CITY</t>
  </si>
  <si>
    <t>DEPARTMENT OF ENVIRONMENT AND NATURAL RES. - PENRO, LUCENA</t>
  </si>
  <si>
    <t>BARANGAY BAGONG PAG-ASA - QUEZON CITY METRO MANILA</t>
  </si>
  <si>
    <t>MUNICIPALITY OF ALBUERA, LEYTE</t>
  </si>
  <si>
    <t>MAKATI SCIENCE HIGH SCHOOL</t>
  </si>
  <si>
    <t>BARANGAY BASAG, LIGAO, ALBAY</t>
  </si>
  <si>
    <t>PROVINCE OF QUIRINO</t>
  </si>
  <si>
    <t>BARANGAY MALINAO, NAUJAN, ORIENTAL MINDORO</t>
  </si>
  <si>
    <t>BARANGAY BARROC, TIGBAUAN, ILOILO</t>
  </si>
  <si>
    <t>MUNICIPALITY OF RONDA, CEBU</t>
  </si>
  <si>
    <t>BARANGAY ZONE 7, LIBON, ALBAY</t>
  </si>
  <si>
    <t>BARANGAY SACSAC - MANJUYOD NEGROS ORIENTAL</t>
  </si>
  <si>
    <t>SANGGUNIANG KABATAAN NG BARANGAY BISOCOL - ALAMINOS CITY PAN</t>
  </si>
  <si>
    <t>BARANGAY STA. EMELIA VERUELA AGUSAN DEL SUR</t>
  </si>
  <si>
    <t>MUNICIPALITY OF DINAPIGUE, ISABELA</t>
  </si>
  <si>
    <t>PROVINCE OF ZAMBOANGA DEL NORTE</t>
  </si>
  <si>
    <t>MUNICIPALITY OF CABATUAN, ILOILO</t>
  </si>
  <si>
    <t>NATIONAL POWER CORPORATION - MINDANAO GENERATION</t>
  </si>
  <si>
    <t>CLARK DEVELOPMENT CORPORATION</t>
  </si>
  <si>
    <t>MUNICIPALITY OF LOPEZ, QUEZON</t>
  </si>
  <si>
    <t>DEPARTMENT OF AGRICULTURE - REGION X</t>
  </si>
  <si>
    <t>MINDANAO STATE UNIVERSITY - GENERAL SANTOS CITY CAMPUS</t>
  </si>
  <si>
    <t>BARANGAY LIBOD - PANDAN, CATANDUANES</t>
  </si>
  <si>
    <t>BARANGAY 645, ZONE 67, DISTRICT VI, MANILA</t>
  </si>
  <si>
    <t>BARANGAY BUED, ALAMINOS, PANGASINAN</t>
  </si>
  <si>
    <t>DEPARTMENT OF SOCIAL WELFARE AND DEVELOPMENT - REGION X</t>
  </si>
  <si>
    <t>UNIVERSITY OF THE PHILIPPINES - BAGUIO</t>
  </si>
  <si>
    <t>MUNICIPALITY OF POLANCO, ZAMBOANGA DEL NORTE</t>
  </si>
  <si>
    <t>DEPARTMENT OF ENVIRONMENT AND NATURAL RES. - PENRO, MT. PROV</t>
  </si>
  <si>
    <t>MUNICIPALITY OF SAN ANTONIO, QUEZON</t>
  </si>
  <si>
    <t>DEPARTMENT OF PUBLIC WORKS AND HIGHWAYS - RIZAL 1ST ED</t>
  </si>
  <si>
    <t>DEPARTMENT OF THE INTERIOR AND LOCAL GOVERNMENT - CALAMBA</t>
  </si>
  <si>
    <t>DUYAY ELEMENTARY SCHOOL</t>
  </si>
  <si>
    <t>BARANGAY IPONAN, CAGAYAN DE ORO CITY</t>
  </si>
  <si>
    <t>COMMISSION ON AUDIT - MAIN</t>
  </si>
  <si>
    <t>MUNICIPALITY OF ANDA, BOHOL</t>
  </si>
  <si>
    <t>BARANGAY 12 SAN ISIDRO, LAOAG, ILOCOS NORTE</t>
  </si>
  <si>
    <t>MUNICIPALITY OF STA. MONICA, SURIGAO DEL NORTE</t>
  </si>
  <si>
    <t>BARANGAY CALABANIT, GLAN, SARANGANI</t>
  </si>
  <si>
    <t>BARANGAY STA.CRUZ, MAKATI CITY</t>
  </si>
  <si>
    <t>MUNICIPALITY OF CORDOVA, CEBU</t>
  </si>
  <si>
    <t>CABIAO WATER DISTRICT</t>
  </si>
  <si>
    <t>PROVINCIAL GOVERNMENT OF CAMARINES NORTE</t>
  </si>
  <si>
    <t>TUMARAS INTEGRATED SCHOOL - KIBAWE BUKIDNON</t>
  </si>
  <si>
    <t>DEPARTMENT OF SCIENCE AND TECHNOLOGY - REGION  III</t>
  </si>
  <si>
    <t>BARANGAY MALIGAYA - ROSARIO AGUSAN DEL SUR</t>
  </si>
  <si>
    <t>BARANGAY SABANG, LEGAZPI CITY</t>
  </si>
  <si>
    <t>ENVIRONMENTAL MANAGEMENT BUREAU - NCR, DENR</t>
  </si>
  <si>
    <t>BARANGAY AMIROY, MINA, ILOILO</t>
  </si>
  <si>
    <t>BARANGAY MALOBAGO, RAPU-RAPU, ALBAY</t>
  </si>
  <si>
    <t>MUNICIPALITY OF SAMAL, BATAAN</t>
  </si>
  <si>
    <t>BARANGAY STA. FILOMENA, DIPOLOG CITY, ZAMBOANGA DEL NORTE</t>
  </si>
  <si>
    <t>MUNICIPALITY OF FAMY, LAGUNA</t>
  </si>
  <si>
    <t>DEPARTMENT OF PUBLIC WORKS AND HIGHWAYS - METRO MANILA 3RD E</t>
  </si>
  <si>
    <t>DEPARTMENT OF HEALTH - NCR REGIONAL OFFICE(DOH-NCRO)</t>
  </si>
  <si>
    <t>MUNICIPALITY OF BARAS, CATANDUANES</t>
  </si>
  <si>
    <t>CITY OF SANTIAGO, ISABELA</t>
  </si>
  <si>
    <t>303RD CONTRACTING OFFICE, AFP PROCUREMENT SERVICE</t>
  </si>
  <si>
    <t>BARANGAY NAVOTAS SOUTH LAOAG CITY ILOCOS NORTE</t>
  </si>
  <si>
    <t>BARANGAY SILANGAN UNO - ROSARIO CAVITE</t>
  </si>
  <si>
    <t>HIMAMAYLAN NATIONAL HIGH SCHOOL(JUNIOR HIGH SCHOOL)-HIMAMAYL</t>
  </si>
  <si>
    <t>MUNICIPALITY OF MATANAO, DAVAO DEL SUR</t>
  </si>
  <si>
    <t>MUNICIPALITY OF GUTALAC, ZAMBOANGA DEL NORTE</t>
  </si>
  <si>
    <t>CITY OF MALAYBALAY, BUKIDNON</t>
  </si>
  <si>
    <t>VISTA ALEGRE-GRANADA RELOCATION ELEMENTARY SCHOOL-BACOLOD CI</t>
  </si>
  <si>
    <t>CITY OF ANTIPOLO, RIZAL</t>
  </si>
  <si>
    <t>MUNICIPALITY OF SAN NICOLAS, ILOCOS NORTE</t>
  </si>
  <si>
    <t>BARANGAY BAGONG BAYAN/I-C, SAN PABLO CITY</t>
  </si>
  <si>
    <t>BARANGAY PAWA, BOAC, MARINDUQUE</t>
  </si>
  <si>
    <t>DEPARTMENT OF EDUCATION - DIVISION OF NEGROS ORIENTAL</t>
  </si>
  <si>
    <t>BARANGAY ISABANG, LUCENA CITY</t>
  </si>
  <si>
    <t>MUNICIPALITY OF ALEOSAN, COTABATO</t>
  </si>
  <si>
    <t>MUNICIPALITY OF ITBAYAT, BATANES</t>
  </si>
  <si>
    <t>SURALLAH WATER DISTRICT</t>
  </si>
  <si>
    <t>BARANGAY 5 (SAGMIN) -  LEGAZPI CITY ALBAY REGION V</t>
  </si>
  <si>
    <t>BARANGAY CANDATAG, MALITBOG, SOUTHERN LEYTE</t>
  </si>
  <si>
    <t>EASTERN PANGASINAN AGRICULTURAL COLLEGE</t>
  </si>
  <si>
    <t>MUNICIPALITY OF BAUANG, LA UNION</t>
  </si>
  <si>
    <t>BUREAU OF PLANT INDUSTRY-BNCRDPSC</t>
  </si>
  <si>
    <t>CITY  OF CANLAON, NEGROS ORIENTAL</t>
  </si>
  <si>
    <t>MINDANAO CENTRAL SANITARIUM &amp; GENERAL HOSPITAL</t>
  </si>
  <si>
    <t>LAND MANAGEMENT BUREAU</t>
  </si>
  <si>
    <t>MUNICIPALITY OF PILAR, CEBU</t>
  </si>
  <si>
    <t>AMOINGON ELEMENTARY SCHOOL</t>
  </si>
  <si>
    <t>NORTHWESTERN MINDANAO STATE COLLEGE OF SCIENCE &amp; TECHNOLOGY</t>
  </si>
  <si>
    <t>MUNICIPALITY OF TINOC, IFUGAO</t>
  </si>
  <si>
    <t>DEPARTMENT OF PUBLIC WORKS AND HIGHWAYS - NEG. OCC. 1ST DEO</t>
  </si>
  <si>
    <t>MUNICIPALITY OF CABIAO, NUEVA ECIJA</t>
  </si>
  <si>
    <t>MUNICIPALITY OF CORCUERA, ROMBLON</t>
  </si>
  <si>
    <t>CITY OF DIGOS, DAVAO DEL SUR</t>
  </si>
  <si>
    <t>MUNICIPALITY OF BASISTA, PANGASINAN</t>
  </si>
  <si>
    <t>MUNICIPALITY OF MONCADA, TARLAC</t>
  </si>
  <si>
    <t>CITY OF PASSI, ILOILO</t>
  </si>
  <si>
    <t>PROVINCE OF KALINGA</t>
  </si>
  <si>
    <t>MUNICIPALITY OF CAVINTI, LAGUNA</t>
  </si>
  <si>
    <t>BARANAGY 44 - PAWA LEGAZPI CITY ALBAY</t>
  </si>
  <si>
    <t>CITY OF ILAGAN WATER DISTRICT</t>
  </si>
  <si>
    <t>MUNICIPALITY OF MAGALLANES, SORSOGON</t>
  </si>
  <si>
    <t>BUREAU OF PLANT INDUSTRY - LA GRANJA NCRDC</t>
  </si>
  <si>
    <t>MUNICIPALITY OF ALFONSO LISTA, IFUGAO</t>
  </si>
  <si>
    <t>MUNICIPALITY OF NEW LUCENA, ILOILO</t>
  </si>
  <si>
    <t>VALENCIA CITY WATER DISTRICT</t>
  </si>
  <si>
    <t>MUNICIPALITY OF UMINGAN, PANGASINAN</t>
  </si>
  <si>
    <t>MUNICIPALITY OF JASAAN , MISAMIS ORIENTAL</t>
  </si>
  <si>
    <t>TESDA - CABUCGAYAN NATIONAL SCHOOL OF ARTS AND TRADES</t>
  </si>
  <si>
    <t>ZAMBOANGA CITY MEDICAL CENTER</t>
  </si>
  <si>
    <t>MUNICIPALITY OF PONTEVEDRA, NEGROS OCCIDENTAL</t>
  </si>
  <si>
    <t>MUNICIPALITY OF BANAUE, IFUGAO</t>
  </si>
  <si>
    <t>DEPARTMENT OF TRADE AND INDUSTRY - REGION X</t>
  </si>
  <si>
    <t>NATIONAL IRRIGATION ADMINISTRATION - LAMISCA IMO</t>
  </si>
  <si>
    <t>MUNICIPALITY OF BOMBON , CAMARINES SUR</t>
  </si>
  <si>
    <t>MUNICIPALITY OF LLORENTE, EASTERN SAMAR</t>
  </si>
  <si>
    <t>BUREAU OF JAIL MANAGEMENT AND PENOLOGY - REGION II</t>
  </si>
  <si>
    <t>MUNICIPALITY OF JIABONG, SAMAR</t>
  </si>
  <si>
    <t>MUNICIPALITY OF MOLAVE, ZAMBOANGA DEL SUR</t>
  </si>
  <si>
    <t>MUNICIPALITY OF SAN LUIS, AGUSAN DEL SUR</t>
  </si>
  <si>
    <t>BARANGAY PASIL MALITBOG SOUTHERN LEYTE</t>
  </si>
  <si>
    <t>SCIENCE CITY OF MUÑOZ, NUEVA ECIJA</t>
  </si>
  <si>
    <t>ENVIRONMENTAL MANAGEMENT BUREAU-REGION XII</t>
  </si>
  <si>
    <t>DEPARTMENT OF AGRICULTURE - REGION VIII</t>
  </si>
  <si>
    <t>MUNICIPALITY OF SINDANGAN, ZAMBOANGA DEL NORTE</t>
  </si>
  <si>
    <t>DEPARTMENT OF PUBLIC WORKS AND HIGHWAYS - AGUSAN DEL SUR 1ST</t>
  </si>
  <si>
    <t>MUNICIPALITY OF LIAN, BATANGAS</t>
  </si>
  <si>
    <t>DEPARTMENT OF AGRARIAN REFORM - CAMARINES SUR A</t>
  </si>
  <si>
    <t>MUNICIPALITY OF MAIGO, LANAO DEL NORTE</t>
  </si>
  <si>
    <t>MUNICIPALITY OF HAGONOY, DAVAO DEL SUR</t>
  </si>
  <si>
    <t>NATIONAL IRRIGATION ADMINISTRATION - REGION X</t>
  </si>
  <si>
    <t>MARIANO MARCOS STATE UNIVERSITY</t>
  </si>
  <si>
    <t>MUNICIPALITY OF TITAY, ZAMBOANGA SIBUGAY</t>
  </si>
  <si>
    <t>KASIGLAHAN VILLAGE ELEMENTARY SCHOOL</t>
  </si>
  <si>
    <t>LINGI-ON ELEMENTARY SCHOOL</t>
  </si>
  <si>
    <t>108TH CONTRACTING OFFICE, AFP PROCUREMENT SERVICE</t>
  </si>
  <si>
    <t>CITY  OF HIMAMAYLAN, NEGROS OCCIDENTAL</t>
  </si>
  <si>
    <t>TECHNICAL EDUCATION &amp; SKILLS DEVELOPMENT AUTHORITY - MARIVEL</t>
  </si>
  <si>
    <t>BOAC SOUTH CENTRAL SCHOOL</t>
  </si>
  <si>
    <t>MUNICIPALITY OF LAGUINDINGAN, MISAMIS ORIENTAL</t>
  </si>
  <si>
    <t>CASTILLEJOS WATER DISTRICT</t>
  </si>
  <si>
    <t>103RD CONTRACTING OFFICE, AFP PROCUREMENT SERVICE</t>
  </si>
  <si>
    <t>DUMALAG VOCATIONAL TECHNICAL SCHOOL</t>
  </si>
  <si>
    <t>BUREAU OF CORRECTIONS - REGION IX</t>
  </si>
  <si>
    <t>PHILIPPINE SCIENCE HIGH SCHOOL - ILOCOS REGION CAMPUS</t>
  </si>
  <si>
    <t>BARANGAY 5, PASUQUIN, ILOCOS NORTE</t>
  </si>
  <si>
    <t>BARANGAY POBLACION, ALCALA, PANGASINAN</t>
  </si>
  <si>
    <t>LIMAY WATER DISTRICT</t>
  </si>
  <si>
    <t>BARANGAY GUADALUPE VIEJO, MAKATI CITY</t>
  </si>
  <si>
    <t>MUNICIPALITY OF MABALACAT, PAMPANGA</t>
  </si>
  <si>
    <t>MUNICIPALITY OF MATNOG , SORSOGON</t>
  </si>
  <si>
    <t>BARANGAY CANTAMUAC, MALITBOG, SOUTHERN LEYTE</t>
  </si>
  <si>
    <t>PHILIPPINE PORTS AUTHORITY - PMO SURIGAO</t>
  </si>
  <si>
    <t>MUNICIPALITY OF LLANERA, NUEVA ECIJA</t>
  </si>
  <si>
    <t>CAINGIN ELEMENTARY SCHOOL</t>
  </si>
  <si>
    <t>NORTHERN ILOILO POLYTECHNIC STATE COLLEGE</t>
  </si>
  <si>
    <t>SAN JOSE (DINAGAT ISLAND) WATER DISTRICT</t>
  </si>
  <si>
    <t>DEPARTMENT OF HEALTH - CHD, ZAMBOANGA PENINSULA</t>
  </si>
  <si>
    <t>CITY OF ILOILO</t>
  </si>
  <si>
    <t>MUNICIPALITY OF PINAMALAYAN, ORIENTAL MINDORO</t>
  </si>
  <si>
    <t>EASTERN SAMAR STATE UNIVERSITY - GUIUAN CAMPUS</t>
  </si>
  <si>
    <t>BARANGAY LOGUCAN - MARIA SIQUIJOR</t>
  </si>
  <si>
    <t>MUNICIPALITY OF ALCANTARA, ROMBLON</t>
  </si>
  <si>
    <t>LAND BANK OF THE PHILIPPINES</t>
  </si>
  <si>
    <t>DEPARTMENT OF SOCIAL WELFARE AND DEVELOPMENT - REGION V</t>
  </si>
  <si>
    <t>MUNICIPALITY OF ALCANTARA, CEBU</t>
  </si>
  <si>
    <t>MUNICIPALITY OF MABUHAY, ZAMBOANGA SIBUGAY</t>
  </si>
  <si>
    <t>MUNICIPALITY OF STA. CRUZ, ZAMBALES</t>
  </si>
  <si>
    <t>DEPARTMENT OF HEALTH - REGION XII</t>
  </si>
  <si>
    <t>NAGUILIAN WATER DISTRICT</t>
  </si>
  <si>
    <t>PHILIPPINE SCIENCE HIGH SCHOOL - REGION V</t>
  </si>
  <si>
    <t>NATIONAL BOOK DEVELOPMENT BOARD</t>
  </si>
  <si>
    <t>DEPARTMENT OF PUBLIC WORKS AND HIGHWAYS - MAIN</t>
  </si>
  <si>
    <t>MUNICIPALITY OF GANDARA, SAMAR</t>
  </si>
  <si>
    <t>NALA ELEMENTARY SCHOOL</t>
  </si>
  <si>
    <t>PROGRESO ELEMENTARY SCHOOL</t>
  </si>
  <si>
    <t>DEPARTMENT OF PUBLIC WORKS AND HIGHWAYS - SOUTH METRO MANILA</t>
  </si>
  <si>
    <t>DEPARTMENT OF PUBLIC WORKS AND HIGHWAYS - METRO MANILA 1ST E</t>
  </si>
  <si>
    <t>OFFICE OF THE OMBUDSMAN - MAIN OFFICE</t>
  </si>
  <si>
    <t>UNIVERSITY OF THE PHILIPPINES - LOS BAÑOS</t>
  </si>
  <si>
    <t>PALOMPON INSTITUTE OF TECHNOLOGY - TABANGO CAMPUS</t>
  </si>
  <si>
    <t>PROVINCE OF SAMAR</t>
  </si>
  <si>
    <t>MUNICIPALITY OF BARLIG MOUNTAIN PROVINCE</t>
  </si>
  <si>
    <t>PHILIPPINE INFORMATION AGENCY</t>
  </si>
  <si>
    <t>DEPARTMENT OF PUBLIC WORKS AND HIGHWAYS - DAVAO CITY II DEO</t>
  </si>
  <si>
    <t>UNIVERSITY OF THE PHILIPPINES - SYSTEM</t>
  </si>
  <si>
    <t>AGRICULTURAL TRAINING INSTITUTE - REGION I</t>
  </si>
  <si>
    <t>DEPARTMENT OF TRADE AND INDUSTRY - BOHOL PROVINCIAL OFFICE</t>
  </si>
  <si>
    <t>BARANGAY PACOL, NAGA CITY, CAMARINES SUR</t>
  </si>
  <si>
    <t>MUNICIPALITY OF ESPERANZA, AGUSAN DEL SUR</t>
  </si>
  <si>
    <t>NATIONAL NUTRITION COUNCIL - REGION V</t>
  </si>
  <si>
    <t>MUNICIPALITY OF IBAAN, BATANGAS</t>
  </si>
  <si>
    <t>CATANDUANES STATE COLLEGES</t>
  </si>
  <si>
    <t>NATIONAL IRRIGATION ADMINISTRATION - EASTERN-WESTERN SAMAR I</t>
  </si>
  <si>
    <t>BARANGAY POBLACION, KIBLAWAN, DAVAO DEL SUR</t>
  </si>
  <si>
    <t>MUNICIPALITY OF HERNANI, EASTERN SAMAR</t>
  </si>
  <si>
    <t>MUNICIPALITY OF BARCELONA, SORSOGON</t>
  </si>
  <si>
    <t>MUNICIPALITY OF SAN PABLO, ZAMBOANGA DEL SUR</t>
  </si>
  <si>
    <t>MUNICIPALITY OF MAAYON, CAPIZ</t>
  </si>
  <si>
    <t>MUNICIPALITY OF CORON, PALAWAN</t>
  </si>
  <si>
    <t>CAGAYAN DE ORO (BUGO) SCHOOL OF ARTS AND TRADES</t>
  </si>
  <si>
    <t>BARANGAY SALVACION, TRENTO, AGUSAN DEL SUR</t>
  </si>
  <si>
    <t>QUIRINO STATE UNIVERSITY</t>
  </si>
  <si>
    <t>MUNICIPALITY OF JAGNA, BOHOL</t>
  </si>
  <si>
    <t>BUREAU OF JAIL MANAGEMENT AND PENOLOGY - REGION IX</t>
  </si>
  <si>
    <t>DEPARTMENT OF EDUCATION - SCHOOLS DIVISION OF MT. PROVINCE</t>
  </si>
  <si>
    <t>TAMPARAN DISTRICT HOSPITAL- TAMPARAN LANAO DEL SUR</t>
  </si>
  <si>
    <t>DEPARTMENT OF EDUCATION - DIVISION OF AURORA</t>
  </si>
  <si>
    <t>MINISTRY OF THE INTERIOR AND LOCAL GOVERNMENT - BARMM</t>
  </si>
  <si>
    <t>MUNICIPALITY OF CARLES, ILOILO</t>
  </si>
  <si>
    <t>CANDON CITY WATER DISTRICT</t>
  </si>
  <si>
    <t>BARANGAY 849 ZONE 93 DISTRICT 6, MANILA</t>
  </si>
  <si>
    <t>MUNICIPALITY OF GARCIA-HERNANDEZ, BOHOL</t>
  </si>
  <si>
    <t>COTABATO FOUNDATION COLLEGE OF SCIENCE &amp; TECHNOLOGY</t>
  </si>
  <si>
    <t>MACTAN-CEBU INTERNATIONAL AIRPORT AUTHORITY</t>
  </si>
  <si>
    <t>KINAWE NATIONAL HIGH SCHOOL - LIBONA BUKIDNON</t>
  </si>
  <si>
    <t>MUNICIPALITY OF SAN FABIAN, PANGASINAN</t>
  </si>
  <si>
    <t>STO. DOMINGO INTEGRATED HIGH SCHOOL</t>
  </si>
  <si>
    <t>MUNICIPALITY OF LILA,  BOHOL</t>
  </si>
  <si>
    <t>MUNICIPALITY OF TALIBON, BOHOL</t>
  </si>
  <si>
    <t>BARANGAY AYALA ALABANG, MUNTINLUPA CITY</t>
  </si>
  <si>
    <t>MUNICIPALITY OF TUBLAY, BENGUET</t>
  </si>
  <si>
    <t>MARGOSATUBIG REGIONAL HOSPITAL</t>
  </si>
  <si>
    <t>CORAZON LOCSIN MONTELIBANO MEMORIAL REGIONAL HOSPITAL-DOH R6</t>
  </si>
  <si>
    <t>MUNICIPALITY OF LARENA, SIQUIJOR</t>
  </si>
  <si>
    <t>HALAPITAN NATIONAL HIGH SCHOOL</t>
  </si>
  <si>
    <t>STA. MARIA WATER DISTRICT</t>
  </si>
  <si>
    <t>BARANGAY CUTA, BATANGAS CITY</t>
  </si>
  <si>
    <t>BARANGAY BAGUMBAYAN, STA. CRUZ, LAGUNA</t>
  </si>
  <si>
    <t>MUNICIPALITY OF CURRIMAO, ILOCOS NORTE</t>
  </si>
  <si>
    <t>MUNICIPALITY OF TUMAUINI, ISABELA</t>
  </si>
  <si>
    <t>MACABLING ELEMENTARY SCHOOL</t>
  </si>
  <si>
    <t>DEPARTMENT OF ENVIRONMENT AND NATURAL RES. - PENRO, SAMAR</t>
  </si>
  <si>
    <t xml:space="preserve">TECHNICAL EDUCATION &amp; SKILLS DEVELOPMENT AUTHORITY - REGION </t>
  </si>
  <si>
    <t>MUNICIPALITY OF PILAR, BATAAN</t>
  </si>
  <si>
    <t>DEPARTMENT OF TRADE AND INDUSTRY - SORSOGON</t>
  </si>
  <si>
    <t>ALEJANDRA L. NAVARRO CENTRAL ELEMENTARY SCHOOL</t>
  </si>
  <si>
    <t>BARANGAY SICAYAB, DIPOLOG, ZAMBOANGA DEL NORTE</t>
  </si>
  <si>
    <t>MUNICIPALITY OF SOGOD, SOUTHERN LEYTE</t>
  </si>
  <si>
    <t>MUNICIPALITY OF SOLANO, NUEVA VIZCAYA</t>
  </si>
  <si>
    <t>BUREAU OF INTERNAL REVENUE - REVENUE REGION NO.18</t>
  </si>
  <si>
    <t>PROSPERIDAD WATER DISTRICT</t>
  </si>
  <si>
    <t>DEPARTMENT OF ENVIRONMENT AND NATURAL RES. - PENRO, PALAWAN</t>
  </si>
  <si>
    <t>MUNICIPALITY OF BADOC, ILOCOS NORTE</t>
  </si>
  <si>
    <t>BARANGAY 52-A SAN MATEO, LAOAG CITY</t>
  </si>
  <si>
    <t>PROVINCE OF AGUSAN DEL SUR</t>
  </si>
  <si>
    <t>BARANGAY TUBOD LAKEWOOD ZAMBOANGA DEL SUR</t>
  </si>
  <si>
    <t>MUNICIPALITY OF CALAUAG, QUEZON</t>
  </si>
  <si>
    <t>BARANGAY BUCAC, BAYUGAN, AGUSAN DEL SUR</t>
  </si>
  <si>
    <t>DEPARTMENT OF EDUCATION - DIVISION OF ILOILO</t>
  </si>
  <si>
    <t>MUNICIPALITY OF TAYTAY, PALAWAN</t>
  </si>
  <si>
    <t>BICOL MEDICAL CENTER</t>
  </si>
  <si>
    <t>BARANGAY SAN NICOLAS, SAN FERNANDO, PAMPANGA</t>
  </si>
  <si>
    <t>MUNICIPALITY OF SAN JOSE, DINAGAT ISLANDS</t>
  </si>
  <si>
    <t>MUNICIPALITY OF BANTAY, ILOCOS SUR</t>
  </si>
  <si>
    <t>MUNICIPALITY OF LEMERY, BATANGAS</t>
  </si>
  <si>
    <t>MUNICIPALITY OF HAMTIC, ANTIQUE</t>
  </si>
  <si>
    <t>MUNICIPALITY OF SAN GUILLERMO, ISABELA</t>
  </si>
  <si>
    <t>PROVINCE OF ABRA</t>
  </si>
  <si>
    <t>ENVIRONMENTAL MANAGEMENT BUREAU - CAR, DENR</t>
  </si>
  <si>
    <t>E. RODRIGUEZ VOCATIONAL HIGH SCHOOL</t>
  </si>
  <si>
    <t>TELABASTAGAN INTEGRATED SCHOOL</t>
  </si>
  <si>
    <t>MUNICIPALITY OF MAGALLANES, AGUSAN DEL NORTE</t>
  </si>
  <si>
    <t>BAYBAY CITY WATER DISTRICT</t>
  </si>
  <si>
    <t>AGRICULTURAL TRAINING INSTITUTE - REGION XI</t>
  </si>
  <si>
    <t>DON CARLOS CENTRAL ELEMENTARY SCHOOL</t>
  </si>
  <si>
    <t>MUNICIPALITY OF GEN. MAMERTO NATIVIDAD, NUEVA ECIJA</t>
  </si>
  <si>
    <t>DEPARTMENT OF PUBLIC WORKS AND HIGHWAYS - BATANES DEO</t>
  </si>
  <si>
    <t>BARANGAY CONCEPCION, HILONGOS, LEYTE</t>
  </si>
  <si>
    <t>BARANGAY TAGSING, LEON, ILOILO</t>
  </si>
  <si>
    <t xml:space="preserve">PROGRESO VILLAGE NATIONAL HIGH SCHOOL - BACOLOD CITY NEGROS </t>
  </si>
  <si>
    <t>BARANGAY DEL PILAR, SAN FERNANDO, PAMPANGA</t>
  </si>
  <si>
    <t>MINES AND GEO-SCIENCES BUREAU - REGION IV</t>
  </si>
  <si>
    <t>BARANGAY POBLACION, BURDEOS, QUEZON</t>
  </si>
  <si>
    <t>MUNICIPALITY OF LOBO, BATANGAS</t>
  </si>
  <si>
    <t>BARANGAY SOLANGON - SAN JUAN SIQUIJOR</t>
  </si>
  <si>
    <t>MUNICIPALITY OF SAN NARCISO, ZAMBALES</t>
  </si>
  <si>
    <t>MUNICIPALITY OF  MAWAB, COMPOSTELA VALLEY</t>
  </si>
  <si>
    <t>MUNICIPALITY OF BATO, CATANDUANES</t>
  </si>
  <si>
    <t>BARANGAY SAN AGUSTIN - SAN FERNANDO CITY, LA UNION</t>
  </si>
  <si>
    <t xml:space="preserve">PHILIPPINE SCIENCE HIGH SCHOOL - ZAMBOANGA PENINSULA REGION </t>
  </si>
  <si>
    <t>COMMISSION ON AUDIT - CAR</t>
  </si>
  <si>
    <t>BARANGAY MALARUHATAN, LIAN, BATANGAS</t>
  </si>
  <si>
    <t>VALENCIA NATIONAL HIGH SCHOOL</t>
  </si>
  <si>
    <t>BARANGAY OLOC, LAUA-AN, ANTIQUE</t>
  </si>
  <si>
    <t>BARANGAY PIO DEL PILAR, MAKATI CITY</t>
  </si>
  <si>
    <t>MUNICIPALITY OF MACO, COMPOSTELA VALLEY</t>
  </si>
  <si>
    <t>BUREAU OF FISHERIES AND AQUATIC RESOURCES REGION 1</t>
  </si>
  <si>
    <t>BARANGAY GARITAN, TAGUDIN, ILOCOS SUR</t>
  </si>
  <si>
    <t>CITY OF CANDON, ILOCOS SUR</t>
  </si>
  <si>
    <t>DEPARTMENT OF AGRARIAN REFORM - REGION X</t>
  </si>
  <si>
    <t>DEPARTMENT OF SOCIAL WELFARE AND DEVELOPMENT - REGION XII</t>
  </si>
  <si>
    <t>T. PAEZ INTEGRATED SCHOOL (HS)</t>
  </si>
  <si>
    <t>MUNICIPALITY OF SAN PASCUAL, BATANGAS</t>
  </si>
  <si>
    <t>BARANGAY TALACU-AN, LEON, ILOILO</t>
  </si>
  <si>
    <t>TELABASTAGAN ELEMENTARY SCHOOL</t>
  </si>
  <si>
    <t>BARANGAY PUALAS, TUBOD, LANAO DEL NORTE</t>
  </si>
  <si>
    <t>CIVIL AERONAUTICS BOARD</t>
  </si>
  <si>
    <t>MUNICIPALITY OF BURGOS, PANGASINAN</t>
  </si>
  <si>
    <t>DEPARTMENT OF PUBLIC WORKS AND HIGHWAYS - REGION IX</t>
  </si>
  <si>
    <t>MUNICIPALITY OF URBIZTONDO, PANGASINAN</t>
  </si>
  <si>
    <t>BARANGAY LAPAZ, VILLASIS, PANGASINAN</t>
  </si>
  <si>
    <t>MUNICIPALITY OF LUNA, LA UNION</t>
  </si>
  <si>
    <t>SMALL BUSINESS GUARANTEE AND FINANCE CORPORATION - MAKATI CI</t>
  </si>
  <si>
    <t>PHILIPPINE CARABAO CENTER AT CENTRAL MINDANAO UNIVERSITY</t>
  </si>
  <si>
    <t>MINISTRY OF BASIC HIGHER AND TECHNICAL EDUCATION -  BARMM</t>
  </si>
  <si>
    <t>MUNICIPALITY OF TINGLAYAN, KALINGA</t>
  </si>
  <si>
    <t>CITY OF SANTA ROSA, LAGUNA</t>
  </si>
  <si>
    <t>BARANGAY ALAMINOS - MADALAG AKLAN</t>
  </si>
  <si>
    <t>MUNICIPALITY OF SAN JACINTO, PANGASINAN</t>
  </si>
  <si>
    <t>MUNICIPALITY OF TUBAJON, DINAGAT ISLANDS</t>
  </si>
  <si>
    <t>PHILIPPINE STATISTICS AUTHORITY - REGION VI</t>
  </si>
  <si>
    <t>BATAAN PENINSULA STATE UNIVERSITY</t>
  </si>
  <si>
    <t>PROVINCE OF IFUGAO</t>
  </si>
  <si>
    <t>BOCBOC NATIONAL HIGH SCHOOL</t>
  </si>
  <si>
    <t>MUNICIPALITY OF BOCAUE, BULACAN</t>
  </si>
  <si>
    <t>SURIGAO STATE COLLEGE OF TECHNOLOGY</t>
  </si>
  <si>
    <t>DEPARTMENT OF PUBLIC WORKS AND HIGHWAYS - IFUGAO</t>
  </si>
  <si>
    <t>DEPARTMENT OF EDUCATION - DIVISION OF TAGUIG AND PATEROS</t>
  </si>
  <si>
    <t>BALUGO ELEMENTARY SCHOOL</t>
  </si>
  <si>
    <t>DEPARTMENT OF ENVIRONMENT AND NATURAL RESOURCES - REGION I</t>
  </si>
  <si>
    <t>BARANGAY STO. ANGEL - SAN PABLO CITY</t>
  </si>
  <si>
    <t>MUNICIPALITY OF TUBOD, LANAO DEL NORTE</t>
  </si>
  <si>
    <t>BARANGAY CEMBO, MAKATI CITY</t>
  </si>
  <si>
    <t>FOREST MANAGEMENT BUREAU ,DENR</t>
  </si>
  <si>
    <t>MUNICIPALITY OF SAN RAFAEL, BULACAN</t>
  </si>
  <si>
    <t>BARANGAY BANJO WEST, TANAUAN CITY, BATANGAS</t>
  </si>
  <si>
    <t>MUNICIPALITY OF PANDAG BULUAN MAGUINDANAO</t>
  </si>
  <si>
    <t>CADIZ VIEJO ELEMENTARY SCHOOL</t>
  </si>
  <si>
    <t>CITY OF IMUS -  CAVITE</t>
  </si>
  <si>
    <t>BARANGAY SAN ANTONIO, SAN PASCUAL, BATANGAS</t>
  </si>
  <si>
    <t>BINALONAN WATER DISTRICT</t>
  </si>
  <si>
    <t>BARANGAY CUMBA, BATANGAS CITY</t>
  </si>
  <si>
    <t>DEPARTMENT OF EDUCATION - DIVISION OF CATBALOGAN CITY</t>
  </si>
  <si>
    <t>407TH CONTRACTING OFFICE, AFP PROCUREMENT SERVICE</t>
  </si>
  <si>
    <t>DOH-REGIONAL OFFICE IV-A</t>
  </si>
  <si>
    <t>BARANGAY BUCAL 3A - MARAGONDON CAVITE</t>
  </si>
  <si>
    <t>PHILIPPINE HEALTH INSURANCE CORPORATION - REGION VI</t>
  </si>
  <si>
    <t xml:space="preserve">VISAYAS STATE UNIVERSITY-VILLABA </t>
  </si>
  <si>
    <t>MUNICIPALITY OF BAGUMBAYAN, SULTAN KUDARAT</t>
  </si>
  <si>
    <t>SOCIAL SECURITY SYSTEM</t>
  </si>
  <si>
    <t>PROVINCE OF PANGASINAN</t>
  </si>
  <si>
    <t>BARANGAY POLOPINA, CONCEPCION, ILOILO</t>
  </si>
  <si>
    <t>BARANGAY CALUMPANG, GENERAL SANTOS CITY, SOUTH COTABATO</t>
  </si>
  <si>
    <t>BARANGAY TABOK, MANDAUE CITY</t>
  </si>
  <si>
    <t>NATIONAL ECONOMIC AND DEVELOPMENT AUTHORITY - MAIN</t>
  </si>
  <si>
    <t>MUNICIPALITY OF PALO - LEYTE LEYTE</t>
  </si>
  <si>
    <t>BARANGAY POBLACION - JETAFE BOHOL</t>
  </si>
  <si>
    <t>BARANGAY CATALUNAN GRANDE, DAVAO CITY</t>
  </si>
  <si>
    <t>BARANGAY BONUAN GUESET, DAGUPAN CITY</t>
  </si>
  <si>
    <t>BARANGAY  AMERANG - MAASIN ILOILO</t>
  </si>
  <si>
    <t>BARANGAY BUCAL CALATAGAN BATANGAS</t>
  </si>
  <si>
    <t>MUNICIPALITY OF BAROTAC VIEJO, ILOILO</t>
  </si>
  <si>
    <t>MARAGONDON WATER DISTRICT</t>
  </si>
  <si>
    <t>MUNICIPALITY OF MAGALLANES, CAVITE</t>
  </si>
  <si>
    <t>TALAVERA CENTRAL SCHOOL</t>
  </si>
  <si>
    <t>NATIONAL IRRIGATION ADMINISTRATION - LARISIP</t>
  </si>
  <si>
    <t>AMAI PAKPAK MEDICAL CENTER</t>
  </si>
  <si>
    <t>MUNICIPALITY OF MAASIM, SARANGANI</t>
  </si>
  <si>
    <t>LA ROXAS ELEMENTARY SCHOOL</t>
  </si>
  <si>
    <t>NATIONAL POWER CORPORATION - SPUG VISAYAS</t>
  </si>
  <si>
    <t>DEPARTMENT OF PUBLIC WORKS AND HIGHWAYS - EASTERN SAMAR DEO</t>
  </si>
  <si>
    <t>GMA WATER DISTRICT</t>
  </si>
  <si>
    <t>MUNICIPALITY OF LABANGAN, ZAMBOANGA DEL SUR</t>
  </si>
  <si>
    <t>MUNICIPALITY OF ALABEL, SARANGANI PROVINCE</t>
  </si>
  <si>
    <t>BARANGAY POBLACION I, CALATAGAN, BATANGAS</t>
  </si>
  <si>
    <t>MUNICIPALITY OF BANTON, ROMBLON</t>
  </si>
  <si>
    <t>BARANGAY POBLACION ZONE II - ESTANCIA ILOILO</t>
  </si>
  <si>
    <t>MUNICIPALITY OF CATANAUAN, QUEZON</t>
  </si>
  <si>
    <t>SAN MANUEL WATER DISTRICT</t>
  </si>
  <si>
    <t>HAGPA ELEMENTARY SCHOOL</t>
  </si>
  <si>
    <t>DEPARTMENT OF EDUCATION - DIVISION OF MALABON</t>
  </si>
  <si>
    <t>BARANGAY SAN PEDRO, SAN QUINTIN, PANGASINAN</t>
  </si>
  <si>
    <t>PROVINCE OF LEYTE</t>
  </si>
  <si>
    <t>BARANGAY DALIG, ANTIPOLO CITY</t>
  </si>
  <si>
    <t>MUNICIPALITY OF QUEZON , BUKIDNON</t>
  </si>
  <si>
    <t>MOUNTAIN PROVINCE STATE POLYTECHNIC COLLEGE</t>
  </si>
  <si>
    <t>ANGAT WATER DISTRICT</t>
  </si>
  <si>
    <t>SANTA ROSA (NE) WATER DISTRICT</t>
  </si>
  <si>
    <t>MUNICIPALITY OF BATARAZA</t>
  </si>
  <si>
    <t>SAN LORENZO RUIZ WOMEN'S HOSPITAL</t>
  </si>
  <si>
    <t>PHILIPPINE NAVY PROCUREMENT CENTER, AFP PROCUREMENT SERVICE</t>
  </si>
  <si>
    <t>CITY OF BAYAWAN, NEGROS ORIENTAL</t>
  </si>
  <si>
    <t>PNOC RENEWABLES CORPORATION</t>
  </si>
  <si>
    <t>BARANGAY 14 BANCAL, CARMONA, CAVITE</t>
  </si>
  <si>
    <t>MUNICIPALITY OF SABTANG, BATANES</t>
  </si>
  <si>
    <t>CEBU TECHNOLOGICAL UNIVERSITY</t>
  </si>
  <si>
    <t>DEPARTMENT OF PUBLIC WORKS AND HIGHWAYS - SORSOGON 1ST DEO</t>
  </si>
  <si>
    <t>BARANGAY LIOAC SUR, NAGUILIAN, LA UNION</t>
  </si>
  <si>
    <t>MUNICIPALITY OF STA. MARCELA, APAYAO</t>
  </si>
  <si>
    <t>BARANGAY STA ROSA - DANAO CITY CEBU</t>
  </si>
  <si>
    <t>BARANGAY CATULAYAN - SAN JUAN SIQUIJOR</t>
  </si>
  <si>
    <t>CAMARINES SUR INSTITUTE OF FISHERIES AND MARINE SCIENCES</t>
  </si>
  <si>
    <t>TESDA WOMEN'S CENTER</t>
  </si>
  <si>
    <t>DEPARTMENT OF PUBLIC WORKS AND HIGHWAYS - ZAMBOANGA CITY DEO</t>
  </si>
  <si>
    <t>BARANGAY BAGTIC - CATIGBIAN BOHOL</t>
  </si>
  <si>
    <t>BARANGAY DAP-DAP, RAPU-RAPU, ALBAY</t>
  </si>
  <si>
    <t>CALULUT ELEMENTARY SCHOOL</t>
  </si>
  <si>
    <t>BARANGAY MALIM - TABINA ZAMBOANGA DEL SUR</t>
  </si>
  <si>
    <t>MUNICIPALITY OF LAUR, NUEVA ECIJA</t>
  </si>
  <si>
    <t>DA - PHILIPPINE RURAL DEVELOPMENT PROJECT - PSO LUZON A</t>
  </si>
  <si>
    <t>DEPARTMENT OF PUBLIC WORKS AND HIGHWAYS - SOUTHERN LEYTE DEO</t>
  </si>
  <si>
    <t>MUNICIPALITY OF MANGATAREM, PANGASINAN</t>
  </si>
  <si>
    <t>MUNICIPALITY OF TAPAZ, CAPIZ</t>
  </si>
  <si>
    <t>ANTONIO V. APOSTOL SR. MEMORIAL CENTRAL ELEMENTARY SCHOOL</t>
  </si>
  <si>
    <t>BARANGAY SAGRADA, RAPU-RAPU, ALBAY</t>
  </si>
  <si>
    <t>NATIONAL IRRIGATION ADMINISTRATION - COMPOSTELA VALLEY</t>
  </si>
  <si>
    <t>MINISTRY OF HUMAN SETTLEMENTS AND DEVELOPMENT - COTABATO CIT</t>
  </si>
  <si>
    <t>PHILIPPINE STATISTICS AUTHORITY</t>
  </si>
  <si>
    <t>BARANGAY JANAO JANAO - SAN JUAN BATANGAS</t>
  </si>
  <si>
    <t>DEPARTMENT OF EDUCATION - DIVISION OF OZAMIZ CITY</t>
  </si>
  <si>
    <t>BARANGAY STA. ANASTACIA, STO. TOMAS, BATANGAS</t>
  </si>
  <si>
    <t>MUNICIPALITY OF VALENCIA, NEGROS ORIENTAL</t>
  </si>
  <si>
    <t>BARANGAY CASIT-AN, LAUA-AN, ANTIQUE</t>
  </si>
  <si>
    <t>DEPARTMENT OF PUBLIC WORKS AND HIGHWAYS - IFUGAO 2ND DEO</t>
  </si>
  <si>
    <t>DEPARTMENT OF AGRICULTURE - PALAWAN</t>
  </si>
  <si>
    <t>PHILIPPINE STATISTICS AUTHORITY - REGION VIII</t>
  </si>
  <si>
    <t>MUNICIPALITY OF DUMANGAS, ILOILO</t>
  </si>
  <si>
    <t>BARANGAY MERCEDES - MADALAG AKLAN</t>
  </si>
  <si>
    <t>UNIVERSITY OF SOUTHEASTERN PHIL.  - TAGUM MABINI CAMPUS</t>
  </si>
  <si>
    <t>DEPARTMENT OF PUBLIC WORKS AND HIGHWAYS - ILOCOS SUR 1ST DEO</t>
  </si>
  <si>
    <t>BARANGAY JINALINAN, LAUA-AN, ANTIQUE</t>
  </si>
  <si>
    <t>BUREAU OF FISHERIES AND AQUATIC RESOURCES</t>
  </si>
  <si>
    <t>DEPARTMENT OF EDUCATION - DIVISION OF DAVAO ORIENTAL</t>
  </si>
  <si>
    <t>BARANGAY POBLACION, RAPU-RAPU, ALBAY</t>
  </si>
  <si>
    <t>SK OF BARANGAY WAWA 1 - ROSARIO CAVITE</t>
  </si>
  <si>
    <t>BARANGAY HIGOSO-AN, TOMAS OPPUS, SOUTHERN LEYTE</t>
  </si>
  <si>
    <t>NORTHVILLE ELEMENTARY SCHOOL</t>
  </si>
  <si>
    <t>MUNICIPALITY OF MALINAO, ALBAY</t>
  </si>
  <si>
    <t>BUREAU OF IMMIGRATION</t>
  </si>
  <si>
    <t>DEPARTMENT OF PUBLIC WORKS AND HIGHWAYS - LAGUNA II DEO</t>
  </si>
  <si>
    <t>SOUTHVILLE 1 ELEMENTARY SCHOOL</t>
  </si>
  <si>
    <t xml:space="preserve">DEPARTMENT OF PUBLIC WORKS AND HIGHWAYS - ZAMBOANGA DEL SUR </t>
  </si>
  <si>
    <t>BARANGAY PULARAQUEN, TAYTAY, PALAWAN</t>
  </si>
  <si>
    <t>CITY OF TANDAG, SURIGAO DEL SUR</t>
  </si>
  <si>
    <t>BARANGAY LATAZON, LAUA-AN, ANTIQUE</t>
  </si>
  <si>
    <t>DEPARTMENT OF EDUCATION - DIVISION OF QUIRINO</t>
  </si>
  <si>
    <t>BARANGAY 742, ZONE 80, DISTRICT V, MANILA</t>
  </si>
  <si>
    <t>CITY OF GUIHULNGAN, NEGROS ORIENTAL</t>
  </si>
  <si>
    <t>BARANGAY TINOCAWAN, RAPU-RAPU, ALBAY</t>
  </si>
  <si>
    <t>MUNICIPALITY OF BOAC, MARINDUQUE</t>
  </si>
  <si>
    <t>BARANGAY PANIPIASON - MADALAG AKLAN</t>
  </si>
  <si>
    <t>BUREAU OF CUSTOMS - PORT OF LIMAY</t>
  </si>
  <si>
    <t>BARANGAY TOGONG, BANTON, ROMBLON</t>
  </si>
  <si>
    <t>UNIVERSITY OF THE PHILIPPINES - OPEN UNIVERSITY</t>
  </si>
  <si>
    <t>BENIGNO V. ALDANA NATIONAL HIGH SCHOOL</t>
  </si>
  <si>
    <t>MUNICIPALITY OF NASUGBU, BATANGAS</t>
  </si>
  <si>
    <t>BARANGAY BATAN, RAPU-RAPU, ALBAY</t>
  </si>
  <si>
    <t>BARANGAY LUGTA, LAUA-AN, ANTIQUE</t>
  </si>
  <si>
    <t>MUNICIPALITY OF TUDELA, CEBU</t>
  </si>
  <si>
    <t>MUNICIPALITY OF TAGUDIN, ILOCOS SUR</t>
  </si>
  <si>
    <t>PHILIPPINE CARABAO CENTER AT UBAY STOCK FARM</t>
  </si>
  <si>
    <t>MUNICIPALITY OF MARIHATAG, SURIGAO DEL SUR</t>
  </si>
  <si>
    <t>NORZAGARAY WATER DISTRICT</t>
  </si>
  <si>
    <t>MALAYBALAY CITY WATER DISTRICT</t>
  </si>
  <si>
    <t>BARANGAY MAPORONG, OAS, ALBAY</t>
  </si>
  <si>
    <t>PROVINCE OF LANAO DEL NORTE</t>
  </si>
  <si>
    <t>OROQUIETA CITY WATER DISTRICT</t>
  </si>
  <si>
    <t>TIAONG WATER DISTRICT</t>
  </si>
  <si>
    <t>DEPARTMENT OF EDUCATION - DIVISION OF CITY SCHOOLS, NAVOTAS</t>
  </si>
  <si>
    <t>MUNICIPALITY OF SOCORRO, ORIENTAL MINDORO</t>
  </si>
  <si>
    <t>DAGUNDALHON ELEMENTARY SCHOOL - TALAKAG, BUKIDNON</t>
  </si>
  <si>
    <t>MUNICIPALITY OF MAGSAYSAY, DAVAO DEL SUR</t>
  </si>
  <si>
    <t>BARANGAY IRISAN, BAGUIO CITY</t>
  </si>
  <si>
    <t>DEPARTMENT OF LABOR AND EMPLOYMENT - REGION VI</t>
  </si>
  <si>
    <t>DEPARTMENT OF PUBLIC WORKS AND HIGHWAYS - LANAO DEL NORTE 1S</t>
  </si>
  <si>
    <t>DEPARTMENT OF SOCIAL WELFARE AND DEVELOPMENT - REGION XI</t>
  </si>
  <si>
    <t>BARANGAY  DIOLEN - MUTIA ZAMBOANGA DEL NORTE</t>
  </si>
  <si>
    <t>BARANGAY LAUA-AN, LAUA-AN, ANTIQUE</t>
  </si>
  <si>
    <t>BARANGAY NG CALPI - MATNOG SORSOGON</t>
  </si>
  <si>
    <t>BARANGAY STA. MONICA, CONCEPCION, TARLAC</t>
  </si>
  <si>
    <t>MASBATE-MOBO WATER DISTRICT</t>
  </si>
  <si>
    <t>PHILIPPINE PHARMA PROCUREMENT, INC.</t>
  </si>
  <si>
    <t>TAYSAN NATIONAL HIGH SCHOOL (DEP-ED)</t>
  </si>
  <si>
    <t>BARANGAY MAASIN, IPIL, ZAMBOANGA SIBUGAY</t>
  </si>
  <si>
    <t>MUNICIPALITY OF OBANDO, BULACAN</t>
  </si>
  <si>
    <t>PROVINCE OF SOUTH COTABATO</t>
  </si>
  <si>
    <t>BARANGAY MASAGA, RAPU-RAPU, ALBAY</t>
  </si>
  <si>
    <t>ABRA STATE INSTITUTE OF SCIENCES AND TECHNOLOGY - BANGUED</t>
  </si>
  <si>
    <t>BARANGAY PANDANAN, LAUA-AN, ANTIQUE</t>
  </si>
  <si>
    <t>ILOILO FISH PORT COMPLEX</t>
  </si>
  <si>
    <t>MUNICIPALITY OF MAYANTOC, TARLAC</t>
  </si>
  <si>
    <t>DEPARTMENT OF SOCIAL WELFARE AND DEVELOPMENT - TACLOBAN</t>
  </si>
  <si>
    <t>DEPARTMENT OF EDUCATION - REGION XII</t>
  </si>
  <si>
    <t>BARANGAY BUYOG - JETAFE BOHOL</t>
  </si>
  <si>
    <t>MUNICIPALITY OF MERCEDES, EASTERN SAMAR</t>
  </si>
  <si>
    <t>MUNICIPALITY OF MASINLOC, ZAMBALES</t>
  </si>
  <si>
    <t>PHILIPPINE CENTER FOR POSTHARVEST DEV'T AND MECHANIZATION</t>
  </si>
  <si>
    <t>305TH CONTRACTING OFFICE, AFP PROCUREMENT SERVICE</t>
  </si>
  <si>
    <t>BARANGAY MARIA, LAUA-AN, ANTIQUE</t>
  </si>
  <si>
    <t>PHILIPPINE INTERNATIONAL TRADING CORPORATION</t>
  </si>
  <si>
    <t>CITY OF BOGO, CEBU</t>
  </si>
  <si>
    <t>CITY OF GENERAL TRIAS, CAVITE</t>
  </si>
  <si>
    <t>BARANGAY PANIKI, BAGABAG, NUEVA VIZCAYA</t>
  </si>
  <si>
    <t>DEPARTMENT OF PUBLIC WORKS AND HIGHWAYS - DAVAO DEL NORTE DE</t>
  </si>
  <si>
    <t>CIVIL SERVICE COMMISSION - REGION IV</t>
  </si>
  <si>
    <t>MUNICIPALITY OF TALAKAG, BUKIDNON</t>
  </si>
  <si>
    <t>404TH CONTRACTING OFFICE, AFP PROCUREMENT SERVICE</t>
  </si>
  <si>
    <t>ILOCOS NORTE AGRICULTURAL COLLEGE SENIOR HIGH SCHOOL</t>
  </si>
  <si>
    <t>DEPARTMENT OF PUBLIC WORKS AND HIGHWAYS - PAMPANGA 1ST DEO</t>
  </si>
  <si>
    <t>BARANGAY NECESITO, LAUA-AN, ANTIQUE</t>
  </si>
  <si>
    <t>PROVINCE OF ZAMBOANGA DEL SUR</t>
  </si>
  <si>
    <t>MUNICIPALITY OF MARIPIPI, BILIRAN</t>
  </si>
  <si>
    <t>SOCIAL SECURITY SYSTEM - WESTERN VISAYAS DIVISION 1</t>
  </si>
  <si>
    <t xml:space="preserve">DEPARTMENT OF PUBLIC WORKS AND HIGHWAYS - CAMARINES SUR 2ND </t>
  </si>
  <si>
    <t>MUNICIPALITY OF NAUJAN, ORIENTAL MINDORO</t>
  </si>
  <si>
    <t>CITY OF MUNTINLUPA</t>
  </si>
  <si>
    <t>MUNICIPALITY OF ISULAN, SULTAN KUDARAT</t>
  </si>
  <si>
    <t>CENTRAL LUZON STATE UNIVERSITY</t>
  </si>
  <si>
    <t>BARANGAY TUNGONAN</t>
  </si>
  <si>
    <t>BUREAU OF FISHERIES AND AQUATIC RESOURCES CARAGA</t>
  </si>
  <si>
    <t>BARANGAY VILLAHERMOSA, RAPU-RAPU, ALBAY</t>
  </si>
  <si>
    <t>CIVIL AVIATION AUTHORITY OF THE PHILIPPINES - DUMAGUETE</t>
  </si>
  <si>
    <t>MUNICIPALITY OF BUHI, CAMARINES SUR</t>
  </si>
  <si>
    <t>BARANGAY IV-C, SAN PABLO CITY</t>
  </si>
  <si>
    <t>PHILIPPINE INFORMATION AGENCY - REGION IX</t>
  </si>
  <si>
    <t>UNIVERSITY OF ANTIQUE-HAMTIC CAMPUS</t>
  </si>
  <si>
    <t>MARIKINA POLYTECHNIC COLLEGE</t>
  </si>
  <si>
    <t>MUNICIPALITY OF LA TRINIDAD, BENGUET</t>
  </si>
  <si>
    <t>MUNICIPALITY OF CAOAYAN, ILOCOS SUR</t>
  </si>
  <si>
    <t>MUNICIPALITY OF KAPANGAN, BENGUET</t>
  </si>
  <si>
    <t>403RD CONTRACTING OFFICE, AFP PROCUREMENT SERVICE</t>
  </si>
  <si>
    <t>MUNICIPAL GOVERNMENT OF DELFIN ALBANO, ISABELA</t>
  </si>
  <si>
    <t>DEPARTMENT OF PUBLIC WORKS AND HIGHWAYS - PANGASINAN 3RD DEO</t>
  </si>
  <si>
    <t>BARANGAY 671 ZONE 73 DISTRICT V MANILA</t>
  </si>
  <si>
    <t>BARANGAY ANISLAGAN, NABUNTURAN, COMPOSTELA VALLEY</t>
  </si>
  <si>
    <t>MUNICIPALITY OF PUERTO GALERA, ORIENTAL MINDORO</t>
  </si>
  <si>
    <t>BARANGAY GUADALUPE, RAPU-RAPU, ALBAY</t>
  </si>
  <si>
    <t>LEGAZPI CITY WATER DISTRICT</t>
  </si>
  <si>
    <t>DEPARTMENT OF PUBLIC WORKS AND HIGHWAYS - REGION VIII</t>
  </si>
  <si>
    <t>MUNICIPALITY OF SIGMA, CAPIZ</t>
  </si>
  <si>
    <t>BARANGAY LIBJO - BATANGAS CITY</t>
  </si>
  <si>
    <t>MUNICIPALITY OF BONTOC, SOUTHERN LEYTE</t>
  </si>
  <si>
    <t>DEPARTMENT OF PUBLIC WORKS AND HIGHWAYS - MISAMIS ORIENTAL 2</t>
  </si>
  <si>
    <t>CARAGA STATE UNIVERSITY</t>
  </si>
  <si>
    <t>MUNICIPALITY OF SAN JOAQUIN, ILOILO</t>
  </si>
  <si>
    <t>MUNICIPALITY OF AGOO, LA UNION</t>
  </si>
  <si>
    <t>MUNICIPALITY OF ANGAT, BULACAN</t>
  </si>
  <si>
    <t>MUNICIPALITY OF TAGANA-AN, SURIGAO DEL NORTE</t>
  </si>
  <si>
    <t>BARANGAY HAMORWON, RAPU-RAPU, ALBAY</t>
  </si>
  <si>
    <t>BARANGAY CABISILAN, BAUANG, LA UNION</t>
  </si>
  <si>
    <t>DEPARTMENT OF EDUCATION - MIMAROPA REGION</t>
  </si>
  <si>
    <t>NATIONAL POWER CORPORATION - SPUG LUZON</t>
  </si>
  <si>
    <t>MUNICIPALITY OF SANTA IGNACIA, TARLAC</t>
  </si>
  <si>
    <t>BARANGAY LIBTONG, BANTON, ROMBLON</t>
  </si>
  <si>
    <t>HALAPITAN CENTRAL ELEMENTARY SCHOOL</t>
  </si>
  <si>
    <t>MUNICIPALITY OF BAYAMBANG - PANGASINAN</t>
  </si>
  <si>
    <t>DEPARTMENT OF PUBLIC WORKS AND HIGHWAYS - LEYTE 2ND DEO</t>
  </si>
  <si>
    <t>MUNICIPALITY OF LA PAZ, AGUSAN DEL SUR</t>
  </si>
  <si>
    <t>INFANTA (QUEZON) WATER DISTRICT</t>
  </si>
  <si>
    <t>PROVINCE OF DAVAO ORIENTAL</t>
  </si>
  <si>
    <t>SAGASAN ELEMENTARY SCHOOL - SAN PABLO ZAMBOANGA DEL SUR</t>
  </si>
  <si>
    <t>FOOD AND DRUG ADMINISTRATION</t>
  </si>
  <si>
    <t>LABANGAN CENTRAL ELEMENTARY SCHOOL</t>
  </si>
  <si>
    <t>SAN JOSE CITY NATIONAL HIGH SCHOOL-SENIOR HIGH SCHOOL</t>
  </si>
  <si>
    <t>MUNICIPALITY OF MARAGUSAN COMPOSTELA VALLEY</t>
  </si>
  <si>
    <t>MUNICIPALITY OF SOLSONA, ILOCOS NORTE</t>
  </si>
  <si>
    <t>MUNICIPALITY OF MAKILALA, NORTH COTABATO</t>
  </si>
  <si>
    <t>PRESIDENTIAL MANAGEMENT STAFF</t>
  </si>
  <si>
    <t>MUNICIPALITY OF DIMATALING, ZAMBOANGA DEL SUR</t>
  </si>
  <si>
    <t>BARANGAY SAN GABRIEL - MACABEBE, PAMPANGA</t>
  </si>
  <si>
    <t>BUREAU OF FISHERIES AND AQUATIC RESOURCES 9</t>
  </si>
  <si>
    <t>MUNICIPALITY OF BATO, LEYTE</t>
  </si>
  <si>
    <t>PROVINCE OF APAYAO</t>
  </si>
  <si>
    <t>BARANGAY SAN ANTONIO DARAM SAMAR</t>
  </si>
  <si>
    <t>MUNICIPALITY OF SAN JOSE, CAMARINES SUR</t>
  </si>
  <si>
    <t>PROVINCE OF CAVITE</t>
  </si>
  <si>
    <t>MUNICIPALITY OF LA CASTELLANA, NEGROS OCCIDENTAL</t>
  </si>
  <si>
    <t>PROVINCE OF NEGROS ORIENTAL</t>
  </si>
  <si>
    <t>MUNICIPALITY OF NORZAGARAY, BULACAN</t>
  </si>
  <si>
    <t>BARANGAY DITA, CUENCA, BATANGAS</t>
  </si>
  <si>
    <t>BARANGAY VIRGO - CAVITE CITY</t>
  </si>
  <si>
    <t>MUNICIPALITY OF BAYABAS, SURIGAO DEL SUR</t>
  </si>
  <si>
    <t>PHILIPPINE PORTS AUTHORITY - PMO SOUTH HARBOR</t>
  </si>
  <si>
    <t>PAMANTASAN NG LUNGSOD NG MAYNILA</t>
  </si>
  <si>
    <t>CITY OF CABUYAO, LAGUNA</t>
  </si>
  <si>
    <t>MUNICIPALITY OF PILAR, SORSOGON</t>
  </si>
  <si>
    <t>DEPED-ROVI-DIVISION OF AKLAN</t>
  </si>
  <si>
    <t>PHILIPPINE STATISTICS AUTHORITY - LAGUNA</t>
  </si>
  <si>
    <t>TECHNICAL EDUCATION &amp; SKILLS DEVELOPMENT AUTHORITY - CAR</t>
  </si>
  <si>
    <t>CIVIL AVIATION AUTHORITY OF THE PHILIPPINES - AREA VIII</t>
  </si>
  <si>
    <t>MUNICIPALITY OF KANANGA, LEYTE</t>
  </si>
  <si>
    <t>LIGA NG MGA BARANGAY BATO, LEYTE CHAPTER</t>
  </si>
  <si>
    <t>DEPARTMENT OF ENVIRONMENT AND NATURAL RESOURCES - CENRO TALI</t>
  </si>
  <si>
    <t>MUNICIPALITY OF CALAMBA, MISAMIS OCCIDENTAL</t>
  </si>
  <si>
    <t>MUNICIPALITY OF GUIUAN, EASTERN SAMAR</t>
  </si>
  <si>
    <t>BUREAU OF INTERNAL REVENUE - REVENUE REGION NO. 12</t>
  </si>
  <si>
    <t>MUNICIPALITY OF CABANGAN, ZAMBALES</t>
  </si>
  <si>
    <t>CITY OF SILAY, NEGROS OCCIDENTAL</t>
  </si>
  <si>
    <t>PILAR WATER DISTRICT</t>
  </si>
  <si>
    <t>SAN FRANCISCO WATER DISTRICT</t>
  </si>
  <si>
    <t>BARANGAY VILLAROS, BAGABAG, NUEVA VIZCAYA</t>
  </si>
  <si>
    <t>CITY OF DAVAO, DAVAO DEL SUR</t>
  </si>
  <si>
    <t>MUNICIPALITY OF CONCEPCION, TARLAC</t>
  </si>
  <si>
    <t>BARANGAY LIGUAN, RAPU-RAPU, ALBAY</t>
  </si>
  <si>
    <t>ADELA SERRA TY MEMORIAL MEDICAL CENTER</t>
  </si>
  <si>
    <t>MUNICIPALITY OF VINTAR, ILOCOS NORTE</t>
  </si>
  <si>
    <t>MINDORO STATE COLLEGE OF AGRICULTURE AND TECHNOLOGY</t>
  </si>
  <si>
    <t>BARANGAY MANILA, RAPU-RAPU, ALBAY</t>
  </si>
  <si>
    <t>MUNICIPALITY OF PRESIDENT ROXAS, COTABATO</t>
  </si>
  <si>
    <t>BARANGAY PINAGSANHAN B MARAGONDON CAVITE</t>
  </si>
  <si>
    <t>DEPARTMENT OF AGRICULTURE - MAIN</t>
  </si>
  <si>
    <t>BARANGAY AFUSING BATU, ALCALA, CAGAYAN</t>
  </si>
  <si>
    <t>MINISTRY OF AGRICULTURE, FISHERIES AND AGRARIAN REFORM - COT</t>
  </si>
  <si>
    <t>PROVINCE OF MISAMIS OCCIDENTAL</t>
  </si>
  <si>
    <t>BARANGAY BINOSAWAN, RAPU-RAPU, ALBAY</t>
  </si>
  <si>
    <t>ROXAS CITY GOVERNMENT</t>
  </si>
  <si>
    <t>PAG-IBIG FUND (TAS-NCR WEST) - MANILA METRO MANILA</t>
  </si>
  <si>
    <t>DEPARTMENT OF PUBLIC WORKS AND HIGHWAYS - SOUTHERN MINDORO D</t>
  </si>
  <si>
    <t>PROVINCE OF LA UNION</t>
  </si>
  <si>
    <t>QUIRINO MEMORIAL MEDICAL CENTER</t>
  </si>
  <si>
    <t>BARANGAY LINAO, RAPU-RAPU, ALBAY</t>
  </si>
  <si>
    <t>MUNICIPALITY OF JANIUAY, ILOILO</t>
  </si>
  <si>
    <t>MARITIME INDUSTRY AUTHORITY (MARINA)</t>
  </si>
  <si>
    <t>SAN VICENTE NATIONAL HIGH SCHOOL</t>
  </si>
  <si>
    <t>YEE ON ELEMENTARY SCHOOL</t>
  </si>
  <si>
    <t>CENTRAL PHILIPPINES STATE UNIVERSITY</t>
  </si>
  <si>
    <t>MUNICIPALITY OF PRIETO DIAZ, SORSOGON</t>
  </si>
  <si>
    <t>DEPARTMENT OF PUBLIC WORKS AND HIGHWAYS - BATANGAS 2ND ED</t>
  </si>
  <si>
    <t>DEPARTMENT OF TRADE AND INDUSTRY - REGION XI</t>
  </si>
  <si>
    <t>LANAO NORTE NATIONAL AGRO INDUSTRIAL SCHOOL</t>
  </si>
  <si>
    <t>BARANGAY GABA, RAPU-RAPU, ALBAY</t>
  </si>
  <si>
    <t>DEPARTMENT OF PUBLIC WORKS AND HIGHWAYS - DAVAO CITY DEO</t>
  </si>
  <si>
    <t>LLANO ELEMENTARY SCHOOL</t>
  </si>
  <si>
    <t>BARANGAY BALITE, CALAPAN CITY</t>
  </si>
  <si>
    <t>BASAK ELEMENTARY SCHOOL</t>
  </si>
  <si>
    <t>CIVIL AVIATION AUTHORITY OF THE PHILIPPINES - AREA 4</t>
  </si>
  <si>
    <t>VILLACIN ELEMENTARY SCHOOL</t>
  </si>
  <si>
    <t>HOME DEVELOPMENT MUTUAL FUND - IMUS BRANCH</t>
  </si>
  <si>
    <t>CITY OF BALANGA NATIONAL HIGH SCHOOL</t>
  </si>
  <si>
    <t>BARANGAY LUCAO, DAGUPAN CITY</t>
  </si>
  <si>
    <t>DEPARTMENT OF TOURISM - NCR</t>
  </si>
  <si>
    <t>ILOILO STATE COLLEGE OF FISHERIES</t>
  </si>
  <si>
    <t>POLYTECHNIC UNIVERSITY OF THE PHILIPPINES</t>
  </si>
  <si>
    <t>LAGUNA STATE POLYTECHNIC UNIVERSITY - SAN PABLO CITY CAMPUS</t>
  </si>
  <si>
    <t>MUNICIPALITY OF ALITAGTAG, BATANGAS</t>
  </si>
  <si>
    <t>TUMAUINI WATER DISTRICT</t>
  </si>
  <si>
    <t>JUVENILE JUSTICE AND WELFARE COUNCIL</t>
  </si>
  <si>
    <t>BARANGAY BOGTONG, RAPU-RAPU, ALBAY</t>
  </si>
  <si>
    <t>PHILIPPINE CHILDREN'S MEDICAL CENTER</t>
  </si>
  <si>
    <t>MUNICIPALITY OF HAGONOY, BULACAN</t>
  </si>
  <si>
    <t>NATIONAL FOOD AUTHORITY - REGION IX</t>
  </si>
  <si>
    <t>SUMILAO NATIONAL HIGH SCHOOL</t>
  </si>
  <si>
    <t>MORONG WATER DISTRICT</t>
  </si>
  <si>
    <t>FOOD AND NUTRITION RESEARCH INSTITUTE</t>
  </si>
  <si>
    <t>CAA ELEMENATARY SCHOOL - ANNEX</t>
  </si>
  <si>
    <t>CAREER EXECUTIVE SERVICE BOARD</t>
  </si>
  <si>
    <t>METALS INDUSTRY RESEARCH &amp; DEVELOPMENT CENTER</t>
  </si>
  <si>
    <t>DEPARTMENT OF ENVIRONMENT AND NATURAL RESOURCES PENRO</t>
  </si>
  <si>
    <t>LOWER SINASAAN ELEMENTARY SCHOOL - LOWER SINASAAN,PORTULIN</t>
  </si>
  <si>
    <t>COMMISSION ON HUMAN RIGHTS</t>
  </si>
  <si>
    <t>BARANGAY MANSABAY ALTO, LOPEZ JAENA, MISAMIS OCCIDENTAL</t>
  </si>
  <si>
    <t>DEPARTMENT OF PUBLIC WORKS AND HIGHWAYS - AGUSAN DEL SUR 2ND</t>
  </si>
  <si>
    <t>MUNICIPALITY OF GEN. LUNA, QUEZON</t>
  </si>
  <si>
    <t>MUNICIPALITY OF MANTICAO, MISAMIS ORIENTAL</t>
  </si>
  <si>
    <t>DEPARTMENT OF SOCIAL WELFARE AND DEVELOPMENT - REGION VIII</t>
  </si>
  <si>
    <t>MUNICIPALITY OF BAUAN, BATANGAS</t>
  </si>
  <si>
    <t>DEPARTMENT OF PUBLIC WORKS AND HIGHWAYS - ISABELA 3RD DEO</t>
  </si>
  <si>
    <t>MUNICIPALITY OF ANILAO - ILOILO</t>
  </si>
  <si>
    <t>INDUSTRIAL TECHNOLOGY DEVELOPMENT INSTITIUTE</t>
  </si>
  <si>
    <t>BARANGAY CABARIAN, LIGAO CITY</t>
  </si>
  <si>
    <t>DEPARTMENT OF AGRARIAN REFORM - EASTERN SAMAR</t>
  </si>
  <si>
    <t>MUNICIPALITY OF LOOC, ROMBLON</t>
  </si>
  <si>
    <t>BARANGAY SAN ANTONIO MAGCOPA, CATANAUAN, QUEZON</t>
  </si>
  <si>
    <t>BARANGAY SAN ANTONIO, LOPEZ, QUEZON</t>
  </si>
  <si>
    <t>BARANGAY SAN FRANCISCO KALIHAN, SAN PABLO CITY</t>
  </si>
  <si>
    <t>NATIONAL POWER CORPORATION</t>
  </si>
  <si>
    <t>MATUYATUYA NATIONAL HIGH SCHOOL</t>
  </si>
  <si>
    <t>CITY OF NAGA, CEBU</t>
  </si>
  <si>
    <t>BARANGAY BUN-OT, HILONGOS, LEYTE</t>
  </si>
  <si>
    <t>MUNICIPALITY OF CUYAPO, NUEVA ECIJA</t>
  </si>
  <si>
    <t>MUNICIPALITY OF MAGSAYSAY, LANAO DEL NORTE</t>
  </si>
  <si>
    <t>BUREAU OF INTERNAL REVENUE - REVENUE REGION NO. 7A</t>
  </si>
  <si>
    <t>DEPARTMENT OF PUBLIC WORKS AND HIGHWAYS - BULACAN 1ST DEO</t>
  </si>
  <si>
    <t>CITY OF LIPA, BATANGAS</t>
  </si>
  <si>
    <t>LANGKAAN ELEMENTARY SCHOOL</t>
  </si>
  <si>
    <t>BARANGAY STA. CATALINA NORTE, CANDELARIA, QUEZON</t>
  </si>
  <si>
    <t>PINAGBUHATAN HIGH SCHOOL</t>
  </si>
  <si>
    <t>BARANGAY KATIPUNAN - ARAKAN COTOBATO</t>
  </si>
  <si>
    <t>DEPARTMENT OF PUBLIC WORKS AND HIGHWAYS - LAGUNA III DISTRIC</t>
  </si>
  <si>
    <t>MUNICIPALITY OF TULUNAN, NORTH COTABATO</t>
  </si>
  <si>
    <t>BARANGAY GUMAOC WEST, SAN JOSE DEL MONTE, BULACAN</t>
  </si>
  <si>
    <t>BARANGAY MULAWIN, TANZA, CAVITE</t>
  </si>
  <si>
    <t>BARANGAY ANTICALA, BUTUAN CITY</t>
  </si>
  <si>
    <t>CITY OF BAYUGAN, AGUSAN DEL SUR</t>
  </si>
  <si>
    <t>DEPARTMENT OF EDUCATION - DIVISION OF CAMARINES NORTE</t>
  </si>
  <si>
    <t>DBP LEASING CORPORATION</t>
  </si>
  <si>
    <t>GAMES AND AMUSEMENTS BOARD</t>
  </si>
  <si>
    <t>MUNICIPALITY OF GITAGUM , MISAMIS ORIENTAL</t>
  </si>
  <si>
    <t>DEPARTMENT OF EDUCATION - GABALDON CENTRAL SCHOOL</t>
  </si>
  <si>
    <t>BARANGAY 46 SAN JOAQUIN - LEGAZPI CITY</t>
  </si>
  <si>
    <t>DEPARTMENT OF PUBLIC WORKS AND HIGHWAYS - ISABELA 4TH DEO</t>
  </si>
  <si>
    <t>PROCUREMENT SERVICE</t>
  </si>
  <si>
    <t>BARANGAY LOS ANGELES, BUTUAN CITY</t>
  </si>
  <si>
    <t>MUNICIPALITY OF PIAGAPO, LANAO DEL SUR</t>
  </si>
  <si>
    <t>LA HUERTA ELEMENTARY SCHOOL</t>
  </si>
  <si>
    <t>BARANGAY CABAROAN BANTAY ILOCOS SUR</t>
  </si>
  <si>
    <t>AGRICULTURAL TRAINING INSTITUTE - TRECE MARTIRES</t>
  </si>
  <si>
    <t>PHILIPPINE STATISTICS AUTHORITY - REGION IV-B</t>
  </si>
  <si>
    <t>MUNICIPALITY OF ARINGAY, LA UNION</t>
  </si>
  <si>
    <t>GOVERNMENT SERVICE INSURANCE SYSTEM</t>
  </si>
  <si>
    <t>MUNICIPALITY OF JAEN, NUEVA ECIJA</t>
  </si>
  <si>
    <t>NATIONAL DEFENSE COLLEGE OF THE PHILIPPINES, DND</t>
  </si>
  <si>
    <t>BARANGAY STA. TERESITA, BAYUGAN, AGUSAN DEL SUR</t>
  </si>
  <si>
    <t>ZAMBOANGA STATE COLLEGE OF MARINE SCIENCES AND TECHNOLOGY</t>
  </si>
  <si>
    <t>BARANGAY BAYAS - ESTANCIA ILOILO</t>
  </si>
  <si>
    <t>WESTERN VISAYAS MEDICAL CENTER</t>
  </si>
  <si>
    <t>CACAON ELEMENTARY SCHOOL - TALAKAG, BUKIDNON</t>
  </si>
  <si>
    <t>MUNICIPALITY OF TALUGTUG, NUEVA ECIJA</t>
  </si>
  <si>
    <t>MUNICIPALITY OF POZORRUBIO, PANGASINAN</t>
  </si>
  <si>
    <t>BARANGAY 618, ZONE 61, DISTRICT VI, MANILA</t>
  </si>
  <si>
    <t>BARANGAY CAGUDALO -  CATBALOGAN CITY</t>
  </si>
  <si>
    <t>BARANGAY 365, ZONE 37, DISTRICT III, MANILA</t>
  </si>
  <si>
    <t>BARANGAY 177 ZONE-16  DISTRICT 11, MANILA</t>
  </si>
  <si>
    <t>BARANGAY 606 ZONE 60 DISTRICT VI, MANILA</t>
  </si>
  <si>
    <t>MUNICIPALITY OF PAGBILAO, QUEZON</t>
  </si>
  <si>
    <t>BARANGAY 867 ZONE 95 DISTRICT 6, MANILA</t>
  </si>
  <si>
    <t>MUNICIPALITY OF GATTARAN, CAGAYAN</t>
  </si>
  <si>
    <t>KIDALOG ELEMENTARY SCHOOL</t>
  </si>
  <si>
    <t>MUNICIPALITY OF MOBO, MASBATE</t>
  </si>
  <si>
    <t>MUNICIPALITY OF BALAMBAN, CEBU</t>
  </si>
  <si>
    <t>LACSON ELEMENTARY SCHOOL</t>
  </si>
  <si>
    <t>PROVINCE OF TARLAC</t>
  </si>
  <si>
    <t>BARANGAY AGBAGO - IBAJAY, AKLAN</t>
  </si>
  <si>
    <t>MUNICIPALITY OF ROSALES, PANGASINAN</t>
  </si>
  <si>
    <t>DEPARTMENT OF PUBLIC WORKS AND HIGHWAYS - TACLOBAN CITY SDEO</t>
  </si>
  <si>
    <t>MUNICIPALITY OF LAUA-AN, ANTIQUE</t>
  </si>
  <si>
    <t>CENTER FOR HEALTH DEVELOPMENT - REGION VI</t>
  </si>
  <si>
    <t>DEPARTMENT OF SCIENCE AND TECHNOLOGY - REGION - VIII</t>
  </si>
  <si>
    <t>CITY GOVERNMENT OF LUCENA</t>
  </si>
  <si>
    <t>DEPARTMENT OF PUBLIC WORKS AND HIGHWAYS - REGION X</t>
  </si>
  <si>
    <t>PROVINCE OF CEBU</t>
  </si>
  <si>
    <t>MUNICIPALITY OF LUBUAGAN, KALINGA</t>
  </si>
  <si>
    <t>SAN MIGUEL ELEMENTARY SCHOOL</t>
  </si>
  <si>
    <t>BARANGAY LAWANG PARE, SAN JOSE DEL MONTE CITY</t>
  </si>
  <si>
    <t>BARANGAY GUINSORONGAN, CATBALOGAN, SAMAR</t>
  </si>
  <si>
    <t>BARANGAY SAN JOSE SICO, BATANGAS CITY, BATANGAS</t>
  </si>
  <si>
    <t>BARANGAY CAYUCAY, ALAMINOS, PANGASINAN</t>
  </si>
  <si>
    <t>MUNICIPALITY OF CALASIAO, PANGASINAN</t>
  </si>
  <si>
    <t>TALIBON WATER DISTRICT</t>
  </si>
  <si>
    <t>NATIONAL IRRIGATION ADMINISTRATION - REGION 12</t>
  </si>
  <si>
    <t>DOS HERMANAS ELEMENTARY SCHOOL, TALISAY I</t>
  </si>
  <si>
    <t>BARANGAY 30-A SUYO, LAOAG CITY, ILOCOS NORTE</t>
  </si>
  <si>
    <t>METROPOLITAN NAGA WATER DISTRICT</t>
  </si>
  <si>
    <t>BARANGAY PUPUA, CATBALOGAN CITY, SAMAR</t>
  </si>
  <si>
    <t>CAGAYAN DE ORO CITY WATER DISTRICT</t>
  </si>
  <si>
    <t>BARANGAY 8, SAN VICENTE, LAOAG CITY</t>
  </si>
  <si>
    <t>BARANGAY SINIPIAN, NAGCARLAN, LAGUNA</t>
  </si>
  <si>
    <t>BARANGAY POBLACION, BAYUGAN, AGUSAN DEL SUR</t>
  </si>
  <si>
    <t>DEPARTMENT OF PUBLIC WORKS AND HIGHWAYS - BUTUAN CITY DEO</t>
  </si>
  <si>
    <t>MUNICIPALITY OF DUEÑAS, ILOILO</t>
  </si>
  <si>
    <t>BARANGAY DUMANTAY, BATANGAS CITY</t>
  </si>
  <si>
    <t>EASTERN SAMAR STATE UNIVERSITY - BORONGAN CITY</t>
  </si>
  <si>
    <t>BARANGAY IBOL, CATBALOGAN CITY, SAMAR</t>
  </si>
  <si>
    <t>BARANGAY RIZAL - JIMENEZ MISAMIS OCCIDENTAL</t>
  </si>
  <si>
    <t>BANGBANG ELEMENTARY SCHOOL</t>
  </si>
  <si>
    <t>BARANGAY POBLACION, MAHAYAG, ZAMBOANGA DEL SUR</t>
  </si>
  <si>
    <t>BARANGAY SAN MIGUEL ARAKAN COTABATO</t>
  </si>
  <si>
    <t>MUNICIPALITY OF BALBALAN, KALINGA</t>
  </si>
  <si>
    <t>BARANGAY LIBERATO ANTIQUE</t>
  </si>
  <si>
    <t>EASTERN VISAYAS STATE UNIVERSITY</t>
  </si>
  <si>
    <t>PHILIPPINE NATIONAL POLICE - HIGHWAY PATROL GROUP</t>
  </si>
  <si>
    <t>PHILIPPINE RETIREMENT AUTHORITY</t>
  </si>
  <si>
    <t>BARANGAY CAPACUAN, PARACALE, CAMARINES NORTE</t>
  </si>
  <si>
    <t>BALANGA WATER DISTRICT</t>
  </si>
  <si>
    <t>DEPARTMENT OF PUBLIC WORKS AND HIGHWAYS - ILOCOS NORTE 1ST D</t>
  </si>
  <si>
    <t>MUNICIPALITY OF SAN ILDEFONSO, ILOCOS SUR</t>
  </si>
  <si>
    <t>BARANGAY BACJAO - BUENAVISTA, GUIMARAS</t>
  </si>
  <si>
    <t>BARANGAY DEL NORTE -  PANDAN, CATANDUANES</t>
  </si>
  <si>
    <t>MUNICIPALITY OF SAN MATEO - ISABELA</t>
  </si>
  <si>
    <t>BARANGAY NABAG-O, VALENCIA CITY</t>
  </si>
  <si>
    <t>MUNICIPALITY OF MARIA AURORA, AURORA</t>
  </si>
  <si>
    <t>MUNICIPALITY OF MARIA, SIQUIJOR</t>
  </si>
  <si>
    <t>PHILIPPINE RICE RESEARCH INSTITUTE - REGION VI</t>
  </si>
  <si>
    <t>DEPARTMENT OF PUBLIC WORKS AND HIGHWAYS - NEG. OCC. 3RD DEO</t>
  </si>
  <si>
    <t>BARANGAY MULAY - CALAUAG QUEZON</t>
  </si>
  <si>
    <t>DEPARTMENT OF EDUCATION - SCHOOLS DIVISION OFFICE OF DAGUPAN</t>
  </si>
  <si>
    <t>BUREAU OF INTERNAL REVENUE - REVENUE REGION NO. 5</t>
  </si>
  <si>
    <t>TALABAN ELEMENTARY SCHOOL - HIMAMAYLAN CITY NEGROS OCCIDENTA</t>
  </si>
  <si>
    <t>DEPARTMENT OF EDUCATION - DIVISION OF COTABATO</t>
  </si>
  <si>
    <t>MUNICIPALITY OF LEGANES, ILOILO</t>
  </si>
  <si>
    <t>AYUGAN ELEMENTARY SCHOOL - OCAMPO CAMARINES SUR</t>
  </si>
  <si>
    <t>PHILIPPINE STATISTICS AUTHORITY - REGION XII</t>
  </si>
  <si>
    <t>BARANGAY LUYAHAN, LIAN BATANGAS</t>
  </si>
  <si>
    <t>PHILIPPINE CARABAO CENTER - KABACAN COTABATO</t>
  </si>
  <si>
    <t>NABUNTURAN WATER DISTRICT</t>
  </si>
  <si>
    <t>BARANGAY LAWAGAN, LABASON, ZAMBOANGA DEL NORTE</t>
  </si>
  <si>
    <t>MUNICIPALITY OF ASIPULO, IFUGAO</t>
  </si>
  <si>
    <t>MAHAYAG ELEMENTARY SCHOOL</t>
  </si>
  <si>
    <t>SK OF BARANGAY BAYUYAN - ESTANCIA ILOILO</t>
  </si>
  <si>
    <t>SAN GUILLERMO WATER DISTRICT</t>
  </si>
  <si>
    <t>CITY OF MASBATE, MASBATE</t>
  </si>
  <si>
    <t>DEPARTMENT OF PUBLIC WORKS AND HIGHWAYS - MISAMIS OCCIDENTAL</t>
  </si>
  <si>
    <t>DEPARTMENT OF PUBLIC WORKS AND HIGHWAYS - ROMBLON DEO</t>
  </si>
  <si>
    <t>DEPARTMENT OF FOREIGN AFFAIRS - MAIN</t>
  </si>
  <si>
    <t>TALAVERA GENERAL HOSPITAL</t>
  </si>
  <si>
    <t>PHILIPPINE PORTS AUTHORITY - PMO GENERAL SANTOS</t>
  </si>
  <si>
    <t>MUNICIPAL GOVERNMENT OF ATOK, BENGUET</t>
  </si>
  <si>
    <t>MUNICIPALITY OF BALINGASAG, MISAMIS ORIENTAL</t>
  </si>
  <si>
    <t>RICARDO P. CRUZ SR. ELEMENTARY SCHOOL</t>
  </si>
  <si>
    <t>MUNICIPALITY OF BANGA, AKLAN</t>
  </si>
  <si>
    <t>CITY OF GAPAN, NUEVA ECIJA</t>
  </si>
  <si>
    <t>DEPARTMENT OF PUBLIC WORKS AND HIGHWAYS - NEGROS ORIENTAL 3R</t>
  </si>
  <si>
    <t>METRO MANILA DEVELOPMENT AUTHORITY</t>
  </si>
  <si>
    <t>MUNICIPALITY OF PAOMBONG, BULACAN</t>
  </si>
  <si>
    <t>PHILIPPINE ORTHOPEDIC CENTER</t>
  </si>
  <si>
    <t>TAWANTAWAN ELEMENTARY SCHOOL</t>
  </si>
  <si>
    <t>MUNICIPALITY OF POLILLO, QUEZON</t>
  </si>
  <si>
    <t>ALICIA WATER DISTRICT</t>
  </si>
  <si>
    <t>MUNICIPALITY OF BUENAVISTA, GUIMARAS</t>
  </si>
  <si>
    <t>NATIONAL IRRIGATION ADMINISTRATION</t>
  </si>
  <si>
    <t>BARANGAY IBACA - PRESIDENT ROXAS, CAPIZ</t>
  </si>
  <si>
    <t>PHILIPPINE TRADE TRAINING CENTER</t>
  </si>
  <si>
    <t>BARANGAY TUBILI, PALUAN, OCCIDENTAL MINDORO</t>
  </si>
  <si>
    <t>CITY OF TACLOBAN, LEYTE</t>
  </si>
  <si>
    <t>BARANGAY RAILWAY, LAPAZ, ILOILO CITY</t>
  </si>
  <si>
    <t>BAGTINGON NATIONAL HIGH SCHOOL</t>
  </si>
  <si>
    <t>BARANGAY NANGALISAN - BACNOTAN, LA UNION</t>
  </si>
  <si>
    <t>DEPARTMENT OF EDUCATION - REGION XI</t>
  </si>
  <si>
    <t>PROVINCE OF ZAMBALES</t>
  </si>
  <si>
    <t>CAVITE STATE UNIVERSITY</t>
  </si>
  <si>
    <t>BANGKO SENTRAL NG PILIPINAS - TACLOBAN BRANCH</t>
  </si>
  <si>
    <t>MUNICIPALITY OF INDANG, CAVITE</t>
  </si>
  <si>
    <t>NIA-CHICO RIVER PUMP IRRIGATION PROJECT, TUAO, CAGAYAN</t>
  </si>
  <si>
    <t>BARANGAY MACABAYAO, JIMENEZ, MISAMIS OCCIDENTAL</t>
  </si>
  <si>
    <t>BALOGO ELEMENTARY SCHOOL</t>
  </si>
  <si>
    <t>MUNICIPALITY OF CAIBIRAN, BILIRAN</t>
  </si>
  <si>
    <t>BARANGAY LAMPUTONG - CULASI ANTIQUE</t>
  </si>
  <si>
    <t>BARANGAY SAN FRANCISCO, LABO, CAMARINES NORTE</t>
  </si>
  <si>
    <t>LUSOK ELEMENTARY SCHOOL</t>
  </si>
  <si>
    <t>HUPI ELEMENTARY SCHOOL</t>
  </si>
  <si>
    <t>CITY OF TAYABAS, QUEZON</t>
  </si>
  <si>
    <t>SK OF BARANGAY SAPA DOS - ROSARIO CAVITE</t>
  </si>
  <si>
    <t>SK OF BARANGAY SILANGAN UNO - ROSARIO CAVITE</t>
  </si>
  <si>
    <t>MANAONG ELEMENTARY SCHOOL - DAVAO CITY</t>
  </si>
  <si>
    <t>HOME DEVELOPMENT MUTUAL FUND - CORPORATE HEADQUARTERS</t>
  </si>
  <si>
    <t>BARANGAY SANTIAGO, LAUA-AN, SANTIAGO</t>
  </si>
  <si>
    <t>BARANGAY TIBUNGCO, DAVAO CITY</t>
  </si>
  <si>
    <t>BARANGAY PANIPUAN, MEXICO, PAMPANGA</t>
  </si>
  <si>
    <t>BARANGAY GAUNAN - MLANG COTABATO</t>
  </si>
  <si>
    <t>BARANGAY BULIASNIN, BOAC, MARINDUQUE</t>
  </si>
  <si>
    <t>BARANGAY PINAGTUNG-ULAN, SAN JOSE, BATANGAS</t>
  </si>
  <si>
    <t>BARANGAY CABARIWAN LAUA-AN ANTIQUE</t>
  </si>
  <si>
    <t>CAUAYAN CITY WATER DISTRICT</t>
  </si>
  <si>
    <t>BARANGAY INTAO, LAUA-AN, ANTIQUE</t>
  </si>
  <si>
    <t>DEPARTMENT OF PUBLIC WORKS AND HIGHWAYS - ILOILO 1ST DEO</t>
  </si>
  <si>
    <t>CITY OF PASAY</t>
  </si>
  <si>
    <t>BARANGAY PATAG, MANTICAO, MISAMIS ORIENTAL</t>
  </si>
  <si>
    <t>BARANGAY ZONE I, STA. CRUZ, DAVAO DEL SUR</t>
  </si>
  <si>
    <t>BARANGAY SAN SEBASTIAN, LUNA, APAYAO</t>
  </si>
  <si>
    <t>BARANGAY 830 ZONE 90 DISTRICT 6 MANILA</t>
  </si>
  <si>
    <t>MUNICIPALITY OF CLAVERIA, CAGAYAN</t>
  </si>
  <si>
    <t>LITTLE BAGUIO NATIONAL HIGH SCHOOL</t>
  </si>
  <si>
    <t>BARANGAY TIBACAN, LAUA-AN, ANTIQUE</t>
  </si>
  <si>
    <t>MUNICIPALITY OF CANTILAN, SURIGAO DEL SUR</t>
  </si>
  <si>
    <t>BARANGAY POBLACION A -  ROSARIO, BATANGAS</t>
  </si>
  <si>
    <t>BARANGAY 565 ZONE 55 DISTRICT IV MANILA</t>
  </si>
  <si>
    <t>TIGLAWIGAN NATIONAL HIGH SCHOOL SENIOR HIGH SCHOOL</t>
  </si>
  <si>
    <t>CITY OF TALISAY, CEBU</t>
  </si>
  <si>
    <t>MUNICIPALITY OF TAYUG, PANGASINAN</t>
  </si>
  <si>
    <t>DEPARTMENT OF SCIENCE AND TECHNOLOGY - REGION XI</t>
  </si>
  <si>
    <t>PROVINCE OF CAGAYAN</t>
  </si>
  <si>
    <t>PROVINCE OF DAVAO DEL NORTE</t>
  </si>
  <si>
    <t>BARANGAY PARANG, CALAPAN, ORIENTAL MINDORO</t>
  </si>
  <si>
    <t>BUREAU OF FIRE PROTECTION - CARAGA REGION</t>
  </si>
  <si>
    <t>OFFICE OF THE CHIEF MINISTER  - BARMM</t>
  </si>
  <si>
    <t>BARANGAY LA FORTUNA VERUELA AGUSAN DEL SUR</t>
  </si>
  <si>
    <t>BARANGAY CANAOALAN, BINMALEY, PANGASINAN</t>
  </si>
  <si>
    <t>PHILIPPINE INFORMATION AGENCY - REGION VII</t>
  </si>
  <si>
    <t>MUNICIPALITY OF SAN RICARDO - SOUTHERN LEYTE</t>
  </si>
  <si>
    <t>BARANGAY BACAY II-VERUELA AGUSAN DEL SUR</t>
  </si>
  <si>
    <t>MUNICIPALITY OF ARITAO, NUEVA VIZCAYA</t>
  </si>
  <si>
    <t>BOARD OF INVESTMENTS - MAKATI CITY METRO MANILA</t>
  </si>
  <si>
    <t>ALICANTE ELEMENTARY SCHOOL</t>
  </si>
  <si>
    <t>BARANGAY 699, ZONE 76 DISTRICT V, MANILA</t>
  </si>
  <si>
    <t>BARANGAY DON MATEO VERUELA AGUSAN DEL SUR</t>
  </si>
  <si>
    <t>CITY OF SORSOGON, SORSOGON</t>
  </si>
  <si>
    <t>BARANGAY SISIMON VERUELA AGUSAN DEL SUR</t>
  </si>
  <si>
    <t>BARANGAY SABANGAN - SAN JUAN, ILOCOS SUR</t>
  </si>
  <si>
    <t>BARANGAY 7 POBLACION, LUCENA CITY</t>
  </si>
  <si>
    <t>MUNICIPALITY OF BIRI, NORTHERN SAMAR</t>
  </si>
  <si>
    <t>KIDALI ELEMENTARY SCHOOL</t>
  </si>
  <si>
    <t>BARANGAY STA. CRUZ, SAN FERNANDO, CAMARINES SUR</t>
  </si>
  <si>
    <t>BARANGAY CABCABON, BUTUAN CITY</t>
  </si>
  <si>
    <t>BARANGAY NAPANGAN, DON VICTORIANO CHIONGBIAN</t>
  </si>
  <si>
    <t>BARANGAY SAWAGAN, VERUELA, AGUSAN DEL SUR</t>
  </si>
  <si>
    <t>BARANGAY DAGATAN, LIPA CITY, BATANGAS</t>
  </si>
  <si>
    <t>BARANGAY VALENCIA, QUEZON CITY</t>
  </si>
  <si>
    <t>BANGKO SENTRAL NG PILIPINAS - CAGAYAN DE ORO CITY</t>
  </si>
  <si>
    <t>MUNICIPALITY OF CABARROGUIS, QUIRINO</t>
  </si>
  <si>
    <t>BARANGAY LIRA, SAN JUAN, ILOCOS SUR</t>
  </si>
  <si>
    <t>BARANGAY LUMBANG, LIPA CITY</t>
  </si>
  <si>
    <t>MUNICIPALITY OF PLACER, SURIGAO DEL NORTE</t>
  </si>
  <si>
    <t>ENVIRONMENTAL MANAGEMENT BUREAU, DENR-REGION X</t>
  </si>
  <si>
    <t>QUEZON, BUKIDNON WATER DISTRICT</t>
  </si>
  <si>
    <t>BARANGAY SUNGGIAM - ILOCOS SUR</t>
  </si>
  <si>
    <t>BARANGAY SAN FRANCISCO, LIPA CITY, BATANGAS</t>
  </si>
  <si>
    <t>PHIL. INSTITUTE OF TRADITIONAL &amp; ALTERNATIVE HEALTH CARE</t>
  </si>
  <si>
    <t>BARANGAY 7, LIPA CITY, BATANGAS</t>
  </si>
  <si>
    <t>SAN AGUSTIN ELEMENTARY SCHOOL</t>
  </si>
  <si>
    <t>BARANGAY 209 ZONE 19 DISTRICT 2 TONDO,MANILA</t>
  </si>
  <si>
    <t>DEPARTMENT OF EDUCATION - DIVISION OF LEYTE</t>
  </si>
  <si>
    <t>BARANGAY AWAO STA. JOSEFA AGUSAN DEL SUR</t>
  </si>
  <si>
    <t>BARANGAY SAN VICENTE, HINDANG, LEYTE</t>
  </si>
  <si>
    <t>FR. GRATIAN MURRAY, AFSC INTEGRATED SCHOOL - BACOLOT CITY</t>
  </si>
  <si>
    <t>MUNICIPALITY OF DONSOL, SORSOGON</t>
  </si>
  <si>
    <t>FOREIGN SERVICE INSTITUTE</t>
  </si>
  <si>
    <t>LUIS UY CHIAT ELEMENTARY SCHOOL</t>
  </si>
  <si>
    <t>DEPARTMENT OF LABOR AND EMPLOYMENT - CAR</t>
  </si>
  <si>
    <t>BARANGAY II - SAN FERNANDO CITY, LA UNION</t>
  </si>
  <si>
    <t>CITY OF SAN FERNANDO, LA UNION</t>
  </si>
  <si>
    <t>MUNICIPALITY OF MERCEDES, CAMARINES NORTE</t>
  </si>
  <si>
    <t>DEPARTMENT OF PUBLIC WORKS AND HIGHWAYS - ISABELA 2ND DEO</t>
  </si>
  <si>
    <t>FRANCISCO BANGOY CENTRAL ELEMENTARY SCHOOL SPED CENTER</t>
  </si>
  <si>
    <t>BARANGAY TAM-IS - MAASIN CITY SOUTHERN LEYTE</t>
  </si>
  <si>
    <t>PIG-AWAKAN ELEMENTARY SCHOOL</t>
  </si>
  <si>
    <t>BARANGAY 14 BINSANG, PASUQUIN, ILOCOS NORTE</t>
  </si>
  <si>
    <t>BARANGAY SINIPIT, BONGABON, NUEVA ECIJA</t>
  </si>
  <si>
    <t>BARANGAY SAN ISIDRO, PASUQUIN, ILOCOS NORTE</t>
  </si>
  <si>
    <t>NATIONAL FOOD AUTHORITY - REGION VI</t>
  </si>
  <si>
    <t>PROVINCE OF COTABATO</t>
  </si>
  <si>
    <t>BARANGAY 12 PUYUPUYAN, PASUQUIN, ILOCOS NORTE</t>
  </si>
  <si>
    <t>CITY OF TACURONG, SULTAN KUDARAT</t>
  </si>
  <si>
    <t>KIDANGGIN ELEMENTARY SCHOOL</t>
  </si>
  <si>
    <t>SAPANG PALAY NATIONAL HIGH SCHOOL  (SENIOR HIGH SCHOOL) - SA</t>
  </si>
  <si>
    <t>SK OF  BARANGAY MAGALLANES - MAKATI CITY</t>
  </si>
  <si>
    <t>PHILIPPINE FIBER INDUSTRY DEVELOPMENT AUTHORITY</t>
  </si>
  <si>
    <t>BARANGAY SAHUD-ULAN, TANZA CAVITE</t>
  </si>
  <si>
    <t>MUNICIPALITY OF DIMASALANG, MASBATE</t>
  </si>
  <si>
    <t>MUNICIPALITY OF HINATUAN , SURIGAO DEL SUR</t>
  </si>
  <si>
    <t>BARANGAY BALOCAWEHAY, ABUYOG, LEYTE</t>
  </si>
  <si>
    <t>BARANGAY PUSPUS - SAN FERNANDO CITY, LA UNION</t>
  </si>
  <si>
    <t>MUNICIPALITY OF BUGASONG, ANTIQUE</t>
  </si>
  <si>
    <t>PROVINCE OF QUEZON</t>
  </si>
  <si>
    <t>BARANGAY TIBOLO, STA. CRUZ, DAVAO DEL SUR</t>
  </si>
  <si>
    <t xml:space="preserve">BUREAU OF PLANT INDUSTRY-DAVAO </t>
  </si>
  <si>
    <t>PHILIPPINE STATE COLLEGE OF AERONAUTICS - PAMPANGA</t>
  </si>
  <si>
    <t>BATA ELEMENTARY SCHOOL 1 - BACOLOD CITY NEGROS OCCIDENTAL</t>
  </si>
  <si>
    <t>BARANGAY BUCAYAO, CALAPAN, ORIENTAL MINDORO</t>
  </si>
  <si>
    <t>NARVACAN WATER DISTRICT</t>
  </si>
  <si>
    <t>MUNICIPALITY OF ABRA DE ILOG, OCCIDENTAL MINDORO</t>
  </si>
  <si>
    <t>DEPARTMENT OF PUBLIC WORKS AND HIGHWAYS - BUKIDNON 3RD DEO</t>
  </si>
  <si>
    <t>MINISTRY OF LABOR AND EMPLOYMENT - COTABATO CITY MAGUINDANAO</t>
  </si>
  <si>
    <t>BACOLOR WATER DISTRICT</t>
  </si>
  <si>
    <t>BARANGAY MATINA 74-A - MATINA, DAVAO CITY</t>
  </si>
  <si>
    <t>BARANGAY SAGUA ANINI-Y ANTIQUE</t>
  </si>
  <si>
    <t>BARANGAY DICAYAS DIPOLOG CITY ZAMBOANGA DEL NORTE</t>
  </si>
  <si>
    <t>DEPARTMENT OF EDUCATION - DIVISION OF SIPALAY CITY</t>
  </si>
  <si>
    <t>DEPARTMENT OF PUBLIC WORKS AND HIGHWAYS - SAMAR 2ND DEO</t>
  </si>
  <si>
    <t>BARANGAY SAN AGUSTIN, BAUAN, BATANGAS</t>
  </si>
  <si>
    <t>CITY OF DAPITAN</t>
  </si>
  <si>
    <t>BARANGAY LUMANGBAYAN</t>
  </si>
  <si>
    <t>BARANGAY BINGAY, BORBON, CEBU</t>
  </si>
  <si>
    <t>NEGROS ORIENTAL STATE UNIVERSITY</t>
  </si>
  <si>
    <t>CITY OF MARAWI</t>
  </si>
  <si>
    <t>BARANGAY HIMBUBULO ESTE GUINAYANGAN QUEZON</t>
  </si>
  <si>
    <t>MUNICIPALITY OF DANAO, BOHOL</t>
  </si>
  <si>
    <t>BARANGAY 217, ZONE 20, DISTRICT 2, MANILA</t>
  </si>
  <si>
    <t>BARANGAY MALIMPIN, DASOL, PANGASINAN</t>
  </si>
  <si>
    <t>MUNICIPALITY OF AGUILAR, PANGASINAN</t>
  </si>
  <si>
    <t>INTELLECTUAL PROPERTY OF THE PHILIPPINES - TAGUIG CITY</t>
  </si>
  <si>
    <t>MUNICIPALITY OF PANDI, BULACAN</t>
  </si>
  <si>
    <t>BARANGAY WILFREDO AQUINO - DAVAO CITY DAVAO DEL SUR</t>
  </si>
  <si>
    <t>MUNICIPALITY OF ROSARIO, AGUSAN DEL SUR</t>
  </si>
  <si>
    <t>MUNICIPALITY OF CONNER, APAYAO</t>
  </si>
  <si>
    <t>BARANGAY NORTH CENTRAL AURORA HILL, BAGUIO, BENGUET</t>
  </si>
  <si>
    <t>SANGGUNIANG KABATAAN NG BRGY. F. DE CASTRO</t>
  </si>
  <si>
    <t>PHILIPPINE CARABAO CENTER</t>
  </si>
  <si>
    <t>MUNICIPALITY OF STO. TOMAS, DAVAO DEL NORTE</t>
  </si>
  <si>
    <t>MUNICIPALITY OF VILLAREAL, SAMAR</t>
  </si>
  <si>
    <t>SAN CARLOS-SAN LUIS NATIONAL HIGH SCHOOL</t>
  </si>
  <si>
    <t>ISABELA STATE UNIVERSITY - ILAGAN CAMPUS</t>
  </si>
  <si>
    <t>BARANGAY COLOCONTO - SAN JUAN BATANGAS</t>
  </si>
  <si>
    <t>BARANGAY TIBANG - SAN ANDRES, CATANDUANES</t>
  </si>
  <si>
    <t>BARANGAY BABUYAN, PUERTO PRINCESA CITY, PALAWAN</t>
  </si>
  <si>
    <t>PHILIPPINE NATIONAL POLICE - REGION XI</t>
  </si>
  <si>
    <t>BARANGAY BALETE, BATANGAS CITY, BATANGAS</t>
  </si>
  <si>
    <t>BARANGAY CALUNGBOYAN, SANTA, ILOCOS SUR</t>
  </si>
  <si>
    <t>MUNICIPALITY OF MAHINOG, CAMIGUIN</t>
  </si>
  <si>
    <t>ILIGAN CITY NATIONAL HIGH SCHOOL</t>
  </si>
  <si>
    <t>SUGAR REGULATORY ADMINISTRATION - VISAYAS</t>
  </si>
  <si>
    <t>BARANGAY GUN-OB - LAPU-LAPU CITY</t>
  </si>
  <si>
    <t>DEPARTMENT OF EDUCATION - SCHOOLS DIVISION OF ISABELA CITY</t>
  </si>
  <si>
    <t>CULTURAL CENTER OF THE PHILIPPINES - PASAY CITY METRO MANILA</t>
  </si>
  <si>
    <t>MUNICIPALITY OF SAN ROQUE - NORTHERN SAMAR</t>
  </si>
  <si>
    <t>BARANGAY STA. CRUZ, BALLESTEROS, CAGAYAN</t>
  </si>
  <si>
    <t>NATIONAL POWER CORPORATION SPUG-MINDANAO</t>
  </si>
  <si>
    <t>LUPON WATER DISTRICT</t>
  </si>
  <si>
    <t>DEPARTMENT OF TRADE AND INDUSTRY - REGION III  NUEVA ECIJA</t>
  </si>
  <si>
    <t>MUNICIPALITY OF BAAO, CAMARINES SUR</t>
  </si>
  <si>
    <t>MUNICIPALITY OF LABASON, ZAMBOANGA DEL NORTE</t>
  </si>
  <si>
    <t>BARANGAY CALBAYOG, MALILIPOT, ALBAY</t>
  </si>
  <si>
    <t>BANGKO SENTRAL NG PILIPINAS - REGION V</t>
  </si>
  <si>
    <t>AKLAN STATE UNIVERSITY - KALIBO CAMPUS</t>
  </si>
  <si>
    <t>UNIVERSITY OF THE PHILIPPINES - MANILA</t>
  </si>
  <si>
    <t>NATIONAL IRRIGATION ADMINISTRATION - DAVAO DEL NORTE IMO</t>
  </si>
  <si>
    <t>MUNICIPALITY OF REMEDIOS T. ROMUALDEZ, AGUSAN DEL NORTE</t>
  </si>
  <si>
    <t>MUNICIPALITY OF INFANTA, PANGASINAN</t>
  </si>
  <si>
    <t>MUNICIPALITY OF VIRAC , CATANDUANES</t>
  </si>
  <si>
    <t>DEPARTMENT OF ENVIRONMENT AND NATURAL RES. - PENRO, BUKIDNON</t>
  </si>
  <si>
    <t>BARANGAY MAKILAS, IPIL, ZAMBOANGA SIBUGAY</t>
  </si>
  <si>
    <t>BARANGAY 09 POBLACION, CATBALOGAN CITY</t>
  </si>
  <si>
    <t>BALINGASAG WATER DISTRICT</t>
  </si>
  <si>
    <t>DEPARTMENT OF PUBLIC WORKS AND HIGHWAYS - AURORA DEO</t>
  </si>
  <si>
    <t>MUNICIPALITY OF JULITA, LEYTE</t>
  </si>
  <si>
    <t>BUREAU OF FISHERIES AND AQUATIC RESOURCES - RV</t>
  </si>
  <si>
    <t>MUNICIPALITY OF SILAGO, SOUTHERN LEYTE</t>
  </si>
  <si>
    <t>UNIVERSITY OF THE PHILIPPINES - VISAYAS</t>
  </si>
  <si>
    <t>NORTHERN NEGROS STATE COLLEGE OF SCIENCE AND TECHNOLOGY</t>
  </si>
  <si>
    <t>DEPARTMENT OF PUBLIC WORKS AND HIGHWAYS - PAMPANGA 3RD DEO</t>
  </si>
  <si>
    <t>BARANGAY MATANDANG SABANG KANLURAN - CATANAUAN, QUEZON</t>
  </si>
  <si>
    <t>MUNICIPALITY OF SANTOL, LA UNION</t>
  </si>
  <si>
    <t>BARANGAY PORO - SAN FERNANDO CITY, LA UNION</t>
  </si>
  <si>
    <t>MUNICIPALITY OF BUGUIAS, BENGUET</t>
  </si>
  <si>
    <t>BARANGAY BASUG - SANTA ILOCOS SUR</t>
  </si>
  <si>
    <t>BARANGAY 667 ZONE 72 DISTRICT V, MANILA</t>
  </si>
  <si>
    <t>BALON ELEMENTARY SCHOOL</t>
  </si>
  <si>
    <t>SAN PABLO CITY WATER DISTRICT</t>
  </si>
  <si>
    <t>BARANGAY LIGPIT BANTAYAN -  GUINAYANGAN QUEZON</t>
  </si>
  <si>
    <t>DEPARTMENT OF INFORMATION AND COMMUNICATIONS TECHNOLOGY</t>
  </si>
  <si>
    <t>BARANGAY BEL-AIR, MAKATI CITY</t>
  </si>
  <si>
    <t>BARANGAY  PONDANG - DARAM SAMAR</t>
  </si>
  <si>
    <t>BARANGAY SOONG - DARAM SAMAR</t>
  </si>
  <si>
    <t>MUNICIPALITY OF STA.CRUZ, DAVAO DEL SUR</t>
  </si>
  <si>
    <t>AGRICULTURAL TRAINING INSTITUTE-CORDILLERA ADMINISTRATIVE RE</t>
  </si>
  <si>
    <t>F. BANGOY NATIONAL HIGH SCHOOL</t>
  </si>
  <si>
    <t>CADIZ EAST ELEMENTARY SCHOOL II</t>
  </si>
  <si>
    <t>MUNICIPALITY OF LUPI, CAMARINES SUR</t>
  </si>
  <si>
    <t>MUNICIPALITY OF CANDONI, NEGROS OCCIDENTAL</t>
  </si>
  <si>
    <t>BARANGAY PALOLA, LUCBAN, QUEZON</t>
  </si>
  <si>
    <t>CITY OF MAKATI</t>
  </si>
  <si>
    <t>BARANGAY QUIRINO, TAGUDIN, ILOCOS SUR</t>
  </si>
  <si>
    <t>MUNICIPALITY OF DARAGA, ALBAY</t>
  </si>
  <si>
    <t>BARANGAY KALANDAGAN, TACURONG, SULTAN KUDARAT</t>
  </si>
  <si>
    <t>BARANGAY ZONE 6, LIBON, ALBAY</t>
  </si>
  <si>
    <t>MUNICIPALITY OF PALAUIG, ZAMBALES</t>
  </si>
  <si>
    <t>DEPARTMENT OF PUBLIC WORKS AND HIGHWAYS - NEG. OCC. 2ND DEO</t>
  </si>
  <si>
    <t>TAGUM WATER DISTRICT</t>
  </si>
  <si>
    <t>PHILIPPINE DEPOSIT INSURANCE CORPORATION</t>
  </si>
  <si>
    <t>NATIONAL STATISTICS OFFICE - RIZAL</t>
  </si>
  <si>
    <t>DENR-PENRO CAMARINES SUR</t>
  </si>
  <si>
    <t>MUNICIPALITY OF MANKAYAN, BENGUET</t>
  </si>
  <si>
    <t>DEPARTMENT OF EDUCATION - DIVISION OF SURIGAO DEL SUR</t>
  </si>
  <si>
    <t>BARANGAY ANGIN, NAGUILIAN, LA UNION</t>
  </si>
  <si>
    <t>MUNICIPALITY OF TAMBULIG, ZAMBOANGA DEL SUR</t>
  </si>
  <si>
    <t>BARANGAY BUGTONG KAWAYAN - BARILI CEBU</t>
  </si>
  <si>
    <t>PAARALANG ELEMENTARYA NG TIMOG SILAY</t>
  </si>
  <si>
    <t>DEPARTMENT OF AGRARIAN REFORM - REGION XI</t>
  </si>
  <si>
    <t>DEPARTMENT OF TRADE AND INDUSTRY - PALAWAN PROVINCIAL OFFICE</t>
  </si>
  <si>
    <t>COURT OF APPEALS</t>
  </si>
  <si>
    <t>BARANGAY SAN PEDRO II - GUINAYANGAN QUEZON</t>
  </si>
  <si>
    <t>DEPARTMENT OF PUBLIC WORKS AND HIGHWAYS - CAVITE I DEO</t>
  </si>
  <si>
    <t>MUNICIPALITY OF CALAYAN, CAGAYAN</t>
  </si>
  <si>
    <t>MARGOSATUBIG REGIONAL PILOT SCHOOL - REGULAR</t>
  </si>
  <si>
    <t>MUNICIPALITY OF SAN FRANCISCO, CEBU</t>
  </si>
  <si>
    <t>DEPARTMENT OF HEALTH REGIONAL OFFICE II</t>
  </si>
  <si>
    <t>MUNICIPALITY OF LIBON, ALBAY</t>
  </si>
  <si>
    <t>BARANGAY OLYMPIA - MAKATI CITY</t>
  </si>
  <si>
    <t>DEPARTMENT OF EDUCATION - DIVISION OF BENGUET</t>
  </si>
  <si>
    <t>MUNICIPALITY OF TUKURAN, ZAMBOANGA DEL SUR</t>
  </si>
  <si>
    <t>SULTAN KUDARAT WATER DISTRICT</t>
  </si>
  <si>
    <t>110TH CONTRACTING OFFICE, AFP PROCUREMENT SERVICE</t>
  </si>
  <si>
    <t>BARANGAY ANUS, SAN JOSE, BATANGAS</t>
  </si>
  <si>
    <t>MINDANAO STATE UNIVERSITY - MARAWI CITY</t>
  </si>
  <si>
    <t>ASSOCIATION OF BARANGAY COUNCIL, IBAAN, BATANGAS CHAPTER</t>
  </si>
  <si>
    <t>MUNICIPALITY OF LALA,  LANAO DEL NORTE</t>
  </si>
  <si>
    <t>DEPARTMENT OF PUBLIC WORKS AND HIGHWAYS - NORTH COTABATO 1ST</t>
  </si>
  <si>
    <t>BASILAN GENERAL HOSPITAL</t>
  </si>
  <si>
    <t>BARANGAY SAN ROQUE, STO. TOMAS, BATANGAS</t>
  </si>
  <si>
    <t>DEPARTMENT OF PUBLIC WORKS AND HIGHWAYS - BOHOL 2ND DEO</t>
  </si>
  <si>
    <t>MUNICIPALITY OF DINALUPIHAN, BATAAN</t>
  </si>
  <si>
    <t>TOLEDO CITY WATER DISTRICT</t>
  </si>
  <si>
    <t>KABASALAN INSTITUTE OF TECHNOLOGY</t>
  </si>
  <si>
    <t>DEPARTMENT OF EDUCATION - DIVISION OF BATAC CITY</t>
  </si>
  <si>
    <t>PHILIPPINE NATIONAL POLICE - POLICE REGIONAL OFFICE 2</t>
  </si>
  <si>
    <t>BARANGAY NARANGASAN, MILAGROS, MASBATE</t>
  </si>
  <si>
    <t>MUNICIPALITY OF CLAVERIA, MASBATE</t>
  </si>
  <si>
    <t>DEPARTMENT OF AGRARIAN REFORM - ZAMBOANGA DEL SUR PO</t>
  </si>
  <si>
    <t>BARANGAY BATI-AWAN, TAFT EASTERN SAMAR</t>
  </si>
  <si>
    <t>DAVAO CITY WATER DISTRICT</t>
  </si>
  <si>
    <t>MUNICIPALITY OF DAUIN, NEGROS ORIENTAL</t>
  </si>
  <si>
    <t>BARANGAY TELABANCA, CONCEPCION, TARLAC</t>
  </si>
  <si>
    <t>MUNICIPALITY OF AMLAN, NEGROS ORIENTAL</t>
  </si>
  <si>
    <t>MUNICIPALITY OF MABINI, PANGASINAN</t>
  </si>
  <si>
    <t>DEPARTMENT OF ENVIRONMENT AND NATURAL RES. - CENRO AYUNGON</t>
  </si>
  <si>
    <t>BARANGAY DATU TUMANGGONG - TUNGAWAN ZAMBOANGA SIBUGAY</t>
  </si>
  <si>
    <t>POLOMOLOK WATER DISTRICT</t>
  </si>
  <si>
    <t>DEPARTMENT OF PUBLIC WORKS AND HIGHWAYS - TARLAC 2ND-DEO</t>
  </si>
  <si>
    <t>MUNICIPALITY OF GUIMBA, NUEVA ECIJA</t>
  </si>
  <si>
    <t>NATIONAL IRRIGATION ADMINISTRATION - REGION VI</t>
  </si>
  <si>
    <t>MUNICIPALITY OF COMPOSTELA, CEBU</t>
  </si>
  <si>
    <t>MUNICIPALITY OF CARAMORAN, CATANDUANES</t>
  </si>
  <si>
    <t>BARANGAY PAGDARAOAN, SAN FERNANDO CITY, LA UNION</t>
  </si>
  <si>
    <t>NAGA ANGELA ELEMENTARY SCHOOL</t>
  </si>
  <si>
    <t>BARANGAY 26 SALPAD, PASUQUIN, ILOCOS NORTE</t>
  </si>
  <si>
    <t>BARANGAY AMONTAY - PITOGO QUEZON</t>
  </si>
  <si>
    <t>BARANGAY 617 ZONE 61</t>
  </si>
  <si>
    <t>MUNICIPALITY OF PATNOÑGON, ANTIQUE</t>
  </si>
  <si>
    <t>BARANGAY CLAUDIO, CASTILLA, EL-98 -JARO ILOILO</t>
  </si>
  <si>
    <t>BARANGAY INGORE, LAPAZ, ILOILO CITY</t>
  </si>
  <si>
    <t>PHILIPPINE PORTS AUTHORITY - PMO MARINDUQUE/QUEZON</t>
  </si>
  <si>
    <t>SINILOAN WATER DISTRICT</t>
  </si>
  <si>
    <t>MUNICIPALITY OF STA. JOSEFA, AGUSAN DEL SUR</t>
  </si>
  <si>
    <t>TORRIJOS POBLACION SCHOOL OF ARTS AND TRADES - TESDA</t>
  </si>
  <si>
    <t>PAGADIAN WATER DISTRICT</t>
  </si>
  <si>
    <t>MUNICIPALITY OF TUBA, BENGUET</t>
  </si>
  <si>
    <t>BARANGAY LIBERTAD-STA. ISABEL,  JARO, ILOILO CITY</t>
  </si>
  <si>
    <t>BARANGAY TABON-TABON, SIBAGAT, AGUSAN DEL SUR</t>
  </si>
  <si>
    <t>CADIZ VIEJO NATIONAL HIGH SCHOOL</t>
  </si>
  <si>
    <t>MUNICIPALITY OF GUINSILIBAN, CAMIGUIN</t>
  </si>
  <si>
    <t>MUNICIPALITY OF BANGUI, ILOCOS NORTE</t>
  </si>
  <si>
    <t>BARANGAY CANSUAGUIT, LOON, BOHOL</t>
  </si>
  <si>
    <t>WESTERN MINDANAO STATE UNIVERSITY</t>
  </si>
  <si>
    <t>BARANGAY MASAO - TUNGAWAN ZAMBOANGA SIBUGAY</t>
  </si>
  <si>
    <t>CITY OF SURIGAO, SURIGAO DEL NORTE</t>
  </si>
  <si>
    <t>AGRICULTURAL TRAINING INSTITUTE</t>
  </si>
  <si>
    <t>BARANGAY ARINGIT - PASTRANA LEYTE</t>
  </si>
  <si>
    <t>BARANGAY NUEVA VIDA, LOON, BOHOL</t>
  </si>
  <si>
    <t>BAGONG TANYAG ELEMENTARY SCHOOL</t>
  </si>
  <si>
    <t>MUNICIPALITY OF DUMINGAG, ZAMBOANGA DEL SUR</t>
  </si>
  <si>
    <t>MUNICIPALITY OF DINAGAT, DINAGAT ISLANDS</t>
  </si>
  <si>
    <t>DEPARTMENT OF THE INTERIOR AND LOCAL GOVERNMENT - CAR</t>
  </si>
  <si>
    <t>PHILIPPINE STATISTICS AUTHORITY - REGION XIII</t>
  </si>
  <si>
    <t>LOBO WATER DISTRICT</t>
  </si>
  <si>
    <t>BARANGAY COMUNAL, CALAPAN CITY, ORIENTAL MINDORO</t>
  </si>
  <si>
    <t>DEPARTMENT OF AGRARIAN REFORM - REGION IX</t>
  </si>
  <si>
    <t>BARANGAY REMEDIOS - DANAO BOHOL</t>
  </si>
  <si>
    <t>BARANGAY MABUHAY, KADINGILAN, BUKIDNON</t>
  </si>
  <si>
    <t>DENR FORESTLAND MANAGEMENT PROJECT</t>
  </si>
  <si>
    <t>409TH CONTRACTING OFFICE</t>
  </si>
  <si>
    <t>BARANGAY TALADONG - CAMALIG, ALBAY</t>
  </si>
  <si>
    <t>DEPARTMENT OF PUBLIC WORKS AND HIGHWAYS - BATANGAS 1ST DISTR</t>
  </si>
  <si>
    <t>DEPARTMENT OF PUBLIC WORKS AND HIGHWAYS - QUEZON CITY 2ND ED</t>
  </si>
  <si>
    <t>BUREAU OF INTERNAL REVENUE, REVENUE REGION NO. 7B EAST NCR</t>
  </si>
  <si>
    <t>CEBU NORMAL UNIVERSITY</t>
  </si>
  <si>
    <t>MUNICIPALITY OF MUTIA, ZAMBOANGA DEL NORTE</t>
  </si>
  <si>
    <t>DEPARTMENT OF PUBLIC WORKS AND HIGHWAYS - RIZAL II DEO</t>
  </si>
  <si>
    <t>MUNICIPALITY OF ALAMADA, COTABATO</t>
  </si>
  <si>
    <t>BARANGAY AYUSAN NORTE - VIGAN CITY, ILOCOS SUR</t>
  </si>
  <si>
    <t>BARANGAY  BAGTIC - SILAY CITY</t>
  </si>
  <si>
    <t>CITY OF TANGUB</t>
  </si>
  <si>
    <t>MUNICIPALITY OF BAMBANG, NUEVA VIZCAYA</t>
  </si>
  <si>
    <t>VICTORIAS CITY WATER DISTRICT</t>
  </si>
  <si>
    <t>BARANGAY DISTRICT III - PASTRANA, LEYTE</t>
  </si>
  <si>
    <t>PARANG HIGH SCHOOL</t>
  </si>
  <si>
    <t>TAGUIG INTEGRATED SCHOOL</t>
  </si>
  <si>
    <t>BARANGAY BISAGU, APARRI CAGAYAN</t>
  </si>
  <si>
    <t>DEPARTMENT OF PUBLIC WORKS AND HIGHWAYS - REGION IV-B</t>
  </si>
  <si>
    <t>MUNICIPALITY OF DAMULOG, BUKIDNON</t>
  </si>
  <si>
    <t>MUNICIPALITY OF PIAT, CAGAYAN</t>
  </si>
  <si>
    <t>WESTERN VISAYAS SANITARIUM - DOH</t>
  </si>
  <si>
    <t>MUNICIPALITY OF STA. ELENA, CAMARINES NORTE</t>
  </si>
  <si>
    <t>BARANGAY MAURA - APARRI, CAGAYAN</t>
  </si>
  <si>
    <t>DEPARTMENT OF PUBLIC WORKS AND HIGHWAYS - ISABELA 1ST DEO</t>
  </si>
  <si>
    <t>BARANGAY MOMBON - PALAPAG NORTHERN SAMAR</t>
  </si>
  <si>
    <t>MATI WATER DISTRICT</t>
  </si>
  <si>
    <t>MUNICIPALITY OF LOS BAÑOS, LAGUNA</t>
  </si>
  <si>
    <t>BARANGAY LOWER SIBATANG - PAGADIAN CITY ZAMBOANGA DEL SUR</t>
  </si>
  <si>
    <t>MUNICIPALITY OF SAMPALOC, QUEZON</t>
  </si>
  <si>
    <t>SABLAYAN WATER DISTRICT</t>
  </si>
  <si>
    <t>BARANGAY BANICE, BANTON, ROMBLON</t>
  </si>
  <si>
    <t>BARANGAY AMBAGO, BUTUAN CITY</t>
  </si>
  <si>
    <t>MUNICIPALITY OF APARRI, CAGAYAN</t>
  </si>
  <si>
    <t>BARANGAY LANAG, LEON, ILOILO</t>
  </si>
  <si>
    <t>PHILIPPINE STATISTICS AUTHORITY - REGION II</t>
  </si>
  <si>
    <t>BARANGAY LANAUAN - PASTRANA LEYTE</t>
  </si>
  <si>
    <t>MUNICIPALITY OF IVISAN, CAPIZ</t>
  </si>
  <si>
    <t>DEPARTMENT OF PUBLIC WORKS AND HIGHWAYS - AKLAN DEO</t>
  </si>
  <si>
    <t>BARANGAY NIPA, CONCEPCION, ILOILO</t>
  </si>
  <si>
    <t>MUNICIPALITY OF LAKE WOOD, ZAMBOANGA DEL SUR</t>
  </si>
  <si>
    <t>BARANGAY MARAPANGI, TORIL, DAVAO CITY</t>
  </si>
  <si>
    <t>LEAGUE OF BARANGAY TREASURER, VIGAN CITY</t>
  </si>
  <si>
    <t>BARANGAY PANIQUE, ODIONGAN, ROMBLON</t>
  </si>
  <si>
    <t>BARANGAY TABING DAGAT, ODIONGAN, ROMBLON</t>
  </si>
  <si>
    <t>LOCAL GOVERNMENT ACADEMY, DILG</t>
  </si>
  <si>
    <t>BARANGAY TALAYONG BADIAN CEBU</t>
  </si>
  <si>
    <t>MUNICIPALITY OF DATU PIANG, MAGUINDANAO</t>
  </si>
  <si>
    <t>MUNICIPALITY OF MONKAYO, COMPOSTELA VALLEY</t>
  </si>
  <si>
    <t>MUNICIPALITY OF MANUKAN, ZAMBOANGA DEL NORTE</t>
  </si>
  <si>
    <t>PNOC EXPLORATION CORPORATION - TAGUIG CITY</t>
  </si>
  <si>
    <t>MUNICIPALITY OF LUNA, ISABELA</t>
  </si>
  <si>
    <t>BARANGAY OTSO - MAMBURAO OCCIDENTAL MINDORO</t>
  </si>
  <si>
    <t>MUNICIPALITY OF MALINAO, AKLAN</t>
  </si>
  <si>
    <t>MUNICIPALITY OF ANDA, PANGASINAN</t>
  </si>
  <si>
    <t>LAL-LO WATER DISTRICT</t>
  </si>
  <si>
    <t>MUNICIPALITY OF ALIMODIAN, ILOILO</t>
  </si>
  <si>
    <t>NATIONAL IRRIGATION ADMINISTRATION - REGION IV-B</t>
  </si>
  <si>
    <t>BARANGAY 594, ZONE 59, DISTRICT VI, MANILA</t>
  </si>
  <si>
    <t>MUNICIPALITY OF BORBON, CEBU</t>
  </si>
  <si>
    <t>MUNICIPALITY OF VINZONS, CAMARINES NORTE</t>
  </si>
  <si>
    <t>PONTEVEDRA WATER DISTRICT (CAPIZ)</t>
  </si>
  <si>
    <t>SICABA NATIONAL HIGH SCHOOL</t>
  </si>
  <si>
    <t>BARANGAY IGBON, CONCEPCION, ILOILO</t>
  </si>
  <si>
    <t>MUNICIPALITY OF ITOGON, BENGUET</t>
  </si>
  <si>
    <t>BARANGAY POBLACION 1, TAAL, BATANGAS</t>
  </si>
  <si>
    <t>MUNICIPALITY OF PILAR, ABRA</t>
  </si>
  <si>
    <t>CASISANG CENTRAL INTEGRATED SCHOOL - MALAYBALAY CITY BUKIDNO</t>
  </si>
  <si>
    <t>BARANGAY LAGUNDI, CATBALOGAN CITY</t>
  </si>
  <si>
    <t>DEVELOPMENT BANK OF THE PHILIPPINES - RMC-WESTERN MINDANAO</t>
  </si>
  <si>
    <t>BARANGAY CAGUTSAN, CATBALOGAN CITY</t>
  </si>
  <si>
    <t>DEPARTMENT OF AGRICULTURE - REGION VII</t>
  </si>
  <si>
    <t>MUNICIPALITY OF MALILIPOT, ALBAY</t>
  </si>
  <si>
    <t>BARANGAY PINAGKAISAHAN, MAKATI CITY</t>
  </si>
  <si>
    <t>BARANGAY SAN PABLO - PALOMPON, LEYTE</t>
  </si>
  <si>
    <t>DEPARTMENT OF PUBLIC WORKS AND HIGHWAYS - LEYTE 3RD DEO</t>
  </si>
  <si>
    <t>BARANGAY SIBULAN, STA. CRUZ, DAVAO DEL SUR</t>
  </si>
  <si>
    <t>BOHOL ISLAND STATE UNIVERSITY - MAIN CAMPUS</t>
  </si>
  <si>
    <t>BARANGAY TAMBALIZA, CONCEPCION, ILOILO</t>
  </si>
  <si>
    <t>BARANGAY NORTE, DON CARLOS, BUKIDNON</t>
  </si>
  <si>
    <t>BARANGAY UPPER BAGONG TUDELA, JOSEFINA, ZAMBOANGA DEL SUR</t>
  </si>
  <si>
    <t>BARANGAY ALBALATE, CATBALOGAN, SAMAR</t>
  </si>
  <si>
    <t>BARANGAY 816 ZONE 88 DISTIRCT V, MANILA</t>
  </si>
  <si>
    <t>SAN NICOLAS WATER DISTRICT - ILOCOS NORTE</t>
  </si>
  <si>
    <t>DIPOLOG CITY WATER DISTRICT</t>
  </si>
  <si>
    <t>MUNICIPALITY OF PANTUKAN, COMPOSTELA VALLEY</t>
  </si>
  <si>
    <t>TESDA PROVINCIAL TRAINING CENTER-IFUGAO</t>
  </si>
  <si>
    <t>BARANGAY COGON, LA PAZ, LEYTE</t>
  </si>
  <si>
    <t>BARANGAY CANHANGDON OCCIDENTAL</t>
  </si>
  <si>
    <t>BARANGAY NATBA, BACARRA, ILOCOS NORTE</t>
  </si>
  <si>
    <t>BARANGAY TUROD, LUNA, APAYAO</t>
  </si>
  <si>
    <t>BARANGAY STA. TERESITA, STO. TOMAS, BATANGAS</t>
  </si>
  <si>
    <t>MUNICIPALITY OF LEON, ILOILO</t>
  </si>
  <si>
    <t>BARANGAY CROSSING - SAN ISIDRO LEYTE</t>
  </si>
  <si>
    <t>BARANGAY SAN VICENTE, STO. TOMAS, BATANGAS</t>
  </si>
  <si>
    <t>BARANGAY MAGSAYSAY NABUNTURAN COMPOSTELLA VALLEY</t>
  </si>
  <si>
    <t>MANUEL LUIS QUEZON ELEMENTARY SCHOOL</t>
  </si>
  <si>
    <t>DUNGGOAN ELEMENTARY SCHOOL - DANAO CITY CEBU</t>
  </si>
  <si>
    <t>BARANGAY UBOJAN, LOON, BOHOL</t>
  </si>
  <si>
    <t>BARANGAY CAN-UKBAN, OSLOB, CEBU</t>
  </si>
  <si>
    <t>MINES AND GEOSCIENCES BUREAU - REGION XII</t>
  </si>
  <si>
    <t>BARANGAY TUBODACU, LOON, BOHOL</t>
  </si>
  <si>
    <t>MUNICIPALITY OF DON CARLOS, BUKIDNON</t>
  </si>
  <si>
    <t>TECHNICAL EDUCATION &amp; SKILLS DEVELOPMENT AUTHORITY - CAVITE</t>
  </si>
  <si>
    <t>DEPARTMENT OF PUBLIC WORKS AND HIGHWAYS - BATAAN 2ND DEO</t>
  </si>
  <si>
    <t>MUNICIPALITY OF STA. CRUZ, OCCIDENTAL MINDORO</t>
  </si>
  <si>
    <t>BARANGAY POBLACION - SAN JOAQUIN, ILOILO</t>
  </si>
  <si>
    <t>BARANGAY LAWA-AN, ALORAN, MISAMIS OCCIDENTAL</t>
  </si>
  <si>
    <t>BARANGAY ALANGILAN, BATANGAS CITY, BATANGAS</t>
  </si>
  <si>
    <t>BARANGAY TINGGA ITAAS, BATANGAS CITY</t>
  </si>
  <si>
    <t>BARANGAY TUDDINGAN, NAGUILIAN, LA UNION</t>
  </si>
  <si>
    <t>BARANGAY STA. CRUZ, CALAPE, BOHOL</t>
  </si>
  <si>
    <t>BICOL UNIVERSITY POLANGUI CAMPUS</t>
  </si>
  <si>
    <t>MUNICIPALITY OF PLARIDEL, QUEZON</t>
  </si>
  <si>
    <t>MUNICIPALITY OF GEN. M. ALVAREZ, CAVITE</t>
  </si>
  <si>
    <t>DEPARTMENT OF PUBLIC WORKS AND HIGHWAYS - ILOCOS SUR 2ND DEO</t>
  </si>
  <si>
    <t>DEPARTMENT OF ENVIRONMENT AND NATURAL RES. - PENRO S. KUDARA</t>
  </si>
  <si>
    <t>MUNICIPALITY OF DUMANJUG, CEBU</t>
  </si>
  <si>
    <t>DEPARTMENT OF PUBLIC WORKS AND HIGHWAYS - PALAWAN 3RD DEO</t>
  </si>
  <si>
    <t>NATIONAL STATISTICS OFFICE - MISAMIS ORIENTAL BRANCH</t>
  </si>
  <si>
    <t>DBP BRANCH BANKING GROUP - BICOL</t>
  </si>
  <si>
    <t>BARANGAY AGBATUAN, ANILAO,ILOILO</t>
  </si>
  <si>
    <t>MUNICIPALITY OF VALDERRAMA, ANTIQUE</t>
  </si>
  <si>
    <t>MUNICIPALITY OF TIAONG, QUEZON</t>
  </si>
  <si>
    <t>BICOL UNIVERSITY</t>
  </si>
  <si>
    <t>BARANGAY BILBAO, RAPU-RAPU, ALBAY</t>
  </si>
  <si>
    <t>BARANGAY TULAY NA LUPA, LABO, CAMARINES NORTE</t>
  </si>
  <si>
    <t>MUNICIPALITY OF CARRASCAL, SURIGAO DEL SUR</t>
  </si>
  <si>
    <t>MUNICIPALIY OF PANITAN, CAPIZ</t>
  </si>
  <si>
    <t>BARANGAY MELILLA, STA. CRUZ, DAVAO DEL SUR</t>
  </si>
  <si>
    <t>MUNICIPALITY OF DOLORES, ABRA</t>
  </si>
  <si>
    <t>BARANGAY CRESENCIA VILLAGE, BENGUET, BAGUIO CITY</t>
  </si>
  <si>
    <t>BARANGAY MACABUG, AROROY, MASBATE</t>
  </si>
  <si>
    <t>BARANGAY MAGSAYSAY - PATNONGON ANTIQUE</t>
  </si>
  <si>
    <t>MUNICIPALITY OF BUUG - ZAMBOANGA SIBUGAY</t>
  </si>
  <si>
    <t>BARANGAY 39 - JASMIN CAVITE CITY CAVITE</t>
  </si>
  <si>
    <t>MUNICIPALITY OF DANGCAGAN, BUKIDNON</t>
  </si>
  <si>
    <t>OSPITAL NG PALAWAN</t>
  </si>
  <si>
    <t>BARANGAY BAGONG POOK (VI-C) - SAN PABLO CITY</t>
  </si>
  <si>
    <t>BARANGAY SALINGOGON - MINALABAC, CAMARINES SUR</t>
  </si>
  <si>
    <t>PROVINCE OF MARINDUQUE</t>
  </si>
  <si>
    <t>MUNICIPALITY OF AGUINALDO, IFUGAO</t>
  </si>
  <si>
    <t>SAMPAGUITA HIGH SCHOOL (JUNIOR)</t>
  </si>
  <si>
    <t>BARANGAY LABAO, LIBMANAN, CAMARINES SUR</t>
  </si>
  <si>
    <t>BARANGAY LUMBIA-ESTANCIA ILOILO</t>
  </si>
  <si>
    <t>MUNICIPALITY OF PIGCAWAYAN, COTABATO</t>
  </si>
  <si>
    <t>DEPARTMENT OF EDUCATION - DIVISION OF MASBATE CITY</t>
  </si>
  <si>
    <t>MUNICIPALITY OF BALIWAG, BULACAN</t>
  </si>
  <si>
    <t>LIGAO CITY WATER DISTRICT</t>
  </si>
  <si>
    <t>BARANGAY PANUNGYAN II</t>
  </si>
  <si>
    <t>TALUGTUG WATER DISTRICT</t>
  </si>
  <si>
    <t>TESDA - APARRI POLYTECHNIC INSTITUTE</t>
  </si>
  <si>
    <t>PHILIPPINE AMUSEMENT AND GAMING CORPORATION</t>
  </si>
  <si>
    <t>BARANGAY 777, ZONE 85, DISTRICT IV, MANILA</t>
  </si>
  <si>
    <t>BARANGAY CARROMATA, SAN MIGUEL, SURIGAO DEL SUR</t>
  </si>
  <si>
    <t>MUNICIPALITY OF SAN JUAN, BATANGAS</t>
  </si>
  <si>
    <t>MUNICIPALITY OF PILI, CAMARINES SUR</t>
  </si>
  <si>
    <t>UNIVERSITY OF SOUTHERN MINDANAO - KIDAPAWAN CITY CAMPUS</t>
  </si>
  <si>
    <t>WEST VISAYAS STATE UNIVERSITY MEDICAL CENTER - REGION VI</t>
  </si>
  <si>
    <t>BARANGAY SILANGA - TAYTAY, PALAWAN</t>
  </si>
  <si>
    <t>DEPARTMENT OF EDUCATION - DIVISION OF CADIZ CITY</t>
  </si>
  <si>
    <t>METRO VIGAN WATER DISTRICT</t>
  </si>
  <si>
    <t>MUNICIPALITY OF BUENAVISTA, AGUSAN DEL NORTE</t>
  </si>
  <si>
    <t>MANGGAHAN HIGH SCHOOL</t>
  </si>
  <si>
    <t>MUNICIPALITY OF STA. MAGDALENA, SORSOGON</t>
  </si>
  <si>
    <t>MUNICIPALITY OF BASILISA, DINAGAT ISLAND</t>
  </si>
  <si>
    <t>BARANGAY GUSING SUR, NAGUILIAN, LA UNION</t>
  </si>
  <si>
    <t>DEPARTMENT OF AGRICULTURE - REGION XII</t>
  </si>
  <si>
    <t>DEPARTMENT OF EDUCATION - DIVISION OF CAMARINES SUR</t>
  </si>
  <si>
    <t>PROVINCE OF ANTIQUE</t>
  </si>
  <si>
    <t>MUNICIPALITY OF SANTA FE, ROMBLON</t>
  </si>
  <si>
    <t>METRO ILOILO WATER DISTRICT</t>
  </si>
  <si>
    <t>BARANGAY PIIS, LUCBAN, QUEZON</t>
  </si>
  <si>
    <t>DEPARTMENT OF PUBLIC WORKS AND HIGHWAYS - REGION II</t>
  </si>
  <si>
    <t>BANGKO SENTRAL NG PILIPINAS - BUTUAN BRANCH</t>
  </si>
  <si>
    <t>MUNICIPALITY OF LAGAWE, IFUGAO</t>
  </si>
  <si>
    <t>MUNICIPALITY OF STA. CRUZ, MARINDUQUE</t>
  </si>
  <si>
    <t>BARANGAY TAMBO, LIPA CITY</t>
  </si>
  <si>
    <t>LERMA ELEMENTARY SCHOOL</t>
  </si>
  <si>
    <t>DON MARIANO MARCOS MEMORIAL STATE UNIVERSITY - BACNOTAN</t>
  </si>
  <si>
    <t>BARANGAY ATOTES - BINDOY NEGROS ORIENTAL</t>
  </si>
  <si>
    <t>DR. VICENTE F. GUSTILO MEMORIAL NATIONAL HIGH SCHOOL</t>
  </si>
  <si>
    <t>MUNICIPALITY OF BULA, CAMARINES SUR</t>
  </si>
  <si>
    <t>BARANGAY LIOAC NORTE, NAGUILIAN, LA UNION</t>
  </si>
  <si>
    <t>PHILIPPINE NORMAL UNIVERSITY</t>
  </si>
  <si>
    <t>CALAMBA WATER DISTRICT</t>
  </si>
  <si>
    <t>MUNICIPALITY OF NEW BATAAN, COMPOSTELA VALLEY</t>
  </si>
  <si>
    <t>BARANGAY BONGABONG, TUDELA, MISAMIS OCCIDENTAL</t>
  </si>
  <si>
    <t>MUNICIPALITY OF LIBUNGAN, COTABATO</t>
  </si>
  <si>
    <t>BARANGAY PAULOG, LIGAO CITY</t>
  </si>
  <si>
    <t>BARANGAY 3-A POBLACION - DAVAO CITY, DAVAO DEL SUR</t>
  </si>
  <si>
    <t>BARANGAY BITADTON SUR - CULASI ANTIQUE</t>
  </si>
  <si>
    <t>DEPARTMENT OF EDUCATION - DIVISION OF AGUSAN DEL SUR</t>
  </si>
  <si>
    <t>NATIONAL IRRIGATION ADMINISTRATION - ZAMBOANGA SIBUGAY</t>
  </si>
  <si>
    <t>MUNICIPALITY OF SAN JOSE DE BUENAVISTA, ANTIQUE</t>
  </si>
  <si>
    <t>BARANGAY MALUBIBIT NORTE FLORA APAYAO</t>
  </si>
  <si>
    <t>MUNICIPALITY OF JOSE PANGANIBAN, CAMARINES NORTE</t>
  </si>
  <si>
    <t>BUREAU OF INTERNAL REVENUE - REVENUE REGION NO. 9B-LAQUEMAR</t>
  </si>
  <si>
    <t>MUNICIPALITY OF BROOKE'S POINT, PALAWAN</t>
  </si>
  <si>
    <t>DEPARTMENT OF AGRICULTURE - REGION IV-B (MIMAROPA)</t>
  </si>
  <si>
    <t>JOSE RIZAL MEMORIAL STATE UNIVERSITY - SIOCON CAMPUS</t>
  </si>
  <si>
    <t>BARANGAY STO. NIÑO 1ST, SAN JOSE CITY, NUEVA ECIJA</t>
  </si>
  <si>
    <t>SARRAT WATER DISTRICT</t>
  </si>
  <si>
    <t>MUNICIPALITY OF IMPASUGONG, BUKIDNON</t>
  </si>
  <si>
    <t>BARANGAY DAANGHARI, NAVOTAS CITY</t>
  </si>
  <si>
    <t>MUNICIPALITY OF STO. TOMAS, PANGASINAN</t>
  </si>
  <si>
    <t>MUNICIPALITY OF BATAN, AKLAN</t>
  </si>
  <si>
    <t>BARANGAY VILLA COLOMA, BAGABAG, NUEVA VIZCAYA</t>
  </si>
  <si>
    <t>MUNICIPALITY OF LANUZA, SURIGAO DEL SUR</t>
  </si>
  <si>
    <t>BUREAU OF JAIL MANAGEMENT AND PENOLOGY XI</t>
  </si>
  <si>
    <t>CITY OF TALISAY, NEGROS OCCIDENTAL</t>
  </si>
  <si>
    <t>BARANGAY UPPER BICUTAN</t>
  </si>
  <si>
    <t>BENGUET GENERAL HOSPITAL</t>
  </si>
  <si>
    <t>BARANGAY BUENAVISTA - PRESENTACION, CAMARINES SUR</t>
  </si>
  <si>
    <t>MUNICIPALITY OF ZAMBOANGUITA, NEGROS ORIENTAL</t>
  </si>
  <si>
    <t>MUNICIPALITY OF CAPAS, TARLAC</t>
  </si>
  <si>
    <t>LAND TRANSPORTATION OFFICE - MAIN</t>
  </si>
  <si>
    <t>MUNICIPALITY OF ADAMS, ILOCOS NORTE</t>
  </si>
  <si>
    <t>BARANGAY CABOLOAN SUR, OTON, ILOILO</t>
  </si>
  <si>
    <t>BARANGAY TIGBAO, AROROY, MASBATE</t>
  </si>
  <si>
    <t>BARANGAY BUHATAN, RAPU-RAPU, ALBAY</t>
  </si>
  <si>
    <t>BARANGAY CALAMIGAN, CONCEPCION, ILOILO</t>
  </si>
  <si>
    <t>MINES AND GEO-SCIENCES BUREAU</t>
  </si>
  <si>
    <t>DEPARTMENT OF PUBLIC WORKS AND HIGHWAYS - NEGROS ORIENTAL 2N</t>
  </si>
  <si>
    <t>MUNICIPALITY OF SAN ISIDRO, BOHOL</t>
  </si>
  <si>
    <t>MUNICIPALITY OF CATEEL, DAVAO ORIENTAL</t>
  </si>
  <si>
    <t>BARANGAY MAYAO PARADA, LUCENA CITY</t>
  </si>
  <si>
    <t>MUNICIPALITY OF IROSIN, SORSOGON</t>
  </si>
  <si>
    <t>DUMAGUETE CITY WATER DISTRICT</t>
  </si>
  <si>
    <t>DEPARTMENT OF NATIONAL DEFENSE - GOVERNMENT ARSENAL, BATAAN</t>
  </si>
  <si>
    <t>MUNICIPALITY OF NAIC, CAVITE</t>
  </si>
  <si>
    <t>MUNICIPALITY OF JALAJALA, RIZAL</t>
  </si>
  <si>
    <t>BARANGAY STA. BARBARA, RAPU-RAPU, ALBAY</t>
  </si>
  <si>
    <t>DEPARTMENT OF EDUCATION - SCHOOLS DIVISION OF TANDAG CITY</t>
  </si>
  <si>
    <t>MUNICIPALITY OF SAN ANDRES, QUEZON</t>
  </si>
  <si>
    <t>DEPARTMENT OF PUBLIC WORKS AND HIGHWAYS - ALBAY 3RD DEO</t>
  </si>
  <si>
    <t>BARANGAY SANTIAGO SANCHEZ MIRA CAGAYAN</t>
  </si>
  <si>
    <t>NATIONAL CONCILIATION AND MEDIATION BOARD - NCR</t>
  </si>
  <si>
    <t>BARANGAY CARMEN, JIMENEZ, MISAMIS OCCIDENTAL</t>
  </si>
  <si>
    <t>MUNICIPALITY OF TUPI, SOUTH COTABATO</t>
  </si>
  <si>
    <t>VILLACIN NATIONAL HIGH SCHOOL (JUNIOR HIGH)</t>
  </si>
  <si>
    <t>MUNICIPALITY OF MAYOYAO, IFUGAO</t>
  </si>
  <si>
    <t>MUNICIPALITY OF KALAYAAN, PALAWAN</t>
  </si>
  <si>
    <t>TERESA WATER DISTRICT</t>
  </si>
  <si>
    <t>LIANGA WATER DISTRICT</t>
  </si>
  <si>
    <t>PUERTO PRINCESA SCHOOL OF ARTS AND TRADES</t>
  </si>
  <si>
    <t>BARANGAY POBLACION - STO. NIÑO SOUTH COTABATO</t>
  </si>
  <si>
    <t>BARANGAY BAGAOBAWAN, RAPU-RAPU, ALBAY</t>
  </si>
  <si>
    <t>MUNICIPALITY OF LIBJO, DINAGAT ISLANDS</t>
  </si>
  <si>
    <t>MUNICIPALITY OF PANUKULAN, QUEZON</t>
  </si>
  <si>
    <t>MUNICIPALITY OF MANAOAG, PANGASINAN</t>
  </si>
  <si>
    <t>DEPARTMENT OF PUBLIC WORKS AND HIGHWAYS - CEBU 3RD DEO</t>
  </si>
  <si>
    <t>DEPARTMENT OF EDUCATION - DIVISION OF ABRA</t>
  </si>
  <si>
    <t>DEPARTMENT OF PUBLIC WORKS AND HIGHWAYS - QUIRINO DEO</t>
  </si>
  <si>
    <t>MUNICIPALITY OF MIDSAYAP, NORTH COTABATO</t>
  </si>
  <si>
    <t>DEPARTMENT OF ENVIRONMENT AND NATURAL RES. - PENRO-SIQUIJOR</t>
  </si>
  <si>
    <t>LOPEZ WATER DISTRICT</t>
  </si>
  <si>
    <t>LOCAL GOVERNMENT UNIT-MULANAY, QUEZON</t>
  </si>
  <si>
    <t>DEPARTMENT OF PUBLIC WORKS AND HIGHWAYS - ILOILO 4TH DEO</t>
  </si>
  <si>
    <t>BUREAU OF CUSTOMS - PORT OF CEBU</t>
  </si>
  <si>
    <t>BARANGAY GALICIA, RAPU-RAPU, ALBAY</t>
  </si>
  <si>
    <t>DEPARTMENT OF PUBLIC WORKS AND HIGHWAYS - LA UNION 1ST ED</t>
  </si>
  <si>
    <t>MUNICIPALITY OF BENITO SOLIVEN, ISABELA</t>
  </si>
  <si>
    <t>DEPARTMENT OF PUBLIC WORKS AND HIGHWAYS - ILOILO 2ND DISTRIC</t>
  </si>
  <si>
    <t>BARANGAY SAN ISIDRO - GALAS, QUEZON CITY</t>
  </si>
  <si>
    <t>FIBER INDUSTRY DEVELOPMENT AUTHORITY - REGION IX</t>
  </si>
  <si>
    <t>BASES CONVERSION AND DEVELOPMENT AUTHORITY - MAIN</t>
  </si>
  <si>
    <t>BANGKO SENTRAL NG PILIPINAS - LUCENA</t>
  </si>
  <si>
    <t>DEPARTMENT OF  EDUCATION - DIVISION OF MALOLOS CITY</t>
  </si>
  <si>
    <t>DEPARTMENT OF PUBLIC WORKS AND HIGHWAYS - CAMARINES NORTE ED</t>
  </si>
  <si>
    <t>BARANGAY MASAPANG, VICTORIA, LAGUNA</t>
  </si>
  <si>
    <t>RAMON M. DURANO SR. MEMORIAL NATIONAL HIGH SCHOOL - DANAO CI</t>
  </si>
  <si>
    <t>BARANGAY MAYAPYAP SUR, CABANATUAN CITY ,NUEVA ECIJA</t>
  </si>
  <si>
    <t>COAST GUARD INTERNAL AFFAIRS SERVICE</t>
  </si>
  <si>
    <t>MUNICIPALITY OF PAOAY, ILOCOS NORTE</t>
  </si>
  <si>
    <t>MUNICIPALITY OF AGDANGAN, QUEZON</t>
  </si>
  <si>
    <t>CIVIL AVIATION AUTHORITY OF THE PHILIPPINES - DAVAO INTERNAT</t>
  </si>
  <si>
    <t>NATIONAL POWER CORPORATION - MINGEN, PULANGI IV HEP</t>
  </si>
  <si>
    <t>TIGLAWIGAN ELEMENTARY SCHOOL</t>
  </si>
  <si>
    <t>DEPARTMENT OF PUBLIC WORKS AND HIGHWAYS - SULTAN KUDARAT 2ND</t>
  </si>
  <si>
    <t>MUNICIPALITY OF CALUYA, ANTIQUE</t>
  </si>
  <si>
    <t>WANGAN ELEMENTARY SCHOOL</t>
  </si>
  <si>
    <t>CITY OF LAPU-LAPU</t>
  </si>
  <si>
    <t>BARANGAY PROGRESO WESTE, ODIONGAN, ROMBLON</t>
  </si>
  <si>
    <t>BARANGAY DOMOIT, LUCENA CITY</t>
  </si>
  <si>
    <t>BARANGAY SAN MANUEL, SAN JOSE DEL MONTE CITY, BULACAN</t>
  </si>
  <si>
    <t>ALIMATOC ELEMENTARY SCHOOL</t>
  </si>
  <si>
    <t>AGRICULTURAL TRAINING INSTITUTE - REGION III</t>
  </si>
  <si>
    <t>BARANGAY TIGATTO, DAVAO CITY</t>
  </si>
  <si>
    <t>BARANGAY BUHANGIN, DAVAO CITY</t>
  </si>
  <si>
    <t>BARANGAY JULUGAN 8, TANZA CAVITE</t>
  </si>
  <si>
    <t>MUNICIPALITY OF ROSARIO, CAVITE</t>
  </si>
  <si>
    <t>DEPARTMENT OF EDUCATION - DIVISION OF BUKIDNON</t>
  </si>
  <si>
    <t>DEPARTMENT OF PUBLIC WORKS AND HIGHWAYS - PALAWAN 2ND DEO</t>
  </si>
  <si>
    <t>DEPARTMENT OF PUBLIC WORKS AND HIGHWAYS - REGION IV-A</t>
  </si>
  <si>
    <t>SUBIC BAY METROPOLITAN AUTHORITY</t>
  </si>
  <si>
    <t>MUNICIPALITY OF MANOLO FORTICH, BUKIDNON</t>
  </si>
  <si>
    <t>DEPARTMENT OF PUBLIC WORKS AND HIGHWAYS - REGION XI</t>
  </si>
  <si>
    <t>MUNICIPALITY OF MANJUYOD, NEGROS ORIENTAL</t>
  </si>
  <si>
    <t>BARANGAY LOWER BICUTAN, TAGUIG CITY</t>
  </si>
  <si>
    <t>DUALE ELEMENTARY SCHOOL - LIMAY BATAAN</t>
  </si>
  <si>
    <t>MUNICIPALITY OF AMADEO, CAVITE</t>
  </si>
  <si>
    <t>CITY OF ANGELES, PAMPANGA</t>
  </si>
  <si>
    <t>BARANGAY POBLACION NORTE - SIGMA CAPIZ</t>
  </si>
  <si>
    <t>TESDA-IX, PROVINCIAL TRAINING CENTER - SINDANGAN</t>
  </si>
  <si>
    <t>SOUTHERN LUZON STATE UNIVERSITY</t>
  </si>
  <si>
    <t>MUNICIPALITY OF SAN NICOLAS, BATANGAS</t>
  </si>
  <si>
    <t>BARANGAY DEMAPACO - LIBUNGAN COTABATO</t>
  </si>
  <si>
    <t>DEPARTMENT OF EDUCATION - DIVISION OF ORIENTAL MINDORO</t>
  </si>
  <si>
    <t>CITY OF VICTORIAS, NEGROS OCCIDENTAL</t>
  </si>
  <si>
    <t>BARANGAY PALMA GIL, TALAINGOD, DAVAO DEL NORTE</t>
  </si>
  <si>
    <t>BARANGAY SIHI, BUENAVISTA, MARINDUQUE</t>
  </si>
  <si>
    <t>MUNICIPALITY OF CALINOG, ILOILO</t>
  </si>
  <si>
    <t>PHILIPPINE NATIONAL POLICE - INTELLIGENCE GROUP</t>
  </si>
  <si>
    <t>BARANGAY ILVITA, SABLAYAN, OCCIDENTAL MINDORO</t>
  </si>
  <si>
    <t>CITY OF TOLEDO, CEBU</t>
  </si>
  <si>
    <t>BARANGAY NABULO - CATUBIG NORTHERN SAMAR</t>
  </si>
  <si>
    <t>AKLAN STATE UNIVERSITY - BANGA CAMPUS</t>
  </si>
  <si>
    <t>BARANGAY BANABA EAST, BATANGAS CITY, BATANGAS</t>
  </si>
  <si>
    <t>BARANGAY PISAAN - SAN FRANCISCO AGUSAN DEL SUR</t>
  </si>
  <si>
    <t>BARANGAY DELA PAZ, LOPEZ, QUEZON</t>
  </si>
  <si>
    <t>BARANGAY DARAHUWAY DACO, CATBALOGAN CITY, SAMAR</t>
  </si>
  <si>
    <t>DEPARTMENT OF JUSTICE - MAIN</t>
  </si>
  <si>
    <t>BARANGAY CABUGAO, RAGAY, CAAMRINES SUR</t>
  </si>
  <si>
    <t>BARANGAY PINYA, LABO, CAMARINES NORTE</t>
  </si>
  <si>
    <t>BARANGAY CHITONGCO, MONDRAGON, NORTHERN SAMAR</t>
  </si>
  <si>
    <t>GHQ BAC1 SECRETARIAT, AFP PROCUREMENT SERVICE</t>
  </si>
  <si>
    <t>BARANGAY LIBAS, CATBALOGAN, SAMAR</t>
  </si>
  <si>
    <t>BARANGAY SAN ISIDRO, VALENCIA CITY, BUKIDNON</t>
  </si>
  <si>
    <t>DEPARTMENT OF PUBLIC WORKS AND HIGHWAYS - BUKIDNON 2ND DEO</t>
  </si>
  <si>
    <t>MUNICIPALITY OF ALCOY, CEBU</t>
  </si>
  <si>
    <t>CAPT. H. FRANCISCO ELEMENTARY SCHOOL (MAIN) PATEROS</t>
  </si>
  <si>
    <t>BARANGAY STA. FE, ABUYOG, LEYTE</t>
  </si>
  <si>
    <t>BARANGAY 10 POBLACION, CATBALOGAN CITY, SAMAR</t>
  </si>
  <si>
    <t>MUNICIPALITY OF QUEZON, QUEZON</t>
  </si>
  <si>
    <t>MUNICIPALITY OF SAN ILDEFONSO, BULACAN</t>
  </si>
  <si>
    <t>DEPARTMENT OF PUBLIC WORKS AND HIGHWAYS - BOHOL 1ST ED</t>
  </si>
  <si>
    <t>MUNICIPALITY OF CARDONA, RIZAL</t>
  </si>
  <si>
    <t>DAVAO REGIONAL MEDICAL CENTER</t>
  </si>
  <si>
    <t>BARANGAY BIBINCAHAN, SORSOGON CITY</t>
  </si>
  <si>
    <t>BARANGAY COGON - KAPUTIAN</t>
  </si>
  <si>
    <t>CAMARINES NORTE STATE COLLEGE</t>
  </si>
  <si>
    <t>MUNICIPALITY OF ALUBIJID, MISAMIS ORIENTAL</t>
  </si>
  <si>
    <t>MUNICIPALITY OF PANIQUI, TARLAC</t>
  </si>
  <si>
    <t>MUNICIPALITY OF MADRID ,  SURIGAO DEL SUR</t>
  </si>
  <si>
    <t>MUNICIPALITY OF SURALLAH, SOUTH COTABATO</t>
  </si>
  <si>
    <t>BARANGAY UGAC SUR - UGAC SUR TUGUEGARAO CITY</t>
  </si>
  <si>
    <t>PHILIPPINE SCIENCE HIGH SCHOOL - CAR CAMPUS</t>
  </si>
  <si>
    <t>PROVINCE OF NORTHERN SAMAR</t>
  </si>
  <si>
    <t>PROVINCE OF DAVAO OCCIDENTAL</t>
  </si>
  <si>
    <t>MUNICIPALITY OF NABUNTURAN, COMPOSTELA VALLEY</t>
  </si>
  <si>
    <t>DEPARTMENT OF PUBLIC WORKS AND HIGHWAYS - CEBU 4TH DEO</t>
  </si>
  <si>
    <t>BARANGAY SAN JOSE (POBLACION), SAN JOSE, DINAGAT ISLAND</t>
  </si>
  <si>
    <t>BARANGAY TANZA 2 - NAVOTAS CITY</t>
  </si>
  <si>
    <t>BARANGAY 1 MAON, BUTUAN CITY</t>
  </si>
  <si>
    <t>BARANGAY GOV. PACIANO BANGOY, DAVAO CITY</t>
  </si>
  <si>
    <t>BARANGAY APALIT, FLORIDABLANCA, PAMPANGA</t>
  </si>
  <si>
    <t>AYUNGON WATER DISTRICT</t>
  </si>
  <si>
    <t>BARANGAY BILUCAO SAMPALOC QUEZON</t>
  </si>
  <si>
    <t>NUEVA ECIJA UNIVERSITY OF SCIENCE AND TECHNOLOGY</t>
  </si>
  <si>
    <t>MUNICIPALITY OF JONES, ISABELA</t>
  </si>
  <si>
    <t>BUENAVISTA WATER DISTRICT - GUIMARAS</t>
  </si>
  <si>
    <t>SENATE OF THE PHILIPPINES</t>
  </si>
  <si>
    <t>BARANGAY DALAHICAN, LUCENA CITY</t>
  </si>
  <si>
    <t>BARANGAY ZONE III POBLACION, ATIMONAN, QUEZON</t>
  </si>
  <si>
    <t>BARANGAY CAPURICTAN, SOLSONA, ILOCOS NORTE</t>
  </si>
  <si>
    <t>MUNICIPALITY OF DON VICTORIANO CHIONGBIAN, MIS. OCCIDENTAL</t>
  </si>
  <si>
    <t>BARANGAY 55-C VIRA, LAOAG CITY</t>
  </si>
  <si>
    <t>MAGALLANES ELEMENTARY SCHOOL</t>
  </si>
  <si>
    <t>BARANGAY SANTA MARIA - PAGADIAN CITY</t>
  </si>
  <si>
    <t>LIGA NG MGA BARANGAY, BANSALAN, DAVAO DEL SUR</t>
  </si>
  <si>
    <t>BARANGAY BAGASAWE, TUBURAN, CEBU</t>
  </si>
  <si>
    <t>BARANGAY MOMBON - ZUMARRAGA SAMAR</t>
  </si>
  <si>
    <t>DEPARTMENT OF PUBLIC WORKS AND HIGHWAYS - LOWER KALINGA DEO</t>
  </si>
  <si>
    <t>MUNICIPALITY OF QUINAPONDAN, EASTERN SAMAR</t>
  </si>
  <si>
    <t>BARANGAY MARAVILLA, NAGCARLAN, LAGUNA</t>
  </si>
  <si>
    <t>MUNICIPALITY OF SAN MIGUEL, BOHOL</t>
  </si>
  <si>
    <t>MUNICIPALITY OF KIBUNGAN, BENGUET</t>
  </si>
  <si>
    <t>TANGALAN NATIONAL HIGH SCHOOL</t>
  </si>
  <si>
    <t>MUNICIPALITY OF SAGBAYAN, BOHOL</t>
  </si>
  <si>
    <t>SACRED HEART VILLAGE ELEMENTARY SCHOOL</t>
  </si>
  <si>
    <t>BARANGAY CANAMUCAN, COMPOSTELA, CEBU</t>
  </si>
  <si>
    <t>DEPARTMENT OF PUBLIC WORKS AND HIGHWAYS - CAMIGUIN DEO</t>
  </si>
  <si>
    <t>MUNICIPALITY OF ANINI-Y, ANTIQUE</t>
  </si>
  <si>
    <t>BARANGAY MAPULO - TAYSAN, BATANGAS</t>
  </si>
  <si>
    <t xml:space="preserve">DEPARTMENT OF EDUCATION, DIVISION OF DAVAO DEL SUR </t>
  </si>
  <si>
    <t>DEPARTMENT OF PUBLIC WORKS AND HIGHWAYS - ZAMBALES 2ND DEO</t>
  </si>
  <si>
    <t>BARANGAY DON MANUEL - QUEZON CITY</t>
  </si>
  <si>
    <t>MUNICIPALITY OF CANDELARIA, QUEZON</t>
  </si>
  <si>
    <t>PAKIL WATER DISTRICT</t>
  </si>
  <si>
    <t>CARLOS HILADO MEMORIAL STATE COLLEGE</t>
  </si>
  <si>
    <t>MOONWALK NATIONAL HIGH SCHOOL</t>
  </si>
  <si>
    <t>BARANGAY PATUNGAN - MARAGONDON CAVITE</t>
  </si>
  <si>
    <t>DEPARTMENT OF HEALTH - DRUG TREATMENT AND REHABILITATION CEN</t>
  </si>
  <si>
    <t>MUNICIPALITY OF CORDON, ISABELA</t>
  </si>
  <si>
    <t>CADIZ WEST I ELEMENTARY SCHOOL</t>
  </si>
  <si>
    <t>MUNICIPALITY OF SAN FRANCISCO, QUEZON</t>
  </si>
  <si>
    <t>BARANGAY RIZAL LAPUZ SUR, ILOILO CITY</t>
  </si>
  <si>
    <t>BARANGAY MAYBUNGA - PASIG CITY</t>
  </si>
  <si>
    <t>BANGKO SENTRAL NG PILIPINAS - GEN. SANTOS BRANCH</t>
  </si>
  <si>
    <t>BOHOL ISLAND STATE UNIVERSITY - CALAPE</t>
  </si>
  <si>
    <t>SAN CARLOS CITY WATER DISTRICT</t>
  </si>
  <si>
    <t>DEPARTMENT OF PUBLIC WORKS AND HIGHWAYS - MISAMIS ORIENTAL 1</t>
  </si>
  <si>
    <t>MUNICIPALITY OF KIAMBA, SARANGANI</t>
  </si>
  <si>
    <t>MUNICIPALITY OF CLARIN, BOHOL</t>
  </si>
  <si>
    <t>BARANGAY STA. LUCIA, SAN FERNANDO, PAMPANGA</t>
  </si>
  <si>
    <t>MUNICIPALITY OF VINCENZO SAGUN, ZAMBOANGA DEL SUR</t>
  </si>
  <si>
    <t>DEPARTMENT OF PUBLIC WORKS AND HIGHWAYS - SAMAR 1ST DEO</t>
  </si>
  <si>
    <t>MUNICIPALITY OF VILLABA, LEYTE</t>
  </si>
  <si>
    <t>BARANGAY MALPITIC, SAN FERNANDO, PAMPANGA</t>
  </si>
  <si>
    <t>DEPARTMENT OF PUBLIC WORKS AND HIGHWAYS - LEYTE 4TH DEO</t>
  </si>
  <si>
    <t>BUREAU OF THE TREASURY, REGION 06</t>
  </si>
  <si>
    <t>SAN AGUSTIN INTEGRATED SCHOOL (ANNEX )- SAN FERNANDO CITY PA</t>
  </si>
  <si>
    <t>MUNICIPALITY OF BURGOS, ILOCOS SUR</t>
  </si>
  <si>
    <t>BARANGAY STO.ROSARIO,ANILAO,ILOILO</t>
  </si>
  <si>
    <t>METRO KALIBO WATER DISTRICT</t>
  </si>
  <si>
    <t>MUNICIPALITY OF INFANTA, QUEZON</t>
  </si>
  <si>
    <t>BARANGAY NATO, ANINI-Y, ANTIQUE</t>
  </si>
  <si>
    <t>BARANGAY AGDANGAN, BAAO, CAMARINES SUR</t>
  </si>
  <si>
    <t>BUSCO ELEMENTARY SCHOOL</t>
  </si>
  <si>
    <t>BARANGAY POBLACION 06, TUBURAN, CEBU</t>
  </si>
  <si>
    <t>PROVINCE OF CAMIGUIN</t>
  </si>
  <si>
    <t>BARANGAY VINAS, CALAUAG, QUEZON</t>
  </si>
  <si>
    <t>VIRAC WATER DISTRICT</t>
  </si>
  <si>
    <t>MUNICIPALITY OF SAN TEODORO, ORIENTAL MINDORO</t>
  </si>
  <si>
    <t>MUNICIPALITY OF MACALELON, QUEZON</t>
  </si>
  <si>
    <t>BARANGAY CAGLAYAG, CARRASCAL, SURIGAO DEL SUR</t>
  </si>
  <si>
    <t>BARANGAY BAGUMBAYAN, TAGUIG CITY</t>
  </si>
  <si>
    <t>ISABELA CITY WATER DISTRICT</t>
  </si>
  <si>
    <t>MUNICIPALITY OF HINIGARAN, NEGROS OCCIDENTAL</t>
  </si>
  <si>
    <t>MUNICIPALITY OF SAN JOSE, BATANGAS</t>
  </si>
  <si>
    <t>BARANGAY NEW CARMEN, TACURONG CITY, SULTAN KUDARAT</t>
  </si>
  <si>
    <t>BURUANGA VOCATIONAL SCHOOL</t>
  </si>
  <si>
    <t>DEPARTMENT OF AGRICULTURE (A- PRDP RPCO 8) - TACLOBAN CITY L</t>
  </si>
  <si>
    <t>BARANGAY APITONG - NAUJAN, ORIENTAL MINDORO</t>
  </si>
  <si>
    <t>MUNICIPALITY OF CORTES, SURIGAO DEL SUR</t>
  </si>
  <si>
    <t>MUNICIPALITY OF LAAK, COMPOSTELA VALLEY</t>
  </si>
  <si>
    <t>BARANAGAY SAN JUAN - BULALACAO ORIENTAL MINDORO</t>
  </si>
  <si>
    <t>ILOILO SCIENCE AND TECHNOLOGY UNIVERSITY BN CAMPUS</t>
  </si>
  <si>
    <t>DALAGUETE WATER DISTRICT</t>
  </si>
  <si>
    <t>BARANGAY APALAN, TUBURAN, CEBU</t>
  </si>
  <si>
    <t>MUNICIPALITY OF GREGORIO DEL PILAR, ILOCOS SUR</t>
  </si>
  <si>
    <t>BARANGAY TAGUSTUSAN, BALILIHAN, BOHOL</t>
  </si>
  <si>
    <t>PILI NATIONAL HIGH SCHOOL</t>
  </si>
  <si>
    <t>MUNICIPALITY OF ROSELLER T. LIM, ZAMBOANGA SIBUGAY</t>
  </si>
  <si>
    <t>DEPARTMENT OF PUBLIC WORKS AND HIGHWAYS - DAVAO ORIENTAL 1ST</t>
  </si>
  <si>
    <t>DEPARTMENT OF PUBLIC WORKS AND HIGHWAYS - TARLAC 1ST DEO</t>
  </si>
  <si>
    <t>BARANGAY LIDONG, STO. DOMINGO, ALBAY</t>
  </si>
  <si>
    <t>LUNUCAN ELEMENTARY SCHOOL - MANOLO FORTICH BUKIDNON</t>
  </si>
  <si>
    <t>BARANGAY KAMPOOT, TUBURAN, CEBU</t>
  </si>
  <si>
    <t>TECHNICAL EDUCATION &amp; SKILLS DEVELOPMENT AUTHORITY - SAN JOS</t>
  </si>
  <si>
    <t>DEPARTMENT OF PUBLIC WORKS AND HIGHWAYS - PANGASINAN 2ND</t>
  </si>
  <si>
    <t>PROVINCE OF PAMPANGA</t>
  </si>
  <si>
    <t>MUNICIPALITY OF SOGOD, CEBU</t>
  </si>
  <si>
    <t>BARANGAY SAN CARLOS,ANILAO,ILOILO</t>
  </si>
  <si>
    <t>DEPARTMENT OF EDUCATION - GENERAL SANTOS CITY</t>
  </si>
  <si>
    <t>CIVIL AVIATION AUTHORITY OF THE PHILIPPINES - ANTIQUE</t>
  </si>
  <si>
    <t>DEPARTMENT OF PUBLIC WORKS AND HIGHWAYS - CAGAYAN DE ORO CIT</t>
  </si>
  <si>
    <t>MUNICIPALITY OF CATIGBIAN, BOHOL</t>
  </si>
  <si>
    <t>BARANGAY ASAN SUR, SISON, PANGASINAN</t>
  </si>
  <si>
    <t>BARANGAY ANTONGALON, BUTUAN CITY</t>
  </si>
  <si>
    <t>SIRANGLUPA ELEMENTARY SCHOOL</t>
  </si>
  <si>
    <t>DEPARTMENT OF PUBLIC WORKS AND HIGHWAYS - BATANGAS IV DEO</t>
  </si>
  <si>
    <t>BARANGAY CAHAGUIKICAN, POTOTAN, ILOILO</t>
  </si>
  <si>
    <t>UNIVERSITY OF THE PHILIPPINES - MINDANAO</t>
  </si>
  <si>
    <t>PHILIPPINE STATISTICS AUTHORITY - REGION IV-A</t>
  </si>
  <si>
    <t>BARANGAY GUIBUANGAN - POTOTAN, ILOILO</t>
  </si>
  <si>
    <t>SOCIAL SECURITY SYSTEM - LUZON SOUTH DIVISION 2</t>
  </si>
  <si>
    <t>BARANGAY CASALSAGAN, POTOTAN, ILOILO</t>
  </si>
  <si>
    <t>BARANGAY VETERANS VILLAGE, QUEZON CITY</t>
  </si>
  <si>
    <t>MUNICIPALITY OF DARAM, SAMAR</t>
  </si>
  <si>
    <t>DEPARTMENT OF AGRARIAN REFORM - NORTHERN SAMAR</t>
  </si>
  <si>
    <t>BARANGAY MURITULA, SAN LUIS, AGUSAN DEL SUR</t>
  </si>
  <si>
    <t>ASSOCIATION OF BARANGAY TREASURERS - GEN. MAMERTO NATIVIDAD</t>
  </si>
  <si>
    <t>BARANGAY MALIMATOC 1, MABINI, BATANGAS</t>
  </si>
  <si>
    <t>MUNICIPALITY OF TAGO, SURIGAO DEL SUR</t>
  </si>
  <si>
    <t>MUNICIPALITY OF NAGUILIAN, ISABELA</t>
  </si>
  <si>
    <t>MUNICIPALITY OF SAN VICENTE, PALAWAN</t>
  </si>
  <si>
    <t>TESDA REGIONAL TRAINING CENTER - REGION I</t>
  </si>
  <si>
    <t>DEPARTMENT OF AGRARIAN REFORM - NEGROS ORIENTAL PROV'L OFF.</t>
  </si>
  <si>
    <t>NATIONAL IRRIGATION ADMINISTRATION - REGION I</t>
  </si>
  <si>
    <t>BARANGAY ABELLA NAGA CITY CAMARINES SUR</t>
  </si>
  <si>
    <t>BARANGAY NAGPATAYAN, BANNA, ILOCOS NORTE</t>
  </si>
  <si>
    <t>DEPARTMENT OF PUBLIC WORKS AND HIGHWAYS - LAGUNA 1ST ED</t>
  </si>
  <si>
    <t>DEPARTMENT OF PUBLIC WORKS AND HIGHWAYS - NEGROS ORIENTAL 1S</t>
  </si>
  <si>
    <t>MUNICIPALITY OF MALABUYOC, CEBU</t>
  </si>
  <si>
    <t>UNIVERSITY OF SCIENCE &amp; TECH. OF SOUTHERN PHIL.-CLAVERIA</t>
  </si>
  <si>
    <t>BARANGAY SAMBUNGAN, CALATAGAN, BATANGAS</t>
  </si>
  <si>
    <t>DEPARTMENT OF PUBLIC WORKS AND HIGHWAYS - SURIGAO DEL SUR 2N</t>
  </si>
  <si>
    <t>BARANGAY 08 POBLACION, CATBALOGAN CITY, SAMAR</t>
  </si>
  <si>
    <t>DEPARTMENT OF PUBLIC WORKS AND HIGHWAYS - CEBU 1ST DEO</t>
  </si>
  <si>
    <t>BARANGAY MALAYUGAN FLORA APAYAO</t>
  </si>
  <si>
    <t>CITY GOVERNMENT OF BACOOR</t>
  </si>
  <si>
    <t>BARANGAY BAYABAS AURORA ZAMBOANGA DEL SUR</t>
  </si>
  <si>
    <t>MUNICIPALITY OF SINAIT, ILOCOS SUR</t>
  </si>
  <si>
    <t>BARANGAY A. BONIFACIO SUR, LLANERA, NUEVA ECIJA</t>
  </si>
  <si>
    <t>MUNICIPALITY OF TRINIDAD, BOHOL</t>
  </si>
  <si>
    <t>PROFESSIONAL REGULATION COMMISSION - ILOILO REGIONAL OFFICE</t>
  </si>
  <si>
    <t>BARANGAY TALIBAYOG, CALATAGAN, BATANGAS</t>
  </si>
  <si>
    <t>BARANGAY BALUCANAD, CAPOOCAN, LEYTE</t>
  </si>
  <si>
    <t>MUNICIPALITY OF LIDLIDDA, ILOCOS SUR</t>
  </si>
  <si>
    <t>MABINI NATIONAL HIGH SCHOOL - NEGROS OCCIDENTAL</t>
  </si>
  <si>
    <t>MUNICIPALITY OF MARAMAG, BUKIDNON</t>
  </si>
  <si>
    <t>CITY OF OLONGAPO, ZAMBALES</t>
  </si>
  <si>
    <t>BARANGAY CARIGANGAN - JANIUAY, ILOILO</t>
  </si>
  <si>
    <t>BARANGAY BAGONG SILANG, CALATAGAN, BATANGAS</t>
  </si>
  <si>
    <t>BARANGAY  PANAMOREN - LAAK COMPOSTELA VALLEY</t>
  </si>
  <si>
    <t>DON CARLOS NORTE ELEMENTARY SCHOOL</t>
  </si>
  <si>
    <t>OFFICE OF CIVIL DEFENSE</t>
  </si>
  <si>
    <t>DEPARTMENT OF ENERGY - MAIN</t>
  </si>
  <si>
    <t>MUNICIPALITY OF MALANGAS, ZAMBOANGA SIBUGAY</t>
  </si>
  <si>
    <t>BUREAU OF FISHERIES AND AQUATIC RESOURCES - REGION VI</t>
  </si>
  <si>
    <t>PHILIPPINE SCIENCE HIGH SCHOOL - MAIN CAMPUS</t>
  </si>
  <si>
    <t>NATIONAL CONCILIATION AND MEDIATION BOARD - GENERAL SANTOS C</t>
  </si>
  <si>
    <t>DEPARTMENT OF PUBLIC WORKS AND HIGHWAYS - BENGUET 2ND DEO</t>
  </si>
  <si>
    <t>BARANGAY 235 ZONE 22 DISTRICT II, MANILA</t>
  </si>
  <si>
    <t>BARANGAY 186 ZONE- 16  DISTRICT 11,MANILA</t>
  </si>
  <si>
    <t>BARAGAY MAANGAS -  PRESENTACION, CAMARINES SUR</t>
  </si>
  <si>
    <t>BARANGAY PAYAGAN EAST, BALLESTEROS, CAGAYAN</t>
  </si>
  <si>
    <t>NORALA WATER DISTRICT</t>
  </si>
  <si>
    <t>MUNICIPALITY OF MINALIN, PAMPANGA</t>
  </si>
  <si>
    <t>BARANGAY 385, ZONE 39, DISTRICT III, MANILA</t>
  </si>
  <si>
    <t>DEPARTMENT OF EDUCATION - REGION III</t>
  </si>
  <si>
    <t>MUNICIPALITY OF SAN CLEMENTE, TARLAC</t>
  </si>
  <si>
    <t>BARANGAY 802 ZONE 87, MANILA CITY</t>
  </si>
  <si>
    <t>BARANGAY STA.CRUZ -  GUINAYANGAN QUEZON</t>
  </si>
  <si>
    <t>BARANGAY 842, ZONE 92, DISTRICT VI, MANILA</t>
  </si>
  <si>
    <t>MUNICIPALITY OF DAGUIOMAN, ABRA</t>
  </si>
  <si>
    <t xml:space="preserve">DA - PHILIPPINE RURAL DEVELOPMENT PROJECT - PSO VISAYAS </t>
  </si>
  <si>
    <t>CARCAR CENTRAL NATIONAL HIGH SCHOOL - CARCAR CEBU</t>
  </si>
  <si>
    <t>MINISTRY OF PUBLIC WORKS - (BARMM) MAGUINDANAO COTABATO CITY</t>
  </si>
  <si>
    <t>BARANGAY BATUG, MACARTHUR, LEYTE</t>
  </si>
  <si>
    <t>MUNICIPALITY OF PILAR, SURIGAO DEL NORTE</t>
  </si>
  <si>
    <t>BARANGAY RIZAL - SAN ANDRES, CATANDUANES</t>
  </si>
  <si>
    <t>BARANGAY TAYAMAAN - MAMBURAO, OCCIDENTAL MINDORO</t>
  </si>
  <si>
    <t>BARANGAY NEW LOWER BICUTAN, TAGUIG CITY</t>
  </si>
  <si>
    <t>MUNICIPALITY OF BANSALAN, DAVAO DEL SUR</t>
  </si>
  <si>
    <t>BARANGAY QUEZON JR - ORMOC, CITY</t>
  </si>
  <si>
    <t>MUNICIPALITY OF GASAN, MARINDUQUE</t>
  </si>
  <si>
    <t>MUNICIPALITY OF GIPORLOS, EASTERN SAMAR</t>
  </si>
  <si>
    <t>SECURITIES AND EXCHANGE COMMISSION</t>
  </si>
  <si>
    <t>PHILIPPINE NATIONAL POLICE - CRIME LABORATORY</t>
  </si>
  <si>
    <t>MUNICIPALITY OF TANAY, RIZAL</t>
  </si>
  <si>
    <t>BARANGAY AMAMBUCALE - MARABUT SAMAR</t>
  </si>
  <si>
    <t>MUNICIPALITY OF FLORIDABLANCA, PAMPANGA</t>
  </si>
  <si>
    <t>BARANGAY BINUGAO TORIL DISTRICT</t>
  </si>
  <si>
    <t>MUNICIPALITY OF SILVINO LOBOS, NORTHERN SAMAR</t>
  </si>
  <si>
    <t>PHILIPPINE CARABAO CENTER - REGION III</t>
  </si>
  <si>
    <t>DEPARTMENT OF PUBLIC WORKS AND HIGHWAYS - COTABATO SUB-DEO</t>
  </si>
  <si>
    <t>MUNICIPALITY OF CONCEPCION, ROMBLON</t>
  </si>
  <si>
    <t>BALA-ORO ELEMENTARY SCHOOL</t>
  </si>
  <si>
    <t>BARANGAY POBLACION - BANATE ILOILO</t>
  </si>
  <si>
    <t>BARANGAY MANGA - TAGBILARAN CITY</t>
  </si>
  <si>
    <t>BARANGAY KATIPUNAN, KAPALONG, DAVAO DEL NORTE</t>
  </si>
  <si>
    <t>NATIVIDAD HIGH SCHOOL</t>
  </si>
  <si>
    <t>MUNICIPALITY OF RIZAL, CAGAYAN</t>
  </si>
  <si>
    <t>MUNICIPALITY OF PASIL, KALINGA</t>
  </si>
  <si>
    <t xml:space="preserve">DEPARTMENT OF PUBLIC WORKS AND HIGHWAYS - CAMARINES SUR 1ST </t>
  </si>
  <si>
    <t>BARANGAY VILLA ONDAYON, BAYUGAN CITY</t>
  </si>
  <si>
    <t>BARANGAY PISIPIS, LOPEZ, QUEZON</t>
  </si>
  <si>
    <t xml:space="preserve">DEPARTMENT OF PUBLIC WORKS AND HIGHWAYS - CAMARINES SUR 3RD </t>
  </si>
  <si>
    <t>BARANGAY NUPOLAN - JOSEFINA ZAMBOANGA DEL SUR</t>
  </si>
  <si>
    <t>CNHS-ANDRES BONIFACIO EXTENSION HIGH SCHOOL - CADIZ CITY NEG</t>
  </si>
  <si>
    <t>BARANGAY HOLY REDEEMER, BUTUAN CITY</t>
  </si>
  <si>
    <t>MUNICIPALITY OF GUIGUINTO, BULACAN</t>
  </si>
  <si>
    <t>BARANGAY SAN AGUSTIN, BAYUGAN CITY</t>
  </si>
  <si>
    <t>DEPARTMENT OF PUBLIC  WORKS AND HIGHWAYS - APAYAO 2ND DEO</t>
  </si>
  <si>
    <t>BARANGAY SUMALILI - ARAKAN COTABATO</t>
  </si>
  <si>
    <t>BARANGAY VERGAÑA - LOPEZ QUEZON</t>
  </si>
  <si>
    <t>ILOCOS SUR POLYTECHNIC STATE COLLEGE</t>
  </si>
  <si>
    <t>MUNICIPALITY OF NATIVIDAD -  PANGASINAN</t>
  </si>
  <si>
    <t>DEPARTMENT OF AGRARIAN REFORM - PANGASINAN PROVINCIAL OFFICE</t>
  </si>
  <si>
    <t>GUIMARAS NATIONAL CROPS RESEARCH, DEVELOPMENT &amp; PRODUCTION S</t>
  </si>
  <si>
    <t>CITY OF MAASIN, SOUTHERN LEYTE</t>
  </si>
  <si>
    <t>MUNICIPALITY OF VALLADOLID, NEGROS OCCIDENTAL</t>
  </si>
  <si>
    <t>MUNICIPALITY OF PASACAO, CAMARINES SUR</t>
  </si>
  <si>
    <t>MUNICIPALITY OF SAN AGUSTIN , SURIGAO DEL SUR</t>
  </si>
  <si>
    <t>BARANGAY POBLACION 1 - BATANGAS CITY, BATANGAS</t>
  </si>
  <si>
    <t>BARANGAY GUIOM, CAWAYAN, MASBATE</t>
  </si>
  <si>
    <t>SAN ROQUE 2 ELEMENTARY SCHOOL - SAN JOSE OCCIDENTAL MINDORO</t>
  </si>
  <si>
    <t>PLARIDEL WATER DISTRICT</t>
  </si>
  <si>
    <t>MUNICIPALITY OF ROMBLON, ROMBLON</t>
  </si>
  <si>
    <t>MUNICIPALITY OF ZUMARRAGA, SAMAR</t>
  </si>
  <si>
    <t>CITY OF CEBU, CEBU</t>
  </si>
  <si>
    <t>MUNICIPALITY OF BOLJOON, CEBU</t>
  </si>
  <si>
    <t>BARANGAY CABUNGAHAN - CAWAYAN, MASBATE</t>
  </si>
  <si>
    <t>MUNICIPALITY OF PRES. MANUEL A. ROXAS, ZAMBOANGA DEL NORTE</t>
  </si>
  <si>
    <t>MUNICIPALITY OF PANDAN , CATANDUANES</t>
  </si>
  <si>
    <t>BARANGAY LIBAS TANTANGAN SOUTH COTABATO</t>
  </si>
  <si>
    <t>BARANGAY MINSAPINIT GINGOOG CITY MISAMIS ORIENTAL</t>
  </si>
  <si>
    <t>BARANGAY GILOTONGAN, CAWAYAN, MASBATE</t>
  </si>
  <si>
    <t>BARANGAY HABA - CANDONI NEGROS OCCIDENTAL</t>
  </si>
  <si>
    <t>MUNICIPALITY OF KITCHARAO , AGUSAN DEL NORTE</t>
  </si>
  <si>
    <t>NATIONAL COMMISSION ON INDIGENOUS PEOPLES - REGION XII</t>
  </si>
  <si>
    <t>MUNICIPALITY OF HINUNDAYAN, SOUTHERN LEYTE</t>
  </si>
  <si>
    <t>BARANGAY CADINGLIAN, OTON, ILOILO</t>
  </si>
  <si>
    <t>BARANGAY MACTAN, CAWAYAN, MASBATE</t>
  </si>
  <si>
    <t>MUNICIPALITY OF JOMALIG, QUEZON</t>
  </si>
  <si>
    <t>BARANGAY TABERNA, CAWAYAN, MASBATE</t>
  </si>
  <si>
    <t>JOHN HAY MANAGEMENT CORPORATION</t>
  </si>
  <si>
    <t>BARANGAY RAWIS, VIRAC, CATANDUANES</t>
  </si>
  <si>
    <t>MUNICIPALITY OF CORTES, BOHOL</t>
  </si>
  <si>
    <t>MUNICIPALITY OF BOLINAO, PANGASINAN</t>
  </si>
  <si>
    <t>MUNICIPALITY OF SIBUTAD, ZAMBOANGA DEL NORTE</t>
  </si>
  <si>
    <t>BARANGAY NARO, CAWAYAN, MASBATE</t>
  </si>
  <si>
    <t>BARANGAY CALAPAYAN, CAWAYAN, MASBATE</t>
  </si>
  <si>
    <t>BARANGAY SAN VICENTE, PANABO CITY, DAVAO DEL NORTE</t>
  </si>
  <si>
    <t>BARANGAY MALBUG, CAWAYAN, MASBATE</t>
  </si>
  <si>
    <t>BARANGAY GUMABAO, OAS, ALBAY</t>
  </si>
  <si>
    <t>BARANGAY LIBERTAD - CAWAYAN, MASBATE</t>
  </si>
  <si>
    <t>COURT OF APPEALS - CAGAYAN DE ORO CITY</t>
  </si>
  <si>
    <t>BARANGAY MAGACAN SANCHEZ MIRA CAGAYAN</t>
  </si>
  <si>
    <t>BARANGAY SAN JOSE, CAWAYAN, MASBATE</t>
  </si>
  <si>
    <t>BARANGAY DALAYAP, ALLACAPAN, CAGAYAN</t>
  </si>
  <si>
    <t>MUNICIPALITY OF PINTUYAN, SOUTHERN LEYTE</t>
  </si>
  <si>
    <t>MUNICIPALITY OF PILAR, CAPIZ</t>
  </si>
  <si>
    <t>MUNICIPALITY OF LIMASAWA, SOUTHERN LEYTE</t>
  </si>
  <si>
    <t>DEPARTMENT OF AGRARIAN REFORM - COMVAL</t>
  </si>
  <si>
    <t>BARANGAY NAGATTATAN, PAMPLONA, CAGAYAN</t>
  </si>
  <si>
    <t>BARANGAY OLD LABANGAN - LABANGAN ZAMBOANGA DEL SUR</t>
  </si>
  <si>
    <t>BARANGAY BANGKAL, COUNCIL</t>
  </si>
  <si>
    <t>ALAMINOS CITY WATER DISTRICT</t>
  </si>
  <si>
    <t>BARANGAY MINTAL, DAVAO CITY</t>
  </si>
  <si>
    <t>MUNICIPALITY OF LABRADOR, PANGASINAN</t>
  </si>
  <si>
    <t>CITY OF BAGO, NEGROS OCCIDENTAL</t>
  </si>
  <si>
    <t>MUNICIPALITY OF ALCALA, CAGAYAN</t>
  </si>
  <si>
    <t>BARANGAY 29, PEMBO, MAKATI CITY</t>
  </si>
  <si>
    <t>BARANGAY 21-C, DAVAO CITY</t>
  </si>
  <si>
    <t>MUNICIPALITY OF MARIBOJOC, BOHOL</t>
  </si>
  <si>
    <t>BARANGAY TICUD, LAPAZ, ILOILO CITY</t>
  </si>
  <si>
    <t>BARANGAY SINACBAT, BAKUN, BENGUET</t>
  </si>
  <si>
    <t>MUNICIPALITY OF SAN MIGUEL, CATANDUANES</t>
  </si>
  <si>
    <t>PHILIPPINE AMUSEMENT AND GAMING CORPORATION - ANGELES</t>
  </si>
  <si>
    <t>MUNICIPALITY OF ALLACAPAN, CAGAYAN</t>
  </si>
  <si>
    <t>LAGUNA WATER DISTRICT</t>
  </si>
  <si>
    <t>OFFICE OF THE SOLICITOR GENERAL</t>
  </si>
  <si>
    <t>UNIVERSITY OF NORTHERN PHILIPPINES</t>
  </si>
  <si>
    <t>BARANGAY ILAYANG TAYUMAN, SAN FRANCISCO, QUEZON</t>
  </si>
  <si>
    <t>BARANGAY CONCEPCION PEQUEÑA, NAGA CITY</t>
  </si>
  <si>
    <t>ZAMBOANGA CITY STATE POLYTECHNIC COLLEGE</t>
  </si>
  <si>
    <t>MUNICIPALITY OF SAN REMIGIO, CEBU</t>
  </si>
  <si>
    <t>MUNICIPALITY OF AROROY, MASBATE</t>
  </si>
  <si>
    <t>DEPARTMENT OF PUBLIC WORKS AND HIGHWAYS - REGION XII</t>
  </si>
  <si>
    <t>DEPARTMENT OF PUBLIC WORKS AND HIGHWAYS - PANGASINAN 1ST DEO</t>
  </si>
  <si>
    <t>MUNICIPALITY OF LEZO, AKLAN</t>
  </si>
  <si>
    <t>MUNICIPALITY OF POLOMOLOK, SOUTH COTABATO</t>
  </si>
  <si>
    <t>BARANGAY POBLACION - SIBAGAT, AGUSAN DEL SUR</t>
  </si>
  <si>
    <t>MUNICIPALITY OF LIBONA, BUKIDNON</t>
  </si>
  <si>
    <t>BARANGAY TOMADO - ALEOSAN COTABATO</t>
  </si>
  <si>
    <t>BARANGAY MALATIVAS - PANABO CITY</t>
  </si>
  <si>
    <t>DEPARTMENT OF PUBLIC WORKS AND HIGHWAYS - CAGAYAN 3RD DEO</t>
  </si>
  <si>
    <t>BARANGAY NAMABBALAN NORTE - TUGUEGARAO CITY CAGAYAN</t>
  </si>
  <si>
    <t>BARANGAY NEW VISAYAS, PANABO CITY, DAVAO DEL NORTE</t>
  </si>
  <si>
    <t>DEPARTMENT OF ENVIRONMENT AND NATURAL RES. - PENRO TARLAC</t>
  </si>
  <si>
    <t>DEPARTMENT OF EDUCATION - DIVISION OF CITY SCHOOLS, DIGOS</t>
  </si>
  <si>
    <t>SK OF BARANGAY  POBLACION - MAKATI CITY</t>
  </si>
  <si>
    <t>MUNICIPALITY OF BACLAYON, BOHOL</t>
  </si>
  <si>
    <t>NATIONAL IRRIGATION ADMINISTRATION - MAGUINDANAO</t>
  </si>
  <si>
    <t>MUNICIPALITY  OF BANATE, ILOILO</t>
  </si>
  <si>
    <t>MUNICIPALITY OF MAJAYJAY, LAGUNA</t>
  </si>
  <si>
    <t>MUNICIPALITY OF SIBUNAG, GUIMARAS</t>
  </si>
  <si>
    <t>MUNICIPALITY OF BINANGONAN, RIZAL</t>
  </si>
  <si>
    <t>UNIVERSITY OF EASTERN PHILIPPINES</t>
  </si>
  <si>
    <t>MUNICIPALITY OF SAN LORENZO RUIZ, CAMARINES NORTE</t>
  </si>
  <si>
    <t>BARANGAY POBLACION - PATNONGON, ANTIQUE</t>
  </si>
  <si>
    <t>BARANGAY CABALAOANGAN, SAN QUINTIN, PANGASINAN</t>
  </si>
  <si>
    <t>MUNICIPALITY OF LA PAZ, ABRA</t>
  </si>
  <si>
    <t>PHILIPPINE HEALTH INSURANCE CORPORATION - REGION - IV A</t>
  </si>
  <si>
    <t>DEPARTMENT OF PUBLIC WORKS AND HIGHWAYS - PANGASINAN IV DEO</t>
  </si>
  <si>
    <t>PHILIPPINE ECONOMIC ZONE AUTHORITY</t>
  </si>
  <si>
    <t>MUNICIPALITY OF CARCAR, CEBU</t>
  </si>
  <si>
    <t>LAGUNA STATE POLYTECHNIC UNIVERSITY - SINILOAN CAMPUS</t>
  </si>
  <si>
    <t>VISAYAS STATE UNIVERSITY - MAIN CAMPUS</t>
  </si>
  <si>
    <t>MUNICIPALITY OF BILIRAN, BILIRAN</t>
  </si>
  <si>
    <t>MUNICIPALITY OF LILOAN, SOUTHERN LEYTE</t>
  </si>
  <si>
    <t>BARANGAY ALASASIN, MARIVELES, BATAAN</t>
  </si>
  <si>
    <t>BARANGAY POCTOY, TORRIJOS, MARINDUQUE</t>
  </si>
  <si>
    <t>DEPARTMENT OF SCIENCE AND TECHNOLOGY - REGION II</t>
  </si>
  <si>
    <t>MUNICIPALITY  OF KABAYAN, BENGUET</t>
  </si>
  <si>
    <t>MINES AND GEOSCIENCES BUREAU - MIMAROPA REGION</t>
  </si>
  <si>
    <t>NATIONAL FOOD AUTHORITY - REGION XI</t>
  </si>
  <si>
    <t>CIVIL SERVICE COMMISSION - ARMM</t>
  </si>
  <si>
    <t>DEPARTMENT OF EDUCATION - DIVISION OF KIDAPAWAN CITY</t>
  </si>
  <si>
    <t>GOVERNOR CELESTINO GALLARES MEMORIAL HOSPITAL</t>
  </si>
  <si>
    <t>BARANGAY ZONE IV POBLACION, ATIMONAN, QUEZON</t>
  </si>
  <si>
    <t>MUNICIPALITY OF ESPERANZA, MASBATE</t>
  </si>
  <si>
    <t>BARANGAY VILLA HIWASAYAN - GUINAYANGAN QUEZON</t>
  </si>
  <si>
    <t>PROFESSIONAL REGULATION COMMISSION</t>
  </si>
  <si>
    <t>DEPARTMENT OF PUBLIC WORKS AND HIGHWAYS - BACOLOD CITY DEO</t>
  </si>
  <si>
    <t>BARANGAY CAPULUAN CENTRAL</t>
  </si>
  <si>
    <t>BARANGAY 601, ZONE 59, DISTRICT VI, MANILA</t>
  </si>
  <si>
    <t>GENERAL HEADQUARTERS BAC 3, AFP PROCUREMENT SERVICE</t>
  </si>
  <si>
    <t>NATIONAL FOOD AUTHORITY - MAIN</t>
  </si>
  <si>
    <t>BARANGAY SAN CRISTOBAL, SAN PABLO, LAGUNA</t>
  </si>
  <si>
    <t>BARANGAY CABONG SUR, GUINAYANGAN, QUEZON</t>
  </si>
  <si>
    <t>BARANGAY DUNGAWAN PANTAY - GUINAYANGAN QUEZON</t>
  </si>
  <si>
    <t>DEPARTMENT OF EDUCATION - DIVISION OF PAGADIAN CITY</t>
  </si>
  <si>
    <t>BARANGAY 494 ZONE 49 DISTRICT IV, MANILA</t>
  </si>
  <si>
    <t>MUNICIPALITY OF SAN JOSE, OCCIDENTAL MINDORO</t>
  </si>
  <si>
    <t>DEPARTMENT OF TRANSPORTATION (DOTR) MAIN</t>
  </si>
  <si>
    <t>MUNICIPALITY OF SAN MANUEL, TARLAC</t>
  </si>
  <si>
    <t>MUNICIPALITY OF BURUANGA, AKLAN</t>
  </si>
  <si>
    <t>BARANGAY 5 - MAMBURAO OCCIDENTAL MINDORO</t>
  </si>
  <si>
    <t>DEPARTMENT OF TRADE AND INDUSTRY - MAIN</t>
  </si>
  <si>
    <t>DEPARTMENT OF PUBLIC WORKS AND HIGHWAYS - REGION V</t>
  </si>
  <si>
    <t>DEPARTMENT OF PUBLIC WORKS AND HIGHWAYS - REGION I</t>
  </si>
  <si>
    <t>BARANGAY LUSOD, MADDELA, QUIRINO</t>
  </si>
  <si>
    <t>BARANGAY POBLACION SOUTH EAST ZONE - LEMERY, ILOILO</t>
  </si>
  <si>
    <t>BARANGAY CITY HEIGHTS, GENERAL SANTOS CITY, SOUTH COTABATO</t>
  </si>
  <si>
    <t>MARITIME INDUSTRY AUTHORITY - REGION V</t>
  </si>
  <si>
    <t>BARANGAY SAN DIONISIO 1, MADDELA, QUIRINO</t>
  </si>
  <si>
    <t>DEPARTMENT OF PUBLIC WORKS AND HIGHWAYS - SURIGAO DEL SUR 1S</t>
  </si>
  <si>
    <t>MUNICIPALITY OF ASTURIAS, CEBU</t>
  </si>
  <si>
    <t>TESDA REGIONAL TRAINING CENTER - DAVAO</t>
  </si>
  <si>
    <t>BARANGAY SAPANG, STA. BARBARA, PANGASINAN</t>
  </si>
  <si>
    <t>MUNICIPALITY OF SAN JUAN, ILOCOS SUR</t>
  </si>
  <si>
    <t>CENTER FOR HEALTH DEVELOPMENT - REGION III</t>
  </si>
  <si>
    <t>MUNICIPALITY OF PAGUDPUD, ILOCOS NORTE</t>
  </si>
  <si>
    <t>MUNICIPALITY OF MABINI, BATANGAS</t>
  </si>
  <si>
    <t>BARANGAY MALOLOY-ON, MOLAVE, ZAMBOANGA DEL SUR</t>
  </si>
  <si>
    <t>BARANGAY CABONG - BUENAVISTA QUEZON</t>
  </si>
  <si>
    <t>MUNICIPALITY OF BASAY, NEGROS ORIENTAL</t>
  </si>
  <si>
    <t>PROVINCE OF COMPOSTELA VALLEY</t>
  </si>
  <si>
    <t>DAGUPAN CITY WATER DISTRICT</t>
  </si>
  <si>
    <t>MUNICIPALITY OF CALAPE, BOHOL</t>
  </si>
  <si>
    <t>NATIONAL CENTER FOR MENTAL HEALTH</t>
  </si>
  <si>
    <t>DEPARTMENT OF PUBLIC WORKS AND HIGHWAYS - METRO MANILA 2ND D</t>
  </si>
  <si>
    <t xml:space="preserve">DEPARTMENT OF PUBLIC WORKS AND HIGHWAYS - NUEVA VIZCAYA 1ST </t>
  </si>
  <si>
    <t>BARANGAY CABID-AN, SORSOGON CITY</t>
  </si>
  <si>
    <t xml:space="preserve">DEPARTMENT OF PUBLIC WORKS AND HIGHWAYS - SURIGAO DEL NORTE </t>
  </si>
  <si>
    <t>MUNICIPALITY OF TAMPAKAN, SOUTH COTABATO</t>
  </si>
  <si>
    <t>MUNICIPALITY OF MACABEBE, PAMPANGA</t>
  </si>
  <si>
    <t>T. AWAD ECHEVARRIA ELEMENTARY SCHOOL</t>
  </si>
  <si>
    <t>MUNICIPALITY OF NARRA, PALAWAN</t>
  </si>
  <si>
    <t>GEN. RICARDO G. PAPA SR. MEMORIAL HIGH SCHOOL - ANNEX</t>
  </si>
  <si>
    <t>BANI WATER DISTRICT</t>
  </si>
  <si>
    <t>MUNICIPALITY OF LAVEZARES, NORTHERN SAMAR</t>
  </si>
  <si>
    <t>BARANGAY PAGKILATAN, BATANGAS CITY</t>
  </si>
  <si>
    <t>MUNICIPALITY OF TAYSAN, BATANGAS</t>
  </si>
  <si>
    <t>SOCIAL SECURITY SYSTEM - WESTERN MINDANAO DIVISION</t>
  </si>
  <si>
    <t>LEONA DURANO ZAMORA ELEMENTARY SCHOOL - DANAO CITY CEBU</t>
  </si>
  <si>
    <t>BARANGAY BABAG, CEBU CITY, CEBU</t>
  </si>
  <si>
    <t>MUNICIPALITY OF IGUIG, CAGAYAN</t>
  </si>
  <si>
    <t>BARANGAY BAKHAW, MANDURRIAO, ILOILO CITY</t>
  </si>
  <si>
    <t>MUNICIPALITY OF MAHAYAG, ZAMBOANGA DEL SUR</t>
  </si>
  <si>
    <t>MUNICIPALITY OF TUBO - ABRA</t>
  </si>
  <si>
    <t>MUNICIPALITY OF BAROTAC NUEVO, ILOILO</t>
  </si>
  <si>
    <t>BARANGAY PALY, TAYTAY, PALAWAN</t>
  </si>
  <si>
    <t>MABINI WATER DISTRICT</t>
  </si>
  <si>
    <t>SAN ROQUE CENTRAL ELEMNETARY SCHOOL</t>
  </si>
  <si>
    <t>MUNICIPALITY OF RIZAL, KALINGA</t>
  </si>
  <si>
    <t>IDIO BARANGAY COUNCIL</t>
  </si>
  <si>
    <t>BARANGAY LAYONG MABILOG - MARAGONDON CAVITE</t>
  </si>
  <si>
    <t>MAYOR HILARION A. RAMIRO SR. REGIONAL TRNG &amp; TEACHING HOSP.</t>
  </si>
  <si>
    <t>NATIONAL PRINTING OFFICE</t>
  </si>
  <si>
    <t>MABINI NATIONAL HIGH SCHOOL - JUNIOR HIGH SCHOOL</t>
  </si>
  <si>
    <t>MUNICIPALITY OF TUBAO, LA UNION</t>
  </si>
  <si>
    <t>MUNICIPALITY OF SAGUDAY, QUIRINO</t>
  </si>
  <si>
    <t>MUNICIPALITY OF MAGSAYSAY, MISAMIS ORIENTAL</t>
  </si>
  <si>
    <t>MUNICIPALITY OF KOLAMBUGAN, LANAO DEL NORTE</t>
  </si>
  <si>
    <t>MUNICIPALITY OF QUEZON, NUEVA VIZCAYA</t>
  </si>
  <si>
    <t>MUNICIPALITY  OF CALAUAN, LAGUNA</t>
  </si>
  <si>
    <t>BARANGAY VILLAPOGADO, CATAINGAN, MASBATE</t>
  </si>
  <si>
    <t>DEPARTMENT OF EDUCATION - REGION VI</t>
  </si>
  <si>
    <t>BARANGAY POBLACION - SOMINOT ZAMBOANGA DEL SUR</t>
  </si>
  <si>
    <t>MUNICIPALITY OF CAPALONGA, CAMARINES NORTE</t>
  </si>
  <si>
    <t>BARANGAY LIGTONG II  - ROSARIO CAVITE</t>
  </si>
  <si>
    <t>BARANGAY FREEDOM - CABANGLASAN, BUKIDNON</t>
  </si>
  <si>
    <t>CITY OF TAGUIG</t>
  </si>
  <si>
    <t>BARANGAY BUNGA, MAMBUSAO, CAPIZ</t>
  </si>
  <si>
    <t>BARANGAY DAO, NAUJAN, ORIENTAL MINDORO</t>
  </si>
  <si>
    <t>BARANGAY BUNGA - LANUZA SURIGAO DEL SUR</t>
  </si>
  <si>
    <t>BARANGAY PAKNAAN, MANDAUE CITY</t>
  </si>
  <si>
    <t>BARANGAY POBLACION, TOLOSA, LEYTE</t>
  </si>
  <si>
    <t>BARANGAY LAGASIT, SAN QUINTIN, PANGASINAN</t>
  </si>
  <si>
    <t>DEPARTMENT OF AGRARIAN REFORM - SULTAN KUDARAT</t>
  </si>
  <si>
    <t>MUNICIPALITY OF BADIAN, CEBU</t>
  </si>
  <si>
    <t>ENVIRONMENTAL MANAGEMENT BUREAU - REGION II</t>
  </si>
  <si>
    <t>MUNICIPALITY OF MAGSINGAL, ILOCOS SUR</t>
  </si>
  <si>
    <t>PHILIPPINE RURAL DEVELOPMENT PROJECT-MINDANAO CLUSTER</t>
  </si>
  <si>
    <t>MUNICIPALITY OF BAROBO, SURIGAO DEL SUR</t>
  </si>
  <si>
    <t xml:space="preserve">DEPARTMENT OF PUBLIC WORKS AND HIGHWAYS - MOUNTAIN PROVINCE </t>
  </si>
  <si>
    <t>BARANGAY GRACEVILLE, SAN JOSE DEL MONTE, BULACAN</t>
  </si>
  <si>
    <t>AGUSAN DEL SUR STATE COLLEGE OF AGRICULTURE AND TECHNOLOGY</t>
  </si>
  <si>
    <t>BARANGAY PINEDA, PASIG CITY</t>
  </si>
  <si>
    <t>NATIONAL IRRIGATION ADMINISTRATION - REGION V</t>
  </si>
  <si>
    <t>BARANGAY IBAYO-TIPAS TAGUIG CITY</t>
  </si>
  <si>
    <t>DEPARTMENT OF PUBLIC WORKS AND HIGHWAYS - CATANDUANES ED</t>
  </si>
  <si>
    <t>CITY GOVERNMENT OF NAVOTAS</t>
  </si>
  <si>
    <t>MUNICIPALITY OF BALER, AURORA</t>
  </si>
  <si>
    <t>MUNICIPALITY OF DINALUNGAN, AURORA</t>
  </si>
  <si>
    <t>RAGAY, CAMARINES SUR WATER DISTRICT</t>
  </si>
  <si>
    <t>BARANGAY CATBANGEN - SAN FERNANDO CITY, LA UNION</t>
  </si>
  <si>
    <t>BARANGAY BUENAVISTA DARAM SAMAR</t>
  </si>
  <si>
    <t>BARANGAY BUHANGIN BUTUAN CITY AGUSAN DEL NORTE</t>
  </si>
  <si>
    <t>NATIONAL FOOD AUTHORITY - REGION VIII</t>
  </si>
  <si>
    <t>MUNICIPALITY OF STA. ANA, CAGAYAN</t>
  </si>
  <si>
    <t>BRGY.SAN JUAN ACCFA,CABANATUAN CITY,NUEVA ECIJA</t>
  </si>
  <si>
    <t>BARANGAY LIBAY-LIBAY, MACO, COMPOSTELA VALLEY</t>
  </si>
  <si>
    <t>MUNICIPALITY OF BAYOMBONG - NUEVA VISCAYA</t>
  </si>
  <si>
    <t>MUNICIPALITY OF LIBERTAD, ANTIQUE</t>
  </si>
  <si>
    <t>KORONADAL WATER DISTRICT</t>
  </si>
  <si>
    <t>SCHOOLS DIVISION OFFICE OF IFUGAO</t>
  </si>
  <si>
    <t>MUNICIPALITY OF PAGSANJAN, LAGUNA</t>
  </si>
  <si>
    <t>NEW ORMOC CITY NATIONAL HIGH SCHOOL</t>
  </si>
  <si>
    <t>MUNICIPALITY OF LOPE DE VEGA, NORTHERN SAMAR</t>
  </si>
  <si>
    <t>ENVIRONMENTAL MANAGEMENT BUREAU - REGION III</t>
  </si>
  <si>
    <t>METRO KIDAPAWAN WATER DISTRICT</t>
  </si>
  <si>
    <t>DEPARTMENT OF PUBLIC WORKS AND HIGHWAYS - MARINDUQUE DEO</t>
  </si>
  <si>
    <t>ASSOCIATION OF BARANGAY COUNCIL CEBU CITY</t>
  </si>
  <si>
    <t>MUNICIPALITY OF MOGPOG, MARINDUQUE</t>
  </si>
  <si>
    <t>DEPARTMENT OF TOURISM - INTRAMUROS ADMINISTRATION</t>
  </si>
  <si>
    <t>MUNICIPALITY OF STA. CATALINA, ILOCOS SUR</t>
  </si>
  <si>
    <t>MUNICIPALITY OF PIDIGAN, ABRA</t>
  </si>
  <si>
    <t>MUNICIPALITY OF MADALAG, AKLAN</t>
  </si>
  <si>
    <t>BARANGAY ABONG - CARLES,ILOILO</t>
  </si>
  <si>
    <t>CITY OF MANDAUE, CEBU</t>
  </si>
  <si>
    <t>MUNICIPALITY OF SIBALOM, ANTIQUE</t>
  </si>
  <si>
    <t>EASTERN VISAYAS STATE UNIVERSITY-TANAUAN CAMPUS</t>
  </si>
  <si>
    <t>MUNICIPALITY OF SULAT, EASTERN SAMAR</t>
  </si>
  <si>
    <t>BUREAU OF FIRE PROTECTION - REGION X</t>
  </si>
  <si>
    <t>CITY OF SIPALAY, NEGROS OCCIDENTAL</t>
  </si>
  <si>
    <t>MUNICIPALITY OF VICTORIA, TARLAC</t>
  </si>
  <si>
    <t>MUNICIPALITY OF EL NIDO, PALAWAN</t>
  </si>
  <si>
    <t>BARANGAY  LUHONG - ANTIPAS, COTABATO</t>
  </si>
  <si>
    <t>BARANGAY KASILAWAN, MAKATI CITY</t>
  </si>
  <si>
    <t>BARANGAY GAHIT, CATAINGAN, MASBATE</t>
  </si>
  <si>
    <t>MUNICIPALITY OF LINAMON, LANAO DEL NORTE</t>
  </si>
  <si>
    <t>CITY GOVERNMENT OF DASMARIÑAS CAVITE</t>
  </si>
  <si>
    <t xml:space="preserve">DEPARTMENT OF PUBLIC WORKS AND HIGHWAYS - CAMARINES SUR 4TH </t>
  </si>
  <si>
    <t>BARANGAY GUADALUPE NUEVO, MAKATI CITY</t>
  </si>
  <si>
    <t>PROVINCE OF ZAMBOANGA SIBUGAY</t>
  </si>
  <si>
    <t>MUNICIPALITY OF KIBAWE , BUKIDNON</t>
  </si>
  <si>
    <t>BARANGAY SAN JOSE - ALAMINOS, PANGASINAN</t>
  </si>
  <si>
    <t>MUNICIPALITY OF ORION, BATAAN</t>
  </si>
  <si>
    <t>DAVAO PRISON AND PENAL FARM - BRAULIO E. DUJALI</t>
  </si>
  <si>
    <t>TONDO MEDICAL CENTER</t>
  </si>
  <si>
    <t>COMMISSION ON HIGHER EDUCATION - MAIN</t>
  </si>
  <si>
    <t>BARANGAY CABARASAN-GUTI, TANAUAN, LEYTE</t>
  </si>
  <si>
    <t>MUNICIPALITY OF MAGSAYSAY, OCCIDENTAL MINDORO</t>
  </si>
  <si>
    <t>CADUHA-AN NATIONAL HIGH SCHOOL - TAGBANON EXTENSION HIGH SCH</t>
  </si>
  <si>
    <t>BARANGAY BON-OT, CARRASCAL, SURIGAO DEL SUR</t>
  </si>
  <si>
    <t>CITY OF KORONADAL, SOUTH COTABATO</t>
  </si>
  <si>
    <t>MUNICIPALITY OF  DATU ABDULLAH SANGKI- MAGUINDANAO</t>
  </si>
  <si>
    <t>TANZA WATER DISTRICT</t>
  </si>
  <si>
    <t>BARANGAY SALVACION, PANABO CITY</t>
  </si>
  <si>
    <t>MUNICIPALITY OF BALETE, BATANGAS</t>
  </si>
  <si>
    <t>BARANGAY 3, PALUAN, OCCIDENTAL MINDORO</t>
  </si>
  <si>
    <t>MUNICIPALITY OF DINGALAN, AURORA</t>
  </si>
  <si>
    <t>MUNICIPALITY OF BALAYAN, BATANGAS</t>
  </si>
  <si>
    <t>BARANGAY MAGALLANES, MAKATI CITY</t>
  </si>
  <si>
    <t>JUSTICE EMILIO ANGELES GANCAYCO MEMORIAL HIGH SCHOOL</t>
  </si>
  <si>
    <t>BARANGAY BALANGOBONG -  ALAMINOS, PANGASINAN</t>
  </si>
  <si>
    <t>DEPARTMENT OF PUBLIC WORKS AND HIGHWAYS - APAYAO 1ST DEO</t>
  </si>
  <si>
    <t>BARANGAY WEST BALABAG, VALENCIA, NEGROS ORIENTAL</t>
  </si>
  <si>
    <t>BARANGAY 18 - CABAGÑAN WEST, LEGAZPI CITY, ALBAY</t>
  </si>
  <si>
    <t>BARANGAY DORULOMAN ARAKAN COTABATO</t>
  </si>
  <si>
    <t>BARANGAY NAGSUROT, BURGOS, ILOCOS NORTE</t>
  </si>
  <si>
    <t>BARANGAY BATO - GAMAY NORTHERN SAMAR</t>
  </si>
  <si>
    <t>ISABELA STATE UNIVERSITY - JONES CAMPUS</t>
  </si>
  <si>
    <t>BUREAU OF FISHERIES AND AQUATIC RESOURCES - REGION VIII</t>
  </si>
  <si>
    <t>BARANGAY CENTRO (SAN JUAN), AGDAO, DAVAO CITY</t>
  </si>
  <si>
    <t>DEPARTMENT OF PUBLIC WORKS AND HIGHWAYS - MASBATE 1ST DEO</t>
  </si>
  <si>
    <t>PHILIPPINE COMPETITION COMMISSION</t>
  </si>
  <si>
    <t>MUNICIPAL GOVERNMENT OF PALIMBANG</t>
  </si>
  <si>
    <t>PHILIPPINE SCIENCE HIGH SCHOOL - SOCCSKSARGEN REGION CAMPUS</t>
  </si>
  <si>
    <t>POWER SECTOR ASSETS AND LIABILITIES MANAGEMENT CORPORATION-Q</t>
  </si>
  <si>
    <t>MUNICIPALITY OF MARILAO, BULACAN</t>
  </si>
  <si>
    <t>MUNICIPALITY OF MALLIG, ISABELA</t>
  </si>
  <si>
    <t>MUNICIPALITY OF BACOLOR, PAMPANGA</t>
  </si>
  <si>
    <t>MONTE ALEGRE INTEGRATED SCHOOL - ELEMENTARY</t>
  </si>
  <si>
    <t>BARANGAY POBLACION, PINAMUNGAJAN, CEBU</t>
  </si>
  <si>
    <t>DEPARTMENT OF HEALTH - CENTER FOR HEALTH DEVELOPMENT BICOL</t>
  </si>
  <si>
    <t>DEPARTMENT OF AGRARIAN REFORM - CAVITE PROVINCIAL OFFICE</t>
  </si>
  <si>
    <t xml:space="preserve">BUREAU OF FISHERIES AND AQUATIC RESOURCES - REGION IV-B </t>
  </si>
  <si>
    <t>MUNICIPALITY OF SAN BENITO, SURIGAO DEL NORTE</t>
  </si>
  <si>
    <t>DEPARTMENT OF PUBLIC WORKS AND HIGHWAYS - LA UNION 2ND ED</t>
  </si>
  <si>
    <t>CENTRAL BICOL STATE UNIVERSITY OF AGRICULTURE (CBSUA)</t>
  </si>
  <si>
    <t>DEPARTMENT OF PUBLIC WORKS AND HIGHWAYS - LAS PINAS- MUNTINL</t>
  </si>
  <si>
    <t>BARANGAY MILIGAN, MOLAVE, ZAMBOANGA DEL SUR</t>
  </si>
  <si>
    <t>MUNICIPALITY OF CARMEN, CEBU</t>
  </si>
  <si>
    <t>MUNICIPALITY OF ARGAO, CEBU</t>
  </si>
  <si>
    <t>PROVINCE OF BATANGAS</t>
  </si>
  <si>
    <t>DEPARTMENT OF ENVIRONMENT AND NATURAL RES. - PENRO, ILOILO</t>
  </si>
  <si>
    <t>BARANGAY YANGTA DARAM SAMAR</t>
  </si>
  <si>
    <t>MUNICIPALITY OF BALASAN, ILOILO</t>
  </si>
  <si>
    <t>ENVIRONMENTAL MANAGEMENT BUREAU REGION VI</t>
  </si>
  <si>
    <t>PEDRO PITOGO ELEMENTARY SCHOOL</t>
  </si>
  <si>
    <t>TECHNOLOGICAL UNIVERSITY OF THE PHILIPPINES VISAYAS</t>
  </si>
  <si>
    <t>MUNICIPALITY OF ENRILE, CAGAYAN</t>
  </si>
  <si>
    <t>DEPARTMENT OF PUBLIC WORKS AND HIGHWAYS - QUEZON CITY 1ST ED</t>
  </si>
  <si>
    <t>BARANGAY TUBIGAGMANOK, ASTURIAS, CEBU</t>
  </si>
  <si>
    <t>MUNICIPALITY OF LAPUYAN, ZAMBOANGA DEL SUR</t>
  </si>
  <si>
    <t>MUNICIPALITY LINAPACAN, PALAWAN</t>
  </si>
  <si>
    <t>NATIONAL FOOD AUTHORITY - NCR</t>
  </si>
  <si>
    <t>ENVIRONMENTAL MANAGEMENT BUREAU - REGION VIII</t>
  </si>
  <si>
    <t>MUNICIPALITY OF SAN DIONISIO, ILOILO</t>
  </si>
  <si>
    <t>MUNICIPALITY OF KAUSWAGAN, LANAO DEL NORTE</t>
  </si>
  <si>
    <t>BARANGAY MUZON, SAN JOSE DEL MONTE CITY, BULACAN</t>
  </si>
  <si>
    <t>MUNICIPALITY OF SAN MANUEL, ISABELA</t>
  </si>
  <si>
    <t>MUNICIPALITY OF GLORIA, ORIENTAL MINDORO</t>
  </si>
  <si>
    <t>PHILIPPINE AIR FORCE</t>
  </si>
  <si>
    <t>NATIONAL STATISTICS OFFICE - REGION V</t>
  </si>
  <si>
    <t>BARANGAY 151 ZONE 13 DISTRICT 2, MANILA CITY</t>
  </si>
  <si>
    <t>MUNICIPALITY OF AGLIPAY, QUIRINO</t>
  </si>
  <si>
    <t>MUNICIPALITY OF BONGABON - NUEVA ECIJA</t>
  </si>
  <si>
    <t>MUNICIPALITY OF GONZAGA, CAGAYAN</t>
  </si>
  <si>
    <t>BARANGAY 642, ZONE 66, DISTRICT VI MANILA</t>
  </si>
  <si>
    <t>BARANGAY SAN RAFAEL - CALACA BATANGAS</t>
  </si>
  <si>
    <t>BARANGAY TOYUNGAN - CALINOG ILOILO</t>
  </si>
  <si>
    <t>MUNICIPALITY OF DATU BLAH T. SINSUAT - UPI MAGUINDANAO</t>
  </si>
  <si>
    <t>MUNICIPALITY OF LEYTE, LEYTE</t>
  </si>
  <si>
    <t>BARANGAY CATUGAY, BAGGAO, CAGAYAN</t>
  </si>
  <si>
    <t>MUNICIPALITY OF RIZAL,PALAWAN</t>
  </si>
  <si>
    <t>BARANGAY CONCEPCION -  MABINI BOHOL</t>
  </si>
  <si>
    <t>BARANGAY DALIN, BAGGAO, CAGAYAN</t>
  </si>
  <si>
    <t>BARANGAY STA. ISABEL, STA. JOSEFA, AGUSAN DEL SUR</t>
  </si>
  <si>
    <t>MUNICIPALITY OF NABAS, AKLAN</t>
  </si>
  <si>
    <t>CITY  OF CAUAYAN, ISABELA</t>
  </si>
  <si>
    <t>MUNICIPALITY OF KASIBU, NUEVA VIZCAYA</t>
  </si>
  <si>
    <t>CALINAN CENTRAL ELEMENTARY SCHOOL</t>
  </si>
  <si>
    <t>MUNICIPALITY OF BALANGKAYAN, EASTERN SAMAR</t>
  </si>
  <si>
    <t>BARANGAY TOOG - SAN JOAQUIN, ILOILO</t>
  </si>
  <si>
    <t>LAND TRANSPORTATION AND FRANCHISING REGULATORY BOARD - MAIN</t>
  </si>
  <si>
    <t>BARANGAY BUENAVISTA, PURA, TARLAC</t>
  </si>
  <si>
    <t>MUNICIPALITY OF CORELLA, BOHOL</t>
  </si>
  <si>
    <t>BARANGAY RIZAL, PALOMPON, LEYTE</t>
  </si>
  <si>
    <t>BARANGAY PATUNUNGAN STA. ANA CAGAYAN</t>
  </si>
  <si>
    <t>FRANCES NATIONAL HIGH SCHOOL - CALUMPIT BULACAN</t>
  </si>
  <si>
    <t>MUNICIPALITY OF SIBULAN, NEGROS ORIENTAL</t>
  </si>
  <si>
    <t>DEPARTMENT OF PUBLIC WORKS AND HIGHWAYS - CEBU 2ND DEO</t>
  </si>
  <si>
    <t>MUNICIPALITY OF LAGANGILANG, ABRA</t>
  </si>
  <si>
    <t>BARANGAY CABUYEW, NAGCARLAN, LAGUNA</t>
  </si>
  <si>
    <t>MUNICIPALITY OF PANGANIBAN, CATANDUANES</t>
  </si>
  <si>
    <t>BARANGAY SAN PEDRO, SAN LUIS, AGUSAN DEL SUR</t>
  </si>
  <si>
    <t>BARANGAY LISAP, BONGABONG, ORIENTAL MINDORO</t>
  </si>
  <si>
    <t>MUNICIPALITY OF LINGIG, SURIGAO DEL SUR</t>
  </si>
  <si>
    <t>DEPARTMENT OF TRADE AND INDUSTRY - REGION IV-B(MIMAROPA)</t>
  </si>
  <si>
    <t>ESCOLASTICA ELEMENTARY SCHOOL</t>
  </si>
  <si>
    <t>UNIVERSITY OF RIZAL SYSTEM</t>
  </si>
  <si>
    <t>BARANGAY CATULIN -  BUENAVISTA QUEZON</t>
  </si>
  <si>
    <t>BARANGAY KAHAPONAN, VALENCIA CITY</t>
  </si>
  <si>
    <t>MUNICIPALITY OF QUIRINO, ISABELA</t>
  </si>
  <si>
    <t>BARANGAY SANDOVAL, TAYTAY, PALAWAN</t>
  </si>
  <si>
    <t>PHILIPPINE PORTS AUTHORITY - PMO WESTERN LEYTE/BILIRAN</t>
  </si>
  <si>
    <t>MUNICIPALITY OF AGONCILLO, BATANGAS</t>
  </si>
  <si>
    <t>BARANGAY NAMNAMA, CABATUAN, ISABELA</t>
  </si>
  <si>
    <t>MUNICIPALITY OF LABO, CAMARINES NORTE</t>
  </si>
  <si>
    <t>MUNICIPALITY OF SAN JUAN, SIQUIJOR</t>
  </si>
  <si>
    <t>BARANGAY PALNAB DEL NORTE - VIRAC CATANDUANES</t>
  </si>
  <si>
    <t>PHILIPPINE AMUSEMENT AND GAMING CORPORATION-BACOLOD</t>
  </si>
  <si>
    <t>POLANCO WATER DISTRICT</t>
  </si>
  <si>
    <t>NATIONAL IRRIGATION ADMINISTRATION - AKLAN</t>
  </si>
  <si>
    <t>BARANGAY 43 TAMAOYAN -LEGAZPI CITY ALBAY</t>
  </si>
  <si>
    <t>MUNICIPALITY OF  PANAON, MISAMIS OCCIDENTAL</t>
  </si>
  <si>
    <t>MUNICIPALITY OF LEMERY, ILOILO</t>
  </si>
  <si>
    <t>PHILIPPINE PORTS AUTHORITY - PMO ILIGAN</t>
  </si>
  <si>
    <t>MUNICIPALITY OF KABACAN, COTABATO</t>
  </si>
  <si>
    <t>MUNICIPALITY OF SALLAPADAN, ABRA</t>
  </si>
  <si>
    <t>BALAYAN WATER DISTRICT</t>
  </si>
  <si>
    <t>CALABANGA WATER DISTRICT</t>
  </si>
  <si>
    <t>NATIONAL IRRIGATION ADMINISTRATION - LEYTE IMO</t>
  </si>
  <si>
    <t>DEPARTMENT OF PUBLIC WORKS AND HIGHWAYS - QUEZON 2ND ED</t>
  </si>
  <si>
    <t>MUNICIPALITY OF MAITUM, SARANGANI</t>
  </si>
  <si>
    <t>DEPARTMENT OF SOCIAL WELFARE AND DEVELOPMENT - REGION II</t>
  </si>
  <si>
    <t>DEPARTMENT OF EDUCATION - DIVISION OF GUIMARAS</t>
  </si>
  <si>
    <t>BARANGAY CENTRAL 3, PALOMPON, LEYTE</t>
  </si>
  <si>
    <t>BARANGAY LANDUSAN - CAPUL NORTHERN SAMAR</t>
  </si>
  <si>
    <t>MUNICIPALITY OF BONTOC, MOUNTAIN PROVINCE</t>
  </si>
  <si>
    <t>MUNICIPALITY OF NUEVA ERA, ILOCOS NORTE</t>
  </si>
  <si>
    <t>PHILIPPINE NATIONAL POLICE - REGION VII</t>
  </si>
  <si>
    <t>BARANGAY CAWAYAN (EXTENSION) - MASBATE CITY</t>
  </si>
  <si>
    <t>MUNICIPALITY OF MAHATAO, BATANES</t>
  </si>
  <si>
    <t>DEPARTMENT OF PUBLIC WORKS AND HIGHWAYS - CAGAYAN 2ND DEO</t>
  </si>
  <si>
    <t>PROVINCE OF SORSOGON</t>
  </si>
  <si>
    <t>BARANGAY KAUNLARAN - NAVOTAS CITY</t>
  </si>
  <si>
    <t>BARANGAY BALASIAO, KIBLAWAN, DAVAO DEL SUR</t>
  </si>
  <si>
    <t>DANGEROUS DRUGS BOARD</t>
  </si>
  <si>
    <t>MUNICIPALITY OF SIGAY, ILOCOS SUR</t>
  </si>
  <si>
    <t>MUNICIPALITY OF LORETO, AGUSAN DEL SUR</t>
  </si>
  <si>
    <t>COTABATO SANITARIUM</t>
  </si>
  <si>
    <t>BARANGAY CALAUAG, NAGA CITY, CAMARINES SUR</t>
  </si>
  <si>
    <t>BUREAU OF FIRE PROTECTION - REGION XII</t>
  </si>
  <si>
    <t>BARANGAY SILAWE, POLANCO, ZAMBOANGA DEL NORTE</t>
  </si>
  <si>
    <t>DEPARTMENT OF EDUCATION - DIVISION OF ANTIQUE</t>
  </si>
  <si>
    <t>BARANGAY MANAUL, MANSALAY, ORIENTAL MINDORO</t>
  </si>
  <si>
    <t>SK OF BARANGAY  BARANGAY CEMBO - MAKATI CITY</t>
  </si>
  <si>
    <t>PHILIPPINE AMUSEMENT AND GAMING CORPORATION - ILOCOS NORTE</t>
  </si>
  <si>
    <t>MUNICIPALITY OF GAMU, ISABELA</t>
  </si>
  <si>
    <t>MUNICIPALITY OF SOLANA, CAGAYAN</t>
  </si>
  <si>
    <t>MUNICIPALITY OF CAGDIANAO, DINAGAT ISLAND</t>
  </si>
  <si>
    <t>MUNICIPALITY OF GALIMUYOD, ILOCOS SUR</t>
  </si>
  <si>
    <t>MUNICIPALITY OF BURAUEN, LEYTE</t>
  </si>
  <si>
    <t>INSTITUTE FOR LABOR STUDIES - MANILA METRO MANILA</t>
  </si>
  <si>
    <t>NAVAL INSTITUTE OF TECHNOLOGY</t>
  </si>
  <si>
    <t>MUNICIPALITY OF LILOY, ZAMBOANGA DEL NORTE</t>
  </si>
  <si>
    <t>DEPARTMENT OF PUBLIC WORKS AND HIGHWAYS - MIS. OCC. SUB-DEO</t>
  </si>
  <si>
    <t>BARANGAY BACUNGAN, NAUJA, ORIENTAL MINDORO</t>
  </si>
  <si>
    <t>BARANGAY NEW LAWAAN - M'LANG COTABATO</t>
  </si>
  <si>
    <t>DEPARTMENT OF HEALTH - SAN FERNANDO CITY PAMPANGA</t>
  </si>
  <si>
    <t>MUNICIPALITY OF KABASALAN, ZAMBOANGA SIBUGAY</t>
  </si>
  <si>
    <t>MUNICIPALITY OF PAMPLONA, CAMARINES SUR</t>
  </si>
  <si>
    <t>BARANGAY TUBAC MUTIA ZAMBOANGA DEL NORTE</t>
  </si>
  <si>
    <t>BARANGAY 19-B, DAVAO CITY</t>
  </si>
  <si>
    <t>BARANGAY KANDIIS, MAGSAYSAY, MISAMIS ORIENTAL</t>
  </si>
  <si>
    <t>MUNICIPALITY OF SANTA, ILOCOS SUR</t>
  </si>
  <si>
    <t>MUNICIPALITY OF PEREZ, QUEZON</t>
  </si>
  <si>
    <t>BARANGAY TAGBONGABONG - R.T. ROMUALDEZ, AGUSAN DEL NORTE</t>
  </si>
  <si>
    <t>DEPARTMENT OF EDUCATION - DIVISION OF ALBAY</t>
  </si>
  <si>
    <t>BARANGAY PITOGO, CATAINGAN, MASBATE</t>
  </si>
  <si>
    <t>BARANGAY OWAK, ASTURIAS, CEBU</t>
  </si>
  <si>
    <t>BARANGAY CENTRO 11 - TUGUEGARAO CITY</t>
  </si>
  <si>
    <t>BARANGAY CATAGGAMAN VIEJO - TUGUEGARAO CITY</t>
  </si>
  <si>
    <t>BARANGAY OBRERO, CABANATUAN CITY, NUEVA ECIJA</t>
  </si>
  <si>
    <t>BARAGAY MELOJAVILLA - CABANATUAN CITY</t>
  </si>
  <si>
    <t>BARANGAY SAN PABLO - VIRAC CATANDUANES</t>
  </si>
  <si>
    <t>MUNICIPALITY OF CALINTAAN, OCCIDENTAL MINDORO</t>
  </si>
  <si>
    <t>MUNICIPALITY OF QUEZON, ISABELA</t>
  </si>
  <si>
    <t>DEPARTMENT OF PUBLIC WORKS AND HIGHWAYS - REGION VII</t>
  </si>
  <si>
    <t>MUNICIPALITY OF BUGUEY, CAGAYAN</t>
  </si>
  <si>
    <t>BARANGAY PINPIN, TUBOD, LANAO DEL NORTE</t>
  </si>
  <si>
    <t>DEPARTMENT OF PUBLIC WORKS AND HIGHWAYS - CAGAYAN 1ST DEO</t>
  </si>
  <si>
    <t>MUNICIPALITY OF PONTEVEDRA, CAPIZ</t>
  </si>
  <si>
    <t>BARANGAY VILLAHERMOSA, TUDELA, CEBU</t>
  </si>
  <si>
    <t>MUNICIPALITY OF CALUBIAN, LEYTE</t>
  </si>
  <si>
    <t>DEPARTMENT OF SOCIAL WELFARE AND DEVELOPMENT - REGION VI</t>
  </si>
  <si>
    <t>BARANGAY TUGAS - LEMERY,ILOILO</t>
  </si>
  <si>
    <t>PHILIPPINE NATIONAL POLICE - CAR</t>
  </si>
  <si>
    <t>MUNICIPALITY OF VILLANUEVA, MISAMIS ORIENTAL</t>
  </si>
  <si>
    <t>BARANGAY AGUADA NORTE - MAGALLANES, SORSOGON</t>
  </si>
  <si>
    <t>PHILIPPINE OVERSEAS EMPLOYMENT ADMINISTRATION</t>
  </si>
  <si>
    <t>BARANGAY SAN ISIDRO, SORSOGON CITY</t>
  </si>
  <si>
    <t>MUNICIPALITY OF CARMEN COTABATO</t>
  </si>
  <si>
    <t>BARANGAY GIMALOTO - SORSOGON CITY SORSOGON</t>
  </si>
  <si>
    <t>BARANGAY PARI-AN - ENRIQUE VILLANUEVA SIQUIJOR</t>
  </si>
  <si>
    <t>ENVIRONMENTAL MANAGEMENT BUREAU - REGION VII</t>
  </si>
  <si>
    <t>MUNICIPALITY OF ISABEL, LEYTE</t>
  </si>
  <si>
    <t>COMMISSION ON APPOINTMENTS</t>
  </si>
  <si>
    <t>OFFICE OF THE PRESIDENT</t>
  </si>
  <si>
    <t>NORTHWEST SAMAR STATE UNIVERSITY</t>
  </si>
  <si>
    <t>BARANGAY BALISONG, ARGAO, CEBU</t>
  </si>
  <si>
    <t>MUNICIPALITY OF STA. FE, LEYTE</t>
  </si>
  <si>
    <t>MUNICIPALITY OF PANGLAO, BOHOL</t>
  </si>
  <si>
    <t>MUNICIPALITY OF MANAPLA, NEGROS OCCIDENTAL</t>
  </si>
  <si>
    <t>MUNICIPALITY OF MINGLANILLA, CEBU</t>
  </si>
  <si>
    <t>BARANGAY BALZAIN WEST - TUGUEGARAO CITY, CAGAYAN</t>
  </si>
  <si>
    <t>MUNICIPALITY OF JAVIER, LEYTE</t>
  </si>
  <si>
    <t>DR. JOSE FABELLA MEMORIAL HOSPITAL</t>
  </si>
  <si>
    <t>DEPARTMENT OF TRADE AND INDUSTRY - REGION II, CAGAYAN VALLEY</t>
  </si>
  <si>
    <t>CAVITE ECONOMIC ZONE - PEZA</t>
  </si>
  <si>
    <t>MUNICIPALITY OF VIGA, CATANDUANES</t>
  </si>
  <si>
    <t>BARANGAY MARIKIT, PALUAN, OCCIDENTAL MINDORO</t>
  </si>
  <si>
    <t>MUNICIPALITY OF PAGSANGHAN, SAMAR</t>
  </si>
  <si>
    <t>MUNICIPALITY OF MAMBURAO, OCCIDENTAL MINDORO</t>
  </si>
  <si>
    <t>MUNICIPALITY OF PADRE GARCIA, BATANGAS</t>
  </si>
  <si>
    <t>DEPARTMENT OF PUBLIC WORKS AND HIGHWAYS - NCR</t>
  </si>
  <si>
    <t>MUNICIPALITY OF MALUNGON, SARANGANI</t>
  </si>
  <si>
    <t>MUNICIPALITY OF GAMAY, NORTHERN SAMAR</t>
  </si>
  <si>
    <t>DEPARTMENT OF PUBLIC WORKS AND HIGHWAYS - DAVAO OCCIDENTAL D</t>
  </si>
  <si>
    <t>BARANGAY BANGON - PINABACDAO SAMAR</t>
  </si>
  <si>
    <t>DEPARTMENT OF PUBLIC WORKS AND HIGHWAYS - QUEZON 3RD ED</t>
  </si>
  <si>
    <t>MUNICIPALITY OF SUDIPEN, LA UNION</t>
  </si>
  <si>
    <t>DEPARTMENT OF ENVIRONMENT AND NATURAL RES. - PENRO, ANTIQUE</t>
  </si>
  <si>
    <t>BARANGAY CAMANCI SUR - NUMANCIA, AKLAN</t>
  </si>
  <si>
    <t>BARANGAY IMELDA - BAYBAY CITY LEYTE</t>
  </si>
  <si>
    <t>TARLAC STATE UNIVERSITY</t>
  </si>
  <si>
    <t>MUNICIPALITY OF TABUELAN, CEBU</t>
  </si>
  <si>
    <t>MUNICIPALITY OF CULASI, ANTIQUE</t>
  </si>
  <si>
    <t>MUNICIPALITY OF KALILANGAN, BUKIDNON</t>
  </si>
  <si>
    <t>CITY OF SAGAY, NEGROS OCCIDENTAL</t>
  </si>
  <si>
    <t>MUNICIPALITY OF SANTO DOMINGO, ILOCOS SUR</t>
  </si>
  <si>
    <t>BARANGAY DAS, TOLEDO CITY</t>
  </si>
  <si>
    <t>MUNICIPALITY OF MATUNGAO, LANAO DEL NORTE</t>
  </si>
  <si>
    <t>MUNICIPALITY OF DAGOHOY, BOHOL</t>
  </si>
  <si>
    <t>NATIONAL TOBACCO ADMINISTRATION</t>
  </si>
  <si>
    <t>BARANGAY SINONOC, SINACABAN, MISAMIS OCCIDENTAL</t>
  </si>
  <si>
    <t>BARANGAY PALIPARAN III - DASMARIÑAS CITY CAVITE</t>
  </si>
  <si>
    <t>DEPARTMENT OF SCIENCE AND TECHNOLOGY - REGION IV-A</t>
  </si>
  <si>
    <t>MUNICIPALITY OF STA. MARIA, PANGASINAN</t>
  </si>
  <si>
    <t>MUNICIPALITY OF USON, MASBATE</t>
  </si>
  <si>
    <t>DEPARTMENT OF PUBLIC WORKS AND HIGHWAYS - BULACAN 2ND DEO</t>
  </si>
  <si>
    <t>DIGOS CITY NATIONAL HIGH SCHOOL</t>
  </si>
  <si>
    <t>BARANGAY STO. NINO - QUINAPONDAN EASTERN SAMAR</t>
  </si>
  <si>
    <t>MUNICIPALITY OF DIFFUN, QUIRINO</t>
  </si>
  <si>
    <t>MUNICIPALITY OF KINOGUITAN , MISAMIS ORIENTAL</t>
  </si>
  <si>
    <t>MUNICIPALITY OF BINALBAGAN, NEGROS OCCIDENTAL</t>
  </si>
  <si>
    <t>EASTERN VISAYAS REGIONAL MEDICAL CENTER - DOH</t>
  </si>
  <si>
    <t>MUNICIPALITY OF SAMBOAN, CEBU</t>
  </si>
  <si>
    <t>BARANGAY CARIDAD - BAYBAY CITY LEYTE</t>
  </si>
  <si>
    <t>MUNICIPALITY OF INOPACAN, LEYTE</t>
  </si>
  <si>
    <t>BARANGAY BUKAL SUR, CANDELARIA, QUEZON</t>
  </si>
  <si>
    <t>BARANGAY NBBS DAGAT-DAGATAN NAVOTAS CITY METRO MANILA</t>
  </si>
  <si>
    <t>MUNICIPALITY OF NAGTIPUNAN, QUIRINO</t>
  </si>
  <si>
    <t xml:space="preserve">CADIZ EAST ELEMENTARY SCHOOL </t>
  </si>
  <si>
    <t>MUNICIPALITY OF NABUA, CAMARINES SUR</t>
  </si>
  <si>
    <t>BARANGAY POLOT-AN, POTOTAN, ILOILO</t>
  </si>
  <si>
    <t>BARANGAY TUBOD SAN JUAN SIQUIJOR</t>
  </si>
  <si>
    <t>DAPITAN CITY WATER DISTRICT</t>
  </si>
  <si>
    <t>BARANGAY UBANG, POTOTAN, ILOILO</t>
  </si>
  <si>
    <t>BARANGAY JAMABALUD, POTOTAN, ILOILO</t>
  </si>
  <si>
    <t>MUNICIPALITY OF TUAO, CAGAYAN</t>
  </si>
  <si>
    <t>BARANGAY CAU-AYAN, POTOTAN, ILOILO</t>
  </si>
  <si>
    <t>MUNICIPALITY OF DAO, CAPIZ</t>
  </si>
  <si>
    <t>BARANGAY PAPPAT - ANGADANAN ISABELA</t>
  </si>
  <si>
    <t>SAGAY WATER DISTRICT</t>
  </si>
  <si>
    <t>MUNICIPALITY OF BACARRA, ILOCOS NORTE</t>
  </si>
  <si>
    <t>DEPARTMENT OF THE INTERIOR AND LOCAL GOVERNMENT - MAIN</t>
  </si>
  <si>
    <t>MUNICIPALITY OF MABINAY, NEGROS ORIENTAL</t>
  </si>
  <si>
    <t>MUNICIPALITY OF CABATUAN, ISABELA</t>
  </si>
  <si>
    <t>NATIONAL FOOD AUTHORITY - REGION I</t>
  </si>
  <si>
    <t>BARANGAY CALLAN - POTOTAN, ILOILO</t>
  </si>
  <si>
    <t>BARANGAY KIWALO, DARAGA, ALBAY</t>
  </si>
  <si>
    <t>MUNICIPALITY OF BURGOS, LA UNION</t>
  </si>
  <si>
    <t>DEPARTMENT OF PUBLIC WORKS AND HIGHWAYS - SULTAN KUDARAT 1ST</t>
  </si>
  <si>
    <t>DEPARTMENT OF HEALTH - CAR OFFICE</t>
  </si>
  <si>
    <t>NATIONAL IRRIGATION ADMINISTRATION - CARAGA</t>
  </si>
  <si>
    <t>NATIONAL DAIRY AUTHORITY</t>
  </si>
  <si>
    <t>MINISTRY OF SOCIAL SERVICES, BARMM</t>
  </si>
  <si>
    <t>MUNICIPALITY OF ESTANCIA, ILOILO</t>
  </si>
  <si>
    <t>LAGUNA STATE POLYTECHNIC UNIVERSITY - STA. CRUZ CAMPUS</t>
  </si>
  <si>
    <t>BARANGAY MABASA,PATNONGON, ANTIQUE</t>
  </si>
  <si>
    <t>NATIONAL BUREAU OF INVESTIGATION</t>
  </si>
  <si>
    <t>MUNICIPALITY OF MONREAL, MASBATE</t>
  </si>
  <si>
    <t>MUNICIPALITY OF RIZAL, ZAMBOANGA DEL NORTE</t>
  </si>
  <si>
    <t>BARANGAY AMOT, BURDEOS, QUEZON</t>
  </si>
  <si>
    <t>MUNICIPALITY OF ALLEN, NORTHERN SAMAR</t>
  </si>
  <si>
    <t>CITY OF TAGAYTAY, CAVITE</t>
  </si>
  <si>
    <t>PHILIPPINE PUBLIC SAFETY COLLEGE</t>
  </si>
  <si>
    <t>MUNICIPALITY OF GUIMBAL, ILOILO</t>
  </si>
  <si>
    <t>MUNICIPALITY OF KATIPUNAN, ZAMBOANGA DEL NORTE</t>
  </si>
  <si>
    <t>PARTIDO STATE UNIVERSITY - GOA CAMPUS</t>
  </si>
  <si>
    <t>DEPARTMENT OF PUBLIC WORKS AND HIGHWAYS - CEBU 6TH DEO</t>
  </si>
  <si>
    <t>MUNICIPALITY OF MAASIN, ILOILO</t>
  </si>
  <si>
    <t>MUNICIPALITY OF VILLAVICIOSA, ABRA</t>
  </si>
  <si>
    <t>OROQUIETA AGRO-INDUSTRIAL SCHOOL</t>
  </si>
  <si>
    <t>BARANGAY CABUGAO SUR, PAVIA, ILOILO</t>
  </si>
  <si>
    <t>MUNICIPALITY OF BALENO, MASBATE</t>
  </si>
  <si>
    <t>UNIVERSITY OF ANTIQUE</t>
  </si>
  <si>
    <t>UNIVERSITY OF ANTIQUE - TARIO-LIM MEMORIAL CAMPUS</t>
  </si>
  <si>
    <t>DEPARTMENT OF AGRARIAN REFORM - REGION V</t>
  </si>
  <si>
    <t>MUNICIPALITY OF SAN ISIDRO, DAVAO ORIENTAL</t>
  </si>
  <si>
    <t>NATIONAL MAPPING AND RESOURCE INFORMATION AUTHORITY (NAMRIA)</t>
  </si>
  <si>
    <t>DEPARTMENT OF ENVIRONMENT AND NATURAL RESOURCES - ILOCOS NOR</t>
  </si>
  <si>
    <t>BARANGAY AMAGBAGAN, POZORRUBIO, PANGASINAN</t>
  </si>
  <si>
    <t>MUNICIPALITY OF BARUGO, LEYTE</t>
  </si>
  <si>
    <t>MUNICIPALITY OF DAPA, SURIGAO DEL NORTE</t>
  </si>
  <si>
    <t>DEPARTMENT OF PUBLIC WORKS AND HIGHWAYS - AGUSAN DEL NORTE D</t>
  </si>
  <si>
    <t>BARANGAY POBLACION, INFANTA, PANGASINAN</t>
  </si>
  <si>
    <t>CENTRAL BICOL STATE UNIVERSITY OF AGRICULTURE-SIPOCOT CAMPUS</t>
  </si>
  <si>
    <t>BARANGAY ADLAY, CARRASCAL, SURIGAO DEL SUR</t>
  </si>
  <si>
    <t>MUNICIPALITY OF NAGBUKEL, ILOCOS SUR</t>
  </si>
  <si>
    <t>MUNICIPALITY OF KIBLAWAN, DAVAO DEL SUR</t>
  </si>
  <si>
    <t>MUNICIPALITY OF TABOGON, CEBU</t>
  </si>
  <si>
    <t>BARANGAY BUSO, MATI CITY</t>
  </si>
  <si>
    <t>MUNICIPALITY OF CALANASAN, APAYAO</t>
  </si>
  <si>
    <t>COMPOSTELA WATER DISTRICT</t>
  </si>
  <si>
    <t>BUREAU OF FIRE PROTECTION - NATIONAL HEADQUARTERS</t>
  </si>
  <si>
    <t>MUNICIPALITY OF PAVIA, ILOILO</t>
  </si>
  <si>
    <t>MARAMAG WATER DISTRICT</t>
  </si>
  <si>
    <t>PANGASINAN STATE UNIVERSITY - MAIN</t>
  </si>
  <si>
    <t>BUREAU OF JAIL MANAGEMENT AND PENOLOGY - REGION VII</t>
  </si>
  <si>
    <t>MUNICIPALITY OF PATNANUNGAN, QUEZON</t>
  </si>
  <si>
    <t>BARANGAY TALOY SUR - TUBA BENGUET</t>
  </si>
  <si>
    <t>BARANGAY BULACAN, MABINI, BATANGAS</t>
  </si>
  <si>
    <t>BARANGAY GASANG, MABINI, BATANGAS</t>
  </si>
  <si>
    <t>BARANGAY SOLO, MABINI, BATANGAS</t>
  </si>
  <si>
    <t>MUNICIPALITY OF ALEGRIA, CEBU</t>
  </si>
  <si>
    <t>MUNICIPALITY OF CABUGAO, ILOCOS SUR</t>
  </si>
  <si>
    <t>DEPARTMENT OF TRADE AND INDUSTRY - CAR</t>
  </si>
  <si>
    <t>MUNICIPALITY OF BINDOY, NEGROS ORIENTAL</t>
  </si>
  <si>
    <t>MUNICIPALITY OF BOBON, NORTHERN SAMAR</t>
  </si>
  <si>
    <t>BARANGAY MAYPANGDAN, BORONGAN, EASTERN SAMAR</t>
  </si>
  <si>
    <t>MUNICIPALITY OF QUEZON, PALAWAN</t>
  </si>
  <si>
    <t>BARANGAY PINAGSAMA - TAGUIG CITY</t>
  </si>
  <si>
    <t>DEPARTMENT OF EDUCATION - DIVISION OF SAMAR</t>
  </si>
  <si>
    <t>MUNICIPALITY OF CAJIDIOCAN, ROMBLON</t>
  </si>
  <si>
    <t>MUNICIPALITY OF BANAYOYO, ILOCOS SUR</t>
  </si>
  <si>
    <t>MUNICIPALITY OF STA. CATALINA, NEGROS ORIENTAL</t>
  </si>
  <si>
    <t>ENERGY REGULATORY COMMISSION</t>
  </si>
  <si>
    <t>BARANGAY SAN VICENTE, BUTUAN CITY</t>
  </si>
  <si>
    <t>DON LUIS CONSING ELEMENTARY SCHOOL</t>
  </si>
  <si>
    <t>MUNICIPALITY OF BALO-I, LANAO DEL NORTE</t>
  </si>
  <si>
    <t>BUREAU OF JAIL MANAGEMENT AND PENOLOGY-CALABARZON</t>
  </si>
  <si>
    <t>BARANGAY IMBALBALATONG, POZORRUBIO, PANGASINAN</t>
  </si>
  <si>
    <t>MUNICIPALITY OF TIGAON, CAMARINES SUR</t>
  </si>
  <si>
    <t>BARANGAY KAMBONGGAN - BAYBAY CITY LEYTE</t>
  </si>
  <si>
    <t>BARANGAY GAAS - BAYBAY CITY LEYTE</t>
  </si>
  <si>
    <t>CITY OF SAN JOSE, NUEVA ECIJA</t>
  </si>
  <si>
    <t>PHILIPPINE STATISTICS AUTHORITY - ZAMBOANGA CITY</t>
  </si>
  <si>
    <t>NATIONAL IRRIGATION ADMINISTRATION - PIMO</t>
  </si>
  <si>
    <t>NATIONAL IRRIGATION ADMINISTRATION - UPRIIS, DIVISION I</t>
  </si>
  <si>
    <t>BARANGAY TONGONAN, KANANGA, LEYTE</t>
  </si>
  <si>
    <t>BARANGAY CONAYNAY, SANTA BARBARA, ILOILO</t>
  </si>
  <si>
    <t>CENTER FOR HEALTH DEVELOPMENT - REGION XI</t>
  </si>
  <si>
    <t>DEPARTMENT OF PUBLIC WORKS AND HIGHWAYS - NORTHERN SAMAR 2ND</t>
  </si>
  <si>
    <t>BARANGAY PINAMOPOAN, CAPOOCAN, LEYTE</t>
  </si>
  <si>
    <t>CITY OF BACOLOD, NEGROS OCCIDENTAL</t>
  </si>
  <si>
    <t>BARANGAY TAGPOPONGAN ISLAND GARDEN CITY OF SAMAL DAVAO DEL N</t>
  </si>
  <si>
    <t>MUNICIPALITY OF VALENCIA, BOHOL</t>
  </si>
  <si>
    <t>MUNICIPALITY OF JAMINDAN, CAPIZ</t>
  </si>
  <si>
    <t>BARANGAY LOWER DIMOROK - MOLAVE ZAMBOANGA DEL SU</t>
  </si>
  <si>
    <t>PEOPLE'S TELEVISION NETWORK, INC.</t>
  </si>
  <si>
    <t>MUNICIPALITY OF BATO, CAMARINES SUR</t>
  </si>
  <si>
    <t>JOSE R. REYES MEMORIAL MEDICAL CENTER</t>
  </si>
  <si>
    <t>BARANGAY II-B, SAN PABLO CITY</t>
  </si>
  <si>
    <t>PHILIPPINE INSTITUTE OF VOLCANOLOGY AND SEISMOLOGY</t>
  </si>
  <si>
    <t>PHILIPPINE HEALTH INSURANCE CORPORATION - REGION VIII</t>
  </si>
  <si>
    <t>CIVIL SERVICE COMMISSION - REGION II</t>
  </si>
  <si>
    <t>EAST AVENUE MEDICAL CENTER</t>
  </si>
  <si>
    <t>BARANGAY MINANGA CAMALANIUGAN CAGAYAN</t>
  </si>
  <si>
    <t>DEPARTMENT OF SCIENCE AND TECHNOLOGY - REGION V</t>
  </si>
  <si>
    <t xml:space="preserve">DEPARTMENT OF PUBLIC WORKS AND HIGHWAYS - COMPOSTELA VALLEY </t>
  </si>
  <si>
    <t>MUNICIPALITY OF SUYO, ILOCOS SUR</t>
  </si>
  <si>
    <t>LIGA NG MGA BARANGAY, MAGSINGAL, ILOCOS SUR CHAPTER</t>
  </si>
  <si>
    <t>DEPARTMENT OF ENVIRONMENT AND NATURAL RESOURCES - COMPOSTELA</t>
  </si>
  <si>
    <t>BARANGAY SALOG, SORSOGON CITY, SORSOGON</t>
  </si>
  <si>
    <t>MUNICIPALITY OF ARACELI, PALAWAN</t>
  </si>
  <si>
    <t>BARANGAY CHIMENEA, CATAINGAN, MASBATE</t>
  </si>
  <si>
    <t>BARANGAY DIVISORIA, CATAINGAN, MASBATE</t>
  </si>
  <si>
    <t>DEPARTMENT OF AGRARIAN REFORM - MAIN</t>
  </si>
  <si>
    <t xml:space="preserve">BARANGAY BASUD, SAN ISIDRO, LEYTE </t>
  </si>
  <si>
    <t>MUNICIPALITY OF AJUY, ILOILO</t>
  </si>
  <si>
    <t>BARANGAY LIBERTAD - NABAS AKLAN</t>
  </si>
  <si>
    <t>PHILIPPINE HEALTH INSURANCE CORPORATION - REGION XI</t>
  </si>
  <si>
    <t>DEPARTMENT OF PUBLIC WORKS AND HIGHWAYS - LEYTE 5TH ED</t>
  </si>
  <si>
    <t>BATANES GENERAL HOSPITAL</t>
  </si>
  <si>
    <t>MUNICIPALITY OF CALACA, BATANGAS</t>
  </si>
  <si>
    <t>MUNICIPALITY OF SALVADOR, LANAO DEL NORTE</t>
  </si>
  <si>
    <t>DEPARTMENT OF PUBLIC WORKS AND HIGHWAYS - CEBU 5TH DEO</t>
  </si>
  <si>
    <t>DEPARTMENT OF ENVIRONMENT AND NATURAL RES. - PENRO-LOS BANOS</t>
  </si>
  <si>
    <t>BARANGAY WACK-WACK GREENHILLS EAST,</t>
  </si>
  <si>
    <t>MUNICIPALITY OF BAGANGA, DAVAO ORIENTAL</t>
  </si>
  <si>
    <t>MUNICIPALITY OF SAN AGUSTIN, ROMBLON</t>
  </si>
  <si>
    <t>CITY OF VALENCIA, BUKIDNON</t>
  </si>
  <si>
    <t>HUMAN RIGHTS VIOLATIONS VICTIMS' MEMORIAL COMMISSION</t>
  </si>
  <si>
    <t>DEPARTMENT OF PUBLIC WORKS AND HIGHWAYS - LANAO DEL NORTE 2N</t>
  </si>
  <si>
    <t>PHILIPPINE SCIENCE HIGH SCHOOL - REGION XI</t>
  </si>
  <si>
    <t>TANAY WATER DISTRICT</t>
  </si>
  <si>
    <t>PHILIPPINE COUNCIL FOR HEALTH RESEARCH AND DEVELOPMENT</t>
  </si>
  <si>
    <t>BARANGAY KATIPUNAN, SINACABAN, MISAMIS OCCIDENTAL</t>
  </si>
  <si>
    <t>DEPARTMENT OF PUBLIC WORKS AND HIGHWAYS - SORSOGON 2ND DEO</t>
  </si>
  <si>
    <t>BUREAU OF FIRE PROTECTION - REGION VIII</t>
  </si>
  <si>
    <t>BARANGAY KINATIHAN 1, CANDELARIA, QUEZON</t>
  </si>
  <si>
    <t>BARANGAY SAN ISIDRO, CANDELARIA, QUEZON</t>
  </si>
  <si>
    <t>DIPACULAO WATER DISTRICT</t>
  </si>
  <si>
    <t>DEPARTMENT OF AGRARIAN REFORM - MISAMIS ORIENTAL</t>
  </si>
  <si>
    <t>BARANGAY TALOTO-AN, CONCEPCION, ILOILO</t>
  </si>
  <si>
    <t>BARANGAY DALAOIG, ALCALA, CAGAYAN</t>
  </si>
  <si>
    <t>DPWH - ANTIQUE DISTRICT ENGINEERING OFFICE</t>
  </si>
  <si>
    <t>BARANGAY DUNGON, CONCEPCION, ILOILO</t>
  </si>
  <si>
    <t>LEYTE NORMAL UNIVERSITY</t>
  </si>
  <si>
    <t>BARANGAY PANTAY BATA, TANAUAN CITY, BATANGAS</t>
  </si>
  <si>
    <t>MUNICIPALITY OF SIRAWAI, ZAMBOANGA DEL NORTE</t>
  </si>
  <si>
    <t>MUNICIPALITY OF SAN VICENTE, ILOCOS SUR</t>
  </si>
  <si>
    <t>DEPARTMENT OF EDUCATION - DIVISION OF CALAMBA CITY</t>
  </si>
  <si>
    <t>PHILIPPINE HEALTH INSURANCE CORPORATION</t>
  </si>
  <si>
    <t>CREDIT INFORMATION CORPORATION</t>
  </si>
  <si>
    <t>PROVINCE OF BASILAN</t>
  </si>
  <si>
    <t>PILI INTEGRATED SCHOOL - DANAO CITY CEBU</t>
  </si>
  <si>
    <t>MUNICIPALITY OF SANTA BARBARA, PANGASINAN</t>
  </si>
  <si>
    <t>PHILIPPINE AMUSEMENT AND GAMING CORPORATION-DAVAO</t>
  </si>
  <si>
    <t>PHILIPPINE AMUSEMENT AND GAMING CORPORATION-ANGELES</t>
  </si>
  <si>
    <t>BARANGAY SAN GABRIEL, SAN PABLO CITY</t>
  </si>
  <si>
    <t>CABIAO NATIONAL HIGH SCHOOL - CABIAO NUEVA ECIJA</t>
  </si>
  <si>
    <t>BUREAU OF QUARANTINE</t>
  </si>
  <si>
    <t>DUTY FREE PHILIPPINES CORPORATION</t>
  </si>
  <si>
    <t>HOME DEVELOPMENT MUTUAL FUND - REGION VII</t>
  </si>
  <si>
    <t>COMMISSION ON ELECTIONS</t>
  </si>
  <si>
    <t>BUREAU OF FIRE PROTECTION - REGION V</t>
  </si>
  <si>
    <t>DEPARTMENT OF EDUCATION - DIVISION OF LANAO DEL NORTE</t>
  </si>
  <si>
    <t>TALISAY DISTRICT HOSPITAL</t>
  </si>
  <si>
    <t>BARANGAY CATO-OGAN TOBIAS FORNIER ANTIQUE</t>
  </si>
  <si>
    <t>BUREAU OF FIRE PROTECTION - REGION I</t>
  </si>
  <si>
    <t>NATIONAL HOUSING AUTHORITY REGION 4 - QUEZON CITY METRO MANI</t>
  </si>
  <si>
    <t>TANJAY WATER DISTRICT</t>
  </si>
  <si>
    <t>CITY  OF CADIZ, NEGROS OCCIDENTAL</t>
  </si>
  <si>
    <t>HARBORT ELEM. SCHOOL,CALATRAVA II,DIVISION OF NEGROS OCCIDEN</t>
  </si>
  <si>
    <t>DEPARTMENT OF SCIENCE AND TECHNOLOGY - REGION IV-B</t>
  </si>
  <si>
    <t>BOHOL ISLAND STATE UNIVERSITY - CLARIN CAMPUS</t>
  </si>
  <si>
    <t>IMPROVEMENT/REBLOCKING/ OF LOCAL ROAD</t>
  </si>
  <si>
    <t>Procurement of Motor Vehicles</t>
  </si>
  <si>
    <t>Peace And Order Personality Development Program</t>
  </si>
  <si>
    <t>20CSFI02- Consulting Services for the Sub-Soil Investigation for the Rehabilitation/Reconstruction of National Roads with Slips, Slope Collapse and Landslide along Jct Milagros-Baleno-Lagta Rd, K0038+</t>
  </si>
  <si>
    <t>CONSTRUCTION OF CONCRETE PATHWAY AT ZONE 1 BRGY. BALIUAG VIEJO</t>
  </si>
  <si>
    <t>20CSFI01- Consulting Services for the Sub-Soil Investigation for the Proposed Construction of New Permanent Bridges and Widening of Permanent Bridges under regular Infrastructure Bridge Program</t>
  </si>
  <si>
    <t>PURCHASE OF MEDICINE AND MEDICAL SUPPLIES FOR USE IN RURAL HEALTH UNIT, LAOANG, N. SAMAR</t>
  </si>
  <si>
    <t>HFE: 10	UNIT	EVAPORATIVE AIR COOLER HEAVY DUTY  FOR THE HOME FOR THE ELDERLY OPERATION , 2nd SEM OF 2020</t>
  </si>
  <si>
    <t>RATIFICATION AND SIGNING OF THE REVISED GUIDELINES IN THE SELECTIONS OF IPMRs IN THE MUNICIPALITY OF CALATRAVA ON JULY 7, 2020</t>
  </si>
  <si>
    <t>Construction/Repair/Rehabilitation/Improvement of Various Infrastructure including Local Projects- Buildings and Other Structures- Multi-Purpose/Facilities-Construction of Multi-Purpose Building, Brgy</t>
  </si>
  <si>
    <t>Concreting of Sitio Grego to Sitio Pinagpatayan Barangay Calaylayan FMR, Barangay Calaylayan, Abucay, Bataan</t>
  </si>
  <si>
    <t>S &amp; D of Dump Truck (PDRRMO)</t>
  </si>
  <si>
    <t>CONCRETING OF LOCAL ROAD PHASE 11 BARANGAY BALIUAG VIEJO</t>
  </si>
  <si>
    <t>AGR-20-0128-B Purchase of Office Equipment</t>
  </si>
  <si>
    <t>Supply &amp; Installation of Deep Well Drilling for the Establishment of Solar Pump (P. Agri.)</t>
  </si>
  <si>
    <t>Construction of Two (2) Storey-Eight (8) Classroom School Building, Layac Elementary School,Dinalupihan, Bataan</t>
  </si>
  <si>
    <t>CONSTRUCTION OF CONCRETE PATHWAY AT ZONE 5 BRGY. BALIUAG VIEJO</t>
  </si>
  <si>
    <t>Construction of Two (2) Storey-Four (4) Classroom School Building, Bayan-Bayanan Elementary School, Dinalupihan, Bataan</t>
  </si>
  <si>
    <t>Supply and Delivery of Housekeeping Supplies/Janitorial Supplies</t>
  </si>
  <si>
    <t>SUPPLY AND DELIVERY OF UNIFORM FOR MUNICIPAL EMPLOYEES</t>
  </si>
  <si>
    <t>SUPPLY AND DELIVERY OF MEDICINES FOR RHU</t>
  </si>
  <si>
    <t>PURCHASE OF CONSTRUCTION MATERIALS</t>
  </si>
  <si>
    <t>Purchase of Commodities for CAA 1 and CAA 2 (MPOC)</t>
  </si>
  <si>
    <t>Construction of Multi - Purpose Building (PNP Building Extension)</t>
  </si>
  <si>
    <t>Construction of New Tampilisan Public Market Building</t>
  </si>
  <si>
    <t>Concreting of Malicay Road and Market Area</t>
  </si>
  <si>
    <t>PURCHASE OF VARIOUS ELECTRICAL SUPPLIES FOR THE INSTALLATION OF AIRCONDITIONING AT CIVIC CENTER AS TEMPORARY ISOLATION TREATMENT AND MONITORING FACILITY</t>
  </si>
  <si>
    <t>Construction of Four (4)  Storey-Sixteen (16) Classroom School Building, Nagbalayong National High School, Morong, Bataan</t>
  </si>
  <si>
    <t>Construction of Drainange Canal</t>
  </si>
  <si>
    <t>Construction of One Unit Poultry House (Farm Demo)</t>
  </si>
  <si>
    <t>Purchase of 3 sets Brand New Desktop Computer w/ complete accessories and 2 sets printer, WIFI Integrated Ink Tank of the Mayor's Office, San Enrique, Iloilo.</t>
  </si>
  <si>
    <t>PURCHASE OF JANITORIAL SUPPLIES-3RD QUARTER FOR TUGUEGARAO AIRPORT F.Y. 2020</t>
  </si>
  <si>
    <t>Supply and delivery of laboratory Supplies</t>
  </si>
  <si>
    <t>Construction of National Child Development Center</t>
  </si>
  <si>
    <t>Construction of CHB Canal Lining at Casilagan-Balacong CIS</t>
  </si>
  <si>
    <t>Proposed Repair and Improvement of IP Multi-Purpose Building(Rehabilitation of Existing Building(Earthquake Damaged)Additional Improvement Glass Works(Cubicle) and Filing Cabinets) at City Plaza, Brgy</t>
  </si>
  <si>
    <t>PURCHASE OF OFFICE SUPPLIES-3RD QUARTER FOR TUGUEGARAO AIRPORT F.Y.2020</t>
  </si>
  <si>
    <t>Accreditation Documents Cabinet</t>
  </si>
  <si>
    <t>Purchase of Materials for Construction of Two Signages in Entrance from Barangay Kinatarkan &amp; Entrance from Brgy. Langub, Purok Pagsinabtanay, Hagdan, Santa Fe, Cebu - Barangay</t>
  </si>
  <si>
    <t>IMPROVEMENT OF VARIOUS OFFICES</t>
  </si>
  <si>
    <t>Procurement of Materials for the Repair of Municipal Building</t>
  </si>
  <si>
    <t>CONSTRUCTION OF 45 L.M CHB LINE CANAL ALONG ESQUEDA STREET (sta.0+000-0+045) PUROK 4, PHASE 1 …</t>
  </si>
  <si>
    <t>Procurement of Disinfection Spray and Disinfectant Solution</t>
  </si>
  <si>
    <t>Procurement of Drugs and Medicines</t>
  </si>
  <si>
    <t>Concreting of Purok 6B Road (Lublub) (INFRA2020-08)</t>
  </si>
  <si>
    <t>Concreting of Purok 3 Road (Lublub) (INFRA2020-07)</t>
  </si>
  <si>
    <t>INVITATION TO BID FOR CONSTRUCTION OF TOURISM MULTIPURPOSE ENVIRONMENTAL PROTECTION &amp; SANITARY FACILITY AT KAPUKA FALLS</t>
  </si>
  <si>
    <t>Procurement of Medical, Dental and Laboratory Supplies</t>
  </si>
  <si>
    <t>Purchase of computer sets and printers for various offices</t>
  </si>
  <si>
    <t>Purchase of 2 units laptop for use in the Mapping and Formulation of Comprehensive Development Plan, Forest Land Use Plan and CLUP of the Municipality of Dingras, Ilocos Norte</t>
  </si>
  <si>
    <t>Enhancement of Packaging House</t>
  </si>
  <si>
    <t>Supply and Delivery of Diesel</t>
  </si>
  <si>
    <t>Rehabilitation of Evacuation Center</t>
  </si>
  <si>
    <t>DRRM Communication Tower Project</t>
  </si>
  <si>
    <t>Installation of 40 streetlight (Bolocaue to Angas)</t>
  </si>
  <si>
    <t>INVITATION TO BID FOR CONSTRUCTION OF DRINKING AND HAND WASHING FACILITY AT PANTUYAN NATIONAL HIGH SCHOOL</t>
  </si>
  <si>
    <t>INVITATION TO BID FOR CONSTRUCTION OF LIVESTOCK BREEDING DEMO FARM FOR PIGGERY PRODUCTION</t>
  </si>
  <si>
    <t>INVITATION TO BID FOR COMPLETION OF SAN ANTONIO MULTI-PURPOSE DAY HALL</t>
  </si>
  <si>
    <t>SERVICE RESCUE VEHICLE OF BRGY. MANAPAO</t>
  </si>
  <si>
    <t>PROCUREMENT OF MATERIALS FOR WATER SYSTEM MAINTENANCE, MALAPATAN, SARANGANI PROVINCE</t>
  </si>
  <si>
    <t>CONSTRUCTION OF FOOTBRIDGE AT BARANGAY KIHAN, MALAPATAN, SARANGANI PROVINCE</t>
  </si>
  <si>
    <t>Construction of Fire Station Phase - 3</t>
  </si>
  <si>
    <t>Proposed Street Light Extension</t>
  </si>
  <si>
    <t>Request for Quotation for the Provision of Animal feeds for Extension Support to beneficiaries under the Back to Basics Program</t>
  </si>
  <si>
    <t>Expansion &amp; Improvement of Dalaguete Farmers &amp; Fishermen's Training Center &amp; MANRO Bldg. (Phase II)</t>
  </si>
  <si>
    <t>CONCRETING OF ROAD AT PUROK PROPER, BARANGAY KINAM, MALAPATAN, SARANGANI PROVINCE</t>
  </si>
  <si>
    <t>Proposed Covered Court Portable Fence</t>
  </si>
  <si>
    <t>INVITATION TO BID FOR THE  SUPPLY AND DELIVERY OF VARIOUS PLUMBING MATERIALS (for the Installation of Distribution Pipelines)</t>
  </si>
  <si>
    <t>Repair/Renovation and Extension of PVAO Field Service Extension Office Building located at NOLCOM, Camp. Gen. Servillano Aquino, Brgy. San Miguel, Tarlac City</t>
  </si>
  <si>
    <t>SUPPLY AND DELIVERY OF HEALTH AND SAFETY PROTECTION</t>
  </si>
  <si>
    <t>YOUTH ENHANCEMENT AND DEVELOPMENT PROGRAM</t>
  </si>
  <si>
    <t>Supply and Delivery of COVID-19 Test KIt</t>
  </si>
  <si>
    <t>REHABILITATION/ REPAIR OF STREETLIGHTS</t>
  </si>
  <si>
    <t>Supply and Delivery of Stainless  Chair, Monoblock Chair and Computer Table</t>
  </si>
  <si>
    <t>Concreting of Various Streets (Phase IV) ITB NO: SFZ-INFRA 2020-005</t>
  </si>
  <si>
    <t>INVITATION TO BID FOR CONSTRUCTION OF DAY CARE CENTER/MULTI-PURPOSE DAY HALL AT DANGILAS,PM SOBRECAREY, CARAGA, DAVAO ORIENTAL</t>
  </si>
  <si>
    <t>Airconditioning System for DSBH-2020-0133</t>
  </si>
  <si>
    <t>Supply and Delivery of Office Supplies for different offices in this Municipality</t>
  </si>
  <si>
    <t>SUPPLY AND DELIVERY OF VARIOUS CI SADDLE CLAMP FOR POTABLE WATER</t>
  </si>
  <si>
    <t>FURNISHING AND DELIVERING LABOR AND MATERIALS FOR THE CONCRETING OF BARANGAY ROAD, BRGY. STA. MARIA, CAMILING, TARLAC</t>
  </si>
  <si>
    <t>Supply and Delivery of Various Supplies including Installation of Cubicle Set for the use of Planning and Design Section, BFDEO</t>
  </si>
  <si>
    <t>Spare Parts for CDH-2020-0093</t>
  </si>
  <si>
    <t>FURNISHING AND DELIVERING LABOR AND MATERIALS FOR THE CONCRETING OF BARANGAY ROAD, BRGY. PALIMBO PROPER, CAMILING, TARLAC</t>
  </si>
  <si>
    <t>Tires for PEO-2020-0107</t>
  </si>
  <si>
    <t>SUPPLY AND DELIVERY OF 1,718 LENGTHS OF  uPVC PIPE CLASS 100 WITH SIZES RANGING FROM ,2" ID TO 4" ID</t>
  </si>
  <si>
    <t>FURNISHING AND DELIVERING LABOR AND MATERIALS FOR THE CONCRETING OF FARM-TO-MARKET  ROAD,  BRGY. MANUPEG, CAMILING, TARLAC</t>
  </si>
  <si>
    <t>FURNISHING AND DELIVERING LABOR AND MATERIALS FOR THE CONCRETING OF FARM-TO-MARKET  ROAD,  BRGY. PINDANGAN 1ST, CAMILING, TARLAC</t>
  </si>
  <si>
    <t>FURNISHING AND DELIVERING LABOR AND MATERIALS FOR THE CONCRETING OF BARANGAY ROAD, BRGY. PALIMBO CAAROSIPAN, CAMILING, TARLAC</t>
  </si>
  <si>
    <t>Supply and Delivery of Office Equipment.</t>
  </si>
  <si>
    <t>Kwarto Kalinga</t>
  </si>
  <si>
    <t>FURNISHING AND DELIVERING LABOR AND MATERIALS FOR THE CONCRETING OF FARM-TO-MARKET  ROAD,  BRGY. LIBUEG, CAMILING, TARLAC</t>
  </si>
  <si>
    <t>FURNISHING AND DELIVERING LABOR AND MATERIALS FOR THE CONCRETING OF FARM-TO-MARKET  ROAD,  BRGY. CAYAOAN, CAMILING, TARLAC</t>
  </si>
  <si>
    <t>FURNISHING AND DELIVERING LABOR AND MATERIALS FOR THE CONTINUATION OF MULTI PURPOSE HALL (FINISHING WORKS), BRGY. MANAQUEM, CAMILING, TARLAC</t>
  </si>
  <si>
    <t>General Administrative Program - Capital Outlay</t>
  </si>
  <si>
    <t>Procurement of One (1) unit 10 Wheelers dumptruck</t>
  </si>
  <si>
    <t>SUPPLY &amp; DELIVERY OF ONE HEAVY DUTY PAPER SHREDDER MACHINE</t>
  </si>
  <si>
    <t>20GCE0009: Procurement of Security Services for use of DPWH, Nueva Ecija 1st District Engineering Office</t>
  </si>
  <si>
    <t>Proposed Road Concreting</t>
  </si>
  <si>
    <t>Tinajeros National High School Covid Response Supplies, Materials and Equipment</t>
  </si>
  <si>
    <t>FURNISHING AND DELIVERING LABOR AND MATERIALS FOR THE CONCRETING OF FARM-TO-MARKET  ROAD,  BRGY. BOBON CAAROSIPAN, CAMILING, TARLAC</t>
  </si>
  <si>
    <t>MATERIALS FOR THE THREE-ROOM ISOLATION FACILITY</t>
  </si>
  <si>
    <t>Rehab of sidewalk at Upper Market, Balanga Public Market  Brgy. San Jose, Balanga City, Bataan</t>
  </si>
  <si>
    <t>Procurement of Improvement of TCES District Office</t>
  </si>
  <si>
    <t>Installation of tiles @ Slaughter House Brgy. San Jose,  Balanga City, Bataan</t>
  </si>
  <si>
    <t>SURVEYING SERVICES FOR THE PROPOSED DEVELOPMENT OF BACONG INTERNATIONAL AIRPORT</t>
  </si>
  <si>
    <t>FURNISHING AND DELIVERING LABOR AND MATERIALS FOR THE CONCRETING OF BARANGAY ROAD, BRGY. SURGUI 1ST, CAMILING, TARLAC</t>
  </si>
  <si>
    <t>Supply of Drugs and Medicines for Bontoc General Hospital</t>
  </si>
  <si>
    <t>Supply and Delivery of Drugs and Medicines</t>
  </si>
  <si>
    <t>P.R. No. 20-101-041 "Office Supplies for the First Quarter"</t>
  </si>
  <si>
    <t>FURNISHING AND DELIVERING LABOR AND MATERIALS FOR THE CONSTRUCTION OF STE 2 CLASSROOM, BILAD HS, CAMILING, TARLAC</t>
  </si>
  <si>
    <t>Procurement of Office Supplies</t>
  </si>
  <si>
    <t>SUPPLY AND DELIVERY OF MATERIALS FOR THE INSTALLATION OF SOLAR LIGHTING FACILITIES</t>
  </si>
  <si>
    <t>Supply and Delivery of Tire</t>
  </si>
  <si>
    <t>FURNISHING AND DELIVERING LABOR AND MATERIALS FOR THE CONCRETING OF BARANGAY ROAD, BRGY. TAMBUGAN, CAMILING, TARLAC</t>
  </si>
  <si>
    <t>School ID of Teachers for SY 2020-2021</t>
  </si>
  <si>
    <t>FURNISHING AND DELIVERING LABOR AND MATERIALS FOR THE CONCRETING OF BARANGAY ROAD, BRGY. SURGUI 3RD, CAMILING, TARLAC</t>
  </si>
  <si>
    <t>Tires 12 R 22.5</t>
  </si>
  <si>
    <t>Procurement of Construction of Concreting of Barangay Road @ Palanas Sitio D.K. Brgy. Libertad</t>
  </si>
  <si>
    <t>Supply and Delivery of Dog Food and Supplies</t>
  </si>
  <si>
    <t>INFR-20-015– CONSTRUCTION OF SIXTY-FIVE (65) UNITS HOUSING AT BARANGAY SANTIAGO, CITY OF GEN. TRIAS, CAVITE</t>
  </si>
  <si>
    <t>SUPPLY, DELIVERY AND INSTALLATION OF SOLAR POWERED IRRIGATION SYSTEM IN THE TWO (2) SITES OF PROVINCIAL PLANT NURSERY</t>
  </si>
  <si>
    <t>FURNISHING AND DELIVERING LABOR AND MATERIALS FOR THE CONCRETING OF FARM-TO-MARKET  ROAD,  BRGY. BOBON 2ND, CAMILING, TARLAC</t>
  </si>
  <si>
    <t>INVITATION TO BID FOR THE   SUPPLY AND DELIVERY OF VARIOUS PLUMBING MATERIALS (Rehab of CARAGA WATERWORKS SYTEM)</t>
  </si>
  <si>
    <t>FURNISHING AND DELIVERING LABOR AND MATERIALS FOR THE CONCRETING OF BARANGAY ROAD, BRGY. CACAMILINGAN SUR, CAMILING, TARLAC</t>
  </si>
  <si>
    <t>Purchase of Laboratory Supplies for Dr. Florentino C. Doble Memorial Hospital (formerly Kainomayan Primary Hospital) for laboratory testing of CBC, Blood Chemistry, and Serum Electrolytes, Botolan,Zam</t>
  </si>
  <si>
    <t>Purchase of Construction Materials for the Expansion of Streetlights</t>
  </si>
  <si>
    <t>FURNISHING AND DELIVERING LABOR AND MATERIALS FOR THE CONSTRUCTION OF MULTI PURPOSE HALL (PHASE II), BRGY. SINULATAN 1ST, CAMILING, TARLAC</t>
  </si>
  <si>
    <t>SUPPLY AND DELIVERY OF VARIOUS CONSTRUCTION MATERIALS</t>
  </si>
  <si>
    <t>Supply of Plumbing Materials</t>
  </si>
  <si>
    <t>Procurement of FUEL Supply for COVID-19 Activities</t>
  </si>
  <si>
    <t>Purchase of Construction Materials for the Expansion and roof repair of Multi-Purpose Hall</t>
  </si>
  <si>
    <t>106CO-602ND BDE,6ID, PA-2020-458</t>
  </si>
  <si>
    <t>Supply and Delivery of 1 unit Generator Set</t>
  </si>
  <si>
    <t>S &amp; D of Materials - Rehabilitation of Basco Cottage at Batanes Resort (PGO-Tourism)</t>
  </si>
  <si>
    <t>20GMD0033 Purchase of Materials use for Manual Repair of Deck Slab at Datu Sahid Piang Bridge, Olandang, Midsayap, Cotabato</t>
  </si>
  <si>
    <t>20GMD0032  Purchase of Materials use for Fabrication of Kilometer Post, Right of Way Marker and Drainage Marker</t>
  </si>
  <si>
    <t>Supply, Delivery and Installation of Pump and Engine for DTRIS CY 2020, Daet, Camarines Norte</t>
  </si>
  <si>
    <t>20GMD0030  Purchase of Fuel and Lubricants for use in Construction Section (3rd Quarter of 2020)</t>
  </si>
  <si>
    <t>20GMD0034 Purchase of Fuel and Lubricants for use in Planning and Design Section (3rd Quarter of 2020)</t>
  </si>
  <si>
    <t>FURNISHING AND DELIVERING LABOR AND MATERIALS FOR THE CONCRETING OF BARANGAY ROAD, BRGY. SURGUI 2ND, CAMILING, TARLAC</t>
  </si>
  <si>
    <t>2ND INVITATION TO BID FOR THE PROCUREMENT OF VARIOUS IT EQUIPMENT AND ACCESSORIES FOR BUSINESS ONE-STOP SHOP CENTER (BOSS CENTER),  CITY OF ALAMINOS, PANGASINAN</t>
  </si>
  <si>
    <t>CONSULTANCY SERVICES FOR THE APPRAISAL OF LAND AND IMPROVEMENT OF THE PROPOSED DEVELOPMENT OF BACONG INTERNATIONAL AIRPORT</t>
  </si>
  <si>
    <t>PROCUREMENT OF RESCUE VEHICLE</t>
  </si>
  <si>
    <t>20GMD0031 Purchase of Materials use for Act. #122 Crack and Joint Sealing of Concrete Pavement Along Various Road Section</t>
  </si>
  <si>
    <t>Purchase of Office Equipment (MO, Assessor)</t>
  </si>
  <si>
    <t>Provision of IT equipment and software</t>
  </si>
  <si>
    <t>Kabuhayan Mo, Alalayan Ko</t>
  </si>
  <si>
    <t>Rehab of sledge trail</t>
  </si>
  <si>
    <t>One (1) Lot - Supply and Delivery of Scrub Suit and White Blazer, as per BSP Terms of Reference and Design</t>
  </si>
  <si>
    <t>Supply and Delivery of WaterPump set, Portable Waterpump, and Nursery Thresher (PR reference # 2020-06-0382, 2020-06-0380)</t>
  </si>
  <si>
    <t>20GEE0040-Supply and Delivery of Emulsified Asphalt (SS-1) and Asphalt Sealant for the Repair/Maintenance of Bato-Paglaum Road Section and Jct Taytay-Taytay Pob Road Section S00048PW, S00052PW, Bato-P</t>
  </si>
  <si>
    <t>Educational and Office supply</t>
  </si>
  <si>
    <t>Purchase of Vehicle</t>
  </si>
  <si>
    <t>One Lot–Multi-year Hardware Maintenance, Software Subscription and Technical Support Services for the BSP Web Application Firewall-Secondary Site, as per BSP Terms of Reference and SLA</t>
  </si>
  <si>
    <t>Renovation of Omar Municipal Hall</t>
  </si>
  <si>
    <t>INVITATION TO BID FOR CONSTRUCTION OF MULTI-PURPOSE DRYING PAVEMENT AT RELOCATION SITE,PAPAG</t>
  </si>
  <si>
    <t>PURCHASE OF FURNITURE AND FIXTURES</t>
  </si>
  <si>
    <t>20GEE0036-Supply and Delivery of Various Maintenance Tools for use along Puerto Princesa North Road (PPNR) and Coron-Busuanga National Road (CBNR), Roxas and Coron, Palawan</t>
  </si>
  <si>
    <t>Contract ID No. 20FA0060: CLUSTER 33 - CONCRETING OF FARM TO MARKET ROADS IN THE FIRST DISTRICT OF ALBAY</t>
  </si>
  <si>
    <t>20GEE0035-Supply and Delivery of Lubricants and Parts for Various Service Vehicle for use of Planning &amp; Design Section, Roxas, Palawan</t>
  </si>
  <si>
    <t>BLGU-STALUCIA-AL-01-2020 CONCRETING OF BARANGAY ROAD PHASE II</t>
  </si>
  <si>
    <t>Procurement of ICT Equipment</t>
  </si>
  <si>
    <t>Lease of Printer for BJMP NHQ (2nd Qtr 2020)</t>
  </si>
  <si>
    <t>Concreting of Road, Purok Baybayin, Barangay Ibabang Dupay, Lucena City</t>
  </si>
  <si>
    <t>20GEE0038-Supply and Delivery of Emulsified Asphalt (SS-1) for the Rapair/Maintenance of Coron- Busuanga Road and F.B. Reyes Road, Coron - Busuanga Road and F.B. Reyes Road</t>
  </si>
  <si>
    <t>PROCUREMENT OF SOUND SYSTEM, OFFICE FURNITURES &amp; EQUIPMENT (2ND BID)</t>
  </si>
  <si>
    <t>20GEE0037-Supply and Delivery of Asphalt Sealant for the Repair/Maintenance of Coron- Busuanga Road and F.B. Reyes Road, Coron - Busuanga Road and F.B. Reyes Road</t>
  </si>
  <si>
    <t>Procurement of Motor Vehicle</t>
  </si>
  <si>
    <t>Supply and Delivery of Diesel Fuel for the Graveling of 2 Kilometers Barangay Roads</t>
  </si>
  <si>
    <t>Supply and Delivery of Diesel and Gasoline</t>
  </si>
  <si>
    <t>Janitorial Supplies of LBP Naga Rotunda branch</t>
  </si>
  <si>
    <t>20GEE0034-Supply and Delivery of Materials for use in Survey Activities, Roxas, Palawan</t>
  </si>
  <si>
    <t>Purchase of 4x4 Multi-cab (van type mini ambulance)</t>
  </si>
  <si>
    <t>Request for Quotation for the Provision of Advertising Agency Services to be used during the conduct of "Wais na Wais sa Mais": Radio Program on Cacao Production and Vegetable Integration in Misamis O</t>
  </si>
  <si>
    <t>Supply and Delivery of Isolation Transformer</t>
  </si>
  <si>
    <t>Purchase of collapsible tents</t>
  </si>
  <si>
    <t>Supply and Delivery of Diesoline</t>
  </si>
  <si>
    <t>STRAIGHT FORWARD TELESCOPE 0 ENLARGED VIEW, DIAMETER 4MM LENGTH 18 CM, FIBER OPTIC LIGHT TRANSMISSION INCORPORATED, GREEN (3rd Posting)</t>
  </si>
  <si>
    <t>Purchase of Kitchen Tools and Equipment for Mayors Office</t>
  </si>
  <si>
    <t>Supply and Delivery of Drugs and Medicines.</t>
  </si>
  <si>
    <t>CONSTRUCTION OF PATHWAYS PUROK 1,3 &amp; 5</t>
  </si>
  <si>
    <t>ID CARD PRINTER, RETRANSFER, DUAL SIDED, HEAVY DUTY</t>
  </si>
  <si>
    <t>ELECTRIC DEEP FLOOR FRYER, 15 ½” W, FREE STANDING, STAINLESS STEEL CABINET AND 14 1/8” X 15 ½” FRY TANK, 50 LB. SHORTENING CAPACITY, SOLID STATE ANALOG KNOB CONTROL WITH MELT CYCLES, TWIN BASKET, LEGS</t>
  </si>
  <si>
    <t>ELECTRIC STAND FAN (2nd Posting)</t>
  </si>
  <si>
    <t>Repair / Maintenance of Motor Vehicle</t>
  </si>
  <si>
    <t>CHAIR, MONOBLOCK</t>
  </si>
  <si>
    <t>Purchase of School Supplies, Hardware/Construction Materials used for Bag-ong Ariosa Elementary School</t>
  </si>
  <si>
    <t>Purchase of School Supplies used for Simata Elementary School</t>
  </si>
  <si>
    <t>VARIOUS FITNESS EQUIPMENT</t>
  </si>
  <si>
    <t>Refill of Fire Extinguishers</t>
  </si>
  <si>
    <t>Purchase of Laboratory Supplies for Biliran Provincial Hospital</t>
  </si>
  <si>
    <t>REHABILITATION &amp; IMPROVEMENT OF BRGY HALL</t>
  </si>
  <si>
    <t>20GEE0039-Supply and Delivery of Tires for Stake Truck H2-367 use at Coron Sub Office, Coron, Palawan</t>
  </si>
  <si>
    <t>2 pcs Philips-Respironics Alice 6 Body Position Sensor</t>
  </si>
  <si>
    <t>PURCHASE OF VARIOUS MATERIALS FOR THE CONVERSION OF TRANSIT MIXER TO FLATBED</t>
  </si>
  <si>
    <t>Delivery of Office Supplies and Consumables</t>
  </si>
  <si>
    <t>3 sets Computer System</t>
  </si>
  <si>
    <t>INVITATION TO BID FOR THE SALE OF UNSERVICEABLE PROPERTY OF DENR RIV-A (CALABARZON) "As is Where is" BASIS</t>
  </si>
  <si>
    <t>Request for the pirchase of various furnitures for the use of City Mayor's Office, Pasig City.</t>
  </si>
  <si>
    <t>CONSTRUCTION OF MULTI-PURPOSE HALL-PHASE V AT BARANGAY SAMBUNGAN</t>
  </si>
  <si>
    <t>Opening of Pappa-Bayayeng-Saddul Access Road</t>
  </si>
  <si>
    <t>Request for the purchase of bag for the use of City Mayors Office, Pasig City.</t>
  </si>
  <si>
    <t>ITB No. (INF) 2020-06-093 OPENING OF ROAD, BRGY. CAN-ILAY – BRGY. SALVACION, Can-avid, Eastern Samar</t>
  </si>
  <si>
    <t>SUPPLY AND DELIVERY OF CONSTRUCTION MATERIALS FOR THE CONSTRUCTION OF MULTI-PURPOSE PAVEMENT</t>
  </si>
  <si>
    <t>Purchase of School Supplies, Hardware/Construction Materials used for Blancia Central School</t>
  </si>
  <si>
    <t>PURCHASE OF PHOTOCOPIER TONER AND DRUM FOR VARIOUS OFFICES</t>
  </si>
  <si>
    <t>Request for Quotation PR NO. 0959-20</t>
  </si>
  <si>
    <t>Procurement and Deliveries of Construction Materials for use in 71x-Traffic Safety Management,Purchase and Installation of Road Safety Devices along DM-Leg.Sto-Dpomingo-Tabaco-Cam.Sur Bdry.,KO572+000-</t>
  </si>
  <si>
    <t>Water System Development - Purok 6 San Vicente, Aundanao under PR# 2020-03-1944.</t>
  </si>
  <si>
    <t>Printer for NC COC office</t>
  </si>
  <si>
    <t>Improvement of Road Leading to the Municipal MRF</t>
  </si>
  <si>
    <t>REHABILITATION OF CITY ROADS (CONCRETING), FERRYBOAT ENTRANCE KINAWITNON BABAK DIST. under PR# 2020-05-2404.</t>
  </si>
  <si>
    <t>PR NO. 20-06-235 (i.1, 3-11) (2020-06-219) PROCUREMENT OF OFFICE SUPPLIES</t>
  </si>
  <si>
    <t>CONSTRUCTION OF PERIMETER FENCE OF MULTI-PURPOSE HALL AT BARANGAY STA. ANA</t>
  </si>
  <si>
    <t>Request for Quotation PR NO. 0965-20</t>
  </si>
  <si>
    <t>106CO-602BDE,6ID, PA-2020-459</t>
  </si>
  <si>
    <t>brand new vehicle, 4 x 2 SUV</t>
  </si>
  <si>
    <t>Procurement of Supplies &amp; PPE</t>
  </si>
  <si>
    <t>ITB FOR THE REPAIR &amp; MAINTENANCE OF WATER SUPPLY SYSTEM</t>
  </si>
  <si>
    <t>For Various Expences of Frontliner's support staff, and back-end personnel during the relief and response operations of this Municipality of Bugallon in relation to the Extreme Enhanced Community Quar</t>
  </si>
  <si>
    <t>PURCHASE AND DELIVERY OF HARDWARE MATERIALS FOR THE PROPOSED REHABILITATION OF WATER SYSTEM PIPELINES, Brgy.  Guibuangan, Can-avid Eastern Samar</t>
  </si>
  <si>
    <t>For File Storage</t>
  </si>
  <si>
    <t>RFQ No. 20-0602 Shopping B (Supply and Delivery of Supplies for Printer/Facsimile or Photocopier of DRMB )</t>
  </si>
  <si>
    <t>Supply and Delivery of Semi gloss paint for donation</t>
  </si>
  <si>
    <t>Purchase of Drugs &amp; Medicines for Biliran Provincial Hospital</t>
  </si>
  <si>
    <t>PURCHASE OF CONSTRUCTION MATERIALS FOR THE REHABILITATION OF ROAD SHOULDER AND REHABILITATION OF MPH NEW AND OLD</t>
  </si>
  <si>
    <t>Procurement of Facemask and Shirt</t>
  </si>
  <si>
    <t>Procurement of Laptop</t>
  </si>
  <si>
    <t>catering services july 6-10, 2020</t>
  </si>
  <si>
    <t>Procurement of Supplies and Materials for the Rehabilitation of Water System</t>
  </si>
  <si>
    <t>COLD STORAGE FACILITY AT PENAPLATA, SAMAL DISTRICT, IGACOS under PR# 2020-05-2430.</t>
  </si>
  <si>
    <t>Request for Quotation PR NO. 0970-20</t>
  </si>
  <si>
    <t>SUPPLY AND DELIVERY OF FUEL AND LUBRICANTS FOR VICE MAYOR’S OFFICE</t>
  </si>
  <si>
    <t>PROCUREMENT OF IT EQUIPMENT (COMPUTER SET), DR. JOSE RIZAL MEMORIAL HOSPITAL</t>
  </si>
  <si>
    <t>CONSTRUCTION OF UNDERGROUND WATER COLLECTOR (SUMP) under PR# 2020-05-2377</t>
  </si>
  <si>
    <t>106CO-CSSH,6ID,PA-2020-457</t>
  </si>
  <si>
    <t>CONSTRUCTION OF BDRRM OFFICE PHASE I</t>
  </si>
  <si>
    <t>Completion of Lower Sabangan Footbridge</t>
  </si>
  <si>
    <t>Request for Quotation PR NO. 0966-20</t>
  </si>
  <si>
    <t>CONSTRUCTION OF MULTI-PURPOSE HALL (PHASE IV) AT BARANGAY BUCAL</t>
  </si>
  <si>
    <t>General Merchandise PF-0620-617</t>
  </si>
  <si>
    <t>Procurement of One Unit Brand New Pick-Up Type Vehicle</t>
  </si>
  <si>
    <t>REVERSIBLE, MAGNETIC WHITEBOARD WITH ALUMINUM FRAME AND STAND 4 X 5 FT (3rd Posting)</t>
  </si>
  <si>
    <t>PURCHASE OF MESH NETS TO BE USED IN THE CONSTRUCTION OF NETHOUSES FOR THE DA-ACEF PROJECT</t>
  </si>
  <si>
    <t>Supply &amp; Delivery of Construction Materials (Repair of Canal Lining at SPCIS Lat. D Sta. 1+066.18 ~ 1+155.18)</t>
  </si>
  <si>
    <t>PROCUREMENT OF SOUND SYSTEM</t>
  </si>
  <si>
    <t>Request for Quotation PR NO. 0958-20</t>
  </si>
  <si>
    <t>REPAIR/IMPROVEMENT OF LNU SCHOOL CLASS ROOM @ BRGY. CROSSING, SAN ISIDRO, LEYTE</t>
  </si>
  <si>
    <t>Supply and Delivery of materials for Municipal Health Office</t>
  </si>
  <si>
    <t>REQUEST FOR QUOTATION FOR USE OF CONSTRUCTION/REPAIR OF D/S APRON (DAMAGE) AT LAKE SEBU CIS</t>
  </si>
  <si>
    <t>IB No. 2006-310 Proc. of Goods (Supply and Installation of Close Circuit Television Security)(Rebid)</t>
  </si>
  <si>
    <t>Request for the purchase of various office supplies for the use of HRDO, Pasig City.</t>
  </si>
  <si>
    <t>ACID AND BICARBONATE FOR QUOTATION</t>
  </si>
  <si>
    <t>Construction of Barangay Road at Brgy. Doña Brigida, Tolosa, Leyte</t>
  </si>
  <si>
    <t>Supply and Delivery of Four (4) Units Submersible Pump</t>
  </si>
  <si>
    <t>School Repainting</t>
  </si>
  <si>
    <t>PURCHASE AND INSTALLATION OF SOLAR POWERED STREETLIGHT SYSTEM</t>
  </si>
  <si>
    <t>Construction of FMR-Brgy. Villafranca Gigaquit, Surigao del Norte ,Bgys. San Isidro &amp; Villafranca, Gigaquit, Surigao del Norte</t>
  </si>
  <si>
    <t>Communication Equipment PF-0220-169</t>
  </si>
  <si>
    <t>Communication Equipment PF-0220-168</t>
  </si>
  <si>
    <t>Clinical Laboratory use</t>
  </si>
  <si>
    <t>Procurement of Goods</t>
  </si>
  <si>
    <t>PURCHASE OF ONE (1) UNIT BRAND NEW CRAWLER EXCAVATOR WITH BREAKER LINE AND BUCKET CAPACITY OF 0.50 CU.M.</t>
  </si>
  <si>
    <t>FILTER, DIASAFE PLUS FOR QUOTATION</t>
  </si>
  <si>
    <t>Procurement of IT equipment</t>
  </si>
  <si>
    <t>RE BIDDING - MATERIALS AND APPARATUS NEEDED IN THE CMS CENTRALIZE MONITORING SYSTEM</t>
  </si>
  <si>
    <t>FOR THE RATIFICATION AND SIGNING OF THE REVISED GUIDELINES IN THE SELECTIONS OF IPMRs IN THE MUNICIPALITY OF CALATRAVA ON JULY 7, 2020</t>
  </si>
  <si>
    <t>Pre- Fabricated Movable Basketball Board</t>
  </si>
  <si>
    <t>PURCHASE OF ONE (1) UNIT BRAND NEW 4X4 MINI DUMPTRUCK WITH 5-6 CU.M. CAPACITY</t>
  </si>
  <si>
    <t>01 unit Motor Vehicle</t>
  </si>
  <si>
    <t>Concreting of Tubigan-Bobutan Farm-to-Market Road</t>
  </si>
  <si>
    <t>Procurement of Water Dispenser</t>
  </si>
  <si>
    <t>SUPPLY OF AIRCONDITION &amp; ELECTRIC POT FOR SB</t>
  </si>
  <si>
    <t>Purchase of Construction Material for Palong to Mambulo Pipe Laying Expansion (CIP 19-0004)</t>
  </si>
  <si>
    <t>2020-06-0667 Repacking Materials for the stockpile in the Province of Palawan</t>
  </si>
  <si>
    <t>Provision of labor (pakyaw services) for Rice Seed Production project (1.0 hectare) at DA-INREC Satellite Station, San Juan, Ilocos Sur</t>
  </si>
  <si>
    <t>CONSTRUCTION OF MUNICIPAL QUARANTINE AND ISOLATION FACILITY</t>
  </si>
  <si>
    <t>SUPPLY AND DELIVERY OF MATERIALS FOR BOOKBINDING OF CLUP VOLUME 1, 2 &amp; 3, CIDRA AND MUN. INTEGRATED WATER, SANITATION AND HYGIENE PLAN &amp; PRINTING OF CLUP MAPS (TARPAULIN)</t>
  </si>
  <si>
    <t>ITB No. 20-052   ONE (1) LOT SUPPLY AND DELIVERY OF LABOR, TOOLS, MATERIALS, CONSUMABLES, SUPERVISION AND TECHNICAL EXPERTISE FOR THE INSTALLATION, TESTING AND COMMISSIONING OF ONE (1) UNIT TRIPLEX OI</t>
  </si>
  <si>
    <t>PURCHASE OF MOUNTAIN AND SEARCH &amp; RESCUE EQUIPMENT &amp; UNIFORM (LDRRMO)</t>
  </si>
  <si>
    <t>ITB NO. (GDS)  2019-06-015 PROCUREMENT OF COMPACT CT SCANNER, Province of Eastern Samar</t>
  </si>
  <si>
    <t>Purchase of 1 Set CAESARIAN SECTION INTRUMENT SET WITH STERILIZING TRAY for Biliran Provincial Hospital</t>
  </si>
  <si>
    <t>Supply &amp; Delivery of Construction Materials (Repair of Canal Lining at SPCIS Lat. D Sta. 0+594.90~0+676.90)</t>
  </si>
  <si>
    <t>Communication Equipment</t>
  </si>
  <si>
    <t>IB No. 2006-327 Proc. of Goods (Medicines)</t>
  </si>
  <si>
    <t>Sound System-SB-Legislative</t>
  </si>
  <si>
    <t>RFQ-014-2020 - PROCUREMENT OF MULTI-FUNCTION COPIER TO BE USED IN DPWH, CAPIZ 1ST DISTRICT ENGINEERING OFFICE ASSIGNED AT FINANCE SECTION</t>
  </si>
  <si>
    <t>SUPPLY AND DELIVERY OF THREE (3) UNITS BRAND NEW 3-IN-1 PRINTERS  FOR Pag-IBIG FUND, TUGUEGARAO HUB</t>
  </si>
  <si>
    <t>Repalcement of Boulevard Lights along Pandan Ave. Mapandan, Pangasinan</t>
  </si>
  <si>
    <t>Supply &amp; Delivery 6 units Jetmatic Pump and other items for use in various water services activities.</t>
  </si>
  <si>
    <t>ITB No. GOP/20-DSWD-043 - Supply, Delivery and Installation of Local Network Infrastructure for DSWD Field Offices</t>
  </si>
  <si>
    <t>ITB NO. (GDS)  2020-06-016 PROCUREMENT OF BROADCAST SERVICE, Province of Eastern Samar</t>
  </si>
  <si>
    <t>Construction of Picnic Sheds at Macalong Fishing Ground (SWIP area), Asingan, Pangasinan.</t>
  </si>
  <si>
    <t>PROVISION OF BREASTFEEDING ROOM</t>
  </si>
  <si>
    <t>PHO-NC-2020-129 REQUEST FOR QUOTATION FOR THE PROCUREMENT OF VARIOUS IT SOFTWARE, EQUIPMENT, AND MATERIALS</t>
  </si>
  <si>
    <t>Procurement of Personal Protective Equipment Sets and Other Relevant Materials, for Use of Security Guards, Utility Workers, and Liaison Officer</t>
  </si>
  <si>
    <t>Supply and Delivery of Hardware Materials for Brigada Eskwela 2020</t>
  </si>
  <si>
    <t>INVITATION FOR NEGOTIATED PROCUREMENT OF STREETLIGHTS AND ACCESSORIES FOR THE MAINTENANCE OF STREET LIGHTING SYSTEM After Two Failed Bidding</t>
  </si>
  <si>
    <t>SH-009-2020 - PROCUREMENT OF AIR CONDITIONING UNIT FOR ADMINISTRATIVE SECTION – SUPPLY, PROPERTY &amp; GENERAL SERVICES UNIT OF DPWH, CAPIZ 1ST DEO COMPOUND</t>
  </si>
  <si>
    <t>Construction of Laying House</t>
  </si>
  <si>
    <t>CONCRETING OF MUNICIPAL STREET  ( MIGUEL TUBLE ST-  T. NOMBREDA ST.)</t>
  </si>
  <si>
    <t>Purchase of Janitorial Supplies</t>
  </si>
  <si>
    <t>01 unit Portable Water Quality Instrument, 02 units Underwater Camera with Casing, etc.</t>
  </si>
  <si>
    <t>Supply and Delivery of Construction Materials for Repair and Maintenance of Different Offices of the PGOM</t>
  </si>
  <si>
    <t>Vehicle Repair and Maintenance</t>
  </si>
  <si>
    <t>SH-008-2020 - PROCUREMENT OF PGS STRATEGY MAP EFFIGY AND KONKRETO 2022 BUILT UP LOGO (Stand-up Sign)</t>
  </si>
  <si>
    <t>SUPPLY &amp; DELIVERY OF AIRCONDITIONER</t>
  </si>
  <si>
    <t>Procurement of IT Equipment &amp; Office Equipment (Smoke Free Program )-RHU ,Lopez Jaena</t>
  </si>
  <si>
    <t>Supply &amp; Delivery of Printing Supplies @ NIA CBIMO Maddarulug, Solana, Cagayan</t>
  </si>
  <si>
    <t>Purchase of Anti- Rabies vaccine for RHU I use, Botolan, Zambales</t>
  </si>
  <si>
    <t>MAINT 2020-06-0018 - Purchase of Materials for Premix Patching  Bituminous Pavements along Masbate-Cataingan-Placer Road</t>
  </si>
  <si>
    <t>PROCUREMENT FOR JANITORIAL SUPPLIES PR NO. 0549 S.2020</t>
  </si>
  <si>
    <t>Procurement of Materials for Installation of the Solar Streetlights</t>
  </si>
  <si>
    <t>Procurement of Materials for the Construction of Comfort Room</t>
  </si>
  <si>
    <t>Procurement of PTZ High Definition Camera (monitor accident prone areas)-MDRRMO,Lopez Jaena</t>
  </si>
  <si>
    <t>Delivery of Hardware and Construction Supplies</t>
  </si>
  <si>
    <t>SUPPLY OF DOUBLE GLASS DOOR  FOR SB</t>
  </si>
  <si>
    <t>IT Equipment-Vice Mayor's Office</t>
  </si>
  <si>
    <t>PROCUREMENT OF GOODS: CLINDAMYCIN (SVP 2020-138)</t>
  </si>
  <si>
    <t>Repair and replacement of plumbing accessories for LGU own building toilet</t>
  </si>
  <si>
    <t>Base Radio and Antenna Tower</t>
  </si>
  <si>
    <t>SLOPE PROTECTION</t>
  </si>
  <si>
    <t>Procurement of VAWC Table</t>
  </si>
  <si>
    <t>CONSTRUCTION OF TWO LAYER OPEN CANAL</t>
  </si>
  <si>
    <t>OPA-RASS-NC-2020-0344 REQUEST FOR QUOTATION FOR THE PROCUREMENT OF PVC PIPES, PVC PIPE CLEAN OUT SET, PVC ELBOW, AND PVC PIPE SOLVENT</t>
  </si>
  <si>
    <t>PROCUREMENT OF DRUGS AND MEDICINES (COMBINED GLUCOSE-AMINO ACID SOLUTION)- REBID, DR. JOSE RIZAL MEMORIAL HOSPITAL</t>
  </si>
  <si>
    <t>SH-007-2020 - PROCUREMENT OF FUEL, OIL AND LUBRICANTS FOR USE IN THE OFFICE OF THE QAS DPWH, CAPIZ 1ST DEO</t>
  </si>
  <si>
    <t>40 units Battery, 12 volts, 11 plates – N70 (MF), 49 sets Tire w/ Inner Tube &amp; Flap – 7.50 x 16 x 14 Ply – Traction Lug, etc.</t>
  </si>
  <si>
    <t>REQUEST FOR QUOTATION - LABORATORY SUPPLIES &amp; EQUIPMENTS</t>
  </si>
  <si>
    <t>Supply &amp; Delivery of various const. materials for the construction of Tricycle terminal , Brgy. Bacag, Villasis, Pangasinan</t>
  </si>
  <si>
    <t>Supply and Delivery of Vehicle Spare Parts at NIA CBIMO Maddarulug, Solana, Cagayan</t>
  </si>
  <si>
    <t>IT Equipment-SB Legislative</t>
  </si>
  <si>
    <t>Office Supplies</t>
  </si>
  <si>
    <t>RFQ 16816</t>
  </si>
  <si>
    <t>Construction of Sanitary Toilet &amp; Hygiene Facility</t>
  </si>
  <si>
    <t>REQUEST FOR QUOTATION FOR USE VARIOUS EQUIPMENT ASSIGNED AT SCIMO</t>
  </si>
  <si>
    <t>Repair materials for School Canopy</t>
  </si>
  <si>
    <t>INSTALLATION OF WATER SYSTEM, ESTABLISHMENT OF WASH AREA, REPAIR OF ELECTRICAL LINES AT MULTI-PURPOSE HALL</t>
  </si>
  <si>
    <t>AB-2020-0019:Supply and Delivery of  Diesel Fuel, Premium and Unleaded Gasoline for various Maintenance activities within Ilocos Norte 2nd District</t>
  </si>
  <si>
    <t>Supply and Delivery of Fuels at NIA ZRIS, Lasam &amp; Gattaran, Cagayan</t>
  </si>
  <si>
    <t>PR#20-06-0313 Face Mask for SPES program (PESO)</t>
  </si>
  <si>
    <t>Procurement of Various Janitorial Supplies</t>
  </si>
  <si>
    <t>Food Commodities for the Affected Populace of COVID-19</t>
  </si>
  <si>
    <t>Office Equipment</t>
  </si>
  <si>
    <t>MAINT 2020-06-0019 - Purchase of Materials for the Special Maintenance (Guardrail Maintenance) along Buenavista-Cawayan &amp; Masbate-Cataingan-Placer Road</t>
  </si>
  <si>
    <t>RFQ-013-2020 - PROCUREMENT OF TOOLS AND EQUIPMENT TO BE USED OF ROADSIDE MAINTENANCE WORKERS IN CONNECTION WITH THE REPAIR/MAINTENANCE OF NATIONAL ROADS AND BRIDGES (DISTRICTWIDE)</t>
  </si>
  <si>
    <t>Purchase of goods for Improvement of Tupsan Public Cemetery</t>
  </si>
  <si>
    <t>Supply and Delivery of Diesel at NIA IAAPIS Baculud Amulung Cagayan</t>
  </si>
  <si>
    <t>Request for quotation for covid supplies</t>
  </si>
  <si>
    <t>Purchase of 1 set Major Surgery Instrument set with sterilizing tray for Biliran Provincial Hospital</t>
  </si>
  <si>
    <t>PURCHASE OF EVACUATION SHELTER SUPPLIES (LDRRMO)</t>
  </si>
  <si>
    <t>Rehabilitation of Water Supply Project at Bgy. Magsaysay, Dumaran, Palwan</t>
  </si>
  <si>
    <t>Purchase of Construction Materials (Library)</t>
  </si>
  <si>
    <t>Purchase of Tools &amp; Equipments for Repair and Maintenance of BatStateU-ARASOF Nasugbu</t>
  </si>
  <si>
    <t>INVITATION FOR NEGOTIATED PROCUREMENT OF OFFICE SUPPLIES (BATCH 2) After Two Failed Bidding</t>
  </si>
  <si>
    <t>Supply and Delivery of Spare Parts for CDRRM Repair and Maintenance Expenses</t>
  </si>
  <si>
    <t>MAINT 2020-06-0020 - Purchase of Materials for the Special Maintenance (Centerline &amp; Lane Line Repainting) along Masbate-Cataingan-Placer Road &amp; Buenavista-Cawayan Road</t>
  </si>
  <si>
    <t>REQUEST FOR SUPPLY OF MATERIALS AND LABOR IN THE IMPROVEMENT OF NEW OFFICE SPACE OF VALENCIA POST OFFICE, VALENCIA, NEG. OR.</t>
  </si>
  <si>
    <t>Construction of Multi-Purpose Hall at So. Catama, Bgy. Ilian, Dumaran, Palawan</t>
  </si>
  <si>
    <t>PEO-NC-2020-0341 REQUEST FOR QUOTATION FOR THE PROCUREMENT OF AGGREGATE SUBBASE COURSE (ANAPOG)</t>
  </si>
  <si>
    <t>Purchase of Venetian Blinds and Heavy Duty Door w/ Reflective Glass and its Accessories,Gumaca, Quezon</t>
  </si>
  <si>
    <t>PEO-NC-2020-0343 REQUEST FOR QUOTATION FOR THE PROCUREMENT OF AGGREGATE SUBBASE COURSE (ANAPOG)</t>
  </si>
  <si>
    <t>PROVISION OF KID'S PLAY AREA</t>
  </si>
  <si>
    <t>Improvement of Mambajao Evacuation Center</t>
  </si>
  <si>
    <t>Plumbing Repairs of the CTL Classroom</t>
  </si>
  <si>
    <t>INVITATION TO BID FOR REHABILITATION OF DAY CARE CENTER AT SAN JOSE, CARAGA, DAVAO ORIENTAL</t>
  </si>
  <si>
    <t>CTL Classroom Rewiring</t>
  </si>
  <si>
    <t>Request for Quotation - Supply and Delivery of Gasoline for Stock (GSO)</t>
  </si>
  <si>
    <t>Swine Feeds (Livestock &amp; Poultry Production)</t>
  </si>
  <si>
    <t>Continuation of river bank protection</t>
  </si>
  <si>
    <t>RFQ 16817</t>
  </si>
  <si>
    <t>PROCUREMENT OF MEDICAL EQUIPMENT</t>
  </si>
  <si>
    <t>Purchase of Office Supplies</t>
  </si>
  <si>
    <t>Repair of LDRRMO Rescue Vehicle (Colorado), Isabela, Neg. Occ.</t>
  </si>
  <si>
    <t>INVITATION TO BID FOR CONSTRUCTION OF COMMUNITY LEARNING CENTER AT SAN JOSE, CARAGA, DAVAO ORIENTAL</t>
  </si>
  <si>
    <t>Airconditioning and Airconditioning System JRMPII-122-2020</t>
  </si>
  <si>
    <t>Construction of Multi-Purpose Hall at Bgy. Catep, Dumaran, Palawan</t>
  </si>
  <si>
    <t>CONCRETING OF LANIPGA FARM TO MARKET ROAD PANAY CAPIZ</t>
  </si>
  <si>
    <t>Procurement of Construction Supplies for Drainage  Repair at Division Office.</t>
  </si>
  <si>
    <t>Laboratory Instrument (Isoprophyl Alcohol)</t>
  </si>
  <si>
    <t>Procurement of Consulting Services: Training Institution to Conduct Training on International Financial Accounting Standards for ECC Employees</t>
  </si>
  <si>
    <t>BUGO CENTRAL SCHOOL PROCUREMENT OF SCHOOL  DISASTER RISK REDUCTION MATERIALS</t>
  </si>
  <si>
    <t>#2020-06-030 - Purchase of Diesel Fuel for Quality Assurance Section</t>
  </si>
  <si>
    <t>FOR THE MNAO OFFICE</t>
  </si>
  <si>
    <t>Purchase of hardware supplies  to be given to Barangay Janopol Occidental for the cementing of pathway.</t>
  </si>
  <si>
    <t>Concreting of Farm to Market Road at Zone 6, Brgy. Oltama, Urdaneta City</t>
  </si>
  <si>
    <t>Procurement of LED fluorescent bulbs  for the replacement of busted lamps at Division Office.</t>
  </si>
  <si>
    <t>Procurement of 200 bags Cement</t>
  </si>
  <si>
    <t>BEMO-NC-2020-0342 REQUEST FOR QUOTATION FOR THE PROCUREMENT OF LABOR, MATERIALS, AND EQUIPMENT FOR THE CONSTRUCTION OF NURSERY AND VERMI SHED HOUSES AT BIO-DIVERSITY COMPLEX, ROXAS, BILAR, BOHOL</t>
  </si>
  <si>
    <t>CONCRETING OF BAGO CHIQUITO FARM TO MARKET ROAD</t>
  </si>
  <si>
    <t>RFQ No. 20-07-016 7,200 containers of Mineral Water</t>
  </si>
  <si>
    <t>20CB-GSC-377- PURCHASE OF TARPAULIN FOR BPLD</t>
  </si>
  <si>
    <t>INVITATION TO BID FOR PURCHASE OF RESCUE VEHICLE</t>
  </si>
  <si>
    <t>Supply and Delivery of Medical, Dental, X-ray and Laboratory Supplies of San Pablo City General Hospital 2nd Quarter.</t>
  </si>
  <si>
    <t>RFQ No. 20-0604 Shopping B (Supply and Delivery of 2nd quarter 2020 supplies (toner and ink) of PMB</t>
  </si>
  <si>
    <t>Procurement of Agricultural supplies use for urban gardening</t>
  </si>
  <si>
    <t>26,400 liters Diesel Fuel</t>
  </si>
  <si>
    <t>Rehabilitation of Multi-Purpose Hall at Brgy. Macalong, Asingan, Pangasinan.</t>
  </si>
  <si>
    <t>Materials (Fabrication of Waste Collection Point for the Implementation of “No Segregation, No Collection Policy” (Model II)</t>
  </si>
  <si>
    <t>Construction of Concrete Bridge</t>
  </si>
  <si>
    <t>Construction of Manpower Development Center at Bgy. Itangil, Dumaran, Palawan</t>
  </si>
  <si>
    <t>Rental of Equipment for the Improvement of Paulo M. Lasco Garbage Memorial Containment Facility</t>
  </si>
  <si>
    <t>PURCHASE OF LAMINATED GLASS PARTITION OF GE</t>
  </si>
  <si>
    <t>SECTIONAL REPAIR OF PAVEMENT AT NFA COMPOUND IN BARANGAY SAN IGNACIO, SAN PABLO CITY, LAGUNA</t>
  </si>
  <si>
    <t>Meals for Frontliners from June 22-28</t>
  </si>
  <si>
    <t>1 unit Vaccine Refrigerator</t>
  </si>
  <si>
    <t>MAINT 2020-06-0021 - Purchase of Materials for the Supply and Delivery of fabricated Stainless Steel Signage of Masbate 3rd DEO</t>
  </si>
  <si>
    <t>Construction of New Main Gate at Carosucan Sur National High School, Asingan, Pangasinan.</t>
  </si>
  <si>
    <t>SUPPLY OF MEDICINE &amp; MEDICAL SUPPLIES FOR  WALK IN CLIENT</t>
  </si>
  <si>
    <t>Invitation to Bid Construction of Gate Shed</t>
  </si>
  <si>
    <t>Supply and Delivery of Vehicle Parts and Accessories</t>
  </si>
  <si>
    <t>INVITATION TO BID FOR CONSTRUCTION/REHABILITATION OF DAY CARE CENTER POBLACION,CARAGA, DAVAO ORIENTAL</t>
  </si>
  <si>
    <t>PROCUREMENT OF GOODS AND SERVICES FOR REPAIRMENT OF RP VEHICLE ISUZU ALTERA SHE-440, MALAPATAN, SARANGANI PROVINCE</t>
  </si>
  <si>
    <t>Supply and Delivery of Office Supplies</t>
  </si>
  <si>
    <t>Improvement and Installation of Additional CCTV at Municipal Office Building and Municipal Health Office</t>
  </si>
  <si>
    <t>Purchase of Safety precaution materials against Covid-19</t>
  </si>
  <si>
    <t>Rice (Burial Assistance)</t>
  </si>
  <si>
    <t>Supply and Delivery of Fertilizer</t>
  </si>
  <si>
    <t>Concreting of Nangkaon-Talagusok Farm-to-Market Road</t>
  </si>
  <si>
    <t>Plaza and Municipal Ground Beautification</t>
  </si>
  <si>
    <t>Procurement of Electrical Supplies (PR No. 2006887)</t>
  </si>
  <si>
    <t>PHO-20-0749-B INSTANT MORINGA, RICE AND MONGO FOOD BLEND</t>
  </si>
  <si>
    <t>SUPPLY, DELIVERY AND INSTALLATION OF ONE (1) UNIT DUAL PHASE SIGNAGE FOR FOR Pag-IBIG FUND, TUGUEGARAO BRANCH</t>
  </si>
  <si>
    <t>Security Guard Services of City Slaughterhouse, Ormoc Slaughterhouse, Ormoc City</t>
  </si>
  <si>
    <t>Purchase of Commercial Rice for Barangay Constituents COVID-19</t>
  </si>
  <si>
    <t>Supply and Delivery of Medical  Supplies</t>
  </si>
  <si>
    <t>OPA-FISHERIES-2020-0175 PR2020-0457 INVITATION TO BID FOR THE PROCUREMENT OF THE CONSTRUCTION OF STORAGE WAREHOUSE</t>
  </si>
  <si>
    <t>Procurement of Suture, Black silk 3/0 regular cutting/reverse cutting needle</t>
  </si>
  <si>
    <t>SUPPLY AND DELIVERY OF LABORATORY SUPPLIES</t>
  </si>
  <si>
    <t>Tanod Paraphernalia</t>
  </si>
  <si>
    <t>Supply and Delivery of Office Supplies and Consumables per RFQ-121-2020-CDD</t>
  </si>
  <si>
    <t>Purchase of Hand Pump for the Rehab. of Water Supply System, Brgy. 5 (Poblacion), Isabela, Neg. Occ.</t>
  </si>
  <si>
    <t>PURCHASE OF AIR CONDITION FOR VARIOUS OFFICES</t>
  </si>
  <si>
    <t>Supply and Delivery of Laboratory Supplies</t>
  </si>
  <si>
    <t>2020-06-318 CANVASS ON LABORATORY REAGENTS &amp; SUPPLIES</t>
  </si>
  <si>
    <t>Supply and delivery of Blaan Dictionary</t>
  </si>
  <si>
    <t>Laptop for Office of the President for Academic Affairs</t>
  </si>
  <si>
    <t>Rehabilitation of Child Development Center, Lumbia, Ipil, ZSP.</t>
  </si>
  <si>
    <t>Construction of Pavement along Purok Cappia at Brgy. Domanpot, Asingan, Pangasinan</t>
  </si>
  <si>
    <t>Purchase of Palit Bigas Program</t>
  </si>
  <si>
    <t>Purchase of 2 Sets O.R. INSTRUMENTS</t>
  </si>
  <si>
    <t>REPAIR AND RE-PAINTING OF KINARAGAN ELEMENTARY SCHOOL</t>
  </si>
  <si>
    <t>IMPROVEMENT OF MULTI-PURPOSE HALL</t>
  </si>
  <si>
    <t>VEHICLE REPAIR AND MAINTENANCE</t>
  </si>
  <si>
    <t>RFQ No. 20-07-017 Medical Supplies and Laboratory Instrument</t>
  </si>
  <si>
    <t>Supply and Delivery of Office Supplies and Consumables per RFQ-151-2020-CDD</t>
  </si>
  <si>
    <t>Supply and delivery of IT Equipment and paraphernalia for use in the college of education.</t>
  </si>
  <si>
    <t>Labor &amp; Materials for the Existing Service Patrol Vehicle of OCPO, City Mayor's Office, Ormoc City</t>
  </si>
  <si>
    <t>Purchase of various printed forms at Accounting Office</t>
  </si>
  <si>
    <t>PURCHASE OF BOOKS</t>
  </si>
  <si>
    <t>Document Camera</t>
  </si>
  <si>
    <t>Supply and Deliver of Various Ink Cartridges and Toner for PRDP CY 2020 (PRAS No. 2020-041 &amp; SH-017-2020)</t>
  </si>
  <si>
    <t>Supply and Delivery of Medical Supplies to be used for the San Fernando Rescue Unit Ambulance for COVID-19 Monitoring and Response in the City of San Fernando, Pampanga</t>
  </si>
  <si>
    <t>27,780 liters Diesel and 4,980 liters Gasoline</t>
  </si>
  <si>
    <t>Delivery of 10,000 liters of Diesel</t>
  </si>
  <si>
    <t>Purchase of Office Equipment fo GAD Office</t>
  </si>
  <si>
    <t>PROCUREMENT OF TEN (1) UNITS EXECUTIVE CHAIR FOR USE IN MSWD OFFICE AND MUN. TREASURER'S OFFICE AT MUNICIPALITY OF AYUNGON</t>
  </si>
  <si>
    <t>Procurement of Office Equipment and Furniture</t>
  </si>
  <si>
    <t>procurement of Supplies and Materials for the printing of modules in different subject areas from kinder to Grade VI, Quarter 1</t>
  </si>
  <si>
    <t>Supply and Delivery of Acrylic Sheets</t>
  </si>
  <si>
    <t>2020-06-331 CANVASS FOR OFFICE SUPPLIES CONSUMABLES</t>
  </si>
  <si>
    <t>Catering Services (Contribution of Food Packs of Brgy. Kuden, with Theme: "KAPWA KO MAHAL KO"</t>
  </si>
  <si>
    <t>Purchase of Indigenous Microorganism Making</t>
  </si>
  <si>
    <t>1 LOT SUPPLY AND DELIVERY OF VARIOUS MATERIALS</t>
  </si>
  <si>
    <t>Supplies &amp; Delivery of Various Hardware &amp; Construction Supplies for Consumables of Different Qualification, SMAW NC I, NC II, EIM NC II, &amp; GTAW NC II, Ormoc TESDA Management Office, Ormoc City</t>
  </si>
  <si>
    <t>SUPPLY AND DELIVERY OF PORTABLE VIDEO LARYNGOSCOPE</t>
  </si>
  <si>
    <t>CONSTRUCTION/REHABILITATION OF MULTI PURPOSE HALL AT POBLACION, SAN QUINTIN, ABRA</t>
  </si>
  <si>
    <t>Supply and Delivery of Various Building Materials, (11 Items) as per BSP Technical Specifications and Terms and Conditions:</t>
  </si>
  <si>
    <t>ICT EQUIPMENT</t>
  </si>
  <si>
    <t>To Support the Logistical Requirements of 4MECH,MID,PA</t>
  </si>
  <si>
    <t>OPV-2020-0176 PR2020-0458 INVITATION TO BID FOR THE PROCUREMENT OF VARIOUS OFFICE EQUIPMENT, FURNITURE AND FIXTURES</t>
  </si>
  <si>
    <t>CONSTRUCTION OF BUS TERMINAL PHASE I</t>
  </si>
  <si>
    <t>Fabrication of Tables for Vendors at Public Market, Asingan, Pangasinan.</t>
  </si>
  <si>
    <t>Proposed concreting of road at Brgy. Santiago I, San Pablo City.</t>
  </si>
  <si>
    <t xml:space="preserve">Request for Quotation for the Provision of Catering Services to be served during the Conduct of Collaborative Extension Project with LGU/Season-Long Farmers Field School (FFS) on July to October 2020 </t>
  </si>
  <si>
    <t>PROCUREMENT OF SUPPLIES/MATERIALS FOR THE PRINTING OF MODULES IN DIFFERENT SUBJECT AREAS FROM KINDER TO GRADE VI</t>
  </si>
  <si>
    <t>Procurement of Infrastructure Projects for Implementation of Various Municipal Development Projects III</t>
  </si>
  <si>
    <t>PURCHASE OF MATERIALS FOR THE  BARANGAY STAGE</t>
  </si>
  <si>
    <t>PURCHASE OF SUPPLY FOR FIELD STAFF DURING LISTAHANAN 3 HOUSEHOLD VALIDATION</t>
  </si>
  <si>
    <t>SUPPLY AND DELIVERY OF SINGLE GLASS DOOR AND FIX GLASS (RLED)</t>
  </si>
  <si>
    <t>INVITATION TO APPLY FOR ELIGIBILITY AND TO BID FOR THE EQUIPMENT, TOOLS AND RAW MATERIALS FOR DOLE INTEGRATED LIVELIHOOD PROGRAM – STARTER KIT PROJECT.</t>
  </si>
  <si>
    <t>PROVISION OF SUPPORT INSTRUCTIONAL &amp; LEARNERS MATERIALS FOR TAMALAGON INTEGRATED SCHOOL (ELEMENTARY)</t>
  </si>
  <si>
    <t>RFQ 16799 Repair and Maintenance</t>
  </si>
  <si>
    <t>2020-06-335 CANVASS FOR MEDICAL SUPPLIES</t>
  </si>
  <si>
    <t>FOR THE MNAO SUPPLIES</t>
  </si>
  <si>
    <t>ITB No. 20-053   SUPPLY AND DELIVERY OF LABOR, TOOLS, MATERIALS, CONSUMABLES, SUPERVISION AND TECHNICAL EXPERTISE FOR THE INSTALLATION OF BUILT-IN SOUND SYSTEM WITH ACCESSORIES FOR ATRIUM LOBBY MAIN B</t>
  </si>
  <si>
    <t>Purchase of Four (4) units Airconditioning Units for Various Offices</t>
  </si>
  <si>
    <t>Repair of 2D Echo Machine</t>
  </si>
  <si>
    <t>PROPOSED PROVISION OF TEMPORARY PARTITION FOR VARIOUS ISOLATION AREA AT VARIOUS BARANGAYS</t>
  </si>
  <si>
    <t>OFFICE EQUIPMENT (AIRCONDITIONING)</t>
  </si>
  <si>
    <t>Office Supplies &amp; Devices: 1st Quarter Supplies of SDO</t>
  </si>
  <si>
    <t>Computer Laptop &amp; Computer Desk Top w/ Printer</t>
  </si>
  <si>
    <t>CONSTRUCTION EQUIPMENT RENTAL FOR ROAD CONSTRUCTION</t>
  </si>
  <si>
    <t>request for quotation</t>
  </si>
  <si>
    <t>ITB-2020-06-051 2nd Public Bidding: Construction of Water Tower in PCDP, HFW, RSCC, and Upgrade of Water System in HE</t>
  </si>
  <si>
    <t>Completion of Four (4) Units Barangay Health Station (Apaya, Apang, Kiat, Daddaay)</t>
  </si>
  <si>
    <t>GOODS-PRNO.-2020-06-285</t>
  </si>
  <si>
    <t>Construction of Calasgaan SIP</t>
  </si>
  <si>
    <t>01 pc. G. Driver (Driver Board), etc.</t>
  </si>
  <si>
    <t>PURCHASE OF SCHOOL SUPPLIES (MSWDO/LCPC)</t>
  </si>
  <si>
    <t>Supply and Delivery of Surveying Instruments at NIA CBIMO HEad Office Maddarulug, Solana, Cagayan</t>
  </si>
  <si>
    <t>medical and dental equipment</t>
  </si>
  <si>
    <t>OE-56-06-25-2020: Supply and Delivery of Office Equipment for ISO Audit works and activities</t>
  </si>
  <si>
    <t>Agricultural  Supplies</t>
  </si>
  <si>
    <t>PURCHASE OF OFFICE EQUIPMENT FOR NHTS</t>
  </si>
  <si>
    <t>Procurement of Vegetable Seeds for distribution</t>
  </si>
  <si>
    <t>Office Supplies (Ballpen with Flashdrive)</t>
  </si>
  <si>
    <t>Supply of School and office supplies</t>
  </si>
  <si>
    <t>Supply and Delivery of Five Thousand (5,000) Heads Mallard Ducks Ready-to-Lay for the Municipality of Roxas, Isabela</t>
  </si>
  <si>
    <t>MULTICAB FOR BRGY.SANDAYONG NORTE,DANAO CITY</t>
  </si>
  <si>
    <t>SUPPLY &amp; DELIVERY OF MATERIALS FOR THE CONSTRUCTION OF BAGSAKAN CENTER @ BRGY. WEST KILIKILI, WAO, LANAO DEL SUR</t>
  </si>
  <si>
    <t>MUNICIPAL AND BARANGAY ROAD MAINTENANCE</t>
  </si>
  <si>
    <t>OFFICE SUPPLIES</t>
  </si>
  <si>
    <t>Procurement of Hybrid Vegetable Seeds for Agriculture</t>
  </si>
  <si>
    <t>PGBH-C-NC-2020-095 PR2020-111 REQUEST FOR QUOTATION FOR THE PROCUREMENT OF MEALS DURING BID OPENING FOR BAC MEMBERS AND BAC SECRETARIAT STAFF</t>
  </si>
  <si>
    <t>(2) PROCUREMENT OF CONSULTING SERVICES FOR SUBDIVISION SURVEY OF 247 HECTARES NEW LANDS</t>
  </si>
  <si>
    <t>OFFICE EQUIPMENT (PHOTOCOPIER)</t>
  </si>
  <si>
    <t>2020-06-323 CANVASS ON WELL DRILLING SERVICES</t>
  </si>
  <si>
    <t>Purchase of Office Supplies and Materials</t>
  </si>
  <si>
    <t>OFFICE EQUIPMENT (PORTABLE SPEAKER, DSLR CAMERA, EXECUTIVE CHAIR AND FLOOR MOUNTED TYPE AIRCON 3T)</t>
  </si>
  <si>
    <t>20GJI0041-Procurement of Aggregate Subbase Course Material for use in the Repair of Sever Road Damaged Portion of PCCP Carriageway along Lanao-Pagadian-Zamboanga City Road, Lumbog K1742+900-K1742+913.</t>
  </si>
  <si>
    <t>SUPPLY AND DELIVERY OF CONSTRUCTION MATERIALS (READY MIXED)</t>
  </si>
  <si>
    <t>Led TV July</t>
  </si>
  <si>
    <t>Procurement of Vehicle Spare Parts and Accessories</t>
  </si>
  <si>
    <t>Procurement of VARIOUS PRESSURE GAUGES</t>
  </si>
  <si>
    <t>pURCHASE OF ONE (1) UNIT MOTORCYCLE WITH STAINLESS SIDE CAR</t>
  </si>
  <si>
    <t>Purchase of Fruits Seedlings</t>
  </si>
  <si>
    <t>01 unit Whiteprint Laser Printer</t>
  </si>
  <si>
    <t>Construction of Multi-Purpose Hall at Samahang Nayon Bantog, Asingan, Pangasinan.</t>
  </si>
  <si>
    <t>SVP 1049-2020 Desktop and printer</t>
  </si>
  <si>
    <t>Drugs - Lactulose 3.3G/5ML (66%) SYRUP 120ML (3rd Posting)</t>
  </si>
  <si>
    <t>PROCUREMENT OF PSP HOG FEEDS &amp; ANIMAL MEDICINE FOR THE MONTH OF AUGUST TO SEPTEMBER 2020</t>
  </si>
  <si>
    <t>Construction of concrete perimeter fence (Phase 2)</t>
  </si>
  <si>
    <t>INSTALLATION OF 4 PCS. ROLL BLINDS CURTAIN</t>
  </si>
  <si>
    <t>Installation of Street Lighting Facilities</t>
  </si>
  <si>
    <t>TRAINING EXPENSE  (OESPA-Php50,000.00)</t>
  </si>
  <si>
    <t>PROCUREMENT OF CONSTRUCTION MATERIAL FOR THE COMPLETION OF MULTI-PURPOSE HALL- BARANGAY SAN VICENTE</t>
  </si>
  <si>
    <t>LSI MEALS (EMERGENCY FOR COVID-19)</t>
  </si>
  <si>
    <t>04 units Ambulance with Complete Accessories</t>
  </si>
  <si>
    <t>Supply &amp; Delivery of Construction Materials Package I for Various Projects</t>
  </si>
  <si>
    <t>PROCUREMENT OF MEDICAL SUPPLIES AND INSTRUMENTS</t>
  </si>
  <si>
    <t>SUPPLIES/MATERIALS</t>
  </si>
  <si>
    <t>Rehabilitation of Child Development Center,Maasin,Ipil, ZSP.</t>
  </si>
  <si>
    <t>Food for INSET July</t>
  </si>
  <si>
    <t>Construction of Drainage Canal (GAD) All Puroks, Agbannawag</t>
  </si>
  <si>
    <t>SVP PUR20-06-0488 Supply &amp; delivery of  Television 32" LED TV for DPPS</t>
  </si>
  <si>
    <t>FOR THE MAINTENANCE OF RESCUE VEHICLES</t>
  </si>
  <si>
    <t>Construction of Mini of Park w/ Rehabilitation of Street Light</t>
  </si>
  <si>
    <t>Food and Room Accommodation for Committee en Banc on revision of Municipal Tax Code and Book of Umayamnon</t>
  </si>
  <si>
    <t>Concreting of Road (GAD) Bangad, Agbannawag</t>
  </si>
  <si>
    <t>Basketball Backboard/Fiberglass</t>
  </si>
  <si>
    <t>FOR THE PROCUREMENT OF RELIEF GOODS FOR BHERTs &amp; Frontliners</t>
  </si>
  <si>
    <t>SUPPLY AND DELIVERY OF PHOTOCOPIER MACHINE</t>
  </si>
  <si>
    <t>20GJI0042-Procurement of Tire Tubeless and Tire Rim for use in replacement of worn-out tire and rim of Mitsubishi Center with Temp.Plate No.091204 assigned in the Maintenance Section</t>
  </si>
  <si>
    <t>Procurement of Office Supplies and Consumables</t>
  </si>
  <si>
    <t>Supply and Delivery of One (1) Lot COVID19 Health and Safety Supplies</t>
  </si>
  <si>
    <t>1 LOT OFFICE SUPPLIES</t>
  </si>
  <si>
    <t>Request for Quotation of Apalili and Datu Manlangan ES</t>
  </si>
  <si>
    <t>Supply and Delivery of Office Equipment</t>
  </si>
  <si>
    <t>Information Technology JRMPII-089-2020</t>
  </si>
  <si>
    <t>Construction of Canal Cover (GAD) Purok 4, Bulanao</t>
  </si>
  <si>
    <t>“SUPPLY AND DELIVERY OF VEHICLE PARTS AND VEHICLE OIL”</t>
  </si>
  <si>
    <t>Procurement of Equipment for CCTV Security System</t>
  </si>
  <si>
    <t>Land Development - New Puntaville</t>
  </si>
  <si>
    <t>IMPROVEMENT OF BARANGAY MULTI-PURPOSE HALL</t>
  </si>
  <si>
    <t>Motorcycle Vehicle (Field Service Vehicle) for CaPenro</t>
  </si>
  <si>
    <t>Improvement of Road going to Burayukan Elem School (GAD) Balong</t>
  </si>
  <si>
    <t>Diagnostic and Laboratory Services JRMPII-284-19</t>
  </si>
  <si>
    <t>Procurement of Live Products for SAAD Program/project implementation in the province of Misamis Occidental for CY 2020</t>
  </si>
  <si>
    <t>Improvement of Road @ Gawidan, Bagumbayan</t>
  </si>
  <si>
    <t>RFQ 16811 Pest Products</t>
  </si>
  <si>
    <t>For Laboratory use on the ELISA testing project</t>
  </si>
  <si>
    <t>Laboratory Analysis</t>
  </si>
  <si>
    <t>Construction Project</t>
  </si>
  <si>
    <t>Catering Services for Meals and Snacks during conduct of Budget Forum and Workshop and Technical Budget Hearing</t>
  </si>
  <si>
    <t>20CSPA001 (Re-advertisement) : DETAILED ENGINEERING DESIGN OF ABRA COLISEUM AND  CONVENTION CENTER, La Paz, Abra</t>
  </si>
  <si>
    <t>Prepaid Cards (Communication Supplies)</t>
  </si>
  <si>
    <t>20CSAB01 - Package 1: CONDUCT OF SOIL TESTING/EXPLORATION FOR THE PROPOSED BRIDGE WIDENING, BADOC BR. (B00564LZ), QUIAOIT BR. (B00571LZ),  ALONG MANILA NORTH ROAD, CABARUAN BR. (B02770LZ), QUIOM BR. (</t>
  </si>
  <si>
    <t>Supply and Delivery of Various Brother Ink</t>
  </si>
  <si>
    <t>19 PCS. CUSTOMIZED PLAQUE 8"</t>
  </si>
  <si>
    <t>Procurement of furniture and fixture (Hon. Nilo Tan Pates)</t>
  </si>
  <si>
    <t>Procurement of Pest Control Service of AVRC 1</t>
  </si>
  <si>
    <t>Procurement of BOOSTER PUMP, CENTRIFUGAL</t>
  </si>
  <si>
    <t>Information Technology JRMPII-291-19</t>
  </si>
  <si>
    <t>Procurement of Fuel</t>
  </si>
  <si>
    <t>PROCUREMENT OF LABORATORY SUPPLIES/REAGENTS</t>
  </si>
  <si>
    <t>Construction of Canal Lining @ Bangan, Bagumbayan</t>
  </si>
  <si>
    <t>Request for Quotation (NLPRSD-2020-06-0303 Smart TV)</t>
  </si>
  <si>
    <t>Procurement of Motorcycle with side car</t>
  </si>
  <si>
    <t>Supply and Delivery of Maintenance and Refill of Fire Extinguisher (PR#20-05-0651)</t>
  </si>
  <si>
    <t>Procurement of Ink Cartridges</t>
  </si>
  <si>
    <t>20DL0225 - CONVERGENCE AND SPECIAL SUPPORT PROGRAM, CONSTRUCTION/ IMPROVEMENT OF VARIOUS INFRASTRUCTURE IN SUPPORT OF NATIONAL SECURITY 1. ACCESS ROAD LEADING TO 85TH INFANTRY BATTALION MABUNGA-CASASA</t>
  </si>
  <si>
    <t>FOR THE USE OF PUI/PUM/FRONT LINERS WHILE ON QUARANTINE</t>
  </si>
  <si>
    <t>Rehabilitation of Health Center/Flordeliz, Macrohon, Southern Leyte</t>
  </si>
  <si>
    <t>Procurement of Coffee Pulper</t>
  </si>
  <si>
    <t>PURCHASE OF MOTORCYCLES FOR BARANGAYS (1ST BID)</t>
  </si>
  <si>
    <t>To Conduct Verification/Subdivision survey and provide complete docucments as provided in the Survey Return for submittal at LMS-DENR</t>
  </si>
  <si>
    <t>Improvement of Barangay Road @ Purok 5, Calanan</t>
  </si>
  <si>
    <t>Purchase of Supplies for Nutrition office for supplemental feeding for underwieght childred of 15 barangays</t>
  </si>
  <si>
    <t>Construction of Canal Lining @ Purok 1, Cabaritan</t>
  </si>
  <si>
    <t>HARDWARE MATERIALS</t>
  </si>
  <si>
    <t>Coral Assessment and Photo Transect Method</t>
  </si>
  <si>
    <t>Procurement of Vegetable Seeds</t>
  </si>
  <si>
    <t>Procurement of 1 Pakyaw Remote Sensing Services for Groundwater Availability Exploration(GEO-Resistivity Survey) under 0700-2020-OCA-Support to Quality Corn Development(Trust Fund).</t>
  </si>
  <si>
    <t>Supply and delivery of it equipment for use in the self-directed learning module system of the campus.</t>
  </si>
  <si>
    <t>SVP PUR20-06-0475 Procurement of SPO2 Extension Cable for M3A Patient monitor Neonate, NICU</t>
  </si>
  <si>
    <t>Improvement of Road @ Makilo, Calaccad</t>
  </si>
  <si>
    <t>Purchase of 150 Pcs Goggles Maesk (Full Face Protective Sheild) for COVID-19 Frontliners</t>
  </si>
  <si>
    <t>SVP PUR20-04-0318 Procurement of Cable Remote Control for OR Table (Trumpf),  ORMAT</t>
  </si>
  <si>
    <t>PURCHASE OF ONE (1) UNIT MOTORCYLE</t>
  </si>
  <si>
    <t>JOB ORDER: INSTALLATION OF CABLE TELEVISION AT SIARGAO DORMITORY</t>
  </si>
  <si>
    <t>Computer Desktop,AVR &amp; Printer w/ Scanner</t>
  </si>
  <si>
    <t>PR 20-019 Fittings, Inventory Materials</t>
  </si>
  <si>
    <t>20DL0226 - CONVERGENCE AND SPECIAL SUPPORT PROGRAM, CONSTRUCTION/ IMPROVEMENT OF ACCESS ROADS LEADING TO DECLARED TOURISM DESTINATIONS 4. ACCESS ROAD LEADING TO LAMESANG BATO, CALAUAG, QUEZON</t>
  </si>
  <si>
    <t>ITB-2020-06-052 2nd Public Bidding: Construction of Covered Path Walk, Kitchen and Laundry Area for AVRC III</t>
  </si>
  <si>
    <t>Improvement of Road @ Various Puroks, Cabaritan</t>
  </si>
  <si>
    <t>Procurement of Electric Sewer/Bagger</t>
  </si>
  <si>
    <t>For the use of Aeropioneer  ( PhilSCA FAB Campus, Lipa City, Batangas)</t>
  </si>
  <si>
    <t>Construction of Water Tank w/ Motor (GAD) Daram, Cudal</t>
  </si>
  <si>
    <t>20DL0227 - CONVERGENCE AND SPECIAL SUPPORT PROGRAM, CONSTRUCTION/ IMPROVEMENT OF ACCESS ROADS LEADING TO TRADES, INDUSTRIES AND ECONOMIC ZONES 5. ACCESS ROADS IN SUPPORT OF HANDICRAFTS, FOODS, COCONUT</t>
  </si>
  <si>
    <t>Purchase for Signage</t>
  </si>
  <si>
    <t>20JF0109 - Construction of 1 Unit - Two (2) Storey Eight (8) Classroom Yolanda Type School Building at Pangi Elementary School, Pangi, Ipil, Zamboanga Sibugay</t>
  </si>
  <si>
    <t>Supply &amp; Delivery of Various Equipment &amp; Supplies @ MDRRMO</t>
  </si>
  <si>
    <t>FURNISHING LABOR AND MATERIALS FOR THE IMPROVEMENT OF PUBLIC MARKET OFFICE BAC OFFICE AND MAYORS OFFICE</t>
  </si>
  <si>
    <t>Supply and Delivery of Office supplies of 2RCDG (P301,538.40)</t>
  </si>
  <si>
    <t>Supply and Delivery of Furnitures &amp; Fixtures for the use of COVID-19 Emergency Operation Center Staff</t>
  </si>
  <si>
    <t>2020 17TH PUBLIC BIDDING for PROCUREMENT OF MEDICAL IMAGING SUPPLIES FOR 2020 2ND SEMESTER CONSUMPTION</t>
  </si>
  <si>
    <t>Procurement of Supplies for the Preparation of Pandesal</t>
  </si>
  <si>
    <t>Rehabilitation of Various Deep Well  (GAD) Purok 4, Tuga</t>
  </si>
  <si>
    <t>Request for Quotation (NLPRSD-2020-06-0304 Refrigerator)</t>
  </si>
  <si>
    <t>Construction of One Classroom in Brgy. Tabao-Ambil</t>
  </si>
  <si>
    <t>APPLIANCES</t>
  </si>
  <si>
    <t>Office Supplies for DILG Office</t>
  </si>
  <si>
    <t>Supply &amp; Delivery of Brooders &amp; Hatchery &amp; Incubator with Hatcher for Distribution to Various Farmers/Fisherfolk Association, City Agriculture's Office, Ormoc City</t>
  </si>
  <si>
    <t>FOR THE FOOD EXPENSES OF MEDICA LAND OTHER LGU PERSONNEL</t>
  </si>
  <si>
    <t>supply and delivery of 2nd quarter fuel, oils and lubricants</t>
  </si>
  <si>
    <t>SUPPY AND DELIVERY OF CONSTRUCTION MATERIALS - MMO</t>
  </si>
  <si>
    <t>CONSTRUCTION OF SEAWEEDS NURSERY (MAO)</t>
  </si>
  <si>
    <t>Agricultural Supplies</t>
  </si>
  <si>
    <t>SUPPLY, DELIVERY AND INSTALLATION OF CSUCC ELECTRONICS SWINGS GATE SYSTEM</t>
  </si>
  <si>
    <t>Delivery, commissioning and Installation of Office Equipment</t>
  </si>
  <si>
    <t>ITB No. 014-2020-Second Posting-Supply and Delivery of NPL-322+ Prismless Total Station for the Municipal Assessment Office of LGU-Hingyon, Ifugao.</t>
  </si>
  <si>
    <t>rfq of ink supplies</t>
  </si>
  <si>
    <t>PRINTING SERVICES (T-SHIRT AND TARPAULINS)</t>
  </si>
  <si>
    <t>PROCUREMENT OF LABORATORY SUPPLIES</t>
  </si>
  <si>
    <t>Improvement of Road (GAD) Lower Sumadel, Ipil</t>
  </si>
  <si>
    <t>Improvement of Road, Balani-Bantay-Magnao Road</t>
  </si>
  <si>
    <t>Procurement of Various Supplies</t>
  </si>
  <si>
    <t>Purchase of Brand New Utility Vehicle</t>
  </si>
  <si>
    <t>UPGRADING OF FM STATION TO 1000 WATTS (LDRRMO)</t>
  </si>
  <si>
    <t>Construction of Deep Well w/ Submersible Pump (GAD) National H/S, Tuga</t>
  </si>
  <si>
    <t>Delivery of labor and materials for the Construction/Rehabilitation of Open Canal at Barangay Sta. Cruz, Bay, Laguna for their implementation of 20% Economic Development Fund  (C.Y. 2020)</t>
  </si>
  <si>
    <t>PROCUREMENT OF I.T. EQUIPMENT (ITB No. 2020-161)-(provl government of bukidnon offices)</t>
  </si>
  <si>
    <t>PROCUREMENT OF CONST. MATERIALS AND SUPPLIES IMPROV. OF MPH COVERED COURT DALAHICAN</t>
  </si>
  <si>
    <t>Construction of Canal Lining &amp; Protection Wall @ Purok 2, Lanna</t>
  </si>
  <si>
    <t>Installation of Jetmatic Hsnd Pumps</t>
  </si>
  <si>
    <t>PROCUREMENT ON SUPPLY AND DELIVERY OF CONSTRUCTION MATERIALS AND SUPPLIES</t>
  </si>
  <si>
    <t>20MG0151-Concreting of Brgy. Sinolon FMR, Brgy. Sinolon, T’boli, South Cotabato</t>
  </si>
  <si>
    <t>RFQ VACUUM CLEANER</t>
  </si>
  <si>
    <t>Hardware Supplies</t>
  </si>
  <si>
    <t>Construction Materials (Rehabilitation of Multi-Purpose Hall)</t>
  </si>
  <si>
    <t>Purchase of Animal Feeds</t>
  </si>
  <si>
    <t>Supply of Labor, Tools and Materials in the Installation of Gravity Roller for Conveyor at Southwing, Terminal 2 (R.I.S. No.: 20-83-125)</t>
  </si>
  <si>
    <t>Procurement of Cellcards of Barangay Cadcadir East, Claveria, Cagayan Valley</t>
  </si>
  <si>
    <t>Purchase of Office Supplies and Devices</t>
  </si>
  <si>
    <t>20MG0150-Concreting of Brgy. Lamlahak to Brgy. Lamdalag FMR, Brgy. Lamlahak and Brgy. Lamdalag, Lake Sebu, South Cotabato</t>
  </si>
  <si>
    <t>Laptop, Inkjet Printer 3n1, RAM 8GB DDR3L NON-ECC SODIMM 1600MHZ for the use of RESDRU Staff during epidemiologic or field investigation/ for the use of Planning Unit</t>
  </si>
  <si>
    <t>PURCHASE OF OFFICE SUPPLIES FOR RHU OPD AND LYING-IN</t>
  </si>
  <si>
    <t>INK CARTIDGES</t>
  </si>
  <si>
    <t>100 PCS. T-SHIRT WITH PRINT</t>
  </si>
  <si>
    <t>Graduation.Supply</t>
  </si>
  <si>
    <t>Fuel</t>
  </si>
  <si>
    <t>use for the repair and maintenance of DRRM Vehicle Bongo Truck, Mitsubishi L300 Ambulance and Government vehicle Foton ambulance</t>
  </si>
  <si>
    <t>SUPPLY AND DELIVERY OF CONSTRUCTION SUPPLIES (rfq#2020-06-2,610)-(p.e.o.)</t>
  </si>
  <si>
    <t>PROCUREMENT ON SUPPLY AND DELIVERY OF VARIOUS OFFICE SUPPLIES (CONSUMABLES)</t>
  </si>
  <si>
    <t>FLASHDRIVE AND HARD DRIVE</t>
  </si>
  <si>
    <t>REPAIR OF GID WAREHOUSE DAMAGED BY TYPHOON TISOY IN BRGY. LAYLAY, BOAC, MARINDUQUE</t>
  </si>
  <si>
    <t>ANIMAL FEEDS -POULTRY</t>
  </si>
  <si>
    <t>20MG0149-Construction of 4sty-16cl (2SL, 2ICT, &amp; 4RW) Lab Workshop, Koronadal NCHS, Koronadal City</t>
  </si>
  <si>
    <t>LABOR SERVICES FOR THE COMPLETION OF bRGY. BIBILIK MULTI-PURPOSE BUILDING</t>
  </si>
  <si>
    <t>Materials for WASH Program</t>
  </si>
  <si>
    <t>Procurement of Various Goods for Supplementary Feeding of 15 Barangays in  Bay, Laguna</t>
  </si>
  <si>
    <t>Purchase of Hand Tools and Equipment</t>
  </si>
  <si>
    <t>COVID MITIGATION</t>
  </si>
  <si>
    <t>Drugs - Isophane Insulin Human (Recombinant DNA) 100IU/ml, 10ml (3rd Posting)</t>
  </si>
  <si>
    <t>Procurement of Air Conditioner for LGU Manito</t>
  </si>
  <si>
    <t>Procurement of gardening tools</t>
  </si>
  <si>
    <t>Installation of glass panel</t>
  </si>
  <si>
    <t>CONSTRUCTION OF MULTI-PURPOSE BLDG. PHASE 2</t>
  </si>
  <si>
    <t>RPQ - 2020-06-001</t>
  </si>
  <si>
    <t>Procurement of Materials for the Replacement of broken floor tiles of RELC</t>
  </si>
  <si>
    <t>Rehabilitation of Canal @ Putic St, Dilag</t>
  </si>
  <si>
    <t>Construction of Covered Walk (GAD) STCS, Bulanao</t>
  </si>
  <si>
    <t>Concreting of Brgy Road</t>
  </si>
  <si>
    <t>PURCHASE OF VARIOUS FORM FOR INVENTORY PURPOSES OF GSO</t>
  </si>
  <si>
    <t>Floor Tapping of Multi-Purpose Hall (Perimeter) at Barangay Angarian, Bugallon, Pangasinan</t>
  </si>
  <si>
    <t>CONSTRUCTION OF WELCOME ARCH</t>
  </si>
  <si>
    <t>Procurement of Office Supplies - MO</t>
  </si>
  <si>
    <t>PR-2020-1392 Drugs &amp; Medicines-NDH</t>
  </si>
  <si>
    <t>Materials for the Construction of Drainage Canal</t>
  </si>
  <si>
    <t>Invitation to Bid</t>
  </si>
  <si>
    <t>Purchase of Agricultural Chemicals</t>
  </si>
  <si>
    <t>SUPPLY AND DELIVERY OF MATERIALS FOR REPAIR AND INSTALLATION OF WATER SUPPLY.</t>
  </si>
  <si>
    <t>Reproduction of Learning Packets for Quarter 1 All Subjects JHS &amp; SHS</t>
  </si>
  <si>
    <t>Supply and Delivery of Hydraulic and Cyclo Motor Oil for PBB at Terminal 2 (R.I.S. No.: 20-83-121)</t>
  </si>
  <si>
    <t>RFQ No. 20-090 One (1) Lot Supply and Delivery of Various Phenotyping Reagents (Tube Method)</t>
  </si>
  <si>
    <t>Purchase of Supplies and Materials for Flood Control Program Declogging and Navotas Ko Love Ko (Clean-up Drive)</t>
  </si>
  <si>
    <t>RFQ No. 002-2020 - Second Posting - Supply and Delivery of Construction Supplies for the SB Building Improvement in the Municipality of Hingyon, Ifugao</t>
  </si>
  <si>
    <t>PROCUREMENT OF ICT EQUIPMENT for use in the Preparation of LUDIP</t>
  </si>
  <si>
    <t>Purchase of Medical Supplies for the use of Ospital ng Lungsod ng San Jose Del Monte</t>
  </si>
  <si>
    <t>SUPPLY AND DELIVERY OF MATERIALS FOR CONSTRUCTION OF GAD/BCPC OFFICE</t>
  </si>
  <si>
    <t>Supply &amp; Delivery of Other Supplies for Mayor's Office</t>
  </si>
  <si>
    <t>Purchase of Powdered Milk for Adults &amp; Kids</t>
  </si>
  <si>
    <t>REPAINTING OF CCHAMS BUILDING</t>
  </si>
  <si>
    <t>Delivery of labor and materials for the  Construction/Rehabilitation of Pathway at Barangay Sto. Domingo, Bay, Laguna for their implementation of 20% Economic Development Fund (C.Y. 2020)</t>
  </si>
  <si>
    <t>Purchase of Hardware and Air-Conditioning Supplies</t>
  </si>
  <si>
    <t>Purchase off Base Coarse for barangay @ Dayapan, Ibaan, Batangas</t>
  </si>
  <si>
    <t>Procurement of Furniture and Fixtures for the use of Different Offices</t>
  </si>
  <si>
    <t>20CSAB04 - Package 4: CONDUCT OF SOIL TESTING/EXPLORATION FOR THE PROPOSED MULTI-STOREY SCHOOL BUILDINGS, BATAC CITY, BADOC &amp; MARCOS, ILOCOS NORTE</t>
  </si>
  <si>
    <t>Straight Contract for the Construction and Rehabilitation of Bancal Slope Protection, Purok Rosal</t>
  </si>
  <si>
    <t>20GCF0002 Procurement of Materials for use in Repair/Maintenance of National Roads and Bridges within Third and Forth District of Nueva Ecija. (2nd Quarter)</t>
  </si>
  <si>
    <t>CLINIC SUPPLIES</t>
  </si>
  <si>
    <t>CONSTRUCTION OF BARANGAY ISOLATION UNIT</t>
  </si>
  <si>
    <t>Purchase of 1,803 units of ICT Equipment (Laptop) for the Teachers in DepEd Malolos Division</t>
  </si>
  <si>
    <t>Materials for IMPROVEMENT/REPAIR OF ROADS (Provision of 34 LnM Concrete Barrier Protection of Roads near Roro Port)</t>
  </si>
  <si>
    <t>CATERING SERVICES FOR LIGTAS COVID CENTER</t>
  </si>
  <si>
    <t>rfq of toilitress</t>
  </si>
  <si>
    <t>Infrastructure Project (Phase II) for Oriental Mindoro Rehabilitation and Recovery Center, Brgy. Ilaya, Calapan City, Oriental Mindoro</t>
  </si>
  <si>
    <t>PR-2020-1434 One Job Order-Labor Charges- Demolition and Clearing of Existing Structure-PSWDO</t>
  </si>
  <si>
    <t>Procurement of Supply &amp; Delivery of Banana Plantlet (rebid)</t>
  </si>
  <si>
    <t>Supply and Delivery of Office Supplies for CGCRS Basic Training Course Class 1-2020</t>
  </si>
  <si>
    <t>REPAIR OF CCHAMS BUILDING</t>
  </si>
  <si>
    <t>Rehabilitation of Child Development Center, Domondan, Ipil, ZSP.</t>
  </si>
  <si>
    <t>Purchase of Office Equipment</t>
  </si>
  <si>
    <t>Supply &amp; Delivery of Real Property Ownership Card for Assessor's Office, Ormoc City</t>
  </si>
  <si>
    <t>REPAIR/REHABILITATION OF HANDWASHING FACILITY</t>
  </si>
  <si>
    <t>Supply, Delivery of Network Devices and Installation Service</t>
  </si>
  <si>
    <t>Supply of Materials for Culverts</t>
  </si>
  <si>
    <t>Rehabilitation of Solar Lights</t>
  </si>
  <si>
    <t>Furnishing of Construction Materials for the Const. of Lined Canal &amp; Canal Structures of Hibale SRIP</t>
  </si>
  <si>
    <t>Purchase of Toilet Bowl</t>
  </si>
  <si>
    <t>REPAIR &amp; MAINTENANCE BUILDING (AFPREO-155,009.35)</t>
  </si>
  <si>
    <t>Rehabilitation of Child Development Center, Bacalan, Ipil, ZSP.</t>
  </si>
  <si>
    <t>Supply of Assorted Materials</t>
  </si>
  <si>
    <t>Supply and Delivery of Office Equipment for CGCRS Basic Training Course Class 1-2020</t>
  </si>
  <si>
    <t>REPAIR &amp; MAINTENANCE BUILDING (AFPREO-322,814.12)</t>
  </si>
  <si>
    <t>PROCUREMENT OF CONST. MATERIALS AND SUPPLIES FOR REHAB. OF DRAINAGE CANAL AT SITIO ILIWAN</t>
  </si>
  <si>
    <t>PURCHASE OF DESKTOP COMPUTER, FULL ACCESSORIES WITH 3 AND 1 PRINTER AND UPS.</t>
  </si>
  <si>
    <t>Delivery of labor and materials for the Construction of open canal (Drainage System) of Brgy. Puypuy, Bay, Laguna for their implementation of 20% Economic  Development Fund (C.Y. 2020)</t>
  </si>
  <si>
    <t>Supply and Delivery of Pre-painted Metal Roofing Sheet Ga. 26</t>
  </si>
  <si>
    <t>INFORMATION TECHNOLOGY</t>
  </si>
  <si>
    <t>REPAIR &amp; IMPROVEMENT OF SCHOOL CLINIC</t>
  </si>
  <si>
    <t>Fire Extinguisher</t>
  </si>
  <si>
    <t>PR-2020-1579 Medical Supplies-PHO</t>
  </si>
  <si>
    <t>FINISHING OF BARANGAY MULTI-PURPOSE BUILDING AT BARANGAY ABGAYAN SUR, BALUNGAO, PANGASINAN</t>
  </si>
  <si>
    <t>Purchase of Tires for SFB-265</t>
  </si>
  <si>
    <t>Presentation of Learning Continuity Plans of Public Elementary &amp; Secondary Schools for SY 2020-2021</t>
  </si>
  <si>
    <t>rfq of printer and notebook</t>
  </si>
  <si>
    <t>Spare parts for service vehicle of Provincial Legal Services Office</t>
  </si>
  <si>
    <t>5 Tons Floor Mounted Non-Inverter (For Lease) - 6 Months for the use of EOC at PopCom Office</t>
  </si>
  <si>
    <t>Meals &amp; Snacks for Different Environmental Activities of Environment &amp; Natural Resources Office, Ormoc City</t>
  </si>
  <si>
    <t>20DL0228 - ORGANIZATIONAL OUTCOME 2 : PROTECT LIVES AND PROPERTIES AGAINST MAJOR FLOODS, FLOOD MANAGEMENT PROGRAM, CONSTRUCTION/ MAINTENANCE OF FLOOD MITIGATION STRUCTURES AND DRAINAGE SYSTEMS 6. CONS</t>
  </si>
  <si>
    <t>Meals &amp; Snacks for CDC Meeting, City Planning &amp; Development Office, Ormoc City</t>
  </si>
  <si>
    <t>Delivery of labor and materials for the Construction of open canal (Drainage System) of Brgy. Masaya, Bay, Laguna for their implementation of 20% Economic  Development Fund (C.Y. 2020)</t>
  </si>
  <si>
    <t>Office Supplies for Tourism Office</t>
  </si>
  <si>
    <t>CONSTRUCTION OF OPEN CANAL</t>
  </si>
  <si>
    <t>RFQ COLD BLOCKS</t>
  </si>
  <si>
    <t>PROCUREMENT OF VARIOUS LABORATORY SUPPLIES FOR MHO</t>
  </si>
  <si>
    <t>SUPPLY &amp; DELIVERY OF FUEL  FOR PROVINCIAL SHUTTLE BUS - PGSO</t>
  </si>
  <si>
    <t>Procurement of Fuels and Lubricants for Use in the College Vehicle and Other Machinery of the College</t>
  </si>
  <si>
    <t>SUPPLY AND DELIVERY OF 7 SETS CLERICAL TABLES FOR PVD - LUHBC</t>
  </si>
  <si>
    <t>4PS: 7	MONTH	OFFICE RENTAL COMMERCIAL OFFICE SPACE</t>
  </si>
  <si>
    <t>Spare parts for service vehicles of Laguna Provincial Jail</t>
  </si>
  <si>
    <t>Procurement of Motorized Projector Lift</t>
  </si>
  <si>
    <t>PR-2020-0454 Office Equipment &amp; Furniture-PDRRMO</t>
  </si>
  <si>
    <t>20DL0229 - ORGANIZATIONAL OUTCOME 2 : PROTECT LIVES AND PROPERTIES AGAINST MAJOR FLOODS, FLOOD MANAGEMENT PROGRAM, CONSTRUCTION/ MAINTENANCE OF FLOOD MITIGATION STRUCTURES AND DRAINAGE SYSTEMS 13. REH</t>
  </si>
  <si>
    <t>Supply &amp; Delivery of 300 pcs of LED Bulbs (11 watts) for GSO-RMD use, City General Services Office, Ormoc City</t>
  </si>
  <si>
    <t>Spare parts for service vehicles of Office of the Provincial Social Welfare and Development  (OPSWD)</t>
  </si>
  <si>
    <t>rfq of handwashing facility</t>
  </si>
  <si>
    <t>PR-2020-0403 Rescue Supplies (Evacuation Tents)-PDRRMO</t>
  </si>
  <si>
    <t>Catering Services for the conduct of Orientation/workshop Cost-sharing Mechanism, Drafting of the cost-sharing Mechanism Guidelines or User's Fee System for Pantabangan Carranglan Protected Area Manag</t>
  </si>
  <si>
    <t>Spare parts for service vehicles of Provincial Disaster Risk Reduction and Management Office</t>
  </si>
  <si>
    <t>ONE JOB (INSTALLATION OF WATER SYSTEM LABOR &amp; MATERIALS)</t>
  </si>
  <si>
    <t>Request for Quotation for the implementation of School Improvement Plan</t>
  </si>
  <si>
    <t>PROVISION OF CATERING SERVICES ON THE CONDUCT OF QUALITY-ASSURANCE OF LEARNING MATERIALS/MODULES ALIGNED WITH THE MELCS AT THE DIVISION OFFICE LEVEL</t>
  </si>
  <si>
    <t>PURCHASE OF CENTRIFUGAL PUMP 2HP</t>
  </si>
  <si>
    <t>Computer Supplies and Equipment for PWD Printing Services Project</t>
  </si>
  <si>
    <t>GLASS SUPPLY</t>
  </si>
  <si>
    <t>SUPPLY OF 3 PCS. ROLLING DOOR MOTOR under PR No. RS-0120-004 and ITB No. 2002-012-01</t>
  </si>
  <si>
    <t>supply and delivery of aircon</t>
  </si>
  <si>
    <t>Request for Quotation of Tapping Tools</t>
  </si>
  <si>
    <t>SUPPLY, DELIVERY &amp; INSTALLATION OF VARIOUS OFFICE EQUIPMENT</t>
  </si>
  <si>
    <t>Construction of Children's Playground and Installation of Amenities</t>
  </si>
  <si>
    <t>SUPPLY AND DELIVERY OF PREPAID CARD PLAN 500 AND POCKET WIFI TO ATS FACILITIES OF CAAP AREA 6 FOR 12 MONTHS</t>
  </si>
  <si>
    <t>Contract I.D. No. 20OE0207 - Installation of Road Safety Devices on MC Arthur Bridge &amp; Plaza Lacson, Manila City</t>
  </si>
  <si>
    <t>Repair of Line canal   2nd Posting</t>
  </si>
  <si>
    <t>PHO-NC-2020-128 PR2020-176 REQUEST FOR QUOTATION FOR THE PROCUREMENT OF ANTI-RABIES SERUM AND PURIFIED RABIES VACCINE</t>
  </si>
  <si>
    <t>SUPPLY AND DELIVERY OF DRONE CAMERA AND VOICE RECORDER FOR THE USE OF TIEZA REGULATORY OFFICE</t>
  </si>
  <si>
    <t>FURNISHING AND DELIVERY OF MATERIALS FOR THE IMPROVEMENT OF A. BONIFACIO ST. NORTH POBLACION JUBAN SORSOGON</t>
  </si>
  <si>
    <t>SMARTPHONE</t>
  </si>
  <si>
    <t>Materials and supplies for Covid Preparation.</t>
  </si>
  <si>
    <t>PHO-SC-2020-005 PR2020-177 REQUEST FOR QUOTATION FOR THE PROCUREMENT OF DRUGS AND MEDICINES</t>
  </si>
  <si>
    <t>Supply and Delivery of CCTV and Other Goods</t>
  </si>
  <si>
    <t>SUPPLY AND DELIVERY OF PRINTER AND BARCODE SCANNER</t>
  </si>
  <si>
    <t>GENSERV : 12 PCS.- 12 VOLTS BATTERY 11 PLATE ADVANCE -GOOD QUALITY MAINTENANCE FREE</t>
  </si>
  <si>
    <t>Supply &amp; Delivery of Delivery Receipts for Ormoc City Mining Tax Collection, Environment &amp; Natural Resources Office, Ormoc City</t>
  </si>
  <si>
    <t>Installation Radio Tower and Antenna and Relocation of Radio Station,Sibagat,Agusan del Sur</t>
  </si>
  <si>
    <t>SUPPLY AND DELIVERY OF VAULT FOR TRAVEL TAX DEPARTMENT</t>
  </si>
  <si>
    <t>Procurement of various office supplies w/ PR # 814</t>
  </si>
  <si>
    <t>Construction of 665 x 0.20m thk. Community Access Road</t>
  </si>
  <si>
    <t>PROCUREMENT OF OFFICE SUPPLIES FOR THE OFFICE OF THE MUNICIPAL HUMAN RESOURCE MANAGEMENT OFFICER</t>
  </si>
  <si>
    <t>For COVID-19 Prevention.</t>
  </si>
  <si>
    <t>Construction/Rehabilitation/Improvement of Multi-Purpose Pavement at Kasanyangan (Revised)</t>
  </si>
  <si>
    <t>rfq of laborer</t>
  </si>
  <si>
    <t>LGU-AL-31-2020 CONSTRUCTION/OPENING OF BARANGAY ROAD WITH RIPRAP BRGY. CADAC-AN ABUYOG, LEYTE</t>
  </si>
  <si>
    <t>ANNUAL SUBSCRIPTION PROGRAM 2020 - 1ST Quarter -Malabon City Library</t>
  </si>
  <si>
    <t>For the use of Accounting Section for the year 2020</t>
  </si>
  <si>
    <t>PROCUREMENT OF DRONES &amp; OTHER EQUIPMENT</t>
  </si>
  <si>
    <t>SUPPLY OF VARIOUS CONSTRUCTION MATERIALS FOR THE IMPROVEMENT OF BAC OFFICE, MUNICIPAL HALL BUILDING</t>
  </si>
  <si>
    <t>Food, Venue and Accommodation for the 3rd Level Training on 2020 CPH in Tagum City</t>
  </si>
  <si>
    <t>PHO-SC-2020-004 PR2020-175 REQUEST FOR QUOTATION FOR THE PROCUREMENT OF IV FLUIDS</t>
  </si>
  <si>
    <t>PHO-SC-2020-003 PR2020-168 REQUEST FOR QUOTATION FOR THE PROCUREMENT OF IV FLUIDS AND STERILE WATER</t>
  </si>
  <si>
    <t>Construction of Comfort Room</t>
  </si>
  <si>
    <t>CHECK UP TRANSMISSION AND REPAIR OF TOYOTA FORTUNER</t>
  </si>
  <si>
    <t>UPVC AND C.I. FITTINGS</t>
  </si>
  <si>
    <t>PHO-NC-2020-127 PR2020-174 REQUEST FOR QUOTATION FOR THE PROCUREMENT OF CERTIFICATE FOR GALLONERS (11"x14" FRAMES INCLUSIVE OF THE CERTIFICATE)</t>
  </si>
  <si>
    <t>PR No. 20-06-198</t>
  </si>
  <si>
    <t>Repair of CGDSTL Headquarters Building</t>
  </si>
  <si>
    <t>PR-2020-1440 Animal Feeds-PAO</t>
  </si>
  <si>
    <t>For Printing lots of Documents</t>
  </si>
  <si>
    <t>Spare parts for service vehicles of Governor’s Office – Executive</t>
  </si>
  <si>
    <t>Purchase of Generator Set to for the use of Municipal Slaughterhouse, Brgy. Pandan, Lambunao, Iloilo</t>
  </si>
  <si>
    <t>Computer Desktop for Budget  Office</t>
  </si>
  <si>
    <t>PURCHASE OF 1 UNIT 6-WHEELER GARBAGE COMPACT TRUCK</t>
  </si>
  <si>
    <t>PUROK 5A MULTIPURPOSE CENTER</t>
  </si>
  <si>
    <t>COMPLETION OF CIVIC CENTER</t>
  </si>
  <si>
    <t>PR-2020-1636 Rice 50kg-PGO</t>
  </si>
  <si>
    <t>Spare parts for service vehicles of Provincial Engineering Office</t>
  </si>
  <si>
    <t>PURCHASE OF SUPPLIES AND MATERIALS TO BE USED DURING RESPONSE OPERATIONS OF CDRRMO</t>
  </si>
  <si>
    <t>Advocacy Shirt with 2020 NM Theme</t>
  </si>
  <si>
    <t>PR-2020-1583 Diesel, Gasoline &amp; Oil-PEO</t>
  </si>
  <si>
    <t>REQUEST FOR QUOTATION Ordinary Plywood for Class Repair and Refurbish</t>
  </si>
  <si>
    <t>Supply and Delivery of Assistive Device for PWD use</t>
  </si>
  <si>
    <t>Purchase of Construction Supplies</t>
  </si>
  <si>
    <t>Rehabilitation/Improvement of Curuan Gymnasium at Curuan (Additional)</t>
  </si>
  <si>
    <t>Catering Services for the 4th Level Training on 2020 Census of Population and Housing (2020 CPH) - Mun. of Asuncion</t>
  </si>
  <si>
    <t>PR-2020-0706 Laptop Notebook-PGO/ENRD</t>
  </si>
  <si>
    <t>Construction of Two (2) Storey Six (6) Classroom School Building at Sapa Dulian Elementary School, Calabasa</t>
  </si>
  <si>
    <t>For Office Maintenance</t>
  </si>
  <si>
    <t>PROVISION OF CATERING SERVICES ON THE CONDUCT OF FOURTH DIVISION MANAGEMENT COMMITTEE MEETING</t>
  </si>
  <si>
    <t>REHABILITATION OF BARANGAY ROADS OF 14 BARANGAYS [2ND BID]</t>
  </si>
  <si>
    <t>For Office Use ( Supply Office )</t>
  </si>
  <si>
    <t>2nd Quarter Office Supplies</t>
  </si>
  <si>
    <t>Construction (Completion) of Multi-purpose Building</t>
  </si>
  <si>
    <t>DOCUMENTATION AND REGISTRATION OF MUNICIPAL CEMETERY INCLUDING SITE DEVELOPMENT PLAN</t>
  </si>
  <si>
    <t>Purchase of Materials for Construction of Stairway in Hagdan Coast Way, Purok Malipayon, Brgy. Hagdan, Santa Fe, Cebu - Barangayu</t>
  </si>
  <si>
    <t>300 PCS. BROCHURE</t>
  </si>
  <si>
    <t>RFQ No. 20-081 Supply and Delivery of Eight (8) Kits Aspergillus Galactomannan Ag</t>
  </si>
  <si>
    <t>Acquisition Of Station</t>
  </si>
  <si>
    <t>Apartment Rental for the Month of July - December 2020 for Lodging of DOH Staff during disaster response</t>
  </si>
  <si>
    <t>DRILLING OF DEEPWELL AT BARANGAY SAN ANDRES, BALUNGAO, PANGASINAN</t>
  </si>
  <si>
    <t>Purchase of 2 units Fabricated Counter-top rack w/ 10 units of chairs (hardwood) @Local Civil Registrar, Gingoog City. Under P.R. No. 20-20-06-213</t>
  </si>
  <si>
    <t>THREE (3) UNITS MANAGED PRINT SERVICES FOR THE USE OF TRAVEL TAX DEPARTMENT-PAD, TEZ FRONTLINE SERVICE AND OFFICE OF THE JOINT VENTURE SELECTION COMMITTEE (RENTAL FOR ONE (1) YEAR)</t>
  </si>
  <si>
    <t>SJES-MOOE-2020-0002</t>
  </si>
  <si>
    <t>CCTV Camera at Pag-IBIG Fund JR Borja</t>
  </si>
  <si>
    <t>Supply and Delivery of Digital Copier Machine and Digital Risograph Copier Machine</t>
  </si>
  <si>
    <t>General Engine Overhaul of Municipal Mini Dump Truck (SJA-715)</t>
  </si>
  <si>
    <t>Improvement of Slope Protection at Sta. Maria</t>
  </si>
  <si>
    <t>ROAD CONCRETING, Sitio Sampaguita, Okoy, Santa Fe, Cebu - Municipal</t>
  </si>
  <si>
    <t>Procurement of Fuels for SB Legislative Office of LGU-Naga</t>
  </si>
  <si>
    <t>Office Equipment Supplies and Consumables (Ink Epson)</t>
  </si>
  <si>
    <t>MPS Service and Repair of PDRRMC Loader  JCB 455 ZX</t>
  </si>
  <si>
    <t>Purchase of School Supplies</t>
  </si>
  <si>
    <t>Catering Services for the 4th Level Training on 2020 Census of Population and Housing (2020 CPH) - Mun. of New Corella</t>
  </si>
  <si>
    <t>Board and Lodging: For Workshop on Mapping of HCPN</t>
  </si>
  <si>
    <t>1 LOT BUILDING STRUCTURAL ASSESSMENT</t>
  </si>
  <si>
    <t>20CSFN0001 Conduct of Topographic Survey and Hydrographic Survey along Waras and Barit River, Buhi, Iriga City, Nabua, Baao, Camarines Sur</t>
  </si>
  <si>
    <t>Purchase of materials for the prevention of COVID-19</t>
  </si>
  <si>
    <t>PIKCOT-SUPP-002020-00143 (SUPPLY AND DELIVERY OF CONSTRUCTION MATERIALS )</t>
  </si>
  <si>
    <t>Fabrication and Installation of Repeater, MDRRMO, Isabela, Neg. Occ.</t>
  </si>
  <si>
    <t>SERVICE VAN RENTAL</t>
  </si>
  <si>
    <t>FABRICATION &amp; INSTALLATION OF BUILDING COMMEMORATION PLAQUE FOR 3 RESETTLEMENT SITES</t>
  </si>
  <si>
    <t>Installation of Additional CCTV Came</t>
  </si>
  <si>
    <t>CONSTRUCTION OF FLOOD CONTROL at Lucbuban, Salcedo, Ilocos Sur</t>
  </si>
  <si>
    <t>Rehabilitation/Improvement of Road at Guiwan</t>
  </si>
  <si>
    <t>GATE</t>
  </si>
  <si>
    <t>PURCHASE OF FURNITURE AND EQUIPMENT FOR FIELD AND OFFICE STAFF</t>
  </si>
  <si>
    <t>PURCHASE REQUEST</t>
  </si>
  <si>
    <t>Procurement of Farm Inputs fro Rice Techno Demo in Various Barangays</t>
  </si>
  <si>
    <t>PURCHASE OF HEAVY DUTY PAYLOADER EQUIPMENT TO BE USED DURING RESPONSE, CLEARING &amp; DISASTER OPERATIONS OF CDRRMO</t>
  </si>
  <si>
    <t>Procurement of Solane for the use of Dr. Rafael S. Tumbokon Memorial Hospital-EEDD, Kalibo, Aklan</t>
  </si>
  <si>
    <t>Catering Services for the 4th Level Training on 2020 Census of Population and Housing (2020 CPH) - City of Panabo.</t>
  </si>
  <si>
    <t>Construction/Maintenance of Flood Mitigation Structures and  Drainage Systems – Construction of Slope Protection along  Porac River (Upstream), Valdez, Floridablanca, Pampanga</t>
  </si>
  <si>
    <t>Site Development at Talisayan National High School, Talisayan</t>
  </si>
  <si>
    <t>Purchase of Construction Materials for the Improvement of Drainage Canal with Steel Grating located Queenscourt Brgy. Malanday, San Mateo, Rizal</t>
  </si>
  <si>
    <t>SUPPLY AND DELIVERY OF HIGH-GAIN LTE WIRELESS BROADBAND INTERNET ROUTER IN PREPARATION FOR ONLINE LEARNING MANAGEMENT SYSTEM</t>
  </si>
  <si>
    <t>PR-2020-1012 Laboratory Supplies (Reagents)-PHO</t>
  </si>
  <si>
    <t>Purchase &amp; Delivery of Furniture, Fixtures &amp; Appliances for the Provincial Veterinary Office, 3 Quarantine Checkpoints, Breeding Station &amp; Dairy Production Center</t>
  </si>
  <si>
    <t>20CSAB03 - Package 3: CONDUCT OF SOIL TESTING/EXPLORATION FOR THE PROPOSED SLOPE PROTECTION, ILOCOS NORTE-ABRA RD - K0527+330 - K0527+ 358,  K0532+275 - K0532+290, K0533+175 - K0533+191, K0533+324 - K</t>
  </si>
  <si>
    <t>Supply &amp; Delivery of Office Supplies @ Budget, MSD, MHO, MPO, Rodriguez, Rizal</t>
  </si>
  <si>
    <t>PROCUREMENT OF IT EQUIPMENT ENGINEERING PULARIS</t>
  </si>
  <si>
    <t>RFQ</t>
  </si>
  <si>
    <t>Procurement of Services of Certifying Body for the Port of Ozamiz</t>
  </si>
  <si>
    <t>Sabayang Patak Polio Tarpaulin Under New Normal (Minimum Health Standard) Visibility IEC for Sabayang Patak Polio</t>
  </si>
  <si>
    <t>Catering Services for the 4th Level Training on 2020 Census of Population and Housing (2020 CPH) - City of Tagum</t>
  </si>
  <si>
    <t>Construction of Waiting Shed with Steel Bench / Improvement of Building (Cluster)</t>
  </si>
  <si>
    <t>SUPPLY AND DELIVERY OF PPE,HYGIENE KIT &amp; VITAMINS (Support of AFP) -PPDO</t>
  </si>
  <si>
    <t>PIKCOT-SUPP-002020-00144 (SUPPLY AND DELIVERY OF CONSTRUCTION MATERIALS )</t>
  </si>
  <si>
    <t>Procurement of FILTER BAG, HOUSING, INLET 1-12", PVC</t>
  </si>
  <si>
    <t>Installation of St. Lighting System (Solar Panel) at Sitio Cacatiw, Barangay Laguit Padilla, Bugallon, Pangasinan</t>
  </si>
  <si>
    <t>Supply and Delivery of Bleaching Solution and Other Goods</t>
  </si>
  <si>
    <t>Supply &amp; Delivery of Various Disaster &amp; Emergency Equipment &amp; Accessories for the use of NIA-RO9, NIA-Regional Office, Labangan, Zamboanga del Sur</t>
  </si>
  <si>
    <t>Construction of Canal Cover (GAD) Northern Balacang &amp; Waterlily St, Casigayan</t>
  </si>
  <si>
    <t>Construction of Day Care Center at Tigtabon (Revised 2)</t>
  </si>
  <si>
    <t>PROCUREMENT OF TEN (10) UNITS MOBILE PHONES FOR OFFICE USE</t>
  </si>
  <si>
    <t>Covering of Gymnasium Gable End</t>
  </si>
  <si>
    <t>Procurement of Communication Equipment</t>
  </si>
  <si>
    <t>Purchase of Construction Materials used for the Improvement of Drainage Canal with Steel Grating located at Queensland Subd., Brgy. Malanday, San Mateo, Riizal</t>
  </si>
  <si>
    <t>Purchase of Office Equipment For SP Office use. Under P.R. No. 80-20-06-078</t>
  </si>
  <si>
    <t>PURCHASE OF 15 TELEVISION SETS AS PART OF THE E-LEARNING PROGRAM OF THE DISTRICT FOR THE 15 GRADE 1 CLASSES</t>
  </si>
  <si>
    <t>CONSTRUCTION OF FLOATING DRYER (MAO)</t>
  </si>
  <si>
    <t>399.93 SQ.M ROLL BLINDS CURTAIN</t>
  </si>
  <si>
    <t>Support for the Enhancement of St. Vincent Chapel of TRADOC, PA amounting to Php 980,000.00</t>
  </si>
  <si>
    <t>PROCUREMENT OF THREE (3) UNITS BIOMETRIC MACHINE</t>
  </si>
  <si>
    <t>Request for Quotation of Diesel Fuel intended for the Heavy Equipment Maintenance</t>
  </si>
  <si>
    <t>Construction of Deep Well w. Submersible Pump at Block 2 (GAD) Purok 7, Bulanao</t>
  </si>
  <si>
    <t>20CSAB02 - Package 2: CONDUCT OF SOIL TESTING/EXPLORATION FOR THE PROPOSED FLOOD CONTROL PROJECTS, DINGRAS, PAOAY, BADOC, BANNA, CITY OF BATAC, SOLSONA, MARCOS &amp; NUEVA ERA, ILOCOS NORTE</t>
  </si>
  <si>
    <t>Procurement of Fuels for Vice Mayor's Office of LGU-Naga</t>
  </si>
  <si>
    <t>RFQ 16810</t>
  </si>
  <si>
    <t>Delivery of Office Supplies and Accessories</t>
  </si>
  <si>
    <t>Supply and Delivery of Various Construction Materials for the Extension of Barangay Road Concreting of 132.50 Linear x 5 meter width and 15 cm. thickness, Barangay Aras-asan, Cagwait, Surigao del Sur</t>
  </si>
  <si>
    <t>1 unit Network Attached Storage (NAS)</t>
  </si>
  <si>
    <t>REPAIR AND REPLACEMENT OF MOTHERBOARD OF 1 UNIT CPU</t>
  </si>
  <si>
    <t>Procurement of One (1) Unit Photocopier</t>
  </si>
  <si>
    <t>Vehicle Parts &amp; Accessories</t>
  </si>
  <si>
    <t>MEALS AND SNACKS</t>
  </si>
  <si>
    <t>Procurement of Corn Sheller</t>
  </si>
  <si>
    <t>6 Set Tire 7.50 x 16, 14 ply, CT 163, mixed lug with inner tube and flap</t>
  </si>
  <si>
    <t>Request for Quotation for the Provision of Catering Services to be served during the Conduct of Collaborative Extension Project with LGU/Season-Long Farmers Field School (FFS) on July to October 2020</t>
  </si>
  <si>
    <t>Completion of Four (4) Units Barangay Health Station (Kiat, Marmarsang, Guilong, Dagdag)</t>
  </si>
  <si>
    <t>Provision of Major Crop-Based Farm Equipment Support</t>
  </si>
  <si>
    <t>FURNISHING OF CONSTRUCTION MATERIALS OF BRGY LAYON, LIGAO CITY</t>
  </si>
  <si>
    <t>Office, Med supplies</t>
  </si>
  <si>
    <t>CONSTRUCTION AND REHABILITATION OF MARINE PROTECTED AREA AT PAYAO, ZAMBOANGA SIBUGAY</t>
  </si>
  <si>
    <t>Procurement of Forage Chopper</t>
  </si>
  <si>
    <t>Construction of Cambaguio SIP</t>
  </si>
  <si>
    <t>PURCHASE OF VARIOUS EQUIPMENTS TO BE USED DURING RESPONSE OPERATIONS OF CDRRMO</t>
  </si>
  <si>
    <t>Delivery of gas refill for the month of July 2020 at Sluagtherhouse, Lingayen, Pangasinan</t>
  </si>
  <si>
    <t>Supply and Delivery of Const. Materials for the Const. of Open Concrete Drainage Canal Lining Beside Barangay Hall and along Simimbaan Integrated School, Simimbaan, Roxas, Isabela</t>
  </si>
  <si>
    <t>Delivery of Janitorial Supplies</t>
  </si>
  <si>
    <t>Catering Services for the 4th Level Training on 2020 Census of Population and Housing (2020 CPH) - Mun. of Talaingod.</t>
  </si>
  <si>
    <t>PURCHASE OF VARIOUS MEDICAL SUPPLIES AND MATERIALS TO BE USED DURING RESPONSE OPERATIONS OF CDRRMO</t>
  </si>
  <si>
    <t>Procurement of Grass Cutter</t>
  </si>
  <si>
    <t>MPS Service of PDRRMC Tractor Head Model A7 420 HP</t>
  </si>
  <si>
    <t>Video Conference System (Enhancement of Virtual Meetings)</t>
  </si>
  <si>
    <t>Drugs - Midazolam 15mg Tab &amp; 4 Others (3rd Posting)</t>
  </si>
  <si>
    <t>Procurement of Goods for Office Equipment</t>
  </si>
  <si>
    <t>SEMI-EXPENDABLE FURNITURE &amp; FIXTURES</t>
  </si>
  <si>
    <t>ITB-2020-06-046 Embankment in PCDP Compound</t>
  </si>
  <si>
    <t>CONSTRUCTION OF ESWM PROCESSING PLANT PHASE 2</t>
  </si>
  <si>
    <t>Procurement of 2 Sets of Desktop with complete Accessories</t>
  </si>
  <si>
    <t>05 boxes COMPUTER CONTINUOUS FORMS, 2 ply, 11" x 14-7/8", 1000 sets/box, etc.</t>
  </si>
  <si>
    <t>Supply and Delivery of Various Furniture and Fixtures for the College of Human Ecology and Food Sciences</t>
  </si>
  <si>
    <t>Spare parts for the repair of Grasscutter-MO</t>
  </si>
  <si>
    <t>Production and Development of PSHC Interactive Virtual Tour</t>
  </si>
  <si>
    <t>SUPPLY AND DELIVERY OF SINGLE GLASS DOOR AND FIX GLASS (HR AND PLANNING)</t>
  </si>
  <si>
    <t>Installation of Streetlights (Additional) at IBT Divisoria (Revised) [Alternative Mode of Procurement]</t>
  </si>
  <si>
    <t>Supply &amp; Delivery of Office Equipment Supplies and Consumables</t>
  </si>
  <si>
    <t>Purchase of Diesel for Cabanglasan MPS</t>
  </si>
  <si>
    <t>PURCHASE OF ONE (1) UNIT SLIDING GLASS DOOR FILING CABINET WITH COMPUTER TABLE FOR SB OFFICE</t>
  </si>
  <si>
    <t>Procurement of Mimeographing Paper for the Reproduction of Modules</t>
  </si>
  <si>
    <t>RFQ for PR 2020-06-0062 (Aircon and Water Dispenser)</t>
  </si>
  <si>
    <t>PROCUREMENT OF SUPPLY AND INSTALLATION OF ONE YEAR ORACLE SUPPORT LICENSE TO EXISTING TREASURY MANAGEMENT SYSTEM FOR THE BUREAU OF THE TREASURY</t>
  </si>
  <si>
    <t>Procurement of Construction Materials and Supplies for the Improvement of Barangay Street Lights in Brgy. Badiangon, President Roxas, Capiz</t>
  </si>
  <si>
    <t>SUPPLY AND DELIVERY OF ELECTRICAL COMPONENTS FOR THE INSTALLATION OF ORBIT AND CEILING FANS</t>
  </si>
  <si>
    <t>240 pack Disposable Nurse Cap, 100's/pack</t>
  </si>
  <si>
    <t>Purchase of Drugs and Medicines for RHU-Sapang Dalaga, Misamis Occidental</t>
  </si>
  <si>
    <t>Supply and delivery of office supplies for MO-Nutrition Office for Monitoring &amp; Evaluation of Local Level Plan Implementation for Outstanding BNS &amp; BNC.</t>
  </si>
  <si>
    <t>Electrical Supplies for Rewiring of Mun.Line Electrical Facilities of LGU</t>
  </si>
  <si>
    <t>COMPLETION OF MULAWIN HIGH SCHOOL BUILDING, (CONSTRUCTION OF COMFORT ROOM), BRGY. FRANCISCO HOMES- MULAWIN, CITY OF SAN JOSE DEL MONTE, BULACAN</t>
  </si>
  <si>
    <t>Catering Services for the 4th Level Training on 2020 Census of Population and Housing (2020 CPH) - Mun. of San Isidro.</t>
  </si>
  <si>
    <t>Improvement of Health Center</t>
  </si>
  <si>
    <t>Construction of Concrete Tire Path</t>
  </si>
  <si>
    <t>PIKCOT-SUPP-002020-00145 (SUPPLY AND DELIVERY OF OFFICE SUPPLIES)</t>
  </si>
  <si>
    <t>REQUEST FOR QUOTATION- Office Computer, Supplies and Accessories</t>
  </si>
  <si>
    <t>PROCUREMENT OF MATERIALS AND EQUIPMENT FOR SCHOOL NETWORK MANAGEMENT</t>
  </si>
  <si>
    <t>Spare parts for immediate minor repair of PNP Patrol Jeep (Hilux New)-</t>
  </si>
  <si>
    <t>Supply and Delivery of 12 rolls Polyethylene Pipes # 1</t>
  </si>
  <si>
    <t>SUPPLY AND DELIVERY OF ORBIT AND WALL FANS</t>
  </si>
  <si>
    <t>Supply and Delivery of Signages, PR Reference#2020-06-0385</t>
  </si>
  <si>
    <t>Procurement of Labor Services (PR. No 2006889)</t>
  </si>
  <si>
    <t>Outsourcing of physico chemical, heavy metal and microbiological analyses for industrial waste</t>
  </si>
  <si>
    <t>COMPLETION OF SAN RAFAEL HIGH SCHOOL BUILDING (CONSTRUCTION OF COMFORT ROOM), BRGY. SAN RAFAEL III, CITY OF SAN JOSE DEL MONTE, BULACAN</t>
  </si>
  <si>
    <t>Furnishing and Delivery of 9 Units Laptop for Principals of Siniloan District</t>
  </si>
  <si>
    <t>833 vials Anti-Rabies Vaccine, Purified Chick Embryo Cell, etc.</t>
  </si>
  <si>
    <t>Purchase of Electrical System and Lighting Components For Installation of Solar Street Lights @ Brgy. Sangalan, Gingoog City Under P.R. No. 20-20-04-147</t>
  </si>
  <si>
    <t>Rehabilitation of Child Development Center, Logan, Ipil, ZSP.</t>
  </si>
  <si>
    <t>Supply and Delivery of Various Laboratory Equipment for Food Processing Nutrition and Dietetics Department</t>
  </si>
  <si>
    <t>Purchase of Second Hand Vehicle for use as Barangay Ambulance of Upper Malinao, Padada, Davao del Sur</t>
  </si>
  <si>
    <t>CONCRETING OF FMR SAN VICENTE - AN ANONAS ROAD, BRGY. SAN VICENTE, SAN MANUEL, PANGASINAN</t>
  </si>
  <si>
    <t>Supply and Delivery of Office Equipment for RPHD</t>
  </si>
  <si>
    <t>SUPPLY AND DELIVERY OF MATERIALS FOR THE REPAIR AND REHABILITATION OF RESIDENCE HALLS FURNITURES AND FIXTURES</t>
  </si>
  <si>
    <t>PURCHASE OF HIV MOBILE CLINIC FOR THE USE OF HIV –AIDS PROGRAM OF CITY HEALTH OFFICE</t>
  </si>
  <si>
    <t>Supply/Delivery for Lab Equipt for INdustrial - Isulan</t>
  </si>
  <si>
    <t>PROCUREMENT OF MEDICAL SUPPLIES AND DENTAL EQUIPMENT</t>
  </si>
  <si>
    <t>Installation and Rehabilitation of Street Lights</t>
  </si>
  <si>
    <t>Petroleum consumption of PNP Patrol Jeep HILUX Plate No. A4-S370</t>
  </si>
  <si>
    <t>Construction of Fence at Taloptap Elementary School, Vitali [Alternative Mode of Procurement]</t>
  </si>
  <si>
    <t>Catering Services for the 4th Level Training on 2020 Census of Population and Housing (2020 CPH) - Mun. of Carmen.</t>
  </si>
  <si>
    <t>Purchase of Electrical System and Lighting Components For Installation of Solar Street Lights @ Brgy. Tagpako, Gingoog City Under P.R. No. 20-20-04-146</t>
  </si>
  <si>
    <t>Rehabilitation of Farm to Market Road, Nalipay and Galo, Brgy. 5, Isabela, Neg. Occ.</t>
  </si>
  <si>
    <t>Supply and delivery of Foodstuffs during the ceremonial and bleassing of ( PADAO)</t>
  </si>
  <si>
    <t>Inang may Gabay at Pagsasanay sa Sakuna ay Maaasahan</t>
  </si>
  <si>
    <t>Supply of Labor and Materials for the Rehabilitation of Lateral Line 1 1/4"</t>
  </si>
  <si>
    <t>60000 pcs Paper Soup Bowl with Flat Lid, Plain 320cc</t>
  </si>
  <si>
    <t>Catering Services for the 4th Level Training on 2020 Census of Population and Housing (2020 CPH)- Mun. of Kapalong.</t>
  </si>
  <si>
    <t>SUPPLY AND DELIVERY OF PPE,HYGIENE KIT &amp; VITAMINS (MUSLIM Religious Leaders and CSO) -PPDO</t>
  </si>
  <si>
    <t>PROCUREMENT OF ONE (1) LOT OFFICE SUPPLIES</t>
  </si>
  <si>
    <t>Supply/Delivery of Drugs and Medicines</t>
  </si>
  <si>
    <t>Procurement of Printing Supplies for the Reproduction of Modules</t>
  </si>
  <si>
    <t>Supply and Delivery of 4 units Laptop for ALS Dumaran Implementers use</t>
  </si>
  <si>
    <t>Supply and Delivery of Various I.T. and Office Equipment for Geographic Information System and Indigenous Crops Laboratory</t>
  </si>
  <si>
    <t>Food Stuff (meals and snacks)</t>
  </si>
  <si>
    <t>Communication Load (Globe) for the use of Disease Surveillance officers deployed in the provinces, cities, hospitals and EOC</t>
  </si>
  <si>
    <t>Construction of Open Stage and Comfort Room at Sinunuc Elementary School, Tumalutab (Revised) [Alternative Mode of Procurement]</t>
  </si>
  <si>
    <t>SUPPLY AND DELIVERY OF FUEL (DIESEL AND GASOLINE) FOR PNP PATROL VEHICLES</t>
  </si>
  <si>
    <t>Construction of Basketball Court @ Zone A, Brgy. San Miguel, Tarlac City</t>
  </si>
  <si>
    <t>PURCHASE OF LABORATORY REAGENT FOR THE USE OF OSPITAL NG LUNGSOD NG SAN JOSE DEL MONTE</t>
  </si>
  <si>
    <t>Supply, Delivery and Installation of Various Furniture and Fixtures for Geographic Information System &amp; Indigenous Crops Laboratory</t>
  </si>
  <si>
    <t>Procurement of insecticides (Aqua Resigen) for indoor residual spraying/Misting operation for schools, market and barangays</t>
  </si>
  <si>
    <t>RFQ: Computer Set and Printer (PR #20-05-520)</t>
  </si>
  <si>
    <t>Purchase of Electrical System and Lighting Components For Installation of Solar Street Lights @ Brgy. 18-A, Gingoog City	Under P.R. No. 20-20-04-150</t>
  </si>
  <si>
    <t>MPS Service of PDRRMC Backhoe Long Arm XCMG</t>
  </si>
  <si>
    <t>Supply and Delivery of Rescue Equipments</t>
  </si>
  <si>
    <t>Invitation to Bid for Contract No. 4AQ-SIP-20-018</t>
  </si>
  <si>
    <t>Supply &amp; Delivery of Various Information Technology Peripherals for used for City Slaughterhouse Office, Ormoc City</t>
  </si>
  <si>
    <t>20OA0074: Construction of Four (4) Storey, Eight (8) Classroom School Building, Malabon National High School, Malabon City</t>
  </si>
  <si>
    <t>REQUEST FOR QUOTATION (RFQ)R.I.S. No.: 20-82-027 Prefocus Halogen Lamp 200Watts 6.6 Amp for Approach &amp; PAPI Lights</t>
  </si>
  <si>
    <t>Purchase of Electrical System and Lighting Components For Installation of Solar Street Lights @ Brgy. 6, Gingoog City Under P.R. No. 20-20-04-151</t>
  </si>
  <si>
    <t>RFQ: Janitorial Supplies (PR #20-06-563)</t>
  </si>
  <si>
    <t>PURCHASE OF I.V. FLUIDS FOR THE USE OF OSPITAL NG LUNGSOD NG SAN JOSE DEL MONTE</t>
  </si>
  <si>
    <t>REHABILITATION OF STAGE AT SAN ROQUE ELEMENTARY SCHOOL BARANGAY SAN ROQUE</t>
  </si>
  <si>
    <t>Construction of Solar Street Lights</t>
  </si>
  <si>
    <t>PURCHASE OF ANTI-RABIES VACCINE FOR THE USE OF OSPITAL NG LUNGSOD NG SAN JOSE DEL MONTE</t>
  </si>
  <si>
    <t>PROCUREMENT OF  BUSINESS PLATES  AND TRICYCLE STICKERS</t>
  </si>
  <si>
    <t>Meals &amp; Snacks Pack Meal Foods &amp; Drinks for 1st &amp; 2nd Semester of Social Pension Distribution 2020, Office of the Senior Citizen, Ormoc City</t>
  </si>
  <si>
    <t>Proposed Concrete Pavement of Access/ Farm to Market Road at Barangay Mananum Daan to Sitio Labas Pagsama, San Isidro, Medina, Misamis Oriewntal</t>
  </si>
  <si>
    <t>20-06-217 Procurement of Various Drugs and Medicines</t>
  </si>
  <si>
    <t>Catering Services for the 4th Level Training on 2020 Census of Population and Housing (2020 CPH) - Mun. of Sto. Tomas.</t>
  </si>
  <si>
    <t>PURCHASE OF 3 IN 1 PRINTER FOR THE EBEIS ROOM OF CONCEPCION CENTRAL SCHOOL</t>
  </si>
  <si>
    <t>Procurement of Thermal Scanners for use of DepEd Health Personnel in response to Pandemic COVID-19</t>
  </si>
  <si>
    <t>Supply and Delivery of Various Office Equipment for the College of Human Ecology and Food Science</t>
  </si>
  <si>
    <t>Various Office and School Supplies</t>
  </si>
  <si>
    <t>Construction/Rehabilitation/Improvement of Fence at Zamboanga Central School, SPED Center, Zone I [Alternative Mode of Procurement]</t>
  </si>
  <si>
    <t>SUPPLY AND DELIVERY OF PPE,HYGIENE KIT &amp; VITAMINS (ADVOCACY ON SAFETY DRIVING)-PPDO</t>
  </si>
  <si>
    <t>Supply and Delivery of Various Laboratory Equipment for the College of Human Ecology and Food Sciences - Food Technology Department</t>
  </si>
  <si>
    <t>Supply of labor, chemicals, equipment incl. the technical supervision for the disinfection services of LLDA bldg.</t>
  </si>
  <si>
    <t>Purchase of Electrical System and Lighting Components For Installation of Solar Street Lights along the highway (Osmeña-Quirino), Brgy. San Luis, Gingoog City	Under P.R. No. 20-20-04-144</t>
  </si>
  <si>
    <t>Construction/Rehab of Municipal Building</t>
  </si>
  <si>
    <t>Supply and Delivery of CM for the improvement of Pangawan-Balangabang and Tidang Village-Amelong Road, Kayapa NV</t>
  </si>
  <si>
    <t>Launching of Kabataan Kontra Droga at Terorismo (KKDAT)</t>
  </si>
  <si>
    <t>Invitation to Bid for Contract No. 4AQ-LPA-20-019B</t>
  </si>
  <si>
    <t>RFQ for the Supply and Delivery of Toner Cartridges (20-020-B)</t>
  </si>
  <si>
    <t>Security Services for Bataan General Hospital, City of Balanga, Bataan for the period covered from August to December 2020</t>
  </si>
  <si>
    <t>RFQ 3-0620-053</t>
  </si>
  <si>
    <t>Catering Services for the 4th Level Training on 2020 Census of Population and Housing (2020 CPH) - Mun. of B.E. Dujali.</t>
  </si>
  <si>
    <t>PROCUREMENT OF MAINTENANCE MATERIALS FOR THE SECOND QUARTER- 2020</t>
  </si>
  <si>
    <t>Procurement of Computer and Printer w/ PR # 848</t>
  </si>
  <si>
    <t>Supply and delivery of various spareparts for the repair of Mun. Bulldozer.</t>
  </si>
  <si>
    <t>ROAD CONCRETING, Purok Aquarius, Talisay, Santa Fe, Cebu - Municipal</t>
  </si>
  <si>
    <t>Supply &amp; Delivery of Diesel &amp; Gasoline</t>
  </si>
  <si>
    <t>PURCHASE OF ANTIBACTERIAL DRUGS AND MEDICINES FOR THE USE OF OSPITAL NG LUNGSOD NG SAN JOSE DEL MONTE</t>
  </si>
  <si>
    <t>PURCHASE OF VARIOUS MEDICINES</t>
  </si>
  <si>
    <t>Purchase of Audio and Visual Equipment, LGU - Isabela, Neg. Occ.</t>
  </si>
  <si>
    <t>PURCHASE OF RAIN BOOTS AND RAIN COATS</t>
  </si>
  <si>
    <t>SUPPLY AND DELIVERY OF CORN SEEDS (HYBRID) FOR CORN PRODUCTION PROGRAM</t>
  </si>
  <si>
    <t>REQUEST FOR QUOTATION - Sound System for Extension Services Activities</t>
  </si>
  <si>
    <t>PROPOSED TEMPORARY REROUTING OF PIPELINE BRIDGE CROSSING DUE TO DPWH BRIDGE WIDENING AT LUNAO BRIDGE, BARANGAY  LUNAO, GINGOOG CITY</t>
  </si>
  <si>
    <t>Purchase of Electrical System and Lighting Components For Installation of Solar Street Lights @ Brgy. Murallon, Gingoog City Under P.R. No. 20-20-04-148</t>
  </si>
  <si>
    <t>PURCHASE OF ONE UNIT AIR CONDITIONED</t>
  </si>
  <si>
    <t>Construction of Covered Walk at Don Gregorio Evangelista Memorial School, Sta. Catalina [Alternative Mode of Procurement]</t>
  </si>
  <si>
    <t>Construction Materials for July 2020</t>
  </si>
  <si>
    <t>Supply and Delivery of Social Amelioration Program (SAP) Forms for City Government of Tarlac use</t>
  </si>
  <si>
    <t>CTG Tracing Paper (OB-Gyn)</t>
  </si>
  <si>
    <t>Procurement of Knapsack Sprayer for use of selected Schools in response to Pandemic COVID-19</t>
  </si>
  <si>
    <t>PURCHASE OF VARIOUS MEDICINES FOR THE USE OF CITY HEALTH CENTERS</t>
  </si>
  <si>
    <t>SUPPLY AND DELIVERY OF THREE (3) UNITS SINGLE MOTORCYCLE W/ ACCESSORIES FOR VARIOUS OFFICES</t>
  </si>
  <si>
    <t>Supply &amp; Delivery of Oil &amp; Lubricants for the use of Different Government Vehicles, City General Services Office, Ormoc City</t>
  </si>
  <si>
    <t>REQUEST FOR QUOTATION (RFQ)R.I.S. No.: 20-83-111 Chain Drive Pin and Bushing Lubricant</t>
  </si>
  <si>
    <t>Purchase of Disinfection sprayer for school buildings and facilities</t>
  </si>
  <si>
    <t>Various Medical Equipment for Pag-IBIG Fund JR Borja</t>
  </si>
  <si>
    <t>SUPPLY AND DELIVERY OF I.T. EQUIPMENT (HRMO)</t>
  </si>
  <si>
    <t>Supply and Delivery of Furnitures and Fixtures at the Pre-Fabricated Office and Warehouse</t>
  </si>
  <si>
    <t>Supply of Office Equipment for PASSO</t>
  </si>
  <si>
    <t>Supply &amp; Delivery of Various Agricultural Equipment's for City Agriculture Office use on Agri - Vegetable Related Activities &amp; Others, City Agriculture's Office, Ormoc City</t>
  </si>
  <si>
    <t>Supply and Delivery of T-shirts for Provincial Governor's Office</t>
  </si>
  <si>
    <t>For the use of Budget Section</t>
  </si>
  <si>
    <t>Medical Supplies</t>
  </si>
  <si>
    <t>Supply and delivery of Supplies (Firewood) for use in  Slaughterhouse operation.</t>
  </si>
  <si>
    <t>Procurement of Spare parts for mower services</t>
  </si>
  <si>
    <t>Catering Services for the 4th Level Training on 2020 Census of Population and Housing (2020 CPH) - Samal District, Is. Garden City of Samal.</t>
  </si>
  <si>
    <t>Security Services for Capitol Compound for the period covered from August to December 2020, Bataan</t>
  </si>
  <si>
    <t>Information Technology Equipment</t>
  </si>
  <si>
    <t>SUPPLY AND DELIVERY OF RETRACTABLE STANCHIONS</t>
  </si>
  <si>
    <t>Laboratory Supplies</t>
  </si>
  <si>
    <t>PURCHASE OF ONE UNIT FLAT TV</t>
  </si>
  <si>
    <t>PURCHASE OF EMERGENCY VEHICLE TO BE USED DURING RESPONSE OPERATIONS OF CDRRMO</t>
  </si>
  <si>
    <t>SUPPLY OF FUEL FOR CONSUMPTION OF MUNICIPAL VEHICLES FOR THE MONTH OF JULY 2020</t>
  </si>
  <si>
    <t>For Frontliners in the combat against COVID-19</t>
  </si>
  <si>
    <t>SUPPLY AND DELIVERY OF TIRES FOR LGU VEHICLES</t>
  </si>
  <si>
    <t>Catering Services for the 4th Level Training on 2020 Census of Population and Housing (2020 CPH) - Babak District, Is. Garden City of Samal.</t>
  </si>
  <si>
    <t>ROAD CONCRETING, Sitio Pasil, Langub, Santa Fe, Cebu - Municipal</t>
  </si>
  <si>
    <t>Purchase of Electrical System and Lighting Components For Installation of Solar Street Lights @ Brgy. 22-A, Gingoog City	Under P.R. No. 20-20-04-145</t>
  </si>
  <si>
    <t>20OA0075: Construction of Four (4) Storey Eight (8) Classroom School Building, Santulan Elementary School, Malabon City</t>
  </si>
  <si>
    <t>Construction of Covered Court in Tabao-Ambil</t>
  </si>
  <si>
    <t>GENERAL ADMINISTRATION AND SUPPORT: OFFICE SUPPLIES</t>
  </si>
  <si>
    <t>Contract ID: 20GOE0014 - Procurement of Construction Materials to be used for Various Routine Maintenance Activities within NMDEO Jurisdiction</t>
  </si>
  <si>
    <t>Catering Services for the 4th Level Training on 2020 Census of Population and Housing (2020 CPH )- Kaputian District, Is. Garden City of Samal.</t>
  </si>
  <si>
    <t>Procurement of Printer Ink</t>
  </si>
  <si>
    <t>for Blended - learning and Video Conferencing for CSU Carig Administration, faculty and students.</t>
  </si>
  <si>
    <t>Procurement of various Supplies and Materials for TTMF</t>
  </si>
  <si>
    <t>Procurement of Trash Bin</t>
  </si>
  <si>
    <t>SUPPLY AND DELIVERY OF MATERIALS FOR THE CONSTRUCTION OF COAST GUARD AUXILIARY OFFICE AT GREEN ISLAND</t>
  </si>
  <si>
    <t>ROAD CONCRETING, Sitio Kalambuan, Poblacion, Santa Fe, Cebu - Municipal</t>
  </si>
  <si>
    <t>SUPPLY AND DELIVERY OF AIR CONDITIONING UNITS (FLOOR MOUNTED AND WINDOW-TYPE) FOR VARIOUS OFFICES</t>
  </si>
  <si>
    <t>Improvement of Mambanuoy Road,Guincalaban at Brgy. Guincalaban, Tayasan, Neg. Or.</t>
  </si>
  <si>
    <t>Procurement of Various Office Equipment</t>
  </si>
  <si>
    <t>SUPPLY AND DELIVERY OF CLEANING AND SANITIZING SOLUTIONS / AGENTS</t>
  </si>
  <si>
    <t>Concreting of Road at Sitio Hanapi Drive, Kasanyangan, (Revised) [Alternative Mode of Procurement]</t>
  </si>
  <si>
    <t>Preventive Maintenance and Calibration of Shock Wave</t>
  </si>
  <si>
    <t>Purchase/Acquisition of Fuel for the Maintenance of Municipal Vehicles &amp; Heavy Equipment</t>
  </si>
  <si>
    <t>PROCUREMENT OF HEALTH AND SAFETY MATERIALS AND EQUIPMENT</t>
  </si>
  <si>
    <t>PRDP-RPCOXI-SIC-013-2020 Hiring of Personnel Finance Analyst I</t>
  </si>
  <si>
    <t>Procurement of Office Equipment</t>
  </si>
  <si>
    <t>SUPPLY AND DELIVERY OF HARDWARE MATERIALS FOR THE CONSTRUCTION OF BRGY. HEALTH STATION BUILDING</t>
  </si>
  <si>
    <t>Construction of Slope Protection at Candido, Tetuan [Alternative Mode of Procurement</t>
  </si>
  <si>
    <t>SUPPLY AND DELIVERY OF IT EQUIPMENTS (COMPUTER, LAPTOP, PRINTER) FOR VARIOUS OFFICES</t>
  </si>
  <si>
    <t>PR No. 2020-06-129 Upgrade of DLL Internet Access Service - Lot 1</t>
  </si>
  <si>
    <t>Request for Quotation PR NO. 0972-20</t>
  </si>
  <si>
    <t>supplies</t>
  </si>
  <si>
    <t>PREVENTIVE MAINTENANCE AND CALIBRATION FOR THE FOLLOWING MEDICAL EQUIPMENT FOR THE YEAR 2020</t>
  </si>
  <si>
    <t>Purchase of Desktop Computer and Bottomless Printer</t>
  </si>
  <si>
    <t>20GME0047 –	Lease of One (1) Unit Service Vehicle for Eleven (11)  days for inspection/supervision of infrastructure projects within Sarangani Engineering District for the period of July 16-31, 2020,</t>
  </si>
  <si>
    <t>Security Services for Provincial Government of Bataan for the period	covered from August to December 2020</t>
  </si>
  <si>
    <t>CONSTRUCTION OF GUARDHOUSE IN SIMACOLONG</t>
  </si>
  <si>
    <t>Repair of Plain Paper Copier</t>
  </si>
  <si>
    <t>PURCHASE OF VARIOUS NUTRI-MILK/ OATS PRODUCTS FOR THE FEEDING SUPPLEMENTATION PROGRAM OF THE CITY HEALTH OFFICE</t>
  </si>
  <si>
    <t>Repair &amp; Maintenance - MAchinery &amp; Equipment (Agricultural &amp; Fishery)</t>
  </si>
  <si>
    <t>CONSTRUCTION OF MULTI-PURPOSE CENTER – PUROK 11-C, SAN MIGUEL, TAGUM CITY</t>
  </si>
  <si>
    <t>ITB No. 20-057  ONE (1) LOT SUPPLY AND DELIVERY OF LABOR, TOOLS, EQUIPMENT, MATERIALS, CONSUMABLES, SUPERVISION AND TECHNICAL EXPERTISE FOR THE CLEAN ROOM VALIDATION AND REPLACEMENT OF HIGH EFFICIENCY</t>
  </si>
  <si>
    <t>CONSTRUCTION OF 2-STOREY SCHOOL BUILDING</t>
  </si>
  <si>
    <t>Request for Quotation PR NO. 0971-20</t>
  </si>
  <si>
    <t>Lot1-Purchase of 29,350 liters Diesel fuel for Service Vehicles &amp; equipment (2nd quarter of 2020) and Lot2-Purchase of 23,500 liters Diesel fuel for Heavy Equipment</t>
  </si>
  <si>
    <t>Supply,Delivery,Installation of 2 units Split Type Aircon</t>
  </si>
  <si>
    <t>20GME0049 –	Lease of One (1) Unit Service Vehicle for Nine (09)  days for inspection/supervision of infrastructure projects within Sarangani Engineering District for the period of August 16-31, 2020,</t>
  </si>
  <si>
    <t>Contract ID: 20GOE0015 - Procurement of Tools and Materials to be used in Routine Maintenance Activities within NMDEO Jurisdiction</t>
  </si>
  <si>
    <t>Waterworks Materials</t>
  </si>
  <si>
    <t>Purchase of Office Supplies not available at PS DBM X</t>
  </si>
  <si>
    <t>Refurbished Photocopying Machine 12 Units for Siniloan Elementary School</t>
  </si>
  <si>
    <t>DILP PROJECT PRODUCTION OF MEAT &amp; EGGS OF NATIVE CHICKEN AND DUCK (LIVELIHOOD ENHANCEMENT FOR BARANGAY BOBOK-BISAL)</t>
  </si>
  <si>
    <t>PURCHASE OF PHOTOCOPYING MACHINE FOR THE SCHOOL OF INDUSTRIAL TECHNOLOGY</t>
  </si>
  <si>
    <t>Procurement of Various Office Supplies</t>
  </si>
  <si>
    <t>Office Supplies for PESO (2nd Quarter 2020).</t>
  </si>
  <si>
    <t>CATERING SERVICES</t>
  </si>
  <si>
    <t>Purchase of Office Supplies and Consumables to be used in LGU- Baco for 2nd Quarter of 2020</t>
  </si>
  <si>
    <t>RE-PAINTING OF BANTAY BAYAN HEADQUARTERS AT BRGY. NIUGAN CITY OF CABUYAO,LAGUNA</t>
  </si>
  <si>
    <t>Procurement of One (1) Lot Information and Communications Technology (ICT) Equipment for National Police Clearance System- PNPTR-DIDM-DP-20-06</t>
  </si>
  <si>
    <t>Manual Chemical Sprayer</t>
  </si>
  <si>
    <t>Procurement of Hybrid Corn Seeds</t>
  </si>
  <si>
    <t>IT SUPPLIES AND DELIVERY</t>
  </si>
  <si>
    <t>Proc. of Cleaning Materials-MSWMO</t>
  </si>
  <si>
    <t>electrical materials use in the installation of electrical at Dap-Dap - PUro, Legazpi City</t>
  </si>
  <si>
    <t>Supply of Office Supplies for BoGH for Covid</t>
  </si>
  <si>
    <t>Supply and Delivery of Household Materials for the meals of COVID-19 Personnel on Duty/ For the use of RESDRU Staff for disinfection after specimen collection and packing</t>
  </si>
  <si>
    <t>SUPPLY &amp; DELIVERY OF MATERIALS FOR THE REPAIR OF CLASSROOM @ BUGCAON ELEM SCHOOL</t>
  </si>
  <si>
    <t>Procurement of Janitorial Supplies for use of Romblon Provincial Hospital, Odiongan, Romblon</t>
  </si>
  <si>
    <t>Public Bidding re: Procurement of Laptops and Printers</t>
  </si>
  <si>
    <t>Supply and Delivery of Janitorial Supplies</t>
  </si>
  <si>
    <t>Procurement of Various Laboratory Chemicals and Supplies</t>
  </si>
  <si>
    <t>Supply and Delivery Of Siren</t>
  </si>
  <si>
    <t>PROCUREMENT OF PRINTING SERVICES FOR DIFFERENT OFFICES PURPOSES.</t>
  </si>
  <si>
    <t>Supply of services  for Radio Live Broadcast for Information and Education Campaign of COVID-19.</t>
  </si>
  <si>
    <t>ROAD CONCRETING, Sitio Barjes, Hilantagaan, Santa Fe, Cebu - Municipal</t>
  </si>
  <si>
    <t>Petroleum consumption of PNP Patrol Jeep HILUX Plate No. SJA 358</t>
  </si>
  <si>
    <t>Invitation to Bid for Contract No. 4AQ-LPQ-20-020SP</t>
  </si>
  <si>
    <t>Procurement of Corn Seeds</t>
  </si>
  <si>
    <t>Procurement of Computer Netbook</t>
  </si>
  <si>
    <t>IB NO. 07-2020- PROCUREMENT OF MEDICAL EQUIPMENT FOR NICU (CARE FOR SMALL BABIES)</t>
  </si>
  <si>
    <t>Provision and Installation</t>
  </si>
  <si>
    <t>Contract ID: 20GOE0016 - Procurement of Traffic Paint Materials to be used in Routine Maintenance Activities within NMDEO Jurisdiction</t>
  </si>
  <si>
    <t>SUPPLY &amp; DELIVERY OF TIRES</t>
  </si>
  <si>
    <t>Supply and Delivery of Air Purifier</t>
  </si>
  <si>
    <t>Procurement of One (1) Lot Information and Communications Technology (ICT) Equipment for the PNP DIDM (PNPTR-DIDM-DP-20-05)</t>
  </si>
  <si>
    <t>Hog Fattening</t>
  </si>
  <si>
    <t>REPAIR AND MAINTENANCE OF CLASSROOM</t>
  </si>
  <si>
    <t>PURCHASE OF ADVOCACY MATERIALS</t>
  </si>
  <si>
    <t>REHABILITATION AND IMPROVEMENT OF WATER SUPPLY DISTRIBUTION SYSTEM, BRGY. PALDIT, SISON, PANGASINAN</t>
  </si>
  <si>
    <t>20GG00020 - Procurement of Diesel Fuel for use of Various Service Vehicle and Equipment of DPWH Regional Office VI, Iloilo City</t>
  </si>
  <si>
    <t>20GME0051 –	Lease of One (1) Unit Service Vehicle for Eleven (11)  days for inspection/supervision of infrastructure projects within Sarangani Engineering District for the period of September 16-30, 2</t>
  </si>
  <si>
    <t>Hardware materials</t>
  </si>
  <si>
    <t>PROCUREMENT OF MATERIALS FOR WATER SYSTEM DEVELOPMENT (RE-BID)</t>
  </si>
  <si>
    <t>20DQ0129 - Local Program - Construction / Repair / Rehabilitation / Improvement of Various Infrastructure including Local Projects – Buildings and Other Structures – Multipurpose / Facilities - Constr</t>
  </si>
  <si>
    <t>Supply and Delivery of IT Equipment to be used at the Department of Interior and Local Government in the City of San Fernando, Pampanga</t>
  </si>
  <si>
    <t>Drugs - Ephedrine 50mg/ml, 1ml (as Sulfate) &amp; 5 Others (3rd Posting)</t>
  </si>
  <si>
    <t>Office supplies and office consumables</t>
  </si>
  <si>
    <t>Procurement of Furniture for Various Offices</t>
  </si>
  <si>
    <t>20GME0054 –	Lease of One (1) Unit Service Vehicle for Nine (09)  days for inspection/supervision of infrastructure projects within Sarangani Engineering District for the period of November 1-15, 2020,</t>
  </si>
  <si>
    <t>CONSTRUCTION OF NURSES QUARTER AND DOCTOR'S QUARTER</t>
  </si>
  <si>
    <t>Procurement of spare parts for use for the maintenance o 2 units 4-units 4-Wheeled Tractor of OPAG, Province of Romblon</t>
  </si>
  <si>
    <t>TPB-PR 2020.06.193 SERVICES OF A TOUR OPERATOR (BAGUIO CITY AND BENGUET)</t>
  </si>
  <si>
    <t>ITB-2020-017 - Supply of Labor and Materials for the Rehabilitation of APDC Toilets and Septic Tank, Drainages System and Water Lines at APDS, Marulas Valenzuela City</t>
  </si>
  <si>
    <t>RFQ - Procurement of Goods: Various Supplies for the use of CMO (Support to Brigada Eskwela 2020) (PR#100-20-06-0290)</t>
  </si>
  <si>
    <t>Procurement of Meal Tray</t>
  </si>
  <si>
    <t>20GME0053 –	Lease of One (1) Unit Service Vehicle for Eleven (11)  days for inspection/supervision of infrastructure projects within Sarangani Engineering District for the period of October 16-31, 202</t>
  </si>
  <si>
    <t>Procurement of Extrication Kit</t>
  </si>
  <si>
    <t>Supply and Delivery of Medical Supplies</t>
  </si>
  <si>
    <t>Senior Citizen's Office Enhancement Program</t>
  </si>
  <si>
    <t>Construction of Star Women's Building @ Sto. Nino, Talaingod, DDN-</t>
  </si>
  <si>
    <t>Vehicle Parts  and Accessories</t>
  </si>
  <si>
    <t>Construction of Fence at Dita Elementary School, Dita [Alternative Mode of Procurement]</t>
  </si>
  <si>
    <t>20GME0052 –	Lease of One (1) Unit Service Vehicle for Eleven (11)  days for inspection/supervision of infrastructure projects within Sarangani Engineering District for the period of October 1-15, 2020</t>
  </si>
  <si>
    <t>Lease of Real Property and Venue for the Lease of Storage Space for  Office Files and Unserviceable Equipment of BFP Region 6</t>
  </si>
  <si>
    <t>REQUEST FOR QUOTATION - IT &amp; OFFICE SUPPLIES</t>
  </si>
  <si>
    <t>Supply &amp; Delivery of Office Supplies</t>
  </si>
  <si>
    <t>Chlorine Test (free) and Chlorine Dioxide</t>
  </si>
  <si>
    <t>REQUEST FOR QUOTATION FOR USE OF SUMITOMO EXCAVATOR WITH PROP # F21-130 ASSIGNED AT ALARIS</t>
  </si>
  <si>
    <t>PROC-200100 - UTP CABLES</t>
  </si>
  <si>
    <t>Supply and Delivery of Fabricated Handwash Sink, Alcohol Dispenser Stand and Foot Bath for COVID Mitigation</t>
  </si>
  <si>
    <t>Construction of Fence at Taguiti Elementary School, Taguiti [Alternative Mode of Procurement]</t>
  </si>
  <si>
    <t>20OA0076: Construction of Four (4) Storey Eight (8) Classroom School Building San Roque Elementary School, Navotas City</t>
  </si>
  <si>
    <t>Procurement of Memento, Philippine Flag and Plaques</t>
  </si>
  <si>
    <t xml:space="preserve">20GME0056 –	Lease of One (1) Unit Service Vehicle for Ten (10)  days for inspection/supervision of infrastructure projects within Sarangani Engineering District for the period of December 1-15, 2020, </t>
  </si>
  <si>
    <t>Seed Inspectors Kit (Back pack with wheels)</t>
  </si>
  <si>
    <t>PROVISION OF MEDICAL SUPPLIES &amp; PARAPHERNALIAS</t>
  </si>
  <si>
    <t>SUPPLY AND DELIVERY OF ADDITIONAL IRON AERATION FILTER FOR PANGASIHAN PUMPING STATION OF GINGOOG CITY WATER DISTRICT</t>
  </si>
  <si>
    <t>20GME0055 –	Lease of One (1) Unit Service Vehicle for Ten (10)  days for inspection/supervision of infrastructure projects within Sarangani Engineering District for the period of November 16-30, 2020,</t>
  </si>
  <si>
    <t>Invitation to Bid for the Procurement of Various Water Meters, Class B and Materials for New Service Connections</t>
  </si>
  <si>
    <t>Food Assistance And other Relief Goods</t>
  </si>
  <si>
    <t>FURNISHING AND DELIVERY OF CONSTRUCTION MATERIALS</t>
  </si>
  <si>
    <t>Procurement of Copying Machine w/ PR # 851</t>
  </si>
  <si>
    <t>Construction Materials</t>
  </si>
  <si>
    <t>Supply and Delivery of Various Medical Equipment &amp; Instruments PR/RFQ# 2020-06-123</t>
  </si>
  <si>
    <t>Printing of The Way Forward. Vol 3</t>
  </si>
  <si>
    <t>20GME0045 - Supply &amp; Delivery of Janitorial Supplies for use of DPWH- Sarangani District Engineering Office, Sarangani Province</t>
  </si>
  <si>
    <t>Improvement of Barangay Plaza at Barangay Gualsic, Alcala, Pangasinan</t>
  </si>
  <si>
    <t>20GG00021 - Procurement of 24-Channel Seismograph for use in the Planning and Design Division, DPWH Regional Office VI, Iloilo City</t>
  </si>
  <si>
    <t>Lot1-Construction of Box Culvert at San Antonio connecting Brgy. Dalla-Revised No.01 at San Antonio, Baggao, Cagayan</t>
  </si>
  <si>
    <t>Supply and Delivery of Grafted Lanzones (Longkong Variety)</t>
  </si>
  <si>
    <t>Feeds</t>
  </si>
  <si>
    <t>Deliberation of PCG Selection Boards for CY 2020</t>
  </si>
  <si>
    <t>Construction of Fence at Cadalagan Elementary School, La Paz (Revised) [Alternative Mode of Procurement]</t>
  </si>
  <si>
    <t>PROCUREMENT FOR FOOD SUPPLY</t>
  </si>
  <si>
    <t>Request for Quotation for Drugs and Medicines (493,900.00)</t>
  </si>
  <si>
    <t>PR No. 2020-06-130 Upgrade of DLL Internet Access Service - Lot 2</t>
  </si>
  <si>
    <t>20GME0057 –	Lease of One (1) Unit Service Vehicle for Nine (09)  days for inspection/supervision of infrastructure projects within Sarangani Engineering District for the period of December 16-31, 2020</t>
  </si>
  <si>
    <t>Supply and Delivery of Female Cattle</t>
  </si>
  <si>
    <t>Purchase of Window Type Aircon</t>
  </si>
  <si>
    <t>Construction and Rehabilitation of Drainage Canal @ Piggery Area, Sto. Nino, Talaingod, DDN</t>
  </si>
  <si>
    <t>REPAIR AND MAINTENANCE OF WATER SUPPLY</t>
  </si>
  <si>
    <t>Supply and Delivery Purchase of Supplies &amp; Materials for CONCRETING OF FARM TO MARKET ROAD (SITIO BALUGUINAN)</t>
  </si>
  <si>
    <t>Supply &amp; Delivery of Construction Materials &amp; Supplies for the Improvement of Food Park</t>
  </si>
  <si>
    <t>CONSTRUCTION OF KITCHEN IN THE MUNICIPAL EVACUATION CENTER (SOCIAL CENTER) WITH NECESSARY FIXTURES</t>
  </si>
  <si>
    <t>Rehabilitation of Flood Mitigation Structures along Pasig – Potrero  River Upstream of SCTEX Bridge (Phase 1), Sta. 0+000 –  Sta. 0+275.95, Porac, Pampanga</t>
  </si>
  <si>
    <t>Purchase of 2 units Computer Desktop Branded w/ complete package. For City Civil Registrar’s Office Use.</t>
  </si>
  <si>
    <t>Hiring of Warehouse Manager/Pharmacist for Supply Chain Management from July 6 to December 31, 2020</t>
  </si>
  <si>
    <t>Regravelling of Farm-to-Market Road at Barangay Atainan, Alcala, Pangasinan</t>
  </si>
  <si>
    <t>PURCHASE OF PROPERTY, PLANT &amp; EQUIPMENT (PPE), SEMI-EXPENDABLE EQUIPMENT (ICT EQUIPMENT) AND FURNITURE AND FIXTURES TO BE USED BY VARIOUS OFFICES/PROGRAMS OF DSWD FO III FOR THE 1ST SEMESTER OF 2020</t>
  </si>
  <si>
    <t>Construction of Fence at Dulian Bunguiao Elementary School, Dulian Bunguiao [Alternative Mode of Procurement]</t>
  </si>
  <si>
    <t>DRUGS AND MEDICINES EXPENSES (FIRST QUARTER)</t>
  </si>
  <si>
    <t>Request for Price Quotation</t>
  </si>
  <si>
    <t>REHABILITATION OF MUNICIPAL ROAD (RIZAL STREET)</t>
  </si>
  <si>
    <t>Construction Materials (Road Rehabilitation-From Sitio Kaylawan, Sto. Nino and Central Baugan, Palma Gil, Talaingod, DDN)</t>
  </si>
  <si>
    <t>Oral Health/Dental supplies</t>
  </si>
  <si>
    <t>Contract ID: 20GOE0017 - Procurement of Materials to be used for the Repair / Replacement of Missing Catchbasins and Circular Manholes along National Roads within NMDEO Jurisdiction</t>
  </si>
  <si>
    <t>Lunch of Persons with Disability (PWD) during the conduct of Advocacy on Early Detection and Prevention of Disability in line with National Disability Prevention &amp; Rehabilitation (NDPR) Week Celebrati</t>
  </si>
  <si>
    <t>RFQ for the Supply and Delivery of UV Germicidal Light</t>
  </si>
  <si>
    <t>Procurement of Medical Supplies, DepEd (for Various School Clinic), Baybay City, Leyte</t>
  </si>
  <si>
    <t>20GME0046 - Supply &amp; Delivery of Vehicle Parts for use of  Service Vehicle LAA 7982 assigned at 	Construction Section, Sarangani Province</t>
  </si>
  <si>
    <t>NOTICE OF AWARD, PR 289-20</t>
  </si>
  <si>
    <t>Public Bidding re: Procurement of Anti-Virus Software (AVS) Licenses Renewal for 1,500 Workstations  at the CSC Central and Regional Offices</t>
  </si>
  <si>
    <t>Supply and Delivery of various goods (PR No. 2020-462)</t>
  </si>
  <si>
    <t>Rental of Service Vehicle for Bi-ethanol Project</t>
  </si>
  <si>
    <t>RFQ - Procurement of Goods: IT Equipment (Desktop Computer &amp; Printer) for the use of CDRRMO Operation Center (PR#100-20-06-0289)</t>
  </si>
  <si>
    <t>Purchase of Materials used in Establishment Facility for COVID 19 Positive and PUI and KABAKA in LGU Maragondon, Cavite</t>
  </si>
  <si>
    <t>SUPPLY &amp; DELIVERY OF PHOTOCOPIER</t>
  </si>
  <si>
    <t>Supply and Delivery of General Merchandise</t>
  </si>
  <si>
    <t>GO-FIT SK</t>
  </si>
  <si>
    <t>Lot1-Purchase of medical &amp; laboratory supplies for the 1st &amp;  2nd  quarter</t>
  </si>
  <si>
    <t>SUPPLY AND DELIVERY OF OFFICE SUPPLIES</t>
  </si>
  <si>
    <t>Construction of Cataraan Farm to Market Road at Brgy. Guincalaban, Tayasan, Neg. Or.</t>
  </si>
  <si>
    <t>Procurement of CPU for HRMO office</t>
  </si>
  <si>
    <t>Labor and Materials for the Construction of Public Toilets at Sindalan Sports Complex, Sindalan in the City of San Fernando, Pampanga</t>
  </si>
  <si>
    <t>Installation of Handwashing Facilities</t>
  </si>
  <si>
    <t>PANANDALIANG SAYA, SAKIT ANG DALA</t>
  </si>
  <si>
    <t>Supply and Delivery of Material for Meter Clustering of New Commercial Building at Barangay Rizal</t>
  </si>
  <si>
    <t>REQUEST FOR QUOTATION FOR VARIOUS OFFICE SUPPLIES</t>
  </si>
  <si>
    <t>Office Supplies for Regional Trial Court Branch 65</t>
  </si>
  <si>
    <t>Public Bidding re: Procurement of CSC Central Office Primary Internet Services Leased Line</t>
  </si>
  <si>
    <t>Supply and Delivery of Pharmaceutical Refrigerator for Animal Bite Treatment Center</t>
  </si>
  <si>
    <t>Supply and Delivery of Mixed Sand and Gravel for the Regravelling of Farm-to-Market Road at Barangay San Juan, Alcala, Pangasinan</t>
  </si>
  <si>
    <t>Various Information Technology Materials and Office Supplies</t>
  </si>
  <si>
    <t>20GME0058 - Supply &amp; Delivery of Consumables for use of  Develop Ineo 226 at Maintenance Section, Sarangani District Engineering Office, Alabel, Sarangani Province</t>
  </si>
  <si>
    <t>Purchase of EPI Supplies</t>
  </si>
  <si>
    <t>Purchase of office equipment</t>
  </si>
  <si>
    <t>FOR REPAIR AND MAINTENANCE AND MACHINERY EQUIPMENT</t>
  </si>
  <si>
    <t>SHIPMENT OF OFFICE EQUIPMENT TO BTR REGIONAL/PROVINCIAL OFFICES</t>
  </si>
  <si>
    <t>Contract ID: 20GOE0018 - Procurement of Supplies and Materials for NMDEO Roadside Maintenance Activities</t>
  </si>
  <si>
    <t>CONSTRUCTION OF MULTI-PURPOSE CENTER – PUROK 3-B, SAN MIGUEL, TAGUM CITY</t>
  </si>
  <si>
    <t>Purchase of (1) unit Split Type Aircon 2.5HP Including Installation (Capital Outlay 20% Realignment)</t>
  </si>
  <si>
    <t>SUPPLY, DELIVERY, INSTALLATION AND COMMISSIONING OF FIREWALL APPLIANCE FOR THE USE OF TIEZA (TWO (2) YEARS LICENSE SUBSCRIPTION)</t>
  </si>
  <si>
    <t>Labor and Materials for the Completion/Improvement of Carmen Municipal College</t>
  </si>
  <si>
    <t>Purchase of materials for rehabilitation of Motor Vehicle of Barangay Tungal San Luis Batangas</t>
  </si>
  <si>
    <t>20GME0050 –	Lease of One (1) Unit Service Vehicle for Eleven (11)  days for inspection/supervision of infrastructure projects within Sarangani Engineering District for the period of September 1-15, 20</t>
  </si>
  <si>
    <t>55 Pax Meals for Monitoring/Screening Team and Frontliners at Biliran Bridge for COVID-19 Crisis from July 8, 2020 to July 31, 2020</t>
  </si>
  <si>
    <t>SUPPLY AND DELIVERY OF TECATHERAPY MACHINE FOR  CALOOCAN CITY MEDICAL CENTER</t>
  </si>
  <si>
    <t>Contract ID: 20GOE0020 - Procurement of Lubricants, Welding Alloys, Mechanical Repair Sealants and Cleaners to be used in Maintenance Fabrication Works, Equipment Repair and Mechanical Maintenance Act</t>
  </si>
  <si>
    <t>PURCHASE OF TOOLS, PPE, HANDHELD RADIOS AND OTHER COMMUNICATION EQUIPMENT</t>
  </si>
  <si>
    <t>Procurement of Boar Engine</t>
  </si>
  <si>
    <t>Supply and Delivery of Construction Materials for Concrete Pavement of Farm-to-Market Road and Multi-Purpose Building at Barangay Vacante, Alcala, Pangasinan</t>
  </si>
  <si>
    <t>RFQ - Office Equipment</t>
  </si>
  <si>
    <t>Purchase of materials for rehabilitation of streetlights of Barangay Taliba San Luis Batangas</t>
  </si>
  <si>
    <t>Regravelling of Farm-to-Market Road at Barangay Anulid, Alcala, Pangasinan</t>
  </si>
  <si>
    <t>RFQ QUALITATIVE FIT TEST APPARATUS</t>
  </si>
  <si>
    <t>20GME0059 - Supply &amp; Delivery of Consumables for use of  Construction Section, Sarangani District  Engineering Office Alabel, Sarangani Province</t>
  </si>
  <si>
    <t>Supply and delivery of Chicken for livelihood assistance (PR 1341)</t>
  </si>
  <si>
    <t>Procurement of Early Warning Signages &amp; Flood Warning System</t>
  </si>
  <si>
    <t>CONCRETING OF SABARICOS STREET</t>
  </si>
  <si>
    <t>CONCRETING OF BARANGAY ROAD</t>
  </si>
  <si>
    <t>Supply and Delivering of Materials for the Improvement of Waterworks System</t>
  </si>
  <si>
    <t>PURCHASE OF 10 UNITS CELLPHONE &amp; 10 UNITS LAPTOP</t>
  </si>
  <si>
    <t>Procurement of Medical Supplies</t>
  </si>
  <si>
    <t>Laboratory Supplies (Vellum, Plastic cellophane)</t>
  </si>
  <si>
    <t>RFQ - GCMS Spare Parts</t>
  </si>
  <si>
    <t>PURCHASE OF UTENSILS AND VARIOUS ACCESSORIES UTILIZED FOR ISOLATION CENTER</t>
  </si>
  <si>
    <t>1 unit Scanner, A5 to A3, 11 x 17, photocopy, print with Pedestral/Table and other items for use in the City Assesor's Office/City Assesors Office</t>
  </si>
  <si>
    <t>Supply and Delivery of Fertilizers (MURIATE OF POTASH)</t>
  </si>
  <si>
    <t>PROCUREMENT OF VARIOUS MATERIALS FOR THE INSTALLATION OF NEW WATER SUPPLY FROM WATER SOFTENER TO I.M., HMOD AND FOR CONDENSER &amp; COOLING TOWER OF PFDA-ZFPC</t>
  </si>
  <si>
    <t>Concreting of Barangay Road at Brgy. Sampaloc 2, Sariaya, Quezon</t>
  </si>
  <si>
    <t>SUPPLY AND DELIVERY OF DRUGS AND MEDICINES FOR  CALOOCAN CITY MEDICAL CENTER</t>
  </si>
  <si>
    <t>Specimen Transport Box (Small &amp; Medium) for specimen storage and transport</t>
  </si>
  <si>
    <t>Supply and Delivery of Office Equipment PR/RFQ# 2020-06-121</t>
  </si>
  <si>
    <t>Contract ID: 20GOE0019 - Uniform Requirement for Roadside Maintenance Workers of the District</t>
  </si>
  <si>
    <t>Printing of DA RFU5 ANNUAL REPORT 2019 FOR DISTRIBUTION TO TARGET CLIENT</t>
  </si>
  <si>
    <t>Procurement of Laptop -MTO,Lopez Jaena</t>
  </si>
  <si>
    <t>Procurement of Vehicles Parts And Accessories</t>
  </si>
  <si>
    <t>Fencing of Garbage Dump Site</t>
  </si>
  <si>
    <t>Invitation to Bid for Take-Over of Contract for the Construction of Advanced Science and Technology Building (ASTB) Phase 1 of PSHS Central Luzon Campus Lily Hill, Clark Freeport Zone, Pampanga</t>
  </si>
  <si>
    <t>Supply and Delivery of Brand New 4 x 4 wheel Drive Automatic and Manual Transmission</t>
  </si>
  <si>
    <t>SUPPLY &amp; DELIVERY OF HDPE PIPE 3" &amp; PE TUBE 1"</t>
  </si>
  <si>
    <t>RFQ - Drug Test Materials</t>
  </si>
  <si>
    <t>20GME0048 –	Lease of One (1) Unit Service Vehicle for Ten (10)  days for inspection/supervision of infrastructure  projects within Sarangani Engineering District for  the period of August 1-15, 2020,</t>
  </si>
  <si>
    <t>Use for Bike Fun Ride 2020 in Celebration of 72nd Founding Anniversary</t>
  </si>
  <si>
    <t>Provision Of Runway Markers And Markings At Bulan Airport – 2nd SVP</t>
  </si>
  <si>
    <t>PURCHASE OF THE CONSTRUCTION MATERIALS FOR THE EXTENSION &amp; RENOVATION OF BARANGAY HALL OF BARANGAY BONGOL</t>
  </si>
  <si>
    <t>FABRICATION - FOOD LANDING COUNTER</t>
  </si>
  <si>
    <t>Procurement of Laboratory Supplies</t>
  </si>
  <si>
    <t>Labor and Materials for the Construction of Public Toilets at New Barrio, Calulut in the City of San Fernando, Pampanga</t>
  </si>
  <si>
    <t>Supply / Delivery of Catering Services</t>
  </si>
  <si>
    <t>Maintenance of Municipal Building (Renovation and Repair of Various Offices)</t>
  </si>
  <si>
    <t>Procurement of Office Equipment/Paraphernalia, DepEd )City Division Office), Baybay City,Leyte</t>
  </si>
  <si>
    <t>RE-PAINTING OF MULTI-PURPOSE BUILDING AT BRGY. NIUGAN CITY OF CABUYAO, LAGUNA</t>
  </si>
  <si>
    <t>Bidding for the Supply &amp; Delivery of Spare Parts &amp; Lubricants for the Repair &amp; Maintenance of Municipal Vehicle &amp; Heavy Equipments</t>
  </si>
  <si>
    <t>Procurement of Vehicle Rental (July 1-31, 2020) for Regions X, XI and XIII</t>
  </si>
  <si>
    <t>Supply and Delivery of aggregates for the Construction/Expansion of VF Gustilo CIP</t>
  </si>
  <si>
    <t>Contract ID: 20GOE0021 - Procurement of Painting Materials to be used in Routine Maintenance Activities within NMDEO Jurisdiction</t>
  </si>
  <si>
    <t>Purchase of Supplies for Dengue Control</t>
  </si>
  <si>
    <t>Lease of Various 6-Color Continuous Forms Press, Various Sheet Fed Press Machines and Finishing Equipment with Technical and Operational Support System (PB-05-20)</t>
  </si>
  <si>
    <t>2 units All in one Computer...</t>
  </si>
  <si>
    <t>Procurement of Various Agricultural Supplies</t>
  </si>
  <si>
    <t>PROCUREMENT  OF HARDWARE MATERIALS AND EQUIPMENT RENTAL FOR THE EXPANSION OF BAGSAKAN ROOFING (TEMPORARY STRUCTURE), PUBLIC MARKET, CALABANAGA, CAMARINES SUR</t>
  </si>
  <si>
    <t>FOR TELEPHONE EXPENSES</t>
  </si>
  <si>
    <t>20FJ0029 - Construction of One(1) Unit One(1) Storey One(1) Classroom School Building at Bagumbayan ES, Cataingan, Masbate</t>
  </si>
  <si>
    <t>Purchase of Uninterruptible Power Supply</t>
  </si>
  <si>
    <t>Supply of Tires for Case Backhoe Loader, 480F</t>
  </si>
  <si>
    <t>30 units Supply and Delivery of 8-Stage Air Purifier</t>
  </si>
  <si>
    <t>PURCHASE OF OFFICE EQUIPMENTS</t>
  </si>
  <si>
    <t>Improvement of Farm-to-Market Road at Busay (Revised) [Alternative Mode of Procurement]</t>
  </si>
  <si>
    <t>Purchase and delivery of Personal Protective Equipment - Face Shield to be distributed to frontliners</t>
  </si>
  <si>
    <t>Drugs - Isosorbide-Dinitrate 5mg Sublingual (3rd Posting)</t>
  </si>
  <si>
    <t>Contract ID: 20GOE0022 - Procurement of Supply and Delivery of Materials for Road Safety – Fixation of Concrete Barriers at Del Pan Bridge and Fly-Over</t>
  </si>
  <si>
    <t>Supply and Delivery of Office Supplies intended for the Senior High School Bridging Program for Grade 11</t>
  </si>
  <si>
    <t>Procurement of drugs and medicines to be use at MHO for the 2nd quarter of 2020</t>
  </si>
  <si>
    <t>SUPPLIES AND MATERIALS FOR TESDA PSAT COMMUNITY GARDEN/FAMILY GARDEN/ORGANIC FARM</t>
  </si>
  <si>
    <t>RFQ-NP-SVP-262-2020-Procurement of  Materials for  Renovation Improvement of the Registrar, Assessment and Cashier's Office for Oroquieta.</t>
  </si>
  <si>
    <t>Improvement/Renovation of Municipal Hall, Gerona, Tarlac</t>
  </si>
  <si>
    <t>FOR REPAIR OF DEFECTIVE WATER PIPELINE LEAKAGE AT SUGBONGCOGON RESERVOIR	GSD J-20-308</t>
  </si>
  <si>
    <t>Supply &amp; Delivery of Food Packs &amp; Hygiene Kits o fthe City Disaster Risk Reduction Office as Welfare Goods for Prepositioning in Ormoc City, CDRRMO, Ormoc City</t>
  </si>
  <si>
    <t>RFQ for the Supply and Delivery WebCam</t>
  </si>
  <si>
    <t>109.2020 GSRS</t>
  </si>
  <si>
    <t>Purchase of Office Supplies - MPDC</t>
  </si>
  <si>
    <t>Supply &amp; Delivery of Printing Supplies for Budget Office</t>
  </si>
  <si>
    <t>20FJ0030 - Construction of One(1) Unit One(1) Storey One(1) Classroom School Building at San Isidro Elementary School, Cataingan, Masbate</t>
  </si>
  <si>
    <t>SUPPLY AND DELIVERY OF BASIC FOOD COMMODITIES FOR COVID-19 OPERATIONS, LGU SFADS</t>
  </si>
  <si>
    <t>Supply and Delivery of One (1) lot Various Computer Supplies and Peripherals per PR# 2020-06-0283</t>
  </si>
  <si>
    <t>Supply and Delivery of Brand New 4 x 4 wheel Drive Automatic Transmission</t>
  </si>
  <si>
    <t>PROCUREMENT OF 500 TABLET ZINC 30 MG TABLET (B4-20-131)</t>
  </si>
  <si>
    <t>Supply of services in the Structural Design and Analysis...</t>
  </si>
  <si>
    <t>Opening of sitio Abibling Road, Tiongson, Ligao City</t>
  </si>
  <si>
    <t>Provision Of Runway Markers And Markings At Bacon Airport – 2nd SVP</t>
  </si>
  <si>
    <t>Supply and Delivery of 2 Unit Aircondition of PDRRMO Disaster Operation Center</t>
  </si>
  <si>
    <t>Labor and Materials (Backhoe)</t>
  </si>
  <si>
    <t>Lease of Various Paper Printing Machine, In-Line Digital Numbering and Bar Coding and Finishing Equipment with Operational and Technical Support System (PB-06-20)</t>
  </si>
  <si>
    <t>Procurement of medical, dental and laboratory supplies to be use at MHO for the 2nd quarter of 2020</t>
  </si>
  <si>
    <t>Purchase &amp; Delivery of Various Medical Supplies for DCMMH (Re-bid)</t>
  </si>
  <si>
    <t>Procurement of Electrical Supplies for Installation of Electrical Facility</t>
  </si>
  <si>
    <t>Procurement of One (1) unit Utility Van for Provincial Government of Surigao del Sur (PGSO).</t>
  </si>
  <si>
    <t>PURCHASE OF ACCESSORIES FOR ISOLATION AREA</t>
  </si>
  <si>
    <t>REFURBISHING OF CONTAINERS FOR CUSTOMER CARE CENTER</t>
  </si>
  <si>
    <t>Procurement of I.T equipment to be use at Sangguniang Bayan Secretariat</t>
  </si>
  <si>
    <t>Procurement of Security Services (Contract No. RO-PG2020-001)</t>
  </si>
  <si>
    <t>RFQ-NP-SVP-re246-2020- Procurement of   Development of Twin-Screw Extruder Machine with Filling Injector.</t>
  </si>
  <si>
    <t>PROCUREMENT OF FULLY-EQUIPPED RESCUE VEHICLE</t>
  </si>
  <si>
    <t>REACH IN FREEZER</t>
  </si>
  <si>
    <t>Opening of sitio Boundary to sitio Pasto Road, Balanac, Ligao City</t>
  </si>
  <si>
    <t>190 pc FOUR LUMEN THERMODILUTION CATHETER F7</t>
  </si>
  <si>
    <t>20FJ0031 - Construction of One(1) Unit One(1) Storey One(1) Classroom School Building at Calabad ES, Dimasalang, Masbate</t>
  </si>
  <si>
    <t>SUPPLY AND DELIVERY OF HIGH SPEED BLACK INKJET PRINTING MACHINES  FOR DIVISION OF CITY SCHOOLS</t>
  </si>
  <si>
    <t>Supply and Delivery of P. E.  Equipment and Supplies - Ref.  PR 3314 CSS</t>
  </si>
  <si>
    <t>Purchase of various office supplies of different offices of the Municipality of San Enrique, Iloilo</t>
  </si>
  <si>
    <t>Photo Copier Machine for Local School Board use</t>
  </si>
  <si>
    <t>Request for Quotation - COMPUTER SUPPLIES FOR THE SECOND QUARTER OF Y2020 - HBC &amp; OVP</t>
  </si>
  <si>
    <t>Supply and Delivery of Office Equipment for Provincial Governor's Sub-Office, Buenavista Sablayan Occidental Mindoro</t>
  </si>
  <si>
    <t>Purchase and delivery of brand new modern jeepney to be used by the City Government of Calapan</t>
  </si>
  <si>
    <t>Procurement of Chairs</t>
  </si>
  <si>
    <t>2800 PC NITRILE EXAMINATION GLOVES, MEDIUM, HYPOALLERGENIC LATEX FREE AND POWDER FREE</t>
  </si>
  <si>
    <t>RFQ-NP-SVP-re258-2020-Procurement of  Office  Equipment for Balubal Campus.</t>
  </si>
  <si>
    <t>Purchase &amp; Delivery of Various Medical Supplies  for PVET</t>
  </si>
  <si>
    <t>FOR FIELD OFFICE CLEANING SUPPLIES</t>
  </si>
  <si>
    <t>Procurement of ICT Equipment and Printers for HRAO (PNPTR-HRAO-DP-20-07)</t>
  </si>
  <si>
    <t>Polyethylene Plastic Drum, Used</t>
  </si>
  <si>
    <t>Expenses to be used for the virtual workshop and sports clinic 2020</t>
  </si>
  <si>
    <t>2020-06-0168  Supply and delivery of materials for the for use in the painting/repainting activities along Kapalong-Talaingod-Valencia and Jct. SH Aglayan-Zamboanguita road section</t>
  </si>
  <si>
    <t>Procurement of Agricultural Supplies, LGU-CAO, Baybay City, Leyte</t>
  </si>
  <si>
    <t>Request for Quotation (9mm Pistol)</t>
  </si>
  <si>
    <t>Rebidding of Construction of Multi-Purpose Building with Storage Room and Two Public Comfort Room at Brgy. Tumbaga 1, Sariaya, Quezon</t>
  </si>
  <si>
    <t>RFQ-SUPPLY &amp; DELIVERY OF IOS PHONE (iPHONE 8 PLUS)</t>
  </si>
  <si>
    <t>Procurement of spare parts and accessories for Nissan Frontier</t>
  </si>
  <si>
    <t>Bidding for delivery of drugs and medicines to be distributed to different barangays</t>
  </si>
  <si>
    <t>Messengerial Services for SSS Iba Branch for the year 2020</t>
  </si>
  <si>
    <t>Supply and delivery of Goods for R&amp;M Building of 83IB,9ID,PA (204,500.00)</t>
  </si>
  <si>
    <t>Supply &amp; Delivery of Three (3) Units Brand New Service Vehicles of the City Engineer's Office, Ormoc City</t>
  </si>
  <si>
    <t>Improvement of Multi-Purpose Building, (Civic Center), Brgy. Maslug, Baybay City, Leyte</t>
  </si>
  <si>
    <t>Procurement of Spare Parts for Construction and Heavy Equipment (2nd Qtr) - MOTORPOOL</t>
  </si>
  <si>
    <t>Procurement of the supply of labor and materials for the rehabilitation of air-conditioning ducting system at 4th floor of industry and investment building</t>
  </si>
  <si>
    <t>PROCUREMENT OF  VARIOUS HARDWARE MATERIALS FOR THE REPAIR OF ICE STORAGE ROOM OF PFDA-ZFPC</t>
  </si>
  <si>
    <t>Security Services - 1 Licensed Security Guard</t>
  </si>
  <si>
    <t>Materials for nursery construction at Calapan City Sanitary Landfill</t>
  </si>
  <si>
    <t>Request for Quotation (External Hard Drive, etc.)</t>
  </si>
  <si>
    <t>06-020-20 Soil Sampling Apparatus and Stainless Steel Mesh Sieve Set</t>
  </si>
  <si>
    <t>Construction of Line Canal @ Barangay. Poblacion 6, Sariaya, Quezon</t>
  </si>
  <si>
    <t>Drugs - Vancomycin 500mg Inj. (HCL) (3rd Posting)</t>
  </si>
  <si>
    <t>8 BOX HEMOSIL APTT-SP (LIQUID)</t>
  </si>
  <si>
    <t>Food Supplies (Office Supplies (Custody, Safekeeping &amp; Development of Inmates CY 2020)</t>
  </si>
  <si>
    <t>Purchase and delivery of supplies and materials of Calapan Public Market</t>
  </si>
  <si>
    <t>Supply, Delivery and Installation of Railings @ Gate 2</t>
  </si>
  <si>
    <t>Ref. No. 2020-06-392 : Procurement of Two (2) External Real Estate Appraisal-Service Providers (EREASPs) for the Land Appraisal of the Commercial Area within Madayaw Residences located in Brgy. Bangka</t>
  </si>
  <si>
    <t>60 PC RESUSCITATOR BAG, DISPOSABLE, ADULT</t>
  </si>
  <si>
    <t>Supply &amp; Delivery of Two (2) Units Brand New Service Vehicles of the City Mayor's Office, Ormoc City</t>
  </si>
  <si>
    <t>RFQ: Supplies for Fabrication of Side Car (PR #20-06-569)</t>
  </si>
  <si>
    <t>PURCHASE OF COMPUTER WITH PRINTER AND LAPTOP, CMO-ADMIN, CALBAYOG CITY</t>
  </si>
  <si>
    <t>Supply and Delivery of Personalized Inventory Sticker for PPE Tagging</t>
  </si>
  <si>
    <t>J.O. Labor and materials for the Fabrication and installation of modular partition of accounting and budget section at FITC Bldg. (second floor) BFAR-RO2</t>
  </si>
  <si>
    <t>Rebidding of Procurement of Two (2) Units of Water Tank Truck</t>
  </si>
  <si>
    <t>Supply, Delivery, Installation, Testing, And Commissioning  Of Airconditioning Units At CAAP Legazpi Airport</t>
  </si>
  <si>
    <t>Purchase &amp; Delivery of One (1) Unit Service Utility Vehicle for PGO-PSG</t>
  </si>
  <si>
    <t>Supply and delivery of various veterinary supplies for Livestock Program (PR 460)</t>
  </si>
  <si>
    <t>Supply and deliver of office cartridges (PR 453)</t>
  </si>
  <si>
    <t>Request for Quotation (Medicine for Acute Illnesses)</t>
  </si>
  <si>
    <t>Supply and Delivery of Grader Tire for use in this Municipality</t>
  </si>
  <si>
    <t>20GJC0216 – Equipment Rental: 12.5 days Cargo truck/Delivery Truck etc.</t>
  </si>
  <si>
    <t>Provision of Potable Water System</t>
  </si>
  <si>
    <t>Supply / Delivery of Hospital Supplies</t>
  </si>
  <si>
    <t>School Supplies</t>
  </si>
  <si>
    <t>Improvement of Multi-Purpose Hall located at Barangay Jona, Tubungan, Iloilo</t>
  </si>
  <si>
    <t>Procurement of Computer with Complete Accessories- MO  .Lopez Jaena</t>
  </si>
  <si>
    <t>JOB REQUEST OF GENERAL PEST CONTROL AND TREATMENT FOR MAINTENANCE OF EMB V SORROUNDINGS</t>
  </si>
  <si>
    <t>ITB-GS-20200608-01 - Two (2) Years Subscription of Dark Fiber Facility</t>
  </si>
  <si>
    <t>Request for Quotation (Laboratory and PT Supplies)</t>
  </si>
  <si>
    <t>EBMS -ADO WITH PUMP (2ND POSTING)</t>
  </si>
  <si>
    <t>Training and Assessment on Motorcyle/Small Engine NCII (Inclusive of Materials)</t>
  </si>
  <si>
    <t>SUPPLY &amp; DELIVERY OF MATERIALS FOR THE REPAIR OF CLASSROOM @ BANTUANON ELEM SCHOOL</t>
  </si>
  <si>
    <t>20AB0122 : CONSTRUCTION OF TWO (2) STOREY - FOUR (4) CLASSROOM SCHOOL BUILDING, (305491) CITY OF BATAC NHS RAYURAY, BATAC CITY</t>
  </si>
  <si>
    <t>Supply and delivery of Materials for Concreting of Road (Improvement) in Pansacola St., Barangay Bagong Bayan, Mauban, Quezon</t>
  </si>
  <si>
    <t>PROCUREMENT OF PREPAID LOAD CARDS</t>
  </si>
  <si>
    <t>PUNONG ES RFQ (APRIL 2020)</t>
  </si>
  <si>
    <t>SUPPLY OF LABOR AND MATERIALS FOR THE CONSTRUCTION OF ATM BOOTH (LGU AJUY)</t>
  </si>
  <si>
    <t>Concreting of Municipal Streets</t>
  </si>
  <si>
    <t>REPAIR AND MAINTENANCE OF SERVICE VEHICLE</t>
  </si>
  <si>
    <t>EBMS -STAPLE WIRE &amp; 2 OTHERS (3RD POSTING)</t>
  </si>
  <si>
    <t>REPAIR OF PILAR ELEM SCHOOL BUILDING, BRGY, PILAR, CALBAYOG CITY</t>
  </si>
  <si>
    <t>2020-06-0161  Supply and delivery of various spareparts for use in the replacement of worn-out parts of Toyota Hilux ACU-4072 W/ dpwh No. HI-7771. Assigned in the Construction section, DPWH-Malaybalay</t>
  </si>
  <si>
    <t>Procurement of Garbage Compactor, LGU, Baybay City, Leyte</t>
  </si>
  <si>
    <t>PURCHASE AND DELIVERY OF HARDWARE MATERIALS FOR THE PROVISION OF SANITARY TOILETS WITH SEPTIC TANK, Can-avid Eastern Samar</t>
  </si>
  <si>
    <t>2020-06-0165  Supply and delivery of Toner for use in the operation of Develop Ineo +226 printer with SN:A90H141000168 of Records management unit, Administrative section, DPWH-Malaybalay City</t>
  </si>
  <si>
    <t>RFQ - Proposed Eight (8) Classrooms Temporary Learning Shelter (Labi-Labi NHS)</t>
  </si>
  <si>
    <t>Supply and Delivery of Construction Materials Tools and Equipment for Maintenance of Paluan - Pamutusin P/R</t>
  </si>
  <si>
    <t>Labor and Materials for the Continuation of Development/Rehabilitation of Public Market</t>
  </si>
  <si>
    <t>Purchase of Surgical Mask &amp; N95 Mask</t>
  </si>
  <si>
    <t>Purchase and delivery of Evacuation Modular Tent for Isolation Areas</t>
  </si>
  <si>
    <t>Request for Quotation (Nursing Supplies)</t>
  </si>
  <si>
    <t>500 GAL ANTIBACTERIAL LIQUID HAND SOAP</t>
  </si>
  <si>
    <t>PROCUREMENT ON SUPPLY AND DELIVERY OF VARIOUS OFFICE SUPPLIES (1st and 2nd Quarter)</t>
  </si>
  <si>
    <t>Procurement of CY 2020 Fuel, Oil and Lubricants Requirements for TFBL Project</t>
  </si>
  <si>
    <t>Improvement/Construction of Old Public Market (Public Market Roof Extension), Gerona, Tarlac</t>
  </si>
  <si>
    <t>SUPPLYING VARIOUS ICT TOOLS AND EQUIPMENT</t>
  </si>
  <si>
    <t>PURCHASE OF DIESEL/FUEL</t>
  </si>
  <si>
    <t>Purchase of Office Equipments for LGU 1st &amp; 2nd Quarter</t>
  </si>
  <si>
    <t>Supply and Delivery of Various Tarpaulin for Various Projects</t>
  </si>
  <si>
    <t>Electronic System Development and Maintenance Program under PR#2020-06-2565</t>
  </si>
  <si>
    <t>2020-06-0159  Supply and Delivery of materials for the use in the improvement of earth canal along JCT SH-Aglayan-Alanib-Ticalaan Road (Sta. K1557+250, K1529+099, and K1559+180)</t>
  </si>
  <si>
    <t>20AB0123 : CONSTRUCTION OF ONE (1) STOREY - FOUR (4) CLASSROOM SCHOOL BUILDING, (100241) DON MARIANO MEMORIAL SCHOOL, PINILI, ILOCOS NORTE</t>
  </si>
  <si>
    <t>PR NO. 1598 DOOR LOCK SYTEM</t>
  </si>
  <si>
    <t>EBMS -GREASE &amp; 9 OTHERS (5TH POSTING)</t>
  </si>
  <si>
    <t>ORIENTATION AND TRAINING ON PEACEKEEPING AND THEIR ROLES - MEALS&amp;SNAKS</t>
  </si>
  <si>
    <t>Procurement of Biometric</t>
  </si>
  <si>
    <t>20JI0067-Construction of One (1) Unit Two (2) Storey Six (6) Classroom School Building at Balangao ES, Diplahan, Zamboanga Sibugay</t>
  </si>
  <si>
    <t>20AB0124 : CONCRETING OF SITIO KAPPIA TO SITIO MURMURAY, BRGY. NAGBACALAN FMR, BRGY. NAGBACALAN, PAOAY, ILOCOS NORTE</t>
  </si>
  <si>
    <t>2020-06-0146   Supply and delivery of 7 units Smartphone for use in the documentation of various construction projects, includes Geo-Tagging, for pcma (project and contract management application), bi</t>
  </si>
  <si>
    <t>Procurement of 1 Unit Inverter Split Type Aircon 1hp for the use of the Office of the Vice-Governor</t>
  </si>
  <si>
    <t>2020-05-0087 - SUPPLY AND DELIVERY OF 400 SETS OF RAPID TEST KITS TO BE USED IN DETECTING EMPLOYEES POSSIBLY INFECTED WITH THE CORONA VIRUS DISEASE 2019 (COVID 19)</t>
  </si>
  <si>
    <t>SUPPLY AND DELIVERY OF RISOGRAPH PRINTING INKS AND  CONSUMABLES FOR DIVISION OF CITY SCHOOLS</t>
  </si>
  <si>
    <t>RFQ No.: 2020 – 109 - Battery Tricle Charger, 6A, 220V</t>
  </si>
  <si>
    <t>Concreting of Barangay Road</t>
  </si>
  <si>
    <t>RFQ: Construction Supplies (PR #20-05-535)</t>
  </si>
  <si>
    <t>Request for Quotation for Office Supplies (219,100.00)</t>
  </si>
  <si>
    <t>Supply and delivery of Vehicle Parts &amp; Accessories for the Repair &amp; Maintenance of MU-X with Plate No. CP-9165</t>
  </si>
  <si>
    <t>PUNONG ES RFQ (MAY 2020)</t>
  </si>
  <si>
    <t>20GJC0218 – Equipment Rental: 5.93 days One Bagger Mixer etc.</t>
  </si>
  <si>
    <t>Supply and delivery of Survey Equipment for K2MIPP Survey Personnel</t>
  </si>
  <si>
    <t>20GJC0217 – Equipment Rental: 11.25 days Cargo Truck/Delivery Truck etc.</t>
  </si>
  <si>
    <t>EBMS -AIRCON OUTLET &amp; 1 OTHER (3RD POSTING)</t>
  </si>
  <si>
    <t>materials for Construction of Solar Drier Purok San Roque Kinuban, Maco Davao de Oro</t>
  </si>
  <si>
    <t>600 PC VENTILATOR CIRCUIT (ADULT) W/O EXHALATION VALVE</t>
  </si>
  <si>
    <t>medical dental lab supplu amounting PHP500,000.00</t>
  </si>
  <si>
    <t>Materials for the repair/rehab of streetlights at Biga</t>
  </si>
  <si>
    <t>Construction of Multi-purpose Buildings/Feeding Centers</t>
  </si>
  <si>
    <t>Construction of Safe Closure and Rehabilitation of Open Dumpsite (MO/ESWMP)</t>
  </si>
  <si>
    <t>Supply &amp; Installation of Protective Structures of the City Agriculture Office for Distribution to Various Barangays in Ormoc City, City Agriculture's Office, Ormoc City</t>
  </si>
  <si>
    <t>160 PC ADULT SOMASENSOR INVOS ELECTRODES</t>
  </si>
  <si>
    <t>Completion of Slaughter House</t>
  </si>
  <si>
    <t>DES -NAPKIN PAPER &amp; 2 OTHERS (2ND POSTING)</t>
  </si>
  <si>
    <t>SUPPLY &amp; DELIVERY OF HDPE PIPE 6"</t>
  </si>
  <si>
    <t>SUPPLY &amp; DELIVERY OF HDPE PIPE 6" &amp; 4"</t>
  </si>
  <si>
    <t>Fabrication of Hospital Bench, Wood</t>
  </si>
  <si>
    <t>POTABLE WATER SUPPLY</t>
  </si>
  <si>
    <t>Installation of 4-units handwashing facilities</t>
  </si>
  <si>
    <t>PROCUREMENT OF VARIOUS MATERIALS FOR THE INSTALLATION OF NEW SETS OF HERRING BONE COILS OF ICE MAKING NO.2 OF PFDA-ZFPC</t>
  </si>
  <si>
    <t>Expenses for MPA Assessment of FMO</t>
  </si>
  <si>
    <t>RFQ 2019-11-0854-DORMITORY SUPPLIES</t>
  </si>
  <si>
    <t>Supply and Delivery of One Lot Heavy Equipment</t>
  </si>
  <si>
    <t>PROCUREMENT OF VARIOUS MATERIALS FOR THE REPAIR OF MOTOR DRIVEN ICE CRUSHER OF PFDA-ZFPC</t>
  </si>
  <si>
    <t>Printer/IT equipment</t>
  </si>
  <si>
    <t>VHMCP – PAPER, MULTI-COPY, 80GSM, 210 X 297, A4 500’S</t>
  </si>
  <si>
    <t>SUPPLY AND DELIVERY OF COMPUTER FOR THE CAFA</t>
  </si>
  <si>
    <t>RFQ: Office Supplies (PR #20-06-591)</t>
  </si>
  <si>
    <t>Procurement of Various Supplies for COVID 19 Response</t>
  </si>
  <si>
    <t>ROAD CONCRETING, Purok Panagdait, Balidbid, Santa Fe, Cebu - Municipal</t>
  </si>
  <si>
    <t>Concreting of Road at Juan Ambat Road, Barangay Parang, Bagac, Bataan</t>
  </si>
  <si>
    <t>Procurement of Server for the Epidemiology Bureau (EB) Emergency Operation Center (EOC) System under IB No. 2020-227</t>
  </si>
  <si>
    <t>PUCHASE OF MULTI PURPOSE VEHICLE FOR THE USE OF BARANGAY PAKIAD OTON,ILOILO</t>
  </si>
  <si>
    <t>Purchase of Various Medical Supplies</t>
  </si>
  <si>
    <t>Supply and delivery of Vehicle Parts, Accessories &amp; Labor Cost for the Repair &amp; Maintenance (Change Oil) of Ford Ranger (MDRRMC Vehicle)</t>
  </si>
  <si>
    <t>Supply and delivery of Vehicle Parts, Accessories &amp; Labor Cost for the Repair &amp; Maintenance of MU-X with Plate No. CP-9165</t>
  </si>
  <si>
    <t>Purchase of Aircondition</t>
  </si>
  <si>
    <t>20AB0125 : CONCRETING OF BRGY. POBLACION 1-PANGIL FMR, BRGY. 1 AND BRGY. PANGIL, CURRIMAO, ILOCOS NORTE</t>
  </si>
  <si>
    <t>Supply and delivery of Vehicle Parts &amp; Accessories for the Repair &amp; Maintenance of Garbage Truck with Plate No. SKU-652</t>
  </si>
  <si>
    <t>Procurement of One (1) Lot Service Provider for Development and Maintenance of Online Systems for DOLE XI Programs</t>
  </si>
  <si>
    <t>Supply and Delivery of Chemical Storage Cabinet, PR# 2020-06-0389</t>
  </si>
  <si>
    <t>Labor and materials for the proposed repair of perimeter fence located at CBTOS, Pata, Claveria Cagayan</t>
  </si>
  <si>
    <t>CONCRETING OF FARM TO MARKET ROAD, BRGY. LAOAG, SAN AGUSTIN, ISABELA</t>
  </si>
  <si>
    <t>SUPPLY &amp; DELIVERY OF VARIOUS SPAREPARTS</t>
  </si>
  <si>
    <t>STREET LIGHTING, NHA, Marikaban, Santa Fe, Cebu - Municipal</t>
  </si>
  <si>
    <t>ICTMU : ICT DEVICES AND EQUIPMENT TO BE USE FOR VIDEO CONFERENCE</t>
  </si>
  <si>
    <t>Invitation to Bid for the Construction of Pathways at Quinastillojan, Tabaco City</t>
  </si>
  <si>
    <t>Improvement of Water System</t>
  </si>
  <si>
    <t>Construction of Additional One (1) Span of Multi-Purpose Open Space</t>
  </si>
  <si>
    <t>RFQ - Procurement of Goods: Const'n Materials &amp; Supplies for the use of CEEO-Admin (Repair &amp; Maintenance of City Gov't Bldg.) (PR#100-20-06-0298)</t>
  </si>
  <si>
    <t>Purchase of Rapid Anti-body Test for COVID-19.</t>
  </si>
  <si>
    <t>06-021-20 Veterinary Supplies for LIVESTOCK (Animal Health Program)</t>
  </si>
  <si>
    <t>06-016-20 (Supply and Delivery of Various REGISTERED RICE SEEDS)</t>
  </si>
  <si>
    <t>DES -WATER, PURIFIED, REFILL (1ST POSTING)</t>
  </si>
  <si>
    <t>Supply And Delivery Of Range Finder For SMO Of Legazpi Airport</t>
  </si>
  <si>
    <t>20FJ0032 - Construction of One(1) Unit One(1) Storey One(1) Classroom School Building at  N.B. Cabrera ES, Dimasalang, Masbate</t>
  </si>
  <si>
    <t>20AB0126 : CONCRETING OF BUROK BARANIW, BRGY. PARATONG FMR, BRGY. PARATONG, PAOAY, ILOCOS NORTE</t>
  </si>
  <si>
    <t>Repair &amp; Maintenance of Other Structure (OESPA-PhP50,000.00)</t>
  </si>
  <si>
    <t>Procurement of Marine/Fisheries Equipment, LGU-CMMRO, Baybay City, Leyte</t>
  </si>
  <si>
    <t>TOPOGRAPHIC AND RELOCATION SURVEY OF VARIOUS LGU OWNED LOTS</t>
  </si>
  <si>
    <t>Rehabilitation of Drainage Canal along Purok Sunrise, Saranay, Bonifacio St. Phase 1 of Poblacion, Kabacan,Cotabato</t>
  </si>
  <si>
    <t>Rehabilitation of Department of Health (DOH) Campus Wide Network under IB No. 2020-228</t>
  </si>
  <si>
    <t>20JI0111-Construction of One (1) Unit One (1) Storey Three (3) Classroom School Building at Kauswagan ES, Diplahan, Zamboanga Sibugay</t>
  </si>
  <si>
    <t>Construction of Bleacher</t>
  </si>
  <si>
    <t>(DDH) INVITATION TO BID FOR THE SUPPLY AND DELIVERY OF ONE (1) UNIT DEFIBRILLATOR WITH PADDLE</t>
  </si>
  <si>
    <t>Supply and Delivery of Various Plumbing Supplies as per PR 20-01-0078A</t>
  </si>
  <si>
    <t>Construction of Lambunao Fire Station Building</t>
  </si>
  <si>
    <t>Supply and Delivery of Food commodities</t>
  </si>
  <si>
    <t>WWS_Submersible Pump Motor with Accessories</t>
  </si>
  <si>
    <t>Supply and installation of Panel Board to be used in Tanauan City Sports Academy.</t>
  </si>
  <si>
    <t>cellphone card</t>
  </si>
  <si>
    <t>Purchase of Meals to be served to the Visitors Of Sangguniang Bayan Office and Budget Forum 2021 in the Municipality of Maragondon, Cavite</t>
  </si>
  <si>
    <t>ITB 06-02-2020 Item A</t>
  </si>
  <si>
    <t>FURNISHING AND DELIVERY OF SEEDLINGS FOR ON-FARM AGROFORESTRY AT  SANGUIT AND GANAO</t>
  </si>
  <si>
    <t>PROCUREMENT OF SUPPLIES AND MATERIALS FOR IM WRITING SEMINAR WORKSHOP</t>
  </si>
  <si>
    <t>06-022-20 Supply and Delivery of RUBBER BOOTS</t>
  </si>
  <si>
    <t>MO-PNP_Fuel</t>
  </si>
  <si>
    <t>20HM0090 (Re-IB)-MOOE – Maintenance, Repair and Rehabilitation of Infrastructure Facilities and Other Related Activities – Repair and Maintenance of Road Safety Facilities</t>
  </si>
  <si>
    <t>Procurement of Basic Advance Flight &amp; Training Course</t>
  </si>
  <si>
    <t>Rehabilitation of Old City Hall Building (Comfort Room)</t>
  </si>
  <si>
    <t>Calcium Hypochlorite Granular</t>
  </si>
  <si>
    <t>labor for the construction of solar dreyer prk san roque, maco davao de oro</t>
  </si>
  <si>
    <t>PURCHASE OF BILOGICS IN SUPPORT TO FREE RANGE CHICKEN PRODUCTION</t>
  </si>
  <si>
    <t>Supply and Delivery of i unit Mini Elf/Multicab for use in the delivery of farm inputs, equipment and materials</t>
  </si>
  <si>
    <t>supply and delivery of laboratory supplies to be used at Regional Soils Laboratory with PR# 310 dated 6/24/2020 with an ABC 445,200.00</t>
  </si>
  <si>
    <t>Procurement of Various Supplies for Learners</t>
  </si>
  <si>
    <t>Supply and delivery of Food for RHU Personnel during Covid-19 duty</t>
  </si>
  <si>
    <t>Supply and Delivery of Various Filing Cabinet</t>
  </si>
  <si>
    <t>20FJ0033 - Construction of One(1) Unit One(1) Storey One(1) Classroom School Building at  Chimenea ES, Cataingan, Masbate</t>
  </si>
  <si>
    <t>Telephone Mobile Expenses (PDO-88,100.00)</t>
  </si>
  <si>
    <t>Purchase of Office supplies for CGSO stock purposes.</t>
  </si>
  <si>
    <t>RFQ for MOOE for the Month of MAY 2020</t>
  </si>
  <si>
    <t>20AB0127 : CONCRETING OF SITIO BUGA TO CURRIMAO ROAD FMR, BRGY. SIDEG, PAOAY, ILOCOS NORTE</t>
  </si>
  <si>
    <t>Continuation of Walling of the Multi-Purpose Hall/Gym</t>
  </si>
  <si>
    <t>Purchase of hardware supplies  to be used in Sambat Birthing Home Generator set housing.</t>
  </si>
  <si>
    <t>PROCUREMENT AND DELIVERY OF  ONE (1) UNIT AMBULANCE</t>
  </si>
  <si>
    <t>2020-06-150</t>
  </si>
  <si>
    <t>Supply and Delivery of Construction materials for Paglaum Housing for informal settlers @ Little Baguio, San Fernando, Bukidnon</t>
  </si>
  <si>
    <t>Procuremt of Various Appliances</t>
  </si>
  <si>
    <t>06-018-20 (Testing Kits for Agricultural Engineers for Agricultural Machinery and Equipments)</t>
  </si>
  <si>
    <t>CONSTRUCTION OF SLOPE PROTECTION AND CONCRETE PAVEMENT</t>
  </si>
  <si>
    <t>Rehabilitation of Drainage Canal along Bonifacio St. Phase II, Poblacion, Kabacan, Cotabato</t>
  </si>
  <si>
    <t>Improvement of Multi-purpose Building</t>
  </si>
  <si>
    <t>EBMS -CALIBRATION OF PIPETTORS (1ST POSTING)</t>
  </si>
  <si>
    <t>2020-06-289 PROCUREMENT OF VEHICLE PARTS AND ACCESSORIES - PGO</t>
  </si>
  <si>
    <t>DRILLING AND PIPELAYING PROJECT IN BARANGAY LIPAY</t>
  </si>
  <si>
    <t>Procurement of acrylic covers for NCCA Ground Floor</t>
  </si>
  <si>
    <t>Installation of Transformer - MDRRMO</t>
  </si>
  <si>
    <t>Improvement of Facilities - PNP</t>
  </si>
  <si>
    <t>Video service for the including filming of five story telling videos</t>
  </si>
  <si>
    <t>FRONT LOAD WASHING MACHINE</t>
  </si>
  <si>
    <t>AMP SVP-D NO: 20-06-0323C Medals</t>
  </si>
  <si>
    <t>Supply and Delivery of Various Carpentry Supplies as per PR 20-01-0065A</t>
  </si>
  <si>
    <t>Purchase of Tshirt with Print used in Womens Month Celebration of LGU Maragondon, Cavite</t>
  </si>
  <si>
    <t>20HH0145-Repair / Rehabilitation of Roadslips, Slope Collapse and Landslide – Secondary Roads – Cebu – Balamban Transcentral Highway – K0019+700 - KM0019+730, Cebu City</t>
  </si>
  <si>
    <t>ICT for Blended Learning</t>
  </si>
  <si>
    <t>Supply and Delivery of Goods for R&amp;M Motor Vehicle of 83IB,9ID,PA (269,000.00)</t>
  </si>
  <si>
    <t>Purchase of Emergency Response Vehicle</t>
  </si>
  <si>
    <t>Spare Parts for Mini Dump  Truck</t>
  </si>
  <si>
    <t>Risograph Long for SAP intended for Covid 19 Pandemic.</t>
  </si>
  <si>
    <t>REPAIR/REHABILITATION OF TIMBER BRIDGE @ PUROK STA. CRUZ,SAN PABLO 1 &amp; SAN PABLO 2 (PACKAGE 01-2020)</t>
  </si>
  <si>
    <t>Supply and Delivery of Water Hand Pump ITB No. 2020-163</t>
  </si>
  <si>
    <t>ITB 06-02-2020 Item B</t>
  </si>
  <si>
    <t>PROVISION OF CATERING SERVICES AND ACCOMMODATION ON THE CONDUCT OF WORKSHOP ON THE QUALITY MANAGEMENT SYSTEM MANUAL</t>
  </si>
  <si>
    <t>Procurement of Office Supplies  Supplies &amp; Devices</t>
  </si>
  <si>
    <t>Supply and Delivery of 2 units Air condition (Window Type) with an ABC of P132,714.00 &amp; PR#DA3-6-16-192</t>
  </si>
  <si>
    <t>Construction of San Jose Fire Station Building</t>
  </si>
  <si>
    <t>RFQ PR NO. 933_SINGLE MOTORCYLE</t>
  </si>
  <si>
    <t>CONCRETING OF FARM TO MARKET ROAD, QUIMALABASA NORTE, SAN AGUSTIN, ISABELA</t>
  </si>
  <si>
    <t>Procurement of Animal feeds (PCC)</t>
  </si>
  <si>
    <t>20AB0128 : CONCRETING OF SITIO BUGA TO SITIO BING-IT, BRGY. STA. RITA FMR, BRGY. STA. RITA, PAOAY, ILOCOS NORTE</t>
  </si>
  <si>
    <t>Environmental Health/Safety Equipment</t>
  </si>
  <si>
    <t>RFQ 2020-02-0164-BOOKS</t>
  </si>
  <si>
    <t>Motorpool_Diesel Fuel_0039</t>
  </si>
  <si>
    <t>Table &amp; Chairs- ileac</t>
  </si>
  <si>
    <t>school and office supplies</t>
  </si>
  <si>
    <t>PIPELAYING PROJECT IN BACAG WEST</t>
  </si>
  <si>
    <t>Repair of Drainage at Ipil National High School, Brgy. Ipil, JICA-Lao Elementary School, Linao Elementary School, Brgy. Linao, Curva Elementary School, Brgy. Curva, San Juan Elemetary School, Brgy. Sa</t>
  </si>
  <si>
    <t>Request for Quotation for the Purchase of Construction Materials for the Repair of Day Care Center at San Isidro-Iraya, Malilipot, Albay</t>
  </si>
  <si>
    <t>Supply and Delivery of four (4) units stair chair for the use of CDRRMO for Emergency Response Operations before, during and after disaster</t>
  </si>
  <si>
    <t>Request For Quotation-SCUBA DIVING TRAINING FOR DENR PERSONNEL FOR 2ND QTR CY 2020 OF PASU-SIPLAS-Php80,000.00</t>
  </si>
  <si>
    <t>Construction of Barotac Viejo Fire Station Building</t>
  </si>
  <si>
    <t>Procurement of Printing Supplies (Toners &amp; Ink )</t>
  </si>
  <si>
    <t>Notice of PRocurement and RFQ for 2020-06-0011 - Procurement of Tires for Service Vehicle, Toyota Hi-Ace, Conduction Sticker No. YW 5708, DPWH No. H1-5833</t>
  </si>
  <si>
    <t>20AB0129 : CONCRETING OF SITIO USAT, BRGY. BOMITOG FMR, BRGY. BOMITOG, BANNA, ILOCOS NORTE</t>
  </si>
  <si>
    <t>Purchase of Computer Laptop with Accessories</t>
  </si>
  <si>
    <t>Gravelling of FMR and Concreting of FMR Purok 3</t>
  </si>
  <si>
    <t>Notice of Procurement &amp; RFQ for 2020-06-0013 - Procurement of Automatic Temperature Induction and Disinfection AIO (All-in-One) Machine for use in the DPWH Regional Office No. III</t>
  </si>
  <si>
    <t>REHABILITATION/IMPROVEMENT OF DISTRIBUTION PIPES</t>
  </si>
  <si>
    <t>Completion of Multi-Purpose Center 20% 2020</t>
  </si>
  <si>
    <t>MDRRMO_Food Supplies_0093</t>
  </si>
  <si>
    <t>Procurement of Medicines and Vitamins for the use of RHU and FP Center</t>
  </si>
  <si>
    <t>Proposed Earthfilling</t>
  </si>
  <si>
    <t>CONSTRUCTION OF MRF MULTI-PURPOSE BUILDING (COVERED COURT)</t>
  </si>
  <si>
    <t>Supply and Delivery of Medicine Kit &amp; Spine Board for School DRRM</t>
  </si>
  <si>
    <t>Purchase of Citation Ticket for used in traffic violation in LGU Maragondon, Cavite</t>
  </si>
  <si>
    <t>Supply and Delivery of Materials for  Garments Production of SDSSU Cantilan Campus</t>
  </si>
  <si>
    <t>PROCUREMENT OF WATER SERVICE CONNECTION MATERIALS USE FOR INPROVEMENT OF WATER SOURCE @ BARANGAY CALICAN, PIÑAN, ZN</t>
  </si>
  <si>
    <t>Supply and Delivery of Construction Materials - ITB 033B-2020 GQ</t>
  </si>
  <si>
    <t>One (1) lot Supply and Delivery of Five (5) Units of Steel Open Shelves for Landbank Boac Accounting Unit - Boac, Marinduque</t>
  </si>
  <si>
    <t>INTERCONNECTION WORKS AT POBLACION PS VI</t>
  </si>
  <si>
    <t>Ordering agreement for Printing of Various Tarpaulin/Streamers, Posters, Stickers, Flyers for Various Activities (August – December 2020)</t>
  </si>
  <si>
    <t>LABOR AND MATERIALS FOR THE CONSTRUCTION OF PERIMETER FENCE @ VALLEHERMOSO HIGH SCHOOL, VALLEHERMOSO, CARMEN, BOHOL AND CONSTRUCTION OF COVERED COURT (PHASE I) @ GUADALUPE ELEMENTARY SCHOOL, GUADALUPE</t>
  </si>
  <si>
    <t>Gravelling of FMR, Concreting of FMR and Installation RCPC Purok 4</t>
  </si>
  <si>
    <t>Supply and Delivery of Materials for The Installation of Early Warning System-Various Barangay,Kapalong (MEO)</t>
  </si>
  <si>
    <t>Supply and Delivery of Construction Materials - ITB 032B-2020 GQ</t>
  </si>
  <si>
    <t>Supply &amp; Delivery of Construction Materials &amp; Supplies for the Construction of Basketball Pavement at Brgy., Matagbac Tabaco City</t>
  </si>
  <si>
    <t>Supply and Delivery of Vehicle Parts of 50IB (P106,050.00)</t>
  </si>
  <si>
    <t>Supply of Senior Citizen and PWD Medicine Booklet</t>
  </si>
  <si>
    <t>One (1) - Supply of labor, tools, materials (Supply of Labor, Tools and Materials for (6) Months Operation and Basic Maintenance Servicing (OBMS) of the Electro-Mechanical System of BSP Cebu Regional</t>
  </si>
  <si>
    <t>Supply and Delivery of Construction Materials - ITB 034B-2020 GQ</t>
  </si>
  <si>
    <t>SUPPLY AND DELIVERY OF MEDICAL SUPPLIES</t>
  </si>
  <si>
    <t>Invitation to Bid for the Procurement of Materials for the Fencing of Barangay Health Center at San Isidro-Iraya, Malilipot, Albay</t>
  </si>
  <si>
    <t>INSTALLATION OF HANDWASHING AREA</t>
  </si>
  <si>
    <t>Supply and Delivery of Materials for Repair and Enhancement of CHU II TB Dots Facilities at Sta. Cruz Viejo, Tanjay City</t>
  </si>
  <si>
    <t>Technical Consultant</t>
  </si>
  <si>
    <t>CONCRETING OF DABUBU PEQUEÑO-DABUBU GRANDE FTMR, DAB. GRANDE &amp; PEQUEÑO, SAN AGUSTIN, ISA.</t>
  </si>
  <si>
    <t>SUPPLY AND DELIVERY OF FACE SHIELD (INDUSTRIAL)</t>
  </si>
  <si>
    <t>MOOE PROCUREMENT OF LIPAWAN ELEMENTARY SCHOOL FOR THE MONTHS OF JANUARY, FEBRUARY &amp; MARCH 2020</t>
  </si>
  <si>
    <t>Improvement of Multi-Purpose Building @ Brgy Manibaug Pasig, Porac, Pampanga</t>
  </si>
  <si>
    <t>LABOR AND MATERIALS FOR THE 2-UNIT FOOD CART AT CHOCOLATE HILLS COMPLEX, BUENOS AIRES, CARMEN, BOHOL</t>
  </si>
  <si>
    <t>PROCUREMENT AND DELIVERY OF DESKTOP COMPUTERS OF BFP R4A FY 2020</t>
  </si>
  <si>
    <t>Request For Quotation-SERVICE VEHICLE MAINTENANCE FOR 3RD QTR CY 2020 OF PASU-SIPLAS-Php60,000.00</t>
  </si>
  <si>
    <t>Installation of Solar Street Light</t>
  </si>
  <si>
    <t>PROCUREMENT OF SPAREPARTS FOR 6D17 FUSO FIGHTER DUMPTRUCK AND 6D15 MITSUBISHI DUMPTRUCK</t>
  </si>
  <si>
    <t>Request for Price Quotation (School Supplies)</t>
  </si>
  <si>
    <t>Procurement of Printing services</t>
  </si>
  <si>
    <t>Proposed Pathwalk</t>
  </si>
  <si>
    <t>UPGRADING OF FLOORING AT DIRTY KITCHEN OF FEEDING ROOM</t>
  </si>
  <si>
    <t>Supply of Labor and Materials for the Replacement of Two (2) Units Four (4) MVA 4160/440 Oil Type Transformer, Main Electrical Room NAIA Terminal 1</t>
  </si>
  <si>
    <t>Opening of Tubura-Calzada-Bonga FMR Phase II</t>
  </si>
  <si>
    <t>PROCUREMENT OF UTILITY VEHICLE</t>
  </si>
  <si>
    <t>Purchase of COVID-19 swabbing booth</t>
  </si>
  <si>
    <t>One (1) Lot – Supply and Delivery of one hundred five (105) units of  Bike  for San Juan City Employees</t>
  </si>
  <si>
    <t>NEGOTIATED PROCUREMENT-School Supplies and Equipment</t>
  </si>
  <si>
    <t>Request for Price Quotation (Construction Supplies)</t>
  </si>
  <si>
    <t>Request For Quotation-CONSULTANCY_CONTRACT OF SERVICE MAINTENANCE OF 8 PA FACILITIES IN SIPLAS FOR 3RD QTR 2020-Php920,000.00</t>
  </si>
  <si>
    <t>Procurement of Security Surveillance System and Accessories - Package I</t>
  </si>
  <si>
    <t>Procurement of fuels for use of the Office of the Governor, Romblon, Romblon</t>
  </si>
  <si>
    <t>MOLAVE RPS SPED CENTER - PROCUREMENT OF SCHOOL/ OFFICE SUPPLIES</t>
  </si>
  <si>
    <t>Supply and Delivery of Construction Materials - ITB 035B-2020 GQ</t>
  </si>
  <si>
    <t>One (1) Lot – Supply and Delivery of Various air-conditioning for Various Offices</t>
  </si>
  <si>
    <t>KC : 24 can AIR FRESHENER UP TO 9 roll TWINE PLASTIC;OFFICE SUPPLIES AND CONSUMABLES FOR THE USE OF KC -PAMANA FOR RPMO STAFF</t>
  </si>
  <si>
    <t>SUPPLY AND DELIVERY OF TRAINING SUPPLIES AND MATERIALS FOR THE LSP-NSB ACTIVITIES IN THE PROVINCE OF BOHOL</t>
  </si>
  <si>
    <t>One (1) Lot – Supply and Delivery of Laboratory Reagents for the use of SJMC</t>
  </si>
  <si>
    <t>Request For Quotation-CONSULTANCY_CONTRACT OF SERVICE ON UPDATING OF SIPLAS GENERAL MANAGMENT PLAN FOR 3RD QTR 2020-Php200,000.00</t>
  </si>
  <si>
    <t>Supply and Delivery of Construction Materials - ITB 036B-2020 GQ</t>
  </si>
  <si>
    <t>Construction of One Town One Product (OTOP) and Organic Trading Port (OTP)</t>
  </si>
  <si>
    <t>Supply &amp; Delivery of Commercial Feeds for Bangus and Vannamei Production</t>
  </si>
  <si>
    <t>Eco bag with print used for Womens Welfare Program</t>
  </si>
  <si>
    <t>Rehabilitation/Extension of MIAA Buildings (MIAA Records Center, PMD Office, T3 Satellite Office) NAIA Complex, Pasay City</t>
  </si>
  <si>
    <t>Purchase of grocery items</t>
  </si>
  <si>
    <t>One (1) lot Labor and Materials for the Proposed Transfer of Landbank UPLB Branch Sub-COU to Landbank Sta. Cruz (Laguna) Branch</t>
  </si>
  <si>
    <t>Purchase of ambulance</t>
  </si>
  <si>
    <t>Supply and Delivery of Goods for R&amp;M Motor Vehicle of H9ID,PA (317,550.00)</t>
  </si>
  <si>
    <t>NMC &amp; PASUQUIN EXTENSION RIS, PACKAGE 3; REMAINING WORKS ; CLIMATE CHANGE ADAPTATION WORKS (CCAW) FUND; CY 2019</t>
  </si>
  <si>
    <t>SUPPLIES FOR WINS (WASH IN SCHOOL)PROGRAM FOR JHS</t>
  </si>
  <si>
    <t>Supply &amp; Delivery of Photocopier Machine for CTAS, RDE, QA, Registrar &amp; Admin.</t>
  </si>
  <si>
    <t>REBIDDING OF SUPPLY AND DELIVERY OF VARIOUS LABORATORY SUPPLIES AND CONSUMABLES (32 items)</t>
  </si>
  <si>
    <t>RFQ# 2020-05-025-Supply/Delivery of IT (Information Technology &amp; Printing Supplies/    Common Office Supplies) for use in the Planning &amp; Design Section, DPWH-NSFDEO, Catarman, N. Samar</t>
  </si>
  <si>
    <t>Procurement of Health Emergency Response Equipment and Supplies</t>
  </si>
  <si>
    <t>PURCHASE OF VARIOUS CONSTRUCTION MATERIALS AS THE ADDITIONAL SUPPLIES FOR THE CONSTRUCTION OF DSWD SHELTER</t>
  </si>
  <si>
    <t>PROVISION OF 10 MBPS INTERNET SERVICES WITH COMMITTED INFORMATION RATE TO MSU-TCTO</t>
  </si>
  <si>
    <t>INSTALLATION OF ENERGIZATION OF STREET LIGHTING SYSTEM</t>
  </si>
  <si>
    <t>PUNONG ES RFQ (JUNE 2020)</t>
  </si>
  <si>
    <t>Supply &amp; Delivery of Eating Utensils for F1K Beneficiaries, Municipal Health Office, Buenavista, Quezon</t>
  </si>
  <si>
    <t>REBIDDING OF SUPPLY AND DELIVERY OF VARIOUS LABORATORY CHEMICALS AND SUPPLIES (3 items)</t>
  </si>
  <si>
    <t>Improvement of Barangay Health Center, Kinatarkan, Santa Fe, Cebu - Municipal</t>
  </si>
  <si>
    <t>PROCUREMENT OF FUELS FOR USE IN THE DREDGING AT QUIAOIT RIVER AND OTHER MAJOR WATERWAYS</t>
  </si>
  <si>
    <t>Procurement of Powered Air Purifying Respirator</t>
  </si>
  <si>
    <t>Relocation of Indoor Airconditioning Units</t>
  </si>
  <si>
    <t>Pag-IBIG Fund TAS NCR South ( SUPPLY OF LABOR AND MATERIALS FOR THE INSTALLATION OF STRUCTURE CABLING OF MAKATI BUENDIA II BRANCH)</t>
  </si>
  <si>
    <t>CONSTRUCTION OF TRIBAL CENTER</t>
  </si>
  <si>
    <t>One (1) lot Labor and Materials for the Construction of COA Records Room at Landbank Lucena Branch</t>
  </si>
  <si>
    <t>Training Expense-Php153,025.00 PDO</t>
  </si>
  <si>
    <t>Rpr &amp; Maint Motor Vehicles (57,550.00) PDO</t>
  </si>
  <si>
    <t>ONE (1) YEAR CONTRACT FOR JANITORIAL SERVICES FOR 2020</t>
  </si>
  <si>
    <t>Office Supplies for the 2020 CPH</t>
  </si>
  <si>
    <t>QUARTERLY PREVENTIVE MAINTENANCE SERVICES OF CLOSED CIRCUIT TELEVISION (CCTV) FOR 3rd AND 4th QUARTERS AT VARIOUS SSS BRANCH OFFICES UNDER LUZON CENTRAL 2 DIVISION</t>
  </si>
  <si>
    <t>Renovation of GEBA GYMNASIUM'S STAGE</t>
  </si>
  <si>
    <t>Purchase of Medicine Supplies</t>
  </si>
  <si>
    <t>PUNONG ES RFQ (JULY 2020)</t>
  </si>
  <si>
    <t>Supply &amp; Delivery of Office Equipment for CTAS &amp; CTE</t>
  </si>
  <si>
    <t>Request For Quotation-INTERNET SERVICES-INFRA. NETWORK POINT TO POINT WIRELESS CONNECTION-Php60,000.00</t>
  </si>
  <si>
    <t>CONSTRUCTION OF NEW MUNICIPAL CEMETERY</t>
  </si>
  <si>
    <t>Purchase of goods for Improvement of Agoho Public Cemetery</t>
  </si>
  <si>
    <t>Procurement of Fuel Supply for LCT Barge</t>
  </si>
  <si>
    <t>106CO-6IB,6ID, PA-2020-456</t>
  </si>
  <si>
    <t>RFQ 06-08-2020 Item A</t>
  </si>
  <si>
    <t>Supply of labor and materials in the Installation of Waterline at Nursery, Crash Gate 2 Area (Re-Bidding) [ris 20-88-047)</t>
  </si>
  <si>
    <t>PURCHASE OF MOVABLE TENTS</t>
  </si>
  <si>
    <t>03-003-20 Supply and Delivery of Various Laboratory Supplies (RAFAL)</t>
  </si>
  <si>
    <t>Supply and Delivery of Medical /Medical Instrument</t>
  </si>
  <si>
    <t>SUPPLY AND DELIVERY OF ETHANOL ALCOHOL RFQ NO. EMB-EMB-PGSS 090-06-30-2020 PR NO.2020-0628</t>
  </si>
  <si>
    <t>Fabrication of Improvised Pedal Operated Handwashing Bins for Faculty and Students Hand Sanitation- OMSC Collegewide</t>
  </si>
  <si>
    <t>Purchase of One (1) Unit Vehicle Bongo for Disaster Preparedness</t>
  </si>
  <si>
    <t>REQUEST FOR QUOTATION FOR THE Supply and Delivery of One (1) Lot Medical Supplies</t>
  </si>
  <si>
    <t>Purchase of Heavy Equipment (Mini Dump truck)</t>
  </si>
  <si>
    <t>Medical Supplies for Laguna Chest Center</t>
  </si>
  <si>
    <t>Procurement Provision of Internet Subscription Expenses</t>
  </si>
  <si>
    <t>Purchase of Garbage Truck(Dump Truck)</t>
  </si>
  <si>
    <t>Painting &amp; various materials for fabrication of counter for Malasakit Center Laguna Medical Center Compound</t>
  </si>
  <si>
    <t>Meals for the participation of Barangay Annual Investment Program Workshop</t>
  </si>
  <si>
    <t>Procurement of various Materials to be used for the Installation of Pipe-in Oxygen for Hemodialysis Unit</t>
  </si>
  <si>
    <t>PROCUREMENT OF FUEL &amp; LUBRICANTS</t>
  </si>
  <si>
    <t>Forklift Rental for the period July 1, 2020 to August 31, 2020</t>
  </si>
  <si>
    <t>Furniture and Fixtures, Ceiling Fan for LPH-Majayjay District Hospital-Pharmacy, Supply Room, Medical Records Section</t>
  </si>
  <si>
    <t>Supply &amp; Delivery of Airconditioning System</t>
  </si>
  <si>
    <t>20GN0092-Concreting of Brgy. General Malvar FMR, Brgy. General Malvar, Pontevedra, Negros Occidental</t>
  </si>
  <si>
    <t>Procurement of Emergency Equipment and Supplies</t>
  </si>
  <si>
    <t>Completion of Local Access Road at Government Center</t>
  </si>
  <si>
    <t>REPAIR OF FLGC WAREHOUSE DAMAGED BY TYPHOON TISOY IN NAPO, STA. CRUZ, MARINDUQUE</t>
  </si>
  <si>
    <t>SUPPLY AND DELIVERY OF TIRES  FOR  MONTERO OF VICE-MAYOR’S OFFICE</t>
  </si>
  <si>
    <t>Supply and Delivery of Construction Materials - ITB 037B-2020 GQ</t>
  </si>
  <si>
    <t>SUPPLY AND DELIVERY OF CARTRIDGE KIT FOR BARNSTEAD E-PURE SYSTEM</t>
  </si>
  <si>
    <t>STREET LIGHTING, Hagdan, Santa Fe, Cebu - Municipal</t>
  </si>
  <si>
    <t>Proposed Road Reblocking</t>
  </si>
  <si>
    <t>Provision of Catering Services for 3-Day Division Training Workshop on Basic Computer Literacy for all Non-Computer Literate School Heads and Teachers</t>
  </si>
  <si>
    <t>REPIPING AND REHABILITATION OF WATER LINE</t>
  </si>
  <si>
    <t>Procurement Purchase of Communication Load</t>
  </si>
  <si>
    <t>Procurement for the Provision of Calibration Services of Various Science Laboratory Equipment for SY 2020-2021 of PSHS-CLC</t>
  </si>
  <si>
    <t>Supply and Delivery of 3,612 sets of Peerless Box for Pag-IBIG Fund</t>
  </si>
  <si>
    <t>SUPPLY &amp; DELIVERY OF FITTINGS (5 ITEMS) FOR REHABILITATION OF DISTRIBUTION LINE</t>
  </si>
  <si>
    <t>Purchase of sala set</t>
  </si>
  <si>
    <t>One (1) Lot – Supply and Delivery of various supplies and materials for the SY 2019 – 2020 Commencement Exercises</t>
  </si>
  <si>
    <t>Supply and Delivery of Personal Care Products</t>
  </si>
  <si>
    <t>Repair and Maintenance of D7G Bulldozer</t>
  </si>
  <si>
    <t>Printing Services for the 2020 CPH</t>
  </si>
  <si>
    <t>CONSTRUCTION OF MULTI-PURPOSE DRYING PAVEMENT (BRGY. LUCBAN)</t>
  </si>
  <si>
    <t>106CO-6IB, 6ID, PA-2020-460</t>
  </si>
  <si>
    <t>20% EDF CY 2020 Projects</t>
  </si>
  <si>
    <t>PROCUREMENT OF HONDA XRM MOTORCYCLE 125CC</t>
  </si>
  <si>
    <t>Proposed Construction of Concrete Pedestal, Supply and Installation of Lighting Facilities of F.B. Harrison St., Pasay City</t>
  </si>
  <si>
    <t>Maintenance, Repair and Rehabilitation of Infrastructure Facilities and Other Related Activities - Public Buildings: Repair/ Maintenance of DOJ Building National Bureau Investigation Office Building N</t>
  </si>
  <si>
    <t>020-INFRA-001 / COMPLETION OF MULTI-PURPOSE BUILDING</t>
  </si>
  <si>
    <t>CONCRETING / REHABILITATION OF BARANGAY CANUBAY ROAD-Hayo Street</t>
  </si>
  <si>
    <t>CATERING SERVICES FOR THE DISTRIBUTION OF FARMERS ASSISTANCE</t>
  </si>
  <si>
    <t>PURCHASE OF ONE (1)   RESCUE VEHICLE (MULTICAB) WITH ESSENTIAL RESCUE EQUIPMENT</t>
  </si>
  <si>
    <t>PROCUREMENT AND DELIVERY OF GENERATOR SETS OF BFP R4A FY 2020</t>
  </si>
  <si>
    <t>PURCHASE OF ONE (1)    FIRETRUCK ( MULTICAB) WITH FIRE RESCUE EQUIPMENT</t>
  </si>
  <si>
    <t>PROCUREMENT OF MATERIALS FOR REHABILITATION OF WATER SYSTEM AND PLUMBING TOOLS</t>
  </si>
  <si>
    <t>CONSTRUCTION OF MULTI-PURPOSE DRYING PAVEMENT (BRGY. STO.TOMAS)</t>
  </si>
  <si>
    <t>Printing of Progestin Sub-Dermal Implant (PSI) Individual Box Sticker Label</t>
  </si>
  <si>
    <t>BALULANG ELEMENTARY SCHOOL PURCHASED OF COVID RESPONSE ITEMS</t>
  </si>
  <si>
    <t>DSWD4B-2020-12 Supply and Delivery of Micronutrient Powder for the Implementation of Supplementary Feeding Program during Community Quarantine (9th Cycle Continuation)</t>
  </si>
  <si>
    <t>Installation of Solar Streetlights</t>
  </si>
  <si>
    <t>REPAIR OF MULTI-PURPOSE BUILDING FLOORING (BRGY. CALOG NORTE)</t>
  </si>
  <si>
    <t>PURCHASE OF ONE (1)   MULTIPURPOSE (MULTICAB)  VEHICLE</t>
  </si>
  <si>
    <t>For use at DPWH Quezon 1st District Engineering Office (Planning and Design Section) Lucban, Quezon</t>
  </si>
  <si>
    <t>R&amp;M of HNETDC Building</t>
  </si>
  <si>
    <t>Contract ID: 20JH0030 Const. of Public Market, Brgy. Marketsite, Isabela City, Basilan</t>
  </si>
  <si>
    <t>General Merchandise</t>
  </si>
  <si>
    <t>Printing of Module/ Learning Packets</t>
  </si>
  <si>
    <t>Representation Expenses</t>
  </si>
  <si>
    <t>For use at DPWH Quezon 1st District Engineering Office, Lucban, Quezon</t>
  </si>
  <si>
    <t>procurment of materials for rehabilitation of water system</t>
  </si>
  <si>
    <t>Supply and delivery of various materials for the repair and upgrade of ICT equipments for BFAR Region Office</t>
  </si>
  <si>
    <t>Training Supplies and Materials to be used for TCP.</t>
  </si>
  <si>
    <t>Xerox Copier</t>
  </si>
  <si>
    <t>Supply and Delivery spare parts for the Repair/Maintenance of Municipal Grader, this Municipality of Mabini, Davao De Oro</t>
  </si>
  <si>
    <t>Invitation to Bid for PROCUREMENT OF OFFICE SUPPLIES AND EQUIPMENT (MPDO)</t>
  </si>
  <si>
    <t>PROCUREMENT OF TIRES &amp; SPAREPARTS</t>
  </si>
  <si>
    <t>ROAD CONCRETING (BRGY. SIMAYUNG)</t>
  </si>
  <si>
    <t>PROCUREMENT OF CONSTRUCTION SUPPLIES</t>
  </si>
  <si>
    <t>Procurement of cytoral spray and other laboratory supplies</t>
  </si>
  <si>
    <t>Printing of Module/ Learning Packets SHS</t>
  </si>
  <si>
    <t>PURCHASE OF 11 UNITS COMMUNICATION EQUIPMENT OF BRGY. SAGRADA FAMILIA</t>
  </si>
  <si>
    <t>Supply and Delivery of Materials for Maintenance of Hull, Machinery and Electrical Repair Services' Watercraft: YD204, YD205, YU206, YU207 and YT271</t>
  </si>
  <si>
    <t>Medicines Supplies</t>
  </si>
  <si>
    <t>Purchase of Rescue Equipment</t>
  </si>
  <si>
    <t>Training Expenses</t>
  </si>
  <si>
    <t>RENOVATION OF BRGY. MULTI-PURPOSE BUILDING TO BE USED AS ISOLATION ROOM FOR COVID-19 PATIENTS</t>
  </si>
  <si>
    <t>Procurement of COVID-19 Response Items (70% Ethyl Alcohol) for BJMP-NCR</t>
  </si>
  <si>
    <t>Supply of Materials/Parts for the Drydocking and Other Related Repairs of BRP Heracleo Alano (PC376), BRP Anastacio Cacayorin (PC387) &amp; BRP Teotimo Figuracion(PC389) LOT 2</t>
  </si>
  <si>
    <t>CONSTRUCTION OF QUARANTINE CENTER</t>
  </si>
  <si>
    <t>Procurement of Materials for the Road Reblocking at Brgy. Campin, Mahaplag, Leyte</t>
  </si>
  <si>
    <t>Supply and Delivery of 100 rolls, Scouring Pad (Super Fine, White), as per BSP Technical Specifications</t>
  </si>
  <si>
    <t>PROCUREMENT OF SUPPLY AND INSTALLATION 50KVA SILENT TYPE  GENERATOR SET</t>
  </si>
  <si>
    <t>RFQ hARDWARE2020</t>
  </si>
  <si>
    <t>Services of an Event Management Company for Philippine Travel Exchange (PHITEX) 2020</t>
  </si>
  <si>
    <t>Procurement of COVID-19 Response Items (Surgical Face Masks and Surgical Gloves) for BJMP-NCR</t>
  </si>
  <si>
    <t>20CE0234: Construction of Multi-Purpose Building with Covered Court, Zaragoza, Nueva Ecija</t>
  </si>
  <si>
    <t>Purchase of Rice Planter use to Support Rice Production for the Municipality of Bunawan</t>
  </si>
  <si>
    <t>NOTICE OF INVITATION TO SUBMIT PRICE QUOTATION FOR THE SMALL VALUE PROCUREMENT OF 2020 CAPITAL OUTLAY RMT PROJECTS OF NFA COMPOUND, CIP COMPLEX, NRA, CEBU CITY</t>
  </si>
  <si>
    <t>20CE0236: Replacement of Permanent Weak Bridges Amawinan Br. (B01981LZ) along Daang Maharlika (LZ)</t>
  </si>
  <si>
    <t>20CE0235: Widening of Permanent Bridges Manicla Br. (B01968LZ) along Daang Maharlika (LZ)</t>
  </si>
  <si>
    <t>REPRODUCTION OF MODULES FOR SHS</t>
  </si>
  <si>
    <t>Supply and Delivery of DRRM Rescue Vehicles</t>
  </si>
  <si>
    <t>CONSTRUCTION MATERIALS</t>
  </si>
  <si>
    <t>R&amp;M of Blain Theater</t>
  </si>
  <si>
    <t>Installation of Brgy. Street Light</t>
  </si>
  <si>
    <t>Counting Machine</t>
  </si>
  <si>
    <t>PURCHASE OF SCHOOL SUPPLIES AND BAGS</t>
  </si>
  <si>
    <t>Clipboard for the 2020 CPH</t>
  </si>
  <si>
    <t>WATERWORKS (ELECTRIFICATION )@ BRGY. BAGALANGIT, MABINI, BATANGAS</t>
  </si>
  <si>
    <t>PURCHASE OF GARBAGE TRUCK</t>
  </si>
  <si>
    <t>Rehabilitation of Concrete Flood Control Structure and Construction of Perimeter Fence @ Salabat Building for BLRSHOA</t>
  </si>
  <si>
    <t>Procurement of Construction Supplies &amp; Materials; Semi-Expendable Other Machineries &amp; Equipments</t>
  </si>
  <si>
    <t>20CSDD02 - Consultancy Services for the Conduct of Geotechnical Investigation/Soil Exploration, (1) Sala – Looc Bridge (Along Taal Lake Circumferential Road Balete Section) (65.00 lm.), (2) Lipote Bri</t>
  </si>
  <si>
    <t>Procurement of Supplies to be used in Modular Learning</t>
  </si>
  <si>
    <t>Supply and delivery of various office supplies for official use on the operation of Regional Research Development and Extension Network (RRDEN)</t>
  </si>
  <si>
    <t>Procurement of Semi-Expandable Equipment</t>
  </si>
  <si>
    <t>CONSTRUCTION OF DRAINAGE SYSTEM PUROK 7</t>
  </si>
  <si>
    <t>Rehabilitation of Poblacion Water System</t>
  </si>
  <si>
    <t>Procurement of Materials for Makeshift Classroom at Cogon NHS</t>
  </si>
  <si>
    <t>Purchase of Various Office Supplies</t>
  </si>
  <si>
    <t>20CSDD01 - Consultancy Service for the Conduct of Parcellary Survey of Malvar – Balete Rd (Length 8.80 Kms.)</t>
  </si>
  <si>
    <t>LED Bulbs and T8 for FAB Electrical Maintenance</t>
  </si>
  <si>
    <t>Furnish and Delivery of Item 104 Material for RTC Branch 27 and IBP - Cotabato Building</t>
  </si>
  <si>
    <t>Supply of Materials for the Repair of Movable Sheds</t>
  </si>
  <si>
    <t>R&amp;M of SBS Facility</t>
  </si>
  <si>
    <t>Purchase of Medicine</t>
  </si>
  <si>
    <t>GOODS 2020-015(NP) Supply and Delivery of  120 vials Rabbies Vaccine (10ml)</t>
  </si>
  <si>
    <t>Supply and Delivery of various goods (PR No. 2020-429)</t>
  </si>
  <si>
    <t>TRANSPORTATION, LABOR, HAULING OF 4,000 SACKS NFA RICE FROM RAWIS WAREHOUSE TO COVERED COURT POBLACION LAOANG</t>
  </si>
  <si>
    <t>SUPPLY AND DELIVERY OF DRUGS AND MEDICINES, MHO - UNISAN, QUEZON</t>
  </si>
  <si>
    <t>Installation/Construction of Concrete Perimeter Post at Sitio Kasidlakan</t>
  </si>
  <si>
    <t>Supply and Delivery of Office Supplies, Medical Supplies, Mobile Load, Agricultural Seeds and Equipments</t>
  </si>
  <si>
    <t>OTHER PROPERTY EQUIPMENT FOR PHO(SIGNAGES)</t>
  </si>
  <si>
    <t>Supply and Delivery of Office Supplies, Medical Supplies and Equipments</t>
  </si>
  <si>
    <t>RFQ for Emergency Purchase of Surgical Mask- LGU-Lawaan, Eastern Samar</t>
  </si>
  <si>
    <t>Supply and delivery of various materials as support to Provincial Satellite Tilapia Hatchery of Nueva Ecija</t>
  </si>
  <si>
    <t>R&amp;M of PEU, NSSG, HSSG Building</t>
  </si>
  <si>
    <t>Installation of Street Lights</t>
  </si>
  <si>
    <t>Drugs and Medicines</t>
  </si>
  <si>
    <t>RFQ Lead and Cadmium Analysis 20-07-004</t>
  </si>
  <si>
    <t>R&amp;M of Jurado Hall</t>
  </si>
  <si>
    <t>RFQ - Supply and Delivery  Of 150 pc Printing of the 2019 DOST Caraga Annual Report Magazine</t>
  </si>
  <si>
    <t>RFQ GEn.mdse may2020</t>
  </si>
  <si>
    <t>RFQ for April 2020 jhs - DRRM Supplies</t>
  </si>
  <si>
    <t>R&amp;M of NOSC Building</t>
  </si>
  <si>
    <t>Procurement of Foot Pedal Hand Sanitizer with drying mat &amp; disinfectant</t>
  </si>
  <si>
    <t>CONCRETING OF MILITAR ROAD @ BRGY. MILITAR PALAYAN CITY</t>
  </si>
  <si>
    <t>R&amp;M for the Upkeep of Bootcamp II Facility</t>
  </si>
  <si>
    <t>Supply and Delivery of Laptop (PR No. 2020-439)</t>
  </si>
  <si>
    <t>RFQ for April 2020 jhs - common office supplies</t>
  </si>
  <si>
    <t>Supply and delivery of Urea and Ammonium Phosphate as Support to Provincial Satellite Hatchery of Nueva Ecija</t>
  </si>
  <si>
    <t>Repair/Rehabilitation of Railings and Pathway from Sitio School Site to Barangay Proper</t>
  </si>
  <si>
    <t>Construction of Multipurpose Shed - MEO</t>
  </si>
  <si>
    <t>Procurement of Medical Supplies of the Division Office of Island Garden City of Samal.</t>
  </si>
  <si>
    <t>AIRCONDITIONING UNIT</t>
  </si>
  <si>
    <t>Procurement of Office and Other Supplies</t>
  </si>
  <si>
    <t>Purchase of ONE (1)  Airconditioning Unit</t>
  </si>
  <si>
    <t>TPB SECURITY SERVICES FOR SIX (6) – MONTH CONTRACT PERIOD for 2020</t>
  </si>
  <si>
    <t>Supply and delivery of Lona/Trapal for use in the FRP boat fabrication area</t>
  </si>
  <si>
    <t>Rehabilitation/ Improvement of River Bed along the vicinity of Brgy. Mapangpang, Science City of Muñoz, Nueva Ecija</t>
  </si>
  <si>
    <t>SUPPLY &amp; DELIVERY OF MEALS AND SNACKS OF THE LAUNCHING OF WOMEN’S MONTH CELEBRATION - PGO</t>
  </si>
  <si>
    <t>Procurement of Semi-Expandable Equipment to be used in Installing the Water System of the School</t>
  </si>
  <si>
    <t>Philippine National Police as Irawan  Agricultural Center</t>
  </si>
  <si>
    <t>CONCRETING OF BARANGAY ROAD, VILLAFLOR, LOBOC, BOHOL</t>
  </si>
  <si>
    <t>FURNITURES AND FIXTURES</t>
  </si>
  <si>
    <t>PROCUREMENT OF ONE (1) UNIT FIRETRUCK FOR BUREAU OF FIRE PROTECTION, MALAPATAN, SARANGANI PROVINCE</t>
  </si>
  <si>
    <t>Construction of Comfort Rooms at Sitio School Site</t>
  </si>
  <si>
    <t>PROCUREMENT OF GEODETIC SERVICES FOR THE RELOCATION SURVEY OF THE PNR PROPERTY LOCATED AT EDSA MANDALUYONG METRO MANILA</t>
  </si>
  <si>
    <t>SUPPLY &amp; DELIVERY OF EQUIPMENT FOR WOMEN'S MONTH CULMINATION - GOVERNOR'S OFFICE</t>
  </si>
  <si>
    <t>SUPPLY &amp; DELIVERY OF MEALS AND SNACKS FOR WOMEN'S MONTH CULMINATION - GOVERNOR'S OFFICE</t>
  </si>
  <si>
    <t>Supply and delivery of replacement items of Copier for official use in the Office of the Regional Director</t>
  </si>
  <si>
    <t>Procurement of Thermal Scanner</t>
  </si>
  <si>
    <t>GENERAL MERCHANDISE</t>
  </si>
  <si>
    <t>100-2019-10-1615 Supply and delivery of 1 unit pick up vehicle</t>
  </si>
  <si>
    <t>Provision of Piglets for the conduct of FLS on Sustainable Pig Farming</t>
  </si>
  <si>
    <t>SUPPLY &amp; DELIVERY OF SUPPLIES IN THE JOINT MEETING OF PPOC, PADAC, AND LOCAL IATF AT PROVINCIAL CAPITOL, BULUAN, MAGUINDANAO - PGO</t>
  </si>
  <si>
    <t>SUPPLY &amp; DELIVERY OF FUEL IN THE JOINT MEETING OF PPOC, PADAC, AND LOCAL IATF AT PROVINCIAL CAPITOL, BULUAN, MAGUINDANAO - PGO</t>
  </si>
  <si>
    <t>JULIO MENDEZ ES MOOE (MAR &amp; APR 2020)</t>
  </si>
  <si>
    <t>SUPPLY &amp; DELIVERY OF MEALS &amp; SNACKS FOR THE 4TH BATCH DISTRIBUTION OF BARANGAY RESCUE VEHICLE AT PROVINCIAL CAPITOL, BULUAN, MAGUINDANAO - PGO</t>
  </si>
  <si>
    <t>Supply in response to COVID 19</t>
  </si>
  <si>
    <t>100-2019-02-240 Supply and delivery of 1 unit multi-purpose vehicle (MPV), etc.</t>
  </si>
  <si>
    <t>HFW-2020-04-0147 : MEDICAL SUPPLIES AND EQUIPMENT OF HOME FOR WOMEN.</t>
  </si>
  <si>
    <t>Supply and delivery of Physical Fitness Test Gear for official use in the monitoring and surveillance activity</t>
  </si>
  <si>
    <t>PROCUREMENT OF CONSTRUCTION MATERIALS FOR WOMENS CRISIS CENTER</t>
  </si>
  <si>
    <t>Procurement of Animal Feeds for the conduct of Advocacy Seminar on Livestock Program</t>
  </si>
  <si>
    <t>R&amp;M of buildings</t>
  </si>
  <si>
    <t>RIVERSIDE ES MOOE (MARCH &amp; APRIL 2020)</t>
  </si>
  <si>
    <t>Purchase/Acquisition of one (1) unit Photocopier/Printer Machine</t>
  </si>
  <si>
    <t>Procurement of Construction Materials for Water Works System, Barangay Dinawehan, Gingoog City</t>
  </si>
  <si>
    <t>OFFICE SUPPLIES AND DEVICES</t>
  </si>
  <si>
    <t>2020-RFQ-029 "PURCHASE OF DIGITAL DRY BATH FOR ANIMAL HEALTH LABORATORY"</t>
  </si>
  <si>
    <t>20CSPH02 - Geotechnical Investigation for Slope Protection Projects along Various Road Sections and Construction of Bridge in Mountain Province for FY 2021</t>
  </si>
  <si>
    <t>Geo-Resistivity Survey/Scanning of Proposed well sites and to determine ground water level.</t>
  </si>
  <si>
    <t>PURCHASE OF EMERGENCY RESCUE VEHICLE</t>
  </si>
  <si>
    <t>Supply, Delivery and Installation of Five (5) Seater Workstation for PSI Office at Philsports Complex</t>
  </si>
  <si>
    <t>Request for Quotation for the Provision of Catering services to be served during the conduct of the 3 Batches Blended Course on Training of Trainers on Production of High-Quality Inbred Rice and Seeds</t>
  </si>
  <si>
    <t>BUB-RICE PROCESSING COMPLEX</t>
  </si>
  <si>
    <t>Request for Quotation for the Provision of Printing services to be used during the conduct of various trainings and activities under Rice Program for CY 2020.</t>
  </si>
  <si>
    <t>Installation of Streetlights</t>
  </si>
  <si>
    <t>Supply &amp; Delivery of Vehicle (10 Wheeler Dumptruck)</t>
  </si>
  <si>
    <t>Supply &amp; Delivery of Vehicle (REPOST)</t>
  </si>
  <si>
    <t>INVITATION TO BID FOR GOODS 2020-015 SUPPLY AND DELIVERY OF ONE (1) UNIT BRAND NEW VECHICLE</t>
  </si>
  <si>
    <t>Provision of Live Animals (Piglet) for the conduct of Advocacy Seminar on Livestock Program</t>
  </si>
  <si>
    <t>PURCHASE OF ONE UNIT RESCUE VEHICLE  FOR MDRRM  USE</t>
  </si>
  <si>
    <t>Rehabilitation of Armando B. Macasantos Sr. Hall at Preparatory High School</t>
  </si>
  <si>
    <t>SUPPLY AND DELIVERY OF MECHANICAL SHAKER</t>
  </si>
  <si>
    <t>Procurement of Training Supplies and Materials for the Enhancement of Meat Processing Hub under Livestock Program at the Center</t>
  </si>
  <si>
    <t>PROCUREMENT OF OFFICE FURNITURES AND FIXTURES</t>
  </si>
  <si>
    <t>Concreting of 400m. Barangay Road, Barangay Hingatungan, Silago, Southern Leyte</t>
  </si>
  <si>
    <t>ORD PABAC 021-20  Procurement of 55,000 rds Ctg, 40x46mm, HE for 11ID, PA</t>
  </si>
  <si>
    <t>ORD PABAC 020-20  Procurement of 1,150 rds Ctg, 76mm HE-T</t>
  </si>
  <si>
    <t>Contract No.: 20-008   PROCUREMENT OF INFRASTRUCTURE FOR THE CONSTRUCTION OF CONCRETE PATHWALK FROM BRGY. MALOBAGO TO BRGY. BARAYONG</t>
  </si>
  <si>
    <t>Request for Quotation for the Provision of Office Supplies and Devices to be used during the conduct of various trainings and activities under Rice Program for CY 2020.</t>
  </si>
  <si>
    <t>Supply and Delivery of One(1) Unit Vibratory Micro Mill with Complete Parts and Accessories for the MSU-TCTO Research Office</t>
  </si>
  <si>
    <t>CONDUCT OF SONAR SURVEY</t>
  </si>
  <si>
    <t>PURCHASE OF 1 UNIT ESWM MINI DUMP TRUCK VEHICLE FOR BLGU-DUIT</t>
  </si>
  <si>
    <t>Request for Quotation for the Provision of Telecommunications Provider to be used for the conduct of RCM Briefing Batch 1 and Batch 2 on September 29, 2020 at Tagoloan, Misamis Oriental and October 29</t>
  </si>
  <si>
    <t>PROCUREMENT OF SEMI-EXPENDABLE ICT EQUIPMENT</t>
  </si>
  <si>
    <t>Request for Quotation for the Provision of Agricultural Products to be used for the conduct of RCM Briefing Batch 1 and Batch 2 on September 29, 2020 at Tagoloan, Misamis Oriental and October 29, 2020</t>
  </si>
  <si>
    <t>Construction of Records, Medicines &amp; Supply Storage Room, PHSO, Dongon, Maasin City, Southern Leyte</t>
  </si>
  <si>
    <t>Completion of Food Terminal, Capitol Site, Maasin City, Southern Leyte</t>
  </si>
  <si>
    <t>Completion of Multi-Purpose Livelihood &amp; Training Center/Covered Court, Brgy. Imelda, Silago, So. Leyte</t>
  </si>
  <si>
    <t>ORD PABAC 018-20 Lot 2  Procurement of 1,036,900 rds Ctg, 5.56mm Ball M855</t>
  </si>
  <si>
    <t>Purchase of Piping and Plumbing Fittings</t>
  </si>
  <si>
    <t>ORD PABAC 018-20 Lot 1 (Re-bid) Procurement of 21,347,558 rds Ctg, 5.56mm Ball M855</t>
  </si>
  <si>
    <t>Purchase of Thermal Paper</t>
  </si>
  <si>
    <t>Request for Quotation for the Provision of Appliances to be used for the conduct of RCM Briefing Batch 1 and Batch 2 on September 29, 2020 at Tagoloan, Misamis Oriental and October 29, 2020 at Camigui</t>
  </si>
  <si>
    <t xml:space="preserve">Request for Quotation for the Provision of Printing services to be used for the conduct of RCM Briefing Batch 1 and Batch 2 on September 29, 2020 at Tagoloan, Misamis Oriental and October 29, 2020 at </t>
  </si>
  <si>
    <t>ITB INSTALLATION OF FLOOR TILES</t>
  </si>
  <si>
    <t>20CSPH01 - Geotechnical Investigation for Slope Protection Projects along Various Road Sections in Mountain Province for FY 2020</t>
  </si>
  <si>
    <t>Additional Installation of CCTV camera at Barangay Poblacion, Lingayen, Pangasinan</t>
  </si>
  <si>
    <t>REQUEST FOR CONSTRUCTION MATERIALS</t>
  </si>
  <si>
    <t>SUPPLY &amp; DELIVERY OF FUEL FOR WOMEN'S MONTH CULMINATION - GOVERNOR'S OFFICE</t>
  </si>
  <si>
    <t>Purchase of Chlorine Powder</t>
  </si>
  <si>
    <t>PB-202003 – Supply and Delivery of Printers, Shredder and I.T Equipment’s</t>
  </si>
  <si>
    <t>PURCHASE OF 1 UNIT RISO MACHINE</t>
  </si>
  <si>
    <t>Construction of Cambite River Control, Barangay Cambite, Tomas Oppus, Southern Leyte</t>
  </si>
  <si>
    <t>Supply and for pickup of feeds as support to Provincial Satellite Tilapia Hatchery of Nueva Ecija</t>
  </si>
  <si>
    <t>Completion of 0.40 Km. PCCP Poblacion District 2 Circumferential Road, Pob. District 2, Silago, So. Leyte</t>
  </si>
  <si>
    <t>Procurement of Construction Materials for the Repair and Improvement of Barangay Hall and Repair and Improvement of Barangay Stage, Barangay Kalipay, Gingoog City</t>
  </si>
  <si>
    <t>100-2019-10-1682 Supply and delivery of 1 unit sport utility vehicle (SUV)</t>
  </si>
  <si>
    <t>PURCHASE OF TARPAULIN AND TOKENS FOR WOMEN'S MONTH CULMINATION - GOVERNOR'S OFFICE</t>
  </si>
  <si>
    <t>CONSTRUCTION  OF  SOLAR  STREET  LIGHTS  AT  PUROK IV, BARANGAY CABATANGAN</t>
  </si>
  <si>
    <t>SUPPLY &amp; DELIVERY OF THREADS AND OTHER MATERIALS - GOVERNOR'S OFFICE</t>
  </si>
  <si>
    <t>SUPPLY &amp; DELIVERY OF WEAVING MACHINE - GOVERNOR'S OFFICE</t>
  </si>
  <si>
    <t>CONSTRUCTION OF BARANGAY TANOD OUTPOST</t>
  </si>
  <si>
    <t>Provision of Feeds for the conduct of FLS on Sustainable Pig Farming</t>
  </si>
  <si>
    <t>SUPPLY &amp; DELIVERY OF 7 UNITS COMPUTER LAPTOP - GOVERNOR'S OFFICE</t>
  </si>
  <si>
    <t>PROCUREMENT OF GEODETIC SERVICES FOR THE RELOCATION SURVEY OF THE PNR PROPERTY LOCATED AT BRGY. MALVAR, SANTIAGO CITY, ISABELA</t>
  </si>
  <si>
    <t>Contract No.: 20-007    PROCUREMENT OF INFRASTRUCTURE FOR THE CONSTRUCTION OF CONCRETE PATHWALK FROM BRGY. CANATU-AN TO BRGY. PAMAMAS-AN</t>
  </si>
  <si>
    <t>RFQ office suppliesmay2020</t>
  </si>
  <si>
    <t>SUPPLY AND DELIVERY OF DIESEL</t>
  </si>
  <si>
    <t>Procurement of Various Supplies used for Repair and Renovation of Water System Facilities</t>
  </si>
  <si>
    <t>SUPPLY &amp; DELIVERY OF MEALS AND SNACKS FOR THE JOINT MEETING OF PPOC, PADAC, AND LOCAL IATF AT PROVINCIAL CAPITOL, BULUAN, MAGUINDANAO -PGO</t>
  </si>
  <si>
    <t>PROCURMENT OF MATERIALS FOR REPAIR/MAINTENANCE OF STREET LIGHT</t>
  </si>
  <si>
    <t>PROCUREMENT OF MATERIALS FOR CONSTRUCTION OF WATER SYSTEM</t>
  </si>
  <si>
    <t>INSTALLATION OF STREET LIGHTS</t>
  </si>
  <si>
    <t>PROCUREMENT OF MATERIALS FOR REHABILITATION OF CRISIS INTERVENTION CENTER BUILDING, MUNICIPAL SITE, BARANGAY POBLACION, MALAPATAN, SARANGANI PROVINCE</t>
  </si>
  <si>
    <t>Purchase of Organic Fertilizer – Granules use to Support to Organic Agriculture Program</t>
  </si>
  <si>
    <t>PROCUREMENT OF IT AND OTHER OFFICE EQUIPMENT</t>
  </si>
  <si>
    <t>Procurement of Printer</t>
  </si>
  <si>
    <t>RFQ office supplies2020</t>
  </si>
  <si>
    <t>PURCHASE OF DIESEL, GASOLINE USE FOR DISASTER PREPAREDNESS AND EMERGENCY RESPONSE</t>
  </si>
  <si>
    <t>PROCUREMENT OF MUSICAL INSTRUMENT</t>
  </si>
  <si>
    <t>Procurement of Materials for the Construction of Multi - Purpose Building (Phase I) at Brgy. San Isidro, Mahaplag, Leyte</t>
  </si>
  <si>
    <t>Procurement of Office supplies for school year 2020-2021 - limao NHS</t>
  </si>
  <si>
    <t>ENHANCEMENT OF BRGY. HEALTH STATION FOR COVID-19 PREPAREDNESS</t>
  </si>
  <si>
    <t>Contract No.: 20-009   PROCUREMENT OF INFRASTRUCTURE FOR THE CONCRETING OF PATHWAY FROM PUROK 8 BRGY. CALAPI TO MAYDAYA (SARAO)</t>
  </si>
  <si>
    <t>PROCUREMENT OF ICT EQUIPMENT</t>
  </si>
  <si>
    <t>General Cleaning and Check-up of 2 Wall-mounted, 3 Cassette-type and 1 Window-type Aircon for 12 months</t>
  </si>
  <si>
    <t>PROCUREMENT OF FURNITURE AND FIXTURES AND OTHER EQUIPMENT</t>
  </si>
  <si>
    <t>Catering Services for the Briefing/Orientation of Different AgStat Activities in the 2nd Semester of 2020</t>
  </si>
  <si>
    <t>Purchase of Organic Foliar Fertilizer use to Support to Organic Agriculture Program</t>
  </si>
  <si>
    <t>Supply and Delivery of Construction Materials for CY 2020 Projects-Package 5</t>
  </si>
  <si>
    <t>BU 136 - Desktop Computers for use in NIA-BANE IMO</t>
  </si>
  <si>
    <t>20CE0233: Construction of Multi-Purpose Building (Phase 1), Brgy. Saint John, Guimba, Nueva Ecija</t>
  </si>
  <si>
    <t>Procurement of Rapid Covid Testing Kit</t>
  </si>
  <si>
    <t>Contract ID: 20JH0033 Const. of Multi-Purpose Building, Isabela City, Basilan</t>
  </si>
  <si>
    <t>Supply of Materials/Parts for the Drydocking and Other Related Repairs of BRP Heracleo Alano (PC376), BRP Anastacio Cacayorin (PC387) &amp; BRP Teotimo Figuracion(PC389) - LOT 1</t>
  </si>
  <si>
    <t>Contract ID: 20JH0032 Const. of Multi-Purpose Building (Yakan Weavers Multi Purpose Hall), Brgy. Parangbasak, Lamitan City, Basilan</t>
  </si>
  <si>
    <t>Procurement of Various Inks and Toners</t>
  </si>
  <si>
    <t>Concreting of Road, Brgy. Poblacion, General Nakar, Quezon</t>
  </si>
  <si>
    <t>Relocation / Reinstallation of Street Lighting Phase I, Brgy. Anoling, General Nakar, Quezon</t>
  </si>
  <si>
    <t>RFQ GEn.mdse2020</t>
  </si>
  <si>
    <t>Supply, delivery and installation of Three (3) pieces of ROLL-UP BLINDS</t>
  </si>
  <si>
    <t>Request for Quotation for the Provision of Advertising Agency Services to be used during the conduct of "Wow na Wow sa Cacao": Radio Program on Cacao Production and Vegetable Integration in Misamis Oc</t>
  </si>
  <si>
    <t>BRGY. MPB IMPROVEMENT</t>
  </si>
  <si>
    <t>Supply and Delivery of Office Equipment for use of the Municipal Agriculture Office</t>
  </si>
  <si>
    <t>One Job Supply of materials and Labor for the Construction of Agri-Fishery Center</t>
  </si>
  <si>
    <t>Procurement of Air condition with Installation, Camera with complete Accessories &amp; Computer Set - Lot 1 - Air Condition with Installation - TOURISM</t>
  </si>
  <si>
    <t>INVITATION TO BID FOR MANPOWER SERVICE</t>
  </si>
  <si>
    <t>Procurement of Air condition with Installation, Camera with complete Accessories &amp; Computer Set - Lot 2 - Camera with complete Accesories - TOURISM</t>
  </si>
  <si>
    <t>Procurement of Paint Conduct Brigada Eskwela Plus</t>
  </si>
  <si>
    <t>Supply and delivery of Veterinary Supplies and animal feeds to be used for the Animal Health Services of the Office of the City Veterinarian, Kidapawan City.</t>
  </si>
  <si>
    <t>Procurement of Various Vehicle Spareparts - OSP</t>
  </si>
  <si>
    <t>Supply and Delivery of Gold Bracelet Jewelry</t>
  </si>
  <si>
    <t>Supply, delivery and Installation of Split Type Aircon for the use of the Liga ng mga Barangay Office and Hall, Kidapawan City.</t>
  </si>
  <si>
    <t>Procurement of Air condition with Installation, Camera with complete Accessories &amp; Computer Set - Lot 3 - IT Equipment (Coputer Set) - TOURISM</t>
  </si>
  <si>
    <t>G-2020-397 Supply and Delivery of Printed Materials, Sangguniang Panlungsod</t>
  </si>
  <si>
    <t>G-2020-312 Supply and Delivery of Printed Materials, City Veterinary Services And Slaughterhouse Management Office</t>
  </si>
  <si>
    <t>RENOVATION OF BRGY. MANPOWER DEV`T CENTER (GYM) TO BE USED AS QUARANTINE FACILITY FOR PATIENTS UNDER MONITORING (PUM) OF COVID-19</t>
  </si>
  <si>
    <t>G-2020-286 Supply and Delivery of Food Commodities, City Social Services Department</t>
  </si>
  <si>
    <t>Contract ID: 20JH0036 Isabela City Public Market, Isabela City, Basilan</t>
  </si>
  <si>
    <t>Procurement of 1 lot Replacement of under chassis water tank flooring;PR No. 20-1450 dated March 5, 2020</t>
  </si>
  <si>
    <t>G-2020-398 Supply and Delivery of Veterinary Medicine and Supplies, City Veterinary Services and Slaughterhouse Management Office</t>
  </si>
  <si>
    <t>G-2020-396 Supply and Delivery of Rice, Sangguniang Panlungsod</t>
  </si>
  <si>
    <t>PURCHASE OF SOLAR PANEL, ELECTRICAL SUPPLIES &amp; APPLIANCES / SOUND SYSTEM FOR KALIPI / MEDICAL SUPPLIES / TOYS AND SCHOOL SUPPLIES / SIGNAGE &amp; TARPAULIN, BARANGAY HALL OF MABINI, BURDEOS, QUEZON</t>
  </si>
  <si>
    <t>Supply and delivery of office and janitorial supplies for the use of BAC Office and CHRMO, Kidapawan City.</t>
  </si>
  <si>
    <t>Procurement of ethyl alcohol disinfectant</t>
  </si>
  <si>
    <t>Purchase of onstuction Materials for the use iun the repair and maintenance of national roads along Legazpi Punta de Jesus Road</t>
  </si>
  <si>
    <t>Common Office Supplies</t>
  </si>
  <si>
    <t>Procurement of Four (4) samples of Chromium Analysis of ICP-OES</t>
  </si>
  <si>
    <t>Supply and Delivery of Cooking Oil to be used in dry ration supplementation program for pregrant women Nutrition</t>
  </si>
  <si>
    <t>Portland Cement etc. (06-0649) CEO</t>
  </si>
  <si>
    <t>PROCUREMENT OF FURNITURE AND FIXTURE</t>
  </si>
  <si>
    <t>Materials for Hand Washing Pipe and Fitting for Water Line</t>
  </si>
  <si>
    <t>PEO-20-0618 B (REBID) - Procurement of Diesel Fuel for use in the truck team operation for the repair and maintenance of Provincial roads and bridges in the Province of Iloilo</t>
  </si>
  <si>
    <t>Raincoat Heavy Duty etc. (06-0643) CENRO</t>
  </si>
  <si>
    <t>CONSTRUCTION OF CANAL LININGS AT BRGY. AGUADO, TMC</t>
  </si>
  <si>
    <t>CNH-0620-062</t>
  </si>
  <si>
    <t>Supply and Delivery of Monggo and Clean Rice to be used in the Implementation program for pregnant women for Nutrition</t>
  </si>
  <si>
    <t>Boga for the Maintenance of Farm to Market Road</t>
  </si>
  <si>
    <t>Supply, Delivery, Installation, Configuration, Migration, and Testing of Additional Servers for BTMS Infrastructure</t>
  </si>
  <si>
    <t>CONSTRUCTION OF CANAL LININGS AT TRES CRUSES ROAD ( TRANSPORT MARKET-GOLD CREST VILLAS BRRGY. SAN AGU</t>
  </si>
  <si>
    <t>Concreting of Purok 2 Road (Lublub) (INFRA2020-06)</t>
  </si>
  <si>
    <t>20GP003CS-Consulting Services for the Conduct of Soil Subsurface Exploration for the Enhancement of Level 1.50 Bed Cap Hospital-PA Health Service, Camp Macario B. Peralta, Jamindan, Capiz; Enhancement</t>
  </si>
  <si>
    <t>20GP002CS-Consulting Services for the Conduct of Soil Subsurface Exploration for the Construction of River Control along Panay River Basin at Brgy. Angub, Cuartero, Capiz; Poblacion Ilaya, Cuartero, C</t>
  </si>
  <si>
    <t>Development of Multi-Purpose People’s Park and Plaza</t>
  </si>
  <si>
    <t>WIDENING OF BARANGAY ROAD, POBLACION 2, BARANGAY MABINI, BURDEOS, QUEZON</t>
  </si>
  <si>
    <t>Diesel Fuel for the Maintenance of Farm to Market Road</t>
  </si>
  <si>
    <t>Construction Materials for the Construction of Sidewalk/Cross-Drainage along Hijosa Street</t>
  </si>
  <si>
    <t>Concreting of Purok 2 Road-Batu (Lublub) (INFRA2020-05)</t>
  </si>
  <si>
    <t>Concreting of Junction Road - Lipuga Road (INFRA2020-03)</t>
  </si>
  <si>
    <t>S1-JPR20-011  SUPPLY AND DELIVERY OF FAST MOVING SPAREPARTS FOR 1 X 410KW FG WILSON.</t>
  </si>
  <si>
    <t>Concreting of Marikit East Circumferential Road (INFRA2020-04)</t>
  </si>
  <si>
    <t>20EB0127: Repair and Maintenance of Road Safety Facilities along National Roads (Intermittent Section), Lubang Island</t>
  </si>
  <si>
    <t>SUPPLY AND DELIVERY OF OFFICE SUPPLIES FOR 2ND QUARTER OF 2020</t>
  </si>
  <si>
    <t>Procurement of three (3) units High-End Laptop</t>
  </si>
  <si>
    <t>One(1) Job Labor and Materials for the Improvement of Tennis Court of the Municipality of Pototan</t>
  </si>
  <si>
    <t>20EB0126: Repair and Maintenance of Road Safety Facilities along National Roads (Intermittent Section), Mainland</t>
  </si>
  <si>
    <t>PROCUREMENT OF MEALS AND SNACKS</t>
  </si>
  <si>
    <t>Laptop and Projector</t>
  </si>
  <si>
    <t>PURCHASE OF RELIEF PACKS FOR THE RESIDENTS OF BARANGAY BARAOAS SUR TO BE DISTRIBUTED DURING THE PERIOD OF LOCKDOWN.</t>
  </si>
  <si>
    <t>CONSTRUCTION OF DRAINAGE CANAL</t>
  </si>
  <si>
    <t>PURCHASE OF ONE (1) BRAND NEW VEHICLE INTENDED FOR THE MUNICIPAL ENVIRONMENTAL NATURAL RESOURCES OFFICE (MENRO) TO BE USE FOR THE SOLID WASTE MANAGEMENT POGRAM OF THE MUNICIPALITY OF PATEROS</t>
  </si>
  <si>
    <t>CONSTRUCTION/REHABILITATION OF HOSPITAL BUILDINGS AND FACILITIES-QUEZON MEDICARE HOSPITAL, PHASE III   (MUNICIPALITY OF QUEZON, PALAWAN)</t>
  </si>
  <si>
    <t>20GP001CS-Consulting Services for the Conduct of Soil Subsurface Exploration for the Construction of River Control along Panay River Basin at Brgy. Poblacion Ilaya, Dumalag, Capiz; Brgy. Poblacion Ila</t>
  </si>
  <si>
    <t>CONSTRUCTION OF THREE (3) BARREL RCBC  (BGY. MINARA, ROXAS, PALAWAN)</t>
  </si>
  <si>
    <t>Procurement of 130pcs. 15 mm Brass Body Water Meter for second semester of 2020</t>
  </si>
  <si>
    <t>CONSTRUCTION OF HANGING BRIDGE (SAN JUAN, ABORLAN, PALAWAN)</t>
  </si>
  <si>
    <t>Supply of materials and installation of three (3) units of CCTV cameras.</t>
  </si>
  <si>
    <t>Supply and Delivery of 3 units Desktop System Unit with PR# DA3-2020-6-11-176 &amp; ABC of P165,000.00</t>
  </si>
  <si>
    <t>CONSTRUCTION OF ONE (1) BARREL RCBC LEADING TO BORAC PORT  (BGY. BORAC, CORON, PALAWAN)</t>
  </si>
  <si>
    <t>SUPPLY AND DELIVERY OF AIRCON UNITS AND OTHER OFFICE EQUIPMENT TO BE USED FOR THE DARFO 3 SOCIO ECONOMIC PRODUCTION IN MARKETING- 2nd Posting</t>
  </si>
  <si>
    <t>Procurement of Materials for the Repair of Farm Equipment Facilities @ Pob. 01 and 02, Maslog, Eastern Samar</t>
  </si>
  <si>
    <t>Procurement of Publication of SP Ordinance - OSP</t>
  </si>
  <si>
    <t>AGR-20-0767-B Purchase of Weighing Scale</t>
  </si>
  <si>
    <t>Construction Materials for the Construction of Sidewalk/Cross-Drainage along Hornachos Street</t>
  </si>
  <si>
    <t>ADDITIONAL FUND FOR THE COMPLETION OF COVERED COURT @ BRGY. GUINHALINAN</t>
  </si>
  <si>
    <t>SUPPLY AND DELIVERY OF DESKTOP COMPUTER AND PRINTERS FOR MAYOR'S OFFICE</t>
  </si>
  <si>
    <t>ADDITIONAL FUND FOR THE COMPLETION OF COVERED COURT @ BRGY. BINAY</t>
  </si>
  <si>
    <t>Supply / Delivery of Medical Supplies</t>
  </si>
  <si>
    <t>Procurement of Premium Gasoline - PGO</t>
  </si>
  <si>
    <t>Purchased of Flu Vaccine for SK Barangay Silangan 2 Rosario, Cavite</t>
  </si>
  <si>
    <t>Construction of Multipurpose Building of Ihan, Kiblawan, Davao del sur</t>
  </si>
  <si>
    <t>Lunch and Snacks for 200 pax</t>
  </si>
  <si>
    <t>G-2020-255 Supply and Installation of Office Partition, Sangguniang Panlungsod</t>
  </si>
  <si>
    <t>CONSTRUCTION OF DRAINAGE ALONG F.S. PAJARES AVE. (JCT.SANSON ST. - CABRERA ST.) WESTERN SIDE    DRRMF20-1000-2-b10</t>
  </si>
  <si>
    <t>SUPPLY AND DELIVERY OF RESCUE VEHICLE</t>
  </si>
  <si>
    <t>Procurement of Spare parts and Services - OVG</t>
  </si>
  <si>
    <t>REHAB.OF ROAD (INCL.BOX CULVERT) AT JCTN.NATL HWAY   MAHOGANY LEADING TO SCHOOL SITE, BUENAVISTA     DF19-8000- B1-b13</t>
  </si>
  <si>
    <t>Procurement of Various Office Supplies - PAGSO</t>
  </si>
  <si>
    <t>Procurement of Banana Cardava Plantlets - PAGSO</t>
  </si>
  <si>
    <t>Procurement of Various Office Supplies - PHSO</t>
  </si>
  <si>
    <t>Procurement of Vehicle Spare parts - PGO</t>
  </si>
  <si>
    <t>Procurement of One (1) Unit Digital Photocopier - SDH</t>
  </si>
  <si>
    <t>Procurement of Various Office Supplies - PSWDO</t>
  </si>
  <si>
    <t>Procurement of Various Laboratory Supplies - SDH</t>
  </si>
  <si>
    <t>PR 1-20-06-0732, FOR USE OF REPAIR &amp; MAINTENANCE FOR VARIOUS ROADS OF BRGY CODCOD.</t>
  </si>
  <si>
    <t>Procurement of Materials for the Demolition of Dilapidated Multi-Purpose Gymnasium @ Maslog, Eastern Samar</t>
  </si>
  <si>
    <t>PR 1-20-06-0699, FOR USE OF WIDENING &amp; IMPROVEMENT ALONG LEFT SIDE OF CIRCUMFERENTIAL ROAD (C-2) (FROM JUNCTION ECO-TOURISM HIGHWAY TO BATICULAN CREEK) 2ND REVISION.</t>
  </si>
  <si>
    <t>Procurement of Various Vehicle Spare Parts - PGO</t>
  </si>
  <si>
    <t>PR 1-20-06-0683, FOR USE OF  REP. AND MAINT. OF CITY ROADS.</t>
  </si>
  <si>
    <t>PR 1-20-06-0659, FOR USE IN ANIMAL DISEASE CONTROL PROGRAM, CITY AGRICULTURE OFFICE, THIS CITY.</t>
  </si>
  <si>
    <t>Procurement of One (1) Unit Rescue Vehicle - PDRRMO</t>
  </si>
  <si>
    <t>PR 1-20-06-0649, FOR USE IN THE  ELECTRICAL SERVICES, (CED ) THIS CITY.</t>
  </si>
  <si>
    <t>PR 1-20-03-0487, FOR USE OF OFFICE OF THE BUILDING OFFICIAL, CITY ENGINEERING DEPARTMENT.</t>
  </si>
  <si>
    <t>Procurement of GOODS FOR THE Installation of RAIN WATER HARVESTER</t>
  </si>
  <si>
    <t>CONC./IMPVT.OF ROAD AT SUNRISE VILLAGE, TIGUMA     2SAIP20-8000-C1a4</t>
  </si>
  <si>
    <t>PR 1-20-06-0680, FOR USE OF CITY ENGINEERING DEPARTMENT ASSIGNED AT CED, THIS CITY.</t>
  </si>
  <si>
    <t>PR 1-20-03-0482, FOR USE AT THE OFFICE OF THE CITY AGRICULTURIST, THIS CITY.</t>
  </si>
  <si>
    <t>G-2020-399 Supply and Delivery of Printed Materials, City Population Management Office</t>
  </si>
  <si>
    <t>PR 9-20-06-0671, FOR THE USE OF SAN CARLOS CITY HOSPITAL, THIS CITY.</t>
  </si>
  <si>
    <t>PR 1-20-04-0532, FOR USE OF TRAFFIC ENFORCER’S UNIFORM SAN CARLOS CITY NEG. OCC.</t>
  </si>
  <si>
    <t>PR 9-20-06-0740, FOR USE OF THE SAN CARLOS CITY HOSPITAL, THIS CITY.</t>
  </si>
  <si>
    <t>2LSSM2020A-282 Military, Police &amp; Traffic Supplies</t>
  </si>
  <si>
    <t>2LSSM2020A-281 Printing and Publication</t>
  </si>
  <si>
    <t>Quarter Master Item</t>
  </si>
  <si>
    <t>PR 9-20-06-0734, FOR USE OF THE SAN CARLOS CITY HOSPITAL, THIS CITY.</t>
  </si>
  <si>
    <t>PR 18-20-06-0646, CONSTRUCTION AND DEVELOPMENT OF LAND CIRCUMFERENTIAL ROAD (C-1 BOULEVARD) PORT AREA, BRGY VI, SAN CARLOS CITY (FILLING FOR EMBANKMENT).</t>
  </si>
  <si>
    <t>2LSSM2020A-280 Procurement of Furniture &amp; Fixtures</t>
  </si>
  <si>
    <t>PR 9-20-06-0695, FOR THE USE OF SAN CARLOS CITY HOSPITAL, THIS CITY.</t>
  </si>
  <si>
    <t>G-2020-164 Supply and Delivery of Ink &amp; Toner, City Schools Division</t>
  </si>
  <si>
    <t>PR 9-20-06-0739, FOR THE USE OF SAN CARLOS CITY HOSPITAL, THIS CITY.</t>
  </si>
  <si>
    <t>PR 9-20-06-0676, FOR USE OF THE SAN CARLOS CITY HOSPITAL, THIS CITY.</t>
  </si>
  <si>
    <t>Provision of food supplies</t>
  </si>
  <si>
    <t>Procurement of Various Office Supplies - SDH</t>
  </si>
  <si>
    <t>RFQ August 2020 -B</t>
  </si>
  <si>
    <t>PR 401-20-03-0453, FOR USE OF THE VARIOUS WATER INFRASTUCTURE PROJECTS OF THE CITY IN COMPLIANCE TO EXISTING ENVIRONMENTAL LAWS AND ADMINISTRATIVE ORDERS.</t>
  </si>
  <si>
    <t>RFQ July 2020</t>
  </si>
  <si>
    <t>2LSSM2020A-279 Procurement of Equipment</t>
  </si>
  <si>
    <t>Supply and Delivery of desktop computers-engineering</t>
  </si>
  <si>
    <t>PR 1-20-03-0497, FOR THE USE OF GUESTS, FACILITATORS AND VISITORS OF THE PUBLIC EMPLOYMENT SERVICE OFFICE, THIS CITY.</t>
  </si>
  <si>
    <t>FURNISHING OF LABOR AND MATERIALS FOR THE IMPROVEMENT OF MULTI-PURPOSE HALL</t>
  </si>
  <si>
    <t>FURNISHING OF LABOR AND MATERIALS FOR THE CONSTRUCTION OF DRAINAGE CANAL</t>
  </si>
  <si>
    <t>Office Equipment's</t>
  </si>
  <si>
    <t>Procurement of Office Equipment for the official use of Planning Support Unit  of CENRO Real, Quezon for CY-2020</t>
  </si>
  <si>
    <t>RFQ August 2020</t>
  </si>
  <si>
    <t>G-2020-411 Supply and Delivery of Promotional Materials, Office of the City Mayor</t>
  </si>
  <si>
    <t>G-2020-407 Supply and Delivery of Office &amp; Janitorial Supplies, City General Services Office</t>
  </si>
  <si>
    <t>G-2020-403 Supply and Delivery of I.T. Equipment, Office of the City Mayor - Peace &amp; Order Program</t>
  </si>
  <si>
    <t>Purchase of CCTV with Installation</t>
  </si>
  <si>
    <t>G-2020-404 Supply and Delivery of Toner, City Engineering &amp; Infrastructure Development Department</t>
  </si>
  <si>
    <t>Supply and Delivery of Catering Services for the Updating of MDRRM Plan and Formulation of BDRRM Plans</t>
  </si>
  <si>
    <t>Construction Project(Handwashing Facility and Drainage)</t>
  </si>
  <si>
    <t>G-2020-412 Supply and Delivery of Purified &amp; Alkaline Water, Office of the City Mayor</t>
  </si>
  <si>
    <t>FURNISHING OF MATERIALS FOR THE SECONDARY LINE P.E PIPE WATER SYSTEM</t>
  </si>
  <si>
    <t>Supply and Delivery of Pest Control Products</t>
  </si>
  <si>
    <t>Procurement of Professional Services for the Structural Design of the Proposed Maddela District Hospital Building</t>
  </si>
  <si>
    <t>FURNISHING OF LABOR AND MATERIALS FOR THE CONCRETING OF BARANGAY ROAD</t>
  </si>
  <si>
    <t>Rehabilitation/Improvement of Multi-Purpose Building Phase II</t>
  </si>
  <si>
    <t>Provision of meals and snacks</t>
  </si>
  <si>
    <t>PURCHASED OF BRGY PATROL CAR ( MOTORCYCLE W/ SIDECAR)</t>
  </si>
  <si>
    <t>20CE0230: Network Development – Construction of By-Pass and Diversion Roads - San Roque – Bacayao Road, Guimba By-Pass, Package 2, Nueva Ecija</t>
  </si>
  <si>
    <t>G-2020-409 Supply and Delivery of Meals and Snacks, City Population Management Office</t>
  </si>
  <si>
    <t>CONSTRUCTION OF RIP RAP - 20% EDF 2019</t>
  </si>
  <si>
    <t>Procurement of Window Grills - SLPL</t>
  </si>
  <si>
    <t>SUPPLY AND DELIVERY OF MATERIALS FOR THE EXTENSION OF MULTI PURPOSE HALL (SLAB), BRGY. TUBIGAN, UNISAN, QUEZON</t>
  </si>
  <si>
    <t>GOODS 2020-014(NP) Supply and Delivery of  1,500 PCS. REAL PROPERTY TAX ACCOUNT REGISTER (RPTAR)</t>
  </si>
  <si>
    <t>Referee Services</t>
  </si>
  <si>
    <t>Procurement of Aluminum Flexible Duct and Centrifugal Fan Blower</t>
  </si>
  <si>
    <t>Purchase of Medal and Trophies</t>
  </si>
  <si>
    <t>G-2020-400 Supply and Delivery of Office Furniture, Office of the City Mayor - Peace and Order Program</t>
  </si>
  <si>
    <t>Flood Control (Malico)</t>
  </si>
  <si>
    <t>IMPROVEMENT OF BARANGAY STREETLIGHT - 20% EDF 2019</t>
  </si>
  <si>
    <t>RFQ Sept 2020</t>
  </si>
  <si>
    <t>2LSSM2020A-276 Office Supplies</t>
  </si>
  <si>
    <t>PR 9-20-03-0415, FOR THE REPLACEMENT OF AIRCON UNIT FOR DELIVERY ROOM, LABOR ROOM, &amp; PHARMACY SECTION OF THE CITY HOSPITAL.</t>
  </si>
  <si>
    <t>PR 1-20-06-0733, FOR USE OF REPAIR &amp; MAINTENANCE FOR VARIOUS ROADS OF BRGY QUEZON.</t>
  </si>
  <si>
    <t>2LSSM2020A-277 Other Supplies and Materials</t>
  </si>
  <si>
    <t>CONSTRUCTION OF 	TRIBAL CENTER</t>
  </si>
  <si>
    <t>PR 1-20-06-0681, FOR USE OF THE SAN CARLOS CITY POLICE STATION AND REGIONAL MOBILE FORCE BATTALION 6, ASSIGNED IN THIS CITY.</t>
  </si>
  <si>
    <t>Purchase of Heavy Equipment (Brand New) 1. Boom Truck (Hydraulic) at Dinapigue, Isabela</t>
  </si>
  <si>
    <t>2LSSM2020A-278 Other Supplies and Materials</t>
  </si>
  <si>
    <t>Procurement of Various Electrical Supplies-06-376(O)PEO</t>
  </si>
  <si>
    <t>5 Units Duplicating Machine, 5 Units Photocopier Machines for LGU-Cabatuan, Iloilo</t>
  </si>
  <si>
    <t>Concreting of Farm to Market Road with Slope Protection at Sitio San Julian-Caniogan, Brgy. Escoda, Marcos, Ilocos Norte</t>
  </si>
  <si>
    <t>OTHER SUPPLIES, 1ST QUARTER - MAYOR'S OFFICE</t>
  </si>
  <si>
    <t>Procurement of Various Spare Parts-06-375(O)PEO</t>
  </si>
  <si>
    <t>Procurement of Various Aggregates Supplies-06-383(O)PEO</t>
  </si>
  <si>
    <t>PR 9-20-04-0533, FOR THE USE OF SAN CARLOS CITY HOSPITAL, THIS CITY.</t>
  </si>
  <si>
    <t>MG-LGD20-002..FUEL, GASOLINE, DIESEL</t>
  </si>
  <si>
    <t>MAILING DELIVERY SERVICES/REQ06594</t>
  </si>
  <si>
    <t>MISC. - LIQUID DETERGENT (9th POSTING)</t>
  </si>
  <si>
    <t>SUPPLY AND DELIVERY OF LATERAL STEEL CABINET WITH 4 DRAWERS, ETC. FOR SP SECRETARY</t>
  </si>
  <si>
    <t>10 pcs Auto Bulb 24 volts (double big) and other items for stop light and signal light of vaccum trucks 1-8 used.</t>
  </si>
  <si>
    <t>Supply &amp; Delivery of FURNITURE &amp; FIXTURES</t>
  </si>
  <si>
    <t>Supply and Delivery of Various Vehicle Parts and Accessories SAAD-139800</t>
  </si>
  <si>
    <t>Aircon-OVCRE</t>
  </si>
  <si>
    <t>20CE0231: Asset Preservation – Preventive Maintenance – Secondary Roads - Bongabon – Rizal – Aurora Rd K0153+819 – K0153+1000</t>
  </si>
  <si>
    <t>Supply and Delivery of Various Construction Materials (Manpower Center)</t>
  </si>
  <si>
    <t>PR 4-20-06-0643, FOR USE OF THE CWD IN THE THREADING OF GI PIPES DURING THE TRANSFERRING OF STUBOUTS FOR THE INSTALLATION OF ENCLOSURES IN THE WHOLE CITY.</t>
  </si>
  <si>
    <t>Purchase of Motorcycles (Brand New)1.Two (2) units of Motorcycles - ₱ 100,000.00 2.One (1) unit of Motorcycle - ₱ 74,200.00 at Dinapigue, Isabela</t>
  </si>
  <si>
    <t>20CE0232: Asset Preservation – Rehabilitation/Reconstruction/Upgrading of Damaged Paved Roads – Primary Roads - Sn Jose – Lupao Rd - K0172+192 – K0172+259</t>
  </si>
  <si>
    <t>Purchase of One (1) unit 4x4 Pick- Up Vehicle (Brand New) at Dinapigue, Isabela</t>
  </si>
  <si>
    <t>AB MOOE ,RRMF AND SK PROJECT 2020 PORJECT-PURCHASE OF CCTV CAMERA, SUPPLIES,DEVICES AND GENERAL MERCHANDISE</t>
  </si>
  <si>
    <t>Purchase of Assorted Medicines</t>
  </si>
  <si>
    <t>G-2020-401 Supply and Delivery of Office &amp; Janitorial Supplies, Office of the City Mayor - Peace &amp; Order Program</t>
  </si>
  <si>
    <t>1 unit Photocopier</t>
  </si>
  <si>
    <t>meals and snacks for Admin. Div. Mid-year Checkpoint</t>
  </si>
  <si>
    <t>Supply and Delivery of Various Vehicle Parts and Accessories SAAD-215200</t>
  </si>
  <si>
    <t>SUPPLY OF LABOR AND MATERIALS FOR THE HAULING, TRANSPORT AND TREATMENT of various BIOLOGICAL, CHEMICAL, ELECTRICAL and ELECTRONICS EQUIPMENT WASTES</t>
  </si>
  <si>
    <t>Installation of Isolation Booth for PUM &amp; PUI @ San Pedro National High School, San Pedro</t>
  </si>
  <si>
    <t>Materials for the Concreting of Footwalk, Brgy. Zone 10, Cabatuan, Iloilo</t>
  </si>
  <si>
    <t>PR No.2020-05-58– PURCHASE OF ICT EQUIPMENTS for official use of DENR-CAR, PENRO Mountain Province</t>
  </si>
  <si>
    <t>Purchase of Tires for Mayor's Office Vehicle</t>
  </si>
  <si>
    <t>Procurement of Various Construction Supplies and Materials-06-378(O)PEO</t>
  </si>
  <si>
    <t>Procurement of Office Supplies, LGU-Maslog, E. Samar</t>
  </si>
  <si>
    <t>Procurement of Various Electrical Supplies-06-380(O)PEO</t>
  </si>
  <si>
    <t>Continuation of the Construction of CHB Lined Canal at Zone III brgy. Cabalitian, Asingan, Pangasinan.</t>
  </si>
  <si>
    <t>Purchase of One (1) unit Motorcycle (Brand New) at Dinapigue, Isabela</t>
  </si>
  <si>
    <t>Airconditioning Unit for the Use of Isolation Facility, LGU-Cabatuan, Iloilo</t>
  </si>
  <si>
    <t>20DN0145 - CONSTRUCTION OF PEDESTRIAN OVERPASS, MAMBUGAN, ANTIPOLO CITY, RIZAL</t>
  </si>
  <si>
    <t>Procurement of Various Electrical Supplies-06-377(O)PEO</t>
  </si>
  <si>
    <t>One year Zoom Subscription For the conduct of online audio-video conferencing activities of Regional, Provincial and HUC Offices</t>
  </si>
  <si>
    <t>Retrofitting of Suspension Bridge I @ Maslog, Eastern Samar</t>
  </si>
  <si>
    <t>Procurement of Materials for the Upgrading of Meter Stand of Maslog Water District, Maslog, Eastern Samar</t>
  </si>
  <si>
    <t>INFORMATION AND COMMUNICATION TECHNOLOGY EQUIPMENT - OFFICE OF THE CITY MAYOR</t>
  </si>
  <si>
    <t>Supply and Delivery of Disposable Facemask,Alcohol 70%,Washable Facemask,Acrylic glass table protector,Disinfectant solution and sticker paper for official use of Coun. AAron Calixto S. Cataquiz</t>
  </si>
  <si>
    <t>RFQ FOR CONSTRUCTION SUPPLIES</t>
  </si>
  <si>
    <t>Invitation to Bid (Multicab Patrol Car Type)</t>
  </si>
  <si>
    <t>2020-12-S- Supply and Delivery of Road Materials use for Sealing of Bituminous Pavements along Various National Roads</t>
  </si>
  <si>
    <t>Medical and Laboratory Supplies</t>
  </si>
  <si>
    <t>Additional Network Components for BTMS Infrastructure</t>
  </si>
  <si>
    <t>Materials for the Concreting of Farm to Market Road, Brgy. Anuang, Cabatuan, Iloilo</t>
  </si>
  <si>
    <t>CONSTRUCTION OF COMFORT ROOM AT PSAU GATE 2 -2nd Posting</t>
  </si>
  <si>
    <t>Purchase of Five (5) Units Resographer, DepEd, Poblacion, Anda, Bohol</t>
  </si>
  <si>
    <t>CONSTRUCTION/REHABILITATION OF RCBC WITH SLOPE PROTECTION (NATIONAL HIGHWAY-TABUD ROAD, BGY. PANITIAN, QUEZON, PALAWAN)</t>
  </si>
  <si>
    <t>PROPOSED DEVELOPMENT OF OPEN – AIR AUDITORIUM GROUNDS TONDALIGAN BLUE BEACH, BONUAN GUESET, DAGUPAN CITY</t>
  </si>
  <si>
    <t>Procurement of Various Housekeeping Supplies and Office Supplies - PEO - MOTORPOOL</t>
  </si>
  <si>
    <t>REHABILITATION OF DRAINAGE</t>
  </si>
  <si>
    <t>PURCHASE OF 1 UNIT HEAVY EQUIPMENT (CONVERTIBLE INTO GARBAGE TRUCK)</t>
  </si>
  <si>
    <t>MATERIALS, EQUIPMENT EXPENSES &amp; FREIGHT AND HANDLING FOR CONSTRUCTION OF SOLAR DRIER @ Prk. Lasar, Calabanit, Glan, Sarangani Province</t>
  </si>
  <si>
    <t>Procurement of two (2) units of Motorcycle Vehicles</t>
  </si>
  <si>
    <t>SUPPLY AND DELIVERY OF  GIANT BAMBOO</t>
  </si>
  <si>
    <t>Rechargeable Twinhead Emergency Lamps</t>
  </si>
  <si>
    <t>Construction of Multi-Purpose Building (Ballot Box Storage) Municipal Compound, Brgy. Anoling, General Nakar, Quezon</t>
  </si>
  <si>
    <t>CONSTRUCTION OF SPILLWAY  (SITIO KALAMPINAY, EL NIDO, PALAWAN)</t>
  </si>
  <si>
    <t>Procurement of 1 lot  Meals &amp; Snack;PR No. 20-1449 dated February 11, 2020</t>
  </si>
  <si>
    <t>Supply &amp; Delivery 18 crtg Optimum Toner &amp; other item; PR No. 20-1452 dated June 1, 2020</t>
  </si>
  <si>
    <t>Repair and Maintenance of Vehicle (Purchase of Tires)</t>
  </si>
  <si>
    <t>SUPPLY &amp; DELIVERY OF THREE (3) PIECES OF 4” (100MM) AND ONE (1) PIECE OF 6” (150MM) FLOW METER TO BE USED IN THE PUMPING STATIONS OF CABIAO WATER DISTRICT</t>
  </si>
  <si>
    <t>Procurement of Mini Dump Truck</t>
  </si>
  <si>
    <t>Request for Quotation for the Provision of Catering services to be used during the conduct of Establishment and Maintenance of Communal Gardens in support to Urban Agriculture Program on July to Octob</t>
  </si>
  <si>
    <t>PR No. 20061189 – Supply and Delivery of One (1) unit Emergency Vehicle</t>
  </si>
  <si>
    <t>Supply and Delivery of Printers and Printing Materials for the Offline Learning in Response for COVID-19 Pandemic (by Lot)</t>
  </si>
  <si>
    <t>Request for Quotation for the Provision of Animal feeds for extension Support to be beneficiaries under the Back to Basic Program</t>
  </si>
  <si>
    <t>Supply and Delivery of School and Office Supplies</t>
  </si>
  <si>
    <t>2020-11-S- Supply and Delivery of materials for use in Repairing and/or Replacing Minor Drainage Structures along Various National Roads</t>
  </si>
  <si>
    <t>Procurement of Various Office Supplies, Aluminum Ladder &amp; Furniture - Lot 3 - Furniture - PASSO</t>
  </si>
  <si>
    <t>Procurement of Various Office Supplies, Aluminum Ladder &amp; Furnitures - Lot 1 - Various Office Supplies - PASSO</t>
  </si>
  <si>
    <t>For the Implementation of SETUP 2.0 Project 1 and to serve as a facilitator/s during the conduct of Focus Group Discussion in the stated above industry/sectors and to the preparation and submission of</t>
  </si>
  <si>
    <t>ORD PABAC 023-20  Procurement of 12,100 rds RPG, 40mm, HE</t>
  </si>
  <si>
    <t>ORD PABAC 022-20  Procurement of 1,120 rds Ctg, 105mm, HE-ERBB</t>
  </si>
  <si>
    <t>CONSTRUCTION OF GOVERNMENT BUILDING/STRUCTURE - PROCURMENT OF MATERIALS</t>
  </si>
  <si>
    <t>CONSTRCUTION OF TRIBAL CENTER</t>
  </si>
  <si>
    <t>BEAUTIFICATION OF BOULEVARD ROAD (PLANT BOX AND LANDSCAPING)</t>
  </si>
  <si>
    <t>ESTABLISHMENT OF ROAD RETAINING WALL (BRGY. PINILI)</t>
  </si>
  <si>
    <t>NOTICE OF INVITATION TO SUBMIT PRICE QUOTATION FOR THE 2020 REPAIR OF PERIMETER FENCE (PHASE I) OF NFA COMPOUND, LARENA, SIQUIJOR</t>
  </si>
  <si>
    <t>REQUEST FOR QUOTATION (RFQ) PROCUREMENT FOR LAPTOP FOR WORK FROM HOME PERSONNEL RFQ No.049 -2020</t>
  </si>
  <si>
    <t>REHABILITATION / IMPROVEMENT OF MULTI-PURPOSE CENTER</t>
  </si>
  <si>
    <t>Construction of Seawall Phase 1</t>
  </si>
  <si>
    <t>Purchase of Maintenance Materials for Vinyl Roll Type Flooring at Terminal 1 (ris 20-88-081)</t>
  </si>
  <si>
    <t>SHIPPING OF NFP CHARTS (STM, BBT, CMM, REVISED FORM1) TO THE REGIONAL OFFICE</t>
  </si>
  <si>
    <t>CONCRETING OF ROAD OF 150M X 4M X. 15LM FARM TO MARKET ROAD</t>
  </si>
  <si>
    <t>Procurement of Personal Protective Equipment for the use of New RHU and FP Center</t>
  </si>
  <si>
    <t>REQUEST FOR QUOTATION FOR THE Supply and Delivery of 12,000 Liters of Diesel Fuel</t>
  </si>
  <si>
    <t>Const. of Local Road at Brgy. Poblacion Diplahan Zambo. Sibugay</t>
  </si>
  <si>
    <t>Purchase of Medical Supplies for MHO @ Samal,Bataan</t>
  </si>
  <si>
    <t>106CO-6IB, 6ID, PA-2020-455</t>
  </si>
  <si>
    <t>Fuels/fuel Additives and Lubricants and Anti Corrisive</t>
  </si>
  <si>
    <t>Vehicle Parts for the Repair &amp; Maintenance of PNP Service Patrol Toyota H-lux</t>
  </si>
  <si>
    <t>Supply/Delivery of IT Equipment for use in theOffice of the Sangguniang Bayan (PR# 20-06-0643).</t>
  </si>
  <si>
    <t>P.R. # 20-06-063 For the repair and maintenance of national roads and bridges within Caloocan City and Valenzuela City, C.Y. 2020 Routine Maintenance 3rd Quarter (July to September)</t>
  </si>
  <si>
    <t>Procurement of Various Office Supplies, Aluminum Ladder &amp; Furnitures - Lot 2 - Aluminum Ladder - PASSO</t>
  </si>
  <si>
    <t>Chairs</t>
  </si>
  <si>
    <t>SUPPLY OF LABOR AND MATERIALS FOR THE PREVENTIVE MAINTENANCE AND CALIBRATION VARIOUS LABORATORY EQUIPMENT</t>
  </si>
  <si>
    <t>Provision/Improvement of Hand Wash Area - San Miguel, Puraran, Guinsaanan, Moning, Abihao (rebid)</t>
  </si>
  <si>
    <t>Supply and Delivery of Two (2) units Brand New PATROL VAN for MCDRRMO/OPSS, City Government of Marikina</t>
  </si>
  <si>
    <t>46 Books Local Guiding Services, etc.</t>
  </si>
  <si>
    <t>SUPPLY AND DELIVERY OF CONSTRUCTION MATERIALS FOR PAINTING OF CURB, GUTTER AND STREETLIGHT POST</t>
  </si>
  <si>
    <t>supply and delivery goods for TRAINING EXPENSES NIFSL4</t>
  </si>
  <si>
    <t>Procurement of Various Construction Supplies and Materials-06-100(Q)ZNMC</t>
  </si>
  <si>
    <t>INSTALLATION OF SOLAR STREETLIGHTS AT BIAC NA BATO ST., BRGY. SILANGAN I, ROSARIO, CAVITE</t>
  </si>
  <si>
    <t>Procurement of Various Construction Supplies and Materials-06-379(O)PEO</t>
  </si>
  <si>
    <t>20GN0093 - Concreting of Brgy. Dulao FMR, Brgy. Dulao, Bago City, Negros Occidental</t>
  </si>
  <si>
    <t>OFFICE EQUIPMENT SUPPLIES &amp; CONSUMABLES</t>
  </si>
  <si>
    <t>Procurement of Various Construction Supplies and Materials-06-382(O)PEO</t>
  </si>
  <si>
    <t>Supply and delivery of materials for the completion of barangay gym at Brgy. Donganpekong, Matanao, Davao del Sur</t>
  </si>
  <si>
    <t>procurement of agricultural products/mdrrmc</t>
  </si>
  <si>
    <t>One (1) lot – Supply and Delivery of supplies for street maintenance for City Engineering</t>
  </si>
  <si>
    <t>20DN0146 - CONSTRUCTION/ REHABILITATION OF MULTI - PURPOSE BUILDING, BRGY. BAGONG NAYON, ANTIPOLO CITY, RIZAL</t>
  </si>
  <si>
    <t>SUPPLY  AND DELIVERY OF IT EQUIPMENT AND ACCESSORIES FOR THE CITY HEALTH OFFICE - TWO FAILED BIDDING</t>
  </si>
  <si>
    <t>PRE-BID CONFERENCE 7/July/2020 - Procurement of Goods: Const'n Materials for the use of CMO-Const'n of Parks &amp; Plaza's in Brgy's &amp; Subd. (Arena Stage Rear) at City Gov't Center (PR#100-20-06-0214)</t>
  </si>
  <si>
    <t>Supply and Delivery Water System Materials &amp; Fittings</t>
  </si>
  <si>
    <t>For acquisition of 85 spineboards for the use of the public schools in the City School Division.</t>
  </si>
  <si>
    <t>Supply and Delivery of Two (2) units Brand New MOTORCYCLE for MCDRRMO/OPSS, City Government of Marikina</t>
  </si>
  <si>
    <t>Installation of  Street light at Pob. Diplahan ZSP.</t>
  </si>
  <si>
    <t>Parts and Labor Services (Repair of Various Service Vehicle)</t>
  </si>
  <si>
    <t>purchase of photocopier machine for Budget Office</t>
  </si>
  <si>
    <t>REPAIR OF 36 UNITS CCTV CAMERAS AND INSTALLATION OF 7 UNITS CCTV CAMERAS</t>
  </si>
  <si>
    <t>PROCUREMENT ON THE DELIVERY OF MATERIALS FOR THE PROPOSED SOLAR STREET LIGHTING</t>
  </si>
  <si>
    <t>Provision of Office Equipment for Felipe Tayko Memorial School - Siaton Negros Oriental</t>
  </si>
  <si>
    <t>Construction of Deep well, Purok Narra</t>
  </si>
  <si>
    <t>SUPPLY AND DELIVERY OF PORTABLE MICROBIOLOGICAL TEST FOR WATER</t>
  </si>
  <si>
    <t>GAUDENCIO SALDIVAR SR. ES MOOE APRIL-MAY 2020</t>
  </si>
  <si>
    <t>UPGRADING OF LEVEL III WATER SUPPLY SYSTEM (PHASE IV)</t>
  </si>
  <si>
    <t>Supply and Delivery of Two (2) units Brand New COMPACT PASSENGER VAN for MSO-BHHRD, City Government of Marikina</t>
  </si>
  <si>
    <t>PROCUREMENT OF MATERIALS FOR FABRICATION OF FIBERGLASS PUMP BOAT</t>
  </si>
  <si>
    <t>supply and delivery goods for RE EXPENSES NIFSL4</t>
  </si>
  <si>
    <t>Supply/Delivery of IT Equipment for use in the Office of the Municipal Vice Mayor. (PR# 20-06-0644).</t>
  </si>
  <si>
    <t>SUPPLY AND DELIVERY OF 100 PCS VOLUMETRIC WATER METER</t>
  </si>
  <si>
    <t>CONSTRUCTION REHABILITATION OF CONCRETE ROAD</t>
  </si>
  <si>
    <t>PROCUREMENT OF VARIOUS EQUIPMENT FOR C.E. LABORATORY</t>
  </si>
  <si>
    <t>SUPPLY AND INSTALLATION OF CLOSED CIRCUIT TELEVISION (CCTV) SYSTEM CAMERA</t>
  </si>
  <si>
    <t>Construction of Gymnasium (Phase VI) at Bauang North Central School, Central East, Bauang</t>
  </si>
  <si>
    <t>SUPPLY AND DELIVERY OF CONSTRUCTION MATERIALS FOR IMPROVEMENT OF PERIMETER FENCE</t>
  </si>
  <si>
    <t>Agricultural Machinery &amp; Equipment</t>
  </si>
  <si>
    <t>P.R. # 20-06-067 For the repair and maintenance of National roads &amp; bridges within Caloocan City &amp; Valenzuela City, For Work Category No. 18-Repainting of Faded Pavement Markings for the Month of July</t>
  </si>
  <si>
    <t>Construction of Brgy. Multi-purpose Building, Brgy. Ninoy Aquino, Canlaon City</t>
  </si>
  <si>
    <t>Purchase of Kitchenware</t>
  </si>
  <si>
    <t>QUADRIVALENT SEASONAL INFLUENZA VACCINA</t>
  </si>
  <si>
    <t>PROCUREMENT OF SACKS OF RICE (Including Freight &amp; handling) FOR THE MENACE OF N-COVID 19 UNDER BGCM</t>
  </si>
  <si>
    <t>Request for Price Quotation for Delivery and installation of 2 units facial recognition</t>
  </si>
  <si>
    <t>Procurement of Office Equipment to be distributed in selected Barangays, Province of Surigao del Sur.</t>
  </si>
  <si>
    <t>SUPPLY AND DELIVER HORIZONTAL ARCHILLE (BLUE)</t>
  </si>
  <si>
    <t>Medical Supplies to be used by the Felipe Tayko Memorial School Personnel/Teachers</t>
  </si>
  <si>
    <t>Cocoy – Natpugan Road Improvement</t>
  </si>
  <si>
    <t>20GK0226 - Concreting of Brgy. General Luna to Brgy. Barrera FMR, Brgy. General Luna and Brgy. Barrera, Sagay City, Negros Occidental</t>
  </si>
  <si>
    <t>S &amp; D of Spare parts (P. Agri)</t>
  </si>
  <si>
    <t>P.R. # 20-06-068 For the repair and maintenance of National roads &amp; bridges within Caloocan City &amp; Valenzuela City, C.Y. 2020 Routine Maintenance 3rd Quarter (July to September)</t>
  </si>
  <si>
    <t>Site Development of Municipal Sta. Rita Housing Project (Phase III)</t>
  </si>
  <si>
    <t>20GK0227 - Concreting of Brgy. Lagaan FMR, Brgy. Lagaan, Calatrava, Negros Occidental</t>
  </si>
  <si>
    <t>Repair and Rehabilitation of Municipal Streets Roads</t>
  </si>
  <si>
    <t>PURCHASE OF MEAT VAN VEHICLE</t>
  </si>
  <si>
    <t>10 rms Book paper short</t>
  </si>
  <si>
    <t>SUPPLY AND DELIVERY OF CONSTRUCTION MATERIALS FOR IMPROVEMENT OF ITC COMPOUND</t>
  </si>
  <si>
    <t>Procurement of One (1) Unit Rescue Vehicle</t>
  </si>
  <si>
    <t>FOR THE CONSTRUCTION OF BODEGA AT MUNICIPAL NURSERY AS TOCK ROOM FOR PROCESSING EQUIPMENT</t>
  </si>
  <si>
    <t>Purchase and delivery of One (1) Unit Motor Vehicle - Patrol Vehicle</t>
  </si>
  <si>
    <t>Procurement of materials &amp; office supplies for Different offices</t>
  </si>
  <si>
    <t>Amdalagan – Binag-il Road Improvement</t>
  </si>
  <si>
    <t>SUPPLY AND DELIVER INK CARTRIDGE, HP F6V26AA (HP680), TRI-COLOR, ETC.</t>
  </si>
  <si>
    <t>Insurance/PCC</t>
  </si>
  <si>
    <t>1,520 ltrs Diesel Fuel</t>
  </si>
  <si>
    <t>CONSTRUCTION OF BAMBOO GREEN HOUSE/NURSERY, MAPAWAY</t>
  </si>
  <si>
    <t>PROCUREMENT OF JANITORIAL,OFFICE SUPPLIES,AND MATERIALS FOR MAYORS OFFICE,OLSB,MVFMROM,BOTICA NG BAYAN AND BRGY. AFFAIRS</t>
  </si>
  <si>
    <t>Supplies and Equipment for Coconut By-Products Processing</t>
  </si>
  <si>
    <t>Supply and Delivery of Gauze Roll for Municipal Health Office</t>
  </si>
  <si>
    <t>REHABILITATION OF LINED CANAL AND DRAINAGE (PARTIAL)</t>
  </si>
  <si>
    <t>SUPPLY AND DELIVER EXTERNAL HARD DISK DRIVE (4TB), ETC.</t>
  </si>
  <si>
    <t>Catering services including room accommodation during 2-day training on business enterprise management</t>
  </si>
  <si>
    <t>BILLING NOTICE WITH STATEMENT OF ACCOUNT</t>
  </si>
  <si>
    <t>MG-TSE20-021..PROTECTION RELAY, DIGITAL</t>
  </si>
  <si>
    <t>SUPPLY AND DELIVERY OF GENERAL MERCHANDISE FOR VARIOUS PURCHASE REQUESTS OF THE CITY UNDER SMALL VALUE PROCUREMENT</t>
  </si>
  <si>
    <t>Office Supplies Expense-OTDCS-P69,118.90</t>
  </si>
  <si>
    <t>Office Supplies for Budget Office</t>
  </si>
  <si>
    <t>meals and snacks for CDD Disaster Response Operation Kalilangan, Bukidnon</t>
  </si>
  <si>
    <t>Construction of Multi Purpose Building Phase I</t>
  </si>
  <si>
    <t>PROCUREMENT OF VACUUM PACK SEALER</t>
  </si>
  <si>
    <t>Construction of Temporary Facility (Toilet) for Frontliners Barangay San Jose, Malaybalay City.</t>
  </si>
  <si>
    <t>P.R. # 20-06-069 For the repair and maintenance of National roads &amp; bridges within Caloocan City &amp; Valenzuela City, C.Y. 2020 Routine Maintenance for the Purchase of Asphaltic Materials (Cold Laid) fo</t>
  </si>
  <si>
    <t>Freight Charges (PDRRMO)</t>
  </si>
  <si>
    <t>Purchase of Medical/Dental Supplies</t>
  </si>
  <si>
    <t>TAMBULIG CES -SPED MOOE APRIL-MAY 2020</t>
  </si>
  <si>
    <t>Supply and Delivery of water supply Fittings and Materials</t>
  </si>
  <si>
    <t>Procurement of Rubberized mattress and black canvass for quarantine facility</t>
  </si>
  <si>
    <t>Repair Maintenance of Road Grader</t>
  </si>
  <si>
    <t>20DN0148 - REHABILITATION OF ROAD WITH DRAINAGE, ORCHID ST., BRGY. MAYAMOT, ANTIPOLO CITY</t>
  </si>
  <si>
    <t>SUPPLY AND DELIVER UNINTERRUPTED POWER SUPPLY (650VA) (BRANDED)</t>
  </si>
  <si>
    <t>20DN0147 - REHABILITATION OF ROAD WITH DRAINAGE, BLUE BELLS ST., BRGY. MAYAMOT, ANTIPOLO CITY</t>
  </si>
  <si>
    <t>Purchase of Computer and Digital Accessories, Storage Devices and Laptops</t>
  </si>
  <si>
    <t>supply and delivery of goods for OTHER SUPPLIES &amp; MATERIALS EXPENSES NIFSL4</t>
  </si>
  <si>
    <t>Supply and delivery of office and janitorial Supplies for the various Offices(SP Office, Mayor’s Office, TMU,CENRO) of the City Government of Kidapawan.</t>
  </si>
  <si>
    <t>SUPPLY AND DELIVERY OF CONSTRUCTION MATERIALS FOR PERIMETER FENCE OF BUSWAK SPRING SOURCE</t>
  </si>
  <si>
    <t>Supply and Delivery of Four (4) units Brand New ALUMINUM VAN  for MCDRRMO/GSO, City Government of Marikina</t>
  </si>
  <si>
    <t>Procurement of construction materials for Road Improvement ( Concrete)@ Purok 1,Inggo Agus Street, San Jose</t>
  </si>
  <si>
    <t>Request for the purchase of LPG refill for the use of CTDMO, Pasig City.</t>
  </si>
  <si>
    <t>Repair and Maintenance for Municipal Vehicle SGN 250</t>
  </si>
  <si>
    <t>Purchase of Tire &amp; Battery for Municipal Payloader Gumaca, Quezon</t>
  </si>
  <si>
    <t>Purchase/Delivery of Materials for the Improvement of PWD Office - Brgy. Pob. West, Umingan, Pangasinan.</t>
  </si>
  <si>
    <t>20DN0149 - REHABILITATION OF ROAD WITH DRAINAGE, CAROLINA VILLAGE, STA. CRUZ, ANTIPOLO CITY, RIZAL</t>
  </si>
  <si>
    <t>MG-TSE20-018..METER MULTIFUNCTION</t>
  </si>
  <si>
    <t>Repair of Municipal Vehicle</t>
  </si>
  <si>
    <t>For Sewing of Face Mask</t>
  </si>
  <si>
    <t>Supply and Delivery of D-Dimer (Quantitative)</t>
  </si>
  <si>
    <t>RFQ - Procurement of Goods: General Merchandise Supplies for the use of CDRRMO (PR#100-20-06-0249)</t>
  </si>
  <si>
    <t>SUPPLY AND DELIVER WEB CAMERA (FULL HIGH DEFINITION), ETC.</t>
  </si>
  <si>
    <t>PROCUREMENT OF MOTOR VEHICLE (PASSENGER VAN)-REBID, DR. JOSE RIZAL MEMORIAL HOSPITAL</t>
  </si>
  <si>
    <t>Supply and Delivery of Misting Solution</t>
  </si>
  <si>
    <t>Aircoditioning parts and Maintenance</t>
  </si>
  <si>
    <t xml:space="preserve">P.R. # 20-06-066 For the repair and maint. of National roads and bridges within Caloocan City &amp; Valenzuela City, C.Y. 2020 Routine Maintenance (For the month of July to September) for Work Categories </t>
  </si>
  <si>
    <t>Purchase of Tires for Gov't Vehicles</t>
  </si>
  <si>
    <t>Purchase of Motorcycle for Brgy. Canroma, Pontevedra, Neg. Occ.</t>
  </si>
  <si>
    <t>Street Lighting</t>
  </si>
  <si>
    <t>Supply and Delivery of ICT Equipment/Devices (GADGET for Good Governance with Enhanced Technology)</t>
  </si>
  <si>
    <t>Supply and Delivery of Headphones, Webcam and Other I.T Supplies for DTI ROX Employees Work From Home Arrangement(2020-06-169A)</t>
  </si>
  <si>
    <t>Printing of Needed Materials for the Implementation of Day Care Service for the Year 2020-2021</t>
  </si>
  <si>
    <t>INVITATION TO PAKYAW GROUP - TC-CAM-KBL CIS-2018-LABOR-02</t>
  </si>
  <si>
    <t>PURCHASE OF OFFICE EQUIPMENT, SUPPLIES &amp; DEVICES</t>
  </si>
  <si>
    <t>CONCRETING OF 150 L-METERS SIEMBRE-SAN FRANCISCO FARM TO MARKET ROAD</t>
  </si>
  <si>
    <t>Supply and Delivery of Assorted Office Supplies</t>
  </si>
  <si>
    <t>Acquisition of Multi-Cultivator</t>
  </si>
  <si>
    <t>SUPPLY AND DELIVERY OF 1 UNIT DIGITAL DUPLICATOR MACHINE</t>
  </si>
  <si>
    <t>General Cleaning Services of Airconditioning Units of the City Government of Vigan</t>
  </si>
  <si>
    <t>Hardware Materials for the Proposed Rehabilitation of Shallow well Public Market</t>
  </si>
  <si>
    <t>Other Supplies and Materials (Rehab) July to September 2020</t>
  </si>
  <si>
    <t>Emergency Purchase to prevent spread of covid 19 (PRN2020-4-112)</t>
  </si>
  <si>
    <t>PROCUREMENT OF ONE (1) UNIT BRAND NEW VEHICLE (VAN) TO BE USED FOR MASS TRANSPORT OF  LGU-MOLAVE</t>
  </si>
  <si>
    <t>RFQ - Procurement of Goods: Medical Rescue Supplies for the use of CDRRMO (PR#100-20-06-0248)</t>
  </si>
  <si>
    <t>P.R. # 20-06-079 Ink for Printer Wf-C5790 for use of MMIIIDEO</t>
  </si>
  <si>
    <t>PRE-BID CONFERENCE 7/July/2020 - Procurement of Goods: 120 Units of LAPTOP COMPUTER for the use of DEPED - For Various Schools (PR#200-20-06-0125)</t>
  </si>
  <si>
    <t>Construction of Municipal Slaughterhouse (Phase-1)</t>
  </si>
  <si>
    <t>150 pcs. Polo shirt with print back to back printing</t>
  </si>
  <si>
    <t>Supply and Delivery of 1 Unit Laptop</t>
  </si>
  <si>
    <t>Supply and Delivery of Desktop Computer and Printer for use of Treasurer's Office, this city</t>
  </si>
  <si>
    <t>RFQ COMMON OFFICE SUPPLIES</t>
  </si>
  <si>
    <t>STO20-06-24-0324 Provision of Catering Services, good for  30 pax for the Conduct of CY 2020 Program Level  Fourth Quarter Assessment.</t>
  </si>
  <si>
    <t>Purchase of Construction materials and supplies for Community Isolation Unit for Covid-19</t>
  </si>
  <si>
    <t>Supply and Delivery of Vehicle Parts and Accessories for replacement of worn-out parts of Planning and Design Section Vehicles</t>
  </si>
  <si>
    <t>Procurement of Various Supplies to be used in the project(SPA eJ: Soap Provision &amp; Allocation for every Juan)</t>
  </si>
  <si>
    <t>IT Equipment</t>
  </si>
  <si>
    <t>REQUEST FOR ICT EQUIPMENT</t>
  </si>
  <si>
    <t>Rehabilitation/Improvement of Farm to Market Road</t>
  </si>
  <si>
    <t>P.R. # 20-06-080 Mylar Film for use of Planning &amp; Design Section</t>
  </si>
  <si>
    <t>Photograpy Services</t>
  </si>
  <si>
    <t>20DN0150 - ASPHALT OVERLAY, PINAGMISAHAN ST., BRGY. DELA PAZ, ANTIPOLO CITY</t>
  </si>
  <si>
    <t>Supply and Delivery of Materials for Replacement of Submersible Pump (KALAHI Water System)</t>
  </si>
  <si>
    <t>Supply and Delivery of Aircon for use of Treasurer's Office, this city</t>
  </si>
  <si>
    <t>Procurement of Office Furnitures for LGU Manito</t>
  </si>
  <si>
    <t>Supply and Delivery of Transformer</t>
  </si>
  <si>
    <t>Supply and Delivery of Office Equipment (10 units closed circuit television including labor, materials and installation) for NIA - Bukidnon IMO Compound</t>
  </si>
  <si>
    <t>Procurement of Information Technology for the CAFSD-MMSU</t>
  </si>
  <si>
    <t>Purchase of Consolidated office supplies for the 1st Quarter CY 2020 to be used in this municipality</t>
  </si>
  <si>
    <t>“Supply and delivery of office supplies for the month of May 2020 for Kasiglahan Village Elementary School”</t>
  </si>
  <si>
    <t>CONSTRUCTION OF SOLAR STREET LIGHTS @ SITIO LAWIS, BRGY. TAGLAWIGAN</t>
  </si>
  <si>
    <t>120 tube Epson L120 ink black</t>
  </si>
  <si>
    <t>PURCHASE OF SEMI EXPENDABLE OFFICE EQUIPMENT (BARCODE SCANNER &amp; PRINTER) FOR IMPLEMENTATION OF PREMIS OF PASMS</t>
  </si>
  <si>
    <t>Supply and delivery of various office supplies as per PR# 2020-02-0454 etc.</t>
  </si>
  <si>
    <t>Catering Service for 72nd Founding Anniversary</t>
  </si>
  <si>
    <t>REQUEST FOR QUOTATION</t>
  </si>
  <si>
    <t>Procurement of 1 set VHR Repeater with interface and commissioning</t>
  </si>
  <si>
    <t>SUPPLY AND DELIVERY OF OFFICE EQUIPMENT FOR MENRO OFFICE</t>
  </si>
  <si>
    <t>8FSSU-MVH-06-20-684 RM Motor Vehicle</t>
  </si>
  <si>
    <t>2020-06-0154 - SUPPLY AND DELIVERY OF PLASTIC BARRIERS AND TRAFFIC CONES WITH DPWH LOGO FOR USE IN THE TRAFFIC RE-DIRECTION OR ADVANCED WARNING HAZARDS AND DANGERS IN THE IMPLEMENTATION OF ROAD MAINTE</t>
  </si>
  <si>
    <t>Purchase of Dietatry Supplies</t>
  </si>
  <si>
    <t>Medical Dental and Laboratory Supplies For 3rd Quarter of CY 2020</t>
  </si>
  <si>
    <t>Fuel use for the maintenance of various city vehicles, Himamaylan City</t>
  </si>
  <si>
    <t>PRE-BID CONFERENCE 7/July/2020 - Procurement of Goods: Const'n Materials &amp; Supplies for the use of CMO - Rehabilitation of Multi-purpose Pavement at CDRRMO Complex, Canocotan, T.C. (PR#100-20-06-0167)</t>
  </si>
  <si>
    <t>Job Request_03_Wall Partition of Staff House</t>
  </si>
  <si>
    <t>Tupaan – Bileng Road Construction</t>
  </si>
  <si>
    <t>Purchase of Desktop for HRM Office @ Samal,Bataan</t>
  </si>
  <si>
    <t>Purchase of Assorted Seeds for Backyard Gardening Distribution</t>
  </si>
  <si>
    <t>PROCUREMENT OF MEDICAL AND DENTAL LABORATORY SUPPLIES</t>
  </si>
  <si>
    <t>Job Request_02_Wall Partition of TESDA RTC Canteen</t>
  </si>
  <si>
    <t>Lunch for Bike Ride from Brgy. Can-ilay to Poblacion with Can-avid Bikers Club</t>
  </si>
  <si>
    <t>20DN0151 - REHABILITATION OF ROAD WITH DRAINAGE, BRGY. MUNTINDILAW, ANTIPOLO CITY</t>
  </si>
  <si>
    <t>SUPPLY AND DELIVERY OF CHLORINE HYPOCHLORITE AND LIQUID CHLORINE DIOXIDE AS WATER TREATMENT FOR 3RD QUARTER OF 2020</t>
  </si>
  <si>
    <t>Job Request_01_Tilling Works of Solar Room</t>
  </si>
  <si>
    <t>SUPPLY &amp; DELIVERY OF CONSTRUCTION SUPPLIES TO BE USE BY CPSH</t>
  </si>
  <si>
    <t>Cookery NC II Diploma</t>
  </si>
  <si>
    <t>1 unit Desktop Computer, etc.</t>
  </si>
  <si>
    <t>MG-TSE20-024..TESTER, INSULATION AT 10 KV</t>
  </si>
  <si>
    <t>Computer Monitor and Accessories</t>
  </si>
  <si>
    <t>recirculating chiller/cooler</t>
  </si>
  <si>
    <t>Emergency Purchase to prevent spread of  covid19 (PRN2020-4-113) 2b</t>
  </si>
  <si>
    <t>Various Office Supplies for 3rd Quarter 2020</t>
  </si>
  <si>
    <t>Purchase of CCTV</t>
  </si>
  <si>
    <t>Pakyaw labor for the opening/gravelling of  Farm  to Market Road  @ Brgy, Kipit, Titay, ZSP.</t>
  </si>
  <si>
    <t>CONSTRUCTION OF DEEPWELL, MADOPDOP, LACNOG</t>
  </si>
  <si>
    <t>Palintaang – Kulili Road Improvement</t>
  </si>
  <si>
    <t>STO20-06-24-0325 Provision for Catering Services, good for  30 pax for the Conduct of CY 2020 Program Level  3rd Quarter Assessment.</t>
  </si>
  <si>
    <t>Supply and Delivery of Veterinary Supplies</t>
  </si>
  <si>
    <t>RENOVATION OF FEMALE COMFORT ROOM</t>
  </si>
  <si>
    <t>Vehicle Spare Parts</t>
  </si>
  <si>
    <t>Supply and Delivery of Spare Parts (5 pcs Battery &amp; 30 Tires) for Bukidnon IMO Vehicle</t>
  </si>
  <si>
    <t>Various Drugs And Medicines</t>
  </si>
  <si>
    <t>meals and snacks for CDD Disaster Response Operation Pantar, LDN</t>
  </si>
  <si>
    <t>Procurement of R-Vat Motor Controller</t>
  </si>
  <si>
    <t>Purchase of Desktop for PNP Office @ Samal,Bataan</t>
  </si>
  <si>
    <t>MG-TSE20-032..REHAB/REPAIR OF VARIOUS DEFECTIVE LOW/MEDIUM/HIGH VOLTAGE EQUIPMENT</t>
  </si>
  <si>
    <t>Repair and Maintenance Emergency Vehicles 2nd Qtr.</t>
  </si>
  <si>
    <t>Supply and Delivery of One (1) unit Brand New PICK-UP  for MCDRRMO, City Government of Marikina</t>
  </si>
  <si>
    <t>Procurement of Periodic maintenance and parts replacement of CDRRMO Rescue Vehicle Toyota Hiace GL Grandia A61627(Ambulance 4)</t>
  </si>
  <si>
    <t>Supply and delivery of Foot Operated Hand Sanitizer for use in Regulatory, ILD &amp; PRDP-PSO w/ an ABC of P61,600.00 and PR#2020-06-10-135.</t>
  </si>
  <si>
    <t>Catering Service for TESDA Training Institution (TT”s) Closing Ceremony</t>
  </si>
  <si>
    <t>MG-TSE20-022..SWITCH, ISOLATION, METERING PROTECTION SYSTEM</t>
  </si>
  <si>
    <t xml:space="preserve">P.R. # 20-06-070 For the repair and maintenance of national roads and bridges within Caloocan City and Valenzuela City, For work Category No. 18-Repainting of Faded Pavement Markings for the Month of </t>
  </si>
  <si>
    <t>Supply and Delivery of Farm Inputs</t>
  </si>
  <si>
    <t>8FSSU-MVH-06-20-685 RM Motor Vehicle</t>
  </si>
  <si>
    <t>procurement of food stuff/ mdrrmc</t>
  </si>
  <si>
    <t>PROCUREMENT OF OFFICE EQUIPMENTS FOR USE IN DEVELOPMENT TRAININGS AND SEMINARS</t>
  </si>
  <si>
    <t>Package 01: A. Bawi – Lebeng Concrete Pathway Extension, B. Ambuyeng CIS Improvement, C. Gaday – Huyukto FMR Improvement</t>
  </si>
  <si>
    <t>Supply and Delivery of 15 Watts Bulb</t>
  </si>
  <si>
    <t>LUMPSUM MATERIALS, LABOR &amp; EQUIPMENT FOR THE INSTALLATION OF COVERED QUEUING LANE AS SOCIAL DISTANCING MEASURE AT EMPTB, PORT OF SURIGAO, SURIGAO CITY</t>
  </si>
  <si>
    <t>Supply and Delivery of Construction Equipment Spare Parts</t>
  </si>
  <si>
    <t>Supply / Delivery of 1 period Radio Airtime</t>
  </si>
  <si>
    <t>Procurement of ICT Supplies for Project CAIT, Project SABAP, Office Supplies and Others</t>
  </si>
  <si>
    <t>PR#20-06-0312 I.T. Equipments for City Social Welfare &amp; Dev't Office Use</t>
  </si>
  <si>
    <t>PROCUREMENT FOR THE PROPOSED DORMITORY AND FUNCTION HALL  AT THE ROOF DECK OF THE THREE STOREY BUILDING, PHASE I, DR. JOSE RIZAL MEMORIAL HOSPITAL</t>
  </si>
  <si>
    <t>Maintenance of St Lights</t>
  </si>
  <si>
    <t>CONSTRUCTION OF CONCRETE PATHWAY @ BRGY. DAJA DAKU</t>
  </si>
  <si>
    <t>Purchase Computer Desktop for Tourism Office</t>
  </si>
  <si>
    <t>Office Supplies for Office for Engkantadya</t>
  </si>
  <si>
    <t>SUPPLY AND DELIVERY OF MATERIALS FOR ADDITIONAL 3" dia DISTRIBUTION LINE AND CLUSTERING FOR GAWAD KALINGA PARADISE P-12 BAGONTAAS</t>
  </si>
  <si>
    <t>Supply and delivery of Laptop for use data in consolidation &amp; reporting on PRIME Project w/ an ABC of P215,000.00 and PR#2020-06-22-281.</t>
  </si>
  <si>
    <t>Purchase of spareparts for the maintenance of Heavy Equipment &amp; various materials for motorpool use</t>
  </si>
  <si>
    <t>Procurement of Office &amp; ICT Equipment - Estancia Campus</t>
  </si>
  <si>
    <t>Supply and Delivery of Various Replacement of Defective Parts of Esser/gent Fire Alarm System</t>
  </si>
  <si>
    <t>Supply, delivery, installation &amp; commissioning of 5KVA, 10HP Watercooled, silent type, diesel, portable Inverter Power Generator set w/ complete accessories.</t>
  </si>
  <si>
    <t>Quotation No.20-06-360 = PROCUREMENT OF COMMON OFFICE SUPPLIES (Infectious Cluster)</t>
  </si>
  <si>
    <t>Conduct of Fieldwork Survey for 12 Barangays in the Municipality of Aglipay, Quirino</t>
  </si>
  <si>
    <t>PROCUREMENT OF FUEL &amp; LUBRICANTS UNDER BGCM</t>
  </si>
  <si>
    <t>PURCHASE OF CONSTRUCTION MATERIALS &amp; SUPPLIES FOR THE IMPROVEMENT OF MANPOWER DEVELOPMENT CENTER AND ELECTRICAL MATERIALS  FOR THE INSTALLATION OF STREETLIGHTS</t>
  </si>
  <si>
    <t>Construction Materials Supplies (Utility Table &amp; Cabinet)</t>
  </si>
  <si>
    <t>1 set Desktop Computer, etc.</t>
  </si>
  <si>
    <t>Construction Materials for the repair/replacement of kiosk roof</t>
  </si>
  <si>
    <t>Supply and delivery of various janitorial supplies as per PR# 2020-02-0462/2020-02-457</t>
  </si>
  <si>
    <t>PRINTING OF IDs</t>
  </si>
  <si>
    <t>SUPPLY AND DELIVERY OF OFFICE SUPPLIES (P.R. NO. 100-20-04-0169)</t>
  </si>
  <si>
    <t>Supply / Delivery of Catering Services (Snacks)</t>
  </si>
  <si>
    <t>Replacement of tire for the maintenance of Compactor-5 (SKX 577)</t>
  </si>
  <si>
    <t>PROCUREMENT OF SPLIT TYPE INVERTER AIR CONDITION ( 2HP) TO BE USED AT THE OFFICE OF THE MPDO</t>
  </si>
  <si>
    <t>construction materials</t>
  </si>
  <si>
    <t>GAD Information and Dissemination Campaign</t>
  </si>
  <si>
    <t>Procurement of Various Plumbing Materials</t>
  </si>
  <si>
    <t>Supply and Delivery of Assorted Seedlings</t>
  </si>
  <si>
    <t>PURCHASE OF MATERIALS FOR COMPLETION OF CALAGONSAO MULTI-PURPOSE HALL</t>
  </si>
  <si>
    <t>QRF-URDUJA20-06-23-0011 Supply labor and materials for the Repair of plant Nursery Shed (Net Shade).</t>
  </si>
  <si>
    <t>8FSSU-MVH-06-20-686   RM Motor Vehicle</t>
  </si>
  <si>
    <t>SUPPLY , DELIVERY, INSTALLATION, LABOR AND MATERIALS FOR THE PROPOSED LANDBANK HIMAMAYLAN BRANCH TEMPORARY SITE</t>
  </si>
  <si>
    <t>Purchase of supplies for daily hygiene needs of residents of Haven for Women and Girls</t>
  </si>
  <si>
    <t>Supply and delivery of agricultural supplies as per PR # 2020-02-0537 etc.</t>
  </si>
  <si>
    <t>Procurement of IT and Office Equipment for LGU Manito</t>
  </si>
  <si>
    <t>Distribution of essential need for pregnant women for F1K days in the month of July 2020</t>
  </si>
  <si>
    <t>Procurement of Toyota HILUX Spare Parts</t>
  </si>
  <si>
    <t>Supply and Delivery OR Light Power Supply</t>
  </si>
  <si>
    <t>INVITATION TO BID FOR THE PROJECT: CONCRETING OF BANGCOL-LOMBOY ROAD, BANGCOL, STA. CRUZ, ZAMBALES</t>
  </si>
  <si>
    <t>UMBRELLA UPSIDE DOWN INVERTED UMBRELLA</t>
  </si>
  <si>
    <t>Purchase of Repair and Re-Fabrication of Traffic  Signages</t>
  </si>
  <si>
    <t>GEO-RESISTIVITY TEST</t>
  </si>
  <si>
    <t>INVITATION TO BID FOR PROCUREMENT OF ICT EQUIPMENT (SUPPLY AND DELIVERY)</t>
  </si>
  <si>
    <t>Foot Operated Alcohol Dispenser</t>
  </si>
  <si>
    <t>Purchase of office consumables (HP toner cartidge) for offical use of HRMDD for printing of certificates</t>
  </si>
  <si>
    <t>One (1) lot – Workshop on International Standard on Assurance Engagements (ISAE 3000), as per BSP Terms of Reference</t>
  </si>
  <si>
    <t>Supply and Delivery of 2 pcs  Heavy-Duty Scanners</t>
  </si>
  <si>
    <t>19CSZ016- Capacity Development of DPWH Staff in Tunnel Operation and Maintenance and Preparation of Tender Documents for Procurement of Services for the Operation and Maintenance of the Davao City Byp</t>
  </si>
  <si>
    <t>Procurement of MedicalSupplies</t>
  </si>
  <si>
    <t>Emergency Purchaseto prevent spread covid19 (PRN2020-4-114)</t>
  </si>
  <si>
    <t>Local Access Road Upgrading</t>
  </si>
  <si>
    <t>NALA ELEMENTARY SCHOOL OFFICE SUPPLIES</t>
  </si>
  <si>
    <t>PES Purchase of COVID-19 Response Item</t>
  </si>
  <si>
    <t>20OH0087 Re-ads-Convergence  and  Special  Support Program - Construction/ Improvement  of  Various Infrastructure in support of National Security - Construction of Typhoon Shelter Hangar for Rotary A</t>
  </si>
  <si>
    <t>LUMPSUM MATERIALS, LABOR &amp; EQUIPMENT FOR THE FABRICATION/INSTALLATION OF THREE (3) UNITS MOVABLE TENTS, PORT OF DAPA, SIARGAO ISLAND, SURIGAO DEL NORTE</t>
  </si>
  <si>
    <t>Supply and delivery of various office supplies for use in official activities in the Records Unit for CY 2020 with PR #234-03-16-2020 and ABC of Php 193,951.00</t>
  </si>
  <si>
    <t>Contract ID No.: 20OB0347 Contract Name: Construction of SPED Facilities, Brgy. Calzada, Tipas, Taguig City</t>
  </si>
  <si>
    <t>PB 2020-07: Public Bidding for the Annual Subscription and Preventive Maintenance of Security Firewall Infrastructure for the Office of the Ombudsman</t>
  </si>
  <si>
    <t>UPLB-I-022-07-20 SUPPLY, DELIVERY, INSTALLATION, TESTING AND COMMISSIONING OF BRANDED AND BRAND NEW STANDBY GENERATOR SET FOR CAFS-PHTRC</t>
  </si>
  <si>
    <t>RFQ for Hardware Supplies of MIS Office</t>
  </si>
  <si>
    <t>PROCUREMENT OF VARIOUS V-BELT FOR A-19 TYPE TRACTION MOTOR &amp; A-15 TYPE TRACTION MOTOR</t>
  </si>
  <si>
    <t>PES PURCHASE OF CONTACTLESS HANDWASHING FACILITY  2020- Supplemental</t>
  </si>
  <si>
    <t>Contract ID No.: 20OB0334 Contract Name: Construction of Multi-Purpose Building and Site Development, Brgy. Lower Bicutan, Taguig City</t>
  </si>
  <si>
    <t>Cluster XLVIII</t>
  </si>
  <si>
    <t>PROCUREMENT OF SEVENTY-TWO (72) PIECES BOLT AND LOCKWASHER (1” X 6”) AND SEVENTY-TWO (72) PIECES BOLT AND LOCKWASHER (1 1/2” X 4”) FOR A-19 TYPE TRACTION MOTOR &amp; A-15 TYPE TRACTION MOTOR</t>
  </si>
  <si>
    <t>FURNITURES AND OTHER ACCESSORIES FOR BIRTHING FACILITY</t>
  </si>
  <si>
    <t>REPAIR OF AIR CONDITIONING UNIT</t>
  </si>
  <si>
    <t>Construction of 2 Storey 4 Classrooms School Building at Salaysay Elementary School, Davao City</t>
  </si>
  <si>
    <t>CONSTRUCTION OF FLOOD CONTROL, RIVERSIDE, JUNCTION, PINUKPUK</t>
  </si>
  <si>
    <t>Construction of 1 Storey 2 Classroom School Building at Lamanan ES, Davao City</t>
  </si>
  <si>
    <t>Consultancy Service for Research Institution/Individual Consultant to conduct the Further Analysis of the 2018 National Migration Survey on the Trends and Patterns of Migration</t>
  </si>
  <si>
    <t>Construction of 2 Storey 4 Classrooms School Building at Dalagdag ES, Davao City</t>
  </si>
  <si>
    <t>Supply and Delivery of High Flow Oxygen Nasal Cannula, small-Large</t>
  </si>
  <si>
    <t>PB-202001-2 One (1) Lot - Procurement for the Maintenance of Motor Vehicles (2nd Posting)</t>
  </si>
  <si>
    <t>Construction of 1 Storey 2 Classroom School Building at Darila ES, Davao City</t>
  </si>
  <si>
    <t>Consultancy Service for Research Institution/Individual Consultant to conduct Further Analysis of 2018 National Migration Survey on the Intra and Inter Regional Trends and Patterns of Migration</t>
  </si>
  <si>
    <t>AMP SVP-S NO: 20-07-0379 Video Conferencing and Livestreaming Equipment Upgrade</t>
  </si>
  <si>
    <t>INVITATION TO BID FOR PROCUREMENT OF OFFICE SUPPLIES AND CONSUMABLES</t>
  </si>
  <si>
    <t>Construction of 1 Storey 2 Classroom School Building at Tibuloy ES, Davao City</t>
  </si>
  <si>
    <t>Construction of 2 Storey 4 Classrooms School Building at Lacson ES, Davao City</t>
  </si>
  <si>
    <t>Personal Protective Equipment for Traininig of Trainers on Production of High-Quality Inbred Rice and Seeds, and Farm Mechanization</t>
  </si>
  <si>
    <t>Construction of 1 Storey 2 Classroom School Building at Tagurano ES, Davao City</t>
  </si>
  <si>
    <t>Purchase of Lawn Mower</t>
  </si>
  <si>
    <t>Construction of Sidewalk at Purok 4, Barangay San Carlos, Lipa City, Batangas</t>
  </si>
  <si>
    <t>SIREN</t>
  </si>
  <si>
    <t>Resource Person for the COVID Proofing for the Next Normal Online Learning Sessions and Business Resilience Planning and Consultations for BOHOL MSMEs</t>
  </si>
  <si>
    <t>Supply and Delivery of Air Conditioning Unit</t>
  </si>
  <si>
    <t>Construction of 2 Storey 4 Classrooms School Building at Baracayo Integrated School, Davao City</t>
  </si>
  <si>
    <t>Polo shirt with embroidered for TOT on Production of Hogh-Quality Inbred Rice and Seeds, and Farm Mechanization</t>
  </si>
  <si>
    <t>Construction of 2 Storey 4 Classrooms School Building at Wangan National High School, Davao City</t>
  </si>
  <si>
    <t>PROCUREMENT OF DENTAL EQUIPMENT</t>
  </si>
  <si>
    <t>Public Market at Irawan Agricultural Center</t>
  </si>
  <si>
    <t>PR#20-06-0311 I.T. Equipments for City Engineering Office Use</t>
  </si>
  <si>
    <t>PROC-200099 ENVELOPES</t>
  </si>
  <si>
    <t>Construction of 2 Storey 4 Classrooms School Building at Tawantawan ES, Davao City</t>
  </si>
  <si>
    <t>Construction of Satellite City Hall At San Rafael Rural Service Center (RSC)</t>
  </si>
  <si>
    <t>Construction of 2 Storey 4 Classrooms School Building at Angalan NHS, Davao City</t>
  </si>
  <si>
    <t>Construction of 2 Storey 4 Classrooms School Building at Malagos ES SPED Center, Davao City</t>
  </si>
  <si>
    <t>trashcan with metal holder</t>
  </si>
  <si>
    <t>Concreting of Irawan Agricultural Center Road Network</t>
  </si>
  <si>
    <t>Construction of Satellite City Hall At Luzviminda Rural Service Center (RSC)</t>
  </si>
  <si>
    <t>Supply and Delivery of Prepaid Callcards for the 3rd Qtr. of 2020</t>
  </si>
  <si>
    <t>Inflation Bulb</t>
  </si>
  <si>
    <t>PROCUREMENT OF 40 PCS. HARROW DISC 24" FOR FARM TRACTOR</t>
  </si>
  <si>
    <t>procurement of office supplies/sb legislative office</t>
  </si>
  <si>
    <t>SUPPLY &amp; DELIVERY OF LAPTOP &amp; DESKTOP USE FOR COMELEC OFFICE</t>
  </si>
  <si>
    <t>Supply and Delivery of Two (2) lots Push Cart, as per BSP Terms of Reference</t>
  </si>
  <si>
    <t>Airing for ECCD Radio Plugs and video clips for Nutrition Month Celebration</t>
  </si>
  <si>
    <t>Purchase of Storage Equipment (Heavy Duty Rack) for Municipal Disaster Risk Reduction Management Office (MDRRMO), Ibaan, Batangas</t>
  </si>
  <si>
    <t>Supply and delivery of IT parts &amp; accessories for use in storing data of PRIME Project w/ an ABC of P55,000.00 and PR#2020-06-22-282.</t>
  </si>
  <si>
    <t>Supplies for Recognition of COVID-19 Frontliners</t>
  </si>
  <si>
    <t>emergency pruchase to prevent spread of covid 19 (PRN2020-4-115)</t>
  </si>
  <si>
    <t>To Support the Logistical Requirements of 42IB,9ID, PA</t>
  </si>
  <si>
    <t>Procurement of IT Equipment, Peripherals &amp; Other Office Equipment</t>
  </si>
  <si>
    <t>8FSSU-MVH-06-20-687  RM Motor Vehicle</t>
  </si>
  <si>
    <t>Consturction of Buntis Lounge</t>
  </si>
  <si>
    <t>RFQ-065-2020-SVP - ICT Equipment &amp; Devices &amp; Accessories for use at NIA, EWSIMO, Catbalogan City, Samar</t>
  </si>
  <si>
    <t>PROCUREMENT OF CONSTRUCTION SUPPLIES AND MATERIALS FOR THE ESTABLISHMENT OF ONE (1) UNIT MATERIAL RECOVERY FACILITY (MRF) AND PROCUREMENT OF ONE (1) UNIT PLASTIC AND GLASS BOTTLE SHREDDER/PULVERIZER-G</t>
  </si>
  <si>
    <t>4 unit Desktop Computer</t>
  </si>
  <si>
    <t>Supply and Delivery of Additional High Amperage Cables Intended for Twelve (12) Units Generator Sets with Automatic Transfer Switch (ATS) for PMO-Mindoro</t>
  </si>
  <si>
    <t>Repair and Maintenance of Breastfeeding Room</t>
  </si>
  <si>
    <t>Balukok Water System Construction</t>
  </si>
  <si>
    <t>PROCUREMENT OF OTHER SUPPLIES AND MATERIALS</t>
  </si>
  <si>
    <t>Expansion of Hernani Cultural Stage and Construction of Comfort Room</t>
  </si>
  <si>
    <t>Supply and Delivery of Medicine (Lot 1)</t>
  </si>
  <si>
    <t>(PGSO) INVITATION TO BID FOR THE SUPPLY AND DELIVERY OF CONSTRUCTION MATERIALS  FOR THE  PROVINCIAL GENERAL SERVICES OFFICE (PGSO)</t>
  </si>
  <si>
    <t>Purchase of Sparparts for Heavy Equipment.</t>
  </si>
  <si>
    <t>General Repair of Aircon at BAC Office</t>
  </si>
  <si>
    <t>Radio Plugging GenSantos &amp; Sarangani</t>
  </si>
  <si>
    <t>Rehab./Improvement of Multi-Purpose Building</t>
  </si>
  <si>
    <t>CCTV Camera/ System for Carmen Branch</t>
  </si>
  <si>
    <t>Quotation No.20-06-361 = Procurement of IT Equipment/ Parts/Accessories/Consumables/ Memory Storage</t>
  </si>
  <si>
    <t>Procurement of PC Antivirus, Licensed OS (Microsoft) Windows 10 and Mobile Phone</t>
  </si>
  <si>
    <t>Supply and Delivery of One (1) Lot Vegetable Seeds (Re-Bid).</t>
  </si>
  <si>
    <t>Procurement of ID Card Printer</t>
  </si>
  <si>
    <t>Supply/ Delivery of Hardware &amp; Construction Materials for Construction of Solar Drying Pavement at Alimot Cogonon, Brgy. Salvacion, Trento, Agusan del Sur</t>
  </si>
  <si>
    <t>Purchase of Office Equipment (white board with stand) for Municipal Disaster Risk Reduction Management Office (MDRRMO), Ibaan, Batangas</t>
  </si>
  <si>
    <t>Supply &amp; Delivery of Piggery feeds for July 2020 F28-2020</t>
  </si>
  <si>
    <t>Procurement of Equipment to be used in the project(SPA eJ: Soap Provision &amp; Allocation for every Juan)</t>
  </si>
  <si>
    <t>Purchase of Diesel fuel oil and Lubricants for the Vehicle detiled at Mayor's office.</t>
  </si>
  <si>
    <t>(PVSO)  2ND INVITATION TO BID FOR THE SUPPLY AND DELIVERY OF AGRICULTURAL MACHINERY AND SUPPLIES FOR THE  PROVINCIAL VETERINARY SERVICES OFFICE (PVSO)</t>
  </si>
  <si>
    <t>ONE (1) YEAR SUBSCRIPTION OF ONLINE VIDEO CONFERENCING APPLICATION FOR ENTERPRISE (15 HOST)</t>
  </si>
  <si>
    <t>PURCHASE OF TEST KITS FOR COVID-19</t>
  </si>
  <si>
    <t>Supply &amp; Delivery of Office Supplies @ Accounting Office, Rodriguez, Rizal</t>
  </si>
  <si>
    <t>Radio Plugging South Cot. &amp; SK</t>
  </si>
  <si>
    <t>8FSSU-MVH-06-20-688  RM Motor Vehicle</t>
  </si>
  <si>
    <t>Procurement of Admin Medicines Supply for 3rd Quarter, CY 2020</t>
  </si>
  <si>
    <t>Delivery of Materials</t>
  </si>
  <si>
    <t>QRF-URDUJA20-06-23-0010 Supply labor and materials for the Repair Scion Grove Perimeter Fence.</t>
  </si>
  <si>
    <t>Supplies and PPEs for COVID-19 Preparedness and Response Measures of the SDO and Schools.</t>
  </si>
  <si>
    <t>Purchase of Office Equipment (Food Storage/Chest Freezer) for Municipal Disaster Risk Reduction Management Office (MDRRMO), Ibaan, Batangas</t>
  </si>
  <si>
    <t>REQUEST FOR QUOTATION DRUGS AND MEDICINE</t>
  </si>
  <si>
    <t>Emergency Purchase to prevent spread of  covid19 (PRN2020-4-116) 5b</t>
  </si>
  <si>
    <t>Procurement of Supplies for CoVid-19 Prevention and Mitigation</t>
  </si>
  <si>
    <t>RFQ for Catering Services during the Face to Face and Virtual Capacity Enhancement of Batch 52-A (Supervised Field Practice)</t>
  </si>
  <si>
    <t>Purchase of Maternity Supplies thru GAD Fund</t>
  </si>
  <si>
    <t>RFQ NO. 20-086: SUPPLY AND DELIVERY OF 140 CBY DISINFECTANT SURFACE SOLUTION 5L</t>
  </si>
  <si>
    <t>Procurement of materials for Pipe Expansion/Extension at Brgy. Ayudante</t>
  </si>
  <si>
    <t>(PVSO)  INVITATION TO BID FOR THE SUPPLY AND DELIVERY OF ANIMAL FEEDS  AND VETERINARY SUPPLIES   FOR THE  PROVINCIAL VETERINARY SERVICES OFFICE (PVSO)</t>
  </si>
  <si>
    <t>Radio Plugging for Cotabato City &amp; Cotabato Province</t>
  </si>
  <si>
    <t>Purchase of Mental Health Medicines thru GAD Fund</t>
  </si>
  <si>
    <t>DSWD RO III PROPOSED INFRA PROJECTS FOR THE VARIOUS RM-BUILDINGS: RECTIFICATION OF DAMAGES CAUSED BY THE 6.1 EARTHQUAKE AND IMPROVEMENT AND REPAIR OF BUILDINGS AND ACTIVITIES</t>
  </si>
  <si>
    <t>PROCUREMENT OF MEDICAL SUPPLIES</t>
  </si>
  <si>
    <t>BARANGAY 849 MOOE/CO 2020</t>
  </si>
  <si>
    <t>Improvement of Multi-Purpose Hall at Cagwang, G-Hernandez, Bohol</t>
  </si>
  <si>
    <t>Stainless Building Markers</t>
  </si>
  <si>
    <t>Herbicide (Round Up)</t>
  </si>
  <si>
    <t>One (1) unit – Repair of Three (3) Units Floor Mounted Aircon Units</t>
  </si>
  <si>
    <t xml:space="preserve">Request for Quotation for the Provision of Advertising Agency Services to be used during the " Getting a Grip of the Rice Tarrification Law or RA 11203: A Radio Broadcast" (Batch 3) at Cagayan de Oro </t>
  </si>
  <si>
    <t>PROCUREMENT OF VARIOUS BOOKS</t>
  </si>
  <si>
    <t>Purchase of Diesel fuel oil and Lubricants for the opening and Graveling of Barangay San Juan Road connecting to Barangay Tiniapan.</t>
  </si>
  <si>
    <t>To Purchase Computer Package RHU Off</t>
  </si>
  <si>
    <t>School and Office Supplies</t>
  </si>
  <si>
    <t>Supply of Medical Oxygen Refill</t>
  </si>
  <si>
    <t>Supply and Delivery of Motorcycle for Traffic Management of this Municipality</t>
  </si>
  <si>
    <t>Purchase of office supplies- Sangguniang Bayan San Fabian, Pangasinan</t>
  </si>
  <si>
    <t>Procurement of Other Materials and Equipment (SHS)</t>
  </si>
  <si>
    <t>PURCHASE OF MATERIALS FOR THE REHABILITATION OF BARANGAY ROAD (MALINAO WEST)</t>
  </si>
  <si>
    <t>Supply/ Delivery of Hardware &amp; Construction Materials for Construction of Solar Dryer at Sitio San Marcos, Brgy. Salvacion, Trento, Agusan del Sur</t>
  </si>
  <si>
    <t>Supplies/Materials for Street Light, Tennis Court &amp; different Offices (GSO, PDAO, MTO, SB Office &amp; Interpretive)</t>
  </si>
  <si>
    <t>proposed purchase of (3) units computer desktop with accessories</t>
  </si>
  <si>
    <t>PROCUREMENT OF INFORMATION TECHNOLOGY EQUIPMENT FOR OFFICE USE</t>
  </si>
  <si>
    <t>Procurement of Laboratory Reagents and Supplies</t>
  </si>
  <si>
    <t>COLLECTION AND DISPOSAL OF COVID-19 INFECTIOUS WASTES OF THE ILOILO CITY (P.R. 100-20-04-0174)</t>
  </si>
  <si>
    <t>Hired Pumpboat for TSEKAP at Brgy. Pandol</t>
  </si>
  <si>
    <t>GENERAL PEST AND TERMITE CONTROL SERVICES</t>
  </si>
  <si>
    <t>Procurement of Agricultural Products (Seeds)</t>
  </si>
  <si>
    <t>Ozonizer</t>
  </si>
  <si>
    <t>Procurement of Condiments to be used in the project(SPA eJ: Soap Provision &amp; Allocation for every Juan)</t>
  </si>
  <si>
    <t>2 Unit Desktop Computer etc..</t>
  </si>
  <si>
    <t>PRINTING SUPPLIES</t>
  </si>
  <si>
    <t>8FSSU-MVH-06-20-689  RM Motor Vehicle</t>
  </si>
  <si>
    <t>Postural Mirror (Rehab)</t>
  </si>
  <si>
    <t>PROCUREMENT OF DIESEL</t>
  </si>
  <si>
    <t>SUPPLY AND DELIVERY OF CONTINUOUS FORMS</t>
  </si>
  <si>
    <t>PURCHASE OF OFFICE SUPPLIES</t>
  </si>
  <si>
    <t>Clustered Project (Concreting of Barangay Road) located at Sitio III, Barangay Bagumbayan, Santa Cruz, Laguna</t>
  </si>
  <si>
    <t>Purchase of PVC ID Card Printer</t>
  </si>
  <si>
    <t>Supply &amp; Delivery of Dairy feeds for July 2020 F30-2020</t>
  </si>
  <si>
    <t>Procurement of 71 sacks of Commercial Rice for LGU Constituents</t>
  </si>
  <si>
    <t>8FSSU-MVH-06-20-690  RM Motor Vehicle</t>
  </si>
  <si>
    <t>Office Supplies and Devices</t>
  </si>
  <si>
    <t>Procurement of Internet Services</t>
  </si>
  <si>
    <t>Supply and Delivery of JANITORIAL SUPPLIES and other MEDICAL SUPPLIES</t>
  </si>
  <si>
    <t>meals and snacks for CDD Disaster Response Operation Quezon, Bukidnon</t>
  </si>
  <si>
    <t>Swimming Pool Disinfectant and Swimming Pool Vacuum Hose For SINP</t>
  </si>
  <si>
    <t>Repair and Maintenance of TOYOTA Ambulance</t>
  </si>
  <si>
    <t>For COA Office use</t>
  </si>
  <si>
    <t>REPAIR AND MAINTENANCE</t>
  </si>
  <si>
    <t>Supply and Delivery of One (1) Unit All-in one Machine Copier</t>
  </si>
  <si>
    <t>Rehabilitation of Municipal Building, Municipal Compound, Panilao, Pilar, Bataan</t>
  </si>
  <si>
    <t>Establishment of Sorsogon OTOP. PH Hub</t>
  </si>
  <si>
    <t>20DN0154 - REHABILITATION OF ROAD BROOKSIDE AVE., BRGY. MUNTINDILAW, ANTIPOLO CITY</t>
  </si>
  <si>
    <t>SUPPLY AND DELIVERY OF DRINKING WATER</t>
  </si>
  <si>
    <t>Equipment for Finance Section for Uploading and Storage of Report.</t>
  </si>
  <si>
    <t>Establishment of Fish and Cacao Processing Project in Zamboanga Del Norte</t>
  </si>
  <si>
    <t>Procurement of Goods (Animal Feeds for Swine Breeding Center of LGU-Sogod)</t>
  </si>
  <si>
    <t>Procurement of Veterinary Products and Supplies</t>
  </si>
  <si>
    <t>Purchase of Diesel fuel oil and Lubricants for Graveling of Purok 4 to Purok 54 at Barangay Villakapa.</t>
  </si>
  <si>
    <t>Procurement of Water Treatment Supplies</t>
  </si>
  <si>
    <t>COMMON AND NON COMMON SUPPLIES</t>
  </si>
  <si>
    <t>2 Unit Water Tank etc..</t>
  </si>
  <si>
    <t>PURCHASE OF MATERIALS FOR THE REHABILITATION OF BARANGAY ROAD (JAMBAWAN)</t>
  </si>
  <si>
    <t>Purchase &amp; Delivery of Covid-19 Antibody Rapid Testing Kits for the Province</t>
  </si>
  <si>
    <t>2 pcs. Hydraulic Hose 6 ft. and 4 pcs. Hose clamp (1/4) for Payloader</t>
  </si>
  <si>
    <t>Supply &amp; Delivery of materials for the Improvement of North Bound Terminal, Brgy. Poblacion North, Solano, NV.</t>
  </si>
  <si>
    <t>Upgrading/Enhancement of DRR-EWS Information Relay Station (FM Radio Station)</t>
  </si>
  <si>
    <t>RFQ No. 20-0600 Shopping B (Supply and Delivery of Supplies for PSAMD Stockpile)</t>
  </si>
  <si>
    <t>NUTRITION &amp; DIETETICS SUPPLIES (PR#20-06-70489)</t>
  </si>
  <si>
    <t>Supply, Delivery and Installation of Materials for the repair of the Wastewater Line and Plumbing Accessories of the Revenue District Office No. 110, General Santos City</t>
  </si>
  <si>
    <t>PURCHASE OF MATERIALS FOR THE REHABILITATION OF BARANGAY ROAD (MACALINGAN)</t>
  </si>
  <si>
    <t>PROCUREMENT OF PIPES, VALVES AND FITTINGS FOR INSTALLATION OF DISTRIBUTION LINE AT PUROK 23,P.A.D.S</t>
  </si>
  <si>
    <t>PURCHASE OF SOFTWARE AND VARIOUS EQUIPMENTS OF DENR-PENRO PALAWAN</t>
  </si>
  <si>
    <t>Hydrocollator Tank  (Rehab)</t>
  </si>
  <si>
    <t>Sustaining the Implementation of Privatized Segregated Collection of Solid Wastes, Operation and Management of Materials Recovery Facility.</t>
  </si>
  <si>
    <t>PRINTING SERVICES</t>
  </si>
  <si>
    <t>PURCHASE OF DIPLOMA JACKET</t>
  </si>
  <si>
    <t>Hired Pumpboat for TSEKAP at Brgy.Boco</t>
  </si>
  <si>
    <t>Catering Services: To be use for provision of TA on the conduct of Data Validation and Reconciliation (FHSIS and LGUHSC) on July 27-28, October 23-24 and December 15-16, 2020 in Ilocos Sur</t>
  </si>
  <si>
    <t>improvement of Multi-purpose Building</t>
  </si>
  <si>
    <t>Purchase &amp; Delivery of Assorted Materials for the maintenance of various sections at Ilocos Sur District Hospital-Narvacan</t>
  </si>
  <si>
    <t>20DN0153 - CONSTRUCTION OF MULTI - PURPOSE BUILDING (BARANGAY HALL EXTENSION), BRGY. STA. CRUZ, ANTIPOLO CITY, RIZAL</t>
  </si>
  <si>
    <t>10 roll Cling Film, Fermosa etc...</t>
  </si>
  <si>
    <t>Procurement of Information Technology</t>
  </si>
  <si>
    <t>Construction of 120 Meters Open Canal Channel</t>
  </si>
  <si>
    <t>20DN0155 - CONCRETING OF ROAD WITH DRAINAGE, COGEO PH. 1, BAGONG NAYON, ANTIPOLO CITY, RIZAL</t>
  </si>
  <si>
    <t>Supply and Delivery of Office Supplies for Different Offices of LGU Calauag, Quezon for the year 2020</t>
  </si>
  <si>
    <t>Invitation to Bid for PROCUREMENT OF OFFICE SUPPLIES AND EQUIPMENT</t>
  </si>
  <si>
    <t>PURCHASE OF THE MATERIALS FOR THE IMPROVEMENT OF WATER SYSTEM FROM PUROK 2 TO 7</t>
  </si>
  <si>
    <t>20DN0152 - CONSTRUCTION AND/ OR REPAIR/ REHABILITATION OF MULTI - PURPOSE BUILDING, BRGY. SAN JUAN, CAINTA, RIZAL</t>
  </si>
  <si>
    <t>Procurement of Consultancy Services for the conduct of Detailed Engineering Design of the Expansion of Passenger Terminal Bldg (PTB) at Davao International Airport (Re-Bid)</t>
  </si>
  <si>
    <t>Board and Lodging: To be use for provision to TA on the conduct of Program Implementation Review for all Health Programs on July 23-24 and December 17-18, 2020 in Ilocos Sur</t>
  </si>
  <si>
    <t>COMPLETION OF BARANGAY MULTI-PURPOSE BUILDING</t>
  </si>
  <si>
    <t>PURCHASE OF MATERIALS FOR THE REHABILITATION OF BARANGAY ROAD (BONKOKAN UBOS)</t>
  </si>
  <si>
    <t>Procurement of 4 kilos Freon R410 etc.</t>
  </si>
  <si>
    <t>LABORATORY SUPPLIES (PR#20-06-70592)</t>
  </si>
  <si>
    <t>Purchase of Drum DR312, Transfer Roller, Desktop Computer Monitor, Barcode Scanner Handheld etc. (for office  use)</t>
  </si>
  <si>
    <t>Procurement of Computer Desk Top for use in the Romblon Police Provincial Office, San Agustin Mun. Police Station &amp; San Andres Mun. Police Station, Province of Romblon,</t>
  </si>
  <si>
    <t>2LSSM2020A-242 Office Supplies</t>
  </si>
  <si>
    <t>Hydraulic Pinch Gauge (Rehab)</t>
  </si>
  <si>
    <t>GOODS-2020-06-86 NEWSPAPER SUBSCRIPTION FOR FOUR (4) MONTHS PERIOD.</t>
  </si>
  <si>
    <t>Supply/Delivery of Alcohol, Disposable Syringe, Surgical Face Mask &amp; Working Gloves</t>
  </si>
  <si>
    <t>Board and Lodging and Manuals: for crafting of primary care provider network manual for private facilities in Ilocos Sur on September 8-10, 2020</t>
  </si>
  <si>
    <t>20DN0156 - CONSTRUCTION OF MULTI - PURPOSE BUILDING, CIVIC CENTER, BRGY. INARAWAN, ANTIPOLO CITY, RIZAL</t>
  </si>
  <si>
    <t>Procurement of 3 set Flush Door Plywood etc.</t>
  </si>
  <si>
    <t>Landscaping Service (Ornamental Plants)</t>
  </si>
  <si>
    <t>Repair/Maintenance of Municipal Vehicle (Dump Truck with Plate No. UKL 563) @ Samal, Bataan</t>
  </si>
  <si>
    <t>Procurement of construction materials for Sitio Galibaca Road Concreting, Calupaan</t>
  </si>
  <si>
    <t>Procurement of Supplies to be used in the project(SPA eJ: Soap Provision &amp; Allocation for every Juan)</t>
  </si>
  <si>
    <t>1 pc. Bookshelf for Nutrition Office</t>
  </si>
  <si>
    <t>Tubing, ventilator, Adult, dual limb</t>
  </si>
  <si>
    <t>T-SHIRT</t>
  </si>
  <si>
    <t>Supply and Delivery of Construction Materials for the Construction of Lined Canal with Cover at Sitio 4, Barangay San Nicolas, City of San Fernando, Pampanga</t>
  </si>
  <si>
    <t>PURCHASE OF MATERIALS FOR THE REHABILITATION OF BARANGAY ROAD (MALINAO EAST)</t>
  </si>
  <si>
    <t>Procurement of Printing Services (2018 &amp; 2019 Graduate Journal)</t>
  </si>
  <si>
    <t>CSR SUPPLIES (PR#20-06-70603)</t>
  </si>
  <si>
    <t>UPS FOR NETWORK AND SERVER 3000VA</t>
  </si>
  <si>
    <t>Procurement of Diesel and Gasoline</t>
  </si>
  <si>
    <t>Purchase of Laptop (for PNP)</t>
  </si>
  <si>
    <t>Purchase of Rice.</t>
  </si>
  <si>
    <t>20DN0157 - IMPROVEMENT/ CONSTRUCTION OF FLOOD CONTROL STRUCTURES OF KAMIAS CREEK (COGEO GATE 1), ANTIPOLO CITY, RIZAL</t>
  </si>
  <si>
    <t>Labor and Materials for the Desilting/Declogging of Creek at Pandaras, City of San Fernando, Pampanga</t>
  </si>
  <si>
    <t>Stationary Bike (Rehab)</t>
  </si>
  <si>
    <t>2LSSM2020A-243 Office Supplies</t>
  </si>
  <si>
    <t>Purchase of office equipments for Community Learning Center and various schools</t>
  </si>
  <si>
    <t>Various Computer Supplies for Valencia Branch 2nd Quarter</t>
  </si>
  <si>
    <t>Procurement of Office supplies</t>
  </si>
  <si>
    <t>Common Janitorial and Office SUpplies</t>
  </si>
  <si>
    <t>RFQ 20-05-20-14IB R&amp;M BUILDINGS</t>
  </si>
  <si>
    <t>HVCDP20-06-02-0562 Supply and Delivery of Vehicle Parts and Accessories.</t>
  </si>
  <si>
    <t>Purchase of Spare parts for Engineering Equipment (OPE Dump-truck)</t>
  </si>
  <si>
    <t>Improvement/Enclosure of Isolation Building (Bancal Elem Sch, Carles Central Sch and Cawayan NHS)</t>
  </si>
  <si>
    <t>PURCHASE OF VEGETABLE PRODUCTION MATERIALS AND EQUIPMENT</t>
  </si>
  <si>
    <t>Hauling of hazardous waste</t>
  </si>
  <si>
    <t>Asphalt Overlay at Along Tarlac City Plazuela Perimeter, Brgy. Poblacion, Tarlac City. B2020-076-A</t>
  </si>
  <si>
    <t>Printing Services: Posters</t>
  </si>
  <si>
    <t>2LSSM2020A-244 Office Supplies</t>
  </si>
  <si>
    <t>Printer and Scanner colored for OAH</t>
  </si>
  <si>
    <t>SUPPLY AND DELIVERY OF VARIOUS IT EQUIPMENTS</t>
  </si>
  <si>
    <t>Hardware Supplies and Materials</t>
  </si>
  <si>
    <t>Procurement of construction materials for Concreting of Road at Sitio Bangar, Sta. Maria</t>
  </si>
  <si>
    <t>PURCHASE OF ONE (1) UNIT WATER TANK</t>
  </si>
  <si>
    <t>Hibale SRIP, Package 1 (Const. of Lined Canal and Canal Structure)</t>
  </si>
  <si>
    <t>Supply, Installation and Activation of IP CCTV (Lot 1)</t>
  </si>
  <si>
    <t>RFQ - Drug Test Kits</t>
  </si>
  <si>
    <t>Reproduction of DLP/Modules</t>
  </si>
  <si>
    <t>UPDATING AND REFINEMENT OF THE COMPREHENSIVE LAND USE PLAN</t>
  </si>
  <si>
    <t>Supply and Delivery : Surveying instrument- insfrastructure multi-purpose design system- integrated RTK GNSS hardware and software with training</t>
  </si>
  <si>
    <t>RFQ - Procurement of Goods: Const'n Materials for the use of CEO (Repair &amp; Maintenance of Structures used as Evacuation Center) (PR#100-20-06-0261)</t>
  </si>
  <si>
    <t>PURCHASE OF VARIOUS MEDICAL AND DENTAL SUPPLIES FOR USE IN THE CHO AND PUERICULTURE CENTER FOR THE 2ND QUARTER</t>
  </si>
  <si>
    <t>NURSERY SUPPLIES (PR#20-06-70604)</t>
  </si>
  <si>
    <t>Stainless Steel Goniometer (Rehab)</t>
  </si>
  <si>
    <t>PSSD Uniform Accessories</t>
  </si>
  <si>
    <t>Request for Quotation for the Provision of Advertising Agency Services to be used during the " Getting a Grip of the Rice Tarrification Law or RA 11203: A Radio Broadcast" (Batch 4) at Ozamis, Misamis</t>
  </si>
  <si>
    <t>SHARP TONER</t>
  </si>
  <si>
    <t>SUPPLY OF GASOLINE FOR GOVERNMENT VEHICLES FOR 3RD QTR CY 2020</t>
  </si>
  <si>
    <t>Construction/Rehabilitation of Drainage Canal at Brgy. Capehan, Brgy. Balete and Brgy. Buenavista, Tarlac City. B2020-078-A</t>
  </si>
  <si>
    <t>Bid of Supplies</t>
  </si>
  <si>
    <t>PIKCOT-SUPP-002020-0141 (SUPPLY AND DELIVERY OF OFFICE SUPPLIES)</t>
  </si>
  <si>
    <t>Provision of labor services and materials for the fabrication of 3,520 information materials of Quezon Protected Landscape for CY-2020</t>
  </si>
  <si>
    <t>Procurement of Grocery Items</t>
  </si>
  <si>
    <t>Purchase of Medicines to replenish stocks in the Municipal Health Office</t>
  </si>
  <si>
    <t>20BA0065: CONSTRUCTION OF MULTI - PURPOSE BUILDING, BRGY. UVOY, MAHATAO, BATANES</t>
  </si>
  <si>
    <t>20DN0158 - CONSTRUCTION/ REHABILITATION OF MULTI - PURPOSE BUILDING, BRGY. DOLORES, TAYTAY, RIZAL</t>
  </si>
  <si>
    <t>PR 20-06-112, 75"UHD 4K SMART TV NU7100 SERIES 7</t>
  </si>
  <si>
    <t>PROCUREMENT OF MEDICAL, DENTAL AND LABORATORY SUPPLIES</t>
  </si>
  <si>
    <t>Hibale SRIP, Package 2 (Const. of Lined Canal and Canal Structure)</t>
  </si>
  <si>
    <t>LABORATORY SUPPLIES (PR#20-06-70606)</t>
  </si>
  <si>
    <t>SUPPLY AND DELIVERY OF ROLLER SHADE (P.R. NO. 100-20-02-0069)</t>
  </si>
  <si>
    <t>Procurement of Various Tire Wheel - Lot 1 - Tire Wheel for PEO Equipment</t>
  </si>
  <si>
    <t>ROAD CONCRETING (PUROK 4)</t>
  </si>
  <si>
    <t>LIVELIHOOD PROJECT - CATTLE FATTENING</t>
  </si>
  <si>
    <t>Purchase of Construction Materials for the Proposed Construction of RAN-FAR Drainage Canal, Centro 1, San Guillermo, Isabela</t>
  </si>
  <si>
    <t>FUEL FOR THE MOBILE BLOOD DONATION ACTIVITY</t>
  </si>
  <si>
    <t>PURIFIED DRINKING WATER</t>
  </si>
  <si>
    <t>20-02-0181</t>
  </si>
  <si>
    <t>Supply and Delivery of One (1) unit MPV L300 FB Van Body Dual AC M/T  to be used at Barangay Del Pilar, City of San Fernando, Pampanga</t>
  </si>
  <si>
    <t>Supply and Delivery of CellPhones (PR-MGBIVACALABARZON-20-93)</t>
  </si>
  <si>
    <t>PURCHASE OF ELECTRIC BULB, OFFICE TABLES AND CONSTRUCTION OF BOW-LARD (HARBOR POST), BRGY POBLACION, BURDEOS, QUEZON</t>
  </si>
  <si>
    <t>Repair and Maintenance of Ambulance (GB-1801) at Municipality of Lobo, Batangas</t>
  </si>
  <si>
    <t>Purchase Materials for Construction of Tech4Ed Center</t>
  </si>
  <si>
    <t>Meal Allowance of Frontliners</t>
  </si>
  <si>
    <t>Services for Education Specifically the Day Care Workers in Every Barangay of Vigan City for July to December 2020</t>
  </si>
  <si>
    <t>Rehab of Health Center</t>
  </si>
  <si>
    <t>Supply, Delivery and Installation of Vehicle Accessories, PR# 2020-03-0982 and 2020-03-0983</t>
  </si>
  <si>
    <t>Purchase and Delivery of 11 Units of Laptop for the Sangguniang Bayan Office</t>
  </si>
  <si>
    <t>Consultant Services for Information and Communication Technology for July to December 2020</t>
  </si>
  <si>
    <t>MEALS AND SNACKS FOR COMMITTEE MEETING OF  SBO- PR. NO:	2020-06-102</t>
  </si>
  <si>
    <t>20DN0159 - CONSTRUCTION OF MULTI - PURPOSE BUILDING, BRGY. MUZON,TAYTAY, RIZAL</t>
  </si>
  <si>
    <t>Pag-IBIG Fund TAS NCR South (SUPPLY AND DELIVERY OF VARIOUS MATERIALS FOR 27TH FLOOR, WORLD CENTER, MAKATI CITY)</t>
  </si>
  <si>
    <t>Procurement of office equipment for CSWD</t>
  </si>
  <si>
    <t>Supply and delivery of AIRCON</t>
  </si>
  <si>
    <t>GASS20-06-04-0035 Repost Supply and Delivery of Plastic Product.</t>
  </si>
  <si>
    <t>Trainer's Kit for the 2020 CPH 2nd, 3rd &amp; 4th Training</t>
  </si>
  <si>
    <t>CONSTRUCTION OF DEEPWELL BLISS DILAG</t>
  </si>
  <si>
    <t>Purchase of Medical Supplies/Equipment/Consumables/Devices for the Implementation of General Community Quarantine (GCQ) of Municipal Health Office, Ibaan, Batangas</t>
  </si>
  <si>
    <t>Supply and Delivery of Electrical Materials to be used for the Repair and Installation of Christmas Lantern 2019 at Various Puroks of Barangay San Agustin, City of San Fernando, Pampanga</t>
  </si>
  <si>
    <t>Supply and Delivery of Furniture and Office Equipment for SSD</t>
  </si>
  <si>
    <t>Procurement of Janitorial Supplies for use of Don Modesto Formilleza Sr. Memorial Hospital, Looc, Romblon</t>
  </si>
  <si>
    <t>2LSSM2020A-245 Office Supplies</t>
  </si>
  <si>
    <t>REPAIR AND MAINTENANCE OF BUILDING AND OTHER STRUCTURES, MUNICIPAL GROUND POBLACION, MAWAB, DAVAO DE ORO- PR NO. 2020-06-100</t>
  </si>
  <si>
    <t>RFQ20-6-47 Electrical System Phase 1</t>
  </si>
  <si>
    <t>Improvement of Multi-Purpose Covered Court &amp; Evacuation Center</t>
  </si>
  <si>
    <t>Purchase of Bond Paper, Multi Purpose Copy, Legal Size for Reproduction of Learners Module 2020-2021</t>
  </si>
  <si>
    <t>UPGRADING/IMPROVEMENT/REHABILITATION OF KALINGA DISTRICT HOSPITAL</t>
  </si>
  <si>
    <t>SUPPLY AND DELIVERY OF VARIOUS LABORATORY EQUIPMENTS</t>
  </si>
  <si>
    <t>Supplies for COA and Division Office.</t>
  </si>
  <si>
    <t>meals and snacks for CDD Disaster Response Operation Malitbog, Bukidnon</t>
  </si>
  <si>
    <t>2LSSM2020A-246 Office Supplies</t>
  </si>
  <si>
    <t>Purchase of Pest Control for Dengue Prevention</t>
  </si>
  <si>
    <t>Purchase of Supplies and Equipments for Covid-19 Prevention</t>
  </si>
  <si>
    <t>Installation Package for Network Connection including Labor &amp; Materials</t>
  </si>
  <si>
    <t>INSTALLATION OF ST.LIGHTS IN STRATEGIC AREA OF VARIOUS BRGYS.( WESTPLAIN, bRGY. S.A,LLANA, &amp; LUCIANO</t>
  </si>
  <si>
    <t>Delivery of Sea Urchin Juveniles</t>
  </si>
  <si>
    <t>Supply and Delivery of Materials, Labor and Construction/Improvement of Multi-Purpose Building at Barangay Lajala, Coron, Palawan.</t>
  </si>
  <si>
    <t>Procurement of Materials for the Construction of Drainage Canal, Barangay Garitan, Tagudin, Ilocos Sur</t>
  </si>
  <si>
    <t>PROCUREMENT OF DRUGS AND MEDICINES</t>
  </si>
  <si>
    <t>SUPPLY &amp; DELIVERY OF ACRYLIC SNEEZE GUARD FOR THE RECEPTION COUNTERS AT THE NHA MAIN OFFICE</t>
  </si>
  <si>
    <t>3rd Quarter Newspaper Subscription for Various Offices</t>
  </si>
  <si>
    <t>SUPPLY AND DELIVERY OF VARIOUS AGRICULTURAL SUPPLIES</t>
  </si>
  <si>
    <t>Supply and Delivery of Laptop Computer</t>
  </si>
  <si>
    <t>Purchase of 1 unit Desktop Computer</t>
  </si>
  <si>
    <t>MEALS AND SNACKS FOR PUBLIC  HEARING AND COMMITTEE MEETING OF  SBO- PR. NO:	2020-06-103</t>
  </si>
  <si>
    <t>Supply/Delivery of 300 rolls Toilet Tissue, 2 ply/sheet</t>
  </si>
  <si>
    <t>Supply/Delivery of Office Supplies</t>
  </si>
  <si>
    <t>Office Supplies for the use of RSCC for CY 2020</t>
  </si>
  <si>
    <t>PROCUREMENT OF ONE (1) LOT COMPUTER TONERS FOR THE 3RD QUARTER OF CY 2020</t>
  </si>
  <si>
    <t>20DN0160 - CONSTRUCTION OF MULTI - PURPOSE BUILDING, SITIO PINAGMISAHAN, BARANGAY DELA PAZ, ANTIPOLO CITY</t>
  </si>
  <si>
    <t>PR 1-20-06-0763, FOR USE OF BAC SECRETARIAT &amp; PROCUREMENT DIVISION OF CITY MAYOR'S OFFICE, THIS CITY.</t>
  </si>
  <si>
    <t>MAINTENANCE OF MUNICIPAL BULLDOZER.</t>
  </si>
  <si>
    <t>Procurement of Spare Parts</t>
  </si>
  <si>
    <t>20DN0161 - CONSTRUCTION OF PEDESTRIAN OVERPASS, SUN VALLEY (BARANGAY BAGONG NAYON TO DELA PAZ), ANTIPOLO CITY</t>
  </si>
  <si>
    <t>Request for Quotation of Paquibato Elementary School</t>
  </si>
  <si>
    <t>CONSTRUCTION OF PATHWAY, POBLACION</t>
  </si>
  <si>
    <t>Procurement of Electrical Tools &amp; Supply - Estancia Main Campus</t>
  </si>
  <si>
    <t>CONSTRUCTION OF FLOOD CONTROL SYSTEM @ SITIO AYALA, POBLACION SAN PASCUAL, BATANGAS</t>
  </si>
  <si>
    <t>IMPROVEMENT OF BARANGAY HALL</t>
  </si>
  <si>
    <t>Procurement of Materials and Logistics for the SGOD Webinar room and Internet Connectivity.</t>
  </si>
  <si>
    <t>PURCHASE AND INSTALLATION OF WATER PIPE LINES FOR BARANGAY WATER SYSTEM Barangay Pualas, Tubod, Lanao del Norte</t>
  </si>
  <si>
    <t>3.0TR Ceiling Mounted, Non-inverter with complete installation</t>
  </si>
  <si>
    <t>Construction of Drainage Canal</t>
  </si>
  <si>
    <t>20J00199 - Buildings and Other Structures - School Buildings - Construction of Three-Storey School Building, Tandu-Bato Elementary School, Brgy. Tandu-Bato, Luuk, Sulu</t>
  </si>
  <si>
    <t>PURCHASE OF INFORMATION TECHNOLOGY EQUIPMENT AND PARAPHERNALIA FOR THE DIFFERENT OFFICES OF THE MUNICIPAL GOVERNMENT OF NAGUILIAN, LA UNION (NOT AVAILABLE AT PS-DBM).</t>
  </si>
  <si>
    <t>Concreting of Sitio Bato/Penac Road (Kakawayanan) Brgy. Baug, Urbiztondo, Pangasinan</t>
  </si>
  <si>
    <t>GIS ist and 2nd quarter repair of office equipment.</t>
  </si>
  <si>
    <t>meals and snacks for CDD Disaster Response Operation Kitaotao, Bukidnon</t>
  </si>
  <si>
    <t>PURCHASE OF MUTLI-PURPOSE TRUCK(BRGY.UNZAD, VILLASIS, PANGASINAN)</t>
  </si>
  <si>
    <t>Procurement of Various Medical Supplies: For the use of Leprosy case finding</t>
  </si>
  <si>
    <t>Procurement of Various Medical Supplies: Technical Assistance Social Hygiene clinic and for HIV Testing</t>
  </si>
  <si>
    <t>Construction of Drainage Canal at Relocation Site,Purok 5 Brgy. 9, Malaybalay City.</t>
  </si>
  <si>
    <t>Procurement of Disposable Syringe with needle</t>
  </si>
  <si>
    <t>20J00198 - Rehabilitation of Jolo Mainland Water District, Brgy. Asturias, Jolo, Sulu</t>
  </si>
  <si>
    <t>PERIODIC MAINTENANCE AT SANITARY LANDFILL</t>
  </si>
  <si>
    <t>CONSTRUCTION OF WATER WORKS P2 DUGPA</t>
  </si>
  <si>
    <t>CONCRETING OF MAYOR ALEJO STREET, Brgy. 10 Poblacion, Can-avid Eastern Samar</t>
  </si>
  <si>
    <t>Anti-Virus</t>
  </si>
  <si>
    <t>PR 20-06-113, BATTERY RELAY, TOGGLE SWITCH, ELECTRICAL TAPE, ETC.</t>
  </si>
  <si>
    <t>Purchase of One (1) set Desktop computer-Mayor's Office, San Fabian, Pangasinan</t>
  </si>
  <si>
    <t>(GO-Tourism) 2nd REQUEST FOR QUOTATION (RFQ)  For the Procurement of 1 lot Stage Decorations (Assorted Fresh Flowers, etc.) For the Governor’s Office – Tourism Division--200,000.00</t>
  </si>
  <si>
    <t>Procurement of materials</t>
  </si>
  <si>
    <t>hardware materials</t>
  </si>
  <si>
    <t>SUPPLY AND DELIVERY OF OFFICE SUPPLIES (P.R. NO. 100-20-06-0233)</t>
  </si>
  <si>
    <t>Purchase of Medical Supplies/Equipment/Consumables/Devices for the Implementation of General Community Quarantine (GCQ) of the Municipal Government of Ibaan, Batangas</t>
  </si>
  <si>
    <t>Procurement of Various Tire Wheel - Lot 2 - Tire Wheel - Pintuyan District Hospital</t>
  </si>
  <si>
    <t>20J00197 - Construction of Multi-Purpose Building (Grandstand), Brgy. Lawm Maimbung, Maimbung, Sulu</t>
  </si>
  <si>
    <t>Supply &amp; Delivery of Office Supplies &amp; Equipment @ Accounting Office, Rodriguez, Rizal</t>
  </si>
  <si>
    <t>Purchase of Construction Materials for the Proposed Construction of RAN-FAR Drainage Canal (Phase II), Centro 1, San Guillermo, Isabela</t>
  </si>
  <si>
    <t>7CAV(S)-04-2020-674 RM Buildings &amp; Other Structures</t>
  </si>
  <si>
    <t>20DN0168 - CONSTRUCTION OF FLOODGATE, CAINTA RIVER, SAN FRANCISCO, MANGGAHAN FLOODWAY, BRGY. SAN JUAN (PHASE 2), CAINTA, RIZAL</t>
  </si>
  <si>
    <t>Installation of Fixed Glass Partition of Radio Control Program at DOH CHD I Conference Room</t>
  </si>
  <si>
    <t>Tractor Repair &amp; Maintenance</t>
  </si>
  <si>
    <t>PROCUREMENT OF T-SHIRT WITH PRINT AND TARPAULIN TO BE USED IN THE NUTRITION MONTH CELEBRATION 2020</t>
  </si>
  <si>
    <t>20J00202 - Construction/Concreting of Kan Izquierdo-Junction Sucuban Road, Luuk, Sulu</t>
  </si>
  <si>
    <t>Construction of Ambato High School Stage</t>
  </si>
  <si>
    <t>Supply and Delivery of Spare Parts and Consumables of Photocopying Machines of City General Services Office and Bids and Awards Committee Office</t>
  </si>
  <si>
    <t>RICE20-02-12-0414 Supply and Delivery of Office Equipment.</t>
  </si>
  <si>
    <t>Assorted Materials for the Improvement of Bugnay MP Hall</t>
  </si>
  <si>
    <t>CONSTRUCTION OF WWS ISLA BADO DANGWA</t>
  </si>
  <si>
    <t>PROCUREMENT OF 10 BOX PIPETTE TIPS 200UL,5 BOX PIPETTE TIPS 100UL AND 5 BOX PIPETTE TIPS 20UL (A3-20-05)</t>
  </si>
  <si>
    <t>Supply and Delivery of Construction Materials for Concreting of Brgy. Road</t>
  </si>
  <si>
    <t>For use in operation of Road Grader 05, DT 2, DT3, Toyota Hilux AAG 1146 DT 12,DT 14, 15 &amp; 16,Boom Truck, DT07, Isuzu Trooper Backhoe-02 assigned at City Engineer's Office.</t>
  </si>
  <si>
    <t>20J00201 - Construction of Multi-purpose Building, Brgy. Tandu Bato, Luuk, Sulu</t>
  </si>
  <si>
    <t>INVITATION TO PAKYAW GROUP - TC-LDN-BALILI-FAW-RRECIS-2019-03a</t>
  </si>
  <si>
    <t>Solarwinds Network Performance Monitoring</t>
  </si>
  <si>
    <t>One (1) Job Catering for Quarantine Enforcers and Fronliners for COVID 19/CDRRMO</t>
  </si>
  <si>
    <t>Repair/Maintenance of Municipal Vehicle (FB with Conduction Sticker B1R695) @ Samal, Bataan</t>
  </si>
  <si>
    <t>Purchase of Correction Tape, Tape Dispenser, Inks, etc. for Office Supplies use</t>
  </si>
  <si>
    <t>Supplies for National Tuberculosis Program</t>
  </si>
  <si>
    <t>meals and snacks for CDD Disaster Response Operation Damulog, Bukidnon</t>
  </si>
  <si>
    <t>PURCHASE AND INSTALLATION OF 1 SET BASKETBALL BOARD Barangay Pualas, Tubod, Lanao del Norte</t>
  </si>
  <si>
    <t>REQUEST FOR QUOTATION FOR USE OF MITS. GRADER LG2H WITH PROP # DM1-07 ASSIGNED AT ALARIS</t>
  </si>
  <si>
    <t>20J00200 - Construction of Bud Sibalo Multi-Purpose Center, Sitio Sibalo, Brgy. Punay, Panglima Estino, Sulu</t>
  </si>
  <si>
    <t>CONSTRUCTION OF MULTI-PURPOSE BUILDING - TUBAJON, DINAGAT ISLANDS</t>
  </si>
  <si>
    <t>Wedge Board (Rehab)</t>
  </si>
  <si>
    <t>Procurement of Catering Service for the conduct of 2020 Census of Population and Housing (CPH) 4th Level Training at Anini-y for PSA Antique PSO.</t>
  </si>
  <si>
    <t>BPSU:CO-MIS ONLINE MONITORING SUPPORT&amp; MAINTENACE</t>
  </si>
  <si>
    <t>AMP SVP-S NO: 20-06-0339A SSL Certificates</t>
  </si>
  <si>
    <t>Supply and Delivery of Rain Coat, Rubber Boots and Cloth Gloves for Protection of Garbage Collector, Sweeper ect., this city</t>
  </si>
  <si>
    <t>CERTIFICATE DIPLOMA HOLDER PR-0212</t>
  </si>
  <si>
    <t>PURCHASE OF ELECTRICAL SUPPLIES</t>
  </si>
  <si>
    <t>NCB Publication No. 2020- 19 (First Publication)- Improvement of Sta. Maria- Quarentinas Road</t>
  </si>
  <si>
    <t>Supply / Delivery of 5,200 pcs Abaca Seedlings &amp; 10,000 pcs Durian Seedlings (Grafted)</t>
  </si>
  <si>
    <t>SOIL TEST ANALYSIS (SOIL SUB-SURFACE INVESTIGATION) (P.R. NO. 100-20-06-0231)</t>
  </si>
  <si>
    <t>PURCHASE OF SCHOOL SUPPLIES AND OTHER MATERIALS FOR SHS</t>
  </si>
  <si>
    <t>CONCRETING OF FARM TO MARKET ROAD Purok 3 &amp; 4, Barangay Pualas, Tubod, Lanao del Norte</t>
  </si>
  <si>
    <t>PROPOSED MAINTENANCE OFFICE WITH ELEVATED WATER TANK AT LUCAP PARK, BRGY. LUCAP, CITY OF ALAMINOS, PANGASINAN</t>
  </si>
  <si>
    <t>Supply and Delivery of Perforated Steel Rear File for the use of Office of the Building Official</t>
  </si>
  <si>
    <t>Repairs and Maintenance of Airconditioning Units of City Government Building A</t>
  </si>
  <si>
    <t xml:space="preserve">20J00203 - Repair Maintenance of DPWH RO-IX Bldg. Maintenance Division Pantry DPWH Compound Veterans Avenue Extension, Tetuan, Z.C. and Repair/Maintenance of DPWH Bldg. Covered Equipark Phase II DPWH </t>
  </si>
  <si>
    <t>PROCUREMENT OF 3 UNIT COMPUTER MONITOR,3 UNIT DESKTOP CPU AND 3 UNIT PRINTER COLORED,CONTINOUS INK SUPPLY (CIS) (B10-20-015)</t>
  </si>
  <si>
    <t>Purchase of Service Vehicle for Government Use of the Municipality of Bocaue</t>
  </si>
  <si>
    <t>Procurement of Beractant for Injection</t>
  </si>
  <si>
    <t>1.Stationery/CMO 2. Diploma/PCC 3. Diploma/PCC</t>
  </si>
  <si>
    <t>NCB Publication No. 2020- 20 (First Publication)- Improvement of Ubao- Haitan Road</t>
  </si>
  <si>
    <t>BPSU:CO-PA Annual Report 2019-for Circulation</t>
  </si>
  <si>
    <t>IMRPOVEMENT OF SINGLANAN CONCRETE CANAL BRGY. SINANGLANAN, MALAYBALAY CITY.</t>
  </si>
  <si>
    <t>Supply and Delivery of CM for the construction of of Barangay Health Station @ Pinayag</t>
  </si>
  <si>
    <t>Purchase of Vehicle for the Use of Bocaue Police</t>
  </si>
  <si>
    <t>Procurement of Library Online Databases and References</t>
  </si>
  <si>
    <t>PROCUREMENT OF OFFICE SUPPLIES NOT AVAILABLE IN PROCUREMENT SERVICE</t>
  </si>
  <si>
    <t>IMPROVEMENT OF SAN MARTIN, CONCRETE CANAL PUROK 3, BRGY. SAN MARTIN, MALAYBALAY CITY.</t>
  </si>
  <si>
    <t>PR2020-06-028 - Purchase and delivery of vehicle parts and accessories</t>
  </si>
  <si>
    <t>20JI0109 - Concreting of Brgy. Basalem FMR, Barangay Basalem, Buug, Zamboanga Sibugay</t>
  </si>
  <si>
    <t>Repair/Rehabilitation of Handwashing Facility</t>
  </si>
  <si>
    <t>PURCHASED OF DIFFERENT SCHOOL SUPPLIES AND OTHER SERVICES OF SAN PABLO INTEGRATED SCHOOL2020</t>
  </si>
  <si>
    <t>Construction of Dananao Multi-purpose building</t>
  </si>
  <si>
    <t>Procurement of Furnitures and Supplies to be used at the Faculty Office</t>
  </si>
  <si>
    <t>Computer Equipment and Supplies - Legal Division</t>
  </si>
  <si>
    <t>Supply and Delivery of Equipment and Supplies for the use of Office of the Building Official</t>
  </si>
  <si>
    <t>Bolster (Rehab)</t>
  </si>
  <si>
    <t>PURCHASE OF 2,200 PCS. HOUSE PLATE NUMBERING AT BRGY. STO. ANGEL, SAN PABLO CITY</t>
  </si>
  <si>
    <t>CONSTRUCTION/REHABILITATION/IMPROVEMENT OF LOCAL GOVERNMENT-OWNED POTABLE WATER SUPPLY SYSTEM @ BARANGAY RESPLANDOR, SAN PASCUAL, BATANGAS</t>
  </si>
  <si>
    <t>CONSTRUCTION OF MALINGAO BIRTHING FACILITY  Barangay Malingao, Tubod, Lanao del Norte</t>
  </si>
  <si>
    <t>Barangay Day-Anti-Covid- 19 Kits</t>
  </si>
  <si>
    <t>Supply / Delivery of 30 bottles Alcohol ethyl 68% to 70% scented 500ml</t>
  </si>
  <si>
    <t>1.IT Equipment/City Assessor’s Office 2. IT Equipment/ City Agriculture Office 3. IT Equipment /CMO-Motorpool</t>
  </si>
  <si>
    <t>20DN0169 - CONSTRUCTION OF FLOODGATE, CAINTA RIVER, SAN FRANCISCO MANGGAHAN FLOODWAY, PHASE 3, BRGY. SAN JUAN, CAINTA, RIZAL</t>
  </si>
  <si>
    <t>NCB Publication No. 2020- 21 (First Publication)- Improvement of Ubao- Lubuan Road</t>
  </si>
  <si>
    <t>Procurement of Resource Person (AFoCo)</t>
  </si>
  <si>
    <t>Desilting</t>
  </si>
  <si>
    <t>Supply &amp; delivery of materials for the Improvement of Senior Citizen's Building at Brgy. Pob. 5, Tanauan City, Batangas</t>
  </si>
  <si>
    <t>Repair/Renovation of DAO</t>
  </si>
  <si>
    <t>PROCUREMENT OF AGRICULTURAL INPUTS</t>
  </si>
  <si>
    <t>CONSTRUCTION/REHABILITATION/IMPROVEMENT OF LOCAL GOVERNMENT-OWNED POTABLE WATER SUPPLY SYSTEM @ BARANGAY KAINGIN, SAN PASCUAL, BATANGAS</t>
  </si>
  <si>
    <t>Purchase of 1 unit Laptop Computer</t>
  </si>
  <si>
    <t>CONSTRUCTION OF 2 UNITS MULTI- PURPOSE DRYING PAVEMENT PUROK 4 &amp; PUROK 8, BRGY. LINABO, MALAYBALAY CITY.</t>
  </si>
  <si>
    <t>FIRE EXTINGUISHER</t>
  </si>
  <si>
    <t>Supply &amp; Delivery of 170 pcs. Protection Cover All Suit and Other Items, CHO - For use in the Isolation/Quarantine Area for the Persons Under Monitoring (PUM)</t>
  </si>
  <si>
    <t>Supply and Delivery of Audio Supplies (VMO)</t>
  </si>
  <si>
    <t>Procurement of Catering Service for the conduct of 2020 Census of Population and Housing (CPH) 4th Level Training at Belison for PSA Antique PSO</t>
  </si>
  <si>
    <t>PURCHASE OF ASSORTED SEEDLINGS AND ORNAMENTAL TREES TO BE USED IN THE CITY PLANT NURSERY AS PARENT STOCK AND FOR DISTRIBUTION TO SCHOOLS / SUBDIVISIONS AND OTHER ENTITIES FOR FOOD PRODUCTION</t>
  </si>
  <si>
    <t>PROCUREMENT OF FARM MACHINERY</t>
  </si>
  <si>
    <t>Road Maintenance of Public Cemetery</t>
  </si>
  <si>
    <t>PR2020-06-029 - Purchase and Delivery of Construction Equipment, Materials and Supplies</t>
  </si>
  <si>
    <t>CONSTRUCTION OF COVERED CANAL - TRAMO SILANGAN AND MP CONTI RD.</t>
  </si>
  <si>
    <t>Procurement of computer continuous forms</t>
  </si>
  <si>
    <t>Concreting of Local Road (Phase III) at Brgy. Binauganan, Tarlac City. B2020-080-A</t>
  </si>
  <si>
    <t>Medical Supplies for Office Use</t>
  </si>
  <si>
    <t>Construction Materials (Fencing of bahay Silangan)</t>
  </si>
  <si>
    <t>Procurement of Catering Service for the conduct of 2020 Census of Population and Housing (CPH) 4th Level Training at Bugasong for PSA Antique PSO</t>
  </si>
  <si>
    <t>IMPROVEMENT OF HEALTH CENTER</t>
  </si>
  <si>
    <t>Procurement of Catering Service for the conduct of 2020 Census of Population and Housing (CPH) 4th Level Training at Caluya for PSA Antique PSO</t>
  </si>
  <si>
    <t>CONSTRUCTION OF 2 UNITS MULTI-PURPOSE DRYING PAVEMENT PUROK 1, BRGY. SINANGLANAN/ PUROK 7, BRGY. SAN MARTIN, MALAYBALAY CITY.</t>
  </si>
  <si>
    <t>Concreting/Rehabilitation of Local Road at Brgy. Balibago I, Brgy. Salapungan and Brgy. Tariji, Tarlac City. B2020-079-A</t>
  </si>
  <si>
    <t>Procurement of Catering Service for the conduct of 2020 Census of Population and Housing (CPH) 4th Level Training at Barbaza for PSA Antique PSO</t>
  </si>
  <si>
    <t>Procurement of Various Tire Wheel - Lot 3 - Tire Wheel - PAGSO</t>
  </si>
  <si>
    <t>BARANGAY WATER SYSTEM BRGY. MALIGAYA, MALAYBALAY CITY.</t>
  </si>
  <si>
    <t>One (1) Lot – Introduction to Project Management Course, as per BSP Terms of Reference</t>
  </si>
  <si>
    <t>Concreting/Rehabilitation of Local Road at Brgy. Alvindia and Balibago II, Tarlac City. B2020-081-A</t>
  </si>
  <si>
    <t>Procurement of Catering Service for the conduct of 2020 Census of Population and Housing (CPH) 4th Level Training at Laua-an for PSA Antique PSO</t>
  </si>
  <si>
    <t>Road Concreting</t>
  </si>
  <si>
    <t>Janitorial Supplies</t>
  </si>
  <si>
    <t>2LSSM2020A-250 Office Supplies</t>
  </si>
  <si>
    <t>Procurement of Various Tire Wheel - Lot 4 - Tire Wheel - PHSO</t>
  </si>
  <si>
    <t>PROCUREMENT OF TIRES FOR THE REPAIR AND MAINTENANCE OF TRANSPORTATION EQUIPMENT</t>
  </si>
  <si>
    <t>Supply and delivery of various Chemical and filtering supplies and materials</t>
  </si>
  <si>
    <t>Purchase of Samsung 101s Toner Cartridge (PR No. 20-04-115)</t>
  </si>
  <si>
    <t>Concreting/Rehabilitation of Local Road at Brgy. Balanti and Brgy. San Jose de Urquico, Tarlac City. B2020-082-A</t>
  </si>
  <si>
    <t>20DN0171 - CONSTRUCTION/ REHABILITATION OF MULTI - PURPOSE BUILDING (PRITIL MEDICAL CENTER INCLUDING SITE DEVELOPMENT), BRGY. LIBIS, BINANGONAN, RIZAL</t>
  </si>
  <si>
    <t>PURCHASE OF TV AND WATER DISPENSER</t>
  </si>
  <si>
    <t>ONE (1) LOT ELECTRICAL SYSTEM (Leasehold Improvement) OF LHIO AKLAN</t>
  </si>
  <si>
    <t>2LSSM2020A-249 Office Supplies</t>
  </si>
  <si>
    <t>Procurement of Catering Service for the conduct of 2020 Census of Population and Housing (CPH) 4th Level Training at Hamtic for PSA Antique PSO</t>
  </si>
  <si>
    <t>Supply and Delivery of Construction Materials for VSU-Villaba</t>
  </si>
  <si>
    <t>Construction Materials (Fabrication of Wooden table-Municipal Gym)</t>
  </si>
  <si>
    <t>Concreting/Rehabilitation of Tan-awan to Guimotan Road</t>
  </si>
  <si>
    <t>2LSSM2020A-248 Office Supplies</t>
  </si>
  <si>
    <t>PROCUREMENT OF 1 UNIT SELF-LOADING PRIME MOVER (SURPLUS)</t>
  </si>
  <si>
    <t>SUPPLY, DELIVERY &amp; INSTALLATION OF FIFTY-SEVEN (57) UNITS TELLERING ALARM SYSTEM FOR VARIOUS SSS BRANCH OFFICES</t>
  </si>
  <si>
    <t>PROPOSED CONSTRUCTION OF BASE WI-FI RADIO ANTENNA VIDEO TRANSCEIVER COMMUNICATION FOR CCTV TRAFFIC MONITORING SYSTEM AND INSTALLATION OF PERIMETER SECURITY CAMERA IN POSO OFFICE, POOLSIDE COMPOUND POB</t>
  </si>
  <si>
    <t>Purchase of Materials for Repair &amp; Maintenance of Municipal Heavy Equipment (SKM 596) Gumaca, Quezon</t>
  </si>
  <si>
    <t>Procurement of Catering Service for the conduct of 2020 Census of Population and Housing (CPH) 4th Level Training at Pandan for PSA Antique PSO</t>
  </si>
  <si>
    <t>Supply and Delivery of CM-for the improvement of Besong-Amelong Labeng Road</t>
  </si>
  <si>
    <t>2LSSM2020A-251 Office Supplies</t>
  </si>
  <si>
    <t>PROCUREMENT OF OFFICE SUPPLY INTENSIFIED CAMPAIGN ON ILL EFFECTS OF DRUGS</t>
  </si>
  <si>
    <t>CONSOLIDATED  OFFICE SUPPLIES FOR  MSWDO ( DIFFERENT PROGRAM) AND HRD SECTION- PR. NO:	2020-06-104</t>
  </si>
  <si>
    <t>Preventive Maintenance/Pallaltive Repair of Bayambang District Hospital</t>
  </si>
  <si>
    <t>Purchase of Spareparts for the Municipal Government Vehicle</t>
  </si>
  <si>
    <t>Purchase Face Mask</t>
  </si>
  <si>
    <t>Construction of PNP Outpost Phase 2 in Brgy. Bancal, Carles, Iloilo</t>
  </si>
  <si>
    <t>CONSOLIDATED DRUGS AND MEDICINES FOR DIFFERENT  PROGRAMS OF MHO- PR. NO:	2020-06-107</t>
  </si>
  <si>
    <t>ENGINE ASSEMBLY FOR DUMPTRUCK</t>
  </si>
  <si>
    <t>PROCUREMENT OF AGRICULTURAL INPUTS FOR COMMUNITY REINTEGRATION PROGRAM</t>
  </si>
  <si>
    <t>Construction Materials (Repair of office door and windows)</t>
  </si>
  <si>
    <t>PROCUREMENT/ PURCHASE OF AMBULANCE</t>
  </si>
  <si>
    <t>Supply and Delivery of CM for the improvement of CIS Soriano and Lopez Residence @ Baan KNV</t>
  </si>
  <si>
    <t>Negotiated Procurement – Two (2) Failed Biddings for the Procurement of Consulting Services for the Review and Updating of the Study on the Fluctuation Factors (K) and Parametric Formula under the Rev</t>
  </si>
  <si>
    <t>Purchase Digital Camera</t>
  </si>
  <si>
    <t>Preventive Maintenance/Pallaltive Repair of Pozorrubio Community Hospital</t>
  </si>
  <si>
    <t>Purchase of 1 Computer Set</t>
  </si>
  <si>
    <t>Procurement of Catering Service for the conduct of 2020 Census of Population and Housing (CPH) 4th Level Training at San Jose for PSA Antique PSO</t>
  </si>
  <si>
    <t>Provision of supplies, materials and other incidentals including labor for the printing and binding of 80 pcs Annual Report</t>
  </si>
  <si>
    <t>Supply/Delivery of Medicines &amp; Medical Supplies for the RHU and Maternity Clinic of Palo, Leyte.</t>
  </si>
  <si>
    <t>Purchase of 1 unit Office Vault (steel)</t>
  </si>
  <si>
    <t>Concreting of Pathway Sun-ok (Pruok 6, Bogo)</t>
  </si>
  <si>
    <t>SUPPLY OF ONE (1) UNIT OF TRANSPORT VAN W/ DUAL AIRCON, 2.3L TO 2.6L, EURO 4 DIESEL ENGINE</t>
  </si>
  <si>
    <t>Construction of Elevated Pathway at Dasmariñas St.  Phase I</t>
  </si>
  <si>
    <t>Procurement of Catering Service for the conduct of 2020 Census of Population and Housing (CPH) 4th Level Training at Patnongon for PSA Antique PSO</t>
  </si>
  <si>
    <t>REHABILITATION OF BARANGAY ROADS</t>
  </si>
  <si>
    <t>Supply and Delivery of Agricultural Supplies, Seeds, Seedlings and Fertilizers ITB No. 2020-160</t>
  </si>
  <si>
    <t>CONSTRUCTION OF MULTI-PURPOSE DRYING PAVEMENT PUROK 2, BRGY. STO. NIÑO, MALAYBALAY CITY.</t>
  </si>
  <si>
    <t>Procurement of Catering Service for the conduct of 2020 Census of Population and Housing (CPH) 4th Level Training at Culasi for PSA Antique PSO</t>
  </si>
  <si>
    <t>2LSSM2020A-247 Office Supplies</t>
  </si>
  <si>
    <t>Procurement of CW-Improvement of SLF (Phase I), Construction of SLF Protection _@ Tidang Village</t>
  </si>
  <si>
    <t>PURCHASE OF OFFICE  SUPPLIES FOR MCOW- PR. NO:	2020-06-112</t>
  </si>
  <si>
    <t>Procurement of Catering Service for the conduct of 2020 Census of Population and Housing (CPH) 4th Level Training at Libertad for PSA Antique PSO</t>
  </si>
  <si>
    <t>Purchased of laptop computer with printer</t>
  </si>
  <si>
    <t>Supply of Civil Works for Construction of Lipata Brgy. Health Station</t>
  </si>
  <si>
    <t>Procurement of Test Booklet</t>
  </si>
  <si>
    <t>2LSSM2020A-253 Office Supplies</t>
  </si>
  <si>
    <t>Water Service Connection Materials and Fittings</t>
  </si>
  <si>
    <t>PURCHASE OF RICE FOR BASURA PALIT BIGAS PROGRAM</t>
  </si>
  <si>
    <t>Request for Quotation Janitorial Supplies (PPE for COVID-19)</t>
  </si>
  <si>
    <t>2LSSM2020A-254 Office Supplies</t>
  </si>
  <si>
    <t>SUPPLY AND DELIVERY OF JANITORIAL SUPPLIES (P.R. NO. 100-20-06-0214)</t>
  </si>
  <si>
    <t>Procurement of 1 Package Improvement of City Accountants Office under P.R.Nos. 2561-2020-Office of the City Accountant</t>
  </si>
  <si>
    <t>Construction of Trapezoidal Concrete Canal Lining (Sta. 9+998-Sta. 10+545) of LARIS Lateral E, Rectangular Concrete Canal Lining (Sta. 5+640-Sta. 6+141) of LARIS CD-1-6 and Drain Inlet (Sta. 27+590) o</t>
  </si>
  <si>
    <t>PROCUREMENT OF SCHOOL SUPPLIES</t>
  </si>
  <si>
    <t>PROPOSED UPGRADING OF PCC PAVEMENT AND DRAINAGE SYSTEM AT BARANGAY HERRERO-PEREZ (INFRONT OF CHO AND RED CROSS), DAGUPAN CITY - PHASE I</t>
  </si>
  <si>
    <t>2LSSM2020A-252 Office Supplies</t>
  </si>
  <si>
    <t>PROCUREMENT OF VARIOUS CONSTRUCTION MATERIALS FOR THE IMPROVENT OF MULTI-PURPOSE HALL (IP OFFICE AT MUNICIPAL SITE BUILDING) BSK</t>
  </si>
  <si>
    <t>PR 6.035 ITB No. 2020-031 TOURIST PHILCARE KIT</t>
  </si>
  <si>
    <t>COMPLETION OF THE SEVEN (7) STOREY OB-GYNE AND PEDIATRIC WARD BUILDING (4TH-6TH FLOOR)</t>
  </si>
  <si>
    <t>Procurement of Cleaning and Beautification Materials</t>
  </si>
  <si>
    <t>PROCUREMENT OF VARIOUS CONSTRUCTION MATERIALS FOR THE IMPROVENT OF MULTI-PURPOSE HALL (SENIOR CITIZEN) AT MUNICIPAL SITE BSK</t>
  </si>
  <si>
    <t>Procurement of Consulting Services</t>
  </si>
  <si>
    <t>IT-Equipment - MTO</t>
  </si>
  <si>
    <t>PROCUREMENT OF OFFICE SUPPLIES</t>
  </si>
  <si>
    <t>1 unit Motor Vehicle for Disaster &amp; Emergency Response</t>
  </si>
  <si>
    <t>Aircon split floor mounted (Function hall -Kapatagan)</t>
  </si>
  <si>
    <t>Request For Quotation</t>
  </si>
  <si>
    <t>RFQ - Procurement of Goods: General Merchandise Supplies for the use of CDRRMO (PR#200-20-06-0250)</t>
  </si>
  <si>
    <t>Procurement of CW-Construction of Embankment Protection @ Balangabang KNV</t>
  </si>
  <si>
    <t>TO SUPPLY AND DELIVERY OF VARIOUS FILTERS INTENDED FOR BATAG DPP</t>
  </si>
  <si>
    <t>UPGRADING/ IMPROVEMENT/ REHABILITATION OF TANUDAN MUNICIPAL HOSPITAL (TMH), BANAGAO</t>
  </si>
  <si>
    <t>Communication Equipment - DepEd Maasim 1 District</t>
  </si>
  <si>
    <t>SUPPLY AND DELIVERY OF I.T. SUPPLIES (rfq#2019-10-3,059)-(pgo-pdrrmd)</t>
  </si>
  <si>
    <t>PURCHASE OF REFILL OF FIRE EXTINGUISHER  FOR MDRRMO- PR. NO:	2020-06-118</t>
  </si>
  <si>
    <t>STO20-05-26-0247 Supply and Delivery of Planting Materials.</t>
  </si>
  <si>
    <t>2LSSM2020A-255 Office Supplies</t>
  </si>
  <si>
    <t>Procurement of Catering Service for the conduct of 2020 Census of Population and Housing (CPH) 4th Level Training at Sebaste for PSA Antique PSO</t>
  </si>
  <si>
    <t>Purchase of Ladder</t>
  </si>
  <si>
    <t>20CSIB08 : 2.	Subsurface Soil exploration works for proposed Rehabilitation/Construction of 2-Storey Quality Assrurance and Maintenance Building</t>
  </si>
  <si>
    <t>Chlorine dioxide Powder</t>
  </si>
  <si>
    <t>Quotation No. 20-06-0366- Vehicle Rental (5 Days) for the Pre-assessment on Synchronized Polio Epidemic Response, Rapid Coverage Assessment RCA (Bivalent) on July 6-10, 2020; Probable Itinerary: Isabe</t>
  </si>
  <si>
    <t>Hummer Plate No.090806, Battery</t>
  </si>
  <si>
    <t>Preventive Maintenance / Pallaltive Repair of Lingayen District Hospital</t>
  </si>
  <si>
    <t>Request for Quotation for the Provision of Advertising Agency Services to be used for the "Getting a Grip of the Rice Tarrification Law or RA 11203: A Radio Broadcast" Batch 2 at Iligan City on July 2</t>
  </si>
  <si>
    <t>PROPOSED UPGRADING OF PCC PAVEMENT AND DRAINAGE SYSTEM AT GALVAN ST., BARANGAY IV, DAGUPAN CITY</t>
  </si>
  <si>
    <t>Construction of  pavement Dasmariñas Phase II</t>
  </si>
  <si>
    <t>Procurement of Load Card</t>
  </si>
  <si>
    <t>Request for Quotation (Alcohol, Etc.)</t>
  </si>
  <si>
    <t>PROCUREMENT OF VARIOUS CONSTRUCTION MATERIALS FOR THE CONSTRUCTION OF DRING PAVEMENT AT PRK.KANULOY BRGY. BAI SARIPINANG BSK</t>
  </si>
  <si>
    <t>2LSSM2020A-256 Food Supplies</t>
  </si>
  <si>
    <t>70TH ARAW NG LABANGAN 2020</t>
  </si>
  <si>
    <t>Procurement of Eco Solvent Printer</t>
  </si>
  <si>
    <t>Communication Equipment - DepEd Maasim 2 District</t>
  </si>
  <si>
    <t>ELECTRIC SUPPLIES PR 0211</t>
  </si>
  <si>
    <t>Preventive Maintenance at Pangasinan Provincial Hospital</t>
  </si>
  <si>
    <t>CONSTRUCTION OF CANAL AT BARANGAY POBLACION I</t>
  </si>
  <si>
    <t>Quotation No. 20-06-0367- Vehicle Rental (5 Days) for the Pre-assessment on Synchronized Polio Epidemic Response, Rapid Coverage Assessment RCA (Bivalent) on July 6-10, 2020; Probable Itinerary: Zambo</t>
  </si>
  <si>
    <t>Purchase of Food Supplies for Nutrition</t>
  </si>
  <si>
    <t>2020-06-01</t>
  </si>
  <si>
    <t>CLEANING SUPPLIES PR 0207</t>
  </si>
  <si>
    <t>Procurement of Catering Service for the conduct of 2020 Census of Population and Housing (CPH) 4th Level Training at Tibiao for PSA Antique PSO</t>
  </si>
  <si>
    <t>Purchase of 1,440 bags of Cement and 4,000 pcs. Concrete Hollow Blocks, 4”</t>
  </si>
  <si>
    <t>TO SUPPLY LABOR, TOOLS &amp;  MATERIALS FOR THE REWINDING OF MAIN GENERATOR STATOR INTENDED FOR STO. NINO DPP</t>
  </si>
  <si>
    <t>INSTALLATION OF SOLAR STREET LIGHTS, BARANGAY MACPAC, CATANAUAN, QUEZON</t>
  </si>
  <si>
    <t>SUPPLY AND DELIVERY OF 5,000 KG SQUASH FRUIT</t>
  </si>
  <si>
    <t>Therapy Mat  (Rehab)</t>
  </si>
  <si>
    <t>2LSSM2020A-257 Food Supplies</t>
  </si>
  <si>
    <t>Materials - For the installation of distribution mains at Bryg. San Juan, Provincial Road, San Manuel, Pang.</t>
  </si>
  <si>
    <t>PURCHASE  OF CUSTOMIZED  UMBRELLA'S FOR MAYORS OFFICE- PR. NO:	2020-06-120</t>
  </si>
  <si>
    <t>Procurement of Catering Service for the conduct of 2020 Census of Population and Housing (CPH) 4th Level Training at Sibalom for PSA Antique PSO</t>
  </si>
  <si>
    <t>Request for Price Quotation for the School and office supplies of Hagpa ES for SY 2020-2021</t>
  </si>
  <si>
    <t>CONCRETING OF BARANGAY STREET, Brgy. Canteros, Can-avid Eastern Samar</t>
  </si>
  <si>
    <t>PURCHASE OF ICT EQUIPMENT FOR PRODUCTIVITY FUNCTIONS</t>
  </si>
  <si>
    <t>2	Units	Printer 3in1 with built-in CISS, etc. PR # 769-19</t>
  </si>
  <si>
    <t>2	unit	Computer set w/ printer, etc. PR # 09-20</t>
  </si>
  <si>
    <t>Printing and Delivery of Wall Calendar with Metal Hanger Hook, PR# 2020-06-0370</t>
  </si>
  <si>
    <t>PROCUREMENT OF CELLPHONE ( brgy council )</t>
  </si>
  <si>
    <t>Communication Equipment - DepEd Maasim 3 District</t>
  </si>
  <si>
    <t>Purchase of disaster equipment (cutter and spreader portable)</t>
  </si>
  <si>
    <t>Quotation No. 20-06-0368- Vehicle Rental (5 Days) for the Pre-assessment on Synchronized Polio Epidemic Response, Rapid Coverage Assessment RCA (Bivalent) on July 6-10, 2020; Probable Itinerary: Zambo</t>
  </si>
  <si>
    <t>Supply and delivery of 1 set Computer Desktop and 1 unit computer Printer, 3-in-1 for use in the Prov'l. Gov's Office. ABC PHP74,530.00</t>
  </si>
  <si>
    <t>Fence</t>
  </si>
  <si>
    <t>CONSOLIDATED OFFICE SUPPLIES FOR SB SEC., SBO, MACCO, ADMIN OFFICE AND SLAUGHTERHOUSE- PR. NO:	2020-06-124</t>
  </si>
  <si>
    <t>Construction of 4-Classroom School Building (Municipal Counterpart)</t>
  </si>
  <si>
    <t>Purchase of Tires</t>
  </si>
  <si>
    <t>2 pcs – 13 Plates Car Battery (Maintenance Free)</t>
  </si>
  <si>
    <t>Procurement of Meals</t>
  </si>
  <si>
    <t>2LSSM2020A-258 Food Supplies</t>
  </si>
  <si>
    <t>Repair of Water System/Electrification of Isolation Building (Abong Elem Sch, Guinticgan Elem Sch, Cabilao Pequeño Elem Sch, Tarong Elem Sch and Carles Central Sch)</t>
  </si>
  <si>
    <t>SUPPLY OF EIGHT (8) UNITS OF TWO-WAY HANDHELD RADIO TRANSCEIVER</t>
  </si>
  <si>
    <t>Procurement of Catering Service for the conduct of 2020 Census of Population and Housing (CPH) 4th Level Training at Tobias Fornier for PSA Antique PSO</t>
  </si>
  <si>
    <t>2LSSM2020A-259 Other Supplies and Materials</t>
  </si>
  <si>
    <t>Supply and Delivery of 5 unit Brand New Tricycle for Area Operation, MSO-BHHRD</t>
  </si>
  <si>
    <t>Polisher,8"diameter(20-06-256GSO)</t>
  </si>
  <si>
    <t>RFQ SUPPLY AND DELIVERY OF BRASS WATER METER</t>
  </si>
  <si>
    <t>Catering Services</t>
  </si>
  <si>
    <t>PURCHASE OF OFFICE EQUIPMENT OF MDRRMO- PR. NO:	2020-06-125</t>
  </si>
  <si>
    <t>20JI0110-Concreting of Brgy. Bulawan FMR, Barangay Bulawan, Payao, Zamboanga Sibugay</t>
  </si>
  <si>
    <t>Electrical Supplies and Materials</t>
  </si>
  <si>
    <t>SUPPLY AND DELIVERY OF VARIOUS LABORATORY SUPPLIES</t>
  </si>
  <si>
    <t>Quotation No. 20-06-0369- Vehicle Rental (5 Days) for the Pre-assessment on Synchronized Polio Epidemic Response, Rapid Coverage Assessment RCA (Bivalent) on July 6-10, 2020; Probable Itinerary: Zambo</t>
  </si>
  <si>
    <t>1 unit – Reinstallation of LG unit Floor Mounted Type Aircon 5 Tons</t>
  </si>
  <si>
    <t>Procurement of Vehicle-06-368(A)PGO</t>
  </si>
  <si>
    <t>WATER DISPENSER PR 0208</t>
  </si>
  <si>
    <t>Acquisition of 5 units All-in-One PC</t>
  </si>
  <si>
    <t>Procurement of Catering Service for the conduct of 2020 Census of Population and Housing (CPH) 4th Level Training at Valderrama for PSA Antique PSO</t>
  </si>
  <si>
    <t>RFQ - Procurement of Goods: Const'n Materials for the use of DEPED (Completion of 1 Storey School Bldg. at Magdum NHS) (PR#200-20-06-0258)</t>
  </si>
  <si>
    <t>Supply and Delivery of Rubber Tires for Market Office</t>
  </si>
  <si>
    <t>Purchase of Food Supplies for Pregnant &amp; Lactating Women</t>
  </si>
  <si>
    <t>Purchase of 1 unit laptop for use of the Municipal Vice Mayor of the Municipality of Dingras, Ilocos Norte.</t>
  </si>
  <si>
    <t>SUPPLY &amp; DELIVERY OF FUEL, OIL &amp; LUBRICANTS</t>
  </si>
  <si>
    <t>Supply and Delivery of Rubber Tires for Parks Development Office</t>
  </si>
  <si>
    <t>MEALS AND SNACKS FOR THE YEAR ROUND WOMEN EMPOWERNMENT ORIENTATIONS AND FREE LEGAL ASSISTANCE</t>
  </si>
  <si>
    <t>Repair/Replacement of Dilapidated Roofings, Sidings and Support at Agro-Industrial Building, Barangay Bersamin, Alcala, Pangasinan</t>
  </si>
  <si>
    <t>1 pc Laptop</t>
  </si>
  <si>
    <t>Regular Bidding 7/July/2020 - Procurement of Goods: Const'n Materials &amp; Supplies for the use of CHLMO(Patubig Dev't Program-Const'n of Jetmatic Pump at Prk. Mangga, Mankilam, T.C.) (PR#100-20-06-0223)</t>
  </si>
  <si>
    <t>Procurement of Electrical Wiring (CFAS) - NIPSC Estancia Campus</t>
  </si>
  <si>
    <t>Procurement of Various Janitorial  Supplies</t>
  </si>
  <si>
    <t>LOT A - COMMON AND NON COMMON SUPPLIES- SHS</t>
  </si>
  <si>
    <t>Procurement of Snacks and Drinks</t>
  </si>
  <si>
    <t>Safety Collector Box</t>
  </si>
  <si>
    <t>LOT B_ Drugs and Medicines (over-the-Counter) and Medical Supplies_SHS</t>
  </si>
  <si>
    <t>Labor - For the installation of distribution mains at Brgy. San Juan, Provincial Road, San Manuel, Pangasinan</t>
  </si>
  <si>
    <t>TO SUPPLY AND DELIVERY OF MINIATURE CIRCUIT BREAKER &amp; 7 OTHERS INTENDED FOR LIMASAWA DPP</t>
  </si>
  <si>
    <t>Assorted materials for the  Construction of Trade Center Comfort Room</t>
  </si>
  <si>
    <t>Cardiac Board, whole plastic</t>
  </si>
  <si>
    <t>Supply and Delivery of Motor Vehicles Parts and Accessories (PMC)</t>
  </si>
  <si>
    <t>SUPPLY &amp; DELIVERY OF FUEL, OIL &amp; LUBRICANTS(MEO)</t>
  </si>
  <si>
    <t>Delivery of various Medical, Dental &amp; Laboratory supplies and Veterinary Supplies (1st Semester 2020) (ITB 20-075)</t>
  </si>
  <si>
    <t>INSTALLATION OF ELECTRIC LINES SERVICE DROP @ HIGHWAY FOOD COURT</t>
  </si>
  <si>
    <t>Supply of Materials, Labor and Installation of 30Mbps Dedicated Fiber Optic Leased Line 2020</t>
  </si>
  <si>
    <t>Supply and Delivery of 1000 pcs LED Tube</t>
  </si>
  <si>
    <t>Supply of Civil Works for the Renovation/Repair of San Miguel Brgy. Health Station</t>
  </si>
  <si>
    <t>PURCHASE OF OFFICE, COMPUTER AND JANITORIAL SUPPLIES FOR MPDO, TOURISM AND  MCR- PR. NO:	2020-06-119</t>
  </si>
  <si>
    <t>SUPPLY &amp; DELIVERY OF FITTINGS (9 ITEMS) FOR ROSENDO PUMP STATION REACTIVATION</t>
  </si>
  <si>
    <t>PROCUREMENT OF VARIOUS CONSTRUCTION MATERIALS FOR THE IMPROVENT OF CHILDRENS PARK, PLAZA &amp; MONUMENTS AT MUNICIPAL SITE BSK</t>
  </si>
  <si>
    <t>PROCUREMENT OF VARIOUS CONSTRUCTION MATERIALS FOR THE IMPROVENT AND INSTALLATION OF LIGHTING FACILITIES (ELECTRACATION AND REWIRING OF MUNICIPAL PLAZA, GRANSTAND CHILDRENS PARK) AT MUNCIPAL SITE BSK</t>
  </si>
  <si>
    <t>Supply and Delivery of Materials (Installation of New Waterline at City Mayor's Office, CSWD, Repair of CR Rizal Park Additional Materials Fabrication of 13 units Cabinets for Branch 43 and Mayor's Of</t>
  </si>
  <si>
    <t>SUPPLY AND DELIVERY OF LAPTOPS FOR TEACHERS OF LIMAY'S VARIOUS SCHOOLS</t>
  </si>
  <si>
    <t>SUPPLY AND DELIVERY OF TIRE (rfq#2020-05-2,333)-(pgo-benro)</t>
  </si>
  <si>
    <t>2 pcs Automotive Battery (12 volts, 24 plates)</t>
  </si>
  <si>
    <t>Procurement of Fuel and Lubricants (For Consumption of Peace and Order Monitoring)</t>
  </si>
  <si>
    <t>Repair and Maintenance of Airconditioning Unit for OPSS-TSR</t>
  </si>
  <si>
    <t>PURCHASE OF AIRCON SPLIT TYPE</t>
  </si>
  <si>
    <t>Procurement of Catering Service for the conduct of 2020 Census of Population and Housing (CPH) 4th Level Training at San Remigio for PSA Antique PSO</t>
  </si>
  <si>
    <t>Provision of labor, materials, equipment rentals and other incidentals needed for the Reconstruction of Screenhouse at DA-INREC, Batac Station, Brgy. Tabug, Batac, Ilocos Norte</t>
  </si>
  <si>
    <t>Improvement of Mechanical Dryer (Concrete Pavement) at Agro-Industrial Building, Barangay Bersamin, Alcala, Pangasinan</t>
  </si>
  <si>
    <t>SUPPLY AND DELIVERY OF TONER, CARTRIDGE INTENDED FOR MINI GRID ALMAGRO</t>
  </si>
  <si>
    <t>SUPPLY &amp; DELIVERY OF FUEL, OIL &amp; LUBRICANTS(SBO)</t>
  </si>
  <si>
    <t>2LSSM2020A-261 Food Supplies</t>
  </si>
  <si>
    <t>Purchase of Two way radio</t>
  </si>
  <si>
    <t>2LSSM2020A-260 Food Supplies</t>
  </si>
  <si>
    <t>450	kilos	Hybrid Rice Seeds (Bigante plus), etc. PR 163-20</t>
  </si>
  <si>
    <t>Construction of Storage Facility</t>
  </si>
  <si>
    <t>Procurement of Siphoning Service of AVRC 1</t>
  </si>
  <si>
    <t>Supply and Delivery of Construction &amp; Heavy Equipment Parts and Accessories (NCEBDE)</t>
  </si>
  <si>
    <t>LOT C_ Non-Common Supplies &amp; Materials_SHS</t>
  </si>
  <si>
    <t>SUPPLY AND DELIVERY OF VAN, 2.8L, DIESEL, 4 CYLINDER DOHC, M/T, WITH 3 YEARS LTO REGISTRATION</t>
  </si>
  <si>
    <t>3	units	 Printer, PR # 33-20</t>
  </si>
  <si>
    <t>1 Lot – Cellcards for the following Subscribers: Smart Subscriber = 60 cards; Globe Subscriber = 20 cards</t>
  </si>
  <si>
    <t>LOT D - Other Supplies Printing Services &amp; Supplies_SHS</t>
  </si>
  <si>
    <t>Rehabilitation of San Vicente (Poblacion) Port Restroom</t>
  </si>
  <si>
    <t>TO SUPPLY AND DELIVERY OF BELT, RADIATOR FAN &amp; 11 OTHERS INTENDED FOR STO. NINO DPP</t>
  </si>
  <si>
    <t>Supply and Delivery of Information Technology Parts &amp; Accessories &amp; Peripherals for CTU-Tuburan Campus</t>
  </si>
  <si>
    <t>SUPPLY &amp; DELIVERY OF VEHICLE PARTS &amp; ACCESSORIES</t>
  </si>
  <si>
    <t>RFQ SUPPLY AND DELIVERY OF PLASTIC SADDLE CLAMPS</t>
  </si>
  <si>
    <t>Procurement of Lechon</t>
  </si>
  <si>
    <t>2020-06-0037 (Maint. Section)</t>
  </si>
  <si>
    <t>PURCHASE OF ANTI FLU VACCINE</t>
  </si>
  <si>
    <t>Expansion of Students Athletic Ground (Lot 2-Savings)</t>
  </si>
  <si>
    <t>SUPPLY AND DELIVERY OF FUEL &amp; OIL FOR THE DESILTING/DREDGING OF WATERWAYS (SAN JUAN &amp; CONSUELO)</t>
  </si>
  <si>
    <t>Supply and Delivery of Water Crafts Parts and Materials (NCEBde)</t>
  </si>
  <si>
    <t>ROAD CONCRETING</t>
  </si>
  <si>
    <t>Construction of Covered Court/ Evacuation Center at Barangay San Vicente, Alcala, Pangasinan</t>
  </si>
  <si>
    <t>Supply and Delivery of One Lot Office Supplies ITB No. 2020-152A</t>
  </si>
  <si>
    <t>Invitation to bid for Rehabilitation of Manpower &amp; Multi-Purpose Development Center</t>
  </si>
  <si>
    <t>2LSSM2020A-262 Other Supplies and Materials</t>
  </si>
  <si>
    <t>PURCHASE OF DRUGS &amp; MEDICINES</t>
  </si>
  <si>
    <t>Procurement of Catering Service for the conduct of 2020 Census of Population and Housing (CPH) 4th Level Training at Buenavista for PSA Guimaras PSO</t>
  </si>
  <si>
    <t>PURCHASE OF EMERGENCY LIGHTS</t>
  </si>
  <si>
    <t>140	bags	Synthetic Complete fertilizer (14-14-14), etc. PR # 164-20</t>
  </si>
  <si>
    <t>Supply and Delivery of Office Furniture as per PR# 2020-06-0363</t>
  </si>
  <si>
    <t>RFQ 2020 - 06 - 30 Equipment for Solar Powered Irrigation Syatem</t>
  </si>
  <si>
    <t>Concrete Paving of Farm-to-Market Road at Barangay Atainan, Alcala, Pangasinan</t>
  </si>
  <si>
    <t>Cookery Chiller/Freezer Repair</t>
  </si>
  <si>
    <t>Procurement of Maintenance of Heavy Equipment (1 unit Kumatsu Grader)</t>
  </si>
  <si>
    <t>Procurement of portable generators for Evacuation Center</t>
  </si>
  <si>
    <t>Service Vehicle (AUV)</t>
  </si>
  <si>
    <t>Supply and Delivery of Technical and Scientific Equipment (NCEBde)</t>
  </si>
  <si>
    <t>Provision of labor, materials, equipment and other incidentals needed for the Reconstruction of Nursery (2 units) at DA-PREC, Sual, Pangasinan</t>
  </si>
  <si>
    <t>20JA0085  - CONSTRUCTION OF RAINWATER COLLECTION SYSTEM (RCWS) AT TAMION ELEMENTARY SCHOOL, TICTAPUL ELEMENTARY SCHOOL, TICTAPUL NATIONAL HIGH SCHOOL, SINUNUC ELEMENTARY SCHOOL, NANGKA ELEMENTARY ...</t>
  </si>
  <si>
    <t>ELECTRIFICATION OF NEW CLASSROOM BUILDING  (INSTALLATION OF ELECTRICITY OF THE EIGHT CLASSROOM OF NEW SCHOOL BUILDING)</t>
  </si>
  <si>
    <t>2LSSM2020A-263 Other Supplies and Materials</t>
  </si>
  <si>
    <t>Repair/Rehabilitation of Ceiling (Planning Office, Budget Office, Accounting Office, MSWDO Office, 1st Floor Hallway &amp; Municipal Trial Circuit Office) at Municipal &amp; Legislative Building, Barangay Pob</t>
  </si>
  <si>
    <t>Regular Bidding 7/July/2020 - Procurement of Goods: Const'n Materials for the use of DEPED (Const'n of School Stage at Pandapan Integrated School) (PR#200-20-06-0253)</t>
  </si>
  <si>
    <t>Regular Bidding 7/July/2020 - Procurement of Goods: Const'n Materials &amp; Supplies for the use of CHLMO (Patubig Dev't Program-Const'n of Jetmatic Pump at Prk. 6A, Apokon, T.C.) (PR#100-20-06-0224)</t>
  </si>
  <si>
    <t>Construction of Footbridge - Purok 1</t>
  </si>
  <si>
    <t>PRODUCTION OF DLPs FOR THE NEW NORMAL</t>
  </si>
  <si>
    <t>Supply and delivery of 4 pcs. Tubeless Tire (205/65 R 15) for service vehicle: Toyota Innova SLB-190 of PGO-DYMP. ABC PHP48,000.00</t>
  </si>
  <si>
    <t>Quotation No. 20-06-0370- Vehicle Rental (5 Days) for the Pre-assessment on Synchronized Polio Epidemic Response, Rapid Coverage Assessment RCA (Bivalent) on July 6-10, 2020; Probable Itinerary: Zambo</t>
  </si>
  <si>
    <t>GASS20-06-29-0046 Supply and Delivery of Office Equipment</t>
  </si>
  <si>
    <t>AMP SVP-D NO: 20-06-0287B Printer Cartridges</t>
  </si>
  <si>
    <t>Concrete Paving of Farm-to-Market Road at Barangay Kisikis, Alcala, Pangasinan</t>
  </si>
  <si>
    <t>SUPPLY &amp; DELIVERY OF ASSORTED GOODS</t>
  </si>
  <si>
    <t>PURCHASE OF MEDICINE SUPPLIES FOR RHU</t>
  </si>
  <si>
    <t>PURCHASE OF PORTABLE AMPLIFIER</t>
  </si>
  <si>
    <t>IMPROVEMENT OF DAY CARE CENTER</t>
  </si>
  <si>
    <t>Purchase of Rapid Test Kit for COVID-19</t>
  </si>
  <si>
    <t>2020-06-0039 ( Maint. Sectio)</t>
  </si>
  <si>
    <t>PURCHASE OF PORTABLE RADIO TRANCEIVER FOR DISASTER AND EMERGENCY RESPONSE (MDRRMO)- PR NO. 2020-06-126</t>
  </si>
  <si>
    <t>CONCRETING OF BARANGAY STREET, Brgy. Camantang, Can-avid Eastern Samar</t>
  </si>
  <si>
    <t>Purchase of Airconditioner Unit for the Office of the Sangguniang Bayan at Laur, Nueva Ecija</t>
  </si>
  <si>
    <t>LOT E_TVL/TLE Supplies_SHS</t>
  </si>
  <si>
    <t>Quotation No. 20-06-0371- Vehicle Rental (5 Days) for the Pre-assessment on Synchronized Polio Epidemic Response, Rapid Coverage Assessment RCA (Bivalent) on July 6-10, 2020; Probable Itinerary: Zambo</t>
  </si>
  <si>
    <t>TO SUPPLY LABOR, TOOLS AND MATERIALS HAULING OF FG WILSON CONTROL PANEL INTENDED FOR MINI GRID STO. NINO</t>
  </si>
  <si>
    <t>Procurement of Catering Service for the conduct of 2020 Census of Population and Housing (CPH) 4th Level Training at Nueva Valencia, Guimaras for PSA Guimaras PSO</t>
  </si>
  <si>
    <t>Quotation No.20-06-362 = PROCUREMENT OF COMMON OFFICE SUPPLIES</t>
  </si>
  <si>
    <t>PURCHASE OF ANTI DENGUE CHEMICALS</t>
  </si>
  <si>
    <t>SUBSCRIPTION OF DEDICATED CLOUD HOSTING</t>
  </si>
  <si>
    <t>Request for supply and delivery of medical supply</t>
  </si>
  <si>
    <t>Emergency Purchase in resp to covid19 mayor's off 47A</t>
  </si>
  <si>
    <t>Regular Bidding 7/July/2020 - Procurement of Goods: Const'n Materials for the use of DEPED (Const'n Perimeter Fence at Tagum City Nat'n High School, Mankilam, T.C.) (PR#200-20-06-0273)</t>
  </si>
  <si>
    <t>Supply and Delivery of Office Supplies to be used at RPCO3 I-SUPPORT Office</t>
  </si>
  <si>
    <t>INVITATION TO BID FOR THE PROCUREMENT OF FUEL, OIL AND LUBRICANT</t>
  </si>
  <si>
    <t>RIPRAPPING AT BRGY. POBLACION 5, MAGALLANES, CAVITE</t>
  </si>
  <si>
    <t>Purchase of 20,000 liters Diesel Fuel</t>
  </si>
  <si>
    <t>Cloth for the Sewing Craft Cloth with a materials for the use of HFGW residents for their productivity skills development</t>
  </si>
  <si>
    <t>Procurement of Catering Service for the conduct of 2020 Census of Population and Housing (CPH) 4th Level Training at Jordan for PSA Guimaras PSO</t>
  </si>
  <si>
    <t>Supply and Delivery of High grade Commercial Rice</t>
  </si>
  <si>
    <t>Supply and delivery of Appliances needed for the Pangkabuhayan Starter Kits Beneficiaries of the City Government of Kidapawan.</t>
  </si>
  <si>
    <t>Quotation No. 20-06-0373- Vehicle Rental (5 Days) for the Pre-assessment on Synchronized Polio Epidemic Response, Rapid Coverage Assessment RCA (Bivalent) on July 6-10, 2020; Probable Itinerary: Zambo</t>
  </si>
  <si>
    <t>Purchase of Rescue Vehicle at Laur, Nueva Ecija</t>
  </si>
  <si>
    <t>LOT G_TVL/TLE SUPPLIES AND MATERIALS_SHS</t>
  </si>
  <si>
    <t>(GO-Tourism) 2ND REQUEST FOR QUOTATION (RFQ)  For the Procurement of Municipal &amp; Provincial Banners/Flags For the Governor’s Office – Tourism Division</t>
  </si>
  <si>
    <t>Supply &amp; Delivery of 100 gallons Bleaching Liquid &amp; other items, CHO - Items use in the Isolation Area for the Persons Under Monitoring (PUM)</t>
  </si>
  <si>
    <t>FOR ENHANCEMENT OF CACAO PRODUCTION THRU PROVISION OF ACCREDITED VARIETY OF CACAO GRAFTED PLANTING MATERIAL</t>
  </si>
  <si>
    <t>CONSOLIDATED OFFICE, JANITORIAL AND OTHER SUPPLIES FOR DIFFERENT PROGRAMS OF  MHO- PR. NO:	2020-06-129</t>
  </si>
  <si>
    <t>20CB-GSC-370 PURCHASE OF GRASS CUTTER AND MOWER (RE-BID)</t>
  </si>
  <si>
    <t>INVITATION TO BID FOR THE PROCUREMENT OF MATERIALS FOR THE REHABILITATION OF ROAD BETWEEN BSC AND BFAR</t>
  </si>
  <si>
    <t>20GIL0043(SUPPLY/DELIVERY OF IT EQUIPMENT,DPWH-SLDEO, MAASIN CITY, SOUTHERN LEYTE)</t>
  </si>
  <si>
    <t>Steel Shed for the Security Outpost to be distributed at Brgy. Malunec, Olo Cacamposan, Olo Cagarlitan, Bogtong Silag Sitio Vergara, Casilagan, Mangatarem, Pangasinan</t>
  </si>
  <si>
    <t>Supply and Delivery of Materials for the Rehabilitation of Municipal Vehicle (Dumptruck), Tapaz, Capiz</t>
  </si>
  <si>
    <t>Water Truck for Rescue of MDRRMO</t>
  </si>
  <si>
    <t>Repair and Maintenance of Water System @ Brgy. Malayo, Urbiztondo, Pangasinan</t>
  </si>
  <si>
    <t>Supply and Delivery of Pastries and Bread</t>
  </si>
  <si>
    <t>INVITATION TO BID FOR THE PROCUREMENT OF Supplies for Communicable Disease, Medical and Laboratory Supplies of the Municipal Health Office and Supplies for the Home Care Services of the Mun. Social We</t>
  </si>
  <si>
    <t>PURCHASE OF LABORATORY SUPPLIES FOR RHU</t>
  </si>
  <si>
    <t>8 pcs 678 Tri-Color Ink Cartridge; 8 pcs 678 Black Ink Cartridge; 8 pcs 703 Tri-Color Ink Cartridge; 8 pcs 703 Black Ink Cartridge</t>
  </si>
  <si>
    <t>SUPPLY AND DELIVERY OF PICK-UP, 4X4, 2.4L, DIESEL, 4 CYLINDER DOHC, M/T WITH 3 YEARS LTO REGISTRATION</t>
  </si>
  <si>
    <t>Medical Supplies and Equipment</t>
  </si>
  <si>
    <t>PRE-BID CONFERENCE 7/July/2020 - Procurement of Goods: Const'n Materials for the use of CMO (Enhancement of Multi-purpose Bldg. at Mabini St., Magugpo Poblacion, T.C.) (PR#100-20-06-0271)</t>
  </si>
  <si>
    <t>Supply and Delivery of Grocery Items</t>
  </si>
  <si>
    <t>2LSSM2020A-264 Office Supplies</t>
  </si>
  <si>
    <t>Quotation No. 20-06-0375- Vehicle Rental (5 Days) for the Pre-assessment on Synchronized Polio Epidemic Response, Rapid Coverage Assessment RCA (Bivalent) on July 6-10, 2020; Probable Itinerary: Zambo</t>
  </si>
  <si>
    <t>2LSSM2020A-265 Other Supplies and Materials</t>
  </si>
  <si>
    <t>Purchase and Delivery of 150 Vials (Speeda)</t>
  </si>
  <si>
    <t>Printing of PWU Exhibit Catalogue</t>
  </si>
  <si>
    <t>Replacement of tire for the maintenance of Dumptruck-8, Dumptruck-9 and Dumptruck-10</t>
  </si>
  <si>
    <t>Sewing Craft Materials for the use of HFGW Residents for their Productivity Skills Development</t>
  </si>
  <si>
    <t>MOOE March-April 2020</t>
  </si>
  <si>
    <t>Installation of Solar Powered Street Lights</t>
  </si>
  <si>
    <t>Foods to be Consumed in the Public Hearing of Committee on Environmental Protection and Ecology @ Samal, Bataan</t>
  </si>
  <si>
    <t>meals for love of work</t>
  </si>
  <si>
    <t>PROCUREMENT OF ONE (1) UNIT LAPTOP FOR IMO DAVAO DE ORO OPERATION &amp; MAINTENANCE SECTION</t>
  </si>
  <si>
    <t>SAAD20-06-18-0225 Supply and Delivery of ICT Supplies.</t>
  </si>
  <si>
    <t>Supply and Delivery of Office Buildings Supplies and Materials (NCEBde)</t>
  </si>
  <si>
    <t>Wireless Mouse</t>
  </si>
  <si>
    <t>Purchase of materials for the installation of Generator Set at the Rural Health Unit</t>
  </si>
  <si>
    <t>2LSSM2020A-266 Other Supplies and Materials</t>
  </si>
  <si>
    <t>LOT F - REPAIR AND MAINTENANCE_SHS</t>
  </si>
  <si>
    <t>Construction of Pathway</t>
  </si>
  <si>
    <t>Drugs - Trastuzumab 150mg Lyophilized Powder (3rd Posting)</t>
  </si>
  <si>
    <t>Supply and Delivery of Purified Drinking Water 2020</t>
  </si>
  <si>
    <t>Supply and Delivery of Styrotrays and other food packaging items</t>
  </si>
  <si>
    <t>PROCUREMENT OF FUEL</t>
  </si>
  <si>
    <t>for office improvement</t>
  </si>
  <si>
    <t>Procurement of Office Equipment for the Regional Trial Court Branch 27-Tandag.</t>
  </si>
  <si>
    <t>Supply and Delivery of 45 Toner Cartridges HP CE505A with free use of corresponding HP Laserjet Printer</t>
  </si>
  <si>
    <t>Procurement of Catering Service for the conduct of 2020 Census of Population and Housing (CPH) 4th Level Training at San Lorenzo for PSA Guimaras PSO</t>
  </si>
  <si>
    <t>PURCHASE SCHOOL SUPPLIES</t>
  </si>
  <si>
    <t>Printing Services for the Philippine Statistical Yearbook (PSY)</t>
  </si>
  <si>
    <t>GOODS-2020-06-87 PROCUREMENT OF SPARE PARTS AND ACCESSORIES FOR HEAVY EQUIPMENT</t>
  </si>
  <si>
    <t>PURCHASE OF FOOD AND OTHER SUPPLIES FOR LOGICTICAL SUPPORT TO RESPONDERS AND VOLUNTEERS RETRIEVAL OPERATIONS INCLUDING COVID-19  OPERATION ( MDRRMO)- PR. NO:	2020-06-133</t>
  </si>
  <si>
    <t>Supply and Delivery of ICT Equipment Parts and Accessories (NCEBde)</t>
  </si>
  <si>
    <t>Purchase of Two (2) Units Drum Photocopier of Xerox Machine</t>
  </si>
  <si>
    <t>Completion of Municipal Building South Wing (PHASE II)</t>
  </si>
  <si>
    <t>RFQ 2020-06-026 - PR 2020-06-035 Procurement of One (1) Job Order, L&amp;M for Preventive Maintenance of AAG-4646 Mitsubishi Strada Pick-Up</t>
  </si>
  <si>
    <t>Printing of Walang kikilos  Exhibit Catalogue</t>
  </si>
  <si>
    <t>52 pcs HOODED TRASHBIN</t>
  </si>
  <si>
    <t>Purchase of VHF Handset</t>
  </si>
  <si>
    <t>2LSSM2020A-267 Other Supplies and Materials</t>
  </si>
  <si>
    <t>Safe Vault for the use of Social Pension Unit for the implementation of its program</t>
  </si>
  <si>
    <t>Printing Services for the Catalog of PSA Publication</t>
  </si>
  <si>
    <t>Procurement of Kitchen Supplies &amp; Equipment</t>
  </si>
  <si>
    <t>20PJ0034: LOCAL INFRASTRUCTURE PROGRAM - IMPROVEMENT OF MULTI-PURPOSE BUILDING, POSNAAN, AGUINALDO, IFUGAO</t>
  </si>
  <si>
    <t>One (1) unit Tying Machine</t>
  </si>
  <si>
    <t>SUPPLY AND DELIVERY OF MICROPIPETTOR</t>
  </si>
  <si>
    <t>MEALS AND SNACKS FOR PARTICIPANTS ( REC- ECHO TRAINING ON COLLAPSED STRUCTURE SEARCH AND RESCUE TRAINING  FOR MDRRMO- PR. NO:	2020-06-135</t>
  </si>
  <si>
    <t>22 pcs Shoe Cover</t>
  </si>
  <si>
    <t>Supply and Delivery of Agricultural Supplies, tools and Accessories used for HVCDP Buffer Stocking in DA-PRES Palawan</t>
  </si>
  <si>
    <t>Purchase of Offices supplies Health Essentials</t>
  </si>
  <si>
    <t>FURNISHING OF LABOR AND MATERIALS FOR THE CONSTRUCTION OF SLOPE PROTECTION AT BRGY. TABUCAN, DUMANGAS, ILOILO</t>
  </si>
  <si>
    <t>Supply &amp; Delivery of ICT Materials for Procurement Office 01D(GASS) F13-2020</t>
  </si>
  <si>
    <t>Installation of CCTV Camera</t>
  </si>
  <si>
    <t>LOT H- Meals, Cultural Uniform &amp; Other _SHS</t>
  </si>
  <si>
    <t>Supply and Delivery of Construction Materials for the Concreting of Brgy. Road</t>
  </si>
  <si>
    <t>Procurement of Catering Service for the conduct of 2020 Census of Population and Housing (CPH) 4th Level Training at Sibunag for PSA Guimaras PSO</t>
  </si>
  <si>
    <t>Supply and Delivery of Diesel Fuel for LGU use</t>
  </si>
  <si>
    <t>Fertilizer for PhilRice Seed Production</t>
  </si>
  <si>
    <t>FURNISHING OF LABOR AND MATERIALS FOR THE CONSTRUCTION OF DRAINAGE AND SIDEWALK- SOUTHBOUND TERMINAL AT BRGY. TABUCAN, DUMANGAS, ILOILO</t>
  </si>
  <si>
    <t>Purchase of Vehicle to be used for Transportation to disiminate information, programs, meetings and livelihood activities of PDAO, LGU-Mangatarem, Pangasinan</t>
  </si>
  <si>
    <t>20AC0101 - Construction of Classrooms, Four (4) Storey, Twelve (12) Classroom (Modified Standard) School Building, San Vicente Integrated School, San Vicente, Ilocos Sur</t>
  </si>
  <si>
    <t>SUPPLY &amp; DELIVERY OF ELECTRICAL SUPPLIES</t>
  </si>
  <si>
    <t>Dengue Prevention &amp; Control</t>
  </si>
  <si>
    <t>Supply of parts and labor for the general overhauling of starboard CAT 3126 Marine Engine of DA-BFAR MCS 1104 Patrol Vessel</t>
  </si>
  <si>
    <t>PURCHASE OF SPARE PARTS FOR REPAIR AND MAINTENANCE FOR FARM TRUCTOR, KOBELCO SK225SR AND KOBELCO SK115SR FOR MOTORPOOL- PR. NO:	2020-06-136</t>
  </si>
  <si>
    <t>INVITATION TO BID FOR THE PROCUREMENT OF TOOLS AND EQUIPMENT OF THE MUNICIPAL WATERWORKS SYSTEM</t>
  </si>
  <si>
    <t>Printing of Kanlungan  Exhibit Catalogue</t>
  </si>
  <si>
    <t>PROCUREMENT OF TIRES, SPARE PARTS AND OIL FILTER FOR THE REPAIR AND MAINTENANCE OF TRANSPORTATION EQUIPMENT</t>
  </si>
  <si>
    <t>PROVISION OF CATERING SERVICES FOR THE 1ST DIVISION MANAGEMENT COMMITTEE MEETING (MANCOM) 2020</t>
  </si>
  <si>
    <t>Fresh Cacao Beans for ABE DOST-PCAARRD Cacao Agricultural &amp; Biosystems Engineering Supplies</t>
  </si>
  <si>
    <t>IMPROVEMENT OF MULTIPURPOSE HALL STA. ROSA</t>
  </si>
  <si>
    <t>FURNISHING OF MATERIALS FOR THE CONCRETING OF BARANGAY ROAD</t>
  </si>
  <si>
    <t>Purchase of Drugs and Medicines</t>
  </si>
  <si>
    <t>Line Matrix Printer</t>
  </si>
  <si>
    <t>Supply and Delivery of Goods for R&amp;M Motor Vehicle of CEASH,9ID,PA (161,588.00)</t>
  </si>
  <si>
    <t>Drugs - Telmisartan 40mg Tab (3rd Posting)</t>
  </si>
  <si>
    <t>Purchased of Flu Vaccine for Barangay Wawa 1</t>
  </si>
  <si>
    <t>PURCHASE OF MATERIALS FOR CONSTRUCTION COVERED COURT</t>
  </si>
  <si>
    <t>Cost of Medals for Moving Up and Graduation Rites</t>
  </si>
  <si>
    <t>PRE-BID CONFERENCE 7/July/2020 - Procurement of Goods: Const'n Materials for the use of CMO - (Const'n of Multi-purpose Pavement-Tagum City Aquaculture at Liboganon, T.C.) (PR#100-20-06-0252)</t>
  </si>
  <si>
    <t>Procurement of One (1) Unit Service Vehicle - PSWDO</t>
  </si>
  <si>
    <t>2LSSM2020A-268 Other Supplies and Materials</t>
  </si>
  <si>
    <t>Purchase of Medicines for COVID - 19 Response @ Samal, Bataan</t>
  </si>
  <si>
    <t>SUPPLY AND DELIVERY OF REPRODUCTION OF  LEARNING MODULES/DLP FOR KINDER TO GRADE 6</t>
  </si>
  <si>
    <t>Maintenance &amp; Improvement of Day Care Center</t>
  </si>
  <si>
    <t>Fabrication of Steel Grills of the Kitchen at MFASS Memorial Sports and Cultural Center.</t>
  </si>
  <si>
    <t>Laptop</t>
  </si>
  <si>
    <t>FURNISHING OF LABOR AND MATERIALS FOR THE IMPROVEMENT OF TASK FORCE PUERTO AT BRGY. SAPAO, DUMANGAS, ILOILO</t>
  </si>
  <si>
    <t>Supply and delivery of IT Equipment for use in the campus registrar's office of ISU Cabagan</t>
  </si>
  <si>
    <t>Supply &amp; Delivery 2 units Motorcycle; PR No. 20-0697 dated February 20, 2020</t>
  </si>
  <si>
    <t>Procurement of veterinary supplies to be used in anti-rabies vaccination</t>
  </si>
  <si>
    <t>Air Safety Valve etc. (06-0632) Operation of Public Motorpool</t>
  </si>
  <si>
    <t>HP CF219A - Original Laser Jet Imaging Drum - 2020</t>
  </si>
  <si>
    <t>PR-2020-06-020=Procurement of Goods/Supplies for National Road Traffic Survey Program (NRTSP) - Traffic Data Collection</t>
  </si>
  <si>
    <t>FURNISHING AND DELIVERY OF GROCERY ITEMS FOR FOOD ASSISTANCE TO ROFs AND LSI</t>
  </si>
  <si>
    <t>Supply and Delivery of Various Materials for Roxas Memorial Provincial Hospital</t>
  </si>
  <si>
    <t>AMP SVP-D NO: 20-06-0308B Laboratory Assay Reagents</t>
  </si>
  <si>
    <t>ITB No. 013-2020-First Posting-Construction of Various Infrastructure Projects in the Municipality of Hingyon, Ifugao.</t>
  </si>
  <si>
    <t>20CB-GSC-371 LANDLINE SUBSCRIPTION W/ INTERNET (RE-BID)</t>
  </si>
  <si>
    <t>2020-06-350  Procurement of Various Printed Materials</t>
  </si>
  <si>
    <t>Supply and Delivery of General Merchandise for the Month of May SY 2019-2020</t>
  </si>
  <si>
    <t>PURCHASE OF AGRICULTURAL SUPPLIES FOR MAGRO- PR. NO:	2020-06-139</t>
  </si>
  <si>
    <t>20GJG0024 (SVP) - Supply &amp; Delivery of 5,000 liters Diesel Fuel for use in the service vehicle with plate # ABC-2527 (092007) &amp; SFG-336 in the Construction Section.</t>
  </si>
  <si>
    <t>PURCHASE OF SEMI-EXPENDABLE EQUIPMENT (MEDICAL EQUIPMENT) FOR SEVEN (7) AMBULANCES OF CENTERS AND RESIDENTIAL CARE FACILITIES CY 2020</t>
  </si>
  <si>
    <t>Construction of Multi-Purpose Hall (PHASE 1)</t>
  </si>
  <si>
    <t>PROCUREMENT OF SUPPLIES AND EQUIPMENT AGAINST COVID-19 PANDEMIC</t>
  </si>
  <si>
    <t>Tube and Flap Tire Brand New for Loader</t>
  </si>
  <si>
    <t>Computer Desktop</t>
  </si>
  <si>
    <t>Printing of UE Buklod Sining  Exhibit Catalogue</t>
  </si>
  <si>
    <t>CONSOLIDATED OFFICE SUPPLIES FOR MIO,MO,MDRRMO AND NUTRITION OFFICE- PR. NO:	2020-06-140</t>
  </si>
  <si>
    <t>Supply and Delivery of Catering Services for Roxas Memorial Provincial Hospital</t>
  </si>
  <si>
    <t>20CB-GSC-373 PURCHASE OF SPARE PARTS FOR MOTOR VEHICLE (RE-BID)</t>
  </si>
  <si>
    <t>Supply and delivery of supplies and materials for National School Building Inventory SY 2019-2020</t>
  </si>
  <si>
    <t>Drugs - Anti-Tetanus Serum &amp; 3 Others (3rd Posting)</t>
  </si>
  <si>
    <t>2020-06-02</t>
  </si>
  <si>
    <t>MOOE/BDF/RRMF 2020</t>
  </si>
  <si>
    <t>Provision of Security Services</t>
  </si>
  <si>
    <t>Rehabilitation of Water System</t>
  </si>
  <si>
    <t>RFQ - BADGE PLAQUE PLATES</t>
  </si>
  <si>
    <t>Purchase/Printing of PWD and Solo Parent Identification Card of Municipal Social Welfare and Development Office (MSWD), Ibaan, Batangas</t>
  </si>
  <si>
    <t>Office Supplies 2020</t>
  </si>
  <si>
    <t>Supply and Delivery of Various Food Items for People with disabilities</t>
  </si>
  <si>
    <t>Piston Assy. etc. (06-0622) Operation of Public Motorpool</t>
  </si>
  <si>
    <t>SUPPLY AND DELIVERY OF CONSTRUCTION MATERIALS for Imprvt. of MPP</t>
  </si>
  <si>
    <t>MATERIALS FOR THE FABRICATION OF JACKSTONE REEF AT DUMANGAS, ILOILO</t>
  </si>
  <si>
    <t>Procurement of various Janitorial Supplies (boots, trash bags)</t>
  </si>
  <si>
    <t>CONCRETING OF FARM TO MARKET ROAD/ACCESS ROAD AT DAIT (MATERIALS)</t>
  </si>
  <si>
    <t>RENOVATION OF THE CUSTOMER CARE CENTER (CCC)</t>
  </si>
  <si>
    <t>SUPPLY AND DELIVERY OF TIRE AND BATTERY FOR MOTORCYCLE (rfq#2020-06-2,570)-(pgo-livelihood)</t>
  </si>
  <si>
    <t>GOODS-2020-06-88 PROCUREMENT OF MODERN GARBAGE RECEPTACLE FOR CITY GOVERNMENT OF PAGADIAN.</t>
  </si>
  <si>
    <t>Tire Set,HD SAE 10W,etc....</t>
  </si>
  <si>
    <t>Const. of VAWCS Center</t>
  </si>
  <si>
    <t>PROCUREMENT OF OTHER SUPPLIES</t>
  </si>
  <si>
    <t>Printing of Bayaning inday  Exhibit Catalogue</t>
  </si>
  <si>
    <t>Purchase of Fuel (Gasoline &amp; Diesel)</t>
  </si>
  <si>
    <t>20PJ0057: Local Infrastructure Program - Construction of Roads, Mongol Talboc, Mayoyao, Ifugao</t>
  </si>
  <si>
    <t>CONCRETING OF FARM TO MARKET ROAD/ACCESS ROAD AT DAIT (EQUIPMENT)</t>
  </si>
  <si>
    <t>Purchase of Inks and Toners</t>
  </si>
  <si>
    <t>Motor Vehicle</t>
  </si>
  <si>
    <t>CONSTRUCTION OF MULTI-PURPOSE HALL BRGY VICTORY JIABONG SAMAR</t>
  </si>
  <si>
    <t>SUPPLY OF LABOR &amp;  SURVEILLANCE EQUIPMENT CCTV</t>
  </si>
  <si>
    <t>20CB-GSC-380 PURCHASE OF MEDICAL SUPPLIES FOR DRRM</t>
  </si>
  <si>
    <t>20CB-GSC-379 PURCHASE OF IT EQUIPMENT</t>
  </si>
  <si>
    <t>Drugs -Gabapentin 100mg Cap (3rd Posting)</t>
  </si>
  <si>
    <t>Procurement of Agung Plastic Jacket</t>
  </si>
  <si>
    <t>Supply and Delivery of Rice Grains</t>
  </si>
  <si>
    <t>2LSSM2020A-269 Other Supplies and Materials</t>
  </si>
  <si>
    <t>Procurement of DOCUMENT MANAGEMENT SYSTEM</t>
  </si>
  <si>
    <t>Procurement of ICT Equipment of Naval Operating Reporting System (NORS)</t>
  </si>
  <si>
    <t>SUPPLY AND DELIVERY OF OFFICE SUPPLIES (rfq#2020-06-2,626)-(pgo-bac secretariat)</t>
  </si>
  <si>
    <t>Purchase of Stickers for Disaster Preparedness and Emergency Response</t>
  </si>
  <si>
    <t>Use for the augmentation of Secondary Transmission Line to Main Tank at Bong Borlasa source Kabangkalan, Villahermosa, Tudela, Cebu</t>
  </si>
  <si>
    <t>SUPPLY OF LABOR, TOOLS, MATERIALS, EQUIPMENT &amp; SUPERVISION FOR THE DELIVERY AND INSTALLATION OF AIRCON UNITS</t>
  </si>
  <si>
    <t>Purchase of VHF Handheld Radio</t>
  </si>
  <si>
    <t>20PJ0058: Local Infrastructure Program - Construction of Roads, Palaad- Ayangan, Mayoyao, Ifugao</t>
  </si>
  <si>
    <t>Glass wall partition/cubicle</t>
  </si>
  <si>
    <t>Construction of Spillway and Concreting of Access Road at Brgy. Malibu</t>
  </si>
  <si>
    <t>2020-06-03</t>
  </si>
  <si>
    <t>CONSTRUCTION OF MULTI-PURPOSE CENTER – PUROK 12, SAN MIGUEL, TAGUM CITY</t>
  </si>
  <si>
    <t>Procurement of One (1) Unit Ambulance for the Use of Rural Health Unit, LGU-Tagudin, Ilocos Sur</t>
  </si>
  <si>
    <t xml:space="preserve">Request for Quotation for the Provision of Advertising Agency Services for the Rise with Rice: A Radio Program on Inbred Rice Seeds Production and Farm Mechanization at Malaybalay City, Bukidnon from </t>
  </si>
  <si>
    <t>Office Equipment for the use of Scholarship Technical Working Group</t>
  </si>
  <si>
    <t>FURNISHING AND DELIVERY OF RICE FOR FOOD ASSISTANCE TO ROFS AND LSI</t>
  </si>
  <si>
    <t>RFQ-Industrial Safety Equip (Ensure Instrument)</t>
  </si>
  <si>
    <t>Toner Cartridge, Canon 337, Black - 2020</t>
  </si>
  <si>
    <t>Purchase of drugs and medicines for CDRRMD Personnel under PR#2020-06-2568</t>
  </si>
  <si>
    <t>IMPROVEMENT OF WATERSYSTEM (CANTOMOGCAD)</t>
  </si>
  <si>
    <t>SUPPLY AND DELIVERY OF POLISHED RICE</t>
  </si>
  <si>
    <t>Request for Quotation for the supply and delivery of uPVC 4” &amp; 6”</t>
  </si>
  <si>
    <t>Procurement of 23 TL Screened Sand</t>
  </si>
  <si>
    <t>Procurement of water connection and fittings to be used in the rehabilitation of water system at Malolos</t>
  </si>
  <si>
    <t>Supply and Delivery of Various Office Supplies</t>
  </si>
  <si>
    <t>Supply and Delivery of Catering Services for PGO/GAD</t>
  </si>
  <si>
    <t>Supply and delivery of maintenance parts of port and starboard CAT 3126 Marine Engine for DA-BFAR MCS 1104 Patrol Vessel</t>
  </si>
  <si>
    <t>Construction of 9 Units Led Streetlights</t>
  </si>
  <si>
    <t>One (1) unit contract for the Construction/improvement of Mabini National High School Multi Purpose, Cuambog, Mabini, Davao De Oro</t>
  </si>
  <si>
    <t>Supply and Delivery of Office Equipment for BM Martinez Office</t>
  </si>
  <si>
    <t>Procurement of IT Equipment (Printer)</t>
  </si>
  <si>
    <t>Repair and Maintenance of Government Vehicle SKP-975</t>
  </si>
  <si>
    <t>Envelope, Documentary with BI Logo - 2020</t>
  </si>
  <si>
    <t>CONSTRUCTION OF FLOOD CONTROL AND MITIGATION STRUCTURE (BURIASAN BRIDGE OF MALABANG-MASIBAY-MAITOMAIG PROVINCIAL ROAD)</t>
  </si>
  <si>
    <t>20CB-GSC-381 PURCHASE OF HOUSE NUMBER PLATES (RE-BID)</t>
  </si>
  <si>
    <t>RFQ for the Supply and Delivery of Tents</t>
  </si>
  <si>
    <t>Quotation No.20-06-363 = PROCUREMENT OF COMMON OFFICE SUPPLIES (BUDGET SECTION)</t>
  </si>
  <si>
    <t>INVITATION TO BID FOR THE SUPPLY AND DELIVERY OF 1 LOT PIPES AND FITTINGS; AND 1 LOT 500 PIECES OF  ½” MULTI-DIRECTIONAL, CLASS B, BRASS WATER METERS</t>
  </si>
  <si>
    <t>To Hire Auto-Mechanic For Repair of the Municipal Government Vehicle</t>
  </si>
  <si>
    <t>Quotation No. 20-06-0376- Vehicle Rental (5 Days) for the Pre-assessment on Synchronized Polio Epidemic Response, Rapid Coverage Assessment RCA (Bivalent) on July 6-10, 2020; Probable Itinerary: Zambo</t>
  </si>
  <si>
    <t>Quotation No.20-06-364 = PROCUREMENT OF COMMON OFFICE SUPPLIES</t>
  </si>
  <si>
    <t>Supply and Delivery of One (1) unit Brand New TRACTOR WITH MOWER  for Mayor’s Office , City Government of Marikina</t>
  </si>
  <si>
    <t>Signpen and Ballpen 2020</t>
  </si>
  <si>
    <t>Construction of Hanging Bridge at Brgy. Mataywanak, Tuy</t>
  </si>
  <si>
    <t>Supply and Delivery of Printer Inks and Cartridges</t>
  </si>
  <si>
    <t>20CB-GSC-374 PURCHASE OF ENGINE OIL FOR CTO</t>
  </si>
  <si>
    <t>Rehab of Togong Proper Road</t>
  </si>
  <si>
    <t>Diesel,Gasoline</t>
  </si>
  <si>
    <t>Quotation No. 20-06-0377- Vehicle Rental (5 Days) for the Pre-assessment on Synchronized Polio Epidemic Response, Rapid Coverage Assessment RCA (Bivalent) on July 6-10, 2020; Probable Itinerary: Zambo</t>
  </si>
  <si>
    <t>SUPPLY &amp; DELIVERY OF COMMUNICATION EQUIPMENT</t>
  </si>
  <si>
    <t>Invitation to Bid for Drilling of  Exploratory Well for Tiaong Water District</t>
  </si>
  <si>
    <t>RFQ PURCHASE &amp; DELIVERY OF MEDICAL SUPPLIES AND EQUIPMENT</t>
  </si>
  <si>
    <t>20CB-GSC-372 PRINTING SERVICES (RE-BID)</t>
  </si>
  <si>
    <t>Rehabilitation of Multi-Purpose Building</t>
  </si>
  <si>
    <t>Procurement of Laboratory Equipment &amp; Farm Machineries</t>
  </si>
  <si>
    <t>PURCHASE OF SPARE PARTS FOR REPAIR AND MAINTENANCE FOR FOROKAWA LOADER 325 (MOTORPOOL)- PR. NO:	2020-06-138</t>
  </si>
  <si>
    <t>SUPPLY AND DELIVERY OF VARIOUS OFFICE ICT EQUIPMENTS FOR MPDC OFFICE</t>
  </si>
  <si>
    <t>SUPPLY AND DELIVERY OF DIESEL AND GASOLINE (rfq#2020-05-2,446)-(pgo-pnp)</t>
  </si>
  <si>
    <t>632 pcs Isolation Gown with Head Cap and Shoe Cover</t>
  </si>
  <si>
    <t>Biological and Chemical Indicator Steam Pack</t>
  </si>
  <si>
    <t>RFQ for Emergency Purchase for Isolation Area Construction Materials</t>
  </si>
  <si>
    <t>Drugs - Influenza Polyvalent (Quadrivalent) Vaccine 0.5ml Vial + PFS Diluent/0.5ml Suspension in Prefilled Syringe (3rd Posting)</t>
  </si>
  <si>
    <t>Supply &amp; Delivery of Vegetable Seeds &amp; Materials</t>
  </si>
  <si>
    <t>Procurement of ICT Equipment of Logistics Management System (LogMS) Enhancement Project</t>
  </si>
  <si>
    <t>INVITATION TO BID FOR THE PROCUREMENT OF MATERIALS FOR THE REPAIR OF MUNICIPAL BUILDING GROUND FLOOR-HALLWAY</t>
  </si>
  <si>
    <t>Procurement of Materials for COeDs Dorm (Laoag and Batac), Cafeteria &amp; Hostel Internet Connection</t>
  </si>
  <si>
    <t>Purchase and Installation of 3 Units CCTV use for the COVID 19 Calamity (Surveillance at Border) of Magsaysay, Davao del Sur.</t>
  </si>
  <si>
    <t>528 pcs Alcohol 500ml Isopropyl 70% Solution</t>
  </si>
  <si>
    <t>MOTOR CYCLE BIKE-XRM 125 DUAL SPORT</t>
  </si>
  <si>
    <t>PROCUREMENT OF MEALS AND SNACKS TO BE SERVED DURING THE BARANGAY PEACEKEEPING AND ACTION TEAM (BPAT'S) SKILLS ENHANCEMENT SEMINAR</t>
  </si>
  <si>
    <t>SUPPLY OF LABOR, TOOLS, MATERIALS, EQUIPMENT &amp; SUPERVISION FOR THE DELIVERY AND INSTALLATION OF ROLLER SHADES</t>
  </si>
  <si>
    <t>RFQ 06-07-2020 Item A</t>
  </si>
  <si>
    <t>Repair of Tuy Rural Health Unit</t>
  </si>
  <si>
    <t>Provision of Outsourced Personnel / NSRP Coordinators for the 3rd Quarter 2020</t>
  </si>
  <si>
    <t>Reference No. 20GKG0033 (PR No. 20-06-033)- Procurement of 253 pails Cold Mix for use in the operation at the Maintenance Section in the Patching of Potholes along Iligan City-Marawi City National and</t>
  </si>
  <si>
    <t>Purchase of hygiene kit to distribute to the beneficiaries of Comprehensive Program for Street Children, Street Families, IP's and Bajaus</t>
  </si>
  <si>
    <t>PURCHASE OF CONSTRUCTION MATERIALS FOR THE REHABILITATION/IMPROVEMENT OF BRGY ROAD</t>
  </si>
  <si>
    <t>Procurement of Server Cabinet (Tower)</t>
  </si>
  <si>
    <t>CONSTRUCTION OF CONCRETE PAVEMENT (BRGY. ROAD)</t>
  </si>
  <si>
    <t>Supply of maintenance parts of CAT 3412E Marine Engine &amp; CAT 3054NA Marine Genset of DA-BFAR MCS 3006 Patrol Vessel</t>
  </si>
  <si>
    <t>Purchase of Materials for the Concreting of Road</t>
  </si>
  <si>
    <t>Supply/Delivery of 1 unit of Air Conditioner for Municipal Disaster Risk Reduction &amp; Management Office of Palo, Leyte.</t>
  </si>
  <si>
    <t>Procurement of Office Supplies ( Continuous Form &amp; Ribbons)</t>
  </si>
  <si>
    <t>Supply and Delivery of Ordinary Earth Filling Materials</t>
  </si>
  <si>
    <t>Public Competitive Bidding for the Supply and Delivery of Various Mental Health Medicines of the Department of Health – Re-Bid</t>
  </si>
  <si>
    <t>PURCHASE OF FIRE EXTINGUISHERS AND PUMP</t>
  </si>
  <si>
    <t>Request for Quotation for the supply and delivery of 2  units of inline pump for Partida Pumping Station and Holcim Road Booster Pump</t>
  </si>
  <si>
    <t>Purchase of Purified Drinking Water</t>
  </si>
  <si>
    <t>Improvement of Multi-Purpose Hall</t>
  </si>
  <si>
    <t>TO SUPPLY LABOR, TOOLS AND MATERIALS FOR THE REPAIR/CALIBRATION OF FUEL INJECTION PUMP OF UNIT 2- 750 KW MITSUBISHI OF POWER BARGE 113</t>
  </si>
  <si>
    <t>Purchase of Rescue Rubber Boat for Water Search and Rescue Operations</t>
  </si>
  <si>
    <t>CONSULTANCY SERVICES FOR INTERNAL ELECTRICAL ENERGY AUDIT OF EARIST BUILDINGS</t>
  </si>
  <si>
    <t>2LSSM2020A-270 Other Supplies and Materials</t>
  </si>
  <si>
    <t>Laryngoscope Set Adult-Curved Fiber Optic</t>
  </si>
  <si>
    <t>Card Printer Ribbon - YMCKO 400 Prints - 2020</t>
  </si>
  <si>
    <t>PROCUREMENT OF TWO (2) UNITS AMBULANCE FOR THE USE OF DSWD, RHU and OBS</t>
  </si>
  <si>
    <t>Supply and Delivery of Grocery Items (NCEBde)</t>
  </si>
  <si>
    <t>Supply and Delivery of Plumbing Materials for Installation of Water Pipe Lines at Motorpool, Tanjay City (Evacuation Center and Crisis Center)</t>
  </si>
  <si>
    <t>PC 20-001 Labor for the Repair of Old SP Building for the Establishment of PWD Comfort Room, Old SP Building, Provincial Capitol Compound, Alunan Avenue, Koronadal City, South Cotabato</t>
  </si>
  <si>
    <t>REPAIR/REHABILITATION OF MULTI-PURPOSE HALL</t>
  </si>
  <si>
    <t>AMP SVP-D NO: 20-06-0300B - Refrigerated Microcentrifuge and Accessories</t>
  </si>
  <si>
    <t>Supply and Delivery of Materials for the Repair/Maintenance of Children's Playground at Brgy. Poblacion Tres, Calauag, Quezon</t>
  </si>
  <si>
    <t>Mattress 2020</t>
  </si>
  <si>
    <t>Drugs - Epoetin Alfa (Recombinant Human Erythropoetin) 4000IU/0.4ml Prefilled Syringe (3rd Posting)</t>
  </si>
  <si>
    <t>For Disinfectant &amp; Sanitation at Municipal Bldg. RHU I &amp; Public Market.</t>
  </si>
  <si>
    <t>SUPPLY OF LABOR, TOOLS &amp; MATERIALS FOR THE FABRICATION &amp; DELIVERY OF MINI-STORAGE CABINETS</t>
  </si>
  <si>
    <t>Supply and Delivery of Chairs</t>
  </si>
  <si>
    <t>Procurement of Lubrication Oil for the Maintenance of Various Vehicles and Equipment of NIA-INIMO</t>
  </si>
  <si>
    <t>PB-Procurement of Ortho Instruments &amp; Equipment (ITB No. 2020-17)</t>
  </si>
  <si>
    <t>RFQ-Medals</t>
  </si>
  <si>
    <t>SUPPLY AND DELIVERY OF ELECTRICAL SPARE PARTS FOR 750 KW MITSUBISHI AND 600KW PERKINS INTENDED FOR POWER BARGE 113</t>
  </si>
  <si>
    <t>Procurement of Maintenance Tools and Equipment</t>
  </si>
  <si>
    <t>Supply &amp; Delivery of Fuel for the monitoring of DAR MinSAAD Organic Fertilizer, Production and Marketing Project at Magsaysay, Davao del Sur</t>
  </si>
  <si>
    <t>PURCHASE &amp; DELIVERY OF OFFICE SUPPLIES &amp; CONSUMABLES</t>
  </si>
  <si>
    <t>RFQ NO. 2020-06-0420 DSWD KC Year-End  Forum</t>
  </si>
  <si>
    <t>improvement of concrete pavement and construction of drainage canal brgy malobago</t>
  </si>
  <si>
    <t>Procurement of IT Equipment</t>
  </si>
  <si>
    <t>Request for Quotation for the Provision of Advertising Agency Services for the "Getting a Grip of the Rice Tarrification Law or RA 11203: A Radio Broadcast" at Maramag, Bukidnon on July 2020</t>
  </si>
  <si>
    <t>Purchase of Office Tables</t>
  </si>
  <si>
    <t>Supply and Delivery of Office Supply and Consumables for the Month of April SY 2019- 2020</t>
  </si>
  <si>
    <t>STEEL CABINET (4 DRAWERS WITH LOCK)</t>
  </si>
  <si>
    <t>GENERATOR SET</t>
  </si>
  <si>
    <t>Purchase of two (2) units Laptop for use of ALS District II Teaching Force.</t>
  </si>
  <si>
    <t>Concreting of Buyog Barangay Road</t>
  </si>
  <si>
    <t>PURCHASE OF  OFFICE EQUIPMENT  2 UNITS AIRCONDITION FOR PEACE AND ORDER PROGRAM FOR MAYORS OFFICE- PR. NO:	2020-06-131</t>
  </si>
  <si>
    <t>Finishing Interiors of Engineering Building</t>
  </si>
  <si>
    <t>Supply and Delivery of General Merchandise for the Month of April SY 2019- 2020</t>
  </si>
  <si>
    <t>Quotation No. 20-06-0374- Vehicle Rental (5 Days) for the Pre-assessment on Synchronized Polio Epidemic Response, Rapid Coverage Assessment RCA (Bivalent) on July 6-10, 2020; Probable Itinerary: Zambo</t>
  </si>
  <si>
    <t>Proposed Construction/Establishment of Municipal Recovery Facility(MRF)</t>
  </si>
  <si>
    <t>Purchase of computer set desktop for info. &amp; communication technology equipment under PR#2020-03-2047</t>
  </si>
  <si>
    <t>Procurement of Electrical Supply &amp; Materials - NIPSC Sara Campus</t>
  </si>
  <si>
    <t>20JI0097-Procurement of Construction Materials for the Construction of Rainwater Collector System Malangas Gymnasium, Brgy.Poblacion, Malangas, Zamboanga Sibugay</t>
  </si>
  <si>
    <t>SUPPLY &amp; DELIVERY OF VERTICAL LOCALLY MANUFACTURED FILING CABINETS</t>
  </si>
  <si>
    <t>Supply and Delivery of Ambulance Patient Monitor/REQ06497</t>
  </si>
  <si>
    <t>2LSSM2020A-272 Other Supplies and Materials</t>
  </si>
  <si>
    <t>Purchase of Office Equipment for the Organic Farmers Practioner in the Municipality, Magsaysay, Davao del Sur</t>
  </si>
  <si>
    <t>IMPROVEMENT OF DELOSO TYPE BLDG. AT STO ROSARIO INTEGRATED SCHOOL TO A TWO (2) STOREY BUILDING</t>
  </si>
  <si>
    <t>PURCHASE OF CCTV CAMERA</t>
  </si>
  <si>
    <t>Quotation No. 20-06-0378- Vehicle Rental (5 Days) for the Pre-assessment on Synchronized Polio Epidemic Response, Rapid Coverage Assessment RCA (Bivalent) on July 6-10, 2020; Probable Itinerary: Zambo</t>
  </si>
  <si>
    <t>RFQ - Printing of Anihan Magazine</t>
  </si>
  <si>
    <t>Supply and Delivery of One (1) Lot Tires with tube and flaps for Municipal Garbage Trucks</t>
  </si>
  <si>
    <t>To support the procurement of services for the updating of nine (9) ea Global Positioning System (GPS) Navigational Data Base for use of N-22B/C Aircraft with Tail Nrs. B-12, C-68 and C-87.</t>
  </si>
  <si>
    <t>14cs Floorwax, Complete 5L (2pcs/cs)</t>
  </si>
  <si>
    <t>INVITATION TO BID FOR THE PROCUREMENT OF OFFICE SUPPLIES OF BASCO CENTRAL SCHOOL, TUKON BARRIO SCHOOL AND DIPTAN ELEMENTARY SCHOOL</t>
  </si>
  <si>
    <t>REHABILITATION/CONSTRUCTION OF DRAINAGE CANALS– PUROK 11-A, SAN MIGUEL, TAGUM CITY</t>
  </si>
  <si>
    <t>GPG-B1-2020-427-SUPPLY, DELIVERY, INSTALLATION, TESTING &amp; COMMISSIONING OF SOLID WASTE MGT EQPT CONSISTING OF FIVE (5) LOTS OF BRAND-NEW SET OF PLASTIC RECYCLING EQPT WITH BRAND NEW PLASTIC CHAIR MOLD</t>
  </si>
  <si>
    <t>Purchase of Safety Glass &amp; Signage (Covid 19)</t>
  </si>
  <si>
    <t>PROCUREMENT OF OFFICE SUPPLIES  (Non-PS)</t>
  </si>
  <si>
    <t>Supply and Delivery of Other Structure Supplies and Materials (NCEBde)</t>
  </si>
  <si>
    <t>2LSSM2020A-271 Other Supplies and Materials</t>
  </si>
  <si>
    <t>PURCHASE OF  COMPUTER DESKTOP  USE AT BARANGAY SANTIAGO CITY OF GENERAL TRIAS</t>
  </si>
  <si>
    <t>Procurement of Furnitures &amp; Fixtures</t>
  </si>
  <si>
    <t>invitation to bid for the supply and delivery of materials and labor for the improvement of Mt. Kelleb Road (FTMR)</t>
  </si>
  <si>
    <t>Furnishing of Labor and Materials of Cold Storage Doors</t>
  </si>
  <si>
    <t>20LC0130 Construction of Concrete Road, Brgy. Apokon, Tagum City, Davao del Norte</t>
  </si>
  <si>
    <t>Procurement of Security Services for CSC RO IV Located at 139 Panay Ave., Barangay South Triangle, Quezon City</t>
  </si>
  <si>
    <t>CONSTRUCTION OF TWO (2) STOREY, FOUR (4) CLASSROOMS BUILDING AT PETRON SCHOOL</t>
  </si>
  <si>
    <t>Purchase of Various Items for used in Treasurer's Office, DSWD Office, Budget Office and Civil Registrar Office in LGU Maragondon, Cavite</t>
  </si>
  <si>
    <t>CONCRETING OF BARANGAY ROADS AT P3 BALILA (2ND BID)</t>
  </si>
  <si>
    <t>Supply of maintenance parts of CAT 3412E Marine Engine, CAT 3054 NA &amp; CAT C4.4 Marine Genset of DA-BFAR MCS 3004 Patrol Vessel</t>
  </si>
  <si>
    <t>PROCUREMENT OF CONSTRUCTION MATERIALS  (FOR CONSTRUCTION OF RCA, BASAK, DAGUNDALAHON, LANTUD, LIRONGAN, SAN RAFAEL, LIGURON)</t>
  </si>
  <si>
    <t>Communication CCTV</t>
  </si>
  <si>
    <t>UPGRADING/CONCRETING OF ROAD M. SANTIAGO ST. (J.P. RIZAL-RHU-MARKET SECTION)</t>
  </si>
  <si>
    <t>One (1) contract for the construction/Improvement of TAGCO Multi-Purpose Building, Tagnanan, Davao De Oro</t>
  </si>
  <si>
    <t>Provision of Janitorial Services for the  Sandiganbayan Centennial Building for One (1) Year (Re-advertisement)</t>
  </si>
  <si>
    <t>RFQ - Printing of Newsletter (1st and 2nd Quarter Issues)</t>
  </si>
  <si>
    <t>Procurement of grocery items to be distributed under Balik Probinsya Relief Program</t>
  </si>
  <si>
    <t>Proc of 04 Oil Filter &amp; 3 other LI</t>
  </si>
  <si>
    <t>CONSTRUCTION OF BARANGAY HALL PHASE 1</t>
  </si>
  <si>
    <t>SUPPLY &amp; DELIVERY OF OFFICE FIXTURES</t>
  </si>
  <si>
    <t>Procurement of Fireworks Display</t>
  </si>
  <si>
    <t>Purchase and Delivery of Materials for the Construction of Additional Hand-washing Facility and Foot Baths</t>
  </si>
  <si>
    <t>Quotation No. 20-06-0372- Vehicle Rental (5 Days) for the Pre-assessment on Synchronized Polio Epidemic Response, Rapid Coverage Assessment RCA (Bivalent) on July 6-10, 2020; Probable Itinerary: Zambo</t>
  </si>
  <si>
    <t>Drugs - Amoxicillin 500mg (as Trihydrate) (3rd Posting)</t>
  </si>
  <si>
    <t>TO SUPPLY LABOR, TOOLS, MATERIALS, EQUIPMENT AND TECHNICAL SKILLS FOR REWINDING OF MAIN STATOR INTENDED FOR MARIPIPI DPP</t>
  </si>
  <si>
    <t>20CG0179 - Local Infrastructure Program: Multipurpose/ Facilities – Construction of Multi-Purpose Building, Sta. Cruz, Macabebe, Pampanga</t>
  </si>
  <si>
    <t>Supply of maintenance parts of CAT 3412E Marine Engine, CAT 3054 NA &amp; CAT C4.4 Marine Genset of DA-BFAR MCS 3003 Patrol Vessel</t>
  </si>
  <si>
    <t>PURCHASE OF USB</t>
  </si>
  <si>
    <t>FOR THE COMPLETION OF FIBER GLASS PATROL BOAT AS LGU COUNTERPART TO BFAR.</t>
  </si>
  <si>
    <t>Supply and delivery of pallets for use on research on diversified corn- based farming systems (PR 363)</t>
  </si>
  <si>
    <t>20CG0178 - Construction/ Repair/ Rehabilitation/ Improvement  of Various Infrastructure including Local Projects – Buildings and Other Structures – Multipurpose/ Facilities – Rehabilitation of Mandasi</t>
  </si>
  <si>
    <t>Supply and Delivery of Agricultural Supplies for HVCDP Buffer Stocking at  DA-PRES ,Palawan</t>
  </si>
  <si>
    <t>Quotation No. 20-06-0379- Vehicle Rental (5 Days) for the Pre-assessment on Synchronized Polio Epidemic Response, Rapid Coverage Assessment RCA (Bivalent) on July 6-10, 2020; Probable Itinerary: Zambo</t>
  </si>
  <si>
    <t>Purchase of 2,000 32G Flash Drive</t>
  </si>
  <si>
    <t>Supples &amp; Equipment for PWD Printing Services Project</t>
  </si>
  <si>
    <t>REFILL OF SPECIALIZED GAS FOR CSR STOCKING/ SALES PURPOSES</t>
  </si>
  <si>
    <t>PRoc of 12 ea Good Lumber 4x4x12 &amp; 10 other LI</t>
  </si>
  <si>
    <t>Supply &amp; Delivery of Office Supplies for the Municipal Agriculture Office of Magsaysay, Davao del Sur</t>
  </si>
  <si>
    <t>Supply and delivery of Animal Feeds (PR 363)</t>
  </si>
  <si>
    <t>SUPPLY AND DELIVERY OF CIRCUIT BREAKER FOR MAIN ENGINE OF POWER BARGE 113</t>
  </si>
  <si>
    <t>Tokens for the Launching of DTI New Business Program @ Samal, Bataan</t>
  </si>
  <si>
    <t>PROVISION OF MEALS AT THE ISOLATION UNIT</t>
  </si>
  <si>
    <t>PR-2020-02-013=Furnishing and delivery of supplies and materials for use in the repair of one (1) unit Portable Weigh-In-Motion (PWIM) machine (Intercomp) at Weighbridge Station, Brgy. Turbina, Calamb</t>
  </si>
  <si>
    <t>SSS Victorias Branch Diesel Fuel July to December 2020</t>
  </si>
  <si>
    <t>Supply and Delivery of Goods for Medical, Dental and Laboratory Supplies of 9DTS,9ID,PA (100,000.00)</t>
  </si>
  <si>
    <t>20FE0129 – CONSTRUCTION OF CLASSROOMS, ODOC ES, LIBMANAN, CAMARINES SUR</t>
  </si>
  <si>
    <t>office equipment</t>
  </si>
  <si>
    <t>Supply and Delivery of Parts to be used in the Repair and Maintenance of Hino DT SKM-166 and Hino DT SKM-137 at Motorpool, Santiago, Naujan, Oriental Mindoro</t>
  </si>
  <si>
    <t>Purchase of Laptop for Mayors Office @ Samal, Bataan</t>
  </si>
  <si>
    <t>Concrete Paving of Farm-to-Market Road at Barangay San Pedro Ili, Alcala, Pangasinan.</t>
  </si>
  <si>
    <t>Purchase of printer for SICC-research &amp; development program use under PR#2020-03-2042</t>
  </si>
  <si>
    <t>IMPROVMENT OF DIALYSIS ROOM, OBS, PALIWAS, OBANDO, BULACAN</t>
  </si>
  <si>
    <t>SUPPLY &amp; DELIVERY OF FOOD SUBSIDY FOR INMATES OF MUNTINLUPA CITY</t>
  </si>
  <si>
    <t>Labor Charge for General Repair including Parts of Foton View Ambulance (SHX-191)</t>
  </si>
  <si>
    <t>PURCHASE OF DISASTER EQUIPMENT</t>
  </si>
  <si>
    <t>Supply and Delivery of Grocery Items (NISF)</t>
  </si>
  <si>
    <t>Supply and Delivery of Motor Vehicles Parts and Accessories (NCEBde)</t>
  </si>
  <si>
    <t>Payment for the COVID-19 Rapid Test of Maragondon PNP Personnel in Municipality of Maragondon, Cavite</t>
  </si>
  <si>
    <t>For use in operation of DT 03, RG 01,DR 01,PL 03, Dt08,Hilux AAG 1146 PAYLOADER, DT 03, KIA 269, PL 01,DT 12 assigned at City Engineer's office.</t>
  </si>
  <si>
    <t>SUPPLY &amp; DELIVERY OF NEWBORN SCREENING KIT</t>
  </si>
  <si>
    <t>Supply and Delivery of Aerobic culture media, GP ID and AST GP</t>
  </si>
  <si>
    <t>Supply &amp; Delivery of Assorted Grafted Fruit Trees Seedlings for the beneficiaries of the DAR MinSAAD Projects at MAgsaysay, Davao del Sur</t>
  </si>
  <si>
    <t>RFQ for Fertilizer and Pesticides for the CAg Rice Production</t>
  </si>
  <si>
    <t>PRE-BID CONFERENCE 7/July/2020 - Procurement of Goods: Const'n Materials for the use of CMO - Cons'tn of Multi-Purpose Bldg. at Laureta Elem. School, San Miguel, T.C. (PR#100-20-06-0277)</t>
  </si>
  <si>
    <t>Supply and Delivery of 3 Units Photocopying Machine (PR Reference # 2020-06-0379)</t>
  </si>
  <si>
    <t>Concreting of Tinigban to Raang Seashore</t>
  </si>
  <si>
    <t>Glass work for the installation of glass partition for the repair of BFAR-13 Regional Office at Surigao City.</t>
  </si>
  <si>
    <t>Procurement of one hundred fifty (150) heads piglets for dispersal.</t>
  </si>
  <si>
    <t>Purchase of Laptop for Early Childhood care and development under PR#2020-03-1989</t>
  </si>
  <si>
    <t>IMPROVEMENT/REHABILITATION OF POBLACION WATER SYSTEM</t>
  </si>
  <si>
    <t>10 unit Manual Plastic Sprayer Capacity: 12 ltrs. to be use during disinfection of COVID Quarantine Facilities</t>
  </si>
  <si>
    <t>SUPPLY &amp; DELIVERY OF WATER MATERIALS &amp; JETMATIC HAND PUMP USE FOR INSTALLATION OF JETMATIC HAND PUMP DIFFERENT BARANGAYS,ESPERANZA ,AGSUAN DEL SUR</t>
  </si>
  <si>
    <t>SUPPLY AND DELIVERY OF  COMPUTER DESKTOP</t>
  </si>
  <si>
    <t>PURCHASE OF COMPUTER DESKTOP USE AT BARANGAY BUENAVIST 1  CITY OF GENERAL TRIAS</t>
  </si>
  <si>
    <t>RFQ - Procurement of Goods: Motorcycle for the use of CENRO - Regulatory Law Enforment Division (PR#100-20-06-0275</t>
  </si>
  <si>
    <t>proc of 1 ea Pressure Plate &amp; 56 other LI</t>
  </si>
  <si>
    <t>Repair &amp; Maintenance of Multi-Purpose Building</t>
  </si>
  <si>
    <t>Supply and Delivery of Training Supplies (NISF)</t>
  </si>
  <si>
    <t>REHABILITATION/CONSTRUCTION OF DRAINAGE CANALS ALONG LAURETA NATIONAL HIGH SCHOOL,  SAN MIGUEL TAGUM CITY</t>
  </si>
  <si>
    <t>Purchase of Rice</t>
  </si>
  <si>
    <t>Supply and Delivery of Motor Drive Cylinder @ NAIA T2</t>
  </si>
  <si>
    <t>SUPPLY AND DELIVERY OF CEILING FAN AT DUMAGUETE AIRPORT</t>
  </si>
  <si>
    <t>SUPPLY &amp; INSTALLATION OF WINDOW BLINDS AT MAYOR'S OFFICE</t>
  </si>
  <si>
    <t>Proposed installation of railings with concreting at Barangay IV-C</t>
  </si>
  <si>
    <t>SUPPLY AND DELIVERY OF VARIOUS GOODS INTENDED FOR BOHOL 1 MINI GRID</t>
  </si>
  <si>
    <t>PR-2020-06-022=Furnishing and delivery of various supplies/goods to be used at Sections of DPWH-Laguna II DEO</t>
  </si>
  <si>
    <t>IMPROVEMENT OF 2ND FLOOR LEVEL OF EVACUATION CENTER</t>
  </si>
  <si>
    <t>Procurement of ICT Equipment of Naval Systems Engineering MIS (NSEMIS) Project</t>
  </si>
  <si>
    <t>SUPPLY AND DELIVERY OF OPERATION AND MAINTENANCE SUPPLIES INTENDED FOR DOONG DPP</t>
  </si>
  <si>
    <t>Construction of Hanging Bridge</t>
  </si>
  <si>
    <t>Request for Price Quotation for Delivery of materials for electrical supplies of the college</t>
  </si>
  <si>
    <t>Drugs -Eperisone HCL 50mg (3rd Posting)</t>
  </si>
  <si>
    <t>Philippine Information Agency Vehicle Repair and Maintenance</t>
  </si>
  <si>
    <t>20CG0180 - Construction/ Repair/ Rehabilitation/ Improvement  of Various Infrastructure including Local Projects – Buildings and Other Structures – Multipurpose/ Facilities – Construction of Multi-Pur</t>
  </si>
  <si>
    <t>Purchase of Computer Supplies &amp; Materials</t>
  </si>
  <si>
    <t>PURCHASE OF OFFICE SUPPLIES FOR MUNICIPAL CIVIL REGISTRAR'S OFFICE</t>
  </si>
  <si>
    <t>2LSSM2020B-275 Office Supplies</t>
  </si>
  <si>
    <t>Procurement of Paper Materials &amp; Products</t>
  </si>
  <si>
    <t>Construction Materials for Perimeter Fence at Minimum Security Compound Use</t>
  </si>
  <si>
    <t>Purchase of Vaccines &amp; Other Chemicals for the Municipal Agriculture Office of Magsaysay, Davao del Sur</t>
  </si>
  <si>
    <t>invitation to bid for the supply and delivery of materials and labor for the construction of drainage canal along provincial road at purok 3</t>
  </si>
  <si>
    <t>SUPPLY &amp; DELIVERY OF COMPUTER SOFTWARE TO BE USED AT MANAGEMENT INFORMATION SYSTEMS OFFICE</t>
  </si>
  <si>
    <t>RFQ for Services for the Land Preparation, Seedling Pulling and Transplanting at the CAg Rice Production</t>
  </si>
  <si>
    <t>2LSSM2020B-274 Other Supplies and Materials</t>
  </si>
  <si>
    <t>NCB Publication No. 2020- 22 (First Publication)- Construction of Additional Building for COVID-19 at Panopdopan District  Hospital</t>
  </si>
  <si>
    <t>UPDATING OF CLUP, FLUP, ELCCAP</t>
  </si>
  <si>
    <t>To Improve the Comfort of Library Users and To Preserve the Collections of the Library.</t>
  </si>
  <si>
    <t>RFQ 16793 oil filters</t>
  </si>
  <si>
    <t>FOR ENHANCEMENT OF CACAO PRODUCTION THRU PROVISION OF FERTILIZER SUBSIDY</t>
  </si>
  <si>
    <t>SUPPLY AND DELIVERY OF RECONDITIONED MINI-DUMP TRUCK</t>
  </si>
  <si>
    <t>SUPPLY &amp; DELIVERY OF SPARE PARTS-MBO</t>
  </si>
  <si>
    <t>PURCHASE OF ADDITIONAL PERSONAL PROTECTIVE EQUIPMENT'S</t>
  </si>
  <si>
    <t>To support the procurement of 80 cans WD-40 Degreaser and 23 other L/I for use during Preventive Maintenance of Tug Harlan, EBT (Mitsubishi) and Kingkong MB-4 (Mitsubishi).</t>
  </si>
  <si>
    <t>CONSTRUCTION/ IMPROVEMENT OF MULTI-PURPOSE BUILDING, POBLACION, MAWAB, DAVAO DE ORO- Purchase Request No.2020-06-106</t>
  </si>
  <si>
    <t>Procurement of ICT Equipment of PN Email Enhancement Project</t>
  </si>
  <si>
    <t>RFQ NO. J2020-06-0418 Procurement of Security Services to be Assigned at KC RPMO with contract duration during June 16, 2020- August 15, 2020)</t>
  </si>
  <si>
    <t>Payment of materials for the maintenance of Capt. Fulgencio Road-Don Dimas Querubin, Caoayan, Ilocos Sur</t>
  </si>
  <si>
    <t>Supply and delivery of maintenance parts of port and starboard CAT 3126 Marine Engine for DA-BFAR MCS 1103 Patrol Vessel</t>
  </si>
  <si>
    <t>Supply and Delivery of Medicines (CARI, Anti Rabies, and Mass Circumcision Program)</t>
  </si>
  <si>
    <t>Supply and Delivery of Corner Stand and Chandelier for the Office of the Vice Mayor/ Sangguniang Bayan, Pinamalayan Or. Mindoro.</t>
  </si>
  <si>
    <t>proc of 02 ea Housing Signal/Park Light Assy (F,L/R) &amp; 70 other LI</t>
  </si>
  <si>
    <t>Purchase of Bush cutter for CENRO use under PR#2020-03-1611</t>
  </si>
  <si>
    <t>Construction of Concrete Pathway</t>
  </si>
  <si>
    <t>20CG0181 - Local Infrastructure Program: Buildings and Other Structures – Multipurpose/ Facilities – Construction of Multi-Purpose Building, Pulung Bulu, San Fernando, Pampanga</t>
  </si>
  <si>
    <t>ITB and Bid Docs for Procurement ID/Contract ID:    20C00048  Contract Name:      Local Program – Local Infrastructure Program – Local Roads and Bridges – Local Roads – Concreting of Roads from Casigu</t>
  </si>
  <si>
    <t>Philippine Information Agency Purchase TV set and Printer</t>
  </si>
  <si>
    <t>20FE0130 – CONSTRUCTION OF CLASSROOMS, SALVACION ES, LIBMANAN, CAMARINES SUR</t>
  </si>
  <si>
    <t>meals and snacks for CDD Disaster Response Operation Kibawe, Bukidnon</t>
  </si>
  <si>
    <t>SUPPLY &amp; DELIVERY OF  VARIOUS MATERIALS FOR CONSOLIDATED PROJECT AT DIST. 1 &amp; 2, MUNTINLUPA CITY</t>
  </si>
  <si>
    <t>2LSSM2020A-273 Other Supplies and Materials</t>
  </si>
  <si>
    <t>SUPPLY AND DELIVERY  FOR THE PURCHASE OF GINGER RHIZOMES LGU,SIBAGAT, AGUSAN DEL SUR</t>
  </si>
  <si>
    <t>REHABILITATION OF MDRRMO OPERATION CENTER             ( GARRAGE)- Purchase Request No.2020-06-108</t>
  </si>
  <si>
    <t>Improvement of Access Foot Trails to Badi Falls (w/ Handrails)</t>
  </si>
  <si>
    <t>NCB Publication No. 2020- 23 (First Publication)- Construction of Additional Building for COVID-19 at Potia District Hospital</t>
  </si>
  <si>
    <t>Electrical and Plumbing Supplies</t>
  </si>
  <si>
    <t>REQUEST FOR QUOTATION FOR THE PROCUREMENT OF GOODS: SPLIT TYPE AIRCON, 2.5HP FOR BLOOD BANK AND HEMATOLOGY</t>
  </si>
  <si>
    <t>RFQ for Chicken Layer Feed for the use of APO</t>
  </si>
  <si>
    <t>Purchase of spareparts and labor of two (2) units ambulance and tires and alignment of service vehicle (SHJ 630) of Maragondon, Cavite</t>
  </si>
  <si>
    <t>20CG0182 - Local Infrastructure Program: Multipurpose/ Facilities – Construction of Multi-Purpose Covered Area with Reinforced Concrete Slab, Sta. Lutgarda, Macabebe, Pampanga</t>
  </si>
  <si>
    <t>Supply and Delivery of Semi-expendables Office Equipment for use of HSCtr-C, AFPHSC</t>
  </si>
  <si>
    <t>PURCHASE OF FUEL ( DIESEL AND GASOLINE) FOR ALL GOVERNMENT VEHICLE USE- Purchase Request No.2020-06-110</t>
  </si>
  <si>
    <t>Drugs - Ertapenem 1GM, Powder (as sodium) (3rd Posting)</t>
  </si>
  <si>
    <t>REPAIR/RENOVATION OF RURAL HEALTH UNIT BUILDING</t>
  </si>
  <si>
    <t>Construction of Two (2) Storey, Six (6) Classroom School Building, San Juan Elementary School at San Manuel, Pangasinan</t>
  </si>
  <si>
    <t>Procurement of Audio and Visual Equipment for Proincial Governors Office.</t>
  </si>
  <si>
    <t>20LC0148 Construction of Multi-Purpose Building (Fish Landing Facility) Brgy. Peñaplata. Samal District, Island Garden City of Samal, Davao del Norte</t>
  </si>
  <si>
    <t>RFQ for Medicines for the use of the University Infirmary</t>
  </si>
  <si>
    <t>Supply and Delivery of One (1) Unit Brand New 225hp Outboard Motor</t>
  </si>
  <si>
    <t>MOOE 2020</t>
  </si>
  <si>
    <t>proc of 3 kls Umbrella Nail, 2 1/2" &amp;  41 other LI</t>
  </si>
  <si>
    <t>PURCHASE OF LAPTOP COMPUTER &amp; PRINTER FOR MDRRMO</t>
  </si>
  <si>
    <t>PURCHASE OF VEHICLE SUPPLIES AND MATERIALS</t>
  </si>
  <si>
    <t>CONSTRUCTION OF BARAY  INDOANAN SANG KATIGMAN NANG MANSAKA</t>
  </si>
  <si>
    <t>Upgrading of Brgy. Balatero Road</t>
  </si>
  <si>
    <t>Construction of River Dike</t>
  </si>
  <si>
    <t>PURCHASE OF 15 UNITS KNAPSACK SPRAYERS</t>
  </si>
  <si>
    <t>20CG0184 - Construction/ Repair/ Rehabilitation/ Improvement  of Various Infrastructure Including Local Projects: Buildings and Other Structures – Multipurpose/ Facilities – Rehabilitation of Multi-Pu</t>
  </si>
  <si>
    <t>Installation of Solar Power System</t>
  </si>
  <si>
    <t>Supply and Delivery of ITE - OM</t>
  </si>
  <si>
    <t>RHU USE</t>
  </si>
  <si>
    <t>SUPPLY AND DELIVERY OF HARDWARE MATERIALS FOR THE CONSTRUCTION OF WATER SYSTEM OF SITIO DANDANON, BARANGAY KOLAMBUGAN,SIBAGAT,AGUSAN DEL SUR</t>
  </si>
  <si>
    <t>Supply and Delivery of Various Agricultural Supplies/Materials, PR# 2020-03-0187 et al.</t>
  </si>
  <si>
    <t>20CG0183 - Local Infrastructure Program: Buildings and Other Structures – Multipurpose/ Facilities – Construction of Multi-Purpose Building, Mapaniqui, Candaba, Pampanga</t>
  </si>
  <si>
    <t>Supply and Delivery of Office Supplies and Consumables of University of Antique- Hamtic Campus</t>
  </si>
  <si>
    <t>SUPPLY AND DELIVERY OF AGRICULTURAL SUPPLIES</t>
  </si>
  <si>
    <t>20CG0185 - Construction/ Repair/ Rehabilitation/ Improvement  of Various Infrastructure Including Local Projects: Multipurpose/ Facilities – Rehabilitation of Multi-Purpose Building San Antonio, Araya</t>
  </si>
  <si>
    <t>2 pail Oil 10 and 2 pail Oil 30 for Payloader</t>
  </si>
  <si>
    <t>CONSTRUCTION OF MULTI-PURPOSE BUILDING FOR MOTORIZE RICE TRANS PLANTERS</t>
  </si>
  <si>
    <t>LCWD-2020-052 20 KVA Generator Set</t>
  </si>
  <si>
    <t>CONSTRUCTION OF TWO (2) STOREY, FOUR (4) CLASSROOM SCHOOL BUILDING, SAN QUINTIN CENTRAL SCHOOL AT SAN QUINTIN, PANGASINAN</t>
  </si>
  <si>
    <t>FOR REPRODUCTION OF LEARNING MODULE</t>
  </si>
  <si>
    <t>Office Equipment and Supplies</t>
  </si>
  <si>
    <t>NEWSPAPER PUBLICATION OF MUNICIPAL ORDINANCES</t>
  </si>
  <si>
    <t>REPAIR/RENOVATION OF DELFIN ALBANO MEMORIAL HOSPITAL</t>
  </si>
  <si>
    <t>Supply of Labor and Materials in the Installation of Office Partitions with Accessories, CON lOUNGE, 4/f ETC Bldg.</t>
  </si>
  <si>
    <t>PURCHASE OF OFFICE SUPPLIES &amp; DEVICES FOR VICE-MAYOR'S OFFICE</t>
  </si>
  <si>
    <t>CID No. 20GI00006 - Procurement of Security Services Requirement of DPWH Regional Office VIII for CY 2020-2021</t>
  </si>
  <si>
    <t>Procurement of Live Animals use for Dispersal</t>
  </si>
  <si>
    <t>SUPPLY AND DELIVERY OF  PROCUREMENT OF OFFICE AND IT SUPPLIES</t>
  </si>
  <si>
    <t>Purchase of Washing Machines for the Quarantine Area and Isolation Facility Use</t>
  </si>
  <si>
    <t>20KL0136 - Construction of Standard Two-Storey (4 Classrooms) School Building (9.5m x 23.00m)</t>
  </si>
  <si>
    <t>Printing and Delivery of Flyers, Posters and Pamphlets</t>
  </si>
  <si>
    <t>20CG0186 - Local Infrastructure Program: Multipurpose/ Facilities – Construction of Public Safety Office Building, Sitio Tagulud, Brgy. Sampaloc, Apalit, Pampanga</t>
  </si>
  <si>
    <t>Fabrication of Stainless Steel Sink and Side Table</t>
  </si>
  <si>
    <t>Upgrading of Brgy. Dulangan Road</t>
  </si>
  <si>
    <t>Supply, delivery and installation of heavy duty duplicating machiine</t>
  </si>
  <si>
    <t>SUPPLY OF MATERIALS FOR THE INSTALLATION OF 9 UNITS LED LAMP STREETLIGHTS (OPLAN LIWANAG) ALONG LAKESHORE, STA. ELENA TO SAN BUENA, BUHI, CAMARINES SUR</t>
  </si>
  <si>
    <t>20GJI0040-Procurement of Tire for use in the replacement of worn-out tire of Hydraulic Excavator/Backhoe with Body No.F17-77 assigned in the Maintenance Section</t>
  </si>
  <si>
    <t>PURCHASE OF BASED  DISASTER AND EMERGENCY MONITORING  SYSTEM (CCTV AND PUBLIC ADDRESS SYSTEM)- Purchase Request No.2020-06-127</t>
  </si>
  <si>
    <t>14 UNITS, ELECTRONIC DATER</t>
  </si>
  <si>
    <t>20CG0187 - Local Infrastructure Program: Multipurpose/ Facilities – Construction of Covered Court, Sitio Mindanao, Brgy. Esteban, Macabebe, Pampanga</t>
  </si>
  <si>
    <t>RFQ-TO PROVIDE MACHENRY EQUIPMENT FOR THE OPERATION OF DABIOTECH- C2003 PROJECT.TRF-184-20-06-79</t>
  </si>
  <si>
    <t>meals and snacks for CDD Disaster Response Operation San Fernando, Bukidnon</t>
  </si>
  <si>
    <t>Procurement of IT Equipment for the use of DILG</t>
  </si>
  <si>
    <t>proc of 2 pcs Piston Yamaha 40HP (4 stroke) &amp; 09 Other LI</t>
  </si>
  <si>
    <t>RFQ - Procurement of Goods: Airconditioning System Spareparts for the use of CEO-Electrical Repair &amp; Maintenance (PR#100-20-06-0279)</t>
  </si>
  <si>
    <t>Quotation No. 20-06-0380- Vehicle Rental (5 Days) for the Pre-assessment on Synchronized Polio Epidemic Response, Rapid Coverage Assessment RCA (Bivalent) on July 6-10, 2020; Probable Itinerary: Zambo</t>
  </si>
  <si>
    <t>Supply and delivery of maintenance parts of port and starboard CAT 3126 Marine Engine for DA-BFAR MCS 1102 Patrol Vessel</t>
  </si>
  <si>
    <t>20CB-GSC-375 PURCHASE OF PORTABLE SPEAKER</t>
  </si>
  <si>
    <t>Centennial Year Projects (Improvement of Museum)</t>
  </si>
  <si>
    <t>invitation to bid for the supply and delivery of materials and labor for the construction of drainage canal along provincial road in front of paniki high school</t>
  </si>
  <si>
    <t>Quotation No. 20-06-0383- Vehicle Rental (5 Days) for the Pre-assessment on Synchronized Polio Epidemic Response, Rapid Coverage Assessment RCA (Bivalent) on July 6-10, 2020; Probable Itinerary: Zambo</t>
  </si>
  <si>
    <t>20LC0150 Repair and Maintenance of National Roads &amp; Bridges along Agusan-Davao Road (Daang Maharlika) K1452+480 – K1482+(-300), Tagum City Diversion Road Km. 1459+765 – K1460+153.5, Tagum Panabo Circu</t>
  </si>
  <si>
    <t>20KL0137 - Construction of Standard Two-Storey (4 Classrooms) School Building (9.5m x 23.00m)</t>
  </si>
  <si>
    <t>PURCHASE OF TIRE FOR REPAIR AND MAINTENANCE OF  GRADER MG 331- Purchase Request No.2020-06-137</t>
  </si>
  <si>
    <t>20FE0131 – CONSTRUCTION OF CLASSROOMS, BAGAMELON ES, LIBMANAN, CAMARINES SUR</t>
  </si>
  <si>
    <t>Quotation No. 20-06-0382- Vehicle Rental (5 Days) for the Pre-assessment on Synchronized Polio Epidemic Response, Rapid Coverage Assessment RCA (Bivalent) on July 6-10, 2020; Probable Itinerary: Zambo</t>
  </si>
  <si>
    <t>Quotation No. 20-06-0384- Vehicle Rental (5 Days) for the Pre-assessment on Synchronized Polio Epidemic Response, Rapid Coverage Assessment RCA (Bivalent) on July 6-10, 2020; Probable Itinerary: Zambo</t>
  </si>
  <si>
    <t>SUPPORT TO EDUCATIONAL DEVELOPMENT PROGRAM (SUPPORT TO GRADUATION CEREMONIES OF PUBLIC ELEMENTARY AND SECONDARY SCHOOLS) - MEDALS - MAYOR'S OFFICE</t>
  </si>
  <si>
    <t>Supply and Delivery of Glass Dry Erase Board &amp; Monoblock</t>
  </si>
  <si>
    <t>CY 2020 QRF REPAIR &amp; REHABILITATION OF CL LOT 1 - Canila ES</t>
  </si>
  <si>
    <t>Supply and delivery of supplies for research on diversified corn-based farming systems (PR 363)</t>
  </si>
  <si>
    <t>Construction of Farmer's Muti-Purpose Hall Located at Sta. Monica, Agoo, La Union</t>
  </si>
  <si>
    <t>PURCHASE OF COPIER FOR SANGGUNIANG BAYAN OFFICE</t>
  </si>
  <si>
    <t>Procurement of IT Equipment for the use of LIGA Office</t>
  </si>
  <si>
    <t>PURCHASE OF FOOT BATH AT BRGY. PEÑAPLATA, SAMAL DIST., IGACOS under PR#2020-03-1991</t>
  </si>
  <si>
    <t>PROCUREMENT OF MEDICAL EQUIPMENT FOR OPERATING ROOM</t>
  </si>
  <si>
    <t>Purchase of Camera for CMO-PUBLIC INFO under PR#2020-05-2302</t>
  </si>
  <si>
    <t>Supply and Delivery of Three Units Floor Mounted Airconditioner for Conference Room of Annex Building</t>
  </si>
  <si>
    <t>SUPPLY &amp; INSTALLATION OF STREET LIGHTS IN VARIOUS PUROKS, BARANGAYS AND SITIOS (1ST BID)</t>
  </si>
  <si>
    <t>ITB FOR CONSTRUCTION MATERIALS TO BE USED FOR CONSTRUCTION OF 109 METERS IRRIGATION CANAL AT P-6, KABUNGA-AN BRGY. HIMAMA-UG, TSDN.</t>
  </si>
  <si>
    <t>medical equipment</t>
  </si>
  <si>
    <t>PURCHASE OF TIRE FOR VY 0643- PR. NO:	2020-06-143</t>
  </si>
  <si>
    <t>20CB-GSC-376 PURCHASE OF TARPAULIN AND TOKEN (RE-BID)</t>
  </si>
  <si>
    <t>GPG-B1-2020-426-SUPPLY, DELIVERY, INSTALLATION, TESTING &amp; COMMISSIONING OF EIGHT (8) LOTS SOLID WASTE MGT EQPT CONSISTING OF BRAND NEW BIODEGRADABLE WASTE SHREDDER &amp; BRAND NEW COMPOSTER FOR THE DEPT O</t>
  </si>
  <si>
    <t>1. Other Supplies/PCC 2. Office Supplies &amp; Other Supplies/Assessor's Office 3. Office Supplies &amp; Other Supplies/Agriculture's Office</t>
  </si>
  <si>
    <t>Construction of Pathwalk - Purok 1</t>
  </si>
  <si>
    <t>Rehabilitation of Box Culvert</t>
  </si>
  <si>
    <t>SUPPLY AND DELIVERY FOR THE PROCUREMENT OF ONE (1) UNIT FARM TRACTOR WITH COMPLETE ACCESSORIES FOR THE LIVELIHOOD ASSISTANCE OF PEREZ ABACA FARMERS ASSOCIATION,SIBAGAT,AGUSAN DEL SUR</t>
  </si>
  <si>
    <t>Supply and Delivery of Two (2) Units Geotagging Equipment per PR# 2020-03-0178</t>
  </si>
  <si>
    <t>Supply and delivery of maintenance parts of port and starboard CAT 3126 Marine Engine for DA-BFAR MCS 1101 Patrol Vessel</t>
  </si>
  <si>
    <t>OB-GYNE -RE-CHARGEABLE EMERGENCY LIGHT (5TH POSTING)</t>
  </si>
  <si>
    <t>Procurement of Construction Supplies &amp; Materials to be used for the Water Sanitation and Hygiene (WASH) in the Regional Office</t>
  </si>
  <si>
    <t>SUPPLY AND DELIVERY OF DISTRIBUTION LINE SPARE PARTS OF BALATUBAT DPP</t>
  </si>
  <si>
    <t>Supply and delivery of live animals for research on diversified corn based farming systems (PR 363)</t>
  </si>
  <si>
    <t>20KL0138 - Construction of Standard Two-Storey (4 Classrooms) School Building (9.5m x 23.00m)</t>
  </si>
  <si>
    <t>20LC0156 Repair/Maintenance of DPWH Building DPWH-Talaingod Bunkhouse Sto. Niño, Talaingod Davao del Norte</t>
  </si>
  <si>
    <t>Purchase of printer and laptop for CVET use under PR#2020-04-2119</t>
  </si>
  <si>
    <t>20CB-GSC-378 PURCHASE OF AGRICULTURAL SUPPLIES</t>
  </si>
  <si>
    <t>PR 1-20-06-0748, FOR USE OF THE CITY GOV'T OF SAN CARLOS CITY.</t>
  </si>
  <si>
    <t>Supply of Materials, Labor &amp; Equipment for the Drilling of Potable Water Supply for the Municipal Building</t>
  </si>
  <si>
    <t>To support the procurement of Thirty three (33) ea Bearing NLG (LH) with PN: 8790-206 and 2 other L/I for use in the Unscheduled Maintenance of NC-212i Aircraft with Nr 2119.</t>
  </si>
  <si>
    <t>Installation of Sliding Window with Screen and Repair of Roofing at SB Building</t>
  </si>
  <si>
    <t>Purchase of Digging Tools for Road Rehabilitation of Farthest Barangays of Malapatan</t>
  </si>
  <si>
    <t>Continuation of Rehab of St. Agustin Road</t>
  </si>
  <si>
    <t>Improvement of the Luis Hora Gym</t>
  </si>
  <si>
    <t>Various Hardware Materials for the Fabrication of Sanitation Station</t>
  </si>
  <si>
    <t>EBMS -PM &amp; CALIBRATION OF BIOSAFETY CABINET (2ND POSTING)</t>
  </si>
  <si>
    <t>RB2020-06-213 Certificate for Day Care Recognition</t>
  </si>
  <si>
    <t>Drugs - Sodium Bicarbonate 1MEQ/ML 50ML (3rd Posting)</t>
  </si>
  <si>
    <t>Supply and Delivery of Various IT supplies and peripherals</t>
  </si>
  <si>
    <t>SUPPLY AND DELIVERY OF GENERAL PLANT EQUIPMENT FOR BURIAS (SAN PASCUAL DPP)</t>
  </si>
  <si>
    <t>20GID0021 - Supply and Delivery of Bituminous Asphalt Mix (Item 310) for use in the Maintenance of National Roads and Bridges within the District</t>
  </si>
  <si>
    <t>Supply and Delivery of Rice for Mini Grocery</t>
  </si>
  <si>
    <t>Procurement of Fuel and Oil</t>
  </si>
  <si>
    <t>20LC0157 Repair/Maintenance of DENR Building CENRO Office Building – New Corella, Brgy. Salvacion, Panabo City, (Brgy. Magdum, Tagum City), Davao del Norte</t>
  </si>
  <si>
    <t>CY 2020 QRF REPAIR &amp; REHABILITATION OF CL LOT 2 - Uson ES</t>
  </si>
  <si>
    <t>20KL0139 - Construction of Standard Two-Storey (4 Classrooms) School Building (9.5m x 23.00m)</t>
  </si>
  <si>
    <t>Supply, Delivery, Installation, Testing and Commissioning of 40 HP Submersible Pump and Motor complete appurtenances, discharge and column pipes</t>
  </si>
  <si>
    <t>Procurement BY LOT of Various Filters, Oil and Lubricants for Use of 79 Units Light and Heavy Equipment</t>
  </si>
  <si>
    <t>TANDUBUAY ELEMENTARY SCHOOL</t>
  </si>
  <si>
    <t>SUPPLY &amp; INSTALLATION OF STREET LIGHTS AT POBLACION, BALILA HIGHWAY ROAD AND P-3 &amp; P-5 BALILA (1ST BID)</t>
  </si>
  <si>
    <t>Office supplies and devices</t>
  </si>
  <si>
    <t>CONSTRUCTION OF POTABLE DEEPWELL WATER SUPPLY   PHASE II – MARKET SITE, SAN ISIDRO</t>
  </si>
  <si>
    <t>NP-SVP(A)-2020-005-MWC - Office Supplies</t>
  </si>
  <si>
    <t>Laptop for E-Learning</t>
  </si>
  <si>
    <t>Supplies and Feeds for Breeding Center for 3rd Quarter</t>
  </si>
  <si>
    <t>Improvement of all Senior High School admin offices layouts for health and safety measures of school personnel against Covid19.</t>
  </si>
  <si>
    <t>RFQ-TO PROVIDE LABORATORY SUPPLIES FOR THE OPERATION OF DABIOTECH -C2003 PROJECT.TRF-184-20-06-80</t>
  </si>
  <si>
    <t xml:space="preserve">20CG0190 - Local Program: Construction/ Repair/ Rehabilitation/ Improvement of Various Infrastructure including Local Projects – Local Roads And Bridges – Rehabilitation of Candelaria Dilapidated Box </t>
  </si>
  <si>
    <t>Supply of maintenance parts of CAT 3412E Marine Engine &amp; CAT 3054NA Marine Genset of DA-BFAR MCS 3005 Patrol Vessel</t>
  </si>
  <si>
    <t>Bid No. 20-003-A-Procurement of Construction Materials for the Rehabilitation of  Multipurpose Stage</t>
  </si>
  <si>
    <t>SUPPLY AND DELIVERY OF MATERIALS FOR THE REHABILITATION OF MULTI-PURPOSE HALL, BARANGAY 06 POBLACION, CATANAUAN, QUEZON</t>
  </si>
  <si>
    <t>20CG0188 - Local Infrastructure Program: MultiPurpose/ Facilities – Construction of Multi-Purpose Building (Covered Court) Brgy. Camuning, Mexico, Pampanga</t>
  </si>
  <si>
    <t>Purchase of materials for perimeter fence at Cagro, Maag Peñaplata, IGACOS under PR#2020-05-2405</t>
  </si>
  <si>
    <t>Purchase of Various Food Stuff for Underweight Children</t>
  </si>
  <si>
    <t>Supply and Delivery of One (1) lot Various Computer Toner/ Inks with Service Printer per PR# 2020-06-0324</t>
  </si>
  <si>
    <t>Training &amp; Consultancy Services for the Establishment of a Quality Management System (QMS) Certifiable to ISO 9001:2015 Standard for the City of San Pedro Laguna</t>
  </si>
  <si>
    <t>Quotation No. 20-06-0385- Vehicle Rental (5 Days) for the Pre-assessment on Synchronized Polio Epidemic Response, Rapid Coverage Assessment RCA (Bivalent) on July 6-10, 2020; Probable Itinerary: Zambo</t>
  </si>
  <si>
    <t>EBMS -TERMITE ELIMINATION SERVICES &amp; 1 OTHER (5TH POSTING)</t>
  </si>
  <si>
    <t>Supply/Delivery of Steel Cabinet for PAlimbang Campus</t>
  </si>
  <si>
    <t>Supply and Delivery of Furniture and Fixture (OM)</t>
  </si>
  <si>
    <t>Supplies for Kabuhayan Individual Starter Kits (DILEEP)-Ukay-Ukay Vending</t>
  </si>
  <si>
    <t>PROCUREMENT OF SODIUM ASCORBATE+ZINC VITAMINS</t>
  </si>
  <si>
    <t>Purchase of Filter Card for use in Maragondon Rural Health Unit</t>
  </si>
  <si>
    <t>PURCHASE OF TIRES (700R16/LUG 14 PLY) FOR RESCUE VEHICLES</t>
  </si>
  <si>
    <t>CY 2020 QRF REPAIR &amp; REHABILITATION OF CL LOT 3 - Acaban ES</t>
  </si>
  <si>
    <t>SUPPLY AND DELIVERY OF MATERIALS FOR THE OPERATIONS AND MAINTENANCE ACTIVITIES OF SAN PASCUAL (BURIAS) DPP</t>
  </si>
  <si>
    <t>Bid No.20-003-B -Supply of Lumber for the Rehabilitation of Multiprpose Stage</t>
  </si>
  <si>
    <t>20CG0192 - Local Infrastructure Program: Local Roads – Concreting of Local Road at Purok 7, San Jose, Mesulo, Arayat, Pampanga</t>
  </si>
  <si>
    <t xml:space="preserve">20LC0158 Repair/Maintenance of DPWH Building Various Buildings, Km. 48, Canocotan, Tagum City, Davao del Norte a.	MQC Building b.	MQC Laboratory c.	Tesda Training &amp; Assessment Center d.	Guard Quarter </t>
  </si>
  <si>
    <t xml:space="preserve">20CG0189 - Construction/ Repair/ Rehabilitation/ Improvement of Various Infrastructure including Local Projects: Local Roads and Bridges – Local Roads – Rehabilitation of Sto. Niño Barangay Road, San </t>
  </si>
  <si>
    <t>Fuel for MADAC Operation</t>
  </si>
  <si>
    <t>Construction Materials and Supplies</t>
  </si>
  <si>
    <t>SUPPLY, DELIVERY AND INSTALLATION OF CCTV CAMERAS ALONG BARANGAY ROAD OF SAN GABRIEL</t>
  </si>
  <si>
    <t>Procurement of 10 pcs Air Tank Compressor use in the conduct of resource assessment and underwater crime scene investigation</t>
  </si>
  <si>
    <t>SUPPLY AND DELIVERY OF LABOR AND MATERIALS FOR THE PROJECT PARTIAL CONSTRUCTION OF SAN ANTONIO PALA MULTI PURPOSE HALL, BARANGAY SAN ANTONIO PALA, CATANAUAN, QUEZON</t>
  </si>
  <si>
    <t>Purchase of laptop for CMO-ADMIN under PR#2020-06-2490</t>
  </si>
  <si>
    <t>20LC0133 Construction of Road, Brgy. Canocotan, Tagum City, Davao del Norte</t>
  </si>
  <si>
    <t>CONSTRUCTION OF MULTI-PURPOSE PAVEMENT AND VARIOUS PROJECTS @ DIFFERENT BARANGAYS</t>
  </si>
  <si>
    <t>Purchase of one (1) unit Air-Conditioner for use in the Municipal Agriculture Office, LGU, Bato, Leyte</t>
  </si>
  <si>
    <t>Construction of GSO Warehouse,San Isidro Sur, Luna, Apayao</t>
  </si>
  <si>
    <t>Repair &amp; Maintenance Office Equipment (OJ1-PhP106,829.00)</t>
  </si>
  <si>
    <t>Rehabilitation of Brgy. Road</t>
  </si>
  <si>
    <t>Meals, Snacks and Accommodation for Cost benefit analysis of climate smart (PR 473)</t>
  </si>
  <si>
    <t>Supply of maintenance parts of CAT 3412E Marine Engine &amp; CAT 3054NA Marine Genset of DA-BFAR MCS 3001 Patrol Vessel</t>
  </si>
  <si>
    <t>SUPPLY AND DELIVERY OF NEWS LETTER</t>
  </si>
  <si>
    <t>Purchase of One (1) Unit Motorcycle for Treasurer's Office of this municipality</t>
  </si>
  <si>
    <t>Quotation No. 20-06-0387- Vehicle Rental (5 Days) for the Pre-assessment on Synchronized Polio Epidemic Response, Rapid Coverage Assessment RCA (Bivalent) on July 6-10, 2020; Probable Itinerary: Zambo</t>
  </si>
  <si>
    <t>SUPPLY AND DELIVERY OF ONE (1) UNIT DB COMPRESSOR FOR RESPONSE OPERATIONS - 2ND BIDDING</t>
  </si>
  <si>
    <t>Purchase of 1 unit Mirrorless Camera (MMO)</t>
  </si>
  <si>
    <t>Purchase of construction materials and supplies for R/M Office bldg.(NBI Office @ Babak Dist.) UNDER PR#2020-03-1801</t>
  </si>
  <si>
    <t>Cell Cards for Communication for MADAC Operation</t>
  </si>
  <si>
    <t>20LC0134 Concreting of Brgy. Nueva Fuerza Road Leading to FIA Park and Recreation, Tagum City, Davao del Norte</t>
  </si>
  <si>
    <t>Supply of Labor &amp; Materials in the Renovation OVCAF Conference Room, 2/F Administration Building...</t>
  </si>
  <si>
    <t>meals and accommodation for Consultation-Workshop for IP concern on 4Ps implementation</t>
  </si>
  <si>
    <t>SUPPLY AND DELIVERY OF VARIOUS IT EQUIPMENT FOR THE PROVINCIAL EPIDEMIOLOGY AND SURVEILLANCE UNIT OF CAVITE</t>
  </si>
  <si>
    <t>PROPOSED BARANGAY HALL EXTENSION OF BARANGAY MANGHANOY</t>
  </si>
  <si>
    <t>Vehicle Rentals- PRIME Data Collection (PR 283)</t>
  </si>
  <si>
    <t>Purchase of construction materials and supplies for improv't. of water system @ nature's park, Bandera, Kaputian under PR#2020-02-1448</t>
  </si>
  <si>
    <t>Vegetable Seeds, Fertilizers and Seedling Tray for LGU-Talibon Livelihood Project</t>
  </si>
  <si>
    <t>RFQ-TO PROVIDE I.T SUPPLIES AND OTHER MATERIALS FOR THE OPERATION OF SHS-MIS.IGF-164-20-06-130</t>
  </si>
  <si>
    <t>CY 2020 QRF REPAIR &amp; REHABILITATION OF CL LOT 4 - Ungale I ES</t>
  </si>
  <si>
    <t>ROAD CONCRETING AT MUNICIPAL MARKET EXTENSION, POBLACION, LANTAPAN (1ST BID)</t>
  </si>
  <si>
    <t>3 Construction Projects (B-92-2020)</t>
  </si>
  <si>
    <t>PIKCOT-002020-0016 (IMPROVEMENT OF BALUNGIS TO BALABAK FMR PHASE II)</t>
  </si>
  <si>
    <t>Bid No. 20-002-B -Procurement of Diesel &amp; Gasoline for the Rehabilitation of Multiprpose Pavement</t>
  </si>
  <si>
    <t>Purchase of various agricultural supplies for use in the Municipal Agriculture Office, LGU, Bato, Leyte</t>
  </si>
  <si>
    <t>Supply of Labor &amp; Materials in the Renovation of CSM Library, 3/F CSM Building</t>
  </si>
  <si>
    <t>Supply and Delivery of Tires</t>
  </si>
  <si>
    <t>Bid No. 20-002-A -Procurement of Diesel for the Rehabilitation of Multiprpose Pavement</t>
  </si>
  <si>
    <t>Transformer for the use at Multi-Purpose Hall</t>
  </si>
  <si>
    <t>Quotation No. 20-06-0386- Vehicle Rental (5 Days) for the Pre-assessment on Synchronized Polio Epidemic Response, Rapid Coverage Assessment RCA (Bivalent) on July 6-10, 2020; Probable Itinerary: Zambo</t>
  </si>
  <si>
    <t>VARIOUS PROJECTS AT SSS BRANCH OFFICES</t>
  </si>
  <si>
    <t>Top Glass with Hole, Tempered Bronze</t>
  </si>
  <si>
    <t>R/M Building and other structure under PR#2020-05-2378</t>
  </si>
  <si>
    <t>Request for Quotation for the Provision of Advertising Agency Services  for the School on the Air on Upland Rice Production and Management at Bacolod, Lanao del Norte from August-October 2020</t>
  </si>
  <si>
    <t>LOT Procurement of MEDICAL SUPPLIES for the Use of DOPMC</t>
  </si>
  <si>
    <t>NP-SVP(A)-2020-003-REU - Procurement of Van Rental Service for the Mindanao East Cluster - Regulatory Enforcement Unit</t>
  </si>
  <si>
    <t>20CSCE006 - CONSULTING SERVICES FOR THE CONDUCT OF SOIL/GEOTECHNICAL INVESTIGATION FOR THE PROPOSED CONSTRUCTION/REHABILITATION/REPLACEMENT OF VARIOUS BRIDGES PROJECTS</t>
  </si>
  <si>
    <t>Procurement of Internet - Lagawe Campus</t>
  </si>
  <si>
    <t>REPAIR OF THE ABC BUILDING</t>
  </si>
  <si>
    <t>SUPPLY AND DELIVERY OF BUNTIS FAIR KITS - TWO FAILED BIDDING</t>
  </si>
  <si>
    <t>CONSTRUCTION OF LINE CANAL (IBABA SECTOR)</t>
  </si>
  <si>
    <t>2 pail Oil 40 and 2 pail Oil 30 for Road Grader and Sino Truck</t>
  </si>
  <si>
    <t>20CG0191 - Local Infrastructure Program: Local Roads – Concreting of Brgy. Road Tabuan, Arayat, Pampanga</t>
  </si>
  <si>
    <t>Purchase of Purified Drinking Water for used in the Office of the Mayor, PNP, OSCA, Agriculture Office and DSWD Office in LGU Maragondon, Cavite</t>
  </si>
  <si>
    <t>INSTALLATION OF 12-UNITS SOLAR STREET LIGHT AND 3-UNITS STREET LIGHT AT BARANGAY #20, CARIDAD, CAVITE CITY</t>
  </si>
  <si>
    <t>PROCUREMENT OF THREE (3) UNITS AIR CONDITION</t>
  </si>
  <si>
    <t>Procurement of Meals and Snacks</t>
  </si>
  <si>
    <t>SUPPLY AND DELIVERY OF MATERIALS AND SUPPLIES FOR THE  INSTALLATION OF SPORTS FACILITIES</t>
  </si>
  <si>
    <t>Procurement of Tarpaulin Lot 1</t>
  </si>
  <si>
    <t>Telephone Mobile Expenses (OJ1-128,400.00)</t>
  </si>
  <si>
    <t>Supply and delivery of facemask and gloves (PR 469)</t>
  </si>
  <si>
    <t>AIRCONDITIONER (SERVER ROOM)  GSD-J-20-288</t>
  </si>
  <si>
    <t>Supply &amp; Delivery of Other Supplies for the use of Operation of Garbage Collection (Uniform)</t>
  </si>
  <si>
    <t>Bid No.20-002-C-Procurement of Construction Materials for the Rehabilitation of  Multiprpose Pavement</t>
  </si>
  <si>
    <t>Supply &amp; Delivery of ID Card Printer &amp; Accessories, Office of the Municipal Mayor, Buenavista, Quezon</t>
  </si>
  <si>
    <t>Provision of labor, materials, equipment and other incidentals needed for the Rehab &amp; Enhancement of Veterinary Laboratory at  DA-INREC,Dingras, Ilocos Norte</t>
  </si>
  <si>
    <t>Quotation No. 20-06-0388- Vehicle Rental (5 Days) for the Pre-assessment on Synchronized Polio Epidemic Response, Rapid Coverage Assessment RCA (Bivalent) on July 6-10, 2020; Probable Itinerary: Zambo</t>
  </si>
  <si>
    <t>Janitorial Supplies 2nd Quarter</t>
  </si>
  <si>
    <t>CY 2020 QRF REPAIR &amp; REHABILITATION OF CL LOT 5 -Larrazabal ES</t>
  </si>
  <si>
    <t>Purchase of Wooden Frame for A4 size Certificates and Brass Medals (15svp)</t>
  </si>
  <si>
    <t>Handheld Radio for Civil Security Unit Personnel</t>
  </si>
  <si>
    <t>SUPPLY AND DELIVERY OF 68 UNITS TRIBIKE WITH ACCESSORIES - 2ND BIDDING</t>
  </si>
  <si>
    <t>Procurement of Rice</t>
  </si>
  <si>
    <t>1 lot Acrylic Divider</t>
  </si>
  <si>
    <t>Meals, Snacks and Accommodation for CRVA-CRAC-CBA Kalinga (PR 474)</t>
  </si>
  <si>
    <t>Rehabilitation of youth building @ Sitio Pasig Peñaplata, IGACOS UNDER PR#2020-03-1590</t>
  </si>
  <si>
    <t>CY 2020 QRF REPAIR &amp; REHABILITATION OF CL LOT 6 -Calumpang ES</t>
  </si>
  <si>
    <t>SUPPLY AND DELIVERY OF GROCERY ITEMS AND VARIOUS SUPPLIES FOR SUPPLEMENTAL FEEDING FOR PREGNANT WOMEN</t>
  </si>
  <si>
    <t>PROCUREMENT OF MEDICAL AND LABORATORY SUPPLIES</t>
  </si>
  <si>
    <t>Water Treatment Facility for Mangansag</t>
  </si>
  <si>
    <t>R/M of office building (CPPO) @ District Hall, Babak, IGACOS under PR#2020-03-1591</t>
  </si>
  <si>
    <t>Supply of Materials/ Parts for the PMS and COBS of PHILFLEET Vessels (Auxiliary Machineries)</t>
  </si>
  <si>
    <t>Quotation No. 20-06-0381- Vehicle Rental (5 Days) for the Pre-assessment on Synchronized Polio Epidemic Response, Rapid Coverage Assessment RCA (Bivalent) on July 6-10, 2020; Probable Itinerary: Zambo</t>
  </si>
  <si>
    <t>Construction of Slope Protection at Central MP Hall Compound</t>
  </si>
  <si>
    <t>Multi-functional Copier-Printer-Scanner for Mayor's Office</t>
  </si>
  <si>
    <t>SUPPLY AND DELIVERY OF MATERIALS AND SUPPLIES FOR THE  ESTABLISHMENT OF SANKTWARYO PARK/MANGROVE WALKWAYS AND COTTAGE</t>
  </si>
  <si>
    <t>SUPPLY AND DELIVERY OF GROCERY ITEMS AND VARIOUS SUPPLIES FOR RECOVERY FEEDING FOR ALL MALNOURISHED CHILDREN DURING PANDEMIC CRISIS</t>
  </si>
  <si>
    <t>CONDUCT OF THE 2020 NATIONWIDE DETAILED SURVEY FOR SSS</t>
  </si>
  <si>
    <t>Repair &amp; Maintenance ICT Equipment (OJ1-P145,907.00)</t>
  </si>
  <si>
    <t>Procurement of Training Materials for the conduct of Psychological First Aid (PFA) Training</t>
  </si>
  <si>
    <t>Various Supplies for Kabuhayan Individual Starter Kits (DILEEP)-Gardening</t>
  </si>
  <si>
    <t>Supply &amp; Delivery of Office Supplies Lot 2</t>
  </si>
  <si>
    <t>2020-06-312 CANVASS ON RADIOLOGY SUPPLIES</t>
  </si>
  <si>
    <t>Rehabilitation of Basketball Court</t>
  </si>
  <si>
    <t>P.R. No. 20-184-044 "Materials for the Improvement of the Criminology Laboratory"</t>
  </si>
  <si>
    <t>1 pc 4x4 Membrane Keypad...etc</t>
  </si>
  <si>
    <t>Meals and Snacks for the Fourth Level Training on 2020 Census of Population and Housing at the Municipalities of Kalayaan and Paete (Clustered)</t>
  </si>
  <si>
    <t>IMPROVEMENT ALONG PAKAWAN-GAWA FT W/ RAILINGS &amp; FOOTBRIDGE</t>
  </si>
  <si>
    <t>SUPPLY AND DELIVERY OF GARBAGE BINS FOR WASTE SEGREGATION / DISPOSAL PROGRAM - 2ND BIDDING</t>
  </si>
  <si>
    <t>Supply and Delivery of Common Used Items</t>
  </si>
  <si>
    <t>Construction of Powerhouse with Transformer Pad</t>
  </si>
  <si>
    <t>Supply &amp; Delivery of Oven for Uraro Cookies Production, Office of the Municipal Mayor, Buenavista, Quezon</t>
  </si>
  <si>
    <t>Rehabilitation, Modification and Improvement of Villamor Campus Covered Court</t>
  </si>
  <si>
    <t>For Comfort Room @ PMO NCR South Canteen</t>
  </si>
  <si>
    <t>Supply and Delivery of Various Office Supplies for the Office of the Municipal Treasurer</t>
  </si>
  <si>
    <t>VIDEO PRODUCTION OF DA-RFO 5 BANNER PROGRAM FOR INFORMATION ADVOCACY/CAMPAIGN</t>
  </si>
  <si>
    <t xml:space="preserve">Opening/Construction/Improvement/Rehabilitation of Dagupan-Salvacion-San Mariano-San Jose-Lydia-Doña Loreta-Capannikkian Provincial Road (Dagupan-Salvacion Section) Limits : 002+275 to 003+800, Luna, </t>
  </si>
  <si>
    <t>Various Supplies for Kabuhayan Individual Starter Kits (DILEEP)-NegoCart(Kwek-Kwek, Isaw, Buttered Chicken)</t>
  </si>
  <si>
    <t>Office Supplies Expense-OJ1-P95,863.00</t>
  </si>
  <si>
    <t>PIKCOT-002020-0017 (REHABILITATION AND IMPROVEMENT OF PIKIT MAIN DRAINAGE CANAL)</t>
  </si>
  <si>
    <t>PROCUREMENT OF OFFICE SUPPLIES &amp; OTHER SUPPLIES</t>
  </si>
  <si>
    <t>Improvement of Batbato Water System</t>
  </si>
  <si>
    <t>Vehicle Rentals (PR 474)</t>
  </si>
  <si>
    <t>Bid No. 20-002-D-Procurement of Lumber for the Rehabilitation of Multiprpose Pavement</t>
  </si>
  <si>
    <t>Procurement of Supplies and Materials for Printing Health Cards for Border Control Check Points and Printing Attendance for the Repatriates in the Municipality of Kananga</t>
  </si>
  <si>
    <t>CONSTRUCTION OF POTABLE WATER SYSTEM (PHASE 2) AT BASAC &amp; KIBANGAY (1ST BID)</t>
  </si>
  <si>
    <t>Construction of 1 Unit Comfort Room without Septic Tank</t>
  </si>
  <si>
    <t>PURCHASE OF ENVIRONMENT MONTH JUNE 2020 T-SHIRT</t>
  </si>
  <si>
    <t>Purchase and Delivery of Prepaid Cellular Cards</t>
  </si>
  <si>
    <t>Supply and Delivery of Ink for Board Secretary Office</t>
  </si>
  <si>
    <t>Meals, Snacks and Accommodation CRVA-CRAC-CBA Mountain Province (PR 474)</t>
  </si>
  <si>
    <t>PROVISION OF LABOR, MATERIALS, EQUIPMENT AND OTHER INCIDENTALS NEEDED FOR THE IMPROVEMENT OF BUBUOS CAPURICTAN DIVERSION DAM (DD) AT BRGY. BUBUOS, SOLSONA, ILOCOS NORTE</t>
  </si>
  <si>
    <t>MISC. - REVISED BETA EXAMINATION &amp; 1 OTHER (2nd POSTING)</t>
  </si>
  <si>
    <t>SUPPLY AND DELIVERY OF MATERIALS AND SUPPLIES FOR THE  IMPROVEMENT OF OVERLAND TERMINAL (TRICYCLE PARKING AREA)</t>
  </si>
  <si>
    <t>PURCHASE OF ONE (1) UNIT BRAND NEW 6 WHEELERS GARBAGE COMPACTOR</t>
  </si>
  <si>
    <t>Supply and delivery of 1 unit desktop computer i5</t>
  </si>
  <si>
    <t>MAILING AND COURIER SERVICES FOR BIR, RR12 BACOLOD CITY</t>
  </si>
  <si>
    <t>P.R. No. 20-101-043 "Materials to be used in the Ampitheater Aircondition (Replacement of PCB Board"</t>
  </si>
  <si>
    <t>Sledge hammer (20-06-281GSO)</t>
  </si>
  <si>
    <t>Supply and Delivery of Rice</t>
  </si>
  <si>
    <t>Purchase of BRAND NEW GARBAGE COMPACTOR TRUCK to collect solid waste and transport it to  a solid waste treatment facility,  for the safe and efficient collection of waste, in compliance, Silay City.</t>
  </si>
  <si>
    <t>Supply and Delivery of Mechanical Fittings and Plumbing Materials for the 2000Meters Pipeline Extension</t>
  </si>
  <si>
    <t>REPAIR OF DILAPIDATED ROOF AND ENTIRE AREA OF CPAC EXTENSION OFFICE</t>
  </si>
  <si>
    <t>CY 2020 QRF REPAIR &amp; REHABILITATION OF CL LOT 7 -Kawayan NHS</t>
  </si>
  <si>
    <t>Supply of Labor and Materials in the Renovation of CR and Pantry at Registrar's Office</t>
  </si>
  <si>
    <t>PROCUREMENT OF EXCAVATION, DEMOLITION AND CLEARING OF CONCRETE PAVEMENT ROAD FOR THE REPAIR OF DISTRIBUTION PIPELINE LEAKING</t>
  </si>
  <si>
    <t>IMPROVEMENT OF OLD EXISTING BARANGAY MULTI-PURPOSE HALL</t>
  </si>
  <si>
    <t>ITB-B14-2020</t>
  </si>
  <si>
    <t>Supply and Delivery of Six (6) Units of Service Vehicle, this city</t>
  </si>
  <si>
    <t>Purchase of Two (2) Unit of Laptop for use in Electronic reporting in the Accounting and Budget Office of LGU- Maragondon, Cavite</t>
  </si>
  <si>
    <t>Accesories of Isolation Room</t>
  </si>
  <si>
    <t>Labor and Materials for the Construction of Toilet for Disable (Female Rest Room with PWD Railings) at Municipal Hall San Nicolas Poblacion, Concepcion, Tarlac</t>
  </si>
  <si>
    <t>Supply and Delivery of Airconditioning Unit for the Municipal Circuit Trial Court</t>
  </si>
  <si>
    <t>SUPPLY AND DELIVERY OF GPE ITEMS FOR THE OPERATION OF NARO DPP</t>
  </si>
  <si>
    <t>Supply/Delivery &amp; Reproduction of Distance Learning Materials, DepEd Buenavista District I &amp; II, Buenavista, Quezon</t>
  </si>
  <si>
    <t>Meals, Snacks and Accommodation CRVA-CRAC-CBA Ifugao (PR 474)</t>
  </si>
  <si>
    <t>Supply and Delivery of Medicine for MHO, this Municipality of Mabini, Davao De Oro</t>
  </si>
  <si>
    <t>Procurement of Drugs and Medicines for the use of RHU and FP Center</t>
  </si>
  <si>
    <t>Improvement of Multi Purpose Hall</t>
  </si>
  <si>
    <t>Purchase of 7 Loyalty Rings</t>
  </si>
  <si>
    <t>LABOR AND MATERIALS FOR THE REPAIR OF 4-UNITS GOAT HOUSE AT MBS, ASID MASBATE</t>
  </si>
  <si>
    <t>75 pcs Marine Plywood, 3/4'' thk x 4' x 8'</t>
  </si>
  <si>
    <t>Procurement of Vehicle Car Accessories  RFQ No. 440</t>
  </si>
  <si>
    <t>Purchase of Rice for Brgy. Frontliners Food Supplies</t>
  </si>
  <si>
    <t>Construction of water tank at drop in center-Licup UNDER PR#2020-02-1455</t>
  </si>
  <si>
    <t>SUPPLY AND DELIVERY OF MATERIALS AND SUPPLIES FOR THE  IMPROVEMENT OF PUBLIC MARKET</t>
  </si>
  <si>
    <t>Procurement of Workbooks for Day Care Children</t>
  </si>
  <si>
    <t>Proposed Replacement of Roof and Gutter of Building – B</t>
  </si>
  <si>
    <t>Supply &amp; Delivery of Materials for the Construction of Tagnanan, E/S Multi-Purpose Building Tagnanan, Mabini, Davao De Oro</t>
  </si>
  <si>
    <t>SUPPLY AND DELIVERY OF GPE ITEMS FOR NORTHERN PALAWAN T/L &amp; SS</t>
  </si>
  <si>
    <t>service provider RP Training on R.A. 9184</t>
  </si>
  <si>
    <t>Purchase of materials for the Repair and Maintenance of Water Supply @ Brgy. Pangao, Ibaan, Batangas</t>
  </si>
  <si>
    <t>Supply and Delivery of Materials for Improvement/Upgrading of  New Academic Building (2nd Floor)  in MinSCAT Calapan Campus</t>
  </si>
  <si>
    <t>Rehabilitation of Sea Wall</t>
  </si>
  <si>
    <t>Office Supplies Requirements</t>
  </si>
  <si>
    <t>SUPPLY OF LABOR AND MATERIALS FOR THE CONSTRUCTION OF ATM BOOTH ( LGU SAN DIONISIO )</t>
  </si>
  <si>
    <t>Supply &amp; Delivery of Diesel Fuel &amp; Gasoline, Office of the Municipal Mayor, Buenavista, Quezon</t>
  </si>
  <si>
    <t>Repair of Mangcoybot Hanging Footbridge (Widening)</t>
  </si>
  <si>
    <t>Supply &amp; Delivery Of Training Supplies and Materials, (O/TNPM), BNS</t>
  </si>
  <si>
    <t>Supply and Delivery of heavy equipment (3-units 6 wheeler dumptruck, 1 unit single drum vibratory roller and 1 unit motor grader, this municipality</t>
  </si>
  <si>
    <t>50 pcs DSB 12mm dia x 6m...etc</t>
  </si>
  <si>
    <t>Purchase of office supplies</t>
  </si>
  <si>
    <t>Supply and Delivery of Information Technology Equipment PR/RFQ# 2020-06-120</t>
  </si>
  <si>
    <t>Procurement for the Airconditioning Unit to be used at the CDRRMO</t>
  </si>
  <si>
    <t>VEHICLE RENTAL IN SUPPORT TO THE IMPLEMENTATION OF KADIWA NI ANI AT KITA AND PRICE MONITORING ACTIVITIES</t>
  </si>
  <si>
    <t>Regravelling Barangay Road</t>
  </si>
  <si>
    <t>Procurement of Goods in Support to the Harvest Festival under RICE Program 2019 Fund</t>
  </si>
  <si>
    <t>SUPPLY AND DELIVERY OF LABORATORY SHAKER (ORBITAL SHAKER)</t>
  </si>
  <si>
    <t>Upgrading of NART Building (CY 2020)</t>
  </si>
  <si>
    <t>PB-I-2020-05-616 "Procurement of Civil Works for the Construction of 2 Units PNP Garage for Patrol Cars Phase 1" (Php. 1,998,247.49)</t>
  </si>
  <si>
    <t>Repair &amp; Maintenance of Buildings (OTCE-PhP60,201.75)</t>
  </si>
  <si>
    <t>SUPPLY AND DELIVERY OF OR TABLE (ELECTRO HYDRAULIC) (2 UNITS)</t>
  </si>
  <si>
    <t>Construction of Break Water</t>
  </si>
  <si>
    <t>Request for Quotation Under Emergency Cases for the Supply and Delivery of Trucking Services for the Intra and Inter-Provincial Transfer of Grains in NFA Occidental Mindoro and Mainland Palawan for th</t>
  </si>
  <si>
    <t>Supply and Delivery of LED Road Lights for the use of City Engineer’s Office</t>
  </si>
  <si>
    <t>Meals, Snacks and Accommodation CRVA-CRAC-CBA Apayao (PR 474)</t>
  </si>
  <si>
    <t>Supply &amp; Delivery of Drugs and Medicines, (MNH), BNS</t>
  </si>
  <si>
    <t>Supply &amp; Delivery of Medical Equipment</t>
  </si>
  <si>
    <t>350 pcs 9W Led Bulb...etc</t>
  </si>
  <si>
    <t>20EI0182 - Construction of Evacuation Center, Barangay San Juan,  Bongabong, Oriental Mindoro_063</t>
  </si>
  <si>
    <t>10 pcs Universal Diamon Cutting Disc, 4-1/2'' dia.</t>
  </si>
  <si>
    <t>20EI0181 - Construction of Evacuation Center, Barangay Poblacion, Bulalacao, Oriental Mindoro_062</t>
  </si>
  <si>
    <t>IB NO. 2020-06-44 Procurement of Infant Radiant Warmer with Resuscitator</t>
  </si>
  <si>
    <t>INVITATION TO BID FOR THE SUPPLY AND DELIVERY OF VARIOUS  INFORMATION AND COMMUNICATION TECHNOLOGY EQUIPMENT FOR THE OFFICE OF THE CITY MAYOR, OROQUIETA CITY</t>
  </si>
  <si>
    <t>IB NO. 2020-06-45 Procurement of Flat Panel Detector (Wireless)</t>
  </si>
  <si>
    <t>Supply &amp; Delivery of Construction Materials for the Construction of Material Recovery Facility, Brgy. Caraudan, Janiuay, Iloilo</t>
  </si>
  <si>
    <t>PR No. 6.038 TPB-PR.2020.06.195SERVICES OF VIRTUAL PLATFORM DEVELOPER FOR VIRTUAL PHITEX 2020</t>
  </si>
  <si>
    <t>PROCUREMENT OF TONERS FOR BROTHER LASER PRINTER MODEL HL-L8360CDW</t>
  </si>
  <si>
    <t>EDUCATIONAL SUPPLIES AND MATERIALS</t>
  </si>
  <si>
    <t>Supply &amp; Delivery of Grocery Items, BNS</t>
  </si>
  <si>
    <t>Supply and Delivery of Glass Door and Windows for the use of City Engineer’s Office</t>
  </si>
  <si>
    <t>meals and accomodation for Training on R.A. 9184</t>
  </si>
  <si>
    <t>INVITATION TO BID FOR THE RENOVATION/IMPROVEMENT OF BARANGAY HALL (PHASE 1),  BARANGAY DULAPO, OROQUIETA CITY (SECOND NOTICE)</t>
  </si>
  <si>
    <t>12 units Desktop Computer....etc</t>
  </si>
  <si>
    <t>Reproduction of Modules 2nd Posting</t>
  </si>
  <si>
    <t>50 Tubes Waterproofing roof sealant, 250g</t>
  </si>
  <si>
    <t>One (1) unit pakyaw contract for the construction of Tagnanan E/S Multi-Purpose Building, Tagnanan, Mabini, Davao De Oro</t>
  </si>
  <si>
    <t>1 unit Clevenger Trap...etc</t>
  </si>
  <si>
    <t>PB-I-2020-05-618: "Procurement of Civil Works for the Construction of Slope Protection at Estante-Dampalan" (Php. 2,279,023.16)</t>
  </si>
  <si>
    <t>Supply and Delivery of Laboratory Equipment for the College of Engineering</t>
  </si>
  <si>
    <t>1 bot Hexane, anyhydrous...etc</t>
  </si>
  <si>
    <t>Supply &amp; Delivery of Other Supplies and Materials, (TNCEO), HPN</t>
  </si>
  <si>
    <t>PURCHASE OF OFFICE SUPPLIES AND CONSUMABLES</t>
  </si>
  <si>
    <t>1 year Backup solution software</t>
  </si>
  <si>
    <t>Supply, delivery and Installation of Airconditioning Unit (Split-Type, Inverter)</t>
  </si>
  <si>
    <t>20DE0125 (Re-advertised) Local Infrastructure Program – Construction of the Lobo Municipal Hall Phase 1, Lobo, Batangas</t>
  </si>
  <si>
    <t>SH 036-20: IT Supplies (2nd Quarter FY 2020)</t>
  </si>
  <si>
    <t>1 unit Copier Machine..</t>
  </si>
  <si>
    <t>Supply &amp;Delivery of Materials for the Construction of Electric Transformer Pad and Installation of Electrical Lines, Municipal Building, Janiuay, Iloilo</t>
  </si>
  <si>
    <t>Supply &amp; Delivery of Military Supplies (Uniform), (O/MCPO), HPN</t>
  </si>
  <si>
    <t>Procurement of One (1) Lot Generator Set and Housing System</t>
  </si>
  <si>
    <t>PB-I-2020-05-619: "Procurement of Civil Works for the Construction of Access Road and Parking Area" (Php. 4,999,998.41)</t>
  </si>
  <si>
    <t>Supply and Installation of Window Blinds</t>
  </si>
  <si>
    <t>Purchase of Gasoline</t>
  </si>
  <si>
    <t>Construction o f 3 Units Jetmatic pump</t>
  </si>
  <si>
    <t>Hiring of backhoe for rehabilitation / backfilling of cell in Sanitary Landfill</t>
  </si>
  <si>
    <t>Supply &amp; Delivery of Grocery Items, (O/TNJAG), BNS</t>
  </si>
  <si>
    <t>RAPID NPCO ICT EQUIPMENTS</t>
  </si>
  <si>
    <t>Improvement of Municipal Cemetery (Road Concreting), Janiuay Municipal Cemetery, Janiuay, Iloilo</t>
  </si>
  <si>
    <t>RFQ-For Rentals of Backhoe</t>
  </si>
  <si>
    <t>Pakyaw Services of one (1) Project Assistant III for 6 months to be hired  as Technical Staff to monitor on the health concerns of Livestock and Poultry Animals in DA-PREC Sual, Pangasinan</t>
  </si>
  <si>
    <t>Meals and Snacks for the Fourth Level Training on 2020 Census of Population and Housing at the Municipalities of Mabitac and Santa Maria (Clustered)</t>
  </si>
  <si>
    <t>Supply &amp; Delivery of Grocery Items, (O/TNPM), BNS</t>
  </si>
  <si>
    <t>Supply and Delivery of General Merchandise PR/RFQ# 2020-06-114</t>
  </si>
  <si>
    <t>Supply &amp; Delivery of Office Building Supplies and Materials, BNS</t>
  </si>
  <si>
    <t>Printing of Forms for Various Offices</t>
  </si>
  <si>
    <t>20LB0206 - Construction of Pedestrian Overpass along Davao City Diversion Road, Davao City</t>
  </si>
  <si>
    <t>7 UNITS, DESK PEN - DOUBLE W/ MARBLE BASE</t>
  </si>
  <si>
    <t>20LB0188 -Rehabilitation/Reconstruction/Upgrading of Damaged Paved Roads (Asphalt to Concrete) along Davao-Bukidnon Rd - K1698+(-629) - K1701+200</t>
  </si>
  <si>
    <t>Rehabilitation of Comfort Rooms at BLSB Type II Bldg.</t>
  </si>
  <si>
    <t>IB NO. 2020-06-46 INSTALLATION AND COMMISSIONING OF OPERATING TABLE</t>
  </si>
  <si>
    <t>Materials for use in the Repair of Streetlights at Brgy. Balite, Calapan City</t>
  </si>
  <si>
    <t>1 unit Desktop Computer...etc</t>
  </si>
  <si>
    <t>Supply and Delivery of Materials and Labor for the Preventive Maintenance of Generator Set at Busuanga Airport</t>
  </si>
  <si>
    <t>Supply and Installation of Split Type Floor Standing 5HP Inverter Airconditioning Unit at Pass Control Office, Terminal 1 (ris 20-83-064)</t>
  </si>
  <si>
    <t>Supply and Delivery of Various Ammunitions</t>
  </si>
  <si>
    <t>20LB0256 - Reconstruction to Concrete Pavement along Roxas Avenue - Padre Gomez St. - Palma Gil St. - Camus St. - Legaspi St., Davao City</t>
  </si>
  <si>
    <t>Invitation To Bid for Reproduction of Test Papers 1st &amp; 2nd Quarter 2020 of VES</t>
  </si>
  <si>
    <t>20LB0182 - Construction of Drainage along Daang Maharlika (MN) - K1510 + 201, K1510 + 625</t>
  </si>
  <si>
    <t>SUPPLY AND DELIVERY OF 2 UNITS 55" TELEVISION, LED</t>
  </si>
  <si>
    <t>FABRICATION/INSTALLATION OF AIR-CON BRACKETS, RE-PAINTING AND CEILING MODIFICATION OF FACULTY ROOMS - GRADES 7 &amp; 8</t>
  </si>
  <si>
    <t>DOT- NCR QUARTERLY ONLINE LEARNING COURSES  COMPLEMENTED BY AN INTEGRATED MARKETING COMMUNICATIONS AND  CONTENT PRODUCTION MANPOWER SERVICES</t>
  </si>
  <si>
    <t>IB NO. 2020-06-47 Procurement of High Definition  Endoscopy System</t>
  </si>
  <si>
    <t>PROCUREMENT AND DELIVERY OF ICT AND OFFICE EQUIPMENT</t>
  </si>
  <si>
    <t>Repair/Rehabilitation of Comfort Rooms At Ground Floor Charlie Del Rosario, A. Mabini Campus, Sta. Mesa, Manila</t>
  </si>
  <si>
    <t>Office Services 2020</t>
  </si>
  <si>
    <t>ITB 20-0061-A - 1 lot Job Order, Disassembly, Assembly &amp; Commissioning of EX 04 Crawler Excavator, Hitachi ZAXIS 200-3F.</t>
  </si>
  <si>
    <t>FABRICATION OF ALUMINUM WITH GLASS PARTITION AND MIRRORS</t>
  </si>
  <si>
    <t>RFQ for the Procurement of Office Equipment (Photocopier)</t>
  </si>
  <si>
    <t>20LB0252 - Construction of Revetment Along Davao River, Sta. 2+680, Sta. 2+687 to Sta. 2+782, Sta. 2+850, Davao City</t>
  </si>
  <si>
    <t>PURCHASE OF LABORATORY AND RADIOLOGIC SUPPLIES FOR THE USE OF RURAL HEALTH UNIT AT ALITAGTAG, BATANGAS</t>
  </si>
  <si>
    <t>DRILLING OF 3 (THREE) UNITS EXPLORATORY/PRODUCTION WELL FOR GAMU WATER DISTRICT</t>
  </si>
  <si>
    <t>PURCHASE OF MEDICAL SUPPLIES AND LABORATORY INSTRUMENT</t>
  </si>
  <si>
    <t>ITB 20-0046-A - Supply and Delivery of 141 packs Coffee, 3 in 1 Coffee Mix, Original &amp; etc.</t>
  </si>
  <si>
    <t>Supply &amp; Delivery of Computer Equipment for use of Various Elementary Schools of District of Janiuay I, Janiuay, Iloilo</t>
  </si>
  <si>
    <t>Procurement of Consultancy Services (Individual as Digital Artist/Illustrator) for Illustration Inspired by Stock Photos in the Diversion Toolkit</t>
  </si>
  <si>
    <t>Procurement of Computer Parts and Equipment</t>
  </si>
  <si>
    <t>PURCHASE OF CONSTRUCTION MATERIALS AND SUPPLIES</t>
  </si>
  <si>
    <t>Labor and Materials for the General Improvement of Legislative Building, Concepcion, Tarlac</t>
  </si>
  <si>
    <t>One (1) Lot Supply, Delivery and Installation of CCTV Components for PCMC Main Building</t>
  </si>
  <si>
    <t>1000 Caps Mefenamic Acid, 500mg...etc</t>
  </si>
  <si>
    <t>LOCAL ROAD OPENING: CONSTRUCTION OF STO. NIÑO –  SAN SEBASTIAN –  SAN AGUSTIN DIVERSION ROAD</t>
  </si>
  <si>
    <t>REPAIR/IMPROVEMENT OF HEAVILY DAMAGED FLGC III 10TCC WAREHOUSE AT SAN PABLO,DUMINGAG, ZAMBOANGA DEL SUR</t>
  </si>
  <si>
    <t>20DE0137 (Re-advertised) Local Infrastructure Program – Construction of Multi-Purpose Building (Phase 6, Bauan Sports Coliseum), Bauan, Batangas</t>
  </si>
  <si>
    <t>OFFICE EQUIPMENT, OFFICE SUPPLIES AND CONSUMABLES</t>
  </si>
  <si>
    <t>Supply and Delivery of Plant Materials</t>
  </si>
  <si>
    <t>20LB0312 - Construction of Flood Mitigation Structure along Bago River, Bago Aplaya Section, Both Bank, Davao City</t>
  </si>
  <si>
    <t>Supply and Delivery of Materials, Labor and Rental of Equipment for Siphoning of All Septic Tanks (Phase 1 and 2) at Busuanga Airport</t>
  </si>
  <si>
    <t>TRANSFER AND RENOVATION OF HEAD TEACHER'S OFFICE &amp; LIBRARY EXTENSION (COMPUTER ROOM) INCLUDING FABRICATION &amp; INSTALLATION OF AIR-CON BRACKETS AND OFFICE TABLES</t>
  </si>
  <si>
    <t>20LB0313 - Construction of Road, Juna Subdivision, Brgy. Matina Crossing, Davao City</t>
  </si>
  <si>
    <t>Module Reproduction</t>
  </si>
  <si>
    <t>Supply of Sensor Repair Kits for Terminal 2 (ris 20-88-083)</t>
  </si>
  <si>
    <t>Purchase of Alkaline Aircon Coil Cleaner at Terminal 2 (ris 20-83-120)</t>
  </si>
  <si>
    <t>20DE0136 (Re-advertised) Construction/Repair/Rehabilitation/Improvement of Various Infrastructure including Local Projects – Construction of Multi-Purpose Building (Bauan Coliseum), Phase V, Bauan, Ba</t>
  </si>
  <si>
    <t>Augmentation of Barangay Hall</t>
  </si>
  <si>
    <t>INVITATION TO BID FOR THE SUPPLY AND DELIVERY OF VARIOUS CONSTRUCTION MATERIALS (For the Construction of Perimeter Fence, Control and Generator Set Room  at Metropolis Ground Reservoir)</t>
  </si>
  <si>
    <t>Supply and Delivery of ICT Supplies and Materials under CBFM-CARP and NGP for official use of DENR Nueva Ecija</t>
  </si>
  <si>
    <t>2 UNITS, GENSET, PORTABLE</t>
  </si>
  <si>
    <t>Supply and Delivery of Common Office Supplies under Regular Fund for official use of DENR Nueva Ecija</t>
  </si>
  <si>
    <t>Repair/Rehabilitation of Comfort Rooms At 3rd Floor, North And West Wing, Academic Bldg.</t>
  </si>
  <si>
    <t>20CG0199 - Construction of Three Storey Academic Building at Extension Lot at Main Campus, DHVSU, Bacolor, Pampanga</t>
  </si>
  <si>
    <t>20CG0198 - Construction/ Repair/ Rehabilitation/ Improvement of Various Infrastructure including Local Projects: Local Roads and Bridges – Local Roads – Rehabilitation of Barangay Dela Paz Road, San S</t>
  </si>
  <si>
    <t>20CG0197 - Local Infrastructure Program: Local Roads – Construction/Improvement/ Rehabilitation of Local Road in Brgy. Palinlang, Arayat, Pampanga</t>
  </si>
  <si>
    <t>Transportation services (Vehicle rental-Van/SUV for RCEF) for Aug to Dec 2020</t>
  </si>
  <si>
    <t>Netbook, Pocket Wifi, USB Headset with Noise Canceling Microphone and USB Webcam</t>
  </si>
  <si>
    <t>20CG0196 - Construction/ Repair/ Rehabilitation/ Improvement of Various Infrastructure including Local Projects: Local Roads – Construction of Malino Road, Malino, San Fernando, Pampanga</t>
  </si>
  <si>
    <t>LABOR AND MATERIALS FOR THE REPAIR OF FOUNDRY ROOFING</t>
  </si>
  <si>
    <t>20CG0195 - Local Infrastructure Program: Local Roads – Concreting of Brgy. Road, San Vicente - Pangatlan, Mexico, Pampanga</t>
  </si>
  <si>
    <t>PIKCOT-SUPP-002020-00142 (SUPPLY AND DELIVERY OF CATERING SERVICES, MEALS AND SNACKS  )</t>
  </si>
  <si>
    <t>Repair of Biosafety Cabinet</t>
  </si>
  <si>
    <t>CONSTRUCTION OF COMFORT ROOM AND STAINLESS STEEL GATE OF SDPE at the ROOFDECK OF CEAFA BLDG</t>
  </si>
  <si>
    <t>20LB0311 - Construction of Seven-Storey Office Building with Roof Deck (Phase 2), DOLE Region XI, Davao City</t>
  </si>
  <si>
    <t>PROCUREMENT OF VARIANCE  WORKS INCLUDES MATERIALS WITH LABOR FOR VISITOR'S CENTER OF BKPLS-LANAO DEL NORTE</t>
  </si>
  <si>
    <t>MOOE 1ST-2ND QUARTER</t>
  </si>
  <si>
    <t>Prepaid Load Cards</t>
  </si>
  <si>
    <t>SUPPLY AND DELIVERY OF VITAMIN C AND B-COMPLEX FOR COVID-19 PREVENTION UNDER EMB-AFMD RFQ NO. EMB-AFMD-088-06-29-2020 2020-0624</t>
  </si>
  <si>
    <t>Procurement of Security Services (5 Guards)</t>
  </si>
  <si>
    <t>Procurement of Various Supplies/Medical supplies in Response to COVID19</t>
  </si>
  <si>
    <t>HFW: 1 LOT GROCERY ITEMS/FOOD SUPPLIES FOR THE CONSUMPTION OF HOME FOR WOMEN FOR 2nd SEM. 2020</t>
  </si>
  <si>
    <t>Supply and Delivery of Electrical Suppllies</t>
  </si>
  <si>
    <t>barangay construction</t>
  </si>
  <si>
    <t>Supply and Delivery of High Purity Helium (refill)</t>
  </si>
  <si>
    <t>PR NO. 020-06-055 - Various spare parts for use in service vehicle Mitshubishi L300 BO-JO50 assigned in Maintenance Section</t>
  </si>
  <si>
    <t xml:space="preserve">EQUIP. RENTAL 020-08 - Equipment Rental/Lease of One (1) unit Road Grader and One (1) unit Road Roller for use in the Repair/Maint./Reshaping/Spreading/Compaction of delivered aggregates along Butuan </t>
  </si>
  <si>
    <t>SUPPLY AND DELIVERY OF CUSTOMIZED JACKET UNDER EMB-EQMD-HWMS RFQ NO. EMB-EQMD-HWMS-SHOPPING-G-089-6-29-2020  PR. NO. 2019-0443</t>
  </si>
  <si>
    <t>Procurement of ceftazidime and other drugs and medicine</t>
  </si>
  <si>
    <t>Invitation to Bid for Procurement office supplies for modular Learning</t>
  </si>
  <si>
    <t>3 YEARS, SERVICE PROVIDER OF THE TEXT-SSS SERVICE FACILITY &amp; DEVELOPMENT OF SSS MOBILE APPLICATION</t>
  </si>
  <si>
    <t>CONSTRUCTION OF MULTI-PURPOSE BUILDING</t>
  </si>
  <si>
    <t>Completion  of  Multi-Purpose  Building and  Sports  Development Facility, Phase  3,  Mabini  Campus,  Sta.  Mesa,  Manila</t>
  </si>
  <si>
    <t>Construction of Demo Farm Training Center</t>
  </si>
  <si>
    <t>Procurement of fan filter unit with HEPA filter</t>
  </si>
  <si>
    <t>Construction of Academic and Office Building Phase I,  PUP  Rizal  Campus,  S.H.  Loyola  Street,  Sampaloc,  Manila  (Using  a  Design  and Build  Scheme)</t>
  </si>
  <si>
    <t>Supply &amp; Delivery of Rescue Equipment to be used in responding calamities and emergency of the Municipal Disaster Risk Reduction Management Office, this Municipality</t>
  </si>
  <si>
    <t>RFQ NO. J2020-06-0432 REPAIR OF OLD BUILDING GROUND FLOOR DREAM U, CIU BUILDING</t>
  </si>
  <si>
    <t>PR NO. 020-06-060 dated 6/26/2020 - Various spare parts for use in service vehicle Mitshubishi Pick-up SFW-362 assigned in Maintenance Section</t>
  </si>
  <si>
    <t>Procurement of Aircondition 3.0 Toner floor mounted with installation</t>
  </si>
  <si>
    <t>Procurement of Various Medical Supplies/Response Items for COVID-19</t>
  </si>
  <si>
    <t>INVITATION TO BID FOR CONSTRUCTION OF RIVER WALL</t>
  </si>
  <si>
    <t>Solar Power for Public Market</t>
  </si>
  <si>
    <t>Purchase of Rubber Boots &amp; Raincoats for Utility Staff</t>
  </si>
  <si>
    <t>Supply and installation of partition wall &amp; table of new Tourism Office at 3rd floor of Municipal Hall Building, Bauan, Batangas</t>
  </si>
  <si>
    <t>Construction/Improvement of Kilkiling-Tibunek FMR, Phase I</t>
  </si>
  <si>
    <t>SUPPLY AND DELIVERY OF BRONCHOSCOPE WITH VIDEO INFORMATION SYSTEM</t>
  </si>
  <si>
    <t>OFFICE SUPPLIES 0213</t>
  </si>
  <si>
    <t>PR No. 2020-06-0045Office Equipment Supplies and Consumables)</t>
  </si>
  <si>
    <t>PROCUREMENT OF IT EQUIPMENT</t>
  </si>
  <si>
    <t>Procurement of Signal Cable UD-40 and GSC2002 Sheet Key Assy</t>
  </si>
  <si>
    <t>ITDI-200239_REBID - SUPPLY AND DELIVERY OF VARIOUS LABORATORY SUPPLIES</t>
  </si>
  <si>
    <t>Improvement of Camaa Farm-to-Market Road</t>
  </si>
  <si>
    <t>Construction of 18 Units LED Streetlights @ Purok 1-5, Bacong, Ligao, City</t>
  </si>
  <si>
    <t>SUPPLY AND DELIVERY OF OPERATING ROOMS LIGHTS DUO CEILING MOUNTED (2 UNITS)</t>
  </si>
  <si>
    <t>SVP-D NO: 20-07-0271B: Supply, Delivery and Installation of LED Flood Lights</t>
  </si>
  <si>
    <t>SUPPLY AND DELIVERY OF NEONATAL AND PEDIATRIC VIDEO LARYNGOSCOPE</t>
  </si>
  <si>
    <t>Procurement of Fleece blanket and other medical supplies</t>
  </si>
  <si>
    <t>PR No. 2020-06-0042 (Office Equipment Parts and Accessories)</t>
  </si>
  <si>
    <t>To purchase and deliver Office  Equipment</t>
  </si>
  <si>
    <t>Procurement of Housekeeping Supplies</t>
  </si>
  <si>
    <t>Procurement of Semi-Expandable Equipment for modular Learning</t>
  </si>
  <si>
    <t>PR No. 2020-06-0043 (Office Equipment Supplies and Consumables)</t>
  </si>
  <si>
    <t>Procurement of Motor Vehicle (Passenger Van)</t>
  </si>
  <si>
    <t>Hire of Van</t>
  </si>
  <si>
    <t>Supply and Delivery of Various Materials for the Maintenance of Waterworks System</t>
  </si>
  <si>
    <t>Supply and Delivery of Communication Equipment</t>
  </si>
  <si>
    <t>Improvement of Manpower develoment Center</t>
  </si>
  <si>
    <t>Construction of Drainage Canal, Poblacion</t>
  </si>
  <si>
    <t>Rip-rapping of Canal Located at San Julian Central, Agoo, La Union</t>
  </si>
  <si>
    <t>SUPPLY AND DELIVERY OF GYNECOLOGY LAPAROSCOPY TOWER WITH GYNE INSTRUMENTS, BIPOLAR, HYSTEROSCOPY TELEPACK SET WITH OPERATIVE HYSTEROSCOPIC INSTRUMENTS</t>
  </si>
  <si>
    <t>Rip-rapping of Canal Located at San Jose Norte, Agoo, La Union</t>
  </si>
  <si>
    <t>Improvement of Street Lights</t>
  </si>
  <si>
    <t>ADDITIONAL SUPPLY, DELIVERY AND INSTALLATION OF CCTV CAMERAS ALONG BARANGAY ROAD OF SAN GABRIEL</t>
  </si>
  <si>
    <t>Delivery of Kitchenware Supplies</t>
  </si>
  <si>
    <t>INVITATION TO BID FOR THE  PROCUREMENT OF SCIENCE LABORATORY FURNITURE AND FIXTURES IN THE ADVANCED SCIENCE AND TECHNOLOGY BUILDING OF  PSHS CALABARZON REGION CAMPUS/GOODS-2020-03</t>
  </si>
  <si>
    <t>Purchase of medicines and grocery booklets to be used at the OSCA Office, Bauan, Batangas</t>
  </si>
  <si>
    <t>Production Meter</t>
  </si>
  <si>
    <t>Improvement of Abatan-Daddaay Proper FMR</t>
  </si>
  <si>
    <t>Construction of Sanitary Landfills &amp; Materials Recovery Facilities, Calanasan, Apayao</t>
  </si>
  <si>
    <t>Proposed Purchase of Various Medicine at Brgy San Francisco San Pablo City</t>
  </si>
  <si>
    <t>Patag Improvement of Multipurpose Building</t>
  </si>
  <si>
    <t>Road Concreting at Purok 4, Pagawan</t>
  </si>
  <si>
    <t>S1-CUL20-012 - Supply and Delivery of Mechanical Spare Parts for Dale Perkins 2006 TGI for Culion Diesel Power Plant</t>
  </si>
  <si>
    <t>RFQ of Construction Materials and Supplies</t>
  </si>
  <si>
    <t>S1-SID20-016 - Supply and Delivery of Spare Parts for 500kW CXZ-MAN China Engine of Sibuyan Diesel Power Plant</t>
  </si>
  <si>
    <t>Supply and Delivery of Various Supplies to be used in the General Services Section with PR # 341 dated 02-23-2020 with an ABC of P199,987.52</t>
  </si>
  <si>
    <t>Supply of Labor, Materials and Equipment for the Improvement of Boardwalk Stall (2 unit – 4 stalls) at Brgy. East Pob., City of Naga, Cebu</t>
  </si>
  <si>
    <t>Prcocurement of 12-Units Laptop Computer</t>
  </si>
  <si>
    <t>Construction of Small Ruminant Barn, Payanan, Luna, Apayao</t>
  </si>
  <si>
    <t>SUPPLY AND DELIVERY OF DIGITAL X-RAY MOBILE MACHINE (2 UNITS)</t>
  </si>
  <si>
    <t>Purchase of Construction Materials for Canal Lining at Calancuasan Sur Elem. School</t>
  </si>
  <si>
    <t>Road concreting of access road to Farm Tourism Site</t>
  </si>
  <si>
    <t>SUPPLY AND DELIVERY OF FETAL CENTRAL MONITORING SYSTEM / CTG MONITOR</t>
  </si>
  <si>
    <t>SUPPLY AND DELIVERY OF VACUUM ASSISTED CLOSURE DEVICE</t>
  </si>
  <si>
    <t>SERVICES for ANNUAL PHYSICAL EXAMINATION FOR 450 PERSONNEL</t>
  </si>
  <si>
    <t>S1-SID20-015 - Supply and Delivery of Spare Parts for 600kW Cummins Engine, Model: KTA38-G1 of Sibuyan Diesel Power Plant</t>
  </si>
  <si>
    <t>Dismantling and Hauling of Air Condition Units</t>
  </si>
  <si>
    <t>Concreting of Cemetery Road (Purok 15)</t>
  </si>
  <si>
    <t>Supply and Delivery of Aluminum Glass Sliding Door and Window to be used for the Repair of Feeder Port Terminal</t>
  </si>
  <si>
    <t>SUPPLY AND DELIVERY OF CYSTOSCOPY SET</t>
  </si>
  <si>
    <t>Electrification of Cattle Breeding Center</t>
  </si>
  <si>
    <t>S4-BPD19-018 - Rehabilitation of BNPP Local Warehouse Roofing</t>
  </si>
  <si>
    <t>Construction of four storey twelve classroom – Mapulang Lupa Elementary School, Pandi, Bulacan</t>
  </si>
  <si>
    <t>RFQ of Educational Materials and Supplies</t>
  </si>
  <si>
    <t>Construction of two storey four classroom – Borol 2nd Elementary School, Balagtas, Bulacan</t>
  </si>
  <si>
    <t>(Re-advertised) Improvement of Grandstands</t>
  </si>
  <si>
    <t>SUPPLY AND DELIVERY OF OFFICE AND IT EQUIPMENT AND FURNITURE  FOR  VARIOUS OFFICES OF THE CITY GOVERNMENT</t>
  </si>
  <si>
    <t>INVITATION TO BID FOR THE  PURCHASE OF COMPUTERS AND COMPUTER PERIPHERALS/GOODS-2020-04</t>
  </si>
  <si>
    <t>SUPPLY AND DELIVERY OF OFFICE, JANITORIAL AND ELECTRICAL SUPPLIES AND DEVICES  FOR VARIOUS OFFICES OF THE CITY GOVERNMENT (@CALOOCAN CITY HALL, 8TH ST. COR. 8TH AVE. GRACE PARK, CALOOCAN CITY)</t>
  </si>
  <si>
    <t>Supply of Labor, Materials and Equipment for the Proposed Perimeter Fence at Brgy. Uling, City of Naga, Cebu</t>
  </si>
  <si>
    <t>Supply and Delivery of Android Tablets For Use at Kolehiyo ng Lungsod ng Lipa</t>
  </si>
  <si>
    <t>20DE0140 (Re-advertised) Local Infrastructure Program – Construction of Multi-Purpose Covered Court with Slope Protection at Brgy. Sta. Ana, Mabini, Batangas</t>
  </si>
  <si>
    <t>Road Concreting of Access Road to Magsaysay National High School</t>
  </si>
  <si>
    <t>Widening and Improvement of Alilem-Batbato-Suyo Road</t>
  </si>
  <si>
    <t>Supply and Delivery of Laptops For Use at Kolehiyo ng Lungsod ng Lipa</t>
  </si>
  <si>
    <t>Paniangan Road Concreting at purok 5</t>
  </si>
  <si>
    <t>SUPPLY AND DELIVERY OF DIGITAL VIDEO COLPOSCOPE</t>
  </si>
  <si>
    <t>PR No. 2020-06-0047 (Office Supplies )</t>
  </si>
  <si>
    <t>Construction of concrete line canal with cover</t>
  </si>
  <si>
    <t>SUPPLY OF FILLING MATERIALS</t>
  </si>
  <si>
    <t>PURCHASE OF ENVIRONMENTAL HEALTH/SAFETY EQUIPMENT</t>
  </si>
  <si>
    <t>CONSTRUCTION OF 1 UNIT TRIBAL HALL</t>
  </si>
  <si>
    <t>20CG0194 - Local Infrastructure Program: Local Roads and Bridges – Local Roads – Concreting of Brgy. Road, Pulong Palazan, Candaba, Pampanga</t>
  </si>
  <si>
    <t>2020 DP-021 RFQ: Furnishing of Materials for Patching Potholes of Various National Roads along San Pablo-Rizal-Nagcarlan-Liliw Road (S05827LZ) K0090+370-K0101+690 (Intermittent Section)</t>
  </si>
  <si>
    <t>20CG0193 - Local Infrastructure Program: Local Roads and Bridges – Local Roads – Construction and Upgrading of Road with Drainage, Brgy. Santa Maria, Minalin, Pampanga</t>
  </si>
  <si>
    <t>SUPPLY AND DELIVERY OF CONSTRUCTION MATERIALS FOR THE INSTALLATION OF WATER SYSTEM AT TULUNAN CENTRAL ELEMENTARY SCHOOL, POBLACION, TULUNAN, COTABATO</t>
  </si>
  <si>
    <t>IMPROVEMENT OF STREETLIGHTS</t>
  </si>
  <si>
    <t>PROCUREMENT OF IT EQUIPMENT FOR THE OFFICE OF MCR</t>
  </si>
  <si>
    <t>S1-BRS20-012 - Supply and Delivery of Spare Parts for 500kW Volvo Engine Model: TAD1641GE Camshaft and 2 Others to San Pascual DPP</t>
  </si>
  <si>
    <t>Supply of Labor, Materials and Equipment for the Proposed Construction of Passenger Transport Terminal at Sitio Bayong, Brgy. Inayagan, City of Naga, Cebu</t>
  </si>
  <si>
    <t>CONCRETING OF ROAD</t>
  </si>
  <si>
    <t>CONSTRUCTION OF SOLAR STREET LIGHT (27 PCS)</t>
  </si>
  <si>
    <t>SUPPLY AND DELIVERY OF OFFICE, JANITORIAL AND ELECTRICAL SUPPLIES AND DEVICES  FOR CALOOCAN CITY MEDICAL CENTER (@A.MABINI ST., CALOOCAN CITY)</t>
  </si>
  <si>
    <t>RFQ of Construction Materials and Supplies 2</t>
  </si>
  <si>
    <t>SUPPLY AND DELIVERY OF SUCTION MACHINE (20 UNITS)</t>
  </si>
  <si>
    <t>Road Concreting at Bagares Street</t>
  </si>
  <si>
    <t>Construction of Waiting Shed at Barangay Anticala, Butuan City</t>
  </si>
  <si>
    <t>Supply of Labor, Materials and Equipment for the Brgy. Road Concreting at Sitio Proper I, Brgy. Cantao-an, City of Naga, Cebu</t>
  </si>
  <si>
    <t>Supply of Labor, Materials and Equipment for the Proposed Construction of Drainage System at Purok Manggahan I, Brgy. Tangke, City of Naga, Cebu</t>
  </si>
  <si>
    <t>Supply and Delivery of Office Supplies for City Mayor's Office</t>
  </si>
  <si>
    <t>Day Care Center Construction at Poblacion</t>
  </si>
  <si>
    <t>INSTALLATION OF BOOKSHELVES FOR BUB FUNDED SCHOOL LIBRARY @ SAN NARCISO CENTRAL ELEMENTARY SCHOOL</t>
  </si>
  <si>
    <t>Fabrication of Fabric Glass Partition at Accounting Office and Repair of Various Office in the Schools Division Office</t>
  </si>
  <si>
    <t>AMP SVP-D NO: 20-07-0344A: Printing of Book (Prof. Rosa Maria Bautista)</t>
  </si>
  <si>
    <t>PROCUREMENT OF CONSTRUCTION MATERIALS FOR CONCRETING OF DORONGAN ROAD</t>
  </si>
  <si>
    <t>SUPPLY AND DELIVERY OF ITEM 201 FOR THE REHABILITATION OF PUROK 4 POBLACION-TAMBAK FMR, TULUNAN, COTABATO</t>
  </si>
  <si>
    <t>PROCUREMENT OF CONSTRUCTION MATERIALS FOR CONCRETING OF BANCAL ROAD</t>
  </si>
  <si>
    <t>PROCUREMENT OF A LEASE OF REAL PROPERTY TO BE USED AS OFFICE SPACE OF THE DBP LEASING CORPORATION (DBP-LC)</t>
  </si>
  <si>
    <t>Supply of labor, materials tools and technical supervision for the repairs of various ACU of Games and Amusements Board Main Office</t>
  </si>
  <si>
    <t>SUPPLY AND DELIVERY OF DELIVERY BED</t>
  </si>
  <si>
    <t>Purchase of Duplicating Machine and Toners for the City Division Office of City of Naga, Cebu BAC Office, 2F, City Hall Bldg., City of Naga, Cebu</t>
  </si>
  <si>
    <t>Supply of Labor, Materials and Equipment for the Proposed Slope Protection at Purok Atis, Sitio Tabtuy, Brgy.Tuyan, City of Naga, Cebu</t>
  </si>
  <si>
    <t>SUPPLY AND DELIVERY OF MATERIALS FOR THE REHABILITATION OF PIPE LINE @ BRGY. BUENAVISTA AND POBLACION</t>
  </si>
  <si>
    <t>Installation of Solar Street Lights</t>
  </si>
  <si>
    <t>SUPPLY AND DELIVERY OF MOTORIZED FISHING BOAT</t>
  </si>
  <si>
    <t>SUPPLY AND DELIVERY OF 3 CRANK MANUAL HOSPITAL BED (50 UNITS)</t>
  </si>
  <si>
    <t>INSURANCE PERSONAL ACCIDENT</t>
  </si>
  <si>
    <t>Supply and Delivery of Computer Printers</t>
  </si>
  <si>
    <t>Construction /Concreting of FMR Zone 6 Poblacion</t>
  </si>
  <si>
    <t>Office Equipment supplies and Consumables</t>
  </si>
  <si>
    <t>PROPOSED CONSTRUCTION OF BRGY.HALL SECOND FLOOR AT PUROK 2</t>
  </si>
  <si>
    <t>Additional Office Supplies for the Preparation and Printing of Barangay/EA/Block Maps for the 2020 CPH of Cebu Provincial Statistical Office.</t>
  </si>
  <si>
    <t>SUPPLY AND DELIVERY OF DEFIBRILATOR WITH CARDIAC MONITOR</t>
  </si>
  <si>
    <t>Furnishing/Delivery of Water Tank materials and fittings</t>
  </si>
  <si>
    <t>Supply and Delivery of Risograph Machines</t>
  </si>
  <si>
    <t>PROPOSE CONCRETING OF BRGY. ROAD AT PUROK 2</t>
  </si>
  <si>
    <t>SUPPLY AND DELIVERY OF SOFTWARE FOR COMPUTER-AIDED DESIGN (CAD) FOR THE PROCUREMENT SERVICE (PS)</t>
  </si>
  <si>
    <t>Construction of Bus Terminal Building (Pasalubong Center) Phase 3</t>
  </si>
  <si>
    <t>Construction of Public Market (Phase IV)</t>
  </si>
  <si>
    <t>AMP SVP-D NO: 20-07-0297C: High Performance Desktop Computer System</t>
  </si>
  <si>
    <t>Construction of Tobacco Display Shed</t>
  </si>
  <si>
    <t>PROPOSED IMPROVEMENT  OF DAY CARE CENTER</t>
  </si>
  <si>
    <t>Procurement of Service Vehicle for Sangguniang Bayan Office</t>
  </si>
  <si>
    <t>SUPPLY AND DELIVERY OF PATIENT MONITOR WITH CENTRAL STATION (20 UNITS WITH 2 CENTRAL STATION)</t>
  </si>
  <si>
    <t>Disinfection and Misting of Games and Amusements Board Main Office Premises from July to December 2020</t>
  </si>
  <si>
    <t>Purchase of ICT Equipment for the City Division Office of City of Naga, Cebu</t>
  </si>
  <si>
    <t>Improvement/Rehab of Farmers Post Harvest Facility/Bodega</t>
  </si>
  <si>
    <t>Improvement of Multi-Purpose Building (Bleacher)</t>
  </si>
  <si>
    <t>2020-006 Supply &amp; Delivery of Const Materials for Brgy Mosque</t>
  </si>
  <si>
    <t>SUPPLY AND DELIVERY OF TRANSFER STRETCHER (22 UNITS)</t>
  </si>
  <si>
    <t>Supply of Labor, Materials and Equipment for the Proposed Brgy. Road Concreting and Improvement of Drainage System (Concrete Cover) at Purok II Lavender, Brgy. Colon, City of Naga, Cebu</t>
  </si>
  <si>
    <t>Road Concreting at Purok 2, Patag</t>
  </si>
  <si>
    <t>Purchase of Instructional Books and Materials for the City Division Office of City of Naga, Cebu</t>
  </si>
  <si>
    <t>Provision of One (1) Year Subscription of Active Cloud-Based Learning Management System for Use at Kolehiyo ng Lungsod ng Lipa</t>
  </si>
  <si>
    <t>AMP SVP-D NO: 20-07-0345A: Micropipetors - single-channel, multi-channel and multi-stepper, etc.</t>
  </si>
  <si>
    <t>BAGS for LEARNERS</t>
  </si>
  <si>
    <t>20LB0280 - Concreting of Sitio Surayan, Brgy. Colosas FMR, Brgy. Colosas, Paquibato District, Davao City</t>
  </si>
  <si>
    <t>INVITATION TO APPLY FOR ELIGIBILITY AND TO BID</t>
  </si>
  <si>
    <t>Supply and Delivery of various Construction Supplies and Materials for Enhancement of LSA/SPA/ESP - Sweet Nature Farms, Sta. Maria, Laguna</t>
  </si>
  <si>
    <t>20DE0118 (Re-advertised) Local Infrastructure Program – Construction of Multi-Purpose Building (Phase 2), Lobo Municipal Compound, Lobo, Batangas</t>
  </si>
  <si>
    <t>RFQ of Educational Materials and Supplies 2</t>
  </si>
  <si>
    <t>SUPPLY AND DELIVERY OF ULTRASONIC HANDPROBE</t>
  </si>
  <si>
    <t>Supply &amp; Delivery of 5 lgths. 3"Ø G.I. Pipe Sched 40 &amp; other items, For use in Construction Holding Facilities for Covid-19</t>
  </si>
  <si>
    <t>Procurement and Installation of NAVSENS and COMMELEX Equipment for LD602 and LC290 - LOT 1</t>
  </si>
  <si>
    <t>Supply of Labor, Materials and Equipment for the Proposed Water System at Balirong Elementary and Secondary School, Balirong, City of Naga, Cebu</t>
  </si>
  <si>
    <t>PURCHASE OF MATERIALS FOR THE REHABILITATION OF WATERWORKS SYSTEM</t>
  </si>
  <si>
    <t>20LB0279 - Concreting to Sitio Nursery to Sitio Binaton to Sitio Mahayahay, Brgy. Malabog (Phase II) FMR, Brgy. Malabog, Paquibato District, Davao City</t>
  </si>
  <si>
    <t>Procurement and Installation of NAVSENS and COMMELEX Equipment for LD602 and LC290 - LOT 2</t>
  </si>
  <si>
    <t>2020 Census of Population and Housing</t>
  </si>
  <si>
    <t>Furnishing/Delivery of office furniture and equipment</t>
  </si>
  <si>
    <t>Improvement of Child Development Center at Sta. Lucia, Aringay, La Union</t>
  </si>
  <si>
    <t>Various Kitchen Appliances</t>
  </si>
  <si>
    <t>RFQ-TPB-PR.2020.06.196 OFFICE SUPPLIES</t>
  </si>
  <si>
    <t>Improvement of Child Development Center at San Benito Norte, Aringay, La Union</t>
  </si>
  <si>
    <t>Construction /Concreting of FMR  Zone 6 Cogon</t>
  </si>
  <si>
    <t>Furnishing/Delivery of office equipment</t>
  </si>
  <si>
    <t>AMP SVP-D NO: 20-07-0114F: Reference Standards</t>
  </si>
  <si>
    <t>PROCUREMENT OF CONSTRUCTION MATERIALS FOR VILLA FRIA DRAINAGE SYSTEM</t>
  </si>
  <si>
    <t>Furnishing/Delivery of tables and chairs</t>
  </si>
  <si>
    <t>Supplies to be used in modular learning for office supplies</t>
  </si>
  <si>
    <t>Supply and Delivery of Contraceptives</t>
  </si>
  <si>
    <t>Upgrading /Concreting of FMR Zone 8 Poblacion</t>
  </si>
  <si>
    <t>RFQ-TPB-PR.2020.06.194 CORRECTIVE MAINTENANCE SERVICE OF KOPPEL CEILING CASSETTE SPLITTYPE AIRCONDITIONING NON-INVERTER UNIT</t>
  </si>
  <si>
    <t>Supplies to be used in modular learning for Printer</t>
  </si>
  <si>
    <t>PROCUREMENT OF CONSTRUCTION MATERIALS FOR CONCRETING OF INTERMITTENT ROAD (ABAGAT-VILLA SOL RD)</t>
  </si>
  <si>
    <t>HAULING OF MUNICIPAL SOLID WASTE AT MUNICIPALITY OF JAEN, NUEVA ECIJA</t>
  </si>
  <si>
    <t>Construction /Concreting of FMR Zone 7 Ulab</t>
  </si>
  <si>
    <t>RFQ for the Cost of Office Furniture</t>
  </si>
  <si>
    <t>Construction /Concreting of FMR Zone 7 Kilangit</t>
  </si>
  <si>
    <t>Purchase of Drugs &amp; Medicines, Fluids &amp; Electrolytes</t>
  </si>
  <si>
    <t>RFQ for the Procurement of Van Rental use for the MILG-Development Coordinating Office and SGA Officials Interface Meeting Cum Rapid Assessment Survey</t>
  </si>
  <si>
    <t>PURCHASE OF MATERIALS  FOR THE IMPROVEMENT OF SCHOOL MULTI-PURPOSE HALL</t>
  </si>
  <si>
    <t>rehabilitation of school multi-purpose hall</t>
  </si>
  <si>
    <t>Purchase of contactless handwashing facility</t>
  </si>
  <si>
    <t>Supply and delivery of various Vehicle Parts &amp; Accessories for use in Prov'l. Governor's Office -DYMP. ABC PHP123,870.00</t>
  </si>
  <si>
    <t>INVITATION TO BID FOR CONSTRUCTION OF COVERED COURT – TUKA ELEMENTARY SCHOOL</t>
  </si>
  <si>
    <t>RFQ for the Cost of Furniture</t>
  </si>
  <si>
    <t>B-038-2020 PROCUREMENT OF TRAINING EQUIPMENT FOR THE COMPLETED THREE (3) STOREY BUILDING OF THE ZSCMST REGIONAL MARITIME TRAINING CENTER FOR BASIC TRAINING (FORMERLY SOLAS)</t>
  </si>
  <si>
    <t>PBG-2020-06-18 PROCUREMENT OF ONE (1) UNIT BRAND NEW TEN WHEELER TRUCK AIR CONDITIONED MOUNTED WITH DRILLING MACHINE FOR VARIOUS BARANGAYS ACCESS TO POTABLE WATER.</t>
  </si>
  <si>
    <t>Supply and Delivery of Halogen Security Sticker</t>
  </si>
  <si>
    <t>PURCHASED OF OFFICE SUPPLIES</t>
  </si>
  <si>
    <t>Improvement of hand washing facility</t>
  </si>
  <si>
    <t>Furnishing/Delivery of Safety-gear</t>
  </si>
  <si>
    <t>Repair/Rehabilitation of Building and Structure (Improvement of Physical Planning and Development Office, Bids and Awards Committee &amp; Procurement Management Office)</t>
  </si>
  <si>
    <t>8918-20-110) CONSTRUCTION OF CANAL FROM CHULYAO RESIDENCE AT PUROK 4 GOING DOWN TO VALLES RESIDENCE AT PUROK 3, LOAKAN APUGAN C/O CEO</t>
  </si>
  <si>
    <t>8918-20-112) CONSTRUCTION OF DRAINAGE CANAL AT PUROK 2 BELOW THE RESIDENCES OF NATY AYPEW, HENRY PITOL, DINA RIVERA, CHERYL BISLINGIN AND CRESENCIO DUCUSIN DOWN TO THE CREEK AT LOAKAN APUGAN C/O CO</t>
  </si>
  <si>
    <t>8918-20-108) REHABILITATION OF THE MULTI-PURPOSE PAVEMENT AT BONTOC VILLAGE, PUROK ONGASAN, LOAKAN PROPPER C/O CEO</t>
  </si>
  <si>
    <t>INVITATION TO BID FOR CONSTRUCTION OF COVERED COURT - BRGY. KATIDTUAN</t>
  </si>
  <si>
    <t>8918-20-086)  CONSTRUCTION OF BOX CULVERT FROM CORNOAN GOING DOWN TO GONZALO RESIDENCE AT PUROK 3, HOLYGHOST EXT. C/O CEO</t>
  </si>
  <si>
    <t xml:space="preserve">8918-20-076/8918-20-075/8918-20-062)  A. IMPROVEMENT OF PATHWAYS AT PUROK 5 FROM GIBRALTAR ROAD TO OSBUCAN'S RESIDENCE, GIBRALTAR, B. CONSTRUCTION OF CANAL NEAR BASKETBALL COURT (PUROK 3), GIBRALTAR, </t>
  </si>
  <si>
    <t>Concreting of Sagbang Road</t>
  </si>
  <si>
    <t>8918-20-022)  SLOPE PROTECTION ALONG LOAKAN CREEK AT THE BACK OF THE LOAKAN BAPTIST CHURCH AND RESIDENTIAL HOUSES AND ROAD ALREADY AT RISK FOR THE WELFARE OF THE CHILDREN, PWDS, ELDERLIES, WOMEN, IPs,</t>
  </si>
  <si>
    <t>8918-20-176/8918-20-174/8918-20-143) A. SLOPE PROTECTION NEAR BITAG RESIDENCE AT PUCSUSAN, B. REHABILITATION OF RIPRAP PUROK 3 NEAR THE RESIDENCE OF WINSTON BASILIO AT PUCSUSAN, C. CONSTRUCTION OF COV</t>
  </si>
  <si>
    <t>INVITATION TO BID FOR CONSTRUCTION OF COVERED COURT’S STAGE – BRGY. GANASI</t>
  </si>
  <si>
    <t>PURCHASE OF MATERIALS FOR THE CONSTRUCTION OF OSCA BUILDING - PHASE VI</t>
  </si>
  <si>
    <t>8918-20-109/8918-20-113)  A. CONSTRUCTION OF CANAL FROM CABANSI'S RESIDENCE GOING TO BUGTONG'S RESIDENCE AT PUROK 3, LOAKAN APUGAN, B. IMPROVEMENT OF THE RIPRAP SLOPE PROTECTION IN SPRINGHILLS ELEM. S</t>
  </si>
  <si>
    <t>Procurement of Various Surgical Sutures for CY 2020</t>
  </si>
  <si>
    <t>Supply and Delivery of Two (2) units Hydraulic Hand Pallet Trucks, as per BSP Technical Specifications and Terms and Conditions</t>
  </si>
  <si>
    <t>8918-20-185)  REHABILITATION OF DRAINAGE CANAL AT PUROK 2 AND 3, STA. ESCOLASTICA VILLAGE C/O CEO</t>
  </si>
  <si>
    <t>8918-20-050)  IMPROVEMENT OF PARISA'S ROAD, PUROK 3, CAMP 7 C/O CEO</t>
  </si>
  <si>
    <t>8918-19-094) REHABILITATION AND IMPROVEMENT OF CONCRETE ROAD FROM JEAN ORDEN'S RESIDENCE TO BROOKSPOINT ELEM. SCHOOL AT BROOKSPOINT C/O CEO</t>
  </si>
  <si>
    <t>Request for Quotation - Cacaon Elementary School</t>
  </si>
  <si>
    <t>Supply and Delivery of Materials for Construction/Rehabilitation of Drainage System</t>
  </si>
  <si>
    <t>INVITATION TO BID FOR CONSTRUCTION OF POTABLE WATER SYSTEM – TINUNGKASAN</t>
  </si>
  <si>
    <t>8918-20-125) DRAINAGE CANAL GOING TO TABORA ST., LOWER QUIRINO HILL C/O CEO</t>
  </si>
  <si>
    <t>Installation of Brgy. Balayagmanok Street Lighting System</t>
  </si>
  <si>
    <t>8918-20-131) REHABILITATION OF OLD SEWERLINES ALONG PUROK I HERRERIA AND DIZON ALLEY AT MARCOVILLE C/O CEPMO</t>
  </si>
  <si>
    <t>IB Construction of One (1) Barrel Box Culvert with Slope Protection at Barangay Manaol, Pozorrubio, Pangasinan</t>
  </si>
  <si>
    <t>Acquisition Of PUM</t>
  </si>
  <si>
    <t>Procurement of Motorcycle w/ sidecar</t>
  </si>
  <si>
    <t>invitation to bid</t>
  </si>
  <si>
    <t>Supply and Delivery of Training Supplies (PMC)</t>
  </si>
  <si>
    <t>Procurement of CCTV Procurement of Retractable Awning</t>
  </si>
  <si>
    <t>Procurement of  Sound System</t>
  </si>
  <si>
    <t>Supply and Delivery of Office Supplies (SWM)</t>
  </si>
  <si>
    <t>Procurement of Clean and Beautification</t>
  </si>
  <si>
    <t>CONCRETING OF NEWAGAC BARANGAY ROAD</t>
  </si>
  <si>
    <t>SHOPPING OF SCHOOL AND OFFICE SUPPLIES</t>
  </si>
  <si>
    <t>Concreting of Road at Bagumbayan St., Centro Sur, Gattaran, Cagayan</t>
  </si>
  <si>
    <t>Supply and Delivery of Grocery Items (PMC)</t>
  </si>
  <si>
    <t>COMPLETION OF MULTI-PURPOSE HALL @ BRGY. PINAMARBUHAN, MOBO, MASBATE</t>
  </si>
  <si>
    <t>IB Construction of Lined Canal at Purok II, Barangay Cablong, Pozorrubio, Pangasinan</t>
  </si>
  <si>
    <t>Improvement of Multi-Purpose Hall (Repair of MDRRM Office)</t>
  </si>
  <si>
    <t>Supply and Delivery of 2 Sets Tires, 8.25x16, Lug, with flap and inner tube &amp; Other Item; PR No. 20-1428 dated March 5, 2020</t>
  </si>
  <si>
    <t>Concreting of Barangay Road @ Brgy Planas, Porac, Pampanga</t>
  </si>
  <si>
    <t>CONSTRUCTION OF REST  ROOMS AT PLAZA LUZ  GAD19-8000-B1 AND 1SAIP20-RF8000-B2</t>
  </si>
  <si>
    <t>MEDICAL EQUIPMENT (for Laboratory) RHU</t>
  </si>
  <si>
    <t>Purchase of Laptops to be used by Porac Model Comm. High School</t>
  </si>
  <si>
    <t>WANGAN ELEMENTARY SCHOOL MOOE REQUEST</t>
  </si>
  <si>
    <t>Repair and maintenance of Aircon Services of Various Service Vehicle</t>
  </si>
  <si>
    <t>Meals and Snacks for the delineation survey of the Eco-Tourism Reforestation Project. Capas and San Jose, Tarlac</t>
  </si>
  <si>
    <t>REHABILITATION OF BARANGAY STREET LIGHTS</t>
  </si>
  <si>
    <t>Provision of One unit Brand New Motorcycle 149.2 CM cc Displacement Electric System for Crime Prevention and Law Enforcement Activities</t>
  </si>
  <si>
    <t>CONC/IMPVT OF ROAD @ PACIGEA SITE LEADING TO BUENAOBRA RES., BUENAVISTA      DF20-8000-B1j</t>
  </si>
  <si>
    <t>SUPPLY AND DELIVERY OF DRUGS AND MEDICINES FOR RMIU 3RD QTR 2020</t>
  </si>
  <si>
    <t>Supply and Delivery of 1 Lot Replacement of under chasis water tank flooring (labor and materials); PR No. 20-1451 dated March 5, 2020</t>
  </si>
  <si>
    <t>Supply/Procurement of Safety and Occupational Products</t>
  </si>
  <si>
    <t>MG-A5M20-106 ( FLOODLIGHT, LED 100 WATTS ASSEMBLY )</t>
  </si>
  <si>
    <t>Purchase of Fuel (Diesel) –  Municipal Health Office</t>
  </si>
  <si>
    <t>IB Construction of Multi-Purpose Hall  (Phase II) at Barangay Casanfernandoan, Pozorrubio, Pangasinan</t>
  </si>
  <si>
    <t>MEDICAL SUPPLIES (1st – 3rd Quarter) RHU</t>
  </si>
  <si>
    <t>Supply and Delivery of Various Water Meters</t>
  </si>
  <si>
    <t>Supply and Delivery of 4 Pcs. Battery, 21 plates, 12 volts, low maintenance &amp; Other Item; PR No. 20-1427 dated March 5, 2020</t>
  </si>
  <si>
    <t>Supply and Delivery of 35 Crtg. Ink for Brother Printer MFC-J3530,LC3617M Magenta &amp; Other Items; PR No. 20-1453 dated June 1, 2020</t>
  </si>
  <si>
    <t>PROPOSED POWER &amp; WATER PROVISION FOR ADDITIONAL DRINKING FOUNTAIN</t>
  </si>
  <si>
    <t>Radio Plugging            IB NO.2020-048</t>
  </si>
  <si>
    <t>SUPPLY AND DELIVERY OF DRUGS AND MEDICINES FOR RHU 3RD QTR 2020</t>
  </si>
  <si>
    <t>Purchase of IT Software        IB NO.2020-046</t>
  </si>
  <si>
    <t>Procurement of Hygiene Kit and Collapsible Water Drinking Container        IB No. 2020-045</t>
  </si>
  <si>
    <t>TV Plugging       IB NO.2020-044</t>
  </si>
  <si>
    <t>RABIES VACCINE (for Animal Bite Treatment Center) RHU</t>
  </si>
  <si>
    <t>Procurement of ICT Equipment for DOST8 CY 2020 MITHI Program</t>
  </si>
  <si>
    <t>PURCHASE OF FUEL FOR VEHICLE DELIVERY OF WATER IN BARANGAYS IN NEED, LOBOC, BOHOL</t>
  </si>
  <si>
    <t>Purchase of Bond Paper        IB NO.2020-049</t>
  </si>
  <si>
    <t>Supply and delivery of Office equipment for use of Tarlac Drug Recovery Clinic</t>
  </si>
  <si>
    <t>Purchase of Printers, Desktop and Laptop Computers for use in the Office of the Schools Superintendent, Supply Office and Division Office of DepEd - Lucena(PR# 173)</t>
  </si>
  <si>
    <t>Photography and Videography Services 	IB NO.2020-041</t>
  </si>
  <si>
    <t>Purchase of IT Supplies, Peripherals and Equipment    IB NO.2020-042</t>
  </si>
  <si>
    <t>Supply and Delivery of Three (3) sets of Lineman’s Gloves, as per BSP Supplied Evaluation Matrix, Technical Specifications and Terms and Conditions</t>
  </si>
  <si>
    <t>Printing of Two Thousand Five Hundred (2500) pieces of Student Handbook for the use of Dalubhasaan ng Lungsod ng Lucena(PR# 178)</t>
  </si>
  <si>
    <t>IB Road Concreting at Barangays Villegas &amp; Bantugan, Pozorrubio, Pangasinan</t>
  </si>
  <si>
    <t>Purchase of One (1) unit Multi - Purpose Vehicle for the use of Frontline Services of the City Government of Lucena as requested by City Mayor's Office(PR# 180)</t>
  </si>
  <si>
    <t>Purchase of Sound System with Complete Accessories for use in the various programs, events and activities of the City Government as requested by CGSO(PR# 158)</t>
  </si>
  <si>
    <t>Freight and Handling Services        IB No. 2020-050</t>
  </si>
  <si>
    <t>Supply/Procurement of Grasscutter Parts  and Accessories</t>
  </si>
  <si>
    <t>Construction of Elevated Water Tank, Installation of Water Distribution Lines &amp; Construction of Artesian Well at Brgy. Bombong &amp; Brgy. Rayap, Binangonan, Rizal; a) Construction of 4,000 gallons Elevat</t>
  </si>
  <si>
    <t>Supply/Procurement of Reflectorized Traffic Paints</t>
  </si>
  <si>
    <t>Rental of LED Wall and Audio System         IB NO.2020-040</t>
  </si>
  <si>
    <t>Construction of Water System Level III &amp; Upgrading of Electrical Sevice Entrance at Sapang Elementary School, Brgy. Sapang, Binangonan, Rizal</t>
  </si>
  <si>
    <t>P.R. No. X7-20-05-205 - Supply and Delivery for the in the Service Vehicle of the Planning and Design Division</t>
  </si>
  <si>
    <t>Supply/Procurement of Grasscutter</t>
  </si>
  <si>
    <t>SUPPLY AND DELIVERY OF VARIOUS FOODSTUFF, SUBSISTENCE ALLOCATED FOR 1,749 CPDRC INMATES COVERING THE PERIOD JULY 1, 2020 TO DECEMBER 31, 2020</t>
  </si>
  <si>
    <t>P.R. No. X1-20-05-218 - Supply and Delivery for the use of DPWH X Compound and ORD</t>
  </si>
  <si>
    <t>Purchase of Fuel (Diesel) –  Office of the Municipal Vice Mayor</t>
  </si>
  <si>
    <t>P.R. No. X7-20-06-229 - Supply and Delivery for the use in the Planning and Design Division, Repair and Maintenance of ISUZU DOUBLE CAB DMAX with plate no. AAG-9562</t>
  </si>
  <si>
    <t>Purchase of New Power Distribution Transformers for new DOH Building      IB NO.2020-052</t>
  </si>
  <si>
    <t>P.R. No. X7-20-06-228 - Supply and Delivery for the use in the Planning and Design Division, Repair and Maintenance of LMT-283</t>
  </si>
  <si>
    <t>PACKAGE 2020-01:IMPROVEMENT OF ECCD BUILDING, POBLACION</t>
  </si>
  <si>
    <t>SUPPLY AND DELIVERY OF ONE (1) UNIT FORWARD TRUCK, ONE (1) UNIT CLOSED VAN AND ONE (1) UNIT REEFER VAN FOR USE IN THE IMPLEMENTATION OF CAMARINES NORTE PINEAPPLE TRADING AND PROCESSING PROJECT</t>
  </si>
  <si>
    <t>Purchase of One (1) unit Multi - Purpose Vehicle for use in the operations at City Agriculture Office (Slaughterhouse) as requested by City Agriculturist's Office(PR# 197)</t>
  </si>
  <si>
    <t>Purchase of Drugs and Medicines for the use of City Health Office(PR# 195)</t>
  </si>
  <si>
    <t>Purchase of Ten (10) sets of Double Deck Beds with Foam, One (1) unit Massage Bed and Sewing Machine for use in the Recovery Wellness Center as requested by CADAC(PR# 192)</t>
  </si>
  <si>
    <t>P.R. No. X3-20-03-179 - Supply and Delivery for the request of additional furniture and office equipment</t>
  </si>
  <si>
    <t>Procurement of Emergency Newborn Kits         IB No. 2020-054</t>
  </si>
  <si>
    <t>Contract ID No. 19CSK00051 - Real Property Appraisal Services for Properties Affected by the following projects: 1. 14K00270, 15K00273, 17K00110, 16K00190, 18K00251 – Construction of Malaybalay By-Pas</t>
  </si>
  <si>
    <t>MOOE JANUARY TO JUNE2020</t>
  </si>
  <si>
    <t>Asphalt Overlaying/Concrete Reblocking (portion) of J.P. Burgos St., Sitio Sambungan, Brgy. Bagumbong, Jalajala, Rizal</t>
  </si>
  <si>
    <t>Construction of 2-Storey Ynares Multi-Purpose Building at Palmera 1, Brgy. Dolores, Taytay, Rizal</t>
  </si>
  <si>
    <t>Contract ID No. 19CSK00050 - Real Property Appraisal Services for Properties Affected by the following projects: 1. 19K00032 – Construction of By-Pass &amp; Diversion Road, CDO-New Western Diversion Road,</t>
  </si>
  <si>
    <t>P.R. No. X11-20-06-221 - Supply and Delivery for the use of the EMD Base Shop (Shop Supplies and Tools)</t>
  </si>
  <si>
    <t>Construction of 15x30m Ynares Multi-Purpose Covered Court at Taytay Senior High School, Brgy. Dolores, Taytay, Rizal</t>
  </si>
  <si>
    <t>Purchase of IT Consumables       IB NO.2020-053</t>
  </si>
  <si>
    <t>Supply and Delivery of 55 Shts. Ordinary Plywood 1/2 thck. X 4' x 8' &amp; Other Items; PR No. 20-1444 dated April 6, 2020</t>
  </si>
  <si>
    <t>Purchase of Oil Proof Performance Sprayer        IB NO.2020-051</t>
  </si>
  <si>
    <t>Construction of Stone Masonry Headwall (portion) of Wawa Boulevard, Brgy. Wawa, Pililla, Rizal</t>
  </si>
  <si>
    <t>Rehabilitation of Post-Harvest Facility (PHF) at Brgy. Guinbanga-an, Laua-an, Antique</t>
  </si>
  <si>
    <t>rebidding for purchase and delivery of supplies for Bahay Silungan use</t>
  </si>
  <si>
    <t>3-Phase Primary Line Extension and Transformer Installation (3x50 KVA BN)</t>
  </si>
  <si>
    <t>Construction / Extension of Jalajala Municipal Building, Brgy. First District, Jalajala, Rizal</t>
  </si>
  <si>
    <t>P.R. No. X1-20-04-197 - Supply and Delivery for the use in the Regional Office equipment use for threat of spread of COVID-19.</t>
  </si>
  <si>
    <t>P.R. No. X3-20-03-178 - Supply and Delivery for the Finance Division Office Supplies for the 1st quarter</t>
  </si>
  <si>
    <t>Procurement of 5 units hand tractor with complete accessories</t>
  </si>
  <si>
    <t>Upgrading of Maria Clara St. (B. Pag-Asa - Rizal Avenue), Brgy. Sta. Ana &amp; Brgy. San Isidro, Taytay, Rizal</t>
  </si>
  <si>
    <t>Improvement / Concreting (portion) of Road at Sitio Yapak, Brgy. Lagundi, Morong, Rizal</t>
  </si>
  <si>
    <t>Construction of Fence, Riprap &amp; Concreting of School Ground at Taytay Senior High School, Brgy. Dolores, Taytay, Rizal</t>
  </si>
  <si>
    <t>Contract ID No. 19CSK00052 - Real Property Appraisal Services for Properties Affected by the following projects: 1. 19K00072-Construction of Puerto-Claveria By-pass Road, (Claveria Section) Package 4,</t>
  </si>
  <si>
    <t>Asphalt Overlaying and Concrete Reblocking (portion) of Sitio Bulacan 1 Road, Brgy. Bagumbayan, Pililla, Rizal</t>
  </si>
  <si>
    <t>Project 2020-16: Purchase of 225mm dia. uPVC Pipes Series 8, Fixed Seal</t>
  </si>
  <si>
    <t>CONSTRUCTION OF PERIMETER FENCE</t>
  </si>
  <si>
    <t>Supply and delivery of 2,000 pcs Cellcards to be distributed to AEWs in support to the implementation of RCM Dissemination and Farmers and Farm lot Registration with PR # 171-02-17-2020 and ABC of Php</t>
  </si>
  <si>
    <t>Repair/Repainting of Ynares School Bldg. at Virgilio B. Melendres Elem. School, Brgy. Takungan, Pililla, Rizal</t>
  </si>
  <si>
    <t>Asphalt Overlaying and Concrete Reblocking (portion) of P. Oleta St., Brgy. Wawa, Pililla, Rizal</t>
  </si>
  <si>
    <t>Asphalt Overlaying and Concrete Reblocking (portion) of Sitio Lipat-Lipat Road, Brgy. Hulo, Pililla, Rizal</t>
  </si>
  <si>
    <t>Asphalt Overlaying and Concrete Reblocking (portion) of Sitio Ligua Road, Brgy. Hulo, Pililla, Rizal</t>
  </si>
  <si>
    <t>AFVDBCD 2020-06-047 - VARIOUS SUPPLIES</t>
  </si>
  <si>
    <t>4 units laptop computer</t>
  </si>
  <si>
    <t>Procurement of Office Supplies - ACCTG.</t>
  </si>
  <si>
    <t>Purchase of various Medicine</t>
  </si>
  <si>
    <t>CNH-0620-061</t>
  </si>
  <si>
    <t>Procurement of Labor and Materials for the Installation of Solar Streetlights at Brgy. Cayucay, Alaminos City, Pangasinan</t>
  </si>
  <si>
    <t>Purchase of Citation Tickets for POSO Office</t>
  </si>
  <si>
    <t>SUPPLY AND DELIVERY OF VARIOUS MATERIALS/FITTINGS TO BE USED FOR UPGRADING OF TRANSMISSION AND DISTRIBUTION LINE</t>
  </si>
  <si>
    <t>Purchase of Fuel (Diesel) –  Office of the Municipal Mayor</t>
  </si>
  <si>
    <t>SUPPLY &amp; DELIVERY OF GOODS/SERVICES-EQUIPMENT RENTAL (30 UNITS MOTORCYCLE)</t>
  </si>
  <si>
    <t>5 sets decktop computer</t>
  </si>
  <si>
    <t>MEDICINES (for Mental Health Program) RHU</t>
  </si>
  <si>
    <t>DELIVERY OF OFFICE  SUPPLIES</t>
  </si>
  <si>
    <t>VETERINARY SUPPLIES (for Livelihood Project) MAO</t>
  </si>
  <si>
    <t>construction of slope protection and concrete pavement</t>
  </si>
  <si>
    <t>Acquisition Of Office Supplies</t>
  </si>
  <si>
    <t>Supply and Delivery of Safety and Occupational Products (PR#20-06-0253)</t>
  </si>
  <si>
    <t>Procurement of Split type Wall Mount Aircon w/ Installation - ACCTG.</t>
  </si>
  <si>
    <t>Procurement of I.T. Supplies - ACCTG.</t>
  </si>
  <si>
    <t>( PR NO. 20-05-07-0182 SUPPLY AND DELIVERY OF 489 bags Portland Cement 40kg, 2 bags Non-Shrink Cement)</t>
  </si>
  <si>
    <t>RFQ 3-0620-037</t>
  </si>
  <si>
    <t>CONSTRUCTION OF NEW ONE CLASSROOM BUILDING (Biasong Nat’l. High School, Biasong, Balamban, Cebu) Materials</t>
  </si>
  <si>
    <t>purchase of 1 unit brand new thermoplastic road marker</t>
  </si>
  <si>
    <t>construction of box culvert and canal lining</t>
  </si>
  <si>
    <t>RFQ 3-0620-038</t>
  </si>
  <si>
    <t>Supply and Delivery of Materials for the Improvement of Waterworks System</t>
  </si>
  <si>
    <t>CONSTRUCTION OF BIOGAS TANK &amp; HALLWAY SLAB (Slaughterhouse Bldg., Poblacion, Balamban, Cebu) Materials</t>
  </si>
  <si>
    <t>Procurement of Diesel Engine Generator Set</t>
  </si>
  <si>
    <t>CONSTRUCTION OF CONCRETE PAVEMENT AROUND BARANGAY SITE</t>
  </si>
  <si>
    <t>RFQ - Assorted Office Supplies and Consumables for use for Doongan Motorpool Bunk House (Maintenance Section)</t>
  </si>
  <si>
    <t>Procurement of One (1) Unit Brand New Sports Utility Vehicle (SUV)</t>
  </si>
  <si>
    <t>Office Supplies and Consumables for use of RRCY for 3rd Quarter CY 2020</t>
  </si>
  <si>
    <t>RFQ 3-0620-040</t>
  </si>
  <si>
    <t>Construction of Ynares Multi-Purpose Covered Court (Rafter Type) at Carissa Homes East-1, Brgy. Bagumbayan, Teresa, Rizal</t>
  </si>
  <si>
    <t>Supply and Delivery of Airconditioners for City Mayor's Office &amp; City Library Use</t>
  </si>
  <si>
    <t>Purchase of CCTV Camera</t>
  </si>
  <si>
    <t>Installation of Floor Tiles and Stage Ceiling of Pijanga Hall</t>
  </si>
  <si>
    <t>Procurement of Auto Parts for the University Vehicle (Coaster &amp; Truck) use at ESSU Main Campus PR# 2020-OSPM-214</t>
  </si>
  <si>
    <t>CONSTRUCTION OF TUPLAC CIS Located at Dulli, Ambaguio, Nueva Vizcaya</t>
  </si>
  <si>
    <t>WATER SERVICE CONNECTION MATERIALS/FITTING</t>
  </si>
  <si>
    <t>Asphalt overlaying of Various Roads at Bancom Life Homes, Brgy. Gulod Malaya, San Mateo, Rizal</t>
  </si>
  <si>
    <t>RFQ 3-0620-039</t>
  </si>
  <si>
    <t>Procurement of Medical and Dental Supplies for the University use at ESSU Main Campus PR# 2020-OSPM-201</t>
  </si>
  <si>
    <t>Procurement of Materials and Rental of Equipment for Riprapping / Road Shouldering</t>
  </si>
  <si>
    <t>REHABILITATION OF COMFORT ROOM-TERMINAL BLDG. (Poblacion, Balamban, Cebu) Materials</t>
  </si>
  <si>
    <t>Purchase of  Construction Supplies (June)</t>
  </si>
  <si>
    <t>RFQ 3-0620-043</t>
  </si>
  <si>
    <t>Purchase of Audio &amp; Equipment</t>
  </si>
  <si>
    <t>PROCUREMENT OF OFFICE EQUIPMENT - MHO</t>
  </si>
  <si>
    <t>CONSTRUCTION OF FLOOD CONTROL STRUCTURE- Phase II (Tubod, Pondol, Balamban, Cebu) Materials</t>
  </si>
  <si>
    <t>Procurement of Electrical, Electronic and Plumbing Supplies for the repair and maintenance of the University at ESSU Main Campus PR# 2020-OSPM-211</t>
  </si>
  <si>
    <t>Procurement of Doors and Windows</t>
  </si>
  <si>
    <t>COMPLETION OF EXISTING CLASSROOM (Biasong Nat’l. High School, Biasong, Balamban, Cebu) Materials</t>
  </si>
  <si>
    <t>Procurement of Air conditioning Units</t>
  </si>
  <si>
    <t>SUPPLY AND DELIVERY OF CONSTRUCTION MATERIALS FOR THE CONSTRUCTION OF LIFEGUARD TOWER AT VOWVULON RESORT</t>
  </si>
  <si>
    <t>Purchase, Delivery of Motorcycle for Accounting Office Use</t>
  </si>
  <si>
    <t>RFQ for the Procurement of Vehicle tyre</t>
  </si>
  <si>
    <t>Construction of Water Supply System Incorporating CC &amp; CV</t>
  </si>
  <si>
    <t>IMPROVEMENT OF DIFFUDAY-BONIFACIO ROAD Located at Quezon, Nueva Vizcaya</t>
  </si>
  <si>
    <t>Contract ID No. 19CSK00057 – Cluster - Consultancy Services for the Conduct of Feasibility Study for Region X Priority Road Infrastructure Projects-26 (REXPRIP-26), Total Length = 56.62 km:  a.) Quezo</t>
  </si>
  <si>
    <t>For the use of the operation of Valencia Fire Station more specifically in its Conference Room line under its Fire Prevention Program</t>
  </si>
  <si>
    <t>WIDENING OF BARANGAY ROAD, POBLACION 1, BARANGAY MABINI, BURDEOS, QUEZON</t>
  </si>
  <si>
    <t>IMPROVEMENT OF MAKATBENG-KIMBUTAN-BELANCE ROAD Located at Dupax del Sur, Nueva Vizcaya</t>
  </si>
  <si>
    <t>2,000 bags cement &amp; 50 drums asphalt, cold mix</t>
  </si>
  <si>
    <t>IB-05-0400-20VPAA,2020-06-04-095TC SUPPLY &amp; DELIVERY OF COMPUTER EQUIPMENT (VPAA/TC)</t>
  </si>
  <si>
    <t>Procurement of Plumbing Materials</t>
  </si>
  <si>
    <t>FURNITURE (Office Chair and Mobile Pedestal) Accounting Office</t>
  </si>
  <si>
    <t>IMPROVEMENT OF NV BENGUET JCT.-KAYAPA CENTRAL-KAYAPA PROPER ROAD Located at Kayapa, Nueva Vizcaya</t>
  </si>
  <si>
    <t>REQUEST FOR QUOTATION FOR USE OF PPE AND GENERAL SUPPLIES FOR WELDER &amp; MECHANIC</t>
  </si>
  <si>
    <t>Purchase of Chair</t>
  </si>
  <si>
    <t>REPAIR OF ONE CLASSROOM BUILDING (Nangka Nat’l. High School, Nangka, Balamban, Cebu) Materials</t>
  </si>
  <si>
    <t>849-20 Office Supplies</t>
  </si>
  <si>
    <t>purchase of brand new concrete mixer</t>
  </si>
  <si>
    <t>Installtion of More Enegery Efficient Barangay Street Light</t>
  </si>
  <si>
    <t>Procurement of Customized Tower Mast and Enclosure Stainless Steel for SIGAW Project</t>
  </si>
  <si>
    <t>IMPROVEMENT OF CVR BATU-STO. DOMINGO-MANAMTAM ROAD Located at Bambang, Nueva Vizcaya</t>
  </si>
  <si>
    <t>Procurement of Construction Materials</t>
  </si>
  <si>
    <t>Purchase and Delivery of Various Newspaper</t>
  </si>
  <si>
    <t>Purchase of Chairs</t>
  </si>
  <si>
    <t>I.T. EQUIPMENT (Desktop &amp; Printer) RHU III</t>
  </si>
  <si>
    <t>Procurement of Alarm Sounder for SIGAW Project</t>
  </si>
  <si>
    <t>Purchase of Medicines</t>
  </si>
  <si>
    <t>Construction of 5-storey training laboratory &amp; equipment for HRM ( bukSU Hotel ) Sign and Sealed , Structural design &amp; analysis</t>
  </si>
  <si>
    <t>Procurement of ICT equipment and other supplies of the VPRDE office</t>
  </si>
  <si>
    <t>I.T. EQUIPMENT (Desktop &amp; Printer) RHU I</t>
  </si>
  <si>
    <t>Procurement of supplies for the installation of Wifi Connectivity</t>
  </si>
  <si>
    <t>2nd ITB for the  CONSTRUCTION OF CUTAR FARMERS ASSOCIATION CIS Located at Aritao, Nueva Vizcaya</t>
  </si>
  <si>
    <t>Construction of Slope Protection with Climate Resilient Design</t>
  </si>
  <si>
    <t>Laptop/Computer</t>
  </si>
  <si>
    <t>SUPPLY &amp; DELIVERY OF SUBMERSIBLE DEEP WELL PUMP/MOTOR 15HP</t>
  </si>
  <si>
    <t>PROCUREMENT OF OFFICE SUPPLIES - MCR</t>
  </si>
  <si>
    <t>IMPROVEMENT OF DRAINAGE SYSTEM AT DEH Located at DEH, Diadi, Nueva Vizcaya</t>
  </si>
  <si>
    <t>Purchase of Supplies &amp; Materials</t>
  </si>
  <si>
    <t>Purchase of Refrigerator</t>
  </si>
  <si>
    <t>Procurement of Housekeeping and Subsistence Supplies</t>
  </si>
  <si>
    <t>Request for Quotation-Submersible Pump and Motor @ Upper Tuyo, Balanga City, Bataan</t>
  </si>
  <si>
    <t>20AA0351 - REPAIR OF BALUDAVID BRIDGE ALONG ILOCOS NORTE-APAYAO ROAD (B02391LZ), SARRAT, ILOCOS NORTE</t>
  </si>
  <si>
    <t>I.T. EQUIPMENT (Desktop &amp; Printer) Office of the Mayor</t>
  </si>
  <si>
    <t>CONSTRCUTION OF PERIMETER FENCE AND CONCRETING OF DRIVEWAY WITH DRAINAGE CANAL AT BUSIING ELEMENTARY SCHOOL SAN ILDEFONSO, ILOCOS SUR</t>
  </si>
  <si>
    <t>Purchase Native Chicken and Feeds</t>
  </si>
  <si>
    <t>IMPROVEMENT OF GANAO-BIRUK ROAD Located at Dupax del Sur, Nueva Vizcaya</t>
  </si>
  <si>
    <t>Supply and Delivery of Various Construction Materials (Construction of Multi-Purpose Hall)</t>
  </si>
  <si>
    <t>I.T. EQUIPMENT (Desktop, Printer, Hard Drive, Server &amp; Keyboard) Accounting Office</t>
  </si>
  <si>
    <t>851-20 Office Supplies</t>
  </si>
  <si>
    <t>Purchase of Laptop and Printer for Barangay Used</t>
  </si>
  <si>
    <t>PROCUREMENT OF JANITORIAL SUPPLIES - PUBLIC MARKET OFFICE</t>
  </si>
  <si>
    <t>PURCHASE OF MATERIALS FOR THE CONSTRUCTION OF WOMEN'S BUILDING PHASE IV</t>
  </si>
  <si>
    <t>RFQ no. 87-2020-G (1 canvass)</t>
  </si>
  <si>
    <t>PURCHASE OF MATERIALS FOR THE REHABILITATION OF SCHOOL MULTI-PURPOSE HALL</t>
  </si>
  <si>
    <t>CONSTRUCTION EQUIPMENT (Bagger Concrete Mixer) Office of the Mun. Engineer</t>
  </si>
  <si>
    <t>2 units wooden chairs, etc</t>
  </si>
  <si>
    <t>SUPPLY &amp; DELIVERY OF CONSTRUCTION MATERIALS FOR THE CONSTRUCTION OF SANITATION FACILITIES PROJECT Y ADMIN</t>
  </si>
  <si>
    <t>CONSTRUCTION MATERIALS AND SUPPLIES</t>
  </si>
  <si>
    <t>Supply &amp; Delivery of Jetmatic Pumps and Toilet Bowls</t>
  </si>
  <si>
    <t>Installation of Water Tank/Concrete Reservoir at NHA, San Antonio Barangay Maparat</t>
  </si>
  <si>
    <t>Procurement of Various Housekeeping Supplies-06-366(A)PGO</t>
  </si>
  <si>
    <t>Supply and Delivery of Various Construction Materials (Construction of Drainage System)</t>
  </si>
  <si>
    <t>VEHICLE PARTS AND ACCESSORIES</t>
  </si>
  <si>
    <t>Procurement of Supply and Delivery of Office  Supplies &amp; Equipment</t>
  </si>
  <si>
    <t>Diesel Fuel</t>
  </si>
  <si>
    <t>Installation of More Enegery Efficient Barangay Street Light</t>
  </si>
  <si>
    <t>PURCHASE OF MATERIALS FOR THE CONSTRUCTION OF OSCA BUILDING PHASE VIII</t>
  </si>
  <si>
    <t>COMMUNICATION EQUIPMENT (Projector) Office of the Mayor</t>
  </si>
  <si>
    <t>850-20 Other supplies</t>
  </si>
  <si>
    <t>852-20 Food Supplies</t>
  </si>
  <si>
    <t>VETERINARY SUPPLIES AND MATERIALS (MAO)</t>
  </si>
  <si>
    <t>For Pathwalk to Other Building of Municipality</t>
  </si>
  <si>
    <t>SUPPLY AND DELIVERY OF 2 UNITS 3 TONNER FLOOR STANDING AIRCONDITIONER</t>
  </si>
  <si>
    <t>SUPPLY &amp; DELIVERY OF 50KVA GENERATOR SET</t>
  </si>
  <si>
    <t>Procurement of supply and delivery of Agricultural Supplies/Seeds</t>
  </si>
  <si>
    <t>Procurement and Delivery of School Supplies for the 1st Quarter of SY 2020 for Nasandigan Elementary School</t>
  </si>
  <si>
    <t>AGRICULTURAL SUPPLIES (Vegetable Seeds and Fertilizer) MAO</t>
  </si>
  <si>
    <t>RFQ no. 89-2020-G (1 canvass)</t>
  </si>
  <si>
    <t>1 unit desktop computer (server)</t>
  </si>
  <si>
    <t>Power Supply,Comcolor Black,Comcolor Yellow</t>
  </si>
  <si>
    <t>FARM EQUIPMENT (Egg Laying Machine) MAO</t>
  </si>
  <si>
    <t>Procurement of Van Hire</t>
  </si>
  <si>
    <t>RFQ no. 88-2020-G (1 canvass)</t>
  </si>
  <si>
    <t>Procurement of service for the calibration of laboratory equipment to comply with ISO</t>
  </si>
  <si>
    <t>SUPPLY &amp; DELIVERY OF DIAPHRAGM TYPE DOSING PUMP</t>
  </si>
  <si>
    <t>Continuation for the Concreting of Farm to Market Road at Zone 6 and Riprapping Works Area at Brgy. Labit West, Urdaneta City</t>
  </si>
  <si>
    <t>SUPPLY AND DELIVERY OF GARBAGE BIN</t>
  </si>
  <si>
    <t>Procurement of Petroleum (Diesel)</t>
  </si>
  <si>
    <t>Supply of Materials and Installation of Office Partitions</t>
  </si>
  <si>
    <t>Procurement of supply and delivery of Full Kit</t>
  </si>
  <si>
    <t>CONSTRUCTION OF MULTI-PURPOSE HALL (SO. MALINAO, BGY. LIBERTAD, TAYTAY, PALAWAN)</t>
  </si>
  <si>
    <t>EGG LAYERING MACHINE &amp; LAYERING MASH</t>
  </si>
  <si>
    <t>Supply and Delivery of Hardware and Construction Supplies (PR 20-06-0255)</t>
  </si>
  <si>
    <t>CONSTRUCTION OF MULTI-PURPOSE HALL (SO. NALBOT, BGY. POBLACION, TAYTAY, PALAWAN)</t>
  </si>
  <si>
    <t>REPAIR AND MAINTENANCE OFPUBLIC BUILDING</t>
  </si>
  <si>
    <t>Purchase of Olyset Net (Gray) for Distribution at Different Schools and Day Care Centers at Gumaca, Quezon</t>
  </si>
  <si>
    <t>CONSTRUCTION OF DAY CARE CENTER (Nangka, Balamban, Cebu) Materials</t>
  </si>
  <si>
    <t>Purchase of Office Supplies 2020-15</t>
  </si>
  <si>
    <t>Procurement of supply and delivery of Various Inorganic Fertilizers</t>
  </si>
  <si>
    <t>Purchase of Automotive Battery 2SM</t>
  </si>
  <si>
    <t>land Rental</t>
  </si>
  <si>
    <t>SUPPLY AND DELIVERY OF PVC PIPES AND VARIOUS C.I./D.I. FITTINGS</t>
  </si>
  <si>
    <t>20GGM0008 - Procurement of Vehicle parts and accessories for various motor vehicles and equipment, DPWH, Negros Occidental 3rd District Engineering Office, Kabankalan City, Negros Occidental. (Re-bidd</t>
  </si>
  <si>
    <t>Supply/Procurement of Office Equipment Supplies and Consumables</t>
  </si>
  <si>
    <t>Purchase of Air-condition (2 Unit Window Type 2HP)</t>
  </si>
  <si>
    <t>Purchase of Survey Drone Equipment for the use of Municipality of Lambunao, Iloilo</t>
  </si>
  <si>
    <t>Procurement of Various Supplies and Materials, OMMC-PR-702</t>
  </si>
  <si>
    <t>SUPPLY AND DELIVERY OF MATERIALS FOR THE IMPROVEMENT OF PUBLIC CEMETERY (TOILET)</t>
  </si>
  <si>
    <t>CONSTRUCTION/REHABILITATION OF BRGY. PATHWAY</t>
  </si>
  <si>
    <t>WATER SERVICES AND CONNECTION</t>
  </si>
  <si>
    <t>854-20 Rent-Motor Vehicle</t>
  </si>
  <si>
    <t>SUPPLY AND DELIVERY OF 153 UNITS MINI DUMP TRUCK, ENGINE DISPLACEMENT: 2.7L, 4 X 2, 4 CYLINDER, 109HP, EURO 4 ENGINE, WITH 3 YEARS LTO REGISTRATION</t>
  </si>
  <si>
    <t>Procurement and Delivery of School Supplies for the 1st Quarter of SY 2020 for Minlanaw Elementary School</t>
  </si>
  <si>
    <t>Supply and delivery of various office supplies to be used for the activities and program of AMAD</t>
  </si>
  <si>
    <t>Procurement of Printed Materials, OMMC-PR-710</t>
  </si>
  <si>
    <t>CONSTRUCTION/IMPROVEMENT OF PUROK 7, BUSILAC FTMR Located at Bayombong, Nueva Vizcaya</t>
  </si>
  <si>
    <t>Invitation to Bid - Procurement of Toners &amp; Photoconductor kits for CY 2020</t>
  </si>
  <si>
    <t>Labor, Spare Parts, Oil, and Lubricants P1-C433</t>
  </si>
  <si>
    <t>Supply and Delivery of Materials 2ND Quarter MOOE</t>
  </si>
  <si>
    <t>853-20 Other Supplies</t>
  </si>
  <si>
    <t>20CSCE005  - CONSULTING SERVICES FOR THE CONDUCT OF a.) PARCELLARY SURVEY b.) DETAILED ENGINEERING SURVEY c.) STRUCTURAL/UTILITY/FACILITIES SURVEY d.) MONUMENTING e.) RESEARCH WORKS for the CONSTRUCTI</t>
  </si>
  <si>
    <t>Purchase of Electrical Supplies</t>
  </si>
  <si>
    <t>Procurement of Various Dietary and Linen Supplies, OMMC &amp; JJASGH</t>
  </si>
  <si>
    <t>SUPPLY &amp; DELIVERY OF MOTOR CONTROL PANEL &amp; SUBMERSIBLE CABLE (#6 AWG - FLAT)</t>
  </si>
  <si>
    <t>Purchase of Disaster Response Vehicle (Delta Tricycle with Customized Fiber Glass Body) Gumaca, Quezon</t>
  </si>
  <si>
    <t>Meals and Venue for the Division MHPSS and PFA Sessions cum Planning Workshop</t>
  </si>
  <si>
    <t>Supplies for the Monitoring, Assessment and Geotagging of School Building</t>
  </si>
  <si>
    <t>Purchase of Camera</t>
  </si>
  <si>
    <t>PR 2.033 ITB No. 2020-030 PRODUCTION, SUPPLY, AND DELIVERY OF TEN (10) THOUSAND PIECES CORPORATE TOTE BAG WITH SEVEN (7) DIFFERENT WEAVE CLOTH DESIGN</t>
  </si>
  <si>
    <t>CONSTRUCTION OF MULTI-PURPOSE HALL (BARANGAY SAN JOSE, TAYTAY, PALAWAN)</t>
  </si>
  <si>
    <t>Supplies and Materials for the Conduct of SBM Harvest of Excellence</t>
  </si>
  <si>
    <t>supply  of Office Equipment Supplies and Consumables</t>
  </si>
  <si>
    <t>CONSTRUCTION OF MULTI-PURPOSE HALL (BARANGAY LIMINANGCONG, TAYTAY, PALAWAN)</t>
  </si>
  <si>
    <t>Additional office supplies for 2020 Census of Population and Housing (CPH) use</t>
  </si>
  <si>
    <t>RFQ-024 4th Level Training on 2020CPH_Sarangani</t>
  </si>
  <si>
    <t>Supply and delivery of various furnitures and fixtures to be used at DA-INREC Dingras Station</t>
  </si>
  <si>
    <t>Construction of Covered Canal</t>
  </si>
  <si>
    <t>Training Supplies</t>
  </si>
  <si>
    <t>Repair and Maintenance  of Valencia Waterworks System</t>
  </si>
  <si>
    <t>R&amp;M of Musical Instrument</t>
  </si>
  <si>
    <t>IMPROVEMENT OF OYAO-GANAO ROAD Located at Dupax del Norte and Dupax del Sur, Nueva Vizcaya</t>
  </si>
  <si>
    <t>SUPPLY AND DELIVERY OF VARIOUS PIPES AND FITTINGS</t>
  </si>
  <si>
    <t>Supply and Delivery of Catering Services</t>
  </si>
  <si>
    <t>RFQ-020 4th Level Training on 2020CPH_Don Marcelino</t>
  </si>
  <si>
    <t>Supply and Delivery of Brass Water Meter</t>
  </si>
  <si>
    <t>Installation of Floor Tiles and Fabrication of Shelves of Agricultural Training Center</t>
  </si>
  <si>
    <t>Meals and Snacks for the Fourth Level Training on 2020 Census of Population and Housing at San Pablo City</t>
  </si>
  <si>
    <t>Purchase of Construction Materials for the Comfort Room Phase - I at Lawagan, Labason, ZN:</t>
  </si>
  <si>
    <t>RFQ-023 4th Level Training on 2020CPH_Santa Maria</t>
  </si>
  <si>
    <t>RFQ-021 4th Level Training on 2020CPH_Jose Abad Santos</t>
  </si>
  <si>
    <t>Construction and Improvement of Various Municipal Projects (Package 2020-05)</t>
  </si>
  <si>
    <t>ITB 06-001-20 Supply and Delivery of Various Laboratory Supplies (DA-RADDL IX)</t>
  </si>
  <si>
    <t>Meals and Snacks for the Fourth Level Training on 2020 Census of Population and Housing at Nagcarlan, Laguna</t>
  </si>
  <si>
    <t>AGRICULTURAL PRODUCT (SEEDS, SEEDLINGS, PLANTS)</t>
  </si>
  <si>
    <t>020-GOODS-051 / GENERAL MERCHANDISE</t>
  </si>
  <si>
    <t>Installation of Solar Street Lightning System</t>
  </si>
  <si>
    <t>RFQ-022 4th Level Training on 2020CPH_Malita</t>
  </si>
  <si>
    <t>PURCHASED OF LOP TOP &amp; 3 in 1 Printer</t>
  </si>
  <si>
    <t>Procurement of  1 Misting Machine for Control of Dengue and Other Vector Borne Disease</t>
  </si>
  <si>
    <t>DRILLING OF TWO (2) EXPLORATORY/PRODUCTION WELLS</t>
  </si>
  <si>
    <t>2020MC-SVP057 Supply &amp; Delivery of Materials for the Construction of Adminsitration Office @ Masbate City New Public Market, Brgy. Pating, Masbate City</t>
  </si>
  <si>
    <t>Procurement of Diesoline, Gasoline and other Petroleum Products for the use of Aklan Provincial Police Office (APPO) Vehicles, Province of Aklan/ITB No: 2020-370</t>
  </si>
  <si>
    <t>Concreting of Road</t>
  </si>
  <si>
    <t>supply and delivery of chemicals and filtering to be used in Regional Soils Laboratory with PR # 237 dated 6/19/2020 with an ABC of 121,500.00</t>
  </si>
  <si>
    <t>20GDKJ0076</t>
  </si>
  <si>
    <t>PROCUREMENT OF OFFICE EQUIPMENT - MBO</t>
  </si>
  <si>
    <t>IMPROVEMENT,REPAIR AND MAINTENANCE OF ECCD CENTERS, VARIOUS BARANGAYS SAN ILDEFONSO,ILOCOS SUR</t>
  </si>
  <si>
    <t>RFQ-019 3rd Level Training on 2020CPH</t>
  </si>
  <si>
    <t>Supply, Delivery and Installation of Various Acrylic Divider for COA Office</t>
  </si>
  <si>
    <t>Lot I - Use in Act. 302 - Centerline and Lane Line Repainting and Tablas Island and Lot II - Use in Act. 122 - Crack and Joint Sealing of Concrete Pavement along Tablas Island</t>
  </si>
  <si>
    <t>Procurement of Various Medicines, and Medical Supplies and Equipment</t>
  </si>
  <si>
    <t>RFQ No.: 2020-52 Repost Various Laboratory Supplies</t>
  </si>
  <si>
    <t>Back-up Dedicated Internet Service</t>
  </si>
  <si>
    <t>Use in (Act. 71X – Special Maintenance) Rehab./Replacement of Existing Shattered Concrete Pavement along Tablas Circum. Road, k0003+500 – k0102+100 (int. section.</t>
  </si>
  <si>
    <t>FOR LGU BANTAY COVID-19 USE</t>
  </si>
  <si>
    <t>Weather Station and Marine VHF Transceiver</t>
  </si>
  <si>
    <t>Accommodation, catering services &amp; function hall for 2nd Level Training on 2020 Census of Population Housing (CPH)</t>
  </si>
  <si>
    <t>Improvement of Multi-Purpose Pavement (Stage)</t>
  </si>
  <si>
    <t>Purchase of Pocket Wifi with Sim and Load</t>
  </si>
  <si>
    <t>Purchase of Push Cart</t>
  </si>
  <si>
    <t>MDF CLUSTER 13-2020 PROJECTS AT CALIKING AND TOPDAC, ATOK, BENGUET</t>
  </si>
  <si>
    <t>Purchase of Laptop</t>
  </si>
  <si>
    <t>Printing of Quarantine Passes w/ Layout</t>
  </si>
  <si>
    <t>PURCHASED OF PERSONAL PROTECTIVE EQUIPMENT (PPE)</t>
  </si>
  <si>
    <t>supply and delivery of computer supplies and other materials to be used in the Regional Soils Laboratory with PR#194 dated 6/16/20 with an ABC 144,000.00</t>
  </si>
  <si>
    <t>PROCUREMENT OF ONE (1) UNIT PASSENGER VAN FOR THE OFFICIAL USE OF MUNICIPAL OFFICIALS AND EMPLOYEES, ATOK, BENGUET</t>
  </si>
  <si>
    <t>MDF CLUSTER 14-2020 PROJECTS AT CATTUBO, ATOK, BENGUET</t>
  </si>
  <si>
    <t>Procurement of Diesel  and Oil for the use of Government Vehicles and Equipments for the maintenance of Barangay roads, Province of Aklan /ITB no: 2020-369</t>
  </si>
  <si>
    <t>Purchase of Office Chairs and Tables to be used by Vice Mayors Office</t>
  </si>
  <si>
    <t>Purchase of Thirteen (13) Units Brand New Laptop</t>
  </si>
  <si>
    <t>SUPPLY &amp; DELIVERY OF OFFICE SUPPLIES</t>
  </si>
  <si>
    <t>2020MC-SVP058 Supply &amp; Delivery of Materials for the Construction of CCTV Room &amp; Storage Room @ Masbate City New Public Market, Brgy. Pating, Masbate City</t>
  </si>
  <si>
    <t>2020MC-SVP060 Supply &amp; Delivery of Office Equipment for LGU - Masbate City</t>
  </si>
  <si>
    <t>SUPPLY &amp; DELIVERY OF FOOD PRODUCTS</t>
  </si>
  <si>
    <t xml:space="preserve">PR No. 2020-06-0054 - Supply and delivery of 4 rolls 8.0 mm² THW Wire (#8 AWG), (2-Black, 2-White) and nine (9) other items for use in the replacement of electrical wiring supplying Shop, Guard House </t>
  </si>
  <si>
    <t>TPB-PR 2020.06.191 SHUTTLE SERVICE</t>
  </si>
  <si>
    <t>Repair of Three (3) Units Sinamics Variable Frequency Drive of Pump No. 5, 7, and 8  of Taguig Pumping Station</t>
  </si>
  <si>
    <t>IMPROVEMENT &amp; BACKFILLING OF CFLC COMPOUND</t>
  </si>
  <si>
    <t>2020MC-SVP059 Purchase of Spare Parts for the Repair of Garbage Truck Compactor 02 of LGU - Masbate City</t>
  </si>
  <si>
    <t>supply and delivery of various supplies to be used in the Regional Soils Laboratory with PR # 299 dated 6-23-2020 with an ABC of 663,500.00</t>
  </si>
  <si>
    <t>Supply and Delivery of IT Equipment for HSED and NQC</t>
  </si>
  <si>
    <t>2020-E001</t>
  </si>
  <si>
    <t>SUPPLY &amp; DELIVERY OF VARIOUS SUPPLIES</t>
  </si>
  <si>
    <t>Request for Quotation (Upgrading of the Electrical Main Distribution System)</t>
  </si>
  <si>
    <t>To be used at Temporary Shelter for Homeless/PUM's at Quarantine Facility.</t>
  </si>
  <si>
    <t>Rosalia Aglay Ayag Elementary School-Printing supllies</t>
  </si>
  <si>
    <t>Request for Quotation (Large Format Printer)</t>
  </si>
  <si>
    <t>SUPPLY AND DELIVERY OF OFFICE EQUIPMENT &amp; DEVICES (PPE Capital Outlay) LGU Polillo, Quezon</t>
  </si>
  <si>
    <t>8918-20-222)  CONTINUATION OF SEWERLINE FROM THE TURNING POINT TO ACCOS RESIDENCE AT PUROK 4, HOLYGHOST EXTENSION C/O CEPMO</t>
  </si>
  <si>
    <t>Supply and Delivery of 100 pcs. Water Meter</t>
  </si>
  <si>
    <t>SUPPLY AND DELIVERY OF WATER PUMP MATERIALS</t>
  </si>
  <si>
    <t>Supply and delivery of 1 unit Single Drum, Multi Crop Thresher to be used in the organic soybean production and processing for improved local supply and utilization project in Region I</t>
  </si>
  <si>
    <t>RFQ No. 20-084: Supply and Delivery of Various Advanced Wound Care and Vascular Stocking (Line Item)</t>
  </si>
  <si>
    <t>PR NO. 1601 CATERING SERVICES</t>
  </si>
  <si>
    <t>supply and delivery of other laboratory supplies to be used in the Regional Soils Laboratory with PR # 298 dated 6/23/20 with an ABC 499,500.00</t>
  </si>
  <si>
    <t>Supply of Fiberglass Reinforced Plastic Pontoon with Polycarbonate Canopy for the use of Escolta-Pasig River Ferry</t>
  </si>
  <si>
    <t>SUPPLY, DELIVERY AND INSTALLATION OF AIRCON UNITS AT THE GS BUILDING-2nd Posting</t>
  </si>
  <si>
    <t>Procurement of Supply &amp; Delivery of NSIC Approved Hybrid Rice Seeds</t>
  </si>
  <si>
    <t>8918-20-010/8751-20-010) A.  IMPROVEMENT OF SIDEWALK FROM CEO TO CITY HALL, B.  IMPROVEMENT OF SIDEWALK GOING TO CITY HALL FROM CITY ENGINEERING OFFICE C/O CEO</t>
  </si>
  <si>
    <t>Purchase of One (1) Unit X-Ray Machine w/ CR System (Brand New) - MDRRMO</t>
  </si>
  <si>
    <t>Supply and Delivery of Camera</t>
  </si>
  <si>
    <t>Purchase of Franklin Motor Water Pump for Barangay Babo Sacan</t>
  </si>
  <si>
    <t>To Support the Logistical Requirements of 5IB,1ID,PA</t>
  </si>
  <si>
    <t>Supply and Delivery of Tool Box for use in the Repair and Maintenance of Various Pumping Station</t>
  </si>
  <si>
    <t>Procurement of Construction Materials and Supplies for the Construction of Farm to Market Road</t>
  </si>
  <si>
    <t>Procurement of Supply &amp; Delivery of Organic Fertilizer</t>
  </si>
  <si>
    <t>RFQ 20-083: Supply and Delivery of Various Engineering Supplies for the Replacement of Defective Existing Polycarbonate at Ward 3A and 3B, 3rd Floor Main Building, Walkway Main Building and Annex II C</t>
  </si>
  <si>
    <t>PR NO. 1574 INDOOR P3</t>
  </si>
  <si>
    <t>Medical and Lab Supplies</t>
  </si>
  <si>
    <t>Supply and Delivery of Communication Equipment for Marikina Sports Center</t>
  </si>
  <si>
    <t>PR NO. 1504 OFFICE EQUIPMENT</t>
  </si>
  <si>
    <t>Procurement of Materials for the Construction of Office at the Agoo East Central School</t>
  </si>
  <si>
    <t>Procurement of Furniture &amp; Office Equipment (AECS)</t>
  </si>
  <si>
    <t>Procurement of Materials for the Repair of Principal's Office (SJES)</t>
  </si>
  <si>
    <t>Invitation to Bid for the Consultancy Services for the Training Needs Assessment, Design, Development and Pilot Implementation of Training Programs on MSMEs Resiliency for the Creative Industries Sect</t>
  </si>
  <si>
    <t>Invitation to Bid for Rehabilitation of Multi-Purpose Hall/Tinangra</t>
  </si>
  <si>
    <t>Bond Paper A4 For Elementary School Principal</t>
  </si>
  <si>
    <t>Purchase of Office Equipment  &amp; Furniture &amp; Fixtures</t>
  </si>
  <si>
    <t>Procurement of IT Supplies for the Maintenance of the University at ESSU Main Campus PR#2020-OSPM-215</t>
  </si>
  <si>
    <t>PR NO. 1602 SEEDLING</t>
  </si>
  <si>
    <t>PR NO. 1603 FOOD GRADE</t>
  </si>
  <si>
    <t>Procurement of DRUGS AND MEDICINES</t>
  </si>
  <si>
    <t>Rehabilitation / Construction of Drainage System</t>
  </si>
  <si>
    <t>SUPPLY, INSTALLATION AND DELIVERY OF EQUIPMENT FOR THE NEWLY CONSTRUCTED PSAU INNOVATION CENTER- 2nd Posting</t>
  </si>
  <si>
    <t>Supply and Delivery of Musical Instruments</t>
  </si>
  <si>
    <t>Construction Brgy. Drainage Canal</t>
  </si>
  <si>
    <t>PBG-2020-07-21 PURCHASE OF CELLCARDS FOR 3RD QUARTER 2020 FOR EXECUTIVE AND LEGISLATIVE DEPARTMENT</t>
  </si>
  <si>
    <t>SUPPLY AND DELIVERY OF MATERIALS FOR THE REHABILITATION OF SHARED FACILITY AT SITIO CALAETEN, BARANGAY MALCAMPO, ROXAS, PALAWAN</t>
  </si>
  <si>
    <t>ITB NO. 003-06-2020 - PROCUREMENT OF THE FIBER OPTIC INTERNET ENTERPRISE CONNECTION TO UPGRADE DEPED REGION XI OFFICE INTERNET NETWORK</t>
  </si>
  <si>
    <t>SUPPLY AND DELIVERY OF TIRES FOR VARIOUS VEHICLES</t>
  </si>
  <si>
    <t>RFQ 2020-06-364 Procurement of 600 pcs. Placemat for DTCAM</t>
  </si>
  <si>
    <t>Package IV: Const. of Multi-Purpose Hall with Comfort Rooms for Male, Female and PWDs and Solar Panel Roofing and Const. of Water System with Overhead Tank at Zambales Provincial Jail, Iba</t>
  </si>
  <si>
    <t>Supply and Delivery of Science and Laboratory Equipment</t>
  </si>
  <si>
    <t>CONSTRUCTION OF MULTI-PURPOSE COVERED HALL AT MATALANGAO ELEMENTARY SCHOOL, CANDELARIA ELEMENTARY SCHOOL AND NEW CUYO ELEMENTARY SCHOOL</t>
  </si>
  <si>
    <t>SUPPLY AND DELIVERY OF MATERIALS FOR THE INSTALLATION OF WATER TANKS AND LATRINES FOR EVACUATION CENTERS IN ROXAS, PALAWAN</t>
  </si>
  <si>
    <t>Supply and Delivery of Common Office Supplies and Consumables</t>
  </si>
  <si>
    <t>Labor for Repair and Improvement of Ecumenical Chapel at CvSU Indang Campus</t>
  </si>
  <si>
    <t>UPGRADING OF AGUIBO-MALIBCONG ROAD</t>
  </si>
  <si>
    <t>REQUEST FOR QUOTATION (RFQ) FOR THE SUPPLY, DELIVERY AND INSTALLATION OF FIFTEEN (15) UNITS DRINKING WATER FOUNTAIN WITH COMPLETE ACCESSORIES</t>
  </si>
  <si>
    <t>Supply and Delivery of various Construction Materials for the Construction/Expansion of Hilabangan IP</t>
  </si>
  <si>
    <t>Handheld Radio</t>
  </si>
  <si>
    <t>MDRRMF CLUSTER 4-2020 PROJECTS AT CATTUBO, CALIKING AND PAOAY, ATOK, BENGUET</t>
  </si>
  <si>
    <t>Procurement of Supply &amp; Delivery of Printing of IEC Materials</t>
  </si>
  <si>
    <t>Delivery of meals &amp; snacks for Clustered Leader Forum in Line with Community Mobilization Project</t>
  </si>
  <si>
    <t>Improvement / Construction of Multi Purpose Hall</t>
  </si>
  <si>
    <t>UPGRADING OF BITUEN-LACUB ROAD</t>
  </si>
  <si>
    <t>Supply and Delivery of Construction Supplies</t>
  </si>
  <si>
    <t>Improvement and Installation of the communication &amp; Internet System of the PMO-CRPIP</t>
  </si>
  <si>
    <t>Procurement of materials for Construction of VAWC Office</t>
  </si>
  <si>
    <t>Supply &amp; Delivery of Starter Kits for DOLE Program Beneficiaries</t>
  </si>
  <si>
    <t>For the 24 Barangay Health Emergency Response Team and LGU Frontliners (Emergency Purchase)</t>
  </si>
  <si>
    <t>Supply &amp; Delivery of Consumables</t>
  </si>
  <si>
    <t>RFQ No. 20-079: Supply and Delivery of Various Semi-Expendable Items for Nutrition and Dietetics (Line Item)</t>
  </si>
  <si>
    <t>SUPPLY &amp; DELIVERY OF COFFEE VENDO MACHINE</t>
  </si>
  <si>
    <t>Supply and Delivery of Office Equipments for use of Provincial Administrator's Office (OPA) and Provincial Legal Office (PLO), Iba</t>
  </si>
  <si>
    <t>Supply and Delivery of Materials for Construction of Hazardous Facility and Storage Room at CvSU Indang Campus</t>
  </si>
  <si>
    <t>Supply and Delivery of Drugs and Medicines for use of San Marcelino District Hospital (SMDH), San Marcelino</t>
  </si>
  <si>
    <t>Labor for Construction of Hazardous Facility and Storage Room at CvSU Indang Campus</t>
  </si>
  <si>
    <t>Supply and Delivery of Materials for Repair and Improvement of Ecumenical Chapel at CvSU Indang Campus</t>
  </si>
  <si>
    <t>Acquisition of Medicines, MDRRMO</t>
  </si>
  <si>
    <t>Purchase of 1 Generator Set</t>
  </si>
  <si>
    <t>Supply and Delivery of Various Supplies, Materials and Equipment for Research Center</t>
  </si>
  <si>
    <t>4411-18-020)  CONSTRUCTION OF GENERATOR ROOM/HOUSE (PHASE II) AT HEALTH SERVICES OFFICE C/O CBAO (RE-BIDDING)</t>
  </si>
  <si>
    <t>Supply and Delivery of Various Semi-Expendable Equipment for CvSU Silang Campus</t>
  </si>
  <si>
    <t>Invitation to Bid for the Consultancy Services for the Training Needs Assessment, Design, Development and Pilot Implementation of Training Programs on MSMEs Resiliency for the Food Manufacturing Secto</t>
  </si>
  <si>
    <t>Supply and Delivery of Materials for Construction of Bee House for CvSU Bee Program</t>
  </si>
  <si>
    <t>Invitation to Bid for the Consultancy Services for the Training Needs Assessment, Design, Development and Pilot Implementation of Training Programs on MSMEs Resiliency for the Lifestyle Sector: Clothi</t>
  </si>
  <si>
    <t>Labor for Construction of Bee House for CvSU Bee Program</t>
  </si>
  <si>
    <t>Purchase of One (1) unit Passenger Van for the use of Executive Department of the Lucena City Government as requested by City Mayor's Office(PR# 181)REBID</t>
  </si>
  <si>
    <t>RFQ # 20-102        SUPPLY &amp; DELIVERY OF SIGNAGES &amp;  EXIT PLANS FOR SELECTED BHS &amp; MULTI - PURPOSE BLDG, CITY OF TAYABAS- CITY ARCHITECT OFFICE</t>
  </si>
  <si>
    <t>Purchase of Bond Papers (Letter, Folio and A4) for the use of City General Services Office(PR# 330)REBID</t>
  </si>
  <si>
    <t>RFQ # 20-098      REPAIR &amp; MAINTENANCE OF TRANSPORTATION EQUIPMENT (SFZ 144, TOYOTA GRANDIA A61335, TOYOTA INNOVA J674, SAA2757 DUMPTRUCK)- TIRE &amp; BATTERY- GSO</t>
  </si>
  <si>
    <t>Purchase of Food/Meals to be served during In-House Reformation Program (Kanlungan ng Pagbabago - Balay Silangan) as requested by CADAC(PR# 251)REBID</t>
  </si>
  <si>
    <t>ITDI-200221_REBID - SUPPLY AND DELIVERY OF VARIOUS BAKING EQUIPMENT</t>
  </si>
  <si>
    <t>Purchase of One (1) set Planetary Gear Assy. for use in the Repair and Maintenance of CGSO Backhoe Loader as requested by CGSO(PR# 245)REBID</t>
  </si>
  <si>
    <t>RFQ # 20-101     REPAIR &amp; MAINTENANCE OF MACHINERY &amp; EQUIPMENT (JCB 3CX 1 BACKHOE)- GSO</t>
  </si>
  <si>
    <t>Installation and Purchase of Venetian Blinds for use in the Recovery Wellness Center of CADAC(PR# 234)REBID</t>
  </si>
  <si>
    <t>Purchase of Office Supplies for the use of OSCA as requested by City Social Welfare and Development Office(PR# 324)REBID</t>
  </si>
  <si>
    <t>Purchase of various Disposable Kitchenware and Plastic Bags for the use of Medical Emergency Response as requested by LCDRRMO(PR# 219)REBID</t>
  </si>
  <si>
    <t>Purchased of Flu Vaccine for SK Sapa2 Rosario, Cavite</t>
  </si>
  <si>
    <t>Purchase of various Steel / Metal Cabinets, Rubber Boots Rack and Computer Tables for the use of Slaughterhouse as requested by City Agriculturist's Office(PR# 328)REBID</t>
  </si>
  <si>
    <t>Purchased of Flu Vaccine for SK Barangay Silangan 1 Rosario, Cavite</t>
  </si>
  <si>
    <t>CAN-JJASGH675 677 675: MLA 705 703 OFF SUPPLIES</t>
  </si>
  <si>
    <t>RFQ # 20-112  SUPPLY &amp; DELIVERY OF DRUGS  AND MEDICINES 2ND QUARTER- CHO</t>
  </si>
  <si>
    <t>Purchase of Materials for use in the establishment of Hydroponic Rooftop Gardening Project as requested by City Agriculturist's Office(PR# 203)REBID</t>
  </si>
  <si>
    <t>RFQ # 20-111        SUPPLY &amp; DELIVERY OF MEDICAL SUPPLIES 2ND QUARTER- CHO</t>
  </si>
  <si>
    <t>RFQ # 20-109        PROCUREMENT ICT EQUIPMENT (CAMPUS JOURNALISM)- CITY SCHOOL DIVISION OFFICE</t>
  </si>
  <si>
    <t>Supply and Delivery of Additional Requirements for Innovative Document</t>
  </si>
  <si>
    <t>RFQ # 20-108        SUPPLY &amp; DELIVERY OF OFFICE SUPPLIES (TONER, DRUM)- CCRO</t>
  </si>
  <si>
    <t>RFQ # 20-107        SUPPLY &amp; DELIVERY OF ICT EQUIPMENT (LAPTOP)-OCM</t>
  </si>
  <si>
    <t>RFQ # 20-106        SUPPLY &amp; DELIVERY OF ICT EQUIPMENT- AGRICULTURE OFFICE</t>
  </si>
  <si>
    <t>Supply of Labor and Materials for the Rehabilitation of Lateral Line</t>
  </si>
  <si>
    <t>FOR DENGUE PREVENTION USE</t>
  </si>
  <si>
    <t>RFQ # 20-110        PROCUREMENT OF RONDALLA INSTRUMENTS- CITY SCHOOL DIVISION OFFICE</t>
  </si>
  <si>
    <t>RFQ # 20-105        SUPPLY &amp; DELIVERY OF LCE PHOTO WITH CUSTOMIZED  FRAME FOR OFFICES- OCM</t>
  </si>
  <si>
    <t>Purchase of Laptops and Desktop Computers with complete accessories , Printer(CISS), UPS, UHD Smart TV with Complete accessories and Smartphone for the use of City Mayor's Office and Other attached of</t>
  </si>
  <si>
    <t>Purchase of various Furniture and Fixtures for use of City Mayor's Office and other attached offices at the Old City Hall Building as requested by CMO(PR# 357)</t>
  </si>
  <si>
    <t>Purchase of Various Chairs and Tables for use in the Office of the Commission on Election, Lucena City as requested by CMO(PR# 381)</t>
  </si>
  <si>
    <t>RFQ # 20-103        SUPPLY &amp; DELIVERY OF MOTOR VEHICLE (AUTOMATIC)-  DEPED- CITY DIVISIONS OFFICE OF TAYABAS</t>
  </si>
  <si>
    <t>Purchase of Nine Hundred Twenty Six (926) pieces of Hard Bound Cover for the use of City Civil Registrar's Office(PR# 338)REBID</t>
  </si>
  <si>
    <t>Supply &amp; Delivery of Photocopier &amp; Printer</t>
  </si>
  <si>
    <t>2020-06-366 Procurement of IT Equipment, Camera and Front Binder Machine</t>
  </si>
  <si>
    <t>Tambobong Elementary School Office Supplies</t>
  </si>
  <si>
    <t>Procurement of Laboratory Supplies for use at the Laboratory Section of the IPHO-TPH - B-G-2020-096</t>
  </si>
  <si>
    <t>Procurement of Drugs and Medicines for use at the Pharmacy Section of the IPHO-TPH - B-G-2020-095</t>
  </si>
  <si>
    <t>Purchase of Complete Set of Uniform (T-Shirt, Polo and Pants) for the use of Traffic Enforcement Section(PR# 371)</t>
  </si>
  <si>
    <t>Procurement of supply and delivery of Agricultural Supplies and Materials (fertilizers)</t>
  </si>
  <si>
    <t>Pag-IBIG Fund-CHQ (CONSULTING SERVICES TO CONDUCT REVIEW AND UPDATING OF INFORMATION SECURITY MANUALS BASED ON ISO27000 FAMILY OF STANDARDS)</t>
  </si>
  <si>
    <t>RFQ # 20-104        SSUPPLY &amp; DELIVERY OF IEC MATERIALS FOR COVID 19 AWARENESS-  DRRMO</t>
  </si>
  <si>
    <t>Purchase of Knapsack Sprayer</t>
  </si>
  <si>
    <t>Procurement of supply and delivery of corn mill</t>
  </si>
  <si>
    <t>NP 2020-24 (Request for Quotation) SUPPLY, DELIVERY AND INSTALLATION OF SOUND SYSTEM C/O CBAO</t>
  </si>
  <si>
    <t>NP 2020-20 (Request for Quotation) Supply and Delivery of various Construction Materials c/o CVAO</t>
  </si>
  <si>
    <t>Procurement of Security Services.</t>
  </si>
  <si>
    <t>ROAD CONCRETING ( CONTINUATION ) AT PUR0K 8-A, SAN JOSE VILLAGE, BRGY. TIBUNGCO, BUNAWAN DIST., DAVAO CITY</t>
  </si>
  <si>
    <t>NP 2020-18 (Request for Quotation) SUPPLY AND DELIVERY OF FOUR (4) UNITS SERVICE VEHICLES C/O CEO</t>
  </si>
  <si>
    <t>Procurement of Supply and Delivery of Food for the conduct of ACMA Meeting</t>
  </si>
  <si>
    <t>NP 2020-29 (Request for Quotation) SUPPLY AND DELIVERY OF TRAFFIC CONES, BARRIERS AND BOLLARDS C/O CEO</t>
  </si>
  <si>
    <t>Construction of Double Barrel Box Culvert @ Barangay Glamang, Magsaysay, Davao del Sur</t>
  </si>
  <si>
    <t>NP 19-104 (Request for Quotation) SUPPLY AND DELIVERY OF MULTI-PURPOSE TRUCK C/O CEO</t>
  </si>
  <si>
    <t>NP 2020-19 (Request for Quotation) SUPPLY AND DELIVERY OF SERVICE VEHICLE C/O CBO</t>
  </si>
  <si>
    <t>fence and gate</t>
  </si>
  <si>
    <t>Construction of Multi-Purpose Building</t>
  </si>
  <si>
    <t>SUPPLY AND DELIVERY OF MATERIALS FOR THE IMPROVEMENT OF WATER WORKS</t>
  </si>
  <si>
    <t>Construction of Solar Drier</t>
  </si>
  <si>
    <t>Purchase of Generator</t>
  </si>
  <si>
    <t>Construction of Front Perimeter Fence with Transformer Pad - Alicaocao</t>
  </si>
  <si>
    <t>Supply and Delivery of 1,620 Pails Aluminum Sulfate</t>
  </si>
  <si>
    <t>Other Supplies and Materials</t>
  </si>
  <si>
    <t>20GGF0019 – Procurement of Consumables/Spare parts of various printers for use in the Planning and Design section at DPWH, Iloilo 1st DEO, Fort San Pedro, Iloilo City.</t>
  </si>
  <si>
    <t>Purchase of Tanod Uniform &amp; Supplies</t>
  </si>
  <si>
    <t>ROAD CONCRETING WITH OPEN CANAL AT PUROK 12, BRGY. TIBUNGCO, BUNAWAN DIST., DAVAO CITY</t>
  </si>
  <si>
    <t>Supply and delivery of one (1) unit VIDEO CONFERENCE EQUIPMENT for the use of the City Administrator’s Office (RFQ2020-06-097)</t>
  </si>
  <si>
    <t>Construction of Covered Court Stage</t>
  </si>
  <si>
    <t>MINI DUMP TRUCK, 4 Cylinders inline, water cooling,CDRI,15” Tire, inclusive of GSIS Insurance and LTO Registration</t>
  </si>
  <si>
    <t>Construction of Various Projects - Package VIII</t>
  </si>
  <si>
    <t>Supply and Delivery of Materials for the Concreting of Farm To Market Road at Purok Sadiri Connected to Purok Saniata</t>
  </si>
  <si>
    <t>AB C'O 2020 PROJECT, PURCHASE OF MOTORCYCLE ONLY - SUPPLIES DEVICES AND GENERAL MERCHANDISE</t>
  </si>
  <si>
    <t>Request for Quotation for Utility Vehicle</t>
  </si>
  <si>
    <t>Other Supplies</t>
  </si>
  <si>
    <t>Supply &amp; Delivery of Various Materials for the Improvement of MDRRMC Building at Magsaysay, Davao del Sur</t>
  </si>
  <si>
    <t>20GGF0018 – Procurement of various Office Supplies for use in the Planning and Design section at DPWH, Iloilo 1st DEO, Fort San Pedro, Iloilo City.</t>
  </si>
  <si>
    <t>Supply &amp; Delivery of Two Units Rescue Vehicle</t>
  </si>
  <si>
    <t>Revenue Operation Modernization Project Tax Administration System (eRPTAS) at LGU-Gattaran</t>
  </si>
  <si>
    <t>RFQ for the Procurement of Catering Services for the MILG-Development Coordinating Office and SGA Officials Interface Meeting Cum Rapid Assessment Survey</t>
  </si>
  <si>
    <t>Supply &amp; Delivery of Additional Materials for the Repair &amp; Painting of COVID 19 Facilities of Magsaysay, Davao del Sur</t>
  </si>
  <si>
    <t>Site Development at Centro Organico - Phase III (Improvement of Centro Diwa) at San Vicente, Tarlac City - B-CW-2020-025</t>
  </si>
  <si>
    <t>Improvement of IT Center at Tibag, Tarlac City - B-CW-2020-024</t>
  </si>
  <si>
    <t>Supply of materials for the Construction of Public Comfort Room for Evacuation Center (Phase II)</t>
  </si>
  <si>
    <t>Supply &amp; Delivery of Various Oils for the Municipal Heavy Equipment of Magsaysay, Davao del Sur</t>
  </si>
  <si>
    <t>AB BDF 2020 CLEAN AND BEAUTIFICATION PROJECT- SUPPLIES,DEVICES AND GENERAL MERCHANDISE</t>
  </si>
  <si>
    <t>PROCUREMENT FOR ID CORD</t>
  </si>
  <si>
    <t>Purchase of two (2) units Split Type Airconditioning Unit for Barangay Manipis, Talisay City, Cebu</t>
  </si>
  <si>
    <t>Procurement of NVBSP Collaterals</t>
  </si>
  <si>
    <t>Supply &amp; Delivery of Bangus Fingerlings</t>
  </si>
  <si>
    <t>Concreting of Road at Brgy. Cubcub, Capas, Tarlac - B-CW-2020-026</t>
  </si>
  <si>
    <t>Procurement for Internet Subscription</t>
  </si>
  <si>
    <t>Supply of Labor And Materials For The Development Of Deployable And Collapsible Food Hub Including Fabrication Of Chassis Components, Food Hub Framing, Electrical and Automation Works-Rebidding</t>
  </si>
  <si>
    <t>PROCUREMENT OF DRINKING WATER</t>
  </si>
  <si>
    <t>20GAA0104: Procurement of Gang Chair (4 Seaters) for use at Planning &amp; Design Section, DPWH-INFDEO, Laoag City</t>
  </si>
  <si>
    <t>Online meeting of SPED and Regular Teachers RE: Proposed Actions for the REgional Implementation of SPED</t>
  </si>
  <si>
    <t>SUPPLY AND DELIVERY OF HYDRAULIC PUMP</t>
  </si>
  <si>
    <t>20GAA0099: Procurement of Office Supplies for use at Planning &amp; Design Section, DPWH-INFDEO, Laoag City</t>
  </si>
  <si>
    <t>ITB NO. GOP/20-DSWD-033-A: Provision of Multi-Year Contract for the Procurement of Fuel for DSWD Vehicles Using Fleet Card Distributor/ Credit Facility for CY 2020-2022</t>
  </si>
  <si>
    <t>20GAA0097: Procurement of Motor Oil Synthetic for use of various Service Vehicles at DPWH-INFDEO, Laoag City</t>
  </si>
  <si>
    <t>20GAA0096: Procurement of Diesel for use of various Service Vehicles at DPWH-INFDEO, Laoag City</t>
  </si>
  <si>
    <t>Procurement of Various Laboratory Gases for Alcohol Analysis</t>
  </si>
  <si>
    <t>Procurement of Malaria Test Kit (Antigen Assay) with Machine Tie-up under IB No. 2020-226</t>
  </si>
  <si>
    <t>20GAA0102: Procurement of 4 units Printer for use at Planning &amp; Design Section, DPWH-INFDEO, Laoag City</t>
  </si>
  <si>
    <t>Supply and Delivery of Various Brand New Tires</t>
  </si>
  <si>
    <t>C20203383 Catering Services for PROVINCIAL MONTHLY MEETING (JULY-DECEMBER 2020)</t>
  </si>
  <si>
    <t>20GAA0095: Procurement of Turbo Diesel for use of various Service Vehicles at DPWH-INFDEO, Laoag City</t>
  </si>
  <si>
    <t>Improvement of Multi Purpose Building at Parang, Calapan City</t>
  </si>
  <si>
    <t>C20203369 Catering Services for PEO Activities for the 3rd Quarter of CY 2020.</t>
  </si>
  <si>
    <t>Procurement of Fuel intended for the Province of Surigao del Norte and Province of Agusan del Norte respectively, for Second (2nd) Semester  CY 2020  of BFP Caraga Region</t>
  </si>
  <si>
    <t>PROCUREMENT OF OFFICE SUPPLIES AND CONSUMMABLE  BRIDGE - BARMM (REGIONAL OFFICE)</t>
  </si>
  <si>
    <t>C20203378 Diesel &amp; Gasoline for Repair/Improvement of Municipal Tribal Hall, New Corella, DDN (POL)</t>
  </si>
  <si>
    <t>Improvement of IT Park II and Dormitory (Installation of Tiles of Stairway) at IT Park II, Tibag, Tarlac City - B-CW-2020-031</t>
  </si>
  <si>
    <t>Procurement of 100 Watts LED Adjustable Lights</t>
  </si>
  <si>
    <t>Improvement of Concepcion District Hospital at Brgy. Alfonso, Concepcion, Tarlac - B-CW-2020-030</t>
  </si>
  <si>
    <t>Procurement of INFRASTRUCTURE PROJECTS  CONSTRUCTION OF CHILD DEVELOPMENT CENTER</t>
  </si>
  <si>
    <t>PURCHASE OF 12 UNIT CELLPHONES</t>
  </si>
  <si>
    <t>20GAA0103: Procurement of External Drive ITB UPS, USB and Inks for use at Planning &amp; Design Section, DPWH-INFDEO, Laoag City</t>
  </si>
  <si>
    <t>ICT Equpments</t>
  </si>
  <si>
    <t>PB 2020-02 (INFRA) Supply and Installation of Two (2) Units Brand New PCB Free, 3,000 KVA Stepdown Transformer and Two (2) Units High Voltage Switchgears Including XLPE Cables at the Indoor Power Subs</t>
  </si>
  <si>
    <t>Procurement of Drugs and Medicines (Mayor's Office)</t>
  </si>
  <si>
    <t>Purchase of Sixteen (16) unit Android Tablet with Back-up Charger (Battery Pack) for CBMS Program/Data Gathering</t>
  </si>
  <si>
    <t>CONCRETING OF BARANGAY STREET, Brgy. Cansangaya, Can-avid Eastern Samar</t>
  </si>
  <si>
    <t>Supply and Delivery of Various Construction Materials for Repair and Maintenance</t>
  </si>
  <si>
    <t>Supplies for the Establishment of barangay garden with extension support (8 Batches)</t>
  </si>
  <si>
    <t>Supplies for the online training on urban agriculture with extension support</t>
  </si>
  <si>
    <t>PB 2020-03 (INFRA) Supply and Installation of the Two (2) Assembly Brand New Modular/Scalable 200 KVA Uninterruptible Power Supply (UPS) each connected in N+1 Configuration including Cables/Feeders, P</t>
  </si>
  <si>
    <t>Procurement of INFRASTRUCTURE PROJECTS  CONSTRUCTION OF PATHWAY</t>
  </si>
  <si>
    <t>CONSTRUCTION OF SEPARATE PUBLIC TOILET FOR MEN &amp; WOMEN AT BARANGAY HALL COMPOUND, PUROK SAMPAGUITA, BANGANAN, ARITAO, NUEVA VIZCAYA</t>
  </si>
  <si>
    <t>Invitaion to BId: Replacement of Old Productivity Equipement: Supply and Delivery of Computer Laptops for the Board of Investments</t>
  </si>
  <si>
    <t>REHABILITATION OF COMMUNITY KITCHEN FOR EVACUATION CENTER AT BARANGAY HALL COMPOUND, BANGANAN, ARITAO, NUEVA VIZCAYA</t>
  </si>
  <si>
    <t>2nd Quarter MOOE Supply 2020</t>
  </si>
  <si>
    <t>Procurement of Firetruck with Complete Accessories</t>
  </si>
  <si>
    <t>Supply &amp; Delivery of UPS (Lot 2)</t>
  </si>
  <si>
    <t>20GLH0015 (P.R. No. 2020-06-031 dated 06/10/2020) - Repair/Rehabilitation/Improvement of Concrete Pavement along Calinan-Baguio-Cadalian Road (71X-Asphalt Overlay) (Materials Only)</t>
  </si>
  <si>
    <t>supply &amp; delivery of parts &amp; accessories for RP vehicle w/ plate no./conduction sticker #F2R946 PR#2020-06-23-373 w/ ABC P123,950.00</t>
  </si>
  <si>
    <t>Supply &amp; Delivery of Housekeeping Supply (Lot 1)</t>
  </si>
  <si>
    <t>One (1) Lot Preventive Maintenance of the Radio Communication System for BSP Head Office and Security Plant Complex, as per BSP Terms of Reference</t>
  </si>
  <si>
    <t>PROCUREMENT OF BEACONLIGHTS AND MEGAPHONE</t>
  </si>
  <si>
    <t>Supply &amp; Delivery of Garments Lot 3</t>
  </si>
  <si>
    <t>Tarpaulin for posting</t>
  </si>
  <si>
    <t>CONCRETING OF BARANGAY STREET, Brgy. Balagon, Can-avid Eastern Samar</t>
  </si>
  <si>
    <t>UPLB-I-020-07-20 SUPPLY, DELIVERY, INSTALLATION, TESTING AND COMMISSIONING OF FIVE (5) AIRCONDITIONING UNITS AND TWO (2) UNITS AIR CURTAIN FOR OICA</t>
  </si>
  <si>
    <t>Supply &amp; Delivery of Veterinary Drugs &amp; Medicines</t>
  </si>
  <si>
    <t>ITDI-200453 - SUPPLY AND DELIVERY OF UNINTERRUPTIBLE POWER SUPPLY</t>
  </si>
  <si>
    <t>Preventive Maintenance Services for One (1) unit Digital Radiographic System P.R. No. 182 - SAH</t>
  </si>
  <si>
    <t>ITDI-200451 - SENSORY EVALUATION WITH 3 TEST PARAMETERS</t>
  </si>
  <si>
    <t>PROCUREMENT OF OFFICE SUPPLIES AND CONSUMMABLE  BRIDGE - BARMM (CASH DIVISION)</t>
  </si>
  <si>
    <t>Procurement of INFRASTRUCTURE PROJECTS  Construction of One Unit - Two Classroom  School Building</t>
  </si>
  <si>
    <t>photocopy</t>
  </si>
  <si>
    <t>Supply and Delivery of Two (2) Units GSP (RFQ20-28)</t>
  </si>
  <si>
    <t>Purchase of Hand Tractor with Trailer</t>
  </si>
  <si>
    <t>Materials for upgrading of flooring</t>
  </si>
  <si>
    <t>Request for Quotation - Supply and Delivery of (100) bags of Fertilizer for City Agriculture Services Office</t>
  </si>
  <si>
    <t>ITDI-200273_REBID - SUPPLY AND DELIVERY OF EDGELESS LARGE BORE PIPETTE TIPS</t>
  </si>
  <si>
    <t>ITDI-200452 - PRESERVATIVE CHALLENGE TEST PACKAGE FOR 3 SAMPLES</t>
  </si>
  <si>
    <t>Construction/Rehabilitation of Sidewalk, Various Purok, Barangay VII, Lucena City</t>
  </si>
  <si>
    <t>Supply &amp; Delivery of Furniture Lot 4</t>
  </si>
  <si>
    <t>ITDI-200207_REBID - SUPPLY AND DELIVERY OF VARIOUS LABORATORY SUPPLIES</t>
  </si>
  <si>
    <t>Supply &amp; Delivery of Medical Equipment  Lot 5</t>
  </si>
  <si>
    <t>Alcohol dispenser</t>
  </si>
  <si>
    <t>ITDI-200447 - SUPPLY AND DELIVERY OF PETRIFILM TOTAL AEROBIC COUNT PLATES AND YEAST &amp; MOLD COUNT PLATES</t>
  </si>
  <si>
    <t>Construction of Municipal Multi-Purpose Hall at Barangay Poblacion, Biri, Northern Samar</t>
  </si>
  <si>
    <t>MOOE Request April to June 2020</t>
  </si>
  <si>
    <t>Supply &amp; Delivery of Chair (Lot 3)</t>
  </si>
  <si>
    <t>Supply &amp; Delivery of Aircondition Lot 2</t>
  </si>
  <si>
    <t>Disenfecting Materials</t>
  </si>
  <si>
    <t>Supply &amp; Delivery of Office Equipment Lot 2</t>
  </si>
  <si>
    <t>Supply &amp; Delivery of IT Equipment (Lot 1)</t>
  </si>
  <si>
    <t>Supply &amp; Delivery of Veterinary Equipment</t>
  </si>
  <si>
    <t>ITB-PURCHASE OF CONSTRUCTION MATERIALS FOR THE IMPROVEMENT OF BRGY. HEALTH CENTER PHASE III Project</t>
  </si>
  <si>
    <t>supply &amp; delivery of other supplies to be use in RCPC dormitory &amp; laboratory PR#2020-06-23-374 w/ ABC of P159,000.00</t>
  </si>
  <si>
    <t>Gravelling of Roads at Purok 1, 2 and 6 Brgy. Cabcabon, Butuan City</t>
  </si>
  <si>
    <t>CONSTRUCTION OF MULTI-PURPOSE BUILDING Phase-II(Procurement of Construction Materials)</t>
  </si>
  <si>
    <t>Improvement of IT Park II and Dormitory (Landscaping Works at IT Park II) at IT Park II, Tibag, Tarlac City - B-CW-2020-029</t>
  </si>
  <si>
    <t>Procurement of Test Paper</t>
  </si>
  <si>
    <t>PROCUREMENT OF OFFICE SUPPLIES AND CONSUMMABLE  BRIDGE - BARMM (SUPPLY DIVISION)</t>
  </si>
  <si>
    <t>PROCUREMENT FOR OFFICE SUPPLIES</t>
  </si>
  <si>
    <t>20GLH0014 (P.R. No. 2020-06-030 dated 06/10/2020) - For use in Maintenance Section in connection with repair/maintenance of National Roads, 3rd Congressional District, Davao City</t>
  </si>
  <si>
    <t>RFQ 2020-06-024 - PR 2020-06-032 - For use in the operations of Maintenance Section</t>
  </si>
  <si>
    <t>20GAA0091: Procurement of Office Supplies (Paper A3 17x50 subs. 24) for use at Planning &amp; Design Section, DPWH-INFDEO, Laoag City</t>
  </si>
  <si>
    <t>Procurement of Face Mask</t>
  </si>
  <si>
    <t>IMPROVEMENT OF BUCAY-MANABO ROAD</t>
  </si>
  <si>
    <t>PROCUREMENT OF OFFICE SUPPLIES AND CONSUMMABLE  BRIDGE - BARMM (ACCOUNTING DIVISION)</t>
  </si>
  <si>
    <t>Supply of Labor &amp; Materials for Establishment of Two Storey Cantilan Emergency Operation Center with Accessories</t>
  </si>
  <si>
    <t>Procurement of Hand Washing Kiosk</t>
  </si>
  <si>
    <t>Procurement of Catering Services Lot 1</t>
  </si>
  <si>
    <t>Concreting of Road at Brgy. Bobon 2nd, Camiling, Tarlac - B-CW-2020-027</t>
  </si>
  <si>
    <t>Supply &amp; Delivery of One Unit Multifunctional Copier Machine for Parang Elementary School</t>
  </si>
  <si>
    <t xml:space="preserve">One (1) Lot Supply of Labor, Tools, Materials, Equipment, and Technical Supervision for the Preventive Maintenance of Variable Refrigerant Volume (VRV) System and Split Type Air-Conditioning Units at </t>
  </si>
  <si>
    <t>PROCUREMENT OF OFFICE SUPPLIES FOR LEARNING MODULES</t>
  </si>
  <si>
    <t>ITDI-200457 - SUPPLY AND DELIVERY OF VARIOUS LABORATORY SUPPLIES</t>
  </si>
  <si>
    <t>CONSTRUCTION OF PATHWAYS PUROK 1B</t>
  </si>
  <si>
    <t>Concreting of Road at Brgy. Lilibangan, Concepcion, Tarlac - B-CW-2020-028</t>
  </si>
  <si>
    <t>Local Footbridge construction Phase 2 connecting Barangay Kauswagan and Barangay MacArthur, all in the municipality of Biri, Northern Samar</t>
  </si>
  <si>
    <t>Request for Quotation - Supply and Delivery of Thirty (30) pcs Tarpaulin Cover Pyro Proof (CDRRMO)</t>
  </si>
  <si>
    <t>Supply and Delivery of Office Supplies &amp; Consumables</t>
  </si>
  <si>
    <t>Purchase of Supplies and Materials for Sagip Batis</t>
  </si>
  <si>
    <t>Purchase of Supplies and Materials for Livelihood and Entrepreneurship Program</t>
  </si>
  <si>
    <t>Procurement of Four (4) units Brand New Motorcycle for use of the Provincial Government of Tarlac - B-G-2020-097</t>
  </si>
  <si>
    <t>ITDI-200458 - SUPPLY OF LABOR AND MATERIALS FOR THE CALIBRATION OF 2 PIECES SILICON DENSITY STANDARDS</t>
  </si>
  <si>
    <t>NEGOTIATED  PROCUREMENT OF DRUGS AND MEDICINES</t>
  </si>
  <si>
    <t>Request for Quotation - Supply and Delivery of Six (6) pcs Fan Exhaust Wall for City Health Building (CEO)</t>
  </si>
  <si>
    <t>ITDI-200446A - SUPPLY AND DELIVERY OF CANON CL 811 AND CANON CL 810</t>
  </si>
  <si>
    <t>Request for Quotation - Supply and Delivery of Fruit Trees Seedlings for City Agriculture Services Office</t>
  </si>
  <si>
    <t>ITDI-200454 - SUPPLY OF LABOR AND MATERIALS FOR THE REPAIR OF ENVIRONMENTAL CHAMBER</t>
  </si>
  <si>
    <t>Request for Quotation - Supply and Delivery of Coconut Seedlings for City Agriculture Services Office</t>
  </si>
  <si>
    <t>SUPPLY AND INSTALLATION OF ELECTRICAL SERVICE WIRE AT THE MARINA BACOLOD BUILDING</t>
  </si>
  <si>
    <t>Request for Quotation - Supply and Delivery of Septic Tank Waste Disposal (City Admin./Market Division)</t>
  </si>
  <si>
    <t>RFQ for the Procurement of Continuous System Printer All in One</t>
  </si>
  <si>
    <t>ITDI-200456 - SUPPLY AND DELIVERY OF HP LASERJET 12A TONER CARTRIDGE</t>
  </si>
  <si>
    <t>Repair and Maintenance of seven (7) units Floor Mounted Type Airconditioning Units in the Session Hall (RFQ2020-06-098)</t>
  </si>
  <si>
    <t>IMPROVEMENT OF KAGAWASAN -ALEGRIA BARANGAY ROAD, ALEGRIA    DF18-8000- B4-b4</t>
  </si>
  <si>
    <t>CONSTRUCTION OF DRAINAGE ALONG F.S. PAJARES AVE. (JCT. DABLO ST. - BOULEVARD) WESTERN SIDE   DRRMF20-1000-2-b15</t>
  </si>
  <si>
    <t>Concreting of Farm to Market Road from Poblacion to Sitio Akasya, San Miguel, Magsaysay, Davao del Sur</t>
  </si>
  <si>
    <t>Request for Quotation - Supply and Delivery of Vegetables Seedlings for City Agriculture Services Office</t>
  </si>
  <si>
    <t>Supplies &amp; Materials in Stock</t>
  </si>
  <si>
    <t>CONC./IMPVT.OF LA SUERTE BRGY.ROAD (NEAR BARANGAY HALL SITE)     2SAIP20-8000-C1a6</t>
  </si>
  <si>
    <t>CONCRETING OF ROAD AT PUROK 2 GOING TO BARANGAY CEMETERY, DIBIBI, CABARROGUIS</t>
  </si>
  <si>
    <t>New Construction of Level II Potable Water Supply System (Clusters A &amp; B) Acacia, San Isidro to Poblacion, Magsaysay, Davao del Sur</t>
  </si>
  <si>
    <t>ROAD CONCRETING AT PUROK 2 C/O KAGAWAD CALVO, BRGY. TIBUNGCO, BUNAWAN DIST., DAVAO CITY</t>
  </si>
  <si>
    <t>Purchase of Desktop Computers with Complete Accessories, Printers and UPS for the use of Slaughterhouse as requested by City Agriculturist's Office(PR# 337)REBID</t>
  </si>
  <si>
    <t>20GGF0017 – Procurement of Oxygen (content only) and Acetylene (content only) for use in the repair of various service vehicle and equipment of this district, Iloilo 1st District Engineering Office, F</t>
  </si>
  <si>
    <t>CONC./IMPVT.OF BRGY.LOURDES ROAD (PORTION AFTER THE BRIDGE)     2SAIP20-8000-C1a7</t>
  </si>
  <si>
    <t>nvitation to Bid for the Consultancy Services for the Training Needs Assessment, Design, Development and Pilot Implementation of Training Programs on MSMEs Resiliency for the Creative Industries Secto</t>
  </si>
  <si>
    <t>Purchase of Goods (Food and Non-Food) for Stockpile of LCDRRMO(PR# 200)REBID</t>
  </si>
  <si>
    <t>Purchase of Twenty Five (25) sets Desktop and One (1) unit External Hard Drive for the use of Dalubhasaan ng Lungsod ng Lucena(PR# 174)REBID</t>
  </si>
  <si>
    <t>CONC./IMPVT OF KAGAWASAN TO ALEGRIA BRGY. ROAD DF20-8000-B1e</t>
  </si>
  <si>
    <t>Acquisition of Air Conditioner</t>
  </si>
  <si>
    <t>Installation of Complete CCTV Lines with Internet (2nd Publication) of Magsaysay, Davao del Sur</t>
  </si>
  <si>
    <t>RFQ # 20-099      REPAIR &amp; MAINTENANCE OF MACHINERY &amp; EQUIPMENT (JCB  3CX 2 BACKHOE)- GSO</t>
  </si>
  <si>
    <t>Purchase of Supplies and Materials for Mass Greening</t>
  </si>
  <si>
    <t>Request for Quotation of Tipping Fee for Garbage Disposal (CENRO)</t>
  </si>
  <si>
    <t>Lease of Printer</t>
  </si>
  <si>
    <t>Purchase of Goods (Food and Non-Food) for Stockpile of LCDRRMO(PR# 198)REBID</t>
  </si>
  <si>
    <t>Procurement of construction materials and supplies</t>
  </si>
  <si>
    <t>Supply and Delivery of Materials for Fabrication of 10 Movable Bee Houses for CvSU Bee Program</t>
  </si>
  <si>
    <t>RFQ # 20-100     SUPPLY &amp; DELIVERY OF OTHER SUPPLIES &amp; MATERIALS EXPENSES (TRASH BIN)- GSO</t>
  </si>
  <si>
    <t>Supply, delivery and installation of 60 pcs Disinfection Dispenser at the MARINA Central Office building</t>
  </si>
  <si>
    <t>IMPROVEMENT OF BARANGAY EVACUATION CENTER (GRILLS) AT BARANGAY GOMEZ, CABARROGUIS</t>
  </si>
  <si>
    <t>Request for Quotation of (200) Trucks Garbage Hauler (CENRO)</t>
  </si>
  <si>
    <t>CONSTRUCTION OF TUGDAN SEAWALL</t>
  </si>
  <si>
    <t>Purchase of Furniture and Fixture</t>
  </si>
  <si>
    <t>Request for Quotation - Supply and Delivery of Spare Parts for Repair and Maint. of Motor Vehicle (CMO)</t>
  </si>
  <si>
    <t>Procurement of 50 ream Card Form</t>
  </si>
  <si>
    <t>DRAINAGE CONSTRUCTION AT PUROK 3, ZAMORA, CABARROGUIS</t>
  </si>
  <si>
    <t>CONSTRUCTION OF PATHWAYS</t>
  </si>
  <si>
    <t>Supply and Delivery of ICT Equipment for Research Center</t>
  </si>
  <si>
    <t>MUNICIPAL LANDFILL DEVELOPMENT (SUPPLY AND INSTALLATION OF ELECTRICAL CONNECTION, HARDWARE &amp; ACCESSORIES FOR THE OPERATION OF MUNICIPAL LANDFILL)</t>
  </si>
  <si>
    <t>Supply and Delivery of Two (2) Units Brand-new Motorcycle A/T for Bangon Marawi Project for 2020</t>
  </si>
  <si>
    <t>Purchase of Various Equipment</t>
  </si>
  <si>
    <t>IMPROVEMENT OF BARANGAY ROAD AT DIBIBI, CABARROGUIS</t>
  </si>
  <si>
    <t>Supply and Delivery of Office Equipments for use of Candelaria District Hospital (CDH), Candelaria</t>
  </si>
  <si>
    <t>Improvement, Extension/Expansion of the CWSPP1</t>
  </si>
  <si>
    <t>Request for Quotation - Supply and Delivery of Thirty (30) units Bed Camp COT (CDRRMO)</t>
  </si>
  <si>
    <t>Procurement of 4 pieces Tire 225/70 R15</t>
  </si>
  <si>
    <t>Purchase of Information and Communication Technology Equipment</t>
  </si>
  <si>
    <t>CONSTRUCTION OF PATHWAYS PUROK 1 &amp; 3</t>
  </si>
  <si>
    <t>CONSTRUCTION OF PATHWAYS PUROK 5 &amp; 7</t>
  </si>
  <si>
    <t>Repair and Maintenance of Nissan Navarra with Plate No. SJB-168</t>
  </si>
  <si>
    <t>Supply and Delivery of Various Soap Production Requirements of the Davao and Cagayan Valley Herbal Processing Plants</t>
  </si>
  <si>
    <t>Construction/Repair/Rehabilitation/Improvement of various Infrastructure including Local Projects Multi-Purpose Facilities-Construction of Cagbalete Island Port, Mauban, Quezon</t>
  </si>
  <si>
    <t>Supply and Delivery of Smartphone (2020-384)</t>
  </si>
  <si>
    <t>INSTALLATION OF STREETLIGHTS</t>
  </si>
  <si>
    <t>Construction of Multi-Purpose Building, Barangay Alupay, Sampaloc, Quezon</t>
  </si>
  <si>
    <t>Supply and Delivery of Bags for Student’s Modules</t>
  </si>
  <si>
    <t>Supply and Delivery of Office Supplies, I.T. Accessories &amp; Consumables</t>
  </si>
  <si>
    <t>PURCHASE OF HAND TRACTOR</t>
  </si>
  <si>
    <t>Supply &amp; Delivery of Polyethylene Net</t>
  </si>
  <si>
    <t>Supply &amp; Delivery of Distribution Transformer</t>
  </si>
  <si>
    <t>Starter kits for the 2 batches of Training on preparation of organic model garden (Organic Agriculture Program)</t>
  </si>
  <si>
    <t>cctv camera</t>
  </si>
  <si>
    <t>Supply and delivery of Laptop</t>
  </si>
  <si>
    <t>Supply &amp; Delivery of Vegetable Seeds</t>
  </si>
  <si>
    <t>Supply &amp; Delivery of General Merchandise</t>
  </si>
  <si>
    <t>Provision of janitorial services for  seven (7) utility men/women within DENR-PENRO Quezon for six months starting July- December, 2020</t>
  </si>
  <si>
    <t>Van Rental Services - Shuttle (2020-435)</t>
  </si>
  <si>
    <t>Supply &amp; Delivery of BLACK POLY BAGS FOR POTTINGS</t>
  </si>
  <si>
    <t>Rehabilitation/Reconstruction/Upgrading of Damaged Paved National Roads, Famy-Real-Infanta-Dinahican Port Road, K0102+204-K0103+000</t>
  </si>
  <si>
    <t>Supply &amp; Delivery of Mineral Water</t>
  </si>
  <si>
    <t>Supply and installation of Signages at the Leyte Division Office</t>
  </si>
  <si>
    <t>Supply &amp; Delivery of Hospital Equipment</t>
  </si>
  <si>
    <t>Procurement of Medical Supplies and Laboratory Instrument</t>
  </si>
  <si>
    <t>Construction of Acces Road (Pathway)</t>
  </si>
  <si>
    <t>Supply and Delivery of Two (2) Units Brand-new Heavy Equipment Excavator for Bangon Marawi Project for 2020</t>
  </si>
  <si>
    <t>Procurement of Personal Protective Equipment for MDRRMO</t>
  </si>
  <si>
    <t>Procurement of Various Toners and Ink Cartridges (ORIGINAL)</t>
  </si>
  <si>
    <t>mooe 2020</t>
  </si>
  <si>
    <t>Upgrading of Barangay Sports Center.</t>
  </si>
  <si>
    <t>Supply &amp; Delivery of IT Equipment</t>
  </si>
  <si>
    <t>ITB for PROCUREMENT OF SUPPLIES TO BE USED FOR MODULAR LEARNING 2020</t>
  </si>
  <si>
    <t>Procurement of Lapel, internet router with cable wires and Memory card SD</t>
  </si>
  <si>
    <t>DILP ASSISTANCE APY-2020-06-07</t>
  </si>
  <si>
    <t>Procurement of one (1) unit LED TV and one (1)unit Electric Stand fan</t>
  </si>
  <si>
    <t>PURCHASE OF FOODS/MEALS FOR FRONTLINERS</t>
  </si>
  <si>
    <t>Procurement and Delivery of One (1) Unit Brand New Motorcycle.</t>
  </si>
  <si>
    <t>Supply &amp; Delivery of Vehicle Tire Wheel</t>
  </si>
  <si>
    <t>CONSTRUCTION OF 3 ROOM TEMPORARY SCHOOL BLDG. at CRS Bagacay, Tacloban City</t>
  </si>
  <si>
    <t>Supply and Delivery of Common Office Supplies and Equipment for 1st Semester of CY 2020-DENR1</t>
  </si>
  <si>
    <t>Supply and Delivery of Various Motor Vehicles Two (2) Units Brand-new 4x4 Pick up A/T and One (1) Unit Brand-new Passenger Van A/T for 2020</t>
  </si>
  <si>
    <t>Procurement of Animal/Zoological Supplies (Dog Vaccines) for Agriculture Office of LGU-Naga</t>
  </si>
  <si>
    <t>Procurement of one (1) unit Generator Set</t>
  </si>
  <si>
    <t>forage chopper</t>
  </si>
  <si>
    <t>One (1) lot Supply, Delivery and Installation of Multi-Layered Ballistic Resistant Glass for five (5) units Ford F550 Escort Vans, as per BSP Terms of Reference</t>
  </si>
  <si>
    <t>SUPPLY OF FUEL, OIL AND LUBRICANTS: MAYOR'S OFFICE USE</t>
  </si>
  <si>
    <t>Provision of security services for  eleven (11)  security guards within DENR-PENRO Quezon for six months starting July- December, 2020</t>
  </si>
  <si>
    <t>Procurement of one (1) unit Mini Speaker with Microphone</t>
  </si>
  <si>
    <t>Procurement of one (1) unit Steel Cabinet</t>
  </si>
  <si>
    <t>Supply and Delivery of ICT Supplies and Consumables for 1st Semester of CY 2020-DENR-1</t>
  </si>
  <si>
    <t>SUPPLY OF FUEL, OIL AND LUBRICANTS: BANTAY DAGAT OPERATION USE</t>
  </si>
  <si>
    <t>Diving Gears</t>
  </si>
  <si>
    <t>20GID0020 - Supply and Delivery of Diesel Fuel for operational use of service vehicle with Plate # BOZ-493 assigned at Administrative Section of DPWH 2nd DEO, Carigara, Leyte</t>
  </si>
  <si>
    <t>20BF0061: Construction of Legislative Building in Roxas, Isabela, Brgy. Rizal, Roxas, Isabela</t>
  </si>
  <si>
    <t>VHSES</t>
  </si>
  <si>
    <t>Sports Equipment- Fiber Glass Boards</t>
  </si>
  <si>
    <t>20GID0017 - Supply and Delivery of AutoCAD/cIVIL 3D for use in Planning and Design Section of DPWH 2nd DEO, Carigara, LEyte</t>
  </si>
  <si>
    <t>C20203386 LPG for PEEDO-LPRRC cooking gas expense for the 4th quarter.</t>
  </si>
  <si>
    <t>C20203384 Office Supplies for PEO-SMAD (CBRMC)</t>
  </si>
  <si>
    <t>SUPPLY OF FUEL, OIL AND LUBRICANTS: SWMOC USE</t>
  </si>
  <si>
    <t>Procurement Delivery of Various</t>
  </si>
  <si>
    <t>Purchase of Materials for the Various Barangay Projects</t>
  </si>
  <si>
    <t xml:space="preserve">20GID0019 - Supply and Delivery of 7.50 R16 Tire and 5.50F16 Tire Rim for use in replacement of worn out parts of Coaster Bus with Plate No SJZ-320 assigned at Adminsitrative Section of DPWH 2nd DEO, </t>
  </si>
  <si>
    <t>PURCHASE OF DIGITAL SCOREBOARD</t>
  </si>
  <si>
    <t>Grocery Items</t>
  </si>
  <si>
    <t>SUPPLY OF FUEL, OIL AND LUBRICANTS: MUNICIPAL ENGINEERING OFFICE USE AND MOTORPOOL USE</t>
  </si>
  <si>
    <t>C20203445 FUEL FOR 3RD QUARTER (SHE 880)</t>
  </si>
  <si>
    <t>Purchase of Construction Materials for the Construction of Animal Crossing and Walkway</t>
  </si>
  <si>
    <t>REHABILITATION OF GREEN HOUSE</t>
  </si>
  <si>
    <t>Supply and Delivery, Installation and Commissioning of One (1) Unit Brand New AC Diesel Generating Set and Standard Accessories</t>
  </si>
  <si>
    <t>C20203442 Office Supplies FOR PPDO OFFICE USE</t>
  </si>
  <si>
    <t>PB-20-248, Supply &amp; Delivery of Food Processing Equipment to be given to Coffee and Cacao qualified planters in the Province of Cotabato</t>
  </si>
  <si>
    <t>C20203446 Hardware Materials for SHOP USE</t>
  </si>
  <si>
    <t>20GID0018 - Supply and Delivery of 2 Desktop Computer for use in Planning and Design Section of DPWH 2nd DEO, Carigara, Leyte</t>
  </si>
  <si>
    <t>1 UNIT CORN COMPACT MILL</t>
  </si>
  <si>
    <t>C20203434 FUEL, OIL &amp; LUBRICANTS FOR THE PERIOD OF APRIL TO JUNE 2020</t>
  </si>
  <si>
    <t>KNAPSACK SPRAYER</t>
  </si>
  <si>
    <t>PB-20-326, Supply of Petroleum Products for Provincial Social Welfare and Development Office, Amas, Kidapawan City</t>
  </si>
  <si>
    <t>C20203441 Airconditioning System for For PGSO ARCHIVE &amp; TWG CONFERENCE ROOM, PGSO Building</t>
  </si>
  <si>
    <t>Office Supplies &amp; Other Supplies - Office of the City Mayor (Tourism Section)</t>
  </si>
  <si>
    <t>PB-20-345, Supply &amp; Delivery of IV Fluids for Pres. Roxas Provincial Community Hospital, Pres. Roxas, Cotabato</t>
  </si>
  <si>
    <t>Other Supplies/Janitorial Supplies</t>
  </si>
  <si>
    <t>9 UNITS  POWER SPRAYER</t>
  </si>
  <si>
    <t>Office Supplies (Various Offices)</t>
  </si>
  <si>
    <t>C20203471 Drugs &amp; Medicines for  MENTAL HEALTH OUTEACH PROGRAM OF PHO-DAVAO DEL NORTE</t>
  </si>
  <si>
    <t>1 UNIT WATER PUMP PISOS-OPEN SOURCE</t>
  </si>
  <si>
    <t>Procurement of shopping</t>
  </si>
  <si>
    <t>SUPPLY AND DELIVERY OF VARIOUS AGRICULTURAL MACHINERIES AND EQUIPMENT CONSISTING OF FOUR (4) LOTS TO BE USED BY LIVESTOCK PRODUCTION CENTER UNDER LIVESTOCK PROGRAM FOR CY 2020</t>
  </si>
  <si>
    <t>PB-20-211, Supply &amp; Delivery of Engineering Laboratory Equipment for Provincial Engineer’s Office, Amas, Kidapawan City</t>
  </si>
  <si>
    <t>Complete set up of Hand Washing area, pathwalk and Covered canal</t>
  </si>
  <si>
    <t>Procurement of Anti-flu vaccines for the youth of Barangay Magallanes for CY 2020</t>
  </si>
  <si>
    <t>Purchase of Brand New Networking Accessories</t>
  </si>
  <si>
    <t>REHABILITATION OF DAY CARE CENTER AT SITIO POSTEMA, BARANGAY SAHUD-ULAN, TANZA CAVITE</t>
  </si>
  <si>
    <t>Installation of Rain Water Collectors</t>
  </si>
  <si>
    <t>C20203468 Painting Materials for REPAINTING OF PGSO ARCHIVES ROOM &amp; TWG CONFERENC</t>
  </si>
  <si>
    <t>Proposed Construction of Seaweeds Multi-Purpose Building</t>
  </si>
  <si>
    <t>Concreting of Barangay Road, Phase I</t>
  </si>
  <si>
    <t>Rehabilitation of Health Center Barangay Puspus</t>
  </si>
  <si>
    <t>Purchase of One (1) Unit Ambulance/Emergency Medical Transport</t>
  </si>
  <si>
    <t>3131-20 Procurement of Drugs and Medicines</t>
  </si>
  <si>
    <t>Rehabilitation of Roads and Bridges for June 2020</t>
  </si>
  <si>
    <t>3119-20 Procurement of Medical, Dental and Laboratory Supplies</t>
  </si>
  <si>
    <t>PROCUREMENT OF 1 LOT 4X2 CLOSED-VAN TYPE RESCUE VEHICLE</t>
  </si>
  <si>
    <t>Purchase of Materials for Installation of Street Lighting</t>
  </si>
  <si>
    <t>3120-20 Procurement of Medical, Dental and Laboratory Supplies</t>
  </si>
  <si>
    <t>Procurement of Consulting Services for the Consumer Insights Survey of Target Markets</t>
  </si>
  <si>
    <t>INVITATION TO BID FOR THE SUPPLY AND DELIVERY OF VARIOUS CONSTRUCTION MATERIALS AND SUPPLIES FOR THE REPAIR AND CONSTRUCTION OF GARLIC-RELATED FACILITIES</t>
  </si>
  <si>
    <t>Tires for MEO Heavy Equipment</t>
  </si>
  <si>
    <t>Construction/Improvement of Water System (Construction of Additional Intake Box)</t>
  </si>
  <si>
    <t>Repair of Roofing</t>
  </si>
  <si>
    <t>Printing of Various Forms</t>
  </si>
  <si>
    <t>Procurement of Ink Cartridges and Toners</t>
  </si>
  <si>
    <t>1122-20 Purchase of Office Supplies</t>
  </si>
  <si>
    <t>3118-20 Procurement of Medical, Dental and Laboratory Supplies</t>
  </si>
  <si>
    <t>2481-20 Procurement of Assorted Vegetable Seeds</t>
  </si>
  <si>
    <t>CONSTRUCTION OF DRAINAGE CANAL Portion along Osmeña Street (Kalye Daku)</t>
  </si>
  <si>
    <t>2571-20 Procurement of Assorted Fertilizers</t>
  </si>
  <si>
    <t>2290-20 Procurement of Other Supplies</t>
  </si>
  <si>
    <t>2285-20 Procurement of Coffee Seeds</t>
  </si>
  <si>
    <t>20GG00019 - Procurement of Office Furniture for use in the Planning and Design Division, DPWH Regional Office VI, Iloilo City</t>
  </si>
  <si>
    <t>For Municipal Crisis Intervention Center</t>
  </si>
  <si>
    <t>2253-20 Purchase of Other Supplies</t>
  </si>
  <si>
    <t>2300-20 Procurement of Other Supplies</t>
  </si>
  <si>
    <t>2242-20 Purchase of Agricultural and Forestry Equipment</t>
  </si>
  <si>
    <t>2506-20 Procurement of Other Supplies</t>
  </si>
  <si>
    <t>Supply, Delivery &amp; Testing of One (1) Unit 50kva Brand New Diesel Generator Set</t>
  </si>
  <si>
    <t>Construction of 1 Unit Community Learning Center</t>
  </si>
  <si>
    <t>: Supply and Delivery of Materials for Concreting of Pathway (Phase 3) at Purok 6, San Isidro, Donsol, Sorsogon</t>
  </si>
  <si>
    <t>Rehabilitations Supply for July 2020</t>
  </si>
  <si>
    <t>Supply and Delivery  of Materials for Improvement of Multi-Purpose Hall (Phase 3) at Bgy. Cristo, Donsol, Sorsogon</t>
  </si>
  <si>
    <t>REQUEST FOR QUOTATION OF ONE (1) UNIT OF VACUUM PACK SEALER</t>
  </si>
  <si>
    <t>Installation of Solar Panel in Barangay Health Facility</t>
  </si>
  <si>
    <t>C20203465 PLumbing Materials for  DDNH-CARMEN ZONE</t>
  </si>
  <si>
    <t>PROCUREMENT OF 6 PCS CELLCARD LOAD @ PHP 1,000.00 EACH</t>
  </si>
  <si>
    <t>2269-20 Procurement of Other Supplies</t>
  </si>
  <si>
    <t>C20203455 FUEL, OIL AND LUBRICANTS FOR THE PERIOD OF JULY TO SEPTEMBER 2020</t>
  </si>
  <si>
    <t>Procurement of Office Supplies for July 2020</t>
  </si>
  <si>
    <t>Procurement of AGRICULTURAL PRODUCTS (SEEDLINGS)</t>
  </si>
  <si>
    <t>PB-20-341, Supply &amp; Delivery of Medical Supplies for Dr. Amado Diaz Provincial Foundation Hospital, Midsayap, Cotabato</t>
  </si>
  <si>
    <t>PB-20-340, Supply &amp; Delivery of IV Fluids for Dr. Amado Diaz Provincial Foundation Hospital, Midsayap, Cotabato</t>
  </si>
  <si>
    <t>C20203432 LED LIGHTED ONE DAVNOR ONE TEAM LOGO For Araw ng DAVNOR 2020 use</t>
  </si>
  <si>
    <t>C20203463 RELOADING MACHINE (RL550B) for PGSO CSS use</t>
  </si>
  <si>
    <t>PB-20-320, Supply &amp; Delivery of Vibrating Screen for Asphalt Plant, Pag-asa, Mlang, Cotabato</t>
  </si>
  <si>
    <t>PB-20-047, Supply &amp; Delivery of Swine for distribution to qualified beneficiaries provincewide</t>
  </si>
  <si>
    <t>C20203458 Office Supplies for PEO Admin use</t>
  </si>
  <si>
    <t>Construction of Fence</t>
  </si>
  <si>
    <t>NwdBAC2020-006</t>
  </si>
  <si>
    <t>2267-20 Procurement of Assorted Fertilizer</t>
  </si>
  <si>
    <t>Supply and Delivery of Materials for the Construction of Barangay Multi-Purpose Hall, Sta. Maria</t>
  </si>
  <si>
    <t>Supply and Delivery of Goods for Day Care Children of Abra de Ilog, Occ. Mindoro</t>
  </si>
  <si>
    <t>2020-06-0108 - PROCUREMENT OF INFORMATION TECHNOLOGY PARTS &amp; ACCESSORIES FOR USE AT THE PLANNING AND DESIGN SECTION (1ST QUARTER).</t>
  </si>
  <si>
    <t>Installation of 7 units of 2.5HP split type air conditioner</t>
  </si>
  <si>
    <t>Pipe Laying of 6" Diameter Water Line at San Antonio, Bacolor, Pampanga</t>
  </si>
  <si>
    <t>2020-159-I PROCUREMENT AND SUBSCRIPTION OF INTERNET CONNECTIVITY FOR THE PERIOD OF JUNE TO DECEMBER 2020</t>
  </si>
  <si>
    <t>Purchase of Office Furniture</t>
  </si>
  <si>
    <t>Supply and Delivery of UGT (Upper Ground Tank) for Fuel</t>
  </si>
  <si>
    <t>ProcuConcreting of Barangay Road</t>
  </si>
  <si>
    <t>Supply and Delivery of Materials for the Construction of Concrete Canal (Additional Works)</t>
  </si>
  <si>
    <t>Construction of Talipapa public market with two (2) Comfort rooms</t>
  </si>
  <si>
    <t>5 UNITS MECHANICAL HAND WEEDER/ROTARY WEEDER</t>
  </si>
  <si>
    <t>Delivery and Supply of medical,Dental &amp; Laboratory Supplies</t>
  </si>
  <si>
    <t>ITDI-200194_REBID - SUPPLY AND DELIVERY OF VARIOUS LABORATORY SUPPLIES</t>
  </si>
  <si>
    <t>20IK0098- Const. of Modified Design w/ Parapet of 4- Storey, Twenty (20)Cl. School Bldg., Catbalogan II Central Elem. School, Catbalogan City</t>
  </si>
  <si>
    <t>Purchase of Ten (10) units Handheld Radio</t>
  </si>
  <si>
    <t>Construction of Water Tank at Barangay San Agustin, Bauan, Batangas</t>
  </si>
  <si>
    <t>2232-20 Purchase of Other Supplies</t>
  </si>
  <si>
    <t>SUPPLY AND DELIVERY OF LABORATORY AND HOSPITAL EQUIPMENT</t>
  </si>
  <si>
    <t>Procurement of Medicines &amp; Medical Supplies PR # 2020-06-15-193</t>
  </si>
  <si>
    <t>Construction of Lumangbayan Barangay Road</t>
  </si>
  <si>
    <t>CONCRETING OF BARANGAY STREET, Brgy. Rawis, Can-avid Eastern Samar</t>
  </si>
  <si>
    <t>INSTALLATION OF SOLAR POWERED INTEGRATED LED STREET LIGHTING</t>
  </si>
  <si>
    <t>PROCUREMENT OF ONE (1) UNIT SURPLUS DUMP TRUCK</t>
  </si>
  <si>
    <t>CONCRETING OF BARANGAY STREET, Brgy. Boco, Can-avid Eastern Samar</t>
  </si>
  <si>
    <t>ITDI-200293_REBID - SUPPLY AND DELIVERY OF METALS IN SOIL CRM</t>
  </si>
  <si>
    <t>ITDI-200318_REBID - DIAGNOSTIC LABORATORY SERVICES FOR SMALL LABORATORY ANIMALS</t>
  </si>
  <si>
    <t>ITDI-200344_REBID - SUPPLY OF LABOR AND MATERIALS FOR THE REPAIR AND CALIBRATION OF JENWAY FLAME PHOTOMETER</t>
  </si>
  <si>
    <t>Procurement of Laboratory Equipment for the Aviation Maintenance Department of the College of Industrial Technology NORSU Main Campus (Negotiated)</t>
  </si>
  <si>
    <t>Construction of Pathwalk/Pathway</t>
  </si>
  <si>
    <t>ITDI-200316_REBID - SUPPLY OF LABOR AND MATERIALS FOR THE CALIBRATION OF GRADE K RECTANGULAR GAUGE BLOCKS</t>
  </si>
  <si>
    <t>PROCUREMENT OF ONE (1) UNIT SURPLUS ELF TRUCK (16 FT)</t>
  </si>
  <si>
    <t>Road Concreting at Zone 1</t>
  </si>
  <si>
    <t>Supply &amp; Delivery of One (1) Unit Type II Wide Body Rescue Ambulance with complete accessories</t>
  </si>
  <si>
    <t>Construction of Open Canal</t>
  </si>
  <si>
    <t>Procurement of Office Supplies  PR # 2020-06-27-207</t>
  </si>
  <si>
    <t>INSTALLATION AND UPGRADE OF NORSU ICT DATABASE CENTER INFRASTRUCTURE FOR NORSU MAIN CAMPUSES I &amp; II</t>
  </si>
  <si>
    <t>Catering Services  PR # 2020-06-18-205</t>
  </si>
  <si>
    <t>ITDI-200354_REBID - SUPPLY AND DELIVERY OF VARIOUS FOOD CHEMICAL ANALYSIS</t>
  </si>
  <si>
    <t>Procurement of IT Equipment PR # 2020-06-19-206</t>
  </si>
  <si>
    <t>Procurement of Office Supplies for LGU-Danao, Bohol 2nd Quarter of FY 2020</t>
  </si>
  <si>
    <t>Publication of City Ordinances PR # 2020-06-22-208</t>
  </si>
  <si>
    <t>Procurement of CCTV Cameras and Medical Equipment</t>
  </si>
  <si>
    <t>PETAL 06-2020 - construction of concrete fence at brgy hall</t>
  </si>
  <si>
    <t>Purchase of Diesel, Gasoline, Car Oils for LGU Vehicles</t>
  </si>
  <si>
    <t>IMPROVEMENT OF BARANGAY COVERED COURT, BRGY. MAGTANGTANG</t>
  </si>
  <si>
    <t>ITDI-200196_REBID - SUPPLY AND DELIVERY OF VARIOUS LABORATORY SUPPLIES</t>
  </si>
  <si>
    <t>IMPROVEMENT / REHABILITATION OF LOCAL ACCESS ROAD FROM SAN CARLOS TO DAGOHOY ROAD</t>
  </si>
  <si>
    <t>SUBSCRIPTION SUPPORT CONTRACT FOR THE VIRTUALIZED ENVIRONMENT BACKUP APPLIANCE</t>
  </si>
  <si>
    <t>Procurement of Office Equipment PR # 2020-06-19-206</t>
  </si>
  <si>
    <t>Purchase of spray Chemical for Mosquito</t>
  </si>
  <si>
    <t>SUPPLY DELIVERY OF ICT and OFFICE EQUIPMENT</t>
  </si>
  <si>
    <t>Purchase of Aspirin Tablets</t>
  </si>
  <si>
    <t>Construction of Drainage system at Bagsakan Center</t>
  </si>
  <si>
    <t>IMPROVEMENT / REHABILITATION OF LOCAL ACCESS ROAD OF BARANGAY HIBALE</t>
  </si>
  <si>
    <t>Purchase of Shredding Machine</t>
  </si>
  <si>
    <t>Drainage System Improvement at Limousine St. At Purok Bulakan, Brgy. Wilfredo Aquino, Agdao District, Davao City</t>
  </si>
  <si>
    <t>Repair and Maintenance of Sportivo (SUV Plate No. SHE 433)</t>
  </si>
  <si>
    <t>IMPROVEMENT OF MULTI-PURPOSE BUILDING (GYMNASIUM)</t>
  </si>
  <si>
    <t>Supply and Delivery of 23 units 8.0 inch tablet w/Pen 2019 Edition</t>
  </si>
  <si>
    <t>REHABILITATION OF MUTI-PURPOSE DRYING PAVEMENT AT PUROK 3 MANAG E/S</t>
  </si>
  <si>
    <t>Expansion of Potable Water System Level II</t>
  </si>
  <si>
    <t>One(1) unit contract: Labor &amp; Materials for the construction of  Public Stalls besides Public Terminal Four (4) units with Toilet, Mabini, Public Terminal Site, Cuambog, Mabini, Davao De Oro</t>
  </si>
  <si>
    <t>Disbursement and use of Senior Citizen 1% Fund for COVID-19 kit</t>
  </si>
  <si>
    <t>INVITATION TO BID FOR SUPPLY AND DELIVERY FOR SK E-LEARNING CENTER EQUIPMENT'S</t>
  </si>
  <si>
    <t>(VJLN-HRMS) SUPPLY AND DELIVERY OF 75 SACKS QUALITY RICE (25KG/SACK)</t>
  </si>
  <si>
    <t>Purchase of Office Supplies for SBO use</t>
  </si>
  <si>
    <t>Improvement of Admission Office, Waiting Area and Generator House</t>
  </si>
  <si>
    <t>(JOY-CDCPF) SUPPLY AND DELIVERY OF PEST CONTROL SUPPLIES</t>
  </si>
  <si>
    <t>CONSTRUCTION OF COVERED DRAINAGE CANAL (PHASE 2) AT BRGY BURABOD, VILLAREAL, SAMAR</t>
  </si>
  <si>
    <t>(VJLN-RDD) SUPPLY AND DELIVERY OF GNRH AND HCG</t>
  </si>
  <si>
    <t>SUPPLY DELIVERY OF JANITORIAL AND OTHER SUPPLIES</t>
  </si>
  <si>
    <t>MEDICAL SUPPLIES -GAD ACTIVITY</t>
  </si>
  <si>
    <t>Civil Engineering Laboratory Equipment</t>
  </si>
  <si>
    <t>Consulting Services for the Relocation, Topographic and Subdivision Survey of Various LGU Owned Lots</t>
  </si>
  <si>
    <t>CONSTRUCTION OF DRAINAGE SYSTEM  - PROCUREMENT OF MATERIALS</t>
  </si>
  <si>
    <t>19CSJ013 - Sub-Surface Exploration Thru Calyx Drilling and Laboratory Works/Analysis for the Construction of Two (2) Bridges and One (1) Multi-Purpose Building for Region IX</t>
  </si>
  <si>
    <t>Proposed Basketball Court Flooring</t>
  </si>
  <si>
    <t>IMPROVEMENT OF FAR-TO-MARKET ROAD @ SITIO APAYA, ALLANGIGAN</t>
  </si>
  <si>
    <t>Construction of Open Drainage Canal</t>
  </si>
  <si>
    <t>Electrical Engineering Science Laboratory Equipment</t>
  </si>
  <si>
    <t>Procurement of M16 Rifle Magazine</t>
  </si>
  <si>
    <t>20CSJ002 - Consulting Services for the Sub-Surface Exploration Thru Calyx Drilling and Laboratory Works/Analysis for Widening of Five Bridges for Sulu 2nd, BARMM</t>
  </si>
  <si>
    <t>Renovation of Evacuation Center at Balete Relocation Site, Batangas City</t>
  </si>
  <si>
    <t>PURCHASE OF MOTOR VEHICLE</t>
  </si>
  <si>
    <t>CONSTRUCTION OF CONCRETE FENCE @ PADDIG ES (PHASE II)</t>
  </si>
  <si>
    <t>Purchase of one (1) unit Vehicle</t>
  </si>
  <si>
    <t>SUPPLY AND DELIVERY OF COMPUTER</t>
  </si>
  <si>
    <t>Bid No. 20-0324 - PROCUREMENT OF JANITORIAL SUPPLIES - MO/MCOW SECTION</t>
  </si>
  <si>
    <t>20CSJ003 - Consulting Services for the Sub-Surface Exploration Thru Calyx Drilling and Laboratory Works/Analysis for Replacement of Nine (9) Bridges for Sulu 1st BARMM</t>
  </si>
  <si>
    <t>Office Supplies and Other Consumables</t>
  </si>
  <si>
    <t>Supply, Delivery and Configuration of Unified Threat Management Devices</t>
  </si>
  <si>
    <t>Purchase of Spare Parts for the Preventive Maintenance of the different Machineries of MEO</t>
  </si>
  <si>
    <t>Umblical Cable</t>
  </si>
  <si>
    <t>nyg2020-04</t>
  </si>
  <si>
    <t>Improvements of Barangay Health Center</t>
  </si>
  <si>
    <t>Disinfection of School Buildings and Facilities to support the Minimum Health Standards in Schools and Workplace.</t>
  </si>
  <si>
    <t>CONSTRUCTION OF CALAOAN MULTI PURPOSE BUILDING BUILING (PHASE I)</t>
  </si>
  <si>
    <t>IMPROVEMENT OF SACPIL NATIONAL HIGH SCHOOL ACCESS ROAD</t>
  </si>
  <si>
    <t>REHBILITATION OF WATER SYSTEM</t>
  </si>
  <si>
    <t>Flood Control Program/Projects(Riprapping)</t>
  </si>
  <si>
    <t>HO-TFM20-055 - Supply and Delivery of Pressure Transducer</t>
  </si>
  <si>
    <t>Contract ID No. 20NC0136 - Construction of Multi-Purpose Building, Brgy. San Marcos, Bunawan, Agusan del Sur</t>
  </si>
  <si>
    <t>nyg2020-05</t>
  </si>
  <si>
    <t>Supply, Delivery and Installation of One (1) unit Express5800/r120g-2E Server (2nd posting)</t>
  </si>
  <si>
    <t>Contract ID No. 20NC0135 - Construction of Multi-Purpose Building, Brgy. San Francisco, Bunawan, Agusan del Sur</t>
  </si>
  <si>
    <t>100 mbps Leased Line Internet Fiber Connection (2nd posting)</t>
  </si>
  <si>
    <t>Construction of Footbridge (Rebidding)</t>
  </si>
  <si>
    <t>Procurement of Various Materials for the Installation of Solar Street Lights</t>
  </si>
  <si>
    <t>General Merchandise PF-0420-392</t>
  </si>
  <si>
    <t>General Merchandise PF-0320-332</t>
  </si>
  <si>
    <t>Supply and Delivery of Various Laboratory Supplies, PR# 2020-01-0301 etc, Project 42, re</t>
  </si>
  <si>
    <t>Supply and Delivery of Three (3) Units of Stainless Steel Propeller for the Repair and Calibration of Electronic Injector of Ferry Boat  11, 14, and 15</t>
  </si>
  <si>
    <t>Contract ID No. 20NC0134 - Construction of Local Road (Phase II), Brgy. Panagangan, La Paz, Agusan del Sur</t>
  </si>
  <si>
    <t>PROCUREMENT OF MATERIALS FOR THE REPAIR/MAINTENANCE OF PARKS, PLAZAS &amp; MONUMENTS</t>
  </si>
  <si>
    <t>Supply &amp; Delivery of Switchgear &amp; Relay Module for Sitangkai DPP (S3-SIT20-014 (NP-1)</t>
  </si>
  <si>
    <t>Supply and Delivery of Canon Ink (Black and Colored) for Canon Pixma TR4570S Printer</t>
  </si>
  <si>
    <t>RFQ Chlorine</t>
  </si>
  <si>
    <t>Office Furniture for 18 Negosyo Center sa Barangay</t>
  </si>
  <si>
    <t>Supply &amp; Delivery of Various Electrical Parts for Perkins &amp; FG Wilson Gensets of Manuk Mangkaw DPP for PR # S3-MAN20-007, S3-MAN20-008 &amp; S3-MAN20-010 (S3-SPUGWM20-003 (NP2))</t>
  </si>
  <si>
    <t>PURCHASE OF F.O.L. FOR VARIOUS OFFICES</t>
  </si>
  <si>
    <t>External Hard Drive and Flash Drive</t>
  </si>
  <si>
    <t>Purchase of IT Equipments for the Different Schools at Labason District ,Labason,ZN :</t>
  </si>
  <si>
    <t>HO-DMD20-007 - Supply of Labor and Materials for the Repair &amp; Maintenance of Motor Vehicles Auto Detailing/Interior Detailing, Engine Wasd/Engine Detailing</t>
  </si>
  <si>
    <t>SUPPLY AND DELIVERY OF MATERIALS - Improvement of Water System (2nd Notice)</t>
  </si>
  <si>
    <t>Supply &amp; Delivery of Consumable Materials, Labor &amp; Expertise for the Reconditioning of VTR-304 Turbocharger, for Jolo DPP (S3-JOL20-017 (NP2))</t>
  </si>
  <si>
    <t>Request for Quotation PR NO. 0705-20</t>
  </si>
  <si>
    <t>HO-WMD20-006 - Supply and Delivery of Shower Electric Water Heater and Stainless Steel Water Tank for Camarin Lake Resort, Cavinti, Laguna</t>
  </si>
  <si>
    <t>CIVIL WORKS FOR THE COMPLETION OF ROAD CONCRETING OF TORRALBA-BUYAN ST. LEADING TO CUENCA AVE.</t>
  </si>
  <si>
    <t>CIVIL WORKS FOR THE ROAD CONCRETING OF P-3, BRGY. STO. ROSARIO</t>
  </si>
  <si>
    <t>Purchase of Construction Materials for Renovation of Day Care Center at Malintuboan, Lab. ZN:</t>
  </si>
  <si>
    <t>Tropical Combat Shoes for Security Guards</t>
  </si>
  <si>
    <t>PROCUREMENT OF MATERIALS FOR THE ROAD CONCRETING OF BRGY. OWAK</t>
  </si>
  <si>
    <t>SUPPLY, DELIVERY, INSTALLATION AND TESTING OF ENGINE UG-8 WOODWARD TYPE GOVERNOR WITH SERVO MOTOR INCLUDING GOVERNOR CONTROL UNIT FOR 6DK-32 DAIHATSU GENSET OF Power Barge 119 (S3-B1920-008 (NP2))</t>
  </si>
  <si>
    <t>Bid No. 20-0325 - PROCUREMENT OF JANITORIAL SUPPLIES - MENRO OPERATIONS</t>
  </si>
  <si>
    <t>RFQ 119 ICT EQUIPMENT</t>
  </si>
  <si>
    <t>General Merchandise PF-0320-254</t>
  </si>
  <si>
    <t>INSTALLATION OF STREETLIGHTS ALONG DIVERSION ROAD</t>
  </si>
  <si>
    <t>Various Laboratory Supplies_PR 10914</t>
  </si>
  <si>
    <t>DDN GDSI 2020-17</t>
  </si>
  <si>
    <t>Supply, Deliver, Provision, Configuration of CTU Online Platform Subscription</t>
  </si>
  <si>
    <t>Procurement of One (1) Unit Single Motorcycle (MDRRMO)</t>
  </si>
  <si>
    <t>PURCHASE OF ONE (1) UNIT DUMP TRUCK  FOR THE MUNICIPALITY OF INFANTA, PANGASINAN</t>
  </si>
  <si>
    <t>Purchase of CCTV.</t>
  </si>
  <si>
    <t>Procurement of M193 Ammunition</t>
  </si>
  <si>
    <t>Procurement-Supply &amp; Delivery of Fuel</t>
  </si>
  <si>
    <t>MAINTENANCE OF VIEW DECK AND BAMBOO BRIDGE OF MOUNT KALATUNGAN RANGE NATURAL RANGE AT BARANGAY MENDIS PANGANTUCAN BUKIDNON</t>
  </si>
  <si>
    <t>PROCUREMENT OF COMMERCIAL RICE</t>
  </si>
  <si>
    <t>RFQ No. 20-0587 - Procurement for the Production and Delivery of Group Statue Made of Lahar</t>
  </si>
  <si>
    <t>Tall Cabinet, etc.</t>
  </si>
  <si>
    <t>ITB - Fertilizers (COB)</t>
  </si>
  <si>
    <t>DDN GDSI 2020-19</t>
  </si>
  <si>
    <t>DDN GDSI 2020-16</t>
  </si>
  <si>
    <t>PURCHASE OF TWO (2) UNITS MOTORCYCLE FOR THE OPERATION OF THE OFFICE OF THE IWWS, INFANTA, PANGASINAN</t>
  </si>
  <si>
    <t>Supply &amp; Delivery of Nutrition Supplement for Pregnant and Lactating Mothers</t>
  </si>
  <si>
    <t>Heavy Duty Storage Tub (Small, Medium &amp; Large)</t>
  </si>
  <si>
    <t>NOTICE TO CONDUCT FOR  PROCUREMENT OF LOT # 3 AND LOT # 4 OF REPAIR AND MAINTENANCE MATERIALS FOR BALINGASAG WATER DISTRICT</t>
  </si>
  <si>
    <t>Municipal Website Development</t>
  </si>
  <si>
    <t>Purchase of Academic Perpetual Ebooks Collection</t>
  </si>
  <si>
    <t>DDN GDSI 2020-18</t>
  </si>
  <si>
    <t>RFQ No. 20-06-056 - Purchase of Office Supplies for the 1st and 2nd Quarter</t>
  </si>
  <si>
    <t>INSTALLATION OF STAINLESS STEEL RAILINGS</t>
  </si>
  <si>
    <t>Bid No. 20-0327 - PROCUREMENT OF OFFICE SUPPLIES - MENRO OPERATIONS</t>
  </si>
  <si>
    <t>Labor and Materials for the Installation of 10m x 10m x 4m Bamboo Frame Cage with Net Top Cover</t>
  </si>
  <si>
    <t>Bid No. 20-0326 - PROCUREMENT OF OFFICE SUPPLIES - MENRO OPERATIONS (MINING DEVELOPMENT AND MANAGEMENT PROGRAM)</t>
  </si>
  <si>
    <t>PROCUREMENT OF FARM INPUTS FOR FILP PROGRAM</t>
  </si>
  <si>
    <t>Purchase of Laboratory Supplies of DOST PCAARRD TGMPPEFET ( RFQ 2020-192)</t>
  </si>
  <si>
    <t>Procurement of Repair and Calibration of Electronic Injector of Ferry Boat 11 and Ferry Boat 10</t>
  </si>
  <si>
    <t>CCJE RADIO COMMUNICATION</t>
  </si>
  <si>
    <t>Labor and Spare Parts for the Repair and Maintenance of LDRRMO rescue vehicle with plate number A7Y 699</t>
  </si>
  <si>
    <t>SUPPLY AND DELIVERY OF PPE’S/GEAR FOR DRRM</t>
  </si>
  <si>
    <t>Services-PF-0220-092</t>
  </si>
  <si>
    <t>Supply of Various Material for use in Repair and Rehabilitation of Infrastructure Facilities and other Related Activities – Repair and Maintenance of Road Safety Facilities within 1st District of Pamp</t>
  </si>
  <si>
    <t>SUPPLIES/LOGISTICS FOR QUARANTINE FACILITIES</t>
  </si>
  <si>
    <t>Services-PF-0620-598</t>
  </si>
  <si>
    <t>CONSTRUCTION OF NALAY-AN PIS Located at Ambaguio, Nueva Vizcaya</t>
  </si>
  <si>
    <t>(VJLN-GP_RF) SUPPLY AND DELIVERY OF MECHANICAL PLANTER FOR CORN AND SORGHUM</t>
  </si>
  <si>
    <t>Bid No. 20-0329 - PROCUREMENT OF OFFICE EQUIPMENT - MO/HRDP SECTION</t>
  </si>
  <si>
    <t>Procurement-Supply &amp; Delivery of School and Office Supplies</t>
  </si>
  <si>
    <t>Rehabilitation of Farm to Market Road</t>
  </si>
  <si>
    <t>100 pcs. Printed T-shirt</t>
  </si>
  <si>
    <t>SUPPLY AND DELIVERY OF 1 LOT COMMON OFFICE SUPPLIES</t>
  </si>
  <si>
    <t>Purchase of Fingerlings (D.A)</t>
  </si>
  <si>
    <t>DDN GDSI 2020-20</t>
  </si>
  <si>
    <t>Construction of Alukon Diversion Dam, Phase-II</t>
  </si>
  <si>
    <t>Supply and Delivery of the following Various Plumbing Materials (5 items), as per BSP Technical Specifications and Terms and Conditions</t>
  </si>
  <si>
    <t>Construction and Renovation of Teen Center, Barangay Poro</t>
  </si>
  <si>
    <t>263 pax meals and Snacks</t>
  </si>
  <si>
    <t>Bid No. 20-0328 - PROCUREMENT OF OFFICE SUPPLIES - MO/TOURISM (INVESTMENT &amp; PROMOTION PROGRAM)</t>
  </si>
  <si>
    <t>PURCHASE OF FURNITURE &amp; FIXTURES</t>
  </si>
  <si>
    <t>Procurement of Food Stuff for Welfare Goods Expense due to COVID-19</t>
  </si>
  <si>
    <t>Office chair</t>
  </si>
  <si>
    <t>Construction of Drainage Canal, Upper Banks to Tawi-Tawi, Barangay Poro</t>
  </si>
  <si>
    <t>Purchase of Various Electrical Supplies to be Used for the Rehabilitation of Street Lights at Mabini Street</t>
  </si>
  <si>
    <t>Construction Supplies-PF-0420-428</t>
  </si>
  <si>
    <t>Labor and Materials for the Improvement of Road at Dolores, City of San Fernando, Pampanga</t>
  </si>
  <si>
    <t>General Merchandise PF-0620-639</t>
  </si>
  <si>
    <t>Labor and Materials for the Development of Eco-Park Phase I(Embankment) at Lara, City of San Fernando, Pampanga</t>
  </si>
  <si>
    <t>Road Concreting, Bacalso Purok 8, Brgy. Catalunan Pequeño, Talomo District, Davao City</t>
  </si>
  <si>
    <t>IMROVEMENT OF MANAG TO SIMUD FMR</t>
  </si>
  <si>
    <t>Purchase of Office Supplies for various Offices use</t>
  </si>
  <si>
    <t>Services-PF-0520-582</t>
  </si>
  <si>
    <t>(VJLN-VO) SUPPLY AND DELIVERY OF SAFETY, SANITATION &amp; OTHER MEDICAL SUPPLIES</t>
  </si>
  <si>
    <t>(VJLN-ABGS) FABRICATION, SUPPLY AND DELIVERY OF CUSTOMIZED CONICAL TUBE WITH CAP, AND GOBLETS</t>
  </si>
  <si>
    <t>2nd PUBLIC BIDDING FOR LOT 1 OF THE PROCUREMENT OF  RANDOM ACCESS MEMORY AND VARIOUS DATA STORAGE DEVICES</t>
  </si>
  <si>
    <t>SUPPLY AND DELIVERY OF EMBROIDERY MACHINE &amp; SUPPLIES FOR DTI-BUB EMBROIDERY MACHINE TRAINING</t>
  </si>
  <si>
    <t>PROCUREMENT OF MICRO-INFRA PROJECTS CLUSTER 07-2020 (MDF 2020) NAWAL &amp; TIKEY, BOKOD, BENGUET</t>
  </si>
  <si>
    <t>Construction of Cabaroan Diversion Dam, Phase-II</t>
  </si>
  <si>
    <t>Procurement-Supply &amp; Delivery of Hardware Materials</t>
  </si>
  <si>
    <t>General Merchandise PF-0620-600</t>
  </si>
  <si>
    <t>School Medical Supplies</t>
  </si>
  <si>
    <t>Labor and Materials for the Improvement/Embankment of Civic Center Parking at San Isidro, City of San Fernando, Pampanga</t>
  </si>
  <si>
    <t>DDN GDSI 2020-23</t>
  </si>
  <si>
    <t>Supply &amp; Delivery of 1,000 pcs. GI Coupling 1 (Conduit) 3.5mm thickness and other Water Fittings &amp; Materials (w/ requirements)</t>
  </si>
  <si>
    <t>Bid No. 20-0330 - PROCUREMENT OF OFFICE SUPPLIES - MO/DXLM SECTION</t>
  </si>
  <si>
    <t>Labor and Materials for the Construction of Underground Powerlines at City Civic Center, San Isidro, City of San Fernando, Pampanga</t>
  </si>
  <si>
    <t>S1-SPS20-028   SUPPLY OF LABOR, TOOLS &amp; EQUIPMENT FOR THE LINE CLEARING OF NARRA TO BROOKE'S POINT 69KV TRANSMISSION LINE.(sCHEDULE 2).</t>
  </si>
  <si>
    <t>1,000 sachet Fabric conditioner</t>
  </si>
  <si>
    <t>REQUEST FOR QUOTATION (IPTD VISAYAS ISLAND CROSS-CONNECTION, 2nd Posting)</t>
  </si>
  <si>
    <t>PURCHASE OF MINI-DUMPTRUCK</t>
  </si>
  <si>
    <t>DDN GDSI 2020-22</t>
  </si>
  <si>
    <t>Supply/Delivery of Grocery Item for Relief Packs to be given to Senior Citizen. (PR # 20-06-0636)</t>
  </si>
  <si>
    <t>(2020-021-II) - Construction of Free Range Native Chicken House</t>
  </si>
  <si>
    <t>Bid No. 20-0334 - PROCUREMENT OF JANITORIAL SUPPLIES - BAC SECRETARIAT OFFICE</t>
  </si>
  <si>
    <t>Provision of Food &amp; venue for 60 persons in the Joint Local Finance Committee, Department Heads &amp; Leyte Economics Team Coordination Meeting on July 13, 20-20 @ Candahug, Palo, Leyte. ABC PHP65,000.00</t>
  </si>
  <si>
    <t>Supply &amp; Delivery of 150L PVC Pipe 100mm x 6mtrs. C-150 Series 8 w/ Fixed Seal O-ring Color Blue and Other Fittings (w/ requirements)</t>
  </si>
  <si>
    <t>Purchase of Office Equipments</t>
  </si>
  <si>
    <t>Bid No. 20-0333 - PROCUREMENT OF OFFICE SUPPLIES - MPDO/PMC OPERATIONS</t>
  </si>
  <si>
    <t>REQUEST FOR QUOTATION (Toners – Free WiFi)</t>
  </si>
  <si>
    <t>30 reams Bond paper long</t>
  </si>
  <si>
    <t>Bid No. 20-0332 - PROCUREMENT OF OFFICE SUPPLIES - MEEDO/MAETC</t>
  </si>
  <si>
    <t>S1-JPR20-008 SUPPLY AND DELIVERY OF GENERAL PLANT EQUIPMENT (GPE) FOR JP RIZAL DPP.</t>
  </si>
  <si>
    <t>Purchase of Feeds (D.A)</t>
  </si>
  <si>
    <t>Catering Services Batch 2</t>
  </si>
  <si>
    <t>REQUEST FOR QUOTATION (Toners – CERTPH)</t>
  </si>
  <si>
    <t>Purchase of Pneumonia Vaccine for Barangay Constituents</t>
  </si>
  <si>
    <t>Labor and Materials for the Construction of Day Care Center in Maimpis, City of San Fernando, Pampanga</t>
  </si>
  <si>
    <t>Construction &amp; Repair of Brgy. Road</t>
  </si>
  <si>
    <t>Procurement-Supply &amp; Delivery of Printed T-Shirts &amp; Tarpaulin</t>
  </si>
  <si>
    <t>Bid No. 20-0331 - PROCUREMENT OF OFFICE SUPPLIES - MO/MCOW SECTION</t>
  </si>
  <si>
    <t>Construction of Multi-purpose Hall (Phase 2)</t>
  </si>
  <si>
    <t>Spare Parts (Tire, Batteries &amp; Other Parts) for various motorcycles of MASSO</t>
  </si>
  <si>
    <t>Repair and maintenance of outboard motor - CPSD</t>
  </si>
  <si>
    <t>Purchase of Varicella-Zoster Vaccine Live</t>
  </si>
  <si>
    <t>Purchas of Influenza Trivalent Vaccines for Barangay Constituents</t>
  </si>
  <si>
    <t>Construction Materials for the Concreting of Brgy. Road @ Purok 6, Bagacay, Talibon, Bohol</t>
  </si>
  <si>
    <t>Procurement of Foodstuff (for meals of those involed in Covid Response Activities)</t>
  </si>
  <si>
    <t>Bid No. 20-0336 - PROCUREMENT OF OFFICE EQUIPMENT - MENRO OPERATIONS</t>
  </si>
  <si>
    <t>Purchase of Sofa for OMA use</t>
  </si>
  <si>
    <t>INSTALLATION/REHABILITATION OF STREETLIGHTS – NATIONAL HIGHWAY</t>
  </si>
  <si>
    <t>S1-ARA20-008 SUPPLY AND DELIVERY OF AIRCONDITIONING UNIT, WINDOW TYPE INVERTER, 2.5HP.</t>
  </si>
  <si>
    <t>Supply and delivery or rabbits</t>
  </si>
  <si>
    <t>Bid No. 20-0335 - PROCUREMENT OF OFFICE EQUIPMENT - MO/TOURISM SECTION</t>
  </si>
  <si>
    <t>Purchase of Token Mugs for LGU Employees</t>
  </si>
  <si>
    <t>S1-SPS20-029   SUPPLY OF LABOR, TOOLS AND EQUIPMENT FOR THE LINE CLEARING OF IRAWAN SS TO NARRA SS 69KV TL.</t>
  </si>
  <si>
    <t>Construction of Retaining Wall</t>
  </si>
  <si>
    <t>DDN GDSI 2020-25</t>
  </si>
  <si>
    <t>OFFICE DEVICES - EXTERNAL HARDRIVE</t>
  </si>
  <si>
    <t>ITB for Additional Office Supplies for 2020</t>
  </si>
  <si>
    <t>Procurement of Hardware and Construction Supplies for CASAY</t>
  </si>
  <si>
    <t>Supply &amp; Delivery of Assorted Sizes Ord. Saddle Clamp for PVC (w/ requiremens)</t>
  </si>
  <si>
    <t>CONSTRUCTION OF SLOPE POTECTION ON CRITCAL AREAS AT GAWAD KALINGA HOUSING SITE</t>
  </si>
  <si>
    <t>IMPROVEMENT/ CONSTRUCTION OF DAKLAN POTABLE WATER SYSTEM , DAKLAN ,   BOKOD, BENGUET</t>
  </si>
  <si>
    <t>Procurement of Tractor Implement Harrow And Discplow for Agriculture Office</t>
  </si>
  <si>
    <t>CONTINUATION OF FABRICATION OF CANAL GRILLS</t>
  </si>
  <si>
    <t>Office chair and Visitor's chair</t>
  </si>
  <si>
    <t>Supply and Delivery of Common Used Office Supplies for the year 2020 to be used by CadminO - City Market Operation Division, CAVO, CGSO – MPD, CGSO – PMD, CGSO – PSMD, CGSO – RAMD, CGSO – RMAD, CGSO –</t>
  </si>
  <si>
    <t>Bid No. 20-0338 - PROCUREMENT OF OFFICE EQUIPMENT - SB/LEGISLATIVE SECTION</t>
  </si>
  <si>
    <t>60 packs Coffee/Chips Gift Set to be given as token for media partners of Cinemalaya 2020 Presscon on July 15, 2020</t>
  </si>
  <si>
    <t>S1-NPS20-006 SUPPLY AND DELIVERY OF GENERAL PLANT EQUIPMENT (GPE) FOR NPSSTL 69KV TL.</t>
  </si>
  <si>
    <t>Spare parts and labor for different dump trucks used by CEPWD</t>
  </si>
  <si>
    <t>Repair and maintenance of dump truck assigned to CENRD</t>
  </si>
  <si>
    <t>B20200239 - AMBULANCE EQUIPMENT AND SUPPLIES FOR PEO USE.</t>
  </si>
  <si>
    <t>REPAIR AND REPLACEMENT OF DEFECTIVE PARTS FOR THE 3 STOP ELEVATOR AT OSPITAL NG MAKATI</t>
  </si>
  <si>
    <t>Labor and Materials for the Improvement/Construction of Road at Del Rosario, City of San Fernando, Pampanga</t>
  </si>
  <si>
    <t>S1-PWN20-042  SUPPLY AND DELIVERY OF MATERIALS AND EQUIPMENT FOR OM PALAWAN AREA OFFICE.</t>
  </si>
  <si>
    <t>Procurement of Materials for the Construction of Canal Cover, Barangay Quirino, Tagudin, Ilocos Sur</t>
  </si>
  <si>
    <t>SUPPLY AND DELIVERY OF VARIOUS PLUMBING MATERIALS</t>
  </si>
  <si>
    <t>PURCHASE AND DELIVERY OF IT EQUIPMENTS</t>
  </si>
  <si>
    <t>Improvement of Drainage Canal</t>
  </si>
  <si>
    <t>Shelf/Cabinet</t>
  </si>
  <si>
    <t>Request for Quotation PR NO. 0918-20</t>
  </si>
  <si>
    <t>REHABILITATION OF MPBLDG FOR VAWC/BCPC OFFICE</t>
  </si>
  <si>
    <t>Purchase of Body Camera for Tanod/Bantay-Bayan use</t>
  </si>
  <si>
    <t>improvement of daycare center</t>
  </si>
  <si>
    <t>Purchase &amp; Delivery of Office Supplies</t>
  </si>
  <si>
    <t>Measuring tape, etc.</t>
  </si>
  <si>
    <t>SUPPLY AND DELIVERY OF VARIOUS MECHANICAL SPARE PARTS FOR 300 KW CUMMINS INTENDED FOR GIGANTES DPP</t>
  </si>
  <si>
    <t>Purchase of Medical Supplies for use of GAD (Family Planning), City Health Office, Silay City.</t>
  </si>
  <si>
    <t>SUBM#2020 -07-01 - To purchase IT Equipment to be used in the Construction Section, DPWH, Negros Occidental 2nd District Engineering Office, Binalbagan Negros Occidental</t>
  </si>
  <si>
    <t>Procurement of Meals &amp; 2 Snacks For the Participants of Health Summit &amp; Buntis Congress 2020</t>
  </si>
  <si>
    <t>B20200240 - LABORATORY SUPPLIES FOR THREE DDN HOSPITALS</t>
  </si>
  <si>
    <t>74374_Supply &amp; Delivery of 1 unit Computer set w/ high specs</t>
  </si>
  <si>
    <t>SUPPLY, DELIVERY AND INSTALLATION OF VARIOUS FURNITURES FOR   Pag-IBIG FUND ILAGAN AND SANTIAGO MSOs AND TUGUEGARAO BRANCH</t>
  </si>
  <si>
    <t>B20200238 - MEDICAL SUPPLIES FOR DDNH- KAPALING ZONE</t>
  </si>
  <si>
    <t>Purchase of Laptop to be used of the Secretariat during the Local School Board, Silay City (REBID).</t>
  </si>
  <si>
    <t>Procurement of Animal Feeds</t>
  </si>
  <si>
    <t>RFQ - Procurement of Background Investigation Services</t>
  </si>
  <si>
    <t>Request for Quotation for Vacuum Pump Oil, Hepa Filter, Carbon Filter and Chamber Door Gasket 0338</t>
  </si>
  <si>
    <t>B20200244 - AGRICULTURAL SUPPLIES FOR TISSUE CULTURE PLANTLETS PRODUCTION OF PAGRO</t>
  </si>
  <si>
    <t>Request for Quotation for Chillers and Trash bins 0288</t>
  </si>
  <si>
    <t>Purchase &amp; Delivery of Computer Supplies &amp; Materials</t>
  </si>
  <si>
    <t>PROCUREMENT OF ADDITIONAL MATERIALS- TARPAULIN FOR 2020 CENSUS OF POPULATION AND HOUSING (2020 CPH) 4TH LEVEL TRAINING</t>
  </si>
  <si>
    <t>Request for Quotation for 6 Bottles Hydrogen Peroxide Sterilization Agent 0375</t>
  </si>
  <si>
    <t>Improvement of Holding Area of PENRO Camarines Sur (COVID 19 Protocol)</t>
  </si>
  <si>
    <t>IMPROVEMENT OF CABACAB-BILA ROAD, BALILI, MANKAYAN, BENGUET</t>
  </si>
  <si>
    <t>Change Oil of Generator Set</t>
  </si>
  <si>
    <t>Procurement of Agricultural Products</t>
  </si>
  <si>
    <t>B20200241 - SURVEY INSTRUMENT FOR PEO-PDPD DIVISION USE</t>
  </si>
  <si>
    <t>RECORDS: PROCUREMENT OF 3 UTILITY WORKERS FOR RECORDS MANAGEMENT SECION AND PROPERTY AND ASSETS SECTION AND GENERAL SERVICES SECTION.</t>
  </si>
  <si>
    <t>Purchase of Portable Handheld Radio</t>
  </si>
  <si>
    <t>Request for Quotation for Airconditioners for PDCCU 0319</t>
  </si>
  <si>
    <t>Rehabilitation of Water System, Uson</t>
  </si>
  <si>
    <t>DRY SEAL for Certification Authentication and Verification of documents of all Schools in the Division of Surigao del Sur</t>
  </si>
  <si>
    <t>Construction of Intake Box &amp; Water Distribution Line, Uson</t>
  </si>
  <si>
    <t>DDN GDSI 2020-24</t>
  </si>
  <si>
    <t>Bid No. 20-0337 - PROCUREMENT OF OFFICE SUPPLIES - MACCO OPERATIONS FOR THE 2ND QTR.</t>
  </si>
  <si>
    <t>50 reams Mimeograhing paper, legal size</t>
  </si>
  <si>
    <t>Procurement-Supply &amp; Delivery of Office Supplies</t>
  </si>
  <si>
    <t>PURCHASE OF DESKTOP COMPUTER W/ PRINTER</t>
  </si>
  <si>
    <t>Procurement of Constructions Materials and Supplies</t>
  </si>
  <si>
    <t>PURCHASE OF 3 &amp; 1 PRINTER</t>
  </si>
  <si>
    <t>Construction Materials for the Rehabilitation of Brgy. Basketball Court @ Guindacpan, Talibon, Bohol</t>
  </si>
  <si>
    <t>For use in operation of L-300, Toyota Hilux AAG 1146, backhoe 02, DT 08, Payloader 03, DT 03, assigned at City Engineer's Office.</t>
  </si>
  <si>
    <t>PROCUREMENT OF ADDITIONAL CENSUS FORMS AND MATERIALS FOR 2020 CENSUS OF POPULATION AND HOUSING (2020 CPH) 4TH LEVEL TRAINING AND ENUMERATION</t>
  </si>
  <si>
    <t>20FN0107 Construction of Two (2) Storey Four (4) Classroom School Building, San Miguel Elementary School, Bato, Camarines Sur</t>
  </si>
  <si>
    <t>PUBLICATION OF MUNICIPAL ORDINANCE</t>
  </si>
  <si>
    <t>CONSOLIDATED PR'S (2020-06-217) PROCUREMENT OF HDPE PIPE</t>
  </si>
  <si>
    <t>20-04-0533 - Provision of full board &amp; lodging for the conduct of Orientation on the SWDI tool of Pantawid</t>
  </si>
  <si>
    <t>IMPROVEMENT OF MULTI-PURPOSE BUILDING</t>
  </si>
  <si>
    <t>Rehabilitation of Fish Sanctuary, Brgy. Uson</t>
  </si>
  <si>
    <t>REQUEST FOR QUOTATION OF SCHOOL AND OFFICE SUPPLIES</t>
  </si>
  <si>
    <t>Procurement of Subdivision Survey Project for Davao de Oro.</t>
  </si>
  <si>
    <t>For use in the operation of various City Equipment assigned in the City Engineer's Office.</t>
  </si>
  <si>
    <t>Purchase of Construction Materials and Supply for use of Ceiling Maintenance of Various Offices in the City Hall of Silay City in Preparation for Rainy Season.</t>
  </si>
  <si>
    <t>SUPPLY AND DELIVERY OF VARIOUS MECHANICAL SPARE PARTS FOR 163 KW PERKINS INTENDED FOR CALUYA DPP</t>
  </si>
  <si>
    <t>WATER PURIFICATION SYSTEM FOR UPGRADING ROXAS CASHEW PROCESSING CENTER OF ROXAS SEED GROWERS MULTI-PURPOSE COOPERATIVE</t>
  </si>
  <si>
    <t>B20200243 - PROVISION OF INORGANIC FERTILIZER FOR RICE PRODUCTION</t>
  </si>
  <si>
    <t>7 rms Book paper long</t>
  </si>
  <si>
    <t>DDN GDSI 2020-21</t>
  </si>
  <si>
    <t>SUPPLY AND DELIVERY OF PHILIPPINE FLAG</t>
  </si>
  <si>
    <t>Improvement of Multi-Purpose Building</t>
  </si>
  <si>
    <t>74136_One (1) unit Floor Mounted Motor Controller VFD Type 90kw w/ enclosure</t>
  </si>
  <si>
    <t>Supply and Delivery of Drugs and Medicines to be used at Barangay San Agustin, City of San Fernando, Pampanga</t>
  </si>
  <si>
    <t>20DF0191 (By Contract) - Construction/Rehabilitation of Water Supply/Septage and Sewerage/Rain Water Collectors –  Rain Water Collectors in Public Facilities</t>
  </si>
  <si>
    <t>Procurement of Electrical Supplies PR # 2020-06-23-210</t>
  </si>
  <si>
    <t>CID No. 20OD0203 - Construction of Box Culvert at Brgy. Marulas, Valenzuela City</t>
  </si>
  <si>
    <t>For use in operation of DT-10, STRADA BIX-804, BOOM TRUCK, DT-7,8 &amp; 3, PRIME MOVER,TOYOTA HILUX AAG-1145 &amp;DT 01 assigned at CityEngineer's Office.</t>
  </si>
  <si>
    <t>Procurement of IT Equipment PR # 2020-06-17-203</t>
  </si>
  <si>
    <t>Request for Quotation for PCTA Guide Wires 0374</t>
  </si>
  <si>
    <t>CID No. 20OD0200 - Improvement of Roads and Drainage along Nadurata Street, Caloocan City</t>
  </si>
  <si>
    <t>IMPROVEMENT OF FARM TO MARKET ROADS-SITIO TOLEDO &amp; CABATUAN, BRGY. BARCELONA, SOLSONA, ILOCOS NORTE</t>
  </si>
  <si>
    <t>Procurement of Wheelchair &amp; Reading Glasses PR # 2020-06-23-209</t>
  </si>
  <si>
    <t>Supply / Delivery of Food Stuff (Fresh Fish)</t>
  </si>
  <si>
    <t>SUPPLY AND DELIVERY OF VARIOUS ELECTRICAL SPARE PARTS FOR 163KW PERKINS INTENDED FOR CALUYA DPP</t>
  </si>
  <si>
    <t>Procurement of Coupled Diesel Water Pump for establishment of water impounding system/small farm reservior</t>
  </si>
  <si>
    <t>Procurement of Advertising Services</t>
  </si>
  <si>
    <t>Procurement of Fabricated Office Equipment PR # 2020-06-19-206</t>
  </si>
  <si>
    <t>Supply and Delivery of Construction Materials for the Construction/Continuation of Mini-Gym at Barangay Dibay, Municipality of Calayan, Province of  Cagayan.</t>
  </si>
  <si>
    <t>Repair of Water Tank Flooring at Milagros Albano District Hospital, Cabagan, Isabela</t>
  </si>
  <si>
    <t>20FN0108 Construction of Three (3) Storey Fifteen (15) Classroom School Building, Nabua National High School, Nabua, Camarines Sur</t>
  </si>
  <si>
    <t>PURCHASE OF FLASHLIGHTS (HEAVY DUTY)</t>
  </si>
  <si>
    <t>Road Concreting at Zone 6</t>
  </si>
  <si>
    <t>PR APRIL - MAY, 2020 TUKURAN CENTRAL ELEMENTARY SCHOOL</t>
  </si>
  <si>
    <t>Renovation of Provincial Treasurer’s Office,  Alibagu, City of Ilagan, Isabela</t>
  </si>
  <si>
    <t>MALIMPIN 04-2020 - construction of mini-park phase1</t>
  </si>
  <si>
    <t>Purchase of CDRRMO Medical, Offfice and Operation Supply.</t>
  </si>
  <si>
    <t>INVITATION TO BID FOR SANITATION PROGRAM OF LGU, SAN FRANCISCO, CEBU.</t>
  </si>
  <si>
    <t>PURCHASE OF STEEL CABINET</t>
  </si>
  <si>
    <t>Procurement-Supply &amp; Delivery of Food Commodities</t>
  </si>
  <si>
    <t>Tractor Implement Spare Parts</t>
  </si>
  <si>
    <t>IB 2020-07-21(07) Medical Equipment</t>
  </si>
  <si>
    <t>Supply / Delivery of Food Stuff (Vegetables)</t>
  </si>
  <si>
    <t>Construction of Mabantad Multi-purpose Hall, Cauayan City, Isabela</t>
  </si>
  <si>
    <t>Procurement of Furniture &amp; fixture for 2nd Qtr. 2020</t>
  </si>
  <si>
    <t>Purchase of One Unit Rescue Vehicle</t>
  </si>
  <si>
    <t>PROGRAM FOR CALAMITY RELATED SUPPLIES AND MATERIALS</t>
  </si>
  <si>
    <t>Laptop for Pico Elementary School</t>
  </si>
  <si>
    <t>20KA0099 (Readvertisement) Construction of One (1) Storey Three (3) Classroom School Building, Dagat-Kidavao Integrated School, Valencia City, Bukidnon (School ID: 500703) Brgy. Dagat-Kidavao, Valenci</t>
  </si>
  <si>
    <t>Supply of Labor and Materials for the Fabrication of Tent</t>
  </si>
  <si>
    <t>SAN MIGUEL CES PR</t>
  </si>
  <si>
    <t>74691_68kgs. Liquid Chlorine</t>
  </si>
  <si>
    <t>PURCHASE OF DESKTOP COMPUTER WITH ACCESSORIES</t>
  </si>
  <si>
    <t>Procurement of Air-Condition System for Municipal Treasurer's Office of LGU-Naga</t>
  </si>
  <si>
    <t>SUPPLY AND DELIVERY OF AGRICULTURAL PRODUCTS FOR FISHERFOLK BENEFICIARIES UNDER SPECIAL AREAS FOR AGRICULTURAL DEVELOPMENT (SAAD) PROGRAMS CY 2020 IN LANAO DEL NORTE</t>
  </si>
  <si>
    <t>SUPPLY AND DELIVERY OF BRASS, GI, CI FITTINGS, HDPE PIPES &amp; TEFLON TAPE</t>
  </si>
  <si>
    <t>Purchase of Four (4) units Motorcycle</t>
  </si>
  <si>
    <t>ROAD CONCRETING AT STO. DOMINGO ST., PUROK MALINAWON, BRGY. CALUMPANG, GSC</t>
  </si>
  <si>
    <t>Procurement-Supply &amp; Delivery of Office Supplies &amp; Equipment</t>
  </si>
  <si>
    <t>Purchase of I.C. T. Equipment</t>
  </si>
  <si>
    <t>Construction/Repair/Rehabilitation of University Infirmary, MSU-Main Campus, Marawi City</t>
  </si>
  <si>
    <t>Procurement of Construction Materials and Supplies</t>
  </si>
  <si>
    <t>Improvement of Multi-Purpose Hall at Brgy. Balanga, Ibaan, Batangas</t>
  </si>
  <si>
    <t>74532_Supply &amp; Delivery of Ring flange, 250mm diameter</t>
  </si>
  <si>
    <t>ISOLATION FACILITY-MDRRMO</t>
  </si>
  <si>
    <t>SUPPLY AND DELIVERY OF VARIOUS MECHANICAL SPARE PARTS FOR 38 KW PERKINS INTENDED FOR BOHOL 2 MINI GRID</t>
  </si>
  <si>
    <t>Catering Service for Orientation on Contact Tracing and Donning and Doffing of PPE’s</t>
  </si>
  <si>
    <t>Rental of Service Vehicle for use in the Supervision of Maintenance Activities along Pob.Magpet-Nowa-Basak-Greenfield Rd. (Pob.Magpet-Greenfield Sect.) (July 20 - 30, 2020) (Equipment Rental Only)</t>
  </si>
  <si>
    <t>Procurement of Security Services</t>
  </si>
  <si>
    <t>PURCHASE OF MISTING MACHINE</t>
  </si>
  <si>
    <t>20HC0184- CONCRETING OF BRGY. CAMBANSAG FMR (LEADING TO BRGY. BAUNOS), BRGY. CAMBANSAG, SAN ISIDRO, BOHOL</t>
  </si>
  <si>
    <t>Procurement of Tyrosine Kinase Inhibitor</t>
  </si>
  <si>
    <t>CONCRETING OF BARANGAY ROAD SAMPAGUITA ST. BRGY MALIGAYA</t>
  </si>
  <si>
    <t>Procurement of Fifty (50) Gallons Ethyl Alcohol to Provide Antiseptic and Disinfectant to TCWD Employees and Concessionaires During COVID-19 Pandemic - PR 2020-06-050</t>
  </si>
  <si>
    <t>SUPPLIES ANS MATERIALS OF SCHOOL SHOP AND OFFICES REPAINTING AND IMPROVEMENT</t>
  </si>
  <si>
    <t>Procurement of Office table and office chair</t>
  </si>
  <si>
    <t>Procurement of Cacao Processing Equipment</t>
  </si>
  <si>
    <t>Negotiation for the Procurement of various Drugs and Medicines</t>
  </si>
  <si>
    <t>CONSTRUCTION / REPAIR / REHABILITATION OF THE DEPED DIVISION OFFICE OF THE CITY OF BATAC</t>
  </si>
  <si>
    <t>C20203266 Office supplies for PEO-PDPM use</t>
  </si>
  <si>
    <t>Procurement of Janitorial Supplies</t>
  </si>
  <si>
    <t>20KG0094 : Concreting of Brgy. Matampay FMR, Brgy. Matampay, Matungao, Lanao del Norte, Sta.0+000-0+465; Sta. 0+665-Sta. 1+100</t>
  </si>
  <si>
    <t>S1-END20-009    SUPPLY AND DELIVERY OF MATERIALS/SUPPLIES FOR EL NIDO DPP.</t>
  </si>
  <si>
    <t>CONSTRUCTION OF ACCESS ROAD, P-6 BARANGAY CALAMBA, CABADBARAN CITY</t>
  </si>
  <si>
    <t>Acquisition of Hook and Line (200 sets) for marginals fishermen of Pinamalayan</t>
  </si>
  <si>
    <t>Supply / Delivery of Food Stuff (Groceries)</t>
  </si>
  <si>
    <t>Repair/Extension (Right Wing) of the Multi-Purpose Hall at Carosucan NOrte Elementary School, Asingan, Pangasinan.</t>
  </si>
  <si>
    <t>Materials for Livelihood Program for fisher folks (Fish Aggregating Device-Payao)</t>
  </si>
  <si>
    <t>Supply and Delivery of  9MM Ammunition for the month of July 2020</t>
  </si>
  <si>
    <t>Procurement of Motorized Boat with Complete Set of Gillnet</t>
  </si>
  <si>
    <t>PURCHASE OF BRGY. OFFICIALS AND STAFF UNIFORMS</t>
  </si>
  <si>
    <t>Procurement of 900 pax Snack(1) under P.R No. 0586-2020- Mayor's Special Fund</t>
  </si>
  <si>
    <t>ON-GOING CONSTRUCTION OF MULTI-PURPOSE HALL</t>
  </si>
  <si>
    <t>20-06-0844 - Provision of catering service for the conduct of Integrated PREW of PPD</t>
  </si>
  <si>
    <t>20-06-0825 - Provision on Upgrading of Water System for RRCY</t>
  </si>
  <si>
    <t>PR MarchApril2020 Dao-An JHS</t>
  </si>
  <si>
    <t>Procurement of One (1) Pc 500GB Hard Disk for Replacement of Defective Unit at Engineering and Operations Department - PR 2020-06-049</t>
  </si>
  <si>
    <t>20KA0098 (Readvertisement) Construction of One (1) Storey Three (3) Classroom School Building, Mabuhay Elementary School, Valencia City, Bukidnon (School ID: 126875) Brgy. Mabuhay, Valencia City, Buki</t>
  </si>
  <si>
    <t>Improvement  of Brgy. Hall, Brgy. Palanay</t>
  </si>
  <si>
    <t>ITDI-200350_REBID - SUPPLY AND DELIVERY OF NITRIC ACID</t>
  </si>
  <si>
    <t>Invitation to Apply for Eligibility and to Bid for the Construction of Construction of One (1) Storey, 474 Square  Meters DRRM Building</t>
  </si>
  <si>
    <t>PURCHASE OF HANDHELD RADIO</t>
  </si>
  <si>
    <t>Supply and Delivery of Construction Materials for the Construction of Caniwara Multi-purpose Hall at Barangay Dadao Municipality of Calayan, Province of  Cagayan.</t>
  </si>
  <si>
    <t>ITDI-200353_REBID - SUPPLY OF LABOR AND MATERIALS FOR THE CLEANING AND DIAGNOSTICS OF ITDI AIRCONDITIONING UNITS</t>
  </si>
  <si>
    <t>CONCRETING OF BARANGAY ROAD SILANG ST BRGY. JC PAYUMO DINALUPIHAN, BATAAN</t>
  </si>
  <si>
    <t>Improvement of Multi-Purpose Hall at Brgy. Coliat, Ibaan, Batangas</t>
  </si>
  <si>
    <t>CONSTRUCTION OF PERIMETER FENCE &amp; BLENCHERS OF MULTI-PURPOSE PAVEMENT</t>
  </si>
  <si>
    <t>Purchase of Petroleum, Oil and Lubricants for MO, SBO, MENRO and MTO use</t>
  </si>
  <si>
    <t>PROCUREMENT OF PROVINCIAL VALUE CHAIN SPECIALIST (PROVINCE OF ZAMBOANGA DEL SUR)</t>
  </si>
  <si>
    <t>PURCHASE AND DELIVERY OF ONE UNIT CARGO TYPE TRICYCLE (For Garbage Collection and other Miscellaneous Utilization in the Barangay Activities)</t>
  </si>
  <si>
    <t>Fabrication, Accession of Furniture and Fixtures</t>
  </si>
  <si>
    <t>Rental of Service Vehicle for use in the Supervision of Routine Maintenance  Activities along Davao-Cotabato Rd. (Bulatukan – East Patadon Section) (July 20 - 30, 2020) (Equipment Rental Only)</t>
  </si>
  <si>
    <t>Supply Labor and Materials for the Printing of Leaflets</t>
  </si>
  <si>
    <t>C20203323 Diesel, gasoline &amp; lubricant for PTO use</t>
  </si>
  <si>
    <t>SUPPLY AND DELIVERY OF VARIOUS MECHANICAL SPARE PARTS FOR 56KW PERKINS INTENDED FOR BOHOL 2 MINI GRID</t>
  </si>
  <si>
    <t>C20203321  Spare Parts for Toyota Hilux SHF 147 issued to BM Laguna</t>
  </si>
  <si>
    <t>UPGRADING OF DDH FEEDER ROAD SAN RAMON, DINALUPIHAN, BATAAN</t>
  </si>
  <si>
    <t>Supply Labor and Materials for the Production of Customized Foldable Fans</t>
  </si>
  <si>
    <t>DELIVERY/SUPPLY OF MATERIALS FOR THE CONSTRUCTION OF COMFORT ROOM AT MAAYUNGTUBIG DAUIN ELEMENTARY SCHOLL</t>
  </si>
  <si>
    <t>Supply and delivery of Office supplies &amp; Device for use in the Tabango Community Hospital. ABC PHP90,326.00</t>
  </si>
  <si>
    <t>C20203320 Nitrogen, Oxygen &amp; Acetylene for PEO E.Pool Shop use</t>
  </si>
  <si>
    <t>S1-JPR20-010   SUPPLY OF LABOR, TOOL AND EQUIPMENT FOR THE FABRICATION/MACHINING/RECONDITIONING OF PARTS AND AUXILLIARIES.</t>
  </si>
  <si>
    <t>S1-ADP20-014    SUPPLY OF LABOR, TOOLS AND EQUIPMENT FOR PCB TESTING OF TRANSFORMER OIL.</t>
  </si>
  <si>
    <t>PURCHASE OF 1 UNIT BARANGAY PATROL VEHICLE</t>
  </si>
  <si>
    <t>Supply / Delivery of 17 pcs Smart prepaid cellcards, P300 call and text card</t>
  </si>
  <si>
    <t xml:space="preserve">Rental of Service Vehicle for use in the Supervision of Maintenance Activities along Paco-Roxas-Arakan Valley Road and Matalam- Lampayan-Antipas Rd. (Paco-Antipas Section and Antipas Sect. (July 20 - </t>
  </si>
  <si>
    <t>Supply of seven (7) pieces Headset with Noise Cancelling</t>
  </si>
  <si>
    <t>MO Office Supplies (2)</t>
  </si>
  <si>
    <t>Rental of Service Vehicle for Use in the Soil Survey &amp; Supervision of  Various Projects within the District (July 16 - 30, 2020) (Equipment Rental Only)</t>
  </si>
  <si>
    <t>C20203324 Spare Parts for Nissan Navarra vehicle issued to Vice Governor's Office SHE 516</t>
  </si>
  <si>
    <t>MO Office Supplies</t>
  </si>
  <si>
    <t>SUPPLY AND DELIVERY OF VARIOUS ELECTRICAL SPARE PARTS FOR 336 KW CUMMINS INTENDED FOR DOONG DPP</t>
  </si>
  <si>
    <t>Supply and Delivery of Executive Chair</t>
  </si>
  <si>
    <t>Purchase of Lubricants for Government Vehicles</t>
  </si>
  <si>
    <t>Enhanced National Greening Program (eNGP) 2020- Site Prep., Planting and Maintenance</t>
  </si>
  <si>
    <t>C20203326 Office Supplies for OSS use</t>
  </si>
  <si>
    <t>Procurement of Construction Materials for Construction of Barangay Stage</t>
  </si>
  <si>
    <t>20KA0097 (Readvertisement) Construction of one (1) Storey two (2) Classroom School Building,  Apo Macote National High School, Malaybalay City, Bukidnon (School ID: 325505) Brgy. Apo Macote, Malaybala</t>
  </si>
  <si>
    <t>Supply and Delivery of Chlorination Equipment Dosing Pump</t>
  </si>
  <si>
    <t>MO Office Supplies (3)</t>
  </si>
  <si>
    <t>Supply and Delivery of Various Food Commodities</t>
  </si>
  <si>
    <t>Supply of one (1) lot Subscription Autodesk Software</t>
  </si>
  <si>
    <t>20CK0094 - Concreting of Brgy. San Vicente FMR, Brgy. San Vicente, Concepcion, Tarlac</t>
  </si>
  <si>
    <t>Supply of one (1) lot Anti-Virus Subscription</t>
  </si>
  <si>
    <t>PURCHASE OF OFFICE EQUIPMENT (GCH)</t>
  </si>
  <si>
    <t>S1-NPS20-023   SUPPLY OF LABOR, TOOLS AND EQUIPMENT FOR THE LINE CLEARING OF PUERTO - ROXAS 69KV TL, SCHED. 1 ( BGY. IRAWAN TO LANGOGAN SECTION, 55CKT FROM TOWER 1-200).</t>
  </si>
  <si>
    <t>20DQ0119 - LOCAL PROGRAM – Local Infrastructure Program – Buildings and Other Structures – Multipurpose/Facilities – Construction of Multi-Purpose Building and other improvements at Springville Execut</t>
  </si>
  <si>
    <t>PURCHASE OF MATERIALS FOR IMPROVEMENT OF LGU BEACH</t>
  </si>
  <si>
    <t>Rental of service Vehicle for RBIA Survey Activities charge to PDE fund 2020 (July 16 - 30, 2020)</t>
  </si>
  <si>
    <t>RFQ -Supply and Delivery  of Various Bond Papers (PR No. 2020-03-053)</t>
  </si>
  <si>
    <t>Supply of one (1) unit Pipette Washer Ultrasonic</t>
  </si>
  <si>
    <t>C20203325 Spare Parts for SDC664 Tamaraw FX engine P.N. 0130-0081</t>
  </si>
  <si>
    <t>PURCHASE OF IT EQUIPMENT FOR SPECIAL PROGRAM IN ICT</t>
  </si>
  <si>
    <t>Supply/Delivery of Janitorial Supplies</t>
  </si>
  <si>
    <t>S1-JPR20-012   SUPPLY AND DELIVERY OF FAST MOVING MECHANICAL SPARE PARTS FOR 1 X 305.3KW STAMFORD/PERKINS GEN-SET.</t>
  </si>
  <si>
    <t>S1-PWN20-035   SUPPLY AND DELIVERY OF AUTOMATIC VOLTAGE REGULATOR (AVR) R438 FOR CUMMINS GEN-SET 6BTAA5.9-G2.</t>
  </si>
  <si>
    <t>Installation of Structured Cabling</t>
  </si>
  <si>
    <t>Rental of Service Vehicle for Supervision/Implementation of Regular Infra Projects (July 16 - 30, 2020) (Equipment Rental Only), (4x4 Pick-Up type A/T)</t>
  </si>
  <si>
    <t>Construction of Multi-Purpose Building -Maui, Caramoran, Catanduanes</t>
  </si>
  <si>
    <t>PURCHASE OF MEDICAL SUPPLIES FOR RHU OPD AND LYING-IN</t>
  </si>
  <si>
    <t>Materials for the Fencing and Landscaping of the Regional Evacuation Center/MDRRMO-Brgy. Poblacion</t>
  </si>
  <si>
    <t>Supply of four (4) units Chlorine Residual Analyzer</t>
  </si>
  <si>
    <t>CONCRETING OF BARANGAY ROAD FLORINTINO ST. DAANG BAGO</t>
  </si>
  <si>
    <t>Rehabilitation of Multi-Purpose Hall Barangay Pagdaraoan</t>
  </si>
  <si>
    <t>SVP of Office Supplies and Other Supplies and Materials for 2020</t>
  </si>
  <si>
    <t>Purchase of Construction Materials for the Construction of MRF and Continuation of the Construction of Senior Citizens Building</t>
  </si>
  <si>
    <t>One (1) unit Contract for the Improvement of Multi-Purpose Building at Barangay Anitapan, Mabini, Davao De Oro</t>
  </si>
  <si>
    <t>TFB 19-304D Office Equipment and Furniture</t>
  </si>
  <si>
    <t>REHABILITATION OF WATER SUPPLY SYSTEM</t>
  </si>
  <si>
    <t>Materials for Office Supplies, Refill of Fire Extinguisher and Generator</t>
  </si>
  <si>
    <t>Procurement of Common-Use Office Supplies</t>
  </si>
  <si>
    <t>Various Office Supplies</t>
  </si>
  <si>
    <t>Rental of Service Vehicle for Supervision various Projects, Makilala, Cotabato (July 16 - 30, 2020) (Equipment Rental Only), (4x4 Pick-Up)</t>
  </si>
  <si>
    <t>Fabrication/Installation of Floating Dock (Pontoon)</t>
  </si>
  <si>
    <t>Catering services and Accomodation/ Lodging for Adopt a Farm Youth Program</t>
  </si>
  <si>
    <t>Concreting/Construction of Local Road, Barangay Kanlurang Domoit-Calumpang Road, Tayabas City-Quezon</t>
  </si>
  <si>
    <t>Construction of Maapon River Flood Control, Sampaloc, Quezon</t>
  </si>
  <si>
    <t>Supply &amp; Delivery of Laboratory Supplies</t>
  </si>
  <si>
    <t>FURNISHING AND DELIVERY OF 1 UNIT MULTI-SHREDDER/PULVERIZER MACHINE FOR LGU SWM</t>
  </si>
  <si>
    <t>20DQ0118 - MOOE – Maintenance, Repair and Rehabilitation of Infrastructure Facilities and Other Related Activities – Public Buildings – Repair/ Maintenance of DILG Building, PNPA Forensic Science Buil</t>
  </si>
  <si>
    <t>C20203330 Spare Parts for various Heavy Equipment</t>
  </si>
  <si>
    <t>Procurement of 15 pcs. TOA Ceiling Speaker and 15 pcs. TOA Volume Control</t>
  </si>
  <si>
    <t>PURCHASE OF IT EQUIPMENT, AGRICULTURE OFFICE</t>
  </si>
  <si>
    <t>FABRICATION AND CONSTRUCTION OF SOLAR STREETLIGHTS</t>
  </si>
  <si>
    <t>C20203329 Face mask, germicidal soap &amp; disinfectant liquid for BM Catalan</t>
  </si>
  <si>
    <t>20DQ0120 - LOCAL PROGRAM – Local Infrastructure Program – Local Roads and Bridges - Local Roads – Asphalt Overlay, Barangay Iba, Silang, Cavit</t>
  </si>
  <si>
    <t>PURCHASE OF KNAPSACK POWER NEBULIZER (RHU)</t>
  </si>
  <si>
    <t>HO-EMA20-019 - Supply and Delivery of Digital Multimeter 10A ACDC 1000V ACDC</t>
  </si>
  <si>
    <t>OTHER SUPPLIES &amp; MATERIALS EXPENSES</t>
  </si>
  <si>
    <t>20CK0095 - Concreting of Sitio Bulusan Troso to Sitio Mauricia, Brgy. Anupul FMR, Brgy. Anupul, Bamban, Tarlac</t>
  </si>
  <si>
    <t>SUPPLY AND DELIVERY OF VARIOUS MECHANICAL SPARE PARTS FOR 106KW CUMMINS INTENDED FOR BOHOL 2 MINI GRID</t>
  </si>
  <si>
    <t>Supply and delivery of Construction Supplies &amp; Materials for use in Leyte Provincial Hospital. ABC PHP123,369.00</t>
  </si>
  <si>
    <t>BAC Office Supplies</t>
  </si>
  <si>
    <t>C20203327 Diesel &amp; Gasoline for SPO Laguna July - Sept. 2020 (3rd qtr)</t>
  </si>
  <si>
    <t>Purchase of Office Supplies for use in all the different Units of Administrative  Section of this Office for 2nd Quarter of CY 2020</t>
  </si>
  <si>
    <t>Construction of Housing and Fencing and Installation of Water Treatment Facility -Icanbato, Caramoran, Catanduanes</t>
  </si>
  <si>
    <t>C20203328 Office Supplies for OSS use</t>
  </si>
  <si>
    <t>Request for Quotation Office Supplies and Materials for 2nd Quarter</t>
  </si>
  <si>
    <t>MTO Operation of BPLS</t>
  </si>
  <si>
    <t>SUPPLY AND DELIVERY OF ELECTRICAL SUPPLIES</t>
  </si>
  <si>
    <t>Supply Labor and Materials for the Rehabilitation of 120 ft. Monopole Tower and Replacement of some parts</t>
  </si>
  <si>
    <t>SJADS INFRA 20-04: ESTABLISHMENT OF ECO-PARK (SCRAPING AND EMBANKMENT)</t>
  </si>
  <si>
    <t>TRAINING AND ASSESSMENT SUPPLIES AND MATERIALS FOR TOURISM SECTOR</t>
  </si>
  <si>
    <t>RFQ– Submersible motor</t>
  </si>
  <si>
    <t>20DQ0123 - LOCAL PROGRAM – Local Infrastructure Program – Buildings and Other Structures – Multipurpose/Facilities – Construction of Multi-Purpose Building, Barangay Molino, Bacoor, Cavite</t>
  </si>
  <si>
    <t>For the use in the establishment and maintenance of Gitagum Ligtas Covid Center in line with mitigation, infection prevention and control of COVID-19 in the Municipality of Gitagum</t>
  </si>
  <si>
    <t>Repair/Rehabilitation of Old BFP Building (for Balay Silangan use)</t>
  </si>
  <si>
    <t>Procurement of UPS Battery</t>
  </si>
  <si>
    <t>Photocopier Machine - MO</t>
  </si>
  <si>
    <t>C20203331 Diesel &amp; Gasoline for rep &amp; maint of various prov'l roads &amp; bridges, Mun. of Dujali (3rd qtr)</t>
  </si>
  <si>
    <t>Supply and Delivery of ICT Equipments to be used in the Office of the Municipal Treasurer, Naujan, Oriental Mindoro</t>
  </si>
  <si>
    <t>20DQ0121 - LOCAL PROGRAM – Local Infrastructure Program – Local Roads and Bridges – Local Roads – Widening of Congressional Avenue, GMA, Cavite</t>
  </si>
  <si>
    <t>Purchase of Motor Vehicle for MPDO</t>
  </si>
  <si>
    <t>SUPPLIES &amp; DELIVERY OF THE ONSTRUCTION MATERIALS &amp; SUPPLIES FOR THE CONSTRUCTION OF MANPOWER/YOUTH DEVELOPMENT CENTER,PHASE XIII AT BARANGAY TABONTABON,SIBAGAT,AGUSAN DEL SUR</t>
  </si>
  <si>
    <t>REPRODUCTION OF LEARNING MODULES</t>
  </si>
  <si>
    <t>LOT Procurement of MATERIALS for Use in Urban Greening and Landscaping of the TOURISM PREMISES</t>
  </si>
  <si>
    <t>CONCRETING OF ROAD AT PUROK 6, SAN MARCOS, CABARROGUIS</t>
  </si>
  <si>
    <t>RE-INVITATION FOR THE    Provision of Design Services : Architectural Plan, Civil/Structural Plan, Electrical Plan, Sanitary/Plumbing Plan, Mechanical Plan, Electronic Plan (Duly Signed and sealed</t>
  </si>
  <si>
    <t>General Merchandise PF-0620-624</t>
  </si>
  <si>
    <t>PURCHASE OF WEIGHING SCALE FOR PREGNANT AND LACTATING WOMEN</t>
  </si>
  <si>
    <t>20DQ0125 - ORGANIZATIONAL OUTCOME 2: Protect Lives and Properties Against Major Floods – Flood Management Program – Construction/ Maintenance of Flood Mitigation Structures and Drainage Systems - Cons</t>
  </si>
  <si>
    <t>Supply and Delivery of Materials to be used in the Repair and Maintenance of Slaughterhouse at Barangay Andres Ylagan, Naujan, Oriental Mindoro</t>
  </si>
  <si>
    <t>Procurement of Electrical Supplies</t>
  </si>
  <si>
    <t>20DQ0122 - LOCAL PROGRAM – Local Infrastructure Program – Buildings and Other Structures – Multipurpose/Facilities – Rehabilitation/ Improvement of Multi-Purpose Building, Brgy. Talaba V, Bacoor City,</t>
  </si>
  <si>
    <t>PURCHASE  OF INFORMATION AND COMMUNICATION TECHNOLOGY EQUIPMENT (ICT)</t>
  </si>
  <si>
    <t>Purchase of One Unit Dumptruck</t>
  </si>
  <si>
    <t>Const. Supplies &amp; Materials for the Rehab of Gabriel Fabella St.</t>
  </si>
  <si>
    <t>FURNISHING AND DELIVERY OF RECONDITIONED MULTI-PURPOSE CAB/PICK-UP FOR MENRO</t>
  </si>
  <si>
    <t>C20203334 Tarpaulin for information dissemination as provided RA 7160 (IRR)</t>
  </si>
  <si>
    <t>SUPPLY &amp; DELIVERY OF THE CONSTRUCTION SUPPLIES FOR THE RENOVATION OF OLD BRGY HALL TURN INTO WOMEN AND CHILDREN BUILDING PHASE II AT BARANGAY TABONTABON,SIBAGAT,AGUSAN DEL SUR</t>
  </si>
  <si>
    <t>C20203344 Diesel &amp; Gasoline for rehab. Of Slope Protection along Suaon- Libuton Road Section</t>
  </si>
  <si>
    <t>MEALS FOR CONVENING OF PROVINCIAL CENSUS COORDINATING BOARD (PCCB) AND CITY/MUNICIPALITY CENSUS COORDINATING BOARD (C/MCCB) FOR THE CONDUCT OF 2020 CENSUS  OF POPULATION AND HOUSING (2020 CPH) - THIRD</t>
  </si>
  <si>
    <t>System Upgrade of Radio Communication (including Repair and Maintenance)</t>
  </si>
  <si>
    <t>RFQ– Submersible pump assy.</t>
  </si>
  <si>
    <t>20DQ0124 - LOCAL PROGRAM – Local Infrastructure Program – Buildings and Other Structures – Multipurpose / Facilities – Construction of Multi-Purpose Building, Brgy. Mambog I, Bacoor City, Cavite; Cons</t>
  </si>
  <si>
    <t>General Merchandise PF-0520-579</t>
  </si>
  <si>
    <t>General Merchandise PF-0620-652</t>
  </si>
  <si>
    <t>Procurement of DRR Emergency Equipment &amp; Supplies and Cooking Utensils for Evacuation Center</t>
  </si>
  <si>
    <t>TAMBOBONG 04-2020 - installation of LED solar lights</t>
  </si>
  <si>
    <t>Improvement of Multipurpose Building</t>
  </si>
  <si>
    <t>Supply and Delivery of Various Office Equipemtn and Materials for the Various Offices &amp; Colleges</t>
  </si>
  <si>
    <t>C20203347 Diesel &amp; Gasoline for proposed rpad opening og Tawinian- Tapayanon</t>
  </si>
  <si>
    <t>20DQ0127 - ORGANIZATIONAL OUTCOME 2: Protect Lives and Properties Against Major Floods - Flood Management Program - Construction/ Maintenance of Flood Mitigation Structures and Drainage Systems - Cons</t>
  </si>
  <si>
    <t>GAIS-GUIPE 05-2020 - repair &amp; maint of streetlights</t>
  </si>
  <si>
    <t>Procurement of Construction Materials for Improvement of New Barangay Hall</t>
  </si>
  <si>
    <t>C20203346 Spare Parts for various provincial equipment</t>
  </si>
  <si>
    <t>Contract for the Rehabilitation of Riverbank, P3A, Tagaytay, Barangay Bobongon, Santo Tomas, Davao del Norte</t>
  </si>
  <si>
    <t>20DQ0126 - Major Floods – Flood Management Program – Construction/ Maintenance of Flood Mitigation Structures and Drainage Systems – Construction of Revetment from Baluctot River, East side, Cavite</t>
  </si>
  <si>
    <t>PURCHASE OF VARIOUS IT EQUIPMENT</t>
  </si>
  <si>
    <t>Purchase of Disasters Equipment(To better equipped the LDRRM Council and LGU Responders &amp; provide documentation equipment)</t>
  </si>
  <si>
    <t>SUPPLY AND DELIVERY OF VARIOUS MECHANICAL SPARE PARTS FOR 20 KW PERKINS INTENDED FOR BOHOL 2 MINI GRID</t>
  </si>
  <si>
    <t>RFQ -Supply and Delivery of 3-in 1 Printer and Portable External Hard Drive (PR No. 2020-01-005)</t>
  </si>
  <si>
    <t>TRAINING AND ASSESSMENT SUPPLIES AND MATERIALS FOR HARD TRADE SECTOR</t>
  </si>
  <si>
    <t>Fuel for use in the Office of the City Treasurer, S.C.</t>
  </si>
  <si>
    <t>C20203345 Spare Parts for various prov'l equipment - repair of damage drainage/creel Dist. 2</t>
  </si>
  <si>
    <t>C20203354 Office Supplies for DDNH-IZ</t>
  </si>
  <si>
    <t>FURNISHING AND DELIVERY OF COMPUTER FURNITURE FOR ENGINEERING OFFICE</t>
  </si>
  <si>
    <t>RE-INVITATION FOR THE FURNISHING AND DELIVERY OF CONSTRUCTION MATERIALS FOR THE CONSTRUCTION OF TALBEK WATER SYSTEM</t>
  </si>
  <si>
    <t>Purchase of Construction Materials and Supplies For Construction of Learning/ Feeding Center @ Pedro Maligmat IS @ Brgy. Lunao, Gingoog City Under P.R. No. 20-20-02-022 (RECANVASS ITEMNO. 17,18)</t>
  </si>
  <si>
    <t>C20203357 Branded Laptop for PHO documentation and health promotion advocacy</t>
  </si>
  <si>
    <t>SUPPLY AND DELIVERY OF VARIOUS ELECTRICAL SPARE PARTS FOR FOR 30 KW AND 36 KW PERKINS INTENDED FOR PANAY MINI GRID</t>
  </si>
  <si>
    <t>CONSTRUCTION OF FIVE-STOREY CED LABORATORY BUILDING (Phase-II)  MSU-IIT  PROPERTY,  Hinaplanon, Iligan City</t>
  </si>
  <si>
    <t>C20203353 Drugs &amp; Medicine for three DDNHospital Kapalong, IGACOS &amp; Carmen Zone</t>
  </si>
  <si>
    <t>Fuel for use in Sanitation Division, CHO, S.C.</t>
  </si>
  <si>
    <t>S1-PWN20-034   SUPPLY AND DELIVERY OF FAST MOVING CRITICAL ELECTRICAL SPARE PARTS FOR MAN CXZ 500KW GEN-SET.</t>
  </si>
  <si>
    <t>Supply and Delivery of Various Hardware Supplies and Materials for the Admin Office and Utility Services of the University</t>
  </si>
  <si>
    <t>S1-END20-010   SUPPLY AND DELIVERY OF MATERIALS/SUPPLIES FOR OPERATION USE.</t>
  </si>
  <si>
    <t>20DQ0128 - LOCAL PROGRAM – Construction / Repair / Rehabilitation / Improvement of Various Infrastructure including Local Projects – Flood Control and Drainage – Flood Control Structures/Facilities –</t>
  </si>
  <si>
    <t>Supply and Delivery of Office Supplies for official use of AFU-OD (2nd Semester of 2020)</t>
  </si>
  <si>
    <t>PURCHASE AND INSTALLATION OF ONE (1) SET OF PUBLIC ADDRESS</t>
  </si>
  <si>
    <t>C20203351 Medical Equipment for DDNH Carmen Zone</t>
  </si>
  <si>
    <t>C20203350 IT Equipment for Prov'l ELCAC Office</t>
  </si>
  <si>
    <t>Rebidding: 1 roll #14 THW Wire-Black and other items for improvement of Loc-oc Day Care Center (School Based) at Barangay Lo-oc.</t>
  </si>
  <si>
    <t>SJADS INFRA 20-05: COMPLETION OF MOTORPOOL</t>
  </si>
  <si>
    <t>SUPPLY AND DELIVERY OF VARIOUS MECHANICAL SPARE PARTS FOR 300 KW CUMMINS INTENDED FOR CALUYA DPP</t>
  </si>
  <si>
    <t>SJADS INFRA 20-06: CONSTRUCTION OF LATRINE FOR DESIGNATED EVACUATION CENTER</t>
  </si>
  <si>
    <t>S1-NPS20-019   SUPPLY AND DELIVERY OF SPARE PARTS FOR VEHICLES.</t>
  </si>
  <si>
    <t>C20203364 Spare Parts for Prov'l Health Office</t>
  </si>
  <si>
    <t>S1-LIN20-004    SUPPLY AND DELIVERY OF MATERIALS/SUPPLIES INTENDED FOR OPERATION AND MAINTENANCE USE.</t>
  </si>
  <si>
    <t>RFQ# 2021-02-RRHF</t>
  </si>
  <si>
    <t>Concreting of Local Road at Brgy. San Vicente</t>
  </si>
  <si>
    <t>KALAHI-CIDSS NCDP oPERATIONALIZATION</t>
  </si>
  <si>
    <t>IT parts, Accessories for maintenance of ICT resources &amp; automation of programs</t>
  </si>
  <si>
    <t>S1-SVD20-014   SUPPLY AND DELIVERY OF MATERIALS/SUPPLIES FOR OPERATION AND MAINTENANCE USE.</t>
  </si>
  <si>
    <t>C20203356 Agricultural Supplies for PRODUCTION OF TISSUE CULTURE SEEDLINGS</t>
  </si>
  <si>
    <t>KALAHI-CIDSS NCDDP Operationalization</t>
  </si>
  <si>
    <t>C20203363 Office Supplies for SPO -Macla use</t>
  </si>
  <si>
    <t>Supply / Delivery of 6,768 liters Diesel &amp; 500 liters Gasoline (Unleaded)</t>
  </si>
  <si>
    <t>Projectors for 2020 Census of Population and Housing (CPH)</t>
  </si>
  <si>
    <t>IT Accessories &amp; Software for virtual meeting &amp; video conferencing</t>
  </si>
  <si>
    <t>S1-TAY20-005    SUPPLY AND DELIVERY OF MATERIALS/SUPPLIES FOR OPERATION AND MAINTENANCE USE.</t>
  </si>
  <si>
    <t>Purchase of Construction Mareials and Supplies For Revised Rehabilitation and Improvement of Five Proposed Brgy. Health Stations @ Barangay Mimbalagon, Gingoog City.	Under P.R. No. 20-20-02-020 (7,8,1</t>
  </si>
  <si>
    <t>C20203359 IT Equipment forProvincial Administrator's Office</t>
  </si>
  <si>
    <t>S1-END20-012   SUPPLY AND DELIVERY OF MATERIALS AND SUPPLIES INTENDED FOR OPERATION AND MAINTENANCE.</t>
  </si>
  <si>
    <t>RFQ -Supply and Delivery of Desktop and Laptop Computers,  Microsoft Office Software License and Voice Recorder (PR No. 2020-02-040)</t>
  </si>
  <si>
    <t>Drilling of One (1) Production Well in Brgy. Biga, Lobo, Batangas</t>
  </si>
  <si>
    <t>SUPPLY, DELIVERY, INSTALLATION, PROGRAMMING, TESTING AND COMMISSIONING OF EQUIPMENT AND APPURTENANCES FOR THE UPGRADING OF INLINE BOOSTER FOR LARION BAJO PUMPING STATION</t>
  </si>
  <si>
    <t>SUPPLY AND DELIVERY OF BRASS WATER METER</t>
  </si>
  <si>
    <t>RFQ -Supply and Delivery of Desktop Computer  and Microsoft Office Software License (PR No. 2020-02-039)</t>
  </si>
  <si>
    <t>Chemicals, Fertilizers, Farm Tools &amp; Equipment and Seedlings/Corm (Oplan Ahon-Banana Production Project)</t>
  </si>
  <si>
    <t>Procurement of Consulting Services under Convergence on Value Chain Enhancement for Rural Growth and Empowerment</t>
  </si>
  <si>
    <t>Improvement/Opening of Access Road San Carlos</t>
  </si>
  <si>
    <t>Rehabilitation of Dirty Kitchen</t>
  </si>
  <si>
    <t>Procurement of supplies for SBAC &amp; PENRO</t>
  </si>
  <si>
    <t>Drugs and Medicines Expenses</t>
  </si>
  <si>
    <t>Re-Bidding for the Supply, Installation and Commissioning of One (1) Unit Earthquake Recording Instrument (ERI)</t>
  </si>
  <si>
    <t>Construction of Footbridge</t>
  </si>
  <si>
    <t>SJADS GOODS 20-11: PROCUREMENT OF IT EQUIPMENT</t>
  </si>
  <si>
    <t>ITDI-200368_REBID - SUPPLY AND DELIVERY OF AERIAL DRONE LAPTOP WORKSTATION</t>
  </si>
  <si>
    <t>20DB0136 – Repair/Rehabilitation of Palico-Balayan-Batangas Road, K0120+100 – K0129+400 (Intermittent Section) Taal, and Lemery</t>
  </si>
  <si>
    <t>ITDI-200343_REBID - SUPPLY AND DELIVERY OF LAPTOP WORKSTATION</t>
  </si>
  <si>
    <t>ITDI-200269_REBID - SUPPLY AND DELIVERY OF AUTOMATIC DISPENSER</t>
  </si>
  <si>
    <t>CONCRETING OF SILOY-MAMALAD ROAD</t>
  </si>
  <si>
    <t>Supply and Delivery of 1,800 pcs. Impression Cambric Blanket, as per BSP Technical Specifications</t>
  </si>
  <si>
    <t>ITDI-200267_REBID - SUPPLY AND DELIVERY OF AUTOCLAVE</t>
  </si>
  <si>
    <t>ITDI-200263_REBID - SUPPLY AND DELIVERY OF LABORATORY FREEZER</t>
  </si>
  <si>
    <t>ITDI-200265_REBID - SUPPLY AND DELIVERY OF SCIENTIFIC REFRIGERATOR</t>
  </si>
  <si>
    <t>ITDI-200266_REBID - SUPPLY AND DELIVERY OF PIPETTOR</t>
  </si>
  <si>
    <t>PUBLICATION OF MUNICIPAL ORDINANCE #2020-05</t>
  </si>
  <si>
    <t>ITDI-200250_REBID - SUPPLY AND DELIVERY OF TOP LOADING BALANCE</t>
  </si>
  <si>
    <t xml:space="preserve">SH 035-20: REPLACEMENT OF CEILING AND REPAINTING, INSTALLATION OF 3 PCS. PLASTIC DOOR AND 18 SETS DOOR KNOB INSTALLATION OF COMMON CR OF OLD BUILDING FOR OFFICIAL USE OF DA MAIN BUILDING 1ST FLOOR TO </t>
  </si>
  <si>
    <t>ITDI-200247_REBID - SUPPLY AND DELIVERY OF DEHUMIDIFIER</t>
  </si>
  <si>
    <t>Supply and Delivery of Safety and Janitorial Supplies for official use of AFU-OD (2nd Semester of 2020)</t>
  </si>
  <si>
    <t xml:space="preserve">20DC0215 - LOCAL PROGRAM, Const./Repair/Rehab./Improvement of Various Infrastructure including Local Projects, Buildings and Other Structures, Multipurpose/Facilities, Rehabilitation of Multi-Purpose </t>
  </si>
  <si>
    <t>Repair / Maintenance of DOJ Building Land Registration Authority Building, Quezon City</t>
  </si>
  <si>
    <t>20DC0218 - Maintenance Services for Automated Traffic Data Collection Program</t>
  </si>
  <si>
    <t>20DC0217 - Automated Traffic Data Collection and Axle Load Survey Program</t>
  </si>
  <si>
    <t>20DC0216 - LOCAL PROGRAM, Local Infrastructure Program, Buildings and Other Structures, Multipurpose/Facilities, Construction and/or Repair/Rehabilitation of Multi-Purpose Building, Brgy. Poblacion, S</t>
  </si>
  <si>
    <t>Structural Improvement of Public Buildings and Construction of Evacuation Center, National Capital Region: Batino Elementary School - DPWH DECS Building, Quezon City</t>
  </si>
  <si>
    <t>Supply and Delivery of Various Laboratory Supplies and Materials for the University Health Services</t>
  </si>
  <si>
    <t>Structural Improvement of Public Buildings and Construction of Evacuation Center, National Capital Region: National Defense College of the Philippines - Staff Room, Quezon City</t>
  </si>
  <si>
    <t>Supply and Installation of Office Fit-Out Works for the Regional Leased Office of RR7B, East NCR at the West Podium, Mandaluyong City</t>
  </si>
  <si>
    <t>20DC0212 - LOCAL PROGRAM, Local Infrastructure Program, Local Roads and Bridges, Local Roads, Construction of Road with Slope Protection, Brgy. Don Juan-Calumayin, Cuenca, Batangas</t>
  </si>
  <si>
    <t xml:space="preserve">20DC0211 - LOCAL PROGRAM, Construction/Repair/Rehabilitation/Improvement of Various Infrastructure including Local Projects, Buildings And Other Structures, Multipurpose/Facilities, Rehabilitation of </t>
  </si>
  <si>
    <t>One Lot Rackmount Firewall Appliance with 3-Year License (Re-Bid) No. 20-01-047</t>
  </si>
  <si>
    <t>Supply and Delivery of Various Furnitures &amp; Fixtures for the University</t>
  </si>
  <si>
    <t>Purchase of IT Equipment [MDRRMO]</t>
  </si>
  <si>
    <t>Supply and Delivery of Various IT Equipment for the University</t>
  </si>
  <si>
    <t>NP 096-20: Hiring of Service Provider for Printing/Production of the DA's CY 2019 Annual Report</t>
  </si>
  <si>
    <t>20DC0213 - LOCAL PROGRAM, Local Infrastructure Program, Buildings and Other Structures, Multipurpose/Facilities, Construction/Completion/Rehab/Improvement of Multi Purpose Building (Municipal Building</t>
  </si>
  <si>
    <t>20DB0138 – Repair/Rehabilitation of Lemery-Taal Diversion Road, K0128+(-1045) – K0131+765 (Intermittent Section) Taal and Lemery, Batangas</t>
  </si>
  <si>
    <t>Repair / Maintenance of DILG Building DILG Office Building Camp Karingal, Quezon City</t>
  </si>
  <si>
    <t>20-DO-0085: Repair/Rehabilitation of Flood Control Structure at Malaya, Pililla, Rizal</t>
  </si>
  <si>
    <t>CID No. 20OD0202 - Construction of Flood Control Wall along Marulas Creeks (from McArthur Highway to Tullahan River), Brgy. Marulas, Valenzuela City</t>
  </si>
  <si>
    <t>Maintenance, Repair and Rehabilitation of Infrastructure Facilities and Other Related Activities - Repair and Maintenance of Road Safety Facilities, Quezon City</t>
  </si>
  <si>
    <t>20DB0139 Rehabilitation/Major Repair of Permanent Bridges along Palico-Balayan-Batangas Rd.,Lemery,Batangas–Calbangan Bridge B00053LZ–Palanas Bridge B01291LZ Along Lemery-Taal Diversion Rd.,Taal,Batan</t>
  </si>
  <si>
    <t>Supply and Delivery of Laptop, Stereo Headset and USB Hub for the WESMAARRDEC</t>
  </si>
  <si>
    <t>Purchase of toners for RPMT and ACT Office Supplies</t>
  </si>
  <si>
    <t>20-DO-0084: Repair/Rehabilitation of Slope Protection along Nagsandig to Sampad, Brgy. Nagsandig &amp; Brgy. Sampad, Cardona, Rizal</t>
  </si>
  <si>
    <t>Supply and Delivery of LCD Projector, Laptop, Recorder and Tablet for the College of Forestry</t>
  </si>
  <si>
    <t>CID No. 20OD0201 - Improvement of Drainage and Rehabilitation of Roads along 6th Avenue, Caloocan City</t>
  </si>
  <si>
    <t>Supply and Delivery of Various Laboratory Equipment for the College of Forestry</t>
  </si>
  <si>
    <t>20-05-394 Purchase of Furniture and Fixtures for Office Use (COMELEC) 1st Quarter 2020</t>
  </si>
  <si>
    <t>RFQ No. SJADS SVP 2020-22: Catering Services (for Training on USAD Assessment and Planning, Cacao Production and Management &amp; Organic Fertilizer Production thru NFTS</t>
  </si>
  <si>
    <t>20-05-385 Purchase of Fuel for the Office of the Municipal Mayor (2nd Quarter)</t>
  </si>
  <si>
    <t>Repair / Maintenance of DOF Building Bureau of Internal Revenue Building, Brgy. Piñahan, Quezon City</t>
  </si>
  <si>
    <t>20DC0214 - LOCAL PROGRAM, Local Infrastructure Program, Buildings and Other Structures, Multipurpose/Facilities, Construction of Multi-Purpose Building at Brgy. Poblacion, in front of Taal Lake, besid</t>
  </si>
  <si>
    <t>Repair / Maintenance of DITC Building Nat'l Telecommunication Main Building, Quezon City</t>
  </si>
  <si>
    <t>CLEARING OF AKAN CREEK OF BRGY. SAN FELIPE-SANTIAGO</t>
  </si>
  <si>
    <t>CLEARING/DE-CLOGGING OF QUIRIAON CREEK OF BRGY. SAN FELIPE-SANTIAGO</t>
  </si>
  <si>
    <t>CONSTRUCTION OF CONCRETE PATHWALK OF BRGY. SAN JOSE</t>
  </si>
  <si>
    <t>IB 2020-07-010 PLPG Procurement of LPG 50 Kgs 2020-10</t>
  </si>
  <si>
    <t>CONSTRUCTION OF SANGGUNIANG KABATAAN (SK) BUILDING</t>
  </si>
  <si>
    <t>Supply and Delivery of Various Printer Ink for Various Colleges and Offices of the University</t>
  </si>
  <si>
    <t>20CSDN01 - CONSULTANCY SERVICES FOR THE GEOTECHNICAL INVESTIGATION OF CY 2020 PROJECTS</t>
  </si>
  <si>
    <t>Repair / Maintenance of DPWH Building DPWH - BRS - Administrative Building Region IV -B Compound, EDSA, Quezon City</t>
  </si>
  <si>
    <t>Repair / Maintenance of DOJ Building Parole &amp; Probation Administration Building, Brgy. Piñahan, Quezon City</t>
  </si>
  <si>
    <t>IMPROVEMENT OF BARANGAY CAPANGPANGAN TANOD OUTPOST</t>
  </si>
  <si>
    <t>Purchase of Multi purpose vehicle</t>
  </si>
  <si>
    <t>Fabrication of Slaughtering Equipment</t>
  </si>
  <si>
    <t>SUPPLY AND DELIVERY OF INFORMATION TECHNOLOGY (IT) AND OFFICE EQUIPMENT</t>
  </si>
  <si>
    <t>Procurement of Hardware Materials for Rehabilitation of Multi-Purpose Building</t>
  </si>
  <si>
    <t>REQUEST FOR EXPRESSION OF INTEREST (REI) FOR THE CONSULTANCY SERVICES FOR THE CONDUCT SUBSURFACE SOIL EXPLORATION AND ENGINEERING SERVICES FOR THE CONSTRUCTION OF FLOOD CONTROL STRUCTURES ALONG AREA I</t>
  </si>
  <si>
    <t>Procurement of Hardware Materials for Improvement of Multi-Purpose Building</t>
  </si>
  <si>
    <t>G-2019-1080 Supply and Delivery of Pick-Up Patrol Vehicle, Public Order and Safety Office</t>
  </si>
  <si>
    <t>Fabrication and Setting/Deployment of Concrete Artificial reef</t>
  </si>
  <si>
    <t>Supply and Delivery of Various Construction Materials and Agricultural Equipment</t>
  </si>
  <si>
    <t>Construction of Material Recovery Facilities at Lingayen District Hospital</t>
  </si>
  <si>
    <t>Upgrading of Poblacion-Cabalaoangan-Guiling Road, Rosales, Pangasinan</t>
  </si>
  <si>
    <t>Procurement of Office and IT Equipment</t>
  </si>
  <si>
    <t>REQUEST FOR EXPRESSION OF INTEREST (REI) FOR THE CONSULTANCY SERVICES FOR THE CONDUCT SUBSURFACE SOIL EXPLORATION AND ENGINEERING SERVICES FOR THE WIDENING OF PERMANENT BRIDGES ALONG – LUCENA – TAYABA</t>
  </si>
  <si>
    <t>Supply &amp; Delivery of Pipeline Extension Materials Lot 3 (Construction Materials)</t>
  </si>
  <si>
    <t>Construction of Capitol in the South at Bagumbayan, Roxas, Oriental Mindoro</t>
  </si>
  <si>
    <t>Supply &amp; Delivery of Pipeline Extension Materials Lot 2 (Fittings)</t>
  </si>
  <si>
    <t>Supply and Delivery of 837 MT Asphalt Pre-Mix and 36 drums Emulsified Asphalt</t>
  </si>
  <si>
    <t>Supply and Delivery of Pipeline Extension Materials Lot 1 (HDPE)</t>
  </si>
  <si>
    <t>Upgrading of Urdaneta – Asingan via Calepaan Road, Urdaneta &amp; Asingan, Pangasinan</t>
  </si>
  <si>
    <t>Construction of Multi-Purpose Building, Brgy. Dogongan, Daet, Camarines Norte</t>
  </si>
  <si>
    <t>Construction of Three Classroom, Brgy. Poblacion, Sta. Elena, Camarines Norte</t>
  </si>
  <si>
    <t>Procurement of Hardware Materials for Construction of Multi-Purpose Building</t>
  </si>
  <si>
    <t>G-2020-197 Supply and Delivery of School Supplies, City Schools Division</t>
  </si>
  <si>
    <t>Floor Tiling Supplies</t>
  </si>
  <si>
    <t>PROVISION OF HANDWASHING FACILITY OF JHS</t>
  </si>
  <si>
    <t>Various Projects</t>
  </si>
  <si>
    <t>REI_20CSE008: Consulting Services for the Conduct of Feasibility Study of the Proposed Coron-Culion Bridge, Palawan</t>
  </si>
  <si>
    <t>CONCRETING OF MUNICIPAL STREETS (jct. Jose Rizal St. to Gregorio del Pilar St. to jct. Manlabao St.)</t>
  </si>
  <si>
    <t>PROCUREMENT OF SLIPPERS (SANDAL TYPE) FOR AGE 6-12 YEARS</t>
  </si>
  <si>
    <t>PROCUREMENT OF FERTILIZER</t>
  </si>
  <si>
    <t>Supply and Delivery of One (1) Lot Various Materials for the Construction of Vegetable Stall</t>
  </si>
  <si>
    <t>20GEE0031-Supply and Delivery of Spare Parts of Grass Cutter for use in Maintenance  Section along Puerto Princesa North Road (PPNR) , Roxas, Palawan</t>
  </si>
  <si>
    <t>Procurement of Various Office Supplies,  Customized Logbooks &amp; Forms and ICT Consumables</t>
  </si>
  <si>
    <t>Printing Services for PPDO-2020-1091</t>
  </si>
  <si>
    <t>Procurement of Medicines (4th Quarter) 2019 Continued Funding</t>
  </si>
  <si>
    <t>Construction of Drainage Canal along Airport Runway</t>
  </si>
  <si>
    <t>20BE0090 - REPAIR AND MAINTENANCE OF DELFIN ALBANO ROAD (ASPHALT OVERLAY 30MM THK.) KO417+(-200)-KO417+680, KO418+360-KO418+960, PILITAN TO PARAGU, TUMAUINI, ISABELA</t>
  </si>
  <si>
    <t>Airconditioning System for LZDH-2020-0046</t>
  </si>
  <si>
    <t>G-2020-283 Supply and Delivery of Medical Equipment, City Health Services Department</t>
  </si>
  <si>
    <t>Office Supplies for PHRM-2020-0027</t>
  </si>
  <si>
    <t>G-2020-372 Supply and Delivery of Agricultural Inputs: Organic Swine Production, Gender and Development</t>
  </si>
  <si>
    <t>G-2020-371 Supply and Delivery of Blood Bank Refrigerator &amp; Plasma Freezer, City Health Services Department</t>
  </si>
  <si>
    <t>PROVISION OF HANDWASHING FACILITY OF ELEMENTARY</t>
  </si>
  <si>
    <t>Construction Materials for GOV-2020-0239</t>
  </si>
  <si>
    <t>G-2020-322 Supply and Delivery of Drugs and Medicines, City Health Services Department</t>
  </si>
  <si>
    <t>G-2020-281 Supply and Delivery of Rice, Office of the City Mayor</t>
  </si>
  <si>
    <t>Tires for PPDO-2020-1069</t>
  </si>
  <si>
    <t>G-2020-361 Labor &amp; Materials for the Repair &amp; Maintenance of Water Supply, City Engineering and Infrastructure Development Department</t>
  </si>
  <si>
    <t>Operation and Maintenance of Sta. Elena Municipal Water System</t>
  </si>
  <si>
    <t>DELIVERY AND SUPPLY OF BDRRM EQUIPMENTS</t>
  </si>
  <si>
    <t>IB 2020-07-009 POC Procurement of Oxygen Cylinder 1800 PSI and Installation of Oxygen Manifold with Oxygen Pipe-in 2020-09</t>
  </si>
  <si>
    <t>Supply and Delivery of 832 MT Asphalt Pre-Mix and 36 drums Emulsified Asphalt</t>
  </si>
  <si>
    <t>Improvement of Calinan Well and Installation of Discharge Pipeline</t>
  </si>
  <si>
    <t>Construction of Provincial Youth Development Center at Lingayen, Pangasinan</t>
  </si>
  <si>
    <t>INFRA-REHABILITATION OF MUNICIPAL ROAD AT BERNARDO VILLAGE, MAYONDON, LOS BANOS, LAGUNA</t>
  </si>
  <si>
    <t>CONSTRUCTION/IMPROVEMENT OF DAY CARE CENTER</t>
  </si>
  <si>
    <t>Completion of 10 Classroom Two-Storey School Building with Multi-Purpose Covered Court Phase 1, Amungan High School, Iba</t>
  </si>
  <si>
    <t>20HL0111 - Repair/ Maintenance of Flood Control &amp; Drainage Structures: Datag 1 River Control Upstream "A", Datag, Siaton, Negros Oriental</t>
  </si>
  <si>
    <t>Supply and Delivery of Materials for the Rehabilitation of Drainage Canal-Phase II, Barangay San Isidro</t>
  </si>
  <si>
    <t>Supply and Delivery of One (1) Lot Various Materials for the for Installation of Brick Tiles of Wet Market Frontage Area</t>
  </si>
  <si>
    <t>SUPPLY, DELIVERY AND INSTALLATION OF ONE (1) UNIT SUBMERSIBLE PUMP AND MOTOR WITH ACCESSORIES FOR SABLAYAN WATER DISTRICT (REPOST)</t>
  </si>
  <si>
    <t>request for quotations</t>
  </si>
  <si>
    <t>Supply and Delivery of Various Pipes and Fittings</t>
  </si>
  <si>
    <t>Supply and Delivery of Materials for the Construction of Road Network, Barangay Bilucao</t>
  </si>
  <si>
    <t>Supply and Delivery of One (1) lot of Various Materials for Construction of Dryer Building</t>
  </si>
  <si>
    <t>Supply and delivery of Diesel Fuel for various service vehicles and equipment use during covid-19 Mitigation activities.</t>
  </si>
  <si>
    <t>G-2020-280 Supply and Delivery of Rice &amp; Personalized Sacks, Office of the City Mayor</t>
  </si>
  <si>
    <t>G-2020-387 Supply and Delivery of Generator, City Schools Division</t>
  </si>
  <si>
    <t>Consultancy Services for the Formulation of the Updated Comprehensive Land Use Plan with Updated Maps ,Zoning Ordinance  /  Comprehensive Development Plan  of  Pagadian City</t>
  </si>
  <si>
    <t>G-2020-210 Supply and Delivery of Portable Pressure Washer, City Schools Division</t>
  </si>
  <si>
    <t>20GEE0030-Supply and Delivery of Nylon use for Grass cutter along Puerto Princesa North Road, PPNR , Roxas, Palawan</t>
  </si>
  <si>
    <t>20GEE0029-Supply and Delivery of Nylon use for Grass Cutter along Coron-Busuanga National Road, CBNR &amp; Coron-Busuanga Road (F.B. Reyes Road) section , Coron, Palawan</t>
  </si>
  <si>
    <t>20EI0179 - Repair/Rehab. Of Scoured Shoulder with Slope Protection along CSR K0164+800 – K0164+860, Brgy. Manaul, Mansalay, Oriental Mindoro_059</t>
  </si>
  <si>
    <t>Const. Supplies &amp; Materials for the Concreting of Cote-Boybo Road</t>
  </si>
  <si>
    <t>Purchase of 1 Unit Motor Vehicle</t>
  </si>
  <si>
    <t>Re-Advertisement of motor vehicles for MDRRMO of LGU-Aparri, Cagayan</t>
  </si>
  <si>
    <t>REQUEST FOR EXPRESSION OF INTEREST (REI) FOR THE CONSULTANCY SERVICES FOR THE CONDUCT SUBSURFACE SOIL EXPLORATION AND ENGINEERING SERVICES FOR THE REHABILITATION/RECONSTRUCTION OF ROADS WITH SLIPS, SL</t>
  </si>
  <si>
    <t>20EI0180 -  Repair/Rehab. Of Scoured Shoulder with Slope Protection along CSR K0181+164 – K0181+210, Brgy. Nasucob, Bulalacao, Oriental Mindoro_060</t>
  </si>
  <si>
    <t>Supply and Delivery of One (1) Lot Various Materials for the Construction of Material Recovery Facility (MRF)</t>
  </si>
  <si>
    <t>IMPROVEMENT OF PAPAYA-CABINUANGAN-RUNRUNO ROAD Located at Kasibu, Nueva Vizcaya</t>
  </si>
  <si>
    <t>20-DO-0086: Construction/Rehabilitation of Water Supply/Septage and Sewerage/ Rain Water Collectors – Rain Water Collectors in Public Facilities – Construction of Rain Water Collectors at Rodriguez, R</t>
  </si>
  <si>
    <t>PBGOODS-2020-02: SUPPLY AND DELIVERY OF ADDITIONAL SUPPLIES AND MATERIALS FOR THE 2020 CENSUS OF POPULATION AND HOUSING (CPH)</t>
  </si>
  <si>
    <t>Supply and Delivery of Various Office Equipment, Furnitures and Fixtures for the RESEL</t>
  </si>
  <si>
    <t>20HL0110 - Repair and Maintenance of Road Safety Facilities - Installation of New Traffic Signs along Dumaguete South Road, Dumaguete City-Valencia-Bacong Road, Sta. Catalina-Pamplona-Tanjay City Road</t>
  </si>
  <si>
    <t>RENOVATION OF HEALTH CENTER</t>
  </si>
  <si>
    <t>Repair / Maintenance of DPWH Building DPWH – BRS CARP Building Region IV-B Compound, EDSA, Quezon City</t>
  </si>
  <si>
    <t>Rehabilitation of Roads and Bridges at Purok 1-Poblacion - SB # 01 CY 2020 (Procurement of Diesel &amp; Gasoline) – MEO</t>
  </si>
  <si>
    <t>Rehabilitation of Secondary Building</t>
  </si>
  <si>
    <t>G-2020-369 Supply and Delivery of Advance Life Support Ambulance, Local Disaster Risk Reduction Management Division</t>
  </si>
  <si>
    <t>CONCRETING OF KAWIT-PAITON-INUDARAN-DELABAYAN PROVINCIAL ROAD Sta. 6+345.00 - Sta. 7+430.00</t>
  </si>
  <si>
    <t>20GP015G-Procurement of Crushed Aggregates (Choker ¼), Fine Aggregates (Sand), Item 104- Common Borrow, and Washed Gravel to be used in the Resealing of Concrete/Asphalt Road, Embankment of Eroded Sho</t>
  </si>
  <si>
    <t>Rehabilitation of Roads and Bridges at Purok 7-Poblacion - SB # 01 CY 2020 (Procurement of Diesel &amp; Gasoline) – MEO</t>
  </si>
  <si>
    <t>20GA0142-Construction of Multi-Purpose Building (Covered Court) Brgy. Poblacion, Tangalan, Aklan</t>
  </si>
  <si>
    <t>Re- Adverisement for the procurement of machines for the reductin of solid waste volume</t>
  </si>
  <si>
    <t>CONCRETING OF MAIGO-MENTRING-INOMA PROVINCIAL ROAD Sta. 10+470.00 - Sta. 11+485.00</t>
  </si>
  <si>
    <t>Purchase HandHeld Radio</t>
  </si>
  <si>
    <t>20CE0226: Repair/Maintenance of DPWH Building Covered Court, Nueva Ecija I District Engineering Office, La Torre, Talavera, Nueva Ecija</t>
  </si>
  <si>
    <t>20CE0225: Repair/Maintenance of River Bank Protection along Rio Chico River, Brgy. Mapangpang, Lupao, Nueva Ecija</t>
  </si>
  <si>
    <t>20CE0223: Construction of 1STY2CL, Camanggahan ES, Carranglan, Nueva Ecija</t>
  </si>
  <si>
    <t>Bid No. 20-0320 - PROCUREMENT OF OFFICE SUPPLIES - MO/HRDP SECTION</t>
  </si>
  <si>
    <t>20CE0222: Construction of 1STY2CL, Salvacion 2nd ES, Lupao, Nueva Ecija</t>
  </si>
  <si>
    <t>G-2020-370 Supply and Delivery of Wheelchair, Office of the City Mayor</t>
  </si>
  <si>
    <t>20GP016G-Procurement of Global Navigation Satellite System (GNSS) Survey Equipment (1 Base, 2 Rover per set) to be used in the Preliminary Detailed Engineering (PDE) for the Proposed FY 2020 Projects</t>
  </si>
  <si>
    <t>20CE0218: Construction of 2STY6CL, Doroteo R. Jose Elementary School, Cuyapo, Nueva Ecija</t>
  </si>
  <si>
    <t>20CE0224: Repair/Maintenance of Collapsed Slope Protection, Cadaclan Bridge 2, along Pantabangan - Canili - Basal - Baler Road, K0181+600, Brgy. Cadaclan, Pantabangan, Nueva Ecija</t>
  </si>
  <si>
    <t>Purchase of Additional  Supplies and Materials of the 2020 Census of Population and Housing (2020 CPH)</t>
  </si>
  <si>
    <t>20CE0216: Construction of 2STY4CL, Cabaruan ES, Guimba, Nueva Ecija</t>
  </si>
  <si>
    <t>20CE0213: Construction of 2STY6CL, Collado ES, Talavera, Nueva Ecija</t>
  </si>
  <si>
    <t>20CE0219: Construction of 3STY15CL, Cuyapo CS, Cuyapo, Nueva Ecija</t>
  </si>
  <si>
    <t>20CE0221: Construction of 1STY2CL, Maragol IS, Science City of Muñoz, Nueva Ecija</t>
  </si>
  <si>
    <t>20CE0211: Construction of 2STY6CL, Homestead I ES, Talavera, Nueva Ecija</t>
  </si>
  <si>
    <t>Sealed Quotation - One (1) Lot Supply and Delivery of Various Computer &amp; Office Supplies for Pag-IBIG Fund Office of the Area Head, COA and Admin.</t>
  </si>
  <si>
    <t>20CE0217: Construction of 2STY8CL, Guimba West CS, Guimba, Nueva Ecija</t>
  </si>
  <si>
    <t>PBD Construction of Gender Sensitive Common C.R</t>
  </si>
  <si>
    <t>20CE0212: Construction of 2STY8CL, Minabuyok ES, Talavera, Nueva Ecija</t>
  </si>
  <si>
    <t>FENCING OF BARANGAY HALL SITE BRGY. MARAPANGI, TORIL DIST., DAVAO CITY</t>
  </si>
  <si>
    <t>20CE0214: Construction of 2STY6CL, Don Emiliano Soriano ES, Aliaga, Nueva Ecija</t>
  </si>
  <si>
    <t>CONSTRUCTION OF PATHWAY PUROK 6</t>
  </si>
  <si>
    <t>IMPROVEMENT OF BARANGAY FACILITIES AT BARANGAY TAMAG, VIGAN CITY</t>
  </si>
  <si>
    <t>PURCHASE OF DISASTER PREPAREDNESS EQUIPMENT</t>
  </si>
  <si>
    <t>OFFICE SUPPLIES &amp; DEVICES (EMERGENCY LIGHT)</t>
  </si>
  <si>
    <t>Installation of solar street lights</t>
  </si>
  <si>
    <t>Radio Base</t>
  </si>
  <si>
    <t>ROAD CONCRETING @ PALANCA VILLAGE</t>
  </si>
  <si>
    <t>One (1) lot Supply, Delivery and Installation of 42inch Full HD Digital Kiosk with Touch Screen of Pag-IBIG Fund Lipa Branch</t>
  </si>
  <si>
    <t>SUPPLY / DELIVERY OF BRAND NEW RESCUE VEHICLE</t>
  </si>
  <si>
    <t>20CE0229: Repair /Maintenance of DILG Building, Lupao Fire Station Building, Lupao, Nueva Ecija</t>
  </si>
  <si>
    <t>20CE0228: Repair /Maintenance of DILG Building Bureau of Fire Protection – Rizal Fire Station, Rizal, Nueva Ecija</t>
  </si>
  <si>
    <t>20CE0227: Repair /Maintenance of DILG Building Bureau of Fire Protection – Talavera Fire Station Building, Brgy. Sampaloc, Talavera, Nueva Ecija</t>
  </si>
  <si>
    <t>20CE0210: Construction of 2STY6CL, Mamandil PS, Talavera, Nueva Ecija</t>
  </si>
  <si>
    <t>20CE0220: Construction of 2STY4CL, Muñoz National High School (Annex), Science City of Muñoz, Nueva Ecija</t>
  </si>
  <si>
    <t>INVITATION TO BID FOR THE PROCUREMENT OF DOCUMENT READER FOR ALCUCOA ACCREDITION PURPOSES</t>
  </si>
  <si>
    <t>procurrement of diesel fuel</t>
  </si>
  <si>
    <t>Various Infrastructure Projects at Pasig City-PB-07-17-2020</t>
  </si>
  <si>
    <t>Construction of Interment Vault at Pahulayan, San Miguel,  Samal District IGaCoS under PR No. 2020-05-2433.</t>
  </si>
  <si>
    <t>Supply and Delivery of Two (2) Lots of Token (14K Gold Pins and Plaques) for PNOC EC Service Awardees</t>
  </si>
  <si>
    <t>REHABILITATION OF FARM TO MARKET ROAD (FMR) - SAN MIGUEL SECTION, LUNA, ISABELA</t>
  </si>
  <si>
    <t>20GA0176-Re-Invitation-Rehabilitation of MPB (Makato Municipal Hall) Brgy. Poblacion, Makato, Aklan</t>
  </si>
  <si>
    <t>Supply and Delivery of Various Flyers and Brochures Under FishCORAL Project</t>
  </si>
  <si>
    <t>Construction of Materials and Supplies</t>
  </si>
  <si>
    <t>CONSTRUCTION OF GARBAGE PIT FOR TOXIC WASTE</t>
  </si>
  <si>
    <t>INVITATION TO BID FOR THE PROCUREMENT OF MATERIALS FOR THE PROJECT OF CONSTRUCTION OF FLOOD CONTROL DRAINAGE SYSTEM (REPROGRAMMED) LOCATED @ PUROK 7 &amp; PUROK 7A, POBLACION, MONKAYO, DAVAO DE ORO</t>
  </si>
  <si>
    <t>INVITATION FOR NEGOTIATED  PROCUREMENT (SMALL VALUE PROCUREMENT) OF DRUGS AND MEDICINES</t>
  </si>
  <si>
    <t>Concreting of Road from Circumferential Road San Miguel to Cemetery Pahulayan (Re-Bidding) under PR No. 2020-01-139</t>
  </si>
  <si>
    <t>CONSTRUCTION OF LINE CANAL  ALONG SAN JOSE JUNCTION-TONDOL ROAD</t>
  </si>
  <si>
    <t>Procurement of chlorine and Poly Aluminum Chloride</t>
  </si>
  <si>
    <t>INVITATION TO BID FOR THE PROCUREMENT OF LABOR &amp; MATERIALS FOR THE PROJECT OF MULTI-PURPOSE HALL IMPROVEMENT-BARANGAY OLAYCON, MONKAYO, DAVAO DE ORO</t>
  </si>
  <si>
    <t>Completion of Evacuation Center at Brgy. San Miguel,  Samal District IGaCOS under PR No. 2020-06-2449</t>
  </si>
  <si>
    <t>INVITATION TO BID FOR THE PROCUREMENT OF FUEL FOR MOBILIZATION OF VARIOUS OFFICES</t>
  </si>
  <si>
    <t>Chicken Meat Production  for food sufficiency amidst the threat of Covid-19 Pandemic</t>
  </si>
  <si>
    <t>SUPPLY AND DELIVERY OF CONSTRUCTION  MATERIALS FOR THE RENOVATION OF TRAINING CENTER (PHASE II)</t>
  </si>
  <si>
    <t>SUPPLY AND DELIVERY OF SPECTROPHOTOMETER AND ITS ACCESSORIES FOR MSU-TCTO RESEARCH OFFICE</t>
  </si>
  <si>
    <t>PROJ. 594 - YDP 2020</t>
  </si>
  <si>
    <t>Construction of MCC-HOTEL WAREHOUSE BUILDING</t>
  </si>
  <si>
    <t>REQUEST FOR MEDICINES AND SUPPLIES TO IMPROVE THE DELIVERY OF BASIC SERVICES OF THE CONSTITUENTS OF THE MUNICIPALITY OF BORBON</t>
  </si>
  <si>
    <t>OIL DISPERSANT</t>
  </si>
  <si>
    <t>Purchase/Delivery of NBS Testing Kits</t>
  </si>
  <si>
    <t>20CE0215: Construction of 2STY6CL, Concepcion ES, Santo Domingo, Nueva Ecija</t>
  </si>
  <si>
    <t>Procurement of Emergency First Aid Kits for Schools</t>
  </si>
  <si>
    <t>Sealed Quotation - One (1) Lot - Supply and Delivery of Various Computer Supplies of Pag-IBIG Fund</t>
  </si>
  <si>
    <t>Fittings &amp; Appurtenances</t>
  </si>
  <si>
    <t>Subdivisioning of Lot No. 2793 for Housing and resettlement and Subdivision Development</t>
  </si>
  <si>
    <t>Supply and Delivery of Network Equipment and Supplies for Provincial Wide Networking Connectivity and Direct Corporate Internet of Provl. Govt.</t>
  </si>
  <si>
    <t>Various IT Equipment and Supplies_PR 11062</t>
  </si>
  <si>
    <t>Completion of Perimeter Fence at Slaughterhouse, San Agustin Babak District, IGACOS (Re-Bidding) under PR No. 2020-02-1518</t>
  </si>
  <si>
    <t>20GA0161-Construction of Multi-Purpose Building In Brgy. Habana, Nabas, Aklan</t>
  </si>
  <si>
    <t>Expansion and Rehabilitation of Level III Water System</t>
  </si>
  <si>
    <t>Construction of Gym at Mambago-B National High School,  Babak District, IGACOS (Re-Bidding) under PR No. 2020-03-1594</t>
  </si>
  <si>
    <t>20GIA006 Procure,ment of DPWH Equipment</t>
  </si>
  <si>
    <t>INVITATION TO BID FOR THE PROCUREMENT OF LABOR &amp; MATERIALS FOR THE PROJECT OF REHABILITATION/IMPROVEMENT OF DRY MARKET @ BLOCK-1 BUILDING BLOCK 1, MARKET SITE, POBLACION, MONKAYO, DAVAO DE ORO</t>
  </si>
  <si>
    <t>procurrement of aircon</t>
  </si>
  <si>
    <t>Cannon G2010 (Cartrage Black) and Office Supplies (JHS)</t>
  </si>
  <si>
    <t>20CF0131 Repair/Maintenance of Asan Flood Control, Gabaldon, Nueva Ecija</t>
  </si>
  <si>
    <t>Construction of Gym AVCES Miranda, Babak District IGaCoS  under PR No. 2020-06-2478</t>
  </si>
  <si>
    <t>Purchase Office Supplies</t>
  </si>
  <si>
    <t>Construction of Drainage System/ Drainage System  Kinawitnon, Babak District under PR No. 2020-05-2409</t>
  </si>
  <si>
    <t>Cont. Ref. No. 070-20: Construction of Concrete Covered Canal along Bua Cemetery (behind AMPMNHS to Livelihood) at Tuding, Itogon, Benguet</t>
  </si>
  <si>
    <t>Construction of Multi-Purpose Hall (Phase-1) at BJMP, Toril,  Babak District, IGACOS (Re-Bidding) under PR No. 2020-03-2092</t>
  </si>
  <si>
    <t>SUPPLY, DELIVERY, INSTALLATION INTO OPERATIONAL STATE, AND MAINTENANCE OF AN INVESTMENT MANAGEMENT SYSTEM (IMS) (RE-ADVERTISEMENT)</t>
  </si>
  <si>
    <t>Procurement of Payment for Electrical Expenses</t>
  </si>
  <si>
    <t>Purchase of 1 Unit Projector HDMI and Refrigerator</t>
  </si>
  <si>
    <t>CONSTRUCTION OF MULTI-PURPOSE BUILDING PHASE II (EMILIANA)</t>
  </si>
  <si>
    <t>Procurement of Materials for the Rehabilitation of Water Source Pipeline from Intake Boxes to BPT to Reservoir Including Replacement of Ball Valve Defects</t>
  </si>
  <si>
    <t>WIRE</t>
  </si>
  <si>
    <t>SUPPLY OF LABOR AND MATERIALS FOR THE  CONSTRUCTION OF COVERED LINE CANAL AT  BARANGAY POBLACION ZONE 1, TAAL, BATANGAS (CB INFRA 2020-01)</t>
  </si>
  <si>
    <t>SUPPLY AND DELIVERY OF DRUGS AND MEDICINES FOR USE OF PHARMACY DEPT. OF GEAMH</t>
  </si>
  <si>
    <t>Supply and Delivery of IT Equipment for use of Sangguniang Panlalawigan Office</t>
  </si>
  <si>
    <t>Construction of Proposed 3 Units Day Care Center located at Sitio Dimalama, Bugos, Aringay and Villa Rose, San Guillermo, Isabela</t>
  </si>
  <si>
    <t>Office Supplies for 3rd Quarter</t>
  </si>
  <si>
    <t>Construction of Wheelbath at Villarica Wharf,  Babak District IGaCoS under PR No. 2020-04-2236.</t>
  </si>
  <si>
    <t>Cont. Ref. No. 069-20: Construction of Retaining Wall along Labilab Road (near Fr. Solang) at Loacan, Itogon, Benguet</t>
  </si>
  <si>
    <t>Construction of Multi-Purpose Building/Evacuation Center at  Anonang NHS, Anonang, Kaputian District, IGACOS (Re-Bidding)  under PR No. 2019-11-4214</t>
  </si>
  <si>
    <t>INVITATION TO BID FOR THE PROCUREMENT OF LABOR &amp; MATERIALS FOR THE PROJECT OF CONSTRUCTION OF MULTI-PURPOSE HALL-BABAG, MONKAYO, DAVAO DE ORO</t>
  </si>
  <si>
    <t>Rebidding of Const. Supply &amp; Materials for the Maint. of BCR, Various Section</t>
  </si>
  <si>
    <t>Cont. Ref. No. 071-20: Construction of Canal at Upper Ucab (below M. Tiangao Residence) at Ucab, Itogon, Benguet</t>
  </si>
  <si>
    <t>Const. of Multipurpose Bldg. AMAVILL Subdivision at  Brgy. San Miguel, Samal District IGaCOS  under PR No. 2020-06-2450</t>
  </si>
  <si>
    <t>BACKFILLING/ WIDENING OF BARANGAY ROADS</t>
  </si>
  <si>
    <t>Construction of Line Canal at Brgy. Poblacion 4, Sariaya, Quezon Area of Delivery Quezon</t>
  </si>
  <si>
    <t>Supply and Delivery of Survey Instrument for Use of Provincial Engineer’s Office</t>
  </si>
  <si>
    <t>Construction of Open Canal at Burgos St. to Balagtas St., Poblacion 1, Sariaya, Quezon</t>
  </si>
  <si>
    <t>Purchase of Non PS Module Materials</t>
  </si>
  <si>
    <t>Concreting of Farm to Market Road</t>
  </si>
  <si>
    <t>Impv’t. of City Road (Re-Blocking) at Mambago-B,  Babak IGaCoS District under PR No. 2020-05-2435</t>
  </si>
  <si>
    <t>Purchase of 1 Unit Laptop for Assessor's Office</t>
  </si>
  <si>
    <t>Rebidding of Const. Supply &amp; Materials for the Repair/Maint. of Port Facilities</t>
  </si>
  <si>
    <t>Construction of Niche Apartment Type at Brgy. Sampaloc 1, Sariaya, Quezon</t>
  </si>
  <si>
    <t>Rehabilitation of Roads and Bridges at Purok 11-Poblacion - SB # 01 CY 2020 (Procurement of Diesel &amp; Gasoline) – MEO</t>
  </si>
  <si>
    <t>Purchase of Office Supplies and other consumables</t>
  </si>
  <si>
    <t>Invitation to Bid for The Procurement of Labor &amp; Materials for The Project of Rehabilitation/ Improvement of Evacuation Center 1- Poblacion, Monkayo, Davao De Oro</t>
  </si>
  <si>
    <t>Request for Prizes Quatation</t>
  </si>
  <si>
    <t>Sealed Quotation - One (1) Lot - Supply and Delivery of Various Office Supplies of Pag-IBIG Fund</t>
  </si>
  <si>
    <t>INSTALLATION OF PAVEMENT BLOCKS, PAINTING OF CURB AT AMPHITHEATER AND DRYWALL PARTITIONS AT THE ARCHIVE ROOM IN THE PROVINCIAL CAPITOL BUILDING</t>
  </si>
  <si>
    <t>PEO-20-0639 B (Rebid) - Procurement of Diesel Fuel for use in the truck team operations for the repair/maintenance of Provincial roads and bridges in the Province of Iloilo</t>
  </si>
  <si>
    <t>INFRA-INSTALLATION OF SECURITY PROTECTION FENCE, MAAHAS-SAN ANTONIO BRIDGE, LOS BANOS, LAGUNA</t>
  </si>
  <si>
    <t>20CF0132 Repair/Maintenance of Sta. Rosa Flood Control, Sta. Rosa, Nueva Ecija</t>
  </si>
  <si>
    <t>Public Bidding for the Supply &amp; Delivery of Recombinant Human Erythropoietin for Roxas Memorial Provincial Hospital under ITB No. 2020-007H</t>
  </si>
  <si>
    <t>Development of Water Supply System and Facilities at Tambo Babak District under PR No. 2020-05-2406.</t>
  </si>
  <si>
    <t>REQUEST FOR QUOTATION (RFQ)-SUPPLY, DELIVERY AND INSTALLATION OF ONE (1) UNIT AUTOMATIC TRANSFER SWITH FOR GENSET</t>
  </si>
  <si>
    <t>Cont. Ref. No. 074-20: Installation of Guard Rails along Mangga to Luneta Elementary School Footpath at Tuding, Itogon, Benguet</t>
  </si>
  <si>
    <t>REHABILITATION OF MULTI-PURPOSE BUILDING</t>
  </si>
  <si>
    <t>Purchase of 100 Pcs Water Meter</t>
  </si>
  <si>
    <t>SUPPLY AND DELIVERY OF COMMERCIAL FERTILIZERS</t>
  </si>
  <si>
    <t>ILD-20-0613(R1): Procurement of Chemical and Filtering Supplies to be used at Regional Soils Laboratory</t>
  </si>
  <si>
    <t>Purchase of Additional Fertilizer</t>
  </si>
  <si>
    <t>OFFICE ENHANCEMENT PROGRAM</t>
  </si>
  <si>
    <t>Procurement of hygiene kits as augmentation support to LGUs to respond to the impact of COVID-19 and for stockpiling</t>
  </si>
  <si>
    <t>INVITATION TO BID FOR THE PROCUREMENT OF LABOR &amp; MATERIALS FOR THE PROJECT OF CONSTRUCTION OF MULTI-PURPOSE HALL-UPPER ULIP, MONKAYO, DAVAO DE ORO</t>
  </si>
  <si>
    <t>Purchase Medical Supplies</t>
  </si>
  <si>
    <t>Cont. Ref. No. 073-20: Rehabilitation of Pathway at Upper Samoyao at Ampucao, Itogon, Benguet</t>
  </si>
  <si>
    <t>ILD-20-0754(R1): Procurement of Deionized Water to be used at Regional Soils Laboratory</t>
  </si>
  <si>
    <t>Purchase of 200 pcs. Monobloc chairs</t>
  </si>
  <si>
    <t>One(1) Job: Building and Design of Pototan Community Quarantine Facility for use as quarantine area for COVID 19 PUI's and PUM's of the Municipality of Pototan</t>
  </si>
  <si>
    <t>Purchase of Fertilizer</t>
  </si>
  <si>
    <t>SUPPLY AND DELIVERY OF HYBRID PALAY SEEDS</t>
  </si>
  <si>
    <t>Purchase of Gulayan Repair Tools</t>
  </si>
  <si>
    <t>Completion of DRRM Operation Center</t>
  </si>
  <si>
    <t>AGRICULTURAL MACHINERY &amp; EQUIPMENT</t>
  </si>
  <si>
    <t>Const. Supplies &amp; Materials for the Rehab of Togbongan Multi-Purpose Hall</t>
  </si>
  <si>
    <t>20DB0137 – Repair/Rehabilitation of Diokno Highway, K0087+000 – K0090+100 (Intermittent Section) Lemery, Batangas</t>
  </si>
  <si>
    <t>Security Services (Rebid)</t>
  </si>
  <si>
    <t>Cont. Ref. No. 072-20: Construction of Canal from Provincial Road down to Balanza’s Residence at Bontoc Village at Virac, Itogon, Benguet</t>
  </si>
  <si>
    <t>Purchase of Communication Load</t>
  </si>
  <si>
    <t>20GKI0015 (Public Bidding) Contract Name: Supply of WF-6869R Ink for use in the DPWH Office</t>
  </si>
  <si>
    <t>ITDI-200367_REBID - SUPPLY OF LABOR AND MATERIALS FOR THE REPAIR OF CENTRALIZED AIRCONDITIONING SYSTEM</t>
  </si>
  <si>
    <t>Procurement supply and Delivery of One (1) Set Rescue Boat with Outboard Motor Engine and Trailer</t>
  </si>
  <si>
    <t>Delivery of 1 unit outboard motor to be used by CPSD</t>
  </si>
  <si>
    <t>20GKI0014 (Public Bidding) Contract Name: Purchase of Office Supplies and Other Various Items for use in the Operation of DPWH Office</t>
  </si>
  <si>
    <t>Widening of Road at Kinawitnon - Villarica Road Section  (Re-Bidding) under PR No. 2020-01-1386.</t>
  </si>
  <si>
    <t>ITDI-200243_REBID - SUPPLY AND DELIVERY OF VORTEX MIXER</t>
  </si>
  <si>
    <t>Purchase of construction supplies and materials</t>
  </si>
  <si>
    <t>ILD-20-0805(R1): Procurement of Autoclavable Plastic to be used in Metarhizium Production</t>
  </si>
  <si>
    <t>CONSTRUCTION OF PATHWAY AT BRGY. LUMBANG, PILAR, SORSOGON</t>
  </si>
  <si>
    <t>ROAD CONCRETING, PHASE I</t>
  </si>
  <si>
    <t>20GKI0013 (Public Bidding) Contract Name: Supply of Diesel and Other Various Items for use in the operation of DPWH service vehicles</t>
  </si>
  <si>
    <t>Construction of Wheelbath at Caliclic, Babak Dist.,  IGACOS (Re-Bidding) under PR No. 2020-04-2281.</t>
  </si>
  <si>
    <t>20GIE0014 - Purchase of Laboratory Apparatus at Quality Assurance Section DPWH, Leyte Third Engineering District Office, Villaba, Leyte</t>
  </si>
  <si>
    <t>Road Concreting of FMR at Bagsak, Aumbay to Anonang  Road Section under PR No. 2020-05-2432.</t>
  </si>
  <si>
    <t>LOT Procurement of SLIDING WINDOWS for Use in the Repair of RSDC Windows</t>
  </si>
  <si>
    <t>LABORATORY SUPPLIES AND EQUIPMENT</t>
  </si>
  <si>
    <t>AGRICULTURAL PRODUCTS (SEEDS)</t>
  </si>
  <si>
    <t>PROCUREMENT OF MATERIALS FOR THE CONSTRUCTION OF DAY CARE CENTER</t>
  </si>
  <si>
    <t>Re-bidding: Supply and Delivery of IT Parts and Accessories (PR No. 2020-02-0120, 2020-02-0312, 2020-02-0203, 2020-02-0337, 2020-01-0034, 2020-01-0053, 2020-02-0225, 2020-02-0271, 2020-02-0308, 2020-0</t>
  </si>
  <si>
    <t>REQUEST FOR QUOTATION (RFQ)-SUPPLY, DELIVERY AND INSTALLATION OF ONE (1) UNIT QUEUING MACHINE SYSTEM</t>
  </si>
  <si>
    <t>ILD-20-0809(R1): Preventive Maintenance and Calibration of Atomic Absorption Spectrophotometer</t>
  </si>
  <si>
    <t>LOT Procurement of TIRES and AIRCON COMPRESSOR for the Use of the PNP Vehicles in Support to Peace and Public Safety Operation</t>
  </si>
  <si>
    <t>20GKI0019 (Public Bidding) Contract Name: Supply of Steel Cabinet and other Various Items for use in the DPWH Office</t>
  </si>
  <si>
    <t>Cont. Ref. No. 076-20: Construction of Millsite Child Development Center at Virac, Itogon, Benguet</t>
  </si>
  <si>
    <t>Supply &amp; Delivery of Various Construction Materials intended for Construction of Drainage Canal (Complete Bid)</t>
  </si>
  <si>
    <t>Cont. Ref. No. 077-20:Rehabilitation and Improvement of Kawa Footpath at Gumatdang, Itogon, Benguet</t>
  </si>
  <si>
    <t>19GSK00052– Supply &amp; Installation of mobile column lift, post lift and Filtration System for use in the upgrading of Base Overhaul Shop in this Office and the Area Shops within the Region</t>
  </si>
  <si>
    <t>20GKI0018 (Public Bidding) Contract Name: Purchase of Construction Materials and other Various Items for use in the maintenance and beautification of DPWH Buildings and Compound</t>
  </si>
  <si>
    <t>Supply and delivery of customized sports uniform</t>
  </si>
  <si>
    <t>IMPROVEMENT OF BARANGAY ROAD</t>
  </si>
  <si>
    <t>20GEI0019 - Furnishing and Delivery of Materials for use in the Concrete and Asphalt Pavement along CSR KM123+000-KM193+000 (Intermittent Section), Bongabong-Bulalacao, Oriental Mindoro_061</t>
  </si>
  <si>
    <t>20GKI0023 (Public Bidding) Contract Name: Supply of Tires, Batteries and Early Warning Devices for use in the DPWH Office</t>
  </si>
  <si>
    <t>Cont. Ref. No. 078-20: Construction of Water Tank at Upper Mangga Spring  at Tuding, Itogon, Benguet</t>
  </si>
  <si>
    <t>Purchase of 1 unit of Pick-up Truck for Lgu-Mangaldan</t>
  </si>
  <si>
    <t>Rehabilitation of PHRDC Building at Catagman,  Samal District IGaCoS under PR No. 2020-06-2501</t>
  </si>
  <si>
    <t>PROCUREMENT OF ONE (1) SET THERMOPLASTIC ROAD LANE</t>
  </si>
  <si>
    <t>UPGRADING AND REHABILITATION OF POWERLINES AT SITIO TALISAY, SAN REMEGIO, KAPUTIAN DISTRICT, IGACOS (Rebidding)</t>
  </si>
  <si>
    <t>(Rebidding) Upgrading and Rehabilitaion of Powerlines of Different Barangays in IGACOS</t>
  </si>
  <si>
    <t>SUPPLY AND INSTALLATION OF AIRCONDITIONING UNIT WITH FEEDERLINE OF PDRRMO, DILG AND CLERK OF COURT, AND RTC-TMC</t>
  </si>
  <si>
    <t>20% BDF 2020</t>
  </si>
  <si>
    <t>Supply and Delivery of Chlorine</t>
  </si>
  <si>
    <t>PURCHASE OF CONSTRUCTION MATERIALS FOR DEVELOPMENT OF WATER SUPPLY SYSTEM AND FACILITIES AT PUROK 10, SAN ISIDRO, BABAK DISTRICT, IGACOS (Rebidding)</t>
  </si>
  <si>
    <t>Supply and Delivery of Various Painting Materials ( F-063-0428-20 )</t>
  </si>
  <si>
    <t>Purchase of Supplies and Materials</t>
  </si>
  <si>
    <t>Fabrication of Steel Goal- Tagugpo, Pantukan</t>
  </si>
  <si>
    <t>Supply and delivery of fuel for the use of LGU ambulance</t>
  </si>
  <si>
    <t>Purchase of Office Equipment for General Services Office</t>
  </si>
  <si>
    <t>Repiar of Supervisor's Office San pablo Central School.</t>
  </si>
  <si>
    <t>PROCUREMENT OF 1 UNIT AUTOMATED EXTERNAL DEFIBRILLATOR  SHOCK FREQUENCY (AED/DEFIB)</t>
  </si>
  <si>
    <t>Procurement and installation of Internet Network</t>
  </si>
  <si>
    <t>Procurement of Hardware/Construction Materials</t>
  </si>
  <si>
    <t>CONSTRUCTION OF NICHES AT NEW PUBLIC CEMETERY, PHASE VII-B OF 2020, LA CARLOTA CITY</t>
  </si>
  <si>
    <t>Concreting of  farm to market Road</t>
  </si>
  <si>
    <t>ELECTRIFICATION  AT SITIO BUCAWE TORIL BABAK DISTRICT (Rebidding) under PR#2020-05-2343</t>
  </si>
  <si>
    <t>PURCHASE OF CONSTRUCTION MATERIALS FOR THE REHABILITATION OF BARANGAY ROADS - PUROK VIJIA</t>
  </si>
  <si>
    <t>Construction of Public Market Roadway Concreting.</t>
  </si>
  <si>
    <t>COMPLETION OF MULTI PURPOSE HALL CUM EVACUATION CENTER</t>
  </si>
  <si>
    <t>20GSK00013– Supply &amp; delivery of Desktop Computer &amp; Laser Projector for use in the Administrative Division</t>
  </si>
  <si>
    <t>FOD-L-20-2349: Procurement of Animal/Zoological Supplies to be given to the Cooperatives or Farmers Associations in support to Covid-19 Response Program in the Region</t>
  </si>
  <si>
    <t>Supply &amp; Delivery of Materials with Installation (Improvement of Multi purpose Hall)</t>
  </si>
  <si>
    <t>Hardware Materials for the repair and maintenance DSWD FO XII Building</t>
  </si>
  <si>
    <t>20GSK00009 - Re-ITB – Supply and delivery of Office Supplies &amp; Consumables for use in the Office of the Regional Director, 1st quarter of 2020</t>
  </si>
  <si>
    <t>TLE Laboratory Equipment</t>
  </si>
  <si>
    <t>Supply and Delivery of Replacement Brass</t>
  </si>
  <si>
    <t>Supply / Delivery of 25 pcs Cell Cards</t>
  </si>
  <si>
    <t>PR #06-052-20 PLASTIC BAG (DA-SCRC)</t>
  </si>
  <si>
    <t>DEVELOPMENT OF WATER SUPPLY SYSTEM AND FACILITIES AT BRGY. SAN MIGUEL, SAMAL (Rebidding) under PR# 2020-03-2030</t>
  </si>
  <si>
    <t>PURCHASE OF BRAND NEW BARANGAY VEHICLE AMBULANCE W/ COMPLETE ACCESSORIES</t>
  </si>
  <si>
    <t>REPAIR AND MAINTENANCE OF MOTOR VEHICLE</t>
  </si>
  <si>
    <t>SAAD-20-2364: Procurement of Office Supplies for the DA SAAD PPMSO Bohol</t>
  </si>
  <si>
    <t>Supply and Delivery of One (1) unit Vehicle</t>
  </si>
  <si>
    <t>Purchase of Gasoline Premium for use in Government Vehicles, Silay City.</t>
  </si>
  <si>
    <t>CONSTRUCTION OF CONCRETE CANAL  OVER</t>
  </si>
  <si>
    <t>MATERIALS AND INSTALLATION OF 2 IN 1 TYPE SOLAR LED STREETLIGHTS (BARANGAY SITE)</t>
  </si>
  <si>
    <t>Purchase of Supplies and Materials for Virtual In-Service Training</t>
  </si>
  <si>
    <t>Construction of Commercial Stall.</t>
  </si>
  <si>
    <t>Training Shirts and Uniform for MNC during Nutrition Month Celebration</t>
  </si>
  <si>
    <t>Procurement of Pre-fab Fiber Glass Board</t>
  </si>
  <si>
    <t>Provision of Security Services From March 1- December 31, 2020</t>
  </si>
  <si>
    <t>Rehabilitation of MPB</t>
  </si>
  <si>
    <t>CONSTRUCTION MATERIALS FOR COMPLETION OF MULTI-PURPOSE BUILDING AND COMPLETION OF CONCRETE FLOORING OF CABADIANGAN BASKETBALL COURT</t>
  </si>
  <si>
    <t>Improvement of Brgy. Multi-purpose Building, Brgy. Ninoy Aquino, Canlaon City (AIP 2018)</t>
  </si>
  <si>
    <t>PR2020-05-014 - Purchase and delivery of vehicle parts and accessories</t>
  </si>
  <si>
    <t>PROCUREMENT OF RESCUE ROPE, HELMET, HARNESS, FIGURE 8, HEADLAMP, SPINE BOARD AND FIRST AID KIT</t>
  </si>
  <si>
    <t>Construction of Municipal Terminal.</t>
  </si>
  <si>
    <t>Supplies for Nutrition Month Celebration</t>
  </si>
  <si>
    <t>Supply and Delivery of Handset Radio Transceiver</t>
  </si>
  <si>
    <t>Complete Construction of DPWH Standard Two-Storey Four-Classroom School Building at Magalang Central School, Magalang, Pampanga</t>
  </si>
  <si>
    <t>Supply and delivery of materials for the construction of four (4) classrooms at sitio Sultana, Donganpekong, Matanao, Davao del Sur</t>
  </si>
  <si>
    <t>Supply and Delivery of T-shirt w/ print intended for the Mun. Officilas, Employeesand Punong Barangays</t>
  </si>
  <si>
    <t>supply of fuel and lubricants</t>
  </si>
  <si>
    <t>20CSCB05: Geotechnical Investigation for the Widening of Permanent Bridge along Roman Expressway, Lucanin Bridge (BO1608LZ), Mariveles, Bataan</t>
  </si>
  <si>
    <t>PROCUREMENT OF DRUGS AND MEDICINE</t>
  </si>
  <si>
    <t>Survey Works (Brgy. San Francisco)</t>
  </si>
  <si>
    <t>Expansion of Potable Water System at So. EEA, So. Carumbac and Mulawin Proper</t>
  </si>
  <si>
    <t>Construction of Two (2) Storey Multi-Purpose Building (for BSP Eastern Pangasinan Council)</t>
  </si>
  <si>
    <t>REHABILITATION OF MULTI-PURPOSE CENTER</t>
  </si>
  <si>
    <t>Purchase of Agriculture Veterinary and Vegetable Seeds Supplies.</t>
  </si>
  <si>
    <t>SUPPLY AND DELIVERY OF CONSTRUCTION MATERIALS FOR THE CONSTRUCTION OF CONCRETE FOOT BRIDGE</t>
  </si>
  <si>
    <t>PROCUREMENT OF MULTIVITAMIN SUPPLEMENTS FOR LIMAY HEALTH CENTER</t>
  </si>
  <si>
    <t>PROCUREMENT OF LUNCH, AM &amp; PM SNACKS</t>
  </si>
  <si>
    <t>Purchase of two sets of collapsible tent and one unit ambulance Stretcher</t>
  </si>
  <si>
    <t>SUPPLY AND DELIVERY OF MATERIALS FOR SPECIAL AREAS FOR AGRICULTURAL DEVELOPMENT (SAAD) PROGRAM/PROJECT IMPLEMENTATION IN THE PROVINCE OF MISAMIS OCCIDENTAL FOR CY 2020</t>
  </si>
  <si>
    <t>Supply / Delivery of 658 liters Diesel &amp; 65 liters Gasoline</t>
  </si>
  <si>
    <t>Purchase of various Equipment</t>
  </si>
  <si>
    <t>PROCUREMENT OF MULTIVITAMINS</t>
  </si>
  <si>
    <t>CLEARING OF BARANGAY ROADS</t>
  </si>
  <si>
    <t>PURCHASE OF BRGY HEALTH SERVICES FOR MONITORING</t>
  </si>
  <si>
    <t>CONSTRUCTION OF MARKER, Brgy. Oluangan, Leon, Iloilo</t>
  </si>
  <si>
    <t>SOLAR STREETLIGHT ALL IN ONE 100W. WITH MOTION SENSOR</t>
  </si>
  <si>
    <t>Purchase of Vehicles Parts and Accessories</t>
  </si>
  <si>
    <t>PURCHASE OF TWO (2) UNITS AIR CONDITIONER TO BE USED IN THE LIBRARY</t>
  </si>
  <si>
    <t>Supply and Delivery of 1 unit Photocopying Machine</t>
  </si>
  <si>
    <t>Complete Construction of DPWH Standard Four-Storey Twenty-Four-Classroom School Building at Lourdes Northwest Elementary School, Angeles City, Pampanga</t>
  </si>
  <si>
    <t>PROCUREMENT OF DUMPTRUCK</t>
  </si>
  <si>
    <t>PROPOSED EXTENSION OF LOCK-UP CELL</t>
  </si>
  <si>
    <t>20GAD0007 : Purchase of 9 units desktop computers for use in Ilocos Sur 2nd DEO, Candon City, Ilocos Sur</t>
  </si>
  <si>
    <t>Supply / Delivery of the following: Diesoline, Gasoline, Engine Oil, Brake Fluid, ATF and Coolant</t>
  </si>
  <si>
    <t>PR NO. 1527 Laptop &amp; Mobile Phone</t>
  </si>
  <si>
    <t>SUPPLY AND DELIVERY OF VARIOUS SUPPLIES FOR USE IN THE OFFICE OF BM REMULLA</t>
  </si>
  <si>
    <t>Microphone Audio System (Function Hall) 2</t>
  </si>
  <si>
    <t>Procurement of 10 pcs. Wireless Bosch Decentis Battery Pack</t>
  </si>
  <si>
    <t>Water System Maintenance - Brgy. Candabong, Dumanjug, Cebu</t>
  </si>
  <si>
    <t>Construction of Perimeter Fence with Drainage</t>
  </si>
  <si>
    <t>DRONE</t>
  </si>
  <si>
    <t>RFQ 2020-06-004 (P.R. # 2020-06-016)-Supply/Delivery of Sound System  for the use of Palawan 3rd District Engineering Office, DPWH-Palawan DEO, Puerto Princesa City</t>
  </si>
  <si>
    <t>PURCHASE OF FUELS (DIESEL) @ PUMP PRICE</t>
  </si>
  <si>
    <t>Construction and Expansion of Potable Water System Level II at Brgy. Lumangbayan,     Poblacion I and II, STCOM</t>
  </si>
  <si>
    <t>PROCUREMENT OF OFFICE RENTAL</t>
  </si>
  <si>
    <t>Rehabilitation of Roads and Bridges at Purok 4-Poblacion - SB # 01 CY 2020 (Procurement of Diesel &amp; Gasoline) – MEO</t>
  </si>
  <si>
    <t>SUPPLY, DELIVERY, INSTALLATION, TESTING AND COMMISSIONING OF THREE (3) UNITS 3- TONNER FLOOR MOUNTED INVERTER (FREON-410A) AIRCONDITION</t>
  </si>
  <si>
    <t>Installation of Street LightingSystem (8Units)</t>
  </si>
  <si>
    <t>PROCUREMENT OF GOODS FOR THE VARIOUS LIVELIHOOD PROJECTS OF LGU-VALDERRAMA, ANTIQUE</t>
  </si>
  <si>
    <t>CONSTRUCTION OF CONCRETE PATHWAY</t>
  </si>
  <si>
    <t>Supply / Delivery of 2 units Tubeless Tires (265/70 R16) – Rear</t>
  </si>
  <si>
    <t>REPAIR/REHABILITATION OF SLAUGHTERHOUSE</t>
  </si>
  <si>
    <t>Procurement of Food Packs for the use of Crisis Intervention Section of DSWD FO XI</t>
  </si>
  <si>
    <t>Gen. cleaning and repaIr of various airconditioning units w/ PR No. 751</t>
  </si>
  <si>
    <t>101-20-06-RFQ0705 - USE FOR MEO/MOTORPOOL ( H.E OPERATORS AT CARAGAN AREA )</t>
  </si>
  <si>
    <t>DPWH Standard Four-Storey Twelve-Classroom School Building at Gueco Elementary School, Angeles City, Pampanga</t>
  </si>
  <si>
    <t>20CSFJ01 - For the Conduct of Sub-Soil Investigation Activities for Widening at 30m. Depth (Total 18-holes)</t>
  </si>
  <si>
    <t>Bid No. 20-0321 - PROCUREMENT OF PLUMBING MATERIALS - MEO (IMPROVEMENT OF POTABLE WATER SYSTEM - BRGY. PAMINTARAN, MARAGUSAN, DAVAO DE ORO)</t>
  </si>
  <si>
    <t>PURCHASE OF MEDICINE</t>
  </si>
  <si>
    <t>Procurement of various printed materials w/ PR # 752</t>
  </si>
  <si>
    <t>Municipal Tax Maps Digitization Project.</t>
  </si>
  <si>
    <t>Procurement of Computer and Printer w/ PR # 753</t>
  </si>
  <si>
    <t>PURCHASE OF BRGY TANOD SUPPLIES FOR PATROLLING</t>
  </si>
  <si>
    <t>Complete Construction of DPWH Standard Two-Storey Four-Classroom School Building at Balitucan National High School, Magalang, Pampanga</t>
  </si>
  <si>
    <t>Procurement of various janotorial supplies w/ PR # 29</t>
  </si>
  <si>
    <t>CONSTRUCTION OF STREETLIGHTS, Brgy. Carolina, Leon, Iloilo</t>
  </si>
  <si>
    <t>Supply and Delivery of Construction Materials and Equipment</t>
  </si>
  <si>
    <t>Purchase of Agricultural Products to be used for the project, Enhancing Pilinut Propagation and Distribution System for Y1 Quarter 1-2</t>
  </si>
  <si>
    <t>Complete Construction of DPWH Standard Four-Storey Twenty-Classroom School Building at EPZA Resettlement Elementary School, Angeles City, Pampanga</t>
  </si>
  <si>
    <t>AMP SVP-D NO: 20-06-0367 Sampling and Determination of Polychlorinated Biphenyls (PCB) Content of CMO Transformer Oil</t>
  </si>
  <si>
    <t>1 J.O. Repair of Isuzu Crosswind Plate #SGL-986 with Labor &amp; Materials</t>
  </si>
  <si>
    <t>MATERIALS FOR THE CONSTRUCTION OF PUBLIC UTILITY TERMINAL</t>
  </si>
  <si>
    <t>RFQ 2020-06-003 (P.R. # 2020-06-015)-Supply/Delivery of Office Equipment and Supplies for the use of Preliminary Detailed Engineering Activities 2020, DPWH-Palawan DEO, Puerto Princesa City</t>
  </si>
  <si>
    <t>Proposed Upgrading of LPGH&amp;STC Sewer Treatment Plant (in accordance to DAO 2016-08)</t>
  </si>
  <si>
    <t>Supply &amp; Delivery of materials for the Construction of Pathway at Brgy. Pob. IV, Tanauan City, Batangas</t>
  </si>
  <si>
    <t>CONSTRUCTION OF CARRASCAL FISH LANDING</t>
  </si>
  <si>
    <t>supply and delivery of computer printers</t>
  </si>
  <si>
    <t>Procurement of Information Technology for CBMS Training</t>
  </si>
  <si>
    <t>Rental of 4 Units of 3-in-1 Photocopy Machine</t>
  </si>
  <si>
    <t>Equipage for Emergency Operation Center, Dadivas Civic Center, Brgy. Pob. Ilawod, Panitan, Capiz Lot 1 (Mayor's office-Capital Outlay)</t>
  </si>
  <si>
    <t>PROPOSED CONSTRUCTION/REHABILITATION OF DRAINAGE SYSTEM PHASE II (SOUTH SIDE) ALONG OGATIS STREET, LA CARLOTA CITY</t>
  </si>
  <si>
    <t>FOD-L-20-2348: Procurement of Free-Range Chicken Grower Crumble to be given to the Cooperatives or Farmers Associations in support to Covid-19 response Program in the Region</t>
  </si>
  <si>
    <t>Purchase Baby Weighing Scale</t>
  </si>
  <si>
    <t>PURCHASE OF FOOD AND NON-FOOD ITEMS FOR STOCKPILE OF FAMILY FOOD PACKS (FFP)</t>
  </si>
  <si>
    <t>Procurement of Books (2 lots)</t>
  </si>
  <si>
    <t>SUPPLY AND DELIVERY OF VARIOUS CONSTRUCTION MATERIALS FOR CONSTRUCTION OF BITAOG FENCE</t>
  </si>
  <si>
    <t>Const/Rehab.of Local Core Roads</t>
  </si>
  <si>
    <t>PROCUREMENT OF MATERIALS FOR CONSTRUCTION OF FOOTBRIDGE</t>
  </si>
  <si>
    <t>Purchase of Internet Protocol Camera</t>
  </si>
  <si>
    <t>PROPOSED REHABILITATION OF SWIMMING POOL, GUINTUBDAN PAVILLION, BARANGAY ARA-AL, LA CARLOTA CITY”</t>
  </si>
  <si>
    <t>PROCUREMENTS OF OFFICE EQUIPMENTS</t>
  </si>
  <si>
    <t>PROCUREMENT OF ONE (1) UNIT LIFTING PLATFORM FOR MAINTENANCE OF SPORTS COMPLEX AND OTHER SCHOOL FACILITIES</t>
  </si>
  <si>
    <t>Bid No. 20-0281 - PROCUREMENT OF CONSTRUCTION MATERIALS - MEO (CONSTRUCTION OF COVERED COURT - BRGY. TALIAN, MARAGUSAN, DAVAO DE ORO)</t>
  </si>
  <si>
    <t>Purchase of Maternity Kit for Nutrition Month Celebration</t>
  </si>
  <si>
    <t>INVITATION TO BID FOR THE PROCUREMENT OF LABOR &amp; MATERIALS FOR THE PROJECT OF REHABILITATION OF DRY MARKET @ BLOCK-2 (PHASE 2) BLACK 2, MARKET SITE, POBLACION, MONKAYO, DAVAO DE ORO</t>
  </si>
  <si>
    <t>Supply and Delivery of Various Laboratory Supplies and Chemicals</t>
  </si>
  <si>
    <t>Livelihood dispersal (carabao)</t>
  </si>
  <si>
    <t>JOB ORDER</t>
  </si>
  <si>
    <t>Rebidding:5 cu.m Sand std. and specs and other items for improvement of Barangay 8 Lupa Day Care Center at Barangay 8.</t>
  </si>
  <si>
    <t>CONCRETING OF BARANGAY KANGHAAS-TALISAY-TABUNOK-TUGUIPA-SAN AGUSTIN FARM-TO-MARKET ROAD</t>
  </si>
  <si>
    <t>PROCUREMENT OF DIESEL FUEL FOR THE REPAIR AND REHABILITATION OF BARANGAY ROAD AT SITIO BACOBO AND CAGAS VILLAGE</t>
  </si>
  <si>
    <t>Procurement supply and Delivery of 1 unit 4 x 2 AT Pick Up</t>
  </si>
  <si>
    <t>Payment for Annual Premium Insurance 2020 for CDRRMO Staff and SPC SAR Members.</t>
  </si>
  <si>
    <t>Cont. Ref. No. 081-20: Rehabilitation along Baloy Road Household Waterworks at Tinongdan, Itogon, Benguet</t>
  </si>
  <si>
    <t>Const. supply &amp; Materials for the Const. of Argao Road</t>
  </si>
  <si>
    <t>Procurement of ICT Equipment and Office Supplies</t>
  </si>
  <si>
    <t>Invitation to Rebid for REBIDDING  OF SUPPLY AND DELIVERY OF MATERIALS  FOR REPLACEMENT &amp; EXPANSION OF PIPELINES</t>
  </si>
  <si>
    <t>PROCUREMENT OF CONSULTING SERVICES FOR THE PREPARATION OF LAND USE DEVELOPMENT AND INFRASTRUCTURE PLAN OF DEBESMSCAT COVERING 3 CAMPUSES (MAIN CAMPUS, CAWAYAN CAMPUS, MASBATE CITY CAMPUS)</t>
  </si>
  <si>
    <t>Supply, Delivery, and Installation of Airconditioners and Air Cooler under Lease Agreement</t>
  </si>
  <si>
    <t>Cont. Ref. No. 080-20: Rehabilitation of Communal Irrigation System at Co-og at Tinongdan, Itogon, Benguet</t>
  </si>
  <si>
    <t>Cont. Ref. No. 079-20: Rehabilitation of Canal from Upper to Lower Camanggaan Comfort Room at Virac, Itogon, Benguet</t>
  </si>
  <si>
    <t>20CSCB06: Geotechnical Investigation for the Widening of Permanent Bridge, Amo Bridge (BO1609LZ) along Roman Expressway, Mariveles, Bataan</t>
  </si>
  <si>
    <t>INSTALLATION AND REHABILITATION OF STREET LIGHTS AT BARANGAY 39, CARIDAD, CAVITE CITY</t>
  </si>
  <si>
    <t>Supply / Delivery of 1 pc Battery, 12 volts (DIN66)</t>
  </si>
  <si>
    <t>Fire Fighting System</t>
  </si>
  <si>
    <t>CONSTRUCTION OF ADVENTURE PARK PHASE V</t>
  </si>
  <si>
    <t>PURCHASE OF ONE (1) UNIT GENERATOR TO BE USED IN VARIOUS BUILDINGS AT BUPC</t>
  </si>
  <si>
    <t>RFQ 2020-06-005 (P.R. # 2020-06-017)-Supply/Delivery of Container Van for the use  of Preliminary Detailed Engineering Activities 2020, DPWH-Palawan DEO, Puerto Princesa City</t>
  </si>
  <si>
    <t>Printing For Annual Report 2018</t>
  </si>
  <si>
    <t>Supply of Labor, Tools and Equipment for the Drilling of One (1) Unit Exploratory/Production Well at Arcon, Tumauini, Isabela</t>
  </si>
  <si>
    <t>REHAB. OF ISAIAS COLITA STREET</t>
  </si>
  <si>
    <t>IMPROVEMENT OF CHILD DEVELOPMENT CENTER AT BARANGAY PANTAY LAUD, VIGAN CITY</t>
  </si>
  <si>
    <t>Ramp and Railings</t>
  </si>
  <si>
    <t>Cont. Ref. No. 075-20: Construction of Slope Protection at Camp Suerte at Virac, Itogon, Benguet</t>
  </si>
  <si>
    <t>101-20-06-RFQ0706 - USE FOR THE RADIO COMMUNICATION SERVICES OFFICE</t>
  </si>
  <si>
    <t>SJADS GOODS 20-10: PROCUREMENT OF SPAREPARTS FOR HEAVY EQUIPMENT</t>
  </si>
  <si>
    <t>Procurement of Medical and Laboratory Supplies under IB-GOODS-2020-11</t>
  </si>
  <si>
    <t>Supply and delivery of materials for the completion of evacuation center at Brgy. Towak, Matanao, Davao del Sur</t>
  </si>
  <si>
    <t>20BG0148-Local Program-Construction/Repair/Rehabilitation /Improvement of Various Infrastructure Including Local Projects-Local Roads and Bridges-Local Bridges-Construction of Over-Pass (Phase 3), Nag</t>
  </si>
  <si>
    <t>C20203368 Gasoline for PICKMO use</t>
  </si>
  <si>
    <t>Contract for the Concreting of Road Section at Purok 16, Bulahan, San Isidro, Barangay TIbal-og, Santo Tomas, Davao del Norte</t>
  </si>
  <si>
    <t>Proposed Construction of Sidewalk with curb and Gutter at Brgy. Bagong Pook, San Pablo City.</t>
  </si>
  <si>
    <t>PURCHASE OF AUTOMATIC TRANSMISSION (for Ambulance)</t>
  </si>
  <si>
    <t>IMPROVEMENT OF VARIOUS MUNICIPAL STREET AND BARANGAY ROADS AT PUROK 2, SAN MARCOS, CABARROGUIS</t>
  </si>
  <si>
    <t>Supplying one (1) unit Generator, Brand New, 250 KVA, 3 phase w/ ATS, 220V, Diesel Fed, Silent Type w/ five (5) sets of Automatic Transfer Switches, etc. for  use in the Provincial Capitol Buildings/O</t>
  </si>
  <si>
    <t>REHABILITATION OF MUNICIPAL BUILDING ROOF</t>
  </si>
  <si>
    <t>PURCHASE OF 1 UNIT BRAND NEW VEHICLE</t>
  </si>
  <si>
    <t>Supply / Delivery of Washable mask &amp; Alcohol</t>
  </si>
  <si>
    <t>Cont. Ref. No. 087-20: Construction of Concrete Covered Canal along Ucab Provincial Road (below M. Tauli Residence towards Barangay Hall) at Ucab, Itogon, Benguet</t>
  </si>
  <si>
    <t>PURCHASE OF CONSTRUCTION MATERIALS FOR THE DUMPING SITE ACCESS ROAD</t>
  </si>
  <si>
    <t>Cont. Ref. No. 086-20: Rehabilitation of Canal below Gym down to Ambalanga River at Poblacion, Itogon, Benguet</t>
  </si>
  <si>
    <t>SUPPLY, DELIVERY &amp; TESTING OF THREE (3) UNITS PORTABLE MONEY COUNTER</t>
  </si>
  <si>
    <t>Cont. Ref. No. 085-20: Construction of Waterworks at Lumbag at Ampucao, Itogon, Benguet</t>
  </si>
  <si>
    <t>Repair/Rehabilitation of Students Comfort Room #1</t>
  </si>
  <si>
    <t>20CSCB07: Geotechnical Investigation for the Widening of Permanent Bridge, Cabcaben Br. 1 (BO1610LZ) along Roman Expressway, Mariveles, Bataan</t>
  </si>
  <si>
    <t>Construction Works (Perimeter Fence, Guard House, Power House and Storage Room(</t>
  </si>
  <si>
    <t>Cont. Ref. No. 084-20: Rehabilitation of Karil Barangay Road at Dalupirip, Itogon, Benguet</t>
  </si>
  <si>
    <t>Cont. Ref. No. 083-20: Construction of Protection Wall at the Basketball Court at Pasiday at Ampucao, Itogon, Benguet</t>
  </si>
  <si>
    <t>Supply, delivery and installation of basketball board at Brgy. Towak, Matanao, Davao del Sur</t>
  </si>
  <si>
    <t>Negotiated Procurement for Supply and Delivery 1,200 head Free Range Chicken- Male and 6,000 head Free Range Chicken- Female</t>
  </si>
  <si>
    <t>Cont. Ref. No. 082-20: Improvement of Footpath from Cayoco to Tinongdan Proper at Tinongdan, Itogon, Benguet</t>
  </si>
  <si>
    <t>Repair/Improvement of Multi-Purpose Building</t>
  </si>
  <si>
    <t>LANDSCAPING</t>
  </si>
  <si>
    <t>SUPPLY, DELIVERY &amp; TESTING OF TEN (10) UNITS AUTOMATIC VOLTAGE REGULATOR (AVR)</t>
  </si>
  <si>
    <t>C20203367 Spare Parts for BM Estabillo Jr. Office Mitsubishi Strada SHE 879</t>
  </si>
  <si>
    <t>Supplying one (1) unit Brand New Mini Dump Truck with Highside, EURO IV, Government Plate, etc. for use in the Solid Waste Management of the Marinduque Provincial Government, PG-ENRO, Boac, Marinduque</t>
  </si>
  <si>
    <t>WIDENING OF CONCRETE PATHWAY</t>
  </si>
  <si>
    <t>RFQ for Materials of Construction of Perimeter Fence</t>
  </si>
  <si>
    <t>WALL PAINT FINISHES OF THE PENRO BUILDING</t>
  </si>
  <si>
    <t>Procurement of Supply and Delivery of Consumable Office Supplies</t>
  </si>
  <si>
    <t>PURCHASE OF LIQUID DISINFECTANT AND DEODORIZER</t>
  </si>
  <si>
    <t>Supply/Delivery of 6 units Multicab Full Body Type</t>
  </si>
  <si>
    <t>Supply and Delivery of 1 unit Panel Divider, 10 pcs. Storage Box and 2 units Executive Chair</t>
  </si>
  <si>
    <t>•	Package 1 – Supply and delivery of materials for the Improvement of Multi-Purpose Building under Local Development Projects for the following barangays; Anick, Banucagon, Buluan, Bulucaon, Cabpangi,</t>
  </si>
  <si>
    <t>SUPPLY, DELIVERY, INSTALLATION &amp; TESTING OF SIX (6) UNITS ELECTRIC WATER HEATER</t>
  </si>
  <si>
    <t>SUPPLY AND DELIVERY OF HYGIENE DISINFECTANT SUPPLIES AND MEDICAL SUPPLIES FOR DEPED DIVISION OFFICE</t>
  </si>
  <si>
    <t>20CSCB08: Geotechnical Investigation for the Widening of Permanent Bridge, Cabcaben Br. 2 (BO1611LZ) along Roman Expressway, Mariveles, Bataan</t>
  </si>
  <si>
    <t>Supply / Delivery of Trash Bag, Wet Wipes, Solid Air Freshener &amp; Dishwashing Paste</t>
  </si>
  <si>
    <t>20CSCB09: Geotechnical Investigation for the Widening of Permanent Bridge, Uyong Bridge (BO0061LZ) along Gov. J.J. Linao Road, Pilar, Bataan</t>
  </si>
  <si>
    <t>PRINTING OF LOCALIZED BOOKS FOR BALIWAG NORTH AND SOUTH DISTRICT</t>
  </si>
  <si>
    <t>Conduct of Pneumococcal Vaccination Vacine for the 400 NAPOLCOM Officials and Employees</t>
  </si>
  <si>
    <t>Repair/Rehabilitation of Students Comfort Room #2</t>
  </si>
  <si>
    <t>Cont. Ref. No. 064-20: Improvement of Saddle – Hartwell Feeder Road at Ampucao, Itogon, Benguet</t>
  </si>
  <si>
    <t>Purchase of Two Units Brand New Garbage Dumptruck under PR No. 2020-03-1612 (Re-bidding)</t>
  </si>
  <si>
    <t>LABOR AND MATERIALS FOR THE CONSTRUCTION OF FIBERGLASS REINFORCED PLASTIC (FRP) BOATS FOR SPECIAL AREAS FOR AGRICULTURAL DEVELOPMENT (SAAD) PROGRAM/PROJECT IMPLEMENTATION IN THE PROVINCE OF MISAMIS OC</t>
  </si>
  <si>
    <t>RFQ 2020-06-006 (P.R. # 2020-06-018)-Supply/Delivery of Fuel, Oil &amp; Lubricants for the Use of Preliminary Detailed Engineering Activities 2020, DPWH-Palawan DEO, Puerto Princesa City</t>
  </si>
  <si>
    <t>Acquisition of Medicines</t>
  </si>
  <si>
    <t>2nd round distribution of relief goods of barangay Sta. Filomena</t>
  </si>
  <si>
    <t>Procurement of Service Vehicle ( Bicycle)</t>
  </si>
  <si>
    <t>REPLACEMENT OF ELECTRICAL INSTALLATION IN COVERED COURT</t>
  </si>
  <si>
    <t>•	Package 3 – Supply and Delivery of Materials for the construction of Solar Drier under Local Development Projects for the following barangays; Balacayon, Buricain and New Culasi, all located at Pigc</t>
  </si>
  <si>
    <t>Autoclavable Pipettors</t>
  </si>
  <si>
    <t>Supply and Installation of electrmechanical equipment's for Buted Pump station of Talugtug Water District</t>
  </si>
  <si>
    <t>Supply and Delivery of Portable Turbidity Meter</t>
  </si>
  <si>
    <t>Procurement of Technical Scientific Laboratory Equipment for CAFF and CNPAHS at NORSU Pamplona and Main Campuses (Batch 1)</t>
  </si>
  <si>
    <t>for reproduction of learning materials of the instructors and OVIS use 3rd quarter</t>
  </si>
  <si>
    <t>CONSTRUCTION OF BARANGAY LIPUGA CIS Located at Alfonso Castañeda, Nueva Vizcaya</t>
  </si>
  <si>
    <t>•	Package 2 – Supply and Delivery of Materials for the construction of drainage canal under Local Development Projects for the following barangays; Balogo, Capayuran, Poblacion 2 and Upper Baguer, all</t>
  </si>
  <si>
    <t>20CSCB10: Geotechnical Investigation for the Widening of Permanent Bridge, Culvo Bridge (BO0065LZ) along Gov. J.J. Linao Road, Balanga City, Bataan</t>
  </si>
  <si>
    <t>Supply and Delivery of One (1) Lot Various Printing Consumables under ITB No. FB20-02-004CORa-06</t>
  </si>
  <si>
    <t>Digital Water Bath</t>
  </si>
  <si>
    <t>Barangay 777 BDF "CLEAN &amp; BEAUTIFICATION" 2020</t>
  </si>
  <si>
    <t xml:space="preserve">INVITATION TO BID FOR THE SUPPLY AND DELIVERY OF DIESEL FUEL AND OIL LUBRICANTS FOR ROAD GRAVELLING OF FARM TO MARKET ROAD FROM PUROK5 TO PUROK 6 &amp; PUROK 7 BARANGAY CARROMATA, SAN MIGUEL, SURIGAO DEL </t>
  </si>
  <si>
    <t>Supply / Delivery of Drugs and Medicines</t>
  </si>
  <si>
    <t>CHEST FREEZER</t>
  </si>
  <si>
    <t>101-20-06-RFQ0707 - USE FOR BUDGET OFFICE OPERATIONS</t>
  </si>
  <si>
    <t>CONCRETING OF BRGY. ROAD,  &amp; CONSTRUCTION OF BOX CULVERT- BRGY. SAPANGAN</t>
  </si>
  <si>
    <t>SUPPLY AND DELIVERY OF ONE (1) UNIT HIGH SPEED INKJET PRINTER, ONE (1) UNIT DIGITAL DUPLICATOR AND OTHER SUPPLIES</t>
  </si>
  <si>
    <t>ICT Equipment</t>
  </si>
  <si>
    <t>Covered Court at Sabang High School, Bgy. Sabang, Naga City</t>
  </si>
  <si>
    <t>Purchase of Office Supplies and Equipments for printing of modules for the delivery of flexible learning through provision of Printed Modules for College Students, AY 2020-2021, Polytechnic College of</t>
  </si>
  <si>
    <t>CONSTRUCTION OF COLINTINAFTMR Located at Imugan, Sta. Fe, Nueva Vizcaya</t>
  </si>
  <si>
    <t>CONSTRUCTION/IMPROVEMENT OF TANDOK-LOCOS-KASERREK FTMR Located at Mabuslo, Bambang, Nueva Vizcaya</t>
  </si>
  <si>
    <t>PROCUREMENT OF MATERIALS  AND INSTALLATION WATER TANK</t>
  </si>
  <si>
    <t>Supply and Delivery of Volumetric Flask</t>
  </si>
  <si>
    <t>Drainage at Zone 5 Bgy. Abella, Naga City</t>
  </si>
  <si>
    <t>Laminar Flow Hood and Fume Hood</t>
  </si>
  <si>
    <t>Supply/Delivery of 300 pcs Monobloc Chairs</t>
  </si>
  <si>
    <t>SUPPLY AND DELIVERY OF PASSENGER TYPE VAN (ITB No. 2020-130-B)-(pgo-pdrc)</t>
  </si>
  <si>
    <t>for Virtual Graduation.</t>
  </si>
  <si>
    <t>Equipage for Emergency Operation Center, Dadivas Civic Center, Brgy. Pob. Ilawod, Panitan, Capiz Lot 2 (Mayor's office-Capital Outlay)</t>
  </si>
  <si>
    <t>SUPPLY, DELIVERY &amp; TESTING OF ONE (1) UNIT AUTOMATIC CHECK WRITER</t>
  </si>
  <si>
    <t>GATE VALVE CHILLER</t>
  </si>
  <si>
    <t>CONSTRUCTION/IMPROVEMENT OF PUROK 5 POBLACION FTMR Located at Diadi, Nueva Vizcaya</t>
  </si>
  <si>
    <t>•	Package 4 – Supply and Delivery of Materials for the Improvement of Water System under Local Development Projects for the following barangays; Maluao and Midpapan 2, all located at Pigcawayan, Cotab</t>
  </si>
  <si>
    <t>20CSCB11: Geotechnical Investigation for the Widening of Permanent Bridge, Binukawan Bridge (BO0066LZ) along Gov. J.J. Linao Road, Bagac, Bataan</t>
  </si>
  <si>
    <t>Benchtop pH Meter</t>
  </si>
  <si>
    <t>One Lot Repair/ Rehabilitation/ Improvement/ Renovation of Ultrasound Unit (with Provision Against Covid 19 and other Emerging Highly Infectious Diseases)</t>
  </si>
  <si>
    <t>Supply of Labor, Tools and Equipment for the Drilling of One (1) Unit Exploratory/Production Well at Fermeldy, Tumauini, Isabela</t>
  </si>
  <si>
    <t>Flat Rotary Shaker</t>
  </si>
  <si>
    <t>CONCRETING OF BRGY. ROAD,  &amp; CONSTRUCTION OF BOX CULVERT- BRGY. SUBUKIN</t>
  </si>
  <si>
    <t>CONCRETING OF BRGY. ROAD,  &amp; IMPROVEMENT OF OPEN CANAL- BRGY. PALAHANAN 1.0</t>
  </si>
  <si>
    <t>Goods</t>
  </si>
  <si>
    <t>Enhancement of IFSU Hostel &amp; Water System</t>
  </si>
  <si>
    <t>Cont. Ref. No. 088-20: Improvement of Sayo Road at Dalupirip, Itogon, Benguet</t>
  </si>
  <si>
    <t>CONCRETING OF BANGANAN-TUCANON-TABUENG ROAD Located at Aritao, Nueva Vizcaya</t>
  </si>
  <si>
    <t>CONCRETING OF CALDAAN-MONGKOL-MAPAINA ROAD Located at Solano, Nueva Vizcaya</t>
  </si>
  <si>
    <t>Establishment and Equipping of TTMF for COVID-19 Cases</t>
  </si>
  <si>
    <t>PROCUREMENT OF ACTIVITY BOOK FOR KINDERGARTEN OF BALIWAG NORTH  AND SOUTH DISTRICT</t>
  </si>
  <si>
    <t>20CSCB12: Geotechnical Investigation for the Widening of Permanent Bridge, Diversion Bridge (BO1570LZ) along JLBMPR, Balanga City, Bataan</t>
  </si>
  <si>
    <t>Procurement of ID</t>
  </si>
  <si>
    <t>Rehabilitation of Roads and Bridges at Purok 6-Poblacion - SB # 01 CY 2020 (Procurement of Diesel &amp; Gasoline) – MEO</t>
  </si>
  <si>
    <t>Supply and Delivery of G.I and C.I Fittings</t>
  </si>
  <si>
    <t>SUPPLY AND DELIVERY OF IT EQUIPMENT AND STEEL CABINET</t>
  </si>
  <si>
    <t>Procurement of Various Aggregates Supplies-06-373(O)PEO</t>
  </si>
  <si>
    <t>SUPPLY AND DELIVERY OF BRAND NEW MINI DUMP TRUCK (ITB No. 2020-133-B)-(bpmc)</t>
  </si>
  <si>
    <t>Procurement of Laboratory Reagents and Dental for the use of Godofredo P. Ramos Hospital, Altavas, Aklan/ITB no: 2020-365</t>
  </si>
  <si>
    <t>FLOOD CONTROL PROJECT- BRGY. PALINGOWAK</t>
  </si>
  <si>
    <t>Procurement of Various Electrical Supplies-03-028(N)PEMO</t>
  </si>
  <si>
    <t>CONCRETING OF UNAON-STA. LUCIA ROAD Located at Bagabag, Nueva Vizcaya</t>
  </si>
  <si>
    <t>Purchase &amp; Delivery of Assorted Fishery Supplies for the Provincial Tilapia Hatchery</t>
  </si>
  <si>
    <t>CONSTRUCTION/IMPROVEMENT/REHABILITATION OF MUN. BUILDING &amp; FACILITIES (REHAB. OF ELEVATED STEEL TANK)</t>
  </si>
  <si>
    <t>for the repainting of the color-coded trash bins in the inst. dept.</t>
  </si>
  <si>
    <t>PROCUREMENT OF PATIENT TRANSPORT VEHICLE (RE-BID) CDRRMO, MALAYBALAY CITY.</t>
  </si>
  <si>
    <t>Procurement of Medical Supplies for Clinic</t>
  </si>
  <si>
    <t>Acid Storage Cabinet</t>
  </si>
  <si>
    <t>RIPRAPPING/SLOPE PROTECTION OF LAWAYE RIVER</t>
  </si>
  <si>
    <t>Procurement of Various Construction Supplies and Materials-10-1317(O)PEO</t>
  </si>
  <si>
    <t>CONSTRUCTION OF 2 STOREY GOVERNMENT OFFICE/BUILDING (UTILITY/KALIPI/4P's) PHASE  1</t>
  </si>
  <si>
    <t>Printing &amp; Delivery of Certification &amp; Order Slip Forms for the Province</t>
  </si>
  <si>
    <t>IMPROVEMENT OF MUNICIPAL PLAZA (CONSTRUCTION OF COMFORT ROOM)</t>
  </si>
  <si>
    <t>SUPPLY AND DELIVERY OF CONSTRUCTION MATERIALS OF SMCS BUILDING</t>
  </si>
  <si>
    <t>Procurement of Various Electrical Supplies-03-024(N)PEMO</t>
  </si>
  <si>
    <t>CONCRETING OF BRGY. ROAD,  &amp; CONSTRUCTION OF BOX CULVERT- BRGY. PALINGOWAK</t>
  </si>
  <si>
    <t>COUNTERPART FOR THE CONSTRUCTION OF BASILISA TOURISM INN</t>
  </si>
  <si>
    <t>CONSTRUCTION OF COMFORT ROOMS</t>
  </si>
  <si>
    <t>for enclosure of corridor north walling of RS building along library room</t>
  </si>
  <si>
    <t>Cooking gas for the consumption of Home for Girls Residents for July- December 2020</t>
  </si>
  <si>
    <t>PNAD 2020-02-010 &amp; 011 - Supply and Delivery of various animal feeds</t>
  </si>
  <si>
    <t>Siren Assy.,Tires 195,Windshield Front,etc...</t>
  </si>
  <si>
    <t>SAAD-20-2356: Procurement of 3,000 sachets Dewormer to be used for the DA SAAD Native Chicken Production Project in Bohol Province</t>
  </si>
  <si>
    <t>Supply &amp; Delivery of Various Chemicals ABC:151,300.00</t>
  </si>
  <si>
    <t>pH Meter</t>
  </si>
  <si>
    <t>CONCRETING OF KINACAO-KURASAY-KINALABASA ROAD Located at Bagabag, Nueva Vizcaya</t>
  </si>
  <si>
    <t>SUPPLY, DELIVERY AND INSTALLATION OF EQUIPMENT FOR SDO CAMARINES SUR IT SECTION (LOT 1-3)</t>
  </si>
  <si>
    <t>Supply and Delivery of Biosafety Cabinet</t>
  </si>
  <si>
    <t>CONCRETING OF JCT. NATIONAL BATU-BALINTUGON ROAD Located at Alfonso Castañeda, Nueva Vizcaya</t>
  </si>
  <si>
    <t>Procurement of Various Construction Supplies and Materials-06-371(O)PEO</t>
  </si>
  <si>
    <t>Procurement of Various Spare Parts-06-362(A)PGO</t>
  </si>
  <si>
    <t>Supply of 980 pieces Cellcard Prepaid</t>
  </si>
  <si>
    <t>IMPROVEMENT OF CVR BAMBANG-SALINAS-SAN FABIAN-PINGKIAN ROAD Located at Kayapa, Nueva Vizcaya</t>
  </si>
  <si>
    <t>Procurement of Various Spare Parts-06-364(A)PGO</t>
  </si>
  <si>
    <t>PURCHASE OF BOOKS/READING MATERIALS/MODULE FOR DAYCARE CHILDREN- MSWDO</t>
  </si>
  <si>
    <t>Water Bath</t>
  </si>
  <si>
    <t>IV STAND FOR MEDICAL ONCOLOGY</t>
  </si>
  <si>
    <t>Rehabilitation of Roads and Bridges at Purok 3-Poblacion - SB # 01 CY 2020 (Procurement of Diesel &amp; Gasoline) – MEO</t>
  </si>
  <si>
    <t>IB. No. HS-2020-001</t>
  </si>
  <si>
    <t>Supply &amp; Delivery of Materials for the Assistance of BDRRMC in Establishing Barangay Disaster Operations Center (BDOC) - Barangay Guinbirayan</t>
  </si>
  <si>
    <t>Request for Quotation for Four (4) units Laptop Computers with Wireless Mouse</t>
  </si>
  <si>
    <t>Rehabilitation of Roads and Bridges at Purok 2-Poblacion - SB # 01 CY 2020 (Procurement of Diesel &amp; Gasoline) – MEO</t>
  </si>
  <si>
    <t>20CSCB14: Geotechnical Investigation for the Widening of Permanent Bridge, Calungusan Bridge (BO1583LZ) along JLBMPR, Orion, Bataan</t>
  </si>
  <si>
    <t>20CSCB13: Geotechnical Investigation for the Widening of Permanent Bridge, Pilar Bridge (BO1587LZ) along JLBMPR, Pilar, Bataan</t>
  </si>
  <si>
    <t>B-036-2020 PROCUREMENT OF 1 LOT VARIOUS OFFICE SUPPLIES - SVP</t>
  </si>
  <si>
    <t>Installation of Secondary Lines Sitio Maapon, Sitio Pulang Lupa and Sitio Kabilang Piis Barangay Piis Lucban, Quezon</t>
  </si>
  <si>
    <t>Supply &amp; Delivery of Materials for the Assistance of BDRRMC in Establishing Barangay Disaster Operations Center (BDOC) - Barangay Tabugon</t>
  </si>
  <si>
    <t>Provision of Ceiling at BHRM Building</t>
  </si>
  <si>
    <t>Combo Meals</t>
  </si>
  <si>
    <t>Networking Laboratory Bundle for Information Technology</t>
  </si>
  <si>
    <t>Supply and Delivery of Diesel Fuel and Oil Lubricants for Farm to Market Road - Purok 5 to Purok 6 &amp; Purok 7</t>
  </si>
  <si>
    <t>20CSB007: Consulting Services for the Feasibility Study of Proposed Cagayan-Apayao Road at Rizal, Cagayan and Conner, Apayao</t>
  </si>
  <si>
    <t>Meals &amp; Snacks</t>
  </si>
  <si>
    <t>2nd Invitation to Bid for the  CONSTRUCTION/IMPROVEMENT OF SITIO CAINO FTMR Located at Banila, Dupax del Sur, Nueva Vizcaya</t>
  </si>
  <si>
    <t>Supply &amp; Delivery of Laboratory Supplies ABC: 57,000.00</t>
  </si>
  <si>
    <t>MAINTENANCE OF PUBLIC PARKS</t>
  </si>
  <si>
    <t>20CSB006: Consulting Services for the Feasibility Study of Proposed Ramon-San Isidro-Echague Bypass Road at Ramon, San Isidro and Echague in the Province of Isabela</t>
  </si>
  <si>
    <t>COMPLETION OF SCHOOL BUILDING (Lusacan NHS, Brgy. Lusacan)</t>
  </si>
  <si>
    <t>One (1) Lot Diesel Fuel for Generators</t>
  </si>
  <si>
    <t>Procurement of Various Spare Parts-06-365(A)PGO</t>
  </si>
  <si>
    <t>Procurement of Various Spare Parts-06-363(A)PGO</t>
  </si>
  <si>
    <t>for Registrar's Office use</t>
  </si>
  <si>
    <t>ITB No. 2020-I-P5-01: Continuation/Construction/Concreting of Various Infra Projects</t>
  </si>
  <si>
    <t>for parameter light around the campus</t>
  </si>
  <si>
    <t>Aid to Person with Disability (PWD) Affected by Corona Virus Disease 2019 (Multivitamins)</t>
  </si>
  <si>
    <t>for the repair of fascia,outside ceiling and roofing of Carpentry</t>
  </si>
  <si>
    <t>Supply and Delivery of Various ICT Equipment for the use of Metro Manila Flood  Management  Project, Component 2, Project Team</t>
  </si>
  <si>
    <t>ROAD CONCRETING-ST. PETER SUBD., BARANGAY TAMBO, LIPA CITY</t>
  </si>
  <si>
    <t>Purchase of Veterinary Medicine, Feeds and Pet ID Tag</t>
  </si>
  <si>
    <t>B-037-2020 PROCUREMENT OF 1 LOT VARIOUS SANITATION AND HYGIENE SUPPLIES- SVP</t>
  </si>
  <si>
    <t>LERMA ES- IMPROVEMENT OF WALL PARTITION AND WINDOWS</t>
  </si>
  <si>
    <t>Supply of 2,080 pieces Cellcard Prepaid</t>
  </si>
  <si>
    <t>Construction of Multi-Purpose Building,  (Agricultural Training and Tourism Center), Hungduan, Ifugao</t>
  </si>
  <si>
    <t>Request for Quotation for Various Construction Materials - P.R. No. 13811</t>
  </si>
  <si>
    <t>SAAD-20-2357: Procurement of Cellcards to be used by the DA SAAD RPMSO, PPMSO Negros Oriental, PPMSO Siquijor and PPMSO Bohol Staff</t>
  </si>
  <si>
    <t>Supply and Delivery of One (1) Unit Projector for the use of Staff Development Division in the Conduct of In-House Training and Development Program of MMDA</t>
  </si>
  <si>
    <t>FOD-L-20-2350: Procurement of Animal/Zoological Supplies to be given to the Cooperatives or Farmers Associations in support to the COVID-19 Response Program in the Region</t>
  </si>
  <si>
    <t>Supply and Delivery of Ten (10) Units of Finger Print Scanner  for Biometrics Timekeeping System</t>
  </si>
  <si>
    <t>for assessment office use 3rd quarter</t>
  </si>
  <si>
    <t>Procurement of Various Food Stuff-06-002(AI)PNO</t>
  </si>
  <si>
    <t>Supply Labor and Materials for Overhauling of two (2) units Hydraulic Breaker (Stanley) of Backhoe Case 580M</t>
  </si>
  <si>
    <t>Supply and Delivery of N95 Mask FFP2 Respirator for the use of Traffic Field Personnel as Protection against  COVID 19</t>
  </si>
  <si>
    <t>Aid to Person with Disability (PWD) Affected by Corona Virus Disease 2019 (Grocery Items)</t>
  </si>
  <si>
    <t>Supply and Delivery of DMMMSU-PERF Animal Medicine</t>
  </si>
  <si>
    <t>Supply and Delivery of Office Equipment for use of Different Offices of the PGOM</t>
  </si>
  <si>
    <t>Rebidding: 8 pack Water Proofing Compound and other items for improvement of Barangay 8 Lupa Day Care Center at Barangay 8.</t>
  </si>
  <si>
    <t>Hiring of Highly Confidential, Technical and Policy Determining Positions at the Office of the City Mayor on Consultancy Basis Pursuant to Applicable Laws and Subject to Availability of Funds Consonan</t>
  </si>
  <si>
    <t>Electric Sterilizer</t>
  </si>
  <si>
    <t>Supply and Delivery of 1,800 Pcs of Transparent Hygiene Kit Pouch for Students</t>
  </si>
  <si>
    <t>CONSTRUCTION OF HANDWASHING FACILITIES</t>
  </si>
  <si>
    <t>Bid No. 06-20-001 PROCUREMENT OF GLASS WITH INSTALLATION- Barangay Poblacion of  Maragusan Davao de Oro</t>
  </si>
  <si>
    <t>20CSCB15: Geotechnical Investigation for the Widening of Permanent Bridge, Sto. Domingo Bridge (BO1584LZ) along JLBMPR, Orion, Bataan</t>
  </si>
  <si>
    <t>Purchase of Materials for the Construction of Watersystem (GAD)  for Barangays Linao,Jilabangan,Dalaupon,Saying,Pinalubngan,Tanlad and Lag-it,Tayasan Neg. Or.</t>
  </si>
  <si>
    <t>ITB No. 2020-I-P6-01: Concreting/Construction/Iprovement of Various Infra Projects</t>
  </si>
  <si>
    <t>CONTINUATION OF E-READING CENTER AND DAYCARE CENTER (PHASE III)</t>
  </si>
  <si>
    <t>Networking Security Bundle for Information Technology</t>
  </si>
  <si>
    <t>Acid Cabinet</t>
  </si>
  <si>
    <t>Supply, Delivery and Installation of Mobile Shelves for the University Archives and Records Management Unit</t>
  </si>
  <si>
    <t>LABOR AND MATERIALS FOR THE REPAIR OF COMFORT ROOMS IN ADMIN (OFFICE &amp; GROUND FLOOR OF ADMIN BUILDING-MALE AND FEMALE) AND REGISTRAR’S OFFICE</t>
  </si>
  <si>
    <t>Purchase of Office Supplies for the official use of Unconditional Cash Transfer (UCT)</t>
  </si>
  <si>
    <t>Bond Paper Short,Bond Paper Long,etc....</t>
  </si>
  <si>
    <t>Print Cartridge,Laser Toner,etc...</t>
  </si>
  <si>
    <t>Supply and Delivery of Chlorine Dioxide (Liquid Solution) (Rebidding)</t>
  </si>
  <si>
    <t>SUPPLY AND INSTALLATION OF SOLAR STREET LIGHTS - BRGY. BATINAO, NEW BATAAN, DAVAO DE ORO</t>
  </si>
  <si>
    <t>Concreting of Ondap Street to Bayubay Street Purok 2-Poblacion (75 LM) SB# 01 CY 2020 (Procurement of Diesel &amp; Gasoline) – MEO</t>
  </si>
  <si>
    <t>Supply &amp; Delivery of Various Supplies ABC:50,050.00</t>
  </si>
  <si>
    <t>Supply &amp; Delivery of  Laboratory Supplies ABC: 327,000.00</t>
  </si>
  <si>
    <t>CONSTRUCTION OF SOLAR LIGTHINGS-BARANGAY CAHAYAG</t>
  </si>
  <si>
    <t>Concreting of Batiocan - Demapaco Road</t>
  </si>
  <si>
    <t>Construction of 23 Units LED Streetlights @ Purok 5, Paulog, Ligao, City</t>
  </si>
  <si>
    <t>Supply and Delivery of various Ink Cartridges and Printhead for HP 81 for MMDA Projects</t>
  </si>
  <si>
    <t>for 25 assessment center</t>
  </si>
  <si>
    <t>Supply and Delivery of Flame-Resistant Chemical Storage Cabinet</t>
  </si>
  <si>
    <t>Supply of Labor and Materials for the Restoration Works at Different Areas located in Calamba City (Rebidding)</t>
  </si>
  <si>
    <t>Janitorial Services</t>
  </si>
  <si>
    <t>Rebidding: 20 bags Tile Adhesive 25 kgs/bag and other items for improvement of Candau-ay Habitat Day Care Center at Barangay Candau-ay.</t>
  </si>
  <si>
    <t>Supply and Delivery of Bacti-Cinerator</t>
  </si>
  <si>
    <t>Rebidding of Improvement of Nueva Fuerza Water System</t>
  </si>
  <si>
    <t>Procurement of Drugs &amp; Medicines for the use of Dr. Rafael S. Tumbokon Memorial Hospital-EEDD, Kalibo, Aklan – Re Bidding/ITB no: 2020-366</t>
  </si>
  <si>
    <t>ESTABLISHMENT OF ISOLATION AREA</t>
  </si>
  <si>
    <t>Supply &amp; Delivery of 200 Mbps Leased Line Internet Connection for JHCSC (1 Year)</t>
  </si>
  <si>
    <t>ITB No. 2020-I-P7-01:Continuation/Iprovement/ Construction/Concreting/ Rehab of Various Infra Projects</t>
  </si>
  <si>
    <t>One (1) Lot Transport &amp; Hauling of Shredded Banknote</t>
  </si>
  <si>
    <t>Rescue Equipment</t>
  </si>
  <si>
    <t>20CSCB16: Geotechnical Investigation for the Widening of Permanent Bridge, Pandam Bridge (BO1587LZ) along JLBMPR, Orion, Bataan</t>
  </si>
  <si>
    <t>Supply and Delivery of ICT Supplies 3rd Quarter.</t>
  </si>
  <si>
    <t>Concreting of Katitisan - Gumaga Road</t>
  </si>
  <si>
    <t>Supply &amp; Delivery of IT Supplies ABC:55,500.00</t>
  </si>
  <si>
    <t>Various Medicines for Rural Health Unit of Hinobaan</t>
  </si>
  <si>
    <t>PURCHASE OF CONSTRUCTION MATERIALS AND SUPPLIES FOR PANAGANGAN NHS</t>
  </si>
  <si>
    <t>Supply and Delivery of Tires for Maintenance of Nissan Navara I1-1873</t>
  </si>
  <si>
    <t>G-2020-0059 Supply/Delivery of Spare Parts for use in the replacement of worn-out tires for service vehicles Navara 4x4 Pick-Up, Plate No. F2Z059 and F2Z062 assigned in the Office of the District Engi</t>
  </si>
  <si>
    <t>ITB No. 2020-G-04-02: Purchase of Glass Crusher &amp; Plastic shredder/Granulator</t>
  </si>
  <si>
    <t>SUPPLY AND DELIVERY OF INK CARTRIDGES</t>
  </si>
  <si>
    <t>Supply and Delivery of Various Medical, Laboratory, Dental and Radiology Equipment</t>
  </si>
  <si>
    <t>Concreting of Montay Road</t>
  </si>
  <si>
    <t>Development of Public Cemetery of Hinobaan</t>
  </si>
  <si>
    <t>Improvement of ETRACS Database and Server of San Jose de Buenavista, Antique</t>
  </si>
  <si>
    <t>Supply and Delivery of Cleaning and Disinfecting Products for 3rd Quarter</t>
  </si>
  <si>
    <t>CONSTRUCTION OF RETAINING WALLS and DRAINAGE SYSTEM-Tangkeng Tihaya, Brgy. Ayusan II</t>
  </si>
  <si>
    <t>IMPROVEMENT OF BARANGAY ROADS</t>
  </si>
  <si>
    <t>Rehabilitation of Manpower Development Center</t>
  </si>
  <si>
    <t>G-2020-0062 Supply/Delivery of Furnitures and Fixtures for use of DPWH-SC2nd DEO in compliance to International Organizations Standard (ISO) requirements, Koronadal City, South Cotabato</t>
  </si>
  <si>
    <t>ITB-SUPPLY AND INSTALLATION OF BIG CEILING FANS, LOS BANOS, LAGUNA</t>
  </si>
  <si>
    <t>PURCHASE OF FURNITURE AND FIXTURES FOR MSWDO SENTRONG KANLUNGAN - CENTER FOR ABUSED WOMEN AND CHILDREN (JPCN)</t>
  </si>
  <si>
    <t>Repair/Maintenance of DILG Building Lagawe Municipal Police Station, Lagawe, Ifugao</t>
  </si>
  <si>
    <t>SUPPLY AND DELIVERY OF OFFICE SUPPLIES 2020</t>
  </si>
  <si>
    <t>ITB No. 2020-G-06-01: Purchase of Transformer w/ Installation and Metering</t>
  </si>
  <si>
    <t>20GJF0103 - Office Supplies and Consumables for use in the Planning &amp; Design Section, this disrict (ROCOND/RBIA)</t>
  </si>
  <si>
    <t>Supply and Delivery of Toners, Imaging and Photoconductor Kit for Multifunction (Copier, Scanner, Printer) Machine &amp; Laser Printers of BIR-RR No. 9B LaQueMar, San Pablo City</t>
  </si>
  <si>
    <t>Two (2) Units Piston Arm Motor Assembly</t>
  </si>
  <si>
    <t>Supply &amp; Delivery of Medical Equipment for RHU I &amp; II</t>
  </si>
  <si>
    <t>20FK0056-Repair/Maintenance of Mauhang River Control (Downstream Left) F40095LZ, Brgy. Sta. Cruz Casiguran Sorsogon</t>
  </si>
  <si>
    <t>Supply and Delivery of Two-Way Radio for Security Guard</t>
  </si>
  <si>
    <t>SUPPLY AND DELIVERY OF GENERAL MERCHANDISE FOR VARIOUS PURCHASE REQUEST OF THE BARANGAY UNDER SMALL VALUE PROCUREMENT</t>
  </si>
  <si>
    <t>REPAIR/REHABILITATION OF TIMBER BRIDGE</t>
  </si>
  <si>
    <t>Supply and Delivery of 10 rolls AWG ACSR Duplex Wire #2 (1000m/rool) and 5.2 rolls AWG ACSR Duplex Wire #2 (1000m/rool) to be used for electrification project expansion, Brooke’s Point, Palawan</t>
  </si>
  <si>
    <t>G-2020-0061 Supply/Delivery of Office Equipment for use in the replacement of defective airconditioning units assigned at the Offices of the District Engineer and Assistant District Engineer, Maintena</t>
  </si>
  <si>
    <t>for CSS NCII training use</t>
  </si>
  <si>
    <t>Construction for Extension of Multi-Purpose Pavement 1.</t>
  </si>
  <si>
    <t>For use in operation of L-300,DT 3, DT 1, DT 4, DT12 HYUNDAI TRANSPORTER PL 1, BACK HOE 1 assigned at City Engineer's Office.</t>
  </si>
  <si>
    <t>SUPPLY AND DELIVERY OF SUPPLIES &amp; MATERIALS FOR BUFFER STOCKING FOR BANANA TISSUE CULTURE LABORATORY &amp; NURSERY</t>
  </si>
  <si>
    <t>PROCUREMENT OF 2 UNITS OF WINDOW TYPE AIRCON WITH ACCESSORIES  AND CURTAIN</t>
  </si>
  <si>
    <t>LOCAL ACCESS ROAD REHABILITATION/IMPROVEMENT, Brgy. Bucari-Cagay-Ingay Road</t>
  </si>
  <si>
    <t>Supply and Delivery of Architectural Design of a Proposed Construction of 2-Storey Midwifery Building</t>
  </si>
  <si>
    <t>Supply and Delivery of One (1) Unit of Portable Sound System with Tripod Base Speaker Stand and One (1) Unit of Wireless System with Bodypack Reciever Lapel Headset Microphone</t>
  </si>
  <si>
    <t>Rebidding: Lot 1- Supply and Delivery of Laboratory Equipment for Food Technology Instruction (PR No. 2020-02-0292) Lot 2- Supply and Delivery of Tools and Materials for Food Technology Instruction (P</t>
  </si>
  <si>
    <t>IMPROVEMENT OF DRAINAGE SYSTEM- Poblacion III</t>
  </si>
  <si>
    <t>Procurement of various janotorial supplies w/ PR # 686</t>
  </si>
  <si>
    <t>UPLB-IF-014-07-20 rebid IMPROVEMENT OF ACCOUNTING OFFICE, A.G. SAMONTE HALL BUILDING, UPLB, COLLEGE, LAGUNA rebid.</t>
  </si>
  <si>
    <t>Construction for Extension of Fence for Multi-Purpose Pavement 1.</t>
  </si>
  <si>
    <t>INSTALLATION OF SOLAR LIGHTS</t>
  </si>
  <si>
    <t>Supply and Delivery of One (1) Unit DSLR Camera with Complete Accessories for the use of Staff Development Division in the Conduct of In-House Training and Development Program of MMDA</t>
  </si>
  <si>
    <t>Procurement of 1 Job Repair Control Valves (Labor and Materials) under P.R No. 2237-2020 - Bureau of Fire Protection</t>
  </si>
  <si>
    <t>UPLB-IF-017-07-20 PROPOSED GEN-SET HOUSE AND TRANSFORMER ENCLOSURE WITH FIELD STAFF FACILITY, UPLB CAMPUS, COLLEGE LAGUNA</t>
  </si>
  <si>
    <t>G-2020-0060 Supply/Delivery of Furnitures and Fixtures for use of DPWH-SC2nd DEO in compliance to International Organizations Standard (ISO) requirements, Koronadal City, South Cotabato</t>
  </si>
  <si>
    <t>Supply &amp; Delivery of Various Laboratory Supplies ABC:230,100.00</t>
  </si>
  <si>
    <t>Improvement of Bridges along Purok 9 to Purok 6 Mangayon - SB#01 CY 2020 (Procurement of Diesel &amp; Gasoline) – MEO</t>
  </si>
  <si>
    <t>Rfq 2020-014</t>
  </si>
  <si>
    <t>Bid No. 20-0322 - PROCUREMENT OF OFFICE SUPPLIES - MEO &amp; MOTORPOOL OPERATIONS</t>
  </si>
  <si>
    <t>SUPPLY AND DELIVERY OF WOODEN ARMCHAIRS FOR BALIWAG POLYTECHNIC COLLEGE</t>
  </si>
  <si>
    <t xml:space="preserve">PB-2020-0009 Supply/Delivery of Technical and Scientific Equipment for use of the Quality Assurance Section Laboratory Unit, DPWH-South Cotabato 2nd District Engineering Office, Koronadal City, South </t>
  </si>
  <si>
    <t>FURNISHING AND DELIVERY OF 2HP SPLIT TYPE AIR CONDITIONER</t>
  </si>
  <si>
    <t>Procurement of Vehicle Repair and Maintenance under P.R Nos. 1972-2020, 1977-2020 and 1978-2020- City Social Welfare Development Office-1Lot.</t>
  </si>
  <si>
    <t>Supply and Delivery of Four (4) Units of Desktop Computer for the use of Staff Development Division in the Conduct of In-House Training Development Program of MMDA</t>
  </si>
  <si>
    <t>Improvement of Multi-Purpose Building Phase III</t>
  </si>
  <si>
    <t>for TESDA-API use</t>
  </si>
  <si>
    <t>Supply and Delivery of Agricultural Supplies (Lot #1), Materials (Lot #2) and Screen Sand (Lot #3) to be used for Techno Center Project, Brooke’s Point, Palawan</t>
  </si>
  <si>
    <t>LOCAL ACCESS ROAD REHABILITATION/IMPROVEMENT, Brgy. Ligtos-Gines-Tunguan Road</t>
  </si>
  <si>
    <t>FURNISHING AND DELIVERY OF AGRICULTURAL SUPPLIES</t>
  </si>
  <si>
    <t>REHABILITATION OF DRAINAGE ZONE 5</t>
  </si>
  <si>
    <t>ESTABLISHMENT OF TRAFFIC WARNING SIGNS ALONG NATIONAL ROADS, PROVINCIAL ROADS &amp; MUNICIPAL ROADS @ BUENAVISTA AGUSAN DEL NORTE</t>
  </si>
  <si>
    <t>PROCUREMMENT OF 1 UNIT ANDROIND PHONE FOR MDRRM USE</t>
  </si>
  <si>
    <t>Concreting of Road from Purok 1 Provincial Road to Community Activity Center of Brgy. Mangayon - SB#01 CY 2020 (Procurement of Diesel &amp; Gasoline) – MEO</t>
  </si>
  <si>
    <t>Supply And Delivery of Two (2) sets Computer Desktop for the official use of the Municipal Assessor’s Office, Brooke’s Point, Palawan</t>
  </si>
  <si>
    <t>Supply &amp; Delivery  of Proficiency Testing &amp; Certified Reference Materials ABC:77,000.00</t>
  </si>
  <si>
    <t>Procurement of Drugs &amp; Medicines for the use of HIV/Aids Clinic -Dr. Rafael S. Tumbokon Memorial Hospital-EEDD, Kalibo, Aklan – Re Bidding /ITB no: 2020-368</t>
  </si>
  <si>
    <t>CONSTRUCTION OF RESIDUAL CONTAINMENT FACILITY – SANITARY LANDFILL, SAN JUAN, LA FORTUNA, IMPASUGONG, BUKIDNON</t>
  </si>
  <si>
    <t>REPAIR &amp; MAINTENANCE OF BRGY. VEHICLE/S - 2020</t>
  </si>
  <si>
    <t>CONSTRUCTION OF CORN FARMERS TRAINING CENTER AND AGRICULTURE OFFICE IN STO. TOMAS, PANGASINAN (One Stop Shop Center for Corn Farmer)</t>
  </si>
  <si>
    <t>CONSTRUCTION OF MATERIALS RECOVERY FACILITY (MRF) LOCATED AT MATTI, DIGOS CITY, DAVAO DEL SUR all in accordance to plans, specifications and scope of work and the Green Procurement Policy as adopted b</t>
  </si>
  <si>
    <t>INSTALLATION OF STREETLIGHTS BARANGAY AMBOLONG-PALAY (PHASE 2)</t>
  </si>
  <si>
    <t>Supply and Delivery of Materials for the Fabrication of Collapsible Tent</t>
  </si>
  <si>
    <t>for assessment office use</t>
  </si>
  <si>
    <t>CONSTRUCTION OF COMFORT ROOM</t>
  </si>
  <si>
    <t>Supply &amp; Delivery of Microtubes ABC:73,400.00</t>
  </si>
  <si>
    <t>PROCUREMENT OF SMART TV FOR SCHOOL INSTRUCTIONAL MATERIALS FOR TEACHING AND LEARNING</t>
  </si>
  <si>
    <t>Supply &amp; Delivery  of Various Laboratory Chemicals ABC:92,090.00</t>
  </si>
  <si>
    <t>OLYMPIA KIDS PLAY PLACE</t>
  </si>
  <si>
    <t>Concreting of Road from Provincial Road to the New Barangay Hall of Brgy. Mangayon - SB#01 CY 2020 (Procurement of Diesel &amp; Gasoline) – MEO</t>
  </si>
  <si>
    <t>Supply and delivery of Agricultural Supplies to be for Piggery Project, Brooke’s Point, Palawan</t>
  </si>
  <si>
    <t>Procurement of 1 Lot Repair and Maintenance of Office Equipment (Air-condition) for the 3rd Quarter of 2020</t>
  </si>
  <si>
    <t>Road Construction with Drainage System (widening of Magsaysay Road from Heaven’s Gate Cemetery onwards east) located at Magsaysay Street</t>
  </si>
  <si>
    <t>Basketball Uniform</t>
  </si>
  <si>
    <t>PROCUREMENT OF ASSORTED MDRRM EQUIPMENTS</t>
  </si>
  <si>
    <t>Purchase of Various Medical Supplies (2020-02-026)</t>
  </si>
  <si>
    <t>PURCHASE OF HARDWARE MATERIALS FOR WATER SYSTEM</t>
  </si>
  <si>
    <t>Materials for Maintenance of Municipal Street Lights, San Jose de Buenavista, Antique</t>
  </si>
  <si>
    <t>Procurement of 1 Lot Repair and Maintenance of Office Equipment (Desktop Computer) for the 3rd Quarter of 2020</t>
  </si>
  <si>
    <t>Supply &amp; Delivery of other Supplies ABC:92,858.00</t>
  </si>
  <si>
    <t>SUPPLY AND DELIVERY OF IT SUPPLIES &amp; EQUIPMENT AND OFFICE SUPPLIES FOR THE DIVISION OFFICE FOR 2ND QUARTER OF 2020 (LOT 1-2)</t>
  </si>
  <si>
    <t>Completion of Peace and Security Multi-Purpose Building at PNP (Police Provincial Office, Camp Vicente L. Pimentel Jr., Telaje,  Tandag City,  Surigao del Sur  ).</t>
  </si>
  <si>
    <t>20GA0152-Re-Invitation-Construction of Multi-Purpose Building Brgy. Baybay, Tangalan, Aklan</t>
  </si>
  <si>
    <t>Chemical Reagents for RHU</t>
  </si>
  <si>
    <t>Procurement of Infrastructure Supplies RFQ No. 433</t>
  </si>
  <si>
    <t>INFRASTRUCTURE WORKS FOR THE ROAD CONCRETING OF BARANGAY ROAD AT BARANGAY NAJANDIG,ZAMBOANGUITA, NEGROS ORIENTAL</t>
  </si>
  <si>
    <t>Construction of Access Road at Sitio Kalangitan, Brgy. Cutcut II, Capas, Tarlac 647184</t>
  </si>
  <si>
    <t>Procurement of Lateral Cabinet with 4 Drawers</t>
  </si>
  <si>
    <t>INSTALLATION OF STREET LIGHTS AT BARANGAY MANDONG</t>
  </si>
  <si>
    <t>INFRA-REHABILITATION OF MUNICIPAL ROAD, BASIL-LEMON GRASS ST., DEMARSES SUBD., BATONG MALAKE, LOS BANOS, LAGUNA</t>
  </si>
  <si>
    <t>SUPPLY AND DELIVERY OF NETWORK SWITCH AND NETWORK CABINET (OPERATIONAL LEASE)</t>
  </si>
  <si>
    <t>UPLB-RQ-6-134-20-I SUPPLY AND DELIVERY OF CONSTRUCTION PROJECTS FOR CEAT - LIBRARY</t>
  </si>
  <si>
    <t>20ND0066 - REPAIR/MAINTENANCE OF DPWH BLDG. MULTI-PURPOSE HALL BUTUAN CITY DISTRICT ENGINEERING OFFICE</t>
  </si>
  <si>
    <t>Supply and Delivery of Construction Materials and Supplies to be used for Repair and Maintenance of School Classrooms in the Municipality of Victoria, Oriental Mindoro</t>
  </si>
  <si>
    <t>Supply and Delivery of Laptop for Official Use of All Public Schools – DEPED San Pedro Laguna</t>
  </si>
  <si>
    <t>20-05-183 Procurement of Biosafety Cabinet Type II</t>
  </si>
  <si>
    <t>Procurement of Fuel and Oil (2nd and 3rd quarter 2020)</t>
  </si>
  <si>
    <t>CONSTRUCTION OF IRRIGATION FACILITIES-LOWER AKKI</t>
  </si>
  <si>
    <t>PURCHASE OF VARIOUS CONSTRUCTION MATERIALS AND SUPPLY FOR THE PROPOSED CONSTRUCTION OF LINING CANAL APPROXIMATELY 100m</t>
  </si>
  <si>
    <t>Philippine Information Agency Purchase Headphones and Earbuds</t>
  </si>
  <si>
    <t>Construction of Covered Court</t>
  </si>
  <si>
    <t>Contract ID: 20JH0043 Construction of One (1) Unit Rain Water Collector @ Isabela City District  Engineering Office (ICDEO)</t>
  </si>
  <si>
    <t>Procurement of 785 pax Meal(1) under P.R No. 2434-2020 - Sangguniang Panglungsod</t>
  </si>
  <si>
    <t>B20200233 - CONSTRUCTION MATERIALS FOR INSTALLATION OF TEMPORARY HOUSE COMPONENTS FOR VICTIMS OF ARMED CONFLICT PH. 1, CUAMBUGAN, TAGUM CTIY</t>
  </si>
  <si>
    <t>Purchase of Generator Set</t>
  </si>
  <si>
    <t>Construction of Multi-Purpose Pavement (Phase IV)</t>
  </si>
  <si>
    <t>One (1) Lot Lease and Rental of Property</t>
  </si>
  <si>
    <t>Philippine Information Agency Purchase of Smartphones</t>
  </si>
  <si>
    <t>Supply and Delivery of Digital Duplicator Machine and Consumables for Official Use of All Public Schools – DEPED San Pedro Laguna</t>
  </si>
  <si>
    <t>tO fURNISH LABOR FOR AIRCON CLEANING OF THIS OFFICE</t>
  </si>
  <si>
    <t>SUPPLY AND DELIVERY OF PERSONAL PROTECTIVE EQUIPMENT</t>
  </si>
  <si>
    <t>Supply of Security Services for 2020-2021</t>
  </si>
  <si>
    <t>Procurement of Chlorhexidine and other drugs and medicine</t>
  </si>
  <si>
    <t>Supply and Delivery of Licensed Statistical Package for the Research Office</t>
  </si>
  <si>
    <t>Construction of Water Lines &amp; Reservoirs located at Barangay Cabatangan</t>
  </si>
  <si>
    <t>Purchase of Motorboat Service</t>
  </si>
  <si>
    <t>Procurement of 1 Lot Repair and Maintenance of Office Equipment (Photocopier) for the 3rd Quarter of 2020</t>
  </si>
  <si>
    <t>Supply, Delivery and Installation of Cameras for Emergency Exits of Dormitory Building 1 and Additional Capacity of Surveillance Hard Drive for the CCTV Cameras of  Dormitory Building 2 of PSHS-CLC</t>
  </si>
  <si>
    <t>20ND0067 - Construction of Multi-Purpose Building, Brgy. Poblacion, Las Nieves, Agusan del Norte</t>
  </si>
  <si>
    <t>B20200232 - CONST. MATERIALS FOR INSTALLATION OF TEMPORARY HOUSE COMPONENTS FOR VICTIMS OF ARMED CONFLICT PH. 3 CUAMBUGAN, TAGUM CITY</t>
  </si>
  <si>
    <t>Rehabilitation of Pathway</t>
  </si>
  <si>
    <t>PROCUREMENT OF ONE (1) UNIT RESCUE VEHICLE 2.2 L 4x4 Manual Transmission</t>
  </si>
  <si>
    <t>Supply and Delivery of Force Load Cell/Strain Amplifier with Data Acquisition System, Laptop Control System for Tractor Drawbar Test</t>
  </si>
  <si>
    <t>Construction of Farmer’s Dormitory Building and Construction of PVET Admin Building, Zitanga, Ballesteros, Cagayan</t>
  </si>
  <si>
    <t>Procurement of Consultancy Services for Updating of Comprehensive Land Use Plan 2020-2029</t>
  </si>
  <si>
    <t>for Toyota corolla 020406 maintenance</t>
  </si>
  <si>
    <t>Contract ID: 20JH0045 Construction of One (1) Unit Rain Water Collector @ Isabela Central Elementary Pilot School (ES)</t>
  </si>
  <si>
    <t>20MC-INFRA-029 Concreting of Malinta - Sinalongan - Cagay Road @ Brgy. Sinalongan, Masbate City</t>
  </si>
  <si>
    <t>CONSTRUCTION OF BOX CULVERT- Sitio Cotta, Brgy. Lalig</t>
  </si>
  <si>
    <t>Bid No. 20-0323 - PROCUREMENT OF OFFICE SUPPLIES - MCRO OPERATIONS</t>
  </si>
  <si>
    <t>Procurement of Fuel &amp; Lubricants</t>
  </si>
  <si>
    <t>Installation of Water System</t>
  </si>
  <si>
    <t>SUPPLY AND DELIVERY OF TESTING KITS AND LABORATORY REAGENTS</t>
  </si>
  <si>
    <t>Supply &amp; Delivery of Materials for Upgrading of Seaweeds Processing Center</t>
  </si>
  <si>
    <t>Procurement of Cellcards</t>
  </si>
  <si>
    <t>purchase of office supplies</t>
  </si>
  <si>
    <t>Delivery Materials for the Construction of stage, stockroom and louvers at the Brgy. Evacuation Center, Brgy. Poblacion 1st Revesion.(SVP 20-0395)</t>
  </si>
  <si>
    <t>Supply of Janitorial Services</t>
  </si>
  <si>
    <t>Supply and Delivery of Steel Ladder (Pilipino Bldg.) Materials. (Hardware supplies 3Q)</t>
  </si>
  <si>
    <t>Supply and Delivery of 380 units 1/2'' Brass Watermeter</t>
  </si>
  <si>
    <t>UPLB-RQ-6-081-20-GOODS SUPPLY AND DELIVERY OF CHEMICALS &amp; CHEMICAL PRODUCTS FOR VTH</t>
  </si>
  <si>
    <t>SUPPLY AND DELIVERY OF DISINFECTANTS AND OTHER SUPPLIES</t>
  </si>
  <si>
    <t>SUPPLY &amp; DELIVERY OF HARDWARE/MATERIALS AS ASSISTANCE to VARIOUS SCHOOLS - LOCAL SCHOOL BOARD</t>
  </si>
  <si>
    <t>Supply and Delivery of P.E. Tubing</t>
  </si>
  <si>
    <t>Procurement of Fabrication Supplies</t>
  </si>
  <si>
    <t>UPLB-RQ-6-080-20-GOODS SUPPLY AND DELIVERY OF VETERINARY PRODUCTS AND SUPPLIES FOR VTH</t>
  </si>
  <si>
    <t>Delivery of Various Sports Equipment, Office Supplies, and Other Supplies &amp; Materials.(SVP 20-0560)</t>
  </si>
  <si>
    <t>Contract ID: 20JH0047 Construction of One (1) Unit Rain Water Collector @ Basilan National High  School 2STRY 10-CL (Unit-1)</t>
  </si>
  <si>
    <t>Improvement of Multi-Purpose Hall at Brgy. Capt. C. Nazareno</t>
  </si>
  <si>
    <t>20MC-INFRA-030 Concreting/Rehabilitation of Roads @ Brgy. Nursery, Masbate City</t>
  </si>
  <si>
    <t>Procurement of Various Anti-Covid Supplies</t>
  </si>
  <si>
    <t>INVITATION TO BID</t>
  </si>
  <si>
    <t>20GFN0009 Furnishing and delivery of Furnishing and Delivery of Spare Parts for use in the Repair and Preventive Maintenance of Service Vehicles and Equipment assigned at DPWH Camarines Sur 5th Distri</t>
  </si>
  <si>
    <t>20GFN0010 FURNISHING AND DELIVERY OF MATERIALS FOR USE IN THE TRAFFIC SERVICES MAINTENANCE (CENTERLINE &amp; LANE LINE REPAINTING, GUARDRAILS MAINTENANCE, &amp; OTHER TRAFFIC SERVICES)</t>
  </si>
  <si>
    <t>INSTALLATION OF STREET LIGHTS AT BARANGAY LUPIT- MAN-UP (PHASE 2)</t>
  </si>
  <si>
    <t>Supply and Delivery of Various Laboratory Equipment</t>
  </si>
  <si>
    <t>Supply and Delivery of Steel Fence Materials (Hardware Supplies (3rd Quarter)</t>
  </si>
  <si>
    <t>ITB No. 2020-004-PROVISION OF SECURITY SERVICES  FOR FDA-REGIONAL FIELD OFFICES AND CEBU TESTING  AND QUALITY ASSURANCE LABORATORY</t>
  </si>
  <si>
    <t>Construction of Material Recovery Facility (Cluster 1)</t>
  </si>
  <si>
    <t>20MC-GOODS-032 Procurement of Carabaos for LGU - Masbate City</t>
  </si>
  <si>
    <t>Division Office Use against COVID 19 Pandemic</t>
  </si>
  <si>
    <t>Purchase of Street Lights/Bulb and Electrical Materials to be Installed at Brgy. Poblacion, San Andres, Quezon.</t>
  </si>
  <si>
    <t>Supply &amp; Delivery of IT Equipment and Semi-Expendable Machinery &amp; Equipment</t>
  </si>
  <si>
    <t>Toner Cart and Drum Cart for Brother Printers</t>
  </si>
  <si>
    <t>20FO0104 - Expansion of Municipal Hall, Guinobatan, Albay</t>
  </si>
  <si>
    <t>CONSTRUCTION OF IRRIGATION FACILITIES-MALAGGAO</t>
  </si>
  <si>
    <t>UPGRADING</t>
  </si>
  <si>
    <t>Janitorial services includes labor and materials for 2 janitors, effective minimum wage in NCR and social benefits, Mondays-Saturdays, 8 hours/day, 7:00 A.M. to 4:00 P.M. for CY 2020</t>
  </si>
  <si>
    <t>Procurement of materials for Construction of Hanging Bridge</t>
  </si>
  <si>
    <t>Procurement of Consultancy Services (Individual) for the Cost-Benefit Analysis of Community-Based and Center-Based Intervention for Children in Conflict with the Law.</t>
  </si>
  <si>
    <t>Supply &amp; Delivery of Various Supplies ABC: 51,000.00</t>
  </si>
  <si>
    <t>20FO0105 - Construction of Multi-Purpose Building (ALS Building), San Pedro Street, Brgy. Zone 3, Poblacion, Libon, Albay</t>
  </si>
  <si>
    <t>20MC-GOODS-031 Supply &amp; Delivery of Shirts &amp; PPE's for LGU - Masbate City</t>
  </si>
  <si>
    <t>Contract ID: 20JH0046 Construction of One (1) Unit Rain Water Collector @ Isabela East Central  Elementary School (IECES)</t>
  </si>
  <si>
    <t>20GHL0002 with PR No. 2020-06-0046 - Supply and delivery of 100 drums Penetration Asphalt 60/70 and three (3) other items for use in the correction of minor scaling/raveling, potholes, alligator crack</t>
  </si>
  <si>
    <t>SUPPLY AND DELIVERY OF VARIOUS DRUGS AND MEDICINES</t>
  </si>
  <si>
    <t>Construction of TFLC Building Sanchez Mira, Cagayan</t>
  </si>
  <si>
    <t>for SET 909 maintenance</t>
  </si>
  <si>
    <t>Purchase of Office Safety Equipment</t>
  </si>
  <si>
    <t>Supply &amp; Delivery of Various Rice Seeds ABC:403,200.00</t>
  </si>
  <si>
    <t>Invitation to a Negotiation Meeting_Planetary Mixer</t>
  </si>
  <si>
    <t>Supply and Delivery of 60HP Submersible Motor 6"</t>
  </si>
  <si>
    <t>THE SUPPLY AND DELIVERY OF CONSTRUCTION MATERIALS FOR THE CONCRETING OF POBLACION-BUNAO FARM TO MARKET ROAD</t>
  </si>
  <si>
    <t>LOT 21 CONDUCT MEETING WITH PTA &amp; STAKEHOLDERS , QUARTERLY CARD DAY AND ALUMNI HOMECOMING</t>
  </si>
  <si>
    <t>INFRA-REHABILITATION OF MUNICIPAL ROAD, SITIO IBABA TO TULAY, BRGY. MAAHAS, LOS BANOS, LAGUNA</t>
  </si>
  <si>
    <t>SUPPLY AND DELIVERY OF CONSTRUCTION MATERIALS OF IMPROVEMENT OF LGU BUILDING</t>
  </si>
  <si>
    <t>Purchase of IT equipments and steel cabinet for BAC office</t>
  </si>
  <si>
    <t>Concreting of Santiago- San Isidro, Claveria, Cagayan</t>
  </si>
  <si>
    <t>AIMRED (HIGH DENSITY MASSIVE VACCINATION).</t>
  </si>
  <si>
    <t>20GFN0011 FURNISHING AND DELIVERY OF MATERIALS FOR USE IN MAINTENANCE SECTION, DPWH CAMARINES SUR 5TH DISTRICT ENGINEERING OFFICE, STA. TERESITA, BAAO, CAMARINES SUR</t>
  </si>
  <si>
    <t>CONSTRUCTION OF EVACUATION CENTER PHASE II IN PAG-ASA ISLAND</t>
  </si>
  <si>
    <t>Rebidding: 37 cu.m Sand (std. specs) and other items for improvement and rehabilitation of various drainage canal with cover (Along Cervantes street and San Jose street) at Barangay Poblacion 7”.</t>
  </si>
  <si>
    <t>Procurement of Construction Materials for the Construction of Drainage Canal Open Type</t>
  </si>
  <si>
    <t>Request for Quotation (Supply and Installation of Wall Mounted Aircon)</t>
  </si>
  <si>
    <t>FABRICATION OF WATER TANK FOR AM-AM COMMUNITY USE (2 UNITS @ 2,200 LI) AND LENGYATAN COMMUNITY USE (6,000 LI)</t>
  </si>
  <si>
    <t>Ref. No. 2020-016 Procurement of Additional Fully Developed Lots and Completed Housing Units Under NHA's Yolanda Permanent Housing Program - Tabontabon, Leyte (Re-Bid)</t>
  </si>
  <si>
    <t>Purchase of  Construction Supplies</t>
  </si>
  <si>
    <t>Sanchez Mira District Hospital Perimeter Fence San Andres , Sanchez Mira, Cagayan</t>
  </si>
  <si>
    <t>Purchase of office equipments</t>
  </si>
  <si>
    <t>20FN0105 Repair and Rehabiliation of Infrastructure Facilities and Other Related Activities - Repair anf Maintenance of Road Safety Facilities along National Roads (Daang Maharlika Highway, Nabua - Ba</t>
  </si>
  <si>
    <t>SUPPLY AND DELIVERY OF TWO (2) UNITS PATIENT TEMPERATURE MANAGEMENT UNIT (REBID)</t>
  </si>
  <si>
    <t>Grosary Items</t>
  </si>
  <si>
    <t>Procurement of Housekeeping Supplies RFQ No. 434</t>
  </si>
  <si>
    <t>Supply and Delivery of Gate Valve</t>
  </si>
  <si>
    <t>SUPPLY AND DELIVERY OF TEXTILE, ELECTRICAL, HARDWARE SUPPLIES AND CONSTRUCTION MATERIALS</t>
  </si>
  <si>
    <t>Request for Quotation No. 04-2020-01 (Chlorine Dioxide Component)</t>
  </si>
  <si>
    <t>Supply &amp; Delivery of Gasoline Rice Paddy Field Weeder ABC:62,500.00</t>
  </si>
  <si>
    <t>CCTV Camera</t>
  </si>
  <si>
    <t>Supply &amp; Delivery of Office Equipment ABC:76,000.00</t>
  </si>
  <si>
    <t>SUPPLY AND DELIVERY OF VARIOUS MECHANICAL SPARE PARTS FOR 163 KW PERKINS, ENGINE MODEL NO.:2006-TG1, SERIAL NO.: 8B27396U86337V INTENDED FOR SAN ANTONIO DPP</t>
  </si>
  <si>
    <t>Procurement of materials and labor for the Installation of 9 units Solar Streetlights</t>
  </si>
  <si>
    <t>Supply &amp; Delivery of other Supplies ABC:102,500.00</t>
  </si>
  <si>
    <t>RFQ No. 2006-325 Proc. of Good (Laptop)</t>
  </si>
  <si>
    <t>Construction of Material Recovery Facility (Cluster 2)</t>
  </si>
  <si>
    <t>PROCUREMENT OF KOREAN COMBI BLINDS TO BE USED IN THE ADMINISTRATIVE, ACCOUNTING &amp; BUDGET OFFICE</t>
  </si>
  <si>
    <t>RFQ NO. 20-082: SUPPLY AND DELIVERY OF VARIOUS ANESTHESIA SUPPLIES (LINE ITEM)</t>
  </si>
  <si>
    <t>SUPPLY AND DELIVERY OF MISTING MACHINES AND SPRAYERS</t>
  </si>
  <si>
    <t>Construction of 4 Units Jetmatic pump</t>
  </si>
  <si>
    <t>Supply &amp; Delivery of  Purified Drinking Water ABC:84,000.00</t>
  </si>
  <si>
    <t>General Repair and Rehabilitation of Baggao District Hospital , Baggao Cagayan</t>
  </si>
  <si>
    <t>Procurement of 2 Days Board and Lodging (for GAD Reorientation and coaching of Peace and Order &amp; Policy Compliance Monitoring)</t>
  </si>
  <si>
    <t>CONSTRUCTION OF BS IN ENTREPRENEURSHIP DISPLAY AND PRODUCTION ROOM</t>
  </si>
  <si>
    <t>Alcala Municipal Hospital Construction of Laundry Area, Ambulance Bay, Bantay Waiting Area, Isolation Room, Covered Walk, Septic Tank and Power House</t>
  </si>
  <si>
    <t>SUPPLY AND DELIVERY OF VARIOUS ELECTRICAL SPARE PARTS FOR 336KW CUMMINS, MODEL NO.: KTA19-G2, ENGINE NO.: 41233013 INTENDED FOR BIRI DPP</t>
  </si>
  <si>
    <t>Supply of Materials for Construction of Slope Protection and Erosion Control (GAD Building)</t>
  </si>
  <si>
    <t>20EE0139-Rehabilitation/Improvement of Multi-Purpose Building (El Nido Municipal Complex and Covered Court), Brgy. Poblacion, El Nido, Palawan</t>
  </si>
  <si>
    <t>Construction of Multi-Purpose Hall Brgy. Calingag</t>
  </si>
  <si>
    <t>Cluster 8 Concreting of Gaggabutan West Barangay Road Rizal, Cagayan and Concreting of Poblacion Barangay Road Rizal, Cagayan</t>
  </si>
  <si>
    <t>FOR THE PEST MANAGEMENT CONTROL OF THE PDRRMO</t>
  </si>
  <si>
    <t>Procurement of Services under P.R.Nos. 2477-2020(City Human Resource Management Office),etc.-1Lot</t>
  </si>
  <si>
    <t>Ref. No. 2020-018 Procurement of Additional Fully Developed Lots and Completed Housing Units Under NHA's Yolanda Permanent Housing Program - Kawayan, Biliran (Re-Bid)</t>
  </si>
  <si>
    <t>REPAIR/IMPROVEMENT OF RHU, TB DOTS BUILDING</t>
  </si>
  <si>
    <t>Laptop Computer (14")</t>
  </si>
  <si>
    <t>Construction of Public Market Afusing Daga, Alcala, Cagayan</t>
  </si>
  <si>
    <t>Supply &amp; Delivery of Rotary Weeder ABC: 70,000.00</t>
  </si>
  <si>
    <t>Construction/Improvement of Concrete Covered Drainage Canal with  Concrete Manhole at Sitio Caspellan, Barangay Parian, Manaoag, Pangasinan</t>
  </si>
  <si>
    <t>Supply &amp; Delivery of Steel Cabinet ABC: 64,000.00</t>
  </si>
  <si>
    <t>SUPPLY AND DELIVERY OF TWO (2) MULTI PARAMETER MONITOR with CAPNOGRAPH (RE-BID)</t>
  </si>
  <si>
    <t>Ref. No. 2020-017 Procurement of Additional Fully Developed Lots and Completed Housing Units Under NHA's Yolanda Permanent Housing Program - Burauen, Leyte (Re-Bid)</t>
  </si>
  <si>
    <t>Supply and Delivery of Office Supplies for 3QR 2020</t>
  </si>
  <si>
    <t>Construction of Semi Private Room Building Lasam District Hospital, Lasam, Cagayan</t>
  </si>
  <si>
    <t>SUPPLY AND DELIVERY OF MATERIALS AND FITTINGS (GOODS-2020-005) - REBID</t>
  </si>
  <si>
    <t>Procurement of Assorted Merchandise (for Livelihood Assistance to IPS of Brgy. Zone 1 &amp; Sinoron)</t>
  </si>
  <si>
    <t>RFQ No. 2006-326 Proc. of Good (Air Conditioner)</t>
  </si>
  <si>
    <t>IMPROVEMENT OF PANUKULAN WATER SYSTEM (Construction of Additional Water Source)</t>
  </si>
  <si>
    <t>PROPOSED DECOMPOSER SHED AT SITIO HINIWA-AN,BRGY. MANGHANOY</t>
  </si>
  <si>
    <t>PROCUREMENT OF EQUIPMENT/ITEMS FOR TUNA RESEARCH PROGRAM</t>
  </si>
  <si>
    <t>20FN0106 71x Special Maintenance, Pavement Maintenance Rehabilitation/Reconstruction/ Upgrading of Damaged Paved Roads Tertiary Roads - Nabua - Bato - Libon Road and Nabua - Balatan Road, Nabua and Ba</t>
  </si>
  <si>
    <t>CONSTRUCTION OF DEEP WELL- WATER SYSTEM, PHASE- II</t>
  </si>
  <si>
    <t>20HF0099 Construction of Rain Water Collectors in Public Facilities</t>
  </si>
  <si>
    <t>Foodstuff for the consumption of government residents for the month of MAY 2020</t>
  </si>
  <si>
    <t>Construction of School Multi – Purpose Building Gattaran National Trade School, Gattaran, Cagayan</t>
  </si>
  <si>
    <t>FABRICATION AND INSTALLATION OF  2 UNITS WATER TANK (7,OOO LI) FOR SAPID   AND TETEG COMMUNITY USE.</t>
  </si>
  <si>
    <t>IMPROVEMENT OF BARANGAY FACILITIES AT BARANGAY CABAROAN LAUD, VIGAN CITY</t>
  </si>
  <si>
    <t>Purchase of Office Supplies of LGU, San Andres, Quezon.</t>
  </si>
  <si>
    <t>Purchase of Office Janitorial Supplies (May)</t>
  </si>
  <si>
    <t>Supply &amp; Delivery of  Steel Cabinet ABC:60,000.00</t>
  </si>
  <si>
    <t>Supply &amp; Delivery of  Agricultural Supplies ABC:52,000.00</t>
  </si>
  <si>
    <t>3rd Quarter 2020 Procurement of Supplies and Materials</t>
  </si>
  <si>
    <t>Construction of School Multi – Purpose Building Don Mariano High School, Gattaran, Cagayan</t>
  </si>
  <si>
    <t>Supply &amp;  Delivery of  Various Supplies ABC:138,175.70</t>
  </si>
  <si>
    <t>20BK0147  Repair/Maintenance along Jct. Victoria-Maddela-Alicia-kasibu Bdry. Rd., K0358+097, (S04747LZ), K0371+374, (S04748LZ)    Maddela &amp; Aglipay, Quirino</t>
  </si>
  <si>
    <t>Construction/Improvement of C.H.B.  Covered Drainage Canal with Concrete Slab &amp; Manhole  at Nearby Barangay Hall, Barangay Inamotan, Manaoag, Pangasinan</t>
  </si>
  <si>
    <t>Construction / Repair/ Rehab of Vice Governor’s Office, Capitol Hills Peñblanca, Cagayan</t>
  </si>
  <si>
    <t>SUPPLY AND DELIVERY OF VARIOUS MECHANICAL SPARE PARTS FOR UNIT NO. 2 100 KW DALE PERKINS, MODEL NO.: 2008, SERIAL NO.: YB-998195 INTEDED FOR SAN VICENTE DPP</t>
  </si>
  <si>
    <t>Procurement of Book Papers and Printer Ink (For Assistance to Grade 10 &amp; Senior High School Students under Career Guidance Advocacy Program)</t>
  </si>
  <si>
    <t>Purchase of  Construction Supplies (May)</t>
  </si>
  <si>
    <t>20GCK0033 - Provision of Canteen Concessionaire Services, Operation and Management of the DPWH-Tarlac 2nd District Engineering Office Canteen, San Francisco, Concepcion, Tarlac for the period of two (</t>
  </si>
  <si>
    <t>SUPPLY AND DELIVERY OF VALVES, RUBBER EXPANSION JOINT, AND PRESSURE GAUGE (GOODS-2020-006) - REBID</t>
  </si>
  <si>
    <t>PROCUREMENT OF 135 UNITS ALL-IN-ONE DESKTOP COMPUTERS</t>
  </si>
  <si>
    <t>Supply and Delivery of snacks for training participants (Junior High Teachers) on the use of online -offline Software Applications in making Instructional and supplemental materials for new normal del</t>
  </si>
  <si>
    <t>Supply &amp; Delivery of One (1) Unit Brand New Ambulance with AED,  CDRRMO, Tabaco City</t>
  </si>
  <si>
    <t>Supply and Delivery of IT Equipment’s for Economic Enterprise Office</t>
  </si>
  <si>
    <t>PARTIAL COMPLETION OF TWO-STOREY BUILDING WITH ROOF DECK &amp; MEZZANINE FLOOR OF DENR PENRO SIQUIJOR</t>
  </si>
  <si>
    <t>Request for Quotation of Variable Frequency Drive</t>
  </si>
  <si>
    <t>Procurement of Fuel Diesel RFQ No. 432</t>
  </si>
  <si>
    <t>Supply and Delivery of Supplies and Materials to be used for the Rehabilitation of FMR</t>
  </si>
  <si>
    <t>20GI0099 - Construction of Hanging Foot Bridge, Brgy. Balabag, Sta. Barbara, Iloilo</t>
  </si>
  <si>
    <t>PROCUREMENT OF PUMPBOAT FOR TAGABULI BAY CRUISE-2ND POSTING</t>
  </si>
  <si>
    <t>Procurement of Information Communication Technology (ICT) Laboratory Equipment for CEA and CIT at NORSU Main Campus (Batch 1)</t>
  </si>
  <si>
    <t>REPAIR AND RENOVATION OF THE CUSTOMER CARE CENTER OF THE BUREAU OF CUSTOMS PORT OF CEBU</t>
  </si>
  <si>
    <t>Fencing of Multi-Purpose Hall</t>
  </si>
  <si>
    <t>Construction/Improvement of Concrete Covered Drainage Canal with      Concrete Slab &amp; Manhole, Padilla St, Barangay Calaocan, Manaoag</t>
  </si>
  <si>
    <t>CONTRACT OF SERVICE WITH LABOR AND MATERIALS FOR THE REPAIR OF ROOFING AT FISH SECTION AREA</t>
  </si>
  <si>
    <t>20AE0072: Construction of 2 Storey TechVoc Workshop Buildings/Laboratories for Senior High School at La Union National High School - Sacyud Annex, San Fernando City, La Union</t>
  </si>
  <si>
    <t>Supply and Delivery of materials for 500m WINS facilities and electrical repair at room 39, 40, and 41.</t>
  </si>
  <si>
    <t>Procurement of Technology Laboratory Equipment for NORSU Bayawan- Sta. Catalina, Guihulngan and Main Campuses (Batch 1)</t>
  </si>
  <si>
    <t>Procurement of 6-cylinder Diesel Engine Inline Injection for Grader</t>
  </si>
  <si>
    <t>Purchase of Ten (10) Bottles of Stericool Concentrated Hydrogen Peroxide Sterilant for Sterilization of ZDSMC OR Instruments</t>
  </si>
  <si>
    <t>20GG0044-G - Procurement of Various Spare Parts for use of Man Truck with Plate No. SKD-947 Assigned for the Repair and Maintenance of National Roads of DPWH Iloilo 2nd DEO, Balabag, Dumangas, Iloilo</t>
  </si>
  <si>
    <t>Supply and Delivery of Agri Inputs and Tools</t>
  </si>
  <si>
    <t>Various Construction and Electrical Materials</t>
  </si>
  <si>
    <t>VARIOUS PRINTING CONSUMABLES</t>
  </si>
  <si>
    <t>Provision Supplies (Support to Online Modalities and Work from Home)</t>
  </si>
  <si>
    <t>SUPPLY AND DELIVERY OF VARIOUS ELECTRICAL SPARE PARTS FOR TAGAPUL-AN DPP</t>
  </si>
  <si>
    <t>Supply and Delivery of Materials  for the Concreting of Pavement</t>
  </si>
  <si>
    <t>TARPAULIN PRINTING OF THE 2020 CENSUS OF POPULATION AND HOUSING (2020 CPH) FORMS (BLOWN-UP) – CP FORM 1, 2, 3, 4, AND 5 FOR USE DURING TRAINING</t>
  </si>
  <si>
    <t>CONSTRUCTION OF CENTRALIZED MATERIAL RECOVERY FACILITY (MRF) PHASE 2</t>
  </si>
  <si>
    <t>ROAD CONCRETING OF WILSON ST., BRGY SAN VICENTE</t>
  </si>
  <si>
    <t>Procurement of Thirty (30) Units 4x4 Pick-up (Brand New) for Provincial Governor’s Office, PNP &amp; AFP use</t>
  </si>
  <si>
    <t>Proposed Construction of Concrete Bleacher with Roofing at Old Damulog National High School (ODNHS) at Damulog, Bukidnon</t>
  </si>
  <si>
    <t>RFQ (10HP Pump)</t>
  </si>
  <si>
    <t>cleaning and beautification</t>
  </si>
  <si>
    <t>PROCUREMENT OF CONSTRUCTION SUPPLIES AND MATERIALS</t>
  </si>
  <si>
    <t>SUPPLY, DELIVERY, TESTING AND COMMISSIONING OF ON-LINE MULTI-PARAMETER ANALYZER AND WATER LEVEL SENSOR (GOODS-2020-010) - REBID</t>
  </si>
  <si>
    <t>PROCUREMENT OF TWO UNITS PROJECTOR</t>
  </si>
  <si>
    <t>Repair and Maintenance of KIA Rescue Vehicle</t>
  </si>
  <si>
    <t>office supplies</t>
  </si>
  <si>
    <t>UPLB-RQ-6-135-20-RES SUPPLY AND DELIVERY OF LIVE ANIMALS FOR OVCRE BEE PROGRAM</t>
  </si>
  <si>
    <t>Construction of Multi-Purpose Pavement - Purok 5</t>
  </si>
  <si>
    <t>SUPPLY AND DELIVERY OF VARIOUS MECHANICAL SPARE PARTS FOR UNIT NO. 1 163KW PERKINS, MODEL NO. 2006-TG1, SERIAL NO.: 52 INTENDED FOR SAN VICENE DPP</t>
  </si>
  <si>
    <t>Procurement of Two (2) Units Service Van for Provincial Government Office use</t>
  </si>
  <si>
    <t>Supply and Delivery of Meals and Snacks intended for PUM/PUI Isolation Patient and IMT COVID-19 Operation – The Bayanihan to Heal as One Act</t>
  </si>
  <si>
    <t>20FC0125 : REPAIR/ MAINTENANCE OF DOJ BUILDING, HALL OF JUSTICE (PHASE II), Brgy. Camambugan, Daet, Camarines Norte</t>
  </si>
  <si>
    <t>Purchase of Materials for Road Concreting, Purok Malinawon, Barangay Hagdan, Santa Fe, Cebu - Barangay</t>
  </si>
  <si>
    <t>Supply of Construction/Plumbing Materials intended for Signages, Construction of Sanitary Landfill Hazardous Containment Vault and Installation of Lavatory  – “The Bayanihan to Heal as One Act”</t>
  </si>
  <si>
    <t>PROCUREMENT FOR MEDICAL EQUIPMENT PR NO.0528 S.2020</t>
  </si>
  <si>
    <t>20FC0124 : REPAIR/ MAINTENANCE OF DPWH BUILDING, AREA EQUIPMENT SERVICE BAY BUILDING (PHASE II), Brgy. II, Daet, Camarines Norte</t>
  </si>
  <si>
    <t>PROCUREMENT FOR MEDICAL SUPPLIES PR NO. 0528 S.2020</t>
  </si>
  <si>
    <t>PRINT, SUPPLY AND DELIVERY OF MTWD 2021 CALENDAR</t>
  </si>
  <si>
    <t>Supply and Delivery of 1 pc. Auto Clave use Municipal Health Office “Bayanihan to Heal as One Act”</t>
  </si>
  <si>
    <t>REI_20CSE010: Consulting Services for the Conduct of Environmental Impact Assessment (EIA), Preparation of Environmental Impact Assessment Statement (EIS) and Application of Environmental Compliance C</t>
  </si>
  <si>
    <t>REI_20CSE009:Consulting Services for the Conduct of Environmental Impact Assessment (EIA), Preparation of Environmental Impact Assessment Statement (EIS) and Application of Environmental Compliance Ce</t>
  </si>
  <si>
    <t>REWIRING OF GMAC BUILDING - MULTI PURPOSE BUILDING</t>
  </si>
  <si>
    <t>Supply and Delivery of 1 Unit Power Generator set use for Isolation Area/ Municipal Health Office “Bayanihan to Heal as One Act”</t>
  </si>
  <si>
    <t>Public Competitive Bidding for the Supply and Delivery of Various Cancer Medicines of the Department of Health</t>
  </si>
  <si>
    <t>Watchman Services</t>
  </si>
  <si>
    <t>Repainting Multi Purpose Hall &amp; Daycare Center</t>
  </si>
  <si>
    <t>Contract ID No.: 20OB0294 Contract Name: Rehabilitation of Multi-Purpose Building at Ilaya Barangka Integrated School, Mandaluyong City</t>
  </si>
  <si>
    <t>Purchase of Office Supplies and Consumables (June)</t>
  </si>
  <si>
    <t>Office Equipment Supplies Consumables</t>
  </si>
  <si>
    <t>Supply and Delivery of Construction Supplies and Materials for the Construction of 2-Units Footbridge at Purok 11, Dasing, Mesaoy, NCD</t>
  </si>
  <si>
    <t>20DE0138 (Re-advertised) Local Infrastructure Program – Rehabilitation of Road along San Isidro - Sto. Niño Rd, Batangas City, Batangas</t>
  </si>
  <si>
    <t>Procurement of Retirement Ceremony</t>
  </si>
  <si>
    <t>20DE0122 (Re-advertised) Construction/Repair/Rehabilitation/Improvement of Various Infrastructure including Local Projects – Road Widening of Lobo-Malabrigo-San Juan Rd (K0161+736 - K0163+626), Batang</t>
  </si>
  <si>
    <t>Procurement of Selected Borrow for the Rehabilitation of Farm to Market Road</t>
  </si>
  <si>
    <t>Supply and Delivery of Construction Supplies and Materials for the Rehabilitation of MPB at Carcor, NCD</t>
  </si>
  <si>
    <t>19FC0239 : REPAIR/ REHABILITATION/IMPROVEMENT ALONG DAANG MAHARLIKA, K0255+840-K0255+858, Brgy. Plaridel, Sta. Elena, Camarines Norte</t>
  </si>
  <si>
    <t>20DE0139 (Re-advertised) Local Infrastructure Program – Construction of Multi-Purpose Building, San Pascual, Batangas</t>
  </si>
  <si>
    <t>20DE0103 (Re-advertised) Local Infrastructure Program – Construction/Rehabilitation of Flood Control Structures along Lobo River (downstream), Fabrica, Lobo, Batangas</t>
  </si>
  <si>
    <t>20FC0129 : REPAIR/ MAINTENANCE OF RIVER CONTROL, TAWIG SECTION, Brgy. Tawig, Paracale, Camarines Norte</t>
  </si>
  <si>
    <t>Supply and Delivery of Construction Supplies and Materials for the Construction of 1-Unit Footbridge at Mabuhay, Mesaoy, NCD</t>
  </si>
  <si>
    <t>Contract ID No.: 20OB0324 Contract Name: Construction of Multi-Level Multi-Purpose Building, Brgy. Aguho, Pateros</t>
  </si>
  <si>
    <t>Supply and Delivery of Construction Supplies and Materials for the Rehabilitation of MPB at New Bohol, NCD</t>
  </si>
  <si>
    <t>Procurement of Journals (Back Issues 2019) for General References of All Programs- OMSC College Wide Libraries</t>
  </si>
  <si>
    <t>Contract ID No.: 20OB0350 Contract Name: Construction of Box Culvert and Site Development, Brgy. Hagonoy, Taguig City</t>
  </si>
  <si>
    <t>Purchase of kitchen utensils and other materials for the use at the Evacuation Center</t>
  </si>
  <si>
    <t>Purchase of Resograph Machine Digital Printer</t>
  </si>
  <si>
    <t>Purchase of Materials for Construction of Seven (7) Purok Centers, Barangay Hagdan, Santa Fe, Cebu - Barangay</t>
  </si>
  <si>
    <t>Purchase of goods for the stock pile of the Municipality</t>
  </si>
  <si>
    <t>Supply and Installation of Acrylic Sneeze Shield for PTB Check-in Counters</t>
  </si>
  <si>
    <t>Supply and Delivery of Construction Supplies and Materials for the Construction of MPB at Motorpool, Municipal Compound, NCD</t>
  </si>
  <si>
    <t>Procurement of Turn-Over Ceremony</t>
  </si>
  <si>
    <t>Consulting Services for the Preparation of Complete Design and other Relevant Documents for the Proposed Construction of OMSC Three-Storey 15- Classroom Building</t>
  </si>
  <si>
    <t>Procurement of Case Conference</t>
  </si>
  <si>
    <t>Contract ID No.: 20OB0348 Contract Name: Construction/Rehabilitation of Multi-Purpose Building at Brgy. Bagumbayan, Taguig City</t>
  </si>
  <si>
    <t>Purchase of Office supplies</t>
  </si>
  <si>
    <t>Supply and Installation of Blinds at the Office of the President PNOC Building 6</t>
  </si>
  <si>
    <t>Supply &amp;  Delivery of  Door Close Push &amp; Pull ABC:194,350.00</t>
  </si>
  <si>
    <t>Contract ID: 20JH0048 Construction of One (1) Unit Rain Water Collector @ Basilan National High  School 2STRY 10-CL (Unit-2)</t>
  </si>
  <si>
    <t>Supply and Delivery of Construction Supplies and Materials for the Improvement of MPH/MPB at El Salvador, NCD</t>
  </si>
  <si>
    <t>20FC0128 : REPAIR/ MAINTENANCE OF DPWH BUILDING MAINTENANCE CREW QUARTER, Brgy. Magsaysay, Capalonga, Camarines Norte</t>
  </si>
  <si>
    <t>Supply and Delivery of Construction Supplies and Materials for the Fabrication of Steel Goal at Poblacion, NCD</t>
  </si>
  <si>
    <t>Contract ID: 20JH0049 Construction of One (1) Unit Rain Water Collector @ East Terminal</t>
  </si>
  <si>
    <t>Contract ID: 20JH0050 Construction of One (1) Unit Rain Water Collector @ West Terminal</t>
  </si>
  <si>
    <t>Supply and Delivery of Supplies and  Materials  to be used for the Construction of SK Office Building</t>
  </si>
  <si>
    <t>Consulting Services for the Preparation of Complete Design and Other Relevant Documents for the Proposed Construction of OMSC Theater</t>
  </si>
  <si>
    <t>Supply and Delivery of Construction Supplies and Materials for the Relocation Site Development at Camansi, New Sambog, NCD</t>
  </si>
  <si>
    <t>Supply and Delivery of Polished Rice for BHW, BNS and BSI</t>
  </si>
  <si>
    <t>Contract ID: 20JH0051 Construction of One (1) Unit Rain Water Collector @ Begang National High  School 2STRY 6-CL</t>
  </si>
  <si>
    <t>Contract ID No.: 20OB0398 Contract Name: Construction of Justice Hall, Marikina City</t>
  </si>
  <si>
    <t>Supply and Delivery of Construction Supplies and Materials for the Rehabilitation of MPB at Cabidianan, NCD</t>
  </si>
  <si>
    <t>MG-PHP20-010 - OIL HYDROTUR #46, 10 DRUMS, OIL LUBRICATION</t>
  </si>
  <si>
    <t>Invitation to Bid for PROCUREMENT OF AGRICULTURAL MACHINERY AND EQUIPMENT</t>
  </si>
  <si>
    <t>MG-PAT20-035 - XLPE WIRE FOR 13.8KV BURIAL TYPE POWER CABLE, EU / US</t>
  </si>
  <si>
    <t>20FC0126 : REPAIR/ MAINTENANCE OF RIVER CONTROL STRUCTURE, MABULAO CREEK REVETMENT 1, Brgy. I, Daet, Camarines Norte</t>
  </si>
  <si>
    <t>Equipment Rental for the Construction of Sanitary Landfill at Sta. Cruz, NCD</t>
  </si>
  <si>
    <t>MG-PAT20-007 - ELECTRONIC MODULE FOR UNIT 1, 2 &amp; 3, HMI FOR EXCITATION SYSTEM AT CONTROL ROOM</t>
  </si>
  <si>
    <t>20DC0209 - Repair/Maintenance of Ambulong Bridge II Revetment, K0075+851, Tanauan, Batangas</t>
  </si>
  <si>
    <t>Supply and Delivery of Polished Rice for Assistance to Peace &amp; Order Operation (Detachment/CAFGU)</t>
  </si>
  <si>
    <t>MG-PLM20-011 - SUPPLY TOOLS, LABOR AND MATERIALS FOR THE REPLACEMENT OF SIX (6) SELECTED FIBER GLASS SKYLIGHT DOME AT POWERHOUSE</t>
  </si>
  <si>
    <t>Contract ID No.: 20OB0383 Contract Name: Rehabilitation of Roads, Barangay Santa Ana, Taguig City</t>
  </si>
  <si>
    <t>Invitation to Bid for PROCUREMENT OF OFFICE EQUIPMENT (DepED – Sual District Office)</t>
  </si>
  <si>
    <t>20DC0208 - Construction/Rehabilitation of Water Supply/Septage and Sewerage/Rain Water Collectors - Rain Water Collectors in Public Facilities</t>
  </si>
  <si>
    <t>Contract ID: 20JH0052 Construction of One (1) Unit Rain Water Collector @ Begang National High  School</t>
  </si>
  <si>
    <t>Contract ID No.: 20OB0365 Contract Name: Improvement of Roads and Drainage System, Barangay Sta. Ana,   Taguig City</t>
  </si>
  <si>
    <t>Supply and Delivery of Construction Supplies and Materials for the Rehabilitation of MPB at El Salvador, NCD</t>
  </si>
  <si>
    <t>Purchase of 9 units IP Bullet CCTV Camera and 3 Sets Public Address.</t>
  </si>
  <si>
    <t>Contract ID: 20JH0053 Const. of One (1) Unit Rain Water Collector @ Geras Integrated School</t>
  </si>
  <si>
    <t>Materials for improvement of comfort rooms</t>
  </si>
  <si>
    <t>ITB for the Repair and Provision of Additional Hand washing Facilities</t>
  </si>
  <si>
    <t>Supply and Delivery of 1 Pc. Portable Generator use MDRRMO “Bayanihan to Heal as One Act”</t>
  </si>
  <si>
    <t>20GMH054 - Supply/Delivery of Maintenance Tools/Equipments for Use of Routine/Roadside Maintenance, Sultan Kudarat 2nd District Engineering Office</t>
  </si>
  <si>
    <t>Supply and Delivery of 6 Units Movable Tent use for COVID 19 Operation “Bayanihan to Heal as One Act”</t>
  </si>
  <si>
    <t>20GMH053 - Supply/Delivery of Aggregate Base Course for the Resurfacing of Unpaved Shoulder along Sen. Ninoy Aquino-Lebak-Kalamansig Road, Km.1884+100-Km.1885+500 w/ exception</t>
  </si>
  <si>
    <t>Supply and Delivery of Various Supplies and Materials/Janitorial Supplies/Kitchen Wares intended for isolation area, MDRRMO, Market  for protection of  COVID 19– “The Bayanihan to Heal as One Act”</t>
  </si>
  <si>
    <t>20GMH051 - Supply/Delivery of Senior Executive Chair for use of Assistant District Engineer’s Office, DPWH Sultan Kudarat 2nd District Engineering Office</t>
  </si>
  <si>
    <t>PURCHASE OF 1 UNIT LAPTOP FOR ENERGIZATION OFFICE</t>
  </si>
  <si>
    <t>20FC0127 : REPAIR/ MAINTENANCE OF DPWH BUILDING DPWH GUESTHOUSE, Brgy. Gahonon, Daet, Camarines Norte</t>
  </si>
  <si>
    <t>MG-PAT20-025 - NON-RETURN VALVE, VALVE, NON-RETURN, STEEL</t>
  </si>
  <si>
    <t>20GMH050 - Supply/Delivery Of  Diesel Fuel For Use Of Assistant District Engineer’s Office, DPWH Sultan Kudarat 2nd District Engineering Office</t>
  </si>
  <si>
    <t>20DC0210 - Repair/Maintenance of DILG Building, BFP Agoncillo Fire Station Building, Agoncillo, Batangas</t>
  </si>
  <si>
    <t>MG-PAT20-026 - HIGH PRESSURE PISTON PUMP ASSY, MOTOR WITH PUMP ASSEMBLY (3 UNITS), HIGH PRESSURE</t>
  </si>
  <si>
    <t>MG-PLM20-088 - SUPPLY OF MATERIALS, TOOLS, EQUIPMENT, LABOR AND INCLUDING TECHNICAL EXPERTISE FR THE RESTORATION TO NORMAL OPERATING CONDITION OF 30 TR CENTRALIZED AIR CONDITION UNIT</t>
  </si>
  <si>
    <t>MG-PAT20-023 - HOSE, HYDRAULIC</t>
  </si>
  <si>
    <t>MG-PLM20-094 - TO SUPPLY LABOR, MATERIALS, TOOLS, EQUIPMENT, CONSUMABLES &amp; TECHNICAL SUPERVISION FOR THE REPLACEMENT OF OLD TUBES OF SHELL &amp; TUBES HEAT EXCHANGER</t>
  </si>
  <si>
    <t>MG-PHP20-007 - TRANSFORMER OIL SHELL DIALA B FOR TAKE-OFF TRANSFORMER</t>
  </si>
  <si>
    <t>Provision of Courier Services</t>
  </si>
  <si>
    <t>Invitation to Bid for PROCUREMENT OF FURNITURES, FIXTURES, &amp; CONSTRUCTION SUPPLIES</t>
  </si>
  <si>
    <t>P.R No. 20-06-0642: Medicines and Medical Supplies</t>
  </si>
  <si>
    <t>20GMH052 - Supply/Delivery of Toner Cartridge for use of Administrative Section (Records Management Unit, Cash Unit, Gen. Services Unit, Human Resource Management and Development Unit), DPWH Sultan Ku</t>
  </si>
  <si>
    <t>Invitation to Bid for the Construction of Slope Protection at Dulao Creek, Dulao, Aringay, La Union.</t>
  </si>
  <si>
    <t>ROAD OPENING</t>
  </si>
  <si>
    <t>Invitation to Bid for the Construction of Farm to Market Road at Salapac, Poblacion, Aringay, La Union.</t>
  </si>
  <si>
    <t>Concreting of Barangay Alley Road, Purok Jasmin Barangay Domoit, Lucena City</t>
  </si>
  <si>
    <t>20AE0073: Construction of 2 Storey 4 Classroom School Building at Pagudpud Integrated School, San Fernando City, La Union</t>
  </si>
  <si>
    <t>PURCHASE OF COMMUNICATION EQUIPMENT FOR MEETINGS, SEMINARS AND TRAINING OF MPDC OFFICE</t>
  </si>
  <si>
    <t>P.R No. 20-05-0620: 1,000 Vials Purified Vero Cell Rabies Vaccine</t>
  </si>
  <si>
    <t>20GMH058 - Supply/Delivery of Diesel Fuel for use of Finance Section, Sultan Kudarat 2nd District Engineering Office</t>
  </si>
  <si>
    <t>ITB for Communication Load</t>
  </si>
  <si>
    <t>Contract ID: 20JH0054 Construction of One (1) Unit Rain Water Collector @ Wahab Akbar   Elementary School (ES)Contract Location: Isabela City, Basilan Province</t>
  </si>
  <si>
    <t>20GMH057 - Supply/Delivery of Office Supplies for Use of Finance Section, DPWH Sultan Kudarat 2nd District Engineering Office</t>
  </si>
  <si>
    <t>Invitation to Bid for the Expansion of AWSS Water Lines along Sta. Lucia - Samara, Aringay, La Union.</t>
  </si>
  <si>
    <t>P.R No. 20-05-0584: Office Supplies</t>
  </si>
  <si>
    <t>Supply and Delivery of Fuel &amp; Lubricants use for COVID 19 Operations “Bayanihan to Heal as One Act</t>
  </si>
  <si>
    <t>FABRICATION AND INSTALLATION OF STREETLIGHTS (30-UNITS)</t>
  </si>
  <si>
    <t>Package 2 of 7 - Supply and Delivery of 3-units Heavy Duty Welding Machine with Trailer</t>
  </si>
  <si>
    <t>Supply and Delivery of Medicine Supplies for Protection of COVID 19 – “The Bayanihan to Heal as One Act</t>
  </si>
  <si>
    <t>ITB for Materials for Module</t>
  </si>
  <si>
    <t>RFQ for Emergency Purchase of RICE-LGU-Lawaan, Eastern Samar (COVID 19 Pandemic related)</t>
  </si>
  <si>
    <t>Contract ID: 20JH0055 Construction of One (1) Unit Rain Water Collector @ Ismael Elementary School (ES)</t>
  </si>
  <si>
    <t>Procurement of the Annual Subscription of BCDA Email System</t>
  </si>
  <si>
    <t>Contract ID: 20JH0058 Construction of One (1) Unit Rain Water Collector @ Kawa-Kawa Elementary School (ES)</t>
  </si>
  <si>
    <t>Contract ID: 20JH0057 Const. of One (1) Unit Rain Water Collector @ Lunot Elem. School (ES)</t>
  </si>
  <si>
    <t>Procurement of 4-Cylinder Diesel Turbo Engine for Loader 9-in-1</t>
  </si>
  <si>
    <t>ITB for the Replacement of Water Tank</t>
  </si>
  <si>
    <t>(PR No. 20-06-07-0136) 1 Lot Rehabilitation of Water Supply System of Barangay Tagpangi, Cagayan De Oro City</t>
  </si>
  <si>
    <t>Package 1 of 7 - Supply and Delivery of Two (2)-Units Brand New 6x4, 10-Wheeler Self-Loading Truck</t>
  </si>
  <si>
    <t>Contract ID: 20JH0061  Contract Name: Construction of One (1) Unit Rain Water Collector @ Tampalan Elementary School New Site</t>
  </si>
  <si>
    <t>PURCHASE OF 2-UNITS LAPTOP COMPUTER FOR MPDC OFFICE</t>
  </si>
  <si>
    <t>1ST POSTING IMPROVEMENT OF KINDERGARTEN COMFORTROOM</t>
  </si>
  <si>
    <t>Construction of 300mmØ Steel Pipe Crossing Beside Piedad Bridge</t>
  </si>
  <si>
    <t>Supply and Delivery of Agricultural Supplies to be distributed to the participants of the Blended Course on  Organic Vegetable Production under the Regular Program on June 15-19, 2020</t>
  </si>
  <si>
    <t>Contract ID: 20JH0056 Construction of One (1) Unit Rain Water Collector @ Campo-Barn Elementary School</t>
  </si>
  <si>
    <t>PROCUREMENT OF SEVENTY – FIVE (75) LAPTOP UNITS FOR TOURISM PROMOTIONS BOARD EMPLOYEES</t>
  </si>
  <si>
    <t>Package 5 of 7 - Supply and Delivery of 22-Pieces 100mmØ Electromagnetic Flow Meter</t>
  </si>
  <si>
    <t>Package 4 of 7 - Supply and Delivery of 30-Pieces 50mmØ Electromagnetic Flow Meter</t>
  </si>
  <si>
    <t>PURCHASE OF EQUIPMENT for the Technology Design and Prototyping Center</t>
  </si>
  <si>
    <t>Proposed Rehabilitation of Building 1 Ground Floor Comfort Rooms at Wet &amp; Dry Laboratory, UPV Miag-ao, Iloilo (ITB 2020-006)</t>
  </si>
  <si>
    <t>PURCHASE OF TENTS</t>
  </si>
  <si>
    <t>2020-06-0110 - PROCUREMENT OF FUEL/FUEL ADDITIVES &amp; LUBRICANTS AND ANTI-CORROSIVE FOR USE IN THE OPERATION OF VARIOUS SERVICE VEHICLES, GRASS CUTTERS &amp; CHAINSAW ASSIGN AT MAINTENANCE SECTION (2ND QUAR</t>
  </si>
  <si>
    <t>Supply of Airconditioning Units (ACU) for the following: 1.  SOTECH for CM 2.  Div. of Social Sciences, CAS</t>
  </si>
  <si>
    <t>Supply of Construction Materials for: 1.	CFOS – IA 2.	CDMO (STAFF HOUSING) (ITB 2020-005)</t>
  </si>
  <si>
    <t>1st posting of 2 sets 3 in 1 printer</t>
  </si>
  <si>
    <t>Purchase of one (1) unit Firetruck</t>
  </si>
  <si>
    <t>Proposed Rehabilitation of College Union Building, UPV Miag-ao, Iloilo”;(ITB 2020-005)</t>
  </si>
  <si>
    <t>Package 7 of 7 - Supply and Delivery of 1-unit Ultrasonic Flow Meter</t>
  </si>
  <si>
    <t>2020-06-0113 - PROCUREMENT OF CONSTRUCTION MATERIALS AND SUPPLIES FOR IMPROVEMENT OF RETAINING WALL WITH BUILT-UP DPWH MARKER LOGO</t>
  </si>
  <si>
    <t>Procurement of Disposable isolation kit</t>
  </si>
  <si>
    <t>PIPELINEIMPROVEMENT  ALONG ELIONG ROAD FROM TIBUNGCO RESERVOIR DOWN TO DAVAO-AGUSAN ROAD (UNDER TSWDP PART B)</t>
  </si>
  <si>
    <t>ITB for the Provision of Fire Alarm</t>
  </si>
  <si>
    <t>Procurement of 6-cylinder Diesel Engine for Dump Truck</t>
  </si>
  <si>
    <t>Pipelaying of Distribution Line From Indangan Elevated Steel Tank to Junction Indangan-Malagamot Road (Under TSWDP PART B)</t>
  </si>
  <si>
    <t>CONSTRUCTION OF MULTI-PURPOSE FACILITY at Cambitala National High School, Cambitala, Pantabangan, Nueva Ecija</t>
  </si>
  <si>
    <t>1ST POSTING OF MEDICAL SUPPLIES</t>
  </si>
  <si>
    <t>Package 6 of 7 - Supply and Delivery of 10-Pieces 150mmØ Electromagnetic Flow Meter</t>
  </si>
  <si>
    <t>CONSTRUCTION OF MULTI-PURPOSE FACILITY at Pias Elementary School, Pias, Gen. Tinio, Nueva Ecija</t>
  </si>
  <si>
    <t>Concreting of Pathway at NIC near Patiño Res.</t>
  </si>
  <si>
    <t>Improvement of road and drainage at Talisay, Construction of Drainage at Purok Talisay</t>
  </si>
  <si>
    <t>ITB for IEC on proper Hygiene and COVID-19 Precautionary Measures</t>
  </si>
  <si>
    <t>Concreting of Alley @ Rizal St., Km. 5, Near Alquizar Res.</t>
  </si>
  <si>
    <t>Procurement of 75 units Orbit Fan, OMMC-PR-36</t>
  </si>
  <si>
    <t>Construction of Various Projects - Package VII</t>
  </si>
  <si>
    <t>Improvement/ Construction of Facade/Face Lifting of Municipal Hall</t>
  </si>
  <si>
    <t>CONSTRUCTION OF MULTI-PURPOSE FACILITIES</t>
  </si>
  <si>
    <t>CONSTRUCTION OF PATHWAY AND CANAL LINING WITH COVER @ Brgy. Julugan VIII, Tanza, Cavite</t>
  </si>
  <si>
    <t>Package 3 of 7 - Supply and Delivery of 13-Units High Speed Scanner</t>
  </si>
  <si>
    <t>Procurement of Laboratory shoes and other safety equipment</t>
  </si>
  <si>
    <t>20GDB0016 Supply of Fuel &amp; Lubricants for use in Maintenance Sections's Service Vehicles &amp; Heavy Equipment in DPWH-Batangas I DEO (Sub-Office), Lemery, Batangas</t>
  </si>
  <si>
    <t>Invitation to Bid for the Construction of Farm to Market Road at Sitio Riverside, San Juan East, Aringay, La Union.</t>
  </si>
  <si>
    <t>Procurement of Liquid Chlorine for Water Treatment at Pumping Station of Rosario Water System</t>
  </si>
  <si>
    <t>Contract ID: 20JH0062 Const.of One (1) Unit Rain Water Collector @ Badjao Floating Elementary School (ES)</t>
  </si>
  <si>
    <t>Contract ID: 20JH0059 Const. of One (1) Unit Rain Water Collector @ Calvario Elem. School (ES)</t>
  </si>
  <si>
    <t>20GMH056 - Supply/Delivery of UPS (Unterruptible Power Supply) for use of Finance Section, Sultan Kudarat 2nd District Engineering Office</t>
  </si>
  <si>
    <t>Invitation to Bid for the Construction of Slope Protection at Zone 1, San Eugenio, Aringay, La Union.</t>
  </si>
  <si>
    <t>General Administrative Service - Office Supplies</t>
  </si>
  <si>
    <t>Concreting of Barangay Road Purok Dama de Noche, Barangay Domoit, Lucena City</t>
  </si>
  <si>
    <t>20CSEF07	Parcellary Survey for the Construction of Various Roads and Bridges - Palawan Circumferential Road Aramaywan-Berong-Puerto Princesa Road (S00064PW), Palawan</t>
  </si>
  <si>
    <t>Shredder, Paper</t>
  </si>
  <si>
    <t>Professional Geodetic Surveying Services in the Municipality of Rosario Cavite</t>
  </si>
  <si>
    <t>20CSEF04	Parcellary Survey for the Construction of Various Roads and Bridges - Palawan Circumferential Road PPSR Jct. Poblacion Brooke’s Point Road (S00011PW), Palawan</t>
  </si>
  <si>
    <t>20CSD002 : CONSULTANCY SERVICES FOR THE PREPARATION OF RIGHT-OF-WAY ACTION PLAN (RAP) FOR THE PREPARATION OF THE CALAMBA-LOS BAÑOS-BAY BYPASS ROAD</t>
  </si>
  <si>
    <t>20CSEF03	Parcellary Survey for the Construction of Various Roads and Bridges - Palawan Circumferential Road Quezon-Punta Baja Road, Palawan</t>
  </si>
  <si>
    <t>20CSEF01-Parcellary Survey for the Construction of Various Roads and Bridges - Palawan Circumferential Road Panalingaan-Tagbita-Latud (S00041PW &amp; S00042PW)</t>
  </si>
  <si>
    <t>Supply and Delivery of Various Office Supplies and Materials for the University Press</t>
  </si>
  <si>
    <t>20CSEF05	Parcellary Survey for the Construction of Various Roads and Bridges - Palawan Circumferential Road Quezon-Aramaywan Road (S00015PW), Palawan</t>
  </si>
  <si>
    <t>Supply and Delivery of Various Office Equipment, Furnitures &amp; Fixtures for the University</t>
  </si>
  <si>
    <t>Supply and Delivery of Various Medicines for the University Health Services</t>
  </si>
  <si>
    <t>20CSEF02	Parcellary Survey for the Construction of Various Roads and Bridges - Palawan Circumferential Road Rio Tuba-Buliluyan (S00063PW)</t>
  </si>
  <si>
    <t>Supply and Delivery of Various Janitorial Supplies and Materials for the University</t>
  </si>
  <si>
    <t>Supply and Delivery of Various Office Supplies and Materials for the MISTO, HRMO &amp; Finance Office</t>
  </si>
  <si>
    <t>Procurement for the Supply and Fabrication of Computer Tables for BatStateU Lemery Campus</t>
  </si>
  <si>
    <t>20CSEF06	Parcellary Survey for the Construction of Various Roads and Bridges - Palawan Circumferential Road Quezon-Punta Baja Road (S00022PW) Phase II, Palawan</t>
  </si>
  <si>
    <t>20GMH055 - Supply/Delivery of Construction Materials for the Maintenance/Improvement of DPWH Building, DPWH Sultan Kudarat 2nd District Engineering Office</t>
  </si>
  <si>
    <t>Contract ID: 20JH0060 Const. of One (1) Unit Rain Water Collector @ Bernardo Elementary  School (ES)</t>
  </si>
  <si>
    <t>Procurement of Infrastructure for Completion of Concreting of School Fence(TCC)</t>
  </si>
  <si>
    <t>Supply and Delivery of Various Medicines for the Dental Clinic</t>
  </si>
  <si>
    <t>Supply and delivery of Water Treatment Equipment</t>
  </si>
  <si>
    <t>(SBMA-BAC-GOODS-NP-14-20) ONE (1) YEAR CONTRACT OF FUEL SUPPLY (NEGOTIATED PROCUREMENT UNDER TWO-FAILED BIDDINGS)</t>
  </si>
  <si>
    <t>RFQ 064 ICT EQUIPMENT (OSA)</t>
  </si>
  <si>
    <t>Procurement of Infrastructure for Concreting of Road Public Market Area</t>
  </si>
  <si>
    <t>Procurement of Infrastructure for Concreting of Road Going to Evacuation Center</t>
  </si>
  <si>
    <t>RE-INVITATION FOR THE FURNISHING AND DELIVERY OF LAPTOP COMPUTER FOR MPDO</t>
  </si>
  <si>
    <t>PURCHASE OF MATERIALS FOR THE CONSTRUCTION OF 2 MAKESHIFT CLASSROOMS AT DAHILAYAN INTEGRATED SCHOOL</t>
  </si>
  <si>
    <t>PBD 20-078 LED Smart TV</t>
  </si>
  <si>
    <t>One Job Supply of Materials and  Labor for the Support to Municipal Nursery/Barangay Nurseries (Construction of Working Cottage).</t>
  </si>
  <si>
    <t>20CSEF08	Parcellary Survey for the Construction of Various Roads and Bridges - Palawan Circumferential Road Culandanum-Panalingaan Cross Country Road (S00065PW), Palawan</t>
  </si>
  <si>
    <t>20L00138 : Reconstruction of Concrete Road Along Bypass Road at Jct. Davao – Cotabato Rd. (Matina Crossing Section) – Matina Aplaya Rd. – Jct. Tulip Drive (Davao – Cotabato Rd.) – Ecoland Drive – Jct.</t>
  </si>
  <si>
    <t>IMPROVEMENT OF MULTI-PURPOSE BUILDING (Escolta)</t>
  </si>
  <si>
    <t>Supply and Delivery of Medical, Dental and Labarotary Supplies (Lot No. and Lot No. 2); PR No. 20-1412 dated 29 May 2020; SN 130 - 2020</t>
  </si>
  <si>
    <t>IMPROVEMENT/WIDENING OF ENSOMO STREET (White Beach)</t>
  </si>
  <si>
    <t>Supply and delivery of Curtains and Curtain Rods</t>
  </si>
  <si>
    <t>Water System Improvement @ Barangay Bagtic CY 2019-20% EDF.</t>
  </si>
  <si>
    <t>Supply, Delivery and Installation of Brand New Repeater Radio Equipment and Accessories for the Enhancement of Communication System of CDRRMO</t>
  </si>
  <si>
    <t>Supply and Delivery of Mineral Oil, Vegetable Oil and Citronella Plants</t>
  </si>
  <si>
    <t>Medicines CY 2020 General Fund</t>
  </si>
  <si>
    <t>Registry of Barangay Inhabitant (RBI), Certifications, Cases,and Website</t>
  </si>
  <si>
    <t>Water System at Brgy. Sta. Monica CY 2019-20% EDF</t>
  </si>
  <si>
    <t>Supply and Delivery of 1 Lot Drugs and Medicines; PR No. 20-1387 dated May 12, 2020</t>
  </si>
  <si>
    <t>PURCHASE OF MATERIALS FOR THE CONSTRUCTION OF BASE FOR TRANSFER OF HEDCOR BUILDING AT MALUKO</t>
  </si>
  <si>
    <t>Procurement/Acquisition of Boom Truck</t>
  </si>
  <si>
    <t>CONSTRUCTION OF CANAL LINING LOCATED @ BRGY. #7, AMADEO, CAVITE</t>
  </si>
  <si>
    <t>Procurement of Heparin, hemodialysis treatment packages</t>
  </si>
  <si>
    <t>PURCHASE OF OFFICE SUPPLIES TO BE USED BY DIFFERENT OFFICES</t>
  </si>
  <si>
    <t>INSTALLATION OF CCTV CAMERA @ VARIOUS BARANGAY LOCATED @ AMADEO, CAVITE</t>
  </si>
  <si>
    <t>FABRICATION AND INSTALLATION OF BARANGAY DAGATAN STREETLIGHTING LOCATED @ BRGY. DAGATAN, AMADEO, CAVITE</t>
  </si>
  <si>
    <t>PURCHASE OF JANITORIAL SUPPLIES TO BE USED BY DIFFERENT OFFICES</t>
  </si>
  <si>
    <t>20L00159 : Construction of Asphalt Road – Davao City Coastal Bypass Road (Bago Aplaya – Times Beach – Roxas Avenue), Package 22, Davao City</t>
  </si>
  <si>
    <t>20L00158 : Construction of Asphalt Road – Davao City Coastal Bypass Road (Bago Aplaya – Times Beach – Roxas Avenue), Package 21, Davao City</t>
  </si>
  <si>
    <t>20L00157 : Construction of Asphalt Road – Davao City Coastal Bypass Road (Bago Aplaya – Times Beach – Roxas Avenue), Package 20, Davao City</t>
  </si>
  <si>
    <t>PURCHASE OF IT EQUIPMENTS TO BE USED BY LGU-AMADEO</t>
  </si>
  <si>
    <t>Furnishing of Construction Materials for Office Renovation of MDIP Building</t>
  </si>
  <si>
    <t>20L00156 : Construction of Bridge Approach – Davao City Coastal Bypass Road (Bago Aplaya –Times Beach – Roxas Avenue), Package 4A, Davao City</t>
  </si>
  <si>
    <t>Repair of Girls' Dormitory</t>
  </si>
  <si>
    <t>20EE0134 Cluster 2-Construction of Rainwater Collection System (RWCS): 1. Tagumpay Elementary School, Tagumpay, Coron 2. Tagum Elementary School, Tagum, Coron 3. Claudio Sandoval Elementary School, Po</t>
  </si>
  <si>
    <t>20EE0132 Repair/Maintenance of DPWH Building Super Area (Storage Room) Brgy. III, Roxas, Palawan</t>
  </si>
  <si>
    <t>20EE0128 Repair/Maintenance of DPWH Building, Langogan Resthouse, Bgy. Langogan Brgy Langogan, Puerto Princesa City, Palawan</t>
  </si>
  <si>
    <t>20L00166 : Construction of Esplanade (Times Beach Section) Along Davao City Coastal Bypass Road (Bago Aplaya – Times Beach – Roxas Avenue), Davao City</t>
  </si>
  <si>
    <t>20L00165 : Construction of Asphalt Road – Davao City Coastal Bypass Road (Bago Aplaya – Times Beach – Roxas Avenue), Package 28, Davao City</t>
  </si>
  <si>
    <t>PURCHASE OF BUSINESS PLATES, 2020 STICKER AND TODA STICKER FOR THE USE OF BPLO</t>
  </si>
  <si>
    <t>Procurement of 1 unit Mini-Truck for Rescue Program</t>
  </si>
  <si>
    <t>CONCRETING OF TALYER ROAD LOCATED @ BRGY. SALABAN, AMADEO, CAVITE</t>
  </si>
  <si>
    <t>20L00163 : Construction of Asphalt Road – Davao City Coastal Bypass Road (Bago Aplaya – Times Beach – Roxas Avenue), Package 26, Davao City</t>
  </si>
  <si>
    <t>20L00162 : Construction of Asphalt Road – Davao City Coastal Bypass Road (Bago Aplaya – Times Beach – Roxas Avenue), Package 25, Davao City</t>
  </si>
  <si>
    <t>IMPROVEMENT OF AMADEO POLICE STATION LOCATED @ AMADEO, CAVITE</t>
  </si>
  <si>
    <t>20EE0126 Repainting of Concrete Bridges along El Nido - Jct. New Ibajay Road Section, K0276+268 - K0329+005 (S00059PW) and Jct Paglaum-Bato Road Section K0189+138 - K0198+910 (S00045PW) Taytay &amp; El Ni</t>
  </si>
  <si>
    <t>Repair of Boys' Dormitory</t>
  </si>
  <si>
    <t>Drainage Improvement and Concreting at Barangay Sauyo, District VI, Quezon City</t>
  </si>
  <si>
    <t>Construction of Four (4) Storey Sixteen (16) Classroom Building at Lapaz National High School, Lapaz, Iloilo City (Bid No. 20-125)</t>
  </si>
  <si>
    <t>20L00164 : Construction of Asphalt Road – Davao City Coastal Bypass Road (Bago Aplaya – Times Beach – Roxas Avenue), Package 27, Davao City</t>
  </si>
  <si>
    <t>PURCHASE OF MEDICINE TO BE USED BY RHU</t>
  </si>
  <si>
    <t>Improvement / Deepening of Estero De Concordia, Pandacan,  District VI, Manila</t>
  </si>
  <si>
    <t>Procurement of supplies and materials to be used for Skills Training Cum Production in Wooden Poultry House for Organic Chicken Production</t>
  </si>
  <si>
    <t>Drainage Improvement along C5, District II, Makati City</t>
  </si>
  <si>
    <t>Drainage Improvement along Esperanza St. and Vicinities, District II, Valenzuela City</t>
  </si>
  <si>
    <t>Supply and Delivery of Laptop with Printer and Other Supplies and Equipment.</t>
  </si>
  <si>
    <t>Rehabilitation / Improvement and Maintenance of Drainage System along Beata St., and Vicinity, Pandacan, District VI, Manila City</t>
  </si>
  <si>
    <t>PROCUREMENT OF ANTHROPOMORHIC PHANTOM FOR BS RADIOLOGIC TECHNOLOGY</t>
  </si>
  <si>
    <t>Supply and Delivery of Medical Oxygen</t>
  </si>
  <si>
    <t>Supply and Delivery of Diesel and Unleaded Gasoline Including Installation of Petroleum Underground Storage Tanks and Fuel Dispensers; PR No. 20-1431 dated 16 June 2020; SN 132 - 2020</t>
  </si>
  <si>
    <t>RE-BIDDING- PROCUREMENT OF 1 LOT VARIOUS LABORATORY REAGENTS</t>
  </si>
  <si>
    <t>Drainage Improvement along Kalayaan Avenue, District II, Makati City</t>
  </si>
  <si>
    <t>PROCUREMENT OF DIRECT DIGITAL RADIOGRAPHY SYSTEM</t>
  </si>
  <si>
    <t>Supply and Delivery of Kitchenware</t>
  </si>
  <si>
    <t>Installation of Garbage Bins in Barangay Poblacion and other adjacent Barangays</t>
  </si>
  <si>
    <t>PURCHASE OF AUDIO AND VISUAL EQUIPMENT TO BE USED BY DIFFERENT OFFICES</t>
  </si>
  <si>
    <t>Supply and Delivery of Various Office Supplies; PR No. 20-1432 dated 11 June 2020; SN 131 - 2020</t>
  </si>
  <si>
    <t>Construction/Rehabilitation of Existing Drainage System at Brgy. Navais, Mandurriao, Iloilo City (Bid No. 20-129)</t>
  </si>
  <si>
    <t>CAN - Food and Drinks UDM PR No. 834</t>
  </si>
  <si>
    <t>Supply and Delivery of One (1) Various Materials for the Construction of RCA (residual Containment Area )Building</t>
  </si>
  <si>
    <t>Procurement of Construction Materials and Supplies Use for the Maintenance of NRJ (Loreto) Sto. Nino-Bugdangan-Ferdinand Comval Boundary Road at Loreto ADS</t>
  </si>
  <si>
    <t>Repair of Classroom at Melchor L. Nava National High School, Calaparan, Arevalo, Iloilo City (Bid No. 20-127)</t>
  </si>
  <si>
    <t>PURCHASE OF FURNITURE AND FIXTURES TO BE USED BY DIFFERENT OFFICES</t>
  </si>
  <si>
    <t>Supply and Delivery of One (1) Lot Various Materials for the Improvement of Tourist Facilities</t>
  </si>
  <si>
    <t>Improvement of Malabon-Tullahan River, Muzon-Concepcion,  Malabon City</t>
  </si>
  <si>
    <t>Rehabilitation of All Gabaldon Building at Montes I Elementary School, City Proper, Iloilo City (Bid No. 20-130)</t>
  </si>
  <si>
    <t>Supply and Delivery of  One (1) Lot of Various Materials for Improvement of Drainage System</t>
  </si>
  <si>
    <t>Drainage Improvement / Declogging along R-10, Pacheco St. and Vicinity, Tondo, District I, Manila City</t>
  </si>
  <si>
    <t>Drainage Improvement / Declogging along J. Luna St., H. Lopez Blvd., C-2 Road and Vicinity, Tondo, District II, Manila</t>
  </si>
  <si>
    <t>Purchase of  Dump Truck to be used in Solid Waste Management at the Municipality of San Nicolas, Batangas</t>
  </si>
  <si>
    <t>Drainage Improvement and Concreting at Barangay BagongSilangan, District II, Quezon City</t>
  </si>
  <si>
    <t>20GM0080 - Upgrading/Improvement/Expansion of Candoni RHU, Negros Occidental.</t>
  </si>
  <si>
    <t>Supply and Delivery of Farm Input (Seeds &amp; Fertilizer)</t>
  </si>
  <si>
    <t>Construction of 30-Meter Fence Perpendicular to MSU-TCTO Main Gate</t>
  </si>
  <si>
    <t>Dredging of Maricaban Creek, at the Back of Magallanes Village, Makati City and Villamor Barangay 183 Pasay City</t>
  </si>
  <si>
    <t>Supply and Delivery of Relief Goods (PR No. 20-06-0229)</t>
  </si>
  <si>
    <t>Rehabilitation/Construction of Roads at Brgy. Bakhaw, Mandurriao, Iloilo City (Bid No. 20-128)</t>
  </si>
  <si>
    <t>CONSTRUCTION OF POTABLE WATER SYSTEM LEVEL II</t>
  </si>
  <si>
    <t>Drainage Improvement and Concreting at Barangay Vasra, District I, Quezon City</t>
  </si>
  <si>
    <t>Supply and Delivery of Farm Input (Vegetable Seeds &amp; Tools/Inputs)</t>
  </si>
  <si>
    <t>20GM0063 (RE-BIDDING) - Upgrading/Improvement/Expansion of Lorenzo D. Zayco, District Hospital, Kabankalan City, Negros Occidental.</t>
  </si>
  <si>
    <t>20L00160 : Construction of Asphalt Road – Davao City Coastal Bypass Road (Bago Aplaya – Times Beach – Roxas Avenue), Package 23, Davao City</t>
  </si>
  <si>
    <t>PURCHASE OF WHEEL CLAMP TO BE USED FOR BALIK KALSADA PROGRAM OF PNP</t>
  </si>
  <si>
    <t>PROCUREMENT AND RESTORATION OF RADIO COMMUNICATION</t>
  </si>
  <si>
    <t>Procurement of Construction Materials and Supplies use for the Establishment of 1 Residual Containment Area (RCA) at Sitio Kalimutan, San Vicente,Loreto, ADS</t>
  </si>
  <si>
    <t>PROCUREMENT AND DELIVERY OF MATERIALS FOR THE CONSTRUCTION OF 84 BY 1 METER PERIMETER FENCE OF LEUTEBORO NHS</t>
  </si>
  <si>
    <t>Procurement of HARDWARE SUPPLIES</t>
  </si>
  <si>
    <t>Procurement of Construction Materials and Supplies use for the Maintenance of NRJ (San Francisco) Lapinigan-Mate-Cabantao Road at San Francisco, ADS</t>
  </si>
  <si>
    <t>Supply and Delivery of Sanitation and disfectant Supplies.</t>
  </si>
  <si>
    <t>Construction/Rehabilitation/Improvement of Multi-Purpose Hall at Brgy. Rizal , Lapaz, Iloilo City (Bid No. 20-138)</t>
  </si>
  <si>
    <t>Concreting of Road (Ph.3) at Dumpsite, Brgy. Sabang, Naic, Cavite</t>
  </si>
  <si>
    <t>(Re-bidding)  Procurement of Multi-Purpose Vehicle for Office of the Mayor</t>
  </si>
  <si>
    <t>Construction/Rehabilitation/Improvement of Multi-Purpose Hall at Brgy. Rizal Pala-Pala I, City Proper, Iloilo City (Bid No. 20-137)</t>
  </si>
  <si>
    <t>Construction/Rehabilitation of Existing Drainage System at Brgy. Tacas, Jaro, Iloilo City (Bid No. 20-136)</t>
  </si>
  <si>
    <t>Construction/Rehabilitation/Improvement of Multi-Purpose Hall at Brgy. Bakhaw, Mandurriao, Iloilo City (Bid No. 20-135)</t>
  </si>
  <si>
    <t>20L00161 : Construction of Asphalt Road – Davao City Coastal Bypass Road (Bago Aplaya – Times Beach – Roxas Avenue), Package 24, Davao City</t>
  </si>
  <si>
    <t>Procurement of Construction Materials and Supplies use for the maintenance of NRJ (Trento) Pulang-lupa-Upper New Visayas-Monkayo Boundary Road at Trento ADS</t>
  </si>
  <si>
    <t>Concreting of Access Road to Municipal Slaughterhouse</t>
  </si>
  <si>
    <t>Wide Format Multi Function Printer etc. - REBID (01-0001) OBO</t>
  </si>
  <si>
    <t>CONSTRUCTION OF EVACUATION CENTER(Brgy. Magsaysay, Culasi, Antique)/IB. NO. K-2020-060(SC)</t>
  </si>
  <si>
    <t>Procurement of General Merchandise</t>
  </si>
  <si>
    <t>20IE0101 - REPAIR/MAINTENANCE OF DILG BUILDING LEYTE POLICE STATION Paz St., Poblacion, Leyte, Leyte</t>
  </si>
  <si>
    <t>CONSTRUCTION OF MULTI-PURPOSE CENTER(San Antonio ES, Brgy. San Antonio, Barbaza, Antique)/IB. NO. K-2020-064(SC)</t>
  </si>
  <si>
    <t xml:space="preserve">Procurement of Construction Materials and Supplies USE FOR THE ESTABLISHMENT OF 1 RESIDUAL CONTAINMENT AREA (RCA) AT SITIO BACLISE, BARANGAY ANGAS, STA. JOSEFA, ADS UNDER THE PROJECT ESTABLISHMENT OF </t>
  </si>
  <si>
    <t>Construction of Veterinary Clinic at CPSU Campus, Brgy XIV, Victorias City</t>
  </si>
  <si>
    <t>Procurement of Construction Materials  for the  Concreting of  Pathway</t>
  </si>
  <si>
    <t>CONSTRUCTION OF MULTI-PURPOSE CENTER (Phase 2)(Baghari, Barbaza, Antique)/IB. NO. K-2020-063(SC)</t>
  </si>
  <si>
    <t>IMPROVEMENT OF MULTI PURPOSE BUILDING</t>
  </si>
  <si>
    <t>Maintenance of Waterworks System</t>
  </si>
  <si>
    <t>PURCHASE OF SOIL AMELIORANT</t>
  </si>
  <si>
    <t>PURCHASE OF POST HARVEST AND FARM MACHINERY EQUIPMENT</t>
  </si>
  <si>
    <t>Procurement of ENVIRONMENTAL HEALTH/SAFETY EQUIPMENT</t>
  </si>
  <si>
    <t>CONSTRUCTION OF MULTI-PURPOSE COVERED PAVEMENT</t>
  </si>
  <si>
    <t>REHABILITATION OF BITUEN-LACUB ROAD</t>
  </si>
  <si>
    <t>CONCRETING OF FARM TO MARKET ROAD AT BRGY. LAMPAYA</t>
  </si>
  <si>
    <t>Medical, Dental and Laboratory Supplies Expenses</t>
  </si>
  <si>
    <t>Other Supplies and Materials Expenses</t>
  </si>
  <si>
    <t>Bid No. 20-0275 - PROCUREMENT OF OFFICE SUPPLIES - MCR (MUNICIPAL CIVIL REGISTRAR)</t>
  </si>
  <si>
    <t>Office Supplies Expenses</t>
  </si>
  <si>
    <t>Food Supplies Expenses</t>
  </si>
  <si>
    <t>REPAIR IMPROVEMENT OF MULTI-PURPOSED BUILDING</t>
  </si>
  <si>
    <t>CONCRETE PAVEMENT AT CALINOG TERMINAL COMPLEX</t>
  </si>
  <si>
    <t>Procurement of Construction Materials and Supplies  USE FOR THE ESTABLISHMENT OF 1 RESIDUAL CONTAINMENT AREA (RCA) AT ECO PARK, PULANG LUPA, TRENTO, ADS UNDER THE PROJECT ESTABLISHMENT OF PROVINCIAL E</t>
  </si>
  <si>
    <t>Procurement of Various Housekeeping Supplies-06-011(E)PTO</t>
  </si>
  <si>
    <t>Supply &amp; Delivery of Rescue Equipment and Accessories</t>
  </si>
  <si>
    <t>Repair and Maintenance-Motor Vehicles</t>
  </si>
  <si>
    <t>Supply and Delivery of Two (2) Units Emergency Transport Vehicle to be used in the Office of the Municipal Mayor (satellite office in Aurora), Naujan, Oriental Mindoro</t>
  </si>
  <si>
    <t>RFQ - Assorted Diesel/Oil for use for All Service Vehicles and Equipments (Maintenance Section)</t>
  </si>
  <si>
    <t>CONSTRUCTION OF FLOOD AND EROSION CONTROL PROJECT AT THE BACK OF PUBLIC MARKET, BRGY. PALDIT, SISON, PANGASINAN</t>
  </si>
  <si>
    <t>Purchase Request of Medical Equipments for Toledo City Hospital (DOH Standard)</t>
  </si>
  <si>
    <t>Purchase Request of Hospital Equipments for Toledo City Hospital (DOH Standard)</t>
  </si>
  <si>
    <t>Street Cementing (Phase II)</t>
  </si>
  <si>
    <t>Procurement of IT Equipment for RDS &amp; OARDC Use</t>
  </si>
  <si>
    <t>Concreting of Barangay Road &amp; Consruction of Sidewalk at Sitio Ibaba Banaba East, Batangas City</t>
  </si>
  <si>
    <t>Supply and Delivery of Advocacy Jacket, Longsleeves and Washable Face Masks Under FishCORAL Project</t>
  </si>
  <si>
    <t>SUPPLY AND DELIVERY OF CONSTRUCTION MATERIALS FOR BARANGAY STREETLIGHTS, PISAAN, SAN FRANCISCO, AGUSAN DEL SUR</t>
  </si>
  <si>
    <t>MATERIALS FOR THE RIPRAPPING OF CREEK BETWEEN LOT NO. 3511 AND 3514, TS 203</t>
  </si>
  <si>
    <t>MATERIALS FOR THE IMPROVEMENT OF EVACUATION CENTER</t>
  </si>
  <si>
    <t>PURCHASE OF MEDICAL SUPPLIES TO BE USED BY RHU</t>
  </si>
  <si>
    <t>Construction of Building to Accommodate COVID 19 Patients at Brgy. Lydia (Phase 02)</t>
  </si>
  <si>
    <t>PROPOSED GREENING AND BEAUTIFICATION OF LETRE CENTER ISLAND, SIDEWALK AND EASEMENT, LOCATED AT BRGY. TONSUYA, CITY OF MALABON</t>
  </si>
  <si>
    <t>Supply and Delivery of Construction Materials - ITB 024B-2020 GQ</t>
  </si>
  <si>
    <t>Procurement of Various Electrical Supplies-06-353(O)PEO</t>
  </si>
  <si>
    <t>REQUEST FOR QUOTATION - Purchase and Delivery of Various Office Supplies for NPS Region V</t>
  </si>
  <si>
    <t>Concreting of Barangay road</t>
  </si>
  <si>
    <t>construction of pathway</t>
  </si>
  <si>
    <t>REPAIR OF STAGE &amp; BASKETBALL COURT (FLOORING) at Brgy. Chitongco, Mondragon N. Samar</t>
  </si>
  <si>
    <t>PROCUREMENT OF WOODEN ARMCHAIRS FOR BCC, BUENAVISTA, BOHOL</t>
  </si>
  <si>
    <t>Outside Labor (with necessary tools/equipment and materials for fabrication including installation/ mounting of tempered glass window with sliding window and fixed grills for BMC Cashier office at 8 S</t>
  </si>
  <si>
    <t>Labor and Materials for the Installation of Solar Street Lighting System (Phase II) at Barangay San Agustin, City of San Fernando, Pampanga</t>
  </si>
  <si>
    <t>Procurement of Two (2) Units New Elevator of AFP Health Service COmmand</t>
  </si>
  <si>
    <t>CIVIL WORKS FOR THE CONCRETING OF COASTAL ROAD BRGY. STO NIÑO TO BRGY. CALOC-AN (CONTINUATION), MAGALLANES, AGUSAN DEL NORTE</t>
  </si>
  <si>
    <t>Repair and Maintenace of Patient Transport Vehicle HYUNDAI STAREX 234</t>
  </si>
  <si>
    <t>Procurement of Various Spare Parts-06-347(A)PGO</t>
  </si>
  <si>
    <t>Procurement of Various Spare Parts-06-346(A)PGO</t>
  </si>
  <si>
    <t>Procurement of 1 unit 4WD Double Cab / Multi-Purpose Vehicle, Isabela, Neg. Occ.</t>
  </si>
  <si>
    <t>Procurement of Furniture-06-028(P)PSWDO</t>
  </si>
  <si>
    <t>Procurement of Various Spare Parts-06-348(O)PEO</t>
  </si>
  <si>
    <t>Weaving Looms, 50" x 50" and warping</t>
  </si>
  <si>
    <t>Purchase of Construction Materials for Renovation of Day Care Center at Gil Sanchez, Lab. ZN:</t>
  </si>
  <si>
    <t>Procurement of 1 unit Dump Truck, Isabela, Neg. Occ.</t>
  </si>
  <si>
    <t>SUPPLY DELIVERY AND INSTALLATION INCLUDING COMMISSIONING &amp; WARRANTY OF SOLAR STREETLIGHTS</t>
  </si>
  <si>
    <t>Procurement of Construction Materials and Supplies for the Concreting of Sitio Road in Sitio Pulo, Brgy. Pantalan, President Roxas, Capiz</t>
  </si>
  <si>
    <t>Concreting of Farm to Market Road with Slope Protection at Sitio 4, Brgy. Tabucbuc</t>
  </si>
  <si>
    <t>UPGRADING OF FIRE DETECTION ALARM SYSTEM</t>
  </si>
  <si>
    <t>Procurement of Diesel Fuel -06-359(A)PGO</t>
  </si>
  <si>
    <t>Purchase of EPSON Ink of EPSONSURE Color T7270 (Plotter) to be used in the Office of the Planning and Design Section</t>
  </si>
  <si>
    <t>20GIB0035: Procurement of Security Services for Eastern Samar District Engineering Office (ESDEO) Borongan City</t>
  </si>
  <si>
    <t>RFQ No. 2006-311 Proc. of Goods (Tools for Transportation and MotorpoolUse)(Repost)</t>
  </si>
  <si>
    <t>Procurement of Various Housekeeping Supplies-06-342(A)PGO</t>
  </si>
  <si>
    <t>PURCHASE OF ANTI-RABIES VACCINE (ARV) TO CLIENTS OF THE MUNICIPALITY OF BORBON</t>
  </si>
  <si>
    <t>Supply and Delivery of Toner Cartridge</t>
  </si>
  <si>
    <t>HANDWASHING FACILITY</t>
  </si>
  <si>
    <t>Procurement of Various Electrical Supplies-06-358(O)PEO</t>
  </si>
  <si>
    <t>Improvement of Multipurpose - Brgy, Tapul</t>
  </si>
  <si>
    <t>BLGU-STAFE-AL-G-01-2020 PURCHASE/INSTALLATION SOLAR STREET LIGHT BRGY. STA. FE, ABUYOG, LEYTE</t>
  </si>
  <si>
    <t>EXPANSION OF DRAINAGE CANAL SYSTEM ( LAPU- LAPU STREET, QUIRINO &amp; HARADA BUTAI, PADADA, DAVAO DEL SUR )</t>
  </si>
  <si>
    <t>Procurement of Construction Materials and Supplies for the Construction of Core Road in Brgy. Cubay, President Roxas, Capiz</t>
  </si>
  <si>
    <t>Procurement of Various Spare Parts-06-355(A)PGO</t>
  </si>
  <si>
    <t>Construction of 2 Units Picnic Shed and Boardwalk at Katunggan Park</t>
  </si>
  <si>
    <t>Construction of Line Canal, Barangay 5</t>
  </si>
  <si>
    <t>Procurement of 1 unit Manlift Truck, Isabela, Neg. Occ.</t>
  </si>
  <si>
    <t>Supply and Delivery of Office Equipment - ITB 023B-2020  GQ</t>
  </si>
  <si>
    <t>Construction of Sanitary Landfill, Category 1</t>
  </si>
  <si>
    <t>ROAD CONCRETING AT BARANGAY MALIPAMPANG</t>
  </si>
  <si>
    <t>Procurement of Linens Requirement of VLMC, AFPHSC</t>
  </si>
  <si>
    <t>Supply of various construction materials for the Expansion of Drainage Canal ( U-Type Drainage System )</t>
  </si>
  <si>
    <t>Supply and Delivery of Construction Materials - ITB 031B-2020 GQ</t>
  </si>
  <si>
    <t>R.F.Q. (P.R. No.) 20-06-89 - Joint Sealer (25 kgs/pack)</t>
  </si>
  <si>
    <t>Supply and Delivery of Packaging Supplies and Materials</t>
  </si>
  <si>
    <t>Purchase of Equipment Logbook to be used of Heavy Equipment and Service Vehicle of DPWH Bukidnon 2nd DEO for CY 2020</t>
  </si>
  <si>
    <t>CONSTRUCTION OF APARTMENT TYPE NICHES</t>
  </si>
  <si>
    <t>Procurement of Various Spare Parts-06-349(A)PGO</t>
  </si>
  <si>
    <t>Procurement of Various Spare Parts-06-348(A)PGO</t>
  </si>
  <si>
    <t>Procurement of Various Electrical Supplies-06-357(O)PEO</t>
  </si>
  <si>
    <t>Supply, Delivery, Installation &amp; Commissioning of Brand New Digital Radiography/Fluoroscopy X-ray Machine</t>
  </si>
  <si>
    <t>THE SUPPLY AND DELIVERY OF OFFICE AND OTHER SUPPLIES</t>
  </si>
  <si>
    <t>purchase of construction materials for repair of tanod outpost SPPVS</t>
  </si>
  <si>
    <t>For use in operation of Backhoe 03, DT 02 &amp; 08, RG-05 and DT-02 assigned at City Engineer's Office.</t>
  </si>
  <si>
    <t>Procurement of Gasoline Fuel-06-358(A)PGO</t>
  </si>
  <si>
    <t>Supply and Delivery of Laboratory Reagents - ITB 028B-2020 GQ</t>
  </si>
  <si>
    <t>Procurement of Various Construction Supplies and Materials-06-002-PEO</t>
  </si>
  <si>
    <t>Supply/Delivery of  Rice for Provision of Support to Auxilliary Army Group  (PR# 20-06-0604)</t>
  </si>
  <si>
    <t>Construction/Rehabilitation of Water Supply/Septage and  Sewerage/Rain Water Collectors – Rain Water Collectors  in Public Facilities  2nd District Pampanga</t>
  </si>
  <si>
    <t>Procurement of Various Construction Supplies and Materials-06-356(O)PEO</t>
  </si>
  <si>
    <t>Procurement of Various Construction Supplies and Materials-06-355(O)PEO</t>
  </si>
  <si>
    <t>Procurement of Office Supplies for the 3rd Quarter of 2020</t>
  </si>
  <si>
    <t>Supply and Delivery of Construction Materials for the Improvement of Water System at Brgy Cogon, Talicud Island, Kaputian Dist., IGaCoS under PR No. 003</t>
  </si>
  <si>
    <t>Rehabilitation of Barangay Outpost and extension of VAWC Desk</t>
  </si>
  <si>
    <t>PROCUREMENT OF SERVICE VEHICLE</t>
  </si>
  <si>
    <t>( PR NO. 20-06-04-0071 SUPPLY AND DELIVERY OF 10 pcs Concrete Cutter Blade(18-inches), 6 pcs Concrete Cutter Blade(14-inches), 5 pcs Belt, 10 pcs (Pillow Block)Bearing)</t>
  </si>
  <si>
    <t>Supply and Delivery of Medical/Office Supplies</t>
  </si>
  <si>
    <t>Supply and Delivery of Construction Materials - ITB 029B-2020 GQ</t>
  </si>
  <si>
    <t>SUPPLY AND DELIVERY OF ONE (1) UNIT BRAND NEW DUMP TRUCK</t>
  </si>
  <si>
    <t>ROAD CONCRETING AT BARANGAY MAKAPILAPIL</t>
  </si>
  <si>
    <t>PROCUREMENT OF MONO BLOCK CHAIR</t>
  </si>
  <si>
    <t>Construction of Apartment Type Tomb, Barangay 5</t>
  </si>
  <si>
    <t>THE SUPPLY AND DELIVERY OF CONSTRUCTION MATERIALS AND SUPPLIES FOR THE CONSTRUCTION OF BAHAY PAG-ASA</t>
  </si>
  <si>
    <t>Purchase of Toner TN220 Black for Ineo 281 + Printer for use in the Office of the Planning and Design Section</t>
  </si>
  <si>
    <t>Supply &amp; Delivery of various Medicine, Medical, Dental &amp; Laboratory  Supplies for RHU-I,  RHU-II and PGH, LGU-Paniqui, Tarlac</t>
  </si>
  <si>
    <t>RFQ - Notarization Services for MOA and DOD</t>
  </si>
  <si>
    <t>SUPPLY, INSTALLATION AND COMMISSIONING OF MATERIALS, EQUIPMENT, PUMPING UNIT AND DISCHARGE LINE FOR CUTUD PUMPING STATION, BARANGAY CUTUD, ANGELES CITY</t>
  </si>
  <si>
    <t>SUPPLY, DELIVERY AND INSTALLATION OF CCTV</t>
  </si>
  <si>
    <t>Acquisition of Rural Health Unit Service Van</t>
  </si>
  <si>
    <t>purchase of construction/Fab./Installation of Solar Streetlights</t>
  </si>
  <si>
    <t>P.R. # 20-06-058 For the repair and maintenance of national roads and bridges within Caloocan City and Valenzuela City, C.Y. 2020 Routine Maintenance 2nd Quarter (April to June)</t>
  </si>
  <si>
    <t>2LSSM2020A-212 Office Supplies</t>
  </si>
  <si>
    <t>Procurement of Construction Materials for the Construction of Perimeter Niches, Brgy. Dajay, Surallah</t>
  </si>
  <si>
    <t>P.R. # 20-06-060 Maintenance and Repair of Infrastructure Facilities and other Related Activities-Routine Maintenance of National roads &amp; bridges for the Purchase of Uniform Requirements of Roadside M</t>
  </si>
  <si>
    <t>Purchase of CCTV with Installation for PNP Labason Station Surveillance:</t>
  </si>
  <si>
    <t>ROAD CONCRETING AT BARANGAY PASONG BANGKAL</t>
  </si>
  <si>
    <t>PROCUREMENT OF OFFICE SUPPLIES FOR THE 2ND QUARTER OF YEAR 2020</t>
  </si>
  <si>
    <t>Security Services for the Provincial Government of Ilocos Sur</t>
  </si>
  <si>
    <t>R.F.Q. (P.R. No.) 20-06-88 - Office Supplies</t>
  </si>
  <si>
    <t>SUPPLY , DELIVERY, INSTALLATION, COMMISSIONING &amp; TESTING OF FIVE (5) UNITS OF CEILING CASSETTE SPLIT TYPE INVERTER AIRCON 5 TONNER</t>
  </si>
  <si>
    <t>Procurement of Various Electrical Supplies-06-360(O)PEO</t>
  </si>
  <si>
    <t>20GIE0010 - Purchase of Tires and Accessories for Nissan Navarra with Plate Number SJW-290, Supply and Procurement of Equipment Parts Only. DPWH, Leyte Third District Engineering Office, V</t>
  </si>
  <si>
    <t>Supply and Delivery of One (1) Unit Multi Cab (Rebuilt/Reconditioned), Ugac Sur, Tuguegarao City</t>
  </si>
  <si>
    <t>Provisions for Covid-19 prevention and monitoring</t>
  </si>
  <si>
    <t>Bid No. 20-0276 - PROCUREMENT OF OFFICE SUPPLIES - MHO OPERATIONS</t>
  </si>
  <si>
    <t>Construction of 10 Post Solar Street Lights at Brgy. New Rizal, Catarman, Northern Samar</t>
  </si>
  <si>
    <t>Supply/Delivery of Latex Paint, 7 Liter</t>
  </si>
  <si>
    <t>Proposed Opening/Improvement of Toledo City Hospital Circumferential Road @ Brgy. Poblacion, Toledo City</t>
  </si>
  <si>
    <t>For use in the operation of City Nursery</t>
  </si>
  <si>
    <t>To hire contractor to provide materials, labor, and equipment for the “Additional Appropriation for the improvement of LDRRMD Multi-Purpose Evacuation and Operation Center, Capitol Area, Dumaguete Cit</t>
  </si>
  <si>
    <t>Construction of Multi-Purpose Building (New Building Phase I), Ugac Sur, Tuguegarao City</t>
  </si>
  <si>
    <t>REBLOCKING OF MUNICIPAL ROAD AND RECONSTRUCTION OF SLOPE PROTECTION (BRGY CALERO)</t>
  </si>
  <si>
    <t>Procurement of Construction Materials for the Concreting of Perimeter Fence, new PNP bldg.</t>
  </si>
  <si>
    <t>REHABILITATION &amp; PRESERVATION OF CULTURAL AND HISTORICAL SITES, POBLACION, IMPASUGONG, BUKIDNON</t>
  </si>
  <si>
    <t>( PR NO. 20-06-05A-0029 SUPPLY AND DELIVERY OF 100 boxes Computerized Billing Form 6000 pcs/box (as per sample))</t>
  </si>
  <si>
    <t>Supply and Delivery of Various spareparts intended for Municipal Heavy Equipment (Grader 120k &amp; Grader 120H) of this Municipality</t>
  </si>
  <si>
    <t>R.F.Q. (P.R. No.) 20-06-87 - Office Supplies (Nylon #250)</t>
  </si>
  <si>
    <t>Airconditioner 1.5Hp Window Type with Installation</t>
  </si>
  <si>
    <t>Supply of various construction materials for Road Rehabilitation at Rizal Street, Padada Davao del Sur</t>
  </si>
  <si>
    <t>( PR NO. 20-02-07-0078 Re-canvass 19 pcs Saddle Clamp,FTE 100mmØ x 50mm, 12 pcs Saddle Clamp,FTE 75mmØ x 50mm, 32 pcs Straight ball Valve w/Lockwing MTE x FTE 50mmØ, 32 pcs Brass Straight ball Valve w</t>
  </si>
  <si>
    <t>Construction of building to accommodate COVID patients &amp; person under monitoring/investigations Phase II</t>
  </si>
  <si>
    <t>Procurement of Various Electrical Supplies-06-363(O)PEO</t>
  </si>
  <si>
    <t>Supply &amp; Delivery of Tires and Battery</t>
  </si>
  <si>
    <t>Procurement of Various Electrical Supplies-06-362(O)PEO</t>
  </si>
  <si>
    <t>20CSHG0002 - Consultancy Services for the Conduct of Appraisal of Lots involving Organizational Outcome 1: Ensure Safe and Reliable National Road System; Network Development Program, Construction of M</t>
  </si>
  <si>
    <t>20GIE0011 -  Supply and Delivery of Wire and Accessories for 150KVA Generator, Supply and Procurement of Materials Only. DPWH, Leyte Third District Engineering Office, Villaba, Leyte</t>
  </si>
  <si>
    <t>Procurement of Various Electrical Supplies-06-364(O)PEO</t>
  </si>
  <si>
    <t>Purchase of Business Plate for LGU Labason:</t>
  </si>
  <si>
    <t>R.F.Q. (P.R. No.) 20-06-85 - Office Supplies</t>
  </si>
  <si>
    <t>CONCRETING OF ACCESS ROAD (BRGY STA ELENA)</t>
  </si>
  <si>
    <t>CONSTRUCTION OF PATHWAY AND STAIRWAY ALONG PUROK 5 AND PUROK 6</t>
  </si>
  <si>
    <t>Computer Set</t>
  </si>
  <si>
    <t>Concreting of Irrigation Service Road in Daramuangan Norte</t>
  </si>
  <si>
    <t>Bid No. 20-0277 - PROCUREMENT OF OFFICE SUPPLIES - MAGRO/FYDP</t>
  </si>
  <si>
    <t>FURNITURES AND FIXTURES (BLIND),  Liga ng mga Barangay</t>
  </si>
  <si>
    <t>Foods</t>
  </si>
  <si>
    <t>Procurement of Various Electrical Supplies-06-365(O)PEO</t>
  </si>
  <si>
    <t>FILLING CABINET</t>
  </si>
  <si>
    <t>Improvement of Barangay Hall Phase II</t>
  </si>
  <si>
    <t>Procurement of additional CCTV camera needed for BDRRMC Operations</t>
  </si>
  <si>
    <t>Procurement of Various Electrical Supplies-06-361(O)PEO</t>
  </si>
  <si>
    <t>P.R. # 20-06-062 For the repair and Maint. of National roads &amp; bridges within Caloocan City &amp; Valenzuela City, C.Y. 2020 Routine Maintenance Purchase of Handtools &amp; Others</t>
  </si>
  <si>
    <t>P.R. # 20-06-061 For the repair and maint. of National roads &amp; bridges within Caloocan City &amp; Valenzuela City, C.Y. 2020 Routine Maintenance Purchase of Hand tools &amp; Others.</t>
  </si>
  <si>
    <t>To hire contractor to provide materials, labor and equipment for two (2) Infrastructure Projects, viz: 1) Construction of River Control Barangay Cabugan Bindoy, Negros Oriental; 2) Concreting of Baran</t>
  </si>
  <si>
    <t>Procurement of Various IT Equipments-06-361(A)PGO</t>
  </si>
  <si>
    <t>EXTENSION OF LOCAL RISK REDUCTION MANAGEMENT OFFICE</t>
  </si>
  <si>
    <t>INSTALLATION OF SOLAR STREET LIGHTS</t>
  </si>
  <si>
    <t>( PR NO. 20-05-01A-0001 SUPPLY AND DELIVERY OF 15 bags Portland Cement (40 kg.), 30 length Deformed Reinforced Bars (16mmØ), 25 cu.m Aggregate Sub Base (item 200))</t>
  </si>
  <si>
    <t>Supply, Delivery and Installation of Tires for PRDP Vehicles (PRAS No. 2020-042 &amp; SH-016-2020)</t>
  </si>
  <si>
    <t>ROAD CONCRETING AT BARANGAY MATAAS NA PARANG</t>
  </si>
  <si>
    <t>Supply and Delivery of Materials for the Electrification of Covered Court, Barangay Bilucao</t>
  </si>
  <si>
    <t>purchase of goods for water supply</t>
  </si>
  <si>
    <t>Procurement of Various Electrical Supplies-06-359(O)PEO</t>
  </si>
  <si>
    <t>Office Equipment of GDSS for Official use of  DENR-INREMP  BUKIDNON</t>
  </si>
  <si>
    <t>P.R. 20-06-065 Air-con, 2.5HP, Split type with Inverter and Air-Con, 2.0HP, Window type with Inverter, Branded for use of Network Room</t>
  </si>
  <si>
    <t>REHABILITATION / IMPROVEMENT OF POBLACION AND MAUSOC FARM TO MARKET ROAD</t>
  </si>
  <si>
    <t>ELECTRO-MECHANICAL AND INDUSTRIAL MOTOR CONTROL TRAINING SYSTEM</t>
  </si>
  <si>
    <t>Supply of Materials, Labor and Equipment for the Rehabilitation/Construction of Sports Complex</t>
  </si>
  <si>
    <t>Procurement of Water Meter 1/2" Class C</t>
  </si>
  <si>
    <t>Construction of Access Road at Allen Transport Terminal Allen, Northern Samar</t>
  </si>
  <si>
    <t>Procurement of Office Supplies for Different Offices (2nd &amp; 3rd Qtr.)</t>
  </si>
  <si>
    <t>RSQ NO.20-06-006/PR NO.20-05-171(LPS)</t>
  </si>
  <si>
    <t>P.R. # 20-06-059 For the repair and maint. of National roads and bridges within Caloocan City &amp; Valenzuela City, C.Y. 2020 Routine Maintenance Purchase of Handtools &amp; Other.</t>
  </si>
  <si>
    <t>Proposed Road Opening (Hospital-Hinulawan Road) Brgy. Poblacion, Toledo City (L=162.00m.; W=15.00m.)</t>
  </si>
  <si>
    <t>Procurement of Computer Desktop and Laptop for Dep-Ed</t>
  </si>
  <si>
    <t>CONSTRUCTION OF WATER SUPPLY SYSTEM</t>
  </si>
  <si>
    <t>PURCHASE OF FUELS, MAYORS OFFICE</t>
  </si>
  <si>
    <t>Procurement of  Materials for the  Repair &amp; Maintenance of Parks and Plaza</t>
  </si>
  <si>
    <t>PROCUREMENT OF CONTAINER VAN</t>
  </si>
  <si>
    <t>Purchase of Construction Materials for Perimeter Fencing of 330 Lm Gulayan sa Paaralan at KAFHS, Kipit, Lab. ZN:</t>
  </si>
  <si>
    <t>Rehabilitation of Multi- Purpose Hall</t>
  </si>
  <si>
    <t>Upgrading of 2-way Radio Communication System</t>
  </si>
  <si>
    <t>Supply of Materials, Labor and Equipment for the Concreting and Continuation of Bridge Approach with Stone Masonry and Guard Railings at Dicamay I, Jones, Isabela.</t>
  </si>
  <si>
    <t>PROPOSED MATERIAL RECOVERY FACILITY (MRF)</t>
  </si>
  <si>
    <t>CONSTRUCTION OF MULTIPURPOSE HALL</t>
  </si>
  <si>
    <t>MES-Education Materials And Supplies/Basic Services</t>
  </si>
  <si>
    <t>Bid No. 20-0279 - PROCUREMENT OF OFFICE SUPPLIES - MAGRO/RIC</t>
  </si>
  <si>
    <t>UPLB-RQ-6-131-20-RES SUPPLY AND DELIVERY OF INFORMATION TECHNOLOGY FOR BIOTECH</t>
  </si>
  <si>
    <t>BARANGAY KAWIT RIPRAPPING OF ROAD AT PUROK RIVERSIDE</t>
  </si>
  <si>
    <t>Repair and Maintenance of Barangay Farm to Market Road</t>
  </si>
  <si>
    <t>Procurement of Materials for the Rehabilitation of Basketball Court</t>
  </si>
  <si>
    <t>CONSTRUCTION OF MULTI-PURPOSE BUILDING (GEN SET HOUSING - PHASE I)(BRGY NORTH POBLACION)</t>
  </si>
  <si>
    <t>REPAIR/ REHABILITATION OF STREET LIGHTS OF BARANGAY MOMBON, ZUMARRAGA, SAMAR</t>
  </si>
  <si>
    <t>Rehabilitation of Drainage Canal</t>
  </si>
  <si>
    <t>RIPRAPPING OF SLOPE PROTECTION</t>
  </si>
  <si>
    <t>Bid No. 20-0278 - PROCUREMENT OF OFFICE SUPPLIES - MAGSO</t>
  </si>
  <si>
    <t>Continuation of Barangay Community Center</t>
  </si>
  <si>
    <t>20PL0122 - Concreting of Brgy. Wagud to Brgy. Ballayangon FMR, Brgy. Wagud and Brgy. Ballayangon, Pinukpuk, Kalinga</t>
  </si>
  <si>
    <t>Supply and Delivery of Assorted Farm and Garden Tools for the establishment of Barangay Level Vegetable Technology Demonstration Farm/YRRP ESSETS</t>
  </si>
  <si>
    <t>BRGY. COVERED COURT STEEL FENCE</t>
  </si>
  <si>
    <t>MATERIALS FOR THE CONSTRUCTION OF BODEGA(WAREHOUSE) WITH AN OPEN SPACE AREA-2ND FLOOR at Benigwayan, Alubijid, Misamis Oriental</t>
  </si>
  <si>
    <t>Improvement/ Concreting of Access Road</t>
  </si>
  <si>
    <t>PROCUREMENT OF ENGINE FOR FOTON AMBULANCE</t>
  </si>
  <si>
    <t>CONSTRUCTION OF LIRIO M. ESCANO NATIONAL HIGH SCHOOL GYMNASIUM (PHASE V) , BRGY. CARIT AN , PATNONGON, ANTIQUE</t>
  </si>
  <si>
    <t>DepED-RO6-D1- “TNHS” PURCHASE OF TRANSFORMER FOR JUNIOR HIGH SCHOOL (GAD)-001-2020</t>
  </si>
  <si>
    <t>Proposed Road Rehabilitation/Improvement @ Sitio Dakit, Brgy. Cambang-ug, Toledo City</t>
  </si>
  <si>
    <t>1 set  coring machine</t>
  </si>
  <si>
    <t>( PR NO. 20-03-08-0032 Re-canvass SUPPLY AND DELIVERY OF 1 unit Vertical Turbine pump)</t>
  </si>
  <si>
    <t>IMPROVEMENT OF CALANGAHAN WATER PUMPING SYSTEM</t>
  </si>
  <si>
    <t>PROCUREMENT OF MULTI-PURPOSE SHREDDER/PULVERIZER</t>
  </si>
  <si>
    <t>Procurement of ISO-Re Certification</t>
  </si>
  <si>
    <t>supply and delivery of various electrical materials for the repair and rehabilitation of street lights (Re-wiring)</t>
  </si>
  <si>
    <t>WEST CITY CENTRAL SCHOOL EDUCATIONAL MATERIALS AND SUPPLIES</t>
  </si>
  <si>
    <t>Provision of Fuel for Various Municipal Health Vehicle for the month of July 2020</t>
  </si>
  <si>
    <t>BRGY. ROAD CONCRETING EXPANSION (PUROK TABAY)</t>
  </si>
  <si>
    <t>Supply of Fuel of various DPWH Vehicles &amp; other Equipment for the 3rd Quarter CY 2020</t>
  </si>
  <si>
    <t>4 bags pre starter feed, 50 kgs etc.</t>
  </si>
  <si>
    <t>Concreting of Lisub-B Barangay Road</t>
  </si>
  <si>
    <t>2LSSM2020A-214 Office Supplies</t>
  </si>
  <si>
    <t>REPAIR AND MAINTENANCE OF BARANGAY HALL OF BRGY. MAPULO -002</t>
  </si>
  <si>
    <t>Procurement of Supply and Materials for the Construction of 39 TLS within the Municipality of Bansalan, Davao del Sur</t>
  </si>
  <si>
    <t>Supply and Delivery of 1 unit Emergency Response Vehicle under Purchase Request No. 900-20</t>
  </si>
  <si>
    <t>4 units diamond core, drill bit</t>
  </si>
  <si>
    <t>Supply and Delivery of Janitorial Supplies for use in DPWH-1st District Engineering Office, Agusan del Sur</t>
  </si>
  <si>
    <t>PR-2020-05-0020 - Procurement of Paint Materials for Routine Maintenance of Pedestrian Lane, Center Lane and Side Lane along Olongapo-Bugallon Road (S01359LZ)</t>
  </si>
  <si>
    <t>Purchase of trash bin</t>
  </si>
  <si>
    <t>SUPPLY AND DELIVERY OF TWO (2) UNITS MULTI-PURPOSE RESCUE VEHICLE, MDRRMO, LGU CANDELARIA, QUEZON</t>
  </si>
  <si>
    <t>Lot 2 Supply &amp; Delivery of IT Equipment for the use of Procurement Unit</t>
  </si>
  <si>
    <t>20CN0154- Network Development Program, Off-Carriageway Improvement – Secondary Roads, Baler – Casiguran Road (Dinadiawan – Casiguran Section), K0322+404 – K0323+617, K0332+000 – K0333+725, K0334+732 –</t>
  </si>
  <si>
    <t>Supply and Delivery of Automation Equipment</t>
  </si>
  <si>
    <t>2LSSM2020A-216 Office Supplies</t>
  </si>
  <si>
    <t>2LSSM2020A-215 Office Supplies</t>
  </si>
  <si>
    <t>PROCUREMENT OF CONSTRUCTION MATERIALS FOR THE CONSTRUCTION OF SOLAR DRIER AT UPPER PUROK 2- POBLACION, SUMILAO, BUKIDNON</t>
  </si>
  <si>
    <t>20CN0153 - Asset Preservation Program – Rehabilitation/Reconstruction/Upgrading of Damaged Paved Roads – Secondary Roads, Baler-Casiguran Rd (Baler-Dinadiawan) - K0232+609 - K0232+773, K0239+773 – K02</t>
  </si>
  <si>
    <t>Procurement of Various Consumables for Printers and Photocopier of the Four (4) Campuses (2nd Pub)</t>
  </si>
  <si>
    <t>Purchasing Office Supplies</t>
  </si>
  <si>
    <t>Purchase &amp; installation of solar street lights</t>
  </si>
  <si>
    <t>Procurement of Supply and Materials for the Construction of 65 TLS to be delivered within the Municipality of Magsaysay, Davao del Sur</t>
  </si>
  <si>
    <t>REPAIR OF HEALTH CENTER</t>
  </si>
  <si>
    <t>2LSSM2020A-220 Office Supplies</t>
  </si>
  <si>
    <t>PROCUREMENT OF REPAIR, PREVENTIVE MAINTENANCE AND CALIBRATION SERVICES FOR VARIOUS MEDICAL EQUIPMENT</t>
  </si>
  <si>
    <t>Purchase of Construction Materials for Renovation of Day Care Center at Ubay, Lab. ZN:</t>
  </si>
  <si>
    <t>2LSSM2020A-218 Office Supplies</t>
  </si>
  <si>
    <t>LGU-MLPT-2020-02</t>
  </si>
  <si>
    <t>EPSON L360 printer</t>
  </si>
  <si>
    <t>Catering Services for the 2020 Census of Population and Housing (2020 CPH) Fourth Level Training in Lupon, Davao Oriental on 10-15 August 2020</t>
  </si>
  <si>
    <t>Supply and Installation of Hospital Information Management System</t>
  </si>
  <si>
    <t>20GIE0012 - Purchase of Toner for use in the Photocopier Machine in Planning and Design Section. DPWH, Leyte Third District Engineering Office, Villaba, Leyte</t>
  </si>
  <si>
    <t>RENOVATION AND IMPROVEMENT OF THE MAIN BUILDING WITH MULTI-PURPOSE HALL AND EVACUATION CENTER</t>
  </si>
  <si>
    <t>2LSSM2020A-219 Office Supplies</t>
  </si>
  <si>
    <t>Purchase &amp; Delivery of Various Medical, Dental &amp; Laboratory Supplies for Maitum MH (Re-bid)</t>
  </si>
  <si>
    <t>Construction of Covered Court (Phase II) at Barangay Silongin, San Francisco, Quezon</t>
  </si>
  <si>
    <t>Supply and Delivery of 35 units Multicabs under Purchase Request No. 590-20</t>
  </si>
  <si>
    <t>Proposed Bahay Pag-asa Building (Phase II-A) - (Maitum, Upper Puerto); SN 129 - 2020</t>
  </si>
  <si>
    <t>PURCHASE OF MEDICINE SUPPLIES</t>
  </si>
  <si>
    <t>Supply and Delivery of Assorted Medicines for Municipal Health Office of Cuyo</t>
  </si>
  <si>
    <t>2LSSM2020A-217 Office Supplies</t>
  </si>
  <si>
    <t>purchase of spare parts of vehicles for 3rd quarter</t>
  </si>
  <si>
    <t>Supply, Delivery and Configuration of LTE CPE Broadband Device for CTU Flexible Learning System (FLS) with Smart/PLDT Telecom Network</t>
  </si>
  <si>
    <t>purchase of printing forms for 3rd quarter</t>
  </si>
  <si>
    <t>Digital Clock</t>
  </si>
  <si>
    <t>2LSSM2020A-224 Office Supplies</t>
  </si>
  <si>
    <t>2LSSM2020A-223 Office Supplies</t>
  </si>
  <si>
    <t>Invitation to Bid for the Procurement of Office Supplies for Instructional Materials</t>
  </si>
  <si>
    <t>Purchase of HUmidifier Oil scents</t>
  </si>
  <si>
    <t>Procurement of Workbooks for Kindergarten</t>
  </si>
  <si>
    <t>PB-Procurement of Cardiac Surgery Instruments (ITB No. 2020-15)</t>
  </si>
  <si>
    <t>UPLB-RQ-6-133-20-I SUPPLY AND DELIVERY OF GENERAL CONTRACTOR FOR IC</t>
  </si>
  <si>
    <t>Formulation of Feasibility Study for the Improvement of Water System in the City of San Pablo.</t>
  </si>
  <si>
    <t>Construction of Covered Court (Phase II) at Barangay Nasalaan, San Francisco, Quezon</t>
  </si>
  <si>
    <t>Catering Services for the 2020 Census of Population and Housing (2020 CPH) Fourth Level Training in San Isidro, Davao Oriental on 10-15 August 2020</t>
  </si>
  <si>
    <t>2LSSM2020A-222 Office Supplies</t>
  </si>
  <si>
    <t>20GKK0032 – Supply and Delivery of Fuel to be used by DPWH-MOFDEO Service Vehicle and Equipment of All Section</t>
  </si>
  <si>
    <t>PURCHASE OF PAINTING MATERIALS FOR TODA (TRICYCLE)</t>
  </si>
  <si>
    <t>20GIE0013 - Purchase of -10,000- liters of Diesel Fuel for use in Planning and Design Section. DPWH, Leyte Third District Engineering Office, Villaba, Leyte</t>
  </si>
  <si>
    <t>Various Infrastructure Projects (Infra-20-09), Kabankalan City, Negros Occidental</t>
  </si>
  <si>
    <t>Concreting of Access Road to Police and health Station</t>
  </si>
  <si>
    <t>2LSSM2020A-221 Office Supplies</t>
  </si>
  <si>
    <t>2LSSM2020A-225 Food Supplies</t>
  </si>
  <si>
    <t>Construction of Multi-Purpose Hall</t>
  </si>
  <si>
    <t>PROCUREMENT OF TWO HUNDRED (200) TRUCKLOAD FILLING MATERIALS INCLUDING FUEL, OIL AND RIGHTS AT SAMBULAWAN, EL SALVADOR CITY</t>
  </si>
  <si>
    <t>Procurement of Supply and Materials for the Construction of 17 TLS to be delivered at Municipality of Sta. Cruz</t>
  </si>
  <si>
    <t>Invitation to Bid for the Procurement of Stainless Steel Demonstration Tables and Sink for Food Laboratory</t>
  </si>
  <si>
    <t>Rehabilitation/Improvement of Level II Water System in Luma, Lebe</t>
  </si>
  <si>
    <t>Supply and Materials for the Construction of 68 Classroom TLS to be delivered to Municipality of Matanao</t>
  </si>
  <si>
    <t>104 bags Portland Cement 40 kgs and other items for the construction of Barangay Multi-Purpose Hall (Phase I) at Barangay Mangnao.</t>
  </si>
  <si>
    <t>Supply/Delivery of Food Packs</t>
  </si>
  <si>
    <t>Procurement of Coco Lumber for the Construction of 39 TLS to be delivered within the Municipality of Bansalan</t>
  </si>
  <si>
    <t>PURCHASE OF MEDICINE FOR 3RD QUARTER</t>
  </si>
  <si>
    <t>Concreting of Farm to Market Road-Katipunan, Clarin, Bohol</t>
  </si>
  <si>
    <t>35 heads Piglets, black, mixed breed, 2 months old etc.</t>
  </si>
  <si>
    <t>PURCHASE OF PERSONAL PROTECTIVE EQUIPMENT</t>
  </si>
  <si>
    <t>Package 59: Supply and Delivery of Catering Services for COVID-19 Emergency Operation Center in Cagayan de Oro City</t>
  </si>
  <si>
    <t>Supply and Delivery of Construction Materials for the Concreting and Widening of Road (Phase II) at Purok 3, Barangay Sta. Lucia, City of San Fernando, Pampanga</t>
  </si>
  <si>
    <t>Installation of Street Lighting System</t>
  </si>
  <si>
    <t>CONTRACT ID 20GIJ-0002 SUPPLY OF 40,000 LITRES DIESEL FUEL, 10,000 LITRES PREMIUM GASOLINE &amp; 40,000 LITRES UNLEADED GASOLINE FOR THE 2ND &amp; 3RD QUARTER PROCUREMENT OF F.Y. 2020.</t>
  </si>
  <si>
    <t>1 unit Server  etc. (06-0633) CMO</t>
  </si>
  <si>
    <t>Improvement/Concreting of Cadlit Road, Brgy. Cadlit, Buenavista, Quezon</t>
  </si>
  <si>
    <t>CONSTRUCTION OF NATIONAL CHILD DEVELOPMENT CENTER : SOURCE OF FUND- EARLY CHILDHOOD CARE AND DEVELOPMENT COUNCIL TRUST FUND</t>
  </si>
  <si>
    <t>Supply and Delivery of Construction Materials for the Repair/Rehabilitation of Line Canal at Barangay Malpitic, City of San Fernando, Pampanga</t>
  </si>
  <si>
    <t>8 cu.m Sand std. specs and other items for the construction of Barangay Multi-Purpose Hall (Phase I) at Barangay Mangnao.</t>
  </si>
  <si>
    <t>PROVISION OF OLD AGE ADVANTAGE BONUS BIRTHDAY GIFT ( CAKE) FOR SENIOR CITIZENS</t>
  </si>
  <si>
    <t>Repainting of Pancho Hall at Bustos Campus</t>
  </si>
  <si>
    <t>Cleaning &amp; maintenance Check Up of ACUs</t>
  </si>
  <si>
    <t>Procurement of Hospital/Medical Equipment</t>
  </si>
  <si>
    <t>2LSSM2020A-226 Food Supplies</t>
  </si>
  <si>
    <t>Package 58: Supply and Delivery of Catering Services (Live-Out) in Cagayan de Oro City</t>
  </si>
  <si>
    <t>Supply/Delivery of Standard ISO PE Pipes</t>
  </si>
  <si>
    <t>CID NO. 20IF0139-CY 2020 BEFF, CONSTRUCTION OF CLASSROOMS, LILOAN NATIONAL HIGH SCHOOL (ANNEX), BARANGAY SALVACION, ORMOC CITY</t>
  </si>
  <si>
    <t>CID NO. 20IF0140-CY 2020 BEFF, CONSTRUCTION OF CLASSROOMS, ORMOC CITY CENTRAL SCHOOL, ORMOC CITY</t>
  </si>
  <si>
    <t>PURCHASE OF FOOD PACKS FOR MODERATELY ACUTE MALNOURISHED CHILDREN</t>
  </si>
  <si>
    <t>Construction of Multi-Purpose Hall (Phase II) at Barangay Huyon-Uyon, San Francisco, Quezon</t>
  </si>
  <si>
    <t>SUPPLEMENTAL FEEDING</t>
  </si>
  <si>
    <t>Repainting of Wall and Ceiling (Hallway) at Flores Hall</t>
  </si>
  <si>
    <t>Request for Quotation Supply and Installation of Air-conditioning Units and Television Sets</t>
  </si>
  <si>
    <t>Supply &amp; Delivery of Phacoemulsification-Vitrectomy Machine</t>
  </si>
  <si>
    <t>Reproduction of Deatailed Lesson Plans and Modules for the First Quarter of SY 2020-2021</t>
  </si>
  <si>
    <t>Invitation to Bid for the Procurement of I.T. Equipment</t>
  </si>
  <si>
    <t>INVITATION TO BID FOR THE SUPPLY AND DELIVERY OF BRAND NEW SIX WHEELER MEAT VAN TRUCK</t>
  </si>
  <si>
    <t>Iprovement/Concreting of Sitio Yabaan Road, Brgy. Maligaya, Buenavista, Quezon</t>
  </si>
  <si>
    <t>B20200217 - TIRES FOR VARIOUS PROVINCIAL EQUIPMENT FOR PEO POOL USE</t>
  </si>
  <si>
    <t>Initial Construction of Standard Day Care Center, Brgy. San Pablo, Buenavista, Quezon</t>
  </si>
  <si>
    <t>Repair Extension of Multi-Purpose Hall (Stairs) - Callitong</t>
  </si>
  <si>
    <t>20CB-GSC-355 PURCHASE OF ENGINE OIL FOR CITY AGRI</t>
  </si>
  <si>
    <t>CONSTRUCTION OF TRANSPORT TERMINAL (COMPLETION) - (CONSTRUCTION OF PUBLIC TOILET)</t>
  </si>
  <si>
    <t>Audio/Visual (AV), Projector Multimedia and Scanner High Speed for MARINDUQUE 69KV TL&amp;SS</t>
  </si>
  <si>
    <t>Supply and Delivery of Various Operations Maintenance of MACONACON DPP</t>
  </si>
  <si>
    <t>Supply and Delivery of Various Water Service Connection Materials for Installation of 75mm dia. uPVC Distribution Line for Expansion Projects at Kalibo, Banga &amp; New Washington Areas</t>
  </si>
  <si>
    <t>PROCUREMENT OF SECURITY SERVICES FOR THE MUNICIPAL GOVERNMENT OF INFANTA, QUEZON</t>
  </si>
  <si>
    <t xml:space="preserve">Installation and Implementation of pre-developed and customized Application Systems for establishment of centralized Data Banking System Website for International Connection of the City Government of </t>
  </si>
  <si>
    <t>B20200216 - POULTRY BREEDER PARENT STOCK (MALE &amp; FEMALE) FOR PVO USE</t>
  </si>
  <si>
    <t>CONSTRUCTION MATERIALS FOR THE REPAIR, RENOVATION AND EXPANSION OF DRESSMAKING AND TAILORING NC II SCHOOL SHOP</t>
  </si>
  <si>
    <t>Stack Emission Testing for Various Generating Set of BOAC DPP (5X100KW MAN Containerized Genset and 2X1224 KW CKD Genset</t>
  </si>
  <si>
    <t>20CB-GSC-358 PURCHASE OF VARIOUS OFFICE EQUIPMENT</t>
  </si>
  <si>
    <t>Construction of Access Road to SDSSU with Drainage</t>
  </si>
  <si>
    <t>2LSSM2020A-228 Food Supplies</t>
  </si>
  <si>
    <t>Initial Construction of Standard Day Care Center, Brgy. Masaya, Buenavista, Quezon</t>
  </si>
  <si>
    <t>20CB-GSC-357 PURCHASE OF PURIFIED DRINKING WATER</t>
  </si>
  <si>
    <t>PES Printing of Tarpaulin</t>
  </si>
  <si>
    <t>2LSSM2020A-231 Other Supplies and Materials</t>
  </si>
  <si>
    <t>2LSSM2020A-229 Food Supplies</t>
  </si>
  <si>
    <t>CONCRETING OF BRGY. ROAD AT BRGY. BATICAN, INFANTA, QUEZON</t>
  </si>
  <si>
    <t>Concreting of Access Road to Municipal Cemetery</t>
  </si>
  <si>
    <t>Electrical Supplies</t>
  </si>
  <si>
    <t>2LSSM2020A-230 Food Supplies</t>
  </si>
  <si>
    <t>Internet Connectivity Network at BOAC DPP</t>
  </si>
  <si>
    <t>Procurement of Laptop &amp; Printer</t>
  </si>
  <si>
    <t>1st Quarter Supply ( BUSCO CES) 2020</t>
  </si>
  <si>
    <t>20CB-GSC-356 REPAIR OF MITSUBISHI ESTRADA FOR CEO</t>
  </si>
  <si>
    <t>Improvement/Concreting of Cawa-Cabong Road, Brgy. Cawa - Cabong, Buenavista, Quezon</t>
  </si>
  <si>
    <t>20CB-GSC-359 PURCHASE OF IT EQUIPMENT</t>
  </si>
  <si>
    <t>Procurement of Coco Lumber for the Construction of 65 TLS to be delivered at Municipality of Magsaysay</t>
  </si>
  <si>
    <t>IT SOFTWARES</t>
  </si>
  <si>
    <t>Improvement of Multi-Purpose Pavement (Bleachers) - Callitong</t>
  </si>
  <si>
    <t>Supply of Labor, General Servicing and Overhauling of Four Radiators of MONGPONG DPP</t>
  </si>
  <si>
    <t>2LSSM2020A-236 Other Supplies and Materials</t>
  </si>
  <si>
    <t>Procurement of Chair</t>
  </si>
  <si>
    <t>Procurement Materials for the Completion of Poblacion 06 Community Stage</t>
  </si>
  <si>
    <t>20CB-GSC-362 PURCHASE OF FURNITURE AND FIXTURES</t>
  </si>
  <si>
    <t>2LSSM2020A-235 Other Supplies and Materials</t>
  </si>
  <si>
    <t>purchase of fertilizers for rice farmers of SNIN</t>
  </si>
  <si>
    <t>PES Purchase of Mobile Load Card 2020-Supplemental</t>
  </si>
  <si>
    <t>Procurement of Medical Equipment</t>
  </si>
  <si>
    <t>B20200215 - MEDICAL SUPPLIES FOR DDNH-KAPALONG ZONE</t>
  </si>
  <si>
    <t>Supply and Delivery of 163,416 sachet Rice-Mongo-Sesame Seeds Cereal/Blend under Purchase Request No. 835-20</t>
  </si>
  <si>
    <t>2LSSM2020A-234 Other Supplies and Materials</t>
  </si>
  <si>
    <t>20CB-GSC-361 PURCHASE OF GENERAL MERCHANDISE</t>
  </si>
  <si>
    <t>Supply and Labor, Equipment and Expertise to Conduct Stack Emission Testing of 1x336kW "MING" Diesel Engine of KABUGAO DPP</t>
  </si>
  <si>
    <t>2LSSM2020A-233 Other Supplies and Materials</t>
  </si>
  <si>
    <t>Bid No. 20-0280 - PROCUREMENT OF OFFICE SUPPLIES - MAGRO/MCDC</t>
  </si>
  <si>
    <t>HO-TMD20-008 - Supply and Delivery of Current Shunt, Resistor Standard, Caliper Digimatic and Clamp</t>
  </si>
  <si>
    <t>Hog Fattening ( Feeds, Dewormer &amp; Vitamins)</t>
  </si>
  <si>
    <t>INSTALLATION OF BARANGAY STREETLIGHTING SYSTEM</t>
  </si>
  <si>
    <t>Rehabilitation of Francia Distribution Line</t>
  </si>
  <si>
    <t>20CN0101 - Construction of Municipal Slaughterhouse, Baler, Aurora</t>
  </si>
  <si>
    <t>Invitation to Bid for the Construction of Lined Canal at Sitio Agsambalilo, Calsapa</t>
  </si>
  <si>
    <t>Catering Services 2020</t>
  </si>
  <si>
    <t>Concreting of Tagaytay Barangay Road</t>
  </si>
  <si>
    <t>Catering Services for the 2020 Census of Population and Housing (2020 CPH) Fourth Level Training in Banaybanay, Davao Oriental on 10-15 August 2020</t>
  </si>
  <si>
    <t>Food, Venue and Accommodation for the  2020 Census of Population and Housing (2020 CPH) Third Level Training on  August 3-8, 2020</t>
  </si>
  <si>
    <t>PROCUREMENT OF INFORMATION TECHNOLOGY (IT) EQUIPMENT</t>
  </si>
  <si>
    <t>2LSSM2020A-227 Food Supplies</t>
  </si>
  <si>
    <t>2LSSM2020A-232 Other Supplies and Materials</t>
  </si>
  <si>
    <t>Supply, Delivery and Configuration of LTE CPE Broadband Device for CTU Flexible Learning System (FLS) with Globe Telecom Network</t>
  </si>
  <si>
    <t>UNIVERSAL REFRIGERATION TRAINING SYSTEM</t>
  </si>
  <si>
    <t>BARANGAY MULTI PURPOSE CENTER CONSTRUCTION FOR VILLA ELIOT AT VILLA ELIOT, PATNONGON, ANTIQUE</t>
  </si>
  <si>
    <t>Local Access Road-Road Upgrading (Concrete Paving of Barangay Amontay FMR)</t>
  </si>
  <si>
    <t>2LSSM2020A-213 Office Supplies</t>
  </si>
  <si>
    <t>COMPLETION OF BARANGAY OFFICE</t>
  </si>
  <si>
    <t>ROAD UPGRADING/CONCRETE PAVING P. HERRERA FMR</t>
  </si>
  <si>
    <t>Procurement Materials for the Installation of 10 Unit Street Lighting</t>
  </si>
  <si>
    <t>SUPPLY, DELIVERY AND INSTALLATION OF RANK "A" PREVENTIVE MAINTENANCE AND SERVICING OF FOUR (4) UNITS MITSUBISHI DEGS MODEL NO. S6A3-PTA-S MODEL DIESEL AT ILOILO INTERNATIONAL AIRPORT (RE-POST)</t>
  </si>
  <si>
    <t>SUPPLY/INSTALLATION OF LIGHT @ COVERED COURT, BRGY. TAGBUBUNGA, VILLABA, LEYTE : SOURCE OF FUND- BRGY. FUND 20% EDF CY2020</t>
  </si>
  <si>
    <t>2LSSM2020A-238 Other Supplies and Materials</t>
  </si>
  <si>
    <t>SUPPLY AND DELIVERY OF PE TUBING 1/2 SDR11</t>
  </si>
  <si>
    <t>HO-OMR20-003 - Supply and Delivery of Philippine Flag and Hiking Shoes</t>
  </si>
  <si>
    <t>Purchase of One (1) unit Ambulance for the use of LGU-Hinigaran, Negros Occidental.</t>
  </si>
  <si>
    <t>PES Purchase of Office Supplies 2020-Supplemental</t>
  </si>
  <si>
    <t>20CB-GSC-364 PURCHASE OF FOOD SUPPLIES FOR OSCA</t>
  </si>
  <si>
    <t>2LSSM2020A-237 Other Supplies and Materials</t>
  </si>
  <si>
    <t>Supply of Labor, Materials and Equipment for the Construction/Improvement of Birthing Clinic (Phase II), Brgy. Lalayat, San Jose, Batangas</t>
  </si>
  <si>
    <t>Rehabilitation of Multi-Purpose Building (VAWC, BCPC), Brgy. Site, Brgy. New Carmen, Tacurong City</t>
  </si>
  <si>
    <t>Procurement of Tools and Equipment for Electrical Installation and Maintenance NC II (ALS-EST)</t>
  </si>
  <si>
    <t>Repairs and maintenance of PRDP Vehicle NH2879</t>
  </si>
  <si>
    <t>Purchase to be used in Military, Police, and Security Equipment</t>
  </si>
  <si>
    <t>Procurement of Coco Lumbers for the Construction of 68 TLS to be delivered at the Municipality of Matanao</t>
  </si>
  <si>
    <t>B20200226 - TIRE, OIL FILTER AND FUEL FILTER FOR FOTON TRUCK</t>
  </si>
  <si>
    <t>Equipment to be use in the Computerization Program (RPTAS) Phase 1</t>
  </si>
  <si>
    <t>Procurement of Various Office Supplies and Consumables of Mun. Accountant's Office - Laak, Davao De Oro</t>
  </si>
  <si>
    <t>Supply and delivery of materials for the Improvement of Water System</t>
  </si>
  <si>
    <t>20PL0123 - Concreting of Brgy. Magnao FMR, Brgy. Magnao, Tabuk City, Kalinga</t>
  </si>
  <si>
    <t>Tobacco Farmers/Cooperatives' Hybrid Corn Seed Subsidy for Alternative Farming Livelihood Project</t>
  </si>
  <si>
    <t>Supply &amp; Delivery of Construction Materials for Fabrication of 4 Modular Tents</t>
  </si>
  <si>
    <t>20CB-GSC-360 CATERING SERVICES</t>
  </si>
  <si>
    <t>Purchase of Towel and Soap Dispensers</t>
  </si>
  <si>
    <t>SUPPLY OF LABOR AND MATERIALS FOR THE DRILLING OF ONE (1) UNIT PRODUCTION WELL LOCATED AT VILLA CZARINA SUBDIVISION, BARANGAY CUAYAN, ANGELES CITY</t>
  </si>
  <si>
    <t>1 unit digital leak detector</t>
  </si>
  <si>
    <t>Opening of Barangay Roads, Purok Salukag, Brgy. New Carmen, Tacurong City</t>
  </si>
  <si>
    <t>Repair/Maintenance of Revetment along Porac River, San Isidro, Floridablanca, Pampanga</t>
  </si>
  <si>
    <t>2LSSM2020A-241 Other Supplies and Materials</t>
  </si>
  <si>
    <t>Supply and Delivery of Various Drugs and Medicines</t>
  </si>
  <si>
    <t>Procurement of Various Housekeeping Supplies-06-007(I)COA</t>
  </si>
  <si>
    <t>HFW : 1 LOT PERSONAL APPARELS FOR THE USE OF CLIENT AT HOME FOR WOMEN FOR 2nd SEM 2020.</t>
  </si>
  <si>
    <t>20CB-GSC-365 PURCHASE OF DRUGS AND MEDICINES FOR DJPRH (RE-BID)</t>
  </si>
  <si>
    <t>B20200229 - FURNITURES AND FIXTURES FOR DDNH-KAPALONG ZONE</t>
  </si>
  <si>
    <t>Concreting of Road at Sermal St., Barangay Atilano Ricardo, Bagac, Bataan</t>
  </si>
  <si>
    <t>Supply of Labor, Materials and Equipment for the Construction/Rehabilitation of Line Canal, Drainage System, Pipe Culvert/Box Culvert, Brgy. Banaybanay II, San Jose, Batangas</t>
  </si>
  <si>
    <t>Procurement Materials for the Rehabilitation of Barangay Plaza</t>
  </si>
  <si>
    <t>purchase of books for San Nicolas Elementary School</t>
  </si>
  <si>
    <t>Supply and Delivery of Materials for the Operations Maintenance of POWER BARGE 120</t>
  </si>
  <si>
    <t>B20200230 - EQUIPMENT RENTAL FOR PROPOSED ROAD OPENING OF TAWINIAN - TAPAYANON ROAD SECTION, KAPALONG</t>
  </si>
  <si>
    <t>2LSSM2020A-240 Other Supplies and Materials</t>
  </si>
  <si>
    <t>Internet connectivity to 11 E/S and 2 H/S w/ hands-on orientation on operation of learning management system</t>
  </si>
  <si>
    <t>Supply of Labor, Materials and Equipment for the Construction of Daycare Center, Brgy. Banaybanay I, San Jose, Batangas</t>
  </si>
  <si>
    <t>B20200228 - TIRE, OIL FILTER AND FUEL FILTER FOR FOTON TRUCK OF PDRRMD</t>
  </si>
  <si>
    <t>Procurement for One (1) Lot Geo-Resistivity Study of Three (3) Areas for Development of New Source in the Central and East Section - PR 2020-06-047</t>
  </si>
  <si>
    <t>20CB-GSC-363 PURCHASE OF MEDALS AND SPORT SUPPLIES</t>
  </si>
  <si>
    <t>Project PROTECT</t>
  </si>
  <si>
    <t>Supply and Delivery of Janitorial Supplies of Municipality of Jones</t>
  </si>
  <si>
    <t>Rehabilitation of Multi-Purpose Hall, Barangay Cagbalogo</t>
  </si>
  <si>
    <t>Fuel and Lubricants for the Maintenace of Barangay Raod Palmera,  R. T. Lim, Zamboanga Sibugay</t>
  </si>
  <si>
    <t>(20LF0143) San Luis NHS Two (2) Storey Ten (10) Classroom, Caraga, Davao Oriental</t>
  </si>
  <si>
    <t>IB 20CJ0154  Repair/ Maintenance of DPWH Building Water System Tarlac I District Engineering Office, Gerona, Tarlac</t>
  </si>
  <si>
    <t>Const./Rehabilitation of Water System</t>
  </si>
  <si>
    <t>1,000 bags Cement</t>
  </si>
  <si>
    <t>(20_0102) SERVICES AND MATERIALS: FOR THE REPAIR OF BUILDING 1018, SBFZ</t>
  </si>
  <si>
    <t>Procurement of Laboratory Facilities</t>
  </si>
  <si>
    <t>Riprap Protection at Parang High School, Barangay Parang, Bagac, Bataan</t>
  </si>
  <si>
    <t>PES Purchase of Printer (Epson) 2020-Supplemental</t>
  </si>
  <si>
    <t>Supply and Delivery of Fuel and Lubricants for use in Service Vehicles of DPWH Agusan del Sur-1st District Engineering Office</t>
  </si>
  <si>
    <t>B20200227 - TRUCK TIRE AND CLUTCH LINING FOR WATER TANKER OF PDRRMD</t>
  </si>
  <si>
    <t>Construction of Multi-Purposed Building Damayuhan National High School, Magsaysay, Misamis Oriental</t>
  </si>
  <si>
    <t>MOOE2020-01</t>
  </si>
  <si>
    <t>Procurement of Coco Lumber for the Construction of 17 TLS to be delivered at the Municipality of Sta. Cruz, Davao del Sur</t>
  </si>
  <si>
    <t>Procurement Materials for the Rehabilitation of Barangay Perimeter Fence</t>
  </si>
  <si>
    <t>SMAW NC II TWSP SAN PEDRO BATCH 1 &amp; 2</t>
  </si>
  <si>
    <t>COMPLETION OF VIEW DECK TREEPARK</t>
  </si>
  <si>
    <t>20AH0214	Concreting of Brgy. Bongalon FMR, Brgy. Bongalon, Labrador, Pangasinan</t>
  </si>
  <si>
    <t>Supply and Delivery of Insulation Resistance and Charger Battery for CASIGURAN DPP</t>
  </si>
  <si>
    <t>20CB-GSC-369 PURCHASE OF STORYBOOKS FOR EECD (SEF)</t>
  </si>
  <si>
    <t>PR# 20-1488- Multivitamins Supplementation Program to targeted stunted children</t>
  </si>
  <si>
    <t>20FN0103 Concreting of Brgy. Masoli Farm to Market Road, Brgy. Masoli, Bato, Camarines Sur Sta. 0+000.00 – Sta. 1+253.00</t>
  </si>
  <si>
    <t>Construction of Two (2) Storey Multi-purpose Building (Phase III)</t>
  </si>
  <si>
    <t>Const./Rehab. of Brgy. StreetLights (22Units)</t>
  </si>
  <si>
    <t>20CB-GSC-367 PURCHASE OF MEDICAL DENTAL &amp; LABORATORY SUPPLIES FOR DJPRH (RE-BID)</t>
  </si>
  <si>
    <t>INFRA2020-AG2-007 Supply of Labor and Materials for Repair of Employees Housing Quarter Two (2) Units at NPC Compound, Pawak, Saguiaran, Lanao del Sur and MRSQ, Maria Cristina, Iligan City</t>
  </si>
  <si>
    <t>20CB-GSC-366 PURCHASE OF VARIOUS MEDICAL, DENTAL &amp; LABORATORY</t>
  </si>
  <si>
    <t>Security Services (July - December 2020) for Dadiangas North HS</t>
  </si>
  <si>
    <t>Air Conditioner 1.5HP Split Type Inverter Air Conditioner,Refrigerator 2-Door, Inverter Technology and Grass Cutter 4 Stroke Engine for CASIGURAN DPP</t>
  </si>
  <si>
    <t>Procurement of supplies and materials to be used in the Training Cum Production in the making of Wooden Poultry House</t>
  </si>
  <si>
    <t>SUPPLY AND DELIVERY OF JANITORIAL SUPPLIES AT ANTIQUE AIRPORT</t>
  </si>
  <si>
    <t>20CB-GSC-368 PURCHASE OF ANTIBACTERIALS (PARENTERALS) FOR DJPRH (RE-BID)</t>
  </si>
  <si>
    <t>20FN0104 Concreting of Brgy. La Victoria to Brgy. Taisan Farm to Market Road, Brgy. La Victoria and Brgy. Taisan, Bula, Camarines Sur Sta. 8+000.00 – Sta. 9+020.00</t>
  </si>
  <si>
    <t>PR# 20-1487- 11,682 PACKS FORTIFIED POWDERED MILK DRINK</t>
  </si>
  <si>
    <t>Medicines for the consumption of RSCC Residents for CY- 2020.</t>
  </si>
  <si>
    <t>Fuel and Lubricants for the Rehabilitation of FMR from Little MArgos to Pres. Roxas Junction  Calula,  R. T. Lim, Zamboanga Sibugay</t>
  </si>
  <si>
    <t>20AH0215	Concreting of Brgy. Malabobo to Brgy. Lawak Langka FMR, Brgy. Malabobo and Brgy. Lawak Langka, Mangatarem, Pangasinan</t>
  </si>
  <si>
    <t>20KD0065: Fabrication and Installation of Road Right-of-Way Markers along National Roads</t>
  </si>
  <si>
    <t>Airconditioning Unit (ACU), 2Hp/230VAC, Window Type Inverter for CALAYAN DPP</t>
  </si>
  <si>
    <t>CONSTRUCTION OF DAY CARE CENTER</t>
  </si>
  <si>
    <t>Supply and Delivery of Office and Other Supplies for different offices, Bagac, Bataan</t>
  </si>
  <si>
    <t>PROCUREMENT OF TWO (2) UNITS PASSENGER VAN AND ONE (1) UNIT PICK UP VEHICLE FOR DISASTER RESPONSE</t>
  </si>
  <si>
    <t>Procurement of Supply and Materials for the Construction of 55 TLS to be delivered at the Municipalities of Malalag, Padada, Hagonoy, Sulop and Kiblawan</t>
  </si>
  <si>
    <t>20AH0216	Concreting of Brgy. San Juan FMR, Brgy. San Juan, San Jacinto, Pangasinan</t>
  </si>
  <si>
    <t>Rehab./ Improvement of Old Public Market</t>
  </si>
  <si>
    <t>Proposed Construction of Perimeter Fence Manticao National High School, Manticao, Misamis Oriental</t>
  </si>
  <si>
    <t>Supply and Delivery of Current Transformer for PATNANUNGAN DPP</t>
  </si>
  <si>
    <t>20AH0217	Concreting of Brgy. Oraan East FMR, Brgy. Oraan East, Manaoag, Pangasinan</t>
  </si>
  <si>
    <t>SUPPLEMENTARY FEEDING FOR CHILDREN UNDER 4 YEARS OLD IN COMMUNITY SETTING FOR 30 DAYS</t>
  </si>
  <si>
    <t>Construction of Drainage Canal, Purok Pagkakaisa going to Children’s Grace of Mary Elementary &amp; High School, Brgy. New Carmen, Tacurong City</t>
  </si>
  <si>
    <t>2LSSM2020A-239 Other Supplies and Materials</t>
  </si>
  <si>
    <t>Supply &amp; Delivery of Medical Equipment &amp; Instruments for Orthopedic Use</t>
  </si>
  <si>
    <t>Construction of River Protection-Barangay Magsino</t>
  </si>
  <si>
    <t>Purchase of cement</t>
  </si>
  <si>
    <t>Const/Rehab.of Local Core Roads and Ripraping</t>
  </si>
  <si>
    <t>CONSTRUCTION OF HEALTH CENTER</t>
  </si>
  <si>
    <t>Fabrication of Movable Stage</t>
  </si>
  <si>
    <t>Procurement of Various IT Equipments-06-009(C)PPDO</t>
  </si>
  <si>
    <t>Request for Quotation for the month of April-June office supplies &amp;consumables</t>
  </si>
  <si>
    <t>Supply and Delivery of Potable Water in MONGPONG DPP</t>
  </si>
  <si>
    <t>Procurement of Various Office Supplies-06-010(E)PTO</t>
  </si>
  <si>
    <t>Procurement of Various Semi-Expendables</t>
  </si>
  <si>
    <t>Purchase of  Office Equipment for IP  Legislative Office R.  T. Lim, Zamboanga Sibugay</t>
  </si>
  <si>
    <t>20DD0359 Local Program, Local Infrastructure Program, Buildings and Other Structures, Multipurpose/ Facilities, Construction of Multi-Purpose Building (Auditorium) including Site Development at Brgy.</t>
  </si>
  <si>
    <t>Construction of Streetlights</t>
  </si>
  <si>
    <t>Procurement of Coco Lumber for the Construction of 55 TLS to be delivered at the Municipality of Malalag, Padada, Hagonoy, Sulop and Kiblawan</t>
  </si>
  <si>
    <t>169 vials Purified chick embryo Antirabies vaccine 0.5ml and other items for use at animal bite center.</t>
  </si>
  <si>
    <t>Supply, Delivery and Installation of Equipment for the Bioactive Extracts Project – Dual Channel Flash Chromatograph</t>
  </si>
  <si>
    <t>Procurement and Delivery of Meals, Venue and Accommodation  for the 2020 Census of Population and Housing (CPH)  Third Level Training – PSA Batangas</t>
  </si>
  <si>
    <t>Supply and Delivery of Anti Rabies Vaccine</t>
  </si>
  <si>
    <t>Construction of Drainage System (Gemilina - Fairbank)</t>
  </si>
  <si>
    <t>Cementing of Footwalk</t>
  </si>
  <si>
    <t>750 heads One (1) Meal and Two (2) Snacks</t>
  </si>
  <si>
    <t>PROCUREMENT OF TWO (2) UNITS SPORTS UTILITY VEHICLE AND ONE (1) UNIT CROSSOVER UTILITY VEHICLE FOR PATROL OPERATIONS</t>
  </si>
  <si>
    <t>Supply of Gasoline/Diesel for Service Vehicle for the period July to December 2020 of SSS Boac</t>
  </si>
  <si>
    <t>Supply and Delivery of One (1)  Lot Various Materials for the Construction of Vermiculture Production Building</t>
  </si>
  <si>
    <t>Public Bidding of 2 Lots for the Supply and Delivery of Office Supplies &amp; Janitorial Supplies for Mambusao District Hospital, under ITB No. 2020-012R</t>
  </si>
  <si>
    <t>Construction of Drainage System (Petron - Fairbank)</t>
  </si>
  <si>
    <t>Upgrading of Health Center</t>
  </si>
  <si>
    <t>Purchase of Ambulance for Brgy. Motibot, Sindangan, Zamboanga del Norte</t>
  </si>
  <si>
    <t>Supply of Air Compressor (Atlas Copco, Model LT930) and Turbo Charger (Model: VTR 304A11) for POWER BARGE 120</t>
  </si>
  <si>
    <t>Construction of Multi-Purpose Bldg. (Phase I)</t>
  </si>
  <si>
    <t>REQUEST FOR A QUOTATION - PURCHASE OF MEDICINE SUPPLIES OF RHU II</t>
  </si>
  <si>
    <t>20DD0360 Local Program, Local Infrastructure Program, Buildings and Other Structures, Multipurpose/ Facilities, Construction of Multi-Purpose Building with facilities at Brgy. Plaridel, Lipa City, Bat</t>
  </si>
  <si>
    <t>Purchase of Waste Management Supplies and Materials</t>
  </si>
  <si>
    <t>Supply and Delivery of 500pcs. Toilet Bowl &amp; 500pcs. Plastic Blue Drums</t>
  </si>
  <si>
    <t>SUBDIVISION SURVEY OF LANDHOLDING UNDER MODULE NO. 2020 CC-01 CY 2020</t>
  </si>
  <si>
    <t>Conduct PCB Testing of Transformer Oil for MONGPONG DPP</t>
  </si>
  <si>
    <t>Procurement and Delivery of Meals, Venue and Accommodation  for the 2020 Census of Population and Housing (CPH)  Third Level Training – PSA Laguna</t>
  </si>
  <si>
    <t>RFQ-Office Equipment</t>
  </si>
  <si>
    <t>Fabrication of Tables and Cabinets of Different Offices, Naic, Cavite</t>
  </si>
  <si>
    <t>UGNAYANG PANGKALUSUGAN</t>
  </si>
  <si>
    <t>Procurement of Medical Oxygen for Camiguin Genral Hospital</t>
  </si>
  <si>
    <t>Rebidding of Drugs and Medicines,  IB No. SB-2020-013</t>
  </si>
  <si>
    <t>Procurement and Delivery of Meals, Venue and Accommodation  for the 2020 Census of Population and Housing (CPH)  Third Level Training – PSA Rizal</t>
  </si>
  <si>
    <t>PROCUREMENT OF TWO (2) AIR-CONDITIONING UNITS</t>
  </si>
  <si>
    <t>(20LF0144)Maylaya IS Bldg. 2 One (1) Storey Two (2) Classroom with Toilet at Each Classroom, Cateel, Davao Oriental</t>
  </si>
  <si>
    <t>BRGY. KAWIT IMPROVEMENT OF ROAD AT PUROK BAKHAW-C PHASE 11</t>
  </si>
  <si>
    <t>20DD0361 Local Program, Local Infrastructure Program, Local Roads and Bridges, Local Bridges, Rehabilitation/Improvement of Overpass (along Calabarzon) at Brgy. Pangao, Lipa City, Batangas</t>
  </si>
  <si>
    <t>CONCRETING OF MULTI-PURPOSE BLDG.</t>
  </si>
  <si>
    <t>REI and TOR for CONTRACT ID NO. 19CSC008   Procurement of Consulting Services for the Master Plan, Feasibility Study of Aguang River Basin for Flood Control and River Improvement</t>
  </si>
  <si>
    <t>INVITATION TO BID FOR THE DELIVERY OF MATERIALS FOR THE CONTINUATION OF TWO STOREY BARANGAY MULTI PURPOSE HALL</t>
  </si>
  <si>
    <t>repair /widening of brgy. road</t>
  </si>
  <si>
    <t>Construction of Drainage System</t>
  </si>
  <si>
    <t>20DD0364 Local Program, Local Infrastructure Program, Local Roads and Bridges, Local Bridges, Construction of Pedestrian Overpass at Tambo Elementary School, Brgy. Tambo, Lipa City, Batangas</t>
  </si>
  <si>
    <t>Rehabilitation of Paulin Road</t>
  </si>
  <si>
    <t>Improvement of Gamut Public Market and Parking Area</t>
  </si>
  <si>
    <t>Purchase of Motor Vehicle</t>
  </si>
  <si>
    <t>20FO0103 - Concreting of Caratagan FMR, Brgy. Caratagan, Pioduran, Albay</t>
  </si>
  <si>
    <t>20DD0365 Local Program, Construction/ Repair/ Rehabilitation/ Improvement of Various Infrastructure Including Local Projects, Local Roads and Bridges, Local Bridges, Construction of Pedestrian Overpas</t>
  </si>
  <si>
    <t>ITB - Supply and Delivery of Various Office Equipment for NEAP ELC Extension Building</t>
  </si>
  <si>
    <t>20DD0366 Local Program, Construction/ Repair/ Rehabilitation/ Improvement of Various Infrastructure Including Local Projects, Local Roads and Bridges, Local Bridges, Construction of Pedestrian Overpas</t>
  </si>
  <si>
    <t>Procurement and Delivery of Meals, Venue and Accommodation  for the 2020 Census of Population and Housing (CPH)  Third Level Training – PSA Cavite</t>
  </si>
  <si>
    <t>Supply and Delivery of Self-Learning Kits Reproduction Machines</t>
  </si>
  <si>
    <t>Catering Services for the 2020 Census of Population and Housing (2020 CPH) Fourth Level Training in Governor Generoso, Davao Oriental on 10-15 August 2020</t>
  </si>
  <si>
    <t>Construction of Street Lights, Barangay Villa Mercedes</t>
  </si>
  <si>
    <t>Installation of Street Light from Crossing Victoria – Purisima Road section w/ center Island</t>
  </si>
  <si>
    <t>Catering Services for the 2020 Census of Population and Housing (2020 CPH) Fourth Level Training in Mati, Davao Oriental on 10-15 August 2020</t>
  </si>
  <si>
    <t>Concreting of Mabbayad - San Miguel FMR</t>
  </si>
  <si>
    <t>ITB - Construction of NEAP Communal Comfort Room</t>
  </si>
  <si>
    <t>SUPPLY AND DELIVERY OF CONSTRUCTION MATERIALS FOR THE CONSTRUCTION OF BAHAY SILANGAN</t>
  </si>
  <si>
    <t>B20200223 - CONST. OF MULTI-PURPOSE/EVACUATION CENTER PHASE 1 AT DUTERTE ST. POBLACION, NEW CORELLA</t>
  </si>
  <si>
    <t>Procurement of NAAT – LAMP Reagents and Consumables, IB No. SB-2020-022</t>
  </si>
  <si>
    <t>Catering Services for the 2020 Census of Population and Housing (2020 CPH) Fourth Level Training in Caraga, Davao Oriental on 17-22 August 2020</t>
  </si>
  <si>
    <t>Supply, Delivery and Commissioning of Generator Sets and Automatic Transfer Switch for PS No. 9 and No 9A</t>
  </si>
  <si>
    <t>Supply and Delivery of One (1) Unit Sports Utility Vehicle (SUV) for official use of the Office of the Municipal Mayor</t>
  </si>
  <si>
    <t>Catering Services for the 2020 Census of Population and Housing (2020 CPH) Fourth Level Training in Manay, Davao Oriental on 17-22 August 2020</t>
  </si>
  <si>
    <t>Procurement and Delivery of Meals, Venue and Accommodation  for the 2020 Census of Population and Housing (CPH)  Third Level Training – PSA Quezon</t>
  </si>
  <si>
    <t>widening of barangay road- sitio parang</t>
  </si>
  <si>
    <t>SUPPLY AND DELIVERY OF SOLID WASTE MANAGEMENT EQUIPMENT/MACHINERY FOR THE OPERATION OF MATERIAL RECOVERY FACILITY (MRF) IN BGY. POBLACION,  THIS MUNICIPALITY /2020-006.</t>
  </si>
  <si>
    <t>20DD0363 Local Program, Local Infrastructure Program, Local Roads and Bridges, Local Bridges, Construction/Improvement of Bridge at Brgy. Pangao, Lipa City, Batangas</t>
  </si>
  <si>
    <t>20DD0368 Local Program, Local Infrastructure Program, Local Roads and Bridges, Local Bridges, Improvement of Bridge at Brgy. Antipolo del Sur, Lipa City, Batangas</t>
  </si>
  <si>
    <t>Supply and Delivery of Office Supplies, Laptop and IT Peripherals</t>
  </si>
  <si>
    <t>Supplies and Materials  for ORGANIC AGRICULTURE PRODUCTION NC II</t>
  </si>
  <si>
    <t>PBD 20-072A Equipment for Recombinant Expression of Bioactive Compounds</t>
  </si>
  <si>
    <t>Procurement of Farm Machineries and Equipment for Major Crop Based Block Farm Productivity for DAR in Negros Oriental (North) Rebidding for Lots No.2 &amp; 3</t>
  </si>
  <si>
    <t>20DD0367 Local Program, Local Infrastructure Program, Local Roads and Bridges, Local Bridges, Improvement of Bridge at Brgy. Pinagkawitan, Lipa City, Batangas</t>
  </si>
  <si>
    <t>PROCUREMENT AND DELIVERY OF MATERIALS FOR THE IMPROVEMENT OF COVERED PATHWALK AND REPAIR OF CONCRETE PATHWALK AT BAYUIN NHS.</t>
  </si>
  <si>
    <t>B20200222 - IMPROVEMENT OF POTABLE WATER SYSTEM AT BRGY. MAGSAYSAY, CARMEN, DDN</t>
  </si>
  <si>
    <t>Supply and Delivery of Office Furniture and Equipment for the use of PPD/NHTU Office</t>
  </si>
  <si>
    <t>Construction of Line Canal, Barangay 1</t>
  </si>
  <si>
    <t>Purchase and delivery of 3000 bott. of alcohol to be distributed to frontliners of the City of Calapan</t>
  </si>
  <si>
    <t>20DD0362 Local Program, Construction/ Repair/ Rehabilitation/ Improvement of Various Infrastructure Including Local Projects, Buildings and Other Structures, Multipurpose/ Facilities, Rehabilitation/I</t>
  </si>
  <si>
    <t>Consulting Services for the Conduct of Detailed Engineering Design of Ilocos Norte-Ilocos Sur-Abra Irrigation Project</t>
  </si>
  <si>
    <t>Improvement of Public Cemetery (Veterans), Brgy. Bayanihan, Dolores, Quezon</t>
  </si>
  <si>
    <t>Purchase and delivery of multivitamins and other supplements to be distributed to Calapan City residents</t>
  </si>
  <si>
    <t>Rehabilitation of Purok Marker</t>
  </si>
  <si>
    <t>Construction of Dipacamo Bridge Phase I, Dipacamo, San Guillermo, Isabela</t>
  </si>
  <si>
    <t>Proposed Construction of Canopy Lagtang Elementary School, Alubijid, Misamis Oriental</t>
  </si>
  <si>
    <t>Purchase of Various MV Spare parts</t>
  </si>
  <si>
    <t>Procurement of Communication Equipment for Various Offices</t>
  </si>
  <si>
    <t>Catering Services for the 2020 Census of Population and Housing (2020 CPH) Fourth Level Training in Tarragona, Davao Oriental on 17-22 August 2020</t>
  </si>
  <si>
    <t>SUPPLY AND DELIVERY OF CONSTRUCTION MATERIALS FOR THE CONTINUATION OF HEALTH CENTER</t>
  </si>
  <si>
    <t>Supply and Delivery of Goods for Integrated Community Food Production</t>
  </si>
  <si>
    <t>20DD0372 Local Program, Local Infrastructure Program, Buildings and Other Structures, Multipurpose/ Facilities, Construction of School Gym at Anangi Elementary School, Brgy. Malitlit, Lipa City, Batan</t>
  </si>
  <si>
    <t>Supply, Delivery &amp; Installation of 11-unit Aircon for the New Mayor's Office &amp; Executive Hall</t>
  </si>
  <si>
    <t>Consultant on Tourism Promotional Activities</t>
  </si>
  <si>
    <t>Purchase of various Agricultural Materials and Equipment for the Pre Post Harvest Facilities of the City Agriculture Office</t>
  </si>
  <si>
    <t>Good Lumber etc. (06-0578-A) CEO</t>
  </si>
  <si>
    <t>CATERING SERVICES FOR RESPONSE OPERATION – 2ND BIDDING</t>
  </si>
  <si>
    <t>B20200224 - REHAB. OF STA. FELOMINA-SAN ROQUE PROVINCIAL ROAD AT THE MUNICIPALITY OF ASUNCION-NEW CORELLA, DDN</t>
  </si>
  <si>
    <t>Purchase of Aggregate Base Course to be used in the Repair and Maintenance of Unpaved Shoulder (resurfacing) along various  Rizal Bdry.-Famy-Quezon Bdry. Road, K0089 + 500 to K0092 + 377 (Intermittent</t>
  </si>
  <si>
    <t>Repair and Rehabilitation of Infrastructure Facilities and other Related Activities-Routine Maintenance of National Roads and Bridges-Tertiary Roads along Mabinay-Ayungon Rd. K0131+422 – K0131+494 (LS</t>
  </si>
  <si>
    <t>SUPPLY AND DELIVERY OF OTHER SUPPLIES AT ANTIQUE AIRPORT</t>
  </si>
  <si>
    <t>Completion of Barangay Health Station @ Barangay Tolosa, Malabuyoc, Cebu</t>
  </si>
  <si>
    <t>Consultant on Administrative Matters</t>
  </si>
  <si>
    <t>Catering Services for the 2020 Census of Population and Housing (2020 CPH) Fourth Level Training in Cateel, Davao Oriental on 17-22 August 2020</t>
  </si>
  <si>
    <t>EPSON PRINTER</t>
  </si>
  <si>
    <t>Materials for the rehabilitation/improvement of City Health Office, Old City Hall Building</t>
  </si>
  <si>
    <t>Catering Services for the 2020 Census of Population and Housing (2020 CPH) Fourth Level Training in Baganga, Davao Oriental on 17-22 August 2020</t>
  </si>
  <si>
    <t>20DD0371 Local Program, Local Infrastructure Program, Buildings and Other Structures, Multipurpose/ Facilities, Completion of Multi-Purpose Building at Brgy. San Benito, Lipa City, Batangas</t>
  </si>
  <si>
    <t>IT Common Supplies for the 1st &amp; 2nd Quarter (Admin Common)</t>
  </si>
  <si>
    <t>INFRA2020-AG6-008 A6 Construction of Concrete Barrier Below Access Road Area, Agus 6/7 HEPC, Fuentes, Maria Cristina, Iligan City</t>
  </si>
  <si>
    <t>Procurement of MEDICAL SUPPLIES</t>
  </si>
  <si>
    <t>20DD0369 Local Program, Local Infrastructure Program, Local Roads and Bridges, Local Bridges, Improvement of Bridge at Brgy. Tangob, Lipa City, Batangas</t>
  </si>
  <si>
    <t>Repair/Maintenance of Public Elementary Schools, Naic, Cavite</t>
  </si>
  <si>
    <t>PBD 20-046A Light Absorption  Apparatus with Accessories</t>
  </si>
  <si>
    <t>Construction of Perimeter Fence at School Grounds at Hillview, Brgy. Timalan Balsahan, Naic, Cavite</t>
  </si>
  <si>
    <t>G-2020-15: SERVICE PROVIDER FOR BANKWIDE GENERAL SUPPORT SERVICES OF THE DEVELOPMENT BANK OF THE PHILIPPINES</t>
  </si>
  <si>
    <t>Repair and Maintenance of LGU Service Vehicles, MGSO, San Jose, Batangas</t>
  </si>
  <si>
    <t>PURCHASE OF OFFICE EQUIPMENT TO BE USED BY DIFFERENT OFFICES</t>
  </si>
  <si>
    <t>PURCHASE OF IT EQUIPMENTS TO BE USED BY DIFFERENT OFFICES</t>
  </si>
  <si>
    <t>Procurement of  CCTV Camera Procurement of Fire Extinguisher</t>
  </si>
  <si>
    <t>20L00155 : Construction of Concrete Bridge (Substructure Only) - Davao City Coastal Bypass Road (Bago Aplaya - Times Beach - Roxas Avenue), Package 5B, Davao City</t>
  </si>
  <si>
    <t>20DD0370 Local Program, Local Infrastructure Program, Flood Control and Drainage, Drainage / Protection Works, Construction/ Rehabilitation/ Improvement of Drainage System at Brgy. Quezon, Lipa City,</t>
  </si>
  <si>
    <t>PURCHASE OF FORMS TO BE USED BY ASSESSOR'S OFFICE</t>
  </si>
  <si>
    <t>Supply and Delivery of 12 Units Airconditioner &amp; Other Items; PR No. 20-1426 dated May 29, 2020</t>
  </si>
  <si>
    <t>Fabrication and Installation of Grills in Classrooms of PAGCOR Building and Four (4) Storey BEEF Building at Iloilo City National High School, Molo, Iloilo City (Bid No. 20-131)</t>
  </si>
  <si>
    <t>Invitation to Bid for REPAIR OF CLASSROOMS UNDER CY 2020 QUICK RESPONSE FUND (QRF) (Lots 4,9, 11, 22 and 32 – Rebid)</t>
  </si>
  <si>
    <t>Procurement of Chairs for BatStateU Lipa Campus</t>
  </si>
  <si>
    <t>Construction of Water Impounding System intended for Municipal Water Supply System Brgy. Minahan Sur,  General Nakar, Quezon</t>
  </si>
  <si>
    <t>Purchase of Plumbing Materials for PWA</t>
  </si>
  <si>
    <t>OFFICE SUPPLIES 2020</t>
  </si>
  <si>
    <t>Consultant on Clinical Pathology</t>
  </si>
  <si>
    <t>Supply and Delivery of Disaster Supplies and Materials</t>
  </si>
  <si>
    <t>Completion of Barangay Health Station @ Barangay Salmeron, Malabuyoc, Cebu</t>
  </si>
  <si>
    <t>Purchase of System Database for PBCC</t>
  </si>
  <si>
    <t>20L00146 : Construction of Concrete Road – Bypass Road at Ma-a Radio Station – Datu Loho St. – Riverside – Jct. Bacaca Road, Davao City</t>
  </si>
  <si>
    <t>20DD0374 Local Program, Local Infrastructure Program, Buildings and Other Structures, Multipurpose/ Facilities, Construction of Multi-Purpose Building at Brgy. Bolbok, Lipa City, Batangas</t>
  </si>
  <si>
    <t>20CG0159 - Local Infrastructure Program: Multipurpose/ Facilities – Rehabilitation of Multi-Purpose Building, Sto. Niño Elementary School, San Luis, Pampanga</t>
  </si>
  <si>
    <t>B20200225 - IMPROVEMENT OF POTABLE WATER SYSTEM PHASE II AT BRGY. TAGBITAN-AG, SAMAL DIST. IGACOS, DDN</t>
  </si>
  <si>
    <t>Construction of Operation Center Building (MDRRMO)</t>
  </si>
  <si>
    <t>Construction/Rehabilitation of Existing Drainage System at Brgy. Pali-Benedicto, Mandurriao, Iloilo City (Bid No. 20-132)</t>
  </si>
  <si>
    <t>Additional materials for the rehab of Gabaldon Building OMHS</t>
  </si>
  <si>
    <t>Procurement of amlodipine</t>
  </si>
  <si>
    <t>PURCHASED OF MEDICINE</t>
  </si>
  <si>
    <t>20CG0158 - Local Infrastructure Program: Multipurpose/ Facilities – Rehabilitation of Multi-Purpose Building, San Pedro High School, San Simon, Pampanga</t>
  </si>
  <si>
    <t>To purchase and Deliver Agricultural Farm input</t>
  </si>
  <si>
    <t>20DD0373 Local Program, Local Infrastructure Program, Flood Control and Drainage, Flood Control Structures / Facilities, Construction of Box Culvert at Villa Sa Riles, Brgy. Banay- Banay, Lipa City, B</t>
  </si>
  <si>
    <t>Re-bidding of Lot 1: Supply, Delivery and Installation of Garments Technology Equipment for CTE Extension Program (PR No. 2020-02-0281) Lot 2: Supply and Delivery of Laboratory Supplies for Garments T</t>
  </si>
  <si>
    <t>Purchase and Delivery of Cell Cards for the Month of July to December 2020</t>
  </si>
  <si>
    <t>Procurement of Drugs and Medicines for Outreach Activities, IB No. SB-2020-023</t>
  </si>
  <si>
    <t>Procurement of Farm Machineries and Equipment or Major Crop Based Block Farm Productivity for DAR in Negros Oriental (South) - Rebidding</t>
  </si>
  <si>
    <t>Concreting of Turod Sur-Malapat-Cadaanan FMR</t>
  </si>
  <si>
    <t>PURCHASE OF MATERIALS FOR THE CONSTRUCTION OF 2 MAKESHIFT CLASSROOMS AT MANTIBUGAO INTEGRATED SCHOOL</t>
  </si>
  <si>
    <t>20NI0077 - Construction of Multi-Purpose Building Purok 7A, Mangagoy, Bislig City, Surigao del Sur</t>
  </si>
  <si>
    <t>Supply and Delivery of Aircondition Units for the College of Liberal Arts</t>
  </si>
  <si>
    <t>Supply and Delivery of Various Materials and Equipment for the ESU</t>
  </si>
  <si>
    <t>Supply and Delivery of Various Furniture and Fixtures for the ESU</t>
  </si>
  <si>
    <t>WMSU Water Refilling Station</t>
  </si>
  <si>
    <t>Procurement of Subdivision Survey Project for Davao Oriental, Mati City.</t>
  </si>
  <si>
    <t>Supply and Delivery of Various Office Supplies &amp; Materials for the University</t>
  </si>
  <si>
    <t>PURCHASE OF MATERIALS FOR MEEDO OFFICE</t>
  </si>
  <si>
    <t>74755_Supply &amp; Delivery of Oil and Lubricants</t>
  </si>
  <si>
    <t>Procurement of MRF Miller Tyre (for Heavy Equipment (Dumptruck))</t>
  </si>
  <si>
    <t>Purchase of 150cc Motorcycle,f.i. and 125cc motorcycle, f.i. 15% building permits fees and charges from sept. 2016 to sept. 2019</t>
  </si>
  <si>
    <t>SUPPLY AND DELIVERY OF VARIOUS MECHANICAL SPARE PARTS FOR UNIT 40KW PERKINS, ENGINE MODEL NO. P44E1, SERIAL NO: AG51041*U645631M* INTENDED FOR MINI GRID STO. NINO</t>
  </si>
  <si>
    <t>SUPPLY AND DELIVERY OF LAPTOP WITH DIGITAL RECORDER FOR USE IN THE PROVINCIAL INTERNAL AUDIT UNIT</t>
  </si>
  <si>
    <t>Purchase of Office Supplies and Consumables (May)</t>
  </si>
  <si>
    <t>Consultant on Legal Matters</t>
  </si>
  <si>
    <t>Provision of tourism livelihood to Brgy. Ranzo, Banilad, Pili &amp; Lumambayan</t>
  </si>
  <si>
    <t>SUPPLY AND DELIVERY OF VARIOUS ELECTRICAL SPARE PARTS FOR 2 X 163KW DALE PERKINS, MODEL NO.: 2006 TG1, SERIAL NO,: 45 &amp; 46 INTENDED FOR MARIPIPI DPP</t>
  </si>
  <si>
    <t>SUPPLY AND DELIVERY OF SPINE BOARD AT DUMAGUETE AIRPORT</t>
  </si>
  <si>
    <t>Purchase of Materials/Fittings for Waterworks Maintenance</t>
  </si>
  <si>
    <t>for SEG 480 maintenance</t>
  </si>
  <si>
    <t>Procurement of 1 Lot Repair and Maintenance of Office Equipment (Printers) for the 3rd Quarter of 2020</t>
  </si>
  <si>
    <t>INFRASTRUCTURE WORKS FOR THE ROAD CONCRETING OF BARANGAY ROAD AT BARANGAY MAYABON, ZAMBOANGUITA, NEGROS ORIENTAL</t>
  </si>
  <si>
    <t>INFRASTRUCTURE WORKS FOR THE ROAD CONCRETING OF BARANGAY ROAD AT BARANGAY LUTOBAN, ZAMBOANGUITA, NEGROS ORIENTAL</t>
  </si>
  <si>
    <t>Contract ID: 20JH0044 Const. of One (1) Unit Rain Water Collector @ Basilan General Hospital</t>
  </si>
  <si>
    <t>20GHD0002 - Supply and delivery of Emulsified Asphalt Cationic-SS1 and Asphalt Cement Penetration Grade 85-100 for the Repair/Maintenance (Joints &amp; Cracks Sealing and Pothole Patching) along Cebu Nort</t>
  </si>
  <si>
    <t>Purchase of Various Drugs and Medicine (2020-06-095)</t>
  </si>
  <si>
    <t>BARANGAY SERVICE MOTOR VEHICLE</t>
  </si>
  <si>
    <t>Purchase of Uniform for CENRO Personnel - CENRO</t>
  </si>
  <si>
    <t>Procurement of Medicines (for Conduct of Medical Mission)</t>
  </si>
  <si>
    <t>S2-CAM20-004 - Supply and Delivery of Mechanical Spare Parts for 500kW MAN B&amp;W Diesel Engine Model: 8L 20/27 of Camotes DPP</t>
  </si>
  <si>
    <t>Supply &amp; Delivery of Materials ABC:884,533.12</t>
  </si>
  <si>
    <t>Lot1-Purchase of Office &amp; IT Equipment for various offices of LGU-Baggao</t>
  </si>
  <si>
    <t>20DD0376 Repair/Rehabilitation of Damaged PCCP (Intermittent Sections) along Lipa-Rosario Road and Batangas- Quezon Road</t>
  </si>
  <si>
    <t>INSTALLATION OF BASKETBALL FIBER GLASS BOARD WITH RING (BARANGAY LONGMOT, TIGBAO ZDS)</t>
  </si>
  <si>
    <t>Supply &amp; Delivery of Medicines</t>
  </si>
  <si>
    <t>ANAK MO, KALINGA KO</t>
  </si>
  <si>
    <t>ITB-Road Concreting to Central MRF (Phase 2)</t>
  </si>
  <si>
    <t>Purchase and delivery of 4 units laptop to be used at the City College of Calapan</t>
  </si>
  <si>
    <t>PROCUREMENT OF TIRES (FOR D1 I206)</t>
  </si>
  <si>
    <t>Repair and Maintenance of River Control along Sta. Cruz River, Brgy. Sto. Angel Sur, Sta. Cruz, Laguna</t>
  </si>
  <si>
    <t>MOBILE LOAD</t>
  </si>
  <si>
    <t>Materials for the construction of motorpool</t>
  </si>
  <si>
    <t>20NI0078 - Repair/Maintenance of DTI Building DTI Main Building, Mangagoy, Bislig City, Surigao del Sur</t>
  </si>
  <si>
    <t>20CG0160 - Local Infrastructure Program: Multi-Purpose Building/ Facilities – Rehabilitation of Multi-Purpose Building, San Isidro, Sta. Ana, Pampanga</t>
  </si>
  <si>
    <t>Mats. for the rehabilitation of Comelec Office</t>
  </si>
  <si>
    <t>20DD0375 Repair/Rehabilitation of Damaged Paved National Road along Batangas-Lobo Road and Batangas-Quezon Road (Intermittent Sections)</t>
  </si>
  <si>
    <t>CLUSTER DF-01 (Completion, Improvement &amp; Rehabilitation of various Buildings)- Sinait, Ilocos Sur</t>
  </si>
  <si>
    <t>20CG0162 - Local Infrastructure Program: Multi-Purpose/ Facilities – Construction of Multi-Purpose Building, Bulacus, Masantol, Pampanga</t>
  </si>
  <si>
    <t>Quotation No.20-06-356 = PROCUREMENT OF COMMON OFFICE SUPPLIES (RLED)</t>
  </si>
  <si>
    <t>(20LF0145)Maylaya IS Bldg. 1 One (1) Storey Two (2) Classroom with Toilet at Each Classroom, Cateel, Davao Oriental</t>
  </si>
  <si>
    <t>Repair of Public Market Roofing @ Barangay Poblacion Uno, Malabuyoc, Cebu</t>
  </si>
  <si>
    <t>Supply &amp; Delivery of Medical Equipment for Neuro-Spine Surgery Use</t>
  </si>
  <si>
    <t>SUPPLY AND DELIVERY OF ONE (1) UNIT SERVICE AMBULANCE</t>
  </si>
  <si>
    <t>Supply and Delivery of Office Equipment  - ITB 042-2020  GQ</t>
  </si>
  <si>
    <t>Procurement of Drugs Medicines for Botika ng Bayan IB No. SB-2020-024</t>
  </si>
  <si>
    <t>Repair and Maintenance of River Control along Sta. Cruz River, Brgy. Santisima, Sta. Cruz, Laguna</t>
  </si>
  <si>
    <t>Vehicle Repair and Maintenance of Government Vehicle (Sportivo)</t>
  </si>
  <si>
    <t>Supply and Delivery of Construction Materials</t>
  </si>
  <si>
    <t>SUPPLY AND DELIVERY OF FUEL (DIESEL &amp; GASOLINE) FOR THE CITY ENGINEER’S OFFICE – 2ND BIDDING</t>
  </si>
  <si>
    <t>SUPPLY &amp; INSTALLATION OF INDUSTRIAL CEILING FAN</t>
  </si>
  <si>
    <t>NEGOTIATED PROCUREMENT (SMALL VALUE PROCUREMENT) OF SECURITY SERVICES (THREE GUARDS) FOR THE OFFICE OF THE PROFESSIONAL REGULATION COMMISSION, ILOILO REGIONAL OFFICE, ILOILO CITY RFQ-NP No. 2020-004</t>
  </si>
  <si>
    <t>20NI0080 - Repair/Maintenance of DPWH Building Res. Sub Area Building, Poblacion, Bislig City, Surigao del Sur</t>
  </si>
  <si>
    <t>INSTALLATION OF CCTV</t>
  </si>
  <si>
    <t>20NI0079 - Package 21 - Repair/Maintenance of DPWH Building Property &amp; Storage Building Poblacion, Bislig City, Surigao del Sur - Repair/Maintenance of DPWH Building DITSO Building Poblacion, Bislig C</t>
  </si>
  <si>
    <t>PR# 20-0661- Roller Shades and Roll Up Shades Blinds</t>
  </si>
  <si>
    <t>Quotation No.20-06-357 = PROCUREMENT OF COMMON OFFICE SUPPLIES (RESU)</t>
  </si>
  <si>
    <t>Concreting of Divinan (Phase 1) FMR</t>
  </si>
  <si>
    <t>PR# 20-0852- Office Furnitures</t>
  </si>
  <si>
    <t>20CG0161 - Local Infrastructure Program: Multipurpose/ Facilities – Improvement of Masantol Civic Center Multi-Purpose Building, Kalsadang Bayu, San Nicolas, Masantol, Pampanga</t>
  </si>
  <si>
    <t>Procurement of ambulance/emergency Response Vehicle</t>
  </si>
  <si>
    <t>ESTABLISHMENT OF LIVELIHOOD PROJECT (POULTRY LAYER PRODUCTION) PHASE 2</t>
  </si>
  <si>
    <t>Consultant on Education</t>
  </si>
  <si>
    <t>74684_Supply &amp; Delivery of 1 unit Submersible Pump 24 LPS</t>
  </si>
  <si>
    <t>IMPROVEMENT OF RHU II</t>
  </si>
  <si>
    <t>Invitation to Bid for Various Repairs and Maintenance of the School’s Infrastructures</t>
  </si>
  <si>
    <t>To Supply Labor, Tools, Materials, Equipment and Technological Supervision for the Smoke Emission Testing / Source Emission Monitoring of Three (3) Units Daihatsu Gensets of Power Barge 119 (S3-B1920-</t>
  </si>
  <si>
    <t>Proposed Concreting of municipal street, Cabinta &amp; Real Street (from Jct. Dionesio Micayabas street) with a total length of 310.915 linear meter with 0.15m thick of item 200, 0.15m thick of item 201 a</t>
  </si>
  <si>
    <t>20GFC0021: Purchase of Materials for the Repair/Rehabilitation of Grouted Riprap/Stone Masonry Daang Maharlika K0346+030, Basud, Camarines Norte</t>
  </si>
  <si>
    <t>Supply and Delivery of Various Office Equipment</t>
  </si>
  <si>
    <t>TO PROVIDE ESSENTIAL MEDICINES FOR MENTALLY CHALLENGED PERSONS</t>
  </si>
  <si>
    <t>INSTALLATION OF STREET LIGHTS IN PUROK 1 AND 3, BARANGAY MAHABA – 2ND BIDDING</t>
  </si>
  <si>
    <t>Installation of New Chevron along Rizal Bdry.-Famy-Quezon Bdry. Road, K0082 + 000 – K0088 + 000, Siniloan, Laguna</t>
  </si>
  <si>
    <t>Proposed Proposed Concreting of municipal street, Mabini Street (from Jct. T. Coruña street to Pine Street) with a total length of 389.957 linear meter with 0.15m thick of item 200, 0.15m thick of ite</t>
  </si>
  <si>
    <t>Installation of New Chevron along Rizal Bdry.-Famy-Quezon Bdry. Road, K0090 + 000 – K0092 + 377, Siniloan, Laguna</t>
  </si>
  <si>
    <t>PROCUREMENT FOR THE SUPPLY AND DELIVERY OF IT SUPPLIES FOR DEPED</t>
  </si>
  <si>
    <t xml:space="preserve">Supply &amp; Delivery of Construction Materials for the Construction Materials for Construction of Drainage Canal; Installation of Additional Street Lights (Center to River Side); and Concreting of Road, </t>
  </si>
  <si>
    <t>Procurement of double cubicle with mobile cabinet for LGU Multi-Purpose Hall</t>
  </si>
  <si>
    <t>Purchased and Installation of Curtain Blinds</t>
  </si>
  <si>
    <t>Purchase of IT Equipment, Nine (9) Units Laptop, Santa Fe, Cebu - Municipal</t>
  </si>
  <si>
    <t>Contract Labor and Materials for the Construction of Concrete Reservoir - BLGU Kaligutan, Laak, Davao De Oro</t>
  </si>
  <si>
    <t>Bid No. 20-0319 - PROCUREMENT OF OFFICE EQUIPMENT - GSO OPERATIONS</t>
  </si>
  <si>
    <t>UPGRADING AND REHABILITATION OF DAMAGED PAVED ROADS AND DRAINAGE CANAL</t>
  </si>
  <si>
    <t>Supply and Delivery of Various Materials for the Repair of Various Pump Houses in KAMANAVA Area</t>
  </si>
  <si>
    <t>Quotation No.20-06-358 = PROCUREMENT OF COMMON OFFICE SUPPLIES (RESU)</t>
  </si>
  <si>
    <t>PROCUREMENT OF 400 PCS. ANGLE METER VALVE, 3/4 X 1/2, BRASS</t>
  </si>
  <si>
    <t>Supply and Delivery of Various Supplies for the Replacement of Worn-Out Parts of Isuzu Dump Truck with Body No. DT-25 and Plate No. SJM-240</t>
  </si>
  <si>
    <t>Supply and Delivery of Various Office Supplies and Equipment</t>
  </si>
  <si>
    <t>Proposed Concreting of municipal street, Molave Street (from Jct. Quezon Avenue to Sto. Niño street) with a total length of 276.200 linear meter with 0.15m thick of item 200, 0.15m thick of item 201 a</t>
  </si>
  <si>
    <t>REHABILITATION OF CARCARABASA-LAGPAT-IRRIGATION CANAL</t>
  </si>
  <si>
    <t>Procurement of Hepa Filter Machines (1 lot) (ITB No. 2020-16)</t>
  </si>
  <si>
    <t>20GFC0022: Purchase of Materials for Regravelling of Shoulder, Sta. Elena – Capalonga Bypass Coastal Road (Section 1)</t>
  </si>
  <si>
    <t>Supply &amp; Delivery of Bangus/Vannamei Fry</t>
  </si>
  <si>
    <t>Office Supplies and Consumables</t>
  </si>
  <si>
    <t xml:space="preserve">Proposed Concreting of municipal street, Maramag Avenue (from Jct. Pine Street to National Highway) with a total length of 1,108 linear meter with 0.15m thick of item 200, 0.15m thick of item 201 and </t>
  </si>
  <si>
    <t>20GFC0023: Purchase of Asphalt Aggregates, Daang Maharlika (S03784LZ) – Daang Maharlika (S03789LZ)</t>
  </si>
  <si>
    <t>PROCUREMENT OF ABG REAGENTS AND PROVISION OF ANALYZER</t>
  </si>
  <si>
    <t>Provision of Meals and Snacks for OCD Personnel and Detailed Duty Officers (Ordering Agreement)</t>
  </si>
  <si>
    <t>Supply &amp; Delivery of Covid-19 Rapid Test Kits</t>
  </si>
  <si>
    <t>Supply and Delivery of various spare parts intended for Municipal Heavy Equipment (Backhoe) of this Municipality</t>
  </si>
  <si>
    <t>Supply &amp; Delivery of Electrical Spare Parts for MAN 6L21/31 of Basilan DPP (S3-BAI20-018)</t>
  </si>
  <si>
    <t xml:space="preserve">Proposed Concreting of municipal street, Tamarind Street (from Jct. Toribio Coruña street to Pine Street) with a total length of 272.502 linear meter with 0.15m thick of item 200, 0.15m thick of item </t>
  </si>
  <si>
    <t>REHABILITATION/IMPROVEMENT OF LABUT-BINMONTON ACCESS ROAD PHASE I</t>
  </si>
  <si>
    <t>INVITATION TO BID FOR THE Procurement of Supply and Delivery of EUMB-AFETD COVID-19 Health Kit as Promotional Materials under the CY2020 Locally Funded Project</t>
  </si>
  <si>
    <t>RENOVATION/RETROFITTING OF PUBLIC MARKET BUILDING-PHASE I- DESIGN AND BUILD</t>
  </si>
  <si>
    <t>20GFC0024: Purchase of Fuel and Lubricants for Use in Various Service Vehicle and Equipment, Purchase of Fuel and Lubricants for Use in Various Service Vehicle and Equipment</t>
  </si>
  <si>
    <t>Supply and Delivery of Engine 4D56 with Transmission for Replacement of Worn Out Engine of Mitsubishi Strada L200 Pick Up with Plate No. SEW-808</t>
  </si>
  <si>
    <t>Concreting of Local Road at Barangay Marsolo, Naga</t>
  </si>
  <si>
    <t>Contract Labor and Materials for the Construction of Concrete Reservoir located at Sitio 27 - BLGU Kaligutan, Laak, Davao De Oro</t>
  </si>
  <si>
    <t>Quotation No.20-06-359 = PROCUREMENT OF COMMON OFFICE SUPPLIES (FHU)</t>
  </si>
  <si>
    <t>Supply &amp; Delivery of Consumable Materials &amp; Labor with Expertise &amp; Skilled Technician for the Emplementation of Preventive Maintenance Schedule of Unit #1 for Power Barge 119 (S3-B1920-012)</t>
  </si>
  <si>
    <t>Supply and Delivery of Various Supplies Materials for the Installation of Canopy at Libertad Warehouse/Workshop</t>
  </si>
  <si>
    <t>Cluster DF-02 (Construction of Slaughterhouse Phase II &amp; Construction of Public Comfort Rooms)</t>
  </si>
  <si>
    <t>Supply and Delivery of Brand New Six Wheeler Dump Truck for Garbage Collection and Disposal (Solid Waste Management Program) - MENRO</t>
  </si>
  <si>
    <t>Supply &amp; Delivery of Industrial Machinery &amp; Equipment for Fishpond Use</t>
  </si>
  <si>
    <t>Proposed Concreting of municipal street, Toribio Coruña Street (from Jct. Quezon Avenue to Sto. Niño street) with a total length of 273.196 linear meter with 0.15m thick of item 200, 0.15m thick of it</t>
  </si>
  <si>
    <t>Proposed Concreting of municipal street, Toribio Coruña Street (from Jct. Mabini Street to Pine street) with a total length of 306.594 linear meter with 0.15m thick of item 200, 0.15m thick of item 20</t>
  </si>
  <si>
    <t>NEGOTIATED PROCUREMENT OF DIESEL AND GASOLINE OF BFAR 6 FOR CY 2020</t>
  </si>
  <si>
    <t>REQUEST FOR MEDICAL AMD BIRTHING SUPPLIES TO IMPROVE THE DELIVERY OF BASIC SERVICES OF THE CONSTITUENTS OF THE MUNICIPALITY OF BORBON</t>
  </si>
  <si>
    <t>Supply and Delivery of Various Supplies for the Daily Operations on the Advocacy Campaign for the 100% Smoke Free Environment Policy in Metro Manila</t>
  </si>
  <si>
    <t>ROAD REHABILITATION (ASPHALT OVERLAY &amp; RE-BLOCKING) AT BRGY.BANLIC</t>
  </si>
  <si>
    <t>Supply of Labor and Materials for the Construction of Proposed Waterline Extension at Barangay Cutud, Angeles City</t>
  </si>
  <si>
    <t>REHABILITATION (Concreting) OF ACCESS ROAD LEADING TO TWS WATER SOURCE</t>
  </si>
  <si>
    <t>PURCHASE AND DELIVERY OF ELECTRO MECHANICAL SIREN WITH METAL HOUSING (EARLY WARNING SYSTEM)</t>
  </si>
  <si>
    <t>Procurement of OTG USB Drive and OTG Adapter</t>
  </si>
  <si>
    <t>INVITATION TO BID FOR THE Procurement of Supply and Delivery  of EUMB-AFETD “Emergency Preparedness Kit” as Promotional Materials under the CY2020 Regular Budget</t>
  </si>
  <si>
    <t>Supply and Delivery of Various ICT Equipment to Support the Command, Control, and Communications Information System (C3IS)</t>
  </si>
  <si>
    <t>Supply &amp; Delivery of Various O-Rings &amp; Rubber Ring for Power Barge 119 (S3-B1920-009 (Re-bid)</t>
  </si>
  <si>
    <t>CONSTRUCTION OF CABUYAO CITY HOSPITAL PHASE 2 (SITE DEVELOPMENT)</t>
  </si>
  <si>
    <t>INVITATION TO BID FOR THE PROCUREMENT AND DELIVERY OF FUEL TO SUPPORT OPERATIONAL REQUIREMENTS FOR COVID-19 AND OTHER ACTIVITIES FOR 2ND SEMESTER (RHQ, CAVITE, LAGUNA AND RIZAL) OF BFP REGION IV-A</t>
  </si>
  <si>
    <t>Information Technology</t>
  </si>
  <si>
    <t>20PF0067: Construction / Rehabilitation of Flood Mitigation Facilities within Major River Basins &amp; Principal Rivers: Construction of Baney Flood Control</t>
  </si>
  <si>
    <t>Procurement of CCTV Camera Procurement of Aircondition</t>
  </si>
  <si>
    <t>20GFC0025: Purchase of Reflectorized Traffic Paint, DPWH-CNDEO Maintenance Section</t>
  </si>
  <si>
    <t>PROCUREMENT OF DIGITAL PHOTOCOPIER AND  DESKTOP COMPUTER WITH COMPLETE ACCESSORIES</t>
  </si>
  <si>
    <t>INVITATION TO BID FOR THE PROCUREMENT AND DELIVERY OF FUEL TO SUPPORT OPERATIONAL REQUIREMENTS FOR COVID-19 AND OTHER ACTIVITIES FOR 2ND SEMESTER (BATANGAS AND QUEZON) OF BFP REGION IV-A FOR CY 202</t>
  </si>
  <si>
    <t>INVITATION TO BID FOR THE Procurement of Supply and Delivery of ICT Equipment: Laptops &amp; Office Equipment: Lateral Filing Cabinets under The DOE Locally Funded Project - Total Electrification Program</t>
  </si>
  <si>
    <t>PURCHASE OF UNIFORM</t>
  </si>
  <si>
    <t>Materials for the Construction of Perimeter Fence of NCDC (Phase-II) at Municipal Site, Poblacion, Naga</t>
  </si>
  <si>
    <t>Provide Hauling Services for the Shipment of Various Spare Parts, Materials &amp; Equipment from SPUG-MOD Warehouse, Zamboanga City to Siasi DPP (S3-SIA20-019)</t>
  </si>
  <si>
    <t>Purchase of Medicines for MHO use</t>
  </si>
  <si>
    <t>CONSTRUCTION OF PANTAR-ANUPOL FMR LEADING TO FARMLANDS</t>
  </si>
  <si>
    <t>20CG0164 - Local Infrastructure Program: Multipurpose/ Facilities –Construction of Multi-Purpose Building, Sta. Maria, Mexico, Pampanga</t>
  </si>
  <si>
    <t>“Procurement of Various Materials for the Installation of Solar Streetlights”</t>
  </si>
  <si>
    <t>SUPPLY AND DELIVERY OF LOT 1: 56,827 BAGS UREA FERTILIZER (46-0-0) - SECOND POSTING</t>
  </si>
  <si>
    <t>SUPPLY AND DELIVERY OF VARIOUS SERVICE CONNECTION MATERIALS</t>
  </si>
  <si>
    <t>Supply &amp; delivery of materials for the Fencing of Senior Citizen's Building at Brgy. Pob. III, Tanauan City, Batangas</t>
  </si>
  <si>
    <t>SUPPLY AND DELIVERY OF LOT 11: 9,256 BAGS COMPLETE FERTILIZER (14-14-14) FOR OCCIDENTAL MINDORO – SECOND POSTING</t>
  </si>
  <si>
    <t>Purchase of Construction Materials for use in the Repair and Maintenance of National Road along Daang Maharlika, K0 513+(-544) - K0 539+452, DM Jct. Legazpi Sto. Domingo Tabaco Cam. Sur brdy. Road, K0</t>
  </si>
  <si>
    <t>Supply and Delivery of Smart TV for Official Use of All Public Schools – DEPED San Pedro Laguna</t>
  </si>
  <si>
    <t>SUPPLY OF LABOR AND  MATERIALS FOR THE FABRICATION OF CONTAINER VAN CONVERT INTO MOBILE HEALTH FACILITY FOR  ISOLATION AND TREATMENT OF COVID-19 CASES                     ILITY</t>
  </si>
  <si>
    <t>20CG0166 - Local Infrastructure Program: Multipurpose/ Facilities – Construction of Multi-Purpose Building, San Nicolas, Arayat, Pampanga</t>
  </si>
  <si>
    <t>REPAIR AND MAINTENANCE OF ROAD PUROK 9 (ROAD SURFACING)</t>
  </si>
  <si>
    <t>20CG0165 - Local Infrastructure Program: Multipurpose/ Facilities – Construction of Multi-Purpose Building, Sto. Rosario, Sta. Ana, Pampanga</t>
  </si>
  <si>
    <t>VARIOUS CONSTRUCTION AT DA-RIARC - SECOND POSTING</t>
  </si>
  <si>
    <t>20CG0168 - Local Infrastructure Program: Multi-Purpose/ Facilities – Rehabilitation of Multi-Purpose Building, Maimpis IS, Maimpis City of San Fernando, Pampanga</t>
  </si>
  <si>
    <t>20CG0169 - Local Infrastructure Program: Multipurpose/ Facilities – Construction of Multi-Purpose Covered Court Area with Reinforced Concrete Slab, San Roque, Sta. Ana, Pampanga</t>
  </si>
  <si>
    <t>PURCHASE OF 1 SETS ASSEMBLY FIBER GLASS BASKETBALL BOARD WITH RING AND ASSEMBLY MOVABLE STEEL STAND (BARANGAY LUMAD, PAGADIAN CITY)</t>
  </si>
  <si>
    <t>BALACBAC FMR CONTINUATION</t>
  </si>
  <si>
    <t>INVITATION TO BID FOR THE Procurement of Supply and Delivery of Various ICT Equipment under the DOE Locally Funded Biofuels Program</t>
  </si>
  <si>
    <t>MOOE &amp; CO 2020</t>
  </si>
  <si>
    <t>Purchase of Tent Canopy Canvass of DepEd RO III</t>
  </si>
  <si>
    <t>20CG0177 - Construction/ Repair/ Rehabilitation/ Improvement of Various Infrastructure including Local Projects: Multipurpose/ Facilities – Construction of Multi-Purpose Building, Sta. Maria, Sta. Ana</t>
  </si>
  <si>
    <t>20CG0176 - Construction/ Repair/ Rehabilitation/ Improvement of Various Infrastructure including Local Projects: Multipurpose/ Facilities – Construction (Completion) of Multi-Purpose Building at Purok</t>
  </si>
  <si>
    <t>CID No. 20IO0091: Construction of Evacuation Center, Brgy. Larrazabal, Naval, Biliran</t>
  </si>
  <si>
    <t>KNHS CANAL DRAINAGE</t>
  </si>
  <si>
    <t>Purchase of 1 unit Portable Multi Purpose shredder and  Multi Purpose Mixer</t>
  </si>
  <si>
    <t>20CG0174 - Local Infrastructure Program: Multipurpose/ Facilities – Repair and Rehabilitation of Multi-Purpose Building (Covered Court) San Carlos, Mexico, Pampanga</t>
  </si>
  <si>
    <t>Materials for the Const. of Multi-Purpose Hall at Barangay Lower Sulitan, Naga</t>
  </si>
  <si>
    <t>20CG0175 - Local Infrastructure Program: Buildings and Other Structures – Multipurpose/ Facilities – Construction of Multi-Purpose Building, Brgy. San Jose, San Luis, Pampanga</t>
  </si>
  <si>
    <t>20CG0173 - Local Infrastructure Program: Buildings and Others Structures – Multipurpose/ Facilities – Construction of Multi-Purpose Building San Nicolas San Fernando, Pampanga</t>
  </si>
  <si>
    <t>20CG0171 - Local Infrastructure Program: Multipurpose/ Facilities – Construction of Multi-Purpose Covered Area with Reinforced Concrete Slab, Bagang, Masantol, Pampanga</t>
  </si>
  <si>
    <t>INSTALLATION OF BASKETBALL COURT LIGHT AND TIMER MACHINE (BARANGAY LUMAD, PAGADIAN CITY)</t>
  </si>
  <si>
    <t>INSTALLATION OF THIRTY SIX STREET LIGHT, BRGY. PUNTA, UNISAN, QUEZON</t>
  </si>
  <si>
    <t>(20LF0146)Nursery ES Bldg. 1 One (1) Storey  Two (2) Classroom with Toilet at Each Classroom, Baganga, Davao Oriental</t>
  </si>
  <si>
    <t>(20LF0147)Nursery ES Bldg. 2 One (1) Storey  Three (3) Classroom with Toilet at Each Classroom, Baganga, Davao Oriental</t>
  </si>
  <si>
    <t>BULLAGO ROAD IMPROVEMENT</t>
  </si>
  <si>
    <t>20CG0172 - Local Infrastructure Program: Multipurpose/ Facilities – Rehabilitation of Multi-Purpose Building (Covered Court), Gulap Elementary School, Candaba, Pampanga</t>
  </si>
  <si>
    <t>Invitation to Bid for the Procurement of Outsourcing of Manpower Services for CY 2020-REFERENCE # 2020-06-04</t>
  </si>
  <si>
    <t>Rehabilitation of Canal/Creek</t>
  </si>
  <si>
    <t>20CG0170 - Local Infrastructure Program: Multipurpose/ Facilities – Construction of Multi-Purpose Building, Brgy. San Matias, Santo Tomas, Pampanga</t>
  </si>
  <si>
    <t>IMPROVEMENT OF PEACE MUSEUM LANDSCAPE</t>
  </si>
  <si>
    <t>PURCHASE OF PIGLETS TO BE DISTRIBUTED TO QUALIFIED HOUSEHOLDS.</t>
  </si>
  <si>
    <t>REPAIR OF REPEATER.</t>
  </si>
  <si>
    <t>One (1) lot Supply, Delivery, Installation, and Make Operational Package Air-conditioning Systems, including the Dismantling of Existing Units, at the BSP Head Office, as per BSP Terms of Reference</t>
  </si>
  <si>
    <t>PURCHASE OF 1 SET SOUND SYSTEM (BARANGAY LUMAD, PAGADIAN CITY)</t>
  </si>
  <si>
    <t>Supply &amp; Delivery of ICT Equipment &amp; Software</t>
  </si>
  <si>
    <t>20CG0167 - Local Infrastructure Program: Multipurpose/ Facilities – Construction of Multi-Purpose Building, San Mateo, Arayat, Pampanga</t>
  </si>
  <si>
    <t>MUNGAYANG NATIONAL HIGH SCHOOL ROAD CONCRETING IMPROVEMENT</t>
  </si>
  <si>
    <t>BALUNGLUNG FMR CONTINUATION AND IMPROVEMENT</t>
  </si>
  <si>
    <t>Purchase of 15 units 3 in 1 Printer</t>
  </si>
  <si>
    <t>Supply and Delivery of Computer Desktop</t>
  </si>
  <si>
    <t>G-2020-18: LEASE OF ONE THOUSAND (1,000) POINT OF SALE (POS) WITH TERMINAL DRIVING MODULE FOR THE DEVELOPMENT BANK OF THE PHILIPPINES (DBP)</t>
  </si>
  <si>
    <t>20CG0163 - Local Infrastructure Program: Multipurpose/ Facilities – Rehabilitation of Multi – Purpose Building, Baliti and Batasan, Arayat, Pampanga</t>
  </si>
  <si>
    <t>Procurement of Information and Communication Technology Equipment</t>
  </si>
  <si>
    <t>Procurement of Communication Equipment, Parts and Accessories</t>
  </si>
  <si>
    <t>Materials for Office Supplies, Peace and Order Supplies, Refill of Fire Extinguisher, Electrical Supplies, Medical Supplies and CCTV Camera</t>
  </si>
  <si>
    <t>20-06-467 Construction Materials for the Repair of Classroom at Alamada East District, Bao, Alamada, Cotabato</t>
  </si>
  <si>
    <t>IMPROVEMENT OF DAGUIOMAN CENTRAL SCHOOL</t>
  </si>
  <si>
    <t>20-06-449 Purchase of Rice Mill (Static Rice Mill) with Installation for Rice Production, Milling and Marketing Enterprise under DAR-MinSAAD Project</t>
  </si>
  <si>
    <t>Supply and Delivery of I.T. Equipment</t>
  </si>
  <si>
    <t>Procurement of Soil Conditioner with Plant Growth Stimulant (Repost)</t>
  </si>
  <si>
    <t>Procurement Toner Cartridge for reproduction of documents and reports of DA PRDP PSO Visayas</t>
  </si>
  <si>
    <t>Supply and Delivery of 24,223 Bags Inorganic Fertilizers (46- 0- 0), Bid Lot 1</t>
  </si>
  <si>
    <t>Purchase of Mini Dumptruck for LEEA (Re-Bid)</t>
  </si>
  <si>
    <t>PROCUREMENT OF MATERIALS FOR REPAIR/MAINTENANCE OF STREET LIGTS</t>
  </si>
  <si>
    <t>Procurement of Paraffin Wax Bath</t>
  </si>
  <si>
    <t>Request for Quotation-Office Supplies</t>
  </si>
  <si>
    <t>2 units Siren (Supply &amp; Delivery)</t>
  </si>
  <si>
    <t>Procurement of Furniture and Fixtures for the Office of the Minister</t>
  </si>
  <si>
    <t>Procurement of Office School Supplies</t>
  </si>
  <si>
    <t>Const./Expansion of Open Drainage Canal along Local Roads</t>
  </si>
  <si>
    <t>Supply and Delivery of 3,710 Bags Inorganic Fertilizers (26- 0- 0), Bid Lot 2</t>
  </si>
  <si>
    <t>Purchase of free School Supplies 2020</t>
  </si>
  <si>
    <t>LGU PROGRAMS/PROJECTS/ACTIVITIES</t>
  </si>
  <si>
    <t>PROCUREMENT OF MATERILAS FOR INSTALLATION OF WATER PIPELINE</t>
  </si>
  <si>
    <t>Construction of Equipment</t>
  </si>
  <si>
    <t>PROCUREMENT OF MATERIALS FOR THE COMPLETION OF 2nd FLOOR MULTI PURPOSE BUILDING</t>
  </si>
  <si>
    <t>VEHICLES</t>
  </si>
  <si>
    <t>CONSTRUCTION OF ROADS</t>
  </si>
  <si>
    <t>Rehabilitation of Public Market</t>
  </si>
  <si>
    <t>II.T. EQUIPMENT</t>
  </si>
  <si>
    <t>REPAIR &amp; MAINTENANCE</t>
  </si>
  <si>
    <t>Construction of Canal and Pathway at Padilla Compound</t>
  </si>
  <si>
    <t>Supply and Delivery of 2 Units 3 Tons Floor Mounted Aircon with Installation</t>
  </si>
  <si>
    <t>Procurement of Health Care Service Provider for the Bases Conversion and Development Authority (BCDA) CY 2020-2021</t>
  </si>
  <si>
    <t>INSTALLATION OF CCTV CAMERA WITH COMPLETE ACCESSORIES</t>
  </si>
  <si>
    <t>FURNITURE &amp; FIXTURES</t>
  </si>
  <si>
    <t>Supply and Delivery of Fuel, Oil and Lubricants</t>
  </si>
  <si>
    <t>Construction of 45 L.M. Permanent Concrete Bridge</t>
  </si>
  <si>
    <t>Procurement of 1 Unit Laptop</t>
  </si>
  <si>
    <t>Procurement of Six (6) units Brand New Pickup Trucks for the Subic-Clark Railway Project (SCRP)</t>
  </si>
  <si>
    <t>Rehabilitation of Local Access Road (Portion) and Construction of Multi-Purpose Building (Phase 2)</t>
  </si>
  <si>
    <t>Production and Development Servers for the following in-house information system: (SEC Website, New Cashiering System, Capital Markets Participant Registry System, National Numbering System Certificat</t>
  </si>
  <si>
    <t>ITB# 96-2020 Office Supplies Expenses</t>
  </si>
  <si>
    <t>Supply, Delivery, Installation and Configuration of Active Directory License and Related Components</t>
  </si>
  <si>
    <t>Supply and Delivery of Toners with free use of Printers</t>
  </si>
  <si>
    <t>1 lot Maintenance Support and Upgrade of Network and User Activity Monitoring System for 600 User Licenses</t>
  </si>
  <si>
    <t>Proposed Supply and Installation of Additional Airconditioning Units Located at the Rizal Provincial Hospital System Tanay-Annex, Sagbat-Pililla Diversion Road, Brgy. Tandang Kutyo, Tanay,Rizal</t>
  </si>
  <si>
    <t>Procurement of Materials for Repair of 3 Door WatSan Comfort Room</t>
  </si>
  <si>
    <t>Supply and Delivery of 26 units Printer for Elementary Schools in the Municipality of Victoria, Oriental Mindoro</t>
  </si>
  <si>
    <t>Purchase of Materials for Repair and Renovation of Water System Facilities</t>
  </si>
  <si>
    <t>ITB# 95-2020 Office Supplies Expenses</t>
  </si>
  <si>
    <t>Supply and Delivery of Construction Materials and Supplies to be used for Brigada Eskwela 2020 in the Municipality of Victoria, Oriental Mindoro</t>
  </si>
  <si>
    <t>Supply and Delivery of 298 Bags Hybrid Corn Seeds (Yellow)- GMO.</t>
  </si>
  <si>
    <t>ITB# 94-2020 Office Supplies Expenses</t>
  </si>
  <si>
    <t>Purchase of Other Equipments for LGU 1st &amp; 2nd Quarter</t>
  </si>
  <si>
    <t>ITB# 100-2020 Food Supplies Expenses</t>
  </si>
  <si>
    <t>Repair and Improvement of Brgy. Road - Napalisan</t>
  </si>
  <si>
    <t>RFQ for Materials of Installation of Potable Water Supply</t>
  </si>
  <si>
    <t>ITB# 111-2020 Other Supplies and Materials Expenses</t>
  </si>
  <si>
    <t>CONSTRUCTION OF ACCESS ROAD TO SANITARY LANDFILL</t>
  </si>
  <si>
    <t>Fabrication of Barangay Street Lights - San Agustin</t>
  </si>
  <si>
    <t>ITB# 109-2020 Other Supplies and Materials Expenses</t>
  </si>
  <si>
    <t>ITB# 107-2020 Other Supplies and Materials Expenses</t>
  </si>
  <si>
    <t>Repair/Rehabilitation of Reservoir at Purok Mirasol, Pob., Margosatubig, ZDS.</t>
  </si>
  <si>
    <t>ITB# 106-2020 Other Supplies and Materials Expenses</t>
  </si>
  <si>
    <t>ITB# 110-2020 Other Supplies and Materials Expenses</t>
  </si>
  <si>
    <t>ITB# 104-2020 Medical, Dental &amp; Laboratory Supplies</t>
  </si>
  <si>
    <t>Purchase of Garbage Vehicle for Barangay Crossing Sta. Clara, Naga</t>
  </si>
  <si>
    <t>Repair and Installation of Canal Covers - Poblacion</t>
  </si>
  <si>
    <t>ITB# 103-2020 Medical, Dental &amp; Laboratory Supplies</t>
  </si>
  <si>
    <t>ITB# 102-2020 Food Supplies Expenses</t>
  </si>
  <si>
    <t>Purchase of Materials for Construction/Installation of Jetmatic Pumps</t>
  </si>
  <si>
    <t>SJADS GOODS 20-08: PROCUREMENT OF PATIENT TRANSPORTATION VEHICLE (VAN TYPE 18 SEATERS)</t>
  </si>
  <si>
    <t>Supply and Delivery of Vinyl Stickers, 8.5" x 11"</t>
  </si>
  <si>
    <t>Purchase of One (1) Unit Passenger Van to be used for Response, Rescue and Rehabilitation Efforts During and on Aftermath of Disaster and Calamities</t>
  </si>
  <si>
    <t>Supply and delivery of agricultural supplies and materials for the distribution to IFCP beneficiaries of the City Government of Kidapawan.</t>
  </si>
  <si>
    <t>20GDC0004 (Readvertised) - Purchase of Fuel and Lubricants of Service Vehicles and Equipments for the Month of July to September 2020</t>
  </si>
  <si>
    <t>ITB# 101-2020 Food Supplies Expenses</t>
  </si>
  <si>
    <t>Enhancement of ICT Infrastructure with internet connectivity of SDO-San Pablo City.</t>
  </si>
  <si>
    <t>Various Projects of Municipality of Bugallon.</t>
  </si>
  <si>
    <t>Completion of Multi-Purpose Building at Salcedo, Bansud, Oriental Mindoro</t>
  </si>
  <si>
    <t>G-2020-17: SUPPLY AND DELIVERY OF ONE HUNDRED NINETEEN (119) UNITS CROSS OVER UTILITY VEHICLE FOR THE DEVELOPMENT BANK OF THE PHILIPPINES-REBID</t>
  </si>
  <si>
    <t>Completion of Evacuation Center at Maasin and Balatasan, Bulalacao, Oriental Mindoro</t>
  </si>
  <si>
    <t>ITB# 108-2020 Other Supplies and Materials Expenses</t>
  </si>
  <si>
    <t>Rip-Rapping of Sitio Sto. Niño, Barangay Binugao</t>
  </si>
  <si>
    <t>CONCRETING OF MUNICIPAL  ROAD: RENOVATION  /WIDENING OF FELICIANA  STREET SEGMENT</t>
  </si>
  <si>
    <t>20	pcs.	2" x 6" x 10' G.melina, etc. PR # 460-20</t>
  </si>
  <si>
    <t>35	pcs.	2" x 2" x 10' G.melina, etc. PR # 647-19 (rebid)</t>
  </si>
  <si>
    <t>FRT-20-0437-B - DENTAL SUPPLIES</t>
  </si>
  <si>
    <t>SUPPLY AND DELIVERY OF LIQUID NITROGEN TANKS</t>
  </si>
  <si>
    <t>FRT-20-0435-B - LABORATORY SUPPLIES</t>
  </si>
  <si>
    <t>GEOTECHNICAL SUB SURFACE EXPLORATION: PACKAGE No. 2020-01, MLANG AND TULUNAN, NORTH COTABATO</t>
  </si>
  <si>
    <t>ITB# 105-2020 Medical, Dental &amp; Laboratory Supplies</t>
  </si>
  <si>
    <t>SDH-20-0734-B MEDICAL EQUIPMENT</t>
  </si>
  <si>
    <t>CONSTRUCTION OF  POTABLE WATER  SUPPLY SYSTEM  LEVEL III</t>
  </si>
  <si>
    <t>SDH-20-0735-B MEDICAL EQUIPMENT</t>
  </si>
  <si>
    <t>ADM-20-0578-B HOUSEKEEPING SUPPLIES</t>
  </si>
  <si>
    <t>office  supplies and consumables</t>
  </si>
  <si>
    <t>Request For Quotation for School and Office Supplies</t>
  </si>
  <si>
    <t>30	sht	6mm x 1.2m x 2.4m Marine Plywood, PR # 623-19 rebid</t>
  </si>
  <si>
    <t>Concreting/ Improvement of Vito-Cadulawan Road Section, Minglanilla, Cebu</t>
  </si>
  <si>
    <t>Concreting/ Improvement of Linao-Mojon Road Section, Talisay City, Cebu</t>
  </si>
  <si>
    <t>ADM-20-0577-B OFFICE SUPPLIES</t>
  </si>
  <si>
    <t>Supply and Delivery of Vegetable Seeds, Zoological Supplies and Fishing Supplies/Materials</t>
  </si>
  <si>
    <t>235	pcs.	2" x 2" x 10',Coco Lumber, etc. PR # 171-20</t>
  </si>
  <si>
    <t>5	pcs.	Silicon gun, etc. PR # 112-20</t>
  </si>
  <si>
    <t>Supply and Delivery of Two (2) Units Brand New Dump Truck to be used in the repair and maintenance of roads and for municipal infrastructure projects at Naujan, Oriental Mindoro</t>
  </si>
  <si>
    <t>Supply and Delivery of Three (3) Units Window Type Airconditioning Unit</t>
  </si>
  <si>
    <t>Purchase &amp; Delivery of Const. Materials &amp; Supplies for the  project Installation of P.E. Pipeline,  Brgy. Baybay, Surigao City</t>
  </si>
  <si>
    <t>Packaging Supplies for PSWD-2020-0181</t>
  </si>
  <si>
    <t>Purchase &amp; Delivery of Const. Materials &amp; Supplies for the  project Construction of Access Road @ Purok 6 Poblacion,  Brgy. Cagniog, Surigao City</t>
  </si>
  <si>
    <t>FRT-20-0439-B - DRUGS AND MEDICINES</t>
  </si>
  <si>
    <t>SUPPLY AND DELIVERY OF ULTRA-PORTABLE ULTRASOUND MACHINE AND GEL ELECTROPHORESIS</t>
  </si>
  <si>
    <t>67	shts.	6mm x 1.2m x 2.4m Marine Plywood, etc. PR # 101-20</t>
  </si>
  <si>
    <t>Information Technology Equipment for PPDO-2020-1043</t>
  </si>
  <si>
    <t>128	drum	Asphalt Cement Penetration 60-70, etc. PR # 45-20</t>
  </si>
  <si>
    <t>120	sets	LED, Street Lighting Luminaire, daylight, 90 watts, 9450 lumens, etc. PR # 115-20</t>
  </si>
  <si>
    <t>PROCUREMENT OF ELECTRICAL/PLUMBING/CARPENTRY/PAINTING SUPPLIES ITB No. 2020-14</t>
  </si>
  <si>
    <t>15	pcs.	G-Melina Lumber- 2" x 2" x 10', PR # 839-19 rebid</t>
  </si>
  <si>
    <t>Purchase of One (1) Unit Mobile Multi-Purpose Shredder with Diesel Engine to be used at the MENRO Office of this Municipality</t>
  </si>
  <si>
    <t>CONSTRUCTION OF ANTIQUE DAIRY BOX (DAIRY PROCESSING PLANT AND PRODUCT OUTLET) REBID</t>
  </si>
  <si>
    <t>FRT-20-0438-B - DRUGS AND MEDICINES</t>
  </si>
  <si>
    <t>Kitchenware for PSWD-2019-3483</t>
  </si>
  <si>
    <t>Concreting/ Improvement of Linao-Maghaway Road Section, Talisay City, Cebu</t>
  </si>
  <si>
    <t>SJADS INFRA 20-03: CONSTRUCTION OF MUNICIPAL MRF (RCA)</t>
  </si>
  <si>
    <t>Catering Services for PSWD-2020-0137 &amp; 0128</t>
  </si>
  <si>
    <t>Installation of Brgy. Solar Street Lights (Phase2), Brgy. Poblacion Banate, Iloilo</t>
  </si>
  <si>
    <t>Construction of Drainage Canal at Sitio II-Centro, Urdaneta, Victoria, Oriental Mindoro</t>
  </si>
  <si>
    <t>IB No. 2020 - 05 Procurement of Infra (Road Concreting of Saco St. ( Sta. 00+000 – Sta. 00+212.11 )</t>
  </si>
  <si>
    <t>200	bags	Portland Cement, 40 kg./bag, etc. PR # 74-20</t>
  </si>
  <si>
    <t>40	pcs.	2" x 2" x 10', G.melina, etc. PR # 775-19 rebid</t>
  </si>
  <si>
    <t>ITB# 99-2020 Food Supplies Expenses</t>
  </si>
  <si>
    <t>ITB# 98-2020 Office Supplies Expenses</t>
  </si>
  <si>
    <t>Procurement of Medical Supplies for the Conduction of Patients</t>
  </si>
  <si>
    <t>AGRICULTURAL SUPPLIES</t>
  </si>
  <si>
    <t>300	pc.	2" x 4" x 12' Coco Lumber, etc. PR 195-20</t>
  </si>
  <si>
    <t>SJADS GOODS 20-09: PROCUREMENT OF PRUNING SHEAR AND FERTILIZER</t>
  </si>
  <si>
    <t>Purchase &amp; Delivery of Brand New Standby Power Generator 100 KVA 240 VAC (Silent Type),  LTPC, Surigao City</t>
  </si>
  <si>
    <t>315	pcs.	Ceramic Floor Tiles (200mm x 200mm) White, etc. PR # 396-20</t>
  </si>
  <si>
    <t>Concreting/ Improvement of Basak-Bae Road Section, Sibonga, Cebu</t>
  </si>
  <si>
    <t>ITB# 97-2020 Office Supplies Expenses</t>
  </si>
  <si>
    <t>Concreting/ Improvement of Awayan-Can-asujan-Pit-os Road Section, Carcar City, Cebu</t>
  </si>
  <si>
    <t>SUPPLIES AND MATERIASL FOR THE CONSTRUCTION OF CONCRETE DRAINAGE</t>
  </si>
  <si>
    <t>Purchase of Supplies and Material for the construction of 2 waiting shed</t>
  </si>
  <si>
    <t>Concreting/ Improvement of Perrelos-Can-asujan Road Section, Carcar City, Cebu</t>
  </si>
  <si>
    <t>Concreting/ Improvement of Mainit Spring Road Section, Carcar City, Cebu</t>
  </si>
  <si>
    <t>Electrical rewiring</t>
  </si>
  <si>
    <t>Accommodation for OPA-2020-0049 &amp; 0050</t>
  </si>
  <si>
    <t>Concreting/ Improvement of Panadtaran-Tongo Road Section, San Fernando, Cebu</t>
  </si>
  <si>
    <t>Catering Services for PEMO-2020-2066 &amp; 2058</t>
  </si>
  <si>
    <t>SUPPLY AND DELIVERY OF CROSSBRED/PUREBRED BUFFALOES  (82 HEADS) REBID PCC-CSU</t>
  </si>
  <si>
    <t>Concreting/ Improvement of Ocana Beach Road Section, Carcar City, Cebu</t>
  </si>
  <si>
    <t>Dredging of Creek</t>
  </si>
  <si>
    <t>Concreting/ Improvement of Bolinawan-Dunguan Road Section, Carcar City, Cebu</t>
  </si>
  <si>
    <t>20DL0222 - CY 2020 BASIC EDUCATION FACILITIES FUND, CONSTRUCTION OF CLASSROOMS  2STY4CL DOÑA AURORA ES, CALAUAG, QUEZON</t>
  </si>
  <si>
    <t>20DL0221 - CY 2020 BASIC EDUCATION FACILITIES FUND, CONSTRUCTION OF CLASSROOMS  2STY6CL CARIDAD IBABA ES, ATIMONAN, QUEZON</t>
  </si>
  <si>
    <t>Concreting/ Improvement of San Isidro-Ilaya-Cabatbatan Road Section, San Fernando, Cebu</t>
  </si>
  <si>
    <t>20DL0220 - CY 2020 BASIC EDUCATION FACILITIES FUND, CONSTRUCTION OF CLASSROOMS  2STY4CL ATIMONAN CES, ATIMONAN, QUEZON</t>
  </si>
  <si>
    <t>Concreting/ Improvement of Sangat-Lantawan Road Section, San Fernando, Cebu</t>
  </si>
  <si>
    <t>SUPPLY AND DELIVERY OF SUPPLIES AND MATERIALS (FOR GARDENING) (P.R. NO. 100-20-05-0201)</t>
  </si>
  <si>
    <t>PRINTING OF CITATION TICKET FOR NO MASK AND NO SOCIAL DISTANCING VIOLATORS (P.R. NO. 100-20-06-0225)</t>
  </si>
  <si>
    <t>278	bags	Portland Cement, etc. PR # 429-20</t>
  </si>
  <si>
    <t>Office Improvement (Installation of Three (3) units Floor Mounted Aircondition System</t>
  </si>
  <si>
    <t>SUPPLY AND DELIVERY OF BOUGAINVILLEA (P.R. NO. 100-20-03-0101)</t>
  </si>
  <si>
    <t>8	pcs.	2" x 6" x 12' G.melina, etc. PR # 398-20</t>
  </si>
  <si>
    <t>SUPPLY AND DELIVERY OF TONERS AND CONSUMABLES FOR SHARP COPIER MACHINE (P.R. NO. 100-20-06-0227)</t>
  </si>
  <si>
    <t>FOD-R-20-2128 (R1): Procurement of 20 units of Laptop</t>
  </si>
  <si>
    <t>Proposed Public Restroom with Rainwater Tank, Lake Danao Park, San Francisco, Camotes Island</t>
  </si>
  <si>
    <t>FOD-R-20-2127 (R1): Procurement of 6 units of Desktop Computer</t>
  </si>
  <si>
    <t>15	pcs.	2" x 4" x 10' G.melina, etc. PR # 399-20</t>
  </si>
  <si>
    <t>20DL0224 - CY 2020 BASIC EDUCATION FACILITIES FUND, CONSTRUCTION OF CLASSROOMS  2STY6CL STO. NIÑO ILAYA NHS, LOPEZ, QUEZON</t>
  </si>
  <si>
    <t>Construction of Flood and Erosion Control Structures Along River &amp; Waterways</t>
  </si>
  <si>
    <t>Concreting/ Improvement of Yati-Tayud Road Section, Liloan, Cebu</t>
  </si>
  <si>
    <t>Concreting/ Improvement of Ocana-Napo-Guadalupe-Puesto Road Section, Carcar City, Cebu</t>
  </si>
  <si>
    <t>Concreting/ Improvement of Guiwang-Cabalongan Road Section, Alcoy, Cebu</t>
  </si>
  <si>
    <t>PURCHASE OF ONE UNIT VEHICLE (AMBULANCE) FOR MUNICIPAL HEALTH OFFICE USE</t>
  </si>
  <si>
    <t>20DL0223 - CY 2020 BASIC EDUCATION FACILITIES FUND, CONSTRUCTION OF CLASSROOMS  2STY4CL MUNICIPAL SECTOR ES, CALAUAG, QUEZON</t>
  </si>
  <si>
    <t>30	pcs.	2" x 2" x 10' G.melina, etc. PR # 428-20</t>
  </si>
  <si>
    <t>IB No. 2006-323 Proc. of Infra [Fabrication and Installation of City Traffic Signage with Post (400 units)]</t>
  </si>
  <si>
    <t>Contract ID Number 20FD0068 CONSTRUCTION OF WATER SYSTEM LEVEL II, BRGY. POBLACION, DEL GALLEGO, CAMARINES SUR</t>
  </si>
  <si>
    <t>Procurement of Ammunition Packaging</t>
  </si>
  <si>
    <t>Purchase &amp; Delivery of Const. Materials &amp; Supplies for the  project Improvement of Brgy. Street,  Brgy. Zaragosa, Surigao City</t>
  </si>
  <si>
    <t>Contract ID Number 20FD0066 CONSTRUCTION/REHABILITATION OF WATER SUPPLY/SEPTAGE AND SEWERAGE/RAIN WATER COLLECTORS – RAIN WATER COLLECTORS IN PUBLIC FACILITIES, SAN VICENTE E/S, MANTILA E/S, SAN ISIDR</t>
  </si>
  <si>
    <t>PB-Supply, Delivery, Installation &amp; Commissioning of 12 units Modular Patient Monitor (1 Lot) (ITB No. 2020-13).</t>
  </si>
  <si>
    <t>DELIVERY OF CONSTRUCTION MATERIALS AND SUPPLIES</t>
  </si>
  <si>
    <t>Contract ID Number 20FD0069 CONSTRUCTION OF WATER SYSTEM LEVEL II, BRGY. ALDEZAR, SIPOCOT, CAMARINES SUR</t>
  </si>
  <si>
    <t>Proposed Improvement of City Agriculturist Office at City Hall, Brgy. Poblacion, Kidapawan City.</t>
  </si>
  <si>
    <t>PURCHASE MATERIALS FOR THE ROOFING OF BARANGAY MULTI-PURPOSE HALL</t>
  </si>
  <si>
    <t>Supply and Delivery of Various Laboratory Equipment for AFMTC</t>
  </si>
  <si>
    <t>Quotation No. 20-06-0350- Vehicle Rental for the Monitoring and Evaluation on Mass Drug Administration Activity on July 6-11, 2020 (Batch 1) and July 13-18, 2020 (Batch 2); Itinerary: Zamboanga Sibuga</t>
  </si>
  <si>
    <t xml:space="preserve">Quotation No. 20-06-0351- Vehicle Rental for the Monitoring and Evaluation on Mass Drug Administration Activity on July 6-11, 2020 (Batch 1- 2 unit) and July 13-18, 2020 (Batch 2- 1 unit); Itinerary: </t>
  </si>
  <si>
    <t>spring development (water system)</t>
  </si>
  <si>
    <t>20HH0142-Concreting of Brgy. Sapang Dako FMR, Brgy. Sapang Dako, Cebu City, Cebu</t>
  </si>
  <si>
    <t>20FF0101 - Construction  of Barangay Road, Barangay Pinit, Ocampo, Camarines Sur</t>
  </si>
  <si>
    <t>(20-0144) FABRICATION &amp; INSTALLATION OF VARIOUS TRAFFIC SIGNAGES</t>
  </si>
  <si>
    <t>Contract ID Number 20FD0067 CONSTRUCTION OF WATER SYSTEM LEVEL II, BRGY. BAGONG SIRANG, SIPOCOT, CAMARINES SUR</t>
  </si>
  <si>
    <t>Fabrication of Basketball Fiber Glass Board</t>
  </si>
  <si>
    <t>MODULE PRINTING SHS</t>
  </si>
  <si>
    <t>Procurement of Design, Supply, Installation, and Commissioning of Cinema Equipment and Audio Systems, Acoustic Treatment and Theatre Curtains for the Metropolitan Theatre</t>
  </si>
  <si>
    <t>20HH0144-Repair and Maintenance of Drainage System along Legaspi Extension, Brgy. San Roque, Cebu City</t>
  </si>
  <si>
    <t>Repair and Maintenance of 5 units Wescor Transformer</t>
  </si>
  <si>
    <t>20HH0143-Concreting of Brgy. Adlaon FMR, Brgy. Adlaon, Cebu City, Cebu</t>
  </si>
  <si>
    <t>RE-POST: Proposed Drainage Canal at Barangay Covered Court, Brgy. Holy Redeemer, Butuan City</t>
  </si>
  <si>
    <t>MODULE PRINTING JHS</t>
  </si>
  <si>
    <t>RE-POST: Proposed Drainage Canal at Purok 3-A, Brgy. Holy Redeemer, Butuan City</t>
  </si>
  <si>
    <t>Improvement of Barangay Apolong Multi-Purpose Building</t>
  </si>
  <si>
    <t>Laboratory Supplies for OPA-2020-0365</t>
  </si>
  <si>
    <t>Proposed Construction of Establishment Mini Rice Mill/DA Village Type Rice Mill (Proposed Extension of Village Type Rice Mill) at Purok 6B, Brgy. Binoligan, Kidapawan City.</t>
  </si>
  <si>
    <t>concreting of municipal road</t>
  </si>
  <si>
    <t>PURCHASE MATERIALS FOR THE CONSTRUCTION OF ELEMENTARY SCHOOL KITCHEN PHASE II</t>
  </si>
  <si>
    <t>20PC0001G SUPPLY &amp; DELIVERY OF MATERIALS FOR THE REPAINTING OF BRIDGES ALONG VARIOUS ROAD SECTION PUDTOL, LUNA, CALANASAN, STA. MARCELA &amp; FLORA, APAYAO</t>
  </si>
  <si>
    <t>13	rolls	1/2"Ø x 300m/roll Polyethelene Pipe, etc. PR # 397-20</t>
  </si>
  <si>
    <t>SUPPLY OF TOOLS, JIGS, EQUIPMENT AND RAW MATERIALS</t>
  </si>
  <si>
    <t>installation of additional solar street lights</t>
  </si>
  <si>
    <t>Construction of Apolong Multi-Purpose Building</t>
  </si>
  <si>
    <t>370	pcs.	11 W, LED lamp, day light, etc. PR # 292-20</t>
  </si>
  <si>
    <t>Quotation No. 20-06-0352- Vehicle Rental for the Monitoring and Evaluation on Mass Drug Administration Activity on July 6-11, 2020; Itinerary: Isabela City, Basilan</t>
  </si>
  <si>
    <t>20FF0100 - Construction of Barangay Road, Barangay Carangcang, Magarao, Camarines Sur</t>
  </si>
  <si>
    <t>Cellphone Load Cards for Key Officials and Drivers</t>
  </si>
  <si>
    <t>Improvement of Road along Tagadtaran-Calao-Villa Aurora Road Section in Burauen, Leyte, ABC PHP9,999,200.55</t>
  </si>
  <si>
    <t>Reblocking of Provincial Road along Brgy. Maghubas-Libas (Burauen, Leyte) - Cambucao (Tabontabon, Leyte) Road Section, ABC PHP19,200,292.68</t>
  </si>
  <si>
    <t>SUPPLY AND DELIVERYSUPPLY AND DELIVERY OF CROSSBRED/PUREBRED BUFFALOES  (40 HEADS)</t>
  </si>
  <si>
    <t>MDH-FOOD SUPPLIES</t>
  </si>
  <si>
    <t>HMO-DIGITAL B&amp;W MULTI FUNCTION COPIER/PRINTER/COLOR SCANNER WITH BUILT IN DUPLEX</t>
  </si>
  <si>
    <t>Medical Supplies for TJPH-2020-0120</t>
  </si>
  <si>
    <t>Improvement of Road in Brgy. Uguisan, MacArthur, Leyte, ABC PHP9,999,195.07</t>
  </si>
  <si>
    <t>Construction/Rehabilitation of Local Access Road at Batchelor West</t>
  </si>
  <si>
    <t>Purchase of Fishing Gears and Other Fishing Paraphernalia for Subsidized Assistance Project Provincial Agriculture Office Province of Northern Samar</t>
  </si>
  <si>
    <t>20GOH0004-Proposed  Purchase of Uniforms for Maintenance Workers along Various National Roads within SMDEO Jurisdiction</t>
  </si>
  <si>
    <t>Purchase of Two (2) Units E – Trike – Barangay Patrol Electronic Vehicle Civil Security Office Catarman, Northern Samar</t>
  </si>
  <si>
    <t>Reblocking of Road along MacArthur-Palale-San Antonio Provincial Road Section in MacArthur, Leyte, ABC PHP9,969,583.12</t>
  </si>
  <si>
    <t>Design and Build for the Improvement of Water Supply System Level III</t>
  </si>
  <si>
    <t>Sustainable Livelihood Support to Disaster Affected Areas under CRFPS</t>
  </si>
  <si>
    <t>Supply &amp; Delivery of Office Supplies &amp; Materials</t>
  </si>
  <si>
    <t>Provision of Security Guards for Six Months Contract</t>
  </si>
  <si>
    <t>Supply &amp; Delivery of Agricultural Products for City Nursery use (OCAS).</t>
  </si>
  <si>
    <t>Construction of Waiting Shed in Front of Roman Catholic Church</t>
  </si>
  <si>
    <t>Construction of Multi-Purpose Bldg. (Phase 2) in Brgy. Potot, Capoocan, Leyte, ABC PHP3,899,090.61</t>
  </si>
  <si>
    <t>Construction of 2 Units 3-Chamber Septic Vault Beside Prov’l Budget &amp;Tourism Offices, New Capitol Bldg. Brgy. Dalakit, Catarman, N. Samar</t>
  </si>
  <si>
    <t>Construction of Multi-Purpose Bldg. with Slope Protection in Brgy. Lanoy, Kananga, Leyte, ABC PHP4,955,494.22</t>
  </si>
  <si>
    <t>CONSTRUCTION OF COVERED CANAL AND CONCRETING OF PATHWALK AT PUROK I</t>
  </si>
  <si>
    <t>CONSTRUCTION OF MULTI-PURPOSE HALL - PHASE II AT HINIGDAAN, EL SALVADOR CITY</t>
  </si>
  <si>
    <t>Construction of 8 Units Sea Base Seaweeds Solar Dryer in Surigao del Sur (A FishCORAL Project)</t>
  </si>
  <si>
    <t>Procurement of Diesel and Gasoline for maintenance of Garbage Trucks, Services Vehicles &amp; Heavy Equipments (CGSO)</t>
  </si>
  <si>
    <t>Concreting of Road along JNR Rizal-Cambinoy-San Pedro Cancosme San Guillermo Provincial Road Section in Palompon, Leyte, ABC PHP4,999,751.78</t>
  </si>
  <si>
    <t>Construction of Multi-Purpose Bldg. (Phase 2) in Matag-ob, Leyte, ABC PHP19,998,728.19</t>
  </si>
  <si>
    <t>Construction of Suspension Support and Crossover Pipeline along Cogon-San Joaquin Bridge in Palo, Leyte, ABC PHP5,776,634.39</t>
  </si>
  <si>
    <t>Supply and Delivery of CM for the construction of tire path @ Kellet -Ba-neng phase II</t>
  </si>
  <si>
    <t>CONSTRUCTION OF ONE ROOM AT NARRA BARANGAY HEALTH CENTER, BRGY. NARRA, SAN MANUEL, PANGASINAN</t>
  </si>
  <si>
    <t>SUPPLY AND DELIVERY OF ANIMAL FEEDS, DRUGS &amp; VITAMINS USE FOR ORGANIC SWINE FOR 3rd &amp; 4th QUARTER 2020</t>
  </si>
  <si>
    <t>SUPPLY OF PLATES</t>
  </si>
  <si>
    <t>SUPPLY AND DELIVERY OF ONE (1) UNIT COMBINE RICE HARVESTER AND ONE (1) UNIT FARM TRACTOR FOR THE CITY AGRICULTURIST OFFICE</t>
  </si>
  <si>
    <t>CONSTRUCTION OF 1-UNIT SEPTIC VAULT BRGY. GATA</t>
  </si>
  <si>
    <t>Purchase of Water Pump</t>
  </si>
  <si>
    <t>Quotation No. 20-06-0353- Vehicle Rental for the Monitoring and Evaluation on Mass Drug Administration Activity on July 6-11, 2020; Itinerary: Zamboanga City</t>
  </si>
  <si>
    <t>REHABILITATION OF DRAINAGE AT FILACS LOWER TUNDOL</t>
  </si>
  <si>
    <t>CONCRETING OF PATHWAY AT PUROK 5</t>
  </si>
  <si>
    <t>SOUND SYSTEM 2</t>
  </si>
  <si>
    <t>INSTALLATION OF TWO (2) UNITS ARTESIAN WELL FOR IRRIGATION SYSTEM (LABOR SERVICES) - TWO FAILED BIDDING</t>
  </si>
  <si>
    <t>Repairs and Maintenance for CCTV - 2nd Quarter 2020</t>
  </si>
  <si>
    <t>Supply &amp; Delivery of Painting Materials for painting of pedestrian lanes, traffic signs on poblacion roads/street (OCES).</t>
  </si>
  <si>
    <t>SOUND SYSTEM 1</t>
  </si>
  <si>
    <t>20HH0141-Concreting of Brgy. Kalunasan FMR, Brgy. Kalunasan, Cebu City, Cebu</t>
  </si>
  <si>
    <t>COMPLETION OF DORMITORY AND CAFETERIA OF FARM TECHNOLOGY TRAINING CENTER FOR PAMPLONA CAMPUS</t>
  </si>
  <si>
    <t>Construction of Seawall (between Guitna and Bonbon) P-I</t>
  </si>
  <si>
    <t>CONSTRUCTION OF TWO(2)-STOREY PROCESSING BUILDING WITH WAREHOUSE IN SUPPORT TO THE GEONET PRODUCTION AND MARKETING ENTERPRISES</t>
  </si>
  <si>
    <t>Civil Works by Contract for the Improvement of Water Supply System Level III (Damula-an)</t>
  </si>
  <si>
    <t>Rehabilitation of LGU Owned Potable Water System - M.O</t>
  </si>
  <si>
    <t>PURCHASE OF DRUGS AND MEDICINES</t>
  </si>
  <si>
    <t>REPAIR OF CONCRETE ROAD WITH COVERED CROSS DRAIN AT PUROK I</t>
  </si>
  <si>
    <t>Supply and Delivery of 1 Unit 2020 Commuter Van 2.8L M/T and 2 units Automatic Motorcycle 150i.</t>
  </si>
  <si>
    <t>Purchase of medicines &amp; Family Planning Supplies</t>
  </si>
  <si>
    <t>PROCUREMENT OF DIESEL FUEL</t>
  </si>
  <si>
    <t>CONCRETING OF PATHWAY AT PUROK 1</t>
  </si>
  <si>
    <t>For use in Planning &amp; Design Section, DPWH, Pagadian City</t>
  </si>
  <si>
    <t>Procurement of Vehicle Parts and Accessories</t>
  </si>
  <si>
    <t>INVITATION TO BID FOR THE SUPPLY &amp; DELIVERY OF MEALS&amp;SNACKS FOR MSWDO WITH PR#2020-GF-06-351 AND ABC OF P216,000.00</t>
  </si>
  <si>
    <t>PURCHASE OF MEDICAL SUPPLIES OF MUNICIPAL HEALTH OFFICE 2020</t>
  </si>
  <si>
    <t>Supply and Delivery of Various Office Equipment and Paraphernalia</t>
  </si>
  <si>
    <t>PURCHASE OF DRUGS AND MEDICINES FOR MUNICIPAL HEALTH OFFICE</t>
  </si>
  <si>
    <t>Proposed Kapate Tribal Village (IP Housing Project) @ Brgy. Kapate, Kiamba, Sarangani Province</t>
  </si>
  <si>
    <t>Improvement of Multipurpose Hall/Concreting Drainage System &amp; Barangay Site</t>
  </si>
  <si>
    <t>EXTENSION OF RHU WAITING AREA AND PHARMACY EXTENSION, LGU CAMPUS, VILLABA, LEYTE - PHILHEALTH CAPITATION</t>
  </si>
  <si>
    <t>INSTALLATION OF SOLAR PANEL STREET LIGHTS</t>
  </si>
  <si>
    <t>Supply and Delivery of Multifarious Hardware Materials</t>
  </si>
  <si>
    <t>Concreting of Farm-to-Market Road in Brgy. Bitanhuan, Baybay City, Leyte, ABC PHP3,525,816.55</t>
  </si>
  <si>
    <t>Supply and Delivery of Construction Materials and Supplies for the Construction of Additional Air Ventilation</t>
  </si>
  <si>
    <t>REHABILITATION OF DAMAGED ROADS/BRIDGES/SLOPE PROTECTION OF BRIDGE APPROACHES/ OTHER STRUCTURES</t>
  </si>
  <si>
    <t>Repair/ Improvement of Multi-purpose Bldg.</t>
  </si>
  <si>
    <t>SUPPLY AND DELIVERY OF ONE (1) UNIT 4X4 PICK-UP FOR THE CITY SECURITY AND TRAFFIC MANAGEMENT TASKFORCE OFFICE – 2ND BIDDING</t>
  </si>
  <si>
    <t>REHAB./REPAIR OF BALITE TENNIS COURT, BRGY. BALITE, VILLABA, LEYTE - BRGY. FUND</t>
  </si>
  <si>
    <t>Purchase of One (1) unit Brand New 4-wheeler Vehicle, 10 feet w/ Aircon (Back to Back). For use of Kabankalan City Police Station.</t>
  </si>
  <si>
    <t>REPAIR/IMPROVEMENT OF FOOT BRIDGE</t>
  </si>
  <si>
    <t>ITB 2020-GS-009A HFEP EQUIPMENT (PACKAGE 1)</t>
  </si>
  <si>
    <t>SUPPLY AND DELIVERY OF MATERIALS AND EQUIPMENT TO BE USED FOR THE TKDL-AYTA PROJECT</t>
  </si>
  <si>
    <t>Motorpool Construction Phase I</t>
  </si>
  <si>
    <t>COMPLETION OF MULTI-PURPOSE HALL - PHASE III AT COGON, EL SALVADOR CITY</t>
  </si>
  <si>
    <t>Rebidding of MEDICAL, DENTAL &amp; LABORATORY SUPPLIES (1st Quarter-2020)</t>
  </si>
  <si>
    <t>PURCHASE OF IT EQUIPMENTS FOR LGU OFFICES AND FOR CBMS SURVEY</t>
  </si>
  <si>
    <t>Construction of 38 Units Temporary Shelter</t>
  </si>
  <si>
    <t>Catering Services and Accommodation</t>
  </si>
  <si>
    <t>Supply and Delivery of Materials for Replacement of Early Warning Device Wiring</t>
  </si>
  <si>
    <t>Repair/Improvement of Portion of PSWDO Building &amp; Construction of 1 Unit 3-Chamber Septic Vault Brgy. Dalakit, Catarman, Northern Samar</t>
  </si>
  <si>
    <t>Construction of Footwalk</t>
  </si>
  <si>
    <t>Supply and Delivery of 1 Unit Brandnew FORKLIFT, 4 x 2, 10 tons, diesel engine, 4 cycle water.</t>
  </si>
  <si>
    <t>INVITATION TO BID FOR THE SUPPLY &amp; DELIVERY OF VARIOUS MATERIALS-MIF FOR SB-CCV WITH PR#2020-GF-06-308 AND ABC OF P 50,790.00</t>
  </si>
  <si>
    <t>Procurement of Veterinary Products for Deworming of Large &amp; Small Animals, Anti-Rabies Vaccination for Dogs &amp; Cats and to Treat Diseases of Animals.</t>
  </si>
  <si>
    <t>Construction Of Hanging Bridge From Brgy. Canal to Brgy. Bislig in Carigara, Leyte, ABC PHP5,999,929.43</t>
  </si>
  <si>
    <t>INVITATION TO BID FOR THE SUPPLY &amp; DELIVERY OF DIESEL FOR MMO WITH PR#2020-GF-06-299 AND ABC OF P518,803.34</t>
  </si>
  <si>
    <t>20GA0226-Construction of (15) Fifteen School Site and Public Building Rainwater Collector System Province of Aklan</t>
  </si>
  <si>
    <t>Improvement of Flood Control and Single Box Culvert in Brgy. Calao, Burauen, Leyte, ABC PHP7,018,489.20</t>
  </si>
  <si>
    <t>Supply &amp; Delivery of IT Equipment for office use (CPDO).</t>
  </si>
  <si>
    <t>CONCRETING OF PATHWAY AT PUROK 2 TO 3</t>
  </si>
  <si>
    <t>Supply and Installation of Fire Detection, Alarm and Suppression for Three (3) Storey New Municipal Hall Bldg.</t>
  </si>
  <si>
    <t>REHABILITATION OF CABADBARAN DISTRICT HOSPITAL (REHAB / REPAIR / IMPROVEMENT OF CDH)</t>
  </si>
  <si>
    <t>Purchase of Five (5) units Floor Standing Air Conditioner including Installation for Various Offices</t>
  </si>
  <si>
    <t>For use in Procurement Unit, DPWH, PagadianCity</t>
  </si>
  <si>
    <t>Civil Works by Contract for the Construction of Two Storey Evacuation Center (Damula-an)</t>
  </si>
  <si>
    <t>Quotation No. 20-06-0354- Vehicle Rental for the Monitoring and Evaluation on Mass Drug Administration Activity on July 6-11, 2020 (Batch 1) and July 13-18, 2020 (Batch 2); Itinerary: Zamboanga Del Su</t>
  </si>
  <si>
    <t>For use in Maintenance Section, Service Vehicle, DPWH. Pagadian City</t>
  </si>
  <si>
    <t>After training support and demo materials for the conduct of Training on Animal Health Care Management for Barangay Animal Health Workers (BAHW)</t>
  </si>
  <si>
    <t>Purchase of Fuel, Oil and Lubricants 1st and 2nd Quarter</t>
  </si>
  <si>
    <t>Procurement of Seven (7) Units Ambulance Vehicle</t>
  </si>
  <si>
    <t>INVITATION TO BID FOR THE SUPPLY &amp; DELIVERY OF VARIOUS MATERIALS-MIF FOR SB-HLB WITH PR#2020-GF-06-309 AND ABC OF P50,790.00</t>
  </si>
  <si>
    <t>Repair of Mulit-purpose Hall</t>
  </si>
  <si>
    <t>20CN0067 - Construction of Slope Protection Along A. Castañeda – Ma. Aurora San Luis Road, (K0198+120 – K0198+171.84), Aurora</t>
  </si>
  <si>
    <t>PROCUREMENT OF ANTI-RABIES VACCINE</t>
  </si>
  <si>
    <t>RFQ No. 2020-031: Procurement of Four (4) CPUs  (2nd Posting)</t>
  </si>
  <si>
    <t>Jaliobong Cluster Access Road Concreting Phase I</t>
  </si>
  <si>
    <t>CONCRETING OF PATHWAY- PROCUREMENT OF MATERIALS</t>
  </si>
  <si>
    <t>Barangay Road Concreting - Seven (7) Barangays - LGU Cortes Bohol</t>
  </si>
  <si>
    <t>INVITATION TO BID FOR THE SUPPLY &amp; DELIVERY OF VARIOUS MATERIALS-MIF FOR SB-GEC,JR. WITH PR#2020-GF-06-315 AND ABC OF P50,790.00</t>
  </si>
  <si>
    <t>20CN0066 - Construction of Slope Protection along Madela – Dinadiawan Road, K0410+100 – K0410+146, Aurora</t>
  </si>
  <si>
    <t>Procurement of various office supplies for different office use</t>
  </si>
  <si>
    <t>INVITATION TO BID FOR THE SUPPLY &amp; DELIVERY OF VARIOUS MATERIALS-MIF FOR SB-LOA WITH PR#2020-GF-06-312 AND ABC OF P 50,790.00</t>
  </si>
  <si>
    <t>Supply and delivery of Food for various meeting</t>
  </si>
  <si>
    <t>Purchase of Medicine for the 1st and 2nd Quarter</t>
  </si>
  <si>
    <t>CID No. 20OD0194 - Construction of 4-Storey 8-Classroom School Building Caruhatan East ES, Valenzuela City</t>
  </si>
  <si>
    <t>CID No. 20OD0196 - Construction of Multi-purpose Building Brgy. Parada, Valenzuela City (Phase 2)</t>
  </si>
  <si>
    <t>INVITATION TO BID FOR THE SUPPLY &amp; DELIVERY OF VARIOUS MATERIALS-MIF FOR SB-LCM,SR. WITH PR#2020-GF-06-311 AND ABC OF P50,790.00</t>
  </si>
  <si>
    <t>IMPROVEMENT OF PIÑAHON ISLAND FACILITIES SIBUTAD, ZAMBOANGA DEL NORTE</t>
  </si>
  <si>
    <t>Purchase of Seeds, Fertilizers, Insecticides and Fungicide for the Cacao Nursery Program of Provincial Governor’s Office</t>
  </si>
  <si>
    <t>PROCUREMENT OF DIESOLINE FOR COVID OPERATIONS AND OTHER DRRM RELATED ACTIVITIES -1ST POSTING (ITB No. 20-Goods-2020)</t>
  </si>
  <si>
    <t>INVITATION TO BID FOR THE SUPPLY &amp; DELIVERY OF VARIOUS MATERIALS-MIF FOR SB-JPM WITH PR#2020-GF-06-313 AND ABC OF P 50,790.00</t>
  </si>
  <si>
    <t>INVITATION TO BID FOR THE SUPPLY &amp; DELIVERY OF VARIOUS MATERIALS-MIF FOR SB-RGA WITH PR#2020-GF-06-314 AND ABC OF P 50,790.00</t>
  </si>
  <si>
    <t>CONCRETING OF PATHWAY AT PUROK 3 TO 2</t>
  </si>
  <si>
    <t>Supply and delivery of Two (2) unit Emergency Light to be used in the Office of the Municipal Mayor</t>
  </si>
  <si>
    <t>CONCRETING OF MULTI-PURPOSE PAVEMENT AT PUROK 4</t>
  </si>
  <si>
    <t>INSTALLATION OF WATER LINE AND TWO(2) UNITS OUTDOOR LAVATORY AT PRK. 25 - BRGY. HEALTH CENTER &amp; DAY CARE CENTER IV</t>
  </si>
  <si>
    <t>Construction of River Landing Brgy. Matelarag, Las Navas Northern Samar</t>
  </si>
  <si>
    <t>20CN0068 - Construction of Slope Protection Along A. Castañeda – Ma. Aurora San Luis Road, (K0211+175 – K0211+310), Aurora</t>
  </si>
  <si>
    <t>INVITATION TO BID FOR THE SUPPLY &amp; DELIVERY OF VARIOUS MATERIALS-MIF FOR SB-LCB WITH PR#2020-GF-06-310 AND ABC OF P50,790.00</t>
  </si>
  <si>
    <t>CONCRETING OF MULTI-PURPOSE PAVEMENT</t>
  </si>
  <si>
    <t>Rehabilitation of Multi-Purpose Hall, Barangay Cometa</t>
  </si>
  <si>
    <t>Other Structure</t>
  </si>
  <si>
    <t>CONCRETING OF PATHWAY AT PUROK 3 to PUROK 5</t>
  </si>
  <si>
    <t>INVITATION TO BID FOR THE SUPPLY &amp; DELIVERY OF VARIOUS MATERIALS-MIF FOR VM-IAR,JR. WITH PR#2020-GF-06-305 AND ABC OF P 74,766.00</t>
  </si>
  <si>
    <t>CID No. 20OD0197 - Construction/Rehabilitation of Multi-purpose Building Brgy. 18, Caloocan City</t>
  </si>
  <si>
    <t>CID No. 20OD0198 - Repair/Maintenance/Rehabilitation along Mac Arthur Highway, Valenzuela City</t>
  </si>
  <si>
    <t>20CN0069 - Construction of Slope Protection Along Baler – Casiguran Road (Baler – Dinadiawan Section), (K0259+735 – K0259+775), Casiguran, Aurora</t>
  </si>
  <si>
    <t>SUPPLY AND DELIVERY OF ARM CHAIRS AND SALA SETS (PR NO. 2020-02-0376, 2020-02-0240, 2020-02-0371)</t>
  </si>
  <si>
    <t>Lease Contract for Office Space Building</t>
  </si>
  <si>
    <t>INVITATION TO BID FOR THE SUPPLY &amp; DELIVERY OF VARIOUS MATERIALS-MIF FOR MMO-JHIV WITH PR#2020-GF-06-307 AND ABC OF P 175,265.00</t>
  </si>
  <si>
    <t>Concreting of Pathway at Purok 2</t>
  </si>
  <si>
    <t>Supply and delivery of Materials for the Improvement of Existing Evacuation @ Municipal Compound, Nagcarlan, Laguna</t>
  </si>
  <si>
    <t>Continuation of the Multi Purpose Building</t>
  </si>
  <si>
    <t>Supply and Delivery of Materials to be used in the Concreting of Roads in different barangays, Naujan, Oriental Mindoro</t>
  </si>
  <si>
    <t>Procurement of Office and IT Equipment for Mayor's and KALAHI Office</t>
  </si>
  <si>
    <t>Procurement of Multi-Shredding &amp; Pulveriser Machine for MENRO</t>
  </si>
  <si>
    <t>20CN0070 - Construction of Slope Protection Along Baler – Casiguran Road (Dinadiawan – Casiguran Section), K0292+910 – K0292+988, Aurora</t>
  </si>
  <si>
    <t>Supply and delivery of Plumbing Materials for Brgy. Sil. Lazaan, Nagcarlan, Laguna</t>
  </si>
  <si>
    <t>Construction of Multi Purpose Building - Brgy. San Silvestre, Pilar, Capiz</t>
  </si>
  <si>
    <t>Supply and delivery of Materials for the Rehabilitation of Ana Kalang Statue at Municipality of Nagcarlan, Laguna</t>
  </si>
  <si>
    <t>REHAB./IMPROVEMENT OF ISOLATION ROOM, BRGY. BALITE, VILLABA, LEYTE - BRGY. FUND</t>
  </si>
  <si>
    <t>PROCUREMENT OF INFORMATION TECHNOLOGY (IT) EQUIPMENT OF THE MUNICIPALITY OF LIMASAWA, SOUTHERN LEYTE</t>
  </si>
  <si>
    <t>20CN0071 - Construction of Slope Protection Along Baler – Casiguran Road (Dinadiawan – Casiguran Section), (K0302+490 – K0302+570), Casiguran, Aurora</t>
  </si>
  <si>
    <t>Construction of Welcome Arch Sign-Barangay 1</t>
  </si>
  <si>
    <t>PROCUREMENT OF INFORMATION AND COMMUNICATION TECHNOLOGY EQUIPMENTS</t>
  </si>
  <si>
    <t>20CN0073 - Construction of Slope Protection along Nueva Ecija – Aurora Road, K0212+155 – K0212+203, Aurora</t>
  </si>
  <si>
    <t>Construction of River Dike in Brgy. Caghalo, Carigara, Leyte, ABC PHP3,506,084.15</t>
  </si>
  <si>
    <t>20CN0072 - Construction of Slope Protection along Nueva Ecija – Aurora Road, K0171+150 – K0171+195.52, Aurora</t>
  </si>
  <si>
    <t>Procurement of One (1) Units Service Vehicle (Patient Transport Vehicle)</t>
  </si>
  <si>
    <t>20CN0074 - Construction of Slope Protection along Nueva Ecija – Aurora Road, K0196+230 – K0196+277, Aurora</t>
  </si>
  <si>
    <t>Reblocking/Concreting of Road from Brgy. Los Martires to Brgy. San Antonio Dist. 5 in Dagami, Leyte, ABC PHP3,517,944.70</t>
  </si>
  <si>
    <t>Construction of Box Culvert w/ Climate Resilient Design at Maria, Laua-an, Antique</t>
  </si>
  <si>
    <t>Supply and Delivery of Electrical Materials &amp; Supplies ( D-025-0277-20 )</t>
  </si>
  <si>
    <t>CONST. OF 1 UNIT - TWO CLASSROOM SCHOOL BUILDING</t>
  </si>
  <si>
    <t>Purchase of electrical supplies</t>
  </si>
  <si>
    <t>Spareparts</t>
  </si>
  <si>
    <t>Veterinary Medical Supplies</t>
  </si>
  <si>
    <t>CONTINUATION OF STREETLIGHTS-SOLAR</t>
  </si>
  <si>
    <t>CONSTRUCTION OF MULTI - PURPOSE BUILDING @ BRGY. OLD LABANGAN, LABANGAN, ZDS</t>
  </si>
  <si>
    <t>Improvement of Multi-Purpose Center/Evacuation Center at Poblacion</t>
  </si>
  <si>
    <t>Construction of Comfort Room for Male and Female and VAW-C Room at Brgy. 3, Kabankalan City, Negros Occidental</t>
  </si>
  <si>
    <t>pply and Delivery of Materials to be used in the Repair and Maintenance of Motorpool at Naujan Agricultural Center, Andres Ylagan, Naujan, Oriental Mindoro</t>
  </si>
  <si>
    <t>Various Office Enhancement</t>
  </si>
  <si>
    <t>CCTV Cameras</t>
  </si>
  <si>
    <t>SALE OF VARIOUS UNSERVICEABLE MATERIALS AND EQUIPMENT “As is, Where is” Basis</t>
  </si>
  <si>
    <t>20DD0304 (Re-Advertised) Local Program, Local Infrastructure Program, Buildings and Other Structures, Multipurpose/ Facilities, Improvement of Multi-Purpose Building in Various Barangays, San Jose, Ba</t>
  </si>
  <si>
    <t>Procurement of One (1) Units Service Vehicle</t>
  </si>
  <si>
    <t>Repair/Maintenance of DOF Building RO V - Main Building Bureau of Local Government Finance, Rawis, Legazpi City</t>
  </si>
  <si>
    <t>ITB No. 2020-06-23 Provision of Security Services for DA-RFO 02 and its Research Centers and Experiment Stations and other Facilities</t>
  </si>
  <si>
    <t>20CN0126 - Slope Protection along Nueva Ecija – Aurora Road, (K0190+740 – K0190+890), (K0191+211 – K0191+260)</t>
  </si>
  <si>
    <t>20CN0124 - Slope Protection along Nueva Ecija – Aurora Road, K0176+200 – K0176+360</t>
  </si>
  <si>
    <t>20CN0123 - Construction of Slope Protection along Baler - Casiguran Road (Dinadiawan-Casiguran Section), K0297+060 – K0297+143, K0297+190 – K0297+300, Casigura, Aurora</t>
  </si>
  <si>
    <t>20CN0075 - Construction of Slope Protection along Nueva Ecija – Aurora Road, K0204+325 – K0204+386, Aurora</t>
  </si>
  <si>
    <t>Procurement of Civil Works ITB 20-08</t>
  </si>
  <si>
    <t>20CN0125 - Slope Protection along Nueva Ecija – Aurora Road, K0184+800 – K0184+880, K0184+980 – K0185+090</t>
  </si>
  <si>
    <t>Road Rehabilitation (0.2mX5.0mX18km) at Tugas, Riverside, Kanmangasang, Caipe, Cagcagan-Adela &amp; Sta. Rita, Poro, Cebu</t>
  </si>
  <si>
    <t>CID No. 20OD0199 - Repair/Maintenance/Rehabilitation along Mac Arthur Highway, Valenzuela City</t>
  </si>
  <si>
    <t>Procurement of Vehicle (6-Wheeler Dump Truck)</t>
  </si>
  <si>
    <t>FABRICATION AND INSTRALLATION OF STEEL GRILLS AND STEEL GATE IN FRONT OF PERIMETER FENCE OF KADAMPAT GYMANASIUM @ SITIO KADAMPAT, BOLO, LABRADOR, PANGAS1NAN</t>
  </si>
  <si>
    <t>20DD0350 Local Program, Local Infrastructure Program, Local Roads and Bridges, Local Roads, Concreting of Local Road, Brgy. Salaban I, Ibaan, Batangas</t>
  </si>
  <si>
    <t>BHW Uniforms, Health Kits &amp; Protective Gear</t>
  </si>
  <si>
    <t>Construction of the Tanjay City Evacuation Center (Phase III)</t>
  </si>
  <si>
    <t>Supply &amp; Delivery of I.T. EQUIPMENT</t>
  </si>
  <si>
    <t>Repair of Isuzu Double Axle Dump Truck # 1 SHZ-955 / CEO, Bago City</t>
  </si>
  <si>
    <t>Concreting of Ochoa St. Extension</t>
  </si>
  <si>
    <t>Supply and delivery of School Equipment for use in Implementation of new learning and teaching methods under new normal condition (due to Covid-19 Pandemic) in all public elementary and High School in</t>
  </si>
  <si>
    <t>GENERAL ADMINISTRATION AND SUPPORT</t>
  </si>
  <si>
    <t>20DD0349 Local Program, Local Infrastructure Program, Flood Control and Drainage, Drainage/ Protection Works, Rehabilitation/ Construction of Drainage at District III (Pookan), Marawoy, Lipa City, Bat</t>
  </si>
  <si>
    <t>REPAINTING OF ROOF, INTERIOR &amp; EXTERIOR CEILING AND WALL OF BUILDINGS AT LIMAY PARK</t>
  </si>
  <si>
    <t>Supply &amp; Delivery of MOTOR VEHICLES for the use of Lopez PNP</t>
  </si>
  <si>
    <t>Procurement of Flash Hoods, Gloves, and Inflatable Life Jackets</t>
  </si>
  <si>
    <t>FABRICATION AND INSTALLATION OF STEEL GOAL (FIBER GLASS)</t>
  </si>
  <si>
    <t>NEGOTIATED PROCUREMENT OF IMPROVEMENT/CONCRETING OF MSS BARANGAY ROAD-Brgy. Sto. Nino Ibaba/Ilaya Lopez, Quezon</t>
  </si>
  <si>
    <t>CONSTRUCTION OF LOCAL  ROAD- Sitio Panghulan 2, Brgy. Bula</t>
  </si>
  <si>
    <t>20DD0351 Local Program, Construction/ Repair/ Rehabilitation/ Improvement of Various Infrastructure Including Local Projects, Water Management Facilities, Water Supply, Construction/Completion of Wate</t>
  </si>
  <si>
    <t>Package Project: A.) Construction of Multi Purpose Building at Block 65, Barangay 21-C, Poblacion District, Davao City B.) Construction of Barangay Hall at Block 65, Barangay 21-C, Poblacion District,</t>
  </si>
  <si>
    <t>Completion / Concreting of Motor Pool and Slaughter House Access Road</t>
  </si>
  <si>
    <t>Barangay Patrol Multi-Cab</t>
  </si>
  <si>
    <t>Renovation of Pavillion 104 and Fabrication of Railings and Fabrication of Proposed Fence at BAMR, Brgy Ilijan, Bago City</t>
  </si>
  <si>
    <t>Concreting of Farm-To-Market Road (Brgy. Bonifacio - Brgy. Burgos Road Section) in Mayorga, Leyte, ABC PHP3,184,316.98</t>
  </si>
  <si>
    <t>CONCRETING OF PUBLIC ALLEY (ZONE 1- 2)</t>
  </si>
  <si>
    <t>Bantay Bayan Traffic Equipment</t>
  </si>
  <si>
    <t>Concreting of Frontage and Constructioin of Drainage System of New Market Stalls, Bago City Public Market, Brgy Poblacion, Bago City</t>
  </si>
  <si>
    <t>Rebidding: 7 cu.m Sand Std. Specs and other items for the construction of two guard houses at entrance and exit gates of categorized final disposal facility (Sanitary Landfill) at Barangay Candau-ay.</t>
  </si>
  <si>
    <t>Improvement of Motorpool</t>
  </si>
  <si>
    <t>Additional Backfilling and Construction of Retaining Wall (Ripraps) of Slaughterhouse Premises, Sitio Asiotes, Barangay Polo</t>
  </si>
  <si>
    <t>Procurement of One Set Laptop and One Printer</t>
  </si>
  <si>
    <t>Concreting of Farm to Market Road (Tobrehon Road Section)</t>
  </si>
  <si>
    <t>Construction of Multi-Purpose Hall in Balugo, Albuera, Leyte, ABC PHP3,098,838.91</t>
  </si>
  <si>
    <t>Concreting of Sanitary Landfill Access Road Phase I</t>
  </si>
  <si>
    <t>Concreting of Barangay Road at Brgy. Bignay 1, Sitio Aplaya, Sariaya, Quezon</t>
  </si>
  <si>
    <t>Rebidding of Concreting of Barangay Road at Brgy. Morong, Sitio Purok 7, Sariaya, Quezon</t>
  </si>
  <si>
    <t>NEGOTIATED PROCUREMENT OF CONCRETING OF CRITICAL PORTION OF DEL ROSARIO-VERONICA BARANGAY ROAD-Brgy. Del Rosario Lopez, Quezon</t>
  </si>
  <si>
    <t>ITB NO. SV20-06-002ANG SUPPLY AND DELIVERY OF VARIOUS PRINTED FORMS</t>
  </si>
  <si>
    <t>Rebidding: 16 cu.m Sand (Std. Specs) and other items for construction of Steel foot bridge at Purok Makoguihon connecting Villa Fortunata (Phase I) at Barangay Junob.</t>
  </si>
  <si>
    <t>Construction of River Protection-Barangay Mascarina</t>
  </si>
  <si>
    <t>20DD0352 Local Program, Local Infrastructure Program, Buildings and Other Structures, Multipurpose/ Facilities, Construction/ Completion of Multi-Purpose Building, Brgy. Laiya Ibabao, San Juan, Batang</t>
  </si>
  <si>
    <t>Rebidding of Concreting of Core Local Road to Barangay Sta. Elena, Brgy. San Pedro Lopez, Quezon</t>
  </si>
  <si>
    <t>20DD0353 Local Program, Local Infrastructure Program, Buildings and Other Structures, Multipurpose/ Facilities, Improvement and Rehabilitation of Multi-Purpose Hall, Brgy. Poblacion, Ibaan, Batangas</t>
  </si>
  <si>
    <t>Concreting of Barangay Road @Brgy Lutucan Malabag, Sitio Lagnas, Sariaya, Quezon</t>
  </si>
  <si>
    <t>Supply of Autodelfia Neonatal Kit/Solutions/Reagents (Rebid)</t>
  </si>
  <si>
    <t>Construction of Nagattatan-Utan Retailing Wall</t>
  </si>
  <si>
    <t>Bareangay Two Wheel Patrol</t>
  </si>
  <si>
    <t>Rebidding: 8 gals Latex Paint flat white and other items for the construction of two guard houses at entrance and exit gates of categorized final disposal facility (Sanitary Landfill) at Barangay Cand</t>
  </si>
  <si>
    <t>NEGOTIATED PROCUREMENT OF MAINTENANCE OF 3V'S BARANGAY ROAD-Brgy. Villa Espina Lopez, Quezon</t>
  </si>
  <si>
    <t>20DD0354 Local Program, Local Infrastructure Program, Flood Control and Drainage, Flood Control Structures / Facilities, Rehabilitation/Improvement of Flood Control Structure at Brgy. Tambo, Lipa City</t>
  </si>
  <si>
    <t>Concreting of Barangay Road @Brgy Bucal, Sariaya, Quezon</t>
  </si>
  <si>
    <t>Rehabilitation of Pussian SWIP Access Road</t>
  </si>
  <si>
    <t>Advisory And Review Consultant</t>
  </si>
  <si>
    <t>Procurement of Diesel  and Oil for maintenance of Various Provincial Roads &amp; Bridges, Province of Aklan /ITB no: 2020-364</t>
  </si>
  <si>
    <t>Slope Protection (Binagasbasan, Paraiso)</t>
  </si>
  <si>
    <t>20DD0358 Local Program, Local Infrastructure Program, Water Management Facilities, Water Supply, Construction of Water System at Padre Valerio Malabanan Elementary School, Brgy. 1, Lipa City, Batangas</t>
  </si>
  <si>
    <t>20DD0357 Local Program, Local Infrastructure Program, Buildings and Other Structures, Multipurpose/ Facilities, Construction and/or Repair/Rehabilitation of Multi-Purpose Building (Phase 2), Brgy. Ban</t>
  </si>
  <si>
    <t>Construction of River Protection-Barangay Del Pilar</t>
  </si>
  <si>
    <t>SERVICES: Health and Accident Insurance for Barangay Peacekeeping Action Team (BPATs)</t>
  </si>
  <si>
    <t>(Request for Quotation) Procurement of Laid Paper and Notepad for the Office of the Solicitor General</t>
  </si>
  <si>
    <t>Concreting of Barangay Road @Brgy Mamala 2, Sariaya Quezon</t>
  </si>
  <si>
    <t>20KK0128 - Construction of 2 STY 6 CL, Sangalan Integrated School, Brgy. Sangalan, Gingoog City, Misamis Oriental</t>
  </si>
  <si>
    <t>PR-2020-1396 Batteries-PEO</t>
  </si>
  <si>
    <t>Rehabilitation/improvement of Water System in Brgy. Hinabuyan, Villaba, Leyte, ABC PHP2,884,283.42</t>
  </si>
  <si>
    <t>Concreting of Barangay Road at Sitio Macagpo (Phase 2) in Brgy. Cambalading, Albuera, Leyte, ABC PHP3,005,619.74</t>
  </si>
  <si>
    <t>20DD0356 Local Program, Local Infrastructure Program, Local Roads and Bridges, Local Roads, Rehabilitation/Improvement of Road at Brgy. Plaridel, Lipa City, Batangas</t>
  </si>
  <si>
    <t>I.T. EQUIPMENT</t>
  </si>
  <si>
    <t>Purchase of Machinery and Equipment for White Corn  Processing Center</t>
  </si>
  <si>
    <t>20DD0355 Local Program, Local Infrastructure Program, Water Management Facilities, Water Supply, Construction/ Completion of Water System at Brgy. Halang, Lipa City Batangas (Phase 2)</t>
  </si>
  <si>
    <t>Supply And  Delivery of Food Supplies for Indigent Family</t>
  </si>
  <si>
    <t>PROCUREMENT OF MEDICAL OXYGEN REGULATOR</t>
  </si>
  <si>
    <t>Construction of Multi-Purpose Bldg. (Phase 1) in Brgy. Borseth, Alangalang, Leyte, ABC PHP2,510,675.73</t>
  </si>
  <si>
    <t>Rehabilitation/Improvement of Municipal Public Market Incorporating w/ Disaster Resilient Design at Brgy. Guisijan, Laua-an, Antique</t>
  </si>
  <si>
    <t>Construction of Box Culvert Approach's Slope Protection, Tibungan Creek</t>
  </si>
  <si>
    <t>ITB-SUPPLY AND DELIVERY OF 1250 PIECES MULTI-JET WATER METERS</t>
  </si>
  <si>
    <t>Materials for the used of Various Barangays and Schools, La Carlota City</t>
  </si>
  <si>
    <t>Construction of Multi-Purpose Bldg. (Phase 1) in Brgy. Don Luis, Calubian, Leyte, ABC PHP2,531,475.87</t>
  </si>
  <si>
    <t>Improvement of Municipal Building Electrical and Plumbing System</t>
  </si>
  <si>
    <t>20GDC0006 - Supply, Delivery and Application of Thermoplastic Pavement Markings for Center Line and Lane Line more than 1 kilometer long along Manila – Batangas Road and Banay – Banay Mojon Road</t>
  </si>
  <si>
    <t>Concrete Paving of Gymnasium Approach</t>
  </si>
  <si>
    <t>Rehabilitation of Multi-Purpose Hall, Barangay Silangan</t>
  </si>
  <si>
    <t>OFFICE SUPPLIES, JANITORIAL AND CONSUMABLE SUPPLIES</t>
  </si>
  <si>
    <t>PR-2020-1383 Laboratory Supplies-CDH</t>
  </si>
  <si>
    <t>20GDC0007 - Supply, Delivery and Application of Thermoplastic Pavement Markings for Center Line and Lane Line more than 1 kilometer long along Tanauan – Talisay – Tagaytay Road, Lake – Taal – Tagaytay</t>
  </si>
  <si>
    <t>SUPPLY OF DIESEL FOR USE IN SERVICE VEHICLES, HEAVY EQUIPMENTS AND MINOR EQUIPMENTS OF MAINTENANCE SECTION</t>
  </si>
  <si>
    <t>ITB and Bid Docs for Contract ID:    19GC00091   Contract Name:      Procurement of Reflectorized Thermoplastic (Yellow and White) and other Related Materials for Application and Improvement of Traffi</t>
  </si>
  <si>
    <t>Purchase of Submersible Pump Set for Bolokbolok Water Source</t>
  </si>
  <si>
    <t>Rebidding of Concreting of Cogorin Ibaba Barangay Road, Brgy. Cogorin Ibaba Lopez, Quezon</t>
  </si>
  <si>
    <t>2020-07_ITB - Proposed Pathwalk/Covered Drainage at Zone 4-A, Saint Claire, Concepcion Pequeña, Naga City</t>
  </si>
  <si>
    <t>20GKD0003: PURCHASE OF HOT ASPHALT 60/70 FOR MAINTENANCE SECTION, CDOC END DEO, MACABALAN, CAGAYAN DE ORO CITY</t>
  </si>
  <si>
    <t>Q-098-20 PROCUREMENT OF HARDWARE AND CONSTRUCTION SUPPLIES</t>
  </si>
  <si>
    <t>Supply of High Performance Liquid Chromatography (HPLC)</t>
  </si>
  <si>
    <t>PR-2020-1423 Fuel &amp; Oil Filters-PEO</t>
  </si>
  <si>
    <t>MEALS AND SNACKS-Mayor's Office</t>
  </si>
  <si>
    <t>ITB-SUPPLY AND DELIVERY OF ONE (1) UNIT  BRAND NEW PASSENGER VAN</t>
  </si>
  <si>
    <t>CONSTRUCTION  CLOSURE OF OPEN DUMPSITE</t>
  </si>
  <si>
    <t>SUPPLY OF VARIOUS MATERIAL FOR USE IN REPAIR/MAINTENANCE ALONG VARIOUS NATIONAL ROADS WITHIN 1ST DISTRICT OF PAMPANGA (3rd QUARTER)</t>
  </si>
  <si>
    <t>Concreting of  Tambongon Public market road</t>
  </si>
  <si>
    <t>PROCUREMENT OF CONSULTANCY SERVICES FOR THE PREPARATION OF  ENVIROMENTAL IMPACT STATEMENT (EIS) REPORT FOR THE  ENVIRONMENTAL COMPLIANCE CERTIFICATE (ECC) OF THE PROPOSED  PORT AREA RECLAMATION EXPANS</t>
  </si>
  <si>
    <t>Purchase of Office Supplies (common use) of all Offices of LGU at Laur, Nueva Ecija</t>
  </si>
  <si>
    <t>Construction of Drainage</t>
  </si>
  <si>
    <t>20M00080-Repair/Maintenance of DPWH Building (former Utility Building), DPWH Region 12 Compound, Corner Alunan-Mabini Street, Koronadal City, South Cotabato</t>
  </si>
  <si>
    <t>Office Supplies-HRMO-GAD</t>
  </si>
  <si>
    <t>20AG0125-Construction of Modified Standard Two-Storey (4 Classrooms) School Building AT San Vicente ES,  Alaminos City, Pangasinan</t>
  </si>
  <si>
    <t>Office Supplies-Vice Mayor's Office</t>
  </si>
  <si>
    <t>PROCUREMENT OF ANTIBODY RAPID TEST</t>
  </si>
  <si>
    <t>PR-2020-1457 Various Food Supplies-PDRRMO</t>
  </si>
  <si>
    <t>Construction of Multi-Purpose Bldg. (Phase 1) in Brgy. Rizal II, Babatngon, Leyte, ABC PHP2,499,999.84</t>
  </si>
  <si>
    <t>Construction of Local Access Road @ Brgy. Cogon</t>
  </si>
  <si>
    <t>Construction of Barangay Health Station-Barangay San Miguel Dao, Lopez, Quezon</t>
  </si>
  <si>
    <t>REHABILITATION OF MULTI-PURPOSE HALL – CAWAYAN, IMPASUGONG, BUKIDNON</t>
  </si>
  <si>
    <t>1 UNIT DESKTOP COMPUTER WITH PRINTER-MENRO</t>
  </si>
  <si>
    <t>SUPPLY AND DELIVERY OF LOT 7: 83 HEADS CARABAO (CARAHEIFER) - SECOND POSTING</t>
  </si>
  <si>
    <t>20KK0129 - Construction of 3 STY 12 CL, Binitinan ES, Brgy. Binitinan, Balingasag, Misamis Oriental</t>
  </si>
  <si>
    <t>Construction of Multi-Purpose Bldg. (Phase 2) in Brgy. Uguis, Mahaplag, Leyte, ABC PHP2,403,455.26</t>
  </si>
  <si>
    <t>Construction of Barangay Health Station-Barangay Sta. Maria, Lopez, Quezon</t>
  </si>
  <si>
    <t>Construction of Barangay Health Station-Barangay Silang, Lopez, Quezon</t>
  </si>
  <si>
    <t>FURNITURE &amp; FIXTURES - MHO -(20-0082X)</t>
  </si>
  <si>
    <t>Supply and Delivery of One (1) Unit Brand New 4 x 4 Pick-up</t>
  </si>
  <si>
    <t>Fuel &amp; Lubricants-Vice Mayor's Office</t>
  </si>
  <si>
    <t>Repair and Maintenance of Barangay Road (KALAHI Project)</t>
  </si>
  <si>
    <t>Senior Citizen Agri Supply Store Project</t>
  </si>
  <si>
    <t>Purchase and delivery of One (1) Unit Motorcycle</t>
  </si>
  <si>
    <t>PROCUREMENT OF 5 UNITS COLLAPSIBLE TENT OF THE MUNICIPALITY OF LIMASAWA, SOUTHERN LEYTE</t>
  </si>
  <si>
    <t>Construction of Multi-Purpose Bldg. (Phase 1) in Brgy. Rizal, Javier, Leyte, ABC PHP2,499,134.05</t>
  </si>
  <si>
    <t>Procurement of CCTV</t>
  </si>
  <si>
    <t>Completion of Barangay Evacuation Center - Katipunan</t>
  </si>
  <si>
    <t>20KK0130 - Repair and Rehabilitation of Multi-Purpose Building (Covered Court), Brgy. Panabol, Kinoguitan, Misamis Oriental</t>
  </si>
  <si>
    <t>PR-2020-0820 Laboratory Supplies-PHO</t>
  </si>
  <si>
    <t>DRUGS &amp; MEDICINES - MHO (20-06-0946)</t>
  </si>
  <si>
    <t>SUPPLIES FOR STI AND HIV TESTING KIT FOR PREGNANT MOTHERS - MHO (20-03-0642X)</t>
  </si>
  <si>
    <t>SUPPLY AND DELIVERY FOR THE INSTALLATION OF STREETLIGHTS AT PUROK 14 &amp; 15,POBLACION,SIBAGAT,AGUSAN DEL SUR</t>
  </si>
  <si>
    <t>SUPPLY AND DELIVERY OF IT PARAPHERNALIA FOR REPAIR AND MAINTENANCE OF ICT EQUIPMENT</t>
  </si>
  <si>
    <t>Supply and Delivery of Materials for the Application of Traffic Lane Markings on Various Locations within Metro Manila</t>
  </si>
  <si>
    <t>PR-2020-0617 Laboratory Supplies-PHO</t>
  </si>
  <si>
    <t>MG-TSE20-034</t>
  </si>
  <si>
    <t>Office Supplies-MCO-GAD</t>
  </si>
  <si>
    <t>PROCUREMENT OF INFORMATION AND COMMUNICATION TECHNOLOGY EQUIPMENT (ICT)</t>
  </si>
  <si>
    <t>Construction of Barangay Health Station-Barangay Sto. Nino Ibaba, Lopez, Quezon</t>
  </si>
  <si>
    <t>Supply and Delivery of Thermoplastic Pavement Marking Materials for the Periodic Maintenance of Existing Truck Lanes and Motorcycle Lanes at Various Locations within Metro Manila</t>
  </si>
  <si>
    <t>Bid No. 20-0263 - PROCUREMENT OF CATERING SERVICES - MO (LGU ACTIVITIES-3RD QUARTER 2020)</t>
  </si>
  <si>
    <t>Construction of a 2-Classroom School Building at Jones Elem. School in Pastrana, Leyte, ABC PHP2,111,096.82</t>
  </si>
  <si>
    <t>PURCHASE OF I.V. FLUIDS-JCH-20-0224-B</t>
  </si>
  <si>
    <t>SUPPLY AND DELIVERY OF 2,016 HEADS READY TO LAY CHICKEN (PULLETS) IN OCCIDENTAL MINDORO - SECOND POSTING</t>
  </si>
  <si>
    <t>Procurement of various water service connection materials/fittings for BWS</t>
  </si>
  <si>
    <t>Construction of Double Barrel Box Culvert in Brgy. Herrera, Calubian, Leyte, ABC PHP2,374,493.61</t>
  </si>
  <si>
    <t>Procurement of Reference Books and Instructional Materials for College of Engineering Library</t>
  </si>
  <si>
    <t>Supply and Delivery of Office Equipment and Appliances, rebid</t>
  </si>
  <si>
    <t>Construction of Barangay Health Station-Barangay Binahian B, Lopez, Quezon</t>
  </si>
  <si>
    <t>SUPPLY AND DELIVERY OF LOT 10: 4,885 BAGS CERTIFIED PALAY SEEDS IN ROMBLON AND MARINDUQUE – SECOND POSTING</t>
  </si>
  <si>
    <t>SUPPLY AND DELIVERY OF LOT 4: 5,800 LITERS MICRONUTRIENT FOLIAR/SOIL FERTILIZER - SECOND POSTING</t>
  </si>
  <si>
    <t>PROCUREMENT OF ONE (1) UNIT PATIENT TRANSPORT VEHICLE</t>
  </si>
  <si>
    <t>PURCHASE OF MEDICAL EQUIPMENT-JCH-20-0306-B</t>
  </si>
  <si>
    <t>INVITATION TO BID FOR THE CONSTRUCTION OF MOTORPOOL PHASE-I</t>
  </si>
  <si>
    <t>Construction of a 2-Classroom School Building at Campin Elem. School in Mahaplag, Leyte, ABC PHP2,109,050.00</t>
  </si>
  <si>
    <t>20G00102 - Construction/Rehabilitation of Water Supply/Septage and Sewerage/Rain Water Collectors – Rainwater Collector in Public Facilities in Region VI – Ten (10) units at NEGROS OCCIDENTAL AREA</t>
  </si>
  <si>
    <t>MG-TSE20-006</t>
  </si>
  <si>
    <t>SUPPLY AND DELIVERY OF ONE-UNIT 4X4 CUSTOMIZED UTILITY RESCUE VEHICLE WITH AMENITIES</t>
  </si>
  <si>
    <t>REHABILITATION OF MULTI PURPOSE HALL (HEALTH CENTER) BRGY MALATIVAS PANABO CITY</t>
  </si>
  <si>
    <t>Procurement of one (1) lot Blowing and Percussion Instruments for the use of MMDA Band – Public Affairs Office</t>
  </si>
  <si>
    <t>Extension of Pathway</t>
  </si>
  <si>
    <t>Repair of Multi-Purpose Center</t>
  </si>
  <si>
    <t>INSTALLATION OF 15KVA TRANSFORMER @ EVACUATION CENTER, SITIO CAYANGIAN, BRGY. TINGHUB, VILLABA, LEYTE</t>
  </si>
  <si>
    <t>Drilling Machine-MAO</t>
  </si>
  <si>
    <t>PURCHASE OF 1,150 CERTIFIED SEEDS (40 KGS/BAG)</t>
  </si>
  <si>
    <t>MG-TSE20-010</t>
  </si>
  <si>
    <t>20BD0126 – CONSTRUCTION OF TWO (2) STOREY EIGHT (8) CLASSROOM, CAPATAN ELEMENTARY SCHOOL, TUGUEGARAO CITY, CAGAYAN</t>
  </si>
  <si>
    <t>MG-CEN20-008</t>
  </si>
  <si>
    <t>PR-2020-1558 Various Food Supplies-PGO</t>
  </si>
  <si>
    <t>Construction of Masonry Drainage, Along National Highway, Namabbalan Norte, Tuguegarao City, Cagayan</t>
  </si>
  <si>
    <t>20G00103 - Construction/Rehabilitation of Water Supply/Septage and Sewerage/Rain Water Collectors – Rainwater Collector in Public Facilities in Region VI – Nine (9) units at ILOILO AREA for Various Na</t>
  </si>
  <si>
    <t>Supply and Delivery of Materials for the In-House Installation of Traffic Signal Facilities as per Request of Various LGUs</t>
  </si>
  <si>
    <t>PURCHASE INDOOR CCTV</t>
  </si>
  <si>
    <t>MG-CEN20-013</t>
  </si>
  <si>
    <t>Construction of Barangay Health Station-Barangay Pisipis Lopez, Quezon</t>
  </si>
  <si>
    <t>Procurement of One Lot Network Firewall</t>
  </si>
  <si>
    <t>SUPPLY AND DELIVERY OF VARIOUS INSECTICIDES IN ORIENTAL MINDORO, PALAWAN, ROMBLON &amp; MARINDUQUE PROVINCES</t>
  </si>
  <si>
    <t>Construction Multi-Purpose Bldg. at San Pedro Elem. School in Albuera, Leyte, ABC PHP2,071,838.60</t>
  </si>
  <si>
    <t>SUPPLY AND DELIVERY OF LOT 8: 379 HEADS SWINE (GILT) - SECOND POSTING</t>
  </si>
  <si>
    <t>MG-TSE20-019</t>
  </si>
  <si>
    <t>SUPPLY AND DELIVERY OF LOT 9: 467 HEADS UPGRADED GOATS - SECOND POSTING</t>
  </si>
  <si>
    <t>MG-TSE20-015</t>
  </si>
  <si>
    <t>SEEDLINGS-MCO-GAD</t>
  </si>
  <si>
    <t>ITB 2020-GS-009C HFEP EQUIPMENT PACKAGE 3</t>
  </si>
  <si>
    <t>Construction of Barangay Health Station-Barangay Canda Ibaba, Lopez, Quezon</t>
  </si>
  <si>
    <t>ITB 2020-GS-009D HFEP EQUIPMENT PACKAGE 4</t>
  </si>
  <si>
    <t>FREIGHT AND TRUCKING SERVICES PACKAGES FOR THE DELIVERY OF TEXTBOOKS TO THE DIFFERENT MUNICIPAL DISTRICTS/SECONDARY SCHOOLS IN THE DIVISION OF MASBATE</t>
  </si>
  <si>
    <t>Procurement of Reference Books and Instructional Materials for PUP Branches and Campuses</t>
  </si>
  <si>
    <t>MG-CEN20-021</t>
  </si>
  <si>
    <t>20AG0126-Construction of Modified Standard Two-Storey (4 Classrooms) School Building AT Centro Toma ES,  Bani, Pangasinan</t>
  </si>
  <si>
    <t>Concreting of Road Infront of Municipal Hall</t>
  </si>
  <si>
    <t>Procurement of 60 kits Expanded Newborn Screening Filter Cards (10pcs./kit) for indigent patients of RHU I and II, Bolinao, Pangasinan</t>
  </si>
  <si>
    <t>Vehicle Repair &amp; Maintenance</t>
  </si>
  <si>
    <t>PURCHASE OUTDOOR CCTV</t>
  </si>
  <si>
    <t>20AG0127-Construction of Modified Standard Two-Storey (4 Classrooms) School Building AT Patar ES,  Bolinao, Pangasinan</t>
  </si>
  <si>
    <t>ITB 2020-GS-009B HFEP EQUIPMENT PACKAGE 2</t>
  </si>
  <si>
    <t>MG-CEN20-020</t>
  </si>
  <si>
    <t>Construction of Multi-Purpose Bldg. (Phase 2) in Brgy. Mohon, Tabontabon, Leyte, ABC PHP2,056,768.58</t>
  </si>
  <si>
    <t>MG-TSE20-009</t>
  </si>
  <si>
    <t>20BD0127 – CONSTRUCTION OF TWO (2) STOREY SIX (6) CLASSROOM, NAMABBALAN ELEMENTARY SCHOOL, TUGUEGARAO CITY</t>
  </si>
  <si>
    <t>Purchase of Electrical Supplies for Sindangan Municipal Hall Annex Building</t>
  </si>
  <si>
    <t>Procurement of Diesel Fuel-06-360(A)PGO</t>
  </si>
  <si>
    <t>ITB 2020-GS-009F HFEP EQUIPMENT LINE ITEM 2</t>
  </si>
  <si>
    <t>20BD0130 – CONSTRUCTION OF TWO (2) STOREY SIX (6) CLASSROOM, DASSUN ELEMENTARY SCHOOL, SOLANA, CAGAYAN</t>
  </si>
  <si>
    <t>SUPPLY AND DELIVERY OF COCO PEAT FOR OFFICIAL USE OF MECHANIZED AND MODERNIZED FOREST NURSERY (MMFN) AT TRP, SAN JUAN DE VALDEZ, SAN JOSE, TARLAC</t>
  </si>
  <si>
    <t>20AG0128-Construction of Modified Standard Two-Storey (4 Classrooms) School Building AT Sual Central School,  Sual, Pangasinan</t>
  </si>
  <si>
    <t>MG-CEN20-019</t>
  </si>
  <si>
    <t>20BD0128 – CONSTRUCTION OF TWO (2) STOREY SIX (6) CLASSROOM, LEMU ELEMENTARY SCHOOL, ENRILE, CAGAYAN</t>
  </si>
  <si>
    <t>SUPPLY AND DELIVERY 1 (ONE) UNIT 35-44HP 4WD TRACTOR WITH IMPLEMENTS</t>
  </si>
  <si>
    <t>Medical Supplies 20-05-022</t>
  </si>
  <si>
    <t>20JD0109 - Construction of 1 Unit Two Storey (8) Classrooms School Building Sicayab ES, Sicayab, Dapitan City, Zambaonga del Norte</t>
  </si>
  <si>
    <t>PR-2020-1393 Drugs &amp; Medicines-Fluids-PHO</t>
  </si>
  <si>
    <t>MG-CEN20-024</t>
  </si>
  <si>
    <t>Construction Projects -Upgrading of Barangay Water System (Macalibre Alto)-MEO,Lopez Jaena</t>
  </si>
  <si>
    <t>RENOVATION OF ROXAS AMUSEMENT CENTER PHASE I</t>
  </si>
  <si>
    <t>MG-CEN20-023</t>
  </si>
  <si>
    <t>ITB 2020-GS-009E HFEP EQUIPMENT LINE ITEM 1</t>
  </si>
  <si>
    <t>Concreting of road Mun. Compound</t>
  </si>
  <si>
    <t>SK ENHANCEMENT PROGRAM</t>
  </si>
  <si>
    <t>SUPPLY AND DELIVERY OF 35 UNITS PUMPS &amp; ENGINE SETS WITH COMPLETE ACCESSORIES</t>
  </si>
  <si>
    <t>20BD0129 – CONSTRUCTION OF TWO (2) STOREY SIX (6) CLASSROOM, ALIBAGO ELEMENTARY SCHOOL, ENRILE</t>
  </si>
  <si>
    <t>Procurement of Ten (10) units AED Plus Defibrillator with Complete set Accessories for the use of Road Emergency Group</t>
  </si>
  <si>
    <t>Construction of Perimeter Fence-Brgy. Lekep-Butao, San Fabian, Pangasinan</t>
  </si>
  <si>
    <t>Rehabilitation of Water System - Balatohan</t>
  </si>
  <si>
    <t>Improvement of Multi Purpose Hall (materials only)</t>
  </si>
  <si>
    <t>Procurement of Various Drugs and Medicines-06-097(Q)ZNCM</t>
  </si>
  <si>
    <t>CONSTRUCTION OF ROAD IMPROVEMENT OF CM RECTO AND ESPAÑOLA AVE. WITH SOLAR LIGHT COMPONENT PHASE IV</t>
  </si>
  <si>
    <t>PR-2020-1130 Medical Supplies-PHO</t>
  </si>
  <si>
    <t>Construction of Multi-Purpose Bldg. at Waterloo National High School in Matalom, Leyte, ABC PHP1,985,283.28</t>
  </si>
  <si>
    <t>20BD0131 – CONSTRUCTION OF TWO (2) STOREY SIX (6) CLASSROOM, AMULUNG NATIONAL HIGH SCHOOL, AMULUNG, CAGAYAN</t>
  </si>
  <si>
    <t>TALAYAN RIS EXTENSION PROJECT CY 2020</t>
  </si>
  <si>
    <t>20AG0130-Construction of Modified Standard Two-Storey (6 Classrooms) School Building AT Magsaysay ES, Alaminos City, Pangasinan</t>
  </si>
  <si>
    <t>20AG0129-Construction of Modified Standard Two-Storey (6 Classrooms) School Building AT Alaminos City Central School, Alaminos City, Pangasinan</t>
  </si>
  <si>
    <t>MG-CEN20-028</t>
  </si>
  <si>
    <t>Rehabilitation of Water System - Pagsangahan</t>
  </si>
  <si>
    <t>Construction of Climate Proof Multi-Purpose/Evacuation Center at Lugta, Laua-an, Antique</t>
  </si>
  <si>
    <t>MG-CMT20-014</t>
  </si>
  <si>
    <t>Supply and Delivery of Information Communication Technology (ICT) Equipments CY 2020</t>
  </si>
  <si>
    <t>Repair and Maintenance of Water Supply System</t>
  </si>
  <si>
    <t>Construction of 2-Storey Multi-Purpose Bldg. in Brgy. Mabunga, Mahaplag, Leyte, ABC PHP1,889,118.96</t>
  </si>
  <si>
    <t>Construction of Flood Control Structure in Brgy. District III, Babatngon, Leyte, ABC PHP1,996,389.20</t>
  </si>
  <si>
    <t>Concreting of Pathwalk in Brgy. Calugtugan, Dagami, Leyte, ABC PHP1,888,784.09</t>
  </si>
  <si>
    <t>CY 2020 Quick Response Fund /Rehabilitation of Classrooms (Cluster 3 – Masipit ES, Tawagan ES)</t>
  </si>
  <si>
    <t>SUPPLY AND DELIVERY OF GENERATOR SET ( INC. MECHANICAL AND ELECTRICAL INSTALLATION) OF LGU-CATANAUAN, QUEZON</t>
  </si>
  <si>
    <t>PURCHASE OF ONE (1) UNIT MUNICIPAL VEHICLE (Sports Utility Vehicle), Banate, Iloilo</t>
  </si>
  <si>
    <t>20AB0121: REPAIR/ REHABILITATION OF SLOPE PROTECTION ALONG ILOCOS NORTE - APAYAO ROAD AT K0517+817 TO K0517+842</t>
  </si>
  <si>
    <t>Repair and Rehabilitation of the Hall of Justice Building in Villaba, Leyte, ABC PHP1,278,839.87</t>
  </si>
  <si>
    <t>20AG0131-Construction of Modified Standard Two-Storey (6 Classrooms) School Building AT Barlo Integrated School, Mabini, Pangasinan</t>
  </si>
  <si>
    <t>MG-ISD20-030</t>
  </si>
  <si>
    <t>MG-COM20-021</t>
  </si>
  <si>
    <t>Supply and Delivery of Meter Reading and Billing System Equipment for MMWD</t>
  </si>
  <si>
    <t>CONSTRUCTION OF MUNICIPAL DISASTER RISK AND MANAGEMENT OFFICE BUILDING</t>
  </si>
  <si>
    <t>Extension of Multi-Purpose Hall, Barangay 4</t>
  </si>
  <si>
    <t>Improvement of Multi-Purpose Bldg. at Matlang National High School in Isabel, Leyte, ABC PHP1,253,752.35</t>
  </si>
  <si>
    <t>RIVER DREDGING, PUROK 4, LAYA WEST</t>
  </si>
  <si>
    <t>Construction of Health Center in Brgy. Malbog, Tolosa, Leyte, ABC PHP1,003,799.13</t>
  </si>
  <si>
    <t>MG-IPP20-007</t>
  </si>
  <si>
    <t>Construction of Access Road to Core Shelter Area in Brgy. Pinamonoan, Mahaplag, Leyte, ABC PHP1,695,126.59</t>
  </si>
  <si>
    <t>SUPPLY AND DELIVERY OF VARIOUS HOSPITAL  SUPPLIES.REBID</t>
  </si>
  <si>
    <t>20GIL0040(PURCHASE OF CONSTRUCTION MATERIALS,DPWH-SLDEO, MAASIN CITY, SOUTHERN LEYTE)</t>
  </si>
  <si>
    <t>CY 2020 Quick Response Fund Repair/Rehabilitation of Classrooms (Cluster 4 – Suqui ES, Guinobatan ES &amp; N. Aboboto MS)</t>
  </si>
  <si>
    <t>Office Supplies of MHO</t>
  </si>
  <si>
    <t>Supply and Delivery of General Medicines for Municipal Health Office</t>
  </si>
  <si>
    <t>PRINTER</t>
  </si>
  <si>
    <t>Supply and Delivery of Misting Machine for Anti-Dengue(Brand New and Branded)</t>
  </si>
  <si>
    <t>SUPPLY OF FERTILIZER</t>
  </si>
  <si>
    <t>INSTALLATION OF EMERGENCY EXIT DOOR / PANTRY AT AGUS 7 CONTROL ROOM</t>
  </si>
  <si>
    <t>20IE0099 - REPAIR/MAINTENANCE OF DAR BUILDING SAN ISIDRO AGRARIAN REFORM OFFICE BUILDING San Isidro, Leyte</t>
  </si>
  <si>
    <t>CONSTRUCTION OF THREE (3) – UNITS FARMER CENTERS AT BRGY. MERCED, BRGY.CARMELO &amp; BRGY.LIBERTAD, BANATE, ILOILO</t>
  </si>
  <si>
    <t>THE SUPPLY AND DELIVERY OF ONE (1) UNIT ASIAN UTILITY VEHICLE (AUV) (RE-BID)</t>
  </si>
  <si>
    <t>TRANSFORMER OIL</t>
  </si>
  <si>
    <t>Acquisition of One (1) Unit 4x4 Brand New Rescue Vehicle - Rebid</t>
  </si>
  <si>
    <t>Supply and Delivery of T-Shirt with Embroidered 102th Founding Anniversary Logo</t>
  </si>
  <si>
    <t>SUPPLY AND DELIVERY OF FRUIT TREES SEEDLINGS FOR FOOD SECURITY 2020, IMPASUGONG, BUKIDNON</t>
  </si>
  <si>
    <t>20IE0098 - REPAIR/MAINTENANCE OF DPWH BUILDING, MAINTENANCE SECTION BUILDING, LEYTE III DISTRICT ENGINEERING OFFICE Brgy. Suba, Villaba, Leyte</t>
  </si>
  <si>
    <t>PROCUREMENT OF CATERING SERVICES FOR THE 4TH LEVEL TRAINING OF 2020 CENSUS OF POPULATION AND HOUSING (2020 CPH) IN CARAGA REGION-SECOND BIDDING</t>
  </si>
  <si>
    <t>Supply and Delivery of One (1) Unit Brand New 4x4 Pick-up</t>
  </si>
  <si>
    <t>20GIL0041(SUPPLY/DELIVERY OF ASPHALT CEMENT,DPWH-SLDEO, MAASIN CITY, SOUTHERN LEYTE)</t>
  </si>
  <si>
    <t>Extension/Construction of SLR Covered Court as Evacuation Center</t>
  </si>
  <si>
    <t>Supply and Delivery of One (1) Unit Brand New 4x2 SUV</t>
  </si>
  <si>
    <t>20BD0132 – CONSTRUCTION OF TWO (2) STOREY SIX (6) CLASSROOM, MANAOAG ELEMENTARY SCHOOL, IGUIG</t>
  </si>
  <si>
    <t>Bid No. 20-0266 - PROCUREMENT OF AGRICULTURAL EQUIPMENT - MENRO (DEVELOPMENT AND OPERATIONS OF ESWM-PARK)</t>
  </si>
  <si>
    <t>CONSTRUCTION OF BULLETIN BOARD AND SIGNAGES, BANATE, ILOILO</t>
  </si>
  <si>
    <t>Supply and Delivery of Maintenance Medicines for Municipal Health Office</t>
  </si>
  <si>
    <t>Improvement of Barangay road (FTMR) (Sitio Tigmanali)</t>
  </si>
  <si>
    <t>Procurement of Consultancy Services (Firm) for the JJWC Knowledge Management Portal</t>
  </si>
  <si>
    <t>Purchase of Double Arm Steel Tapered Lamp Post for Rehabilitation/ Improvement of Center Island and Street Lights, San Teodoro, Bunawan, Agusan del Sur</t>
  </si>
  <si>
    <t>20IE0097 -  REPAIR/MAINTENANCE OF DPWH BUILDING, MOTORPOOL/BODEGA, LEYTE III DISTRICT ENGINEERING OFFICE  Brgy. Suba, Villaba, Leyte</t>
  </si>
  <si>
    <t>Purchase of one (1) unit Multi-purpose vehicle</t>
  </si>
  <si>
    <t>PURCHASE OF ONE (1) UNIT MOBILE CORN MILL FOR MUNICIPAL AGRICULTURE’S OFFICE, AITC, POBLACION, IMPASUGONG, BUKIDNON</t>
  </si>
  <si>
    <t>Construction/Rehabilitation/Renovation of the Existing Capitol Building located at the Provincial Capitol Compound, Province of Laguna, Sta. Cruz, Laguna</t>
  </si>
  <si>
    <t>20IE0100 - REPAIR/MAINTENANCE OF DOJ BUILDING, HALL OF JUSTICE, VILLABA TRIAL COURT, Brgy. Poblacion del Sur, Villaba, Leyte</t>
  </si>
  <si>
    <t>Construction of Two-Storey Four Classroom School Building (Phase 1)</t>
  </si>
  <si>
    <t>(PVSO) 2ND INVITATION TO BID FOR THE SUPPLY AND DELIVERY OF VETERINARY MEDICAL SUPPLIES (VACUUM BLOOD COLLECTION TUBE, ETC.) FOR THE  PROVINCIAL VETERINARY SERVICES OFFICE--263,975.00</t>
  </si>
  <si>
    <t>Procurement of CONSULTING SERVICES</t>
  </si>
  <si>
    <t>For Fencing of Sitio Barangbang, Millan Water System</t>
  </si>
  <si>
    <t>Improvement of MPP Training Center cum mess Hall to be used for isolation facility during Pandemic</t>
  </si>
  <si>
    <t>REPAIR / CONSTRUCTION OF DAYCARE CENTER/HEALTH CENTER</t>
  </si>
  <si>
    <t>Purchase of  medicine</t>
  </si>
  <si>
    <t>Construction of RHU Building</t>
  </si>
  <si>
    <t>Bid No. 20-0267 - PROCUREMENT OF FOOD SUPPLIES - MO/MPOC (CAFGU) FOR THE MONTH OF SEPTEMBER 2020</t>
  </si>
  <si>
    <t>Supply and Delivery of Load Card for the  Communication Supply of UEP Faculty</t>
  </si>
  <si>
    <t>Supply and Delivery of Various Furniture and Fixtures for PRO IVA</t>
  </si>
  <si>
    <t>RFQ2020-06-037_SUPPLY &amp; DELIVERY OF TWENTY-FIVE (25) PAILS CALCIUM HYPOCHLORITE GRANULES (45KGS. /PAIL, 70% CHLORINE CONTENT) FOR WATER TREATMENT USE</t>
  </si>
  <si>
    <t>Bid No. 20-0268 - PROCUREMENT OF FOOD SUPPLIES - MO/MPOC (CAFGU) FOR THE MONTH OF OCTOBER 2020</t>
  </si>
  <si>
    <t>PROPOSED MULTI-PURPOSE HALL (E-LIBRARY)</t>
  </si>
  <si>
    <t>20FE0127 – CONSTRUCTION OF CLASSROOMS, SAN JUAN NATIONAL HIGH SCHOOL, LIBMANAN, CAMARINES SUR</t>
  </si>
  <si>
    <t>SUPPLY AND DELIVERY OF HOUSEHOLD PLATES</t>
  </si>
  <si>
    <t>20GIL0042(PURCHASE OF THERMOPLASTIC PAINT,DPWH-SLDEO, MAASIN CITY, SOUTHERN LEYTE)</t>
  </si>
  <si>
    <t>Supply and Delivery of CM for the construction of Takadang-Pilig-Buhlagan-Ganza Road,Babadi,KNV</t>
  </si>
  <si>
    <t>SAPALAN RIP CY 2020 PACKAGE 7</t>
  </si>
  <si>
    <t>Purchase of Supplies for Emergency Rescue Team</t>
  </si>
  <si>
    <t>PURCHASE OF ONE (1) UNIT MOBILE RICE MILL FOR MUNICIPAL AGRICULTURE’S OFFICE, AITC, POBLACION, IMPASUGONG, BUKIDNON</t>
  </si>
  <si>
    <t>Supply and Delivery of Agricultural Fishery Machineries and Equipment</t>
  </si>
  <si>
    <t>20AJ0105-Construction of Two (2) Storey Six (6) Classroom School Building, Balite Sur E/S, San Carlos City, Pangasinan</t>
  </si>
  <si>
    <t>Public Bidding for Engagement of Mailing Service for PRO IVA for CY 2020</t>
  </si>
  <si>
    <t>Procurement of Moving Services</t>
  </si>
  <si>
    <t>Supply and Delivery of Materials for the Repair/Improvement of Comfort Room at UEP College of LAW</t>
  </si>
  <si>
    <t>20IE0102 - REHABILITATION/IMPROVEMENT ALONG CABUNGAAN-TABUNOK-CONSUEGRA ROAD K1028+465-K1030+047; TABANGO-CATMON-LA FORTUNA-MANLAWAAN-GIMARCO ROAD K1038+810-K1040+783; CALUBIAN-SAN ISIDRO-TABANGO-VILL</t>
  </si>
  <si>
    <t>Procurement and Installation/fabrication of Digital / Analog Repeater, Portable Handheld Radios, Base Station, Monopole Mast Tower, Lightning Arrrester Equipment and Concrete Communication Shelter</t>
  </si>
  <si>
    <t>Construction and/or Repair/Rehabilitation of Multi Purpose Building, Brgy. Gonzales Poblacion, Pakil, Laguna</t>
  </si>
  <si>
    <t>CONSTRUCTION/DEVELOPMENT OF SANITARY LANDFILL   Barangay Tubaran, Tubod, Lanao del Norte</t>
  </si>
  <si>
    <t>Rehabilitation/ Improvement of Two (2) Storey 8 Classroom Academic Bldg. (Phase II) LSPU Siniloan Campus, Siniloan, Laguna</t>
  </si>
  <si>
    <t>Supply and Delivery of Farm Supplies and Equipment</t>
  </si>
  <si>
    <t>PROPOSED CONSTRUCTION OF SLOPE PROTECTION (BALBALINO)</t>
  </si>
  <si>
    <t>Bid No. 20-0271 - PROCUREMENT OF OFFICE SUPPLIES - MO/MTC</t>
  </si>
  <si>
    <t>Construction of Camiguin Gymnasium, Poblacion, Mambajao, Camiguin</t>
  </si>
  <si>
    <t>Bid No. 20-0269 - PROCUREMENT OF OFFICE SUPPLIES - MO/RADIO ROOM SECTION</t>
  </si>
  <si>
    <t>20PC0060 CONCRETING OF BRGY. CADACLAN FMR, CADACLAN, CALANASAN, APAYAO</t>
  </si>
  <si>
    <t>PURCHASE OF PNP PATROL VEHICLE</t>
  </si>
  <si>
    <t>Contract for the Improvement of Water System, Barangay Bobongon, Santo Tomas</t>
  </si>
  <si>
    <t>20IE0103 - REPAIR/MAINTENANCE OF DOJ BUILDING HALL OF JUSTICE Brgy. Veloso, Calubian, Leyte</t>
  </si>
  <si>
    <t>URBAN GREENING/LANDSCAPING BRGY SAN ISIDRO, BILIRAN, BILIRAN</t>
  </si>
  <si>
    <t>Supply and Delivery of Inorganic Fertilizer</t>
  </si>
  <si>
    <t>REHAB OF BREAK WATER/SEAWALL BRGY SAN ROQUE, BILIRAN, BILIRAN</t>
  </si>
  <si>
    <t>Purchase of Electrical Fixtures and Accessories</t>
  </si>
  <si>
    <t>ROAD CONCRETING (LOCAL ACCESS ROAD FROM BARANGAY TABUNAN TO BARANGAY BAGACAY)</t>
  </si>
  <si>
    <t>For Impv't of Drainage System in the Municipal Site</t>
  </si>
  <si>
    <t>CONSTRUCTION OF MULTI-PURPOSE HALL AT PEDRO SA BACULIO, EL SALVADOR CITY</t>
  </si>
  <si>
    <t>Bid No. 20-0273 - PROCUREMENT OF CONSTRUCTION MATERIALS - MEO (CONSTRUCTION OF COVERED COURT - BRGY. TUPAS, MARAGUSAN, DAVAO DE ORO)</t>
  </si>
  <si>
    <t>20FE0128 – CONSTRUCTION OF CLASSROOMS, MANTALISAY ES, LIBMANAN, CAMARINES SUR</t>
  </si>
  <si>
    <t>Bid No. 20-0270 - PROCUREMENT OF OFFICE SUPPLIES - MHO (USE FOR HIV/AIDS/STD PROGRAM)</t>
  </si>
  <si>
    <t>PURCHASE AND DELIVERY OF WATER PIPES</t>
  </si>
  <si>
    <t>Supply and Delivery of Waterbath</t>
  </si>
  <si>
    <t>Supply and Delivery of Heating Mantle</t>
  </si>
  <si>
    <t>PURCHASE AND DELIVERY OF CASSAVA GRATER AND DRESSER</t>
  </si>
  <si>
    <t>(PEO) 2ND INVITATION TO BID FOR THE SUPPLY AND DELIVERY OF CONSTRUCTION MATERIALS    FOR THE  PROVINCIAL ENGINEERING OFFICE (PEO)</t>
  </si>
  <si>
    <t>Supply and Delivery of Incubator</t>
  </si>
  <si>
    <t>ITB No. GOP/20-DSWD-040 - PROVISION OF MULTI-YEAR CONTRACT FOR  SUBSCRIPTION TO A WATER TESTING AND ANALYSIS FOR THE WATER SUPPLY OF DSWD-CENTRAL OFFICE FOR CY 2020-2022</t>
  </si>
  <si>
    <t>Supply &amp; Delivery of Ten (10) Heads Pregnant Holstein X Jersey Heifers Crosses (50:50)</t>
  </si>
  <si>
    <t>20IE0104 - REPAIR/MAINTENANCE OF TABANGO FLOOD CONTROL Brgy. Poblacion, Tabango, Leyte</t>
  </si>
  <si>
    <t>CONSTRUCTION OF EXTENSION OF MB/TODA TERMINAL</t>
  </si>
  <si>
    <t>Construction Supervision and Management Consultancy Services for the Two (2) Storey Office Building With Records Room and Warehouse Located RGC Compound, Carig Sur, Tuguegarao City</t>
  </si>
  <si>
    <t>PR 6.031  ITB TPB 2020-029 Janitorial Services for 6 months</t>
  </si>
  <si>
    <t>Procurement of One Year Subscription of Autodesk AutoCAD</t>
  </si>
  <si>
    <t>Supply and Delivery of Information Education Campaign (IEC) Materials, Manuals, and Administrative Forms for the 2020 Census of Population and Housing (2020 CPH) of PSA Region 7 - Reposting</t>
  </si>
  <si>
    <t>Supply and Delivery of Distillation Set-up</t>
  </si>
  <si>
    <t>Renovation of University Students Services Office</t>
  </si>
  <si>
    <t>SUPPLY AND DELIVERY OF MATERIALS FOR THE IMPROVEMENT OF MULTI-PURPOSE BUILDING</t>
  </si>
  <si>
    <t>INVITATION TO BID for the Purchase of Seven (7) Units Vending Machine for OneStore Project</t>
  </si>
  <si>
    <t>IMPROVEMENT OF BESANG FARM TO MARKET ROAD</t>
  </si>
  <si>
    <t>REQUEST FOR QUOTATION FOR THE Supply and Delivery of One (1) Lot Spare Parts for Air Conditioning Repair and Maintenance</t>
  </si>
  <si>
    <t>IMPROVEMENT OF MUNICIPAL MATERIALS RECOVERY FACILITY POTABLE WATER SYSTEM</t>
  </si>
  <si>
    <t>CONSULTANCY SERVICES FOR THE CONDUCT OF FEASIBILITY STUDY, PLANNING AND STRUCTURAL DESIGN FOR THE CONSTRUCTION OF GABION DAM IN MOGPOG RIVER, BRGY. BOCBOC MARINDUQUE</t>
  </si>
  <si>
    <t>IMPROVEMENT OF ADAOAY PROPER POTABLE WATER SYSTEM</t>
  </si>
  <si>
    <t>IMPROVEMENT OF BATENGAN - APONAN FOOTPATH</t>
  </si>
  <si>
    <t>Extension of Pan aw - Ballay FMR</t>
  </si>
  <si>
    <t>PROPOSED BRGY. SUNG-AN &amp; BRGY. SAN JOSE ECO-PARK DEVELOPMENT (PHASE 1)</t>
  </si>
  <si>
    <t>Procurement of Trucking Services for the Intra-Regional Transfer of Grains of NFA Region XI for the Year 2020</t>
  </si>
  <si>
    <t>IMPROVEMENT ALONG BALANGABANG - LUHONG - PEGLEYTO FARM TO MARKET ROAD</t>
  </si>
  <si>
    <t>IMPROVEMENT ALONG HIPITAN - BALLAY PROPER FARM TO MARKET ROAD</t>
  </si>
  <si>
    <t>IMPROVEMENT ALONG MINAC - PADAGAN FARM TO MARKET ROAD</t>
  </si>
  <si>
    <t>Supply of Labor, Equipment and Restoration Materials for the Installation, Testing and Commissioning of 300mm Dia. And 150mm Dia. Transmission Line Along Main Avenue, San Gabriel, Tuguegarao City Phas</t>
  </si>
  <si>
    <t>PURCHASE of VARIOUS OFFICE SUPPLIES for REPLENISHMENT of STOCKS for the SECOND SEMESTER of 2020</t>
  </si>
  <si>
    <t>IMPROVEMENT OF PACSO BARANGAY HEALTH STATION</t>
  </si>
  <si>
    <t>PROCUREMENT OF HYGIENE KIT AND OTHER FOR KINDER LEARNER OF AGUTAYA</t>
  </si>
  <si>
    <t>IMPROVEMENT OF TAWANGAN DAY CARE CENTER GROUNDS</t>
  </si>
  <si>
    <t>IMPROVEMENT ALONG TENEBTEB FARM TO MARKET ROAD, PHASE II</t>
  </si>
  <si>
    <t>IMPROVEMENT  ALONG MINAC - BATOAN FARM TO MARKET ROAD</t>
  </si>
  <si>
    <t>IMPROVEMENT ALONG DINAMILI - TINALEB - ALTA FARM TO MARKET ROAD (TINALEB-ALTA SECTION)</t>
  </si>
  <si>
    <t>Supply, Delivery and Installation of CCTV Cameras</t>
  </si>
  <si>
    <t>Contract ID No. 20NC0131 - Repair/Rehabilitation of Concrete Pavement (Reblocking of Pumping and Depression) along Daang Maharlika (Agusan – Davao Road)(See attached Station Limits)</t>
  </si>
  <si>
    <t>IMPROVEMENT OF BASHOY - NANBUSHUSAN FARM TO MARKET ROAD</t>
  </si>
  <si>
    <t>Procurement of Supply, Delivery, Installation, Testing, Applications Training and Commissioning of Various Medical Equipment (Batch 3)</t>
  </si>
  <si>
    <t>20GFC0018: Purchase of Paint for the Repainting of Bridges and Guardrails, DPWH-CNDEO Maintenance Section</t>
  </si>
  <si>
    <t>IMPROVEMENT OF LOWER BESOCOL FARM TO MARKET ROAD</t>
  </si>
  <si>
    <t>Supply and Delivery of Multi-Purpose Truck</t>
  </si>
  <si>
    <t>IMPROVEMENT ALONG DINAMILI - TAKITAK - MOGAO FARM TO MARKET ROAD</t>
  </si>
  <si>
    <t>IMPROVEMENT OF UJOSAN FARM TO MARKET ROAD</t>
  </si>
  <si>
    <t>Contract ID No. 20NC0132 - Rehabilitation of Santa Josefa Public Memorial Park, Sta. Josefa, Agusan del Sur</t>
  </si>
  <si>
    <t>IMPROVEMENT OF TINALEB ELEMENTARY SCHOOL GROUNDS</t>
  </si>
  <si>
    <t>PRN 052-WORKTEXT 2020-LSB-GOODS-2020</t>
  </si>
  <si>
    <t>20GFC0017: Purchase of Cold Mix Asphalt Materials, DPWH – CNDEO Maintenance Section</t>
  </si>
  <si>
    <t>CONSTRUCTION OF SADENGSENGAN - SAWAY FARM TO MARKET ROAD, PHASE II</t>
  </si>
  <si>
    <t>20GFC0016: Purchase of Lakbay Alalay Uniform PPE for DPWH Budgetary Personnel, DPWH-CNDEO Maintenance Section</t>
  </si>
  <si>
    <t>IMPROVEMENT OF COLONG MULTI-PURPOSE HALL (BUILDING 2)</t>
  </si>
  <si>
    <t>PRN 006-MODULE NANAY TEACHER-LSB-GOODS-2020</t>
  </si>
  <si>
    <t>HFW: 1 LOT  FURNITURE AND FIXTURE FOR THE USE OF HOME FOR WOMEN.</t>
  </si>
  <si>
    <t>20GFC0020: Purchase of Office Supplies, DPWH-CNDEO Maintenance Section</t>
  </si>
  <si>
    <t>CONTRUCTIONOF BEKES - BARAO - TOJAKAP- BODAKI ACCESS ROAD</t>
  </si>
  <si>
    <t>IMPROVEMENT OF TAAW FARM TO MARKET ROAD</t>
  </si>
  <si>
    <t>Contract ID No. 20NC0133 - Expansion of Rosario Public Cemetery, Rosario, Agusan del Sur</t>
  </si>
  <si>
    <t>IMPROVEMENT ALONG PONGIL ACCESS ROAD, PHASE II</t>
  </si>
  <si>
    <t>PURCHASE of JANITORIAL SUPPLIES for REPLENISHMENT of STOCKS for the SECOND SEMESTER of 2020</t>
  </si>
  <si>
    <t>IMPROVEMENT OF COLONG - AKIKIAN ACCESS ROAD, PHASE II</t>
  </si>
  <si>
    <t>Supply, Delivery &amp; Installation of Smoke Detector</t>
  </si>
  <si>
    <t>IMPROVEMENT ALONG PROPER BASHOY - NAYBALIW FOOTPATH</t>
  </si>
  <si>
    <t>Procurement of Tractor Implement (Disc Harrow), Spare Parts and Accessories</t>
  </si>
  <si>
    <t>IMPROVEMENT ALONG SADOL - APONAN FARM TO MARKET ROAD</t>
  </si>
  <si>
    <t>CONSTRUCTION OF PACSO PROPER - DAKET ACCESS ROAD</t>
  </si>
  <si>
    <t>CONSTRUCTION OF ASO-PAC ELEMENTARY SCHOOL ANNEX ACCESS ROAD</t>
  </si>
  <si>
    <t>IMPROVEMENT ALONG BESANG - PACSO ACCESS ROAD</t>
  </si>
  <si>
    <t>Supply, Delivery &amp; Installation of Generator Set</t>
  </si>
  <si>
    <t>IMPROVEMENT ALONG PINANCHAY - TIKET FOOTPATH</t>
  </si>
  <si>
    <t>IMPROVEMENT OF BANENGBENG FMR</t>
  </si>
  <si>
    <t>Bid No. 20-0274 - PROCUREMENT OF CONSTRUCTION MATERIALS - MEO (CONSTRUCTION OF COVERED COURT - BRGY. TUPAS, MARAGUSAN, DAVAO DE ORO)</t>
  </si>
  <si>
    <t>IMPROVEMENT ALONG ABUYON - IDIAN FOOTPATH</t>
  </si>
  <si>
    <t>IMPROVEMENT OF TAWANGAN PROPER - BALAT FARM TO MARKET ROAD</t>
  </si>
  <si>
    <t>IMPROVEMENT ALONG DANAS - IDIAN FARM TO MARKET ROAD</t>
  </si>
  <si>
    <t>Contract ID No.: 20OE0203 - Construction of Four (4) Storey Twelve (12) Classroom School Building at P. Guevarra Elementary School, Manila City (Based on 2017 Plan, Revised 3-24-17)</t>
  </si>
  <si>
    <t>IMPROVEMENT ALONG LOWER TA-AW FMR</t>
  </si>
  <si>
    <t>CONSTRUCTION OF HANDRAILS AT CHALEKONG</t>
  </si>
  <si>
    <t>Proposed Construction of Level 1 Potable Water Supply System  (2nd Publication)</t>
  </si>
  <si>
    <t>CONSTRUCTION OF TAWANGAN PROPER - SPRING CONCRETE CANAL</t>
  </si>
  <si>
    <t>Contract ID No.: 20OE0202 - Completion of Four (4) Storey Eight (8) Classroom School Building at Andres Bonifacio Elementary School (Based on 2017 Plan, Revised 3-24-17)</t>
  </si>
  <si>
    <t>CONSTRUCTION OF DRAINAGE CANAL AT SITIO ASOKONG</t>
  </si>
  <si>
    <t>CONSTRUCTION OF DRAINAGE CANAL AT SITIO CHALEKONG</t>
  </si>
  <si>
    <t>CONSTRUCTION OF PUBLIC MARKET BASEMENT ACCESS ROAD</t>
  </si>
  <si>
    <t>Supply, Printing and Delivery of PERRC</t>
  </si>
  <si>
    <t>(PVSO) INVITATION TO BID FOR THE SUPPLY AND DELIVERY OF RABIES VACCINE,  HOG CHOLERA VACCINE, ETC.) FOR THE  PROVINCIAL VETERINARY SERVICES OFFICE--262,545.00</t>
  </si>
  <si>
    <t>Contract ID No.: 20OE0206 - Construction of Four (4) Storey Twenty (20) Classroom School Building at Francisco Balagtas Elementary School (Based on 2018 Plan)</t>
  </si>
  <si>
    <t>Contract ID No.: 20OE0205 - Construction of Four (4) Storey Sixteen (16) Classroom School Building at Mariano Ponce Elementary School  (Based on 2017 Plan, Revised 3-24-17)</t>
  </si>
  <si>
    <t>Contract ID No.: 20OE0204 - Construction of Four (4) Storey Twelve (12) Classroom School Building at Laon Laan  Elementary School  (Based on 2017 Plan, Revised 3-24-17)</t>
  </si>
  <si>
    <t>IMPROVEMENT OF MUNICIPAL NURSERY</t>
  </si>
  <si>
    <t>CONSTRUCTION OF SOLAR DRYER</t>
  </si>
  <si>
    <t>ITB No. GOP/20-DSWD-038 - Provision of Multi-Year Contract for the Hiring of Service Provider for the Termite Treatment and General Pest Control of DSWD - Central Office and Other Satellite Offices</t>
  </si>
  <si>
    <t>(PT &amp; KMH) INVITATION TO BID FOR THE SUPPLY &amp; DELIVERY OF DESKTOP COMPUTERS, LAPTOP, ETC. FOR THE  PROVINCIAL TREASURY &amp; KASIBU MUNICIPAL HOSPITAL--290,000.00</t>
  </si>
  <si>
    <t>20GFC0019: Purchase of Brush Cutter, Blade, Piles and Accessories, DPWH-CNDEO Maintenance Section</t>
  </si>
  <si>
    <t>20GO0102 - 71X-SPECIAL MAINTENANCE (INSTALLATION OF ROAD SAFETY FACILITIES ALONG BACOLOD CITY NATIONAL ROADS), BACOLOD CITY</t>
  </si>
  <si>
    <t>COMPLETION OF EVACUATION CENTER</t>
  </si>
  <si>
    <t>Invitation to Bid for Procurement of Microwave Digestion System 968f-REFERENCE # 2020-06-03</t>
  </si>
  <si>
    <t>Upgrading &amp; Modernization Thru Automation of Kapingkong Dam (Electrical &amp; Mechanical Aspects), Package #14 for the Rehabilitation and Improvement of Lambayong River Irrigation System</t>
  </si>
  <si>
    <t>Materials for Public Address System</t>
  </si>
  <si>
    <t>CONSTRUCTION OF OPEN DRAINAGE CANAL AT SOYSOYAN (PHASE II)</t>
  </si>
  <si>
    <t>Retrofitting of GHQ Building (5th Rebidding)</t>
  </si>
  <si>
    <t>1ST POSTING OF SUPPLIES AND MATERIALS FOR MODULE REPRODUCTION</t>
  </si>
  <si>
    <t>SUPPLY AND DELIVERY OF ONE (1) UNIT AIR OVEN FOR NFA - TRLD LABORATORY USE</t>
  </si>
  <si>
    <t>CONSTRUCTION OF IRRIGATION FACILITIES - STA MARIA, MALAGGA, ADAMS, ILOCOS NORTE</t>
  </si>
  <si>
    <t>purchased of laptop</t>
  </si>
  <si>
    <t>Improvement of Evacuation Center</t>
  </si>
  <si>
    <t>ONE (1) LOT INTERNET SECURITY GATEWAY LICENSE SUBSCRIPTION SOPHOS SG 550</t>
  </si>
  <si>
    <t>CONSTRUCTION OF HANDRAILS AT ASOKONG</t>
  </si>
  <si>
    <t>Procurement of School Furniture’s and Fixtures for the identified Schools of the Division Office of Pagadian City</t>
  </si>
  <si>
    <t>Materials for Medical Kits, Refill of Fire Extinguisher, Medical Equipment and CCTV Camera</t>
  </si>
  <si>
    <t>IPH-20-0166-B - PURCHASE OF MEDICAL OXYGEN</t>
  </si>
  <si>
    <t>Procurement / Acquisition of Communication and Early Warning Devices (Handheld radio and Radio base with antenna and accessories)</t>
  </si>
  <si>
    <t>1ST POSTING MEDICAL AND DENTAL PROJECT WINS SUPPLIES</t>
  </si>
  <si>
    <t>HFW: 1 LOT FROZEN GOODS OF HFW CLIENT FOR 2nd SEM OF 2020.</t>
  </si>
  <si>
    <t>TUGUEGARAO AIRPORT DEVELOPMENT PROJECT (Expansion of Apron)</t>
  </si>
  <si>
    <t>Construction of Community Health Care Center (Phase 1)</t>
  </si>
  <si>
    <t>ROUTE SURVEY ON LOT TRAVERSED FROM CABUDWAN TO HINUGTAN ROAD</t>
  </si>
  <si>
    <t>Supply &amp; Delivery of 1 unit Global Navigation Satellite System (GNSS) Satellite Signal Tracked Simultaneously Specification for K2MIPP</t>
  </si>
  <si>
    <t>Establishment of Sari-sari Store and General Merchandising</t>
  </si>
  <si>
    <t>Request for Quotation for PPE's for LGU-Lawaan</t>
  </si>
  <si>
    <t>Procurement of One (1) set Total Station/Surveying Equipment</t>
  </si>
  <si>
    <t>PURCHASE OF BRAND NEW AMBULANCE</t>
  </si>
  <si>
    <t>1ST internet connection</t>
  </si>
  <si>
    <t>Purchase of Wheelchair, Quad Cane, Walker and Crutches for Senior Citizens and PWDs</t>
  </si>
  <si>
    <t>Procurement / Acquisition of Emergency Rescue Equipment and Supplies (Circular Concrete Saw, Concrete Chain Saw and Demolition Hammer)</t>
  </si>
  <si>
    <t>Supply and Delivery of Labor and Materials, and Provision of Service for the Renovation of the DTI-CITE 2020</t>
  </si>
  <si>
    <t>HFW : 1 LOT  VEGETABLE SUPPLIES  FOR THE CONSUMPTION OF HFW CLIENT FOR 2nd SEMESTER OF 2020</t>
  </si>
  <si>
    <t>CONSTRUCTION OF FOOTPATH AT BANGAO RESIDENTIAL (PHASE II)</t>
  </si>
  <si>
    <t>HFW: 1 LOT PERSONAL EFFECTS	 FOR THE CLIENT AT HOME FOR WOMEN 2nd SEMESTER 2020.</t>
  </si>
  <si>
    <t>Supply and Delivery of Water Meters</t>
  </si>
  <si>
    <t>1ST IMPROVEMENT OF HANDWASHING AREA</t>
  </si>
  <si>
    <t>20F00107 - Local Program – National Roads and Bridges – National Roads – Local Infrastructure Program – Rehabilitation/Reconstruction of National Roads with Slips, Slope Collapsed and Landslide Andaya</t>
  </si>
  <si>
    <t>Purchase of 4x4 Service Vehicle for Monitoring of GAD Programs and Services</t>
  </si>
  <si>
    <t>20CSA006: Geotechnical and Geological Survey (Soil Boring Exploration) of Various Buildings in Region I (Package 2)</t>
  </si>
  <si>
    <t>20CSA005: Geotechnical and Geological Survey (Soil Boring Exploration) of Various Buildings in Region I (Package 1)</t>
  </si>
  <si>
    <t>100-2020-01-130 Supply and delivery of 2 units mini bus-aircon</t>
  </si>
  <si>
    <t>100-2020-03-497 Supply and delivery of 4 units trailing harrow (20x24)</t>
  </si>
  <si>
    <t>100-2020-06-738 Supply and delivery of gasoline and diesel</t>
  </si>
  <si>
    <t>100-2020-06-745 Supply and delivery of gasoline and diesel</t>
  </si>
  <si>
    <t>100-2020-06-766 Supply and delivery of carburandum size 1x2x8inches,etc</t>
  </si>
  <si>
    <t>Proposed Drainage and Pathway</t>
  </si>
  <si>
    <t>Procurement of Various Office Supplies, DSW-PR-742</t>
  </si>
  <si>
    <t>Procurement of Various Printed Materials, DSW-PR 690</t>
  </si>
  <si>
    <t>100-2020-06-783 Supply and delivery of gasoline and diesel</t>
  </si>
  <si>
    <t>PARTIAL CONSTRUCTION OF MULTI-PURPOSE PAVEMENT @ SITIO CAGAS, BRGY. GUINHALINAN</t>
  </si>
  <si>
    <t>Construction of Multi-Purpose Drying Pavement</t>
  </si>
  <si>
    <t>Invitation to Bid Construction of Multi-Purpose Building</t>
  </si>
  <si>
    <t>PROCUREMENT OF MOTOR VEHICLES</t>
  </si>
  <si>
    <t>Contract ID: 20- 06 - 086- PROCUREMENT OF MOTOR PARTS VEHICLE &amp; ACCSSORIES AND FUEL, OIL &amp; LUBRICANTS</t>
  </si>
  <si>
    <t>HIRING FOR TWO (2) SECURITY GUARD</t>
  </si>
  <si>
    <t>100-2020-06-779 Supply and delivery of diesel</t>
  </si>
  <si>
    <t>CONSTRUCTION OF LINED CANAL AT CENTRO, BRGY. WHITE CLIFF</t>
  </si>
  <si>
    <t>Disaster Response and Rescue Equipment for Emergency Response Operations of the Provincial Disaster Risk Reduction Management Office (PDRRMO)</t>
  </si>
  <si>
    <t>100-2020-03-496 Supply and delivery of 4 units 4 wheel drive diesel tractor with trailing harrow (20x24),etc</t>
  </si>
  <si>
    <t>CONCRETING OF BARANGAY ROAD PHASE 2</t>
  </si>
  <si>
    <t>20GK0222 - Repair/Maintenance of Flood Control and Drainage Structures of Umapog River along Bacolod North Road, Cadiz City, Negros Occidental, K0058+279 - K0058+304</t>
  </si>
  <si>
    <t>CONCRETING OF 100 METERS FMR AT SITIO ARADO, BRGY. PAGDADAMAYAN</t>
  </si>
  <si>
    <t>Contract ID: 20- 06 - 087 - PROCUREMENT OF LABORATORY SUPPLIES</t>
  </si>
  <si>
    <t>Emergency Purchase o in response to covid19 RHU Office 28A</t>
  </si>
  <si>
    <t>Emergency Purchase o in response to covid19 RHU Office</t>
  </si>
  <si>
    <t>Proposed repair/rehabilitation of road including construction of drainage at Brgy. San Gabriel, San Pablo City.</t>
  </si>
  <si>
    <t>Supply/Delivery of One (1) Unit Police Patrol Car (20-06-0617)</t>
  </si>
  <si>
    <t>1 lot  Project Billboard - Construction of City Health Office Phase III (06-0631) CMO</t>
  </si>
  <si>
    <t>Supply &amp; Delivery of Materials for the Improvement of Multi Purpose Building</t>
  </si>
  <si>
    <t>Supply &amp; Delivery of Materials for the Installation of Streetlight (SAN DIONISIO)</t>
  </si>
  <si>
    <t>Supply and Delivery of Garbage Truck for various Barangays of San Pablo City.</t>
  </si>
  <si>
    <t>20GK0223 - Repair/Maintenance of Flood Control System at Sangay Bridge, Silay Lantawan Road, S00028NR, K0032+339</t>
  </si>
  <si>
    <t>(20CSNH05) Consulting Services for the Conduct of Soil Explor. &amp;/Or Geotech'l Investigation in Prep. of the Prelim. &amp; Det. Eng'g of Prop. Various FY 2021 Reg Infra Projects(Package 3)Madrid,Tandag,Tag</t>
  </si>
  <si>
    <t>Supply and Installation of Public Address System</t>
  </si>
  <si>
    <t>(20CSNH03)Consulting Services for the Conduct of Soil Explor. And/Or Geotech. Investigation in Prep. of the Prelim. &amp; Det. Eng'g of Prop. Various FY 2021 Reg. Infras Proj(Package 1)Cantilan, Carmen &amp;</t>
  </si>
  <si>
    <t>20CSHL0001 - Consulting Services for the conduct of Geotechnical Investigation for Widening of Permanent Bridges along Dumaguete South Road:</t>
  </si>
  <si>
    <t>Construction of Seawall</t>
  </si>
  <si>
    <t>Emergency Purchase in response to covid19 dswd Office 31A</t>
  </si>
  <si>
    <t>20GN0091-Repair/Maintenance of DPWH Building, DPWH Field Office Laboratory &amp; Living Quarters Buildings at Brgy. Lag-asan, Bago City, Negros Occidental</t>
  </si>
  <si>
    <t>Purchase of Materials for Concreting of Concrete Pavement Drier</t>
  </si>
  <si>
    <t>Repair and Improvement of Rockefeller #4 &amp; #5 at PhilRice Central Experiment Station (PB Infra 20-02-03)</t>
  </si>
  <si>
    <t xml:space="preserve">(20CSNH04) Consulting Services for the Conduct of Soil Exploration &amp;/Or Geotech'l Invest'n in Prep. of the Prelim &amp; Det. Eng'g of Prop. Various FY 2021 Reg. Infras. Proj. (Package 2)Tago, Surigao del </t>
  </si>
  <si>
    <t>Emergency Purchase o in response to covid19 dswd Office 30A</t>
  </si>
  <si>
    <t>Emergency Purchase in resp to covid19 mayor's off</t>
  </si>
  <si>
    <t>Provision of Security Services for Technical Education and Skills Development Authority-XI (TESDA XI)</t>
  </si>
  <si>
    <t>INSTALLATION OF TRANSFORMER WITH METERING ACCESSORIES AND MAIN CABLE AT CUYO DISTRICT HOSPITAL (MUNICIPALITY OF CUYO, PALAWAN)</t>
  </si>
  <si>
    <t>For the installation of 50 kva transfromer</t>
  </si>
  <si>
    <t>Multi Purpose Vehicle etc. (06-0640)CMO</t>
  </si>
  <si>
    <t>Blue Guard Security Services</t>
  </si>
  <si>
    <t>installation of 15 units streetlights at zone 2-4</t>
  </si>
  <si>
    <t>INSTALLATION (Purchase) OF CCTV - SAN JUAN, ILOCOS SUR</t>
  </si>
  <si>
    <t>PB-PROCUREMENT OF ONE (1) UNIT 2D-ECHO MACHINE ITB No. 2020-11</t>
  </si>
  <si>
    <t>CONSTRUCTION OF PERIMETER FENCE IN QUEZON MEDICARE HOSPITAL (MUNICIPALITY OF QUEZON, PALAWAN)</t>
  </si>
  <si>
    <t>Project B Drugs and Medicines</t>
  </si>
  <si>
    <t>Project A Rabies Vaccine</t>
  </si>
  <si>
    <t>CONSTRUCTION OF RIVERBANK STABILIZATION-REVETMENT, Valladolid, Loboc, Bohol</t>
  </si>
  <si>
    <t>CONSTRUCTION OF SEWAGE TREATMENT PLANT (EL NIDO COMMUNITY HOSPITAL, EL NIDO, PALAWAN)</t>
  </si>
  <si>
    <t>CONSTRUCTION OF SEWAGE TREATMENT PLANT (NARRA MUNICIPAL HOSPITAL, NARRA, PALAWAN)</t>
  </si>
  <si>
    <t>CONSTRUCTION OF SEWAGE TREATMENT PLANT (BATARAZA DISTRICT HOSPITAL BATARZA, PALAWAN)</t>
  </si>
  <si>
    <t>Phase VI Procurement of ICT Hardware and Equipment for Enhancement of Information and Communication Technology Information and Communication Technology Infrastructure in the Freeport Area of Bataan (F</t>
  </si>
  <si>
    <t>CONCRETING OF ROAD LEADING TO WOMEN AND CHILDREN CRISIS AND DEVELOPMENT CENTER (WCCDC), SAN JOSE</t>
  </si>
  <si>
    <t>CONSTRUCTION OF POTABLE WATER SYSTEM, (Sitio Melody, Sitio Payo-Payo, Sitio Katipunan and Sitio Botong), SAN ANTONIO, LIBJO</t>
  </si>
  <si>
    <t>CONSTRUCTION OF POTABLE WATER SYSTEM, SERING, BASILISA</t>
  </si>
  <si>
    <t>PURCHASE OF ECG MACHINE</t>
  </si>
  <si>
    <t>CONCRETING OF ACCESS ROAD, PUROK 1 TO PUROK 4, LLAMERA, LIBJO</t>
  </si>
  <si>
    <t>Construction of 13.8KV Underground Cabling System including SUpply and Installation of Metal Clad Switching Panels (Outdoor Type) Stage1</t>
  </si>
  <si>
    <t>Supply and Delivery of Air Release Valves, Butterfly and Gate Valves Requirement of the SMWD for CY 2020</t>
  </si>
  <si>
    <t>CONSTRUCTION OF POTABLE WATER SYSTEM, NEW NAZARETH, BASILISA</t>
  </si>
  <si>
    <t>Acquisition of Municipal Equipment for Engineering Office (other Machinery and Equipment)</t>
  </si>
  <si>
    <t>Purchase of Materials for the improvement of Level II Water System</t>
  </si>
  <si>
    <t>CONCRETING OF PROVINCIAL ROAD (PAMOQS SECTION)</t>
  </si>
  <si>
    <t>CONSTRUCTION OF MULTI-PURPOSE COVERED COURT AT BRGY. NAG-IBA, MABINI, BATANGAS</t>
  </si>
  <si>
    <t>CONSTRUCTION/IMPROVEMENT OF MULTI-PURPOSE HALL AT BRGY. POBLACION, MABINI, BATANGAS</t>
  </si>
  <si>
    <t>PB-PROCUREMENT OF ENT EQUIPMENT &amp; INSTRUMENTS ITB No. 2020-12</t>
  </si>
  <si>
    <t>CONSTRUCTION OF EVACUATION/MULTI-PURPOSE COVERED COURT (PHASE 1) AT BRGY. MAJUBEN, MABINI, BATANGAS</t>
  </si>
  <si>
    <t>Purchase of Materials for the Construction of Waiting at Purok Domingo, Sudlon, Molave, Zamboanga del Sur</t>
  </si>
  <si>
    <t>Supply and Delivery of Construction Materials for Improvement of Multi-Purpose Building</t>
  </si>
  <si>
    <t>Purchase &amp; Delivery of One (1) Unit Service Utility Vehicle for PGO</t>
  </si>
  <si>
    <t>Purchase &amp; Delivery of One (1) Unit Service Utility Vehicle for PGSO</t>
  </si>
  <si>
    <t>Purchase &amp; Delivery of One (1) Unit Ambulance  for DCMMH</t>
  </si>
  <si>
    <t>Supply and Delivery of Construction Materials for the Rehabilitation of CAPT SUAREZ Pier</t>
  </si>
  <si>
    <t>Project C- IEC Materials</t>
  </si>
  <si>
    <t>CONSTRUCTION/REHABILITATION/IMPROVEMENT OF MABINI COVERED COURT (PHASE 3) AT POBLACION, MABINI, BATANGAS</t>
  </si>
  <si>
    <t>Supply and Delivery of Cast Iron (CI) and Ductile Iron (DI) Fittings Requirements of the SMWD for CY 2020</t>
  </si>
  <si>
    <t>Purchase of One (1) Unit Brand New Garbage Compactor</t>
  </si>
  <si>
    <t>PROCUREMENT OF ONE (1) UNIT WATER PUMP FOR PNR EXECUTIVE BUILDING WATER PUMP CIRCUIT USE</t>
  </si>
  <si>
    <t>Procurement of the following service vehicles-B-20-0191</t>
  </si>
  <si>
    <t>The Supply and Delivery of Isolation Gate Valves and Fittings for Air Scouring Implementation</t>
  </si>
  <si>
    <t>COMPLETION OF ULBUJAN MULTIPURPOSE COVERED COURT (EQUIPMENT ONLY) - ULBUJAN, CALAPE, BOHOL</t>
  </si>
  <si>
    <t>RFQ PR No. 2020-06-065 (Re-Advertised) Purchase of Fuel and Lubricants of Service Vehicles and Equipment for the month of July - September CY 2020</t>
  </si>
  <si>
    <t>RENTAL / LEASE OF 180 UNITS OF DESKTOP COMPUTERS (6 MONTHS) CY 2020</t>
  </si>
  <si>
    <t>Procurement of 2 Units Floor Mounted Aircon for the Use of PDRRMO</t>
  </si>
  <si>
    <t>Repair/Maintenance/Rehabilitation of DOF-BIR Makati, Senator Gil Puyat Ave., Makati City, Metro Manila</t>
  </si>
  <si>
    <t>CLUSTER 1, 2, 3 and 4 - TEMPORARY LEARNING SPACE</t>
  </si>
  <si>
    <t>Procurement of 5 cart toner, Black, Epson 9731 etc. for use in the Planning &amp; Design Section</t>
  </si>
  <si>
    <t>Construction Of Open Line Canal</t>
  </si>
  <si>
    <t>Procurement of 4 unit meter tap, 10 meter etc. for use in the Planning &amp; Design Section</t>
  </si>
  <si>
    <t>PROCUREMENT OF 3 UNITS OF ELECTRICAL DISTRIBUTION TRANSFORMER, 100 KVA</t>
  </si>
  <si>
    <t>PROCUREMENT OF ONE (1) UNIT BRAND NEW AMBULANCE (RE-BID)</t>
  </si>
  <si>
    <t>Procurement and Delivery of ICT and Office Equipment and Furniture and Fixture to Various Offices</t>
  </si>
  <si>
    <t>Emergency Purchase o in response to covid19 dswd Office 34A</t>
  </si>
  <si>
    <t>Installation of Street Lighting at 60 Poles per Barangay at Bahay, Lindogon, Tubod &amp; Simala, Sibonga, Cebu</t>
  </si>
  <si>
    <t xml:space="preserve">20NF0068:CONSTRUCTION OF RWCS (2020 CLUSTER)_Re-Ad A.	CONSTRUCTION OF RWCS @ STA. PAZ PRIMARY SCHOOL, BRGY. STA. PAZ, SAN ISIDRO, SURIGAO DEL NORTE B.	CONSTRUCTION OF RWCS @ PELAEZ ELEMENTARY SCHOOL, </t>
  </si>
  <si>
    <t>IMPROVEMENT OF DRAINAGE SYSTEM AT GUIJO ROAD</t>
  </si>
  <si>
    <t>CONTINUATION FOR THE CONCRETING OF THE ACCESS ROAD TO SANITARY LANDFILL, BALANTOY</t>
  </si>
  <si>
    <t>Supply &amp; Delivery of Materials for the  Repair of School Building – Villaflor Elementary School</t>
  </si>
  <si>
    <t>Supply &amp; Delivery of Materials for the  Construction of Washing Area and Kitchen and Installation of Portable Handwashing Facility</t>
  </si>
  <si>
    <t>Air Conditioners</t>
  </si>
  <si>
    <t>Construction of Multi-Purpose Hall Barangay Dulangan</t>
  </si>
  <si>
    <t>CONTRACT ID: 20-06-089 = PROCUREMENT OF HARDWARE AND CONSTRUCTION SUPPLIES (EXPANSION OF DOH-ZP-CHD WAREHOUSE)</t>
  </si>
  <si>
    <t>Repair/Maintenance of DILG Building, NAPOLCOM Building, Makati City, Metro Manila</t>
  </si>
  <si>
    <t>Procurement of one unit Emergency Rescue Vehicle</t>
  </si>
  <si>
    <t>(SBMA-BAC-GOODS-ITB-08-20) Supply and Delivery of Various Office Supplies</t>
  </si>
  <si>
    <t>T. AWAD ECHEVARRIA ELEM SCHOOL - GENERAL MERCHANDISE</t>
  </si>
  <si>
    <t>SUPPLY &amp; DELIVERY OF MATERIALS FOR SERVICE LINE OF NWSS CONSUMERS FOR WATER CONNECTIONS</t>
  </si>
  <si>
    <t>Construction of Rainwater Collector System (RWCS), Parañaque City, Metro Manila</t>
  </si>
  <si>
    <t>Emergency Purchase o in response to covid19 mdrrm Office 35A</t>
  </si>
  <si>
    <t>Procurement and Delivery of Construction Supplies and Materials for the Concreting of San Isidro-Kibalus Road</t>
  </si>
  <si>
    <t>Bid No. 20-0282 - PROCUREMENT OF VEHICLE - SB/LEGISLATIVE OFFICE</t>
  </si>
  <si>
    <t>RENOVATION OF COMFORT ROOM (GRPMHS-ANNEX)</t>
  </si>
  <si>
    <t>CONCRETING OF PUROK 1, MALTANA ROAD</t>
  </si>
  <si>
    <t>Procurement of 400 pieces Water Meter for New Connections and Change Meter</t>
  </si>
  <si>
    <t>RFQ No. 20-06-038P Supply and Delivery of Matting Heavy Traffic</t>
  </si>
  <si>
    <t>Repair/Maintenance of DOTR Building, LTO Building, Parañaque City, Metro Manila</t>
  </si>
  <si>
    <t>20AA0349 - REPAINTING/MAINTENANCE OF MANGATO BRIDGE (B02760LZ) K0485+339 ALONG LAOAG-BALACAD ROAD AND SAN MATEO BRIDGE (B00769LZ) K0492+207 ALONG LAOAG-SARRAT-PIDDIG-SOLSONA ROAD, LAOAG CITY, ILOCOS N</t>
  </si>
  <si>
    <t>FOR MBO USED</t>
  </si>
  <si>
    <t>FURNISHING OF LABOR AND MATERIALS FOR THE REPAIR OF AGUS 6      NATURE'S PARK SPRING WATERPIPE</t>
  </si>
  <si>
    <t>Bid No. 20-0283 - PROCUREMENT OF OFFICE EQUIPMENT - MO/RADIO ROOM SECTION</t>
  </si>
  <si>
    <t>Healthy Lifestyle (Provision of Total Blood Chemistry to all LGU Employee</t>
  </si>
  <si>
    <t>CONSTRUCTION OF BARANGAY HEALTH STATION (BARANGAY LOS ANGELES, MAGSAYSAY, PALAWAN)</t>
  </si>
  <si>
    <t>Supply of one (1) unit PH Meter</t>
  </si>
  <si>
    <t>Procurement and Delivery of Construction Supplies and Materials for the Construction of  Drainage</t>
  </si>
  <si>
    <t>Procurement of Sound System</t>
  </si>
  <si>
    <t>GOODS 2020-06-0005 PURCHASE OF TRANSPORT VEHICLE (AMBULANCE)</t>
  </si>
  <si>
    <t>CONSTRUCTION OF BARANGAY HEALTH STATION (BARANGAY LAGAORIAO, CUYO, PALAWAN)</t>
  </si>
  <si>
    <t>Bid No. 20-0318 - PROCUREMENT OF AGRICULTURAL PRODUCTS (SEEDLINGS) - MENRO/ ESTABLISHMENT OF ROAD GREENBELT</t>
  </si>
  <si>
    <t>Repair/Maintenance of DPWH Metro Manila II District Engineering Office, Sub-Office, Sucat Road, Parañaque City, Metro Manila</t>
  </si>
  <si>
    <t>Improvement of Brgy. Multipurpose Building, Brgy. Ninoy Aquino City (AIP 2020)</t>
  </si>
  <si>
    <t>NOTICE FOR NEGOTIATED PROCUREMENT OF PROGRAMMING EQUIPMENT AND MATERIALS</t>
  </si>
  <si>
    <t>Installation/Construction of Solar Powered Street Lightning Along Municipal Streets, Lavezares N. Samar</t>
  </si>
  <si>
    <t>SUPPLY, DELIVERY, INSTALLATION AND COMMISSIONING OF VARIOUS MEDICAL EQUIPMENT (HFEP)</t>
  </si>
  <si>
    <t>(SBMA-BAC-GOODS-ITB-12-20) SERVICES AND MATERIALS FOR THE SUPPLY, DELIVERY AND INSTALLATION OF PREMIUM QUALITY FABRIC WINDOW COMBI-BLINDS AT VARIOUS SBMA OFFICE BUILDINGS</t>
  </si>
  <si>
    <t>PURCHASE AND DELIVERY OF EQUIPMENT FOR IMPLEMENTATION OF DA-BAR PROMOTION OF RECOMMENDED RICE VARIETIES PROJECT</t>
  </si>
  <si>
    <t>Emergency Purchase in response to covid19 RHU Office 37A</t>
  </si>
  <si>
    <t>CONSTRUCTION OF ONE(1) UNIT GPG-TYPE SCHOOL BUILDING AS SAN ISIDRO E/S -057</t>
  </si>
  <si>
    <t>Supply of one (1) unit Spectrophotometer Visible</t>
  </si>
  <si>
    <t>LAPTOP USE AT THE OFFICE OF THE MUNICIPAL CIVIL REGISTRAR</t>
  </si>
  <si>
    <t>HO-ETD20-001 - Supply and Delivery of Toner Cartridge for Fuji Xerox Docuprint</t>
  </si>
  <si>
    <t>Supply and Delivery of Filling Materials (Phase 2) for Municipal Site Development, Lavezares N. Samar</t>
  </si>
  <si>
    <t>PREVENTIVE MAINTENANCE OF CLOSED-CIRCUIT TELEVISION (CCTV) UNDER MINDANAO WEST DIVISION</t>
  </si>
  <si>
    <t>SUPPLY AND DELIVERY OF FITTINGS FOR NEW SERVICE CONNECTION/ RELOCATION/RECONNECTION/REHABILITATION OF WATER METER ASSEMBLY (AGING 5 YEARS-UP)</t>
  </si>
  <si>
    <t>Streetlighting Project Along Provincial Road</t>
  </si>
  <si>
    <t>Construction of Mati Creek Verdant Wall</t>
  </si>
  <si>
    <t>Watchman Services (March 2020-Dec.2020)</t>
  </si>
  <si>
    <t>Supply of one (1) unit Incubator</t>
  </si>
  <si>
    <t>Replacement of Balulan Bridge along Manapla Punta Balulan Road, Manapla, Neg. Occ. PEO-2020-0722</t>
  </si>
  <si>
    <t>PROCUREMENT AND DELIVERY OF ICT EQUIPMENT FOR TOURISM OFFICE, MENR OFFICE &amp; OMM-SLAUGHTERHOUSE</t>
  </si>
  <si>
    <t>Supply and Delivery of HDPE Tubing and Plastic Fitting Requirements of the SMWD for CY 2020</t>
  </si>
  <si>
    <t>Purchase of food packs</t>
  </si>
  <si>
    <t>CONCRETING OF MAGARA BGY. ROAD PHASE II (MUNICIPALITY OF ROXAS, PALAWAN)</t>
  </si>
  <si>
    <t>for RHU Consultation</t>
  </si>
  <si>
    <t>Upgrading of Lampitak Potable Water System</t>
  </si>
  <si>
    <t>Improvement of Barangay Health Station as Medical Facilities and Quarantine Area</t>
  </si>
  <si>
    <t>Supply of 30 lb Packing 3/8"</t>
  </si>
  <si>
    <t>Supply of two (2) units Vertical Multi-Stage Centrifugal Pumps and Control with Complete Accessories</t>
  </si>
  <si>
    <t>Installation of Closed Circuit Television</t>
  </si>
  <si>
    <t>REQUEST FOR QUOTATION - Purchase and Delivery of Semi-Expendable Office Furniture and Fixtures - RPO V</t>
  </si>
  <si>
    <t>Proposed Road Concreting in Pansoy - Mohon Barangay Road - Sitio Mangalao Section</t>
  </si>
  <si>
    <t>(SBMA-BAC-GOODS-ITB-11-20) SERVICES AND MATERIALS FOR THE INSTALLATION OF AUDIOVISUAL EQUIPMENT AT THE BOARDROOM</t>
  </si>
  <si>
    <t>REHABILITATION OF DRAINAGE SYSTEM</t>
  </si>
  <si>
    <t>PORTABLE SPEAKER</t>
  </si>
  <si>
    <t>ACQUISITION OF PROCUREMENT AND INVENTORY MANAGEMENT SYSTEM (SUPPLY, DELIVERY, INSTALLATION AND CONFIGURATION INTO OPERATIONAL STATE)</t>
  </si>
  <si>
    <t>Concreting of Brgy. San Roque to Brgy. Barangobong FMR, Brgy. San Roque (San Nicolas) and Brgy. Barangobong (Natividad, Pangasinan)</t>
  </si>
  <si>
    <t>Completion of Benguet Sports Gymnasium, Wangal, La Trinidad, Benguet</t>
  </si>
  <si>
    <t>Procurement of Construction IP Housing (Materials)</t>
  </si>
  <si>
    <t>Concreting of Brgy. Gonzalo to Brgy. Carayacan FMR, Brgy. Gonzalo and Brgy. Carayacan, San Quintin, Pangasinan</t>
  </si>
  <si>
    <t>20AE0071: Construction of 2 Storey 4 Classroom School Building at Butubut National High School, Balaoan, La Union</t>
  </si>
  <si>
    <t>Purchase of Office Supplies for 2nd Quarter Commonly used Supplies CY-2020</t>
  </si>
  <si>
    <t>CONSTRUCTION OF BAJEN-BUMAGAT FARM TO MARKET ROAD</t>
  </si>
  <si>
    <t>Farm Inputs &amp; Machinery Assistance for Livelihood on Tobacco Production</t>
  </si>
  <si>
    <t>Concrete Pavement of New Municipal Building, Brgy. Tabucan, Barotac Nuevo, Iloilo</t>
  </si>
  <si>
    <t>ITB FOR PROCUREMENT OF OFFICE  SUPPLIES FOR MODULAR LEARNING 2020</t>
  </si>
  <si>
    <t>Construction/Extension of Road Concreting at Brgy. Urdaneta, Lavezares N. Samar</t>
  </si>
  <si>
    <t>Grocer Items</t>
  </si>
  <si>
    <t>Procurement of 15 units Cellular Phone (TouchScreen)</t>
  </si>
  <si>
    <t>Emergency Purchase in response to covid19 V.Mayor Office 36A</t>
  </si>
  <si>
    <t>Concrete Paving of Canroma-Buenavista Road, Rural Access (Road Upgrading), Brgy.Canroma-Buenavista, Pontevedra, Neg. Occ./PEO-2020-0964</t>
  </si>
  <si>
    <t>Short-Throw Projector</t>
  </si>
  <si>
    <t>Construction of Evacuation Center at Barangay Bangco, Maria Aurora</t>
  </si>
  <si>
    <t>Other Supplies-MBO</t>
  </si>
  <si>
    <t>Procurement of Medicines and Medical Supplies for ILHZ Medical and Dental Activities</t>
  </si>
  <si>
    <t>Procurement of Construction IP Housing (Labor)</t>
  </si>
  <si>
    <t>Supply and Delivery of Construction Materials and Equipment:Rehabilitation of Barangay Road</t>
  </si>
  <si>
    <t>PURCHASE OF TOILET BOWL (UNDER SUSTAINABLE SANITATION PROGRAM)</t>
  </si>
  <si>
    <t>PRE-BID CONFERENCE 30/June/2020 - Procurement of Goods: Furniture &amp; Fixture for the use of CMO (Tagum City Police Station) (PR#100-20-06-0175)</t>
  </si>
  <si>
    <t>Shouldering of Municipal Streets, E Biron Street, Brgy. Ilaya Poblacion, Barotac Nuevo, Iloilo</t>
  </si>
  <si>
    <t>DRILLING OF ONE (1) PRODUCTION WELL  AT BRGY. P. LUPA, MABINI, BATANGAS</t>
  </si>
  <si>
    <t>Procurement of VArious Vehicle Parts &amp; Accessories(Tractor)-DA,Lopez Jaena</t>
  </si>
  <si>
    <t>DON FRANCISCO S. DIZON SR. ELEMENTARY SCHOOL</t>
  </si>
  <si>
    <t>Procurement of Vehicle for Vice Mayor's Office</t>
  </si>
  <si>
    <t>Installation of Electrical Facilities( Streetlights), Brgy. Palaciawan, Barotac Nuevo, Iloilo</t>
  </si>
  <si>
    <t>Construction of Multi-Purpose Building at Barangay Sta.Lucia, Maria Aurora</t>
  </si>
  <si>
    <t>IMPROVEMENT ALONG NRJ, BANAO-BESOCOL-MOGAO ACCESS ROAD (BESOCOL SECTION)</t>
  </si>
  <si>
    <t>construction materials and supplies</t>
  </si>
  <si>
    <t>Construction Materials (Construction of Drainage Canal(EMBARCADERO Continuation))</t>
  </si>
  <si>
    <t>concreting and Improvement of Ground to Multipurpose Hall (Phase 2)</t>
  </si>
  <si>
    <t>PEST CONTROL OUTSOURCING SERVICE</t>
  </si>
  <si>
    <t>CONCRETING OF BARANGAY ROAD at Barangay San Jose, Maria Aurora, Aurora</t>
  </si>
  <si>
    <t>Supply &amp; Delivery of Hardware &amp; Construction Materials for Salvacion-Union CIS (CY 2020 FAW)</t>
  </si>
  <si>
    <t>Supply and Delivery of CM for the Improvement of Gusaran-Addon-Bineng Road and Improvement of Sta Cruz Hanging Foot bridge @ Sta Cruz Pingkian</t>
  </si>
  <si>
    <t>Drugs &amp; Medicines 2020</t>
  </si>
  <si>
    <t>Supply and Delivery of CM for the construction of Multi-purpose building/covered court phase II</t>
  </si>
  <si>
    <t>Procurement of Cacao Planting Materials &amp; Soil Enhancer-DA,Lopez Jaena,Misamis Occidental</t>
  </si>
  <si>
    <t>Supply, Delivery &amp; Installation of 20 Units Complete Set of Computers and 30 Units Adobe Creative Cloud (CC) ALL APPS_July 14, 2020</t>
  </si>
  <si>
    <t>Fencing of School Building ( 8 Spans) of Bagongbong Elementary School, Barangay Bagongbong, Barotac Nuevo, Iloilo</t>
  </si>
  <si>
    <t>Supply and Delivery of construction Materials for the improvement of PIS at Dangsal Besong and Construction of CIS @ Tidang Village</t>
  </si>
  <si>
    <t>INVITATION TO BID FOR GROCERIES (BID NO. 200716-03)</t>
  </si>
  <si>
    <t>CONCRETING OF BARANGAY ROAD at Barangay Baubo, Maria Aurora, Aurora</t>
  </si>
  <si>
    <t>MES - Educational Materials and Supplies, Services</t>
  </si>
  <si>
    <t>INVITATION TO BID FOR VEHICLES (4 WHEELS) AND ACCESSORIES (BID NO. 200716-06)</t>
  </si>
  <si>
    <t>Supply and Delivery of CM for the improvement of Hanging Foot Bridge @ Pacac,Cabalatan Alang KNV</t>
  </si>
  <si>
    <t>20CB-GSC-344 PURCHASE OF OIL &amp; LUBRICANTS</t>
  </si>
  <si>
    <t>Proposed Water Supply Rehabilitation</t>
  </si>
  <si>
    <t>Purchase of Mini Dump Truck 6 Wheeler 4 ton Garbage Truck High Side (Refurbish)</t>
  </si>
  <si>
    <t>Procurement of IT Equipment -  MEO ,Lopez Jaena,Misamis Occidental</t>
  </si>
  <si>
    <t>Document Camera/Reader</t>
  </si>
  <si>
    <t>CONSTRUCTION OF LOCAL ROADS- CAOIGUE</t>
  </si>
  <si>
    <t>PROCUREMENT OF MEDICINE</t>
  </si>
  <si>
    <t>INSTALLATION OF CLOSE CIRCUIT TELEVISION CAMERA (CCTV)</t>
  </si>
  <si>
    <t>PURCHASE OF RAPID ELECTRIC VEHICLE CHARGER (FOR  E-TRIKE)</t>
  </si>
  <si>
    <t>cONSTRUCTION OF pUBLIC Market ( Phase 1)</t>
  </si>
  <si>
    <t>CONCRETING OF BARANGAY ROAD at Barangay San Joaquin, Maria Aurora, Aurora</t>
  </si>
  <si>
    <t>Projection Screen</t>
  </si>
  <si>
    <t>Provision of Internet Service and Domestic Multi-Protocol Label Switching Services for Bicol University (3rd Publication)</t>
  </si>
  <si>
    <t>INVITATION TO BID FOR VEHICLE (4 WHEELS) AND ACCESSORIES (BID NO. 200716-05)</t>
  </si>
  <si>
    <t>MEALS AND SNACKS-MCO-GAD</t>
  </si>
  <si>
    <t>Improvement Kolambugan Level III Water System Project</t>
  </si>
  <si>
    <t>Materials for Construction of Proposed Fence of San Jose de Buenavista Municipal Fish Port</t>
  </si>
  <si>
    <t>Supply and Delivery of 600 Cavans Well Milled Rice 50 kilos/cavan (2nd quarter)</t>
  </si>
  <si>
    <t>20CB-GSC-350 PURCHASE OF DELIVERY VAN STICKER</t>
  </si>
  <si>
    <t>Supply and Delivery of Emergency Response Equipment and Supplies</t>
  </si>
  <si>
    <t>20CB-GSC-349 PURCHASE OF PURIFIED DRINKING WATER</t>
  </si>
  <si>
    <t>INVITATION TO BID FOR NO CATEGORY - (VARIOUS LECHON) (BID NO. 200716-04)</t>
  </si>
  <si>
    <t>Construction of Residual Containment Facility (RCF) Phase 2, Barangay Lico-an, Barotac Nuevo, Iloilo</t>
  </si>
  <si>
    <t>SUPPLY AND DELIVERY OF SPARE PARTS OF MUNICIPAL ROAD GRADER AND BULLDOZER</t>
  </si>
  <si>
    <t>INVITATION TO BID FOR SPARE PARTS FOR LIGHT &amp; HEAVY EQUIPMENT (BID NO. 200716-08)</t>
  </si>
  <si>
    <t>Construction of Residual Containment Facility ( RCF) Phase 1, Barangay Lico-an, Dump Site, Barotac Nuevo, Iloilo</t>
  </si>
  <si>
    <t>Procurement of Wireless CCTV Installation w/ NTC License, 16 Channel Network Vedio Recording, 4mp Bullet Camera Big, 2mp BullerCamera %, CCTV HD 4 TB, LED TV Monitor 50'', Lite Power Beam, Toughtcable</t>
  </si>
  <si>
    <t>20CB-GSC-346 PURCHASE OF OFFICE EQUIPMENT (RE-BID)</t>
  </si>
  <si>
    <t>Hauling and disposal of Municipal Residual Waste at Material Recovery Facility (MRF), Brgy. Balayhangin, Calauan, Laguna</t>
  </si>
  <si>
    <t>SUPPLY AND DELIVERY OF OFFICE SUPPLIES, FURNITURE AND EQUIPMENT FOR LGU-ROXAS, PALAWAN</t>
  </si>
  <si>
    <t>20CB-GSC-345 PURCHASE OF DRUGS &amp; MEDICAL SUPPLIES FOR DEPED (RE-BID)</t>
  </si>
  <si>
    <t>INVITATION TO BID FOR ELECTRICAL EQUIPMENT AND APPLIANCES -A (BID NO. 200716-07)</t>
  </si>
  <si>
    <t>PROCUREMENT OF  CONSTRUCTION MATERIALS FOR CONCRETING OF ALGECIRAS FMR</t>
  </si>
  <si>
    <t>Closed-Circuit Television (CCTV) System</t>
  </si>
  <si>
    <t>Improvement of Bagongbong "B" Elementary School, Bagongbong, Barotac Nuevo, Iloilo</t>
  </si>
  <si>
    <t>INVITATION TO BID FOR HEAVY EQUIPMENT (BID NO. 200716-02)</t>
  </si>
  <si>
    <t>LED Wall System</t>
  </si>
  <si>
    <t>PES Purchase of Various Office Supplies available to PS 2020.</t>
  </si>
  <si>
    <t>20CB-GSC-347 PURCHASE OF CAMERA FOR CITY ASSESSORS (RE-BID)</t>
  </si>
  <si>
    <t>ITB No. 19-DSWD-059-A - Supply and Delivery of Workstation Computer for DSWD-UCT NPMO</t>
  </si>
  <si>
    <t>INVITATION TO BID FOR FABRICATION (BID NO. 200716-10)</t>
  </si>
  <si>
    <t>Purchase of Construction Materials (for various Program of Local Governemtn od San Matel</t>
  </si>
  <si>
    <t>Supply &amp; Delivery of Eddy Current Dynamometer</t>
  </si>
  <si>
    <t>Other Supplies-MENRO</t>
  </si>
  <si>
    <t>PROPOSED REHABILITATION OF MUNICIPAL ROADS</t>
  </si>
  <si>
    <t>20CB-GSC-354 PURCHASE OF PRINTER FOR SEF</t>
  </si>
  <si>
    <t>REHAB./IMPROVEMENT OF BIRTHING CLINIC</t>
  </si>
  <si>
    <t>20CB-GSC-353 PURCHASE OF DIESEL AND GASOLINE FOR CVMO (REBID)</t>
  </si>
  <si>
    <t>20CB-GSC-348 REPAIR FOR MOTOR VEHICLE FOR CHO</t>
  </si>
  <si>
    <t>Construction of Mabasa Potable Water Supply System (Level II)</t>
  </si>
  <si>
    <t>20CB-GSC-351 PURCHASE OF HARDWARE SUPPLIES</t>
  </si>
  <si>
    <t>Construction of Two – Storey Six (6) Classroom PAGCOR Design  School Building at Panitan NHS, Panitan, Capiz Affected by  Typhoon Yolanda (Rebid)</t>
  </si>
  <si>
    <t>20GCE0007: Procurement of Materials for use in the Activity 309 - Other Traffic Services (Centerline and Laneline Repainting) and in the Repair and Maintenance of Various National Roads</t>
  </si>
  <si>
    <t>Procurement of Office Supplies for the use of Different Offices</t>
  </si>
  <si>
    <t>Supply and Delivery of Medicine To MHO, Lavezares N. Samar</t>
  </si>
  <si>
    <t>INVITATION TO BID FOR ROAD CONSTRUCTION MATERIALS (BID NO. 200716-09)</t>
  </si>
  <si>
    <t>Consolidated PR- Other/janitorial supplies for various offices for 1st quarter-C Place of Delivery: Warehouse, City General Services Office at City Hall Compound, Peñaplata, IGaCoS under CONSOLIDATED-</t>
  </si>
  <si>
    <t>MEALS AND SNACKS-SB-Legislative</t>
  </si>
  <si>
    <t>NEGOTIATED PROCUREMENT FOR THE PURCHASE OF MATERIALS FOR INSTALLATION OF 48" RCCP AT RIZAL STREET</t>
  </si>
  <si>
    <t>Procurement of Supply &amp; Delivery of 64 heads Cattle (Typhoon Ursula)</t>
  </si>
  <si>
    <t>PB BAC1-20-006 SUPPLY AND DELIVERY OF VARIOUS CONSTRUCTION SUPPLIES - PABX –  FOR 2020</t>
  </si>
  <si>
    <t>INVITATION TO BID FOR VETERINARY DRUGS AND MEDICINES (BID NO. 200716-13)</t>
  </si>
  <si>
    <t>ITB20-5(infra)</t>
  </si>
  <si>
    <t>FLU VACCINATION</t>
  </si>
  <si>
    <t>Office Supplies-PNP</t>
  </si>
  <si>
    <t>PURCHASE OF MINI DUMPTRUCK</t>
  </si>
  <si>
    <t>20HG0176 - Construction/Rehabilitation of Water Supply/Septage and Sewerage/Rain Water Collectors – Rain Water Collectors in Public Facilities at (1) Obo ES, Dalaguete, (2) Cangcabalong ES, Dalaguete,</t>
  </si>
  <si>
    <t>INVITATION TO BID FOR OIL AND LUBRICANTS (BID NO. 200716-11)</t>
  </si>
  <si>
    <t>PB BAC1-20-007 SUPPLY AND DELIVERY OF VARIOUS CONSTRUCTION SUPPLIES - CARPENTRY –  FOR 2020</t>
  </si>
  <si>
    <t>Sand And Gravel</t>
  </si>
  <si>
    <t>Supply and Delivery of Various Spare Parts for Heavy Equipment</t>
  </si>
  <si>
    <t>Disaster Equipments</t>
  </si>
  <si>
    <t>20GKG0029 (PR No. 20-06-088)- Procurement of Construction Materials and Supplies for use in the Construction of  DPWH Materials Quality Control Building, DPWH-Lanao del Norte 1st District Engineering</t>
  </si>
  <si>
    <t>PROCUREMENT OF THREE (3) UNIT PRINTER AND THREE (3) UNITS AUTOMATIC VOLTAGE REGULATOR FOR LEGAL DIVISION</t>
  </si>
  <si>
    <t>INVITATION TO BID FOR LABORATORY REAGENTS AND CHEMICALS (BID NO. 200716-12)</t>
  </si>
  <si>
    <t>Supply and Delivery, Installation and Commissioning of a Web Based Total Information Systems Management with Citizen Mobile App (Phase 2)</t>
  </si>
  <si>
    <t>Procurement of 46,700 bottles Rifampicin 200mg/5ml (REBID)</t>
  </si>
  <si>
    <t>ROAD IMPROVEMENT ALONG BATONG BUHAY TO COLAYO FMR</t>
  </si>
  <si>
    <t>Procurement of Supply &amp; Delivery of Piglets (Typhoon Ursula)</t>
  </si>
  <si>
    <t>INVITATION TO BID FOR COMPUTER SUPPLIES AND MATERIALS (BID NO. 200716-15)</t>
  </si>
  <si>
    <t>One (1) Job Order for the Supply of Labor and Materials for Construction of Perimeter Fence at Brgy. Bunga, Mambusao, Capiz</t>
  </si>
  <si>
    <t>(VJLN - KMD) DEVELOPMENT OF WEBSITE AND MOBILE APPLICATION FOR E-PUBLICATION AND PCC KNOWLEDGE PRODUCTS</t>
  </si>
  <si>
    <t>CONCRETING OF BRGY. SAN PEDRO APARTADO FMR, BRGY. SAN PEDRO APARTADO, ALCALA, PANGASINAN</t>
  </si>
  <si>
    <t>INVITATION TO BID FOR OFFICE SUPPLIES AND MATERIALS (BID NO. 200716-14)</t>
  </si>
  <si>
    <t>Procurement of ICT Equipment for the use of Different Offices</t>
  </si>
  <si>
    <t>CONSTRUCTION OF SLF SORTING AREA</t>
  </si>
  <si>
    <t>SUPPLY AND DELIVERY OF MATERIALS TO BE USED FOR THE INSTALLATION OF STREET LIGHTS, DIFFERENT SITIOS</t>
  </si>
  <si>
    <t>Procurement of Supply &amp; Delivery of Goat (Typhoon Ursula)</t>
  </si>
  <si>
    <t>SNACKS-MCO-GAD</t>
  </si>
  <si>
    <t>CY 2019 Repair/Rehabilitation of Department of Education  Regional Office VI, Duran Street, Iloilo City (Rebid)</t>
  </si>
  <si>
    <t>PROCUREMENT OF HARDWARE MATERIALS FOR REHABILITATION OF EXISTING BUSANAMCO RATTAN PROCESSING CENTER AT BARANGAY BUNGA, LANUZA, SURIGAO DEL SUR</t>
  </si>
  <si>
    <t>Installationof Streetlights( Fronting &amp; Beside Mun. BLDG. &amp; DENR Bldg.)</t>
  </si>
  <si>
    <t>20CB-GSC-352 PURCHASE OF GENERAL MERCHANDISE</t>
  </si>
  <si>
    <t>Supply and Delivery of Materials, Labor, Tools and Equipment including  				  Supervision for the Proposed Construction of National Child   Development Center</t>
  </si>
  <si>
    <t>Construction of Drainage System ( Back side of Mun. Building), Brgy. Tabucan, Barotac Nuevo, Iloilo</t>
  </si>
  <si>
    <t>SUPPLY&amp; DELIVERYOFONE(1) UNITBRANDNEWSIXWHEELER DUMPTRUCKOF BARANGAYPAKNAAN</t>
  </si>
  <si>
    <t>Purchase of Materials for Construction of Multi-Purpose Pavement Phase 1</t>
  </si>
  <si>
    <t>Supply and Installation of Solar Streetlights at Brgy. Poblacion, Tolosa, Leyte</t>
  </si>
  <si>
    <t>Supply and Installation of Military, Police and Security Equipment</t>
  </si>
  <si>
    <t>CONSTRUCTION OF TWO (2) BARREL RCBC W/ CONCRETE SLOPE PROTECTION (BGY. MAGSAYSAY, MUNICIPALITY OF DUMARAN, PALAWAN)</t>
  </si>
  <si>
    <t>REHABILITATION OF MAGBABADIL BRIDGE I (BGY. MABINI, ABORLAN, PALAWAN)</t>
  </si>
  <si>
    <t>Gasoline-MCO-GAD</t>
  </si>
  <si>
    <t>Proposed Road Concreting in Sitio Ocao - Barangay Takay, Sogod, Cebu</t>
  </si>
  <si>
    <t>Roof and Grills of the Paglaum Building ( Jalaud), Brgy. Jalaud, Barotac Nuevo, Iloilo</t>
  </si>
  <si>
    <t>Proposed Road Concreting in Sitio Bontilao - Liki, Sogod, Cebu</t>
  </si>
  <si>
    <t>Purchase and Installation Surveillance Camera</t>
  </si>
  <si>
    <t>SUPPLY AND DELIVERY OF FUEL, OIL AND LUBRICANTS FOR THE REHABILITATION/ IMPROVEMENT OF LOCAL ROADS, MUNICIPAL WIDE ROXAS, PALAWAN</t>
  </si>
  <si>
    <t>BUNDY CLOCK</t>
  </si>
  <si>
    <t>Procurement of Supply &amp; Delivery of 56 heads Caracows (Typhoon Ursula)</t>
  </si>
  <si>
    <t>Procurement of Airconditioning and Cabinets for TNHS &amp; GHS</t>
  </si>
  <si>
    <t>Supply of 20 lb Packing 1/2"</t>
  </si>
  <si>
    <t>Procurement and Delivery of Construction Supplies and Materials for the Concreting of Cesar-Calawag Road</t>
  </si>
  <si>
    <t>Supply of 48 pieces Mechanical Shaft Seal (single spring)</t>
  </si>
  <si>
    <t>Supply &amp; Delivery of Materials for the  Concrete Pavement and Repair of Drainage Canal –  Puerto Galera National High School</t>
  </si>
  <si>
    <t>EXPENSES   ON  UGNAYAN SA BARANGAY; SPECIAL LAW MEDICAL AND DENTAL MISSION, TRAINING SEMINAR  OF BARANGAY TANOD,MONTHLY MEETING OF ADAC/MADAC/BARANGAY VISITATION</t>
  </si>
  <si>
    <t>Purchase of Passenger Van</t>
  </si>
  <si>
    <t>Emergency Purchase o in response to covid19 dswd Office 33A</t>
  </si>
  <si>
    <t>Supply of one (1) unit Multi-parameter Meter</t>
  </si>
  <si>
    <t>Supply of eight (8) units Thermocouple Thermometer Two Channel Thermometer</t>
  </si>
  <si>
    <t>Supply and Delivery of Construction Materials for the Repair of ENS MAJINI Pier Phase-III</t>
  </si>
  <si>
    <t>REPRESENTATION  EXPENSES OF THE MAYOR</t>
  </si>
  <si>
    <t>Procurement of Supply &amp; Delivery of Native Chicken (Typhoon Ursula)</t>
  </si>
  <si>
    <t>“EVENT MANAGEMENT - VENUE RENTAL, FOOD AND ACCOMMODATION”</t>
  </si>
  <si>
    <t>CONCRETING OF BRGY. TUMANA WEST FMR, BRGY. TUMANA WEST, ROSALES, PANGASINAN</t>
  </si>
  <si>
    <t>Procurement of 600 bottles Immersion Oil</t>
  </si>
  <si>
    <t>PROCUREMENT / INSTALLATION OF REPEATER ANTENNA ( HANDHELD RADIO )</t>
  </si>
  <si>
    <t>Procurement of 42 set CD4 Machine Control (Rebid)</t>
  </si>
  <si>
    <t>Supply and Delivery of School Equipment</t>
  </si>
  <si>
    <t>One (1) Lot Information and Technology</t>
  </si>
  <si>
    <t>Construction of Administrative Office at Palo National High School</t>
  </si>
  <si>
    <t>Procurement of 1,700 pcs. Etonogestrel Subdermal Implant</t>
  </si>
  <si>
    <t>CONSTRUCTION OF TWO (2) STOREY, FOUR (4) CLASSROOM SCHOOL BUILDING, MABURAC ELEMENTARY SCHOOL, AT VILLASIS, PANGASINAN</t>
  </si>
  <si>
    <t>One (1) Lot Provision of Security Services for 2020 (August-December)</t>
  </si>
  <si>
    <t>Supply and On Site Delivery of Farm Machineries</t>
  </si>
  <si>
    <t>PB BAC1-20-008 SUPPLY AND DELIVERY OF VARIOUS CONSTRUCTION SUPPLIES - PAINTING  FOR 2020</t>
  </si>
  <si>
    <t>One (1) Lot Laboratory Equipment</t>
  </si>
  <si>
    <t>Procurement of Various Drugs/Medicines to be used during emergencies and disasters</t>
  </si>
  <si>
    <t>Fabrication &amp; Installation of Basketball Goal at Mohon Sports Complex</t>
  </si>
  <si>
    <t>LABOR AND MATERIALS FOR THE CONSTRUCTION OF MUNICIPAL AGRICULTURE OFFICE AT POBLACION,BADIAN,CEBU</t>
  </si>
  <si>
    <t>PROCUREMENT OF PROFESSIONAL CONSULTING SERVICE FOR THE CONDUCT OF FEASIBILITY STUDY ON THE SOLID WASTE MANAGEMENT FACILITY (LGU SANITARY LANDFILL) FOR LOCAL GOVERNMENT UNIT-CLUSTER (LGU CLUSTER)</t>
  </si>
  <si>
    <t>Procurement of 528,635 cap. Cefalexin 500mg capsule</t>
  </si>
  <si>
    <t>REHABILITATION OF FENCE (SOUTH SIDE) AT LAMAO ELEMENTARY SCHOOL</t>
  </si>
  <si>
    <t>Office supplies and other consumables</t>
  </si>
  <si>
    <t>Construction of Pagsanaan Sur Post Harvest Facility</t>
  </si>
  <si>
    <t>20GKG0031 (PR No. 20-06-090)- Procurement of Construction Materials and Supplies for use in the Repair/Reconstruction of of DAR Office Building, Sapad, Lanao del Norte</t>
  </si>
  <si>
    <t>PROJECT 2 – Procurement and Delivery of Various Medical Equipment for the use of District Hospitals in Region 1</t>
  </si>
  <si>
    <t>Emergency Purchase in response to covid19 dswd Office 39Af</t>
  </si>
  <si>
    <t>Construction of Slope Protection at Manzante Beach Road Adjacent to Farmlands</t>
  </si>
  <si>
    <t>Procurement of 3,061 kits Hygiene Kit</t>
  </si>
  <si>
    <t>Repair and Maintenance of Various Heavy Equipment</t>
  </si>
  <si>
    <t>PROJECT 1 - Procurement and Delivery of Various Medical Equipment for the use of Rural Health Unit (RHU) in Region 1</t>
  </si>
  <si>
    <t>Procurement of 433 pcs. Advocacy Jacket, reversible</t>
  </si>
  <si>
    <t>Supply and Delivery of Various Audio and Visual  Accessories</t>
  </si>
  <si>
    <t>Drugs and Medicines-MHO TF MCP</t>
  </si>
  <si>
    <t>Procurement of 1,091 cannister Effervescent Chlorine Tablet 1.7 g</t>
  </si>
  <si>
    <t>Procurement of Office Supplies Intended for the 3rd Quarter of CY 2020</t>
  </si>
  <si>
    <t>20CG0142 - Local Infrastructure Program: Multipurpose/ Facilities – Construction of Multi-Purpose Building (Evacuation Center), Brgy. Plazang Luma, Arayat, Pampanga</t>
  </si>
  <si>
    <t>SUPPLY &amp; DELIVERY OF CONSTRUCTION MATERIALS AND SUPPLIES</t>
  </si>
  <si>
    <t>20CG0144 - Construction/ Repair/ Rehabilitation/ Improvement of Various Infrastructure including Local Projects: Multi-purpose/ Facilities – Construction of Multi-Purpose Building Sindalan, San Fernan</t>
  </si>
  <si>
    <t>LABOR AND MATERIALS FOR THE CONSTRUCTION OF MUNICIPAL WAREHOUSE AT POBLACION,BADIAN,CEBU</t>
  </si>
  <si>
    <t>Emergency Purchase in response to covid19 mayor's Office 42A</t>
  </si>
  <si>
    <t>PB BAC1-20-010 SUPPLY AND DELIVERY OF VARIOUS CONSTRUCTION SUPPLIES – MECHANICAL/CMGVS - FOR 2020</t>
  </si>
  <si>
    <t>PURCHASE OF CONSTRUCTION MATERIALS FOR REPAIR AND MAINTENANCE OF ROAD SAFETY FACILITIES</t>
  </si>
  <si>
    <t>Supply and Delivery of Acrylic name plate, information holder, wall displayer, wall clock, white board, glass board magnetic, white board wall mount.</t>
  </si>
  <si>
    <t>Emergency Purchase in response to covid19 mayor's Office 38A</t>
  </si>
  <si>
    <t>20GKG0030 (PR No. 20-06-089)- Procurement of Construction Materials and Supplies for use in the Construction of DPWH Building Praying Center , DPWH-Lanao del Norte 1st District Engineering Office, 005</t>
  </si>
  <si>
    <t>SUPPLY AND DELIVERY OF DAY CARE PRE-SCHOOLER SUPPLIES</t>
  </si>
  <si>
    <t>20GKG0032 (PR No. 20-06-091)- Procurement of Construction Materials and Supplies for use in the Construction of DPWH Building Guardhouse, 0054 Seminary Drive , Del Carmen, Iligan City</t>
  </si>
  <si>
    <t>CONTRACT ID: 20-06-088- PROCUREMENT OF VARIOUS DRUGS AND MEDICINES</t>
  </si>
  <si>
    <t>REPAIR/IMPROVEMENT OF NFA PROVINCIAL OFFICE INCLUDING CONSTRUCTION FOR ONE SEPTIC VAULT, SELECTIVE REPAIR &amp; REPLACEMENT OF G.I. CORRUGATED ROOF, GUTTER, FASCIA COVER, DOWNSPOUT AND CATCH BASIN GRILL A</t>
  </si>
  <si>
    <t>Procurement of Civil works for the Electical Lighting at Rizal Park, Municipal Compound Poblaion A, Mlang, Cotabato.</t>
  </si>
  <si>
    <t>INVITATION TO BID FOR  SUPPLY, DELIVERY, INSTALLATION, TESTING AND COMMISSIONING OF MEDICAL EQUIPMENT FOR FY2020</t>
  </si>
  <si>
    <t>Construction of Mango Processing Center</t>
  </si>
  <si>
    <t>IMPROVEMENT / REHABILITATION OF DAY CARE CENTER</t>
  </si>
  <si>
    <t>Procurement of Flexible Learning and Working Arrangement Supplies and Equipment for Digital Infrastructure (Rebidding)</t>
  </si>
  <si>
    <t>REHABILITATION OF FENCE (NORTH SIDE) AT LAMAO ELEMENTARY SCHOOL</t>
  </si>
  <si>
    <t>20GL00008; P.R. No. 2020-05-057 DATED 05/26/2020: PROCUREMENT OF VARIOUS CONSTRUCTION SUPPLIES &amp; MATERIALS, FOR USE IN THE CONVERSION OF U.P. MINDANAO MULTI-PURPOSE HUMAN KINETICS BUILDING, BAGO OSHIR</t>
  </si>
  <si>
    <t>CCTV EQUIPMENT AND ACCESORIES</t>
  </si>
  <si>
    <t>Conduct of  Surface and Subsurface Geological and Geotechnical Investigation of OCAMPO SRIP (rebid), Ocampo, Camarines Sur</t>
  </si>
  <si>
    <t>OFFICE SUPPLIES 1ST &amp; 2ND QUARTER</t>
  </si>
  <si>
    <t>Emergency Purchase in response to covid19 mdrrmOffice 40A</t>
  </si>
  <si>
    <t>20CG0147 - Local Infrastructure Program: Multipurpose/ Facilities – Rehabilitation/ Improvement of Multi – Purpose Building (Covered Court) Bulaon Resettlement Center, Brgy. Bulaon, San Fernando City,</t>
  </si>
  <si>
    <t>IMPROVEMENT OF MULTI-PURPOSE SITE (NUEVA MONTANA)</t>
  </si>
  <si>
    <t>20GFH0012 SUPPLY AND DELIVERY OF SPARE PARTS FOR USE IN THE REPLACEMENT OF WORN-OUT PARTS OF SERVICE VEHICLE ASSIGNED  IN THE DPWH-PLANNING &amp; DESIGN SECTION, VIRAC, CATANDUANES (PR#20-05-021 DATED 5/2</t>
  </si>
  <si>
    <t>20GFH0014 - SUPPLY AND DELIVERY OF TIRES FOR USE IN THE OPERATION OF SERVICE VEHICLE NISSAN NAVARA FI-X700, NISSAN NAVARA FI-X440, ALTERA NJQ-720 AND TOYOTA HI-LUX POA 227, DPWH SAN ISIDRO VILLAGE, VI</t>
  </si>
  <si>
    <t>20CG0146 - Construction/ Repair/ Rehabilitation/ Improvement of Various Infrastructure Including Local Projects: Multipurpose/ Facilities – Rehabilitation of Multi-Purpose Buildings, Del Carmen and Al</t>
  </si>
  <si>
    <t xml:space="preserve">Purchase of Materials (Nylon Line) to be used in the Maintenance activities, vegetation control  (grass cutters) along various national roads within Laguna I District Engineering Office,  Santa Cruz, </t>
  </si>
  <si>
    <t>INVITATION TO BID FOR THE PROCUREMENT OF MATERIALS FOR PUBLIC BUILDING MAINTENANCE</t>
  </si>
  <si>
    <t>Emergency Purchase in response to covid19 mayor's Office 41A</t>
  </si>
  <si>
    <t>20CG0145 - Local Infrastructure Program: Multipurpose/ Facilities – Construction and /or Repair/ Rehabilitation of Multi-Purpose Building, Telebastagan Integrated School, City of San Fernando, Pampang</t>
  </si>
  <si>
    <t>Re-Bidding of Supply and Delivery of Various Medical and Hospital Supplies for January 1 to December 31, 2020</t>
  </si>
  <si>
    <t>20CG0143 - Local Infrastructure Program: Multipurpose/ Facilities – Construction of Multi-Purpose Building, Brgy. Bulacus Masantol, Pampanga</t>
  </si>
  <si>
    <t>INSTALLATION OF SOLAR STREETLIGHTING AT BONOTBONOT, BUENAVISTA, BOHOL</t>
  </si>
  <si>
    <t>20GFH0013 - SUPPLY AND DELIVERY OF LUBRICANTS &amp; SPARE PARTS/MAINTENANCE OF SPARE PARTS FOR USE IN THE OPERATION OF ISUZU DMAX H1-5515, L300 VAN HI-6548, TOYOTA HI-LUX (POA 217) AND TOYOTA HI-LUX (PON</t>
  </si>
  <si>
    <t>INSTALLATION OF ELECTRICAL LINES FOR WATER WORKS SYSTEM AT SITIO CENTRO, BRGY. MAPULO -001</t>
  </si>
  <si>
    <t>QUOTATION nO. 20-06-0355 - Procurement of Ceftriaxone 1g+10ml diluent</t>
  </si>
  <si>
    <t>20HC0182- CONSTRUCTION &amp; IMPROVEMENT OF THE MUNICIPAL HALL OF SAN MIGUEL, BOHOL</t>
  </si>
  <si>
    <t>Purchase of Tires to be used in the Service Vehicles of Maintenance Section of Laguna I District Engineering Office, Santa Cruz, Laguna</t>
  </si>
  <si>
    <t>CONTRACT ID: 19-12-272 2ND REBID-PROCUREMENT OF VARIOUS LABORATORY REAGENTS, MEDICAL DEVICES, DENTAL SUPPLIES AND INSTRUMENTS</t>
  </si>
  <si>
    <t>Supply &amp; Delivery of Trash Racks and Intake Gates for Gandiangan SIP</t>
  </si>
  <si>
    <t>CONSTRUCTION OF VARIOUS INFRASTRUCTURE PROJECTS FOR THE CITY OF NAVOTAS UNDER OTHER INFRASTRUCTURE ASSETS</t>
  </si>
  <si>
    <t>20CG0148 - Local Infrastructure Program: Buildings and Other Structures – Multipurpose/ Facilities – Construction of Multi-Purpose Covered San Matias, Sto. Tomas, Pampanga</t>
  </si>
  <si>
    <t>Procurement of Catering Services for the 4th Level Training of the 2020 Census of Population and Housing (2020 CPH) of PSA Region 7 – Reposting (Failed Items)</t>
  </si>
  <si>
    <t>SANGGUNIANG KABATAAN MOBILE SCHOOL</t>
  </si>
  <si>
    <t>20CG0150 - Local Infrastructure Program: Multipurpose/ Facilities – Construction/ Rehabilitation of Multi-Purpose Building, Brgy. San Pedro, Minalin, Pampanga</t>
  </si>
  <si>
    <t>Supply &amp; Delivery of  Construction Equipment for   Sibuguey Valley Irrigation System, Bayog, Zamboanga del Sur</t>
  </si>
  <si>
    <t>PURCHASE OF MOBILE CLINIC</t>
  </si>
  <si>
    <t>Construction of Two Public Restroom and Urinals in Support to Sanitation Program</t>
  </si>
  <si>
    <t>Purchase of Paint Materials  to be used in the Maintenance  activities, (repainting of traffic  safety devices, bridge and road markings) of DPWH- Laguna I District Engineering Office, Santa Cruz, Lag</t>
  </si>
  <si>
    <t>Repair of transmission lines and distribution mains</t>
  </si>
  <si>
    <t>20CG0149 - Local Infrastructure Program: Multipurpose/ Facilities – Construction of Multi-Purpose Building, Sta. Monica Elementary School, Brgy. Sta. Monica, San Luis, Pampanga</t>
  </si>
  <si>
    <t>20CG0151 - Local Infrastructure Program: Multipurpose/ Facilities – Construction of Multi-Purpose Building (Covered Court) San Jose Malino, Mexico, Pampanga</t>
  </si>
  <si>
    <t>RE-BID: Supply and Delivery of Five Thousand Five Hundred (5,500) Ltrs. Gasoline and Fifty-Two  Thousand (52,000) Ltrs. Diesel for next six (6) months or from July 2020 to December 2020 and with a pro</t>
  </si>
  <si>
    <t>Procurement of Supply &amp; Delivery of Various Fertilizers (Rebid)</t>
  </si>
  <si>
    <t>SECURITY SERVICES</t>
  </si>
  <si>
    <t>20CG0153 - Local Infrastructure Program: Multipurpose/ Facilities – Construction of Multi-Purpose Building (Covered Court) Brgy. Calibutbut, Bacolor, Pampanga</t>
  </si>
  <si>
    <t>Construction of Two (2) Storey, Four (4) Classrooms School Building, Cal-litang Elmentary School at Sta. Maria, Pangasinan</t>
  </si>
  <si>
    <t>CONSTRUCTION OF RAILINGS</t>
  </si>
  <si>
    <t>INVITATION TO BID FOR THE PROCUREMENT OF LABOR &amp; MATERIALS FOR THE PROJECT OF CONSTRUCTION FOR KABANGKALAN ELEM. SCHOOL MULTI-PURPOSE HALL, LOCATED @ SCHOOL SITE, KABANGKALAN ELEM. SCHOOL, CASOON, MON</t>
  </si>
  <si>
    <t>Supply and Delivery of Laptops to be Used by Department of Education</t>
  </si>
  <si>
    <t>(SBMA-BAC-GOODS-ITB-09-20) SBMA MOTOROLA TRUNKED RADIO COMMUNICATION SYSTEM UPGRADE</t>
  </si>
  <si>
    <t>Purchase of Hygienic Materials for Employees of DPWH- Laguna I District Engineering Office, Santa Cruz, Laguna</t>
  </si>
  <si>
    <t>20HM0091- Capital Outlay – Construction/Rehabilitation of Water Supply/Septage and Sewerage/Rain Water Collectors – Rain Water Collectors in Public Facilities – Region VII</t>
  </si>
  <si>
    <t>Construction/ Rehabilitation of Drainage Canal and Concrete Cover</t>
  </si>
  <si>
    <t>Spare Parts and Motor Vehicles</t>
  </si>
  <si>
    <t>20CG0155 - Local Infrastructure Program: Local Roads – Concreting of Brgy. Road, Batasan, Arayat, Pampanga</t>
  </si>
  <si>
    <t>RIPRAPPING AT GOVERNMENT CENTER (PHASE II)</t>
  </si>
  <si>
    <t>20CG0152 - Local Infrastructure Program: Multipurpose/ Facilities – Construction of Multi-Purpose Building, Brgy. San Juan, San Luis, Pampanga</t>
  </si>
  <si>
    <t>20FO0101 - Construction of Multi-Purpose Building, Albay Provincial Hospital, Out Patient Dept., Ligao, Albay</t>
  </si>
  <si>
    <t>Supply and Delivery of 14 Units Laptop, Intel Core i5-7200 for the Municipality of Binangonan</t>
  </si>
  <si>
    <t>RIPRAPPING OF AMBOLONG CREEK</t>
  </si>
  <si>
    <t>NEGOTIATED PROCUREMENT ON THE PROVISION OF LABOR, MATERIALS, EQUIPMENT AND OTHER INCIDENTALS NEEDED FOR THE REHABILITATION/IMPROVEMENT OF BUNGRO DIVERSION DAM (DD) AT BRGY. BUNGRO, PINILI, ILOCOS NORT</t>
  </si>
  <si>
    <t>20CG0154 - Local Infrastructure Program: Local Roads – Improvement/ Rehabilitation of Brgy. Road, Laug Mexico, Pampanga</t>
  </si>
  <si>
    <t>NEGOTIATED PROCUREMENT ON THE PROVISION OF LABOR, MATERIALS, EQUIPMENT AND OTHER INCIDENTALS NEEDED FOR THE REHABILITATION/IMPROVEMENT OF SAMAC SMALL WATER IMPOUNDING PROJECT (SWIP) AT BRGY. SAMAC, SA</t>
  </si>
  <si>
    <t xml:space="preserve">NEGOTIATED PROCUREMENT ON THE PROVISION OF LABOR, MATERIALS, EQUIPMENT AND OTHER INCIDENTALS NEEDED FOR THE IMPROVEMENT OF NAGTRIGOAN SMALL WATER IMPOUNDING PROJECT (SWIP) AT BRGY. NAGTRIGOAN PINILI, </t>
  </si>
  <si>
    <t>20CG0156 - Construction/ Repair/ Rehabilitation/ Improvement of Various Infrastructure Including Local Projects: Local Roads – Construction of Buensuceso Road, Buensuceso Arayat, Pampanga</t>
  </si>
  <si>
    <t>Installation of CCTV Cameras with Wireless AutoMesh Technology (Phase V)</t>
  </si>
  <si>
    <t>INVITATION TO BID FOR THE PROCUREMENT OF IT EQUIPMENT</t>
  </si>
  <si>
    <t>20GFO0016 - Purchase of Fuel to be Used in Various Equipments/Service Vehicles Assigned at Albay 3rd DEO for the 2nd &amp; 3rd Quarters, CY 2020</t>
  </si>
  <si>
    <t>RE-POST: Rehabilitation of Footbridge at Purok 4, Brgy. Buhangin, Butuan City</t>
  </si>
  <si>
    <t>INVITATION TO BID FOR THE REPAIR OF POST-HARVEST FACILITIES BUILDING IN NAVAL, BILIRAN</t>
  </si>
  <si>
    <t>Installation of Lighting System at Visitacion</t>
  </si>
  <si>
    <t>Construction of Drainage canal</t>
  </si>
  <si>
    <t>20CG0157 - Bridge Program – Replacement of Permanent Weak Bridge Mexico Br. (B01478LZ) along Jose Abad Santos Ave. (JASA) Rd., Mexico, Pampanga</t>
  </si>
  <si>
    <t>20FO0102 - Repair/Maintenance of Road Safety Facilities along Daang Maharlika, Albay West Coast Road, Ligao-Pioduran Road, and Dancalan-Sta. Cruz, Donsol-Pioduran Road</t>
  </si>
  <si>
    <t>Expansion/Installation of Wireless Automesh Infrastructure and Video Surveillance System (Phase IV)</t>
  </si>
  <si>
    <t>Contract ID: 20-06-090- PROCUREMENT OF INFORMATION TECHNOLOGY AND PERIPHERALS</t>
  </si>
  <si>
    <t>Procurement og Meals and Snacks</t>
  </si>
  <si>
    <t>PROCUREMENT OF FORTY (40) PIECES PRISMATIC DIFFUSER 2.7mmx24”x48” FOR PNR EXECUTIVE BUILDING USE</t>
  </si>
  <si>
    <t>Purchase of CCTV System for use at the PNP Station and Municipal Town Hall</t>
  </si>
  <si>
    <t>SUPPLY &amp; DELIVERY OF COMMON USED OFFICE  SUPPLIES, 1ST QUARTER, CY 2020, LGU, Bayombong, Nueva Vizcaya</t>
  </si>
  <si>
    <t>Procurement of Fuel &amp; Lubricants (Covid-19 Response)</t>
  </si>
  <si>
    <t>Construction of Community Activity Center (Negotiated)</t>
  </si>
  <si>
    <t>Invitation to Bid for  Supply and Delivery of Various uPVC Pipes for Service Expansion Project 2020</t>
  </si>
  <si>
    <t>Supply and Delivery of Tablets to be Used by Department of Education</t>
  </si>
  <si>
    <t>Construction of Bulacan Birthing Facility</t>
  </si>
  <si>
    <t>PROCUREMENT OF VARIOUS OFFICE EQUIPMENT FOR THE OPERATIONS DEPARTMENT</t>
  </si>
  <si>
    <t>Supply and Delivery of Tires and Batteries</t>
  </si>
  <si>
    <t>Fuel and Lubricants for the Road Opening of Mabini Barangay Road (P/ Ipil-ipil to P/Sibucao), Mabini,  R. T. Lim, Zamboanga Sibugay</t>
  </si>
  <si>
    <t>CONSTRUCTION OF 2 UNITS DEEP WELL</t>
  </si>
  <si>
    <t>Invitation to Bid for  Supply and Delivery of Various Fittings for Pipelines Service Expansion 2020</t>
  </si>
  <si>
    <t>CID No. 20GI00002 - Purchase/Delivery/Installation of RTIA Traffic Count Equipment of Planning Section, Planning and Design Division, DPWH Regional Office VIII, Baras, Palo, Leyte</t>
  </si>
  <si>
    <t>20BG0120 - Local Infrastructure Program – Local Roads – Concreting of Brgy. Dimalicu-lico, Palanan, Isabela</t>
  </si>
  <si>
    <t>Invitation to Bid for   Supply, Delivery and Commissioning  of  One (1) unit Brand New Portable Air Compressor</t>
  </si>
  <si>
    <t>Procurement of ICT Supplies and Equipment</t>
  </si>
  <si>
    <t>Supply of Labor, Equipment and Restoration Materials for the Installation, Testing and Commissioning of 250mm Dia. Transmission Line along Amulung Solana Road, Centro, Solana, Cagayan (Calamagui Upgra</t>
  </si>
  <si>
    <t>Supply, Delivery and Commissioning  of  One (1) unit Brand New Portable Generator Set</t>
  </si>
  <si>
    <t>20GFC0011: Purchase of Materials for the Fabrication of Road Right-of-Way Marker, Primary and Secondary National Road, Sta. Elena – Basud, Camarines Norte</t>
  </si>
  <si>
    <t>Hire of Vehicle for Various DSWD-CAR Activities to All Provinces of Cordillera Administrative Region (CAR) from August to December 2020</t>
  </si>
  <si>
    <t>PROCUREMENT OF FOUR (4) PIECES TIRES 235/70 R15 FOR REPLACEMENT OF OLD TIRES OF SERVICE VEHICLE ISUZU CROSSWIND CN6155</t>
  </si>
  <si>
    <t>SUPPLY OF LABOR, EQUIPMENT AND RESTORATION MATERIALS FOR THE INSTALLATION, TESTING AND COMMISSIONING OF 250MM DIA. TRANSMISSION LINE ALONG AMULUNG SOLANA ROAD, BASI, SOLANA, CAGAYAN (CALAMAGUI UPGRADI</t>
  </si>
  <si>
    <t>Dumping Fee of Municipal Waste</t>
  </si>
  <si>
    <t>Purchase of Office Equipment Supplies and Consumables</t>
  </si>
  <si>
    <t>CONSTRUCTION OF MRF</t>
  </si>
  <si>
    <t>PROCUREMENT OF MATERIALS FOR THE CONSTRUCTION OF 26 UNITS SANITARY LATRINE</t>
  </si>
  <si>
    <t>20GFC0015: Regravelling of Roadway along Sta. Elena – Capalonga By-Pass Coastal Road (Section 3), Regravelling of Roadway along Sta. Elena – Capalonga By-Pass Coastal Road (Section 3)</t>
  </si>
  <si>
    <t>Invitation to Bid for  PROVISION OF TWO-YEAR CONTRACT SECURITY SERVICES</t>
  </si>
  <si>
    <t>PB BAC1-20-009 SUPPLY AND DELIVERY OF VARIOUS CONSTRUCTION SUPPLIES - ELECTRICAL FOR 2020</t>
  </si>
  <si>
    <t>PURCHASE OF THREE DIGITAL DUPLICATORS (RISOGRAPHING MACHINES)</t>
  </si>
  <si>
    <t>REHABILITATION OF WATER SYSTEM</t>
  </si>
  <si>
    <t>20GFC0014: Regravelling of Shoulder along Daang Maharlika Road (K0294+500 – K0309+110), Brgy. Malatap, Labo, Camarines Norte</t>
  </si>
  <si>
    <t>REBIDDING ON THE PROVISION OF LABOR, MATERIALS, EQUIPMENT AND OTHER INCIDENTALS NEEDED FOR THE IMPROVEMENT OF NAGPATPATAN CANAL LINING AT BRGY. NAGPATPATAN, SOLSONA, ILOCOS NORTE</t>
  </si>
  <si>
    <t>Supply, Delivery and Installation of Air Conditioning Units</t>
  </si>
  <si>
    <t>PROCUREMENT OF VARIOUS SPARE PARTS FOR PNR ENGINEERING DEPARTMENT SERVICE TRUCK (ISUZU ELF) SHX 627 (ENGINE # 4JB1-NHR/ISUZO ELF TRUCK DROPSIDE/4 WHEELS)</t>
  </si>
  <si>
    <t>20GFC0012: Purchase of Spare Parts Accessories for Service Vehicle and Equipment, Purchase of Spare Parts Accessories for Service Vehicle and Equipment</t>
  </si>
  <si>
    <t>Procurement of Misting Machine for Dengue Prevention</t>
  </si>
  <si>
    <t>PROCUREMENT AND INSTALLATION OF SIX (6) SETS FLOOR MOUNTED 6HP AIRCON FOR THE VARIOUS PNR OFFICES</t>
  </si>
  <si>
    <t>PB BAC1-20-012 FOR THE SUPPLY AND DELIVERY OF VARIOUS CONSTRUCTION SUPPLIES –  REFRIGERATION &amp; AIRCON - FOR 2020</t>
  </si>
  <si>
    <t>PROCUREMENT OF ONE (1) LOT PROFESSIONAL/ CONSULTING SERVICE FOR THE CONDUCT OF WATER POLLUTION LOAD ASSESSMENT FOR SEVEN (7) RIVERS IN REGION III</t>
  </si>
  <si>
    <t>INVITATION TO BID FOR THE PROCUREMENT OF SUPPLY AND INSTALLATION OF VARIOUS EQUIPMENT AND FACILITIES</t>
  </si>
  <si>
    <t>PB BAC1-20-005 SUPPLY AND DELIVERY OF VARIOUS CONSTRUCTION SUPPLIES - BIOMEDICAL –  FOR 2020</t>
  </si>
  <si>
    <t>20GFC0013: Purchase of Maintenance Small Field Equipment, DPWH-CNDEO, Daet, Camarines Norte</t>
  </si>
  <si>
    <t>Procurement of Medicines for the Operations of the Rural Health Unit</t>
  </si>
  <si>
    <t>20EA0054 - Repainting of Mangamnan Bridges</t>
  </si>
  <si>
    <t>Procurement of Construction Materials for the Construction of Sanitary Latrine</t>
  </si>
  <si>
    <t>PB PUR20-02-0135 SUPPLY AND DELIVERY OF CHARGE SLIP AND STICK-ON LABEL FOR 2020</t>
  </si>
  <si>
    <t>20EA0053 - Application of Thermoplastic Pavement Markings along Marinduque Circumferential Road (S00001MQ), Dr. Damian Reyes Memorial Road (Boac Side) (S00029MQ), Dr. Damian Reyes Memorial Road (Torri</t>
  </si>
  <si>
    <t>PB BAC1-20-004 SUPPLY AND DELIVERY OF CHEMICALS AND REAGENTS – REAL TIME POLYMERASE CHAIN REACTION (RT-PCR) REAGENTS - CY 2020</t>
  </si>
  <si>
    <t>CONCRETING OF PROVINCIAL ROAD(Brgy. San Isidro, Tibiao, Antique)/IB. NO. K-2020-062(SC)</t>
  </si>
  <si>
    <t>Procurement of Various PPE and Laparatomy Packs for COVID-19 Patients Use</t>
  </si>
  <si>
    <t>CONSTRUCTION OF FLOOD CONTROL/RIVER WALL PROJECT (Sitio Camangahan, Brgy. Buluangan I, Valderrama, Antique)/IB. NO. K-2020-061(SC)</t>
  </si>
  <si>
    <t>PB BAC1-20-014 SUPPLY AND DELIVERY OF VARIOUS CONSTRUCTION SUPPLIES –  TRANSPORTATION - FOR 2020</t>
  </si>
  <si>
    <t>RIPRAPPING OF STEEP ROAD SIDE(Brgy. Codiong, Libertad, Antique)/IB. NO. K-2020-059(SC)</t>
  </si>
  <si>
    <t>Construction of three storey six classroom – Batia Elementary School, Bocaue, Bulacan</t>
  </si>
  <si>
    <t>Construction of Flood Control Structure along Bocaue River and Its Tributaries, Bunlo-Lolomboy Section, Bocaue, Bulacan</t>
  </si>
  <si>
    <t>Upgrading of Barangay Road, Brgy. Sta. Ines, Bulakan, Bulacan</t>
  </si>
  <si>
    <t>Package III: Construction of Multi-Purpose Hall, Barangay Balincaguing, San Felipe and Concreting of Purok 1 and 2, Barangay Paite, San Narciso</t>
  </si>
  <si>
    <t>Magnetic Stirrer and Heater; Vortex Mixer</t>
  </si>
  <si>
    <t>Goods 2020-01 - Procurement of Ambulance</t>
  </si>
  <si>
    <t>Concreting of Brgy. Tarcan FMR, Brgy. Tarcan, Baliuag, Bulacan</t>
  </si>
  <si>
    <t>PB BAC1-20-011 Supply and Delivery of Various Construction Supplies  PLUMBING - for 2020</t>
  </si>
  <si>
    <t>purchase of emergency vehicle</t>
  </si>
  <si>
    <t>Purchase of Brand New Mini Dump Truck, Mogpogf</t>
  </si>
  <si>
    <t>Construction of Brgy. S.M.H. Multi-Purpose Hall</t>
  </si>
  <si>
    <t>20DE0147 Concreting of Brgy. San Vicente FMR, Brgy. San Vicente, Bauan, Batangas</t>
  </si>
  <si>
    <t>Purchase of supplies and equipment for covid 19 operation</t>
  </si>
  <si>
    <t>Contract ID No.: 20GOE0013 - Procurement / Acquisition of Portable Weigh-In-Motion (WIM) Axle Weigher Set for NMDEO ATOME Operations</t>
  </si>
  <si>
    <t>20DE0146 Concreting of Brgy. San Jose Sico FMR, Brgy. San Jose Sico, Batangas City, Batangas</t>
  </si>
  <si>
    <t>Goods 2020-02 - Procurement of Dump Truck</t>
  </si>
  <si>
    <t>ITB NO. GOP/19-DSWD-058-A Supply and Delivery of Motor Vehicles for DSWD-Unconditional Cash Transfer (UCT) National Program Management Office (NPMO)</t>
  </si>
  <si>
    <t>ITB NO. GOP/20-DSWD-039 Provision of Multi-Year Contract for the Hiring of Service Provider for the Preventive Maintenance and Service Repair of Generator Sets of DSWD – Central Office (DSWD-CO) and N</t>
  </si>
  <si>
    <t>Design and Development of Intramuros Administration Integrated Information System</t>
  </si>
  <si>
    <t>20DE0145 Concreting of Brgy. Tulo FMR, Brgy. Tulo, Batangas City, Batangas</t>
  </si>
  <si>
    <t>Livelihood Assistance to Tricycle Drivers</t>
  </si>
  <si>
    <t>Construction of Proposed Slaughterhouse – San Teodoro</t>
  </si>
  <si>
    <t>Construction of Concrete Bridge  (2.0m x 40.0 ln.m. bridge with railings, 2.0m x 6.0 ln.m. x 0.15 thick PCCP  extended along the concrete bridge)</t>
  </si>
  <si>
    <t>Livelihood Assistance to Farmers in the form of Fertilizer</t>
  </si>
  <si>
    <t>IMPROVEMENT OF POB. WEST COMMUNAL IRRIGATION SYSTEM</t>
  </si>
  <si>
    <t>Rehabilitation of Local Access Road, Subec, Sta. Catalina, Ilocos Sur</t>
  </si>
  <si>
    <t>INVITATION TO BID FOR CONSTRUCTION OF MULTI PURPOSE BUILDING – BRGY. NARRA</t>
  </si>
  <si>
    <t>Construction of Sanitary Toilet &amp; Hygiene Facility, Poblacion, Sta. Catalina, Ilocos Sur</t>
  </si>
  <si>
    <t>INVITATION TO BID FOR CONSTRUCTION OF MULTI PURPOSE BUILDING – BRGY. LADIA</t>
  </si>
  <si>
    <t>INVITATION TO BID FOR CONSTRUCTION OF MULTI PURPOSE BUILDING – BRGY. BANATIN</t>
  </si>
  <si>
    <t>Construction of Water Tank</t>
  </si>
  <si>
    <t>Local Bridges in Logohon-Singay, Brgy. Logohon and Singay, Madalag, Aklan</t>
  </si>
  <si>
    <t>Construction Materials - Repair and Extension of Barangay Hall for VAWC Office and Tanod Outpost</t>
  </si>
  <si>
    <t>INVITATION TO BID FOR CONSTRUCTION OF MULTI PURPOSE BUILDING – BRGY. DARUGAO</t>
  </si>
  <si>
    <t>INVITATION TO BID FOR CONSTRUCTION OF MULTI PURPOSE BUILDING – BRGY. BUGCASAN NORTE</t>
  </si>
  <si>
    <t>INVITATION TO BID FOR CONSTRUCTION OF MULTI PURPOSE BUILDING – BRGY. MATAYA</t>
  </si>
  <si>
    <t>INVITATION TO BID FOR CONSTRUCTION OF MULTI PURPOSE BUILDING – BRGY. SAPAD</t>
  </si>
  <si>
    <t>INVITATION TO BID FOR CONSTRUCTION OF MULTI PURPOSE BUILDING – BRGY. GANG</t>
  </si>
  <si>
    <t>IMPROVEMENT OF MATEDTED-BANAY FMR</t>
  </si>
  <si>
    <t>Procurement of Various Drugs and Medicines</t>
  </si>
  <si>
    <t>INVITATION TO BID FOR CONSTRUCTION OF MULTI PURPOSE BUILDING – BRGY. NANGI</t>
  </si>
  <si>
    <t>CONSTRUCTION OF BANAY BRIDGE</t>
  </si>
  <si>
    <t>IMPROVEMENT OF NAGDAINGAN-ISSAYOT FMR</t>
  </si>
  <si>
    <t>INVITATION TO BID FOR CONSTRUCTION OF MULTI PURPOSE BUILDING – BRGY. CENTRAL LANGCONG</t>
  </si>
  <si>
    <t>INVITATION TO BID FOR CONSTRUCTION OF MULTI PURPOSE BUILDING – BRGY. MINABAY</t>
  </si>
  <si>
    <t>IMPROVEMENT OF KAKOTONAN-MATEDTEDTED FMR</t>
  </si>
  <si>
    <t>INVITATION TO BID FOR CONSTRUCTION OF MULTI PURPOSE BUILDING – BRGY. CROSSING SIMUAY</t>
  </si>
  <si>
    <t>NEGOTIATED PROCUREMENT  FOR THE  Fabrication and Delivery of  Prisoner’s Vehicle (PR-2020-9999-0185)</t>
  </si>
  <si>
    <t>Procurement of One (1) Unit Brand New Pickup Vehicle</t>
  </si>
  <si>
    <t>LOCAL BRIDGE IN MABONGTOT</t>
  </si>
  <si>
    <t>IB-2020-VII-13-01-Office Supplies Inks &amp; Toners (Legislative)</t>
  </si>
  <si>
    <t>REPAIRS OF THE INFORMATION TECHNOLOGY (FELIPE AGONCILLO) BLDG., ORGANIC CENTER (MRF BLDG.) AND 2-STOREY LABORATORY (PEDRO PATERNO) BLDG.  AT OMSC LABANGAN DAMAGED BY TYPHOON URSULA</t>
  </si>
  <si>
    <t>IMPROVEMENT/UPGRADING OF SAN ISIDRO TO BRGY. STO. TOMAS FMR, BRGY. SAN ISIDRO, SULAT, EASTERN SAMAR</t>
  </si>
  <si>
    <t>Supply and Delivery of Dump Trucks for the use of the City Government of Kidapawan.</t>
  </si>
  <si>
    <t>Supply and delivery of heavy equipments for the use of the City Government of Kidapawan.</t>
  </si>
  <si>
    <t>Contract ID No. 20K00352 - Reconstruction/ Rehabilitation of Bridge along Barangay Road at Kurmatan Matampay</t>
  </si>
  <si>
    <t>Procurement of One (1) Unit Brand New Combined Rice Harvester with Corn Kit &amp; Heavy Duty Trailer</t>
  </si>
  <si>
    <t>PROVISION OF FOOD COURT ALUMINUM FRAMED GLASS WALL-2ND FLOOR NEW WET MARKET, BRGY. NORTH POBLACION, MASINLOC, ZAMBALES</t>
  </si>
  <si>
    <t>Procurement of One (1) Unit Brand New Ambulance</t>
  </si>
  <si>
    <t>Procurement of Oil and Lubricants</t>
  </si>
  <si>
    <t>PROJECT 1 – Expansion of Balaoan District Hospital, Brgy. Bungol, Balaoan, La Union</t>
  </si>
  <si>
    <t>Contract ID No. 20K00353 - Construction of 2-Lane PCCP Pantar (Lanao del Norte)-Marawi City (Lanao del Sur) Road</t>
  </si>
  <si>
    <t>IB-2020-VII-13-02 FARM TO MARKET ROAD OF VARIOUS BARANGAY</t>
  </si>
  <si>
    <t>Barangay Road Gravelling from Sitio Malunay going to Sitio Sumonop, Dawa, Josefina, ZDS</t>
  </si>
  <si>
    <t>Supply and Delivery of Fuel to be used on Service Vehicles of City of Sipalay, Negros Occidental</t>
  </si>
  <si>
    <t>Animal Feeds for OPA-2020-0103</t>
  </si>
  <si>
    <t>Procurement of Medicines</t>
  </si>
  <si>
    <t>CONSTRUCTION/REHABILITATION OF CONCRETE PAVEMENT, BRGY. LAPU-LAPU, UNISAN, QUEZON</t>
  </si>
  <si>
    <t>PROJECT 2 - Construction of Isic-Isic BHS, Brgy. Isic, Vintar, Ilocos Norte</t>
  </si>
  <si>
    <t>PURCHASE OF MULTI CULTIVATOR MACHINE FOR  LIVELIHOOD PROGRAM OF AMIA</t>
  </si>
  <si>
    <t>PROVISION OF ALUMINUM FRAMED GLASS WALL - MASINLOC MALL/LIBRARY HUB/FOOD COURT</t>
  </si>
  <si>
    <t>PURCHASE OF EQUIPMENT FOR VEGETABLE  PRODUCTION OF DA</t>
  </si>
  <si>
    <t>Package 1 of 1: Supply of Services and Materials for the Printing and Delivery of 2021 DCWD Wall Calendars - 240,000 sets Medium Size (17" x 22”) and 10,000 sets Large Size (22” x 34")</t>
  </si>
  <si>
    <t>Procurement of Spare Parts for Various Motor Vehicles</t>
  </si>
  <si>
    <t>ITB FOR PROCUREMENT OF INTERNET LOAD</t>
  </si>
  <si>
    <t>INVITATION TO BID FOR OPENING OF FARM TO MARKET ROAD AT BRGY. PINGGUIAMAN</t>
  </si>
  <si>
    <t>Purchase of heavy equipment for the Livestock Development of the City Government of Kidapawan</t>
  </si>
  <si>
    <t>Lanscaping Services for PPS-2020-0041</t>
  </si>
  <si>
    <t>Furniture's for PEO-2020-0349</t>
  </si>
  <si>
    <t>Construction/Completion of Multi-Purpose Gymnasium</t>
  </si>
  <si>
    <t>PURCHASE OF CERTIFIED SEEDS FOR LGU SUBSIDY PROGRAM (RE-BID)</t>
  </si>
  <si>
    <t>CONSTRUCTION OF MATANA CREEK SLOPE PROTECTION SLOPE PROTECTION, SITIO MATANA, BRGY. TAPUAC</t>
  </si>
  <si>
    <t>Supply, Delivery, Installation and Commissioning of Various Material Handling Units, as per BSP Technical Specifications and Terms of Reference, including Equipment Handling/Safety Seminar/Training of</t>
  </si>
  <si>
    <t>PROCUREMENT AND DELIVERY OF FERTILIZERS</t>
  </si>
  <si>
    <t>PURCHASE OF SUPPLIES FOR BIRTHING STATION AT RHU 1(1st &amp; 2nd qtr 2020)</t>
  </si>
  <si>
    <t>MOBILE RICE MILL</t>
  </si>
  <si>
    <t>Garments for SYDO-2020-0015 &amp; 0017</t>
  </si>
  <si>
    <t>Procurement of One (1) Unit Brand New Pickup FX Vehicle</t>
  </si>
  <si>
    <t>OTHER SUPPLIES AND MATERIALS</t>
  </si>
  <si>
    <t>Procurement of the Upgrade of Existing fiber Optic backbone to a gigabit Passive Optical Network (GPON) with IP-PABX and CCTV Services, Province of Aklan-Re Bidding /ITB no: 2020-359</t>
  </si>
  <si>
    <t>1.ON-GOING CONSTRUCTION OF MULTI-PURPOSE HALL 2.REHAB./IMPROVEMENT OF BRGY. PLAZA3.INSTALLATION OF STREET LIGHTS 4IMPROVEMENT OF PERIMETER FENCE.</t>
  </si>
  <si>
    <t>INVITATION TO BID FOR  QUARTERLY COMPREHENSIVE MAINTENANCE PROGRAM FOR PHILIPS ALLURA FD 10/10 CARDIAC CATH. LAB MACHINE FOR ONE YEAR IB NO. GS 2020-003</t>
  </si>
  <si>
    <t>INFORMATION AND COMMUNICATION TECHNOLOGY EQUIPMENT</t>
  </si>
  <si>
    <t>PURCHASE OF MEDICINE SUPPLIES FOR RHU 1 &amp; RHU 2 (1st &amp; 2nd qtr 2020)</t>
  </si>
  <si>
    <t>MILITARY POLICE AND SECURITY EQUIPMENT</t>
  </si>
  <si>
    <t>20FF0095 - Construction of Multi-Purpose Building, Barangay Binaliw, Calabanga, Camarines Sur</t>
  </si>
  <si>
    <t>PURCHASE OF ONE UNIT COMPACT FIRE FIGHTING PUMP FOR BFP VICTORIA USE</t>
  </si>
  <si>
    <t>Procurement of HIV Rapid Diagnostic Test-2 (For rHIVda Confirmation) Re-Bid under IB No. 2020-208-A</t>
  </si>
  <si>
    <t>NOTICE FOR NEGOTIATED PROCUREMENT OF INTERNET MODEM</t>
  </si>
  <si>
    <t>Procurement of Surgical Supply for the OR use of Dr. Rafael S. Tumbokon Memorial Hospital-EEDD, Kalibo, Aklan- /ITB no: 2020-361</t>
  </si>
  <si>
    <t>Proposed Improvement of Day Care Center, Brgy. San Antonio, San Enrique, Iloilo</t>
  </si>
  <si>
    <t>INVITATION TO BID FOR SUPPLY AND DELIVERY OF CONSTRUCTION MATERIALS FOR THE PROPOSED ROAD CONCRETING (PHASE 1) AT POBLACION, LINAMON, LANAO DEL NORTE</t>
  </si>
  <si>
    <t>Completion of Alfonso Castañeda Rural Health Unit Building (INFRA2020-02)</t>
  </si>
  <si>
    <t>Procurement of One (1) Unit Brand New Tractor Head for the use in projects, repair and maintenance of various Provincial Roads, Province of Aklan/ITB no: 2020-362</t>
  </si>
  <si>
    <t>CONCRETING OF ROAD AT SITIO MAROCCO STA BARBARA</t>
  </si>
  <si>
    <t>IMPROVEMENT OF PUBLIC MARKET</t>
  </si>
  <si>
    <t>20FF0097 - Construction of Multi-Purpose Building, Brgy. San Felipe, Naga City</t>
  </si>
  <si>
    <t>20FF0096 - Construction of Multi-Purpose Building (Covered Court), Barangay Lugsad, Calabanga,, Camarines Sur</t>
  </si>
  <si>
    <t>Opening of Barangay Road, Mahabang Tanaw to CSAP Site, Barangay Taquico</t>
  </si>
  <si>
    <t>SUPPLY OF LABOR &amp; MATLS FOR THE CONSTRUCTION OF MRF BUILDING</t>
  </si>
  <si>
    <t>20FF0098 - Construction of Multi-Purpose Building, Brgy. San Isidro, Magarao, Camarines Sur</t>
  </si>
  <si>
    <t>CW20-032-1 lot Road and Bridge Improvement of Alegria - Panag - Camanlangan (Fatima and Camanlangan Section) (Concreting of 3.392kms. road, installation of 2 lines - 910mmØ RCPC with headwall, constru</t>
  </si>
  <si>
    <t>Procurement of Multi-Purpose Shredder (200-300 kls/hr capacity)</t>
  </si>
  <si>
    <t>PURCHASE OF MEDICAL SUPPLIES FOR SPECIAL PROGRAMS OF RHU 1 &amp; RHU 2 (1st &amp; 2nd Qtr)</t>
  </si>
  <si>
    <t>Procurement and Implementation of Personnel Management Information with Centralized Payroll System</t>
  </si>
  <si>
    <t>Procurement of One (1) unit Hydraulic Wheel Type Excavator with Hydraulic Breaker unit</t>
  </si>
  <si>
    <t>INFRA2020-CDD-001/ MG-COM20-002 Repair/Rehab of Wharf with Integrated Elevation 702 masl. Marker at Brgy. Maindig, Binidayan, Lanao del Sur</t>
  </si>
  <si>
    <t>Construction of Perimeter Fence Ticket Booth and Movable Basketball Goal at Evacuation Center, Brgy. Camansi, Kabankalan City, Negros Occidental</t>
  </si>
  <si>
    <t>RENOVATION/IMPROVEMENT OF OPEN SPACE AND MULTI-FUNCTION HALL AT CITY HOMES, BRGY. SAMPALOC IV, CITY OF DASMARIÑAS, CAVITE</t>
  </si>
  <si>
    <t>20FH0085 - LOCAL ROADS AND BRIDGES-LOCAL ROADS-CONSTRUCTION/REHABILITATION/IMPROVEMENT OF BRGY. DUGUI TOO TO DUGUI WALA, VIRAC, CATANDUANES</t>
  </si>
  <si>
    <t>PURCHASE OF FARM MACHINERIES</t>
  </si>
  <si>
    <t>CONCRETING OF PALAGAO-SUR-TAGUMAY ROAD (CONTINUATION) AT GATTARAN, CAGAYAN</t>
  </si>
  <si>
    <t>CONSTRUCTION OF ENCLOSED PATHWAY WITH SCREEN AT VICTORIA PROCESSING PLANT AT BULO</t>
  </si>
  <si>
    <t>CW20-031-1 lot Improvement of Hijo - Dumlan - Libay-libay - Sangab - Limbo Provincial Road(New Visayas - Sangab Section)(Concreting of 2.12kms. road,</t>
  </si>
  <si>
    <t>Ref. No. 2020-011 Procurement of Fully Developed Lots and Completed Housing Units Under NHA's Yolanda Permanent Housing Program - Las Casas Del Flor Phase 1,2,3,4 &amp; Matlang Heights Subd. Sites 1 &amp; 2</t>
  </si>
  <si>
    <t>20BE0049 (re-adv.) - CONSTRUCTION OF ONE-STOREY   (3 -CLASSROOMS) SCHOOL BUILDING SAN JUAN E/S , CABAGAN, ISABELA</t>
  </si>
  <si>
    <t>20BE0048 (re-adv.) - CONSTRUCTION OF TWO-STOREY  (4 -CLASSROOMS) SCHOOL BUILDING CANSAN ES, CABAGAN, ISABELA</t>
  </si>
  <si>
    <t>COMPLETION OF GYMNASIUM/EVACUATION CENTER</t>
  </si>
  <si>
    <t>INFRA2020-CDD-002/ MG-COM20-003 Construction of Wharf with Integrated Elevation 702 masl. Marker at Brgy. Taliogon, Ganassi, Lanao del Sur</t>
  </si>
  <si>
    <t>Purchase of Various Medicines for RHU</t>
  </si>
  <si>
    <t>INVITATION TO BID FOR SUPPLY AND DELIVERY OF CONSTRUCTION MATERIALS FOR THE PROPOSED TWO-STOREY MULTI-PURPOSE BUILDING (PHASE 1) AT SITIO MANADI, BRGY. PURAKAN, LINAMON, LANAO DEL NORTE</t>
  </si>
  <si>
    <t>IMPROVEMENT OF FENCING &amp; GATE  AT MUNICIPAL COMPOUND</t>
  </si>
  <si>
    <t>Purchase of Dairy Goat &amp; Cattle, Dairy Buffalo, and Meat-type goat including animal feeds</t>
  </si>
  <si>
    <t>20FF0099 - Construction of Multi-Purpose Building (Covered Court), Brgy. San Francisco, Calabanga, Camarines Sur</t>
  </si>
  <si>
    <t>CONSTRUCTION OF MULTI-PURPOSE BUILDING LOCATED AT BRGY. SAMPALOC IV, CITY OF DASMARIÑAS, CAVITE</t>
  </si>
  <si>
    <t>Procurement of Garbage Compactor (5 cum capacity)</t>
  </si>
  <si>
    <t>20FG0101 - Site Development of DPWH Camarines Sur 4th Engineering District Complex Caraycayon, Tigaon, Camarines Sur</t>
  </si>
  <si>
    <t>CONSTRUCTION OF HANGING BRIDGE PHASE II</t>
  </si>
  <si>
    <t>Communication and Response Enhancement Program-Installation of Public Address System (Phase 2)</t>
  </si>
  <si>
    <t>Construction of Water System (Drilling) @ Brgy. Tupilac, R.T. Lim, Zamboanga Sibugay (INFR-2020-031)</t>
  </si>
  <si>
    <t>Construction of Mangrove Boardwalk @ Brgy. Buluan, Ipil, Zamboanga Sibugay (INFR-2020-030)</t>
  </si>
  <si>
    <t>REHABILITATION OF BARANGAY ROADS OF 7 BARANGAYS AT KIBAWE (UPPER  PULANGI AREA) 2020</t>
  </si>
  <si>
    <t>Ref. No. 2020-015 Procurement of Fully Developed Lots and Completed Housing Units Under NHA's Yolanda Permanent Housing Program - Tingib Homes, Pandan</t>
  </si>
  <si>
    <t>20BE0047 (re-adv.) - CONSTRUCTION OF TWO-STOREY  (6-CLASSROOMS) SCHOOL BUILDING SAN FELIPE E/S, CITY OF ILAGAN, ISABELA</t>
  </si>
  <si>
    <t>CW20-026-Rebid-1 Lot Construction of Water System, Liwanag Center, Brgy. Libasan (Construction of elevated tank, well drilling, installation of pipelines and 1 set 5.0Hp single phase submersible pump)</t>
  </si>
  <si>
    <t>Construction of Brgy Evacuation Center @ Brgy. Casacon, R.T. Lim, Zamboanga Sibugay (No. INFR-2020-029)</t>
  </si>
  <si>
    <t>SUPPLY AND DELIVERY OF 1 UNIT BRAND NEW MOBILE X-RAY MACHINE TRUCK</t>
  </si>
  <si>
    <t>CONSTRUCTION OF THREE CLASSROOM SCHOOL BUILDING AT SITIO PINUTULAN, CAPISSAYAN NORTE, GATTARAN, CAGAYAN</t>
  </si>
  <si>
    <t>Installation of Airconditioned unit at Multi Purpose Hal, Child Development Center &amp; Barangay Health Center at Brgy. San Jose, Alaminos City, Pangasinan</t>
  </si>
  <si>
    <t>INVITATION TO BID FOR LABOR AND MATERIALS FOR THE CONSTRUCTION OF TINAGO FALLS DEVELOPMENT PROJECT (MULTI-PURPOSE HALL) PHASE 2</t>
  </si>
  <si>
    <t>CDH-20-0711-B DRUGS AND MEDICINES</t>
  </si>
  <si>
    <t>Construction of Water System (Drilling) @ Brgy. San Pedro, Tungawan, Zamboanga Sibugay (INFR-2020-032)</t>
  </si>
  <si>
    <t>20FH0087 - CONSTRUCTION OF FOUR (4) STOREY SIXTEEN (16) CLASSROOM – TWO (2) UNITS (7X18) SCIENCE LABORATORY, TWO (2) UNITS (7X18) ICT LABORATORY AND FOUR (4) UNITS (7X18) REGULAR WORKSHOP SCHOOL BUILD</t>
  </si>
  <si>
    <t>Construction of Boat / Fish Landing (Phase I) @ Brgy. Buluan, Ipil, Zamboanga Sibugay (INFR-2020-028)</t>
  </si>
  <si>
    <t>Ref. No. 2020-013 Procurement of Fully Developed Lots and Completed Housing Units Under NHA's Yolanda Permanent Housing Program - Prime Town IV, Tanauan</t>
  </si>
  <si>
    <t>Ref. No. 2020-012 Procurement of Fully Developed Lots and Completed Housing Units Under NHA's Yolanda Permanent Housing Program - Our Lady of Assumption, Tanauan</t>
  </si>
  <si>
    <t>Construction of Multi-Purpose Building @ Brgy. New Canaan, Titay, Zamboanga Sibugay (INFR-2020-034)</t>
  </si>
  <si>
    <t>Construction of Water System (Drilling) @ Brgy. Tilasan Roseller R.T. Lim, Zamboanga Sibugay (INFR-2020-033)</t>
  </si>
  <si>
    <t>Provision of Security Services to the various District Hospitals of the Provincial Government of Cagayan (PGC)</t>
  </si>
  <si>
    <t>Construction of Multi-Purposed Building (Tourism Information and Assistance Center) @ Brgy Sapang Uwak, Porac, Pampanga</t>
  </si>
  <si>
    <t>CW20-030- 1 lot Improvement of Gabi - Cabacungan - Sto. Niño Provincial Road (Cabacungan Section) (Concreting of 2.47kms. road, installation of 3 lines - 910mmØ RCPC with headwall, 1 line - 1220mmØ RC</t>
  </si>
  <si>
    <t>Maintenance &amp; Upgrading of CCTV Units</t>
  </si>
  <si>
    <t>CDH-20-0713-B DRUGS AND MEDICINES</t>
  </si>
  <si>
    <t>Ref. No. 2020-014 Procurement of Fully Developed Lots and Completed Housing Units Under NHA's Yolanda Permanent Housing Program - Sta. Fe Residences, Pandan</t>
  </si>
  <si>
    <t>Concreting of Tomitom Brgy. Road @ Brgy. Tomitom, Ipil, Zamboanga Sibugay (INFR-2020-036)</t>
  </si>
  <si>
    <t>INVITATION TO BID FOR LABOR AND MATERIALS FOR THE IMPROVEMENT/ENHANCEMENT OF HISTORICAL SITES</t>
  </si>
  <si>
    <t>Labor and Materials for the Construction of Office Cabinet and Pantry at New RHU, Wawa, Orion, Bataan</t>
  </si>
  <si>
    <t>RPT-20-0294-B DRUGS AND MEDICINES</t>
  </si>
  <si>
    <t>CDH-20-0712-B DRUGS AND MEDICINES</t>
  </si>
  <si>
    <t>SUPPLY AND DELIVERY OF FUEL FOR CY 2020</t>
  </si>
  <si>
    <t>Peace Keeping Action Team Assistance Program</t>
  </si>
  <si>
    <t>Improvement of Barangay Health Center at Brgy. Ipil Heights, Ipil, Zamboanga Sibugay (INFR-2020-009) -REBID</t>
  </si>
  <si>
    <t>CDH-20-0714-B DRUGS AND MEDICINES</t>
  </si>
  <si>
    <t>Procurement of Beractant Suspension</t>
  </si>
  <si>
    <t>Construction of Multi-Purpose Building @ Lindang, Diplahan, Zamboanga Sibugay (INFR-2020-035)</t>
  </si>
  <si>
    <t>PB2020-06-005 GAA Modernization of Two (2) Units Passenger Elevators in the Higher Education Development Center (HEDC) Building</t>
  </si>
  <si>
    <t>Pathway</t>
  </si>
  <si>
    <t>CDH-20-0434-B DENTAL SUPPLIES</t>
  </si>
  <si>
    <t>ACQUISITION OF HEAVY EQUIPMENT</t>
  </si>
  <si>
    <t>NOTICE FOR NEGOTIATED PROCUREMENT OF ICT EQUIPMENT AND MATERIALS</t>
  </si>
  <si>
    <t>P.B. No. 2020-31 (GOODS) Sustainability of Document Processing Division Back-end Infrastructure</t>
  </si>
  <si>
    <t>Supply and Delivery of the following Security Uniforms, as per  BSP Terms of Reference, Specifications and Drawings</t>
  </si>
  <si>
    <t>Improvement of School Drainage System</t>
  </si>
  <si>
    <t>Construction of Foot Bridge at Brgy. Gandaan - Brgy. Galas, Olutanga, Zamboanga Sibugay (INFR-2020-037)</t>
  </si>
  <si>
    <t>ITB Laboratory Equipment and Field Monitoring Equipment</t>
  </si>
  <si>
    <t>ROAD CONCRETING AT BRGY. MULTI PURPOSE GYM GROUND</t>
  </si>
  <si>
    <t>Procurement for the Supply and Delivery of 40 Units Laptop Computers for DepEd City Division, City of Koronadal</t>
  </si>
  <si>
    <t>PBS 20-073A STRUCTURED CABLING FOR UP ITDC</t>
  </si>
  <si>
    <t>Provision of Free School Supplies</t>
  </si>
  <si>
    <t>Procurement for the Supply and Delivery of Various Construction Materials Lot 1, 2 &amp; 3, City of Koronadal</t>
  </si>
  <si>
    <t>Repair of Lined Canal, Agan Road, Brgy. Sta.Cruz, City of Koronadal</t>
  </si>
  <si>
    <t>INVITATION TO BID PROCUREMENT OF WAREHOUSE HANDLING (AND ALLIED) SERVICES FOR GRAINS FOR NFA EASTERN VISAYAS REGION (REGION VIII) FOR CALENDAR YEAR 2020</t>
  </si>
  <si>
    <t>Procurement of Drugs and Medicines to be used by Central Pharmacy</t>
  </si>
  <si>
    <t>Procurement for the Supply and Delivery of Thirteen (13) Units Duplicating Machine for DepEd City Division, City of Koronadal</t>
  </si>
  <si>
    <t>PROCUREMENT OF ASSORTED GOODS</t>
  </si>
  <si>
    <t>supply and Delivery of Medicines and Medical Supplies for the 1st and 2nd quarter 2020</t>
  </si>
  <si>
    <t>Construction of Deep Wells Potable Water 5 Sitio's ( Quarry, Apalili, Centro, Hantud &amp; Kagisukan)</t>
  </si>
  <si>
    <t>Procurement of Drugs and Medicines to be used by City Health Office</t>
  </si>
  <si>
    <t>Procurement of Water Filter and Purifier for Child Development Center</t>
  </si>
  <si>
    <t>Procurement of Various Janitorial and Other Maintenance Supplies for the use of the Departments of LGU- Mabalacat City</t>
  </si>
  <si>
    <t>One (1) Lot - Supply of Forty-three (43) Minimum Wage Personnel and Related Services, as per BSP Terms of Reference</t>
  </si>
  <si>
    <t>Repair &amp; Maintenance of School Building &amp; Facilities</t>
  </si>
  <si>
    <t>INVITATION TO BID FOR SUPPLY AND DELIVERY OF VARIOUS MATERIALS  FOR THE CONSTRUCTION OF THE MAIN OFFICE BUILDING EXTENSION</t>
  </si>
  <si>
    <t>Construction of Multi-Purpose Building (Evacuation Center)</t>
  </si>
  <si>
    <t>CONSTRUCTION OF STAGE AT RIZAL NATIONAL HIGH SCHOOL, BRGY. RIZAL, KANANGA, LEYTE - REPOST</t>
  </si>
  <si>
    <t>VARIOUS TONER CARTRIDGE  FOR EPSON WORKFORCE PRINTERS</t>
  </si>
  <si>
    <t>Garbage Collection at Barangay Bel-Air for CY 2020</t>
  </si>
  <si>
    <t>Procurement for the Supply and Delivery of 200 Units Printer (3 in 1) for DepEd City Division, City of Koronadal</t>
  </si>
  <si>
    <t>Supply and Delivery of Poulty Animal</t>
  </si>
  <si>
    <t>SUPPLY AND DELIVERY OF CHLORINE DIOXIDE FOR WATER TREATMENT OF TANZA WATER   DISTRICT (TWD)</t>
  </si>
  <si>
    <t>Supply and Replacement of LED Solar Powered Streetlights along Quirino Highways 3.75 Kilometers (from Quezon City / Caloocan Boundary to Malaria St.)</t>
  </si>
  <si>
    <t>STREETLIGHTS PROJECT FOR BLACK SPOT LOCATIONS (GAD PROJECT) Along Aurora Blvd. / Marcos Highway (Katipunan Ave. To Marikina Bridge 1.20 Kilometers)</t>
  </si>
  <si>
    <t>SUPPLY AND DELIVERY OF 4,000 PACKS FALL ARMY-LURE (PHEROMONE LURE) TO BE USED FOR THE PREVENTION AND CONTROL MANAGEMENT AGAINST FALL ARMYWORM UNDER CORN PROGRAM FOR CY 2020</t>
  </si>
  <si>
    <t>SUPPLY AND DELIVERY OF 2,000 BOTTLES ORGANIC PESTICIDES TO BE USED FOR THE PREVENTION AND CONTROL MANAGEMENT AGAINST FALL ARMYWORM UNDER CORN PROGRAM FOR CY 2020</t>
  </si>
  <si>
    <t>PURCHASE OF BARANGAY DISASTER RISK REDUCTION MANAGEMENT COMMITTEE RESCUE VEHICLE (BONGO) OF BRGY. SALVACION, PANABO CITY.</t>
  </si>
  <si>
    <t>Invitation to Bid - Supply and Delivery of Limestone for Embankment/Site Development/Construction of Motorpool Building at Barangay Cambanay, Danao City</t>
  </si>
  <si>
    <t>IMPROVEMENT OF MAIN ELECTRICAL POWER SUPPLY LINES - LGU BALETE (MATAERIALSONLY) RE-BID</t>
  </si>
  <si>
    <t>Improvement of Child Friendly Park</t>
  </si>
  <si>
    <t>Design and Construction of Housing Facilities for Waste Granulator and Brick Making Equipment at Vitas Pumping Station, Tondo, Manila</t>
  </si>
  <si>
    <t>Supply and Delivery of Vehicle for National Capital Regional Office</t>
  </si>
  <si>
    <t>PURCHASE OF ONE (1) UNIT PATROL CAR</t>
  </si>
  <si>
    <t>SUPPLY &amp; DELIVERY OF MATERIALS FOR GENERATION, TRANSMISSION AND DISTRIBUTION OF NWSS SERVICES 2ND QTR CY 2020</t>
  </si>
  <si>
    <t>SUPPLY &amp; DELIVERY OF MATERIALS FOR THE CONSTRUCTION OF MULTIPURPOSE STALLS (PAVILION)-B</t>
  </si>
  <si>
    <t>Construction of Rimos National High School Pavilion and Completion of School Perimeter Fence, Luna</t>
  </si>
  <si>
    <t>Invitation to Bid for Service Vehicle (Chariot)</t>
  </si>
  <si>
    <t>Construction of Luna Farmers Trading Center, Luna</t>
  </si>
  <si>
    <t>Construction of Pagdildilan Farm to Market Road, San Juan</t>
  </si>
  <si>
    <t>Supply and Replacement of LED Streetlights at the following locations: Along Buendia Ave., (Taft Ave. to Tramo St.), Makati City along Mayor Ignacio Diaz St. (N. Domingo St. to EDSA), Quezon City alon</t>
  </si>
  <si>
    <t>Rehabilitation and Improvement of Bacnotan-San Gabriel Road (San Juan Section), San Juan</t>
  </si>
  <si>
    <t>Repair/Maintenance of DPWH Building, Main Building, QAS and Others</t>
  </si>
  <si>
    <t>Supply of Fuel (Gasoline and Diesel) – Part2</t>
  </si>
  <si>
    <t>Supply, Delivery and Installation of Office Furnitures and Fixtures</t>
  </si>
  <si>
    <t>Collection, Transportation, Treatment and Proper Disposal of Hazardous and Toxic Health Care Wastes Generated using Non-burn Technology for the 5 District Hospitals</t>
  </si>
  <si>
    <t>Procurement/Installation of CCTV</t>
  </si>
  <si>
    <t>SUPPLY AND DELIVERY OF MEDICINES</t>
  </si>
  <si>
    <t>PROCUREMENT OF LABORATORY EQUIPMENT</t>
  </si>
  <si>
    <t>SUPPLY &amp; DELIVERY OF MATERIALS FOR WATER METER AND GATE VALVES FOR WATER CONNECTIONS OF NWSS CONSUMERS</t>
  </si>
  <si>
    <t>PURCHASE AND DELIVERY OF MACHINERY AND EQUIPMENT FOR OMM-OPERATION OF SLAUGHTERHOUSE</t>
  </si>
  <si>
    <t>PROCUREMENT OF EXPENDABLE MEDICAL SUPPLIES (RE-BID)</t>
  </si>
  <si>
    <t>PROCUREMENT OF CIVIL WORKS FOR BALINGASAG RIS 2020 CCAW (SUPP)</t>
  </si>
  <si>
    <t>Supply and Delivery of Various Office Equipment for MDRRM Office</t>
  </si>
  <si>
    <t>Procurement of Office Supplies of Barangay Magallanes</t>
  </si>
  <si>
    <t>Road Concreting at Barangay Balliao</t>
  </si>
  <si>
    <t>Concreting of Core Local Access Road of Barangay Villaluz to New Magsaysay</t>
  </si>
  <si>
    <t>SUPPLY &amp; DELIVERY OF MATERIALS FOR THE CONSTRUCTION OF MULTIPURPOSE STALLS (PAVILION)</t>
  </si>
  <si>
    <t>SUPPLY AND DELIVERY  OF CORRUGATED   GI SHEET FOR THE IDENTIFIED PARTIALLY DAMAGED OF TYPHOON TISOY IN THE CITY OF SORSOGON (2ND CALL)</t>
  </si>
  <si>
    <t>PROCUREMENT OF SUPPLY AND DELIVERY OF SPORTS EQUIPMENTS</t>
  </si>
  <si>
    <t>Invitation to Bid - Supply and Delivery of Eighteen (18) Units Computer Laptop (SP)</t>
  </si>
  <si>
    <t>PROCUREMENT OF OFFICE OR SCHOOL SUPPLIES AND EQUIPMENTS</t>
  </si>
  <si>
    <t>PROCUREMENT OF SURGICAL AND WOUND CARE SUPPLIES</t>
  </si>
  <si>
    <t>SUPPLY OF LABOR AND MATERIALS FOR THE ESTABLISHMENT OF FARM MACHINERY SHED OF (BPI-LBNCRDPSC, LOS BAÑOS, LAGUNA</t>
  </si>
  <si>
    <t>Shielded metal arc welding</t>
  </si>
  <si>
    <t>Installation of Airconditioned Unit and Electrical Works at Multi Purpose Hall, Brgy. Balangobong, Alaminos City, Pangasinan</t>
  </si>
  <si>
    <t>Repair/Maintenance of : A. Nabuangan Flood Control , Ripang, Conner Sta. o+000-Sta 0+050 &amp; Sta 0+053-Sta 0+171, Apayao B. Karikitan Flood Control, Conner, Apayao Sta. 000+000-Sta.000+018</t>
  </si>
  <si>
    <t>20GAD0005 : Purcahse of Road/Traffic Warning Signs for use along Manila North Road, Tagudin-Santa Section ( accident blackspot), K0313+(-103)-K0395+149</t>
  </si>
  <si>
    <t>Municipal Drainage System Plan at Dinapigue, Isabela</t>
  </si>
  <si>
    <t>Purchase of Emergency Rescue Vehicle, Brgy. Caidiocan</t>
  </si>
  <si>
    <t>Supply &amp; Delivery of Materials for Construction of Open Canal at Poblacion Cantilan</t>
  </si>
  <si>
    <t>Repair/Maintenance of National Road (Activity 411-Emergency Project) along Conner - Kabugao Road, K0588+(-130) - K0588+(-100) Kabugao, Apayao</t>
  </si>
  <si>
    <t>Supply &amp; Delivery of Materials for Fencing of Municipal Agriculture Office Compound</t>
  </si>
  <si>
    <t>IAEB FOR SUPPLY AND DELIVERY OF AGRICULTURAL INPUTS AND FARM MACHINERY AND EQUIPMENT UNDER CLIMATE RESILIENT FARM PRODUCTIVITY SUPPORT PROJECT (CRFPSP)</t>
  </si>
  <si>
    <t>Supply &amp; Delivery of Materials for Rehabilitation of Julve Street, Cantilan</t>
  </si>
  <si>
    <t>SUPPLY AND DELIVERY OF 1,175 BOTTLES SPINETORAM AND 1,000 BOTTLES CHLORANTRANILIPROLE PESTICIDES TO BE USED FOR THE PREVENTION AND CONTROL MANAGEMENT AGAINST FALL ARMYWORM UNDER CORN PROGRAM FOR CY 20</t>
  </si>
  <si>
    <t>Supply &amp; Delivery of Materials for Installation of Deep &amp; Shallow Payao</t>
  </si>
  <si>
    <t>20DN0134 (Re-bid) - REHABILITATION OF ROADS WITH DRAINAGE SYSTEM, PUROK 4, COLLEGE VIEW PARK, BRGY. CUPANG, ANTIPOLO CITY, RIZAL</t>
  </si>
  <si>
    <t>IMPROVEMENT OF PANAAD BOOTH AT THE PANAAD PARK,BRGY. ALIJIS, BACOLOD CITY</t>
  </si>
  <si>
    <t>20DN0131 (Re-Schedule) - REHABILITATION OF ROAD AND DRAINAGE SYSTEM, ANTIPOLO HILLS MUNICIPAL ROAD, BRGY. SAN LUIS, ANTIPOLO CITY</t>
  </si>
  <si>
    <t>20DN0130 (Re-Schedule) - REHABILITATION OF ROAD WITH DRAINAGE AT ORCHID ST., GREENHEIGHTS SUBD., MAYAMOT , ANTIPOLO CITY, RIZAL</t>
  </si>
  <si>
    <t>20DN0129 (Re-Schedule) - CONSTRUCTION/ REHABILITATION OF MULTI - PURPOSE BUILDING, ANTIPOLO CITY, RIZAL</t>
  </si>
  <si>
    <t>Establishment of Passenger's Terminal at Barangay Sto. Nino, Biri, Northern Samar</t>
  </si>
  <si>
    <t>PURCHASE, DELIVERY &amp; INSTALLATION OF 2 UNITS HIGH VOLUME LOW   SPEED (HVLS) CEILING FAN</t>
  </si>
  <si>
    <t>CONSTRUCTION/COMPLETION OF MULTI-PURPOSE HALL</t>
  </si>
  <si>
    <t>Supply &amp; Delivery of Materials for Establishment of Vermi Culture</t>
  </si>
  <si>
    <t>SUPPLY AND DELIVERY OF MEALS AND SNACKS and FACILITATOR’S ACCOMMODATION FOR THE BASIC SKILLS TRAINING IN DRESSMAKING AND BEADS MAKING</t>
  </si>
  <si>
    <t>Supply and Delivery of Construction Materials for Routine Maintenance (Construction Materials / Hand Tools &amp; Paints) (Bridges) (CY-2020-2nd Quarter).</t>
  </si>
  <si>
    <t>SUPPLY AND DELIVERY TRAINING MATERIALS with 8-units SEWING MACHINE and STARTER-KIT FOR THE BASIC SKILLS TRAINING IN DRESSMAKING AND BEADS MAKING</t>
  </si>
  <si>
    <t>Supply of Item 310 (FD) for the use of MMIIDEO for Various 	National Roads (CY-2020-2nd Quarter).</t>
  </si>
  <si>
    <t>Repair/Maintenance of DILG Building NAPOLCOM RO-V Main Building Rawis, Legazpi City, Albay</t>
  </si>
  <si>
    <t>Supply &amp; Delivery of Materials for Rehabilitation of Brgy. Road at Toog to Hibjok (Timber Bridge)</t>
  </si>
  <si>
    <t>Purchase of Fuel for use in the Assistant District Engineer Office for 3rd  quarter of 2020</t>
  </si>
  <si>
    <t>20DN0166 - CONSTRUCTION AND/OR REPAIR/REHABILITATION OF MULTI - PURPOSE BUILDING, BRGY. SAN ISIDRO, ANGONO, RIZAL</t>
  </si>
  <si>
    <t>20DN0136 (Re-Schedule) - REPAIR/ REHABILITATION OF DRAINAGE SYSTEM, A. RODRIGUEZ AVE.,  BRGY. SAN ANDRES, CAINTA, RIZAL</t>
  </si>
  <si>
    <t>20DN0141 (Re-Schedule) - ASPHALT OVERLAY, BRGY.MAYAMOT, ANTIPOLO CITY</t>
  </si>
  <si>
    <t>20DN0140 (Re-Schedule) - CONSTRUCTION OF PEDESTRIAN OVERPASS, BRGY. STA. CRUZ, ANTIPOLO CITY</t>
  </si>
  <si>
    <t>PROCUREMENT OF  ONE (1) UNIT MOTOR VEHICLE (PASSENGER VAN)</t>
  </si>
  <si>
    <t>20DN0139 (Re-Schedule) - CONSTRUCTION OF PEDESTRIAN OVERPASS, BRGY. DELA PAZ, ANTIPOLO CITY</t>
  </si>
  <si>
    <t>20DN0138 (Re-Schedule) - REHABILITATION OF ROAD AND DRAINAGE SYSTEM AT BROOKSIDE HILLS, BRGY. SAN JUAN, CAINTA, RIZAL</t>
  </si>
  <si>
    <t>20DN0135 (Re-Schedule) - CONSTRUCTION AND/ OR REPAIR/ REHABILITATION OF MULTI - PURPOSE BUILDING, BRGY. KALAWAAN, BINANGONAN, RIZAL</t>
  </si>
  <si>
    <t>Construction of Covered Court Phase I</t>
  </si>
  <si>
    <t>Concreting of Sta. Maria Street to Bernardo Street at 100 meters at Brgy. Bato, Gamay, Northern Samar</t>
  </si>
  <si>
    <t>20GDN0004 - SUPPLY OF 5.10 DRUMS BITUMINOUS TACK COAT AND 298.41 M.T. BITUMINOUS CONCRETE SURFACE COURSE ALONG CAINTA KAYTIKLING ANTIPOLO ROAD, K0021+730 – K0021+973 (S01598LZ), TAYTAY, RIZAL</t>
  </si>
  <si>
    <t>20DN0175 - REHABILITATION OF MULTI - PURPOSE BUILDING SITIO GUMAMELA, BRGY. STA. CRUZ, ANTIPOLO CITY</t>
  </si>
  <si>
    <t>20DN0174 - REHABILITATION OF NHA ROAD WITH DRAINAGE, BRGY. SAN ISIDRO, ANTIPOLO CITY</t>
  </si>
  <si>
    <t>20DN0173 - CONSTRUCTION OF SPORTS FACILITY BUILDING AT BLUEBELLS, BRGY. MAYAMOT, ANTIPOLO CITY, RIZAL</t>
  </si>
  <si>
    <t>20DN0170 - REHABILITATION OF MULTI - PURPOSE BUILDING (ANTIPOLO SPORTS HUB), SITIO ORETA, BARANGAY SAN ISIDRO, ANTIPOLO CITY</t>
  </si>
  <si>
    <t>20DN0137 (Re-Schedule) - CONSTRUCTION/ IMPROVEMENT OF CLIFFSIDE AND ROAD WIDENING WITH DRAINAGE SYSTEM, BRGY. MACAMOT, BINANGONAN, RIZAL</t>
  </si>
  <si>
    <t>Contract for the Concreting of Road Section at Cosmos St. to Fd. Rd. #4, Phase 2</t>
  </si>
  <si>
    <t>20DN0167 - CONSTRUCTION/ REHABILITATION OF WATER SUPPLY/ SEPTAGE AND SEWERAGE/RAINWATER COLLECTORS – RAINWATER COLLECTORS IN PUBLIC FACILITIES, RIZAL 1ST LEGISLATIVE DISTRICT</t>
  </si>
  <si>
    <t>Purchase of Office Supplies for use in the Planning and Design Section  charge to 2020 PDE funds</t>
  </si>
  <si>
    <t>20GDN0003 - REPAIR AND MAINTENANCE OF VARIOUS NATIONAL ROADS (REFLECTORIZED THERMOPLASTIC PAVEMENT MARKINGS), DPWH – RIZAL I DISTRICT ENGINEERING OFFICE BINANGONAN, RIZAL</t>
  </si>
  <si>
    <t>BID OPENING - PROCUREMENT OF 1 UNIT BRAND NEW 12 SEATER VAN</t>
  </si>
  <si>
    <t>SUPPLY AND DELIVERY OF CONSTRUCTION SUPPLIES FOR THE IMPROVEMENT OF ACCOUNTING OFFICE PHASE 2</t>
  </si>
  <si>
    <t>20DN0172 - CONSTRUCTION OF MULTI-PURPOSE BUILDING BRGY. TAYUMAN, BINANGONAN, RIZAL</t>
  </si>
  <si>
    <t>SOIL TESTING/EXPLORATION (FOR CY 2021 REGULAR INFRASTRUCTURE PROJECTS, BATCH 2)</t>
  </si>
  <si>
    <t>20GAD0004: Supply and Delivery of materials for the Repair and Maintenance, along Tagudin-Cervantes Road</t>
  </si>
  <si>
    <t>20-05-0564 Supply and Delivery of Materials for Tilapia Culture in Fish Cage as Livelihood Support Project of BFAR 8 under the “Ahon Lahat, Pagkaing Sapat Kontra sa Covid-19 (ALPAS)” in the Region</t>
  </si>
  <si>
    <t>Establishment of Passenger's Terminal Phase 1 at Barangay Poblacion, Biri, Northern Samar</t>
  </si>
  <si>
    <t>PURCHASE OF PICK UP WITH CANOPY</t>
  </si>
  <si>
    <t>SUPPLY AND DELIVERY OF CONSTRUCTION SUPPLIES FOR THE REHABILITATION OF MAYOR’S OFFICE PHASE 2</t>
  </si>
  <si>
    <t>IMPROVEMENT OF MULTI-PURPOSE BUILDING AT PUROK SAN MIGUEL, BARANGAY CENTRO, AGDAO DISTRICT, DAVAO CITY</t>
  </si>
  <si>
    <t>Supply &amp; Delivery of Agricultural Supplies for Establishment of Rice Model Farm</t>
  </si>
  <si>
    <t>PACKAGE OF PROJECTS, IMPROVEMENT OF DRAINAGE SYSTEM AT PUROK SAN MARCUS AND REHABILITATION AND CONSTRUCTION OF CONCRETE CANAL COVER FOR THE EXISTING CONCRETE CANAL FROM MINTRADE DRIVE TO PUROK FATIMA</t>
  </si>
  <si>
    <t>3134-20 Procurement of Drugs and Medicines</t>
  </si>
  <si>
    <t>20CSFM0001 Consulting Services for Sub-Soil Investigation for FY 2021 Proposed Bridge, Flood Control/Shore Protection and Slope Protection Projects, Ticao Island and Burias Island, Masbate</t>
  </si>
  <si>
    <t>CONCRETING OF BARANGAY STREET, Brgy. Can-ilay, Can-avid Eastern Samar</t>
  </si>
  <si>
    <t>Consulting Service for the National Survey on the Awareness of Private Firms on the Philippine Competition Act and the Philippine Competition Commission</t>
  </si>
  <si>
    <t>SUPPLY AND DELIVERY OF ONE (1) – UNIT RESCUE VEHICLE</t>
  </si>
  <si>
    <t>Proposed Construction of Four (4) Storey-Forty Eight (48) Rooms – School Building and Facilities at PNSB - Phase 2</t>
  </si>
  <si>
    <t>CONCRETING OF ROAD WITH COVERED CANALS BOTH SIDES AT PUROK SAN FRANCISCO ENTRANCE ROAD, BARANGAY CENTRO (SAN JUAN), AGDAO DISTRICT DAVAO CITY</t>
  </si>
  <si>
    <t>20-04-0503 Supply and Delivery of Tilapia Feeds for Tilapia Culture Livelihood and Techno Demo Projects of BFAR 8 under the “Ahon Lahat, Pagkaing Sapat Kontra sa Covid-19 (ALPAS)” in the Region</t>
  </si>
  <si>
    <t>Procurement of One (1) Unit Boom truck w/ complete Accessories  PR # 20-06-992</t>
  </si>
  <si>
    <t>REI NO. GOP/20-DSWD-001- HIRING OF CONSULTANCY FIRM FOR THE CONDUCT OF EXTERNAL SPOT CHECK OF THE PANTAWID PAMILYANG PILIPINO PROGRAM OPERATIONS (SPOT CHECK 2020)</t>
  </si>
  <si>
    <t>INSTALLATION OF POWER,  DISTRIBUTION LINE AND COMMUNICATION SYSTEMS</t>
  </si>
  <si>
    <t>20DN0128 (Re-Schedule) - CONCRETING OF ROAD, BRGY. SAN JUAN, ANTIPOLO CITY, RIZAL</t>
  </si>
  <si>
    <t>Supply and delivery of Various DRUGS AND MEDICINES - for various programs of the City Health Office</t>
  </si>
  <si>
    <t>Supply, delivery &amp; installation of TV, Speaker and Microphones (Mayor's Office - Conf. Room)</t>
  </si>
  <si>
    <t>20DN0142 (Re-Schedule) - CONSTRUCTION OF MULTI - PURPOSE BUILDING, BRGY. LIBID, BINANGONAN, RIZAL</t>
  </si>
  <si>
    <t>Procurement of Comprehensive Maintenance Service Agreement for Virtualization Software</t>
  </si>
  <si>
    <t>CONSTRUCTION OF FLOOD CONTROL AND RETAINING WALL AT BRGY. MAHAWAN, KANANGA, LEYTE</t>
  </si>
  <si>
    <t>CONSTRUCTION OF ADDITIONAL TOMBS / BONE VAULTS AT MUNICIPAL CEMETERY, BRGY. MONTEBELLO, KANANGA, LEYTE</t>
  </si>
  <si>
    <t>PREVENTIVE MAINTENANCE for one (1) lot Various MEDICAL EQUIPMENT of the Radiology Department of the PCGH (August to December 2020)</t>
  </si>
  <si>
    <t>20L00137 : Construction of Concrete Bridge – Matina Aplaya Bridge, Davao City</t>
  </si>
  <si>
    <t>20L00043 : Construction of Concrete Road – Bypass Road at Jct. Daang Maharlika Road – Carmelite Road – Mahayag St. – Jct. Davao City Diversion Road, Davao City</t>
  </si>
  <si>
    <t>Supply &amp; Delivery of Seven (7) units Motorcycles use for Mayor's Office &amp; Barangay Buenavista, Himamaylan City</t>
  </si>
  <si>
    <t>CONCRETING OF ROADS MUNICIPAL WIDE AT  BRGY. POBLACION, KANANGA, LEYTE</t>
  </si>
  <si>
    <t>Straight Contract for Water Project Level 3, Brgy. Cabanbanan (Bakyas), Himamaylan City</t>
  </si>
  <si>
    <t>Straight Contract for Water Project Level 2, Brgy. Cabanbanan (Old Mojon), Himamaylan City</t>
  </si>
  <si>
    <t>Straight Contract for Water Project Level 3, Brgy. Cabanbanan (Balanggaan), Himamaylan City</t>
  </si>
  <si>
    <t>Supply &amp; Delivery of Five (5) units Mini Dump truck - Surplus Reconditioned for use of Various Barangays, Himamaylan City</t>
  </si>
  <si>
    <t>20-04-0511 Supply and Delivery of Materials for the Intensive Tilapia Culture in Pond (with Life Support System) as Livelihood Support Project of BFAR 8 under the “Ahon Lahat, Pagkaing Sapat Kontra sa</t>
  </si>
  <si>
    <t>Straight Contract for Improvement of Commission House, Brgy. Aguisan, Himamaylan City</t>
  </si>
  <si>
    <t>Straight Contract for Water Project (Bingig, Valencia, Verde), Brgy. III-Poblacion, Himamaylan City</t>
  </si>
  <si>
    <t>Straight Contract for Rehabilitation of Covered Court, Brgy. Sara-et, Himamaylan City</t>
  </si>
  <si>
    <t>Straight Contract for Construction of Multi-Purpose Building - Dialysis Center at City Health Compound, Brgy. I-Pob., Himamaylan City</t>
  </si>
  <si>
    <t>20DN0143 (Re-Schedule) - CONSTRUCTION OF MULTI - PURPOSE BUILDING, BRGY. TATALA, BINANGONAN, RIZAL</t>
  </si>
  <si>
    <t>ADDITIONAL ROAD CONCRETING, CANAL AND PATHWALK AT LIWASANG PANGKALIKASAN, PRENZA I</t>
  </si>
  <si>
    <t>FILLING MATERIAL FOR ROADWAY FROM VILLA MONTEVERDE TO TABON CREEK, NAGBALON</t>
  </si>
  <si>
    <t>DEEP WELL (SUBMERSIBLE) FOR LIWASANG PANGKALIKASAN PRENZA I</t>
  </si>
  <si>
    <t>Invitation to Bid for Concreting of San Pedro Farm to Market Road</t>
  </si>
  <si>
    <t>IMPROVEMENT/CONCRETING OF SAN VICENTE BRGY. ROAD</t>
  </si>
  <si>
    <t>Straight Contract for Construction of Health Center, GIDA Area, Brgy. Carabalan, Himamaylan City</t>
  </si>
  <si>
    <t>20-03-0414 Supply and Delivery of Feeds and Fingerlings for Bangus Production in Cage Project for the Municipalities of Tabango, Calubian and San Isidro, Leyte under SAAD Program 2020</t>
  </si>
  <si>
    <t>Ceiling Board Acoustic</t>
  </si>
  <si>
    <t>Office Supplies and Construction Supplies &amp; Materials</t>
  </si>
  <si>
    <t>Concreting of Brgy, Road @ Sitio Targetan</t>
  </si>
  <si>
    <t>PROCUREMENT FOR DEPED RO8 CY 2020 GENERAL SUPPLIES</t>
  </si>
  <si>
    <t>Straight Contract for Installation of Street Lights (Phase 2) Along National Highway, Brgy. Talaban to So. Naga, Brgy. Su-ay, Himamaylan City</t>
  </si>
  <si>
    <t>Straight Contract for Construction of Health Center, GIDA Area, Brgy. Buenavista, Himamaylan City</t>
  </si>
  <si>
    <t>Materials for the Concreting of Farm to Market Road, Brgy. Acao, Cabatuan, Iloilo</t>
  </si>
  <si>
    <t>20DN0144 (Re-Schedule) - CONSTRUCTION OF PEDESTRIAN OVERPASS, BRGY. MAMBUGAN, ANTIPOLO CITY</t>
  </si>
  <si>
    <t>Materials for the Construction of Mausoleum, Municipal Cemetery, Brgy. Banguit, Cabatuan, Iloilo</t>
  </si>
  <si>
    <t>Tires for the use of LGU Vehicles, Cabatuan, Iloilo</t>
  </si>
  <si>
    <t>School Forms JHS</t>
  </si>
  <si>
    <t>Materials for the Construction of Footwalk with Shed along San Agustin Street, Public Plaza, Cabatuan, Iloilo</t>
  </si>
  <si>
    <t>SUPPLY &amp; DELIVERY OF WHEELED STRETCHER</t>
  </si>
  <si>
    <t>Oils and Lubricants for the Use of LGU Vehicles, Cabatuan, Iloilo</t>
  </si>
  <si>
    <t>CRFPS-MUSHROOM PRODUCTION - FARM MACHINERIES AND EQUIPMENT (FME)</t>
  </si>
  <si>
    <t>SUPPLY AND DELIVERY OF VARIOUS MATERIALS FOR CAPTURE FISHERIES LIVELIHOOD PROJECTS</t>
  </si>
  <si>
    <t>Supply and Delivery of One (1) Lot Various Garbage Bins for the Implementation of Waste Segregation in the Solid Waste Management Program</t>
  </si>
  <si>
    <t>SUPPLY &amp; DELIVERY OF OPERATING ROOM LED LIGHT, AND OPERATING ROOM TABLE</t>
  </si>
  <si>
    <t>Slope Protection and PCCP at Yabo River, Bgy. Carolina</t>
  </si>
  <si>
    <t>Construction Of San Benito Multi-purpose Building</t>
  </si>
  <si>
    <t>Improvement of JMR Museum at J. Miranda Avenue corner Taal Avenue, Bgy. Concepcion Pequena, Naga City</t>
  </si>
  <si>
    <t>20AF0079, CONCRETING OF SITIO TIMMORE, BRGY. SAN FERMIN FMR, CABA, BRGY. SAN FERMIN, CABA, LA UNION</t>
  </si>
  <si>
    <t>20AF0078, CONCRETING OF BRGY. GALLANO FMR, BRGY. GALLANO ARINGAY LA UNION</t>
  </si>
  <si>
    <t>Completion of Earthfilling and Rip-rap at Sta. Cruz HS Access Road, Bgy. Sta. Cruz, Naga City</t>
  </si>
  <si>
    <t>Provision of Motor Vehicle, and Motorcycle (G-20-03-A)</t>
  </si>
  <si>
    <t>20OI0124: Construction/Rehabilitation of Multi-Purpose Building, Pulanglupa 1, Las Pinas City</t>
  </si>
  <si>
    <t>CRFPS-MOKUSAKU RICE - FARM MACHINERIES AND EQUIPMENT (FME)</t>
  </si>
  <si>
    <t>SUPPLY &amp; DELIVERY OF IUD INSERTION SET</t>
  </si>
  <si>
    <t>20OI0123:Construction of Multi-Purpose Building and other Improvement at Brgy. Talon 2, Las Pinas City</t>
  </si>
  <si>
    <t>SUPPLY &amp; DELIVERY OF HOSPITAL EQUIPMENT AND FURNITURE</t>
  </si>
  <si>
    <t>SUPPLY, DELIVERY, AND INSTALLATION OF X-RAY MACHINE</t>
  </si>
  <si>
    <t>PURCHASE OF ONE(1) UNIT EMERGENCY RESCUE VEHICLE FOR EMERGENCY AND DISASTER RESPONSE, LA CARLOTA CITY</t>
  </si>
  <si>
    <t>SUPPLY &amp; DELIVERY OF INFANT INCUBATOR</t>
  </si>
  <si>
    <t>20AH0213  Construction of Modified Standard Three (3) Storey, Six (6) Classroom School Building at Sta. Rosa Elementary School, Binmaley, Pangasinan</t>
  </si>
  <si>
    <t>20OI0126:Construction  of Multi-Purpose Building, Putatan Elem. School, Brgy. Putatan, Muntinlupa City</t>
  </si>
  <si>
    <t>20OI0125: Drainage Improvement including Rehabilitation of Road, Brgy. CAA,  Las Pinas City</t>
  </si>
  <si>
    <t>SUPPLY &amp; DELIVERY OF VARIOUS LABORATORY  AND DIAGNOSTIC EQUIPMENT</t>
  </si>
  <si>
    <t>Purchase of Communication Equipment</t>
  </si>
  <si>
    <t>20AH0212  Construction of Modified Standard Two (2) Storey, Four (4) Classroom School Building at Basing Elementary School, Binmaley, Pangasinan</t>
  </si>
  <si>
    <t>20AH0211  Construction of Modified Standard One (1) Storey, Two (2) Classroom School Building at Lipit Elementary School, Manaoag, Pangasinan</t>
  </si>
  <si>
    <t>20AH0210  Construction of Modified Standard Two (2) Storey, Four (4) Classroom School Building at Matalava Elementary School, Lingayen, Pangasinan</t>
  </si>
  <si>
    <t>Road Concreting (half-lane) and RCBC at Sta. Cruz HS Access Road, Bgy. Sta. Cruz, Naga City</t>
  </si>
  <si>
    <t>SUPPLY &amp; DELIVERY OF WEIGHING SCALE (ADULT AND INFANT)</t>
  </si>
  <si>
    <t>20L00140 : Construction of Concrete Bridge (Substructure Only) – Ma-a Bridge II, Davao City</t>
  </si>
  <si>
    <t>20OI0127: Construction  of Multi-Purpose Building, Brgy. Putatan, Muntinlupa City</t>
  </si>
  <si>
    <t>Procurement of Office Supplies (Printer ink)</t>
  </si>
  <si>
    <t>Supply and delivery of various IT supplies from various externally-funded project for 3rd quarter</t>
  </si>
  <si>
    <t>Construction of Multi-Purpose Hall for Livelihood for Barangay Lim-ao Resettlement Site Home Owners Association (BLRSHOA)</t>
  </si>
  <si>
    <t>IMPROVEMENT OF MULTI-PURPOSE BUILDING - PANDAYAN (SLAUGHTERHOUSE), SAN  JUAN, ILOCOS SUR</t>
  </si>
  <si>
    <t>CONCRETING OF LOCAL CORE ACCESS ROAD ALONG BARANGAY 3 TO BARANGAY STA. ANA, SFADS</t>
  </si>
  <si>
    <t>IMPROVEMENT OF MULTI-PURPOSE BUILDING (Repainting &amp; Equipping Hanging &amp; Steel Cabinets)</t>
  </si>
  <si>
    <t>Purchase of 56 units Jet-type Pitcher Location: Pura, Tarlac ABC: Php150,000.00</t>
  </si>
  <si>
    <t>ASPHALTING OF ROAD AT CLIMACO ST., POBLACION-BARING, CARMEN, CEBU</t>
  </si>
  <si>
    <t>Supply of Fuel for the Third Quarter</t>
  </si>
  <si>
    <t>Supply and Delivery of One (1) lot Various Furniture &amp; Fixtures</t>
  </si>
  <si>
    <t>Supply and Delivery of Construction Materials, Tools and Equipment to be used for the Flood Mitigation Projects 2020 in the City of San Fernando, Pampanga subject to Ordering Agreement</t>
  </si>
  <si>
    <t>SUPPLY OF MATERIALS FOR THE PROPOSED ROAD CONCRETING AT SITIO-DALANAWAN, BARANGAY CATANG, ARGAO, CEBU</t>
  </si>
  <si>
    <t>2.	Construction of Barangay / Farm to Market Road at Brgy. Prenza, Lian, Batangas</t>
  </si>
  <si>
    <t>Supply and delivery of various IT equipment Outlay</t>
  </si>
  <si>
    <t>SUPPLY AND DELIVERY OF DENTAL SET, AND DENTAL UNIT</t>
  </si>
  <si>
    <t>SUPPLY AND DELIVERY OF LABORATORY SUPPLIES (APHERESIS KIT FOR RED CELL-PLASMA EXCHANGE-APHERESIS KIT FOR PLATELET)</t>
  </si>
  <si>
    <t>Drilling of Water System</t>
  </si>
  <si>
    <t>4.	Construction of Water Supply System, Drilling of Production Well, Installation of Submersible Pump and Construction of Elevated Water Tank at Brgy. Mataas na Bayan, Lemery, Batangas</t>
  </si>
  <si>
    <t>3.	Construction of Barangay / Farm to Market Road at Brgy. Catandaan, Nasugbu, Batangas</t>
  </si>
  <si>
    <t>9.	Construction of Barangay / Farm to Market Road at Brgy. Balete, Batangas City</t>
  </si>
  <si>
    <t>CONSTRUCTION OF CANAUILLIAN HANGING BRIDGE OF PENRO, Iloilo</t>
  </si>
  <si>
    <t>1.	Rehabilitation/Improvement of Provincial Road at Brgy. Dalima, Tuy, Batangas</t>
  </si>
  <si>
    <t>8.	Construction of Barangay / Farm to Market Road at Brgy. Banaba West, Batangas City</t>
  </si>
  <si>
    <t xml:space="preserve">Printing and Delivery of Newsletter to be used for Information Dissemination of the City's Projects, Programs and Activities for the 1st Semester of 2020 in the City of San Fernando, Pampanga subject </t>
  </si>
  <si>
    <t>Improvement of Municipal Fitness Center</t>
  </si>
  <si>
    <t>Supply and Delivery of Medical Supplies and CBC Reagents to be used at City Health Office for 1st Semester of 2020 in the City of San Fernando, Pampanga</t>
  </si>
  <si>
    <t>small value procuremnet of Faulty Electrical Wirings</t>
  </si>
  <si>
    <t>7.	Construction of Barangay / Farm to Market Road at Brgy. Durungao, San Luis, Batangas</t>
  </si>
  <si>
    <t>Supply &amp; Delivery of 2-sets High Volume Low Speed Fan</t>
  </si>
  <si>
    <t>6.	Construction of Street Lighting System at Brgy. Magahis, Tuy, Batangas</t>
  </si>
  <si>
    <t>10.	Construction/Completion of Multi-Purpose Covered Court at Brgy. Dulangan (Phase II),                                      San Luis, Batangas</t>
  </si>
  <si>
    <t>Supply and Delivery of Plumbing Materials to be used at Various Barangay for 2020 in the City of San Fernando, Pampanga</t>
  </si>
  <si>
    <t>Supply and Delivery of One (1) lot  Various Materials for the Rehabilitation of Fish Sanctuaries</t>
  </si>
  <si>
    <t>5.	Construction of Barangay / Farm to Market Road at Brgy. Caloocan, Balayan, Batangas</t>
  </si>
  <si>
    <t>CONSTRUCTION OF PANURAN-SITIO AGILAN-TABULWANG ACCESS ROAD OF PENRO, ILOILO</t>
  </si>
  <si>
    <t>Construction of Water System</t>
  </si>
  <si>
    <t>SUPPLY &amp; DELIVERY OF ULTRASOUND SCANNER MACHINE  WITH TRANS-VAGINAL PROBE</t>
  </si>
  <si>
    <t>INVITATION TO BID FOR THE PURCHASE OF BRANDNEW EMERGENCY TRANSPORT VEHICLE</t>
  </si>
  <si>
    <t>11.	Construction/Completion of Multi-Purpose Covered Court at Brgy. San Martin (Phase II), San Luis, Batangas</t>
  </si>
  <si>
    <t>18.	Construction of Canal/Drainage System, Seawall, Riprapping at Brgy. Luyos, Tanauan City, Batangas</t>
  </si>
  <si>
    <t>Supply and Delivery of Cleaning Materials and Tools to be used for "Oplan Linis Daan 2020" in the City of San Fernando, Pampanga subject to Ordering Agreement</t>
  </si>
  <si>
    <t>17.	Construction of Barangay / Farm to Market Road at Brgy. Cale (Asphalt Overlay), Tanauan City, Batangas</t>
  </si>
  <si>
    <t>16.	Construction of Multi-Purpose Covered Court at Brgy. Tayuman, Lobo, Batangas</t>
  </si>
  <si>
    <t>Procurement of Three(3) units Motorcycles to be used for Mayor's/Engineering/Building Office and Municipal Agriculturist Office, Municipality of Balasan</t>
  </si>
  <si>
    <t>SUPPLY &amp; DELIVERY OF VARIOUS MEDICAL EQUIPMENT</t>
  </si>
  <si>
    <t>14.	Construction of Multi-Purpose Hall at Brgy. Tejero, San Luis, Batangas</t>
  </si>
  <si>
    <t>21.	Construction of Barangay / Farm to Market Road at Brgy. Bulihan, Rosario, Batangas</t>
  </si>
  <si>
    <t>CONSTRUCTION OF CARATAGAN IRRIGATION PIPELINE SYSTEM OF PENRO, ILOILO</t>
  </si>
  <si>
    <t>Supply and Delivery of Office Supplies for VSU External Campuses-REBID</t>
  </si>
  <si>
    <t>Hygiene Kit Assistance for Senior Citizens</t>
  </si>
  <si>
    <t>RE-INVITATION TO BID FOR THE CONSTRUCTION OF ATIMONAN IRRIGATION PIPELINE SYSTEM OF PENRO, ILOILO</t>
  </si>
  <si>
    <t>20.	Construction of Barangay / Farm to Market Road at Brgy. Inosluban, Lipa City, Batangas</t>
  </si>
  <si>
    <t>13.	Construction of Evacuation Center at Brgy. Aplaya (Phase III), Bauan, Batangas</t>
  </si>
  <si>
    <t>SUPPLY &amp; DELIVERY OF PHOTOTHERAPY UNIT</t>
  </si>
  <si>
    <t>SUPPLY &amp; DELIVERY OF VENTILATOR</t>
  </si>
  <si>
    <t>12.	Construction of Footbridge at Brgy. Tabangao-Ambulong (Phase II), Batangas City</t>
  </si>
  <si>
    <t>19.	Construction of Barangay / Farm to Market Road at Brgy. Marawoy, Lipa City, Batangas</t>
  </si>
  <si>
    <t>15.	Construction of Multi-Purpose Covered Court at Brgy. San Pedro, Bauan, Batangas</t>
  </si>
  <si>
    <t>Supply and Delivery of IT Equipment to be used for the Preparation of Schedule of Market Values and Conduct of General Revision of Real Property Assessments in the City of San Fernando, Pampanga</t>
  </si>
  <si>
    <t>CONSTRUCTION OF OYSTER MUSHROOM BUILDING (PHASE 1), MUNICIPAL AGRICULTURE’S OFFICE, BARANGAY 3, SFADS</t>
  </si>
  <si>
    <t>28.	Construction of Canal/Drainage System, Seawall, Riprapping at Brgy. Pangao, Lipa City, Batangas</t>
  </si>
  <si>
    <t>20GG00018 - Procurement of Pest Control Treatment of DPWH Buildings and Disinfection Premises and Working Area, DPWH Regional Office VI, Iloilo City</t>
  </si>
  <si>
    <t>27.	Construction of Canal/Drainage System, Seawall, Riprapping at Brgy. Pag-olingin Bata, Lipa City, Batangas</t>
  </si>
  <si>
    <t>Drilling Service for the Construction / Rehabilitation of Potable Water System</t>
  </si>
  <si>
    <t>26.	Construction of Barangay / Farm to Market Road at Brgy. Maalas-as, Rosario, Batangas</t>
  </si>
  <si>
    <t>23.	Construction of Barangay / Farm to Market Road at Brgy. Cahigam, Rosario, Batangas</t>
  </si>
  <si>
    <t>25.	Construction of Barangay / Farm to Market Road at Brgy. San Roque, Rosario, Batangas</t>
  </si>
  <si>
    <t>24.	Construction of Barangay / Farm to Market Road at Brgy. Natu, Rosario, Batangas</t>
  </si>
  <si>
    <t>FOR THE SUPPLY AND DELIVERY OF ICT SUPPLIES AND OTHER PERIPHERALS OF EMB REGION VI CY 2020 (RE-BID)</t>
  </si>
  <si>
    <t>29.	Construction/Completion of Multi-Purpose                           Covered Court at Brgy. San Isidro (Phase II), Rosario, Batangas</t>
  </si>
  <si>
    <t>22.	Construction of Barangay / Farm to Market Road at Brgy. Malaya, Rosario, Batangas</t>
  </si>
  <si>
    <t>Purchase of Printer</t>
  </si>
  <si>
    <t>small value for procurement of medecines and wash in school</t>
  </si>
  <si>
    <t>Procurement of One-Shot Assistance for the Marginalized Families</t>
  </si>
  <si>
    <t>Negotiated Procurement for Multi-Purpose Vehicle</t>
  </si>
  <si>
    <t>Improvement of Local Access Roads/Drainage Canal with Paved Shoulders</t>
  </si>
  <si>
    <t>20FE0124 – CONSTRUCTION OF CLASSROOMS, PAMPLONA NHS, PAMPLONA, CAMARINES SUR</t>
  </si>
  <si>
    <t>Supply and Delivery of Laboratory Supplies, PR# 2020-02-0197, RTF-04D, RTF-022-271</t>
  </si>
  <si>
    <t>20GFN0006 Furnishing of Fuel Oil &amp; Lubricants for use in Service Vehicles and Equipment assigned in Maintenance, Planning &amp; Design, Construction, Quality Assurance Section &amp; Gender and Development (GA</t>
  </si>
  <si>
    <t>SUPPLY AND DELIVERY OF WALL FANS FOR ALL PUBLIC ELEMENTARY AND SECONDARY SCHOOLS IN MAKATI CITY</t>
  </si>
  <si>
    <t>PURCHASE OF ONE (1) UNIT BRAND NEW HIGH LEVEL MODEL AMBULANCE WITH COMPLETE EQUIPMENT AND ACCESSORIES- 2nd POSTING</t>
  </si>
  <si>
    <t>30.	Construction of Street Lighting System at Brgy. Quezon, Lipa City, Batangas</t>
  </si>
  <si>
    <t>20GFN0007 FURNISHING AND DELIVERY OF CONSTRUCTION SUPPLIES, CONSTRUCTION EQUIPMENT/DEVICE, MEDICAL SUPPLIES, OTHER SUPPLIES &amp; CONSTRUCTION TOOLS FOR USE IN THE MAINTENANCE SECTION, DPWH, CAMARINES 5TH</t>
  </si>
  <si>
    <t>20OF0319 Construction of four (4) storey twelve (12) classroom School Building at Placido Del Mundo E/S, Q.C.</t>
  </si>
  <si>
    <t>20OF0321 Construction/Rehabilitation of Multi-Purpose Building, Vargas Compound, Brgy. Culiat, Q.C.</t>
  </si>
  <si>
    <t>33.	Construction of Street Lighting System at Brgy. San Celestino, Lipa City, Batangas</t>
  </si>
  <si>
    <t>Package 03 -2020: Vehicle Rental Services of Eighteen (18) Units Vehicle with Tracker (Global Positioning System) for the Year 2020</t>
  </si>
  <si>
    <t>20GFN0008 FURNISHING AND DELIVERY OF COMMON OFFICE DEVICE AND EQUIPMENT FOR USE AT THE EMPLOYEES QUARTER AND LOBBY IN DPWH, CAMARINES 5TH DISTRICT ENGINEERING OFFICE, STA. TERESITA, BAAO, CAMARINES SU</t>
  </si>
  <si>
    <t>32.	Construction of Street Lighting System at Brgy. Inosluban, Lipa City, Batangas</t>
  </si>
  <si>
    <t>Supply and Delivery of Filling Materials to be used for the Land Development of the City Town Center (Embankment) Phase III at Calulut, City of San Fernando, Pampanga</t>
  </si>
  <si>
    <t>SUPPLY AND DELIVERY OF CUSTOMIZED ON-THE-GO (OTG) FLASHDRIVES FOR DISTRIBUTION TO ALL PUBLIC ELEMENTARY AND SECONDARY STUDENTS, TEACHERS AND TEACHING RELATED PERSONNEL IN MAKATI CITY</t>
  </si>
  <si>
    <t>SUPPLY AND DELIVERY OF CUSTOMIZED WASHABLE/REUSABLE CLOTH FACE MASKS WITH POUCH FOR DISTRIBUTION TO ALL PUBLIC ELEMENTARY AND SECONDARY STUDENTS IN MAKATI CITY</t>
  </si>
  <si>
    <t>Reproduction of Modules</t>
  </si>
  <si>
    <t>PRINTING/REPRODUCTION OF SELF-DIRECTED LEARNER'S MODULES FOR ALL PUBLIC ELEMENTARY AND SECONDARY SCHOOLS IN MAKATI CITY</t>
  </si>
  <si>
    <t>20OF0317 Construction of four (4) storey sixteen (16) classroom School Building at Rosa L. Susano E/S, Q.C.</t>
  </si>
  <si>
    <t>20GFN0005 Furnishing and delivery of Materials for use in the Planning &amp; Design Section – CY 2020 Gender and Development (GAD) Expenditures in DPWH Camarines Sur 5th DEO, Sta. Teresita, Baao, Camarine</t>
  </si>
  <si>
    <t>Supply and Delivery of Water Meter 1/2" diam. ( F-046-0411-20 )</t>
  </si>
  <si>
    <t>31.	Construction of Street Lighting System at Brgy. Marawoy, Lipa City, Batangas</t>
  </si>
  <si>
    <t>20G00099 - Repair/Maintenance of DPWH Buildings, Regional Office</t>
  </si>
  <si>
    <t>Gasoline/ Diesoline for use of the Municipal Vehicles during the official transactions of the Municipality for the period of 2nd - 4th Quarter of 2020. (RE-BID)</t>
  </si>
  <si>
    <t>Supply and Delivery of Piston w/ Ring &amp; Piston Liner ( A-061-0061-20 )</t>
  </si>
  <si>
    <t>20OF0320 Construction of Retaining Wall at Kaligayahan E/S, Q.C.</t>
  </si>
  <si>
    <t>PUBLIC BIDDING FOR THE SUPPLY AND DELIVERY OF FAMILY PLANNING COMMODITIES (LINE ITEM)</t>
  </si>
  <si>
    <t>CRN 029- CONST/SPORTS PARK-WPULO-TF-INFRA-2020</t>
  </si>
  <si>
    <t>20OF0318 Construction of four (4) storey twelve (12) classroom School Building at Lucas R. Pascual E/S, Q.C.</t>
  </si>
  <si>
    <t>CONSTRUCTION MATERIALS FOR 7-UNITS HOUSING PROJECT</t>
  </si>
  <si>
    <t>35.	Construction of Street Lighting System at Brgy. Masaya, Rosario, Batangas</t>
  </si>
  <si>
    <t>36.	Construction of Street Lighting System at Brgy. Sabang, Ibaan, Batangas</t>
  </si>
  <si>
    <t>34.	Construction of Street Lighting System at Brgy. Pag-olingin East, Lipa City, Batangas</t>
  </si>
  <si>
    <t>Supply and Delivery of Brass and Gi Fittings ( F-039-0404-20 )</t>
  </si>
  <si>
    <t>20OF0323 Construction of Multi-Purpose Building and Integrated Learning Facilities at Brgy. Santa Monica, Q.C.</t>
  </si>
  <si>
    <t>REPAIR / REPLACEMENT OF DEFECTIVE CCTV CAMERA</t>
  </si>
  <si>
    <t>Supply and Delivery of Laboratory Supplies, PR# 2020-01-0193, RTF-04F, RTF-019-283</t>
  </si>
  <si>
    <t>HYDRAULIC OIL</t>
  </si>
  <si>
    <t>Supply and Delivery of various carpentry Supplies and Matarials</t>
  </si>
  <si>
    <t>PURCHASE OF FARM INPUTS AND EQUIPMENTS</t>
  </si>
  <si>
    <t>CIVIL WORKS FOR THE COMPLETION OF ROAD CONCRETING OF DIGAL ST. EXTENSION LEADING TO P-4 STO. NIÑO, MAGALLANES, A.D.N</t>
  </si>
  <si>
    <t>SUPPLY AND DELIVERY OF CONSTRUCTION MATERIALS FOR THE REPAIR OF RADIO STATION BUILDING (PB-LAP-2020-067)</t>
  </si>
  <si>
    <t>38.	Repair of Brgy. 6 - Madalunot Provincial Road, Calaca, Batangas (Asphalt Overlay)</t>
  </si>
  <si>
    <t>SUPPLY AND DELIVERY OF LABOR AND MATERIALS OF THE PROJECT CONSTRUCTION/REHABILITATION OF DRAINAGE  SYSTEM, BRGY POBLACION &amp; BRGY. MADULAO, CATANAUAN, QUEZON</t>
  </si>
  <si>
    <t>20FE0126 – CONSTRUCTION OF CLASSROOMS, MALITBOG ES, MINALABAC, CAMARINES SUR</t>
  </si>
  <si>
    <t>SUPPLY, DELIVERY AND COMMISSIONING OF ENDOSCOPIC VIDEO INFORMATION SYSTEM WITH BUILT-IN NARROW BAND IMAGING SYSTEM</t>
  </si>
  <si>
    <t>SUPPLY AND DELIVERY OF CONSTRUCTION MATERIALS FOR THE CONSTRUCTION OF VIEW DECK PHASE II (PB-LAP-2020-066)</t>
  </si>
  <si>
    <t>20GFG0019 - Procurement of Manual Total Station for use in the Survey Works at DPWH, Camarines Sur 4th District Engineering Office DPWH, Camarines Sur 4th DEO, Caraycayon, Tigaon, Camarines Sur</t>
  </si>
  <si>
    <t>41.	Repair of Poblacion - Dagatan Provincial Road, Taysan, Batangas</t>
  </si>
  <si>
    <t>43.	Repair of PSWDO at Provincial Capitol Compound, Brgy. Kumintang Ibaba, Batangas City</t>
  </si>
  <si>
    <t>Rehabilitation of Water System, Brgy. Bayog, Canlaon City</t>
  </si>
  <si>
    <t>40.	Repair of Poblacion, Rosario - Mahanadiong, Taysan Provincial Road, Rosario, Batangas</t>
  </si>
  <si>
    <t>20G00100 - Construction of Concrete Road – Barangay Comon – San Pedro Coastal Road leading to San Jose Port and Beaches, Resorts and Sunset Viewing, San Jose, Antique</t>
  </si>
  <si>
    <t>HAULING, TRANSFER AND DISPOSAL OF SOLID WASTE FROM TRANSFER STATION TO A LICENSED SANITARY LANDFILL FACILITY INCLUDING OPERATION AND MAINTENANCE OF TRANSFER STATION AT STA ROSA II. (FOR THE MONTH OF J</t>
  </si>
  <si>
    <t>ROAD CONCRETING (PCCP) at Bgy. Calibangbangan</t>
  </si>
  <si>
    <t>PROCUREMENT OF WAREHOUSE HANDLING (AND ALLIED) SERVICES FOR GRAINS FOR NFA-NCR AND BATANES FOR AUGUST 1 TO DECEMBER 31, 2020</t>
  </si>
  <si>
    <t>Improvement/Rehabilitation of Administrative Building, City Engineering, Brgy. Pabnubigan, Canlaon City</t>
  </si>
  <si>
    <t>SUPPLY AND DELIVERY OF OFFICE, COMPUTER, JANITORIAL SUPPLIES &amp; OTHERS SUPPLIES, MACHINERIES AND FURNITURES &amp; FIXTURES OF LGU-CATANAUAN, QUEZON</t>
  </si>
  <si>
    <t>ROAD CONCRETING (PCCP) at Bgy. Cabunlawan</t>
  </si>
  <si>
    <t>COMPLETION OF ULBUJAN MULTIPURPOSE COVERED COURT (LABOR ONLY) - ULBUJAN, CALAPE, BOHOL</t>
  </si>
  <si>
    <t>Improvement of Multi-Purpose Building, Brgy. Binalbagan, Canlaon City</t>
  </si>
  <si>
    <t>LGU-COR. 2020-065</t>
  </si>
  <si>
    <t>42.	Repair of Salaban Bridge Approach along Poblacion 3, San Jose - Poblacion, Ibaan Provincial Road, San Jose, Batangas</t>
  </si>
  <si>
    <t>Concreting of Pathway, Po. Greenhills, Brgy. Mabigo, Canlaon City</t>
  </si>
  <si>
    <t>COMPLETION OF ULBUJAN MULTIPURPOSE COVERED COURT (MATERIALS ONLY) - ULBUJAN, CALAPE, BOHOL</t>
  </si>
  <si>
    <t>ROAD CONCRETING (PCCP) at Bgy. Barangonan</t>
  </si>
  <si>
    <t>Procurement of One (1) Unit thimble-Type Ionization Chamber with Electrometer and Water Proofing Sleeves - (Rebid)</t>
  </si>
  <si>
    <t>Construction of Organic Fertilizer Production Center</t>
  </si>
  <si>
    <t>EMB-NCB-GOODS-05-2020 (Supply and Delivery of Information and Communication Equipment)</t>
  </si>
  <si>
    <t>CONSTRUCTION OF HAZARDOUS WASTE SEPTIC VAULT AT MUNICIPAL DUMPSITE, DAMILAG, BARANGAY PISAAN, SFADS</t>
  </si>
  <si>
    <t>Supply &amp; Delivery of Heavy Duty Shredder with Trailer</t>
  </si>
  <si>
    <t>20GJI0035 - Procurement of materials and supplies for use in the pavement maintenance (Installation of Guardrails) Routine     Maintenance 71x Special Maintenance Project along Lanao-    Pagadian-Zamb</t>
  </si>
  <si>
    <t>Proposed Basement of HRMO Office located at New City Hall Building</t>
  </si>
  <si>
    <t>Supply and Delivery of Water Meter of Various Sizes for Replenishment of Stocks</t>
  </si>
  <si>
    <t>Negotiated Procurement for Passenger Van</t>
  </si>
  <si>
    <t>Construction of Barangay Health Center (ONE JOB)</t>
  </si>
  <si>
    <t>PROCUREMENT OF CAB AND CHASIS EURO 4 VEHICLE</t>
  </si>
  <si>
    <t>20AE0070: Construction of 2-Storey 4-Classroom School Building at Lipay Integrated School, San Gabriel, La Union</t>
  </si>
  <si>
    <t>CONSTRUCTION OF CABAMBANGAN CHB LINED CANAL</t>
  </si>
  <si>
    <t>PROPOSED SERVICE ENTRANCE COLLEGE OF MEDICINE UNIVERSITY OF THE PHILIPPINES MANILA</t>
  </si>
  <si>
    <t>PROCUREMENT OF ONE (1) UNIT GARBAGE TRUCK COMPACTOR</t>
  </si>
  <si>
    <t>Bulaklakan Farm to Market Road (FMR) Concreting</t>
  </si>
  <si>
    <t>Proposed Renovation/Upgrading of Legislative Hall (materials only), Municipal Hall, Balasan, Iloilo</t>
  </si>
  <si>
    <t>20MH0105 - Construction of Two(2)-Storey, Six(6)-Classrooms School Building at Bagumbayan National High School, Bagumbayan, Sultan Kudarat</t>
  </si>
  <si>
    <t>Repair of Footbridge, Proper &amp; Sitio banban, Brgy. Bucalan, Canlaon City</t>
  </si>
  <si>
    <t>20AE0069: Construction of 2 Storey 4 Classroom School Building at Corrooy Elementary School, Santol, La Union</t>
  </si>
  <si>
    <t>20MH0104 - Construction of Two(2)-Storey, Six(6)-Classrooms School Building at Bagumbayan Central Elementary School, Bagumbayan, Sultan Kudarat</t>
  </si>
  <si>
    <t>20GMH049 - Rental of Service Vehicle for use in the Conduct of Environmental Impact Assessment (EIA) and Inspection/Validation of Regional Budget Proposal (RBP) along Awang-Upi-Lebak-Kalamansig-Palimb</t>
  </si>
  <si>
    <t>BUAGAO SIP/REMAINING WORKS SMALL IRRIGATION PROJECTS FUND/CY 2019</t>
  </si>
  <si>
    <t>20MH0106 - Construction of Two(2)-Storey, Six(6)-Classrooms School Building at Esperanza National High School, Esperanza, Sultan Kudarat</t>
  </si>
  <si>
    <t>Spares for the Scheduled Maintenance of FA-50PH Aircraft</t>
  </si>
  <si>
    <t>LGU-COR. 2020-066</t>
  </si>
  <si>
    <t>S1-CAT20-004 - Supply and Delivery of Electrical Security Parts for Various Gensets under Bicol Operations Division</t>
  </si>
  <si>
    <t>Spares and Services for the Repair and Overhaul of the Engine System of MD-520MG #395, 410 and 417</t>
  </si>
  <si>
    <t>PROCUREMENT OF MATERIALS FOR TEMPORARY HOLDING FACILITY</t>
  </si>
  <si>
    <t>Rehabilitation/Expansion of Water System</t>
  </si>
  <si>
    <t>Procurement of Catering Services, Venue, and Accommodation for 2020 Census of Population and Housing (Re-Bidding)</t>
  </si>
  <si>
    <t>Completion of Concrete Bridge/Bongolanon-Kinarum Road Leading to Kirungdong Waterfalls and Wildlife Rescue Center, Brgy. Kinarum, Magpet, North Cotabato</t>
  </si>
  <si>
    <t>INFRA 2K20-45 CONST. OF FOUR (4) UNITS ELEVATED STEEL TANK STAND &amp; INSTALLATION OF 2,600 LTRS. CAP. STAINLESS TANK @ FARMERS' HALL, FISHERMEN'S HALL, FLORAL HALL &amp; SHEPHERDS' HALL</t>
  </si>
  <si>
    <t>Procurement of Desktop and Laptop Computers with Accessories - (Rebid)</t>
  </si>
  <si>
    <t>PURCHASE OF VARIOUS RESCUE SUPPLIES</t>
  </si>
  <si>
    <t>Spares and Services for the Installation of Multi-Function Display of S-211 Aircraft Nr 008 and 802</t>
  </si>
  <si>
    <t>Concreting of Roads in Different Barangays  (Malinao, San Nicolas, General Esco, Mahabang Parang, San Luis, Inarawan, Banuton, Caburo &amp; Tagumpay), Naujan, Oriental Mindoro</t>
  </si>
  <si>
    <t>20AE0068: Construction of 2 Storey 6 Classroom School Building at Duplas National High School, Sudipen, La Union</t>
  </si>
  <si>
    <t>ROAD CONCRETING (PCCP) at Bgy. New Colaylayan</t>
  </si>
  <si>
    <t>Supply and Delivery of 1 lot various Electronic Supplies and Accessories</t>
  </si>
  <si>
    <t>PROJ. 151 - C.O 2020</t>
  </si>
  <si>
    <t>MAINTENANCE OF CCTV CAMERAS</t>
  </si>
  <si>
    <t>IMPROVEMENT OF MUNICIPAL HALL STAIR AND STAIR COVER</t>
  </si>
  <si>
    <t>39.	Repair of San Pedro - Sta. Cruz Provincial Road, Sto. Tomas, Batangas</t>
  </si>
  <si>
    <t>37.	Repair of Putat - Papaya Provincial Road (Cavite Bdry.), Nasugbu, Batangas (Bridge approach and Riprapping)</t>
  </si>
  <si>
    <t>CID No. 20OD0192 - Construction of 4-Storey 12-Classroom School Building Caruhatan East ES, Valenzuela City</t>
  </si>
  <si>
    <t>20G00101 - Construction of Revetment Wall along Cangaranan River at Cangaranan Bridge (Abutment A), Bugasong, Antique</t>
  </si>
  <si>
    <t>05b-07-2020 -INSTALLATION, CONFIGURATION &amp; TESTING OF LGU PUBLIC WIFI &amp; CCTV SURVEILLANCE SYSTEM</t>
  </si>
  <si>
    <t>Supply and Delivery of Brass and Gi Street Elbow 1/2" Fittings ( F-031-0396-20 )</t>
  </si>
  <si>
    <t>Contract ID No.: 20OB0349 Contract Name: Rehabilitation of Maharlika Trade Center including Site Development, Brgy. Maharlika, Taguig City</t>
  </si>
  <si>
    <t>Contract ID No.: 20OB0343 Contract Name: Construction of Multi-Purpose Building, Brgy. Sta. Ana, Taguig City</t>
  </si>
  <si>
    <t>Contract ID No.: 20OB0328 Contract Name: Construction of Multi-Purpose Building (Senior Citizens Center), Brgy. Sta. Ana, Taguig City</t>
  </si>
  <si>
    <t>Liferaft</t>
  </si>
  <si>
    <t>20GG0180 - CONSTRUCTION OF ONE (1) UNIT ONE (1) STOREY TWO (2) CLASSROOMS WITH TOILET, TRANGKA INTEGRATED SCHOOL, MAASIN, ILOILO</t>
  </si>
  <si>
    <t>20GG0179 - CONSTRUCTION OF ONE (1) UNIT ONE (1) STOREY THREE (3) CLASSROOMS WITH TOILET, AYUYAN ELEMENTARY SCHOOL,  CITY OF PASSI, ILOILO</t>
  </si>
  <si>
    <t>20GG0178 - CONSTRUCTION OF ONE (1) UNIT TWO (2) STOREY FOUR (4) CLASSROOMS, PUGHANAN INTEGRATED SCHOOL, LAMBUNAO WEST, ILOILO</t>
  </si>
  <si>
    <t>20GG0177 - CONSTRUCTION OF ONE (1) UNIT ONE (1) STOREY TWO (2) CLASSROOMS, AGCAROPE ELEMENTARY SCHOOL, JANIUAY II, ILOILO</t>
  </si>
  <si>
    <t>Riprapping of Arman Creek at Purok Pikaw</t>
  </si>
  <si>
    <t>Contract ID No.: 20OB0336 Contract Name: Construction of Multi-Purpose Building and Site Development, Brgy. New Lower Bicutan, Taguig City</t>
  </si>
  <si>
    <t>Procurement of Equipment for Search, rescue and retrieval team -MDRRMO</t>
  </si>
  <si>
    <t>Construction of Anaao MPH, Phase VI</t>
  </si>
  <si>
    <t>Procurement of Materials and installation of office cubicle and glass partition of RPIMU and RFIMC internet network system/storage room.</t>
  </si>
  <si>
    <t>CID No. 20OD0195 - Construction of 4-Storey 12-Classroom School Building Barrio San Jose ES, Caloocan City</t>
  </si>
  <si>
    <t>CID No. 20OD0193 - Construction of 4-Storey 16-Classroom School Building Caruhatan East ES, Valenzuela City</t>
  </si>
  <si>
    <t>20MH0107 - Construction of Two(2)-Storey, Six(6)-Classrooms School Building at Sen. Ninoy Aquino National High School, Sen. Ninoy Aquino, Sultan Kudarat</t>
  </si>
  <si>
    <t>Labor and Materials for the Construction of the City of San Fernando Town Center Esplanade at City Town Center, Calulut, City of San Fernando, Pampanga</t>
  </si>
  <si>
    <t>ROAD CONCRETING OF PUROK 2</t>
  </si>
  <si>
    <t>20FE0125 – CONSTRUCTION OF CLASSROOMS, TINANQUIHAN PS, LIBMANAN, CAMARINES SUR</t>
  </si>
  <si>
    <t>IB 2020-007-008 POSE Procurement of Office Supplies &amp; Equipment, Furnitures &amp; Fixtures 2020-08</t>
  </si>
  <si>
    <t>Construction of Command Operation Center (Public Safety Building) P1- MEO</t>
  </si>
  <si>
    <t>Courier Service</t>
  </si>
  <si>
    <t>AMP SVP-D NO: 20-05-0269B  One (1) Lot	 Molecular Biology Reagents</t>
  </si>
  <si>
    <t>Supply &amp; Delivery of Two (2) Units Passenger Van</t>
  </si>
  <si>
    <t>AMP SVP-D NO: 20-05-0290B One (1) Lot Calibration and Cleaning of Laboratory Equipment</t>
  </si>
  <si>
    <t>PROJ. 642 - MOOE, BDF &amp; RRMF 2020</t>
  </si>
  <si>
    <t>20GG0181 - CONSTRUCTION OF ONE (1) UNIT ONE (1) STOREY THREE (3) CLASSROOMS WITH TOILET, DOMINADOR ABANG MNHS, SAN ENRIQUE, ILOILO</t>
  </si>
  <si>
    <t>Invitation to Bid for Concreting of Centro 1 Farm to Market Road (Road 2)</t>
  </si>
  <si>
    <t>ITDI-PB-INFRA-2020-CO-01 EBD - REPAIR/RENOVATION OF SELECTED OFFICES/STAFF ROOMS, LABORATORIES &amp; FACILITIES OF ENVIRONMENT &amp; BIOTECHNOLOGY DIVISION (EBD)</t>
  </si>
  <si>
    <t>2020 15TH PUBLIC BIDDING FOR PROCUREMENT OF MEDICAL EQUIPMENT</t>
  </si>
  <si>
    <t>Contract ID No.: 20OB0437 Contract Name: Construction of Four (4) Storey, Eight (8) Classroom at San Miguel Elementary School, Brgy. San Miguel, Pasig City</t>
  </si>
  <si>
    <t>CONSTRUCTION OF TWO STOREY MULTI PURPOSE HALL AT BRGY. SAN RAFAEL, CALACA, BATANGAS</t>
  </si>
  <si>
    <t>Procurement of Medical Supplies and equipment</t>
  </si>
  <si>
    <t>Supply and Delivery of Brand New Service Vehicle (MPV)</t>
  </si>
  <si>
    <t xml:space="preserve">20CSEG01-Geotechnical Investigation for the Proposed  FY 2021 Infrastructure Program-Bridges Replacement of Weak Bridge – Tanabag Bridge 1 (B00100PW), K0065+179, Puerto  Princesa North Road, Widening </t>
  </si>
  <si>
    <t>Invitation to Bid for Concreting of San Jose Norte 2 to Casili Farm to Market Road</t>
  </si>
  <si>
    <t>Procurement of HIV Test Kits</t>
  </si>
  <si>
    <t>2020-143-I PROCUREMENT AND DELIVERY OF FEEDS FOR SAAD PROGRAM CY 2020</t>
  </si>
  <si>
    <t>REBIDDING OF LOT 1: SUPPLY AND DELIVERY OF VARIOUS MEDICAL AND SURGICAL SUPPLIES</t>
  </si>
  <si>
    <t>REHABILITION OF MULIT-PURPOSE HALL Phase II</t>
  </si>
  <si>
    <t>CONCRETING OF BARANGAY ROAD (BANAYBANAY)</t>
  </si>
  <si>
    <t>20MH0108 - Repair/Maintenance of River Bank Protection at Magon Bridge along Sen. Ninoy Aquino-Lebak-Kalamansig Road, K1881 + 940</t>
  </si>
  <si>
    <t>CONCRETING OF SAN RAMON BARANGAY ROAD (PUROK 3)</t>
  </si>
  <si>
    <t>Procurement of Personal Protective Equipment</t>
  </si>
  <si>
    <t>Contract ID No.: 20OB0318 Contract Name: Construction (Completion) of Multi-Purpose Building (TUP Hostel), Brgy. Western Bicutan, Taguig City</t>
  </si>
  <si>
    <t>Construction of 1-Unit Municipal Motor Pool Facility with Basic Amenities, Equipment and Concrete Perimeter Fence</t>
  </si>
  <si>
    <t>Proposed Construction of Malimono District Hospital Admin Building, Surigao del Norte</t>
  </si>
  <si>
    <t>Construction of Farm-to-Market Road (Sta.1+575-Sta.1+645)</t>
  </si>
  <si>
    <t>Purchase of  materials for the construction of canal lining at Catugay, Baggao, Cagayan</t>
  </si>
  <si>
    <t>PROCUREMENT OF SAFETY &amp; OCCUPATIONAL PRODUCTS</t>
  </si>
  <si>
    <t>Construction of Farm-to-Market Road (Sta.1+505-Sta.1+575)</t>
  </si>
  <si>
    <t>PROCUREMENT OF 6 LOTS FUEL, OIL AND LUBRICANTS</t>
  </si>
  <si>
    <t>Supply and delivery for the Construction of Waterworks System at Purok 1, Concepcion, Mabini, Bohol</t>
  </si>
  <si>
    <t>Purchase of materials for the construction of canal lining (zone 1) at Dalin, Baggao, Cagayan</t>
  </si>
  <si>
    <t>Procurement of HIV Supplies</t>
  </si>
  <si>
    <t>PROCUREMENT OF 1 LOT  JANITORIAL SUPPLIES</t>
  </si>
  <si>
    <t>Proposed Upgrading of  Bunawan District Hospital (Construction of Additional Ward Building), Bunawan District Hospital, Agusan del Sur</t>
  </si>
  <si>
    <t>PROCUREMENT OF 2 LOTS DRUGS AND MEDICINES</t>
  </si>
  <si>
    <t>PROCUREMENT OF SECURITY SURVEILLANCE &amp; DETECTION EQUIPMENT (CCTV CAMERAS)</t>
  </si>
  <si>
    <t>Purchase of  materials for the construction/completion of Multi-Purpose Building at Catugay, Baggao, Cagayan</t>
  </si>
  <si>
    <t>PROCUREMENT OF POWER GENERATION &amp; MACHINERY EQUIPMENT</t>
  </si>
  <si>
    <t>PROCUREMENT OF 1 LOT FURNITURE PARTS AND ACCESSORIES</t>
  </si>
  <si>
    <t>Completion of Evacuation Center at M. Adriatico, Gloria, Or. Mindoro</t>
  </si>
  <si>
    <t>PROCUREMENT OF 1 LOT VEHICLE PARTS &amp; ACCESSORIES</t>
  </si>
  <si>
    <t>PROCUREMENT OF 1 LOT INFORMATION TECHNOLOGY PARTS AND ACCESSORIES</t>
  </si>
  <si>
    <t>PROCUREMENT OF SECURITY SURVEILLANCE &amp; DETECTION EQUIPMENT (DRONE)</t>
  </si>
  <si>
    <t>Concreting of Road at Sta. Maria, Mansalay, Or. Mindoro</t>
  </si>
  <si>
    <t>Procurement of Fetal Doppler</t>
  </si>
  <si>
    <t>20EE0138 Construction of Slope Protection for 2 Storey 8 Classroom Bucana Elementary School, El Nido, Palawan</t>
  </si>
  <si>
    <t>Proposed Upgrading of Nasipit District Hospital (Construction of Laundry Building and Repair Renovation of BEMONC Building)</t>
  </si>
  <si>
    <t>Proposed Construction of Cadaver Holding, Lianga District Hospital, Surigao del Sur</t>
  </si>
  <si>
    <t>STA ISABEL GOODS: INCIDENT COMMAND CENTER (PHASE 2)</t>
  </si>
  <si>
    <t>Invitation to Bid for Concreting of Centro 2 Farm to Market Road</t>
  </si>
  <si>
    <t>Contract ID No.: 20OB0436 Contract Name: Construction of Four (4) Storey, Eight (8) Classroom at Kalawaan Elementary School, Brgy. Kalawaan, Pasig City</t>
  </si>
  <si>
    <t>Fence Repair, Entrance Arch, Gates and Signages Cagayan Farm School and Agri – Tourism Center, Anquiray, Amulung, Cagayan</t>
  </si>
  <si>
    <t>Procurement of Medical Equipment (BHS Package)</t>
  </si>
  <si>
    <t>Proposed Upgrading of Talacogon District Hospital (Construction of Isolation Building), Talacogon District Hospital, Agusan del Sur</t>
  </si>
  <si>
    <t>Cluster 3 a – (Dev’t of Ballesteros Agri – Eco Tourism Park Project) Animal Farm Development (Cagayan Breeding Farm) and Forage and Pasture Development Zitanga, Ballesteros, Cagayan</t>
  </si>
  <si>
    <t>Development of Eco Park at Cagayan Sports Complex, Tuguegarao City Cagayan</t>
  </si>
  <si>
    <t>PROCUREMENT OF MEDICINES/ SUPPLEMENTS</t>
  </si>
  <si>
    <t>Construction of PENRO Admin Building Nassiping, Gattaran, Cagayan</t>
  </si>
  <si>
    <t>1.0km Boardwalk (Phase 01) 96 Spans x 3.00m (Cagayan Eco Tourism Forest Park) Nassiping, Gattaran, Cagayan</t>
  </si>
  <si>
    <t>Concreting of Road at Brgy. Mabuhay, Roxas, Or. Mindoro</t>
  </si>
  <si>
    <t>Construction of Water System at Panikian, Naujan, Oriental Mindoro</t>
  </si>
  <si>
    <t>SUPPLY AND DELIVERY OF TWENTY (20) UNITS BRAND NEW MULTI-PURPOSE VEHICLES (MULTICAB) FOR DISASTER PREPARED BARANGAYS</t>
  </si>
  <si>
    <t>Concreting of Road Leading to Parola at Brgy. San Jose, Roxas, Oriental Mindoro</t>
  </si>
  <si>
    <t>Proposed concreting of road at Patria Village, Brgy. Del Remedio, San Pablo City.</t>
  </si>
  <si>
    <t>Concreting of Balite-Pachoca-Lalud Road, Calapan City, Or. Mindoro</t>
  </si>
  <si>
    <t>Concreting of Road Network with Line Drainage Tuao District Hospital, Tuao, Cagayan</t>
  </si>
  <si>
    <t>Concreting of Road at Roma, Mansalay, Oriental Mindoro</t>
  </si>
  <si>
    <t>CONSTRUCTION OF MULTIPURPOSE BUILDING AND COVERED COURT</t>
  </si>
  <si>
    <t>Purchase of  materials for the construction of perimeter fence at Catugay, Baggao, Cagayan</t>
  </si>
  <si>
    <t>DRYDOCKING AND REPAIR WORKS OF VARIOUS BFAR PATROL VESSELS.</t>
  </si>
  <si>
    <t>20EE0137 Construction of Bridge, So. Dimachikchik Barangay Salvacion, Busuanga, Palawan</t>
  </si>
  <si>
    <t>EXPANSION OF EVACUATION CENTER</t>
  </si>
  <si>
    <t>Concreting of Culung – Bugnay Farm to Market Road at Tuao, Cagayan</t>
  </si>
  <si>
    <t>DIS-19-1554-B - Purchase of Construction Materials</t>
  </si>
  <si>
    <t>LOCAL ACCESS ROAD-PAQUET</t>
  </si>
  <si>
    <t>Construction of OPA Admin Building Anquiray, Amulung, Cagayan</t>
  </si>
  <si>
    <t>Proposed construction of line canal at Brgy. San Nicolas, San Pablo City.</t>
  </si>
  <si>
    <t>LOCAL ACCESS ROAD-TADJI</t>
  </si>
  <si>
    <t>Various Infrastructure Projects @ Rodriguez, Rizal</t>
  </si>
  <si>
    <t>Cluster 6 Anquiray Farm Tourism Development Project (Farm Service Area Network Development, Farm Utilities Development (Construction of Tanks and Pipelines), Farm Utilities Development (Electrical Sys</t>
  </si>
  <si>
    <t>AMP SVPD NO: 20-06-0352 IT Equipment</t>
  </si>
  <si>
    <t>SUPPLY AND DELIVERY OF ONE (1) UNIT BRAND NEW DISASTER MONITORING VEHICLE (SPORTS UTILITY VEHICLE) FOR CITY DISASTER RISK REDUCTION AND MANAGEMENT OFFICE</t>
  </si>
  <si>
    <t>Nassiping Eco Park Development Project Construction of Water System (Tanks and Distribution Lines) Nassiping, Gattaran, Cagayan</t>
  </si>
  <si>
    <t>Construction of Multi Purpose Building Sub Capitol Bangag Lallo Cagayan</t>
  </si>
  <si>
    <t>Concreting of Road at Wasig, Mansalay, Oriental Mindoro</t>
  </si>
  <si>
    <t>Construction of Second Floor of Cagayan Provincial Jail Grid Line A-G, 1-10, Tuguegarao City</t>
  </si>
  <si>
    <t>Procurement of Various Drugs and Medicines-06-096(Q)ZNMC</t>
  </si>
  <si>
    <t>LABOR SERVICES AND OTHER ENVIRONMENTAL AND SANITARY SERVICES FOR THE MAINTENANCE OF CLEANLINESS OF NAGA CITY PREMISES AMD OTHER CITY FACILITIES</t>
  </si>
  <si>
    <t>Completion of Multi Purpose Building (Back of Aranz Granstand) Cagayan Sports Complex, Tuguegarao City</t>
  </si>
  <si>
    <t>Supply and delivery of Drugs and Medicines for 48 Barangays and City Health Office use.  (1st and 2nd Quarter) Re- Bid</t>
  </si>
  <si>
    <t>Calinan Central School Supplies and Materials</t>
  </si>
  <si>
    <t>Construction of MEO Building, Phase 1</t>
  </si>
  <si>
    <t>PROOCUREMENT OF MICRO-INFRA PROJECTS CLUSTER 03-2020 (MDF 2019/2020), BILA/ BOBOK-BISAL, BENGUET</t>
  </si>
  <si>
    <t>Improvement of Multi-Purpose Hall (Phase 1)</t>
  </si>
  <si>
    <t>Improvement of Multi Purpose Tuao Central Elementary School (Repair of Roof – School) Gymnasium</t>
  </si>
  <si>
    <t>PPD-20-0661-B - Purchase of Office Equipment</t>
  </si>
  <si>
    <t>Concreting of Road at Sitio Proper West II, Nag-iba II, Naujan, Oriental Mindoro</t>
  </si>
  <si>
    <t>“PROCUREMENT OF LIFE INSURANCE”</t>
  </si>
  <si>
    <t>SUPPLY &amp; DELIVERY OF ECG MACHINE WITH ANALYZER</t>
  </si>
  <si>
    <t>Delivery of Oil and Lubricants (1st, 2nd &amp; 3rd Quarter 2020) (ITB 20-074)</t>
  </si>
  <si>
    <t>MACHINERIES &amp; EQUIPMENT</t>
  </si>
  <si>
    <t>Delivery of various Agricultural supplies (1st Semester 2020 - Consolidated) (re-bid) (ITB 20-073)</t>
  </si>
  <si>
    <t>CONSTRUCTION OF COVERED COURT-NANTAWAKAN</t>
  </si>
  <si>
    <t>PROCUREMENT OF WATCHES under SVP NO. 2020-034</t>
  </si>
  <si>
    <t>CP 2020-39 BIDDING FOR THE SUPPLY, DELIVERY AND INSTALLATION OF COMBI BLINDS C/O CTO</t>
  </si>
  <si>
    <t>SUPPLY &amp; DELIVERY OF EXAMINING TABLE WITH STIRRUPS</t>
  </si>
  <si>
    <t>SUPPLY &amp; DELIVERY OF MEDICAL EQUIPMENT/ INSTRUMENT PACKAGES</t>
  </si>
  <si>
    <t>INVITATION TO BID FOR THE SUPPLY AND DELIVERY OF 16 AIR-CONDITIONING UNITS FOR CY 2020</t>
  </si>
  <si>
    <t>PURCHASE OF VEHICLE</t>
  </si>
  <si>
    <t>Meals and Accommodation during the conduct of 2nd Quarter BIFIRDEN Meeting on August 19-21, 2020 in Sorsogon City</t>
  </si>
  <si>
    <t>SVP PUR20-05-0451 Provision of High Speed Direct Internet Service for PGH</t>
  </si>
  <si>
    <t>SUPPLY AND DELIVERY OF HOTEL PROPERTY MANAGEMENT SYSTEM SOFTWARE PR NO. 2020-03-0474)</t>
  </si>
  <si>
    <t>SUPPLY &amp; DELIVERY OF AUTOCLAVE</t>
  </si>
  <si>
    <t>INVITATION TO BID FOR: SUPPLY, DELIVERY AND INSTALLATION OF AIR-CONDITIONING SYSTEM FOR GROUND FLOOR OFFICES (MUNICIPAL BUILDING – LEGISLATIVE WING) - CORELLA, BOHOL</t>
  </si>
  <si>
    <t>Provision of Security Services for Tayasan Public Market &amp; Tayasan Municipal Hall.</t>
  </si>
  <si>
    <t>PROCUREMENT OF MICRO-INFRA PROJECTS CLUSTER 04-2020 (MDF 2020), DAKLAN, BENGUET</t>
  </si>
  <si>
    <t>Supply of Materials for Construction of Multi-Purpose Building, Phase V</t>
  </si>
  <si>
    <t>Construction of Multi-Purpose Hall Phase IV</t>
  </si>
  <si>
    <t>CP 2020-40 BIDDING FOR THE SUPPLY AND DELIVERY OF PERSONAL PROTECTIVE EQUIPMENT (PPE) C/O GSO</t>
  </si>
  <si>
    <t>Office and Other Supplies</t>
  </si>
  <si>
    <t>PURCHASE OF MATERIALS – CONSTRUCTION OF MUNICIPAL HALL ANNEX BUILDING</t>
  </si>
  <si>
    <t>Medical Supplies, Rescue Materials and Evacuation Facilities for DRRM Operations</t>
  </si>
  <si>
    <t>20HE0119 Repair and Maintenance of Road Safety Facility – 1. Installation of Internally Illuminated (Solar) Pavement Levelled Marker/Stud Flush Type (Bi-Directional) along Natalio Bacalso Avenue at K0</t>
  </si>
  <si>
    <t>COMPLETION OF MULTI PURPOSE BUILDING AT PITO, BOKOD, BENGUET (MDF 2020)</t>
  </si>
  <si>
    <t>REHABILITATION / IMPROVEMENT OF LOCAL ACCESS ROADS</t>
  </si>
  <si>
    <t>SUPPLY &amp; DELIVERY OF DRESSING CART WITH DRESSING SET</t>
  </si>
  <si>
    <t>PROCUREMENT OF MICRO-INFRA PROJECTS CLUSTER 06-2020 (MDF 2020), KARAO, BENGUET</t>
  </si>
  <si>
    <t>Repair/Maintenance of Mabinit River 1 Revetment 2, Legazpi (F40032LZ)</t>
  </si>
  <si>
    <t>SUPPLY &amp; DELIVERY OF DEFIBRILLATOR WITH MONITOR</t>
  </si>
  <si>
    <t>20DP0042-R1: Network Development Program – Road Widening - Primary Road - San Pablo- Calauan Rd. – K0081 + 095 - K0081 + 586, K0081 + 593 – K0082 + 000</t>
  </si>
  <si>
    <t>Repair/Maintenance of Malabog River Revetment 12, Malabog, Daraga, Albay (F40141LZ)</t>
  </si>
  <si>
    <t>Procurement of Materials and supplies for Municipal MRF &amp; Other SWW program</t>
  </si>
  <si>
    <t>SUPPLY &amp; DELIVERY OF FETAL DOPPLER AND FETAL MONITOR</t>
  </si>
  <si>
    <t>Purchase of Medicines and Medical Supplies</t>
  </si>
  <si>
    <t>SUPPLY &amp; DELIVERY GENERATOR SET</t>
  </si>
  <si>
    <t>Procurement of Medicines for use at RHU I and II.</t>
  </si>
  <si>
    <t>Supply and Delivery of Solar Streetlights</t>
  </si>
  <si>
    <t>PROCUREMENT OF MICRO-INFRA PROJECTS CLUSTER 05-2020 (MDF 2020), PITO, BENGUET</t>
  </si>
  <si>
    <t>INVITATION TO BID FOR: CONSTRUCTION OF MANPOWER TRAINING CENTER PHASE III – CORELLA, BOHOL</t>
  </si>
  <si>
    <t>Supply of 201 boxes Face Mask (50 pcs./box)</t>
  </si>
  <si>
    <t>REPAIR AND MAINTENANCE OF FARM TO MARKET ROADS</t>
  </si>
  <si>
    <t>Procurement-Supply &amp; Delivery Veterinary Supplies</t>
  </si>
  <si>
    <t>Supply of 2,000 pieces Alcohol, (Ethyl) 70% Solution 250ml.</t>
  </si>
  <si>
    <t>PROCUREMENT OF  TWO (2) UNITS 6 WHEELER MINI DUMP TRUCK</t>
  </si>
  <si>
    <t>Construction of Multi-Purpose Building (Storage Room)</t>
  </si>
  <si>
    <t>Supply of 15 units Polyurethane Composite</t>
  </si>
  <si>
    <t>Supply and Delivery of Construction Materials and Supplies for the Concreting of Barangay Road (So. Siange)</t>
  </si>
  <si>
    <t>CONSTRUCTION OF DISASTER OPERATION CENTER (PHASE IV) Poblacion, Lingig, Surigao Del Sur</t>
  </si>
  <si>
    <t>Procurement of Agricultural Supply (Livestock and Feeds), LGU (various brgys), Baybay City, Leyte</t>
  </si>
  <si>
    <t>Supply of 12 pieces Submersible Pump Chamber</t>
  </si>
  <si>
    <t>office and other supplies - SHS</t>
  </si>
  <si>
    <t>SUPPLY &amp; DELIVERY OF VEGETABLE SEEDS</t>
  </si>
  <si>
    <t>Construction of Typical Fire Station with Mezzanine of Alubijid Fire Station</t>
  </si>
  <si>
    <t>PROCUREMENT OF 4 WHEELER MULTI PURPOSE VEHICLE (MPV)</t>
  </si>
  <si>
    <t>Labor Cost for Repair of Facilities</t>
  </si>
  <si>
    <t>Fabrication, Delivery, and Installation of SSF Signage for New and Existing SSF Cooperators in MIMAROPA</t>
  </si>
  <si>
    <t>CONDUCT OF INSET</t>
  </si>
  <si>
    <t>Invitation to Bid for the Provision of Security Services for URS Antipolo City, Angono, Binangonan, Cainta, Cardona, Morong, Pililla, Rodriguez, Tanay and Taytay Campuses, 2nd Bidding</t>
  </si>
  <si>
    <t>CONDUCT OF PROFESSIONAL MEETING</t>
  </si>
  <si>
    <t>Construction of Tourism Multi-Purpose Building with Complete Facilities</t>
  </si>
  <si>
    <t>Supply and Delivery of Construction Materials for Construction of VAWC Office Phase 2</t>
  </si>
  <si>
    <t>Supply of seven (7) pieces Ladies Watch</t>
  </si>
  <si>
    <t>Supply and Delivery of Construction Materials and Supplies for the Concreting of Barangay Road (So. Alyanon)</t>
  </si>
  <si>
    <t>Construction of Solar Dryer</t>
  </si>
  <si>
    <t>20DB0135 Construction/Rehabilitation of Water Supply/Septage and Sewerage/Rain Water Collectors-Rain Water Collectors in Public Facilities</t>
  </si>
  <si>
    <t>PROVISION FOR SUPPORT FACILITIES AT CAUAYAN CITY SPORTS COMPLEX (PHASE 1)</t>
  </si>
  <si>
    <t>CONSTRUCTION OF UBAY OPEN MARKET STORE BAGSAKAN CENTER</t>
  </si>
  <si>
    <t>Supply and Delivery of Construction Materials for the Rehabilitation of Farm to Market Road</t>
  </si>
  <si>
    <t>Labor Cost for Demolition &amp; Reconstruction of MPB</t>
  </si>
  <si>
    <t>Retainer Fee for Medical and Dental Services for CY 2020.</t>
  </si>
  <si>
    <t>Supply of ten (10) units Battery Pack for ABB Electromagnetic Flowmeter</t>
  </si>
  <si>
    <t>PROCUREMENT OF DRUGS AND MEDICINE-REPOST</t>
  </si>
  <si>
    <t>BRIGADA</t>
  </si>
  <si>
    <t>Extension of Boardwalk, Construction of Shed and Entrance Pavement - ITB 041-2020 GQ</t>
  </si>
  <si>
    <t>Repair/Maintenance of DILG Building Cotabato Police Prov’l Office Building, Amas, Kidapawan City (Re-Published)</t>
  </si>
  <si>
    <t>Repair/Maintenance of Big Mateo Bridge Revetment along Kidapawan-Magpet-Pangao-an Road, Big Mateo Bridge approach “B” (Downstream) (Re-Published)</t>
  </si>
  <si>
    <t>20GA0220-Concreting of Brgy. Guinatuan to Sitio Datag Brgy. Tigbawan FMR Brgy. Guinatuan and Brgy. Tigbawan, Madalag, Aklan</t>
  </si>
  <si>
    <t>Procurement of Aircon</t>
  </si>
  <si>
    <t>Supply of ten (10) boxes Partitioned Tubes, Coated</t>
  </si>
  <si>
    <t>Procurement of Fertilizers, Insecticides and Dessuckerides</t>
  </si>
  <si>
    <t>Supply &amp; Delivery of Learning Materials - ITB 040-2020 GQ</t>
  </si>
  <si>
    <t>FOR RHU ANTI RABIES VACCINATION</t>
  </si>
  <si>
    <t>Supply of four (4) sets Two-Way Radio (pair)</t>
  </si>
  <si>
    <t>Supply and Delivery of Android Phone for Barangay Officials of Kahaponan, City of Valencia, Bukidnon</t>
  </si>
  <si>
    <t>CONSTRUCTION OF THE COMMUNITY CENTER OF TOBACCO PRODUCING BARANGAY (SANTIAGO - PHASE II)</t>
  </si>
  <si>
    <t>Procurement of Agricultural and Marine Supplies, LGU (for various brgys), Baybay City, Leyte</t>
  </si>
  <si>
    <t>REHABILITATION OF SAN ISIDRO BARANGAY HEALTH STATION (BHS)</t>
  </si>
  <si>
    <t>Supply of 13 pieces Mens Watch</t>
  </si>
  <si>
    <t>Supply of 230 pieces Liquid Handsoap 500ml</t>
  </si>
  <si>
    <t>Supply of four (4) lengths Riser Pipe Coupling 6" diameter x 10ft.</t>
  </si>
  <si>
    <t>Supply and Delivery of Deodorizer for the Municipality</t>
  </si>
  <si>
    <t>Street Illumination at the Municipal Plaza</t>
  </si>
  <si>
    <t>Supply and Delivery of Supplies to be used for production of learning modules, worksheets, activity and lesson exemplars</t>
  </si>
  <si>
    <t>20GA0222-Concreting of Brgy. Pang-itan to Brgy. San Jose FMR  Brgy. Pang-itan and Brgy. San Jose, Madalag, Aklan</t>
  </si>
  <si>
    <t>Supply and Delivery of Construction Materials and Supplies for the Installation of Solar Streetlights (So. Hingin I &amp; Alyanon)</t>
  </si>
  <si>
    <t>COMPLETION OF BUILDING 4 OF THE QUIRINO MUNICIPAL MARKET</t>
  </si>
  <si>
    <t>Provisions of Office Supplies</t>
  </si>
  <si>
    <t>PRINTING OF TARPAULINS</t>
  </si>
  <si>
    <t>PROVISION OF MEDICAL SUPPLIES</t>
  </si>
  <si>
    <t>PHOTOCOPY OF LIQUIDATION &amp; OTHER SCHOOL REPORTS</t>
  </si>
  <si>
    <t>20GA0223-Concreting of Brgy. Sta. Cruz FMR Brgy. Sta. Cruz, Lezo, Aklan</t>
  </si>
  <si>
    <t>PAYMENT FOR INTERNET LOAD</t>
  </si>
  <si>
    <t>Supply and Delivery of Various Processing Equipment for MSC Gasan</t>
  </si>
  <si>
    <t>ICT Equipments</t>
  </si>
  <si>
    <t>Supply and Delivery of Bond Paper to be used for production of learning modules, worksheets, activity and lesson exemplars</t>
  </si>
  <si>
    <t>CONCRETING OF BARANGAY ACCESS ROAD, BARANGAY HANDAMAYAN, LINGIG, SURIGAO DEL SUR</t>
  </si>
  <si>
    <t>(20NH0075 (RE-AD))Rehabilitation of Park, Brgy. Poblacion, Lianga, Surigao del Sur</t>
  </si>
  <si>
    <t>20DI0160- Repair/ Maintenance of DENR Building, CENRO – Records Building, Brgy. Lalakay, Los Baños, Laguna</t>
  </si>
  <si>
    <t>RM Feeding Center</t>
  </si>
  <si>
    <t>PROVISIONS OF TEST PAPERS</t>
  </si>
  <si>
    <t>Supply and Delivery of One (1) Lot of Construction Materials for the Installation of transmission and distribution of Pipe Line (Phase 2) Tabuelan, Cebu (7-Upland Barangays)</t>
  </si>
  <si>
    <t>Supply and Delivery of Risograph Machine to be used for production of learning modules, worksheets, activity and lesson exemplars</t>
  </si>
  <si>
    <t>CONCRETING OF BARANGAY ACCESS ROAD, BARANGAY SAN ROQUE, LINGIG, SURIGAO DEL SUR</t>
  </si>
  <si>
    <t>Supply and Delivery of Assorted Gate Valves</t>
  </si>
  <si>
    <t>PROVISIONS OF SCHOOL ID &amp; CORD</t>
  </si>
  <si>
    <t>RM Electrical Wiring</t>
  </si>
  <si>
    <t>Supply and delivery of various appliances for new CBC building</t>
  </si>
  <si>
    <t>CONSTRUCTION OF RIVER CONTROL</t>
  </si>
  <si>
    <t>20DI0165- Repair and Maintenance of Road Safety Facilities (Overhead Signages and Stud Flash Type),  Along Manila South Road</t>
  </si>
  <si>
    <t>SUPPLY AND DELIVERY OF CONSTRUCTION MATERIALS FOR REHABILITATION OF WATER SYSTEM AT BARANGAY UNION, LINGIG, SURIGAO DEL SUR</t>
  </si>
  <si>
    <t>CAUAYAN CITY FREEDOM PARK</t>
  </si>
  <si>
    <t>20DI0163- Repair/ Maintenance of DILG Building, Anti-Cybercrime Building Camp Vicente Lim, Calamba City, Laguna</t>
  </si>
  <si>
    <t>(20NH0092)Construction/ Rehabilitation of Multi-Purpose Building in Cantilan, Surigao del Sur</t>
  </si>
  <si>
    <t>Supply and Delivery of Assorted Service Connection Materials</t>
  </si>
  <si>
    <t>Supply &amp; Delivery of Medical Oxygen</t>
  </si>
  <si>
    <t>Supply and Delivery of Assorted Materials for the Establishment of District Metering Area</t>
  </si>
  <si>
    <t>SUPPLY &amp; DELIVERY OF ELECTROLYTE ANALYZER</t>
  </si>
  <si>
    <t>RM Library Hub</t>
  </si>
  <si>
    <t>SUPPLY, DELIVERY AND INSTALLATION OF 3-75KVA TRANSFORMERS, INCLUDING ACCESORIES, PORT OF ORMOC, LEYTE</t>
  </si>
  <si>
    <t>20DI0162- Repair/ Maintenance of DND Building MESS Hall Building Camp Gen. Macario Sakay, Los Baños, Laguna</t>
  </si>
  <si>
    <t>20DI0164- Repair/ Maintenance of Flood Control Structures, Biñan City, Laguna</t>
  </si>
  <si>
    <t>Hospital/Medical Equipment for use of OMSDH/ for the Covid &amp; Non Covid patients of OMSDH</t>
  </si>
  <si>
    <t>20IL0195 (REPAIR/MAINTENANCE OF SAN JOSE FLOOD CONTROL ALONG BDRY. SO. LEYTE-MAASIN-MACROHON-SOGOD-DAANG MAHARLIKA (S00194LT), MAASIN CITY, SOUTHERN LEYTE Contract Location	: BRGY. SAN JOSE, MAASIN CI</t>
  </si>
  <si>
    <t>RM Kindergarten</t>
  </si>
  <si>
    <t>SUPPLY &amp; DELIVERY OF CARDIAC MONITOR WITH PULSE OXIMETER</t>
  </si>
  <si>
    <t>PROVISION OF SPORTS MATERIALS</t>
  </si>
  <si>
    <t>Agricultural Products (Seeds, Seedlings, Plants…) for Distribution of Fruit tress high quality Planting Materials to qualified Organization/Association/Cooperators of different Municipalities under Hi</t>
  </si>
  <si>
    <t>(20NH0091)Construction of Multi-Purpose Building, Municipality of Cantilan, Surigao del Sur</t>
  </si>
  <si>
    <t>20DI0161- Repair/Maintenance of DPWH Building, Area Equipment Services Building, Los Baños, Laguna</t>
  </si>
  <si>
    <t>Agricultural Products (Seeds, Seedlings, Plants…) for Distribution under Binhian sa Barangay and Mindoro Dinorado Rice Production Program-Agro Technology Resource and Management Services Division</t>
  </si>
  <si>
    <t>Improvement of Manpower Development Center @ Poblacion Including Acquisition of Transformer</t>
  </si>
  <si>
    <t>CONDUCT WORLD TEACHERS DAY</t>
  </si>
  <si>
    <t>Supply and Delivery of GSM/SMS Data Logger (Flow Pressure) and Accessories</t>
  </si>
  <si>
    <t>CONCRETING OF BARANGAY ACCESS ROAD (CRITICAL SECTION) Sitio Bentigan, Barangay Pagtilaan, Lingig, Surigao Del Sur</t>
  </si>
  <si>
    <t>20IL0196 (CONCRETING OF BRGY. POBLACION-SITIO COOT, BRGY. DINAHUGAN FMR (PHASE II) Contract Location	: BRGY. POBLACION &amp; DINAHUGAN, PADRE BURGOS, SOUTHERN LEYTE)</t>
  </si>
  <si>
    <t>20KK0125 - Construction of 2 STY 4 CL, Talisay Elementary School, Gingoog City, Misamis Oriental</t>
  </si>
  <si>
    <t>20AG0122-Construction of Modified Standard One-Storey (2 Classrooms) School Building at San Jose ES, Anda, Pangasinan</t>
  </si>
  <si>
    <t>Procurement of Improvement/ Cleaning and Maintenance of Drainage Canal (Labor)</t>
  </si>
  <si>
    <t>CONSTRUCTION OF LOCAL ROADS</t>
  </si>
  <si>
    <t>Procurement of Improvement/ Cleaning and Maintenance of Drainage Canal (Materials)</t>
  </si>
  <si>
    <t>20KK0126 - Construction of 1 STY 2 CL, Damayuhan NHS, Magsaysay (Linugos), Misamis Oriental</t>
  </si>
  <si>
    <t>CONSTRUCTION OF MULTI-PURPOSE COVERED COURT/EVACUATION CENTER PHASE 2, @ DUNGON INTEGRATED SCHOOL, BRGY. DUNGON, SISON, PANGASINAN</t>
  </si>
  <si>
    <t>SUPPLY &amp; INSTALLATION OF VARIOUS FURNITURE, STEEL SIGNAGE &amp; COMBI. BLINDS AT HEALTH SERVICES, Contract ID No. SVP-13-20</t>
  </si>
  <si>
    <t>Furnishing of materials for the Construction of Perimeter Fence</t>
  </si>
  <si>
    <t>BPSU Abucay Campus: Supply, Delivery and Installation of Hybrid Soil and Plant Laboratory Equipment for the Rehabilitation of BSA/BTVTE Building</t>
  </si>
  <si>
    <t>CONSTRUCTION OF ENTRANCE GATE &amp; GUARD HOUSE</t>
  </si>
  <si>
    <t>20AG0121-Construction of Modified Standard One-Storey (2 Classrooms) School Building at Patar ES, Agno, Pangasinan</t>
  </si>
  <si>
    <t>Procurement of Various Aggregates Supplies-06-346(O)PEO</t>
  </si>
  <si>
    <t>RM Portable Handwashing</t>
  </si>
  <si>
    <t>PROVISION OF SCHOOL SUPPLIES</t>
  </si>
  <si>
    <t>SUPPLY &amp; DELIVERY OF DELIVERY LIGHT,  DELIVERY SET &amp; DELIVERY TABLE</t>
  </si>
  <si>
    <t>20GIA005 Procurement of Road Signs</t>
  </si>
  <si>
    <t>Supply of one (1) unit Business Notebook</t>
  </si>
  <si>
    <t>BIDDING (VEHICLE)</t>
  </si>
  <si>
    <t>SUPPLY &amp; DELIVERY OF CHEMISTRY ANALYZER;  AND HEMATOLOGY ANALYZER</t>
  </si>
  <si>
    <t>Invitation to Bid for Purchase of Materials for Brigada Eskuela 2020</t>
  </si>
  <si>
    <t>CONSTRUCTION OF SPILLWAY AT HIMAYA, EL SALVADOR CITY - RE-BIDDING</t>
  </si>
  <si>
    <t>Local Access Road/Upgrading</t>
  </si>
  <si>
    <t>ROAD RE-BLOCKING</t>
  </si>
  <si>
    <t>Ozone Generator</t>
  </si>
  <si>
    <t>CONSTRUCTION OF BARANGAY HEALTH STATION AT BARANGAY BARBAR</t>
  </si>
  <si>
    <t>2ND ITB SUPPLY AND DELIVERY 7 UNITS MECHANICAL RICE TRANSPLANTER UNDER 2020 RICE PROGRAM</t>
  </si>
  <si>
    <t>Procurement of Construction of DRRM Operations Center Phase I</t>
  </si>
  <si>
    <t>Repair/Maintenance of DPWH Building (Rediras Building) Albay II District Engineering Office, Airport Site, Legazpi City, Albay</t>
  </si>
  <si>
    <t>Procurement of Cafeteria Concessionaire for CF-Iloilo Employees for a period of Two (2) Years</t>
  </si>
  <si>
    <t>INVITATION TO BID FOR SUPPLY, DELIVERY, INSTALLATION &amp; COMMISSIONING OF ELECTRO-MECHANICAL EQUIPMENT FOR PUMP STATION 6, INCLUDING INTERCONNECTION TO TRANSMISSION MAIN.</t>
  </si>
  <si>
    <t>20AG0123-Construction of Modified Standard One-Storey (2 Classrooms) School Building at Uli ES, Dasol,  Pangasinan</t>
  </si>
  <si>
    <t>Supply and Delivery of Construction Materials for Mambusao RIS</t>
  </si>
  <si>
    <t>CONSTRUCTION OF STANDARD DAY CARE CENTER</t>
  </si>
  <si>
    <t>Procurement of Construction of Multi-purpose Building Phase III</t>
  </si>
  <si>
    <t>Procurement of Marine Supplies.</t>
  </si>
  <si>
    <t>Procurement of F&amp;B Concessionaire for CF-Bacolod Customers, Guests and Officers for a Period of Three (3) Years</t>
  </si>
  <si>
    <t>CONSTRUCTION OF TUBURAN, TUNGA-TUNGA RIVER CONTROL</t>
  </si>
  <si>
    <t>Supply and Delivery of Medical, Dental and Laboratory Supplies for Municipal Health Office</t>
  </si>
  <si>
    <t>Construction of Residual Containment Area (RCA)</t>
  </si>
  <si>
    <t>20KK0127 - Construction of 2 UNITS 1 STY 2 CL, Lantad IS, Balingasag, Misamis Oriental</t>
  </si>
  <si>
    <t>Supply and Delivery of Construction Materials for Tina II PCIP</t>
  </si>
  <si>
    <t>Procurement of Expansion/ Improvement of Level III Water System</t>
  </si>
  <si>
    <t>Supply, Installation, Testing and Commissioning of City-Barangay Governance Service Information System in the City of San Fernando, Pampanga</t>
  </si>
  <si>
    <t>1. Spareparts (for the use of DAEWOO DE12TIS)/CMO-Motorpool 2.Spareparts (for the use of Transit Mixer)/CMO-Motorpool</t>
  </si>
  <si>
    <t>Supply and Delivery of Plastic Barriers, Rubberized Traffic Cones and Plastic Pedestrian Barriers to be used along the City's Major Thoroughfares for the 1st Semester of 2020 in the City of San Fernan</t>
  </si>
  <si>
    <t>Road Concreting located starting at Approach Hacienda Manaul, Barangay Matab-ang</t>
  </si>
  <si>
    <t>20AG0124-Construction of Modified Standard One-Storey (2 Classrooms) School Building at Viga ES, Dasol, Pangasinan</t>
  </si>
  <si>
    <t>Delivery of Construction Materials and Supplies for the Repair/Rehabilitation of Barangay Outpost</t>
  </si>
  <si>
    <t>Procurement of One (1) Unit K2500 Double Cab (Procurement of Goods)</t>
  </si>
  <si>
    <t>Procurement of Construction of Multi-purpose Building (DSWD)</t>
  </si>
  <si>
    <t>Supply and Delivery of Materials for Footbridge Construction at Sitio Sinatalan to Sitio Sumibang</t>
  </si>
  <si>
    <t>B20200218 - CONDUCT OF ENGINEERING GEOLOGICAL &amp; GEO-HAZARD ASSESSMENT (EGGA)</t>
  </si>
  <si>
    <t>Procuremement of Concreting of 120 meters Unpaved road</t>
  </si>
  <si>
    <t>Construction of RC Culvert &amp; Concreting of Brgy. Road., Brgy. Hibunawan, Baybay City, Leyte</t>
  </si>
  <si>
    <t>RFQ-GS-20200616-01 - Subscription and Installation of IP VPN Lines using 2Mbps Bandwidth for Various LANBBANK Sites</t>
  </si>
  <si>
    <t>SUPPLY AND DELIVERY OF 245 BAGS HYBRID PALAY SEEDS</t>
  </si>
  <si>
    <t>Invittion to Bid Purchase of Office Supplies</t>
  </si>
  <si>
    <t>Improvement of Concrete Pavement, Brgy. Candadam, Baybay City, Leyte</t>
  </si>
  <si>
    <t>20DD0343 Local Program, Local Infrastructure Program, Local Roads and Bridges, Local Roads, Rehabilitation/Improvement of Road including Drainage System at Brgy. 7, Lipa City, Batangas</t>
  </si>
  <si>
    <t>Up keeping and Maintenance of the Port Physical Facilities for a period of  Eleven (11) Months, Port of Iligan, Iligan City</t>
  </si>
  <si>
    <t>20DD0342 Local Program, Local Infrastructure Program, Buildings and Other Structures, Multipurpose/ Facilities, Rehabilitation/ Improvement of Multi-Purpose Facilities at Sen. Claro M. Recto Integrate</t>
  </si>
  <si>
    <t>Procurement of Construction of Community Police Assistance Center (COMPAC)</t>
  </si>
  <si>
    <t>20DD0341 Local Program, Local Infrastructure Program, Buildings and Other Structures, Multipurpose/ Facilities, Construction and Completion of Padre Garcia Community Hospital, Padre Garcia, Batangas</t>
  </si>
  <si>
    <t>Concreting of Pavement at Bukang Liwayway St. - Abellera Extension, Brgy. Poblacion</t>
  </si>
  <si>
    <t>20DD0340 Local Program, Local Infrastructure Program, Buildings and Other Structures, Multipurpose/ Facilities, Construction/ Improvement of Multi-Purpose Building including facilities (Plaza Independ</t>
  </si>
  <si>
    <t>20DD0339 Local Program, Local Infrastructure Program, Buildings and Other Structures, Multipurpose/ Facilities, Construction of a Multi-Purpose Building (Municipal Hall) at Brgy. Poblacion, Padre Garc</t>
  </si>
  <si>
    <t>Procurement of Veterinary drugs for Livestock Services -OMA</t>
  </si>
  <si>
    <t>Installation of Dedicated Internet Services Access/Connectivity for the City University of Pasay</t>
  </si>
  <si>
    <t>Procurement of Medical Supply (Medicines), CHO/TB-DOTS, Baybay City, Leyte</t>
  </si>
  <si>
    <t>LGU201820%DFGoods-002</t>
  </si>
  <si>
    <t>Procurement of ordinary plastic water meters</t>
  </si>
  <si>
    <t>CONSTRUCTION OF SLOPE (LUGSAD SPRING INCLUDING INTAKE BOX) - LABOR AND MATERIALS</t>
  </si>
  <si>
    <t>Procurement of 400 Pcs ARAD Water System</t>
  </si>
  <si>
    <t>BNLSL-LCB-04A-2019 – Construction of Canal System of Sto. Niño CIP, Babatngon, Leyte</t>
  </si>
  <si>
    <t>20GDJ0008/N-2020-06-066 Provision of Three (3) Security Guards at DPWH Quezon II DEO, Lucena City</t>
  </si>
  <si>
    <t>Procurement of Medical Supplies - MHO</t>
  </si>
  <si>
    <t>Printing and Delivery of Tarpaulins to be used for the various programs and projects of the City Government of San Fernando, Pampanga</t>
  </si>
  <si>
    <t>Procurement of Purchase of Medicines for MMH</t>
  </si>
  <si>
    <t>Procurement of Medicine for Botika ng Bayan and Other Programs</t>
  </si>
  <si>
    <t>Labor and Materials for the Desilting/ Declogging of Alasas Creek (Solana Bridge to Alasas Bridge) at San Agustin and Alasas, City of San Fernando, Pampanga</t>
  </si>
  <si>
    <t>20AJ0102-Construction of Four (4) Storey Eight (8) Classroom School Building, Botao NHS, Sta. Barbara, Pangasinan</t>
  </si>
  <si>
    <t>20DD0348 Local Program, Local Infrastructure Program, Buildings and Other Structures, Multipurpose/ Facilities, Construction of Footbridge at Brgy. Balintawak, Lipa City, Batangas</t>
  </si>
  <si>
    <t>20GPI0005 - PURCHASE OF SPARE PARTS AND LABOR SERVICES: A.) For use on the repair of fuel system and replacement of wornout tires of HI-7377, Ford Everest 3.0, 2011 	B.) For use of 141204 (HI-5871) an</t>
  </si>
  <si>
    <t>20AJ0101-Construction of Four (4) Storey Eight (8) Classroom School Building, Primicias NHS, Mapandan, Pangasinan</t>
  </si>
  <si>
    <t>USE FOR THE INSTALLATION OF TRENCH MAINTENANCE BOX-18 UNIT &amp; SAFETY COVER OF EXISTING BOXES AT BONG SOURCE, KABANGKALAN, VILLAHERMOSA, TUDELA, CEBU</t>
  </si>
  <si>
    <t>SUPPLY, DELIVERY AND COMMISSIONING OF LITHOTRIPTOR SET FOR STONE SURGERIES</t>
  </si>
  <si>
    <t>20FJ0027 - Repair/ Maintenance of DPWH Building, Motorpool, Masbate III District Engineering Office</t>
  </si>
  <si>
    <t>Construction of 3 Type Public Market Building No.3-C</t>
  </si>
  <si>
    <t>PROVISION OF LABOR, MATERIALS, EQUIPMENT RENTALS AND OTHER INCIDENTALS NEEDED FOR THE RECONSTRUCTION OF (2 UNITS) GOAT HOUSE IN PREC-SUAL, PANGASINAN</t>
  </si>
  <si>
    <t>20DD0346 Local Program, Local Infrastructure Program, Local Roads and Bridges, Local Roads, Concreting of Local Road at Brgy. Tulay na Patpat, Ibaan, Batangas</t>
  </si>
  <si>
    <t>20CB0072: Construction of Two(2) Storey Four(4) Classroom at Capunitan ES, Orion, Bataan</t>
  </si>
  <si>
    <t>20CB0071: Construction of Two(2) Storey Four(4) Classroom at Bantan ES, Orion, Bataan</t>
  </si>
  <si>
    <t>Procurement of Supply, Delivery, Installation, Testing, Applications Training and Commissioning of Various Medical Equipment (Batch 2)</t>
  </si>
  <si>
    <t>SUPPLY AND DELIVERY OF CONSTRUCTION MATERIALS FOR THE CONSTRUCTION OF APARTMENT TYPE NICHES (CONTINUING PROJECT)</t>
  </si>
  <si>
    <t>Purchase of Various Office Supplies (Various Offices)</t>
  </si>
  <si>
    <t>Project 2020-15: Purchase of Assorted Sizes uPVC Pipes S-8 &amp; S-10, Fixed Seal</t>
  </si>
  <si>
    <t>FOR THE SUPPLY AND DELIVERY OF ICT EQUIPMENT OF EMB REGION VI CY 2020 (RE-BID)</t>
  </si>
  <si>
    <t>Procurement of Health Equipment, 1 set Prestan Mannequin 3 pack w/ CPR Monitor</t>
  </si>
  <si>
    <t>20AJ0104-Construction of Two (2) Storey Six (6) Classroom School Building at Tuliao E/S, Sta. Barbara, Pangasinan</t>
  </si>
  <si>
    <t>RFQ-GS-20200616-05 - 1 Lot Supply, Delivery and Installation of 1 Unit Synchronizing Control Panel for the Generation Set located at LANDBANK Plaza Building</t>
  </si>
  <si>
    <t>CONSTRUCTION OF EARLY CHILDHOOD CARE AND  DEVELOPMENT CENTER</t>
  </si>
  <si>
    <t>Contract of Service for the Termite Treatment and Control to be used at City Hall Compound, City Health Office and RHU's and Birthing Stations in the City of San Fernando, Pampanga</t>
  </si>
  <si>
    <t>Procurement of Medical Supplies for MMH</t>
  </si>
  <si>
    <t>Supply and Delivery of Toners and Inks, 1 Lot, for the Utilization of Pantawid Pamilya staff in RPMO, POO1, POO2, POO3, POO4 and Its municipalities</t>
  </si>
  <si>
    <t>20AJ0103-Construction of Four (4) Storey, Eight (8) Classroom School Building, Mabuletic I.S., Malasiqui, Pangasinan</t>
  </si>
  <si>
    <t>Construction of Temporary Learning Space in Various Schools</t>
  </si>
  <si>
    <t>Construction of Multi-Purpose Building Kagitingan, Magay, Brgy. Don Martin Marundan</t>
  </si>
  <si>
    <t>BNLSL-LCB-34-2020 – Construction of Diversion Works, Canal and Farm Level System of Tabion SIP, Leyte, Leyte</t>
  </si>
  <si>
    <t>Procurement of 4 Units Aircon Floor Standing 3HP with Installation</t>
  </si>
  <si>
    <t>Labor and Materials for the Construction of Slope Protection (Phase II) at San Agustin, City of San Fernando, Pampanga</t>
  </si>
  <si>
    <t>20DD0345 Local Program, Local Infrastructure Program, Buildings and Other Structures, Multipurpose/ Facilities, Construction of Multi-Purpose Building at Plaridel National High School, Lipa City, Bata</t>
  </si>
  <si>
    <t>PROCUREMENT OF ONE (1) UNIT RESCUE VEHICLE</t>
  </si>
  <si>
    <t>20DD0263 (Re-Advertised) Local Program, Local Infrastructure Program, Buildings and Other Structures, Multipurpose/ Facilities, Rehabilitation/ Improvement of M.B. Medrano Plaza, Brgy. Poblacion, Ibaa</t>
  </si>
  <si>
    <t>IMPROVEMENT OF SAPUAN FARM-TO-MARKET ROAD AT AMBASSADOR, TUBLAY, BENGUET</t>
  </si>
  <si>
    <t>Rehab./Improvement of Junction National Road to San Vicente, Sitio San Vicente, Sitio Centro, Brgy. Kilim, Baybay City, Leyte</t>
  </si>
  <si>
    <t>Procurement of Feeds, Minerals and Fertilizers  for Provincial Veterinary Office</t>
  </si>
  <si>
    <t>20DD0344 Local Program, Local Infrastructure Program, Buildings and Other Structures, Multipurpose/ Facilities, Rehabilitation/ Improvement of Multi-Purpose Facilities at Brgy. Bugtong, Lipa City, Bat</t>
  </si>
  <si>
    <t>Procurement of supply and delivery of Office Supplies</t>
  </si>
  <si>
    <t>PREVENTIVE MAINTENANCE for Cooling Tower, Cooling Water Treatment, Condenser Barrel &amp; Air Handling Units (Cuneta Astrodome)</t>
  </si>
  <si>
    <t>For the Procurement of uPVC Pipes for Mati Water District, City of Mati, Davao Oriental</t>
  </si>
  <si>
    <t>ITB No. 2020-06-22 Supply and Delivery of Seventy-one (71) sets - Brand New, Four Stroke cycle, diesel engine, 6.0 - 7.0 hp., air cooled, 3,000-3,600 rpm belt driven to high pressure Horizontal Triple</t>
  </si>
  <si>
    <t>Rehabilitation of Drainage Canal (Magallanes St. &amp; San Francisco St.)</t>
  </si>
  <si>
    <t>Purchase of Two (2) units of Water pump with complete set of Accessories and Black Hose for the Irrigation Support Assistance and Cacao Development Project of the City of Talisay</t>
  </si>
  <si>
    <t>Equipment Rental</t>
  </si>
  <si>
    <t>Procurement of Supplies and Materials for OMA Programs</t>
  </si>
  <si>
    <t>REHABILITATION/IMPROVEMENT OF ROAD</t>
  </si>
  <si>
    <t>SUPPLY AND DELIVERY OF OFFICE SUPPLIES, MATERIALS AND EQUIPMENT</t>
  </si>
  <si>
    <t>SUPPLY, DELIVERY AND REPAIR OF SPAREPARTS OF HEAVY EQUIPMENT (VIBRATORY COMPACTOR), LGU ALEOSAN, COTABATO</t>
  </si>
  <si>
    <t>100-2020-01-068 Supply and delivery of 55 cu.m. ready mixed concrete 3500psi</t>
  </si>
  <si>
    <t>PROCUREMENT OF 1 LOT WATER &amp; WASTE WATER TREATMENT SUPPLY &amp; DISPOSAL</t>
  </si>
  <si>
    <t>Contract ID No.: 20OB0435 Contract Name: Construction of Four (4) Storey, Sixteen (16) Classroom at Oranbo Elementary School, Pasig City</t>
  </si>
  <si>
    <t>Contract ID No.: 20OB0434 Contract Name: Construction of Four (4) Storey, Sixteen (16) Classroom with Roofdeck at Buting SHS, Brgy. Buting, Pasig City</t>
  </si>
  <si>
    <t>2020-151-I PROCUREMENT AND DELIVERY OF VERMICAST AND  MOLASSES UNDER OAP CY 2020</t>
  </si>
  <si>
    <t>SUPPLY &amp; DELIVERY OF HOSPITAL BED</t>
  </si>
  <si>
    <t>Contract ID No.: 20OB0382 Contract Name: Rehabilitation of Roads, Barangay North Daanghari, Taguig City</t>
  </si>
  <si>
    <t>Purchase of Multicab</t>
  </si>
  <si>
    <t>20OF0322 Construction of Multi-Purpose Building (Novaliches Convention and Sports Center), Phase I, Brgy. Fairview, Q.C.</t>
  </si>
  <si>
    <t>Supply and Delivery of Commercial Feeds for Tilapia (Floating Type)</t>
  </si>
  <si>
    <t>20CB0074: Construction of Two(2) Storey Four(4) Classroom at Sabatan ES, Orion, Bataan</t>
  </si>
  <si>
    <t>20CB0073: Construction of Two(2) Storey Four(4) Classroom at Mariveles SHS-Sitio Mabuhay, Mariveles, Bataan</t>
  </si>
  <si>
    <t>Supply and Delivery of Office Supplies for Various Offices of the Municipality</t>
  </si>
  <si>
    <t>Repair/Renovation and Demolition/Dismantling</t>
  </si>
  <si>
    <t>CawExt2020-002 Supply and Delivery of Materials for the Construction of Line Canal</t>
  </si>
  <si>
    <t>Construction/Improvement</t>
  </si>
  <si>
    <t>Supply and delivery of Materials for the Roofing Repair of Barikir Day Care Center</t>
  </si>
  <si>
    <t>Procurement of Office Equipments</t>
  </si>
  <si>
    <t>PROVISION OF LABOR, MATERIALS, EQUIPMENT RENTALS AND OTHER INCIDENTALS NEEDED FOR THE REHABILITATION AND ENHANCEMENT OF DORMITORY BUILDING AT DA-PREC, SUAL, PANGASINAN</t>
  </si>
  <si>
    <t>20CB0077: Construction of Two(2) Storey Eight(8) Classroom at Balanga City National Science High School, Balanga City, Bataan</t>
  </si>
  <si>
    <t>Construction/Renovation</t>
  </si>
  <si>
    <t>100-2020-01-069 Supply and delivery of 55cu.m. ready mixed concrete (3500psi)</t>
  </si>
  <si>
    <t>20CB0076: Construction of Three(3) Storey Six(6) Classroom at City of Balanga National High School, Balanga City, Bataan</t>
  </si>
  <si>
    <t>PROVISION OF LABOR, MATERIALS, EQUIPMENT RENTALS AND OTHER INCIDENTALS NEEDED FOR THE RECONSTRUCTION OF PERIMETER FENCE WITH GATE AT DA-PREC, SUAL, PANGASINAN</t>
  </si>
  <si>
    <t>20GBC0007 - Furnishing/Delivery of Pavement Marking Materials for use along National Roads (Thermoplastic Paint Yellow)</t>
  </si>
  <si>
    <t>20CB0075: Construction of Two(2) Storey Four(4) Classroom at Mariveles NHS Malaya, Mariveles, Bataan</t>
  </si>
  <si>
    <t>Supply and Delivery of Assorted Oil and Crude Oil</t>
  </si>
  <si>
    <t>20GGF0014 – Procurement of five (5) pcs. Tires 255/70/R16 and one (1) pc. Aircon Filter for use in the Planning and Design Section, Iloilo 1st District Engineering Office, Fort San Pedro Iloilo City.</t>
  </si>
  <si>
    <t>procurement for reproduction of learning modules</t>
  </si>
  <si>
    <t>RFQ2020-05-029_SUPPLY AND DELIVERY OF VARIOUS WATER SERVICE CONNECTION MATERIALS FOR MAINTENANCE USE FOR 2ND QUARTER PROCUREMENT OF CY 2020_2ND PUBLICATION</t>
  </si>
  <si>
    <t xml:space="preserve">2nd Invitation for the Supply &amp; Delivery of Lot 3- 5 units Copier for use in the office and staff of RPMSO and PPMSO Sorsogon, Catanduanes and Masbate Special Area for Agricultural Development (SAAD) </t>
  </si>
  <si>
    <t>CLUSTER I - Bulan, Sorsogon</t>
  </si>
  <si>
    <t>Construction of Shoulder &amp; Concrete Line Canal at Cumadcad-Canjela Road</t>
  </si>
  <si>
    <t>Procurement of Construction Materials for Rehabilitation of Brgy. Hañib Multi-Purpose Building</t>
  </si>
  <si>
    <t>Supply &amp; Delivery of 7,179 liters Foliar Fertilizer for distribution to affected farmers of Typhoon Tisoy</t>
  </si>
  <si>
    <t>AB '20 UPGRADING OF ALLEY AND IMPROVEMENT OF DRAINAGE CANAL (Between Bidbid st., and Bisugo st., Blk 15 Phase 1B,  NBBS Kaunlaran, Navotas)</t>
  </si>
  <si>
    <t>AB '20 UPGRADING OF ALLEY AND IMPROVEMENT OF DRAINAGE CANAL (Between Blk 2 and 3 Bangus st., Phase 1C, NBBS Kaunlaran, Navotas)</t>
  </si>
  <si>
    <t>20DD0347 Local Program, Construction/ Repair/ Rehabilitation/ Improvement of Various Infrastructure Including Local Projects, Buildings and Other Structures, Multipurpose/ Facilities, Construction of</t>
  </si>
  <si>
    <t>“SUPPLY AND DELIVERY OF VARIOUS SCUBA DIVING GEARS FOR 10 UNITS 30m. MCS PATROL VESSELS, 4 UNITS OF 11m. MCS PATROL VESSELS, 2 UNITS MMOV, F/V TAMBAKOL AND MRG TECHNICIANS”</t>
  </si>
  <si>
    <t>Contract ID No.: 20OB0433 Contract Name: Construction of Four (4) Storey Twelve (12) Classroom with Roofdeck, Aguho Elementary School, Pateros, Metro Manila</t>
  </si>
  <si>
    <t>Contract ID No. 20NC0130 - Construction of Bunawan-Veruela Road, Veruela, Agusan del Sur</t>
  </si>
  <si>
    <t>PROVISION OF LABOR, MATERIALS, EQUIPMENT RENTALS AND OTHER INCIDENTALS NEEDED FOR THE REHAB AND ENHANCEMENT OF FIELD OPERATIONS UNIT BUILDING AT DA-INREC STATION, BATAC CITY STATION, ILOCOS NORTE</t>
  </si>
  <si>
    <t>Baganga Water District - Well Drilling of 1 Production Well Gravel Pack Design 200mm (8") Spiral Steel Casing, Stainless Steel Screens</t>
  </si>
  <si>
    <t>ROAD OPENING BARANGAY KISULAN, KIBLAWAN, DAVAO DL SUR</t>
  </si>
  <si>
    <t>Construction of 1 Unit 1 Classroom at Minsamongan E/S, Quezon</t>
  </si>
  <si>
    <t>Construction of 1 Unit 1 Classroom at Gutalid E/S, Kitaotao</t>
  </si>
  <si>
    <t>Contract ID No. 20NC0128 - Concreting of NRJ-Bunawan Brook (Rock Island), Brgy. Bunawan Brook, Bunawan, Agusan del Sur</t>
  </si>
  <si>
    <t>Construction of C.R with Septic Tank at Central School, Malaybalay City</t>
  </si>
  <si>
    <t>AB '20 UPGRADING OF ALLEY AND IMPROVEMENT OF DRAINAGE CANAL (Alakaak Extension, Phase 1A, NBBS Kaunlaran, Navotas)</t>
  </si>
  <si>
    <t>Contract ID No. 20NC0129 - Concreting of Sitio Gasa - Brgy. Tudela Road, Brgy. Basa, Trento, Agusan del Sur</t>
  </si>
  <si>
    <t>IB-Goods-2020-10- Procurement of Medical Equipment under HFEP 2020</t>
  </si>
  <si>
    <t>PROCUREMENT FOR INSTALLATION OF NETWORK AND INFORMATION TECHNOLOGY INFRASTRUCTURE FOR DANGEROUS DRUGS BOARD-MANAGEMENT INFORMATION SYSTEM UNIT</t>
  </si>
  <si>
    <t>20FJ0028 - Repair/ Maintenance of DPWH Building, Area Equipment Quarter, Airport Road, Brgy. Kalipay, Masbate City</t>
  </si>
  <si>
    <t>Supply &amp; Delivery of 7,179 packs Plant Growth Enhancer for distribution to affected farmers of Typhoon Tisoy</t>
  </si>
  <si>
    <t>20CB0078: Construction of Two(2) Storey Ten(10) Classroom at Bilolo ES, Orion, Bataan</t>
  </si>
  <si>
    <t>Bidding (Infra Project)</t>
  </si>
  <si>
    <t>Contract ID No.: 20OB0380 Contract Name: Rehabilitation of Roads, Barangay Bagumbayan, Taguig City</t>
  </si>
  <si>
    <t>Contract ID No.: 20OB0378 Contract Name: Rehabilitation of Roads at Brgy. South Daanghari, Taguig City  Contract Location: Taguig City</t>
  </si>
  <si>
    <t>CONSTRUCTION OF PIG PEN</t>
  </si>
  <si>
    <t>Construction of 1 Building 1 Classroom at Bacbacon E/S, Kadingilan</t>
  </si>
  <si>
    <t>CLUSTER II - Donsol, Sorsogon</t>
  </si>
  <si>
    <t>COMPLETION OF 5 BARANGAYS PUBLIC TOILETS</t>
  </si>
  <si>
    <t>Supply and Delivery SPARE PARTS OF HEAVY EQUIPMENT - MEO</t>
  </si>
  <si>
    <t>CONSTRUCTION OF CULTURAL AND RECREATION PARK</t>
  </si>
  <si>
    <t>Medical Equipment</t>
  </si>
  <si>
    <t>CONSTRUCTION OF BARANGAY HEALTH STATION</t>
  </si>
  <si>
    <t>PROCUREMENT OF VARIOUS HARDWARE AND CONSTRUCTION MATERIALS AND SUPPLIES TO BE USED FOR THE IMPROVEMENT OF MUNICIPAL GYMNASIUM</t>
  </si>
  <si>
    <t>Concreting of Pavement (continuation) at Sitio Liton, Brgy. Kayaga</t>
  </si>
  <si>
    <t>Supply and Delivery of FOOD SUPPLIES FOR THE CONSUMPTION IN ESTABLISHMENT FOR MAINTENANCE OF INTEGRATED DEFENSE SYSTEM FOR MPOC</t>
  </si>
  <si>
    <t>Supply and Delivery of FOOD SUPPLIES FOR THE CONSUMPTION OF MILITARY COMBAT/INTEL OPERATION (2ND QUARTER 2020)</t>
  </si>
  <si>
    <t>IMPROVEMENT AND EXTENSION OF CHAGAO-ANTAHAY ROAD AT DACLAN, TUBLAY, BENGUET</t>
  </si>
  <si>
    <t>Contract ID No.: 20OB0315 Contract Name: Completion of Multi-Purpose Building (Health Center) at Barangay Ligid Tipas, Taguig City</t>
  </si>
  <si>
    <t>Contract ID No.: 20OB0381 Contract Name: Rehabilitation of Roads, Barangay Bambang, Taguig City</t>
  </si>
  <si>
    <t>20OH0049 Re-ads-Local Program-Local Infrastructure Program-Flood Control and Drainage-Drainage / Protection Works-Rehabilitation of Estero with Footbridge, Estero Tripa de Gallina, Paco, Manila</t>
  </si>
  <si>
    <t>CONSTRUCTION OF BOX CULVERT BESIDE AMBONGDOLAN BARANGAY HALL</t>
  </si>
  <si>
    <t>Construction of Student Food Processing Innovation Center</t>
  </si>
  <si>
    <t>IMPROVEMENT OF PALANCA-SALAKSAK FARM-TO-MARKET ROAD AT AMBASSADOR, TUBLAY, BENGUET</t>
  </si>
  <si>
    <t>Construction of Damutan Irrigation Project, Brgy. Damutan, Hinoba-an, Negros Occidental (Negotiated Procurement)/(OPA-2019-1262)</t>
  </si>
  <si>
    <t>PROPOSED DRAINAGE AND DRAINAGE COVER</t>
  </si>
  <si>
    <t>Contract ID No.: 20OB0415 Contract Name: Construction/Rehabilitation of Multi-Purpose Building, Second District, Marikina City</t>
  </si>
  <si>
    <t>Contract ID No.: 20OB0413 Contract Name: Construction/Rehabilitation of Concepcion Uno Multi-Purpose Buildings, Marikina City</t>
  </si>
  <si>
    <t>Contract ID No.: 20OB0399 Contract Name: Construction/Rehabilitation of Multi-Purpose Building including Site Development, Marikina City</t>
  </si>
  <si>
    <t>19CSZ014- Consulting Services for the Construction Supervision of Davao City Bypass Construction Project - Package I-1 and Tender Assistance for Packages I-2 and I-3 (JICA Loan Agreement No. PH-P261)</t>
  </si>
  <si>
    <t>20GPF0012: Supply and Delivery of Lubricants, Tires, various vehicle and heavy equipment parts &amp; accessories for use of Maintenance Section of DPWH-BSDEO (CLUSTER I-2020 GOODS).</t>
  </si>
  <si>
    <t>CONSTRUCTION OF SLOPE PROTECTION DIKE AT SITIO GARRETA</t>
  </si>
  <si>
    <t>IMPROVEMENT OF KAKAIWAN-TABEYO FARM-TO-MARKET ROAD AT AMBASSADOR, TUBLAY, BENGUET</t>
  </si>
  <si>
    <t>Purchase of  office supplies ( BAC)</t>
  </si>
  <si>
    <t>Concreting of Pavement at MH del Pilar St, Purok Masagana, Brgy. Poblacion</t>
  </si>
  <si>
    <t>Contract ID No.: 20OB0393 Contract Name: Improvement of Amang Rodriguez Memorial Medical Center,   Marikina City</t>
  </si>
  <si>
    <t>Concreting of Pavement at Osias National H/S - Junction Bonifacio St.</t>
  </si>
  <si>
    <t>Purchase of office supplies ( SPorts Office)</t>
  </si>
  <si>
    <t>Construction of Magpet Fire Station Building</t>
  </si>
  <si>
    <t>Construction of Pigcawayan Fire Station Building</t>
  </si>
  <si>
    <t>Construction of Norala Fire Station Building</t>
  </si>
  <si>
    <t>PB-I-2020-05-615 "Procurement of Civil Works for the Rehabilitation of Capitol Drive Front Road and Improvement of Capitol Park and Street Lights</t>
  </si>
  <si>
    <t>Concreting of Pavement at Kabacan National H/S to Brgy. Kilagasan</t>
  </si>
  <si>
    <t>SUPPLY AND DELIVERY OF VARIOUS HOSPITAL SUPPLIES FOR USE OF KPFP</t>
  </si>
  <si>
    <t>Procurement of Rescue/Emergency Vehicle</t>
  </si>
  <si>
    <t>Purchase of medical,dental and laboratory supplies</t>
  </si>
  <si>
    <t>SUPPLY AND DELIVERY OF MEDICAL OXYGEN AND COMPRESSED AIR FOR USE OF GEAMH</t>
  </si>
  <si>
    <t>Concreting of Pavement at  Villanueva Village Road 1 (junction Mercado St - Abellera St.), Brgy. Poblacion</t>
  </si>
  <si>
    <t>Purchase of office supplies (MPDO)</t>
  </si>
  <si>
    <t>Concreting of Pavement at Bonifacio St. (Lugares Compound), Brgy. Poblacion</t>
  </si>
  <si>
    <t>SUPPLY AND DELIVERY OF OFFICE AND JANITORIAL SUPPLIES &amp; CONSUMABLES</t>
  </si>
  <si>
    <t>SUPPLY AND DELIVERY OF DENTAL SUPPLIES FOR USE IN LIBRENG PUSTISO PROGRAM OF THE PROVINCIAL GOVERNMENT OF CAVITE</t>
  </si>
  <si>
    <t>Purchase of anti-rabies vaccines</t>
  </si>
  <si>
    <t>ITB-GS-20200609-01 - Online Competency Assessment</t>
  </si>
  <si>
    <t>Completion of  Irrigation System,    Sitio Dacuman, Brgy. Ipil, Surigao City</t>
  </si>
  <si>
    <t>PROPOSED SOLAR POWERED IRRIGATION SYSTEM</t>
  </si>
  <si>
    <t>CLUSTER 8 REPAIR AND REHABILITATION OF CLASSROOMS DAMAGED BY FIRE INCIDENTS AND VARIOUS CALAMITIES AND CONSTRUCTION OF SLOPE PROTECTION OF SCHOOL BUILDINGS (CY 2020 QUICK RESPONSE FUND)</t>
  </si>
  <si>
    <t>ITB-GS-20200227-02 - One (1) Year Support and Maintenance of Single Back-up Systems Solution for Midrange and Enterprise Platforms</t>
  </si>
  <si>
    <t>CLUSTER 3 REPAIR AND REHABILITATION OF CLASSROOMS DAMAGED BY FIRE INCIDENTS AND VARIOUS CALAMITIES AND CONSTRUCTION OF SLOPE PROTECTION OF SCHOOL BUILDINGS (CY 2020 QUICK RESPONSE FUND)</t>
  </si>
  <si>
    <t>ITB-GS-20200604-01 - 1 Lot Supply, Delivery and Installation of Signages, Acrylic Frame Panels, ATM Sunshade &amp; Thru-the-Wall ATM Enclosure, including Dismantling of existing signages, when necessary,</t>
  </si>
  <si>
    <t>CLUSTER 5 REPAIR AND REHABILITATION OF CLASSROOMS DAMAGED BY FIRE INCIDENTS AND VARIOUS CALAMITIES AND CONSTRUCTION OF SLOPE PROTECTION OF SCHOOL BUILDINGS (CY 2020 QUICK RESPONSE FUND)</t>
  </si>
  <si>
    <t>CLUSTER 4 REPAIR AND REHABILITATION OF CLASSROOMS DAMAGED BY FIRE INCIDENTS AND VARIOUS CALAMITIES AND CONSTRUCTION OF SLOPE PROTECTION OF SCHOOL BUILDINGS (CY 2020 QUICK RESPONSE FUND)</t>
  </si>
  <si>
    <t>Purchase of Plastic Bag ( Slaughterhouse)</t>
  </si>
  <si>
    <t>Purchase of All New Pick-up 4 x 2 E 2.4L Diesel Manual Transmission, CSWD, Surigao City</t>
  </si>
  <si>
    <t>CLUSTER 2 REPAIR AND REHABILITATION OF CLASSROOMS DAMAGED BY FIRE INCIDENTS AND VARIOUS CALAMITIES AND CONSTRUCTION OF SLOPE PROTECTION OF SCHOOL BUILDINGS (CY 2020 QUICK RESPONSE FUND)</t>
  </si>
  <si>
    <t>Purchase &amp; Delivery of Const. &amp; Electrical Supplies for the  project Install./Improvement of Street Lights at Seven (7) Barangays of Arellano District, Surigao City</t>
  </si>
  <si>
    <t>BID FOR THE REPARATION OF MUNICIPAL GYMNASIUM at Bgy. San Miguel</t>
  </si>
  <si>
    <t>CLUSTER 6 REPAIR AND REHABILITATION OF CLASSROOMS DAMAGED BY FIRE INCIDENTS AND VARIOUS CALAMITIES AND CONSTRUCTION OF SLOPE PROTECTION OF SCHOOL BUILDINGS (CY 2020 QUICK RESPONSE FUND)</t>
  </si>
  <si>
    <t>CLUSTER 1 REPAIR AND REHABILITATION OF CLASSROOMS DAMAGED BY FIRE INCIDENTS AND VARIOUS CALAMITIES AND CONSRTUCTION OF SLOPE PROTECTION OF SCHOOL BUILDINGS (CY 2020 QUICK RESPONSE FUND)</t>
  </si>
  <si>
    <t>ITB-GS-20200408-01 - Three (3) Years Hardware Maintenance and License Subscription of Axway Secure Transport Server</t>
  </si>
  <si>
    <t>CLUSTER 9 REPAIR AND REHABILITATION OF CLASSROOMS DAMAGED BY FIRE INCIDENTS AND VARIOUS CALAMITIES AND CONSTRUCTION OF SLOPE PROTECTION OF SCHOOL BUILDINGS (CY 2020 QUICK RESPONSE FUND)</t>
  </si>
  <si>
    <t>Improvement of Multi Purpose Hall Phase III</t>
  </si>
  <si>
    <t>Completion of  Irrigation System,  Brgy. Trinidad, Surigao City</t>
  </si>
  <si>
    <t>Procurement of PSA Security Guard Services for Two (2) Years under ITB No.PB20-06-003ILO</t>
  </si>
  <si>
    <t>Constrution of Rizal Mourning Shed</t>
  </si>
  <si>
    <t>CLUSTER 7 REPAIR AND REHABILITATION OF CLASSROOMS DAMAGED BY FIRE INCIDENTS AND VARIOUS CALAMITIES AND CONSTRUCTION OF SLOPE PROTECTION OF SCHOOL BUILDINGS (CY 2020 QUICK RESPONSE FUND)</t>
  </si>
  <si>
    <t>SSF Equipment for MAGROW MPC (Garments Making)</t>
  </si>
  <si>
    <t>Establishment of Tricycle Terminals and Rehabilitation of Municipal Fence</t>
  </si>
  <si>
    <t>Rehabilitation of Parug-parug Diversion Dam</t>
  </si>
  <si>
    <t>Medical Oxygen etc. (06-0599)</t>
  </si>
  <si>
    <t>Supply of Labor, Materials and Equipment for the Construction of Line Canal, Brgy. Aya, San Jose, Batangas</t>
  </si>
  <si>
    <t>Concreting of Brgy. Maatas Street</t>
  </si>
  <si>
    <t>Supply and Delivery of   6-Wheeler Truck (PR No. 20-03-0121)</t>
  </si>
  <si>
    <t>Supply of Labor, Materials and Equipment for the Improvement of Multi-Purpose Building, Brgy. Salaban, San Jose, Batangas</t>
  </si>
  <si>
    <t>Supply and Delivery of Other Supplies and Materials (Insecticide), Office of the Municipal Health Officer, San Jose, Batangas</t>
  </si>
  <si>
    <t>FOD-R-20-2346 : Procurement of Forty  (40) Units of  Pump  Irrigation  System  for Open Source ( PISOS)</t>
  </si>
  <si>
    <t>Supply of Labor, Materials and Equipment for the Improvement of Multi-Purpose Building, Brgy. Banaybanay I, San Jose, Batangas</t>
  </si>
  <si>
    <t>SAAD-20-2039:Procurement of One Hundred Eighty-Eight (188) Units Plow (Manual Cultivator Plow)</t>
  </si>
  <si>
    <t>Construction of Multi-Purpose Building - Sapang, Galimuyod, Ilocos Sur</t>
  </si>
  <si>
    <t>Concreting of Union Brgy. Road</t>
  </si>
  <si>
    <t>Procurement of Ceramic Toilet Bowls</t>
  </si>
  <si>
    <t>Procurement of Toilet Bowl</t>
  </si>
  <si>
    <t>CDH-18-2436-B (Re-Bid) Concreting of Access Road of Dr. Ricardo S. Provido Sr. Memorial District Hospital, Calinog, Iloilo</t>
  </si>
  <si>
    <t>REBIDDING OF THE SUPPLY AND DELIVERY OF VARIOUS LABORATORY REAGENTS AND SUPPLIES</t>
  </si>
  <si>
    <t>20DP0077 : Construction of Four (4) Storey Twenty (20) Classroom at Col. Lauro D. Dizon Memorial National High School, San Pablo City, Laguna</t>
  </si>
  <si>
    <t>CDH-19-1003-B (Re-Bid) Proposed Concreting of Parking Area of Dr. Ricardo S. Provido Sr. Memorial District Hospital, Calinog, Iloilo</t>
  </si>
  <si>
    <t>CONSTRUCTION OF BURAUEN COMMUNITY COLLEGE BUILDING (ADMINISTRATION BUILDING) BURAUEN SPORTS COMPLEX, BURAUEN, LEYTE</t>
  </si>
  <si>
    <t>20DP0076 : Construction of Four (4) Storey Eight (8) Classroom at Guerilla Elementary School, San Pablo City, Laguna</t>
  </si>
  <si>
    <t>CDH-19-1151-B (Re-Bid) Proposed Ward Extension of Dr. Ricardo S. Provido Sr. Memorial district Hospital  Calinog, Iloilo</t>
  </si>
  <si>
    <t>Procurement of Ink for Computer Printers</t>
  </si>
  <si>
    <t>CDH-19-1114-B (Re-Bid) Renovation of Rehab of Dr. Ricardo S. Provido Memorial District Hospital (Phase 1) Calinog, Iloilo</t>
  </si>
  <si>
    <t>Procurement for various Information Technology Equipment</t>
  </si>
  <si>
    <t>ARPA-RADAR Simulator  (Full Mission Ship Bridge Simulator) with complete accessories (1 Instructor Station and 6 Students Station) including installation and training orientation.</t>
  </si>
  <si>
    <t>ITB # 20ODGS-0001 For the Repair/Maintenance/Repainting of Faded Reflectorized Pavement Markings along various road in Caloocan City &amp; Valenzuela City (C.Y. 2020 Routine / Special Maintenance)</t>
  </si>
  <si>
    <t>FOD-R-20-0232: Supply of Labor and Materials for the Construction of Cangkue Diversion Dam located at Brgy. Sto. Niño, Tanjay City, Negros Oriental</t>
  </si>
  <si>
    <t>20DP0075 : Construction of Four (4) Storey Eight (8) Classroom at Masapang Elementary School, Victoria, Laguna</t>
  </si>
  <si>
    <t>20DP0074 : Construction of Four (4) Storey Twelve (12) Classroom at San Francisco Elementary School, Nagcarlan, Laguna</t>
  </si>
  <si>
    <t>CONSTRUCTION AND/ OR REPAIR/ REHABILITATION OF MULTI-PURPOSE BUILDING, BRGY. POBLACION, URDANETA CITY, PANGASINAN</t>
  </si>
  <si>
    <t>20DP0073 : Construction of Four (4) Storey Sixteen (16) Classroom at Alaminos Central School, Alaminos, Laguna</t>
  </si>
  <si>
    <t>Engagement of Service Provider for Group Life and Accident Insurance Plan (GLAIP) for PNOC EC (Rebid)</t>
  </si>
  <si>
    <t>Procurement of Office Equipment/Furniture and Fixture</t>
  </si>
  <si>
    <t>Improvement/expansion LGU (Fatima Purok 5) Water System</t>
  </si>
  <si>
    <t>20KJ0179: Construction/Maintenance of Flood Mitigation Structures and Drainage Systems, Construction of Ozamis City Drainage System, Package 1, Misamis Occidental</t>
  </si>
  <si>
    <t>Supplies/Materials for PMC CCIE</t>
  </si>
  <si>
    <t>Rafael Lacson box culvert</t>
  </si>
  <si>
    <t>20KJ0151: Construction/Completion of 10 units Multi-Purpose Building, Tangub City, Misamis Occidental</t>
  </si>
  <si>
    <t>SUPPLY OF ONE UNIT PICK-UP VEHICLE FOR PROVINCIAL INTERNAL AUDIT OFFICE</t>
  </si>
  <si>
    <t>PB-C-2020-05-620 "Procurement Consulting Services for the Architectural Design, Detailed Engineering Design and Conceptual Design of the New Doña Maria D. Tan Memorial Hospital (DMDTMH)" (P 9,000,000.</t>
  </si>
  <si>
    <t>Procurement of Tires for Service Vehicles and Heavy Equipment Province of Northern Samar</t>
  </si>
  <si>
    <t>Supply and Delivery of OPTAR Requirements of PMC LOT 3 - Other Supplies &amp; Materials Expenses</t>
  </si>
  <si>
    <t>Supply and Delivery of Janitorial and Garbage Collection Services at Naval Base Rafael Ramos (NBRR)</t>
  </si>
  <si>
    <t>SUPPLY AND DELIVERY OF MATERIALS TO BE USED IN INSTALLATION OF POTABLE WATER SUPPLY SYSTEM LEVEL 1 &amp; 2, SITIO KANLURAN</t>
  </si>
  <si>
    <t>CONSTRUCTION OF DRAINAGE CANAL FOR TEN (10) BARANGAYS</t>
  </si>
  <si>
    <t>20KJ0180: Construction of Convention Center, Ozamis City, Misamis Occidental</t>
  </si>
  <si>
    <t>Supply and Delivery of Janitorial and Garbage Collection Services of NIF-Eastern Mindanao</t>
  </si>
  <si>
    <t>ROAD REHABILITATION</t>
  </si>
  <si>
    <t>CONSTRUCTION OF 2 UNITS MATERIALS RECOVERY FACILITY</t>
  </si>
  <si>
    <t>2020 - B4- Project A - Various Hospital and Medical Equipment for the Province of Bulacan (LGU2020 Hospitals) - P4,000,000.00</t>
  </si>
  <si>
    <t>Rehabilitation of various Brgy. Roads</t>
  </si>
  <si>
    <t>20GKJ0004: Supply and Delivery of Materials for Activity 111 – Premix Patching Bituminous Pavement, Misamis Occidental 2nd</t>
  </si>
  <si>
    <t>t One (1) Lot Cluster Bidding (Jimalalud) (B-83-2020)</t>
  </si>
  <si>
    <t>2020 - B4- Project B - Various Hospital and Medical Equipment for the Province of Nueva Ecija (LGU2020 Hospitals)  - P18,000,000.00</t>
  </si>
  <si>
    <t>PURCHASE OF BRAND NEW AMBULANCE FOR USE IN DISASTER PREPAREDNESS PROGRAM OF PDRRMO</t>
  </si>
  <si>
    <t>Procurement of Various Medicines for COVID-19 Prevention</t>
  </si>
  <si>
    <t>INF-ITB 20-032 Construction of Multipurpose Drying Pavement with Warehouse, Brgy. Miasong, Tupi, South Cotabato</t>
  </si>
  <si>
    <t>20FM0051 Repair/Maintenance of Various Flood Control  Structures at Alcantara Bridge, Buyo River, and  San Fernando East Dike along Brgy. Baybay Dagat Section, Monreal, and San Fernando, Masbate</t>
  </si>
  <si>
    <t>REHABILITATION OF TULAY NG PANGULO (APPROACH B-BANKER)</t>
  </si>
  <si>
    <t>Rehabilitation/Improvement of Various Local Roads</t>
  </si>
  <si>
    <t>Supply and Delivery of Four (4) units Brand New AMBULANCE for MCDRRMO, City Government of Marikina</t>
  </si>
  <si>
    <t>INF-ITB 20-031 Construction of Water System at Sitio Tanting, Tantangan, South Cotabato</t>
  </si>
  <si>
    <t>SUPPLY &amp; DELIVERY OF BLOOD CULTURE SENSITIVITY MACHINE</t>
  </si>
  <si>
    <t>Purchase of Biotek-M Dengue Package and Biotek-M Lamp Heater With Easyview LED Transilluminator for NSPH and District Hospitals Province of Northern Samar</t>
  </si>
  <si>
    <t>Street Concreting Brgy. Magsaysay Bobon Northern Samar</t>
  </si>
  <si>
    <t>DRILLING &amp; CONST. OF TWO (2) TEST/PRODUCTION WELL FOR THE PAMPLONA WATER DISTRICT</t>
  </si>
  <si>
    <t>Purchase of Materials for the Completion of Spring Development Project</t>
  </si>
  <si>
    <t>LANDSCAPING OF BAYWALK AT BARANGAY BARANAYAN</t>
  </si>
  <si>
    <t>Supplies of Materials for Training Requirements of Naval Enlisted Personnel Schools Center Courses (NEPSC)</t>
  </si>
  <si>
    <t>Concreting of Salvacion-Balat Balud Farm to Market Road Bobon Northern Samar</t>
  </si>
  <si>
    <t>SUPPLY &amp; DELIVERY OF ELECTROCAUTERY MACHINE WITH ARGON PLASMA COAGULATOR</t>
  </si>
  <si>
    <t>SUPPLY &amp; DELIVERY OF I.T. EQUIPMENT, PERIPHERALS AND CONSUMABLES</t>
  </si>
  <si>
    <t>Procurement of Various Live Animals-06-027(AA)ProVet</t>
  </si>
  <si>
    <t>SUPPLY &amp; DELIVERY OF LABORATORY REAGENTS  IB NO. 20-10</t>
  </si>
  <si>
    <t>PROCUREMENT OF ONE (1) UNIT OF BRAND NEW MINI DUMP TRUCK (3 CUBIC)</t>
  </si>
  <si>
    <t>Purchase of (1) one unit Multicab</t>
  </si>
  <si>
    <t>IMPROVEMENT OF LOWER COROZ FARM-TO-MARKET ROAD AT AMBASSADOR, TUBLAY, BENGUET</t>
  </si>
  <si>
    <t>Construction of 1 Unit 2 Classrooms at Sitio Sinaca, Barangay Anticala, Butuan City</t>
  </si>
  <si>
    <t>2020 - B4 - Project C - Various Hospital and Medical Equipment for the Province of Pampanga (LGU2020 Hospitals) - P15,000,000.00</t>
  </si>
  <si>
    <t>Procurement of Various Construction Supplies and Materials-06-332(O)PEO</t>
  </si>
  <si>
    <t>Procurement of Various Construction Supplies and Materials-06-336(O)PEO</t>
  </si>
  <si>
    <t>SUPPLY AND DELIVERY OF THREE (3) UNITS MOTORCYCLE</t>
  </si>
  <si>
    <t>One (1) Lot Cluster Bidding (Pamplona) (B-84-2020)</t>
  </si>
  <si>
    <t>INVITATION TO BID FOR THE CONSTRUCTION OF DRAINAGE CANAL AT P-2 CASTILLO VILLAGE</t>
  </si>
  <si>
    <t>Purchase of Rescue Ambulance for the PDRRMO  Province of Northern Samar</t>
  </si>
  <si>
    <t>Construction/Improvement of Water System</t>
  </si>
  <si>
    <t>SUPPLY &amp; DELIVERY OF ADVOCACY MATERIALS (T-SHIRTS, BAGS, UMBRELLAS, ETC)</t>
  </si>
  <si>
    <t>IB No. 2001-22 Proc. of Goods (Books)(Rebid)</t>
  </si>
  <si>
    <t>SUPPLY &amp; DELIVERY OF ANESTHESIA MACHINE</t>
  </si>
  <si>
    <t>2020- B4 - Project D - Various Hospital and Medical Equipment for the Province of Zambales (LGU2020 Hospitals) - P 5,000,000.00</t>
  </si>
  <si>
    <t>Construction of Drainage Canal for Various Barangays</t>
  </si>
  <si>
    <t>20FM0049 Construction of  Various Rainwater Collection System  (RWCS), Ticao Island, Masbate</t>
  </si>
  <si>
    <t>One (1) Lot Repair and Maintenance – Infrastructure Assets (Provincial Roads &amp; Bridges), Province of Negros Oriental (B-85-2020)</t>
  </si>
  <si>
    <t>20FM0050 Repair/Maintenance of Various Buildings of DPWH  Masbate 1st District Engineering Office, Barangay Bayanihan, San Fernando, Masbate</t>
  </si>
  <si>
    <t>PURCHASE AND DELIVERY OF OFFICE SUPPLIES</t>
  </si>
  <si>
    <t>20BK0144  Construction/ Rehabilitation of Water Supply/Septage and Sewerage/Rain Water Collectors a)DepEd Division Office NEAP Building, Cabarroguis; b)DepEd Division Office CID Building, Cabarroguis;</t>
  </si>
  <si>
    <t>Supply and Delivery of Four (4) units Brand New DUMP TRUCK 8x4 for MCDRRMO, City Government of Marikina</t>
  </si>
  <si>
    <t>Extension of Manlogon Street (Brgy. Bagong Silang) (Materials)</t>
  </si>
  <si>
    <t>PURCHASE AND DELIVERY OF TWO (2) UNITS COMPUTER LAPTOP AND OTHER EQUIPMENT AND ACCESSORIES</t>
  </si>
  <si>
    <t>Re-Blocking of Feeder Road with Canal Improvement, Brgy. Sangirin (Materials)</t>
  </si>
  <si>
    <t>Concreting of Refazo Street Extension (Materials)</t>
  </si>
  <si>
    <t>Procurement of Water Supply Accessories and Materials for the Improvement of Water System of Barangay Tagbongabong</t>
  </si>
  <si>
    <t>CY 2020 QUICK RESPONSE FUND (QRF) REPAIR/REHABILITATION OF CLASSROOMS DAMAGED BY VARIOUS CALAMITIES</t>
  </si>
  <si>
    <t>INSTALLATION OF SOLAR LIGHTS (S.K FUND)</t>
  </si>
  <si>
    <t>SUPPLY &amp; DELIVERY OF FOOD SUPPLIES (REBID)</t>
  </si>
  <si>
    <t>Repair &amp; Maintenance of Machinery &amp; Equipment (Tools &amp; Parts- Ambulance, Nissan Van, Volvo Truck, Pay Loader)</t>
  </si>
  <si>
    <t>IB 2020-07-08(06) Goods Cat II Med/Lab Supplies &amp; Reagents</t>
  </si>
  <si>
    <t>REPRODUCTION &amp; DELIVERY OF BLOOD BAG LABER STICKER WITH PROVISION OF 1 UNIT BARCODE PRINTER</t>
  </si>
  <si>
    <t>20BK0146  Construction of 2 Units 1STY3CL Aglipay East CS 	  Aglipay, Quirino</t>
  </si>
  <si>
    <t>IB 2020-07-08(06) Goods Cat I Drugs and Meds</t>
  </si>
  <si>
    <t>Construction of Tanod's Outpost under the Covered Court Bleacher (Materials)</t>
  </si>
  <si>
    <t>Construction of Masonry Drainage Structure, Along Soriano Street, Centro 11, Balzain East, Tuguegarao City</t>
  </si>
  <si>
    <t>Procurement of Additional Construction Materials for COVID-19 Isolation Building</t>
  </si>
  <si>
    <t>Procurement of 1 unit Ambulance for City Mayor's Office</t>
  </si>
  <si>
    <t>Improvement of Public Cemetery, Brgy. Sangirin (Materials)</t>
  </si>
  <si>
    <t>Supply and Delivery of Materials for Concreting of Road, MSSD to Wet Public Market, Poblacion Malalag Davao del Sur</t>
  </si>
  <si>
    <t>Construction of Masonry Drainage, Along Atal Street, Cataggaman Viejo, Tuguegarao City</t>
  </si>
  <si>
    <t>Procurement of Medicines for CHO, RHU 1, RHU 2 and RHU 3</t>
  </si>
  <si>
    <t>PURCHASE OF 1 UNIT MPV(MULTI-PURPOSE VEHICLE) 2.8L G DIESEL AT</t>
  </si>
  <si>
    <t>20BK0145  Construction/Rehabilitation of Water Supply/Septage and Sewerage/Rain Water Collectors a)Mariano Gadingan Sr. Elementary School,Maddela; b)San Bernabe Elementary School,Maddela; c)San Salvad</t>
  </si>
  <si>
    <t>PROCUREMENT OF MATERIALS FOR IMPROVEMENTS OF WATER SYSTEM</t>
  </si>
  <si>
    <t>Procurement of 1 Unit Self-Bailing Raft of CDRRMC</t>
  </si>
  <si>
    <t>Supply and Delivery of One (1) Unit Fabricated Plastic and Cellophane Pulverizer Equipment</t>
  </si>
  <si>
    <t>PROCUREMENT OF DIESEL FUEL AND GASOLINE FOR ENERGIZATION PROGRAM  CONSUMPTION OF LGU-CALUYA FOR THE MONTH OF JUNE TO AUGUST 2020</t>
  </si>
  <si>
    <t>Procurement of Business and Tricycle Plate of Mayor's Office</t>
  </si>
  <si>
    <t>Procurement of Laptops of ICT</t>
  </si>
  <si>
    <t>Proposed Design and Build for the Construction of Covered Court (Phase-1) - Binalbagan Campus, Brgy. Enclaro, Binalbagan City, Negros Occidental (2nd Publication)</t>
  </si>
  <si>
    <t>Construction of Manpower &amp; Training w/GSO Building City Hall Site, Brgy. Awasian, Tandag City</t>
  </si>
  <si>
    <t>INVITATION TO BID FOR THE CONSTRUCTION OF MULTI-PURPOSE OPEN GYM</t>
  </si>
  <si>
    <t>GENERAL OVERHAULING OF EXISTING GENERATOR SET AT BRDRL</t>
  </si>
  <si>
    <t>INF-ITB 20-033 Construction of Multipurpose Drying Pavement with Warehouse, Brgy. Lamsalome, T'boli, South Cotabato</t>
  </si>
  <si>
    <t>small value procurement for the School Landscaping</t>
  </si>
  <si>
    <t>UPLB-RQ-6-127-20-RES SUPPLY AND DELIVERY OF CHEMICALS &amp; CHEMICAL PRODUCTS FOR IBS</t>
  </si>
  <si>
    <t>SUPPLY &amp; DELIVERY OF IV FLUIDS IN BAG TO BE USED AT OSPITAL NG MUNTINLUPA</t>
  </si>
  <si>
    <t>Purchase of ICT Equipment  (Desktop, Laptop &amp; Printer)</t>
  </si>
  <si>
    <t>Enhancement of Engineering and Technology Green Building (ETGB) Roof Skirting (Labor and Materials) - Talisay Campus, Brgy. Zone 1, Mabini St., Talisay City, Negros Occidental</t>
  </si>
  <si>
    <t>COMPLETION WORKS FOR THE SITE DEVELOPMENT &amp; CONSTRUCTION OF FLOOD CONTROL SYSTEM AT COLEGIO DE MUNTINLUPA, POSADAS AVE., BRGY. SUCAT, MUNTINLUPA CITY</t>
  </si>
  <si>
    <t>CONSTRUCTION OF MULTI-PURPOSE COVERED STAGE, BLEACHER, AND PERIMETER FENCE AT VILLA CAROLINA 2, BRGY. TUNASAN, MUNTINLUPA CITY</t>
  </si>
  <si>
    <t>SMALL VALUE PROCUREMENT OF WATER SUPPLY</t>
  </si>
  <si>
    <t>20PJ0052: Construction/ Rehabilitation of water Supply/ Rain Water Collectors</t>
  </si>
  <si>
    <t>for INF-ITB 20-034 Construction of Multipurpose Drying Pavement with Warehouse, Brgy. Cabuling, Tantangan, South Cotabato</t>
  </si>
  <si>
    <t>Personal Protective Equipment (PPE) for Laguna Medical Center</t>
  </si>
  <si>
    <t>Supply &amp; Delivery of Medicines (Second Bidding)</t>
  </si>
  <si>
    <t>Purchase of Training Equipment for Livelihood Program – CLDO</t>
  </si>
  <si>
    <t>Repair &amp; Rehabilitation of Drainage Canal</t>
  </si>
  <si>
    <t>INVITATION TO BID FOR PACKAGE – XIII A.) REBLOCKING OF F. CLAR STREET B.) CONCRETING OF ROAD @ PUROK 4 HERSANA STREET CARAMCAM DISTRICT</t>
  </si>
  <si>
    <t>Goat Dispersal Livelihood Program in Barangay Mabini, Malalag Davao del Sur</t>
  </si>
  <si>
    <t>PROCUREMENT OF SERVICE VEHICLE FOR SOLID WASTE MANAGEMENT COLLECTION/DISASTER MANAGEMENT</t>
  </si>
  <si>
    <t>Supply &amp; delivery of materials for the opening/gravelling of Farm to Market Road  @ Brgy. Kipit, Titay, Zamboanga Sibugay</t>
  </si>
  <si>
    <t>Procurement of Uniforms for the POSO Personnel</t>
  </si>
  <si>
    <t>RENT OF PRINTER WITH CONTINUOUS INK TO BE USED AT OSPITAL NG MUNTINLUPA</t>
  </si>
  <si>
    <t>SUPPLY AND DELIVERY OF SIX (6) UNIT MOTORCYCLE</t>
  </si>
  <si>
    <t>Supply and Delivery of Materials for the Const/Rehab. of Potable Watersystem, Ibo Malalag Davao del Sur</t>
  </si>
  <si>
    <t>PROCUREMENT OF ONE (1) UNIT BRAND NEW RESCUE VEHICLE</t>
  </si>
  <si>
    <t>SUPPLY AND DELIVERY OF HARDWARE MATERIALS FOR THE CONSTRUCTION OF SHED FOR 2 UNITS CONTAINER VAN,  THIS MUNICIPALITY /2020-003</t>
  </si>
  <si>
    <t>SUPPLY &amp; DELIVERY OF CERVICAL INSPECTION SET</t>
  </si>
  <si>
    <t>PROCUREMENT OF GOODS AND SERVICES: SUPPLY, DELIVERY AND INSTALLATION OF DATA MANAGEMENT SYSTEM WITH  PAPERLESS SESSION SET-UP INCLUDING ITS HARDWARE AND SOFTWARE REQUIREMENTS  FOR SANGGUNIANG BAYAN OF</t>
  </si>
  <si>
    <t>SUPPLY AND DELIVERY OF TWO (2) UNITS MOTORCYCLE</t>
  </si>
  <si>
    <t>SUPPLY &amp; DELIVERY OF VARIOUS MEDICAL SUPPLIES TO BE USED AT OSPITAL NG MUNTINLUPA</t>
  </si>
  <si>
    <t>SUPPLY AND DELIVERY OF MATERIALS AND FITTINGS OF WATERWORKS MAINTENANCE FOR 3RD QUARTER REQUIREMENT, THIS MUNICIPALITY /2020-001</t>
  </si>
  <si>
    <t>SUPPLY &amp; DELIVERY OF DRUGS AND MEDICINES</t>
  </si>
  <si>
    <t>SUPPLY &amp; DELIVERY OF SEVOFLURANE (WET FORMULATION) TO BE USED AT OSPITAL NG MUNTINLUPA</t>
  </si>
  <si>
    <t>INF-ITB 20-035 Construction of Multipurpose Drying Pavement with Warehouse, Brgy. Lampitak, Tampakan, South Cotabato</t>
  </si>
  <si>
    <t>Invitation to Bid for The Improvement of Barangay Health Station</t>
  </si>
  <si>
    <t>PROCUREMENT OF WHEEL TYPE BACKHOE (BRAND NEW)</t>
  </si>
  <si>
    <t>Concreting of Furao Brgy. Road (San Enrique St., Purok 4)</t>
  </si>
  <si>
    <t>Supply and Delivery of 1 set Electro-hydraulic Cutter under Purchase Request No. 587-20</t>
  </si>
  <si>
    <t>Purchase of fuel &amp; lubricants  for the opening/gravelling of Farm to Market Road  @ Brgy. Kipit, Titay, Zamboanga Sibugay</t>
  </si>
  <si>
    <t>Procurement of One Unit Brand New SUV for LGU Operations</t>
  </si>
  <si>
    <t>SUPPLY AND DELIVERY OF HARDWARE MATERIALS FOR THE CONSTRUCTION OF STANDARD COMFORT ROOM LOCATED AT MUNICIPAL GROUND CENTER,  THIS MUNICIPALITY /2020-004</t>
  </si>
  <si>
    <t>UPGRADING OF CVR BATU-MAGAPUY-PAITAN ROAD Located at Bayombong, Nueva Vizcaya</t>
  </si>
  <si>
    <t>Concreting of Guibang Brgy. Road (Vidania and Busto St., Purok3)</t>
  </si>
  <si>
    <t>Construction of Perimeter Fence at the Municipal Engineered Sanitary Landfill ( Phase I) at brgy. Suyo, Dingras, Ilocos Norte.</t>
  </si>
  <si>
    <t>REHAB./IMPROVEMENT OF BRGY. PLAZA (ON-GOING) S.K FUND</t>
  </si>
  <si>
    <t>Supply and Delivery of 2 sets Digital Scoreboard with Shoot Clock and Buzzer ,3x4( with free installation)</t>
  </si>
  <si>
    <t>SMALL VALUE PROCUREMENT FOR LAWN MOWER</t>
  </si>
  <si>
    <t>PURCHASE &amp; DELIVERY  OF CUSTOMIZED RESCUE AMBULANCE</t>
  </si>
  <si>
    <t>UPGRADING OF DIFFUDAY-BONIFACIO ROAD Located at Quezon, Nueva Vizcaya</t>
  </si>
  <si>
    <t>20H00068 - Construction/Rehabilitation/Improvement of Facilities for Persons with Disabilities (PWD) and Elderlies/Senior Citizens, including Gender-Responsive Facilities, DPWH Regional Office VII and</t>
  </si>
  <si>
    <t>PROCUREMENT OF ONE (1) UNIT PATROL CAR</t>
  </si>
  <si>
    <t>PURCHASE OF TOILET BOWLS</t>
  </si>
  <si>
    <t>Supply and Delivery of Medical, Dental and laboratory Equipment and Supplies at Bgy. San Miguel, Linapacan, Palawan</t>
  </si>
  <si>
    <t>Construction of Perimeter Fence of Slaughterhouse (Phase I) at brgy. Cali, Dingras, Ilocos Norte.</t>
  </si>
  <si>
    <t>ORD PABAC 046-19 (Re-bid) Procurement of 186,538 rds Ctg, 7.62x51mm, Ball</t>
  </si>
  <si>
    <t>BARANGAY ROAD REHABILITATION (FARM TO MARKET ROAD)   PUROK 5, 6 &amp; 7 SITIO CAMP 13, BRGY. PINPIN, TUBOD, LANAO DEL NORTE</t>
  </si>
  <si>
    <t>Retrofitting/Repair of Pier No. 2 Urungan Bridge K0552+069 (B) 1082LZ along Cagayan Valley Road, Gattaran, Cagayan</t>
  </si>
  <si>
    <t>Maintenance/Improvement of Municipal Hall (Upgrading of Electrical System-Phase III) of the Municipality of Dingras, Ilocos Norte.</t>
  </si>
  <si>
    <t>Supply and Delivery of Laboratory Supplies and Equipment</t>
  </si>
  <si>
    <t>Excavation and Riprapping of Ilaya-Malag-it Creek</t>
  </si>
  <si>
    <t>SUPPLY AND DELIVERY OF BUNTIS KIT</t>
  </si>
  <si>
    <t>UPLB-RQ-6-128-20-I SUPPLY AND DELIVERY OF CONSTRUCTION PROJECTS FOR IPB</t>
  </si>
  <si>
    <t>Supply and Delivery of Farm Supplies for PCC</t>
  </si>
  <si>
    <t>Improvement /Rehabilitation of Farm to Market Roads (Repair of Bridge Abutment/Approach) at sitio Birucao, Suyo, Dingras, Ilocos Norte.</t>
  </si>
  <si>
    <t>Solar Street Light project for Barangay Villahermosa Tudela Cebu</t>
  </si>
  <si>
    <t>CONTINUATION OF ABBOT CALBAYAN FMR, CATABBOGAN</t>
  </si>
  <si>
    <t>Supplying  one (1) unit SWAT Patrol Vehicle, AUV or CUV, Manual Transmission, Diesel Fed, Displacement not exceeding 2500cc, Brand New, Government Plate for use in PNP Patrol Operation in the province</t>
  </si>
  <si>
    <t>SUPPLY AND DELIVERY OF BHW KIT</t>
  </si>
  <si>
    <t>Construction of Concrete Footbridge  (Connecting to Multipurpose Building)</t>
  </si>
  <si>
    <t>Construction of Flood Control along Poblacion Areas (Phase III) of the Municipality of Dingras, Ilocos Norte.</t>
  </si>
  <si>
    <t>CONCRETING OF JCT. NATIONAL-GALINTUJA-DELACTAN-MAGINO ROAD Located at Alfonso Catañeda, Nueva Vizcaya</t>
  </si>
  <si>
    <t>PROCUREMENT OF MATERIALS FOR THE CONSTRUCTION OF K-9 HOUSE (ADDITIONAL WITH FENCE &amp; LIGHT)</t>
  </si>
  <si>
    <t>20NF0079:REPAIR/MAINTENANCE OF DPWH BUILDING VARIOUS OFFICES/BUILDING (ROOFTOP) BRGY. 12, DAPA, SURIGAO DEL NORTE</t>
  </si>
  <si>
    <t>G-2020-19: SUPPLY AND DELIVERY OF ONE HUNDRED FIFTY (150) UNITS OF BRAND-NEW 2KVA UNINTERRUPTIBLE POWER SUPPLY (UPS) FOR THE DEVELOPMENT BANK OF THE PHILIPPINES - REBID</t>
  </si>
  <si>
    <t>CONCRETING OF BARESBES-BOLIWAO-INATUB ROAD Located at Quezon, Nueva Vizcaya</t>
  </si>
  <si>
    <t>Improvement/Rehabilitation of Farm to Market Roads (Package IV) of the Municipality of Dingras, Ilocos Norte.</t>
  </si>
  <si>
    <t>UPGRADING OF JCT. NATIONAL BUA-BULALA-MUTA-MACABENGA ROAD Located at Kasibu, Nueva Vizcaya</t>
  </si>
  <si>
    <t>Construction of Rizal Barangay Health Station</t>
  </si>
  <si>
    <t>SUPPLY AND DELIVERY OF OFFICE SUPPLIES AND EQUIPMENT NOT AVAILABLE AT PROCUREMENT SERVICE (PS)-DEPOT INTENDED FOR DIFFERENT OFFICES FOR CY 2020, THIS MUNICIPALITY /2020-005</t>
  </si>
  <si>
    <t>20BB0125 - Repair/Maintenance of DoTr Building LTO-Administration Building, Minanga, Aparri, Cagayan</t>
  </si>
  <si>
    <t>MATERIALS FOR REHABILITATION OF IRRIGATION SYSTEM at Atabay, Salcedo, Ilocos Sur</t>
  </si>
  <si>
    <t>IMPROVEMENT OF BARANGAY ROAD, SAN JUAN</t>
  </si>
  <si>
    <t>Construction of Water System, Brgy. Bucalan, (So. Inomolan) Canlaon City</t>
  </si>
  <si>
    <t>Labor and Materials for the Construction of Slope Protection at Malpitic, City of San Fernando, Pampanga.</t>
  </si>
  <si>
    <t>2nd ITB for the  UPGRADING OF NVPH WATER SYSTEM Located at Bambang, Nueva Vizcaya</t>
  </si>
  <si>
    <t>20LB0166 - Construction of Flood Mitigation Structure, El Rio Vista Village Section, Davao River, Brgy. 19-B, Davao City</t>
  </si>
  <si>
    <t>Supplying  one (1) unit Brand New Asian/Cross Over Utility Vehicle (AUV/CUV) not exceeding 2500cc engine displacement, diesel fed, 4 cylinder, a four wheel enclosed vehicle having dual side doors, a m</t>
  </si>
  <si>
    <t>20LB0157 - Construction of Drainage along Pagatpat St. S.I.R., PH. 1, New Matina, Brgy. 76-A, Davao City</t>
  </si>
  <si>
    <t>SUPPLY AND DELIVERY OF VARIOUS SUPPLIES AND EQUIPMENT MDRRMO OPERATION</t>
  </si>
  <si>
    <t>Fabrication and Installation of 88 Units Streetlights in Various Barangays</t>
  </si>
  <si>
    <t>CONCRETING OF JCT. CALAOCAN-DIFFUNCIAN ROAD Located at Quezon, Nueva Vizcaya</t>
  </si>
  <si>
    <t>20LB0187 - Reconstruction to Concrete Pavement along Daang Maharlika (MN) - K1510 + 617</t>
  </si>
  <si>
    <t>SUPPLY AND DELIVERY OF MEDICINES INTENDED FOR PSYCHE, ANIMAL BITE TREATMENT CENTER AND PULMONARY TUBERCULOSIS PATIENTS, THIS MUNICIPALITY /2020-002</t>
  </si>
  <si>
    <t>Road Re-blocking</t>
  </si>
  <si>
    <t>REHABILITATION OF ACCESS ROAD at Baybayading, Salcedo, Ilocos Sur</t>
  </si>
  <si>
    <t>Procurement of 60,088 cans of Canned Tuna Flakes and 149,770 sachets of Powdered Cereal Drinks as Raw Materials for Family Food Packs Production under ITB NO. GOP-20-DSWD-2020-05-03 (2nd Posting)</t>
  </si>
  <si>
    <t>Supply, Delivery and Installation of 1 Lot 645KVA Generator Set of Bukidnon State University</t>
  </si>
  <si>
    <t>SUPPLY AND DELIVERY OF VARIOUS MATERIALS FOR RESCUE EQUIPMENTS</t>
  </si>
  <si>
    <t>Installation of Water Rain Catchment</t>
  </si>
  <si>
    <t>Invitation to Bid Supply and Installation of Streetlights</t>
  </si>
  <si>
    <t>Rehabilitation of SB Session Hall</t>
  </si>
  <si>
    <t>20LB0185 - Jct. Davao-Cotabato Old Road (Bago Gallera Section) Leading to Philippine Coconut Authority (PCA), Davao City</t>
  </si>
  <si>
    <t>seeds</t>
  </si>
  <si>
    <t>CONSTRUCTION OF PROCOR MAIN GATE</t>
  </si>
  <si>
    <t>CONSTRUCTION OF TWO STOREY BUILDING (PHASE-1)</t>
  </si>
  <si>
    <t>20LB0235 - Construction / Rehabilitation of Ecoland Creek Protecting ABS-CBN Diversion Rd up to Davao River Outfall, Davao City</t>
  </si>
  <si>
    <t>Rebidding - Office Table for the Use of the Presiding Officer and SB Members, San Jose de Buenavista</t>
  </si>
  <si>
    <t>Concreting of Barangay Road at Nabannagan West, Lasam, Cagayan</t>
  </si>
  <si>
    <t>PURCHASE OF FUEL, OIL AND LUBRICANTS</t>
  </si>
  <si>
    <t>20LB0233 - Construction of Drainage Along Jct. F. Torres – Mt. Mayon – E. Quirino Road, Davao City</t>
  </si>
  <si>
    <t>PROCUREMENT 24 SETS FOLDING WITH MATTRESS, SINGLE 36”X75”, 26 SETS OF FOLDING BED WITH MATTRESS, SINGLE 30”X75”, 50 PCS PILLOW, 5”X15”X24”, 22 SETS OF PANEL DIVIDER (4PANEL) AND 4 SETS COAT HANGER (RF</t>
  </si>
  <si>
    <t>Materials for Construction of Multi-Purpose Building, Tradetown Dalipe, San Jose Antique</t>
  </si>
  <si>
    <t>Labor and Materials for the Desilting/Declogging of Alasas - Del Rosario Creek (Alasas Bridge to Del Rosario Bridge) at Alasas and Del Rosario, City of San Fernando, Pampanga</t>
  </si>
  <si>
    <t>Procurement of Supply, Delivery, Installation, Testing, Applications Training, And Commissioning of Various Medical Equipment (Batch 1)</t>
  </si>
  <si>
    <t>Construction of Pathway, Po. Rose A Brgy. Malaiba, Canlaon City</t>
  </si>
  <si>
    <t>Rehabilatation of various FMRs</t>
  </si>
  <si>
    <t>20LB0224 - Construction (Completion) of Multi-Purpose Building (Brgy. Hall), Brgy. Malabog, Davao City</t>
  </si>
  <si>
    <t>20LB0193 - Shoulder Paving along Davao - Cotabato Rd. (Davao City - Jct Digos Sect) - K1514+265 - K1514+530, K1521+235 - K1521+415</t>
  </si>
  <si>
    <t>Supply and Delivery of One (1) lot Various Office  Equipment</t>
  </si>
  <si>
    <t>Improvement / Rehab of Water System</t>
  </si>
  <si>
    <t>Supply, Delivery and Installation of 1 Lot IPGC Solar Street Light with Pole (60watts) of Bukidnon State University</t>
  </si>
  <si>
    <t>Procurement of Construction Materials and Supplies (Repair/Rehab. of School Stage, Nonoc, Larena, Siquijor)</t>
  </si>
  <si>
    <t>PROCUREMENT OF BLDG MAINTENANCE - PLUMBING AND CARPENTRY (RFQ 030-2020)</t>
  </si>
  <si>
    <t>Supply, Delivery and Installation of 1 Lot Heavy Duty Variable Perfect Binder with Built-in Automatic/Digital Thickness Caliper and Fully Automatic Laminator of Bukidnon State University</t>
  </si>
  <si>
    <t>CONSTRUCTION OF THREE STOREY (9-CLASSROOM) SCHOOL BUILDING (PHASE 1)</t>
  </si>
  <si>
    <t>Supply, Delivery and Installation of 1 Lot Skills Laboratory Equipment for New Nursing Laboratory of Bukidnon State University</t>
  </si>
  <si>
    <t>Procurement of Fuel and Lubricants</t>
  </si>
  <si>
    <t>Concreting of Road at Carmen Eco Tourism Park and Spring Rosort</t>
  </si>
  <si>
    <t>Construction of Local Roads and Bridge at Purok 1, 3, 6 &amp; 7, Brgy. Gimaloto, West District, Sorsogon City</t>
  </si>
  <si>
    <t>Construction of Barangay Pari-an Multi-Purpose Hall and its Facilities Phase 1</t>
  </si>
  <si>
    <t>Procurement of Industrial Equipment</t>
  </si>
  <si>
    <t>Concreting of Barangay Road at Cabatacan East, Lasam, Cagayan</t>
  </si>
  <si>
    <t>20LB0261 - Road Widening &amp; Replacement of Bridge along Jct. Davao-Cotabato Old Road (Bago Gallera Section) Leading to Philippine Coconut Authority (PCA), Davao City</t>
  </si>
  <si>
    <t>Land Scaping in-front of Multi-purpose Hall, Brgy. Mabigo, Canlaon City</t>
  </si>
  <si>
    <t>20LB0257 - Reconstruction to Concrete Pavement along Jct. R. Magsaysay Ave. - L. Ma. Guerrero St. - Guzman St. - Vinzon St. - T. Palma Gil St. - Jct. Dacudao - Jct. J.P. Cabaguio Ave., (Phase 1) Davao</t>
  </si>
  <si>
    <t>INVITATION TO BID FOR EMB-REGION VII STANDARD SOURCE EMISSION TESTING EQUIPMENT</t>
  </si>
  <si>
    <t>CONSTRUCTION OF MAMBUAYA TRAINING CENTER</t>
  </si>
  <si>
    <t>20KA0143 Reblocking of Damaged Portland Cement Concrete Pavement (PCCP)  along Sayre Highway Kisolon - Lumbo Road km1490+000 -km 1491+000 (Selected Section) Malaybalay City, Bukidnon</t>
  </si>
  <si>
    <t>20LB0302 - Repair/Maintenance of DENR Building CENRO – Land Management Section Building Bangkal, Davao City</t>
  </si>
  <si>
    <t>Construction of Reservoir</t>
  </si>
  <si>
    <t>Labor and Materials for the Declogging/Desilting of Calulut Creek at Calulut, City of San Fernando, Pampanga</t>
  </si>
  <si>
    <t>PROCUREMENT OF VARIOUS MEDICINE SUPPLIES</t>
  </si>
  <si>
    <t>20LB0304 - Repair/Maintenance of DAR Building RO-XI-Kalayaan Building, Phase 3, Catalunan Pequeño, Davao City</t>
  </si>
  <si>
    <t>Repair/Maintenance of Liliongan Cave road - Sitio Matingao Malapag Road</t>
  </si>
  <si>
    <t>Invitation to Bid for Health Care Benefits</t>
  </si>
  <si>
    <t>PUBLIC BIDDING / PR 20-02-0095  /  NEWSPAPER PUBLICATION SERVICES</t>
  </si>
  <si>
    <t>fertilizers</t>
  </si>
  <si>
    <t>SUPPLY AND DELIVERY OF LAPTOP COMPUTERS FOR MAIN CAMPUS</t>
  </si>
  <si>
    <t>Removal and Replacement of Sidewalk &amp; Drainage at Orchid St.</t>
  </si>
  <si>
    <t>INVITATION TO BID FOR BARANGAY ROAD CONCRETING</t>
  </si>
  <si>
    <t>Labor and Materials for the Desilting/ Declogging of St. Jude Creek (Maniknik Creek to Solana Bridge) at San Agustin, City of San Fernando, Pampanga</t>
  </si>
  <si>
    <t>FURNISHING OF LABOR AND MATERIALS FOR THE REHABILITATION OF SOLID WASTE MANAGEMENT ECOLOGICAL CENTER AT BRGY. CAPALIZ, DUMANGAS, ILOILO (REBIDDING)</t>
  </si>
  <si>
    <t>20LB0303 - Repair/Maintenance of DENR Building CENRO – Forestry Building Bangkal, Davao City</t>
  </si>
  <si>
    <t>PROCUREMENT OF FUEL FOR OPERATION AND MAINTENANCE OF FARM TO MARKET ROAD (FMR)-CONCEPCION-BAGUMBAYAN-HAMPANGAN</t>
  </si>
  <si>
    <t>Procurement of Relief/Search and Rescue Operations Vehicle/Equipment - (Rescue Utility Van)</t>
  </si>
  <si>
    <t>Concreting of Ilang-Ilang St. (From Cadena de Amor - Everlasting St. and From Caimito - Lawaan St.)</t>
  </si>
  <si>
    <t>CONSTRUCTION OF THREE UNITS COMMUNAL TOILET &amp; WASHING AREA</t>
  </si>
  <si>
    <t>INVITATION TO BID FOR THE  PROCUREMENT OF 13 PCS SWIVEL CHAIR STA. FE, LEYTE (BDG-2020-03)</t>
  </si>
  <si>
    <t>RFQ-20-06-022</t>
  </si>
  <si>
    <t>cultivator</t>
  </si>
  <si>
    <t>Supply and Delivery of Brand New 6 Wheeler Dump Truck - ITB 015-2020 GQ</t>
  </si>
  <si>
    <t>Supply and Delivery of 1 Lot Consolidated ICT Printing Consumables (Main Campus) of Bukidnon State University</t>
  </si>
  <si>
    <t>Procurement of one unit Mini-Ambulance</t>
  </si>
  <si>
    <t>20A00070: Construction of By-pass and Diversion Roads, Laoag-San Nicolas Bypass Road (San Nicolas Section), Ilocos Norte</t>
  </si>
  <si>
    <t>Procurement of One unit Dump Truck (Brand new)</t>
  </si>
  <si>
    <t>Rehabilitation/Construction of Lined Canals, Curbs &amp; Gutter at Brgy. Pinagtalleran/Baclaran/Pob.Cinco/Pob.Cuatro, Calauag, Quezon</t>
  </si>
  <si>
    <t>PROCUREMENT OF BREEDED CHICKEN (MALE &amp; FEMALE) FOR CHICKEN DISPERSAL PROGRAM OF MUNICIPAL AGRICULTURE</t>
  </si>
  <si>
    <t>Supply and Delivery of One (1) lot Various Information Communication and Technology Equipment</t>
  </si>
  <si>
    <t>RFQ-20-06-023</t>
  </si>
  <si>
    <t>Concreting of Violita St. (from Sampaguita Ave. - Orchid St.)</t>
  </si>
  <si>
    <t>Construction of MDRRM Ofice, Mogpog</t>
  </si>
  <si>
    <t>INVITATION TO BID FOR THE SUPPLY AND DELIVERY OF 1 UNIT SURPLUS REFRIGERATED MEAT VAN FOR CEEDO, OROQUIETA CITY  (SECOND NOTICE)</t>
  </si>
  <si>
    <t>Procurement of Materials for Rehabilitation of Spring box and pipelines</t>
  </si>
  <si>
    <t>Supply and Delivery of 16 rolls AWG ACSR Duplex Wire #2 (1000m/roll) to be used for expansion/installation of NEW Electrical Lines of different Barangays, Brooke’s Point, Palawan</t>
  </si>
  <si>
    <t>Concreting of Sampaguita ave. (from San Francisco St. - Violita St.</t>
  </si>
  <si>
    <t>REHABILITATION OF PERIMETER FENCE AT PANGLAO PUBLIC MARKET, POBLACION, PANGLAO, BOHOL</t>
  </si>
  <si>
    <t>CONSTRUCTION OF BRIDGE at Balidbid, Salcedo, Ilocos Sur</t>
  </si>
  <si>
    <t>Design And Build For The Construction Of New Manapla Public Market</t>
  </si>
  <si>
    <t>Procurement of Materials for Repair of Public Market Roofing</t>
  </si>
  <si>
    <t>SUPPLY AND DELIVERY OF MISTING MACHINE (ITB No. 2020-145-A)-(pgo-pdrrmd)</t>
  </si>
  <si>
    <t>Supplying labor and materials on the installation of Local Area Network (LAN) at Marinduque Provincial Hospital ICT Division, MPH, Boac, Marinduque</t>
  </si>
  <si>
    <t>RFQ No.: 2020-50 Two (2) Set Double Swing Door (Frameless)</t>
  </si>
  <si>
    <t>Labor and Materials for the Improvement/Construction of Road at Panipuan, City of San Fernando, Pampanga</t>
  </si>
  <si>
    <t>Supply and Delivery of Medical Equipment and Facilities for BEmONC in the Municipality of Victoria, Oriental Mindoro</t>
  </si>
  <si>
    <t>Various medical and laboratory supplies</t>
  </si>
  <si>
    <t>20A00021: Construction of By-Pass and Diversion Roads, Bauang-San Fernando-San Juan Bypass Road (Bauang Section), La Union</t>
  </si>
  <si>
    <t>CONSTRUCTION OF DRAINAGE CANAL WITH CONCRETE COVER</t>
  </si>
  <si>
    <t>Supplying various medical oxygen for use of the three (3) hospitals owned by the Marinduque Provincial Government, SCDH/TMH/MPH, Boac, Marinduque</t>
  </si>
  <si>
    <t>Supply and Delivery of 40 rolls AWG ACSR Duplex Wire #6 (1000m/roll) for Electrification Project Expansion of different Barangays, Brooke’s Point, Palawan</t>
  </si>
  <si>
    <t>Construction of Slope Protection w/ Parapet at Barangay Centro 01, Lasam, Cagayan</t>
  </si>
  <si>
    <t>Supply and Delivery of Construction Materials for the Cotabato Airport Development Project CY 2018 (Runway Strip Grade Correction)</t>
  </si>
  <si>
    <t>Labor and Materials for the Construction of Slope Protection at Saguin, City of San Fernando, Pampanga.</t>
  </si>
  <si>
    <t>Labor and Materials for the Construction of Day Care Center at Magliman, City of San Fernando, Pampanga</t>
  </si>
  <si>
    <t>Supply and Delivery of Chemicals for Use in the Management of Fall Army Worm under 2020 STO - QRF FAW</t>
  </si>
  <si>
    <t>Procurement of One pc. G.I. Pipe Threader 2" Rigid</t>
  </si>
  <si>
    <t>IMPROVEMENT  OF BRGY. LINAO COVERED COURT/ MULTI-PURPOSE HALL AT LINAO, MINGLANILLA, CEBU</t>
  </si>
  <si>
    <t>Supply and Delivery of 6,000 Packs of Lure (Pheromone) for Use in the Management of Fall Army Worm under 2020 STO - QRF FAW</t>
  </si>
  <si>
    <t>REHABILITATION OF ACCESS ROAD at Boguibog, Salcedo, Ilocos Sur</t>
  </si>
  <si>
    <t>PROCUREMENT FOR THE SUPPLY AND DELIVERY OF NINETY (90) CONTAINERS OF BIO-ENZYME FOR SANITARY LANDFILL</t>
  </si>
  <si>
    <t>PROCUREMENT OF GOATS UPGRADED (FEMALE, 100 HEADS) FOR GOAT DISPERSAL PROGRAM OF MUNICIPAL AGRICULTURE; (2ND BIDDING)</t>
  </si>
  <si>
    <t>IMPROVEMENT/ CONSTRUCTION OF DRAINAGE SYSTEM AT BRGY. TULAY, MINGLANILLA, CEBU</t>
  </si>
  <si>
    <t>REHABILITATION OF BURBUR DAM LOCATED AT BRGY. PAYAC</t>
  </si>
  <si>
    <t>Concreting of Barangay Road at Barangay Minanga Sur (TET)</t>
  </si>
  <si>
    <t>SUPPLY AND DELIVERY OF VARIOUS VEGETABLE SEEDS</t>
  </si>
  <si>
    <t>SUPPLY AND DELIVERY OF ONE (1) UNIT MOBILE CLINIC BUS</t>
  </si>
  <si>
    <t>Instructional Learning Materials and office Supplies</t>
  </si>
  <si>
    <t>CONSTRUCTION OF SAN GASPAR WAREHOUSE</t>
  </si>
  <si>
    <t>Supply And Delivery of One (1) unit Meat Van (Brand New) and Two (2) units LED TV CCTV Monitor to be used for delivery of dressed meat from slaughter house to Public Market and Market Satey and Securi</t>
  </si>
  <si>
    <t>Concreting of Barangay Road at Barangay Minanga Sur</t>
  </si>
  <si>
    <t>Replacement of Escalator East and Escalator West at NAIA Terminal 1</t>
  </si>
  <si>
    <t>PROCUREMENT OF TWO (2) UNITS FOUR WHEELED TRACTOR FOR RICE AND CORN PRODUCTION SUPPORT MACHINERIES (BOTH PADDY AND DRY LAND) OF THE MUNICIPAL AGRICULTURE; (2ND BIDDING)</t>
  </si>
  <si>
    <t>Supplying various breeder animals to be dispersed to Marginalized farmers, solo parents, unemployed parents, parents with children with disability, families of person in conflict w/ the law and batter</t>
  </si>
  <si>
    <t>Installation of Solar Panel Street Lights, Along Zone 01, 02 &amp; 03, Centro 12, Balzain West, Tuguegarao City</t>
  </si>
  <si>
    <t>Procurement of Two (2)  Units Brand New  Ambulance to be Utilized as Emergency Vehicle for Probable/Suspect and/or Confirmed COVID - 19 case  and for other Health and/or Emergency Related Activities @</t>
  </si>
  <si>
    <t>Supply and Delivery of 2,000 Bottles of Organic Neem Insecticide for Use in the Management of Fall Army Worm under 2020 STO - QRF FAW</t>
  </si>
  <si>
    <t>Concreting of Gymnasium Flooring of LAsam Central School  at Centro 02, Lasam, Cagayan</t>
  </si>
  <si>
    <t>Supply and Delivery of Anti-Scale, Anti-Foam and Calcium Chloride</t>
  </si>
  <si>
    <t>Supplying various breeder animals to be dispersed to Solo Parents of Torrijos Municipality, Provincial Veterinary Office, Boac, Marinduque</t>
  </si>
  <si>
    <t>20D00076 - CONSTRUCTION OF EVACUATION CENTER AT LOBO, BATANGAS</t>
  </si>
  <si>
    <t>Supply and Delivery of Consolidated ICT Equipment, IT Supplies and Photocopier (Sub-lot) of Bukidnon State University</t>
  </si>
  <si>
    <t>PROCUREMENT FOR THE SUPPLY AND DELIVERY OF VARIOUS SUPPLIES FOR 1ST AND 2ND QUARTER CY 2020 (2ND BATCH)</t>
  </si>
  <si>
    <t>SMALLVALUE PROCUREMENT OF REPRODUCTION OF TEST PAPERS</t>
  </si>
  <si>
    <t>ITB - Supply and Delivery of Linen Supplies and Materials for CY 2020</t>
  </si>
  <si>
    <t>farm tools</t>
  </si>
  <si>
    <t>20D00075 - CONSTRUCTION OF EVACUATION CENTER AT BAUAN, BATANGAS</t>
  </si>
  <si>
    <t>CONSTRUCTION OF FOOTBRIDGE AT BRGY. TUNGKIL, MINGLANILLA, CEBU</t>
  </si>
  <si>
    <t>Supply and Delivery of Livelihood Kits for Livelihood Seeding Program – Negosyo Serbisyo sa Barangay (LSP-NSB) Beneficiaries of Department of Trade and Industry in the Province of Isabela</t>
  </si>
  <si>
    <t>Supply and Delivery of Four (4) pairs Fireman's Gloves, Four (4) pairs Fireman's Boots and Fifteen (15) packs of gas cartridges for newly hired CEZ Firemen and back-up gears</t>
  </si>
  <si>
    <t>CONSTRUCTION OF CONCRETE PERIMETER FENCE WITH PLASTER BACK TO BACK AT TAWALA ELEMENTARY SCHOOL</t>
  </si>
  <si>
    <t>Safe Closure and Rehabilitation of Existing Disposal Site</t>
  </si>
  <si>
    <t>Invitation to Bid for Rehabilitation of Day Care Center of Brgy. Marikit</t>
  </si>
  <si>
    <t>Improvement of Water System @ Mabini- Salintubig 2019</t>
  </si>
  <si>
    <t>SMALL VALUE FOR PROCUREMENT OF OFFICE AND SCHOOL FORMS</t>
  </si>
  <si>
    <t>Construction/ Rehabilitation of Water Supply/ Septage and Sewerage/ Rain Water Collectors - Rain Water Collectors in Public Facilities 1. Baguio City National High School (Main), Gov. Pack Rd., Baguio</t>
  </si>
  <si>
    <t>20CSMH05 - SUB-SURFACE EXPLORATION (SOIL EXPLORATION) OF CONSTRUCTION OF RIVER BANK PROTECTION/FLOOD CONTROL (UPSTREAM SIDE) AT LIMULAN RIVER (CLUSTER E), KALAMANSIG, SULTAN KUDARAT</t>
  </si>
  <si>
    <t>Purchase of Medical Supplies for Laboratory, RHU-Pagsanghan, Samar</t>
  </si>
  <si>
    <t>20D00078 - CONSTRUCTION OF EVACUATION CENTER AT PLARIDEL, QUEZON</t>
  </si>
  <si>
    <t>REHABILITATION/IMPROVEMENT OF PIPELINES OF PANGLAO WATERWORKS SYSTEM, PANGLAO, BOHOL</t>
  </si>
  <si>
    <t>20CSMH04 - SUB-SURFACE EXPLORATION (SOIL EXPLORATION) OF BRIDGES ALONG ISULAN JCT.- NINOY AQUINO RD. (CLUSTER D), SEN. NINOY AQUINO, SULTAN KUDARAT</t>
  </si>
  <si>
    <t>Construction of Municipal Disaster Risk Reduction and Management Office Building</t>
  </si>
  <si>
    <t>20CSMH03 - SUB-SURFACE EXPLORATION (SOIL EXPLORATION) OF BARANAYAN BR. ALONG AWANG-UPI-LEBAK-KALAMANSIGPALIMBANG- SARANGANI RD (CLUSTER C), PALIMBANG, SULTAN KUDARAT</t>
  </si>
  <si>
    <t>Provision of Information Technology (IT) equipments for the Education Technology laboratory and for the conduct of mobile laboratory assessment for computer subject of BSIT &amp; SHS-CSS Track of the Poly</t>
  </si>
  <si>
    <t>Supply and Delivery of Materials, Labor and Equipment for the Construction/Completion of Public Market in Brgy. Poblacion, Padre Garcia, Batangas</t>
  </si>
  <si>
    <t>Construction of Day Care Center @ Botinagan</t>
  </si>
  <si>
    <t>20JG0083 - Repair/Maintenance of DPWH Building, Warehouse Building (Warehouse - Mezzanine Floor), Zamboanga del Sur 2nd District Engineering Office, Brgy.Poblacion, Guipos, Zamboanga del Sur</t>
  </si>
  <si>
    <t>Supply and Delivery of Dump Truck</t>
  </si>
  <si>
    <t>20JG0082 - Repair/Maintenance of DPWH Motorpool Building (Mezzanine Floor), Zamboanga del Sur II District Engineering Office, Poblacion, Guipos, Zamboanga del Sur</t>
  </si>
  <si>
    <t>Procurement of Security Services for Bulacan State University</t>
  </si>
  <si>
    <t>Construction of Slope Protection w/ Parapet at Barangay Centro 03</t>
  </si>
  <si>
    <t>20JG0078 - Repair/Maintenance of DPWH Building (Finance Section), Zamboanga del Sur II District Engineering Office, Poblacion, Guipos, Zamboanga del Sur</t>
  </si>
  <si>
    <t>Construction of Crisis Center</t>
  </si>
  <si>
    <t>20JG0077 - Repair/Maintenance of DPWH Building (Maintenance Section), Zamboanga del Sur II District Engineering Office, Poblacion, Guipos, Zamboanga del Sur</t>
  </si>
  <si>
    <t>20JG0081 - Maintenance, Repair and Rehabilitation of Materials Quality Control Building of DPWH Building Zamboanga del Sur II DEO (Phase 4)</t>
  </si>
  <si>
    <t>20FC0122 : CONCRETING OF BRGY. BINAWANGAN FMR, Brgy. Binawangan, Capalonga, Camarines Norte</t>
  </si>
  <si>
    <t>20D00077 -CONSTRUCTION OF EVACUATION CENTER AT STO.TOMAS, BATANGAS</t>
  </si>
  <si>
    <t>ELECTRIFICATION OF 2 STOREY, 16 CLASS ROOMS</t>
  </si>
  <si>
    <t>PURCHASE OF INORGANIC FERTILIZERS</t>
  </si>
  <si>
    <t>20FC0120 : CONCRETING OF BRGY. GUISICAN FMR, Brgy. Guisican, Labo, Camarines Norte</t>
  </si>
  <si>
    <t>20FC0123 : CONCRETING OF BRGY. BULALA FMR, Brgy. Bulala, Sta. Elena, Camarines Norte</t>
  </si>
  <si>
    <t>concreting of farm to market road</t>
  </si>
  <si>
    <t>Construction of Flood Control Structures along Bayanan River, Brgy. Bayanan, Muntinlupa City,  Sta. 0+000 to Sta. 0+325 (Contract ID No. 20O00059)</t>
  </si>
  <si>
    <t>Purchase of Two(2) Sets of Abaca Stripping Machine for IP's in GIDA Barangays</t>
  </si>
  <si>
    <t>20FC0121 : CONCRETING OF BRGY. ITOK FMR, Brgy. Itok, Capalonga, Camarines Norte</t>
  </si>
  <si>
    <t>PB INFRA 20-039_Completion of Covered Court, College of Agriculture, University of Southern Mindanao, Kabacan, Cotabato</t>
  </si>
  <si>
    <t>PB INFRA 20-038_Construction of Multi-Purpose Building (Birthing Center), Lepaga, Mlang, Cotabato</t>
  </si>
  <si>
    <t>FURNISHED LABOR &amp; MATERIALS FOR THE NEW CONSTRUCTION OF MUNICIPAL DRUG REHABILITATION FACILITY-MEO-PHP 9,852,000.00-1ST POSTING</t>
  </si>
  <si>
    <t>maintenance of street lights P1 - P6</t>
  </si>
  <si>
    <t>PB INFRA 20-040_Construction of Covered Court with Stage, Bleachers &amp; Basketball Rings, Lower Paatan, Kabacan, Cotabato</t>
  </si>
  <si>
    <t>SMALL VALUE PROCUREMENT OF SCHOOL FORMS</t>
  </si>
  <si>
    <t>20JG0079 - Repair/Maintenance of DPWH Building (Planning &amp; Design Section), Zamboanga del Sur II District Engineering Office, Poblacion, Guipos, Zamboanga del Sur</t>
  </si>
  <si>
    <t>CONSTRUCTION OF MULTI-PURPOSE BUILDING FOR SOLID WASTE MANAGEMENT EQUIPMENT AND MOTOR VEHICLES AT BRGY. BURABOD, GAMAY, NORTHERN SAMAR</t>
  </si>
  <si>
    <t>maintenance of water system</t>
  </si>
  <si>
    <t>CID NO. 20LE0123 REPAIR / MAINTENANCE OF LAWA FLOOD CONTROL, DON MARCELINO, DAVAO OCCIDENTAL  (STA. 0+000.00 - STA. 0+083.00 LS)</t>
  </si>
  <si>
    <t>20JG0076 - Repair/Maintenance of Pantad River Control, Brgy. Pantad, Dumalinao, Zamboanga del Sur</t>
  </si>
  <si>
    <t>20JG0080 - Repair/Maintenance of DPWH Main Building, Zamboanga del Sur II District Engineering Office, Poblacion, Guipos, Zamboanga del Sur</t>
  </si>
  <si>
    <t>REPAIR /REHABILITATION OF DAMAGED DRAINAGE FACILITY AT BRGY. CENTRAL, GAMAY, NORTHERN SAMAR</t>
  </si>
  <si>
    <t>20JG0075 - Repair/Maintenance of Bayog River Control, Poblacion, Bayog, Zamboanga del Sur, Sta.1+550 - Sta.1+608.01 R/S</t>
  </si>
  <si>
    <t>20JG0086 - Repair/Maintenance of DND Building, Phil. Army - 53rd Infantry Battalion ( Officer's Quarter), Brgy.Poblacion, Guipos, Zamboanga del Sur</t>
  </si>
  <si>
    <t>CID NO. 20LE0122 REPAIR / MAINTENANCE OF BUHANGIN FLOOD CONTROL, MALITA, DAVAO OCCIDENTAL (STA. 0+000.00 - STA. 0+045.00)</t>
  </si>
  <si>
    <t>20JG0084 - Repair/Maintenance of DPWH Building ( Guardhouse ), Zamboanga del Sur II District Engineering Office, Poblacion, Guipos, Zamboanga del Sur</t>
  </si>
  <si>
    <t>Procurement of MDRRM Protective Equipment</t>
  </si>
  <si>
    <t>20FC0119 : CONCRETING OF BRGY. MABILO I FMR, Brgy. Mabilo I, Labo, Camarines Norte</t>
  </si>
  <si>
    <t>One (1) Lot – Supply and delivery of 5,000 Learning Experience Platform (LXP) subscriptions, including customization, implementation, maintenance, technical support, and user training, as per BSP Term</t>
  </si>
  <si>
    <t>20AH0209  Installation/Application of Road Safety Devices along Judge Jose De Venecia Boulevard Extension Road, Island Section, Dagupan City, Pangasinan</t>
  </si>
  <si>
    <t>20AH0208  Repair/Restoration of Slope Protection along Lingayen-Labrador Road, K0368+430-K0368+495, Labrador, Pangasinan</t>
  </si>
  <si>
    <t>20AH0207  Repair/Maintenance of Lateral Drainage along Mangaldan-Manaoag-Binalonan Road, K0205+917-K0206+000 w/ exception, San Jacinto, Pangasinan</t>
  </si>
  <si>
    <t>20AH0206	Repair/Maintenance of Asphalt Overlay (Thin Overlay) along Pangasinan-Tarlac Road, K0196+827-K0197+018, Bugallon, Pangasinan</t>
  </si>
  <si>
    <t>Procurement of Supply &amp; Delivery of Pheromone Lure</t>
  </si>
  <si>
    <t>20JG0085 - Repair/Maintenance of DA Building, Betinan, San Miguel, Zamboanga del Sur</t>
  </si>
  <si>
    <t>improvement of road -BRGY. SAMPALOCAN, BALETE, BATS.</t>
  </si>
  <si>
    <t>FURNISHED LABOR &amp; MATERIALS FOR THE IMPROVEMENT OF MALUNGON PUBLIC MARKET-MEO-PHP 4,000,000.00-1ST POSTING</t>
  </si>
  <si>
    <t>SMALL VALUE PROCUREMENT OF SCHOOL STAGE</t>
  </si>
  <si>
    <t>SUPPLIES FOR WINS (WASH IN SCHOOL)PROGRAM JHS</t>
  </si>
  <si>
    <t>Construction of Landmark</t>
  </si>
  <si>
    <t>Purchase of Twenty (20) Sets of Looms for IP's in GIDA Barangays</t>
  </si>
  <si>
    <t>Procurement of Supplies and Materials for the Conduct of Vegetable Demo Farm</t>
  </si>
  <si>
    <t>PB INFRA 20-043_Construction of Multi-Purpose Drying Pavement, Sinawilan, Libungan, Malagap, Banisilan, Magallon, Mlang, Malagakit, Pigcawwayan, New Pontevedra, Antipas, Cotabato</t>
  </si>
  <si>
    <t>Installation of 7 units Purok Signages</t>
  </si>
  <si>
    <t>Procurement of Supply &amp; Delivery of Organic and Inorganic Insecticide (By Lot)</t>
  </si>
  <si>
    <t>SMALL VALUE FOR PROCUREMENT OF COVERED FOOTWALK</t>
  </si>
  <si>
    <t>20FC0118 : CONCRETING OF BRGY. SAN ISIDRO FMR, Brgy. San Isidro, San Lorenzo Ruiz, Camarines Norte</t>
  </si>
  <si>
    <t>20FC0117 : CONCRETING OF BRGY. MATANGO FMR, Brgy. Matango, Vinzons, Camarines Norte</t>
  </si>
  <si>
    <t>SMALL VALUE FOR PROCUREMENT OF TARPAULINS</t>
  </si>
  <si>
    <t>PB INFRA 20-042_Construction of Box Culvert, Sta. Cruz, Midsayap, Cotabato</t>
  </si>
  <si>
    <t>20DE0144 Construction of Evacuation Center in Bolbok, Batangas City, Batangas</t>
  </si>
  <si>
    <t>Notice to Prospective Bidders re: the Resumption of Bidding Activities for the Procurement of Data Center and Network Security Licenses Subscription</t>
  </si>
  <si>
    <t>20CSDM06 – Conduct of Geotechnical Investigation along Piris River and Mulanay River in Buenavista and Mulanay, Quezon</t>
  </si>
  <si>
    <t>Improvement of RHU Buiding ( Isolation Room)</t>
  </si>
  <si>
    <t>20CSDM05 – Conduct of Geotechnical Investigation of San Andres - San Narciso Road</t>
  </si>
  <si>
    <t>(VJLN-GSU) IMPROVEMENT OF OPERATIONS OFFICE</t>
  </si>
  <si>
    <t>20CSMH02 - SUB-SURFACE EXPLORATION (SOIL EXPLORATION) OF SARMIENTO BR. (B00609MN) ALONG ISULAN JCT. - NINOY AQUINO RD (CLUSTER B), BAGUMBAYAN, SULTAN KUDARAT</t>
  </si>
  <si>
    <t>REHABILITATION OF SAN JOSE - CASTRO ROAD (SAN JOSE SECTION) LOCATED AT BARANGAY SAN JOSE, SUDIPEN, LA UNION</t>
  </si>
  <si>
    <t>REHABILITATION OF CASTRO – PORPORIKET ROAD LOCATED AT BARANGAY CASTRO &amp; PORPORIKET, SUDIPEN, LA UNION</t>
  </si>
  <si>
    <t>CONSTRUCTION OF MULTI-PURPOSE BUILDING AT BRGY. SAMPALOC I, CITY OF DASMARIÑAS, CAVITE</t>
  </si>
  <si>
    <t>CONCRETE PAVING OF FARM TO MARKET ROAD (SITIO MINDANAO) LOCATED AT BARANGAY NAMALTUGAN, SUDIPEN, LA UNION</t>
  </si>
  <si>
    <t>CONCRETE PAVING OF FARM TO MARKET ROAD (SITIO GUDEL) LOCATED AT BARANGAY NAMALTUGAN, SUDIPEN, LA UNION</t>
  </si>
  <si>
    <t>REHABILITATION OF FARM TO MARKET ROAD (NAMALTUGAN – UP-UPLAS ROAD) LOCATED AT BARANGAY UP-UPLAS, SUDIPEN, LA UNION</t>
  </si>
  <si>
    <t>small value procurement of printer</t>
  </si>
  <si>
    <t>20CSDM04 – Conduct of Geotechnical Investigation for Basiao Seawall, Agdangan River, Poblacion and Pansoy Seawall, Talisay River, in Quezon III L.D</t>
  </si>
  <si>
    <t>100-2019-10-1635 Supply and delivery of multi-purpose vehicle (brand new single cab with FB body dual AC with response accessories</t>
  </si>
  <si>
    <t>100-2019-11-1714 Supply and delivery of passenger van with response accessories 2.5L diese-fed, engine displacement 2494cc,etc, (RDANA)</t>
  </si>
  <si>
    <t>100-2020-02-308 Supply and delivery of 4 units ambulance</t>
  </si>
  <si>
    <t>Procurement of ICT Equipment (Desktop Computers and Laptops)</t>
  </si>
  <si>
    <t>100-2020-01-015 Supply and delivery of 1 unit light cargo truck 11 ft</t>
  </si>
  <si>
    <t>20AH0192 (republished)  Repainting of Bridge along Pangasinan-Zambales Road, Padilla Bridge (B02144LZ), K0359+504, Bugallon, Pangasinan</t>
  </si>
  <si>
    <t>Supply and Delivery of Responders Kit</t>
  </si>
  <si>
    <t>20CSMH01 - SUB-SURFACE EXPLORATION (SOIL EXPLORATION) OF BRIDGES ALONG AWANG-UPI-LEBAK-KALAMANSIGPALIMBANG- SARANGANI RD. AND ALONG SNA-LEBAK-KALAMANSIG RD. (CLUSTER A), LEBAK AND KALAMANSIG, SULTAN K</t>
  </si>
  <si>
    <t>Supply and Delivery of Additional Subsistence Allowance (ASA) / Food Support Meals of Military Personnel / Security for Cotabato Airport Development Project CY-2018 (Runway Strip Grade Correction)</t>
  </si>
  <si>
    <t>20CSAE01: SUBSURFACE EXPLORATION FOR THE PROPOSED 2021 PROJECTS WITHIN THE FIRST DISTRICT OF LA UNION</t>
  </si>
  <si>
    <t>SUPPLY, DELIVERY, INSTALLATION AND COMMISSIONING OF CCTV CAMERAS</t>
  </si>
  <si>
    <t>PURCHASE OF BRAND-NEW PICKUP TYPE MOTOR VEHICLES (REBID)</t>
  </si>
  <si>
    <t>CONSTRUCTION OF DRAINAGE CANAL WITH COVER AT TUNGKIL, MINGLANILLA, CEBU</t>
  </si>
  <si>
    <t>IMPROVEMENT  OF BRGY. WARD I COVERED COURT/ MULTI-PURPOSE BUILDING (PHASE III) AT BRGY. WARD I, MINGLANILLA, CEBU</t>
  </si>
  <si>
    <t>CONSTRUCTION OF MULTI-PURPOSE BUILDING/EVACUATION CENTER (PHASE 1)</t>
  </si>
  <si>
    <t>PB INFRA 20-041_Construction of Covered Court with Stage, Buliok Elementary School, Sitio Katipunan, Buliok , Pikit, Cotabato</t>
  </si>
  <si>
    <t>100-2019-11-1710 Supply and delivery of 245.50 cu.m. ready mixed concrete 3500psi</t>
  </si>
  <si>
    <t>Concreting of Farm to Market Road at Sitio Malamig, Barangay Leido, Victoria, Oriental Mindoro</t>
  </si>
  <si>
    <t>100-2020-01-129 Supply and delivery of 1 unit truck (light cargo truck) with open/drop-side cargo hol, 18 ft.</t>
  </si>
  <si>
    <t>REHABILITATION OF FARM TO MARKET ROAD (SITIO BITTAO) LOCATED AT BARANGAY DUPLAS, SUDIPEN, LA UNION</t>
  </si>
  <si>
    <t>Establishment of Governor’s Satellite Office at GADTC</t>
  </si>
  <si>
    <t>REHABILITATION OF FARM TO MARKET ROAD LOCATED AT BARANGAY SAN FRANCISCO NORTE, SUDIPEN, LA UNION</t>
  </si>
  <si>
    <t>REHABILITATION OF LOCAL ROADS Sitio Napo, Caatihan, Boston, Davao Oriental</t>
  </si>
  <si>
    <t>REHABILITATION OF FARM TO MARKET ROAD LOCATED AT BARANGAY BIGBIGA, SUDIPEN, LA UNION</t>
  </si>
  <si>
    <t>19GF00031 - Procurement of Hydraulic Breaker and Hydraulic Grapple for use at EMD (PR No. 20-05-103 dated 5/29/2020), DPWH Regional Office No. V, Rawis, Legazpi City</t>
  </si>
  <si>
    <t>PROCUREMENT OF PLANTING MATERIALS</t>
  </si>
  <si>
    <t>MODERNIZATION OF LABORATORY EQUIPMENT FOR BACHELOR OF SCIENCE IN ELECTRICAL ENGINEERING</t>
  </si>
  <si>
    <t>AGR-20-0338-B Purchase of Kitchenware</t>
  </si>
  <si>
    <t>ILD-20-2314: Procurement of Various Chmical and Filtering Supplies (450 bottles Lambda Cyhalothrin (500ml/bot) et al...)</t>
  </si>
  <si>
    <t>20GEB0012: Procurement/Supply/Delivery of Grass Cutter, Accessories and Spare parts for use in the Repair/Maintenance of National Roads and Bridges (1st to 4th quarter)- Maintenance Section</t>
  </si>
  <si>
    <t>Purchase of One (1) Unit Dump Truck to be used in this Municipality</t>
  </si>
  <si>
    <t>Supply labor and materials for the Improvement of Activity Center in Barangay Tigbawan of the Municipality of Tabuelan, Cebu</t>
  </si>
  <si>
    <t>CONSTRUCTION OF CONCRETE BLEACHER &amp; CONCRETE FLOORING @ BRGY. MARINTOC, MOBO, MASBATE</t>
  </si>
  <si>
    <t>ITB 2020-06-89 Procurement of 92,500 pcs. Birthday Cake for the period July to December 31, 2020 for OM-OSCA</t>
  </si>
  <si>
    <t>SDH-20-0364-B I.V. FLUIDS</t>
  </si>
  <si>
    <t>HMO-20-0354-B - PURCHASE OF AMBULANCE WITH COMPLETE MEDICAL EQUIPMENT</t>
  </si>
  <si>
    <t>20GEB0023: Procurement/Supply/Delivery of IT for use of DPWH-Mindoro Occidental DEO Planning and Design Section</t>
  </si>
  <si>
    <t>SUPPLY AND DELIVERY OF ONE (1) LOT OF VARIOUS ELECTRICAL SUPPLIES FOR THE USE OF THE IMPROVEMENT OF LIGHTING SYSTEM IN THE ASTRODOME MUNICIPALITY OF TABUELAN</t>
  </si>
  <si>
    <t>20GEB0010: Procurement/Supply of Personnel Protective Equipment for use of Maintenance Crew for the Repair/Maintenance of  National Roads and Bridges (1st to 4th Quarter)- Maintenance Section</t>
  </si>
  <si>
    <t>ILD-20-2315: Procurement of *3,600 packs of PHROMONE LURE (5 sachets/pack)</t>
  </si>
  <si>
    <t>Construction of Salug Multi Purpose Center</t>
  </si>
  <si>
    <t>Construction of Duangan Multi Purpose Center</t>
  </si>
  <si>
    <t>20GEB0021: Procurement/Supply/Delivery of Office Equipment Supplies and Consumables for use in DPWH – Mindoro Occidental DEO  Planning and Design Section</t>
  </si>
  <si>
    <t>PROCUREMENT OF OFFICE SUPPLIES FOR DIFFERENT OFFICES (1st – 2nd Quarter), MALAPATAN, SARANGANI PROVINCE</t>
  </si>
  <si>
    <t>Repair of Gazebo Building Canopy at the Municipal Hall Compound of Palo, Leyte  JR No. 20-06-112</t>
  </si>
  <si>
    <t>SDH-20-0361-B DRUGS AND MEDICINES</t>
  </si>
  <si>
    <t>Supply and Delivery of Various Office Supplies for Various Offices in the Municipality (2nd &amp; 3rd Quarter)</t>
  </si>
  <si>
    <t>SAAD-20-1185 (REBID 2): Procurement of Assorted Feeds</t>
  </si>
  <si>
    <t>REHABILITATION OF FORTICH STREET (LAYOS)</t>
  </si>
  <si>
    <t>SAAD-20-0992 (REBID 2): Procurement of Various Feeds</t>
  </si>
  <si>
    <t>Rental of Financial program for Accounting Office</t>
  </si>
  <si>
    <t>1-LOT SUPPLY OF LABOR &amp; MATERIALS FOR THE  IMPROVEMENT SAGAY PUBLIC PLAZA-PHASE 2</t>
  </si>
  <si>
    <t>Purchase of One (1) Unit Bottle and Glass Crusher to be used at the MENRO Office of this Municipality</t>
  </si>
  <si>
    <t>SAAD-20-1237 (REBID 2): Procurement of 3,600 heads of Native Chicken</t>
  </si>
  <si>
    <t>20GEB0058: Procurement/Supply/Delivery of Traffic Counting Machine Accessories for use in Conduct of NRTSP, DPWH – Mindoro Occidental DEO Planning and Design Section (Lubang Field Office)</t>
  </si>
  <si>
    <t>PROJECT: CONTINUATION OF EVACUATION CENTER</t>
  </si>
  <si>
    <t>Supply &amp; Delivery of One (1) Unit Brand New Service Vehicle for the City Veterinary Office, Ormoc City</t>
  </si>
  <si>
    <t>Contract ID No. 19CSK00041 – Consultancy Services for the Conduct of Geotechnical &amp; Geological Investigation and Survey Works for the Proposed Construction of Sabo Dam on Upper and Lower Dinanggasan R</t>
  </si>
  <si>
    <t>Proposed Construction of Pathways  at Purok QCRO</t>
  </si>
  <si>
    <t>Supply &amp; Delivery of Drugs &amp; Medicines for the Responsible Parenting &amp; Reproductive Health Program of the City Health Office, Ormoc City</t>
  </si>
  <si>
    <t>SAAD-20-2131: Procurement of 100 rolls of Range Nets</t>
  </si>
  <si>
    <t>20GEB0093: Procurement/Supply/Delivery of Desktop Computer for use of DPWH – Mindoro Occidental DEO Administrative Section (Records Unit)</t>
  </si>
  <si>
    <t>Completion of Supply Room, Family Planning and Social Hygiene Clinic @ Godofredo P. Ramos Hospital, Poblacion, Altavas, Aklan (Re-biding)</t>
  </si>
  <si>
    <t>Reblocking of Man-up-Lupit-Ambolong-Batan Road, Batan, Aklan</t>
  </si>
  <si>
    <t>REHABILITATION OF JUAN LUNA STREET</t>
  </si>
  <si>
    <t>Construction of Evacuation Center, Arcanghel, Balete, Aklan</t>
  </si>
  <si>
    <t>Supply &amp; Delivery of One (1) Unit Brand New Emergency Medical Service Vehicle for the Ormoc Bureau of Fire Protection, CDRRMO, Ormoc City</t>
  </si>
  <si>
    <t>PROPOSED CONSTRUCTION OF DRAINAGE SYSTEM @ PUROK dascc</t>
  </si>
  <si>
    <t>PROCUREMENT OF OFICE EQUIPMENT FOR MUNICIPAL INFORMATION OFFICE, MALAPATAN, SARANGANI PROVINCE</t>
  </si>
  <si>
    <t>Concreting of Venturanza Road, Banga, Aklan</t>
  </si>
  <si>
    <t>Supply &amp; Delivery of Medical, Dental &amp; Laboratory Supplies for City Health Office-OPD, Dental, Laboratory Section &amp; Six (6) District Health Center in Ormoc City, Ormoc City</t>
  </si>
  <si>
    <t>ILD-20-2316: Procurement of *571 bottles of Azadirahtin (1 liter/bot. Organic Pesticide) and *100 boxes of Bacillus Thuringiensis (5 x 100 gram/box)</t>
  </si>
  <si>
    <t>Reblocking of Alegria-Balusbos-Habana Road, Buruanga, Aklan</t>
  </si>
  <si>
    <t>PROCUREMENT OF MATERIALS FOR THE MAINTENANCE AND DEVELOPMENT OF HRIS SYSTEM, MALAPATAN, SARANGANI PROVINCE</t>
  </si>
  <si>
    <t>Road Concreting at Brgy. Valencia, Ormoc City</t>
  </si>
  <si>
    <t>Bidding for the Supply &amp; Delivery of Medical Supplies for MHO use</t>
  </si>
  <si>
    <t>Concreting of Makato-Cayangwan-Libang Road (Cayangwan Segment), Makato, Akla</t>
  </si>
  <si>
    <t>IMPROVEMENT OF DRAINAGE CANAL (BOQUET ST.)</t>
  </si>
  <si>
    <t>20BC0208-Repair/Maintenance of DOJ Building Regional Trial Court Main Building</t>
  </si>
  <si>
    <t>20BC0206-Repair/Maintenance of DILG Building Provincial Public Safety Company 2nd Maneuver Platoon Building</t>
  </si>
  <si>
    <t>20L00148 : Construction of Concrete Road – Jct. R. Magsaysay Ave. – L. Ma. Guerrero St. - Guzman St. – Vinzon St. – T. Palma Gil St. – Jct. Dacudao – Jct. J.P. Cabaguio Ave., Davao City</t>
  </si>
  <si>
    <t>20L00032 : Reconstruction to Concrete Pavement – Jct. R. Magsaysay Ave. – L. Ma. Guerrero St. - Guzman St. – Vinzon St. – T. Palma Gil St. – Jct. Dacudao – Jct. J.P. Cabaguio Ave., Davao City</t>
  </si>
  <si>
    <t>Improvement of Odiong Circumferential Road, Altavas, Aklan</t>
  </si>
  <si>
    <t>Healthcare Waste Management Program (Rehabilitation of Sewerage Treatment Plant) at GOTMH, Malacampa, Camiling, Tarlac (Rebid) - B-CW-2020-023</t>
  </si>
  <si>
    <t>Improvement of Sewerage Treatment Plant at Tarlac Provincial Hospital, San Vicente, Tarlac City (Rebid) - B-CW-2020-022</t>
  </si>
  <si>
    <t>INVITATION TO BID CONCRETING OF 0.670 KM BARANGAY POBLACION TO COMPRA ROAD at Barangay Poblacion-Barangay Puntod, Matungao, Lanao del Norte</t>
  </si>
  <si>
    <t>PURCHASE OF RELIEF SUPPLIES FOR THE MDRRM OPERATION CENTER OF THE MUNICIPALITY OF SUDIPEN, LA UNION</t>
  </si>
  <si>
    <t>Rehabilitation and Improvement of Laguinbanua-Bagacay-Unat-Agdugayan Road, Ibajay, Aklan</t>
  </si>
  <si>
    <t>PURCHASE OF MEDICAL SUPPLIES (2ND SEMESTER-2020) FOR THE MUNICIPALITY OF SUDIPEN, LA UNION</t>
  </si>
  <si>
    <t>Completion of Evacuation Center, Guinbaliwan, New Washington, Aklan</t>
  </si>
  <si>
    <t>PROCUREMENT OF ONE (1) SET BUTT FUSION MACHINE</t>
  </si>
  <si>
    <t>Concreting of Farm to Market Road (Sitio 3-Market Road</t>
  </si>
  <si>
    <t>ITB CLASROOM TABLE 35 PCS AMOUNTING TO 315,000.00</t>
  </si>
  <si>
    <t>Supply &amp; Delivery of 100 Heads of F1 Meat Type Hogs for Kadiwa Ani at Kita Project</t>
  </si>
  <si>
    <t>REHABILITATION OF G.H DEL PILAR STREET</t>
  </si>
  <si>
    <t>SPLIT TYPE AIRCON</t>
  </si>
  <si>
    <t>Construction of Day Care Center at Brgy Calamay</t>
  </si>
  <si>
    <t>Improvement of Sinonoc Public Buildings</t>
  </si>
  <si>
    <t>BALIK ESKWELA PROGRAM</t>
  </si>
  <si>
    <t>CIVIL WORKS FOR THE CONCRETING OF ROAD GAP BETWEEN P-3 AND P-4 BRGY. STO. NIÑO, MAGALLANES, AGUSAN DEL NORTE</t>
  </si>
  <si>
    <t>20GM0064 (RE-BIDDING) - Improvement of Bridge, Sit-an Creek at Brgy. East, Candoni, Negros Occidental</t>
  </si>
  <si>
    <t>Improvement of Health Center at Phase 3 Site, Brgy. Paliparan III, City of Dasmarinas, Cavite</t>
  </si>
  <si>
    <t>Const. of Multi-Purpose Building located at Lais Capitol Complex (Motorpool), Malita, Davao Occidental</t>
  </si>
  <si>
    <t>Procurement of 450 liters of Insecticide for use to control the fall army worm (FAW) in the flint corn production project</t>
  </si>
  <si>
    <t>Medium-Term Information and Communication Technology Harmonization Initiative (MITHI)</t>
  </si>
  <si>
    <t>PURCHASE OF BOOKS / LEARNING MATERIALS FOR CHILD DEVELOPMENT CENTER (DAYCARE PUPILS)</t>
  </si>
  <si>
    <t>PROCUREMENT OF PHOTOCOPIER AND DOCUMENT MANAGEMENT SYSTEM WITH CAPTURE SCANNER (ITB No. 2020-158)-(bpmc)</t>
  </si>
  <si>
    <t>INSTALLATION OF CONCRETE DRAINAGE SYSTEM OF TAMBUNAN - STA. LUCIA TOURISM ROAD</t>
  </si>
  <si>
    <t>PURCHASE OF MEDICINES (2ND SEMESTER-2020) FOR THE MUNICIPALITY OF SUDIPEN, LA UNION</t>
  </si>
  <si>
    <t>Rehabilitation of Local Road – Perimeter Road along Public Market, Poblacion Sur, Don Carlos, Bukidnon (Straight Contract)</t>
  </si>
  <si>
    <t>Procurement of Rescue Equipment and Supplies</t>
  </si>
  <si>
    <t>MUNICIPAL ROAD CONCRETING OF PUROK 2(ALONG MORESCA RESIDENCE TO SERRANO RESIDENCE)</t>
  </si>
  <si>
    <t>Const. of Gymnasium located at Sitio Kilongag, Brgy. Bolila, Malita, Davao Occidental</t>
  </si>
  <si>
    <t>Const. of Gym/Evacuation Center located at Buca, Sta. Maria, Davao Occidental</t>
  </si>
  <si>
    <t>Invitation to bid for the supply and delivery of one (1) set brand new garbage granulator with brick making machine</t>
  </si>
  <si>
    <t>Emergency Shelter Assistance</t>
  </si>
  <si>
    <t>REHABILITATION OF ROAD, BRGY. MANGILAG SUR, CANDELARIA, QUEZON</t>
  </si>
  <si>
    <t>Construction of Two-Storey Hall of Justice Building,  Don Carlos, Bukidnon – Phase II (Straight Contract)</t>
  </si>
  <si>
    <t>CONSTRUCTION/REHABILITATION/MAINTENANCE OF SANITARY LANDFILL (COMPLETION WORKS ), BRGY. MASALUKOT III, CANDELARIA, QUEZON</t>
  </si>
  <si>
    <t>Improvement of Dadivas Civic Center, Pob. Ilawod, Panitan, Capiz (20% IRA 2020)</t>
  </si>
  <si>
    <t>SUPPLY AND DELIVERY OF VARIOUS PHARMACEUTICAL DRUGS, MEDICINES AND CONTRAST MEDIA (NEGOTIATED PROCUREMENT- TWO FAILED BIDDING)</t>
  </si>
  <si>
    <t>Repair/Rehabilitation of Valenzuela-Obando-Meycauayan Flood Control Structures along Palasan River (Panghulo to Paliwas Sec.) Obando, Bulacan</t>
  </si>
  <si>
    <t>CONSTRUCTION OF TWO  (2 ) STOREY OFFICE AND TRAINING CENTER, BRGY. MASALUKOT III, CANDELARIA, QUEZON</t>
  </si>
  <si>
    <t>STOCK FILE</t>
  </si>
  <si>
    <t>Farm Inputs (Urea)  -  Ambugat</t>
  </si>
  <si>
    <t>INSTALLATION OF PUBLIC ADDRESS SYSTEM</t>
  </si>
  <si>
    <t>Campus-Wide Internet and Wifi Hotspot Installation</t>
  </si>
  <si>
    <t>CONSTRUCTION OF RESIDUAL CONTAINMENT AREA</t>
  </si>
  <si>
    <t>INSTALLATION OF FIBER GLASS BASKETBALL GOAL @ BRGY. NEW LABANGAN, LABANGAN ZDS</t>
  </si>
  <si>
    <t>Rehabilitation of Multi-Purpose Building at Lake Pinamaloy Area  In Don Carlos, Bukidnon (Straight Contract)</t>
  </si>
  <si>
    <t>Leachate Pond Completion at Sanitary Landfill</t>
  </si>
  <si>
    <t>SUPPLY AND DELIVERY OF MATERIALS FOR THE IMPLEMENTATION OF AQUAPONICS SYSTEM IN URBAN AREAS USING RENEWABLE ENERGY</t>
  </si>
  <si>
    <t>Procurement of Agricultural Machinery and Equipment for Establishment of Flint Corn Processing Center</t>
  </si>
  <si>
    <t>Repainting (including Roof Farming) and Repair of Gutter for Covered Court (Re-Bid)</t>
  </si>
  <si>
    <t>Improvement of ECO-PARK Peripheral Fencing (28-Span), Brgy. Intampilan, Panitan, Capiz (20% 2018)</t>
  </si>
  <si>
    <t>SUPPLY AND DELIVERY OF SERVICE VEHICLE, MUNICIPAL ENGINEERING OFFICE, LGU CANDELARIA, QUEZON</t>
  </si>
  <si>
    <t>Proposed Development of Municipal Cemetery in Norte, Don Carlos, Bukidnon – Phase II (Straight Contract)</t>
  </si>
  <si>
    <t>Concreting &amp; Improvement of Municipal Streets/Roads,  EDSA Portion from Hipolito St., Diffun, Quirino</t>
  </si>
  <si>
    <t>Supply and delivery of one (1) unit Dump truck for LGU Pilar, Bataan</t>
  </si>
  <si>
    <t>Concreting of Suarez – Salubsob FMR and Buko By-pass road</t>
  </si>
  <si>
    <t>PROCUREMENT OF MULTI-FUNCTIONAL COPIER FOR VARIOUS SCHOOLS IN THE MUNICIPALITY OF BINALBAGAN (DISTRICT 1 &amp; 2) NEGROS OCCIDENTAL</t>
  </si>
  <si>
    <t>Establishment of Stock Room for Livestock and Poultry Multiplier Farm</t>
  </si>
  <si>
    <t>Concreting &amp; Improvement of Municipal Streets/Roads,  Pimentel Drive Extension, Diffun, Quirino</t>
  </si>
  <si>
    <t>Concreting &amp; Improvement of Municipal Streets/Roads,  Municipal Hall Access Road, Diffun, Quirino</t>
  </si>
  <si>
    <t>Supply and Delivery of Spare Pump and Pump Accessories ( F-018-0383-20 )</t>
  </si>
  <si>
    <t>SUPPLY AND DELIVERY OF OUTDOOR LED DISPLAY, OFFICE OF THE MAYOR, LGU CANDELARIA, QUEZON (REBID)</t>
  </si>
  <si>
    <t>ITB No. 20-24 Procurement of Maintenance Supplies</t>
  </si>
  <si>
    <t>Farm Mechanization as Climate Change Adaptation Measures to Build the Resiliency of the ARBs under SLSDAA-CFFPS</t>
  </si>
  <si>
    <t>PEO-2020-0173 PR2020-0436 INVITATION TO BID FOR THE PROCUREMENT OF LABOR, MATERIALS, AND EQUIPMENT FOR THE REHABILITATION AND IMPROVEMENT OF PEO BUILDING</t>
  </si>
  <si>
    <t>Purchase &amp; Delivery of Medical Equipment for Ilocos District Hospitals-Tagudin, Sta. Lucia &amp; Narvacan Ilocos Sur</t>
  </si>
  <si>
    <t>PROCUREMENT FOR THE 30,260 LITERS OF DIESOLINE FOR THE REHABILITATION OF LOCAL ROADS (3RD QUARTER).</t>
  </si>
  <si>
    <t>Supply and delivery of one (1) unit backhoe for LGU Pilar, Bataan</t>
  </si>
  <si>
    <t>Purchase of Diesel and Lubricants for Rehabilitation of Barangay Roads, Hilop Poblacion, Cabanglasan, Bukidnon Lot 1,2</t>
  </si>
  <si>
    <t>PVC CARD PRINTER AND LAMINATOR</t>
  </si>
  <si>
    <t>ITB No. 20-25 Negotiated Procurement of Calibration Services for Medical Equipment (Lot Bidding)</t>
  </si>
  <si>
    <t>CONSTRUCTION /INSTALLATION OF STREET LIGHTING SYSTEM @ GELERANG KAWAYAN</t>
  </si>
  <si>
    <t>CONSTRUCTION OF MULTI-PURPOSE BUILDING, BRGY. MAYABOBO, CANDELARIA, QUEZON</t>
  </si>
  <si>
    <t>Enhancing Rice Productivity through the Provision of Agei-extension and Farm Mechanization to DAR Assisted ARBs under MCBFPS-CRFPS</t>
  </si>
  <si>
    <t>OPV-2020-0174 PR2020-0440 INVITATION TO BID FOR THE PROCUREMENT OF OFFICE FURNITURE AND FIXTURES</t>
  </si>
  <si>
    <t>CONSTRUCTION OF COMFORT ROOM BUILDING (PROGRESSIVE TYPE) AT ALEOSAN PUBLIC MARKET, LGU ALEOSAN, COT.</t>
  </si>
  <si>
    <t>PROCUREMENT OF VARIOUS CONSTRUCTION MATERIALS FOR THE IMPROVENT OF MULTI-PURPOSE HALL SITE AT BRGY. DAGUMA BSK</t>
  </si>
  <si>
    <t>OPENING OF FARM TO MARKET ROAD, Barangay Mabilbila Sur, SANTA</t>
  </si>
  <si>
    <t>Supply/Delivery of  Tubeless Tire</t>
  </si>
  <si>
    <t>Upgading of MDRRMC operation center, Dadivas Civic Center, Poblacion Ilawod, Panitan, Capiz (MDDRM Fund 2020)</t>
  </si>
  <si>
    <t>Purchase of Materials for Maintenance of Roads and Bridges at Cabanglasan Area 2020 Lot 1,2,3</t>
  </si>
  <si>
    <t>Construction of Sumalag School Road &amp; Construction of Road to Water Reservoir – Bolisong</t>
  </si>
  <si>
    <t>Provision of Pedicab (Small Transport) Sewing Machine &amp; Motorboat Engines to Selected Informal Sector Workers</t>
  </si>
  <si>
    <t>FOD-L-20-2347: Procurement of Assorted Feeds</t>
  </si>
  <si>
    <t>PROCUREMENT OF PNP RESPONSE VEHICLE, MALAPATAN, SARANGANI PROVINCE</t>
  </si>
  <si>
    <t>REHABILITATION OF ZAMORA STREET</t>
  </si>
  <si>
    <t>Supply and Delivery of Laboratory Equipment for the Native Pig NICER project</t>
  </si>
  <si>
    <t>Purchase of Materials for Construction of Multi-Purpose Building T Imbatug,Cabanglasan, Bukidnon</t>
  </si>
  <si>
    <t>OPENING OF FARM TO MARKET ROAD, Barangay Bucalag, SANTA</t>
  </si>
  <si>
    <t>CONSTRUCTION OF CAGLAYAG ELEM. SCHOOL FENCE</t>
  </si>
  <si>
    <t>BID 2020-06-90- DCS VARIOUS TABLETS</t>
  </si>
  <si>
    <t>Proposed Road Concreting/Rehabilitation Abad St,Chrysanthemum, Brgy. Chrysanthemum</t>
  </si>
  <si>
    <t>BID 2020-06-91 DCS LAPTOP</t>
  </si>
  <si>
    <t>20FF0094 - Expansion of Bombon Public Market, San Jose, Bombon, Camarines Sur</t>
  </si>
  <si>
    <t>Purchase &amp; Delivery of Food Packs for Adults &amp; Nutri Packs for Children for distribution Provincewide</t>
  </si>
  <si>
    <t>Purchase of Materials for Construction of Multi-Purpose Building U Canangaan,Cabanglasan, Bukidnon Lot 1,2</t>
  </si>
  <si>
    <t>Concrete Pav. Construction Dawis - San Sebastian</t>
  </si>
  <si>
    <t>IMPROVEMENT OF BRGY HALL &amp; LUPON OFFICE (TILES, PAINTING &amp; ROOFING)</t>
  </si>
  <si>
    <t>PURCHASE OF BOOKS / LEARNING MATERIALS FOR KINDERGARTEN PUPILS</t>
  </si>
  <si>
    <t>Supply &amp; Delivery of Mini Dumptruck (Brand New)</t>
  </si>
  <si>
    <t>Purchase of Materials for Construction of Multi-Purpose Building X Poblacion ,Cabanglasan, Bukidnon</t>
  </si>
  <si>
    <t>Procurement of Internet Connection Service</t>
  </si>
  <si>
    <t>Purchase &amp; Delivery of Medical Equipment for Ilocos Sur Provincial Hospital-Gabriela Silang &amp; Ilocos District Hospitals-Sinait &amp; Magsingal Ilocos Sur</t>
  </si>
  <si>
    <t>Supply of Materials for the Rehabilitation of Public Market (Awning)</t>
  </si>
  <si>
    <t>Supply and Delivery of Influenza Vaccine to Increase the Immunity and Protection of the Elderly Against Flu Wherein Can Minimize the Effect of Covid 19 if Vaccinated</t>
  </si>
  <si>
    <t>Supply and Delivery of Medicines</t>
  </si>
  <si>
    <t>Bidding for the Supply &amp; Delivery of Medicines for MHO use</t>
  </si>
  <si>
    <t>Supply and Delivery of Materials and Fittings  for Service Connections and Maintenance of GMAWD’s Water Supply System</t>
  </si>
  <si>
    <t>Purchase of Materials for Construction of Market Stalls (Phase II) Market Site Poblacion Lot 1,2</t>
  </si>
  <si>
    <t>REHABILITATION OF M.H DEL PILAR STREET</t>
  </si>
  <si>
    <t>PURCHASE OF OFFICE EQUIPMENT</t>
  </si>
  <si>
    <t>GD2020-06-008_Supply and Delivery of Ninety (90) Cylinders Liquid Gas Chlorine (68kgs./cylinder) for Water Treatment Use</t>
  </si>
  <si>
    <t>Purchase of Materials for Construction of Multi-Purpose C Poblacion, Cabanglasan, Bukidnon</t>
  </si>
  <si>
    <t>LABOR &amp; MATERIALS FOR UPGRADING OF ALLEY WITH IMPROVEMENT OF DRAINAGE CANAL, BLK. 33 PHASE 2 AREA 2, BRGY. NBBS DAGAT-DAGATAN, NAVOTAS CITY</t>
  </si>
  <si>
    <t>Purchase of Materials for Construction of Multi-Purpose Building P Poblacion, Cabanglasan, Bukidnon</t>
  </si>
  <si>
    <t>Purchase of Materials for Construction Steel Goal at Pangian, Tagawili, Bawa Cabanglasan, Bukidnon</t>
  </si>
  <si>
    <t>Rehab/Repair of Cottages and Pavillion at Picnic Area</t>
  </si>
  <si>
    <t>Rebidding for the Repair and Renovation of Second Floor Bonifacio P. Sibayan Hall</t>
  </si>
  <si>
    <t>LABOR &amp; MATERIALS FOR UPGRADING OF ALLEY WITH IMPROVEMENT OF DRAINAGE CANAL, BLK. 32A PHASE 2 AREA 2, BRGY. NBBS DAGAT-DAGATAN, NAVOTAS CITY</t>
  </si>
  <si>
    <t>Purchase of Materials for Construction of Multi-Purpose Building Q (Perimeter Fence)Cabulohan, Cabanglasan, Bukidnon</t>
  </si>
  <si>
    <t>Purchase of Materials for Construction Calacapan Swimming Pool (Additional) Cabanglasan, Bukidnon</t>
  </si>
  <si>
    <t>PROJECT COVID-MODULES</t>
  </si>
  <si>
    <t>CONSTRUCTION OF NATIONAL CHILD DEVELOPMENT CENTER</t>
  </si>
  <si>
    <t>20KI0088 Contract Name	: Concreting of Brgy. Usocan to Brgy. Bato FMR,  			  Brgy. Usocan and Brgy. Bato, Plaridel, Misamis Occidental</t>
  </si>
  <si>
    <t>Proposed Road Concreting / Rehabilitation Main Road, Brgy. Riverside</t>
  </si>
  <si>
    <t>Supply/Delivery of Tire with Tube</t>
  </si>
  <si>
    <t>165 gallons Acid, muriatic, etc.</t>
  </si>
  <si>
    <t>Purchase of Ambulance (Hi-Roof), Lambunao, Iloilo</t>
  </si>
  <si>
    <t>Purchase of Materials for Construction of Multi-Purpose Building V (Perimeter Fence) Mandaing, Cabanglasan, Bukidnon</t>
  </si>
  <si>
    <t>SUPPLY &amp; DELIVERY OF PICK UP TYPE VEHICLE</t>
  </si>
  <si>
    <t>Purchase of Materials for Construction of Multi-Purpose Building W (Perimeter Fence) Mauswagon, Cabanglasan, Bukidnon</t>
  </si>
  <si>
    <t>LOT 1 - MOBILE POSTPAID PLAN OF THE PROCUREMENT OF TWO (2) YEAR SUBSCRIPTION FOR TWO (2) LOTS OF MOBILE POSTPAID AND PREPAID PLAN FOR PAGCOR OFFICERS AND KEY PERSONNEL - ITB NO. PB20-04-034COR</t>
  </si>
  <si>
    <t>Construction of Multi-purpose Hall</t>
  </si>
  <si>
    <t>Procurement of 1-Unit Brand New Ambulance</t>
  </si>
  <si>
    <t>Construction of Covered Court, Barangay Apasan</t>
  </si>
  <si>
    <t>Purchase of Construction materials</t>
  </si>
  <si>
    <t>LABOR &amp; MATERIALS FOR UPGRADING OF ALLEY WITH IMPROVEMENT OF DRAINAGE CANAL, BLK. 27A PHASE 2 AREA 1, BRGY. NBBS DAGAT-DAGATAN, NAVOTAS CITY</t>
  </si>
  <si>
    <t>Purchase of Materials for Pasalubong Center Lot 1,2</t>
  </si>
  <si>
    <t>Completion of Road Concreting at Sitio Ruston, San Antonio Ogbon to La Opinion, Sitio Ruston San Antonio Ogbon, Nabua, Camarines Sur</t>
  </si>
  <si>
    <t>Purchase of Solar Lights at Buso/P11 Poblacion/Jasaan/Salimbobonog Capinonan &amp; Calagutay Capinonan, Cabanglasan, Bukidnon Lot 1,2</t>
  </si>
  <si>
    <t>72 heads Swine (Gilts and Boars), etc.</t>
  </si>
  <si>
    <t>200 sets Drift Gill Net</t>
  </si>
  <si>
    <t>20KI0090 Contract Name	: Concreting of Brgy. Small Potongan FMR,  			  Brgy. Small Potongan, Concepcion, Misamis Occidental</t>
  </si>
  <si>
    <t>20KI0089 Contract Name	: Concreting of Brgy. Roxas FMR,  			  Brgy. Roxas, Aloran, Misamis Occidental</t>
  </si>
  <si>
    <t>BID-2020-06-92 DCS SIM CARDS</t>
  </si>
  <si>
    <t>Proposed Patching and Asphalt Overly Along Hernandez St. Purok 7 Pulo, Brgy. Landayan</t>
  </si>
  <si>
    <t>Supply and Delivery of Agricultural Supplies and Materials for the NICER Project</t>
  </si>
  <si>
    <t>PUrchase of Materials for the Concreting of Municipal Streets (DELMES Access Road and New Govt Center), Pob. Ilawod, Lambunao, Iloilo</t>
  </si>
  <si>
    <t>Concreting of Local Road Zone 5, Angustia, Nabua, Camarines Sur</t>
  </si>
  <si>
    <t>CONCRETING OF BARANGAY ROAD AT BARANGAY SAWANG</t>
  </si>
  <si>
    <t>Purchase of Hospital/Medical Equipment of CSTH for Level 1 (Medical Waste Decomposer Thermal Insulation), Ciriaco S. Tirol Hospital, Boracay Island, Malay, Aklan</t>
  </si>
  <si>
    <t>Construction of Access Road to Bayongon Housing Site</t>
  </si>
  <si>
    <t>RFQ-GS-20200608-04 - 1 Lot Supply, Delivery &amp; Installation of Acrylic Frame Panels, Wrap Around Stickers, Signages, Merchandising Materials &amp; Glass Panel Perforated Stickers at 7 LANDBANK Branches</t>
  </si>
  <si>
    <t>CONSTRUCTION / ESTABLISHMENT OF TOURISM INFORMATION AND PASALUBONG CENTER</t>
  </si>
  <si>
    <t>FOD-H-20-2345: Procurement of 4,185 kilos of Ginger (Planting Materials)</t>
  </si>
  <si>
    <t>Drilling of one Deep Well through Percussion Drilling Method</t>
  </si>
  <si>
    <t>Concreting of Local Road at Barangay Angustia Going to Brgy. Salvacion Que Gatos, Nabua, Camarines Sur</t>
  </si>
  <si>
    <t>SMALL VALUE PROCUREMENT OF IMPROVEMENT OF GULAYAN SA PAARALAN</t>
  </si>
  <si>
    <t>(PEO) INVITATION TO BID FOR THE SUPPLY AND DELIVERY OF VEHICLE PARTS (III) FOR   HEAVY EQUIPMENT   FOR THE PROVINCIAL ENGINEERING OFFICE (PEO)</t>
  </si>
  <si>
    <t>20GDC0005 - Supply, Delivery and Installation of New Traffic Signs (7x) along Various National Roads</t>
  </si>
  <si>
    <t>20HC0181- CONSTRUCTION/COMPLETION OF WATER SYSTEM (LEVEL III), BRGY. LOMANGOG, UBAY, BOHOL</t>
  </si>
  <si>
    <t>Landingan View Point Improvement</t>
  </si>
  <si>
    <t>IB No. 2005-299 Proc. of Goods (Water Meter and Others)(Rebid)</t>
  </si>
  <si>
    <t>Supply and Delivery of One (1) Lot Various Materials for the Improvement of Municipal Building</t>
  </si>
  <si>
    <t>Design and Build for the Construction of Alternative Water Supply (Level III)</t>
  </si>
  <si>
    <t>20FH0096 - REPAIR/MAINTENANCE OF DPWH BUILDING, MAIN OFFICE BUILDING, CATANDUANES DEO, VIRAC, CATANDUANES</t>
  </si>
  <si>
    <t>LOT 2 - MOBILE PREPAID PLAN OF THE PROCUREMENT OF TWO (2) YEAR SUBSCRIPTION FOR TWO (2) LOTS OF MOBILE POSTPAID AND PREPAID PLAN FOR PAGCOR OFFICERS AND KEY PERSONNEL - ITB NO. PB20-04-034COR</t>
  </si>
  <si>
    <t>Construction of Rain Water Collectors in Public Facilities</t>
  </si>
  <si>
    <t>Invitation to bid for Completion of Public Toilet</t>
  </si>
  <si>
    <t>PROCUREMENT OF SUPPLIES/MATERIALS FOR THE IMPROVEMENT OF ELIAS K. BULUT MEMORIAL GYMNASIUM (ELECTRICAL WIRING, LIGHTING, MAIN SERVICE)</t>
  </si>
  <si>
    <t>Supply and Delivery of Brand New Electric Generator Set (Trailer Mounted)</t>
  </si>
  <si>
    <t>20H00062 - Construction/Repair/Rehabilitation/Improvement of Various Infrastructure including Local Projects-Structural Improvement of Public Buildings and Construction of Evacuation Centers-Construct</t>
  </si>
  <si>
    <t>Improvement of  Day Care Center</t>
  </si>
  <si>
    <t>(VJLN - GP) SUPPLY AND DELIVERY OF MILK REPLACER AND PROBIOTIC BACTERIA MIX FOR BUFFALOES</t>
  </si>
  <si>
    <t>Backyard Gardening in support to Covid 19</t>
  </si>
  <si>
    <t>20PF0068: Construction / Rehabilitation of Flood Mitigation Facilities within Major River Basins &amp; Principal Rivers: Construction of Copias Flood Control</t>
  </si>
  <si>
    <t>Completion of Evacuation Center (Phase 1)</t>
  </si>
  <si>
    <t>Supply and Delivery of One (1) Lot Various Materials for Repair and Maintenance of Artesian Wells, Reservoir, Pumping Stations and Conduits</t>
  </si>
  <si>
    <t>PROCUREMENT OF EQUIPMENT FOR COE PHYSICS &amp; CHEMISTRY LABORATORY</t>
  </si>
  <si>
    <t>Supply Materials and Installation of two (2) unit Electronic Door Lock for Cashier Office at the Lobby DENR Main Bldg.</t>
  </si>
  <si>
    <t>Sari-sari Store</t>
  </si>
  <si>
    <t>Completion of Covered Court</t>
  </si>
  <si>
    <t>Procurement of Reference Books &amp; Professional Journals (Lot 1-2)</t>
  </si>
  <si>
    <t>Supply Labor and Materials for the Concreting of Roads at Different Sitios of the Municipality of Tabuelan, Cebu</t>
  </si>
  <si>
    <t>Acquisition of 6 units Motorcycle</t>
  </si>
  <si>
    <t>SMALL VALUE PROCUREMENT OF 2 PERIMETER FENCE</t>
  </si>
  <si>
    <t>20GFH0011 - SUPPLY AND DELIVERY OF OFFICE EQUIPMENT FOR USE IN THE DPWH-DEO CATANDUANES, VIRAC, CATANDUANES (PR#20-06-025 DATED 6/8/2020)</t>
  </si>
  <si>
    <t>Construction of Ticket Booth Barangay Cau-ayan, Pototan, Iloilo</t>
  </si>
  <si>
    <t>Purchase and Delivery of 2 unit Mini Elf(Multi-Purpose Vehicle)</t>
  </si>
  <si>
    <t>PROCUREMENT OF CONSTRUCTION MATERIALS AND SUPPLIES USE FOR CONSTRUCTION OF PERIMETER FENCE – WATER SOURCE @ BARANGAY CALICAN</t>
  </si>
  <si>
    <t>1 LOT IT SUPPLIES FOR CY 2020</t>
  </si>
  <si>
    <t>(VJLN - GP) SUPPLY AND DELIVERY OF BALED RICE STRAW AND CORN SILAGE</t>
  </si>
  <si>
    <t>20H00067 - Construction/Repair/Rehabilitation/Improvement of Various Infrastructure including Local Projects-Structural Improvement of Public Buildings and Construction of Evacuation Centers-Construct</t>
  </si>
  <si>
    <t>Procurement of Service Vehicle for the Municipal Engineering Office</t>
  </si>
  <si>
    <t>IMPROVEMENT OF STA. MARCELA MULTI-PURPOSE BUILDING (EVACUATION CENTER)</t>
  </si>
  <si>
    <t>20H00063 - Construction/Repair/Rehabilitation/Improvement of Various Infrastructure including Local Projects-Structural Improvement of Public Buildings and Construction of Evacuation Centers-Construct</t>
  </si>
  <si>
    <t>Procurement and Deployment of Artificial Reef (Phase VI)</t>
  </si>
  <si>
    <t>Procurement of Brand New Backhoe</t>
  </si>
  <si>
    <t>SUPPLY AND DELIVERY OF CONSTRUCTION SUPPLIES FOR THE COMPLETION OF PRESIDENT'S HOUSING</t>
  </si>
  <si>
    <t>SUPPLY AND DELIVERY OF CONSTRUCTION MATERIALS FOR THE CONSTRUCTION OF RIC BUILDING</t>
  </si>
  <si>
    <t>SUPPLY AND DELIVERY OF VARIOUS MECHANICAL SPARE PARTS FOR UNIT 3 - 336 KW CUMMINS INTENDED FOR DOONG DPP</t>
  </si>
  <si>
    <t>20H00065 - Construction/Repair/Rehabilitation/Improvement of Various Infrastructure including Local Projects-Structural Improvement of Public Buildings and Construction of Evacuation Centers-Construct</t>
  </si>
  <si>
    <t>SUPPLY AND DELIVERY OF ONE (1) UNIT PICK-UP AND ONE (1) UNIT PASSENGER VAN</t>
  </si>
  <si>
    <t>Supply and Delivery of Laboratory Equipment for VSU Main Campus</t>
  </si>
  <si>
    <t>20AD0096 : Construction (Completion) of Candon City Hospital        (Satellite ITRMC) Buildings, Candon City, Ilocos Sur</t>
  </si>
  <si>
    <t>AU 64 - Suppy &amp; Delivery of Car Parts for TOYOTA Pick-up plate number WSO 333 w/ PN NO-I1-1805</t>
  </si>
  <si>
    <t>SMALL VALUE PROCUREMENT FOR THE GRADUATION</t>
  </si>
  <si>
    <t>20H00066 - Construction/Repair/Rehabilitation/Improvement of Various Infrastructure including Local Projects-Structural Improvement of Public Buildings and Construction of Evacuation Centers-Construct</t>
  </si>
  <si>
    <t>PHO-2020-038 PR2020-0150 INVITATION TO BID FOR THE PROCUREMENT OF BASIC LIFE SUPPORT AMBULANCE</t>
  </si>
  <si>
    <t>Construction of Two-Storey Legislative Session Hall (Expansion)</t>
  </si>
  <si>
    <t>Barangay Road Concreting at Barangay LIbo, Bahay, Guimbangco-an, Dugo-an, Cagay, Banlot, Lamacan-Magcagong, Tubod, Mangyan, Sayao, Cantularoy, Bagacay and Bato, Sibonga, Cebu</t>
  </si>
  <si>
    <t>Concrete Pav. Construction Suba Cambigong Barangay Road</t>
  </si>
  <si>
    <t>20KB0169   Construction of Municipal Jail, Municipal Compound, Brgy. Libertad, Quezon, Bukidnon   :	Brgy. Libertad, Quezon, Bukidnon</t>
  </si>
  <si>
    <t>Removal of collapsed retaining wall and replacing it with gabion wall (Road width incl. shoulder, 9.1m; Carriage width, 6.1m; Pavement thickness, 0.23m)</t>
  </si>
  <si>
    <t>20B00052 (re-ad): Construction of Evacuation Center, Brgy. Lublub, Alfonso Castañeda, Nueva Vizcaya</t>
  </si>
  <si>
    <t>SUPPLY AND DELIVERY OF VARIOUS MECHANICAL SPARE PARTS FOR 163 KW DALE PERKINS INTENDED FOR DOONG DPP</t>
  </si>
  <si>
    <t>Supply and Delivery of One (1) Lot Other Machineries and Equipment</t>
  </si>
  <si>
    <t>Concrete Pav. Construction Cambalidyo-San Sebastian</t>
  </si>
  <si>
    <t>Job Order: Equipment rental for site grading, stabilization and final cover of Dumpsite (Closure Plan) Phase I, Barangay Candau-ay.</t>
  </si>
  <si>
    <t>Supply, Installation and Commissioning of One (1) Unit Plasma Sterilizer</t>
  </si>
  <si>
    <t>Improvement of Water Supply System (Intake Box, Pipe Concrete Blanket) Brgy. Bagte - Buenavista, Relocation Site, Quinapondan E. Samar (Re-bid)</t>
  </si>
  <si>
    <t>SUPPLY &amp; DELIVERY OF VARIOUS MECHANICAL SPARE PARTS FOR 163KW PERKINS GENSET MODEL: 2006-TGI, ENGINE NO.: 8B27396U86225V INTENDED FOR LIMASAWA DPP</t>
  </si>
  <si>
    <t>20GB00013 (re-ad): Purchase, Delivery and Installation of One (1) Unit Bridge Design Software</t>
  </si>
  <si>
    <t>20KB0168   Construction of Multi-Purpose Building (Kibawe Sports Complex) Brgy. East Kibawe, Kibawe, Bukidnon</t>
  </si>
  <si>
    <t>SUPPLY &amp; DELIVERY OF VARIOUS MECHANICAL SPARE PARTS FOR 163KW PERKINS, MODEL NO.: 2006-TGI. SERIAL NO.: 52/ ENGINE NO.: 8B27396U86224V INTENDED FOR SAN VICENTE DPP</t>
  </si>
  <si>
    <t>Purchase of Clinical Equipment for the use of Lambunao MHO-Laboratory, Lambunao, Iloilo</t>
  </si>
  <si>
    <t>DRILLING OF ONE (1) EXPLORATORY /PRODUCTION WELL AT BRGY. RAFAELA BARRERA</t>
  </si>
  <si>
    <t>Concrete Pav. Construction Camburoy Barangay Road</t>
  </si>
  <si>
    <t>20KB0174   Construction of Multi-Purpose Building (Kibawe Sports Complex), Brgy. East Kibawe, Kibawe, Bukidnon</t>
  </si>
  <si>
    <t>Purchase of Equipment for the Establishment of 21st Century Classroom at BCES</t>
  </si>
  <si>
    <t>20KB0172   Rehabilitation of Multi-Purpose Building (Day Care Center) Brgy. Kianggat, Dangcagan, Bukidnon</t>
  </si>
  <si>
    <t>20KB0167   Construction of Multi-Purpose Building (Municipal Risk Reduction Management Office), Maramag, Bukidnon</t>
  </si>
  <si>
    <t>Concrete Pav. Construction Canorong Bulangsuran Road</t>
  </si>
  <si>
    <t>20KB0171   Improvement of Public Plaza, Brgy. Poblacion, Dangcagan, Bukidnon</t>
  </si>
  <si>
    <t>Purchase of t-shirts</t>
  </si>
  <si>
    <t>20PL0118 - Improvement of Roadside Structures and Shoulder along Mt. Province-Boundary-Calanan-Pinukpuk-Abbut Road (Cagaluan-Calanan Section), K0483+790-K0483+870, Tabuk City, Kalinga</t>
  </si>
  <si>
    <t>20KB0173   Construction/Completion of the Development of Municipal Ground/Plaza, Anahawon, Maramag, Bukidnon</t>
  </si>
  <si>
    <t>Concrete Pav. Construction Canorong Tuka Road</t>
  </si>
  <si>
    <t>Supply and Delivery Construction Materials for the Safe Closure and Rehabilitation of Existing open Dump site at Brgy. San Pedro, Quinapondan, Eastern Samar (Re-bid)</t>
  </si>
  <si>
    <t>PROCUREMENT OF DATABASE SERVER</t>
  </si>
  <si>
    <t>Procurement of Construction Materials for Multipurpose Drying Pavement (MPDP)</t>
  </si>
  <si>
    <t>SUPPLY AND DELIVERY OF  VARIOUS MECHANICAL SPARES INTENDED PANAY MINIGRID</t>
  </si>
  <si>
    <t>Supply and Delivery of Assorted and Common Office Supplies and Devices (Re-bid)</t>
  </si>
  <si>
    <t>Rehabilitation of Barangay and Municipal Roads</t>
  </si>
  <si>
    <t>Purchase of 1-Unit Tractor with complete accessories</t>
  </si>
  <si>
    <t>Procurement of Office Equipment, Supplies and Consumables</t>
  </si>
  <si>
    <t>IB No. 2003-206 Proc. of Goods (Operational Tent)(Rebid)</t>
  </si>
  <si>
    <t>PROCUREMENT OF NFA - REGION 1 2020 PESTICIDES REQUIREMENT (LEFT-OUT LOTS) (REBIDDING)</t>
  </si>
  <si>
    <t>20KB0177   Construction of Multi-Purpose Building, Brgy. Poblacion, Kadingilan, Bukidnon</t>
  </si>
  <si>
    <t>20DI0155- Construction of Multi-Purpose Building (A), Sta. Rosa City, Laguna</t>
  </si>
  <si>
    <t>SUPPLY AND DELIVERY OF VARIOUS ELECTRICAL SPARES INTENDED FOR BOHOL MINI GRID I</t>
  </si>
  <si>
    <t>Supply and Delivery of One (1) Lot Wireless CCTV System (including installation)</t>
  </si>
  <si>
    <t>20KB0178   Construction/Completion of Multi-Purpose Building, Brgy. Libertad, Quezon, Bukidnon</t>
  </si>
  <si>
    <t>SUPPLY &amp; DELIVERY OF VARIOUS MECHANICAL SPARE PARTS FOR 300KW CUMMINS, MODEL NO.: KTA19-G2; SERIAL NO.: 41232997 INTENDED FOR SAN ANTONIO DPP</t>
  </si>
  <si>
    <t>20DI0152- Construction of Multi-purpose Building, Brgy. Dita, Sta. Rosa City, Laguna</t>
  </si>
  <si>
    <t>20KB0176   Construction of Multi-Purpose Building, Brgy. Minsalagan, Don Carlos, Bukidnon</t>
  </si>
  <si>
    <t>20DI0150- Construction of Trash Trap along Biñan River, Brgy. Sto. Tomas, Biñan, Laguna</t>
  </si>
  <si>
    <t>SMALL VALUE PROCUREMENT FOR CATERING SERVICES</t>
  </si>
  <si>
    <t>20DI0154- Construction of Multi-purpose Building, Brgy. Sinalhan, Sta. Rosa City, Laguna</t>
  </si>
  <si>
    <t>20DI0148- Construction of Multi-purpose Building (Basketball Court), Juana Complex III, Brgy. San Francisco, Biñan, Laguna</t>
  </si>
  <si>
    <t>SUPPLY AND DELIVERY OF VARIOUS ELECTRICAL SPARE PARTS FOR 300 KW CUMMINS INTENDED FOR GIGANTES DPP</t>
  </si>
  <si>
    <t>20DI0147- Construction of Multi-Purpose Building, Brgy. Aplaya, Sta. Rosa City, Laguna</t>
  </si>
  <si>
    <t>SUPPLY &amp; DELIVERY OF VARIOUS MECHANICAL SPARE PARTS FOR 163KW PERKINS, MODEL NO.: 2006-TGI, SERIAL NO.: 8B27396U86337U INTENDED FOR SAN ANTONIO DPP</t>
  </si>
  <si>
    <t>INVITATION TO BID FOR THE PROCUREMENT OF DOE INTERNET SUBSCRIPTION (POCKET-WIFI) UNDER THE DOE REGULAR FUND</t>
  </si>
  <si>
    <t>20DI0149- Construction of Multi-Purpose Building, San Pedro, Laguna</t>
  </si>
  <si>
    <t>Rehab/Improvement of Various Barangay Road(San Roque-Catigahan-Hinagbuan)</t>
  </si>
  <si>
    <t>Opening of Farm-to-Market Road at Patunungan</t>
  </si>
  <si>
    <t>SUPPLY &amp; DELIVERY OF VARIOUS MECHANICAL SPARE PARTS FOR 100KW PERKINS, MODEL NO.: 1006-TAG; ENGINE TYPE: 2330/1500; SERIAL NO.: YB37574 INTENDED FOR ALMAGRO DPP</t>
  </si>
  <si>
    <t>SUPPLY &amp; DELIVERY OF VARIOUS MECHANICAL SPARE PARTS FOR 150KW CUMMINS.  MODEL 6CT, 6CTA 8.3; SERIAL NO.: 21283036 INTENDED FOR MARIPIPI DPP</t>
  </si>
  <si>
    <t>SMALL VALUE PROCUREMENT FOR COMMUNICATION LOAD</t>
  </si>
  <si>
    <t>SUPPLY &amp; DELIVERY OF VARIOUS MECHANICAL SPARE PARTS FOR 315KW FG WILSON PERKINS, MODEL 2506A-E15TAG3; SERIAL NO.: MGDF7150U10595A INTENDED FOR MARIPIPI DPPD</t>
  </si>
  <si>
    <t>20PL0120 - Repair of Cross Drainage Inlet and Canal Lining along Mt. Province-Boundary-Calanan-Pinukpuk-Abbut Road (Cagaluan-Calanan Section), K0485+710-K0485+780, Tabuk City, Kalinga</t>
  </si>
  <si>
    <t>Procurement of Audio Visual Production Set-up Bundle</t>
  </si>
  <si>
    <t>INVITATION TO BID FOR THE Procurement Of Energy Various ICT Equipment under the DOE CY2020 ISSP</t>
  </si>
  <si>
    <t>PR No. 2020-02-0277-MAIN-Supply and Delivery of Steel Filing Cabinets for the different offices</t>
  </si>
  <si>
    <t>PR No. 2020-02-0182-MAIN-Supply and Delivery of Stenograph Machine for Stenograph Laboratory of CBAS</t>
  </si>
  <si>
    <t>Road Opening of Baribi-Pasmacanan Road (Phase-I)</t>
  </si>
  <si>
    <t>20DI0159- Construction of Multi-purpose Building (C), Sta. Rosa City, Laguna</t>
  </si>
  <si>
    <t>20DI0157- Construction of Multi-purpose Building, Brgy. Tagapo, Sta. Rosa City, Laguna</t>
  </si>
  <si>
    <t>PR No. 2020-06-0561-MAIN-Supply and Delivery of Inks and Toners for Existing Printers of the different BISU Offices</t>
  </si>
  <si>
    <t>SUPPLY &amp; DELIVERY OF VARIOUS MECHANICAL SPARE PARTS FOR 100KW CUMMINS.  MODEL 6BTA59G2; SERIAL NO.: 78333492 INTENDED FOR LIMASAWA DPP</t>
  </si>
  <si>
    <t>Procurement of One (1) Unit Brand New Fully Equipped Van Rescue Ambulance</t>
  </si>
  <si>
    <t>Supply and delivery of Plumbing Materials to be used in the Improvement of Waterworks System at Nagcarlan, Laguna</t>
  </si>
  <si>
    <t>Procurement of Ten (10) Units Laptop for Online Classes of Brgy San Lorenzo</t>
  </si>
  <si>
    <t>20DI0158- Construction of Multi-Purpose Building (Laboratory Building) JZGM School of Arts and Trade, Brgy. San Antonio, Biñan, Laguna</t>
  </si>
  <si>
    <t>20DI0146- Construction of Multi-Purpose Building, Brgy. Pacita I, San Pedro, Laguna</t>
  </si>
  <si>
    <t>20DI0145- Rehabilitation of Drainage Canal, Juana Complex VI, Brgy. San Francisco, Biñan, Laguna</t>
  </si>
  <si>
    <t>20PL0121 - Rehabilitation of National road, K0534+056 - K0534+106 (Babalag-Kinama-San Francisco Section), Rizal, Kalinga</t>
  </si>
  <si>
    <t>Construction of Multipurpose Building</t>
  </si>
  <si>
    <t>20DI0156- Construction of Multi-purpose Building (B), Sta. Rosa City, Laguna</t>
  </si>
  <si>
    <t>Supply and Delivery of Laboratory Equipment for VSU External Campuses</t>
  </si>
  <si>
    <t>1 unit High Speed Drill System</t>
  </si>
  <si>
    <t>20DI0151- Construction of Multi-Purpose Building, Brgy. Macabling, Sta. Rosa City, Laguna</t>
  </si>
  <si>
    <t>Concrete Pav. Construction Kalatagan-Tangbo Barangay Road</t>
  </si>
  <si>
    <t>Supply, Installation and Commissioning  of One (1) Operating Light (LED dual ceiling mounted with camera and pendant surgical monitor)</t>
  </si>
  <si>
    <t>Supply, Installation and Commissioning of One (1) unit Operating Table (Electric-Motorized Type)</t>
  </si>
  <si>
    <t>20PL0119 - Improvement of Shoulder Structure and Repair of Cross Drainage along Mt. Province-Boundary-Calanan-Pinukpuk-Abbut Road (Cagaluan-Calanan Section), K0484+550-K0485+590, Tabuk City, Kalinga</t>
  </si>
  <si>
    <t>SUPPLY &amp; DELIVERY OF VARIOUS MECHANICAL SPARE PARTS FOR 163KW PERKINS, MODEL NO.: 2006-TGI, SERIAL NO.: 48 INTENDED FOR STO NINO DPP</t>
  </si>
  <si>
    <t>Concrete Pav. Construction Monteverde Barangay Road</t>
  </si>
  <si>
    <t>Supply, Installation and Commissioning of Two (2) units Ultraviolet Germicidal Irradiction Disinfection System</t>
  </si>
  <si>
    <t>Construction of Access Road from P-2 to Brgy Road</t>
  </si>
  <si>
    <t>Supply and Delivery of One (1) Lot Various Construction Materials &amp; Supplies for the Improvement of Tourist Facilities</t>
  </si>
  <si>
    <t>Supply and Delivery of Pick-up Truck</t>
  </si>
  <si>
    <t>Concrete Pav. Construction Cambigong &amp; Canorong Brgy Road</t>
  </si>
  <si>
    <t>Procurement of communication Equipment</t>
  </si>
  <si>
    <t>20CF0130 Repair/Maintenance of Public Buildings</t>
  </si>
  <si>
    <t>20KB0175   Construction of Covered Court, Brgy. Kalumihan, Kitaotao, Bukidnon</t>
  </si>
  <si>
    <t>Job Order: Supply and planting of Bermuda Grass and others for site grading, stabilization and final cover of Dumpsite (Closure Plan) Phase I, Barangay Candau-ay.</t>
  </si>
  <si>
    <t>20KB0170   Construction of Multi-Purpose Building, Mindanaw Tribal School Inc., Purok 6A, Panadtalan, Maramag, Bukidnon</t>
  </si>
  <si>
    <t>REHABILITATION/IMPROVEMENT OF LEVEL II POTABLE WATER SYSTEM</t>
  </si>
  <si>
    <t>SUPPLY AND DELIVERY OF DEVICES AND EQUIPMENTS FOR MUNICIPAL BIRTHING HOME, ALEOSAN, COTABATO</t>
  </si>
  <si>
    <t>Garbage hauling services for August 01, 2020 - December 31, 2020</t>
  </si>
  <si>
    <t>20CF0002-Geotechnical Survey/Soil Exploration of Fourteen (14) Construction of Flood Mitigation Structure and Three (3) Widening of Bridge</t>
  </si>
  <si>
    <t>(KMH) 2ND INVITATION TO BID FOR THE SUPPLY AND DELIVERY OF HOSPITAL EQUIPMENT</t>
  </si>
  <si>
    <t>CONSTRUCTION OF FMR LOCATED AT SAN JUAN, AGOO, LA UNION</t>
  </si>
  <si>
    <t>HFEP ITB 2020-001 Equipment</t>
  </si>
  <si>
    <t>OPENING OF FMR LOCATED AT SAN JOSE NORTE, AGOO, LA UNION</t>
  </si>
  <si>
    <t>HO-IST20-009 - Subscription of Messaging and Collaboration Services</t>
  </si>
  <si>
    <t>Rehabilitation of Old Municipal Cemetery (Phase II), San Antonio, Agoo, La Union</t>
  </si>
  <si>
    <t>ESTABLISHMENT OF ECO-TOURISM FACILITIES (IMPROVEMENT OF MP BUILDING)</t>
  </si>
  <si>
    <t>PROCUREMENT OF VARIOUS VACCINES COBAC IB NO. 003 (G) S. 2020</t>
  </si>
  <si>
    <t>SMALL VALUE FOR PROCUREMENT FOR FREE SCHOOL SUPPLY</t>
  </si>
  <si>
    <t>CY 2020 Basic Educational Facilities Fund (BEFF) - Construction of 4 Storey, 8 Classrooms, San Vicente Elementary School, Camp 8, San Vicente, Baguio City</t>
  </si>
  <si>
    <t>Procurement of Materials for the support to Brigada Eskwela 2020</t>
  </si>
  <si>
    <t>20GCF0001 Procurement of Fuel/Fuel Additives &amp; Anti-Corrosive for use in Desilting of Digmala River, Bongabon, Nueva Ecija and for use in Transporting Medical Workers in Relation with COVID-19 and Typ</t>
  </si>
  <si>
    <t>INVITATION TO BID FOR THE Procurement of Energy Various ICT Equipment and Corel Draw Graphics Software under the DOE Locally Funded Philippine Conventional Energy Contracting Program</t>
  </si>
  <si>
    <t>HO-IST20-003 - Supply, Delivery, Installation, Configuration, Testing and Commissioning of CPU Hyper-Converged Integrated System (HCIS) Servers</t>
  </si>
  <si>
    <t>Construction of Overhead Hoist</t>
  </si>
  <si>
    <t>20H00064 - Construction/Repair/Rehabilitation/Improvement of Various Infrastructure including Local Projects-Structural Improvement of Public Buildings and Construction of Evacuation Centers-Construct</t>
  </si>
  <si>
    <t>3 units Negative Pressure Wound Therapy</t>
  </si>
  <si>
    <t>Procurement of ICT Equipment for the Relocation of the Servers to the New Server Room (Rebid) - B-G-2020-085</t>
  </si>
  <si>
    <t>Supply and Delivery of ICT Equipment for 2020</t>
  </si>
  <si>
    <t>Procurement of Various Surveying, Printing and Geotagging Equipment for PRDP Project Preparation (Rebid) - B-G-2020-084</t>
  </si>
  <si>
    <t>Procurement of medical Supplies</t>
  </si>
  <si>
    <t>Supply, Delivery and Commissioning of Submersible Pumps and Motors, Motor Controller (VFD) and Accessories for PS No. 7</t>
  </si>
  <si>
    <t>20GKA0005 / 2020-06-0136  Supply and delivery of Office supplies not available in PS DBM for the 2nd Quarter of CY 2020 DPWH Bukidnon 1st DEO, Malaybalay City</t>
  </si>
  <si>
    <t>Procurement of Drugs and Medicines for use at the Pharmacy Section of the IPHO-TPH (Rebid) - B-G-2020-083</t>
  </si>
  <si>
    <t>Procurement of Laboratory Supplies for use of the IPHO-TPH (Rebid) - B-G-2020-082</t>
  </si>
  <si>
    <t>19GL00111; P.R. No. 2020-06-061 DATED 06/04/2020: PROCUREMENT OF VARIOUS TIRES, FOR USE IN THE CORRECTIVE &amp; PREVENTIVE MAINTENANCE OF VARIOUS SERVICE VEHICLES ASSIGNED AT DPWH R.O. XI, UNDER THE EQUIP</t>
  </si>
  <si>
    <t>Upgrading of BiPSU Electrical System Main Campus and Biliran Campus</t>
  </si>
  <si>
    <t>Engagement of Consulting Services for PCC Market Study on Philippine Construction Industry</t>
  </si>
  <si>
    <t>SUPPLY AND DELIVERY OF IT EQUIPMENT: LARGE FORMAT SCANNER</t>
  </si>
  <si>
    <t>Supply of Fuel for the Repair and Maintenance of Dueg, San Clemente Labney, Mayantoc Provincial Road - B-G-2020-087</t>
  </si>
  <si>
    <t>Supply, Delivery and Commissioning of Generator Set for PS No. 7 and No. 8</t>
  </si>
  <si>
    <t>20OH0152-Local Program - Local   Infrastructure  Program - Buildings  and  other  Structures - Multi-Purpose/Facilities-Construction/Rehabilitation of Various Multi-purpose Building, Baseco Port Area,</t>
  </si>
  <si>
    <t>PROCUREMENT OF FOOD PACKS FOR DISTRIBUTION TO HOUSEHOLDS IN THE MUNICIPALITY SEVERELY AFFECTED BY THE ONSLAUGHT OF TYPHOON TISOY IN DECEMBER 2019</t>
  </si>
  <si>
    <t>INVITATION TO BID: PROCUREMENT (SUPPLY AND DELIVERY) OF BRAND NEW MOTOR VEHICLES</t>
  </si>
  <si>
    <t>Supply of Fuel for the Repair and Maintenance of Mababanaba, San Jose-Sta. Ines West, Sta. Ignacia Provincial Road - B-G-2020-088</t>
  </si>
  <si>
    <t>PROCUREMENT OF VARIOUS MEDICAL EQUIPMENT (DIGITAL MASS CHEST RADIOGRAPHY, NAVIGATIONAL BRONCHOSCOPE, ELECTROSURGICAL MACHINE WITH ADVANCED VESSEL SEALING MODULE, CARDIOPULMONARY EXERCISE TEST MACHINE,</t>
  </si>
  <si>
    <t>Improvement and Installation of Slaughter House Facility – MEO 2nd Bid</t>
  </si>
  <si>
    <t>Procurement of Fuel, Oil and Lubricants for Construction of Brash Dam - MEO</t>
  </si>
  <si>
    <t>Procurement of Siren and Installation for early warning system - MDRRMO</t>
  </si>
  <si>
    <t>Procurement of Laboratory Supplies for use at the Laboratory Section of GOTMH, Camiling, Tarlac (Rebid) - B-G-2020-086</t>
  </si>
  <si>
    <t>Supply, Delivery and Implementation of HIMS of Tarlac Provincial Hospital (Rebid) - B-G-2020-081</t>
  </si>
  <si>
    <t>Procurement of Meals and Snacks for meetings, visitors and other activity - MO</t>
  </si>
  <si>
    <t>Procurement of Hygiene Kits with Pouch Bag for use during the implementation of Kits for Kids 7th Wave - B-G-2020-093</t>
  </si>
  <si>
    <t>Consulting Services for Cabacanan Small Reservoir Irrigation Project-Detailed Engineering</t>
  </si>
  <si>
    <t>20GFO0014 - Purchase of One (1) Set - Portable Weigh-in-Motion (WIM) Axle Weigher, for Use in Axle Load Survey Program of DPWH Albay 3rd DEO, Paulog, Ligao City</t>
  </si>
  <si>
    <t>(PA) INVITATION TO BID FOR THE SUPPLY &amp; DELIVERY OF DESKTOP COMPUTERS, LAPTOP, NETWORK SWITCH, ETC. FOR THE  PROVINCIAL ADMINISTRATOR’S OFFICE--401,500.00</t>
  </si>
  <si>
    <t>Supply, Delivery and Commissioning of Submersible Pumps and Motors, Motor Controller (VFD) and Accessories for PS No. 8</t>
  </si>
  <si>
    <t>Rehabilitation of Brgy. Madanding FMR</t>
  </si>
  <si>
    <t>Procurement of Office Supplies for use of different offices of the Provincial Government of Tarlac - B-G-2020-091</t>
  </si>
  <si>
    <t>Hiring of 2 Agency Security Guards</t>
  </si>
  <si>
    <t>REHABILITATION OF BARANGAY ROAD</t>
  </si>
  <si>
    <t>Procurement of Automated Immunoassay System for use at the Bloodbank Section of the IPHO-TPH - B-G-2020-089</t>
  </si>
  <si>
    <t>PRE-BID CONFERENCE 23/June/2020 - Procurement of Goods: Supply and Installation of Panoramic/Scenic ELEVATOR for the use of CMO (Const'n &amp; Maint. of City Hall Bldg. of Tagum) (PR#100-20-06-0032)</t>
  </si>
  <si>
    <t>Procurement of Male Condom</t>
  </si>
  <si>
    <t>Procurement of Reading Materials for use during the implementation of Library on Wheels - B-G-2020-092</t>
  </si>
  <si>
    <t>Construction of San Ramon CHB Canal, Barangay San Ramon, Bontoc, Southern Leyte</t>
  </si>
  <si>
    <t>Supply, Delivery and Commissioning of Submersible Pumps and Motors with Accessories for PS No. 4, PS N0. 9 and PS No. 9A</t>
  </si>
  <si>
    <t>Rehabilitation of Barangay Pandan Multi-Purpose Building, Barangay Pandan, Liloan, Southern Leyte</t>
  </si>
  <si>
    <t>Construction of Multi-Purpose Hall, Barangay San Antonio, Tomas Oppus, Southern Leyte, Southern Leyte</t>
  </si>
  <si>
    <t>Procurement of Sevoflurane Inhalation for use at the Operating Room of the IPHO-TPH - B-G-2020-090</t>
  </si>
  <si>
    <t>Concreting of Pandan Road, Barangay Pandan, Sogod, Southern Leyte</t>
  </si>
  <si>
    <t>20GFO0015 - Supply and Delivery of Materials for Work Cat. 10: Activity 122 - Cracks and Joint of Concrete Pavement along National Roads within the 3rd District of Albay</t>
  </si>
  <si>
    <t>Concreting of Dagsa Barangay Road, Barangay Dagsa, Sogod, Southern Leyte</t>
  </si>
  <si>
    <t>Construction of Magaupas River Control, Barangay Magaupas, Liloan, Southern Leyte</t>
  </si>
  <si>
    <t>Fabrication &amp; Installation of PAIASO Shelves, Capitol Site, Asuncion, Maasin City, Southern Leyte</t>
  </si>
  <si>
    <t>Rehabilitation of Spring Development Project, Barangay Mahayag, St. Bernard, Southern Leyte</t>
  </si>
  <si>
    <t>Implementation of Essential Health Care Program - B-G-2020-094</t>
  </si>
  <si>
    <t>Completion of Cabul-anonan Seawall, Barangay Cabul-anonan, Malitbog, Southern Leyte</t>
  </si>
  <si>
    <t>CONSTRUCTION OF EVACUATION CENTER PHASE 4</t>
  </si>
  <si>
    <t>Procurement of Medical Supplies Lot 1</t>
  </si>
  <si>
    <t>Procurement of Lynestrenol</t>
  </si>
  <si>
    <t>Concreting of Soro-Soro-Hanginan Barangay Road, Maasin City, Southern Leyte</t>
  </si>
  <si>
    <t>Reblocking of St. Bernard Municipal Road, Barangay Himatagon, St. Bernard, Southern Leyte</t>
  </si>
  <si>
    <t>Completion/Concreting of Barangay Road, Brgy. Lumbog, Hinunangan, Southern Leyte</t>
  </si>
  <si>
    <t>INVITATION TO BID FOR THE PROCUREMENT OF BOOKS FOR THE UNIVERSITY LIBRARY OF THE LAGUNA STATE POLYTECHNIC UNIVERSITY MAIN CAMPUS</t>
  </si>
  <si>
    <t>Construction of Canopy of Covered Court, Barangay Cantutang, Padre Burgos, Southern Leyte</t>
  </si>
  <si>
    <t>20CSN012; CONSULTING SERVICES FOR THE GEOTECHNICAL AND GEOLOGICAL SURVEY/ INVESTIGATIONS FOR THE CONSTRUCTION OF STA. JOSEFA BRIDGE (PARALLEL) ALONG NRJ CUEVAS- SAMPAGUITA ROAD, AGUSAN DEL SUR</t>
  </si>
  <si>
    <t>Procurement of Vehicle Spare Parts &amp; Labor - PDRRMO</t>
  </si>
  <si>
    <t>Procurement of Vehicle Spare Parts - PEO ENGINEERING</t>
  </si>
  <si>
    <t>Procurement of Catering Services &amp; Venue - Lot 2 - Venue - PDRRMO</t>
  </si>
  <si>
    <t>Construction of Ilihan Concrete Pavement, Barangay Ilihan, Macrohon, Southern Leyte</t>
  </si>
  <si>
    <t>Procurement of Vehicle Spare Parts &amp; Labor - PGO</t>
  </si>
  <si>
    <t>Procurement of Vehicle Spare Parts - OSP</t>
  </si>
  <si>
    <t>INVITATION TO BID FOR PURCHASE OF COMMON OFFICE SUPPLIES FOR F.Y. 2020</t>
  </si>
  <si>
    <t>Procurement of Kitchen Equipment - SOYMPH</t>
  </si>
  <si>
    <t>Procurement of Furniture and Fixtures</t>
  </si>
  <si>
    <t>INVITATION TO BID FOR PROVISION OF SECURITY SERVICES FOR 2020</t>
  </si>
  <si>
    <t>Procurement of Vehicle Spare Parts &amp; Labor - OVG/OSP</t>
  </si>
  <si>
    <t>Procurement of Engine Oil, Oil Filter &amp; Labor - PGO</t>
  </si>
  <si>
    <t>Procurement of Various Office Supplies  - SOYMPH</t>
  </si>
  <si>
    <t>Procurement of IT and Office Equipment - Lot 1 - IT Equipment - PAIASSO</t>
  </si>
  <si>
    <t>Procurement of Catering Services &amp; Venue - Lot 1 - Catering services - PDRRMO</t>
  </si>
  <si>
    <t>Procurement of Various Housekeeping Supplies - PLSO</t>
  </si>
  <si>
    <t>Procurement of Various Housekeeping Supplies - OVG</t>
  </si>
  <si>
    <t>ITB-140 Installation of Fire Sprinkler, Fire Detection and Alarm System,  Nasipit District Hospital, Nasipit, Agusan del Norte (REBID)</t>
  </si>
  <si>
    <t>Procurement of Vehicle Spare Parts - SDH</t>
  </si>
  <si>
    <t>Procurement of Office Supplies - PGO</t>
  </si>
  <si>
    <t>Procurement of Medical/Hospital Equipment  - ADH</t>
  </si>
  <si>
    <t>PROCUREMENT OF VEHICLE (SB)</t>
  </si>
  <si>
    <t>PROCUREMENT OF TWENTY (20) PIECES INVERTER – TYPE SV008iG5A-2</t>
  </si>
  <si>
    <t>SUPPLY &amp; DELIVERY OF VEGETABLE SEEDS FOR THE ESTABLISHMENT OF HOPE GARDENS</t>
  </si>
  <si>
    <t>Procurement of Electrical Supplies  - PENRMO</t>
  </si>
  <si>
    <t>Procurement of Catering Services - PPO</t>
  </si>
  <si>
    <t>Procurement of Greenhouse-Materials &amp; Installation  with complete Accessories &amp; Irrigation Facilities - PAGSO</t>
  </si>
  <si>
    <t>LAND EXPANSION OF MOBO PORT @ BRGY. PINAMARBUHAN, MOBO, MASBATE</t>
  </si>
  <si>
    <t>Procurement of Various IT Equipment and Supplies - OVG</t>
  </si>
  <si>
    <t>Concrete Pavement of Access Road to the Existing Waste Disposal Area</t>
  </si>
  <si>
    <t>Procurement of 1 Unit Chest Type Freezer - ADH</t>
  </si>
  <si>
    <t>INVITATION TO BID FOR THE PROVISION OF AGRICULTURAL SUPPLIES FOR THE CONDUCT OF URBAN AGRICULTURE, GLAMOURIZING YOUTH IN AGRICULTURE, ESTABLISHMENT OF COMMUNITY GARDENS IN EIGHT SITES/BARANGAYS, AND M</t>
  </si>
  <si>
    <t>Financial Assistance for the Concreting Barangay Road</t>
  </si>
  <si>
    <t>“Acquisition of One (1) Unit Supply, Delivery and Installation of Gas Chromatography-Mass Spectrometry (GCMS)”</t>
  </si>
  <si>
    <t>Procurement of Vehicle Spare Parts - PENRMO</t>
  </si>
  <si>
    <t>Food Stuff</t>
  </si>
  <si>
    <t>Procurement of Various IT Equipment - ADMIN &amp; PSAO</t>
  </si>
  <si>
    <t>PROCUREMENT OF FIFTY- FIVE (55) PIECES SEALED BEAM PAR 56 FOR HEADLIGHT ON DIESEL ELECTRIC LOCOMOTIVE</t>
  </si>
  <si>
    <t>Supply and Installation of Renewable, Clean Solar Powered Streetlights &amp; Other Related Works Along Lipa-Alaminos Road (80 Watts LED, Integrated Solar Streetlights)</t>
  </si>
  <si>
    <t>SUPPLY &amp; DELIVERY OF CONSTRUCTION MATERIALS FOR THE CONSTRUCTION OF SLAUGHTER HOUSE BLDG. @ BRGY. PILINTANGAN, WAO, LANAO DEL SUR</t>
  </si>
  <si>
    <t>SUPPLY AND DELIVERY WITH INSTALLATION OF MATERIALS FOR SANITARY TOILET CONSTRUCTIONS</t>
  </si>
  <si>
    <t>BSF and Traffic Enforcers Uniforms and Accessories</t>
  </si>
  <si>
    <t>ITB No. (INF) 2020-06-092 CONSTRUCTION OF TRIPLE BARREL BOX CULVERT (DRAINAGE SYSTEM), Brgy. Siha, Borongan City, Eastern Samar</t>
  </si>
  <si>
    <t>Procurement of Housekeeping Supplies - PDH</t>
  </si>
  <si>
    <t>Construction Of Multi-Purpose Building , Brgy. Dikildit, Maria Aurora, Aurora</t>
  </si>
  <si>
    <t>PROCUREMENT OF BACKHOE FOR MENRO/SLF OPERATION (Rebid)</t>
  </si>
  <si>
    <t>Procurement of Machinery &amp; Equipment for ESSU Can-Avid use PR#20-06-091</t>
  </si>
  <si>
    <t>ITB No. (INF) 2020-06-091REHABILITATION/CONSTRUCTION OF BRGY. HALL/MULTI-PURPOSE BUILDING, Brgy. Mara-mara, Sulat, Eastern Samar</t>
  </si>
  <si>
    <t>Materials for Construction and Painting Supplies</t>
  </si>
  <si>
    <t>ITB No. (INF) 2020-06-090 CONSTRUCTION OF MULTI-PURPOSE BUILDING (PHASE II), Brgy. Abucay, Sulat, Eastern Samar</t>
  </si>
  <si>
    <t>CONSTRUCTION OF IGANG BRIDGE ALONG CASIGURAN – DILASAG PROVINCIAL ROAD, Casiguran-Dilasag, Auraora</t>
  </si>
  <si>
    <t>Procurement of Various Office Supplies - PGO</t>
  </si>
  <si>
    <t>CONSTRUCTION OF BARANGAY STAGE (PAHASE I), BARANGAY AMOT, BURDEOS, QUEZON</t>
  </si>
  <si>
    <t>PROCUREMENT OF VARIOUS FRUITS SEEDLINGS FOR THE SUSTAINABLE LAND RESOURCE MANAGEMENT APPROACH (SLRMA) FOR AGRI-ENVIRONMENTAL DEVELOPMENT OF UPLANDS AND HILLY LANDS AT SITIO NANGKA, PUNTIAN, SUMILAO, B</t>
  </si>
  <si>
    <t>Rehabilitation of Concrete Pavement</t>
  </si>
  <si>
    <t>REHABILITATION OF EVACUATION CENTER</t>
  </si>
  <si>
    <t>CONSTRUCTION OF MULTI-PURPOSE BUILDING, BRGY. SUGUIT ,MARIA AURORA, AURORA</t>
  </si>
  <si>
    <t>Construction of Slope Protection for Tenement Housing Project, Barangay Marketview, Lucena City</t>
  </si>
  <si>
    <t>Procurement of Various Animal Feeds-06-026(AA)ProVet</t>
  </si>
  <si>
    <t>“Acquisition of One (1) Lot Supply and Delivery of Various Security Equipment”</t>
  </si>
  <si>
    <t>Construction of Sewer Treatment Plant and Drying Area at Slaughter House, Brgy. Guinhawa North, Tagaytay City</t>
  </si>
  <si>
    <t>20ID0073 - Concreting of Poblacion District 9 to Brgy. Gamay FMR, Brgy. Gamay,Burauen, Leyte</t>
  </si>
  <si>
    <t>Construction Of Multi-Purpose Building, Brgy. Ditaelen, Maria Aurora, Aurora</t>
  </si>
  <si>
    <t>PROCUREMENT AND INSTALLATION OF AIR-CONDITIONING UNITS FOR THE OFFICES &amp; CLASSROOMS OF THE NFSTI</t>
  </si>
  <si>
    <t>Procurement of Various Medicines and Vitamins - PHSO</t>
  </si>
  <si>
    <t>IMPROVEMENT AND UPGRADING OF DINGALAN UMIRAY- PROVINCIAL ROAD, DINGALAN, AURORA</t>
  </si>
  <si>
    <t>Books, Maps and Other Publications for Distribution to all Barangays of Oriental Mindoro</t>
  </si>
  <si>
    <t>Concreting of Lacangan Road</t>
  </si>
  <si>
    <t>Completion of Paagan Water System</t>
  </si>
  <si>
    <t>Construction supplies</t>
  </si>
  <si>
    <t>SUPPLY, DELIVERY &amp; INSTALLATION OF CALAMITY RELATED ALARM &amp; SECURITY MONITORING SYSTEM</t>
  </si>
  <si>
    <t>IMPROVEMENT OF MUNICIPAL IP HALL GROUND</t>
  </si>
  <si>
    <t>COMPLETION OF ARCHITECTURE BUILDING, PSU MAIN CAMPUS</t>
  </si>
  <si>
    <t>Procurement of IT and Office Equipment - Lot 2 - Office Equipment - PAIASO</t>
  </si>
  <si>
    <t>ITB 20-0062 - Supply and Delivery of 7,000 bags Cement, Portland, Quick Dry &amp; etc.</t>
  </si>
  <si>
    <t>Water Supply System at Pasalubong Center</t>
  </si>
  <si>
    <t>PROCUREMENT OF CORN SEEDS &amp; FERTILIZERS FOR THE SUSTAINABLE LAND RESOURCE MANAGEMENT APPROACH (SLRMA) FOR AGRI-ENVIRONMENTAL DEVELOPMENT OF UPLANDS AND HILLY LANDS AT SITIO NANGKA, PUNTIAN, SUMILAO, B</t>
  </si>
  <si>
    <t>PROCUREMENT OF TRAVELLING RICE MILL  (FOR SAN ISIDRO RICE FARMER ASSOCIATION, BUB 2015)</t>
  </si>
  <si>
    <t>SUPPLY &amp; DELIVERY OF CONSTRUCTION MATERIALS FOR THE COMPLETION OF SECOND FLOOR OF WAO MUNICIPAL HALL, MUNICIPAL SITE, BRGY. WESTERN, WAO, LANAO DEL SUR</t>
  </si>
  <si>
    <t>“Acquisition of One (1) Lot Health Care Services through Health Maintenance Organization"</t>
  </si>
  <si>
    <t>Agricultural Machinery and Equipment for subsidy/assistance to Local Government Units,  Other (Farmers Association/Cooperative)</t>
  </si>
  <si>
    <t>SUPPLIES AND MATERIALS FOR MAGSAYSAY COLLEGE</t>
  </si>
  <si>
    <t>Q-092-20 UPGRADING OF FIBER LINE WITH WI-FI AND VOICE OVER IP WITH HARDWARE</t>
  </si>
  <si>
    <t>One (1) Lot Information Technology</t>
  </si>
  <si>
    <t>Hospital/Medical Equipment for the use of Naujan Community Hospital</t>
  </si>
  <si>
    <t>Procurement of Survey Equipment - PEO</t>
  </si>
  <si>
    <t>Concreting of Municipal Roads</t>
  </si>
  <si>
    <t>Furniture to be used/installed in the executive building</t>
  </si>
  <si>
    <t>Payment for Janitorial Service for the period of July 2020 to December 2020 at San Pablo City General Hospital, San Pablo City.</t>
  </si>
  <si>
    <t>Procurement of Logbook - PDH</t>
  </si>
  <si>
    <t>Procurement of Various Catering Services - PGO</t>
  </si>
  <si>
    <t>Construction of Niches, Lucena Public Cemetery, Barangay Marketview, Lucena City</t>
  </si>
  <si>
    <t>Procurement of Various Housekeeping Supplies - ADMIN</t>
  </si>
  <si>
    <t>Construction of Multipurpose Bldg.-Nanginan</t>
  </si>
  <si>
    <t>ITB 20-0064 - Supply and Delivery of 71 units Television, LED, Smart TV.</t>
  </si>
  <si>
    <t>Purchase of 12 Units Portable Generator set</t>
  </si>
  <si>
    <t>Procurement of Various Machinery and Equipment - PEO ENGINEERING</t>
  </si>
  <si>
    <t>PROCUREMENT OF DIESOLINE (FOR LGU USE)</t>
  </si>
  <si>
    <t>Construction Of Senior Citizen Hall (Phase II), Brgy Dikildit , Maria Aurora, Aurora</t>
  </si>
  <si>
    <t>CONSTRUCTION OF ISOLATION FACILITY BUILDING</t>
  </si>
  <si>
    <t>Vehicle for use of Bulalacao Community Hospital (BCH)</t>
  </si>
  <si>
    <t>CONSTRUCTION OF MULTI-PURPOSE HALL AT BRGY STA. CRUZ</t>
  </si>
  <si>
    <t>PACKAGE 2020:26:CONSTRUCTION OF ACCESS ROAD GOING TO CHICO RIVER</t>
  </si>
  <si>
    <t>ITB 20-0065 - Supply and Delivery of 1 unit X-Ray Machine.</t>
  </si>
  <si>
    <t>CONCRETING OF BARANGAY STREET, Brgy. 08, Can-avid Eastern Samar</t>
  </si>
  <si>
    <t>Construction of Multipurpose Bldg. (Mini-Gym)</t>
  </si>
  <si>
    <t>Sporting Goods for distribution to Outstanding pupils and students in public and private schools in Oriental Mindoro</t>
  </si>
  <si>
    <t>CONSTRUCTION OF MULTI-PURPOSE HALL AT BRGY SISIMON</t>
  </si>
  <si>
    <t>Construction Of Multi-Purpose Building, Brgy. Decoliat, Maria Aurora, Aurora</t>
  </si>
  <si>
    <t>CONCRETING OF A. BONIFACIO ST. JCT QUIRINO ST. AND ROXAS ST.</t>
  </si>
  <si>
    <t>Construction Materials and Supplies for Provision of Cement and Painting Materials to Various Schools Provincewide</t>
  </si>
  <si>
    <t>Installation of Street Lights along E-Poblacion - Manaba, Garcia-Hernandez, Bohol</t>
  </si>
  <si>
    <t>Concreting of Pathway with Line Canal - ITB 039-2020 GQ</t>
  </si>
  <si>
    <t>Procurement of supply and delivery of food fr the conduct of DA Program Assessment &amp; Forum</t>
  </si>
  <si>
    <t>Payment for Security Service for the period of July 2020 to December 2020 at San Pablo City General Hospital, San Pablo City.</t>
  </si>
  <si>
    <t>COMPLETION OF COMMERCIAL BUILDING - GOA</t>
  </si>
  <si>
    <t>FURNISHING AND DELIVERY OF MEDICAL SUPPLIES FOR MHO</t>
  </si>
  <si>
    <t>20GGF0016 – Procurement  of Global Navigation Satellite System (GNSS) Equipment (1 base, 2 rovers) with Complete Accessories for use in the Planning and Design Section, Iloilo 1st District Engineering</t>
  </si>
  <si>
    <t>SUPPLY AND DELIVERY OF VARIOUS CONSTRUCTION MATERIALS FOR TRUCK GARAGE AND BODEGA</t>
  </si>
  <si>
    <t>20HN0083 (Re-advertisement) -LP: Construction/Repair/ Rehabilitation/Improvement of  Various Infrastructure including Local Projects - Local Roads  and Bridges - Local Roads - Construction of Local Ro</t>
  </si>
  <si>
    <t xml:space="preserve">20BC0212-Repair/Improvement of carriageway along Manila North road and Claveria-Diabalio-Luzon Cagayan boundary road                                                                                    </t>
  </si>
  <si>
    <t>20GA0195-Re-Invitation-Concreting of Barangay Road Brgy. Dumatad, Tangalan, Aklan</t>
  </si>
  <si>
    <t>Purchase of Payloader - LGU-Maasin, Iloilo</t>
  </si>
  <si>
    <t>20ID0074	- Concreting of Sitio Diyo to Sitio Kapitugan Brgy. Libo FMR,Brgy. Libo,Carigara,Leyte</t>
  </si>
  <si>
    <t>20BC0205-Repair/Maintenance of DOJ Building Regional Trial Court Main Building</t>
  </si>
  <si>
    <t>ITB 20-0063 - Supply and Delivery of 5 drums Hydraulic Oil, AW 68 &amp; etc.</t>
  </si>
  <si>
    <t>20BC0157 re-adv.-Local Infrastructure Program-Local Roads and Bridges-Concreting of Road Brgy. Balatubat, Calayan, Cagayan</t>
  </si>
  <si>
    <t>Hospital supplies and equipment</t>
  </si>
  <si>
    <t>Concreting of Gattac Road</t>
  </si>
  <si>
    <t>CONCRETING OF ROAD,  SO. PULO BRGY. ZARAH, SAN LUIS, AURORA</t>
  </si>
  <si>
    <t>Procurement of Food Stuff PR # 2020-06-04-178</t>
  </si>
  <si>
    <t>Procurement of Various Equipment and Furniture and Fixtures for Instructional use of BSHM - Talisay Campus</t>
  </si>
  <si>
    <t>IB-05-0399-20HRND SUPPLY AND DELIVERY OF ESPRESSO MACHINE (HRND)</t>
  </si>
  <si>
    <t>20BE0088: REPAIR AND MAINTENANCE OF DRAINAGE STRUCTURES ALONG CALAMAGUI-ILAGAN ROAD  KO398+(-250)-KO399+(-200), KO398+220-KO398+320 (RS),KO399+400-KO399+515(LS), KO399+542.70(LS), KO400+000-KO400+050</t>
  </si>
  <si>
    <t>20BE0089: CLUSTER: (1) REPAIR/MAINTENANCE OF ALINGUIGAN 2ND FLOOD CONTROL (2) REPAIR/MAINTENANCE OF UGAD FLOOD CONTROL, ALINGUIGAN 2ND, CITY OF ILAGAN, ISABELA  &amp; CABAGAN (UGAD, SAN PABLO), ISABELA</t>
  </si>
  <si>
    <t>Construction</t>
  </si>
  <si>
    <t>Construction of Water System at Giayan N.Q.</t>
  </si>
  <si>
    <t>CONSTRUCTION OF SIKLING FOOTBRIDGE BARANGAY LATANG</t>
  </si>
  <si>
    <t>IMPROVEMENT OF TAMAC DALIT FARM TO MARKET ROAD</t>
  </si>
  <si>
    <t>Supply and Delivery of Various IT Training Tools &amp; Equip. (2)</t>
  </si>
  <si>
    <t>CATTLE FATTENING PROJECT</t>
  </si>
  <si>
    <t>CONSTRUCTION OF EVACUATION CENTER (COMPLETION) @ MUNICIPAL COMPOUND, BURGOS, ISABELA</t>
  </si>
  <si>
    <t>20GA0191-Re-Invitation-Construction of Revetment Wall (Flood Control) in Brgy. Poblacion Tangalan, Aklan Brgy. Poblacion, Tangalan, Aklan</t>
  </si>
  <si>
    <t>Extension of the Provincial Treasury Office, Brgy. Suklayin, Baler, Aurora</t>
  </si>
  <si>
    <t>REHABILITATION OF PUBLIC MARKET - POBLACION I, VINZONS, CAM. NORTE</t>
  </si>
  <si>
    <t>PURCHASE OF MATERIALS FOR THE CONSTRUCTION OF CONCRETE PAVEMENT AROUND BARANGAY SITE</t>
  </si>
  <si>
    <t>Procurement of Various IT Supplies  - ADH</t>
  </si>
  <si>
    <t>REHABILITATION OF BREAKWATER (SABANG) - BRGY. SABANG, VINZONS, CAM. NORTE</t>
  </si>
  <si>
    <t>CONSTRUCTION OF PROPER KALEO DRAINAGE</t>
  </si>
  <si>
    <t>20GA0199-Re-Invitation-Concreting of Barangay Road Brgy. Tondog, Tangalan, Aklan</t>
  </si>
  <si>
    <t>Invitation to Apply for Eligibility and to Bid for IMPROVEMENT OF BGRY. POBLACION LEVEL II WATER SYSTEM, BALENO, MASBATE</t>
  </si>
  <si>
    <t>Supply and Delivery of Outer Tire with Inner Tube and Flap.</t>
  </si>
  <si>
    <t>Purchase of construction materials and supplies with labor on pakyaw or takay basis supplied by local laborers for the Repair/Improvement/Construction of Metro Sindangan Canal Phase 2</t>
  </si>
  <si>
    <t>PRINTING OF UNIVERSITY YEARBOOK (COCOON 2018)</t>
  </si>
  <si>
    <t>PROCUREMENT OF TECHNICAL AND SCIENTIFIC EQUIPMENT FOR RESEARCH AND DEVELOPMENT ACTIVITIES</t>
  </si>
  <si>
    <t>Cocreting of Gecobe Road</t>
  </si>
  <si>
    <t>PROCUREMENT OF HRIS AND PAYROLL SYSTEM</t>
  </si>
  <si>
    <t>Construction of Multi-Purpose Building (Phase II), Brgy. Dibut,San Luis, Aurora</t>
  </si>
  <si>
    <t>CONCRETING OF BURGOS – QUIRINO PROVINCIAL ROAD @ BURGOS, ISABELA</t>
  </si>
  <si>
    <t>20GA0221-Concreting of Sitio Liong to Sitio Tacube, Brgy. Calimbajan FMR Brgy. Calimbajan, Makato, Aklan</t>
  </si>
  <si>
    <t>Procurement of Technical and Scientific Equipment (Lot 1. Water bath/holding tank with thermometer heater stainless steel bracing pan, etc</t>
  </si>
  <si>
    <t>CONSTRUCTION OF FENCE</t>
  </si>
  <si>
    <t>CONCRETING OF ROAD, PUROK I, DITEKI, SAN LUIS, AURORA</t>
  </si>
  <si>
    <t>Procurement of Window Blinds and Glass Sticker - Lot 1 - Window Blinds - OVG</t>
  </si>
  <si>
    <t>20GA0203-Construction of Bridge (Local Bridge) in Brgy. Laguinbanua, Ibajay, Aklan  Brgy. Laguinbanua, Ibajay, Aklan</t>
  </si>
  <si>
    <t>Installation of 167 KVA Transformer, Brgy. Caragsacan, Dingalan, Aurora</t>
  </si>
  <si>
    <t>Procurement of Various Catering Services - OVG/OSP</t>
  </si>
  <si>
    <t>Concreting of Road w/ Line Canal, Brgy. Caragsacan, Dingalan, Aurora</t>
  </si>
  <si>
    <t>REPOSTING  FOR MACHINERY  &amp;  EQUIPMENT OUTLAY FOR THE PURCHASE OF ONE UNIT NURSING SIMULATOR FOR THE USE OF COLLEGE OF HEALTH SCIENCES</t>
  </si>
  <si>
    <t>Lease of Office and IT Equipment</t>
  </si>
  <si>
    <t>PROC. OF WORKS FOR THE CONST'N OF CRISIS CENTER INCL. MADAC DRUG TREATMENT OFFICE</t>
  </si>
  <si>
    <t>Supply and Delivery of Live Animals and feeds</t>
  </si>
  <si>
    <t>Procurement of ICT Resources for Geospatial Information and System Management Use</t>
  </si>
  <si>
    <t>Construction of Multi-Purpose Building and Stage, Brgy. Bangco, Maria Aurora, Aurora</t>
  </si>
  <si>
    <t>PROPOSED RENOVATION OF CAMPUS PLANNING  DEVELOPMENT AND MAINTENANCE OFFICE UNIVERSITY OF THE PHILIPPINES MANILA</t>
  </si>
  <si>
    <t>PURCHASE/DELIVERY OF 1 UNIT BACKHOE</t>
  </si>
  <si>
    <t>Influenza Polyvalent Vaccine injection 0.5ml suspension in a prefilled or ampule (IM) (adult)</t>
  </si>
  <si>
    <t>Construction of Fence for Tenement Housing Project, Barangay Marketview, Lucena City</t>
  </si>
  <si>
    <t>DENR-CENRO Bangui, 3 Year Comprehensive Site Development at Brgy. Balaoi, Pagudpud, Ilocos Norte</t>
  </si>
  <si>
    <t>Proposed Box Culvert at Public Plaza, Brgy. III-Poblacion, Hinigaran, Negros Occidental.</t>
  </si>
  <si>
    <t>Procurement of Technical and Scientific Equipment (Lot 4. Small smoke house)</t>
  </si>
  <si>
    <t>One (1) Lot – Operation and Maintenance Services of Air-conditioning System at ITIOD Data Center, BSP Head Office, as per BSP Terms of Reference</t>
  </si>
  <si>
    <t>20GA0054-Construction of Bridge (Local Bridge) from Malandayon to  Lilo-an in Brgy. Malandayon, Malinao, Aklan Brgy. Malandayon, Malinao, Aklan</t>
  </si>
  <si>
    <t>Purchase of Construction &amp; Other Materials for use in the rehabilitation of former City Engineering Office at Brgy. Ibabang Dupay, Lucena City for the use of City Engineering Office as requested by CM</t>
  </si>
  <si>
    <t>Procurement of Technical and Scientific Equipment (Lot 3. Automated rain gauge and Water level monitoring)</t>
  </si>
  <si>
    <t>Construction of Mini-Library</t>
  </si>
  <si>
    <t>Concreting of Perlita Road</t>
  </si>
  <si>
    <t>CONSTRUCTION OF PACKAGE 1: 20% LDF CY 2020</t>
  </si>
  <si>
    <t>CONSTRUCTION OF LOCAL ACCESS ROAD</t>
  </si>
  <si>
    <t>Invitation to Apply for Eligibility and to Bid for INSTALLATION OF LIGHTINGS FOR STORM-SURGE-PREVENTING BREAKWATER AND SEA WALL    (PHASE II)</t>
  </si>
  <si>
    <t>Construction of Hanging Bridge at Sitio Tabiis Anak, N.Q.</t>
  </si>
  <si>
    <t>PURCHASE OF STOCK PILES</t>
  </si>
  <si>
    <t>Invitation to Apply for Eligibility and to Bid for IMPROVEMENT OF VALDEMORO SPORTS COMPLEX: CONSTRUCTION OF MUSIC ROOM</t>
  </si>
  <si>
    <t>20ID0075	- Repair/ Rehabilitation of Damaged Concrete Pavement along Dulag-Julita-Burauen Road, K0946+000-K0947+500 with exceptions</t>
  </si>
  <si>
    <t>Procurement of Drugs &amp; Medicines</t>
  </si>
  <si>
    <t>PROC. OF VCM&amp;S FOR ROAD REHABILITATION AT KABAISANAN, PUROK PERLAS, BATOBATO, SAN ISIDRO, DAVAO ORIENTAL</t>
  </si>
  <si>
    <t>Procurement of One (1) Unit Evacuation and Relief Vehicle  (Customized Stake Truck) (Brand New) Local Government Unit, Barugo, Leyte</t>
  </si>
  <si>
    <t>REPOSTING  FOR MACHINERY  &amp;  EQUIPMENT OUTLAY FOR THE PURCHASE OF VARIOUS EQUIPMENT FOR THE SCIENCE LABORATORY SKSU-KALAMANSIG CAMPUS</t>
  </si>
  <si>
    <t>Procurement of Technical and Scientific Equipment (Lot 7. Chest type freezer/chiller, Ice cream machine, etc.)</t>
  </si>
  <si>
    <t>ITB-B13-2020</t>
  </si>
  <si>
    <t>Procurement of Various Catering Services &amp; Training Materials - Lot 2 - Training Materials</t>
  </si>
  <si>
    <t>Procurement of Troclosene Sodium under IB No. 2020-176</t>
  </si>
  <si>
    <t>Consultancy and Training for Comprehensive Land Use Plan (CLUP) and Zoning Ordinance Formulation/Revision</t>
  </si>
  <si>
    <t>20NA0070 Concreting of Brgy. Sangay FMR, Buenavista, Agusan del Norte</t>
  </si>
  <si>
    <t>CONSTRUCTION OF WATER SYSTEM @ SITIO SINAMBAG, BARANGAY DAJA DAKU</t>
  </si>
  <si>
    <t>CONSTRUCTION OF MULTI-PURPOSE HALL BRGY CANTONGTONG JIABONG SAMAR</t>
  </si>
  <si>
    <t>CONSTRUCTION AND IMPROVEMENT OF CANAL LINING AT JULUGAN I</t>
  </si>
  <si>
    <t>Construction of Multi-Purpose Building (IT Building with Canopy)</t>
  </si>
  <si>
    <t>Supply and Delivery of One (1) Unit Brand New Rescue Vehicle (Ambulance)</t>
  </si>
  <si>
    <t>Procurement of Red Evacuated Tube under IB No. 2020-189</t>
  </si>
  <si>
    <t>CONSTRUCTION OF SLOPE PROTECTION PUROK 1,2,3,4 &amp; 6, BARANGAY SANTIAGO NORTE</t>
  </si>
  <si>
    <t>Design and Build for the Construction of the Proposed Sewerage Treatment Plant of the Municipality of Coron.</t>
  </si>
  <si>
    <t>CONCRETING OF ACCESS ROAD @ SAN ROQUE ST., POBLACION, INFANTA, PANGASINAN</t>
  </si>
  <si>
    <t>REPOSTING  FOR MACHINERY  &amp;  EQUIPMENT OUTLAY FOR THE PURCHASE OF VARIOUS EQUIPMENT FOR THE USE OF SCIENCE LABORATORY - SKSU TACURONG CAMPUS</t>
  </si>
  <si>
    <t>PRE-BID CONFERENCE 23/June/2020 - Procurement of Goods: Consolidated Office Supplies 2020 (2nd Quarter) (PR#100-20-05-0095, 100-20-05-0110, 100-20-05-0111, 100-20-05-0182)</t>
  </si>
  <si>
    <t>Construction of Bridge ( Phase I &amp; Phase II) at Antipolo Old, Nabua, Camarines Sur</t>
  </si>
  <si>
    <t>Construction of Fence at Evacuation Center</t>
  </si>
  <si>
    <t>Procurement of Catering Services, Venue/Rental, Training Supplies &amp; Materials and Agricultural Supplies - Lot 4 - Agricultural Supplies - PAGSO</t>
  </si>
  <si>
    <t>Procurement of Catering Services, Venue/Rental, Training Supplies &amp; Materials and Agricultural Supplies - Lot 3 - Training Supplies - PAGSO</t>
  </si>
  <si>
    <t>Design and Build of 3-Storey Solar Powered Gender-Neutral Student Dormitory Building</t>
  </si>
  <si>
    <t>REHABILITATION OF FARM TO MARKET ROAD, PUROK 1, BARANGAY NAGYUBUYUBAN</t>
  </si>
  <si>
    <t>CONSTRUCTION OF RUBBLE-MOUND SEAWALL</t>
  </si>
  <si>
    <t>Procurement of Technical and Scientific Equipment (Lot 2. Science Laboratory Equipment)</t>
  </si>
  <si>
    <t>Painting of Guinsiliban Covered Court Roofing</t>
  </si>
  <si>
    <t>REHABILITATION OF DAM, BARANGAY CALABUGAO</t>
  </si>
  <si>
    <t>Completion of Concreting of Local Road, Inapatan to Angustia, Nabua, Camarines Sur</t>
  </si>
  <si>
    <t>IMPROVEMENT OF POB. EAST ACCESS ROAD</t>
  </si>
  <si>
    <t>Construction of TB Dots</t>
  </si>
  <si>
    <t>CONSTRUCTION OF FARM TO MARKET ROAD, PUROK 3, BARANGAY PACPACO, CITY OF SAN FERNANDO</t>
  </si>
  <si>
    <t>20PJ0054: Repair/ Rehabilitation of Damage Existing Portland Cement Concrete Pavement (PCCP) along Banaue- Mayoyao- Alfonso Lista- Isabela Boundary Road, K0430+400- K0431+500, (Intermittent Section)</t>
  </si>
  <si>
    <t>DREDGING OF CAYAPA RIVER</t>
  </si>
  <si>
    <t>CONSTRUCTION OF CONCRETE FLUME TYPE DRAINAGE CANAL, PUROK 2 &amp; 3, BARANGAY DALLANGAYAN ESTE</t>
  </si>
  <si>
    <t>ITB NO. GOP/20-DSWD-041 - Provision of Multi-Year Contract for the Hiring of Service Provider for the Preventive Maintenance of the Passenger Elevator at DSWD - Central Office for CY 2020-2022</t>
  </si>
  <si>
    <t>City Projects</t>
  </si>
  <si>
    <t>20PJ0053: Repair/ Rehabilitation of National Road along Nueva Vizcaya- Ifugao Mt. Province Boundary Road, K0335+550- K0351+187 (Intermitent Section)</t>
  </si>
  <si>
    <t>Procurement of Air-Conditioner (City Engineering Office)</t>
  </si>
  <si>
    <t>Procurement of Technical and Scientific Equipment (Lot 2. Spectrophotometer, Digital sugar refractometer, etc.)</t>
  </si>
  <si>
    <t>REHABILITATION / IMPROVEMENT OF POTABLE WATER SYSTEM - LEVEL II AT CORONON, DAVAO DEL SUR</t>
  </si>
  <si>
    <t>REHABILITATION OF BARANGAY ROAD, PUROK 2, BARANGAY PAO SUR</t>
  </si>
  <si>
    <t>SUPPLY AND DELIVERY OF SUPPLIES AND MATERIALS  FOR BARANGAY ROAD CONCRETING-Ilihan Public Market</t>
  </si>
  <si>
    <t>20PJ0055: Repair/ Maintenance of DPWH Building, Alfonso Lista, Ifugao</t>
  </si>
  <si>
    <t>Procurement of Catering Services, Venue/Rental, Training Supplies &amp; Materials and Agricultural Supplies - Lot 2 - Venue/Rental</t>
  </si>
  <si>
    <t>Procurement of Technical and Scientific Equipment (Lot 1. Speech Lab. [additional])</t>
  </si>
  <si>
    <t>SUPPLY, DELIVERY AND COMMISSIONING OF OPHTHALMIC ULTRASOUND A/B SCAN WITH UBM</t>
  </si>
  <si>
    <t>Procurement of Catering Services, Venue/Rental, Training Supplies &amp; Materials and Agricultural Supplies - Lot 1 - Catering Services - PAGSO</t>
  </si>
  <si>
    <t>Procurement of Technical and Scientific Equipment (Lot 6. Water retort chamber with accessories)</t>
  </si>
  <si>
    <t>CONCRETING OF ROAD AT CASANUEVA-BIGA (PHASE 4)</t>
  </si>
  <si>
    <t>Procurement of Technical and Scientific Equipment (Lot 5. Dual powered solar dryer)</t>
  </si>
  <si>
    <t>20PJ0056: Repair/ Maintenance of DPWH Building Satellite Building, Gate and Perimeter Wall, Banaue, Ifugao</t>
  </si>
  <si>
    <t>CONSTRUCTION OF MULTI-PURPOSE CENTER/EVACUATION CENTER IN BARANGAY BINANOGAN, VALDERRAMA (Brgy. Binanogan, Valderrama, Antique)/IB. NO. K-2020-023(SC)</t>
  </si>
  <si>
    <t>Supply and Delivery of Two (2) Units Brand New Elf Trucks of the Municipality of Tabuelan, Cebu</t>
  </si>
  <si>
    <t>CONSTRUCTION OF MULTI-PURPOSE CENTER/EVACUATION CENTER IN BARANGAY MANLACBO, VALDERRAMA (Brgy. Manlacbo, Valderrama, Antique)/IB. NO. K-2020-024(SC)</t>
  </si>
  <si>
    <t>SUPPLY AND DELIVERY OF OFFICE SUPPLIES (2nd Bidding)</t>
  </si>
  <si>
    <t>Procurement of Various Catering Services &amp; Training Materials - Lot 1 - Catering Services - PAGSO</t>
  </si>
  <si>
    <t>Supply and Delivery of  DENTAL EQUIPMENT/FACILITY</t>
  </si>
  <si>
    <t>Construction of San Miguel Fire Station Building, San Miguel, Surigao del Norte, Caraga Region</t>
  </si>
  <si>
    <t>REHABILITATION OF CALANASAN SPORTS &amp; CULTURAL/EVACUATION CENTER</t>
  </si>
  <si>
    <t>20PL0117 - Construction/Concreting of the Tabuk City, Kalinga - Tuao, Cagayan Road via the Burayugan-San Francisco-Naruangan Section, Cagayan Road, Tabuk City, Kalinga</t>
  </si>
  <si>
    <t>Supply, Delivery and Installation of Electro-Mechanical Equipment and Design for Pump Station, Construction of Pump House and Installation of Medium/Voltage for Pumping Station Power Supply</t>
  </si>
  <si>
    <t>PROCUREMENT OF CCTV  INSTALLATION</t>
  </si>
  <si>
    <t>DETAILED ENGINEERING  STUDY/DESIGN  OF WARAS  SRIP,  IRIGA CITY, CAMARINES SUR</t>
  </si>
  <si>
    <t>ESTABLISHMENT OF A CENTRALIZED EEM CCTV: AUXILIARY WET MARKET AND DRY MARKET</t>
  </si>
  <si>
    <t>Procurement of Various Medical Equipment for CY 2020</t>
  </si>
  <si>
    <t>20PL0104 - Construction of Pinukpuk-Balbalan Road (Bal - Aba-Aba Section), Brgy. Ballayangon, Pinukpuk, Kalinga</t>
  </si>
  <si>
    <t>20PL0116 - Concreting of Sitio Turod to Sitio Burubur (Phase II) FMR, Brgy. Bulo, Tabuk City, Kalinga</t>
  </si>
  <si>
    <t>Rehabilitation of 10 Child Development Centers</t>
  </si>
  <si>
    <t>CONTINUATION OF FARM TO MARKET ROAD, BARANGAY PAO NORTE LEADING TO SACYUD</t>
  </si>
  <si>
    <t>Procurement of Fuel, Oil and Lubricants - PAGSO</t>
  </si>
  <si>
    <t>SO-SPU20-006 - Supply and Delivery of Various Personnel Protective Equipment (PPE) for SPUG Plant Personnel</t>
  </si>
  <si>
    <t>Procurement of Fuel and Lubricants' Fleet Card for Official use of BFAR-13 July-December CY 2020</t>
  </si>
  <si>
    <t>REPAIR AND IMPROVEMENT OF BFP-NHQ MAIN BUILDING (Rehabilitation of Sanitary Line System)</t>
  </si>
  <si>
    <t>PURCHASE OF MONOBLOC CHAIRS</t>
  </si>
  <si>
    <t>Procurement of Various Housekeeping Supplies  - PGO</t>
  </si>
  <si>
    <t>ROAD CONSTRUCTION WITH DRAINAGE CANAL AT PUROK 8A, BACACA, BARANGAY 19-B, POBLACION DISTRICT, DAVAO CITY</t>
  </si>
  <si>
    <t>SUPPLY, DELIVERY, INSTALLATION, CABLING, CONFIGURATION AND COMMISSIONING OF ICT EQUIPMENT FOR OPERATION CENTERS, REGION 2, 10, 12 AND CARAGA</t>
  </si>
  <si>
    <t>S3-B0820-002 - Supply of Labor, Special Tools, Consumable Materials and Equipment with Specialized Technicians/Mechanic for the On-site Restoration of Unit No.1 Daihatsu 6DK-32 Engine of PB 108</t>
  </si>
  <si>
    <t>the Procurement of Various Planting Materials and Fertilizers - Lot 2 - Fertilizers - PAGSO</t>
  </si>
  <si>
    <t>PROCUREMENT OF OFFICE SUPPLIES, IT SUPPLIES AND JANITORIAL SUPPLIES</t>
  </si>
  <si>
    <t>CONCRETING OF POJO-HATAY-HATAY ROAD (Bugasong, Antique)/IB. NO. K-2020-056(SC)</t>
  </si>
  <si>
    <t>IMPROVEMENT OF BRGY. BALAWEG-MAPISI CIS</t>
  </si>
  <si>
    <t>Supply and Delivery of Construction Supplies and Materials</t>
  </si>
  <si>
    <t>CONCRETING OF SITIO ALIGTUS-IGPALGE ROAD, BARBAZA (Barbaza, Antique)/IB. NO. K-2020-049(SC)</t>
  </si>
  <si>
    <t>Procurement of One (1) Unit Service Veicle for use of the City Government of Tarlac. B2020-075-A</t>
  </si>
  <si>
    <t>CONSTRUCTION OF MULTI-PURPOSE HALL (Brgy. Inabasan Sur, Hamtic, Antique )/IB. NO. K-2020-028(SC)</t>
  </si>
  <si>
    <t>Procurement of OR Equipment (HFEP)</t>
  </si>
  <si>
    <t>Improvement of Slaughter House</t>
  </si>
  <si>
    <t>PRE-PRINTED ID CARDS (CY2020)</t>
  </si>
  <si>
    <t>IMPROVEMENT ALONG ILOCOS SUR-ABRA ROAD</t>
  </si>
  <si>
    <t>CONSTRUCTION OF MULTI-PURPOSE ALL WEATHER FACILITY</t>
  </si>
  <si>
    <t>Construction/ Repair/ Rehabilitation/ Improvement of Various Infrastructure Including Local Projects – Rehabilitation of Road Teodora Alonzo, Baguio City</t>
  </si>
  <si>
    <t>Construction/ Repair/ Rehabilitation/ Improvement of Various Infrastructure Including Local Projects - Rehabilitation of Road at Purok 2 and 3, Brgy. Sta. Escolastica Village, Baguio City</t>
  </si>
  <si>
    <t>Procurement of Various Catering Services, Venue &amp; Accommodation - Lot 2 - Venue - PVET</t>
  </si>
  <si>
    <t>Construction/ Repair/ Rehabilitation/ Improvement of Various Infrastructure Including Local Projects - Rehabilitation of Multi-Purpose Hall, Baguio City</t>
  </si>
  <si>
    <t>Procurement of Various Planting Materials and Fertilizers - Lot 1 - Planting Materials - PAGSO</t>
  </si>
  <si>
    <t>CONSTRUCTION OF WATER PUMPING SYSTEM</t>
  </si>
  <si>
    <t>Procurement of One (1) Unit Motor Service Vehicle - PHSO</t>
  </si>
  <si>
    <t xml:space="preserve">INVITATION TO BID FOR Supply, Delivery, Installation, Configuration, Documentation and User’s Training of Firewall Appliance with UTM Subscription and User’s Training of Classroom Management Solution </t>
  </si>
  <si>
    <t>Procurement of Various Brand New Aircondition with Installation  - SOYMPH, PAIASO, SDH &amp; ADH</t>
  </si>
  <si>
    <t>Procurement of Various Catering Services, Venue &amp; Accommodation - Lot 3 - Accommodation - PVET</t>
  </si>
  <si>
    <t>Local Infrastructure Program – Renovation of PFVR Building, Department of Education Division Office, Brgy. Military Cut Off, Baguio City, Benguet</t>
  </si>
  <si>
    <t>Invitation to Bid for the Improvement of School at Aganan-Ungka Elementary School (Elevation of Classroom, Canteen and Pathways)</t>
  </si>
  <si>
    <t>Drilling of One (1) Production Well</t>
  </si>
  <si>
    <t>Procurement of Various Catering Services, Venue &amp; Accommodation - Lot 1 - Catering Services - PVET</t>
  </si>
  <si>
    <t>Contract ID No. 20NC0126 - Construction of Satellite Materials Laboratory Building, Agusan del Sur 2nd District Engineering Office, San Francisco, Agusan del Sur</t>
  </si>
  <si>
    <t>2020-GOODS-034_Modernization of Information Technology and Network Communication Laboratory Facility of College of Computing Sciences</t>
  </si>
  <si>
    <t>REPAIR AND IMPROVEMENT OF PERIMETER FENCE,SEPARATOR WALL,MAIN GATE AND PEDESTRIAN GATE</t>
  </si>
  <si>
    <t>Supply of Services for the Conduct of Various In-House Trainings/Courses, as per BSP Terms of References:</t>
  </si>
  <si>
    <t>PROCUREMENT OF VARIOUS INFRASTRUCTURE PROJECTS</t>
  </si>
  <si>
    <t>CONSTRUCTION OF SEBIT-CAUCALAN WATER WORKS SYSTEM (PHASE 2)</t>
  </si>
  <si>
    <t>Invitation to Bid for the Improvement of School at Pagsanga-an Elementary School (Repair of Ceiling and Electrical Wiring in Library and Computer Room, Improvement of H.E. Room and Extension of School</t>
  </si>
  <si>
    <t>CONSTRUCTION OF BANIWAS RCDG BRIDGE AT BARANGAY CABARUYAN</t>
  </si>
  <si>
    <t>PURCHASE OF MEDICINES AND MEDICAL SUPPLIES</t>
  </si>
  <si>
    <t>Invitation to Bid for the Purchase of  Brand New Motor Vehicle for the use of SB Office</t>
  </si>
  <si>
    <t>Invitation to Bid for the Improvement of School at Pandac Elementary School (Extension of Covered Court, Roofing and Ceiling of Classrooms)</t>
  </si>
  <si>
    <t>IMPROVEMENT OF FARM TO MARKET ROAD AT PALINA BALINSAWANG</t>
  </si>
  <si>
    <t>20GD00003: PROVSION OF 14 SECURITY SERVICES AT DPWH REGIONAL OFFICE NO. IV-A, EDSA, QUEZON CITY FOR   SIX (6) MONTHS</t>
  </si>
  <si>
    <t>CONTSRUCTION/IMPROVEMENT/REHABILITATION OF LINE CANAL &amp; PATHWA7Y @ BRGY. BULACAN, MABINI, BATANGAS</t>
  </si>
  <si>
    <t>20GMH047 - Supply/Delivery of Diesel Fuel and Engine Oil for use of service vehicle assigned at the Planning and Design Section, DPWH-Sultan Kudarat 2nd District Engineering Office</t>
  </si>
  <si>
    <t>20MH0103 - Concreting Local Road, Purok Narra, Brgy.Poblacion, Sultan Kudarat</t>
  </si>
  <si>
    <t>20MH0085 - Concreting of Upper Balayan to Kinadao, Barangay Badiangon, Palimbang, Sultan Kudarat</t>
  </si>
  <si>
    <t>Supply and Delivery of Various construction Materials</t>
  </si>
  <si>
    <t>20GMH048 - Supply/Delivery of Diesel Tire and Battery for use of Service Vehicle assigned at the Planning and Design Section, DPWH-Sultan Kudarat 2nd District Engineering Office</t>
  </si>
  <si>
    <t>CONSTRUCTION OF MULTIPURPOSE HALL= TALOY SUR, TUBA, BENGUET</t>
  </si>
  <si>
    <t>CONSTRUCTION OF FLUE CURING BARN</t>
  </si>
  <si>
    <t>Construction of Flood Control, Barangay San Jose (Additional Allocation)</t>
  </si>
  <si>
    <t>SO-OPD20-012 - Seven (7) New Areas in Bohol under the Off-Grid Electrification Project</t>
  </si>
  <si>
    <t>RIPRAPPING OF FLOOD CONTROL @ SITIO KATAGBAKAN BRGY. GASANG, MABINI, BATANGAS</t>
  </si>
  <si>
    <t>Procurement of Various Catering Services - PAGSO</t>
  </si>
  <si>
    <t>Purchase of Laboratory Equipment  and Reagents for the Official Use of MHO</t>
  </si>
  <si>
    <t>Procurement of Various Food Stuff - PHSO</t>
  </si>
  <si>
    <t>Procurement of Various Agricultural Supplies - PAGSO</t>
  </si>
  <si>
    <t>Upgrading of Staboardside Main Engine of BRP Hydrographer Ventura</t>
  </si>
  <si>
    <t>Construction of Second Floor Food Court  Phase 2</t>
  </si>
  <si>
    <t>Procurement of Window Blinds and Glass Sticker - Lot 2 - Glass Sticker</t>
  </si>
  <si>
    <t>CONSTRUCTION OF CORE LOCAL ACCESS ROAD @ KAUSWAGAN ST., BRGY. CROSSING, SAN ISIDRO, LEYTE</t>
  </si>
  <si>
    <t>SUPPLY, DELIVERY, INSTALLATION OF SOLAR STREET LIGHTS FOR VARIOUS BARANGAY'S OF BUKIDNON (ITB No. 2020-157)-(sp-maramara, sp dinlayan and sp-gayon)</t>
  </si>
  <si>
    <t>Filling at ESSU Mini Park at ESSU Main Campus</t>
  </si>
  <si>
    <t>ITB No. (INF) 2020-06-089 CONCRETING OF CAROLINA – HINOLASO PROVINCIAL ROAD, Can-avid &amp; Dolores, Eastern Samar</t>
  </si>
  <si>
    <t>2nd posting for Faulty Electrical Wirings</t>
  </si>
  <si>
    <t>PROC. OF WORKS FOR THE CONST'N OF 1 UNIT - 67.20 SQ.M. AND 3 UNITS - 25.5 SQ.M. MRF AT BRGY BATOBATO, TALISAY AND CAMBALEON</t>
  </si>
  <si>
    <t>INVITATION TO BID FOR SUPPLY AND DELIVERY OF TEXTBOOKS AND REFERENCES FOR CY 2020 (REBIDDING)</t>
  </si>
  <si>
    <t>Procurement of Battery (12 Volts 9 Plates) - SOYMPH</t>
  </si>
  <si>
    <t>Contract ID No. 20NC0127 - Construction of Multi-Purpose Building, Brgy. San Isidro, San Francisco, Agusan del Sur</t>
  </si>
  <si>
    <t>2020-GOODS-035_Upgrading of Engineering and Technology Laboratories of the Pangasinan State University</t>
  </si>
  <si>
    <t>Invitation to Bid for the Purchase of Furniture and Fixtures for Mayor’s Office and MENR Office</t>
  </si>
  <si>
    <t>PROJECT # 20-053 - PROCUREMENT OF CCTV CAMERA WITH TV MONITOR SYSTEM AND NETWORK INFRASTRUCTURE – CITY SCHOOL DIVISION OFFICE</t>
  </si>
  <si>
    <t>PROJECT # 20-043 – PROCUREMENT OF MOTOR VEHICLE (RESCUE VEHICLE CUSTOMIZED PICK-UP) -LDRRMO</t>
  </si>
  <si>
    <t>PROJECT # 20-039 - PROCUREMENT OF ICT EQUIPMENT FOR TEACHING AND LEARNING PURPOSES – CITY SCHOOL DIVISION OFFICE</t>
  </si>
  <si>
    <t>Invitation to Bid for the Purchase of one (1) unit Fully Reconditioned Double Cab Fire Truck of the MDRRM Office</t>
  </si>
  <si>
    <t>PROC of HARDWARE/SOFTWARE EQIPEMENTS FOR AUTOMATION OF PERMITS &amp; LICENSES (EASE OF DOIMG BUSINESS</t>
  </si>
  <si>
    <t>Small Value Procurement OF 2 SETS 18X20 CANOPY</t>
  </si>
  <si>
    <t>CONSTRUCTION OF SAFIANGON-CHALLOS FOOTBRIDGE</t>
  </si>
  <si>
    <t>CONSTRUCTION OF PESKONG DRAINAGE</t>
  </si>
  <si>
    <t>One (1) Lot – Subscription to e-Learning Program on Bankwide and Leadership &amp; Management (L&amp;M) Courseware, as per BSP Terms of Reference</t>
  </si>
  <si>
    <t>CONSTRUCTION OF SA-ONG COVERED DRAINAGE</t>
  </si>
  <si>
    <t>Multi purpose vehicle(surplus)</t>
  </si>
  <si>
    <t>SUPPLY AND DELIVERY OF ONE (1) UNIT ANESTHESIA MACHINE</t>
  </si>
  <si>
    <t>Small Value Value Procurement for Heavy Duty Printer</t>
  </si>
  <si>
    <t>PROCUREMENT OF THE CONSTRUCTION  OF DOH REGIONAL OFFICE VI BUILDING, PHASE 2 DOH-REGIONAL OFFICE VI BRGY. BOLONG OESTE, STA. BARBARA, ILOILO IB NO.2020-06-001I</t>
  </si>
  <si>
    <t>Security Services for CTU Tuburan Campus</t>
  </si>
  <si>
    <t>Invitation to Bid for the Catering Services for Various Activities of the HRM Office and Mayor’s Office</t>
  </si>
  <si>
    <t>Purchase of Two (2) units Rescue Vehicle for the use of Emergency response</t>
  </si>
  <si>
    <t>Construction of Teen Activity Center at Poblacion, Nabunturan, Davao de Oro</t>
  </si>
  <si>
    <t>Concreting &amp; Drainage Rehabilitation of J.M. Ceniza St., Looc, Mandaue City (21-2020)</t>
  </si>
  <si>
    <t>Procurement of Supply and Delivery of Eight (8) units Rice Transplanter (Ride-on) Rebid</t>
  </si>
  <si>
    <t>CY 2020 Quick Response Fund (QRF) Repair and Rehabilitation of School Building – Lot 1 – Repair and Rehabilitation of  Classrooms at Buruanga Elementary School, Buruanga, Aklan and Din-ut Elementary S</t>
  </si>
  <si>
    <t>SUPPLY OF DIESOLINE AND SPL GAS FOR THE CONSUMPTION OF THE DIFFERENT VEHICLE/OFFICES OF LGU-MOLAVE, ZDS</t>
  </si>
  <si>
    <t>Supply and Delivery of Laptops for various Public Schools.</t>
  </si>
  <si>
    <t>AGR-19-1448-B  Construction of Crab Hatchery</t>
  </si>
  <si>
    <t>Proposed Asphalt overlay at Brgy. Sta. Ana, San Pablo City.</t>
  </si>
  <si>
    <t>8918-20-017) CONCRETING AND SIDEWALK IMPROVEMENT AT M. H. DEL PILAR ST, BURNHAM-LEGARDA C/O CEO</t>
  </si>
  <si>
    <t>PACKAGE I- CONSTRUCTION  &amp; RIPRAPPING OF BARANGAY ROAD  @ SITIO HULO WEST, RIPRAPPING OF BARANGAY ROAD AT SITIO LOOBAN, BRGY. SOLO, MABINI, BATANGAS&amp;</t>
  </si>
  <si>
    <t>IMPROVEMENT OF WATER SYSTEM</t>
  </si>
  <si>
    <t>AGR-20-0668-B Purchase of Water Supply Accessories</t>
  </si>
  <si>
    <t>eMail Infrastructure Technology Refresh</t>
  </si>
  <si>
    <t xml:space="preserve">20CSKG01 :Sub-Surface Exploration for the 1) Construction of New SINDIG Bridge (35 Lin.m.) Chainage 3700  along LDNICR (S0097MN), 2) Construction of 1-NEW Concrete Bridge, Chainage 22054 of S00963MN, </t>
  </si>
  <si>
    <t>Purchase of One (1) unit Ambulance for MDRRM use</t>
  </si>
  <si>
    <t>Non-Prod Infrastructure Technology Refresh</t>
  </si>
  <si>
    <t>Procurement of Supply and Delivery of Nine (9) units Rice Combine Harvester (Rebid)</t>
  </si>
  <si>
    <t>Construction of Access Road From Brgy. Poblacion to Brgy. Guadalupe</t>
  </si>
  <si>
    <t>Supply and Delivery of 165 m.t. Bituminous Concrete Surface Course (FD-Sandmix) 416 m.t. Bituminous Concrete  Surface Course (FD) to be used in the repair  and maintenance of various national roads in</t>
  </si>
  <si>
    <t>20BF0060: Construction of Rainwater Collection System (RWCS)</t>
  </si>
  <si>
    <t>CONTRACT ID: 20-06-085 - PROCUREMENT OF POLYETHYLENE NET / SCREEN</t>
  </si>
  <si>
    <t>CONSTRUCTION PROJECT (LOCAL ACCESS ROADS, SO. LAKE DANAO, BGY. POBLACION, TAYTAY, PALAWAN)</t>
  </si>
  <si>
    <t>Supply and Delivery of Thermoplastic Paint to be used in Lane Markings in Various national roads in Quezon City (Dist. III &amp; IV)</t>
  </si>
  <si>
    <t>ITB - Supply and Delivery of Laboratory Supplies for CY 2020 (Supplemental)</t>
  </si>
  <si>
    <t>Repair of Sitio Tinap-an Bridge Brgy. Lanas, San Jose, Romblon</t>
  </si>
  <si>
    <t>Completion of Cajidiocan Sports Complex Concrete Bleacher Cajidiocan, Romblon</t>
  </si>
  <si>
    <t>Delivery of various ICT Equipment needed for various offices (Consolidated) (ITB 20-072)</t>
  </si>
  <si>
    <t>IB No. 2020-221 PROCUREMENT OF BEDAQUILINE FUMARATE</t>
  </si>
  <si>
    <t>Concrete Paving of Provincial Road to Public Cemetery (Additional Fund), Looc, Romblon</t>
  </si>
  <si>
    <t>PROCUREMENT FOR THE SUPPLY AND DELIVERY OF GC COLUMNS FOR USE IN LABORATORIES OF PLANT PRODUCT SAFETY SERVICES DIVISION (PPSSD)</t>
  </si>
  <si>
    <t>SUPPLY OF LABOR AND MATERIALS FOR INSTALLATION OF TOP ROOFING OF NPQSD-CENTRAL OFFICE BUILDING (NPQSD)</t>
  </si>
  <si>
    <t>IB No. 2006-320 Proc. of Infra (Road Concreting of F. Dagohoy Circumferential Road (J.A. Clarin St. – C. Darunday St.)</t>
  </si>
  <si>
    <t>Procurement of High Speed Drill System for Neuro and ENT Surgery (HFEP)</t>
  </si>
  <si>
    <t>Procurement of Ultrasonic Assisted Generators and Debridement thru low frequency ultrasound cavitation (25kHz and 35kHz) (HFEP)</t>
  </si>
  <si>
    <t>PROCUREMENT FOR THE SUPPLY AND DELIVERY OF VARIOUS LABORATORY EQUIPMENT FOR USE OF CENTRAL POST ENTRY QUARANTINE STATION OF NATIONAL PLANT QUARANTINE SERVICES DIVISION (NPQSD)</t>
  </si>
  <si>
    <t>4 set Surgical Instruments for Gynecology Major</t>
  </si>
  <si>
    <t>REHABILITATION OF MULTI-PURPOSE BUILDING - CAMINDOROAN - SAN  JUAN, ILOCOS SUR</t>
  </si>
  <si>
    <t>BNLSL-LCB-31A-2020 – Construction of Canal, Farm Level, Drainage and Road System (Package II) of Bahay SIP, San Miguel, Leyte</t>
  </si>
  <si>
    <t>BNLSL-LCB-31-2020 – Construction of Pump Works (Package I) of Bahay SIP, San Miguel, Leyte</t>
  </si>
  <si>
    <t>BNLSL-LCB-30-2020 – Construction of Diversion Works, Canal, Farm Level and Drainage System of Buli SIP, Bato, Leyte</t>
  </si>
  <si>
    <t>4 set Surgical Instruments for Gynecology Minor</t>
  </si>
  <si>
    <t>8 sets Surgical Instruments for Caesarian Section</t>
  </si>
  <si>
    <t>Invitation to Bid for the Concreting of Farm to Market Road @ Brgy. Pug-os (Inanama Norte), Cabugao, Ilocos Sur</t>
  </si>
  <si>
    <t>Invitation to Bid for the Concreting of Farm to Market Road @ Brgy. Pug-os (Inanama Sur), Cabugao, Ilocos Sur</t>
  </si>
  <si>
    <t>Invitation to Bid for the Concreting of Farm to Market Road @ Brgy. Pug-os (Balay-oac), Cabugao, Ilocos Sur</t>
  </si>
  <si>
    <t>CP 2020-38 BIDDING FOR THE SUPPLY, DELIVERY, INSTALLATION AND MAINTENANCE OF ENERGY EFFICIENT SOLID STATE LUMINAIRES C/O CEO</t>
  </si>
  <si>
    <t>Construction of Perimeter Fence (Phase I) for the Bureau of Jail Management and Penology (BJMP) Facility at Barangay Lonos (Sitio Wireless) Romblon, Romblon</t>
  </si>
  <si>
    <t>CP 2020-37 BIDDING FOR THE SUPPLY AND DELIVERY OF ANTI-RABIES VACCINES C/O HSO</t>
  </si>
  <si>
    <t>Invitation to Bid for the Improvement of Water System @ Cabugao, Ilocos Sur</t>
  </si>
  <si>
    <t>DEVELOPING THE FOOD PROCESSING INDUSTRY OF THE BAANG WOMEN’S ORGANIZATION AND RURAL IMPROVEMENT CLUB – LOT 1</t>
  </si>
  <si>
    <t>Procurement of Security Services (1 Year Contract)</t>
  </si>
  <si>
    <t>Invitation to Bid for the Construction of Multi-Purpose Drying Pavement (MPDP) @ Brgy. Bato, Cabugao, Ilocos Sur</t>
  </si>
  <si>
    <t>Drainage Construction along Gen. Luna St.</t>
  </si>
  <si>
    <t>Invitation to Bid for the Construction of Slope Protection @ Brgy. Quezon, Cabugao, Ilocos Sur</t>
  </si>
  <si>
    <t>Improvement of Municipal Waterworks System</t>
  </si>
  <si>
    <t>Invitation to Bid for the Construction of Multi-Purpose Drying Pavement (MPDP) @ Brgy. Quezon, Cabugao, Ilocos Sur</t>
  </si>
  <si>
    <t>Completion of Food Court    Poblacion, Cajidiocan, Romblon</t>
  </si>
  <si>
    <t>PROJECT # 20-055 – PROCUREMENT OF RESPONSE / VEHICLE 4 WHEELER -LDRRMO</t>
  </si>
  <si>
    <t>Concrete Paving of Poblacion-Jao-asan Provincial Road, Magdiwang, Romblon</t>
  </si>
  <si>
    <t>Repair of Sitio Sinongtan Bridge Brgy. Lanas, San Jose, Romblon</t>
  </si>
  <si>
    <t>Developing the Handicraft Industry of the Agayap Agriculture and Livelihood Organization – Lot 2</t>
  </si>
  <si>
    <t>Concrete Paving of Farm to Market Road, Cambalo, Cajidiocan, Romblon</t>
  </si>
  <si>
    <t>Invitation to Bid for the Construction of Multi-Purpose Building @ Brgy. Carusipan (Proper), Cabugao, Ilocos Sur</t>
  </si>
  <si>
    <t>Construction of Maternity Half-Way House, San Jose District Hospital, Poblacion, San Jose, Romblon</t>
  </si>
  <si>
    <t>PROVISION OF VEGETABLE BREAD PROCESSING FACILITIES</t>
  </si>
  <si>
    <t>6 set Surgical Instruments for NSD</t>
  </si>
  <si>
    <t>Enhancing the Livelihood of Ay-aywanan Organization Incorporated Through the Provision of Food Processing Facilities and Equipment</t>
  </si>
  <si>
    <t>PROCUREMENT OF  FUEL FOR 3rd QUARTER OF 2020 , SAN ISIDRO, DAVAO ORIENTAL</t>
  </si>
  <si>
    <t>INVITATION TO BID FOR CONSTRUCTION OF PIGKALAGAN – MATENGEN ROAD</t>
  </si>
  <si>
    <t>4411-19-022) IMPROVEMENT AND EXTENSION OF THE EXISTING SCOUT BARRIO HEALTH CENTER AT SCOUT BARRIO C/O CBAO</t>
  </si>
  <si>
    <t>Concrete Paving of Farm to Market Road, Gutivan, Cajidiocan, Romblon</t>
  </si>
  <si>
    <t>8918-20-002)CONSTRUCTION OF SEWERLINE FROM PORTA VAGA AREA TO POST OFFICE AT KABAYANIHAN C/O CEPMO</t>
  </si>
  <si>
    <t>Riprapping of Provincial Road Poblacion, Sta. Fe, Romblon</t>
  </si>
  <si>
    <t>PROVISION OF COFFEE PRE-PROCESSING FACILITIES</t>
  </si>
  <si>
    <t>Repair/Rehabilitation of Main Building and Completion of Wards at Tablas Island District Hospital (TIDH) San Agustin, Romblon</t>
  </si>
  <si>
    <t>COFFEE PROCESSING PROJECT OF THE LUBU-ONG BIMMOBLE ORGANIZATION – LOT 3</t>
  </si>
  <si>
    <t>COFFEE PROCESSING PROJECT OF THE LUBU-ONG BIMMOBLE ORGANIZATION – LOT 2</t>
  </si>
  <si>
    <t>COFFEE PROCESSING PROJECT OF THE LUBU-ONG BIMMOBLE ORGANIZATION – LOT 1</t>
  </si>
  <si>
    <t>STRENGTHENING OF THE WEAVING PROJECT OF HUNGDUAN WEAVER’S ASSOCIATION – LOT 2</t>
  </si>
  <si>
    <t>Improvement/Repair of Bobon Integrated Food and Transport Terminal (Damaged by Typoon Tisoy)</t>
  </si>
  <si>
    <t>DEVELOPING THE HANDICRAFT INDUSTRY OF THE AGAYAP AGRICULTURE AND LIVELIHOOD ORGANIZATION – LOT 1</t>
  </si>
  <si>
    <t>Developing the Food Processing Industry of the Baang Women’s Organization and Rural Improvement Club – Lot 2</t>
  </si>
  <si>
    <t>CONTRACT ID: 20-06-084 - SUPPLY, DELIVERY,INSTALLATION, TESTING AND COMMISSIONING OF VARIOUS MEDICAL EQUIPMENT</t>
  </si>
  <si>
    <t>Re-Bidding for the Supply &amp; Delivery of Medical Supplies for MDRRMO use</t>
  </si>
  <si>
    <t>DEVELOPING THE HANDICRAFT INDUSTRY OF THE AGAYAP AGRICULTURE AND LIVELIHOOD ORGANIZATION – LOT 3</t>
  </si>
  <si>
    <t>DEVELOPING THE ROOT CROPS INDUSTRY OF THE AHIN FARMERS DEVELOPMENT ORGANIZATION INCORPORATED – LOT 1</t>
  </si>
  <si>
    <t>20GJC0193 – 8 units Desktop Computer etc.</t>
  </si>
  <si>
    <t>CONSTRUCTION OF WATER SYSTEM FOR DOMESTIC USE</t>
  </si>
  <si>
    <t>STRENGTHENING OF THE WEAVING PROJECT OF HUNGDUAN WEAVER’S ASSOCIATION – LOT 1</t>
  </si>
  <si>
    <t>Supply of Labor and Materials for the Installation of New Cooling Coils for Air Handling Units at NAIA Terminal 3</t>
  </si>
  <si>
    <t>2860-20 Construction of Convention Center, Phase 2, (Northern Quezon Auditorium), Brgy. Comon, Infanta, Quezon - PEO</t>
  </si>
  <si>
    <t>SUPPLY AND DELIVERY OF ONE (1) UNIT PULMONARY FUNCTION TEST MACHINE</t>
  </si>
  <si>
    <t>SUPPLY, DELIVERY, INSTALLATION AND COMMISSIONING OF ONE (1) UNIT ENT-HNS DIGITAL VIDEO STROBOSCOPE</t>
  </si>
  <si>
    <t>SUPPLY AND DELIVERY OF TWO (2) UNITS EXAMINATION TABLE WITH STIRRUPS</t>
  </si>
  <si>
    <t>DEVELOPING THE ROOT CROPS INDUSTRY OF THE AHIN FARMERS DEVELOPMENT ORGANIZATION INCORPORATED – LOT 3</t>
  </si>
  <si>
    <t>INVITATION TO BID FOR CONSTRUCTION OF TUDOK - PALAO ROAD</t>
  </si>
  <si>
    <t>CONSTRUCTION OF CONCRETE CANAL</t>
  </si>
  <si>
    <t>Repair/Improvement of Brgy. Water System Bachawan, San Agustin, Romblon</t>
  </si>
  <si>
    <t>INVITATION TO BID FOR CONSTRUCTION OF SENDITAN - SAMBOLAWAN ROAD</t>
  </si>
  <si>
    <t>Construction of Multi-Purpose Pavement</t>
  </si>
  <si>
    <t>SUPPLY AND DELIVERY OF ONE (1) UNIT LED OR LIGHT</t>
  </si>
  <si>
    <t>INVITATION TO BID FOR CONSTRUCTION OF MAGNO – BRGY. RENTI ROAD</t>
  </si>
  <si>
    <t>Completion of Educ’l Facilities (Completion of Stage) at Tampayan Elementary School Magdiwang, Romblon</t>
  </si>
  <si>
    <t>Procurement &amp; Distribution of 576 Head Chicken to the TD-Usman affected Farmers in Bobon, Northern Samar</t>
  </si>
  <si>
    <t>Site Development for Municipal Housing Project at Brgy. Poblacion San Agustin, Romblon</t>
  </si>
  <si>
    <t>INVITATION TO BID FOR CONCRETING OF REBUKEN ROAD – TESDA ROAD</t>
  </si>
  <si>
    <t>Provision of Coffee Pre-Processing Facilities</t>
  </si>
  <si>
    <t>INVITATION TO BID FOR OPENING/REHABILITATION OF FARM TO MARKET ROAD</t>
  </si>
  <si>
    <t>DEVELOPING THE ROOT CROPS INDUSTRY OF THE AHIN FARMERS DEVELOPMENT ORGANIZATION INCORPORATED – LOT 2</t>
  </si>
  <si>
    <t>Provision of Coffee Processing Center and Facilities</t>
  </si>
  <si>
    <t>PROVISION OF CITRUS PROCESSING EQUIPMENT AND FACILITIES</t>
  </si>
  <si>
    <t>DEVELOPING THE ROOT CROPS INDUSTRY OF THE AHIN FARMERS DEVELOPMENT ORGANIZATION INCORPORATED – LOT 4</t>
  </si>
  <si>
    <t>Procurement of Office Supplies for Different Offices</t>
  </si>
  <si>
    <t>CY 2020 Quick Response Fund (QRF) Repair and Rehabilitation of School Building – Lot 4 – Repair and Rehabilitation of  Classrooms at Bakhaw Norte Integrated School, Kalibo, Aklan and Naile Elementary</t>
  </si>
  <si>
    <t>One (1) Lot – Software Subscription for the existing 3,560 HCL Domino Enterprise Processor Value Unit (PVU) licenses, as per BSP Terms of Reference</t>
  </si>
  <si>
    <t>Slope/Shore Protection of Barangay Pandan, Sta. Fe, Romblon</t>
  </si>
  <si>
    <t>CY 2020 Quick Response Fund (QRF) Repair and Rehabilitation of School Building – Lot 3 – Repair and Rehabilitation of  Classrooms at Tangalan National High School, Tangalan, Aklan</t>
  </si>
  <si>
    <t>Supply and Delivery of 10pcs Water Resistant 2-way Radio</t>
  </si>
  <si>
    <t>Supply and Installation of CCTV Fiber Optic</t>
  </si>
  <si>
    <t>Supply and Delivery of Low Bed Truck</t>
  </si>
  <si>
    <t>Slope Protection at Sitio Bagulayag, Tubigon, Ferrol, Romblon</t>
  </si>
  <si>
    <t>CY 2020 Quick Response Fund (QRF) Repair and Rehabilitation of School Building – Lot 5 – Repair and Rehabilitation of  Classrooms at Gibon Elementary School, Nabas, Aklan and Jose F. Meñez Memorial Na</t>
  </si>
  <si>
    <t>LOT 7 - CY2020 Repair and Rehabilitation Program</t>
  </si>
  <si>
    <t>Construction of River Walk/Promenade, Poblacion, Madiwang, Romblon</t>
  </si>
  <si>
    <t>CY 2020 Quick Response Fund (QRF) Repair and Rehabilitation of School Building – Lot 2 – Repair and Rehabilitation of  Classrooms at Cayangwan Elementary School, Makato, Aklan and Rosal Elementary Sch</t>
  </si>
  <si>
    <t>One (1) Lot – Hardware and Software Maintenance and Technical Support Services for the Endpoint Data Leakage Protection, as per BSP Terms of Reference and Service Level Agreement</t>
  </si>
  <si>
    <t>LOT 8 - CY2020 Repair and Rehabilitation Program</t>
  </si>
  <si>
    <t>CY 2020 Quick Response Fund (QRF) Repair and Rehabilitation of School Building – Lot 6 – Repair and Rehabilitation of  Classrooms at Rizal Elementary School, Ibajay, Aklan and Muguing Elementary Schoo</t>
  </si>
  <si>
    <t>PROCUREMENT OF HARDWARE MATERIALS FOR CONSTRUCTION OF 83.95 LM. OPEN CANAL ALONG THE NATIONAL HIGHWAY AT ZONE II, LANUZA SURIGAO DEL SUR</t>
  </si>
  <si>
    <t>LOT 5 - CY2020 Repair and Rehabilitation Program</t>
  </si>
  <si>
    <t>CONSTRUCTION OF MAKESHIFT ELEVEN (11) – CLASSROOM TEMPORARY LEARNING SHELTER FOR BURABOD ELEMENTARY SCHOOL, LIBON, ALBAY (RE-BID)</t>
  </si>
  <si>
    <t>LOT 3 - CY2020 Repair and Rehabilitation Program</t>
  </si>
  <si>
    <t>LOT 4 - CY2020 Repair and Rehabilitation Program</t>
  </si>
  <si>
    <t>PROCUREMENT OF HARDWARE MATERIALS FOR PROPOSED NURSERY ESTABLISHMENT</t>
  </si>
  <si>
    <t>CY 2020 Quick Response Fund (QRF) Repair and Rehabilitation of School Building – Lot 18 – Repair and Rehabilitation of Classrooms at Mantiguib Elementary School, Makato, Aklan, Argao Elementary School</t>
  </si>
  <si>
    <t>CY 2020 Quick Response Fund (QRF) Repair and Rehabilitation of School Building – Lot 20 – Repair and Rehabilitation of Classrooms at Libertad Elementary School, Nabas, Aklan, Nagustan Elementary Schoo</t>
  </si>
  <si>
    <t>CY 2020 Quick Response Fund (QRF) Repair and Rehabilitation of School Building – Lot 21 – Repair and Rehabilitation of Classrooms at Rizal Elementary School, Nabas, Aklan, Badio Elementary School, Num</t>
  </si>
  <si>
    <t>CY 2020 Quick Response Fund (QRF) Repair and Rehabilitation of School Building – Lot 16 – Repair and Rehabilitation of Classrooms at Catabana Primary School, Madalag, Aklan, Banay Banay Elementary Sch</t>
  </si>
  <si>
    <t>CY 2020 Quick Response Fund (QRF) Repair and Rehabilitation of School Building – Lot 17 – Repair and Rehabilitation of Classrooms at Cabatanga Elementary School, Makato, Aklan, Castillo Elementary Sch</t>
  </si>
  <si>
    <t>CY 2020 Quick Response Fund (QRF) Repair and Rehabilitation of School Building – Lot 15 – Repair and Rehabilitation of Classrooms at San Isidro Elementary School, Ibajay, Aklan, New Buswang Elementary</t>
  </si>
  <si>
    <t>CY 2020 Quick Response Fund (QRF) Repair and Rehabilitation of School Building – Lot 13 – Repair and Rehabilitation of Classrooms at Maloco Elementary School, Ibajay, Aklan, Ondoy Elementary School, I</t>
  </si>
  <si>
    <t>payments under the contract for the project CY 2020 Quick Response Fund (QRF) Repair and Rehabilitation of School Building – Lot 12 – Repair and Rehabilitation of Classrooms at Agbago Elementary Schoo</t>
  </si>
  <si>
    <t>CY 2020 Quick Response Fund (QRF) Repair and Rehabilitation of School Building – Lot 11 – Repair and Rehabilitation of Classrooms at Cabugao Primary School, Buruanga, Aklan, Katipunan Elementary Schoo</t>
  </si>
  <si>
    <t>payments under the contract for the project CY 2020 Quick Response Fund (QRF) Repair and Rehabilitation of School Building – Lot 10 – Repair and Rehabilitation of Classrooms at Tayhawan Elementary Sch</t>
  </si>
  <si>
    <t>CY 2020 Quick Response Fund (QRF) Repair and Rehabilitation of School Building – Lot 23 – Repair and Rehabilitation of Classrooms at Guinbaliwan Elementary School, New Washington, Aklan, Sergio L. Tal</t>
  </si>
  <si>
    <t>REHABILITATION OF WATER SUPPLY SYSTEM LUMBANG WESTE, CAJIDIOCAN, ROMBLON</t>
  </si>
  <si>
    <t>REHABILITATION OF MULTI-PURPOSE HALL LUMBANG WESTE, CAJIDIOCAN, ROMBLON</t>
  </si>
  <si>
    <t>PB PUR20-03-0308 SUPPLY, DELIVERY, COMMISSIONING AND INSTALLATION OF TELEPHONE VOICE AND DATA, VOICE BACKBONE AND NEW MAIN DISTRIBUTION FRAME (MDF) AT P-01 OBAS-ER AND DRUG TESTING FACILITY</t>
  </si>
  <si>
    <t>REHABILITATION OF MULTI-PURPOSE HALL LUMBANG ESTE, CAJIDIOCAN, ROMBLON</t>
  </si>
  <si>
    <t>CY 2020 Quick Response Fund (QRF) Repair and Rehabilitation of School Building – Lot 14 – Repair and Rehabilitation of Classrooms at Cabugao Primary School, Ibajay, Aklan, Naisud Central School, Ibaja</t>
  </si>
  <si>
    <t>REHABILITATION OF MULTI-PURPOSE HALL, LICO, CAJIDIOCAN, ROMBLON</t>
  </si>
  <si>
    <t>LOT 6 - CY2020 Repair and Rehabilitation Program</t>
  </si>
  <si>
    <t>CONSTRUCTION FOR COCONUT PROCESSING CENTER FOR LIVELIHOOD PHASE II, LUMBANG ESTE, CAJIDIOCAN, ROMBLON</t>
  </si>
  <si>
    <t>COMPLETION OF MULTI-PURPOSE HALL (CES), CAMBALO, CAJIDIOCAN, ROMBLON</t>
  </si>
  <si>
    <t>PB PUR20-04-0356 SUPPLY AND DELIVERY OF STEEL CABINET, BOOK SHELF TYPE for Medical Records Div., PGH</t>
  </si>
  <si>
    <t>PB BAC1-20-013 SUPPLY AND DELIVERY OF CHEMICALS AND REAGENTS FOR 2020</t>
  </si>
  <si>
    <t>Furnishing of Construction Materials for Carol-an Dagyangaw SIP (CY 2019), Ayungon, Neg. Or.</t>
  </si>
  <si>
    <t>PB PUE20-03-0274 SUPPLY, DELIVERY, INSTALLATION AND TESTING OF ELECTROCARDIOGRAPH MACHINE, DIGITAL, MULTI- CHANNEL FOR ADULT AND  PEDIATRIC PATIENTS</t>
  </si>
  <si>
    <t>Furnishing of Construction Materials for Carol-an Dagyangaw SIP, Ayungon, Neg. Or.</t>
  </si>
  <si>
    <t>CY 2020 Quick Response Fund (QRF) Repair and Rehabilitation of School Building – Lot 26 – Repair and Rehabilitation of Classrooms at Union National High School, Nabas, Aklan</t>
  </si>
  <si>
    <t>CY 2020 Quick Response Fund (QRF) Repair and Rehabilitation of School Building – Lot 25 – Repair and Rehabilitation of Classrooms at Malinao School for Phlippine Craftsmen, Malinao, Aklan, Toledo Nati</t>
  </si>
  <si>
    <t xml:space="preserve">CY 2020 Quick Response Fund (QRF) Repair and Rehabilitation of School Building – Lot 19 – Repair and Rehabilitation of Classrooms at Caticlan Elementary School, Malay, Aklan, Malay Elementary School, </t>
  </si>
  <si>
    <t>PB PUR20-03-0341  SUPPLY AND DELIVERY OF VARIOUS COMPUTERS AND PRINTERS</t>
  </si>
  <si>
    <t>CY 2020 Quick Response Fund (QRF) Repair and Rehabilitation of School Building – Lot 24 – Repair and Rehabilitation of Classrooms at New Washington Elementary School, New Washington, Aklan, Habana Int</t>
  </si>
  <si>
    <t>CY 2020 Quick Response Fund (QRF) Repair and Rehabilitation of School Building – Lot 9 – Repair and Rehabilitation of  Classrooms at Unidos Elementary School, Nabas, Aklan</t>
  </si>
  <si>
    <t>CY 2020 Quick Response Fund (QRF) Repair and Rehabilitation of School Building – Lot 8 – Repair and Rehabilitation of  Classrooms at Batan Elementary School, Batan, Aklan, Mina-a Elementary School, Ib</t>
  </si>
  <si>
    <t>REHABILITATION OF CAMBICANG MULTI-PURPOSE HALL, MARIGONDON, CAJIDIOCAN, ROMBLON</t>
  </si>
  <si>
    <t>Construction of Slope Protection - (Balot Section) Pila</t>
  </si>
  <si>
    <t>Rehabilitation of FMR- (Cudiamat Section), Bagbagotot</t>
  </si>
  <si>
    <t>SUPPLY AND DELIVERY OF OFFICE EQUIPMENT</t>
  </si>
  <si>
    <t>Supply and Delivery of IT Equipment for RHU</t>
  </si>
  <si>
    <t>PB BAC1-20-003 MANNING OF EXISTING CCTV MONITORING STATION – ONE (1) YEAR CONTRACT</t>
  </si>
  <si>
    <t>SUPPLY AND DELIVERY OF MOTORCYCLE VEHICLES</t>
  </si>
  <si>
    <t>Procurement of Security Services (For the Energy regulatory Commission's Main Office, Visayas Area Operations Service and Mindanao Area Operations Service)</t>
  </si>
  <si>
    <t>Procurement of Janitorial Services</t>
  </si>
  <si>
    <t>CY 2020 Quick Response Fund (QRF) Repair and Rehabilitation of School Building – Lot 22 – Repair and Rehabilitation of Classrooms at Solido Elementary School, Nabas, Aklan, Union Elementary School, Na</t>
  </si>
  <si>
    <t>20GFG0016 - Procurement of Tree Seedlings for use in the Tree Cutting and Replacement along Tigaon-Goa-San Jose-Lagonoy-Guijalo via San Vicente Road, Goa-San Jose Section Goa/San Jose, Camarines Sur</t>
  </si>
  <si>
    <t>Supply and Delivery of Disaster Equipment</t>
  </si>
  <si>
    <t>One (1) Lot – Maintenance Support for Enterprise Storage Systems and Storage Area Network Devices, as per BSP Terms of Reference and Service Level Agreement (Multi-Year Contract)</t>
  </si>
  <si>
    <t>furnishing/delivery of fuel, oil and lubricants</t>
  </si>
  <si>
    <t>CONSTRUCTION OF FMR- SITIO SAED, TAGUILOS, CAJIDIOCAN, ROMBLON</t>
  </si>
  <si>
    <t>PROCUREMENT OF HABAL-HABAL MINI SPAREPARTS STORE WITH CARWASH WELDING AND VULCANIZING SHOP AT BARANGAY MAMPI, LANUZA, SURIGAO DEL SUR</t>
  </si>
  <si>
    <t>IMPROVEMENT OF MULTI-PURPOSE HALL PHASE II- MUNICIPAL BUILDING, POBLACION, CAJIDIOCAN, ROMBLON</t>
  </si>
  <si>
    <t>CONSTRUCTION OF FMR-ILAYA MARIGONDON, CAJIDIOCAN, ROMBLON</t>
  </si>
  <si>
    <t>Supply and Delivery of Office Equipment for MDRRM  Office</t>
  </si>
  <si>
    <t>PURCHASE OF OFFICE SUPPLIES LGU, CAJIDIOCAN, ROMBLON</t>
  </si>
  <si>
    <t>CONST. OF SK BUILDING</t>
  </si>
  <si>
    <t>LOT 2 - CY2020 Repair and Rehabilitation Program</t>
  </si>
  <si>
    <t>CY 2020 Quick Response Fund (QRF) Repair and Rehabilitation of School Building – Lot 27 – Repair and Rehabilitation of Classrooms at Tamalagon Integrated School, Tangalan, Aklan and San Roque Integrat</t>
  </si>
  <si>
    <t>PB PM20-010 COMPREHENSIVE PREVENTIVE MAINTENANCE SUPPORT SERVICES OF THE PGH SIEMENS HI-PATH 4000 IP-PBX EQUIPMENT</t>
  </si>
  <si>
    <t>LOT 1 - CY2020 Repair and Rehabilitation Program</t>
  </si>
  <si>
    <t>Construction of Roofing in the Parking Area</t>
  </si>
  <si>
    <t>8918-20-014)  REHABILITATION OF DRAINAGE AT EAST QUIRINO HILL TOWARDS MAGSAYSAY AVENUE, EAST QUIRINO HILL C/O CEO</t>
  </si>
  <si>
    <t>Rehabilitation and Improvement of Pagbennecan - Tallaoen Road, Luna</t>
  </si>
  <si>
    <t>PROCUREMENT OF VARIOUS ICT</t>
  </si>
  <si>
    <t>ACQUISITION OF FORENSIC TOOLS AND EQUIPMENT FOR CYBERCRIME DIVISION (CCD)</t>
  </si>
  <si>
    <t>CY 2020 Quick Response Fund (QRF) Repair and Rehabilitation of School Building – Lot 7 – Repair and Rehabilitation of  Classrooms at Guanko Elementary School, Balete, Aklan, Pepe Elementary School, Bu</t>
  </si>
  <si>
    <t>One (1) Lot – BSP Web Security and Content Filtering System Enhancement Project, consisting of Supply, Delivery, Installation, Configuration, Testing and Commissioning of Blue Coat Secure Gateway (PRO</t>
  </si>
  <si>
    <t>Supply and Delivery of Materials for Repair of Agriculture Office</t>
  </si>
  <si>
    <t>Supply and Delivery of Air Conditioner  for Sangguniang Bayan Office and Session Hall</t>
  </si>
  <si>
    <t>Continuation of Farmers' Multi-Purpose Hall-Lintic</t>
  </si>
  <si>
    <t>Retrofitting/Strengthening of Bridge 1 and Bridge 4, Caba and Naguilian</t>
  </si>
  <si>
    <t>Completion/Expansion of Vinegar Processing Center, Maragayap, Bacnotan</t>
  </si>
  <si>
    <t>Provision of Corn Mill with Storage Facility</t>
  </si>
  <si>
    <t>LOT 9 - CY2020 Repair and Rehabilitation Program</t>
  </si>
  <si>
    <t>Improvement of Barangay I Farm to Market Road, San Fernando City</t>
  </si>
  <si>
    <t>INVITATION TO BID FOR Drugs and Medicines 01-2020-06</t>
  </si>
  <si>
    <t>2484-20 Procurement of Other Suppplies and Materials</t>
  </si>
  <si>
    <t>Construction of Ambaracao Farmers Multi-Purpose Center, Naguilian</t>
  </si>
  <si>
    <t>Supply and Delivery of Materials for Installation of Municipal Streetlighting System</t>
  </si>
  <si>
    <t>Supply of Gasoline and Diesel through Fleet Card Technology System for Two (2) Years under ITB NO. PB20-01-015CORa-06</t>
  </si>
  <si>
    <t>Construction of Farmers' Multi-Purpose Hall-Naguimba</t>
  </si>
  <si>
    <t>2583-20 Purchase of Assorted Palay Seeds</t>
  </si>
  <si>
    <t>2265-20 Purchase of Transformer, etc.</t>
  </si>
  <si>
    <t>Construction of Payocpoc Sur Slope Protection, Bauang</t>
  </si>
  <si>
    <t>Finishing Wokrs of Brgy. Imbalbalatong Multi-Purpose Hall</t>
  </si>
  <si>
    <t>CONSTRUCTION OF SOLID WASTE MANAGEMENT FACILITIES @ BRGY. TABUC, MOBO, MASBATE</t>
  </si>
  <si>
    <t>PROPOSED WATER TANK FOR MUNICIPAL DISASTER RISK REDUCTION MANAGEMENT OFFICE (MDRRMO)FOR WATER SUPPLY OF  TEMPORARY FACILITY TO ACCOMMODATE COVID-19 PATIENT</t>
  </si>
  <si>
    <t>CONSTRUCTION OF VARIOUS INFRA PROJECTS</t>
  </si>
  <si>
    <t>Public Bidding for the Supply and Delivery of Construction Materials for the Repair/Rehab of Board Member’s Office at 3rd Floor Annex Building, Capiz Provincial Capitol, under ITB No. 2020-011R</t>
  </si>
  <si>
    <t>CONSTRUCTION/IMPROVEMENT OF MULTI-PURPOSE BUILDING (PHASE I)</t>
  </si>
  <si>
    <t>CONSTRUCTION OF BRGY. HALL/MULTI-PURPOSE BUILDING (PHASE I)</t>
  </si>
  <si>
    <t>Purchase of Hand Tractor</t>
  </si>
  <si>
    <t>Concreting of 100 Linear Meter Soriano Street</t>
  </si>
  <si>
    <t>Improvement of Slaughter Building at Barangay Sto Nino 1st</t>
  </si>
  <si>
    <t>Concreting of 100 Linear Meter Brgy. Buenavista Farm to Market Road</t>
  </si>
  <si>
    <t>Procurement of LDRRM IT Equipment (1 lot CCTV Supply and Installation)</t>
  </si>
  <si>
    <t>Concreting of Road at Zone 5 Barangay Tondod</t>
  </si>
  <si>
    <t>Procurement of Catering Services for the conduct of the 3rd Level Training for the 2020 CPH Enumeration</t>
  </si>
  <si>
    <t>Construction / Rehabilitation of Water Supply / Septage and Sewerage / Rain Water Collector Systems - Rain Water Collectors in Public Facilities - CAR</t>
  </si>
  <si>
    <t>Procurement of Fuel, Oil and Lubricants for the Road Rehabilitation at Batong Buhay, So. Pandan, Claudio Salgado, Malisbong, San Nicolas, San Vicente, Eco Park, Cemetery Road(sto.niño) - MEO</t>
  </si>
  <si>
    <t>PURCHASE OF METAL PUSH CART FOR GARBAGE TRUCK</t>
  </si>
  <si>
    <t>FEASIBILITY STUDY OF BAYAMBANG PUMP IRRIGATION PROJECT</t>
  </si>
  <si>
    <t>PURCHASE OF TANOD SUPPLIES</t>
  </si>
  <si>
    <t>Concreting of 700 Linear Meter Barangay Sigayan Farm to Market Road</t>
  </si>
  <si>
    <t>Procurement of Fuel, Oil &amp; Lubricants for Road Rehabilitation (Guiron Creek,Brgy. Lagnas,Victoria, Tagumpay Ilvita)</t>
  </si>
  <si>
    <t>Procurement of Materials for the Construction of Stage - MEO</t>
  </si>
  <si>
    <t>PURCHASE OF FOODS FOR FEEDING</t>
  </si>
  <si>
    <t>20CSA004: LIDAR DATA MAPPING AND PARCELLARY/ UTILITIES, FACILITIES/ TOPOGRAPHIC SURVEY FOR THE PROPOSED CONSTRUCTION OF MISSING LINK/NEW ROADS, SAN MANUEL (PANGASINAN)- ITOGON (BENGUET) ROAD</t>
  </si>
  <si>
    <t>PURCHASE OF SACKS</t>
  </si>
  <si>
    <t>20CSA003: LIDAR DATA MAPPING AND PARCELLARY/ UTILITIES, FACILITIES/ TOPOGRAPHIC SURVEY FOR THE PROPOSED CONSTRUCTION OF MISSING LINK/NEW ROADS, BOLINAO-DASOL COASTAL ROAD, PANGASINAN</t>
  </si>
  <si>
    <t>Procurement of Materials for  Repair and Maintenance of Infrastructure Assets - MEO</t>
  </si>
  <si>
    <t>Purchase of 3pcs T.V Monitor, 1pc. Refrigerator, 2pcs Sprayer</t>
  </si>
  <si>
    <t>Repair of Roof Taliba St. Near Brgy. Hall, Brgy. SRV. Navotas City</t>
  </si>
  <si>
    <t>INVITATION TO BID NO. UPRIIS-DI-CW-2020-04</t>
  </si>
  <si>
    <t>Asset Preservation - Rehabilitation/Reconstruction of National Roads with Slips, Slope Collapse, and Landslide - Secondary Roads, Abbut-Conner Road, K0558+(-282) - K0558+ (-247)</t>
  </si>
  <si>
    <t>Rehabilitation/ Reconstruction of Roads with Slips, Slope Collapse, and Landslide – Quezon Hill Rd #1 – K0308+153 – K0308+175, K0308+428 – K0308+447</t>
  </si>
  <si>
    <t>Contract Package 7: Preventive Maintenance: a. Abanao Ext. – Chainage 008 – Chainage 111 (SO5052LZ) b. Major Mane Rd. – Chainage 057 – Chainage 112 (SO0489LZ) c. Quezon Hill Drive – Chainage 000 – Cha</t>
  </si>
  <si>
    <t>Construction/ Improvement of Access Roads leading to Declared Tourism Destinations, Caglayan-Paddig-Cupis Road leading to Nabuangan River, Banselan Cave, Cupis Loomweaving, Conner, Apayao</t>
  </si>
  <si>
    <t>REPAIR OF MULTI PURPOSE BUILDING (GYM)</t>
  </si>
  <si>
    <t>REHABILITATION OF MULTI PURPOSED BUILDING (GYM) THRU REPAIR AND WATER COLLECTION FOR ENVIRONMENT PROTECTION</t>
  </si>
  <si>
    <t>20CSDM03 – Conduct of Preliminary Detailed Engineering (Parcellary Survey) along San Francisco-San Andres-San Narciso Road, Quezon Province</t>
  </si>
  <si>
    <t>Supply, Delivery, Testing and Commissioning of Brand New Land Ambulance (17 units)</t>
  </si>
  <si>
    <t>Construction of Covered Court at Gayusan Integrated School</t>
  </si>
  <si>
    <t>IB-01-0206-20 VPAFEA SUPPLY, DELIVERY AND INSTALLATION OF GENERATOR SET</t>
  </si>
  <si>
    <t>HO-MSD20-005 - Supply and Delivery of Heat Treatment Equipment</t>
  </si>
  <si>
    <t>IB-01-0186-20 COE-CE SUPPLY AND DELIVERY OF LABORATORY EQUIPMENT</t>
  </si>
  <si>
    <t>Repair of One (1) unit, Three (3) Classroom School Building at Mangatarem II Central E/S</t>
  </si>
  <si>
    <t>20II0061, Repair and Maintenance of Road Safety Facilities (Supply, Delivery and Installation of Danger, Hazard, Warning, Regulatory and Informative Signages) along Catarman Laoang Road, Laoang –Catub</t>
  </si>
  <si>
    <t>PROPOSED IMPROVEMENT/REHABILITATION OF THE CITY PEOPLE’S ASTRODOME (INTERIOR AND INCLUDING FAÇADE) AT BARANGAY TAPUAC, DAGUPAN CITY</t>
  </si>
  <si>
    <t>PROCUREMENT AND DELIVERY OF OFFICE AND IT EQUIPMENT</t>
  </si>
  <si>
    <t>Supply and Delivery of 160 MT Asphalt Pre-Mix and 8 drums Emulsified Asphalt</t>
  </si>
  <si>
    <t>Purchase and Delivery of Automated External Defibrillator (AED) Complete Set - MO-MDRRMO</t>
  </si>
  <si>
    <t>Procurement of Supplies and Materials for the Improvement of Multi-Purpose Center</t>
  </si>
  <si>
    <t>Supply and Delivery of 577 MT Asphalt Pre-Mix</t>
  </si>
  <si>
    <t>Procurement of PRDP Vehicle Tires Intended for Year 2020</t>
  </si>
  <si>
    <t>Procurement of Supplies and Materials for the Construction of Garage</t>
  </si>
  <si>
    <t>PURCHASE OF HIGH SPEED FULL COLOR INKJET PRINTER</t>
  </si>
  <si>
    <t>Supply and Delivery of Pre-Mix Asphalt and Emulsified Asphalt</t>
  </si>
  <si>
    <t>Rehab/Maintenance of Manlin-Pamintayan &amp; Delmonte Road</t>
  </si>
  <si>
    <t>Purchase and Delivery of Medical, Dental and Laboratory Supplies - MHO</t>
  </si>
  <si>
    <t>Improvement of Barangay Health Station at Bulala</t>
  </si>
  <si>
    <t>Procurement of Supplies and Materials for the Improvement of Water System</t>
  </si>
  <si>
    <t>Roofing of Existing Bleachers at Longos E/S, Calasiao, Pangasinan</t>
  </si>
  <si>
    <t>fishing gears</t>
  </si>
  <si>
    <t>security services</t>
  </si>
  <si>
    <t>Construction of Breakwater for Storm Surge Mitigation</t>
  </si>
  <si>
    <t>Supply and Delivery of Meals and Snacks Buffet for VIP Guests and Visitors for the 2nd Semester of 2020</t>
  </si>
  <si>
    <t>animal feeds</t>
  </si>
  <si>
    <t>Improvement of Barangay Health Station at Belance</t>
  </si>
  <si>
    <t>bangus fingerlings</t>
  </si>
  <si>
    <t>Supply and Delivery of Meals and Snacks Regular  for the 2nd Semester of 2020</t>
  </si>
  <si>
    <t>Procurement of Various Materials, Fuel and Lubricants for the Implementation of Road Rehabilitation Program.</t>
  </si>
  <si>
    <t>Supply and Delivery of Agricultural Products for the Support to Purok System (2nd posting)</t>
  </si>
  <si>
    <t>Completion of Damilag Public Market (Construction of Waste Water Treatment Facilty)</t>
  </si>
  <si>
    <t>Road Opening at Brgy. Odlot, Bogo City, Cebu</t>
  </si>
  <si>
    <t>Improvement of Barangay Health Station at New Gumiad</t>
  </si>
  <si>
    <t>Acquisition of Brand New Garbage Truck</t>
  </si>
  <si>
    <t>20CN0149 - Retrofitting/Strengthening of Permanent Bridge – Aguang Br. (B03015LZ) along Baler – Casiguran Rd (Baler – Dinadiawan)</t>
  </si>
  <si>
    <t>Supply and Delivery of Education Supplies for BALIK ESKWELA PROGRAM (2nd posting)</t>
  </si>
  <si>
    <t>PURCHASE OF ONE MOTOR VEHICLE (AUV-BRAND NEW) FOR CITY MAYOR’S OFFICE USE</t>
  </si>
  <si>
    <t>Improvement of Barangay Health Station at Mabasa</t>
  </si>
  <si>
    <t>SUPPLY AND DELIVERY OF ONE (1) UNIT RING NET (2nd Publication</t>
  </si>
  <si>
    <t>consultancy services</t>
  </si>
  <si>
    <t>Supply and Delivery of Printing Supplies for different departments (Non-PS) (PR No. 2020-06-0560)</t>
  </si>
  <si>
    <t>INVITATION TO BID FOR SUPPLY AND DELIVERY OF MATERIALS FOR THE Improvement of Water System at Barangay Tagpopongan, Babak District, IGaCoS under PR No. 004</t>
  </si>
  <si>
    <t>PROCUREMENT OF SERVICE VEHICLE FOR MAYOR’S OFFICE</t>
  </si>
  <si>
    <t>Soil Covering of the Existing Open Dumpsite</t>
  </si>
  <si>
    <t>Road Rehabilitation/Improvement of Various Brgy. Roads</t>
  </si>
  <si>
    <t>CONST. OF TIAONG MUN. HOSPITAL (HOSPITAL LIFT ELEVATOR/RESTRUCTURING/ROOFING)-MUNICIPAL GROUND, BRGY.POB.3</t>
  </si>
  <si>
    <t>MUNICIPAL BUILDING FACADE &amp; RELOCATION OF FLAGPOLE at Brgy. Poblacion, Jamindan, Capiz</t>
  </si>
  <si>
    <t>PURCHASE OF 4 WHEELER-TRUCK FOR SOCIO ECONOMIC ENTERPRISE UNIT-MARKETS USE</t>
  </si>
  <si>
    <t>Acquisition of Brand New Ambulance</t>
  </si>
  <si>
    <t>Acquisition of Brand New Mini Dump Truck</t>
  </si>
  <si>
    <t>PURCHASE OF BRAND NEW SERVICE VEHICLE FOR USE AS SERVICE VEHICLE OF PUBLIC WORK DIVISION, CEO</t>
  </si>
  <si>
    <t>CONSTRUCTION OF FACILITY (FUNCTION HALL) in Suhoton Cave, Brgy. Agcagay, Jamindan, Capiz</t>
  </si>
  <si>
    <t>PURCHASE OF MOTOR VEHICLE FOR CITY ADMINISTRATOR'S OFFICE USE</t>
  </si>
  <si>
    <t>Supply and Delivery of Siren</t>
  </si>
  <si>
    <t>REHABILITATION OF SLAUGHTER HOUSE</t>
  </si>
  <si>
    <t>Supply and Delivery of One (1) Unit Brand New 4x4 Pickup Vehicle</t>
  </si>
  <si>
    <t>Construction of Multi- Purpose Hall at Barangay Santiago, Naujan, Oriental Mindoro</t>
  </si>
  <si>
    <t>PURCHASE OF ONE(1)UNIT MINI-DUMP TRUCK SURPLUS</t>
  </si>
  <si>
    <t>ITB NO. 2020-0014N Supply, Delivery, Testing, Integration, Training and  Commissioning of News Production Editing System with  Complete Accessories for the Mindanao Media Hub of the People’s Televisio</t>
  </si>
  <si>
    <t>Rehabilitation/Improvement of Brgy. Bagacay-Concord Road</t>
  </si>
  <si>
    <t>PROCUREMENT OF THREE (3) UNITS BRAND NEW MOTORCYCLE</t>
  </si>
  <si>
    <t>Rehabilitation/Improvement of Brgy. Malino, Jiabong, Samar</t>
  </si>
  <si>
    <t>Supply and Delivery of Various I.T. Equipment for UTDC</t>
  </si>
  <si>
    <t>Furnishing/Delivery of Labor, Materials and Equipment</t>
  </si>
  <si>
    <t>Cluster XXXXII</t>
  </si>
  <si>
    <t>2020-MS-101 Compressed Air (Rebid)</t>
  </si>
  <si>
    <t>Cluster XXXXI</t>
  </si>
  <si>
    <t>POROPOSED CONSTRUCTION OF CANAL AT BRGY II-B, SAN PABLO CITY</t>
  </si>
  <si>
    <t>Supply and Delivery of Various I.T. and Office Equipment for IMEAS</t>
  </si>
  <si>
    <t>Cluster XXXX</t>
  </si>
  <si>
    <t>Supply and Delivery of One (1) lot Sealed Lead Acid Battery</t>
  </si>
  <si>
    <t>PROCUREMENT OF GENUINE HP TONER CARTRIDGES (For Existing units of HP Printers) (ITB # M20-06-01)</t>
  </si>
  <si>
    <t>Cluster XXXXIII</t>
  </si>
  <si>
    <t>Construction of Vermi Culture Facility and Wood Vinegar Facility</t>
  </si>
  <si>
    <t>Re- Bidding for Supply, Delivery, Installation and Commissioning of Various Medical Equipment - II</t>
  </si>
  <si>
    <t>Procurement of Office Supplies (1st and 2nd Quarter of 2020)</t>
  </si>
  <si>
    <t>20FK0054-Network Development-Const. of By-Pass and Diversion Roads-Barcelona-Casiguran Diversion Road, Casiguran Section, (Package 2) Casiguran, Sorsogon</t>
  </si>
  <si>
    <t>Repair and Rehabilitation of Tarangnan Community Hospital</t>
  </si>
  <si>
    <t>Procurement of Labor, Materials and Spare Parts for the Repair of Various Office Air Conditions</t>
  </si>
  <si>
    <t>PROCUREMENT OF ONE (1) BRAND NEW VACUUM EXCAVATION TRUCK</t>
  </si>
  <si>
    <t>Bidding for Supply, Delivery, Installation and Commissioning of Various Medical Equipment - III</t>
  </si>
  <si>
    <t>EMBANKMENT/EARTFILLING OF SITE FOR NATIONAL LINE AGENCY BUILDING</t>
  </si>
  <si>
    <t>FURNISHING &amp; DELIVERY OF VARIOUS  MATERIALS FOR CONCRETING OF BARANGAY ROAD AT MINANGA, CAMALANIUGAN, CAGAYAN - 1ST POSTING</t>
  </si>
  <si>
    <t>Re-Bidding for Lot Bid Supply, Delivery, Installation and Commissioning for Central Monitor (2 units)  with Cardiac Monitor (16 units)</t>
  </si>
  <si>
    <t>20FK0055-Network Development-Const. of By-Pass and Diversion Roads-Barcelona-Casiguran Diversion Road, Casiguran Section, (Package 2-B) Casiguran, Sorsogon</t>
  </si>
  <si>
    <t>Supply and Delivery of Plastic Pallets</t>
  </si>
  <si>
    <t>CONSTRUCTION / IMPROVEMENT OF GOVERNMENT BUILDINGS: Repair/Rehab &amp; Improvement of Government Building</t>
  </si>
  <si>
    <t>Development of Cold Spring Resort</t>
  </si>
  <si>
    <t>Lease Contract for 32 units of Digital Copier Machines for SEC Head Office and Extension Offices for a period of one (1) year.</t>
  </si>
  <si>
    <t>20DI0129- Repair of Road, Brgy. Langgam, San Pedro City, Laguna</t>
  </si>
  <si>
    <t>PROCUREMENT OF ONE (1) UNIT BRAND NEW 6-WHEELER WATER TRUCK</t>
  </si>
  <si>
    <t>INVITATION TO APPLY FOR ELIGIBILITY AND TO BID FOR THE SCIENCE RESEARCH FACILITY UNDER DESIGN AND BUILD SCHEME (REBIDDING)</t>
  </si>
  <si>
    <t>CONSTRUCTION OF BAHAY SILANGAN</t>
  </si>
  <si>
    <t>Procurement of Supply &amp; Delivery of Farm Inputs (Typhoon Ursula)</t>
  </si>
  <si>
    <t>(Cluster IX) Local Program; Construction/ Repair/ Rehabilitation/ Improvement of Building and other Structures; Multi-Purpose/ Facilities: Construction of Multi-Purpose Building in Various Barangays a</t>
  </si>
  <si>
    <t>Stock Room, Concoction Center, Vermi Compositing and Plant Nursery</t>
  </si>
  <si>
    <t>Supply and Delivery of Robotics Kit (Re-Post)</t>
  </si>
  <si>
    <t>20DI0130- Rehabilitation of Drainage Canal, Brgy. Mayapa, Calamba City, Laguna</t>
  </si>
  <si>
    <t>INFRASTRUCTURE WORKS FOR THE CONSTRUCTION OF LINE CANAL AT BARANGAY CALANGO, ZAMBOANGUITA, NEGROS ORIENTAL</t>
  </si>
  <si>
    <t>Local Infrastructure Program; Building and other Structures; Multi-Purpose/ Facilities: Construction and/or Repair/ Rehabilitation of Multi-Purpose Building, Brgy. Balibago, Angeles City, Pampanga</t>
  </si>
  <si>
    <t>Supply and Delivery of Various Chairs for SEC Head Office and Extension Offices.</t>
  </si>
  <si>
    <t>PR 2020-04-061 Supply and Delivery of Materials for use in 71X – (Special Maintenance – Road Signages) along Daang Maharlika Road and Surigao – Davao Coastal Road w/ Exception. (Daang Maharlika (K1377</t>
  </si>
  <si>
    <t>Local Infrastructure Program; Building and other Structures; Multi-Purpose/ Facilities: Improvement/Rehabilitation of City Hall, Brgy. Tabon, Mabalacat City, Pampanga</t>
  </si>
  <si>
    <t>Purchase of Office Supplies for Various Offices</t>
  </si>
  <si>
    <t>PR 2020-03-049 Supply and Delivery of Materials for the use in 71X – (Special Maintenance – Kilometer Post) along Daang Maharlika Road, Surigao – Davao Coastal Road, Nabunturan – Mainit Park Road, and</t>
  </si>
  <si>
    <t>ITB - Vehicles (SIDA)</t>
  </si>
  <si>
    <t>BPSU Abucay Campus: Supply, Delivery and Installation of Laboratory Equipment for the Rehabilitation of BSA/BTVTE Building at BPSU Abucay Campus</t>
  </si>
  <si>
    <t>20DI0131- Construction and/or Repair/Rehabilitation of Multi-Purpose Building, Brgy. Magsaysay, San Pedro City, Laguna</t>
  </si>
  <si>
    <t>20DI0128- Construction of Multi-Purpose Building (Livelihood Training Center), Brgy. Maharlika, San Pedro City, Laguna</t>
  </si>
  <si>
    <t>20DI0140-Construction of Multi-Purpose Building (Welness Center), Brgy. San Nicolas, Bay, Laguna</t>
  </si>
  <si>
    <t>Supply and Delivery of Vegetable Seeds</t>
  </si>
  <si>
    <t>20DI0139- Construction of Multi-Purpose Building, Women's Development Center, Cabuyao, Laguna</t>
  </si>
  <si>
    <t>DESIGN AND BUILD FOR THE CONSTRUCTION OF 2-STOREY PASSENGER TERMINAL BUILDING AT MALATAPAY, BARANGAY MALUAY, ZAMBOANGUITA, NEGROS ORIENTAL</t>
  </si>
  <si>
    <t>20DI0138- Concreting of Access Road and Improvement of Drainage, Brgy. Santo Nino and Canlalay, Biñan, Laguna</t>
  </si>
  <si>
    <t>20DI0137- Construction of Multipurpose Building, Brgy. San Nicolas, Municipality of Bay, Laguna</t>
  </si>
  <si>
    <t>Concreting of Lupang Tagalog Farm to Market Road (217 meters)</t>
  </si>
  <si>
    <t>Purchase of IT Equipment for Various Offices</t>
  </si>
  <si>
    <t>20DI0136- Construction/ Repair/ Rehab of Multi-Purpose Building, Brgy. Tagapo, Santa Rosa, Laguna</t>
  </si>
  <si>
    <t>IMPROVEMENT/CONCRETING OF MACABAKLE BRGY. ROAD</t>
  </si>
  <si>
    <t>Purchase of Various Materials for the Cacao Nursery Program of the Provincial Government of Zamboanga del Sur</t>
  </si>
  <si>
    <t>20DI0134- Construction/ Rehabilitation of Multi-Purpose Building,Brgy. Pulong, Santa Cruz, Laguna</t>
  </si>
  <si>
    <t>Purchase of Furniture’s and Fixtures for Various Offices</t>
  </si>
  <si>
    <t>COMPLETION OF AGRICULTURAL TRADING CENTER (BAGSAKAN CENTER)</t>
  </si>
  <si>
    <t>Procurement of Plumbing and Hardware Supplies</t>
  </si>
  <si>
    <t>CONCRETING OF JOSE SAGUIN AND FLORENTINO SAGUIN STREETS AT POBLACION SOUTH, PIÑAN, Z.N.</t>
  </si>
  <si>
    <t>20DI0133- Construction/ Rehabilitation of Multi-Purpose Building, Brgy. Dita, Santa Rosa, Laguna</t>
  </si>
  <si>
    <t>20DI0132- Construction of Multi-Purpose Building, Brgy. Caingin, Sta. Rosa City, Laguna</t>
  </si>
  <si>
    <t>20DI0141- Construction of Multi - purpose Building, San Pedro City, Laguna</t>
  </si>
  <si>
    <t>HFEP ITB 2020-002 Infrastructure</t>
  </si>
  <si>
    <t>Supply and Delivery of One (1) Unit Brand New Big Bus, 6 Wheeler, Completely Build Unit (CBU)</t>
  </si>
  <si>
    <t>MBO &amp; MACCO Budgeting and Recording System</t>
  </si>
  <si>
    <t>Purchase of IT Equipment as Subsidy to PNP by the Provincial Government of Zamboanga del Sur</t>
  </si>
  <si>
    <t>Construction of Comfort Rooms (Oval &amp; Park), DMMMSU-NLUC, Sapilang, Bacnotan, La Union</t>
  </si>
  <si>
    <t>Supply and Delivery of 4WD 90Hp Farm Tractor</t>
  </si>
  <si>
    <t>20GEF009 (Re-bid 1) Cluster IV – 1. Supply and Delivery of Office Equipment for use of Maintenance Section 2. Supply and Delivery of I.T. Equipment for use of Maintenance Section Palawan 2nd DEO, Narr</t>
  </si>
  <si>
    <t>PURCHASE OF BRAND NEW MULTI-PURPOSE STAINLESS WATER TANKER FOR THE MUNICIPALITY OF ALEGRIA USE</t>
  </si>
  <si>
    <t>Procurement of 313, 150 Liters Diesel Fuel</t>
  </si>
  <si>
    <t>Supply, Delivery and Installation of 4 Units High Volume Low Speed Fan</t>
  </si>
  <si>
    <t>SUPPLY AND DELIVERY OF LABORATORY EQUIPMENT-C, DMMMSU-SRDI, Sapilang, Bacnotan, La Union</t>
  </si>
  <si>
    <t>Supply and Delivery of Two (2) Units Brand New Mini Bus, 4x2 M/T Diesel</t>
  </si>
  <si>
    <t xml:space="preserve">CONSTRUCTION OF JUNCTIONS FOR THE REHABILITATION OF SAN ISIDRO, HAGONOY TO KM. 67, MATANAO FMR all in accordance to plans, specifications and scope of work and the Green Procurement Policy as adopted </t>
  </si>
  <si>
    <t>20DI0144- Rehabilitation of Drainage, Old National Highway Brgy. Sto. Niño and Brgy. Vicente, Biñan City, Laguna</t>
  </si>
  <si>
    <t>20HH0136-Local Program: Local Infrastructure Program – Buildings and other Structure – Multi Purpose / Facilities – Construction of Multi – Purpose Building, Barangay Labangon, Cebu City</t>
  </si>
  <si>
    <t>20EF0118 Cluster I – 1. Construction of Rain Water Collection System (RWCS) Batang-Batang Beach Elementary School 2. Construction of Rain Water Collection System (RWCS) Cabuluan Elementary School 3. C</t>
  </si>
  <si>
    <t>REHABILITATION OF MULTI-PURPOSE HALL – CAPITAN BAYONG – BARANGAY PROPER, IMPASUGONG, BUKIDNON</t>
  </si>
  <si>
    <t>Delivery of Supplies - Electrical Supplies</t>
  </si>
  <si>
    <t>SUPPLY AND DELIVERY OF THIRTY FOUR (34) UNITS BRAND NEW TRACTOR WITH IMPLEMENTS</t>
  </si>
  <si>
    <t>Delivery of Supplies -Electrical Supplies</t>
  </si>
  <si>
    <t>SUPPLY AND DELIVERY OF IT EQUIPMENT, DMMMSU-CA, Sapilang, Bacnotan, La Union</t>
  </si>
  <si>
    <t>Procurement of 1 Lot Military Supplies (Ammunition) for the 3rd Quarter of 2020</t>
  </si>
  <si>
    <t>Delivery of Supplies : Electrical Supplies</t>
  </si>
  <si>
    <t>Procurement of 1 Lot Various Drugs and Medicines for the 3rd Quarter of 2020</t>
  </si>
  <si>
    <t>Development  and Deployment of the Philippines Anti-Illegal Drugs Strategy – Agency Reporting and Monitoring System (PADS-ARMS)</t>
  </si>
  <si>
    <t>Procurement of 1 Lot Printing and Publication for the 3rd Quarter of 2020</t>
  </si>
  <si>
    <t>20E00084 - LIP - Construction of Odiongan By-pass Road (Phase 4), Odiongan, Romblon</t>
  </si>
  <si>
    <t>PR 2020-05-087 Supply and Delivery of Materials for the use in Activity 112 (Penetration Patching Bituminous Pavement) along Daang Maharlika Road and Surigao – Davao Coastal Road (Intermittent Section</t>
  </si>
  <si>
    <t xml:space="preserve">20EF0121 Cluster IV – 1. Construction of Rain Water Collection System (RWCS) Mangkongon Elementary School 2. Construction of Rain Water Collection System (RWCS) Amas Elementary School 3. Construction </t>
  </si>
  <si>
    <t>Procurement of 1 Lot Various Office Supplies for the 3rd Quarter of 2020</t>
  </si>
  <si>
    <t>Procurement of 1 Lot Fuel, Oil and Lubricant Expenses for the 3rd Quarter of 2020</t>
  </si>
  <si>
    <t>20EF0120 Cluster III – 1. Construction of Rain Water Collection System (RWCS) New Panay Elementary School 2. Construction of Rain Water Collection System (RWCS) Irader Elementary School 3. Constructio</t>
  </si>
  <si>
    <t>20DI0143- Construction of Drainage System, Brgy. Dela Paz,Biñan, Laguna</t>
  </si>
  <si>
    <t>20DI0135- Construction/ Repair/ Rehab of Multi-Purpose Building, Bayshore Ville Phase II, Brgy. Sinalhan, Santa Rosa Laguna</t>
  </si>
  <si>
    <t>Procurement of 1 Lot Rehabilitation Supplies for the 3rd Quarter of 2020</t>
  </si>
  <si>
    <t>20DI0142- Construction/ Repair/ Rehab of Multi-Purpose Building, Brgy. Don Jose, Santa Rosa, Laguna</t>
  </si>
  <si>
    <t>Procurement of One (1) Lot Cremation Equipment for Small Animals and One (1) Lot Individually Ventilated Caging (IVC) System for Mice</t>
  </si>
  <si>
    <t>20EF0119 Cluster II – 1. Construction of Rain Water Collection System (RWCS) El Salvador Elementary School 2. Construction of Rain Water Collection System (RWCS) Olympic Elementary School 3. Construct</t>
  </si>
  <si>
    <t>SUPPLY AND DELIVERY OF FURNITURE AND FIXTURES, DMMMSU-OUS, City of San Fernando, La Union</t>
  </si>
  <si>
    <t xml:space="preserve">PR 2020-05-088 Supply and Delivery of Materials for the use in Activity 121 (Patching Concrete Pavement) along Daang Maharlika Road and Surigao – Davao Coastal Road (intermittent section) K1377±203 – </t>
  </si>
  <si>
    <t>Improvement of Water System Brgy. Malire to Brgy. Poblacion Proper, Antipas, Cotabato</t>
  </si>
  <si>
    <t>Upgrading of Electrical Installation at Talaba Elementary School (repost)</t>
  </si>
  <si>
    <t>Poblacion - Dicklum Water System Phase I</t>
  </si>
  <si>
    <t>Construction of Dome Shape Gymnasium for Senior High School at San Nicolas 3 (Greenvalley) City of Bacoor (Repost)</t>
  </si>
  <si>
    <t>Construction of School Building Digman Elementary School at Digman Bacoor City, Cavite (Repost)</t>
  </si>
  <si>
    <t>Fabrication of Stair Railings, Wooden Steps, Tables, Chairs and Electrical Fixtures in LGU Multi- Purpose Hall at Brgy. San Pedro, Tumauini, Isabela</t>
  </si>
  <si>
    <t xml:space="preserve">PEO-19-1503-B Construction of the Various Water Systems in the 2nd District of Iloilo: 1) Construction of Water System:      a. Sitio Bitin, Brgy. Jelicuon Oeste, New Lucena, Iloilo 2) Improvement of </t>
  </si>
  <si>
    <t>construction of water reservoir(Macatcatud)</t>
  </si>
  <si>
    <t>20CW-GSC-022 ESTABLISHMENT OF ORGANIC TRADING POST CITY OF GENERAL SANTOS CITY</t>
  </si>
  <si>
    <t>Improvement of Water System (Phase 2)</t>
  </si>
  <si>
    <t>Construction / Completion / Rehabilitation of Multi-Purpose Building in Brgy. Manubuan, Matalam, North Cotabato</t>
  </si>
  <si>
    <t>Completion/Rehabilitation of Multi-Purpose Building in Brgy. Manubuan, Matalam, North Cotabato</t>
  </si>
  <si>
    <t>Construction of LGU Multi-Purpose Hall- Phase VII at Brgy. San Pedro, Tumauini, Isabela</t>
  </si>
  <si>
    <t>Supply and Delivery of One (1) Unit Dropside Truck; PR No. 20-1367 dated 01 April 2020; SN 127 - 2020</t>
  </si>
  <si>
    <t>20CSKK0004 -  Conduct of Relocation Survey of Road-Right-of-Way (RROW) of Municipalities of Kinoguitan, Balingoan and Talisayan, All Barangays along Butuan-Cagayan de Oro-Iligan Road (BCIR) within Mun</t>
  </si>
  <si>
    <t>Purchase of One (1) Unit 4x4 Pick up Vehicle</t>
  </si>
  <si>
    <t>Second Quarter Various Office Supplies</t>
  </si>
  <si>
    <t>2020-17 “SUPPLY, DELIVERY AND INSTALLATION OF MARINE SPARE PARTS AND AIR-CONDITIONING SYSTEM TO BFAR VESSELS”</t>
  </si>
  <si>
    <t>10	boxes	Aciclovir 400mg tablet, 100's, etc. PR # 231-20</t>
  </si>
  <si>
    <t>CONSTRUCTION/IMPROVEMENT OF MULTI PURPOSE BUILDING (PHASE1)</t>
  </si>
  <si>
    <t>SUPPLY AND DELIVERY OF HARDWARE SUPPLIES FOR THE COMPLETION OF AUXILIARY BUILDING (3RD FLOOR)</t>
  </si>
  <si>
    <t>Construction of Tulunan Public Cemetery</t>
  </si>
  <si>
    <t>Completion of City Hospital - Lumbia (Phase II); SN 128 - 2020</t>
  </si>
  <si>
    <t>Construction of ICARE Center at Time Square Gaisano, Gaisano Time Square Center Compound, B. Aquino Ave. Mandurriao, Iloilo City (Bid No. 20-123)</t>
  </si>
  <si>
    <t>Construction of Two (2) Storey Eight (8) Classrooms Building at N.J. Elementary School, Lapaz, Iloilo City (Bid No. 20-121)</t>
  </si>
  <si>
    <t>Completion of Two (2) Storey Building Six (6) Classrooms at Uswag San Isidro Elementary School, Jaro, Iloilo City (Bid No. 20-122)</t>
  </si>
  <si>
    <t>Construction/Rehabilitation/Repair/Widening of Roads at Brgy. Tabuc Suba (Urban Poor Village Petals Ville) Jaro, Iloilo City (Bid No. 20-117)</t>
  </si>
  <si>
    <t>IT Equipments for the Use of LGU-Cabatuan, Iloilo</t>
  </si>
  <si>
    <t>Construction/Rehabilitation/Repair/Widening of Roads at Brgy. Claudio Castilla, EL-98, Jaro, Iloilo City (Bid No. 20-119)</t>
  </si>
  <si>
    <t>Construction/Rehabilitation/Repair/Widening of Roads at ICAG Road, Molo, Iloilo City (Bid No. 20-118)</t>
  </si>
  <si>
    <t>Construction/Rehabilitation of Existing Drainage System at Brgy. Tabuc Suba, Jaro, Iloilo City (Bid No. 20-113)</t>
  </si>
  <si>
    <t>Repair of Classrooms at Sambag Elementary School, Jaro, Iloilo City (Bid No. 20-109)</t>
  </si>
  <si>
    <t>Construction of Three (3) Storey 6 Classroom with Demolition at A. Mirasol Elementary School, mandurriao, Iloilo City (Bid No. 20-062)</t>
  </si>
  <si>
    <t>Construction/Rehabilitation of Existing Drainage System at Brgy. Don Esteban, Lapuz, Iloilo City (Bid No. 20-108)</t>
  </si>
  <si>
    <t>2020-GOODS-032_One (1) Year Subscription of Electronic Books for the University</t>
  </si>
  <si>
    <t>2020-GOODS-031_Procurement and Installation of Various Aircondition Units for the Different Campuses of the University</t>
  </si>
  <si>
    <t>Concreting of Joaquin Orpilla FMR</t>
  </si>
  <si>
    <t>PR 2020-05-086 Supply and Delivery of Consolidated I.T. Consumables, for use in the Office of the District Engineer DEO, Nabunturan, Davao De Oro (for the 3rd quarter of 2020)</t>
  </si>
  <si>
    <t>INF ITB 20-029 Construction of Lying-in Center, Brgy. Lumakil, Polomolok, South Cotabato</t>
  </si>
  <si>
    <t>Purchase of 6 units Multicab and 3 Units Prisoner’s Van Province of Northern Samar</t>
  </si>
  <si>
    <t>Construction/Rehabilitation of Existing Drainage System at Brgy. San Isidro, Lapaz, Iloilo City (Bid No. 20-114)</t>
  </si>
  <si>
    <t>Rehabilitation of All Gabaldon Building at Iloilo Central Elementary School, City Proper, Iloilo City (Bid No. 20-110)</t>
  </si>
  <si>
    <t>Rehabilitation/Gravelling of Afusing Bato FMR</t>
  </si>
  <si>
    <t>Invitation to bid for the purchase of 1 unit garbage truck</t>
  </si>
  <si>
    <t>Supply and Delivery of Multi-Purpose Vehicles</t>
  </si>
  <si>
    <t>Invitation to bid for the purchase of 20 units seafood stall</t>
  </si>
  <si>
    <t>Invitation to bid for the purchase of 165 pails paint and 1,000 sacks cement</t>
  </si>
  <si>
    <t>Invitation to bid for the construction of 200 sq. meters reinforced concrete solar dryer pavement at Del Carmen, Uson, Masbate</t>
  </si>
  <si>
    <t>INF ITB 20-028 Spring Development at Sitio Blit, Brgy. Ned, Lake Sebu, South Cotabato</t>
  </si>
  <si>
    <t>INSTALLATION OF LINED CANALS AND SLOPE PROTECTION AT SITIO UPPER CABACUNGAN TO BOUNDARY SITIO WALO, BARANGAY BULACAN, MALALAG, DAVAO DEL SUR all in accordance to plans, specifications and scope of wor</t>
  </si>
  <si>
    <t>Purchase of 1 unit municipal ambulance</t>
  </si>
  <si>
    <t>Invitation to bid for the barangay road concreting at Candelaria, Uson, Masbate</t>
  </si>
  <si>
    <t>SOIL/ GEOTECHNICAL INVESTIGATION FOR THE PROPOSED CONSTRUCTION OF VARIOUS FLOOD CONTROL PROJECTS AND PROPOSED CONSTRUCTION OF BUILDING PROJECT WITHIN 5TH AND 6TH DISTRICT OF PANGASINAN</t>
  </si>
  <si>
    <t>2020-GOODS-030_Procurement and Installation of Radio Station Equipment</t>
  </si>
  <si>
    <t>Supply and Delivery of Fuel, Oil and Lubricants use for the Construction/Rehab. of Local Roads.</t>
  </si>
  <si>
    <t>Invitation to bid for the major repair of community fish landing center at Sitio Impapanan, Armenia, Uson, Masbate</t>
  </si>
  <si>
    <t>Construction of Drainage Canal along Panes-Laud Street</t>
  </si>
  <si>
    <t>Supply and Delivery for the City Disaster Risk Reduction and Management Office (CDRRMO) under P.R.No. 0693-2020-Subject to Ordering Agreement Arrangement</t>
  </si>
  <si>
    <t>20DD0326 Local Program, Construction/ Repair/ Rehabilitation/ Improvement of Various Infrastructure Including Local Projects, Flood Control and Drainage, Drainage / Protection Works, Construction/ Reh</t>
  </si>
  <si>
    <t>RE-BIDDING FOR THE COMPLETION OF ROXAS RURAL HEALTH UNIT (TB DOTS AND BIRTHING FACILITY) &amp; SAN VICENTE RURAL HEALTH UNIT (TB DOTS BUILDING) IN ROXAS AND SAN VICENTE, PALAWAN - PHASE 2 (LOT 2)</t>
  </si>
  <si>
    <t>Invitation to bid for the barangay road concreting at Purok 5 to 6, Armenia, Uson, Masbate</t>
  </si>
  <si>
    <t>UPLB-RQ-6-122-20-RES SUPPLY AND DELIVERY OF INFORMATION TECHNOLOGY FOR ASI</t>
  </si>
  <si>
    <t>IMPROVEMENT OF BASKETBALL COURT (S.K FUND)</t>
  </si>
  <si>
    <t>Procurement of TRAFFIC CONTROL SYSTEM</t>
  </si>
  <si>
    <t>CONSTRUCTION OF CONCRETE WATER SHED</t>
  </si>
  <si>
    <t>Invitation to bid for the barangay road concreting at Purok 4, Buenavista, Uson, Masbate</t>
  </si>
  <si>
    <t>Invitation to bid for the construction of 130 meters concrete pathway at Purok 1, Buenavista, Uson, Masbate</t>
  </si>
  <si>
    <t>INF ITB 20-030 Completion of Stage and Additional 2-Span Gym, Brgy. Polonuling, Tupi, South Cotabato</t>
  </si>
  <si>
    <t>REQUEST FOR QUOTATION -One Year Lease of Network Performance monitoring System</t>
  </si>
  <si>
    <t>CONSTRUCTION AND INSTALLATION OF MUNICIPAL SOLAR STREET LIGHTING Poblacion, Tubod, Lanao del Norte</t>
  </si>
  <si>
    <t>EXPANSION / IMPROVEMENT OF BARANGAY HALL</t>
  </si>
  <si>
    <t>20DD0325 Local Program, Construction/ Repair/ Rehabilitation/ Improvement of Various Infrastructure Including Local Projects, Buildings and Other Structures, Multipurpose/ Facilities, Construction of</t>
  </si>
  <si>
    <t>Construction of Drainage Canal along Magbanua Street</t>
  </si>
  <si>
    <t>INFRA 2K20-39 CONSTRUCTION OF DAGUM-MATALANG ROAD</t>
  </si>
  <si>
    <t>20DD0338 Local Program, Construction/ Repair/ Rehabilitation/ Improvement of Various Infrastructure Including Local Projects, Water Management Facilities, Water Supply, Rehabilitation of Water Supply</t>
  </si>
  <si>
    <t>20DD0336 Local Program, Construction/ Repair/ Rehabilitation/ Improvement of Various Infrastructure Including Local Projects, Buildings and Other Structures, Multipurpose/ Facilities, Rehabilitation/I</t>
  </si>
  <si>
    <t>Supply/Delivery of Grocery Item for Relief Packs to be given to Senior Citizen. (PR # 20-06-0603)</t>
  </si>
  <si>
    <t>20DD0334 Local Program, Local Infrastructure Program, Buildings and Other Structures, Multipurpose/ Facilities, Rehabilitation/ Improvement of Multi-Purpose Facilities at Tambo Elementary School, Brgy</t>
  </si>
  <si>
    <t>Purchase of Emergency Medical Service for MDRR Use</t>
  </si>
  <si>
    <t>20DD0333 Local Program, Local Infrastructure Program, Local Roads and Bridges, Local Roads, Construction of Brgy. Road at Brgy. Halang, Lipa City, Batangas</t>
  </si>
  <si>
    <t>20DD0331 Local Program, Construction/ Repair/ Rehabilitation/ Improvement of Various Infrastructure Including Local Projects, Local Roads and Bridges, Local Roads, Construction/Rehabilitation/Improvem</t>
  </si>
  <si>
    <t>20DD0335 Local Program, Construction/ Repair/ Rehabilitation/ Improvement of Various Infrastructure Including Local Projects, Water Management Facilities, Water Supply, Rehabilitation of Water Supply</t>
  </si>
  <si>
    <t>20DD0332 Local Program, Local Infrastructure Program, Buildings and Other Structures, Multipurpose/ Facilities, Rehabilitation/ Improvement of Multi-Purpose Facilities at Duhatan Elementary School, Br</t>
  </si>
  <si>
    <t>Invitation to bid for the barangay road concreting at Arado, Uson, Masbate</t>
  </si>
  <si>
    <t>20DD0330 Local Program, Construction/ Repair/ Rehabilitation/ Improvement of Various Infrastructure Including Local Projects, Local Roads and Bridges, Local Roads, Rehabilitation of Road including Dra</t>
  </si>
  <si>
    <t>DEVELOPMENT/EMBANKMENT OF BAYWALK</t>
  </si>
  <si>
    <t>Construction of Gymnatorium with State-of-the-Art Facilities (Phase II) MMSU, City of Batac</t>
  </si>
  <si>
    <t>20DD0337 Local Program, Local Infrastructure Program, Buildings and Other Structures, Multipurpose/ Facilities, Construction and/or Repair/Rehabilitation of Multi-Purpose Building, Brgy. Banay-Banay,</t>
  </si>
  <si>
    <t>Supply and Delivery of 2 sets Particle Board Office Cubicles with 2 shelves and Drawer lock and (10) other items under Purchase Request No. 896-20</t>
  </si>
  <si>
    <t>Medical, Laboratory and Birthing Facility Supplies for the 1st and 2nd Quarter 2020</t>
  </si>
  <si>
    <t>20DD0329 Local Program, Local Infrastructure Program, Buildings and Other Structures, Multipurpose/ Facilities, Construction/ Improvement of Multi-Purpose Building in various Barangays, San Juan, Bata</t>
  </si>
  <si>
    <t>Purchase of Equipments, Furniture and Fixtures for the Teen Center of Luca National High Schoo</t>
  </si>
  <si>
    <t>Negotiated Lease of Office Space for PRO XI LHIO Nabunturan through MYOA</t>
  </si>
  <si>
    <t>SUPPLY, DELIVERY &amp; INSTALLATION OF IT EQUIPMENT</t>
  </si>
  <si>
    <t>Concreting of Fulay Farm to Market Road</t>
  </si>
  <si>
    <t>Medicine</t>
  </si>
  <si>
    <t>SUPPLY, DELIVERY &amp; INSTALLATION OF AIRCONDITIONERS AND AIRCONDITIONING SYSTEM</t>
  </si>
  <si>
    <t>HO-QAS20-001 &amp; HO-TMD20-003 - Supply and Delivery of Jacket, Hiking Shoes, Disposable Gloves and Mask</t>
  </si>
  <si>
    <t>Delivery of Integrated Water Supply (Pipes) needed for Construction of Tayawan-Minaba Water System (ITB 20-070)</t>
  </si>
  <si>
    <t>Rebidding of 3 Projects Construction Materials (B-82-2020)</t>
  </si>
  <si>
    <t>INFRA 2K20-41 REHAB. &amp; IMPROVEMENT OF ZAMBO. DEL SUR PROVINCIAL COLLEGE</t>
  </si>
  <si>
    <t>Water treatment facility Dapdap</t>
  </si>
  <si>
    <t>Contract ID 2020-IG-020 - Purchase of Various Laboratory Testing Equipment &amp; Apparatus for use in the Quality Assurance Section, DPWH, Leyte 5th Engineering District, Baybay City, Leyte</t>
  </si>
  <si>
    <t>Negotiated Lease of Office Space for PRO XI Annex Building 1 through MYOA</t>
  </si>
  <si>
    <t>Procurement of Furniture &amp; Fixtures for PRO XI CY 2020</t>
  </si>
  <si>
    <t>BPSU Main Campus:Supply, delivery and installation of equipment, instruments and software for the research project entitled “Improving Productivity of Philippine Carabao Mango through Introduction of</t>
  </si>
  <si>
    <t>Materials for the Concreting of Farm to Market Road, Brgy. Ito Sur, Cabatuan, Iloilo</t>
  </si>
  <si>
    <t>CONSTRUCTION OF INFIRMARY HOSPITAL (Roof framing &amp; Roofing)</t>
  </si>
  <si>
    <t>20DD0327 Local Program, Local Infrastructure Program, Buildings and Other Structures, Multipurpose/ Facilities, Completion of Multi-Purpose Building, Brgy. Poblacion, San Juan, Batangas</t>
  </si>
  <si>
    <t>Procurement of 3 unit Computer Desktop,etc. under P.R.No. 2173-2020-5% City Disaster Risk Reduction and Management Fund(Continuing).</t>
  </si>
  <si>
    <t>PR No. 20030903 – Supply and Delivery of Two (2) units Truck Dropside 6 Wheeler</t>
  </si>
  <si>
    <t>Invitation to bid for the construction of circumferential concrete pathway at Campana, Uson, Masbate</t>
  </si>
  <si>
    <t>20DD0328 Local Program, Construction/ Repair/ Rehabilitation/ Improvement of Various Infrastructure Including Local Projects, Buildings and Other Structures, Multipurpose/ Facilities, Rehabilitation/</t>
  </si>
  <si>
    <t>20CSHN09 -Appraisal Services for Road-Right-of-Way Acquisition – Road Widening - Secondary Roads - Consolacion-Tayud-Liloan  Road - Chainage 1920 - Chainage 2823, Consolacion, Cebu</t>
  </si>
  <si>
    <t>Construction of Ramp, Open Parking, Open Canal and Perimeter Fence for the DRRM Facility in  Fort Ramon Magsaysay (OCDRO III)</t>
  </si>
  <si>
    <t>Purchase of Emergency Medical Service for Rural Health Unit Use</t>
  </si>
  <si>
    <t>Supply &amp; Delivery of Various Medicines</t>
  </si>
  <si>
    <t>PUBLIC BIDDING / PR 20-03-0161 /  125 BRAND NEW MULTI-FUNCTION PRINTERS (MFP)</t>
  </si>
  <si>
    <t>Negotiated Lease of Office Space for PRO XI LHIO Tagum through MYOA</t>
  </si>
  <si>
    <t>INFRA 2K20-50 CONCRETING OF ROAD FROM JOSEFINA TO BALINTAWAK, MARGOSATUBIG (PHASE I)</t>
  </si>
  <si>
    <t>20OI0122: Construction of Flood Control Structures along Zapote River and its Tributaries (Upstream), Las Pinas City</t>
  </si>
  <si>
    <t>INFRA 2K20-46 REHABILITATION OF POB. LAKEWOOD – BAKING – DAGUM ROAD</t>
  </si>
  <si>
    <t>SUPPLY AND DELIVERY OF  SUPPLIES / MATERIALS FOR LIVELIHOOD PROGRAM FOR FISHERFOLK (FISHING GEARS)</t>
  </si>
  <si>
    <t>20OI0121: CONSTRUCTION OF SLOPE PROTECTION AT ALMIRANTE CREEK AT BRGY. TALON 4, LAS PINAS CITY</t>
  </si>
  <si>
    <t>Supply, Delivery and Installation of Kitchenwares and Equipment for SIP Hub Kitchen of the Univertsity</t>
  </si>
  <si>
    <t>Invitation to Bid for Supply and Delivery of Agricultural Supplies at Mun. Agriculture Office, Calaca, Batangas</t>
  </si>
  <si>
    <t>Food Assistance</t>
  </si>
  <si>
    <t>PUBLIC BIDDING / PR 19-11-1126 RE-BID / REHABILITATION/RESTORATION OF KALAYAAN HALL EXTERIOR</t>
  </si>
  <si>
    <t>3 lots Strapping and Bundling Materials and Band Rolls</t>
  </si>
  <si>
    <t>20NA0072 Completion of Conference/Seminar Building, Brgy. Poblacion, Jabonga, Agusan del Norte</t>
  </si>
  <si>
    <t>INFRA 2K20-49 CONCRETING OF BINUAY TO BALUNO ROAD SECTION</t>
  </si>
  <si>
    <t>PR No. 2020-02-0293-MAIN-Supply, Delivery and Installation of Laboratory Equipment for Garments Technology Instruction for the College of Teacher Education</t>
  </si>
  <si>
    <t>Purchase and Installation of Public Address System for COVID-19 Operation</t>
  </si>
  <si>
    <t>Invitation to Bid for Supply and Delivery of Notebook, Writing Pad and Bond Paper for Day Care Children to Senior High School Students at DepEd Calaca District, Calaca, Batangas</t>
  </si>
  <si>
    <t>Publication No. 31-2020-G (First Publication) Two (2) units Brandnew Dump Truck (5 cu.m capacity) and Two (2) units Brandnew Dump Truck (20 cu.m capacity)</t>
  </si>
  <si>
    <t>PROCUREMENT FOR THE SUPPLY, DELIVERY AND INSTALLATION OF VARIOUS LABORATORY EQUIPMENT FOR USE OF NATIONAL PLANT QUARANTINE SERVICES DIVISION (NPQSD)</t>
  </si>
  <si>
    <t>Publication No. 29-2020-G (First Publication) IT Equipment</t>
  </si>
  <si>
    <t>PR No. 2020-02-0190-MAIN-Supply and Delivery of Hotel Housekeeping Instructional and Laboratory Materials for the College of Business Arts and Sciences</t>
  </si>
  <si>
    <t>Invitation to Bid for Supply and Delivery of Back Pack for Day Care Children to Senior High School Students at DepEd Calaca District, Calaca, Batangas</t>
  </si>
  <si>
    <t>S1-B1420-001 (PB2) - Furnishing Labor and Materials for Dry Docking and Ship Repair of PB 114</t>
  </si>
  <si>
    <t>PR No. 2020-02-0192-MAIN-Supply and Delivery of Audio and Visual Equipment (TV Sets) for Instructional Purposes of CTAS</t>
  </si>
  <si>
    <t>PR No. 2020-02-0384-MAIN-Supply and Delivery of Cheque Paper for Registrar’s Office</t>
  </si>
  <si>
    <t>Invitation to Bid for Supply and Delivery of Plastic Protractor, ID Lace and Holder, Plastic Envelope, Calculator, Pencil Sharpener &amp; Crayons for Day Care Children to Senior High School Students at De</t>
  </si>
  <si>
    <t>Publication No. 28-2020-G (First Publication) Office Equipment</t>
  </si>
  <si>
    <t>Publication No. 30-2020-G (First Publication) Heavy Equipments</t>
  </si>
  <si>
    <t>HO-GRF20-001 - Split Type Metal Enclosure (STME) and Other Accessories Needed for the Reinforcement of the Buckle Anomaly and Damaged Flange Connection of Ilijan Natural Gas Pipeline</t>
  </si>
  <si>
    <t>Construction of Bulacon Barangay Multi-Purpose Building, Concreting of Lapu Lapu St (140.00 m) and Concreting of Aguinaldo St, 200.00m</t>
  </si>
  <si>
    <t>C-2020-01: ENGAGEMENT OF AN ADVERTSING /DESIGN AGENCY FOR THE DESIGN, CONTENT DEVELOPMENT, PRINTING AND DELIVERY OF THE 2019 ANNUAL REPORT OF THE DEVELOPMENT BANK OF THE PHILIPPINES (DBP)</t>
  </si>
  <si>
    <t>Invitation to Bid for Supply and Delivery of Pencil with Eraser, Ballpen, Pentel Pen and Colored Paper for Day Care Children to Senior High School Students at DepEd Calaca District, Calaca, Batangas</t>
  </si>
  <si>
    <t>Upgrading of the Tissue Culture Laboratory, Area: 315.0 Sq.M. at  Isabela State University, Cabagan, Isabela</t>
  </si>
  <si>
    <t>PBD 20-061A DRYDOCKING AND HULL SERVICES</t>
  </si>
  <si>
    <t>20HI0093 - Construction/Rehabilitation of Water Supply/Septage and Sewerage/Rainwater Collectors – Rain Water Collectors in Public Facilities</t>
  </si>
  <si>
    <t>Supply &amp; Delivery of White Bookpaper_July 7, 2020</t>
  </si>
  <si>
    <t>20CSA002: CONSULTANCY SERVICES FOR THE CONDUCT OF FEASIBILITY STUDY OF PROPOSED CONSTRUCTION OF MISSING LINKS AND NEW ROADS NAGUILIAN-BAGULIN (LA UNION) - KAPANGAN (BENGUET) ROAD (REGION I)</t>
  </si>
  <si>
    <t>Improvement of New Public Building</t>
  </si>
  <si>
    <t>Improvement of Tourism Building (Governor’s Guest House)</t>
  </si>
  <si>
    <t>Bidding for the Supply &amp; Delivery of Medical Equipment for COVID-19 Operation</t>
  </si>
  <si>
    <t>RE-BID FOR THE PURCHASE OF SERVICE BUS FOR OFFICIAL TRANSACTIONS OF THE COLLEGE</t>
  </si>
  <si>
    <t>Procurement of External Hard Disk</t>
  </si>
  <si>
    <t>20HI0071 - Construction of Multi-Purpose Building (Multi-purpose Building) at Brgy. Jubay, Liloan, Cebu</t>
  </si>
  <si>
    <t>Fabrication and installation of Six (6) Trash Trap  along San Cristobal River, San Juan River, Cabuyao River and Binan River in the Province of Laguna</t>
  </si>
  <si>
    <t>One (1) Lot Preventive Maintenance of Integrated Electronic Security System for BSP Head Office 2020, as per BSP Terms of Reference and Service Level Agreement</t>
  </si>
  <si>
    <t>SUPPLY OF LABOR AND MATERIALS FOR THE ESTABLISHMENT MULTI-PURPOSE R&amp;D BUILDING LOCATED AT CLIARCUD MAGALANG, PAMPANGA FOR THE YEAR 2020(REBID)</t>
  </si>
  <si>
    <t>Consulting Services for the Detailed Architectural And Engineering Design for the Proposed Construction of the Multi-Purpose Building (Barangay Hall and Fire and Rescue Brigade Headquarters) for Baran</t>
  </si>
  <si>
    <t>20-DO-0083: Repair/Maintenance of Flood Control &amp; Drainage Structures along Manila East Road, Halayhayin Bridge, Pililla, Rizal</t>
  </si>
  <si>
    <t>Construction of Perimeter Fence</t>
  </si>
  <si>
    <t>20HI0075 - Construction of Multi-Purpose Building, Brgy. Jubay, Liloan, Cebu</t>
  </si>
  <si>
    <t>Improvement of Visitor’s Center- (Ogod)</t>
  </si>
  <si>
    <t>Procurement of Infrastructure - Road Opening at Ikog Buaya, Sitio Nonocan</t>
  </si>
  <si>
    <t>Procurement of Infrastructure - Rehabilitation of Barangay Road from Sitio Cabanbanan, Barangay Dapnan to Sitio Lapaz &amp; Sitio Calinaban, Barangay San Isidro</t>
  </si>
  <si>
    <t>20HI0080 - Construction and/or Repair/Rehabilitation of Multi-Purpose Building, Brgy. Yati, Liloan, Cebu</t>
  </si>
  <si>
    <t>Procurement of Infrastructure - Construction of 2 units Single Detached Commercial Hometel at Sunrise Boulevard</t>
  </si>
  <si>
    <t>RFQ / 20-06-0273 / PROCUREMENT OF CERAMIC FLOOR TILES, 30 X 60CM AND 7 OTHER LINE ITEMS</t>
  </si>
  <si>
    <t>Procurement of Infrastructure - Rehabilitation of Barangay Road from Proper San Victor to Sitio Heni</t>
  </si>
  <si>
    <t>WIDENING OF MUNICIPAL STREETS  AT PUROK RIVERSIDE, BRGY. ROBLES</t>
  </si>
  <si>
    <t>Procurement of Infrastructure - Installation of Solar LED Street Light at Barangay Salingcomot</t>
  </si>
  <si>
    <t>Procurement of Infrastructure - Installation of Solar LED Street Light at Barangay San Isidro</t>
  </si>
  <si>
    <t>REHABILITATION OF MULTI-PURPOSE HALL (OLD MUNICIPAL BUILDING)</t>
  </si>
  <si>
    <t>Procurement of Infrastructure - Rehabilitation of Barangay Road from Diversion Road to Sitio Paopagon</t>
  </si>
  <si>
    <t>Publication No. 32-2020-G (First Publication) Computer Server</t>
  </si>
  <si>
    <t>Procurement of Infrastructure - Construction of PDAO Office Extension Building</t>
  </si>
  <si>
    <t>ROAD IMPROVEMENT AT CANTIPAY, CARMEN, CEBU</t>
  </si>
  <si>
    <t>ITB No. 20-23 Procurement of Drugs and Medicines</t>
  </si>
  <si>
    <t>Road Opening &amp; Gravelling of Pananacpan Road</t>
  </si>
  <si>
    <t>Supply and Delivery of 6X6 Saddam Truck Rescue Vehicle (Surplus)</t>
  </si>
  <si>
    <t>RFQ / PR 20-05-0268 / PROCUREMENT OF DSLR CAMERA WITH 18-105MM KIT LENS AND BAG</t>
  </si>
  <si>
    <t>ITB-GS-20200313-01 - Supply and Delivery of 11,360 bundles Clear Plastic Jacket for Savings, Signature Card  and 10,400 reams Whitewove Paper Mimeo</t>
  </si>
  <si>
    <t>Installation of Water Supply to Community Fish Landing Center</t>
  </si>
  <si>
    <t>Repair of Public Market (5 Units Roll UP and Canal Gretings)</t>
  </si>
  <si>
    <t>20CSA001: CCONSULTANCY SERVICES FOR THE CONDUCT OF FEASIBILITY STUDY OF PROPOSED CONSTRUCTION OF MISSING LINKS AND NEW ROADS CERVANTES (ILOCOS SUR) - BESAO-SAGADA (MT. PROVINCE) ROAD VIA LAYLAYA (REGI</t>
  </si>
  <si>
    <t>REPAIR AND IMPROVEMENT OF BARANGAY BINONGA-AN HEALTH STATION (BHS), BARANGAY BULI (BHS), BARANGAY CAWAYAN (BHS),BARANGAY DONA JUANA (BHS) AND BARANGAY MA-BAYBAY (BHS) (PACKAGE A)</t>
  </si>
  <si>
    <t>Ref. No. 2020-010 Proposed Repair and Refurbishment of HTREX Building Located at NHA Main Compound, Elliptical Road, Diliman, Quezon City</t>
  </si>
  <si>
    <t>INVITATION TO BID FOR THE SUPPLY AND DELIVERY OF 2 UNITS BRANDNEW UTILITY VAN FOR EFFICIENT DELIVERY OF SERVICES TO THE CONSTITUENT OF THE CITY GOVERNMENT OF VALENCIA, BUKIDNON</t>
  </si>
  <si>
    <t>PROCUREMENT OF MEDICAL/SURGICAL/LABORATORY/DENTAL &amp; X-RAY SUPPLIES FOR USE AT KALINGA PROVINCIAL HOSPITAL, 20-05-940</t>
  </si>
  <si>
    <t>INVITATION TO BID FOR THE PROPOSED CONSTRUCTION OF MULTI-PURPOSE BUILDING PHASE I AT BARANGAY SAN ISIDRO, VALENCIA CITY, BUKIDNON</t>
  </si>
  <si>
    <t>Supply of Materials for the Repair Parts of M &amp; R: Power System of LMSs</t>
  </si>
  <si>
    <t>B20200206 - REHAB. OF FLORIDA-SUAON-GUPITAN PROVINCIAL ROAD</t>
  </si>
  <si>
    <t>INVITATION TO BID FOR PROCUREMENT OF ONE (1) CROSSOVER UTILITY VEHICLE AND ONE (1) PASSENGER VAN</t>
  </si>
  <si>
    <t>Procurement of Infrastructure - Installation of Solar LED Street Light at Barangay Dapnan</t>
  </si>
  <si>
    <t>Supply of Materials for the Repair Parts of M &amp; R: Communication Equipment of LMSs</t>
  </si>
  <si>
    <t>Office Supplies, Consumables, Janitorial Supplies, Electrical Supplies and PPE Supplies for the 2nd Quarter</t>
  </si>
  <si>
    <t>CONSTRUCTION OF BARANGAY HEALTH STATION AT CAURASAN, CARMEN, CEBU</t>
  </si>
  <si>
    <t>ROAD IMPROVEMENT AT BARANGAY HAGNAYA, CARMEN, CEBU</t>
  </si>
  <si>
    <t>Concreting of Farm to Market Road (Roma Norte-Batu Road)</t>
  </si>
  <si>
    <t>SUPPLY AND DELIVERY OF ONE (1) UNIT UTILITY VEHICLE (PICK UP)</t>
  </si>
  <si>
    <t>20HI0073 (re-ad) - Construction of Multi-Purpose Building, Brgy. Poblacion, Borbon, Cebu</t>
  </si>
  <si>
    <t>Equipment for Banana Tissue Culture Laboratory</t>
  </si>
  <si>
    <t>Construction Projects-Concreting of Access Road (Rizal,Lopez Jaena)-MEO,Lopez Jaena</t>
  </si>
  <si>
    <t>20HI0092 - Concreting of Brgy. Easter Poblacion to Brgy. Altavista FMR, Poro, Cebu</t>
  </si>
  <si>
    <t>20HI0072 - Construction of Multi-Purpose Building/Brgy. Hall, Brgy. Villahermosa, Tudela, Cebu</t>
  </si>
  <si>
    <t>Procurement of Infrastructure - Construction of 1 unit Multi-Purpose Pavement</t>
  </si>
  <si>
    <t>Pasalubong Center</t>
  </si>
  <si>
    <t>Procurement of Infrastructure - Barangay Road Opening</t>
  </si>
  <si>
    <t>HO-DMD20-005 - Supply and Delivery of Heavy Duty Stapler and OTG Flashdrive</t>
  </si>
  <si>
    <t>Supply, Delivery, Installation and Commissioning of Air-Conditioning System for the Bureau of Quarantine</t>
  </si>
  <si>
    <t>Supply and Delivery of 40 Units Brand New Customized Police Patrol Vehicle</t>
  </si>
  <si>
    <t>Completion of Covered Court of VSU Villaba</t>
  </si>
  <si>
    <t>Procurement of Infrastructure - Rehabilitation of Sunrise Boulevard</t>
  </si>
  <si>
    <t>20GKF0040-Purchase of Materials for Regravelling of Shoulders along Linamon-Zamboanga Road K1576+000-K1579+000.</t>
  </si>
  <si>
    <t>INVITATION TO BID FOR THE  NEGOTIATED PROCUREMENT OF RESEARCH LABORATORY EQUIPMENT FOR CY 2020</t>
  </si>
  <si>
    <t>20GKF0037-Purchase of Materials for Regravelling of Shoulders along Linamon-Zamboanga Road K1585+000-K1588+000.</t>
  </si>
  <si>
    <t>HO-AWA20-004 - Supply and Delivery of Waterproof Hiking Shoes</t>
  </si>
  <si>
    <t>20GKF0036-Purchase of Materials for Regravelling of Shoulders along Linamon-Zamboanga Road K1590+000-K1593+000.</t>
  </si>
  <si>
    <t>Supply and Delivery of 1,796 UNITS 15MMØ MULTI-JET BRASS WATER METER</t>
  </si>
  <si>
    <t>Contract ID No. 20NC0125 - Construction of Agusan River Flood Control Sta. 0+000-0+050.00, Veruela, Agusan del Sur</t>
  </si>
  <si>
    <t>Purchase of Generator Set to be installed at New Public Market, Barangay Poblacion, Lobo, Batangas</t>
  </si>
  <si>
    <t>Concrete Paving along River Park 100LM(Phase 1) (06-0592)CPDO</t>
  </si>
  <si>
    <t>20GKF0039-Purchase of Materials for Regravelling of Road Shoulders along Tubod-Ganassi Road K1605+000-K1610+000.</t>
  </si>
  <si>
    <t>Procurement of Dental Digital Panoramic X-ray Machine with Complete Accessories and Installation</t>
  </si>
  <si>
    <t>20GKF0038-Purchase of Materials for Regravelling of Road Shoulders along Tubod-Ganassi Road K1605+000-K1610+000.</t>
  </si>
  <si>
    <t>Procurement of Consultancy Services for the “Implementation of the 2020 PhilHealth Client Awareness and Satisfaction Survey”</t>
  </si>
  <si>
    <t>Proposed Construction of Level II Portable Water System(Drilling/Construction of Steel Tank/Pipelines) at Purok 7, Brgy. Macebolig, Kidapawan City</t>
  </si>
  <si>
    <t>Construction of Rural Access Road</t>
  </si>
  <si>
    <t>Rehabilitation/Maintenance of Farm to Market Road</t>
  </si>
  <si>
    <t>Improvement of Multi-purpose Hall,  Tubod Bacong, Negros Oriental</t>
  </si>
  <si>
    <t>HO-WMD20-001 - Supply and Delivery of Desktop Computer and Laptop</t>
  </si>
  <si>
    <t>Supply &amp; Delivery of Materials for Proposed Closure and Rehabilitation of Open Dumpsite at Banate Capungagan, Kapalong, Davao del Norte</t>
  </si>
  <si>
    <t>PROCUREMENT OF CONSULTING SERVICES FOR THE DEVELOPMENT OF COMPETENCY MODELLING, PROFILING AND ASSESSMENT OF TECHNICAL JOB POSITIONS IN THE PHILIPPINE NATIONAL RAILWAYS (PNR)</t>
  </si>
  <si>
    <t>Proposed Construction of Level II Portable Water System(Drilling/Construction of Steel Tank/Pipelines) at Sitio Puas Inda, Brgy. Amas, Kidapawan City.</t>
  </si>
  <si>
    <t>Supply &amp; Delivery One (1) unit Mini Hydraulic Excavator</t>
  </si>
  <si>
    <t>Procurement of Fully Automated Digital Radiography Ceiling Mounted with Design and Build with Integrated Radiololy Information System (RIS)</t>
  </si>
  <si>
    <t>Proposed Construction of Level II Portable Water System(Drilling/Construction of Steel Tank/Pipelines) at Sitio Lika, Brgy. Onica, Kidapawan City</t>
  </si>
  <si>
    <t>Procurement of Catering Services for the 4th Level Training 2020 CPH of PSA RSSO IX and the Provinces</t>
  </si>
  <si>
    <t>Construction of Cordova Public Market (Cordova Town Square)</t>
  </si>
  <si>
    <t>Proposed Construction of Feedmill Plant (15.0m x 15.0m One(1) Storey Building) at Brgy. Paco, Kidapawan City</t>
  </si>
  <si>
    <t>BID - Various Manila Aide Uniforms, Supplies and Materials - DPS 2nd qtr</t>
  </si>
  <si>
    <t>Proposed Improvement of Multi-Purpose Building (Improvement and Completion of Second Floor) at JP Laurel Street, Brgy. Poblacion, Kidapawan City</t>
  </si>
  <si>
    <t>Provision of Sixteen (16) Sets Solar Streetlight at Brgy Estipona Local Access Road, Pura, Tarlac</t>
  </si>
  <si>
    <t>Procurement of Reference Books (Lot 1-7)</t>
  </si>
  <si>
    <t>Procurement of Carabao</t>
  </si>
  <si>
    <t>CONTRACT ID: 19-10-208 REBID- SUPPLY, DELIVERY, TESTING AND COMMISSIONING OF BRAND NEW AMBULANCE (TYPE I)</t>
  </si>
  <si>
    <t>Diesel Fuel etc. (05-0543) CMO</t>
  </si>
  <si>
    <t>Proc of various MTPB uniforms, supplies and materials</t>
  </si>
  <si>
    <t>20FL0084-Rehabilitation/Construction of Road, Barangay Carayat, Prieto Diaz, Sorsogon,Sorsogon 2nd Legislative District</t>
  </si>
  <si>
    <t>Proposed Road Concreting of Circumferential Road/Ninoy Aquino Extension at junction Kidapawan-Calunasan Mlang Road-Purslane Section, Brgy. Magsaysay, Kidapawan City</t>
  </si>
  <si>
    <t>CONSTRUCTION OF JIABONG FIRE STATION</t>
  </si>
  <si>
    <t>20FL0078-Construction of Water Supply System, Barangay Bolo, Matnog, Sorsogon, Sorsogon 2nd Legislative District</t>
  </si>
  <si>
    <t>Contract ID No. 19CSK00055 – Consulting Services for the Conduct of Soil Testing/Exploration for Bridge Projects - Geotechnical Investigation - Construction of Concrete Bridge, Impasug-ong Bdry. Bukid</t>
  </si>
  <si>
    <t>20FL0085-Construction of Road Barangay Diamante, Prieto Diaz, Sorsogon, Sorsogon 2nd Legislative District</t>
  </si>
  <si>
    <t>ROAD IMPROVEMENT AT SITIO MALBAGO, LUYANG, CARMEN, CEBU</t>
  </si>
  <si>
    <t>REHABILITATION OF SPILLWAY</t>
  </si>
  <si>
    <t>REPAIR OF BRGY. COMMUNITY CENTER FLOORING (portion only)</t>
  </si>
  <si>
    <t>Contract ID No. 20NC0124 - Construction of Riverbank Protection of Ihawan River Sta. 0+000-0+060.00, Loreto, Agusan del Sur</t>
  </si>
  <si>
    <t>Contract ID No. 19CSK00053 – Consulting Services for the Conduct of Soil Testing/Exploration for Bridge Projects - Geotechnical Investigation - Construction of Pigsuotan Bridge, Brgy. Mandulog, Iligan</t>
  </si>
  <si>
    <t>Const. of MRF</t>
  </si>
  <si>
    <t>SUPPLY AND DELIVERY OF COMPLETE FERTILIZER FOR RUBBER PLANTATION – MUNICIPAL WIDE, IMPASUGONG, BUKIDNON</t>
  </si>
  <si>
    <t>CONSTRUCTION OF PINABACDAO FIRE STATION</t>
  </si>
  <si>
    <t>CONSTRUCTION OF PADRE BURGOS FIRE STATION</t>
  </si>
  <si>
    <t>Procurement of supply and delivery of Agricultural Supplies and Materials</t>
  </si>
  <si>
    <t>Fabrication of 8 units Barangay MRF</t>
  </si>
  <si>
    <t>RE-BID SUPPLY AND DELIVERY OF TWO HUNDRED SIXTY FOUR (264) UNITS WEIGHING SCALE AND 4,000 BOTTLES MULTI-VITAMINS</t>
  </si>
  <si>
    <t>Contract ID No. 19CSK00056 – Consulting Services for the Conduct of Soil Testing/Exploration for Bridge Projects - Geotechnical Investigation - Construction of Bridge, Cagayan de Oro Diversion Road, J</t>
  </si>
  <si>
    <t>Procurement of supply and delivery of native pig</t>
  </si>
  <si>
    <t>Contract ID No. 19CSK00054 – Consulting Services for the Conduct of Soil Testing/Exploration for Bridge Projects - Geotechnical Investigation - Construction of Concrete Bridge, Magsaysay-Butuan City C</t>
  </si>
  <si>
    <t>Supply &amp; Delivery of One Lot Office Supplies 2020-149</t>
  </si>
  <si>
    <t>Procurement of supply and delivery of Assorted Vegetable Seeds</t>
  </si>
  <si>
    <t>(20-0167) HARDWARE SUPPLIES FOR EMS STORAGE AREA</t>
  </si>
  <si>
    <t>INVITATION TO BID FOR PROCUREMENT OF 8 LAPTOP UNITS, 1 HIGH-END VIDEO EDITING LAPTOP AND 20 DESKTOP UNITS</t>
  </si>
  <si>
    <t>Construction of Drainage System 88 Linear Meter at L. Cambonga St., Poblacion, Sibonga, Cebu</t>
  </si>
  <si>
    <t>20HI0088 - Construction of Local Road, Brgy. Tayud, Liloan, Cebu</t>
  </si>
  <si>
    <t>PH-NPC-162238-GO-RFB - Solar Home Systems (SHS) for Access to Sustainable Energy Project Philippines, Window 2</t>
  </si>
  <si>
    <t>20HI0078 - Construction of Multi-Purpose Building, Barangay Estaca, Compostela, Cebu</t>
  </si>
  <si>
    <t>20HI0059 - Concreting of Road to Villahermosa Marine Sanctuary and Mangrove Ecopark, Tudela, Cebu</t>
  </si>
  <si>
    <t>20HI0035 - Amancion Road Opening, Brgy. Amancion, Catmon, Cebu</t>
  </si>
  <si>
    <t>Elevated Water Tank at Birthing Center</t>
  </si>
  <si>
    <t>Supply and Delivery of One Hundred Fifty (150) units Smart Television</t>
  </si>
  <si>
    <t>PROCUREMENT OF O.B. KITS FOR USE AT PROVINCIAL HEALTH OFFICE, 20-05-897</t>
  </si>
  <si>
    <t>Procurement of supply and delivery of Native Chicken</t>
  </si>
  <si>
    <t>INVITATION TO RE-BID FOR THE  SUPPLY, DELIVERY, AND INSTALLATION OF LOCAL AREA NETWORK (LAN) STRUCTURED CABLING IN THE NEW MSSD BUILDING, TALAMBAN, CEBU CITY PR No. 27608-001</t>
  </si>
  <si>
    <t>20HI0067 - Construction of Infirmary Hospital at Tudela, Cebu – Phase 1</t>
  </si>
  <si>
    <t>INVITATION TO RE-BID FOR THE  SUPPLY AND DELIVERY OF GIS DESKTOP SOFTWARE PR No. 27611-001</t>
  </si>
  <si>
    <t>Procurement of 1,000 Vial Rabies Vaccine(10 Dose/Vial),etc. under P.R.No. 1408-2020-Office of the City Veterinarian-2nd Bidding</t>
  </si>
  <si>
    <t>Electrical Equipment</t>
  </si>
  <si>
    <t>REI 20CSCJ01 Consulting Services for the Conduct of Sub-surface Soil Exploration and Geotechnical Investigation for the  Construction of various Buildings and Other Structures in Tarlac.</t>
  </si>
  <si>
    <t>ITB NO. 2020-0013 Supply, Delivery, Installation, Testing, Commissioning and Training of Six (6) Units of  Audio Processors for the Manila, Zamboanga, Guimaras, Naga, and Cotabato Transmitter  Station</t>
  </si>
  <si>
    <t>20HI0060 - Construction of Multi-Purpose Building, Brgy. Maslog, Danao City, Cebu</t>
  </si>
  <si>
    <t>ITB NO. 2020-0012 Design, Supply, Fabrication of Mounting Brackets and Installation and Testing of Antenna Panels for the Zamboanga Transmitter Station of the People’s Television Network Inc. (PTNI)</t>
  </si>
  <si>
    <t>Supply and Delivery of Various Brand New Heavy Equipments and  Brand New Six (6) Wheelers Dump truck</t>
  </si>
  <si>
    <t>Design and Build of Single - storey Administration Building for Dipaculao Water District, Dipaculao, Aurora (Rebidding)</t>
  </si>
  <si>
    <t>ITB No. (INF) 2020-06-088 CONSTRUCTION OF BRGY. ROAD, CANTEROS FARM-TO-MARKET ROAD, Can-avid, Eastern Samar</t>
  </si>
  <si>
    <t>ITB No. (INF) 2020-06-087 CONCRETING OF HOLLYWOOD TO BUNGTOD ROAD, Guiuan, Eastern Samar</t>
  </si>
  <si>
    <t>Supply and Delivery of One (1) Unit Passenger Van</t>
  </si>
  <si>
    <t>Ref. No. 2020-S002 Construction of Primary Road with Solar Lamps and Underground Utilities in the Most Affected Area (MAA), Marawi City, Lanao Del Sur</t>
  </si>
  <si>
    <t>Ref. No. 2020-S001 Construction of Secondary and Tertiary Roads with Solar Lamps and Utilities in the Most Affected Area (MAA), Marawi City, Lanao Del Sur</t>
  </si>
  <si>
    <t>Purchase of One (1) 150 KVA 120 KW, 220/240 Voltage, 60Hz, three phase Sound proof GENERATOR SET for Isolation Facility</t>
  </si>
  <si>
    <t>Evaporation Kettle</t>
  </si>
  <si>
    <t>Supply &amp; Delivery of Various Materials for the Installation of Solar Street Light</t>
  </si>
  <si>
    <t>Contract ID No. 20NC0119 -Road Widening, Daang Maharlika (Agusan-Davao Section),</t>
  </si>
  <si>
    <t>SUPPLY AND DELIVERY OF MATERIALS FOR THE OPERATION AND MAINTENANCE OF MONGPONG DPP</t>
  </si>
  <si>
    <t>Concreting of Alley Road at Sitio Capacuan</t>
  </si>
  <si>
    <t>CONSULTANCY SERVICES FOR SAMAR URBAN DEVELOPMENT PLAN</t>
  </si>
  <si>
    <t>Procurement of Calibration Services</t>
  </si>
  <si>
    <t>Cluster XXXIII</t>
  </si>
  <si>
    <t>SUPPLY AND DELIVERY OF VARIOUS WATER SERVICE CONNECTION MATERIALS FOR 2ND QUARTER PROCUREMENT OF CY 2020</t>
  </si>
  <si>
    <t>ITB NO. 2020-0011  Provision of Security  Services of People’s Television Network, Inc. Manila Office and its Provincial Station</t>
  </si>
  <si>
    <t>20GB0123 - Concreting of Brgy. Maybunga FMR, Brgy. Maybunga, Laua-an, Antique</t>
  </si>
  <si>
    <t>SUPPLY OF LABOR AND MATERIALS FOR THE ESTABLISHMENT OF PROCESSING AND SOLAR DRYING FACILITY OF BPI-LGNCRDPSC, LA CARLOTA CITY, NEGROS OCCIDENTAL</t>
  </si>
  <si>
    <t>REHABILITATION OF TAGO TOWN HALL</t>
  </si>
  <si>
    <t>SUPPLY OF LABOR AND MATERIALS FOR THE CONSTRUCTION OF SEED STORAGE OF BPI-LGNCRDPSC, LA CARLOTA CITY, NEGROS OCCIDENTAL</t>
  </si>
  <si>
    <t>Livelihood Project, Hog Fattening (Sitio Guinmisahan)</t>
  </si>
  <si>
    <t>SUPPLY OF LABOR SERVICE, SUPPLIES, AND MATERIALS FOR THE ESTABLISHMENT OF 20KW GRID-TIED SOLAR PV ENERGY SYSTEM FOR TISSUE CULTURE LABORATORY OF BPI-DNCRDPSC, BAGO OSHIRO, DAVAO CITY</t>
  </si>
  <si>
    <t>PROCUREMENT FOR THE SUPPLY AND DELIVERY OF ANALYTICAL AND TOP LOADING BALANCE FOR USE IN SEED TESTING AND SEED CERTIFICATION OF NATIONAL SEED QUALITY CONTROL SERVICES DIVISION (NSQCSD)</t>
  </si>
  <si>
    <t>THE PROCUREMENT FOR THE SUPPLY AND DELIVERY OF PRECISION DIVIDER FOR USE IN SEED TESTING AND SEED CERTIFICATION OF NATIONAL SEED QUALITY CONTROL SERVICES DIVISION (NSQCSD)</t>
  </si>
  <si>
    <t>THE PROCUREMENT FOR THE SUPPLY AND DELIVERY OF DIGITAL DUPLICATOR FOR USE IN SEED TESTING AND SEED CERTIFICATION OF NATIONAL SEED QUALITY CONTROL SERVICES DIVISION (NSQCSD)</t>
  </si>
  <si>
    <t>PROCUREMENT FOR THE SUPPLY AND DELIVERY OF PURITY WORKBOARD, DIAPHANOSCOPE, AND CIRCLINE MAGNIFIER FOR USE IN SEED TESTING AND SEED CERTIFICATION OF NATIONAL SEED QUALITY CONTROL SERVICES DIVISION (NS</t>
  </si>
  <si>
    <t>Municipal Nursery cum Training and Info Building (4 units)</t>
  </si>
  <si>
    <t>Improvement of Drainage Canal Provincial Government Offices (PEO)</t>
  </si>
  <si>
    <t>PROCUREMENT FOR THE SUPPLY AND DELIVERY OF ELECTRIC HEAVY DUTY CUTTER FOR USE IN SEED TESTING AND SEED CERTIFICATION OF NATIONAL SEED QUALITY CONTROL SERVICES DIVISION (NSQCSD)</t>
  </si>
  <si>
    <t>Cluster XXXVIII</t>
  </si>
  <si>
    <t>Construction of Water Supply System</t>
  </si>
  <si>
    <t>Cluster XXXVII</t>
  </si>
  <si>
    <t>Cluster XXXIX</t>
  </si>
  <si>
    <t>Cluster XXXVI</t>
  </si>
  <si>
    <t>Cluster XXXV</t>
  </si>
  <si>
    <t>Const. Of NCDC Building</t>
  </si>
  <si>
    <t>Purchase of Materials for the Construction of Sea Ambulance</t>
  </si>
  <si>
    <t>Cluster XXXIV</t>
  </si>
  <si>
    <t>Construction of Two Units Makeshift Building for Livelihood Project in Sitio Limite, Brgy. Daja Daku, San Isidro, Leyte, ABC PHP1,318,234.84</t>
  </si>
  <si>
    <t>Replacement of Windows at College Building</t>
  </si>
  <si>
    <t>Repair of the ORC Building</t>
  </si>
  <si>
    <t>20F00113 - Local Program – Construction/Repair/Rehabilitation/Improvement of Various Infrastructure including Local Projects – Local Roads and Bridges – Local Roads – Construction of Pasacao-Balatan C</t>
  </si>
  <si>
    <t>20F00110 - Local Program – Construction/Repair/Rehabilitation/Improvement of Various Infrastructure including Local Projects – Local Roads and Bridges – Local Roads – Construction of Pasacao-Balatan C</t>
  </si>
  <si>
    <t>20F00059 (re-advertisement) - OO1: Ensure Safe and Reliable National Road System – Network Development Program – Road Widening – Secondary Roads, Masbate-Cataingan-Placer Road, Cataingan, Masbate (3rd</t>
  </si>
  <si>
    <t>Procurement of Various Common Use Supplies and Equipment (Not Available in DBM-PS Depot) to be Used in the Different Offices of LGU-Molave, ZDS for the First(1st) Quarter 2020</t>
  </si>
  <si>
    <t>COMPLETION OF BUAYA BARANGAY HEALTH CLINIC, MAPITPITA,BUAYA, BALBALAN</t>
  </si>
  <si>
    <t>PR# 20-0843- 6,500 prefilled syringe epoetin ALFA 4000iu 1ml 5,000 prefilled syringe epoetin BETA 5000iu 3ml 500 prefilled syringe INSULIN GLARGINE 100iu/ml 3ml 250 vials ISOPHANE INSULIN HUMAN (Recom</t>
  </si>
  <si>
    <t>PURCHASE TABLES AND CHAIRS</t>
  </si>
  <si>
    <t>Supply &amp; Delivery of Various Medicines (RFP 2020-03)</t>
  </si>
  <si>
    <t>20BF0052: Concreting of Road, Brgy. Bannawag, Aurora, Isabela</t>
  </si>
  <si>
    <t>Construction of Grouted Riprap</t>
  </si>
  <si>
    <t>20F00123 - OO1: Ensure Safe and Reliable National Road System – Bridge Program – Widening of Permanent Bridges – Pili Airport Br. (B00418LZ) along Pili Airport Road, Pili, Camarines Sur 3rd Legislativ</t>
  </si>
  <si>
    <t>Completion for Sergio Osmeña Street going Mabuhay Central Elementary School</t>
  </si>
  <si>
    <t>Concreting of Alley Road  at Sitio Batog</t>
  </si>
  <si>
    <t>20KA0142 Construction of Multi Purpose Building - Construction of Multi-Purpose  Building, Brgy. Iba, Cabanglasan, Bukidnon (Phase II) Cabanglasan, Bukidnon</t>
  </si>
  <si>
    <t>Petroleum, Oil and Lubricants</t>
  </si>
  <si>
    <t>74568 - Procurement of Various Hardware Materials for Construction of Modular Concrete Blocks</t>
  </si>
  <si>
    <t>SUPPLY AND DELIVERY OF LOT 1: 100 BAGS GLUTINOUS CORN SEEDS @ 18KG/BAG</t>
  </si>
  <si>
    <t>Two (2) Years and Six (6) Months Contract for Janitorial Services (July 2020 to December 2022)</t>
  </si>
  <si>
    <t>74462 - Procurement of Airconditioning Check-up and Cleaning Services</t>
  </si>
  <si>
    <t>Purchase of Eleven (11) Units Laptop for the Use of Sangguniang Bayan</t>
  </si>
  <si>
    <t>RFQ / 20-03-0226 / PROCUREMENT OF 24 GALS RED OXIDE PRIMER AND 6 OTHER LINE ITEMS</t>
  </si>
  <si>
    <t>20KA0141 Paving of Unpaved Roads with Construction of Road Slope Protection Structure along Jct SH Aglayan-Zamboanguita Rd (S00631MN) - K1569 + 187 - K1570 + 092 (Package 2 - K1569 + 607 - K1570 + 092</t>
  </si>
  <si>
    <t>SUPPLY AND DELIVERY OF LOT 2: VARIOUS FERTILIZERS IN SUPPORT TO FOOD SECURITY PROGRAM AMID COVID 19</t>
  </si>
  <si>
    <t>20FO0092 - Construction of Covered Court, Brgy. La Medalla, Polangui, Albay</t>
  </si>
  <si>
    <t>FERTILIZERS AND SEEDS FOR URBAN AGRICULTURE GARDENING</t>
  </si>
  <si>
    <t>ITB - Vehicles (Rebid)</t>
  </si>
  <si>
    <t>20KA0136 Paving of Unpaved Roads with Construction of Road Slope Protection Structure along Kapalong-Talaingod-Valencia (Bukidnon) Rd (S00641MN) -  K1582 + 587 - K1582 + 734 (Package 1 - K1582 + 680 -</t>
  </si>
  <si>
    <t>20KA0135 Road Widening along Jct SH Aglayan-Zamboanguita Rd (S00631MN) - K1523 + 850 - K1525 + 500 (Package 1 - K1523 + 850 - K1525 + 340) Malaybalay City, Bukidnon</t>
  </si>
  <si>
    <t>20KA0139 Road Widening along Jct SH Aglayan-Zamboanguita Rd (S00631MN) - K1523 + 850 - K1525 + 500 (Package 2 - K1525 + 340 - K1525 + 500) Malaybalay City, Bukidnon</t>
  </si>
  <si>
    <t>20KA0138 Construction of Multi Purpose Building - Construction of Multi-Purpose  Building, Brgy. Iba, Cabanglasan, Bukidnon (Phase I) Cabanglasan, Bukidnon</t>
  </si>
  <si>
    <t>(19Z00043) Contract Package -2, Design and Build of the Ambal-Simuay River and Rio Grande De Mindanao Flood Control Projects</t>
  </si>
  <si>
    <t>74514 - Procurement of Various Hardware &amp; Construction Materials</t>
  </si>
  <si>
    <t>20KA0137 Paving of Unpaved Roads with Construction of Road Slope Protection Structure along Jct SH Aglayan-Zamboanguita Rd (S00631MN) - K1569 + 187 - K1570 + 092 (Package 1 - K1569 + 187 - K1569 + 607</t>
  </si>
  <si>
    <t>NE 63R - PAITAN SWIP</t>
  </si>
  <si>
    <t>RFQ / PR 20-03-0182 / PROCUREMENT OF CONSTRUCTION MATERIALS FOR WALK-IN CLOSET</t>
  </si>
  <si>
    <t>ITB-GS-20200402-01 - Supply and Delivery of 250 Units Gigabit Ethernet Switch</t>
  </si>
  <si>
    <t>Office supplies</t>
  </si>
  <si>
    <t>ITB-GS-20200323-01 - 1 Lot Supply, Delivery and Installation of Systems Furniture for LANDBANK Malolos Highway Office Building</t>
  </si>
  <si>
    <t>UPS</t>
  </si>
  <si>
    <t>Conduct of  Feasibility Study of BOSIGON  IRRIGATION PROJECT, Labo, Vinzons, &amp; Paracale, Camarines Norte</t>
  </si>
  <si>
    <t>Concreting of 1KM Culasian-Motong Farm to Market Road.</t>
  </si>
  <si>
    <t>20F00114 - OO1: Ensure Safe and Reliable National Road System – Network Development Program – Construction of By-Pass and Diversion Roads – Palanas – San Isidro Road, Jovellar, Albay, Albay 3rd Legisl</t>
  </si>
  <si>
    <t>CONSTRUCTION OF WOOD VINEGAR FACILITY</t>
  </si>
  <si>
    <t>(20P00009)- (BLISTT), Asin - Nangalisan Jct. - Bayabas - Monglo Jct. (Section 1 of BLISTT Outer Ring Circumferential Road), Benguet</t>
  </si>
  <si>
    <t>20KA0140 Paving of Unpaved Roads with Construction of Road Slope Protection Structure along Kapalong-Talaingod-Valencia (Bukidnon) Rd (S00641MN) -  K1582 + 587 - K1582 + 734 (Package 2 - K1582 + 587 -</t>
  </si>
  <si>
    <t>(20P00006)- (BLISTT), Labey – Lacamen Provincial Road (Section 4B of BLISTT Outer Ring Circumferential Road), Package 1 and 2, Sta. 2 + 324 – Sta. 2 + 494, Sta. 2 + 510 - Sta. 2 + 880</t>
  </si>
  <si>
    <t>PROCUREMENT OF DELTAMETHRIN – REBID  UNDER IB NO. 2020-172-A</t>
  </si>
  <si>
    <t>(20P00017)-(BLISTT), Labey – Lacamen Provincial Road (Section 4A of BLISTT Outer Ring Circumferential Road), Sta. 0 + 317 – Sta. 1 + 378, Sta.  4 + 632 - Sta. 5 + 250, Sta. 6 + 014 - Sta. 6 + 518</t>
  </si>
  <si>
    <t>NE 62R - SIMIMBAAN SWIP</t>
  </si>
  <si>
    <t>ITB-GS-20200407-01 - Supply, Delivery, Installation &amp; Configuration of Privileged Access Management (PAM) Solution  with Hardware Appliance with Three (3) Years Warranty</t>
  </si>
  <si>
    <t>Installation of CCTV's in Various Barangays</t>
  </si>
  <si>
    <t>(20P00005)- (BLISTT) Taloy Norte Jct. - San Pascual Brgy. Hall Jct. (Section 7 of BLISTT Outer Ring Circumferential Road)</t>
  </si>
  <si>
    <t>Procurement of supply and delivery of Laboratory Supplies</t>
  </si>
  <si>
    <t>Supply and Delivery of 700 Box Personalized Accountable Forms 51 (Continuous FOrm) (500sets/box) and other items.</t>
  </si>
  <si>
    <t>ITB and Bid Docs for Procurement ID/Contract ID:    20C00036  Contract Name:      Local Program – Local Infrastructure Program – Buildings and Other Structures – Multi Purpose Facilities – Constructio</t>
  </si>
  <si>
    <t>Supply and Delivery of Seaweed Propagules/Seedlings intended for the Fisherfolks in the Province of Masbate</t>
  </si>
  <si>
    <t>Procurement of Consultancy Services as Systems Integrator for the Supply, Delivery, Installation, and Maintenance of the Philippine Identification System</t>
  </si>
  <si>
    <t>Lot 1: One (1) Unit Motor Vehicle for BSP Bacolod Branch, as per attached specifications  Lot 2: One (1) Unit Motor Vehicle for BSP Dumaguete Branch, as per attached specifications  Lot 3: One (1) Uni</t>
  </si>
  <si>
    <t>Handheld Radios</t>
  </si>
  <si>
    <t>ITB and Bid Docs for Procurement ID/Contract ID:    20C00042 - Local Program-Construction/Repair/Rehabilitation/Improvement of various Infrastructure including Local Projects – Flood Control &amp; Drainag</t>
  </si>
  <si>
    <t>Purchase &amp; Installation of Communications Equipment for Bicol ( New Legazpi) International Airport (Re-Bid)</t>
  </si>
  <si>
    <t>ITB- Upgrading Central Agriculture Laboratory Building (ASIST Lagangilang)</t>
  </si>
  <si>
    <t>20BG0135-Local Infrastructure Program - Buildings and Other Structures - Multipurpose/Facilities - Construction of Multi-Purpose Building (Terminal Building), Brgy. Napaccu Pequeño, Reina Mercedes, Is</t>
  </si>
  <si>
    <t>Other Machinery and Equipment</t>
  </si>
  <si>
    <t>Lot 1: One (1) Lot Application of Polyurethane Foam on all BSP Buildings of BSP Cebu RO (see attached Scope of Work and Specifications)                                                                L</t>
  </si>
  <si>
    <t>20BG0137-Local Infrastructure Program - Buildings and Other Structures - Multipurpose/Facilities - Construction of Multi-Purpose Building (San Mariano Evacuation Center-Phase 2), Brgy. Minanga, San Ma</t>
  </si>
  <si>
    <t>20BG0136-Local Infrastructure Program - Buildings and Other Structures - Multipurpose/Facilities - Construction of Multi-Purpose Building (Municipal Building), Brgy. Napaccu Pequeño, Reina Mercedes, I</t>
  </si>
  <si>
    <t>20BG0131-Local Infrastructure Program - Buildings and Other Structures - Multipurpose/ Facilities - Construction of Multi-purpose Building, Barangay Napaccu Pequeño, Reina Mercedes, Isabela</t>
  </si>
  <si>
    <t>Profession Services (Highly Technical)</t>
  </si>
  <si>
    <t>SUPPLY AND DELIVERY OF LOT 1: 230 PIECES PLANNER NOTEBOOK</t>
  </si>
  <si>
    <t>20CSH022 - Procurement of  Consultancy Services for the Detailed Engineering Design (DED) Activities for various projects, Construction of Elevated Highway along Gen. Maxilom Ave. covering the junctio</t>
  </si>
  <si>
    <t>Supply and Delivery of Bangus Fry at BFAR-MAP, San Roque, Mercedes, Camarines Norte</t>
  </si>
  <si>
    <t>CONSTRUCTION REHAB PROVISION OF AMENTIES OF DETENTION CELL</t>
  </si>
  <si>
    <t>CY 2020 BASIC EDUCATIONAL FACILITIES FUND (BEFF) ELECTRICAL UPGRADE OF BUBUYAN NATIONAL HIGH SCHOOL (ITB 2020-Infra-007)</t>
  </si>
  <si>
    <t>CY 2020 BASIC EDUCATIONAL FACILITIES FUND (BEFF) ELECTRICAL UPGRADE OF MAKILING NATIONAL HIGH SCHOOL (ITB 2020-Infra-006)</t>
  </si>
  <si>
    <t>CY 2020 BASIC EDUCATIONAL FACILITIES FUND (BEFF) REPAIR/IMPROVEMENT OF VARIOUS SCHOOL BUILDINGS – ULANGO ES (ITB 2020-Infra-005)</t>
  </si>
  <si>
    <t>CY 2020 BASIC EDUCATIONAL FACILITIES FUND (BEFF) REPAIR/IMPROVEMENT OF VARIOUS SCHOOL BUILDINGS – LOOC ES (ITB 2020-Infra-002)</t>
  </si>
  <si>
    <t>Consulting Service for the Support and Maintenance of the Business Name Registration System Next Generation (BNRSNextGEN)</t>
  </si>
  <si>
    <t>CY 2020 BASIC EDUCATIONAL FACILITIES FUND (BEFF) REPAIR/IMPROVEMENT OF VARIOUS SCHOOL BUILDINGS – JOSE PLATON MS (ITB 2020-Infra-001)</t>
  </si>
  <si>
    <t>BIDDING FOR THE PROCUREMENT OF ONE (1) LOT INTEGRATED SECURITY SUITE FOR TWO (2) YEARS</t>
  </si>
  <si>
    <t>ITB-GS-20200212-01 - Supply and Delivery of 600 Units Passbook Printer</t>
  </si>
  <si>
    <t>Supply and Delivery of Six (6) Units of Cellphone</t>
  </si>
  <si>
    <t>20AC0083 - Construction of Flood Control Structure Along Mestizo River, Brgy. Pandan-Manangat, Caoayan, Ilocos Sur</t>
  </si>
  <si>
    <t>20HM0083 (Re-IB) - Local Program, Local Infrastructure Program, Buildings And Other Structures, Multipurpose/Facilities, Construction of Multi-Purpose Building, Brgy. Candanay Norte, Siquijor, Siquijo</t>
  </si>
  <si>
    <t>20AC0091 - Construction of Multi-Purpose Building, Brgy. San Vicente, Magsingal, Ilocos Sur</t>
  </si>
  <si>
    <t>20AC0087 - Rehabilitation of Tamorong Road with Slope Protection and Culvert, Brgy. Tamorong, Sta. Catalina, Ilocos Sur</t>
  </si>
  <si>
    <t>CY 2020 BASIC EDUCATIONAL FACILITIES FUND (BEFF) REPAIR/IMPROVEMENT OF VARIOUS SCHOOL BUILDINGS – SAN JUAN ES (ITB 2020-Infra-004)</t>
  </si>
  <si>
    <t>20AC0090 - Construction of Multi-Purpose Building, Magsingal, Ilocos Sur</t>
  </si>
  <si>
    <t>ITB-GS-20191202-01 - Additional License for the Existing Solarwinds Servers, Networks, Database and Application Monitoring Tool</t>
  </si>
  <si>
    <t>SUPPLY AND DELIVERY OF PARTS NEEDED TO REPLACE DEFECTIVE ITEMS OF 163KW DALE PERKINS GENSET OF AGUTAYA DPP</t>
  </si>
  <si>
    <t>20AC0089 - Construction / Rehabilitation of Multi-Purpose Building, Poblacion East, San Ildefonso, Ilocos Sur</t>
  </si>
  <si>
    <t>SUPPLY OF LABOR AND MATERIALS FOR THE REPAIR OF RADIATOR FOR UNIT NO.5 1000KW CUMMINS GENERATING SET OF MARINAWA DPP</t>
  </si>
  <si>
    <t>Supply and Delivery of Hardware Materials intended for the Operation and Maintenance of Tiwi Fry Bank</t>
  </si>
  <si>
    <t>ITB-GS-20200304-01 - One (1) Lot Supply and Delivery of 65,500 pcs. EMV VISA Debit Card with Personalization</t>
  </si>
  <si>
    <t>ITB-GS-20200305-03 - Supply &amp; Delivery of 4,300 Pcs. Ribbon for EPSON Printer FX2190 &amp; 440 Pcs.  Genuine Burroughs Black Multiline Print Inkjet Cartridge</t>
  </si>
  <si>
    <t>Supply and Delivery of Laboratory Supplies/Materials/Equipment, PR# 2020-02-0297, RTF-022-262E</t>
  </si>
  <si>
    <t>CY 2020 BASIC EDUCATIONAL FACILITIES FUND (BEFF) REPAIR/IMPROVEMENT OF VARIOUS SCHOOL BUILDINGS – PUNTA ES (ITB 2020-Infra-003)</t>
  </si>
  <si>
    <t>20AC0088 - Construction of Multi-Purpose Building, Brgy. Bungro, San Ildefonso, Ilocos Sur</t>
  </si>
  <si>
    <t>Contract ID No. 20K00347 - Construction of By-Pass and Diversion Road Jct. CDO-Talakag Road/ Macapagal Drive-Upper Carmen-Patag-Jct. BCIR/Kauswagan, Cagayan de Oro City</t>
  </si>
  <si>
    <t>Rehabilitation of Barnhouses (Renovation of Building 2089 including Studio Room)</t>
  </si>
  <si>
    <t>20F00109 - Local Program – Construction/Repair/Rehabilitation/Improvement of Various Infrastructure Including Local Projects – Local Roads and Bridges – Local Roads – Construction of Pasacao-Balatan C</t>
  </si>
  <si>
    <t>ITB-GS-20190703-01 (2) - One (1) Lot Supply, Delivery, Installation, Testing and Commissioning of Variable Refrigerant Flow (VRF) Air-Conditioning Units at LANDBANK Sta. Cruz Office Building</t>
  </si>
  <si>
    <t>CID No. 20CSIO09: Consultancy Services for the Conduct of Feasibility Study of the Proposed Construction of Tacloban – Palo Diversion Road (Brgy. 89 San Jose, Brgy. 82, Marasbaras and Brgy. Calanipawa</t>
  </si>
  <si>
    <t>20F00111 - Local Program – Construction/Repair/Rehabilitation/Improvement of Various Infrastructure Including Local Projects – Local Roads and Bridges – Local Roads – Construction of Pasacao-Balatan C</t>
  </si>
  <si>
    <t>CID No. 20CSIO13: Consultancy Services for the Feasibility Study of the Proposed Calbayog Coastal Diversion Road, Calbayog City, Western Samar</t>
  </si>
  <si>
    <t>CID No. 20CSIO08: Consultancy Services for the Conduct of Feasibility Study of the Proposed Construction of Bypasses/Diversion Roads along Brgy. Kilim – Sitio Tipay Road junction Ormoc – Baybay – Sout</t>
  </si>
  <si>
    <t>Procurement of Garments	(polo shirts) PR # 2020-03-19-076</t>
  </si>
  <si>
    <t>Procurement of Managed Security Services</t>
  </si>
  <si>
    <t>SUPPLY OF LABOR AND MATERIALS FOR REPAIR OF EQUIPMENT CALIBRATOR (BOARD POWER SUPPLY) OF WMTSD</t>
  </si>
  <si>
    <t>Supply &amp; Delivery of One (1) Unit Brand New Sea Ambulance for Emergency Rescue which Transport Patients to the Treatment Facility</t>
  </si>
  <si>
    <t>20AC0081 - Rehabilitation of Rivero Street, Including Construction of Drainage Canal, Brgy. Sta. Elena, Vigan City, Ilocos Sur</t>
  </si>
  <si>
    <t>Procurement of the Services of a Private Radiologist to Read Computerized Digital X-ray in the Health Services Office, City Government of Baguio</t>
  </si>
  <si>
    <t>20AC0084 -Construction of River Control Along Bical River, San Juan, Ilocos Sur</t>
  </si>
  <si>
    <t>CID No. 20CSIO11: Consultancy Services for the Conduct of Feasibility Study of the Proposed Tanauan Bypass Road, San Miguel – Santol – Tunga Road, Tolosa – San Victor – Tabontabon Road and Dapdap – Al</t>
  </si>
  <si>
    <t>GSO-20-0202-B / JANITORIAL SERVICES</t>
  </si>
  <si>
    <t>PROVISION OF WATCHMAN SERVICES FROM MARCH 1-DECEMBER 31, 2020</t>
  </si>
  <si>
    <t>PURCHASE OF STRONG MOTION ACCELEROGRAPH FOR SEISMIC MONITORING</t>
  </si>
  <si>
    <t>ITB-GS-20200217-01 - Three (3) Years ATM Cash Loading and First Level Maintenance Services for 600 LANDBANK ATM Units</t>
  </si>
  <si>
    <t>20AC0078 - Construction of Multi-Purpose Building (Covered Court), Brgy. Paing, Bantay, Ilocos Sur</t>
  </si>
  <si>
    <t>20AC0076 - Construction of Multi-Purpose Building (Covered Court), Brgy. San Julian, Bantay, Ilocos Sur</t>
  </si>
  <si>
    <t>Procurement of Detailed Engineering Design for Lucac Water Supply System Project of San Francisco Water District</t>
  </si>
  <si>
    <t>CID No. 20OD0188 - Improvement of Pamantasan ng Lungsod ng Valenzuela, Brgy. Malinta, Valenzuela City</t>
  </si>
  <si>
    <t>Geotechnical Investigation (Subsurface Exploration) of:  1. Construction of Multi-Storey Buildings of the following sites (3 holes-15 meters deep per hole): a)	CTU-Guba, Brgy. Guba, b) Brgy. Labangon,</t>
  </si>
  <si>
    <t>Procurement of supply and delivery of ICT Supplies</t>
  </si>
  <si>
    <t>UPLB-IF-016-03-20 CONSTRUCTION OF AREA DRAIN WITH INTERCEPTOR CANAL, DEPARTMENT OF MILITARY SCIENCE AND TACTICS, UPLB, COLLEGE, LAGUNA</t>
  </si>
  <si>
    <t>Construction of Sta. Barbara Arena, Phase I under Design and Build Scheme</t>
  </si>
  <si>
    <t>UPLB-IF-015-03-20 IMPROVEMENT OF SITE ORNAMENTAL CROPS NURSERY, LUZ ONATE ST., UPLB CAMPUS</t>
  </si>
  <si>
    <t>20CE0202: Construction of Multi-Purpose Building (Gymnasium), Talavera National High School, Talavera, Nueva Ecija</t>
  </si>
  <si>
    <t>Procurement of One (1) Lot, Three (3) Years Janitorial Services for CF-Davao and Apo View Satellite</t>
  </si>
  <si>
    <t>20AC0077 - Construction of Multi-Purpose Building (Covered Court), Brgy. Malingeb, Bantay, Ilocos Sur</t>
  </si>
  <si>
    <t>Procurement of Gate Valves, Combi Flange w/ Sealing  and STC with Brass Tensile Ring</t>
  </si>
  <si>
    <t>Procurement of Two (2) Units Brand New 4 x 2 Pick –Up Vehicle Diesel Engine M/T, EURO 4 Emission Standard</t>
  </si>
  <si>
    <t>CID No. 20CSIO10: Consultancy Services for the Conduct of Feasibility of the Proposed Road Opening/Construction of Junction Himay-angan – Silago – Abuyog Boundary Road (Bagacay – Tib-o), Abuyog, Leyte</t>
  </si>
  <si>
    <t>20AC0079 - Construction of Don Dimas - Don Alejandro Road, Caoayan, Ilocos Sur</t>
  </si>
  <si>
    <t>SUPPLY AND DELIVERY OF CPU SERVER, ROUTER AND CABINET</t>
  </si>
  <si>
    <t>Supply and Delivery of Ink and Printer</t>
  </si>
  <si>
    <t>ITB No. 20-049 ONE (1) LOT SUPPLY AND DELIVERY OF ONE (1) COMPLETE VIDEO LARYNGOSCOPE SYSTEM INCLUSIVE OF TWO (2) BLADES WITH CONNECTORS AND MAGILL FORCEPS AND TWO (2) UNITS COMPATIBLE FLEXIBLE VIDEOS</t>
  </si>
  <si>
    <t>20AC0082 - Construction of Box Culvert and Improvement of Drainage Canal Along Cabasaan Creek, Brgy. VIII, Vigan City, Ilocos Sur</t>
  </si>
  <si>
    <t>Supply, Delivery, Installation, Testing and Commissioning of Fire Suppression System, 5-KW Aircon, UPS, Door Access Control, Temperature and Humidity Monitoring System, Server Rack and Retrofitting of</t>
  </si>
  <si>
    <t>Supply and Delivery of Solar Street Lamp.</t>
  </si>
  <si>
    <t>20-DO-0075: LOCAL PROGRAM - Local Infrastructure Program - Building and Other Structures - Multipurpose/Facilities - Construction of Multi-Purpose Building at Gen. Luna St. Brgy. Dulong Bayan 1, San M</t>
  </si>
  <si>
    <t>20AC0075 - Construction of Multi-Purpose Building, Fuerte, Caoayan, Ilocos Sur</t>
  </si>
  <si>
    <t>Supply, Delivery, Installation and Commissioning of One (1) Unit Automatic Coin Measuring Machine, including Consumables and Training of Personnel, as per BSP Technical Specifications and Terms of Ref</t>
  </si>
  <si>
    <t>UPLB-RES-030-04-20  SUPPLY AND DELIVERY OF BRANDED AND BRAND NEW LABORATORY AND SCIENTIFIC EQUIPMENT FOR BIOTECH AND IPB</t>
  </si>
  <si>
    <t>ITB-GS-20191023-01(2) - 1 Lot Supply, Delivery &amp; Installation of 50 Units Thru-The-Wall Cash Deposit Machine with Four (4) – Year Maintenance Package and Spare Parts</t>
  </si>
  <si>
    <t>20AC0074 - Construction of Multi-Purpose Building (Covered Court), Brgy. San Clemente, Magsingal, Ilocos Sur</t>
  </si>
  <si>
    <t>Construction of Multi-Purpose Building (Public Auditorium/Gym), San Nicolas, Pangasinan</t>
  </si>
  <si>
    <t>UPLB-RES-031-04-20  SUPPLY AND DELIVERY OF BRANDED AND BRAND NEW CHEMICALS AND CHEMICAL PRODUCTS FOR BIOTECH &amp; IPB</t>
  </si>
  <si>
    <t>20CE0203: Construction of Multi-Purpose Buildings (Covered Court), Talavera National High School, Talavera, Nueva Ecija</t>
  </si>
  <si>
    <t>BUKIDNON AIRPORT DEVELOPMENT PROJECT (Construction of Landing Area)</t>
  </si>
  <si>
    <t>2020 OFF-CAMUS STUDENTS TOUR IN SUBIC, ZAMBALES</t>
  </si>
  <si>
    <t>20AC0062 - Construction of Multi-Purpose Building (Covered Court), Brgy. Cabaroan, Magsingal, Ilocos Sur</t>
  </si>
  <si>
    <t>UPLB-RES-029-04-20  PROCUREMENT OF DIAGNOSTIC AND LABORATORY SERVICES FOR IPB AND IBS</t>
  </si>
  <si>
    <t>UPLB-RES-027-04-20  SUPPLY AND DELIVERY OF BRANDED AND BRAND NEW INFORMATION TECHNOLOGY FOR ICS</t>
  </si>
  <si>
    <t>20AC0061 - Construction of Seawall, Sitio Mindanao, Barangay Paratong, Sta. Catalina, Ilocos Sur</t>
  </si>
  <si>
    <t>Contract I.D. No. 20OE0197 - Construction and / or Repair / Rehabilitation of Multi – Purpose Building Brgy. 72, Zone 6, Tondo Manila</t>
  </si>
  <si>
    <t>Asphalt Overlay at Clark Musem Area</t>
  </si>
  <si>
    <t>20AC0060 - Construction of Seawall at Paratong-Subec, Sta. Catalina, Ilocos Sur</t>
  </si>
  <si>
    <t>20AC0058 - Construction of Seawall at Paratong Sitio Mindanao, Sta. Catalina, Ilocos Sur</t>
  </si>
  <si>
    <t>20AC0069 - Construction of Multi-Purpose Building (Covered Court), Brgy. An-annam, Bantay, Ilocos Sur</t>
  </si>
  <si>
    <t>Renovation of TFD Office (Second Bidding)</t>
  </si>
  <si>
    <t>PUBLIC BIDDING / PR 19-10-0950 Re-Bid / VIDEO WALL PROJECT FOR SECURITY OPERATION</t>
  </si>
  <si>
    <t>20AC0067 - Construction of Seawall, Brgy. Solot-solot, San Juan, Ilocos Sur</t>
  </si>
  <si>
    <t>73549_1 Lot Supply &amp; Delivery of Assorted Common-use Office Supplies</t>
  </si>
  <si>
    <t>74126_Submersible Motor 100HP</t>
  </si>
  <si>
    <t>20AC0080 - Construction of Drainage Canal Along Sta. Elena Creek to Mestizo River, Brgy. VIII, Vigan City, Ilocos Sur</t>
  </si>
  <si>
    <t>20AC0065 - Construction of Flood Control Brgy. Nagsabaran Bical River, San Juan, Ilocos Sur</t>
  </si>
  <si>
    <t>20AC0057 - Construction of Seawall at Paratong, Sta. Catalina, Ilocos Sur</t>
  </si>
  <si>
    <t>20AC0073 - Construction of Flood Control Structure Along Mestizo River, Brgy. Fuerte (Sabangan), Caoayan, Ilocos Sur</t>
  </si>
  <si>
    <t>Construction of Multi-Purpose Building (Covered Court) Brgy. Bensican, San Nicolas, Pangasinan</t>
  </si>
  <si>
    <t>20CF0128 Act. 71x – Special Maintenance – Replacement of Concrete Pavement along Sta. Rosa – Fort Magsaysay Road, Sta. Rosa, Nueva Ecija</t>
  </si>
  <si>
    <t>Procurement of Syringes for Immunization Section</t>
  </si>
  <si>
    <t>PROCUREMENT OF OTHER SUPPLIES AND MATERIALS (SUPPLIES AND TOOLS ON SHIELDED METAL ARTS &amp; WELDING) FOR SAN ROQUE NHS (UNDER SCHOOLS DIVISION OFFICE)</t>
  </si>
  <si>
    <t>20AC0066 - Construction of Revetment Wall, Cadanglaan, Sinait, Ilocos Sur</t>
  </si>
  <si>
    <t>20AC0064 - Construction of River Control Along Parsua River, Magsingal, Ilocos Sur</t>
  </si>
  <si>
    <t>CONSTRUCTION OF MULTI-PURPOSE HALL AT BARANGAY HUKAY</t>
  </si>
  <si>
    <t>One (1) Lot – Supply, Delivery, Installation, Configuration, Customization, Testing and Implementation of the Appropriate Hardware, Software, Database Management System, All Associated Licenses and Re</t>
  </si>
  <si>
    <t>HO-IST20-006 - Subscription of Data Analytics License and Partner Support for NPC Head Office, Diliman, Quezon City</t>
  </si>
  <si>
    <t>20AC0059 - Construction of Multi-Purpose Building, Bahet, San Ildefonso, Ilocos Sur</t>
  </si>
  <si>
    <t>Pocurement of IBM SPSS Statistics Standard Campus Edition Authorized User License for UP Cebu</t>
  </si>
  <si>
    <t>Supply and Delivery of Manual Thermosonic Wedge and Ball Bonder for UP Cebu</t>
  </si>
  <si>
    <t>20AC0072 - Construction of Multi-Purpose Building (Covered Court), Brgy. Lingsat, Bantay, Ilocos Sur</t>
  </si>
  <si>
    <t>Contract I.D. No. 20OE0091 - Construction of Retention Basin at Estero de Sampaloc, Manila City</t>
  </si>
  <si>
    <t>Contract ID No. 19CSK00047 – Consulting Services for the Conduct of Feasibility Study for Region X Priority Road Infrastructure Projects-27 (REXPRIP-27) a.	PIA Bypass Road, Misamis Oriental 2nd Legisl</t>
  </si>
  <si>
    <t>Improvement/Rehabilitation/Repair of Apayao Child Development Center, San Isidro Sur, Luna, Apayao</t>
  </si>
  <si>
    <t>Completion of VIP Cottages, Payanan, San Gregorio, Luna, Apayao</t>
  </si>
  <si>
    <t>Construction of Retaining Wall at Alem-Poblacion Provincial Road, Pudtol, Apayao</t>
  </si>
  <si>
    <t>Construction of Tourism Stalls, Lussok, Dagupan, Luna, Apayao</t>
  </si>
  <si>
    <t>REHABILITATION OF LIVELIHOOD CENTER AT CALATAGAN PUBLIC MARKET</t>
  </si>
  <si>
    <t>Contract ID No. 20FA0050: REHABILITATION/RECONSTRUCTION OF NATIONAL ROADS W/SLIPS, SLOPE COLLAPSE AND LANDSLIDE-SECONDARY ROADS, DM JCT-LEGAZPI-STO. DOMINGO-TABACO-CAMARINES SUR BDRY. RD- K0582+330-K0</t>
  </si>
  <si>
    <t>Provision of Garbage Hauling Services</t>
  </si>
  <si>
    <t>HO-PIB20-007 - Design, Supply, Delivery, Test and Commissioning of Two (2) Units of 5MW Power Barge at Mooring Facility, Bo. Obrero, Iloilo City</t>
  </si>
  <si>
    <t>ITB-GS-20200219-01 - Supply and Delivery of 1,100 Units Desktop Computer</t>
  </si>
  <si>
    <t>Provision of Security Services for Pag-IBIG Fund Central and Eastern Visayas Branches, Offices and Warehouses covering the period Y2020-2021</t>
  </si>
  <si>
    <t>20AC0068 - Construction of Flood Control of Catabeng Brook Along Brgy. San Clemente, San Julian, San Basilio and Bacar, Magsingal, Ilocos Sur</t>
  </si>
  <si>
    <t>74122 - 1 UNIT SINGLE STAGE VERTICAL IN-LINE CENTRIFUGAL PUMP 15 LPS</t>
  </si>
  <si>
    <t>Contract I.D. No. 20OE0196 - Installation of Pumping Station (Mini Pump) at Barangay 598 Zone 59, Manila City</t>
  </si>
  <si>
    <t>20IL0175 (LOCAL – BUILDINGS AND OTHER STRUCTURES – MULTI-PURPOSE/FACILITIES – LOCAL INFRASTRUCTURE PROGRAM, CONSTRUCTION/REHABILITATION OF DISTRICT ENGINEER’S OFFICE Contract Location	: IBARRA, MAASIN</t>
  </si>
  <si>
    <t>ITB - Procurement of Security Personnel Services</t>
  </si>
  <si>
    <t>S3-B1920-002 - Furnishing of Labor and Materials for Dry Docking and Ship Repair of PB 119</t>
  </si>
  <si>
    <t>CONSTRUCTION OF MULTI-PURPOSE HALL-PHASE IV AT BARANGAY GULOD</t>
  </si>
  <si>
    <t>CONSTRUCTION OF MULTI-PURPOSE HALL-PHASE III AT BARANGAY TALISAY</t>
  </si>
  <si>
    <t>CONSTRUCTION OF MUYLTI-PURPOSE HALL-PHASE IV AT BARANGAY BIGA</t>
  </si>
  <si>
    <t>CONCRETING OF BARANGAY ROAD AT LUYA</t>
  </si>
  <si>
    <t>CONSTRUCTION OF LINE CANAL AT BARANGAY LUCSUHIN</t>
  </si>
  <si>
    <t>CONSTRUCTION OF RETAINING WALL WITH CANAL AT THE PROPOSED SAMBUNGAN NHS</t>
  </si>
  <si>
    <t>HO-DMD20-002 - Supply and Delivery of Hiking Bag and Jacket</t>
  </si>
  <si>
    <t>Restoration, Repair and Maintenance of Data Center (Information Technology)</t>
  </si>
  <si>
    <t>CONSTRUCTION OF WATER SYSTEM ( PHASE IV ) AT BARANGAY ENCARNACION</t>
  </si>
  <si>
    <t>CONSTRUCTION OF WINGS OF MULTI-PURPOSE BUILDING AT BRGY. TELBANG, CITY OF ALAMINOS, PANGASINAN</t>
  </si>
  <si>
    <t>SUPPLY AND DELIVERY OF ELECTRICAL SPARE PARTS FOR 600 KW FG WILSON AND 600 CUMMINS GENERATING SET OF ROMBLON DPP</t>
  </si>
  <si>
    <t>CONSTRUCTION OF MULTI-PURPOSE BUILDING AT BRGY. TANGCARANG, CITY OF ALAMINOS, PANGASINAN</t>
  </si>
  <si>
    <t>EXTENSION OF MULTI-PURPOSE BUILDING AT BRGY. MACATIW, CITY OF ALAMINOS, PANGASINAN</t>
  </si>
  <si>
    <t>CONSTRUCTION OF CANAL AT BARANGAY STA. ANA</t>
  </si>
  <si>
    <t>ITB-GS-20200224-01 - Three (3) Years Managed Laser Print Services with Consumables</t>
  </si>
  <si>
    <t>Lease of Various Paper Printing Machine/s and Finishing Equipment with Technical and Operational Support System (Lot 1 for Luzon Area and Lot 2 for Mindanao Area) (PB-03-20)</t>
  </si>
  <si>
    <t>IMPROVEMENT OF SAN POLICARPO FIRE STATION</t>
  </si>
  <si>
    <t>Road Improvement along R. Magsaysay Avenue</t>
  </si>
  <si>
    <t>Lease of Various Printing Machines and Equipment with Operational and Technical Support System (Davao Area) (PB-04-20)</t>
  </si>
  <si>
    <t>Procurement of One (1) Lot, Three (3) Years Private Security Agency (PSA) Services for CF-Davao and Apo View Satellite</t>
  </si>
  <si>
    <t>PROCUREMENT OF PROFESSIONAL/CONSULTING  SERVICE FOR THE CONDUCT OF AIR DISPERSION  MODELLING FOR THE PIESTTA AIRSHED</t>
  </si>
  <si>
    <t>Widening of J. Abad Santos Extension</t>
  </si>
  <si>
    <t>INVITATION TO BID-SECURITY SERVICE PROVIDER FOR A PERIOD OF ONE (1) YEAR</t>
  </si>
  <si>
    <t>Contract ID No. 20FA0049: REPLACEMENT AND CONCRETING OF TRAMO BRIDGE WHICH CONNECTS BRGYS. STO. CRISTO AND SAN ROQUE TO BRGY. TAGAS AND NEIGHBORING BARANGAYS IN TABACO CITY, ALBAY</t>
  </si>
  <si>
    <t>Improvement of Multi-purpose Building (Second Bidding)</t>
  </si>
  <si>
    <t>ITB-GS-20200218-01 - One (1) Lot Supply and Delivery of EMV VISA Debit Card and Paywave Debit Card for OFBANK</t>
  </si>
  <si>
    <t>Improvement of Caglayan-Ripang-Paddaoan-Talifugo-Manag Provincial Road (Paddaoan Section) Sta. 0+000-Sta. 9+800, Conner, Apayao</t>
  </si>
  <si>
    <t>Continuation of the Terminated Renovation of  former Cyber City Buildings (Phase II) (Package IV)</t>
  </si>
  <si>
    <t>Improvement of Tanglagan-Bucarot Provincial Road, Calanasan, Apayao</t>
  </si>
  <si>
    <t>20AC0063: Concreting of Roads, Baclig-Margaay-Salapasap, Cabugao, Ilocos Sur</t>
  </si>
  <si>
    <t>UPLB-S-044-03-20, SUPPLY, DELIVERY AND INSTALLATION OF BRANDED AND BRAND NEW VARIOUS LABORATORY EQUIPMENT</t>
  </si>
  <si>
    <t>Supply and Delivery of Microsoft Office Home and Business for Installation in the Computers with Installed Ubuntu Operating System in the Main and Field Offices of the Commission – 2nd Bidding</t>
  </si>
  <si>
    <t>Construction of Fire Truck Shed</t>
  </si>
  <si>
    <t>PROCUREMENT OF TIRES AND BATTERIES</t>
  </si>
  <si>
    <t>HO-PIC20-001 (PB3) - 3 x 50 kW Modular Diesel Gensets, Associated Electrical Equipment and Balance of Plant for the Electrification of New Area in Sulu under Package 11A</t>
  </si>
  <si>
    <t>CONSTRUCTION OF GOA FIRE STATION, CAMARINES SUR</t>
  </si>
  <si>
    <t>CONSTRUCTION OF BARCELONA FIRE STATION, SORSOGON</t>
  </si>
  <si>
    <t>Procurement and Delivery of ICT Equipment</t>
  </si>
  <si>
    <t xml:space="preserve">20-DO-0068: LOCAL PROGRAM - Local Infrastructure Program – Buildings and Other Structures – Multipurpose/Facilities – Construction of Multi-Purpose Building (Barangay Health Center), Dela Costa Homes </t>
  </si>
  <si>
    <t>Improvement of Municipal Hall, Conner, Apayao</t>
  </si>
  <si>
    <t>Asphalt Overlay along Cardinal Santos Street</t>
  </si>
  <si>
    <t>20BG0116-Repair of Overflow Bridge in Turod-Banquero, Reina Mercedes, Isabela</t>
  </si>
  <si>
    <t>REHABILITATION / UPGRADING OF FARM TO MARKET ROAD (SABANGAN PORTION) AT BRGY. SABANGAN, CITY OF ALAMINOS, PANGASINAN</t>
  </si>
  <si>
    <t>Procurement of Full Retrofitting, Rehabilitation, and Renovation of the DFA Building</t>
  </si>
  <si>
    <t>Procurement for the Repair of Classrooms at Lanao del Norte Provincial Science and Technology High School under CY 2020 BEFF - Lot 6 (Rebid)</t>
  </si>
  <si>
    <t>Pag-IBIG Fund CHQ (Consulting Services for the Implementation of Philippine Financial Reporting Standard (PFRS 9) - Financial Instruments))</t>
  </si>
  <si>
    <t>Purchase of Solid Waste Management Equipments</t>
  </si>
  <si>
    <t>Contract ID No. 20FA0048: CLUSTER 27 CONSTRUCTION OF WATER SYSTEM IN THE FIRST DISTRICT OF ALBAY</t>
  </si>
  <si>
    <t>CONSTRUCTION OF SIPOCOT FIRE STATION, CAMARINES SUR</t>
  </si>
  <si>
    <t>Contract ID No. 19CSK00048 – Consultancy Services for the Conduct of Feasibility Study for Tubod-Kapatagan Bypass Road, Sapad-Pualas Road, Kauswagan-Poona Piagapo-Marantao Road, Balo-i Bypass Road, (R</t>
  </si>
  <si>
    <t>20CE0199: Rehabilitation of Municipal Health Center, Lupao, Nueva Ecija</t>
  </si>
  <si>
    <t>Procurement of Various Office Supplies (BAC 2020-018)</t>
  </si>
  <si>
    <t>UPLB-S-030-03-20, PROCUREMENT OF SIPHONING SERVICES OF SEPTIC TANKS FOR UPLB DORMITORIES (NEW DORMITORY, VETMED DORMITORY, FORESTRY RESIDENCE HALL, NEW FORESTRY RESIDENCE HALL)</t>
  </si>
  <si>
    <t>Supply, Delivery and Installation of Attendance Capturing Machines under ITB No. PB20-01-017COR</t>
  </si>
  <si>
    <t>PROCUREMENT OF VARIOUS LABORATORY SUPPLIES (BAC 2020-016)</t>
  </si>
  <si>
    <t>One Job Order for the Supply and Delivery of Rapid Quantitative Fluorescence Immunochromatographic Assay Test kits and Consumables with free use of One (1) Unit Fluorescence Immunochromatographic Anal</t>
  </si>
  <si>
    <t>One Job Order for the Supply and Delivery of ABG Reagent Kits with Free Use of One (1) Unit ABG Analyzer for a Period of One (1) Year (BAC 2020-015)</t>
  </si>
  <si>
    <t>Supply and Delivery of Sheet Fed Scanners for the Document Management System (DMS) Project of the Commission</t>
  </si>
  <si>
    <t>Supply and Delivery of Printer Toner Cartridges for Replenishment of Stocks for 1st Quarter FY 2020</t>
  </si>
  <si>
    <t>20GO0038 - WIDENING/IMPROVEMENT/ UPGRADING OF HONORATA MANALO (BURI ROAD), BRGY. MANDALAGAN , BACOLOD CITY</t>
  </si>
  <si>
    <t>UPLB-CSLT-002-03-20 DETAILED ARCHITECTURAL AND ENGINEERING DESIGN (DAED) OF THE PROPOSED CONSTRUCTION OF THE ELECTRICAL ENGINEERING BUILDING PHASE 2.</t>
  </si>
  <si>
    <t>UPLB-CSLT-001-03-20 DETAILED ARCHITECTURAL AND ENGINEERING DESIGN (DAED) OF THE PROPOSED PILOT PLANT AND SCREENHOUSES FOR BIOFERTILIZERS, BIOSTIMULANTS AND BIOPESTICIDES AT BIOTECH-UPLB</t>
  </si>
  <si>
    <t>Contract I.D. No. 20OE0190 - Continuation of Multi – Purpose Building, Brgy. 259, Tondo, Manila</t>
  </si>
  <si>
    <t>19CSFC03 : CONDUCT OF GEOTECHNICAL INVESTIGATION FOR VARIOUS INFRASTRUCTURE PROJECTS, Camarines Norte</t>
  </si>
  <si>
    <t>Procurement of Various Cellcards</t>
  </si>
  <si>
    <t>INVITATION TO BID  FOR THE CONSTRUCTION OF 4-STOREY W/ ROOF DECK ACADEMIC BUILDING (PHASE II-STRUCTURE)</t>
  </si>
  <si>
    <t>Procurement of Various IT Supplies and Equipment (BAC 2020-012)</t>
  </si>
  <si>
    <t>Contract I.D. No. 20OE0194 - Construction of Multi – Purpose Buildings ( Daycare Centers), Manila City</t>
  </si>
  <si>
    <t>Contract I.D. No. 20OE0192 - Construction of Multi – Purpose Building at the Department of Social Welfare and Development – National Cpital Region, Manila</t>
  </si>
  <si>
    <t>Contract I.D. No. 20OE0188 - Rehabilitation of Multi – Purpose Building (Bacood Health Center), Manila</t>
  </si>
  <si>
    <t>Procurement of Service Vehicles for the Official Use of Associate Justices of the Supreme Court (Six [6] Units of Van)</t>
  </si>
  <si>
    <t>Contract I.D. No. 20OE0187 - Preventive Maintenance – Secondary Roads – Plaza Sta. Cruz – (S02423LZ) (FLR) Chainage 000 – Chainage 104, Manila City</t>
  </si>
  <si>
    <t>Network Development – Road Widening – Primary Roads, Manila North Road, K0087+701 – K0089+402, K0090+854 – K0091+104, Mabalacat City, Pampanga</t>
  </si>
  <si>
    <t>ITB-CW-20200124-01 - LANDBANK Marawi (Lanao del Sur) Building Construction</t>
  </si>
  <si>
    <t>Construction of Drainage Facility</t>
  </si>
  <si>
    <t>One Job Order for the Supply and Delivery of Immunoassay Test kits and Consumables with free use of One (1) Unit Fully Automated Chemiluminescent Immunoassay (CLIA) Analyzer (BAC 2020-019)</t>
  </si>
  <si>
    <t>19-12-315 dated 12-23-2019</t>
  </si>
  <si>
    <t>Contract I.D. No. 20OE0189 - Rehabilitation of Multi – Purpose Building, Brgy 636, Sta. Mesa, Manila</t>
  </si>
  <si>
    <t>Contract I.D. No. 20OE0138 - Rehabilitation of Roads and Drainage at Cordillera St. and Ext., Manila</t>
  </si>
  <si>
    <t>20HD0080 - Construction of Multi-Purpose Building, Madridejos Community College, Brgy. Bunakan, Madridejos, Cebu</t>
  </si>
  <si>
    <t>Contract I.D. No. 20OE0193 - Improvement of Multi – Purpose Facilities, Brgy. 617, Manila City</t>
  </si>
  <si>
    <t>ITB-CW-20200121-01 - LANDBANK Baguio Corporate Center Building Construction</t>
  </si>
  <si>
    <t>20HD0072 - Construction of Multi-Purpose Building, Brgy. Loong, Tabogon, Cebu</t>
  </si>
  <si>
    <t>20KA0101(Readvertisement) Cluster 2 1.) Construction of Flood Control Structure along Malaybalay -Gingoog Road (Kulaman Br.), Malaybalay City, Bukidnon 2.) Construction of Flood Control Structure alon</t>
  </si>
  <si>
    <t>Contract I.D. No. 20OE0173 - Rehabilitation / Reconstruction / Improvement of Multi-purpose Building, Brgy. 152, Tondo, Manila</t>
  </si>
  <si>
    <t>Contract ID No. 19CSK00049 – Consultancy Services for the Conduct of Feasibility Study for Misamis Occidental Economic Zone Diversion Road (ReXPRIP-29), Misamis Occidental 1st and 2nd Legislative Dist</t>
  </si>
  <si>
    <t>20HD0071 - Construction of Multi-Purpose Building, Brgy. Logon, Daanbantayan, Cebu</t>
  </si>
  <si>
    <t>Contract ID No. 20FA0040: CLUSTER 22 - REHABILITATION/CONSTRUCTION/IMPROVEMENT OF VARIOUS RIVER CONTROL AT STO. DOMINGO, MALINAO AND MALILIPOT, ALBAY</t>
  </si>
  <si>
    <t>20JC0063 Construction of Box Culvert, Liloy National High School, Zamboanga del Norte</t>
  </si>
  <si>
    <t>Upgrading of Electrical System and Submetering of the DENR Main Building per Bid Ref. No. DENR-CO-2020-002 Rebid</t>
  </si>
  <si>
    <t>Consulting Services for the Conduct of Detailed Site Development Plan of Areas included under Phase 1-A of the CFZ Master Development Plan and Business Plan</t>
  </si>
  <si>
    <t>CDC Group Life Insurance (Second Bidding)</t>
  </si>
  <si>
    <t>One (1) Lot Structural Engineering Consultancy Services for the Proposed Structural Audit and Retrofitting Design of the Buildings in BSP Cebu and Davao Regional Offices, as per BSP Terms of Reference</t>
  </si>
  <si>
    <t>Contract ID No. 20K00282 - Construction of Multi-Purpose Building, Barangay Gadongan, Marawi City, Lanao del Sur</t>
  </si>
  <si>
    <t>Construction of Road within Hollywood Park</t>
  </si>
  <si>
    <t>Contract I.D. No. 20OE0166 - Construction of 3 Storey Multi – purpose Building, Brgy. 282, Manila</t>
  </si>
  <si>
    <t>Provision of Data Privacy Services (Phase I)</t>
  </si>
  <si>
    <t>Contract I.D. No. 20OE0185 - Construction of Multi-Purpose Building (Rizal Covered Court), City of Manila</t>
  </si>
  <si>
    <t>IT Equipment EXPO DUBAI</t>
  </si>
  <si>
    <t>Contract ID No. 20K00270 - Construction of Multi-Purpose Building (Public Market) Butig, Lanao del Sur</t>
  </si>
  <si>
    <t>Contract I.D. No. 20OE0195 - Re – Development of Estero de Binondo, Dasmariñas St., Brgy. 282, Zone 26, District 3, Manila</t>
  </si>
  <si>
    <t>PB No. 19-341-7 Engineering, Procurement, Construction and Commissioning (EPCC) Contract for the Subic-Clark Railway Project for the Department of Transportation (DOTr)</t>
  </si>
  <si>
    <t>Construction of Tourist Visitor Center I (Second Bidding)</t>
  </si>
  <si>
    <t>20J00091 - Replacement of Permanent Weak Bridges - Tuburan Bridge along Jolo - Taglibi - Tiptipon Road K 17+340 - K 17+351</t>
  </si>
  <si>
    <t>20J00090 - Replacement of Permanent Weak Bridges - Lubluban Gadja Bridge along Jolo - Taglibi - Tiptipon Road K 15+010 - K 15+020</t>
  </si>
  <si>
    <t>20J00089 - Replacement of Permanent Weak Bridges - Binuang Bridge along Jolo - Taglibi - Tiptipon Road K 17+040 - K 17+051</t>
  </si>
  <si>
    <t>Procurement of supply and delivery of Laboratory supplies</t>
  </si>
  <si>
    <t>PRINTING &amp; DELIVERY OF FIRE SAFETY INSPECTION CERTIFICATE FOR THE USE OF BFP REGION 1, CY 2020 (REBIDDING)</t>
  </si>
  <si>
    <t>20JC0055 Construction of Multi-Purpose Building at Leon B. Postigo, Zamboanga del Norte</t>
  </si>
  <si>
    <t>CID No. 20OD0131 - Construction of Flood Control Wall along Purok 4 Orosco, Brgy. Mapulang Lupa, Valenzuela City</t>
  </si>
  <si>
    <t>Construction of Multi-Purpose Building, Brgy. Anahawon, Maramag, Bukidnon</t>
  </si>
  <si>
    <t>Supply and Delivery of 6 units Hard Disk (1 TB SAS)</t>
  </si>
  <si>
    <t>Contract I.D. No. 20OE0191 - Rehabilitation / Reconstruction / Improvement of Multi – Purpose Building, Patricia Paraiso Complex, Brgy. 177, Tondo, Manila</t>
  </si>
  <si>
    <t>20HD0064 - Construction of Multi-Purpose Building (Phase 2), Madridejos Community College, Brgy. Bunakan, Madridejos, Cebu</t>
  </si>
  <si>
    <t>Contract ID No. 20K00275 - Construction of Multi-Purpose Building, Katogonan, Buadiposo Buntong, Lanao del Sur</t>
  </si>
  <si>
    <t>20J00092 - Replacement of Permanent Weak Bridges - Ukilan Bridge along Jolo - Taglibi - Tiptipon Road K 19+830 - K 19+839</t>
  </si>
  <si>
    <t>Contract ID No. 20K00285 - Construction of Multi-Purpose Building, Brgy. Ranao-Baning, Amai Manabilang, Lanao del Sur</t>
  </si>
  <si>
    <t>Supply and Delivery of Brand New Three (3) Units Pick Up  Patrol Vehicles</t>
  </si>
  <si>
    <t>Supply and Delivery of Brand New Thirteen (13) Units Service  Vehicles</t>
  </si>
  <si>
    <t>Contract I.D. No. 20OE0114 - Rehabilitation of School Building at Gen. Licerio Geronimo School, Barangay 412, Manila</t>
  </si>
  <si>
    <t>Contract I.D. No. 20OE0108 - Rehabilitation of School Building at P. Burgos Elementary School, Barangay 581, Manila</t>
  </si>
  <si>
    <t>UPLB-S-038-03-20, SUPPLY AND DELIVERY OF BRANDED AND BRAND NEW VARIOUS WINDOW TYPE AIRCONDITIONING UNITS</t>
  </si>
  <si>
    <t>Slope Protection of Drainage at the back of MSK/Nayong Pilipino</t>
  </si>
  <si>
    <t>CID No. 20IO0070: Construction of Slope Protection Structure along Daang Maharlika (LT) (S00223LT), K1009+410 - K1009+480, K1009+870 - K1010+140, K1010+900 - K1010+950, K1011+840 - K1011+950, Southern</t>
  </si>
  <si>
    <t>INVITATION TO BID to the 4th Public Bidding of the Procurement for the Site Development Works for the NDC Industrial Estate (NDCIE)Project in Brgy. Langkaan, Dasmariñas City, Cavite</t>
  </si>
  <si>
    <t>CONSTRUCTION OF DEL GALLEGO FIRE STATION, CAMARINES SUR</t>
  </si>
  <si>
    <t>Contract ID No. 20FA0047: CLUSTER 26 WIDENING AND CONCRETING OF BANAO-BICAL ROAD, BACACAY AND STO. DOMINGO, ALBAY AND REHABILITATION OF PAWA-TULIW-LABNIG-ESTANCIA-PARAPUTO ROAD, MALINAO AND TABACO CIT</t>
  </si>
  <si>
    <t>R4-INFRA2020-01-004 Construction of 1-Unit Materials Recovery Facility (MRF) &amp; 1-Unit, 2-Classroom Day Care Center, Package 1 located at Southville 9 Housing Project - Phase 4, Brgy. Pinugay, Baras, R</t>
  </si>
  <si>
    <t>R4-INFRA2020-01-003 Construction of 1-Unit Multi-Purpose Livelihood and Training Center located at Southville 8B Housing Project - Phase 2, Brgy. San Isidro, Rodriguez, Rizal</t>
  </si>
  <si>
    <t>Purchase of Automated Defibrillator for the use of various CAAP Airports and facilities</t>
  </si>
  <si>
    <t>20AC0071 - Construction of Drainage Canal Along Barangay Road Going to Tamag Elementary School, Tamag, Vigan City, Ilocos Sur</t>
  </si>
  <si>
    <t>RFQ for ICT Spareparts</t>
  </si>
  <si>
    <t>Supply &amp; Delivery of Advocacy Ballpen</t>
  </si>
  <si>
    <t>Widening and Improvement of Prince Balagtas Avenue (Package I) (STA. 0+000 to STA. 3+988)</t>
  </si>
  <si>
    <t>HO-PIG20-004 (SO-OPD19-005) (PB3) - Supply, Delivery, Installation, Test and Commissioning of Eight (8) Units of 50KW Modular Diesel Gensets, Associated Electrical Equipment and Balance of Plant for D</t>
  </si>
  <si>
    <t>Provision of Sidewalk and Drainage along IE-5 Service Road (Second Bidding)</t>
  </si>
  <si>
    <t>20CSH021 - Procurement of Consultancy Services for the Detailed Engineering Design (DED) Activities for various projects, Construction of Flyover along P. del Rosario St. from the junction of Osmena B</t>
  </si>
  <si>
    <t xml:space="preserve">20CSH020 - Procurement of  Consultancy Services for the Detailed Engineering Design (DED) Activities for various projects, Construction of Interchange along F. Sotto St., cor. Gorordo Ave., Cebu City </t>
  </si>
  <si>
    <t>Technical and Scientific Equipment</t>
  </si>
  <si>
    <t>20CSH019 - Procurement of  Consultancy Services for the Detailed Engineering Design (DED) Activities for various projects, Construction of Underpass along Juan Luna Ave. from the junction of Archbisho</t>
  </si>
  <si>
    <t>Local Program: Construction/ Repair/ Rehabilitation/ Improvement of Buildings and Other Structures; Multi-Purpose/ Facilities; Construction of Multi-Purpose Building (Auditorium) at Brgy. Sto. Nino, M</t>
  </si>
  <si>
    <t>Water Quality Analysis</t>
  </si>
  <si>
    <t>(19Z00001) Arterial Road Bypass Project (Plaridel Bypass), Phase III, Contract Packages 1 &amp; 2, KO0034+900.00 to KO0047+400.00, JICA Loan Agreement No. PH-P266</t>
  </si>
  <si>
    <t>20CSH016 - Procurement of Consultancy Services for the Detailed Engineering Design (DED) Activities for Various Infrastructure Projects, Construction of Interchange (Tri-Level) along M.C. Briones St.</t>
  </si>
  <si>
    <t>20HG0162 (RE-BID) - Local Program, Local Roads and Bridges, Local Bridge, Construction of Lanao Bridge</t>
  </si>
  <si>
    <t>20HG0161 (RE-BID) - Local Program, Local Roads and Bridges, Local Bridge, Construction of Canbantug-Linut-od Bridge</t>
  </si>
  <si>
    <t>Supply &amp; Delivery of Advocacy Sticker</t>
  </si>
  <si>
    <t>PROVISION OF LOT 1: 30 PAX MEALS AND SNACKS FOR 5 DAYS FOR THE CONDUCT OF TECHNICAL BRIEFING ON CORN &amp; CASSAVA</t>
  </si>
  <si>
    <t>Procurement of School Armchairs for Marawi Rehabilitation Program</t>
  </si>
  <si>
    <t>WDDSP-TWD-IFB-G03b</t>
  </si>
  <si>
    <t>20F00089 (re-advertisement) - OO2: Protect Lives and Properties Against Major Floods – Flood Management Program – Construction/Maintenance of Flood Mitigation Structures and Drainage Systems - Legazpi</t>
  </si>
  <si>
    <t>RFQ / 20-03-0221 / PROCUREMENT OF AIRCON REPAIR</t>
  </si>
  <si>
    <t>20BF0054: Concreting of Katuday-Simimbaan Road, Brgy. Bantug and Brgy. Simimbaan, Sta. 0+000 to Sta. 3+600, Roxas, Isabela</t>
  </si>
  <si>
    <t>74424 - Procurement of Various Measuring Equipment</t>
  </si>
  <si>
    <t>Purchase of spareparts</t>
  </si>
  <si>
    <t>ITB-GS-20200325-01 - One (1) Year Courier Services for LANDBANK Credit Cards, Statement of Accounts and Other Credit Card Related Parcels</t>
  </si>
  <si>
    <t>(19Z00042) Contract Package -1, Design and Build of the Ambal-Simuay River and Rio Grande De Mindanao Flood Control Projects</t>
  </si>
  <si>
    <t>20BF0053: Concreting of Road, Brgy. San Antonio, Roxas, Isabela</t>
  </si>
  <si>
    <t>SUPPLY OF DELIVERY OF TOOLS AND EQUIPMENT FOR OM MQNL</t>
  </si>
  <si>
    <t>Supply and Installation of Additional Split Type – Inverter Airconditioner at PBB Fixed Link, NAIA Terminal 3</t>
  </si>
  <si>
    <t>Rehabilitation of Diffun – Liwayway - Sitio Pallutan Road</t>
  </si>
  <si>
    <t>2nd Quarter(Repair of School Stage of Harbort Elementary School S.Y. 2020-2021)</t>
  </si>
  <si>
    <t>SUPPLY AND DELIVERY OF WHITE CORN SEEDS (OPV) TO BE DISTRIBUTED TO FARMERS IN UPLAND BARANGAYS OF MOLAVE, ZDS</t>
  </si>
  <si>
    <t>Rehabilitation of Maria Clara-San Isidro Road</t>
  </si>
  <si>
    <t>SUPPLY OF LABOR, MATERIALS, MATERIALS AND EXPERTISE FOR THE REPAIR OF 600KW CUMMINS RADIATOR OF TICAO DPP</t>
  </si>
  <si>
    <t>Replacement of Elevators PE1, PE2 and SE4 at NAIA Terminal 1</t>
  </si>
  <si>
    <t>SUPPLY AND INSTALLATION OF CCTV CAMERA IN ADMIN AND ACADEMIC BUILDING</t>
  </si>
  <si>
    <t>QUARTERLY PREVENTIVE MAINTENANCE OF 194 MOTORVEHICLES</t>
  </si>
  <si>
    <t>INVITATION TO RE-BID FOR THE  SUPPLY AND DELIVERY OF COMPUTER NOTEBOOK PR Nos. 27619-001 to 27619-003</t>
  </si>
  <si>
    <t>Rehabilitation of Rizal – Villa Pascua Road</t>
  </si>
  <si>
    <t>PROCUREMENT OF DRUGS AND MEDICINES FOR USE AT KALINGA PROVINCIAL HOSPITAL, 20-05-941</t>
  </si>
  <si>
    <t>ITB 20-03-142 - SUPPLY, DELIVERY AND INSTALLATION OF ICT EQUIPMENT FOR MONITORING OF PROJECT MITHI</t>
  </si>
  <si>
    <t>Purchase of Personal Protective Equipment (PPE) For Electrical Division Personnel</t>
  </si>
  <si>
    <t>CID No. 20OD0126 - Construction of Multi-Purpose Building (Phase I), Brgy. Malinta, Valenzuela City</t>
  </si>
  <si>
    <t>PROCUREMENT OF MEDICAL SUPPLIES FOR USE AT KALINGA PROVINCIAL HOSPITAL, 20-05-939</t>
  </si>
  <si>
    <t>PROPOSED CONSTRUCTION OF COLUMBARIUM COMPLEX LOCATED AT KALAYAAN AVENUE CORNER N. GARCIA STREET, BARANGAY VALENZUELA, MAKATI CITY</t>
  </si>
  <si>
    <t>INVITATION TO RE-BID FOR THE  SUPPLY, DELIVERY, AND INSTALLATION OF FIRE SUPRESSION SYSTEM PR No. 27388-001</t>
  </si>
  <si>
    <t>PR-2020-05-116 Supply &amp; Delivery of ICT Equipment for the Laboratory Rooms &amp; Offices</t>
  </si>
  <si>
    <t>Sorsogon</t>
  </si>
  <si>
    <t>Metro Manila</t>
  </si>
  <si>
    <t>Masbate</t>
  </si>
  <si>
    <t>Northern Samar</t>
  </si>
  <si>
    <t>Zamboanga Del Sur</t>
  </si>
  <si>
    <t>Romblon</t>
  </si>
  <si>
    <t>Abra</t>
  </si>
  <si>
    <t>Batanes</t>
  </si>
  <si>
    <t>Camarines Sur</t>
  </si>
  <si>
    <t>Iloilo</t>
  </si>
  <si>
    <t>Cavite</t>
  </si>
  <si>
    <t>Batangas</t>
  </si>
  <si>
    <t>Bukidnon</t>
  </si>
  <si>
    <t>Zamboanga Del Norte</t>
  </si>
  <si>
    <t>Leyte</t>
  </si>
  <si>
    <t>Cagayan</t>
  </si>
  <si>
    <t>Guimaras</t>
  </si>
  <si>
    <t>Isabela</t>
  </si>
  <si>
    <t>Cotabato</t>
  </si>
  <si>
    <t>Negros Occidental</t>
  </si>
  <si>
    <t>Cebu</t>
  </si>
  <si>
    <t>Camarines Norte</t>
  </si>
  <si>
    <t>Nueva Vizcaya</t>
  </si>
  <si>
    <t>Oriental Mindoro</t>
  </si>
  <si>
    <t>Palawan</t>
  </si>
  <si>
    <t>Davao Oriental</t>
  </si>
  <si>
    <t>Ilocos Norte</t>
  </si>
  <si>
    <t>Sarangani</t>
  </si>
  <si>
    <t>Lanao Del Norte</t>
  </si>
  <si>
    <t>Misamis Occidental</t>
  </si>
  <si>
    <t>Capiz</t>
  </si>
  <si>
    <t>Zambales</t>
  </si>
  <si>
    <t>Misamis Oriental</t>
  </si>
  <si>
    <t>Laguna</t>
  </si>
  <si>
    <t>Tarlac</t>
  </si>
  <si>
    <t>Benguet</t>
  </si>
  <si>
    <t>Davao Del Sur</t>
  </si>
  <si>
    <t>Nueva Ecija</t>
  </si>
  <si>
    <t>(Independent City)</t>
  </si>
  <si>
    <t>Bataan</t>
  </si>
  <si>
    <t>Zamboanga Sibugay</t>
  </si>
  <si>
    <t>Negros Oriental</t>
  </si>
  <si>
    <t>Mountain Province</t>
  </si>
  <si>
    <t>Basilan</t>
  </si>
  <si>
    <t>Aurora</t>
  </si>
  <si>
    <t>Eastern Samar</t>
  </si>
  <si>
    <t>Maguindanao</t>
  </si>
  <si>
    <t>Pangasinan</t>
  </si>
  <si>
    <t>Kalinga</t>
  </si>
  <si>
    <t>Sulu</t>
  </si>
  <si>
    <t>Albay</t>
  </si>
  <si>
    <t>Quezon</t>
  </si>
  <si>
    <t>Biliran</t>
  </si>
  <si>
    <t>Marinduque</t>
  </si>
  <si>
    <t>Davao Del Norte</t>
  </si>
  <si>
    <t>Southern Leyte</t>
  </si>
  <si>
    <t>South Cotabato</t>
  </si>
  <si>
    <t>Bohol</t>
  </si>
  <si>
    <t>Surigao Del Norte</t>
  </si>
  <si>
    <t>La Union</t>
  </si>
  <si>
    <t>Samar</t>
  </si>
  <si>
    <t>Ilocos Sur</t>
  </si>
  <si>
    <t>Davao Occidental</t>
  </si>
  <si>
    <t>Catanduanes</t>
  </si>
  <si>
    <t>Surigao Del Sur</t>
  </si>
  <si>
    <t>Occidental Mindoro</t>
  </si>
  <si>
    <t>Bulacan</t>
  </si>
  <si>
    <t>Camiguin</t>
  </si>
  <si>
    <t>Agusan Del Norte</t>
  </si>
  <si>
    <t>Aklan</t>
  </si>
  <si>
    <t>Rizal</t>
  </si>
  <si>
    <t>Agusan Del Sur</t>
  </si>
  <si>
    <t>Pampanga</t>
  </si>
  <si>
    <t>Sultan Kudarat</t>
  </si>
  <si>
    <t>Apayao</t>
  </si>
  <si>
    <t>Dinagat Island</t>
  </si>
  <si>
    <t>Ifugao</t>
  </si>
  <si>
    <t>Antique</t>
  </si>
  <si>
    <t>Aklan,Antique,Capiz,Iloilo</t>
  </si>
  <si>
    <t>Compostela Valley</t>
  </si>
  <si>
    <t>Siquijor</t>
  </si>
  <si>
    <t>Pangasinan,Philippines</t>
  </si>
  <si>
    <t>Tawi-Tawi</t>
  </si>
  <si>
    <t>Marinduque,Occidental Mindoro,Oriental Mindoro,Palawan</t>
  </si>
  <si>
    <t>Quirino</t>
  </si>
  <si>
    <t>Lanao Del Sur</t>
  </si>
  <si>
    <t>Philippines</t>
  </si>
  <si>
    <t>Aklan,Antique,Capiz,Iloilo,Negros Occidental</t>
  </si>
  <si>
    <t>Aklan,Antique,Capiz,Guimaras,Iloilo,Negros Occidental</t>
  </si>
  <si>
    <t>Antique,Negros Occidental</t>
  </si>
  <si>
    <t>Davao Del Norte,Davao Del Sur</t>
  </si>
  <si>
    <t>Batangas,Nueva Ecija</t>
  </si>
  <si>
    <t>Cagayan,Camarines Norte</t>
  </si>
  <si>
    <t>Agusan Del Norte,Agusan Del Sur,Surigao Del Norte,Surigao Del Sur,Dinagat Island</t>
  </si>
  <si>
    <t>Antique,Capiz,Guimaras,Iloilo,Negros Occidental</t>
  </si>
  <si>
    <t>Batanes,Cavite,Metro Manila,Rizal</t>
  </si>
  <si>
    <t>Albay,Camarines Norte,Camarines Sur,Catanduanes,Masbate,Sorsogon</t>
  </si>
  <si>
    <t>Bohol,Cebu,Negros Oriental</t>
  </si>
  <si>
    <t>Batangas,Bukidnon,Cagayan,Camarines Sur,Cotabato,Davao Del Sur,Isabela,Pampanga,Tarlac</t>
  </si>
  <si>
    <t>Aklan,Antique,Capiz,Guimaras</t>
  </si>
  <si>
    <t>01-2020</t>
  </si>
  <si>
    <t>2020-07</t>
  </si>
  <si>
    <t>2020-11</t>
  </si>
  <si>
    <t>20CSFI02</t>
  </si>
  <si>
    <t>BV-19-20</t>
  </si>
  <si>
    <t>20CSFI01</t>
  </si>
  <si>
    <t>034-LGU-LAOANG-2020</t>
  </si>
  <si>
    <t>HFE-2020-06-0224</t>
  </si>
  <si>
    <t>Q-52</t>
  </si>
  <si>
    <t>20CA0056</t>
  </si>
  <si>
    <t>20CA0055</t>
  </si>
  <si>
    <t>2020-417-05</t>
  </si>
  <si>
    <t>BV-21-20</t>
  </si>
  <si>
    <t>2020-476-06</t>
  </si>
  <si>
    <t>20CA0058</t>
  </si>
  <si>
    <t>BV-17-20</t>
  </si>
  <si>
    <t>20CA0057</t>
  </si>
  <si>
    <t>SPO-20-0762-B</t>
  </si>
  <si>
    <t>GOODS-2020-02-01</t>
  </si>
  <si>
    <t>GOODS-2020-05-05</t>
  </si>
  <si>
    <t>LGU LAUREL 20-06-003</t>
  </si>
  <si>
    <t>RFQ NO: 2020-07-044</t>
  </si>
  <si>
    <t>2020 - 011</t>
  </si>
  <si>
    <t>2020 - 010</t>
  </si>
  <si>
    <t>2020 - 009</t>
  </si>
  <si>
    <t>20-06-332</t>
  </si>
  <si>
    <t>20CA0059</t>
  </si>
  <si>
    <t>2020 - 008</t>
  </si>
  <si>
    <t>CW06232020-4</t>
  </si>
  <si>
    <t>20-07-011</t>
  </si>
  <si>
    <t>06232020</t>
  </si>
  <si>
    <t>2020-06-367</t>
  </si>
  <si>
    <t>CW06232020-5</t>
  </si>
  <si>
    <t>RFQ-INFRA-ISAIMO-06-2019</t>
  </si>
  <si>
    <t>PB2020-07-051I</t>
  </si>
  <si>
    <t>06232020-1</t>
  </si>
  <si>
    <t>PNU - VIS - GD 2020.06.001</t>
  </si>
  <si>
    <t>20-06-03</t>
  </si>
  <si>
    <t>TM-20-06-0044</t>
  </si>
  <si>
    <t>2020-19</t>
  </si>
  <si>
    <t>PR-01_2020</t>
  </si>
  <si>
    <t>20200626</t>
  </si>
  <si>
    <t>SB3 HDMP 200-20-05-05180</t>
  </si>
  <si>
    <t>INFRA2020-08</t>
  </si>
  <si>
    <t>INFRA2020-07</t>
  </si>
  <si>
    <t>8751-0620-493</t>
  </si>
  <si>
    <t>GAMOT 200-20-06-06111</t>
  </si>
  <si>
    <t>2020-02-8</t>
  </si>
  <si>
    <t>2020-06-247</t>
  </si>
  <si>
    <t>2020-02-7</t>
  </si>
  <si>
    <t>2020-02-119 Re-bid</t>
  </si>
  <si>
    <t>1</t>
  </si>
  <si>
    <t>2020-02-5</t>
  </si>
  <si>
    <t>2020-02-4</t>
  </si>
  <si>
    <t>8751-0620-548</t>
  </si>
  <si>
    <t>8751-0620-494</t>
  </si>
  <si>
    <t>8751-0620-492</t>
  </si>
  <si>
    <t>MANA-10-20</t>
  </si>
  <si>
    <t>2020-B1-06-016</t>
  </si>
  <si>
    <t>2020-B2-06-017</t>
  </si>
  <si>
    <t>2020-02-6</t>
  </si>
  <si>
    <t>2020-01-001</t>
  </si>
  <si>
    <t>ATI2020-06-158</t>
  </si>
  <si>
    <t>2020-02-3</t>
  </si>
  <si>
    <t>2020-B2-06-018</t>
  </si>
  <si>
    <t>2020-01-002</t>
  </si>
  <si>
    <t>7999-0420-357</t>
  </si>
  <si>
    <t>PVAO-RFQ-36-FSEOTARLAC-2020</t>
  </si>
  <si>
    <t>ATI2020-06-157</t>
  </si>
  <si>
    <t>ATI2020-06-156</t>
  </si>
  <si>
    <t>SUC 2020-06-012</t>
  </si>
  <si>
    <t>SKPPS-001</t>
  </si>
  <si>
    <t>SUC 2020-06-011</t>
  </si>
  <si>
    <t>2019-001</t>
  </si>
  <si>
    <t>2020-06-371</t>
  </si>
  <si>
    <t>ITB NO: SFZ-INFRA 2020-005</t>
  </si>
  <si>
    <t>ATI2020-06-153</t>
  </si>
  <si>
    <t>8751-0620-549</t>
  </si>
  <si>
    <t>DSBH-2020-0133</t>
  </si>
  <si>
    <t>20-06-141</t>
  </si>
  <si>
    <t>MMWD-0021-2020</t>
  </si>
  <si>
    <t>ATI2020-06-159</t>
  </si>
  <si>
    <t>SF-INFRA-033-020</t>
  </si>
  <si>
    <t>20PE0002(G)</t>
  </si>
  <si>
    <t>CDH-2020-0093</t>
  </si>
  <si>
    <t>SF-INFRA-030-020</t>
  </si>
  <si>
    <t>PEO-2020-0107</t>
  </si>
  <si>
    <t>MMWD-0020-2020</t>
  </si>
  <si>
    <t>SF-INFRA-028-020</t>
  </si>
  <si>
    <t>SF-INFRA-031-020</t>
  </si>
  <si>
    <t>SF-INFRA-029-020</t>
  </si>
  <si>
    <t>2020-03-173 Re-bid</t>
  </si>
  <si>
    <t>2020-08</t>
  </si>
  <si>
    <t>SF-INFRA-026-020</t>
  </si>
  <si>
    <t>SF-INFRA-025-020</t>
  </si>
  <si>
    <t>SF-INFRA-027-020</t>
  </si>
  <si>
    <t>2020-02</t>
  </si>
  <si>
    <t>2020-027 CDO</t>
  </si>
  <si>
    <t>20GCE0009</t>
  </si>
  <si>
    <t>007119-0000-00</t>
  </si>
  <si>
    <t>2020-06-002</t>
  </si>
  <si>
    <t>SF-INFRA-024-020</t>
  </si>
  <si>
    <t>E20060901</t>
  </si>
  <si>
    <t>RFQ 2020-94</t>
  </si>
  <si>
    <t>100-06-20-477</t>
  </si>
  <si>
    <t>RFQ 2020-93</t>
  </si>
  <si>
    <t>BacongRFQ 2020-06</t>
  </si>
  <si>
    <t>SF-INFRA-039-020</t>
  </si>
  <si>
    <t>lgm</t>
  </si>
  <si>
    <t>2020-06-372</t>
  </si>
  <si>
    <t>20-101-041</t>
  </si>
  <si>
    <t>SF-INFRA-038-020</t>
  </si>
  <si>
    <t>20-06-PM017</t>
  </si>
  <si>
    <t>2020-001</t>
  </si>
  <si>
    <t>2020-06-375</t>
  </si>
  <si>
    <t>SF-INFRA-036-020</t>
  </si>
  <si>
    <t>2020-06-0001 Public Bidding</t>
  </si>
  <si>
    <t>SF-INFRA-035-020</t>
  </si>
  <si>
    <t>2020-06-2343</t>
  </si>
  <si>
    <t>100-06-20-475</t>
  </si>
  <si>
    <t>2020-06-376</t>
  </si>
  <si>
    <t>INFR-20-015</t>
  </si>
  <si>
    <t>2020-G-018</t>
  </si>
  <si>
    <t>SF-INFRA-023-020</t>
  </si>
  <si>
    <t>8771-0220-122</t>
  </si>
  <si>
    <t>SF-INFRA-037-020</t>
  </si>
  <si>
    <t>SF-GOODS-2020-008</t>
  </si>
  <si>
    <t>20-015-001</t>
  </si>
  <si>
    <t>SF-INFRA-032-020</t>
  </si>
  <si>
    <t>ISPQ 065-2020</t>
  </si>
  <si>
    <t>2020-06-013</t>
  </si>
  <si>
    <t>Goods2020</t>
  </si>
  <si>
    <t>20-015-002</t>
  </si>
  <si>
    <t>106CO-602ND BDE, 6ID, PA-2020-458</t>
  </si>
  <si>
    <t>200629</t>
  </si>
  <si>
    <t>2020-544-06</t>
  </si>
  <si>
    <t>20GMD0033</t>
  </si>
  <si>
    <t>20GMD0032</t>
  </si>
  <si>
    <t>NIS-CN-014-2020-GOODS</t>
  </si>
  <si>
    <t>20GMD0030</t>
  </si>
  <si>
    <t>20GMD0034</t>
  </si>
  <si>
    <t>SF-INFRA-034-020</t>
  </si>
  <si>
    <t>Alaminos City</t>
  </si>
  <si>
    <t>BacongRFQ 2020-08</t>
  </si>
  <si>
    <t>GOODS 2020-06-PLA007</t>
  </si>
  <si>
    <t>20GMD0031</t>
  </si>
  <si>
    <t>2020-06-036</t>
  </si>
  <si>
    <t>2020-30-002</t>
  </si>
  <si>
    <t>2020-06</t>
  </si>
  <si>
    <t>2020-30-001</t>
  </si>
  <si>
    <t>BAC-HO GS No. 2020-0119</t>
  </si>
  <si>
    <t>2020-06-0382, 2020-06-0380</t>
  </si>
  <si>
    <t>ICR-20GEE0040</t>
  </si>
  <si>
    <t>202002</t>
  </si>
  <si>
    <t>2020-002</t>
  </si>
  <si>
    <t>BAC-ITIO-GS No. 2020-0063 dated 18 June 2020</t>
  </si>
  <si>
    <t>8751-0620-491</t>
  </si>
  <si>
    <t>2020-18</t>
  </si>
  <si>
    <t>ICR-20GEE0036</t>
  </si>
  <si>
    <t>20FA0060</t>
  </si>
  <si>
    <t>ICR-20GEE0035</t>
  </si>
  <si>
    <t>BLGU-STALUCIA-AL-01-2020</t>
  </si>
  <si>
    <t>2020-10</t>
  </si>
  <si>
    <t>RFQ-SVP-2020-011</t>
  </si>
  <si>
    <t>H01-July-20</t>
  </si>
  <si>
    <t>ICR-20GEE0038</t>
  </si>
  <si>
    <t>ITB # 2020-06-036</t>
  </si>
  <si>
    <t>ICR-20GEE0037</t>
  </si>
  <si>
    <t>2020-03-148 Re-bid</t>
  </si>
  <si>
    <t>SB2 LREP19 300-20-03-02986</t>
  </si>
  <si>
    <t>2020-06-001</t>
  </si>
  <si>
    <t>2020-03-149 Re-bid</t>
  </si>
  <si>
    <t>LBP-RBAC V-0620-149</t>
  </si>
  <si>
    <t>ICR-20GEE0034</t>
  </si>
  <si>
    <t>2020-02-1</t>
  </si>
  <si>
    <t>ATI2020-06-154</t>
  </si>
  <si>
    <t>ATI2020-06-152</t>
  </si>
  <si>
    <t>2020-06-370</t>
  </si>
  <si>
    <t>2020-02-2</t>
  </si>
  <si>
    <t>2020-03-166 Re-bid</t>
  </si>
  <si>
    <t>DORL-HNS-1252-20</t>
  </si>
  <si>
    <t>2020-06-30</t>
  </si>
  <si>
    <t>2020-06-368</t>
  </si>
  <si>
    <t>2020-030</t>
  </si>
  <si>
    <t>HRS-1315-20</t>
  </si>
  <si>
    <t>ATI2020-06-155</t>
  </si>
  <si>
    <t>DES-1321-20</t>
  </si>
  <si>
    <t>DES-1196-20</t>
  </si>
  <si>
    <t>PR 2020 - 03</t>
  </si>
  <si>
    <t>DMD-1304-20</t>
  </si>
  <si>
    <t>geps-06-002</t>
  </si>
  <si>
    <t>geps-06-001</t>
  </si>
  <si>
    <t>R4-ORD-ARDMS-ADM-20-05-268</t>
  </si>
  <si>
    <t>2020-06-0216</t>
  </si>
  <si>
    <t>PR# 20-0798</t>
  </si>
  <si>
    <t>2020-028</t>
  </si>
  <si>
    <t>ICR-20GEE0039</t>
  </si>
  <si>
    <t>2</t>
  </si>
  <si>
    <t>CGB-2020-06-012</t>
  </si>
  <si>
    <t>RFQ-2020-05A</t>
  </si>
  <si>
    <t>UNSERVICEABLE-01-2020</t>
  </si>
  <si>
    <t>bac-20-0630b</t>
  </si>
  <si>
    <t>INF-012-2020</t>
  </si>
  <si>
    <t>Infra 2020-06</t>
  </si>
  <si>
    <t>bac-20-0630a</t>
  </si>
  <si>
    <t>PR 2020 - 01</t>
  </si>
  <si>
    <t>ITB No. (INF) 2020-06-093 OPENING OF ROAD, BRGY. C</t>
  </si>
  <si>
    <t>2020-G-36</t>
  </si>
  <si>
    <t>geps-06-003</t>
  </si>
  <si>
    <t>CGB-2020-06-013</t>
  </si>
  <si>
    <t>0959-20</t>
  </si>
  <si>
    <t>ITB PR NO. 20-06-083</t>
  </si>
  <si>
    <t>2020-06-2009</t>
  </si>
  <si>
    <t>PR-2020-06-010</t>
  </si>
  <si>
    <t>Infra 2020-08</t>
  </si>
  <si>
    <t>2020-06-2012</t>
  </si>
  <si>
    <t>PR. 20-06-235 (i.1, 3-11) (2020-06-219)</t>
  </si>
  <si>
    <t>RFQ-018-2020</t>
  </si>
  <si>
    <t>0965-20</t>
  </si>
  <si>
    <t>NP-06-34-20</t>
  </si>
  <si>
    <t>GOODS-NP-2020-098</t>
  </si>
  <si>
    <t>780</t>
  </si>
  <si>
    <t>2020-06-20</t>
  </si>
  <si>
    <t>06-130-2020</t>
  </si>
  <si>
    <t>20-06-130</t>
  </si>
  <si>
    <t>RFQ No. 20-0602 Shopping B</t>
  </si>
  <si>
    <t>0506</t>
  </si>
  <si>
    <t>PR# 20-0799</t>
  </si>
  <si>
    <t>SN No 2020-001</t>
  </si>
  <si>
    <t>GOODS-NP-2020-097</t>
  </si>
  <si>
    <t>GOODS-NP-2020-099</t>
  </si>
  <si>
    <t>20-06-899</t>
  </si>
  <si>
    <t>2020-06-14</t>
  </si>
  <si>
    <t>2020-06-2014</t>
  </si>
  <si>
    <t>0970-20</t>
  </si>
  <si>
    <t>rfq 2020-07</t>
  </si>
  <si>
    <t>IB NO. N-2020-06-87</t>
  </si>
  <si>
    <t>2020-06-2013</t>
  </si>
  <si>
    <t>TF 002</t>
  </si>
  <si>
    <t>Infra 2020-07</t>
  </si>
  <si>
    <t>0966-20</t>
  </si>
  <si>
    <t>INF-011-2020</t>
  </si>
  <si>
    <t>PF-0620-617</t>
  </si>
  <si>
    <t>GOODS-3-2020-007</t>
  </si>
  <si>
    <t>SS-1245-20</t>
  </si>
  <si>
    <t>2020-RFQ-017</t>
  </si>
  <si>
    <t>RFQ-GOODS-ISAIMO-03-20</t>
  </si>
  <si>
    <t>PR20-06-112</t>
  </si>
  <si>
    <t>0958-20</t>
  </si>
  <si>
    <t>BAC-2020-40</t>
  </si>
  <si>
    <t>PR 133-2020</t>
  </si>
  <si>
    <t>070-2020</t>
  </si>
  <si>
    <t>2020-310</t>
  </si>
  <si>
    <t>IB NO. N-2020-06-86</t>
  </si>
  <si>
    <t>bac-20-0630c</t>
  </si>
  <si>
    <t>20-189</t>
  </si>
  <si>
    <t>Concreting of Barangay Road at Brgy. Doña Brigida,</t>
  </si>
  <si>
    <t>PR20-05-090</t>
  </si>
  <si>
    <t>PR#2020-06-PR083</t>
  </si>
  <si>
    <t>228-20</t>
  </si>
  <si>
    <t>2020</t>
  </si>
  <si>
    <t>06302020</t>
  </si>
  <si>
    <t>PF-0220-169</t>
  </si>
  <si>
    <t>PF-0220-168</t>
  </si>
  <si>
    <t>2020-084</t>
  </si>
  <si>
    <t>102CO-2020-244</t>
  </si>
  <si>
    <t>06302020-g</t>
  </si>
  <si>
    <t>20-188</t>
  </si>
  <si>
    <t>GOODS-NP-2020-058</t>
  </si>
  <si>
    <t>100-9919-20-339</t>
  </si>
  <si>
    <t>Q-53</t>
  </si>
  <si>
    <t>102CO-2020-245</t>
  </si>
  <si>
    <t>06302020-g2</t>
  </si>
  <si>
    <t>Solicitation No. Goods 20-0701-0055R</t>
  </si>
  <si>
    <t>6302020-030</t>
  </si>
  <si>
    <t>Barangay Pa-a 2020 - 07</t>
  </si>
  <si>
    <t>102CO-2020-243</t>
  </si>
  <si>
    <t>2020-064</t>
  </si>
  <si>
    <t>2020-06-0107</t>
  </si>
  <si>
    <t>DSWD 4B 2020-06-0667</t>
  </si>
  <si>
    <t>2020-06-050</t>
  </si>
  <si>
    <t>Tan-04, 2020</t>
  </si>
  <si>
    <t>BANNA-RFQ-74(FOR CLUP)-2020</t>
  </si>
  <si>
    <t>ITB No. 20-052   ONE (1) LOT SUPPLY AND DELIVERY O</t>
  </si>
  <si>
    <t>PR2020-06-29-075</t>
  </si>
  <si>
    <t>ITB No. (GDS) 2020-06-015 PROCUREMENT OF COMPACT C</t>
  </si>
  <si>
    <t>Solicitation No. Goods 20-0701-0056R</t>
  </si>
  <si>
    <t>PR# 20-0800</t>
  </si>
  <si>
    <t>2020-085</t>
  </si>
  <si>
    <t>RFQ-GOODS-ISAIMO-04-20</t>
  </si>
  <si>
    <t>DM-BAC-2020-0041</t>
  </si>
  <si>
    <t>2020-327</t>
  </si>
  <si>
    <t>2020-448</t>
  </si>
  <si>
    <t>RFQ-014-2020</t>
  </si>
  <si>
    <t>2020-03-202</t>
  </si>
  <si>
    <t>305-06-20-101</t>
  </si>
  <si>
    <t>100-06-20-01659</t>
  </si>
  <si>
    <t>ITB No. GOP/20-DSWD-043</t>
  </si>
  <si>
    <t>102CO-2020-247</t>
  </si>
  <si>
    <t>ITB No. (GDS) 2020-06-016  PROCUREMENT OF BROADCAS</t>
  </si>
  <si>
    <t>LGU-123-2020</t>
  </si>
  <si>
    <t>2020-08APP20</t>
  </si>
  <si>
    <t>PHO-NC-2020-129</t>
  </si>
  <si>
    <t>AD-GSU-20-06-344</t>
  </si>
  <si>
    <t>100-2003-213-GF</t>
  </si>
  <si>
    <t>GOODS 2020-19</t>
  </si>
  <si>
    <t>SH-009-2020</t>
  </si>
  <si>
    <t>2020-07-001</t>
  </si>
  <si>
    <t>2020-30</t>
  </si>
  <si>
    <t>SAR-GOODS-06-105-2020</t>
  </si>
  <si>
    <t>Solicitation No. Goods 20-0701-0057R</t>
  </si>
  <si>
    <t>382-2020 Bidding</t>
  </si>
  <si>
    <t>SAR-GOODS-06-032-2020</t>
  </si>
  <si>
    <t>SH-008-2020</t>
  </si>
  <si>
    <t>20-06-826</t>
  </si>
  <si>
    <t>20-015</t>
  </si>
  <si>
    <t>102CO-2020-246</t>
  </si>
  <si>
    <t>HO-2020-06-0357</t>
  </si>
  <si>
    <t>SVP-2020-091</t>
  </si>
  <si>
    <t>MAINT 2020-06-0018</t>
  </si>
  <si>
    <t>PR NO. 0549 S.2020</t>
  </si>
  <si>
    <t>002</t>
  </si>
  <si>
    <t>001</t>
  </si>
  <si>
    <t>20-076</t>
  </si>
  <si>
    <t>RFQ-2020-05B</t>
  </si>
  <si>
    <t>2020-489</t>
  </si>
  <si>
    <t>SVP 2020-138</t>
  </si>
  <si>
    <t>2020-85</t>
  </si>
  <si>
    <t>SF-G-MDRRMF16-2020-14</t>
  </si>
  <si>
    <t>Barangay Pa-a 2020 - 06</t>
  </si>
  <si>
    <t>INFRA 2020-06-001</t>
  </si>
  <si>
    <t>OPA-RASS-NC-2020-0344</t>
  </si>
  <si>
    <t>IB NO. N-2020-06-85</t>
  </si>
  <si>
    <t>SH-007-2020</t>
  </si>
  <si>
    <t>Solicitation No. Goods 20-0701-0060R</t>
  </si>
  <si>
    <t>2020-06-0011</t>
  </si>
  <si>
    <t>2006098</t>
  </si>
  <si>
    <t>HO-2020-06-0346</t>
  </si>
  <si>
    <t>2020-490</t>
  </si>
  <si>
    <t>RFQ-JUNE_5</t>
  </si>
  <si>
    <t>017-2020</t>
  </si>
  <si>
    <t>Solicitation No. Goods 20-0701-0059R</t>
  </si>
  <si>
    <t>2020-29</t>
  </si>
  <si>
    <t>071-2020</t>
  </si>
  <si>
    <t>2020-06-04</t>
  </si>
  <si>
    <t>AB-2020-0019</t>
  </si>
  <si>
    <t>ZRIS-2020-06-0385</t>
  </si>
  <si>
    <t>GSO-20-06-0287</t>
  </si>
  <si>
    <t>RFQ 516</t>
  </si>
  <si>
    <t>CAR-ADN-2020-095</t>
  </si>
  <si>
    <t>RFQ-JUNE_6</t>
  </si>
  <si>
    <t>MAINT 2020-06-0019</t>
  </si>
  <si>
    <t>RFQ-013-2020</t>
  </si>
  <si>
    <t>2020-31</t>
  </si>
  <si>
    <t>ZRIS-2020-06-0386</t>
  </si>
  <si>
    <t>IAAPIS-2020-06-0342</t>
  </si>
  <si>
    <t>PR# 20-0801</t>
  </si>
  <si>
    <t>PR2020-06-29-074</t>
  </si>
  <si>
    <t>2020-151</t>
  </si>
  <si>
    <t>20-06-08</t>
  </si>
  <si>
    <t>2020-035</t>
  </si>
  <si>
    <t>GOODS 2020-20</t>
  </si>
  <si>
    <t>100-2003-256-GF</t>
  </si>
  <si>
    <t>MAINT 2020-06-0020</t>
  </si>
  <si>
    <t>PPC-020-05</t>
  </si>
  <si>
    <t>2020-150</t>
  </si>
  <si>
    <t>PEO-NC-2020-0341</t>
  </si>
  <si>
    <t>2020-078</t>
  </si>
  <si>
    <t>PEO-NC-2020-0343</t>
  </si>
  <si>
    <t>2020-09APP20</t>
  </si>
  <si>
    <t>PNU - VIS - GD 2020.06.003</t>
  </si>
  <si>
    <t>7999-0620-488</t>
  </si>
  <si>
    <t>PNU - VIS - GD 2020.06.002</t>
  </si>
  <si>
    <t>RFQ-2020-06-253</t>
  </si>
  <si>
    <t>RFQ No. 0834-20</t>
  </si>
  <si>
    <t>2020-30-003</t>
  </si>
  <si>
    <t>018-2020</t>
  </si>
  <si>
    <t>031-06-2020</t>
  </si>
  <si>
    <t>Barangay Marangog 2020 - 03</t>
  </si>
  <si>
    <t>2020-06-83</t>
  </si>
  <si>
    <t>7999-0620-487</t>
  </si>
  <si>
    <t>JRMPII-122-2020</t>
  </si>
  <si>
    <t>2020-152</t>
  </si>
  <si>
    <t>006-2020</t>
  </si>
  <si>
    <t>PR No. 2020-06-0175</t>
  </si>
  <si>
    <t>BAC 3-2020-06-067</t>
  </si>
  <si>
    <t>RPQ2020-06-001</t>
  </si>
  <si>
    <t>2020-06-030</t>
  </si>
  <si>
    <t>Q-54</t>
  </si>
  <si>
    <t>CGT- Goods- 2020- 00102</t>
  </si>
  <si>
    <t>N-I-2020-0021</t>
  </si>
  <si>
    <t>PR No. 2020-06-0176</t>
  </si>
  <si>
    <t>bcwd-2020-061</t>
  </si>
  <si>
    <t>BEMO-NC-2020-0342</t>
  </si>
  <si>
    <t>007-2020</t>
  </si>
  <si>
    <t>RFQ No. 20-07-016</t>
  </si>
  <si>
    <t>20CB-GSC-377 PURCHASE OF TARPAULIN FOR BPLD</t>
  </si>
  <si>
    <t>2020-100-05-414</t>
  </si>
  <si>
    <t>PB NO. 2020-044</t>
  </si>
  <si>
    <t>RFQ No. 20-0604 Shopping B</t>
  </si>
  <si>
    <t>2020-0707-025</t>
  </si>
  <si>
    <t>Solicitation No. Goods 20-0701-0071</t>
  </si>
  <si>
    <t>LGU-125-2020</t>
  </si>
  <si>
    <t>RFQ No. 0838-20</t>
  </si>
  <si>
    <t>Pampango - 02</t>
  </si>
  <si>
    <t>2020-153</t>
  </si>
  <si>
    <t>0868</t>
  </si>
  <si>
    <t>20-03-77</t>
  </si>
  <si>
    <t>RO4-INFR-2020-06-A</t>
  </si>
  <si>
    <t>2020-G-31</t>
  </si>
  <si>
    <t>SV-0632-2020</t>
  </si>
  <si>
    <t>MAINT 2020-06-0021</t>
  </si>
  <si>
    <t>LGU-124-2020</t>
  </si>
  <si>
    <t>10</t>
  </si>
  <si>
    <t>2020-06-361</t>
  </si>
  <si>
    <t>7999-0620-463</t>
  </si>
  <si>
    <t>2020-B1-06-019</t>
  </si>
  <si>
    <t>SPO-20-0761-B</t>
  </si>
  <si>
    <t>100-2006-0381</t>
  </si>
  <si>
    <t>2020 - 085</t>
  </si>
  <si>
    <t>RFQ No. 0831-20</t>
  </si>
  <si>
    <t>G065-20</t>
  </si>
  <si>
    <t>6302020-031</t>
  </si>
  <si>
    <t>2020-86</t>
  </si>
  <si>
    <t>2006889</t>
  </si>
  <si>
    <t>PHO-20-749-B</t>
  </si>
  <si>
    <t>2020-06-391</t>
  </si>
  <si>
    <t>201638</t>
  </si>
  <si>
    <t>BLGU-SAN FRANCISCO-AL-G-01-2020</t>
  </si>
  <si>
    <t>2020-06-360</t>
  </si>
  <si>
    <t>OPA-FISHERIES-2020-0175 PR2020-0457</t>
  </si>
  <si>
    <t>06302001</t>
  </si>
  <si>
    <t>DAG-2020-06-046</t>
  </si>
  <si>
    <t>2020-01</t>
  </si>
  <si>
    <t>RFQ-121-2020-CDD</t>
  </si>
  <si>
    <t>RFQ No. 0827-20</t>
  </si>
  <si>
    <t>2020-06-085</t>
  </si>
  <si>
    <t>PR2020-06-29-076</t>
  </si>
  <si>
    <t>2020-06-366</t>
  </si>
  <si>
    <t>2020-devmh-072</t>
  </si>
  <si>
    <t>DSC-20-06-124</t>
  </si>
  <si>
    <t>G-2020-06-0311</t>
  </si>
  <si>
    <t>2020-003</t>
  </si>
  <si>
    <t>LGU-126-2020</t>
  </si>
  <si>
    <t>2020-J179</t>
  </si>
  <si>
    <t>PR# 20-0802</t>
  </si>
  <si>
    <t>SEF-I-54-2020</t>
  </si>
  <si>
    <t>2020-07-01</t>
  </si>
  <si>
    <t>2020-325</t>
  </si>
  <si>
    <t>RFQ No. 20-07-017</t>
  </si>
  <si>
    <t>RFQ-151-2020-CDD</t>
  </si>
  <si>
    <t>2020-068</t>
  </si>
  <si>
    <t>201778</t>
  </si>
  <si>
    <t>epslingayen2020-51</t>
  </si>
  <si>
    <t>20-05-240</t>
  </si>
  <si>
    <t>LGS 20 - 056</t>
  </si>
  <si>
    <t>SH-017-2020</t>
  </si>
  <si>
    <t>M7-20-1432</t>
  </si>
  <si>
    <t>Solicitation No. Goods 20-0701-0072</t>
  </si>
  <si>
    <t>6/29/2020</t>
  </si>
  <si>
    <t>RFQ-2020-22</t>
  </si>
  <si>
    <t>2020-058</t>
  </si>
  <si>
    <t>SVP-96</t>
  </si>
  <si>
    <t>19</t>
  </si>
  <si>
    <t>2020-02-0068</t>
  </si>
  <si>
    <t>2020-devmh-074</t>
  </si>
  <si>
    <t>101-20-06-146</t>
  </si>
  <si>
    <t>2020-J177</t>
  </si>
  <si>
    <t>0569-06-2020</t>
  </si>
  <si>
    <t>201660</t>
  </si>
  <si>
    <t>PR 2020-06-1748</t>
  </si>
  <si>
    <t>2020-22</t>
  </si>
  <si>
    <t>BAC-GS 2019- 169</t>
  </si>
  <si>
    <t>06-30-20-112MLUC</t>
  </si>
  <si>
    <t>P-0642</t>
  </si>
  <si>
    <t>OPV-2020-0176 PR2020-0458</t>
  </si>
  <si>
    <t>PR2020-06-29-079</t>
  </si>
  <si>
    <t>LGU-127-2020</t>
  </si>
  <si>
    <t>PB NO. 2020-045</t>
  </si>
  <si>
    <t>ATI2020-06-160</t>
  </si>
  <si>
    <t>20</t>
  </si>
  <si>
    <t>MEO-218-20</t>
  </si>
  <si>
    <t>2020-06-018</t>
  </si>
  <si>
    <t>2020-06-418</t>
  </si>
  <si>
    <t>2020-021-SVP</t>
  </si>
  <si>
    <t>GOODS-2020-10</t>
  </si>
  <si>
    <t xml:space="preserve">DepED-RO6-D1-TIS-SUPPORT INSTRUCTIONAL &amp; LEARNERS </t>
  </si>
  <si>
    <t>159-2020</t>
  </si>
  <si>
    <t>2020-devmh-075</t>
  </si>
  <si>
    <t>Q-55</t>
  </si>
  <si>
    <t>ITB No. 20-053   SUPPLY AND DELIVERY OF LABOR, TOO</t>
  </si>
  <si>
    <t>MZDS-BAC-G-2020-04</t>
  </si>
  <si>
    <t>2020-056</t>
  </si>
  <si>
    <t>2020-228</t>
  </si>
  <si>
    <t>06-30-20-113MLUC</t>
  </si>
  <si>
    <t>2020-014</t>
  </si>
  <si>
    <t>DAG-2020-06-47</t>
  </si>
  <si>
    <t>2020-06-095</t>
  </si>
  <si>
    <t>ITB-2020-06-051</t>
  </si>
  <si>
    <t>Bidding-08-June2020</t>
  </si>
  <si>
    <t>GOODS-PR-2020-06-285</t>
  </si>
  <si>
    <t>NOSO-LMC-SIP-21-2020</t>
  </si>
  <si>
    <t>Solicitation No. Goods 20-0701-0074</t>
  </si>
  <si>
    <t>PR2020-06-29-078</t>
  </si>
  <si>
    <t>HO-2020-06-0384</t>
  </si>
  <si>
    <t>CNSH-04-1st-20SEME-ME</t>
  </si>
  <si>
    <t>OE-56-06-25-2020</t>
  </si>
  <si>
    <t>BSWM PR 2020-05-1267</t>
  </si>
  <si>
    <t>2020-06-416</t>
  </si>
  <si>
    <t>lgu-es-20-06-144</t>
  </si>
  <si>
    <t>BAC 1-2020-06-068</t>
  </si>
  <si>
    <t>063020</t>
  </si>
  <si>
    <t>LGU-ROX-SDG-06-2020</t>
  </si>
  <si>
    <t>20-07-0</t>
  </si>
  <si>
    <t>goods2020_35</t>
  </si>
  <si>
    <t>PR2020-06-29-081</t>
  </si>
  <si>
    <t>RFQ-149-2020</t>
  </si>
  <si>
    <t>2007034</t>
  </si>
  <si>
    <t>PGBH-C-NC-2020-095 PR2020-111</t>
  </si>
  <si>
    <t>TAR-2020-07</t>
  </si>
  <si>
    <t>06-30-20-114MLUC</t>
  </si>
  <si>
    <t>2020-devmh-073</t>
  </si>
  <si>
    <t>PR 12-2020 Fundado</t>
  </si>
  <si>
    <t>RFQ-151-2020</t>
  </si>
  <si>
    <t>20GJI0041</t>
  </si>
  <si>
    <t>DAG-2020-06-048</t>
  </si>
  <si>
    <t>06302020-05</t>
  </si>
  <si>
    <t>CMO(RM-HE)20-015(NP/SV)</t>
  </si>
  <si>
    <t>27700-001</t>
  </si>
  <si>
    <t>epslingayen2020-53</t>
  </si>
  <si>
    <t>07-01-20</t>
  </si>
  <si>
    <t>Solicitation No. Goods 20-0701-0076</t>
  </si>
  <si>
    <t>SVP 1049-2020</t>
  </si>
  <si>
    <t>PHS-1207-20</t>
  </si>
  <si>
    <t>SPPF2020-PR182</t>
  </si>
  <si>
    <t>DepED-RO6-D1-CONSTRUCTIONMATERIALS-001-2019</t>
  </si>
  <si>
    <t>RFQ-155-2020</t>
  </si>
  <si>
    <t>2020-06-</t>
  </si>
  <si>
    <t>OESPA-TRNG-1330-20</t>
  </si>
  <si>
    <t>20-06-199</t>
  </si>
  <si>
    <t>Solicitation No. Goods 20-0701-0077</t>
  </si>
  <si>
    <t>2020-05</t>
  </si>
  <si>
    <t>RFQ NO. 2020-06-26-(8099)</t>
  </si>
  <si>
    <t>RFQ-153-2020</t>
  </si>
  <si>
    <t>2020-005</t>
  </si>
  <si>
    <t>06302020-06</t>
  </si>
  <si>
    <t>211441</t>
  </si>
  <si>
    <t>PUR20-06-0488</t>
  </si>
  <si>
    <t>Q-56</t>
  </si>
  <si>
    <t>Brgystalucia-06-01-2020</t>
  </si>
  <si>
    <t>PB-2020-24</t>
  </si>
  <si>
    <t>211440</t>
  </si>
  <si>
    <t>PR No. 2020-6-1579</t>
  </si>
  <si>
    <t>Q-57</t>
  </si>
  <si>
    <t>RFQ-20-06-0517</t>
  </si>
  <si>
    <t>20GJI0042</t>
  </si>
  <si>
    <t>CMO(Adm)-20-001(shopping)</t>
  </si>
  <si>
    <t>GOODS 2020-212(SVP)</t>
  </si>
  <si>
    <t>20-06-137</t>
  </si>
  <si>
    <t>2020-06-021</t>
  </si>
  <si>
    <t>2020-06-377</t>
  </si>
  <si>
    <t>JRMPII-089-2020</t>
  </si>
  <si>
    <t>211445</t>
  </si>
  <si>
    <t>2020-02-104</t>
  </si>
  <si>
    <t>2020-GOODS-NP-72</t>
  </si>
  <si>
    <t>ITB No. 2020-78</t>
  </si>
  <si>
    <t>4</t>
  </si>
  <si>
    <t>211444</t>
  </si>
  <si>
    <t>JRMPII-284-19</t>
  </si>
  <si>
    <t>06-277</t>
  </si>
  <si>
    <t>211443</t>
  </si>
  <si>
    <t>161-2020</t>
  </si>
  <si>
    <t>QN2020-05-018A</t>
  </si>
  <si>
    <t>BSWM PR 2020-05-1271</t>
  </si>
  <si>
    <t>2020-06-484</t>
  </si>
  <si>
    <t>355-2020</t>
  </si>
  <si>
    <t>2020-06-022</t>
  </si>
  <si>
    <t>20CSPA001</t>
  </si>
  <si>
    <t>BSWM PR 2020-05-1268</t>
  </si>
  <si>
    <t>20CSAB01 - Package 1</t>
  </si>
  <si>
    <t>RFQ-154-2020</t>
  </si>
  <si>
    <t>lgu-es-20-06-145</t>
  </si>
  <si>
    <t>2006-0541-AVRC</t>
  </si>
  <si>
    <t>27636-002</t>
  </si>
  <si>
    <t>JRMPII-291-19</t>
  </si>
  <si>
    <t>2020-06-373</t>
  </si>
  <si>
    <t>RFQ NO. 2020-06-26-(8097)</t>
  </si>
  <si>
    <t>211442</t>
  </si>
  <si>
    <t>NLPRSD-2020-06-0303</t>
  </si>
  <si>
    <t>3</t>
  </si>
  <si>
    <t>20-05-0651</t>
  </si>
  <si>
    <t>RFQ-2020-06-0848</t>
  </si>
  <si>
    <t>20DL0225</t>
  </si>
  <si>
    <t>Q-58</t>
  </si>
  <si>
    <t>INFRA-2020-01</t>
  </si>
  <si>
    <t>20-06-RA0018</t>
  </si>
  <si>
    <t>ITB # 2020-06-037</t>
  </si>
  <si>
    <t>BAC-20-0110</t>
  </si>
  <si>
    <t>211450</t>
  </si>
  <si>
    <t>RFQ-2020-24</t>
  </si>
  <si>
    <t>211447</t>
  </si>
  <si>
    <t>RFQ-157-2020</t>
  </si>
  <si>
    <t>TM-20-06-0048</t>
  </si>
  <si>
    <t>20-06-FOD0142</t>
  </si>
  <si>
    <t>2020-218</t>
  </si>
  <si>
    <t>2020-069</t>
  </si>
  <si>
    <t>PUR20-06-0475</t>
  </si>
  <si>
    <t>211449</t>
  </si>
  <si>
    <t>PR# 20-0807</t>
  </si>
  <si>
    <t>PUR20-04-0318</t>
  </si>
  <si>
    <t>101-20-06</t>
  </si>
  <si>
    <t>RFQ-20-06-0516</t>
  </si>
  <si>
    <t>2020-015</t>
  </si>
  <si>
    <t>PR 20-019</t>
  </si>
  <si>
    <t>BSWM PR 2020-06-1300</t>
  </si>
  <si>
    <t>20DL0226</t>
  </si>
  <si>
    <t>ITB-2020-06-052</t>
  </si>
  <si>
    <t>211448</t>
  </si>
  <si>
    <t>20-06-FOD0143</t>
  </si>
  <si>
    <t>2020-06-0062</t>
  </si>
  <si>
    <t>211452</t>
  </si>
  <si>
    <t>20DL0227</t>
  </si>
  <si>
    <t>2020-F051</t>
  </si>
  <si>
    <t>20JF0109</t>
  </si>
  <si>
    <t>GOODS-2020-038</t>
  </si>
  <si>
    <t>2020-06-104</t>
  </si>
  <si>
    <t>105CO-11267-2RCDG-2020</t>
  </si>
  <si>
    <t>RFQ-0630 #2 SM-436/440</t>
  </si>
  <si>
    <t>BGHMCPB-2020-17-001</t>
  </si>
  <si>
    <t>20-06-154</t>
  </si>
  <si>
    <t>211455</t>
  </si>
  <si>
    <t>NLPRSD-2020-06-0304</t>
  </si>
  <si>
    <t>PB 06-07-2020</t>
  </si>
  <si>
    <t>DENR XII-SP-29-2020</t>
  </si>
  <si>
    <t>DILG-2020-003</t>
  </si>
  <si>
    <t>201715</t>
  </si>
  <si>
    <t>Q-59</t>
  </si>
  <si>
    <t>2020-MUN-GF-018</t>
  </si>
  <si>
    <t>NG-GOODS-2020-16</t>
  </si>
  <si>
    <t>PR2020-06-29-083</t>
  </si>
  <si>
    <t>BSWM PR 2020-06-1301</t>
  </si>
  <si>
    <t>2020-65</t>
  </si>
  <si>
    <t>CWD06-202001</t>
  </si>
  <si>
    <t>ITB No. 014-2020</t>
  </si>
  <si>
    <t>49</t>
  </si>
  <si>
    <t>RFQ-160-2020</t>
  </si>
  <si>
    <t>RFQ NO. 2020-06-24-(8087)</t>
  </si>
  <si>
    <t>211453</t>
  </si>
  <si>
    <t>211458</t>
  </si>
  <si>
    <t>2006-0783</t>
  </si>
  <si>
    <t>PR2020-06-29-084</t>
  </si>
  <si>
    <t>211457</t>
  </si>
  <si>
    <t>PROJECT ID NO. I-2020-011</t>
  </si>
  <si>
    <t>ITB No. 2020-161-pgb offices</t>
  </si>
  <si>
    <t>RFQ 2020-0029</t>
  </si>
  <si>
    <t>211454</t>
  </si>
  <si>
    <t>2020-66</t>
  </si>
  <si>
    <t>20MG0151</t>
  </si>
  <si>
    <t>RFQ 2020-06-0130</t>
  </si>
  <si>
    <t>BSWM PR 2020-06-1342</t>
  </si>
  <si>
    <t>06-20-A110</t>
  </si>
  <si>
    <t>R.I.S. No.: 20-83-125</t>
  </si>
  <si>
    <t>2020-CADCADIR EAST-001</t>
  </si>
  <si>
    <t>2020-1016-02-002</t>
  </si>
  <si>
    <t>20MG0150</t>
  </si>
  <si>
    <t>RFQ-0630 #3 SM-446</t>
  </si>
  <si>
    <t>808</t>
  </si>
  <si>
    <t>RFQ-20-06-010 INK CARTRIDGE</t>
  </si>
  <si>
    <t>RFQ-159-2020</t>
  </si>
  <si>
    <t>2020-06-026</t>
  </si>
  <si>
    <t>2020-ANT-GOODS-0125</t>
  </si>
  <si>
    <t>BUE-06302020-03</t>
  </si>
  <si>
    <t>rfq#2020-06-2,610-peo</t>
  </si>
  <si>
    <t>2020-67</t>
  </si>
  <si>
    <t>2020-NG06-0012</t>
  </si>
  <si>
    <t>MQE-INFR-2020-001</t>
  </si>
  <si>
    <t>RFQ-2020-037</t>
  </si>
  <si>
    <t>20MG0149</t>
  </si>
  <si>
    <t>BSWM PR 2020-06-1363</t>
  </si>
  <si>
    <t>2020-ANT-GOODS-0126</t>
  </si>
  <si>
    <t>PROJECT ID NO. G-2020-003</t>
  </si>
  <si>
    <t>NP-SVP-310-2020</t>
  </si>
  <si>
    <t>2020-NG06-0011</t>
  </si>
  <si>
    <t>PHS-1210-20</t>
  </si>
  <si>
    <t>mnto 20 0010</t>
  </si>
  <si>
    <t>BUE-06302020-02</t>
  </si>
  <si>
    <t>BUE-06302020-01</t>
  </si>
  <si>
    <t>BSWM PR 2020-06-1362</t>
  </si>
  <si>
    <t>HRDD-NEAP-20-06-358</t>
  </si>
  <si>
    <t>211459</t>
  </si>
  <si>
    <t>211456</t>
  </si>
  <si>
    <t>20-06-0022</t>
  </si>
  <si>
    <t>2020-06-21</t>
  </si>
  <si>
    <t>salbac 2020 28</t>
  </si>
  <si>
    <t>Sip-2020-079</t>
  </si>
  <si>
    <t>PR-2020-1392</t>
  </si>
  <si>
    <t>BGRY-2020-001</t>
  </si>
  <si>
    <t>ITB No. PPC-20-001</t>
  </si>
  <si>
    <t>06-20-A116</t>
  </si>
  <si>
    <t>DAG-2020-06-050</t>
  </si>
  <si>
    <t>2020-06-004</t>
  </si>
  <si>
    <t>R.I.S. No.: 20-83-121</t>
  </si>
  <si>
    <t xml:space="preserve">RFQ No. 20-090 One (1) Lot Supply and Delivery of </t>
  </si>
  <si>
    <t>2020-SRV-014</t>
  </si>
  <si>
    <t>RFQ No. 002-2020</t>
  </si>
  <si>
    <t>RFQ 2020-254</t>
  </si>
  <si>
    <t>20-06-0014</t>
  </si>
  <si>
    <t>2020-AMP-063</t>
  </si>
  <si>
    <t>06-2020</t>
  </si>
  <si>
    <t>20-06-264</t>
  </si>
  <si>
    <t>PROJECT ID NO. I-2020-010</t>
  </si>
  <si>
    <t>NP-SVP-311-2020</t>
  </si>
  <si>
    <t>Ibaan/2020/242</t>
  </si>
  <si>
    <t>IB 2020-038</t>
  </si>
  <si>
    <t>20CSAB04 - Package 4</t>
  </si>
  <si>
    <t>SN# 2020-06-11</t>
  </si>
  <si>
    <t>20GCF0002</t>
  </si>
  <si>
    <t>2020-NG06-0013</t>
  </si>
  <si>
    <t>DD-2020-06-04</t>
  </si>
  <si>
    <t>PR-2020-06-872</t>
  </si>
  <si>
    <t>2020_GOODS_013</t>
  </si>
  <si>
    <t>2020-066</t>
  </si>
  <si>
    <t>51</t>
  </si>
  <si>
    <t>IB NO. CW 2020 - 102</t>
  </si>
  <si>
    <t>PR-2020-1434</t>
  </si>
  <si>
    <t>2020-75 (GAS)</t>
  </si>
  <si>
    <t>300620-CRS-012-20</t>
  </si>
  <si>
    <t>20-06-263</t>
  </si>
  <si>
    <t>2020-006</t>
  </si>
  <si>
    <t>05-20-A105</t>
  </si>
  <si>
    <t>201766</t>
  </si>
  <si>
    <t>rep-001</t>
  </si>
  <si>
    <t>SDO-Val.-2020-07-0012</t>
  </si>
  <si>
    <t>2020 Ganatan 10</t>
  </si>
  <si>
    <t>RIO-GOODS-13-2020</t>
  </si>
  <si>
    <t>006</t>
  </si>
  <si>
    <t>2020-06-115-S</t>
  </si>
  <si>
    <t>AFPREO-RMB-1332-20</t>
  </si>
  <si>
    <t>2020-007</t>
  </si>
  <si>
    <t>2020 Ganatan11</t>
  </si>
  <si>
    <t>300620-CRS-011-20</t>
  </si>
  <si>
    <t>AFPREO-RMB-1331-20</t>
  </si>
  <si>
    <t>RFQ 2020-0030</t>
  </si>
  <si>
    <t>2020-065</t>
  </si>
  <si>
    <t>PROJECT ID NO. I-2020-013</t>
  </si>
  <si>
    <t>RFQ2020-06-1007</t>
  </si>
  <si>
    <t>DENR XII-SP-30-2020</t>
  </si>
  <si>
    <t>M-20-06-039</t>
  </si>
  <si>
    <t>PR-2020-1579</t>
  </si>
  <si>
    <t>NP-SVP-312-2020</t>
  </si>
  <si>
    <t>2020-06-0054</t>
  </si>
  <si>
    <t>50</t>
  </si>
  <si>
    <t>PGL-20 NEGO 32-06</t>
  </si>
  <si>
    <t>RFQ-0630 #4 SM-427</t>
  </si>
  <si>
    <t>201593</t>
  </si>
  <si>
    <t>20DL0228</t>
  </si>
  <si>
    <t>201797</t>
  </si>
  <si>
    <t>PROJECT ID NO. I-2020-014</t>
  </si>
  <si>
    <t>TO 2020-002</t>
  </si>
  <si>
    <t>RFQ 2020-06-0131</t>
  </si>
  <si>
    <t>2020-PLA-064</t>
  </si>
  <si>
    <t>2020-GOODS-258</t>
  </si>
  <si>
    <t>RFQ 2020-248</t>
  </si>
  <si>
    <t>20-06-095</t>
  </si>
  <si>
    <t>4PS-2020-06-0225</t>
  </si>
  <si>
    <t>PGL-20 NEGO 35-06</t>
  </si>
  <si>
    <t>AMP-RFQ-2020-088</t>
  </si>
  <si>
    <t>PR-2020-0454</t>
  </si>
  <si>
    <t>20DL0229</t>
  </si>
  <si>
    <t>201774</t>
  </si>
  <si>
    <t>PGL-20 NEGO 34-06</t>
  </si>
  <si>
    <t>52</t>
  </si>
  <si>
    <t>PR-2020-0403</t>
  </si>
  <si>
    <t>007</t>
  </si>
  <si>
    <t>DENR N.Ecija-2020-041</t>
  </si>
  <si>
    <t>PGL-20 NEGO 33-06</t>
  </si>
  <si>
    <t>RFQ NO. 20-06-003</t>
  </si>
  <si>
    <t>RFQ-2020-004</t>
  </si>
  <si>
    <t>20-06-086</t>
  </si>
  <si>
    <t>020</t>
  </si>
  <si>
    <t>MH-GOODS-TLDC-PWD-PRINTING-SERVICES-EQPT-689</t>
  </si>
  <si>
    <t>RFQ-2020-006</t>
  </si>
  <si>
    <t>PR# 0120-045</t>
  </si>
  <si>
    <t>2002-012-01</t>
  </si>
  <si>
    <t>PR-2020</t>
  </si>
  <si>
    <t>RFQ NO.  20-06-004</t>
  </si>
  <si>
    <t>2020 - 012</t>
  </si>
  <si>
    <t>BSVP 2041</t>
  </si>
  <si>
    <t>20OE0207</t>
  </si>
  <si>
    <t>PHO-NC-2020-128 PR2020-176</t>
  </si>
  <si>
    <t>TIEZA-73-2020</t>
  </si>
  <si>
    <t>2020-06-3103</t>
  </si>
  <si>
    <t>110.2020</t>
  </si>
  <si>
    <t>PHO-SC-2020-005 PR2020-177</t>
  </si>
  <si>
    <t>472-06-2020 (DEP-ED)</t>
  </si>
  <si>
    <t>TIEZA-72-2020</t>
  </si>
  <si>
    <t>GENSERV-2020-06-0226</t>
  </si>
  <si>
    <t>201475</t>
  </si>
  <si>
    <t>TIEZA-71-2020</t>
  </si>
  <si>
    <t>2020-06-359</t>
  </si>
  <si>
    <t>060-20</t>
  </si>
  <si>
    <t>S-2020-74</t>
  </si>
  <si>
    <t>20-06-132</t>
  </si>
  <si>
    <t>CW -20-0701-022</t>
  </si>
  <si>
    <t>rfq of laborers</t>
  </si>
  <si>
    <t>LGU-AL-G-31-2020</t>
  </si>
  <si>
    <t>2020-229</t>
  </si>
  <si>
    <t>06-30-2020</t>
  </si>
  <si>
    <t>RFQ-2020-06-55</t>
  </si>
  <si>
    <t>PIN2020-084</t>
  </si>
  <si>
    <t>PSAXI-PSO1123-RFQ20-05</t>
  </si>
  <si>
    <t>RFQ-2020-005</t>
  </si>
  <si>
    <t>PHO-SC-2020-004 PR2020-175</t>
  </si>
  <si>
    <t>PHO-SC-2020-003 PR2020-168</t>
  </si>
  <si>
    <t>ConstCR2020-July-1</t>
  </si>
  <si>
    <t>TIEZA-70-2020</t>
  </si>
  <si>
    <t>CANWD2020-JULY-001</t>
  </si>
  <si>
    <t>PHO-NC-2020-127 PR2020-174</t>
  </si>
  <si>
    <t>20-06-198</t>
  </si>
  <si>
    <t>0620010</t>
  </si>
  <si>
    <t>PR-2020-1440</t>
  </si>
  <si>
    <t>20-06-131</t>
  </si>
  <si>
    <t>PGL-20 NEGO 36-06</t>
  </si>
  <si>
    <t>MP-063020-56</t>
  </si>
  <si>
    <t>02-06-2020</t>
  </si>
  <si>
    <t>2020-AP-06-023</t>
  </si>
  <si>
    <t>0120-171</t>
  </si>
  <si>
    <t>20-06-287</t>
  </si>
  <si>
    <t>PR-2020-1636</t>
  </si>
  <si>
    <t>PGL-20 NEGO 37-06</t>
  </si>
  <si>
    <t>2020-02-0208</t>
  </si>
  <si>
    <t>PR-2020-06-0019</t>
  </si>
  <si>
    <t>PR-2020-1583</t>
  </si>
  <si>
    <t>06-095-2020</t>
  </si>
  <si>
    <t>PR 05-3471</t>
  </si>
  <si>
    <t>109898-2020-04A</t>
  </si>
  <si>
    <t>CW -20-0701-027</t>
  </si>
  <si>
    <t>PSAXI-PSO1123-RFQ20-06</t>
  </si>
  <si>
    <t>PR-2020-0706</t>
  </si>
  <si>
    <t>RFQ-2020-007</t>
  </si>
  <si>
    <t>CW -20-0701-023</t>
  </si>
  <si>
    <t>20-06-133</t>
  </si>
  <si>
    <t>20-06-087</t>
  </si>
  <si>
    <t>ITB # 2020-06-038</t>
  </si>
  <si>
    <t>20-06-134</t>
  </si>
  <si>
    <t>2020-0630</t>
  </si>
  <si>
    <t>PR. NO. 2020-06-011</t>
  </si>
  <si>
    <t>BAC CONSULTING 2020-01</t>
  </si>
  <si>
    <t>20-06-04</t>
  </si>
  <si>
    <t>RFQ-158-2020</t>
  </si>
  <si>
    <t>RFQ No. 20-081 Supply and Delivery of Eight (8) Ki</t>
  </si>
  <si>
    <t>Goods-117-2020</t>
  </si>
  <si>
    <t>RFQ-0630 #1 SM-427</t>
  </si>
  <si>
    <t>2020-06-29</t>
  </si>
  <si>
    <t>20-20-06-213</t>
  </si>
  <si>
    <t>TIEZA-74-2020</t>
  </si>
  <si>
    <t>20-07</t>
  </si>
  <si>
    <t>471-06-2020 (DEP-ED)</t>
  </si>
  <si>
    <t>100-2006-0330A</t>
  </si>
  <si>
    <t>CW -20-0701-041</t>
  </si>
  <si>
    <t>20-06-05</t>
  </si>
  <si>
    <t>N20-SBL-106</t>
  </si>
  <si>
    <t>BAC 1-2020-06-069</t>
  </si>
  <si>
    <t>06-30-2020-241</t>
  </si>
  <si>
    <t>109898-2020-05</t>
  </si>
  <si>
    <t>109898-2020-06</t>
  </si>
  <si>
    <t>PSAXI-PSO1123-RFQ20-07</t>
  </si>
  <si>
    <t>20-06-363</t>
  </si>
  <si>
    <t>2020-06-023</t>
  </si>
  <si>
    <t>20CSFN0001</t>
  </si>
  <si>
    <t>PIKCOT-SUPP-002020-00143</t>
  </si>
  <si>
    <t>2020-06-084</t>
  </si>
  <si>
    <t>PR No. 1267 - 20BAC</t>
  </si>
  <si>
    <t>2020-06-394</t>
  </si>
  <si>
    <t>salbac 2020 29</t>
  </si>
  <si>
    <t>CW -20-0701-033</t>
  </si>
  <si>
    <t>0120-170</t>
  </si>
  <si>
    <t>2020-06-415</t>
  </si>
  <si>
    <t>JHS 2020-06-06</t>
  </si>
  <si>
    <t>109898-2020-07</t>
  </si>
  <si>
    <t>LP2020LG</t>
  </si>
  <si>
    <t>2020-02-0209</t>
  </si>
  <si>
    <t>Aklan BAC RFQ 373 Series of 2020</t>
  </si>
  <si>
    <t>PSAXI-PSO1123-RFQ20-08</t>
  </si>
  <si>
    <t>20CH0076</t>
  </si>
  <si>
    <t>CW -20-0701-045</t>
  </si>
  <si>
    <t>1002000600872</t>
  </si>
  <si>
    <t>2020-06-PR044</t>
  </si>
  <si>
    <t>PR-2020-1012</t>
  </si>
  <si>
    <t>109898-2020-04B</t>
  </si>
  <si>
    <t>06-30-2020-240</t>
  </si>
  <si>
    <t>20CSAB03 - Package 3</t>
  </si>
  <si>
    <t>GOODS-2020-039</t>
  </si>
  <si>
    <t>PR# 2020-06-0308</t>
  </si>
  <si>
    <t>2020-06-021-101</t>
  </si>
  <si>
    <t>BAC-PGCS-161-2020</t>
  </si>
  <si>
    <t>RFQ-0630 #5 SM-477</t>
  </si>
  <si>
    <t>PSAXI-PSO1123-RFQ20-09</t>
  </si>
  <si>
    <t>CW -20-0701-0145R</t>
  </si>
  <si>
    <t>2020-GOODS-257</t>
  </si>
  <si>
    <t>PIKCOT-SUPP-002020-00144</t>
  </si>
  <si>
    <t>27729-001</t>
  </si>
  <si>
    <t>2020-06-22</t>
  </si>
  <si>
    <t>469-06-2020 (IPHO)</t>
  </si>
  <si>
    <t>NIAREG9-06-2020-COB-080 (SH)</t>
  </si>
  <si>
    <t>211451</t>
  </si>
  <si>
    <t>CW -20-0701-0163R</t>
  </si>
  <si>
    <t>ITB GOODS 20-07-012</t>
  </si>
  <si>
    <t>PR. NO. 2020-05-001</t>
  </si>
  <si>
    <t>CAD(CSU)-20-015</t>
  </si>
  <si>
    <t>100200600873</t>
  </si>
  <si>
    <t>80-20-06-078</t>
  </si>
  <si>
    <t>HILONGOS 2020-194</t>
  </si>
  <si>
    <t>PR2020-06-29-082</t>
  </si>
  <si>
    <t>RFQ-156-2020</t>
  </si>
  <si>
    <t>UPR No TRADOC-OG4-SR2-T115-2020</t>
  </si>
  <si>
    <t>RFQ No.21 - 2020</t>
  </si>
  <si>
    <t>211446</t>
  </si>
  <si>
    <t>20CSAB02 - Package 2</t>
  </si>
  <si>
    <t>N20-VCM-107</t>
  </si>
  <si>
    <t>160-2020</t>
  </si>
  <si>
    <t>RFQ-2020-05D</t>
  </si>
  <si>
    <t>02-2020</t>
  </si>
  <si>
    <t>396368</t>
  </si>
  <si>
    <t>RFQ-152-2020</t>
  </si>
  <si>
    <t>RFQ-2020-06-0852</t>
  </si>
  <si>
    <t>popcom2020-052</t>
  </si>
  <si>
    <t>RFQ-150-2020</t>
  </si>
  <si>
    <t>20-06-FOD0144</t>
  </si>
  <si>
    <t>SV-0780-2020</t>
  </si>
  <si>
    <t>ATI2020-06-161</t>
  </si>
  <si>
    <t>Bidding-09-June2020</t>
  </si>
  <si>
    <t>2020-06-089</t>
  </si>
  <si>
    <t>LAYON 2020-002</t>
  </si>
  <si>
    <t>06302020-04</t>
  </si>
  <si>
    <t>PR2020-06-29-080</t>
  </si>
  <si>
    <t>20-02-RES10152</t>
  </si>
  <si>
    <t>NOSO-LMC-SIP-22-2020</t>
  </si>
  <si>
    <t>2020-1016-06-013</t>
  </si>
  <si>
    <t>PR No. 2020-06-013 (RAF)</t>
  </si>
  <si>
    <t>2020-03-0057</t>
  </si>
  <si>
    <t>epslingayen2020-52</t>
  </si>
  <si>
    <t>Supply and Delivery of Construction Materials for</t>
  </si>
  <si>
    <t>RFQ-2020-05C</t>
  </si>
  <si>
    <t>PSAXI-PSO1123-RFQ20-10</t>
  </si>
  <si>
    <t>2020-02-0212</t>
  </si>
  <si>
    <t>2020-010</t>
  </si>
  <si>
    <t>06-30-2020-243</t>
  </si>
  <si>
    <t>RFQ-2020-06-0017</t>
  </si>
  <si>
    <t>PHS-1157-20</t>
  </si>
  <si>
    <t>LGUTMO BAC 2020-1076</t>
  </si>
  <si>
    <t>2020-227</t>
  </si>
  <si>
    <t>ITB-2020-06-046</t>
  </si>
  <si>
    <t>BAC-SBSL-MEO-2020-13</t>
  </si>
  <si>
    <t>Solicitation No. Goods 20-0701-0075</t>
  </si>
  <si>
    <t>141-2020</t>
  </si>
  <si>
    <t>NV 2020-224</t>
  </si>
  <si>
    <t>2020-034</t>
  </si>
  <si>
    <t>2020-022-SVP</t>
  </si>
  <si>
    <t>CW -20-0701-0135N</t>
  </si>
  <si>
    <t>32020-26</t>
  </si>
  <si>
    <t>RFQ-2020-23</t>
  </si>
  <si>
    <t>LGU ORANI RFQ 2020-03-013</t>
  </si>
  <si>
    <t>DCS-2020-15</t>
  </si>
  <si>
    <t>RFQ for PR 2020-06-0062 (Air-con &amp; water dispenser</t>
  </si>
  <si>
    <t>2020-06-0174 MISS</t>
  </si>
  <si>
    <t>ITB-2020-001</t>
  </si>
  <si>
    <t>2020-06-057-1</t>
  </si>
  <si>
    <t>0000177-006-030-2020</t>
  </si>
  <si>
    <t>PR-2005-557</t>
  </si>
  <si>
    <t>MH-GOODS-MEO-ELECTRICAL-MATERIALS-926</t>
  </si>
  <si>
    <t>2020-03-0067</t>
  </si>
  <si>
    <t>PSAXI-PSO1123-RFQ20-11</t>
  </si>
  <si>
    <t>20-06-55</t>
  </si>
  <si>
    <t>PIKCOT-SUPP-002020-00145</t>
  </si>
  <si>
    <t>03-076-2020</t>
  </si>
  <si>
    <t>NV 2020-225</t>
  </si>
  <si>
    <t>464-06-2020 (PGO Grants and Donation)</t>
  </si>
  <si>
    <t>2020-06-057</t>
  </si>
  <si>
    <t>2020-06-0385</t>
  </si>
  <si>
    <t>S20-108</t>
  </si>
  <si>
    <t>2020-03-0066</t>
  </si>
  <si>
    <t>92</t>
  </si>
  <si>
    <t>Solicitation No. Goods 20-0701-0073</t>
  </si>
  <si>
    <t>20-20-04-147</t>
  </si>
  <si>
    <t>200-004</t>
  </si>
  <si>
    <t>142-2020</t>
  </si>
  <si>
    <t>Upper Malinao Padada-002-06-30-2020</t>
  </si>
  <si>
    <t>BLGU-STO. NIÑO-AL-G-01-2020</t>
  </si>
  <si>
    <t>BIDDING20-26</t>
  </si>
  <si>
    <t>NHCP-2020-105</t>
  </si>
  <si>
    <t>2020-06-061</t>
  </si>
  <si>
    <t>2020-03-0076</t>
  </si>
  <si>
    <t>0049-20</t>
  </si>
  <si>
    <t>047-2020</t>
  </si>
  <si>
    <t>NV 2020-226</t>
  </si>
  <si>
    <t>CW -20-0701-0137N</t>
  </si>
  <si>
    <t>PSAXI-PSO1123-RFQ20-12</t>
  </si>
  <si>
    <t>20-20-04-146</t>
  </si>
  <si>
    <t>2020-06-086</t>
  </si>
  <si>
    <t>PR-2006-670</t>
  </si>
  <si>
    <t>REC-2020-028</t>
  </si>
  <si>
    <t>PR#2020-06-094</t>
  </si>
  <si>
    <t>20-06-266</t>
  </si>
  <si>
    <t>PSAXI-PSO1123-RFQ20-13</t>
  </si>
  <si>
    <t>2020-06-0299</t>
  </si>
  <si>
    <t>3000-200-1-2</t>
  </si>
  <si>
    <t>DCS-2020-16</t>
  </si>
  <si>
    <t>2020-154</t>
  </si>
  <si>
    <t>144-2020</t>
  </si>
  <si>
    <t>100-20-06-151</t>
  </si>
  <si>
    <t>RFQ-0630 #6 SM-483</t>
  </si>
  <si>
    <t>CW -20-0701-0169N</t>
  </si>
  <si>
    <t>2020-341</t>
  </si>
  <si>
    <t>0233-2020</t>
  </si>
  <si>
    <t>2020-04-0030</t>
  </si>
  <si>
    <t>138-2020</t>
  </si>
  <si>
    <t>2020-052</t>
  </si>
  <si>
    <t>2020-148</t>
  </si>
  <si>
    <t>20-20-04-150</t>
  </si>
  <si>
    <t>06-30-2020-242</t>
  </si>
  <si>
    <t>goods 2020-001</t>
  </si>
  <si>
    <t>4AQ-SIP-20-018</t>
  </si>
  <si>
    <t>201602</t>
  </si>
  <si>
    <t>ITB20OA0074</t>
  </si>
  <si>
    <t>R.I.S. No.: 20-82-027</t>
  </si>
  <si>
    <t>2020DBSHS03-09</t>
  </si>
  <si>
    <t>20-20-04-151</t>
  </si>
  <si>
    <t>ATI2020-06-162</t>
  </si>
  <si>
    <t>2020-149</t>
  </si>
  <si>
    <t>2020-04-0033</t>
  </si>
  <si>
    <t>BIDDING2027</t>
  </si>
  <si>
    <t>ITB 22-2020</t>
  </si>
  <si>
    <t>2020-04-0029</t>
  </si>
  <si>
    <t>201603</t>
  </si>
  <si>
    <t>PR No. 300-20-06-338</t>
  </si>
  <si>
    <t>20-06-217</t>
  </si>
  <si>
    <t>PSAXI-PSO1123-RFQ20-14</t>
  </si>
  <si>
    <t>HILONGOS 2020-195</t>
  </si>
  <si>
    <t>2020-06-091-GS</t>
  </si>
  <si>
    <t>140-2020</t>
  </si>
  <si>
    <t>CW -20-0701-017N</t>
  </si>
  <si>
    <t>2020-GOODS-259</t>
  </si>
  <si>
    <t>143-2020</t>
  </si>
  <si>
    <t>S20-102</t>
  </si>
  <si>
    <t>20-20-04-144</t>
  </si>
  <si>
    <t>06-020-431-20</t>
  </si>
  <si>
    <t>2020-62</t>
  </si>
  <si>
    <t>PR. NO. 2020060739</t>
  </si>
  <si>
    <t>4AQ-LPA-20-019B</t>
  </si>
  <si>
    <t>R3-2020-015B</t>
  </si>
  <si>
    <t>Goods-030A-2020</t>
  </si>
  <si>
    <t>PSAXI-PSO1123-RFQ20-16</t>
  </si>
  <si>
    <t>2020- 029 SVP</t>
  </si>
  <si>
    <t>2020-06-362</t>
  </si>
  <si>
    <t>PR-2006-686</t>
  </si>
  <si>
    <t>20-06-06</t>
  </si>
  <si>
    <t>MO-FUEL-PR2020-06-118-SVP</t>
  </si>
  <si>
    <t>2020-04-0034</t>
  </si>
  <si>
    <t>BAC-PG-001-20</t>
  </si>
  <si>
    <t>2020-06-087</t>
  </si>
  <si>
    <t>2020 -</t>
  </si>
  <si>
    <t>2020-342</t>
  </si>
  <si>
    <t>02-050-2020</t>
  </si>
  <si>
    <t>20-06-20</t>
  </si>
  <si>
    <t>20-20-04-148</t>
  </si>
  <si>
    <t>CW -20-0701-029N</t>
  </si>
  <si>
    <t>00018</t>
  </si>
  <si>
    <t>0234-2020</t>
  </si>
  <si>
    <t>2020-0301</t>
  </si>
  <si>
    <t>2020-06-092-GS</t>
  </si>
  <si>
    <t>2020-06-0009</t>
  </si>
  <si>
    <t>2020-343</t>
  </si>
  <si>
    <t>201757</t>
  </si>
  <si>
    <t>R.I.S. No.: 20-83-111</t>
  </si>
  <si>
    <t>DepEd.Pang2 20-006-0001</t>
  </si>
  <si>
    <t>20-06-101</t>
  </si>
  <si>
    <t>RFQ 2020-0273</t>
  </si>
  <si>
    <t>BOC-GOODS-2020-02</t>
  </si>
  <si>
    <t>201743</t>
  </si>
  <si>
    <t>02-20</t>
  </si>
  <si>
    <t>06-30-2020-1</t>
  </si>
  <si>
    <t>06-30-01</t>
  </si>
  <si>
    <t>MAO-PR2020-06-124-S</t>
  </si>
  <si>
    <t>PR-2020-687</t>
  </si>
  <si>
    <t>2007035</t>
  </si>
  <si>
    <t>PSAXI-PSO1123-RFQ20-17</t>
  </si>
  <si>
    <t>Goods-030B-2020</t>
  </si>
  <si>
    <t>200-20-02-002</t>
  </si>
  <si>
    <t>2020-06-060</t>
  </si>
  <si>
    <t>06-30-02</t>
  </si>
  <si>
    <t>2020-06-0031</t>
  </si>
  <si>
    <t>RFQ-2020-028</t>
  </si>
  <si>
    <t>PR. NO. 2020060745</t>
  </si>
  <si>
    <t>2020-AP-06-024</t>
  </si>
  <si>
    <t>20-06-07</t>
  </si>
  <si>
    <t>20-20-04-145</t>
  </si>
  <si>
    <t>ITB20OA0075</t>
  </si>
  <si>
    <t>PB 06-08-2020</t>
  </si>
  <si>
    <t>REC-2020-029</t>
  </si>
  <si>
    <t>20GOE0014</t>
  </si>
  <si>
    <t>PSAXI-PSO1123-RFQ20-18</t>
  </si>
  <si>
    <t>20-06-PM0108</t>
  </si>
  <si>
    <t>QN2020-006-007</t>
  </si>
  <si>
    <t>RFQ-2020-06-0009</t>
  </si>
  <si>
    <t>008</t>
  </si>
  <si>
    <t>rfq 2020-07-02</t>
  </si>
  <si>
    <t>2020-345</t>
  </si>
  <si>
    <t>2020-30-06-32</t>
  </si>
  <si>
    <t>RFQ2020-21</t>
  </si>
  <si>
    <t>2020-06-062</t>
  </si>
  <si>
    <t>06-30-03</t>
  </si>
  <si>
    <t>CW -20-0701-019N</t>
  </si>
  <si>
    <t>2020-057</t>
  </si>
  <si>
    <t>PR 257-020</t>
  </si>
  <si>
    <t>PRDP-RPCOXI-SIC-013-2020</t>
  </si>
  <si>
    <t>BALZN9-2011</t>
  </si>
  <si>
    <t>2020-06-365</t>
  </si>
  <si>
    <t>ITB 2020-001</t>
  </si>
  <si>
    <t>CW -20-0701-0177N</t>
  </si>
  <si>
    <t>2020-344</t>
  </si>
  <si>
    <t>PR No. 2020-06-129</t>
  </si>
  <si>
    <t>0972-20</t>
  </si>
  <si>
    <t>93</t>
  </si>
  <si>
    <t>2020-230</t>
  </si>
  <si>
    <t>S-313-2020</t>
  </si>
  <si>
    <t>20GME0047</t>
  </si>
  <si>
    <t>Goods-030C-2020</t>
  </si>
  <si>
    <t>2020-017</t>
  </si>
  <si>
    <t>2020-06-0038</t>
  </si>
  <si>
    <t>2020-6-1473</t>
  </si>
  <si>
    <t>2020/06/065</t>
  </si>
  <si>
    <t>ITB No. 20-057  ONE (1) LOT SUPPLY AND DELIVERY OF</t>
  </si>
  <si>
    <t>INFR-025-2020</t>
  </si>
  <si>
    <t>0971-20</t>
  </si>
  <si>
    <t>G-2020-021</t>
  </si>
  <si>
    <t>SVP 34</t>
  </si>
  <si>
    <t>20GME0049</t>
  </si>
  <si>
    <t>20GOE0015</t>
  </si>
  <si>
    <t>06-30-05</t>
  </si>
  <si>
    <t>06302020-031</t>
  </si>
  <si>
    <t>110</t>
  </si>
  <si>
    <t>2020.06.30.01</t>
  </si>
  <si>
    <t>1176-20-06-81</t>
  </si>
  <si>
    <t>035</t>
  </si>
  <si>
    <t>ITB No. GOODS-20-116</t>
  </si>
  <si>
    <t>PR#2020-06-007-LD</t>
  </si>
  <si>
    <t>IBGS-2020-03</t>
  </si>
  <si>
    <t>2020-0601</t>
  </si>
  <si>
    <t>PNPTR-DIDM-DP-20-06</t>
  </si>
  <si>
    <t>2020.06.30</t>
  </si>
  <si>
    <t>20-06-FOD0148</t>
  </si>
  <si>
    <t>RFQ#2020-029</t>
  </si>
  <si>
    <t>SVP-093-20</t>
  </si>
  <si>
    <t>100-20-05-638</t>
  </si>
  <si>
    <t>RFQ-0630 #8 SM-485/486</t>
  </si>
  <si>
    <t>RFQ # 2020-06-2041</t>
  </si>
  <si>
    <t>PR NO. 81-S</t>
  </si>
  <si>
    <t>CSC-ITB No. 2020-08 (Proc. of Laptops &amp; Printers</t>
  </si>
  <si>
    <t>2020-06-331</t>
  </si>
  <si>
    <t>BFAR IV-A.PR20-0349</t>
  </si>
  <si>
    <t>PSU-SUPPLY-RFQ-2020-10(DIFFERENT OFFICES)</t>
  </si>
  <si>
    <t>PR-2006-690</t>
  </si>
  <si>
    <t>20-06-09</t>
  </si>
  <si>
    <t>06-30-06</t>
  </si>
  <si>
    <t>NV 2020-227</t>
  </si>
  <si>
    <t>4AQ-LPQ-20-020SP</t>
  </si>
  <si>
    <t>20-06-FOD0147</t>
  </si>
  <si>
    <t>20-06-RES0435</t>
  </si>
  <si>
    <t>IB NO. 07-2020- PROCUREMENT OF MEDICAL EQUIPMENT F</t>
  </si>
  <si>
    <t>BAC 1-2020-06-070</t>
  </si>
  <si>
    <t>20GOE0016</t>
  </si>
  <si>
    <t>RFQ2020-07-01</t>
  </si>
  <si>
    <t>2020-JUNE-017</t>
  </si>
  <si>
    <t>2020-059</t>
  </si>
  <si>
    <t>PNPTR-DIDM-DP-20-05</t>
  </si>
  <si>
    <t>SF Goods 005</t>
  </si>
  <si>
    <t>2020-06-426</t>
  </si>
  <si>
    <t>100-2020-Infra-398</t>
  </si>
  <si>
    <t>20GG00020</t>
  </si>
  <si>
    <t>20GME0051</t>
  </si>
  <si>
    <t>20-0672-7999-8</t>
  </si>
  <si>
    <t>20DQ0129</t>
  </si>
  <si>
    <t>I4-20-0565</t>
  </si>
  <si>
    <t>PHS-1162-20</t>
  </si>
  <si>
    <t>100-20-02-025</t>
  </si>
  <si>
    <t>BSU Project No. 2020-218</t>
  </si>
  <si>
    <t>20GME0054</t>
  </si>
  <si>
    <t>INFR-026-2020</t>
  </si>
  <si>
    <t>PR NO. 202-S</t>
  </si>
  <si>
    <t>TPB-PR 2020.06.193 SERVICE OF A TOUR OPERATOR</t>
  </si>
  <si>
    <t>ITB-2020-017</t>
  </si>
  <si>
    <t>100-20-06-0290</t>
  </si>
  <si>
    <t>6-39</t>
  </si>
  <si>
    <t>20GME0053</t>
  </si>
  <si>
    <t>2020-06-364</t>
  </si>
  <si>
    <t>2020-06-06</t>
  </si>
  <si>
    <t>REC-2020-031</t>
  </si>
  <si>
    <t>100-20-06-394</t>
  </si>
  <si>
    <t>06-30-07</t>
  </si>
  <si>
    <t>CW -20-0701-0184N</t>
  </si>
  <si>
    <t>20GME0052</t>
  </si>
  <si>
    <t>2020-06-0012</t>
  </si>
  <si>
    <t>2020-07-0087</t>
  </si>
  <si>
    <t>20-06-146</t>
  </si>
  <si>
    <t>072-2020</t>
  </si>
  <si>
    <t>2020 DHVSU - 028</t>
  </si>
  <si>
    <t>06-30-09</t>
  </si>
  <si>
    <t>CW -20-0701-0134N</t>
  </si>
  <si>
    <t>ITB20OA0076</t>
  </si>
  <si>
    <t>36</t>
  </si>
  <si>
    <t>20GME0056</t>
  </si>
  <si>
    <t>026-20</t>
  </si>
  <si>
    <t>021</t>
  </si>
  <si>
    <t>20-06-19</t>
  </si>
  <si>
    <t>20GME0055</t>
  </si>
  <si>
    <t>2020-02-15</t>
  </si>
  <si>
    <t>SJ-20-172</t>
  </si>
  <si>
    <t>2020-RFQ-019</t>
  </si>
  <si>
    <t>2020-06-363</t>
  </si>
  <si>
    <t>06-30-08</t>
  </si>
  <si>
    <t>PR/RFQ# 2020-06-123</t>
  </si>
  <si>
    <t>2020-101-059</t>
  </si>
  <si>
    <t>20GME0045</t>
  </si>
  <si>
    <t>CW 2020-06-015</t>
  </si>
  <si>
    <t>20GG00021</t>
  </si>
  <si>
    <t>CW-2020-004</t>
  </si>
  <si>
    <t>6-38-20</t>
  </si>
  <si>
    <t>06-30-10</t>
  </si>
  <si>
    <t>37</t>
  </si>
  <si>
    <t>CW -20-0701-0120N</t>
  </si>
  <si>
    <t>lamak 2020-07</t>
  </si>
  <si>
    <t>2020-06-092</t>
  </si>
  <si>
    <t>PR No. 2020-06-130</t>
  </si>
  <si>
    <t>20GME0057</t>
  </si>
  <si>
    <t>6-39-20</t>
  </si>
  <si>
    <t>2020 - 086</t>
  </si>
  <si>
    <t>100-20-06-393</t>
  </si>
  <si>
    <t>PB 2020 - 002</t>
  </si>
  <si>
    <t>2020-07-0088</t>
  </si>
  <si>
    <t>2020-018</t>
  </si>
  <si>
    <t>20CH0073</t>
  </si>
  <si>
    <t>ITB No. GOODS-20-117</t>
  </si>
  <si>
    <t>BAC-20-06-063 (OED)</t>
  </si>
  <si>
    <t>CW 2020-06-016</t>
  </si>
  <si>
    <t>20200630-30</t>
  </si>
  <si>
    <t>CW -20-0701-0174N</t>
  </si>
  <si>
    <t>2020-019</t>
  </si>
  <si>
    <t>20-06-002</t>
  </si>
  <si>
    <t>3161</t>
  </si>
  <si>
    <t>100-20-06-387</t>
  </si>
  <si>
    <t>SAR-GOODS-06-067-2020</t>
  </si>
  <si>
    <t>100-20-06-143</t>
  </si>
  <si>
    <t>20GOE0017</t>
  </si>
  <si>
    <t>NV 2020-229</t>
  </si>
  <si>
    <t>R3-2020-06-019</t>
  </si>
  <si>
    <t>BAYLEGOOD0620069</t>
  </si>
  <si>
    <t>20GME0046</t>
  </si>
  <si>
    <t>cgb2020-236</t>
  </si>
  <si>
    <t>CSC-ITB No. 2020-09 (Proc. of AVS Licenses)</t>
  </si>
  <si>
    <t>DENR-NCR, PR NO. 2020-462</t>
  </si>
  <si>
    <t>Grants-20-06-40</t>
  </si>
  <si>
    <t>100-20-06-0289</t>
  </si>
  <si>
    <t>NPSV46-2020</t>
  </si>
  <si>
    <t>RFQ2020-07-02</t>
  </si>
  <si>
    <t>2020-06-379</t>
  </si>
  <si>
    <t>M-20-014</t>
  </si>
  <si>
    <t>G-2020-022</t>
  </si>
  <si>
    <t>DAG-2020-06-049</t>
  </si>
  <si>
    <t>2020-30-06-33</t>
  </si>
  <si>
    <t>2007036</t>
  </si>
  <si>
    <t>C10-20-1445</t>
  </si>
  <si>
    <t>2020-26</t>
  </si>
  <si>
    <t>REC-2020-030</t>
  </si>
  <si>
    <t>06044520</t>
  </si>
  <si>
    <t>NV 2020-228</t>
  </si>
  <si>
    <t>CSC-ITB No. 2020-10  (Proc. of Primary Internet Se</t>
  </si>
  <si>
    <t>0235-2020</t>
  </si>
  <si>
    <t>Goods 2020-060</t>
  </si>
  <si>
    <t>2020-06-25</t>
  </si>
  <si>
    <t>20GME0058</t>
  </si>
  <si>
    <t>2020-184</t>
  </si>
  <si>
    <t>20-1022-06-14</t>
  </si>
  <si>
    <t>TAL-07-05-2020</t>
  </si>
  <si>
    <t>2020-06-30 HMD</t>
  </si>
  <si>
    <t>20GOE0018</t>
  </si>
  <si>
    <t>2020/06/066</t>
  </si>
  <si>
    <t>2020-182</t>
  </si>
  <si>
    <t>TIEZA-75-2020</t>
  </si>
  <si>
    <t>2020 ITB - 026</t>
  </si>
  <si>
    <t>197</t>
  </si>
  <si>
    <t>20GME0050</t>
  </si>
  <si>
    <t>PR# 20-0808</t>
  </si>
  <si>
    <t>ITB No. 2020-07-02</t>
  </si>
  <si>
    <t>SAR-GOODS-06-068-2020</t>
  </si>
  <si>
    <t>20GOE0020</t>
  </si>
  <si>
    <t>2020-020</t>
  </si>
  <si>
    <t>SAR-GOODS-06-106-2020</t>
  </si>
  <si>
    <t>Goods 2020-061</t>
  </si>
  <si>
    <t>2020-06-271a</t>
  </si>
  <si>
    <t>198</t>
  </si>
  <si>
    <t>CW 2020-06-017</t>
  </si>
  <si>
    <t>RFQ 2020-06-0132</t>
  </si>
  <si>
    <t>20GME0059</t>
  </si>
  <si>
    <t>2019-1341</t>
  </si>
  <si>
    <t>009</t>
  </si>
  <si>
    <t>3162</t>
  </si>
  <si>
    <t>101-20-06-01</t>
  </si>
  <si>
    <t>2020-GOODS-7</t>
  </si>
  <si>
    <t>6-41</t>
  </si>
  <si>
    <t>025-20</t>
  </si>
  <si>
    <t>EMERGENCY 020-2020</t>
  </si>
  <si>
    <t>0013-0010-1047-2020</t>
  </si>
  <si>
    <t>20-06-0345</t>
  </si>
  <si>
    <t>20-0625-047</t>
  </si>
  <si>
    <t>SAR-INFRA-06-098-2020</t>
  </si>
  <si>
    <t>ITB No. 2020-07-01</t>
  </si>
  <si>
    <t>RFQ-0630 #7 SM-484</t>
  </si>
  <si>
    <t>PR/RFQ# 2020-06-121</t>
  </si>
  <si>
    <t>20GOE0019</t>
  </si>
  <si>
    <t>SVP 33</t>
  </si>
  <si>
    <t>20-356</t>
  </si>
  <si>
    <t>2020-06-113</t>
  </si>
  <si>
    <t>PSHSCLC_TAKEOVERASTBP1</t>
  </si>
  <si>
    <t>20-06-108</t>
  </si>
  <si>
    <t>2020-50</t>
  </si>
  <si>
    <t>20GME0048</t>
  </si>
  <si>
    <t>TO 2020-004</t>
  </si>
  <si>
    <t>AREA V- 2020-SVP-026</t>
  </si>
  <si>
    <t>ND - 2020 - 02 - 0002</t>
  </si>
  <si>
    <t>6-42</t>
  </si>
  <si>
    <t>C10-20-1444</t>
  </si>
  <si>
    <t>G-116-20</t>
  </si>
  <si>
    <t>2020-185</t>
  </si>
  <si>
    <t>BAYLEGOOD0620070</t>
  </si>
  <si>
    <t>2020-0602</t>
  </si>
  <si>
    <t>IAEB 236-253</t>
  </si>
  <si>
    <t>NIA-NOIMO-2020-06-0203</t>
  </si>
  <si>
    <t>20GOE0021</t>
  </si>
  <si>
    <t>2020-183</t>
  </si>
  <si>
    <t>948852</t>
  </si>
  <si>
    <t>06-20-0450</t>
  </si>
  <si>
    <t>RFQ 2020 536</t>
  </si>
  <si>
    <t>cal06292020-01</t>
  </si>
  <si>
    <t>TAL-07-06-2020</t>
  </si>
  <si>
    <t>20FJ0029</t>
  </si>
  <si>
    <t>SAR-GOODS-06-109-2020</t>
  </si>
  <si>
    <t>PR # 20-06-181</t>
  </si>
  <si>
    <t>20-06-005</t>
  </si>
  <si>
    <t>20-078</t>
  </si>
  <si>
    <t>CW -20-0701-0159N</t>
  </si>
  <si>
    <t>2020-063001</t>
  </si>
  <si>
    <t>PHS-1212-20</t>
  </si>
  <si>
    <t>20GOE0022</t>
  </si>
  <si>
    <t>LGU-Camalig-Goods-17</t>
  </si>
  <si>
    <t>2020-06-0035</t>
  </si>
  <si>
    <t>RFQ-NP-SVP-262-2020</t>
  </si>
  <si>
    <t>017-ECE20</t>
  </si>
  <si>
    <t>GSD-J-20-308</t>
  </si>
  <si>
    <t>42-201630-2020</t>
  </si>
  <si>
    <t>R3-2020-06-018</t>
  </si>
  <si>
    <t>109.2020</t>
  </si>
  <si>
    <t>SAR-GOODS-06-110-2020</t>
  </si>
  <si>
    <t>20-06-0227-A</t>
  </si>
  <si>
    <t>SAR-GOODS-06-108-2020</t>
  </si>
  <si>
    <t>20FJ0030</t>
  </si>
  <si>
    <t>20-06-884</t>
  </si>
  <si>
    <t>DENR10 2020-06-0283</t>
  </si>
  <si>
    <t>20-06-108A</t>
  </si>
  <si>
    <t>B4-20-131</t>
  </si>
  <si>
    <t>06-20-0439</t>
  </si>
  <si>
    <t>INFRA-2020-046</t>
  </si>
  <si>
    <t>AREA V- 2020- SVP-027</t>
  </si>
  <si>
    <t>398-2020</t>
  </si>
  <si>
    <t>lam-bac-219-020</t>
  </si>
  <si>
    <t>948853, 948854</t>
  </si>
  <si>
    <t>LGU-Camalig-Goods-18</t>
  </si>
  <si>
    <t>GOODS-2020-30-2ND</t>
  </si>
  <si>
    <t>BAC 2020-06-043</t>
  </si>
  <si>
    <t>2020-06-0369</t>
  </si>
  <si>
    <t>EMERGENCY 021-2020</t>
  </si>
  <si>
    <t>2020-06-0021</t>
  </si>
  <si>
    <t>LGU-Camalig-Goods-19</t>
  </si>
  <si>
    <t>Contract No. RO-PG2020-001</t>
  </si>
  <si>
    <t>RFQ-NP-SVP-re246-2020</t>
  </si>
  <si>
    <t>2020-021</t>
  </si>
  <si>
    <t>ND - 2020 - 05 - 0001</t>
  </si>
  <si>
    <t>INFRA-2020-045</t>
  </si>
  <si>
    <t>20FJ0031</t>
  </si>
  <si>
    <t>ITB No. 2020-07-03</t>
  </si>
  <si>
    <t>UPC SVP2020-07-026</t>
  </si>
  <si>
    <t>20-071</t>
  </si>
  <si>
    <t>ITB-2020-014</t>
  </si>
  <si>
    <t>HBC20-05-231, 234 to 238 &amp; OVP20-05-085</t>
  </si>
  <si>
    <t>385-2020</t>
  </si>
  <si>
    <t>2020-063002</t>
  </si>
  <si>
    <t>010</t>
  </si>
  <si>
    <t>RFQ-NP-SVP-re258-2020</t>
  </si>
  <si>
    <t>GOODS-2020-63</t>
  </si>
  <si>
    <t>20-CRG-20-06-1062</t>
  </si>
  <si>
    <t>PNPTR-HRAO-DP-20-07</t>
  </si>
  <si>
    <t>LRDD 2020-06-100</t>
  </si>
  <si>
    <t>2020-063004</t>
  </si>
  <si>
    <t>2020-06-0168</t>
  </si>
  <si>
    <t>BAYLEGOOD0620071</t>
  </si>
  <si>
    <t>PR No.: 2020-06-0311</t>
  </si>
  <si>
    <t>PBI-2020-19</t>
  </si>
  <si>
    <t>06-30-202002037</t>
  </si>
  <si>
    <t>2020-0009</t>
  </si>
  <si>
    <t>2020-063006</t>
  </si>
  <si>
    <t>IBA-04a</t>
  </si>
  <si>
    <t>109CO - 06 - 2020 - 104</t>
  </si>
  <si>
    <t>44-200226-2020</t>
  </si>
  <si>
    <t>BAYLECON0620072</t>
  </si>
  <si>
    <t>PR NO. 100-8751-20-06-0753</t>
  </si>
  <si>
    <t>MR19-11-199</t>
  </si>
  <si>
    <t>20-0625-048</t>
  </si>
  <si>
    <t>DSC-20-06-125</t>
  </si>
  <si>
    <t>2020-063005</t>
  </si>
  <si>
    <t>PR No.: 2020-06-0306</t>
  </si>
  <si>
    <t>06-020-20</t>
  </si>
  <si>
    <t>PBI-2020-23</t>
  </si>
  <si>
    <t>PHS-1208-20</t>
  </si>
  <si>
    <t>2020-06-2027</t>
  </si>
  <si>
    <t>2020-063007</t>
  </si>
  <si>
    <t>20-06-0229</t>
  </si>
  <si>
    <t>Ref. No. 2020-06-392</t>
  </si>
  <si>
    <t>45-200738-2020</t>
  </si>
  <si>
    <t>2020-03-079</t>
  </si>
  <si>
    <t>397-2020</t>
  </si>
  <si>
    <t>BAC 20-89</t>
  </si>
  <si>
    <t>PBG-2020-22</t>
  </si>
  <si>
    <t>AREA V- 2020- SVP-028</t>
  </si>
  <si>
    <t>GOODS-2020-64</t>
  </si>
  <si>
    <t>2020-05-460</t>
  </si>
  <si>
    <t>2020-05-453</t>
  </si>
  <si>
    <t>PR No.: 2020-06-0296</t>
  </si>
  <si>
    <t>06044320</t>
  </si>
  <si>
    <t>20GJC0216</t>
  </si>
  <si>
    <t>20-03-025</t>
  </si>
  <si>
    <t>0658</t>
  </si>
  <si>
    <t>100-20-06-141</t>
  </si>
  <si>
    <t>20-06-020B</t>
  </si>
  <si>
    <t>20-416</t>
  </si>
  <si>
    <t>PR No. 2020-06-087</t>
  </si>
  <si>
    <t>ITB-GS-20200608-01</t>
  </si>
  <si>
    <t>PR No.: 2020-06-0310</t>
  </si>
  <si>
    <t>EBMS 1264-20</t>
  </si>
  <si>
    <t>07032020-100</t>
  </si>
  <si>
    <t>RFQ # 2020-06-2042</t>
  </si>
  <si>
    <t>20AB0122</t>
  </si>
  <si>
    <t>2020-PCOO-0I-001</t>
  </si>
  <si>
    <t>RFG PUNONG E)S (April 2020</t>
  </si>
  <si>
    <t>PRF # 2020-0108</t>
  </si>
  <si>
    <t>20-03-041</t>
  </si>
  <si>
    <t>6-30-20</t>
  </si>
  <si>
    <t>EBMS 0254-20</t>
  </si>
  <si>
    <t>2020-03-097</t>
  </si>
  <si>
    <t>2020-06-0161</t>
  </si>
  <si>
    <t>BAYLEGOOD0620073</t>
  </si>
  <si>
    <t>06-230-2020</t>
  </si>
  <si>
    <t>2020-06-0165</t>
  </si>
  <si>
    <t>EBMS 1265-20</t>
  </si>
  <si>
    <t>2020-20</t>
  </si>
  <si>
    <t>383-2020</t>
  </si>
  <si>
    <t>2020 ITB - 027</t>
  </si>
  <si>
    <t>Negotiated-2020-048</t>
  </si>
  <si>
    <t>2020-063009</t>
  </si>
  <si>
    <t>PR No.: 2020-06-0316</t>
  </si>
  <si>
    <t>6</t>
  </si>
  <si>
    <t>2020-68</t>
  </si>
  <si>
    <t>ITB-2020-06-005</t>
  </si>
  <si>
    <t>018-ECE20</t>
  </si>
  <si>
    <t>ICT-2020-06</t>
  </si>
  <si>
    <t>EMERGENCY 022-2020</t>
  </si>
  <si>
    <t>ITB NO: 2020-007-029</t>
  </si>
  <si>
    <t>Mkna-GSO-20-295</t>
  </si>
  <si>
    <t>2020-06-2032</t>
  </si>
  <si>
    <t>2020-06-0159</t>
  </si>
  <si>
    <t>20AB0123</t>
  </si>
  <si>
    <t>1598</t>
  </si>
  <si>
    <t>EBMS 0351-20</t>
  </si>
  <si>
    <t>TAL-07-07-2020</t>
  </si>
  <si>
    <t>BAC 2020-06-044</t>
  </si>
  <si>
    <t>ZBSY1DEO-20-018CW</t>
  </si>
  <si>
    <t>20AB0124</t>
  </si>
  <si>
    <t>2020-06-0146</t>
  </si>
  <si>
    <t>1016-06-013</t>
  </si>
  <si>
    <t>2020-05-0087</t>
  </si>
  <si>
    <t>ITB No. 2020-07-04</t>
  </si>
  <si>
    <t>RFQ 2020-109</t>
  </si>
  <si>
    <t>2020-ODY-06-189</t>
  </si>
  <si>
    <t>PUNONG ES (RFQ MAY 2020)</t>
  </si>
  <si>
    <t>20GJC0218</t>
  </si>
  <si>
    <t>RFQ#170-2020</t>
  </si>
  <si>
    <t>20GJC0217</t>
  </si>
  <si>
    <t>EBMS 0257-20</t>
  </si>
  <si>
    <t>PR nO. 1</t>
  </si>
  <si>
    <t>5</t>
  </si>
  <si>
    <t>2020-2QTR-020</t>
  </si>
  <si>
    <t>2020-063008</t>
  </si>
  <si>
    <t>20-03-23</t>
  </si>
  <si>
    <t>300-20-06-18</t>
  </si>
  <si>
    <t>43-201706-2020</t>
  </si>
  <si>
    <t>7</t>
  </si>
  <si>
    <t>tag-9-20</t>
  </si>
  <si>
    <t>DES 1136-20</t>
  </si>
  <si>
    <t>2020-51</t>
  </si>
  <si>
    <t>2020-52</t>
  </si>
  <si>
    <t>Negotiated-2020-049</t>
  </si>
  <si>
    <t>6302020</t>
  </si>
  <si>
    <t>20-0625-050</t>
  </si>
  <si>
    <t>2020-063003</t>
  </si>
  <si>
    <t>2019-11-0854</t>
  </si>
  <si>
    <t>GOODS-ETG-20-06-014</t>
  </si>
  <si>
    <t>20-0625-053</t>
  </si>
  <si>
    <t>100-20-06-139</t>
  </si>
  <si>
    <t>VHMCP-0255-20</t>
  </si>
  <si>
    <t>EARIST-BID-2020-005</t>
  </si>
  <si>
    <t>SES 2020_018</t>
  </si>
  <si>
    <t>20-06-10</t>
  </si>
  <si>
    <t>MOB-BAC-2020-06-022</t>
  </si>
  <si>
    <t>IB No. 2020-227</t>
  </si>
  <si>
    <t>Barangay Pakiad ITB 2020-001</t>
  </si>
  <si>
    <t>202048</t>
  </si>
  <si>
    <t>2020-ODY-06-192</t>
  </si>
  <si>
    <t>2020-ODY-06-190</t>
  </si>
  <si>
    <t>VHMCP-0655-20</t>
  </si>
  <si>
    <t>2020-097</t>
  </si>
  <si>
    <t>20AB0125</t>
  </si>
  <si>
    <t>2020-ODY-06-191</t>
  </si>
  <si>
    <t>TSSD-2020-06-099</t>
  </si>
  <si>
    <t>2020-06-0389</t>
  </si>
  <si>
    <t>BAC 20-90</t>
  </si>
  <si>
    <t>CIVIL-2020-4</t>
  </si>
  <si>
    <t>M2006-418</t>
  </si>
  <si>
    <t>20-06-11</t>
  </si>
  <si>
    <t>ICTMU-2020-06-0227</t>
  </si>
  <si>
    <t>BAC-MD-2020-01</t>
  </si>
  <si>
    <t>2020-004</t>
  </si>
  <si>
    <t>100-20-06-0298</t>
  </si>
  <si>
    <t>LGU-128-2020</t>
  </si>
  <si>
    <t>06-021-20</t>
  </si>
  <si>
    <t>06-016-20</t>
  </si>
  <si>
    <t>DES 1310-20</t>
  </si>
  <si>
    <t>AREA V- 2020- SVP-029</t>
  </si>
  <si>
    <t>20FJ0032</t>
  </si>
  <si>
    <t>20AB0126</t>
  </si>
  <si>
    <t>GHQPC-OESPA-RMOS-1335-20</t>
  </si>
  <si>
    <t>BAYLEGOOD0620074</t>
  </si>
  <si>
    <t>RFP-2020-159</t>
  </si>
  <si>
    <t>IB No. 2020-228</t>
  </si>
  <si>
    <t>ZBSY1DEO-20-019CW</t>
  </si>
  <si>
    <t>063020-H01</t>
  </si>
  <si>
    <t>PR NO. 20-01-0078A</t>
  </si>
  <si>
    <t>BFP6 BAC P2020-07-01</t>
  </si>
  <si>
    <t>063-2020</t>
  </si>
  <si>
    <t>GD-SH-2020-06-0240</t>
  </si>
  <si>
    <t>CGT- Goods- 2020- 00103</t>
  </si>
  <si>
    <t>100-20-06-146</t>
  </si>
  <si>
    <t>NPSV47-2020</t>
  </si>
  <si>
    <t>2020-6-30-1</t>
  </si>
  <si>
    <t>BAC RESOLUTION 06-21-C SERIES OF 2020</t>
  </si>
  <si>
    <t>06-022-20</t>
  </si>
  <si>
    <t>GD-SV-2020-06-0249</t>
  </si>
  <si>
    <t>20HM0090 (RE-IB)</t>
  </si>
  <si>
    <t>RFQ - 2020-06 - 056</t>
  </si>
  <si>
    <t>2020-018F</t>
  </si>
  <si>
    <t>20-06-148</t>
  </si>
  <si>
    <t>pr no. 2</t>
  </si>
  <si>
    <t>2020-87</t>
  </si>
  <si>
    <t>BAC 20-91</t>
  </si>
  <si>
    <t>2020-06-24-310</t>
  </si>
  <si>
    <t>SEHS 2020_017</t>
  </si>
  <si>
    <t>2020-ODY-06-193</t>
  </si>
  <si>
    <t>RSPQ NO. 2020-06-035</t>
  </si>
  <si>
    <t>20FJ0033</t>
  </si>
  <si>
    <t>GHQPC-PDO-TELM-1339-20</t>
  </si>
  <si>
    <t>CGT- Goods- 2020- 00104</t>
  </si>
  <si>
    <t>GEPS-20-005</t>
  </si>
  <si>
    <t>20AB0127</t>
  </si>
  <si>
    <t>03-2020</t>
  </si>
  <si>
    <t>CGT- Goods- 2020- 00105</t>
  </si>
  <si>
    <t>PB - 2020 -09</t>
  </si>
  <si>
    <t>064-2020</t>
  </si>
  <si>
    <t>RFQ - 2020-06 - 057</t>
  </si>
  <si>
    <t>06-018-20</t>
  </si>
  <si>
    <t>2020-40-001</t>
  </si>
  <si>
    <t>BAC-MD-2020-02</t>
  </si>
  <si>
    <t>EBMS 1311-20</t>
  </si>
  <si>
    <t>2020-06-289</t>
  </si>
  <si>
    <t>2020-0611</t>
  </si>
  <si>
    <t>20-083-A</t>
  </si>
  <si>
    <t>Sip-2020-081</t>
  </si>
  <si>
    <t>Sip-2020-080</t>
  </si>
  <si>
    <t>20-084-A</t>
  </si>
  <si>
    <t>CLS - 2020 - 06 - 114</t>
  </si>
  <si>
    <t>20-06-0323C</t>
  </si>
  <si>
    <t>PR NO. 20-01-0065A</t>
  </si>
  <si>
    <t>NPSV48-2020</t>
  </si>
  <si>
    <t>20HH0145</t>
  </si>
  <si>
    <t>2020-05-0160-NMSF</t>
  </si>
  <si>
    <t>109CO - 06 - 2020 - 105</t>
  </si>
  <si>
    <t>800</t>
  </si>
  <si>
    <t>CGT- Goods- 2020- 00106</t>
  </si>
  <si>
    <t>BLGUBALLUYAN-CW-2020-002</t>
  </si>
  <si>
    <t>2020-163</t>
  </si>
  <si>
    <t>20-06-090</t>
  </si>
  <si>
    <t>RFQ - 2020-06 - 058</t>
  </si>
  <si>
    <t>DA3-2020-6-16-192</t>
  </si>
  <si>
    <t>BFPR6 BAC-P2020-07-02</t>
  </si>
  <si>
    <t>RFQ PR NO. 933</t>
  </si>
  <si>
    <t>CIVIL-2020-5</t>
  </si>
  <si>
    <t>RFQ2020-29</t>
  </si>
  <si>
    <t>20AB0128</t>
  </si>
  <si>
    <t>RFQ-JUNE_7</t>
  </si>
  <si>
    <t>2020-02-0164</t>
  </si>
  <si>
    <t>GD-SV-2020-06-0250</t>
  </si>
  <si>
    <t>RFQ - 2020-06 - 059</t>
  </si>
  <si>
    <t>2020-06-05</t>
  </si>
  <si>
    <t>2020-0610</t>
  </si>
  <si>
    <t>37-2020</t>
  </si>
  <si>
    <t>CSJ-2020-032</t>
  </si>
  <si>
    <t>DENR-PENRO SDN 06-30-2020</t>
  </si>
  <si>
    <t>CGT- Goods- 2020- 00107</t>
  </si>
  <si>
    <t>BFPR6 BAC-P2020-07-03</t>
  </si>
  <si>
    <t>6-002</t>
  </si>
  <si>
    <t>RFQ - 2020-06 - 060</t>
  </si>
  <si>
    <t>20AB0129</t>
  </si>
  <si>
    <t>S - 2020 - 04</t>
  </si>
  <si>
    <t>2020-06-0013</t>
  </si>
  <si>
    <t>2020-04</t>
  </si>
  <si>
    <t>GD-SH-2020-06-0251</t>
  </si>
  <si>
    <t>LGU Nasipit-2020-057</t>
  </si>
  <si>
    <t>006519-0000-00</t>
  </si>
  <si>
    <t>INF-B003-2020</t>
  </si>
  <si>
    <t>065-2020</t>
  </si>
  <si>
    <t>NPSV49-2020</t>
  </si>
  <si>
    <t>45</t>
  </si>
  <si>
    <t>2020-06-071</t>
  </si>
  <si>
    <t>ITB No. 033B-2020 GQ</t>
  </si>
  <si>
    <t>2020-06-015</t>
  </si>
  <si>
    <t>2020-0612</t>
  </si>
  <si>
    <t>CSJ-2020-034</t>
  </si>
  <si>
    <t>2020 ITB - 028</t>
  </si>
  <si>
    <t>KAPALONG2020114</t>
  </si>
  <si>
    <t>ITB No. 032B-2020 GQ</t>
  </si>
  <si>
    <t>2020-07-0089</t>
  </si>
  <si>
    <t>20-0675-4421</t>
  </si>
  <si>
    <t>105CO-11303-50IB-2020</t>
  </si>
  <si>
    <t>6-30-2020</t>
  </si>
  <si>
    <t>4000004511</t>
  </si>
  <si>
    <t>ITB No. 034B-2020 GQ</t>
  </si>
  <si>
    <t>PR 2020-06-1916</t>
  </si>
  <si>
    <t>2020-06-024</t>
  </si>
  <si>
    <t>2020-006-005</t>
  </si>
  <si>
    <t>CHU 24-20</t>
  </si>
  <si>
    <t>2020-06-0198</t>
  </si>
  <si>
    <t>CIVIL-2020-6</t>
  </si>
  <si>
    <t>PR 2020-06-1917</t>
  </si>
  <si>
    <t>007121-0000-00</t>
  </si>
  <si>
    <t>2020-116</t>
  </si>
  <si>
    <t>2020 ITB - 029</t>
  </si>
  <si>
    <t>BFPRHQSR4A-081</t>
  </si>
  <si>
    <t>ITB NO. 2020- 000011</t>
  </si>
  <si>
    <t>20-0007</t>
  </si>
  <si>
    <t>007175-0000-00</t>
  </si>
  <si>
    <t>2020-006-004</t>
  </si>
  <si>
    <t>2020-twg1-005 with RIS No.19-82-025</t>
  </si>
  <si>
    <t>INFRA-2020-047</t>
  </si>
  <si>
    <t>20-0085</t>
  </si>
  <si>
    <t>2020-G2-018</t>
  </si>
  <si>
    <t>CSJ-2020-036</t>
  </si>
  <si>
    <t>2020-03-0068</t>
  </si>
  <si>
    <t>2020-043</t>
  </si>
  <si>
    <t>PR NO. 554</t>
  </si>
  <si>
    <t>pr-06-0001</t>
  </si>
  <si>
    <t>ITB No. 035B-2020 GQ</t>
  </si>
  <si>
    <t>CSJ-2020-033</t>
  </si>
  <si>
    <t>KC-2020-06-0191</t>
  </si>
  <si>
    <t>2020-06-0056</t>
  </si>
  <si>
    <t>SJMC-2020-005</t>
  </si>
  <si>
    <t>ITB No. 036B-2020 GQ</t>
  </si>
  <si>
    <t>ITB No. 2020 – 79</t>
  </si>
  <si>
    <t>20-05-100</t>
  </si>
  <si>
    <t>2020-117</t>
  </si>
  <si>
    <t>2020-twg1-006 with RIS No.19-82-025</t>
  </si>
  <si>
    <t>2020-06-017</t>
  </si>
  <si>
    <t>2020-G2-019</t>
  </si>
  <si>
    <t>109CO - 06 - 2020 - 106</t>
  </si>
  <si>
    <t>INIMO-2020-06-041</t>
  </si>
  <si>
    <t>JHS - 2020 - 006 - 0027</t>
  </si>
  <si>
    <t>20-03-114</t>
  </si>
  <si>
    <t>DA RFO-1-2020-GOODS-033-R</t>
  </si>
  <si>
    <t>2020-05-025</t>
  </si>
  <si>
    <t>LGU Nasipit-2020-059</t>
  </si>
  <si>
    <t>NP-SV 2020-40</t>
  </si>
  <si>
    <t>2020-G-087</t>
  </si>
  <si>
    <t>JUNE 30,2020</t>
  </si>
  <si>
    <t>PUNONG ES (RFQ JUNE 2020)</t>
  </si>
  <si>
    <t>RFQ-A-020-2020</t>
  </si>
  <si>
    <t>DA RFO-1-2020-GOODS-034-R</t>
  </si>
  <si>
    <t>20-06-13</t>
  </si>
  <si>
    <t>CGB-2020-06-014</t>
  </si>
  <si>
    <t>06302002</t>
  </si>
  <si>
    <t>20-06-020;20-06-021</t>
  </si>
  <si>
    <t>GHQPC-PDO-TRNG-1341-20</t>
  </si>
  <si>
    <t>GHQPC-PDO-RMMV-1342-20</t>
  </si>
  <si>
    <t>NCMBCOPP-06-002-20</t>
  </si>
  <si>
    <t>PUNONG ES (RFQ JULY 2020)</t>
  </si>
  <si>
    <t>20-03-060</t>
  </si>
  <si>
    <t>MUNPINCE-2006-113</t>
  </si>
  <si>
    <t>2020-32</t>
  </si>
  <si>
    <t>106CO-6IB, 6ID, PA-2020-456</t>
  </si>
  <si>
    <t>948967</t>
  </si>
  <si>
    <t>20-88-047</t>
  </si>
  <si>
    <t>2020-06-73</t>
  </si>
  <si>
    <t>03-003-20</t>
  </si>
  <si>
    <t>GEPS-20-003</t>
  </si>
  <si>
    <t>RFQ NO. EMB-EMB-PGSS 090-06-30-2020 PR NO.2020-062</t>
  </si>
  <si>
    <t>OMSC RFQ 20-027</t>
  </si>
  <si>
    <t>2020-36</t>
  </si>
  <si>
    <t>2020-23</t>
  </si>
  <si>
    <t>2020-35</t>
  </si>
  <si>
    <t>PGL-20 NEGO 40-06</t>
  </si>
  <si>
    <t>20-009</t>
  </si>
  <si>
    <t>2020-34</t>
  </si>
  <si>
    <t>PGL-20 NEGO 39-06</t>
  </si>
  <si>
    <t>2020_GOODS_014</t>
  </si>
  <si>
    <t>06302003</t>
  </si>
  <si>
    <t>GF-PB-20-41</t>
  </si>
  <si>
    <t>2020-045</t>
  </si>
  <si>
    <t>PGL-20 NEGO 38-06</t>
  </si>
  <si>
    <t>2020-07-0090</t>
  </si>
  <si>
    <t>CONTRACT ID NO. 20GN0092</t>
  </si>
  <si>
    <t>LGU Nasipit-2020-060</t>
  </si>
  <si>
    <t>2020-33</t>
  </si>
  <si>
    <t>MQE-INFR-2020-002</t>
  </si>
  <si>
    <t>rfq 2020-07-03</t>
  </si>
  <si>
    <t>ITB No. 037B-2020 GQ</t>
  </si>
  <si>
    <t>PR-20-01-0016</t>
  </si>
  <si>
    <t>20-06-12</t>
  </si>
  <si>
    <t>007154-0000-00</t>
  </si>
  <si>
    <t>2020-006-006</t>
  </si>
  <si>
    <t>20-010</t>
  </si>
  <si>
    <t>2020-06-006-01</t>
  </si>
  <si>
    <t>2020-02-245, 192, 220, 184, 210, 209, 203, 228, 14</t>
  </si>
  <si>
    <t>2020-53</t>
  </si>
  <si>
    <t>SEF-2020-003</t>
  </si>
  <si>
    <t>GEPS-20-004</t>
  </si>
  <si>
    <t>2006-0784</t>
  </si>
  <si>
    <t>SVP 2020-04</t>
  </si>
  <si>
    <t>Buenavista202001</t>
  </si>
  <si>
    <t>GOODS_XRM_2020</t>
  </si>
  <si>
    <t>ITB-2020-06-003</t>
  </si>
  <si>
    <t>20PD0124</t>
  </si>
  <si>
    <t>LGULAGONOY-BAC-020-INFRA-001</t>
  </si>
  <si>
    <t>2020-06-006</t>
  </si>
  <si>
    <t>2020-07-02</t>
  </si>
  <si>
    <t>BFPRHQSR4A-083</t>
  </si>
  <si>
    <t>geps-2020-005</t>
  </si>
  <si>
    <t>SVP 2020-08</t>
  </si>
  <si>
    <t>BAC-20-06-067 (OED)</t>
  </si>
  <si>
    <t>COVID RESPONSE ITEMS</t>
  </si>
  <si>
    <t>DSWD4B-2020-012</t>
  </si>
  <si>
    <t>geps-2020-002</t>
  </si>
  <si>
    <t>SVP 2020-07</t>
  </si>
  <si>
    <t>2020-07-03</t>
  </si>
  <si>
    <t>20GDK0038</t>
  </si>
  <si>
    <t>HNETDC</t>
  </si>
  <si>
    <t>Contract ID 20JH0030</t>
  </si>
  <si>
    <t>F-0620-130</t>
  </si>
  <si>
    <t>F-0620-136</t>
  </si>
  <si>
    <t>F-0620-137</t>
  </si>
  <si>
    <t>20-006</t>
  </si>
  <si>
    <t>CIG-0620-0002</t>
  </si>
  <si>
    <t>20GDK0037</t>
  </si>
  <si>
    <t>geps-2020-003</t>
  </si>
  <si>
    <t>20-06-461</t>
  </si>
  <si>
    <t>2020-06-PR 021</t>
  </si>
  <si>
    <t>2020-0167</t>
  </si>
  <si>
    <t>100-20-05-328</t>
  </si>
  <si>
    <t>6-20-51</t>
  </si>
  <si>
    <t>RGMO/GF-PB-20-43</t>
  </si>
  <si>
    <t>SVP 2020-06</t>
  </si>
  <si>
    <t>F-0620-135</t>
  </si>
  <si>
    <t>STF-PB-20-42</t>
  </si>
  <si>
    <t>2020 - 07 - 008 (103 - Shopping)</t>
  </si>
  <si>
    <t>20-007</t>
  </si>
  <si>
    <t>SAG-10-20</t>
  </si>
  <si>
    <t>MR-PNBAC-2020-31</t>
  </si>
  <si>
    <t>bal-20-003</t>
  </si>
  <si>
    <t>T3-0620-0002</t>
  </si>
  <si>
    <t>PNOCS-0620-002</t>
  </si>
  <si>
    <t>Brgy. Sta. Ana 2020-002</t>
  </si>
  <si>
    <t>BJMP NCR 2020-31</t>
  </si>
  <si>
    <t>MR-PNBAC1-2020-32</t>
  </si>
  <si>
    <t>Brgy. Sta. Ana 2020-004</t>
  </si>
  <si>
    <t>1000032461</t>
  </si>
  <si>
    <t>STF-PB-20-45</t>
  </si>
  <si>
    <t>301562-04-2020</t>
  </si>
  <si>
    <t>REI NO. 2020-006</t>
  </si>
  <si>
    <t>BJMP NCR 2020-30</t>
  </si>
  <si>
    <t>20CE0234</t>
  </si>
  <si>
    <t>2020-06-DA-GF-0023</t>
  </si>
  <si>
    <t>RVII-PCBU-2020-07-001</t>
  </si>
  <si>
    <t>REG-0620-0002</t>
  </si>
  <si>
    <t>20CE0236</t>
  </si>
  <si>
    <t>20CE0235</t>
  </si>
  <si>
    <t>SHS - 2020 - 006 - 0011</t>
  </si>
  <si>
    <t>20-147</t>
  </si>
  <si>
    <t>HNETDC-0620-016</t>
  </si>
  <si>
    <t>PR-20-043</t>
  </si>
  <si>
    <t>2020-06-020</t>
  </si>
  <si>
    <t>doc</t>
  </si>
  <si>
    <t>LIMAO-BAC-10-20</t>
  </si>
  <si>
    <t>MOOE July 2020</t>
  </si>
  <si>
    <t>T1-0520-0008</t>
  </si>
  <si>
    <t>BTG3-2020-CS02</t>
  </si>
  <si>
    <t>SEHS 2020_020</t>
  </si>
  <si>
    <t>20-06-460</t>
  </si>
  <si>
    <t>SEHS 2020_019</t>
  </si>
  <si>
    <t>2020-INFRA-011</t>
  </si>
  <si>
    <t>G005-06-2020</t>
  </si>
  <si>
    <t>117568-2020-036</t>
  </si>
  <si>
    <t>BTG3-2020-CS01</t>
  </si>
  <si>
    <t>RFQ-2020-06-0018</t>
  </si>
  <si>
    <t>20S029</t>
  </si>
  <si>
    <t>2020-049</t>
  </si>
  <si>
    <t>SBS-0620-001</t>
  </si>
  <si>
    <t>2020-G-001</t>
  </si>
  <si>
    <t>Goods 2020-015(NP)</t>
  </si>
  <si>
    <t>DENR-NCR, PR NO. 2020-429</t>
  </si>
  <si>
    <t>041- LGU-LAOANG-2020</t>
  </si>
  <si>
    <t>013-2020</t>
  </si>
  <si>
    <t>LIMAO-BAC-12-20</t>
  </si>
  <si>
    <t>RFQ2020_02</t>
  </si>
  <si>
    <t>05-68-20</t>
  </si>
  <si>
    <t>32-2020</t>
  </si>
  <si>
    <t>20-06-449</t>
  </si>
  <si>
    <t>HNSLG-0620-0029</t>
  </si>
  <si>
    <t>2020-06-007</t>
  </si>
  <si>
    <t>T4-0620-0050</t>
  </si>
  <si>
    <t>20-07-004</t>
  </si>
  <si>
    <t>PEU-0622-2020</t>
  </si>
  <si>
    <t>PR No. 2020-06-266</t>
  </si>
  <si>
    <t>301562-05-2020</t>
  </si>
  <si>
    <t>301545-2020-04</t>
  </si>
  <si>
    <t>HNETDC-0620-0028</t>
  </si>
  <si>
    <t>HNSLG-0320-00014</t>
  </si>
  <si>
    <t>JUNE302020</t>
  </si>
  <si>
    <t>SBS-0620-002</t>
  </si>
  <si>
    <t>DENR-NCR, PR NO. 2020-439</t>
  </si>
  <si>
    <t>20-06-450</t>
  </si>
  <si>
    <t>LIMAO-BAC-11-20</t>
  </si>
  <si>
    <t>149 – 2020</t>
  </si>
  <si>
    <t>G006-06-2020</t>
  </si>
  <si>
    <t>150 – 2020</t>
  </si>
  <si>
    <t>2020-06-03R</t>
  </si>
  <si>
    <t>ITB NO. 2020-032</t>
  </si>
  <si>
    <t>20-06-448</t>
  </si>
  <si>
    <t>06-30-2020-01</t>
  </si>
  <si>
    <t>2020-GOODS-261</t>
  </si>
  <si>
    <t>SEHS 2020_021</t>
  </si>
  <si>
    <t>BAC INFRA 2020-07-01</t>
  </si>
  <si>
    <t>012020</t>
  </si>
  <si>
    <t>2020-B1-03-007</t>
  </si>
  <si>
    <t>LIMAO-BAC-13-20</t>
  </si>
  <si>
    <t>RFQ NO. SVP-022-2020</t>
  </si>
  <si>
    <t>2020-GOODS-269</t>
  </si>
  <si>
    <t>2020-GOODS-268</t>
  </si>
  <si>
    <t>20-03-288</t>
  </si>
  <si>
    <t>100-2019-10-1615</t>
  </si>
  <si>
    <t>20060516</t>
  </si>
  <si>
    <t>2020-GOODS-266</t>
  </si>
  <si>
    <t>2020-GOODS-265</t>
  </si>
  <si>
    <t>06-002</t>
  </si>
  <si>
    <t>2020-GOODS-267</t>
  </si>
  <si>
    <t>023-2020</t>
  </si>
  <si>
    <t>100-2019-02-240</t>
  </si>
  <si>
    <t>HFW-2020-04-0147</t>
  </si>
  <si>
    <t>20-03-246</t>
  </si>
  <si>
    <t>2020-011-1</t>
  </si>
  <si>
    <t>20060480</t>
  </si>
  <si>
    <t>PEU-0620-2020</t>
  </si>
  <si>
    <t>2020-RFQ 029 "Purchase of Digital Dry Bath for Ani</t>
  </si>
  <si>
    <t>20CSPH02</t>
  </si>
  <si>
    <t>bac-azds-20-06-017</t>
  </si>
  <si>
    <t>PSCbac 20-06-002</t>
  </si>
  <si>
    <t>ATI2020-06-143</t>
  </si>
  <si>
    <t>PR# 20-06-0635</t>
  </si>
  <si>
    <t>ATI2020-06-142</t>
  </si>
  <si>
    <t>13</t>
  </si>
  <si>
    <t>20MADD0023</t>
  </si>
  <si>
    <t>20MADD0022</t>
  </si>
  <si>
    <t>GOODS 2020-OI5</t>
  </si>
  <si>
    <t>20060471</t>
  </si>
  <si>
    <t>2020087</t>
  </si>
  <si>
    <t>2020-I-081</t>
  </si>
  <si>
    <t>PR # 20-06-790- SHAKER</t>
  </si>
  <si>
    <t>20060482</t>
  </si>
  <si>
    <t>302671-BINALBAGAN NATIONALHIGH SCHOOL - SHS</t>
  </si>
  <si>
    <t>2020-07-21-052CW</t>
  </si>
  <si>
    <t>ORD PABAC 021-20</t>
  </si>
  <si>
    <t>ORD PABAC 020-20</t>
  </si>
  <si>
    <t>infra 20_008</t>
  </si>
  <si>
    <t>ATI2020-06-141</t>
  </si>
  <si>
    <t>2020-G-088</t>
  </si>
  <si>
    <t>2020-05-CS1</t>
  </si>
  <si>
    <t>2020095</t>
  </si>
  <si>
    <t>ATI2020-06-146</t>
  </si>
  <si>
    <t>302671-BINALBAGAN NATIONAL HIGH SCHOOL - SHS</t>
  </si>
  <si>
    <t>ATI2020-06-145</t>
  </si>
  <si>
    <t>2020-07-21-057CW</t>
  </si>
  <si>
    <t>2020-07-21-056CW</t>
  </si>
  <si>
    <t>2020-07-21-055CW</t>
  </si>
  <si>
    <t>ORD PABAC 018-20 Lot 2</t>
  </si>
  <si>
    <t>LGU-MOALBOAL2020-0604</t>
  </si>
  <si>
    <t>ORD PABAC 018-20 Lot 1 (Re-bid)</t>
  </si>
  <si>
    <t>LGU-MOALBOAL2020-0603</t>
  </si>
  <si>
    <t>ATI2020-06-147</t>
  </si>
  <si>
    <t>ATI2020-06-144</t>
  </si>
  <si>
    <t>037</t>
  </si>
  <si>
    <t>20CSPH01</t>
  </si>
  <si>
    <t>epslingayen2020-43</t>
  </si>
  <si>
    <t>2020-GOODS-271</t>
  </si>
  <si>
    <t>LGU-MOALBOAL2020-0602</t>
  </si>
  <si>
    <t>PB-202003</t>
  </si>
  <si>
    <t>2020-07-21-054CW</t>
  </si>
  <si>
    <t>20-06-451</t>
  </si>
  <si>
    <t>2020-07-21-05CW</t>
  </si>
  <si>
    <t>100-2019-10-1682</t>
  </si>
  <si>
    <t>2020-GOODS-270</t>
  </si>
  <si>
    <t>CW 20-06-01</t>
  </si>
  <si>
    <t>2020-GOODS-263</t>
  </si>
  <si>
    <t>2020-GOODS-262</t>
  </si>
  <si>
    <t>2020-06-02R</t>
  </si>
  <si>
    <t>20060517</t>
  </si>
  <si>
    <t>2020-GOODS-260</t>
  </si>
  <si>
    <t>RFQ NO. SVP-023-2020</t>
  </si>
  <si>
    <t>infra 20-007</t>
  </si>
  <si>
    <t>06-30-2020-02</t>
  </si>
  <si>
    <t>SEHS 2020_022</t>
  </si>
  <si>
    <t>2020-GOODS-264</t>
  </si>
  <si>
    <t>SEHS 2020_018</t>
  </si>
  <si>
    <t>geps-2020-001</t>
  </si>
  <si>
    <t>T4-0620-0051</t>
  </si>
  <si>
    <t>20-149</t>
  </si>
  <si>
    <t>20-148</t>
  </si>
  <si>
    <t>2020-B1-06-020</t>
  </si>
  <si>
    <t>2020-06-DA-GF-0024</t>
  </si>
  <si>
    <t>GOODS 2020-06-PLA009</t>
  </si>
  <si>
    <t>HNSLG-0620-00017</t>
  </si>
  <si>
    <t>042- LGU-LAOANG-2020</t>
  </si>
  <si>
    <t>G004-06-2020</t>
  </si>
  <si>
    <t>Brgy. Sta. Ana 2020-003</t>
  </si>
  <si>
    <t>infra 20-009</t>
  </si>
  <si>
    <t>STF-PB-20-44</t>
  </si>
  <si>
    <t>11164</t>
  </si>
  <si>
    <t>GOODS 2020-06-PLA008</t>
  </si>
  <si>
    <t>T4-0620-0004</t>
  </si>
  <si>
    <t>0700-2020-06-025</t>
  </si>
  <si>
    <t>2020-06-DA-GF-0025</t>
  </si>
  <si>
    <t>PB20-07-CM-P5</t>
  </si>
  <si>
    <t>R3-BANE-FSDE-2019-BU-136</t>
  </si>
  <si>
    <t>20CE0233</t>
  </si>
  <si>
    <t>MIL-GOODS-2020-06-10</t>
  </si>
  <si>
    <t>F-0610-138</t>
  </si>
  <si>
    <t>Contract ID 20JH0033</t>
  </si>
  <si>
    <t>2020-0166</t>
  </si>
  <si>
    <t>Contract ID 20JH0032</t>
  </si>
  <si>
    <t>CAL-3744-20</t>
  </si>
  <si>
    <t>PB-GE1-2020-18</t>
  </si>
  <si>
    <t>PB-SP-EE-2020-17</t>
  </si>
  <si>
    <t>RFQ No. 2020-06-005</t>
  </si>
  <si>
    <t>ATI2020-06-148</t>
  </si>
  <si>
    <t>G2020-07-001(NP-SV)</t>
  </si>
  <si>
    <t>2020-07-21-384PG</t>
  </si>
  <si>
    <t>ITB-063020</t>
  </si>
  <si>
    <t>20-011</t>
  </si>
  <si>
    <t>PB2020-07-070G</t>
  </si>
  <si>
    <t>2020-07-21-385PG</t>
  </si>
  <si>
    <t>RFQ 0620-051</t>
  </si>
  <si>
    <t>PB2020-07-071G</t>
  </si>
  <si>
    <t>2020- 07-21-384PG</t>
  </si>
  <si>
    <t>G-2020-397</t>
  </si>
  <si>
    <t>G-2020-312</t>
  </si>
  <si>
    <t>Brgy. Sta. Ana 2020-001</t>
  </si>
  <si>
    <t>G-2020-286</t>
  </si>
  <si>
    <t>Contract ID 20JH0036</t>
  </si>
  <si>
    <t>20-1450</t>
  </si>
  <si>
    <t>G-2020-398</t>
  </si>
  <si>
    <t>G-2020-396</t>
  </si>
  <si>
    <t>blgumabini-2019</t>
  </si>
  <si>
    <t>PB2020-06-052G</t>
  </si>
  <si>
    <t>2020 - 07 - 008 (104 - Shopping)</t>
  </si>
  <si>
    <t>PR NO. 20-06-056</t>
  </si>
  <si>
    <t>2020-06-0181</t>
  </si>
  <si>
    <t>PR20-03-219</t>
  </si>
  <si>
    <t>G2019-12-016(PB)2F</t>
  </si>
  <si>
    <t>300-20-06-0649</t>
  </si>
  <si>
    <t>C-055-2020</t>
  </si>
  <si>
    <t>2020-06-0184</t>
  </si>
  <si>
    <t>PEO-20-0618 B (REBID)</t>
  </si>
  <si>
    <t>100-20-06-0643</t>
  </si>
  <si>
    <t>2020-06-358</t>
  </si>
  <si>
    <t>G2019-12-011(PB)2F</t>
  </si>
  <si>
    <t>Cuartero_BAC 2020-011</t>
  </si>
  <si>
    <t>2020-06-357</t>
  </si>
  <si>
    <t>INFRA2020-06</t>
  </si>
  <si>
    <t>20GP003CS</t>
  </si>
  <si>
    <t>20GP002CS</t>
  </si>
  <si>
    <t>cgb2020-230</t>
  </si>
  <si>
    <t>Cuartero_BAC 2020-010</t>
  </si>
  <si>
    <t>Cuartero_BAC 2020-009</t>
  </si>
  <si>
    <t>INFRA2020-05</t>
  </si>
  <si>
    <t>INFRA2020-03</t>
  </si>
  <si>
    <t>POD20-103</t>
  </si>
  <si>
    <t>INFRA2020-04</t>
  </si>
  <si>
    <t>20EB0127</t>
  </si>
  <si>
    <t>EMB13-2020-06-035</t>
  </si>
  <si>
    <t>PLLO RFQ No. 2020-06-004</t>
  </si>
  <si>
    <t>CW2020-06-001(NP-SV)1F</t>
  </si>
  <si>
    <t>20EB0126</t>
  </si>
  <si>
    <t>C-051-2020</t>
  </si>
  <si>
    <t>2020-053</t>
  </si>
  <si>
    <t>GOODS2020-50</t>
  </si>
  <si>
    <t>ITB NO. 20-00001</t>
  </si>
  <si>
    <t>B2 SB3 INFRA 300-15-06-08758</t>
  </si>
  <si>
    <t>20GP001CS</t>
  </si>
  <si>
    <t>B2 PEO 300-20-06-07622</t>
  </si>
  <si>
    <t>B2 PEO 300-20-06-07384</t>
  </si>
  <si>
    <t>20-06-246</t>
  </si>
  <si>
    <t>DA3-2020-6-11-176</t>
  </si>
  <si>
    <t>B2 PEO 300-20-06-07383</t>
  </si>
  <si>
    <t>PB-2020-184-012</t>
  </si>
  <si>
    <t>10-RFEF@Pob1&amp;2MES-08042020</t>
  </si>
  <si>
    <t>2020-07-21-387PG</t>
  </si>
  <si>
    <t>AGR-20-0767-B</t>
  </si>
  <si>
    <t>Cuartero_BAC 2020-008</t>
  </si>
  <si>
    <t>2020-055-snq</t>
  </si>
  <si>
    <t>100-2020-Goods-388</t>
  </si>
  <si>
    <t>2020-054-snq</t>
  </si>
  <si>
    <t>2020-052-snq</t>
  </si>
  <si>
    <t>G-111-20</t>
  </si>
  <si>
    <t>GAMOT 200-20-06-06522</t>
  </si>
  <si>
    <t>2020--07-21-388PG</t>
  </si>
  <si>
    <t>silangan2 2020-001</t>
  </si>
  <si>
    <t>G-2020-255</t>
  </si>
  <si>
    <t>INFRA-2020-07-08</t>
  </si>
  <si>
    <t>2020-053-snq</t>
  </si>
  <si>
    <t>2020-07-21-386PG</t>
  </si>
  <si>
    <t>INFRA-2020-07-09</t>
  </si>
  <si>
    <t>2020-07-21-396PG</t>
  </si>
  <si>
    <t>2020-07-21-395PG</t>
  </si>
  <si>
    <t>2020-07-21-394PG</t>
  </si>
  <si>
    <t>2020-07-21-393PG</t>
  </si>
  <si>
    <t>2020-07-21-392PG</t>
  </si>
  <si>
    <t>2020-07-21-390PG</t>
  </si>
  <si>
    <t>2020-07-21-401PG</t>
  </si>
  <si>
    <t>PR 1-20-06-0732 - CED</t>
  </si>
  <si>
    <t>11-DDMGMES-08042020</t>
  </si>
  <si>
    <t>PR 1-20-06-0699 - CED</t>
  </si>
  <si>
    <t>2020-07-21-391PG</t>
  </si>
  <si>
    <t>PR 1-20-06-0683 - CED</t>
  </si>
  <si>
    <t>PR 1-20-06-0659 - AGRI (REBIDDING)</t>
  </si>
  <si>
    <t>2020--07-21-398PG</t>
  </si>
  <si>
    <t>PR 1-20-06-0649 - CED (REBIDDING)</t>
  </si>
  <si>
    <t>PR 1-20-03-0487 - CED (REBIDDING)</t>
  </si>
  <si>
    <t>2020030011</t>
  </si>
  <si>
    <t>INFRA-2020-07-10</t>
  </si>
  <si>
    <t>PR 1-20-06-0680 - CED</t>
  </si>
  <si>
    <t>PR 1-20-03-0482 - AGRI (REBIDDING)</t>
  </si>
  <si>
    <t>G-2020-399</t>
  </si>
  <si>
    <t>PR 9-20-06-0671 - CITY HOSPITAL</t>
  </si>
  <si>
    <t>PR 1-20-04-0532 - PNP (REBIDDING)</t>
  </si>
  <si>
    <t>PR 9-20-06-0740 - CITY HOSPITAL</t>
  </si>
  <si>
    <t>2LSSM2020A-282</t>
  </si>
  <si>
    <t>2LSSM2020A-281</t>
  </si>
  <si>
    <t>NFW-06-030-20</t>
  </si>
  <si>
    <t>PR 9-20-06-0734 - CITY HOSPITAL</t>
  </si>
  <si>
    <t>PR 18-20-06-0646 - CED</t>
  </si>
  <si>
    <t>2LSSM2020A-280</t>
  </si>
  <si>
    <t>PR 9-20-06-0695 - CITY HOSPITAL</t>
  </si>
  <si>
    <t>G-2020-164</t>
  </si>
  <si>
    <t>PR 9-20-06-0739 - CITY HOSPITAL</t>
  </si>
  <si>
    <t>PR 9-20-06-0676 - CITY HOSPITAL</t>
  </si>
  <si>
    <t>2020-29-001</t>
  </si>
  <si>
    <t>2020-07-21-402PG</t>
  </si>
  <si>
    <t>RFQ- 2020-08 B</t>
  </si>
  <si>
    <t>PR 401-20-03-0453 - CWD (REBIDDING)</t>
  </si>
  <si>
    <t>RFQ- 2019-07</t>
  </si>
  <si>
    <t>2LSSM2020A-279</t>
  </si>
  <si>
    <t>20-25 goods</t>
  </si>
  <si>
    <t>PR 1-20-03-0497 - PESO (REBIDDING)</t>
  </si>
  <si>
    <t>SL-2020-008</t>
  </si>
  <si>
    <t>2020-58</t>
  </si>
  <si>
    <t>RFQ- 2020-08</t>
  </si>
  <si>
    <t>G-2020-411</t>
  </si>
  <si>
    <t>G-2020-407</t>
  </si>
  <si>
    <t>G-2020-403</t>
  </si>
  <si>
    <t>0008</t>
  </si>
  <si>
    <t>G-2020-404</t>
  </si>
  <si>
    <t>2020-06-25B</t>
  </si>
  <si>
    <t>2020-29-004</t>
  </si>
  <si>
    <t>20-06-003</t>
  </si>
  <si>
    <t>G-2020-412</t>
  </si>
  <si>
    <t>BASAG 2020-002</t>
  </si>
  <si>
    <t>GS-GF-2020-0273</t>
  </si>
  <si>
    <t>2020bid001</t>
  </si>
  <si>
    <t>GS-GF-2020-0261</t>
  </si>
  <si>
    <t>2020-29-003</t>
  </si>
  <si>
    <t>20CE0230</t>
  </si>
  <si>
    <t>G-2020-409</t>
  </si>
  <si>
    <t>2020-07-21-403PG</t>
  </si>
  <si>
    <t>BRGY 007-2020</t>
  </si>
  <si>
    <t>GOODS 2020-014(np)</t>
  </si>
  <si>
    <t>SKBISOCOL-2020-06-002</t>
  </si>
  <si>
    <t>RFQ-2020-06-0836</t>
  </si>
  <si>
    <t>SKBISOCOL-2020-06-001</t>
  </si>
  <si>
    <t>G-2020-400</t>
  </si>
  <si>
    <t>SF-CW-MDRRMF-2020-03</t>
  </si>
  <si>
    <t>RFQ- 2020-09</t>
  </si>
  <si>
    <t>2LSSM2020A-276</t>
  </si>
  <si>
    <t>PR 9-20-03-0415 - CITY HOSPITAL</t>
  </si>
  <si>
    <t>PR 1-20-06-0733 - CED</t>
  </si>
  <si>
    <t>2LSSM2020A-277</t>
  </si>
  <si>
    <t>2020030013</t>
  </si>
  <si>
    <t>PR 1-20-06-0681 - CMO</t>
  </si>
  <si>
    <t>2020-37</t>
  </si>
  <si>
    <t>2LSSM2020A-278</t>
  </si>
  <si>
    <t>100(18)20-06-376(O)</t>
  </si>
  <si>
    <t>2020-06-17</t>
  </si>
  <si>
    <t>IB 2020-36</t>
  </si>
  <si>
    <t>2020-135</t>
  </si>
  <si>
    <t>100(01)20-06-375(O)</t>
  </si>
  <si>
    <t>TF-20-06-383(O)</t>
  </si>
  <si>
    <t>PR 9-20-04-0533 - CITY HOSPITAL (REBIDDING)</t>
  </si>
  <si>
    <t>2020-29-002</t>
  </si>
  <si>
    <t>MG-LGD20-002 FUEL, GASOLINE, DIESEL</t>
  </si>
  <si>
    <t>REQ06594</t>
  </si>
  <si>
    <t>OB-0147-20</t>
  </si>
  <si>
    <t>RFQ-20-06-0515</t>
  </si>
  <si>
    <t>0023-0060-0838-2020</t>
  </si>
  <si>
    <t>2020-06-189-RFQ</t>
  </si>
  <si>
    <t>A2-2020-0585</t>
  </si>
  <si>
    <t>RFQ #502-20</t>
  </si>
  <si>
    <t>20CE0231</t>
  </si>
  <si>
    <t>CY 2020-20% DF (Continuing Appropriation) G-01-062</t>
  </si>
  <si>
    <t>PR 4-20-06-0643 - CWD</t>
  </si>
  <si>
    <t>RFQ 501-20</t>
  </si>
  <si>
    <t>2020-38</t>
  </si>
  <si>
    <t>20CE0232</t>
  </si>
  <si>
    <t>BARANGAY BUED-2020-06-001</t>
  </si>
  <si>
    <t>G-2020-401</t>
  </si>
  <si>
    <t>SV-0568-2020</t>
  </si>
  <si>
    <t>2020-6-6854</t>
  </si>
  <si>
    <t>A2-2020-0581</t>
  </si>
  <si>
    <t>UPB-2020-047</t>
  </si>
  <si>
    <t>20-218</t>
  </si>
  <si>
    <t>2020-06-27-001</t>
  </si>
  <si>
    <t>862</t>
  </si>
  <si>
    <t>100(18)20-06-378(O)</t>
  </si>
  <si>
    <t>06-POS-06232020</t>
  </si>
  <si>
    <t>100(18)20-06-380(O)</t>
  </si>
  <si>
    <t>RFQ 10-2020</t>
  </si>
  <si>
    <t>LGU-120-2020</t>
  </si>
  <si>
    <t>2020-06-18</t>
  </si>
  <si>
    <t>20DN0145</t>
  </si>
  <si>
    <t>100(18)20-06-377(O)</t>
  </si>
  <si>
    <t>2020-026</t>
  </si>
  <si>
    <t>12-RFSBIMES-08072020</t>
  </si>
  <si>
    <t>09-UMSMWDMES-08072020</t>
  </si>
  <si>
    <t>2020-136</t>
  </si>
  <si>
    <t>0500</t>
  </si>
  <si>
    <t>RFQ-2020-04</t>
  </si>
  <si>
    <t>BTG3-2020-12</t>
  </si>
  <si>
    <t>2020-06-016</t>
  </si>
  <si>
    <t>2020-06-19</t>
  </si>
  <si>
    <t>PB-2020-184-011</t>
  </si>
  <si>
    <t>2020-15</t>
  </si>
  <si>
    <t>B2 PEO 300-20-06-07380</t>
  </si>
  <si>
    <t>ITB INFRA-024-2020</t>
  </si>
  <si>
    <t>2020-07-21-389PG</t>
  </si>
  <si>
    <t>2020-12-001</t>
  </si>
  <si>
    <t>SB2 POP19 300-20-02-01021</t>
  </si>
  <si>
    <t>SM-20-015</t>
  </si>
  <si>
    <t>PB-2020-06-002</t>
  </si>
  <si>
    <t>vinya0626</t>
  </si>
  <si>
    <t>2020-06-302</t>
  </si>
  <si>
    <t>2020-06-0172</t>
  </si>
  <si>
    <t>PB-GB1-2020-19</t>
  </si>
  <si>
    <t>B2 PEO 300-20-06-07382</t>
  </si>
  <si>
    <t>20-1449</t>
  </si>
  <si>
    <t>20-1452</t>
  </si>
  <si>
    <t>17202006057</t>
  </si>
  <si>
    <t>APP-010A-S-2020</t>
  </si>
  <si>
    <t>PGSO 300-20-01-00299</t>
  </si>
  <si>
    <t>JUNE 26-29/30-JULY 3</t>
  </si>
  <si>
    <t>ITB-2020-PR1189</t>
  </si>
  <si>
    <t>2020-G-089</t>
  </si>
  <si>
    <t>ATI2020-06-150</t>
  </si>
  <si>
    <t>PR2020-06-0001</t>
  </si>
  <si>
    <t>BTG3-2020-11</t>
  </si>
  <si>
    <t>2020-07-21-383PG</t>
  </si>
  <si>
    <t>PR3-2020-05-0349</t>
  </si>
  <si>
    <t>ORD PABAC 023-20</t>
  </si>
  <si>
    <t>ORD PABAC 022-20</t>
  </si>
  <si>
    <t>geps-2020-006</t>
  </si>
  <si>
    <t>INFRA-BEAUTIFICATION OF BOULEVARD ROAD(PLANT BOX A</t>
  </si>
  <si>
    <t>SVP 2020-05</t>
  </si>
  <si>
    <t>RVII-SQR-2020-07-001</t>
  </si>
  <si>
    <t>RFQ No.049 -2020</t>
  </si>
  <si>
    <t>GF 001</t>
  </si>
  <si>
    <t>Malobago202001</t>
  </si>
  <si>
    <t>ris 20-88-081</t>
  </si>
  <si>
    <t>BAC-20-06-065 (OED)</t>
  </si>
  <si>
    <t>CONCRETING OF ROAD OF 150M X 4M X .15LM FARM TO MA</t>
  </si>
  <si>
    <t>LGU Nasipit-2020-058</t>
  </si>
  <si>
    <t>2020-24</t>
  </si>
  <si>
    <t>20-06-053</t>
  </si>
  <si>
    <t>mos-20-0253</t>
  </si>
  <si>
    <t>106CO-6IB, 6ID,PA-2020-455</t>
  </si>
  <si>
    <t>RFQ 2020-012</t>
  </si>
  <si>
    <t>PR# 20-06-0643</t>
  </si>
  <si>
    <t>P.R. # 20-06-063</t>
  </si>
  <si>
    <t>DOH-MMCHD-2020-06-185-G</t>
  </si>
  <si>
    <t>UPB-2020-048</t>
  </si>
  <si>
    <t>LGUBaras-2020-0047</t>
  </si>
  <si>
    <t>Mkna-GSO-20-283</t>
  </si>
  <si>
    <t>SV-0451-2020</t>
  </si>
  <si>
    <t>06-20-45</t>
  </si>
  <si>
    <t>NIFSL0620-054</t>
  </si>
  <si>
    <t>100(18)20-06-100(Q)</t>
  </si>
  <si>
    <t>2020-62B-06-001</t>
  </si>
  <si>
    <t>silangan1-2020</t>
  </si>
  <si>
    <t>100(18)20-06-379(O)</t>
  </si>
  <si>
    <t>CONTRACT ID NO. 20GN0093</t>
  </si>
  <si>
    <t>TF-20-06-382(O)</t>
  </si>
  <si>
    <t>2020-001 (Brgy. Donganpekong)(REBID)</t>
  </si>
  <si>
    <t>CSJ-2020-035</t>
  </si>
  <si>
    <t>20DN0146</t>
  </si>
  <si>
    <t>2020-334</t>
  </si>
  <si>
    <t>20-24</t>
  </si>
  <si>
    <t>T060-20</t>
  </si>
  <si>
    <t>20201264</t>
  </si>
  <si>
    <t>Mkna-GSO-20-284</t>
  </si>
  <si>
    <t>20-06-054</t>
  </si>
  <si>
    <t>2020-06-45</t>
  </si>
  <si>
    <t>2020-168</t>
  </si>
  <si>
    <t>2020-06-65</t>
  </si>
  <si>
    <t>ITB-2020-01</t>
  </si>
  <si>
    <t>RFQ 2020-06-02</t>
  </si>
  <si>
    <t>2020 - 084</t>
  </si>
  <si>
    <t>06292020001</t>
  </si>
  <si>
    <t>202-12</t>
  </si>
  <si>
    <t>Mkna-GSO-20-285</t>
  </si>
  <si>
    <t>C-054-2020</t>
  </si>
  <si>
    <t>NIFSL-0620-055</t>
  </si>
  <si>
    <t>PR# 20-06-0644</t>
  </si>
  <si>
    <t>06292020</t>
  </si>
  <si>
    <t>INFRA-CONSTRUCTION REHABILITATION OF CONCRETE ROAD</t>
  </si>
  <si>
    <t>ITB-2020-06-12</t>
  </si>
  <si>
    <t>002-2020</t>
  </si>
  <si>
    <t>LGU-BLU-20-06-049</t>
  </si>
  <si>
    <t>06-20-46</t>
  </si>
  <si>
    <t>20-07-68</t>
  </si>
  <si>
    <t>P.R. # 20-06-067</t>
  </si>
  <si>
    <t>2020-06-053-D</t>
  </si>
  <si>
    <t>RFQ No. MCS-20-06-051</t>
  </si>
  <si>
    <t>LMB-RFQ-S-025-2020</t>
  </si>
  <si>
    <t>PILAR-20-06-010</t>
  </si>
  <si>
    <t>2020-04A</t>
  </si>
  <si>
    <t>20NMSC21-G</t>
  </si>
  <si>
    <t>2020-04B</t>
  </si>
  <si>
    <t>2020-06-0366</t>
  </si>
  <si>
    <t>LMB-RFQ-S-026-2020</t>
  </si>
  <si>
    <t>RFQ 2020-06-03</t>
  </si>
  <si>
    <t>Tukucan-2020-01</t>
  </si>
  <si>
    <t>20GK0226</t>
  </si>
  <si>
    <t>2020-412-05</t>
  </si>
  <si>
    <t>2020-05B</t>
  </si>
  <si>
    <t>P.R. # 20-06-068</t>
  </si>
  <si>
    <t>2020-013</t>
  </si>
  <si>
    <t>20GK0227</t>
  </si>
  <si>
    <t>2020-034I</t>
  </si>
  <si>
    <t>2020-05A</t>
  </si>
  <si>
    <t>20-077</t>
  </si>
  <si>
    <t>2020-631</t>
  </si>
  <si>
    <t>06-20-47</t>
  </si>
  <si>
    <t>20-492</t>
  </si>
  <si>
    <t>mda128</t>
  </si>
  <si>
    <t>2006034</t>
  </si>
  <si>
    <t>Tukucan-2020-02</t>
  </si>
  <si>
    <t>LMB-RFQ-S-027-2020</t>
  </si>
  <si>
    <t>SV-53-2020</t>
  </si>
  <si>
    <t>2020-06-181-B</t>
  </si>
  <si>
    <t>8919-07-1620-19</t>
  </si>
  <si>
    <t>2020-06-100</t>
  </si>
  <si>
    <t>2020-07A</t>
  </si>
  <si>
    <t>RFQ-TFB-10-2020</t>
  </si>
  <si>
    <t>4411-14-2020-06-18</t>
  </si>
  <si>
    <t>INFRA-REHABILITATION OF LINED CANAL AND DRAINAGE (</t>
  </si>
  <si>
    <t>LMB-RFQ-S-028-2020</t>
  </si>
  <si>
    <t>300-20-06-0027</t>
  </si>
  <si>
    <t>2020-16</t>
  </si>
  <si>
    <t>2020-335</t>
  </si>
  <si>
    <t>GHQPC-TDCS-SPOF-1323-20</t>
  </si>
  <si>
    <t>7060344</t>
  </si>
  <si>
    <t>mos-20-0254</t>
  </si>
  <si>
    <t>2020-6-6846</t>
  </si>
  <si>
    <t>BLGU-PBD-Behia-2020-26.1</t>
  </si>
  <si>
    <t>2020-06-131</t>
  </si>
  <si>
    <t>20201269</t>
  </si>
  <si>
    <t>P.R. # 20-06-069</t>
  </si>
  <si>
    <t>2020-484-06</t>
  </si>
  <si>
    <t>2020-07B</t>
  </si>
  <si>
    <t>T039-20</t>
  </si>
  <si>
    <t>235</t>
  </si>
  <si>
    <t>2020-07D</t>
  </si>
  <si>
    <t>2020-06-24</t>
  </si>
  <si>
    <t>20DN0148</t>
  </si>
  <si>
    <t>LMB-RFQ-S-029-2020</t>
  </si>
  <si>
    <t>20DN0147</t>
  </si>
  <si>
    <t>2020-147</t>
  </si>
  <si>
    <t>2020-07C</t>
  </si>
  <si>
    <t>NIFSL4-0620-056</t>
  </si>
  <si>
    <t>PB2020-07-072G</t>
  </si>
  <si>
    <t>PR # 20-06-0222</t>
  </si>
  <si>
    <t>Mkna-GSO-20-289</t>
  </si>
  <si>
    <t>234</t>
  </si>
  <si>
    <t>bac-20-0629a</t>
  </si>
  <si>
    <t>116-1011-017</t>
  </si>
  <si>
    <t>2020-0077</t>
  </si>
  <si>
    <t>20DN0149</t>
  </si>
  <si>
    <t>MG-TSE20-018..METER, MULTIFUNCTION</t>
  </si>
  <si>
    <t>2020-06-0463</t>
  </si>
  <si>
    <t>2020060266</t>
  </si>
  <si>
    <t>20-02-0083</t>
  </si>
  <si>
    <t>100-20-06-0249</t>
  </si>
  <si>
    <t>LMB-RFQ-S-030-2020</t>
  </si>
  <si>
    <t>IB NO. PB-2020-06-21</t>
  </si>
  <si>
    <t>2020-02-0059</t>
  </si>
  <si>
    <t>NIFW-06-110-20</t>
  </si>
  <si>
    <t>P.R. # 20-06-066</t>
  </si>
  <si>
    <t>LGU-MOALBOAL2020-0605</t>
  </si>
  <si>
    <t>Brgy. Canroma-20-01</t>
  </si>
  <si>
    <t>INF-2020-003</t>
  </si>
  <si>
    <t>SDO-Val.-2020-06-0011</t>
  </si>
  <si>
    <t>2020-06-169A</t>
  </si>
  <si>
    <t>100-2006-0364</t>
  </si>
  <si>
    <t>LAMISCA IMO 6-29-2020 RFQ TAKAY</t>
  </si>
  <si>
    <t>salbac2020-27</t>
  </si>
  <si>
    <t>SN-2020-38</t>
  </si>
  <si>
    <t>RFQ-TFB-11-2020</t>
  </si>
  <si>
    <t>062920200002</t>
  </si>
  <si>
    <t>07032020-097</t>
  </si>
  <si>
    <t>118-1011-017</t>
  </si>
  <si>
    <t>BAC-2020-G-08</t>
  </si>
  <si>
    <t>Jiab-2020-1B</t>
  </si>
  <si>
    <t>GOODS-010-2020</t>
  </si>
  <si>
    <t>100-20-06-0248</t>
  </si>
  <si>
    <t>P.R. # 20-06-079</t>
  </si>
  <si>
    <t>0002-CW-2020</t>
  </si>
  <si>
    <t>2020-2207</t>
  </si>
  <si>
    <t>SCM 0629-01-2020</t>
  </si>
  <si>
    <t>2020-06-0032</t>
  </si>
  <si>
    <t>20-46217</t>
  </si>
  <si>
    <t>2020-06-169</t>
  </si>
  <si>
    <t>20-06-0042</t>
  </si>
  <si>
    <t>20-06-162</t>
  </si>
  <si>
    <t>IT Equipments</t>
  </si>
  <si>
    <t>CSI-2020-018</t>
  </si>
  <si>
    <t>ITB-2020-05</t>
  </si>
  <si>
    <t>P.R. # 20-06-080</t>
  </si>
  <si>
    <t>NIFW-06-112-20</t>
  </si>
  <si>
    <t>20DN0150</t>
  </si>
  <si>
    <t>SCM 0629-02-2020</t>
  </si>
  <si>
    <t>mnto 20 0008</t>
  </si>
  <si>
    <t>SN-2020-39</t>
  </si>
  <si>
    <t>BIMO-GOODS-SVP2020-OE-BIMOP4</t>
  </si>
  <si>
    <t>2020-02-037(06207512)</t>
  </si>
  <si>
    <t>100-2003-</t>
  </si>
  <si>
    <t>RFQ 2020-05-001</t>
  </si>
  <si>
    <t>BAC 2020-38</t>
  </si>
  <si>
    <t>2020-963</t>
  </si>
  <si>
    <t>20200629-27</t>
  </si>
  <si>
    <t>2020-02-0454 etc.</t>
  </si>
  <si>
    <t>121-1011-017</t>
  </si>
  <si>
    <t>760-000-620-96000</t>
  </si>
  <si>
    <t>2020 -06-22</t>
  </si>
  <si>
    <t>100-2020-Goods-389</t>
  </si>
  <si>
    <t>2020-06-0154</t>
  </si>
  <si>
    <t>RFQ No. MCS-20-06-052</t>
  </si>
  <si>
    <t>BAC-2020-G-10</t>
  </si>
  <si>
    <t>06-00830</t>
  </si>
  <si>
    <t>Job Request_03_Admin</t>
  </si>
  <si>
    <t>109891-2020-04</t>
  </si>
  <si>
    <t>Poblacion-2020-05</t>
  </si>
  <si>
    <t>109891-2020-05A</t>
  </si>
  <si>
    <t>mos-20-0255</t>
  </si>
  <si>
    <t>PR 2020-06-404</t>
  </si>
  <si>
    <t>Job Request_02_Admin</t>
  </si>
  <si>
    <t>117-1011-017</t>
  </si>
  <si>
    <t>20DN0151</t>
  </si>
  <si>
    <t>CSWD-SSRFQ-2020-06-013</t>
  </si>
  <si>
    <t>Job Request_01_Admin</t>
  </si>
  <si>
    <t>CPSH-2020-01</t>
  </si>
  <si>
    <t>SV-0649-2020</t>
  </si>
  <si>
    <t>2020-06-147</t>
  </si>
  <si>
    <t>2020-06-320</t>
  </si>
  <si>
    <t>Jiab-2020-2B</t>
  </si>
  <si>
    <t>BAC-2020-G-09</t>
  </si>
  <si>
    <t>100-2003-293</t>
  </si>
  <si>
    <t>6911-02-934-19</t>
  </si>
  <si>
    <t>Tukucan-2020-03</t>
  </si>
  <si>
    <t>20-46210</t>
  </si>
  <si>
    <t>GS-GF-2020-0274</t>
  </si>
  <si>
    <t>renow-001</t>
  </si>
  <si>
    <t>2020-ANT-GOODS-0122</t>
  </si>
  <si>
    <t>BIMO-GOODS-SVP2020-SP-BIMOP2</t>
  </si>
  <si>
    <t>Brgy. Bersamin - 2020 - 030</t>
  </si>
  <si>
    <t>2020-6-6847</t>
  </si>
  <si>
    <t>2020-0629001</t>
  </si>
  <si>
    <t>mos-20-0256</t>
  </si>
  <si>
    <t>109891-2020-06A</t>
  </si>
  <si>
    <t>MG-TSE20-032...REHAB/REPAIR OF VARIOUS DEFECTIVE V</t>
  </si>
  <si>
    <t>2020-05-027</t>
  </si>
  <si>
    <t>Mkna-GSO-20-288</t>
  </si>
  <si>
    <t>20200629-01-G</t>
  </si>
  <si>
    <t>DA3-2020-6-10-135</t>
  </si>
  <si>
    <t>20-06-163</t>
  </si>
  <si>
    <t>109-1011-017</t>
  </si>
  <si>
    <t>MG-TSE20-022..SWITCH, ISOLATION, METERING PROTECTI</t>
  </si>
  <si>
    <t>P.R. # 20-06-070</t>
  </si>
  <si>
    <t>GS-GF-2020-0275</t>
  </si>
  <si>
    <t>2020-098</t>
  </si>
  <si>
    <t>AMP2020-029</t>
  </si>
  <si>
    <t>109891-2020-07A</t>
  </si>
  <si>
    <t>Wangwang-2020-01</t>
  </si>
  <si>
    <t>INFRA-SMV-05-2020</t>
  </si>
  <si>
    <t>SVP-05-06-2020-Goods</t>
  </si>
  <si>
    <t>0707</t>
  </si>
  <si>
    <t>2020-05-005-PR- CES</t>
  </si>
  <si>
    <t>GSO-20-06-0286</t>
  </si>
  <si>
    <t>IB NO. PB-2020-06-22</t>
  </si>
  <si>
    <t>Brgy. Poblacion East - 2020 - 031</t>
  </si>
  <si>
    <t>BAC 2020-39</t>
  </si>
  <si>
    <t>TO 2020-003</t>
  </si>
  <si>
    <t>PR # 20-06-0223</t>
  </si>
  <si>
    <t>DA3-2020-06-22-281</t>
  </si>
  <si>
    <t>100-2006-592</t>
  </si>
  <si>
    <t>GOODS - 2020-06-050</t>
  </si>
  <si>
    <t>109891-2020-07B</t>
  </si>
  <si>
    <t>PR No. 20-05-0262</t>
  </si>
  <si>
    <t>20-06-022</t>
  </si>
  <si>
    <t>Quotation No.20-06-360</t>
  </si>
  <si>
    <t>GS-GF-2020-0276</t>
  </si>
  <si>
    <t>PILAR-20-011</t>
  </si>
  <si>
    <t>2020-0288</t>
  </si>
  <si>
    <t>SV-0610-2020</t>
  </si>
  <si>
    <t>2020-06-335</t>
  </si>
  <si>
    <t>2020-02-0462/2020-02-0457</t>
  </si>
  <si>
    <t>RFQ#2020-025</t>
  </si>
  <si>
    <t>100-20-04-0169</t>
  </si>
  <si>
    <t>0714</t>
  </si>
  <si>
    <t>109891-2020-06B</t>
  </si>
  <si>
    <t>RFQ 2020-81</t>
  </si>
  <si>
    <t>2020-06-101</t>
  </si>
  <si>
    <t>20.06.091</t>
  </si>
  <si>
    <t>2020-05-036</t>
  </si>
  <si>
    <t>LOG-0001G-2020</t>
  </si>
  <si>
    <t>SVP-06-06-2020-Goods</t>
  </si>
  <si>
    <t>20-46160</t>
  </si>
  <si>
    <t>2020-RBAC-PRF-86</t>
  </si>
  <si>
    <t>NF 2006-0234</t>
  </si>
  <si>
    <t>2020-02-0537 etc.</t>
  </si>
  <si>
    <t>mnto 20 0009</t>
  </si>
  <si>
    <t>6070</t>
  </si>
  <si>
    <t>MZSP-2020-44</t>
  </si>
  <si>
    <t>20-06-127</t>
  </si>
  <si>
    <t>06-0046-20</t>
  </si>
  <si>
    <t>2020-06-008</t>
  </si>
  <si>
    <t>NWD-2020-016</t>
  </si>
  <si>
    <t>ICT-2020-01</t>
  </si>
  <si>
    <t>2020-06-341</t>
  </si>
  <si>
    <t>NF 2006-0231</t>
  </si>
  <si>
    <t>2020-0385 dated 26 June 2020 (BSPI)</t>
  </si>
  <si>
    <t>PR No. 2020 092</t>
  </si>
  <si>
    <t>19CSZ016</t>
  </si>
  <si>
    <t>GTLMH-20-127</t>
  </si>
  <si>
    <t>Jiab-2020-3B</t>
  </si>
  <si>
    <t>2020-07-01-01</t>
  </si>
  <si>
    <t>070120</t>
  </si>
  <si>
    <t>025-2020 PES Purchase of COVID-19 Response Item</t>
  </si>
  <si>
    <t>20OH0087 Re-ads</t>
  </si>
  <si>
    <t>INFRA-SMV-06-2020</t>
  </si>
  <si>
    <t>DA3-2020-234-03-16</t>
  </si>
  <si>
    <t>20-347</t>
  </si>
  <si>
    <t>PB 2020-07</t>
  </si>
  <si>
    <t>UPLB-I-022-07-20 SUPPLY, DELIVERY, INSTALLATION, T</t>
  </si>
  <si>
    <t>202006025</t>
  </si>
  <si>
    <t>RFQ NO. SVP-028-2020</t>
  </si>
  <si>
    <t>024-2020 PES-of-Contactless-Handwashing-Facility-2</t>
  </si>
  <si>
    <t>20-334</t>
  </si>
  <si>
    <t>I.D. NO. –June30-2020-481</t>
  </si>
  <si>
    <t>RFQ NO. SVP-027-2020</t>
  </si>
  <si>
    <t>G26-2020</t>
  </si>
  <si>
    <t>20-06-032</t>
  </si>
  <si>
    <t>20LH0104</t>
  </si>
  <si>
    <t>20-07-01-003</t>
  </si>
  <si>
    <t>20LH0103</t>
  </si>
  <si>
    <t>BAC-20-07-069 (PADD)</t>
  </si>
  <si>
    <t>20LH0100</t>
  </si>
  <si>
    <t>20-06-126</t>
  </si>
  <si>
    <t>PB-202001-2</t>
  </si>
  <si>
    <t>20LH0102</t>
  </si>
  <si>
    <t>BAC-20-07-068 (PADD)</t>
  </si>
  <si>
    <t>20-07-0379</t>
  </si>
  <si>
    <t>OfficeSupplies2020</t>
  </si>
  <si>
    <t>20LH0099</t>
  </si>
  <si>
    <t>20LH0101</t>
  </si>
  <si>
    <t>20LH0098</t>
  </si>
  <si>
    <t>109891-2020-05B</t>
  </si>
  <si>
    <t>25-2020</t>
  </si>
  <si>
    <t>G25-2020</t>
  </si>
  <si>
    <t>B20-06-10A-SMERA-MAT</t>
  </si>
  <si>
    <t>SHO-04-06-2020-Goods</t>
  </si>
  <si>
    <t>20LH0106</t>
  </si>
  <si>
    <t>20LH0105</t>
  </si>
  <si>
    <t>ITB-2020-06-13</t>
  </si>
  <si>
    <t>BAC INFRA 2020 07-04</t>
  </si>
  <si>
    <t>GSO-20-06-0285</t>
  </si>
  <si>
    <t>20LH0097</t>
  </si>
  <si>
    <t>BAC INFRA 2020 07-02</t>
  </si>
  <si>
    <t>20LH0107</t>
  </si>
  <si>
    <t>20LH0096</t>
  </si>
  <si>
    <t>BAC INFRA 2020 07-05</t>
  </si>
  <si>
    <t>BAC INFRA 2020 07-03</t>
  </si>
  <si>
    <t>PR No. 2020 094</t>
  </si>
  <si>
    <t>2020-0289</t>
  </si>
  <si>
    <t>S-2020-73</t>
  </si>
  <si>
    <t>2020-099</t>
  </si>
  <si>
    <t>338</t>
  </si>
  <si>
    <t>BAC-HO GS No. 2020-0080</t>
  </si>
  <si>
    <t>20-06-103</t>
  </si>
  <si>
    <t>ibaan-2020-096</t>
  </si>
  <si>
    <t>DA3-2020-06-22-282</t>
  </si>
  <si>
    <t>2020-ANT-GOODS-0123</t>
  </si>
  <si>
    <t>Jiab-2020-4B</t>
  </si>
  <si>
    <t>P-0640</t>
  </si>
  <si>
    <t>2020-06-027</t>
  </si>
  <si>
    <t>2020-06-029</t>
  </si>
  <si>
    <t>RFQ-065-2020-SVP</t>
  </si>
  <si>
    <t>SV-0645-2020</t>
  </si>
  <si>
    <t>BAC-PGCS-179-2020</t>
  </si>
  <si>
    <t>2020-05-035</t>
  </si>
  <si>
    <t>Gumhang -2020-01</t>
  </si>
  <si>
    <t>CODH 200-20-06-07121</t>
  </si>
  <si>
    <t>2020 - 13</t>
  </si>
  <si>
    <t>ITB-062920-1</t>
  </si>
  <si>
    <t>ppn-096-2020</t>
  </si>
  <si>
    <t>115-1011-017</t>
  </si>
  <si>
    <t>06-0049-20</t>
  </si>
  <si>
    <t>DATA 200-20-05-05027</t>
  </si>
  <si>
    <t>CARMEN 20-06</t>
  </si>
  <si>
    <t>Quotation No.20-06-361</t>
  </si>
  <si>
    <t>20-06-0336</t>
  </si>
  <si>
    <t>MGCP-20G-581B</t>
  </si>
  <si>
    <t>P-0641</t>
  </si>
  <si>
    <t>PR# 16</t>
  </si>
  <si>
    <t>ibaan-2020-097</t>
  </si>
  <si>
    <t>QSU-BAC-F-28-2020</t>
  </si>
  <si>
    <t>20-06-164</t>
  </si>
  <si>
    <t>ppn-097-2020</t>
  </si>
  <si>
    <t>ITB-062920-3</t>
  </si>
  <si>
    <t>NCMBCOPP-06-001-20</t>
  </si>
  <si>
    <t>20200629-1</t>
  </si>
  <si>
    <t>RFQ-GOODS-2020-077</t>
  </si>
  <si>
    <t>05-0013-19 Radio Plugging South Cot. &amp; SK</t>
  </si>
  <si>
    <t>20-06-03-20</t>
  </si>
  <si>
    <t>2020-03-03</t>
  </si>
  <si>
    <t>20-46162</t>
  </si>
  <si>
    <t>ibaan-2020-098</t>
  </si>
  <si>
    <t>TDH00100074</t>
  </si>
  <si>
    <t>Jiab-2020-5B</t>
  </si>
  <si>
    <t>2020-06-121</t>
  </si>
  <si>
    <t>2020-06-227</t>
  </si>
  <si>
    <t>2020-0461</t>
  </si>
  <si>
    <t>RFQ NO 20-086</t>
  </si>
  <si>
    <t>2020-06-025NP</t>
  </si>
  <si>
    <t>ITB-062920-2</t>
  </si>
  <si>
    <t>05-0012-19 Radio Plugging Cotabato Province</t>
  </si>
  <si>
    <t>2020-0462</t>
  </si>
  <si>
    <t>20200629-28</t>
  </si>
  <si>
    <t>DJRDH 200-20-05-06027</t>
  </si>
  <si>
    <t>0614-001</t>
  </si>
  <si>
    <t>2020-B-06-026</t>
  </si>
  <si>
    <t>2020-06-340</t>
  </si>
  <si>
    <t>2020-06-028</t>
  </si>
  <si>
    <t>2020-06-0185</t>
  </si>
  <si>
    <t>MCIAA 06-491-20</t>
  </si>
  <si>
    <t>ITB-2020-06-14</t>
  </si>
  <si>
    <t>ppn-098-2020</t>
  </si>
  <si>
    <t>Jiab-2020-6B</t>
  </si>
  <si>
    <t>06043520</t>
  </si>
  <si>
    <t>sfbac2020</t>
  </si>
  <si>
    <t>SHS PR-2020-06-006</t>
  </si>
  <si>
    <t>LGULILA-06-2020</t>
  </si>
  <si>
    <t>PR# 17</t>
  </si>
  <si>
    <t>proc123</t>
  </si>
  <si>
    <t>baa - 20 - 07 - 005</t>
  </si>
  <si>
    <t>2020-G-355</t>
  </si>
  <si>
    <t>2020-06-285</t>
  </si>
  <si>
    <t>100-20-04-0174</t>
  </si>
  <si>
    <t>4411-16</t>
  </si>
  <si>
    <t>20-06-027</t>
  </si>
  <si>
    <t>GOODS-031-2020</t>
  </si>
  <si>
    <t>2020-06-329</t>
  </si>
  <si>
    <t>20-06-165</t>
  </si>
  <si>
    <t>SV-0734-2020</t>
  </si>
  <si>
    <t>2020-0290</t>
  </si>
  <si>
    <t>DPP 200-20-04-03433</t>
  </si>
  <si>
    <t>P-RFQ No. 2020-013</t>
  </si>
  <si>
    <t>BAC-PG-003-20</t>
  </si>
  <si>
    <t>INFRA-Bagumbayan-002-2019</t>
  </si>
  <si>
    <t>2020 - 022</t>
  </si>
  <si>
    <t>QSU-BAC-F-30-2020</t>
  </si>
  <si>
    <t>ADMIN 2020-06-119</t>
  </si>
  <si>
    <t>2020-07-03-140NP</t>
  </si>
  <si>
    <t>MacEs2020-06-0004</t>
  </si>
  <si>
    <t>2020-6-6848</t>
  </si>
  <si>
    <t>2020-06-0157</t>
  </si>
  <si>
    <t>RFQ-2020-28</t>
  </si>
  <si>
    <t>2020-06-32</t>
  </si>
  <si>
    <t>PR 2020-06-403</t>
  </si>
  <si>
    <t>468-06-2020 (SP)</t>
  </si>
  <si>
    <t>pb-infra-2020-039</t>
  </si>
  <si>
    <t>SPO-OTOP-20060080</t>
  </si>
  <si>
    <t>20DN0154</t>
  </si>
  <si>
    <t>BOC-GOODS-RFQ-02-2020</t>
  </si>
  <si>
    <t>2020-06-114</t>
  </si>
  <si>
    <t>2020-06-07</t>
  </si>
  <si>
    <t>CVO-20-028(NP/SV)</t>
  </si>
  <si>
    <t>ppn-099-2020</t>
  </si>
  <si>
    <t>ICWS-20-050(NP/SV)</t>
  </si>
  <si>
    <t>SV-0709-2020</t>
  </si>
  <si>
    <t>06-29-2020-239</t>
  </si>
  <si>
    <t>SOLANO 067-2020</t>
  </si>
  <si>
    <t>2020-0470</t>
  </si>
  <si>
    <t>RFQ No. 20-0600 Shopping B</t>
  </si>
  <si>
    <t>20-06-026</t>
  </si>
  <si>
    <t>PR 2020-06-095</t>
  </si>
  <si>
    <t>PR#20-014</t>
  </si>
  <si>
    <t>pal-20-06-014</t>
  </si>
  <si>
    <t>SP(LEGIS)20-104(SOPPING)</t>
  </si>
  <si>
    <t>2020-0291</t>
  </si>
  <si>
    <t>BAC 2020-G-06-010</t>
  </si>
  <si>
    <t>2020-06-003</t>
  </si>
  <si>
    <t>20-06-260</t>
  </si>
  <si>
    <t>20-06-356</t>
  </si>
  <si>
    <t>06-29-2020-238</t>
  </si>
  <si>
    <t>20DN0153</t>
  </si>
  <si>
    <t>SV-0557-2020</t>
  </si>
  <si>
    <t>ADS-1497-20</t>
  </si>
  <si>
    <t>20DN0155</t>
  </si>
  <si>
    <t>013-06-2020-Rebid</t>
  </si>
  <si>
    <t>6-20-50</t>
  </si>
  <si>
    <t>20DN0152</t>
  </si>
  <si>
    <t>19-056-11 Bravo</t>
  </si>
  <si>
    <t>20-06-358</t>
  </si>
  <si>
    <t>ADS-1501-20</t>
  </si>
  <si>
    <t>20-06-030</t>
  </si>
  <si>
    <t>PR NO. 577</t>
  </si>
  <si>
    <t>2LSSM2020A-242</t>
  </si>
  <si>
    <t>2020-0292</t>
  </si>
  <si>
    <t>GOODS-2020-06-86</t>
  </si>
  <si>
    <t>0726</t>
  </si>
  <si>
    <t>20-06-354</t>
  </si>
  <si>
    <t>20DN0156</t>
  </si>
  <si>
    <t>ADS-1505-20</t>
  </si>
  <si>
    <t>0620-045</t>
  </si>
  <si>
    <t>mos-20-0257</t>
  </si>
  <si>
    <t>236</t>
  </si>
  <si>
    <t>20-06-166</t>
  </si>
  <si>
    <t>BMC-N-20-212</t>
  </si>
  <si>
    <t>BMC-N-20-0213</t>
  </si>
  <si>
    <t>2020-05-002</t>
  </si>
  <si>
    <t>GOODS - 2020-06-051</t>
  </si>
  <si>
    <t>20-06-029</t>
  </si>
  <si>
    <t>2020-011 RFQ</t>
  </si>
  <si>
    <t>039</t>
  </si>
  <si>
    <t>RFQ-2020-185</t>
  </si>
  <si>
    <t>20DN0157</t>
  </si>
  <si>
    <t>C10-20-1402</t>
  </si>
  <si>
    <t>2020-0293</t>
  </si>
  <si>
    <t>2LSSM2020A-243</t>
  </si>
  <si>
    <t>B-2020-018</t>
  </si>
  <si>
    <t>BUK20-06-05</t>
  </si>
  <si>
    <t>SVP 2020-030</t>
  </si>
  <si>
    <t>4411-11</t>
  </si>
  <si>
    <t>20-45377</t>
  </si>
  <si>
    <t>2020-43</t>
  </si>
  <si>
    <t>2020-0421</t>
  </si>
  <si>
    <t>InTB-PGAOPAG2020EDF-GDS1</t>
  </si>
  <si>
    <t>SV-0553-2020</t>
  </si>
  <si>
    <t>B2020-076-A</t>
  </si>
  <si>
    <t>EMBCAR-2020-6-31</t>
  </si>
  <si>
    <t>2LSSM2020A-244</t>
  </si>
  <si>
    <t>OAH 2020-002</t>
  </si>
  <si>
    <t>P-RFQ No. 2020-014</t>
  </si>
  <si>
    <t>ERVHS -2020-06-02</t>
  </si>
  <si>
    <t>237</t>
  </si>
  <si>
    <t>028-06-2020</t>
  </si>
  <si>
    <t>RIO-LMC-07a-2020</t>
  </si>
  <si>
    <t>2020 - 14</t>
  </si>
  <si>
    <t>Job 008-2020</t>
  </si>
  <si>
    <t>100-20-06-0261</t>
  </si>
  <si>
    <t>CGB-2020-06-010</t>
  </si>
  <si>
    <t>20-06-033</t>
  </si>
  <si>
    <t>2020-0294</t>
  </si>
  <si>
    <t>2020-06-0016</t>
  </si>
  <si>
    <t>2020-06-53</t>
  </si>
  <si>
    <t>100-2020-GOODS-364</t>
  </si>
  <si>
    <t>B2020-078-A</t>
  </si>
  <si>
    <t>2020 - 001</t>
  </si>
  <si>
    <t>PIKCOT-SUPP-002020-00141</t>
  </si>
  <si>
    <t>2020-59</t>
  </si>
  <si>
    <t>CMO-CDRRMO(C)20-088(NP/SV)</t>
  </si>
  <si>
    <t>POG/PDMMS/48-2020</t>
  </si>
  <si>
    <t>20BA0065 (Cluster)</t>
  </si>
  <si>
    <t>20DN0158</t>
  </si>
  <si>
    <t>S 112</t>
  </si>
  <si>
    <t>EN 200-20-05-06084</t>
  </si>
  <si>
    <t>RIO-LMC-07b-2020</t>
  </si>
  <si>
    <t>20-06-034</t>
  </si>
  <si>
    <t>100-20-02-0069</t>
  </si>
  <si>
    <t>2020-07-21-404PG</t>
  </si>
  <si>
    <t>RFQ-2020-03-0301R</t>
  </si>
  <si>
    <t>Barangay Concepcion 2020-006-04</t>
  </si>
  <si>
    <t>2020-44</t>
  </si>
  <si>
    <t>20-06-035</t>
  </si>
  <si>
    <t>20-06-036</t>
  </si>
  <si>
    <t>MGB IVA-20-003</t>
  </si>
  <si>
    <t>blgupoblacion-2019</t>
  </si>
  <si>
    <t>3-02-01-30</t>
  </si>
  <si>
    <t>122-1011-017</t>
  </si>
  <si>
    <t>GOODS-003-2020</t>
  </si>
  <si>
    <t>07032020-098</t>
  </si>
  <si>
    <t>2020-03-0982 and 2020-03-0983</t>
  </si>
  <si>
    <t>2006-001A</t>
  </si>
  <si>
    <t>RFQ No.	2020-07-085</t>
  </si>
  <si>
    <t>20DN0159</t>
  </si>
  <si>
    <t>20-03-022;20-03-029</t>
  </si>
  <si>
    <t>lgu-es-20-06-142</t>
  </si>
  <si>
    <t>RFQ NO. 39</t>
  </si>
  <si>
    <t>20-44978 (repost)</t>
  </si>
  <si>
    <t>2020-06-16</t>
  </si>
  <si>
    <t>6911-09-938-20</t>
  </si>
  <si>
    <t>ibaan-2020-099</t>
  </si>
  <si>
    <t>2019-10-001</t>
  </si>
  <si>
    <t>2020-06-0119</t>
  </si>
  <si>
    <t>PR NO. 101-S</t>
  </si>
  <si>
    <t>2LSSM2020A-245</t>
  </si>
  <si>
    <t>2020-07-083</t>
  </si>
  <si>
    <t>RFQ20-6-47</t>
  </si>
  <si>
    <t>20-06-88</t>
  </si>
  <si>
    <t>4918-23-351-20</t>
  </si>
  <si>
    <t>VARIOUS LABORATORY EQUIPMENT'S</t>
  </si>
  <si>
    <t>2020-05-92</t>
  </si>
  <si>
    <t>2020-6-6849</t>
  </si>
  <si>
    <t>2LSSM2020A-246</t>
  </si>
  <si>
    <t>RFQ2020-001</t>
  </si>
  <si>
    <t>100-2020-06-0083</t>
  </si>
  <si>
    <t>Installation of Strrelights in Strategic Area in V</t>
  </si>
  <si>
    <t>ITB202005-1</t>
  </si>
  <si>
    <t>MGCP-20I-585A</t>
  </si>
  <si>
    <t>GS - GARITAN - 2020 -01</t>
  </si>
  <si>
    <t>GAMOT 200-20-06-06109</t>
  </si>
  <si>
    <t>RFQ-2020-0027</t>
  </si>
  <si>
    <t>GA 2020-06-074</t>
  </si>
  <si>
    <t>BAC A1-2020-06-3797</t>
  </si>
  <si>
    <t>SHO-05-06-2020-Goods</t>
  </si>
  <si>
    <t>RFQ-DC-2006-30</t>
  </si>
  <si>
    <t>RFQ No.	2020-07-086</t>
  </si>
  <si>
    <t>0513</t>
  </si>
  <si>
    <t>0750</t>
  </si>
  <si>
    <t>2020-03-0275 RSCC</t>
  </si>
  <si>
    <t>2020-06-0294</t>
  </si>
  <si>
    <t>20DN0160</t>
  </si>
  <si>
    <t>PR 1-20-06-0763 - BAC</t>
  </si>
  <si>
    <t>GOODS2020-49</t>
  </si>
  <si>
    <t>RFQ NO. 42</t>
  </si>
  <si>
    <t>20DN0161</t>
  </si>
  <si>
    <t>8918-02-2773-20</t>
  </si>
  <si>
    <t>GOODS - 2020-06-052</t>
  </si>
  <si>
    <t>INFRA-2020-224</t>
  </si>
  <si>
    <t>2020-03-01</t>
  </si>
  <si>
    <t>ITB-2020-REL-001</t>
  </si>
  <si>
    <t>202004</t>
  </si>
  <si>
    <t>ITB2020-06-15</t>
  </si>
  <si>
    <t>20J00199</t>
  </si>
  <si>
    <t>infra2020011</t>
  </si>
  <si>
    <t>20201266</t>
  </si>
  <si>
    <t>2020-6-6850</t>
  </si>
  <si>
    <t>001-06-2020(BRGY.UNZAD, VILLASIS, PANGASINAN)</t>
  </si>
  <si>
    <t>20-06-359</t>
  </si>
  <si>
    <t>20-06-353</t>
  </si>
  <si>
    <t>20201259</t>
  </si>
  <si>
    <t>RFQ-2020-04-0608R</t>
  </si>
  <si>
    <t>20J00198</t>
  </si>
  <si>
    <t>LunaLU 2020-06-25</t>
  </si>
  <si>
    <t>6911-02-690-19</t>
  </si>
  <si>
    <t>06-129-2020</t>
  </si>
  <si>
    <t>20-SBC-0015</t>
  </si>
  <si>
    <t>S 113</t>
  </si>
  <si>
    <t>062920-1</t>
  </si>
  <si>
    <t>SVP 2020-031</t>
  </si>
  <si>
    <t>2020-06-019</t>
  </si>
  <si>
    <t>100-20-06-0233</t>
  </si>
  <si>
    <t>ibaan-2020-100</t>
  </si>
  <si>
    <t>20J00197</t>
  </si>
  <si>
    <t>RFQ-GOODS-2020-078</t>
  </si>
  <si>
    <t>2020-45</t>
  </si>
  <si>
    <t>7CAV(S)-04-2020-674 RM Buildings &amp; Other Structure</t>
  </si>
  <si>
    <t>20DN0168</t>
  </si>
  <si>
    <t>20-06-362</t>
  </si>
  <si>
    <t>2020-PR-111</t>
  </si>
  <si>
    <t>MBHTE-BARMM-HNU-B025-2020</t>
  </si>
  <si>
    <t>20J00202</t>
  </si>
  <si>
    <t>PB-CW-2020-06-22</t>
  </si>
  <si>
    <t>G-2020-225</t>
  </si>
  <si>
    <t>20-43922 (REPOST)</t>
  </si>
  <si>
    <t>GA 2020-06-075</t>
  </si>
  <si>
    <t>6911-09-880-20</t>
  </si>
  <si>
    <t>A3-20-05</t>
  </si>
  <si>
    <t>20201258</t>
  </si>
  <si>
    <t>20J00201</t>
  </si>
  <si>
    <t>20-SBC-0016</t>
  </si>
  <si>
    <t>SV-54-2020</t>
  </si>
  <si>
    <t>mos-20-0258</t>
  </si>
  <si>
    <t>20-06-150</t>
  </si>
  <si>
    <t>BAC2020-06-36B-24</t>
  </si>
  <si>
    <t>2020-6-6851</t>
  </si>
  <si>
    <t>ITB-2020-REL-002</t>
  </si>
  <si>
    <t>069-2020</t>
  </si>
  <si>
    <t>20J00200</t>
  </si>
  <si>
    <t>INFRA2020-013</t>
  </si>
  <si>
    <t>2020-0298</t>
  </si>
  <si>
    <t>PSA-RSSO6-2020-012</t>
  </si>
  <si>
    <t>06292020-A</t>
  </si>
  <si>
    <t>AMP SVP-S NO: 20-06-0339A</t>
  </si>
  <si>
    <t>SCM 0629-03-2020</t>
  </si>
  <si>
    <t>TESDA PR-0212</t>
  </si>
  <si>
    <t>LunaLU 2020-06-26</t>
  </si>
  <si>
    <t>NCB Publication No. 2020- 19</t>
  </si>
  <si>
    <t>G-115-20</t>
  </si>
  <si>
    <t>100-20-06-0231</t>
  </si>
  <si>
    <t>ITB-2020-REL-003</t>
  </si>
  <si>
    <t>G-2020-226</t>
  </si>
  <si>
    <t>G-2020-227</t>
  </si>
  <si>
    <t>20J00203</t>
  </si>
  <si>
    <t>B10-20-015</t>
  </si>
  <si>
    <t>2020-06-286</t>
  </si>
  <si>
    <t>SV-55-2020</t>
  </si>
  <si>
    <t>NCB Publication No. 2020- 20</t>
  </si>
  <si>
    <t>06292020-B</t>
  </si>
  <si>
    <t>2020-57</t>
  </si>
  <si>
    <t>PR # 20-06-0699</t>
  </si>
  <si>
    <t>2020-G-235 &amp; 236</t>
  </si>
  <si>
    <t>2020-025</t>
  </si>
  <si>
    <t>PR2020-06-028</t>
  </si>
  <si>
    <t>ZBSY1DEO-20-016CW</t>
  </si>
  <si>
    <t>20200629</t>
  </si>
  <si>
    <t>0629-2020</t>
  </si>
  <si>
    <t>PB-CW-2020-06-23</t>
  </si>
  <si>
    <t>20-06-155</t>
  </si>
  <si>
    <t>RFQ-2020-04-0610R</t>
  </si>
  <si>
    <t>RFQ M-12-20A</t>
  </si>
  <si>
    <t>G-2020-228</t>
  </si>
  <si>
    <t>2020-0295</t>
  </si>
  <si>
    <t>INFRA-2020-225</t>
  </si>
  <si>
    <t>ITB-2020-JDL-007</t>
  </si>
  <si>
    <t>0375</t>
  </si>
  <si>
    <t>SV-56-2020</t>
  </si>
  <si>
    <t>20DN0169</t>
  </si>
  <si>
    <t>NCB Publication No. 2020- 21</t>
  </si>
  <si>
    <t>2020-027</t>
  </si>
  <si>
    <t>2020-062</t>
  </si>
  <si>
    <t>ITB-2020-06-004</t>
  </si>
  <si>
    <t>AGRICULTURAL INPUTS</t>
  </si>
  <si>
    <t>INFRA-2020-226</t>
  </si>
  <si>
    <t>RFQ-LC-2006-31</t>
  </si>
  <si>
    <t>100-06-20-01654</t>
  </si>
  <si>
    <t>KAPALONG2020113</t>
  </si>
  <si>
    <t>PSA-RSSO6-2020-014</t>
  </si>
  <si>
    <t>2020-629</t>
  </si>
  <si>
    <t>FARM MACHINERY</t>
  </si>
  <si>
    <t>PR2020-06-029</t>
  </si>
  <si>
    <t>BAC-PG-002-20</t>
  </si>
  <si>
    <t>B2020-080-A</t>
  </si>
  <si>
    <t>medicalsuppliesforofficeuse-catbacitydiv-06/29/20</t>
  </si>
  <si>
    <t>2020-80</t>
  </si>
  <si>
    <t>PSA-RSSO6-2020-015</t>
  </si>
  <si>
    <t>2020-03-02</t>
  </si>
  <si>
    <t>PSA-RSSO6-2020-016</t>
  </si>
  <si>
    <t>B2020-079-A</t>
  </si>
  <si>
    <t>PSA-RSSO6-2020-013</t>
  </si>
  <si>
    <t>BAC-HO GS No. 2020-0341</t>
  </si>
  <si>
    <t>B2020-081-A</t>
  </si>
  <si>
    <t>PSA-RSSO6-2020-019</t>
  </si>
  <si>
    <t>AFP-FASU-2020-05-06</t>
  </si>
  <si>
    <t>2LSSM2020A-250</t>
  </si>
  <si>
    <t>LNO 200-20-03-02450</t>
  </si>
  <si>
    <t>2019-12-1340</t>
  </si>
  <si>
    <t>DOH4A-GS-SH-2019-052</t>
  </si>
  <si>
    <t>B2020-082-A</t>
  </si>
  <si>
    <t>20DN0171</t>
  </si>
  <si>
    <t>2020-03</t>
  </si>
  <si>
    <t>0070-2020</t>
  </si>
  <si>
    <t>2LSSM2020A-249</t>
  </si>
  <si>
    <t>PSA-RSSO6-2020-018</t>
  </si>
  <si>
    <t>2020-81</t>
  </si>
  <si>
    <t>2020-06-020-101</t>
  </si>
  <si>
    <t>BALZN9-2010</t>
  </si>
  <si>
    <t>2LSSM2020A-248</t>
  </si>
  <si>
    <t>2020-164</t>
  </si>
  <si>
    <t>ITB-SSS-GOODS-2020-019</t>
  </si>
  <si>
    <t>ITB INFRA-025-2020</t>
  </si>
  <si>
    <t>2020-0074</t>
  </si>
  <si>
    <t>PSA-RSSO6-2020-021</t>
  </si>
  <si>
    <t>2LSSM2020A-251</t>
  </si>
  <si>
    <t xml:space="preserve">OFFICE SUPPLY INTENSIFIED CAMPAIGN ON ILL EFFECTS </t>
  </si>
  <si>
    <t>RFQ No.	2020-07-087</t>
  </si>
  <si>
    <t>PANG-2020-0794</t>
  </si>
  <si>
    <t>SJ-20-167</t>
  </si>
  <si>
    <t>PG-RFQ-2020-18</t>
  </si>
  <si>
    <t>2020-0443</t>
  </si>
  <si>
    <t>RFQ No.	2020-07-089</t>
  </si>
  <si>
    <t>2020-06-010</t>
  </si>
  <si>
    <t>AGRICULTURAL INPUTS FOR COMMUNITY REINTEGRATION PR</t>
  </si>
  <si>
    <t>2020-82</t>
  </si>
  <si>
    <t>PR NO.2020-06-025</t>
  </si>
  <si>
    <t>2020-60</t>
  </si>
  <si>
    <t>ITB 2020-007</t>
  </si>
  <si>
    <t>PG-RFQ-2020-19</t>
  </si>
  <si>
    <t>PANG-2020-0795</t>
  </si>
  <si>
    <t>SJ-20-168</t>
  </si>
  <si>
    <t>PSA-RSSO6-2020-023</t>
  </si>
  <si>
    <t>2020-PR20-774-197</t>
  </si>
  <si>
    <t>200031</t>
  </si>
  <si>
    <t>SM-20-016</t>
  </si>
  <si>
    <t>062020</t>
  </si>
  <si>
    <t>PB20-002</t>
  </si>
  <si>
    <t>062920</t>
  </si>
  <si>
    <t>PSA-RSSO6-2020-022</t>
  </si>
  <si>
    <t>AME-01-2020</t>
  </si>
  <si>
    <t>2020-160</t>
  </si>
  <si>
    <t>2020-029</t>
  </si>
  <si>
    <t>PSA-RSSO6-2020-017</t>
  </si>
  <si>
    <t>2LSSM2020A-247</t>
  </si>
  <si>
    <t>RFQ No.	2020-07-092</t>
  </si>
  <si>
    <t>PSA-RSSO6-2020-020</t>
  </si>
  <si>
    <t>2020-G-Brgy Bucal</t>
  </si>
  <si>
    <t>20-06-168</t>
  </si>
  <si>
    <t>2LSSM2020A-253</t>
  </si>
  <si>
    <t>2020-0055</t>
  </si>
  <si>
    <t>2020-037</t>
  </si>
  <si>
    <t>2LSSM2020A-254</t>
  </si>
  <si>
    <t>100-20-06-0214</t>
  </si>
  <si>
    <t>2020-217</t>
  </si>
  <si>
    <t>LARISIP-2020-4</t>
  </si>
  <si>
    <t>SCHOOL SUPPLIES</t>
  </si>
  <si>
    <t>ITB INFRA-026-2020</t>
  </si>
  <si>
    <t>2LSSM2020A-252</t>
  </si>
  <si>
    <t>2020-166</t>
  </si>
  <si>
    <t>PR 6.035 ITB No. 2020-031 Tourist PhilCare Kit</t>
  </si>
  <si>
    <t>2020- 09</t>
  </si>
  <si>
    <t>2020-165</t>
  </si>
  <si>
    <t>2020-07-21-405PG</t>
  </si>
  <si>
    <t>062920-61</t>
  </si>
  <si>
    <t>PASSO 200-20-05-05728/05731/05732</t>
  </si>
  <si>
    <t>2020-83</t>
  </si>
  <si>
    <t>2020-6-1</t>
  </si>
  <si>
    <t>200-20-06-0250</t>
  </si>
  <si>
    <t>2020-61</t>
  </si>
  <si>
    <t>S2-BTG20-006</t>
  </si>
  <si>
    <t>4918-23-393-20</t>
  </si>
  <si>
    <t>062920-62</t>
  </si>
  <si>
    <t>rfq#2019-10-3,059-pgo-pdrrmd</t>
  </si>
  <si>
    <t>RFQ No.	2020-07-098</t>
  </si>
  <si>
    <t>20-46314</t>
  </si>
  <si>
    <t>2LSSM2020A-255</t>
  </si>
  <si>
    <t>PSA-RSSO6-2020-025</t>
  </si>
  <si>
    <t>SJ-20-169</t>
  </si>
  <si>
    <t>20CSIB08</t>
  </si>
  <si>
    <t>20-06-122</t>
  </si>
  <si>
    <t>Quotation No. 20-06-0366</t>
  </si>
  <si>
    <t>108.2020</t>
  </si>
  <si>
    <t>PANG-2020-0796</t>
  </si>
  <si>
    <t>ITB INFRA-027-2020</t>
  </si>
  <si>
    <t>20-06-167</t>
  </si>
  <si>
    <t>PR NO. 2020-06-0300</t>
  </si>
  <si>
    <t>2020-169</t>
  </si>
  <si>
    <t>2LSSM2020A-256</t>
  </si>
  <si>
    <t>2020-050</t>
  </si>
  <si>
    <t>2020-PBGOODS-06-008</t>
  </si>
  <si>
    <t>062920-63</t>
  </si>
  <si>
    <t>TESDA PR-0211</t>
  </si>
  <si>
    <t>PANG-2020-0797</t>
  </si>
  <si>
    <t>ITB-002A-2020</t>
  </si>
  <si>
    <t>Quotation No. 20-06-0367</t>
  </si>
  <si>
    <t>2020-42</t>
  </si>
  <si>
    <t>15</t>
  </si>
  <si>
    <t>TESDA PR-0207</t>
  </si>
  <si>
    <t>PSA-RSSO6-2020-0027</t>
  </si>
  <si>
    <t>PANG-2020-0789</t>
  </si>
  <si>
    <t>S2-SND20-020</t>
  </si>
  <si>
    <t>101-8917-2020-06-01</t>
  </si>
  <si>
    <t>BAC A1-2020-06-3801</t>
  </si>
  <si>
    <t>2020-0299</t>
  </si>
  <si>
    <t>2LSSM2020A-257</t>
  </si>
  <si>
    <t>smwd06292020-7074400</t>
  </si>
  <si>
    <t>RFQ No.	2020-07-100</t>
  </si>
  <si>
    <t>PSA-RSSO6-2020-026</t>
  </si>
  <si>
    <t>06-229-2020</t>
  </si>
  <si>
    <t>2020-06-0014</t>
  </si>
  <si>
    <t>cgb2020-231</t>
  </si>
  <si>
    <t>cgb2020-232</t>
  </si>
  <si>
    <t>2020-06-0370</t>
  </si>
  <si>
    <t>062920-64</t>
  </si>
  <si>
    <t>B-2020-019</t>
  </si>
  <si>
    <t>Quotation No. 20-06-0368</t>
  </si>
  <si>
    <t>SVP20-513</t>
  </si>
  <si>
    <t>RFQ No.	2020-07-104</t>
  </si>
  <si>
    <t>2020-035I</t>
  </si>
  <si>
    <t>MCIAA 06-502-20</t>
  </si>
  <si>
    <t>GF-503</t>
  </si>
  <si>
    <t>2LSSM2020A-258</t>
  </si>
  <si>
    <t>2020-0495</t>
  </si>
  <si>
    <t>PB20-003</t>
  </si>
  <si>
    <t>PSA-RSSO6-2020-028</t>
  </si>
  <si>
    <t>2LSSM2020A-259</t>
  </si>
  <si>
    <t>Mkna-GSO-20-290</t>
  </si>
  <si>
    <t>20-06-256GSO</t>
  </si>
  <si>
    <t>2020-06-08</t>
  </si>
  <si>
    <t>2020-06-0160</t>
  </si>
  <si>
    <t>RFQ No.	2020-07-105</t>
  </si>
  <si>
    <t>ZBSY1DEO-20-017CW</t>
  </si>
  <si>
    <t>2020-84</t>
  </si>
  <si>
    <t>BAC A1-2020-06-3871</t>
  </si>
  <si>
    <t>Quotation No. 20-06-0369</t>
  </si>
  <si>
    <t>MCIAA 06-490-20</t>
  </si>
  <si>
    <t>100(01)20-06-368(A)</t>
  </si>
  <si>
    <t>TESDA PR-0208</t>
  </si>
  <si>
    <t>SRWD-GOODS-SVP-11-2020</t>
  </si>
  <si>
    <t>PSA-RSSO6-2020-029</t>
  </si>
  <si>
    <t>200-20-06-0258</t>
  </si>
  <si>
    <t>Mkna-GSO-20-291</t>
  </si>
  <si>
    <t>2020-06-277</t>
  </si>
  <si>
    <t>2020-468</t>
  </si>
  <si>
    <t>Mkna-GSO-20-292</t>
  </si>
  <si>
    <t>Infra 2020-011</t>
  </si>
  <si>
    <t>395949</t>
  </si>
  <si>
    <t>20-22</t>
  </si>
  <si>
    <t>GOODS - 2020-06-053</t>
  </si>
  <si>
    <t>RFQ-008</t>
  </si>
  <si>
    <t>SHS2020_01</t>
  </si>
  <si>
    <t>GF-504</t>
  </si>
  <si>
    <t>DOH-MMCHD-2020-06-186-G</t>
  </si>
  <si>
    <t>SHS2020_02</t>
  </si>
  <si>
    <t>smwd06292020-7074470</t>
  </si>
  <si>
    <t>S2-LIM20-014</t>
  </si>
  <si>
    <t>GA 2020-06-076</t>
  </si>
  <si>
    <t>2020-0300</t>
  </si>
  <si>
    <t>PMC-020-186</t>
  </si>
  <si>
    <t>2020-467</t>
  </si>
  <si>
    <t>ITB 20-075</t>
  </si>
  <si>
    <t>2020-051</t>
  </si>
  <si>
    <t>WOR 20-003</t>
  </si>
  <si>
    <t>PR#20-06-791</t>
  </si>
  <si>
    <t>RFQ No.	2020-07-099</t>
  </si>
  <si>
    <t>2020-49</t>
  </si>
  <si>
    <t>2020-167</t>
  </si>
  <si>
    <t>TCMO 20-091</t>
  </si>
  <si>
    <t>SEF-G-028-2020</t>
  </si>
  <si>
    <t>rfq#2020-05-2,333-pgo-benro</t>
  </si>
  <si>
    <t>MCIAA 06-499-20</t>
  </si>
  <si>
    <t>100-06-20-478</t>
  </si>
  <si>
    <t>Mkna-GSO-20-293</t>
  </si>
  <si>
    <t>PSA-RSSO6-2020-024</t>
  </si>
  <si>
    <t>2020-PR20-773-198</t>
  </si>
  <si>
    <t>Infra 2020-012</t>
  </si>
  <si>
    <t>S2-MGA20-009</t>
  </si>
  <si>
    <t>2020-453</t>
  </si>
  <si>
    <t>2LSSM2020A-261</t>
  </si>
  <si>
    <t>2020--06---002BDRRMF</t>
  </si>
  <si>
    <t>2LSSM2020A-260</t>
  </si>
  <si>
    <t>cgb2020-234</t>
  </si>
  <si>
    <t>2006-0540-AVRC</t>
  </si>
  <si>
    <t>NCEBDE-062-20</t>
  </si>
  <si>
    <t>RFQ2020-002</t>
  </si>
  <si>
    <t>SHS2020_03</t>
  </si>
  <si>
    <t>2020-G-017 Lot 1</t>
  </si>
  <si>
    <t>cgb2020-233</t>
  </si>
  <si>
    <t>MCIAA 06-481-20</t>
  </si>
  <si>
    <t>SHS2020_04</t>
  </si>
  <si>
    <t>300-20-06-008</t>
  </si>
  <si>
    <t>S2-SND20-011</t>
  </si>
  <si>
    <t>2020-06-097</t>
  </si>
  <si>
    <t>2020-469</t>
  </si>
  <si>
    <t>GF-505</t>
  </si>
  <si>
    <t>2020-06-0037</t>
  </si>
  <si>
    <t>2020-INFRA-05</t>
  </si>
  <si>
    <t>NCEBDE-050-20</t>
  </si>
  <si>
    <t>20-07-001</t>
  </si>
  <si>
    <t>Infra 2020-013</t>
  </si>
  <si>
    <t>2020-152A</t>
  </si>
  <si>
    <t>INFRA -01- 2020</t>
  </si>
  <si>
    <t>2LSSM2020A-262</t>
  </si>
  <si>
    <t>PSA-RSSO6-2020-030</t>
  </si>
  <si>
    <t>cgb2020-235</t>
  </si>
  <si>
    <t>2020-06-0363</t>
  </si>
  <si>
    <t>RFQ 2020 - 06 - 30 Equipment for Solar Powered Irr</t>
  </si>
  <si>
    <t>Infra 2020-015</t>
  </si>
  <si>
    <t>0566</t>
  </si>
  <si>
    <t>100-06-20-479</t>
  </si>
  <si>
    <t>B-2020-020</t>
  </si>
  <si>
    <t>NCEBDE-059-20</t>
  </si>
  <si>
    <t>2020-PR20-770-199</t>
  </si>
  <si>
    <t>20JA0085</t>
  </si>
  <si>
    <t>2LSSM2020A-263</t>
  </si>
  <si>
    <t>Infra 2020-014</t>
  </si>
  <si>
    <t>DapDap202002</t>
  </si>
  <si>
    <t>SVP20-515</t>
  </si>
  <si>
    <t>Quotation No. 20-06-0370</t>
  </si>
  <si>
    <t>20-46241</t>
  </si>
  <si>
    <t>AMP SVP-D NO: 20-06-0287B</t>
  </si>
  <si>
    <t>Infra 2020-016</t>
  </si>
  <si>
    <t>2020-471</t>
  </si>
  <si>
    <t>2020-038</t>
  </si>
  <si>
    <t>MALIM2020-06-002</t>
  </si>
  <si>
    <t>2020-06-0039</t>
  </si>
  <si>
    <t>RFQ No.	2020-07-106</t>
  </si>
  <si>
    <t>06-329-2020</t>
  </si>
  <si>
    <t>L-14-2020</t>
  </si>
  <si>
    <t>SHS2020_05</t>
  </si>
  <si>
    <t>Quotation No. 20-06-0371</t>
  </si>
  <si>
    <t>S2-MGS20-005</t>
  </si>
  <si>
    <t>PSA-RSSO6-2020-032</t>
  </si>
  <si>
    <t>Quotation No.20-06-362</t>
  </si>
  <si>
    <t>EARIST-PQ-2020-013</t>
  </si>
  <si>
    <t>brtth n-20-06-110</t>
  </si>
  <si>
    <t>Jiab-2020-47A</t>
  </si>
  <si>
    <t>PRDP-RPCO3-06-29-2020-41</t>
  </si>
  <si>
    <t>GOODS 2020-22</t>
  </si>
  <si>
    <t>2020-039</t>
  </si>
  <si>
    <t>PANG-2020-0799</t>
  </si>
  <si>
    <t>2020-06-0466 HFG</t>
  </si>
  <si>
    <t>PSA-RSSO6-2020-031</t>
  </si>
  <si>
    <t>20-06-129</t>
  </si>
  <si>
    <t>PB2020-07-073G</t>
  </si>
  <si>
    <t>Quotation No. 20-06-0373</t>
  </si>
  <si>
    <t>L-15-2020</t>
  </si>
  <si>
    <t>SHS2020_07</t>
  </si>
  <si>
    <t>062920-2</t>
  </si>
  <si>
    <t>100-06-20-01481</t>
  </si>
  <si>
    <t>300-AGRICULTURAL DEV'T-20-013</t>
  </si>
  <si>
    <t>RFQ No.	2020-07-108</t>
  </si>
  <si>
    <t>20CB-GSC-370 PURCHASE OF GRASS CUTTER AND MOWER (R</t>
  </si>
  <si>
    <t>GOODS 2020-23</t>
  </si>
  <si>
    <t>20GIL0043</t>
  </si>
  <si>
    <t>2020-02-23</t>
  </si>
  <si>
    <t>041-2020-AMP</t>
  </si>
  <si>
    <t>107</t>
  </si>
  <si>
    <t>goods2020045</t>
  </si>
  <si>
    <t>GOODS 2020-24</t>
  </si>
  <si>
    <t>2020-040</t>
  </si>
  <si>
    <t>MCIAA 06-508-20</t>
  </si>
  <si>
    <t>2020-G-017 Lot 2</t>
  </si>
  <si>
    <t>396336</t>
  </si>
  <si>
    <t>011</t>
  </si>
  <si>
    <t>20-6-131</t>
  </si>
  <si>
    <t>2LSSM2020A-264</t>
  </si>
  <si>
    <t>Quotation No. 20-06-0375</t>
  </si>
  <si>
    <t>2LSSM2020A-265</t>
  </si>
  <si>
    <t>mda127</t>
  </si>
  <si>
    <t>20-077-A</t>
  </si>
  <si>
    <t>RFQ 2020-76</t>
  </si>
  <si>
    <t>2020-06-0463 HFG</t>
  </si>
  <si>
    <t>Sagrada202003</t>
  </si>
  <si>
    <t>mos-20-0260</t>
  </si>
  <si>
    <t>2020-06-0017</t>
  </si>
  <si>
    <t>POG DDO 2020-IT-002</t>
  </si>
  <si>
    <t>20-45175</t>
  </si>
  <si>
    <t>NCEBDE-091-20</t>
  </si>
  <si>
    <t>PR-ITDS02-20-06-00013</t>
  </si>
  <si>
    <t>goods2020046</t>
  </si>
  <si>
    <t>2LSSM2020A-266</t>
  </si>
  <si>
    <t>SHS2020_06</t>
  </si>
  <si>
    <t>Sagrada202004</t>
  </si>
  <si>
    <t>PHS-1169-20</t>
  </si>
  <si>
    <t>WOR 20-004</t>
  </si>
  <si>
    <t>20-0-132</t>
  </si>
  <si>
    <t>02</t>
  </si>
  <si>
    <t>PASSO2 200-20-05-05390</t>
  </si>
  <si>
    <t>092-Civil2020-001</t>
  </si>
  <si>
    <t>2020-06-0367</t>
  </si>
  <si>
    <t>2020-06-044E</t>
  </si>
  <si>
    <t>PSA-RSSO6-2020-033</t>
  </si>
  <si>
    <t>2020 - STA - 0010</t>
  </si>
  <si>
    <t>PR-ITDS05-20-06-00010</t>
  </si>
  <si>
    <t>GOODS-2020-06-87</t>
  </si>
  <si>
    <t>RFQ No.	2020-07-112</t>
  </si>
  <si>
    <t>NCEBDE-106-20</t>
  </si>
  <si>
    <t>goods2020047</t>
  </si>
  <si>
    <t>20-06-0291</t>
  </si>
  <si>
    <t>RFQ 2020-06-026 - PR 2020-06-035</t>
  </si>
  <si>
    <t>20-078-A</t>
  </si>
  <si>
    <t>2020 20</t>
  </si>
  <si>
    <t>2LSSM2020A-267</t>
  </si>
  <si>
    <t>2020-06-0475 SFP</t>
  </si>
  <si>
    <t>PR-ITDS05-20-06-00009</t>
  </si>
  <si>
    <t>20PJ0034</t>
  </si>
  <si>
    <t>SPC PR No. 202004-026</t>
  </si>
  <si>
    <t>PR 2020-06-1905</t>
  </si>
  <si>
    <t>RFQ No.	2020-07-114</t>
  </si>
  <si>
    <t>MCIAA 06-512-20</t>
  </si>
  <si>
    <t>PAL 20-1007-2</t>
  </si>
  <si>
    <t>2020-0800-RFQ-66</t>
  </si>
  <si>
    <t>100-2020-06-008B</t>
  </si>
  <si>
    <t>QSU-BAC-F-13-2020</t>
  </si>
  <si>
    <t>2020 21</t>
  </si>
  <si>
    <t>SHS2020_08</t>
  </si>
  <si>
    <t>PSA-RSSO6-2020-034</t>
  </si>
  <si>
    <t>TCMO 20-147</t>
  </si>
  <si>
    <t>2020-060</t>
  </si>
  <si>
    <t>100-2020-06-008A</t>
  </si>
  <si>
    <t>2020-02-24</t>
  </si>
  <si>
    <t>20AC0101</t>
  </si>
  <si>
    <t>2020-473</t>
  </si>
  <si>
    <t>2020 09</t>
  </si>
  <si>
    <t>2020-21 LOT 1</t>
  </si>
  <si>
    <t>RFQ No.	2020-07-115</t>
  </si>
  <si>
    <t>GOODS 2020-26</t>
  </si>
  <si>
    <t>20-079-A</t>
  </si>
  <si>
    <t>PHO 200-20-05-05529</t>
  </si>
  <si>
    <t>CS-2020-042</t>
  </si>
  <si>
    <t>2020-061</t>
  </si>
  <si>
    <t>20-07-002</t>
  </si>
  <si>
    <t>LAYON 2020-001</t>
  </si>
  <si>
    <t>Poblacion202004</t>
  </si>
  <si>
    <t>PR-ESSS02-20-02-00006</t>
  </si>
  <si>
    <t>109CO - 06 - 2020 - 102</t>
  </si>
  <si>
    <t>PHS-1168-20</t>
  </si>
  <si>
    <t>wawa 1-2020-001</t>
  </si>
  <si>
    <t>2020-07-21-406PG</t>
  </si>
  <si>
    <t>2LSSM2020A-268</t>
  </si>
  <si>
    <t>mos-20-0262</t>
  </si>
  <si>
    <t>2020-07-005</t>
  </si>
  <si>
    <t>Poblacion202003</t>
  </si>
  <si>
    <t>LGU-121-2020</t>
  </si>
  <si>
    <t>06-29-2020</t>
  </si>
  <si>
    <t>100-2020-06-022B</t>
  </si>
  <si>
    <t>20-0697</t>
  </si>
  <si>
    <t>100-20-06-0632</t>
  </si>
  <si>
    <t>2006-01</t>
  </si>
  <si>
    <t>mos-20-0261</t>
  </si>
  <si>
    <t>PR-2020-06-020</t>
  </si>
  <si>
    <t>2020-6-29-1</t>
  </si>
  <si>
    <t>196-2020</t>
  </si>
  <si>
    <t>AMP SVP-D NO: 20-06-0308B</t>
  </si>
  <si>
    <t>ITB No. 013-2020</t>
  </si>
  <si>
    <t>20CB-GSC-371 LANDLINE SUBSCRIPTION W/ INTERNET (RE</t>
  </si>
  <si>
    <t>2020-06-350</t>
  </si>
  <si>
    <t>GEPS-2020-005</t>
  </si>
  <si>
    <t>RFQ No.	2020-07-117</t>
  </si>
  <si>
    <t>20GJG0024 (SVP)</t>
  </si>
  <si>
    <t>20200629-29</t>
  </si>
  <si>
    <t>Pul 002 2020</t>
  </si>
  <si>
    <t>2020-06-72</t>
  </si>
  <si>
    <t>BAC2020-06-36B25</t>
  </si>
  <si>
    <t>2020-06-0643 TDG</t>
  </si>
  <si>
    <t>20-080-A</t>
  </si>
  <si>
    <t>RFQ No.	2020-07-118</t>
  </si>
  <si>
    <t>200-20</t>
  </si>
  <si>
    <t>2020 15</t>
  </si>
  <si>
    <t>20CB-GSC-373 PURCHASE OF SPARE PARTS FOR MOTOR VEH</t>
  </si>
  <si>
    <t>007-05-2020</t>
  </si>
  <si>
    <t>PHS-1167-20</t>
  </si>
  <si>
    <t>PB2020-049</t>
  </si>
  <si>
    <t>Tinocawan202004</t>
  </si>
  <si>
    <t>ibaan-2020-101</t>
  </si>
  <si>
    <t>2006-02</t>
  </si>
  <si>
    <t>BPB 2020-018</t>
  </si>
  <si>
    <t>100-20-06-0622</t>
  </si>
  <si>
    <t>300-2020-03-025</t>
  </si>
  <si>
    <t>06292001</t>
  </si>
  <si>
    <t>BUE-06292020-01</t>
  </si>
  <si>
    <t>BOC-LMY-RFQ-01-2020</t>
  </si>
  <si>
    <t>rfq#2020-06-2,570-pgo-livelihood</t>
  </si>
  <si>
    <t>GOODS-2020-06-88</t>
  </si>
  <si>
    <t>2020-06-0646 TDG</t>
  </si>
  <si>
    <t>PR 200-20-03-02545</t>
  </si>
  <si>
    <t>20-081-A</t>
  </si>
  <si>
    <t>PB2020-050</t>
  </si>
  <si>
    <t>20PJ0057</t>
  </si>
  <si>
    <t>BUE-06292020-02</t>
  </si>
  <si>
    <t>20-06-003-RFQ</t>
  </si>
  <si>
    <t>2020-06-0647 TDG</t>
  </si>
  <si>
    <t>Jiab-2020-1C</t>
  </si>
  <si>
    <t>BVANHS-SHS-2020-00010</t>
  </si>
  <si>
    <t>PHS-1166-20</t>
  </si>
  <si>
    <t>20-082-A</t>
  </si>
  <si>
    <t>Nasugbu 0803</t>
  </si>
  <si>
    <t>2LSSM2020A-269</t>
  </si>
  <si>
    <t>27634-001</t>
  </si>
  <si>
    <t>batan202005</t>
  </si>
  <si>
    <t>C4ISR-PNBAC1-2020-26</t>
  </si>
  <si>
    <t>rfq#2020-06-2,626-pgo-bac secretariat</t>
  </si>
  <si>
    <t>07032020-095</t>
  </si>
  <si>
    <t>2020 07</t>
  </si>
  <si>
    <t>2020-07-037</t>
  </si>
  <si>
    <t>RFQ-2020-0026</t>
  </si>
  <si>
    <t>batan202006</t>
  </si>
  <si>
    <t>2020 08</t>
  </si>
  <si>
    <t>20PJ0058</t>
  </si>
  <si>
    <t>2020-01-0060</t>
  </si>
  <si>
    <t>2020/06/062</t>
  </si>
  <si>
    <t>GS-2020-08</t>
  </si>
  <si>
    <t>ATI2020-06-164</t>
  </si>
  <si>
    <t>PR-2020-06-812</t>
  </si>
  <si>
    <t>2020-6-29-2</t>
  </si>
  <si>
    <t>2006-04</t>
  </si>
  <si>
    <t>2020-06-2568</t>
  </si>
  <si>
    <t>BUE-06292020-03</t>
  </si>
  <si>
    <t>396</t>
  </si>
  <si>
    <t>RFQ-2020-05_uPVC</t>
  </si>
  <si>
    <t>bcwd-2020-060</t>
  </si>
  <si>
    <t>2020-06-Malolos-001</t>
  </si>
  <si>
    <t>0620-044</t>
  </si>
  <si>
    <t>mos-20-0263</t>
  </si>
  <si>
    <t>2020-336</t>
  </si>
  <si>
    <t>2020-21 LOT 2</t>
  </si>
  <si>
    <t>100-20-05-268</t>
  </si>
  <si>
    <t>BM-20-01</t>
  </si>
  <si>
    <t>RFQ - 2020-06 - 043</t>
  </si>
  <si>
    <t>Nasugbu 0823</t>
  </si>
  <si>
    <t>2006-05</t>
  </si>
  <si>
    <t>PGLDN INFRA MALABANG FLOOD CONTROL- 2020-01</t>
  </si>
  <si>
    <t>20CB-GSC-381 PURCHASE OF HOUSE NUMBER PLATES (RE-B</t>
  </si>
  <si>
    <t>R3-2020-06-005-A</t>
  </si>
  <si>
    <t>Quotation No.20-06-363</t>
  </si>
  <si>
    <t>PR 2020-06-033</t>
  </si>
  <si>
    <t>SJ-20-170</t>
  </si>
  <si>
    <t>Quotation No. 20-06-0376</t>
  </si>
  <si>
    <t>Quotation No.20-06-364</t>
  </si>
  <si>
    <t>Mkna-GSO-20-294</t>
  </si>
  <si>
    <t>2006-03</t>
  </si>
  <si>
    <t>2020-01-0061</t>
  </si>
  <si>
    <t>0620-043</t>
  </si>
  <si>
    <t>Quotation No. 20-06-0377</t>
  </si>
  <si>
    <t>2020-472</t>
  </si>
  <si>
    <t>PMRB 200-20-05-04883</t>
  </si>
  <si>
    <t>TWD-2020-003</t>
  </si>
  <si>
    <t>20-06-001</t>
  </si>
  <si>
    <t>Tinocawan202003</t>
  </si>
  <si>
    <t>RFQ No.	2020-07-116</t>
  </si>
  <si>
    <t>100-2020-Goods-395</t>
  </si>
  <si>
    <t>rfq#2020-05-2,446-pgo-pnp</t>
  </si>
  <si>
    <t>MCIAA 06-511-20</t>
  </si>
  <si>
    <t>VLD ADDRL 2020-06-079</t>
  </si>
  <si>
    <t>31-2020</t>
  </si>
  <si>
    <t>PHS-1260-20</t>
  </si>
  <si>
    <t>C4ISR-PNBAC1-2020-27</t>
  </si>
  <si>
    <t>GOODS 2020-27</t>
  </si>
  <si>
    <t>7073557</t>
  </si>
  <si>
    <t>2020-01-008(06207512)</t>
  </si>
  <si>
    <t>2020-06-30-01</t>
  </si>
  <si>
    <t>MCIAA 06-506-20</t>
  </si>
  <si>
    <t>SN-20-06-006</t>
  </si>
  <si>
    <t>CGB-2020-06-011</t>
  </si>
  <si>
    <t>RFQ-2020-0028</t>
  </si>
  <si>
    <t>SB1 NPPH 200-20-05-05922</t>
  </si>
  <si>
    <t>2020-01-0062</t>
  </si>
  <si>
    <t>GF-20-145</t>
  </si>
  <si>
    <t>20GKG0033</t>
  </si>
  <si>
    <t>20-06-SO110</t>
  </si>
  <si>
    <t>06292002</t>
  </si>
  <si>
    <t>2020 INFRA 001</t>
  </si>
  <si>
    <t>2020-21 LOT 3</t>
  </si>
  <si>
    <t>200032</t>
  </si>
  <si>
    <t>RFQ - 2020-06 - 044</t>
  </si>
  <si>
    <t>PR#20-02-017</t>
  </si>
  <si>
    <t>BACPOGOODS202006008</t>
  </si>
  <si>
    <t>1176-20-06-83</t>
  </si>
  <si>
    <t>RFQ-2020-08_inline pump</t>
  </si>
  <si>
    <t>maasin2020-MPBrehab</t>
  </si>
  <si>
    <t>S2-B1320-007</t>
  </si>
  <si>
    <t>07032020-096</t>
  </si>
  <si>
    <t>EARIST-PQ-2020-014</t>
  </si>
  <si>
    <t>2LSSM2020A-270</t>
  </si>
  <si>
    <t>2020-0265</t>
  </si>
  <si>
    <t>2006-06</t>
  </si>
  <si>
    <t>NCEBDE-060-20 &amp; 061-20</t>
  </si>
  <si>
    <t>TCMO 20-142</t>
  </si>
  <si>
    <t>PC 20-001</t>
  </si>
  <si>
    <t>2020 INFRA 002</t>
  </si>
  <si>
    <t>AMP SVP-D NO: 20-06-0300B</t>
  </si>
  <si>
    <t>Masaga202002</t>
  </si>
  <si>
    <t>015-06-2020 Re-bid</t>
  </si>
  <si>
    <t>2006-07</t>
  </si>
  <si>
    <t>PHS-1227-20</t>
  </si>
  <si>
    <t>RFQ-2020-0029</t>
  </si>
  <si>
    <t>Nasugbu 0799</t>
  </si>
  <si>
    <t>INIMO-2020-06-003</t>
  </si>
  <si>
    <t>ITB No. 2020-17</t>
  </si>
  <si>
    <t>S2-B1320-011</t>
  </si>
  <si>
    <t>2020 11</t>
  </si>
  <si>
    <t>2020-06-30-02</t>
  </si>
  <si>
    <t>2020-GEN. FUND-ITB-009</t>
  </si>
  <si>
    <t>2020-0199</t>
  </si>
  <si>
    <t>Jiab-2020-2C</t>
  </si>
  <si>
    <t>RFQ - 2020-06 - 045</t>
  </si>
  <si>
    <t>ATI2020-06-163</t>
  </si>
  <si>
    <t>SJ-20-171</t>
  </si>
  <si>
    <t>GEPS-2020-004-02</t>
  </si>
  <si>
    <t>DRO12-061-2020</t>
  </si>
  <si>
    <t>SN-20-06-008</t>
  </si>
  <si>
    <t>LGU-122-2020</t>
  </si>
  <si>
    <t>RFQ No.	2020-07-110</t>
  </si>
  <si>
    <t>20-06-169</t>
  </si>
  <si>
    <t>GEPS-2020-004</t>
  </si>
  <si>
    <t>Quotation No. 20-06-0374</t>
  </si>
  <si>
    <t>INFRA-2020-008</t>
  </si>
  <si>
    <t>2020-03-2047</t>
  </si>
  <si>
    <t>GOODS - 2020-06-054</t>
  </si>
  <si>
    <t>20JI0097</t>
  </si>
  <si>
    <t>RFQ-2020-0030</t>
  </si>
  <si>
    <t>REQ06497</t>
  </si>
  <si>
    <t>2LSSM2020A-272</t>
  </si>
  <si>
    <t>2020-06-30-03</t>
  </si>
  <si>
    <t>PB20200628-042</t>
  </si>
  <si>
    <t>2020-022</t>
  </si>
  <si>
    <t>RFQ NO. 20-06-408</t>
  </si>
  <si>
    <t>MGCP-20G-587A</t>
  </si>
  <si>
    <t>305THCO-11091-220AW-97-2020</t>
  </si>
  <si>
    <t>396268</t>
  </si>
  <si>
    <t>GOODS 2020-25</t>
  </si>
  <si>
    <t>2020/06/063</t>
  </si>
  <si>
    <t>2020 24</t>
  </si>
  <si>
    <t>GPG-B1-2020-427-SOLID WASTE MGT EQPT.</t>
  </si>
  <si>
    <t>PR #00702</t>
  </si>
  <si>
    <t>SIDP 200-20-05-05864</t>
  </si>
  <si>
    <t>NCEBDE-065-20</t>
  </si>
  <si>
    <t>2LSSM2020A-271</t>
  </si>
  <si>
    <t>SANTIAGO-2020-003</t>
  </si>
  <si>
    <t>RFQ - 2020-06 - 046</t>
  </si>
  <si>
    <t>itb-2020-001</t>
  </si>
  <si>
    <t>20LC0130</t>
  </si>
  <si>
    <t>CSC 2020-06-013</t>
  </si>
  <si>
    <t>SV 200-20-04-04637</t>
  </si>
  <si>
    <t>SEF-I-53-2020</t>
  </si>
  <si>
    <t>NPSV40-2020</t>
  </si>
  <si>
    <t>ITB # 2020-05-025</t>
  </si>
  <si>
    <t>2020-21 LOT 4</t>
  </si>
  <si>
    <t>ITB-20-06120</t>
  </si>
  <si>
    <t>100-20-04-219</t>
  </si>
  <si>
    <t>02A-2020</t>
  </si>
  <si>
    <t>RFQ NO. 20-06-409</t>
  </si>
  <si>
    <t>2020-06-232</t>
  </si>
  <si>
    <t>RFQ - 2020-06 - 047</t>
  </si>
  <si>
    <t>MBAA-04-02-33</t>
  </si>
  <si>
    <t>MALIM2020-06-003</t>
  </si>
  <si>
    <t>2020-474</t>
  </si>
  <si>
    <t>GF-507</t>
  </si>
  <si>
    <t>PR 20-06-034</t>
  </si>
  <si>
    <t>Quotation No. 20-06-0372</t>
  </si>
  <si>
    <t>PHS-1211-20</t>
  </si>
  <si>
    <t>S2-MPP20-015</t>
  </si>
  <si>
    <t>20CG0179</t>
  </si>
  <si>
    <t>2020-21 LOT 5</t>
  </si>
  <si>
    <t>20-504</t>
  </si>
  <si>
    <t>2020-04-363</t>
  </si>
  <si>
    <t>20CG0178</t>
  </si>
  <si>
    <t>PAL 20-1007-1</t>
  </si>
  <si>
    <t>Quotation No. 20-06-0379</t>
  </si>
  <si>
    <t>PR-2020-06-787</t>
  </si>
  <si>
    <t>2020 18</t>
  </si>
  <si>
    <t>MH-GOODS-TLDC-PWD-PRINTING-SERVICES-688</t>
  </si>
  <si>
    <t>NP-TP-2020-02</t>
  </si>
  <si>
    <t>MBAA-05-20-06</t>
  </si>
  <si>
    <t>2020-06-30-04</t>
  </si>
  <si>
    <t>S2-B1320-021</t>
  </si>
  <si>
    <t>mos-20-0264</t>
  </si>
  <si>
    <t>2004-068</t>
  </si>
  <si>
    <t>PR-2020-02-013</t>
  </si>
  <si>
    <t>VW1-20-06-024</t>
  </si>
  <si>
    <t>109CO - 06 - 2020 - 103</t>
  </si>
  <si>
    <t>20FE0129</t>
  </si>
  <si>
    <t>60029012020</t>
  </si>
  <si>
    <t>AMP-RFQ 2020-047</t>
  </si>
  <si>
    <t>mos-20-0259</t>
  </si>
  <si>
    <t>Infra 2020-017</t>
  </si>
  <si>
    <t>2020-03-2042</t>
  </si>
  <si>
    <t>00747</t>
  </si>
  <si>
    <t>NISF-050-20</t>
  </si>
  <si>
    <t>NCEBDE-056-20</t>
  </si>
  <si>
    <t>NPSV41-2020</t>
  </si>
  <si>
    <t>20201276</t>
  </si>
  <si>
    <t>0539</t>
  </si>
  <si>
    <t>0-06-128</t>
  </si>
  <si>
    <t>2020-06-30-05</t>
  </si>
  <si>
    <t>5789-clsu-2020</t>
  </si>
  <si>
    <t>2020-06-0379</t>
  </si>
  <si>
    <t>074</t>
  </si>
  <si>
    <t>lgu-es-20-06-143</t>
  </si>
  <si>
    <t>2020-03-1989</t>
  </si>
  <si>
    <t>2020-6-29-3</t>
  </si>
  <si>
    <t>339</t>
  </si>
  <si>
    <t>363</t>
  </si>
  <si>
    <t>BUENAVISTA1-2020-001</t>
  </si>
  <si>
    <t>100-20-06-0275</t>
  </si>
  <si>
    <t>MBAA-04-20-25</t>
  </si>
  <si>
    <t>Villahermosa202005</t>
  </si>
  <si>
    <t>NISF-053-20</t>
  </si>
  <si>
    <t>2020/06/064</t>
  </si>
  <si>
    <t>MIL-GOODS-2020-06-09</t>
  </si>
  <si>
    <t>Request for Quotation RIS# 20-83-122</t>
  </si>
  <si>
    <t>06-05 (DGT-2020-06-17)</t>
  </si>
  <si>
    <t>BUHIGOODS202006-004</t>
  </si>
  <si>
    <t>2020-6-4c</t>
  </si>
  <si>
    <t>S2-BH120-016</t>
  </si>
  <si>
    <t>PR-2020-06-022</t>
  </si>
  <si>
    <t>C4ISR-PNBAC1-2020-28</t>
  </si>
  <si>
    <t>S2-DOO20-015</t>
  </si>
  <si>
    <t>2020 16</t>
  </si>
  <si>
    <t>RFQ - 2020-06 - 048</t>
  </si>
  <si>
    <t>20NMSC22-G</t>
  </si>
  <si>
    <t>PHS-1195-20</t>
  </si>
  <si>
    <t>PIA 2020-16</t>
  </si>
  <si>
    <t>20CG0180</t>
  </si>
  <si>
    <t>BUHIGOODS202006-005</t>
  </si>
  <si>
    <t>2LSSM2020B-275</t>
  </si>
  <si>
    <t>RFQ - 2020-06 - 049</t>
  </si>
  <si>
    <t>2020-03-086</t>
  </si>
  <si>
    <t>2020-06-30-06</t>
  </si>
  <si>
    <t>itb-2020-002</t>
  </si>
  <si>
    <t>01500</t>
  </si>
  <si>
    <t>5790-clsu-2020</t>
  </si>
  <si>
    <t>2LSSM2020B-274</t>
  </si>
  <si>
    <t>Villahermosa202006</t>
  </si>
  <si>
    <t>NCB Publication No. 2020- 22</t>
  </si>
  <si>
    <t>2020-GEN. FUND-010</t>
  </si>
  <si>
    <t>2020-016</t>
  </si>
  <si>
    <t>158-2020</t>
  </si>
  <si>
    <t>300-AGRICULTURAL DEV'T-20-014</t>
  </si>
  <si>
    <t>05-G-2020 (TWNG)</t>
  </si>
  <si>
    <t>0538</t>
  </si>
  <si>
    <t>029-06-2020</t>
  </si>
  <si>
    <t>305THCO-11224-220AW-98-2020</t>
  </si>
  <si>
    <t>(ITB) No     2020- 07 -008</t>
  </si>
  <si>
    <t>C4ISR-PNBAC1-2020-29</t>
  </si>
  <si>
    <t>2020-0200</t>
  </si>
  <si>
    <t>philgeps06292020</t>
  </si>
  <si>
    <t>2020-21 LOT 6</t>
  </si>
  <si>
    <t>6292020-029</t>
  </si>
  <si>
    <t>RFQ 2020-58</t>
  </si>
  <si>
    <t>MBAA-04-20-24</t>
  </si>
  <si>
    <t>2020-03-1611</t>
  </si>
  <si>
    <t>BLGU-PBD-Magsaysay-2020-30</t>
  </si>
  <si>
    <t>20CG0181</t>
  </si>
  <si>
    <t>20C00048</t>
  </si>
  <si>
    <t>PIA 2020-17</t>
  </si>
  <si>
    <t>20FE0130</t>
  </si>
  <si>
    <t>2020-6-6852</t>
  </si>
  <si>
    <t>01616</t>
  </si>
  <si>
    <t>2LSSM2020A-273</t>
  </si>
  <si>
    <t>(ITB) No     2020- 07 -009</t>
  </si>
  <si>
    <t>KAP-20-11 (2nd Posting)</t>
  </si>
  <si>
    <t>NCB Publication No. 2020- 23</t>
  </si>
  <si>
    <t>110012022019</t>
  </si>
  <si>
    <t>SVP 2020-137</t>
  </si>
  <si>
    <t>5793-clsu-2020</t>
  </si>
  <si>
    <t>NPSV42-2020</t>
  </si>
  <si>
    <t>20CG0182</t>
  </si>
  <si>
    <t>403RDCO-11208-HSCtr-C-2020</t>
  </si>
  <si>
    <t>EBMS 1287-20</t>
  </si>
  <si>
    <t>(ITB) No     2020-07-010</t>
  </si>
  <si>
    <t>PHS-1213-20</t>
  </si>
  <si>
    <t>01-2020-INFRA</t>
  </si>
  <si>
    <t>20AI0177</t>
  </si>
  <si>
    <t>2020-06-0368</t>
  </si>
  <si>
    <t>20LC0148</t>
  </si>
  <si>
    <t>5792-clsu-2020</t>
  </si>
  <si>
    <t>MGCP-20G-588A</t>
  </si>
  <si>
    <t>NFWM-20-04-079</t>
  </si>
  <si>
    <t>BUHIGOODS202006-007</t>
  </si>
  <si>
    <t>101-20-06-85</t>
  </si>
  <si>
    <t>Guadalupe202005</t>
  </si>
  <si>
    <t>030-06-2020</t>
  </si>
  <si>
    <t>20CG0184</t>
  </si>
  <si>
    <t>Guadalupe202006</t>
  </si>
  <si>
    <t>RFQ-ETG-C-20-06-028</t>
  </si>
  <si>
    <t>2006-089</t>
  </si>
  <si>
    <t>062920201</t>
  </si>
  <si>
    <t>2020-03-0187 et al.</t>
  </si>
  <si>
    <t>20CG0183</t>
  </si>
  <si>
    <t>000</t>
  </si>
  <si>
    <t>20CG0185</t>
  </si>
  <si>
    <t>0540</t>
  </si>
  <si>
    <t>20AI0178</t>
  </si>
  <si>
    <t>20-505</t>
  </si>
  <si>
    <t>20-0658-7611-3</t>
  </si>
  <si>
    <t>BUHIGOODS202006-009</t>
  </si>
  <si>
    <t>02-2020-INFRA</t>
  </si>
  <si>
    <t>05-20-0397</t>
  </si>
  <si>
    <t>BUHIGOODS202006-006</t>
  </si>
  <si>
    <t>0541</t>
  </si>
  <si>
    <t>INVITATION TO BID No. 2020-06-003</t>
  </si>
  <si>
    <t>101-20-06-163</t>
  </si>
  <si>
    <t>2020-07-006</t>
  </si>
  <si>
    <t xml:space="preserve">20KL0136 - Construction of Standard Two-Storey (4 </t>
  </si>
  <si>
    <t>BOC-GOODS-RFQ-60-2020</t>
  </si>
  <si>
    <t>20CG0186</t>
  </si>
  <si>
    <t>EMBCAR-2020-6-32</t>
  </si>
  <si>
    <t>ITB-2020-018</t>
  </si>
  <si>
    <t>tag-8-20</t>
  </si>
  <si>
    <t>BUHIGOODS202006-010</t>
  </si>
  <si>
    <t>20GJI0040</t>
  </si>
  <si>
    <t>(ITB) No     2020-07-011</t>
  </si>
  <si>
    <t>2020-0096</t>
  </si>
  <si>
    <t>20CG0187</t>
  </si>
  <si>
    <t>0542</t>
  </si>
  <si>
    <t>RFQ-Goods-97-2020</t>
  </si>
  <si>
    <t>2020-6-6853</t>
  </si>
  <si>
    <t>2020-04-0783</t>
  </si>
  <si>
    <t>NFWM-20-05-085</t>
  </si>
  <si>
    <t>100-20-06-0279</t>
  </si>
  <si>
    <t>Quotation No. 20-06-0380</t>
  </si>
  <si>
    <t>2020-21 LOT 7</t>
  </si>
  <si>
    <t>itb-2020-003</t>
  </si>
  <si>
    <t>Quotation No. 20-06-0383</t>
  </si>
  <si>
    <t>20LC0150</t>
  </si>
  <si>
    <t xml:space="preserve">20KL0137 - Construction of Standard Two-Storey (4 </t>
  </si>
  <si>
    <t>(ITB) No     2020-07-012</t>
  </si>
  <si>
    <t>20FE0131</t>
  </si>
  <si>
    <t>Quotation No. 20-06-0382</t>
  </si>
  <si>
    <t>Quotation No. 20-06-0384</t>
  </si>
  <si>
    <t>Request for Quotation RIS# 20-77-005</t>
  </si>
  <si>
    <t>2020.06.29</t>
  </si>
  <si>
    <t>AGINF2020-0630A</t>
  </si>
  <si>
    <t>BUHIGOODS202006-008</t>
  </si>
  <si>
    <t>2020-04-0813</t>
  </si>
  <si>
    <t>2020-03-1991</t>
  </si>
  <si>
    <t>IB No. 2020-07-20 (14)</t>
  </si>
  <si>
    <t>2020-05-2302</t>
  </si>
  <si>
    <t>2020-06-001-G</t>
  </si>
  <si>
    <t>ITB # 2020-06-032</t>
  </si>
  <si>
    <t>110012032019</t>
  </si>
  <si>
    <t>RFQ No.	2020-07-121</t>
  </si>
  <si>
    <t>20CB-GSC-376 PURCHASE OF TARPAULIN AND TOKEN (RE-B</t>
  </si>
  <si>
    <t>GPG-B1-2020-426-SOLID WASTE MGT EQPT</t>
  </si>
  <si>
    <t>SV-52-2020</t>
  </si>
  <si>
    <t>hamorawon202003</t>
  </si>
  <si>
    <t>Barangay Cabisilan-20-0001-B</t>
  </si>
  <si>
    <t>062920202</t>
  </si>
  <si>
    <t>DENR10 2020-03-0178</t>
  </si>
  <si>
    <t>2020-21 LOT 8</t>
  </si>
  <si>
    <t>OB-GYNE 0406-20</t>
  </si>
  <si>
    <t>RFQ20-003-SV-ESSD</t>
  </si>
  <si>
    <t>S1-BMD20-003</t>
  </si>
  <si>
    <t xml:space="preserve">20KL0138 - Construction of Standard Two-Storey (4 </t>
  </si>
  <si>
    <t>20LC0156</t>
  </si>
  <si>
    <t>2020-04-2119</t>
  </si>
  <si>
    <t>PR 1-20-06-0748 - GSD</t>
  </si>
  <si>
    <t>100-20-06-79</t>
  </si>
  <si>
    <t>305THCO-11229-220AW-99-2020</t>
  </si>
  <si>
    <t>2020-06-037</t>
  </si>
  <si>
    <t>2020-06-407</t>
  </si>
  <si>
    <t>EMBCAR-2020-6-33</t>
  </si>
  <si>
    <t>EBMS 0811-20</t>
  </si>
  <si>
    <t>RB2020-06-213</t>
  </si>
  <si>
    <t>PHS-1205-20</t>
  </si>
  <si>
    <t>2020-02-0063</t>
  </si>
  <si>
    <t>S1-BRS20-006</t>
  </si>
  <si>
    <t>20GID0021</t>
  </si>
  <si>
    <t>PR # 20-06-0784</t>
  </si>
  <si>
    <t>2020svp - 225-568</t>
  </si>
  <si>
    <t>20LC0157</t>
  </si>
  <si>
    <t>2020.06.29.1</t>
  </si>
  <si>
    <t xml:space="preserve">20KL0139 - Construction of Standard Two-Storey (4 </t>
  </si>
  <si>
    <t>2020-6-006</t>
  </si>
  <si>
    <t>PR0045-20 MotorPool</t>
  </si>
  <si>
    <t>oo2</t>
  </si>
  <si>
    <t>ITB # 2020-06-033</t>
  </si>
  <si>
    <t>SVP-2020-002</t>
  </si>
  <si>
    <t>ITB-20-06097</t>
  </si>
  <si>
    <t>NP-SVP(A)-2020-005-MWC</t>
  </si>
  <si>
    <t>CV-06-004</t>
  </si>
  <si>
    <t>RFQ-Goods-98-2020</t>
  </si>
  <si>
    <t>20CG0190</t>
  </si>
  <si>
    <t>2020-21 LOT 10</t>
  </si>
  <si>
    <t>Bid No. 20-003-A</t>
  </si>
  <si>
    <t>101-8917-2020-06-02</t>
  </si>
  <si>
    <t>20CG0188</t>
  </si>
  <si>
    <t>2020-05-2405</t>
  </si>
  <si>
    <t>PB-2020-06-006</t>
  </si>
  <si>
    <t>DENR10 2020-06-0324</t>
  </si>
  <si>
    <t>0474</t>
  </si>
  <si>
    <t>Quotation No. 20-06-0385</t>
  </si>
  <si>
    <t>EBMS 0392-20</t>
  </si>
  <si>
    <t>0281-20</t>
  </si>
  <si>
    <t>RFQ-ETG-C-20-06-029</t>
  </si>
  <si>
    <t>2020-06-128</t>
  </si>
  <si>
    <t>PR 2020-06-0219</t>
  </si>
  <si>
    <t>NPSV44-2020</t>
  </si>
  <si>
    <t>PR-187-100-2020</t>
  </si>
  <si>
    <t>2020.06.29.2</t>
  </si>
  <si>
    <t>S1-BRS20-008</t>
  </si>
  <si>
    <t>Bid No.20-003-B</t>
  </si>
  <si>
    <t>20CG0192</t>
  </si>
  <si>
    <t>20LC0158</t>
  </si>
  <si>
    <t>20CG0189</t>
  </si>
  <si>
    <t>2020-06-129</t>
  </si>
  <si>
    <t>SG 002-20</t>
  </si>
  <si>
    <t>R-BFARIX-FMRED-20-03-255</t>
  </si>
  <si>
    <t>101-8917-2020-06-03</t>
  </si>
  <si>
    <t>2020-06-105</t>
  </si>
  <si>
    <t>2020-06-2490</t>
  </si>
  <si>
    <t>20LC0133 Re-Invitation to Bid</t>
  </si>
  <si>
    <t>2020-GEN. FUND-ITB-012</t>
  </si>
  <si>
    <t>SVP2020-165</t>
  </si>
  <si>
    <t>1-07-04-010-2019</t>
  </si>
  <si>
    <t>GHQPC-OJ1-RMOE-1327-20</t>
  </si>
  <si>
    <t>2020-06-473</t>
  </si>
  <si>
    <t>2020-21 LOT 9</t>
  </si>
  <si>
    <t>100-1011-20-372</t>
  </si>
  <si>
    <t>BAC-GOOD-20-06-03</t>
  </si>
  <si>
    <t>Quotation No. 20-06-0387</t>
  </si>
  <si>
    <t>2020-338</t>
  </si>
  <si>
    <t>PB-2020-06-007</t>
  </si>
  <si>
    <t>2020-03-1801</t>
  </si>
  <si>
    <t>2020-06-130</t>
  </si>
  <si>
    <t>20LC0134 Re-Invitation to Bid</t>
  </si>
  <si>
    <t>05-20-0402</t>
  </si>
  <si>
    <t>2020-6-6855</t>
  </si>
  <si>
    <t>nlontoc-RFQ-194-2020</t>
  </si>
  <si>
    <t>2020-03-283</t>
  </si>
  <si>
    <t>2020-02-1448</t>
  </si>
  <si>
    <t>RFQ-Goods-99</t>
  </si>
  <si>
    <t>2020.06.29.3</t>
  </si>
  <si>
    <t>ITB # 2020-06-034</t>
  </si>
  <si>
    <t>B-92-2020</t>
  </si>
  <si>
    <t>PIKCOT-002020-0016</t>
  </si>
  <si>
    <t>Bid No. 20-002-B</t>
  </si>
  <si>
    <t>SVP2020-164</t>
  </si>
  <si>
    <t>05-20-0401</t>
  </si>
  <si>
    <t>GOODS-20-S181</t>
  </si>
  <si>
    <t>109</t>
  </si>
  <si>
    <t>Quotation No. 20-06-0386</t>
  </si>
  <si>
    <t>ITB-SSS-GOODS-2020-020</t>
  </si>
  <si>
    <t>108</t>
  </si>
  <si>
    <t>2020-05-2378</t>
  </si>
  <si>
    <t>ATI2020-06-165</t>
  </si>
  <si>
    <t>2020-07-03-139NP</t>
  </si>
  <si>
    <t>PR0221-20 DOPMC</t>
  </si>
  <si>
    <t>NP-SVP()-2020-006-REU</t>
  </si>
  <si>
    <t>20CSCE006</t>
  </si>
  <si>
    <t>ITB-20-06-002</t>
  </si>
  <si>
    <t>2020-GEN. FUND-ITB-011</t>
  </si>
  <si>
    <t>2020-337</t>
  </si>
  <si>
    <t>BRGYDITA-2020-06-001</t>
  </si>
  <si>
    <t>20CG0191</t>
  </si>
  <si>
    <t>NPSV43-2020</t>
  </si>
  <si>
    <t>B20-2020-001</t>
  </si>
  <si>
    <t>RFQ 2020-0028</t>
  </si>
  <si>
    <t>2020svp - 235-571</t>
  </si>
  <si>
    <t>2020-07-03-141NP</t>
  </si>
  <si>
    <t>GHQPC-OJ1-TELM-1326-20</t>
  </si>
  <si>
    <t>2020-06-469</t>
  </si>
  <si>
    <t>GSD-J-20-288</t>
  </si>
  <si>
    <t>2020-06-188-RFQ</t>
  </si>
  <si>
    <t>Bid No.20-002-C</t>
  </si>
  <si>
    <t>BQ-Goods- 2020-007</t>
  </si>
  <si>
    <t>2020-PR20-766-200</t>
  </si>
  <si>
    <t>Quotation No. 20-06-0388</t>
  </si>
  <si>
    <t>SH-5439-19</t>
  </si>
  <si>
    <t>2020.06.29.4</t>
  </si>
  <si>
    <t>15ad2020</t>
  </si>
  <si>
    <t>RFQ-2020-06-23</t>
  </si>
  <si>
    <t>2020-339</t>
  </si>
  <si>
    <t>2020svp - 236-572</t>
  </si>
  <si>
    <t>2020005</t>
  </si>
  <si>
    <t>2020svp - 237-573</t>
  </si>
  <si>
    <t>2020-06-474</t>
  </si>
  <si>
    <t>2020-03-1590</t>
  </si>
  <si>
    <t>2020.06.29.5</t>
  </si>
  <si>
    <t>06-20-49</t>
  </si>
  <si>
    <t>NP-MEDICAL SUPPLIES|RHU</t>
  </si>
  <si>
    <t>2020-041R</t>
  </si>
  <si>
    <t>2020-03-1591</t>
  </si>
  <si>
    <t>MR-PNBAC1-2020-30</t>
  </si>
  <si>
    <t>Quotation No. 20-06-0381</t>
  </si>
  <si>
    <t>KAP-20-17</t>
  </si>
  <si>
    <t>RFQ-2020-06-24</t>
  </si>
  <si>
    <t>06-20-48</t>
  </si>
  <si>
    <t>REI-SSS-CONSULTING-2020-003</t>
  </si>
  <si>
    <t>GHQPC-OJ1-RMICTE-1325-20</t>
  </si>
  <si>
    <t>DepED-RO6-D1-PFA-047-2020</t>
  </si>
  <si>
    <t>2020-06-133</t>
  </si>
  <si>
    <t>2020-devmh-071</t>
  </si>
  <si>
    <t>20-184-044</t>
  </si>
  <si>
    <t>03-20-0355</t>
  </si>
  <si>
    <t>20-06-016</t>
  </si>
  <si>
    <t>KAP-20-16</t>
  </si>
  <si>
    <t>2020-340</t>
  </si>
  <si>
    <t>20-06-079</t>
  </si>
  <si>
    <t>PB-2020-004</t>
  </si>
  <si>
    <t>BQ-Goods-2020-010</t>
  </si>
  <si>
    <t>PB2020-Infra-01</t>
  </si>
  <si>
    <t>SH-5448-20</t>
  </si>
  <si>
    <t>Goods 2020-058</t>
  </si>
  <si>
    <t>ITB-28-2020</t>
  </si>
  <si>
    <t>20% esivb.7-2019</t>
  </si>
  <si>
    <t>2020-06-124</t>
  </si>
  <si>
    <t>GHQPC-OJ1-SPOF-1324-20</t>
  </si>
  <si>
    <t>PIKCOT-002020-0017</t>
  </si>
  <si>
    <t>2020-06-059</t>
  </si>
  <si>
    <t>2020svp - 238-574</t>
  </si>
  <si>
    <t>Bidding-02-June2020</t>
  </si>
  <si>
    <t>Bid No. 20-002-D</t>
  </si>
  <si>
    <t>GOODS20-06-034</t>
  </si>
  <si>
    <t>ITB # 2020-06-035</t>
  </si>
  <si>
    <t>TABUNOKSVP2020-002</t>
  </si>
  <si>
    <t>ENVIRONMENT MONTH JUNE 2020 T-SHIRT 062920-06</t>
  </si>
  <si>
    <t>RFQ-CC-2006-32</t>
  </si>
  <si>
    <t>PR # 20-06-0782</t>
  </si>
  <si>
    <t>DA RFO-1-2019-INFRA-078</t>
  </si>
  <si>
    <t>HR-1291-20</t>
  </si>
  <si>
    <t>2020-088</t>
  </si>
  <si>
    <t>2019-2076-10-459</t>
  </si>
  <si>
    <t>1011-20-06-22</t>
  </si>
  <si>
    <t>2020-0629-021</t>
  </si>
  <si>
    <t>20-101-043</t>
  </si>
  <si>
    <t>2020svp - 239-575</t>
  </si>
  <si>
    <t>20-06-281GSO</t>
  </si>
  <si>
    <t>GOODS#0131, ITB#0134,  PR#0413: SCG-2020</t>
  </si>
  <si>
    <t>EARIST-PQ-2020-015</t>
  </si>
  <si>
    <t>2020.06.29.6</t>
  </si>
  <si>
    <t>05-20-0403</t>
  </si>
  <si>
    <t>2020-06-0091</t>
  </si>
  <si>
    <t>ITB-2019-16</t>
  </si>
  <si>
    <t>SCM 0629-04-2020</t>
  </si>
  <si>
    <t>NPSV45-2020</t>
  </si>
  <si>
    <t>TABUNOKSVP2020-003</t>
  </si>
  <si>
    <t>Budget Certificate No. 248-2020</t>
  </si>
  <si>
    <t>Goods 2020-059</t>
  </si>
  <si>
    <t>S1-NDP20-008</t>
  </si>
  <si>
    <t>0620-550-541</t>
  </si>
  <si>
    <t>2020svp - 240-576</t>
  </si>
  <si>
    <t>BQ-Goods-2020-011</t>
  </si>
  <si>
    <t>100-20-05-296</t>
  </si>
  <si>
    <t>LGU Nasipit-2020-056</t>
  </si>
  <si>
    <t>Liguan202006</t>
  </si>
  <si>
    <t>RFQ-LR-2006-33</t>
  </si>
  <si>
    <t>SVP-29-2020</t>
  </si>
  <si>
    <t>05-20-0410</t>
  </si>
  <si>
    <t>RFQ No. 440</t>
  </si>
  <si>
    <t>AMAGOSSVP2020-001</t>
  </si>
  <si>
    <t>2020-02-1455</t>
  </si>
  <si>
    <t>2020-089</t>
  </si>
  <si>
    <t>20-06213PR</t>
  </si>
  <si>
    <t>PB2020-Infra-02</t>
  </si>
  <si>
    <t>100-20-06-329</t>
  </si>
  <si>
    <t>S1-NPS20-012</t>
  </si>
  <si>
    <t>2020-6-6856</t>
  </si>
  <si>
    <t>Ibaan/2020/241</t>
  </si>
  <si>
    <t>MinSCAT RFQ 2020-39</t>
  </si>
  <si>
    <t>2020svp - 241-577</t>
  </si>
  <si>
    <t>Manila202004</t>
  </si>
  <si>
    <t>AMD 20-026-046</t>
  </si>
  <si>
    <t>2020-080</t>
  </si>
  <si>
    <t>RFQ-A-019-2020</t>
  </si>
  <si>
    <t>Bidding-03-June2020</t>
  </si>
  <si>
    <t>BNS-0520-104</t>
  </si>
  <si>
    <t>05-20-0408</t>
  </si>
  <si>
    <t>PR/RFQ# 2020-120</t>
  </si>
  <si>
    <t>20200629-04-G</t>
  </si>
  <si>
    <t>IB NO. 035-20</t>
  </si>
  <si>
    <t>2020-06-15</t>
  </si>
  <si>
    <t>MAFAR-06-93-2020</t>
  </si>
  <si>
    <t>1025-20BAC</t>
  </si>
  <si>
    <t>PB2020-010 (PR No. 20-06-0272)</t>
  </si>
  <si>
    <t>PB-I-2020-05-616</t>
  </si>
  <si>
    <t>GHQPC-OTCE-RMB-1329-20</t>
  </si>
  <si>
    <t>2020-06-OR TABLE</t>
  </si>
  <si>
    <t>Binosawan202001</t>
  </si>
  <si>
    <t>RO4-GOODS-2020-21</t>
  </si>
  <si>
    <t>RFQ No. 189</t>
  </si>
  <si>
    <t>MAFAR-06-94-2020</t>
  </si>
  <si>
    <t>BNS-0620-91</t>
  </si>
  <si>
    <t>2006175</t>
  </si>
  <si>
    <t>05-20-0409</t>
  </si>
  <si>
    <t>063</t>
  </si>
  <si>
    <t>05-20-0399</t>
  </si>
  <si>
    <t>lu-200629-01</t>
  </si>
  <si>
    <t>062</t>
  </si>
  <si>
    <t>IB NO. 2020-06-44 Procurement of Infant Radiant Wa</t>
  </si>
  <si>
    <t>Linao202001</t>
  </si>
  <si>
    <t>100-06-20-01552</t>
  </si>
  <si>
    <t>IB NO. 2020-06-45 Procurement of Flat Panel Detect</t>
  </si>
  <si>
    <t>janiuay-2020-26</t>
  </si>
  <si>
    <t>PR 6.038TPB-PR.2020.06.195SERVICES OF VIRTUAL PLAT</t>
  </si>
  <si>
    <t>2020-06-032stcwo</t>
  </si>
  <si>
    <t>06102020-05</t>
  </si>
  <si>
    <t>BNS-062-094 &amp; BNS-0620-107</t>
  </si>
  <si>
    <t>RFQ No. 190</t>
  </si>
  <si>
    <t>INF-18-June 19, 2020</t>
  </si>
  <si>
    <t>06-20-0447</t>
  </si>
  <si>
    <t>46</t>
  </si>
  <si>
    <t>05-20-0398</t>
  </si>
  <si>
    <t>100-20-06-330</t>
  </si>
  <si>
    <t>06-20-0440</t>
  </si>
  <si>
    <t>PB-I-2020-05-618</t>
  </si>
  <si>
    <t>20-006-06BID</t>
  </si>
  <si>
    <t>06-20-0444</t>
  </si>
  <si>
    <t>HPN-0620-250 &amp; HPN-0620-252</t>
  </si>
  <si>
    <t>2020ALISHS-03-13</t>
  </si>
  <si>
    <t>396367</t>
  </si>
  <si>
    <t>20DE0125 (Re-advertised)</t>
  </si>
  <si>
    <t>SH 036-20</t>
  </si>
  <si>
    <t>janiuay-2020-28</t>
  </si>
  <si>
    <t>HPN-0520-243</t>
  </si>
  <si>
    <t>lu-200629-03</t>
  </si>
  <si>
    <t>PB2020-011 (PR No. 19-10-1295)</t>
  </si>
  <si>
    <t>PB-I-2020-05-619</t>
  </si>
  <si>
    <t>lu-200629-02</t>
  </si>
  <si>
    <t>47</t>
  </si>
  <si>
    <t>Linao202002</t>
  </si>
  <si>
    <t>BNS-0620-104</t>
  </si>
  <si>
    <t>RAPID 2020-03-036</t>
  </si>
  <si>
    <t>janiuay-2020-27</t>
  </si>
  <si>
    <t>2020-PR20-771-201</t>
  </si>
  <si>
    <t>20-06-017</t>
  </si>
  <si>
    <t>BNS-0520-106</t>
  </si>
  <si>
    <t>Gaba202003</t>
  </si>
  <si>
    <t>PR/RFQ# 2020-06-114</t>
  </si>
  <si>
    <t>BNS-0620-096</t>
  </si>
  <si>
    <t>RFQ-2020-06-25</t>
  </si>
  <si>
    <t>20LB0206</t>
  </si>
  <si>
    <t>2020-0095</t>
  </si>
  <si>
    <t>20LB0188</t>
  </si>
  <si>
    <t>2020JO-06-001</t>
  </si>
  <si>
    <t xml:space="preserve">IB NO. 2020-06-46 Procurement of Installation and </t>
  </si>
  <si>
    <t>06-20-0448</t>
  </si>
  <si>
    <t>RFQ No. USU-20-06-020</t>
  </si>
  <si>
    <t>ris 20-83-064</t>
  </si>
  <si>
    <t>G-2020-006 to 008</t>
  </si>
  <si>
    <t>20LB0256</t>
  </si>
  <si>
    <t>2020-05-0001</t>
  </si>
  <si>
    <t>20LB0182</t>
  </si>
  <si>
    <t>2020-06-0048</t>
  </si>
  <si>
    <t>59881</t>
  </si>
  <si>
    <t>DOTNCR 2020-06-001</t>
  </si>
  <si>
    <t xml:space="preserve">IB NO. 2020-06-47 Procurement of High Definition  </t>
  </si>
  <si>
    <t>Repair/Rehabilitation of Comfort Rooms At Ground F</t>
  </si>
  <si>
    <t>WOR 20-005</t>
  </si>
  <si>
    <t>ITB 20-0061-A</t>
  </si>
  <si>
    <t>29577</t>
  </si>
  <si>
    <t>LSPU-SPCC PARTITION AND MIRRORS</t>
  </si>
  <si>
    <t>2020-06-228</t>
  </si>
  <si>
    <t>20LB0252</t>
  </si>
  <si>
    <t>GOODS-2020-06-11</t>
  </si>
  <si>
    <t>GWD-TWDPA-2020-06-01</t>
  </si>
  <si>
    <t>2020ALISHS-03-15</t>
  </si>
  <si>
    <t>ITB 20-0046-A</t>
  </si>
  <si>
    <t>59847</t>
  </si>
  <si>
    <t>janiuay-2020-29</t>
  </si>
  <si>
    <t>JJWC-NNP-20-012</t>
  </si>
  <si>
    <t>MBHTE-BARMM-B026-2020</t>
  </si>
  <si>
    <t>Bogtong202002</t>
  </si>
  <si>
    <t>2020ALISHS-03-14</t>
  </si>
  <si>
    <t>Bogtong202001</t>
  </si>
  <si>
    <t>Budget Certificate No. 255-2020</t>
  </si>
  <si>
    <t>IB-2020-077</t>
  </si>
  <si>
    <t>06-209-0452</t>
  </si>
  <si>
    <t>06-29-2020-01</t>
  </si>
  <si>
    <t>RO9-INFRA-2020-F-002</t>
  </si>
  <si>
    <t>20DE0137 (Re-advertised)</t>
  </si>
  <si>
    <t>PR No. 20-06-176</t>
  </si>
  <si>
    <t>2020-06-088</t>
  </si>
  <si>
    <t>20LB0312</t>
  </si>
  <si>
    <t>RFQ No. USU-20-06-019</t>
  </si>
  <si>
    <t>2020-06-0049</t>
  </si>
  <si>
    <t>20LB0313</t>
  </si>
  <si>
    <t>2020 Budget</t>
  </si>
  <si>
    <t>ris 20-88-083</t>
  </si>
  <si>
    <t>ris 20-83-120</t>
  </si>
  <si>
    <t>RFQ-2020-04A</t>
  </si>
  <si>
    <t>20DE0136 (Re-advertised)</t>
  </si>
  <si>
    <t>06-29-202006012A</t>
  </si>
  <si>
    <t>DENR N.Ecija-2020-040</t>
  </si>
  <si>
    <t>2020-0098</t>
  </si>
  <si>
    <t>DENR N.Ecija-2020-039</t>
  </si>
  <si>
    <t>Repair/Rehabilitation of Comfort Rooms At 3rd Floo</t>
  </si>
  <si>
    <t>20CG0199</t>
  </si>
  <si>
    <t>2020-06-090</t>
  </si>
  <si>
    <t>20CG0198</t>
  </si>
  <si>
    <t>20CG0197</t>
  </si>
  <si>
    <t>PRRI-PB-2020-ISA-005</t>
  </si>
  <si>
    <t>2020-106</t>
  </si>
  <si>
    <t>20CG0196</t>
  </si>
  <si>
    <t>20060277</t>
  </si>
  <si>
    <t>20CG0195</t>
  </si>
  <si>
    <t>PIKCOT-SUPP-002020-00142</t>
  </si>
  <si>
    <t>EARIST-PQ-2020-016</t>
  </si>
  <si>
    <t>20LB0311</t>
  </si>
  <si>
    <t>2020-107</t>
  </si>
  <si>
    <t>RFQ-2020-04B</t>
  </si>
  <si>
    <t>RFQ NO. EMB-AFMD-088-06-29-2020 2020-0624</t>
  </si>
  <si>
    <t>PB2020-01</t>
  </si>
  <si>
    <t>2020-06-0002</t>
  </si>
  <si>
    <t>HFW-2020-05-0157</t>
  </si>
  <si>
    <t>2020-06-046</t>
  </si>
  <si>
    <t>sn06292020</t>
  </si>
  <si>
    <t>2020-06-093</t>
  </si>
  <si>
    <t>PR NO. 020-06-055</t>
  </si>
  <si>
    <t>2020-06-091</t>
  </si>
  <si>
    <t>EQUIP.RENTAL 020-08</t>
  </si>
  <si>
    <t>RFQ NO. EMB-EQMD-HWMS-SHOPPING-G-089-6-29-2020  PR</t>
  </si>
  <si>
    <t>2020 - 07 - 007 (101 - Shopping)</t>
  </si>
  <si>
    <t>2020-06-0004</t>
  </si>
  <si>
    <t>2020-0091</t>
  </si>
  <si>
    <t>GLQ-2020-13</t>
  </si>
  <si>
    <t>Completion  of  Multi-Purpose  Building and  Sport</t>
  </si>
  <si>
    <t>LGUMAN-001-J-20</t>
  </si>
  <si>
    <t>2020 - 07 - 007 (99 - Shopping)</t>
  </si>
  <si>
    <t>Construction of Academic and Office Building Phase</t>
  </si>
  <si>
    <t>100-20-02-139</t>
  </si>
  <si>
    <t>2020-0201</t>
  </si>
  <si>
    <t>PR NO. 020-06-060 dated 6/26/2020</t>
  </si>
  <si>
    <t>2020 - 07 - 007 (98 - Shopping)</t>
  </si>
  <si>
    <t>RFQ2020-20</t>
  </si>
  <si>
    <t>2020-119</t>
  </si>
  <si>
    <t>LGUMAN-002-J-20</t>
  </si>
  <si>
    <t>031-MIF20</t>
  </si>
  <si>
    <t>NPG-2020-135</t>
  </si>
  <si>
    <t>Bidding-04-June2020</t>
  </si>
  <si>
    <t>2020-06-BRONCHOSCOPE</t>
  </si>
  <si>
    <t>TESDA PR-0213</t>
  </si>
  <si>
    <t xml:space="preserve">PR No. 2020-06-0045(Office Equipment Supplies and </t>
  </si>
  <si>
    <t>2020 - 07 - 007 (100 - Shopping)</t>
  </si>
  <si>
    <t>ITDI-200239_REBID</t>
  </si>
  <si>
    <t>Bidding-05-June2020</t>
  </si>
  <si>
    <t>Bacong - 001-2020</t>
  </si>
  <si>
    <t>2020-06-OR LIGHT</t>
  </si>
  <si>
    <t>SVP-D NO: 20-07-0271B</t>
  </si>
  <si>
    <t>2020-LARYNGOSCOPE</t>
  </si>
  <si>
    <t>2020 - 07 - 007 (102 - Shopping)</t>
  </si>
  <si>
    <t>PR No. 2020-06-0042 (Office Equipment Parts and Ac</t>
  </si>
  <si>
    <t>RFQ NO. 441</t>
  </si>
  <si>
    <t>2020-06-0003</t>
  </si>
  <si>
    <t>PR No. 2020-06-0043 (Office Equipment Supplies and</t>
  </si>
  <si>
    <t>RFQ-2020-04C</t>
  </si>
  <si>
    <t>G21-2020</t>
  </si>
  <si>
    <t>SHOP GOODS 2020-06-14</t>
  </si>
  <si>
    <t>Nasugbu 0809-0807-0810-0806-0808</t>
  </si>
  <si>
    <t>948925</t>
  </si>
  <si>
    <t>LGUMAN-004-J-20</t>
  </si>
  <si>
    <t>AGINF2020-0630B</t>
  </si>
  <si>
    <t>2020-06-LAP TOWER</t>
  </si>
  <si>
    <t>AGINF2020-0630C</t>
  </si>
  <si>
    <t>SG 003-20</t>
  </si>
  <si>
    <t>RFQ-2020-04D</t>
  </si>
  <si>
    <t>2020-05-051</t>
  </si>
  <si>
    <t>NPG-2020-136</t>
  </si>
  <si>
    <t>LGUMAN-003-J-19</t>
  </si>
  <si>
    <t>Bidding-06-June2020</t>
  </si>
  <si>
    <t>20% emid.1-2018</t>
  </si>
  <si>
    <t>2020-120</t>
  </si>
  <si>
    <t>6-1-20</t>
  </si>
  <si>
    <t>LGUMAN-005-J-20</t>
  </si>
  <si>
    <t>LGUMAN-007-J-20</t>
  </si>
  <si>
    <t>BCS-2020-0145</t>
  </si>
  <si>
    <t>301556-04-2020-JHS</t>
  </si>
  <si>
    <t>BCS-2020-0149</t>
  </si>
  <si>
    <t>DA3-2020-02-24-304</t>
  </si>
  <si>
    <t>ITB No. 2020-INFRA-7(01)</t>
  </si>
  <si>
    <t>Barangay Bun-ot 2020 - 04</t>
  </si>
  <si>
    <t>AGGDS2020-0630A</t>
  </si>
  <si>
    <t>220% csiic.2-2019</t>
  </si>
  <si>
    <t>2020-06-XRAY</t>
  </si>
  <si>
    <t>PR20-2902JULMOC-001</t>
  </si>
  <si>
    <t>2020-06-0006</t>
  </si>
  <si>
    <t>2020-FETAL CENTRAL</t>
  </si>
  <si>
    <t>2020-06-VACUUM</t>
  </si>
  <si>
    <t>EAARIST-PQ-2020-017</t>
  </si>
  <si>
    <t>BCS-2020-0148</t>
  </si>
  <si>
    <t>2020-06-032</t>
  </si>
  <si>
    <t>LGUMAN-006-J-20</t>
  </si>
  <si>
    <t>SHOP GOODS 2020-06-15</t>
  </si>
  <si>
    <t>2020-06-CYSTOSCOPY</t>
  </si>
  <si>
    <t>PB-CW-2020-025</t>
  </si>
  <si>
    <t>BCS-2020-0146</t>
  </si>
  <si>
    <t>20CC0258</t>
  </si>
  <si>
    <t>301556-06-2020-JHS</t>
  </si>
  <si>
    <t>20CC0257</t>
  </si>
  <si>
    <t>PB-CW-2020-014 (Re-advertised)</t>
  </si>
  <si>
    <t>ITB No. 2020-06-02</t>
  </si>
  <si>
    <t>2020-06-063</t>
  </si>
  <si>
    <t>ITB No. 2020-06-01</t>
  </si>
  <si>
    <t>ITB No. 2020-INFRA-7(02)</t>
  </si>
  <si>
    <t>0044-06-2020</t>
  </si>
  <si>
    <t>20DE0140 (Re-advertised)</t>
  </si>
  <si>
    <t>2020-06-0007</t>
  </si>
  <si>
    <t>Bidding-07-June2020</t>
  </si>
  <si>
    <t>0045-06-2020</t>
  </si>
  <si>
    <t>LGUMAN-008-J-20</t>
  </si>
  <si>
    <t>2020-06-COLPOSCOPE</t>
  </si>
  <si>
    <t>PR No. 2020-06-0047 (Office Supplies)</t>
  </si>
  <si>
    <t>2020-06-0005</t>
  </si>
  <si>
    <t>2020-goods-01</t>
  </si>
  <si>
    <t>2020-SVP-04</t>
  </si>
  <si>
    <t>2020-001-K</t>
  </si>
  <si>
    <t>20CG0194</t>
  </si>
  <si>
    <t>2020 DP-021 RFQ</t>
  </si>
  <si>
    <t>20CG0193</t>
  </si>
  <si>
    <t>BAC PB 2020-13</t>
  </si>
  <si>
    <t>INFRA 2020-06-002</t>
  </si>
  <si>
    <t>BCS-2020-0147</t>
  </si>
  <si>
    <t>ITB No. 2020-INFRA-7(06)</t>
  </si>
  <si>
    <t>INFRA-MULAWIN2020-001</t>
  </si>
  <si>
    <t>ITB No. 2020-06-03</t>
  </si>
  <si>
    <t>301556-05-2020-JHS</t>
  </si>
  <si>
    <t>2020-06-SUCTION MACHINE</t>
  </si>
  <si>
    <t>LGUMAN-010-J-20</t>
  </si>
  <si>
    <t>ITB No. 2020-INFRA-7(05)</t>
  </si>
  <si>
    <t>ITB No.2020-INFRA-7(07)</t>
  </si>
  <si>
    <t>0629-001</t>
  </si>
  <si>
    <t>LGUMAN-011-J-20</t>
  </si>
  <si>
    <t>2020-058-snq</t>
  </si>
  <si>
    <t>AMP SVP-D NO: 20-07-0344A</t>
  </si>
  <si>
    <t>2020-007-1</t>
  </si>
  <si>
    <t>2020-008-1</t>
  </si>
  <si>
    <t>SR 06-29-2020</t>
  </si>
  <si>
    <t>2020-06-DELIVERY BED</t>
  </si>
  <si>
    <t>ITB No. 2020-GOODS-7(01)</t>
  </si>
  <si>
    <t>ITB No. 2020-INFRA-7(08)</t>
  </si>
  <si>
    <t>2020-057-snq</t>
  </si>
  <si>
    <t>LGUMAN-012-J-20</t>
  </si>
  <si>
    <t>2020-056-snq</t>
  </si>
  <si>
    <t>2020-06-HOSPITAL BED</t>
  </si>
  <si>
    <t>EARIST-PQ-2020-018</t>
  </si>
  <si>
    <t>20-27 goods</t>
  </si>
  <si>
    <t>01</t>
  </si>
  <si>
    <t>0700-2020-06-024</t>
  </si>
  <si>
    <t>2020-06-DEFIBRILATOR</t>
  </si>
  <si>
    <t>RFQ-2020-0011</t>
  </si>
  <si>
    <t>20-26 goods</t>
  </si>
  <si>
    <t>AMP-013-20 (SVP)</t>
  </si>
  <si>
    <t>LGUMAN-013-J-20</t>
  </si>
  <si>
    <t>AMP SVP-D NO: 20-07-0297C</t>
  </si>
  <si>
    <t>03</t>
  </si>
  <si>
    <t>2020-06-PATIENT MONITOR</t>
  </si>
  <si>
    <t>SR 06-29-2020-A</t>
  </si>
  <si>
    <t>ITB No. 2020-GOODS-7(02)</t>
  </si>
  <si>
    <t>2020-06-STRETCHER</t>
  </si>
  <si>
    <t>ITB No. 2020-INFRA-7(04)</t>
  </si>
  <si>
    <t>LGUMAN-009-J-20</t>
  </si>
  <si>
    <t>ITB No. 2020-GOODS-7(03)</t>
  </si>
  <si>
    <t>0068-06-2020</t>
  </si>
  <si>
    <t>AMP SVP-D NO: 20-07-0345A</t>
  </si>
  <si>
    <t>20LB0280</t>
  </si>
  <si>
    <t>006-brgy. cabaroan</t>
  </si>
  <si>
    <t>RFQ-ATI-RTC4A-2020-06-083</t>
  </si>
  <si>
    <t>20DE0118 (Re-advertised)</t>
  </si>
  <si>
    <t>301556-07-2020-JHS</t>
  </si>
  <si>
    <t>2020-ULTRASONIC HANDPROBE</t>
  </si>
  <si>
    <t>100-06-20-01594</t>
  </si>
  <si>
    <t>SWEP-PNBAC-2020-04</t>
  </si>
  <si>
    <t>ITB No. 2020-INFRA-7(03)</t>
  </si>
  <si>
    <t>GLQ-2020-INP3</t>
  </si>
  <si>
    <t>20LB0279</t>
  </si>
  <si>
    <t>RFQ-2020-0013</t>
  </si>
  <si>
    <t>NMF SVP 2020-27</t>
  </si>
  <si>
    <t>gsis/npsvp-231-20</t>
  </si>
  <si>
    <t>RFQ-TPB-PR.2020.06.196</t>
  </si>
  <si>
    <t>NMF SVP 2020-26</t>
  </si>
  <si>
    <t>RFQ-2020-0014</t>
  </si>
  <si>
    <t>AMP SVP-D NO: 20-07-0114F</t>
  </si>
  <si>
    <t>2020-009-1</t>
  </si>
  <si>
    <t>RFQ-2020-0016</t>
  </si>
  <si>
    <t>020-2020</t>
  </si>
  <si>
    <t>20-28 goods</t>
  </si>
  <si>
    <t>RFQ-TPB-PR.2020.06.194</t>
  </si>
  <si>
    <t>019-2020</t>
  </si>
  <si>
    <t>2020-010-1</t>
  </si>
  <si>
    <t>39-2020</t>
  </si>
  <si>
    <t>05</t>
  </si>
  <si>
    <t>NDCP-RFQ-036-05-20</t>
  </si>
  <si>
    <t>04</t>
  </si>
  <si>
    <t>2020-06-226</t>
  </si>
  <si>
    <t>022-2020</t>
  </si>
  <si>
    <t>SVP20-516</t>
  </si>
  <si>
    <t>2020-INFRA-046</t>
  </si>
  <si>
    <t>NDCP-RFQ-035-05-20</t>
  </si>
  <si>
    <t>B-038-2020</t>
  </si>
  <si>
    <t>PBG-2020-06-18</t>
  </si>
  <si>
    <t>RFQ-SVP-2020-010</t>
  </si>
  <si>
    <t>2020-01-006</t>
  </si>
  <si>
    <t>021-2020</t>
  </si>
  <si>
    <t>RFQ-2020-0015</t>
  </si>
  <si>
    <t>Repair/Rehabilitation of Building and Structure (I</t>
  </si>
  <si>
    <t>12-070720</t>
  </si>
  <si>
    <t>11-070720</t>
  </si>
  <si>
    <t>10-070720</t>
  </si>
  <si>
    <t>2020-INFRA-045</t>
  </si>
  <si>
    <t>9-070720</t>
  </si>
  <si>
    <t>8-070720</t>
  </si>
  <si>
    <t>20-05-0269</t>
  </si>
  <si>
    <t>1-072120</t>
  </si>
  <si>
    <t>16-070720</t>
  </si>
  <si>
    <t>2020-INFRA-047</t>
  </si>
  <si>
    <t>13-070720</t>
  </si>
  <si>
    <t>IB No. 2020-022</t>
  </si>
  <si>
    <t>DGS PR No. 1000032961</t>
  </si>
  <si>
    <t>15-070720</t>
  </si>
  <si>
    <t>7-070720</t>
  </si>
  <si>
    <t>6-070720</t>
  </si>
  <si>
    <t>2020-06-013- Goods</t>
  </si>
  <si>
    <t>2020-INFRA-048</t>
  </si>
  <si>
    <t>14-070720</t>
  </si>
  <si>
    <t>20-06-0280</t>
  </si>
  <si>
    <t>5-070720</t>
  </si>
  <si>
    <t>LGU-POZ 2020-0038</t>
  </si>
  <si>
    <t>Goods-114-2020</t>
  </si>
  <si>
    <t>618-2020-001</t>
  </si>
  <si>
    <t>2020-Barangay Cagudalo-002</t>
  </si>
  <si>
    <t>PMC-020-184 &amp; 020-185</t>
  </si>
  <si>
    <t>365-2020-001</t>
  </si>
  <si>
    <t>177-2020-002</t>
  </si>
  <si>
    <t>606-2020-002</t>
  </si>
  <si>
    <t>2020 A-06.094</t>
  </si>
  <si>
    <t>867-2020-001</t>
  </si>
  <si>
    <t>2020-9</t>
  </si>
  <si>
    <t>PMC-020-160 &amp; 020-175</t>
  </si>
  <si>
    <t>2020-INFRA-001</t>
  </si>
  <si>
    <t>LGU-POZ 2020-0039</t>
  </si>
  <si>
    <t>2020-06-11</t>
  </si>
  <si>
    <t>20-1428</t>
  </si>
  <si>
    <t>2020-111</t>
  </si>
  <si>
    <t>INFRA-2020-07-05</t>
  </si>
  <si>
    <t>PB-20-0060</t>
  </si>
  <si>
    <t>2020-110</t>
  </si>
  <si>
    <t>298-2020</t>
  </si>
  <si>
    <t>299-2020</t>
  </si>
  <si>
    <t>AC-2020-002</t>
  </si>
  <si>
    <t>083-2020</t>
  </si>
  <si>
    <t>INFRA-2020-07-04</t>
  </si>
  <si>
    <t>ROSAL-0346-2020</t>
  </si>
  <si>
    <t>20-1451</t>
  </si>
  <si>
    <t>RFQ-20IM001</t>
  </si>
  <si>
    <t>MG-A5M20-106</t>
  </si>
  <si>
    <t>LGU-POZ 2020-0037</t>
  </si>
  <si>
    <t>PB-20-0061</t>
  </si>
  <si>
    <t>06-2020-05</t>
  </si>
  <si>
    <t>20-1427</t>
  </si>
  <si>
    <t>20-1453</t>
  </si>
  <si>
    <t>20-06-886</t>
  </si>
  <si>
    <t>2020-048</t>
  </si>
  <si>
    <t>ROSAL-0337-2020</t>
  </si>
  <si>
    <t>2020-046</t>
  </si>
  <si>
    <t>2020-044</t>
  </si>
  <si>
    <t>PB-20-061</t>
  </si>
  <si>
    <t>NDP06-25</t>
  </si>
  <si>
    <t>1376-06-20</t>
  </si>
  <si>
    <t>297-2020</t>
  </si>
  <si>
    <t>2020-173</t>
  </si>
  <si>
    <t>2020-041</t>
  </si>
  <si>
    <t>2020-042</t>
  </si>
  <si>
    <t>BAC-GS No. 2020-168 dated 28 April 2020</t>
  </si>
  <si>
    <t>2020-178</t>
  </si>
  <si>
    <t>LGU-POZ 2020-0040</t>
  </si>
  <si>
    <t>2020-180</t>
  </si>
  <si>
    <t>2020-158</t>
  </si>
  <si>
    <t>RFQ-20IM004</t>
  </si>
  <si>
    <t>RIZAL-17JULY2020-1</t>
  </si>
  <si>
    <t>RFQ-20IM003</t>
  </si>
  <si>
    <t>RIZAL-17JULY2020-2</t>
  </si>
  <si>
    <t>P.R. No. X7-20-05-205</t>
  </si>
  <si>
    <t>RFQ-20IM002</t>
  </si>
  <si>
    <t>P.R. No. X1-20-05-218</t>
  </si>
  <si>
    <t>P.R. No. X7-20-06-229</t>
  </si>
  <si>
    <t>P.R. No. X7-20-06-228</t>
  </si>
  <si>
    <t>6-15-20-ID4</t>
  </si>
  <si>
    <t>PRDP-IR-R005-CAN-002-000-000-2015-e</t>
  </si>
  <si>
    <t>2020-197</t>
  </si>
  <si>
    <t>2020-195</t>
  </si>
  <si>
    <t>2020-192</t>
  </si>
  <si>
    <t>P.R. No. X3-20-03-179</t>
  </si>
  <si>
    <t>2020-054</t>
  </si>
  <si>
    <t>19CSK00051</t>
  </si>
  <si>
    <t>RIZAL-17JULY2020-7</t>
  </si>
  <si>
    <t>RIZAL-17JULY2020-6</t>
  </si>
  <si>
    <t>19CSK00050</t>
  </si>
  <si>
    <t>P.R. No. X11-20-06-221</t>
  </si>
  <si>
    <t>RIZAL-17JULY2020-4</t>
  </si>
  <si>
    <t>20-1444</t>
  </si>
  <si>
    <t>RIZAL-17JULY2020-10</t>
  </si>
  <si>
    <t>2020-055</t>
  </si>
  <si>
    <t>RIZAL-17JULY2020-8</t>
  </si>
  <si>
    <t>P.R. No. X1-20-04-197</t>
  </si>
  <si>
    <t>P.R. No. X3-20-03-178</t>
  </si>
  <si>
    <t>RIZAL-17JULY2020-3</t>
  </si>
  <si>
    <t>RIZAL-17JULY2020-9</t>
  </si>
  <si>
    <t>RIZAL-17JULY2020-5</t>
  </si>
  <si>
    <t>19CSK00052</t>
  </si>
  <si>
    <t>RIZAL-17JULY2020-11</t>
  </si>
  <si>
    <t>DA3-2020-171-02-17-2020</t>
  </si>
  <si>
    <t>RIZAL-17JULY2020-15</t>
  </si>
  <si>
    <t>RIZAL-17JULY2020-14</t>
  </si>
  <si>
    <t>RIZAL-17JULY2020-13</t>
  </si>
  <si>
    <t>RIZAL-17JULY2020-12</t>
  </si>
  <si>
    <t>AFVDBCD 2020-06-047</t>
  </si>
  <si>
    <t>2020-Barangay guinsorongan-002</t>
  </si>
  <si>
    <t>SV-0651-2020</t>
  </si>
  <si>
    <t>Sip-2020-075</t>
  </si>
  <si>
    <t>Bac-Pg-001-20</t>
  </si>
  <si>
    <t>caybc-2020-06-01</t>
  </si>
  <si>
    <t>2020-105</t>
  </si>
  <si>
    <t>2020-06-00025</t>
  </si>
  <si>
    <t>SV-0646-2020</t>
  </si>
  <si>
    <t>PB-20-0062</t>
  </si>
  <si>
    <t>117382</t>
  </si>
  <si>
    <t>PB-20-0063</t>
  </si>
  <si>
    <t>PB-0620-39</t>
  </si>
  <si>
    <t>Goods-115-2020</t>
  </si>
  <si>
    <t>PR 20-06-0253</t>
  </si>
  <si>
    <t>Sip-2020-076</t>
  </si>
  <si>
    <t>2020-Barangay Pupua-02</t>
  </si>
  <si>
    <t>Sip-2020-077</t>
  </si>
  <si>
    <t>PB-0620-41</t>
  </si>
  <si>
    <t>20-05-07-0182</t>
  </si>
  <si>
    <t>PB-20-0064</t>
  </si>
  <si>
    <t>B-06-22-20</t>
  </si>
  <si>
    <t>PR-2020-</t>
  </si>
  <si>
    <t>PB-20-0066</t>
  </si>
  <si>
    <t>6-30</t>
  </si>
  <si>
    <t>RFQ - PR No. 2020-06-0124 dated 6-19-20</t>
  </si>
  <si>
    <t>2020-12</t>
  </si>
  <si>
    <t>2006-0544-RRCY</t>
  </si>
  <si>
    <t>RIZAL-17JULY2020-17</t>
  </si>
  <si>
    <t>TCMO 20-143</t>
  </si>
  <si>
    <t>Bac-Pg-002-20</t>
  </si>
  <si>
    <t>ITB 19-2020</t>
  </si>
  <si>
    <t>2020-06-054</t>
  </si>
  <si>
    <t>2-06262020</t>
  </si>
  <si>
    <t>PB-0620-44</t>
  </si>
  <si>
    <t>RIZAL-17JULY2020-16</t>
  </si>
  <si>
    <t>2020-Barangay ibol-002</t>
  </si>
  <si>
    <t>2020-06-056</t>
  </si>
  <si>
    <t>20-06-012</t>
  </si>
  <si>
    <t>PB-20-0065</t>
  </si>
  <si>
    <t>109924-2020-14</t>
  </si>
  <si>
    <t>6-20-46</t>
  </si>
  <si>
    <t>PB-20-0067</t>
  </si>
  <si>
    <t>2020-06-055</t>
  </si>
  <si>
    <t>6-14</t>
  </si>
  <si>
    <t>PB-20-0068</t>
  </si>
  <si>
    <t>6-28</t>
  </si>
  <si>
    <t>SMAC-SVP-2020-006</t>
  </si>
  <si>
    <t>2020-02-MOTORCYCLE-01</t>
  </si>
  <si>
    <t>2020-06-222</t>
  </si>
  <si>
    <t>2020 10</t>
  </si>
  <si>
    <t>4-06202020</t>
  </si>
  <si>
    <t>19CSK00057</t>
  </si>
  <si>
    <t>20-03-0173</t>
  </si>
  <si>
    <t>102CO-2020-242</t>
  </si>
  <si>
    <t>8-06262020</t>
  </si>
  <si>
    <t>B-06-25-20</t>
  </si>
  <si>
    <t>IB-05-0400-20VPAA,2020-06-04-095TC</t>
  </si>
  <si>
    <t>6-16</t>
  </si>
  <si>
    <t>PB-20-0070</t>
  </si>
  <si>
    <t>7-06262020</t>
  </si>
  <si>
    <t>068-2020</t>
  </si>
  <si>
    <t>6-33</t>
  </si>
  <si>
    <t>PB-20-0069</t>
  </si>
  <si>
    <t>5020301000-849-20</t>
  </si>
  <si>
    <t>B-06-23-2020</t>
  </si>
  <si>
    <t>BSU Project No. 2020-214</t>
  </si>
  <si>
    <t>5-06262020</t>
  </si>
  <si>
    <t>6-37</t>
  </si>
  <si>
    <t>PR 06-20-061</t>
  </si>
  <si>
    <t>2020-06-005</t>
  </si>
  <si>
    <t>PB-20-0074</t>
  </si>
  <si>
    <t>BSU Project No. 2020-215</t>
  </si>
  <si>
    <t>20-06-890</t>
  </si>
  <si>
    <t>PB-20-0073</t>
  </si>
  <si>
    <t>BSU Project No. 2020-216</t>
  </si>
  <si>
    <t>11-06262020</t>
  </si>
  <si>
    <t>2020 12</t>
  </si>
  <si>
    <t>06-26-2020</t>
  </si>
  <si>
    <t>6-20-47</t>
  </si>
  <si>
    <t>10-06262020</t>
  </si>
  <si>
    <t>PR No. 2020-06-013</t>
  </si>
  <si>
    <t>6-31</t>
  </si>
  <si>
    <t>2020-008</t>
  </si>
  <si>
    <t>20AA0351</t>
  </si>
  <si>
    <t>PB-20-0072</t>
  </si>
  <si>
    <t>SAN2020-008</t>
  </si>
  <si>
    <t>PR-No.01</t>
  </si>
  <si>
    <t>6-06262020</t>
  </si>
  <si>
    <t>CY 2020-TF (Provincial Government Assistance Fund)</t>
  </si>
  <si>
    <t>PB-20-0071</t>
  </si>
  <si>
    <t>5020301000-851-20</t>
  </si>
  <si>
    <t>PR No. 2020-06-012</t>
  </si>
  <si>
    <t>6-20-48</t>
  </si>
  <si>
    <t>RFQ No. 87-2020-G (1 Canvass)</t>
  </si>
  <si>
    <t>PB-20-0076</t>
  </si>
  <si>
    <t>SV-0778-2020</t>
  </si>
  <si>
    <t>SMAC-PB-2020-002</t>
  </si>
  <si>
    <t>PB-0620-46</t>
  </si>
  <si>
    <t>Goods 2020-34</t>
  </si>
  <si>
    <t>PR NO. 100-8751-20-06-0634</t>
  </si>
  <si>
    <t>100(01)20-06-366(A)</t>
  </si>
  <si>
    <t>PB-0620-45</t>
  </si>
  <si>
    <t>SVP 2020-373</t>
  </si>
  <si>
    <t>003</t>
  </si>
  <si>
    <t>PB-20-0075</t>
  </si>
  <si>
    <t>5020399000-850-20</t>
  </si>
  <si>
    <t>5020305000-852-20</t>
  </si>
  <si>
    <t>PB-20-0079</t>
  </si>
  <si>
    <t>20-06-0271</t>
  </si>
  <si>
    <t>2020-47</t>
  </si>
  <si>
    <t>SVP 2020-375</t>
  </si>
  <si>
    <t>PB-20-0078</t>
  </si>
  <si>
    <t>2020-06-0642 TDG</t>
  </si>
  <si>
    <t>RFQ No. 89-2020-G (1 Canvass)</t>
  </si>
  <si>
    <t>SV-0642-2020</t>
  </si>
  <si>
    <t>2020-06-0645 TDG</t>
  </si>
  <si>
    <t>PB-20-0077</t>
  </si>
  <si>
    <t>SVP 2020-367</t>
  </si>
  <si>
    <t>RFQ No. 88-2020-G (1 Canvass)</t>
  </si>
  <si>
    <t>BSU Project No. 2020-217</t>
  </si>
  <si>
    <t>2020-46</t>
  </si>
  <si>
    <t>N-I-2020-0020</t>
  </si>
  <si>
    <t>PB-0620-47</t>
  </si>
  <si>
    <t>06262020001</t>
  </si>
  <si>
    <t>NP-SVP-306-2020</t>
  </si>
  <si>
    <t>Goods 2020-29</t>
  </si>
  <si>
    <t>SVP 2020-366</t>
  </si>
  <si>
    <t>NP-SVP-305-2020</t>
  </si>
  <si>
    <t>PB-0620-48</t>
  </si>
  <si>
    <t>PBDD-20-06-016</t>
  </si>
  <si>
    <t>PR20-06-0255</t>
  </si>
  <si>
    <t>PB-0620-49</t>
  </si>
  <si>
    <t>2020-06-012</t>
  </si>
  <si>
    <t>2020-0062</t>
  </si>
  <si>
    <t>PB-20-0080</t>
  </si>
  <si>
    <t>MAR-0050RFQ-2020</t>
  </si>
  <si>
    <t>SVP 2020-376</t>
  </si>
  <si>
    <t>NP-SVP-304-2020</t>
  </si>
  <si>
    <t>20-rtf-06-067</t>
  </si>
  <si>
    <t>ISPQ 064-2020</t>
  </si>
  <si>
    <t>20GGM0008</t>
  </si>
  <si>
    <t>RFQ-20IM005</t>
  </si>
  <si>
    <t>NP-SVP-307-2020</t>
  </si>
  <si>
    <t>MPQ-062620-95</t>
  </si>
  <si>
    <t>2020-06-312</t>
  </si>
  <si>
    <t>062620</t>
  </si>
  <si>
    <t>5029905003-854-20</t>
  </si>
  <si>
    <t>2020-G-016</t>
  </si>
  <si>
    <t>2020-PR20-716-195</t>
  </si>
  <si>
    <t>2020-06-311</t>
  </si>
  <si>
    <t>2020-06-0085</t>
  </si>
  <si>
    <t>3-06262020</t>
  </si>
  <si>
    <t>PB NO. RR5BAC-2020-008</t>
  </si>
  <si>
    <t>NP-SVP-309-2020</t>
  </si>
  <si>
    <t>TalabanES117107-2020-002</t>
  </si>
  <si>
    <t>5020399000-853-20</t>
  </si>
  <si>
    <t>20CSCE005</t>
  </si>
  <si>
    <t>NP-SVP-308-2020</t>
  </si>
  <si>
    <t>2020-48</t>
  </si>
  <si>
    <t>2020-0065</t>
  </si>
  <si>
    <t>044-2020</t>
  </si>
  <si>
    <t>043-2020</t>
  </si>
  <si>
    <t>200-2020-04-138</t>
  </si>
  <si>
    <t xml:space="preserve">PR 2.033 ITB NO. 2020-030 CORPORATE TOTE BAG WITH </t>
  </si>
  <si>
    <t>PB-0620-51</t>
  </si>
  <si>
    <t>042-2020</t>
  </si>
  <si>
    <t>PB-0620-50</t>
  </si>
  <si>
    <t>2020-06-0074</t>
  </si>
  <si>
    <t>20-024</t>
  </si>
  <si>
    <t>2020-PR20-734-194</t>
  </si>
  <si>
    <t>FMWC-0620-001</t>
  </si>
  <si>
    <t>20-06-0300</t>
  </si>
  <si>
    <t>HNSLG-0620-00026</t>
  </si>
  <si>
    <t>9-06262020</t>
  </si>
  <si>
    <t>ISPQ 063-2020</t>
  </si>
  <si>
    <t>20-051</t>
  </si>
  <si>
    <t>20-020</t>
  </si>
  <si>
    <t>2020-06-070</t>
  </si>
  <si>
    <t>ITB 20-2020</t>
  </si>
  <si>
    <t>20-06-014</t>
  </si>
  <si>
    <t>2020-0626-1G</t>
  </si>
  <si>
    <t>20-023</t>
  </si>
  <si>
    <t>20-021</t>
  </si>
  <si>
    <t>PB-0620-32</t>
  </si>
  <si>
    <t>PB-0520-26</t>
  </si>
  <si>
    <t>Publication no. 2020-05</t>
  </si>
  <si>
    <t>06-001-20</t>
  </si>
  <si>
    <t>20-06-015</t>
  </si>
  <si>
    <t>PB-0620-29</t>
  </si>
  <si>
    <t>LGULAGONOY-BAC-020-GOODS-051</t>
  </si>
  <si>
    <t>2020-05-001</t>
  </si>
  <si>
    <t>ITB-2020-013</t>
  </si>
  <si>
    <t>2020MC-SVP057</t>
  </si>
  <si>
    <t>PB-0520-28</t>
  </si>
  <si>
    <t>Aklan BAC ITB 370 Series of 2020</t>
  </si>
  <si>
    <t>2020-06-19-237</t>
  </si>
  <si>
    <t>6-20-49</t>
  </si>
  <si>
    <t>SAN2020-009</t>
  </si>
  <si>
    <t>20-019</t>
  </si>
  <si>
    <t>Mkna-GSO-20-286</t>
  </si>
  <si>
    <t>20-06-062</t>
  </si>
  <si>
    <t>BAC 20-20</t>
  </si>
  <si>
    <t>RFQ 2020-52</t>
  </si>
  <si>
    <t>2020-101</t>
  </si>
  <si>
    <t>20EHG011</t>
  </si>
  <si>
    <t>2020-081</t>
  </si>
  <si>
    <t>GEN-5873</t>
  </si>
  <si>
    <t>2020-06-0080</t>
  </si>
  <si>
    <t>ITB-2020-08</t>
  </si>
  <si>
    <t>2020-115</t>
  </si>
  <si>
    <t>Infra Projects 15-2020</t>
  </si>
  <si>
    <t>LGU-BALINGASAG-9005-20-064</t>
  </si>
  <si>
    <t>2020-114</t>
  </si>
  <si>
    <t>aurpcruz 2020-006</t>
  </si>
  <si>
    <t>2020-06-16-194</t>
  </si>
  <si>
    <t>Goods-06-2020</t>
  </si>
  <si>
    <t>Infra Projects 17-2020</t>
  </si>
  <si>
    <t>Aklan BAC ITB 369 Series of 2020</t>
  </si>
  <si>
    <t>2020-113</t>
  </si>
  <si>
    <t>20-2020</t>
  </si>
  <si>
    <t>GoodSSVP-48-2020</t>
  </si>
  <si>
    <t>2020MC-SVP058</t>
  </si>
  <si>
    <t>2020MC-SVP060</t>
  </si>
  <si>
    <t>GoodSSVP-49-2020</t>
  </si>
  <si>
    <t>PR 2020-06-0054</t>
  </si>
  <si>
    <t>IB-20-011-GOODS-FCSMO</t>
  </si>
  <si>
    <t>2020MC-SVP059</t>
  </si>
  <si>
    <t>2020-06-23-299</t>
  </si>
  <si>
    <t>2020-102</t>
  </si>
  <si>
    <t>GoodSSVP-51-2020</t>
  </si>
  <si>
    <t>PR No.: 2020-06-0295</t>
  </si>
  <si>
    <t>none</t>
  </si>
  <si>
    <t>PR No.: 2020-06-0298</t>
  </si>
  <si>
    <t>ITB 2020-014</t>
  </si>
  <si>
    <t>2-072120</t>
  </si>
  <si>
    <t>20-06-082-N</t>
  </si>
  <si>
    <t>GoodSSVP-52-2020</t>
  </si>
  <si>
    <t>2020-PR20-737-196</t>
  </si>
  <si>
    <t>RFQ No. 20-084: Supply and Delivery of Various Adv</t>
  </si>
  <si>
    <t>1601</t>
  </si>
  <si>
    <t>2020-06-23-298</t>
  </si>
  <si>
    <t>IB-20-013-GOODS-PRFS</t>
  </si>
  <si>
    <t>PB-2020-184-010</t>
  </si>
  <si>
    <t>2020-74 (GAS)</t>
  </si>
  <si>
    <t>3-072120</t>
  </si>
  <si>
    <t>PR #78</t>
  </si>
  <si>
    <t>SVP-073-2020</t>
  </si>
  <si>
    <t>2020-112</t>
  </si>
  <si>
    <t>P-0638</t>
  </si>
  <si>
    <t>IB-20-014-GOODS-FCSMO</t>
  </si>
  <si>
    <t>ITB No. 2020-01</t>
  </si>
  <si>
    <t>2020-73 (GAS)</t>
  </si>
  <si>
    <t>RFQ 20-083: Supply and Delivery of Various Enginee</t>
  </si>
  <si>
    <t>1574</t>
  </si>
  <si>
    <t>2020-083</t>
  </si>
  <si>
    <t>Mkna-GSO-20-287</t>
  </si>
  <si>
    <t>1504</t>
  </si>
  <si>
    <t>AGGDS2020-0629C</t>
  </si>
  <si>
    <t>AGGDS2020-0629B</t>
  </si>
  <si>
    <t>AGGDS2020-0629A</t>
  </si>
  <si>
    <t>20-VI-07</t>
  </si>
  <si>
    <t>001-20</t>
  </si>
  <si>
    <t>106</t>
  </si>
  <si>
    <t>RFQ2020-030</t>
  </si>
  <si>
    <t>2020-06-57</t>
  </si>
  <si>
    <t>1602</t>
  </si>
  <si>
    <t>1603</t>
  </si>
  <si>
    <t>REF #044-06-2020</t>
  </si>
  <si>
    <t>PB-2020-101-009</t>
  </si>
  <si>
    <t>RFQ_2020_011</t>
  </si>
  <si>
    <t>PBG-2020-07-21</t>
  </si>
  <si>
    <t>itb 2020-32</t>
  </si>
  <si>
    <t>ITB NO. 003-06-2020</t>
  </si>
  <si>
    <t>itb 2020-31</t>
  </si>
  <si>
    <t>2020-06-03B</t>
  </si>
  <si>
    <t>Infra EDF 07-2020</t>
  </si>
  <si>
    <t>RFQ_2020_012</t>
  </si>
  <si>
    <t>itb 2020-34</t>
  </si>
  <si>
    <t>itb 2020-33</t>
  </si>
  <si>
    <t>RFQ_2020_010</t>
  </si>
  <si>
    <t>20-0114</t>
  </si>
  <si>
    <t>InTB-PGADILGPRNDPCMGP2020CW2</t>
  </si>
  <si>
    <t>RFQ - 2020-06-01</t>
  </si>
  <si>
    <t>NIA-NOIMO-GOODS-HILABANGAN-LFPS-07-2020</t>
  </si>
  <si>
    <t>1000032384</t>
  </si>
  <si>
    <t>Infra Projects 16-2020</t>
  </si>
  <si>
    <t>2020-72 (GAS)</t>
  </si>
  <si>
    <t>20-034</t>
  </si>
  <si>
    <t>InTB-PGADILGPRNDPCMGP2020CW1</t>
  </si>
  <si>
    <t>RFQ_2020_008</t>
  </si>
  <si>
    <t>CRPIP-2020-06-082</t>
  </si>
  <si>
    <t>20-06-011</t>
  </si>
  <si>
    <t>Goods 2020-35</t>
  </si>
  <si>
    <t>C-069-2020</t>
  </si>
  <si>
    <t>2020-06-0086</t>
  </si>
  <si>
    <t>RFQ No. 20-079: Supply and Delivery of Various Sem</t>
  </si>
  <si>
    <t>PB-0620-43</t>
  </si>
  <si>
    <t>T2-0220-001</t>
  </si>
  <si>
    <t>GoodSSVP-50-2020</t>
  </si>
  <si>
    <t>RFQ 087-2020</t>
  </si>
  <si>
    <t>20-0119</t>
  </si>
  <si>
    <t>RFQ 088-2020</t>
  </si>
  <si>
    <t>20-0118</t>
  </si>
  <si>
    <t>RFQ BALOGO ES JULY 2020</t>
  </si>
  <si>
    <t>RFQ BALOGO ES- JUNE 2020</t>
  </si>
  <si>
    <t>20-0115</t>
  </si>
  <si>
    <t>2020 Caib 104</t>
  </si>
  <si>
    <t>RFQ BALOGO ES MAY 2020</t>
  </si>
  <si>
    <t>RFQ BALOGO ES APRIL 2020</t>
  </si>
  <si>
    <t>SNFPR7</t>
  </si>
  <si>
    <t>SNFPR5</t>
  </si>
  <si>
    <t>RFQ LUSOK ES APRIL 2020</t>
  </si>
  <si>
    <t>20-VI-05</t>
  </si>
  <si>
    <t>RFQ BALOGO ES JULY 1 2020</t>
  </si>
  <si>
    <t>SVP 2020-368</t>
  </si>
  <si>
    <t>20-0125</t>
  </si>
  <si>
    <t>4-072120</t>
  </si>
  <si>
    <t>20-0124</t>
  </si>
  <si>
    <t>RFQ HUPIES JULY 2020</t>
  </si>
  <si>
    <t>20-VI-09</t>
  </si>
  <si>
    <t>20-0123</t>
  </si>
  <si>
    <t>RFQ HUPIES JUNE 2020</t>
  </si>
  <si>
    <t>RFQ HUPIES APRIL 2020</t>
  </si>
  <si>
    <t>20-VI-06</t>
  </si>
  <si>
    <t>RFQ HUPI ES APRIL 2020</t>
  </si>
  <si>
    <t>20-0122</t>
  </si>
  <si>
    <t>2020-181</t>
  </si>
  <si>
    <t>RFQ # 20-102</t>
  </si>
  <si>
    <t>2020-330</t>
  </si>
  <si>
    <t>RFQ # 20-098</t>
  </si>
  <si>
    <t>2020-251</t>
  </si>
  <si>
    <t>ITDI-200221_REBID</t>
  </si>
  <si>
    <t>2020-245</t>
  </si>
  <si>
    <t>RFQ # 20-101</t>
  </si>
  <si>
    <t>2020-234</t>
  </si>
  <si>
    <t>2020-324</t>
  </si>
  <si>
    <t>2020-219</t>
  </si>
  <si>
    <t>sapa2-2020-003</t>
  </si>
  <si>
    <t>2020-328</t>
  </si>
  <si>
    <t>silanganuno 2020-001</t>
  </si>
  <si>
    <t>RFQ # 20-112</t>
  </si>
  <si>
    <t>2020-203</t>
  </si>
  <si>
    <t>RFQ # 20-111</t>
  </si>
  <si>
    <t>RFQ # 20-109</t>
  </si>
  <si>
    <t>IB-20-012-GOODS-MIS</t>
  </si>
  <si>
    <t>RFQ # 20-108</t>
  </si>
  <si>
    <t>RFQ # 20-107</t>
  </si>
  <si>
    <t>RFQ # 20-106</t>
  </si>
  <si>
    <t>PR#2020-06-078</t>
  </si>
  <si>
    <t>2020-082</t>
  </si>
  <si>
    <t>RFQ # 20-110</t>
  </si>
  <si>
    <t>RFQ # 20-105</t>
  </si>
  <si>
    <t>2020-361</t>
  </si>
  <si>
    <t>2020-357</t>
  </si>
  <si>
    <t>2020-381</t>
  </si>
  <si>
    <t>C-071-2020</t>
  </si>
  <si>
    <t>PR#2020-06-087</t>
  </si>
  <si>
    <t>B-G-2020-096</t>
  </si>
  <si>
    <t>B-G-2020-095</t>
  </si>
  <si>
    <t>2020-371</t>
  </si>
  <si>
    <t>SVP 2020-372</t>
  </si>
  <si>
    <t>ADM-20-06-0499</t>
  </si>
  <si>
    <t>RFQ # 20-104</t>
  </si>
  <si>
    <t>RFQ_2020_09</t>
  </si>
  <si>
    <t>SVP 2020-370</t>
  </si>
  <si>
    <t>NP 2020-24</t>
  </si>
  <si>
    <t>NP 2020-20</t>
  </si>
  <si>
    <t>07-27-2020-02</t>
  </si>
  <si>
    <t>NP 2020-18 (Request for Quotation) SUPPLY AND DELI</t>
  </si>
  <si>
    <t>SVP 2020-374</t>
  </si>
  <si>
    <t>NP 2020-29</t>
  </si>
  <si>
    <t>2020-06-29-01</t>
  </si>
  <si>
    <t>NP 19-104</t>
  </si>
  <si>
    <t>NP 2020-19</t>
  </si>
  <si>
    <t>GF 2020-06-03</t>
  </si>
  <si>
    <t>2020 19</t>
  </si>
  <si>
    <t>PR 2020-06-01</t>
  </si>
  <si>
    <t>202006M</t>
  </si>
  <si>
    <t>PDA2020-003</t>
  </si>
  <si>
    <t>2020 05</t>
  </si>
  <si>
    <t>HNSLG-0320-0013</t>
  </si>
  <si>
    <t>20GGF0019</t>
  </si>
  <si>
    <t>2020 06</t>
  </si>
  <si>
    <t>07-27-2020-03</t>
  </si>
  <si>
    <t>RFQ2020-06-097</t>
  </si>
  <si>
    <t>011-2020</t>
  </si>
  <si>
    <t>GOODS-RFQ-2020-06-008</t>
  </si>
  <si>
    <t>2020-01-02</t>
  </si>
  <si>
    <t>2020-06-29-07</t>
  </si>
  <si>
    <t>20GGF0018</t>
  </si>
  <si>
    <t>ITB-2020-56</t>
  </si>
  <si>
    <t>2020-06-224</t>
  </si>
  <si>
    <t>2020-06-29-05</t>
  </si>
  <si>
    <t>B-CW-2020-025</t>
  </si>
  <si>
    <t>B-CW-2020-024</t>
  </si>
  <si>
    <t>2020-06-29-06</t>
  </si>
  <si>
    <t>ITB-Manipis-ACU</t>
  </si>
  <si>
    <t>ITB-2020-55</t>
  </si>
  <si>
    <t>B-CW-2020-026</t>
  </si>
  <si>
    <t>045-2020</t>
  </si>
  <si>
    <t>20030200</t>
  </si>
  <si>
    <t>20GAA0104</t>
  </si>
  <si>
    <t>PR # 2020-06-110</t>
  </si>
  <si>
    <t>2020-06-018RFQ</t>
  </si>
  <si>
    <t>20GAA0099</t>
  </si>
  <si>
    <t>ITB No. GOP/20-DSWD-033-A</t>
  </si>
  <si>
    <t>20GAA0097</t>
  </si>
  <si>
    <t>20GAA0096</t>
  </si>
  <si>
    <t>DOST XI 2020-030</t>
  </si>
  <si>
    <t>Procurement of Malaria Test Kit (Antigen Assay) wi</t>
  </si>
  <si>
    <t>20GAA0102</t>
  </si>
  <si>
    <t>Goods 0027-2020</t>
  </si>
  <si>
    <t>DDN_07/02/2020</t>
  </si>
  <si>
    <t>20GAA0095</t>
  </si>
  <si>
    <t>IB CW NO. 2020-001</t>
  </si>
  <si>
    <t>BFP Caraga 2020-06-009</t>
  </si>
  <si>
    <t>SVP-BRIDGE-062020-135</t>
  </si>
  <si>
    <t>B-CW-2020-031</t>
  </si>
  <si>
    <t>2020-02-088</t>
  </si>
  <si>
    <t>B-CW-2020-030</t>
  </si>
  <si>
    <t>2020030010</t>
  </si>
  <si>
    <t>101-20-02</t>
  </si>
  <si>
    <t>20GAA0103</t>
  </si>
  <si>
    <t>bir pb 2020-02 infra</t>
  </si>
  <si>
    <t>2020-06-0496</t>
  </si>
  <si>
    <t>06-228-2020</t>
  </si>
  <si>
    <t>2020-06-017RFQ</t>
  </si>
  <si>
    <t>2020-06-0084</t>
  </si>
  <si>
    <t>2020-06-0083</t>
  </si>
  <si>
    <t>bir pb 2020-03 infra</t>
  </si>
  <si>
    <t>2020030012</t>
  </si>
  <si>
    <t>ITB-PUBLIC TOILET-20-07-002</t>
  </si>
  <si>
    <t>ITB-COMMUNITY KITCHEN-20-07-001</t>
  </si>
  <si>
    <t>117018</t>
  </si>
  <si>
    <t>BRGY699 - 2020 - 03</t>
  </si>
  <si>
    <t>2020030007</t>
  </si>
  <si>
    <t>2020-07-03-124NP</t>
  </si>
  <si>
    <t>20GLH0015 (P.R. No. 2020-06-031 dated 06/10/2020)</t>
  </si>
  <si>
    <t>DA3-2020-06-23-373</t>
  </si>
  <si>
    <t>BAC-HO GS No. 2020-0345 dated 11 June 2020 (SSD)</t>
  </si>
  <si>
    <t>SVP 2020-06-377</t>
  </si>
  <si>
    <t>2020-07-03-122NP</t>
  </si>
  <si>
    <t>2020-GE06-0008</t>
  </si>
  <si>
    <t>06-128-2020</t>
  </si>
  <si>
    <t>UPLB-I-020-07-20 SUPPLY, DELIVERY, INSTALLATION, T</t>
  </si>
  <si>
    <t>2020-07-03-123NP</t>
  </si>
  <si>
    <t>ITDI-200453</t>
  </si>
  <si>
    <t>2020-06-347</t>
  </si>
  <si>
    <t>ITDI-200451</t>
  </si>
  <si>
    <t>SVP-BRIDGE-062020-134</t>
  </si>
  <si>
    <t>2020030009</t>
  </si>
  <si>
    <t>2020-GE06-0010</t>
  </si>
  <si>
    <t>RFQ20-28-GPS</t>
  </si>
  <si>
    <t>2020-GE06-0011</t>
  </si>
  <si>
    <t>RFQ-2020-06-194</t>
  </si>
  <si>
    <t>ITDI-200273_REBID</t>
  </si>
  <si>
    <t>ITDI-200452</t>
  </si>
  <si>
    <t>2020-07-03-125NP</t>
  </si>
  <si>
    <t>ITDI-200207_REBID</t>
  </si>
  <si>
    <t>2020-GE06-0012</t>
  </si>
  <si>
    <t>ITDI-200447</t>
  </si>
  <si>
    <t>ITB No. 2020-06-052</t>
  </si>
  <si>
    <t>06-2020-001</t>
  </si>
  <si>
    <t>2020-07-03-121NP</t>
  </si>
  <si>
    <t>2020-GE)6-0009</t>
  </si>
  <si>
    <t>2020-07-03-120NP</t>
  </si>
  <si>
    <t>DA3-2020-06-23-374</t>
  </si>
  <si>
    <t>Napangan-2020-G01</t>
  </si>
  <si>
    <t>2020030008</t>
  </si>
  <si>
    <t>B-CW-2020-029</t>
  </si>
  <si>
    <t>046-2020</t>
  </si>
  <si>
    <t>SVP-BRIDGE-062020-132</t>
  </si>
  <si>
    <t>20GLH0014 (P.R. No. 2020-06-030 dated 06/10/2020)</t>
  </si>
  <si>
    <t>RFQ 2020-06-024 - PR 2020-06-032</t>
  </si>
  <si>
    <t>20GAA0091</t>
  </si>
  <si>
    <t>DOST XI 2020-028</t>
  </si>
  <si>
    <t>InTB-PGA7171PEO2020-CW5</t>
  </si>
  <si>
    <t>SVP-BRIDGE-062020-133</t>
  </si>
  <si>
    <t>ITB-2020-57</t>
  </si>
  <si>
    <t>DOST XI 2020-029</t>
  </si>
  <si>
    <t>PF-0620-618</t>
  </si>
  <si>
    <t>B-CW-2020-027</t>
  </si>
  <si>
    <t>RFQ-2020-77</t>
  </si>
  <si>
    <t>BAC-GS No. 2020-041</t>
  </si>
  <si>
    <t>041-2020</t>
  </si>
  <si>
    <t>ITDI-200457</t>
  </si>
  <si>
    <t>B-CW-2020-028</t>
  </si>
  <si>
    <t>ITB No. 2020-06-053</t>
  </si>
  <si>
    <t>RFQ-2020-06-259</t>
  </si>
  <si>
    <t>C-074-2020</t>
  </si>
  <si>
    <t>B-G-2020-097</t>
  </si>
  <si>
    <t>ITDI-200458</t>
  </si>
  <si>
    <t>REF NO. 033(2)-04-2020</t>
  </si>
  <si>
    <t>RFQ-2020-06-258</t>
  </si>
  <si>
    <t>ITDI-200446A</t>
  </si>
  <si>
    <t>RFQ-2020-06-231</t>
  </si>
  <si>
    <t>ITDI-200454</t>
  </si>
  <si>
    <t>RFQ-2020-06-200</t>
  </si>
  <si>
    <t>SUPPLY AND INSTALLATION OF ELECTRICAL SERVICE WIRE</t>
  </si>
  <si>
    <t>RFQ-2020-06-196</t>
  </si>
  <si>
    <t>2020-06-225</t>
  </si>
  <si>
    <t>ITDI-200456</t>
  </si>
  <si>
    <t>RFQ2020-06-098</t>
  </si>
  <si>
    <t>INFRA-2020-07-07</t>
  </si>
  <si>
    <t>INFRA-2020-07-06</t>
  </si>
  <si>
    <t>2020-06-29-03</t>
  </si>
  <si>
    <t>RFQ-2020-06-234</t>
  </si>
  <si>
    <t>PR 1000033118</t>
  </si>
  <si>
    <t>INFRA-2020-07-03</t>
  </si>
  <si>
    <t>I-2020-017</t>
  </si>
  <si>
    <t>2020-06-29-04</t>
  </si>
  <si>
    <t>06-27-2020=01</t>
  </si>
  <si>
    <t>20GGF0017</t>
  </si>
  <si>
    <t>INFRA-2020-07-11</t>
  </si>
  <si>
    <t>20-VI-08</t>
  </si>
  <si>
    <t>2020-200</t>
  </si>
  <si>
    <t>2020-174</t>
  </si>
  <si>
    <t>INFRA-2020-07-02</t>
  </si>
  <si>
    <t>2020 Caib 105</t>
  </si>
  <si>
    <t>2020-06-29-02</t>
  </si>
  <si>
    <t>RFQ # 20-099</t>
  </si>
  <si>
    <t>RFQ-2020-06-263</t>
  </si>
  <si>
    <t>C-060-2020</t>
  </si>
  <si>
    <t>2020-198</t>
  </si>
  <si>
    <t>ADS-1496-20</t>
  </si>
  <si>
    <t>20-0121</t>
  </si>
  <si>
    <t>RFQ # 20-100</t>
  </si>
  <si>
    <t>2020-06-119</t>
  </si>
  <si>
    <t>I-2020-019</t>
  </si>
  <si>
    <t>ADS-1500-20</t>
  </si>
  <si>
    <t>RFQ LUSOK ES JUNE 2020</t>
  </si>
  <si>
    <t>RFQ-2020-06-262</t>
  </si>
  <si>
    <t>RFQ-2020-06-261</t>
  </si>
  <si>
    <t>C-073-2020</t>
  </si>
  <si>
    <t>ADS-1499-20</t>
  </si>
  <si>
    <t>I-2020-018</t>
  </si>
  <si>
    <t>2020-09</t>
  </si>
  <si>
    <t>20-0120</t>
  </si>
  <si>
    <t>RFQ LUSOK ES MAY 2020</t>
  </si>
  <si>
    <t>2020-06-009</t>
  </si>
  <si>
    <t>RFQ PR NO. 121-2020</t>
  </si>
  <si>
    <t>I-2020-016</t>
  </si>
  <si>
    <t>RFQ 086-2020</t>
  </si>
  <si>
    <t>RFQ-2020-06-260</t>
  </si>
  <si>
    <t>ADS-1490-20</t>
  </si>
  <si>
    <t>SVP-076-2020</t>
  </si>
  <si>
    <t>DHPP 010/013/018/023 CVHPP 013/013a/013b/013c/017</t>
  </si>
  <si>
    <t>20DK0116</t>
  </si>
  <si>
    <t>DENR-NCR, PR No. 2020-384 dtd 06/03/2020</t>
  </si>
  <si>
    <t>20DK0106</t>
  </si>
  <si>
    <t>2020-MO07</t>
  </si>
  <si>
    <t>C-066-2020</t>
  </si>
  <si>
    <t>2020-07-03-133NP</t>
  </si>
  <si>
    <t>2020-07-03-136NP</t>
  </si>
  <si>
    <t>2020-209-002</t>
  </si>
  <si>
    <t>2020-06-1009</t>
  </si>
  <si>
    <t>2020-07-03-135NP</t>
  </si>
  <si>
    <t>2020-07-03-134NP</t>
  </si>
  <si>
    <t>2020-54</t>
  </si>
  <si>
    <t>DENR-NCR, PR No. 2020-435 dtd 06/22/2020</t>
  </si>
  <si>
    <t>2020030006</t>
  </si>
  <si>
    <t>2020-07-03-132NP</t>
  </si>
  <si>
    <t>20DK0129 (Re-Invitation)</t>
  </si>
  <si>
    <t>2020-07-03-130NP</t>
  </si>
  <si>
    <t>2020-06-1008</t>
  </si>
  <si>
    <t>2020-07-03-128NP</t>
  </si>
  <si>
    <t>ADS-1493-20</t>
  </si>
  <si>
    <t>Barangay San Vicente 2020-06-002</t>
  </si>
  <si>
    <t>SHS2020-06-05</t>
  </si>
  <si>
    <t>PUBLIC BIDDING PR NO. 123-2020</t>
  </si>
  <si>
    <t>GOODS-PB-2020-004</t>
  </si>
  <si>
    <t>FSI-RFQ-2020-06-04</t>
  </si>
  <si>
    <t>2020-209-003</t>
  </si>
  <si>
    <t>Barangay San Vicente 2020-06-001</t>
  </si>
  <si>
    <t>2020-07-03-131NP</t>
  </si>
  <si>
    <t>SHS2020-06-03</t>
  </si>
  <si>
    <t>2020-06-0001</t>
  </si>
  <si>
    <t>SHS2020-06-02</t>
  </si>
  <si>
    <t>SHS2020-06-01</t>
  </si>
  <si>
    <t>2020-06-71</t>
  </si>
  <si>
    <t>Barangay 2-20-01</t>
  </si>
  <si>
    <t>2020-07-03-138NP</t>
  </si>
  <si>
    <t>20-017</t>
  </si>
  <si>
    <t>DENR1-ITB-20-005</t>
  </si>
  <si>
    <t>PUBLIC BIDDING PR NO. 122-2020</t>
  </si>
  <si>
    <t>N20-MAO-105</t>
  </si>
  <si>
    <t>SHS2020-06-07</t>
  </si>
  <si>
    <t>2020-SVP-288</t>
  </si>
  <si>
    <t>BAC GS No. 2020-0350 dated 16 June 2020</t>
  </si>
  <si>
    <t>2020-SVP-285</t>
  </si>
  <si>
    <t>1011-20-06-343</t>
  </si>
  <si>
    <t>2020-55</t>
  </si>
  <si>
    <t>SHS2020-06-04</t>
  </si>
  <si>
    <t>SHS2020-06-006</t>
  </si>
  <si>
    <t>DENR1-ITB-20-004</t>
  </si>
  <si>
    <t>1011-20-06-340</t>
  </si>
  <si>
    <t>2020-SVP-284</t>
  </si>
  <si>
    <t>20GID0020</t>
  </si>
  <si>
    <t>20BF0061</t>
  </si>
  <si>
    <t>20GID0017</t>
  </si>
  <si>
    <t>1011-20-06-344</t>
  </si>
  <si>
    <t>2020-14-04</t>
  </si>
  <si>
    <t>20GID0019</t>
  </si>
  <si>
    <t>2020-SVP-287</t>
  </si>
  <si>
    <t>8751-20-06-342</t>
  </si>
  <si>
    <t>06-0026-20</t>
  </si>
  <si>
    <t>RO6-2020-12</t>
  </si>
  <si>
    <t>PB-20-248</t>
  </si>
  <si>
    <t>20GID0018</t>
  </si>
  <si>
    <t>06-0023-20</t>
  </si>
  <si>
    <t>06-0025-20</t>
  </si>
  <si>
    <t>PB-20-326</t>
  </si>
  <si>
    <t>PR NO. 0793 - 20</t>
  </si>
  <si>
    <t>PB-20-345</t>
  </si>
  <si>
    <t>Various PR's</t>
  </si>
  <si>
    <t>06-0022-20</t>
  </si>
  <si>
    <t>06-0024-20</t>
  </si>
  <si>
    <t>PB-20-211</t>
  </si>
  <si>
    <t>2020-03-shs</t>
  </si>
  <si>
    <t>306489</t>
  </si>
  <si>
    <t>PR2006233</t>
  </si>
  <si>
    <t>SAHUD ULAN 2020 -001</t>
  </si>
  <si>
    <t>ITB-06-2020-008</t>
  </si>
  <si>
    <t>BAC-06-1049</t>
  </si>
  <si>
    <t>BLGU-BALOCAWEHAY-AL-03-2020</t>
  </si>
  <si>
    <t>Puspus-001-20</t>
  </si>
  <si>
    <t>ITB No. 2020-07</t>
  </si>
  <si>
    <t>3131-20</t>
  </si>
  <si>
    <t>BAC-06-1050</t>
  </si>
  <si>
    <t>3119-20</t>
  </si>
  <si>
    <t>06-Goods-2020</t>
  </si>
  <si>
    <t>3120-20</t>
  </si>
  <si>
    <t>DOT BAC REI No. 2020-009</t>
  </si>
  <si>
    <t>2020-02-364</t>
  </si>
  <si>
    <t>BAC-06-1051</t>
  </si>
  <si>
    <t>BLGU-BALOCAWEHAY-AL-02-2020</t>
  </si>
  <si>
    <t>0039-2020</t>
  </si>
  <si>
    <t>0059-2020</t>
  </si>
  <si>
    <t>0058-2020</t>
  </si>
  <si>
    <t>1122-20</t>
  </si>
  <si>
    <t>3118-20</t>
  </si>
  <si>
    <t>2481-20</t>
  </si>
  <si>
    <t>BLGU-BALOCAWEHAY-AL-01-2020</t>
  </si>
  <si>
    <t>2571-20</t>
  </si>
  <si>
    <t>2290-20</t>
  </si>
  <si>
    <t>2285-20</t>
  </si>
  <si>
    <t>20GG00019</t>
  </si>
  <si>
    <t>BAC-06-1052</t>
  </si>
  <si>
    <t>2253-20</t>
  </si>
  <si>
    <t>2300-20</t>
  </si>
  <si>
    <t>2242-20</t>
  </si>
  <si>
    <t>2506-20</t>
  </si>
  <si>
    <t>ITB-06-2020-010</t>
  </si>
  <si>
    <t>ITB-06-2020-009</t>
  </si>
  <si>
    <t>SVP-G-2020-014</t>
  </si>
  <si>
    <t>20-06-01-18</t>
  </si>
  <si>
    <t>SVP-G-2020-013</t>
  </si>
  <si>
    <t>2020-02-362</t>
  </si>
  <si>
    <t>ITB-06-2020-011</t>
  </si>
  <si>
    <t>2020-06-014</t>
  </si>
  <si>
    <t>2269-20</t>
  </si>
  <si>
    <t>20-06-02-19</t>
  </si>
  <si>
    <t>REF #038(1)-06-2020</t>
  </si>
  <si>
    <t>PB-20-341</t>
  </si>
  <si>
    <t>PB-20-340</t>
  </si>
  <si>
    <t>PB-20-320</t>
  </si>
  <si>
    <t>PB-20-047</t>
  </si>
  <si>
    <t>2267-20</t>
  </si>
  <si>
    <t>27-2020</t>
  </si>
  <si>
    <t>2020-08-0108</t>
  </si>
  <si>
    <t>015-06-2020</t>
  </si>
  <si>
    <t>BWD-2020-08</t>
  </si>
  <si>
    <t>2020-159-I</t>
  </si>
  <si>
    <t>BAC PB 2020 - 43</t>
  </si>
  <si>
    <t>28-2020</t>
  </si>
  <si>
    <t>26-2020</t>
  </si>
  <si>
    <t>PR NO. 20-06-06</t>
  </si>
  <si>
    <t>06-0021-20</t>
  </si>
  <si>
    <t>ITDI-200194_REBID</t>
  </si>
  <si>
    <t>20IK0098</t>
  </si>
  <si>
    <t>BAC PB 2019 - 24</t>
  </si>
  <si>
    <t>2232-20</t>
  </si>
  <si>
    <t>ITB NO. 2020-06-2558</t>
  </si>
  <si>
    <t>2020168</t>
  </si>
  <si>
    <t>06-227-2020</t>
  </si>
  <si>
    <t>BARANGAY BINGAY 06262020-02</t>
  </si>
  <si>
    <t>06-127-2020</t>
  </si>
  <si>
    <t>ITDI-200293_REBID</t>
  </si>
  <si>
    <t>ITDI-200318_REBID</t>
  </si>
  <si>
    <t>ITDI-200344_REBID</t>
  </si>
  <si>
    <t>GOOD20200002</t>
  </si>
  <si>
    <t>004</t>
  </si>
  <si>
    <t>ITDI-200316_REBID</t>
  </si>
  <si>
    <t>027-06-2020</t>
  </si>
  <si>
    <t>20-MC-CO-01</t>
  </si>
  <si>
    <t>2020177</t>
  </si>
  <si>
    <t>GOOD20200505</t>
  </si>
  <si>
    <t>2020175</t>
  </si>
  <si>
    <t>ITDI-200354_REBID</t>
  </si>
  <si>
    <t>2020174</t>
  </si>
  <si>
    <t>2020-05-089</t>
  </si>
  <si>
    <t>2020178</t>
  </si>
  <si>
    <t>BRGY217 - 2020 - 01</t>
  </si>
  <si>
    <t xml:space="preserve">PETAL 06-2020 - construction of concrete fence at </t>
  </si>
  <si>
    <t>LGU-2020-170</t>
  </si>
  <si>
    <t>2020-06-148</t>
  </si>
  <si>
    <t>ITDI-200196_REBID</t>
  </si>
  <si>
    <t>2020-06-116</t>
  </si>
  <si>
    <t>NP-INT-2006-052</t>
  </si>
  <si>
    <t>2020173</t>
  </si>
  <si>
    <t>LGU-2020-168</t>
  </si>
  <si>
    <t>BP-GOODS-2020-015</t>
  </si>
  <si>
    <t>LGU-2020-172</t>
  </si>
  <si>
    <t>LGU-2020-171</t>
  </si>
  <si>
    <t>BP-GOODS-2020-013</t>
  </si>
  <si>
    <t>2020-06-118</t>
  </si>
  <si>
    <t>LGU-2020-169</t>
  </si>
  <si>
    <t>2020-555</t>
  </si>
  <si>
    <t>2020-0252</t>
  </si>
  <si>
    <t>20MGU-037</t>
  </si>
  <si>
    <t>100-20-05-267</t>
  </si>
  <si>
    <t>20MGU-042</t>
  </si>
  <si>
    <t>CIDS_PWS_L2_01_2016_03</t>
  </si>
  <si>
    <t>100-20-05-306</t>
  </si>
  <si>
    <t>VJLN-2020-06-0646</t>
  </si>
  <si>
    <t>B20-20-09</t>
  </si>
  <si>
    <t>PB 2020-06-11</t>
  </si>
  <si>
    <t>JOY-SVP-2020-06-176CD</t>
  </si>
  <si>
    <t>2020062401</t>
  </si>
  <si>
    <t>VJLN-SVP-2020-06-0635</t>
  </si>
  <si>
    <t>BP-GOODS-2020-014</t>
  </si>
  <si>
    <t>2020-06-26-01</t>
  </si>
  <si>
    <t>2020-01-CONS</t>
  </si>
  <si>
    <t>19CSJ013</t>
  </si>
  <si>
    <t>20MGU-041</t>
  </si>
  <si>
    <t>2020-06-26-02</t>
  </si>
  <si>
    <t>PRO 11 2020-06</t>
  </si>
  <si>
    <t>20CSJ002</t>
  </si>
  <si>
    <t>2020- INFR- 001</t>
  </si>
  <si>
    <t>20MGU-040</t>
  </si>
  <si>
    <t>BAC PB 2019 - 35</t>
  </si>
  <si>
    <t>EARIST-2020-BID-004</t>
  </si>
  <si>
    <t>Bid No. 20-0324</t>
  </si>
  <si>
    <t>20CSJ003</t>
  </si>
  <si>
    <t>2020-GOODS-RFQ-078</t>
  </si>
  <si>
    <t>PR-20-06-122</t>
  </si>
  <si>
    <t>20-ICT4</t>
  </si>
  <si>
    <t>B20-20-01</t>
  </si>
  <si>
    <t>SRAVIS 20-06-294</t>
  </si>
  <si>
    <t>SP(LEGIS)20-077(NP/SV)</t>
  </si>
  <si>
    <t>2020-06-0084-BAC0060</t>
  </si>
  <si>
    <t>20MGU-039</t>
  </si>
  <si>
    <t>20MGU-038</t>
  </si>
  <si>
    <t>20MGU-044</t>
  </si>
  <si>
    <t>BCS-2020-0141</t>
  </si>
  <si>
    <t>20NC0136</t>
  </si>
  <si>
    <t>RIS# 19-10-124</t>
  </si>
  <si>
    <t>20NC0135</t>
  </si>
  <si>
    <t>RIS# 20-06-005</t>
  </si>
  <si>
    <t>PF-0420-392</t>
  </si>
  <si>
    <t>PF-0320-332</t>
  </si>
  <si>
    <t>2020-01-0301</t>
  </si>
  <si>
    <t>RFQ-2020-104-GOODS</t>
  </si>
  <si>
    <t>20NC0134</t>
  </si>
  <si>
    <t>HILONGOS 2020-190</t>
  </si>
  <si>
    <t>S3-SIT20-014 (NP-1)</t>
  </si>
  <si>
    <t>RFQ-2020-0105-GOODS</t>
  </si>
  <si>
    <t>018-01-030</t>
  </si>
  <si>
    <t>DTI-NE-20-06-01</t>
  </si>
  <si>
    <t>S3-SPUGWM20-003 (NP2)</t>
  </si>
  <si>
    <t>2020-017-GDS-2</t>
  </si>
  <si>
    <t>SRAVIS 20-06-295</t>
  </si>
  <si>
    <t>2020-0625-41</t>
  </si>
  <si>
    <t>BCS-2020-0143</t>
  </si>
  <si>
    <t>calbayog 2020-06-02</t>
  </si>
  <si>
    <t>S3-JOL20-017 (NP2)</t>
  </si>
  <si>
    <t>0705-20</t>
  </si>
  <si>
    <t>BCS-2020-0142</t>
  </si>
  <si>
    <t>Civil Works 024-2020</t>
  </si>
  <si>
    <t>Civil Works 023-2020</t>
  </si>
  <si>
    <t>. 2020-0625-39G</t>
  </si>
  <si>
    <t>PR#1000032258 - Tropical Combat Shoes for Security</t>
  </si>
  <si>
    <t>HILONGOS 2020-191</t>
  </si>
  <si>
    <t>S3-B1920-008 (NP2)</t>
  </si>
  <si>
    <t>Bid No. 20-0325</t>
  </si>
  <si>
    <t>rfq 119</t>
  </si>
  <si>
    <t>PF-0320-254</t>
  </si>
  <si>
    <t>2020-021-INF-2</t>
  </si>
  <si>
    <t>10914</t>
  </si>
  <si>
    <t>20-ICT3</t>
  </si>
  <si>
    <t>SVP015-2020</t>
  </si>
  <si>
    <t>RFQ - 2020 - 111</t>
  </si>
  <si>
    <t>2020-26-06-31</t>
  </si>
  <si>
    <t>PRO 11 2020-05</t>
  </si>
  <si>
    <t>101-2020-06-292</t>
  </si>
  <si>
    <t>PENRO-BUK.-20-041</t>
  </si>
  <si>
    <t>makilas2020-01</t>
  </si>
  <si>
    <t>RFQ No. 20-0587 NP-SV</t>
  </si>
  <si>
    <t>SRAVIS 20-06-296</t>
  </si>
  <si>
    <t>2020-Brgy. 09 Poblacion-003</t>
  </si>
  <si>
    <t>RFQ - 2020 - 110</t>
  </si>
  <si>
    <t>2020-007-GDS-2</t>
  </si>
  <si>
    <t>2020-101-058</t>
  </si>
  <si>
    <t>1176-20-06-79</t>
  </si>
  <si>
    <t>RFQ NO. 20-06-056</t>
  </si>
  <si>
    <t>2020-06-13</t>
  </si>
  <si>
    <t>Bid No. 20-0327</t>
  </si>
  <si>
    <t>BFAR5BAC-2020-111</t>
  </si>
  <si>
    <t>Bid No. 20-0326</t>
  </si>
  <si>
    <t>2020 - 113</t>
  </si>
  <si>
    <t>RFQ 2020-192</t>
  </si>
  <si>
    <t>RFQ-2020-106-GOODS</t>
  </si>
  <si>
    <t>20200108</t>
  </si>
  <si>
    <t>RFQ - 2020 - 109</t>
  </si>
  <si>
    <t>2020-019-GDS-2</t>
  </si>
  <si>
    <t>PF-0220-092</t>
  </si>
  <si>
    <t>20GCI0004</t>
  </si>
  <si>
    <t>2020-224</t>
  </si>
  <si>
    <t>PF-0620-598</t>
  </si>
  <si>
    <t>1-06262020</t>
  </si>
  <si>
    <t>VJLN-SVP-2020-06-0613RF</t>
  </si>
  <si>
    <t>Bid No. 20-0329</t>
  </si>
  <si>
    <t>101-2020-06-299</t>
  </si>
  <si>
    <t>2020-2016</t>
  </si>
  <si>
    <t>RFQ 495</t>
  </si>
  <si>
    <t>SPC PR No. 1000032736</t>
  </si>
  <si>
    <t>BP-2020-02</t>
  </si>
  <si>
    <t>2020-1990</t>
  </si>
  <si>
    <t>Bid No. 20-0328</t>
  </si>
  <si>
    <t>HILONGOS 2020-192</t>
  </si>
  <si>
    <t>388548451</t>
  </si>
  <si>
    <t>SRAVIS 20-06-297</t>
  </si>
  <si>
    <t>BP-2020-01</t>
  </si>
  <si>
    <t>2020-2056</t>
  </si>
  <si>
    <t>SVP-074-2020</t>
  </si>
  <si>
    <t>PF-0420-428</t>
  </si>
  <si>
    <t>C10-20-0698</t>
  </si>
  <si>
    <t>PF-0620-639</t>
  </si>
  <si>
    <t>C10-20-1047</t>
  </si>
  <si>
    <t>2020-123</t>
  </si>
  <si>
    <t>20MGU-043</t>
  </si>
  <si>
    <t>B20-20-08</t>
  </si>
  <si>
    <t>PF-0520-582</t>
  </si>
  <si>
    <t>VJLN-SVP-2020-06-0667</t>
  </si>
  <si>
    <t>VJLN-SVP-2020-06-0633/34</t>
  </si>
  <si>
    <t>ITB No. 2020-06-05</t>
  </si>
  <si>
    <t>2020-009-GDS-2</t>
  </si>
  <si>
    <t>2020.06.23.01</t>
  </si>
  <si>
    <t>2020-031</t>
  </si>
  <si>
    <t>101-2020-06-307</t>
  </si>
  <si>
    <t>PF-0620-600</t>
  </si>
  <si>
    <t>BRGY667 - 2020 - 06</t>
  </si>
  <si>
    <t>25</t>
  </si>
  <si>
    <t>C10-20-1049</t>
  </si>
  <si>
    <t>Contract No. 2020-135</t>
  </si>
  <si>
    <t>Bid No. 20-0330</t>
  </si>
  <si>
    <t>C10-20-1249</t>
  </si>
  <si>
    <t>POD20-107</t>
  </si>
  <si>
    <t>HILONGOS 2020-193</t>
  </si>
  <si>
    <t>2020-768</t>
  </si>
  <si>
    <t>DICT2020.0019</t>
  </si>
  <si>
    <t>PR# 20-06-0636</t>
  </si>
  <si>
    <t>2020-021-II</t>
  </si>
  <si>
    <t>Bid No. 20-0334</t>
  </si>
  <si>
    <t>SVP-CAT20-53</t>
  </si>
  <si>
    <t>Contract No. 2020-137</t>
  </si>
  <si>
    <t>20-211</t>
  </si>
  <si>
    <t>Bid No. 20-0333</t>
  </si>
  <si>
    <t>DICT2020.06.0020</t>
  </si>
  <si>
    <t>2020-1018</t>
  </si>
  <si>
    <t>Bid No. 20-0332</t>
  </si>
  <si>
    <t>POD20-104</t>
  </si>
  <si>
    <t>2020-012-GDS-2</t>
  </si>
  <si>
    <t>DICT2020.0020</t>
  </si>
  <si>
    <t>2020-06-096</t>
  </si>
  <si>
    <t>C10-20-1057</t>
  </si>
  <si>
    <t>INFRA 2020-02</t>
  </si>
  <si>
    <t>101-2020-06-303</t>
  </si>
  <si>
    <t>Bid No. 20-0331</t>
  </si>
  <si>
    <t>B20-20-02</t>
  </si>
  <si>
    <t>2020-062601</t>
  </si>
  <si>
    <t>569</t>
  </si>
  <si>
    <t>Bid No. 20-0336</t>
  </si>
  <si>
    <t>B20-20-04</t>
  </si>
  <si>
    <t>POD20-112</t>
  </si>
  <si>
    <t>2020 - 067</t>
  </si>
  <si>
    <t>Bid No. 20-0335</t>
  </si>
  <si>
    <t>B20-20-03</t>
  </si>
  <si>
    <t>POD20-108</t>
  </si>
  <si>
    <t>BLGU-PBD-Biga-2020-29</t>
  </si>
  <si>
    <t>2020-10B</t>
  </si>
  <si>
    <t>Contract N. 2020-134</t>
  </si>
  <si>
    <t>2020 INFRA 05</t>
  </si>
  <si>
    <t>2020.06.24.02</t>
  </si>
  <si>
    <t>lgu-es-20-140</t>
  </si>
  <si>
    <t>SRAVIS 20-06-298</t>
  </si>
  <si>
    <t>O4-20-1178</t>
  </si>
  <si>
    <t>Bid No. 20-0338</t>
  </si>
  <si>
    <t>RIS#20-06-033</t>
  </si>
  <si>
    <t>POD20-102</t>
  </si>
  <si>
    <t>2020-062603</t>
  </si>
  <si>
    <t>2020-062602</t>
  </si>
  <si>
    <t>20032286</t>
  </si>
  <si>
    <t>BS 20-06-0679</t>
  </si>
  <si>
    <t>C10-20-0005</t>
  </si>
  <si>
    <t>POD20-090</t>
  </si>
  <si>
    <t>GS-QUIRINO-2020-02</t>
  </si>
  <si>
    <t>06262020</t>
  </si>
  <si>
    <t>GDS 20-063</t>
  </si>
  <si>
    <t>2020-01-IT-01</t>
  </si>
  <si>
    <t>BLGU-PBD-Biga-2020-28</t>
  </si>
  <si>
    <t>SRAVIS 20-06-300</t>
  </si>
  <si>
    <t>0918-20</t>
  </si>
  <si>
    <t>PALG-08-2020</t>
  </si>
  <si>
    <t>SRAVIS 20-06-299</t>
  </si>
  <si>
    <t>S2-GIG20-011</t>
  </si>
  <si>
    <t>GOODS#0082, ITB#0083,  PR#0245: SCG-2020</t>
  </si>
  <si>
    <t>SUBM#2020 -07-01</t>
  </si>
  <si>
    <t>20-216</t>
  </si>
  <si>
    <t>20021431</t>
  </si>
  <si>
    <t>PR 74374</t>
  </si>
  <si>
    <t>2020-06-390 &amp; 2020-06-380</t>
  </si>
  <si>
    <t>19125327</t>
  </si>
  <si>
    <t>GOODS#0125, ITB#0127,  PR#0343: SCG-2020</t>
  </si>
  <si>
    <t>CMO(CDLO)-19-005LSP(NP/SV)</t>
  </si>
  <si>
    <t>2020-0069</t>
  </si>
  <si>
    <t>20-05-0338</t>
  </si>
  <si>
    <t>20032244</t>
  </si>
  <si>
    <t>20-04-0288</t>
  </si>
  <si>
    <t>PALG-09-2020</t>
  </si>
  <si>
    <t>RIZ-20-06-034</t>
  </si>
  <si>
    <t>20-06-0375</t>
  </si>
  <si>
    <t>049A-06-2020</t>
  </si>
  <si>
    <t>CGSO-20-020(NP/SV)</t>
  </si>
  <si>
    <t>20021814</t>
  </si>
  <si>
    <t>RECORDS-2020-06-0222</t>
  </si>
  <si>
    <t>20-05-0319</t>
  </si>
  <si>
    <t>2020 Caib 100</t>
  </si>
  <si>
    <t>2020 Caib 101</t>
  </si>
  <si>
    <t>CMO(ADM)20-20102(NP/SV)</t>
  </si>
  <si>
    <t>Bid No. 20-0337</t>
  </si>
  <si>
    <t>2020-883</t>
  </si>
  <si>
    <t>101-2020-06-300</t>
  </si>
  <si>
    <t>20201244</t>
  </si>
  <si>
    <t>20FN0107</t>
  </si>
  <si>
    <t>CONSOLIDATED PR'S (2020-06-217)</t>
  </si>
  <si>
    <t>2020-0192</t>
  </si>
  <si>
    <t>BAC 20-001</t>
  </si>
  <si>
    <t>2020 Caib 102</t>
  </si>
  <si>
    <t>REI-06-26-2020</t>
  </si>
  <si>
    <t>20201242</t>
  </si>
  <si>
    <t>GOODS#0128, ITB#0131,  PR#0390: SCG-2020</t>
  </si>
  <si>
    <t>S2-CAL20-014</t>
  </si>
  <si>
    <t>PR#2020-03-025</t>
  </si>
  <si>
    <t>20010616</t>
  </si>
  <si>
    <t>2020-776</t>
  </si>
  <si>
    <t>CA-20-06-46</t>
  </si>
  <si>
    <t xml:space="preserve">PR 74136_Supply &amp; Delivery of Fllor Mounted Motor </t>
  </si>
  <si>
    <t>20DF0191</t>
  </si>
  <si>
    <t>2020171</t>
  </si>
  <si>
    <t>20OD0203</t>
  </si>
  <si>
    <t>20201243</t>
  </si>
  <si>
    <t>2020169</t>
  </si>
  <si>
    <t>20-06-0374</t>
  </si>
  <si>
    <t>20OD0200</t>
  </si>
  <si>
    <t>2020170</t>
  </si>
  <si>
    <t>0695</t>
  </si>
  <si>
    <t>S2-CAL20-009</t>
  </si>
  <si>
    <t>ITB-2020-18</t>
  </si>
  <si>
    <t>CMO(ADM)-20-088/CMO(ADM)-20-101/CMO(ADM)-20-158(NP</t>
  </si>
  <si>
    <t>2020172</t>
  </si>
  <si>
    <t>8751-20-06-44</t>
  </si>
  <si>
    <t>020-11 Lot 2</t>
  </si>
  <si>
    <t>20FN0108</t>
  </si>
  <si>
    <t>005</t>
  </si>
  <si>
    <t>020-11 Lot 1</t>
  </si>
  <si>
    <t>MALIMPIN 04-2020 - construction of mini-park phase</t>
  </si>
  <si>
    <t>RFQ-2020-183</t>
  </si>
  <si>
    <t>086-2020</t>
  </si>
  <si>
    <t>101-2020-02-128</t>
  </si>
  <si>
    <t>2020-PR-109</t>
  </si>
  <si>
    <t>0694</t>
  </si>
  <si>
    <t>020-11 Lot 3</t>
  </si>
  <si>
    <t>ITB-2020-23</t>
  </si>
  <si>
    <t>OLYMPIA 20-06-011</t>
  </si>
  <si>
    <t>CMO(ADM)20-069(NP/SV)</t>
  </si>
  <si>
    <t>Pico-ES-01</t>
  </si>
  <si>
    <t>20KA0099(Readvertisement)</t>
  </si>
  <si>
    <t>0420</t>
  </si>
  <si>
    <t>PR 74691</t>
  </si>
  <si>
    <t>V06262020-212</t>
  </si>
  <si>
    <t>N20-MTO-104</t>
  </si>
  <si>
    <t>2020-06-261</t>
  </si>
  <si>
    <t>20-0179</t>
  </si>
  <si>
    <t>GTLMH-TF-20-011 OS</t>
  </si>
  <si>
    <t>101-2020-05-267, 101-2020-06-285,286,305,306</t>
  </si>
  <si>
    <t>7FSSU-2020-031</t>
  </si>
  <si>
    <t>PR 2020-06-02</t>
  </si>
  <si>
    <t>26-06-2020</t>
  </si>
  <si>
    <t>CMO(20%)18-001-RI(NP/SV)</t>
  </si>
  <si>
    <t>balanga 2020-008</t>
  </si>
  <si>
    <t>PR 74532</t>
  </si>
  <si>
    <t>20-06-26</t>
  </si>
  <si>
    <t>CMO(CDLO)18-002LSP(NP/SV)</t>
  </si>
  <si>
    <t>S2-BH220-005</t>
  </si>
  <si>
    <t>4411-19</t>
  </si>
  <si>
    <t>20GMC00111 (Equiptment Rental Only)</t>
  </si>
  <si>
    <t>BGH - 06 - 0103</t>
  </si>
  <si>
    <t>sanroque-2020-004</t>
  </si>
  <si>
    <t>20HC0184</t>
  </si>
  <si>
    <t>2020 - 07 - 006 (97 - Shopping)</t>
  </si>
  <si>
    <t>INFRA-2020-03-005</t>
  </si>
  <si>
    <t>2020 - 07 - 006 (96 - Shopping)</t>
  </si>
  <si>
    <t>ITB No. 2020 – 77</t>
  </si>
  <si>
    <t>06262002</t>
  </si>
  <si>
    <t>BAC-001-2019-0291</t>
  </si>
  <si>
    <t>CMO-(CDI)-20-010(NP/SV)</t>
  </si>
  <si>
    <t>CGSO-20-045(NP/SV)</t>
  </si>
  <si>
    <t>20KG0094</t>
  </si>
  <si>
    <t>POD20-098</t>
  </si>
  <si>
    <t>2020-333</t>
  </si>
  <si>
    <t>itb-2020-21</t>
  </si>
  <si>
    <t>0696</t>
  </si>
  <si>
    <t>LGU-119-2020</t>
  </si>
  <si>
    <t>ITB-2020-20</t>
  </si>
  <si>
    <t>PRO2 BAC 2020-0701</t>
  </si>
  <si>
    <t>ITB-2020-19</t>
  </si>
  <si>
    <t>sanroque-2020-003</t>
  </si>
  <si>
    <t>CMO(CDI)-20-011(NP/SV)</t>
  </si>
  <si>
    <t>2020-216</t>
  </si>
  <si>
    <t>NARANGASAN-INFR-2020-06-01</t>
  </si>
  <si>
    <t>2020-0193</t>
  </si>
  <si>
    <t>2020-0194</t>
  </si>
  <si>
    <t>2020-06-049</t>
  </si>
  <si>
    <t>20KA0098(Readvertisement)</t>
  </si>
  <si>
    <t>2020 Caib 103</t>
  </si>
  <si>
    <t>ITDI-200350_REBID</t>
  </si>
  <si>
    <t>001-06-2020</t>
  </si>
  <si>
    <t>8751-20-06-45</t>
  </si>
  <si>
    <t>ITDI-200353_REBID</t>
  </si>
  <si>
    <t>INFRA-2020-05-008</t>
  </si>
  <si>
    <t>coliat 2020-009</t>
  </si>
  <si>
    <t>BARANGAY BINGAY 06262020-01</t>
  </si>
  <si>
    <t>B20-20-07</t>
  </si>
  <si>
    <t>CONVERGE-0903-2020-2</t>
  </si>
  <si>
    <t>GOODS-PB-2020-006</t>
  </si>
  <si>
    <t>20GMC00113 (Equiptment Rental Only)</t>
  </si>
  <si>
    <t>RQ 06-060A</t>
  </si>
  <si>
    <t>S2-BH220-006</t>
  </si>
  <si>
    <t>INFRA-2020-05-007</t>
  </si>
  <si>
    <t>BGH - 06 - 0104</t>
  </si>
  <si>
    <t>RQ 06-064A</t>
  </si>
  <si>
    <t>05-20-130</t>
  </si>
  <si>
    <t>SVP20-511</t>
  </si>
  <si>
    <t>POD20-111</t>
  </si>
  <si>
    <t>POD20-096</t>
  </si>
  <si>
    <t>0741</t>
  </si>
  <si>
    <t>20GMC00112 (Equiptment Rental Only)</t>
  </si>
  <si>
    <t>RQ 06-202</t>
  </si>
  <si>
    <t>ITB 20-143 R20-135</t>
  </si>
  <si>
    <t>20GMC00115 (Equiptment Rental Only)</t>
  </si>
  <si>
    <t>ITB 20-142 R20-134</t>
  </si>
  <si>
    <t>S2-DOO20-013</t>
  </si>
  <si>
    <t>CA-20-06-50</t>
  </si>
  <si>
    <t>mabpang-0626-2020-MO</t>
  </si>
  <si>
    <t>R7-NEGOR-C1-20-001</t>
  </si>
  <si>
    <t>100-06-20-010</t>
  </si>
  <si>
    <t>20KA0097(Readvertisement)</t>
  </si>
  <si>
    <t>2005-39</t>
  </si>
  <si>
    <t>ITB 20-144 R20-136</t>
  </si>
  <si>
    <t>382-05-2020 (IPHO) (Re-advertisement)</t>
  </si>
  <si>
    <t>RQ 06-208</t>
  </si>
  <si>
    <t>20CK0094</t>
  </si>
  <si>
    <t>RQ 06-203</t>
  </si>
  <si>
    <t>1-07-05-020</t>
  </si>
  <si>
    <t>S1-POD20-105</t>
  </si>
  <si>
    <t>20DQ0119</t>
  </si>
  <si>
    <t>V06262020-214</t>
  </si>
  <si>
    <t>20GMC00116 (Equiptment Rental Only)</t>
  </si>
  <si>
    <t>PR No. : 2020-03-053</t>
  </si>
  <si>
    <t>RQ 06-206</t>
  </si>
  <si>
    <t>GHS-10705030</t>
  </si>
  <si>
    <t>0712</t>
  </si>
  <si>
    <t>POD20-110</t>
  </si>
  <si>
    <t>POD20-091</t>
  </si>
  <si>
    <t>G20-05</t>
  </si>
  <si>
    <t>20GMC00114 (Equiptment Rental Only)</t>
  </si>
  <si>
    <t>INFRA-2020-024</t>
  </si>
  <si>
    <t>804</t>
  </si>
  <si>
    <t>NV 2020-036</t>
  </si>
  <si>
    <t>RQ 06-205</t>
  </si>
  <si>
    <t>INFRA-2020-03-006</t>
  </si>
  <si>
    <t>PAG-001-20</t>
  </si>
  <si>
    <t>BGH - 06 - 0106</t>
  </si>
  <si>
    <t>20-0010</t>
  </si>
  <si>
    <t>BGH - 06 - 0105</t>
  </si>
  <si>
    <t>100-20-04-218</t>
  </si>
  <si>
    <t>TFB 19-304D</t>
  </si>
  <si>
    <t>P.R. NO. 2020-06-004</t>
  </si>
  <si>
    <t>2020-617-023</t>
  </si>
  <si>
    <t>FSI-RFQ-2020-06-03</t>
  </si>
  <si>
    <t>2020-06-42</t>
  </si>
  <si>
    <t>18GMC0427 (Equipment Rental Only)</t>
  </si>
  <si>
    <t>GOODS-PB-2020-005</t>
  </si>
  <si>
    <t>20DK0121</t>
  </si>
  <si>
    <t>2020-SVP-283</t>
  </si>
  <si>
    <t>20DK0117</t>
  </si>
  <si>
    <t>2020-07-03-126NP</t>
  </si>
  <si>
    <t>2020-07-03-137NP</t>
  </si>
  <si>
    <t>2020-07-03-127NP</t>
  </si>
  <si>
    <t>2020-6-26-1</t>
  </si>
  <si>
    <t>20DQ0118</t>
  </si>
  <si>
    <t>PR NO. 20-03-0196</t>
  </si>
  <si>
    <t>2020-NP-06-46</t>
  </si>
  <si>
    <t>987897</t>
  </si>
  <si>
    <t>20DQ0120</t>
  </si>
  <si>
    <t>BCS-2020-0144</t>
  </si>
  <si>
    <t>20CK0095</t>
  </si>
  <si>
    <t>S2-BH220-002</t>
  </si>
  <si>
    <t>SVP20-512</t>
  </si>
  <si>
    <t>ITB 20-145 R20-137</t>
  </si>
  <si>
    <t>20GMC0117</t>
  </si>
  <si>
    <t>INFRA-2020-025</t>
  </si>
  <si>
    <t>MRQ-2020-07</t>
  </si>
  <si>
    <t>ITB 20-146 R20-138</t>
  </si>
  <si>
    <t>RFQ 2020-06-016</t>
  </si>
  <si>
    <t>RQ 06-072A</t>
  </si>
  <si>
    <t>SJADS INFRA 20-04</t>
  </si>
  <si>
    <t>20-05-062</t>
  </si>
  <si>
    <t>20DQ0123</t>
  </si>
  <si>
    <t>PR No. 20-02-0120A</t>
  </si>
  <si>
    <t>2020-06-109</t>
  </si>
  <si>
    <t>AMP-RFQ 2020-046</t>
  </si>
  <si>
    <t>56234</t>
  </si>
  <si>
    <t>20DQ0121</t>
  </si>
  <si>
    <t>2020-06-176</t>
  </si>
  <si>
    <t>015-2020</t>
  </si>
  <si>
    <t>PR0033-20 - 0036-20 TOURISM</t>
  </si>
  <si>
    <t>ADS-1361-20</t>
  </si>
  <si>
    <t>I-2020-021</t>
  </si>
  <si>
    <t>2020-6-26-4</t>
  </si>
  <si>
    <t>PF-0620-624</t>
  </si>
  <si>
    <t>V06262020-215</t>
  </si>
  <si>
    <t>20DQ0125</t>
  </si>
  <si>
    <t>AMP-RFQ 2020-045</t>
  </si>
  <si>
    <t>ADS-1494-20</t>
  </si>
  <si>
    <t>20DQ0122</t>
  </si>
  <si>
    <t>guincam2020-06-009</t>
  </si>
  <si>
    <t>2020-41</t>
  </si>
  <si>
    <t>2020-6-26-2</t>
  </si>
  <si>
    <t>062620201</t>
  </si>
  <si>
    <t>RIZ-20-06-035</t>
  </si>
  <si>
    <t>2020-06-035</t>
  </si>
  <si>
    <t>20-05-064</t>
  </si>
  <si>
    <t>20DQ0124</t>
  </si>
  <si>
    <t>PF-0520-579</t>
  </si>
  <si>
    <t>PF-0620-652</t>
  </si>
  <si>
    <t>2020-06-034</t>
  </si>
  <si>
    <t>TAMBOBONG 04-2020 - installation of LED solar ligh</t>
  </si>
  <si>
    <t>10000087</t>
  </si>
  <si>
    <t>PR-20-01-004</t>
  </si>
  <si>
    <t>20DQ0127</t>
  </si>
  <si>
    <t>GAIS-GUIPE 05-2020 - repair &amp; maint of streetlight</t>
  </si>
  <si>
    <t>100-06-20-002</t>
  </si>
  <si>
    <t>ADS-1359-20</t>
  </si>
  <si>
    <t>B20-20-06</t>
  </si>
  <si>
    <t>20DQ0126</t>
  </si>
  <si>
    <t>2020062602</t>
  </si>
  <si>
    <t>guincam2020-06-010</t>
  </si>
  <si>
    <t>S2-BH220-004</t>
  </si>
  <si>
    <t>PR No. : 2020-01-005</t>
  </si>
  <si>
    <t>pgeps#0275-2020</t>
  </si>
  <si>
    <t>2020-6-26-3</t>
  </si>
  <si>
    <t>2020-6-26-5</t>
  </si>
  <si>
    <t>20-20-02-022</t>
  </si>
  <si>
    <t>S2-PMG20-022</t>
  </si>
  <si>
    <t>2020-012</t>
  </si>
  <si>
    <t>pgeps#0276-2020</t>
  </si>
  <si>
    <t>POD20-113</t>
  </si>
  <si>
    <t>PR-20-01-006</t>
  </si>
  <si>
    <t>POD20-093</t>
  </si>
  <si>
    <t>20DQ0128</t>
  </si>
  <si>
    <t>ADMIN FUND 2020-06-45</t>
  </si>
  <si>
    <t>76078</t>
  </si>
  <si>
    <t>0020-0140-0832A2020</t>
  </si>
  <si>
    <t>SJADS INFRA 20-05</t>
  </si>
  <si>
    <t>S2-cal20-016</t>
  </si>
  <si>
    <t>SJADS INFRA 20-06</t>
  </si>
  <si>
    <t>POD20-092</t>
  </si>
  <si>
    <t>POD20-101</t>
  </si>
  <si>
    <t>RFQ #2021-02-RRHF</t>
  </si>
  <si>
    <t>202006122</t>
  </si>
  <si>
    <t>AEE June26-2020(2)</t>
  </si>
  <si>
    <t>2020-06-70</t>
  </si>
  <si>
    <t>POD20-100</t>
  </si>
  <si>
    <t>AEE June 26-2020(1)</t>
  </si>
  <si>
    <t>G-114-20</t>
  </si>
  <si>
    <t>G-112-20</t>
  </si>
  <si>
    <t>RSSO PR NO 2020-06-128</t>
  </si>
  <si>
    <t>2020-06-69</t>
  </si>
  <si>
    <t>POD20-089</t>
  </si>
  <si>
    <t>20-20-02-020</t>
  </si>
  <si>
    <t>POD20-094</t>
  </si>
  <si>
    <t>PR No. : 2020-02-040</t>
  </si>
  <si>
    <t>SUPPLY, DELIVERY, INSTALLATION, PROGRAMMING, TESTI</t>
  </si>
  <si>
    <t>PR No. : 2020-02-039</t>
  </si>
  <si>
    <t>100-20-06-357</t>
  </si>
  <si>
    <t>2020-RKMS1</t>
  </si>
  <si>
    <t>2020-06-26</t>
  </si>
  <si>
    <t>409thCO-GHQ&amp;HSC-DME-137-20</t>
  </si>
  <si>
    <t>06262003</t>
  </si>
  <si>
    <t>Taladong-Infra-06262020a</t>
  </si>
  <si>
    <t>SJADS GOODS 20-11</t>
  </si>
  <si>
    <t>ITDI-200368_REBID</t>
  </si>
  <si>
    <t>20DB0136</t>
  </si>
  <si>
    <t>ITDI-200343_REBID</t>
  </si>
  <si>
    <t>ITDI-200269_REBID</t>
  </si>
  <si>
    <t>2020-2076-06-252</t>
  </si>
  <si>
    <t>BAC-GS 166-2020 (PR No. 1000033086)</t>
  </si>
  <si>
    <t>ITDI-200267_REBID</t>
  </si>
  <si>
    <t>ITDI-200263_REBID</t>
  </si>
  <si>
    <t>ITDI-200265_REBID</t>
  </si>
  <si>
    <t>ITDI-200266_REBID</t>
  </si>
  <si>
    <t>2020 GOODS 30</t>
  </si>
  <si>
    <t>ITDI-200250_REBID</t>
  </si>
  <si>
    <t>SH 035-20</t>
  </si>
  <si>
    <t>ITDI-200247_REBID</t>
  </si>
  <si>
    <t>BTG3-2020-0215</t>
  </si>
  <si>
    <t>20-OG-0095</t>
  </si>
  <si>
    <t>BTG3-2020-0218</t>
  </si>
  <si>
    <t>BTG3-2020-0217</t>
  </si>
  <si>
    <t>BTG3-2020-0216</t>
  </si>
  <si>
    <t>19-OG-0170</t>
  </si>
  <si>
    <t>PR-20-01-027</t>
  </si>
  <si>
    <t>19-OG-0169</t>
  </si>
  <si>
    <t>202005001</t>
  </si>
  <si>
    <t>BTG3-2020-0212</t>
  </si>
  <si>
    <t>BTG3-2020-0211</t>
  </si>
  <si>
    <t>CNU 20-01-047</t>
  </si>
  <si>
    <t>PR-20-01-025</t>
  </si>
  <si>
    <t>2020-PBG-52</t>
  </si>
  <si>
    <t>Pr-20-01-011</t>
  </si>
  <si>
    <t>NP 096-20</t>
  </si>
  <si>
    <t>BTG3-2020-0213</t>
  </si>
  <si>
    <t>20DB0138</t>
  </si>
  <si>
    <t>20-OG-0096</t>
  </si>
  <si>
    <t>20-DO-0085</t>
  </si>
  <si>
    <t>20OD0202</t>
  </si>
  <si>
    <t>20-OG-0102</t>
  </si>
  <si>
    <t>20DB0139</t>
  </si>
  <si>
    <t>300-20-06-001</t>
  </si>
  <si>
    <t>PR-20-01-047</t>
  </si>
  <si>
    <t>20-06-SO108</t>
  </si>
  <si>
    <t>20-DO-0084</t>
  </si>
  <si>
    <t>PR-20-01-040</t>
  </si>
  <si>
    <t>20OD0201</t>
  </si>
  <si>
    <t>PR-20-01-039</t>
  </si>
  <si>
    <t>20-05-394</t>
  </si>
  <si>
    <t>RFQ No. SJADS SVP 2020-22</t>
  </si>
  <si>
    <t>20-05-385</t>
  </si>
  <si>
    <t>20-OG-0100</t>
  </si>
  <si>
    <t>BTG3-2020-0214</t>
  </si>
  <si>
    <t>20-OG-0099</t>
  </si>
  <si>
    <t>SFSJ-13-20</t>
  </si>
  <si>
    <t>SFSJ-11-20</t>
  </si>
  <si>
    <t>SJ-11-20</t>
  </si>
  <si>
    <t>IB 2020-07-010 PLPG</t>
  </si>
  <si>
    <t>ANN060920</t>
  </si>
  <si>
    <t>PR-20-01-010</t>
  </si>
  <si>
    <t>20CSDN01</t>
  </si>
  <si>
    <t>20-OG-0101</t>
  </si>
  <si>
    <t>20-OG-0098</t>
  </si>
  <si>
    <t>CAP06112020</t>
  </si>
  <si>
    <t>PB-06262020-1</t>
  </si>
  <si>
    <t>2020-21</t>
  </si>
  <si>
    <t>PR NO. 101-20-06-017</t>
  </si>
  <si>
    <t>20CSDK04</t>
  </si>
  <si>
    <t>PR NO. 101-20-06-016</t>
  </si>
  <si>
    <t>G-2019-1080</t>
  </si>
  <si>
    <t>ITB202007</t>
  </si>
  <si>
    <t>PANG-2020-0792</t>
  </si>
  <si>
    <t>PANG-2020-0791</t>
  </si>
  <si>
    <t>G-2020-28</t>
  </si>
  <si>
    <t>20CSDK03</t>
  </si>
  <si>
    <t>VCWD-2020-013</t>
  </si>
  <si>
    <t>IB NO. CW 2020 - 101</t>
  </si>
  <si>
    <t>VCWD-2020-012</t>
  </si>
  <si>
    <t>PANG-2020-0793</t>
  </si>
  <si>
    <t>VCWD-2020-011</t>
  </si>
  <si>
    <t>PANG-2020-0790</t>
  </si>
  <si>
    <t>ITB-2020-048</t>
  </si>
  <si>
    <t>2020-Barangay Cagudalo-001</t>
  </si>
  <si>
    <t>20CSDK05</t>
  </si>
  <si>
    <t>ITB-2020-047</t>
  </si>
  <si>
    <t>20200625</t>
  </si>
  <si>
    <t>P.R. NO. 101-20-06-018</t>
  </si>
  <si>
    <t>G-2020-197</t>
  </si>
  <si>
    <t>RFQ-2020-06-013</t>
  </si>
  <si>
    <t>20CSE008</t>
  </si>
  <si>
    <t>17dambuk20</t>
  </si>
  <si>
    <t>2020-002-1</t>
  </si>
  <si>
    <t>2020-033</t>
  </si>
  <si>
    <t>2020-06-021B</t>
  </si>
  <si>
    <t>ECV-20GEE0031</t>
  </si>
  <si>
    <t>IB No.2020-06-012-G</t>
  </si>
  <si>
    <t>PPDO-2020-1091</t>
  </si>
  <si>
    <t>2020-G-017</t>
  </si>
  <si>
    <t>06242020</t>
  </si>
  <si>
    <t>20BE0090</t>
  </si>
  <si>
    <t>LZDH-2020-0046</t>
  </si>
  <si>
    <t>G-2020-283</t>
  </si>
  <si>
    <t>PHRM-2020-0027</t>
  </si>
  <si>
    <t>G-2020-372</t>
  </si>
  <si>
    <t>G-2020-371</t>
  </si>
  <si>
    <t>PPS-2020-0064</t>
  </si>
  <si>
    <t>G-2020-322</t>
  </si>
  <si>
    <t>G-2020-281</t>
  </si>
  <si>
    <t>PPDO-2020-1069</t>
  </si>
  <si>
    <t>G-2020-361</t>
  </si>
  <si>
    <t>8771-20-007</t>
  </si>
  <si>
    <t>IB 2020-07-009 POC</t>
  </si>
  <si>
    <t>PANG-2020-0800</t>
  </si>
  <si>
    <t>SN-003-06-2020</t>
  </si>
  <si>
    <t>PANG-2020-0798</t>
  </si>
  <si>
    <t>LOS BANOS-20-37</t>
  </si>
  <si>
    <t>BARANGAY BOMBA-2020-1</t>
  </si>
  <si>
    <t>Infra SEF 03-2020</t>
  </si>
  <si>
    <t>20HL0111</t>
  </si>
  <si>
    <t>Project No. 2020-29</t>
  </si>
  <si>
    <t>2020-06-024B</t>
  </si>
  <si>
    <t>2020-06-00059</t>
  </si>
  <si>
    <t>041</t>
  </si>
  <si>
    <t>20-05-113</t>
  </si>
  <si>
    <t>Project No. 2020-28</t>
  </si>
  <si>
    <t>2020-06-023B</t>
  </si>
  <si>
    <t>PGLDN 101-20-05 1055</t>
  </si>
  <si>
    <t>ITB 17-2020</t>
  </si>
  <si>
    <t>G-2020-280</t>
  </si>
  <si>
    <t>G-2020-387</t>
  </si>
  <si>
    <t>CONS-2020-03-01</t>
  </si>
  <si>
    <t>G-2020-210</t>
  </si>
  <si>
    <t>ECV-20GEE0030</t>
  </si>
  <si>
    <t>ECV-20GEE0029</t>
  </si>
  <si>
    <t>059</t>
  </si>
  <si>
    <t>06172020A</t>
  </si>
  <si>
    <t>20CSDK02</t>
  </si>
  <si>
    <t>060</t>
  </si>
  <si>
    <t>20CSDK01</t>
  </si>
  <si>
    <t>2020-06-022b</t>
  </si>
  <si>
    <t>10-06172020</t>
  </si>
  <si>
    <t>20-DO-0086</t>
  </si>
  <si>
    <t>PR-20-01-033</t>
  </si>
  <si>
    <t>20HL0110</t>
  </si>
  <si>
    <t>IV-06-2020-01</t>
  </si>
  <si>
    <t>20-OG-0097</t>
  </si>
  <si>
    <t>PR NO. 100-8751-20-06-0732</t>
  </si>
  <si>
    <t>2020-I-080</t>
  </si>
  <si>
    <t>G-2020-369</t>
  </si>
  <si>
    <t>PGLDN 2020-12</t>
  </si>
  <si>
    <t>20GP015G</t>
  </si>
  <si>
    <t>PR NO. 100-8751-20-06-0731</t>
  </si>
  <si>
    <t>20GA0142</t>
  </si>
  <si>
    <t>06172020</t>
  </si>
  <si>
    <t>PGLDN   2020-11</t>
  </si>
  <si>
    <t>PG-RFQ-2020-04</t>
  </si>
  <si>
    <t>20CE0226</t>
  </si>
  <si>
    <t>20CE0225</t>
  </si>
  <si>
    <t>20CE0223</t>
  </si>
  <si>
    <t>Bid No. 20-0320</t>
  </si>
  <si>
    <t>20CE0222</t>
  </si>
  <si>
    <t>G-2020-370</t>
  </si>
  <si>
    <t>20GP016G</t>
  </si>
  <si>
    <t>20CE0218</t>
  </si>
  <si>
    <t>20CE0224</t>
  </si>
  <si>
    <t>20-06-019</t>
  </si>
  <si>
    <t>20CE0216</t>
  </si>
  <si>
    <t>20CE0213</t>
  </si>
  <si>
    <t>20CE0219</t>
  </si>
  <si>
    <t>20CE0221</t>
  </si>
  <si>
    <t>20CE0211</t>
  </si>
  <si>
    <t>2020-01-077, 2020-02-003 &amp; 119</t>
  </si>
  <si>
    <t>20CE0217</t>
  </si>
  <si>
    <t>2020-06-033</t>
  </si>
  <si>
    <t>20CE0212</t>
  </si>
  <si>
    <t>24-25-66</t>
  </si>
  <si>
    <t>20CE0214</t>
  </si>
  <si>
    <t>172310</t>
  </si>
  <si>
    <t>2019-I043</t>
  </si>
  <si>
    <t>disaster equipment</t>
  </si>
  <si>
    <t>improvement of mph 2020</t>
  </si>
  <si>
    <t>LGA-PhilGEPS 2020-06-037</t>
  </si>
  <si>
    <t>Tal01-20</t>
  </si>
  <si>
    <t>0007</t>
  </si>
  <si>
    <t>012-2020</t>
  </si>
  <si>
    <t>BAC PB 2020 - 42</t>
  </si>
  <si>
    <t>2020-03-046D</t>
  </si>
  <si>
    <t>2020-3-23</t>
  </si>
  <si>
    <t>20CE0229</t>
  </si>
  <si>
    <t>20CE0228</t>
  </si>
  <si>
    <t>20CE0227</t>
  </si>
  <si>
    <t>20CE0210</t>
  </si>
  <si>
    <t>20CE0220</t>
  </si>
  <si>
    <t>20-168</t>
  </si>
  <si>
    <t>101-2020-06-282</t>
  </si>
  <si>
    <t>PB-07-17-2020</t>
  </si>
  <si>
    <t>2020-05-2433</t>
  </si>
  <si>
    <t>HRAD 20-011</t>
  </si>
  <si>
    <t>20GA0176</t>
  </si>
  <si>
    <t>BFAR5BAC-2020-110</t>
  </si>
  <si>
    <t>PW#06-08-2020(1)</t>
  </si>
  <si>
    <t>20-167</t>
  </si>
  <si>
    <t>SVP GOODS 2020-10</t>
  </si>
  <si>
    <t>2020-01-1393</t>
  </si>
  <si>
    <t>PB NO:2020-06-25</t>
  </si>
  <si>
    <t>20-165</t>
  </si>
  <si>
    <t>2020-06-2449</t>
  </si>
  <si>
    <t>20-166</t>
  </si>
  <si>
    <t>2020-07-017</t>
  </si>
  <si>
    <t>R4B-20-06-08</t>
  </si>
  <si>
    <t>2020-G-066</t>
  </si>
  <si>
    <t>01-594-2020</t>
  </si>
  <si>
    <t>PGLDN MCC HOTEL 2020-01</t>
  </si>
  <si>
    <t>124</t>
  </si>
  <si>
    <t>MG-A7M20-078</t>
  </si>
  <si>
    <t>VIN BAC 032-2020</t>
  </si>
  <si>
    <t>20CE0215</t>
  </si>
  <si>
    <t>IV-06-2020-02</t>
  </si>
  <si>
    <t>2020-02-177C, 03-064D, 05-052E, 01-125, 01-127, 03</t>
  </si>
  <si>
    <t>2020-06-0640 TDG</t>
  </si>
  <si>
    <t>371-2020 Bidding</t>
  </si>
  <si>
    <t>11062</t>
  </si>
  <si>
    <t>2020-02-1518</t>
  </si>
  <si>
    <t>20GA0161</t>
  </si>
  <si>
    <t>ITB 16-2020</t>
  </si>
  <si>
    <t>2020-03-1594</t>
  </si>
  <si>
    <t>20GIA006 Procurement of DPWH Equipment</t>
  </si>
  <si>
    <t>20-169</t>
  </si>
  <si>
    <t>101-2020-06-277</t>
  </si>
  <si>
    <t>20CF0131</t>
  </si>
  <si>
    <t>2020-06-2478</t>
  </si>
  <si>
    <t>PG-RFQ-2020-6</t>
  </si>
  <si>
    <t>2020-05-2409</t>
  </si>
  <si>
    <t>070-20</t>
  </si>
  <si>
    <t>2020-03-2092</t>
  </si>
  <si>
    <t>ITB-SSS-GOODS-2020-018</t>
  </si>
  <si>
    <t>20-008</t>
  </si>
  <si>
    <t>2020-076</t>
  </si>
  <si>
    <t>2020-06-353</t>
  </si>
  <si>
    <t>ITB 18-2020</t>
  </si>
  <si>
    <t>MG-A7M20-077</t>
  </si>
  <si>
    <t>CB INFRA 2020-01</t>
  </si>
  <si>
    <t>nlontoc-RFQ-G070-2020</t>
  </si>
  <si>
    <t>374-2020 Bidding</t>
  </si>
  <si>
    <t>202006L</t>
  </si>
  <si>
    <t>2020-04-2236</t>
  </si>
  <si>
    <t>069-20</t>
  </si>
  <si>
    <t>2019-11-4214</t>
  </si>
  <si>
    <t>20-163</t>
  </si>
  <si>
    <t>071-20</t>
  </si>
  <si>
    <t>MG-A7C20-028</t>
  </si>
  <si>
    <t>2020-06-2450</t>
  </si>
  <si>
    <t>Pul 001 2020</t>
  </si>
  <si>
    <t>ITBGF-2020-011</t>
  </si>
  <si>
    <t>PBI-2020-21</t>
  </si>
  <si>
    <t>373-2020 Bidding</t>
  </si>
  <si>
    <t>PBI-2020-20</t>
  </si>
  <si>
    <t>44</t>
  </si>
  <si>
    <t>INFRA-007-2020</t>
  </si>
  <si>
    <t>2020-05-2435</t>
  </si>
  <si>
    <t>2020-077</t>
  </si>
  <si>
    <t>PBI-2020-18</t>
  </si>
  <si>
    <t>PR NO. 100-8751-20-06-0733</t>
  </si>
  <si>
    <t>20-162</t>
  </si>
  <si>
    <t>Barangay Lagundi-003-2020</t>
  </si>
  <si>
    <t>2020-02-232B, 02-231B, 02-173C, 02-161E &amp; 02-161</t>
  </si>
  <si>
    <t>PGLDN Capitol bldg. 2020-02</t>
  </si>
  <si>
    <t>PEO-20-0639 B (REBID)</t>
  </si>
  <si>
    <t>Los Banos-20-38</t>
  </si>
  <si>
    <t>20CF0132</t>
  </si>
  <si>
    <t>2020-007H</t>
  </si>
  <si>
    <t>2020-05-2406</t>
  </si>
  <si>
    <t>74</t>
  </si>
  <si>
    <t>Barangay Cagutsan Sierra-003-2020</t>
  </si>
  <si>
    <t>074-20</t>
  </si>
  <si>
    <t>SN-004-06-2020</t>
  </si>
  <si>
    <t>DA7-2020-06-ILD-20-0613(R1)</t>
  </si>
  <si>
    <t>014-2020-PB</t>
  </si>
  <si>
    <t>NF 2006-0237</t>
  </si>
  <si>
    <t>20-161</t>
  </si>
  <si>
    <t>PG-RFQ-2020-7</t>
  </si>
  <si>
    <t>073-20</t>
  </si>
  <si>
    <t>DA7-2020-06-ILD-20-0754(R1)</t>
  </si>
  <si>
    <t>CW2020-06-001(PB)1F</t>
  </si>
  <si>
    <t>013-2020-PB</t>
  </si>
  <si>
    <t>DARFO2.CVRC.115.REC.2020-06-776.00</t>
  </si>
  <si>
    <t>2020-39</t>
  </si>
  <si>
    <t>20DB0137</t>
  </si>
  <si>
    <t>WOR 20-001</t>
  </si>
  <si>
    <t>072-20</t>
  </si>
  <si>
    <t>20GKI0015</t>
  </si>
  <si>
    <t>ITDI-200367_REBID</t>
  </si>
  <si>
    <t>LGU-BALINGASAG-9005-20-063</t>
  </si>
  <si>
    <t>2020-062501</t>
  </si>
  <si>
    <t>20GKI0014</t>
  </si>
  <si>
    <t>2020-01-1386</t>
  </si>
  <si>
    <t>ITDI-200243_REBID</t>
  </si>
  <si>
    <t>LGU-RFQ-2020-61</t>
  </si>
  <si>
    <t>DA7-2020-06-ILD-20-0805(R1)</t>
  </si>
  <si>
    <t>ITB02-LUMBANG-PATHWAY</t>
  </si>
  <si>
    <t>INFRA20-01</t>
  </si>
  <si>
    <t>20GKI0013</t>
  </si>
  <si>
    <t>2020-04-2281</t>
  </si>
  <si>
    <t>20GIE0014 (PR# 20-06-021)</t>
  </si>
  <si>
    <t>2020-05-2432</t>
  </si>
  <si>
    <t>PR0039-20 PSWDO</t>
  </si>
  <si>
    <t>DARFO2.CVRC.115.REC.2020-06-762.00</t>
  </si>
  <si>
    <t>DARFO2.CVRC.115.REC.2020-06-757.00</t>
  </si>
  <si>
    <t>02-Goods-2020</t>
  </si>
  <si>
    <t>2020-02-0120</t>
  </si>
  <si>
    <t>75</t>
  </si>
  <si>
    <t>DA7-2020-06-ILD-20-0809(R1)</t>
  </si>
  <si>
    <t>PR0044-20 MOTORPOOL</t>
  </si>
  <si>
    <t>20GKI0019</t>
  </si>
  <si>
    <t>076-20</t>
  </si>
  <si>
    <t>PG-RFQ-2020-13</t>
  </si>
  <si>
    <t>06-01-2020</t>
  </si>
  <si>
    <t>077-20</t>
  </si>
  <si>
    <t>19GSK00052</t>
  </si>
  <si>
    <t>20GKI0018</t>
  </si>
  <si>
    <t>07-2020</t>
  </si>
  <si>
    <t>061</t>
  </si>
  <si>
    <t>20GKI0023</t>
  </si>
  <si>
    <t>078-20</t>
  </si>
  <si>
    <t>2020-06-2501</t>
  </si>
  <si>
    <t>Barangay Albalate-02-2020</t>
  </si>
  <si>
    <t>SEF-G-27-2020</t>
  </si>
  <si>
    <t>2020-06-0061</t>
  </si>
  <si>
    <t>nlontoc-RFQ-190-2020</t>
  </si>
  <si>
    <t>BGY-816-20202</t>
  </si>
  <si>
    <t>033-20</t>
  </si>
  <si>
    <t>2020-06-0060</t>
  </si>
  <si>
    <t>F-063-0428-20</t>
  </si>
  <si>
    <t>DepEd.Pang2 20-06-0002</t>
  </si>
  <si>
    <t>PR-2020-06-008</t>
  </si>
  <si>
    <t>09-2020</t>
  </si>
  <si>
    <t>ppn-090-2020</t>
  </si>
  <si>
    <t>RFQ-2020-06-0807</t>
  </si>
  <si>
    <t>RFQ-2020-06-0806</t>
  </si>
  <si>
    <t>PG-RFQ-2020-15</t>
  </si>
  <si>
    <t>2020-0026</t>
  </si>
  <si>
    <t>122700</t>
  </si>
  <si>
    <t>2020-06-0063</t>
  </si>
  <si>
    <t>SN 2020-001</t>
  </si>
  <si>
    <t>ppn-091-2020</t>
  </si>
  <si>
    <t>2020-331</t>
  </si>
  <si>
    <t>20GSK00013</t>
  </si>
  <si>
    <t>DA7-2020-06-FOD-L-20-2349</t>
  </si>
  <si>
    <t>2020-06-0452 ADMIN</t>
  </si>
  <si>
    <t>20GSK00009 - Re-ITB</t>
  </si>
  <si>
    <t>RFQ-2020-06-002</t>
  </si>
  <si>
    <t>034-20</t>
  </si>
  <si>
    <t>0721</t>
  </si>
  <si>
    <t>06-052-20</t>
  </si>
  <si>
    <t>2020-06-0064</t>
  </si>
  <si>
    <t>sta. teresita-2020-003</t>
  </si>
  <si>
    <t>2020-06-0307</t>
  </si>
  <si>
    <t>DA7-2020-06-SAAD-20-2364</t>
  </si>
  <si>
    <t>Solicitation No. PANG-2020-801</t>
  </si>
  <si>
    <t>GOODS#0127, ITB#0130,  PR#0383: SCG-2020</t>
  </si>
  <si>
    <t>BAC 2020 01</t>
  </si>
  <si>
    <t>sanvicente-2020-003</t>
  </si>
  <si>
    <t>ppn-092-2020</t>
  </si>
  <si>
    <t>SAR-GOODS-06-094-2020</t>
  </si>
  <si>
    <t>BARBALZN9-2008</t>
  </si>
  <si>
    <t>001-02-2020</t>
  </si>
  <si>
    <t>104091</t>
  </si>
  <si>
    <t>2020-06-052-D</t>
  </si>
  <si>
    <t>PR2020-05-014</t>
  </si>
  <si>
    <t>RFQ 087-2020 MGB XII</t>
  </si>
  <si>
    <t>ppn-093-2020</t>
  </si>
  <si>
    <t>86818</t>
  </si>
  <si>
    <t>SAR-GOODS-06-093-2020</t>
  </si>
  <si>
    <t>RFQ 0620-008</t>
  </si>
  <si>
    <t>20CI0097</t>
  </si>
  <si>
    <t>06-2020 (REBID)</t>
  </si>
  <si>
    <t>06-66-2020</t>
  </si>
  <si>
    <t>cav2020-012</t>
  </si>
  <si>
    <t>20CSCB05</t>
  </si>
  <si>
    <t>PR No. 2020-6-1445</t>
  </si>
  <si>
    <t>P5SJIC 2020-01</t>
  </si>
  <si>
    <t>pp-094-2020</t>
  </si>
  <si>
    <t>GF-G-58-2020</t>
  </si>
  <si>
    <t>0730</t>
  </si>
  <si>
    <t>2020-06-0314</t>
  </si>
  <si>
    <t>2020-V0045</t>
  </si>
  <si>
    <t>LR_2020_06_2011</t>
  </si>
  <si>
    <t>2020-06-485</t>
  </si>
  <si>
    <t>20CI0099</t>
  </si>
  <si>
    <t>11-2020</t>
  </si>
  <si>
    <t>075</t>
  </si>
  <si>
    <t>20GAD0007</t>
  </si>
  <si>
    <t>0734</t>
  </si>
  <si>
    <t>1527</t>
  </si>
  <si>
    <t>nlontoc-RFQ-191-2020</t>
  </si>
  <si>
    <t>2020-01-002-101</t>
  </si>
  <si>
    <t>PR No. 20-03-0198</t>
  </si>
  <si>
    <t>BALZN9-2009</t>
  </si>
  <si>
    <t>RFQ 086-2020 MGB XII</t>
  </si>
  <si>
    <t>RFQ 2020-06-004 (P.R. # 2020-06-016)</t>
  </si>
  <si>
    <t>38-2020</t>
  </si>
  <si>
    <t>Procurement of Office Rental- PR No. 2020-06-60</t>
  </si>
  <si>
    <t>PR NO. 100-8751-20-06-0734</t>
  </si>
  <si>
    <t>BAC 2020-2</t>
  </si>
  <si>
    <t>0666</t>
  </si>
  <si>
    <t>027</t>
  </si>
  <si>
    <t>20-06-PB002</t>
  </si>
  <si>
    <t>2020-06-354</t>
  </si>
  <si>
    <t>101-20-06-RFQ0705</t>
  </si>
  <si>
    <t>20CI0101</t>
  </si>
  <si>
    <t>20CSFJ01</t>
  </si>
  <si>
    <t>Bid No. 20-0321</t>
  </si>
  <si>
    <t>20202-04</t>
  </si>
  <si>
    <t>2020-06-355</t>
  </si>
  <si>
    <t>ppn-095-2020</t>
  </si>
  <si>
    <t>2020-06-356</t>
  </si>
  <si>
    <t>20CI0098</t>
  </si>
  <si>
    <t>2020-06-352</t>
  </si>
  <si>
    <t>2020-06-0300</t>
  </si>
  <si>
    <t>PR # 20-06-045</t>
  </si>
  <si>
    <t>BUCAF-2020-030</t>
  </si>
  <si>
    <t>Bilbao202003</t>
  </si>
  <si>
    <t>20CI0100</t>
  </si>
  <si>
    <t>20-06-0367</t>
  </si>
  <si>
    <t>0667</t>
  </si>
  <si>
    <t>2020-0603</t>
  </si>
  <si>
    <t>RFQ 2020-06-003 (P.R. # 2020-06-015)</t>
  </si>
  <si>
    <t>PB-INFRA-2020-003</t>
  </si>
  <si>
    <t>Invitation to Bid 20-37</t>
  </si>
  <si>
    <t>cav2020-011</t>
  </si>
  <si>
    <t>RFQ-06262020</t>
  </si>
  <si>
    <t>2020 - 26</t>
  </si>
  <si>
    <t>2020-0025</t>
  </si>
  <si>
    <t>DA7-2020-06-FOD-L-20-2348</t>
  </si>
  <si>
    <t>PG-RFQ-2020-14</t>
  </si>
  <si>
    <t>20200625-23</t>
  </si>
  <si>
    <t>IB No. 002-2020</t>
  </si>
  <si>
    <t>Supplies 302-2020</t>
  </si>
  <si>
    <t>01-Goods-2020</t>
  </si>
  <si>
    <t>2020-06GS-024</t>
  </si>
  <si>
    <t>2020-0024</t>
  </si>
  <si>
    <t>SEF-G-26-2020</t>
  </si>
  <si>
    <t>Bid No. 20-0281</t>
  </si>
  <si>
    <t>SAR-GOODS-06-090-2020</t>
  </si>
  <si>
    <t>20-170</t>
  </si>
  <si>
    <t>2020-05-452</t>
  </si>
  <si>
    <t>ITB 20-06-002</t>
  </si>
  <si>
    <t>DARFO2.CVRC.115.REC.2020-06-229.00</t>
  </si>
  <si>
    <t>0020-0159-0927A2020</t>
  </si>
  <si>
    <t>HILONGOS 2020-189</t>
  </si>
  <si>
    <t>LGU-BALINGASAG-9005-20-062</t>
  </si>
  <si>
    <t>RFQ-2020-181</t>
  </si>
  <si>
    <t>081-20</t>
  </si>
  <si>
    <t>2020-40</t>
  </si>
  <si>
    <t>001-07-2020</t>
  </si>
  <si>
    <t>RFP 2020-001</t>
  </si>
  <si>
    <t>041A-05-2020</t>
  </si>
  <si>
    <t>080-20</t>
  </si>
  <si>
    <t>079-20</t>
  </si>
  <si>
    <t>20CSCB06</t>
  </si>
  <si>
    <t>B39-2020-001</t>
  </si>
  <si>
    <t>0686</t>
  </si>
  <si>
    <t>2020-04-005-101-02</t>
  </si>
  <si>
    <t>Invitation to Bid 20-38</t>
  </si>
  <si>
    <t>LR_2020_06_2012</t>
  </si>
  <si>
    <t>RFQ 2020-06-005 (P.R. # 2020-06-017)</t>
  </si>
  <si>
    <t>SUC 2020-06-013</t>
  </si>
  <si>
    <t>TWDPR 2020-06-03</t>
  </si>
  <si>
    <t>DANG-20-019</t>
  </si>
  <si>
    <t>2019-I045</t>
  </si>
  <si>
    <t>2020-05-003-101-02</t>
  </si>
  <si>
    <t>075-20</t>
  </si>
  <si>
    <t>101-20-06-RFQ0706</t>
  </si>
  <si>
    <t>SJADS GOODS 20-10</t>
  </si>
  <si>
    <t>IB-GOODS-2020-11</t>
  </si>
  <si>
    <t>2020-001 (Brgy. Towak)</t>
  </si>
  <si>
    <t>20BG0148</t>
  </si>
  <si>
    <t>B20-20-05</t>
  </si>
  <si>
    <t>CW-2020-001</t>
  </si>
  <si>
    <t>GSV2020-06-05</t>
  </si>
  <si>
    <t>I-2020-020</t>
  </si>
  <si>
    <t>goods 013A-2020</t>
  </si>
  <si>
    <t>POW - 8751 - 2020 - PCO - 06</t>
  </si>
  <si>
    <t>076</t>
  </si>
  <si>
    <t>0565</t>
  </si>
  <si>
    <t>087-20</t>
  </si>
  <si>
    <t>20-06-249a</t>
  </si>
  <si>
    <t>086-20</t>
  </si>
  <si>
    <t>085-20</t>
  </si>
  <si>
    <t>20CSCB07</t>
  </si>
  <si>
    <t>2020-04-006-101-02</t>
  </si>
  <si>
    <t>084-20</t>
  </si>
  <si>
    <t>083-20</t>
  </si>
  <si>
    <t>2020-002 (Brgy. Towak)</t>
  </si>
  <si>
    <t>IB NO. 2020-057/ RJVF</t>
  </si>
  <si>
    <t>082-20</t>
  </si>
  <si>
    <t>Taladong-Infra-06262020</t>
  </si>
  <si>
    <t>2020-04-007-101-02</t>
  </si>
  <si>
    <t>2020-009</t>
  </si>
  <si>
    <t>goods 012A-2020</t>
  </si>
  <si>
    <t>PR#2</t>
  </si>
  <si>
    <t>2020-6-004</t>
  </si>
  <si>
    <t>2020-04-004-101-02</t>
  </si>
  <si>
    <t>RFQ No.19-2020</t>
  </si>
  <si>
    <t>077</t>
  </si>
  <si>
    <t>G-109-20</t>
  </si>
  <si>
    <t>RSPQ NO. 2020-06-032-A</t>
  </si>
  <si>
    <t>04-06-2020</t>
  </si>
  <si>
    <t>2020-026 NM</t>
  </si>
  <si>
    <t>ISQ 2020-06-064</t>
  </si>
  <si>
    <t>20CSCB08</t>
  </si>
  <si>
    <t>0709</t>
  </si>
  <si>
    <t>20CSCB09</t>
  </si>
  <si>
    <t>BAC-2020-0019</t>
  </si>
  <si>
    <t>RSPQ NO. 2020-06-034</t>
  </si>
  <si>
    <t>064-20</t>
  </si>
  <si>
    <t>2020-03-1612</t>
  </si>
  <si>
    <t>RFQ 2020-06-006 (P.R. # 2020-06-018)</t>
  </si>
  <si>
    <t>2020 Caib 099</t>
  </si>
  <si>
    <t>PR No.23-2020</t>
  </si>
  <si>
    <t>BP-BPDOS-JJ-25</t>
  </si>
  <si>
    <t>06-06-2020</t>
  </si>
  <si>
    <t>SRAVIS 20-06-285</t>
  </si>
  <si>
    <t>RFQ 0620-050</t>
  </si>
  <si>
    <t>GOOD20200003(a)</t>
  </si>
  <si>
    <t>20-06-297</t>
  </si>
  <si>
    <t>1-06252020</t>
  </si>
  <si>
    <t>05-06-2020</t>
  </si>
  <si>
    <t>20CSCB10</t>
  </si>
  <si>
    <t>FB20-02-004CORa-06</t>
  </si>
  <si>
    <t>SRAVIS 20-06-284</t>
  </si>
  <si>
    <t>G-110-20</t>
  </si>
  <si>
    <t>2020-PR-98</t>
  </si>
  <si>
    <t>101-20-06-RFQ0707</t>
  </si>
  <si>
    <t>sj 2020 b jul 010</t>
  </si>
  <si>
    <t>DBM-2020-0080</t>
  </si>
  <si>
    <t>2020-06-001-101-02</t>
  </si>
  <si>
    <t>007017-2020-01</t>
  </si>
  <si>
    <t>SF-GOODS-2020-007</t>
  </si>
  <si>
    <t>4-05252020</t>
  </si>
  <si>
    <t>2-06252020</t>
  </si>
  <si>
    <t>RFQ No.20 - 2020</t>
  </si>
  <si>
    <t>RFQ 0620-061</t>
  </si>
  <si>
    <t>007034-2020-01</t>
  </si>
  <si>
    <t>SRAVIS 20-06-287</t>
  </si>
  <si>
    <t>0683</t>
  </si>
  <si>
    <t>ITB No. 2020-130-B-pgo-pdrc</t>
  </si>
  <si>
    <t>2020 - 27</t>
  </si>
  <si>
    <t>RIS # 19-02-089</t>
  </si>
  <si>
    <t>3-06252020</t>
  </si>
  <si>
    <t>07-06-2020</t>
  </si>
  <si>
    <t>20CSCB11</t>
  </si>
  <si>
    <t>SRAVIS 20-06-286</t>
  </si>
  <si>
    <t>umcbac20-16</t>
  </si>
  <si>
    <t>TWDPR 2020-06-04</t>
  </si>
  <si>
    <t>SRAVIS 20-06-288</t>
  </si>
  <si>
    <t>sj 2020 b jul 011</t>
  </si>
  <si>
    <t>sj 2020 b jul 013</t>
  </si>
  <si>
    <t>20-06-156</t>
  </si>
  <si>
    <t>088-20</t>
  </si>
  <si>
    <t>5-06252020</t>
  </si>
  <si>
    <t>6-06252020</t>
  </si>
  <si>
    <t>2020-096</t>
  </si>
  <si>
    <t>BAC-2020-0020</t>
  </si>
  <si>
    <t>20CSCB12</t>
  </si>
  <si>
    <t>038-2020 procurement of ID</t>
  </si>
  <si>
    <t>PR NO. 100-8751-20-06-0735</t>
  </si>
  <si>
    <t>LGUBTA 20-059</t>
  </si>
  <si>
    <t>100(01)20-06-373(O)</t>
  </si>
  <si>
    <t>ITB No. 2020-133-B-bpmc</t>
  </si>
  <si>
    <t>Aklan BAC ITB 365 Series of 2020</t>
  </si>
  <si>
    <t>sj 2020 b jul 016</t>
  </si>
  <si>
    <t>100(18)20-03-028(N)</t>
  </si>
  <si>
    <t>7-06252020</t>
  </si>
  <si>
    <t>06-25-2020-236</t>
  </si>
  <si>
    <t>sj 2020 b jul 014</t>
  </si>
  <si>
    <t>20-06-298</t>
  </si>
  <si>
    <t>June 25, 2020</t>
  </si>
  <si>
    <t>SRAVIS 20-06-289</t>
  </si>
  <si>
    <t>sj 2020 b jul 015</t>
  </si>
  <si>
    <t>100(18)19-10-1317(O)</t>
  </si>
  <si>
    <t>028</t>
  </si>
  <si>
    <t>06-25-2020-237</t>
  </si>
  <si>
    <t>sj 2020 b jul 017</t>
  </si>
  <si>
    <t>100(18)20-03-024(N)</t>
  </si>
  <si>
    <t>sj 2020 b jul 012</t>
  </si>
  <si>
    <t>LGU BASILISA - 2020 - 0129</t>
  </si>
  <si>
    <t>20-06-303</t>
  </si>
  <si>
    <t>2020-06-0461 HFG</t>
  </si>
  <si>
    <t>PNAD 2020-02-010-011</t>
  </si>
  <si>
    <t>2020-06-0634 TDG</t>
  </si>
  <si>
    <t>DA7-2020-06-SAAD-20-2356</t>
  </si>
  <si>
    <t>RFQ-DARFO12-2020-0557</t>
  </si>
  <si>
    <t>SRAVIS 20-06-290</t>
  </si>
  <si>
    <t>ITB No. 2020-06-004</t>
  </si>
  <si>
    <t>RFQ 0620-056</t>
  </si>
  <si>
    <t>9-06252020</t>
  </si>
  <si>
    <t>100(01)20-06-371(O)</t>
  </si>
  <si>
    <t>LGUBTA 20-060</t>
  </si>
  <si>
    <t>100(01)20-06-362(A)</t>
  </si>
  <si>
    <t>RQ 06-179</t>
  </si>
  <si>
    <t>10-06252020</t>
  </si>
  <si>
    <t>100(01)20-06-364(A)</t>
  </si>
  <si>
    <t>sj 2020 b jul 018</t>
  </si>
  <si>
    <t>SRAVIS 20-06-291</t>
  </si>
  <si>
    <t>CN-2020-06-221</t>
  </si>
  <si>
    <t>PR NO. 100-8751-20-06-0736</t>
  </si>
  <si>
    <t>ITB 2020-24</t>
  </si>
  <si>
    <t>MIWD</t>
  </si>
  <si>
    <t>PR NO. 100-8751-20-06-0737</t>
  </si>
  <si>
    <t>20CSCB14</t>
  </si>
  <si>
    <t>20CSCB13</t>
  </si>
  <si>
    <t>B-036-2020</t>
  </si>
  <si>
    <t>ITB 2020-25</t>
  </si>
  <si>
    <t>20-06-157</t>
  </si>
  <si>
    <t>2020-06-0630 TDG</t>
  </si>
  <si>
    <t>20-06-158</t>
  </si>
  <si>
    <t>20CSB007</t>
  </si>
  <si>
    <t>2020-06-0636 TDG</t>
  </si>
  <si>
    <t>11-06252020</t>
  </si>
  <si>
    <t>RFQ-DARFO12-2020-0559</t>
  </si>
  <si>
    <t>20CSB006</t>
  </si>
  <si>
    <t>BXU-2020-29</t>
  </si>
  <si>
    <t>100(01)20-06-365(A)</t>
  </si>
  <si>
    <t>100(01)20-06-363(A)</t>
  </si>
  <si>
    <t>20-06-305</t>
  </si>
  <si>
    <t>ITB No. 2020-I-P5-01</t>
  </si>
  <si>
    <t>20-06-300</t>
  </si>
  <si>
    <t>2020-209B</t>
  </si>
  <si>
    <t>20-06-304</t>
  </si>
  <si>
    <t>RFQ-2020-103-GOODS</t>
  </si>
  <si>
    <t>20-06-39</t>
  </si>
  <si>
    <t>ITB 2020-26</t>
  </si>
  <si>
    <t>B-037-2020</t>
  </si>
  <si>
    <t>2020-03-002</t>
  </si>
  <si>
    <t>RQ 06-171</t>
  </si>
  <si>
    <t>20PG0045</t>
  </si>
  <si>
    <t>DA7-2020-06-SAAD-20-2357</t>
  </si>
  <si>
    <t>RFQ-2020-099-GOODS</t>
  </si>
  <si>
    <t>DA7-2020-06-FOD-L-20-2350</t>
  </si>
  <si>
    <t>RFQ-2020-097-GOODS</t>
  </si>
  <si>
    <t>20-06-307</t>
  </si>
  <si>
    <t>100(01)20-06-002(AI)</t>
  </si>
  <si>
    <t>RQ 06-065A</t>
  </si>
  <si>
    <t>RFQ-2020-096-GOODS</t>
  </si>
  <si>
    <t>2020-209A</t>
  </si>
  <si>
    <t>DPERF2020-013Medicine</t>
  </si>
  <si>
    <t>378-2020 Bidding</t>
  </si>
  <si>
    <t>Ato12</t>
  </si>
  <si>
    <t>0020-0159-0927.2020</t>
  </si>
  <si>
    <t>JOB ORDER NO.0073 - 2020</t>
  </si>
  <si>
    <t>SRAVIS 20-06-293</t>
  </si>
  <si>
    <t>2020-06-0133</t>
  </si>
  <si>
    <t>Bid No. 06-20-001</t>
  </si>
  <si>
    <t>20CSCB15</t>
  </si>
  <si>
    <t>2020-25-06-30</t>
  </si>
  <si>
    <t>ITB No. 2020-I-P6-01</t>
  </si>
  <si>
    <t>20-06-159</t>
  </si>
  <si>
    <t>SRAVIS 20-06-292</t>
  </si>
  <si>
    <t>PNU2020-0057</t>
  </si>
  <si>
    <t>LR_2020_06_2010</t>
  </si>
  <si>
    <t>2020-06-0460 PPD-NHTU</t>
  </si>
  <si>
    <t>2020-06-0629 TDG</t>
  </si>
  <si>
    <t>2020-06-0639 TDG</t>
  </si>
  <si>
    <t>CWD 25-2020</t>
  </si>
  <si>
    <t>PR NO. 100-8751-20-06-0738</t>
  </si>
  <si>
    <t>RFQ-DARFO12-2020-0558</t>
  </si>
  <si>
    <t>RFQ-DARFO12-2020-0561</t>
  </si>
  <si>
    <t>ITB 20-06-001</t>
  </si>
  <si>
    <t>78-2020</t>
  </si>
  <si>
    <t>Paulog 001-2020</t>
  </si>
  <si>
    <t>RFQ-2020-098-GOODS</t>
  </si>
  <si>
    <t>20-06-306</t>
  </si>
  <si>
    <t>RFQ 0620-057</t>
  </si>
  <si>
    <t>CWD 27-2020</t>
  </si>
  <si>
    <t>3A-2020-001</t>
  </si>
  <si>
    <t>0020-0160-0937.2020</t>
  </si>
  <si>
    <t>RFQ 0620-058</t>
  </si>
  <si>
    <t>76-2020</t>
  </si>
  <si>
    <t>Aklan BAC ITB 366 Series of 2020</t>
  </si>
  <si>
    <t>SF-CW-BG/DF-2020-13</t>
  </si>
  <si>
    <t>TM-20-06-0046</t>
  </si>
  <si>
    <t>ITB No. 2020-I-P7-01</t>
  </si>
  <si>
    <t>BXU-2020-30</t>
  </si>
  <si>
    <t>20CSCB16</t>
  </si>
  <si>
    <t>066-2020</t>
  </si>
  <si>
    <t>77-2020</t>
  </si>
  <si>
    <t>RFQ-DARFO12-2020-0560</t>
  </si>
  <si>
    <t>MH-GOODS-RHU-MEDICINES-620</t>
  </si>
  <si>
    <t>2020-06-044</t>
  </si>
  <si>
    <t>NIAREG9-06252020-690</t>
  </si>
  <si>
    <t>G-2020-0059</t>
  </si>
  <si>
    <t>ITB No. 2020-G-04-02</t>
  </si>
  <si>
    <t>0324-20BAC</t>
  </si>
  <si>
    <t>IBTGH No. 2020 – 007</t>
  </si>
  <si>
    <t>79-2020</t>
  </si>
  <si>
    <t>MH-GOODS-MEO-SITE-DEVELOPMENT-CEMETERY-764</t>
  </si>
  <si>
    <t>056-2020</t>
  </si>
  <si>
    <t>029</t>
  </si>
  <si>
    <t>BLGUNORTE-CW-2020-001</t>
  </si>
  <si>
    <t>G-2020-0062</t>
  </si>
  <si>
    <t>LOS BANSOS-20-41</t>
  </si>
  <si>
    <t>202006-JUN25</t>
  </si>
  <si>
    <t>20PG0050</t>
  </si>
  <si>
    <t>BANNA-ITB-71(OFFICE SUPPLIES)-2020</t>
  </si>
  <si>
    <t>ITB No. 2020-G-06-01</t>
  </si>
  <si>
    <t>20GJF0103</t>
  </si>
  <si>
    <t>BXU-2020-31</t>
  </si>
  <si>
    <t>2020-196</t>
  </si>
  <si>
    <t>20FK0056</t>
  </si>
  <si>
    <t>067-2020</t>
  </si>
  <si>
    <t>2020-332</t>
  </si>
  <si>
    <t>BLGUBALLUYAN-CW-2020-001</t>
  </si>
  <si>
    <t>2020-079</t>
  </si>
  <si>
    <t>G-2020-0061</t>
  </si>
  <si>
    <t>20-06-309</t>
  </si>
  <si>
    <t>2020-25-06-01</t>
  </si>
  <si>
    <t>20201212</t>
  </si>
  <si>
    <t>SVP 20-1166</t>
  </si>
  <si>
    <t>2020-004-1</t>
  </si>
  <si>
    <t>2020-06-0323</t>
  </si>
  <si>
    <t>20-06-048</t>
  </si>
  <si>
    <t>RFQ-2020-102-GOODS</t>
  </si>
  <si>
    <t>2020-02-0292</t>
  </si>
  <si>
    <t>030</t>
  </si>
  <si>
    <t>UPLB-IF-014-07-20 rebid</t>
  </si>
  <si>
    <t>2020-25-06-02</t>
  </si>
  <si>
    <t>RFQ-2020-100-GOODS</t>
  </si>
  <si>
    <t>2020-213</t>
  </si>
  <si>
    <t>UPLB-IF-017-07-20</t>
  </si>
  <si>
    <t>G-2020-0060</t>
  </si>
  <si>
    <t>RFQ-DARFO12-2020-0562</t>
  </si>
  <si>
    <t>PR NO. 100-8751-20-06-0740</t>
  </si>
  <si>
    <t>Bid No. 20-0322</t>
  </si>
  <si>
    <t>BAC-2020-0021</t>
  </si>
  <si>
    <t>PB-2020-0009</t>
  </si>
  <si>
    <t>2020-06-3101</t>
  </si>
  <si>
    <t>2020-214</t>
  </si>
  <si>
    <t>RFQ-2020-101-GOODS</t>
  </si>
  <si>
    <t>BLGU-PBD-Binisitahan Norte-2020-27.1</t>
  </si>
  <si>
    <t>20-06-315</t>
  </si>
  <si>
    <t>202-081</t>
  </si>
  <si>
    <t>2020-06-0322</t>
  </si>
  <si>
    <t>2020-06-3102</t>
  </si>
  <si>
    <t>LGUBTA 20-061</t>
  </si>
  <si>
    <t>2020-005-1</t>
  </si>
  <si>
    <t>PR NO. 100-8751-20-06-0739</t>
  </si>
  <si>
    <t>RFQ-DARFO12-2020-0564</t>
  </si>
  <si>
    <t>Aklan BAC ITB 368 Series of 2020</t>
  </si>
  <si>
    <t>PR No. 20-1089</t>
  </si>
  <si>
    <t>C-022-20</t>
  </si>
  <si>
    <t>20-06-308</t>
  </si>
  <si>
    <t>ITB-2020-02</t>
  </si>
  <si>
    <t>RFQ-DARFO12-2020-0565</t>
  </si>
  <si>
    <t>101-20-06-032</t>
  </si>
  <si>
    <t>RFQ-DARFO12-2020-0563</t>
  </si>
  <si>
    <t>OLYMPIA 20-06-009</t>
  </si>
  <si>
    <t>PR NO. 100-8751-20-06-0741</t>
  </si>
  <si>
    <t>G-27-2020</t>
  </si>
  <si>
    <t>tgs 15-20</t>
  </si>
  <si>
    <t>2020-006-1</t>
  </si>
  <si>
    <t>2020-06-094</t>
  </si>
  <si>
    <t>2019-06-25-010</t>
  </si>
  <si>
    <t>G-26-2020</t>
  </si>
  <si>
    <t>RFQ-DARFO12-2020-0566</t>
  </si>
  <si>
    <t>ITB No. 2020-06-005</t>
  </si>
  <si>
    <t>2020-06-0364</t>
  </si>
  <si>
    <t>20GA0152</t>
  </si>
  <si>
    <t>MH-GOODS-RHU-CHEMICAL-REAGENTS-621</t>
  </si>
  <si>
    <t>RFQ NO. 433</t>
  </si>
  <si>
    <t>GEPS - 2020 - 87</t>
  </si>
  <si>
    <t>2020-032 Access Road 647184</t>
  </si>
  <si>
    <t>LTO-SU-20-042</t>
  </si>
  <si>
    <t>LOS BANOS-20-39</t>
  </si>
  <si>
    <t>UPLB-RQ-6-134-20-I CONSTRUCTION PROJECTS</t>
  </si>
  <si>
    <t>20ND0066</t>
  </si>
  <si>
    <t>202006018</t>
  </si>
  <si>
    <t>ITB PR 0498</t>
  </si>
  <si>
    <t>20-05-183</t>
  </si>
  <si>
    <t>002-07-2020</t>
  </si>
  <si>
    <t>RDD-CW 2020-16</t>
  </si>
  <si>
    <t>IB No. 2020-01-A</t>
  </si>
  <si>
    <t>PIA 2020-15</t>
  </si>
  <si>
    <t>ITB 20-06-005</t>
  </si>
  <si>
    <t>Contract ID 20JH0043</t>
  </si>
  <si>
    <t>2020-212</t>
  </si>
  <si>
    <t>B20200233</t>
  </si>
  <si>
    <t>Buhatan202011</t>
  </si>
  <si>
    <t>PG-RFQ-2020-1</t>
  </si>
  <si>
    <t>PIA 2020-14</t>
  </si>
  <si>
    <t>ITB PR 0499</t>
  </si>
  <si>
    <t>PR NO. 20-06-067</t>
  </si>
  <si>
    <t>ITB NO. 2020-06-2559</t>
  </si>
  <si>
    <t>2020-JUNE-015</t>
  </si>
  <si>
    <t>2020 - 07 - 003 (93 - Shopping)</t>
  </si>
  <si>
    <t>20-06-049</t>
  </si>
  <si>
    <t>tgs 16-20</t>
  </si>
  <si>
    <t>Buhatan202010</t>
  </si>
  <si>
    <t>G-29-2020</t>
  </si>
  <si>
    <t>2020-03-002-01</t>
  </si>
  <si>
    <t>20ND0067</t>
  </si>
  <si>
    <t>20063756</t>
  </si>
  <si>
    <t>Buhatan202012</t>
  </si>
  <si>
    <t>2020-PBGOODS-06-011</t>
  </si>
  <si>
    <t>B034-2020</t>
  </si>
  <si>
    <t>S001-2020</t>
  </si>
  <si>
    <t>20-06-314</t>
  </si>
  <si>
    <t>Contract ID 20JH0045</t>
  </si>
  <si>
    <t>20MC-INFRA-029</t>
  </si>
  <si>
    <t>031</t>
  </si>
  <si>
    <t>Bid No. 20-0323</t>
  </si>
  <si>
    <t>MMO-2020-06-25-001</t>
  </si>
  <si>
    <t>ITB 20-06-004</t>
  </si>
  <si>
    <t>ITB NO. 2020-06-2550</t>
  </si>
  <si>
    <t>ITB 2020-63</t>
  </si>
  <si>
    <t>003-07-2020</t>
  </si>
  <si>
    <t>2020-03-021</t>
  </si>
  <si>
    <t>SVP 20-0395</t>
  </si>
  <si>
    <t>2020-JUNE-016</t>
  </si>
  <si>
    <t>200625</t>
  </si>
  <si>
    <t>UPLB-RQ-6-080-20-GOODS CHEMICALS &amp; CHEMICAL PRODUC</t>
  </si>
  <si>
    <t>ITB NO. 2020-06-2555</t>
  </si>
  <si>
    <t>GOOD-20-2020</t>
  </si>
  <si>
    <t>0620-021</t>
  </si>
  <si>
    <t>GA-BAC-2020-IA-11</t>
  </si>
  <si>
    <t>UPLB-RQ-6-080-20-GOODS VETERINARY PRODUCTS &amp; SUPPL</t>
  </si>
  <si>
    <t>SVP 20-0560</t>
  </si>
  <si>
    <t>Contract ID 20JH0047</t>
  </si>
  <si>
    <t>PB-2020-06-039</t>
  </si>
  <si>
    <t>20MC-INFRA-030</t>
  </si>
  <si>
    <t>PB-2020-06-038</t>
  </si>
  <si>
    <t>20-J-09</t>
  </si>
  <si>
    <t>20GFN0009</t>
  </si>
  <si>
    <t>20GFN0010</t>
  </si>
  <si>
    <t>Sta. Barbara202003</t>
  </si>
  <si>
    <t>UPB2020.046</t>
  </si>
  <si>
    <t>ITB NO. 2020-06-2556</t>
  </si>
  <si>
    <t>ITB No. 2020-004-RFO/CTQAL</t>
  </si>
  <si>
    <t>B035-2020</t>
  </si>
  <si>
    <t>20MC-GOODS-032</t>
  </si>
  <si>
    <t>TM-20-06-0045</t>
  </si>
  <si>
    <t>BXU-2020-32</t>
  </si>
  <si>
    <t>20FO0104</t>
  </si>
  <si>
    <t>RDD CW-2020-17</t>
  </si>
  <si>
    <t>RE-ITB 02-2020 UPGRADING</t>
  </si>
  <si>
    <t>NCMB-NCR-PR-2019-09-028 (MOOE)</t>
  </si>
  <si>
    <t>20-04-006</t>
  </si>
  <si>
    <t>bac-20-0625b</t>
  </si>
  <si>
    <t>JJWC-NNP-20-011</t>
  </si>
  <si>
    <t>RFQ-DARFO12-2020-0567</t>
  </si>
  <si>
    <t>20FO0105</t>
  </si>
  <si>
    <t>20MC-GOODS-031</t>
  </si>
  <si>
    <t>Contract ID 20JH0046</t>
  </si>
  <si>
    <t>20GHL0002</t>
  </si>
  <si>
    <t>ITB NO. 2020-06-2551</t>
  </si>
  <si>
    <t>B037-2020</t>
  </si>
  <si>
    <t>20-06-313</t>
  </si>
  <si>
    <t>109924-2020-08</t>
  </si>
  <si>
    <t>RFQ-DARFO12-2020-0568</t>
  </si>
  <si>
    <t>SPC PR No. 1000029555</t>
  </si>
  <si>
    <t>0620-022</t>
  </si>
  <si>
    <t>ITB-025-2020</t>
  </si>
  <si>
    <t>JHS-026</t>
  </si>
  <si>
    <t>LOS BANOS-20-40</t>
  </si>
  <si>
    <t>2020-06-12</t>
  </si>
  <si>
    <t>2020-06-61</t>
  </si>
  <si>
    <t>B040-2020</t>
  </si>
  <si>
    <t>20201245</t>
  </si>
  <si>
    <t>20GFN0011</t>
  </si>
  <si>
    <t>2020-06-63</t>
  </si>
  <si>
    <t>07 - 2020 INFRA</t>
  </si>
  <si>
    <t>0020-0152-0911A2020</t>
  </si>
  <si>
    <t>004-07-2020</t>
  </si>
  <si>
    <t>PR NO. 2020-06-0297</t>
  </si>
  <si>
    <t>109924-2020-09</t>
  </si>
  <si>
    <t>B039-2020</t>
  </si>
  <si>
    <t>20-J-11</t>
  </si>
  <si>
    <t>2020-06-62</t>
  </si>
  <si>
    <t>20FN0105</t>
  </si>
  <si>
    <t>IB 2020-075</t>
  </si>
  <si>
    <t>20-J-10</t>
  </si>
  <si>
    <t>RFQ NO. 434</t>
  </si>
  <si>
    <t>Sta. Barbara202004</t>
  </si>
  <si>
    <t>ITB NO. 2020-06-2554</t>
  </si>
  <si>
    <t>Request for Quotation No. 04-2020-01</t>
  </si>
  <si>
    <t>RFQ-DARFO12-2020-0569</t>
  </si>
  <si>
    <t>2006001</t>
  </si>
  <si>
    <t>RFQ-DARFO12-2020-0570</t>
  </si>
  <si>
    <t>S2-ANT20-004</t>
  </si>
  <si>
    <t>BLGUPOB-GOODS-20-01</t>
  </si>
  <si>
    <t>RFQ-DARFO12-2020-0572</t>
  </si>
  <si>
    <t>B036-2020</t>
  </si>
  <si>
    <t>LR_2020_05_2006</t>
  </si>
  <si>
    <t>RFQ NO. 20-082: SUPPLY AND DELIVERY OF VARIOUS ANE</t>
  </si>
  <si>
    <t>ITB NO. 2020-06-2552</t>
  </si>
  <si>
    <t>bagaobawan202003</t>
  </si>
  <si>
    <t>RFQ-DARFO12-2020-0571</t>
  </si>
  <si>
    <t>B038-2020</t>
  </si>
  <si>
    <t>555</t>
  </si>
  <si>
    <t>LR_2020_05_2005</t>
  </si>
  <si>
    <t>B041-2020</t>
  </si>
  <si>
    <t>S2-BIR20-011</t>
  </si>
  <si>
    <t>Goods 2020-08</t>
  </si>
  <si>
    <t>rpl-20EE0139</t>
  </si>
  <si>
    <t>ITB-2020-16</t>
  </si>
  <si>
    <t>bagaobawan202002</t>
  </si>
  <si>
    <t>B044-2020</t>
  </si>
  <si>
    <t>nlontoc-RFQ-192-2020</t>
  </si>
  <si>
    <t>2020-215</t>
  </si>
  <si>
    <t>2006002</t>
  </si>
  <si>
    <t>B043-2020</t>
  </si>
  <si>
    <t>RFQ-DARFO12-2020-0574</t>
  </si>
  <si>
    <t>LG2020MP</t>
  </si>
  <si>
    <t>RFQ-DARFO12-2020-0573</t>
  </si>
  <si>
    <t>IB 2020-076</t>
  </si>
  <si>
    <t>B042-2020</t>
  </si>
  <si>
    <t>Goods-2020-005 - Rebid</t>
  </si>
  <si>
    <t>567</t>
  </si>
  <si>
    <t>2020-326</t>
  </si>
  <si>
    <t>0VCRE-05-20</t>
  </si>
  <si>
    <t>20FN0106</t>
  </si>
  <si>
    <t>20-J-12</t>
  </si>
  <si>
    <t>Lintum- 01- 2020</t>
  </si>
  <si>
    <t>20HF0099</t>
  </si>
  <si>
    <t>2020-06-0187</t>
  </si>
  <si>
    <t>B047-2020</t>
  </si>
  <si>
    <t>2019-081</t>
  </si>
  <si>
    <t>2019-I044</t>
  </si>
  <si>
    <t>109924-2020-10</t>
  </si>
  <si>
    <t>RFQ-DARFO12-2020-0579</t>
  </si>
  <si>
    <t>20-J-13</t>
  </si>
  <si>
    <t>SDO Abra 2020-017</t>
  </si>
  <si>
    <t>B045-2020</t>
  </si>
  <si>
    <t>RFQ-DARFO12-2020-0577</t>
  </si>
  <si>
    <t>20BK0147</t>
  </si>
  <si>
    <t>20-J-14</t>
  </si>
  <si>
    <t>B046-2020</t>
  </si>
  <si>
    <t>S2-SVP20-003</t>
  </si>
  <si>
    <t>568</t>
  </si>
  <si>
    <t>109924-2020-12</t>
  </si>
  <si>
    <t>20GCK0033</t>
  </si>
  <si>
    <t>Goods-2020-006 - Rebid</t>
  </si>
  <si>
    <t>ITB-2020-06-10</t>
  </si>
  <si>
    <t>RFQ 2020-069</t>
  </si>
  <si>
    <t>08-114-140</t>
  </si>
  <si>
    <t>08-2020</t>
  </si>
  <si>
    <t>RFQ NO. 432</t>
  </si>
  <si>
    <t>iba yuni 20-01</t>
  </si>
  <si>
    <t>20GI0099</t>
  </si>
  <si>
    <t>15-Goods-2020</t>
  </si>
  <si>
    <t>GOOD20200002(a)</t>
  </si>
  <si>
    <t>Galicia202005</t>
  </si>
  <si>
    <t>IB 2020-23</t>
  </si>
  <si>
    <t>20AE0072: Construction of 2 Storey TechVoc Worksho</t>
  </si>
  <si>
    <t>GOOD20200004(a)</t>
  </si>
  <si>
    <t>042020674</t>
  </si>
  <si>
    <t>GOODS-2020-134</t>
  </si>
  <si>
    <t>20GG0044-G</t>
  </si>
  <si>
    <t>BG2020-028-804</t>
  </si>
  <si>
    <t>PR NO. 1000033160 DATED 18 JUNE 2020</t>
  </si>
  <si>
    <t>202006043</t>
  </si>
  <si>
    <t>S2-TAG20-010</t>
  </si>
  <si>
    <t>spdro 20-01</t>
  </si>
  <si>
    <t>POCW-03-2020</t>
  </si>
  <si>
    <t>INFRA2020-012</t>
  </si>
  <si>
    <t>GOODS-2020-115</t>
  </si>
  <si>
    <t>ITB 2020-162</t>
  </si>
  <si>
    <t>ITB-2020-06-11</t>
  </si>
  <si>
    <t>Goods-2020-010 - Rebid</t>
  </si>
  <si>
    <t>2020-06-062-GS</t>
  </si>
  <si>
    <t>UPLB-RQ-6-135-20-RES LIVE ANIMALS</t>
  </si>
  <si>
    <t>Galicia202004</t>
  </si>
  <si>
    <t>S2-SVP20-012</t>
  </si>
  <si>
    <t>GOODS-2020-119</t>
  </si>
  <si>
    <t>20FC0125</t>
  </si>
  <si>
    <t>20-06-02</t>
  </si>
  <si>
    <t>PR NO.0528 S.2020</t>
  </si>
  <si>
    <t>20FC0124</t>
  </si>
  <si>
    <t>PR NO. 0528 S.2020</t>
  </si>
  <si>
    <t>Print, Supply and Delivery of MTWD 2021 Calendar</t>
  </si>
  <si>
    <t>2020-06-0173</t>
  </si>
  <si>
    <t>20CSE010</t>
  </si>
  <si>
    <t>20CSE009</t>
  </si>
  <si>
    <t>2020-06-0174</t>
  </si>
  <si>
    <t>BACPOGOODS202006007</t>
  </si>
  <si>
    <t>2020-06-0179</t>
  </si>
  <si>
    <t>20-294</t>
  </si>
  <si>
    <t>109924-2020-13</t>
  </si>
  <si>
    <t>2020-06-0176</t>
  </si>
  <si>
    <t>818</t>
  </si>
  <si>
    <t>20DE0138 (Re-advertised)</t>
  </si>
  <si>
    <t>CGIAS0620-007</t>
  </si>
  <si>
    <t>20DE0122 (Re-advertised)</t>
  </si>
  <si>
    <t>bolo 20-01</t>
  </si>
  <si>
    <t>775</t>
  </si>
  <si>
    <t>19FC0239</t>
  </si>
  <si>
    <t>20DE0139 (Re-advertised)</t>
  </si>
  <si>
    <t>20DE0103 (Re-advertised)</t>
  </si>
  <si>
    <t>20FC0129</t>
  </si>
  <si>
    <t>819</t>
  </si>
  <si>
    <t>20-324</t>
  </si>
  <si>
    <t>839</t>
  </si>
  <si>
    <t>OMSC RFQ 20-017</t>
  </si>
  <si>
    <t>20-350</t>
  </si>
  <si>
    <t>20-06-01</t>
  </si>
  <si>
    <t>2020-095</t>
  </si>
  <si>
    <t>2020-06-263</t>
  </si>
  <si>
    <t>715</t>
  </si>
  <si>
    <t>CGIAS0620-005</t>
  </si>
  <si>
    <t>OMSC RFQ 19-107</t>
  </si>
  <si>
    <t>CGIAS0620-006</t>
  </si>
  <si>
    <t>20-348</t>
  </si>
  <si>
    <t>2020-08-0180</t>
  </si>
  <si>
    <t>WGS-20-018</t>
  </si>
  <si>
    <t>RFQ-DARFO12-2020-0578</t>
  </si>
  <si>
    <t>Contract ID 20JH0048</t>
  </si>
  <si>
    <t>802</t>
  </si>
  <si>
    <t>20FC0128</t>
  </si>
  <si>
    <t>749</t>
  </si>
  <si>
    <t>Contract ID 20JH0049</t>
  </si>
  <si>
    <t>Contract ID 20JH0050</t>
  </si>
  <si>
    <t>ila yuni 20-01</t>
  </si>
  <si>
    <t>OMSC RFQ 19-068</t>
  </si>
  <si>
    <t>747</t>
  </si>
  <si>
    <t>Contract ID 20JH0051</t>
  </si>
  <si>
    <t>20-398</t>
  </si>
  <si>
    <t>716</t>
  </si>
  <si>
    <t>MG-PHP20-010</t>
  </si>
  <si>
    <t>6-20-44</t>
  </si>
  <si>
    <t>MG-PAT20-035</t>
  </si>
  <si>
    <t>20FC0126</t>
  </si>
  <si>
    <t>841</t>
  </si>
  <si>
    <t>MG-PAT20-007</t>
  </si>
  <si>
    <t>BTG3-2020-0209</t>
  </si>
  <si>
    <t>805</t>
  </si>
  <si>
    <t>MG-PLM20-011</t>
  </si>
  <si>
    <t>20-384</t>
  </si>
  <si>
    <t>6-20-43</t>
  </si>
  <si>
    <t>BTG3-2020-0208</t>
  </si>
  <si>
    <t>Contract ID 20JH0052</t>
  </si>
  <si>
    <t>20-365</t>
  </si>
  <si>
    <t>838</t>
  </si>
  <si>
    <t>Contract ID 20JH0053</t>
  </si>
  <si>
    <t>2020-06-0015</t>
  </si>
  <si>
    <t>DPWH-SK2DEO-20GMH054</t>
  </si>
  <si>
    <t>DPWH-SK2DEO-20GMH053</t>
  </si>
  <si>
    <t>DPWH-SK2DEO-20GMH051</t>
  </si>
  <si>
    <t>NPSVP-2020-58</t>
  </si>
  <si>
    <t>20FC0127</t>
  </si>
  <si>
    <t>MG-PAT20-025</t>
  </si>
  <si>
    <t>DPWH-SK2DEO-20GMH050</t>
  </si>
  <si>
    <t>BTG3-2020-0210</t>
  </si>
  <si>
    <t>MG-PAT20-026</t>
  </si>
  <si>
    <t>MG-PLM20-088</t>
  </si>
  <si>
    <t>MG-PAT20-023</t>
  </si>
  <si>
    <t>MG-PLM20-094</t>
  </si>
  <si>
    <t>MG-PHP20-007</t>
  </si>
  <si>
    <t>12345</t>
  </si>
  <si>
    <t>6-20-45</t>
  </si>
  <si>
    <t>20-06-0642</t>
  </si>
  <si>
    <t>DPWH-SK2DEO-20GMH052</t>
  </si>
  <si>
    <t>NMF INFRA 2020-28</t>
  </si>
  <si>
    <t>road opening</t>
  </si>
  <si>
    <t>NMF INFRA 2020-27</t>
  </si>
  <si>
    <t>H01-July2020</t>
  </si>
  <si>
    <t>20AE0073: Construction of 2 Storey 4 Classroom Sch</t>
  </si>
  <si>
    <t>NPSVP-2020-57</t>
  </si>
  <si>
    <t>20-05-0620</t>
  </si>
  <si>
    <t>DPWH-SK2DEO-20GMH058</t>
  </si>
  <si>
    <t>Contract ID 20JH0054</t>
  </si>
  <si>
    <t>DPWH-SK2DEO-20GMH057</t>
  </si>
  <si>
    <t>NMF INFRA 2020-26</t>
  </si>
  <si>
    <t>20-05-0584</t>
  </si>
  <si>
    <t>2020-023</t>
  </si>
  <si>
    <t>PR NO. 90805 &amp; PR 91288</t>
  </si>
  <si>
    <t>2020-06-0020</t>
  </si>
  <si>
    <t>30-2020</t>
  </si>
  <si>
    <t>Contract ID 20JH0055</t>
  </si>
  <si>
    <t>BG2020-117</t>
  </si>
  <si>
    <t>Contract ID 20JH0058</t>
  </si>
  <si>
    <t>Contract ID 20JH0057</t>
  </si>
  <si>
    <t>042020673</t>
  </si>
  <si>
    <t>2020-06-0018</t>
  </si>
  <si>
    <t>20-06-07-0136</t>
  </si>
  <si>
    <t>PR NO. 90344</t>
  </si>
  <si>
    <t>Contract ID 20JH0061</t>
  </si>
  <si>
    <t>NPSVP-2020-56</t>
  </si>
  <si>
    <t>2020-024</t>
  </si>
  <si>
    <t>0101-635</t>
  </si>
  <si>
    <t>ATI-RTC3-2020-0085</t>
  </si>
  <si>
    <t>Contract ID 20JH0056</t>
  </si>
  <si>
    <t>ITB NO. 2020-028</t>
  </si>
  <si>
    <t>PR NO. 91414</t>
  </si>
  <si>
    <t>PR NO. 91676</t>
  </si>
  <si>
    <t>EARIST-2020-BID-003</t>
  </si>
  <si>
    <t>ITB 2020-006 CR wet &amp; Dry</t>
  </si>
  <si>
    <t>2020-06-0110</t>
  </si>
  <si>
    <t>ITB 2020-004 Aircon</t>
  </si>
  <si>
    <t>ITB 2020-005 Construction Materials</t>
  </si>
  <si>
    <t>ITB 2020-005 CUB</t>
  </si>
  <si>
    <t>PR NO. 92014</t>
  </si>
  <si>
    <t>2020-06-0113</t>
  </si>
  <si>
    <t>2020 - 07 - 003 (94 - Shopping)</t>
  </si>
  <si>
    <t>0101-000-01-25</t>
  </si>
  <si>
    <t>042020672</t>
  </si>
  <si>
    <t>0101-000-01-24</t>
  </si>
  <si>
    <t>06-25-2020-04</t>
  </si>
  <si>
    <t>PR NO. 91415</t>
  </si>
  <si>
    <t>06-25-2020-05</t>
  </si>
  <si>
    <t>21-20</t>
  </si>
  <si>
    <t>19-20</t>
  </si>
  <si>
    <t>2020-06-0019</t>
  </si>
  <si>
    <t>20-20</t>
  </si>
  <si>
    <t>06-25-2020-03</t>
  </si>
  <si>
    <t>JULUGAN VIII 2020-01</t>
  </si>
  <si>
    <t>PR NO. 91778</t>
  </si>
  <si>
    <t>2020 - 07 - 003 (95 - Shopping)</t>
  </si>
  <si>
    <t>20GDB0016 (Re-Advertisement)</t>
  </si>
  <si>
    <t>06-25-2020-02</t>
  </si>
  <si>
    <t>06-25-2020-01</t>
  </si>
  <si>
    <t>NMF INFRA 2020-29</t>
  </si>
  <si>
    <t>100-04-076-17-0457</t>
  </si>
  <si>
    <t>Contract ID 20JH0062</t>
  </si>
  <si>
    <t>Contract ID 20JH0059</t>
  </si>
  <si>
    <t>DPWH-SK2DEO-20GMH056</t>
  </si>
  <si>
    <t>NMF INFRA 2020-30</t>
  </si>
  <si>
    <t>H02-July2020</t>
  </si>
  <si>
    <t>PB-01-06-2020-0006</t>
  </si>
  <si>
    <t>20CSEF07</t>
  </si>
  <si>
    <t>gsis/npsvp-230-20</t>
  </si>
  <si>
    <t>100-04-076-17-0516</t>
  </si>
  <si>
    <t>20CSEF04</t>
  </si>
  <si>
    <t>20csd02</t>
  </si>
  <si>
    <t>20CSEF03</t>
  </si>
  <si>
    <t>20CSEF01</t>
  </si>
  <si>
    <t>PR-20-02-051</t>
  </si>
  <si>
    <t>20CSEF05</t>
  </si>
  <si>
    <t>PR-20-01-030</t>
  </si>
  <si>
    <t>Pr-20-01-021</t>
  </si>
  <si>
    <t>20CSEF02</t>
  </si>
  <si>
    <t>PR-20-01-013</t>
  </si>
  <si>
    <t>PR-20-01-015</t>
  </si>
  <si>
    <t>BSU Project No. 2020-213</t>
  </si>
  <si>
    <t>20CSEF06</t>
  </si>
  <si>
    <t>DPWH-SK2DEO-20GMH055</t>
  </si>
  <si>
    <t>Contract ID 20JH0060</t>
  </si>
  <si>
    <t>PR-20-01-026</t>
  </si>
  <si>
    <t>LGUTMO BAC 2020-14</t>
  </si>
  <si>
    <t>PR-20-01-022</t>
  </si>
  <si>
    <t>2020-03-224</t>
  </si>
  <si>
    <t>SBMA-BAC-GOODS-NP-14-20</t>
  </si>
  <si>
    <t>rfq064</t>
  </si>
  <si>
    <t>LGUTMO BAC 2020-17</t>
  </si>
  <si>
    <t>LGUTMO BAC 2020-10</t>
  </si>
  <si>
    <t>2020-6-25-1</t>
  </si>
  <si>
    <t>080 - 2020</t>
  </si>
  <si>
    <t>PBD 20-078</t>
  </si>
  <si>
    <t>20CSEF08</t>
  </si>
  <si>
    <t>20L00138</t>
  </si>
  <si>
    <t>AAE JUNE22-2020(2)</t>
  </si>
  <si>
    <t>130 - 2020</t>
  </si>
  <si>
    <t>AAE JUNE22-2020(1)</t>
  </si>
  <si>
    <t>1002006-409-010</t>
  </si>
  <si>
    <t>07122020-089</t>
  </si>
  <si>
    <t>1002006-412-011</t>
  </si>
  <si>
    <t>20200622</t>
  </si>
  <si>
    <t>1002006-406-009</t>
  </si>
  <si>
    <t>DUA2020-06-0012</t>
  </si>
  <si>
    <t>20-1387</t>
  </si>
  <si>
    <t>079 - 2020</t>
  </si>
  <si>
    <t>LGUTMO BAC 2020-16</t>
  </si>
  <si>
    <t>84-20-6-14</t>
  </si>
  <si>
    <t>0702</t>
  </si>
  <si>
    <t>1071-20-05-196</t>
  </si>
  <si>
    <t>84-20-5-011</t>
  </si>
  <si>
    <t>84-20-5-012</t>
  </si>
  <si>
    <t>1071-20-05-197</t>
  </si>
  <si>
    <t>20L00159</t>
  </si>
  <si>
    <t>20L00158</t>
  </si>
  <si>
    <t>20L00157</t>
  </si>
  <si>
    <t>1011-20-5-198A</t>
  </si>
  <si>
    <t>RFQ-2020-06-15-441</t>
  </si>
  <si>
    <t>20L00156</t>
  </si>
  <si>
    <t>2020-I-078</t>
  </si>
  <si>
    <t>REF #042-06-2020</t>
  </si>
  <si>
    <t>ECV-20EE0134 RE BID</t>
  </si>
  <si>
    <t>ECV-20EE0132 (RE BID)</t>
  </si>
  <si>
    <t>ECV-20EE0128 RE BID</t>
  </si>
  <si>
    <t>20L00166</t>
  </si>
  <si>
    <t>20L00165</t>
  </si>
  <si>
    <t>1091-20-02-048</t>
  </si>
  <si>
    <t>20-06-009</t>
  </si>
  <si>
    <t>84-20-5-010</t>
  </si>
  <si>
    <t>20L00163</t>
  </si>
  <si>
    <t>20L00162</t>
  </si>
  <si>
    <t>9999-20-05-005</t>
  </si>
  <si>
    <t>ECV-20EE0126  (RE BID)</t>
  </si>
  <si>
    <t>2020-I-079</t>
  </si>
  <si>
    <t>IB-2020-100-INFRA</t>
  </si>
  <si>
    <t>20-125</t>
  </si>
  <si>
    <t>20L00164</t>
  </si>
  <si>
    <t>4411-20-6-238</t>
  </si>
  <si>
    <t>IB-2020-098-INFRA</t>
  </si>
  <si>
    <t>PTCZN-2020-06-0044</t>
  </si>
  <si>
    <t>IB-2020-096-INFRA</t>
  </si>
  <si>
    <t>IB-2020-099-INFRA</t>
  </si>
  <si>
    <t>2020-06-351</t>
  </si>
  <si>
    <t>IB-2020-097-INFRA</t>
  </si>
  <si>
    <t>00008312</t>
  </si>
  <si>
    <t>2020-06-343</t>
  </si>
  <si>
    <t>132 - 2020</t>
  </si>
  <si>
    <t>IB NSCV2020-03</t>
  </si>
  <si>
    <t>IB-2020-095-INFRA</t>
  </si>
  <si>
    <t>00008308</t>
  </si>
  <si>
    <t>ITB-06-2020-007</t>
  </si>
  <si>
    <t>1011-20-5-198E</t>
  </si>
  <si>
    <t>131 - 2020</t>
  </si>
  <si>
    <t>20-129</t>
  </si>
  <si>
    <t>2020-06-349</t>
  </si>
  <si>
    <t>2020-06-019B</t>
  </si>
  <si>
    <t>ADS-0965-20</t>
  </si>
  <si>
    <t>20-127</t>
  </si>
  <si>
    <t>1011-20-5-198C</t>
  </si>
  <si>
    <t>2020-06-018B</t>
  </si>
  <si>
    <t>IB-2020-105-INFRA</t>
  </si>
  <si>
    <t>20-130</t>
  </si>
  <si>
    <t>2020-06-017B</t>
  </si>
  <si>
    <t>IB-2020-104-INFRA</t>
  </si>
  <si>
    <t>IB-2020-103-INFRA</t>
  </si>
  <si>
    <t>2020-G001</t>
  </si>
  <si>
    <t>IB-2020-102-INFRA</t>
  </si>
  <si>
    <t>20GM0080</t>
  </si>
  <si>
    <t>ITB-06-2020-005</t>
  </si>
  <si>
    <t>2020-I-082</t>
  </si>
  <si>
    <t>IB-2020-106-INFRA</t>
  </si>
  <si>
    <t>20-128</t>
  </si>
  <si>
    <t>IB-2020-101-INFRA</t>
  </si>
  <si>
    <t>ITB-06-2020-006</t>
  </si>
  <si>
    <t>20GM0063 (RE-BIDDING)</t>
  </si>
  <si>
    <t>20L00160</t>
  </si>
  <si>
    <t>2020-06-344</t>
  </si>
  <si>
    <t>1011-20-6-235A</t>
  </si>
  <si>
    <t>1011-20-01-017A</t>
  </si>
  <si>
    <t>ADS-1351-20</t>
  </si>
  <si>
    <t>SDO GOODS 2020-026</t>
  </si>
  <si>
    <t>REF #041(1)-06-2020</t>
  </si>
  <si>
    <t>ADS-0973-20</t>
  </si>
  <si>
    <t>20-138</t>
  </si>
  <si>
    <t>PB-2020-06-034</t>
  </si>
  <si>
    <t>PB-2020-06-033</t>
  </si>
  <si>
    <t>20-137</t>
  </si>
  <si>
    <t>20-136</t>
  </si>
  <si>
    <t>20-135</t>
  </si>
  <si>
    <t>20L00161</t>
  </si>
  <si>
    <t>ADS-0970-20</t>
  </si>
  <si>
    <t>349-2020</t>
  </si>
  <si>
    <t>300-20-01-0001</t>
  </si>
  <si>
    <t>365-2020-002</t>
  </si>
  <si>
    <t>IB. NO. K-2020-060(SC)</t>
  </si>
  <si>
    <t>ADS-1355-20</t>
  </si>
  <si>
    <t>20IE0101</t>
  </si>
  <si>
    <t>IB. NO. K-2020-064(SC)</t>
  </si>
  <si>
    <t>ADS-1353-20</t>
  </si>
  <si>
    <t>vict-eps20-029</t>
  </si>
  <si>
    <t>IB. NO. K-2020-063(SC)</t>
  </si>
  <si>
    <t>BLGU P2</t>
  </si>
  <si>
    <t>626973</t>
  </si>
  <si>
    <t>InTB-PGA7171OPAG2020-GDS2</t>
  </si>
  <si>
    <t>InTB-PGA7171OPAG2020-GDS1</t>
  </si>
  <si>
    <t>ADS-1354-20</t>
  </si>
  <si>
    <t>InTB-PGAPEO2MBP2020EDF-CW1</t>
  </si>
  <si>
    <t>InTB-PGAPEOROADS2020EDF-CW2</t>
  </si>
  <si>
    <t>06232020A</t>
  </si>
  <si>
    <t>5020308000-46-JASRS-20</t>
  </si>
  <si>
    <t>5020399000-45-SRSA-20</t>
  </si>
  <si>
    <t>Bid No. 20-0275</t>
  </si>
  <si>
    <t>5020399000-43-JRSA-20</t>
  </si>
  <si>
    <t>5020301000-42-SRSA-20</t>
  </si>
  <si>
    <t>5020301000-40-JRSA-20</t>
  </si>
  <si>
    <t>5020305000-39-JASS-20</t>
  </si>
  <si>
    <t>06232020B</t>
  </si>
  <si>
    <t>5020399000-44-ARSA-20</t>
  </si>
  <si>
    <t>ADS-1352-20</t>
  </si>
  <si>
    <t>5020305000-38-JASR-20</t>
  </si>
  <si>
    <t>100(01)20-06-011(E)</t>
  </si>
  <si>
    <t>2020-GOODS-065</t>
  </si>
  <si>
    <t>5021306001-47-JFMR-20</t>
  </si>
  <si>
    <t>GOODS 2020-018</t>
  </si>
  <si>
    <t>RFQ - PR No. 2020-06-0120 dated 6-10-20</t>
  </si>
  <si>
    <t>100-2020-Infra-375</t>
  </si>
  <si>
    <t>ITB No. G11-03-2020</t>
  </si>
  <si>
    <t>ITB No. G12-03-2020</t>
  </si>
  <si>
    <t>GEPS-2020-0624</t>
  </si>
  <si>
    <t>RQ No. 2020-06-4</t>
  </si>
  <si>
    <t>BFAR5BAC-2020-109</t>
  </si>
  <si>
    <t>4411-20-6-239</t>
  </si>
  <si>
    <t>IB 2020-035</t>
  </si>
  <si>
    <t>038-20</t>
  </si>
  <si>
    <t>ITB No. 024B-2020 GQ</t>
  </si>
  <si>
    <t>2020-Barangay darahuway-001</t>
  </si>
  <si>
    <t>100(18)20-06-353(O)</t>
  </si>
  <si>
    <t>RFQ 2020-06-015</t>
  </si>
  <si>
    <t>bagong silang 3 pr1</t>
  </si>
  <si>
    <t>chitongco 2020-02</t>
  </si>
  <si>
    <t>BUE-06242020-01</t>
  </si>
  <si>
    <t>BMC-N-20-196</t>
  </si>
  <si>
    <t>GHQBAC1-PB-013-GHQ-20</t>
  </si>
  <si>
    <t>Civil Works 022-2020</t>
  </si>
  <si>
    <t>2020-06-0027</t>
  </si>
  <si>
    <t>100(01)20-06-347(A)</t>
  </si>
  <si>
    <t>100(01)20-06-346(A)</t>
  </si>
  <si>
    <t>100(01)20-06-028(P)</t>
  </si>
  <si>
    <t>100(01)20-06-348(O)</t>
  </si>
  <si>
    <t>2020-Barangay Cabugawan-001</t>
  </si>
  <si>
    <t>SV-0714-2020</t>
  </si>
  <si>
    <t>2020-0623-34G</t>
  </si>
  <si>
    <t>ITB-MPR-Goods-2020-021</t>
  </si>
  <si>
    <t>5020301000-41-ARSA-20</t>
  </si>
  <si>
    <t>IB 2020-036</t>
  </si>
  <si>
    <t>MG-A7T20-052</t>
  </si>
  <si>
    <t>100(01)20-06-359(A)</t>
  </si>
  <si>
    <t>20-06-000072</t>
  </si>
  <si>
    <t>20GIB0035</t>
  </si>
  <si>
    <t>2020-311</t>
  </si>
  <si>
    <t>100(01)20-06-342(A)</t>
  </si>
  <si>
    <t>120</t>
  </si>
  <si>
    <t>LGU-ALCOY-2020-035</t>
  </si>
  <si>
    <t>captmain136893-02</t>
  </si>
  <si>
    <t>100(18)20-06-358(O)</t>
  </si>
  <si>
    <t>ITB-Improvement of Multi-Purpose-Brgy. Tapul</t>
  </si>
  <si>
    <t>BLGU-STAFE-AL-G-01-2020</t>
  </si>
  <si>
    <t>lgu padada-0020-06-24-2020</t>
  </si>
  <si>
    <t>ITB-MPR-Goods-2020-022</t>
  </si>
  <si>
    <t>100(01)20-06-355(A)</t>
  </si>
  <si>
    <t>2020-Barangay 10 Poblacion-03</t>
  </si>
  <si>
    <t>2020-INFRA-008</t>
  </si>
  <si>
    <t>2020-05-11</t>
  </si>
  <si>
    <t>ITB No. 023B-2020 GQ</t>
  </si>
  <si>
    <t>2020-032</t>
  </si>
  <si>
    <t>INFRASIB-2020-10</t>
  </si>
  <si>
    <t>GHQBAC1-PB-018-GHQ-20</t>
  </si>
  <si>
    <t>lgu padada-0021-06-24-2020</t>
  </si>
  <si>
    <t>ITB No. 031B-2020 GQ</t>
  </si>
  <si>
    <t>R.F.Q. (P.R. No.) 20-06-89</t>
  </si>
  <si>
    <t>20-049</t>
  </si>
  <si>
    <t>20-06-000075</t>
  </si>
  <si>
    <t>06-007-2020</t>
  </si>
  <si>
    <t>100(01)20-06-349(A)</t>
  </si>
  <si>
    <t>100(01)20-06-348(A)</t>
  </si>
  <si>
    <t>100(18)20-06-357(O)</t>
  </si>
  <si>
    <t>2020-06-0126</t>
  </si>
  <si>
    <t>ITB-023-2020</t>
  </si>
  <si>
    <t>20201226</t>
  </si>
  <si>
    <t>100(01)20-06-358(A)</t>
  </si>
  <si>
    <t>ITB No. 028B-2020 GQ</t>
  </si>
  <si>
    <t>100(200)20-06-002</t>
  </si>
  <si>
    <t>PR# 20-06-0604</t>
  </si>
  <si>
    <t>20CH0075</t>
  </si>
  <si>
    <t>100(18)20-06-356(O)</t>
  </si>
  <si>
    <t>100(18)20-06-355(O)</t>
  </si>
  <si>
    <t>ITB-MPR-Goods-2020-020</t>
  </si>
  <si>
    <t>GOODS 2020-06-PLA005</t>
  </si>
  <si>
    <t>20-06-04-0071</t>
  </si>
  <si>
    <t>CNSCMEDICALSUP2020</t>
  </si>
  <si>
    <t>ITB No. 029B-2020 GQ</t>
  </si>
  <si>
    <t>BANNA-ITB-70(DUMP TRUCK)</t>
  </si>
  <si>
    <t>INFRASIB-2020-13</t>
  </si>
  <si>
    <t>2020-63</t>
  </si>
  <si>
    <t>2020-05-12</t>
  </si>
  <si>
    <t>ITB-024-2020</t>
  </si>
  <si>
    <t>20-06-000074</t>
  </si>
  <si>
    <t>G-2020-005</t>
  </si>
  <si>
    <t>RFQ NO. 20-06-400</t>
  </si>
  <si>
    <t>19-12-062-EM</t>
  </si>
  <si>
    <t>MSDS-6-2020-G8</t>
  </si>
  <si>
    <t>PR. NO. 2020060722</t>
  </si>
  <si>
    <t>P.R. # 20-06-058</t>
  </si>
  <si>
    <t>2LSSM2020A-212</t>
  </si>
  <si>
    <t>547-2020</t>
  </si>
  <si>
    <t>P.R. # 20-06-060</t>
  </si>
  <si>
    <t>2020-0623-36G</t>
  </si>
  <si>
    <t>INFRASIB-2020-12</t>
  </si>
  <si>
    <t>2020-64</t>
  </si>
  <si>
    <t>06-24-2020-231</t>
  </si>
  <si>
    <t>R.F.Q. (P.R. No.) 20-06-88</t>
  </si>
  <si>
    <t>2020-025 CDO</t>
  </si>
  <si>
    <t>100(18)20-06-360(O)</t>
  </si>
  <si>
    <t>20GIE0010</t>
  </si>
  <si>
    <t>PB-G-001-2020</t>
  </si>
  <si>
    <t>2020-PR-64-CAR</t>
  </si>
  <si>
    <t>Bid No. 20-0276</t>
  </si>
  <si>
    <t>NS-06-25-20-01</t>
  </si>
  <si>
    <t>G-PGO-048-20</t>
  </si>
  <si>
    <t>ITB No. I31-03-2020</t>
  </si>
  <si>
    <t>20201225</t>
  </si>
  <si>
    <t>B-91-2020</t>
  </si>
  <si>
    <t>PB-INF-001-2020</t>
  </si>
  <si>
    <t>20200624-001</t>
  </si>
  <si>
    <t>546-2020</t>
  </si>
  <si>
    <t>PR No. 20-1060</t>
  </si>
  <si>
    <t>20-06-05A-0029</t>
  </si>
  <si>
    <t>06-64-2020</t>
  </si>
  <si>
    <t>R.F.Q. (P.R. No.) 20-06-87</t>
  </si>
  <si>
    <t>20-0053</t>
  </si>
  <si>
    <t>lgu padada-0022-06-24-2020</t>
  </si>
  <si>
    <t>20-02-07-0078 Re-canvass</t>
  </si>
  <si>
    <t>PR. NO. 2020060724</t>
  </si>
  <si>
    <t>100(18)20-06-363(O)</t>
  </si>
  <si>
    <t>2020-GOODS-RFQ-067</t>
  </si>
  <si>
    <t>100(18)20-06-362(O)</t>
  </si>
  <si>
    <t>20CSHG0002</t>
  </si>
  <si>
    <t>20GIE0011</t>
  </si>
  <si>
    <t>100(18)20-06-364(O)</t>
  </si>
  <si>
    <t>2020-0623-37</t>
  </si>
  <si>
    <t>R.F.Q. (P.R. No.) 20-06-85</t>
  </si>
  <si>
    <t>20200624-002</t>
  </si>
  <si>
    <t>SJPOB 2020-004</t>
  </si>
  <si>
    <t>2020-0165</t>
  </si>
  <si>
    <t>INFRA 2020-12</t>
  </si>
  <si>
    <t>Bid No. 20-0277</t>
  </si>
  <si>
    <t>2020-03-0146</t>
  </si>
  <si>
    <t>2020-0164</t>
  </si>
  <si>
    <t>100(18)20-06-365(O)</t>
  </si>
  <si>
    <t>TANZA 2 2020-10-006</t>
  </si>
  <si>
    <t>06-24-2020</t>
  </si>
  <si>
    <t>100(18)20-06-361(O)</t>
  </si>
  <si>
    <t>P.R. # 20-06-062</t>
  </si>
  <si>
    <t>P.R. # 20-06-061</t>
  </si>
  <si>
    <t>00062</t>
  </si>
  <si>
    <t>016</t>
  </si>
  <si>
    <t>N2FB-310-2019(2020)</t>
  </si>
  <si>
    <t>100(01)20-06-361(A)</t>
  </si>
  <si>
    <t>INFRASIB-2020-14</t>
  </si>
  <si>
    <t>00061</t>
  </si>
  <si>
    <t>20-05-01A-0001</t>
  </si>
  <si>
    <t>SH-016-2020</t>
  </si>
  <si>
    <t>INFRASIB-2020-11</t>
  </si>
  <si>
    <t>Project No. 01-2020</t>
  </si>
  <si>
    <t>21</t>
  </si>
  <si>
    <t>100(18)20-06-359(O)</t>
  </si>
  <si>
    <t>PENRO-BUK.-20-040</t>
  </si>
  <si>
    <t>P.R. # 20-06-065</t>
  </si>
  <si>
    <t>0624202001</t>
  </si>
  <si>
    <t>Infra-2020-09</t>
  </si>
  <si>
    <t>NS-06-25-20-02</t>
  </si>
  <si>
    <t>Consolidated PR (GF)</t>
  </si>
  <si>
    <t>M01-06-2020</t>
  </si>
  <si>
    <t>P.R. # 20-06-059</t>
  </si>
  <si>
    <t>ITB No. I30-03-2020</t>
  </si>
  <si>
    <t>2020-A-06-115</t>
  </si>
  <si>
    <t>PR#9</t>
  </si>
  <si>
    <t>2020-06-23</t>
  </si>
  <si>
    <t>554-2020</t>
  </si>
  <si>
    <t>2020-0623-38G</t>
  </si>
  <si>
    <t>2020- 06- 001</t>
  </si>
  <si>
    <t>PR. NO. 2020060723</t>
  </si>
  <si>
    <t>Infra-2020-10</t>
  </si>
  <si>
    <t>DV-2020-I11</t>
  </si>
  <si>
    <t>2020-55c-001</t>
  </si>
  <si>
    <t>Bid No. 20-0279</t>
  </si>
  <si>
    <t>UPLB-RQ-6-131-20-RES INFORMATION TECHNOLOGY</t>
  </si>
  <si>
    <t>BRGY. KAWIT</t>
  </si>
  <si>
    <t>Tubod 2020-06-002</t>
  </si>
  <si>
    <t>20200624-003</t>
  </si>
  <si>
    <t>BF 2020-001</t>
  </si>
  <si>
    <t>00063</t>
  </si>
  <si>
    <t>00064</t>
  </si>
  <si>
    <t>Bid No. 20-0278</t>
  </si>
  <si>
    <t>20PL0122</t>
  </si>
  <si>
    <t>QES-06-024-20</t>
  </si>
  <si>
    <t>Tubod 2020-06-001</t>
  </si>
  <si>
    <t>2020-06-24-01</t>
  </si>
  <si>
    <t>PN 2020-13</t>
  </si>
  <si>
    <t>DepED-RO6-D1- “TNHS” PURCHASE OF TRANSFORMER FOR J</t>
  </si>
  <si>
    <t>6-29</t>
  </si>
  <si>
    <t>ITB No. I28-03-2020</t>
  </si>
  <si>
    <t>SV-0776-2020</t>
  </si>
  <si>
    <t>20-03-08-0032 Re-canvass</t>
  </si>
  <si>
    <t>GOODSIB-2020-03</t>
  </si>
  <si>
    <t>2-17</t>
  </si>
  <si>
    <t>344-2020</t>
  </si>
  <si>
    <t>0006</t>
  </si>
  <si>
    <t>2020-07-0001</t>
  </si>
  <si>
    <t>20GKE0006 Lot1</t>
  </si>
  <si>
    <t>SV-0770-2020</t>
  </si>
  <si>
    <t>2LSSM2020A-214</t>
  </si>
  <si>
    <t>MAPULO2020-002</t>
  </si>
  <si>
    <t>BID NO.0620-137</t>
  </si>
  <si>
    <t>900-20</t>
  </si>
  <si>
    <t>SV-0775-2020</t>
  </si>
  <si>
    <t>20-06-0038</t>
  </si>
  <si>
    <t>PR-2020-05-0020</t>
  </si>
  <si>
    <t>202000206</t>
  </si>
  <si>
    <t>202000306</t>
  </si>
  <si>
    <t>GOODS-06-24-2020-01</t>
  </si>
  <si>
    <t>20GKE0006 Lot2</t>
  </si>
  <si>
    <t>20CN0154</t>
  </si>
  <si>
    <t>2LSSM2020A-216</t>
  </si>
  <si>
    <t>2LSSM2020A-215</t>
  </si>
  <si>
    <t>20CN0153</t>
  </si>
  <si>
    <t>CHMSC 20-021-0624-G</t>
  </si>
  <si>
    <t>062020-01</t>
  </si>
  <si>
    <t>BID NO. 0620-138</t>
  </si>
  <si>
    <t>2LSSM2020A-220</t>
  </si>
  <si>
    <t>2020-0623-35G</t>
  </si>
  <si>
    <t>2LSSM2020A-218</t>
  </si>
  <si>
    <t>I.B. No. 2020-0030</t>
  </si>
  <si>
    <t>20GIE0012</t>
  </si>
  <si>
    <t>PN 11-2020</t>
  </si>
  <si>
    <t>2LSSM2020A-219</t>
  </si>
  <si>
    <t>GOODS-2020-46-2ND</t>
  </si>
  <si>
    <t>590-20</t>
  </si>
  <si>
    <t>129 - 2020</t>
  </si>
  <si>
    <t>SN# 2020-06-10</t>
  </si>
  <si>
    <t>2LSSM2020A-217</t>
  </si>
  <si>
    <t>28-S-20</t>
  </si>
  <si>
    <t>20-ICT2</t>
  </si>
  <si>
    <t>27-S-20</t>
  </si>
  <si>
    <t>RFQ-2020-13</t>
  </si>
  <si>
    <t>2LSSM2020A-224</t>
  </si>
  <si>
    <t>2LSSM2020A-223</t>
  </si>
  <si>
    <t>PRN-615-2019</t>
  </si>
  <si>
    <t>0013-2020</t>
  </si>
  <si>
    <t>20-06208PR</t>
  </si>
  <si>
    <t>ITB-2020-15</t>
  </si>
  <si>
    <t>UPLB-RQ-6-133-20-I GENERAL CONTRACTOR</t>
  </si>
  <si>
    <t>PB NO. 2020-043</t>
  </si>
  <si>
    <t>2020-06-10</t>
  </si>
  <si>
    <t>2LSSM2020A-222</t>
  </si>
  <si>
    <t>23-S-20</t>
  </si>
  <si>
    <t>20GIE0013</t>
  </si>
  <si>
    <t>Infra-20-09</t>
  </si>
  <si>
    <t>343-2020</t>
  </si>
  <si>
    <t>2LSSM2020A-221</t>
  </si>
  <si>
    <t>2LSSM2020A-225</t>
  </si>
  <si>
    <t>lgu-es-20-06-136</t>
  </si>
  <si>
    <t>BID NO. 0620-140</t>
  </si>
  <si>
    <t>PRN-489-2019</t>
  </si>
  <si>
    <t>BID NO. 0620-139</t>
  </si>
  <si>
    <t>0020-0186-1044-2020</t>
  </si>
  <si>
    <t>G-PGO-049-20</t>
  </si>
  <si>
    <t>BID NO. 0620-141</t>
  </si>
  <si>
    <t>26-S-20</t>
  </si>
  <si>
    <t>B-001-20</t>
  </si>
  <si>
    <t>SV-0745-2020</t>
  </si>
  <si>
    <t>PN 2020-17</t>
  </si>
  <si>
    <t>ITB-0624 #2 Package 59</t>
  </si>
  <si>
    <t>VS-2020-029</t>
  </si>
  <si>
    <t>20GIJ-0002</t>
  </si>
  <si>
    <t>100-20-06-0633</t>
  </si>
  <si>
    <t>BQ-Infra-2020-015</t>
  </si>
  <si>
    <t>ITB2020-07-03</t>
  </si>
  <si>
    <t>0020-0186-1044A2020</t>
  </si>
  <si>
    <t>20200624</t>
  </si>
  <si>
    <t>G-2020-06-0293</t>
  </si>
  <si>
    <t>ADS-0961-20</t>
  </si>
  <si>
    <t>2LSSM2020A-226</t>
  </si>
  <si>
    <t>ITB-0624 #1 Package 58</t>
  </si>
  <si>
    <t>G-PPDO-050-20</t>
  </si>
  <si>
    <t>20IF0139</t>
  </si>
  <si>
    <t>CID NO. 20IF0140</t>
  </si>
  <si>
    <t>121</t>
  </si>
  <si>
    <t>2020-17</t>
  </si>
  <si>
    <t>G-2020-06-0292</t>
  </si>
  <si>
    <t>01-06-2020</t>
  </si>
  <si>
    <t>2020-06-0128</t>
  </si>
  <si>
    <t>PRN-614-2019</t>
  </si>
  <si>
    <t>100-2002-141-GF</t>
  </si>
  <si>
    <t>BQ-Infra-2020-016</t>
  </si>
  <si>
    <t>20063692</t>
  </si>
  <si>
    <t>BQ-Infra-2020-018</t>
  </si>
  <si>
    <t>2020-0624-2</t>
  </si>
  <si>
    <t>HILONGOS 2020-188</t>
  </si>
  <si>
    <t>RFQ-2020-058</t>
  </si>
  <si>
    <t>RFQ-2020-057</t>
  </si>
  <si>
    <t>MKWD2020-054</t>
  </si>
  <si>
    <t>P. R. No. 2020-0366</t>
  </si>
  <si>
    <t>300-20-05-0496</t>
  </si>
  <si>
    <t>20053460</t>
  </si>
  <si>
    <t>20-06-104</t>
  </si>
  <si>
    <t>RFQ-2020-059</t>
  </si>
  <si>
    <t>348-2020</t>
  </si>
  <si>
    <t>2LSSM2020A-228</t>
  </si>
  <si>
    <t>BQ-Infra-2020-019</t>
  </si>
  <si>
    <t>023-2020 PES Printing of Tarpaulin</t>
  </si>
  <si>
    <t>2LSSM2020A-231</t>
  </si>
  <si>
    <t>ADS-0958-20</t>
  </si>
  <si>
    <t>2LSSM2020A-229</t>
  </si>
  <si>
    <t>P. R. No. 2020-0354</t>
  </si>
  <si>
    <t>347-2020</t>
  </si>
  <si>
    <t>2LSSM2020A-230</t>
  </si>
  <si>
    <t>RFQ-2020-060</t>
  </si>
  <si>
    <t>BQ-Infra-2020-017</t>
  </si>
  <si>
    <t>ADS-0960-20</t>
  </si>
  <si>
    <t>ADS-0959-20</t>
  </si>
  <si>
    <t>BID NO. 0620-142</t>
  </si>
  <si>
    <t>2020-03-015</t>
  </si>
  <si>
    <t>2020-0624-1</t>
  </si>
  <si>
    <t>350-2020</t>
  </si>
  <si>
    <t>RFQ-2020-055</t>
  </si>
  <si>
    <t>2LSSM2020A-236</t>
  </si>
  <si>
    <t>6-09</t>
  </si>
  <si>
    <t>2LSSM2020A-235</t>
  </si>
  <si>
    <t>2020-06-55</t>
  </si>
  <si>
    <t>024-2020 PES Purchase of Mobile Load Card 2020-Sup</t>
  </si>
  <si>
    <t>835-20</t>
  </si>
  <si>
    <t>2LSSM2020A-234</t>
  </si>
  <si>
    <t>RFQ-2020-056</t>
  </si>
  <si>
    <t>2LSSM2020A-233</t>
  </si>
  <si>
    <t>Bid No. 20-0280</t>
  </si>
  <si>
    <t>BCS-2020-0139</t>
  </si>
  <si>
    <t>00116</t>
  </si>
  <si>
    <t>20CN0101</t>
  </si>
  <si>
    <t>ITB No. 2020-09</t>
  </si>
  <si>
    <t>2LSSM2020A-227</t>
  </si>
  <si>
    <t>2LSSM2020A-232</t>
  </si>
  <si>
    <t>20-ICT1</t>
  </si>
  <si>
    <t>0624202002</t>
  </si>
  <si>
    <t>2020-06-314-ME</t>
  </si>
  <si>
    <t>2LSSM2020A-213</t>
  </si>
  <si>
    <t>2020-06-312-ME</t>
  </si>
  <si>
    <t>BSVP 2012</t>
  </si>
  <si>
    <t>ITB2020-07-01 TAGBUBUNGA</t>
  </si>
  <si>
    <t>2LSSM2020A-238</t>
  </si>
  <si>
    <t>PR NO. 016-06-20</t>
  </si>
  <si>
    <t>BCS-2020-0140</t>
  </si>
  <si>
    <t>100-2020-006-023</t>
  </si>
  <si>
    <t>025-2020 PES Purchase of Office Supplies 2020-Supp</t>
  </si>
  <si>
    <t>2LSSM2020A-237</t>
  </si>
  <si>
    <t>SanJoseBatsAeb2020-096</t>
  </si>
  <si>
    <t>DepEd-R06-D1-BVS-TOOLSANDEQUIPMENT(ALS-EST)-001-20</t>
  </si>
  <si>
    <t>IS-20-06-0173</t>
  </si>
  <si>
    <t>2020-2</t>
  </si>
  <si>
    <t>BID NO. 0620-143</t>
  </si>
  <si>
    <t>20063835</t>
  </si>
  <si>
    <t>LGU PR. No.  101-186 dated  June 1, 2020</t>
  </si>
  <si>
    <t>2020-0508</t>
  </si>
  <si>
    <t>20PL0123</t>
  </si>
  <si>
    <t>06-24-2020-230</t>
  </si>
  <si>
    <t>Goods - 2020 - 09</t>
  </si>
  <si>
    <t>2020-GOODS-066</t>
  </si>
  <si>
    <t>0014-2020</t>
  </si>
  <si>
    <t>20-06-08-PO</t>
  </si>
  <si>
    <t>20CH0074</t>
  </si>
  <si>
    <t>2LSSM2020A-241</t>
  </si>
  <si>
    <t>2020-0028</t>
  </si>
  <si>
    <t>100(01)20-06-007(I)</t>
  </si>
  <si>
    <t>HFW-2020-06-0216</t>
  </si>
  <si>
    <t>20CB-GSC-365 PURCHASE OF DRUGS AND MEDICINES FOR D</t>
  </si>
  <si>
    <t>20063773</t>
  </si>
  <si>
    <t>MOB-BAC-2020-06-020-INFRA</t>
  </si>
  <si>
    <t>SanJoseBatsAeb2020-097</t>
  </si>
  <si>
    <t>RFQ-2020-066</t>
  </si>
  <si>
    <t>Goods-20-015</t>
  </si>
  <si>
    <t>20021479</t>
  </si>
  <si>
    <t>2LSSM2020A-240</t>
  </si>
  <si>
    <t>2020-06-56</t>
  </si>
  <si>
    <t>SanJoseBatsAeb2020-098</t>
  </si>
  <si>
    <t>20063834</t>
  </si>
  <si>
    <t>2020-06-047</t>
  </si>
  <si>
    <t>SVP-2020-15</t>
  </si>
  <si>
    <t>PR062000638</t>
  </si>
  <si>
    <t>20LF0143</t>
  </si>
  <si>
    <t>20CJ0154</t>
  </si>
  <si>
    <t>2020-870</t>
  </si>
  <si>
    <t>00045-20-0109-0102</t>
  </si>
  <si>
    <t>6-09-A</t>
  </si>
  <si>
    <t>MOB-BAC-2020-06-021-INFRA</t>
  </si>
  <si>
    <t>026-2020 PES Purchase of Printer (Epson) 2020-Supp</t>
  </si>
  <si>
    <t>20-06-0035</t>
  </si>
  <si>
    <t>20063836</t>
  </si>
  <si>
    <t>0953-20</t>
  </si>
  <si>
    <t>BID NO. 0620-144</t>
  </si>
  <si>
    <t>20AH0214</t>
  </si>
  <si>
    <t>RFQ-2020-062</t>
  </si>
  <si>
    <t>ITB 2020-19</t>
  </si>
  <si>
    <t>20FN0102</t>
  </si>
  <si>
    <t>01P-2020</t>
  </si>
  <si>
    <t>20CB-GSC-367 PURCHASE OF MEDICAL DENTAL &amp; LABORATO</t>
  </si>
  <si>
    <t>INFRA2020-AG2-007 Supply of Labor and Materials fo</t>
  </si>
  <si>
    <t>20CB-GSC-366 PURCHASE OF VARIOUS MEDICAL, DENTAL &amp;</t>
  </si>
  <si>
    <t>DEPED-DADIANGASNORTHHS 2020-001</t>
  </si>
  <si>
    <t>RFQ-2020-063</t>
  </si>
  <si>
    <t>PTCZN-2020-06-0045</t>
  </si>
  <si>
    <t>ASVP 2009</t>
  </si>
  <si>
    <t>20CB-GSC-368 PURCHASE OF ANTIBACTERIALS (PARENTERA</t>
  </si>
  <si>
    <t>20FN0104</t>
  </si>
  <si>
    <t>BAC 2020-72</t>
  </si>
  <si>
    <t>2020-03-0268 RSCC</t>
  </si>
  <si>
    <t>PR062000639</t>
  </si>
  <si>
    <t>20AH0215</t>
  </si>
  <si>
    <t>20KD0065</t>
  </si>
  <si>
    <t>RFQ-2020-067</t>
  </si>
  <si>
    <t>Barangay Balintawak-2020-1</t>
  </si>
  <si>
    <t>MOB-BAC-2020-03-006-GOODS</t>
  </si>
  <si>
    <t>GOODS-2020-06-09</t>
  </si>
  <si>
    <t>BID NO. 0620-145</t>
  </si>
  <si>
    <t>20AH0216</t>
  </si>
  <si>
    <t>IB No. 2020-038</t>
  </si>
  <si>
    <t>0955-20</t>
  </si>
  <si>
    <t>RFQ-2020-068</t>
  </si>
  <si>
    <t>20AH0217</t>
  </si>
  <si>
    <t>2LSSM2020A-239</t>
  </si>
  <si>
    <t>2020-06-0129</t>
  </si>
  <si>
    <t>chitongco 2020-01</t>
  </si>
  <si>
    <t>06-012020</t>
  </si>
  <si>
    <t>100(01)20-06-009(C)</t>
  </si>
  <si>
    <t>RFQ-2020-064</t>
  </si>
  <si>
    <t>100(01)20-06-010(E)</t>
  </si>
  <si>
    <t>PB-2020- 003</t>
  </si>
  <si>
    <t>PR062000640</t>
  </si>
  <si>
    <t>ITB (CW-06-2020-021) 20DD0359</t>
  </si>
  <si>
    <t>BID NO. 0620-146</t>
  </si>
  <si>
    <t>0015-0029-1042-2020</t>
  </si>
  <si>
    <t>2020-RBAC-06-002</t>
  </si>
  <si>
    <t>2020-0031</t>
  </si>
  <si>
    <t>PR#20-085</t>
  </si>
  <si>
    <t>2020-2111</t>
  </si>
  <si>
    <t>GOODS-2020-06-08</t>
  </si>
  <si>
    <t>LS2-2020-23</t>
  </si>
  <si>
    <t>2020-06-020B</t>
  </si>
  <si>
    <t>2020-012R</t>
  </si>
  <si>
    <t>PR#20-084</t>
  </si>
  <si>
    <t>RFQ2020-06-01</t>
  </si>
  <si>
    <t>RFQ-2020-061</t>
  </si>
  <si>
    <t>ITB (CW-06-2020-021) 20DD0360</t>
  </si>
  <si>
    <t>202006002</t>
  </si>
  <si>
    <t>202006001</t>
  </si>
  <si>
    <t>GOODS 2020-04</t>
  </si>
  <si>
    <t>2020-0032</t>
  </si>
  <si>
    <t>2020-0029</t>
  </si>
  <si>
    <t>REI-001-2020</t>
  </si>
  <si>
    <t>RFQ-2020-065</t>
  </si>
  <si>
    <t>2020-RBAC-06-004</t>
  </si>
  <si>
    <t>PB-2020-06-037</t>
  </si>
  <si>
    <t>rec-2020-27</t>
  </si>
  <si>
    <t>SB-2020-013</t>
  </si>
  <si>
    <t>2020-RBAC-06-005</t>
  </si>
  <si>
    <t>027-2020</t>
  </si>
  <si>
    <t>20LF0144</t>
  </si>
  <si>
    <t>ITB (CW-06-2020-021) 20DD0361</t>
  </si>
  <si>
    <t>19CSC008</t>
  </si>
  <si>
    <t>202006006</t>
  </si>
  <si>
    <t>doc 1</t>
  </si>
  <si>
    <t>PR#20-087</t>
  </si>
  <si>
    <t>ITB (CW-06-2020-021) 20DD0364</t>
  </si>
  <si>
    <t>PR#20-086</t>
  </si>
  <si>
    <t>TAG-SDS-058-2020</t>
  </si>
  <si>
    <t>202006005</t>
  </si>
  <si>
    <t>20FO0103</t>
  </si>
  <si>
    <t>ITB (CW-06-2020-021) 20DD0365</t>
  </si>
  <si>
    <t>2020-06-257</t>
  </si>
  <si>
    <t>ITB (CW-06-2020-021) 20DD0366</t>
  </si>
  <si>
    <t>2020-RBAC-06-003</t>
  </si>
  <si>
    <t>PR#20-088</t>
  </si>
  <si>
    <t>20-06-013</t>
  </si>
  <si>
    <t>TAG-SDS-061-2020</t>
  </si>
  <si>
    <t>20BH0143</t>
  </si>
  <si>
    <t>2020-06-243</t>
  </si>
  <si>
    <t>062420</t>
  </si>
  <si>
    <t>20063683</t>
  </si>
  <si>
    <t>SB-2020-022</t>
  </si>
  <si>
    <t>20-06-008</t>
  </si>
  <si>
    <t>2003-55</t>
  </si>
  <si>
    <t>BPB 2020-017</t>
  </si>
  <si>
    <t>20-06-007</t>
  </si>
  <si>
    <t>2020-RBAC-06-006</t>
  </si>
  <si>
    <t>ITB (CW-06-2020-021) 20DD0363</t>
  </si>
  <si>
    <t>ITB (CW-06-2020-021) 20DD0368</t>
  </si>
  <si>
    <t>GDS-299-2020</t>
  </si>
  <si>
    <t>20060080</t>
  </si>
  <si>
    <t>20-072A</t>
  </si>
  <si>
    <t>NO 2020-011</t>
  </si>
  <si>
    <t>ITB (CW-06-2020-021) 20DD0367</t>
  </si>
  <si>
    <t>SDO GOODS 2020-027</t>
  </si>
  <si>
    <t>20063670</t>
  </si>
  <si>
    <t>2020-04-0301 PPD-NHTU</t>
  </si>
  <si>
    <t>2020-062402</t>
  </si>
  <si>
    <t>ITB (CW-06-2020-021) 20DD0362</t>
  </si>
  <si>
    <t>202006004</t>
  </si>
  <si>
    <t>R1-INIMO-20-06-016</t>
  </si>
  <si>
    <t>GEN-8918-11-2020</t>
  </si>
  <si>
    <t>2020-062401</t>
  </si>
  <si>
    <t>BLGU-PBD-Binisitahan Norte-2020-25.1</t>
  </si>
  <si>
    <t>0954-20</t>
  </si>
  <si>
    <t>202006003</t>
  </si>
  <si>
    <t>BSU Project No. 2020-211</t>
  </si>
  <si>
    <t>20-06-006</t>
  </si>
  <si>
    <t>NAGPATAYAN-ITB-01(HEALTH CENTER)-2020</t>
  </si>
  <si>
    <t>2020-ANT-GOODS-0117</t>
  </si>
  <si>
    <t>ITB (CW-06-2020-021) 20DD0372</t>
  </si>
  <si>
    <t>100-20-06-78</t>
  </si>
  <si>
    <t>20-030</t>
  </si>
  <si>
    <t>tgs 12-20</t>
  </si>
  <si>
    <t>200-20-06-0578-A</t>
  </si>
  <si>
    <t>20063653</t>
  </si>
  <si>
    <t>Lgn1-SVP2020-07-0012</t>
  </si>
  <si>
    <t>20HJ0119</t>
  </si>
  <si>
    <t>ASVP 2010</t>
  </si>
  <si>
    <t>2020-4</t>
  </si>
  <si>
    <t>20-029</t>
  </si>
  <si>
    <t>20-06-010</t>
  </si>
  <si>
    <t>55</t>
  </si>
  <si>
    <t>2020-062403</t>
  </si>
  <si>
    <t>ITB (CW-06-2020-021) 20DD0371</t>
  </si>
  <si>
    <t>20-05-56-B</t>
  </si>
  <si>
    <t>INFRA2020-AG6-008 A6 Construction of Concrete Barr</t>
  </si>
  <si>
    <t>REF #043-06-2020</t>
  </si>
  <si>
    <t>ITB (CW-06-2020-021) 20DD0369</t>
  </si>
  <si>
    <t>PB-2020-06-036</t>
  </si>
  <si>
    <t>20-046A</t>
  </si>
  <si>
    <t>PB-2020-06-035</t>
  </si>
  <si>
    <t>G-2020-15</t>
  </si>
  <si>
    <t>SanJoseBatsAeb2020-104</t>
  </si>
  <si>
    <t>1011-20-5-198</t>
  </si>
  <si>
    <t>1011-20-5-198B</t>
  </si>
  <si>
    <t>177-2020-001</t>
  </si>
  <si>
    <t>20L00155</t>
  </si>
  <si>
    <t>ITB (CW-06-2020-021) 20DD0370</t>
  </si>
  <si>
    <t>1101-20-03-134</t>
  </si>
  <si>
    <t>20-1426</t>
  </si>
  <si>
    <t>20-131</t>
  </si>
  <si>
    <t>BSU Project No. 2020-212</t>
  </si>
  <si>
    <t>PB-GE3-2020-16</t>
  </si>
  <si>
    <t>ITB NO: 2020-007-028</t>
  </si>
  <si>
    <t>56</t>
  </si>
  <si>
    <t>20-031</t>
  </si>
  <si>
    <t>PB-DSM-2020-04</t>
  </si>
  <si>
    <t>2020-5</t>
  </si>
  <si>
    <t>RFQ NO: 2020-07-046</t>
  </si>
  <si>
    <t>20L00146</t>
  </si>
  <si>
    <t>ITB (CW-06-2020-021) 20DD0374</t>
  </si>
  <si>
    <t>20CG0159</t>
  </si>
  <si>
    <t>20032279</t>
  </si>
  <si>
    <t>TAG-SDS-059-2020</t>
  </si>
  <si>
    <t>20-132</t>
  </si>
  <si>
    <t>2020-062404</t>
  </si>
  <si>
    <t>2020-G-BRGY SAMBUNGAN</t>
  </si>
  <si>
    <t>20CG0158</t>
  </si>
  <si>
    <t>ITB (CW-06-2020-021) 20DD0373</t>
  </si>
  <si>
    <t>2020-02-0281</t>
  </si>
  <si>
    <t>ITB 2020-06-035(GOODS)</t>
  </si>
  <si>
    <t>SB-2020-023</t>
  </si>
  <si>
    <t>NO 2020-012</t>
  </si>
  <si>
    <t>20BH0144</t>
  </si>
  <si>
    <t>081 - 2020</t>
  </si>
  <si>
    <t>20NI0077</t>
  </si>
  <si>
    <t>PR-20-01-045</t>
  </si>
  <si>
    <t>PR-20-01-043</t>
  </si>
  <si>
    <t>PR-20-01-042</t>
  </si>
  <si>
    <t>PR-20-02-054</t>
  </si>
  <si>
    <t>REI-06-24-2020</t>
  </si>
  <si>
    <t>PR-20-02-070</t>
  </si>
  <si>
    <t>NPSVP-2020-59</t>
  </si>
  <si>
    <t>PR 74755</t>
  </si>
  <si>
    <t>572</t>
  </si>
  <si>
    <t>1002006-400-008</t>
  </si>
  <si>
    <t>S2-MGS20-010</t>
  </si>
  <si>
    <t>Barangay 08 Poblacion 001-2020</t>
  </si>
  <si>
    <t>nlontoc-RFQ-193-2020</t>
  </si>
  <si>
    <t>109924-2020-11</t>
  </si>
  <si>
    <t>20-032</t>
  </si>
  <si>
    <t>ITB-2020-17</t>
  </si>
  <si>
    <t>S2-MPP20-021</t>
  </si>
  <si>
    <t>06-04 (06-040-20)</t>
  </si>
  <si>
    <t>GD33-2020</t>
  </si>
  <si>
    <t>20-06-310</t>
  </si>
  <si>
    <t>G-28-2020</t>
  </si>
  <si>
    <t>GEPS - 2020 - 86</t>
  </si>
  <si>
    <t>GEPS - 2020 - 85</t>
  </si>
  <si>
    <t>Contract ID 20JH0044</t>
  </si>
  <si>
    <t>20GHD0002</t>
  </si>
  <si>
    <t>BLGUMALAYUGAN-G-2020-002</t>
  </si>
  <si>
    <t>2021-01M03</t>
  </si>
  <si>
    <t>560</t>
  </si>
  <si>
    <t>BCS-2020-0138</t>
  </si>
  <si>
    <t>RFQ-DARFO12-2020-0575</t>
  </si>
  <si>
    <t>G-(NP)-2020-003</t>
  </si>
  <si>
    <t>ITB (CW-06-2020-021) 20DD0376</t>
  </si>
  <si>
    <t>ITB-001-06-2020</t>
  </si>
  <si>
    <t>GDS 20-053</t>
  </si>
  <si>
    <t>OLYMPIA 20-06-010</t>
  </si>
  <si>
    <t>2020-06-0131</t>
  </si>
  <si>
    <t>2020-062407</t>
  </si>
  <si>
    <t>RFQ-20-06101</t>
  </si>
  <si>
    <t>Lgn1-20-DH-0086</t>
  </si>
  <si>
    <t>57</t>
  </si>
  <si>
    <t>2020-062406</t>
  </si>
  <si>
    <t>20NI0078</t>
  </si>
  <si>
    <t>20CG0160</t>
  </si>
  <si>
    <t>2020-062405</t>
  </si>
  <si>
    <t>ITB (CW-06-2020-021) 20DD0375</t>
  </si>
  <si>
    <t>20CG0162</t>
  </si>
  <si>
    <t>Quotation No.20-06-356</t>
  </si>
  <si>
    <t>20LF0145</t>
  </si>
  <si>
    <t>2020-6</t>
  </si>
  <si>
    <t>2020-06-0130</t>
  </si>
  <si>
    <t>GOODS-04-2020</t>
  </si>
  <si>
    <t>ITB No. 042-2020 GQ</t>
  </si>
  <si>
    <t>SB-2020-024</t>
  </si>
  <si>
    <t>Lgn1-20-DH-0087</t>
  </si>
  <si>
    <t>20-05-95</t>
  </si>
  <si>
    <t>ABS-01-06-20-GOODS</t>
  </si>
  <si>
    <t>2020-329</t>
  </si>
  <si>
    <t>SN20-06-653</t>
  </si>
  <si>
    <t>20NI0080</t>
  </si>
  <si>
    <t>2020-GGSS-BRGY-TALIBAYOG</t>
  </si>
  <si>
    <t>20NI0079</t>
  </si>
  <si>
    <t>ITB 2020-20</t>
  </si>
  <si>
    <t>Quotation No.20-06-357</t>
  </si>
  <si>
    <t>20BH0145</t>
  </si>
  <si>
    <t>20CG0161</t>
  </si>
  <si>
    <t>Goods-2020-PB-O2</t>
  </si>
  <si>
    <t>20-033</t>
  </si>
  <si>
    <t>PR 74684</t>
  </si>
  <si>
    <t>ABC20-06-002</t>
  </si>
  <si>
    <t>20-06-023</t>
  </si>
  <si>
    <t>S3-B1920-017</t>
  </si>
  <si>
    <t>ITB 07-01-2020</t>
  </si>
  <si>
    <t>20GFC0021</t>
  </si>
  <si>
    <t>RFQ-2020-063A-GOODS</t>
  </si>
  <si>
    <t>122</t>
  </si>
  <si>
    <t>Lgn1-20-DH-0089</t>
  </si>
  <si>
    <t>RFQ-2020-067A-GOODS</t>
  </si>
  <si>
    <t>ITB 07-02-2020</t>
  </si>
  <si>
    <t>Lgn1-20-DH-0088</t>
  </si>
  <si>
    <t>OC-67(DEPED-02) 20 GD</t>
  </si>
  <si>
    <t>barangay carigangan-2020-01</t>
  </si>
  <si>
    <t>2020-GGSS-BRGY BAGONG SILANG</t>
  </si>
  <si>
    <t>BLGU Kaligutan 2020-006-002</t>
  </si>
  <si>
    <t>Bid No. 20-0319</t>
  </si>
  <si>
    <t>INFRA-03-2020</t>
  </si>
  <si>
    <t>RFQ-2020-045A-GOODS</t>
  </si>
  <si>
    <t>Quotation No.20-06-358</t>
  </si>
  <si>
    <t>PR#20-013</t>
  </si>
  <si>
    <t>RFQ-2020-019B-GOODS</t>
  </si>
  <si>
    <t>RFQ-2020-059A-GOODS</t>
  </si>
  <si>
    <t>ITB 07-04-2020</t>
  </si>
  <si>
    <t>2020-07-002</t>
  </si>
  <si>
    <t>20GFC0022</t>
  </si>
  <si>
    <t>20-05-94</t>
  </si>
  <si>
    <t>ITB 07-03-2020</t>
  </si>
  <si>
    <t>20GFC0023</t>
  </si>
  <si>
    <t>20-06-0131</t>
  </si>
  <si>
    <t>ITB NO. OCD 2020-07 (REPOSTING)</t>
  </si>
  <si>
    <t>2020-GOODS-077</t>
  </si>
  <si>
    <t>06-65-2020</t>
  </si>
  <si>
    <t>S3-BAI20-018</t>
  </si>
  <si>
    <t>ITB 07-07-2020</t>
  </si>
  <si>
    <t>2020-07-003</t>
  </si>
  <si>
    <t>PB-07162020-A</t>
  </si>
  <si>
    <t>20-06-214</t>
  </si>
  <si>
    <t>20GFC0024</t>
  </si>
  <si>
    <t>RFQ-2020-011B-GOODS</t>
  </si>
  <si>
    <t>N20-LDF-098</t>
  </si>
  <si>
    <t>BLGU Kaligutan 2020-006-001</t>
  </si>
  <si>
    <t>Quotation No.20-06-359</t>
  </si>
  <si>
    <t>S3-B1920-012</t>
  </si>
  <si>
    <t>RFQ-2020-040A-GOODS</t>
  </si>
  <si>
    <t>ITB 07-08-2020</t>
  </si>
  <si>
    <t>20-05-99</t>
  </si>
  <si>
    <t>ITB 07-05-2020</t>
  </si>
  <si>
    <t>ITB 07-06-2020</t>
  </si>
  <si>
    <t>20-06-077</t>
  </si>
  <si>
    <t>123</t>
  </si>
  <si>
    <t>RFQ-2020-037A-GOODS</t>
  </si>
  <si>
    <t>20-06-013-X</t>
  </si>
  <si>
    <t>ABC20-06-003</t>
  </si>
  <si>
    <t>2020-07-004</t>
  </si>
  <si>
    <t>20-06-064</t>
  </si>
  <si>
    <t>PB-07162020-C</t>
  </si>
  <si>
    <t>ITB NO. OCD 2020-11</t>
  </si>
  <si>
    <t>S3-B1920-009 (Re-bid)</t>
  </si>
  <si>
    <t>06212020</t>
  </si>
  <si>
    <t>20PF0067</t>
  </si>
  <si>
    <t>235-2020-001</t>
  </si>
  <si>
    <t>20GFC0025</t>
  </si>
  <si>
    <t>PR 2020-06-399</t>
  </si>
  <si>
    <t>BFPRHQSR4A-082</t>
  </si>
  <si>
    <t>PB-07162020-B</t>
  </si>
  <si>
    <t>186-2020-001</t>
  </si>
  <si>
    <t xml:space="preserve">2020-06-24-022                                    </t>
  </si>
  <si>
    <t>N20-MO-099</t>
  </si>
  <si>
    <t>S3-SIA20-019</t>
  </si>
  <si>
    <t>RBG20-12-01</t>
  </si>
  <si>
    <t>20CG0164</t>
  </si>
  <si>
    <t>ITB 01-2020</t>
  </si>
  <si>
    <t>PG-20-57</t>
  </si>
  <si>
    <t>P.R. No. 20-06-005P</t>
  </si>
  <si>
    <t>PG-20-56</t>
  </si>
  <si>
    <t>20GFB04</t>
  </si>
  <si>
    <t>ITB PR 0473</t>
  </si>
  <si>
    <t>MN  310</t>
  </si>
  <si>
    <t>20CG0166</t>
  </si>
  <si>
    <t>Barangay Concepcion 2020-06-003</t>
  </si>
  <si>
    <t>20CG0165</t>
  </si>
  <si>
    <t>PW-20-17</t>
  </si>
  <si>
    <t>20CG0168</t>
  </si>
  <si>
    <t>20CG0169</t>
  </si>
  <si>
    <t>2020089</t>
  </si>
  <si>
    <t>PB-07162020-D</t>
  </si>
  <si>
    <t>385202001</t>
  </si>
  <si>
    <t>R3G-2020-024</t>
  </si>
  <si>
    <t>20CG0177</t>
  </si>
  <si>
    <t>20CG0176</t>
  </si>
  <si>
    <t>CID No. 20IO0091</t>
  </si>
  <si>
    <t>2020091</t>
  </si>
  <si>
    <t>20CG0174</t>
  </si>
  <si>
    <t>N20-LDF-100</t>
  </si>
  <si>
    <t>20CG0175</t>
  </si>
  <si>
    <t>20CG0173</t>
  </si>
  <si>
    <t>20CG0171</t>
  </si>
  <si>
    <t>ITB-002-06-2020</t>
  </si>
  <si>
    <t>BRGY 006-2020</t>
  </si>
  <si>
    <t>2020-802-001</t>
  </si>
  <si>
    <t>20LF0146</t>
  </si>
  <si>
    <t>20LF0147</t>
  </si>
  <si>
    <t>2020090</t>
  </si>
  <si>
    <t>20CG0172</t>
  </si>
  <si>
    <t>20-11-Infra</t>
  </si>
  <si>
    <t>20CG0170</t>
  </si>
  <si>
    <t>C-068-2020</t>
  </si>
  <si>
    <t>2020092</t>
  </si>
  <si>
    <t>GOODS2020-44</t>
  </si>
  <si>
    <t>GOODS2020-43</t>
  </si>
  <si>
    <t>BAC-HO-GS No. 2020-0240 dated 27 May 2020 (FMED)</t>
  </si>
  <si>
    <t>ITB-003-06-2020</t>
  </si>
  <si>
    <t>C-027-2020-RC</t>
  </si>
  <si>
    <t>20CG0167</t>
  </si>
  <si>
    <t>2020094</t>
  </si>
  <si>
    <t>2020093</t>
  </si>
  <si>
    <t>C-063-2020</t>
  </si>
  <si>
    <t>G-2020-18</t>
  </si>
  <si>
    <t>20CG0163</t>
  </si>
  <si>
    <t>RFQ-2020-06-0827</t>
  </si>
  <si>
    <t>2020-842-022</t>
  </si>
  <si>
    <t>20-06-467</t>
  </si>
  <si>
    <t>juneinfra03</t>
  </si>
  <si>
    <t>C-061-2020</t>
  </si>
  <si>
    <t>AGGDS2020-0625</t>
  </si>
  <si>
    <t>PSO-VIS-GOODS-006-20</t>
  </si>
  <si>
    <t>IB NO. 2020– 058/ JJL</t>
  </si>
  <si>
    <t>ITB NO: 2020-007-031</t>
  </si>
  <si>
    <t>RFQ-2020-06-0821</t>
  </si>
  <si>
    <t>PR 1000032940</t>
  </si>
  <si>
    <t>RFQ-08-2020</t>
  </si>
  <si>
    <t>30</t>
  </si>
  <si>
    <t>2020-06-031</t>
  </si>
  <si>
    <t>33</t>
  </si>
  <si>
    <t>RDD CW-2019 LGSF-01</t>
  </si>
  <si>
    <t>06-2020-961</t>
  </si>
  <si>
    <t>32</t>
  </si>
  <si>
    <t>31</t>
  </si>
  <si>
    <t>BG2020-110</t>
  </si>
  <si>
    <t>INFRA 2020-05-24</t>
  </si>
  <si>
    <t>29</t>
  </si>
  <si>
    <t>2020-0068</t>
  </si>
  <si>
    <t>RFQ-2020-01-0115R</t>
  </si>
  <si>
    <t>BG2019-151</t>
  </si>
  <si>
    <t>SES 2020_013</t>
  </si>
  <si>
    <t>GOODS 2020-06-004</t>
  </si>
  <si>
    <t>Public Bidding No. 2019-01</t>
  </si>
  <si>
    <t>Public Bidding No. 2020-017</t>
  </si>
  <si>
    <t>Public Bidding No. 2020-016</t>
  </si>
  <si>
    <t>SES 2020_017</t>
  </si>
  <si>
    <t>202006017</t>
  </si>
  <si>
    <t>SES 2020_016</t>
  </si>
  <si>
    <t>202006016</t>
  </si>
  <si>
    <t>IB NO. 2020 – 059/ JJL</t>
  </si>
  <si>
    <t>ITB NO: 2020-007-030</t>
  </si>
  <si>
    <t>2020-06-24-03</t>
  </si>
  <si>
    <t>2020-6-003</t>
  </si>
  <si>
    <t>ITB# 111-2020 Other Supplies and Materials Expense</t>
  </si>
  <si>
    <t>juneinfra04</t>
  </si>
  <si>
    <t>2020-06-24-02</t>
  </si>
  <si>
    <t>ITB# 109-2020 Other Supplies and Materials Expense</t>
  </si>
  <si>
    <t>ITB# 107-2020 Other Supplies and Materials Expense</t>
  </si>
  <si>
    <t>MZDS-BAC-CW-2020-07</t>
  </si>
  <si>
    <t>ITB# 106-2020 Other Supplies and Materials Expense</t>
  </si>
  <si>
    <t>ITB# 110-2020 Other Supplies and Materials Expense</t>
  </si>
  <si>
    <t>ITB# 104-2020 Medical, Dental &amp; Laboratory Supplie</t>
  </si>
  <si>
    <t>N20-LDF-103</t>
  </si>
  <si>
    <t>ITB# 103-2020 Medical, Dental &amp; Laboratory Supplie</t>
  </si>
  <si>
    <t>SES 2020_014</t>
  </si>
  <si>
    <t>SJADS GOODS 20-08</t>
  </si>
  <si>
    <t>2020-05-354</t>
  </si>
  <si>
    <t>SES 2020_015</t>
  </si>
  <si>
    <t>ITB No. 20-06-14</t>
  </si>
  <si>
    <t>PB2020-07-069G</t>
  </si>
  <si>
    <t>BTG3-20GDC0004 (Readvertised)</t>
  </si>
  <si>
    <t>PB NO. 2020-042</t>
  </si>
  <si>
    <t>IB NO. CW 2020-100</t>
  </si>
  <si>
    <t>G-2020-17</t>
  </si>
  <si>
    <t>IB NO. CW 2020 - 099</t>
  </si>
  <si>
    <t>ITB# 108-2020 Other Supplies and Materials Expense</t>
  </si>
  <si>
    <t>cgb2020-210</t>
  </si>
  <si>
    <t>cgb2020-212</t>
  </si>
  <si>
    <t>FRT-20-0437-B</t>
  </si>
  <si>
    <t>ln2_2020</t>
  </si>
  <si>
    <t>FRT-20-0435-B</t>
  </si>
  <si>
    <t>20CSM00101</t>
  </si>
  <si>
    <t>ITB# 105-2020 Medical, Dental &amp; Laboratory Supplie</t>
  </si>
  <si>
    <t>SDH-20-0734-B</t>
  </si>
  <si>
    <t>SDH-20-0735-B</t>
  </si>
  <si>
    <t>ADM-20-0578-B</t>
  </si>
  <si>
    <t>ITB- 2020- 061</t>
  </si>
  <si>
    <t>0</t>
  </si>
  <si>
    <t>cgb2020-211</t>
  </si>
  <si>
    <t>Adv. 20-045</t>
  </si>
  <si>
    <t>Adv. 20-044</t>
  </si>
  <si>
    <t>ADM-20-0577-B</t>
  </si>
  <si>
    <t>BPB 2020-016</t>
  </si>
  <si>
    <t>cgb2020-220</t>
  </si>
  <si>
    <t>cgb2020-218</t>
  </si>
  <si>
    <t>GOODS 2020-020</t>
  </si>
  <si>
    <t>BPB 2020-015</t>
  </si>
  <si>
    <t>ITB No. 082-Brgy-2020</t>
  </si>
  <si>
    <t>PSWD-2020-0181</t>
  </si>
  <si>
    <t>ITB No. 081-Brgy-2020</t>
  </si>
  <si>
    <t>FRT-20-0439-B</t>
  </si>
  <si>
    <t>labequip_pigproject</t>
  </si>
  <si>
    <t>cgb2020-217</t>
  </si>
  <si>
    <t>PPDO-2020-1043</t>
  </si>
  <si>
    <t>cgb2020-215</t>
  </si>
  <si>
    <t>cgb2020-219</t>
  </si>
  <si>
    <t>ITB No. 2020-14</t>
  </si>
  <si>
    <t>cgb2020-214</t>
  </si>
  <si>
    <t>ITB No. 20-06-15</t>
  </si>
  <si>
    <t>antique_rebid2020</t>
  </si>
  <si>
    <t>FRT-20-0438-B</t>
  </si>
  <si>
    <t>PSWD-2019-3483</t>
  </si>
  <si>
    <t>Adv. 20-043</t>
  </si>
  <si>
    <t>SJADS INFRA 20-03</t>
  </si>
  <si>
    <t>PSWD-2020-0137 &amp; 0128</t>
  </si>
  <si>
    <t>IB NO. CW 2020 - 098</t>
  </si>
  <si>
    <t>cgb2020-216</t>
  </si>
  <si>
    <t>cgb2020-213</t>
  </si>
  <si>
    <t>34</t>
  </si>
  <si>
    <t>cgb2020-221</t>
  </si>
  <si>
    <t>SJADS GOODS 20-09</t>
  </si>
  <si>
    <t>ITB No. 080-Goods-2020</t>
  </si>
  <si>
    <t>cgb2020-224</t>
  </si>
  <si>
    <t>Adv. 20-055</t>
  </si>
  <si>
    <t>Adv. 20-052</t>
  </si>
  <si>
    <t>katipunan062420</t>
  </si>
  <si>
    <t>Adv. 20-051</t>
  </si>
  <si>
    <t>Adv. 20-049</t>
  </si>
  <si>
    <t>20-01-001</t>
  </si>
  <si>
    <t>OPA-2020-0049 &amp; 0050</t>
  </si>
  <si>
    <t>Adv. 20-046</t>
  </si>
  <si>
    <t>PEMO-2020-2066 &amp; 2058</t>
  </si>
  <si>
    <t>animalscsu_rebid</t>
  </si>
  <si>
    <t>Adv. 20-054</t>
  </si>
  <si>
    <t>Adv. 20-050</t>
  </si>
  <si>
    <t>20DL0222</t>
  </si>
  <si>
    <t>20DL0221</t>
  </si>
  <si>
    <t>Adv. 20-048</t>
  </si>
  <si>
    <t>20DL0220</t>
  </si>
  <si>
    <t>Adv. 20-047</t>
  </si>
  <si>
    <t>100-20-05-0201</t>
  </si>
  <si>
    <t>100-20-06-0225</t>
  </si>
  <si>
    <t>cgb2020-229</t>
  </si>
  <si>
    <t>1011-101-2020-05-197</t>
  </si>
  <si>
    <t>100-20-03-0101</t>
  </si>
  <si>
    <t>cgb2020-226</t>
  </si>
  <si>
    <t>100-20-06-0227</t>
  </si>
  <si>
    <t>DA7-07-FOD-R-20-2128 (R1)</t>
  </si>
  <si>
    <t>Re-Adv. No. 20-039</t>
  </si>
  <si>
    <t>DA7-07-FOD-R-20-2127 (R1)</t>
  </si>
  <si>
    <t>cgb2020-227</t>
  </si>
  <si>
    <t>20DL0224</t>
  </si>
  <si>
    <t>20-03-0175</t>
  </si>
  <si>
    <t>Re-Adv. No. 20-041</t>
  </si>
  <si>
    <t>Adv. 20-053</t>
  </si>
  <si>
    <t>Re-Adv. No. 20-040</t>
  </si>
  <si>
    <t>2020088</t>
  </si>
  <si>
    <t>20DL0223</t>
  </si>
  <si>
    <t>cgb2020-228</t>
  </si>
  <si>
    <t>2020-323</t>
  </si>
  <si>
    <t>20FD0068</t>
  </si>
  <si>
    <t>GA-BAC-2020DP-11-R</t>
  </si>
  <si>
    <t>ITB No. 083-Goods-2020</t>
  </si>
  <si>
    <t>20FD0066</t>
  </si>
  <si>
    <t>ITB No. 2020-13</t>
  </si>
  <si>
    <t>20FD0069</t>
  </si>
  <si>
    <t>PB2020-07-050I</t>
  </si>
  <si>
    <t>Quotation No. 20-06-0350</t>
  </si>
  <si>
    <t>Quotation No. 20-06-0351</t>
  </si>
  <si>
    <t>20HH0142</t>
  </si>
  <si>
    <t>20FF0101</t>
  </si>
  <si>
    <t>00041-20-0204-0144</t>
  </si>
  <si>
    <t>20FD0067</t>
  </si>
  <si>
    <t>046</t>
  </si>
  <si>
    <t>PB2020-04</t>
  </si>
  <si>
    <t>20HH0144</t>
  </si>
  <si>
    <t>AMP-RFQ-2020-086</t>
  </si>
  <si>
    <t>20HH0143</t>
  </si>
  <si>
    <t>047</t>
  </si>
  <si>
    <t>20-05-0266</t>
  </si>
  <si>
    <t>OPA-2020-0365</t>
  </si>
  <si>
    <t>PB2020-07-049I</t>
  </si>
  <si>
    <t>GTO-2020-57</t>
  </si>
  <si>
    <t>20PC0001G</t>
  </si>
  <si>
    <t>cgb2020-225</t>
  </si>
  <si>
    <t>Sumalili DILP 001</t>
  </si>
  <si>
    <t>20-05-0265</t>
  </si>
  <si>
    <t>cgb2020-222</t>
  </si>
  <si>
    <t>Quotation No. 20-06-0352</t>
  </si>
  <si>
    <t>20FF0100</t>
  </si>
  <si>
    <t>ISPSC-2020-G-K009</t>
  </si>
  <si>
    <t>2020-062-15-3</t>
  </si>
  <si>
    <t>2020-062-15-2</t>
  </si>
  <si>
    <t>usfanimals3_2020</t>
  </si>
  <si>
    <t>000187</t>
  </si>
  <si>
    <t>000262</t>
  </si>
  <si>
    <t>TJPH-2020-0120</t>
  </si>
  <si>
    <t>2020-062-15-4</t>
  </si>
  <si>
    <t>114-2020</t>
  </si>
  <si>
    <t>NS-06-24-20-02</t>
  </si>
  <si>
    <t>20GOH0004</t>
  </si>
  <si>
    <t>NS-06-24-20-01</t>
  </si>
  <si>
    <t>2020-062-15-5</t>
  </si>
  <si>
    <t>2020-06-04B</t>
  </si>
  <si>
    <t>DAR-PANG-010-2020</t>
  </si>
  <si>
    <t>PR # 20-06-0218</t>
  </si>
  <si>
    <t>ISPSC-2020-G-K010</t>
  </si>
  <si>
    <t>2020-06-0246</t>
  </si>
  <si>
    <t>POB-01-2020</t>
  </si>
  <si>
    <t>2020-062-15-11</t>
  </si>
  <si>
    <t>NS-06-24-20-03</t>
  </si>
  <si>
    <t>2020-062-15-10</t>
  </si>
  <si>
    <t>GF-I-37-2020</t>
  </si>
  <si>
    <t>lgu-es-20-06-133</t>
  </si>
  <si>
    <t>2020-06-0255</t>
  </si>
  <si>
    <t>2020-062-15-9</t>
  </si>
  <si>
    <t>2020-062-15-1</t>
  </si>
  <si>
    <t>2020-062-15-8</t>
  </si>
  <si>
    <t>BIDDING20-25</t>
  </si>
  <si>
    <t>ESP-GOODS-014-2020</t>
  </si>
  <si>
    <t>PRN 2020-06-008</t>
  </si>
  <si>
    <t>00130-2020</t>
  </si>
  <si>
    <t>Quotation No. 20-06-0353</t>
  </si>
  <si>
    <t>GF-I-39-2020</t>
  </si>
  <si>
    <t>2020-14</t>
  </si>
  <si>
    <t>PLAWD 2020-06-043</t>
  </si>
  <si>
    <t>2020-06-0235</t>
  </si>
  <si>
    <t>20HH0141</t>
  </si>
  <si>
    <t>INFRA20200002</t>
  </si>
  <si>
    <t>PB 06-06-2020</t>
  </si>
  <si>
    <t>PRDP-IR-R013-SDN-002-000-000-2016-R2</t>
  </si>
  <si>
    <t>2020-06-016B</t>
  </si>
  <si>
    <t>PR No. 2006-135</t>
  </si>
  <si>
    <t>LF 2020-027</t>
  </si>
  <si>
    <t>GF-I--38-2020</t>
  </si>
  <si>
    <t>20-06-00391</t>
  </si>
  <si>
    <t>0034/June/20</t>
  </si>
  <si>
    <t>00129-2020</t>
  </si>
  <si>
    <t>RFQ # 20-06-057 (Goods)</t>
  </si>
  <si>
    <t>GOODS-030-2020</t>
  </si>
  <si>
    <t>100(07-02-2020)1</t>
  </si>
  <si>
    <t>2020 AIP (General Fund) G-08-06162020</t>
  </si>
  <si>
    <t>'023</t>
  </si>
  <si>
    <t>ITB2020 -07-01</t>
  </si>
  <si>
    <t>2020 AIP (General Fund) G-07-06162020</t>
  </si>
  <si>
    <t>2020-062-15-12</t>
  </si>
  <si>
    <t>PBgoods018-2020</t>
  </si>
  <si>
    <t>INFR-024-2020</t>
  </si>
  <si>
    <t>2020-13</t>
  </si>
  <si>
    <t>ITB2020-07-01 BALITE</t>
  </si>
  <si>
    <t>ITB No. GOODS-20-115</t>
  </si>
  <si>
    <t>2020 INFRA 01</t>
  </si>
  <si>
    <t>DOH4A-ITB-2020-GS-009A</t>
  </si>
  <si>
    <t>PB-2020-184-008</t>
  </si>
  <si>
    <t>lgu-es-20-06-134</t>
  </si>
  <si>
    <t>2020-04-012</t>
  </si>
  <si>
    <t>LF 2020-028</t>
  </si>
  <si>
    <t>PB039-20</t>
  </si>
  <si>
    <t>RFQ # 20-06-056 (Goods)</t>
  </si>
  <si>
    <t>PRN 2020-06-009</t>
  </si>
  <si>
    <t>062320</t>
  </si>
  <si>
    <t>NS-06-24-20-04</t>
  </si>
  <si>
    <t>20-06-00394</t>
  </si>
  <si>
    <t>100(07-02-2020)2</t>
  </si>
  <si>
    <t>LGU-115-2020</t>
  </si>
  <si>
    <t>2020-062-15-7</t>
  </si>
  <si>
    <t>100(07-02-2020)</t>
  </si>
  <si>
    <t>20GA0226</t>
  </si>
  <si>
    <t>2020-062-15-6</t>
  </si>
  <si>
    <t>2020-06-0252</t>
  </si>
  <si>
    <t>'024</t>
  </si>
  <si>
    <t>108-2020</t>
  </si>
  <si>
    <t>RFQ # 20-06-055 (Goods)</t>
  </si>
  <si>
    <t>2020-06-015B</t>
  </si>
  <si>
    <t>Quotation No. 20-06-0354</t>
  </si>
  <si>
    <t>RFQ # 20-06-060 (Goods)</t>
  </si>
  <si>
    <t>FUEL-SUP-2020-002</t>
  </si>
  <si>
    <t>GTO-2020-53</t>
  </si>
  <si>
    <t>100(07-02-2020)4</t>
  </si>
  <si>
    <t>20CN0067</t>
  </si>
  <si>
    <t>HILONGOS 2020-187</t>
  </si>
  <si>
    <t>GDS-44</t>
  </si>
  <si>
    <t>RFQ # 20-06-061 (Goods)</t>
  </si>
  <si>
    <t>0001-2020</t>
  </si>
  <si>
    <t>06-2020-23</t>
  </si>
  <si>
    <t>100(07-02-2020)3</t>
  </si>
  <si>
    <t>20CN0066</t>
  </si>
  <si>
    <t>GOODS2020-043</t>
  </si>
  <si>
    <t>100(07-02-2020)7</t>
  </si>
  <si>
    <t>2020-ODY-06-184</t>
  </si>
  <si>
    <t>MED-SUP-2020-002</t>
  </si>
  <si>
    <t>20OD0194</t>
  </si>
  <si>
    <t>20OD0196</t>
  </si>
  <si>
    <t>100(07-02-2020)6</t>
  </si>
  <si>
    <t>CA100-2020-06-005</t>
  </si>
  <si>
    <t>GOODS-2020-133</t>
  </si>
  <si>
    <t>20-Goods-2020</t>
  </si>
  <si>
    <t>100(07-02-2020)5</t>
  </si>
  <si>
    <t>100(07-02-2020)8</t>
  </si>
  <si>
    <t>2020-ODY-06-185</t>
  </si>
  <si>
    <t>61</t>
  </si>
  <si>
    <t>NS-06-24-20-05-R3</t>
  </si>
  <si>
    <t>20CN0068</t>
  </si>
  <si>
    <t>2020-05-10</t>
  </si>
  <si>
    <t>100(07-02-2020)9</t>
  </si>
  <si>
    <t>20OD0197</t>
  </si>
  <si>
    <t>20OD0198</t>
  </si>
  <si>
    <t>20CN0069</t>
  </si>
  <si>
    <t>2020-02-0376</t>
  </si>
  <si>
    <t>100(07-02-2020)10</t>
  </si>
  <si>
    <t>RE-ITB-2020-002</t>
  </si>
  <si>
    <t>2020-ODY-06-188</t>
  </si>
  <si>
    <t>conrmpb2020-june1</t>
  </si>
  <si>
    <t>GOODS 2020-016</t>
  </si>
  <si>
    <t>Competitive Bidding 2020-21</t>
  </si>
  <si>
    <t>GTO-2020-54</t>
  </si>
  <si>
    <t>20CN0070</t>
  </si>
  <si>
    <t>2020-ODY-06-186</t>
  </si>
  <si>
    <t>2020-06-043</t>
  </si>
  <si>
    <t>2020-ODY-06-187</t>
  </si>
  <si>
    <t>ITB2020-04-02 BALITE</t>
  </si>
  <si>
    <t>20CN0071</t>
  </si>
  <si>
    <t>2020-05-13</t>
  </si>
  <si>
    <t>2020-06-0162</t>
  </si>
  <si>
    <t>20CN0073</t>
  </si>
  <si>
    <t>2020-062-15-14</t>
  </si>
  <si>
    <t>06-23-05</t>
  </si>
  <si>
    <t>20CN0072</t>
  </si>
  <si>
    <t>GTO-2020-56</t>
  </si>
  <si>
    <t>20CN0074</t>
  </si>
  <si>
    <t>2020-062-15-13</t>
  </si>
  <si>
    <t>D-025-0277-20</t>
  </si>
  <si>
    <t>E2006-403</t>
  </si>
  <si>
    <t>PR#2020-06-001-E</t>
  </si>
  <si>
    <t>06-23-07</t>
  </si>
  <si>
    <t>06-23-06</t>
  </si>
  <si>
    <t>2020-0158</t>
  </si>
  <si>
    <t>ITB 20-141d</t>
  </si>
  <si>
    <t>ITB No. Infra-2020-01</t>
  </si>
  <si>
    <t>GOODS 2020-017</t>
  </si>
  <si>
    <t>20-06-16A</t>
  </si>
  <si>
    <t>20-06-17A</t>
  </si>
  <si>
    <t>APDC-ITB NO. 2020-06-002</t>
  </si>
  <si>
    <t>ITB (CW-06-2020-020) 20DD0304 (Re-Advertised)</t>
  </si>
  <si>
    <t>GTO-2020-55</t>
  </si>
  <si>
    <t>ITB 20-141e</t>
  </si>
  <si>
    <t>20FB0156</t>
  </si>
  <si>
    <t>ITB 20-141c</t>
  </si>
  <si>
    <t>ITB 20-141b</t>
  </si>
  <si>
    <t>ITB 20-141a</t>
  </si>
  <si>
    <t>20CN0126</t>
  </si>
  <si>
    <t>20CN0124</t>
  </si>
  <si>
    <t>20CN0123</t>
  </si>
  <si>
    <t>20CN0075</t>
  </si>
  <si>
    <t>Nasugbu ITB 20-08</t>
  </si>
  <si>
    <t>20CN0125</t>
  </si>
  <si>
    <t>PR. NO. 2020060699</t>
  </si>
  <si>
    <t>ITB 20-141h</t>
  </si>
  <si>
    <t>20OD0199</t>
  </si>
  <si>
    <t>BOLO LABRADOR -06-01</t>
  </si>
  <si>
    <t>ITB (CW-06-2020-020) 20DD0350</t>
  </si>
  <si>
    <t>20-06-17D</t>
  </si>
  <si>
    <t>BAC 06/23/20-01</t>
  </si>
  <si>
    <t>2020-04-013</t>
  </si>
  <si>
    <t>BAGO-BAC-2020-0146</t>
  </si>
  <si>
    <t>2020-0020</t>
  </si>
  <si>
    <t>20-06-16B</t>
  </si>
  <si>
    <t>Pembo 20-06-068</t>
  </si>
  <si>
    <t>ITB 20-141f</t>
  </si>
  <si>
    <t>ITB (CW-06-2020-020) 20DD0349</t>
  </si>
  <si>
    <t>GF-I-40-2020</t>
  </si>
  <si>
    <t>2020-04-014</t>
  </si>
  <si>
    <t>ITB 20-141g</t>
  </si>
  <si>
    <t>Pembo 20-06-067</t>
  </si>
  <si>
    <t>GS-PNBAC2-2020-31</t>
  </si>
  <si>
    <t>2020-06-001-NP-INFRA</t>
  </si>
  <si>
    <t>026</t>
  </si>
  <si>
    <t>ITB (CW-06-2020-020) 20DD0351</t>
  </si>
  <si>
    <t>BDF-2019-001</t>
  </si>
  <si>
    <t>20-06-17</t>
  </si>
  <si>
    <t>BAGO-BAC-2020-0149</t>
  </si>
  <si>
    <t>2020-062-15-15</t>
  </si>
  <si>
    <t>ITB 20-141i</t>
  </si>
  <si>
    <t>20-06-17C</t>
  </si>
  <si>
    <t>BAGO-BAC-2020-0150</t>
  </si>
  <si>
    <t>0020-0158-0925B2020</t>
  </si>
  <si>
    <t>20-06-16C</t>
  </si>
  <si>
    <t>PR. NO. 2020060698</t>
  </si>
  <si>
    <t>BAC 06/23/20-02</t>
  </si>
  <si>
    <t>025-FTC 2020</t>
  </si>
  <si>
    <t>2020-062-15-16</t>
  </si>
  <si>
    <t>2020-0021</t>
  </si>
  <si>
    <t>PBI-2020-14</t>
  </si>
  <si>
    <t>PBI-2020-13</t>
  </si>
  <si>
    <t>2020-06-003-NP-INFRA</t>
  </si>
  <si>
    <t>ITB NO. SV20-06-002ANG SUPPLY AND AND DELIVERY OF</t>
  </si>
  <si>
    <t>0020-0154-0913A2020</t>
  </si>
  <si>
    <t>2020-05-17</t>
  </si>
  <si>
    <t>ITB (CW-06-2020-020) 20DD0352</t>
  </si>
  <si>
    <t>ITB 20-141j</t>
  </si>
  <si>
    <t>2020-08-018-INFRA</t>
  </si>
  <si>
    <t>ITB (CW-06-2020-020) 20DD0353</t>
  </si>
  <si>
    <t>PBI-2020-16</t>
  </si>
  <si>
    <t>BAC3-NIH-IHG-PR10402</t>
  </si>
  <si>
    <t>20-06-17B</t>
  </si>
  <si>
    <t>0020-0158-0925A2020</t>
  </si>
  <si>
    <t>2020-06-002-NP-INFRA</t>
  </si>
  <si>
    <t>ITB (CW-06-2020-020) 20DD0354</t>
  </si>
  <si>
    <t>PBI-2020-15</t>
  </si>
  <si>
    <t>2020-0022</t>
  </si>
  <si>
    <t>J.O. NO. 2006-024</t>
  </si>
  <si>
    <t>Aklan BAC ITB 364 Series of 2020</t>
  </si>
  <si>
    <t>026-FTC 2020</t>
  </si>
  <si>
    <t>ITB (CW-06-2020-020) 20DD0358</t>
  </si>
  <si>
    <t>ITB (CW-06-2020-020) 20DD0357</t>
  </si>
  <si>
    <t>2020-05-16</t>
  </si>
  <si>
    <t>OSG-020-06-064</t>
  </si>
  <si>
    <t>PBI-2020-17</t>
  </si>
  <si>
    <t>20KK0128</t>
  </si>
  <si>
    <t>PR-2020-1396</t>
  </si>
  <si>
    <t>2020-062-15-18</t>
  </si>
  <si>
    <t>2020-062-15-17</t>
  </si>
  <si>
    <t>ITB (CW-06-2020-020) 20DD0356</t>
  </si>
  <si>
    <t>G-2020-04</t>
  </si>
  <si>
    <t>2020-0023</t>
  </si>
  <si>
    <t>ITB (CW-06-2020-020) 20DD0355</t>
  </si>
  <si>
    <t>Goods-ETG-20-06-013</t>
  </si>
  <si>
    <t>20-03-086</t>
  </si>
  <si>
    <t>2020-062-15-20</t>
  </si>
  <si>
    <t>CW06232020</t>
  </si>
  <si>
    <t>20-01.048</t>
  </si>
  <si>
    <t>2020-0159</t>
  </si>
  <si>
    <t>2020-062-15-19</t>
  </si>
  <si>
    <t>CW06232020-2</t>
  </si>
  <si>
    <t>24</t>
  </si>
  <si>
    <t>BTG3-20GDC0006</t>
  </si>
  <si>
    <t>CW06232020-3</t>
  </si>
  <si>
    <t>2020-05-14</t>
  </si>
  <si>
    <t>RF-2019-001</t>
  </si>
  <si>
    <t>G-2020-05</t>
  </si>
  <si>
    <t>PR-2020-1383</t>
  </si>
  <si>
    <t>BTG3-20GDC0007</t>
  </si>
  <si>
    <t>20GCI0003</t>
  </si>
  <si>
    <t>19GC00091</t>
  </si>
  <si>
    <t>2020-08-019-INFRA</t>
  </si>
  <si>
    <t>20GKD0003</t>
  </si>
  <si>
    <t>Q-098-20</t>
  </si>
  <si>
    <t>BAC3-NIH-IHG-PR10897</t>
  </si>
  <si>
    <t>PR-2020-1423</t>
  </si>
  <si>
    <t>2020-458</t>
  </si>
  <si>
    <t>20-03-010</t>
  </si>
  <si>
    <t>6-23-20</t>
  </si>
  <si>
    <t>20GCI0002</t>
  </si>
  <si>
    <t>958</t>
  </si>
  <si>
    <t>ITB 2020 - 82</t>
  </si>
  <si>
    <t>L-13-2020</t>
  </si>
  <si>
    <t>027-FTC 2020</t>
  </si>
  <si>
    <t>20M00080</t>
  </si>
  <si>
    <t>2020-425</t>
  </si>
  <si>
    <t>20AG0125</t>
  </si>
  <si>
    <t>2020-444</t>
  </si>
  <si>
    <t>20-0084</t>
  </si>
  <si>
    <t>PR-2020-1457</t>
  </si>
  <si>
    <t>2020-062-15-21</t>
  </si>
  <si>
    <t>LGU-LEZO-2020-010</t>
  </si>
  <si>
    <t>2020-08-020-INFRA</t>
  </si>
  <si>
    <t>PR No. 20-1036</t>
  </si>
  <si>
    <t>2020-449</t>
  </si>
  <si>
    <t>PG-20-64</t>
  </si>
  <si>
    <t>20KK0129</t>
  </si>
  <si>
    <t>2020-062-15-23</t>
  </si>
  <si>
    <t>2020-08-021-INFRA</t>
  </si>
  <si>
    <t>2020-08-022-INFRA</t>
  </si>
  <si>
    <t>20-06-0082</t>
  </si>
  <si>
    <t>GOODS 2020-04(PB)</t>
  </si>
  <si>
    <t>2020-447</t>
  </si>
  <si>
    <t>RF-2019-002</t>
  </si>
  <si>
    <t>MH-GOODS-TLDC-SC-AGRI-SUPPLY-685</t>
  </si>
  <si>
    <t>2020-0160</t>
  </si>
  <si>
    <t>2020-062-15-22</t>
  </si>
  <si>
    <t>SJ-20-164</t>
  </si>
  <si>
    <t>028-FTC 2020</t>
  </si>
  <si>
    <t>20KK0130</t>
  </si>
  <si>
    <t>PR-2020-0820</t>
  </si>
  <si>
    <t>20-06-0946</t>
  </si>
  <si>
    <t>20-06-0642X</t>
  </si>
  <si>
    <t>2020-06-264</t>
  </si>
  <si>
    <t>IB-20-005-GOODS-TEC</t>
  </si>
  <si>
    <t>PR-2020-0617</t>
  </si>
  <si>
    <t>2020-427</t>
  </si>
  <si>
    <t>2020-08-024-INFRA</t>
  </si>
  <si>
    <t>IB-20-006-GOODS-TEC</t>
  </si>
  <si>
    <t>Bid No. 20-0263</t>
  </si>
  <si>
    <t>2020-062-15-25</t>
  </si>
  <si>
    <t>JCH-20-0224-B</t>
  </si>
  <si>
    <t>PG-20-50</t>
  </si>
  <si>
    <t>GOODS2020-044</t>
  </si>
  <si>
    <t>2020-062-15-24</t>
  </si>
  <si>
    <t>Procurement of Reference Books and Instructional M</t>
  </si>
  <si>
    <t>2020-08-023-INFRA</t>
  </si>
  <si>
    <t>PG-20-55</t>
  </si>
  <si>
    <t>PG-20-60</t>
  </si>
  <si>
    <t>101-20-06-087</t>
  </si>
  <si>
    <t>JCH-20-0306-B</t>
  </si>
  <si>
    <t>DV-2020-I10</t>
  </si>
  <si>
    <t>2020-062-15-26</t>
  </si>
  <si>
    <t>20G00102</t>
  </si>
  <si>
    <t>2020 002</t>
  </si>
  <si>
    <t>IB-20-007-GOODS-PIO</t>
  </si>
  <si>
    <t>RF-2019-003</t>
  </si>
  <si>
    <t>029-FTC 2020</t>
  </si>
  <si>
    <t>ITB2020-07-02</t>
  </si>
  <si>
    <t>2020-369</t>
  </si>
  <si>
    <t>PR-2020-05-651</t>
  </si>
  <si>
    <t>20BD0126</t>
  </si>
  <si>
    <t>PR-2020-1558</t>
  </si>
  <si>
    <t>20G00103</t>
  </si>
  <si>
    <t>IB-20-008-GOODS-TEC</t>
  </si>
  <si>
    <t>06.24.2020</t>
  </si>
  <si>
    <t>2020-08-026-INFRA</t>
  </si>
  <si>
    <t>umcbac20-15</t>
  </si>
  <si>
    <t>PG-20-67</t>
  </si>
  <si>
    <t>2020-062-15-27</t>
  </si>
  <si>
    <t>PG-20-62</t>
  </si>
  <si>
    <t>PG-20-61</t>
  </si>
  <si>
    <t>2020-0161</t>
  </si>
  <si>
    <t>2020-433</t>
  </si>
  <si>
    <t>DOH4A-ITB-2020-GS-009C HFEP EQUIPMENT PACKAGE 3</t>
  </si>
  <si>
    <t>2020-08-025-INFRA</t>
  </si>
  <si>
    <t>DOH4A-ITB-2020-GS-009D HFEP EQUIPMENT PACKAGE 4</t>
  </si>
  <si>
    <t>ISQ 2020-06-069</t>
  </si>
  <si>
    <t>Procurementof Reference Books and Instructional Ma</t>
  </si>
  <si>
    <t>20AG0126</t>
  </si>
  <si>
    <t>2020-LAN-002</t>
  </si>
  <si>
    <t>GOODS2020-045</t>
  </si>
  <si>
    <t>TAL-06-39-2020</t>
  </si>
  <si>
    <t>06.24.2020-A</t>
  </si>
  <si>
    <t>20AG0127</t>
  </si>
  <si>
    <t>DOH4A-ITB-2020-GS-009B</t>
  </si>
  <si>
    <t>GOODS 2020-05(PB)</t>
  </si>
  <si>
    <t>2020-0162</t>
  </si>
  <si>
    <t>2020-062-15-28</t>
  </si>
  <si>
    <t>20BD0127</t>
  </si>
  <si>
    <t>2020-06-166</t>
  </si>
  <si>
    <t>100(01)20-06-360(A)</t>
  </si>
  <si>
    <t>DOH4A-ITB-2020-GS-009F HFEP EQUIPMENT LINE ITEM 2</t>
  </si>
  <si>
    <t>20BD0130</t>
  </si>
  <si>
    <t>2020-G-011</t>
  </si>
  <si>
    <t>20AG0128</t>
  </si>
  <si>
    <t>20BD0128</t>
  </si>
  <si>
    <t>PG-20-68</t>
  </si>
  <si>
    <t>20-05-022</t>
  </si>
  <si>
    <t>CW-109</t>
  </si>
  <si>
    <t>PR-2020-1393</t>
  </si>
  <si>
    <t>2020-0015</t>
  </si>
  <si>
    <t>DOH4A-ITB-2020-GS-009E HFEP EQUIPMENT LINE ITEM 1</t>
  </si>
  <si>
    <t>959</t>
  </si>
  <si>
    <t>2020-POBSK-001</t>
  </si>
  <si>
    <t>PG-20-66</t>
  </si>
  <si>
    <t>20BD0129</t>
  </si>
  <si>
    <t>IB-20-009-GOODS-TEC</t>
  </si>
  <si>
    <t>sfbac2020-AIP-1000-23</t>
  </si>
  <si>
    <t>030-FTC 2020</t>
  </si>
  <si>
    <t>2020-0163</t>
  </si>
  <si>
    <t>TF-20-06-097(Q)</t>
  </si>
  <si>
    <t>AIEB 2020-023</t>
  </si>
  <si>
    <t>PR-2020-1130</t>
  </si>
  <si>
    <t>2020-062-15-30</t>
  </si>
  <si>
    <t>20BD0131</t>
  </si>
  <si>
    <t>20AG0130</t>
  </si>
  <si>
    <t>20AG0129</t>
  </si>
  <si>
    <t>031-FTC 2020</t>
  </si>
  <si>
    <t>RF-2020-004</t>
  </si>
  <si>
    <t>2020-062-15-31</t>
  </si>
  <si>
    <t>2020-062-15-29</t>
  </si>
  <si>
    <t>2020-062-15-32</t>
  </si>
  <si>
    <t>20200623</t>
  </si>
  <si>
    <t>101-1011-2020-03-80</t>
  </si>
  <si>
    <t>20200623-019</t>
  </si>
  <si>
    <t>20AB0121</t>
  </si>
  <si>
    <t>2020-062-15-34</t>
  </si>
  <si>
    <t>RF-2020-005</t>
  </si>
  <si>
    <t>20AG0131</t>
  </si>
  <si>
    <t>PR # 20-06-039</t>
  </si>
  <si>
    <t>MJJLECINFRA001-2020-02</t>
  </si>
  <si>
    <t>2020-05-15</t>
  </si>
  <si>
    <t>2020-062-15-35</t>
  </si>
  <si>
    <t>6911-10-1141-20</t>
  </si>
  <si>
    <t>2020-062-15-36</t>
  </si>
  <si>
    <t>2020-062-15-33</t>
  </si>
  <si>
    <t>20-04-00328, 20-04-00329, 20-04-00330</t>
  </si>
  <si>
    <t>20GIL0040</t>
  </si>
  <si>
    <t>RSPQ NO. 2020-06-031</t>
  </si>
  <si>
    <t>20200623_2</t>
  </si>
  <si>
    <t>Bid No. 2020-017</t>
  </si>
  <si>
    <t>ITB - 08 JUNE 2020</t>
  </si>
  <si>
    <t>MG-A7A20-017</t>
  </si>
  <si>
    <t>6-36-20</t>
  </si>
  <si>
    <t>PIN2020-080</t>
  </si>
  <si>
    <t>MG-A7O20-013</t>
  </si>
  <si>
    <t>20IE0099</t>
  </si>
  <si>
    <t>20200623-020</t>
  </si>
  <si>
    <t>ITB-022-2020</t>
  </si>
  <si>
    <t>MG-A7O20-005</t>
  </si>
  <si>
    <t>101-20-05-126</t>
  </si>
  <si>
    <t>ITB Goods-2020-7</t>
  </si>
  <si>
    <t>PR No.20-0923</t>
  </si>
  <si>
    <t>20IE0098</t>
  </si>
  <si>
    <t>ADNPR2020-05-029,ADS-017,SDN-023,SDS-023,PDI-027</t>
  </si>
  <si>
    <t>GOODS 2020-06(PB)</t>
  </si>
  <si>
    <t>20GIL0041</t>
  </si>
  <si>
    <t>INFRA-2020-05</t>
  </si>
  <si>
    <t>GOODS 2020-07(PB)</t>
  </si>
  <si>
    <t>20BD0132</t>
  </si>
  <si>
    <t>Bid No. 20-0266</t>
  </si>
  <si>
    <t>20200623-021</t>
  </si>
  <si>
    <t>ITB - 07 JUNE 2020</t>
  </si>
  <si>
    <t>JJWC-NNP-20-010</t>
  </si>
  <si>
    <t>2020-06-MEO-NW-GF-0022</t>
  </si>
  <si>
    <t>20IE0097</t>
  </si>
  <si>
    <t>2020-03-003</t>
  </si>
  <si>
    <t>PR No.20-0936</t>
  </si>
  <si>
    <t>Lgn1-20-DH-0084</t>
  </si>
  <si>
    <t>20IE0100</t>
  </si>
  <si>
    <t>06-014-406-20</t>
  </si>
  <si>
    <t>062320-B1</t>
  </si>
  <si>
    <t>EMB13-2020-06-034</t>
  </si>
  <si>
    <t>Bid No. 2020-018</t>
  </si>
  <si>
    <t>INFRA-2020-06</t>
  </si>
  <si>
    <t>LPZ - 2020 - 008</t>
  </si>
  <si>
    <t>Bid No. 20-0267</t>
  </si>
  <si>
    <t>ITB Goods-2020-8</t>
  </si>
  <si>
    <t>2020-PB-06</t>
  </si>
  <si>
    <t>MKWD2020-053</t>
  </si>
  <si>
    <t>Bid No. 20-0268</t>
  </si>
  <si>
    <t>Continuing 2019 (10704010)</t>
  </si>
  <si>
    <t>20FE0127</t>
  </si>
  <si>
    <t>GF-G-57-2020</t>
  </si>
  <si>
    <t>20GIL0042</t>
  </si>
  <si>
    <t>RSPQ NO. 2020-06-033</t>
  </si>
  <si>
    <t>20-0052</t>
  </si>
  <si>
    <t>PR No.20-0935</t>
  </si>
  <si>
    <t>GOODS 2020-08(PB)</t>
  </si>
  <si>
    <t>20AJ0105</t>
  </si>
  <si>
    <t>2020-PB-05</t>
  </si>
  <si>
    <t>PEZA-HO-2020-01</t>
  </si>
  <si>
    <t>ITB Goods-2020-9</t>
  </si>
  <si>
    <t>20IE0102</t>
  </si>
  <si>
    <t>2020-308</t>
  </si>
  <si>
    <t>Lgn1-20-DH-0085</t>
  </si>
  <si>
    <t>ITB-2020-JDL-006</t>
  </si>
  <si>
    <t>LSPUSinC-2020-003PB</t>
  </si>
  <si>
    <t>GOODS-20-34</t>
  </si>
  <si>
    <t>9000-3-03-001-004-003-007</t>
  </si>
  <si>
    <t>Bid No. 20-0271</t>
  </si>
  <si>
    <t>20KE0064</t>
  </si>
  <si>
    <t>Bid No. 20-0269</t>
  </si>
  <si>
    <t>20PC0060</t>
  </si>
  <si>
    <t>Continuing 2019-10706010</t>
  </si>
  <si>
    <t>B20-19-01</t>
  </si>
  <si>
    <t>20IE0103</t>
  </si>
  <si>
    <t>IPW 2020-03-02</t>
  </si>
  <si>
    <t>GOODS 2020-09(PB)</t>
  </si>
  <si>
    <t>IPW 2020-03-01</t>
  </si>
  <si>
    <t>GOODS-2020-29</t>
  </si>
  <si>
    <t>113</t>
  </si>
  <si>
    <t>Bid No. 2020-019</t>
  </si>
  <si>
    <t>lgu-es-20-06-135</t>
  </si>
  <si>
    <t>Bid No. 20-0273</t>
  </si>
  <si>
    <t>20FE0128</t>
  </si>
  <si>
    <t>Bid No. 20-0270</t>
  </si>
  <si>
    <t>PR 2020-02-01</t>
  </si>
  <si>
    <t>AMP-20-06-026</t>
  </si>
  <si>
    <t>AMP-20-06-024</t>
  </si>
  <si>
    <t>PR 2020-02-06</t>
  </si>
  <si>
    <t>ITB- 062320-1</t>
  </si>
  <si>
    <t>AMP-20-06-027</t>
  </si>
  <si>
    <t>ITB No. GOP/20-DSWD-040</t>
  </si>
  <si>
    <t>PRDP-IR-R04A-BTG-003-TAN-001-2017</t>
  </si>
  <si>
    <t>20IE0104</t>
  </si>
  <si>
    <t>BA 2020-06</t>
  </si>
  <si>
    <t>Construction Supervision and Management Consultanc</t>
  </si>
  <si>
    <t>PR 6.031 ITB TPB 2020-029 JANITORIAL SERVICES</t>
  </si>
  <si>
    <t>AMP-20-06-022</t>
  </si>
  <si>
    <t>0700-2020-06-020</t>
  </si>
  <si>
    <t>AMP-20-06-025</t>
  </si>
  <si>
    <t>INFRA-20-07</t>
  </si>
  <si>
    <t>ITB 2020 06-01</t>
  </si>
  <si>
    <t>PR No. 2020-06-113</t>
  </si>
  <si>
    <t>INFRA JULY 2020-011</t>
  </si>
  <si>
    <t>INFRA JULY 2020-010</t>
  </si>
  <si>
    <t>MGB MIMA-20-012</t>
  </si>
  <si>
    <t>INFRA JULY 2020-009</t>
  </si>
  <si>
    <t>INFRA JULY 2020-008</t>
  </si>
  <si>
    <t>INFRA JULY 2020-003</t>
  </si>
  <si>
    <t>INFRA-2020-007</t>
  </si>
  <si>
    <t>NFA-RXI-2020-06</t>
  </si>
  <si>
    <t>INFRA JULY 2020-015</t>
  </si>
  <si>
    <t>INFRA JULY 2020-014</t>
  </si>
  <si>
    <t>INFRA JULY 2020-013</t>
  </si>
  <si>
    <t>Supply of Labor, Equipment and Restoration Materia</t>
  </si>
  <si>
    <t>RFQ-2020-06-071</t>
  </si>
  <si>
    <t>INFRA JULY 2020-006</t>
  </si>
  <si>
    <t>2020-003-1</t>
  </si>
  <si>
    <t>INFRA JULY 2020-007</t>
  </si>
  <si>
    <t>INFRA JULY 2020-012</t>
  </si>
  <si>
    <t>INFRA JULY 2020-018</t>
  </si>
  <si>
    <t>INFRA JULY 2020-017</t>
  </si>
  <si>
    <t>20NC0131</t>
  </si>
  <si>
    <t>INFRA JULY 2020-021</t>
  </si>
  <si>
    <t>20GFC0018</t>
  </si>
  <si>
    <t>INFRA JULY 2020-020</t>
  </si>
  <si>
    <t>Barangay Zone IV Poblacion 20-06-10b</t>
  </si>
  <si>
    <t>INFRA JULY 2020-016</t>
  </si>
  <si>
    <t>INFRA JULY 2020-022</t>
  </si>
  <si>
    <t>20NC0132</t>
  </si>
  <si>
    <t>INFRA JULY 2020-005</t>
  </si>
  <si>
    <t>PRN 052</t>
  </si>
  <si>
    <t>20GFC0017</t>
  </si>
  <si>
    <t>INFRA JULY 2020-023</t>
  </si>
  <si>
    <t>20GFC0016</t>
  </si>
  <si>
    <t>INFRA JULY 2020-004</t>
  </si>
  <si>
    <t>PRN 006</t>
  </si>
  <si>
    <t>HFW-2020-06-0214</t>
  </si>
  <si>
    <t>20GFC0020</t>
  </si>
  <si>
    <t>INFRA JULY 2020-032</t>
  </si>
  <si>
    <t>INFRA JULY 2020-019</t>
  </si>
  <si>
    <t>20NC0133</t>
  </si>
  <si>
    <t>INFRA JULY 2020-031</t>
  </si>
  <si>
    <t>RFQ-2020-06-072</t>
  </si>
  <si>
    <t>INFRA JULY 2020-030</t>
  </si>
  <si>
    <t>INFRA JULY 2020-027</t>
  </si>
  <si>
    <t>ESPERANZA-GDS-2020-06-12</t>
  </si>
  <si>
    <t>INFRA JULY 2020-024</t>
  </si>
  <si>
    <t>INFRA JULY 2020-033</t>
  </si>
  <si>
    <t>INFRA JULY 2020-035</t>
  </si>
  <si>
    <t>INFRA JULY 2020-034</t>
  </si>
  <si>
    <t>2020-06-045</t>
  </si>
  <si>
    <t>INFRA JULY 2020-028</t>
  </si>
  <si>
    <t>INFRA JULY 2020-025</t>
  </si>
  <si>
    <t>Bid No. 20-0274</t>
  </si>
  <si>
    <t>INFRA JULY 2020-029</t>
  </si>
  <si>
    <t>INFRA JULY 2020-026</t>
  </si>
  <si>
    <t>INFRA JULY 2020-046</t>
  </si>
  <si>
    <t>20OE0203</t>
  </si>
  <si>
    <t>INFRA JULY 2020-041</t>
  </si>
  <si>
    <t>INFRA JULY 2020-045</t>
  </si>
  <si>
    <t>40</t>
  </si>
  <si>
    <t>INFRA JULY 2020-039</t>
  </si>
  <si>
    <t>20OE0202</t>
  </si>
  <si>
    <t>INFRA JULY 2020-038</t>
  </si>
  <si>
    <t>INFRA JULY 2020-037</t>
  </si>
  <si>
    <t>INFRA JULY 2020-036</t>
  </si>
  <si>
    <t>RFQ No. 2020-10</t>
  </si>
  <si>
    <t>062320-B3</t>
  </si>
  <si>
    <t>20OE0206</t>
  </si>
  <si>
    <t>20OE0205</t>
  </si>
  <si>
    <t>20OE0204</t>
  </si>
  <si>
    <t>INFRA JULY 2020-040</t>
  </si>
  <si>
    <t>RDD-CW 2020-14</t>
  </si>
  <si>
    <t xml:space="preserve">ITB No. GOP/20-DSWD-038 - Provision of Multi-Year </t>
  </si>
  <si>
    <t>062320-B2</t>
  </si>
  <si>
    <t>20GFC0019</t>
  </si>
  <si>
    <t>20GO0102</t>
  </si>
  <si>
    <t>20-005</t>
  </si>
  <si>
    <t>2020-06-083</t>
  </si>
  <si>
    <t>ITB#25-2020</t>
  </si>
  <si>
    <t>2020-601-020</t>
  </si>
  <si>
    <t>INFRA JULY 2020-042</t>
  </si>
  <si>
    <t>GB3-PB-002-19</t>
  </si>
  <si>
    <t>20-NFA-EPS-06-004</t>
  </si>
  <si>
    <t>RDD-CW 2020-15</t>
  </si>
  <si>
    <t>20-NFA-EPS-06-003</t>
  </si>
  <si>
    <t>INFRA JULY 2020-044</t>
  </si>
  <si>
    <t>GEPS-009-2020</t>
  </si>
  <si>
    <t>2020-494-021</t>
  </si>
  <si>
    <t>IPH-20-0166-B</t>
  </si>
  <si>
    <t>sjom-goods-0008-2020</t>
  </si>
  <si>
    <t>HFW-2020-06-0218</t>
  </si>
  <si>
    <t>BAC-AIR-INFR-2020-01</t>
  </si>
  <si>
    <t>ITB#24-2020</t>
  </si>
  <si>
    <t>sjom-goods-0012-2020</t>
  </si>
  <si>
    <t>29-2020</t>
  </si>
  <si>
    <t>sjom-goods-0011-2020</t>
  </si>
  <si>
    <t>RDD-GO 2020-LGSF-0A1</t>
  </si>
  <si>
    <t>sjom-goods-0010-2020</t>
  </si>
  <si>
    <t>sjom-goods-0009-2020</t>
  </si>
  <si>
    <t>DTI-BAC-20-011</t>
  </si>
  <si>
    <t>HFW-2020-06-0217</t>
  </si>
  <si>
    <t>INFRA JULY 2020-043</t>
  </si>
  <si>
    <t>HFW-2020-06-0215</t>
  </si>
  <si>
    <t>Contract No. 03 - 2020</t>
  </si>
  <si>
    <t>20F00107</t>
  </si>
  <si>
    <t>sjom-goods-0013-2020</t>
  </si>
  <si>
    <t>20CSA006</t>
  </si>
  <si>
    <t>20CSA005</t>
  </si>
  <si>
    <t>100-2020-01-130</t>
  </si>
  <si>
    <t>100-2020-03-497</t>
  </si>
  <si>
    <t>100-2020-06-738</t>
  </si>
  <si>
    <t>100-2020-06-745</t>
  </si>
  <si>
    <t>100-2020-06-766</t>
  </si>
  <si>
    <t>2020-06-94</t>
  </si>
  <si>
    <t>2020-06-93</t>
  </si>
  <si>
    <t>100-2020-06-783</t>
  </si>
  <si>
    <t>2020-045-snq</t>
  </si>
  <si>
    <t>20LUSOD001</t>
  </si>
  <si>
    <t>PB BCH 002-2020 PROCUREMENT OF MOTOR VEHICLES</t>
  </si>
  <si>
    <t>CONTRACT ID # 20-06-086</t>
  </si>
  <si>
    <t>100-2020-06-779</t>
  </si>
  <si>
    <t>2020-050-snq</t>
  </si>
  <si>
    <t>PGL 20-079</t>
  </si>
  <si>
    <t>20-06-183</t>
  </si>
  <si>
    <t>100-2020-03-496</t>
  </si>
  <si>
    <t>PR# 20-06-0613</t>
  </si>
  <si>
    <t>20GK0222</t>
  </si>
  <si>
    <t>2020-051-snq</t>
  </si>
  <si>
    <t>CONTRACT ID # 20-06-087</t>
  </si>
  <si>
    <t>Jiab-2020-28A</t>
  </si>
  <si>
    <t>Jiab-2020-27A</t>
  </si>
  <si>
    <t>PB NO. 2020-040</t>
  </si>
  <si>
    <t>PR# 20-06-0617</t>
  </si>
  <si>
    <t>INFRA-20-06-0631</t>
  </si>
  <si>
    <t>20SANDIO002</t>
  </si>
  <si>
    <t>20SANDIO001</t>
  </si>
  <si>
    <t>PB NO. 2020-041</t>
  </si>
  <si>
    <t>20GK0223</t>
  </si>
  <si>
    <t>20CSNH05</t>
  </si>
  <si>
    <t>PB-06232020-01</t>
  </si>
  <si>
    <t>20CSNH03</t>
  </si>
  <si>
    <t>20CSHL0001</t>
  </si>
  <si>
    <t>DPF19 300-20-03-02964</t>
  </si>
  <si>
    <t>ASTCIVILGOODS619</t>
  </si>
  <si>
    <t>Jiab-2020-31A</t>
  </si>
  <si>
    <t>CONTRACT ID NO. 20GN0091</t>
  </si>
  <si>
    <t>ASTGOODS11</t>
  </si>
  <si>
    <t>PB Infra 20-02-03</t>
  </si>
  <si>
    <t>20CSNH04</t>
  </si>
  <si>
    <t>Jiab-2020-30A</t>
  </si>
  <si>
    <t>Jiab-2020-29A</t>
  </si>
  <si>
    <t>2020-06-38</t>
  </si>
  <si>
    <t>B2 PEO 300-20-06-07368</t>
  </si>
  <si>
    <t>Jiab-2020-32A</t>
  </si>
  <si>
    <t>SB4 ASA 300-20-05-05805</t>
  </si>
  <si>
    <t>300-20-06-0640</t>
  </si>
  <si>
    <t>POP 200-20-01-00295</t>
  </si>
  <si>
    <t>20-00048</t>
  </si>
  <si>
    <t>ITB No. 2020-11</t>
  </si>
  <si>
    <t>B2 PEO 300-20-06-07367</t>
  </si>
  <si>
    <t>07142020B</t>
  </si>
  <si>
    <t>07142020=A</t>
  </si>
  <si>
    <t>028-2020</t>
  </si>
  <si>
    <t>B2 PEO 300-20-06-07371</t>
  </si>
  <si>
    <t>B2 PEO 300-20-06-07370</t>
  </si>
  <si>
    <t>B2 PEO 300-20-06-07369</t>
  </si>
  <si>
    <t>IB07142020</t>
  </si>
  <si>
    <t>INFRA 2020-38</t>
  </si>
  <si>
    <t>INFRA 2020-37</t>
  </si>
  <si>
    <t>INFRA 2020-35</t>
  </si>
  <si>
    <t>INFRA 2020-34</t>
  </si>
  <si>
    <t>GA07142020</t>
  </si>
  <si>
    <t>BD2020-J-002-G</t>
  </si>
  <si>
    <t>INFRA 2020-36</t>
  </si>
  <si>
    <t>MGPIN 2020-017</t>
  </si>
  <si>
    <t>ASTGOODS10</t>
  </si>
  <si>
    <t>INFRA 2020-33</t>
  </si>
  <si>
    <t>DOC4</t>
  </si>
  <si>
    <t>DOC3</t>
  </si>
  <si>
    <t>ITB No. 2020-12</t>
  </si>
  <si>
    <t>DOC2</t>
  </si>
  <si>
    <t>1-2020</t>
  </si>
  <si>
    <t>GOODS-2020-62</t>
  </si>
  <si>
    <t>GOODS-2020-60</t>
  </si>
  <si>
    <t>GOODS-2020-61</t>
  </si>
  <si>
    <t>INFRA-PNBAC2-2020-07</t>
  </si>
  <si>
    <t>07142020C</t>
  </si>
  <si>
    <t>DOC1</t>
  </si>
  <si>
    <t>BD2020-J-003-G</t>
  </si>
  <si>
    <t>RFQ NO. SVP-014-2020</t>
  </si>
  <si>
    <t>PDDO-20-2125</t>
  </si>
  <si>
    <t>BID 001-2020</t>
  </si>
  <si>
    <t>SF EQUIPMENT NO. 08- (6-22-20)</t>
  </si>
  <si>
    <t>AMP 06-2020-010 (PR No. 2020-06-065) Re-Advertised</t>
  </si>
  <si>
    <t>NCMH-PB-RENTAL(180 DESKTOP COMPUTER) CY 2020</t>
  </si>
  <si>
    <t>PR0091-20 DOPMC</t>
  </si>
  <si>
    <t>20OC0102</t>
  </si>
  <si>
    <t>ITB 2020-06-02</t>
  </si>
  <si>
    <t>PR0212-20 DOPMC (23PRs)</t>
  </si>
  <si>
    <t>20GBI008</t>
  </si>
  <si>
    <t>20GBI007</t>
  </si>
  <si>
    <t>IB NO. 2020-07-16 (13)</t>
  </si>
  <si>
    <t>20-04-157</t>
  </si>
  <si>
    <t>MGPIN 2020-016</t>
  </si>
  <si>
    <t>Jiab-2020-34A</t>
  </si>
  <si>
    <t>IAEB 229-20</t>
  </si>
  <si>
    <t>20NF0068</t>
  </si>
  <si>
    <t>TAMP-PB-INFRA-06-2020</t>
  </si>
  <si>
    <t>2020-02-INFRA-JUNE-08</t>
  </si>
  <si>
    <t>ITB-2020-015</t>
  </si>
  <si>
    <t>CONTRACT ID: 20-06-089</t>
  </si>
  <si>
    <t>20OC0104</t>
  </si>
  <si>
    <t>2020-06-171-B</t>
  </si>
  <si>
    <t>SBMA-BAC-GOODS-ITB-08-20</t>
  </si>
  <si>
    <t>2020-WSERVICE_LINE-001</t>
  </si>
  <si>
    <t>20OC0103</t>
  </si>
  <si>
    <t>Jiab-2020-35A</t>
  </si>
  <si>
    <t>LGU-BALINGASAG-9005-20-059</t>
  </si>
  <si>
    <t>Bid No. 20-0282</t>
  </si>
  <si>
    <t>PB-2020-04</t>
  </si>
  <si>
    <t>TAMP-PB-INFRA-07-2020</t>
  </si>
  <si>
    <t>RfQ No. 20-06-038P</t>
  </si>
  <si>
    <t>20OC0100</t>
  </si>
  <si>
    <t>20AA0349</t>
  </si>
  <si>
    <t>TAL-07-03-2020</t>
  </si>
  <si>
    <t>MG-A7C20-026</t>
  </si>
  <si>
    <t>Bid No. 20-0283</t>
  </si>
  <si>
    <t>MGPIN 2020-015</t>
  </si>
  <si>
    <t>B2 PEO 300-20-06-07372</t>
  </si>
  <si>
    <t>RQ 06-165</t>
  </si>
  <si>
    <t>LGU-BALINGASAG-9005-20-061</t>
  </si>
  <si>
    <t>2020-06-154-E</t>
  </si>
  <si>
    <t>B2 PEO 300-20-06-07373</t>
  </si>
  <si>
    <t>Bid No. 20-0318</t>
  </si>
  <si>
    <t>20OC0101</t>
  </si>
  <si>
    <t>06-050-D</t>
  </si>
  <si>
    <t>20-03-015</t>
  </si>
  <si>
    <t>itb06222020b</t>
  </si>
  <si>
    <t>2020-GOODS-015-01-0623</t>
  </si>
  <si>
    <t>SBMA-BAC-GOODS-ITB-12-20</t>
  </si>
  <si>
    <t>MGPIN 2020-085</t>
  </si>
  <si>
    <t>Jiab-2020-37A</t>
  </si>
  <si>
    <t>TAYSAN2020-057</t>
  </si>
  <si>
    <t>RQ 06-155</t>
  </si>
  <si>
    <t>MGPIN 2019-093</t>
  </si>
  <si>
    <t>BCS-2020-0135</t>
  </si>
  <si>
    <t>itb06222020a</t>
  </si>
  <si>
    <t>2020 006J-001</t>
  </si>
  <si>
    <t>TAMP-PB-GOODS-05-2020</t>
  </si>
  <si>
    <t>ITB No. 2020 – 76</t>
  </si>
  <si>
    <t>2020-02-005</t>
  </si>
  <si>
    <t>RQ 06-166</t>
  </si>
  <si>
    <t>PEO-2020-0722</t>
  </si>
  <si>
    <t>MGPIN 2020-002</t>
  </si>
  <si>
    <t>BD2020-J-004-G</t>
  </si>
  <si>
    <t>Bidding-02-Amilongan-June2020</t>
  </si>
  <si>
    <t>07132020-002</t>
  </si>
  <si>
    <t>B2 PEO 300-20-06-07378</t>
  </si>
  <si>
    <t>07132020-001</t>
  </si>
  <si>
    <t>TAMP-PB-GOODS-06-2020</t>
  </si>
  <si>
    <t>Bidding-01-June-Amilongan2020</t>
  </si>
  <si>
    <t>07132020-004</t>
  </si>
  <si>
    <t>RQ 06-158</t>
  </si>
  <si>
    <t>RQ 06-160</t>
  </si>
  <si>
    <t>ICCTV-14</t>
  </si>
  <si>
    <t>RFQ 2020-06-014</t>
  </si>
  <si>
    <t>0006-2020</t>
  </si>
  <si>
    <t>SBMA-BAC-GOODS-ITB-11-20</t>
  </si>
  <si>
    <t>525789</t>
  </si>
  <si>
    <t>TANZA 22020-08-06</t>
  </si>
  <si>
    <t>ITB-SSS-GOODS-2020-017</t>
  </si>
  <si>
    <t>20AI0172</t>
  </si>
  <si>
    <t>20PE0070</t>
  </si>
  <si>
    <t>LGUPROC 2020 -131B</t>
  </si>
  <si>
    <t>20AI0171</t>
  </si>
  <si>
    <t>20AE0071: Construction of 2 Storey 4 Classroom Sch</t>
  </si>
  <si>
    <t>2020-074</t>
  </si>
  <si>
    <t>INFRA JULY 2020-001</t>
  </si>
  <si>
    <t>2020062302</t>
  </si>
  <si>
    <t>2020-02-83</t>
  </si>
  <si>
    <t>itb06222020c</t>
  </si>
  <si>
    <t>202206</t>
  </si>
  <si>
    <t>LGUPROC 2020 -132B</t>
  </si>
  <si>
    <t>PEO-2020-0964</t>
  </si>
  <si>
    <t>PR 20-010</t>
  </si>
  <si>
    <t>2020-06-074</t>
  </si>
  <si>
    <t>2029-379</t>
  </si>
  <si>
    <t>Competitive Bidding 2020-20</t>
  </si>
  <si>
    <t>20-23</t>
  </si>
  <si>
    <t>2020-02-48A</t>
  </si>
  <si>
    <t>BID REF. NO. 2020-002</t>
  </si>
  <si>
    <t>20-370</t>
  </si>
  <si>
    <t>2020-02-50</t>
  </si>
  <si>
    <t>2020-06-075</t>
  </si>
  <si>
    <t>INFRA JULY 2020-002</t>
  </si>
  <si>
    <t>100-20-15-103</t>
  </si>
  <si>
    <t>Invitation to Bid 20-36</t>
  </si>
  <si>
    <t>2020-01-005</t>
  </si>
  <si>
    <t>NCMH-PRB-PEST CONTROL SERVICE CY-2020</t>
  </si>
  <si>
    <t>2020-06-77</t>
  </si>
  <si>
    <t>POG NO. DDO 2020-003-CM</t>
  </si>
  <si>
    <t>2020-00-02</t>
  </si>
  <si>
    <t>20-144</t>
  </si>
  <si>
    <t>2020-03-109</t>
  </si>
  <si>
    <t>DVO-200716-03</t>
  </si>
  <si>
    <t>2020-06-076</t>
  </si>
  <si>
    <t>None</t>
  </si>
  <si>
    <t>DVO-200716-06</t>
  </si>
  <si>
    <t>PR-2020-03-459</t>
  </si>
  <si>
    <t>20-286</t>
  </si>
  <si>
    <t>PR 20-012</t>
  </si>
  <si>
    <t>TLU2020-007-I</t>
  </si>
  <si>
    <t>TANZA 2 2020-09-06</t>
  </si>
  <si>
    <t>2020--06-022-002</t>
  </si>
  <si>
    <t>2020-06-077</t>
  </si>
  <si>
    <t>PR 20-011</t>
  </si>
  <si>
    <t>BUGASS-2020-052</t>
  </si>
  <si>
    <t>DVO-200716-05</t>
  </si>
  <si>
    <t>2020-428</t>
  </si>
  <si>
    <t>6222020</t>
  </si>
  <si>
    <t>PR-2020-05-657</t>
  </si>
  <si>
    <t>QNV-034-2020</t>
  </si>
  <si>
    <t>DVO-200716-04</t>
  </si>
  <si>
    <t>2020-04-211</t>
  </si>
  <si>
    <t>2020-06-22-01</t>
  </si>
  <si>
    <t>DVO-200716-08</t>
  </si>
  <si>
    <t>2020-04-193</t>
  </si>
  <si>
    <t>LGUPROC 2020 -133B</t>
  </si>
  <si>
    <t>itb 2020-30</t>
  </si>
  <si>
    <t xml:space="preserve">20CB-GSC-345 PURCHASE OF DRUGS &amp; MEDICAL SUPPLIES </t>
  </si>
  <si>
    <t>DVO-200716-07</t>
  </si>
  <si>
    <t>2020-001-2</t>
  </si>
  <si>
    <t>PR 20-013</t>
  </si>
  <si>
    <t>2020-03-110</t>
  </si>
  <si>
    <t>DVO-200716-02</t>
  </si>
  <si>
    <t>GS No. 2020-0032</t>
  </si>
  <si>
    <t>022-2020 PES Purchase of Various Office Supplies a</t>
  </si>
  <si>
    <t>20CB-GSC-347 PURCHASE OF CAMERA FOR CITY ASSESSORS</t>
  </si>
  <si>
    <t>ITB No. GOP/19-DSWD-059-A</t>
  </si>
  <si>
    <t>DVO-200716-10</t>
  </si>
  <si>
    <t>100200600906</t>
  </si>
  <si>
    <t>2020-414</t>
  </si>
  <si>
    <t>INFRA-2020-004</t>
  </si>
  <si>
    <t>2020-430</t>
  </si>
  <si>
    <t>Infra-03</t>
  </si>
  <si>
    <t>20CB-GSC-353 PURCHASE OF DIESEL AND GASOLINE FOR C</t>
  </si>
  <si>
    <t>01-0622</t>
  </si>
  <si>
    <t>2020-N-004</t>
  </si>
  <si>
    <t>20GCE0007</t>
  </si>
  <si>
    <t>IB 2020-032</t>
  </si>
  <si>
    <t>itb06222020d</t>
  </si>
  <si>
    <t>DVO-200716-09</t>
  </si>
  <si>
    <t>2020-06-1923</t>
  </si>
  <si>
    <t>100-20-06-128</t>
  </si>
  <si>
    <t>2020-424</t>
  </si>
  <si>
    <t>2020-66 (GAS)</t>
  </si>
  <si>
    <t>BAC1-20-006</t>
  </si>
  <si>
    <t>DVO-200716-13</t>
  </si>
  <si>
    <t>2020-0008</t>
  </si>
  <si>
    <t>PB-2020-01</t>
  </si>
  <si>
    <t>20HG0176</t>
  </si>
  <si>
    <t>DVO-200716-11</t>
  </si>
  <si>
    <t>BAC1-20-007</t>
  </si>
  <si>
    <t>2020-03-013</t>
  </si>
  <si>
    <t>I.B. No. 2020-0024</t>
  </si>
  <si>
    <t>2020-0157</t>
  </si>
  <si>
    <t>20GKG0029</t>
  </si>
  <si>
    <t>RFQ NO. SVP-015-2020</t>
  </si>
  <si>
    <t>DVO-200716-12</t>
  </si>
  <si>
    <t>IB 2020 – 051</t>
  </si>
  <si>
    <t>2020-20% Realignment Budget - 01 - 9000-000-003-01</t>
  </si>
  <si>
    <t>100-20-03-043</t>
  </si>
  <si>
    <t>2020-443</t>
  </si>
  <si>
    <t>2020-69 (GAS)</t>
  </si>
  <si>
    <t>DVO-200716-15</t>
  </si>
  <si>
    <t>lgumambu_brgybunga_cw_june_2020_001</t>
  </si>
  <si>
    <t>SVP-VJLN-2020-06-0625 GAA</t>
  </si>
  <si>
    <t>20AI0173</t>
  </si>
  <si>
    <t>DVO-200716-14</t>
  </si>
  <si>
    <t>IB 2020-033</t>
  </si>
  <si>
    <t>ITB 2020-07-001</t>
  </si>
  <si>
    <t>2020-68 (GAS)</t>
  </si>
  <si>
    <t>2020-438</t>
  </si>
  <si>
    <t>2020-N-005</t>
  </si>
  <si>
    <t>2020-05-03</t>
  </si>
  <si>
    <t>2020-05-257</t>
  </si>
  <si>
    <t>LGU-ALCOY-2020-033</t>
  </si>
  <si>
    <t>2020-05-277</t>
  </si>
  <si>
    <t>PB 2020-02</t>
  </si>
  <si>
    <t>202001</t>
  </si>
  <si>
    <t>07132020-005</t>
  </si>
  <si>
    <t>B2 PEO 300-20-06-07381</t>
  </si>
  <si>
    <t>B2 PEO 300-20-06-07376</t>
  </si>
  <si>
    <t>2020-431</t>
  </si>
  <si>
    <t>0005-2020</t>
  </si>
  <si>
    <t>2020-04-192</t>
  </si>
  <si>
    <t>0004-2020</t>
  </si>
  <si>
    <t>itb 2020-29</t>
  </si>
  <si>
    <t>TANZA 2 2020-07-06</t>
  </si>
  <si>
    <t>2020-67 (GAS)</t>
  </si>
  <si>
    <t>2020-B-06-025</t>
  </si>
  <si>
    <t>RQ 06-157</t>
  </si>
  <si>
    <t>LGU-BALINGASAG-9005-20-060</t>
  </si>
  <si>
    <t>RQ 06-156</t>
  </si>
  <si>
    <t>ITB-2020-016</t>
  </si>
  <si>
    <t>Jiab-2020-33A</t>
  </si>
  <si>
    <t>RQ 06-161</t>
  </si>
  <si>
    <t>RQ 06-164</t>
  </si>
  <si>
    <t>INFRA-PNBAC2-2020-06</t>
  </si>
  <si>
    <t>2020-70 (GAS)</t>
  </si>
  <si>
    <t>2020-02-102</t>
  </si>
  <si>
    <t>20AI0174</t>
  </si>
  <si>
    <t>IB 2020 – 053</t>
  </si>
  <si>
    <t>IB 2020 – 052</t>
  </si>
  <si>
    <t>2020-ANT-GOODS-0115</t>
  </si>
  <si>
    <t>TAMP-PB-GOODS-07-2020</t>
  </si>
  <si>
    <t>100-20-06-121</t>
  </si>
  <si>
    <t>IB 2020 – 054</t>
  </si>
  <si>
    <t>20AI0175</t>
  </si>
  <si>
    <t>PBDD-PR-2020-05-001; PBDD-PR-2020-05-002</t>
  </si>
  <si>
    <t>BAC1-20-008</t>
  </si>
  <si>
    <t>IB 2020 – 059</t>
  </si>
  <si>
    <t>01M-2020</t>
  </si>
  <si>
    <t>OM-194-L-2020</t>
  </si>
  <si>
    <t>EMBR02-PB-CONSULTINGSERVICES- EMED052020-140</t>
  </si>
  <si>
    <t>IB 2020 – 058</t>
  </si>
  <si>
    <t>SEF-I-51-2020</t>
  </si>
  <si>
    <t>100-20-03-055</t>
  </si>
  <si>
    <t>20-06-248</t>
  </si>
  <si>
    <t>20GKG0030</t>
  </si>
  <si>
    <t>IB-2020-26-NEGO</t>
  </si>
  <si>
    <t>Jiab-2020-39Af</t>
  </si>
  <si>
    <t>20-06-249</t>
  </si>
  <si>
    <t>IB 2020 – 057</t>
  </si>
  <si>
    <t>I.B. No. 2020-0025</t>
  </si>
  <si>
    <t>IB-2020-25-NEGO</t>
  </si>
  <si>
    <t>IB 2020 – 056</t>
  </si>
  <si>
    <t>RSPQ NO. 2020-06-028</t>
  </si>
  <si>
    <t>2020-456</t>
  </si>
  <si>
    <t>IB 2020 – 055</t>
  </si>
  <si>
    <t>PRDP-PSO-Admin 2020-05-018 (AF)</t>
  </si>
  <si>
    <t>20CG0142</t>
  </si>
  <si>
    <t>776</t>
  </si>
  <si>
    <t>20CG0144</t>
  </si>
  <si>
    <t>OM-193-2020</t>
  </si>
  <si>
    <t>Jiab-2020-42A</t>
  </si>
  <si>
    <t>BAC1-20-010</t>
  </si>
  <si>
    <t>20GPM006</t>
  </si>
  <si>
    <t>RSPQ NO. 2020-06-029</t>
  </si>
  <si>
    <t>Jiab-2020-38A</t>
  </si>
  <si>
    <t>2020-06-22-04</t>
  </si>
  <si>
    <t>20GKG0032</t>
  </si>
  <si>
    <t>20-06-088</t>
  </si>
  <si>
    <t>20-158</t>
  </si>
  <si>
    <t>RO9-INFRA-2020-F-001</t>
  </si>
  <si>
    <t>PR-2006-660</t>
  </si>
  <si>
    <t>2020-06-025</t>
  </si>
  <si>
    <t>PRDP-IR-R003-NUE-035-PAL-001-2019-R1</t>
  </si>
  <si>
    <t>Graceville 2020-001</t>
  </si>
  <si>
    <t>20-06-089</t>
  </si>
  <si>
    <t>SEF-I-52-2020</t>
  </si>
  <si>
    <t>20GL00008</t>
  </si>
  <si>
    <t>P-09-20</t>
  </si>
  <si>
    <t>FSDE18-CS-048-20</t>
  </si>
  <si>
    <t>Jiab-2020-40A</t>
  </si>
  <si>
    <t>20CG0147</t>
  </si>
  <si>
    <t>BUE-06222020-05</t>
  </si>
  <si>
    <t>20GFH0012</t>
  </si>
  <si>
    <t>20GFH0014</t>
  </si>
  <si>
    <t>20CG0146</t>
  </si>
  <si>
    <t>Lgn1-SVP2020-07-0008</t>
  </si>
  <si>
    <t>20-164</t>
  </si>
  <si>
    <t>Jiab-2020-41A</t>
  </si>
  <si>
    <t>20CG0145</t>
  </si>
  <si>
    <t>IBTGH No. 2020 – 006</t>
  </si>
  <si>
    <t>20CG0143</t>
  </si>
  <si>
    <t>BUE-06222020-04</t>
  </si>
  <si>
    <t>G-107-20</t>
  </si>
  <si>
    <t>20GFH0013</t>
  </si>
  <si>
    <t>MAPULO-001</t>
  </si>
  <si>
    <t>QUOTATION NO. 20-06-0355</t>
  </si>
  <si>
    <t>20HC0182</t>
  </si>
  <si>
    <t>SVP2020-07-0009</t>
  </si>
  <si>
    <t>CONTRACT ID: 19-12-272 2ND REBID</t>
  </si>
  <si>
    <t>NIAREG9-06222020-688</t>
  </si>
  <si>
    <t>CONSTRUCTION OF VARIOUS INFRASTRUCTURE PROJECTS FO</t>
  </si>
  <si>
    <t>20CG0148</t>
  </si>
  <si>
    <t>0700-2020-06-019</t>
  </si>
  <si>
    <t>20CG0150</t>
  </si>
  <si>
    <t>MGB-2020-0005</t>
  </si>
  <si>
    <t>DIN-INF-06-22-2020</t>
  </si>
  <si>
    <t>Lgn1-SVP2020-07-0010</t>
  </si>
  <si>
    <t>cat2020-003</t>
  </si>
  <si>
    <t>20CG0149</t>
  </si>
  <si>
    <t>20CG0151</t>
  </si>
  <si>
    <t>2020-075</t>
  </si>
  <si>
    <t>2020-71 (GAS)</t>
  </si>
  <si>
    <t>Graceville 2020-004</t>
  </si>
  <si>
    <t>20CG0153</t>
  </si>
  <si>
    <t>20AI0176</t>
  </si>
  <si>
    <t>Graceville 2020-002</t>
  </si>
  <si>
    <t>20-160</t>
  </si>
  <si>
    <t>0041-06-2020</t>
  </si>
  <si>
    <t>SBMA-BAC-GOODS-ITB-09-20</t>
  </si>
  <si>
    <t>Lgn1-SVP2020-07-0011</t>
  </si>
  <si>
    <t>20HM0091</t>
  </si>
  <si>
    <t>2020-05-241</t>
  </si>
  <si>
    <t>P-10-20</t>
  </si>
  <si>
    <t>20CG0155</t>
  </si>
  <si>
    <t>ITB 2020 - 081</t>
  </si>
  <si>
    <t>20CG0152</t>
  </si>
  <si>
    <t>20FO0101</t>
  </si>
  <si>
    <t>ITB - 06 JUNE 2020</t>
  </si>
  <si>
    <t>Graceville 2020-003</t>
  </si>
  <si>
    <t>ITB 2020 - 080</t>
  </si>
  <si>
    <t>INFRA 2020-03</t>
  </si>
  <si>
    <t>DA RFO-1-2019-INFRA-038-N</t>
  </si>
  <si>
    <t>20CG0154</t>
  </si>
  <si>
    <t>DA RFO-1-2019-INFRA-040-N</t>
  </si>
  <si>
    <t>DA RFO-1-2019-INFRA-039-N</t>
  </si>
  <si>
    <t>20CG0156</t>
  </si>
  <si>
    <t>AGGDS2020-0623B</t>
  </si>
  <si>
    <t>20-159</t>
  </si>
  <si>
    <t>20GFO0016</t>
  </si>
  <si>
    <t>2020-RBAC8-INFR-17</t>
  </si>
  <si>
    <t>18-2020</t>
  </si>
  <si>
    <t>20CG0157</t>
  </si>
  <si>
    <t>20FO0102</t>
  </si>
  <si>
    <t>AGGDS2020-0623A</t>
  </si>
  <si>
    <t>CONTRACT ID # 20-06-090</t>
  </si>
  <si>
    <t>2020-03005</t>
  </si>
  <si>
    <t>LGUPROC 2020 -134N</t>
  </si>
  <si>
    <t>RFQ NO. SVP-016-2020</t>
  </si>
  <si>
    <t>GF-20-0385</t>
  </si>
  <si>
    <t>MDRRMO-2020-06-22-001</t>
  </si>
  <si>
    <t>N 33 C 2020</t>
  </si>
  <si>
    <t>cmd-20-01-15</t>
  </si>
  <si>
    <t>0042-06-2020</t>
  </si>
  <si>
    <t>PB 06-05-2020</t>
  </si>
  <si>
    <t>RFQ NO. SVP-017-2020</t>
  </si>
  <si>
    <t>I.B. No. 2020-0027</t>
  </si>
  <si>
    <t>PR062000637</t>
  </si>
  <si>
    <t>cmd-20-01-02</t>
  </si>
  <si>
    <t>ITB No. 2020-06-002</t>
  </si>
  <si>
    <t>20BG0120</t>
  </si>
  <si>
    <t>pwr-03-017</t>
  </si>
  <si>
    <t>001-2020G</t>
  </si>
  <si>
    <t>SUPPLY OF LABOR, EQUIPMENT AND RESTORATION MATERIA</t>
  </si>
  <si>
    <t>pwr-03-015</t>
  </si>
  <si>
    <t>20GFC0011</t>
  </si>
  <si>
    <t>ITB 2020-DSWD-CAR-16</t>
  </si>
  <si>
    <t>RFQ NO. SVP-020-2020</t>
  </si>
  <si>
    <t>PCMT 2020-045</t>
  </si>
  <si>
    <t>PR 2020-06-002</t>
  </si>
  <si>
    <t>2020-CW-06-09</t>
  </si>
  <si>
    <t>2020-GD-06-07</t>
  </si>
  <si>
    <t>20GFC0015</t>
  </si>
  <si>
    <t>agsd-2020-05-009</t>
  </si>
  <si>
    <t>BAC1-20-009</t>
  </si>
  <si>
    <t>2020-CW-06-10</t>
  </si>
  <si>
    <t>20GFC0014</t>
  </si>
  <si>
    <t>DA RFO-1-2019-INFRA-068</t>
  </si>
  <si>
    <t>Supply, Delivery and Installation of Air Condition</t>
  </si>
  <si>
    <t>RFQ NO. SVP-019-2020</t>
  </si>
  <si>
    <t>20GFC0012</t>
  </si>
  <si>
    <t>PCMT 2020-046</t>
  </si>
  <si>
    <t>RFQ NO. SVP-018-2020</t>
  </si>
  <si>
    <t>BAC1-20-012</t>
  </si>
  <si>
    <t>PBD-CONSULTANCY-2020-002</t>
  </si>
  <si>
    <t>MKWD-BAC-2020-053</t>
  </si>
  <si>
    <t>BAC1-20-005</t>
  </si>
  <si>
    <t>20GFC0013</t>
  </si>
  <si>
    <t>PCMT 2020-044</t>
  </si>
  <si>
    <t>20EA0054</t>
  </si>
  <si>
    <t>2020-GD-06-06</t>
  </si>
  <si>
    <t>PUR20-02-0135</t>
  </si>
  <si>
    <t>GLQ-2020-12</t>
  </si>
  <si>
    <t>20EA0053</t>
  </si>
  <si>
    <t>BAC1-20-004</t>
  </si>
  <si>
    <t>IB. NO. K-2020-062(SC)</t>
  </si>
  <si>
    <t>IB No. 2020-021</t>
  </si>
  <si>
    <t>IB. NO. K-2020-061(SC)</t>
  </si>
  <si>
    <t>BAC1-20-014</t>
  </si>
  <si>
    <t>IB. NO. K-2020-059(SC)</t>
  </si>
  <si>
    <t>20CC0255</t>
  </si>
  <si>
    <t>20CC0199</t>
  </si>
  <si>
    <t>20CC0170</t>
  </si>
  <si>
    <t>Infra EDF 05-2020</t>
  </si>
  <si>
    <t>SRAVIS 20-06-283</t>
  </si>
  <si>
    <t>Goods 2020-01</t>
  </si>
  <si>
    <t>20CC0256</t>
  </si>
  <si>
    <t>BAC1-20-011</t>
  </si>
  <si>
    <t>58-2020</t>
  </si>
  <si>
    <t>38</t>
  </si>
  <si>
    <t>20DE0147</t>
  </si>
  <si>
    <t>57-2020</t>
  </si>
  <si>
    <t>20GOE0013</t>
  </si>
  <si>
    <t>20DE0146</t>
  </si>
  <si>
    <t>Goods 2020-02</t>
  </si>
  <si>
    <t>ITB No. GOP-19-DSWD-058-A</t>
  </si>
  <si>
    <t>ITB No. GOP/20-DSWD-039</t>
  </si>
  <si>
    <t>IA-P-2020-01</t>
  </si>
  <si>
    <t>20DE0145</t>
  </si>
  <si>
    <t>2020-06-MEO-LGSF-FA-TF-0026</t>
  </si>
  <si>
    <t>39</t>
  </si>
  <si>
    <t>106222020</t>
  </si>
  <si>
    <t>2020-INFRA-037</t>
  </si>
  <si>
    <t>2020-INFRA-036</t>
  </si>
  <si>
    <t>2020-INFRA-033</t>
  </si>
  <si>
    <t>55-2020</t>
  </si>
  <si>
    <t>INFRA-2020-48</t>
  </si>
  <si>
    <t>2020-INFRA-043</t>
  </si>
  <si>
    <t>2020-INFRA-042</t>
  </si>
  <si>
    <t>2020-INFRA-038</t>
  </si>
  <si>
    <t>2020-INFRA-040</t>
  </si>
  <si>
    <t>2020-INFRA-035</t>
  </si>
  <si>
    <t>406222020</t>
  </si>
  <si>
    <t>IB No.2020-06-011-G</t>
  </si>
  <si>
    <t>2020-INFRA-044</t>
  </si>
  <si>
    <t>306222020</t>
  </si>
  <si>
    <t>206222020</t>
  </si>
  <si>
    <t>2020-INFRA-041</t>
  </si>
  <si>
    <t>2020-INFRA-039</t>
  </si>
  <si>
    <t>506222020</t>
  </si>
  <si>
    <t>2020-INFRA-034</t>
  </si>
  <si>
    <t>PR-2020-9999-0185</t>
  </si>
  <si>
    <t>6-8-20-ID9</t>
  </si>
  <si>
    <t>IB-2020-VII-13-01 Office Supplies Inks &amp; Toners (L</t>
  </si>
  <si>
    <t>B-8661-20-13</t>
  </si>
  <si>
    <t>PR 2020-06-10-101</t>
  </si>
  <si>
    <t>PIP 007-2020</t>
  </si>
  <si>
    <t>PB2020-07-068G</t>
  </si>
  <si>
    <t>PB2020-07-066G</t>
  </si>
  <si>
    <t>20K00352</t>
  </si>
  <si>
    <t>PB20200618-041</t>
  </si>
  <si>
    <t>BFPX 2020-06</t>
  </si>
  <si>
    <t>IB-2020-23-NEGO-INFRA</t>
  </si>
  <si>
    <t>20K00353</t>
  </si>
  <si>
    <t>IB-2020-VII-13-02 FARM TO MARKET ROAD</t>
  </si>
  <si>
    <t>CGS-2020-G020</t>
  </si>
  <si>
    <t>OPA-2020-0103</t>
  </si>
  <si>
    <t>LGUPROC 2020 -129B</t>
  </si>
  <si>
    <t>IB-2020-24-NEGO-INFRA</t>
  </si>
  <si>
    <t>2020-07-10-05</t>
  </si>
  <si>
    <t>PB20200618-040</t>
  </si>
  <si>
    <t>2020-07-10-06</t>
  </si>
  <si>
    <t>JR No. 24044</t>
  </si>
  <si>
    <t>LGUPROC 2020 -130B</t>
  </si>
  <si>
    <t>20-06-020</t>
  </si>
  <si>
    <t>2020-INFRA-026</t>
  </si>
  <si>
    <t>PB2020-07-067G</t>
  </si>
  <si>
    <t>PPS-2020-0041</t>
  </si>
  <si>
    <t>PEO-2020-0349</t>
  </si>
  <si>
    <t>CMPG-13</t>
  </si>
  <si>
    <t>2020-07-10-07</t>
  </si>
  <si>
    <t>PB20200618-039</t>
  </si>
  <si>
    <t>BAC-GS 2020-097, 2020-098, 2020-099, 2020-100, 202</t>
  </si>
  <si>
    <t>2020-06-374</t>
  </si>
  <si>
    <t>2020-07-10-09</t>
  </si>
  <si>
    <t>LUHONG-2020-001-2</t>
  </si>
  <si>
    <t>SYDO-2020-0015 &amp; 0017</t>
  </si>
  <si>
    <t>Aklan BAC ITB 359 Series of 2020</t>
  </si>
  <si>
    <t>Infra-01</t>
  </si>
  <si>
    <t>GS 2020-003 (REPOST)</t>
  </si>
  <si>
    <t>2020-07-10-10</t>
  </si>
  <si>
    <t>20FF0095</t>
  </si>
  <si>
    <t>2020-07-10-08</t>
  </si>
  <si>
    <t>IB No. 2020-208-A</t>
  </si>
  <si>
    <t>Aklan BAC ITB 361 Series of 2020</t>
  </si>
  <si>
    <t>LIN-LDN-06-19-20</t>
  </si>
  <si>
    <t>INFRA2020-02</t>
  </si>
  <si>
    <t>Aklan BAC ITB 362 Series of 2020</t>
  </si>
  <si>
    <t>2020-07-10-13</t>
  </si>
  <si>
    <t>2020-07-10-12</t>
  </si>
  <si>
    <t>20FF0097</t>
  </si>
  <si>
    <t>20FF0096</t>
  </si>
  <si>
    <t>Project No. 2020-25</t>
  </si>
  <si>
    <t>2020-07-10-15</t>
  </si>
  <si>
    <t>20FF0098</t>
  </si>
  <si>
    <t>PDDO-20-4519</t>
  </si>
  <si>
    <t>BAC 2020-06-007</t>
  </si>
  <si>
    <t>2020-07-10-11</t>
  </si>
  <si>
    <t>Goods 0026-2020</t>
  </si>
  <si>
    <t>INFRA2020-CDD-001/ MG-COM20-002 Repair/Rehab of Wh</t>
  </si>
  <si>
    <t>GEPS-12-2020</t>
  </si>
  <si>
    <t>20FH0085</t>
  </si>
  <si>
    <t>2020-7</t>
  </si>
  <si>
    <t>2020-07-10-14</t>
  </si>
  <si>
    <t>PDDO-20-4515</t>
  </si>
  <si>
    <t>2020-011</t>
  </si>
  <si>
    <t>20BE0049 (re-adv.)</t>
  </si>
  <si>
    <t>20BE0048 (re-adv.)</t>
  </si>
  <si>
    <t>2020-S-8</t>
  </si>
  <si>
    <t>INFRA2020-CDD-002/ MG-COM20-003 Construction of Wh</t>
  </si>
  <si>
    <t>LIN-LDN-06-19-20A</t>
  </si>
  <si>
    <t>2020-07-10-16</t>
  </si>
  <si>
    <t>20FF0099</t>
  </si>
  <si>
    <t>GEPS-13-2020</t>
  </si>
  <si>
    <t>BAC 2020-06-008</t>
  </si>
  <si>
    <t>20FG0101</t>
  </si>
  <si>
    <t>INFR-023-2020</t>
  </si>
  <si>
    <t>INFR-2020-031</t>
  </si>
  <si>
    <t>INFR-2020-030</t>
  </si>
  <si>
    <t>20BE0047 (re-adv.)</t>
  </si>
  <si>
    <t>PDDO-20-1156</t>
  </si>
  <si>
    <t>INFR-2020-029</t>
  </si>
  <si>
    <t>SJBC-2020-003</t>
  </si>
  <si>
    <t>LIN-LDN-06-19-20B</t>
  </si>
  <si>
    <t>CDH-20-0711-B</t>
  </si>
  <si>
    <t>INFR-2020-032</t>
  </si>
  <si>
    <t>20FH0087</t>
  </si>
  <si>
    <t>INFR-2020-028</t>
  </si>
  <si>
    <t>INFR-2020-034</t>
  </si>
  <si>
    <t>INFR-2020-033</t>
  </si>
  <si>
    <t>Goods 0031-2020</t>
  </si>
  <si>
    <t>2020-108</t>
  </si>
  <si>
    <t>PDDO-20-4514</t>
  </si>
  <si>
    <t>CDH-20-0713-B</t>
  </si>
  <si>
    <t>INFR-2020-036</t>
  </si>
  <si>
    <t>LIN-LDN-06-19-20C</t>
  </si>
  <si>
    <t>20ITB-INF-02-00040</t>
  </si>
  <si>
    <t>RPT-20-0294-B</t>
  </si>
  <si>
    <t>CDH-20-0712-B</t>
  </si>
  <si>
    <t>20-06-0004</t>
  </si>
  <si>
    <t>INFR-2020-009</t>
  </si>
  <si>
    <t>CDH-20-0714-B</t>
  </si>
  <si>
    <t>INFR-2020-035</t>
  </si>
  <si>
    <t>PB2020-06-005 GAA</t>
  </si>
  <si>
    <t>Cabarasan Guti-2020-06-001</t>
  </si>
  <si>
    <t>CDH-20-0434-B</t>
  </si>
  <si>
    <t>PB-13-2020</t>
  </si>
  <si>
    <t>20-01-002</t>
  </si>
  <si>
    <t>bir_pb 2020-31</t>
  </si>
  <si>
    <t>Various BAC GS Nos_SSD</t>
  </si>
  <si>
    <t>INFR-2020-037</t>
  </si>
  <si>
    <t>SRAVIS 20-06-280</t>
  </si>
  <si>
    <t>ITB-KOR: 20-06-0687 DEPED</t>
  </si>
  <si>
    <t>PBS 20-073A</t>
  </si>
  <si>
    <t>014 Purchase of Free School Supplies</t>
  </si>
  <si>
    <t>ITB-KOR: 20-06-0684 CEO</t>
  </si>
  <si>
    <t>ITB-KOR: 20-06-0683 CEO</t>
  </si>
  <si>
    <t>2020-NFA-RBAC-8-GOODS-02</t>
  </si>
  <si>
    <t>20200214-02-G</t>
  </si>
  <si>
    <t>ITB-KOR: 20-06-0686 DEPED</t>
  </si>
  <si>
    <t>SBAC-PGSO-06212020-02</t>
  </si>
  <si>
    <t>20-242</t>
  </si>
  <si>
    <t>202-001</t>
  </si>
  <si>
    <t>20200619-02-G</t>
  </si>
  <si>
    <t>20200619-01-G</t>
  </si>
  <si>
    <t>20200205-01-G</t>
  </si>
  <si>
    <t>BAC-HO-GS No. 2020-0347 dtd 16 June 2020 (HRDD)</t>
  </si>
  <si>
    <t>PR NO. 020-05-20</t>
  </si>
  <si>
    <t>INFRA20-06-055</t>
  </si>
  <si>
    <t>2020-GSIS-PB-100</t>
  </si>
  <si>
    <t>2020-03-035</t>
  </si>
  <si>
    <t>ITB-KOR: 20-06-0685 DEPED</t>
  </si>
  <si>
    <t>IB-2020-093-INFRA</t>
  </si>
  <si>
    <t>IB-2020-094-INFRA</t>
  </si>
  <si>
    <t>DA3-2020-06-10-130</t>
  </si>
  <si>
    <t>DA3-2020-06-10-129</t>
  </si>
  <si>
    <t>2020-006-01</t>
  </si>
  <si>
    <t>ITB No. 2020-77</t>
  </si>
  <si>
    <t>g2020-013</t>
  </si>
  <si>
    <t>IB-2020-091-INFRA</t>
  </si>
  <si>
    <t>DTI PB-20-009A</t>
  </si>
  <si>
    <t>2020-WTRANSMISSION-001</t>
  </si>
  <si>
    <t>2020-PAVILION B-001</t>
  </si>
  <si>
    <t>INFRA-10-20-04</t>
  </si>
  <si>
    <t>. 002-20</t>
  </si>
  <si>
    <t>INFRA-10-20-03</t>
  </si>
  <si>
    <t>INFRA-10-20-02</t>
  </si>
  <si>
    <t>IB-2020-092-INFRA</t>
  </si>
  <si>
    <t>INFRA-10-20-01</t>
  </si>
  <si>
    <t>20BH0142</t>
  </si>
  <si>
    <t>ITB No. 2020-02-04</t>
  </si>
  <si>
    <t>ITB No. 2020-02-03</t>
  </si>
  <si>
    <t>ITB No. 2020-02-02</t>
  </si>
  <si>
    <t>06-20-011</t>
  </si>
  <si>
    <t>JRF-2020-030</t>
  </si>
  <si>
    <t>IB NO. 2020-07-13 (11)</t>
  </si>
  <si>
    <t>2020-WMETER-001</t>
  </si>
  <si>
    <t>MGPIN 2020-018</t>
  </si>
  <si>
    <t>IB NO. 2020-07-15 (12)</t>
  </si>
  <si>
    <t>LAMISCA IMO 6-21-2020 CW</t>
  </si>
  <si>
    <t>ITB GOODS 2020-06-36</t>
  </si>
  <si>
    <t>73511</t>
  </si>
  <si>
    <t>06-2020-960</t>
  </si>
  <si>
    <t>06-2020-962</t>
  </si>
  <si>
    <t>2020-PAVILION A-001</t>
  </si>
  <si>
    <t>GS 2020 -005-016</t>
  </si>
  <si>
    <t>SBAC-PGSO-06212020-04</t>
  </si>
  <si>
    <t>SBAC-PGSO-06212020-03</t>
  </si>
  <si>
    <t>IB No. 2020-045</t>
  </si>
  <si>
    <t>ITB PR No.: 0545-20BAC</t>
  </si>
  <si>
    <t>6725474</t>
  </si>
  <si>
    <t>BBC2020-004</t>
  </si>
  <si>
    <t>20PB0033</t>
  </si>
  <si>
    <t>20GAD0005</t>
  </si>
  <si>
    <t>2020-06-09</t>
  </si>
  <si>
    <t>ITB-2020-54</t>
  </si>
  <si>
    <t>20PB0034</t>
  </si>
  <si>
    <t>ITB-2020-53</t>
  </si>
  <si>
    <t>CSI-2020-017</t>
  </si>
  <si>
    <t>ITB-2020-51</t>
  </si>
  <si>
    <t>DA3-2020-06-10-131</t>
  </si>
  <si>
    <t>ITB-2020-50</t>
  </si>
  <si>
    <t>20DN0134</t>
  </si>
  <si>
    <t>20DN0131</t>
  </si>
  <si>
    <t>20DN0130</t>
  </si>
  <si>
    <t>20DN0129</t>
  </si>
  <si>
    <t>ITB No. 2020-06-050</t>
  </si>
  <si>
    <t>06-121-2020</t>
  </si>
  <si>
    <t>ITB-2020-49</t>
  </si>
  <si>
    <t>2020-003-D.</t>
  </si>
  <si>
    <t>20GOC0004</t>
  </si>
  <si>
    <t>2020-002-D</t>
  </si>
  <si>
    <t>20GOC0003</t>
  </si>
  <si>
    <t>2020-SRV-013</t>
  </si>
  <si>
    <t>20FB0155</t>
  </si>
  <si>
    <t>ITB-2020-52</t>
  </si>
  <si>
    <t>20GMC0107</t>
  </si>
  <si>
    <t>20DN0166</t>
  </si>
  <si>
    <t>20DN0136</t>
  </si>
  <si>
    <t>20DN0141</t>
  </si>
  <si>
    <t>20DN0140</t>
  </si>
  <si>
    <t>GOODS20-06-030</t>
  </si>
  <si>
    <t>20DN0139</t>
  </si>
  <si>
    <t>20DN0138</t>
  </si>
  <si>
    <t>20DN0135</t>
  </si>
  <si>
    <t>PB-infra-02-2020</t>
  </si>
  <si>
    <t>2020-06-20-01-I</t>
  </si>
  <si>
    <t>20GDN0004</t>
  </si>
  <si>
    <t>20DN0175</t>
  </si>
  <si>
    <t>20DN0174</t>
  </si>
  <si>
    <t>20DN0173</t>
  </si>
  <si>
    <t>20DN0170</t>
  </si>
  <si>
    <t>20DN0137</t>
  </si>
  <si>
    <t>B20-18-07</t>
  </si>
  <si>
    <t>20DN0167</t>
  </si>
  <si>
    <t>20GMC0106</t>
  </si>
  <si>
    <t>20GDN0003</t>
  </si>
  <si>
    <t>312</t>
  </si>
  <si>
    <t>2020-027-GDS</t>
  </si>
  <si>
    <t>20DN0172</t>
  </si>
  <si>
    <t>20CSPB0002</t>
  </si>
  <si>
    <t>Public Bidding 20GAD0004</t>
  </si>
  <si>
    <t>20-05-0564</t>
  </si>
  <si>
    <t>ITB NO. 2020-06-051</t>
  </si>
  <si>
    <t>12</t>
  </si>
  <si>
    <t>2020-028-GDS</t>
  </si>
  <si>
    <t>06-003-20</t>
  </si>
  <si>
    <t>ITB-2020-48</t>
  </si>
  <si>
    <t>06-002-20</t>
  </si>
  <si>
    <t>3134-20</t>
  </si>
  <si>
    <t>20CSFM0001</t>
  </si>
  <si>
    <t>06-221-2020</t>
  </si>
  <si>
    <t>REI_2020-03-0068</t>
  </si>
  <si>
    <t>PB-2020-GDS-028</t>
  </si>
  <si>
    <t>itb20-06-027B</t>
  </si>
  <si>
    <t>20-04-0503</t>
  </si>
  <si>
    <t>8th Batch 2020</t>
  </si>
  <si>
    <t>REI NO. GOP/20-DSWD-001 - HIRING OF CONSULTANCY FI</t>
  </si>
  <si>
    <t>SRC INFRA 2020-06-079</t>
  </si>
  <si>
    <t>20DN0128</t>
  </si>
  <si>
    <t>itb20-06-027A</t>
  </si>
  <si>
    <t>itb20-06-027C</t>
  </si>
  <si>
    <t>20DN0142</t>
  </si>
  <si>
    <t>2020-PB-VMWARE-030-01</t>
  </si>
  <si>
    <t>INFRA 20–06–054</t>
  </si>
  <si>
    <t>INFRA 20–06–052</t>
  </si>
  <si>
    <t>itb20-06-027D</t>
  </si>
  <si>
    <t>20L00137</t>
  </si>
  <si>
    <t>20L00043</t>
  </si>
  <si>
    <t>06-00723</t>
  </si>
  <si>
    <t>INFRA20–06–053</t>
  </si>
  <si>
    <t>06-00770</t>
  </si>
  <si>
    <t>06-00743</t>
  </si>
  <si>
    <t>06-00772</t>
  </si>
  <si>
    <t>06-00724</t>
  </si>
  <si>
    <t>20-04-0511</t>
  </si>
  <si>
    <t>06-00754</t>
  </si>
  <si>
    <t>06-00762</t>
  </si>
  <si>
    <t>05-00701</t>
  </si>
  <si>
    <t>06-00756</t>
  </si>
  <si>
    <t>20DN0143</t>
  </si>
  <si>
    <t>MGM 2020-036</t>
  </si>
  <si>
    <t>MGM 2020-035</t>
  </si>
  <si>
    <t>MGM 2020-034</t>
  </si>
  <si>
    <t>LGU-M-INFRA-11-20</t>
  </si>
  <si>
    <t>008-20</t>
  </si>
  <si>
    <t>06-00715</t>
  </si>
  <si>
    <t>20-03-0414</t>
  </si>
  <si>
    <t>2020-GSIS-PB-091</t>
  </si>
  <si>
    <t>0704-19@</t>
  </si>
  <si>
    <t>AD-ITB-2020-GS-001</t>
  </si>
  <si>
    <t>06-00745</t>
  </si>
  <si>
    <t>06-00713</t>
  </si>
  <si>
    <t>20DN0144</t>
  </si>
  <si>
    <t>IB No. 20-57</t>
  </si>
  <si>
    <t>DAR-CAV-RFQ-ARBDSP-2020-12</t>
  </si>
  <si>
    <t>Bid Ref. No. 2020-007; PR No. 2020-06-0178</t>
  </si>
  <si>
    <t>2020-06-02B</t>
  </si>
  <si>
    <t>IB No. 20-52</t>
  </si>
  <si>
    <t>006976-0000-00</t>
  </si>
  <si>
    <t>007026-2020-01</t>
  </si>
  <si>
    <t>20AF0079</t>
  </si>
  <si>
    <t>20AF0078</t>
  </si>
  <si>
    <t>007116-2020-01</t>
  </si>
  <si>
    <t>G-20-03-A</t>
  </si>
  <si>
    <t>20OI0124</t>
  </si>
  <si>
    <t>DAR-CAV-RFQ-ARBDSP-2020-13</t>
  </si>
  <si>
    <t>IB No. 20-41</t>
  </si>
  <si>
    <t>20OI0123</t>
  </si>
  <si>
    <t>IB No. 20-40</t>
  </si>
  <si>
    <t>IB No. 20-53</t>
  </si>
  <si>
    <t>IB No. 20-56</t>
  </si>
  <si>
    <t>20AH0213</t>
  </si>
  <si>
    <t>06-19-03</t>
  </si>
  <si>
    <t>20OI0126</t>
  </si>
  <si>
    <t>20OI0125</t>
  </si>
  <si>
    <t>IB No. 20-60</t>
  </si>
  <si>
    <t>20AH0212</t>
  </si>
  <si>
    <t>20AH0211</t>
  </si>
  <si>
    <t>20AH0210</t>
  </si>
  <si>
    <t>007099-2020-01</t>
  </si>
  <si>
    <t>IB No. 20-61</t>
  </si>
  <si>
    <t>20L00140</t>
  </si>
  <si>
    <t>20OI0127</t>
  </si>
  <si>
    <t>ITB-2020-044</t>
  </si>
  <si>
    <t>2020-01-0147,2020-02-0292 etc</t>
  </si>
  <si>
    <t>LIMAO-BAC-09-20</t>
  </si>
  <si>
    <t>20-00047</t>
  </si>
  <si>
    <t>2020-06-020-MEO</t>
  </si>
  <si>
    <t>202045</t>
  </si>
  <si>
    <t>06192020</t>
  </si>
  <si>
    <t>GFG-2020-06-018</t>
  </si>
  <si>
    <t>C9-20-0212</t>
  </si>
  <si>
    <t>202006190001</t>
  </si>
  <si>
    <t>2020-001I</t>
  </si>
  <si>
    <t>2020-01-0191,2020-02-0473 etc</t>
  </si>
  <si>
    <t>ITB NO. 20-43</t>
  </si>
  <si>
    <t>BS 20-06-0664</t>
  </si>
  <si>
    <t>INFRA-2020-06-001</t>
  </si>
  <si>
    <t>2020-27</t>
  </si>
  <si>
    <t>P11-20-0571</t>
  </si>
  <si>
    <t>Bidding-01-June2020</t>
  </si>
  <si>
    <t>M7-20-0497</t>
  </si>
  <si>
    <t>GFG-2020-06-019</t>
  </si>
  <si>
    <t>C9-20-0420</t>
  </si>
  <si>
    <t>202-06-014B</t>
  </si>
  <si>
    <t>ITB No. 20-64</t>
  </si>
  <si>
    <t>2020-026-GDS</t>
  </si>
  <si>
    <t>J3-20-0472</t>
  </si>
  <si>
    <t>2020-06-526</t>
  </si>
  <si>
    <t>ITB No. 20-48</t>
  </si>
  <si>
    <t>202006190002</t>
  </si>
  <si>
    <t>2020-28</t>
  </si>
  <si>
    <t>GOODS-20-33</t>
  </si>
  <si>
    <t>OMM-2020-01</t>
  </si>
  <si>
    <t>ITB No. 20-49</t>
  </si>
  <si>
    <t>ITB NO. 20-35</t>
  </si>
  <si>
    <t>I4-20-0556</t>
  </si>
  <si>
    <t>2020-06-021-MEO</t>
  </si>
  <si>
    <t>20GG00018</t>
  </si>
  <si>
    <t>CAR-ADN-2020-094</t>
  </si>
  <si>
    <t>ITB No. EMB-GOODS-NCB-2020-05-002</t>
  </si>
  <si>
    <t>06192020A</t>
  </si>
  <si>
    <t>20FE0124</t>
  </si>
  <si>
    <t>2020-02-0197</t>
  </si>
  <si>
    <t>20GFN0006</t>
  </si>
  <si>
    <t>BS 20-06-0677</t>
  </si>
  <si>
    <t>401-20-01-005</t>
  </si>
  <si>
    <t>20GFN0007</t>
  </si>
  <si>
    <t>20OF0319</t>
  </si>
  <si>
    <t>20OF0321</t>
  </si>
  <si>
    <t>bcwd-2020-057</t>
  </si>
  <si>
    <t>20GFN0008</t>
  </si>
  <si>
    <t>C9-20-0187</t>
  </si>
  <si>
    <t>BS 20-06-0676</t>
  </si>
  <si>
    <t>BS 20-06-0675</t>
  </si>
  <si>
    <t>BS 20-06-0678</t>
  </si>
  <si>
    <t>20OF0317</t>
  </si>
  <si>
    <t>20GFN0005</t>
  </si>
  <si>
    <t>F-046-0411-20</t>
  </si>
  <si>
    <t>20G00099</t>
  </si>
  <si>
    <t>03-20-94</t>
  </si>
  <si>
    <t>A-061-0061-20</t>
  </si>
  <si>
    <t>20OF0320</t>
  </si>
  <si>
    <t>2020-020-PB</t>
  </si>
  <si>
    <t>CRN 029</t>
  </si>
  <si>
    <t>20OF0318</t>
  </si>
  <si>
    <t>JUNE192020-4</t>
  </si>
  <si>
    <t>Tubigagmanok2020Goods003</t>
  </si>
  <si>
    <t>F-039-0404-20</t>
  </si>
  <si>
    <t>20OF0323</t>
  </si>
  <si>
    <t>MG-A7T20-055</t>
  </si>
  <si>
    <t>2020-01-0193</t>
  </si>
  <si>
    <t>MG-A7M20-072</t>
  </si>
  <si>
    <t>AMP-RFQ-2020-081</t>
  </si>
  <si>
    <t>Civil Works 021-2020</t>
  </si>
  <si>
    <t>PB-LAP-2020-067</t>
  </si>
  <si>
    <t>20FE0126</t>
  </si>
  <si>
    <t>HPU-2020-01-0005</t>
  </si>
  <si>
    <t>PB-LAP-2020-066</t>
  </si>
  <si>
    <t>20GFG0019</t>
  </si>
  <si>
    <t>2020-05-046-D</t>
  </si>
  <si>
    <t>20G00100</t>
  </si>
  <si>
    <t>MGM 2020-037</t>
  </si>
  <si>
    <t>32-20</t>
  </si>
  <si>
    <t>NFA-NCR-RBAC-2020-06-19-009</t>
  </si>
  <si>
    <t>2020-05-037-D</t>
  </si>
  <si>
    <t>101-1011-2020-06-138</t>
  </si>
  <si>
    <t>31-20</t>
  </si>
  <si>
    <t>SF-LABOR NO. 10-(06-19-20)</t>
  </si>
  <si>
    <t>2020-05-049-D</t>
  </si>
  <si>
    <t>2020-05-047-D</t>
  </si>
  <si>
    <t>SF-GOODS NO. 63-(6-19-20)</t>
  </si>
  <si>
    <t>30-20</t>
  </si>
  <si>
    <t>PB2020-008 (PR No. 19-10-1294)</t>
  </si>
  <si>
    <t>G-2020-27</t>
  </si>
  <si>
    <t>QES-06-022-20</t>
  </si>
  <si>
    <t>EMB-NCB-GOODS-05-2020</t>
  </si>
  <si>
    <t>2020-06-022-MEO</t>
  </si>
  <si>
    <t>GDS 20-056</t>
  </si>
  <si>
    <t>20JGI0035</t>
  </si>
  <si>
    <t>tgs 14-20</t>
  </si>
  <si>
    <t>MKWD2020-051</t>
  </si>
  <si>
    <t>06192020B</t>
  </si>
  <si>
    <t>20AE0070: Construction of 2-Storey 4-Classroom Sch</t>
  </si>
  <si>
    <t>009-20</t>
  </si>
  <si>
    <t>BACII-2020-16</t>
  </si>
  <si>
    <t>0619202006</t>
  </si>
  <si>
    <t>2019-02-060</t>
  </si>
  <si>
    <t>DPWH-SK2DEO-20MH0105</t>
  </si>
  <si>
    <t>2020-05-043-D</t>
  </si>
  <si>
    <t>20AE0069: Construction of 2 Storey 4 Classroom Sch</t>
  </si>
  <si>
    <t>DPWH-SK2DEO-20MH0104</t>
  </si>
  <si>
    <t>DPWH-SK2DEO-20GMH049</t>
  </si>
  <si>
    <t>INIMO-2020-06-040</t>
  </si>
  <si>
    <t>DPWH-SK2DEO-20MH0106</t>
  </si>
  <si>
    <t>PB-PAFBAC-160-20</t>
  </si>
  <si>
    <t>BCS-2020-0130</t>
  </si>
  <si>
    <t>PB-PAFBAC-158-20</t>
  </si>
  <si>
    <t>2020-2076-06-203</t>
  </si>
  <si>
    <t>20MC0103</t>
  </si>
  <si>
    <t>INFRA 2K20-45</t>
  </si>
  <si>
    <t>PB2020-009 (PR No. 20-01-0105)</t>
  </si>
  <si>
    <t>20-06-018</t>
  </si>
  <si>
    <t>PB-PAFBAC-159-20</t>
  </si>
  <si>
    <t>INFRA 2020-007</t>
  </si>
  <si>
    <t>20AE0068: Construction of 2 Storey 6 Classroom Sch</t>
  </si>
  <si>
    <t>33-20</t>
  </si>
  <si>
    <t>AMP-RFQ-2020-082</t>
  </si>
  <si>
    <t>01-151-2020</t>
  </si>
  <si>
    <t>MG-A7T20-054</t>
  </si>
  <si>
    <t>ITB 13-2020</t>
  </si>
  <si>
    <t>20OD0192</t>
  </si>
  <si>
    <t>20G00101</t>
  </si>
  <si>
    <t>05b-07-2020 -INSTALLATION, CONFIGURATION &amp; TESTING</t>
  </si>
  <si>
    <t>F-031-0396-20</t>
  </si>
  <si>
    <t>20-349</t>
  </si>
  <si>
    <t>20-343</t>
  </si>
  <si>
    <t>20-328</t>
  </si>
  <si>
    <t>PB-PAFBAC-157-20</t>
  </si>
  <si>
    <t>20GG0180</t>
  </si>
  <si>
    <t>20GG0179</t>
  </si>
  <si>
    <t>20GG0178</t>
  </si>
  <si>
    <t>20GG0177</t>
  </si>
  <si>
    <t>POW-Yabbi</t>
  </si>
  <si>
    <t>20-336</t>
  </si>
  <si>
    <t>146 – 2020</t>
  </si>
  <si>
    <t>Bidding-01-AnaaoJune2020</t>
  </si>
  <si>
    <t>20OD0195</t>
  </si>
  <si>
    <t>20OD0193</t>
  </si>
  <si>
    <t>DPWH-SK2DEO-20MH0107</t>
  </si>
  <si>
    <t>C10-20-0224</t>
  </si>
  <si>
    <t>Tubigagmanok2020Goods002</t>
  </si>
  <si>
    <t>20FE0125</t>
  </si>
  <si>
    <t>IB 2020-07-008 POSE</t>
  </si>
  <si>
    <t>147 – 2020</t>
  </si>
  <si>
    <t>PR 36117</t>
  </si>
  <si>
    <t xml:space="preserve">AMP SVP-D NO: 20-05-0269B  One (1) Lot	 Molecular </t>
  </si>
  <si>
    <t>2020-07G</t>
  </si>
  <si>
    <t xml:space="preserve">AMP SVP-D NO: 20-05-0290B One (1) Lot Calibration </t>
  </si>
  <si>
    <t>01-642-2020</t>
  </si>
  <si>
    <t>20GG0181</t>
  </si>
  <si>
    <t>LGU-M-INFRA-14-20</t>
  </si>
  <si>
    <t>ITDI-PB-INFRA-2020-CO-01 EBD</t>
  </si>
  <si>
    <t>BGHMCPB-2020-15-001</t>
  </si>
  <si>
    <t>20-437</t>
  </si>
  <si>
    <t>CW-03-2020</t>
  </si>
  <si>
    <t>G-2020-26</t>
  </si>
  <si>
    <t>LGU-M-GOODS-05-20</t>
  </si>
  <si>
    <t>20CSEG01</t>
  </si>
  <si>
    <t>LGU-M-INFRA-12-20</t>
  </si>
  <si>
    <t>MS2020-06-027.2</t>
  </si>
  <si>
    <t>2020-143-I</t>
  </si>
  <si>
    <t>2020-GOODS-004R-02-0619</t>
  </si>
  <si>
    <t>20200616</t>
  </si>
  <si>
    <t>INF 20AR-EZ-20-01</t>
  </si>
  <si>
    <t>DPWH-SK2DEO-20MH0108</t>
  </si>
  <si>
    <t>INF 20AR-EZ-20-02</t>
  </si>
  <si>
    <t>MS2020-06-027.3</t>
  </si>
  <si>
    <t>20-318</t>
  </si>
  <si>
    <t>DBS-004-2020</t>
  </si>
  <si>
    <t>INFRA2020-06-024.4</t>
  </si>
  <si>
    <t>LL-22-20</t>
  </si>
  <si>
    <t>G-2020-046</t>
  </si>
  <si>
    <t>GO-2020-06-96</t>
  </si>
  <si>
    <t>LL-21-20</t>
  </si>
  <si>
    <t>GO-2020-06-95</t>
  </si>
  <si>
    <t>ITB-BLGU-BANLAS2020-001</t>
  </si>
  <si>
    <t>G-2020-047</t>
  </si>
  <si>
    <t>MS2020-06-027.1</t>
  </si>
  <si>
    <t>GO-2020-06-93</t>
  </si>
  <si>
    <t>INFRA2020-06-024.3</t>
  </si>
  <si>
    <t>GO-2020-06-91</t>
  </si>
  <si>
    <t>GO-2020-06-90</t>
  </si>
  <si>
    <t>G-2020-045</t>
  </si>
  <si>
    <t>GO-2020-06-87</t>
  </si>
  <si>
    <t>GO-2020-06-86</t>
  </si>
  <si>
    <t>IB NO. CW 2020 - 090</t>
  </si>
  <si>
    <t>GO-2020-06-92</t>
  </si>
  <si>
    <t>GO-2020-06-85</t>
  </si>
  <si>
    <t>GO-2020-06-88</t>
  </si>
  <si>
    <t>IB NO. CW 2020 - 091</t>
  </si>
  <si>
    <t>MS2020-06-026.5</t>
  </si>
  <si>
    <t>20EE0138</t>
  </si>
  <si>
    <t>INFRA2020-06-024.5</t>
  </si>
  <si>
    <t>INFRA2020-06-024.1</t>
  </si>
  <si>
    <t>20-02</t>
  </si>
  <si>
    <t>LGU-M-INFRA-13-20</t>
  </si>
  <si>
    <t>20-436</t>
  </si>
  <si>
    <t>B021-2020</t>
  </si>
  <si>
    <t>MS2020-06-026.4</t>
  </si>
  <si>
    <t>INFRA2020-06-024.2</t>
  </si>
  <si>
    <t>B024-2020</t>
  </si>
  <si>
    <t>B023-2020</t>
  </si>
  <si>
    <t>B022-2020</t>
  </si>
  <si>
    <t>B020-2020</t>
  </si>
  <si>
    <t>IB NO. CW 2020 - 095</t>
  </si>
  <si>
    <t>IB NO. CW 2020-089</t>
  </si>
  <si>
    <t>CYN-BAC-2020-35</t>
  </si>
  <si>
    <t>IB NO. CW 2020 - 094</t>
  </si>
  <si>
    <t>PB NO. 2020-038</t>
  </si>
  <si>
    <t>IB NO. CW 2020 - 092</t>
  </si>
  <si>
    <t>B027-2020</t>
  </si>
  <si>
    <t>IB NO. CW 2020 - 096</t>
  </si>
  <si>
    <t>71-2020</t>
  </si>
  <si>
    <t>G-2020-044</t>
  </si>
  <si>
    <t>ECV-20EE0137</t>
  </si>
  <si>
    <t>69-2020</t>
  </si>
  <si>
    <t>B025-2020</t>
  </si>
  <si>
    <t>DIS-19-1554-B</t>
  </si>
  <si>
    <t>68-2020</t>
  </si>
  <si>
    <t>B032-2020</t>
  </si>
  <si>
    <t>PB NO. 2020-039</t>
  </si>
  <si>
    <t>70-2020</t>
  </si>
  <si>
    <t>INFRA-2020-03</t>
  </si>
  <si>
    <t>B030-2020</t>
  </si>
  <si>
    <t>20-06-0352</t>
  </si>
  <si>
    <t>CYN-BAC-2020-36</t>
  </si>
  <si>
    <t>B029-2020</t>
  </si>
  <si>
    <t>B033-2020</t>
  </si>
  <si>
    <t>IB NO. CW 2020 - 097</t>
  </si>
  <si>
    <t>B028-2020</t>
  </si>
  <si>
    <t>TF-20-06-096(Q)</t>
  </si>
  <si>
    <t>NP-NGOP-2020-02</t>
  </si>
  <si>
    <t>B031-2020</t>
  </si>
  <si>
    <t>CGT-Goods- 2020-00087</t>
  </si>
  <si>
    <t>NONE</t>
  </si>
  <si>
    <t>2020.06.16.01</t>
  </si>
  <si>
    <t>B026-2020</t>
  </si>
  <si>
    <t>PPD-20-0661-B</t>
  </si>
  <si>
    <t>IB NO. CW 2020 - 093</t>
  </si>
  <si>
    <t>2020-02-0101</t>
  </si>
  <si>
    <t>IB No. 20-50</t>
  </si>
  <si>
    <t>ITB 20-074</t>
  </si>
  <si>
    <t>26</t>
  </si>
  <si>
    <t>ITB 20-073</t>
  </si>
  <si>
    <t>67-2020</t>
  </si>
  <si>
    <t>SVP No. 2020-034</t>
  </si>
  <si>
    <t>CP 2020-39B</t>
  </si>
  <si>
    <t>27</t>
  </si>
  <si>
    <t>IB No. 20-39</t>
  </si>
  <si>
    <t>IB No. 20-42</t>
  </si>
  <si>
    <t>LTFRB-06-015</t>
  </si>
  <si>
    <t>061820</t>
  </si>
  <si>
    <t>BFAR5BAC-2020-108</t>
  </si>
  <si>
    <t>PUR20-05-0451</t>
  </si>
  <si>
    <t>2020-03-0474</t>
  </si>
  <si>
    <t>431-06-2020 (IPHO)</t>
  </si>
  <si>
    <t>IB No. 20-63</t>
  </si>
  <si>
    <t>2020-06-402</t>
  </si>
  <si>
    <t>2020-18-06-29</t>
  </si>
  <si>
    <t>2020.06.16.02</t>
  </si>
  <si>
    <t>2020-0707-001</t>
  </si>
  <si>
    <t>CP 2020-40 B</t>
  </si>
  <si>
    <t>06-02-2020</t>
  </si>
  <si>
    <t>PR 06-3515</t>
  </si>
  <si>
    <t>dpwh-c2-deo 20HE0119</t>
  </si>
  <si>
    <t>2020.06.16.05</t>
  </si>
  <si>
    <t>425-06-2020 (IPHO)</t>
  </si>
  <si>
    <t>IB No. 20-55</t>
  </si>
  <si>
    <t>16-2020</t>
  </si>
  <si>
    <t>2020.06.16.04</t>
  </si>
  <si>
    <t>20FB0154</t>
  </si>
  <si>
    <t>IB No. 20-54</t>
  </si>
  <si>
    <t>2020DP42-R1</t>
  </si>
  <si>
    <t>20FB0153</t>
  </si>
  <si>
    <t>ITB-2020-088</t>
  </si>
  <si>
    <t>IB No. 20-45</t>
  </si>
  <si>
    <t>PBG-2020-07</t>
  </si>
  <si>
    <t>IB No. 20-33</t>
  </si>
  <si>
    <t>LGU-107-2020</t>
  </si>
  <si>
    <t>2020.06.16.03</t>
  </si>
  <si>
    <t>2020-04-286</t>
  </si>
  <si>
    <t>RQ 06-150</t>
  </si>
  <si>
    <t>ANONANG 2020-006-001</t>
  </si>
  <si>
    <t>101-2020-05-273</t>
  </si>
  <si>
    <t>RQ 06-149</t>
  </si>
  <si>
    <t>28</t>
  </si>
  <si>
    <t>CJR-007-2020</t>
  </si>
  <si>
    <t>RQ 06-143</t>
  </si>
  <si>
    <t>MO-001-06-2020</t>
  </si>
  <si>
    <t>BAYLEGOOD0620063</t>
  </si>
  <si>
    <t>RQ 06-138</t>
  </si>
  <si>
    <t>06-03-2020</t>
  </si>
  <si>
    <t>CYN-BAC-2020-37</t>
  </si>
  <si>
    <t>BFPX 2020-07</t>
  </si>
  <si>
    <t>CJR-008-2020</t>
  </si>
  <si>
    <t>PB 2020-15</t>
  </si>
  <si>
    <t>BD20-06-001</t>
  </si>
  <si>
    <t>20-06-023-011/52</t>
  </si>
  <si>
    <t>INFR-20-012</t>
  </si>
  <si>
    <t>RQ 06-136</t>
  </si>
  <si>
    <t>20DB0135</t>
  </si>
  <si>
    <t>CYN-BAC-2020-38</t>
  </si>
  <si>
    <t>2020-03-025</t>
  </si>
  <si>
    <t>RQ 06-131</t>
  </si>
  <si>
    <t>ITB No. 041-2020 GQ</t>
  </si>
  <si>
    <t>20MC0100 (Re-Published)</t>
  </si>
  <si>
    <t>20MC0098(Re-Published)</t>
  </si>
  <si>
    <t>20GA0220</t>
  </si>
  <si>
    <t>RQ 06-132</t>
  </si>
  <si>
    <t>AGGDS2020-0617C</t>
  </si>
  <si>
    <t>ITB No. 040-2020 GQ</t>
  </si>
  <si>
    <t>RQ 06-147</t>
  </si>
  <si>
    <t>LGU - Quirino INFRA 2020 - 008</t>
  </si>
  <si>
    <t>BAYLEGOOD0620064</t>
  </si>
  <si>
    <t>LGU - Quirino INFRA 2020 - 009</t>
  </si>
  <si>
    <t>RQ 06-137</t>
  </si>
  <si>
    <t>RQ 06-148</t>
  </si>
  <si>
    <t>RQ 06-142</t>
  </si>
  <si>
    <t>ITB - 04 JUNE 2020</t>
  </si>
  <si>
    <t>19-2020</t>
  </si>
  <si>
    <t>ITB - 03 JUNE 2020</t>
  </si>
  <si>
    <t>20GA0222</t>
  </si>
  <si>
    <t xml:space="preserve">Supply and Delivery of Construction Materials and </t>
  </si>
  <si>
    <t>LGU - Quirino INFRA 2020 - 007</t>
  </si>
  <si>
    <t>20GA0223</t>
  </si>
  <si>
    <t>Grants 20-05-23</t>
  </si>
  <si>
    <t>ITB - 02 JUNE 2020</t>
  </si>
  <si>
    <t>MO-004-06-2020</t>
  </si>
  <si>
    <t>20NH0075 (RE-AD)</t>
  </si>
  <si>
    <t>2020-11 (20DI0160)</t>
  </si>
  <si>
    <t>014</t>
  </si>
  <si>
    <t>20-013</t>
  </si>
  <si>
    <t>ITB - 01 JUNE 2020</t>
  </si>
  <si>
    <t>MO-003-06-2020</t>
  </si>
  <si>
    <t>2002-19-32</t>
  </si>
  <si>
    <t>013</t>
  </si>
  <si>
    <t>015</t>
  </si>
  <si>
    <t>2020-03-0846 &amp; 2020-02-0665</t>
  </si>
  <si>
    <t>2020-06-07 INFRA</t>
  </si>
  <si>
    <t>2020-11 (20DI0165)</t>
  </si>
  <si>
    <t>MO-005-06-2020</t>
  </si>
  <si>
    <t>CYN-BAC-2020-39</t>
  </si>
  <si>
    <t>2020-11 (20DI0163)</t>
  </si>
  <si>
    <t>20NH0092</t>
  </si>
  <si>
    <t>2002-20-21-31-37</t>
  </si>
  <si>
    <t>2020-06-06 INFRA</t>
  </si>
  <si>
    <t>2002-93</t>
  </si>
  <si>
    <t>IB No. 20-59</t>
  </si>
  <si>
    <t>018</t>
  </si>
  <si>
    <t>2020-11 (20DI0162)</t>
  </si>
  <si>
    <t>2020-11 (20DI0164)</t>
  </si>
  <si>
    <t>IB No. GS-2020 – 075</t>
  </si>
  <si>
    <t>20IL0195</t>
  </si>
  <si>
    <t>017</t>
  </si>
  <si>
    <t>2020-06-05 INFRA</t>
  </si>
  <si>
    <t>IB No. 20-44</t>
  </si>
  <si>
    <t>012</t>
  </si>
  <si>
    <t>IB No. GS-2020 – 074</t>
  </si>
  <si>
    <t>20NH0091</t>
  </si>
  <si>
    <t>2020-11 (20DI0161)</t>
  </si>
  <si>
    <t>IB No. GS-2020 – 073</t>
  </si>
  <si>
    <t>2020-06-01I</t>
  </si>
  <si>
    <t>2002-92</t>
  </si>
  <si>
    <t>MO-002-06-2020</t>
  </si>
  <si>
    <t>20IL0196</t>
  </si>
  <si>
    <t>20KK0125</t>
  </si>
  <si>
    <t>20AG0122</t>
  </si>
  <si>
    <t>LGUPROC 2020 -111B</t>
  </si>
  <si>
    <t>2020-06-11 INFRA</t>
  </si>
  <si>
    <t>LGUPROC 2020 111B</t>
  </si>
  <si>
    <t>2020-06-10 INFRA</t>
  </si>
  <si>
    <t>20KK0126</t>
  </si>
  <si>
    <t>200-2020-Infra-004</t>
  </si>
  <si>
    <t>Infra-2020-P11-07-09</t>
  </si>
  <si>
    <t>06182020-A</t>
  </si>
  <si>
    <t>2020-06-09 INFRA</t>
  </si>
  <si>
    <t>20AG0121</t>
  </si>
  <si>
    <t>2020-06-08 INFRA</t>
  </si>
  <si>
    <t>100(18)20-06-346(O)</t>
  </si>
  <si>
    <t>019</t>
  </si>
  <si>
    <t>IB No. 20-47</t>
  </si>
  <si>
    <t>RQ 06-140</t>
  </si>
  <si>
    <t>2020123</t>
  </si>
  <si>
    <t>IB No. 20-62</t>
  </si>
  <si>
    <t>GOODS-54-2020</t>
  </si>
  <si>
    <t>lgu-es-20-06-122</t>
  </si>
  <si>
    <t>EXPO DUBAI-35949</t>
  </si>
  <si>
    <t>17-2020</t>
  </si>
  <si>
    <t>PIN2020-079</t>
  </si>
  <si>
    <t>RP-30-2020</t>
  </si>
  <si>
    <t>LGUPROC 2020 -113B</t>
  </si>
  <si>
    <t>20FB0152</t>
  </si>
  <si>
    <t>PB20-06-002BAC</t>
  </si>
  <si>
    <t>20AG0123</t>
  </si>
  <si>
    <t>NIAACIMO-RRENIS-MAMBUSAO-GS08-20</t>
  </si>
  <si>
    <t>2020-06-0123</t>
  </si>
  <si>
    <t>LGUPROC 2020 112B</t>
  </si>
  <si>
    <t>Goods2019</t>
  </si>
  <si>
    <t>PB20-06-001BAC</t>
  </si>
  <si>
    <t>2020-06-12 INFRA</t>
  </si>
  <si>
    <t>ITB - 05 JUNE 2020</t>
  </si>
  <si>
    <t>5182020</t>
  </si>
  <si>
    <t>20KK0127</t>
  </si>
  <si>
    <t>NIAACIMO-SIP-TINA II-GS07-20</t>
  </si>
  <si>
    <t>LGUPROC 2020 - 117B</t>
  </si>
  <si>
    <t>S5-20-0234</t>
  </si>
  <si>
    <t>B-ITB No. 44-G-2020</t>
  </si>
  <si>
    <t>G6-20-0496</t>
  </si>
  <si>
    <t>tgs 13-20</t>
  </si>
  <si>
    <t>20AG0124</t>
  </si>
  <si>
    <t>2020-418</t>
  </si>
  <si>
    <t>LGUPROC 2020 -116B</t>
  </si>
  <si>
    <t>202006116</t>
  </si>
  <si>
    <t>20053386</t>
  </si>
  <si>
    <t>LGUPROC 2020 -115b</t>
  </si>
  <si>
    <t>BAYLECON0620066</t>
  </si>
  <si>
    <t>RFQ-GS-20200616-01</t>
  </si>
  <si>
    <t>RP-31-2020</t>
  </si>
  <si>
    <t>23</t>
  </si>
  <si>
    <t>BAYLECON0620065</t>
  </si>
  <si>
    <t>ITB (CW-06-2020-019) 20DD0343</t>
  </si>
  <si>
    <t>CW 01-2020</t>
  </si>
  <si>
    <t>ITB (CW-06-2020-019) 20DD0342</t>
  </si>
  <si>
    <t>LGUPROC 2020 114B</t>
  </si>
  <si>
    <t>ITB (CW-06-2020-019) 20DD0341</t>
  </si>
  <si>
    <t>ITB (CW-06-2020-019) 20DD0340</t>
  </si>
  <si>
    <t>ITB (CW-06-2020-019) 20DD0339</t>
  </si>
  <si>
    <t>140 – 2020</t>
  </si>
  <si>
    <t>itb20-06-026B</t>
  </si>
  <si>
    <t>BAYLEGOOD0620067</t>
  </si>
  <si>
    <t>IntBLGU201820%DFGoods-002</t>
  </si>
  <si>
    <t>BWD-RFQ-2020-08</t>
  </si>
  <si>
    <t>PB-2020-06-001</t>
  </si>
  <si>
    <t>LGUPROC 2020 - 118B</t>
  </si>
  <si>
    <t>BNLSL-LCB-04A-2019</t>
  </si>
  <si>
    <t>20GDJ0008/N-2020-06-066</t>
  </si>
  <si>
    <t>143 – 2020</t>
  </si>
  <si>
    <t>P11-20-0231</t>
  </si>
  <si>
    <t>LGUPROC 2020 -120B</t>
  </si>
  <si>
    <t>142 – 2020</t>
  </si>
  <si>
    <t>C10-20-0222</t>
  </si>
  <si>
    <t>20AJ0102</t>
  </si>
  <si>
    <t>ITB (CW-06-2020-019) 20DD0348</t>
  </si>
  <si>
    <t>20GPI0005</t>
  </si>
  <si>
    <t>20AJ0101</t>
  </si>
  <si>
    <t>SUGERY-2020-02-0003</t>
  </si>
  <si>
    <t>20FJ0027</t>
  </si>
  <si>
    <t>101-20-06-431</t>
  </si>
  <si>
    <t>DA RFO-1-2019-INFRA-074</t>
  </si>
  <si>
    <t>ITB (CW-06-2020-019) 20DD0346</t>
  </si>
  <si>
    <t>20CB0072</t>
  </si>
  <si>
    <t>20CB0071</t>
  </si>
  <si>
    <t>CYN-BAC-2020-40</t>
  </si>
  <si>
    <t>PB-2020-06-004</t>
  </si>
  <si>
    <t>ITB No. EMB-GOODS-NCB-2020-05-001</t>
  </si>
  <si>
    <t>LGUPROC 2020 -123B</t>
  </si>
  <si>
    <t>20AJ0104</t>
  </si>
  <si>
    <t>RFQ-GS-20200616-05</t>
  </si>
  <si>
    <t>INFR-010-2020</t>
  </si>
  <si>
    <t>S5-20-1045</t>
  </si>
  <si>
    <t>LGUPROC 2020 -121B</t>
  </si>
  <si>
    <t>20-016</t>
  </si>
  <si>
    <t>20AJ0103</t>
  </si>
  <si>
    <t>Project 02-2020</t>
  </si>
  <si>
    <t>ITB No. 2020 – 75</t>
  </si>
  <si>
    <t>BNLSL-LCB-34-2020</t>
  </si>
  <si>
    <t>LGUPROC 2020 -119B</t>
  </si>
  <si>
    <t>C10-20-1041</t>
  </si>
  <si>
    <t>ITB (CW-06-2020-019) 20DD0345</t>
  </si>
  <si>
    <t>2020-PBGOODS-06-009</t>
  </si>
  <si>
    <t>ITB (CW-06-2020-019) 20DD0263 (Re-Advertised)</t>
  </si>
  <si>
    <t>2020-INFRA-237</t>
  </si>
  <si>
    <t>BAYLECON0620068</t>
  </si>
  <si>
    <t>ITB (CW-06-2020-019) 20DD0344</t>
  </si>
  <si>
    <t>SVP 2020-357</t>
  </si>
  <si>
    <t>itb20-06-026A</t>
  </si>
  <si>
    <t>SN-001-06-2020</t>
  </si>
  <si>
    <t>tgs 11-20</t>
  </si>
  <si>
    <t>141 – 2020</t>
  </si>
  <si>
    <t>2020-06-001 INF</t>
  </si>
  <si>
    <t>PB GOODS 2020-05</t>
  </si>
  <si>
    <t>06182020001</t>
  </si>
  <si>
    <t>100-2019-01-068</t>
  </si>
  <si>
    <t>GO-2020-06-98</t>
  </si>
  <si>
    <t>GO-2020-06-97</t>
  </si>
  <si>
    <t>20-435</t>
  </si>
  <si>
    <t>20-434</t>
  </si>
  <si>
    <t>2020-151-I</t>
  </si>
  <si>
    <t>IB No. 20-51</t>
  </si>
  <si>
    <t>20-382</t>
  </si>
  <si>
    <t>Tubigagmanok2020Goods001</t>
  </si>
  <si>
    <t>20OF0322</t>
  </si>
  <si>
    <t>BFAR5BAC-2020-107</t>
  </si>
  <si>
    <t>20CB0074</t>
  </si>
  <si>
    <t>20CB0073</t>
  </si>
  <si>
    <t>MNE-G-2020-06-19</t>
  </si>
  <si>
    <t>CawExt2020-002</t>
  </si>
  <si>
    <t>100-20-06-045</t>
  </si>
  <si>
    <t>DA RFO-1-2019-INFRA-077</t>
  </si>
  <si>
    <t>20CB0077</t>
  </si>
  <si>
    <t>100-2020-01-069</t>
  </si>
  <si>
    <t>20CB0076</t>
  </si>
  <si>
    <t>DA RFO-1-2019-INFRA-075</t>
  </si>
  <si>
    <t>20GBC0007</t>
  </si>
  <si>
    <t>20CB0075</t>
  </si>
  <si>
    <t>101-19-08-634</t>
  </si>
  <si>
    <t>MNE-2020-G-06-19</t>
  </si>
  <si>
    <t>20GGF0014</t>
  </si>
  <si>
    <t>8-2o2o</t>
  </si>
  <si>
    <t>MKWD2020-050</t>
  </si>
  <si>
    <t>2020-SAAD-27</t>
  </si>
  <si>
    <t>CW20-06-037</t>
  </si>
  <si>
    <t>CW20-06-036</t>
  </si>
  <si>
    <t>100-20-06-041</t>
  </si>
  <si>
    <t>2020-TS-28</t>
  </si>
  <si>
    <t>AB 2020-03</t>
  </si>
  <si>
    <t>AB 2020-02</t>
  </si>
  <si>
    <t>ITB (CW-06-2020-019) 20DD0347</t>
  </si>
  <si>
    <t>20-433</t>
  </si>
  <si>
    <t>20NC0130</t>
  </si>
  <si>
    <t>DA RFO-1-2019-INFRA-076</t>
  </si>
  <si>
    <t>SN-002-06-2020</t>
  </si>
  <si>
    <t>ITB 2020-081C</t>
  </si>
  <si>
    <t>ITB 2020-069C</t>
  </si>
  <si>
    <t>20NC0128</t>
  </si>
  <si>
    <t>ITB 2020-110C</t>
  </si>
  <si>
    <t>AB 2020-04</t>
  </si>
  <si>
    <t>20NC0129</t>
  </si>
  <si>
    <t>IB-Goods-2020-10- Procurement of Medical Equipment</t>
  </si>
  <si>
    <t>06-089-2020</t>
  </si>
  <si>
    <t>20FJ0028</t>
  </si>
  <si>
    <t>2020-TS-29</t>
  </si>
  <si>
    <t>20CB0078</t>
  </si>
  <si>
    <t>372020A</t>
  </si>
  <si>
    <t>20-380</t>
  </si>
  <si>
    <t>20-378</t>
  </si>
  <si>
    <t>INFR-ITB NO. 011-2020</t>
  </si>
  <si>
    <t>ITB 2020-068C</t>
  </si>
  <si>
    <t>CW20-06-038</t>
  </si>
  <si>
    <t>88</t>
  </si>
  <si>
    <t>86</t>
  </si>
  <si>
    <t>20-175</t>
  </si>
  <si>
    <t>20-174</t>
  </si>
  <si>
    <t>87</t>
  </si>
  <si>
    <t>GOODS PROC 009-2020</t>
  </si>
  <si>
    <t>20-177</t>
  </si>
  <si>
    <t>20-176</t>
  </si>
  <si>
    <t>2020-INFRA-241</t>
  </si>
  <si>
    <t>20-315</t>
  </si>
  <si>
    <t>20-381</t>
  </si>
  <si>
    <t>20OH0049 Re-ads</t>
  </si>
  <si>
    <t>2020-INFRA-242</t>
  </si>
  <si>
    <t>2020-INFRA-240</t>
  </si>
  <si>
    <t>OPA-2019-1262</t>
  </si>
  <si>
    <t>20-415</t>
  </si>
  <si>
    <t>20-413</t>
  </si>
  <si>
    <t>20-399</t>
  </si>
  <si>
    <t>402020A</t>
  </si>
  <si>
    <t>412020A</t>
  </si>
  <si>
    <t>19CSZ014</t>
  </si>
  <si>
    <t>20GPF0012</t>
  </si>
  <si>
    <t>392020A</t>
  </si>
  <si>
    <t>89</t>
  </si>
  <si>
    <t>2020-INFRA-239</t>
  </si>
  <si>
    <t>2020-05-275</t>
  </si>
  <si>
    <t>20-393</t>
  </si>
  <si>
    <t>2020-05-267</t>
  </si>
  <si>
    <t>bfp12-23-2020</t>
  </si>
  <si>
    <t>bfp12-22-2020</t>
  </si>
  <si>
    <t>bfp12-21-2020</t>
  </si>
  <si>
    <t>PB-I-2020-05-615</t>
  </si>
  <si>
    <t>nlontoc-ITB057-2020</t>
  </si>
  <si>
    <t>2020-05-263</t>
  </si>
  <si>
    <t>MDRRMO-114-20</t>
  </si>
  <si>
    <t>2020-06-297</t>
  </si>
  <si>
    <t>nlontoc-ITB058-2020</t>
  </si>
  <si>
    <t>2020-05-265</t>
  </si>
  <si>
    <t>2020-06-27</t>
  </si>
  <si>
    <t>InTB-PGA2020PGSO-GDS1</t>
  </si>
  <si>
    <t>nlontoc-ITB059-2020</t>
  </si>
  <si>
    <t>2020-05-243</t>
  </si>
  <si>
    <t>2020-01-003</t>
  </si>
  <si>
    <t>ITB-GS-20200609-01</t>
  </si>
  <si>
    <t>ITB No. 078-Infra-2020</t>
  </si>
  <si>
    <t>InTB-PGAPEO2020CO-CW1</t>
  </si>
  <si>
    <t>R6-D2-2020QRF-01H-SR</t>
  </si>
  <si>
    <t>ITB-GS-20200227-02</t>
  </si>
  <si>
    <t>R6-D2-2020QRF-01C-SR</t>
  </si>
  <si>
    <t>ITB-GS-20200604-01</t>
  </si>
  <si>
    <t>R6-D2-2020QRF-01E-SR</t>
  </si>
  <si>
    <t>R6-D2-2020QRF-01D-SR</t>
  </si>
  <si>
    <t>2020-05-279</t>
  </si>
  <si>
    <t>ITB No. 076-Goods-2020</t>
  </si>
  <si>
    <t>R6-D2-2020QRF-01B-SR</t>
  </si>
  <si>
    <t>ITB No. 077-Goods-2020</t>
  </si>
  <si>
    <t>10-20</t>
  </si>
  <si>
    <t>R6-D2-2020QRF-01F-SR</t>
  </si>
  <si>
    <t>R6-D2-2020QRF-01A-SR</t>
  </si>
  <si>
    <t>ITB-GS-20200408-01</t>
  </si>
  <si>
    <t>R6-D2-2020QRF-01I-SR</t>
  </si>
  <si>
    <t>ITB-2020-06-002</t>
  </si>
  <si>
    <t>SKCEMBO2020-01</t>
  </si>
  <si>
    <t>ITB No. 079-Infra-2020</t>
  </si>
  <si>
    <t>PB20-06-003ILO</t>
  </si>
  <si>
    <t>100-1011-2020-05-565</t>
  </si>
  <si>
    <t>R6-D2-2020QRF-01G-SR</t>
  </si>
  <si>
    <t>100-1011-2020-05-564</t>
  </si>
  <si>
    <t>100-20-06-0599</t>
  </si>
  <si>
    <t>SanJoseBatsAeb2020-088</t>
  </si>
  <si>
    <t>Infra 2020-004</t>
  </si>
  <si>
    <t>20-03-0121</t>
  </si>
  <si>
    <t>SanJoseBatsAeb2020-086</t>
  </si>
  <si>
    <t>SanJoseBatsAeb2020-071</t>
  </si>
  <si>
    <t>DA7-7-2020-FOD-R-20-2346</t>
  </si>
  <si>
    <t>SanJoseBatsAeb2020-087</t>
  </si>
  <si>
    <t>DA7-07-2020-SAAD-20-2039</t>
  </si>
  <si>
    <t>bacgal-53-2020</t>
  </si>
  <si>
    <t>100-1011-2020-05-567</t>
  </si>
  <si>
    <t>2020061601</t>
  </si>
  <si>
    <t>CDH-18-2436-B (Re-Bid)</t>
  </si>
  <si>
    <t>2020-GOODS-005R-02-0618Rep</t>
  </si>
  <si>
    <t>20DP0077</t>
  </si>
  <si>
    <t>CDH-19-1003-B (Re-Bid)</t>
  </si>
  <si>
    <t>PB-INFRA-05-2020</t>
  </si>
  <si>
    <t>20DP0076</t>
  </si>
  <si>
    <t>CDH-19-1151-B (Re-Bid)</t>
  </si>
  <si>
    <t>CDH-19-1114-B (Re-Bid)</t>
  </si>
  <si>
    <t>ITB 2020-06-001</t>
  </si>
  <si>
    <t>2003092</t>
  </si>
  <si>
    <t>ITB # 20ODGS-0001</t>
  </si>
  <si>
    <t>DA7-7-2020-FOD-R-20-0232</t>
  </si>
  <si>
    <t>20DP0075</t>
  </si>
  <si>
    <t>20DP0074</t>
  </si>
  <si>
    <t>20AI0170</t>
  </si>
  <si>
    <t>20DP0073</t>
  </si>
  <si>
    <t>HRAD 20-002</t>
  </si>
  <si>
    <t>GEPS-2020-0617</t>
  </si>
  <si>
    <t>20KJ0179</t>
  </si>
  <si>
    <t>GS-PNBAC2-2020-29</t>
  </si>
  <si>
    <t>20KJ0151</t>
  </si>
  <si>
    <t>2020-05-620</t>
  </si>
  <si>
    <t>NS-06-17-20-06</t>
  </si>
  <si>
    <t>GS-PNBAC2-2020-20</t>
  </si>
  <si>
    <t>GS-PNBAC2-2020-21</t>
  </si>
  <si>
    <t>20KJ0180</t>
  </si>
  <si>
    <t>GS-PNBAC2-2020-23</t>
  </si>
  <si>
    <t>PR N0. 20-06-006</t>
  </si>
  <si>
    <t>PR N0. 20-06-007</t>
  </si>
  <si>
    <t>2020 - B4- Project A - Various Hospital and Medica</t>
  </si>
  <si>
    <t>100-1011-2020-05-569</t>
  </si>
  <si>
    <t>20GKJ0004</t>
  </si>
  <si>
    <t>B-83-2020</t>
  </si>
  <si>
    <t>2020 - B4- Project B - Various Hospital and Medica</t>
  </si>
  <si>
    <t>nlontoc-ITB060-2020</t>
  </si>
  <si>
    <t>PB-GS-2020-007</t>
  </si>
  <si>
    <t>INF-ITB 20-032</t>
  </si>
  <si>
    <t>20FM0051</t>
  </si>
  <si>
    <t>0011-20 INFRA</t>
  </si>
  <si>
    <t>20-03-0148</t>
  </si>
  <si>
    <t>Mkna-GSO-20-272</t>
  </si>
  <si>
    <t>INF-ITB 20-031</t>
  </si>
  <si>
    <t>IB No. 20-46</t>
  </si>
  <si>
    <t>NS-06-17-20-08-R2</t>
  </si>
  <si>
    <t>NS-06-17-20-10</t>
  </si>
  <si>
    <t>100-20-06-001</t>
  </si>
  <si>
    <t>2020-PBG-03</t>
  </si>
  <si>
    <t>PB-2020-CW-002</t>
  </si>
  <si>
    <t>GS-PNBAC2-2020-30</t>
  </si>
  <si>
    <t>NS-06-17-20-09</t>
  </si>
  <si>
    <t>IB No. 20-32</t>
  </si>
  <si>
    <t>IB No. 20-27</t>
  </si>
  <si>
    <t>100(01)20-06-027(AA)</t>
  </si>
  <si>
    <t>IB No. 20-10</t>
  </si>
  <si>
    <t>2020-06-067</t>
  </si>
  <si>
    <t>2020-PBG-02</t>
  </si>
  <si>
    <t>2020-INFRA-238</t>
  </si>
  <si>
    <t>2020 - B4 -  Project C - Various Hospital and Medi</t>
  </si>
  <si>
    <t>100(01)20-06-332(O)</t>
  </si>
  <si>
    <t>100(01)20-06-336(O)</t>
  </si>
  <si>
    <t>020-G006</t>
  </si>
  <si>
    <t>B-84-2020</t>
  </si>
  <si>
    <t>NS-06-17-20-07</t>
  </si>
  <si>
    <t>2020-06--005</t>
  </si>
  <si>
    <t>IB No. 20-24</t>
  </si>
  <si>
    <t>IB No. 20-38</t>
  </si>
  <si>
    <t>2020- B4 - Project D - Various Hospital and Medica</t>
  </si>
  <si>
    <t>20-03-0163</t>
  </si>
  <si>
    <t>20FM0049</t>
  </si>
  <si>
    <t>B-85-2020</t>
  </si>
  <si>
    <t>20FM0050</t>
  </si>
  <si>
    <t>20BK0144</t>
  </si>
  <si>
    <t>Mkna-GSO-20-273</t>
  </si>
  <si>
    <t>GOODS2020-006</t>
  </si>
  <si>
    <t>PB-ALBAYINFRA-20-04</t>
  </si>
  <si>
    <t>Infra-02</t>
  </si>
  <si>
    <t>IB No. 20-16</t>
  </si>
  <si>
    <t xml:space="preserve">IB 2020-07-08(06) Goods Cat II Med/Lab Supplies &amp; </t>
  </si>
  <si>
    <t>IB No. 20-36</t>
  </si>
  <si>
    <t>20BK0146</t>
  </si>
  <si>
    <t>Owak2020Goods001</t>
  </si>
  <si>
    <t>MZSP-2020-43</t>
  </si>
  <si>
    <t>211434</t>
  </si>
  <si>
    <t>GD-PB-2020-06-0233</t>
  </si>
  <si>
    <t>PB-INF-005-2020</t>
  </si>
  <si>
    <t>211433</t>
  </si>
  <si>
    <t>PB GOODS 2020-04</t>
  </si>
  <si>
    <t>20BK0145</t>
  </si>
  <si>
    <t>PB2020-48</t>
  </si>
  <si>
    <t>211435</t>
  </si>
  <si>
    <t>GD-PB-2020-06-0232</t>
  </si>
  <si>
    <t>PB2020-47</t>
  </si>
  <si>
    <t>211436</t>
  </si>
  <si>
    <t>211437</t>
  </si>
  <si>
    <t>CHMSC 20-020-0617-I</t>
  </si>
  <si>
    <t>2020-06-0625 TDG</t>
  </si>
  <si>
    <t>06172020B</t>
  </si>
  <si>
    <t>IB No. 20-29</t>
  </si>
  <si>
    <t>INF-ITB 20-033</t>
  </si>
  <si>
    <t>UPLB-RQ-6-127-20-RES CHEMICALS &amp; CHEMICAL PRODUCTS</t>
  </si>
  <si>
    <t>00125</t>
  </si>
  <si>
    <t>CHMSC 20-019-0617-I</t>
  </si>
  <si>
    <t>100-202003-00535</t>
  </si>
  <si>
    <t>100-202003-00560</t>
  </si>
  <si>
    <t>20PJ0052</t>
  </si>
  <si>
    <t>INF-ITB 20-034</t>
  </si>
  <si>
    <t>PGL 20-078</t>
  </si>
  <si>
    <t>2001-S1C01</t>
  </si>
  <si>
    <t>06172020C</t>
  </si>
  <si>
    <t>GD-PB-2020-01-0001</t>
  </si>
  <si>
    <t>100-2003-292</t>
  </si>
  <si>
    <t>211438</t>
  </si>
  <si>
    <t>100-202002-00426</t>
  </si>
  <si>
    <t>PB-2020-GDS-025</t>
  </si>
  <si>
    <t>GD-PB-2020-06-0231</t>
  </si>
  <si>
    <t>2020-06-31</t>
  </si>
  <si>
    <t>IB No. 20-58</t>
  </si>
  <si>
    <t>PB2020-49</t>
  </si>
  <si>
    <t>00105</t>
  </si>
  <si>
    <t>IB No. 20-37</t>
  </si>
  <si>
    <t>01401</t>
  </si>
  <si>
    <t>INF-ITB 20-035</t>
  </si>
  <si>
    <t>HILONGOS 2020-181</t>
  </si>
  <si>
    <t>100-1011-2020-05-571</t>
  </si>
  <si>
    <t>587-20</t>
  </si>
  <si>
    <t>Managa 2020-06-001</t>
  </si>
  <si>
    <t>100-2003-295</t>
  </si>
  <si>
    <t>bac-azds-20-06-016</t>
  </si>
  <si>
    <t>3-06172020</t>
  </si>
  <si>
    <t>100-1011-2020-05-572</t>
  </si>
  <si>
    <t>2020-06-249</t>
  </si>
  <si>
    <t>24-20</t>
  </si>
  <si>
    <t>2020-06-07B</t>
  </si>
  <si>
    <t>2020-06-069</t>
  </si>
  <si>
    <t>2-06172020</t>
  </si>
  <si>
    <t>20H00068</t>
  </si>
  <si>
    <t>GOODS-2020-0003</t>
  </si>
  <si>
    <t>HILONGOS 2020-182</t>
  </si>
  <si>
    <t>22-20</t>
  </si>
  <si>
    <t>2020-06-248</t>
  </si>
  <si>
    <t>ORD PABAC 046-19 (Rebid)</t>
  </si>
  <si>
    <t>ITB-2020-PCC-001</t>
  </si>
  <si>
    <t>20BB0124</t>
  </si>
  <si>
    <t>2020-06-253</t>
  </si>
  <si>
    <t>ITB No. 2020-022</t>
  </si>
  <si>
    <t>26-20</t>
  </si>
  <si>
    <t>UPLB-RQ-6-128-20-I CONSTRUCTION PROJECTS</t>
  </si>
  <si>
    <t>GOODS-20-31</t>
  </si>
  <si>
    <t>2020-06-252</t>
  </si>
  <si>
    <t>8911-6-1939-20</t>
  </si>
  <si>
    <t>goods 156-2020</t>
  </si>
  <si>
    <t>25-20</t>
  </si>
  <si>
    <t>2020-06-251</t>
  </si>
  <si>
    <t>4-06172020</t>
  </si>
  <si>
    <t>HILONGOS 2020-183</t>
  </si>
  <si>
    <t>20NF0079</t>
  </si>
  <si>
    <t>G-2020-19</t>
  </si>
  <si>
    <t>5-06172020</t>
  </si>
  <si>
    <t>2020-06-250</t>
  </si>
  <si>
    <t>1-06172020</t>
  </si>
  <si>
    <t>100-1011-2020-05-568</t>
  </si>
  <si>
    <t>20BB0125</t>
  </si>
  <si>
    <t>salbac 2020 20</t>
  </si>
  <si>
    <t>8918-11-1779-20</t>
  </si>
  <si>
    <t>2020-05-038-D</t>
  </si>
  <si>
    <t>C10-20-1039</t>
  </si>
  <si>
    <t>8-06172020</t>
  </si>
  <si>
    <t>20LB0166</t>
  </si>
  <si>
    <t>goods 157-2020</t>
  </si>
  <si>
    <t>20LB0157</t>
  </si>
  <si>
    <t>28-20</t>
  </si>
  <si>
    <t>2020-01-0066</t>
  </si>
  <si>
    <t>6-06172020</t>
  </si>
  <si>
    <t>20LB0187</t>
  </si>
  <si>
    <t>salbac 2020 21</t>
  </si>
  <si>
    <t>ITB NO. GOP-20-DSWD-2020-05-03</t>
  </si>
  <si>
    <t>GS-P02-2020-07-08</t>
  </si>
  <si>
    <t>27-20</t>
  </si>
  <si>
    <t>INFRA 2020-13</t>
  </si>
  <si>
    <t>INFRA 2020-14</t>
  </si>
  <si>
    <t>20LB0185</t>
  </si>
  <si>
    <t>60017012020</t>
  </si>
  <si>
    <t>PROCOR INFRA 2020-04</t>
  </si>
  <si>
    <t>2020 - 004</t>
  </si>
  <si>
    <t>20LB0235</t>
  </si>
  <si>
    <t>2020-067</t>
  </si>
  <si>
    <t>HILONGOS 2020-184</t>
  </si>
  <si>
    <t>20LB0233</t>
  </si>
  <si>
    <t>RFQ 031-2020</t>
  </si>
  <si>
    <t>C10-20-0223</t>
  </si>
  <si>
    <t>2020-02-019-D</t>
  </si>
  <si>
    <t>100-1011-2020-05-570</t>
  </si>
  <si>
    <t>20LB0224</t>
  </si>
  <si>
    <t>20LB0193</t>
  </si>
  <si>
    <t>2020-06-08B</t>
  </si>
  <si>
    <t>GS-P03-2020-07-08</t>
  </si>
  <si>
    <t>GOODS-029-2020</t>
  </si>
  <si>
    <t>RFQ 030-2020</t>
  </si>
  <si>
    <t>GS-P05-2020-07-08</t>
  </si>
  <si>
    <t>2020-118</t>
  </si>
  <si>
    <t>GS-P04-2020-07-08</t>
  </si>
  <si>
    <t>GOODS-028-2020</t>
  </si>
  <si>
    <t>2020-003-009</t>
  </si>
  <si>
    <t>2020-infra-001</t>
  </si>
  <si>
    <t>GOODS-027-2020</t>
  </si>
  <si>
    <t>20LB0261</t>
  </si>
  <si>
    <t>2020-05-040-D</t>
  </si>
  <si>
    <t>20LB0257</t>
  </si>
  <si>
    <t>2020-05-08</t>
  </si>
  <si>
    <t>20KA0143</t>
  </si>
  <si>
    <t>20LB0302</t>
  </si>
  <si>
    <t>C10-20-0219</t>
  </si>
  <si>
    <t>IL-2020-B-28</t>
  </si>
  <si>
    <t>GOODS-20-32</t>
  </si>
  <si>
    <t>20LB0304</t>
  </si>
  <si>
    <t>CA Health Care Benefits - 2020-001</t>
  </si>
  <si>
    <t>20-02-0095 Re-bid</t>
  </si>
  <si>
    <t>60017022020</t>
  </si>
  <si>
    <t>20-06-123</t>
  </si>
  <si>
    <t>BALISONG INFRA ITB 2020-___</t>
  </si>
  <si>
    <t>C10-20-0220</t>
  </si>
  <si>
    <t>300-2020-02-017</t>
  </si>
  <si>
    <t>20LB0303</t>
  </si>
  <si>
    <t>HILONGOS 2020-185</t>
  </si>
  <si>
    <t>BDG-2020-03</t>
  </si>
  <si>
    <t>60017032020</t>
  </si>
  <si>
    <t>ITB No. 015-2020 GQ</t>
  </si>
  <si>
    <t>GS-P06-2020-07-08</t>
  </si>
  <si>
    <t>2020-06-164-B</t>
  </si>
  <si>
    <t>20A00070</t>
  </si>
  <si>
    <t>018-06-2020</t>
  </si>
  <si>
    <t>202006170004</t>
  </si>
  <si>
    <t>2020-06-010B</t>
  </si>
  <si>
    <t>100-03-20-00885</t>
  </si>
  <si>
    <t>salbac 2020 22</t>
  </si>
  <si>
    <t>MNP-INFR-096-2020</t>
  </si>
  <si>
    <t>ITB No. 2020-145-A-pgo-pdrrmd</t>
  </si>
  <si>
    <t>goods 154-2020</t>
  </si>
  <si>
    <t>RFQ 2020-50</t>
  </si>
  <si>
    <t>C10-20-1038</t>
  </si>
  <si>
    <t>202006013</t>
  </si>
  <si>
    <t>IL-2020-B-29</t>
  </si>
  <si>
    <t>20A00021</t>
  </si>
  <si>
    <t>goods 155-2020</t>
  </si>
  <si>
    <t>ENG' 6ID, SBAC 01-2020</t>
  </si>
  <si>
    <t>C10-20-1042</t>
  </si>
  <si>
    <t>C10-20-1048</t>
  </si>
  <si>
    <t>2020-STO-QRF FAW-GOODS-25</t>
  </si>
  <si>
    <t>PB-2020-06-043</t>
  </si>
  <si>
    <t>2020-STO-QRF FAW-GOODS-24</t>
  </si>
  <si>
    <t>salbac 2020 24</t>
  </si>
  <si>
    <t>OC-68(ESMO-06) 20 GD</t>
  </si>
  <si>
    <t>202006170005</t>
  </si>
  <si>
    <t>PB-2020-06-042</t>
  </si>
  <si>
    <t>2020-072</t>
  </si>
  <si>
    <t>29-20</t>
  </si>
  <si>
    <t>PB-2020-GDS-027</t>
  </si>
  <si>
    <t>salbac 2020 23</t>
  </si>
  <si>
    <t>2020-71</t>
  </si>
  <si>
    <t>19-83-179</t>
  </si>
  <si>
    <t>202006170006</t>
  </si>
  <si>
    <t>goods 159-2020</t>
  </si>
  <si>
    <t>2020-STO-QRF FAW-GOODS-23</t>
  </si>
  <si>
    <t>2020-073</t>
  </si>
  <si>
    <t>PR Nos. 1-32680, 1-32681, 1-32683 - Supply and Del</t>
  </si>
  <si>
    <t>goods 158-2020</t>
  </si>
  <si>
    <t>20dpwh76</t>
  </si>
  <si>
    <t>GS-P07-2020-07-08</t>
  </si>
  <si>
    <t>OC-66(GSO-04) 20 GD</t>
  </si>
  <si>
    <t>PB-2020-CW-021</t>
  </si>
  <si>
    <t>ITB No. 2020-32</t>
  </si>
  <si>
    <t>60017042020</t>
  </si>
  <si>
    <t>20dpwh75</t>
  </si>
  <si>
    <t>PB-2020-06-046</t>
  </si>
  <si>
    <t>PR 2020-06-195</t>
  </si>
  <si>
    <t>CEZRFQ2020-06-014</t>
  </si>
  <si>
    <t>20PD0132</t>
  </si>
  <si>
    <t>DPWH-SK2DEO-20CSMH05</t>
  </si>
  <si>
    <t>20dpwh78</t>
  </si>
  <si>
    <t>DPWH-SK2DEO-20CSMH04</t>
  </si>
  <si>
    <t>2020-Infra-002</t>
  </si>
  <si>
    <t>DPWH-SK2DEO-20CSMH03</t>
  </si>
  <si>
    <t>SF-GOODS-2020-006</t>
  </si>
  <si>
    <t>PG-2020-046</t>
  </si>
  <si>
    <t>20JG0083</t>
  </si>
  <si>
    <t>2020-Goods-004</t>
  </si>
  <si>
    <t>20JG0082</t>
  </si>
  <si>
    <t>BulSU-BAC-G-2020-23</t>
  </si>
  <si>
    <t>2020-070</t>
  </si>
  <si>
    <t>20JG0078</t>
  </si>
  <si>
    <t>2020-0007</t>
  </si>
  <si>
    <t>20JG0077</t>
  </si>
  <si>
    <t>20JG0081</t>
  </si>
  <si>
    <t>20FC0122</t>
  </si>
  <si>
    <t>20dpwh77</t>
  </si>
  <si>
    <t>JHS - 2020 - 006 - 0023</t>
  </si>
  <si>
    <t>salbac 2020 26</t>
  </si>
  <si>
    <t>20FC0120</t>
  </si>
  <si>
    <t>20FC0123</t>
  </si>
  <si>
    <t>cab pr4 2020</t>
  </si>
  <si>
    <t>20O00059</t>
  </si>
  <si>
    <t>20FC0121</t>
  </si>
  <si>
    <t>'PB Infra 20-039</t>
  </si>
  <si>
    <t>PB INFRA 20-038</t>
  </si>
  <si>
    <t>project ref.no. 45-2020-JUNE-INFRA</t>
  </si>
  <si>
    <t>mb pr 4</t>
  </si>
  <si>
    <t>'PB Infra 20-040</t>
  </si>
  <si>
    <t>20JG0079</t>
  </si>
  <si>
    <t>2020-032-I</t>
  </si>
  <si>
    <t>mb pr 3</t>
  </si>
  <si>
    <t>20LE0123</t>
  </si>
  <si>
    <t>20JG0076</t>
  </si>
  <si>
    <t>20JG0080</t>
  </si>
  <si>
    <t>2020-033-I</t>
  </si>
  <si>
    <t>20JG0075</t>
  </si>
  <si>
    <t>20JG0086</t>
  </si>
  <si>
    <t>20LE0122</t>
  </si>
  <si>
    <t>20JG0084</t>
  </si>
  <si>
    <t>MDRRMO-180-20</t>
  </si>
  <si>
    <t>20FC0119</t>
  </si>
  <si>
    <t>2020-0334</t>
  </si>
  <si>
    <t>20AH0209</t>
  </si>
  <si>
    <t>20AH0208</t>
  </si>
  <si>
    <t>20AH0207</t>
  </si>
  <si>
    <t>20AH0206</t>
  </si>
  <si>
    <t>2020-64 (GAS)</t>
  </si>
  <si>
    <t>JHS - 2020 - 006 - 0026</t>
  </si>
  <si>
    <t>20JG0085</t>
  </si>
  <si>
    <t>inf2020-005</t>
  </si>
  <si>
    <t>project ref.no. 44-2020-JUNE-INFRA</t>
  </si>
  <si>
    <t>JHS - 2020 - 006 - 0025</t>
  </si>
  <si>
    <t>MASO-202-20</t>
  </si>
  <si>
    <t>PB INFRA 20-043</t>
  </si>
  <si>
    <t>2020-65 (GAS)</t>
  </si>
  <si>
    <t>20FC0118</t>
  </si>
  <si>
    <t>20FC0117</t>
  </si>
  <si>
    <t>PB INFRA 20-042</t>
  </si>
  <si>
    <t>20DE0144</t>
  </si>
  <si>
    <t>BG2020-133</t>
  </si>
  <si>
    <t>20CSDM06</t>
  </si>
  <si>
    <t>rdd-bayaniHAN-01</t>
  </si>
  <si>
    <t>20CSDM05</t>
  </si>
  <si>
    <t>VJLN-SVP-2020-06-0600</t>
  </si>
  <si>
    <t>DPWH-SK2DEO-20CSMH02</t>
  </si>
  <si>
    <t>INFRA 20-07-19</t>
  </si>
  <si>
    <t>INFRA 20-07-18</t>
  </si>
  <si>
    <t>GEPS-11-2020</t>
  </si>
  <si>
    <t>INFRA 20-07-17</t>
  </si>
  <si>
    <t>INFRA 20-07-16</t>
  </si>
  <si>
    <t>INFRA 20-07-15</t>
  </si>
  <si>
    <t>20CSDM04</t>
  </si>
  <si>
    <t>100-2019-10-1635</t>
  </si>
  <si>
    <t>100-2019-11-1714</t>
  </si>
  <si>
    <t>100-2020-02-308</t>
  </si>
  <si>
    <t>100-2020-01-015</t>
  </si>
  <si>
    <t>20AH0192</t>
  </si>
  <si>
    <t>2020-Goods-006</t>
  </si>
  <si>
    <t>DPWH-SK2DEO-20CSMH01</t>
  </si>
  <si>
    <t>ENG' 6ID, SBAC 02-2020</t>
  </si>
  <si>
    <t xml:space="preserve">20CSAE01: SUBSURFACE EXPLORATION FOR THE PROPOSED </t>
  </si>
  <si>
    <t>PB-2020-GDS-026</t>
  </si>
  <si>
    <t>salbac 2020 25</t>
  </si>
  <si>
    <t>PB-2020-06-045</t>
  </si>
  <si>
    <t>PB-2020-06-044</t>
  </si>
  <si>
    <t>PB INFRA 20-041</t>
  </si>
  <si>
    <t>100-2019-11-1710</t>
  </si>
  <si>
    <t>202006012</t>
  </si>
  <si>
    <t>100-2020-01-129</t>
  </si>
  <si>
    <t>INFRA 20-07-14</t>
  </si>
  <si>
    <t>PB-06172020-1</t>
  </si>
  <si>
    <t>INFRA 20-07-21</t>
  </si>
  <si>
    <t>BTN-DVOOR-2020-17</t>
  </si>
  <si>
    <t>INFRA 20-07-20</t>
  </si>
  <si>
    <t>19GF00031</t>
  </si>
  <si>
    <t>IMELDA202002</t>
  </si>
  <si>
    <t>DA7-07-2020-ILD-20-2314</t>
  </si>
  <si>
    <t>20GEB0012</t>
  </si>
  <si>
    <t>ITB No. 20-06-12</t>
  </si>
  <si>
    <t>BAC2020-06-021</t>
  </si>
  <si>
    <t>2020-INFRA-017</t>
  </si>
  <si>
    <t>2020-06-89</t>
  </si>
  <si>
    <t>SDH-20-0364-B</t>
  </si>
  <si>
    <t>HMO-20-0354-B</t>
  </si>
  <si>
    <t>20GEB0023</t>
  </si>
  <si>
    <t>20GEB0010</t>
  </si>
  <si>
    <t>DA7-07-2020-ILD-20-2315</t>
  </si>
  <si>
    <t>ESP-INFRA-11-2020</t>
  </si>
  <si>
    <t>ESP-INFRA-10-2020</t>
  </si>
  <si>
    <t>20GEB0021</t>
  </si>
  <si>
    <t>2020-B1-06-014</t>
  </si>
  <si>
    <t>200030</t>
  </si>
  <si>
    <t>SDH-20-0361-B</t>
  </si>
  <si>
    <t>GOODS-2020-007</t>
  </si>
  <si>
    <t>DA7-07-2020-SAAD-20-1185</t>
  </si>
  <si>
    <t>Infra 2020-06-014</t>
  </si>
  <si>
    <t>DA7-07-2020-SAAD-20-0992</t>
  </si>
  <si>
    <t>ACCOUNTING-2020-01</t>
  </si>
  <si>
    <t>LGU-Sagay-4748</t>
  </si>
  <si>
    <t>ITB No. 20-06-13</t>
  </si>
  <si>
    <t>DA7-07-2020-SAAD-20-1237</t>
  </si>
  <si>
    <t>20GEB0058</t>
  </si>
  <si>
    <t>B-20-001</t>
  </si>
  <si>
    <t>40-201340-2020</t>
  </si>
  <si>
    <t>19CSK00041</t>
  </si>
  <si>
    <t>DAS 2020-003</t>
  </si>
  <si>
    <t>39-201440-2020</t>
  </si>
  <si>
    <t>DA7-07-2020-SAAD-20-2131</t>
  </si>
  <si>
    <t>20GEB0093</t>
  </si>
  <si>
    <t>AKLAN BAC ITB 350 SERIES 2020</t>
  </si>
  <si>
    <t>AKLAN BAC ITB 211 SERIES 2020</t>
  </si>
  <si>
    <t>Infra 2020-06-013</t>
  </si>
  <si>
    <t>AKLAN BAC ITB 215 SERIES 2020</t>
  </si>
  <si>
    <t>41-200483-2020</t>
  </si>
  <si>
    <t>DAS 2020-004</t>
  </si>
  <si>
    <t>2020-B1-002</t>
  </si>
  <si>
    <t>AKLAN BAC ITB 210 SERIES 2020</t>
  </si>
  <si>
    <t>38-201371-2020</t>
  </si>
  <si>
    <t>DA7-07-2020-ILD-20-2316</t>
  </si>
  <si>
    <t>AKLAN BAC ITB 208 SERIES 2020</t>
  </si>
  <si>
    <t>2020-B1-02</t>
  </si>
  <si>
    <t>36-2020</t>
  </si>
  <si>
    <t>IAEB 220-20</t>
  </si>
  <si>
    <t>AKLAN BAC ITB 209 SERIES 2020</t>
  </si>
  <si>
    <t>TANZA 2 2020-01-06</t>
  </si>
  <si>
    <t>20BC0208</t>
  </si>
  <si>
    <t>2020-0616-1</t>
  </si>
  <si>
    <t>20BC0206</t>
  </si>
  <si>
    <t>20L00148</t>
  </si>
  <si>
    <t>20L00032</t>
  </si>
  <si>
    <t>AKLAN BAC ITB 212 SERIES 2020</t>
  </si>
  <si>
    <t>B-CW-2020-023</t>
  </si>
  <si>
    <t>B-CW-2020-022</t>
  </si>
  <si>
    <t>ITB# 20DF-2020-01</t>
  </si>
  <si>
    <t>GOODS 20-07-05</t>
  </si>
  <si>
    <t>AKLAN BAC ITB 207 SERIES 2020</t>
  </si>
  <si>
    <t>GOODS 20-07-07</t>
  </si>
  <si>
    <t>AKLAN BAC ITB 213 SERIES 2020</t>
  </si>
  <si>
    <t>20-06-200</t>
  </si>
  <si>
    <t>036</t>
  </si>
  <si>
    <t>2020-02A</t>
  </si>
  <si>
    <t>Infra 2020-06-015</t>
  </si>
  <si>
    <t>TANZA 2 2020-04-06</t>
  </si>
  <si>
    <t>mda126</t>
  </si>
  <si>
    <t>SI-06-2020-001</t>
  </si>
  <si>
    <t>TANZA 2 2020-03-06</t>
  </si>
  <si>
    <t>Civil Works 020-2020</t>
  </si>
  <si>
    <t>20GM0064 (RE-BIDDING)</t>
  </si>
  <si>
    <t>GEPS-02-2020</t>
  </si>
  <si>
    <t>C-PEO-055-20</t>
  </si>
  <si>
    <t>06162020-1</t>
  </si>
  <si>
    <t>ITB No. 2020-158-bpmc</t>
  </si>
  <si>
    <t>025-06-2020</t>
  </si>
  <si>
    <t>GOODS 20-07-06</t>
  </si>
  <si>
    <t>006-026-2020</t>
  </si>
  <si>
    <t>PBgoods017-2020</t>
  </si>
  <si>
    <t>773</t>
  </si>
  <si>
    <t>C-PEO-056-20</t>
  </si>
  <si>
    <t>C-PEO-057-20</t>
  </si>
  <si>
    <t>GOODS-2020-09</t>
  </si>
  <si>
    <t>2020-0616-2</t>
  </si>
  <si>
    <t>INFRA-06-16-2020-04</t>
  </si>
  <si>
    <t>006-024-2020</t>
  </si>
  <si>
    <t>INFRA-06-16-2020-01</t>
  </si>
  <si>
    <t>2020 - 23</t>
  </si>
  <si>
    <t>2020-GOODS-002NP-02-0617</t>
  </si>
  <si>
    <t>20CD0167</t>
  </si>
  <si>
    <t>INFRA-06-16-2020-02</t>
  </si>
  <si>
    <t>TANZA 2 2020-05-06</t>
  </si>
  <si>
    <t>2020-0616-3</t>
  </si>
  <si>
    <t>TANZA 2 2020-02-06</t>
  </si>
  <si>
    <t>20-06-00080</t>
  </si>
  <si>
    <t>ITB No. 07-INFRA-2020</t>
  </si>
  <si>
    <t>003-2020</t>
  </si>
  <si>
    <t>006-025-2020</t>
  </si>
  <si>
    <t>077 - 2020</t>
  </si>
  <si>
    <t>2020-06-255</t>
  </si>
  <si>
    <t>Sto. Nino-07-02-20</t>
  </si>
  <si>
    <t>2020 - 24</t>
  </si>
  <si>
    <t>GOODS-06-16-2020-02</t>
  </si>
  <si>
    <t>006-027-2020</t>
  </si>
  <si>
    <t>pb-gd-2020-037</t>
  </si>
  <si>
    <t>006 2020 LML</t>
  </si>
  <si>
    <t>MOB-2020-010</t>
  </si>
  <si>
    <t>ITB No. 2020-74</t>
  </si>
  <si>
    <t>F-018-0383-20</t>
  </si>
  <si>
    <t>GOODS-06-16-2020-01</t>
  </si>
  <si>
    <t>ITB No. 20-24</t>
  </si>
  <si>
    <t>DAR-PANG-006-2020</t>
  </si>
  <si>
    <t>PEO-2020-0173 PR2020-0436</t>
  </si>
  <si>
    <t>06-16-2020-214</t>
  </si>
  <si>
    <t>pb-gd-2020-038</t>
  </si>
  <si>
    <t>BP-2020-11</t>
  </si>
  <si>
    <t>020-G001</t>
  </si>
  <si>
    <t>ITB No. 20-25</t>
  </si>
  <si>
    <t>INFRA-2020-223</t>
  </si>
  <si>
    <t>INFRA-06-16-2020-03</t>
  </si>
  <si>
    <t>DAR-PANG-008-2020</t>
  </si>
  <si>
    <t>OPV-2020-0174 PR2020-0440</t>
  </si>
  <si>
    <t>06162020001</t>
  </si>
  <si>
    <t>G-PEO-046-20</t>
  </si>
  <si>
    <t>2020 - 25</t>
  </si>
  <si>
    <t>BP-2020-09</t>
  </si>
  <si>
    <t>005 2020 LML</t>
  </si>
  <si>
    <t>2020 Caib 093</t>
  </si>
  <si>
    <t>DA7-07-2020-FOD-L-20-2347</t>
  </si>
  <si>
    <t>2020-B1-06-015</t>
  </si>
  <si>
    <t>Infra 2020-06-012</t>
  </si>
  <si>
    <t>PCAARRD-2020-04-28-001</t>
  </si>
  <si>
    <t>PB-2020-15</t>
  </si>
  <si>
    <t>2020-06-90</t>
  </si>
  <si>
    <t>ITB 2020-0015</t>
  </si>
  <si>
    <t>2020-06-91</t>
  </si>
  <si>
    <t>20FF0094</t>
  </si>
  <si>
    <t>06-16-2020-216</t>
  </si>
  <si>
    <t>PB-2020-13</t>
  </si>
  <si>
    <t>SAM-2020-19</t>
  </si>
  <si>
    <t>CARIDAD202001</t>
  </si>
  <si>
    <t>06162020-2</t>
  </si>
  <si>
    <t>GOODS 2020-03</t>
  </si>
  <si>
    <t>PB-2020-12</t>
  </si>
  <si>
    <t>ISPSC-2020-G-E008</t>
  </si>
  <si>
    <t>06-16-2020-215</t>
  </si>
  <si>
    <t>BAC2020-11</t>
  </si>
  <si>
    <t>ITB PR 0452</t>
  </si>
  <si>
    <t>6-35-20</t>
  </si>
  <si>
    <t>IAEB 222-20</t>
  </si>
  <si>
    <t>Contract No. 02 - 2020</t>
  </si>
  <si>
    <t>BP-2020-10</t>
  </si>
  <si>
    <t>Infra 2020-06-008</t>
  </si>
  <si>
    <t>MKWD2020-048</t>
  </si>
  <si>
    <t>PB-2020-14</t>
  </si>
  <si>
    <t>MB 2020-16 I</t>
  </si>
  <si>
    <t>PB-2020-19</t>
  </si>
  <si>
    <t>PB-2020-21</t>
  </si>
  <si>
    <t>CG-1-132-2020</t>
  </si>
  <si>
    <t>CW 2020-03-001a</t>
  </si>
  <si>
    <t>MB 2020-15 I</t>
  </si>
  <si>
    <t>PB-2020-16</t>
  </si>
  <si>
    <t>PB-2020-20</t>
  </si>
  <si>
    <t>BAC 2020-34</t>
  </si>
  <si>
    <t>20KI0088</t>
  </si>
  <si>
    <t>ITB 2020-0017</t>
  </si>
  <si>
    <t>G-PEO-047-20</t>
  </si>
  <si>
    <t>Solicitation No. Goods 20-0617-0070</t>
  </si>
  <si>
    <t>MP-061620-36</t>
  </si>
  <si>
    <t>PB-2020-18</t>
  </si>
  <si>
    <t>PICK UP-2020-06-01</t>
  </si>
  <si>
    <t>PB-2020-17</t>
  </si>
  <si>
    <t>PB20-04-034COR</t>
  </si>
  <si>
    <t>INFRA 2020-01</t>
  </si>
  <si>
    <t>Tal-Pob-01-2020</t>
  </si>
  <si>
    <t>Project No. 2020-27</t>
  </si>
  <si>
    <t>0025/June/2020</t>
  </si>
  <si>
    <t>MB 2020-17 I</t>
  </si>
  <si>
    <t>PB-2020-23</t>
  </si>
  <si>
    <t>2020 INFRA 008</t>
  </si>
  <si>
    <t>PB-2020-22</t>
  </si>
  <si>
    <t>Solicitation No. Goods 20-0617-0068</t>
  </si>
  <si>
    <t>Solicitation No. Goods 20-0617-0069</t>
  </si>
  <si>
    <t>20KI0090</t>
  </si>
  <si>
    <t>20KI0089</t>
  </si>
  <si>
    <t>2020-06-92</t>
  </si>
  <si>
    <t>ITB 2020-0016</t>
  </si>
  <si>
    <t>PCAARRD-2020-04-28-004</t>
  </si>
  <si>
    <t>MP-061620-37</t>
  </si>
  <si>
    <t>2020 INFRA 007</t>
  </si>
  <si>
    <t>CA100-2019-01-001</t>
  </si>
  <si>
    <t>AKLAN BAC ITB 351 SERIES 2020</t>
  </si>
  <si>
    <t>Project No. 2020-26</t>
  </si>
  <si>
    <t>RFQ-GS-20200608-04</t>
  </si>
  <si>
    <t>2020-317</t>
  </si>
  <si>
    <t>DA7-07-FOD-H-20-2345</t>
  </si>
  <si>
    <t>BWD-RFQ-2020-07</t>
  </si>
  <si>
    <t>2020 INFRA 006</t>
  </si>
  <si>
    <t>019-015</t>
  </si>
  <si>
    <t>ITB 061620-1</t>
  </si>
  <si>
    <t>BTG3-20GDC0005</t>
  </si>
  <si>
    <t>20HC0181</t>
  </si>
  <si>
    <t>CG-1-135-2020</t>
  </si>
  <si>
    <t>2020-299</t>
  </si>
  <si>
    <t>2020-06-01B</t>
  </si>
  <si>
    <t>2020-06-09B</t>
  </si>
  <si>
    <t>20FH0096</t>
  </si>
  <si>
    <t>20DM0068</t>
  </si>
  <si>
    <t>ITB 06-2020-009</t>
  </si>
  <si>
    <t>20H00062</t>
  </si>
  <si>
    <t>VJLN-SVP-2020-05-0538RF</t>
  </si>
  <si>
    <t>CG-1-136-2020</t>
  </si>
  <si>
    <t>20PF0068</t>
  </si>
  <si>
    <t>guincam2020-06-007</t>
  </si>
  <si>
    <t>2020-06-011</t>
  </si>
  <si>
    <t>2020-GOODS-34</t>
  </si>
  <si>
    <t xml:space="preserve">Supply Materials and Installation of Two (2) unit </t>
  </si>
  <si>
    <t>2020-GOODS-33</t>
  </si>
  <si>
    <t>BAC2020-06-023</t>
  </si>
  <si>
    <t>20GFH0011</t>
  </si>
  <si>
    <t>2020-06-066</t>
  </si>
  <si>
    <t>0074-2020</t>
  </si>
  <si>
    <t>VJLN-SVP-2020-05-0537RF</t>
  </si>
  <si>
    <t>20H00067</t>
  </si>
  <si>
    <t>AGGDS2020-0617A</t>
  </si>
  <si>
    <t>20H00063</t>
  </si>
  <si>
    <t>AGGDS2020-0617B</t>
  </si>
  <si>
    <t>IB 2020-029</t>
  </si>
  <si>
    <t>BAC164-PRESHOUSING-2020</t>
  </si>
  <si>
    <t>cw-2020-017</t>
  </si>
  <si>
    <t>2020-G-01</t>
  </si>
  <si>
    <t>S2-DOO20-014</t>
  </si>
  <si>
    <t>20H00065</t>
  </si>
  <si>
    <t>Bid Reference No. 2020-005-A; PR No.2020-03-0082-A</t>
  </si>
  <si>
    <t>GOODS-20-29</t>
  </si>
  <si>
    <t>20AD0096</t>
  </si>
  <si>
    <t>R3-BANE-MOOE-2020-AU-64</t>
  </si>
  <si>
    <t>20H00066</t>
  </si>
  <si>
    <t>PHO-2020-038 PR2020-0150</t>
  </si>
  <si>
    <t>15-2020_INFR</t>
  </si>
  <si>
    <t>IAEB 177-20</t>
  </si>
  <si>
    <t>SAM-2020-21</t>
  </si>
  <si>
    <t>20KB0169</t>
  </si>
  <si>
    <t>368-2020</t>
  </si>
  <si>
    <t>20B00052 (re-ad)</t>
  </si>
  <si>
    <t>S2-DOO20-008</t>
  </si>
  <si>
    <t>SAM-2020-20</t>
  </si>
  <si>
    <t>0020-0056-0320B-2020</t>
  </si>
  <si>
    <t>IB 2020-069</t>
  </si>
  <si>
    <t>QES-06-016-20</t>
  </si>
  <si>
    <t>S2-LIM20-001</t>
  </si>
  <si>
    <t>20GB00013 (re-ad)</t>
  </si>
  <si>
    <t>20KB0168</t>
  </si>
  <si>
    <t>S2-SVP20-001</t>
  </si>
  <si>
    <t>MP-061620-40</t>
  </si>
  <si>
    <t>PR#2020-05-685</t>
  </si>
  <si>
    <t>SAM-2020-26</t>
  </si>
  <si>
    <t>20KB0174</t>
  </si>
  <si>
    <t>20-102</t>
  </si>
  <si>
    <t>20KB0172</t>
  </si>
  <si>
    <t>20KB0167</t>
  </si>
  <si>
    <t>SAM-2020-24</t>
  </si>
  <si>
    <t>20KB0171</t>
  </si>
  <si>
    <t>0026/June/2020</t>
  </si>
  <si>
    <t>20PL0118</t>
  </si>
  <si>
    <t>20KB0173</t>
  </si>
  <si>
    <t>SAM-2020-25</t>
  </si>
  <si>
    <t>QES-06-017-20</t>
  </si>
  <si>
    <t>COBAC IB NO. 002 (G) S. 2020</t>
  </si>
  <si>
    <t>2020G - 017-616</t>
  </si>
  <si>
    <t>S2-PMG20-010</t>
  </si>
  <si>
    <t>QES-06-019-20</t>
  </si>
  <si>
    <t>2020G - 016-616</t>
  </si>
  <si>
    <t>SN-2020-06-013</t>
  </si>
  <si>
    <t>2020-206</t>
  </si>
  <si>
    <t>NFA-RO1-RBAC-2020-06-016</t>
  </si>
  <si>
    <t>20KB0177</t>
  </si>
  <si>
    <t>2020-10 (20DI0155)</t>
  </si>
  <si>
    <t>S2-BH120-003</t>
  </si>
  <si>
    <t>2020-06-05B</t>
  </si>
  <si>
    <t>20KB0178</t>
  </si>
  <si>
    <t>S2-ANT20-007</t>
  </si>
  <si>
    <t>2020-10 (20DI0152)</t>
  </si>
  <si>
    <t>20KB0176</t>
  </si>
  <si>
    <t>2020-10 (20DI0150)</t>
  </si>
  <si>
    <t>2020-10 (20DI0154)</t>
  </si>
  <si>
    <t>2020-10 (20DI0148)</t>
  </si>
  <si>
    <t>S2-GIG20-010</t>
  </si>
  <si>
    <t>2020-10 (20DI0147)</t>
  </si>
  <si>
    <t>S2-ANT20-003</t>
  </si>
  <si>
    <t>PB-07092020-B</t>
  </si>
  <si>
    <t>2020-10 (20DI0149)</t>
  </si>
  <si>
    <t>2020-0707-013</t>
  </si>
  <si>
    <t>S2-ALD20-004</t>
  </si>
  <si>
    <t>S2-MPP20-023</t>
  </si>
  <si>
    <t>S2-MPP20-018</t>
  </si>
  <si>
    <t>20PL0120</t>
  </si>
  <si>
    <t>IB NO.  2020-217</t>
  </si>
  <si>
    <t>PB-07092020-A</t>
  </si>
  <si>
    <t>2020-02-0277-MAIN</t>
  </si>
  <si>
    <t>2020-02-0182-MAIN</t>
  </si>
  <si>
    <t>2020-10 (20DI0159)</t>
  </si>
  <si>
    <t>2020-10 (20DI0157)</t>
  </si>
  <si>
    <t>2020-06-0561-MAIN</t>
  </si>
  <si>
    <t>S2-LIM20-005</t>
  </si>
  <si>
    <t>2020-ODY-06-181</t>
  </si>
  <si>
    <t>2020-10 (20DI0158)</t>
  </si>
  <si>
    <t>2020-10 (20DI0146)</t>
  </si>
  <si>
    <t>2020-10 (20DI0145)</t>
  </si>
  <si>
    <t>20PL0121</t>
  </si>
  <si>
    <t>2020C-21-616</t>
  </si>
  <si>
    <t>2020-10 (20DI0156)</t>
  </si>
  <si>
    <t>GOODS-20-30</t>
  </si>
  <si>
    <t>IB-2020-074</t>
  </si>
  <si>
    <t>2020-10 (20DI0151)</t>
  </si>
  <si>
    <t>SAM-2020-23</t>
  </si>
  <si>
    <t>IB 2020-072</t>
  </si>
  <si>
    <t>IB-2020-071</t>
  </si>
  <si>
    <t>20PL0119</t>
  </si>
  <si>
    <t>S2-SND20-001</t>
  </si>
  <si>
    <t>SAM-2020-22</t>
  </si>
  <si>
    <t>IB-2020-070</t>
  </si>
  <si>
    <t>INFRA 2020-001</t>
  </si>
  <si>
    <t>G2020-001-A</t>
  </si>
  <si>
    <t>20CF0130</t>
  </si>
  <si>
    <t>20KB0175</t>
  </si>
  <si>
    <t>0020-0056-0320A-2020</t>
  </si>
  <si>
    <t>20KB0170</t>
  </si>
  <si>
    <t>2020-BLU-AM2019-01-02</t>
  </si>
  <si>
    <t>CGT-Goods- 2020-00086</t>
  </si>
  <si>
    <t>20CF0002</t>
  </si>
  <si>
    <t>061620-H01</t>
  </si>
  <si>
    <t>AGINF2020-0617D</t>
  </si>
  <si>
    <t>HFEP ITB 2020-001</t>
  </si>
  <si>
    <t>AGINF2020-0617C</t>
  </si>
  <si>
    <t>BCS-2020-0129</t>
  </si>
  <si>
    <t>AGINF2020-0617A</t>
  </si>
  <si>
    <t>2020-BLU-PCF2019-01-03</t>
  </si>
  <si>
    <t>PROCUREMENT OF VARIOUS VACCINES COBAC IB NO. 003 (</t>
  </si>
  <si>
    <t>20PD0131</t>
  </si>
  <si>
    <t>IB 2020-030</t>
  </si>
  <si>
    <t>20GCF0001</t>
  </si>
  <si>
    <t>PB-07092020-C</t>
  </si>
  <si>
    <t>BCS-2020-0128</t>
  </si>
  <si>
    <t>LMC-2020-SJPIS-011-RO</t>
  </si>
  <si>
    <t>20H00064</t>
  </si>
  <si>
    <t>IB-2020-073</t>
  </si>
  <si>
    <t>B-G-2020-085</t>
  </si>
  <si>
    <t>PB 20-003</t>
  </si>
  <si>
    <t>B-G-2020-084</t>
  </si>
  <si>
    <t>GTLMH-20-013</t>
  </si>
  <si>
    <t>2005-24</t>
  </si>
  <si>
    <t>20GKA0005 / 2020-06-0136</t>
  </si>
  <si>
    <t>B-G-2020-083</t>
  </si>
  <si>
    <t>B-G-2020-082</t>
  </si>
  <si>
    <t>19GL00111</t>
  </si>
  <si>
    <t>2005152</t>
  </si>
  <si>
    <t>INP 2020-05-0076</t>
  </si>
  <si>
    <t>ITB No. R4B-20-06-07</t>
  </si>
  <si>
    <t>B-G-2020-087</t>
  </si>
  <si>
    <t>2005-25</t>
  </si>
  <si>
    <t>20OH0152</t>
  </si>
  <si>
    <t>PB2020-004 (GDS)</t>
  </si>
  <si>
    <t>B-G-2020-088</t>
  </si>
  <si>
    <t>138 – 2020</t>
  </si>
  <si>
    <t>137 – 2020</t>
  </si>
  <si>
    <t>136 – 2020</t>
  </si>
  <si>
    <t>B-G-2020-086</t>
  </si>
  <si>
    <t>B-G-2020-081</t>
  </si>
  <si>
    <t>135– 2020</t>
  </si>
  <si>
    <t>B-G-2020-093</t>
  </si>
  <si>
    <t>R1-INIMO-20-05-015</t>
  </si>
  <si>
    <t>20GFO0014</t>
  </si>
  <si>
    <t>061620-B1</t>
  </si>
  <si>
    <t>2005-34</t>
  </si>
  <si>
    <t>B-G-2020-091</t>
  </si>
  <si>
    <t>B-G-2020-089</t>
  </si>
  <si>
    <t>ME2020-06-026.1</t>
  </si>
  <si>
    <t>B-G-2020-092</t>
  </si>
  <si>
    <t>2020-07-07-038CW</t>
  </si>
  <si>
    <t>PB037-20</t>
  </si>
  <si>
    <t>2003-51</t>
  </si>
  <si>
    <t>2020-07-07-034CW</t>
  </si>
  <si>
    <t>2020-07-07-031CW</t>
  </si>
  <si>
    <t>B-G-2020-090</t>
  </si>
  <si>
    <t>2020-07-07-048CW</t>
  </si>
  <si>
    <t>20GFO0015</t>
  </si>
  <si>
    <t>2020-07-07-047CW</t>
  </si>
  <si>
    <t>2020-07-07-037CW</t>
  </si>
  <si>
    <t>2020-07-07-041CW</t>
  </si>
  <si>
    <t>2020-07-07-035CW</t>
  </si>
  <si>
    <t>B-G-2020-094</t>
  </si>
  <si>
    <t>2020-07-07-036CW</t>
  </si>
  <si>
    <t>MS2020-06-026.2</t>
  </si>
  <si>
    <t>2020-07-07-046CW</t>
  </si>
  <si>
    <t>2020-07-07-040CW</t>
  </si>
  <si>
    <t>2020-07-07-039CW</t>
  </si>
  <si>
    <t>LSPUMCG20-01</t>
  </si>
  <si>
    <t>MS2020-06-026.3</t>
  </si>
  <si>
    <t>2020-07-07-030CW</t>
  </si>
  <si>
    <t>20CSN012</t>
  </si>
  <si>
    <t>2020-07-07-334PG</t>
  </si>
  <si>
    <t>2020-07-07-337PG</t>
  </si>
  <si>
    <t>2020-07-07-333PG</t>
  </si>
  <si>
    <t>2020-07-07-049CW</t>
  </si>
  <si>
    <t>2020-07-07-338PG</t>
  </si>
  <si>
    <t>2020-07-07-331PG</t>
  </si>
  <si>
    <t>2020-07-07-339PG</t>
  </si>
  <si>
    <t>SB6 HDMP19 300-20-06-06236</t>
  </si>
  <si>
    <t>2020-07-07-332PG</t>
  </si>
  <si>
    <t>2020-07-07-345PG</t>
  </si>
  <si>
    <t>2020-07-07-340PG</t>
  </si>
  <si>
    <t>2020-07-07-346PG</t>
  </si>
  <si>
    <t>2020-07-07-058PG</t>
  </si>
  <si>
    <t>2020-07-07-357PG</t>
  </si>
  <si>
    <t>2020-07-07-356PG</t>
  </si>
  <si>
    <t>ITB-140</t>
  </si>
  <si>
    <t>2020-07-07-344PG</t>
  </si>
  <si>
    <t>2020-07-07-355PG</t>
  </si>
  <si>
    <t>2020-07-07-342PG</t>
  </si>
  <si>
    <t>03a-G-2020 (SB)</t>
  </si>
  <si>
    <t>06152020-</t>
  </si>
  <si>
    <t>RFQ NO. SVP-010-2020</t>
  </si>
  <si>
    <t>VS-2020-06-01</t>
  </si>
  <si>
    <t>2020-07-07-335PG</t>
  </si>
  <si>
    <t>2020-07-07-351PG</t>
  </si>
  <si>
    <t>2020-07-07-350PG</t>
  </si>
  <si>
    <t>2020-INFRA-016</t>
  </si>
  <si>
    <t>2020-07-07-349PG</t>
  </si>
  <si>
    <t>2020 Caib 088</t>
  </si>
  <si>
    <t>2020-07-07-353PG</t>
  </si>
  <si>
    <t>ITB-ATI-CO-2020-07</t>
  </si>
  <si>
    <t>2020-02-004</t>
  </si>
  <si>
    <t>2020-07-07-336PG</t>
  </si>
  <si>
    <t>100-20-06-105</t>
  </si>
  <si>
    <t>2020-07-07-348PG</t>
  </si>
  <si>
    <t>RFQ NO. SVP-009-2020</t>
  </si>
  <si>
    <t>6-34-20</t>
  </si>
  <si>
    <t>goods2020_30</t>
  </si>
  <si>
    <t>P-08-20</t>
  </si>
  <si>
    <t>ITB No. (INF) 2020-06-092 CONSTRUCTION OF TRIPLE B</t>
  </si>
  <si>
    <t>2020-07-07-347PG</t>
  </si>
  <si>
    <t>2020-06-09-20DF20 (INFRA)</t>
  </si>
  <si>
    <t>goods2020_31</t>
  </si>
  <si>
    <t>2020-06-052</t>
  </si>
  <si>
    <t>ITB No. (INF) 2020-06-091 REHABILITATION/CONSTRUCT</t>
  </si>
  <si>
    <t>P-07-20</t>
  </si>
  <si>
    <t>ITB No. (INF) 2020-06-090 CONSTRUCTION OF MULTI-PU</t>
  </si>
  <si>
    <t>100-20-06-106</t>
  </si>
  <si>
    <t>2020-06-029-SB2019 (INFRA)</t>
  </si>
  <si>
    <t>2020-07-07-352PG</t>
  </si>
  <si>
    <t>blguamot-2019</t>
  </si>
  <si>
    <t>06152020</t>
  </si>
  <si>
    <t>2020-06-22-20DF20 (INFRA)</t>
  </si>
  <si>
    <t>H02-June-20</t>
  </si>
  <si>
    <t>100(01)20-06-026(AA)</t>
  </si>
  <si>
    <t>2020-02-006</t>
  </si>
  <si>
    <t>20ID0073</t>
  </si>
  <si>
    <t>2020-06-04-20DF20 (INFRA)</t>
  </si>
  <si>
    <t>PPSC BAC IB NO.007 (G) 2020</t>
  </si>
  <si>
    <t>2020-07-07-379PG</t>
  </si>
  <si>
    <t>2020-06-028-SB2 2019 (INFRA)</t>
  </si>
  <si>
    <t>IB No. GS-2020 – 051-A</t>
  </si>
  <si>
    <t>QNV-030-2020</t>
  </si>
  <si>
    <t>200-20-05-003</t>
  </si>
  <si>
    <t>100-20-05-104</t>
  </si>
  <si>
    <t>2020-06-0103</t>
  </si>
  <si>
    <t>CW43-2020</t>
  </si>
  <si>
    <t>PSU-INFRA-2020-004</t>
  </si>
  <si>
    <t>2020-07-07-358PG</t>
  </si>
  <si>
    <t>ITB 20-0062</t>
  </si>
  <si>
    <t>CW-1-114-2020</t>
  </si>
  <si>
    <t>100-20-02-015</t>
  </si>
  <si>
    <t>ITB-19-08018</t>
  </si>
  <si>
    <t>goods2020_32</t>
  </si>
  <si>
    <t>IB No. GS-2020 – 046-A</t>
  </si>
  <si>
    <t>Q-092-20</t>
  </si>
  <si>
    <t>ITB 2020-06-003</t>
  </si>
  <si>
    <t>IB No. GS-2020 – 048-A</t>
  </si>
  <si>
    <t>2020-07-07-375PG</t>
  </si>
  <si>
    <t>016-0720-CP</t>
  </si>
  <si>
    <t>IB No. GS-2020 – 041-A</t>
  </si>
  <si>
    <t>PB NO. 2020-037</t>
  </si>
  <si>
    <t>2020-07-07-359PG</t>
  </si>
  <si>
    <t>2020-07-07-376PG</t>
  </si>
  <si>
    <t>V03-June-20</t>
  </si>
  <si>
    <t>2020-07-07-360PG</t>
  </si>
  <si>
    <t>APR No. 100-20-06-379</t>
  </si>
  <si>
    <t>ITB 20-0064</t>
  </si>
  <si>
    <t>2020-07-07-362PG</t>
  </si>
  <si>
    <t>ITB-DIESEL2020</t>
  </si>
  <si>
    <t>2020-06-13-20DF20 (INFRA)</t>
  </si>
  <si>
    <t>PB-12-2020</t>
  </si>
  <si>
    <t>IB No. GS-2020 – 072</t>
  </si>
  <si>
    <t>MPP-2020-02</t>
  </si>
  <si>
    <t>6-8-20-ID5</t>
  </si>
  <si>
    <t>ITB 20-0065</t>
  </si>
  <si>
    <t>06-115-2020</t>
  </si>
  <si>
    <t>APR No. 100-20-06-386</t>
  </si>
  <si>
    <t>IB No. GS-2020 – 071</t>
  </si>
  <si>
    <t>MPP-2020-03</t>
  </si>
  <si>
    <t>2020-06-10-20DF20 (INFRA)</t>
  </si>
  <si>
    <t>PB-11-2020</t>
  </si>
  <si>
    <t>IB No. GS-2020 – 052-A</t>
  </si>
  <si>
    <t>2020-B-06-024</t>
  </si>
  <si>
    <t>ITB No. 039-2020 GQ</t>
  </si>
  <si>
    <t>SVP 2020-350</t>
  </si>
  <si>
    <t>PB NO. 2020-036</t>
  </si>
  <si>
    <t>PSU ITB 2001-008</t>
  </si>
  <si>
    <t>2020-6-15-4</t>
  </si>
  <si>
    <t>20GGF0016</t>
  </si>
  <si>
    <t>Supplies 301-2020</t>
  </si>
  <si>
    <t>20HN0083</t>
  </si>
  <si>
    <t>20BC0212</t>
  </si>
  <si>
    <t>20GA0195</t>
  </si>
  <si>
    <t>M-20-20</t>
  </si>
  <si>
    <t>20ID0074</t>
  </si>
  <si>
    <t>20BC0205</t>
  </si>
  <si>
    <t>ITB 20-0063</t>
  </si>
  <si>
    <t>20BC0157 re-adv.</t>
  </si>
  <si>
    <t>100-2020-05-098</t>
  </si>
  <si>
    <t>QNV-025-2020</t>
  </si>
  <si>
    <t>2020-06-33-20DF20 (INFRA)</t>
  </si>
  <si>
    <t>2020130</t>
  </si>
  <si>
    <t>CHMSC 20-018-0615-G</t>
  </si>
  <si>
    <t>IB-05-0399-20HRND</t>
  </si>
  <si>
    <t>20BE0088</t>
  </si>
  <si>
    <t>100-20-05-103</t>
  </si>
  <si>
    <t>20BE0089</t>
  </si>
  <si>
    <t>CW-1-112-2020</t>
  </si>
  <si>
    <t>CW45-2020</t>
  </si>
  <si>
    <t>CW RA 7171-24</t>
  </si>
  <si>
    <t>2020-04-126</t>
  </si>
  <si>
    <t>CabSur2020-001</t>
  </si>
  <si>
    <t>INFRA-2020-04</t>
  </si>
  <si>
    <t>20GA0191</t>
  </si>
  <si>
    <t>2020-06-35-GF18 (INFRA)</t>
  </si>
  <si>
    <t>VIN BAC 029-2020</t>
  </si>
  <si>
    <t>2020-07-07-364PG</t>
  </si>
  <si>
    <t>VIN BAC 028-2020</t>
  </si>
  <si>
    <t>CW44-2020</t>
  </si>
  <si>
    <t>20GA0199</t>
  </si>
  <si>
    <t>LGUBal2020-03</t>
  </si>
  <si>
    <t>2020-06-339</t>
  </si>
  <si>
    <t>ITB NO. 011 OF 2020</t>
  </si>
  <si>
    <t>ITB NO. 010 OF 2020</t>
  </si>
  <si>
    <t>QNV-029-2020</t>
  </si>
  <si>
    <t>2020-07-07-363PG</t>
  </si>
  <si>
    <t>ITB NO. 012 OF 2020</t>
  </si>
  <si>
    <t>2020-06-34-20DF20 (INFRA)</t>
  </si>
  <si>
    <t>20GA0221</t>
  </si>
  <si>
    <t>ITB No. UATLMC2020-101-03-005L1</t>
  </si>
  <si>
    <t>2020-06-32-20DF20 (INFRA)</t>
  </si>
  <si>
    <t>2020-07-07-366PG</t>
  </si>
  <si>
    <t>20GA0203</t>
  </si>
  <si>
    <t>2020-06-38-20DF20(INFRA)</t>
  </si>
  <si>
    <t>2020-07-07-365PG</t>
  </si>
  <si>
    <t>2020-06-37-20DF20 (INFRA)</t>
  </si>
  <si>
    <t>0051-2020</t>
  </si>
  <si>
    <t>DARROV-4-2020</t>
  </si>
  <si>
    <t>CB 05 - 2020</t>
  </si>
  <si>
    <t>GB 2002-006</t>
  </si>
  <si>
    <t>2020-06-36-20DF20 (INFRA)</t>
  </si>
  <si>
    <t>BACII-2020-15</t>
  </si>
  <si>
    <t>VIN BAC 030-2020</t>
  </si>
  <si>
    <t>BMC-N-20-180</t>
  </si>
  <si>
    <t>V01-June-20</t>
  </si>
  <si>
    <t>RFQ-106-2020</t>
  </si>
  <si>
    <t>100-2020-006-022</t>
  </si>
  <si>
    <t>ITB No. UATLMC2020-101-03-005L4</t>
  </si>
  <si>
    <t>BAC-HO GS No. 2020-0243</t>
  </si>
  <si>
    <t>20GA0054</t>
  </si>
  <si>
    <t>ITB No. UATLMC2020-101-03-005L3</t>
  </si>
  <si>
    <t>Amagbagan-001</t>
  </si>
  <si>
    <t>QNV-028-2020</t>
  </si>
  <si>
    <t>024-06-2020</t>
  </si>
  <si>
    <t>BAC 2020-31</t>
  </si>
  <si>
    <t>LGUBal2020-05</t>
  </si>
  <si>
    <t>CG-1-119-2020</t>
  </si>
  <si>
    <t>2020-SRV-012</t>
  </si>
  <si>
    <t>LGUBal2020-04</t>
  </si>
  <si>
    <t>20ID0075</t>
  </si>
  <si>
    <t>APR No. 100-20-06-417</t>
  </si>
  <si>
    <t>CB 07 - 2020</t>
  </si>
  <si>
    <t>0095-2020</t>
  </si>
  <si>
    <t>ITB No. UATLMC2020-101-03-005L7</t>
  </si>
  <si>
    <t>2020-07-07-369PG</t>
  </si>
  <si>
    <t>IB. NO. 2020-176</t>
  </si>
  <si>
    <t>DAPA-077-2020</t>
  </si>
  <si>
    <t>20NA0070</t>
  </si>
  <si>
    <t>BAC 2020-33</t>
  </si>
  <si>
    <t>Jiab-2020-25A</t>
  </si>
  <si>
    <t>INFRA-2020-06-38</t>
  </si>
  <si>
    <t>guincam2020-06-002</t>
  </si>
  <si>
    <t>MGCP-20G-579A</t>
  </si>
  <si>
    <t>IB No. 2020-189</t>
  </si>
  <si>
    <t>2020-PB-017</t>
  </si>
  <si>
    <t>MGCP-20I-580A</t>
  </si>
  <si>
    <t>0046-2020</t>
  </si>
  <si>
    <t>guincam2020-06-001</t>
  </si>
  <si>
    <t>2020-07-07-370PG</t>
  </si>
  <si>
    <t>CBSUA-SIP-GOODS-11-2020</t>
  </si>
  <si>
    <t>2020-PB-019</t>
  </si>
  <si>
    <t>ITB No. UATLMC2020-101-03-003L2</t>
  </si>
  <si>
    <t>guincam2020-06-005</t>
  </si>
  <si>
    <t>2020-PB-018</t>
  </si>
  <si>
    <t>2020 INFRA 005</t>
  </si>
  <si>
    <t>20-05-0528</t>
  </si>
  <si>
    <t>guincam2020-06-004</t>
  </si>
  <si>
    <t>2020-PB-016</t>
  </si>
  <si>
    <t>20PJ0054</t>
  </si>
  <si>
    <t>2020-PB-021</t>
  </si>
  <si>
    <t>ITB NO. GOP/20-DSWD-041</t>
  </si>
  <si>
    <t>20PJ0053</t>
  </si>
  <si>
    <t>ITB No. 2020 – 73</t>
  </si>
  <si>
    <t>ITB No. UATLMC2020-101-03-005L2</t>
  </si>
  <si>
    <t>ITB No. 06-GOODS-2019</t>
  </si>
  <si>
    <t>2020-PB-020</t>
  </si>
  <si>
    <t>20-06-412</t>
  </si>
  <si>
    <t>20PJ0055</t>
  </si>
  <si>
    <t>BUSO – 001-20</t>
  </si>
  <si>
    <t>ITB No. UATLMC2020-101-03-003L1</t>
  </si>
  <si>
    <t>OD-2020-05-006</t>
  </si>
  <si>
    <t>ITB No. UATLMC2020-101-03-005L6</t>
  </si>
  <si>
    <t>INFRA-2020-06-37</t>
  </si>
  <si>
    <t>ITB No. UATLMC2020-101-03-005L5</t>
  </si>
  <si>
    <t>20PJ0056</t>
  </si>
  <si>
    <t>IB. NO. K-2020-023(SC)</t>
  </si>
  <si>
    <t>BAC2020-06-022</t>
  </si>
  <si>
    <t>IB. NO. K-2020-024(SC)</t>
  </si>
  <si>
    <t>20-06-413</t>
  </si>
  <si>
    <t>2020 - 99</t>
  </si>
  <si>
    <t>BFP Caraga 2020-06-008</t>
  </si>
  <si>
    <t>2020-INFRA-14B</t>
  </si>
  <si>
    <t>20PL0117</t>
  </si>
  <si>
    <t>P.R. No. 2020-06-0014</t>
  </si>
  <si>
    <t>G-2020-06-016-GF 2020- Capital Outlay</t>
  </si>
  <si>
    <t>FSDE19-CS-036-20</t>
  </si>
  <si>
    <t>2020-PB-023</t>
  </si>
  <si>
    <t>IB No. 2020-020</t>
  </si>
  <si>
    <t>20PL0104</t>
  </si>
  <si>
    <t>20PL0116</t>
  </si>
  <si>
    <t>cw-2020-016</t>
  </si>
  <si>
    <t>2020-PB-022</t>
  </si>
  <si>
    <t>2020-07-07-372PG</t>
  </si>
  <si>
    <t>BCS-2020-0127</t>
  </si>
  <si>
    <t>BFP BAC IB No. 001 (I) s. 2020</t>
  </si>
  <si>
    <t>2020-07-07-377PG</t>
  </si>
  <si>
    <t>020-001</t>
  </si>
  <si>
    <t>BFP BAC IB No. 002 (G) s. 2020</t>
  </si>
  <si>
    <t>guincam2020-06-003</t>
  </si>
  <si>
    <t>BCS-2020-0126</t>
  </si>
  <si>
    <t>2020-07-07-374PG</t>
  </si>
  <si>
    <t>G-2020-06-015 GF 2020</t>
  </si>
  <si>
    <t>IB. NO. K-2020-056(SC)</t>
  </si>
  <si>
    <t>GOODS-20-28</t>
  </si>
  <si>
    <t>IB. NO. K-2020-049(SC)</t>
  </si>
  <si>
    <t>B2020-075-A</t>
  </si>
  <si>
    <t>IB. NO. K-2020-028(SC)</t>
  </si>
  <si>
    <t>20PD0096</t>
  </si>
  <si>
    <t>20PD0095</t>
  </si>
  <si>
    <t>2020-07-07-382PG</t>
  </si>
  <si>
    <t>20PD0087</t>
  </si>
  <si>
    <t>2020-07-07-381PG</t>
  </si>
  <si>
    <t>2020-ICT- PB-001</t>
  </si>
  <si>
    <t>2020-07-07-341PG</t>
  </si>
  <si>
    <t>20PD0100</t>
  </si>
  <si>
    <t>ITB2020-026</t>
  </si>
  <si>
    <t>20NC0126</t>
  </si>
  <si>
    <t>2020-GOODS-034</t>
  </si>
  <si>
    <t>RF INFRA GAA CY 2020-06-001</t>
  </si>
  <si>
    <t>BAC-HO GS 2020-0239 and BAC-HO GS 2020-0231</t>
  </si>
  <si>
    <t>MGPQ-RML-2020-06-004</t>
  </si>
  <si>
    <t>ITB2020-024</t>
  </si>
  <si>
    <t>june2020-1</t>
  </si>
  <si>
    <t>ITB2020-018</t>
  </si>
  <si>
    <t>ITB2020-025</t>
  </si>
  <si>
    <t>20GD00003</t>
  </si>
  <si>
    <t>DPWH-SK2DEO-20GMH047</t>
  </si>
  <si>
    <t>DPWH-SK2DEO-20MH0103</t>
  </si>
  <si>
    <t>DPWH-SK2DEO-20MH0085</t>
  </si>
  <si>
    <t>004 2020 LML</t>
  </si>
  <si>
    <t>DPWH-SK2DEO-20GMH048</t>
  </si>
  <si>
    <t>BAC 06/15/20-01</t>
  </si>
  <si>
    <t>BCS-2020-0125</t>
  </si>
  <si>
    <t>2020-07-07-371PG</t>
  </si>
  <si>
    <t>PG-2020-045</t>
  </si>
  <si>
    <t>2020-07-07-378PG</t>
  </si>
  <si>
    <t>2020-07-07-367PG</t>
  </si>
  <si>
    <t>HB 2003-016</t>
  </si>
  <si>
    <t>BAC 2020-32</t>
  </si>
  <si>
    <t>ITB No. 2020-157-sp-maramara, sp-dinlayan and sp-g</t>
  </si>
  <si>
    <t>2020-06-051</t>
  </si>
  <si>
    <t>ITB No. (INF) 2020-06-089 CONCRETING OF CAROLINA –</t>
  </si>
  <si>
    <t>2020-2014</t>
  </si>
  <si>
    <t>CB 06 - 2020</t>
  </si>
  <si>
    <t>2020-APP- BOOKS- NCSM-001</t>
  </si>
  <si>
    <t>2020-07-07-380PG</t>
  </si>
  <si>
    <t>20NC0127</t>
  </si>
  <si>
    <t>2020-GOODS-035</t>
  </si>
  <si>
    <t>ITB2020-029</t>
  </si>
  <si>
    <t>PROJECT # 20-053</t>
  </si>
  <si>
    <t>PROJECT # 20-043</t>
  </si>
  <si>
    <t>PROJECT # 20-039</t>
  </si>
  <si>
    <t>ITB2020-027</t>
  </si>
  <si>
    <t>CB 10-2020</t>
  </si>
  <si>
    <t>019-014</t>
  </si>
  <si>
    <t>CW48-2020</t>
  </si>
  <si>
    <t>CW47-2020</t>
  </si>
  <si>
    <t>BAC-HO GS 2020-0326</t>
  </si>
  <si>
    <t>CW46-2020</t>
  </si>
  <si>
    <t>IB 2020-062</t>
  </si>
  <si>
    <t>019-013</t>
  </si>
  <si>
    <t>IB 2020-06-001I</t>
  </si>
  <si>
    <t>2020-02-055</t>
  </si>
  <si>
    <t>ITB2020-028</t>
  </si>
  <si>
    <t>MZDS-BAC-G-2020-03</t>
  </si>
  <si>
    <t>CW20-03</t>
  </si>
  <si>
    <t>21-2020</t>
  </si>
  <si>
    <t>IB 2020-038(AMV)</t>
  </si>
  <si>
    <t>DepED-RO6-D1-2020QRF(REPAIR)-C1-018-2020</t>
  </si>
  <si>
    <t>GOODS-007-2020</t>
  </si>
  <si>
    <t>PB NO. 2020-034</t>
  </si>
  <si>
    <t>AGR-19-1448-B</t>
  </si>
  <si>
    <t>PB NO. 2020-035</t>
  </si>
  <si>
    <t>1-070720</t>
  </si>
  <si>
    <t>2020-CW-06-05</t>
  </si>
  <si>
    <t>AGR-20-0668-B</t>
  </si>
  <si>
    <t>2020-GSIS-PB-072</t>
  </si>
  <si>
    <t>20CSKG01</t>
  </si>
  <si>
    <t>MZDS-BAC-G-2020-02</t>
  </si>
  <si>
    <t>2020-GSIS-PB-073</t>
  </si>
  <si>
    <t>IB 2020-037(AMV)</t>
  </si>
  <si>
    <t>20 - OG - 001 (G)</t>
  </si>
  <si>
    <t>20BF0060</t>
  </si>
  <si>
    <t>CONTRACT ID: 20-06-085</t>
  </si>
  <si>
    <t>PB-0220-08</t>
  </si>
  <si>
    <t>20 - OG - 002 (G)</t>
  </si>
  <si>
    <t>ITB No. 2020-30</t>
  </si>
  <si>
    <t>PGR-INFRA-2020-07-4</t>
  </si>
  <si>
    <t>PGR-INFRA-2020-07-3</t>
  </si>
  <si>
    <t>ITB 20-072</t>
  </si>
  <si>
    <t>IB No. 2020-221</t>
  </si>
  <si>
    <t>PGR-INFRA-2020-07-1</t>
  </si>
  <si>
    <t>ITB PR No.: 0205-20BAC</t>
  </si>
  <si>
    <t>ITB PR No.: 1087-20BAC</t>
  </si>
  <si>
    <t>2020-320</t>
  </si>
  <si>
    <t>ITB PR No.: 0777-20BAC</t>
  </si>
  <si>
    <t>IB-2020-067</t>
  </si>
  <si>
    <t>20-00045</t>
  </si>
  <si>
    <t>BNLSL-LCB-31A-2020</t>
  </si>
  <si>
    <t>ITB PR No.: 0776-20BAC</t>
  </si>
  <si>
    <t>BNLSL-LCB-31-2020</t>
  </si>
  <si>
    <t>BNLSL-LCB-30-2020</t>
  </si>
  <si>
    <t>IB-2020-068</t>
  </si>
  <si>
    <t>IB-2020-065</t>
  </si>
  <si>
    <t>CP 2020-38</t>
  </si>
  <si>
    <t>PGR-INFRA-2020-07-2</t>
  </si>
  <si>
    <t>CP 2020-37</t>
  </si>
  <si>
    <t>2020-ITB-06-033</t>
  </si>
  <si>
    <t>PR # 20-06-0690</t>
  </si>
  <si>
    <t>2020 Caib 087</t>
  </si>
  <si>
    <t>PB2020-013</t>
  </si>
  <si>
    <t>PGR-INFRA-2020-07-8</t>
  </si>
  <si>
    <t>PROJECT # 20-055</t>
  </si>
  <si>
    <t>PGR-INFRA-2020-07-7</t>
  </si>
  <si>
    <t>PGR-INFRA-2020-07-5</t>
  </si>
  <si>
    <t>2020-ITB-06-027</t>
  </si>
  <si>
    <t>PGR-INFRA-2020-07-10</t>
  </si>
  <si>
    <t>PGR-INFRA-2020-07-6</t>
  </si>
  <si>
    <t>2020-ITB-06-041</t>
  </si>
  <si>
    <t>IB-2020-066</t>
  </si>
  <si>
    <t>2020-ITB-06-040</t>
  </si>
  <si>
    <t>CB 08-2020</t>
  </si>
  <si>
    <t>2020-INFRA-027</t>
  </si>
  <si>
    <t>3-070720</t>
  </si>
  <si>
    <t>PGR-INFRA-2020-07-9</t>
  </si>
  <si>
    <t>2-070720</t>
  </si>
  <si>
    <t>PGR-INFRA-2020-03-05</t>
  </si>
  <si>
    <t>2020-ITB-06-042</t>
  </si>
  <si>
    <t>PGR-INFRA-2020-07-11</t>
  </si>
  <si>
    <t>2020-ITB-06-039</t>
  </si>
  <si>
    <t>2020-ITB-06-038</t>
  </si>
  <si>
    <t>2020-ITB-06-037</t>
  </si>
  <si>
    <t>2020-ITB-06-036</t>
  </si>
  <si>
    <t>PHILGEPS-2020-12</t>
  </si>
  <si>
    <t>2020-ITB-06-026</t>
  </si>
  <si>
    <t>2020-ITB-06-034</t>
  </si>
  <si>
    <t>CONTRACT ID: 20-06-084</t>
  </si>
  <si>
    <t>IAEB 041-20</t>
  </si>
  <si>
    <t>2020-ITB-06-028</t>
  </si>
  <si>
    <t>2020-ITB-06-029</t>
  </si>
  <si>
    <t>20GJC0193</t>
  </si>
  <si>
    <t>2020-CW-06-04</t>
  </si>
  <si>
    <t>2020-ITB-06-035</t>
  </si>
  <si>
    <t>20-83-037</t>
  </si>
  <si>
    <t>INFRA-CNO-20-0004</t>
  </si>
  <si>
    <t>IB 2020-061</t>
  </si>
  <si>
    <t>2020-GOODS-014-01-0615</t>
  </si>
  <si>
    <t>IB 2020-063</t>
  </si>
  <si>
    <t>2020-ITB-06-031</t>
  </si>
  <si>
    <t>2020-INFRA-030</t>
  </si>
  <si>
    <t>PGR-INFRA-2020-03-18</t>
  </si>
  <si>
    <t>2020-INFRA-029</t>
  </si>
  <si>
    <t>2020-CW-06-03</t>
  </si>
  <si>
    <t>IB 2020-064</t>
  </si>
  <si>
    <t>2020-INFRA-031</t>
  </si>
  <si>
    <t>PGR-INFRA-2020-03-14</t>
  </si>
  <si>
    <t>PHILGEPS-2020-13</t>
  </si>
  <si>
    <t>PGR-INFRA-2020-03-16</t>
  </si>
  <si>
    <t>2020-INFRA-028</t>
  </si>
  <si>
    <t>2020-ITB-06-046</t>
  </si>
  <si>
    <t>2020-INFRA-032</t>
  </si>
  <si>
    <t>2020-ITB-06-030</t>
  </si>
  <si>
    <t>2020-ITB-06-045</t>
  </si>
  <si>
    <t>2020-ITB-06-044</t>
  </si>
  <si>
    <t>2020-ITB-06-043</t>
  </si>
  <si>
    <t>2020-ITB-06-032</t>
  </si>
  <si>
    <t>2020-06-132</t>
  </si>
  <si>
    <t>DepED-RO6-D1-2020QRF(REPAIR)-C4-021-2020</t>
  </si>
  <si>
    <t>BAC-ITIO GS No. 2020-0026 dated 21 April 2020</t>
  </si>
  <si>
    <t>PGR-INFRA-2020-03-07</t>
  </si>
  <si>
    <t>DepED-RO6-D1-2020QRF(REPAIR)-C3-020-2020</t>
  </si>
  <si>
    <t>20-006-072</t>
  </si>
  <si>
    <t>20-006-070</t>
  </si>
  <si>
    <t>QNV-024-2020</t>
  </si>
  <si>
    <t>PGR-INFRA-2020-03-13</t>
  </si>
  <si>
    <t>DepED-RO6-D1-2020QRF(REPAIR)-C5-022-2020</t>
  </si>
  <si>
    <t>CY2020QRF</t>
  </si>
  <si>
    <t>PGR-INFRA-2020-03-22</t>
  </si>
  <si>
    <t>DepED-RO6-D1-2020QRF(REPAIR)-C2-019-2020</t>
  </si>
  <si>
    <t>BAC-ITIO GS No. 2020-0053 dated 02 June 2020</t>
  </si>
  <si>
    <t>DepED-RO6-D1-2020QRF(REPAIR)-C6-023-2020</t>
  </si>
  <si>
    <t>101-20-06-005</t>
  </si>
  <si>
    <t>PB-ALBAYINFRA-20-01</t>
  </si>
  <si>
    <t>101-20-06-002</t>
  </si>
  <si>
    <t>DepED-RO6-D1-2020QRF(REPAIR)-C18-035-2020</t>
  </si>
  <si>
    <t>DepED-RO6-D1-2020QRF(REPAIR)-C20-037-2020</t>
  </si>
  <si>
    <t>DepED-RO6-D1-2020QRF(REPAIR)-C21-038-2020</t>
  </si>
  <si>
    <t>DepED-RO6-D1-2020QRF(REPAIR)-C16-033-2020</t>
  </si>
  <si>
    <t>DepED-RO6-D1-2020QRF(REPAIR)-C17-034-2020</t>
  </si>
  <si>
    <t>DepED-RO6-D1-2020QRF(REPAIR)-C15-032-2020</t>
  </si>
  <si>
    <t>DepED-RO6-D1-2020QRF(REPAIR)-C13-030-2020</t>
  </si>
  <si>
    <t>DepED-RO6-D1-2020QRF(REPAIR)-C12-029-2020</t>
  </si>
  <si>
    <t>DepED-RO6-D1-2020QRF(REPAIR)-C11-028-2020</t>
  </si>
  <si>
    <t>DepED-RO6-D1-2020QRF(REPAIR)-C10-027-2020</t>
  </si>
  <si>
    <t>DepED-RO6-D1-2020QRF(REPAIR)-C23-040-2020</t>
  </si>
  <si>
    <t>ITB No. 2020-020</t>
  </si>
  <si>
    <t>ITB No. 2020-019</t>
  </si>
  <si>
    <t>PUR20-03-0308</t>
  </si>
  <si>
    <t>ITB No. 2020-018</t>
  </si>
  <si>
    <t>DepED-RO6-D1-2020QRF(REPAIR)-C14-031-2020</t>
  </si>
  <si>
    <t>ITB No. 2020-016</t>
  </si>
  <si>
    <t>ITB No. 2020-017</t>
  </si>
  <si>
    <t>ITB No. 2020-026</t>
  </si>
  <si>
    <t>PUR20-04-0356</t>
  </si>
  <si>
    <t>BAC1-20-013</t>
  </si>
  <si>
    <t>NOSO-Goods-SIP-05-2020</t>
  </si>
  <si>
    <t>PUR20-03-0274</t>
  </si>
  <si>
    <t>NOSO-Goods-SIP-04-2020</t>
  </si>
  <si>
    <t>DepED-RO6-D1-2020QRF(REPAIR)-C26-043-2020</t>
  </si>
  <si>
    <t>DepED-RO6-D1-2020QRF(REPAIR)-C25-042-2020</t>
  </si>
  <si>
    <t>DepED-RO6-D1-2020QRF(REPAIR)-C19-036-2020</t>
  </si>
  <si>
    <t>PUR20-03-0241</t>
  </si>
  <si>
    <t>DepED-RO6-D1-2020QRF(REPAIR)-C24-041-2020</t>
  </si>
  <si>
    <t>DepED-RO6-D1-2020QRF(REPAIR)-C9-026-2020</t>
  </si>
  <si>
    <t>DepED-RO6-D1-2020QRF(REPAIR)-C8-025-2020</t>
  </si>
  <si>
    <t>LGU-Banayoyo, ISur 2020-06-043</t>
  </si>
  <si>
    <t>LGU-Banayoyo, ISur 2020-06-042</t>
  </si>
  <si>
    <t>2020-07-02-016</t>
  </si>
  <si>
    <t>ITB GOODS 2020-06-32</t>
  </si>
  <si>
    <t>BAC1-20-003</t>
  </si>
  <si>
    <t>2020-07-02-015</t>
  </si>
  <si>
    <t>DepED-RO6-D1-2020QRF(REPAIR)-C22-039-2020</t>
  </si>
  <si>
    <t>20GFG0016</t>
  </si>
  <si>
    <t>ITB GOODS 2020-06-31</t>
  </si>
  <si>
    <t>BAC-ITO GS No. 2020-048 dated 27 May 2020</t>
  </si>
  <si>
    <t>ITB-2020-06-01</t>
  </si>
  <si>
    <t>ITB No. 2020-024</t>
  </si>
  <si>
    <t>101-20-05-087</t>
  </si>
  <si>
    <t>ITB No. 2020-023</t>
  </si>
  <si>
    <t>ITB No. 2020-021</t>
  </si>
  <si>
    <t>ITB GOODS 2020-06-30</t>
  </si>
  <si>
    <t>ITB No. 2020-025</t>
  </si>
  <si>
    <t>DepED-RO6-D1-2020QRF(REPAIR)-C27-044-2020</t>
  </si>
  <si>
    <t>PM20-010</t>
  </si>
  <si>
    <t>BAL-06-13-2020-Construction of Roofing in the Park</t>
  </si>
  <si>
    <t>4-070720</t>
  </si>
  <si>
    <t>INFRA-09-20-01</t>
  </si>
  <si>
    <t>RFQ No. 2020-003</t>
  </si>
  <si>
    <t>DepED-RO6-D1-2020QRF(REPAIR)-C7-024-2020</t>
  </si>
  <si>
    <t>2020-0042</t>
  </si>
  <si>
    <t>ITB GOODS 2020-06-35</t>
  </si>
  <si>
    <t>ITB GOODS 2020-06-34</t>
  </si>
  <si>
    <t>LGU-Banayoyo, ISur 2020-06-045</t>
  </si>
  <si>
    <t>INFRA-09-20-06</t>
  </si>
  <si>
    <t>INFRA-09-20-05</t>
  </si>
  <si>
    <t>PMN2-MD-01</t>
  </si>
  <si>
    <t>INFRA-09-20-02</t>
  </si>
  <si>
    <t>01-2020-06M</t>
  </si>
  <si>
    <t>2484-20</t>
  </si>
  <si>
    <t>INFRA-09-20-03</t>
  </si>
  <si>
    <t>ITB GOODS 2020-06-33</t>
  </si>
  <si>
    <t>PB20-01-015CORa-06</t>
  </si>
  <si>
    <t>LGU-Banayoyo, ISur 2020-06-044</t>
  </si>
  <si>
    <t>2583-20</t>
  </si>
  <si>
    <t>2265-20</t>
  </si>
  <si>
    <t>INFRA-09-20-04</t>
  </si>
  <si>
    <t>Imbalbalatong-002</t>
  </si>
  <si>
    <t>2020-INFRA-015</t>
  </si>
  <si>
    <t>INFRA-20-003</t>
  </si>
  <si>
    <t>2020-011R</t>
  </si>
  <si>
    <t>KAMBONGGAN202001</t>
  </si>
  <si>
    <t>GAAS202001</t>
  </si>
  <si>
    <t>LGU-Banayoyo, ISur 2020-06-046</t>
  </si>
  <si>
    <t>BAL-06-13-2020-Concreting of 100 Linear Meter Sori</t>
  </si>
  <si>
    <t>2020-06-09-20-03-22</t>
  </si>
  <si>
    <t>BAL-06-13-2020-Concreting of 100 Linear Meter Bara</t>
  </si>
  <si>
    <t>GOODS-2020-02-003</t>
  </si>
  <si>
    <t>2020-06-09-20-03-21</t>
  </si>
  <si>
    <t>2020-0900-004</t>
  </si>
  <si>
    <t>20PB0029</t>
  </si>
  <si>
    <t>130 – 2020</t>
  </si>
  <si>
    <t>2020-SRV-009</t>
  </si>
  <si>
    <t>R1-PIMO-20-04-033</t>
  </si>
  <si>
    <t>2020-SRV-006</t>
  </si>
  <si>
    <t>BAL-06-13-2020-Concreting of 700 Linear Meter Bara</t>
  </si>
  <si>
    <t>133 – 2020</t>
  </si>
  <si>
    <t>131 – 2020</t>
  </si>
  <si>
    <t>2020-SRV-001</t>
  </si>
  <si>
    <t>20CSA004</t>
  </si>
  <si>
    <t>20202-SRV-005</t>
  </si>
  <si>
    <t>20CSA003</t>
  </si>
  <si>
    <t>2020-SRV-004</t>
  </si>
  <si>
    <t>132 – 2020</t>
  </si>
  <si>
    <t>2020-SRV-011</t>
  </si>
  <si>
    <t>2020-SRV-010</t>
  </si>
  <si>
    <t>20PB0031</t>
  </si>
  <si>
    <t>20PD0129</t>
  </si>
  <si>
    <t>20PD0127</t>
  </si>
  <si>
    <t>20PB0030</t>
  </si>
  <si>
    <t>INFRA-2020-02</t>
  </si>
  <si>
    <t>20CSDM03</t>
  </si>
  <si>
    <t>ITB 2020-006</t>
  </si>
  <si>
    <t>PANG-2020-0780</t>
  </si>
  <si>
    <t>IB-01-0206-20 VPAFEA SUPPLY, DELIVERY AND INSTALLA</t>
  </si>
  <si>
    <t>BCS-2020-0122</t>
  </si>
  <si>
    <t>IB-01-0186-20 COE-CE SUPPLY AND DELIVERY OF LABORA</t>
  </si>
  <si>
    <t>PANG-2020-0779</t>
  </si>
  <si>
    <t>20II0061</t>
  </si>
  <si>
    <t>ITB INFRA-023-2020</t>
  </si>
  <si>
    <t>2020-03-150</t>
  </si>
  <si>
    <t>2020-03-162</t>
  </si>
  <si>
    <t>PANG-2020-0783</t>
  </si>
  <si>
    <t>ITB 2020-06-033 (GOODS)</t>
  </si>
  <si>
    <t>PANG-2020-0784</t>
  </si>
  <si>
    <t>PRDP-PSO-Admin-2020-013 (AF)</t>
  </si>
  <si>
    <t>Goods-2020-PB-O1</t>
  </si>
  <si>
    <t>20A-02-0039</t>
  </si>
  <si>
    <t>PANG-2020-0782</t>
  </si>
  <si>
    <t>01-07-2020</t>
  </si>
  <si>
    <t>ITB 2020-06-034(GOODS)</t>
  </si>
  <si>
    <t>PR 03-3301</t>
  </si>
  <si>
    <t>Goods-2020-PB-O3</t>
  </si>
  <si>
    <t>PANG-2020-0778</t>
  </si>
  <si>
    <t>20013032020</t>
  </si>
  <si>
    <t>60011012020</t>
  </si>
  <si>
    <t>PANG-2020-0781</t>
  </si>
  <si>
    <t>PR#20-078</t>
  </si>
  <si>
    <t>20013022020</t>
  </si>
  <si>
    <t>PR 03-3298</t>
  </si>
  <si>
    <t>20013012020</t>
  </si>
  <si>
    <t>PR#20-079</t>
  </si>
  <si>
    <t>2020-PBGOODS-05-006</t>
  </si>
  <si>
    <t>PR#20-083</t>
  </si>
  <si>
    <t>076 - 2020</t>
  </si>
  <si>
    <t>PR#20-081</t>
  </si>
  <si>
    <t>PR 03-3300</t>
  </si>
  <si>
    <t>20CN0149</t>
  </si>
  <si>
    <t>02-07-2020</t>
  </si>
  <si>
    <t>PR#20-082</t>
  </si>
  <si>
    <t>19A-12-1158</t>
  </si>
  <si>
    <t>PR 03-3299</t>
  </si>
  <si>
    <t>037-LGU-LAOANG-2020</t>
  </si>
  <si>
    <t>60011022020</t>
  </si>
  <si>
    <t>2020-06-0560</t>
  </si>
  <si>
    <t>LGU Valencia, Bohol 2020 - 059</t>
  </si>
  <si>
    <t>PR#20-080</t>
  </si>
  <si>
    <t>20A-02-0035</t>
  </si>
  <si>
    <t>19A-10-0953</t>
  </si>
  <si>
    <t>20A-01-0011</t>
  </si>
  <si>
    <t>PR#20-077</t>
  </si>
  <si>
    <t>LGU - Quirino INFRA 2020 - 004</t>
  </si>
  <si>
    <t>LGU - Quirino GOODS 2020 - 003</t>
  </si>
  <si>
    <t>INFRA 2020-006</t>
  </si>
  <si>
    <t>ITB NO. 2020-0014N</t>
  </si>
  <si>
    <t>I.D. NO. –June10-2020-467</t>
  </si>
  <si>
    <t>ITB GOODS 20-06-009</t>
  </si>
  <si>
    <t>I.D. NO. –June10-2020-468</t>
  </si>
  <si>
    <t>145-2020</t>
  </si>
  <si>
    <t>#106</t>
  </si>
  <si>
    <t>60011032020</t>
  </si>
  <si>
    <t>I.D. NO. –June10-2020-473</t>
  </si>
  <si>
    <t>2020-MS-101</t>
  </si>
  <si>
    <t>#150</t>
  </si>
  <si>
    <t>I.D. NO. –June10-2020-472</t>
  </si>
  <si>
    <t>146-2020</t>
  </si>
  <si>
    <t>I.D. NO. –June10-2020-471</t>
  </si>
  <si>
    <t>520200302592</t>
  </si>
  <si>
    <t>PROCUREMENT OF GENUINE HP TONER CARTRIDGES (For Ex</t>
  </si>
  <si>
    <t>I.D. NO. –June10-2020-474</t>
  </si>
  <si>
    <t>I.D. NO. –June10-2020-476</t>
  </si>
  <si>
    <t>2020-B5-02</t>
  </si>
  <si>
    <t>20Fk0054</t>
  </si>
  <si>
    <t>I.D. NO. –June10-2020-470</t>
  </si>
  <si>
    <t>PRDP-PSO-Admin-2020-05-017 (AF)</t>
  </si>
  <si>
    <t>ITB GOODS 20-06-010</t>
  </si>
  <si>
    <t>2020-B5-01</t>
  </si>
  <si>
    <t>LGU BASILISA - 2020 - 0122</t>
  </si>
  <si>
    <t>ITB # 2020 - 001</t>
  </si>
  <si>
    <t>2020-B5-03</t>
  </si>
  <si>
    <t>20FK0055</t>
  </si>
  <si>
    <t>DA8-Goods-2020-40 (PR No. RICE 20-05-12-0686)</t>
  </si>
  <si>
    <t>ITB No. 2020-12-EFS</t>
  </si>
  <si>
    <t>I.D. NO. –June10-2020-469</t>
  </si>
  <si>
    <t>SEC PB 2020-011</t>
  </si>
  <si>
    <t>2020-09 (20DI0129)</t>
  </si>
  <si>
    <t>ITB GOODS 20-06-011</t>
  </si>
  <si>
    <t>SRF2020-02</t>
  </si>
  <si>
    <t>PBgoods015-2020</t>
  </si>
  <si>
    <t>LGU - Quirino INFRA 2020 - 005</t>
  </si>
  <si>
    <t>2020-62 (GAS)</t>
  </si>
  <si>
    <t>20CI0096</t>
  </si>
  <si>
    <t>I.D. NO. –June10-2020-475</t>
  </si>
  <si>
    <t>2020-09 (20DI0130)</t>
  </si>
  <si>
    <t>GEPS - 2020 - 79</t>
  </si>
  <si>
    <t>20CI0094</t>
  </si>
  <si>
    <t>SEC PB 2020-012</t>
  </si>
  <si>
    <t>PR 2020-04-061</t>
  </si>
  <si>
    <t>20CI0095</t>
  </si>
  <si>
    <t>0106112020</t>
  </si>
  <si>
    <t>PR 2020-03-049</t>
  </si>
  <si>
    <t>SRAVIS 20-06-279</t>
  </si>
  <si>
    <t>06112020-A</t>
  </si>
  <si>
    <t>2020-09 (20DI0131)</t>
  </si>
  <si>
    <t>2020-09 (20DI0128)</t>
  </si>
  <si>
    <t>2020-09 (20DI0140)</t>
  </si>
  <si>
    <t>DA8-Goods-2020-41 (PR No. HVCDP 20-04-28-0551)</t>
  </si>
  <si>
    <t>2020-09 (20DI0139)</t>
  </si>
  <si>
    <t>GEPS - 2020 - 78</t>
  </si>
  <si>
    <t>2020-09 (20DI0138)</t>
  </si>
  <si>
    <t>2020-09 (20DI0137)</t>
  </si>
  <si>
    <t>pb-infra-2020-036</t>
  </si>
  <si>
    <t>00306112020</t>
  </si>
  <si>
    <t>2020-09 (20DI0136)</t>
  </si>
  <si>
    <t>007-20</t>
  </si>
  <si>
    <t>GOODS-2020-132</t>
  </si>
  <si>
    <t>2020-09 (20DI0134)</t>
  </si>
  <si>
    <t>00206112020</t>
  </si>
  <si>
    <t>LGU - Quirino INFRA 2020 - 006</t>
  </si>
  <si>
    <t>GA-BAC-2020-IA-12</t>
  </si>
  <si>
    <t>2020-63 (GAS)</t>
  </si>
  <si>
    <t>2020-09 (20DI0133)</t>
  </si>
  <si>
    <t>2020-09 (20DI0132)</t>
  </si>
  <si>
    <t>2020-09 (20DI0141)</t>
  </si>
  <si>
    <t>HFEP ITB 2020-002</t>
  </si>
  <si>
    <t>Goods 0025-2020</t>
  </si>
  <si>
    <t>BAC2020-10</t>
  </si>
  <si>
    <t>GOODS-2020-131</t>
  </si>
  <si>
    <t>#096</t>
  </si>
  <si>
    <t>06-11-20-215-29NLUC</t>
  </si>
  <si>
    <t>DA8-Goods-2020-42 (PR No. CORN 20-05-29-0164)</t>
  </si>
  <si>
    <t>20GEF009 (Re-bid 1)</t>
  </si>
  <si>
    <t>Goods 0023-2020</t>
  </si>
  <si>
    <t>Goods 0017-2020</t>
  </si>
  <si>
    <t>2020-12-05-004SRDI</t>
  </si>
  <si>
    <t>Goods 0024-2020</t>
  </si>
  <si>
    <t>C-019-20</t>
  </si>
  <si>
    <t>2020-09 (20DI0144)</t>
  </si>
  <si>
    <t>20HH0136</t>
  </si>
  <si>
    <t>20EF0118</t>
  </si>
  <si>
    <t>PR No.20-0984</t>
  </si>
  <si>
    <t>20-001</t>
  </si>
  <si>
    <t>2020-11-06-006CA</t>
  </si>
  <si>
    <t>G-21-2020</t>
  </si>
  <si>
    <t>G-19-2020</t>
  </si>
  <si>
    <t>06-084-2020</t>
  </si>
  <si>
    <t>G-20-2020</t>
  </si>
  <si>
    <t>20E00084</t>
  </si>
  <si>
    <t>PR 2020-05-087</t>
  </si>
  <si>
    <t>20EF0121</t>
  </si>
  <si>
    <t>G-17-2020</t>
  </si>
  <si>
    <t>G-16-2020</t>
  </si>
  <si>
    <t>20EF0120</t>
  </si>
  <si>
    <t>2020-09 (20DI0143)</t>
  </si>
  <si>
    <t>2020-09 (20DI0135)</t>
  </si>
  <si>
    <t>G-18-2020</t>
  </si>
  <si>
    <t>2020-09 (20DI0142)</t>
  </si>
  <si>
    <t>PB2020-007 (PR No. 19-10-1288 and 19-10-1296)</t>
  </si>
  <si>
    <t>20EF0119</t>
  </si>
  <si>
    <t>2020-11-06-007OUS</t>
  </si>
  <si>
    <t>PR 2020-05-088</t>
  </si>
  <si>
    <t>20MC0086</t>
  </si>
  <si>
    <t>1870-S1-07</t>
  </si>
  <si>
    <t>075 - 2020</t>
  </si>
  <si>
    <t>1960-S3-06</t>
  </si>
  <si>
    <t>1960-36-001</t>
  </si>
  <si>
    <t>PEO-19-1503-B</t>
  </si>
  <si>
    <t>Pb-001-20</t>
  </si>
  <si>
    <t>LIMAO-BAC-08-20</t>
  </si>
  <si>
    <t>20CW-GSC-022</t>
  </si>
  <si>
    <t>LIMAO-BAC-07-20</t>
  </si>
  <si>
    <t>20M00181</t>
  </si>
  <si>
    <t>20M00179</t>
  </si>
  <si>
    <t>2020-06-068</t>
  </si>
  <si>
    <t>127 - 2020</t>
  </si>
  <si>
    <t>20CSKK0004</t>
  </si>
  <si>
    <t>BAC No. 07-05-2020</t>
  </si>
  <si>
    <t>PR 06-3531</t>
  </si>
  <si>
    <t>cgb2020-195</t>
  </si>
  <si>
    <t>164-20-06-92</t>
  </si>
  <si>
    <t>20M00180</t>
  </si>
  <si>
    <t>128 - 2020</t>
  </si>
  <si>
    <t>20-123</t>
  </si>
  <si>
    <t>20-121</t>
  </si>
  <si>
    <t>20-122</t>
  </si>
  <si>
    <t>20-117</t>
  </si>
  <si>
    <t>20-119</t>
  </si>
  <si>
    <t>20-118</t>
  </si>
  <si>
    <t>20-113</t>
  </si>
  <si>
    <t>20-109</t>
  </si>
  <si>
    <t>20-062</t>
  </si>
  <si>
    <t>20-108</t>
  </si>
  <si>
    <t>2020-GOODS-032</t>
  </si>
  <si>
    <t>2020-GOODS-031</t>
  </si>
  <si>
    <t>2020-0017</t>
  </si>
  <si>
    <t>PR 2020-05-086</t>
  </si>
  <si>
    <t>INF ITB 20-029</t>
  </si>
  <si>
    <t>NS-06-11-20</t>
  </si>
  <si>
    <t>20-114</t>
  </si>
  <si>
    <t>20-110</t>
  </si>
  <si>
    <t>2020-0018</t>
  </si>
  <si>
    <t>GOODS-06</t>
  </si>
  <si>
    <t>BAC-PGCS-007-2020</t>
  </si>
  <si>
    <t>GOODS-08</t>
  </si>
  <si>
    <t>GOODS-07</t>
  </si>
  <si>
    <t>INFRA-11</t>
  </si>
  <si>
    <t>INF ITB 20-028</t>
  </si>
  <si>
    <t>C-018-20</t>
  </si>
  <si>
    <t>GOODS-05</t>
  </si>
  <si>
    <t>INFRA-12</t>
  </si>
  <si>
    <t>20CSAI002</t>
  </si>
  <si>
    <t>2020-GOODS-030</t>
  </si>
  <si>
    <t>2020-06-102</t>
  </si>
  <si>
    <t>INFRA-2020-10</t>
  </si>
  <si>
    <t>GFW-2020-06-019</t>
  </si>
  <si>
    <t>2020-093</t>
  </si>
  <si>
    <t>ITB (CW-06-2020-018) 20DD0326</t>
  </si>
  <si>
    <t>2020-018-PB</t>
  </si>
  <si>
    <t>INFRA-2020-17</t>
  </si>
  <si>
    <t>UPLB-RQ-6-122-20-RES INFORMATION TECHNOLOGY</t>
  </si>
  <si>
    <t>REF #040-06-2020</t>
  </si>
  <si>
    <t>INFRA-15</t>
  </si>
  <si>
    <t>INFRA-2020-16</t>
  </si>
  <si>
    <t>INF ITB 20-030</t>
  </si>
  <si>
    <t>DGPD2020-RFQ06-002-G</t>
  </si>
  <si>
    <t>ITB-2020-JDL-004</t>
  </si>
  <si>
    <t>bas 2020-01</t>
  </si>
  <si>
    <t>ITB (CW-06-2020-018) 20DD0325</t>
  </si>
  <si>
    <t>GFW-2020-06-018</t>
  </si>
  <si>
    <t>INFRA-2K20-39</t>
  </si>
  <si>
    <t>ITB (CW-06-2020-018) 20DD0338</t>
  </si>
  <si>
    <t>ITB (CW-06-2020-018) 20DD0336</t>
  </si>
  <si>
    <t>PR# 20-06-0603</t>
  </si>
  <si>
    <t>ITB (CW-06-2020-018) 20DD0334</t>
  </si>
  <si>
    <t>PR No. 2020-06-000006</t>
  </si>
  <si>
    <t>ITB (CW-06-2020-018) 20DD0333</t>
  </si>
  <si>
    <t>ITB (CW-06-2020-018) 20DD0331</t>
  </si>
  <si>
    <t>ITB (CW-06-2020-018) 20DD0335</t>
  </si>
  <si>
    <t>ITB (CW-06-2020-018) 20DD0332</t>
  </si>
  <si>
    <t>INFRA-14</t>
  </si>
  <si>
    <t>ITB (CW-06-2020-018) 20DD0330</t>
  </si>
  <si>
    <t>LIB2020-001</t>
  </si>
  <si>
    <t>ITB (CW-06-2020-018) 20DD0337</t>
  </si>
  <si>
    <t>896-20</t>
  </si>
  <si>
    <t>PR 06-3514</t>
  </si>
  <si>
    <t>ITB (CW-06-2020-018) 20DD0329</t>
  </si>
  <si>
    <t>PR No. 2020-03-000025</t>
  </si>
  <si>
    <t>N-20-06-053</t>
  </si>
  <si>
    <t>IT-20-06-001</t>
  </si>
  <si>
    <t>2020-0019</t>
  </si>
  <si>
    <t>2020-04-15</t>
  </si>
  <si>
    <t>AC-2020-05-001</t>
  </si>
  <si>
    <t>BCS-2020-0105</t>
  </si>
  <si>
    <t>ITB 20-070</t>
  </si>
  <si>
    <t>B-82-2020</t>
  </si>
  <si>
    <t>INFRA 2K20-41</t>
  </si>
  <si>
    <t>951</t>
  </si>
  <si>
    <t>2020-IG-020</t>
  </si>
  <si>
    <t>N-20-06-054</t>
  </si>
  <si>
    <t>N-20-06-055</t>
  </si>
  <si>
    <t>06102020-A</t>
  </si>
  <si>
    <t>ITB (CW-06-2020-018) 20DD0327</t>
  </si>
  <si>
    <t>2020-03-14</t>
  </si>
  <si>
    <t>2020-094</t>
  </si>
  <si>
    <t>ITB-2020-PR0903</t>
  </si>
  <si>
    <t>INFRA-13</t>
  </si>
  <si>
    <t>ITB (CW-06-2020-018) 20DD0328</t>
  </si>
  <si>
    <t>20CSHN09</t>
  </si>
  <si>
    <t>ITB NO. OCD 2020-10 (INFRA)</t>
  </si>
  <si>
    <t>Pr No. 2020-06-000001</t>
  </si>
  <si>
    <t>ITB 2020-06</t>
  </si>
  <si>
    <t>20-03-0161</t>
  </si>
  <si>
    <t>N-20-06-052</t>
  </si>
  <si>
    <t>INFRA 2K20-50</t>
  </si>
  <si>
    <t>20OI0122</t>
  </si>
  <si>
    <t>INFRA 2K20-46</t>
  </si>
  <si>
    <t>ITB 2020 - 076</t>
  </si>
  <si>
    <t>20OI0121</t>
  </si>
  <si>
    <t>2020-02-023(05206441)</t>
  </si>
  <si>
    <t>Calaca 2020-048</t>
  </si>
  <si>
    <t>2020-03-13</t>
  </si>
  <si>
    <t>19-11-1126 Re-bid</t>
  </si>
  <si>
    <t>PR Nos. 1000031284, 1000031790</t>
  </si>
  <si>
    <t>20NA0072</t>
  </si>
  <si>
    <t>INFRA 2K20-49</t>
  </si>
  <si>
    <t>2020-02-0293-MAIN</t>
  </si>
  <si>
    <t>IAEB 217-20</t>
  </si>
  <si>
    <t>Calaca 2020-051</t>
  </si>
  <si>
    <t>Publication No. 31-2020-G</t>
  </si>
  <si>
    <t>ITB PR No.: 0854-20BAC</t>
  </si>
  <si>
    <t>Publication No. 29-2020-G</t>
  </si>
  <si>
    <t>2020-02-0190-MAIN</t>
  </si>
  <si>
    <t>ITB PR No.: 0853-20BAC</t>
  </si>
  <si>
    <t>ITB PR No.: 0770-20BAC</t>
  </si>
  <si>
    <t>Calaca 2020-050</t>
  </si>
  <si>
    <t>BCS-2020-0115</t>
  </si>
  <si>
    <t>2020-02-0192-MAIN</t>
  </si>
  <si>
    <t>2020-02-0384-MAIN</t>
  </si>
  <si>
    <t>Calaca 2019-133</t>
  </si>
  <si>
    <t>Publication No. 28-2020-G</t>
  </si>
  <si>
    <t>Publication No. 30-2020-G</t>
  </si>
  <si>
    <t>ITB PR No.: 0852-20BAC</t>
  </si>
  <si>
    <t>BCS-2020-0114</t>
  </si>
  <si>
    <t>sal-2020-003</t>
  </si>
  <si>
    <t>C-2020-01</t>
  </si>
  <si>
    <t>Calaca 2020-049</t>
  </si>
  <si>
    <t>2020-063</t>
  </si>
  <si>
    <t>ITB PR No.: 0816-20BAC</t>
  </si>
  <si>
    <t>PBD 20-061A</t>
  </si>
  <si>
    <t>INFRA-PB-2020-014</t>
  </si>
  <si>
    <t>20HI0093</t>
  </si>
  <si>
    <t>20CSA002</t>
  </si>
  <si>
    <t>INFRA-PB-2020-013</t>
  </si>
  <si>
    <t>INFRA-PB-2020-011</t>
  </si>
  <si>
    <t>IAEB 218-20</t>
  </si>
  <si>
    <t>ITB- 2020-06</t>
  </si>
  <si>
    <t>IB. NO. 2020-206</t>
  </si>
  <si>
    <t>20HI0071</t>
  </si>
  <si>
    <t>J.O. No. 2020-05-JO61</t>
  </si>
  <si>
    <t>BAC-HO GS No. 2020-0227 dated 26 May 2020 (SSD)</t>
  </si>
  <si>
    <t>DA3-2020-04-29-81</t>
  </si>
  <si>
    <t>BWWGEBAC #2020-004</t>
  </si>
  <si>
    <t>20-DO-0083</t>
  </si>
  <si>
    <t>INFRA-PB-2020-012</t>
  </si>
  <si>
    <t>20HI0075</t>
  </si>
  <si>
    <t>INFRA-PB-2020-010</t>
  </si>
  <si>
    <t>101-2020-05-0193</t>
  </si>
  <si>
    <t>101-2020-05-0192</t>
  </si>
  <si>
    <t>20HI0080</t>
  </si>
  <si>
    <t>101-2020-05-0191</t>
  </si>
  <si>
    <t>20-06-0273</t>
  </si>
  <si>
    <t>101-2020-05-0189</t>
  </si>
  <si>
    <t>101-2020-05-0188</t>
  </si>
  <si>
    <t>101-2020-05-0190</t>
  </si>
  <si>
    <t>101-20-06-267</t>
  </si>
  <si>
    <t>101-2020-05-0187</t>
  </si>
  <si>
    <t>Publication No. 32-2020-G</t>
  </si>
  <si>
    <t>101-2020-05-0240</t>
  </si>
  <si>
    <t>06092020</t>
  </si>
  <si>
    <t>ITB No. 20-23</t>
  </si>
  <si>
    <t>12-2020_INFR</t>
  </si>
  <si>
    <t>lam-bac-206-020</t>
  </si>
  <si>
    <t>20-05-0268</t>
  </si>
  <si>
    <t>ITB-GS-20200313-01</t>
  </si>
  <si>
    <t>QES-06-010-20</t>
  </si>
  <si>
    <t>QES-06-009-20</t>
  </si>
  <si>
    <t>20CSA001</t>
  </si>
  <si>
    <t>2020-300-06-018</t>
  </si>
  <si>
    <t>20-0661</t>
  </si>
  <si>
    <t>PR# 20-05-940</t>
  </si>
  <si>
    <t>20-0673</t>
  </si>
  <si>
    <t>C4ISR-PNBAC1-2020-25</t>
  </si>
  <si>
    <t>20053297</t>
  </si>
  <si>
    <t>2020 GDS JUN - 02</t>
  </si>
  <si>
    <t>101-2020-05-0194</t>
  </si>
  <si>
    <t>C4ISR-PNBAC1-2020-24</t>
  </si>
  <si>
    <t>0700-2020-06-018</t>
  </si>
  <si>
    <t>ITB-020-2020</t>
  </si>
  <si>
    <t>20HI0073 (re-ad)</t>
  </si>
  <si>
    <t>QSU-BAC-F-02-2020 DA-ACEF</t>
  </si>
  <si>
    <t>20-003</t>
  </si>
  <si>
    <t>20HI0092</t>
  </si>
  <si>
    <t>20HI0072</t>
  </si>
  <si>
    <t>101-2020-05-0218</t>
  </si>
  <si>
    <t>2020-06-09-002</t>
  </si>
  <si>
    <t>101-2020-05-0238</t>
  </si>
  <si>
    <t>BCS-2020-0100</t>
  </si>
  <si>
    <t>PB 20-020-5</t>
  </si>
  <si>
    <t>Goods 0028-2020</t>
  </si>
  <si>
    <t>INFRA-20-06</t>
  </si>
  <si>
    <t>101-2020-05-0239</t>
  </si>
  <si>
    <t>20GKF0040</t>
  </si>
  <si>
    <t>20GKF0037</t>
  </si>
  <si>
    <t>BCS-2020-0101</t>
  </si>
  <si>
    <t>20GKF0036</t>
  </si>
  <si>
    <t>09087 &amp; 09320</t>
  </si>
  <si>
    <t>20NC0125</t>
  </si>
  <si>
    <t>3-01-001-20-076</t>
  </si>
  <si>
    <t>INFRA-20-06-0592</t>
  </si>
  <si>
    <t>20GKF0039</t>
  </si>
  <si>
    <t>IB NO. 2020-06-29 (12)</t>
  </si>
  <si>
    <t>20GKF0038</t>
  </si>
  <si>
    <t>REI - 2020 - 01</t>
  </si>
  <si>
    <t>PB2020-07-045I</t>
  </si>
  <si>
    <t>KAT-06-2020-001</t>
  </si>
  <si>
    <t>RFQ 2020-01</t>
  </si>
  <si>
    <t>BCS-2020-0102</t>
  </si>
  <si>
    <t>Kapalong2020102</t>
  </si>
  <si>
    <t>RFQ NO. SVP-008-2020</t>
  </si>
  <si>
    <t>PB2020-07-046I</t>
  </si>
  <si>
    <t>Kapalong2020101</t>
  </si>
  <si>
    <t>IB NO. 2020-06-29 (13)</t>
  </si>
  <si>
    <t>PB2020-07-044I</t>
  </si>
  <si>
    <t>2020-0900-003</t>
  </si>
  <si>
    <t>17202005052</t>
  </si>
  <si>
    <t>PB2020-06-041I</t>
  </si>
  <si>
    <t>2020-06-82</t>
  </si>
  <si>
    <t>PB2020-07-042I</t>
  </si>
  <si>
    <t>202039</t>
  </si>
  <si>
    <t>2020-GOODS-32</t>
  </si>
  <si>
    <t>CONTRACT ID: 19-10-208 REBID</t>
  </si>
  <si>
    <t>100-20-05-0543</t>
  </si>
  <si>
    <t>ITB2020-06-77-MTPB</t>
  </si>
  <si>
    <t>20FL0084</t>
  </si>
  <si>
    <t>PB2020-07-043I</t>
  </si>
  <si>
    <t>2020-06-0029</t>
  </si>
  <si>
    <t>20FL0078</t>
  </si>
  <si>
    <t>19CSK00055</t>
  </si>
  <si>
    <t>20FL0085</t>
  </si>
  <si>
    <t>06082020</t>
  </si>
  <si>
    <t>20NC0124</t>
  </si>
  <si>
    <t>19CSK00053</t>
  </si>
  <si>
    <t>682020</t>
  </si>
  <si>
    <t>PR No. 20-0905</t>
  </si>
  <si>
    <t>2020-06-0030</t>
  </si>
  <si>
    <t>SVP 2020-339</t>
  </si>
  <si>
    <t>6820201</t>
  </si>
  <si>
    <t>19CSK00056</t>
  </si>
  <si>
    <t>SVP 2020-341</t>
  </si>
  <si>
    <t>19CSK00054</t>
  </si>
  <si>
    <t>SVP 2020-338</t>
  </si>
  <si>
    <t>00041-20-0219-0167</t>
  </si>
  <si>
    <t>2020 GDS JUN</t>
  </si>
  <si>
    <t>IAEB 178-20</t>
  </si>
  <si>
    <t>20HI0088</t>
  </si>
  <si>
    <t>BCS-2020-0094</t>
  </si>
  <si>
    <t>20HI0078</t>
  </si>
  <si>
    <t>20HI0059</t>
  </si>
  <si>
    <t>20HI0035</t>
  </si>
  <si>
    <t>IAEB 085-20</t>
  </si>
  <si>
    <t>PR# 20-05-897</t>
  </si>
  <si>
    <t>SVP 2020-343</t>
  </si>
  <si>
    <t>27608-001</t>
  </si>
  <si>
    <t>20HI0067</t>
  </si>
  <si>
    <t>27611-001</t>
  </si>
  <si>
    <t>2020-087</t>
  </si>
  <si>
    <t>50011012020</t>
  </si>
  <si>
    <t>20CSCJ01</t>
  </si>
  <si>
    <t>ITB NO. 2020-0013</t>
  </si>
  <si>
    <t>20HI0060</t>
  </si>
  <si>
    <t>ITB NO. 2020-0012</t>
  </si>
  <si>
    <t>TAG-SDS-051-2020</t>
  </si>
  <si>
    <t>DWD-03-2020</t>
  </si>
  <si>
    <t>ITB No. (INF) 2020-06-088 CONSTRUCTION OF BRGY. RO</t>
  </si>
  <si>
    <t xml:space="preserve">ITB No. (INF) 2020-06-087 CONCRETING OF HOLLYWOOD </t>
  </si>
  <si>
    <t>6004012020</t>
  </si>
  <si>
    <t>CBSUA-SIP-GOODS-09-2020</t>
  </si>
  <si>
    <t>6005012020</t>
  </si>
  <si>
    <t>2020-S002</t>
  </si>
  <si>
    <t>2020-S001</t>
  </si>
  <si>
    <t>PGLDN 101-20-05-1052</t>
  </si>
  <si>
    <t>2020 001</t>
  </si>
  <si>
    <t>ITB-2019-PW-01</t>
  </si>
  <si>
    <t>20NC0119</t>
  </si>
  <si>
    <t>S1-MOP20-002</t>
  </si>
  <si>
    <t>20013052020</t>
  </si>
  <si>
    <t>ITB 2020-05</t>
  </si>
  <si>
    <t>I.D. NO. –June2-2020-460</t>
  </si>
  <si>
    <t>MKWD2020-041</t>
  </si>
  <si>
    <t>2020-0011</t>
  </si>
  <si>
    <t>20GB0123</t>
  </si>
  <si>
    <t>ITB PR No.: 0605-20BAC</t>
  </si>
  <si>
    <t>TAG-SDS-053-2020</t>
  </si>
  <si>
    <t>ITB PR No.: 0604-20BAC</t>
  </si>
  <si>
    <t>ITB PR No.: 3310-19BAC</t>
  </si>
  <si>
    <t>ITB PR No.: 0698-20BAC</t>
  </si>
  <si>
    <t>ITB PR No.: 0952-20BAC</t>
  </si>
  <si>
    <t>ITB PR No.: 0697-20BAC</t>
  </si>
  <si>
    <t>ITB PR No.: 0691-20BAC</t>
  </si>
  <si>
    <t>I.D. NO. –June2-2020-457</t>
  </si>
  <si>
    <t>I.D. NO. –June2-2020-455</t>
  </si>
  <si>
    <t>ITB PR No.: 0694-20BAC</t>
  </si>
  <si>
    <t>I.D. NO. –June2-2020-465</t>
  </si>
  <si>
    <t>I.D. NO. –June2-2020-459</t>
  </si>
  <si>
    <t>I.D. NO. –June2-2020-464</t>
  </si>
  <si>
    <t>I.D. NO. –June2-2020-466</t>
  </si>
  <si>
    <t>I.D. NO. –June2-2020-463</t>
  </si>
  <si>
    <t>I.D. NO. –June2-2020-462</t>
  </si>
  <si>
    <t>I.D. NO. –June2-2020-461</t>
  </si>
  <si>
    <t>2020-062-13</t>
  </si>
  <si>
    <t>20-06-04-IN</t>
  </si>
  <si>
    <t>20-06-03-IN</t>
  </si>
  <si>
    <t>I.D. NO. –June2-2020-458</t>
  </si>
  <si>
    <t>20F00113</t>
  </si>
  <si>
    <t>20F00110</t>
  </si>
  <si>
    <t>20F00059</t>
  </si>
  <si>
    <t>GOODS-006-2020</t>
  </si>
  <si>
    <t>2020-02-INFRA-JUNE-01</t>
  </si>
  <si>
    <t>BAC 2020-67</t>
  </si>
  <si>
    <t>SAM-2020-18</t>
  </si>
  <si>
    <t>RFP 2020-03</t>
  </si>
  <si>
    <t>20BF0052</t>
  </si>
  <si>
    <t>I.D. NO. –June2-2020-456</t>
  </si>
  <si>
    <t>20F00123</t>
  </si>
  <si>
    <t>MZSP-2020-041</t>
  </si>
  <si>
    <t>20KA0142</t>
  </si>
  <si>
    <t>PR 74568</t>
  </si>
  <si>
    <t>SVP 20-1000-1</t>
  </si>
  <si>
    <t>IB-2020-060</t>
  </si>
  <si>
    <t>PR 74462</t>
  </si>
  <si>
    <t>PR No. 2020-05-000010</t>
  </si>
  <si>
    <t>20-03-0226</t>
  </si>
  <si>
    <t>20KA0141</t>
  </si>
  <si>
    <t>SVP 20-1000-2</t>
  </si>
  <si>
    <t>20FO0092</t>
  </si>
  <si>
    <t>2020-05-41</t>
  </si>
  <si>
    <t>SRAVIS 20-06-272</t>
  </si>
  <si>
    <t>20KA0136</t>
  </si>
  <si>
    <t>20KA0135</t>
  </si>
  <si>
    <t>20KA0139</t>
  </si>
  <si>
    <t>20KA0138</t>
  </si>
  <si>
    <t>19Z00043</t>
  </si>
  <si>
    <t>PR 74514</t>
  </si>
  <si>
    <t>20KA0137</t>
  </si>
  <si>
    <t>R3-BANE-SIP-2020-NE-63R</t>
  </si>
  <si>
    <t>20-03-0182</t>
  </si>
  <si>
    <t>ITB-GS-20200402-01</t>
  </si>
  <si>
    <t>08701</t>
  </si>
  <si>
    <t>ITB-GS-20200323-01</t>
  </si>
  <si>
    <t>MG-A7M20-051</t>
  </si>
  <si>
    <t>FSDE18-CN-043-20</t>
  </si>
  <si>
    <t>2020-000-028</t>
  </si>
  <si>
    <t>20F00114</t>
  </si>
  <si>
    <t>20-978</t>
  </si>
  <si>
    <t>20P00009</t>
  </si>
  <si>
    <t>20KA0140</t>
  </si>
  <si>
    <t>20P00006</t>
  </si>
  <si>
    <t>IB NO. 2020-172-A</t>
  </si>
  <si>
    <t>20P00017</t>
  </si>
  <si>
    <t>R3-BANE-SIP-2020-NE-62R</t>
  </si>
  <si>
    <t>ITB-GS-20200407-01</t>
  </si>
  <si>
    <t>2020-05-06a</t>
  </si>
  <si>
    <t>20P00005</t>
  </si>
  <si>
    <t>SVP 2020-320</t>
  </si>
  <si>
    <t>20-03-00198</t>
  </si>
  <si>
    <t>20C00036</t>
  </si>
  <si>
    <t>BFAR5BAC-2020-081</t>
  </si>
  <si>
    <t>PSYS-20-05-002</t>
  </si>
  <si>
    <t>ITB No. 2020-02</t>
  </si>
  <si>
    <t>20C00042</t>
  </si>
  <si>
    <t>20-009-10 Charlie</t>
  </si>
  <si>
    <t>20BG0135</t>
  </si>
  <si>
    <t>BSWM PR 2020-02-1006</t>
  </si>
  <si>
    <t>ITB No. 2020-03</t>
  </si>
  <si>
    <t>20BG0137</t>
  </si>
  <si>
    <t>20BG0136</t>
  </si>
  <si>
    <t>20BG0131</t>
  </si>
  <si>
    <t>BSWM PR 2020-03-1068</t>
  </si>
  <si>
    <t>SVP 20-786</t>
  </si>
  <si>
    <t>20CSH022</t>
  </si>
  <si>
    <t>BFAR5BAC-2020-051</t>
  </si>
  <si>
    <t>TAL-06-03-2020</t>
  </si>
  <si>
    <t>ITB 2020-INFRA-007</t>
  </si>
  <si>
    <t>ITB 2020-INFRA-006</t>
  </si>
  <si>
    <t>ITB 2020-INFRA-005</t>
  </si>
  <si>
    <t>ITB 2020-INFRA-002</t>
  </si>
  <si>
    <t>DTI PB-20-010</t>
  </si>
  <si>
    <t>ITB 2020-INFRA-001</t>
  </si>
  <si>
    <t>ISS 2020-008-IT</t>
  </si>
  <si>
    <t>ITB-GS-20200212-01</t>
  </si>
  <si>
    <t>BFAR5BAC-2020-050</t>
  </si>
  <si>
    <t>20AC0083</t>
  </si>
  <si>
    <t>20HM0083 (RE-IB)</t>
  </si>
  <si>
    <t>20AC0091</t>
  </si>
  <si>
    <t>20AC0087</t>
  </si>
  <si>
    <t>BFAR5BAC-2020-039</t>
  </si>
  <si>
    <t>ITB 2020-INFRA-004</t>
  </si>
  <si>
    <t>20AC0090</t>
  </si>
  <si>
    <t>ITB-GS-20191202-01</t>
  </si>
  <si>
    <t>S1-ADP20-009</t>
  </si>
  <si>
    <t>20AC0089</t>
  </si>
  <si>
    <t>S1-MRN20-014</t>
  </si>
  <si>
    <t>BFAR5BAC-2020-053</t>
  </si>
  <si>
    <t>ITB-GS-20200304-01</t>
  </si>
  <si>
    <t>ITB-GS-20200305-03</t>
  </si>
  <si>
    <t>2020-02-0297</t>
  </si>
  <si>
    <t>ITB 2020-INFRA-003</t>
  </si>
  <si>
    <t>20AC0088</t>
  </si>
  <si>
    <t>20K00347</t>
  </si>
  <si>
    <t>CDC 47-03-2020</t>
  </si>
  <si>
    <t>20F00109</t>
  </si>
  <si>
    <t>ITB-GS-20190703-01(2)</t>
  </si>
  <si>
    <t>20CSIO09</t>
  </si>
  <si>
    <t>20F00111</t>
  </si>
  <si>
    <t>CID No. 20CSIO13</t>
  </si>
  <si>
    <t>CID No. 20CSIO08</t>
  </si>
  <si>
    <t>2020059</t>
  </si>
  <si>
    <t>2020-CIMS(008)-PB-001</t>
  </si>
  <si>
    <t>S1-MTS20-018</t>
  </si>
  <si>
    <t>03-012-2020</t>
  </si>
  <si>
    <t>20AC0081</t>
  </si>
  <si>
    <t>CS 2020-01</t>
  </si>
  <si>
    <t>20AC0084</t>
  </si>
  <si>
    <t>CID No. 20CSIO12</t>
  </si>
  <si>
    <t>GSO-20-0202-B</t>
  </si>
  <si>
    <t>BSWM PR 2020-01-0851</t>
  </si>
  <si>
    <t>001-01-2020</t>
  </si>
  <si>
    <t>nlontoc-ITB050-2020</t>
  </si>
  <si>
    <t>ITB-GS-20200217-01</t>
  </si>
  <si>
    <t>20AC0078</t>
  </si>
  <si>
    <t>20AC0076</t>
  </si>
  <si>
    <t>2020-01-0016</t>
  </si>
  <si>
    <t>20OD0188</t>
  </si>
  <si>
    <t>20CSH0002</t>
  </si>
  <si>
    <t>SVP 2020-164</t>
  </si>
  <si>
    <t>UPLB-IF-016-03-20</t>
  </si>
  <si>
    <t>PB 20-16</t>
  </si>
  <si>
    <t>UPLB-IF-015-03-20</t>
  </si>
  <si>
    <t>20CE0202</t>
  </si>
  <si>
    <t>ITB No. PB20-03-003DAV</t>
  </si>
  <si>
    <t>20AC0077</t>
  </si>
  <si>
    <t>PBD - 2020 - 04_GATE VALVES</t>
  </si>
  <si>
    <t>G-2020-03-011-GF 2019</t>
  </si>
  <si>
    <t>CID No. 20CSIO10</t>
  </si>
  <si>
    <t>20AC0079</t>
  </si>
  <si>
    <t>S1-LOD20-012</t>
  </si>
  <si>
    <t>BFAR5BAC-2020-029</t>
  </si>
  <si>
    <t>ITB No. 20-049</t>
  </si>
  <si>
    <t>20AC0082</t>
  </si>
  <si>
    <t>BFAR5BAC-2020-032</t>
  </si>
  <si>
    <t>ITB No. PB20-01-007ANGa-03</t>
  </si>
  <si>
    <t>sangabriel-02</t>
  </si>
  <si>
    <t>20-DO-0075</t>
  </si>
  <si>
    <t>20AC0075</t>
  </si>
  <si>
    <t>BAC-GS No. 2020-046</t>
  </si>
  <si>
    <t>UPLB-RES-030-04-20 LAB AND SCIEN. EQUIPMENT</t>
  </si>
  <si>
    <t>ITB-GS-20191023-01(2)</t>
  </si>
  <si>
    <t>20AC0074</t>
  </si>
  <si>
    <t>20AI0126</t>
  </si>
  <si>
    <t>UPLB-RES-031-04-20 CHEMICALS AND CHEMICAL PRODUCTS</t>
  </si>
  <si>
    <t>20CE0203</t>
  </si>
  <si>
    <t>SBAC-AIR-INFR-2020-01</t>
  </si>
  <si>
    <t>03072020</t>
  </si>
  <si>
    <t>20AC0062</t>
  </si>
  <si>
    <t xml:space="preserve">UPLB-RES-029-04-20 DIAGNOSTIC AND LAB SERVICE FOR </t>
  </si>
  <si>
    <t>UPLB-RES-027-04-20 INFORMATION TECHNOLOGY FOR ICS</t>
  </si>
  <si>
    <t>20AC0061</t>
  </si>
  <si>
    <t>20OE0197</t>
  </si>
  <si>
    <t>CDC 41-03-2020</t>
  </si>
  <si>
    <t>20AC0060</t>
  </si>
  <si>
    <t>20AC0058</t>
  </si>
  <si>
    <t>20AC0069</t>
  </si>
  <si>
    <t>CDC 45-03-2020</t>
  </si>
  <si>
    <t>19-10-0950 Re-Bid</t>
  </si>
  <si>
    <t>20AC0067</t>
  </si>
  <si>
    <t>PR 73549</t>
  </si>
  <si>
    <t>PR 74126</t>
  </si>
  <si>
    <t>20AC0080</t>
  </si>
  <si>
    <t>20AC0065</t>
  </si>
  <si>
    <t>20AC0057</t>
  </si>
  <si>
    <t>20AC0073</t>
  </si>
  <si>
    <t>20AI0125</t>
  </si>
  <si>
    <t>20CF0128</t>
  </si>
  <si>
    <t>PB-2020-02</t>
  </si>
  <si>
    <t>PROCUREMENT OF OTHER SUPPLIES AND MATERIALS (SUPPL</t>
  </si>
  <si>
    <t>20AC0066</t>
  </si>
  <si>
    <t>20AC0064</t>
  </si>
  <si>
    <t>INF-001-2020</t>
  </si>
  <si>
    <t>BAC-ITIO GS No. 2020-0011</t>
  </si>
  <si>
    <t>BCS-2020-0085</t>
  </si>
  <si>
    <t>20AC0059</t>
  </si>
  <si>
    <t>UPC PB2020-03-04</t>
  </si>
  <si>
    <t>UPC PB2020-03-03</t>
  </si>
  <si>
    <t>20AC0072</t>
  </si>
  <si>
    <t>20OE0091</t>
  </si>
  <si>
    <t>19CSK00047</t>
  </si>
  <si>
    <t>PEO CO-2019-SB 2-1-07-04-010</t>
  </si>
  <si>
    <t>PEO CO-2016</t>
  </si>
  <si>
    <t>20% DF-2018-emib-SB</t>
  </si>
  <si>
    <t>PEO CO-2019-1-07-03-990</t>
  </si>
  <si>
    <t>INF-002-2020</t>
  </si>
  <si>
    <t>20FA0050</t>
  </si>
  <si>
    <t>dfppurch20-044</t>
  </si>
  <si>
    <t>BCS-2020-0078</t>
  </si>
  <si>
    <t>ITB-GS-20200219-01</t>
  </si>
  <si>
    <t>TAS-20-03-068</t>
  </si>
  <si>
    <t>20AC0068</t>
  </si>
  <si>
    <t>PR 74122</t>
  </si>
  <si>
    <t>20OE0196</t>
  </si>
  <si>
    <t>20IL0175</t>
  </si>
  <si>
    <t>PB 2020-03-06_Security Personnel Services</t>
  </si>
  <si>
    <t>BCS-2020-0081</t>
  </si>
  <si>
    <t>20-03-02</t>
  </si>
  <si>
    <t>ITB-009-2020</t>
  </si>
  <si>
    <t>RFQ-008-2020</t>
  </si>
  <si>
    <t>ITB-007-2020</t>
  </si>
  <si>
    <t>ITB-006-2020</t>
  </si>
  <si>
    <t>ITB-004-2020</t>
  </si>
  <si>
    <t>ITB-003-2020</t>
  </si>
  <si>
    <t>BCS-2020-0084</t>
  </si>
  <si>
    <t>MCPD2020-RFQ03-002-G</t>
  </si>
  <si>
    <t>ITB-010-2020</t>
  </si>
  <si>
    <t>S1-ROM20-007</t>
  </si>
  <si>
    <t>INF-005-2020</t>
  </si>
  <si>
    <t>ITB-GS-20200224-01</t>
  </si>
  <si>
    <t>PB-03-20</t>
  </si>
  <si>
    <t>2020-03-0015</t>
  </si>
  <si>
    <t>CDC 36-03-2020</t>
  </si>
  <si>
    <t>PB-04-20</t>
  </si>
  <si>
    <t>ITB No. PB20-03-002DAV</t>
  </si>
  <si>
    <t>EMBR02-PB-CONSULTINGSERVICES- EMED022020-066</t>
  </si>
  <si>
    <t>CDC 39-03-2020</t>
  </si>
  <si>
    <t>2020-06 (Rebidding)</t>
  </si>
  <si>
    <t>20FA0049</t>
  </si>
  <si>
    <t>CDC 38-03-2020</t>
  </si>
  <si>
    <t>ITB-GS-20200218-01</t>
  </si>
  <si>
    <t>PEO CO-2019-1-07-03-010</t>
  </si>
  <si>
    <t>CDC 37-03-2020</t>
  </si>
  <si>
    <t>PEO CO-2018-1-07-03-010</t>
  </si>
  <si>
    <t>20AC0063</t>
  </si>
  <si>
    <t>UPLB-S-044-03-20</t>
  </si>
  <si>
    <t>BAC Ref No. 02-2020WPMS</t>
  </si>
  <si>
    <t>CDC 32-02-2020</t>
  </si>
  <si>
    <t>BCS-2020-0080</t>
  </si>
  <si>
    <t>CARC- 2020-GS-01</t>
  </si>
  <si>
    <t>20-DO-0068</t>
  </si>
  <si>
    <t>CDC 33-02-2020</t>
  </si>
  <si>
    <t>20BG0116</t>
  </si>
  <si>
    <t>PB-IP-01-2020</t>
  </si>
  <si>
    <t>2020-02 Infra (Rebid 2020 BEFF Lot 6)</t>
  </si>
  <si>
    <t>SBAC-CS-2020-03-03</t>
  </si>
  <si>
    <t>SAM-2020-14</t>
  </si>
  <si>
    <t>20FA0048</t>
  </si>
  <si>
    <t>19CSK00048</t>
  </si>
  <si>
    <t>20CE0199</t>
  </si>
  <si>
    <t>BAC 2020-018</t>
  </si>
  <si>
    <t>UPLB-S-030-03-20</t>
  </si>
  <si>
    <t>ITB No. PB20-01-017COR</t>
  </si>
  <si>
    <t>BAC No. 2020-016</t>
  </si>
  <si>
    <t>BAC No. 2020-017</t>
  </si>
  <si>
    <t>BAC No. 2020-015</t>
  </si>
  <si>
    <t>BAC Ref No. 04-2020SFC</t>
  </si>
  <si>
    <t>BAC Ref No. 03-2020PTC</t>
  </si>
  <si>
    <t>20GO0038</t>
  </si>
  <si>
    <t>UPLB-CSLT-002-03-20</t>
  </si>
  <si>
    <t>UPLB-CSLT-001-03-20</t>
  </si>
  <si>
    <t>20OE0190</t>
  </si>
  <si>
    <t>19CSFC03</t>
  </si>
  <si>
    <t>MCPD2020-RFQ01-002-G</t>
  </si>
  <si>
    <t>ITB-2020-04</t>
  </si>
  <si>
    <t>BAC 2020-012</t>
  </si>
  <si>
    <t>20OE0194</t>
  </si>
  <si>
    <t>20OE0192</t>
  </si>
  <si>
    <t>20OE0188</t>
  </si>
  <si>
    <t>20OE0187</t>
  </si>
  <si>
    <t>20CI0064</t>
  </si>
  <si>
    <t>ITB-CW-20200124-01</t>
  </si>
  <si>
    <t>CAT-2020-001</t>
  </si>
  <si>
    <t>BAC No. 2020-019</t>
  </si>
  <si>
    <t>20OE0189</t>
  </si>
  <si>
    <t>20OE0138</t>
  </si>
  <si>
    <t>20HD0080</t>
  </si>
  <si>
    <t>20OE0193</t>
  </si>
  <si>
    <t>ITB-CW-20200121-01</t>
  </si>
  <si>
    <t>20HD0072</t>
  </si>
  <si>
    <t>20KA0101 (Readvertisement)</t>
  </si>
  <si>
    <t>20OE0173</t>
  </si>
  <si>
    <t>19CSK00049</t>
  </si>
  <si>
    <t>20HD0071</t>
  </si>
  <si>
    <t>20FA0040</t>
  </si>
  <si>
    <t>20JC0063</t>
  </si>
  <si>
    <t>DENR-CO-2020-002</t>
  </si>
  <si>
    <t>CDC 22-02-2020</t>
  </si>
  <si>
    <t>CDC 18-02-2020</t>
  </si>
  <si>
    <t>BAC ITIO CS No. 2020-0006 dated 17 Jan 2020</t>
  </si>
  <si>
    <t>20K00282</t>
  </si>
  <si>
    <t>CDC 125-11-2019</t>
  </si>
  <si>
    <t>20OE0166</t>
  </si>
  <si>
    <t>CDC 94-08-2019</t>
  </si>
  <si>
    <t>20OE0185</t>
  </si>
  <si>
    <t>EXPO DUBAI-31158</t>
  </si>
  <si>
    <t>20K00270</t>
  </si>
  <si>
    <t>20OE0195</t>
  </si>
  <si>
    <t>PB No. 19-341-7</t>
  </si>
  <si>
    <t>CDC 01-01-2020</t>
  </si>
  <si>
    <t>20J00091</t>
  </si>
  <si>
    <t>20J00090</t>
  </si>
  <si>
    <t>20J00089</t>
  </si>
  <si>
    <t>SVP 2020-27</t>
  </si>
  <si>
    <t>GOODS2020-11</t>
  </si>
  <si>
    <t>20JC0055</t>
  </si>
  <si>
    <t>20OD0131</t>
  </si>
  <si>
    <t>20KB0057</t>
  </si>
  <si>
    <t>PR NO. 73931</t>
  </si>
  <si>
    <t>20OE0191</t>
  </si>
  <si>
    <t>20HD0064</t>
  </si>
  <si>
    <t>20K00275</t>
  </si>
  <si>
    <t>20J00092</t>
  </si>
  <si>
    <t>20K00285</t>
  </si>
  <si>
    <t>CDC 28-02-2020</t>
  </si>
  <si>
    <t>CDC 27-02-2020</t>
  </si>
  <si>
    <t>20OE0114</t>
  </si>
  <si>
    <t>20OE0108</t>
  </si>
  <si>
    <t>UPLB-S-038-03-20</t>
  </si>
  <si>
    <t>cdc 14-01-2020</t>
  </si>
  <si>
    <t>CID No. 20IO0070</t>
  </si>
  <si>
    <t>BAC19-001-004</t>
  </si>
  <si>
    <t>20FA0047</t>
  </si>
  <si>
    <t>R4-INFRA2020-01-004</t>
  </si>
  <si>
    <t>R4-INFRA2020-01-003</t>
  </si>
  <si>
    <t>19-053-10 Bravo (Re-bid)</t>
  </si>
  <si>
    <t>20AC0071</t>
  </si>
  <si>
    <t>BSWM PR 2020-01-0788</t>
  </si>
  <si>
    <t>BSWM PR 2020-01-0675</t>
  </si>
  <si>
    <t>RFQ NO. 20-03-305</t>
  </si>
  <si>
    <t>CDC 23-02-2020</t>
  </si>
  <si>
    <t>BCS-2019-0065</t>
  </si>
  <si>
    <t>CDC 30-02-2020</t>
  </si>
  <si>
    <t>20CSH021</t>
  </si>
  <si>
    <t>BSWM PR 2020-02-1005 &amp; 0796</t>
  </si>
  <si>
    <t>20CSH020</t>
  </si>
  <si>
    <t>BSWM PR 2020-01-0801</t>
  </si>
  <si>
    <t>20CSH019</t>
  </si>
  <si>
    <t>20CI0087</t>
  </si>
  <si>
    <t>BSWM PR 2020-02-1012</t>
  </si>
  <si>
    <t>19Z00001</t>
  </si>
  <si>
    <t>20CSH016</t>
  </si>
  <si>
    <t>20HG0162 RE-BID</t>
  </si>
  <si>
    <t>20HG0161 RE-BID</t>
  </si>
  <si>
    <t>RFQ NO 20-03-306</t>
  </si>
  <si>
    <t>SVP 20-993</t>
  </si>
  <si>
    <t>MBHTE-BARMM-SUPPLY-B011-2020</t>
  </si>
  <si>
    <t>20F00089</t>
  </si>
  <si>
    <t>20-03-0221</t>
  </si>
  <si>
    <t>20BF0054</t>
  </si>
  <si>
    <t>PR 74424</t>
  </si>
  <si>
    <t>nego8</t>
  </si>
  <si>
    <t>ITB-GS-20200325-01</t>
  </si>
  <si>
    <t>19Z00042</t>
  </si>
  <si>
    <t>20BF0053</t>
  </si>
  <si>
    <t>S1-MQN20-007</t>
  </si>
  <si>
    <t>19-83-408</t>
  </si>
  <si>
    <t>PB-CW-2020-018</t>
  </si>
  <si>
    <t>GOOD-005-2020</t>
  </si>
  <si>
    <t>PB-CW-2020-016</t>
  </si>
  <si>
    <t>S1-TDP20-013</t>
  </si>
  <si>
    <t>19-83-180</t>
  </si>
  <si>
    <t>BS20-03-0520</t>
  </si>
  <si>
    <t>2020-06-0028</t>
  </si>
  <si>
    <t>27619-001 to 27619-003</t>
  </si>
  <si>
    <t>Contract No. PB-CW-2020-017</t>
  </si>
  <si>
    <t>PR# 20-05-941</t>
  </si>
  <si>
    <t>ITB 20-03-142</t>
  </si>
  <si>
    <t>19-82-071</t>
  </si>
  <si>
    <t>20OD0126</t>
  </si>
  <si>
    <t>PR# 20-05-939</t>
  </si>
  <si>
    <t>BS20-02-0215-1</t>
  </si>
  <si>
    <t>27388-001</t>
  </si>
  <si>
    <t>PR-2020-05-116</t>
  </si>
  <si>
    <t>Implementing Rules and Regulations</t>
  </si>
  <si>
    <t>WB Procurement Guidelines</t>
  </si>
  <si>
    <t>Others</t>
  </si>
  <si>
    <t>ADB Procurement Guidelines</t>
  </si>
  <si>
    <t>International / Executive Agreement</t>
  </si>
  <si>
    <t>ADB Guidelines on the use of Consultants</t>
  </si>
  <si>
    <t>Public Bidding</t>
  </si>
  <si>
    <t>Negotiated Procurement - Small Value Procurement (Sec. 53.9)</t>
  </si>
  <si>
    <t>Shopping</t>
  </si>
  <si>
    <t>Shopping - Ordinary/Regular Office Supplies &amp; Equipment (Sec. 52.1.b)</t>
  </si>
  <si>
    <t>Negotiated Procurement - Two Failed Biddings (Sec. 53.1)</t>
  </si>
  <si>
    <t>Negotiated Procurement - NGO Participation (Sec. 53.11)</t>
  </si>
  <si>
    <t>Selection based on Consultants Qualification</t>
  </si>
  <si>
    <t>National Competitive Bidding</t>
  </si>
  <si>
    <t>International Competitive Bidding</t>
  </si>
  <si>
    <t>Goods - General Support Services</t>
  </si>
  <si>
    <t>Consulting Services</t>
  </si>
  <si>
    <t>Civil Works</t>
  </si>
  <si>
    <t>Vehicles</t>
  </si>
  <si>
    <t>Office Equipment Supplies and Consumables</t>
  </si>
  <si>
    <t>Construction Projects</t>
  </si>
  <si>
    <t>Medical Supplies and Laboratory Instrument</t>
  </si>
  <si>
    <t>Well Drilling and Construction Services</t>
  </si>
  <si>
    <t>Garments</t>
  </si>
  <si>
    <t>Laboratory Supplies and Equipment</t>
  </si>
  <si>
    <t>Hardware and Construction Supplies</t>
  </si>
  <si>
    <t>Fuels/Fuel Additives &amp; Lubricants &amp; Anti Corrosive</t>
  </si>
  <si>
    <t>Electrical Systems and Lighting Components</t>
  </si>
  <si>
    <t>Water Service Connection Materials/Fittings</t>
  </si>
  <si>
    <t>Animal Feeds</t>
  </si>
  <si>
    <t>Airconditioning and Airconditioning Systems</t>
  </si>
  <si>
    <t>Fixtures</t>
  </si>
  <si>
    <t>Security Services</t>
  </si>
  <si>
    <t>General Contractor</t>
  </si>
  <si>
    <t>Surveying Services</t>
  </si>
  <si>
    <t>Vehicle Parts and Accessories</t>
  </si>
  <si>
    <t>Photography Services</t>
  </si>
  <si>
    <t>Agricultural Machinery and Equipment</t>
  </si>
  <si>
    <t>Power Generation and Distribution Machinery</t>
  </si>
  <si>
    <t>Information Technology Parts &amp; Accessories &amp; Perip</t>
  </si>
  <si>
    <t>Educational Materials and Supplies</t>
  </si>
  <si>
    <t>Construction Equipment</t>
  </si>
  <si>
    <t>Printing Supplies</t>
  </si>
  <si>
    <t>Advertising Agency Services</t>
  </si>
  <si>
    <t>Medical and Dental Equipment</t>
  </si>
  <si>
    <t>Hospital / Medical Equipment</t>
  </si>
  <si>
    <t>Kitchenware</t>
  </si>
  <si>
    <t>Appliances</t>
  </si>
  <si>
    <t>Furniture</t>
  </si>
  <si>
    <t>Sporting Goods</t>
  </si>
  <si>
    <t>Fire Fighting &amp; Rescue and Safety Equipment</t>
  </si>
  <si>
    <t>Purses, handbags and bags</t>
  </si>
  <si>
    <t>Office Equipment Parts and Accessories</t>
  </si>
  <si>
    <t>Agricultural Products (Seeds, Seedlings, Plants..)</t>
  </si>
  <si>
    <t>IT Broadcasting and Telecommunications</t>
  </si>
  <si>
    <t>Industrial pumps and compressors</t>
  </si>
  <si>
    <t>General Repair and Maintenance Services</t>
  </si>
  <si>
    <t>Communication Equipment &amp; Parts and Accessories</t>
  </si>
  <si>
    <t>Packaging Supplies and Materials</t>
  </si>
  <si>
    <t>Services</t>
  </si>
  <si>
    <t>Printing Services</t>
  </si>
  <si>
    <t>Musical Instruments</t>
  </si>
  <si>
    <t>Safety and Occupational Products</t>
  </si>
  <si>
    <t>Signage and Accessories</t>
  </si>
  <si>
    <t>Security Surveillance and Detection Equipment</t>
  </si>
  <si>
    <t>Water and Waste Water Treatment Supply &amp; Disposal</t>
  </si>
  <si>
    <t>Tokens and Awards</t>
  </si>
  <si>
    <t>Fertilizers</t>
  </si>
  <si>
    <t>Landscaping Services</t>
  </si>
  <si>
    <t>Books, Maps and Other Publications</t>
  </si>
  <si>
    <t>Audio and Visual Equipment</t>
  </si>
  <si>
    <t>Plastic Products</t>
  </si>
  <si>
    <t>Personal Care Products</t>
  </si>
  <si>
    <t>Surveying Instruments</t>
  </si>
  <si>
    <t>Live Animals (Livestock, Birds, Live fish &amp; etc..)</t>
  </si>
  <si>
    <t>Diagnostic and Laboratory Services</t>
  </si>
  <si>
    <t>Pest Control Products</t>
  </si>
  <si>
    <t>Pest Control Services</t>
  </si>
  <si>
    <t>Hydrological Instruments</t>
  </si>
  <si>
    <t>Furniture Parts and Accessories</t>
  </si>
  <si>
    <t>Electronic Parts and Components</t>
  </si>
  <si>
    <t>Janitorial Equipment</t>
  </si>
  <si>
    <t>Industrial Machinery and Equipment</t>
  </si>
  <si>
    <t>General Engineering Services</t>
  </si>
  <si>
    <t>Agricultural Chemicals</t>
  </si>
  <si>
    <t>Chemicals and Chemical Products</t>
  </si>
  <si>
    <t>Construction Management Services</t>
  </si>
  <si>
    <t>Lease and Rental of Property or Building</t>
  </si>
  <si>
    <t>Internet Services</t>
  </si>
  <si>
    <t>Newspapers</t>
  </si>
  <si>
    <t>Meteorological Equipments and Instruments</t>
  </si>
  <si>
    <t>Hotel and Lodging and Meeting Facilities</t>
  </si>
  <si>
    <t>Transportation and Communications Services</t>
  </si>
  <si>
    <t>Reproduction Services</t>
  </si>
  <si>
    <t>Paper Materials and Products</t>
  </si>
  <si>
    <t>Engineering and Laboratory Testing Equipment</t>
  </si>
  <si>
    <t>Travel, Food, Lodging and Entertainment Services</t>
  </si>
  <si>
    <t>Metal Fabrication</t>
  </si>
  <si>
    <t>Flags</t>
  </si>
  <si>
    <t>Rice Milling Services</t>
  </si>
  <si>
    <t>Photographic Equipment</t>
  </si>
  <si>
    <t>Cargo Forwarding and Hauling Services</t>
  </si>
  <si>
    <t>Guns and Weapons</t>
  </si>
  <si>
    <t>Mail and Cargo Transport Services</t>
  </si>
  <si>
    <t>Veterinary Products and Supplies</t>
  </si>
  <si>
    <t>Hospital / Medical Equipment Services</t>
  </si>
  <si>
    <t>Telecommunications Provider</t>
  </si>
  <si>
    <t>Video Production Services</t>
  </si>
  <si>
    <t>Airconditioning Maintenance Services</t>
  </si>
  <si>
    <t>Structured Cabling</t>
  </si>
  <si>
    <t>Maritime Spare Parts</t>
  </si>
  <si>
    <t>Events Management</t>
  </si>
  <si>
    <t>Ordnance Products</t>
  </si>
  <si>
    <t>Textiles</t>
  </si>
  <si>
    <t>Timepieces and Jewelry and Gemstone Products</t>
  </si>
  <si>
    <t>Food Processing Equipment</t>
  </si>
  <si>
    <t>Quartermaster Items</t>
  </si>
  <si>
    <t>Machine Tools</t>
  </si>
  <si>
    <t>Computer Furniture</t>
  </si>
  <si>
    <t>Freight Forwarder Services</t>
  </si>
  <si>
    <t>Financial and Insurance Services</t>
  </si>
  <si>
    <t>Industrial Safety Equipment</t>
  </si>
  <si>
    <t>Education and Training Services</t>
  </si>
  <si>
    <t>Waste Management and Recycling</t>
  </si>
  <si>
    <t>Lifting equipment and accessories</t>
  </si>
  <si>
    <t>Beverages</t>
  </si>
  <si>
    <t>Arts and Crafts Accessories and Supplies</t>
  </si>
  <si>
    <t>Corporate Giveaways</t>
  </si>
  <si>
    <t>Dairy Products</t>
  </si>
  <si>
    <t>Navigation Equipment</t>
  </si>
  <si>
    <t>Bedclothes, Linens and Towels</t>
  </si>
  <si>
    <t>Oil/Heat Chemical Resistant Rubber</t>
  </si>
  <si>
    <t>Aircraft Spare Parts</t>
  </si>
  <si>
    <t>Pyrotechnics and Fireworks</t>
  </si>
  <si>
    <t>Laundry Services</t>
  </si>
  <si>
    <t>Ammunitions and Explosives</t>
  </si>
  <si>
    <t>Marine Transport</t>
  </si>
  <si>
    <t>Transmission and Distribution Lines</t>
  </si>
  <si>
    <t>Musical Instrument Parts and Accesories</t>
  </si>
  <si>
    <t>Aviation Products</t>
  </si>
  <si>
    <t>Print and Broadcast and Aerial Advertising</t>
  </si>
  <si>
    <t>Automation Equipment</t>
  </si>
  <si>
    <t>Radiological/Diagnostic Equipment</t>
  </si>
  <si>
    <t>Telecommunications Engineering</t>
  </si>
  <si>
    <t>Architectural Design</t>
  </si>
  <si>
    <t>Public Relations Programs or Services</t>
  </si>
  <si>
    <t>Systems Integration</t>
  </si>
  <si>
    <t>Chemical Detergents</t>
  </si>
  <si>
    <t>Traffic Control Systems</t>
  </si>
  <si>
    <t>Geotechnical Instrumentation</t>
  </si>
  <si>
    <t>Microfilm Equipment - Supplies and Accesories</t>
  </si>
  <si>
    <t>Mining Equipment and Supplies</t>
  </si>
  <si>
    <t>Investigative Equipment</t>
  </si>
  <si>
    <t>327,566.00</t>
  </si>
  <si>
    <t>1,300,000.00</t>
  </si>
  <si>
    <t>384,000.00</t>
  </si>
  <si>
    <t>164,807.18</t>
  </si>
  <si>
    <t>100,000.00</t>
  </si>
  <si>
    <t>1,825,732.58</t>
  </si>
  <si>
    <t>99,950.00</t>
  </si>
  <si>
    <t>375,350.00</t>
  </si>
  <si>
    <t>510.00</t>
  </si>
  <si>
    <t>4,949,999.74</t>
  </si>
  <si>
    <t>24,874,998.98</t>
  </si>
  <si>
    <t>5,820,000.00</t>
  </si>
  <si>
    <t>80,000.00</t>
  </si>
  <si>
    <t>398,000.00</t>
  </si>
  <si>
    <t>1,000,000.00</t>
  </si>
  <si>
    <t>27,980,131.24</t>
  </si>
  <si>
    <t>90,000.00</t>
  </si>
  <si>
    <t>15,560,897.36</t>
  </si>
  <si>
    <t>960,256.00</t>
  </si>
  <si>
    <t>663,950.00</t>
  </si>
  <si>
    <t>1,995,870.00</t>
  </si>
  <si>
    <t>102,323.00</t>
  </si>
  <si>
    <t>75,555.00</t>
  </si>
  <si>
    <t>350,000.00</t>
  </si>
  <si>
    <t>3,800,000.00</t>
  </si>
  <si>
    <t>3,000,000.00</t>
  </si>
  <si>
    <t>340,695.00</t>
  </si>
  <si>
    <t>56,699,988.00</t>
  </si>
  <si>
    <t>10,000,000.00</t>
  </si>
  <si>
    <t>800,000.00</t>
  </si>
  <si>
    <t>147,000.00</t>
  </si>
  <si>
    <t>142,230.00</t>
  </si>
  <si>
    <t>110,000.00</t>
  </si>
  <si>
    <t>2,542,000.00</t>
  </si>
  <si>
    <t>373,456.05</t>
  </si>
  <si>
    <t>1,108,369.14</t>
  </si>
  <si>
    <t>34,775.00</t>
  </si>
  <si>
    <t>140,000.00</t>
  </si>
  <si>
    <t>67,600.00</t>
  </si>
  <si>
    <t>5,545,000.00</t>
  </si>
  <si>
    <t>115,710.00</t>
  </si>
  <si>
    <t>65,000.00</t>
  </si>
  <si>
    <t>210,600.00</t>
  </si>
  <si>
    <t>864,874.90</t>
  </si>
  <si>
    <t>497,792.60</t>
  </si>
  <si>
    <t>982,094.90</t>
  </si>
  <si>
    <t>255,738.00</t>
  </si>
  <si>
    <t>656,585.00</t>
  </si>
  <si>
    <t>319,000.00</t>
  </si>
  <si>
    <t>155,000.00</t>
  </si>
  <si>
    <t>358,310.00</t>
  </si>
  <si>
    <t>49,895.00</t>
  </si>
  <si>
    <t>375,000.00</t>
  </si>
  <si>
    <t>328,520.00</t>
  </si>
  <si>
    <t>343,480.00</t>
  </si>
  <si>
    <t>250,000.00</t>
  </si>
  <si>
    <t>300,000.00</t>
  </si>
  <si>
    <t>150,000.00</t>
  </si>
  <si>
    <t>425,000.00</t>
  </si>
  <si>
    <t>5,000,000.00</t>
  </si>
  <si>
    <t>1,271,256.00</t>
  </si>
  <si>
    <t>101,044.00</t>
  </si>
  <si>
    <t>99,200.00</t>
  </si>
  <si>
    <t>1,932,290.00</t>
  </si>
  <si>
    <t>175,770.00</t>
  </si>
  <si>
    <t>275,800.00</t>
  </si>
  <si>
    <t>840,870.00</t>
  </si>
  <si>
    <t>900,000.00</t>
  </si>
  <si>
    <t>154,628.00</t>
  </si>
  <si>
    <t>2,200,000.00</t>
  </si>
  <si>
    <t>141,200.00</t>
  </si>
  <si>
    <t>846,149.10</t>
  </si>
  <si>
    <t>50,000.00</t>
  </si>
  <si>
    <t>179,094.00</t>
  </si>
  <si>
    <t>205,400.00</t>
  </si>
  <si>
    <t>625,179.18</t>
  </si>
  <si>
    <t>1,176,400.00</t>
  </si>
  <si>
    <t>86,540.00</t>
  </si>
  <si>
    <t>484,946.47</t>
  </si>
  <si>
    <t>66,000.00</t>
  </si>
  <si>
    <t>1,662,100.00</t>
  </si>
  <si>
    <t>452,704.78</t>
  </si>
  <si>
    <t>576,816.61</t>
  </si>
  <si>
    <t>200,000.00</t>
  </si>
  <si>
    <t>163,000.00</t>
  </si>
  <si>
    <t>371,695.30</t>
  </si>
  <si>
    <t>1,069,665.48</t>
  </si>
  <si>
    <t>960,701.86</t>
  </si>
  <si>
    <t>960,000.00</t>
  </si>
  <si>
    <t>3,702,007.20</t>
  </si>
  <si>
    <t>70,000.00</t>
  </si>
  <si>
    <t>1,747,385.76</t>
  </si>
  <si>
    <t>400,000.00</t>
  </si>
  <si>
    <t>99,483.00</t>
  </si>
  <si>
    <t>291,496.33</t>
  </si>
  <si>
    <t>38,900.00</t>
  </si>
  <si>
    <t>576,011.00</t>
  </si>
  <si>
    <t>235,750.00</t>
  </si>
  <si>
    <t>4,290,000.00</t>
  </si>
  <si>
    <t>799,900.00</t>
  </si>
  <si>
    <t>599,950.00</t>
  </si>
  <si>
    <t>270,000.00</t>
  </si>
  <si>
    <t>2,000,000.00</t>
  </si>
  <si>
    <t>137,790.00</t>
  </si>
  <si>
    <t>141,460.67</t>
  </si>
  <si>
    <t>324,400.00</t>
  </si>
  <si>
    <t>705,783.40</t>
  </si>
  <si>
    <t>42,500.00</t>
  </si>
  <si>
    <t>879,149.35</t>
  </si>
  <si>
    <t>132,000.00</t>
  </si>
  <si>
    <t>89,345.00</t>
  </si>
  <si>
    <t>153,075.00</t>
  </si>
  <si>
    <t>9,999,708.35</t>
  </si>
  <si>
    <t>291,751.00</t>
  </si>
  <si>
    <t>1,092,529.69</t>
  </si>
  <si>
    <t>1,947,550.00</t>
  </si>
  <si>
    <t>178,600.00</t>
  </si>
  <si>
    <t>337,220.00</t>
  </si>
  <si>
    <t>95,246.00</t>
  </si>
  <si>
    <t>422,368.20</t>
  </si>
  <si>
    <t>115,000.00</t>
  </si>
  <si>
    <t>780,000.00</t>
  </si>
  <si>
    <t>191,625.00</t>
  </si>
  <si>
    <t>233,809.52</t>
  </si>
  <si>
    <t>308,815.23</t>
  </si>
  <si>
    <t>1,566,000.00</t>
  </si>
  <si>
    <t>341,735.00</t>
  </si>
  <si>
    <t>1,048,949.10</t>
  </si>
  <si>
    <t>763,984.00</t>
  </si>
  <si>
    <t>5,810,000.00</t>
  </si>
  <si>
    <t>723,685.71</t>
  </si>
  <si>
    <t>196,000.00</t>
  </si>
  <si>
    <t>199,000.00</t>
  </si>
  <si>
    <t>1,002,000.00</t>
  </si>
  <si>
    <t>399,680.66</t>
  </si>
  <si>
    <t>140,800.00</t>
  </si>
  <si>
    <t>538,100.00</t>
  </si>
  <si>
    <t>630,139.60</t>
  </si>
  <si>
    <t>80,890.00</t>
  </si>
  <si>
    <t>1,280,741.00</t>
  </si>
  <si>
    <t>2,287,000.00</t>
  </si>
  <si>
    <t>4,204,000.00</t>
  </si>
  <si>
    <t>229,800.00</t>
  </si>
  <si>
    <t>349,750.00</t>
  </si>
  <si>
    <t>36,749,216.45</t>
  </si>
  <si>
    <t>134,067.00</t>
  </si>
  <si>
    <t>305,000.00</t>
  </si>
  <si>
    <t>542,000.00</t>
  </si>
  <si>
    <t>1,999,305.92</t>
  </si>
  <si>
    <t>486,092.80</t>
  </si>
  <si>
    <t>1,204,740.00</t>
  </si>
  <si>
    <t>499,271.60</t>
  </si>
  <si>
    <t>69,600.00</t>
  </si>
  <si>
    <t>3,300,000.00</t>
  </si>
  <si>
    <t>49,983.75</t>
  </si>
  <si>
    <t>54,867.00</t>
  </si>
  <si>
    <t>100,732.00</t>
  </si>
  <si>
    <t>195,000.00</t>
  </si>
  <si>
    <t>265,650.00</t>
  </si>
  <si>
    <t>96,443.55</t>
  </si>
  <si>
    <t>960,080.00</t>
  </si>
  <si>
    <t>73,630.00</t>
  </si>
  <si>
    <t>246,580.00</t>
  </si>
  <si>
    <t>950,000.00</t>
  </si>
  <si>
    <t>79,000.00</t>
  </si>
  <si>
    <t>296,400.00</t>
  </si>
  <si>
    <t>4,213.65</t>
  </si>
  <si>
    <t>64,000.00</t>
  </si>
  <si>
    <t>54,000.00</t>
  </si>
  <si>
    <t>70,200.00</t>
  </si>
  <si>
    <t>98,700.00</t>
  </si>
  <si>
    <t>18,000.00</t>
  </si>
  <si>
    <t>398,350.00</t>
  </si>
  <si>
    <t>96,523.60</t>
  </si>
  <si>
    <t>68,607.00</t>
  </si>
  <si>
    <t>159,770.00</t>
  </si>
  <si>
    <t>20,220.00</t>
  </si>
  <si>
    <t>165,000.00</t>
  </si>
  <si>
    <t>55,424.30</t>
  </si>
  <si>
    <t>553,200.00</t>
  </si>
  <si>
    <t>1,700,000.00</t>
  </si>
  <si>
    <t>500,000.00</t>
  </si>
  <si>
    <t>984,000.00</t>
  </si>
  <si>
    <t>210,620.00</t>
  </si>
  <si>
    <t>55,100.00</t>
  </si>
  <si>
    <t>62,125.00</t>
  </si>
  <si>
    <t>247,000.00</t>
  </si>
  <si>
    <t>3,512,261.48</t>
  </si>
  <si>
    <t>296,553.20</t>
  </si>
  <si>
    <t>7,485.00</t>
  </si>
  <si>
    <t>281,902.83</t>
  </si>
  <si>
    <t>108,120.00</t>
  </si>
  <si>
    <t>199,794.00</t>
  </si>
  <si>
    <t>495,000.00</t>
  </si>
  <si>
    <t>59,000.00</t>
  </si>
  <si>
    <t>114,650.00</t>
  </si>
  <si>
    <t>178,565.00</t>
  </si>
  <si>
    <t>110,619.30</t>
  </si>
  <si>
    <t>280,000.00</t>
  </si>
  <si>
    <t>3,900.00</t>
  </si>
  <si>
    <t>795,712.00</t>
  </si>
  <si>
    <t>395,000.00</t>
  </si>
  <si>
    <t>82,195.00</t>
  </si>
  <si>
    <t>81,765.00</t>
  </si>
  <si>
    <t>637,500.00</t>
  </si>
  <si>
    <t>135,000.00</t>
  </si>
  <si>
    <t>447,230.44</t>
  </si>
  <si>
    <t>251,030.33</t>
  </si>
  <si>
    <t>432,642.43</t>
  </si>
  <si>
    <t>114,213.50</t>
  </si>
  <si>
    <t>299,938.00</t>
  </si>
  <si>
    <t>1,400,000.00</t>
  </si>
  <si>
    <t>160,000.00</t>
  </si>
  <si>
    <t>1,250,000.00</t>
  </si>
  <si>
    <t>8,500.00</t>
  </si>
  <si>
    <t>739,000.00</t>
  </si>
  <si>
    <t>136,590.37</t>
  </si>
  <si>
    <t>179,400.00</t>
  </si>
  <si>
    <t>60,000.00</t>
  </si>
  <si>
    <t>12,728.00</t>
  </si>
  <si>
    <t>72,440.00</t>
  </si>
  <si>
    <t>980,960.00</t>
  </si>
  <si>
    <t>55,000.00</t>
  </si>
  <si>
    <t>852,300.00</t>
  </si>
  <si>
    <t>135,198.00</t>
  </si>
  <si>
    <t>6,000,000.00</t>
  </si>
  <si>
    <t>468,750.00</t>
  </si>
  <si>
    <t>84,070.00</t>
  </si>
  <si>
    <t>42,276.00</t>
  </si>
  <si>
    <t>750,000.00</t>
  </si>
  <si>
    <t>128,500.00</t>
  </si>
  <si>
    <t>4,000,000.00</t>
  </si>
  <si>
    <t>53,666.70</t>
  </si>
  <si>
    <t>85,140.00</t>
  </si>
  <si>
    <t>996,000.00</t>
  </si>
  <si>
    <t>47,000.00</t>
  </si>
  <si>
    <t>84,998.00</t>
  </si>
  <si>
    <t>2,500,000.00</t>
  </si>
  <si>
    <t>15,000.00</t>
  </si>
  <si>
    <t>53,000.00</t>
  </si>
  <si>
    <t>108,160.80</t>
  </si>
  <si>
    <t>382,500.00</t>
  </si>
  <si>
    <t>53,600.00</t>
  </si>
  <si>
    <t>4,750,000.00</t>
  </si>
  <si>
    <t>29,530.00</t>
  </si>
  <si>
    <t>4,592,000.00</t>
  </si>
  <si>
    <t>230,000.00</t>
  </si>
  <si>
    <t>30,000,000.00</t>
  </si>
  <si>
    <t>106,255.04</t>
  </si>
  <si>
    <t>97,000.00</t>
  </si>
  <si>
    <t>891,660.70</t>
  </si>
  <si>
    <t>620,180.00</t>
  </si>
  <si>
    <t>60,110.00</t>
  </si>
  <si>
    <t>59,371.00</t>
  </si>
  <si>
    <t>71,114,312.00</t>
  </si>
  <si>
    <t>1,350,000.00</t>
  </si>
  <si>
    <t>166,555.00</t>
  </si>
  <si>
    <t>189,031.50</t>
  </si>
  <si>
    <t>847,600.00</t>
  </si>
  <si>
    <t>60,192.00</t>
  </si>
  <si>
    <t>233,996.20</t>
  </si>
  <si>
    <t>144,000.00</t>
  </si>
  <si>
    <t>48,690.00</t>
  </si>
  <si>
    <t>1,340,000.00</t>
  </si>
  <si>
    <t>1,499,813.50</t>
  </si>
  <si>
    <t>94,380.00</t>
  </si>
  <si>
    <t>75,000.00</t>
  </si>
  <si>
    <t>257,000.00</t>
  </si>
  <si>
    <t>286,500.00</t>
  </si>
  <si>
    <t>290,350.00</t>
  </si>
  <si>
    <t>62,500.00</t>
  </si>
  <si>
    <t>996,135.00</t>
  </si>
  <si>
    <t>233,000.00</t>
  </si>
  <si>
    <t>73,385.00</t>
  </si>
  <si>
    <t>54,954.00</t>
  </si>
  <si>
    <t>159,400.00</t>
  </si>
  <si>
    <t>8,700.00</t>
  </si>
  <si>
    <t>197,990.00</t>
  </si>
  <si>
    <t>328,900.00</t>
  </si>
  <si>
    <t>7,800.00</t>
  </si>
  <si>
    <t>132,941.16</t>
  </si>
  <si>
    <t>550,160.00</t>
  </si>
  <si>
    <t>180,000.00</t>
  </si>
  <si>
    <t>49,998.75</t>
  </si>
  <si>
    <t>1,270,500.00</t>
  </si>
  <si>
    <t>191,593.19</t>
  </si>
  <si>
    <t>71,400.00</t>
  </si>
  <si>
    <t>720,000.00</t>
  </si>
  <si>
    <t>40,000.00</t>
  </si>
  <si>
    <t>354,135.60</t>
  </si>
  <si>
    <t>1,500,000.00</t>
  </si>
  <si>
    <t>2,067,851.48</t>
  </si>
  <si>
    <t>56,000.00</t>
  </si>
  <si>
    <t>50,293.00</t>
  </si>
  <si>
    <t>835,850.40</t>
  </si>
  <si>
    <t>105,500.00</t>
  </si>
  <si>
    <t>3,780.00</t>
  </si>
  <si>
    <t>224,475.00</t>
  </si>
  <si>
    <t>1,850,000.00</t>
  </si>
  <si>
    <t>909,966.75</t>
  </si>
  <si>
    <t>630,600.00</t>
  </si>
  <si>
    <t>365,244.75</t>
  </si>
  <si>
    <t>96,000.00</t>
  </si>
  <si>
    <t>207,650.00</t>
  </si>
  <si>
    <t>226,000.00</t>
  </si>
  <si>
    <t>301,590.00</t>
  </si>
  <si>
    <t>96,750.00</t>
  </si>
  <si>
    <t>95,400.00</t>
  </si>
  <si>
    <t>233,050.00</t>
  </si>
  <si>
    <t>121,850.00</t>
  </si>
  <si>
    <t>989,919.00</t>
  </si>
  <si>
    <t>95,000.00</t>
  </si>
  <si>
    <t>600,000.00</t>
  </si>
  <si>
    <t>125,000.00</t>
  </si>
  <si>
    <t>99,841.67</t>
  </si>
  <si>
    <t>2,495,013.18</t>
  </si>
  <si>
    <t>699,999.43</t>
  </si>
  <si>
    <t>124,200.00</t>
  </si>
  <si>
    <t>790,900.00</t>
  </si>
  <si>
    <t>380,000.00</t>
  </si>
  <si>
    <t>180,124.80</t>
  </si>
  <si>
    <t>67,000.00</t>
  </si>
  <si>
    <t>35,000.00</t>
  </si>
  <si>
    <t>71,780.00</t>
  </si>
  <si>
    <t>1,499,999.79</t>
  </si>
  <si>
    <t>53,500.00</t>
  </si>
  <si>
    <t>636,285.50</t>
  </si>
  <si>
    <t>72,930.00</t>
  </si>
  <si>
    <t>55,500.00</t>
  </si>
  <si>
    <t>6,000.00</t>
  </si>
  <si>
    <t>50,800.00</t>
  </si>
  <si>
    <t>499,561.82</t>
  </si>
  <si>
    <t>98,320.00</t>
  </si>
  <si>
    <t>842,125.79</t>
  </si>
  <si>
    <t>1,867,781.25</t>
  </si>
  <si>
    <t>252,000.00</t>
  </si>
  <si>
    <t>8,640.00</t>
  </si>
  <si>
    <t>1,937,054.93</t>
  </si>
  <si>
    <t>94,500.00</t>
  </si>
  <si>
    <t>67,300.00</t>
  </si>
  <si>
    <t>1,452,000.00</t>
  </si>
  <si>
    <t>355,025.00</t>
  </si>
  <si>
    <t>113,915.00</t>
  </si>
  <si>
    <t>373,481.77</t>
  </si>
  <si>
    <t>1,818,424.00</t>
  </si>
  <si>
    <t>191,000.00</t>
  </si>
  <si>
    <t>239,859.38</t>
  </si>
  <si>
    <t>108,500.00</t>
  </si>
  <si>
    <t>317,050.00</t>
  </si>
  <si>
    <t>163,510.00</t>
  </si>
  <si>
    <t>499,998.89</t>
  </si>
  <si>
    <t>399,500.00</t>
  </si>
  <si>
    <t>998,277.50</t>
  </si>
  <si>
    <t>175,130.00</t>
  </si>
  <si>
    <t>99,990.00</t>
  </si>
  <si>
    <t>1,965,253.00</t>
  </si>
  <si>
    <t>81,200.00</t>
  </si>
  <si>
    <t>999,996.00</t>
  </si>
  <si>
    <t>995,500.00</t>
  </si>
  <si>
    <t>767,000.00</t>
  </si>
  <si>
    <t>7,275,231.36</t>
  </si>
  <si>
    <t>62,000.00</t>
  </si>
  <si>
    <t>574,004.75</t>
  </si>
  <si>
    <t>117,600.00</t>
  </si>
  <si>
    <t>198,000.00</t>
  </si>
  <si>
    <t>320,000.00</t>
  </si>
  <si>
    <t>227,675.00</t>
  </si>
  <si>
    <t>190,000.00</t>
  </si>
  <si>
    <t>52,500.00</t>
  </si>
  <si>
    <t>120,000.00</t>
  </si>
  <si>
    <t>1,926,621.58</t>
  </si>
  <si>
    <t>158,000.00</t>
  </si>
  <si>
    <t>75,300.00</t>
  </si>
  <si>
    <t>191,486.25</t>
  </si>
  <si>
    <t>51,065.00</t>
  </si>
  <si>
    <t>73,500.00</t>
  </si>
  <si>
    <t>189,800.00</t>
  </si>
  <si>
    <t>102,518.00</t>
  </si>
  <si>
    <t>303,850.00</t>
  </si>
  <si>
    <t>768,400.00</t>
  </si>
  <si>
    <t>1,826,700.00</t>
  </si>
  <si>
    <t>450,000.00</t>
  </si>
  <si>
    <t>57,000.00</t>
  </si>
  <si>
    <t>59,500.00</t>
  </si>
  <si>
    <t>75,100.00</t>
  </si>
  <si>
    <t>105,640.00</t>
  </si>
  <si>
    <t>78,000.00</t>
  </si>
  <si>
    <t>88,350.00</t>
  </si>
  <si>
    <t>88,040.00</t>
  </si>
  <si>
    <t>969,399.00</t>
  </si>
  <si>
    <t>279,858.40</t>
  </si>
  <si>
    <t>126,110.00</t>
  </si>
  <si>
    <t>2,856,200.00</t>
  </si>
  <si>
    <t>1,623,100.00</t>
  </si>
  <si>
    <t>3,170,681.00</t>
  </si>
  <si>
    <t>44,800.00</t>
  </si>
  <si>
    <t>133,640.00</t>
  </si>
  <si>
    <t>248,601.00</t>
  </si>
  <si>
    <t>78,140.00</t>
  </si>
  <si>
    <t>56,600.00</t>
  </si>
  <si>
    <t>674,180.59</t>
  </si>
  <si>
    <t>58,453.00</t>
  </si>
  <si>
    <t>68,760.00</t>
  </si>
  <si>
    <t>30,000.00</t>
  </si>
  <si>
    <t>1,803,648.00</t>
  </si>
  <si>
    <t>340,000.00</t>
  </si>
  <si>
    <t>503,400.00</t>
  </si>
  <si>
    <t>968,700.00</t>
  </si>
  <si>
    <t>186,680.00</t>
  </si>
  <si>
    <t>168,160.00</t>
  </si>
  <si>
    <t>3,005,951.81</t>
  </si>
  <si>
    <t>1,536,777.78</t>
  </si>
  <si>
    <t>71,246.00</t>
  </si>
  <si>
    <t>4,633,209.52</t>
  </si>
  <si>
    <t>1,096,500.00</t>
  </si>
  <si>
    <t>930,000.00</t>
  </si>
  <si>
    <t>221,000.00</t>
  </si>
  <si>
    <t>187,500.00</t>
  </si>
  <si>
    <t>116,486.00</t>
  </si>
  <si>
    <t>99,550.00</t>
  </si>
  <si>
    <t>112,500.00</t>
  </si>
  <si>
    <t>61,757.00</t>
  </si>
  <si>
    <t>1,450,000.00</t>
  </si>
  <si>
    <t>260,000.00</t>
  </si>
  <si>
    <t>656,173.00</t>
  </si>
  <si>
    <t>700,000.00</t>
  </si>
  <si>
    <t>142,646.00</t>
  </si>
  <si>
    <t>499,500.00</t>
  </si>
  <si>
    <t>82,500.00</t>
  </si>
  <si>
    <t>2,188,000.00</t>
  </si>
  <si>
    <t>264,611.00</t>
  </si>
  <si>
    <t>35,240.00</t>
  </si>
  <si>
    <t>187,000.00</t>
  </si>
  <si>
    <t>60,480.00</t>
  </si>
  <si>
    <t>193,600.00</t>
  </si>
  <si>
    <t>449,200.00</t>
  </si>
  <si>
    <t>99,630.00</t>
  </si>
  <si>
    <t>1,298,000.00</t>
  </si>
  <si>
    <t>65,245.00</t>
  </si>
  <si>
    <t>50,140.00</t>
  </si>
  <si>
    <t>115,708.50</t>
  </si>
  <si>
    <t>12,000.00</t>
  </si>
  <si>
    <t>389,507.00</t>
  </si>
  <si>
    <t>248,700.00</t>
  </si>
  <si>
    <t>8,000,000.00</t>
  </si>
  <si>
    <t>315,086.00</t>
  </si>
  <si>
    <t>124,250.00</t>
  </si>
  <si>
    <t>18,555.00</t>
  </si>
  <si>
    <t>39,000.00</t>
  </si>
  <si>
    <t>12,400.00</t>
  </si>
  <si>
    <t>125,639.00</t>
  </si>
  <si>
    <t>130,400.00</t>
  </si>
  <si>
    <t>221,025.00</t>
  </si>
  <si>
    <t>72,975.00</t>
  </si>
  <si>
    <t>387,500.00</t>
  </si>
  <si>
    <t>73,185.00</t>
  </si>
  <si>
    <t>142,500.00</t>
  </si>
  <si>
    <t>130,540.50</t>
  </si>
  <si>
    <t>102,500.00</t>
  </si>
  <si>
    <t>130,000.00</t>
  </si>
  <si>
    <t>69,940.00</t>
  </si>
  <si>
    <t>134,950.61</t>
  </si>
  <si>
    <t>1,999,690.63</t>
  </si>
  <si>
    <t>211,140.20</t>
  </si>
  <si>
    <t>188,000.00</t>
  </si>
  <si>
    <t>648,000.00</t>
  </si>
  <si>
    <t>143,500.00</t>
  </si>
  <si>
    <t>52,600.00</t>
  </si>
  <si>
    <t>67,611.18</t>
  </si>
  <si>
    <t>5,775,000.00</t>
  </si>
  <si>
    <t>3,430,342.80</t>
  </si>
  <si>
    <t>136,110.00</t>
  </si>
  <si>
    <t>8,550.00</t>
  </si>
  <si>
    <t>57,400.00</t>
  </si>
  <si>
    <t>12,890.00</t>
  </si>
  <si>
    <t>51,800.00</t>
  </si>
  <si>
    <t>9,800,000.00</t>
  </si>
  <si>
    <t>756,000.00</t>
  </si>
  <si>
    <t>1,725,000.00</t>
  </si>
  <si>
    <t>2,573,969.40</t>
  </si>
  <si>
    <t>99,650.00</t>
  </si>
  <si>
    <t>67,659.00</t>
  </si>
  <si>
    <t>170,000.00</t>
  </si>
  <si>
    <t>362,000.00</t>
  </si>
  <si>
    <t>164,890.00</t>
  </si>
  <si>
    <t>109,500.00</t>
  </si>
  <si>
    <t>88,000.00</t>
  </si>
  <si>
    <t>86,000.00</t>
  </si>
  <si>
    <t>66,350.00</t>
  </si>
  <si>
    <t>318,401.00</t>
  </si>
  <si>
    <t>1,538,063.27</t>
  </si>
  <si>
    <t>19,600,000.00</t>
  </si>
  <si>
    <t>22,704,948.51</t>
  </si>
  <si>
    <t>430,481.00</t>
  </si>
  <si>
    <t>301,538.40</t>
  </si>
  <si>
    <t>105,000.00</t>
  </si>
  <si>
    <t>641,400.00</t>
  </si>
  <si>
    <t>13,016.00</t>
  </si>
  <si>
    <t>1,150,000.00</t>
  </si>
  <si>
    <t>133,790.00</t>
  </si>
  <si>
    <t>8,200.00</t>
  </si>
  <si>
    <t>148,585.00</t>
  </si>
  <si>
    <t>230,020.00</t>
  </si>
  <si>
    <t>164,000.00</t>
  </si>
  <si>
    <t>100,990.00</t>
  </si>
  <si>
    <t>220,826.25</t>
  </si>
  <si>
    <t>330,000.00</t>
  </si>
  <si>
    <t>7,600.00</t>
  </si>
  <si>
    <t>166,740.00</t>
  </si>
  <si>
    <t>514,800.00</t>
  </si>
  <si>
    <t>1,200,000.00</t>
  </si>
  <si>
    <t>999,554.28</t>
  </si>
  <si>
    <t>2,228,040.00</t>
  </si>
  <si>
    <t>117,470.00</t>
  </si>
  <si>
    <t>595,054.69</t>
  </si>
  <si>
    <t>184,950.00</t>
  </si>
  <si>
    <t>11,940,000.00</t>
  </si>
  <si>
    <t>24,500.00</t>
  </si>
  <si>
    <t>426,790.00</t>
  </si>
  <si>
    <t>144,520.00</t>
  </si>
  <si>
    <t>138,600.00</t>
  </si>
  <si>
    <t>998,400.00</t>
  </si>
  <si>
    <t>6,930.00</t>
  </si>
  <si>
    <t>185,502.50</t>
  </si>
  <si>
    <t>12,935,000.00</t>
  </si>
  <si>
    <t>276,330.00</t>
  </si>
  <si>
    <t>500.00</t>
  </si>
  <si>
    <t>16,000.00</t>
  </si>
  <si>
    <t>49,999.00</t>
  </si>
  <si>
    <t>199,440.00</t>
  </si>
  <si>
    <t>43,000.00</t>
  </si>
  <si>
    <t>192,230.92</t>
  </si>
  <si>
    <t>138,543.00</t>
  </si>
  <si>
    <t>45,000.00</t>
  </si>
  <si>
    <t>313,785.00</t>
  </si>
  <si>
    <t>303,000.00</t>
  </si>
  <si>
    <t>43,039,408.02</t>
  </si>
  <si>
    <t>60,200.00</t>
  </si>
  <si>
    <t>196,336.00</t>
  </si>
  <si>
    <t>389,930.00</t>
  </si>
  <si>
    <t>97,396.00</t>
  </si>
  <si>
    <t>3,520.00</t>
  </si>
  <si>
    <t>210,000.00</t>
  </si>
  <si>
    <t>7,000.00</t>
  </si>
  <si>
    <t>490,000.00</t>
  </si>
  <si>
    <t>203,040.00</t>
  </si>
  <si>
    <t>168,686.00</t>
  </si>
  <si>
    <t>63,605.00</t>
  </si>
  <si>
    <t>306,667.00</t>
  </si>
  <si>
    <t>72,900.00</t>
  </si>
  <si>
    <t>172,833.20</t>
  </si>
  <si>
    <t>2,994,726.77</t>
  </si>
  <si>
    <t>94,042.50</t>
  </si>
  <si>
    <t>141,030.00</t>
  </si>
  <si>
    <t>181,960.00</t>
  </si>
  <si>
    <t>120,370.25</t>
  </si>
  <si>
    <t>721,860.00</t>
  </si>
  <si>
    <t>291,700.00</t>
  </si>
  <si>
    <t>596,400.00</t>
  </si>
  <si>
    <t>97,383.00</t>
  </si>
  <si>
    <t>253,600.00</t>
  </si>
  <si>
    <t>999,550.00</t>
  </si>
  <si>
    <t>61,255.00</t>
  </si>
  <si>
    <t>105,435.00</t>
  </si>
  <si>
    <t>840,000.00</t>
  </si>
  <si>
    <t>45,667.00</t>
  </si>
  <si>
    <t>22,000.00</t>
  </si>
  <si>
    <t>355,500.00</t>
  </si>
  <si>
    <t>449,989.20</t>
  </si>
  <si>
    <t>30,846,431.18</t>
  </si>
  <si>
    <t>45,075,000.00</t>
  </si>
  <si>
    <t>59,220.00</t>
  </si>
  <si>
    <t>64,400.00</t>
  </si>
  <si>
    <t>19,700.00</t>
  </si>
  <si>
    <t>2,786,853.16</t>
  </si>
  <si>
    <t>51,648.15</t>
  </si>
  <si>
    <t>1,828,000.00</t>
  </si>
  <si>
    <t>309,965.03</t>
  </si>
  <si>
    <t>185,122.07</t>
  </si>
  <si>
    <t>174,592.00</t>
  </si>
  <si>
    <t>56,770.00</t>
  </si>
  <si>
    <t>2,429,489.00</t>
  </si>
  <si>
    <t>10,000.00</t>
  </si>
  <si>
    <t>88,520.08</t>
  </si>
  <si>
    <t>155,009.35</t>
  </si>
  <si>
    <t>25,300.00</t>
  </si>
  <si>
    <t>322,814.12</t>
  </si>
  <si>
    <t>81,610.00</t>
  </si>
  <si>
    <t>117,273.00</t>
  </si>
  <si>
    <t>84,052.00</t>
  </si>
  <si>
    <t>99,900.00</t>
  </si>
  <si>
    <t>33,176.00</t>
  </si>
  <si>
    <t>72,720.00</t>
  </si>
  <si>
    <t>134,991.00</t>
  </si>
  <si>
    <t>94,100.00</t>
  </si>
  <si>
    <t>272,000.00</t>
  </si>
  <si>
    <t>530,000.00</t>
  </si>
  <si>
    <t>48,999,171.04</t>
  </si>
  <si>
    <t>22,070.00</t>
  </si>
  <si>
    <t>479,328.12</t>
  </si>
  <si>
    <t>466,200.00</t>
  </si>
  <si>
    <t>76,415.00</t>
  </si>
  <si>
    <t>76,500.00</t>
  </si>
  <si>
    <t>571,712.80</t>
  </si>
  <si>
    <t>185,500.00</t>
  </si>
  <si>
    <t>245,000.00</t>
  </si>
  <si>
    <t>130,285.00</t>
  </si>
  <si>
    <t>210,400.00</t>
  </si>
  <si>
    <t>39,199,257.45</t>
  </si>
  <si>
    <t>66,413.00</t>
  </si>
  <si>
    <t>12,843.90</t>
  </si>
  <si>
    <t>77,500.00</t>
  </si>
  <si>
    <t>128,756.00</t>
  </si>
  <si>
    <t>10,700.00</t>
  </si>
  <si>
    <t>236,400.00</t>
  </si>
  <si>
    <t>388,000.00</t>
  </si>
  <si>
    <t>5,000.00</t>
  </si>
  <si>
    <t>721,774.00</t>
  </si>
  <si>
    <t>157,447.08</t>
  </si>
  <si>
    <t>49,585.66</t>
  </si>
  <si>
    <t>8,823,491.10</t>
  </si>
  <si>
    <t>520,500.00</t>
  </si>
  <si>
    <t>91,165.00</t>
  </si>
  <si>
    <t>78,728.00</t>
  </si>
  <si>
    <t>54,250.00</t>
  </si>
  <si>
    <t>131,000.00</t>
  </si>
  <si>
    <t>108,000.00</t>
  </si>
  <si>
    <t>5,650.00</t>
  </si>
  <si>
    <t>325,000.00</t>
  </si>
  <si>
    <t>269,983.70</t>
  </si>
  <si>
    <t>199,924.00</t>
  </si>
  <si>
    <t>20,892.00</t>
  </si>
  <si>
    <t>3,300.00</t>
  </si>
  <si>
    <t>64,267.56</t>
  </si>
  <si>
    <t>70,116.50</t>
  </si>
  <si>
    <t>1,213,800.00</t>
  </si>
  <si>
    <t>78,680.00</t>
  </si>
  <si>
    <t>1,209,600.00</t>
  </si>
  <si>
    <t>15,700.00</t>
  </si>
  <si>
    <t>171,000.00</t>
  </si>
  <si>
    <t>101,232.00</t>
  </si>
  <si>
    <t>129,158.40</t>
  </si>
  <si>
    <t>608,156.00</t>
  </si>
  <si>
    <t>344,250.00</t>
  </si>
  <si>
    <t>95,800.00</t>
  </si>
  <si>
    <t>624,163.91</t>
  </si>
  <si>
    <t>139,800.00</t>
  </si>
  <si>
    <t>24,000.00</t>
  </si>
  <si>
    <t>186,935.00</t>
  </si>
  <si>
    <t>49,995.00</t>
  </si>
  <si>
    <t>111,111.11</t>
  </si>
  <si>
    <t>3,294,000.81</t>
  </si>
  <si>
    <t>492,000.00</t>
  </si>
  <si>
    <t>80,296.05</t>
  </si>
  <si>
    <t>1,958,140.00</t>
  </si>
  <si>
    <t>222,000.00</t>
  </si>
  <si>
    <t>160,200.00</t>
  </si>
  <si>
    <t>112,000.00</t>
  </si>
  <si>
    <t>13,555.00</t>
  </si>
  <si>
    <t>5,013,000.00</t>
  </si>
  <si>
    <t>129,500.00</t>
  </si>
  <si>
    <t>5,860.00</t>
  </si>
  <si>
    <t>12,000,000.00</t>
  </si>
  <si>
    <t>4,850.00</t>
  </si>
  <si>
    <t>3,123,000.00</t>
  </si>
  <si>
    <t>7,500.00</t>
  </si>
  <si>
    <t>949,602.00</t>
  </si>
  <si>
    <t>117,660.00</t>
  </si>
  <si>
    <t>42,000.00</t>
  </si>
  <si>
    <t>508,000.00</t>
  </si>
  <si>
    <t>79,876.00</t>
  </si>
  <si>
    <t>205,000.00</t>
  </si>
  <si>
    <t>236,740.00</t>
  </si>
  <si>
    <t>2,140.00</t>
  </si>
  <si>
    <t>420,000.00</t>
  </si>
  <si>
    <t>215,000.00</t>
  </si>
  <si>
    <t>70,950.00</t>
  </si>
  <si>
    <t>1,320,000.00</t>
  </si>
  <si>
    <t>199,999.59</t>
  </si>
  <si>
    <t>369,741.00</t>
  </si>
  <si>
    <t>31,555.00</t>
  </si>
  <si>
    <t>26,200.00</t>
  </si>
  <si>
    <t>125,650.00</t>
  </si>
  <si>
    <t>168,000.00</t>
  </si>
  <si>
    <t>3,911,763.56</t>
  </si>
  <si>
    <t>112,164.00</t>
  </si>
  <si>
    <t>131,785.00</t>
  </si>
  <si>
    <t>148,148.15</t>
  </si>
  <si>
    <t>138,500.00</t>
  </si>
  <si>
    <t>86,500.00</t>
  </si>
  <si>
    <t>220,000.00</t>
  </si>
  <si>
    <t>99,000.00</t>
  </si>
  <si>
    <t>400,400.00</t>
  </si>
  <si>
    <t>14,699,818.40</t>
  </si>
  <si>
    <t>78,030.00</t>
  </si>
  <si>
    <t>146,997.00</t>
  </si>
  <si>
    <t>117,000.00</t>
  </si>
  <si>
    <t>173,480.00</t>
  </si>
  <si>
    <t>947,200.07</t>
  </si>
  <si>
    <t>730,760.00</t>
  </si>
  <si>
    <t>136,000.00</t>
  </si>
  <si>
    <t>20,000.00</t>
  </si>
  <si>
    <t>316,800.00</t>
  </si>
  <si>
    <t>570,150.00</t>
  </si>
  <si>
    <t>1,050,000.00</t>
  </si>
  <si>
    <t>2,515,220.00</t>
  </si>
  <si>
    <t>55,875.00</t>
  </si>
  <si>
    <t>381,000.00</t>
  </si>
  <si>
    <t>181,000.00</t>
  </si>
  <si>
    <t>306,130.00</t>
  </si>
  <si>
    <t>81,000.00</t>
  </si>
  <si>
    <t>1,009,000.00</t>
  </si>
  <si>
    <t>909,000.00</t>
  </si>
  <si>
    <t>71,240.00</t>
  </si>
  <si>
    <t>89,490.00</t>
  </si>
  <si>
    <t>156,000.00</t>
  </si>
  <si>
    <t>225,000.00</t>
  </si>
  <si>
    <t>197,997.34</t>
  </si>
  <si>
    <t>980,000.00</t>
  </si>
  <si>
    <t>198,437.50</t>
  </si>
  <si>
    <t>1,374,259.27</t>
  </si>
  <si>
    <t>124,999.78</t>
  </si>
  <si>
    <t>184,000.00</t>
  </si>
  <si>
    <t>4,000.00</t>
  </si>
  <si>
    <t>85,000.00</t>
  </si>
  <si>
    <t>1,500.00</t>
  </si>
  <si>
    <t>69,750.00</t>
  </si>
  <si>
    <t>73,050.00</t>
  </si>
  <si>
    <t>1,840,888.12</t>
  </si>
  <si>
    <t>166,903.00</t>
  </si>
  <si>
    <t>72,000.00</t>
  </si>
  <si>
    <t>4,585,700.60</t>
  </si>
  <si>
    <t>157,930.00</t>
  </si>
  <si>
    <t>117,195.00</t>
  </si>
  <si>
    <t>1,075,900.00</t>
  </si>
  <si>
    <t>64,800.00</t>
  </si>
  <si>
    <t>149,945.00</t>
  </si>
  <si>
    <t>28,080.00</t>
  </si>
  <si>
    <t>84,350.00</t>
  </si>
  <si>
    <t>1,430,960.00</t>
  </si>
  <si>
    <t>94,665.00</t>
  </si>
  <si>
    <t>18,595.40</t>
  </si>
  <si>
    <t>68,000.00</t>
  </si>
  <si>
    <t>616,674.08</t>
  </si>
  <si>
    <t>2,225,205.60</t>
  </si>
  <si>
    <t>5,298,316.00</t>
  </si>
  <si>
    <t>1,950.00</t>
  </si>
  <si>
    <t>967,800.00</t>
  </si>
  <si>
    <t>199,500.00</t>
  </si>
  <si>
    <t>630,000.00</t>
  </si>
  <si>
    <t>802,377.90</t>
  </si>
  <si>
    <t>999,999.00</t>
  </si>
  <si>
    <t>391,000.00</t>
  </si>
  <si>
    <t>89,970.00</t>
  </si>
  <si>
    <t>192,000.00</t>
  </si>
  <si>
    <t>56,730.00</t>
  </si>
  <si>
    <t>134,665.00</t>
  </si>
  <si>
    <t>74,540.00</t>
  </si>
  <si>
    <t>182,420.00</t>
  </si>
  <si>
    <t>195,725.00</t>
  </si>
  <si>
    <t>6,800.00</t>
  </si>
  <si>
    <t>294,000.00</t>
  </si>
  <si>
    <t>160,500.00</t>
  </si>
  <si>
    <t>384,993.00</t>
  </si>
  <si>
    <t>2,475,900.00</t>
  </si>
  <si>
    <t>25,111.00</t>
  </si>
  <si>
    <t>11,334,500.00</t>
  </si>
  <si>
    <t>620,227.21</t>
  </si>
  <si>
    <t>456,000.00</t>
  </si>
  <si>
    <t>308,000.00</t>
  </si>
  <si>
    <t>90,675.00</t>
  </si>
  <si>
    <t>240,000.00</t>
  </si>
  <si>
    <t>405,000.00</t>
  </si>
  <si>
    <t>158,200.00</t>
  </si>
  <si>
    <t>149,600.00</t>
  </si>
  <si>
    <t>127,500.00</t>
  </si>
  <si>
    <t>155,620.00</t>
  </si>
  <si>
    <t>206,000.00</t>
  </si>
  <si>
    <t>174,000.00</t>
  </si>
  <si>
    <t>159,950.00</t>
  </si>
  <si>
    <t>3,030,260.00</t>
  </si>
  <si>
    <t>166,500.00</t>
  </si>
  <si>
    <t>1,199,890.00</t>
  </si>
  <si>
    <t>999,000.00</t>
  </si>
  <si>
    <t>79,920.00</t>
  </si>
  <si>
    <t>335,800.00</t>
  </si>
  <si>
    <t>662,676.04</t>
  </si>
  <si>
    <t>4,491,180.00</t>
  </si>
  <si>
    <t>1,035,000.00</t>
  </si>
  <si>
    <t>98,400.00</t>
  </si>
  <si>
    <t>186,000.00</t>
  </si>
  <si>
    <t>97,815.00</t>
  </si>
  <si>
    <t>56,390.00</t>
  </si>
  <si>
    <t>37,406,826.42</t>
  </si>
  <si>
    <t>148,500.00</t>
  </si>
  <si>
    <t>38,300,721.70</t>
  </si>
  <si>
    <t>980,730.00</t>
  </si>
  <si>
    <t>134,400.00</t>
  </si>
  <si>
    <t>321,510.00</t>
  </si>
  <si>
    <t>1,485,600.00</t>
  </si>
  <si>
    <t>154,000.00</t>
  </si>
  <si>
    <t>701,000.00</t>
  </si>
  <si>
    <t>423,000.00</t>
  </si>
  <si>
    <t>5,405,448.75</t>
  </si>
  <si>
    <t>424,837.00</t>
  </si>
  <si>
    <t>248,500.00</t>
  </si>
  <si>
    <t>2,412,700.00</t>
  </si>
  <si>
    <t>182,757.50</t>
  </si>
  <si>
    <t>525,000.00</t>
  </si>
  <si>
    <t>4,046,650.00</t>
  </si>
  <si>
    <t>6,226,500.00</t>
  </si>
  <si>
    <t>176,759.00</t>
  </si>
  <si>
    <t>400,345.00</t>
  </si>
  <si>
    <t>72,600.00</t>
  </si>
  <si>
    <t>21,486,819.59</t>
  </si>
  <si>
    <t>823,865.00</t>
  </si>
  <si>
    <t>6,832,312.20</t>
  </si>
  <si>
    <t>75,250.00</t>
  </si>
  <si>
    <t>367,865.00</t>
  </si>
  <si>
    <t>65,950.00</t>
  </si>
  <si>
    <t>53,860.00</t>
  </si>
  <si>
    <t>2,869,000.00</t>
  </si>
  <si>
    <t>102,000.00</t>
  </si>
  <si>
    <t>11,140.00</t>
  </si>
  <si>
    <t>313,500.00</t>
  </si>
  <si>
    <t>92,200.00</t>
  </si>
  <si>
    <t>416,300.00</t>
  </si>
  <si>
    <t>59,264.00</t>
  </si>
  <si>
    <t>795,000.00</t>
  </si>
  <si>
    <t>12,500.00</t>
  </si>
  <si>
    <t>5,796,682.68</t>
  </si>
  <si>
    <t>145,000.00</t>
  </si>
  <si>
    <t>522,000.00</t>
  </si>
  <si>
    <t>3,500,000.00</t>
  </si>
  <si>
    <t>366,000.00</t>
  </si>
  <si>
    <t>152,000.00</t>
  </si>
  <si>
    <t>69,418.43</t>
  </si>
  <si>
    <t>67,491.66</t>
  </si>
  <si>
    <t>18,650.00</t>
  </si>
  <si>
    <t>81,550.00</t>
  </si>
  <si>
    <t>7,808,356.80</t>
  </si>
  <si>
    <t>8,400.00</t>
  </si>
  <si>
    <t>14,000.00</t>
  </si>
  <si>
    <t>8,400,000.00</t>
  </si>
  <si>
    <t>749,000.00</t>
  </si>
  <si>
    <t>112,700.00</t>
  </si>
  <si>
    <t>38,307,449.45</t>
  </si>
  <si>
    <t>6,500,000.00</t>
  </si>
  <si>
    <t>312,050.00</t>
  </si>
  <si>
    <t>999,712.00</t>
  </si>
  <si>
    <t>478,740.00</t>
  </si>
  <si>
    <t>793,894.00</t>
  </si>
  <si>
    <t>199,733.00</t>
  </si>
  <si>
    <t>236,000.00</t>
  </si>
  <si>
    <t>179,737.60</t>
  </si>
  <si>
    <t>56,100.00</t>
  </si>
  <si>
    <t>717,084.50</t>
  </si>
  <si>
    <t>60,500.00</t>
  </si>
  <si>
    <t>677,848.00</t>
  </si>
  <si>
    <t>271,000.00</t>
  </si>
  <si>
    <t>559,268.48</t>
  </si>
  <si>
    <t>78,600.00</t>
  </si>
  <si>
    <t>89,892.00</t>
  </si>
  <si>
    <t>41,735.98</t>
  </si>
  <si>
    <t>14,206,871.40</t>
  </si>
  <si>
    <t>2,485,561.20</t>
  </si>
  <si>
    <t>82,590.00</t>
  </si>
  <si>
    <t>29,486.00</t>
  </si>
  <si>
    <t>2,589,000.00</t>
  </si>
  <si>
    <t>13,999,853.73</t>
  </si>
  <si>
    <t>1,796,900.00</t>
  </si>
  <si>
    <t>34,147.62</t>
  </si>
  <si>
    <t>970,368.00</t>
  </si>
  <si>
    <t>47,850.00</t>
  </si>
  <si>
    <t>62,302.00</t>
  </si>
  <si>
    <t>388,300.00</t>
  </si>
  <si>
    <t>105,882.00</t>
  </si>
  <si>
    <t>312,984.00</t>
  </si>
  <si>
    <t>148,302.00</t>
  </si>
  <si>
    <t>7,830,000.00</t>
  </si>
  <si>
    <t>382,800.00</t>
  </si>
  <si>
    <t>152,631.14</t>
  </si>
  <si>
    <t>71,170.00</t>
  </si>
  <si>
    <t>89,482.00</t>
  </si>
  <si>
    <t>87,485.00</t>
  </si>
  <si>
    <t>173,390.00</t>
  </si>
  <si>
    <t>62,854.85</t>
  </si>
  <si>
    <t>131,567.00</t>
  </si>
  <si>
    <t>18,949,654.50</t>
  </si>
  <si>
    <t>148,960.00</t>
  </si>
  <si>
    <t>84,000.00</t>
  </si>
  <si>
    <t>255,000.00</t>
  </si>
  <si>
    <t>15,650,391.64</t>
  </si>
  <si>
    <t>95,700.00</t>
  </si>
  <si>
    <t>74,500.00</t>
  </si>
  <si>
    <t>4,610,000.00</t>
  </si>
  <si>
    <t>64,736.00</t>
  </si>
  <si>
    <t>528,960.00</t>
  </si>
  <si>
    <t>11,462,000.00</t>
  </si>
  <si>
    <t>387,200.00</t>
  </si>
  <si>
    <t>489,957.70</t>
  </si>
  <si>
    <t>1,484,906.06</t>
  </si>
  <si>
    <t>1,800,000.00</t>
  </si>
  <si>
    <t>423,250.00</t>
  </si>
  <si>
    <t>367,011.20</t>
  </si>
  <si>
    <t>28,949,997.73</t>
  </si>
  <si>
    <t>81,600.00</t>
  </si>
  <si>
    <t>151,183.90</t>
  </si>
  <si>
    <t>9,920.00</t>
  </si>
  <si>
    <t>786,480.00</t>
  </si>
  <si>
    <t>9,998,120.39</t>
  </si>
  <si>
    <t>79,500.00</t>
  </si>
  <si>
    <t>198,600.00</t>
  </si>
  <si>
    <t>136,400.00</t>
  </si>
  <si>
    <t>51,200.00</t>
  </si>
  <si>
    <t>116,400.00</t>
  </si>
  <si>
    <t>82,100.00</t>
  </si>
  <si>
    <t>261,479.00</t>
  </si>
  <si>
    <t>329,412.00</t>
  </si>
  <si>
    <t>67,500.00</t>
  </si>
  <si>
    <t>131,084.00</t>
  </si>
  <si>
    <t>243,000.00</t>
  </si>
  <si>
    <t>650,000.00</t>
  </si>
  <si>
    <t>344,000.00</t>
  </si>
  <si>
    <t>999,607.59</t>
  </si>
  <si>
    <t>20,980.00</t>
  </si>
  <si>
    <t>38,304,641.07</t>
  </si>
  <si>
    <t>360,900.00</t>
  </si>
  <si>
    <t>37,941.80</t>
  </si>
  <si>
    <t>218,400.00</t>
  </si>
  <si>
    <t>24,767.45</t>
  </si>
  <si>
    <t>69,395.00</t>
  </si>
  <si>
    <t>149,445.00</t>
  </si>
  <si>
    <t>141,500.00</t>
  </si>
  <si>
    <t>199,998.00</t>
  </si>
  <si>
    <t>5,050,000.00</t>
  </si>
  <si>
    <t>798,995.57</t>
  </si>
  <si>
    <t>193,440.00</t>
  </si>
  <si>
    <t>738,950.00</t>
  </si>
  <si>
    <t>493,900.00</t>
  </si>
  <si>
    <t>287,244.00</t>
  </si>
  <si>
    <t>387,000.00</t>
  </si>
  <si>
    <t>551,478.00</t>
  </si>
  <si>
    <t>47,020,478.69</t>
  </si>
  <si>
    <t>252,954.00</t>
  </si>
  <si>
    <t>199,200.00</t>
  </si>
  <si>
    <t>905,619.35</t>
  </si>
  <si>
    <t>21,320.00</t>
  </si>
  <si>
    <t>992,530.00</t>
  </si>
  <si>
    <t>123,381.00</t>
  </si>
  <si>
    <t>815,676.00</t>
  </si>
  <si>
    <t>59,852.00</t>
  </si>
  <si>
    <t>1.00</t>
  </si>
  <si>
    <t>12,740.00</t>
  </si>
  <si>
    <t>118,298.00</t>
  </si>
  <si>
    <t>49,200.00</t>
  </si>
  <si>
    <t>373,806.00</t>
  </si>
  <si>
    <t>4,500.00</t>
  </si>
  <si>
    <t>640,073.62</t>
  </si>
  <si>
    <t>44,200.00</t>
  </si>
  <si>
    <t>124,000.00</t>
  </si>
  <si>
    <t>149,500.00</t>
  </si>
  <si>
    <t>212,260.40</t>
  </si>
  <si>
    <t>98,000.00</t>
  </si>
  <si>
    <t>99,996.00</t>
  </si>
  <si>
    <t>104,000.00</t>
  </si>
  <si>
    <t>999,915.00</t>
  </si>
  <si>
    <t>33,136.00</t>
  </si>
  <si>
    <t>25,000.00</t>
  </si>
  <si>
    <t>396,000.00</t>
  </si>
  <si>
    <t>2,880,000.00</t>
  </si>
  <si>
    <t>14,700.00</t>
  </si>
  <si>
    <t>999,642.60</t>
  </si>
  <si>
    <t>139,850.00</t>
  </si>
  <si>
    <t>59,996.00</t>
  </si>
  <si>
    <t>32,000.00</t>
  </si>
  <si>
    <t>199,850.00</t>
  </si>
  <si>
    <t>249,911.00</t>
  </si>
  <si>
    <t>125,350.00</t>
  </si>
  <si>
    <t>124,500.00</t>
  </si>
  <si>
    <t>198,547.00</t>
  </si>
  <si>
    <t>70,940.00</t>
  </si>
  <si>
    <t>396,500.00</t>
  </si>
  <si>
    <t>65,155.00</t>
  </si>
  <si>
    <t>183,822.31</t>
  </si>
  <si>
    <t>30,082,593.50</t>
  </si>
  <si>
    <t>999,830.00</t>
  </si>
  <si>
    <t>175,000.00</t>
  </si>
  <si>
    <t>178,550.00</t>
  </si>
  <si>
    <t>43,779,916.26</t>
  </si>
  <si>
    <t>207,000.00</t>
  </si>
  <si>
    <t>199,266.30</t>
  </si>
  <si>
    <t>728,100.00</t>
  </si>
  <si>
    <t>155,210.00</t>
  </si>
  <si>
    <t>115,875.00</t>
  </si>
  <si>
    <t>345,118.00</t>
  </si>
  <si>
    <t>870,775.00</t>
  </si>
  <si>
    <t>390,000.00</t>
  </si>
  <si>
    <t>129,000.00</t>
  </si>
  <si>
    <t>1,894,417.50</t>
  </si>
  <si>
    <t>199,875.75</t>
  </si>
  <si>
    <t>61,860.00</t>
  </si>
  <si>
    <t>208,518.00</t>
  </si>
  <si>
    <t>2,500.00</t>
  </si>
  <si>
    <t>3,256,942.54</t>
  </si>
  <si>
    <t>116,000.00</t>
  </si>
  <si>
    <t>975,000.00</t>
  </si>
  <si>
    <t>31,245.00</t>
  </si>
  <si>
    <t>2,831,676.00</t>
  </si>
  <si>
    <t>979,888.44</t>
  </si>
  <si>
    <t>64,385.00</t>
  </si>
  <si>
    <t>299,190.00</t>
  </si>
  <si>
    <t>59,905.66</t>
  </si>
  <si>
    <t>1,999,860.00</t>
  </si>
  <si>
    <t>43,680.00</t>
  </si>
  <si>
    <t>68,100.00</t>
  </si>
  <si>
    <t>25,480.00</t>
  </si>
  <si>
    <t>12,200.00</t>
  </si>
  <si>
    <t>298,327.90</t>
  </si>
  <si>
    <t>52,125.00</t>
  </si>
  <si>
    <t>170,650.00</t>
  </si>
  <si>
    <t>1,423,087.83</t>
  </si>
  <si>
    <t>85,812.30</t>
  </si>
  <si>
    <t>137,850.00</t>
  </si>
  <si>
    <t>365,700.00</t>
  </si>
  <si>
    <t>9,000,000.00</t>
  </si>
  <si>
    <t>181,662.50</t>
  </si>
  <si>
    <t>1,210,440.00</t>
  </si>
  <si>
    <t>39,382.00</t>
  </si>
  <si>
    <t>3,162,000.00</t>
  </si>
  <si>
    <t>117,760.00</t>
  </si>
  <si>
    <t>1,772,577.95</t>
  </si>
  <si>
    <t>1,825,500.00</t>
  </si>
  <si>
    <t>1,401,583.77</t>
  </si>
  <si>
    <t>24,675,000.00</t>
  </si>
  <si>
    <t>128,950.00</t>
  </si>
  <si>
    <t>199,570.00</t>
  </si>
  <si>
    <t>61,800.00</t>
  </si>
  <si>
    <t>120,300.96</t>
  </si>
  <si>
    <t>145,240.00</t>
  </si>
  <si>
    <t>1,179,700.00</t>
  </si>
  <si>
    <t>59,575.00</t>
  </si>
  <si>
    <t>451,375.00</t>
  </si>
  <si>
    <t>53,350.00</t>
  </si>
  <si>
    <t>800,045.00</t>
  </si>
  <si>
    <t>999,995.00</t>
  </si>
  <si>
    <t>1,499,745.38</t>
  </si>
  <si>
    <t>73,980.00</t>
  </si>
  <si>
    <t>999,979.14</t>
  </si>
  <si>
    <t>63,657.00</t>
  </si>
  <si>
    <t>204,500.00</t>
  </si>
  <si>
    <t>3,694,689.00</t>
  </si>
  <si>
    <t>379,725.00</t>
  </si>
  <si>
    <t>770,000.00</t>
  </si>
  <si>
    <t>92,785.00</t>
  </si>
  <si>
    <t>82,050.00</t>
  </si>
  <si>
    <t>60,419.00</t>
  </si>
  <si>
    <t>597,000.00</t>
  </si>
  <si>
    <t>459,055.46</t>
  </si>
  <si>
    <t>136,500.00</t>
  </si>
  <si>
    <t>83,440.00</t>
  </si>
  <si>
    <t>112,290.00</t>
  </si>
  <si>
    <t>94,095.00</t>
  </si>
  <si>
    <t>109,760.00</t>
  </si>
  <si>
    <t>4,246,783.00</t>
  </si>
  <si>
    <t>59,070.00</t>
  </si>
  <si>
    <t>53,750.00</t>
  </si>
  <si>
    <t>380,706.00</t>
  </si>
  <si>
    <t>101,000.00</t>
  </si>
  <si>
    <t>72,820.70</t>
  </si>
  <si>
    <t>6,820,000.00</t>
  </si>
  <si>
    <t>61,895.00</t>
  </si>
  <si>
    <t>9,849,942.95</t>
  </si>
  <si>
    <t>270,225.00</t>
  </si>
  <si>
    <t>906,000.00</t>
  </si>
  <si>
    <t>22,500.00</t>
  </si>
  <si>
    <t>400,050.00</t>
  </si>
  <si>
    <t>17,000.00</t>
  </si>
  <si>
    <t>94,200.00</t>
  </si>
  <si>
    <t>843,360.00</t>
  </si>
  <si>
    <t>76,000.00</t>
  </si>
  <si>
    <t>681,945.52</t>
  </si>
  <si>
    <t>316,420.00</t>
  </si>
  <si>
    <t>194,250.00</t>
  </si>
  <si>
    <t>59,920.00</t>
  </si>
  <si>
    <t>90,550.00</t>
  </si>
  <si>
    <t>71,225.00</t>
  </si>
  <si>
    <t>1,172,952.00</t>
  </si>
  <si>
    <t>582,700.35</t>
  </si>
  <si>
    <t>8,912,982.47</t>
  </si>
  <si>
    <t>333,600.00</t>
  </si>
  <si>
    <t>81,333.60</t>
  </si>
  <si>
    <t>114,000.00</t>
  </si>
  <si>
    <t>17,500,000.00</t>
  </si>
  <si>
    <t>480,000.00</t>
  </si>
  <si>
    <t>52,872,660.00</t>
  </si>
  <si>
    <t>52,580.00</t>
  </si>
  <si>
    <t>219,100.00</t>
  </si>
  <si>
    <t>45,181.00</t>
  </si>
  <si>
    <t>17,500.00</t>
  </si>
  <si>
    <t>57,969.38</t>
  </si>
  <si>
    <t>68,611.14</t>
  </si>
  <si>
    <t>218,947.68</t>
  </si>
  <si>
    <t>411,000.00</t>
  </si>
  <si>
    <t>150,835.00</t>
  </si>
  <si>
    <t>2,800,000.00</t>
  </si>
  <si>
    <t>715,650.78</t>
  </si>
  <si>
    <t>1,540,000.00</t>
  </si>
  <si>
    <t>173,000.00</t>
  </si>
  <si>
    <t>992,000.00</t>
  </si>
  <si>
    <t>972,633.65</t>
  </si>
  <si>
    <t>21,400.00</t>
  </si>
  <si>
    <t>79,110.00</t>
  </si>
  <si>
    <t>204,382.27</t>
  </si>
  <si>
    <t>161,739.45</t>
  </si>
  <si>
    <t>77,695.00</t>
  </si>
  <si>
    <t>75,860.00</t>
  </si>
  <si>
    <t>53,086.00</t>
  </si>
  <si>
    <t>16,640,604.36</t>
  </si>
  <si>
    <t>75,384.00</t>
  </si>
  <si>
    <t>34,112.00</t>
  </si>
  <si>
    <t>4,500,000.00</t>
  </si>
  <si>
    <t>63,800.00</t>
  </si>
  <si>
    <t>95,575.00</t>
  </si>
  <si>
    <t>23,052.12</t>
  </si>
  <si>
    <t>18,793.50</t>
  </si>
  <si>
    <t>26,074.00</t>
  </si>
  <si>
    <t>183,000.00</t>
  </si>
  <si>
    <t>12,437,500.00</t>
  </si>
  <si>
    <t>2,714.00</t>
  </si>
  <si>
    <t>72,500.00</t>
  </si>
  <si>
    <t>125,222.01</t>
  </si>
  <si>
    <t>3,605,553.96</t>
  </si>
  <si>
    <t>1,737,550.00</t>
  </si>
  <si>
    <t>191,647.00</t>
  </si>
  <si>
    <t>106,680.00</t>
  </si>
  <si>
    <t>57,780.00</t>
  </si>
  <si>
    <t>153,950.00</t>
  </si>
  <si>
    <t>392,000.00</t>
  </si>
  <si>
    <t>75,500.00</t>
  </si>
  <si>
    <t>19,900,000.00</t>
  </si>
  <si>
    <t>672,000.00</t>
  </si>
  <si>
    <t>1,589,411.97</t>
  </si>
  <si>
    <t>372,994.40</t>
  </si>
  <si>
    <t>309,844.21</t>
  </si>
  <si>
    <t>998,970.00</t>
  </si>
  <si>
    <t>7,320,968.20</t>
  </si>
  <si>
    <t>71,857.40</t>
  </si>
  <si>
    <t>67,980.00</t>
  </si>
  <si>
    <t>20,155.00</t>
  </si>
  <si>
    <t>119,125.00</t>
  </si>
  <si>
    <t>100,110.00</t>
  </si>
  <si>
    <t>3,274,000.00</t>
  </si>
  <si>
    <t>63,893.90</t>
  </si>
  <si>
    <t>244,000.00</t>
  </si>
  <si>
    <t>80,882.00</t>
  </si>
  <si>
    <t>299,965.00</t>
  </si>
  <si>
    <t>445,200.00</t>
  </si>
  <si>
    <t>10,500.00</t>
  </si>
  <si>
    <t>32,660.00</t>
  </si>
  <si>
    <t>512,090.00</t>
  </si>
  <si>
    <t>88,100.00</t>
  </si>
  <si>
    <t>91,500.00</t>
  </si>
  <si>
    <t>79,869.00</t>
  </si>
  <si>
    <t>23,880,000.00</t>
  </si>
  <si>
    <t>55,020.00</t>
  </si>
  <si>
    <t>206,335.00</t>
  </si>
  <si>
    <t>115,100.32</t>
  </si>
  <si>
    <t>73,000.00</t>
  </si>
  <si>
    <t>349,880.27</t>
  </si>
  <si>
    <t>198,624.09</t>
  </si>
  <si>
    <t>287,394.00</t>
  </si>
  <si>
    <t>36,800.00</t>
  </si>
  <si>
    <t>259,344.00</t>
  </si>
  <si>
    <t>8,682,933.16</t>
  </si>
  <si>
    <t>118,570.00</t>
  </si>
  <si>
    <t>920,684.00</t>
  </si>
  <si>
    <t>23,375.00</t>
  </si>
  <si>
    <t>776,000.00</t>
  </si>
  <si>
    <t>269,000.00</t>
  </si>
  <si>
    <t>290,000.00</t>
  </si>
  <si>
    <t>72,330.00</t>
  </si>
  <si>
    <t>123,183.64</t>
  </si>
  <si>
    <t>463,440.00</t>
  </si>
  <si>
    <t>132,714.00</t>
  </si>
  <si>
    <t>251,000.00</t>
  </si>
  <si>
    <t>705,685.51</t>
  </si>
  <si>
    <t>194,600.00</t>
  </si>
  <si>
    <t>291,000.00</t>
  </si>
  <si>
    <t>66,936.00</t>
  </si>
  <si>
    <t>1,159,436.25</t>
  </si>
  <si>
    <t>1,394,281.31</t>
  </si>
  <si>
    <t>117,610.00</t>
  </si>
  <si>
    <t>30,600.00</t>
  </si>
  <si>
    <t>136,636.00</t>
  </si>
  <si>
    <t>80,045.00</t>
  </si>
  <si>
    <t>64,610.00</t>
  </si>
  <si>
    <t>906,289.00</t>
  </si>
  <si>
    <t>12,900.00</t>
  </si>
  <si>
    <t>294,460.00</t>
  </si>
  <si>
    <t>14,150.00</t>
  </si>
  <si>
    <t>212,320.00</t>
  </si>
  <si>
    <t>83,412.00</t>
  </si>
  <si>
    <t>1,600,000.00</t>
  </si>
  <si>
    <t>275,000.00</t>
  </si>
  <si>
    <t>139,845.00</t>
  </si>
  <si>
    <t>62,250.00</t>
  </si>
  <si>
    <t>181,515.00</t>
  </si>
  <si>
    <t>80,881.00</t>
  </si>
  <si>
    <t>106,050.00</t>
  </si>
  <si>
    <t>991,200.00</t>
  </si>
  <si>
    <t>124,082.00</t>
  </si>
  <si>
    <t>356,500.00</t>
  </si>
  <si>
    <t>100,744.00</t>
  </si>
  <si>
    <t>360,000.00</t>
  </si>
  <si>
    <t>50,100.00</t>
  </si>
  <si>
    <t>151,900.00</t>
  </si>
  <si>
    <t>119,800.00</t>
  </si>
  <si>
    <t>476,606.40</t>
  </si>
  <si>
    <t>52,000.00</t>
  </si>
  <si>
    <t>114,800.00</t>
  </si>
  <si>
    <t>18,149,874.36</t>
  </si>
  <si>
    <t>2,493,316.34</t>
  </si>
  <si>
    <t>3,450,000.00</t>
  </si>
  <si>
    <t>997,500.00</t>
  </si>
  <si>
    <t>305,886.00</t>
  </si>
  <si>
    <t>920,000.00</t>
  </si>
  <si>
    <t>595,000.00</t>
  </si>
  <si>
    <t>284,266.75</t>
  </si>
  <si>
    <t>87,000.00</t>
  </si>
  <si>
    <t>2,987,080.00</t>
  </si>
  <si>
    <t>202,414.87</t>
  </si>
  <si>
    <t>2,130,000.00</t>
  </si>
  <si>
    <t>6,879,719.73</t>
  </si>
  <si>
    <t>14,500.00</t>
  </si>
  <si>
    <t>162,310.00</t>
  </si>
  <si>
    <t>4,100,000.00</t>
  </si>
  <si>
    <t>276,950.00</t>
  </si>
  <si>
    <t>265,000.00</t>
  </si>
  <si>
    <t>4,062,628.26</t>
  </si>
  <si>
    <t>2,900,000.00</t>
  </si>
  <si>
    <t>317,550.00</t>
  </si>
  <si>
    <t>3,114,129.61</t>
  </si>
  <si>
    <t>36,890.00</t>
  </si>
  <si>
    <t>623,798.00</t>
  </si>
  <si>
    <t>324,375.00</t>
  </si>
  <si>
    <t>199,823.80</t>
  </si>
  <si>
    <t>199,540.00</t>
  </si>
  <si>
    <t>79,800.00</t>
  </si>
  <si>
    <t>36,400.00</t>
  </si>
  <si>
    <t>998,088.00</t>
  </si>
  <si>
    <t>986,000.00</t>
  </si>
  <si>
    <t>873,625.18</t>
  </si>
  <si>
    <t>2,979,670.00</t>
  </si>
  <si>
    <t>153,025.00</t>
  </si>
  <si>
    <t>57,550.00</t>
  </si>
  <si>
    <t>376,560.00</t>
  </si>
  <si>
    <t>57,645.00</t>
  </si>
  <si>
    <t>400,184.50</t>
  </si>
  <si>
    <t>241,206.55</t>
  </si>
  <si>
    <t>288,000.00</t>
  </si>
  <si>
    <t>386,531.00</t>
  </si>
  <si>
    <t>143,900.00</t>
  </si>
  <si>
    <t>99,361.00</t>
  </si>
  <si>
    <t>320,398.27</t>
  </si>
  <si>
    <t>853,100.00</t>
  </si>
  <si>
    <t>509,076.00</t>
  </si>
  <si>
    <t>248,000.00</t>
  </si>
  <si>
    <t>653,237.68</t>
  </si>
  <si>
    <t>149,677.00</t>
  </si>
  <si>
    <t>3,600.00</t>
  </si>
  <si>
    <t>53,430.00</t>
  </si>
  <si>
    <t>132,500.00</t>
  </si>
  <si>
    <t>105,300.00</t>
  </si>
  <si>
    <t>4,917,000.00</t>
  </si>
  <si>
    <t>450,240.00</t>
  </si>
  <si>
    <t>126,100.00</t>
  </si>
  <si>
    <t>12,437,493.87</t>
  </si>
  <si>
    <t>1,499,999.70</t>
  </si>
  <si>
    <t>175,642.00</t>
  </si>
  <si>
    <t>46,690.00</t>
  </si>
  <si>
    <t>51,000.00</t>
  </si>
  <si>
    <t>354,000.00</t>
  </si>
  <si>
    <t>299,796.00</t>
  </si>
  <si>
    <t>71,000.00</t>
  </si>
  <si>
    <t>39,715.00</t>
  </si>
  <si>
    <t>1,260,570.50</t>
  </si>
  <si>
    <t>57,085.00</t>
  </si>
  <si>
    <t>273,900.00</t>
  </si>
  <si>
    <t>984,915.00</t>
  </si>
  <si>
    <t>286,347.00</t>
  </si>
  <si>
    <t>6,534,141.84</t>
  </si>
  <si>
    <t>873,034.49</t>
  </si>
  <si>
    <t>48,700.00</t>
  </si>
  <si>
    <t>171,500.00</t>
  </si>
  <si>
    <t>83,100.00</t>
  </si>
  <si>
    <t>3,457,158.00</t>
  </si>
  <si>
    <t>342,716.00</t>
  </si>
  <si>
    <t>737,830.00</t>
  </si>
  <si>
    <t>87,538.00</t>
  </si>
  <si>
    <t>24,750,000.00</t>
  </si>
  <si>
    <t>101,790.00</t>
  </si>
  <si>
    <t>96,532.00</t>
  </si>
  <si>
    <t>189,000.00</t>
  </si>
  <si>
    <t>465,437.40</t>
  </si>
  <si>
    <t>82,770.00</t>
  </si>
  <si>
    <t>165,530.00</t>
  </si>
  <si>
    <t>100,240.00</t>
  </si>
  <si>
    <t>1,376,575.00</t>
  </si>
  <si>
    <t>637,530.00</t>
  </si>
  <si>
    <t>97,800.00</t>
  </si>
  <si>
    <t>720,879.60</t>
  </si>
  <si>
    <t>1,155,634.00</t>
  </si>
  <si>
    <t>827,380.00</t>
  </si>
  <si>
    <t>110,031.00</t>
  </si>
  <si>
    <t>77,000.00</t>
  </si>
  <si>
    <t>2,635,359.00</t>
  </si>
  <si>
    <t>25,415.00</t>
  </si>
  <si>
    <t>64,190.00</t>
  </si>
  <si>
    <t>103,996.00</t>
  </si>
  <si>
    <t>15,867,017.05</t>
  </si>
  <si>
    <t>244,719.00</t>
  </si>
  <si>
    <t>41,360.00</t>
  </si>
  <si>
    <t>9,910,000.00</t>
  </si>
  <si>
    <t>19,800,000.00</t>
  </si>
  <si>
    <t>88,800.00</t>
  </si>
  <si>
    <t>7,350,000.00</t>
  </si>
  <si>
    <t>11,289,600.00</t>
  </si>
  <si>
    <t>51,299.00</t>
  </si>
  <si>
    <t>12,226,080.00</t>
  </si>
  <si>
    <t>94,347.00</t>
  </si>
  <si>
    <t>50,030.00</t>
  </si>
  <si>
    <t>430,950.00</t>
  </si>
  <si>
    <t>1,672,149.37</t>
  </si>
  <si>
    <t>116,430.00</t>
  </si>
  <si>
    <t>661,000.00</t>
  </si>
  <si>
    <t>50,335.00</t>
  </si>
  <si>
    <t>762,284.78</t>
  </si>
  <si>
    <t>69,140.00</t>
  </si>
  <si>
    <t>115,210.00</t>
  </si>
  <si>
    <t>1,900,000.00</t>
  </si>
  <si>
    <t>64,100.00</t>
  </si>
  <si>
    <t>202,500.00</t>
  </si>
  <si>
    <t>92,429.25</t>
  </si>
  <si>
    <t>54,294.00</t>
  </si>
  <si>
    <t>799,760.00</t>
  </si>
  <si>
    <t>62,400.00</t>
  </si>
  <si>
    <t>423,600.00</t>
  </si>
  <si>
    <t>493,086.37</t>
  </si>
  <si>
    <t>49,262.00</t>
  </si>
  <si>
    <t>57,517.00</t>
  </si>
  <si>
    <t>234,000.00</t>
  </si>
  <si>
    <t>35,460.00</t>
  </si>
  <si>
    <t>200,020.00</t>
  </si>
  <si>
    <t>293,600.00</t>
  </si>
  <si>
    <t>79,950.00</t>
  </si>
  <si>
    <t>88,310.00</t>
  </si>
  <si>
    <t>198,750.00</t>
  </si>
  <si>
    <t>6,657.00</t>
  </si>
  <si>
    <t>5,161.00</t>
  </si>
  <si>
    <t>50,240.00</t>
  </si>
  <si>
    <t>10,350.00</t>
  </si>
  <si>
    <t>9,819,071.55</t>
  </si>
  <si>
    <t>5,175.00</t>
  </si>
  <si>
    <t>15,599.00</t>
  </si>
  <si>
    <t>31,000.00</t>
  </si>
  <si>
    <t>599,789.82</t>
  </si>
  <si>
    <t>2,999,845.64</t>
  </si>
  <si>
    <t>142,799.00</t>
  </si>
  <si>
    <t>482,294.50</t>
  </si>
  <si>
    <t>78,400.00</t>
  </si>
  <si>
    <t>2,987,162.16</t>
  </si>
  <si>
    <t>35,947.50</t>
  </si>
  <si>
    <t>40,000,000.00</t>
  </si>
  <si>
    <t>71,250.00</t>
  </si>
  <si>
    <t>59,270.00</t>
  </si>
  <si>
    <t>9,170.00</t>
  </si>
  <si>
    <t>19,999,987.66</t>
  </si>
  <si>
    <t>399,999.08</t>
  </si>
  <si>
    <t>61,600.00</t>
  </si>
  <si>
    <t>156,410.00</t>
  </si>
  <si>
    <t>192,090.00</t>
  </si>
  <si>
    <t>47,858.00</t>
  </si>
  <si>
    <t>21,600.00</t>
  </si>
  <si>
    <t>24,673.00</t>
  </si>
  <si>
    <t>51,220.00</t>
  </si>
  <si>
    <t>820,000.00</t>
  </si>
  <si>
    <t>50,500.00</t>
  </si>
  <si>
    <t>2,080.00</t>
  </si>
  <si>
    <t>3,584,564.84</t>
  </si>
  <si>
    <t>219,050.00</t>
  </si>
  <si>
    <t>54,600.00</t>
  </si>
  <si>
    <t>548,159.49</t>
  </si>
  <si>
    <t>332,000.00</t>
  </si>
  <si>
    <t>296,060.00</t>
  </si>
  <si>
    <t>53,100.00</t>
  </si>
  <si>
    <t>293,350.00</t>
  </si>
  <si>
    <t>8,800.00</t>
  </si>
  <si>
    <t>3,682,655.14</t>
  </si>
  <si>
    <t>249,713.92</t>
  </si>
  <si>
    <t>354,666.24</t>
  </si>
  <si>
    <t>413,250.00</t>
  </si>
  <si>
    <t>239,550.00</t>
  </si>
  <si>
    <t>89,500.00</t>
  </si>
  <si>
    <t>134,290.24</t>
  </si>
  <si>
    <t>1,100,000.00</t>
  </si>
  <si>
    <t>1,757,200.00</t>
  </si>
  <si>
    <t>921,090.50</t>
  </si>
  <si>
    <t>3,877,471.16</t>
  </si>
  <si>
    <t>110,000,000.00</t>
  </si>
  <si>
    <t>79,669,700.00</t>
  </si>
  <si>
    <t>1,950,007.58</t>
  </si>
  <si>
    <t>15,650.00</t>
  </si>
  <si>
    <t>1,025,000.00</t>
  </si>
  <si>
    <t>46,600.00</t>
  </si>
  <si>
    <t>442,379.88</t>
  </si>
  <si>
    <t>1,894,613.09</t>
  </si>
  <si>
    <t>18,664,200.00</t>
  </si>
  <si>
    <t>71,875.00</t>
  </si>
  <si>
    <t>384,256,044.00</t>
  </si>
  <si>
    <t>58,400.00</t>
  </si>
  <si>
    <t>325,161.63</t>
  </si>
  <si>
    <t>2,331,606.86</t>
  </si>
  <si>
    <t>176,000.00</t>
  </si>
  <si>
    <t>51,250.00</t>
  </si>
  <si>
    <t>4,982,432.71</t>
  </si>
  <si>
    <t>29,600.40</t>
  </si>
  <si>
    <t>1,959,794.43</t>
  </si>
  <si>
    <t>425,366.00</t>
  </si>
  <si>
    <t>79,350.00</t>
  </si>
  <si>
    <t>895,280.00</t>
  </si>
  <si>
    <t>394,140.00</t>
  </si>
  <si>
    <t>6,315.00</t>
  </si>
  <si>
    <t>997,750.00</t>
  </si>
  <si>
    <t>146,745.59</t>
  </si>
  <si>
    <t>84,100.00</t>
  </si>
  <si>
    <t>560,000.00</t>
  </si>
  <si>
    <t>58,598.40</t>
  </si>
  <si>
    <t>1,952,796.16</t>
  </si>
  <si>
    <t>21,066.00</t>
  </si>
  <si>
    <t>14,940,000.00</t>
  </si>
  <si>
    <t>7,900.00</t>
  </si>
  <si>
    <t>49,000.00</t>
  </si>
  <si>
    <t>705,000.00</t>
  </si>
  <si>
    <t>86,850.00</t>
  </si>
  <si>
    <t>436,030.00</t>
  </si>
  <si>
    <t>79,782.00</t>
  </si>
  <si>
    <t>199,545.00</t>
  </si>
  <si>
    <t>337,950.00</t>
  </si>
  <si>
    <t>2,142,000.00</t>
  </si>
  <si>
    <t>77,754.00</t>
  </si>
  <si>
    <t>67,315.00</t>
  </si>
  <si>
    <t>126,000.00</t>
  </si>
  <si>
    <t>1,863,000.00</t>
  </si>
  <si>
    <t>310,700.00</t>
  </si>
  <si>
    <t>54,420.00</t>
  </si>
  <si>
    <t>291,558.18</t>
  </si>
  <si>
    <t>1,928,709.00</t>
  </si>
  <si>
    <t>1,430,000.00</t>
  </si>
  <si>
    <t>105,590.00</t>
  </si>
  <si>
    <t>100,800.00</t>
  </si>
  <si>
    <t>2,576,380.00</t>
  </si>
  <si>
    <t>781,000.00</t>
  </si>
  <si>
    <t>29,700,000.00</t>
  </si>
  <si>
    <t>39,600,000.00</t>
  </si>
  <si>
    <t>43,572,757.00</t>
  </si>
  <si>
    <t>65,957.50</t>
  </si>
  <si>
    <t>4,950,000.00</t>
  </si>
  <si>
    <t>57,950.00</t>
  </si>
  <si>
    <t>499,144.03</t>
  </si>
  <si>
    <t>999,983.84</t>
  </si>
  <si>
    <t>7,300.00</t>
  </si>
  <si>
    <t>282,966.89</t>
  </si>
  <si>
    <t>182,550.00</t>
  </si>
  <si>
    <t>2,031,108.65</t>
  </si>
  <si>
    <t>4,700,000.00</t>
  </si>
  <si>
    <t>344,650.00</t>
  </si>
  <si>
    <t>200,500.00</t>
  </si>
  <si>
    <t>134,000.00</t>
  </si>
  <si>
    <t>98,776.80</t>
  </si>
  <si>
    <t>73,596.00</t>
  </si>
  <si>
    <t>811,558.20</t>
  </si>
  <si>
    <t>49,500,000.00</t>
  </si>
  <si>
    <t>374,269.14</t>
  </si>
  <si>
    <t>321,600.00</t>
  </si>
  <si>
    <t>71,034.97</t>
  </si>
  <si>
    <t>202,091.00</t>
  </si>
  <si>
    <t>457,000.00</t>
  </si>
  <si>
    <t>648,187.31</t>
  </si>
  <si>
    <t>391,271.00</t>
  </si>
  <si>
    <t>50,624.00</t>
  </si>
  <si>
    <t>317,310.00</t>
  </si>
  <si>
    <t>214,721.75</t>
  </si>
  <si>
    <t>1,777,400.00</t>
  </si>
  <si>
    <t>218,240.90</t>
  </si>
  <si>
    <t>645,200.00</t>
  </si>
  <si>
    <t>999,987.83</t>
  </si>
  <si>
    <t>1,264,000.00</t>
  </si>
  <si>
    <t>118,500,000.00</t>
  </si>
  <si>
    <t>1,499,986.85</t>
  </si>
  <si>
    <t>972,431.92</t>
  </si>
  <si>
    <t>449,918.16</t>
  </si>
  <si>
    <t>1,949,538.40</t>
  </si>
  <si>
    <t>13,937,118.32</t>
  </si>
  <si>
    <t>113,425.00</t>
  </si>
  <si>
    <t>657,680.00</t>
  </si>
  <si>
    <t>498,729.27</t>
  </si>
  <si>
    <t>973,571.88</t>
  </si>
  <si>
    <t>207,964.00</t>
  </si>
  <si>
    <t>985,133.81</t>
  </si>
  <si>
    <t>122,040.00</t>
  </si>
  <si>
    <t>7,000,000.00</t>
  </si>
  <si>
    <t>1,960,250.00</t>
  </si>
  <si>
    <t>279,910.00</t>
  </si>
  <si>
    <t>926,395.00</t>
  </si>
  <si>
    <t>26,320,104.00</t>
  </si>
  <si>
    <t>2,048,557.60</t>
  </si>
  <si>
    <t>4,513,562.88</t>
  </si>
  <si>
    <t>3,502,950.19</t>
  </si>
  <si>
    <t>149,960.00</t>
  </si>
  <si>
    <t>3,700,000.00</t>
  </si>
  <si>
    <t>484,950.00</t>
  </si>
  <si>
    <t>175,026.00</t>
  </si>
  <si>
    <t>813,120.00</t>
  </si>
  <si>
    <t>2,499,972.68</t>
  </si>
  <si>
    <t>70,695.00</t>
  </si>
  <si>
    <t>2,379,896.78</t>
  </si>
  <si>
    <t>1,321,371.85</t>
  </si>
  <si>
    <t>488,800.00</t>
  </si>
  <si>
    <t>1,170,368.60</t>
  </si>
  <si>
    <t>133,957.14</t>
  </si>
  <si>
    <t>476,590.00</t>
  </si>
  <si>
    <t>132,228.00</t>
  </si>
  <si>
    <t>1,109,238.95</t>
  </si>
  <si>
    <t>1,445,704.10</t>
  </si>
  <si>
    <t>23,200.00</t>
  </si>
  <si>
    <t>1,295,000.00</t>
  </si>
  <si>
    <t>104,200.00</t>
  </si>
  <si>
    <t>9,520.00</t>
  </si>
  <si>
    <t>144,690.00</t>
  </si>
  <si>
    <t>46,000.00</t>
  </si>
  <si>
    <t>79,999.97</t>
  </si>
  <si>
    <t>128,450.00</t>
  </si>
  <si>
    <t>119,999.95</t>
  </si>
  <si>
    <t>31,090.00</t>
  </si>
  <si>
    <t>25,925.00</t>
  </si>
  <si>
    <t>262,400.00</t>
  </si>
  <si>
    <t>6,950,000.00</t>
  </si>
  <si>
    <t>82,200.00</t>
  </si>
  <si>
    <t>1,480,914.00</t>
  </si>
  <si>
    <t>1,202,849.99</t>
  </si>
  <si>
    <t>36,250,000.00</t>
  </si>
  <si>
    <t>1,810,500.00</t>
  </si>
  <si>
    <t>98,600.00</t>
  </si>
  <si>
    <t>80,750.00</t>
  </si>
  <si>
    <t>850,000.00</t>
  </si>
  <si>
    <t>252,500.00</t>
  </si>
  <si>
    <t>4,745,000.00</t>
  </si>
  <si>
    <t>191,657.00</t>
  </si>
  <si>
    <t>997,160.00</t>
  </si>
  <si>
    <t>602,154.00</t>
  </si>
  <si>
    <t>991,400.00</t>
  </si>
  <si>
    <t>732,500.00</t>
  </si>
  <si>
    <t>348,491.00</t>
  </si>
  <si>
    <t>30,160.00</t>
  </si>
  <si>
    <t>31,060.00</t>
  </si>
  <si>
    <t>408,843.00</t>
  </si>
  <si>
    <t>138,000.00</t>
  </si>
  <si>
    <t>42,600.00</t>
  </si>
  <si>
    <t>249,615.00</t>
  </si>
  <si>
    <t>9,840.00</t>
  </si>
  <si>
    <t>293,188.50</t>
  </si>
  <si>
    <t>499,611.90</t>
  </si>
  <si>
    <t>708,420.00</t>
  </si>
  <si>
    <t>170,376.00</t>
  </si>
  <si>
    <t>195,750.00</t>
  </si>
  <si>
    <t>211,125.00</t>
  </si>
  <si>
    <t>89,900.00</t>
  </si>
  <si>
    <t>60,592.00</t>
  </si>
  <si>
    <t>956,836.00</t>
  </si>
  <si>
    <t>90,300.00</t>
  </si>
  <si>
    <t>34,464,010.00</t>
  </si>
  <si>
    <t>127,800.00</t>
  </si>
  <si>
    <t>76,640.00</t>
  </si>
  <si>
    <t>48,000.00</t>
  </si>
  <si>
    <t>49,500.00</t>
  </si>
  <si>
    <t>332,500.00</t>
  </si>
  <si>
    <t>11,460.00</t>
  </si>
  <si>
    <t>287,520.00</t>
  </si>
  <si>
    <t>371,439.75</t>
  </si>
  <si>
    <t>66,130.00</t>
  </si>
  <si>
    <t>11,380.00</t>
  </si>
  <si>
    <t>585,502.25</t>
  </si>
  <si>
    <t>79,999.99</t>
  </si>
  <si>
    <t>885,283.50</t>
  </si>
  <si>
    <t>3,107,755.00</t>
  </si>
  <si>
    <t>2,667,000.00</t>
  </si>
  <si>
    <t>4,575,000.00</t>
  </si>
  <si>
    <t>535,390.63</t>
  </si>
  <si>
    <t>28,560.00</t>
  </si>
  <si>
    <t>1,390,200.00</t>
  </si>
  <si>
    <t>1,634,967.00</t>
  </si>
  <si>
    <t>288,541.00</t>
  </si>
  <si>
    <t>4,794.00</t>
  </si>
  <si>
    <t>45,500.00</t>
  </si>
  <si>
    <t>4,680,000.00</t>
  </si>
  <si>
    <t>1,920.00</t>
  </si>
  <si>
    <t>97,500.00</t>
  </si>
  <si>
    <t>166,830.00</t>
  </si>
  <si>
    <t>2,923,340.00</t>
  </si>
  <si>
    <t>81,470.00</t>
  </si>
  <si>
    <t>174,200.00</t>
  </si>
  <si>
    <t>1,577,200.00</t>
  </si>
  <si>
    <t>49,833.00</t>
  </si>
  <si>
    <t>488,447.70</t>
  </si>
  <si>
    <t>55,200.00</t>
  </si>
  <si>
    <t>215,200.00</t>
  </si>
  <si>
    <t>247,904.00</t>
  </si>
  <si>
    <t>65,564.00</t>
  </si>
  <si>
    <t>199,380.00</t>
  </si>
  <si>
    <t>50,600.00</t>
  </si>
  <si>
    <t>489,630.00</t>
  </si>
  <si>
    <t>751,361.00</t>
  </si>
  <si>
    <t>103,435.00</t>
  </si>
  <si>
    <t>99,500.00</t>
  </si>
  <si>
    <t>20,580,000.00</t>
  </si>
  <si>
    <t>680,400.00</t>
  </si>
  <si>
    <t>234,910.00</t>
  </si>
  <si>
    <t>486,600.00</t>
  </si>
  <si>
    <t>113,900.00</t>
  </si>
  <si>
    <t>24,580.00</t>
  </si>
  <si>
    <t>133,200.00</t>
  </si>
  <si>
    <t>25,000,000.00</t>
  </si>
  <si>
    <t>121,990.00</t>
  </si>
  <si>
    <t>200,013.06</t>
  </si>
  <si>
    <t>2,319,216.44</t>
  </si>
  <si>
    <t>15,498,982.17</t>
  </si>
  <si>
    <t>21,327.00</t>
  </si>
  <si>
    <t>453,369.84</t>
  </si>
  <si>
    <t>17,999,999.60</t>
  </si>
  <si>
    <t>198,940.00</t>
  </si>
  <si>
    <t>1,175,530.96</t>
  </si>
  <si>
    <t>1,799,450.60</t>
  </si>
  <si>
    <t>82,750.00</t>
  </si>
  <si>
    <t>68,580.00</t>
  </si>
  <si>
    <t>67,200.00</t>
  </si>
  <si>
    <t>1,625,400.00</t>
  </si>
  <si>
    <t>54,050.00</t>
  </si>
  <si>
    <t>952,750.00</t>
  </si>
  <si>
    <t>159,030.00</t>
  </si>
  <si>
    <t>52,875.00</t>
  </si>
  <si>
    <t>62,665.50</t>
  </si>
  <si>
    <t>214,380.00</t>
  </si>
  <si>
    <t>1,352,768.00</t>
  </si>
  <si>
    <t>90,750,000.00</t>
  </si>
  <si>
    <t>89,600,000.00</t>
  </si>
  <si>
    <t>71,730.00</t>
  </si>
  <si>
    <t>2,975,816.00</t>
  </si>
  <si>
    <t>82,161.02</t>
  </si>
  <si>
    <t>917,370.00</t>
  </si>
  <si>
    <t>751,000.00</t>
  </si>
  <si>
    <t>349,500.00</t>
  </si>
  <si>
    <t>184,500.00</t>
  </si>
  <si>
    <t>540,000.00</t>
  </si>
  <si>
    <t>199,874.00</t>
  </si>
  <si>
    <t>75,540.00</t>
  </si>
  <si>
    <t>74,050.00</t>
  </si>
  <si>
    <t>406,349.99</t>
  </si>
  <si>
    <t>41,000.00</t>
  </si>
  <si>
    <t>74,100.00</t>
  </si>
  <si>
    <t>499,995.00</t>
  </si>
  <si>
    <t>3,360,000.00</t>
  </si>
  <si>
    <t>887,956.00</t>
  </si>
  <si>
    <t>127,176.00</t>
  </si>
  <si>
    <t>175,694.50</t>
  </si>
  <si>
    <t>395,260.40</t>
  </si>
  <si>
    <t>157,550.00</t>
  </si>
  <si>
    <t>12,437,495.60</t>
  </si>
  <si>
    <t>404,097.00</t>
  </si>
  <si>
    <t>325,388.00</t>
  </si>
  <si>
    <t>6,992,151.60</t>
  </si>
  <si>
    <t>2,970,000.00</t>
  </si>
  <si>
    <t>255,400.00</t>
  </si>
  <si>
    <t>1,824,795.00</t>
  </si>
  <si>
    <t>680,000.00</t>
  </si>
  <si>
    <t>83,905.00</t>
  </si>
  <si>
    <t>39,490.00</t>
  </si>
  <si>
    <t>340,860.00</t>
  </si>
  <si>
    <t>307,790.00</t>
  </si>
  <si>
    <t>118,400.00</t>
  </si>
  <si>
    <t>221,464.73</t>
  </si>
  <si>
    <t>3,415,986.49</t>
  </si>
  <si>
    <t>1,990,000.00</t>
  </si>
  <si>
    <t>1,099,028.56</t>
  </si>
  <si>
    <t>96,760.00</t>
  </si>
  <si>
    <t>319,831.33</t>
  </si>
  <si>
    <t>5,620,000.00</t>
  </si>
  <si>
    <t>670,134.00</t>
  </si>
  <si>
    <t>948,000.00</t>
  </si>
  <si>
    <t>314,285.00</t>
  </si>
  <si>
    <t>71,280.00</t>
  </si>
  <si>
    <t>210,375.00</t>
  </si>
  <si>
    <t>455,750.00</t>
  </si>
  <si>
    <t>23,870.00</t>
  </si>
  <si>
    <t>4,480.00</t>
  </si>
  <si>
    <t>148,527.78</t>
  </si>
  <si>
    <t>12,437,478.23</t>
  </si>
  <si>
    <t>12,437,369.00</t>
  </si>
  <si>
    <t>257,010.00</t>
  </si>
  <si>
    <t>35,350.00</t>
  </si>
  <si>
    <t>54,910.00</t>
  </si>
  <si>
    <t>272,447.00</t>
  </si>
  <si>
    <t>75,050.00</t>
  </si>
  <si>
    <t>1,415,000.00</t>
  </si>
  <si>
    <t>29,042.00</t>
  </si>
  <si>
    <t>147,826.43</t>
  </si>
  <si>
    <t>83,200.00</t>
  </si>
  <si>
    <t>50,160.00</t>
  </si>
  <si>
    <t>494,471.97</t>
  </si>
  <si>
    <t>68,435.00</t>
  </si>
  <si>
    <t>5,169.00</t>
  </si>
  <si>
    <t>660,625.00</t>
  </si>
  <si>
    <t>479,994.79</t>
  </si>
  <si>
    <t>62,850.00</t>
  </si>
  <si>
    <t>68,400.00</t>
  </si>
  <si>
    <t>199,014.00</t>
  </si>
  <si>
    <t>69,118.90</t>
  </si>
  <si>
    <t>26,545.00</t>
  </si>
  <si>
    <t>271,900.00</t>
  </si>
  <si>
    <t>742,400.00</t>
  </si>
  <si>
    <t>76,826.12</t>
  </si>
  <si>
    <t>465,000.00</t>
  </si>
  <si>
    <t>8,492.00</t>
  </si>
  <si>
    <t>199,757.50</t>
  </si>
  <si>
    <t>99,400.00</t>
  </si>
  <si>
    <t>8,697.00</t>
  </si>
  <si>
    <t>89,950.00</t>
  </si>
  <si>
    <t>4,900,000.00</t>
  </si>
  <si>
    <t>4,492.00</t>
  </si>
  <si>
    <t>53,850.00</t>
  </si>
  <si>
    <t>347,430.00</t>
  </si>
  <si>
    <t>300,200.00</t>
  </si>
  <si>
    <t>7,200,000.00</t>
  </si>
  <si>
    <t>243,290.00</t>
  </si>
  <si>
    <t>16,200.00</t>
  </si>
  <si>
    <t>58,000.00</t>
  </si>
  <si>
    <t>161,000.00</t>
  </si>
  <si>
    <t>76,582.94</t>
  </si>
  <si>
    <t>12,740,000.00</t>
  </si>
  <si>
    <t>55,480.00</t>
  </si>
  <si>
    <t>59,200.00</t>
  </si>
  <si>
    <t>80,900.00</t>
  </si>
  <si>
    <t>34,300.00</t>
  </si>
  <si>
    <t>2,300,000.00</t>
  </si>
  <si>
    <t>106,000.00</t>
  </si>
  <si>
    <t>555,000.00</t>
  </si>
  <si>
    <t>1,451,952.88</t>
  </si>
  <si>
    <t>92,000.00</t>
  </si>
  <si>
    <t>410,677.88</t>
  </si>
  <si>
    <t>75,380.00</t>
  </si>
  <si>
    <t>54,100.00</t>
  </si>
  <si>
    <t>37,050.00</t>
  </si>
  <si>
    <t>722,000.00</t>
  </si>
  <si>
    <t>195,840.00</t>
  </si>
  <si>
    <t>799,870.00</t>
  </si>
  <si>
    <t>94,000.00</t>
  </si>
  <si>
    <t>4,200,000.00</t>
  </si>
  <si>
    <t>27,000.00</t>
  </si>
  <si>
    <t>88,947.50</t>
  </si>
  <si>
    <t>286,770.00</t>
  </si>
  <si>
    <t>166,090.00</t>
  </si>
  <si>
    <t>498,800.00</t>
  </si>
  <si>
    <t>146,280.00</t>
  </si>
  <si>
    <t>1,576,278.20</t>
  </si>
  <si>
    <t>207,500.00</t>
  </si>
  <si>
    <t>56,497.50</t>
  </si>
  <si>
    <t>5,880,000.00</t>
  </si>
  <si>
    <t>237,778.12</t>
  </si>
  <si>
    <t>149,369.15</t>
  </si>
  <si>
    <t>564,720.00</t>
  </si>
  <si>
    <t>91,975.00</t>
  </si>
  <si>
    <t>988,900.00</t>
  </si>
  <si>
    <t>126,156.00</t>
  </si>
  <si>
    <t>76,859.50</t>
  </si>
  <si>
    <t>775,200.00</t>
  </si>
  <si>
    <t>3,003,954.00</t>
  </si>
  <si>
    <t>41,500.00</t>
  </si>
  <si>
    <t>98,712.39</t>
  </si>
  <si>
    <t>12,841.00</t>
  </si>
  <si>
    <t>54,350.00</t>
  </si>
  <si>
    <t>182,049.00</t>
  </si>
  <si>
    <t>117,500.00</t>
  </si>
  <si>
    <t>539,000.00</t>
  </si>
  <si>
    <t>162,640.00</t>
  </si>
  <si>
    <t>99,057.86</t>
  </si>
  <si>
    <t>148,804.15</t>
  </si>
  <si>
    <t>97,740.00</t>
  </si>
  <si>
    <t>390,062.23</t>
  </si>
  <si>
    <t>193,500.00</t>
  </si>
  <si>
    <t>586,000.00</t>
  </si>
  <si>
    <t>49,980.00</t>
  </si>
  <si>
    <t>385,500.00</t>
  </si>
  <si>
    <t>22,394.00</t>
  </si>
  <si>
    <t>1,021,500.00</t>
  </si>
  <si>
    <t>90,180.00</t>
  </si>
  <si>
    <t>71,160.00</t>
  </si>
  <si>
    <t>33,750.00</t>
  </si>
  <si>
    <t>326,000.00</t>
  </si>
  <si>
    <t>88,675.00</t>
  </si>
  <si>
    <t>134,735.00</t>
  </si>
  <si>
    <t>12,268.00</t>
  </si>
  <si>
    <t>209,353.41</t>
  </si>
  <si>
    <t>3,895.00</t>
  </si>
  <si>
    <t>348,117.73</t>
  </si>
  <si>
    <t>99,800.00</t>
  </si>
  <si>
    <t>4,808,250.00</t>
  </si>
  <si>
    <t>39,710.00</t>
  </si>
  <si>
    <t>103,710.80</t>
  </si>
  <si>
    <t>29,232.00</t>
  </si>
  <si>
    <t>414,482.40</t>
  </si>
  <si>
    <t>9,312.95</t>
  </si>
  <si>
    <t>243,887.00</t>
  </si>
  <si>
    <t>477,764.00</t>
  </si>
  <si>
    <t>11,000.00</t>
  </si>
  <si>
    <t>135,170.00</t>
  </si>
  <si>
    <t>150,335.64</t>
  </si>
  <si>
    <t>494,991.80</t>
  </si>
  <si>
    <t>37,500.00</t>
  </si>
  <si>
    <t>19,106.00</t>
  </si>
  <si>
    <t>52,200.00</t>
  </si>
  <si>
    <t>58,020.00</t>
  </si>
  <si>
    <t>433,370.00</t>
  </si>
  <si>
    <t>84,020.00</t>
  </si>
  <si>
    <t>74,650.80</t>
  </si>
  <si>
    <t>142,339.30</t>
  </si>
  <si>
    <t>353,000.00</t>
  </si>
  <si>
    <t>74,750.00</t>
  </si>
  <si>
    <t>337,419.66</t>
  </si>
  <si>
    <t>2,099,987.71</t>
  </si>
  <si>
    <t>71,327.50</t>
  </si>
  <si>
    <t>2,218,500.00</t>
  </si>
  <si>
    <t>262,500.00</t>
  </si>
  <si>
    <t>51,020.00</t>
  </si>
  <si>
    <t>0.00</t>
  </si>
  <si>
    <t>165,800.00</t>
  </si>
  <si>
    <t>12,014,000.00</t>
  </si>
  <si>
    <t>89,775.00</t>
  </si>
  <si>
    <t>24,790.00</t>
  </si>
  <si>
    <t>32,338,984.05</t>
  </si>
  <si>
    <t>194,228.29</t>
  </si>
  <si>
    <t>193,951.00</t>
  </si>
  <si>
    <t>19,599,342.23</t>
  </si>
  <si>
    <t>6,890,976.00</t>
  </si>
  <si>
    <t>28,000.00</t>
  </si>
  <si>
    <t>105,750.00</t>
  </si>
  <si>
    <t>21,559,873.09</t>
  </si>
  <si>
    <t>880,132.79</t>
  </si>
  <si>
    <t>79,992.00</t>
  </si>
  <si>
    <t>12,764,003.81</t>
  </si>
  <si>
    <t>499,203.14</t>
  </si>
  <si>
    <t>5,120,485.87</t>
  </si>
  <si>
    <t>624,500.00</t>
  </si>
  <si>
    <t>575,548.00</t>
  </si>
  <si>
    <t>14,999.00</t>
  </si>
  <si>
    <t>312,520.15</t>
  </si>
  <si>
    <t>1,210,000.00</t>
  </si>
  <si>
    <t>150,000,000.00</t>
  </si>
  <si>
    <t>54,500.00</t>
  </si>
  <si>
    <t>760,000.00</t>
  </si>
  <si>
    <t>27,839,000.00</t>
  </si>
  <si>
    <t>57,907,954.67</t>
  </si>
  <si>
    <t>95,500.00</t>
  </si>
  <si>
    <t>118,540.00</t>
  </si>
  <si>
    <t>63,410.00</t>
  </si>
  <si>
    <t>50,250.00</t>
  </si>
  <si>
    <t>1,539,012.32</t>
  </si>
  <si>
    <t>234,020.00</t>
  </si>
  <si>
    <t>978,317.44</t>
  </si>
  <si>
    <t>126,600.00</t>
  </si>
  <si>
    <t>353,286.00</t>
  </si>
  <si>
    <t>8,500,000.00</t>
  </si>
  <si>
    <t>97,958.92</t>
  </si>
  <si>
    <t>169,831.06</t>
  </si>
  <si>
    <t>999,991.35</t>
  </si>
  <si>
    <t>99,147.20</t>
  </si>
  <si>
    <t>351,986.00</t>
  </si>
  <si>
    <t>957,088.00</t>
  </si>
  <si>
    <t>99,647.00</t>
  </si>
  <si>
    <t>159,800.00</t>
  </si>
  <si>
    <t>351,225.00</t>
  </si>
  <si>
    <t>103,787.10</t>
  </si>
  <si>
    <t>27,500.00</t>
  </si>
  <si>
    <t>90,545.00</t>
  </si>
  <si>
    <t>21,300.00</t>
  </si>
  <si>
    <t>123,575.00</t>
  </si>
  <si>
    <t>199,800.00</t>
  </si>
  <si>
    <t>110,310.00</t>
  </si>
  <si>
    <t>113,478.00</t>
  </si>
  <si>
    <t>480,940.00</t>
  </si>
  <si>
    <t>173,450.00</t>
  </si>
  <si>
    <t>199,880.00</t>
  </si>
  <si>
    <t>184,631.23</t>
  </si>
  <si>
    <t>116,190.00</t>
  </si>
  <si>
    <t>199,900.00</t>
  </si>
  <si>
    <t>138,346.00</t>
  </si>
  <si>
    <t>204,250.00</t>
  </si>
  <si>
    <t>1,006,125.08</t>
  </si>
  <si>
    <t>77,830.00</t>
  </si>
  <si>
    <t>4,800.00</t>
  </si>
  <si>
    <t>8,303,829.40</t>
  </si>
  <si>
    <t>159,471.25</t>
  </si>
  <si>
    <t>283,500.00</t>
  </si>
  <si>
    <t>75,115.00</t>
  </si>
  <si>
    <t>116,992.00</t>
  </si>
  <si>
    <t>238,887.72</t>
  </si>
  <si>
    <t>134,617.30</t>
  </si>
  <si>
    <t>5,296.00</t>
  </si>
  <si>
    <t>494,400.00</t>
  </si>
  <si>
    <t>150,050.00</t>
  </si>
  <si>
    <t>262,200.00</t>
  </si>
  <si>
    <t>38,792.45</t>
  </si>
  <si>
    <t>81,170.00</t>
  </si>
  <si>
    <t>78,705.00</t>
  </si>
  <si>
    <t>106,844.92</t>
  </si>
  <si>
    <t>12,160.00</t>
  </si>
  <si>
    <t>145,550.00</t>
  </si>
  <si>
    <t>224,120.00</t>
  </si>
  <si>
    <t>460,900.00</t>
  </si>
  <si>
    <t>114,500.00</t>
  </si>
  <si>
    <t>564,500.00</t>
  </si>
  <si>
    <t>157,101.90</t>
  </si>
  <si>
    <t>122,500.00</t>
  </si>
  <si>
    <t>51,400.00</t>
  </si>
  <si>
    <t>15,000,000.00</t>
  </si>
  <si>
    <t>200,084.00</t>
  </si>
  <si>
    <t>83,500.00</t>
  </si>
  <si>
    <t>1,900,145.00</t>
  </si>
  <si>
    <t>175,270.00</t>
  </si>
  <si>
    <t>52,700.00</t>
  </si>
  <si>
    <t>152,222.68</t>
  </si>
  <si>
    <t>250,875.72</t>
  </si>
  <si>
    <t>178,500.00</t>
  </si>
  <si>
    <t>5,620.00</t>
  </si>
  <si>
    <t>127,368.00</t>
  </si>
  <si>
    <t>181,520.00</t>
  </si>
  <si>
    <t>212,380.00</t>
  </si>
  <si>
    <t>327,015.00</t>
  </si>
  <si>
    <t>59,446.00</t>
  </si>
  <si>
    <t>249,165.72</t>
  </si>
  <si>
    <t>409,790.00</t>
  </si>
  <si>
    <t>794,115.79</t>
  </si>
  <si>
    <t>90,005.50</t>
  </si>
  <si>
    <t>52,730.00</t>
  </si>
  <si>
    <t>175,337.07</t>
  </si>
  <si>
    <t>55,282.00</t>
  </si>
  <si>
    <t>2,940,000.00</t>
  </si>
  <si>
    <t>87,750.00</t>
  </si>
  <si>
    <t>177,530.00</t>
  </si>
  <si>
    <t>1,856,581.50</t>
  </si>
  <si>
    <t>9,898,048.48</t>
  </si>
  <si>
    <t>113,925.00</t>
  </si>
  <si>
    <t>147,252.72</t>
  </si>
  <si>
    <t>59,132.00</t>
  </si>
  <si>
    <t>975,500.00</t>
  </si>
  <si>
    <t>208,170.00</t>
  </si>
  <si>
    <t>519,322.00</t>
  </si>
  <si>
    <t>158,900.00</t>
  </si>
  <si>
    <t>91,725.50</t>
  </si>
  <si>
    <t>91,665.00</t>
  </si>
  <si>
    <t>9,800.00</t>
  </si>
  <si>
    <t>115,995.00</t>
  </si>
  <si>
    <t>148,550.00</t>
  </si>
  <si>
    <t>6,795.00</t>
  </si>
  <si>
    <t>220,344.60</t>
  </si>
  <si>
    <t>155,322.72</t>
  </si>
  <si>
    <t>81,495.00</t>
  </si>
  <si>
    <t>76,255,265.00</t>
  </si>
  <si>
    <t>199,745.70</t>
  </si>
  <si>
    <t>493,409.20</t>
  </si>
  <si>
    <t>4,293,000.00</t>
  </si>
  <si>
    <t>57,375.00</t>
  </si>
  <si>
    <t>60,300.00</t>
  </si>
  <si>
    <t>40,140.00</t>
  </si>
  <si>
    <t>52,800.00</t>
  </si>
  <si>
    <t>61,270.00</t>
  </si>
  <si>
    <t>2,950,000.00</t>
  </si>
  <si>
    <t>14,700,000.00</t>
  </si>
  <si>
    <t>520,333.33</t>
  </si>
  <si>
    <t>210,399.25</t>
  </si>
  <si>
    <t>231,867.50</t>
  </si>
  <si>
    <t>38,463,320.53</t>
  </si>
  <si>
    <t>165,500.00</t>
  </si>
  <si>
    <t>995,000.00</t>
  </si>
  <si>
    <t>2,700,000.00</t>
  </si>
  <si>
    <t>103,000.00</t>
  </si>
  <si>
    <t>900,613.00</t>
  </si>
  <si>
    <t>170,550.00</t>
  </si>
  <si>
    <t>999,300.00</t>
  </si>
  <si>
    <t>342,266.23</t>
  </si>
  <si>
    <t>138,528.00</t>
  </si>
  <si>
    <t>90,023.50</t>
  </si>
  <si>
    <t>3,960,000.00</t>
  </si>
  <si>
    <t>298,450.00</t>
  </si>
  <si>
    <t>46,056,315.78</t>
  </si>
  <si>
    <t>292,500.00</t>
  </si>
  <si>
    <t>144,450.00</t>
  </si>
  <si>
    <t>1,016,400.00</t>
  </si>
  <si>
    <t>77,200.00</t>
  </si>
  <si>
    <t>1,057,350.00</t>
  </si>
  <si>
    <t>38,520.00</t>
  </si>
  <si>
    <t>122,350.00</t>
  </si>
  <si>
    <t>68,375.00</t>
  </si>
  <si>
    <t>112,275.00</t>
  </si>
  <si>
    <t>93,836.40</t>
  </si>
  <si>
    <t>69,664.20</t>
  </si>
  <si>
    <t>34,213.07</t>
  </si>
  <si>
    <t>59,545.00</t>
  </si>
  <si>
    <t>355,245.00</t>
  </si>
  <si>
    <t>1,960,000.00</t>
  </si>
  <si>
    <t>305,883.00</t>
  </si>
  <si>
    <t>346,777.53</t>
  </si>
  <si>
    <t>98,200.00</t>
  </si>
  <si>
    <t>85,725.00</t>
  </si>
  <si>
    <t>688,388.00</t>
  </si>
  <si>
    <t>164,437.06</t>
  </si>
  <si>
    <t>924,000.00</t>
  </si>
  <si>
    <t>520,000.00</t>
  </si>
  <si>
    <t>978,486.08</t>
  </si>
  <si>
    <t>711,000.00</t>
  </si>
  <si>
    <t>107,200.00</t>
  </si>
  <si>
    <t>222,100.00</t>
  </si>
  <si>
    <t>157,000.00</t>
  </si>
  <si>
    <t>550,000.00</t>
  </si>
  <si>
    <t>1,498,728.64</t>
  </si>
  <si>
    <t>1,950,000.00</t>
  </si>
  <si>
    <t>67,510.00</t>
  </si>
  <si>
    <t>94,190.00</t>
  </si>
  <si>
    <t>317,730.00</t>
  </si>
  <si>
    <t>4,200.00</t>
  </si>
  <si>
    <t>119,522.00</t>
  </si>
  <si>
    <t>276,000.00</t>
  </si>
  <si>
    <t>13,100.00</t>
  </si>
  <si>
    <t>84,579.00</t>
  </si>
  <si>
    <t>40,180,000.00</t>
  </si>
  <si>
    <t>85,554.82</t>
  </si>
  <si>
    <t>98,467.23</t>
  </si>
  <si>
    <t>72,926.75</t>
  </si>
  <si>
    <t>141,400.00</t>
  </si>
  <si>
    <t>28,933,406.65</t>
  </si>
  <si>
    <t>670,850.00</t>
  </si>
  <si>
    <t>1,558,175.76</t>
  </si>
  <si>
    <t>90,150.00</t>
  </si>
  <si>
    <t>628,300.00</t>
  </si>
  <si>
    <t>1,490,000.00</t>
  </si>
  <si>
    <t>271,690.00</t>
  </si>
  <si>
    <t>855,914.00</t>
  </si>
  <si>
    <t>65,175.00</t>
  </si>
  <si>
    <t>19,300,000.00</t>
  </si>
  <si>
    <t>98,823.38</t>
  </si>
  <si>
    <t>153,998.00</t>
  </si>
  <si>
    <t>185,000.00</t>
  </si>
  <si>
    <t>49,600.00</t>
  </si>
  <si>
    <t>85,312,920.00</t>
  </si>
  <si>
    <t>79,200.00</t>
  </si>
  <si>
    <t>69,093.00</t>
  </si>
  <si>
    <t>247,250.00</t>
  </si>
  <si>
    <t>28,950,000.00</t>
  </si>
  <si>
    <t>69,370.00</t>
  </si>
  <si>
    <t>89,000.00</t>
  </si>
  <si>
    <t>251,532.05</t>
  </si>
  <si>
    <t>197,815.44</t>
  </si>
  <si>
    <t>142,000.00</t>
  </si>
  <si>
    <t>283,386.97</t>
  </si>
  <si>
    <t>118,860.00</t>
  </si>
  <si>
    <t>24,004,048.84</t>
  </si>
  <si>
    <t>330,893.08</t>
  </si>
  <si>
    <t>383,100.00</t>
  </si>
  <si>
    <t>15,400.00</t>
  </si>
  <si>
    <t>59,558.20</t>
  </si>
  <si>
    <t>321,700.00</t>
  </si>
  <si>
    <t>88,191.99</t>
  </si>
  <si>
    <t>23,785,114.65</t>
  </si>
  <si>
    <t>86,250.00</t>
  </si>
  <si>
    <t>172,650.00</t>
  </si>
  <si>
    <t>21,278,695.22</t>
  </si>
  <si>
    <t>470,000.00</t>
  </si>
  <si>
    <t>344,234.00</t>
  </si>
  <si>
    <t>701,983.95</t>
  </si>
  <si>
    <t>192,900.00</t>
  </si>
  <si>
    <t>962,294.69</t>
  </si>
  <si>
    <t>91,497.00</t>
  </si>
  <si>
    <t>998,000.00</t>
  </si>
  <si>
    <t>124,480.00</t>
  </si>
  <si>
    <t>33,150,567.67</t>
  </si>
  <si>
    <t>1,193,822.21</t>
  </si>
  <si>
    <t>430,714.84</t>
  </si>
  <si>
    <t>1,090,000.00</t>
  </si>
  <si>
    <t>13,498,743.50</t>
  </si>
  <si>
    <t>85,700.00</t>
  </si>
  <si>
    <t>1,916,533.94</t>
  </si>
  <si>
    <t>56,500.00</t>
  </si>
  <si>
    <t>233,188.98</t>
  </si>
  <si>
    <t>197,991.00</t>
  </si>
  <si>
    <t>483,349.00</t>
  </si>
  <si>
    <t>2,298,889.10</t>
  </si>
  <si>
    <t>3,450.00</t>
  </si>
  <si>
    <t>493,560.50</t>
  </si>
  <si>
    <t>49,000,000.00</t>
  </si>
  <si>
    <t>33,720,309.02</t>
  </si>
  <si>
    <t>69,729.00</t>
  </si>
  <si>
    <t>4,956,972.00</t>
  </si>
  <si>
    <t>969,760.47</t>
  </si>
  <si>
    <t>347,500.00</t>
  </si>
  <si>
    <t>54,800.00</t>
  </si>
  <si>
    <t>217,728.00</t>
  </si>
  <si>
    <t>783,988.86</t>
  </si>
  <si>
    <t>2,155,955.34</t>
  </si>
  <si>
    <t>115,459.00</t>
  </si>
  <si>
    <t>192,560.00</t>
  </si>
  <si>
    <t>113,200.00</t>
  </si>
  <si>
    <t>253,284.00</t>
  </si>
  <si>
    <t>946,125.62</t>
  </si>
  <si>
    <t>2,939,987.89</t>
  </si>
  <si>
    <t>88,400.00</t>
  </si>
  <si>
    <t>45,800.00</t>
  </si>
  <si>
    <t>1,440,070.83</t>
  </si>
  <si>
    <t>604,800.00</t>
  </si>
  <si>
    <t>1,959,998.08</t>
  </si>
  <si>
    <t>2,981,093.40</t>
  </si>
  <si>
    <t>26,000.00</t>
  </si>
  <si>
    <t>74,000.00</t>
  </si>
  <si>
    <t>191,700.00</t>
  </si>
  <si>
    <t>9,000.00</t>
  </si>
  <si>
    <t>1,959,933.34</t>
  </si>
  <si>
    <t>23,399.00</t>
  </si>
  <si>
    <t>186,400.00</t>
  </si>
  <si>
    <t>112,160.00</t>
  </si>
  <si>
    <t>16,250.00</t>
  </si>
  <si>
    <t>499,776.80</t>
  </si>
  <si>
    <t>175,009.42</t>
  </si>
  <si>
    <t>1,920,758.22</t>
  </si>
  <si>
    <t>499,874.82</t>
  </si>
  <si>
    <t>60,695.00</t>
  </si>
  <si>
    <t>111,200.00</t>
  </si>
  <si>
    <t>800,450.00</t>
  </si>
  <si>
    <t>108,182.00</t>
  </si>
  <si>
    <t>432,718.00</t>
  </si>
  <si>
    <t>37,045.00</t>
  </si>
  <si>
    <t>31,500.00</t>
  </si>
  <si>
    <t>149,495.00</t>
  </si>
  <si>
    <t>169,289.00</t>
  </si>
  <si>
    <t>169,750.00</t>
  </si>
  <si>
    <t>334,761.30</t>
  </si>
  <si>
    <t>6,610,000.00</t>
  </si>
  <si>
    <t>237,954.00</t>
  </si>
  <si>
    <t>213,200.00</t>
  </si>
  <si>
    <t>66,650.00</t>
  </si>
  <si>
    <t>393,784.00</t>
  </si>
  <si>
    <t>1,345,000.00</t>
  </si>
  <si>
    <t>245,900.00</t>
  </si>
  <si>
    <t>1,519,143.50</t>
  </si>
  <si>
    <t>512,938.75</t>
  </si>
  <si>
    <t>159,200.00</t>
  </si>
  <si>
    <t>257,333.33</t>
  </si>
  <si>
    <t>4,350,000.00</t>
  </si>
  <si>
    <t>61,690.00</t>
  </si>
  <si>
    <t>58,800.00</t>
  </si>
  <si>
    <t>49,900.00</t>
  </si>
  <si>
    <t>41,700.00</t>
  </si>
  <si>
    <t>101,618.00</t>
  </si>
  <si>
    <t>208,000.00</t>
  </si>
  <si>
    <t>53,661.00</t>
  </si>
  <si>
    <t>314,000.00</t>
  </si>
  <si>
    <t>74,202.00</t>
  </si>
  <si>
    <t>69,023.00</t>
  </si>
  <si>
    <t>16,702,885.48</t>
  </si>
  <si>
    <t>4,899,988.32</t>
  </si>
  <si>
    <t>351,966.00</t>
  </si>
  <si>
    <t>7,860,000.00</t>
  </si>
  <si>
    <t>277,802.00</t>
  </si>
  <si>
    <t>5,600,000.00</t>
  </si>
  <si>
    <t>131,020.00</t>
  </si>
  <si>
    <t>125,517.00</t>
  </si>
  <si>
    <t>74,654.00</t>
  </si>
  <si>
    <t>241,000.00</t>
  </si>
  <si>
    <t>295,815.98</t>
  </si>
  <si>
    <t>178,000.00</t>
  </si>
  <si>
    <t>4,835,471.88</t>
  </si>
  <si>
    <t>755,000.00</t>
  </si>
  <si>
    <t>60,800.00</t>
  </si>
  <si>
    <t>6,500.00</t>
  </si>
  <si>
    <t>164,445.62</t>
  </si>
  <si>
    <t>825,000.00</t>
  </si>
  <si>
    <t>204,003.00</t>
  </si>
  <si>
    <t>4,799,984.68</t>
  </si>
  <si>
    <t>31,800.00</t>
  </si>
  <si>
    <t>591,685.00</t>
  </si>
  <si>
    <t>239,117.00</t>
  </si>
  <si>
    <t>510,000.00</t>
  </si>
  <si>
    <t>111,385.00</t>
  </si>
  <si>
    <t>448,669.00</t>
  </si>
  <si>
    <t>99,830.00</t>
  </si>
  <si>
    <t>22,004.00</t>
  </si>
  <si>
    <t>83,333.00</t>
  </si>
  <si>
    <t>21,000.00</t>
  </si>
  <si>
    <t>74,530.00</t>
  </si>
  <si>
    <t>395,086.10</t>
  </si>
  <si>
    <t>63,745.00</t>
  </si>
  <si>
    <t>379,600.00</t>
  </si>
  <si>
    <t>97,875.00</t>
  </si>
  <si>
    <t>146,400.00</t>
  </si>
  <si>
    <t>935,000.00</t>
  </si>
  <si>
    <t>35,850.00</t>
  </si>
  <si>
    <t>61,000.00</t>
  </si>
  <si>
    <t>125,388.00</t>
  </si>
  <si>
    <t>111,820.00</t>
  </si>
  <si>
    <t>16,040.00</t>
  </si>
  <si>
    <t>24,950.00</t>
  </si>
  <si>
    <t>296,000.00</t>
  </si>
  <si>
    <t>71,200.00</t>
  </si>
  <si>
    <t>109,860.00</t>
  </si>
  <si>
    <t>482,816.00</t>
  </si>
  <si>
    <t>91,800.00</t>
  </si>
  <si>
    <t>45,034.00</t>
  </si>
  <si>
    <t>128,000.00</t>
  </si>
  <si>
    <t>827,702.00</t>
  </si>
  <si>
    <t>318,195.04</t>
  </si>
  <si>
    <t>220,200.00</t>
  </si>
  <si>
    <t>72,580.00</t>
  </si>
  <si>
    <t>124,304.00</t>
  </si>
  <si>
    <t>376,118.00</t>
  </si>
  <si>
    <t>920,208.99</t>
  </si>
  <si>
    <t>1,579,610.00</t>
  </si>
  <si>
    <t>79,686.00</t>
  </si>
  <si>
    <t>104,750.00</t>
  </si>
  <si>
    <t>606,660.00</t>
  </si>
  <si>
    <t>533,886.22</t>
  </si>
  <si>
    <t>194,134.00</t>
  </si>
  <si>
    <t>35,750,000.00</t>
  </si>
  <si>
    <t>29,821.00</t>
  </si>
  <si>
    <t>245,999.70</t>
  </si>
  <si>
    <t>599,999.68</t>
  </si>
  <si>
    <t>611,940.69</t>
  </si>
  <si>
    <t>78,690.00</t>
  </si>
  <si>
    <t>789,103.00</t>
  </si>
  <si>
    <t>10,037.40</t>
  </si>
  <si>
    <t>132,600.00</t>
  </si>
  <si>
    <t>1,712,200.00</t>
  </si>
  <si>
    <t>25,500.00</t>
  </si>
  <si>
    <t>89,400.00</t>
  </si>
  <si>
    <t>506,326.28</t>
  </si>
  <si>
    <t>551,299.19</t>
  </si>
  <si>
    <t>70,900.00</t>
  </si>
  <si>
    <t>503,270.00</t>
  </si>
  <si>
    <t>168,750.00</t>
  </si>
  <si>
    <t>829,230.15</t>
  </si>
  <si>
    <t>799,642.03</t>
  </si>
  <si>
    <t>479,119.00</t>
  </si>
  <si>
    <t>177,614.00</t>
  </si>
  <si>
    <t>649,000.00</t>
  </si>
  <si>
    <t>666,696.64</t>
  </si>
  <si>
    <t>1,168,834.72</t>
  </si>
  <si>
    <t>668,583.33</t>
  </si>
  <si>
    <t>173,600.00</t>
  </si>
  <si>
    <t>327,750.00</t>
  </si>
  <si>
    <t>487,000.00</t>
  </si>
  <si>
    <t>211,580.00</t>
  </si>
  <si>
    <t>775,500.00</t>
  </si>
  <si>
    <t>4,037,955.62</t>
  </si>
  <si>
    <t>388,974.00</t>
  </si>
  <si>
    <t>64,205.00</t>
  </si>
  <si>
    <t>76,068.00</t>
  </si>
  <si>
    <t>671,400.00</t>
  </si>
  <si>
    <t>249,995.00</t>
  </si>
  <si>
    <t>146,971.24</t>
  </si>
  <si>
    <t>67,120.00</t>
  </si>
  <si>
    <t>197,600.00</t>
  </si>
  <si>
    <t>95,103.20</t>
  </si>
  <si>
    <t>9,600.00</t>
  </si>
  <si>
    <t>123,600.00</t>
  </si>
  <si>
    <t>9,988.00</t>
  </si>
  <si>
    <t>64,650.00</t>
  </si>
  <si>
    <t>236,400.50</t>
  </si>
  <si>
    <t>74,968.00</t>
  </si>
  <si>
    <t>497,467.75</t>
  </si>
  <si>
    <t>636,000.00</t>
  </si>
  <si>
    <t>115,600.00</t>
  </si>
  <si>
    <t>389,580.00</t>
  </si>
  <si>
    <t>1,322,099.90</t>
  </si>
  <si>
    <t>822,328.58</t>
  </si>
  <si>
    <t>429,600.00</t>
  </si>
  <si>
    <t>75,654.00</t>
  </si>
  <si>
    <t>535,290.00</t>
  </si>
  <si>
    <t>549,800.00</t>
  </si>
  <si>
    <t>83,175.00</t>
  </si>
  <si>
    <t>1,650,000.00</t>
  </si>
  <si>
    <t>36,570.00</t>
  </si>
  <si>
    <t>56,211.20</t>
  </si>
  <si>
    <t>99,190.00</t>
  </si>
  <si>
    <t>1,261,200.00</t>
  </si>
  <si>
    <t>84,500.00</t>
  </si>
  <si>
    <t>216,000.00</t>
  </si>
  <si>
    <t>1,236,500.00</t>
  </si>
  <si>
    <t>201,392.70</t>
  </si>
  <si>
    <t>162,000.00</t>
  </si>
  <si>
    <t>69,998.42</t>
  </si>
  <si>
    <t>99,250.00</t>
  </si>
  <si>
    <t>117,677.00</t>
  </si>
  <si>
    <t>22,100.00</t>
  </si>
  <si>
    <t>278,677.16</t>
  </si>
  <si>
    <t>366,375.00</t>
  </si>
  <si>
    <t>695,092.00</t>
  </si>
  <si>
    <t>145,071.40</t>
  </si>
  <si>
    <t>986,700.00</t>
  </si>
  <si>
    <t>151,523.00</t>
  </si>
  <si>
    <t>249,914.99</t>
  </si>
  <si>
    <t>269,925.00</t>
  </si>
  <si>
    <t>280,419.02</t>
  </si>
  <si>
    <t>177,000.00</t>
  </si>
  <si>
    <t>50,400.00</t>
  </si>
  <si>
    <t>102,418.25</t>
  </si>
  <si>
    <t>97,470.00</t>
  </si>
  <si>
    <t>393,132.35</t>
  </si>
  <si>
    <t>35,200.00</t>
  </si>
  <si>
    <t>1,211,089.16</t>
  </si>
  <si>
    <t>136,255.77</t>
  </si>
  <si>
    <t>284,211.20</t>
  </si>
  <si>
    <t>21,862.83</t>
  </si>
  <si>
    <t>2,847,500.00</t>
  </si>
  <si>
    <t>2,969,778.47</t>
  </si>
  <si>
    <t>1,290,000.00</t>
  </si>
  <si>
    <t>1,100.00</t>
  </si>
  <si>
    <t>139,200.00</t>
  </si>
  <si>
    <t>5,320.00</t>
  </si>
  <si>
    <t>28,250.00</t>
  </si>
  <si>
    <t>151,199.04</t>
  </si>
  <si>
    <t>63,200.00</t>
  </si>
  <si>
    <t>82,250.00</t>
  </si>
  <si>
    <t>183,600.00</t>
  </si>
  <si>
    <t>33,646,910.64</t>
  </si>
  <si>
    <t>336,537.00</t>
  </si>
  <si>
    <t>1,603,378.00</t>
  </si>
  <si>
    <t>137,440.00</t>
  </si>
  <si>
    <t>387,285.00</t>
  </si>
  <si>
    <t>50,187.50</t>
  </si>
  <si>
    <t>132,370.00</t>
  </si>
  <si>
    <t>144,420.00</t>
  </si>
  <si>
    <t>161,588.00</t>
  </si>
  <si>
    <t>269,856.00</t>
  </si>
  <si>
    <t>113,000.00</t>
  </si>
  <si>
    <t>154,998.00</t>
  </si>
  <si>
    <t>610,400.00</t>
  </si>
  <si>
    <t>1,924,356.00</t>
  </si>
  <si>
    <t>143,000.00</t>
  </si>
  <si>
    <t>65,100.00</t>
  </si>
  <si>
    <t>57,028.00</t>
  </si>
  <si>
    <t>99,980.00</t>
  </si>
  <si>
    <t>271,070.00</t>
  </si>
  <si>
    <t>304,000.00</t>
  </si>
  <si>
    <t>202,394.40</t>
  </si>
  <si>
    <t>136,880.00</t>
  </si>
  <si>
    <t>478,525.00</t>
  </si>
  <si>
    <t>172,584.00</t>
  </si>
  <si>
    <t>2,939,510.80</t>
  </si>
  <si>
    <t>78,750.00</t>
  </si>
  <si>
    <t>167,153.10</t>
  </si>
  <si>
    <t>114,910.00</t>
  </si>
  <si>
    <t>191,500.00</t>
  </si>
  <si>
    <t>64,695.40</t>
  </si>
  <si>
    <t>181,586.00</t>
  </si>
  <si>
    <t>121,643.78</t>
  </si>
  <si>
    <t>84,250.00</t>
  </si>
  <si>
    <t>84,200.00</t>
  </si>
  <si>
    <t>30,378.00</t>
  </si>
  <si>
    <t>189,479.00</t>
  </si>
  <si>
    <t>2,475,000.00</t>
  </si>
  <si>
    <t>127,357.00</t>
  </si>
  <si>
    <t>719,000.00</t>
  </si>
  <si>
    <t>249,607.80</t>
  </si>
  <si>
    <t>608,170.00</t>
  </si>
  <si>
    <t>258,183.09</t>
  </si>
  <si>
    <t>519,500.00</t>
  </si>
  <si>
    <t>100,875.00</t>
  </si>
  <si>
    <t>316,426.04</t>
  </si>
  <si>
    <t>663,079.89</t>
  </si>
  <si>
    <t>66,370.00</t>
  </si>
  <si>
    <t>340,875.00</t>
  </si>
  <si>
    <t>216,420.00</t>
  </si>
  <si>
    <t>56,057.08</t>
  </si>
  <si>
    <t>498,113.00</t>
  </si>
  <si>
    <t>11,879,737.77</t>
  </si>
  <si>
    <t>75,875.00</t>
  </si>
  <si>
    <t>96,875.00</t>
  </si>
  <si>
    <t>986,860.00</t>
  </si>
  <si>
    <t>807,500.00</t>
  </si>
  <si>
    <t>1,540.00</t>
  </si>
  <si>
    <t>9,257,180.00</t>
  </si>
  <si>
    <t>74,048.50</t>
  </si>
  <si>
    <t>139,500.00</t>
  </si>
  <si>
    <t>122,875.00</t>
  </si>
  <si>
    <t>710,000.00</t>
  </si>
  <si>
    <t>317,634.00</t>
  </si>
  <si>
    <t>14,123.63</t>
  </si>
  <si>
    <t>12,869,920.01</t>
  </si>
  <si>
    <t>449,902.46</t>
  </si>
  <si>
    <t>26,050.00</t>
  </si>
  <si>
    <t>99,819.00</t>
  </si>
  <si>
    <t>2,100,000.00</t>
  </si>
  <si>
    <t>214,540.00</t>
  </si>
  <si>
    <t>74,670.00</t>
  </si>
  <si>
    <t>344,835.00</t>
  </si>
  <si>
    <t>89,440.00</t>
  </si>
  <si>
    <t>91,323.43</t>
  </si>
  <si>
    <t>94,120.00</t>
  </si>
  <si>
    <t>1,941,400.00</t>
  </si>
  <si>
    <t>299,000.00</t>
  </si>
  <si>
    <t>50,000,000.00</t>
  </si>
  <si>
    <t>159,500.00</t>
  </si>
  <si>
    <t>39,677.60</t>
  </si>
  <si>
    <t>858,715.00</t>
  </si>
  <si>
    <t>23,440.00</t>
  </si>
  <si>
    <t>116,871.82</t>
  </si>
  <si>
    <t>572,500.00</t>
  </si>
  <si>
    <t>799,915.73</t>
  </si>
  <si>
    <t>52,317.35</t>
  </si>
  <si>
    <t>19,460.00</t>
  </si>
  <si>
    <t>196,900.00</t>
  </si>
  <si>
    <t>2,117,955.00</t>
  </si>
  <si>
    <t>2,862,000.00</t>
  </si>
  <si>
    <t>58,950.00</t>
  </si>
  <si>
    <t>94,116.00</t>
  </si>
  <si>
    <t>164,320.00</t>
  </si>
  <si>
    <t>166,432.00</t>
  </si>
  <si>
    <t>23,103.00</t>
  </si>
  <si>
    <t>199,862.00</t>
  </si>
  <si>
    <t>6,616,000.00</t>
  </si>
  <si>
    <t>222,865.00</t>
  </si>
  <si>
    <t>246,400.00</t>
  </si>
  <si>
    <t>64,500.00</t>
  </si>
  <si>
    <t>242,770.00</t>
  </si>
  <si>
    <t>236,025.00</t>
  </si>
  <si>
    <t>349,998.25</t>
  </si>
  <si>
    <t>124,147.92</t>
  </si>
  <si>
    <t>1,487,640.00</t>
  </si>
  <si>
    <t>340,420.50</t>
  </si>
  <si>
    <t>54,677.64</t>
  </si>
  <si>
    <t>3,695,598.00</t>
  </si>
  <si>
    <t>816,870.00</t>
  </si>
  <si>
    <t>119,499.99</t>
  </si>
  <si>
    <t>37,455,004.00</t>
  </si>
  <si>
    <t>2,100.00</t>
  </si>
  <si>
    <t>286,572.20</t>
  </si>
  <si>
    <t>971,152.00</t>
  </si>
  <si>
    <t>821,667.70</t>
  </si>
  <si>
    <t>914,400.00</t>
  </si>
  <si>
    <t>85,270.00</t>
  </si>
  <si>
    <t>335,523.00</t>
  </si>
  <si>
    <t>223,960.00</t>
  </si>
  <si>
    <t>14,811,573.00</t>
  </si>
  <si>
    <t>309,260.00</t>
  </si>
  <si>
    <t>84,050.00</t>
  </si>
  <si>
    <t>999,990.00</t>
  </si>
  <si>
    <t>294,150.00</t>
  </si>
  <si>
    <t>202,990.00</t>
  </si>
  <si>
    <t>187,363.10</t>
  </si>
  <si>
    <t>451,250.00</t>
  </si>
  <si>
    <t>415,000.00</t>
  </si>
  <si>
    <t>145,653.98</t>
  </si>
  <si>
    <t>286,000.00</t>
  </si>
  <si>
    <t>122,000.00</t>
  </si>
  <si>
    <t>108,368.36</t>
  </si>
  <si>
    <t>134,740.00</t>
  </si>
  <si>
    <t>3,000.00</t>
  </si>
  <si>
    <t>162,500,000.00</t>
  </si>
  <si>
    <t>29,882.00</t>
  </si>
  <si>
    <t>86,951.10</t>
  </si>
  <si>
    <t>532,706.00</t>
  </si>
  <si>
    <t>667,200.00</t>
  </si>
  <si>
    <t>660,000.00</t>
  </si>
  <si>
    <t>98,300.00</t>
  </si>
  <si>
    <t>8,390,523.95</t>
  </si>
  <si>
    <t>80,717.50</t>
  </si>
  <si>
    <t>2,262,676.33</t>
  </si>
  <si>
    <t>3,260,923.00</t>
  </si>
  <si>
    <t>730,051.92</t>
  </si>
  <si>
    <t>1,194,000.00</t>
  </si>
  <si>
    <t>385,000.00</t>
  </si>
  <si>
    <t>82,803.00</t>
  </si>
  <si>
    <t>563,751.86</t>
  </si>
  <si>
    <t>79,875.00</t>
  </si>
  <si>
    <t>5,940.00</t>
  </si>
  <si>
    <t>1,980,000.00</t>
  </si>
  <si>
    <t>3,830,641.00</t>
  </si>
  <si>
    <t>49,896.00</t>
  </si>
  <si>
    <t>121,000.00</t>
  </si>
  <si>
    <t>796,000.00</t>
  </si>
  <si>
    <t>326,500.00</t>
  </si>
  <si>
    <t>1,228,970.00</t>
  </si>
  <si>
    <t>54,540.00</t>
  </si>
  <si>
    <t>60,358.00</t>
  </si>
  <si>
    <t>118,600.00</t>
  </si>
  <si>
    <t>471,250.00</t>
  </si>
  <si>
    <t>5,314,448.53</t>
  </si>
  <si>
    <t>320,300.00</t>
  </si>
  <si>
    <t>4,327,135.45</t>
  </si>
  <si>
    <t>63,505.00</t>
  </si>
  <si>
    <t>11,200.00</t>
  </si>
  <si>
    <t>284,880.00</t>
  </si>
  <si>
    <t>780,370.00</t>
  </si>
  <si>
    <t>136,870.00</t>
  </si>
  <si>
    <t>87,500.00</t>
  </si>
  <si>
    <t>228,686.52</t>
  </si>
  <si>
    <t>1,824,829.00</t>
  </si>
  <si>
    <t>142,150.00</t>
  </si>
  <si>
    <t>221,253.66</t>
  </si>
  <si>
    <t>399,000.00</t>
  </si>
  <si>
    <t>9,293,709.93</t>
  </si>
  <si>
    <t>57,570.00</t>
  </si>
  <si>
    <t>162,400.00</t>
  </si>
  <si>
    <t>56,070.00</t>
  </si>
  <si>
    <t>158,382.30</t>
  </si>
  <si>
    <t>340,433.00</t>
  </si>
  <si>
    <t>102,210.00</t>
  </si>
  <si>
    <t>497,350.00</t>
  </si>
  <si>
    <t>795,600.00</t>
  </si>
  <si>
    <t>52,258.00</t>
  </si>
  <si>
    <t>420,550.00</t>
  </si>
  <si>
    <t>383,849.50</t>
  </si>
  <si>
    <t>9,147,000.00</t>
  </si>
  <si>
    <t>208,880.00</t>
  </si>
  <si>
    <t>48,320.00</t>
  </si>
  <si>
    <t>62,650.00</t>
  </si>
  <si>
    <t>65,875.00</t>
  </si>
  <si>
    <t>7,392.00</t>
  </si>
  <si>
    <t>90,349.55</t>
  </si>
  <si>
    <t>57,360.00</t>
  </si>
  <si>
    <t>74,465.00</t>
  </si>
  <si>
    <t>901,551.09</t>
  </si>
  <si>
    <t>404,836.00</t>
  </si>
  <si>
    <t>322,478.00</t>
  </si>
  <si>
    <t>1,154,284.00</t>
  </si>
  <si>
    <t>174,750.00</t>
  </si>
  <si>
    <t>911,096.83</t>
  </si>
  <si>
    <t>11,320,000.00</t>
  </si>
  <si>
    <t>157,740.00</t>
  </si>
  <si>
    <t>399,760.00</t>
  </si>
  <si>
    <t>68,324.10</t>
  </si>
  <si>
    <t>985,000.00</t>
  </si>
  <si>
    <t>1,443,618.10</t>
  </si>
  <si>
    <t>9,032,164.00</t>
  </si>
  <si>
    <t>77,505.00</t>
  </si>
  <si>
    <t>1,662,808.00</t>
  </si>
  <si>
    <t>638,980.10</t>
  </si>
  <si>
    <t>200,898.31</t>
  </si>
  <si>
    <t>79,193,296.12</t>
  </si>
  <si>
    <t>5,354,406.35</t>
  </si>
  <si>
    <t>421,300.00</t>
  </si>
  <si>
    <t>1,031,031.00</t>
  </si>
  <si>
    <t>237,500.00</t>
  </si>
  <si>
    <t>236,480.00</t>
  </si>
  <si>
    <t>378,911.60</t>
  </si>
  <si>
    <t>9,250,000.00</t>
  </si>
  <si>
    <t>523,294.00</t>
  </si>
  <si>
    <t>378,200.00</t>
  </si>
  <si>
    <t>48,300.00</t>
  </si>
  <si>
    <t>117,730.00</t>
  </si>
  <si>
    <t>999,977.83</t>
  </si>
  <si>
    <t>712,530.00</t>
  </si>
  <si>
    <t>144,375.00</t>
  </si>
  <si>
    <t>14,683,766.02</t>
  </si>
  <si>
    <t>793,495.00</t>
  </si>
  <si>
    <t>14,483,282.53</t>
  </si>
  <si>
    <t>70,050.00</t>
  </si>
  <si>
    <t>57,469.00</t>
  </si>
  <si>
    <t>801,000.00</t>
  </si>
  <si>
    <t>3,990,925.31</t>
  </si>
  <si>
    <t>154,831.00</t>
  </si>
  <si>
    <t>2,450,000.00</t>
  </si>
  <si>
    <t>242,125.00</t>
  </si>
  <si>
    <t>82,524.00</t>
  </si>
  <si>
    <t>60,892.00</t>
  </si>
  <si>
    <t>14,250.00</t>
  </si>
  <si>
    <t>940,000.00</t>
  </si>
  <si>
    <t>13,943,565.46</t>
  </si>
  <si>
    <t>746,707.12</t>
  </si>
  <si>
    <t>144,769.32</t>
  </si>
  <si>
    <t>405,750.00</t>
  </si>
  <si>
    <t>51,660.00</t>
  </si>
  <si>
    <t>3,377,927.04</t>
  </si>
  <si>
    <t>66,984.82</t>
  </si>
  <si>
    <t>12,150,000.00</t>
  </si>
  <si>
    <t>182,000.00</t>
  </si>
  <si>
    <t>4,799,074.69</t>
  </si>
  <si>
    <t>148,000.00</t>
  </si>
  <si>
    <t>185,037.40</t>
  </si>
  <si>
    <t>1,498,790.00</t>
  </si>
  <si>
    <t>174,650.00</t>
  </si>
  <si>
    <t>670,000.00</t>
  </si>
  <si>
    <t>435,300.00</t>
  </si>
  <si>
    <t>76,375.00</t>
  </si>
  <si>
    <t>69,347.00</t>
  </si>
  <si>
    <t>533,760.00</t>
  </si>
  <si>
    <t>1,823,586.00</t>
  </si>
  <si>
    <t>1,379,383.98</t>
  </si>
  <si>
    <t>1,320,795.00</t>
  </si>
  <si>
    <t>5,330,319.37</t>
  </si>
  <si>
    <t>773,500.00</t>
  </si>
  <si>
    <t>45,840.00</t>
  </si>
  <si>
    <t>1,323,658.40</t>
  </si>
  <si>
    <t>52,620.00</t>
  </si>
  <si>
    <t>2,484,499.50</t>
  </si>
  <si>
    <t>71,375.00</t>
  </si>
  <si>
    <t>50,564.00</t>
  </si>
  <si>
    <t>445,000.00</t>
  </si>
  <si>
    <t>1,999,980.00</t>
  </si>
  <si>
    <t>341,005.00</t>
  </si>
  <si>
    <t>546,000.00</t>
  </si>
  <si>
    <t>325,900.00</t>
  </si>
  <si>
    <t>182,000,000.00</t>
  </si>
  <si>
    <t>186,835.60</t>
  </si>
  <si>
    <t>406,415.00</t>
  </si>
  <si>
    <t>1,832,016.00</t>
  </si>
  <si>
    <t>1,300.00</t>
  </si>
  <si>
    <t>238,325.00</t>
  </si>
  <si>
    <t>914,999.00</t>
  </si>
  <si>
    <t>248,905.00</t>
  </si>
  <si>
    <t>994,500.00</t>
  </si>
  <si>
    <t>165,709.08</t>
  </si>
  <si>
    <t>454,000.00</t>
  </si>
  <si>
    <t>95,925.00</t>
  </si>
  <si>
    <t>147,470.00</t>
  </si>
  <si>
    <t>1,381,650.00</t>
  </si>
  <si>
    <t>39,600.00</t>
  </si>
  <si>
    <t>438,100.00</t>
  </si>
  <si>
    <t>985,600.00</t>
  </si>
  <si>
    <t>111,960.00</t>
  </si>
  <si>
    <t>1,798,169.42</t>
  </si>
  <si>
    <t>1,787,655.00</t>
  </si>
  <si>
    <t>53,800.00</t>
  </si>
  <si>
    <t>3,200,000.00</t>
  </si>
  <si>
    <t>99,436.60</t>
  </si>
  <si>
    <t>2,138,521.70</t>
  </si>
  <si>
    <t>93,000.01</t>
  </si>
  <si>
    <t>139,130.00</t>
  </si>
  <si>
    <t>101,930.00</t>
  </si>
  <si>
    <t>1,470,000.00</t>
  </si>
  <si>
    <t>3,645,958.00</t>
  </si>
  <si>
    <t>222,639.00</t>
  </si>
  <si>
    <t>384,365.00</t>
  </si>
  <si>
    <t>131,633.35</t>
  </si>
  <si>
    <t>59,100.00</t>
  </si>
  <si>
    <t>192,944.00</t>
  </si>
  <si>
    <t>1,057,517.75</t>
  </si>
  <si>
    <t>993,900.00</t>
  </si>
  <si>
    <t>23,040.00</t>
  </si>
  <si>
    <t>194,000.00</t>
  </si>
  <si>
    <t>524,409.60</t>
  </si>
  <si>
    <t>999,999.24</t>
  </si>
  <si>
    <t>6,576,562.11</t>
  </si>
  <si>
    <t>106,829.00</t>
  </si>
  <si>
    <t>73,966.50</t>
  </si>
  <si>
    <t>61,850.00</t>
  </si>
  <si>
    <t>3,664,668.00</t>
  </si>
  <si>
    <t>247,450.00</t>
  </si>
  <si>
    <t>113,624.85</t>
  </si>
  <si>
    <t>192,392.00</t>
  </si>
  <si>
    <t>180,016.69</t>
  </si>
  <si>
    <t>268,806.95</t>
  </si>
  <si>
    <t>188,023.00</t>
  </si>
  <si>
    <t>67,170.00</t>
  </si>
  <si>
    <t>4,066,702.83</t>
  </si>
  <si>
    <t>7,866,061.54</t>
  </si>
  <si>
    <t>1,242,314.57</t>
  </si>
  <si>
    <t>10,634,816.00</t>
  </si>
  <si>
    <t>37,560.00</t>
  </si>
  <si>
    <t>88,111.00</t>
  </si>
  <si>
    <t>344,600.00</t>
  </si>
  <si>
    <t>56,800.00</t>
  </si>
  <si>
    <t>15,200.00</t>
  </si>
  <si>
    <t>2,954,445.32</t>
  </si>
  <si>
    <t>87,202.25</t>
  </si>
  <si>
    <t>72,966.40</t>
  </si>
  <si>
    <t>957,161.00</t>
  </si>
  <si>
    <t>1,786,395.00</t>
  </si>
  <si>
    <t>1,080,000.00</t>
  </si>
  <si>
    <t>159,749.14</t>
  </si>
  <si>
    <t>11,940.00</t>
  </si>
  <si>
    <t>20,535.00</t>
  </si>
  <si>
    <t>340,687.99</t>
  </si>
  <si>
    <t>118,500.00</t>
  </si>
  <si>
    <t>116,330.00</t>
  </si>
  <si>
    <t>128,400.00</t>
  </si>
  <si>
    <t>233,080.00</t>
  </si>
  <si>
    <t>123,000.00</t>
  </si>
  <si>
    <t>57,500.00</t>
  </si>
  <si>
    <t>182,343.00</t>
  </si>
  <si>
    <t>181,250.00</t>
  </si>
  <si>
    <t>643,102.00</t>
  </si>
  <si>
    <t>2,301,989.20</t>
  </si>
  <si>
    <t>67,950.00</t>
  </si>
  <si>
    <t>1,496,000.00</t>
  </si>
  <si>
    <t>162,500.00</t>
  </si>
  <si>
    <t>169,300.00</t>
  </si>
  <si>
    <t>78,080.35</t>
  </si>
  <si>
    <t>1,154,531.45</t>
  </si>
  <si>
    <t>861,239.42</t>
  </si>
  <si>
    <t>76,832.05</t>
  </si>
  <si>
    <t>6,043,032.00</t>
  </si>
  <si>
    <t>609,000.00</t>
  </si>
  <si>
    <t>254,070.00</t>
  </si>
  <si>
    <t>841,420.50</t>
  </si>
  <si>
    <t>24,500,000.00</t>
  </si>
  <si>
    <t>145,907.00</t>
  </si>
  <si>
    <t>111,470.00</t>
  </si>
  <si>
    <t>92,500.00</t>
  </si>
  <si>
    <t>137,000.00</t>
  </si>
  <si>
    <t>58,490.00</t>
  </si>
  <si>
    <t>59,780.00</t>
  </si>
  <si>
    <t>4,391,000.69</t>
  </si>
  <si>
    <t>204,600.00</t>
  </si>
  <si>
    <t>51,805.00</t>
  </si>
  <si>
    <t>1,998,699.41</t>
  </si>
  <si>
    <t>99,750.00</t>
  </si>
  <si>
    <t>95,863.00</t>
  </si>
  <si>
    <t>5,999,918.78</t>
  </si>
  <si>
    <t>101,020.00</t>
  </si>
  <si>
    <t>166,000.00</t>
  </si>
  <si>
    <t>739,506.80</t>
  </si>
  <si>
    <t>6,144.00</t>
  </si>
  <si>
    <t>103,500.00</t>
  </si>
  <si>
    <t>12,204,000.00</t>
  </si>
  <si>
    <t>49,360.00</t>
  </si>
  <si>
    <t>63,894.00</t>
  </si>
  <si>
    <t>192,100.00</t>
  </si>
  <si>
    <t>3,842,466.53</t>
  </si>
  <si>
    <t>12,930.00</t>
  </si>
  <si>
    <t>186,730.00</t>
  </si>
  <si>
    <t>36,960.00</t>
  </si>
  <si>
    <t>682,500.00</t>
  </si>
  <si>
    <t>25,701,000.00</t>
  </si>
  <si>
    <t>808,210.00</t>
  </si>
  <si>
    <t>574,093.00</t>
  </si>
  <si>
    <t>5,657,769.82</t>
  </si>
  <si>
    <t>99,700.00</t>
  </si>
  <si>
    <t>30,800,000.00</t>
  </si>
  <si>
    <t>24,926.00</t>
  </si>
  <si>
    <t>280,795.68</t>
  </si>
  <si>
    <t>203,500.00</t>
  </si>
  <si>
    <t>198,435.55</t>
  </si>
  <si>
    <t>191,367.00</t>
  </si>
  <si>
    <t>101,430.00</t>
  </si>
  <si>
    <t>197,800.00</t>
  </si>
  <si>
    <t>19,200.00</t>
  </si>
  <si>
    <t>172,624.74</t>
  </si>
  <si>
    <t>215,442.00</t>
  </si>
  <si>
    <t>500,175.00</t>
  </si>
  <si>
    <t>126,313.33</t>
  </si>
  <si>
    <t>742,000.00</t>
  </si>
  <si>
    <t>71,602.00</t>
  </si>
  <si>
    <t>76,260.00</t>
  </si>
  <si>
    <t>99,855.00</t>
  </si>
  <si>
    <t>3,237,309.77</t>
  </si>
  <si>
    <t>243,612.00</t>
  </si>
  <si>
    <t>440,675.00</t>
  </si>
  <si>
    <t>19,000.00</t>
  </si>
  <si>
    <t>1,921,000.00</t>
  </si>
  <si>
    <t>599,190.61</t>
  </si>
  <si>
    <t>3,298,242.21</t>
  </si>
  <si>
    <t>1,998,247.49</t>
  </si>
  <si>
    <t>60,201.75</t>
  </si>
  <si>
    <t>370,307.00</t>
  </si>
  <si>
    <t>5,529,625.00</t>
  </si>
  <si>
    <t>795,795.00</t>
  </si>
  <si>
    <t>157,900.00</t>
  </si>
  <si>
    <t>150,500.00</t>
  </si>
  <si>
    <t>855,053.40</t>
  </si>
  <si>
    <t>462,410.00</t>
  </si>
  <si>
    <t>34,740,000.00</t>
  </si>
  <si>
    <t>468,950.00</t>
  </si>
  <si>
    <t>195,979.26</t>
  </si>
  <si>
    <t>270,532.00</t>
  </si>
  <si>
    <t>646,000.00</t>
  </si>
  <si>
    <t>15,200,000.00</t>
  </si>
  <si>
    <t>134,150.00</t>
  </si>
  <si>
    <t>993,200.00</t>
  </si>
  <si>
    <t>978,000.00</t>
  </si>
  <si>
    <t>744,664.00</t>
  </si>
  <si>
    <t>70,150.00</t>
  </si>
  <si>
    <t>297,000.00</t>
  </si>
  <si>
    <t>973,932.25</t>
  </si>
  <si>
    <t>314,375.00</t>
  </si>
  <si>
    <t>73,686.67</t>
  </si>
  <si>
    <t>115,479.00</t>
  </si>
  <si>
    <t>2,279,023.16</t>
  </si>
  <si>
    <t>25,935,000.00</t>
  </si>
  <si>
    <t>62,845.60</t>
  </si>
  <si>
    <t>118,612.00</t>
  </si>
  <si>
    <t>160,590.00</t>
  </si>
  <si>
    <t>82,000.00</t>
  </si>
  <si>
    <t>92,510.00</t>
  </si>
  <si>
    <t>580,000.00</t>
  </si>
  <si>
    <t>64,900.00</t>
  </si>
  <si>
    <t>4,999,998.41</t>
  </si>
  <si>
    <t>77,750.00</t>
  </si>
  <si>
    <t>4,250.00</t>
  </si>
  <si>
    <t>303,416.00</t>
  </si>
  <si>
    <t>3,809,860.00</t>
  </si>
  <si>
    <t>90,800.00</t>
  </si>
  <si>
    <t>115,398.00</t>
  </si>
  <si>
    <t>102,200.00</t>
  </si>
  <si>
    <t>259,299.00</t>
  </si>
  <si>
    <t>383,767.00</t>
  </si>
  <si>
    <t>711,900.00</t>
  </si>
  <si>
    <t>104,324.00</t>
  </si>
  <si>
    <t>171,085.00</t>
  </si>
  <si>
    <t>14,850,000.00</t>
  </si>
  <si>
    <t>86,850,000.00</t>
  </si>
  <si>
    <t>80,271.79</t>
  </si>
  <si>
    <t>11,000,000.00</t>
  </si>
  <si>
    <t>107,000.00</t>
  </si>
  <si>
    <t>249,095.60</t>
  </si>
  <si>
    <t>5,470,000.00</t>
  </si>
  <si>
    <t>57,900,000.00</t>
  </si>
  <si>
    <t>96,500,000.00</t>
  </si>
  <si>
    <t>148,483.00</t>
  </si>
  <si>
    <t>798,000.00</t>
  </si>
  <si>
    <t>20,000,000.00</t>
  </si>
  <si>
    <t>1,123,089.04</t>
  </si>
  <si>
    <t>1,958,914.14</t>
  </si>
  <si>
    <t>1,123,000.00</t>
  </si>
  <si>
    <t>842,060.00</t>
  </si>
  <si>
    <t>603,520.00</t>
  </si>
  <si>
    <t>6,933,100.00</t>
  </si>
  <si>
    <t>918,986.00</t>
  </si>
  <si>
    <t>284,800.00</t>
  </si>
  <si>
    <t>79,310.00</t>
  </si>
  <si>
    <t>146,458.00</t>
  </si>
  <si>
    <t>273,000.00</t>
  </si>
  <si>
    <t>1,356,471.75</t>
  </si>
  <si>
    <t>797,750.00</t>
  </si>
  <si>
    <t>82,051.79</t>
  </si>
  <si>
    <t>54,690.00</t>
  </si>
  <si>
    <t>119,990.00</t>
  </si>
  <si>
    <t>29,400,000.00</t>
  </si>
  <si>
    <t>176,361.50</t>
  </si>
  <si>
    <t>385,600.00</t>
  </si>
  <si>
    <t>9,952.00</t>
  </si>
  <si>
    <t>77,200,000.00</t>
  </si>
  <si>
    <t>1,108,070.00</t>
  </si>
  <si>
    <t>84,900.00</t>
  </si>
  <si>
    <t>229,865.00</t>
  </si>
  <si>
    <t>1,509,556.47</t>
  </si>
  <si>
    <t>327,200.00</t>
  </si>
  <si>
    <t>3,288,600.00</t>
  </si>
  <si>
    <t>564,999.80</t>
  </si>
  <si>
    <t>3,920,000.00</t>
  </si>
  <si>
    <t>469,546.88</t>
  </si>
  <si>
    <t>55,250.00</t>
  </si>
  <si>
    <t>994,953.00</t>
  </si>
  <si>
    <t>59,400,000.00</t>
  </si>
  <si>
    <t>17,430.00</t>
  </si>
  <si>
    <t>288,916.20</t>
  </si>
  <si>
    <t>986,755.00</t>
  </si>
  <si>
    <t>241,110.00</t>
  </si>
  <si>
    <t>237,590.00</t>
  </si>
  <si>
    <t>412,000.00</t>
  </si>
  <si>
    <t>70,936.00</t>
  </si>
  <si>
    <t>875,000.00</t>
  </si>
  <si>
    <t>206,202.83</t>
  </si>
  <si>
    <t>122,700.00</t>
  </si>
  <si>
    <t>436,800.00</t>
  </si>
  <si>
    <t>2,999,975.33</t>
  </si>
  <si>
    <t>18,998,224.54</t>
  </si>
  <si>
    <t>721,956.00</t>
  </si>
  <si>
    <t>302,400.00</t>
  </si>
  <si>
    <t>69,682,190.00</t>
  </si>
  <si>
    <t>99,920.00</t>
  </si>
  <si>
    <t>371,930.00</t>
  </si>
  <si>
    <t>80,580.00</t>
  </si>
  <si>
    <t>64,855.00</t>
  </si>
  <si>
    <t>254,420.00</t>
  </si>
  <si>
    <t>83,600.00</t>
  </si>
  <si>
    <t>92,897.00</t>
  </si>
  <si>
    <t>2,685,042.18</t>
  </si>
  <si>
    <t>71,383.00</t>
  </si>
  <si>
    <t>69,000.00</t>
  </si>
  <si>
    <t>445,300.00</t>
  </si>
  <si>
    <t>4,485,843.21</t>
  </si>
  <si>
    <t>152,247.00</t>
  </si>
  <si>
    <t>106,635.00</t>
  </si>
  <si>
    <t>313,000.00</t>
  </si>
  <si>
    <t>126,904.50</t>
  </si>
  <si>
    <t>314,276.60</t>
  </si>
  <si>
    <t>8,000.00</t>
  </si>
  <si>
    <t>99,976.00</t>
  </si>
  <si>
    <t>115,065.00</t>
  </si>
  <si>
    <t>193,271.00</t>
  </si>
  <si>
    <t>995,683.75</t>
  </si>
  <si>
    <t>2,429,214.38</t>
  </si>
  <si>
    <t>81,005.00</t>
  </si>
  <si>
    <t>220,504.20</t>
  </si>
  <si>
    <t>21,618.00</t>
  </si>
  <si>
    <t>2,750,000.00</t>
  </si>
  <si>
    <t>3,403,869.66</t>
  </si>
  <si>
    <t>998,267.33</t>
  </si>
  <si>
    <t>209,671.00</t>
  </si>
  <si>
    <t>118,617.00</t>
  </si>
  <si>
    <t>1,015,500.00</t>
  </si>
  <si>
    <t>77,433.70</t>
  </si>
  <si>
    <t>1,137,903.00</t>
  </si>
  <si>
    <t>199,987.52</t>
  </si>
  <si>
    <t>1,788,119.81</t>
  </si>
  <si>
    <t>999,657.40</t>
  </si>
  <si>
    <t>141,014.40</t>
  </si>
  <si>
    <t>5,334,547.86</t>
  </si>
  <si>
    <t>7,500,000.00</t>
  </si>
  <si>
    <t>1,920,000.00</t>
  </si>
  <si>
    <t>1,005,000.00</t>
  </si>
  <si>
    <t>367,415.00</t>
  </si>
  <si>
    <t>99,820.00</t>
  </si>
  <si>
    <t>1,546,582.27</t>
  </si>
  <si>
    <t>4,487,000.00</t>
  </si>
  <si>
    <t>52,612,884.11</t>
  </si>
  <si>
    <t>85,699.95</t>
  </si>
  <si>
    <t>15,752,329.27</t>
  </si>
  <si>
    <t>4,998,043.21</t>
  </si>
  <si>
    <t>1,138,897.00</t>
  </si>
  <si>
    <t>2,654,500.00</t>
  </si>
  <si>
    <t>2,655,195.00</t>
  </si>
  <si>
    <t>5,331,481.31</t>
  </si>
  <si>
    <t>40,250,000.00</t>
  </si>
  <si>
    <t>11,880,000.00</t>
  </si>
  <si>
    <t>5,454,324.69</t>
  </si>
  <si>
    <t>4,987,916.65</t>
  </si>
  <si>
    <t>1,688,400.00</t>
  </si>
  <si>
    <t>157,885.00</t>
  </si>
  <si>
    <t>3,120,000.00</t>
  </si>
  <si>
    <t>412,500.00</t>
  </si>
  <si>
    <t>1,647,106.57</t>
  </si>
  <si>
    <t>440,000.00</t>
  </si>
  <si>
    <t>88,300.00</t>
  </si>
  <si>
    <t>679,191.49</t>
  </si>
  <si>
    <t>577,500.00</t>
  </si>
  <si>
    <t>238,311.00</t>
  </si>
  <si>
    <t>319,946.68</t>
  </si>
  <si>
    <t>1,549,800.00</t>
  </si>
  <si>
    <t>1,315,891.50</t>
  </si>
  <si>
    <t>349,157.50</t>
  </si>
  <si>
    <t>499,980.61</t>
  </si>
  <si>
    <t>4,578,272.00</t>
  </si>
  <si>
    <t>102,699.90</t>
  </si>
  <si>
    <t>3,320,000.00</t>
  </si>
  <si>
    <t>333,265.00</t>
  </si>
  <si>
    <t>131,600.00</t>
  </si>
  <si>
    <t>984,627.88</t>
  </si>
  <si>
    <t>1,186,392.37</t>
  </si>
  <si>
    <t>762,116.00</t>
  </si>
  <si>
    <t>99,985.19</t>
  </si>
  <si>
    <t>1,240,849.06</t>
  </si>
  <si>
    <t>205,654.05</t>
  </si>
  <si>
    <t>408,025.80</t>
  </si>
  <si>
    <t>6,210,000.00</t>
  </si>
  <si>
    <t>1,332,426.70</t>
  </si>
  <si>
    <t>455,362.00</t>
  </si>
  <si>
    <t>287,300.00</t>
  </si>
  <si>
    <t>5,250,000.00</t>
  </si>
  <si>
    <t>974,340.00</t>
  </si>
  <si>
    <t>1,236,499.08</t>
  </si>
  <si>
    <t>127,244.50</t>
  </si>
  <si>
    <t>275,956.25</t>
  </si>
  <si>
    <t>72,260.00</t>
  </si>
  <si>
    <t>556,500.00</t>
  </si>
  <si>
    <t>149,934.70</t>
  </si>
  <si>
    <t>767,239.80</t>
  </si>
  <si>
    <t>8,548,249.78</t>
  </si>
  <si>
    <t>253,949.00</t>
  </si>
  <si>
    <t>159,980.51</t>
  </si>
  <si>
    <t>16,000,000.00</t>
  </si>
  <si>
    <t>3,420,000.00</t>
  </si>
  <si>
    <t>2,499,960.00</t>
  </si>
  <si>
    <t>430,000.00</t>
  </si>
  <si>
    <t>999,452.02</t>
  </si>
  <si>
    <t>4,400,000.00</t>
  </si>
  <si>
    <t>733,718.47</t>
  </si>
  <si>
    <t>1,508,601.00</t>
  </si>
  <si>
    <t>3,732,446.00</t>
  </si>
  <si>
    <t>483,533.14</t>
  </si>
  <si>
    <t>76,276.13</t>
  </si>
  <si>
    <t>84,716.00</t>
  </si>
  <si>
    <t>63,488.20</t>
  </si>
  <si>
    <t>512,106.50</t>
  </si>
  <si>
    <t>41,690,934.00</t>
  </si>
  <si>
    <t>1,072,307.25</t>
  </si>
  <si>
    <t>232,975.00</t>
  </si>
  <si>
    <t>8,376,066.00</t>
  </si>
  <si>
    <t>99,465.24</t>
  </si>
  <si>
    <t>594,782.00</t>
  </si>
  <si>
    <t>54,750.00</t>
  </si>
  <si>
    <t>119,897.98</t>
  </si>
  <si>
    <t>2,135,000.00</t>
  </si>
  <si>
    <t>506,987.25</t>
  </si>
  <si>
    <t>158,500.00</t>
  </si>
  <si>
    <t>64,320.00</t>
  </si>
  <si>
    <t>102,580.00</t>
  </si>
  <si>
    <t>2,493,646.88</t>
  </si>
  <si>
    <t>33,000.00</t>
  </si>
  <si>
    <t>405,001.80</t>
  </si>
  <si>
    <t>3,993,042.94</t>
  </si>
  <si>
    <t>1,995,254.98</t>
  </si>
  <si>
    <t>22,640,907.50</t>
  </si>
  <si>
    <t>75,576.61</t>
  </si>
  <si>
    <t>123,870.00</t>
  </si>
  <si>
    <t>51,124,800.00</t>
  </si>
  <si>
    <t>11,800,000.00</t>
  </si>
  <si>
    <t>17,908.00</t>
  </si>
  <si>
    <t>59,025.00</t>
  </si>
  <si>
    <t>1,403,855.73</t>
  </si>
  <si>
    <t>297,714.81</t>
  </si>
  <si>
    <t>296,191.35</t>
  </si>
  <si>
    <t>492,193.35</t>
  </si>
  <si>
    <t>2,484,765.40</t>
  </si>
  <si>
    <t>494,667.89</t>
  </si>
  <si>
    <t>10,627,115.00</t>
  </si>
  <si>
    <t>53,400.00</t>
  </si>
  <si>
    <t>293,906.16</t>
  </si>
  <si>
    <t>290,859.24</t>
  </si>
  <si>
    <t>277,148.10</t>
  </si>
  <si>
    <t>1,089,950.00</t>
  </si>
  <si>
    <t>189,335.78</t>
  </si>
  <si>
    <t>890,410.25</t>
  </si>
  <si>
    <t>794,994.00</t>
  </si>
  <si>
    <t>68,782.00</t>
  </si>
  <si>
    <t>149,000.00</t>
  </si>
  <si>
    <t>73,605.00</t>
  </si>
  <si>
    <t>234,950.00</t>
  </si>
  <si>
    <t>111,825.00</t>
  </si>
  <si>
    <t>458,470.00</t>
  </si>
  <si>
    <t>457,484.00</t>
  </si>
  <si>
    <t>850,772.00</t>
  </si>
  <si>
    <t>229,425.95</t>
  </si>
  <si>
    <t>256,300.00</t>
  </si>
  <si>
    <t>110,450.00</t>
  </si>
  <si>
    <t>1,939,787.70</t>
  </si>
  <si>
    <t>198,400.00</t>
  </si>
  <si>
    <t>244,867.00</t>
  </si>
  <si>
    <t>150,594.50</t>
  </si>
  <si>
    <t>126,182.00</t>
  </si>
  <si>
    <t>99,202.00</t>
  </si>
  <si>
    <t>1,927,821.11</t>
  </si>
  <si>
    <t>305,075.00</t>
  </si>
  <si>
    <t>619,000.00</t>
  </si>
  <si>
    <t>199,971.24</t>
  </si>
  <si>
    <t>499,187.00</t>
  </si>
  <si>
    <t>1,126,000.00</t>
  </si>
  <si>
    <t>738,200.00</t>
  </si>
  <si>
    <t>70,540.00</t>
  </si>
  <si>
    <t>106,250.00</t>
  </si>
  <si>
    <t>1,995,000.00</t>
  </si>
  <si>
    <t>280,388.77</t>
  </si>
  <si>
    <t>315,000.00</t>
  </si>
  <si>
    <t>1,575,000.00</t>
  </si>
  <si>
    <t>2,784,776.00</t>
  </si>
  <si>
    <t>75,600.00</t>
  </si>
  <si>
    <t>717,750.00</t>
  </si>
  <si>
    <t>989,999.00</t>
  </si>
  <si>
    <t>69,078.00</t>
  </si>
  <si>
    <t>216,725.00</t>
  </si>
  <si>
    <t>240,239.00</t>
  </si>
  <si>
    <t>1,758,102.71</t>
  </si>
  <si>
    <t>1,999,904.07</t>
  </si>
  <si>
    <t>239,363.30</t>
  </si>
  <si>
    <t>215,300.00</t>
  </si>
  <si>
    <t>13,090,262.50</t>
  </si>
  <si>
    <t>628,410.00</t>
  </si>
  <si>
    <t>159,999.00</t>
  </si>
  <si>
    <t>108,251.00</t>
  </si>
  <si>
    <t>118,910.00</t>
  </si>
  <si>
    <t>399,968.16</t>
  </si>
  <si>
    <t>492,244.00</t>
  </si>
  <si>
    <t>150,775.00</t>
  </si>
  <si>
    <t>89,436.62</t>
  </si>
  <si>
    <t>973,635.04</t>
  </si>
  <si>
    <t>5,392,786.74</t>
  </si>
  <si>
    <t>3,499,748.82</t>
  </si>
  <si>
    <t>737,452.42</t>
  </si>
  <si>
    <t>103,190.00</t>
  </si>
  <si>
    <t>3,949,193.66</t>
  </si>
  <si>
    <t>1,461,827.85</t>
  </si>
  <si>
    <t>199,821.56</t>
  </si>
  <si>
    <t>2,090,000.00</t>
  </si>
  <si>
    <t>998,565.31</t>
  </si>
  <si>
    <t>8,254,477.69</t>
  </si>
  <si>
    <t>291,720.00</t>
  </si>
  <si>
    <t>770,061.18</t>
  </si>
  <si>
    <t>740,000.00</t>
  </si>
  <si>
    <t>7,999,202.60</t>
  </si>
  <si>
    <t>2,488,574.95</t>
  </si>
  <si>
    <t>2,802,678.95</t>
  </si>
  <si>
    <t>739,619.58</t>
  </si>
  <si>
    <t>4,199,474.71</t>
  </si>
  <si>
    <t>1,479,974.98</t>
  </si>
  <si>
    <t>399,982.06</t>
  </si>
  <si>
    <t>1,865,092.45</t>
  </si>
  <si>
    <t>4,166,641.10</t>
  </si>
  <si>
    <t>6,175,634.09</t>
  </si>
  <si>
    <t>4,671,419.43</t>
  </si>
  <si>
    <t>953,456.87</t>
  </si>
  <si>
    <t>87,527.34</t>
  </si>
  <si>
    <t>567,780.00</t>
  </si>
  <si>
    <t>499,999.50</t>
  </si>
  <si>
    <t>2,700,010.50</t>
  </si>
  <si>
    <t>61,575.00</t>
  </si>
  <si>
    <t>1,038,150.00</t>
  </si>
  <si>
    <t>829,466.80</t>
  </si>
  <si>
    <t>633,000.00</t>
  </si>
  <si>
    <t>35,520.00</t>
  </si>
  <si>
    <t>171,660.00</t>
  </si>
  <si>
    <t>90,500.00</t>
  </si>
  <si>
    <t>352,510.00</t>
  </si>
  <si>
    <t>140,212.00</t>
  </si>
  <si>
    <t>723,840.00</t>
  </si>
  <si>
    <t>414,860.82</t>
  </si>
  <si>
    <t>13,030.00</t>
  </si>
  <si>
    <t>614,200.00</t>
  </si>
  <si>
    <t>439,000.00</t>
  </si>
  <si>
    <t>66,862.00</t>
  </si>
  <si>
    <t>1,750,000.00</t>
  </si>
  <si>
    <t>4,188,259.54</t>
  </si>
  <si>
    <t>499,712.20</t>
  </si>
  <si>
    <t>1,651,132.50</t>
  </si>
  <si>
    <t>14,317,638.31</t>
  </si>
  <si>
    <t>275,400.00</t>
  </si>
  <si>
    <t>122,045.00</t>
  </si>
  <si>
    <t>187,125.75</t>
  </si>
  <si>
    <t>643,204.00</t>
  </si>
  <si>
    <t>435,455.00</t>
  </si>
  <si>
    <t>878,250.00</t>
  </si>
  <si>
    <t>91,340.00</t>
  </si>
  <si>
    <t>365,790.00</t>
  </si>
  <si>
    <t>19,205.00</t>
  </si>
  <si>
    <t>25,100.00</t>
  </si>
  <si>
    <t>484,233.48</t>
  </si>
  <si>
    <t>23,000,000.00</t>
  </si>
  <si>
    <t>961,116.56</t>
  </si>
  <si>
    <t>1,357,500.00</t>
  </si>
  <si>
    <t>8,680,000.00</t>
  </si>
  <si>
    <t>129,250.00</t>
  </si>
  <si>
    <t>26,100.00</t>
  </si>
  <si>
    <t>974,461.26</t>
  </si>
  <si>
    <t>57,250.00</t>
  </si>
  <si>
    <t>481,296.10</t>
  </si>
  <si>
    <t>161,440.00</t>
  </si>
  <si>
    <t>27,965.00</t>
  </si>
  <si>
    <t>480,937.52</t>
  </si>
  <si>
    <t>868,485.00</t>
  </si>
  <si>
    <t>34,972.00</t>
  </si>
  <si>
    <t>237,236.00</t>
  </si>
  <si>
    <t>393,371.00</t>
  </si>
  <si>
    <t>27,695.00</t>
  </si>
  <si>
    <t>156,377.66</t>
  </si>
  <si>
    <t>234,170.00</t>
  </si>
  <si>
    <t>1,649,959.37</t>
  </si>
  <si>
    <t>999,986.88</t>
  </si>
  <si>
    <t>202,400.00</t>
  </si>
  <si>
    <t>474,835.87</t>
  </si>
  <si>
    <t>86,765.00</t>
  </si>
  <si>
    <t>118,000.00</t>
  </si>
  <si>
    <t>890,000.00</t>
  </si>
  <si>
    <t>59,917.00</t>
  </si>
  <si>
    <t>93,667.00</t>
  </si>
  <si>
    <t>67,490.00</t>
  </si>
  <si>
    <t>1,018,610.00</t>
  </si>
  <si>
    <t>997,878.04</t>
  </si>
  <si>
    <t>7,425.00</t>
  </si>
  <si>
    <t>85,990.00</t>
  </si>
  <si>
    <t>212,798.00</t>
  </si>
  <si>
    <t>196,643.00</t>
  </si>
  <si>
    <t>34,565.00</t>
  </si>
  <si>
    <t>137,600.00</t>
  </si>
  <si>
    <t>183,530.00</t>
  </si>
  <si>
    <t>891,765.00</t>
  </si>
  <si>
    <t>116,589.02</t>
  </si>
  <si>
    <t>84,820.00</t>
  </si>
  <si>
    <t>184,250.00</t>
  </si>
  <si>
    <t>53,680.00</t>
  </si>
  <si>
    <t>499,244.13</t>
  </si>
  <si>
    <t>499,400.00</t>
  </si>
  <si>
    <t>149,996.00</t>
  </si>
  <si>
    <t>411,525.00</t>
  </si>
  <si>
    <t>400,200.00</t>
  </si>
  <si>
    <t>75,614.00</t>
  </si>
  <si>
    <t>154,909.00</t>
  </si>
  <si>
    <t>1,070,360.00</t>
  </si>
  <si>
    <t>17,545.00</t>
  </si>
  <si>
    <t>982,000.00</t>
  </si>
  <si>
    <t>89,092.26</t>
  </si>
  <si>
    <t>721,893.00</t>
  </si>
  <si>
    <t>145,439.65</t>
  </si>
  <si>
    <t>153,816.30</t>
  </si>
  <si>
    <t>212,060.00</t>
  </si>
  <si>
    <t>93,000.00</t>
  </si>
  <si>
    <t>574,578.52</t>
  </si>
  <si>
    <t>198,900,000.00</t>
  </si>
  <si>
    <t>73,787.95</t>
  </si>
  <si>
    <t>185,045.00</t>
  </si>
  <si>
    <t>122,625.00</t>
  </si>
  <si>
    <t>4,265,340.00</t>
  </si>
  <si>
    <t>28,751.00</t>
  </si>
  <si>
    <t>63,075.00</t>
  </si>
  <si>
    <t>11,953.50</t>
  </si>
  <si>
    <t>417,470.00</t>
  </si>
  <si>
    <t>169,000.00</t>
  </si>
  <si>
    <t>4,160,000.00</t>
  </si>
  <si>
    <t>160,550.00</t>
  </si>
  <si>
    <t>269,600.00</t>
  </si>
  <si>
    <t>89,012.00</t>
  </si>
  <si>
    <t>73,565.26</t>
  </si>
  <si>
    <t>50,050.00</t>
  </si>
  <si>
    <t>728,457.00</t>
  </si>
  <si>
    <t>112,010.00</t>
  </si>
  <si>
    <t>978,476.70</t>
  </si>
  <si>
    <t>774,150.00</t>
  </si>
  <si>
    <t>97,300.00</t>
  </si>
  <si>
    <t>877,500.00</t>
  </si>
  <si>
    <t>581,000.00</t>
  </si>
  <si>
    <t>74,300.00</t>
  </si>
  <si>
    <t>111,300.00</t>
  </si>
  <si>
    <t>155,750.00</t>
  </si>
  <si>
    <t>353,080.00</t>
  </si>
  <si>
    <t>432,500.00</t>
  </si>
  <si>
    <t>4,670,057.00</t>
  </si>
  <si>
    <t>1,196,700.00</t>
  </si>
  <si>
    <t>119,700.00</t>
  </si>
  <si>
    <t>199,999.70</t>
  </si>
  <si>
    <t>81,770.50</t>
  </si>
  <si>
    <t>242,900.00</t>
  </si>
  <si>
    <t>49,400.00</t>
  </si>
  <si>
    <t>4,516,237.31</t>
  </si>
  <si>
    <t>255,250.50</t>
  </si>
  <si>
    <t>860,082.00</t>
  </si>
  <si>
    <t>121,500.00</t>
  </si>
  <si>
    <t>884,706.93</t>
  </si>
  <si>
    <t>141,764.00</t>
  </si>
  <si>
    <t>590,240.00</t>
  </si>
  <si>
    <t>210,398.37</t>
  </si>
  <si>
    <t>127,438.41</t>
  </si>
  <si>
    <t>524,000.00</t>
  </si>
  <si>
    <t>2,860,438.08</t>
  </si>
  <si>
    <t>69,700.00</t>
  </si>
  <si>
    <t>399,600.00</t>
  </si>
  <si>
    <t>65,968.50</t>
  </si>
  <si>
    <t>2,400,000.00</t>
  </si>
  <si>
    <t>1,726,350.00</t>
  </si>
  <si>
    <t>845,000.00</t>
  </si>
  <si>
    <t>209,410.00</t>
  </si>
  <si>
    <t>146,100.00</t>
  </si>
  <si>
    <t>429,400.00</t>
  </si>
  <si>
    <t>213,380.00</t>
  </si>
  <si>
    <t>55,060.00</t>
  </si>
  <si>
    <t>1,306,500.00</t>
  </si>
  <si>
    <t>1,932,484.20</t>
  </si>
  <si>
    <t>663,500.00</t>
  </si>
  <si>
    <t>478,000.00</t>
  </si>
  <si>
    <t>88,727.43</t>
  </si>
  <si>
    <t>523,000.00</t>
  </si>
  <si>
    <t>80,040.00</t>
  </si>
  <si>
    <t>992,972.00</t>
  </si>
  <si>
    <t>7,950,000.00</t>
  </si>
  <si>
    <t>773,000.00</t>
  </si>
  <si>
    <t>4,824,802.10</t>
  </si>
  <si>
    <t>1,654,055.00</t>
  </si>
  <si>
    <t>160,700.00</t>
  </si>
  <si>
    <t>1,978,430.00</t>
  </si>
  <si>
    <t>429,000.00</t>
  </si>
  <si>
    <t>990,000.00</t>
  </si>
  <si>
    <t>153,000.00</t>
  </si>
  <si>
    <t>75,400.00</t>
  </si>
  <si>
    <t>1,240,000.00</t>
  </si>
  <si>
    <t>176,434.00</t>
  </si>
  <si>
    <t>111,500.00</t>
  </si>
  <si>
    <t>1,115,539.23</t>
  </si>
  <si>
    <t>460,000.00</t>
  </si>
  <si>
    <t>4,326,645.00</t>
  </si>
  <si>
    <t>2,240,000.00</t>
  </si>
  <si>
    <t>16,875.00</t>
  </si>
  <si>
    <t>1,042,000.00</t>
  </si>
  <si>
    <t>322,043.19</t>
  </si>
  <si>
    <t>564,000.00</t>
  </si>
  <si>
    <t>316,980.00</t>
  </si>
  <si>
    <t>224,470.40</t>
  </si>
  <si>
    <t>16,539.00</t>
  </si>
  <si>
    <t>444,900.20</t>
  </si>
  <si>
    <t>9,586.00</t>
  </si>
  <si>
    <t>286,334.72</t>
  </si>
  <si>
    <t>36,346,596.00</t>
  </si>
  <si>
    <t>999,600.00</t>
  </si>
  <si>
    <t>5,809,695.00</t>
  </si>
  <si>
    <t>126,500.00</t>
  </si>
  <si>
    <t>1,016,358.64</t>
  </si>
  <si>
    <t>1,522,700.00</t>
  </si>
  <si>
    <t>286,200.00</t>
  </si>
  <si>
    <t>317,911.00</t>
  </si>
  <si>
    <t>23,064,000.00</t>
  </si>
  <si>
    <t>74,980.00</t>
  </si>
  <si>
    <t>546,962.00</t>
  </si>
  <si>
    <t>93,650.00</t>
  </si>
  <si>
    <t>62,164.40</t>
  </si>
  <si>
    <t>832,490.00</t>
  </si>
  <si>
    <t>316,500.00</t>
  </si>
  <si>
    <t>52,628.80</t>
  </si>
  <si>
    <t>227,164.99</t>
  </si>
  <si>
    <t>279,070.00</t>
  </si>
  <si>
    <t>239,331.44</t>
  </si>
  <si>
    <t>27,712.00</t>
  </si>
  <si>
    <t>556,150.00</t>
  </si>
  <si>
    <t>199,971.80</t>
  </si>
  <si>
    <t>28,300.00</t>
  </si>
  <si>
    <t>28,600.00</t>
  </si>
  <si>
    <t>6,946.00</t>
  </si>
  <si>
    <t>70,129.00</t>
  </si>
  <si>
    <t>1,790,182.90</t>
  </si>
  <si>
    <t>28,205.00</t>
  </si>
  <si>
    <t>374,263.87</t>
  </si>
  <si>
    <t>31,214.00</t>
  </si>
  <si>
    <t>41,053.00</t>
  </si>
  <si>
    <t>32,200.00</t>
  </si>
  <si>
    <t>164,789.87</t>
  </si>
  <si>
    <t>119,840.00</t>
  </si>
  <si>
    <t>126,688.00</t>
  </si>
  <si>
    <t>56,290.00</t>
  </si>
  <si>
    <t>174,488.00</t>
  </si>
  <si>
    <t>124,091.00</t>
  </si>
  <si>
    <t>112,755.00</t>
  </si>
  <si>
    <t>153,049.00</t>
  </si>
  <si>
    <t>214,144.49</t>
  </si>
  <si>
    <t>576,208.88</t>
  </si>
  <si>
    <t>935,502.42</t>
  </si>
  <si>
    <t>200,433.00</t>
  </si>
  <si>
    <t>617,530.70</t>
  </si>
  <si>
    <t>211,999.96</t>
  </si>
  <si>
    <t>2,490,000.00</t>
  </si>
  <si>
    <t>106,953.60</t>
  </si>
  <si>
    <t>141,582.30</t>
  </si>
  <si>
    <t>144,423.41</t>
  </si>
  <si>
    <t>142,900.00</t>
  </si>
  <si>
    <t>485,000.00</t>
  </si>
  <si>
    <t>559,999.78</t>
  </si>
  <si>
    <t>430,923.00</t>
  </si>
  <si>
    <t>311,734.00</t>
  </si>
  <si>
    <t>196,159.00</t>
  </si>
  <si>
    <t>299,793.00</t>
  </si>
  <si>
    <t>648,468.00</t>
  </si>
  <si>
    <t>187,819.46</t>
  </si>
  <si>
    <t>3,823,466.50</t>
  </si>
  <si>
    <t>5,173,527.50</t>
  </si>
  <si>
    <t>221,500.00</t>
  </si>
  <si>
    <t>44,000.00</t>
  </si>
  <si>
    <t>400,500.00</t>
  </si>
  <si>
    <t>624,992.00</t>
  </si>
  <si>
    <t>4,800,000.00</t>
  </si>
  <si>
    <t>955,000.00</t>
  </si>
  <si>
    <t>3,197,064.55</t>
  </si>
  <si>
    <t>2,086,223.00</t>
  </si>
  <si>
    <t>138,087.50</t>
  </si>
  <si>
    <t>109,000.00</t>
  </si>
  <si>
    <t>11,215.85</t>
  </si>
  <si>
    <t>561,120.00</t>
  </si>
  <si>
    <t>2,608,200.00</t>
  </si>
  <si>
    <t>15,826.00</t>
  </si>
  <si>
    <t>58,830.80</t>
  </si>
  <si>
    <t>1,074,400.50</t>
  </si>
  <si>
    <t>78,388.80</t>
  </si>
  <si>
    <t>449,851.00</t>
  </si>
  <si>
    <t>1,471,398.31</t>
  </si>
  <si>
    <t>186,566.00</t>
  </si>
  <si>
    <t>1,603,516.58</t>
  </si>
  <si>
    <t>47,220.00</t>
  </si>
  <si>
    <t>1,144,504.48</t>
  </si>
  <si>
    <t>1,617,018.10</t>
  </si>
  <si>
    <t>224,000.00</t>
  </si>
  <si>
    <t>3,621,556.70</t>
  </si>
  <si>
    <t>46,479,471.20</t>
  </si>
  <si>
    <t>100,079.10</t>
  </si>
  <si>
    <t>9,750.00</t>
  </si>
  <si>
    <t>4,333,462.00</t>
  </si>
  <si>
    <t>542,920.00</t>
  </si>
  <si>
    <t>72,410.00</t>
  </si>
  <si>
    <t>850,225.00</t>
  </si>
  <si>
    <t>7,197,498.60</t>
  </si>
  <si>
    <t>3,280,000.00</t>
  </si>
  <si>
    <t>1,850,100.00</t>
  </si>
  <si>
    <t>908,939.06</t>
  </si>
  <si>
    <t>66,675.00</t>
  </si>
  <si>
    <t>742,500.00</t>
  </si>
  <si>
    <t>998,700.00</t>
  </si>
  <si>
    <t>200,999.73</t>
  </si>
  <si>
    <t>350,651.83</t>
  </si>
  <si>
    <t>2,253,250.00</t>
  </si>
  <si>
    <t>326,900.00</t>
  </si>
  <si>
    <t>18,424,557.50</t>
  </si>
  <si>
    <t>2,953,144.60</t>
  </si>
  <si>
    <t>637,250.00</t>
  </si>
  <si>
    <t>100,750.00</t>
  </si>
  <si>
    <t>12,056,538.00</t>
  </si>
  <si>
    <t>763,888.00</t>
  </si>
  <si>
    <t>115,901.80</t>
  </si>
  <si>
    <t>3,215,000.00</t>
  </si>
  <si>
    <t>81,603.68</t>
  </si>
  <si>
    <t>109,815.00</t>
  </si>
  <si>
    <t>3,136,618.00</t>
  </si>
  <si>
    <t>6,375.00</t>
  </si>
  <si>
    <t>1,245,775.97</t>
  </si>
  <si>
    <t>123,950.00</t>
  </si>
  <si>
    <t>4,115.00</t>
  </si>
  <si>
    <t>1,080,800.00</t>
  </si>
  <si>
    <t>67,400.00</t>
  </si>
  <si>
    <t>2,000.00</t>
  </si>
  <si>
    <t>1,563,988.75</t>
  </si>
  <si>
    <t>493,750.00</t>
  </si>
  <si>
    <t>1,815,000.00</t>
  </si>
  <si>
    <t>8,426.88</t>
  </si>
  <si>
    <t>997,100.00</t>
  </si>
  <si>
    <t>38,644,475.00</t>
  </si>
  <si>
    <t>137,500.00</t>
  </si>
  <si>
    <t>76,160.00</t>
  </si>
  <si>
    <t>299,912.50</t>
  </si>
  <si>
    <t>75,499.52</t>
  </si>
  <si>
    <t>4,812,825.22</t>
  </si>
  <si>
    <t>179,266.50</t>
  </si>
  <si>
    <t>8,750.00</t>
  </si>
  <si>
    <t>213,907.00</t>
  </si>
  <si>
    <t>159,000.00</t>
  </si>
  <si>
    <t>220,830.00</t>
  </si>
  <si>
    <t>3,162,703.00</t>
  </si>
  <si>
    <t>1,499,952.43</t>
  </si>
  <si>
    <t>8,078.00</t>
  </si>
  <si>
    <t>5,415.67</t>
  </si>
  <si>
    <t>369,700.00</t>
  </si>
  <si>
    <t>83,145.00</t>
  </si>
  <si>
    <t>334,350.00</t>
  </si>
  <si>
    <t>9,999,423.48</t>
  </si>
  <si>
    <t>999,810.00</t>
  </si>
  <si>
    <t>4,999,909.83</t>
  </si>
  <si>
    <t>786,352.00</t>
  </si>
  <si>
    <t>817,800.00</t>
  </si>
  <si>
    <t>11,550.00</t>
  </si>
  <si>
    <t>923,545.00</t>
  </si>
  <si>
    <t>118,006.20</t>
  </si>
  <si>
    <t>5,270.89</t>
  </si>
  <si>
    <t>1,006,128.00</t>
  </si>
  <si>
    <t>2,373,322.00</t>
  </si>
  <si>
    <t>211,000.00</t>
  </si>
  <si>
    <t>3,500.00</t>
  </si>
  <si>
    <t>1,443,668.79</t>
  </si>
  <si>
    <t>1,576,898.19</t>
  </si>
  <si>
    <t>9,254,000.00</t>
  </si>
  <si>
    <t>110,968.00</t>
  </si>
  <si>
    <t>677,600.12</t>
  </si>
  <si>
    <t>119,630.00</t>
  </si>
  <si>
    <t>12,093,596.00</t>
  </si>
  <si>
    <t>146,236.00</t>
  </si>
  <si>
    <t>38,750.00</t>
  </si>
  <si>
    <t>968,806.38</t>
  </si>
  <si>
    <t>193,834.00</t>
  </si>
  <si>
    <t>1,240,188.00</t>
  </si>
  <si>
    <t>482,059.33</t>
  </si>
  <si>
    <t>60,090.00</t>
  </si>
  <si>
    <t>735,000.00</t>
  </si>
  <si>
    <t>339,140.00</t>
  </si>
  <si>
    <t>115,156.91</t>
  </si>
  <si>
    <t>94,876.30</t>
  </si>
  <si>
    <t>143,750.00</t>
  </si>
  <si>
    <t>119,050.00</t>
  </si>
  <si>
    <t>499,550.63</t>
  </si>
  <si>
    <t>107,420.00</t>
  </si>
  <si>
    <t>179,500.00</t>
  </si>
  <si>
    <t>84,086.14</t>
  </si>
  <si>
    <t>119,610.00</t>
  </si>
  <si>
    <t>443,430.10</t>
  </si>
  <si>
    <t>38,160.00</t>
  </si>
  <si>
    <t>119,550.00</t>
  </si>
  <si>
    <t>993,500.00</t>
  </si>
  <si>
    <t>23,074,240.20</t>
  </si>
  <si>
    <t>72,450.00</t>
  </si>
  <si>
    <t>3,058,356.53</t>
  </si>
  <si>
    <t>571,331.71</t>
  </si>
  <si>
    <t>3,148,200.00</t>
  </si>
  <si>
    <t>156,358.08</t>
  </si>
  <si>
    <t>345,000.00</t>
  </si>
  <si>
    <t>371,134.02</t>
  </si>
  <si>
    <t>219,127.00</t>
  </si>
  <si>
    <t>55,025.00</t>
  </si>
  <si>
    <t>442,890.00</t>
  </si>
  <si>
    <t>3,857,625.00</t>
  </si>
  <si>
    <t>29,449,000.00</t>
  </si>
  <si>
    <t>700.00</t>
  </si>
  <si>
    <t>107,768.12</t>
  </si>
  <si>
    <t>214,613.67</t>
  </si>
  <si>
    <t>22,455.00</t>
  </si>
  <si>
    <t>342,000.00</t>
  </si>
  <si>
    <t>241,483.00</t>
  </si>
  <si>
    <t>212,650.38</t>
  </si>
  <si>
    <t>6,700.00</t>
  </si>
  <si>
    <t>11,830.00</t>
  </si>
  <si>
    <t>79,150.00</t>
  </si>
  <si>
    <t>59,840.00</t>
  </si>
  <si>
    <t>16,450.00</t>
  </si>
  <si>
    <t>1,466,376.32</t>
  </si>
  <si>
    <t>625,106.93</t>
  </si>
  <si>
    <t>5,700,000.00</t>
  </si>
  <si>
    <t>13,000.00</t>
  </si>
  <si>
    <t>151,772.50</t>
  </si>
  <si>
    <t>994,080.00</t>
  </si>
  <si>
    <t>747,604.20</t>
  </si>
  <si>
    <t>61,730.50</t>
  </si>
  <si>
    <t>94,300.00</t>
  </si>
  <si>
    <t>102,250.00</t>
  </si>
  <si>
    <t>68,300.00</t>
  </si>
  <si>
    <t>55,015.00</t>
  </si>
  <si>
    <t>73,136.50</t>
  </si>
  <si>
    <t>36,482.50</t>
  </si>
  <si>
    <t>231,604.00</t>
  </si>
  <si>
    <t>162,120.00</t>
  </si>
  <si>
    <t>66,877.50</t>
  </si>
  <si>
    <t>68,078.85</t>
  </si>
  <si>
    <t>319,449.88</t>
  </si>
  <si>
    <t>2,490,984.00</t>
  </si>
  <si>
    <t>100,155.00</t>
  </si>
  <si>
    <t>155,600.00</t>
  </si>
  <si>
    <t>80,600.00</t>
  </si>
  <si>
    <t>499,982.20</t>
  </si>
  <si>
    <t>35,900.00</t>
  </si>
  <si>
    <t>166,100.00</t>
  </si>
  <si>
    <t>12,729.00</t>
  </si>
  <si>
    <t>247,500.00</t>
  </si>
  <si>
    <t>31,512.00</t>
  </si>
  <si>
    <t>500,463.00</t>
  </si>
  <si>
    <t>83,700.00</t>
  </si>
  <si>
    <t>1,040,000.00</t>
  </si>
  <si>
    <t>4,369,000.00</t>
  </si>
  <si>
    <t>76,750.00</t>
  </si>
  <si>
    <t>248,754.98</t>
  </si>
  <si>
    <t>162,608.75</t>
  </si>
  <si>
    <t>724,215.40</t>
  </si>
  <si>
    <t>329,927.00</t>
  </si>
  <si>
    <t>1,370,613.30</t>
  </si>
  <si>
    <t>249,800.00</t>
  </si>
  <si>
    <t>409,270.00</t>
  </si>
  <si>
    <t>564,650.00</t>
  </si>
  <si>
    <t>368,458.00</t>
  </si>
  <si>
    <t>386,000.00</t>
  </si>
  <si>
    <t>139,246.00</t>
  </si>
  <si>
    <t>499,334.22</t>
  </si>
  <si>
    <t>174,175.00</t>
  </si>
  <si>
    <t>87,742.00</t>
  </si>
  <si>
    <t>309,992.00</t>
  </si>
  <si>
    <t>351,355.00</t>
  </si>
  <si>
    <t>245,200.00</t>
  </si>
  <si>
    <t>331,425.00</t>
  </si>
  <si>
    <t>293,380.00</t>
  </si>
  <si>
    <t>407,000.00</t>
  </si>
  <si>
    <t>343,550.00</t>
  </si>
  <si>
    <t>212,225.00</t>
  </si>
  <si>
    <t>476,600.00</t>
  </si>
  <si>
    <t>64,825.00</t>
  </si>
  <si>
    <t>424,580.00</t>
  </si>
  <si>
    <t>78,125.00</t>
  </si>
  <si>
    <t>231,964.00</t>
  </si>
  <si>
    <t>130,010.00</t>
  </si>
  <si>
    <t>191,756.55</t>
  </si>
  <si>
    <t>1,098,860.00</t>
  </si>
  <si>
    <t>1,113,994.25</t>
  </si>
  <si>
    <t>679,132.00</t>
  </si>
  <si>
    <t>425,900.00</t>
  </si>
  <si>
    <t>78,905.18</t>
  </si>
  <si>
    <t>102,800.00</t>
  </si>
  <si>
    <t>304,070.00</t>
  </si>
  <si>
    <t>288,750.00</t>
  </si>
  <si>
    <t>1,118,842.95</t>
  </si>
  <si>
    <t>306,600.00</t>
  </si>
  <si>
    <t>108,250.00</t>
  </si>
  <si>
    <t>2,921,003.85</t>
  </si>
  <si>
    <t>455,000.00</t>
  </si>
  <si>
    <t>118,219.33</t>
  </si>
  <si>
    <t>161,900.00</t>
  </si>
  <si>
    <t>197,000.00</t>
  </si>
  <si>
    <t>55,260,028.00</t>
  </si>
  <si>
    <t>516,841.00</t>
  </si>
  <si>
    <t>287,000.00</t>
  </si>
  <si>
    <t>35,022,982.00</t>
  </si>
  <si>
    <t>239,231.20</t>
  </si>
  <si>
    <t>2,157,904.00</t>
  </si>
  <si>
    <t>197,520.00</t>
  </si>
  <si>
    <t>3,170,000.00</t>
  </si>
  <si>
    <t>219,550.00</t>
  </si>
  <si>
    <t>73,160.00</t>
  </si>
  <si>
    <t>11,700.00</t>
  </si>
  <si>
    <t>59,400.00</t>
  </si>
  <si>
    <t>27,200.00</t>
  </si>
  <si>
    <t>186,590.75</t>
  </si>
  <si>
    <t>160,447.00</t>
  </si>
  <si>
    <t>185,245.50</t>
  </si>
  <si>
    <t>376,000.00</t>
  </si>
  <si>
    <t>1,243,900.00</t>
  </si>
  <si>
    <t>112,912.50</t>
  </si>
  <si>
    <t>1,510,836.00</t>
  </si>
  <si>
    <t>1,752,850.20</t>
  </si>
  <si>
    <t>115,192.00</t>
  </si>
  <si>
    <t>1,394,459.68</t>
  </si>
  <si>
    <t>599,955.00</t>
  </si>
  <si>
    <t>288,400.42</t>
  </si>
  <si>
    <t>3,695,475.00</t>
  </si>
  <si>
    <t>17,978.00</t>
  </si>
  <si>
    <t>5,810.00</t>
  </si>
  <si>
    <t>871,200.25</t>
  </si>
  <si>
    <t>420,953.00</t>
  </si>
  <si>
    <t>196,800.00</t>
  </si>
  <si>
    <t>4,051,000.00</t>
  </si>
  <si>
    <t>465,800.61</t>
  </si>
  <si>
    <t>717,483.81</t>
  </si>
  <si>
    <t>2,094,500.00</t>
  </si>
  <si>
    <t>278,462.40</t>
  </si>
  <si>
    <t>3,849,000.00</t>
  </si>
  <si>
    <t>2,045.00</t>
  </si>
  <si>
    <t>3,465,000.00</t>
  </si>
  <si>
    <t>69,906.00</t>
  </si>
  <si>
    <t>110,307.00</t>
  </si>
  <si>
    <t>3,600,000.00</t>
  </si>
  <si>
    <t>160,638.00</t>
  </si>
  <si>
    <t>184,619.00</t>
  </si>
  <si>
    <t>464,187.72</t>
  </si>
  <si>
    <t>428,653.17</t>
  </si>
  <si>
    <t>235,501.40</t>
  </si>
  <si>
    <t>71,540.00</t>
  </si>
  <si>
    <t>125,040.00</t>
  </si>
  <si>
    <t>864,000.00</t>
  </si>
  <si>
    <t>2,299,856.33</t>
  </si>
  <si>
    <t>466,551.62</t>
  </si>
  <si>
    <t>137,515.00</t>
  </si>
  <si>
    <t>188,199.00</t>
  </si>
  <si>
    <t>119,769.61</t>
  </si>
  <si>
    <t>9,900,000.00</t>
  </si>
  <si>
    <t>268,985.00</t>
  </si>
  <si>
    <t>159,591.00</t>
  </si>
  <si>
    <t>645,309.00</t>
  </si>
  <si>
    <t>748,420.00</t>
  </si>
  <si>
    <t>223,000.00</t>
  </si>
  <si>
    <t>167,950.00</t>
  </si>
  <si>
    <t>53,126.55</t>
  </si>
  <si>
    <t>819,995.00</t>
  </si>
  <si>
    <t>1,199,607.37</t>
  </si>
  <si>
    <t>102,367.00</t>
  </si>
  <si>
    <t>70,304.00</t>
  </si>
  <si>
    <t>239,400.00</t>
  </si>
  <si>
    <t>6,380.00</t>
  </si>
  <si>
    <t>153,935.00</t>
  </si>
  <si>
    <t>499,985.59</t>
  </si>
  <si>
    <t>597,025.00</t>
  </si>
  <si>
    <t>119,000.00</t>
  </si>
  <si>
    <t>17,391,500.00</t>
  </si>
  <si>
    <t>164,250.00</t>
  </si>
  <si>
    <t>75,020.00</t>
  </si>
  <si>
    <t>171,700.00</t>
  </si>
  <si>
    <t>16,879,300.00</t>
  </si>
  <si>
    <t>129,600.00</t>
  </si>
  <si>
    <t>417,000.00</t>
  </si>
  <si>
    <t>193,770.00</t>
  </si>
  <si>
    <t>99,997.00</t>
  </si>
  <si>
    <t>309,800.00</t>
  </si>
  <si>
    <t>145,900.00</t>
  </si>
  <si>
    <t>984,645.00</t>
  </si>
  <si>
    <t>212,861.04</t>
  </si>
  <si>
    <t>7,050.00</t>
  </si>
  <si>
    <t>992,250.00</t>
  </si>
  <si>
    <t>561,000.00</t>
  </si>
  <si>
    <t>237,900.00</t>
  </si>
  <si>
    <t>58,500.00</t>
  </si>
  <si>
    <t>632,000.00</t>
  </si>
  <si>
    <t>2,132,995.60</t>
  </si>
  <si>
    <t>414,500.00</t>
  </si>
  <si>
    <t>589,858.39</t>
  </si>
  <si>
    <t>499,967.10</t>
  </si>
  <si>
    <t>68,097.00</t>
  </si>
  <si>
    <t>99,960.00</t>
  </si>
  <si>
    <t>167,198.46</t>
  </si>
  <si>
    <t>111,040.00</t>
  </si>
  <si>
    <t>103,460.00</t>
  </si>
  <si>
    <t>99,940.00</t>
  </si>
  <si>
    <t>11,340.00</t>
  </si>
  <si>
    <t>399,960.00</t>
  </si>
  <si>
    <t>110,573.00</t>
  </si>
  <si>
    <t>250,039.00</t>
  </si>
  <si>
    <t>160,960.00</t>
  </si>
  <si>
    <t>192,706.20</t>
  </si>
  <si>
    <t>482,085.71</t>
  </si>
  <si>
    <t>890,669.72</t>
  </si>
  <si>
    <t>134,125.00</t>
  </si>
  <si>
    <t>141,000.00</t>
  </si>
  <si>
    <t>994,985.00</t>
  </si>
  <si>
    <t>209,000.00</t>
  </si>
  <si>
    <t>2,050,000.00</t>
  </si>
  <si>
    <t>197,380.00</t>
  </si>
  <si>
    <t>234,038.16</t>
  </si>
  <si>
    <t>69,943.43</t>
  </si>
  <si>
    <t>154,750.00</t>
  </si>
  <si>
    <t>68,370.00</t>
  </si>
  <si>
    <t>2,260.00</t>
  </si>
  <si>
    <t>49,840.00</t>
  </si>
  <si>
    <t>86,220.00</t>
  </si>
  <si>
    <t>1,275,000.00</t>
  </si>
  <si>
    <t>81,210.00</t>
  </si>
  <si>
    <t>310,000.00</t>
  </si>
  <si>
    <t>499,999.81</t>
  </si>
  <si>
    <t>1,870.00</t>
  </si>
  <si>
    <t>616,000.00</t>
  </si>
  <si>
    <t>392,250.00</t>
  </si>
  <si>
    <t>68,194.00</t>
  </si>
  <si>
    <t>6,659.00</t>
  </si>
  <si>
    <t>208,087.50</t>
  </si>
  <si>
    <t>121,135.00</t>
  </si>
  <si>
    <t>102,700.00</t>
  </si>
  <si>
    <t>3,930.00</t>
  </si>
  <si>
    <t>40,732.00</t>
  </si>
  <si>
    <t>73,427.00</t>
  </si>
  <si>
    <t>1,942,500.00</t>
  </si>
  <si>
    <t>354,090.00</t>
  </si>
  <si>
    <t>199,860.00</t>
  </si>
  <si>
    <t>20,500.00</t>
  </si>
  <si>
    <t>62,623.05</t>
  </si>
  <si>
    <t>122,750.00</t>
  </si>
  <si>
    <t>5,556.56</t>
  </si>
  <si>
    <t>13,656.00</t>
  </si>
  <si>
    <t>161,112.00</t>
  </si>
  <si>
    <t>2,518,895.83</t>
  </si>
  <si>
    <t>5,556,062.15</t>
  </si>
  <si>
    <t>152,720.00</t>
  </si>
  <si>
    <t>249,670.00</t>
  </si>
  <si>
    <t>635,800.00</t>
  </si>
  <si>
    <t>178,360.00</t>
  </si>
  <si>
    <t>186,108.00</t>
  </si>
  <si>
    <t>146,245.00</t>
  </si>
  <si>
    <t>156,006.72</t>
  </si>
  <si>
    <t>306,000.00</t>
  </si>
  <si>
    <t>333,500.00</t>
  </si>
  <si>
    <t>139,908.40</t>
  </si>
  <si>
    <t>98,550.00</t>
  </si>
  <si>
    <t>431,250.00</t>
  </si>
  <si>
    <t>74,251.40</t>
  </si>
  <si>
    <t>280,678.00</t>
  </si>
  <si>
    <t>2,528,896.84</t>
  </si>
  <si>
    <t>295,000.00</t>
  </si>
  <si>
    <t>2,894,525.03</t>
  </si>
  <si>
    <t>26,212.50</t>
  </si>
  <si>
    <t>269,885.00</t>
  </si>
  <si>
    <t>427,530.00</t>
  </si>
  <si>
    <t>185,900.00</t>
  </si>
  <si>
    <t>128,525.00</t>
  </si>
  <si>
    <t>537,600.00</t>
  </si>
  <si>
    <t>72,350.00</t>
  </si>
  <si>
    <t>215,154.00</t>
  </si>
  <si>
    <t>55,627.10</t>
  </si>
  <si>
    <t>374,400.00</t>
  </si>
  <si>
    <t>20,932.00</t>
  </si>
  <si>
    <t>59,804.00</t>
  </si>
  <si>
    <t>175,900.50</t>
  </si>
  <si>
    <t>130,590.00</t>
  </si>
  <si>
    <t>250,888.00</t>
  </si>
  <si>
    <t>12,573,621.67</t>
  </si>
  <si>
    <t>289,200.00</t>
  </si>
  <si>
    <t>482,400.00</t>
  </si>
  <si>
    <t>298,200.00</t>
  </si>
  <si>
    <t>314,828.33</t>
  </si>
  <si>
    <t>4,614,423.60</t>
  </si>
  <si>
    <t>55,264.00</t>
  </si>
  <si>
    <t>847,869.00</t>
  </si>
  <si>
    <t>620,000.00</t>
  </si>
  <si>
    <t>74,455.00</t>
  </si>
  <si>
    <t>83,000.00</t>
  </si>
  <si>
    <t>515,000.00</t>
  </si>
  <si>
    <t>4,086,775.00</t>
  </si>
  <si>
    <t>179,932.00</t>
  </si>
  <si>
    <t>9,798,501.03</t>
  </si>
  <si>
    <t>72,206.00</t>
  </si>
  <si>
    <t>115,500.00</t>
  </si>
  <si>
    <t>14,699,659.17</t>
  </si>
  <si>
    <t>3,859,731.89</t>
  </si>
  <si>
    <t>248,400.00</t>
  </si>
  <si>
    <t>196,571.00</t>
  </si>
  <si>
    <t>1,487,600.00</t>
  </si>
  <si>
    <t>78,295.95</t>
  </si>
  <si>
    <t>106,469.04</t>
  </si>
  <si>
    <t>45,947,281.64</t>
  </si>
  <si>
    <t>93,550.00</t>
  </si>
  <si>
    <t>2,999,999.99</t>
  </si>
  <si>
    <t>124,855.00</t>
  </si>
  <si>
    <t>283,951.00</t>
  </si>
  <si>
    <t>445,280.00</t>
  </si>
  <si>
    <t>79,156.00</t>
  </si>
  <si>
    <t>18,600,000.00</t>
  </si>
  <si>
    <t>131,730.00</t>
  </si>
  <si>
    <t>4,999,999.99</t>
  </si>
  <si>
    <t>502,998.00</t>
  </si>
  <si>
    <t>763,805.63</t>
  </si>
  <si>
    <t>395,355.00</t>
  </si>
  <si>
    <t>209,370.00</t>
  </si>
  <si>
    <t>99,300.00</t>
  </si>
  <si>
    <t>1,981,700.00</t>
  </si>
  <si>
    <t>4,087,785.51</t>
  </si>
  <si>
    <t>318,940.00</t>
  </si>
  <si>
    <t>1,999,863.97</t>
  </si>
  <si>
    <t>265,892.00</t>
  </si>
  <si>
    <t>94,950.00</t>
  </si>
  <si>
    <t>38,800,000.00</t>
  </si>
  <si>
    <t>613,633.44</t>
  </si>
  <si>
    <t>1,095,836.80</t>
  </si>
  <si>
    <t>114,931.00</t>
  </si>
  <si>
    <t>98,929.00</t>
  </si>
  <si>
    <t>263,044.00</t>
  </si>
  <si>
    <t>5,600.00</t>
  </si>
  <si>
    <t>41,824.55</t>
  </si>
  <si>
    <t>199,996.05</t>
  </si>
  <si>
    <t>104,265.07</t>
  </si>
  <si>
    <t>1,146,757.51</t>
  </si>
  <si>
    <t>743,000.00</t>
  </si>
  <si>
    <t>1,138,560.00</t>
  </si>
  <si>
    <t>5,060,197.56</t>
  </si>
  <si>
    <t>16,392,282.68</t>
  </si>
  <si>
    <t>14,283,206.45</t>
  </si>
  <si>
    <t>113,422.00</t>
  </si>
  <si>
    <t>219,988.66</t>
  </si>
  <si>
    <t>239,300.00</t>
  </si>
  <si>
    <t>88,716.00</t>
  </si>
  <si>
    <t>224,450.00</t>
  </si>
  <si>
    <t>438,600.00</t>
  </si>
  <si>
    <t>234,987.25</t>
  </si>
  <si>
    <t>63,000.00</t>
  </si>
  <si>
    <t>2,800.00</t>
  </si>
  <si>
    <t>9,465,315.00</t>
  </si>
  <si>
    <t>176,235.60</t>
  </si>
  <si>
    <t>2,129,507.51</t>
  </si>
  <si>
    <t>99,917.25</t>
  </si>
  <si>
    <t>294,710.00</t>
  </si>
  <si>
    <t>163,813.80</t>
  </si>
  <si>
    <t>99,020.00</t>
  </si>
  <si>
    <t>1,799,820.14</t>
  </si>
  <si>
    <t>324,000.00</t>
  </si>
  <si>
    <t>135,855.25</t>
  </si>
  <si>
    <t>90,326.00</t>
  </si>
  <si>
    <t>56,900.00</t>
  </si>
  <si>
    <t>269,001.00</t>
  </si>
  <si>
    <t>5,950.00</t>
  </si>
  <si>
    <t>53,078.00</t>
  </si>
  <si>
    <t>61,700.00</t>
  </si>
  <si>
    <t>1,590.00</t>
  </si>
  <si>
    <t>446,656.00</t>
  </si>
  <si>
    <t>1,615,000.00</t>
  </si>
  <si>
    <t>110,700.00</t>
  </si>
  <si>
    <t>138,841.40</t>
  </si>
  <si>
    <t>5,550,000.00</t>
  </si>
  <si>
    <t>3,200.00</t>
  </si>
  <si>
    <t>722,491.00</t>
  </si>
  <si>
    <t>11,879,434.01</t>
  </si>
  <si>
    <t>254,484.00</t>
  </si>
  <si>
    <t>4,949,946.65</t>
  </si>
  <si>
    <t>191,795.50</t>
  </si>
  <si>
    <t>72,221.69</t>
  </si>
  <si>
    <t>70,500.00</t>
  </si>
  <si>
    <t>70,250.00</t>
  </si>
  <si>
    <t>239,512.00</t>
  </si>
  <si>
    <t>704,000.00</t>
  </si>
  <si>
    <t>55,856.30</t>
  </si>
  <si>
    <t>662,235.00</t>
  </si>
  <si>
    <t>768,150.00</t>
  </si>
  <si>
    <t>265,818.00</t>
  </si>
  <si>
    <t>688,715.92</t>
  </si>
  <si>
    <t>379,946.08</t>
  </si>
  <si>
    <t>34,417.79</t>
  </si>
  <si>
    <t>62,462.02</t>
  </si>
  <si>
    <t>463,845.00</t>
  </si>
  <si>
    <t>1,351,424.00</t>
  </si>
  <si>
    <t>186,721.92</t>
  </si>
  <si>
    <t>94,513.00</t>
  </si>
  <si>
    <t>110,479.00</t>
  </si>
  <si>
    <t>42,310.17</t>
  </si>
  <si>
    <t>5,988,000.00</t>
  </si>
  <si>
    <t>204,400.00</t>
  </si>
  <si>
    <t>86,625.00</t>
  </si>
  <si>
    <t>804,500.00</t>
  </si>
  <si>
    <t>205,325.20</t>
  </si>
  <si>
    <t>62,000.01</t>
  </si>
  <si>
    <t>1,004,936.01</t>
  </si>
  <si>
    <t>444,800.00</t>
  </si>
  <si>
    <t>72,375.00</t>
  </si>
  <si>
    <t>59,980.00</t>
  </si>
  <si>
    <t>144,208.00</t>
  </si>
  <si>
    <t>14,849,961.81</t>
  </si>
  <si>
    <t>11,879,866.88</t>
  </si>
  <si>
    <t>233,884.00</t>
  </si>
  <si>
    <t>123,369.00</t>
  </si>
  <si>
    <t>7,184.00</t>
  </si>
  <si>
    <t>445,033.00</t>
  </si>
  <si>
    <t>862,500.00</t>
  </si>
  <si>
    <t>117,680.00</t>
  </si>
  <si>
    <t>147,308.18</t>
  </si>
  <si>
    <t>553,443.67</t>
  </si>
  <si>
    <t>39,599,920.28</t>
  </si>
  <si>
    <t>99,610.00</t>
  </si>
  <si>
    <t>57,200.00</t>
  </si>
  <si>
    <t>163,435.00</t>
  </si>
  <si>
    <t>309,661.00</t>
  </si>
  <si>
    <t>19,799,977.04</t>
  </si>
  <si>
    <t>929,728.00</t>
  </si>
  <si>
    <t>605,886.40</t>
  </si>
  <si>
    <t>119,910.00</t>
  </si>
  <si>
    <t>48,249,921.64</t>
  </si>
  <si>
    <t>80,125.00</t>
  </si>
  <si>
    <t>124,634.00</t>
  </si>
  <si>
    <t>34,649,774.65</t>
  </si>
  <si>
    <t>961,520.00</t>
  </si>
  <si>
    <t>76,800.00</t>
  </si>
  <si>
    <t>59,600.00</t>
  </si>
  <si>
    <t>153,315.00</t>
  </si>
  <si>
    <t>220,510.00</t>
  </si>
  <si>
    <t>43,559,681.70</t>
  </si>
  <si>
    <t>916,980.00</t>
  </si>
  <si>
    <t>107,500.00</t>
  </si>
  <si>
    <t>229,000.00</t>
  </si>
  <si>
    <t>147,705.00</t>
  </si>
  <si>
    <t>100,000.87</t>
  </si>
  <si>
    <t>652,600.00</t>
  </si>
  <si>
    <t>336,000.00</t>
  </si>
  <si>
    <t>48,249,968.38</t>
  </si>
  <si>
    <t>122,344.08</t>
  </si>
  <si>
    <t>818,480.00</t>
  </si>
  <si>
    <t>84,700.00</t>
  </si>
  <si>
    <t>2,698,001.13</t>
  </si>
  <si>
    <t>48,249,928.12</t>
  </si>
  <si>
    <t>350,226.00</t>
  </si>
  <si>
    <t>1,152,847.89</t>
  </si>
  <si>
    <t>218,500.00</t>
  </si>
  <si>
    <t>65,075.00</t>
  </si>
  <si>
    <t>198,245.00</t>
  </si>
  <si>
    <t>193,948.50</t>
  </si>
  <si>
    <t>158,378.00</t>
  </si>
  <si>
    <t>75,000,000.00</t>
  </si>
  <si>
    <t>802,309.26</t>
  </si>
  <si>
    <t>225,705.00</t>
  </si>
  <si>
    <t>173,542.00</t>
  </si>
  <si>
    <t>96,499,979.16</t>
  </si>
  <si>
    <t>595,250.00</t>
  </si>
  <si>
    <t>76,078.00</t>
  </si>
  <si>
    <t>7,610.00</t>
  </si>
  <si>
    <t>251,236.00</t>
  </si>
  <si>
    <t>248,548.00</t>
  </si>
  <si>
    <t>68,250.00</t>
  </si>
  <si>
    <t>184,790.00</t>
  </si>
  <si>
    <t>123,949.00</t>
  </si>
  <si>
    <t>208,100.00</t>
  </si>
  <si>
    <t>59,700.00</t>
  </si>
  <si>
    <t>799,960.00</t>
  </si>
  <si>
    <t>51,420.00</t>
  </si>
  <si>
    <t>299,988.00</t>
  </si>
  <si>
    <t>377,900.00</t>
  </si>
  <si>
    <t>160,895.00</t>
  </si>
  <si>
    <t>102,279.30</t>
  </si>
  <si>
    <t>157,660.00</t>
  </si>
  <si>
    <t>8,674,000.00</t>
  </si>
  <si>
    <t>245,361.00</t>
  </si>
  <si>
    <t>500,440.10</t>
  </si>
  <si>
    <t>21,250.00</t>
  </si>
  <si>
    <t>249,825.00</t>
  </si>
  <si>
    <t>560,689.80</t>
  </si>
  <si>
    <t>319,980.94</t>
  </si>
  <si>
    <t>681,518.00</t>
  </si>
  <si>
    <t>22,961,210.00</t>
  </si>
  <si>
    <t>2,593,506.94</t>
  </si>
  <si>
    <t>5,400,000.00</t>
  </si>
  <si>
    <t>585,000.00</t>
  </si>
  <si>
    <t>106,385.00</t>
  </si>
  <si>
    <t>280,400.00</t>
  </si>
  <si>
    <t>799,209.81</t>
  </si>
  <si>
    <t>418,000.00</t>
  </si>
  <si>
    <t>159,600.00</t>
  </si>
  <si>
    <t>11,193,225.56</t>
  </si>
  <si>
    <t>10,131,705.27</t>
  </si>
  <si>
    <t>15,785,325.00</t>
  </si>
  <si>
    <t>1,071,587.50</t>
  </si>
  <si>
    <t>740,900.00</t>
  </si>
  <si>
    <t>36,790,625.00</t>
  </si>
  <si>
    <t>999,971.61</t>
  </si>
  <si>
    <t>48,218,988.16</t>
  </si>
  <si>
    <t>13,179,896.27</t>
  </si>
  <si>
    <t>13,203,130.00</t>
  </si>
  <si>
    <t>2,567,433.41</t>
  </si>
  <si>
    <t>124,580.00</t>
  </si>
  <si>
    <t>34,299,946.73</t>
  </si>
  <si>
    <t>127,100.00</t>
  </si>
  <si>
    <t>219,574.80</t>
  </si>
  <si>
    <t>1,995,289.40</t>
  </si>
  <si>
    <t>1,498,101.64</t>
  </si>
  <si>
    <t>85,236.80</t>
  </si>
  <si>
    <t>178,697.58</t>
  </si>
  <si>
    <t>250,720.00</t>
  </si>
  <si>
    <t>2,199,926.59</t>
  </si>
  <si>
    <t>1,999,934.71</t>
  </si>
  <si>
    <t>76,471.34</t>
  </si>
  <si>
    <t>2,995,450.00</t>
  </si>
  <si>
    <t>1,246,676.60</t>
  </si>
  <si>
    <t>159,465.26</t>
  </si>
  <si>
    <t>2,914,240.00</t>
  </si>
  <si>
    <t>1,499,076.00</t>
  </si>
  <si>
    <t>1,288,424.00</t>
  </si>
  <si>
    <t>43,258,694.00</t>
  </si>
  <si>
    <t>258,000.00</t>
  </si>
  <si>
    <t>13,105.00</t>
  </si>
  <si>
    <t>34,539,667.17</t>
  </si>
  <si>
    <t>70,678.00</t>
  </si>
  <si>
    <t>5,998,500.00</t>
  </si>
  <si>
    <t>85,500.00</t>
  </si>
  <si>
    <t>69,857,716.00</t>
  </si>
  <si>
    <t>2,494,427.05</t>
  </si>
  <si>
    <t>4,495,141.33</t>
  </si>
  <si>
    <t>180,274.77</t>
  </si>
  <si>
    <t>19,997,004.00</t>
  </si>
  <si>
    <t>257,860.00</t>
  </si>
  <si>
    <t>23,808,726.65</t>
  </si>
  <si>
    <t>400,800.00</t>
  </si>
  <si>
    <t>890,259.00</t>
  </si>
  <si>
    <t>496,048.20</t>
  </si>
  <si>
    <t>1,337,399.00</t>
  </si>
  <si>
    <t>99,995.00</t>
  </si>
  <si>
    <t>499,203.00</t>
  </si>
  <si>
    <t>7,052,873.82</t>
  </si>
  <si>
    <t>1,276,500.00</t>
  </si>
  <si>
    <t>53,413.30</t>
  </si>
  <si>
    <t>3,805,574.40</t>
  </si>
  <si>
    <t>2,094,000.00</t>
  </si>
  <si>
    <t>75,124.00</t>
  </si>
  <si>
    <t>7,530,411.00</t>
  </si>
  <si>
    <t>1,717,416.00</t>
  </si>
  <si>
    <t>386,500.00</t>
  </si>
  <si>
    <t>78,918.30</t>
  </si>
  <si>
    <t>8,817,681.60</t>
  </si>
  <si>
    <t>5,966,000.00</t>
  </si>
  <si>
    <t>335,317.00</t>
  </si>
  <si>
    <t>985,561.50</t>
  </si>
  <si>
    <t>4,564,000.00</t>
  </si>
  <si>
    <t>4,924,267.44</t>
  </si>
  <si>
    <t>240,199.00</t>
  </si>
  <si>
    <t>365,510.00</t>
  </si>
  <si>
    <t>1,276,950.00</t>
  </si>
  <si>
    <t>309,952.00</t>
  </si>
  <si>
    <t>797,715.50</t>
  </si>
  <si>
    <t>3,444,000.00</t>
  </si>
  <si>
    <t>6,412,100.00</t>
  </si>
  <si>
    <t>2,232,000.00</t>
  </si>
  <si>
    <t>457,280.00</t>
  </si>
  <si>
    <t>137,184.00</t>
  </si>
  <si>
    <t>714,980.88</t>
  </si>
  <si>
    <t>180,550.00</t>
  </si>
  <si>
    <t>5,355,400.00</t>
  </si>
  <si>
    <t>664,612.34</t>
  </si>
  <si>
    <t>990,290.00</t>
  </si>
  <si>
    <t>986,764.50</t>
  </si>
  <si>
    <t>76,803.75</t>
  </si>
  <si>
    <t>4,086,767.32</t>
  </si>
  <si>
    <t>2,861,645.00</t>
  </si>
  <si>
    <t>120,880.00</t>
  </si>
  <si>
    <t>6,372,215.02</t>
  </si>
  <si>
    <t>590,000.00</t>
  </si>
  <si>
    <t>1,999,999.15</t>
  </si>
  <si>
    <t>203,820.00</t>
  </si>
  <si>
    <t>1,721,404.67</t>
  </si>
  <si>
    <t>9,599,999.36</t>
  </si>
  <si>
    <t>1,493,000.00</t>
  </si>
  <si>
    <t>229,380.00</t>
  </si>
  <si>
    <t>7,900,000.00</t>
  </si>
  <si>
    <t>980,392.16</t>
  </si>
  <si>
    <t>29,796.40</t>
  </si>
  <si>
    <t>2,424,000.00</t>
  </si>
  <si>
    <t>19,000,000.00</t>
  </si>
  <si>
    <t>2,450,980.39</t>
  </si>
  <si>
    <t>166,844.00</t>
  </si>
  <si>
    <t>14,500,000.00</t>
  </si>
  <si>
    <t>41,000,000.00</t>
  </si>
  <si>
    <t>21,000,000.00</t>
  </si>
  <si>
    <t>349,733.00</t>
  </si>
  <si>
    <t>171,216.42</t>
  </si>
  <si>
    <t>408,222.83</t>
  </si>
  <si>
    <t>64,794.00</t>
  </si>
  <si>
    <t>104,194.55</t>
  </si>
  <si>
    <t>433,994.00</t>
  </si>
  <si>
    <t>39,200.00</t>
  </si>
  <si>
    <t>409,264.50</t>
  </si>
  <si>
    <t>784,313.73</t>
  </si>
  <si>
    <t>12,400,501.35</t>
  </si>
  <si>
    <t>33,588.00</t>
  </si>
  <si>
    <t>245,490.00</t>
  </si>
  <si>
    <t>67,217,640.94</t>
  </si>
  <si>
    <t>977,649.23</t>
  </si>
  <si>
    <t>622,800.00</t>
  </si>
  <si>
    <t>244,342.00</t>
  </si>
  <si>
    <t>84,529.00</t>
  </si>
  <si>
    <t>364,700.00</t>
  </si>
  <si>
    <t>67,222.00</t>
  </si>
  <si>
    <t>4,794,261.34</t>
  </si>
  <si>
    <t>474,625.00</t>
  </si>
  <si>
    <t>698,854.81</t>
  </si>
  <si>
    <t>1,934,916.29</t>
  </si>
  <si>
    <t>197,350.00</t>
  </si>
  <si>
    <t>499,450.00</t>
  </si>
  <si>
    <t>2,959,651.64</t>
  </si>
  <si>
    <t>5,038,142.11</t>
  </si>
  <si>
    <t>628,067.50</t>
  </si>
  <si>
    <t>186,200.00</t>
  </si>
  <si>
    <t>233,585.00</t>
  </si>
  <si>
    <t>113,039.00</t>
  </si>
  <si>
    <t>552,000.00</t>
  </si>
  <si>
    <t>3,483,299.56</t>
  </si>
  <si>
    <t>794,000.00</t>
  </si>
  <si>
    <t>1,429,958.65</t>
  </si>
  <si>
    <t>799,999.20</t>
  </si>
  <si>
    <t>1,418,486.31</t>
  </si>
  <si>
    <t>4,600,000.00</t>
  </si>
  <si>
    <t>2,724,359.43</t>
  </si>
  <si>
    <t>67,996.00</t>
  </si>
  <si>
    <t>3,429,968.79</t>
  </si>
  <si>
    <t>1,447,000.72</t>
  </si>
  <si>
    <t>14,958.00</t>
  </si>
  <si>
    <t>1,305,107.61</t>
  </si>
  <si>
    <t>499,447.51</t>
  </si>
  <si>
    <t>948,146.70</t>
  </si>
  <si>
    <t>66,400,000.00</t>
  </si>
  <si>
    <t>977,690.04</t>
  </si>
  <si>
    <t>1,441,500.00</t>
  </si>
  <si>
    <t>1,194,420.00</t>
  </si>
  <si>
    <t>156,751.00</t>
  </si>
  <si>
    <t>1,474,033.06</t>
  </si>
  <si>
    <t>426,043.28</t>
  </si>
  <si>
    <t>1,869,463.72</t>
  </si>
  <si>
    <t>4,465,227.23</t>
  </si>
  <si>
    <t>221,420.00</t>
  </si>
  <si>
    <t>260,514.40</t>
  </si>
  <si>
    <t>950,955.59</t>
  </si>
  <si>
    <t>171,553.00</t>
  </si>
  <si>
    <t>234,881.23</t>
  </si>
  <si>
    <t>234,616.09</t>
  </si>
  <si>
    <t>20,665.00</t>
  </si>
  <si>
    <t>1,922,420.74</t>
  </si>
  <si>
    <t>177,325.00</t>
  </si>
  <si>
    <t>998,525.44</t>
  </si>
  <si>
    <t>119,545.00</t>
  </si>
  <si>
    <t>65,300.00</t>
  </si>
  <si>
    <t>2,287,203.14</t>
  </si>
  <si>
    <t>142,690.00</t>
  </si>
  <si>
    <t>1,137,437.31</t>
  </si>
  <si>
    <t>936,000.00</t>
  </si>
  <si>
    <t>295,633.63</t>
  </si>
  <si>
    <t>3,429,990.04</t>
  </si>
  <si>
    <t>859,670.00</t>
  </si>
  <si>
    <t>399,900.91</t>
  </si>
  <si>
    <t>489,486.17</t>
  </si>
  <si>
    <t>10,987.00</t>
  </si>
  <si>
    <t>305,780.00</t>
  </si>
  <si>
    <t>63,700.00</t>
  </si>
  <si>
    <t>114,695.00</t>
  </si>
  <si>
    <t>50,003,405.00</t>
  </si>
  <si>
    <t>677,000.00</t>
  </si>
  <si>
    <t>446,820.00</t>
  </si>
  <si>
    <t>5,500.00</t>
  </si>
  <si>
    <t>774,000.00</t>
  </si>
  <si>
    <t>880,000.00</t>
  </si>
  <si>
    <t>311,655.00</t>
  </si>
  <si>
    <t>1,015,364.00</t>
  </si>
  <si>
    <t>4,849,106.22</t>
  </si>
  <si>
    <t>91,733.75</t>
  </si>
  <si>
    <t>355,000.00</t>
  </si>
  <si>
    <t>2,486,079.30</t>
  </si>
  <si>
    <t>1,082,379.89</t>
  </si>
  <si>
    <t>7,982,034.21</t>
  </si>
  <si>
    <t>2,897,988.60</t>
  </si>
  <si>
    <t>80,975.00</t>
  </si>
  <si>
    <t>180,175.00</t>
  </si>
  <si>
    <t>118,945.00</t>
  </si>
  <si>
    <t>87,396.46</t>
  </si>
  <si>
    <t>89,800.00</t>
  </si>
  <si>
    <t>189,500.00</t>
  </si>
  <si>
    <t>499,723.41</t>
  </si>
  <si>
    <t>210,520.00</t>
  </si>
  <si>
    <t>499,792.14</t>
  </si>
  <si>
    <t>22,550,000.00</t>
  </si>
  <si>
    <t>537,901.50</t>
  </si>
  <si>
    <t>2,000,019.00</t>
  </si>
  <si>
    <t>322,895.00</t>
  </si>
  <si>
    <t>249,928.06</t>
  </si>
  <si>
    <t>1,932,913.37</t>
  </si>
  <si>
    <t>743,396.00</t>
  </si>
  <si>
    <t>2,894,755.00</t>
  </si>
  <si>
    <t>356,000.00</t>
  </si>
  <si>
    <t>185,185.00</t>
  </si>
  <si>
    <t>201,500.00</t>
  </si>
  <si>
    <t>1,039,080.40</t>
  </si>
  <si>
    <t>146,750.00</t>
  </si>
  <si>
    <t>1,375,000.00</t>
  </si>
  <si>
    <t>104,055.94</t>
  </si>
  <si>
    <t>166,715.00</t>
  </si>
  <si>
    <t>431,356.80</t>
  </si>
  <si>
    <t>30,370.00</t>
  </si>
  <si>
    <t>4,161,210.00</t>
  </si>
  <si>
    <t>859,100.45</t>
  </si>
  <si>
    <t>166,655.00</t>
  </si>
  <si>
    <t>2,168,804.94</t>
  </si>
  <si>
    <t>1,653,690.01</t>
  </si>
  <si>
    <t>410,520.00</t>
  </si>
  <si>
    <t>159,907.80</t>
  </si>
  <si>
    <t>61,645.00</t>
  </si>
  <si>
    <t>1,324,915.00</t>
  </si>
  <si>
    <t>87,470.00</t>
  </si>
  <si>
    <t>885,913.25</t>
  </si>
  <si>
    <t>1,110,760.00</t>
  </si>
  <si>
    <t>277,700.00</t>
  </si>
  <si>
    <t>690,000.00</t>
  </si>
  <si>
    <t>117,625.00</t>
  </si>
  <si>
    <t>6,850,000.00</t>
  </si>
  <si>
    <t>33,300.00</t>
  </si>
  <si>
    <t>104,091.00</t>
  </si>
  <si>
    <t>345,173.00</t>
  </si>
  <si>
    <t>298,670.00</t>
  </si>
  <si>
    <t>83,588.00</t>
  </si>
  <si>
    <t>8,150,000.00</t>
  </si>
  <si>
    <t>86,818.00</t>
  </si>
  <si>
    <t>23,065.00</t>
  </si>
  <si>
    <t>12,899,334.56</t>
  </si>
  <si>
    <t>281,779.70</t>
  </si>
  <si>
    <t>111,150.00</t>
  </si>
  <si>
    <t>527,922.00</t>
  </si>
  <si>
    <t>549,920.00</t>
  </si>
  <si>
    <t>4,613,603.06</t>
  </si>
  <si>
    <t>89,199.94</t>
  </si>
  <si>
    <t>77,270.00</t>
  </si>
  <si>
    <t>119,500.00</t>
  </si>
  <si>
    <t>3,720,628.50</t>
  </si>
  <si>
    <t>29,968.00</t>
  </si>
  <si>
    <t>126,680.00</t>
  </si>
  <si>
    <t>225,987.00</t>
  </si>
  <si>
    <t>148,897.50</t>
  </si>
  <si>
    <t>61,615.00</t>
  </si>
  <si>
    <t>59,995,456.13</t>
  </si>
  <si>
    <t>1,035,659.01</t>
  </si>
  <si>
    <t>1,505,000.00</t>
  </si>
  <si>
    <t>62,062.00</t>
  </si>
  <si>
    <t>62,178.00</t>
  </si>
  <si>
    <t>377,200.00</t>
  </si>
  <si>
    <t>339,100.00</t>
  </si>
  <si>
    <t>519,200.00</t>
  </si>
  <si>
    <t>179,465.00</t>
  </si>
  <si>
    <t>75,705.00</t>
  </si>
  <si>
    <t>359,100.00</t>
  </si>
  <si>
    <t>13,800.00</t>
  </si>
  <si>
    <t>287,999.99</t>
  </si>
  <si>
    <t>5,861,250.00</t>
  </si>
  <si>
    <t>93,520.00</t>
  </si>
  <si>
    <t>36,701,943.92</t>
  </si>
  <si>
    <t>2,294,176.86</t>
  </si>
  <si>
    <t>378,300.00</t>
  </si>
  <si>
    <t>56,750.00</t>
  </si>
  <si>
    <t>659,500.00</t>
  </si>
  <si>
    <t>293,820.00</t>
  </si>
  <si>
    <t>75,437.50</t>
  </si>
  <si>
    <t>408,740.00</t>
  </si>
  <si>
    <t>48,500,464.77</t>
  </si>
  <si>
    <t>607,500.00</t>
  </si>
  <si>
    <t>733,255.50</t>
  </si>
  <si>
    <t>376,041.00</t>
  </si>
  <si>
    <t>267,786.00</t>
  </si>
  <si>
    <t>4,198,658.91</t>
  </si>
  <si>
    <t>581,304.00</t>
  </si>
  <si>
    <t>570,000.00</t>
  </si>
  <si>
    <t>1,068,850.00</t>
  </si>
  <si>
    <t>2,181,630.00</t>
  </si>
  <si>
    <t>2,639,000.00</t>
  </si>
  <si>
    <t>514,705.50</t>
  </si>
  <si>
    <t>146,240.00</t>
  </si>
  <si>
    <t>51,330.00</t>
  </si>
  <si>
    <t>1,553,130.00</t>
  </si>
  <si>
    <t>403,200.00</t>
  </si>
  <si>
    <t>667,129.00</t>
  </si>
  <si>
    <t>197,750.00</t>
  </si>
  <si>
    <t>1,982,215.59</t>
  </si>
  <si>
    <t>226,995.00</t>
  </si>
  <si>
    <t>250,126.93</t>
  </si>
  <si>
    <t>10,200.00</t>
  </si>
  <si>
    <t>244,200.00</t>
  </si>
  <si>
    <t>865,150.00</t>
  </si>
  <si>
    <t>551,559.51</t>
  </si>
  <si>
    <t>126,460.00</t>
  </si>
  <si>
    <t>2,640,000.00</t>
  </si>
  <si>
    <t>672,322.00</t>
  </si>
  <si>
    <t>916,900.00</t>
  </si>
  <si>
    <t>406,714.91</t>
  </si>
  <si>
    <t>498,290.00</t>
  </si>
  <si>
    <t>268,589.63</t>
  </si>
  <si>
    <t>10,800.00</t>
  </si>
  <si>
    <t>269,640.00</t>
  </si>
  <si>
    <t>13,320,785.43</t>
  </si>
  <si>
    <t>2,187,500.00</t>
  </si>
  <si>
    <t>599,382.00</t>
  </si>
  <si>
    <t>59,268.35</t>
  </si>
  <si>
    <t>52,941.34</t>
  </si>
  <si>
    <t>436,202.26</t>
  </si>
  <si>
    <t>333,900.00</t>
  </si>
  <si>
    <t>29,259,199.10</t>
  </si>
  <si>
    <t>228,208.75</t>
  </si>
  <si>
    <t>4,949,854.12</t>
  </si>
  <si>
    <t>2,999,141.66</t>
  </si>
  <si>
    <t>99,675.00</t>
  </si>
  <si>
    <t>1,291,611.00</t>
  </si>
  <si>
    <t>6,875.00</t>
  </si>
  <si>
    <t>697,164.63</t>
  </si>
  <si>
    <t>384,020.00</t>
  </si>
  <si>
    <t>805,544.39</t>
  </si>
  <si>
    <t>924,952.05</t>
  </si>
  <si>
    <t>997,803.79</t>
  </si>
  <si>
    <t>873,620.00</t>
  </si>
  <si>
    <t>866,010.00</t>
  </si>
  <si>
    <t>170,964.94</t>
  </si>
  <si>
    <t>156,458.33</t>
  </si>
  <si>
    <t>52,280.00</t>
  </si>
  <si>
    <t>192,197.91</t>
  </si>
  <si>
    <t>1,998,000.00</t>
  </si>
  <si>
    <t>18,200.00</t>
  </si>
  <si>
    <t>2,373,851.00</t>
  </si>
  <si>
    <t>227,540.00</t>
  </si>
  <si>
    <t>263,961.00</t>
  </si>
  <si>
    <t>458,985.00</t>
  </si>
  <si>
    <t>1,639,761.93</t>
  </si>
  <si>
    <t>2,910,000.00</t>
  </si>
  <si>
    <t>295,600.00</t>
  </si>
  <si>
    <t>499,933.00</t>
  </si>
  <si>
    <t>543,685.00</t>
  </si>
  <si>
    <t>60,270.00</t>
  </si>
  <si>
    <t>235,704.00</t>
  </si>
  <si>
    <t>127,000.00</t>
  </si>
  <si>
    <t>163,100.00</t>
  </si>
  <si>
    <t>19,790.00</t>
  </si>
  <si>
    <t>999,935.00</t>
  </si>
  <si>
    <t>290,859.00</t>
  </si>
  <si>
    <t>249,280.00</t>
  </si>
  <si>
    <t>152,590.00</t>
  </si>
  <si>
    <t>179,691.70</t>
  </si>
  <si>
    <t>1,305,185.00</t>
  </si>
  <si>
    <t>28,210.00</t>
  </si>
  <si>
    <t>497,391.12</t>
  </si>
  <si>
    <t>3,677,650.00</t>
  </si>
  <si>
    <t>4,191,600.00</t>
  </si>
  <si>
    <t>352,540.00</t>
  </si>
  <si>
    <t>159,478.50</t>
  </si>
  <si>
    <t>2,014,900.00</t>
  </si>
  <si>
    <t>1,695,000.00</t>
  </si>
  <si>
    <t>154,500.00</t>
  </si>
  <si>
    <t>998,997.51</t>
  </si>
  <si>
    <t>155,880.00</t>
  </si>
  <si>
    <t>1,683,230.00</t>
  </si>
  <si>
    <t>499,977.16</t>
  </si>
  <si>
    <t>498,573.86</t>
  </si>
  <si>
    <t>2,989,680.00</t>
  </si>
  <si>
    <t>582,000.00</t>
  </si>
  <si>
    <t>1,842,032.59</t>
  </si>
  <si>
    <t>4,932,565.30</t>
  </si>
  <si>
    <t>2,950,700.97</t>
  </si>
  <si>
    <t>1,227,950.00</t>
  </si>
  <si>
    <t>799,820.00</t>
  </si>
  <si>
    <t>29,000.00</t>
  </si>
  <si>
    <t>606,730.00</t>
  </si>
  <si>
    <t>489,300.00</t>
  </si>
  <si>
    <t>1,369,900.00</t>
  </si>
  <si>
    <t>87,600.00</t>
  </si>
  <si>
    <t>290,178.00</t>
  </si>
  <si>
    <t>1,998,858.95</t>
  </si>
  <si>
    <t>405,215.00</t>
  </si>
  <si>
    <t>2,930,369.38</t>
  </si>
  <si>
    <t>162,850.00</t>
  </si>
  <si>
    <t>281,345.30</t>
  </si>
  <si>
    <t>2,998,884.70</t>
  </si>
  <si>
    <t>158,566.22</t>
  </si>
  <si>
    <t>4,499,999.25</t>
  </si>
  <si>
    <t>681,635.00</t>
  </si>
  <si>
    <t>117,570.00</t>
  </si>
  <si>
    <t>404,215.00</t>
  </si>
  <si>
    <t>495,877.03</t>
  </si>
  <si>
    <t>22,700.00</t>
  </si>
  <si>
    <t>1,282,000.00</t>
  </si>
  <si>
    <t>81,100.00</t>
  </si>
  <si>
    <t>151,300.00</t>
  </si>
  <si>
    <t>2,946,195.24</t>
  </si>
  <si>
    <t>817,467.00</t>
  </si>
  <si>
    <t>1,955,159.11</t>
  </si>
  <si>
    <t>195,795.00</t>
  </si>
  <si>
    <t>533,494.54</t>
  </si>
  <si>
    <t>172,386.00</t>
  </si>
  <si>
    <t>1,951,181.92</t>
  </si>
  <si>
    <t>164,150.00</t>
  </si>
  <si>
    <t>482,820.00</t>
  </si>
  <si>
    <t>2,946,063.60</t>
  </si>
  <si>
    <t>458,970.00</t>
  </si>
  <si>
    <t>12,850.00</t>
  </si>
  <si>
    <t>410,000.00</t>
  </si>
  <si>
    <t>142,350.00</t>
  </si>
  <si>
    <t>793,372.00</t>
  </si>
  <si>
    <t>6,520,020.00</t>
  </si>
  <si>
    <t>126,400.00</t>
  </si>
  <si>
    <t>197,988.36</t>
  </si>
  <si>
    <t>7,000,605.00</t>
  </si>
  <si>
    <t>3,999,926.45</t>
  </si>
  <si>
    <t>61,500.00</t>
  </si>
  <si>
    <t>104,090.00</t>
  </si>
  <si>
    <t>179,537.00</t>
  </si>
  <si>
    <t>36,075.00</t>
  </si>
  <si>
    <t>108,150.00</t>
  </si>
  <si>
    <t>48,150.00</t>
  </si>
  <si>
    <t>979,240.00</t>
  </si>
  <si>
    <t>477,819.45</t>
  </si>
  <si>
    <t>12,570.00</t>
  </si>
  <si>
    <t>89,492.99</t>
  </si>
  <si>
    <t>5,220,410.60</t>
  </si>
  <si>
    <t>57,703.70</t>
  </si>
  <si>
    <t>51,150.00</t>
  </si>
  <si>
    <t>58,590.00</t>
  </si>
  <si>
    <t>17,498.17</t>
  </si>
  <si>
    <t>114,060.00</t>
  </si>
  <si>
    <t>140,023.00</t>
  </si>
  <si>
    <t>1,603,190.00</t>
  </si>
  <si>
    <t>825.00</t>
  </si>
  <si>
    <t>892,003.00</t>
  </si>
  <si>
    <t>288,572.40</t>
  </si>
  <si>
    <t>990,416.00</t>
  </si>
  <si>
    <t>162,415.50</t>
  </si>
  <si>
    <t>704,721.24</t>
  </si>
  <si>
    <t>132,060.00</t>
  </si>
  <si>
    <t>1,086,000.00</t>
  </si>
  <si>
    <t>68,695.00</t>
  </si>
  <si>
    <t>327,000.00</t>
  </si>
  <si>
    <t>133,846.50</t>
  </si>
  <si>
    <t>979,989.15</t>
  </si>
  <si>
    <t>192,890.00</t>
  </si>
  <si>
    <t>526,200.00</t>
  </si>
  <si>
    <t>24,625.00</t>
  </si>
  <si>
    <t>3,050,791.38</t>
  </si>
  <si>
    <t>637,820.04</t>
  </si>
  <si>
    <t>5,667.00</t>
  </si>
  <si>
    <t>308,597.58</t>
  </si>
  <si>
    <t>306,890.00</t>
  </si>
  <si>
    <t>1,499,925.33</t>
  </si>
  <si>
    <t>28,419.12</t>
  </si>
  <si>
    <t>1,479,996.00</t>
  </si>
  <si>
    <t>244,040.00</t>
  </si>
  <si>
    <t>69,385.00</t>
  </si>
  <si>
    <t>549,000.00</t>
  </si>
  <si>
    <t>69,560.00</t>
  </si>
  <si>
    <t>28,696,958.00</t>
  </si>
  <si>
    <t>1,999,962.50</t>
  </si>
  <si>
    <t>199,792.49</t>
  </si>
  <si>
    <t>69,990.00</t>
  </si>
  <si>
    <t>911,070.00</t>
  </si>
  <si>
    <t>930,724.00</t>
  </si>
  <si>
    <t>138,900.00</t>
  </si>
  <si>
    <t>797,634.97</t>
  </si>
  <si>
    <t>920,057.00</t>
  </si>
  <si>
    <t>278,700.00</t>
  </si>
  <si>
    <t>1,386,004.00</t>
  </si>
  <si>
    <t>494,800.00</t>
  </si>
  <si>
    <t>663,000.00</t>
  </si>
  <si>
    <t>178,730.00</t>
  </si>
  <si>
    <t>178,490.00</t>
  </si>
  <si>
    <t>615,025.00</t>
  </si>
  <si>
    <t>5,718,374.31</t>
  </si>
  <si>
    <t>175,100.00</t>
  </si>
  <si>
    <t>749,889.04</t>
  </si>
  <si>
    <t>859,648.00</t>
  </si>
  <si>
    <t>9,694,545.45</t>
  </si>
  <si>
    <t>123,875.00</t>
  </si>
  <si>
    <t>5,562,179.76</t>
  </si>
  <si>
    <t>278,230.00</t>
  </si>
  <si>
    <t>230,100.00</t>
  </si>
  <si>
    <t>266,156.10</t>
  </si>
  <si>
    <t>19,880.00</t>
  </si>
  <si>
    <t>893,000.00</t>
  </si>
  <si>
    <t>3,152,390.30</t>
  </si>
  <si>
    <t>57,600.00</t>
  </si>
  <si>
    <t>338,400.00</t>
  </si>
  <si>
    <t>16,275.00</t>
  </si>
  <si>
    <t>183,500.00</t>
  </si>
  <si>
    <t>5,670,811.24</t>
  </si>
  <si>
    <t>172,500.00</t>
  </si>
  <si>
    <t>249,879.89</t>
  </si>
  <si>
    <t>100,620.00</t>
  </si>
  <si>
    <t>312,500.00</t>
  </si>
  <si>
    <t>318,534.00</t>
  </si>
  <si>
    <t>176,709.65</t>
  </si>
  <si>
    <t>73,400.00</t>
  </si>
  <si>
    <t>92,090.00</t>
  </si>
  <si>
    <t>73,380.00</t>
  </si>
  <si>
    <t>137,900.00</t>
  </si>
  <si>
    <t>33,550.00</t>
  </si>
  <si>
    <t>39,892,712.83</t>
  </si>
  <si>
    <t>486,860.00</t>
  </si>
  <si>
    <t>23,910.00</t>
  </si>
  <si>
    <t>28,670.00</t>
  </si>
  <si>
    <t>92,858.00</t>
  </si>
  <si>
    <t>903,608.12</t>
  </si>
  <si>
    <t>999,287.45</t>
  </si>
  <si>
    <t>647,184.00</t>
  </si>
  <si>
    <t>1,249,693.50</t>
  </si>
  <si>
    <t>96,412.57</t>
  </si>
  <si>
    <t>1,466,552.69</t>
  </si>
  <si>
    <t>319,838.33</t>
  </si>
  <si>
    <t>2,048,000.00</t>
  </si>
  <si>
    <t>2,442,970.00</t>
  </si>
  <si>
    <t>299,522.46</t>
  </si>
  <si>
    <t>82,797.00</t>
  </si>
  <si>
    <t>204,519.51</t>
  </si>
  <si>
    <t>521,650.00</t>
  </si>
  <si>
    <t>52,378.00</t>
  </si>
  <si>
    <t>69,725.00</t>
  </si>
  <si>
    <t>1,441,000.00</t>
  </si>
  <si>
    <t>125,910.00</t>
  </si>
  <si>
    <t>11,165,000.00</t>
  </si>
  <si>
    <t>50,725.00</t>
  </si>
  <si>
    <t>47,671,375.00</t>
  </si>
  <si>
    <t>1,212,000.00</t>
  </si>
  <si>
    <t>249,000.00</t>
  </si>
  <si>
    <t>8,145,490.80</t>
  </si>
  <si>
    <t>23,449.50</t>
  </si>
  <si>
    <t>2,967,865.64</t>
  </si>
  <si>
    <t>484,849.75</t>
  </si>
  <si>
    <t>14,999,080.90</t>
  </si>
  <si>
    <t>2,401,778.06</t>
  </si>
  <si>
    <t>10,965.00</t>
  </si>
  <si>
    <t>1,556,775.00</t>
  </si>
  <si>
    <t>17,492,883.00</t>
  </si>
  <si>
    <t>226,380.00</t>
  </si>
  <si>
    <t>222,512.00</t>
  </si>
  <si>
    <t>56,060.00</t>
  </si>
  <si>
    <t>36,150.00</t>
  </si>
  <si>
    <t>627,000.00</t>
  </si>
  <si>
    <t>51,750.00</t>
  </si>
  <si>
    <t>3,086,256.00</t>
  </si>
  <si>
    <t>1,260,000.00</t>
  </si>
  <si>
    <t>17,432,899.19</t>
  </si>
  <si>
    <t>60,950.00</t>
  </si>
  <si>
    <t>407,550.00</t>
  </si>
  <si>
    <t>499,920.77</t>
  </si>
  <si>
    <t>967,285.00</t>
  </si>
  <si>
    <t>3,899,025.03</t>
  </si>
  <si>
    <t>210,279.00</t>
  </si>
  <si>
    <t>121,300.00</t>
  </si>
  <si>
    <t>4,476,346.00</t>
  </si>
  <si>
    <t>8,655,000.00</t>
  </si>
  <si>
    <t>1,190,427.92</t>
  </si>
  <si>
    <t>190,377.00</t>
  </si>
  <si>
    <t>274,120.00</t>
  </si>
  <si>
    <t>2,110,000.00</t>
  </si>
  <si>
    <t>19,440,000.00</t>
  </si>
  <si>
    <t>249,772.95</t>
  </si>
  <si>
    <t>155,757.00</t>
  </si>
  <si>
    <t>1,264,247,622.67</t>
  </si>
  <si>
    <t>413,000.00</t>
  </si>
  <si>
    <t>9,600,000.00</t>
  </si>
  <si>
    <t>2,139,820.00</t>
  </si>
  <si>
    <t>11,816,600.00</t>
  </si>
  <si>
    <t>4,999,662.30</t>
  </si>
  <si>
    <t>9,662,376.44</t>
  </si>
  <si>
    <t>251,735.00</t>
  </si>
  <si>
    <t>899,800.00</t>
  </si>
  <si>
    <t>1,383,131.78</t>
  </si>
  <si>
    <t>80,616.00</t>
  </si>
  <si>
    <t>2,997,131.29</t>
  </si>
  <si>
    <t>331,500.00</t>
  </si>
  <si>
    <t>328,850.00</t>
  </si>
  <si>
    <t>93,015.00</t>
  </si>
  <si>
    <t>3,385,000.00</t>
  </si>
  <si>
    <t>65,126.00</t>
  </si>
  <si>
    <t>102,796.00</t>
  </si>
  <si>
    <t>287,723,710.80</t>
  </si>
  <si>
    <t>2,999,535.49</t>
  </si>
  <si>
    <t>3,882,000.00</t>
  </si>
  <si>
    <t>68,632.70</t>
  </si>
  <si>
    <t>940,546.00</t>
  </si>
  <si>
    <t>890,262.00</t>
  </si>
  <si>
    <t>62,100.00</t>
  </si>
  <si>
    <t>1,488,034.90</t>
  </si>
  <si>
    <t>96,462.50</t>
  </si>
  <si>
    <t>855,300.00</t>
  </si>
  <si>
    <t>4,713,600.00</t>
  </si>
  <si>
    <t>4,875,613.88</t>
  </si>
  <si>
    <t>279,919.65</t>
  </si>
  <si>
    <t>4,984,881.11</t>
  </si>
  <si>
    <t>631,700.00</t>
  </si>
  <si>
    <t>733,665.00</t>
  </si>
  <si>
    <t>3,499,812.75</t>
  </si>
  <si>
    <t>253,634.00</t>
  </si>
  <si>
    <t>4,998,879.04</t>
  </si>
  <si>
    <t>531,500.00</t>
  </si>
  <si>
    <t>255,826,933.76</t>
  </si>
  <si>
    <t>637,449.50</t>
  </si>
  <si>
    <t>39,980.00</t>
  </si>
  <si>
    <t>255,369,933.76</t>
  </si>
  <si>
    <t>40,065.65</t>
  </si>
  <si>
    <t>559,351.86</t>
  </si>
  <si>
    <t>3,175,265.75</t>
  </si>
  <si>
    <t>160,014.00</t>
  </si>
  <si>
    <t>120,800.00</t>
  </si>
  <si>
    <t>573,628.56</t>
  </si>
  <si>
    <t>895,392.19</t>
  </si>
  <si>
    <t>15,812,000.00</t>
  </si>
  <si>
    <t>913,253.00</t>
  </si>
  <si>
    <t>195,458.67</t>
  </si>
  <si>
    <t>162,315.00</t>
  </si>
  <si>
    <t>2,996,882.91</t>
  </si>
  <si>
    <t>793,968.00</t>
  </si>
  <si>
    <t>395,190.00</t>
  </si>
  <si>
    <t>138,175.70</t>
  </si>
  <si>
    <t>188,190.00</t>
  </si>
  <si>
    <t>3,770,300.00</t>
  </si>
  <si>
    <t>6,375,000.00</t>
  </si>
  <si>
    <t>21,670.00</t>
  </si>
  <si>
    <t>2,060,000.00</t>
  </si>
  <si>
    <t>278,565.00</t>
  </si>
  <si>
    <t>281,820.00</t>
  </si>
  <si>
    <t>266,448.00</t>
  </si>
  <si>
    <t>18,513,820.73</t>
  </si>
  <si>
    <t>52,871.64</t>
  </si>
  <si>
    <t>8,243,500.00</t>
  </si>
  <si>
    <t>61,821.46</t>
  </si>
  <si>
    <t>210,750.00</t>
  </si>
  <si>
    <t>186,185.00</t>
  </si>
  <si>
    <t>458,129.00</t>
  </si>
  <si>
    <t>84,750.00</t>
  </si>
  <si>
    <t>216,600.00</t>
  </si>
  <si>
    <t>530,642.86</t>
  </si>
  <si>
    <t>43,500,000.00</t>
  </si>
  <si>
    <t>3,618,184.84</t>
  </si>
  <si>
    <t>1,002,233.29</t>
  </si>
  <si>
    <t>1,429,311.00</t>
  </si>
  <si>
    <t>210,650.00</t>
  </si>
  <si>
    <t>249,960.00</t>
  </si>
  <si>
    <t>490,041.00</t>
  </si>
  <si>
    <t>4,899,400.00</t>
  </si>
  <si>
    <t>473,000.00</t>
  </si>
  <si>
    <t>1,699,978.83</t>
  </si>
  <si>
    <t>93,900.00</t>
  </si>
  <si>
    <t>89,086.00</t>
  </si>
  <si>
    <t>2,499,320.41</t>
  </si>
  <si>
    <t>1,011,405.00</t>
  </si>
  <si>
    <t>6,075,320.99</t>
  </si>
  <si>
    <t>4,052,653.50</t>
  </si>
  <si>
    <t>634,971.75</t>
  </si>
  <si>
    <t>157,931,568.90</t>
  </si>
  <si>
    <t>6,859,979.01</t>
  </si>
  <si>
    <t>245,070.00</t>
  </si>
  <si>
    <t>297,600.00</t>
  </si>
  <si>
    <t>55,445.00</t>
  </si>
  <si>
    <t>1,665,021.31</t>
  </si>
  <si>
    <t>79,200,000.00</t>
  </si>
  <si>
    <t>2,302,956.08</t>
  </si>
  <si>
    <t>278,430.00</t>
  </si>
  <si>
    <t>29,399,054.22</t>
  </si>
  <si>
    <t>61,055.00</t>
  </si>
  <si>
    <t>71,904.00</t>
  </si>
  <si>
    <t>19,599,500.05</t>
  </si>
  <si>
    <t>323,900.00</t>
  </si>
  <si>
    <t>250,225.00</t>
  </si>
  <si>
    <t>130,881.20</t>
  </si>
  <si>
    <t>224,791.12</t>
  </si>
  <si>
    <t>72,165.00</t>
  </si>
  <si>
    <t>48,999,560.74</t>
  </si>
  <si>
    <t>616,660.00</t>
  </si>
  <si>
    <t>135,600.00</t>
  </si>
  <si>
    <t>194,350.00</t>
  </si>
  <si>
    <t>73,850.00</t>
  </si>
  <si>
    <t>999,512.57</t>
  </si>
  <si>
    <t>68,970.00</t>
  </si>
  <si>
    <t>190,850.00</t>
  </si>
  <si>
    <t>898,939.88</t>
  </si>
  <si>
    <t>301,300.00</t>
  </si>
  <si>
    <t>49,492,416.40</t>
  </si>
  <si>
    <t>69,860.00</t>
  </si>
  <si>
    <t>2,494,485.65</t>
  </si>
  <si>
    <t>318,000.00</t>
  </si>
  <si>
    <t>39,199,719.36</t>
  </si>
  <si>
    <t>1,560,000.00</t>
  </si>
  <si>
    <t>14,399,543.82</t>
  </si>
  <si>
    <t>65,230.00</t>
  </si>
  <si>
    <t>105,804.95</t>
  </si>
  <si>
    <t>25,325.00</t>
  </si>
  <si>
    <t>19,600.00</t>
  </si>
  <si>
    <t>269,325.00</t>
  </si>
  <si>
    <t>401,373.00</t>
  </si>
  <si>
    <t>430,994.00</t>
  </si>
  <si>
    <t>15,751.00</t>
  </si>
  <si>
    <t>4,999,476.35</t>
  </si>
  <si>
    <t>135,135.00</t>
  </si>
  <si>
    <t>10,500,000.00</t>
  </si>
  <si>
    <t>1,263,700.00</t>
  </si>
  <si>
    <t>115,920.00</t>
  </si>
  <si>
    <t>794,436.56</t>
  </si>
  <si>
    <t>499,681.88</t>
  </si>
  <si>
    <t>299,904.58</t>
  </si>
  <si>
    <t>20,475.00</t>
  </si>
  <si>
    <t>42,092.00</t>
  </si>
  <si>
    <t>499,791.60</t>
  </si>
  <si>
    <t>1,826,748.39</t>
  </si>
  <si>
    <t>497,302.78</t>
  </si>
  <si>
    <t>2,760,000.00</t>
  </si>
  <si>
    <t>88,650.00</t>
  </si>
  <si>
    <t>67,975.00</t>
  </si>
  <si>
    <t>552,200.00</t>
  </si>
  <si>
    <t>5,825,170.77</t>
  </si>
  <si>
    <t>13,400,000.00</t>
  </si>
  <si>
    <t>1,970,000.00</t>
  </si>
  <si>
    <t>5,335,125.00</t>
  </si>
  <si>
    <t>6,965,024.00</t>
  </si>
  <si>
    <t>8,520,930.00</t>
  </si>
  <si>
    <t>1,711,458.41</t>
  </si>
  <si>
    <t>2,405,000.00</t>
  </si>
  <si>
    <t>2,053,222.00</t>
  </si>
  <si>
    <t>3,365,898.90</t>
  </si>
  <si>
    <t>180,373.00</t>
  </si>
  <si>
    <t>25,680,000.00</t>
  </si>
  <si>
    <t>9,150,000.00</t>
  </si>
  <si>
    <t>3,812,953.94</t>
  </si>
  <si>
    <t>3,422,770.00</t>
  </si>
  <si>
    <t>155,625.00</t>
  </si>
  <si>
    <t>1,457,757.12</t>
  </si>
  <si>
    <t>5,921,475.60</t>
  </si>
  <si>
    <t>3,429,806.46</t>
  </si>
  <si>
    <t>449,906.00</t>
  </si>
  <si>
    <t>919,100.00</t>
  </si>
  <si>
    <t>950,920.00</t>
  </si>
  <si>
    <t>2,074,495.50</t>
  </si>
  <si>
    <t>5,772,369.05</t>
  </si>
  <si>
    <t>7,625,907.88</t>
  </si>
  <si>
    <t>1,032,667.88</t>
  </si>
  <si>
    <t>799,100.00</t>
  </si>
  <si>
    <t>299,848.17</t>
  </si>
  <si>
    <t>1,020,733.13</t>
  </si>
  <si>
    <t>8,130,000.00</t>
  </si>
  <si>
    <t>143,220.00</t>
  </si>
  <si>
    <t>1,995,085.00</t>
  </si>
  <si>
    <t>847,000.00</t>
  </si>
  <si>
    <t>5,431,650.00</t>
  </si>
  <si>
    <t>3,414,000.00</t>
  </si>
  <si>
    <t>8,289,000.00</t>
  </si>
  <si>
    <t>7,842,000.00</t>
  </si>
  <si>
    <t>282,000.00</t>
  </si>
  <si>
    <t>605,030.00</t>
  </si>
  <si>
    <t>9,820,000.00</t>
  </si>
  <si>
    <t>106,400.00</t>
  </si>
  <si>
    <t>225,580.00</t>
  </si>
  <si>
    <t>504,000.00</t>
  </si>
  <si>
    <t>5,554,000.00</t>
  </si>
  <si>
    <t>384,564.60</t>
  </si>
  <si>
    <t>478,200.00</t>
  </si>
  <si>
    <t>1,491,783.30</t>
  </si>
  <si>
    <t>135,681.00</t>
  </si>
  <si>
    <t>22,830,492.70</t>
  </si>
  <si>
    <t>207,100.00</t>
  </si>
  <si>
    <t>212,467.27</t>
  </si>
  <si>
    <t>199,471.79</t>
  </si>
  <si>
    <t>5,401,000.00</t>
  </si>
  <si>
    <t>193,000,000.00</t>
  </si>
  <si>
    <t>1,999,470.00</t>
  </si>
  <si>
    <t>446,800.00</t>
  </si>
  <si>
    <t>908,700.00</t>
  </si>
  <si>
    <t>261,000.00</t>
  </si>
  <si>
    <t>250,120.00</t>
  </si>
  <si>
    <t>1,745,000.00</t>
  </si>
  <si>
    <t>243,310.00</t>
  </si>
  <si>
    <t>137,387.79</t>
  </si>
  <si>
    <t>915,080.00</t>
  </si>
  <si>
    <t>507,489.02</t>
  </si>
  <si>
    <t>290,999.03</t>
  </si>
  <si>
    <t>532,440.00</t>
  </si>
  <si>
    <t>794,182.00</t>
  </si>
  <si>
    <t>284,750.00</t>
  </si>
  <si>
    <t>290,996.90</t>
  </si>
  <si>
    <t>170,693.50</t>
  </si>
  <si>
    <t>431,075,150.00</t>
  </si>
  <si>
    <t>492,053,500.00</t>
  </si>
  <si>
    <t>482,500,000.00</t>
  </si>
  <si>
    <t>618,000.00</t>
  </si>
  <si>
    <t>705,173.00</t>
  </si>
  <si>
    <t>361,875,000.00</t>
  </si>
  <si>
    <t>749,893.21</t>
  </si>
  <si>
    <t>2,499,998.00</t>
  </si>
  <si>
    <t>2,043,334.70</t>
  </si>
  <si>
    <t>499,996.17</t>
  </si>
  <si>
    <t>299,987.88</t>
  </si>
  <si>
    <t>289,500,000.00</t>
  </si>
  <si>
    <t>298,993,670.00</t>
  </si>
  <si>
    <t>272,950.00</t>
  </si>
  <si>
    <t>675,473.14</t>
  </si>
  <si>
    <t>280,795,700.00</t>
  </si>
  <si>
    <t>382,825,150.00</t>
  </si>
  <si>
    <t>630,413.06</t>
  </si>
  <si>
    <t>694,020.00</t>
  </si>
  <si>
    <t>976,840.09</t>
  </si>
  <si>
    <t>8,498,698.32</t>
  </si>
  <si>
    <t>45,000,000.00</t>
  </si>
  <si>
    <t>390,825,000.00</t>
  </si>
  <si>
    <t>1,999,850.00</t>
  </si>
  <si>
    <t>13,498,528.82</t>
  </si>
  <si>
    <t>189,630.00</t>
  </si>
  <si>
    <t>5,989,870.51</t>
  </si>
  <si>
    <t>13,497,972.61</t>
  </si>
  <si>
    <t>67,495.00</t>
  </si>
  <si>
    <t>9,989,474.82</t>
  </si>
  <si>
    <t>46,250.00</t>
  </si>
  <si>
    <t>20,812,518.12</t>
  </si>
  <si>
    <t>608,000.00</t>
  </si>
  <si>
    <t>7,497,552.75</t>
  </si>
  <si>
    <t>339,000.00</t>
  </si>
  <si>
    <t>2,334,842.40</t>
  </si>
  <si>
    <t>615,000.00</t>
  </si>
  <si>
    <t>936,294.50</t>
  </si>
  <si>
    <t>2,818,868.00</t>
  </si>
  <si>
    <t>434,600.00</t>
  </si>
  <si>
    <t>600,680.00</t>
  </si>
  <si>
    <t>9,989,806.52</t>
  </si>
  <si>
    <t>257,745.00</t>
  </si>
  <si>
    <t>9,989,744.50</t>
  </si>
  <si>
    <t>4,989,794.65</t>
  </si>
  <si>
    <t>2,680,000.00</t>
  </si>
  <si>
    <t>13,498,752.22</t>
  </si>
  <si>
    <t>502,500.00</t>
  </si>
  <si>
    <t>370,252.72</t>
  </si>
  <si>
    <t>9,989,993.80</t>
  </si>
  <si>
    <t>579,937.80</t>
  </si>
  <si>
    <t>5,498,543.86</t>
  </si>
  <si>
    <t>5,970,000.00</t>
  </si>
  <si>
    <t>413,888,500.00</t>
  </si>
  <si>
    <t>116,680.00</t>
  </si>
  <si>
    <t>122,525.00</t>
  </si>
  <si>
    <t>151,592.94</t>
  </si>
  <si>
    <t>116,055.00</t>
  </si>
  <si>
    <t>811,405.00</t>
  </si>
  <si>
    <t>1,338,660.00</t>
  </si>
  <si>
    <t>45,550.00</t>
  </si>
  <si>
    <t>746,852.00</t>
  </si>
  <si>
    <t>838,112.88</t>
  </si>
  <si>
    <t>158,174.00</t>
  </si>
  <si>
    <t>1,968,139.45</t>
  </si>
  <si>
    <t>499,950.00</t>
  </si>
  <si>
    <t>979,929.83</t>
  </si>
  <si>
    <t>1,485,069.68</t>
  </si>
  <si>
    <t>9,491,304.70</t>
  </si>
  <si>
    <t>133,360.00</t>
  </si>
  <si>
    <t>1,468,393.66</t>
  </si>
  <si>
    <t>3,675,000.00</t>
  </si>
  <si>
    <t>37,000,000.00</t>
  </si>
  <si>
    <t>3,608,090.04</t>
  </si>
  <si>
    <t>4,999,032.16</t>
  </si>
  <si>
    <t>702,175.00</t>
  </si>
  <si>
    <t>616,049.76</t>
  </si>
  <si>
    <t>1,590,662.79</t>
  </si>
  <si>
    <t>28,688.00</t>
  </si>
  <si>
    <t>1,828,498.50</t>
  </si>
  <si>
    <t>540,153.87</t>
  </si>
  <si>
    <t>138,211.80</t>
  </si>
  <si>
    <t>593,140.00</t>
  </si>
  <si>
    <t>1,741,932.00</t>
  </si>
  <si>
    <t>33,560.00</t>
  </si>
  <si>
    <t>65,704.10</t>
  </si>
  <si>
    <t>193,000.00</t>
  </si>
  <si>
    <t>2,999,938.17</t>
  </si>
  <si>
    <t>10,283,752.00</t>
  </si>
  <si>
    <t>1,153,554.00</t>
  </si>
  <si>
    <t>66,907.00</t>
  </si>
  <si>
    <t>257,982.00</t>
  </si>
  <si>
    <t>873,500.00</t>
  </si>
  <si>
    <t>136,725.00</t>
  </si>
  <si>
    <t>137,711.00</t>
  </si>
  <si>
    <t>180,075.50</t>
  </si>
  <si>
    <t>117,509.00</t>
  </si>
  <si>
    <t>69,660.00</t>
  </si>
  <si>
    <t>1,991,506.36</t>
  </si>
  <si>
    <t>18,425,896.00</t>
  </si>
  <si>
    <t>41,362.00</t>
  </si>
  <si>
    <t>138,085.37</t>
  </si>
  <si>
    <t>337,400.00</t>
  </si>
  <si>
    <t>702,365.85</t>
  </si>
  <si>
    <t>85,412.80</t>
  </si>
  <si>
    <t>552,196.00</t>
  </si>
  <si>
    <t>164,130.00</t>
  </si>
  <si>
    <t>158,203.00</t>
  </si>
  <si>
    <t>69,605.00</t>
  </si>
  <si>
    <t>1,129,182.00</t>
  </si>
  <si>
    <t>1,075,000.00</t>
  </si>
  <si>
    <t>146,640.00</t>
  </si>
  <si>
    <t>768,000.00</t>
  </si>
  <si>
    <t>2,111,220.00</t>
  </si>
  <si>
    <t>132,254.00</t>
  </si>
  <si>
    <t>21,425.00</t>
  </si>
  <si>
    <t>132,300.00</t>
  </si>
  <si>
    <t>98,050.00</t>
  </si>
  <si>
    <t>389,645.00</t>
  </si>
  <si>
    <t>394,078.60</t>
  </si>
  <si>
    <t>141,250.00</t>
  </si>
  <si>
    <t>699,999.79</t>
  </si>
  <si>
    <t>460,430.00</t>
  </si>
  <si>
    <t>2,933,314.12</t>
  </si>
  <si>
    <t>1,219,460.00</t>
  </si>
  <si>
    <t>189,080.00</t>
  </si>
  <si>
    <t>137,705.00</t>
  </si>
  <si>
    <t>134,012.00</t>
  </si>
  <si>
    <t>1,532,725.00</t>
  </si>
  <si>
    <t>71,435.00</t>
  </si>
  <si>
    <t>69,447.00</t>
  </si>
  <si>
    <t>72,180.00</t>
  </si>
  <si>
    <t>142,180.00</t>
  </si>
  <si>
    <t>129,968.30</t>
  </si>
  <si>
    <t>32,205.00</t>
  </si>
  <si>
    <t>41,863.00</t>
  </si>
  <si>
    <t>232,835.95</t>
  </si>
  <si>
    <t>242,000.00</t>
  </si>
  <si>
    <t>132,440.00</t>
  </si>
  <si>
    <t>146,714.00</t>
  </si>
  <si>
    <t>111,650.00</t>
  </si>
  <si>
    <t>101,750.00</t>
  </si>
  <si>
    <t>7,660,617.43</t>
  </si>
  <si>
    <t>405,600.00</t>
  </si>
  <si>
    <t>2,114,000.00</t>
  </si>
  <si>
    <t>222,192.00</t>
  </si>
  <si>
    <t>477,529.99</t>
  </si>
  <si>
    <t>826,111.89</t>
  </si>
  <si>
    <t>152,895.26</t>
  </si>
  <si>
    <t>242,500.00</t>
  </si>
  <si>
    <t>142,664.00</t>
  </si>
  <si>
    <t>151,469.00</t>
  </si>
  <si>
    <t>128,567.25</t>
  </si>
  <si>
    <t>84,600.00</t>
  </si>
  <si>
    <t>45,251.00</t>
  </si>
  <si>
    <t>446,294.97</t>
  </si>
  <si>
    <t>4,450,000.00</t>
  </si>
  <si>
    <t>2,165,179.90</t>
  </si>
  <si>
    <t>6,370,000.00</t>
  </si>
  <si>
    <t>65,124.84</t>
  </si>
  <si>
    <t>59,620.00</t>
  </si>
  <si>
    <t>700,068.25</t>
  </si>
  <si>
    <t>507,882.80</t>
  </si>
  <si>
    <t>3,499,999.70</t>
  </si>
  <si>
    <t>423,534.61</t>
  </si>
  <si>
    <t>333,638.55</t>
  </si>
  <si>
    <t>50,150.50</t>
  </si>
  <si>
    <t>1,066,685.72</t>
  </si>
  <si>
    <t>198,280.20</t>
  </si>
  <si>
    <t>153,406.59</t>
  </si>
  <si>
    <t>248,160.00</t>
  </si>
  <si>
    <t>620,500.00</t>
  </si>
  <si>
    <t>11,270,000.00</t>
  </si>
  <si>
    <t>77,755.10</t>
  </si>
  <si>
    <t>206,100.00</t>
  </si>
  <si>
    <t>107,265.00</t>
  </si>
  <si>
    <t>193,578.00</t>
  </si>
  <si>
    <t>88,500.00</t>
  </si>
  <si>
    <t>9,998,461.75</t>
  </si>
  <si>
    <t>11,526,000.00</t>
  </si>
  <si>
    <t>4,999,993.69</t>
  </si>
  <si>
    <t>9,387,244.86</t>
  </si>
  <si>
    <t>797,478.93</t>
  </si>
  <si>
    <t>1,750,349.32</t>
  </si>
  <si>
    <t>6,754.00</t>
  </si>
  <si>
    <t>899,960.00</t>
  </si>
  <si>
    <t>123,985.00</t>
  </si>
  <si>
    <t>140,970.00</t>
  </si>
  <si>
    <t>330,894.42</t>
  </si>
  <si>
    <t>465,584.00</t>
  </si>
  <si>
    <t>399,970.59</t>
  </si>
  <si>
    <t>4,985.00</t>
  </si>
  <si>
    <t>66,820.00</t>
  </si>
  <si>
    <t>148,640.00</t>
  </si>
  <si>
    <t>27,182.00</t>
  </si>
  <si>
    <t>400,770.00</t>
  </si>
  <si>
    <t>12,934,992.00</t>
  </si>
  <si>
    <t>64,600.00</t>
  </si>
  <si>
    <t>444,298.50</t>
  </si>
  <si>
    <t>1,046,207.65</t>
  </si>
  <si>
    <t>967,673.81</t>
  </si>
  <si>
    <t>233,596.02</t>
  </si>
  <si>
    <t>819,000.00</t>
  </si>
  <si>
    <t>6,757,336.63</t>
  </si>
  <si>
    <t>279,000.00</t>
  </si>
  <si>
    <t>308,816.40</t>
  </si>
  <si>
    <t>902,573.20</t>
  </si>
  <si>
    <t>97,900.00</t>
  </si>
  <si>
    <t>871,350.50</t>
  </si>
  <si>
    <t>1,746,279.61</t>
  </si>
  <si>
    <t>66,022.00</t>
  </si>
  <si>
    <t>162,894.00</t>
  </si>
  <si>
    <t>799,999.00</t>
  </si>
  <si>
    <t>28,700,280.00</t>
  </si>
  <si>
    <t>972,027.25</t>
  </si>
  <si>
    <t>483,444.44</t>
  </si>
  <si>
    <t>257,824.00</t>
  </si>
  <si>
    <t>5,510,540.00</t>
  </si>
  <si>
    <t>323,460.00</t>
  </si>
  <si>
    <t>213,000.00</t>
  </si>
  <si>
    <t>620,100.00</t>
  </si>
  <si>
    <t>2,910,466.59</t>
  </si>
  <si>
    <t>292,577.88</t>
  </si>
  <si>
    <t>154,300.00</t>
  </si>
  <si>
    <t>113,707.15</t>
  </si>
  <si>
    <t>168,174.12</t>
  </si>
  <si>
    <t>126,544.88</t>
  </si>
  <si>
    <t>7,595.00</t>
  </si>
  <si>
    <t>155,700.00</t>
  </si>
  <si>
    <t>428,045.63</t>
  </si>
  <si>
    <t>49,467,734.00</t>
  </si>
  <si>
    <t>527,164.79</t>
  </si>
  <si>
    <t>297,360.00</t>
  </si>
  <si>
    <t>9,100,000.00</t>
  </si>
  <si>
    <t>81,923.68</t>
  </si>
  <si>
    <t>295,535.00</t>
  </si>
  <si>
    <t>17,119,000.00</t>
  </si>
  <si>
    <t>396,300.00</t>
  </si>
  <si>
    <t>503,786.57</t>
  </si>
  <si>
    <t>499,875.00</t>
  </si>
  <si>
    <t>11,778,530.00</t>
  </si>
  <si>
    <t>473,004.28</t>
  </si>
  <si>
    <t>99,450.00</t>
  </si>
  <si>
    <t>2,996,000.00</t>
  </si>
  <si>
    <t>567,000.00</t>
  </si>
  <si>
    <t>24,824,082.90</t>
  </si>
  <si>
    <t>5,420,048.03</t>
  </si>
  <si>
    <t>671,000.00</t>
  </si>
  <si>
    <t>610,000.00</t>
  </si>
  <si>
    <t>247,016.60</t>
  </si>
  <si>
    <t>761,198.85</t>
  </si>
  <si>
    <t>407,979.00</t>
  </si>
  <si>
    <t>2,850,000.00</t>
  </si>
  <si>
    <t>3,044,797.10</t>
  </si>
  <si>
    <t>212,709.00</t>
  </si>
  <si>
    <t>755,032.98</t>
  </si>
  <si>
    <t>119,200.00</t>
  </si>
  <si>
    <t>93,468.00</t>
  </si>
  <si>
    <t>69,534.72</t>
  </si>
  <si>
    <t>4,623,500.00</t>
  </si>
  <si>
    <t>378,190.00</t>
  </si>
  <si>
    <t>1,703,006.80</t>
  </si>
  <si>
    <t>2,609,892.39</t>
  </si>
  <si>
    <t>99,057.27</t>
  </si>
  <si>
    <t>949,068.75</t>
  </si>
  <si>
    <t>54,200.00</t>
  </si>
  <si>
    <t>668,614.66</t>
  </si>
  <si>
    <t>49,860,000.00</t>
  </si>
  <si>
    <t>18,787,198.10</t>
  </si>
  <si>
    <t>16,020,899.14</t>
  </si>
  <si>
    <t>302,445.00</t>
  </si>
  <si>
    <t>301,848.75</t>
  </si>
  <si>
    <t>322,000.00</t>
  </si>
  <si>
    <t>99,707.00</t>
  </si>
  <si>
    <t>194,310.00</t>
  </si>
  <si>
    <t>1,474,398.00</t>
  </si>
  <si>
    <t>1,134,000.00</t>
  </si>
  <si>
    <t>215,960.00</t>
  </si>
  <si>
    <t>723,506.62</t>
  </si>
  <si>
    <t>244,825.00</t>
  </si>
  <si>
    <t>3,236.00</t>
  </si>
  <si>
    <t>640,500.00</t>
  </si>
  <si>
    <t>725,475.33</t>
  </si>
  <si>
    <t>499,763.20</t>
  </si>
  <si>
    <t>962,585.30</t>
  </si>
  <si>
    <t>142,750.00</t>
  </si>
  <si>
    <t>401,100.00</t>
  </si>
  <si>
    <t>449,000.00</t>
  </si>
  <si>
    <t>108,400.00</t>
  </si>
  <si>
    <t>1,258,388.30</t>
  </si>
  <si>
    <t>688,652.00</t>
  </si>
  <si>
    <t>2,599,576.10</t>
  </si>
  <si>
    <t>527,972.75</t>
  </si>
  <si>
    <t>306,507.94</t>
  </si>
  <si>
    <t>3,894,105.88</t>
  </si>
  <si>
    <t>167,614.54</t>
  </si>
  <si>
    <t>2,098,135.00</t>
  </si>
  <si>
    <t>1,634,160.00</t>
  </si>
  <si>
    <t>1,281,410.80</t>
  </si>
  <si>
    <t>486,536.90</t>
  </si>
  <si>
    <t>14,975.00</t>
  </si>
  <si>
    <t>832,800.00</t>
  </si>
  <si>
    <t>349,860.00</t>
  </si>
  <si>
    <t>152,605.00</t>
  </si>
  <si>
    <t>1,199,756.25</t>
  </si>
  <si>
    <t>103,950.00</t>
  </si>
  <si>
    <t>572,400.00</t>
  </si>
  <si>
    <t>436,900.00</t>
  </si>
  <si>
    <t>294,933.00</t>
  </si>
  <si>
    <t>18,457,000.00</t>
  </si>
  <si>
    <t>2,747,000.00</t>
  </si>
  <si>
    <t>1,968,376.91</t>
  </si>
  <si>
    <t>5,181,192.98</t>
  </si>
  <si>
    <t>406,909.20</t>
  </si>
  <si>
    <t>135,577.75</t>
  </si>
  <si>
    <t>1,999,864.44</t>
  </si>
  <si>
    <t>482,048.00</t>
  </si>
  <si>
    <t>214,500.00</t>
  </si>
  <si>
    <t>820,992.90</t>
  </si>
  <si>
    <t>97,525.95</t>
  </si>
  <si>
    <t>1,997,749.28</t>
  </si>
  <si>
    <t>125,175.00</t>
  </si>
  <si>
    <t>57,423.82</t>
  </si>
  <si>
    <t>1,316,467.76</t>
  </si>
  <si>
    <t>101,500.00</t>
  </si>
  <si>
    <t>177,595.00</t>
  </si>
  <si>
    <t>269,250.00</t>
  </si>
  <si>
    <t>11,939,992.00</t>
  </si>
  <si>
    <t>115,000,000.00</t>
  </si>
  <si>
    <t>5,835,300.00</t>
  </si>
  <si>
    <t>226,884.00</t>
  </si>
  <si>
    <t>1,955,818.63</t>
  </si>
  <si>
    <t>628,649.50</t>
  </si>
  <si>
    <t>1,550,410.50</t>
  </si>
  <si>
    <t>50,637.00</t>
  </si>
  <si>
    <t>527,750.00</t>
  </si>
  <si>
    <t>1,288,173.00</t>
  </si>
  <si>
    <t>257,140.00</t>
  </si>
  <si>
    <t>1,998,888.62</t>
  </si>
  <si>
    <t>299,960.00</t>
  </si>
  <si>
    <t>120,890.00</t>
  </si>
  <si>
    <t>2,444,724.00</t>
  </si>
  <si>
    <t>531,950.00</t>
  </si>
  <si>
    <t>258,260.00</t>
  </si>
  <si>
    <t>1,499,121.16</t>
  </si>
  <si>
    <t>4,391,450.00</t>
  </si>
  <si>
    <t>52,322.00</t>
  </si>
  <si>
    <t>698,530.00</t>
  </si>
  <si>
    <t>141,304.00</t>
  </si>
  <si>
    <t>29,400,866.61</t>
  </si>
  <si>
    <t>137,575.00</t>
  </si>
  <si>
    <t>66,500.00</t>
  </si>
  <si>
    <t>8,450.00</t>
  </si>
  <si>
    <t>935,335.00</t>
  </si>
  <si>
    <t>204,000.00</t>
  </si>
  <si>
    <t>3,120,634.87</t>
  </si>
  <si>
    <t>172,947.06</t>
  </si>
  <si>
    <t>329,116.94</t>
  </si>
  <si>
    <t>96,700.00</t>
  </si>
  <si>
    <t>186,990.15</t>
  </si>
  <si>
    <t>2,024,144.77</t>
  </si>
  <si>
    <t>137,640.00</t>
  </si>
  <si>
    <t>2,920,500.00</t>
  </si>
  <si>
    <t>160,982.00</t>
  </si>
  <si>
    <t>1,548,314.00</t>
  </si>
  <si>
    <t>699,969.49</t>
  </si>
  <si>
    <t>2,503,120.00</t>
  </si>
  <si>
    <t>93,450.00</t>
  </si>
  <si>
    <t>4,554,315.00</t>
  </si>
  <si>
    <t>5,841,000.00</t>
  </si>
  <si>
    <t>468,836.00</t>
  </si>
  <si>
    <t>102,240.00</t>
  </si>
  <si>
    <t>785,000.00</t>
  </si>
  <si>
    <t>1,075,471.00</t>
  </si>
  <si>
    <t>2,417,927.06</t>
  </si>
  <si>
    <t>2,890,000.00</t>
  </si>
  <si>
    <t>1,442,167.05</t>
  </si>
  <si>
    <t>267,000.00</t>
  </si>
  <si>
    <t>197,400.00</t>
  </si>
  <si>
    <t>496,764.50</t>
  </si>
  <si>
    <t>181,306.96</t>
  </si>
  <si>
    <t>10,642,900.00</t>
  </si>
  <si>
    <t>789,440.00</t>
  </si>
  <si>
    <t>169,826.00</t>
  </si>
  <si>
    <t>499,947.00</t>
  </si>
  <si>
    <t>229,440.00</t>
  </si>
  <si>
    <t>550,072.20</t>
  </si>
  <si>
    <t>1,045,430.28</t>
  </si>
  <si>
    <t>301,041.00</t>
  </si>
  <si>
    <t>1,795,500.00</t>
  </si>
  <si>
    <t>1,208,572.50</t>
  </si>
  <si>
    <t>4,280,000.00</t>
  </si>
  <si>
    <t>156,108.00</t>
  </si>
  <si>
    <t>821,095.50</t>
  </si>
  <si>
    <t>368,425.00</t>
  </si>
  <si>
    <t>1,620,131.63</t>
  </si>
  <si>
    <t>74,900.00</t>
  </si>
  <si>
    <t>204,440.00</t>
  </si>
  <si>
    <t>336,095.00</t>
  </si>
  <si>
    <t>149,534.00</t>
  </si>
  <si>
    <t>459,000.00</t>
  </si>
  <si>
    <t>1,586,112.00</t>
  </si>
  <si>
    <t>1,337,630.80</t>
  </si>
  <si>
    <t>455,301.56</t>
  </si>
  <si>
    <t>2,185,000.00</t>
  </si>
  <si>
    <t>184,390.00</t>
  </si>
  <si>
    <t>1,499,999.27</t>
  </si>
  <si>
    <t>1,900,125.00</t>
  </si>
  <si>
    <t>4,159,356.00</t>
  </si>
  <si>
    <t>2,655,000.00</t>
  </si>
  <si>
    <t>5,539,376.45</t>
  </si>
  <si>
    <t>88,420.00</t>
  </si>
  <si>
    <t>10,433,325.00</t>
  </si>
  <si>
    <t>2,419,499.30</t>
  </si>
  <si>
    <t>7,246,176.91</t>
  </si>
  <si>
    <t>1,398,563.75</t>
  </si>
  <si>
    <t>1,536,979.26</t>
  </si>
  <si>
    <t>3,582,000.00</t>
  </si>
  <si>
    <t>148,950.00</t>
  </si>
  <si>
    <t>569,875.00</t>
  </si>
  <si>
    <t>355,950.00</t>
  </si>
  <si>
    <t>1,474,556.24</t>
  </si>
  <si>
    <t>379,800.00</t>
  </si>
  <si>
    <t>4,788,306.53</t>
  </si>
  <si>
    <t>2,035,000.00</t>
  </si>
  <si>
    <t>101,700.00</t>
  </si>
  <si>
    <t>2,790,000.00</t>
  </si>
  <si>
    <t>101,590.40</t>
  </si>
  <si>
    <t>1,905,000.00</t>
  </si>
  <si>
    <t>7,920,000.00</t>
  </si>
  <si>
    <t>393,450.00</t>
  </si>
  <si>
    <t>78,630.00</t>
  </si>
  <si>
    <t>5,300,000.00</t>
  </si>
  <si>
    <t>250,000.12</t>
  </si>
  <si>
    <t>1,411,031.48</t>
  </si>
  <si>
    <t>2,228,524.80</t>
  </si>
  <si>
    <t>864,360.00</t>
  </si>
  <si>
    <t>68,400,000.00</t>
  </si>
  <si>
    <t>1,226,344.00</t>
  </si>
  <si>
    <t>799,750.00</t>
  </si>
  <si>
    <t>2,539,599.72</t>
  </si>
  <si>
    <t>120,700.00</t>
  </si>
  <si>
    <t>450,498.85</t>
  </si>
  <si>
    <t>918,000.00</t>
  </si>
  <si>
    <t>61,650.00</t>
  </si>
  <si>
    <t>236,519.00</t>
  </si>
  <si>
    <t>577,625.00</t>
  </si>
  <si>
    <t>1,056,320.00</t>
  </si>
  <si>
    <t>622,500.00</t>
  </si>
  <si>
    <t>621,984.40</t>
  </si>
  <si>
    <t>2,248,978.21</t>
  </si>
  <si>
    <t>764,762.79</t>
  </si>
  <si>
    <t>577,838.46</t>
  </si>
  <si>
    <t>122,614.00</t>
  </si>
  <si>
    <t>999,811.44</t>
  </si>
  <si>
    <t>8,489.20</t>
  </si>
  <si>
    <t>145,485.00</t>
  </si>
  <si>
    <t>2,999,921.24</t>
  </si>
  <si>
    <t>3,563,723.60</t>
  </si>
  <si>
    <t>201,398,962.47</t>
  </si>
  <si>
    <t>256,927.00</t>
  </si>
  <si>
    <t>461,900.00</t>
  </si>
  <si>
    <t>474,001.00</t>
  </si>
  <si>
    <t>374,990.00</t>
  </si>
  <si>
    <t>810,600,000.00</t>
  </si>
  <si>
    <t>199,898.00</t>
  </si>
  <si>
    <t>830,125.50</t>
  </si>
  <si>
    <t>17,831,711.54</t>
  </si>
  <si>
    <t>6,399,951.02</t>
  </si>
  <si>
    <t>370,880.00</t>
  </si>
  <si>
    <t>369,264.27</t>
  </si>
  <si>
    <t>999,684.26</t>
  </si>
  <si>
    <t>144,750,000.00</t>
  </si>
  <si>
    <t>947,868.00</t>
  </si>
  <si>
    <t>2,277,703.75</t>
  </si>
  <si>
    <t>56,700.00</t>
  </si>
  <si>
    <t>482,069.50</t>
  </si>
  <si>
    <t>1,519,830.00</t>
  </si>
  <si>
    <t>524,600.00</t>
  </si>
  <si>
    <t>1,402,300.00</t>
  </si>
  <si>
    <t>4,999,650.00</t>
  </si>
  <si>
    <t>2,670,000.00</t>
  </si>
  <si>
    <t>979,999.88</t>
  </si>
  <si>
    <t>370,000.00</t>
  </si>
  <si>
    <t>242,200.00</t>
  </si>
  <si>
    <t>694,800.00</t>
  </si>
  <si>
    <t>64,080.00</t>
  </si>
  <si>
    <t>915,017.87</t>
  </si>
  <si>
    <t>3,800,459.04</t>
  </si>
  <si>
    <t>1,294,460.71</t>
  </si>
  <si>
    <t>174,391.00</t>
  </si>
  <si>
    <t>116,900.00</t>
  </si>
  <si>
    <t>74,400.00</t>
  </si>
  <si>
    <t>608,134.00</t>
  </si>
  <si>
    <t>71,910.00</t>
  </si>
  <si>
    <t>814,802.00</t>
  </si>
  <si>
    <t>135,485.00</t>
  </si>
  <si>
    <t>25,190.00</t>
  </si>
  <si>
    <t>2,983,679.26</t>
  </si>
  <si>
    <t>999,595.74</t>
  </si>
  <si>
    <t>436,550.00</t>
  </si>
  <si>
    <t>76,493.92</t>
  </si>
  <si>
    <t>169,404.00</t>
  </si>
  <si>
    <t>3,657,910.00</t>
  </si>
  <si>
    <t>884,533.12</t>
  </si>
  <si>
    <t>401,819.00</t>
  </si>
  <si>
    <t>1,024,542.00</t>
  </si>
  <si>
    <t>4,718,528.60</t>
  </si>
  <si>
    <t>2,079,967.00</t>
  </si>
  <si>
    <t>59,800.00</t>
  </si>
  <si>
    <t>303,510.00</t>
  </si>
  <si>
    <t>2,999,999.06</t>
  </si>
  <si>
    <t>90,620.00</t>
  </si>
  <si>
    <t>1,359,538.63</t>
  </si>
  <si>
    <t>2,897,992.58</t>
  </si>
  <si>
    <t>29,321.10</t>
  </si>
  <si>
    <t>5,529,394.55</t>
  </si>
  <si>
    <t>197,239.00</t>
  </si>
  <si>
    <t>71,714,510.96</t>
  </si>
  <si>
    <t>119,105.00</t>
  </si>
  <si>
    <t>375,900.00</t>
  </si>
  <si>
    <t>1,999,936.74</t>
  </si>
  <si>
    <t>2,499,998.60</t>
  </si>
  <si>
    <t>1,133,426.36</t>
  </si>
  <si>
    <t>90,790.00</t>
  </si>
  <si>
    <t>1,321,200.00</t>
  </si>
  <si>
    <t>998,539.09</t>
  </si>
  <si>
    <t>2,010,750.00</t>
  </si>
  <si>
    <t>61,855.00</t>
  </si>
  <si>
    <t>5,075,550.30</t>
  </si>
  <si>
    <t>249,412.33</t>
  </si>
  <si>
    <t>113,400.00</t>
  </si>
  <si>
    <t>350,124.00</t>
  </si>
  <si>
    <t>988,483.62</t>
  </si>
  <si>
    <t>1,151,000.00</t>
  </si>
  <si>
    <t>275,183.70</t>
  </si>
  <si>
    <t>6,160,771.66</t>
  </si>
  <si>
    <t>1,992,800.00</t>
  </si>
  <si>
    <t>399,826.00</t>
  </si>
  <si>
    <t>442,367.90</t>
  </si>
  <si>
    <t>44,002.00</t>
  </si>
  <si>
    <t>70,225.00</t>
  </si>
  <si>
    <t>4,574,227.53</t>
  </si>
  <si>
    <t>891,322.70</t>
  </si>
  <si>
    <t>999,996.42</t>
  </si>
  <si>
    <t>17,157,184.38</t>
  </si>
  <si>
    <t>399,410.00</t>
  </si>
  <si>
    <t>11,700,000.00</t>
  </si>
  <si>
    <t>63,470.00</t>
  </si>
  <si>
    <t>341,000.00</t>
  </si>
  <si>
    <t>4,242,278.49</t>
  </si>
  <si>
    <t>7,624,000.00</t>
  </si>
  <si>
    <t>1,498,000.00</t>
  </si>
  <si>
    <t>1,599,917.35</t>
  </si>
  <si>
    <t>14,799.76</t>
  </si>
  <si>
    <t>505,824.50</t>
  </si>
  <si>
    <t>3,699,141.97</t>
  </si>
  <si>
    <t>77,900.00</t>
  </si>
  <si>
    <t>4,402,140.95</t>
  </si>
  <si>
    <t>4,926,877.32</t>
  </si>
  <si>
    <t>722,500.00</t>
  </si>
  <si>
    <t>162,600.00</t>
  </si>
  <si>
    <t>9,461,075.25</t>
  </si>
  <si>
    <t>2,851,000.00</t>
  </si>
  <si>
    <t>3,163,400.00</t>
  </si>
  <si>
    <t>1,068,350.00</t>
  </si>
  <si>
    <t>58,657,553.00</t>
  </si>
  <si>
    <t>31,708,474.42</t>
  </si>
  <si>
    <t>4,860,783.26</t>
  </si>
  <si>
    <t>17,640,000.00</t>
  </si>
  <si>
    <t>1,499,972.00</t>
  </si>
  <si>
    <t>3,372,723.20</t>
  </si>
  <si>
    <t>830,000.00</t>
  </si>
  <si>
    <t>145,515.00</t>
  </si>
  <si>
    <t>127,490.00</t>
  </si>
  <si>
    <t>495,620.02</t>
  </si>
  <si>
    <t>184,471.48</t>
  </si>
  <si>
    <t>54,553,920.00</t>
  </si>
  <si>
    <t>855,750.00</t>
  </si>
  <si>
    <t>9,070,880.00</t>
  </si>
  <si>
    <t>2,076,678.79</t>
  </si>
  <si>
    <t>29,900.00</t>
  </si>
  <si>
    <t>3,014,000.00</t>
  </si>
  <si>
    <t>193,770.43</t>
  </si>
  <si>
    <t>180,500.00</t>
  </si>
  <si>
    <t>34,739,989.94</t>
  </si>
  <si>
    <t>193,132.46</t>
  </si>
  <si>
    <t>372,835.81</t>
  </si>
  <si>
    <t>2,460,000.00</t>
  </si>
  <si>
    <t>101,850.00</t>
  </si>
  <si>
    <t>5,433,162.51</t>
  </si>
  <si>
    <t>7,709,156.21</t>
  </si>
  <si>
    <t>296,167.95</t>
  </si>
  <si>
    <t>35,236,612.60</t>
  </si>
  <si>
    <t>4,387,500.00</t>
  </si>
  <si>
    <t>86,457.02</t>
  </si>
  <si>
    <t>194,413.21</t>
  </si>
  <si>
    <t>4,300,000.00</t>
  </si>
  <si>
    <t>248,655.00</t>
  </si>
  <si>
    <t>14,000,000.00</t>
  </si>
  <si>
    <t>63,680.00</t>
  </si>
  <si>
    <t>690,123.22</t>
  </si>
  <si>
    <t>692,062.72</t>
  </si>
  <si>
    <t>191,250.00</t>
  </si>
  <si>
    <t>28,800,000.00</t>
  </si>
  <si>
    <t>372,004.00</t>
  </si>
  <si>
    <t>454,790.78</t>
  </si>
  <si>
    <t>2,000,250.00</t>
  </si>
  <si>
    <t>24,223,000.00</t>
  </si>
  <si>
    <t>99,380.00</t>
  </si>
  <si>
    <t>71,800.00</t>
  </si>
  <si>
    <t>551,000.00</t>
  </si>
  <si>
    <t>18,019.00</t>
  </si>
  <si>
    <t>2,226,000.00</t>
  </si>
  <si>
    <t>15,015.00</t>
  </si>
  <si>
    <t>3,640,500.00</t>
  </si>
  <si>
    <t>101,450.00</t>
  </si>
  <si>
    <t>54,300.00</t>
  </si>
  <si>
    <t>1,499,934.92</t>
  </si>
  <si>
    <t>4,999,999.87</t>
  </si>
  <si>
    <t>91,000.00</t>
  </si>
  <si>
    <t>53,690.00</t>
  </si>
  <si>
    <t>496,656.86</t>
  </si>
  <si>
    <t>341,640.00</t>
  </si>
  <si>
    <t>3,498,448.95</t>
  </si>
  <si>
    <t>12,600,000.00</t>
  </si>
  <si>
    <t>10,050.00</t>
  </si>
  <si>
    <t>2,732,498.01</t>
  </si>
  <si>
    <t>2,995,226.26</t>
  </si>
  <si>
    <t>3,550.00</t>
  </si>
  <si>
    <t>870,000.00</t>
  </si>
  <si>
    <t>399,975.00</t>
  </si>
  <si>
    <t>1,192,000.00</t>
  </si>
  <si>
    <t>1,719.96</t>
  </si>
  <si>
    <t>428,000.00</t>
  </si>
  <si>
    <t>708,000.00</t>
  </si>
  <si>
    <t>686,666.67</t>
  </si>
  <si>
    <t>544,208.28</t>
  </si>
  <si>
    <t>1,017,422.63</t>
  </si>
  <si>
    <t>2,001,000.00</t>
  </si>
  <si>
    <t>2,010,000.00</t>
  </si>
  <si>
    <t>538,203.23</t>
  </si>
  <si>
    <t>73,908.00</t>
  </si>
  <si>
    <t>791,720.00</t>
  </si>
  <si>
    <t>946,277.80</t>
  </si>
  <si>
    <t>476,094.22</t>
  </si>
  <si>
    <t>298,499.44</t>
  </si>
  <si>
    <t>168,444,500.00</t>
  </si>
  <si>
    <t>994,504.92</t>
  </si>
  <si>
    <t>2,161,708.58</t>
  </si>
  <si>
    <t>1,998,360.82</t>
  </si>
  <si>
    <t>1,777,865.00</t>
  </si>
  <si>
    <t>45,130.60</t>
  </si>
  <si>
    <t>2,396,988.00</t>
  </si>
  <si>
    <t>669,573.35</t>
  </si>
  <si>
    <t>42,204.00</t>
  </si>
  <si>
    <t>147,431.00</t>
  </si>
  <si>
    <t>13,500.00</t>
  </si>
  <si>
    <t>52,932,000.00</t>
  </si>
  <si>
    <t>23,611,800.00</t>
  </si>
  <si>
    <t>101,639.00</t>
  </si>
  <si>
    <t>444,966.00</t>
  </si>
  <si>
    <t>220,328.50</t>
  </si>
  <si>
    <t>574,600.00</t>
  </si>
  <si>
    <t>5,100,000.00</t>
  </si>
  <si>
    <t>156,016.80</t>
  </si>
  <si>
    <t>260,640.00</t>
  </si>
  <si>
    <t>1,550,000.00</t>
  </si>
  <si>
    <t>1,178,520.00</t>
  </si>
  <si>
    <t>1,661,000.00</t>
  </si>
  <si>
    <t>1,954,250.00</t>
  </si>
  <si>
    <t>3,529,834.00</t>
  </si>
  <si>
    <t>2,700.00</t>
  </si>
  <si>
    <t>6,727,118.46</t>
  </si>
  <si>
    <t>835,368.00</t>
  </si>
  <si>
    <t>463,272.40</t>
  </si>
  <si>
    <t>13,030,800.00</t>
  </si>
  <si>
    <t>999,137.31</t>
  </si>
  <si>
    <t>5,190,294.44</t>
  </si>
  <si>
    <t>1,063,540.00</t>
  </si>
  <si>
    <t>10,380.00</t>
  </si>
  <si>
    <t>489,000.00</t>
  </si>
  <si>
    <t>152,001.00</t>
  </si>
  <si>
    <t>136,800.00</t>
  </si>
  <si>
    <t>1,460,962.00</t>
  </si>
  <si>
    <t>32,902.50</t>
  </si>
  <si>
    <t>55,200,000.00</t>
  </si>
  <si>
    <t>328,547.79</t>
  </si>
  <si>
    <t>245,051.00</t>
  </si>
  <si>
    <t>105,800.00</t>
  </si>
  <si>
    <t>41,910,600.00</t>
  </si>
  <si>
    <t>11,122,800.00</t>
  </si>
  <si>
    <t>28,620,000.00</t>
  </si>
  <si>
    <t>4,920,000.00</t>
  </si>
  <si>
    <t>10,800,000.00</t>
  </si>
  <si>
    <t>4,008,000.00</t>
  </si>
  <si>
    <t>15,207,731.10</t>
  </si>
  <si>
    <t>17,740,411.93</t>
  </si>
  <si>
    <t>48,000,000.00</t>
  </si>
  <si>
    <t>15,117,954.98</t>
  </si>
  <si>
    <t>31,380,000.00</t>
  </si>
  <si>
    <t>212,680.00</t>
  </si>
  <si>
    <t>110,650.00</t>
  </si>
  <si>
    <t>51,560.00</t>
  </si>
  <si>
    <t>181,668.00</t>
  </si>
  <si>
    <t>1,986,115.77</t>
  </si>
  <si>
    <t>2,042,200.00</t>
  </si>
  <si>
    <t>156,395.00</t>
  </si>
  <si>
    <t>1,599,991.31</t>
  </si>
  <si>
    <t>2,969,682.10</t>
  </si>
  <si>
    <t>9,587,675.00</t>
  </si>
  <si>
    <t>157,200.00</t>
  </si>
  <si>
    <t>4,086,774.09</t>
  </si>
  <si>
    <t>7,592,500.00</t>
  </si>
  <si>
    <t>126,255.00</t>
  </si>
  <si>
    <t>3,959,559.81</t>
  </si>
  <si>
    <t>199,084.63</t>
  </si>
  <si>
    <t>201,000.00</t>
  </si>
  <si>
    <t>1,190,000.00</t>
  </si>
  <si>
    <t>86,400.00</t>
  </si>
  <si>
    <t>201,750.00</t>
  </si>
  <si>
    <t>4,454,973.42</t>
  </si>
  <si>
    <t>313,830.50</t>
  </si>
  <si>
    <t>3,959,556.08</t>
  </si>
  <si>
    <t>91,925.00</t>
  </si>
  <si>
    <t>53,800,000.00</t>
  </si>
  <si>
    <t>2,054,000.00</t>
  </si>
  <si>
    <t>200,285.00</t>
  </si>
  <si>
    <t>135,700.00</t>
  </si>
  <si>
    <t>860,125.11</t>
  </si>
  <si>
    <t>65,128.00</t>
  </si>
  <si>
    <t>239,118.72</t>
  </si>
  <si>
    <t>1,223,759.25</t>
  </si>
  <si>
    <t>1,630,341.00</t>
  </si>
  <si>
    <t>780,099.62</t>
  </si>
  <si>
    <t>634,210.00</t>
  </si>
  <si>
    <t>2,969,989.92</t>
  </si>
  <si>
    <t>230,400.00</t>
  </si>
  <si>
    <t>9,999,200.55</t>
  </si>
  <si>
    <t>19,200,292.68</t>
  </si>
  <si>
    <t>52,735.00</t>
  </si>
  <si>
    <t>235,000.00</t>
  </si>
  <si>
    <t>9,999,195.07</t>
  </si>
  <si>
    <t>1,033,129.20</t>
  </si>
  <si>
    <t>1,482,270.00</t>
  </si>
  <si>
    <t>9,969,583.12</t>
  </si>
  <si>
    <t>8,141,000.00</t>
  </si>
  <si>
    <t>444,000.00</t>
  </si>
  <si>
    <t>260,100.00</t>
  </si>
  <si>
    <t>73,628.52</t>
  </si>
  <si>
    <t>3,899,090.61</t>
  </si>
  <si>
    <t>245,095.38</t>
  </si>
  <si>
    <t>4,955,494.22</t>
  </si>
  <si>
    <t>828,613.34</t>
  </si>
  <si>
    <t>2,499,127.13</t>
  </si>
  <si>
    <t>3,341,843.60</t>
  </si>
  <si>
    <t>1,487,390.00</t>
  </si>
  <si>
    <t>4,999,751.78</t>
  </si>
  <si>
    <t>19,998,728.19</t>
  </si>
  <si>
    <t>5,776,634.39</t>
  </si>
  <si>
    <t>353,275.00</t>
  </si>
  <si>
    <t>302,481.80</t>
  </si>
  <si>
    <t>405,801.00</t>
  </si>
  <si>
    <t>496,820.00</t>
  </si>
  <si>
    <t>70,995.00</t>
  </si>
  <si>
    <t>315,254.00</t>
  </si>
  <si>
    <t>173,566.00</t>
  </si>
  <si>
    <t>238,500.00</t>
  </si>
  <si>
    <t>5,500,000.00</t>
  </si>
  <si>
    <t>1,140,000.00</t>
  </si>
  <si>
    <t>1,672,325.00</t>
  </si>
  <si>
    <t>1,486,994.88</t>
  </si>
  <si>
    <t>729,444.73</t>
  </si>
  <si>
    <t>1,418,200.00</t>
  </si>
  <si>
    <t>257,186.00</t>
  </si>
  <si>
    <t>441,565.00</t>
  </si>
  <si>
    <t>161,013.30</t>
  </si>
  <si>
    <t>55,750.00</t>
  </si>
  <si>
    <t>112,860.00</t>
  </si>
  <si>
    <t>372,590.00</t>
  </si>
  <si>
    <t>257,400.00</t>
  </si>
  <si>
    <t>12,113,071.19</t>
  </si>
  <si>
    <t>3,525,816.55</t>
  </si>
  <si>
    <t>229,448.50</t>
  </si>
  <si>
    <t>2,966,825.12</t>
  </si>
  <si>
    <t>878,101.00</t>
  </si>
  <si>
    <t>1,731,000.00</t>
  </si>
  <si>
    <t>6,140,000.00</t>
  </si>
  <si>
    <t>140,171.40</t>
  </si>
  <si>
    <t>4,574,039.28</t>
  </si>
  <si>
    <t>496,372.50</t>
  </si>
  <si>
    <t>469,130.50</t>
  </si>
  <si>
    <t>784,720.00</t>
  </si>
  <si>
    <t>7,665,000.00</t>
  </si>
  <si>
    <t>662,636.70</t>
  </si>
  <si>
    <t>22,519.00</t>
  </si>
  <si>
    <t>1,676,146.91</t>
  </si>
  <si>
    <t>174,379.00</t>
  </si>
  <si>
    <t>50,640.00</t>
  </si>
  <si>
    <t>315,360.00</t>
  </si>
  <si>
    <t>5,999,929.43</t>
  </si>
  <si>
    <t>518,803.34</t>
  </si>
  <si>
    <t>4,087,833.75</t>
  </si>
  <si>
    <t>7,018,489.20</t>
  </si>
  <si>
    <t>110,878.50</t>
  </si>
  <si>
    <t>305,235.00</t>
  </si>
  <si>
    <t>645,000.68</t>
  </si>
  <si>
    <t>257,502.00</t>
  </si>
  <si>
    <t>5,282,000.00</t>
  </si>
  <si>
    <t>974,000.00</t>
  </si>
  <si>
    <t>475,000.00</t>
  </si>
  <si>
    <t>11,998,000.00</t>
  </si>
  <si>
    <t>50,790.00</t>
  </si>
  <si>
    <t>44,100,000.00</t>
  </si>
  <si>
    <t>62,430.50</t>
  </si>
  <si>
    <t>12,724,446.51</t>
  </si>
  <si>
    <t>1,788,078.00</t>
  </si>
  <si>
    <t>24,621,428.19</t>
  </si>
  <si>
    <t>4,899,817.25</t>
  </si>
  <si>
    <t>1,199,012.52</t>
  </si>
  <si>
    <t>828,129.40</t>
  </si>
  <si>
    <t>212,640.00</t>
  </si>
  <si>
    <t>695,769.00</t>
  </si>
  <si>
    <t>298,907.91</t>
  </si>
  <si>
    <t>1,693,025.00</t>
  </si>
  <si>
    <t>250,310.00</t>
  </si>
  <si>
    <t>74,348.10</t>
  </si>
  <si>
    <t>446,163.00</t>
  </si>
  <si>
    <t>74,766.00</t>
  </si>
  <si>
    <t>4,899,785.46</t>
  </si>
  <si>
    <t>1,434,793.07</t>
  </si>
  <si>
    <t>175,265.00</t>
  </si>
  <si>
    <t>350,805.00</t>
  </si>
  <si>
    <t>1,069,543.00</t>
  </si>
  <si>
    <t>2,638,197.50</t>
  </si>
  <si>
    <t>27,580.00</t>
  </si>
  <si>
    <t>125,200.00</t>
  </si>
  <si>
    <t>116,723.00</t>
  </si>
  <si>
    <t>426,000.00</t>
  </si>
  <si>
    <t>111,785.00</t>
  </si>
  <si>
    <t>3,506,084.15</t>
  </si>
  <si>
    <t>5,630.00</t>
  </si>
  <si>
    <t>39,200,000.00</t>
  </si>
  <si>
    <t>3,517,944.70</t>
  </si>
  <si>
    <t>999,957.79</t>
  </si>
  <si>
    <t>7,450,500.00</t>
  </si>
  <si>
    <t>139,750.00</t>
  </si>
  <si>
    <t>173,782.00</t>
  </si>
  <si>
    <t>34,800.00</t>
  </si>
  <si>
    <t>354,479.47</t>
  </si>
  <si>
    <t>251,129.50</t>
  </si>
  <si>
    <t>814,725.00</t>
  </si>
  <si>
    <t>5,940,000.00</t>
  </si>
  <si>
    <t>57,255.00</t>
  </si>
  <si>
    <t>346,493.73</t>
  </si>
  <si>
    <t>33,700.00</t>
  </si>
  <si>
    <t>22,186,765.68</t>
  </si>
  <si>
    <t>20,150.00</t>
  </si>
  <si>
    <t>99,000,000.00</t>
  </si>
  <si>
    <t>53,075,000.00</t>
  </si>
  <si>
    <t>1,015,595.00</t>
  </si>
  <si>
    <t>12,882.00</t>
  </si>
  <si>
    <t>559,629.00</t>
  </si>
  <si>
    <t>529,500.00</t>
  </si>
  <si>
    <t>999,834.78</t>
  </si>
  <si>
    <t>5,045,740.00</t>
  </si>
  <si>
    <t>4,600.00</t>
  </si>
  <si>
    <t>1,112,879.47</t>
  </si>
  <si>
    <t>6,954.00</t>
  </si>
  <si>
    <t>8,898,838.52</t>
  </si>
  <si>
    <t>2,991,219.84</t>
  </si>
  <si>
    <t>1,599,999.99</t>
  </si>
  <si>
    <t>7,840,000.00</t>
  </si>
  <si>
    <t>18,000,000.00</t>
  </si>
  <si>
    <t>136,240.00</t>
  </si>
  <si>
    <t>123,250.00</t>
  </si>
  <si>
    <t>3,184,316.98</t>
  </si>
  <si>
    <t>238,100.00</t>
  </si>
  <si>
    <t>11,815.50</t>
  </si>
  <si>
    <t>643,000.00</t>
  </si>
  <si>
    <t>1,999,999.81</t>
  </si>
  <si>
    <t>5,134,254.08</t>
  </si>
  <si>
    <t>499,981.23</t>
  </si>
  <si>
    <t>3,098,838.91</t>
  </si>
  <si>
    <t>999,960.44</t>
  </si>
  <si>
    <t>290,975.54</t>
  </si>
  <si>
    <t>1,999,705.69</t>
  </si>
  <si>
    <t>2,999,060.13</t>
  </si>
  <si>
    <t>32,300.00</t>
  </si>
  <si>
    <t>790,340.00</t>
  </si>
  <si>
    <t>1,999,983.98</t>
  </si>
  <si>
    <t>316,286.05</t>
  </si>
  <si>
    <t>33,384,575.00</t>
  </si>
  <si>
    <t>827,140.61</t>
  </si>
  <si>
    <t>16,260.00</t>
  </si>
  <si>
    <t>1,999,826.70</t>
  </si>
  <si>
    <t>499,959.79</t>
  </si>
  <si>
    <t>999,530.86</t>
  </si>
  <si>
    <t>2,065,900.00</t>
  </si>
  <si>
    <t>999,175.61</t>
  </si>
  <si>
    <t>534,630.00</t>
  </si>
  <si>
    <t>17,381,401.01</t>
  </si>
  <si>
    <t>114,300.00</t>
  </si>
  <si>
    <t>2,884,283.42</t>
  </si>
  <si>
    <t>3,005,619.74</t>
  </si>
  <si>
    <t>699,000.00</t>
  </si>
  <si>
    <t>486,000.00</t>
  </si>
  <si>
    <t>2,510,675.73</t>
  </si>
  <si>
    <t>2,143,689.86</t>
  </si>
  <si>
    <t>2,531,475.87</t>
  </si>
  <si>
    <t>99,690.00</t>
  </si>
  <si>
    <t>1,005,753.60</t>
  </si>
  <si>
    <t>636,972.41</t>
  </si>
  <si>
    <t>365,688.00</t>
  </si>
  <si>
    <t>1,940,609.17</t>
  </si>
  <si>
    <t>518,619.00</t>
  </si>
  <si>
    <t>2,024,405.67</t>
  </si>
  <si>
    <t>751,500.00</t>
  </si>
  <si>
    <t>3,687,618.37</t>
  </si>
  <si>
    <t>333,295.00</t>
  </si>
  <si>
    <t>2,999,985.51</t>
  </si>
  <si>
    <t>521,405.00</t>
  </si>
  <si>
    <t>174,180.00</t>
  </si>
  <si>
    <t>1,852,000.00</t>
  </si>
  <si>
    <t>1,255,464.00</t>
  </si>
  <si>
    <t>3,754,000.00</t>
  </si>
  <si>
    <t>1,152,925.00</t>
  </si>
  <si>
    <t>784,663.65</t>
  </si>
  <si>
    <t>4,993.23</t>
  </si>
  <si>
    <t>12,337,350.86</t>
  </si>
  <si>
    <t>10,328.00</t>
  </si>
  <si>
    <t>494,000.00</t>
  </si>
  <si>
    <t>2,499,999.84</t>
  </si>
  <si>
    <t>949,932.79</t>
  </si>
  <si>
    <t>2,739,000.00</t>
  </si>
  <si>
    <t>41,970,000.00</t>
  </si>
  <si>
    <t>2,403,455.26</t>
  </si>
  <si>
    <t>298,880.00</t>
  </si>
  <si>
    <t>2,650,000.00</t>
  </si>
  <si>
    <t>598,220.00</t>
  </si>
  <si>
    <t>2,499,134.05</t>
  </si>
  <si>
    <t>397,766.35</t>
  </si>
  <si>
    <t>550,430.00</t>
  </si>
  <si>
    <t>1,368,277.50</t>
  </si>
  <si>
    <t>1,598,400.00</t>
  </si>
  <si>
    <t>14,802,345.38</t>
  </si>
  <si>
    <t>313,300.00</t>
  </si>
  <si>
    <t>744,701.76</t>
  </si>
  <si>
    <t>4,999,930.12</t>
  </si>
  <si>
    <t>1,144,000.00</t>
  </si>
  <si>
    <t>2,111,096.82</t>
  </si>
  <si>
    <t>1,123,869.80</t>
  </si>
  <si>
    <t>1,764,000.00</t>
  </si>
  <si>
    <t>1,780,665.00</t>
  </si>
  <si>
    <t>2,374,493.61</t>
  </si>
  <si>
    <t>1,812,055.45</t>
  </si>
  <si>
    <t>257,996.00</t>
  </si>
  <si>
    <t>949,980.58</t>
  </si>
  <si>
    <t>7,913,700.00</t>
  </si>
  <si>
    <t>2,146,000.00</t>
  </si>
  <si>
    <t>1,489,769.85</t>
  </si>
  <si>
    <t>2,109,050.00</t>
  </si>
  <si>
    <t>2,288,612.19</t>
  </si>
  <si>
    <t>1,803,000.00</t>
  </si>
  <si>
    <t>7,118,398.00</t>
  </si>
  <si>
    <t>798,990.90</t>
  </si>
  <si>
    <t>224,632.80</t>
  </si>
  <si>
    <t>2,193,251.50</t>
  </si>
  <si>
    <t>1,748,000.00</t>
  </si>
  <si>
    <t>250,500.00</t>
  </si>
  <si>
    <t>18,353,729.85</t>
  </si>
  <si>
    <t>81,608.00</t>
  </si>
  <si>
    <t>528,768.00</t>
  </si>
  <si>
    <t>173,080.22</t>
  </si>
  <si>
    <t>1,798,162.81</t>
  </si>
  <si>
    <t>9,989,758.06</t>
  </si>
  <si>
    <t>949,997.80</t>
  </si>
  <si>
    <t>5,598,012.00</t>
  </si>
  <si>
    <t>2,071,838.60</t>
  </si>
  <si>
    <t>9,475,000.00</t>
  </si>
  <si>
    <t>7,472,000.00</t>
  </si>
  <si>
    <t>4,521,500.00</t>
  </si>
  <si>
    <t>757,035.04</t>
  </si>
  <si>
    <t>4,113,500.00</t>
  </si>
  <si>
    <t>3,996,727.93</t>
  </si>
  <si>
    <t>62,508.00</t>
  </si>
  <si>
    <t>11,078,763.15</t>
  </si>
  <si>
    <t>777,957.00</t>
  </si>
  <si>
    <t>343,319.07</t>
  </si>
  <si>
    <t>228,858.30</t>
  </si>
  <si>
    <t>1,930,000.00</t>
  </si>
  <si>
    <t>128,010.00</t>
  </si>
  <si>
    <t>2,056,768.58</t>
  </si>
  <si>
    <t>231,000.00</t>
  </si>
  <si>
    <t>15,271,813.21</t>
  </si>
  <si>
    <t>3,840,000.00</t>
  </si>
  <si>
    <t>14,512,667.20</t>
  </si>
  <si>
    <t>95,600.00</t>
  </si>
  <si>
    <t>14,984,179.56</t>
  </si>
  <si>
    <t>183,925.00</t>
  </si>
  <si>
    <t>21,025,496.98</t>
  </si>
  <si>
    <t>4,433,204.40</t>
  </si>
  <si>
    <t>118,009.00</t>
  </si>
  <si>
    <t>56,840.00</t>
  </si>
  <si>
    <t>5,900,000.00</t>
  </si>
  <si>
    <t>199,888.07</t>
  </si>
  <si>
    <t>78,546.00</t>
  </si>
  <si>
    <t>12,420,000.00</t>
  </si>
  <si>
    <t>3,240,412.45</t>
  </si>
  <si>
    <t>1,155,580.00</t>
  </si>
  <si>
    <t>1,985,283.28</t>
  </si>
  <si>
    <t>14,412,667.20</t>
  </si>
  <si>
    <t>16,800,306.98</t>
  </si>
  <si>
    <t>17,822,358.11</t>
  </si>
  <si>
    <t>91,548.00</t>
  </si>
  <si>
    <t>399,915.11</t>
  </si>
  <si>
    <t>2,999,947.13</t>
  </si>
  <si>
    <t>51,396.00</t>
  </si>
  <si>
    <t>1,372,678.00</t>
  </si>
  <si>
    <t>1,889,118.96</t>
  </si>
  <si>
    <t>1,996,389.20</t>
  </si>
  <si>
    <t>1,888,784.90</t>
  </si>
  <si>
    <t>5,119,477.97</t>
  </si>
  <si>
    <t>1,054,484.12</t>
  </si>
  <si>
    <t>1,278,839.87</t>
  </si>
  <si>
    <t>17,872,358.11</t>
  </si>
  <si>
    <t>168,729.00</t>
  </si>
  <si>
    <t>97,784.00</t>
  </si>
  <si>
    <t>1,796,375.83</t>
  </si>
  <si>
    <t>290,435.00</t>
  </si>
  <si>
    <t>1,253,752.35</t>
  </si>
  <si>
    <t>3,956,575.60</t>
  </si>
  <si>
    <t>1,003,799.13</t>
  </si>
  <si>
    <t>1,695,126.59</t>
  </si>
  <si>
    <t>3,456,229.95</t>
  </si>
  <si>
    <t>105,203.50</t>
  </si>
  <si>
    <t>38,615.00</t>
  </si>
  <si>
    <t>5,496,977.98</t>
  </si>
  <si>
    <t>78,073.00</t>
  </si>
  <si>
    <t>2,154,295.00</t>
  </si>
  <si>
    <t>7,343,000.00</t>
  </si>
  <si>
    <t>994,919.62</t>
  </si>
  <si>
    <t>351,495.00</t>
  </si>
  <si>
    <t>476,000.00</t>
  </si>
  <si>
    <t>1,959,915.72</t>
  </si>
  <si>
    <t>7,002,100.00</t>
  </si>
  <si>
    <t>1,600,243.00</t>
  </si>
  <si>
    <t>2,099,979.00</t>
  </si>
  <si>
    <t>14,212,667.20</t>
  </si>
  <si>
    <t>4,844,200.00</t>
  </si>
  <si>
    <t>401,375.00</t>
  </si>
  <si>
    <t>1,773,000.00</t>
  </si>
  <si>
    <t>1,959,977.08</t>
  </si>
  <si>
    <t>5,271,000.00</t>
  </si>
  <si>
    <t>979,940.65</t>
  </si>
  <si>
    <t>1,999,996.01</t>
  </si>
  <si>
    <t>263,975.00</t>
  </si>
  <si>
    <t>81,725.00</t>
  </si>
  <si>
    <t>999,961.59</t>
  </si>
  <si>
    <t>159,592.00</t>
  </si>
  <si>
    <t>512,000.00</t>
  </si>
  <si>
    <t>1,685,945.00</t>
  </si>
  <si>
    <t>167,500.00</t>
  </si>
  <si>
    <t>27,932,225.66</t>
  </si>
  <si>
    <t>137,970.20</t>
  </si>
  <si>
    <t>1,047,669.00</t>
  </si>
  <si>
    <t>12,361,815.48</t>
  </si>
  <si>
    <t>3,855,000.00</t>
  </si>
  <si>
    <t>16,242,649.10</t>
  </si>
  <si>
    <t>468,856.00</t>
  </si>
  <si>
    <t>3,754,371.75</t>
  </si>
  <si>
    <t>1,855,000.00</t>
  </si>
  <si>
    <t>3,797,432.66</t>
  </si>
  <si>
    <t>4,247,960.00</t>
  </si>
  <si>
    <t>3,023,525.90</t>
  </si>
  <si>
    <t>164,049,678.46</t>
  </si>
  <si>
    <t>15,978.00</t>
  </si>
  <si>
    <t>14,999,975.17</t>
  </si>
  <si>
    <t>1,492,026.64</t>
  </si>
  <si>
    <t>2,025,533.50</t>
  </si>
  <si>
    <t>3,119,303.40</t>
  </si>
  <si>
    <t>300,550.00</t>
  </si>
  <si>
    <t>2,600,000.00</t>
  </si>
  <si>
    <t>3,312,885.56</t>
  </si>
  <si>
    <t>99,375.00</t>
  </si>
  <si>
    <t>12,903,732.38</t>
  </si>
  <si>
    <t>3,715.00</t>
  </si>
  <si>
    <t>253,740.00</t>
  </si>
  <si>
    <t>69,373.33</t>
  </si>
  <si>
    <t>50,161.00</t>
  </si>
  <si>
    <t>675,000.00</t>
  </si>
  <si>
    <t>979,600.00</t>
  </si>
  <si>
    <t>79,320.00</t>
  </si>
  <si>
    <t>390,600.00</t>
  </si>
  <si>
    <t>2,984,023.03</t>
  </si>
  <si>
    <t>158,652.80</t>
  </si>
  <si>
    <t>2,052,671.88</t>
  </si>
  <si>
    <t>573,483.69</t>
  </si>
  <si>
    <t>4,585,978.20</t>
  </si>
  <si>
    <t>425,035.00</t>
  </si>
  <si>
    <t>199,950.00</t>
  </si>
  <si>
    <t>10,503,282.50</t>
  </si>
  <si>
    <t>2,152,680.51</t>
  </si>
  <si>
    <t>72,300.00</t>
  </si>
  <si>
    <t>378,480.42</t>
  </si>
  <si>
    <t>1,522,173.97</t>
  </si>
  <si>
    <t>16,400,000.00</t>
  </si>
  <si>
    <t>199,978.00</t>
  </si>
  <si>
    <t>4,975,000.00</t>
  </si>
  <si>
    <t>10,498,598.40</t>
  </si>
  <si>
    <t>999,700.00</t>
  </si>
  <si>
    <t>224,660.00</t>
  </si>
  <si>
    <t>996,078.00</t>
  </si>
  <si>
    <t>156,400.00</t>
  </si>
  <si>
    <t>287,138.80</t>
  </si>
  <si>
    <t>6,965,000.00</t>
  </si>
  <si>
    <t>857,627.45</t>
  </si>
  <si>
    <t>198,587.03</t>
  </si>
  <si>
    <t>259,000.00</t>
  </si>
  <si>
    <t>1,814,818.32</t>
  </si>
  <si>
    <t>189,494.00</t>
  </si>
  <si>
    <t>32,792,641.77</t>
  </si>
  <si>
    <t>216,900.00</t>
  </si>
  <si>
    <t>12,887,344.21</t>
  </si>
  <si>
    <t>9,999,691.12</t>
  </si>
  <si>
    <t>115,160.00</t>
  </si>
  <si>
    <t>388,170.00</t>
  </si>
  <si>
    <t>252,545.00</t>
  </si>
  <si>
    <t>96,539,568.78</t>
  </si>
  <si>
    <t>90,092,797.91</t>
  </si>
  <si>
    <t>61,783,375.29</t>
  </si>
  <si>
    <t>532,343.53</t>
  </si>
  <si>
    <t>149,986.00</t>
  </si>
  <si>
    <t>3,484,000.00</t>
  </si>
  <si>
    <t>519,435.70</t>
  </si>
  <si>
    <t>16,273,238.60</t>
  </si>
  <si>
    <t>254,815.00</t>
  </si>
  <si>
    <t>223,997.00</t>
  </si>
  <si>
    <t>6,468,294.37</t>
  </si>
  <si>
    <t>43,200.00</t>
  </si>
  <si>
    <t>451,659.65</t>
  </si>
  <si>
    <t>191,200.00</t>
  </si>
  <si>
    <t>200,155.00</t>
  </si>
  <si>
    <t>747,700.00</t>
  </si>
  <si>
    <t>115,831.00</t>
  </si>
  <si>
    <t>1,099,800.00</t>
  </si>
  <si>
    <t>997,200.00</t>
  </si>
  <si>
    <t>19,761,430.40</t>
  </si>
  <si>
    <t>277,499.81</t>
  </si>
  <si>
    <t>98,675.00</t>
  </si>
  <si>
    <t>212,269.34</t>
  </si>
  <si>
    <t>592,000.00</t>
  </si>
  <si>
    <t>23,200,000.00</t>
  </si>
  <si>
    <t>483,100.00</t>
  </si>
  <si>
    <t>353,125.00</t>
  </si>
  <si>
    <t>2,729,000.00</t>
  </si>
  <si>
    <t>142,063,337.98</t>
  </si>
  <si>
    <t>5,068,586.35</t>
  </si>
  <si>
    <t>5,240,403.47</t>
  </si>
  <si>
    <t>8,750,000.00</t>
  </si>
  <si>
    <t>19,999,999.90</t>
  </si>
  <si>
    <t>2,429,125.00</t>
  </si>
  <si>
    <t>1,435,361.40</t>
  </si>
  <si>
    <t>204,900.00</t>
  </si>
  <si>
    <t>1,474,657.00</t>
  </si>
  <si>
    <t>1,326,532.80</t>
  </si>
  <si>
    <t>3,655,205.00</t>
  </si>
  <si>
    <t>299,980.22</t>
  </si>
  <si>
    <t>11,400,000.00</t>
  </si>
  <si>
    <t>211,600.00</t>
  </si>
  <si>
    <t>11,499,950.00</t>
  </si>
  <si>
    <t>999,997.38</t>
  </si>
  <si>
    <t>239,880.00</t>
  </si>
  <si>
    <t>11,960,000.00</t>
  </si>
  <si>
    <t>1,997,720.95</t>
  </si>
  <si>
    <t>999,959.18</t>
  </si>
  <si>
    <t>301,884.00</t>
  </si>
  <si>
    <t>587,306.91</t>
  </si>
  <si>
    <t>84,605.00</t>
  </si>
  <si>
    <t>105,760.00</t>
  </si>
  <si>
    <t>1,999,740.48</t>
  </si>
  <si>
    <t>1,813,956.60</t>
  </si>
  <si>
    <t>1,021,193.25</t>
  </si>
  <si>
    <t>4,440,000.00</t>
  </si>
  <si>
    <t>3,811,351.84</t>
  </si>
  <si>
    <t>999,999.05</t>
  </si>
  <si>
    <t>210,580.00</t>
  </si>
  <si>
    <t>1,081,952.82</t>
  </si>
  <si>
    <t>408,120.00</t>
  </si>
  <si>
    <t>62,385.00</t>
  </si>
  <si>
    <t>2,304,000.00</t>
  </si>
  <si>
    <t>2,868,181.16</t>
  </si>
  <si>
    <t>5,200,000.00</t>
  </si>
  <si>
    <t>11,595,855.62</t>
  </si>
  <si>
    <t>1,218,397.23</t>
  </si>
  <si>
    <t>2,564,000.00</t>
  </si>
  <si>
    <t>4,942,000.00</t>
  </si>
  <si>
    <t>898,445.07</t>
  </si>
  <si>
    <t>3,999,084.94</t>
  </si>
  <si>
    <t>2,999,363.40</t>
  </si>
  <si>
    <t>74,784.00</t>
  </si>
  <si>
    <t>1,299,991.86</t>
  </si>
  <si>
    <t>39,982,325.50</t>
  </si>
  <si>
    <t>2,991,535.67</t>
  </si>
  <si>
    <t>322,345.00</t>
  </si>
  <si>
    <t>106,547,910.00</t>
  </si>
  <si>
    <t>7,121,640.00</t>
  </si>
  <si>
    <t>62,479.00</t>
  </si>
  <si>
    <t>189,425.00</t>
  </si>
  <si>
    <t>30,304,622.95</t>
  </si>
  <si>
    <t>5,731,728.72</t>
  </si>
  <si>
    <t>3,400,000.00</t>
  </si>
  <si>
    <t>11,175,000.00</t>
  </si>
  <si>
    <t>1,435,743.30</t>
  </si>
  <si>
    <t>992,850.00</t>
  </si>
  <si>
    <t>4,320,000.00</t>
  </si>
  <si>
    <t>973,035.21</t>
  </si>
  <si>
    <t>8,956,500.00</t>
  </si>
  <si>
    <t>979,562.50</t>
  </si>
  <si>
    <t>278,000.00</t>
  </si>
  <si>
    <t>194,400.00</t>
  </si>
  <si>
    <t>381,628.47</t>
  </si>
  <si>
    <t>1,999,999.33</t>
  </si>
  <si>
    <t>4,045,907.16</t>
  </si>
  <si>
    <t>432,396.00</t>
  </si>
  <si>
    <t>355,343.00</t>
  </si>
  <si>
    <t>2,499,966.00</t>
  </si>
  <si>
    <t>851,038.98</t>
  </si>
  <si>
    <t>4,684,400.00</t>
  </si>
  <si>
    <t>2,051,366.25</t>
  </si>
  <si>
    <t>249,897.78</t>
  </si>
  <si>
    <t>238,000.00</t>
  </si>
  <si>
    <t>4,108,797.00</t>
  </si>
  <si>
    <t>192,500.00</t>
  </si>
  <si>
    <t>2,781,910.00</t>
  </si>
  <si>
    <t>398,605.31</t>
  </si>
  <si>
    <t>686,000.00</t>
  </si>
  <si>
    <t>1,159,474.36</t>
  </si>
  <si>
    <t>496,984.00</t>
  </si>
  <si>
    <t>731,066.00</t>
  </si>
  <si>
    <t>157,500.00</t>
  </si>
  <si>
    <t>1,466,931.00</t>
  </si>
  <si>
    <t>28,690.00</t>
  </si>
  <si>
    <t>9,996,588.22</t>
  </si>
  <si>
    <t>50,090,000.00</t>
  </si>
  <si>
    <t>289,500.00</t>
  </si>
  <si>
    <t>61,520.00</t>
  </si>
  <si>
    <t>1,426,500.00</t>
  </si>
  <si>
    <t>331,900.00</t>
  </si>
  <si>
    <t>19,570.00</t>
  </si>
  <si>
    <t>999,547.50</t>
  </si>
  <si>
    <t>57,272.50</t>
  </si>
  <si>
    <t>738,512.00</t>
  </si>
  <si>
    <t>277,000.00</t>
  </si>
  <si>
    <t>10,765,610.10</t>
  </si>
  <si>
    <t>2,072,175.00</t>
  </si>
  <si>
    <t>90,033.72</t>
  </si>
  <si>
    <t>3,211,933.56</t>
  </si>
  <si>
    <t>1,334,240.00</t>
  </si>
  <si>
    <t>162,146.40</t>
  </si>
  <si>
    <t>548,477.00</t>
  </si>
  <si>
    <t>8,600,000.00</t>
  </si>
  <si>
    <t>54,980.00</t>
  </si>
  <si>
    <t>1,265,594.54</t>
  </si>
  <si>
    <t>20,620,000.00</t>
  </si>
  <si>
    <t>4,950,023.62</t>
  </si>
  <si>
    <t>4,394,606.00</t>
  </si>
  <si>
    <t>12,481,333.50</t>
  </si>
  <si>
    <t>267,134.00</t>
  </si>
  <si>
    <t>277,430.00</t>
  </si>
  <si>
    <t>2,299,754.26</t>
  </si>
  <si>
    <t>3,464.00</t>
  </si>
  <si>
    <t>549,943.00</t>
  </si>
  <si>
    <t>15,605,394.00</t>
  </si>
  <si>
    <t>215,840.00</t>
  </si>
  <si>
    <t>1,701,625.00</t>
  </si>
  <si>
    <t>346,200.00</t>
  </si>
  <si>
    <t>176,555.25</t>
  </si>
  <si>
    <t>71,843.00</t>
  </si>
  <si>
    <t>1,212,362.00</t>
  </si>
  <si>
    <t>211,300.00</t>
  </si>
  <si>
    <t>103,455.00</t>
  </si>
  <si>
    <t>933,088.26</t>
  </si>
  <si>
    <t>1,568,299.05</t>
  </si>
  <si>
    <t>352,001.98</t>
  </si>
  <si>
    <t>89,660.00</t>
  </si>
  <si>
    <t>12,540,885.93</t>
  </si>
  <si>
    <t>278,800.00</t>
  </si>
  <si>
    <t>3,950,000.00</t>
  </si>
  <si>
    <t>71,770.00</t>
  </si>
  <si>
    <t>411,970.00</t>
  </si>
  <si>
    <t>34,550,000.00</t>
  </si>
  <si>
    <t>499,348.29</t>
  </si>
  <si>
    <t>1,060,000.00</t>
  </si>
  <si>
    <t>284,600.00</t>
  </si>
  <si>
    <t>64,290.00</t>
  </si>
  <si>
    <t>149,846.00</t>
  </si>
  <si>
    <t>1,999,655.02</t>
  </si>
  <si>
    <t>432,946.25</t>
  </si>
  <si>
    <t>268,000.00</t>
  </si>
  <si>
    <t>3,032,123.00</t>
  </si>
  <si>
    <t>325,939.00</t>
  </si>
  <si>
    <t>1,170,000.00</t>
  </si>
  <si>
    <t>239,000.00</t>
  </si>
  <si>
    <t>272,355.00</t>
  </si>
  <si>
    <t>429,800.00</t>
  </si>
  <si>
    <t>1,121,400.00</t>
  </si>
  <si>
    <t>260,300.00</t>
  </si>
  <si>
    <t>286,580.00</t>
  </si>
  <si>
    <t>1,259,873.84</t>
  </si>
  <si>
    <t>3,665,000.00</t>
  </si>
  <si>
    <t>374,851.05</t>
  </si>
  <si>
    <t>227,620.00</t>
  </si>
  <si>
    <t>5,040,000.00</t>
  </si>
  <si>
    <t>998,100.00</t>
  </si>
  <si>
    <t>280,500.00</t>
  </si>
  <si>
    <t>4,198,550.00</t>
  </si>
  <si>
    <t>232,320.00</t>
  </si>
  <si>
    <t>3,830,259.73</t>
  </si>
  <si>
    <t>149,425.00</t>
  </si>
  <si>
    <t>10,854,360.00</t>
  </si>
  <si>
    <t>4,805,950.00</t>
  </si>
  <si>
    <t>1,292,444.00</t>
  </si>
  <si>
    <t>1,999,594.90</t>
  </si>
  <si>
    <t>5,080,000.00</t>
  </si>
  <si>
    <t>193,633.62</t>
  </si>
  <si>
    <t>230,323.00</t>
  </si>
  <si>
    <t>124,890.00</t>
  </si>
  <si>
    <t>500,850.00</t>
  </si>
  <si>
    <t>3,050,000.00</t>
  </si>
  <si>
    <t>904,830.00</t>
  </si>
  <si>
    <t>1,500,797.00</t>
  </si>
  <si>
    <t>20,585.60</t>
  </si>
  <si>
    <t>2,064,700.00</t>
  </si>
  <si>
    <t>4,667,948.40</t>
  </si>
  <si>
    <t>349,700.00</t>
  </si>
  <si>
    <t>7,953,430.00</t>
  </si>
  <si>
    <t>1,519,262.60</t>
  </si>
  <si>
    <t>45,900.00</t>
  </si>
  <si>
    <t>2,006,020.00</t>
  </si>
  <si>
    <t>80,000,000.00</t>
  </si>
  <si>
    <t>7,331,900.00</t>
  </si>
  <si>
    <t>99,993.68</t>
  </si>
  <si>
    <t>1,135,800.00</t>
  </si>
  <si>
    <t>17,685.00</t>
  </si>
  <si>
    <t>2,261,000.00</t>
  </si>
  <si>
    <t>3,547,781.30</t>
  </si>
  <si>
    <t>120,467.20</t>
  </si>
  <si>
    <t>3,681,714.32</t>
  </si>
  <si>
    <t>1,030,950.00</t>
  </si>
  <si>
    <t>3,004,575.74</t>
  </si>
  <si>
    <t>257,509.00</t>
  </si>
  <si>
    <t>6,840,000.00</t>
  </si>
  <si>
    <t>9,307,372.03</t>
  </si>
  <si>
    <t>169,880.00</t>
  </si>
  <si>
    <t>251,805.00</t>
  </si>
  <si>
    <t>242,171.00</t>
  </si>
  <si>
    <t>1,907,220.37</t>
  </si>
  <si>
    <t>111,270.00</t>
  </si>
  <si>
    <t>1,630,000.00</t>
  </si>
  <si>
    <t>345,849.59</t>
  </si>
  <si>
    <t>108,504.88</t>
  </si>
  <si>
    <t>3,729,963.80</t>
  </si>
  <si>
    <t>3,150,000.00</t>
  </si>
  <si>
    <t>12,300.00</t>
  </si>
  <si>
    <t>2,016,260.50</t>
  </si>
  <si>
    <t>193,418.00</t>
  </si>
  <si>
    <t>2,662,104.16</t>
  </si>
  <si>
    <t>283,918.85</t>
  </si>
  <si>
    <t>2,747,910.00</t>
  </si>
  <si>
    <t>496,462.00</t>
  </si>
  <si>
    <t>861,994.85</t>
  </si>
  <si>
    <t>238,700.00</t>
  </si>
  <si>
    <t>92,092,134.99</t>
  </si>
  <si>
    <t>3,161,200.00</t>
  </si>
  <si>
    <t>338,800.00</t>
  </si>
  <si>
    <t>49,750,000.00</t>
  </si>
  <si>
    <t>406,560.00</t>
  </si>
  <si>
    <t>1,445,000.00</t>
  </si>
  <si>
    <t>219,430.00</t>
  </si>
  <si>
    <t>1,105,000.00</t>
  </si>
  <si>
    <t>12,373,217.23</t>
  </si>
  <si>
    <t>2,384,773.04</t>
  </si>
  <si>
    <t>847,425.00</t>
  </si>
  <si>
    <t>2,065,366.40</t>
  </si>
  <si>
    <t>94,274.40</t>
  </si>
  <si>
    <t>1,200,001.45</t>
  </si>
  <si>
    <t>1,305,175.66</t>
  </si>
  <si>
    <t>112,550.00</t>
  </si>
  <si>
    <t>1,944,791.88</t>
  </si>
  <si>
    <t>1,450,457.65</t>
  </si>
  <si>
    <t>6,404,893.74</t>
  </si>
  <si>
    <t>3,566,065.00</t>
  </si>
  <si>
    <t>5,464,195.00</t>
  </si>
  <si>
    <t>1,010,000.00</t>
  </si>
  <si>
    <t>1,082,500.00</t>
  </si>
  <si>
    <t>8,706.00</t>
  </si>
  <si>
    <t>3,818,500.00</t>
  </si>
  <si>
    <t>68,911.55</t>
  </si>
  <si>
    <t>645,878.00</t>
  </si>
  <si>
    <t>122,580.60</t>
  </si>
  <si>
    <t>2,853,955.24</t>
  </si>
  <si>
    <t>2,805,225.00</t>
  </si>
  <si>
    <t>26,900.00</t>
  </si>
  <si>
    <t>810,244.60</t>
  </si>
  <si>
    <t>1,131,377.16</t>
  </si>
  <si>
    <t>353,214.00</t>
  </si>
  <si>
    <t>1,182,058.29</t>
  </si>
  <si>
    <t>578,003.00</t>
  </si>
  <si>
    <t>2,072,432.03</t>
  </si>
  <si>
    <t>26,500,000.00</t>
  </si>
  <si>
    <t>4,503,000.00</t>
  </si>
  <si>
    <t>599,595.83</t>
  </si>
  <si>
    <t>6,620,000.00</t>
  </si>
  <si>
    <t>2,060,815.67</t>
  </si>
  <si>
    <t>5,049,964.74</t>
  </si>
  <si>
    <t>257,600.00</t>
  </si>
  <si>
    <t>51,840.00</t>
  </si>
  <si>
    <t>301,600.00</t>
  </si>
  <si>
    <t>319,200.00</t>
  </si>
  <si>
    <t>282,500.00</t>
  </si>
  <si>
    <t>340,408.50</t>
  </si>
  <si>
    <t>141,960.00</t>
  </si>
  <si>
    <t>2,626,845.74</t>
  </si>
  <si>
    <t>972,000.00</t>
  </si>
  <si>
    <t>760,700.00</t>
  </si>
  <si>
    <t>225,444.50</t>
  </si>
  <si>
    <t>971,750.00</t>
  </si>
  <si>
    <t>133,140.18</t>
  </si>
  <si>
    <t>7,821,050.93</t>
  </si>
  <si>
    <t>4,167,750.00</t>
  </si>
  <si>
    <t>937,950.00</t>
  </si>
  <si>
    <t>449,006.00</t>
  </si>
  <si>
    <t>357,200.00</t>
  </si>
  <si>
    <t>2,846,228.00</t>
  </si>
  <si>
    <t>8,933,165.00</t>
  </si>
  <si>
    <t>11,960,190.71</t>
  </si>
  <si>
    <t>299,583.25</t>
  </si>
  <si>
    <t>776,802.33</t>
  </si>
  <si>
    <t>115,800,000.00</t>
  </si>
  <si>
    <t>70,000,000.00</t>
  </si>
  <si>
    <t>100,005.00</t>
  </si>
  <si>
    <t>136,118.00</t>
  </si>
  <si>
    <t>1,120,000.00</t>
  </si>
  <si>
    <t>799,992.79</t>
  </si>
  <si>
    <t>2,912,460.78</t>
  </si>
  <si>
    <t>1,139,636.56</t>
  </si>
  <si>
    <t>2,909,614.66</t>
  </si>
  <si>
    <t>1,954,347.39</t>
  </si>
  <si>
    <t>1,921,752.00</t>
  </si>
  <si>
    <t>1,775,253.00</t>
  </si>
  <si>
    <t>499,925.94</t>
  </si>
  <si>
    <t>63,750,000.00</t>
  </si>
  <si>
    <t>4,845,999.67</t>
  </si>
  <si>
    <t>13,250,000.00</t>
  </si>
  <si>
    <t>215,536.00</t>
  </si>
  <si>
    <t>105,588.00</t>
  </si>
  <si>
    <t>16,100.00</t>
  </si>
  <si>
    <t>17,200.00</t>
  </si>
  <si>
    <t>255,700.00</t>
  </si>
  <si>
    <t>1,061,168.95</t>
  </si>
  <si>
    <t>4,570,731.00</t>
  </si>
  <si>
    <t>28,750,000.00</t>
  </si>
  <si>
    <t>2,320,390.00</t>
  </si>
  <si>
    <t>17,526,700.00</t>
  </si>
  <si>
    <t>79,064.00</t>
  </si>
  <si>
    <t>2,109,484.00</t>
  </si>
  <si>
    <t>13,823,000.00</t>
  </si>
  <si>
    <t>3,959,985.30</t>
  </si>
  <si>
    <t>2,610,000.00</t>
  </si>
  <si>
    <t>701,710.00</t>
  </si>
  <si>
    <t>2,094,148.91</t>
  </si>
  <si>
    <t>149,244.75</t>
  </si>
  <si>
    <t>1,466,000.00</t>
  </si>
  <si>
    <t>1,663,657.97</t>
  </si>
  <si>
    <t>176,703.50</t>
  </si>
  <si>
    <t>199,936.01</t>
  </si>
  <si>
    <t>299,398.06</t>
  </si>
  <si>
    <t>998,019.00</t>
  </si>
  <si>
    <t>1,728,000.00</t>
  </si>
  <si>
    <t>2,513,150.00</t>
  </si>
  <si>
    <t>499,218.00</t>
  </si>
  <si>
    <t>999,570.00</t>
  </si>
  <si>
    <t>1,496,737.14</t>
  </si>
  <si>
    <t>23,150.00</t>
  </si>
  <si>
    <t>199,690.00</t>
  </si>
  <si>
    <t>1,144,590.90</t>
  </si>
  <si>
    <t>127,140,000.00</t>
  </si>
  <si>
    <t>25,456.00</t>
  </si>
  <si>
    <t>999,432.50</t>
  </si>
  <si>
    <t>522,500.00</t>
  </si>
  <si>
    <t>2,215,139.00</t>
  </si>
  <si>
    <t>1,032,540.20</t>
  </si>
  <si>
    <t>2,191,075.00</t>
  </si>
  <si>
    <t>2,999,999.67</t>
  </si>
  <si>
    <t>4,216,000.00</t>
  </si>
  <si>
    <t>1,881,991.40</t>
  </si>
  <si>
    <t>2,726,500.00</t>
  </si>
  <si>
    <t>1,968,791.19</t>
  </si>
  <si>
    <t>220,884.00</t>
  </si>
  <si>
    <t>1,951,693.72</t>
  </si>
  <si>
    <t>22,801,822.76</t>
  </si>
  <si>
    <t>96,499,135.60</t>
  </si>
  <si>
    <t>1,959,230.12</t>
  </si>
  <si>
    <t>1,910,000.00</t>
  </si>
  <si>
    <t>19,899,786.54</t>
  </si>
  <si>
    <t>4,181,955.90</t>
  </si>
  <si>
    <t>1,543,839.67</t>
  </si>
  <si>
    <t>3,837,420.00</t>
  </si>
  <si>
    <t>3,970,000.00</t>
  </si>
  <si>
    <t>1,384,000.00</t>
  </si>
  <si>
    <t>14,057,904.00</t>
  </si>
  <si>
    <t>199,920.00</t>
  </si>
  <si>
    <t>2,025,000.00</t>
  </si>
  <si>
    <t>3,777,000.00</t>
  </si>
  <si>
    <t>514,000.00</t>
  </si>
  <si>
    <t>7,739,249.00</t>
  </si>
  <si>
    <t>365,450.00</t>
  </si>
  <si>
    <t>10,710,930.10</t>
  </si>
  <si>
    <t>4,778,950.29</t>
  </si>
  <si>
    <t>256,086.00</t>
  </si>
  <si>
    <t>1,614,126.00</t>
  </si>
  <si>
    <t>86,500,000.00</t>
  </si>
  <si>
    <t>1,780,000.00</t>
  </si>
  <si>
    <t>1,199,800.00</t>
  </si>
  <si>
    <t>221,926,429.00</t>
  </si>
  <si>
    <t>567,600.00</t>
  </si>
  <si>
    <t>446,500.00</t>
  </si>
  <si>
    <t>3,630,000.00</t>
  </si>
  <si>
    <t>198,874.00</t>
  </si>
  <si>
    <t>673,200.00</t>
  </si>
  <si>
    <t>4,820,000.00</t>
  </si>
  <si>
    <t>458,840.00</t>
  </si>
  <si>
    <t>419,000.00</t>
  </si>
  <si>
    <t>12,886,480.00</t>
  </si>
  <si>
    <t>4,416,000.00</t>
  </si>
  <si>
    <t>158,050.50</t>
  </si>
  <si>
    <t>2,370,000.00</t>
  </si>
  <si>
    <t>232,200.00</t>
  </si>
  <si>
    <t>8,295,112.00</t>
  </si>
  <si>
    <t>447,134.00</t>
  </si>
  <si>
    <t>3,875,000.00</t>
  </si>
  <si>
    <t>641,414.36</t>
  </si>
  <si>
    <t>4,949,981.73</t>
  </si>
  <si>
    <t>90,919.67</t>
  </si>
  <si>
    <t>1,225,050.00</t>
  </si>
  <si>
    <t>398,180.00</t>
  </si>
  <si>
    <t>1,485,000.00</t>
  </si>
  <si>
    <t>3,959,992.62</t>
  </si>
  <si>
    <t>4,454,985.06</t>
  </si>
  <si>
    <t>5,444,985.82</t>
  </si>
  <si>
    <t>48,255,025.00</t>
  </si>
  <si>
    <t>579,100.00</t>
  </si>
  <si>
    <t>7,850,000.00</t>
  </si>
  <si>
    <t>1,749,420.92</t>
  </si>
  <si>
    <t>1,520,532.09</t>
  </si>
  <si>
    <t>38,003,199.20</t>
  </si>
  <si>
    <t>3,338,000.00</t>
  </si>
  <si>
    <t>335,724.64</t>
  </si>
  <si>
    <t>451,913,535.60</t>
  </si>
  <si>
    <t>6,074,526.96</t>
  </si>
  <si>
    <t>12,259,165.21</t>
  </si>
  <si>
    <t>2,999,945.75</t>
  </si>
  <si>
    <t>300,314.83</t>
  </si>
  <si>
    <t>527,000.00</t>
  </si>
  <si>
    <t>4,506,000.00</t>
  </si>
  <si>
    <t>3,959,983.34</t>
  </si>
  <si>
    <t>1,126,081.32</t>
  </si>
  <si>
    <t>2,996,762.15</t>
  </si>
  <si>
    <t>1,498,147.55</t>
  </si>
  <si>
    <t>3,018,400.00</t>
  </si>
  <si>
    <t>79,996,070.00</t>
  </si>
  <si>
    <t>14,566,674.50</t>
  </si>
  <si>
    <t>2,991,217.61</t>
  </si>
  <si>
    <t>1,996,643.89</t>
  </si>
  <si>
    <t>10,101,000.00</t>
  </si>
  <si>
    <t>204,398.87</t>
  </si>
  <si>
    <t>388,350.00</t>
  </si>
  <si>
    <t>34,184,969.16</t>
  </si>
  <si>
    <t>2,996,117.47</t>
  </si>
  <si>
    <t>100,336,108.59</t>
  </si>
  <si>
    <t>110,898,926.55</t>
  </si>
  <si>
    <t>1,998,903.93</t>
  </si>
  <si>
    <t>790,218.00</t>
  </si>
  <si>
    <t>8,208,000.00</t>
  </si>
  <si>
    <t>30,100,000.00</t>
  </si>
  <si>
    <t>848,800.00</t>
  </si>
  <si>
    <t>136,893,553.40</t>
  </si>
  <si>
    <t>6,870,666.37</t>
  </si>
  <si>
    <t>1,739,567.35</t>
  </si>
  <si>
    <t>792,260.00</t>
  </si>
  <si>
    <t>218,827.00</t>
  </si>
  <si>
    <t>1,198,200.00</t>
  </si>
  <si>
    <t>274,000.00</t>
  </si>
  <si>
    <t>498,244.52</t>
  </si>
  <si>
    <t>78,540.00</t>
  </si>
  <si>
    <t>1,270,141.60</t>
  </si>
  <si>
    <t>279,851.25</t>
  </si>
  <si>
    <t>20,900,000.00</t>
  </si>
  <si>
    <t>38,000.00</t>
  </si>
  <si>
    <t>4,207,753.71</t>
  </si>
  <si>
    <t>6,241,280.00</t>
  </si>
  <si>
    <t>1,498,893.76</t>
  </si>
  <si>
    <t>13,452,000.00</t>
  </si>
  <si>
    <t>115,230.00</t>
  </si>
  <si>
    <t>1,710,000.00</t>
  </si>
  <si>
    <t>5,876,500.00</t>
  </si>
  <si>
    <t>1,747,787.50</t>
  </si>
  <si>
    <t>1,496,475.25</t>
  </si>
  <si>
    <t>22,354,106.69</t>
  </si>
  <si>
    <t>4,019,110.24</t>
  </si>
  <si>
    <t>891,364.00</t>
  </si>
  <si>
    <t>144,200.00</t>
  </si>
  <si>
    <t>292,764.00</t>
  </si>
  <si>
    <t>732,723.91</t>
  </si>
  <si>
    <t>1,728,797.02</t>
  </si>
  <si>
    <t>2,295,702.00</t>
  </si>
  <si>
    <t>999,816.29</t>
  </si>
  <si>
    <t>7,338,900.00</t>
  </si>
  <si>
    <t>5,014,352.00</t>
  </si>
  <si>
    <t>2,553,600.00</t>
  </si>
  <si>
    <t>51,930,054.53</t>
  </si>
  <si>
    <t>7,367,239.57</t>
  </si>
  <si>
    <t>3,762,225.00</t>
  </si>
  <si>
    <t>277,049.98</t>
  </si>
  <si>
    <t>16,605,835.41</t>
  </si>
  <si>
    <t>1,660,000.00</t>
  </si>
  <si>
    <t>924,004.00</t>
  </si>
  <si>
    <t>322,905.00</t>
  </si>
  <si>
    <t>1,755,000.00</t>
  </si>
  <si>
    <t>9,750,000.00</t>
  </si>
  <si>
    <t>2,924,897.55</t>
  </si>
  <si>
    <t>12,937,591.44</t>
  </si>
  <si>
    <t>3,900,010.79</t>
  </si>
  <si>
    <t>3,171,740.00</t>
  </si>
  <si>
    <t>1,264,220.00</t>
  </si>
  <si>
    <t>780,212.00</t>
  </si>
  <si>
    <t>1,166,250.00</t>
  </si>
  <si>
    <t>4,455,000.00</t>
  </si>
  <si>
    <t>852,500.00</t>
  </si>
  <si>
    <t>1,029,000.00</t>
  </si>
  <si>
    <t>5,667,551.40</t>
  </si>
  <si>
    <t>4,690,142.28</t>
  </si>
  <si>
    <t>445,552.87</t>
  </si>
  <si>
    <t>300,865.00</t>
  </si>
  <si>
    <t>15,594,400.00</t>
  </si>
  <si>
    <t>1,924,864.32</t>
  </si>
  <si>
    <t>175,064.89</t>
  </si>
  <si>
    <t>3,998,999.31</t>
  </si>
  <si>
    <t>1,999,876.37</t>
  </si>
  <si>
    <t>789,840.67</t>
  </si>
  <si>
    <t>667,064.01</t>
  </si>
  <si>
    <t>357,130.33</t>
  </si>
  <si>
    <t>1,204,562.00</t>
  </si>
  <si>
    <t>378,590.00</t>
  </si>
  <si>
    <t>3,850,000.00</t>
  </si>
  <si>
    <t>357,500.00</t>
  </si>
  <si>
    <t>1,398,918.57</t>
  </si>
  <si>
    <t>597,207.25</t>
  </si>
  <si>
    <t>1,352,000.00</t>
  </si>
  <si>
    <t>299,922.25</t>
  </si>
  <si>
    <t>421,981.50</t>
  </si>
  <si>
    <t>1,996,104.97</t>
  </si>
  <si>
    <t>175,500.00</t>
  </si>
  <si>
    <t>1,799,793.00</t>
  </si>
  <si>
    <t>111,286.38</t>
  </si>
  <si>
    <t>1,979,983.76</t>
  </si>
  <si>
    <t>200,650.00</t>
  </si>
  <si>
    <t>177,299.53</t>
  </si>
  <si>
    <t>426,434.55</t>
  </si>
  <si>
    <t>2,895,745.00</t>
  </si>
  <si>
    <t>13,720,000.00</t>
  </si>
  <si>
    <t>11,760,000.00</t>
  </si>
  <si>
    <t>1,799,783.48</t>
  </si>
  <si>
    <t>995,775.00</t>
  </si>
  <si>
    <t>2,156,232.40</t>
  </si>
  <si>
    <t>1,821,875.38</t>
  </si>
  <si>
    <t>437,019.00</t>
  </si>
  <si>
    <t>2,999,917.45</t>
  </si>
  <si>
    <t>1,701,939.04</t>
  </si>
  <si>
    <t>276,484.43</t>
  </si>
  <si>
    <t>147,550.00</t>
  </si>
  <si>
    <t>386,398.60</t>
  </si>
  <si>
    <t>1,228,797.30</t>
  </si>
  <si>
    <t>2,943,939.63</t>
  </si>
  <si>
    <t>6,900,000.00</t>
  </si>
  <si>
    <t>49,973,529.61</t>
  </si>
  <si>
    <t>1,969,094.36</t>
  </si>
  <si>
    <t>7,596,824.28</t>
  </si>
  <si>
    <t>39,831,170.00</t>
  </si>
  <si>
    <t>2,542,486.00</t>
  </si>
  <si>
    <t>499,916.66</t>
  </si>
  <si>
    <t>1,499,928.02</t>
  </si>
  <si>
    <t>1,415,833.30</t>
  </si>
  <si>
    <t>125,450,000.00</t>
  </si>
  <si>
    <t>156,487,295.00</t>
  </si>
  <si>
    <t>720,328.00</t>
  </si>
  <si>
    <t>1,007,304.10</t>
  </si>
  <si>
    <t>485,772.30</t>
  </si>
  <si>
    <t>486,659.23</t>
  </si>
  <si>
    <t>476,207.20</t>
  </si>
  <si>
    <t>4,710,000.00</t>
  </si>
  <si>
    <t>1,002,960.00</t>
  </si>
  <si>
    <t>1,886,393.85</t>
  </si>
  <si>
    <t>1,409,491.95</t>
  </si>
  <si>
    <t>1,442,726.01</t>
  </si>
  <si>
    <t>7,984,124.82</t>
  </si>
  <si>
    <t>5,057,894.40</t>
  </si>
  <si>
    <t>988,704.99</t>
  </si>
  <si>
    <t>1,605,000.00</t>
  </si>
  <si>
    <t>57,969.00</t>
  </si>
  <si>
    <t>619,357.40</t>
  </si>
  <si>
    <t>2,994,025.66</t>
  </si>
  <si>
    <t>6,881,068.35</t>
  </si>
  <si>
    <t>76,635.00</t>
  </si>
  <si>
    <t>7,989.00</t>
  </si>
  <si>
    <t>599,490.00</t>
  </si>
  <si>
    <t>3,785,425.00</t>
  </si>
  <si>
    <t>1,020,000.00</t>
  </si>
  <si>
    <t>2,211,800.00</t>
  </si>
  <si>
    <t>2,900,300.00</t>
  </si>
  <si>
    <t>12,437,498.91</t>
  </si>
  <si>
    <t>12,437,492.84</t>
  </si>
  <si>
    <t>2,850,500.00</t>
  </si>
  <si>
    <t>14,849,993.96</t>
  </si>
  <si>
    <t>1,065,000.00</t>
  </si>
  <si>
    <t>4,949,999.40</t>
  </si>
  <si>
    <t>19,573,000.00</t>
  </si>
  <si>
    <t>33,600.00</t>
  </si>
  <si>
    <t>6,929,901.31</t>
  </si>
  <si>
    <t>19,599,929.57</t>
  </si>
  <si>
    <t>5,535,000.00</t>
  </si>
  <si>
    <t>12,205,896.88</t>
  </si>
  <si>
    <t>10,900,000.00</t>
  </si>
  <si>
    <t>3,630,400.00</t>
  </si>
  <si>
    <t>3,780,000.00</t>
  </si>
  <si>
    <t>173,700,000.00</t>
  </si>
  <si>
    <t>7,839,744.71</t>
  </si>
  <si>
    <t>78,500.00</t>
  </si>
  <si>
    <t>630,208.34</t>
  </si>
  <si>
    <t>2,284,999.76</t>
  </si>
  <si>
    <t>1,986,428.47</t>
  </si>
  <si>
    <t>7,809,993.27</t>
  </si>
  <si>
    <t>2,499,507.46</t>
  </si>
  <si>
    <t>1,595,957.20</t>
  </si>
  <si>
    <t>89,100.00</t>
  </si>
  <si>
    <t>1,371,400.00</t>
  </si>
  <si>
    <t>75,700.00</t>
  </si>
  <si>
    <t>475,159.70</t>
  </si>
  <si>
    <t>645,000.00</t>
  </si>
  <si>
    <t>2,329,495.00</t>
  </si>
  <si>
    <t>3,681,342.49</t>
  </si>
  <si>
    <t>7,920,969.67</t>
  </si>
  <si>
    <t>2,138,994.66</t>
  </si>
  <si>
    <t>994,900.88</t>
  </si>
  <si>
    <t>1,810,480.00</t>
  </si>
  <si>
    <t>760,648.08</t>
  </si>
  <si>
    <t>1,198,840.00</t>
  </si>
  <si>
    <t>123,183.00</t>
  </si>
  <si>
    <t>46,476,488.22</t>
  </si>
  <si>
    <t>1,637,671.80</t>
  </si>
  <si>
    <t>1,323,118.00</t>
  </si>
  <si>
    <t>5,730,000.00</t>
  </si>
  <si>
    <t>3,570,000.00</t>
  </si>
  <si>
    <t>12,573,031.61</t>
  </si>
  <si>
    <t>4,068,794.78</t>
  </si>
  <si>
    <t>249,837.00</t>
  </si>
  <si>
    <t>9,006,812.84</t>
  </si>
  <si>
    <t>643,355.64</t>
  </si>
  <si>
    <t>1,268,139.28</t>
  </si>
  <si>
    <t>1,906,000.00</t>
  </si>
  <si>
    <t>999,990.47</t>
  </si>
  <si>
    <t>498,474.25</t>
  </si>
  <si>
    <t>526,300.44</t>
  </si>
  <si>
    <t>1,933,414.75</t>
  </si>
  <si>
    <t>2,442,213.20</t>
  </si>
  <si>
    <t>286,467.83</t>
  </si>
  <si>
    <t>2,255,838.00</t>
  </si>
  <si>
    <t>28,132,555.60</t>
  </si>
  <si>
    <t>132,886.00</t>
  </si>
  <si>
    <t>1,641,460.00</t>
  </si>
  <si>
    <t>494,404.50</t>
  </si>
  <si>
    <t>3,789,415.39</t>
  </si>
  <si>
    <t>39,949,202.70</t>
  </si>
  <si>
    <t>4,297,680.00</t>
  </si>
  <si>
    <t>9,999,730.00</t>
  </si>
  <si>
    <t>91,594,800.00</t>
  </si>
  <si>
    <t>23,202,850.00</t>
  </si>
  <si>
    <t>13,650.00</t>
  </si>
  <si>
    <t>121,747,719.60</t>
  </si>
  <si>
    <t>51,739,938.60</t>
  </si>
  <si>
    <t>4,116,000.00</t>
  </si>
  <si>
    <t>1,500,000.01</t>
  </si>
  <si>
    <t>13,860,333.50</t>
  </si>
  <si>
    <t>2,674,200.00</t>
  </si>
  <si>
    <t>22,266,406.34</t>
  </si>
  <si>
    <t>44,620,722.10</t>
  </si>
  <si>
    <t>972,164.97</t>
  </si>
  <si>
    <t>992,750.00</t>
  </si>
  <si>
    <t>96,485,000.00</t>
  </si>
  <si>
    <t>576,531.47</t>
  </si>
  <si>
    <t>689,000.00</t>
  </si>
  <si>
    <t>6,465,000.00</t>
  </si>
  <si>
    <t>5,210,000.00</t>
  </si>
  <si>
    <t>307,908.75</t>
  </si>
  <si>
    <t>3,812,850.37</t>
  </si>
  <si>
    <t>12,871,311.75</t>
  </si>
  <si>
    <t>13,000,000.00</t>
  </si>
  <si>
    <t>381,598.00</t>
  </si>
  <si>
    <t>3,549,231.12</t>
  </si>
  <si>
    <t>921,887.64</t>
  </si>
  <si>
    <t>307,405.00</t>
  </si>
  <si>
    <t>2,393,400.70</t>
  </si>
  <si>
    <t>97,465,000.00</t>
  </si>
  <si>
    <t>497,879.22</t>
  </si>
  <si>
    <t>39,607,515.00</t>
  </si>
  <si>
    <t>878,330.00</t>
  </si>
  <si>
    <t>3,331,538.00</t>
  </si>
  <si>
    <t>625,100.00</t>
  </si>
  <si>
    <t>643,487.00</t>
  </si>
  <si>
    <t>9,399,999.99</t>
  </si>
  <si>
    <t>1,057,368.18</t>
  </si>
  <si>
    <t>194,297.00</t>
  </si>
  <si>
    <t>1,983,831.70</t>
  </si>
  <si>
    <t>499,787.27</t>
  </si>
  <si>
    <t>422,500.00</t>
  </si>
  <si>
    <t>607,808.24</t>
  </si>
  <si>
    <t>485,802.00</t>
  </si>
  <si>
    <t>1,831,171.81</t>
  </si>
  <si>
    <t>1,999,511.20</t>
  </si>
  <si>
    <t>1,215,000.00</t>
  </si>
  <si>
    <t>12,319,980.63</t>
  </si>
  <si>
    <t>45,513,483.11</t>
  </si>
  <si>
    <t>294,416.00</t>
  </si>
  <si>
    <t>142,310.00</t>
  </si>
  <si>
    <t>11,980,940.17</t>
  </si>
  <si>
    <t>29,586.98</t>
  </si>
  <si>
    <t>5,376,884.73</t>
  </si>
  <si>
    <t>126,185,000.00</t>
  </si>
  <si>
    <t>6,853,580.00</t>
  </si>
  <si>
    <t>11,770,000.00</t>
  </si>
  <si>
    <t>296,397.00</t>
  </si>
  <si>
    <t>12,027,429.07</t>
  </si>
  <si>
    <t>12,880,500.00</t>
  </si>
  <si>
    <t>889,258.40</t>
  </si>
  <si>
    <t>1,360,000.00</t>
  </si>
  <si>
    <t>4,459,860.42</t>
  </si>
  <si>
    <t>18,674,267.90</t>
  </si>
  <si>
    <t>497,561.54</t>
  </si>
  <si>
    <t>670,932.97</t>
  </si>
  <si>
    <t>41,526,687.32</t>
  </si>
  <si>
    <t>3,250,000.00</t>
  </si>
  <si>
    <t>29,399,656.12</t>
  </si>
  <si>
    <t>7,839,771.30</t>
  </si>
  <si>
    <t>67,549,538.66</t>
  </si>
  <si>
    <t>14,929,000.00</t>
  </si>
  <si>
    <t>6,335,685.00</t>
  </si>
  <si>
    <t>10,400,000.00</t>
  </si>
  <si>
    <t>44,099,506.17</t>
  </si>
  <si>
    <t>569,960.00</t>
  </si>
  <si>
    <t>41,466,365.11</t>
  </si>
  <si>
    <t>47,025,939.88</t>
  </si>
  <si>
    <t>17,538,957.00</t>
  </si>
  <si>
    <t>1,907,465.00</t>
  </si>
  <si>
    <t>5,997,430.16</t>
  </si>
  <si>
    <t>691,000.00</t>
  </si>
  <si>
    <t>217,107.00</t>
  </si>
  <si>
    <t>4,493,000.00</t>
  </si>
  <si>
    <t>456,399.00</t>
  </si>
  <si>
    <t>625,548.12</t>
  </si>
  <si>
    <t>12,320,000.00</t>
  </si>
  <si>
    <t>29,357,981.72</t>
  </si>
  <si>
    <t>3,071,468.00</t>
  </si>
  <si>
    <t>380,320.00</t>
  </si>
  <si>
    <t>2,470,000.00</t>
  </si>
  <si>
    <t>9,949,534.06</t>
  </si>
  <si>
    <t>906,500.00</t>
  </si>
  <si>
    <t>2,625,000.00</t>
  </si>
  <si>
    <t>6,540,917.00</t>
  </si>
  <si>
    <t>1,099,364.29</t>
  </si>
  <si>
    <t>499,977.40</t>
  </si>
  <si>
    <t>14,849,536.31</t>
  </si>
  <si>
    <t>100,028.00</t>
  </si>
  <si>
    <t>645,588.11</t>
  </si>
  <si>
    <t>1,049,884.60</t>
  </si>
  <si>
    <t>124,836.00</t>
  </si>
  <si>
    <t>3,940,000.00</t>
  </si>
  <si>
    <t>964,992.00</t>
  </si>
  <si>
    <t>95,333.00</t>
  </si>
  <si>
    <t>1,414,347.97</t>
  </si>
  <si>
    <t>1,470,480.06</t>
  </si>
  <si>
    <t>2,765,000.00</t>
  </si>
  <si>
    <t>2,575,542.70</t>
  </si>
  <si>
    <t>1,299,346.78</t>
  </si>
  <si>
    <t>344,780.00</t>
  </si>
  <si>
    <t>600,904.93</t>
  </si>
  <si>
    <t>39,150,780.28</t>
  </si>
  <si>
    <t>2,999,509.52</t>
  </si>
  <si>
    <t>9,085,000.00</t>
  </si>
  <si>
    <t>1,184,080.50</t>
  </si>
  <si>
    <t>9,699,606.89</t>
  </si>
  <si>
    <t>14,892,737.30</t>
  </si>
  <si>
    <t>247,800.00</t>
  </si>
  <si>
    <t>4,999,096.90</t>
  </si>
  <si>
    <t>3,999,033.56</t>
  </si>
  <si>
    <t>1,941,917.32</t>
  </si>
  <si>
    <t>1,417,113.06</t>
  </si>
  <si>
    <t>1,939,441.50</t>
  </si>
  <si>
    <t>3,957,148.43</t>
  </si>
  <si>
    <t>9,347,667.90</t>
  </si>
  <si>
    <t>1,473,611.65</t>
  </si>
  <si>
    <t>1,648,791.13</t>
  </si>
  <si>
    <t>78,034.50</t>
  </si>
  <si>
    <t>202,013,920.60</t>
  </si>
  <si>
    <t>9,799,940.73</t>
  </si>
  <si>
    <t>1,499,241.80</t>
  </si>
  <si>
    <t>35,995,501.92</t>
  </si>
  <si>
    <t>1,207,197.00</t>
  </si>
  <si>
    <t>4,999,972.27</t>
  </si>
  <si>
    <t>4,999,510.93</t>
  </si>
  <si>
    <t>4,736,951.25</t>
  </si>
  <si>
    <t>14,553,120.89</t>
  </si>
  <si>
    <t>7,718,819.23</t>
  </si>
  <si>
    <t>1,999,991.50</t>
  </si>
  <si>
    <t>9,901,834.38</t>
  </si>
  <si>
    <t>1,469,915.91</t>
  </si>
  <si>
    <t>8,886,200.00</t>
  </si>
  <si>
    <t>12,722,670.00</t>
  </si>
  <si>
    <t>2,496,424.39</t>
  </si>
  <si>
    <t>7,809,192.00</t>
  </si>
  <si>
    <t>238,775.36</t>
  </si>
  <si>
    <t>1,999,954.54</t>
  </si>
  <si>
    <t>1,448,695.84</t>
  </si>
  <si>
    <t>100,050.00</t>
  </si>
  <si>
    <t>2,379,300.00</t>
  </si>
  <si>
    <t>1,499,985.49</t>
  </si>
  <si>
    <t>179,300.00</t>
  </si>
  <si>
    <t>190,200.00</t>
  </si>
  <si>
    <t>4,025,000.00</t>
  </si>
  <si>
    <t>19,986,000.00</t>
  </si>
  <si>
    <t>1,088,200.00</t>
  </si>
  <si>
    <t>104,470.00</t>
  </si>
  <si>
    <t>2,940,640.00</t>
  </si>
  <si>
    <t>4,530,000.00</t>
  </si>
  <si>
    <t>143,670.00</t>
  </si>
  <si>
    <t>255,717.40</t>
  </si>
  <si>
    <t>597,530.00</t>
  </si>
  <si>
    <t>2,804,439.10</t>
  </si>
  <si>
    <t>327,350.00</t>
  </si>
  <si>
    <t>5,026,000.00</t>
  </si>
  <si>
    <t>2,522,694.40</t>
  </si>
  <si>
    <t>2,296,787.13</t>
  </si>
  <si>
    <t>2,530,000.00</t>
  </si>
  <si>
    <t>1,827,244.57</t>
  </si>
  <si>
    <t>26,054,280.00</t>
  </si>
  <si>
    <t>1,311,182.92</t>
  </si>
  <si>
    <t>51,790.00</t>
  </si>
  <si>
    <t>4,375,000.00</t>
  </si>
  <si>
    <t>1,198,482.00</t>
  </si>
  <si>
    <t>102,533.00</t>
  </si>
  <si>
    <t>249,201.00</t>
  </si>
  <si>
    <t>133,479.40</t>
  </si>
  <si>
    <t>75,761.00</t>
  </si>
  <si>
    <t>178,900.00</t>
  </si>
  <si>
    <t>3,238,102.53</t>
  </si>
  <si>
    <t>995,530.00</t>
  </si>
  <si>
    <t>1,351,775.25</t>
  </si>
  <si>
    <t>7,819,101.44</t>
  </si>
  <si>
    <t>2,738,079.18</t>
  </si>
  <si>
    <t>65,390.00</t>
  </si>
  <si>
    <t>239,150.00</t>
  </si>
  <si>
    <t>9,747,931.19</t>
  </si>
  <si>
    <t>2,733,441.70</t>
  </si>
  <si>
    <t>353,600.00</t>
  </si>
  <si>
    <t>1,247,175.00</t>
  </si>
  <si>
    <t>330,140.00</t>
  </si>
  <si>
    <t>3,893,000.00</t>
  </si>
  <si>
    <t>1,499,729.60</t>
  </si>
  <si>
    <t>3,499,399.19</t>
  </si>
  <si>
    <t>381,040.00</t>
  </si>
  <si>
    <t>3,720,000.00</t>
  </si>
  <si>
    <t>993,290.00</t>
  </si>
  <si>
    <t>903,090.00</t>
  </si>
  <si>
    <t>479,240.00</t>
  </si>
  <si>
    <t>1,180,000.00</t>
  </si>
  <si>
    <t>2,929,319.94</t>
  </si>
  <si>
    <t>11,999,978.69</t>
  </si>
  <si>
    <t>2,250,000.00</t>
  </si>
  <si>
    <t>1,941,567.90</t>
  </si>
  <si>
    <t>599,000.00</t>
  </si>
  <si>
    <t>565,000.00</t>
  </si>
  <si>
    <t>1,979,947.50</t>
  </si>
  <si>
    <t>5,380,000.00</t>
  </si>
  <si>
    <t>353,860.00</t>
  </si>
  <si>
    <t>14,416,773.84</t>
  </si>
  <si>
    <t>764,525.00</t>
  </si>
  <si>
    <t>3,518,500.00</t>
  </si>
  <si>
    <t>1,979,615.63</t>
  </si>
  <si>
    <t>2,070,601.44</t>
  </si>
  <si>
    <t>1,157,408.00</t>
  </si>
  <si>
    <t>1,980,233.13</t>
  </si>
  <si>
    <t>1,339,000.00</t>
  </si>
  <si>
    <t>4,341,374.70</t>
  </si>
  <si>
    <t>2,400.00</t>
  </si>
  <si>
    <t>1,466,753.46</t>
  </si>
  <si>
    <t>12,803,261.69</t>
  </si>
  <si>
    <t>3,928,214.97</t>
  </si>
  <si>
    <t>507,710.00</t>
  </si>
  <si>
    <t>1,983,284.00</t>
  </si>
  <si>
    <t>492,290.00</t>
  </si>
  <si>
    <t>2,971,821.36</t>
  </si>
  <si>
    <t>6,380,000.00</t>
  </si>
  <si>
    <t>2,252,704.34</t>
  </si>
  <si>
    <t>93,757.50</t>
  </si>
  <si>
    <t>1,617,000.00</t>
  </si>
  <si>
    <t>1,320,797.85</t>
  </si>
  <si>
    <t>2,488,491.57</t>
  </si>
  <si>
    <t>1,086,763.00</t>
  </si>
  <si>
    <t>3,555,000.00</t>
  </si>
  <si>
    <t>2,035,204.00</t>
  </si>
  <si>
    <t>12,760,000.00</t>
  </si>
  <si>
    <t>332,310.00</t>
  </si>
  <si>
    <t>599,979.75</t>
  </si>
  <si>
    <t>5,106,000.00</t>
  </si>
  <si>
    <t>2,497,471.92</t>
  </si>
  <si>
    <t>2,590,000.00</t>
  </si>
  <si>
    <t>772,170.33</t>
  </si>
  <si>
    <t>6,082,560.00</t>
  </si>
  <si>
    <t>1,790,588.00</t>
  </si>
  <si>
    <t>1,384,430.00</t>
  </si>
  <si>
    <t>93,000,000.00</t>
  </si>
  <si>
    <t>2,976,485.00</t>
  </si>
  <si>
    <t>601,730.00</t>
  </si>
  <si>
    <t>156,229.00</t>
  </si>
  <si>
    <t>1,063,087.40</t>
  </si>
  <si>
    <t>1,239,550.89</t>
  </si>
  <si>
    <t>1,398,000.00</t>
  </si>
  <si>
    <t>290,201.08</t>
  </si>
  <si>
    <t>1,091,400.00</t>
  </si>
  <si>
    <t>1,043,738.81</t>
  </si>
  <si>
    <t>2,350,000.00</t>
  </si>
  <si>
    <t>193,200.00</t>
  </si>
  <si>
    <t>1,225,000.00</t>
  </si>
  <si>
    <t>1,029,463.00</t>
  </si>
  <si>
    <t>1,578,347.00</t>
  </si>
  <si>
    <t>423,518.00</t>
  </si>
  <si>
    <t>2,633,918.05</t>
  </si>
  <si>
    <t>2,114,998.40</t>
  </si>
  <si>
    <t>684,000.00</t>
  </si>
  <si>
    <t>845,597.60</t>
  </si>
  <si>
    <t>811,747.00</t>
  </si>
  <si>
    <t>2,218,320.00</t>
  </si>
  <si>
    <t>18,925,955.32</t>
  </si>
  <si>
    <t>124,002.00</t>
  </si>
  <si>
    <t>1,999,568.56</t>
  </si>
  <si>
    <t>7,600,000.00</t>
  </si>
  <si>
    <t>1,770,156.80</t>
  </si>
  <si>
    <t>14,736,451.66</t>
  </si>
  <si>
    <t>14,486,461.66</t>
  </si>
  <si>
    <t>28,000,000.00</t>
  </si>
  <si>
    <t>2,643,269.00</t>
  </si>
  <si>
    <t>2,562,922.33</t>
  </si>
  <si>
    <t>3,999,181.45</t>
  </si>
  <si>
    <t>103,637.33</t>
  </si>
  <si>
    <t>1,033,782.40</t>
  </si>
  <si>
    <t>1,023,800.00</t>
  </si>
  <si>
    <t>1,992,677.27</t>
  </si>
  <si>
    <t>6,592,238.00</t>
  </si>
  <si>
    <t>498,000.00</t>
  </si>
  <si>
    <t>1,644,970.00</t>
  </si>
  <si>
    <t>2,460,395.00</t>
  </si>
  <si>
    <t>96,020.00</t>
  </si>
  <si>
    <t>900,625.00</t>
  </si>
  <si>
    <t>9,947,458.40</t>
  </si>
  <si>
    <t>4,562,195.00</t>
  </si>
  <si>
    <t>328,263.40</t>
  </si>
  <si>
    <t>629,200.00</t>
  </si>
  <si>
    <t>83,345.00</t>
  </si>
  <si>
    <t>338,072.00</t>
  </si>
  <si>
    <t>399,997.92</t>
  </si>
  <si>
    <t>304,474.00</t>
  </si>
  <si>
    <t>1,040,600.00</t>
  </si>
  <si>
    <t>390,500.00</t>
  </si>
  <si>
    <t>346,000.00</t>
  </si>
  <si>
    <t>58,616,832.45</t>
  </si>
  <si>
    <t>85,247,768.85</t>
  </si>
  <si>
    <t>872,600.00</t>
  </si>
  <si>
    <t>15,340,000.00</t>
  </si>
  <si>
    <t>34,299,147.80</t>
  </si>
  <si>
    <t>96,489,900.00</t>
  </si>
  <si>
    <t>629,550.00</t>
  </si>
  <si>
    <t>14,086,461.66</t>
  </si>
  <si>
    <t>14,566,300.94</t>
  </si>
  <si>
    <t>534,010.00</t>
  </si>
  <si>
    <t>284,022.62</t>
  </si>
  <si>
    <t>106,242.50</t>
  </si>
  <si>
    <t>1,023,001.47</t>
  </si>
  <si>
    <t>102,600.00</t>
  </si>
  <si>
    <t>218,000.00</t>
  </si>
  <si>
    <t>3,543,092.82</t>
  </si>
  <si>
    <t>22,468,818.00</t>
  </si>
  <si>
    <t>1,348,298.62</t>
  </si>
  <si>
    <t>19,720,369.11</t>
  </si>
  <si>
    <t>3,884,006.26</t>
  </si>
  <si>
    <t>1,110,936.75</t>
  </si>
  <si>
    <t>15,116,168.68</t>
  </si>
  <si>
    <t>601,100.00</t>
  </si>
  <si>
    <t>65,605.00</t>
  </si>
  <si>
    <t>358,000.00</t>
  </si>
  <si>
    <t>388,444.18</t>
  </si>
  <si>
    <t>5,037,900.00</t>
  </si>
  <si>
    <t>1,178,217.92</t>
  </si>
  <si>
    <t>1,607,964.76</t>
  </si>
  <si>
    <t>7,282,000.00</t>
  </si>
  <si>
    <t>47,033,706.90</t>
  </si>
  <si>
    <t>927,200.00</t>
  </si>
  <si>
    <t>135,300.00</t>
  </si>
  <si>
    <t>991,907.59</t>
  </si>
  <si>
    <t>1,096,747.56</t>
  </si>
  <si>
    <t>146,826.64</t>
  </si>
  <si>
    <t>1,047,050.72</t>
  </si>
  <si>
    <t>40,007,081.95</t>
  </si>
  <si>
    <t>833,338.56</t>
  </si>
  <si>
    <t>32,530,183.65</t>
  </si>
  <si>
    <t>34,299,180.26</t>
  </si>
  <si>
    <t>48,999,117.17</t>
  </si>
  <si>
    <t>2,903,280.00</t>
  </si>
  <si>
    <t>315,470.00</t>
  </si>
  <si>
    <t>16,844,000.00</t>
  </si>
  <si>
    <t>1,089,000.00</t>
  </si>
  <si>
    <t>721,250.00</t>
  </si>
  <si>
    <t>4,899,554.30</t>
  </si>
  <si>
    <t>29,399,143.95</t>
  </si>
  <si>
    <t>2,969,827.26</t>
  </si>
  <si>
    <t>43,000,000.00</t>
  </si>
  <si>
    <t>14,999,980.59</t>
  </si>
  <si>
    <t>19,799,869.91</t>
  </si>
  <si>
    <t>19,799,634.33</t>
  </si>
  <si>
    <t>17,367,611.51</t>
  </si>
  <si>
    <t>1,868,000.00</t>
  </si>
  <si>
    <t>45,745.00</t>
  </si>
  <si>
    <t>49,499,605.12</t>
  </si>
  <si>
    <t>8,537.00</t>
  </si>
  <si>
    <t>22,332,347.27</t>
  </si>
  <si>
    <t>1,643,710.00</t>
  </si>
  <si>
    <t>27,332.00</t>
  </si>
  <si>
    <t>48,813.00</t>
  </si>
  <si>
    <t>27,649.00</t>
  </si>
  <si>
    <t>4,551,153.50</t>
  </si>
  <si>
    <t>404,939.14</t>
  </si>
  <si>
    <t>12,379,971.95</t>
  </si>
  <si>
    <t>9,390,000.00</t>
  </si>
  <si>
    <t>9,016,112.01</t>
  </si>
  <si>
    <t>1,181,000.00</t>
  </si>
  <si>
    <t>11,850,956.99</t>
  </si>
  <si>
    <t>12,018,374.59</t>
  </si>
  <si>
    <t>1,206,800.00</t>
  </si>
  <si>
    <t>12,835,086.31</t>
  </si>
  <si>
    <t>2,340,255.00</t>
  </si>
  <si>
    <t>1,099,759.92</t>
  </si>
  <si>
    <t>9,632,373.93</t>
  </si>
  <si>
    <t>8,443,297.69</t>
  </si>
  <si>
    <t>4,870,905.00</t>
  </si>
  <si>
    <t>8,996,940.72</t>
  </si>
  <si>
    <t>216,780.00</t>
  </si>
  <si>
    <t>599,450.00</t>
  </si>
  <si>
    <t>2,648,306.64</t>
  </si>
  <si>
    <t>9,474,589.00</t>
  </si>
  <si>
    <t>1,601,617.81</t>
  </si>
  <si>
    <t>1,806,000.00</t>
  </si>
  <si>
    <t>493,676.80</t>
  </si>
  <si>
    <t>1,380,000.00</t>
  </si>
  <si>
    <t>499,028.03</t>
  </si>
  <si>
    <t>829,500.00</t>
  </si>
  <si>
    <t>398,393.83</t>
  </si>
  <si>
    <t>752,000.00</t>
  </si>
  <si>
    <t>1,799,456.61</t>
  </si>
  <si>
    <t>11,220,060.00</t>
  </si>
  <si>
    <t>50,123,323.20</t>
  </si>
  <si>
    <t>20,453,107.69</t>
  </si>
  <si>
    <t>6,875,000.00</t>
  </si>
  <si>
    <t>331,800.00</t>
  </si>
  <si>
    <t>3,640,000.00</t>
  </si>
  <si>
    <t>2,420,000.00</t>
  </si>
  <si>
    <t>5,917,000.00</t>
  </si>
  <si>
    <t>5,555,000.00</t>
  </si>
  <si>
    <t>20,414,149.39</t>
  </si>
  <si>
    <t>38,804,617.27</t>
  </si>
  <si>
    <t>45,336,585.10</t>
  </si>
  <si>
    <t>2,329,750.00</t>
  </si>
  <si>
    <t>15,932,000.00</t>
  </si>
  <si>
    <t>32,670,000.00</t>
  </si>
  <si>
    <t>1,591,200.00</t>
  </si>
  <si>
    <t>1,347,000.00</t>
  </si>
  <si>
    <t>1,203,684.00</t>
  </si>
  <si>
    <t>196,588.00</t>
  </si>
  <si>
    <t>1,017,000.00</t>
  </si>
  <si>
    <t>2,699,290.00</t>
  </si>
  <si>
    <t>2,254,000.00</t>
  </si>
  <si>
    <t>6,291,534.00</t>
  </si>
  <si>
    <t>1,944,582.85</t>
  </si>
  <si>
    <t>2,997,840.21</t>
  </si>
  <si>
    <t>2,499,910.81</t>
  </si>
  <si>
    <t>2,819,787.90</t>
  </si>
  <si>
    <t>1,998,098.92</t>
  </si>
  <si>
    <t>2,952,279.92</t>
  </si>
  <si>
    <t>3,966,126.16</t>
  </si>
  <si>
    <t>3,364,817.35</t>
  </si>
  <si>
    <t>6,613,451.89</t>
  </si>
  <si>
    <t>2,550,000.00</t>
  </si>
  <si>
    <t>1,725,773.80</t>
  </si>
  <si>
    <t>2,353,000.00</t>
  </si>
  <si>
    <t>3,791,994.31</t>
  </si>
  <si>
    <t>1,368,283.00</t>
  </si>
  <si>
    <t>1,035,569.20</t>
  </si>
  <si>
    <t>2,836,256.63</t>
  </si>
  <si>
    <t>306,640.00</t>
  </si>
  <si>
    <t>2,933,750.00</t>
  </si>
  <si>
    <t>3,367,457.00</t>
  </si>
  <si>
    <t>3,750,000.00</t>
  </si>
  <si>
    <t>968,716.23</t>
  </si>
  <si>
    <t>4,086,773.72</t>
  </si>
  <si>
    <t>4,623,652.50</t>
  </si>
  <si>
    <t>1,997,197.50</t>
  </si>
  <si>
    <t>861,569.95</t>
  </si>
  <si>
    <t>2,040,589.00</t>
  </si>
  <si>
    <t>21,600,000.00</t>
  </si>
  <si>
    <t>415,913.00</t>
  </si>
  <si>
    <t>295,515.00</t>
  </si>
  <si>
    <t>258,870.00</t>
  </si>
  <si>
    <t>148,170,209.79</t>
  </si>
  <si>
    <t>114,550.00</t>
  </si>
  <si>
    <t>15,806,307.88</t>
  </si>
  <si>
    <t>67,125.00</t>
  </si>
  <si>
    <t>683,317.80</t>
  </si>
  <si>
    <t>186,955.00</t>
  </si>
  <si>
    <t>750,871.00</t>
  </si>
  <si>
    <t>741,514.00</t>
  </si>
  <si>
    <t>469,436.05</t>
  </si>
  <si>
    <t>1,998,616.00</t>
  </si>
  <si>
    <t>2,046,186.00</t>
  </si>
  <si>
    <t>2,665,400.00</t>
  </si>
  <si>
    <t>227,781.00</t>
  </si>
  <si>
    <t>9,999,986.00</t>
  </si>
  <si>
    <t>1,680,000.00</t>
  </si>
  <si>
    <t>1,415,678.05</t>
  </si>
  <si>
    <t>1,873,995.79</t>
  </si>
  <si>
    <t>56,660.00</t>
  </si>
  <si>
    <t>1,847,275.20</t>
  </si>
  <si>
    <t>292,310.00</t>
  </si>
  <si>
    <t>1,083,189.96</t>
  </si>
  <si>
    <t>15,998,169.46</t>
  </si>
  <si>
    <t>2,253,930.02</t>
  </si>
  <si>
    <t>4,083,289.92</t>
  </si>
  <si>
    <t>1,678,343.30</t>
  </si>
  <si>
    <t>403,450.00</t>
  </si>
  <si>
    <t>2,089,341.90</t>
  </si>
  <si>
    <t>3,471,060.00</t>
  </si>
  <si>
    <t>499,800.00</t>
  </si>
  <si>
    <t>5,761,388.00</t>
  </si>
  <si>
    <t>363,261.00</t>
  </si>
  <si>
    <t>1,425,000.00</t>
  </si>
  <si>
    <t>3,317,098.46</t>
  </si>
  <si>
    <t>2,851,859.15</t>
  </si>
  <si>
    <t>3,542,000.00</t>
  </si>
  <si>
    <t>2,135,323.50</t>
  </si>
  <si>
    <t>3,608,000.00</t>
  </si>
  <si>
    <t>1,408,644.38</t>
  </si>
  <si>
    <t>298,172.00</t>
  </si>
  <si>
    <t>44,153,846.58</t>
  </si>
  <si>
    <t>1,281,018.38</t>
  </si>
  <si>
    <t>278,056.00</t>
  </si>
  <si>
    <t>38,234,495.65</t>
  </si>
  <si>
    <t>1,433,809.52</t>
  </si>
  <si>
    <t>7,927,865.00</t>
  </si>
  <si>
    <t>1,799,500.00</t>
  </si>
  <si>
    <t>607,642.63</t>
  </si>
  <si>
    <t>298,269.10</t>
  </si>
  <si>
    <t>1,571,860.00</t>
  </si>
  <si>
    <t>997,229.53</t>
  </si>
  <si>
    <t>1,991,113.47</t>
  </si>
  <si>
    <t>1,997,690.62</t>
  </si>
  <si>
    <t>1,955,537.15</t>
  </si>
  <si>
    <t>520,850.00</t>
  </si>
  <si>
    <t>6,150,000.00</t>
  </si>
  <si>
    <t>2,943,875.72</t>
  </si>
  <si>
    <t>2,093,756.35</t>
  </si>
  <si>
    <t>32,843,060.63</t>
  </si>
  <si>
    <t>1,226,935.10</t>
  </si>
  <si>
    <t>186,625.00</t>
  </si>
  <si>
    <t>1,166,757.65</t>
  </si>
  <si>
    <t>73,940.00</t>
  </si>
  <si>
    <t>2,995,825.50</t>
  </si>
  <si>
    <t>2,731,000.00</t>
  </si>
  <si>
    <t>26,460,000.00</t>
  </si>
  <si>
    <t>310,580.00</t>
  </si>
  <si>
    <t>1,399,978.93</t>
  </si>
  <si>
    <t>1,953,045.66</t>
  </si>
  <si>
    <t>461,075.00</t>
  </si>
  <si>
    <t>3,711,662.83</t>
  </si>
  <si>
    <t>499,999.51</t>
  </si>
  <si>
    <t>3,000,800.00</t>
  </si>
  <si>
    <t>8,918,000.00</t>
  </si>
  <si>
    <t>477,433.60</t>
  </si>
  <si>
    <t>4,450,999.60</t>
  </si>
  <si>
    <t>56,634.33</t>
  </si>
  <si>
    <t>15,440,000.00</t>
  </si>
  <si>
    <t>999,949.11</t>
  </si>
  <si>
    <t>999,537.00</t>
  </si>
  <si>
    <t>358,750.00</t>
  </si>
  <si>
    <t>445,855.00</t>
  </si>
  <si>
    <t>24,000,000.00</t>
  </si>
  <si>
    <t>97,286.00</t>
  </si>
  <si>
    <t>9,163,980.00</t>
  </si>
  <si>
    <t>54,606.54</t>
  </si>
  <si>
    <t>241,172.00</t>
  </si>
  <si>
    <t>99,801.65</t>
  </si>
  <si>
    <t>5,800,000.00</t>
  </si>
  <si>
    <t>604,407.00</t>
  </si>
  <si>
    <t>1,030,894.67</t>
  </si>
  <si>
    <t>51,710.00</t>
  </si>
  <si>
    <t>999,987.82</t>
  </si>
  <si>
    <t>131,899.00</t>
  </si>
  <si>
    <t>2,316,258.90</t>
  </si>
  <si>
    <t>1,070,736.51</t>
  </si>
  <si>
    <t>1,999,738.12</t>
  </si>
  <si>
    <t>997,550.00</t>
  </si>
  <si>
    <t>3,947,822.99</t>
  </si>
  <si>
    <t>9,975,000.00</t>
  </si>
  <si>
    <t>2,265,000.00</t>
  </si>
  <si>
    <t>891,500.00</t>
  </si>
  <si>
    <t>6,120,000.00</t>
  </si>
  <si>
    <t>3,598,480.00</t>
  </si>
  <si>
    <t>26,055,000.00</t>
  </si>
  <si>
    <t>2,987,888.40</t>
  </si>
  <si>
    <t>741,600.00</t>
  </si>
  <si>
    <t>1,074,000.00</t>
  </si>
  <si>
    <t>500,503.50</t>
  </si>
  <si>
    <t>1,072,000.00</t>
  </si>
  <si>
    <t>1,256,000.00</t>
  </si>
  <si>
    <t>1,350,234.24</t>
  </si>
  <si>
    <t>2,423,998.55</t>
  </si>
  <si>
    <t>125,000,000.00</t>
  </si>
  <si>
    <t>1,579,595.00</t>
  </si>
  <si>
    <t>298,682.50</t>
  </si>
  <si>
    <t>139,925,000.00</t>
  </si>
  <si>
    <t>1,994,040.00</t>
  </si>
  <si>
    <t>1,270,000.00</t>
  </si>
  <si>
    <t>499,970.81</t>
  </si>
  <si>
    <t>29,944,565.00</t>
  </si>
  <si>
    <t>2,907,130.37</t>
  </si>
  <si>
    <t>4,287,760.00</t>
  </si>
  <si>
    <t>2,321,536.00</t>
  </si>
  <si>
    <t>3,900,000.00</t>
  </si>
  <si>
    <t>499,831.50</t>
  </si>
  <si>
    <t>3,489,088.72</t>
  </si>
  <si>
    <t>1,185,851.25</t>
  </si>
  <si>
    <t>499,902.93</t>
  </si>
  <si>
    <t>23,000.00</t>
  </si>
  <si>
    <t>6,995,572.07</t>
  </si>
  <si>
    <t>1,440,000.00</t>
  </si>
  <si>
    <t>499,923.74</t>
  </si>
  <si>
    <t>7,688,945.66</t>
  </si>
  <si>
    <t>5,999,950.00</t>
  </si>
  <si>
    <t>618,333.80</t>
  </si>
  <si>
    <t>3,100,000.00</t>
  </si>
  <si>
    <t>199,343.39</t>
  </si>
  <si>
    <t>34,672,711.42</t>
  </si>
  <si>
    <t>4,821,600.00</t>
  </si>
  <si>
    <t>1,646,140.00</t>
  </si>
  <si>
    <t>3,636,000.00</t>
  </si>
  <si>
    <t>34,735,520.40</t>
  </si>
  <si>
    <t>1,000,997.68</t>
  </si>
  <si>
    <t>2,992,000.00</t>
  </si>
  <si>
    <t>74,250.00</t>
  </si>
  <si>
    <t>1,995,929.04</t>
  </si>
  <si>
    <t>199,755.00</t>
  </si>
  <si>
    <t>781,311.00</t>
  </si>
  <si>
    <t>253,685.00</t>
  </si>
  <si>
    <t>34,739,646.63</t>
  </si>
  <si>
    <t>1,499,565.80</t>
  </si>
  <si>
    <t>508,914.00</t>
  </si>
  <si>
    <t>3,454,104.00</t>
  </si>
  <si>
    <t>254,457.00</t>
  </si>
  <si>
    <t>565,805.52</t>
  </si>
  <si>
    <t>12,511,990.70</t>
  </si>
  <si>
    <t>1,495,502.11</t>
  </si>
  <si>
    <t>7,575,734.55</t>
  </si>
  <si>
    <t>1,985,915.47</t>
  </si>
  <si>
    <t>11,939,999.65</t>
  </si>
  <si>
    <t>5,920.00</t>
  </si>
  <si>
    <t>2,909,500.00</t>
  </si>
  <si>
    <t>11,939,963.86</t>
  </si>
  <si>
    <t>11,939,976.80</t>
  </si>
  <si>
    <t>98,045,669.86</t>
  </si>
  <si>
    <t>11,939,971.67</t>
  </si>
  <si>
    <t>2,999,322.46</t>
  </si>
  <si>
    <t>1,199,732.92</t>
  </si>
  <si>
    <t>9,852,000.00</t>
  </si>
  <si>
    <t>59,761.15</t>
  </si>
  <si>
    <t>3,499,038.65</t>
  </si>
  <si>
    <t>7,400.00</t>
  </si>
  <si>
    <t>2,299,572.76</t>
  </si>
  <si>
    <t>1,499,553.57</t>
  </si>
  <si>
    <t>11,939,977.71</t>
  </si>
  <si>
    <t>10,088,400.00</t>
  </si>
  <si>
    <t>3,515,000.00</t>
  </si>
  <si>
    <t>199,603.49</t>
  </si>
  <si>
    <t>1,959,940.40</t>
  </si>
  <si>
    <t>74,725.00</t>
  </si>
  <si>
    <t>28,340.00</t>
  </si>
  <si>
    <t>11,939,875.41</t>
  </si>
  <si>
    <t>12,934,976.97</t>
  </si>
  <si>
    <t>4,999.24</t>
  </si>
  <si>
    <t>1,499,897.29</t>
  </si>
  <si>
    <t>1,130,358.92</t>
  </si>
  <si>
    <t>192,480.96</t>
  </si>
  <si>
    <t>634,905.00</t>
  </si>
  <si>
    <t>2,263,024.89</t>
  </si>
  <si>
    <t>2,030,000.00</t>
  </si>
  <si>
    <t>892,230.00</t>
  </si>
  <si>
    <t>3,411,360.00</t>
  </si>
  <si>
    <t>1,328,908.00</t>
  </si>
  <si>
    <t>2,012,847.99</t>
  </si>
  <si>
    <t>2,998,042.27</t>
  </si>
  <si>
    <t>1,399,996.00</t>
  </si>
  <si>
    <t>2,299,216.61</t>
  </si>
  <si>
    <t>1,743,227.50</t>
  </si>
  <si>
    <t>2,299,035.95</t>
  </si>
  <si>
    <t>4,292,595.80</t>
  </si>
  <si>
    <t>4,863,000.00</t>
  </si>
  <si>
    <t>2,030,600.00</t>
  </si>
  <si>
    <t>1,186,894.46</t>
  </si>
  <si>
    <t>50,875,000.00</t>
  </si>
  <si>
    <t>1,539,048.40</t>
  </si>
  <si>
    <t>18,456,000.00</t>
  </si>
  <si>
    <t>495,530.00</t>
  </si>
  <si>
    <t>966,750.00</t>
  </si>
  <si>
    <t>2,340,000.00</t>
  </si>
  <si>
    <t>1,044,910.00</t>
  </si>
  <si>
    <t>661,172.30</t>
  </si>
  <si>
    <t>250,051.25</t>
  </si>
  <si>
    <t>3,113,470.00</t>
  </si>
  <si>
    <t>928,615.00</t>
  </si>
  <si>
    <t>1,393,469.77</t>
  </si>
  <si>
    <t>73,920.00</t>
  </si>
  <si>
    <t>14,919,793.00</t>
  </si>
  <si>
    <t>130,680.00</t>
  </si>
  <si>
    <t>166,475.00</t>
  </si>
  <si>
    <t>5,326,937.40</t>
  </si>
  <si>
    <t>149,929.69</t>
  </si>
  <si>
    <t>1,103,329.00</t>
  </si>
  <si>
    <t>4,887,241.63</t>
  </si>
  <si>
    <t>2,443,831.37</t>
  </si>
  <si>
    <t>2,653,585.00</t>
  </si>
  <si>
    <t>815,999.40</t>
  </si>
  <si>
    <t>4,887,536.82</t>
  </si>
  <si>
    <t>9,542,068.05</t>
  </si>
  <si>
    <t>891,575.85</t>
  </si>
  <si>
    <t>2,467,893.00</t>
  </si>
  <si>
    <t>187,330.00</t>
  </si>
  <si>
    <t>214,920,940.00</t>
  </si>
  <si>
    <t>2,443,785.57</t>
  </si>
  <si>
    <t>1,399,453.13</t>
  </si>
  <si>
    <t>1,499,793.75</t>
  </si>
  <si>
    <t>11,309,088.88</t>
  </si>
  <si>
    <t>346,725.00</t>
  </si>
  <si>
    <t>4,887,619.94</t>
  </si>
  <si>
    <t>204,960.00</t>
  </si>
  <si>
    <t>2,169,000.00</t>
  </si>
  <si>
    <t>2,761,877.78</t>
  </si>
  <si>
    <t>33,775,000.00</t>
  </si>
  <si>
    <t>999,999.84</t>
  </si>
  <si>
    <t>29,920,000.00</t>
  </si>
  <si>
    <t>4,249,000.00</t>
  </si>
  <si>
    <t>1,293,823.72</t>
  </si>
  <si>
    <t>975,509.64</t>
  </si>
  <si>
    <t>5,039,000.00</t>
  </si>
  <si>
    <t>111,000.00</t>
  </si>
  <si>
    <t>7,980,000.00</t>
  </si>
  <si>
    <t>5,980,000.00</t>
  </si>
  <si>
    <t>17,000,000.00</t>
  </si>
  <si>
    <t>131,536.00</t>
  </si>
  <si>
    <t>1,157,514.15</t>
  </si>
  <si>
    <t>4,286,404.90</t>
  </si>
  <si>
    <t>565,339.00</t>
  </si>
  <si>
    <t>6,577,748.44</t>
  </si>
  <si>
    <t>43,425,051.89</t>
  </si>
  <si>
    <t>2,999,164.98</t>
  </si>
  <si>
    <t>57,800.00</t>
  </si>
  <si>
    <t>84,960.00</t>
  </si>
  <si>
    <t>203,499.00</t>
  </si>
  <si>
    <t>5,790,454.38</t>
  </si>
  <si>
    <t>1,578,907.00</t>
  </si>
  <si>
    <t>113,106.20</t>
  </si>
  <si>
    <t>254,678.00</t>
  </si>
  <si>
    <t>7,149,621.77</t>
  </si>
  <si>
    <t>16,334,000.00</t>
  </si>
  <si>
    <t>1,110,000.00</t>
  </si>
  <si>
    <t>1,875,600.00</t>
  </si>
  <si>
    <t>970,000.00</t>
  </si>
  <si>
    <t>1,470,327.60</t>
  </si>
  <si>
    <t>17,599,000.00</t>
  </si>
  <si>
    <t>1,573,520.00</t>
  </si>
  <si>
    <t>431,440.00</t>
  </si>
  <si>
    <t>1,818,500.00</t>
  </si>
  <si>
    <t>2,999,154.98</t>
  </si>
  <si>
    <t>2,605,500.00</t>
  </si>
  <si>
    <t>358,483.00</t>
  </si>
  <si>
    <t>8,167,000.00</t>
  </si>
  <si>
    <t>293,577.00</t>
  </si>
  <si>
    <t>5,031,070.00</t>
  </si>
  <si>
    <t>1,436,000.00</t>
  </si>
  <si>
    <t>769,250.00</t>
  </si>
  <si>
    <t>1,981,320.00</t>
  </si>
  <si>
    <t>2,991,195.51</t>
  </si>
  <si>
    <t>215,493.75</t>
  </si>
  <si>
    <t>92,340.00</t>
  </si>
  <si>
    <t>653,400,000.00</t>
  </si>
  <si>
    <t>3,238,515.35</t>
  </si>
  <si>
    <t>165,000,000.00</t>
  </si>
  <si>
    <t>4,974,975.09</t>
  </si>
  <si>
    <t>9,840,000.00</t>
  </si>
  <si>
    <t>284,422.50</t>
  </si>
  <si>
    <t>361,000.00</t>
  </si>
  <si>
    <t>368,675.00</t>
  </si>
  <si>
    <t>11,678,000.00</t>
  </si>
  <si>
    <t>165,322.50</t>
  </si>
  <si>
    <t>1,530,000.00</t>
  </si>
  <si>
    <t>236,710.50</t>
  </si>
  <si>
    <t>5,963,000.00</t>
  </si>
  <si>
    <t>763,515.50</t>
  </si>
  <si>
    <t>1,008,000.00</t>
  </si>
  <si>
    <t>268,039.00</t>
  </si>
  <si>
    <t>512,233.79</t>
  </si>
  <si>
    <t>211,609.20</t>
  </si>
  <si>
    <t>248,373.00</t>
  </si>
  <si>
    <t>394,145.00</t>
  </si>
  <si>
    <t>10,351,166.35</t>
  </si>
  <si>
    <t>1,196,025.57</t>
  </si>
  <si>
    <t>205,810.00</t>
  </si>
  <si>
    <t>407,134.00</t>
  </si>
  <si>
    <t>165,645.60</t>
  </si>
  <si>
    <t>1,499,966.10</t>
  </si>
  <si>
    <t>3,526,911.57</t>
  </si>
  <si>
    <t>1,050,698.00</t>
  </si>
  <si>
    <t>209,805.00</t>
  </si>
  <si>
    <t>205,807.00</t>
  </si>
  <si>
    <t>6,883,200.00</t>
  </si>
  <si>
    <t>116,138.00</t>
  </si>
  <si>
    <t>434,936.57</t>
  </si>
  <si>
    <t>489,775.00</t>
  </si>
  <si>
    <t>202,056.98</t>
  </si>
  <si>
    <t>12,537,000.00</t>
  </si>
  <si>
    <t>243,100,000.00</t>
  </si>
  <si>
    <t>1,399,800.00</t>
  </si>
  <si>
    <t>1,528,593.00</t>
  </si>
  <si>
    <t>848,071.67</t>
  </si>
  <si>
    <t>2,805,000.00</t>
  </si>
  <si>
    <t>1,159,839.38</t>
  </si>
  <si>
    <t>1,046,250.00</t>
  </si>
  <si>
    <t>552,888.00</t>
  </si>
  <si>
    <t>1,507,840.00</t>
  </si>
  <si>
    <t>222,905.00</t>
  </si>
  <si>
    <t>1,428,536.00</t>
  </si>
  <si>
    <t>992,722.00</t>
  </si>
  <si>
    <t>1,681,859.87</t>
  </si>
  <si>
    <t>7,718,400.00</t>
  </si>
  <si>
    <t>4,086,772.02</t>
  </si>
  <si>
    <t>321,681.53</t>
  </si>
  <si>
    <t>324,226.18</t>
  </si>
  <si>
    <t>895,000.00</t>
  </si>
  <si>
    <t>36,000,000.00</t>
  </si>
  <si>
    <t>300,355.00</t>
  </si>
  <si>
    <t>896,267.31</t>
  </si>
  <si>
    <t>1,521,600.00</t>
  </si>
  <si>
    <t>53,760.00</t>
  </si>
  <si>
    <t>117,200.00</t>
  </si>
  <si>
    <t>1,771,406.00</t>
  </si>
  <si>
    <t>2,322,034.12</t>
  </si>
  <si>
    <t>74,600.00</t>
  </si>
  <si>
    <t>91,412.00</t>
  </si>
  <si>
    <t>2,768,702.15</t>
  </si>
  <si>
    <t>1,361,000.00</t>
  </si>
  <si>
    <t>111,615.70</t>
  </si>
  <si>
    <t>1,499,700.00</t>
  </si>
  <si>
    <t>1,429,790.00</t>
  </si>
  <si>
    <t>594,073.00</t>
  </si>
  <si>
    <t>428,310.00</t>
  </si>
  <si>
    <t>14,891,463.28</t>
  </si>
  <si>
    <t>3,499,997.35</t>
  </si>
  <si>
    <t>25,356,749.74</t>
  </si>
  <si>
    <t>1,501,205.72</t>
  </si>
  <si>
    <t>34,734,269.66</t>
  </si>
  <si>
    <t>333,414.00</t>
  </si>
  <si>
    <t>1,428,840.00</t>
  </si>
  <si>
    <t>368,360.88</t>
  </si>
  <si>
    <t>670,199.83</t>
  </si>
  <si>
    <t>1,741,376.00</t>
  </si>
  <si>
    <t>978,765.00</t>
  </si>
  <si>
    <t>1,880,000.00</t>
  </si>
  <si>
    <t>3,488,000.00</t>
  </si>
  <si>
    <t>125,100.00</t>
  </si>
  <si>
    <t>1,658,301.00</t>
  </si>
  <si>
    <t>216,756.00</t>
  </si>
  <si>
    <t>494,604.00</t>
  </si>
  <si>
    <t>385,335.00</t>
  </si>
  <si>
    <t>429,254.00</t>
  </si>
  <si>
    <t>640,000.00</t>
  </si>
  <si>
    <t>1,846,180.00</t>
  </si>
  <si>
    <t>30,380,000.00</t>
  </si>
  <si>
    <t>921,574.00</t>
  </si>
  <si>
    <t>2,229,800.00</t>
  </si>
  <si>
    <t>17,820,000.00</t>
  </si>
  <si>
    <t>546,135.00</t>
  </si>
  <si>
    <t>294,542.00</t>
  </si>
  <si>
    <t>5,460,000.00</t>
  </si>
  <si>
    <t>15,680,000.00</t>
  </si>
  <si>
    <t>499,813.28</t>
  </si>
  <si>
    <t>913,836.00</t>
  </si>
  <si>
    <t>405,768.00</t>
  </si>
  <si>
    <t>261,242.00</t>
  </si>
  <si>
    <t>703,865.00</t>
  </si>
  <si>
    <t>19,953,500.00</t>
  </si>
  <si>
    <t>1,976,400.00</t>
  </si>
  <si>
    <t>999,939.71</t>
  </si>
  <si>
    <t>31,850,000.00</t>
  </si>
  <si>
    <t>1,276,120.00</t>
  </si>
  <si>
    <t>36,000.00</t>
  </si>
  <si>
    <t>1,599,803.00</t>
  </si>
  <si>
    <t>31,360,000.00</t>
  </si>
  <si>
    <t>3,430,000.00</t>
  </si>
  <si>
    <t>893,837.16</t>
  </si>
  <si>
    <t>10,211,980.00</t>
  </si>
  <si>
    <t>29,762,600.00</t>
  </si>
  <si>
    <t>609,313.00</t>
  </si>
  <si>
    <t>973,539.99</t>
  </si>
  <si>
    <t>410,073.80</t>
  </si>
  <si>
    <t>136,090.00</t>
  </si>
  <si>
    <t>142,890.00</t>
  </si>
  <si>
    <t>4,263,839.53</t>
  </si>
  <si>
    <t>874,583.00</t>
  </si>
  <si>
    <t>4,873,000.00</t>
  </si>
  <si>
    <t>1,369,100.00</t>
  </si>
  <si>
    <t>10,034,000.00</t>
  </si>
  <si>
    <t>3,532,382.20</t>
  </si>
  <si>
    <t>6,810,300.00</t>
  </si>
  <si>
    <t>40,337,000.00</t>
  </si>
  <si>
    <t>1,434,116.25</t>
  </si>
  <si>
    <t>5,175,000.00</t>
  </si>
  <si>
    <t>4,194,255.74</t>
  </si>
  <si>
    <t>23,441,250.00</t>
  </si>
  <si>
    <t>194,417.00</t>
  </si>
  <si>
    <t>4,919,126.00</t>
  </si>
  <si>
    <t>11,668,000.00</t>
  </si>
  <si>
    <t>4,155,533.38</t>
  </si>
  <si>
    <t>921,300.00</t>
  </si>
  <si>
    <t>3,037,386.00</t>
  </si>
  <si>
    <t>7,925,000.00</t>
  </si>
  <si>
    <t>3,653,756.00</t>
  </si>
  <si>
    <t>1,499,425.00</t>
  </si>
  <si>
    <t>1,565,500.00</t>
  </si>
  <si>
    <t>1,548,485.00</t>
  </si>
  <si>
    <t>2,840,000.00</t>
  </si>
  <si>
    <t>4,252,406.00</t>
  </si>
  <si>
    <t>1,325,600.00</t>
  </si>
  <si>
    <t>9,660,668.00</t>
  </si>
  <si>
    <t>1,235,000.00</t>
  </si>
  <si>
    <t>5,297,000.00</t>
  </si>
  <si>
    <t>9,899,910.99</t>
  </si>
  <si>
    <t>14,380,000.00</t>
  </si>
  <si>
    <t>1,677,500.00</t>
  </si>
  <si>
    <t>65,900,000.00</t>
  </si>
  <si>
    <t>3,999,612.02</t>
  </si>
  <si>
    <t>1,995,600.00</t>
  </si>
  <si>
    <t>1,186,008.12</t>
  </si>
  <si>
    <t>17,638,164.50</t>
  </si>
  <si>
    <t>205,500.00</t>
  </si>
  <si>
    <t>10,251,083.25</t>
  </si>
  <si>
    <t>1,909,229.04</t>
  </si>
  <si>
    <t>401,500.00</t>
  </si>
  <si>
    <t>1,476,000.00</t>
  </si>
  <si>
    <t>1,068,779.25</t>
  </si>
  <si>
    <t>4,482,183.00</t>
  </si>
  <si>
    <t>434,279.00</t>
  </si>
  <si>
    <t>4,836,309.52</t>
  </si>
  <si>
    <t>865,000.00</t>
  </si>
  <si>
    <t>2,887,200.00</t>
  </si>
  <si>
    <t>517,493.59</t>
  </si>
  <si>
    <t>597,900.00</t>
  </si>
  <si>
    <t>1,018,800.00</t>
  </si>
  <si>
    <t>1,486,362.56</t>
  </si>
  <si>
    <t>3,049,157.56</t>
  </si>
  <si>
    <t>2,418,750.00</t>
  </si>
  <si>
    <t>4,894,112.58</t>
  </si>
  <si>
    <t>2,740,831.80</t>
  </si>
  <si>
    <t>6,093,007.95</t>
  </si>
  <si>
    <t>2,296,822.44</t>
  </si>
  <si>
    <t>836,161.87</t>
  </si>
  <si>
    <t>702,438.23</t>
  </si>
  <si>
    <t>1,359,680.00</t>
  </si>
  <si>
    <t>1,385,697.71</t>
  </si>
  <si>
    <t>7,901,225.30</t>
  </si>
  <si>
    <t>6,834,872.82</t>
  </si>
  <si>
    <t>394,821.24</t>
  </si>
  <si>
    <t>1,895,000.00</t>
  </si>
  <si>
    <t>316,812.93</t>
  </si>
  <si>
    <t>752,979.20</t>
  </si>
  <si>
    <t>43,720.00</t>
  </si>
  <si>
    <t>1,823,906.33</t>
  </si>
  <si>
    <t>21,520.00</t>
  </si>
  <si>
    <t>1,516,131.00</t>
  </si>
  <si>
    <t>1,144,196.52</t>
  </si>
  <si>
    <t>1,081,358.72</t>
  </si>
  <si>
    <t>73,100.00</t>
  </si>
  <si>
    <t>548,993.00</t>
  </si>
  <si>
    <t>80,800.00</t>
  </si>
  <si>
    <t>14,475.00</t>
  </si>
  <si>
    <t>35,222.00</t>
  </si>
  <si>
    <t>5,925,225.30</t>
  </si>
  <si>
    <t>65,520.00</t>
  </si>
  <si>
    <t>133,990.00</t>
  </si>
  <si>
    <t>76,360.00</t>
  </si>
  <si>
    <t>18,900.00</t>
  </si>
  <si>
    <t>264,110.00</t>
  </si>
  <si>
    <t>12,485,100.00</t>
  </si>
  <si>
    <t>8,033,000.00</t>
  </si>
  <si>
    <t>196,740.00</t>
  </si>
  <si>
    <t>4,843,750.00</t>
  </si>
  <si>
    <t>11,999,980.96</t>
  </si>
  <si>
    <t>1,717,079.00</t>
  </si>
  <si>
    <t>1,875,000.00</t>
  </si>
  <si>
    <t>88,160.00</t>
  </si>
  <si>
    <t>1,157,500.00</t>
  </si>
  <si>
    <t>37,772.00</t>
  </si>
  <si>
    <t>96,794.00</t>
  </si>
  <si>
    <t>929,000.00</t>
  </si>
  <si>
    <t>1,384,925.50</t>
  </si>
  <si>
    <t>4,999,862.04</t>
  </si>
  <si>
    <t>1,232,500.00</t>
  </si>
  <si>
    <t>13,500,000.00</t>
  </si>
  <si>
    <t>12,869,538.62</t>
  </si>
  <si>
    <t>3,156,000.00</t>
  </si>
  <si>
    <t>3,599,958.00</t>
  </si>
  <si>
    <t>4,260,000.00</t>
  </si>
  <si>
    <t>149,999.80</t>
  </si>
  <si>
    <t>252,715.00</t>
  </si>
  <si>
    <t>32,200,037.43</t>
  </si>
  <si>
    <t>23,100.00</t>
  </si>
  <si>
    <t>6,003,035.00</t>
  </si>
  <si>
    <t>671,339.63</t>
  </si>
  <si>
    <t>1,064,000.00</t>
  </si>
  <si>
    <t>430,250.00</t>
  </si>
  <si>
    <t>1,952,364.50</t>
  </si>
  <si>
    <t>37,008,000.00</t>
  </si>
  <si>
    <t>183,263.00</t>
  </si>
  <si>
    <t>2,430,000.00</t>
  </si>
  <si>
    <t>1,455,302.52</t>
  </si>
  <si>
    <t>1,547,500.00</t>
  </si>
  <si>
    <t>4,997,875.93</t>
  </si>
  <si>
    <t>83,839.28</t>
  </si>
  <si>
    <t>1,775,000.00</t>
  </si>
  <si>
    <t>835,000.00</t>
  </si>
  <si>
    <t>2,649,500.20</t>
  </si>
  <si>
    <t>1,299,653.06</t>
  </si>
  <si>
    <t>1,645,000.00</t>
  </si>
  <si>
    <t>2,999,845.00</t>
  </si>
  <si>
    <t>3,799,170.80</t>
  </si>
  <si>
    <t>1,536,000.00</t>
  </si>
  <si>
    <t>1,545,822.66</t>
  </si>
  <si>
    <t>1,783,109.00</t>
  </si>
  <si>
    <t>223,629.50</t>
  </si>
  <si>
    <t>172,327.25</t>
  </si>
  <si>
    <t>11,879,669.71</t>
  </si>
  <si>
    <t>1,259,500.00</t>
  </si>
  <si>
    <t>1,365,000.00</t>
  </si>
  <si>
    <t>1,825,000.00</t>
  </si>
  <si>
    <t>896,000.00</t>
  </si>
  <si>
    <t>796,366.00</t>
  </si>
  <si>
    <t>1,313,000.00</t>
  </si>
  <si>
    <t>1,206,250.00</t>
  </si>
  <si>
    <t>1,116,000.00</t>
  </si>
  <si>
    <t>1,396,500.00</t>
  </si>
  <si>
    <t>1,505,927.25</t>
  </si>
  <si>
    <t>1,499,814.60</t>
  </si>
  <si>
    <t>46,300.00</t>
  </si>
  <si>
    <t>199,946.62</t>
  </si>
  <si>
    <t>2,959,847.63</t>
  </si>
  <si>
    <t>945,000.00</t>
  </si>
  <si>
    <t>1,118,500.00</t>
  </si>
  <si>
    <t>47,990.00</t>
  </si>
  <si>
    <t>3,261,000.00</t>
  </si>
  <si>
    <t>723,683.00</t>
  </si>
  <si>
    <t>157,963.00</t>
  </si>
  <si>
    <t>80,500.00</t>
  </si>
  <si>
    <t>6,402,200.00</t>
  </si>
  <si>
    <t>2,225,000.00</t>
  </si>
  <si>
    <t>9,708,696.14</t>
  </si>
  <si>
    <t>4,999,737.09</t>
  </si>
  <si>
    <t>2,999,526.55</t>
  </si>
  <si>
    <t>3,408,975.00</t>
  </si>
  <si>
    <t>449,688.65</t>
  </si>
  <si>
    <t>3,915,409.87</t>
  </si>
  <si>
    <t>692,746.69</t>
  </si>
  <si>
    <t>281,541.52</t>
  </si>
  <si>
    <t>237,930.00</t>
  </si>
  <si>
    <t>1,177,296.74</t>
  </si>
  <si>
    <t>1,411,491.00</t>
  </si>
  <si>
    <t>219,994.00</t>
  </si>
  <si>
    <t>335,960.00</t>
  </si>
  <si>
    <t>2,053,500.00</t>
  </si>
  <si>
    <t>2,916,563.20</t>
  </si>
  <si>
    <t>72,205,000.00</t>
  </si>
  <si>
    <t>1,450.00</t>
  </si>
  <si>
    <t>183,566.40</t>
  </si>
  <si>
    <t>1,499,949.95</t>
  </si>
  <si>
    <t>499,970.62</t>
  </si>
  <si>
    <t>1,927,827.00</t>
  </si>
  <si>
    <t>4,475,000.00</t>
  </si>
  <si>
    <t>4,492,742.23</t>
  </si>
  <si>
    <t>149,735.12</t>
  </si>
  <si>
    <t>1,070,304.42</t>
  </si>
  <si>
    <t>292,967.64</t>
  </si>
  <si>
    <t>4,770.00</t>
  </si>
  <si>
    <t>19,100.00</t>
  </si>
  <si>
    <t>1,523,377.32</t>
  </si>
  <si>
    <t>116,815.00</t>
  </si>
  <si>
    <t>2,219,000.00</t>
  </si>
  <si>
    <t>189,844.20</t>
  </si>
  <si>
    <t>1,878,251.47</t>
  </si>
  <si>
    <t>127,391.24</t>
  </si>
  <si>
    <t>4,127,440.60</t>
  </si>
  <si>
    <t>692,161.60</t>
  </si>
  <si>
    <t>1,617,730.29</t>
  </si>
  <si>
    <t>1,158,000.00</t>
  </si>
  <si>
    <t>193,960,000.00</t>
  </si>
  <si>
    <t>2,139,445.67</t>
  </si>
  <si>
    <t>546,549.00</t>
  </si>
  <si>
    <t>2,207,653.46</t>
  </si>
  <si>
    <t>400,040.00</t>
  </si>
  <si>
    <t>1,199,872.92</t>
  </si>
  <si>
    <t>444,728.50</t>
  </si>
  <si>
    <t>1,083,882.89</t>
  </si>
  <si>
    <t>1,199,763.12</t>
  </si>
  <si>
    <t>1,473,076.24</t>
  </si>
  <si>
    <t>1,454,419.78</t>
  </si>
  <si>
    <t>649,900.00</t>
  </si>
  <si>
    <t>23,550.00</t>
  </si>
  <si>
    <t>4,989,403.09</t>
  </si>
  <si>
    <t>29,669,273.35</t>
  </si>
  <si>
    <t>817,650.00</t>
  </si>
  <si>
    <t>11,005,392.85</t>
  </si>
  <si>
    <t>21,466,200.00</t>
  </si>
  <si>
    <t>19,729,056.51</t>
  </si>
  <si>
    <t>11,919,966.10</t>
  </si>
  <si>
    <t>1,165,512.94</t>
  </si>
  <si>
    <t>46,140.00</t>
  </si>
  <si>
    <t>10,326,000.00</t>
  </si>
  <si>
    <t>3,137,117.42</t>
  </si>
  <si>
    <t>2,823,316.31</t>
  </si>
  <si>
    <t>47,085.00</t>
  </si>
  <si>
    <t>307,320.87</t>
  </si>
  <si>
    <t>46,800.00</t>
  </si>
  <si>
    <t>1,880,269.55</t>
  </si>
  <si>
    <t>1,961,834.29</t>
  </si>
  <si>
    <t>11,681,069.30</t>
  </si>
  <si>
    <t>1,962,498.71</t>
  </si>
  <si>
    <t>1,410,000.00</t>
  </si>
  <si>
    <t>1,474,382.55</t>
  </si>
  <si>
    <t>2,888,799.37</t>
  </si>
  <si>
    <t>15,533,070.00</t>
  </si>
  <si>
    <t>103,200.00</t>
  </si>
  <si>
    <t>1,539,625.00</t>
  </si>
  <si>
    <t>1,408,000.00</t>
  </si>
  <si>
    <t>41,300.00</t>
  </si>
  <si>
    <t>314,640.00</t>
  </si>
  <si>
    <t>7,791,980.00</t>
  </si>
  <si>
    <t>11,500,000.00</t>
  </si>
  <si>
    <t>2,965,903.12</t>
  </si>
  <si>
    <t>2,065,702.00</t>
  </si>
  <si>
    <t>3,373,349.35</t>
  </si>
  <si>
    <t>199,997.75</t>
  </si>
  <si>
    <t>389,142.49</t>
  </si>
  <si>
    <t>444,504.85</t>
  </si>
  <si>
    <t>2,230,099.54</t>
  </si>
  <si>
    <t>971,399.21</t>
  </si>
  <si>
    <t>838,845.00</t>
  </si>
  <si>
    <t>1,016,468.00</t>
  </si>
  <si>
    <t>91,052.73</t>
  </si>
  <si>
    <t>100,495,000.00</t>
  </si>
  <si>
    <t>216,616.00</t>
  </si>
  <si>
    <t>8,950,000.00</t>
  </si>
  <si>
    <t>1,448,205.93</t>
  </si>
  <si>
    <t>2,000,800.00</t>
  </si>
  <si>
    <t>6,305,514.32</t>
  </si>
  <si>
    <t>2,485,785.00</t>
  </si>
  <si>
    <t>2,467,745.00</t>
  </si>
  <si>
    <t>5,756,437.64</t>
  </si>
  <si>
    <t>2,099,298.88</t>
  </si>
  <si>
    <t>1,153,000.00</t>
  </si>
  <si>
    <t>398,881.42</t>
  </si>
  <si>
    <t>398,424.65</t>
  </si>
  <si>
    <t>292,250.00</t>
  </si>
  <si>
    <t>5,093,825.35</t>
  </si>
  <si>
    <t>1,999,975.70</t>
  </si>
  <si>
    <t>34,112,590.31</t>
  </si>
  <si>
    <t>4,928,626.71</t>
  </si>
  <si>
    <t>1,232,082.10</t>
  </si>
  <si>
    <t>6,935,000.00</t>
  </si>
  <si>
    <t>11,700,957.10</t>
  </si>
  <si>
    <t>999,997.95</t>
  </si>
  <si>
    <t>3,973,619.00</t>
  </si>
  <si>
    <t>23,500,000.00</t>
  </si>
  <si>
    <t>34,750,000.00</t>
  </si>
  <si>
    <t>4,996,600.00</t>
  </si>
  <si>
    <t>1,674,792.00</t>
  </si>
  <si>
    <t>6,155,000.00</t>
  </si>
  <si>
    <t>12,373,992.00</t>
  </si>
  <si>
    <t>499,307.81</t>
  </si>
  <si>
    <t>499,240.88</t>
  </si>
  <si>
    <t>3,095,000.00</t>
  </si>
  <si>
    <t>34,986,399.36</t>
  </si>
  <si>
    <t>998,668.13</t>
  </si>
  <si>
    <t>1,364,624.00</t>
  </si>
  <si>
    <t>24,418,328.31</t>
  </si>
  <si>
    <t>1,999,811.94</t>
  </si>
  <si>
    <t>4,128,455.38</t>
  </si>
  <si>
    <t>4,154,000.00</t>
  </si>
  <si>
    <t>16,119,108.75</t>
  </si>
  <si>
    <t>28,252,433.41</t>
  </si>
  <si>
    <t>348,190.89</t>
  </si>
  <si>
    <t>1,486,935.51</t>
  </si>
  <si>
    <t>832,034.04</t>
  </si>
  <si>
    <t>112,968,500.00</t>
  </si>
  <si>
    <t>4,814,806.50</t>
  </si>
  <si>
    <t>2,501,250.00</t>
  </si>
  <si>
    <t>29,976,324.60</t>
  </si>
  <si>
    <t>499,434.80</t>
  </si>
  <si>
    <t>12,136,400.25</t>
  </si>
  <si>
    <t>2,688,240.00</t>
  </si>
  <si>
    <t>499,865.63</t>
  </si>
  <si>
    <t>2,498,494.69</t>
  </si>
  <si>
    <t>1,087,541.25</t>
  </si>
  <si>
    <t>2,479,248.95</t>
  </si>
  <si>
    <t>828,600.94</t>
  </si>
  <si>
    <t>707,629.40</t>
  </si>
  <si>
    <t>678,690.42</t>
  </si>
  <si>
    <t>2,310,370.62</t>
  </si>
  <si>
    <t>699,109.69</t>
  </si>
  <si>
    <t>977,707.50</t>
  </si>
  <si>
    <t>625,253.96</t>
  </si>
  <si>
    <t>5,697,879.03</t>
  </si>
  <si>
    <t>287,500.00</t>
  </si>
  <si>
    <t>393,000.00</t>
  </si>
  <si>
    <t>709,495.00</t>
  </si>
  <si>
    <t>5,996,422.03</t>
  </si>
  <si>
    <t>351,888.50</t>
  </si>
  <si>
    <t>128,116.00</t>
  </si>
  <si>
    <t>10,840,000.00</t>
  </si>
  <si>
    <t>691,500.00</t>
  </si>
  <si>
    <t>1,547,300.00</t>
  </si>
  <si>
    <t>999,983.12</t>
  </si>
  <si>
    <t>438,500.00</t>
  </si>
  <si>
    <t>2,959,157.13</t>
  </si>
  <si>
    <t>64,706,962.68</t>
  </si>
  <si>
    <t>338,196.00</t>
  </si>
  <si>
    <t>973,350.00</t>
  </si>
  <si>
    <t>299,200.00</t>
  </si>
  <si>
    <t>1,499,994.00</t>
  </si>
  <si>
    <t>489,978.56</t>
  </si>
  <si>
    <t>201,600.00</t>
  </si>
  <si>
    <t>1,954,233.75</t>
  </si>
  <si>
    <t>608,239.64</t>
  </si>
  <si>
    <t>1,380,006.79</t>
  </si>
  <si>
    <t>762,413.38</t>
  </si>
  <si>
    <t>1,379,569.90</t>
  </si>
  <si>
    <t>123,800.00</t>
  </si>
  <si>
    <t>730,123.80</t>
  </si>
  <si>
    <t>4,977,139.07</t>
  </si>
  <si>
    <t>1,138,541.40</t>
  </si>
  <si>
    <t>1,956,412.50</t>
  </si>
  <si>
    <t>5,052,738.08</t>
  </si>
  <si>
    <t>976,893.75</t>
  </si>
  <si>
    <t>4,966,380.64</t>
  </si>
  <si>
    <t>5,315,461.89</t>
  </si>
  <si>
    <t>1,959,046.69</t>
  </si>
  <si>
    <t>5,032,085.24</t>
  </si>
  <si>
    <t>3,660,000.00</t>
  </si>
  <si>
    <t>1,604,719.33</t>
  </si>
  <si>
    <t>5,650,061.31</t>
  </si>
  <si>
    <t>143,425.00</t>
  </si>
  <si>
    <t>1,811,328.12</t>
  </si>
  <si>
    <t>938,300.00</t>
  </si>
  <si>
    <t>3,127,235.55</t>
  </si>
  <si>
    <t>1,871,121.89</t>
  </si>
  <si>
    <t>648,735.00</t>
  </si>
  <si>
    <t>5,024,488.95</t>
  </si>
  <si>
    <t>5,109,326.74</t>
  </si>
  <si>
    <t>4,863,312.59</t>
  </si>
  <si>
    <t>5,526,062.92</t>
  </si>
  <si>
    <t>5,646,684.48</t>
  </si>
  <si>
    <t>4,919,502.11</t>
  </si>
  <si>
    <t>4,833,731.12</t>
  </si>
  <si>
    <t>4,874,149.33</t>
  </si>
  <si>
    <t>4,914,324.79</t>
  </si>
  <si>
    <t>5,898,574.77</t>
  </si>
  <si>
    <t>5,085,857.42</t>
  </si>
  <si>
    <t>599,997.30</t>
  </si>
  <si>
    <t>499,999.19</t>
  </si>
  <si>
    <t>3,069,934.00</t>
  </si>
  <si>
    <t>499,997.90</t>
  </si>
  <si>
    <t>5,567,005.88</t>
  </si>
  <si>
    <t>899,996.75</t>
  </si>
  <si>
    <t>1,852,565.73</t>
  </si>
  <si>
    <t>699,995.31</t>
  </si>
  <si>
    <t>499,999.92</t>
  </si>
  <si>
    <t>15,436,782.46</t>
  </si>
  <si>
    <t>1,401,900.00</t>
  </si>
  <si>
    <t>1,183,800.00</t>
  </si>
  <si>
    <t>3,979,019.97</t>
  </si>
  <si>
    <t>5,001,989.84</t>
  </si>
  <si>
    <t>5,177,522.13</t>
  </si>
  <si>
    <t>4,345,048.00</t>
  </si>
  <si>
    <t>5,292,579.45</t>
  </si>
  <si>
    <t>5,243,622.52</t>
  </si>
  <si>
    <t>4,800,445.92</t>
  </si>
  <si>
    <t>888,479.17</t>
  </si>
  <si>
    <t>1,971,726.15</t>
  </si>
  <si>
    <t>371,000.00</t>
  </si>
  <si>
    <t>1,581,917.69</t>
  </si>
  <si>
    <t>810,000.00</t>
  </si>
  <si>
    <t>6,572,500.00</t>
  </si>
  <si>
    <t>1,916,000.00</t>
  </si>
  <si>
    <t>5,053,831.59</t>
  </si>
  <si>
    <t>1,342,700.00</t>
  </si>
  <si>
    <t>255,780.07</t>
  </si>
  <si>
    <t>3,074,000.00</t>
  </si>
  <si>
    <t>799,996.60</t>
  </si>
  <si>
    <t>477,100.00</t>
  </si>
  <si>
    <t>499,996.62</t>
  </si>
  <si>
    <t>699,995.33</t>
  </si>
  <si>
    <t>1,095,476.00</t>
  </si>
  <si>
    <t>143,699.82</t>
  </si>
  <si>
    <t>1,703,342.77</t>
  </si>
  <si>
    <t>3,816,794.82</t>
  </si>
  <si>
    <t>3,991,248.82</t>
  </si>
  <si>
    <t>2,939,091.60</t>
  </si>
  <si>
    <t>3,324,920.00</t>
  </si>
  <si>
    <t>5,185,140.74</t>
  </si>
  <si>
    <t>13,300,000.00</t>
  </si>
  <si>
    <t>122,205.00</t>
  </si>
  <si>
    <t>989,393.60</t>
  </si>
  <si>
    <t>1,784,268.49</t>
  </si>
  <si>
    <t>4,310,353.12</t>
  </si>
  <si>
    <t>5,535,900.00</t>
  </si>
  <si>
    <t>1,437,760.00</t>
  </si>
  <si>
    <t>2,925,000.00</t>
  </si>
  <si>
    <t>414,645.00</t>
  </si>
  <si>
    <t>62,000,000.00</t>
  </si>
  <si>
    <t>2,975,990.46</t>
  </si>
  <si>
    <t>2,011,200.00</t>
  </si>
  <si>
    <t>2,175,500.00</t>
  </si>
  <si>
    <t>359,198.81</t>
  </si>
  <si>
    <t>445,885.00</t>
  </si>
  <si>
    <t>2,220,525.00</t>
  </si>
  <si>
    <t>1,460,500.00</t>
  </si>
  <si>
    <t>2,070,153.12</t>
  </si>
  <si>
    <t>2,781,000.00</t>
  </si>
  <si>
    <t>4,086,723.11</t>
  </si>
  <si>
    <t>1,996,580.00</t>
  </si>
  <si>
    <t>182,389.00</t>
  </si>
  <si>
    <t>12,162,127.68</t>
  </si>
  <si>
    <t>1,994,620.00</t>
  </si>
  <si>
    <t>260,600.00</t>
  </si>
  <si>
    <t>80,100.00</t>
  </si>
  <si>
    <t>11,007,938.81</t>
  </si>
  <si>
    <t>13,791,916.69</t>
  </si>
  <si>
    <t>148,435.00</t>
  </si>
  <si>
    <t>82,783.00</t>
  </si>
  <si>
    <t>121,118.00</t>
  </si>
  <si>
    <t>9,642,072.78</t>
  </si>
  <si>
    <t>2,575,572.17</t>
  </si>
  <si>
    <t>8,330,000.00</t>
  </si>
  <si>
    <t>12,189,240.00</t>
  </si>
  <si>
    <t>26,457,801.01</t>
  </si>
  <si>
    <t>3,267,999.56</t>
  </si>
  <si>
    <t>1,731,990.44</t>
  </si>
  <si>
    <t>42,500,000.00</t>
  </si>
  <si>
    <t>3,222,265.00</t>
  </si>
  <si>
    <t>1,077,134.00</t>
  </si>
  <si>
    <t>2,895,902.33</t>
  </si>
  <si>
    <t>28,005,365.30</t>
  </si>
  <si>
    <t>1,182,600.00</t>
  </si>
  <si>
    <t>1,123,500.00</t>
  </si>
  <si>
    <t>1,164,000.00</t>
  </si>
  <si>
    <t>93,300.00</t>
  </si>
  <si>
    <t>3,750,500.00</t>
  </si>
  <si>
    <t>337,600.00</t>
  </si>
  <si>
    <t>70,600.00</t>
  </si>
  <si>
    <t>5,616,500.00</t>
  </si>
  <si>
    <t>300,488.25</t>
  </si>
  <si>
    <t>104,400.00</t>
  </si>
  <si>
    <t>1,573,409.00</t>
  </si>
  <si>
    <t>997,970.00</t>
  </si>
  <si>
    <t>2,280,000.00</t>
  </si>
  <si>
    <t>1,245,750.00</t>
  </si>
  <si>
    <t>320,812.29</t>
  </si>
  <si>
    <t>5,777,429.00</t>
  </si>
  <si>
    <t>1,435,923.58</t>
  </si>
  <si>
    <t>339,158.66</t>
  </si>
  <si>
    <t>293,300.00</t>
  </si>
  <si>
    <t>282,745.00</t>
  </si>
  <si>
    <t>262,615.00</t>
  </si>
  <si>
    <t>422,542.00</t>
  </si>
  <si>
    <t>1,939,800.00</t>
  </si>
  <si>
    <t>14,966,876.23</t>
  </si>
  <si>
    <t>1,499,999.98</t>
  </si>
  <si>
    <t>1,016,795.00</t>
  </si>
  <si>
    <t>1,402,626.00</t>
  </si>
  <si>
    <t>25,100,000.00</t>
  </si>
  <si>
    <t>1,269,999.99</t>
  </si>
  <si>
    <t>5,850,000.00</t>
  </si>
  <si>
    <t>1,719,620.00</t>
  </si>
  <si>
    <t>16,932,714.75</t>
  </si>
  <si>
    <t>592,194.77</t>
  </si>
  <si>
    <t>3,610,000.00</t>
  </si>
  <si>
    <t>3,114,000.00</t>
  </si>
  <si>
    <t>655,000.00</t>
  </si>
  <si>
    <t>1,844,000.00</t>
  </si>
  <si>
    <t>884,269.00</t>
  </si>
  <si>
    <t>68,032,492.04</t>
  </si>
  <si>
    <t>22,000,000.00</t>
  </si>
  <si>
    <t>8,380,000.00</t>
  </si>
  <si>
    <t>220,670.00</t>
  </si>
  <si>
    <t>15,632,991.43</t>
  </si>
  <si>
    <t>8,660,333.47</t>
  </si>
  <si>
    <t>3,070,000.00</t>
  </si>
  <si>
    <t>4,850,000.00</t>
  </si>
  <si>
    <t>423,022.75</t>
  </si>
  <si>
    <t>1,152,000.00</t>
  </si>
  <si>
    <t>6,662,688.93</t>
  </si>
  <si>
    <t>910,000.00</t>
  </si>
  <si>
    <t>407,232.00</t>
  </si>
  <si>
    <t>2,969,989.51</t>
  </si>
  <si>
    <t>1,242,188.26</t>
  </si>
  <si>
    <t>2,970,291.02</t>
  </si>
  <si>
    <t>163,978.00</t>
  </si>
  <si>
    <t>1,503,565.52</t>
  </si>
  <si>
    <t>17,100,000.00</t>
  </si>
  <si>
    <t>3,188,056.80</t>
  </si>
  <si>
    <t>4,522,824.00</t>
  </si>
  <si>
    <t>2,249,924.25</t>
  </si>
  <si>
    <t>7,425,000.00</t>
  </si>
  <si>
    <t>2,050,040.00</t>
  </si>
  <si>
    <t>398,220.00</t>
  </si>
  <si>
    <t>2,268,753.50</t>
  </si>
  <si>
    <t>3,026,256.32</t>
  </si>
  <si>
    <t>1,520,000.00</t>
  </si>
  <si>
    <t>34,860,000.00</t>
  </si>
  <si>
    <t>1,378,623.40</t>
  </si>
  <si>
    <t>957,700.00</t>
  </si>
  <si>
    <t>11,529,050.00</t>
  </si>
  <si>
    <t>519,600.00</t>
  </si>
  <si>
    <t>1,114,575.00</t>
  </si>
  <si>
    <t>1,538,538.25</t>
  </si>
  <si>
    <t>124,799,000.00</t>
  </si>
  <si>
    <t>3,309,067.00</t>
  </si>
  <si>
    <t>1,907,000.00</t>
  </si>
  <si>
    <t>78,800.00</t>
  </si>
  <si>
    <t>996,680.10</t>
  </si>
  <si>
    <t>6,273,775.00</t>
  </si>
  <si>
    <t>109,876.00</t>
  </si>
  <si>
    <t>19,799,378.78</t>
  </si>
  <si>
    <t>2,991,839.78</t>
  </si>
  <si>
    <t>743,050.00</t>
  </si>
  <si>
    <t>465,654.00</t>
  </si>
  <si>
    <t>451,885.00</t>
  </si>
  <si>
    <t>1,300,337.50</t>
  </si>
  <si>
    <t>1,614,600.00</t>
  </si>
  <si>
    <t>34,650,000.00</t>
  </si>
  <si>
    <t>928,812.50</t>
  </si>
  <si>
    <t>1,820,000.00</t>
  </si>
  <si>
    <t>1,328,271.00</t>
  </si>
  <si>
    <t>6,800,000.00</t>
  </si>
  <si>
    <t>4,250,000.00</t>
  </si>
  <si>
    <t>4,389,877.80</t>
  </si>
  <si>
    <t>1,670,936.01</t>
  </si>
  <si>
    <t>6,161,996.82</t>
  </si>
  <si>
    <t>1,559,000.00</t>
  </si>
  <si>
    <t>785,119.56</t>
  </si>
  <si>
    <t>307,341.95</t>
  </si>
  <si>
    <t>32,577,872.70</t>
  </si>
  <si>
    <t>702,846.75</t>
  </si>
  <si>
    <t>1,512,355.00</t>
  </si>
  <si>
    <t>49,999,929.61</t>
  </si>
  <si>
    <t>38,000,000.00</t>
  </si>
  <si>
    <t>278,500.00</t>
  </si>
  <si>
    <t>21,199,952.98</t>
  </si>
  <si>
    <t>2,999,606.10</t>
  </si>
  <si>
    <t>3,506,162.90</t>
  </si>
  <si>
    <t>3,944,942.38</t>
  </si>
  <si>
    <t>7,400,000.00</t>
  </si>
  <si>
    <t>1,999,469.80</t>
  </si>
  <si>
    <t>28,340,000.00</t>
  </si>
  <si>
    <t>755,250.00</t>
  </si>
  <si>
    <t>428,533.93</t>
  </si>
  <si>
    <t>5,996,916.53</t>
  </si>
  <si>
    <t>1,116,090.00</t>
  </si>
  <si>
    <t>2,137,500.00</t>
  </si>
  <si>
    <t>298,229.49</t>
  </si>
  <si>
    <t>1,420,686.77</t>
  </si>
  <si>
    <t>699,660.00</t>
  </si>
  <si>
    <t>4,653,000.00</t>
  </si>
  <si>
    <t>1,294,800.00</t>
  </si>
  <si>
    <t>2,145,000.00</t>
  </si>
  <si>
    <t>285,000.00</t>
  </si>
  <si>
    <t>58,800,000.00</t>
  </si>
  <si>
    <t>1,509,154.91</t>
  </si>
  <si>
    <t>19,512,082.18</t>
  </si>
  <si>
    <t>6,930,000.00</t>
  </si>
  <si>
    <t>39,999,049.66</t>
  </si>
  <si>
    <t>1,995,871.20</t>
  </si>
  <si>
    <t>11,385,000.00</t>
  </si>
  <si>
    <t>6,756,557.00</t>
  </si>
  <si>
    <t>298,838.00</t>
  </si>
  <si>
    <t>2,999,813.94</t>
  </si>
  <si>
    <t>999,534.30</t>
  </si>
  <si>
    <t>694,545.00</t>
  </si>
  <si>
    <t>40,900.00</t>
  </si>
  <si>
    <t>2,133,619.39</t>
  </si>
  <si>
    <t>7,330,025.68</t>
  </si>
  <si>
    <t>477,595.00</t>
  </si>
  <si>
    <t>4,851,560.00</t>
  </si>
  <si>
    <t>27,300,000.00</t>
  </si>
  <si>
    <t>1,066,404.50</t>
  </si>
  <si>
    <t>622,200.00</t>
  </si>
  <si>
    <t>1,838,514.60</t>
  </si>
  <si>
    <t>23,174,033.92</t>
  </si>
  <si>
    <t>2,885,508.31</t>
  </si>
  <si>
    <t>14,978,730.89</t>
  </si>
  <si>
    <t>19,027,800.00</t>
  </si>
  <si>
    <t>19,501,888.25</t>
  </si>
  <si>
    <t>289,499,796.53</t>
  </si>
  <si>
    <t>19,512,168.46</t>
  </si>
  <si>
    <t>29,397,952.78</t>
  </si>
  <si>
    <t>2,454,232.48</t>
  </si>
  <si>
    <t>725,368.35</t>
  </si>
  <si>
    <t>1,377,800.00</t>
  </si>
  <si>
    <t>9,654,869.08</t>
  </si>
  <si>
    <t>10,711,407.00</t>
  </si>
  <si>
    <t>19,502,380.97</t>
  </si>
  <si>
    <t>2,260,000.00</t>
  </si>
  <si>
    <t>499,900.00</t>
  </si>
  <si>
    <t>9,181,767.50</t>
  </si>
  <si>
    <t>4,019,000.00</t>
  </si>
  <si>
    <t>3,754,200.88</t>
  </si>
  <si>
    <t>611,064.00</t>
  </si>
  <si>
    <t>9,079,050.00</t>
  </si>
  <si>
    <t>8,200,000.00</t>
  </si>
  <si>
    <t>8,592,600.00</t>
  </si>
  <si>
    <t>1,584,800.00</t>
  </si>
  <si>
    <t>55,100,000.00</t>
  </si>
  <si>
    <t>6,342,600.00</t>
  </si>
  <si>
    <t>5,701,219.60</t>
  </si>
  <si>
    <t>3,767,187.50</t>
  </si>
  <si>
    <t>4,362,781.17</t>
  </si>
  <si>
    <t>2,740,000.00</t>
  </si>
  <si>
    <t>12,571,721.70</t>
  </si>
  <si>
    <t>677,875.00</t>
  </si>
  <si>
    <t>4,240,000.00</t>
  </si>
  <si>
    <t>666,000.00</t>
  </si>
  <si>
    <t>122,996.00</t>
  </si>
  <si>
    <t>695,165.26</t>
  </si>
  <si>
    <t>2,698,192.09</t>
  </si>
  <si>
    <t>1,446,281.32</t>
  </si>
  <si>
    <t>2,105,000.00</t>
  </si>
  <si>
    <t>1,030,000.00</t>
  </si>
  <si>
    <t>285,455.00</t>
  </si>
  <si>
    <t>999,906.66</t>
  </si>
  <si>
    <t>10,452,868.00</t>
  </si>
  <si>
    <t>49,999,808.70</t>
  </si>
  <si>
    <t>37,946.70</t>
  </si>
  <si>
    <t>4,224,800.00</t>
  </si>
  <si>
    <t>155,461.76</t>
  </si>
  <si>
    <t>166,165.12</t>
  </si>
  <si>
    <t>18,961,724.09</t>
  </si>
  <si>
    <t>4,967,279.05</t>
  </si>
  <si>
    <t>3,123,079.75</t>
  </si>
  <si>
    <t>2,520,000.00</t>
  </si>
  <si>
    <t>8,790,658.00</t>
  </si>
  <si>
    <t>7,618,750.00</t>
  </si>
  <si>
    <t>4,624,132.95</t>
  </si>
  <si>
    <t>665,999.83</t>
  </si>
  <si>
    <t>3,482,440.00</t>
  </si>
  <si>
    <t>206,095.00</t>
  </si>
  <si>
    <t>1,199,428.12</t>
  </si>
  <si>
    <t>1,385,840.00</t>
  </si>
  <si>
    <t>1,455,000.00</t>
  </si>
  <si>
    <t>5,197,000.00</t>
  </si>
  <si>
    <t>647,237.00</t>
  </si>
  <si>
    <t>2,839,703.00</t>
  </si>
  <si>
    <t>76,000,000.00</t>
  </si>
  <si>
    <t>1,341,106.10</t>
  </si>
  <si>
    <t>739,414.35</t>
  </si>
  <si>
    <t>2,375,000.00</t>
  </si>
  <si>
    <t>2,694,000.00</t>
  </si>
  <si>
    <t>3,367,659.00</t>
  </si>
  <si>
    <t>738,375.59</t>
  </si>
  <si>
    <t>1,760,092.31</t>
  </si>
  <si>
    <t>128,235.00</t>
  </si>
  <si>
    <t>85,440.00</t>
  </si>
  <si>
    <t>378,558.75</t>
  </si>
  <si>
    <t>1,431,979.04</t>
  </si>
  <si>
    <t>1,793,234.21</t>
  </si>
  <si>
    <t>1,392,874.73</t>
  </si>
  <si>
    <t>11,322,400.00</t>
  </si>
  <si>
    <t>80,700,000.00</t>
  </si>
  <si>
    <t>2,572,797.81</t>
  </si>
  <si>
    <t>8,570,736.00</t>
  </si>
  <si>
    <t>5,957,365.53</t>
  </si>
  <si>
    <t>787,500.50</t>
  </si>
  <si>
    <t>1,834,570.00</t>
  </si>
  <si>
    <t>82,500,000.00</t>
  </si>
  <si>
    <t>1,620,000.00</t>
  </si>
  <si>
    <t>8,311,100.00</t>
  </si>
  <si>
    <t>30,170,809.50</t>
  </si>
  <si>
    <t>1,836,196.10</t>
  </si>
  <si>
    <t>999,705.39</t>
  </si>
  <si>
    <t>264,000.00</t>
  </si>
  <si>
    <t>1,489,429.78</t>
  </si>
  <si>
    <t>657,018.63</t>
  </si>
  <si>
    <t>135,200.00</t>
  </si>
  <si>
    <t>211,945.77</t>
  </si>
  <si>
    <t>2,164,000.00</t>
  </si>
  <si>
    <t>1,094,201.17</t>
  </si>
  <si>
    <t>6,255,165.71</t>
  </si>
  <si>
    <t>3,051,033.41</t>
  </si>
  <si>
    <t>147,461.40</t>
  </si>
  <si>
    <t>843,099.04</t>
  </si>
  <si>
    <t>296,864.68</t>
  </si>
  <si>
    <t>2,248,500.00</t>
  </si>
  <si>
    <t>67,365.00</t>
  </si>
  <si>
    <t>496,500.00</t>
  </si>
  <si>
    <t>724,000.00</t>
  </si>
  <si>
    <t>1,595,798.00</t>
  </si>
  <si>
    <t>1,006,000.00</t>
  </si>
  <si>
    <t>805,634.93</t>
  </si>
  <si>
    <t>3,034,982.50</t>
  </si>
  <si>
    <t>789,000.00</t>
  </si>
  <si>
    <t>1,199,520.00</t>
  </si>
  <si>
    <t>2,959,255.00</t>
  </si>
  <si>
    <t>671,343,892.41</t>
  </si>
  <si>
    <t>1,703,917,375.78</t>
  </si>
  <si>
    <t>781,229.00</t>
  </si>
  <si>
    <t>12,500,000.00</t>
  </si>
  <si>
    <t>16,913,371.44</t>
  </si>
  <si>
    <t>24,875,000.00</t>
  </si>
  <si>
    <t>776,100.00</t>
  </si>
  <si>
    <t>1,999,999.52</t>
  </si>
  <si>
    <t>154,325.00</t>
  </si>
  <si>
    <t>1,318,234.84</t>
  </si>
  <si>
    <t>4,534,054.89</t>
  </si>
  <si>
    <t>2,697,256.47</t>
  </si>
  <si>
    <t>96,499,079.66</t>
  </si>
  <si>
    <t>96,498,691.77</t>
  </si>
  <si>
    <t>139,923,944.95</t>
  </si>
  <si>
    <t>598,825.00</t>
  </si>
  <si>
    <t>11,437,500.00</t>
  </si>
  <si>
    <t>3,219,539.68</t>
  </si>
  <si>
    <t>57,899,874.60</t>
  </si>
  <si>
    <t>1,084,000.00</t>
  </si>
  <si>
    <t>12,870,000.00</t>
  </si>
  <si>
    <t>27,000,000.00</t>
  </si>
  <si>
    <t>122,085.00</t>
  </si>
  <si>
    <t>16,723,101.12</t>
  </si>
  <si>
    <t>69,480.00</t>
  </si>
  <si>
    <t>39,725.00</t>
  </si>
  <si>
    <t>12,034,400.00</t>
  </si>
  <si>
    <t>601,000.00</t>
  </si>
  <si>
    <t>129,180.00</t>
  </si>
  <si>
    <t>13,900,000.00</t>
  </si>
  <si>
    <t>4,321,800.00</t>
  </si>
  <si>
    <t>20,162,841,907.02</t>
  </si>
  <si>
    <t>636,233.54</t>
  </si>
  <si>
    <t>27,165,600.00</t>
  </si>
  <si>
    <t>9,224,436.35</t>
  </si>
  <si>
    <t>323,775.18</t>
  </si>
  <si>
    <t>3,610,215.00</t>
  </si>
  <si>
    <t>5,317,000.00</t>
  </si>
  <si>
    <t>11,292,155.18</t>
  </si>
  <si>
    <t>72,374,701.31</t>
  </si>
  <si>
    <t>197,511,504.19</t>
  </si>
  <si>
    <t>16,258,200.00</t>
  </si>
  <si>
    <t>257,398,924.59</t>
  </si>
  <si>
    <t>10,450,000.00</t>
  </si>
  <si>
    <t>234,382,490.99</t>
  </si>
  <si>
    <t>9,281,940.20</t>
  </si>
  <si>
    <t>27,355,000.00</t>
  </si>
  <si>
    <t>146,387,950.64</t>
  </si>
  <si>
    <t>193,305.00</t>
  </si>
  <si>
    <t>4,547,000.00</t>
  </si>
  <si>
    <t>5,938,259.14</t>
  </si>
  <si>
    <t>2,700,000,000.00</t>
  </si>
  <si>
    <t>5,372,600.00</t>
  </si>
  <si>
    <t>144,747,335.55</t>
  </si>
  <si>
    <t>33,733,000.00</t>
  </si>
  <si>
    <t>29,701,491.04</t>
  </si>
  <si>
    <t>5,995,000.00</t>
  </si>
  <si>
    <t>29,699,993.77</t>
  </si>
  <si>
    <t>34,649,985.05</t>
  </si>
  <si>
    <t>69,299,996.96</t>
  </si>
  <si>
    <t>90,523,000.00</t>
  </si>
  <si>
    <t>1,187,849.29</t>
  </si>
  <si>
    <t>2,787,756.08</t>
  </si>
  <si>
    <t>1,329,428.01</t>
  </si>
  <si>
    <t>2,606,951.31</t>
  </si>
  <si>
    <t>3,025,657.63</t>
  </si>
  <si>
    <t>28,916,667.00</t>
  </si>
  <si>
    <t>1,114,793.99</t>
  </si>
  <si>
    <t>632,800.00</t>
  </si>
  <si>
    <t>69,510.00</t>
  </si>
  <si>
    <t>2,462,800.00</t>
  </si>
  <si>
    <t>2,281,000.00</t>
  </si>
  <si>
    <t>100,500.00</t>
  </si>
  <si>
    <t>2,340,801.68</t>
  </si>
  <si>
    <t>7,511,740.64</t>
  </si>
  <si>
    <t>96,499,837.62</t>
  </si>
  <si>
    <t>10,622,795.00</t>
  </si>
  <si>
    <t>10,050,575.63</t>
  </si>
  <si>
    <t>96,498,710.68</t>
  </si>
  <si>
    <t>19,578,997.50</t>
  </si>
  <si>
    <t>10,036,581.00</t>
  </si>
  <si>
    <t>19,800.00</t>
  </si>
  <si>
    <t>16,663,366.34</t>
  </si>
  <si>
    <t>1,267,200.00</t>
  </si>
  <si>
    <t>15,911,970.00</t>
  </si>
  <si>
    <t>2,199,680.00</t>
  </si>
  <si>
    <t>576,747,648.00</t>
  </si>
  <si>
    <t>57,882,935.46</t>
  </si>
  <si>
    <t>1,555,122.75</t>
  </si>
  <si>
    <t>9,149,048.61</t>
  </si>
  <si>
    <t>8,262,312.00</t>
  </si>
  <si>
    <t>1,021,660.24</t>
  </si>
  <si>
    <t>10,284,294.75</t>
  </si>
  <si>
    <t>329,730.00</t>
  </si>
  <si>
    <t>54,900.00</t>
  </si>
  <si>
    <t>6,300,000.00</t>
  </si>
  <si>
    <t>65,500.00</t>
  </si>
  <si>
    <t>14,214,611.43</t>
  </si>
  <si>
    <t>3,335,000.00</t>
  </si>
  <si>
    <t>67,534,000.00</t>
  </si>
  <si>
    <t>507,000.00</t>
  </si>
  <si>
    <t>759,080,367.13</t>
  </si>
  <si>
    <t>256,000.00</t>
  </si>
  <si>
    <t>1,699,815.00</t>
  </si>
  <si>
    <t>2,969,951.91</t>
  </si>
  <si>
    <t>4,865,000.00</t>
  </si>
  <si>
    <t>7,895,469.87</t>
  </si>
  <si>
    <t>2,969,300.00</t>
  </si>
  <si>
    <t>820,442.98</t>
  </si>
  <si>
    <t>432,000.00</t>
  </si>
  <si>
    <t>23,760,000.00</t>
  </si>
  <si>
    <t>1,291,104.74</t>
  </si>
  <si>
    <t>6,048,000.00</t>
  </si>
  <si>
    <t>1,499,791.00</t>
  </si>
  <si>
    <t>500,000,000.00</t>
  </si>
  <si>
    <t>48,999,866.87</t>
  </si>
  <si>
    <t>25,500,000.00</t>
  </si>
  <si>
    <t>1,499,286.02</t>
  </si>
  <si>
    <t>1,498,727.95</t>
  </si>
  <si>
    <t>1,190,768.00</t>
  </si>
  <si>
    <t>2,257,068.21</t>
  </si>
  <si>
    <t>106,149,995.59</t>
  </si>
  <si>
    <t>921,672,000.00</t>
  </si>
  <si>
    <t>47,300,000.00</t>
  </si>
  <si>
    <t>21,342,705.42</t>
  </si>
  <si>
    <t>53,074,892.40</t>
  </si>
  <si>
    <t>21,372,000.00</t>
  </si>
  <si>
    <t>4,527,443.32</t>
  </si>
  <si>
    <t>3,745,317.40</t>
  </si>
  <si>
    <t>25,262.00</t>
  </si>
  <si>
    <t>1,749,074.98</t>
  </si>
  <si>
    <t>775,132.00</t>
  </si>
  <si>
    <t>2,521,768.78</t>
  </si>
  <si>
    <t>774,559.72</t>
  </si>
  <si>
    <t>72,252,000.00</t>
  </si>
  <si>
    <t>3,178,938.13</t>
  </si>
  <si>
    <t>8,871,231.98</t>
  </si>
  <si>
    <t>8,372,579.52</t>
  </si>
  <si>
    <t>4,547,441.22</t>
  </si>
  <si>
    <t>19,636,391.87</t>
  </si>
  <si>
    <t>29,699,982.26</t>
  </si>
  <si>
    <t>3,992,977.00</t>
  </si>
  <si>
    <t>1,782,000.00</t>
  </si>
  <si>
    <t>3,958,007.75</t>
  </si>
  <si>
    <t>17,296,925.62</t>
  </si>
  <si>
    <t>2,491,213.78</t>
  </si>
  <si>
    <t>2,307,000.00</t>
  </si>
  <si>
    <t>2,335,144.00</t>
  </si>
  <si>
    <t>12,999,204.36</t>
  </si>
  <si>
    <t>1,741,936.43</t>
  </si>
  <si>
    <t>22,991,000.00</t>
  </si>
  <si>
    <t>4,228,780.75</t>
  </si>
  <si>
    <t>4,949,722.40</t>
  </si>
  <si>
    <t>4,993,172.71</t>
  </si>
  <si>
    <t>8,837,317.56</t>
  </si>
  <si>
    <t>9,899,916.97</t>
  </si>
  <si>
    <t>1,947,062,163.77</t>
  </si>
  <si>
    <t>3,759,553.34</t>
  </si>
  <si>
    <t>9,500,000.00</t>
  </si>
  <si>
    <t>15,344,856.27</t>
  </si>
  <si>
    <t>33,000,000.00</t>
  </si>
  <si>
    <t>1,472,984.71</t>
  </si>
  <si>
    <t>815,000.00</t>
  </si>
  <si>
    <t>1,504,705.38</t>
  </si>
  <si>
    <t>35,596,000.00</t>
  </si>
  <si>
    <t>52,110,000.00</t>
  </si>
  <si>
    <t>14,849,659.73</t>
  </si>
  <si>
    <t>1,999,972.79</t>
  </si>
  <si>
    <t>651,700.00</t>
  </si>
  <si>
    <t>3,567,000.00</t>
  </si>
  <si>
    <t>97,998,833.48</t>
  </si>
  <si>
    <t>29,099,767.49</t>
  </si>
  <si>
    <t>9,799,932.60</t>
  </si>
  <si>
    <t>17,400,000.00</t>
  </si>
  <si>
    <t>3,919,609.45</t>
  </si>
  <si>
    <t>34,299,989.07</t>
  </si>
  <si>
    <t>19,819,520.00</t>
  </si>
  <si>
    <t>1,083,290.12</t>
  </si>
  <si>
    <t>59,089.77</t>
  </si>
  <si>
    <t>9,899,596.36</t>
  </si>
  <si>
    <t>9,899,900.44</t>
  </si>
  <si>
    <t>48,999,996.39</t>
  </si>
  <si>
    <t>79,996,788.53</t>
  </si>
  <si>
    <t>133,650,000.00</t>
  </si>
  <si>
    <t>14,849,946.31</t>
  </si>
  <si>
    <t>59,399,994.70</t>
  </si>
  <si>
    <t>7,441,250.00</t>
  </si>
  <si>
    <t>9,797,568.00</t>
  </si>
  <si>
    <t>10,413,319.00</t>
  </si>
  <si>
    <t>9,899,999.86</t>
  </si>
  <si>
    <t>98,998,843.79</t>
  </si>
  <si>
    <t>172,000.00</t>
  </si>
  <si>
    <t>98,999,642.57</t>
  </si>
  <si>
    <t>45,361,366,040.29</t>
  </si>
  <si>
    <t>19,010,810.00</t>
  </si>
  <si>
    <t>13,510,000.00</t>
  </si>
  <si>
    <t>12,545,000.00</t>
  </si>
  <si>
    <t>1,305,000.00</t>
  </si>
  <si>
    <t>67,513,749.57</t>
  </si>
  <si>
    <t>19,799,702.03</t>
  </si>
  <si>
    <t>11,580,000.00</t>
  </si>
  <si>
    <t>16,250,000.00</t>
  </si>
  <si>
    <t>1,979,956.11</t>
  </si>
  <si>
    <t>1,979,474.56</t>
  </si>
  <si>
    <t>2,007,000.00</t>
  </si>
  <si>
    <t>4,026,565.53</t>
  </si>
  <si>
    <t>139,297,800.00</t>
  </si>
  <si>
    <t>190,375,000.00</t>
  </si>
  <si>
    <t>29,699,973.77</t>
  </si>
  <si>
    <t>5,541,613.32</t>
  </si>
  <si>
    <t>8,004,050.28</t>
  </si>
  <si>
    <t>6,200,000.00</t>
  </si>
  <si>
    <t>458,000.00</t>
  </si>
  <si>
    <t>362,390.00</t>
  </si>
  <si>
    <t>147,906,854.18</t>
  </si>
  <si>
    <t>67,238,000.00</t>
  </si>
  <si>
    <t>7,481,110.96</t>
  </si>
  <si>
    <t>111,310,000.00</t>
  </si>
  <si>
    <t>451,999.00</t>
  </si>
  <si>
    <t>91,309,000.00</t>
  </si>
  <si>
    <t>99,345.00</t>
  </si>
  <si>
    <t>164,988,000.00</t>
  </si>
  <si>
    <t>19,801,477.33</t>
  </si>
  <si>
    <t>475,860.00</t>
  </si>
  <si>
    <t>88,707,634.87</t>
  </si>
  <si>
    <t>13,887,088.64</t>
  </si>
  <si>
    <t>70,603,736.04</t>
  </si>
  <si>
    <t>24,114.00</t>
  </si>
  <si>
    <t>10,159,540,045.42</t>
  </si>
  <si>
    <t>14,999,985.16</t>
  </si>
  <si>
    <t>65,325.00</t>
  </si>
  <si>
    <t>14,981,717.00</t>
  </si>
  <si>
    <t>18,309,589.20</t>
  </si>
  <si>
    <t>5,930,560.00</t>
  </si>
  <si>
    <t>1,940,000.00</t>
  </si>
  <si>
    <t>91,859.00</t>
  </si>
  <si>
    <t>1,629,206.36</t>
  </si>
  <si>
    <t>1,214,592.00</t>
  </si>
  <si>
    <t>5,122,236.32</t>
  </si>
  <si>
    <t>39,197,756.65</t>
  </si>
  <si>
    <t>952,580.00</t>
  </si>
  <si>
    <t>249,985,261.00</t>
  </si>
  <si>
    <t>968,400.00</t>
  </si>
  <si>
    <t>848,705.60</t>
  </si>
  <si>
    <t>7 Day/s</t>
  </si>
  <si>
    <t>15 Day/s</t>
  </si>
  <si>
    <t>30 Day/s</t>
  </si>
  <si>
    <t>40 Day/s</t>
  </si>
  <si>
    <t>3 Day/s</t>
  </si>
  <si>
    <t>0 Day/s</t>
  </si>
  <si>
    <t>10 Day/s</t>
  </si>
  <si>
    <t>150 Day/s</t>
  </si>
  <si>
    <t>180 Day/s</t>
  </si>
  <si>
    <t>90 Day/s</t>
  </si>
  <si>
    <t>75 Day/s</t>
  </si>
  <si>
    <t>120 Day/s</t>
  </si>
  <si>
    <t>14 Day/s</t>
  </si>
  <si>
    <t>65 Day/s</t>
  </si>
  <si>
    <t>240 Day/s</t>
  </si>
  <si>
    <t>135 Day/s</t>
  </si>
  <si>
    <t>60 Day/s</t>
  </si>
  <si>
    <t>45 Day/s</t>
  </si>
  <si>
    <t>33 Day/s</t>
  </si>
  <si>
    <t>35 Day/s</t>
  </si>
  <si>
    <t>42 Day/s</t>
  </si>
  <si>
    <t>47 Day/s</t>
  </si>
  <si>
    <t>99 Day/s</t>
  </si>
  <si>
    <t>20 Day/s</t>
  </si>
  <si>
    <t>12 Month/s</t>
  </si>
  <si>
    <t>21 Day/s</t>
  </si>
  <si>
    <t>46 Day/s</t>
  </si>
  <si>
    <t>25 Day/s</t>
  </si>
  <si>
    <t>160 Day/s</t>
  </si>
  <si>
    <t>80 Day/s</t>
  </si>
  <si>
    <t>1 Day/s</t>
  </si>
  <si>
    <t>3 Year/s</t>
  </si>
  <si>
    <t>32 Day/s</t>
  </si>
  <si>
    <t>118 Day/s</t>
  </si>
  <si>
    <t>6 Month/s</t>
  </si>
  <si>
    <t>29 Day/s</t>
  </si>
  <si>
    <t>4 Day/s</t>
  </si>
  <si>
    <t>37 Day/s</t>
  </si>
  <si>
    <t>164 Day/s</t>
  </si>
  <si>
    <t>5 Day/s</t>
  </si>
  <si>
    <t>67 Day/s</t>
  </si>
  <si>
    <t>7 Month/s</t>
  </si>
  <si>
    <t>188 Day/s</t>
  </si>
  <si>
    <t>17 Day/s</t>
  </si>
  <si>
    <t>8 Month/s</t>
  </si>
  <si>
    <t>141 Day/s</t>
  </si>
  <si>
    <t>68 Day/s</t>
  </si>
  <si>
    <t>53 Day/s</t>
  </si>
  <si>
    <t>229 Day/s</t>
  </si>
  <si>
    <t>55 Day/s</t>
  </si>
  <si>
    <t>95 Day/s</t>
  </si>
  <si>
    <t>100 Day/s</t>
  </si>
  <si>
    <t>6 Day/s</t>
  </si>
  <si>
    <t>265 Day/s</t>
  </si>
  <si>
    <t>50 Day/s</t>
  </si>
  <si>
    <t>84 Day/s</t>
  </si>
  <si>
    <t>77 Day/s</t>
  </si>
  <si>
    <t>39 Day/s</t>
  </si>
  <si>
    <t>8 Day/s</t>
  </si>
  <si>
    <t>148 Day/s</t>
  </si>
  <si>
    <t>305 Day/s</t>
  </si>
  <si>
    <t>144 Day/s</t>
  </si>
  <si>
    <t>2 Day/s</t>
  </si>
  <si>
    <t>85 Day/s</t>
  </si>
  <si>
    <t>97 Day/s</t>
  </si>
  <si>
    <t>70 Day/s</t>
  </si>
  <si>
    <t>31 Day/s</t>
  </si>
  <si>
    <t>110 Day/s</t>
  </si>
  <si>
    <t>1 Year/s</t>
  </si>
  <si>
    <t>89 Day/s</t>
  </si>
  <si>
    <t>114 Day/s</t>
  </si>
  <si>
    <t>104 Day/s</t>
  </si>
  <si>
    <t>270 Day/s</t>
  </si>
  <si>
    <t>252 Day/s</t>
  </si>
  <si>
    <t>16 Day/s</t>
  </si>
  <si>
    <t>153 Day/s</t>
  </si>
  <si>
    <t>88 Day/s</t>
  </si>
  <si>
    <t>72 Day/s</t>
  </si>
  <si>
    <t>11 Day/s</t>
  </si>
  <si>
    <t>9 Day/s</t>
  </si>
  <si>
    <t>22 Day/s</t>
  </si>
  <si>
    <t>300 Day/s</t>
  </si>
  <si>
    <t>61 Day/s</t>
  </si>
  <si>
    <t>330 Day/s</t>
  </si>
  <si>
    <t>92 Day/s</t>
  </si>
  <si>
    <t>12 Day/s</t>
  </si>
  <si>
    <t>210 Day/s</t>
  </si>
  <si>
    <t>28 Day/s</t>
  </si>
  <si>
    <t>23 Day/s</t>
  </si>
  <si>
    <t>13 Day/s</t>
  </si>
  <si>
    <t>105 Day/s</t>
  </si>
  <si>
    <t>63 Day/s</t>
  </si>
  <si>
    <t>66 Day/s</t>
  </si>
  <si>
    <t>93 Day/s</t>
  </si>
  <si>
    <t>119 Day/s</t>
  </si>
  <si>
    <t>3 Month/s</t>
  </si>
  <si>
    <t>131 Day/s</t>
  </si>
  <si>
    <t>1 Month/s</t>
  </si>
  <si>
    <t>49 Day/s</t>
  </si>
  <si>
    <t>260 Day/s</t>
  </si>
  <si>
    <t>2 Month/s</t>
  </si>
  <si>
    <t>76 Day/s</t>
  </si>
  <si>
    <t>57 Day/s</t>
  </si>
  <si>
    <t>157 Day/s</t>
  </si>
  <si>
    <t>116 Day/s</t>
  </si>
  <si>
    <t>184 Day/s</t>
  </si>
  <si>
    <t>142 Day/s</t>
  </si>
  <si>
    <t>280 Day/s</t>
  </si>
  <si>
    <t>24 Day/s</t>
  </si>
  <si>
    <t>310 Day/s</t>
  </si>
  <si>
    <t>4 Month/s</t>
  </si>
  <si>
    <t>200 Day/s</t>
  </si>
  <si>
    <t>18 Day/s</t>
  </si>
  <si>
    <t>56 Day/s</t>
  </si>
  <si>
    <t>146 Day/s</t>
  </si>
  <si>
    <t>34 Day/s</t>
  </si>
  <si>
    <t>258 Day/s</t>
  </si>
  <si>
    <t>26 Day/s</t>
  </si>
  <si>
    <t>130 Day/s</t>
  </si>
  <si>
    <t>24 Month/s</t>
  </si>
  <si>
    <t>420 Day/s</t>
  </si>
  <si>
    <t>360 Day/s</t>
  </si>
  <si>
    <t>365 Day/s</t>
  </si>
  <si>
    <t>5 Month/s</t>
  </si>
  <si>
    <t>203 Day/s</t>
  </si>
  <si>
    <t>128 Day/s</t>
  </si>
  <si>
    <t>73 Day/s</t>
  </si>
  <si>
    <t>149 Day/s</t>
  </si>
  <si>
    <t>19 Day/s</t>
  </si>
  <si>
    <t>145 Day/s</t>
  </si>
  <si>
    <t>140 Day/s</t>
  </si>
  <si>
    <t>195 Day/s</t>
  </si>
  <si>
    <t>79 Day/s</t>
  </si>
  <si>
    <t>293 Day/s</t>
  </si>
  <si>
    <t>39 Month/s</t>
  </si>
  <si>
    <t>350 Day/s</t>
  </si>
  <si>
    <t>44 Day/s</t>
  </si>
  <si>
    <t>170 Day/s</t>
  </si>
  <si>
    <t>175 Day/s</t>
  </si>
  <si>
    <t>112 Day/s</t>
  </si>
  <si>
    <t>96 Day/s</t>
  </si>
  <si>
    <t>41 Day/s</t>
  </si>
  <si>
    <t>98 Day/s</t>
  </si>
  <si>
    <t>10 Month/s</t>
  </si>
  <si>
    <t>336 Day/s</t>
  </si>
  <si>
    <t>264 Day/s</t>
  </si>
  <si>
    <t>71 Day/s</t>
  </si>
  <si>
    <t>320 Day/s</t>
  </si>
  <si>
    <t>186 Day/s</t>
  </si>
  <si>
    <t>54 Day/s</t>
  </si>
  <si>
    <t>5 Year/s</t>
  </si>
  <si>
    <t>202 Day/s</t>
  </si>
  <si>
    <t>27 Day/s</t>
  </si>
  <si>
    <t>136 Day/s</t>
  </si>
  <si>
    <t>83 Day/s</t>
  </si>
  <si>
    <t>121 Day/s</t>
  </si>
  <si>
    <t>117 Day/s</t>
  </si>
  <si>
    <t>113 Day/s</t>
  </si>
  <si>
    <t>103 Day/s</t>
  </si>
  <si>
    <t>48 Day/s</t>
  </si>
  <si>
    <t>165 Day/s</t>
  </si>
  <si>
    <t>224 Day/s</t>
  </si>
  <si>
    <t>225 Day/s</t>
  </si>
  <si>
    <t>223 Day/s</t>
  </si>
  <si>
    <t>249 Day/s</t>
  </si>
  <si>
    <t>201 Day/s</t>
  </si>
  <si>
    <t>380 Day/s</t>
  </si>
  <si>
    <t>215 Day/s</t>
  </si>
  <si>
    <t>0 Month/s</t>
  </si>
  <si>
    <t>111 Day/s</t>
  </si>
  <si>
    <t>190 Day/s</t>
  </si>
  <si>
    <t>36 Day/s</t>
  </si>
  <si>
    <t>290 Day/s</t>
  </si>
  <si>
    <t>38 Day/s</t>
  </si>
  <si>
    <t>158 Day/s</t>
  </si>
  <si>
    <t>553 Day/s</t>
  </si>
  <si>
    <t>11 Month/s</t>
  </si>
  <si>
    <t>358 Day/s</t>
  </si>
  <si>
    <t>250 Day/s</t>
  </si>
  <si>
    <t>174 Day/s</t>
  </si>
  <si>
    <t>500 Day/s</t>
  </si>
  <si>
    <t>730 Day/s</t>
  </si>
  <si>
    <t>127 Day/s</t>
  </si>
  <si>
    <t>173 Day/s</t>
  </si>
  <si>
    <t>206 Day/s</t>
  </si>
  <si>
    <t>115 Day/s</t>
  </si>
  <si>
    <t>182 Day/s</t>
  </si>
  <si>
    <t>172 Day/s</t>
  </si>
  <si>
    <t>213 Day/s</t>
  </si>
  <si>
    <t>400 Day/s</t>
  </si>
  <si>
    <t>152 Day/s</t>
  </si>
  <si>
    <t>74 Day/s</t>
  </si>
  <si>
    <t>196 Day/s</t>
  </si>
  <si>
    <t>2 Year/s</t>
  </si>
  <si>
    <t>183 Day/s</t>
  </si>
  <si>
    <t>78 Day/s</t>
  </si>
  <si>
    <t>109 Day/s</t>
  </si>
  <si>
    <t>299 Day/s</t>
  </si>
  <si>
    <t>169 Day/s</t>
  </si>
  <si>
    <t>124 Day/s</t>
  </si>
  <si>
    <t>132 Day/s</t>
  </si>
  <si>
    <t>52 Day/s</t>
  </si>
  <si>
    <t>162 Day/s</t>
  </si>
  <si>
    <t>143 Day/s</t>
  </si>
  <si>
    <t>126 Day/s</t>
  </si>
  <si>
    <t>220 Day/s</t>
  </si>
  <si>
    <t>192 Day/s</t>
  </si>
  <si>
    <t>194 Day/s</t>
  </si>
  <si>
    <t>151 Day/s</t>
  </si>
  <si>
    <t>187 Day/s</t>
  </si>
  <si>
    <t>205 Day/s</t>
  </si>
  <si>
    <t>159 Day/s</t>
  </si>
  <si>
    <t>161 Day/s</t>
  </si>
  <si>
    <t>212 Day/s</t>
  </si>
  <si>
    <t>91 Day/s</t>
  </si>
  <si>
    <t>51 Day/s</t>
  </si>
  <si>
    <t>285 Day/s</t>
  </si>
  <si>
    <t>86 Day/s</t>
  </si>
  <si>
    <t>102 Day/s</t>
  </si>
  <si>
    <t>245 Day/s</t>
  </si>
  <si>
    <t>43 Day/s</t>
  </si>
  <si>
    <t>62 Day/s</t>
  </si>
  <si>
    <t>58 Day/s</t>
  </si>
  <si>
    <t>168 Day/s</t>
  </si>
  <si>
    <t>247 Day/s</t>
  </si>
  <si>
    <t>64 Day/s</t>
  </si>
  <si>
    <t>267 Day/s</t>
  </si>
  <si>
    <t>69 Day/s</t>
  </si>
  <si>
    <t>177 Day/s</t>
  </si>
  <si>
    <t>9 Month/s</t>
  </si>
  <si>
    <t>230 Day/s</t>
  </si>
  <si>
    <t>268 Day/s</t>
  </si>
  <si>
    <t>207 Day/s</t>
  </si>
  <si>
    <t>122 Day/s</t>
  </si>
  <si>
    <t>243 Day/s</t>
  </si>
  <si>
    <t>246 Day/s</t>
  </si>
  <si>
    <t>645 Day/s</t>
  </si>
  <si>
    <t>166 Day/s</t>
  </si>
  <si>
    <t>395 Day/s</t>
  </si>
  <si>
    <t>123 Day/s</t>
  </si>
  <si>
    <t>286 Day/s</t>
  </si>
  <si>
    <t>343 Day/s</t>
  </si>
  <si>
    <t>137 Day/s</t>
  </si>
  <si>
    <t>185 Day/s</t>
  </si>
  <si>
    <t>480 Day/s</t>
  </si>
  <si>
    <t>338 Day/s</t>
  </si>
  <si>
    <t>352 Day/s</t>
  </si>
  <si>
    <t>155 Day/s</t>
  </si>
  <si>
    <t>167 Day/s</t>
  </si>
  <si>
    <t>107 Day/s</t>
  </si>
  <si>
    <t>191 Day/s</t>
  </si>
  <si>
    <t>108 Day/s</t>
  </si>
  <si>
    <t>1060 Day/s</t>
  </si>
  <si>
    <t>106 Day/s</t>
  </si>
  <si>
    <t>219 Day/s</t>
  </si>
  <si>
    <t>134 Day/s</t>
  </si>
  <si>
    <t>235 Day/s</t>
  </si>
  <si>
    <t>402 Day/s</t>
  </si>
  <si>
    <t>700 Day/s</t>
  </si>
  <si>
    <t>49 Month/s</t>
  </si>
  <si>
    <t>82 Day/s</t>
  </si>
  <si>
    <t>238 Day/s</t>
  </si>
  <si>
    <t>139 Day/s</t>
  </si>
  <si>
    <t>450 Day/s</t>
  </si>
  <si>
    <t>59 Day/s</t>
  </si>
  <si>
    <t>340 Day/s</t>
  </si>
  <si>
    <t>232 Day/s</t>
  </si>
  <si>
    <t>125 Day/s</t>
  </si>
  <si>
    <t>273 Day/s</t>
  </si>
  <si>
    <t>81 Day/s</t>
  </si>
  <si>
    <t>272 Day/s</t>
  </si>
  <si>
    <t>646 Day/s</t>
  </si>
  <si>
    <t>288 Day/s</t>
  </si>
  <si>
    <t>87 Day/s</t>
  </si>
  <si>
    <t>520 Day/s</t>
  </si>
  <si>
    <t>214 Day/s</t>
  </si>
  <si>
    <t>163 Day/s</t>
  </si>
  <si>
    <t>540 Day/s</t>
  </si>
  <si>
    <t>275 Day/s</t>
  </si>
  <si>
    <t>263 Day/s</t>
  </si>
  <si>
    <t>171 Day/s</t>
  </si>
  <si>
    <t>30 Month/s</t>
  </si>
  <si>
    <t>255 Day/s</t>
  </si>
  <si>
    <t>60 Month/s</t>
  </si>
  <si>
    <t>236 Day/s</t>
  </si>
  <si>
    <t>279 Day/s</t>
  </si>
  <si>
    <t>147 Day/s</t>
  </si>
  <si>
    <t>57 Month/s</t>
  </si>
  <si>
    <t>900 Day/s</t>
  </si>
  <si>
    <t>660 Day/s</t>
  </si>
  <si>
    <t>840 Day/s</t>
  </si>
  <si>
    <t>204 Day/s</t>
  </si>
  <si>
    <t>233 Day/s</t>
  </si>
  <si>
    <t>50 Month/s</t>
  </si>
  <si>
    <t>DEPARTMENT OF PUBLIC WORKS AND HIGHWAYS - COTABATO</t>
  </si>
  <si>
    <t>Noli Mendina Dioneda</t>
  </si>
  <si>
    <t>Josephine Presno Gangan</t>
  </si>
  <si>
    <t>MARIA ARRA PAZ G. SELLAR</t>
  </si>
  <si>
    <t>DON PATRICK TIONGSON SALAMAT</t>
  </si>
  <si>
    <t>SALVADOR P ACEBUCHE</t>
  </si>
  <si>
    <t>XANTHI ROMEILLA J VALLECER</t>
  </si>
  <si>
    <t>Charlemagne Fetil Fortu</t>
  </si>
  <si>
    <t>Ruby E De Jong</t>
  </si>
  <si>
    <t>GODWIN XAVIER F. NUÑEZ</t>
  </si>
  <si>
    <t>NIEL CARO ROSALES</t>
  </si>
  <si>
    <t>Gerardo Jr. Valdez Bocalan</t>
  </si>
  <si>
    <t>JOEL MERCADO MALIGAYA</t>
  </si>
  <si>
    <t>Tolentino Almedilla  Bellezas</t>
  </si>
  <si>
    <t>Vigilus Dominguez Credo</t>
  </si>
  <si>
    <t>LEILANI BACALE CASIMPAN</t>
  </si>
  <si>
    <t>Framar Degay</t>
  </si>
  <si>
    <t>Corazon Barrientos Pagayona</t>
  </si>
  <si>
    <t>Jerry A. Tango</t>
  </si>
  <si>
    <t>Ronnie D. Morante</t>
  </si>
  <si>
    <t>ELMAR PASCUA PAGADUAN</t>
  </si>
  <si>
    <t>Jesse II R Initan</t>
  </si>
  <si>
    <t>Richelle Adle Delmo</t>
  </si>
  <si>
    <t>Jeffrey F Zamora</t>
  </si>
  <si>
    <t>ZANDRA ANCIANO QUIRANTE</t>
  </si>
  <si>
    <t>Gil Y. Miguel</t>
  </si>
  <si>
    <t>VILLAFUERTE TOLENTINO MARTINEZ JR.</t>
  </si>
  <si>
    <t>LYNN GOZAR MENDOZA</t>
  </si>
  <si>
    <t>Vincent Jake E. Castillo</t>
  </si>
  <si>
    <t>Prescilla Villar Libunao</t>
  </si>
  <si>
    <t>RUBY JANE C. CRUZ</t>
  </si>
  <si>
    <t>Claire M Bacala</t>
  </si>
  <si>
    <t>Edelina Baruso Espejo</t>
  </si>
  <si>
    <t>jona astudillo cabauatan</t>
  </si>
  <si>
    <t>Michelle Escalada Monteclaro</t>
  </si>
  <si>
    <t>Marevis M. Cabil</t>
  </si>
  <si>
    <t>MARIELLE GRACE ANDRIN ROMAREZ</t>
  </si>
  <si>
    <t>Diomedes C Palor</t>
  </si>
  <si>
    <t>Lynnette L. Vanzuela</t>
  </si>
  <si>
    <t>Rogin Samonte Alquerro</t>
  </si>
  <si>
    <t>RUBY DESCALZOTA DORADO</t>
  </si>
  <si>
    <t>Florinda Asuncion De Jesus</t>
  </si>
  <si>
    <t>June   C.  Caberoy</t>
  </si>
  <si>
    <t>Rosel Montaus Miras</t>
  </si>
  <si>
    <t>Joey Calimpusan Tonzo</t>
  </si>
  <si>
    <t>Ruby M Subiate</t>
  </si>
  <si>
    <t>Marlon Naoe Rimando</t>
  </si>
  <si>
    <t>Rodrigo Alidon Tangaro</t>
  </si>
  <si>
    <t>Eduardo A. Sieras</t>
  </si>
  <si>
    <t>Jun Pajarillo  Vana</t>
  </si>
  <si>
    <t>TERESITA  BARCENA  PEÑALOSA</t>
  </si>
  <si>
    <t>Ariel A Nievera</t>
  </si>
  <si>
    <t>MELAGROS  K.  FIDEL</t>
  </si>
  <si>
    <t>Natalie Tinao Caparas</t>
  </si>
  <si>
    <t>JERSON D. REYES</t>
  </si>
  <si>
    <t>Vicente Dellatan Alcoriza</t>
  </si>
  <si>
    <t>Jessie Bagtang Addag</t>
  </si>
  <si>
    <t>Julieta Ilama Sabdani</t>
  </si>
  <si>
    <t>CORAZON A. YAMIT</t>
  </si>
  <si>
    <t>Yvonemia Ocub Hergin</t>
  </si>
  <si>
    <t>Maria Angelica Santos Meneses</t>
  </si>
  <si>
    <t>Joel D. Friginal</t>
  </si>
  <si>
    <t>Ma.Kriselda Madriaga Magallano</t>
  </si>
  <si>
    <t>Bill V. Segui</t>
  </si>
  <si>
    <t>Nim Rod Esguerra Bautista</t>
  </si>
  <si>
    <t>Emily Batolinao Montanez</t>
  </si>
  <si>
    <t>MARJORIE ALVAREZ DELA CRUZ</t>
  </si>
  <si>
    <t>Judith D. Alde</t>
  </si>
  <si>
    <t>FRITZIE FLORENOSOS JUSTOL</t>
  </si>
  <si>
    <t>Armando  A Diada</t>
  </si>
  <si>
    <t>Sherwin S. Gagatiga</t>
  </si>
  <si>
    <t>Josephine Tolentino Banay</t>
  </si>
  <si>
    <t>Alvin Llaneta Macasinag</t>
  </si>
  <si>
    <t>Wilson C. Rosario</t>
  </si>
  <si>
    <t>MARISE A. PONCE</t>
  </si>
  <si>
    <t>Jessie P. dela Rosa</t>
  </si>
  <si>
    <t>Marilyn Gaano Alunday</t>
  </si>
  <si>
    <t>Joel A Tupaz</t>
  </si>
  <si>
    <t>Myline A. Dilla</t>
  </si>
  <si>
    <t>IRVIN CAYAON ROLLUQUI</t>
  </si>
  <si>
    <t>JONAH BACORNAY ALGUSO</t>
  </si>
  <si>
    <t>Raulito Rojales Datiles</t>
  </si>
  <si>
    <t>Hermie A Villa Jr.</t>
  </si>
  <si>
    <t>Ridzkan A Hamie</t>
  </si>
  <si>
    <t>Ivy Dela Cruz Rugas</t>
  </si>
  <si>
    <t>Rosana Tee Rogando</t>
  </si>
  <si>
    <t>Elvie Pakig Nailon</t>
  </si>
  <si>
    <t>Purificasion Quirante Barasi</t>
  </si>
  <si>
    <t>CARLOS D. PADILLO</t>
  </si>
  <si>
    <t>JESSELL S. PACTURAN</t>
  </si>
  <si>
    <t>ANDRES CAPATONG CABAYAO</t>
  </si>
  <si>
    <t>RHONALIE JADILLO ARIMADO</t>
  </si>
  <si>
    <t>Mervin Fuentes Baula</t>
  </si>
  <si>
    <t>FERNANDO SAGUISAG A. CABRERA</t>
  </si>
  <si>
    <t>windy p. lat</t>
  </si>
  <si>
    <t>Maria Salome Carandang</t>
  </si>
  <si>
    <t>Joerene Borbon</t>
  </si>
  <si>
    <t>Ronnel Jake Bueno Razon</t>
  </si>
  <si>
    <t>John Jose T Tabligan</t>
  </si>
  <si>
    <t>Jeffrey Celis Magadan</t>
  </si>
  <si>
    <t>SOFRONIO B. DACILLO, JR.</t>
  </si>
  <si>
    <t>Cecille  Agpalo</t>
  </si>
  <si>
    <t>Venus Cocson Flojo</t>
  </si>
  <si>
    <t>Marissa S Lauresta</t>
  </si>
  <si>
    <t>Dominador A Bucalbos</t>
  </si>
  <si>
    <t>RONALDO AFABLE TORRES</t>
  </si>
  <si>
    <t>Amelyn Quinio Martinez</t>
  </si>
  <si>
    <t>Alona Hermidilla Reyes</t>
  </si>
  <si>
    <t>JOSE VICENTE RAYMUNDO MONTALLANA OPINION</t>
  </si>
  <si>
    <t>MARIE JOY A. ALVIAR</t>
  </si>
  <si>
    <t>Stanley B. Uriarte</t>
  </si>
  <si>
    <t>Susan Tiamzon Frias</t>
  </si>
  <si>
    <t>Florante O. Enriquez</t>
  </si>
  <si>
    <t>Lorna Andres Herrera</t>
  </si>
  <si>
    <t>Jamaica B. Balubal</t>
  </si>
  <si>
    <t>JULIE P. TABCAO</t>
  </si>
  <si>
    <t>Maricel Iglesia Panistante</t>
  </si>
  <si>
    <t>NORBERTO , JR LUCASAN TALIDONG</t>
  </si>
  <si>
    <t>Janice L Sta. Cruz</t>
  </si>
  <si>
    <t>JOSEPH HERBON BUSA</t>
  </si>
  <si>
    <t>Paul Laday Olanday</t>
  </si>
  <si>
    <t>Luzvi Delos Santos Dabuet</t>
  </si>
  <si>
    <t>Merlin Paala</t>
  </si>
  <si>
    <t>George Padre</t>
  </si>
  <si>
    <t>James Molejon Repita</t>
  </si>
  <si>
    <t>Frazali  Sala Siega</t>
  </si>
  <si>
    <t>Rosemarie Martinez Paguia</t>
  </si>
  <si>
    <t>ROSA DALAGUETE MANUEL</t>
  </si>
  <si>
    <t>Lilit Paredes Parreñas</t>
  </si>
  <si>
    <t>Michael Andrew Q Frias</t>
  </si>
  <si>
    <t>ANNE MARGARETT A. BORNASAL</t>
  </si>
  <si>
    <t>Maricel Duque Felipe</t>
  </si>
  <si>
    <t>Ma. Inee Bachiller Altea</t>
  </si>
  <si>
    <t>ROCHELLE LAMADORA GENORING</t>
  </si>
  <si>
    <t>Montano J. Alob</t>
  </si>
  <si>
    <t>RESTITUTO N. RENDAJE</t>
  </si>
  <si>
    <t>Rosemarie P. Palma</t>
  </si>
  <si>
    <t>Tess b. Cruzado</t>
  </si>
  <si>
    <t>Donato Silvano Advincula</t>
  </si>
  <si>
    <t>Catherine C Padin</t>
  </si>
  <si>
    <t>Archie Val Lucero Madamba</t>
  </si>
  <si>
    <t>Lorenzo Soriano Velasco</t>
  </si>
  <si>
    <t>Restituto E. Mira, Jr.</t>
  </si>
  <si>
    <t>MARIVIC BINAG CORTEZ</t>
  </si>
  <si>
    <t>EMERSON R LARUA</t>
  </si>
  <si>
    <t>Ofelia Cerdena Cabuenas</t>
  </si>
  <si>
    <t>Magdalena V. Almira</t>
  </si>
  <si>
    <t>Nova Jennylou P Eguia</t>
  </si>
  <si>
    <t>Anna Mae B. Elemia</t>
  </si>
  <si>
    <t>Roseanne Venessa J Ratunil</t>
  </si>
  <si>
    <t>Cleofe Claveria Lamadora</t>
  </si>
  <si>
    <t>Consuelo L. Tubis</t>
  </si>
  <si>
    <t>KRISTINE KAY T BALINGBING</t>
  </si>
  <si>
    <t>Harvy B. Calabio</t>
  </si>
  <si>
    <t>WILMA AURELIO IBEA</t>
  </si>
  <si>
    <t>Margeline Daladag</t>
  </si>
  <si>
    <t>Editha A Albano</t>
  </si>
  <si>
    <t>Arjomae Penuela Jacob</t>
  </si>
  <si>
    <t>Joeper Hamlag Mendoza</t>
  </si>
  <si>
    <t>FELIPE C BETINOL</t>
  </si>
  <si>
    <t>Annette Francisco Virtudazo</t>
  </si>
  <si>
    <t>ANTONIO JR FREIRES FECUNDO</t>
  </si>
  <si>
    <t>Judy Caliguiran Bautista</t>
  </si>
  <si>
    <t>Feliciana  G. Dacanay</t>
  </si>
  <si>
    <t>Eleuterio L Blasco</t>
  </si>
  <si>
    <t>Ramon Jr. M. Villareal</t>
  </si>
  <si>
    <t>Edna C. Padayao</t>
  </si>
  <si>
    <t>PRIMO C. ELEDA</t>
  </si>
  <si>
    <t>Ciscil B. Montemayor</t>
  </si>
  <si>
    <t>Mikko S Duero</t>
  </si>
  <si>
    <t>Miriam C. Jabagat</t>
  </si>
  <si>
    <t>MARIA TERESA HOCSON MIRABUENO</t>
  </si>
  <si>
    <t>RUBIE TAUTUAN QUIJANO</t>
  </si>
  <si>
    <t>Ma. Asherine Noscal Atienza</t>
  </si>
  <si>
    <t>PHET E CALINGASAN</t>
  </si>
  <si>
    <t>Filma Tulen Maghinay</t>
  </si>
  <si>
    <t>GEFFREY BACHAR CATULIN</t>
  </si>
  <si>
    <t>Florante Uy Zurbito</t>
  </si>
  <si>
    <t>MARY JOY LOPEZ VERGARA</t>
  </si>
  <si>
    <t>Artemio Amilagan Archibido</t>
  </si>
  <si>
    <t>LEONILYN MACATANGAY NOCHE</t>
  </si>
  <si>
    <t>ENGR. JERICK D. ORLANES</t>
  </si>
  <si>
    <t>Melanie Obillo Manipon</t>
  </si>
  <si>
    <t>Marcelino Hallig Abing</t>
  </si>
  <si>
    <t>Vivian S. Cabando</t>
  </si>
  <si>
    <t>Vladimir Prado Torres</t>
  </si>
  <si>
    <t>JENNALYN DEL ROSARIO GUERRA</t>
  </si>
  <si>
    <t>Bernalou Malsi Malaque</t>
  </si>
  <si>
    <t>Lusdoc, Jr. Peliño Atanacio</t>
  </si>
  <si>
    <t>Norlyn Payot Sundo</t>
  </si>
  <si>
    <t>Rolando V. Miguel</t>
  </si>
  <si>
    <t>Celia M Perez</t>
  </si>
  <si>
    <t>Arsenia Legaspi Bayawa</t>
  </si>
  <si>
    <t>MARIA CECILLE JAMITO MADERA</t>
  </si>
  <si>
    <t>ROLAND LAURETO OBLIG</t>
  </si>
  <si>
    <t>Mary Grace L. Baarde</t>
  </si>
  <si>
    <t>Alex P. Pana</t>
  </si>
  <si>
    <t>Enrico Magboo Dalangin</t>
  </si>
  <si>
    <t>Rolly M Mamon</t>
  </si>
  <si>
    <t>Geminina Callada Fernando</t>
  </si>
  <si>
    <t>ROLAND MAYOL PEREZ</t>
  </si>
  <si>
    <t>NOEL RYAN H. UY</t>
  </si>
  <si>
    <t>Angel Shieldon C Agan</t>
  </si>
  <si>
    <t>Arlene Sorila Estrera</t>
  </si>
  <si>
    <t>Sheila mae  Alpon  Carpentero</t>
  </si>
  <si>
    <t>MARIVIC V MAKILAN</t>
  </si>
  <si>
    <t>RAMIE FELARCA DETARO</t>
  </si>
  <si>
    <t>Merly Jumao-as Omambac</t>
  </si>
  <si>
    <t>Carl Melvin Tillano Galin</t>
  </si>
  <si>
    <t>Analiza C. Chua</t>
  </si>
  <si>
    <t>CHARLIE CATCHERO QUIDET</t>
  </si>
  <si>
    <t>Joel Guilao Bucao</t>
  </si>
  <si>
    <t>VINOSA LAT ROBLES</t>
  </si>
  <si>
    <t>Engr. Rodolfo Santos Nidoy, Jr.</t>
  </si>
  <si>
    <t>Anselmo L Sang Tian</t>
  </si>
  <si>
    <t>Alvin R. San Pascual</t>
  </si>
  <si>
    <t>MARCOS M. KUSAIN, JD, MPA</t>
  </si>
  <si>
    <t>Daphne Tolentino Campano</t>
  </si>
  <si>
    <t>Paul Michael M Cuadra</t>
  </si>
  <si>
    <t>ISAGANI ARBOLEDA JAENA</t>
  </si>
  <si>
    <t>Allan Zonio Francisco</t>
  </si>
  <si>
    <t>Epelita Mumar Andoy</t>
  </si>
  <si>
    <t>Robert Tuscano</t>
  </si>
  <si>
    <t>Noel V. Alcain</t>
  </si>
  <si>
    <t>Michael Aquino Abar</t>
  </si>
  <si>
    <t>Lorny Lizander Jesura Sanico</t>
  </si>
  <si>
    <t>Jocelyn Talanay Pantaleon</t>
  </si>
  <si>
    <t>Anna Marie P. Basco</t>
  </si>
  <si>
    <t>Jezryl M. Lobaton</t>
  </si>
  <si>
    <t>Reynaldo Sumagaysay Belgira</t>
  </si>
  <si>
    <t>Letecia Arevalo Peñalosa</t>
  </si>
  <si>
    <t>Narciso Ganoza Tabudlong</t>
  </si>
  <si>
    <t>Editha V. Aguinaldo, MPA</t>
  </si>
  <si>
    <t>IMELDA  C.  DELLORO</t>
  </si>
  <si>
    <t>Honorata C Bautista</t>
  </si>
  <si>
    <t>Joel Sampaga Columna</t>
  </si>
  <si>
    <t>Agripina F Ceremones</t>
  </si>
  <si>
    <t>MARY JANE CLAUDIO SUNGA</t>
  </si>
  <si>
    <t>Joseph Raphael De Guzman Francisco</t>
  </si>
  <si>
    <t>Ma.Gemma C. Lasala</t>
  </si>
  <si>
    <t>MARIA LOURDES PEREA TIANGCO</t>
  </si>
  <si>
    <t>Joemar Macaya Cag-ang</t>
  </si>
  <si>
    <t>Maria Lourdes Galanida Roldan</t>
  </si>
  <si>
    <t>Rosemary R. Juan</t>
  </si>
  <si>
    <t>JOAN JUDE R. LOPEZ</t>
  </si>
  <si>
    <t>Eric G Vergara</t>
  </si>
  <si>
    <t>Christopher V. Morales</t>
  </si>
  <si>
    <t>Maria Viña Ocampo Navarro</t>
  </si>
  <si>
    <t>Airen  Abejuro Delfin</t>
  </si>
  <si>
    <t>June Evita Cabansag Cesar</t>
  </si>
  <si>
    <t>DERRICK E. CHAVEZ</t>
  </si>
  <si>
    <t>Caren N. Songcuya</t>
  </si>
  <si>
    <t>Gretchen Martus Alvarez</t>
  </si>
  <si>
    <t>Milagros M. Perez</t>
  </si>
  <si>
    <t>EVELYN NALAUNAN DALISAY</t>
  </si>
  <si>
    <t>OLIVER LAFAYOG TAULE</t>
  </si>
  <si>
    <t>GIE-ANN HUBAHIB</t>
  </si>
  <si>
    <t>Amador Baldos Diaz</t>
  </si>
  <si>
    <t>Roval Regalado De Jesus</t>
  </si>
  <si>
    <t>Gil Caricungan Casuga</t>
  </si>
  <si>
    <t>REMELITO B ESTROLOGO</t>
  </si>
  <si>
    <t>Anna Mae Voloso Acopio</t>
  </si>
  <si>
    <t>Mary Fe Ramos Nunag</t>
  </si>
  <si>
    <t>Bacsec Centers</t>
  </si>
  <si>
    <t>DONNA M PADUA</t>
  </si>
  <si>
    <t>Janine M. Balilia</t>
  </si>
  <si>
    <t>Jomar Parohinog Tejada</t>
  </si>
  <si>
    <t>DANILO T VILLANUEVA</t>
  </si>
  <si>
    <t>Rene E Maning</t>
  </si>
  <si>
    <t>Ronald Bacolod Cristi</t>
  </si>
  <si>
    <t>Cynthia See</t>
  </si>
  <si>
    <t>EVELYN VERGARA MENDOZA</t>
  </si>
  <si>
    <t>Roberto Racasa Cada</t>
  </si>
  <si>
    <t>LEO B CABUG</t>
  </si>
  <si>
    <t>Robert Pineda Lucero</t>
  </si>
  <si>
    <t>Dario Narvaez Camarador</t>
  </si>
  <si>
    <t>Wilson Merle Lopez</t>
  </si>
  <si>
    <t>Ronald Allan V Ole</t>
  </si>
  <si>
    <t>ISAGANI REYES CONCEPCION</t>
  </si>
  <si>
    <t>Gina Marzan Alberto</t>
  </si>
  <si>
    <t>Nolly Adrian B. Gabule</t>
  </si>
  <si>
    <t>Ria Maris Alaiza Caterial</t>
  </si>
  <si>
    <t>JONATHAN JOSE CERENO CALDERON</t>
  </si>
  <si>
    <t>AGNES PERMINOFF AVENIDO</t>
  </si>
  <si>
    <t>Desiree B. Macamay</t>
  </si>
  <si>
    <t>Gil Banal Salen</t>
  </si>
  <si>
    <t>LORENA BUDIONGAN AMBA</t>
  </si>
  <si>
    <t>Nenita  S.  Palomo</t>
  </si>
  <si>
    <t>Samson B. Quinito</t>
  </si>
  <si>
    <t>IRISH A TORINO</t>
  </si>
  <si>
    <t>Leny Joy Banasing Liu</t>
  </si>
  <si>
    <t>Irna Nadayag Mallari</t>
  </si>
  <si>
    <t>Phyl Andre Cruz</t>
  </si>
  <si>
    <t>SETTE HANNAH D. DAKULA</t>
  </si>
  <si>
    <t>Noelle Grace Bandonill Rillon</t>
  </si>
  <si>
    <t>Charmaine Santos</t>
  </si>
  <si>
    <t>Marshall Diomampo</t>
  </si>
  <si>
    <t>Raymond Tabason Timonera</t>
  </si>
  <si>
    <t>Natividad Reodique Loyola</t>
  </si>
  <si>
    <t>Jimmy Pastorfile Carandang</t>
  </si>
  <si>
    <t>Haide D. Daclan</t>
  </si>
  <si>
    <t>Romulo Junasa Galleto, Jr.</t>
  </si>
  <si>
    <t>Flordelino Cacayurin</t>
  </si>
  <si>
    <t>Jenny Igsoc  Calejesan</t>
  </si>
  <si>
    <t>Noryn B. Bagano</t>
  </si>
  <si>
    <t>Cherryl Roque Diaz</t>
  </si>
  <si>
    <t>Randy Miranda Matibag</t>
  </si>
  <si>
    <t>Ann F. Encarnacion</t>
  </si>
  <si>
    <t>Vlademer Villalba Brit</t>
  </si>
  <si>
    <t>Aimee Antonio Jimeno</t>
  </si>
  <si>
    <t>VINCENT ANTHONY A NAGUIT</t>
  </si>
  <si>
    <t>Leilynn P Edar</t>
  </si>
  <si>
    <t>Nelson Jr.  Sepe Lubguban</t>
  </si>
  <si>
    <t>CELSO A. MATIAS</t>
  </si>
  <si>
    <t>Marites A. Bermal</t>
  </si>
  <si>
    <t>RAMON B. GACUTAN</t>
  </si>
  <si>
    <t>Ferdinand B Caberoy</t>
  </si>
  <si>
    <t>Armando Guinar Simbano</t>
  </si>
  <si>
    <t>Allan C. Cauilan</t>
  </si>
  <si>
    <t>Antoinette F. Fernandez</t>
  </si>
  <si>
    <t>Rosalie Plaza Espinoza</t>
  </si>
  <si>
    <t>JOSELITO T ARAO</t>
  </si>
  <si>
    <t>Gene Eslava De Guzman</t>
  </si>
  <si>
    <t>Jhuna C. Casillano</t>
  </si>
  <si>
    <t>Ma. Annalyn S. Nolasco</t>
  </si>
  <si>
    <t>MELEN CAGAS ERNACIO</t>
  </si>
  <si>
    <t>Caysie Bagsit</t>
  </si>
  <si>
    <t>Clarence C Morales</t>
  </si>
  <si>
    <t>Melinda R Abanilla</t>
  </si>
  <si>
    <t>Fe Timkang Mangaro</t>
  </si>
  <si>
    <t>Ken Lois N. Olayres</t>
  </si>
  <si>
    <t>ATTY. AIKO ELENI NARIDA PALER</t>
  </si>
  <si>
    <t>GEMMA P. CASTRO</t>
  </si>
  <si>
    <t>Elvie Capuchino Landicho</t>
  </si>
  <si>
    <t>Romualdo Salud Intia</t>
  </si>
  <si>
    <t>Reynaldo Luna  Gresos</t>
  </si>
  <si>
    <t>Alexander M. Almario</t>
  </si>
  <si>
    <t>Dennis H. Dino</t>
  </si>
  <si>
    <t>EFREN A BANGAYAN</t>
  </si>
  <si>
    <t>Marilou A. Gecosala</t>
  </si>
  <si>
    <t>Isabela Rosales Maro</t>
  </si>
  <si>
    <t>Freddie B. Caday</t>
  </si>
  <si>
    <t>Herbert Bodoso</t>
  </si>
  <si>
    <t>JESUS S. BOJA</t>
  </si>
  <si>
    <t>Ma. Lynbert D. Dulpina Dominos Dulpina</t>
  </si>
  <si>
    <t>Wennie S. Angit</t>
  </si>
  <si>
    <t>Ryan Chester G. Fong</t>
  </si>
  <si>
    <t>Doris M. Malayao</t>
  </si>
  <si>
    <t>Narciso Bagiwa Bagawi</t>
  </si>
  <si>
    <t>APRIL JOY PELAGIO GENIT</t>
  </si>
  <si>
    <t>Mila Jihan GIBA</t>
  </si>
  <si>
    <t>ANASTACIO H. NUÑEZ, III</t>
  </si>
  <si>
    <t>BRIGETTE JOY PUNZALAN ILAGAN</t>
  </si>
  <si>
    <t>segrid sahagon dacanay</t>
  </si>
  <si>
    <t>Nerissa Raymundo Quintinio</t>
  </si>
  <si>
    <t>Melchor O Quinto</t>
  </si>
  <si>
    <t>Hannah F Artil</t>
  </si>
  <si>
    <t>Cynthia De Chavez Perez</t>
  </si>
  <si>
    <t>Rison Alejo</t>
  </si>
  <si>
    <t>Nelia Verano Alguno</t>
  </si>
  <si>
    <t>John Patrick Lazaro</t>
  </si>
  <si>
    <t>SHIRLEY GULLA</t>
  </si>
  <si>
    <t>ROSEMARIE M. LAWAS</t>
  </si>
  <si>
    <t>Florenda Aninon Ricaplaza</t>
  </si>
  <si>
    <t>John Edmar Galang Barairo</t>
  </si>
  <si>
    <t>Hilarry Amigable Singalivo</t>
  </si>
  <si>
    <t>Alejo Jr. M Nunez</t>
  </si>
  <si>
    <t>charlemagne tupag noble</t>
  </si>
  <si>
    <t>Sheenna Marie Icabandi Martinez</t>
  </si>
  <si>
    <t>LESLIE NUÑEZ MAGCAMIT</t>
  </si>
  <si>
    <t>LITO  D.  LACABA</t>
  </si>
  <si>
    <t>Jose Felix Arsenal Pasay</t>
  </si>
  <si>
    <t>Bernadette Llacer Belleza</t>
  </si>
  <si>
    <t>Ariel Ardales Buiza</t>
  </si>
  <si>
    <t>Rolando Nas Canon</t>
  </si>
  <si>
    <t>FILEMON LIJOC MADRANGKA</t>
  </si>
  <si>
    <t>Cristina L. Permejo</t>
  </si>
  <si>
    <t>RIZALDY L. MENDOZA</t>
  </si>
  <si>
    <t>MACRINA A DECANO</t>
  </si>
  <si>
    <t>MARIAN JOY ABENDANIO CUNANAN</t>
  </si>
  <si>
    <t>Jacob Gupana Racho</t>
  </si>
  <si>
    <t>Mario Bacay</t>
  </si>
  <si>
    <t>Felyn  Chavez  Febrio</t>
  </si>
  <si>
    <t>Merlinda Morenos Gayatao</t>
  </si>
  <si>
    <t>Raymart   S.  Adonis</t>
  </si>
  <si>
    <t>George uy So</t>
  </si>
  <si>
    <t>Eny Bargo Ferriol</t>
  </si>
  <si>
    <t>GEORGIE FRUGALIDAD CORNELIO</t>
  </si>
  <si>
    <t>Renel M. Malacapo</t>
  </si>
  <si>
    <t>Lolita Fabre Ismael</t>
  </si>
  <si>
    <t>CENON ARPIA PORTUGAL</t>
  </si>
  <si>
    <t>Magna Ramos Macalma</t>
  </si>
  <si>
    <t>Alicia Bagalay Belen</t>
  </si>
  <si>
    <t>RICARDO BINENE FERNANDEZ</t>
  </si>
  <si>
    <t>ELIZALDE P. TABON</t>
  </si>
  <si>
    <t>Ariel Dela Cruz de Borja</t>
  </si>
  <si>
    <t>Darius Brod Delalamon Pelismino</t>
  </si>
  <si>
    <t>Shiela Cueto Zulueta</t>
  </si>
  <si>
    <t>Dr. Peter S. Sobrevega</t>
  </si>
  <si>
    <t>Fresha Prill Grepaldeo Calutan</t>
  </si>
  <si>
    <t>Julita Llanes Macaranas</t>
  </si>
  <si>
    <t>Arnel L. Poja</t>
  </si>
  <si>
    <t>Nida Camino Tabaranza</t>
  </si>
  <si>
    <t>SHAERA CORTEZ PABALLA</t>
  </si>
  <si>
    <t>Adelaida Tosing Diega</t>
  </si>
  <si>
    <t>Edison Salawad Morales</t>
  </si>
  <si>
    <t>EVELYN GARCIA</t>
  </si>
  <si>
    <t>Glace L Osoteo</t>
  </si>
  <si>
    <t>Eugene Jr. I. Macahis</t>
  </si>
  <si>
    <t>Samuel Albino Fuertes</t>
  </si>
  <si>
    <t>Lydia C. Basco</t>
  </si>
  <si>
    <t>Harvey C Jumawan</t>
  </si>
  <si>
    <t>Edzrael L. Mohammad</t>
  </si>
  <si>
    <t>Gazelle Ducusin Ochoco</t>
  </si>
  <si>
    <t>Gianina Punzalan Agir</t>
  </si>
  <si>
    <t>Leonardo S. Maningas, Jr.</t>
  </si>
  <si>
    <t>Dingras E. Balbona</t>
  </si>
  <si>
    <t>Vanneza F Morgado</t>
  </si>
  <si>
    <t>JOHN REY JERAO PEREZ</t>
  </si>
  <si>
    <t>DENIA B. LAMPARAS</t>
  </si>
  <si>
    <t>Estanislao V. Cayanan</t>
  </si>
  <si>
    <t>Bea Tan Anno</t>
  </si>
  <si>
    <t>Maria Fe Able Ballescas</t>
  </si>
  <si>
    <t>VENCHITO MANZANILLA</t>
  </si>
  <si>
    <t>RADNEY CARBONEL MIRANDA</t>
  </si>
  <si>
    <t>FRANCES SHANELLE GENERATO SALINAS</t>
  </si>
  <si>
    <t>Enrico S Lazaro</t>
  </si>
  <si>
    <t>Jenny Guia Quisadi Guia Quisadio</t>
  </si>
  <si>
    <t>Sunshine Rhina R Caunin</t>
  </si>
  <si>
    <t>Jamaica Gruesco Ebrada</t>
  </si>
  <si>
    <t>Josephine Villas Pontillas</t>
  </si>
  <si>
    <t>RAYMUNDO ILDEFONSO BALAGTAS REYES</t>
  </si>
  <si>
    <t>Celeste Ann Laure Capilla</t>
  </si>
  <si>
    <t>Xanthi Romeilla Jalon Vallicer</t>
  </si>
  <si>
    <t>JESSICA ACOLENTAVA OTIC</t>
  </si>
  <si>
    <t>Noemi Dizon Bolinas</t>
  </si>
  <si>
    <t>Eugenio T. Rosete</t>
  </si>
  <si>
    <t>JESUS S. PUNZALAN</t>
  </si>
  <si>
    <t>Ireene Garcia Igot</t>
  </si>
  <si>
    <t>Jenelyn Capilitan Soria</t>
  </si>
  <si>
    <t>ELENITA LERIT</t>
  </si>
  <si>
    <t>RAYMOND M SALVADOR</t>
  </si>
  <si>
    <t>Jane Verceles Talento</t>
  </si>
  <si>
    <t>Engr. Noel Galacgac Coloma</t>
  </si>
  <si>
    <t>PEPITO DICTAAN AMOYEN</t>
  </si>
  <si>
    <t>YONNIE CHRISTIE MOLINA PASCUA</t>
  </si>
  <si>
    <t>ROGEL RODRIGUEZ APOSTOL</t>
  </si>
  <si>
    <t>Robert Garcia Sapong</t>
  </si>
  <si>
    <t>Angeline Victoria Acosta Madrona</t>
  </si>
  <si>
    <t>Rosanna P. Lucero</t>
  </si>
  <si>
    <t>ROY DOLINO BENDANILLO</t>
  </si>
  <si>
    <t>JENNIE ONGTANGCO CORONADO</t>
  </si>
  <si>
    <t>Milagros Elisa  V.  Federizo</t>
  </si>
  <si>
    <t>Rustico B Badilla</t>
  </si>
  <si>
    <t>Nerio D Fragata</t>
  </si>
  <si>
    <t>Ria  Montaron</t>
  </si>
  <si>
    <t>Salvador Onating Ochavo Jr.</t>
  </si>
  <si>
    <t>Judith Nobleza Delanda</t>
  </si>
  <si>
    <t>PAZ COLLANTES CAGUIMBAL</t>
  </si>
  <si>
    <t>JULIE Q. ECONAR</t>
  </si>
  <si>
    <t>Benson Empalmado</t>
  </si>
  <si>
    <t>IRENEA Ortiza DELA TORRE</t>
  </si>
  <si>
    <t>LILYBETH QUILLO ARIZALA</t>
  </si>
  <si>
    <t>Roland Cuenca Grijalvo</t>
  </si>
  <si>
    <t>BAC ILOCOS SUR</t>
  </si>
  <si>
    <t>MARIBEL A. CEREZO</t>
  </si>
  <si>
    <t>Reynaldo Ninon Manaog</t>
  </si>
  <si>
    <t>EMILY DEL ROSARIO MENDOZA</t>
  </si>
  <si>
    <t>Engr. Nashra Dalandangan Misquinan</t>
  </si>
  <si>
    <t>Mila Creencia</t>
  </si>
  <si>
    <t>Kim M. Moral</t>
  </si>
  <si>
    <t>NENITA ALBARICO BAYA</t>
  </si>
  <si>
    <t>Jocelyn C. Jaramillo</t>
  </si>
  <si>
    <t>Marilou Sampaton Bernas</t>
  </si>
  <si>
    <t>Ambrocio Zapata Azares</t>
  </si>
  <si>
    <t>Victoria Carcamo Santos</t>
  </si>
  <si>
    <t>Eliazar Musa Firmalo</t>
  </si>
  <si>
    <t>Lemuel Bagalayos Mañibo</t>
  </si>
  <si>
    <t>Cynthia Cortes Gabayoyo</t>
  </si>
  <si>
    <t>Lolita D Solis</t>
  </si>
  <si>
    <t>Marietta Maata Cortes</t>
  </si>
  <si>
    <t>Maria Andrea Carvajal Tiong</t>
  </si>
  <si>
    <t>Freddie Remolado Sumangit</t>
  </si>
  <si>
    <t>ANGELINA RALLOS SOLIANO</t>
  </si>
  <si>
    <t>MICHAEL P DUQUEZ</t>
  </si>
  <si>
    <t>Verna A. Bonifacio</t>
  </si>
  <si>
    <t>Floro M Butulan</t>
  </si>
  <si>
    <t>Marissa Dela Cruz Brigoli</t>
  </si>
  <si>
    <t>Kevin Barcarse Sambrano</t>
  </si>
  <si>
    <t>Marie Pat Nerona Navora</t>
  </si>
  <si>
    <t>Rosalina Ecuan Bayaona</t>
  </si>
  <si>
    <t>ENRIQUE ORBILLO</t>
  </si>
  <si>
    <t>Francis Granados Enero</t>
  </si>
  <si>
    <t>Renel E. Forio</t>
  </si>
  <si>
    <t>GENE ACHAS BACULPO</t>
  </si>
  <si>
    <t>Verna Y. Rosario</t>
  </si>
  <si>
    <t>Sostenes M. Palero</t>
  </si>
  <si>
    <t>Hayria Gonsang Panalindang</t>
  </si>
  <si>
    <t>MONALINA GEBONGA BAINGAN</t>
  </si>
  <si>
    <t>Rosemarie S Espino</t>
  </si>
  <si>
    <t>Arielyn L. Fernandez</t>
  </si>
  <si>
    <t>Ruby Anna S. Benamir</t>
  </si>
  <si>
    <t>Roland Pangilinan Soriano</t>
  </si>
  <si>
    <t>SALVADOR , JR. GRANADOS REGIS</t>
  </si>
  <si>
    <t>Mr. Clarence Bolante Bunan</t>
  </si>
  <si>
    <t>Ramon Gamboa Burgos</t>
  </si>
  <si>
    <t>Edsel Evangelista Espino</t>
  </si>
  <si>
    <t>Darryl Jr. L. Montealto</t>
  </si>
  <si>
    <t>ADELFA RICO BELLO</t>
  </si>
  <si>
    <t>Ramil Villaruel</t>
  </si>
  <si>
    <t>Oscar C. Galimpin</t>
  </si>
  <si>
    <t>MICHAEL FELICITAS DELA CRUZ</t>
  </si>
  <si>
    <t>BIDS And Awards Committee</t>
  </si>
  <si>
    <t>Nolita Laberinto Acero</t>
  </si>
  <si>
    <t>Hector O. Mendoza</t>
  </si>
  <si>
    <t>Pedro F Caminero Jr.</t>
  </si>
  <si>
    <t>Eulogio Calosayan De Paz</t>
  </si>
  <si>
    <t>Debby Catherine Castillo Segui</t>
  </si>
  <si>
    <t>Eugene Barocan Damasco</t>
  </si>
  <si>
    <t>Rebecca Dampil Subillaga</t>
  </si>
  <si>
    <t>Franklin J. Legaspi</t>
  </si>
  <si>
    <t>Rowel Galo Panilawon</t>
  </si>
  <si>
    <t>LIZA PAMA GUMBAN</t>
  </si>
  <si>
    <t>Josephine Taruc Ocampo</t>
  </si>
  <si>
    <t>Rommel Geraldizo Bendicion</t>
  </si>
  <si>
    <t>BAC SECRETARIAT STAFF</t>
  </si>
  <si>
    <t>Reymar Constantino Razon</t>
  </si>
  <si>
    <t>Mark Joseph Pitpit Dilan</t>
  </si>
  <si>
    <t>Peter Hendrix Lisboa Alcantara</t>
  </si>
  <si>
    <t>Aileen  Emar</t>
  </si>
  <si>
    <t>Glenn Anthony M. San Mateo</t>
  </si>
  <si>
    <t>Emerlynda Castro Villaruel</t>
  </si>
  <si>
    <t>Benjamin T. Manalili III</t>
  </si>
  <si>
    <t>MA. ESTRELLA MALAZA DAWAL</t>
  </si>
  <si>
    <t>Corazon Parido Plameras</t>
  </si>
  <si>
    <t>LEO GAMMAD LIGGAYU</t>
  </si>
  <si>
    <t>Frederick Misamis Docdoc</t>
  </si>
  <si>
    <t>Romeo Dumadaug Palmares</t>
  </si>
  <si>
    <t>Marilu Nery Cardenas</t>
  </si>
  <si>
    <t>Marilyn Dote Delos Santos</t>
  </si>
  <si>
    <t>Editha Ignacio De Lemos</t>
  </si>
  <si>
    <t>Mercedes Inway Luto</t>
  </si>
  <si>
    <t>Shiela L. Lacbayo</t>
  </si>
  <si>
    <t>CECILIA NAVARRO CALDERON</t>
  </si>
  <si>
    <t>Fernando E Tanciongco</t>
  </si>
  <si>
    <t>Agnes Padro Tampico</t>
  </si>
  <si>
    <t>Genaro C. Garay</t>
  </si>
  <si>
    <t>Noli Feliciano Dinglasan</t>
  </si>
  <si>
    <t>ELMER CASTILLO ABENOJAR</t>
  </si>
  <si>
    <t>ALVIN ANTHONY REQUINA ABUCEJO</t>
  </si>
  <si>
    <t>LUZVIMINDA CHAN BAMBICO</t>
  </si>
  <si>
    <t>HENY JANE VISEN JABONETE</t>
  </si>
  <si>
    <t>REBECCA CALUAG LOPEZ</t>
  </si>
  <si>
    <t>Eddie De Vera Cancino</t>
  </si>
  <si>
    <t>Genalyn T Vallejera</t>
  </si>
  <si>
    <t>Raquel Gonzales De Jesus</t>
  </si>
  <si>
    <t>Cecilia O. Delos Reyes</t>
  </si>
  <si>
    <t>Anna Marie Palay Lagan</t>
  </si>
  <si>
    <t>Kristoffer Callangan Mangussad</t>
  </si>
  <si>
    <t>Joel De Leon</t>
  </si>
  <si>
    <t>Steve Nichols S. Dionaldo</t>
  </si>
  <si>
    <t>HAZEL C. ARTIEDA</t>
  </si>
  <si>
    <t>Gilmore Ray Lopez Saniel</t>
  </si>
  <si>
    <t>Pamela Sosa</t>
  </si>
  <si>
    <t>Rodelito La Fuente Dacup</t>
  </si>
  <si>
    <t>Ruben Garcia Marudo</t>
  </si>
  <si>
    <t>Mark Jenar A. Marquez</t>
  </si>
  <si>
    <t>Alexander Maniago Co</t>
  </si>
  <si>
    <t>LOUISE MYKAELA ROBLES</t>
  </si>
  <si>
    <t>Edward Doctor Carillo</t>
  </si>
  <si>
    <t>Letecia D. Ragasa</t>
  </si>
  <si>
    <t>May Catherine H. Gaviola</t>
  </si>
  <si>
    <t>RUTRIFE  JAPAY MALIGRO</t>
  </si>
  <si>
    <t>MARIA CONCEPCION ANTONIO DALERE</t>
  </si>
  <si>
    <t>Janet M Pasamba</t>
  </si>
  <si>
    <t>ANNIEREY PADSUNGAY TELLES</t>
  </si>
  <si>
    <t>Maria Morena Santos</t>
  </si>
  <si>
    <t>MARIA MARICHU G. PACATANG</t>
  </si>
  <si>
    <t>Robert A Santillano</t>
  </si>
  <si>
    <t>Sweden Mangaran Dela Cruz</t>
  </si>
  <si>
    <t>Jerson R.  Zulueta</t>
  </si>
  <si>
    <t>Geronimo Galang Greganda</t>
  </si>
  <si>
    <t>Jerald M Sevilla</t>
  </si>
  <si>
    <t>Rhodora Dela Peña Amador</t>
  </si>
  <si>
    <t>Erwin R Suficiencia</t>
  </si>
  <si>
    <t>Miguel Sosoco Katangkatang</t>
  </si>
  <si>
    <t>Kristine Meneses Torres</t>
  </si>
  <si>
    <t>Ferdinand Fadriquelan Falceso</t>
  </si>
  <si>
    <t>Presentacion "Glenda" Medenilla Gajes</t>
  </si>
  <si>
    <t>Hermosa G. Ramirez</t>
  </si>
  <si>
    <t>Angelyn Sotoya</t>
  </si>
  <si>
    <t>GREGORIO P RODRIGUEZ</t>
  </si>
  <si>
    <t>ERWIN A. ESPINAS</t>
  </si>
  <si>
    <t>Fe I Ramos</t>
  </si>
  <si>
    <t>Heracleo Belen</t>
  </si>
  <si>
    <t>Consolacion Santiago Guilalas</t>
  </si>
  <si>
    <t>Ma. Cristina L Garcia</t>
  </si>
  <si>
    <t>Benjamin Jr. Bertiz Javellana</t>
  </si>
  <si>
    <t>Anselmo Baldoza Mano</t>
  </si>
  <si>
    <t>Floramie  Dumabok  Matus</t>
  </si>
  <si>
    <t>Albert C. Villamor</t>
  </si>
  <si>
    <t>Jolina Bonleon Vital</t>
  </si>
  <si>
    <t>Genesis Weiyn  Blando  Lee</t>
  </si>
  <si>
    <t>Carol S Coloma</t>
  </si>
  <si>
    <t>JHON ALBERT I. NUÑEZ</t>
  </si>
  <si>
    <t>EDISON ALPARAN LORIAGA</t>
  </si>
  <si>
    <t>GLENDA S. RUIZ</t>
  </si>
  <si>
    <t>Jenny Quimpan Puli</t>
  </si>
  <si>
    <t>SINSP ALAN GARANCHON GATUNGAY</t>
  </si>
  <si>
    <t>Jovito Bron Coderis, Jr.</t>
  </si>
  <si>
    <t>Rowena Agrito Mongoso</t>
  </si>
  <si>
    <t>Procurement Management Unit DBP - Head Office</t>
  </si>
  <si>
    <t>Antonio Bartolo Mercado</t>
  </si>
  <si>
    <t>JUSTIN IVAN GAVALEZ AMAT</t>
  </si>
  <si>
    <t>MARCHETA CALAMBA BRINA</t>
  </si>
  <si>
    <t>JOVITO VISTAL TOLARESA</t>
  </si>
  <si>
    <t>Noel A Tubac</t>
  </si>
  <si>
    <t>Evelyn Bengco Sibal</t>
  </si>
  <si>
    <t>JAKE CYRIL N. SOLITE</t>
  </si>
  <si>
    <t>Wilson Garagan Viloria II</t>
  </si>
  <si>
    <t>Ignacio, Jr. G Gelacio</t>
  </si>
  <si>
    <t>Nemia Barradas Monzones</t>
  </si>
  <si>
    <t>Antonietta Alfante Nastor</t>
  </si>
  <si>
    <t>Rodolfo Bitaga Gaboten</t>
  </si>
  <si>
    <t>venus Torres Palciso</t>
  </si>
  <si>
    <t>Rowena Teope Catapang</t>
  </si>
  <si>
    <t>Christian Immanuel Evangelista Vargas</t>
  </si>
  <si>
    <t>Armont C Pecina</t>
  </si>
  <si>
    <t>Roberto Dungog Pugoy</t>
  </si>
  <si>
    <t>Earl Dompales Nalzaro</t>
  </si>
  <si>
    <t>Marivic Masbad Managbanag</t>
  </si>
  <si>
    <t>CHAVELLE FERRAREN ALONSO</t>
  </si>
  <si>
    <t>Arnel Chavez Salazar</t>
  </si>
  <si>
    <t>Ria Kris O. Tibayan</t>
  </si>
  <si>
    <t>Constancia  C.  Broñozo</t>
  </si>
  <si>
    <t>Jeffrey Ross Mendoza Navarro</t>
  </si>
  <si>
    <t>Arturo Velasco Maglaya</t>
  </si>
  <si>
    <t>Jaqueline Pangilinan Dayao</t>
  </si>
  <si>
    <t>Mohammad-Ali Barambangan Ambor</t>
  </si>
  <si>
    <t>Victor O Nuico</t>
  </si>
  <si>
    <t>ALEXANDER VENTERO PIDOR</t>
  </si>
  <si>
    <t>Desiderio Estillore Gudia Jr.</t>
  </si>
  <si>
    <t>Rhea Magsombol Abreu</t>
  </si>
  <si>
    <t>Christine C. Santos</t>
  </si>
  <si>
    <t>Rogie A Sion</t>
  </si>
  <si>
    <t>Rosemarie Duque Mollaneda</t>
  </si>
  <si>
    <t>TEODORO E DAVID</t>
  </si>
  <si>
    <t>CYNTHIA MARIE DE SAGUN</t>
  </si>
  <si>
    <t>Blas V. Lamug Jr.</t>
  </si>
  <si>
    <t>MEZACH Y BEDONA</t>
  </si>
  <si>
    <t>FRANCISCO I. CORPUZ, JR.</t>
  </si>
  <si>
    <t>Azucena O Gonzales</t>
  </si>
  <si>
    <t>Rochelle Marie Pajarillo Bondad</t>
  </si>
  <si>
    <t>MA. CHRISTINE  DAGUIO  LACUESTA</t>
  </si>
  <si>
    <t>Janice Sainz Collado</t>
  </si>
  <si>
    <t>ERNESTO KIM BALANI TORREFRANCA</t>
  </si>
  <si>
    <t>JED ARIES FAJARDO CASTRO</t>
  </si>
  <si>
    <t>Ronville Mejica Muego</t>
  </si>
  <si>
    <t>Elvie Quito</t>
  </si>
  <si>
    <t>Cynthia Macenas Tumanut</t>
  </si>
  <si>
    <t>Ruby Panes Belarga</t>
  </si>
  <si>
    <t>ALADIN MABBORANG PASCUAL</t>
  </si>
  <si>
    <t>Ana Liza Calma Zablan</t>
  </si>
  <si>
    <t>Norjanna M. Camaguin</t>
  </si>
  <si>
    <t>J0evir S. Gentuli0</t>
  </si>
  <si>
    <t>Lea Ann M. Gamban</t>
  </si>
  <si>
    <t>Daven O. Herodias</t>
  </si>
  <si>
    <t>Jocelyn Laayon Mauting</t>
  </si>
  <si>
    <t>GIL GABRIEL HIDALGO BORDADO III</t>
  </si>
  <si>
    <t>Paul Palma Urbiztondo</t>
  </si>
  <si>
    <t>Roderick A Ydel</t>
  </si>
  <si>
    <t>Mansueto Ibale Diangco</t>
  </si>
  <si>
    <t>Rommel Pacaoncis Masongsong</t>
  </si>
  <si>
    <t>Mary Ann Sevilla Canilla</t>
  </si>
  <si>
    <t>Jubet N. Gnilo</t>
  </si>
  <si>
    <t>ROSA PASILIAO UNTALAN</t>
  </si>
  <si>
    <t>Melanie Alabat Jalover</t>
  </si>
  <si>
    <t>Michael Imperial Fabros</t>
  </si>
  <si>
    <t>Ma. Theresa Garcia Labo</t>
  </si>
  <si>
    <t>Noreen Lagahit</t>
  </si>
  <si>
    <t>Margie P Alanunay</t>
  </si>
  <si>
    <t>Rogelito Dumaicos Urbiztondo</t>
  </si>
  <si>
    <t>Ellenietta H.M.V Gamolo</t>
  </si>
  <si>
    <t>Rodrhon Michael Espartero Melgar</t>
  </si>
  <si>
    <t>Mars Z Julian</t>
  </si>
  <si>
    <t>Delmor De Vera Pascual</t>
  </si>
  <si>
    <t>Mercedita Delantar Villarubia</t>
  </si>
  <si>
    <t>Pedrito Mojica Serra</t>
  </si>
  <si>
    <t>Jephonie Ganibe Lumansoy</t>
  </si>
  <si>
    <t>Ranjev M Garcia</t>
  </si>
  <si>
    <t>Ma. Stineli B Magdadaro</t>
  </si>
  <si>
    <t>RAYMUND M. DIAZ</t>
  </si>
  <si>
    <t>VEMIE MONTEJO ESTOLOGA</t>
  </si>
  <si>
    <t>Ramil Mendez Taculod</t>
  </si>
  <si>
    <t>Lolita M. Jumalon</t>
  </si>
  <si>
    <t>Rosmendo Jr C.  Bongocan</t>
  </si>
  <si>
    <t>ROSELLER DIZON SASIS</t>
  </si>
  <si>
    <t>Antonio Manlapig Cruz</t>
  </si>
  <si>
    <t>Johnald Z. Salomon</t>
  </si>
  <si>
    <t>CHARMAINE CRUZ</t>
  </si>
  <si>
    <t>ELMER O LUNAS</t>
  </si>
  <si>
    <t>Edwardford Najera Dagatan</t>
  </si>
  <si>
    <t>Rowena R. Roseos</t>
  </si>
  <si>
    <t>Maria Juliana A. Toribio</t>
  </si>
  <si>
    <t>Eduardo M. Doria</t>
  </si>
  <si>
    <t>Ma. Marites A Cabral</t>
  </si>
  <si>
    <t>Maricel R. Enrique</t>
  </si>
  <si>
    <t>Redan I Cognito</t>
  </si>
  <si>
    <t>Reynaldo R Dalogdog</t>
  </si>
  <si>
    <t>Mary Ann Jacaba Hambre</t>
  </si>
  <si>
    <t>Ma. Carmen Cadag Taopo</t>
  </si>
  <si>
    <t>Lubelle B. Lumabas</t>
  </si>
  <si>
    <t>Jay Legaspi Cabiles</t>
  </si>
  <si>
    <t>Darryl Christian Rigos</t>
  </si>
  <si>
    <t>JOVITA M. ESCASA</t>
  </si>
  <si>
    <t>Marc P Salaguban</t>
  </si>
  <si>
    <t>HELEN QUIRONA DE LUNA</t>
  </si>
  <si>
    <t>Arnel Z. Dela Cruz</t>
  </si>
  <si>
    <t>MARITESS CAYACO MARCOS</t>
  </si>
  <si>
    <t>Sherryl Dumaicos Sampalucia</t>
  </si>
  <si>
    <t>Maria Liezl Clam Gutang</t>
  </si>
  <si>
    <t>Arlene De Rama Manjares</t>
  </si>
  <si>
    <t>JUDITO RODRIGUEZ ILIGAN</t>
  </si>
  <si>
    <t>Edgardo G Pamute</t>
  </si>
  <si>
    <t>Michael Angelo San Pedro</t>
  </si>
  <si>
    <t>Raymond Romero Magpili</t>
  </si>
  <si>
    <t>Josephine A. Ruedas</t>
  </si>
  <si>
    <t>Noel B. Maducdoc</t>
  </si>
  <si>
    <t>Philip Mulingtapang</t>
  </si>
  <si>
    <t>Generoso Emplica Evangelio</t>
  </si>
  <si>
    <t>Norbert C Sotoya II</t>
  </si>
  <si>
    <t>VIRGIN GANIR MALICAD</t>
  </si>
  <si>
    <t>Necitas G Bihay</t>
  </si>
  <si>
    <t>Fatima D Cawigan</t>
  </si>
  <si>
    <t>ISIDORO SOTALBO</t>
  </si>
  <si>
    <t>Erlinda S Pesado</t>
  </si>
  <si>
    <t>Faustino Toradio</t>
  </si>
  <si>
    <t>Jeffrey B. Rafil</t>
  </si>
  <si>
    <t>Carlos L. Taguba</t>
  </si>
  <si>
    <t>Jose R Cornelio, Jr.</t>
  </si>
  <si>
    <t>Alver Abaya Mijares</t>
  </si>
  <si>
    <t>PAUL BANTUGAN CUARTERO</t>
  </si>
  <si>
    <t>Riza Tan Bautista</t>
  </si>
  <si>
    <t>Glenda Tribunal Sarabia</t>
  </si>
  <si>
    <t>Marilou Tamayo Quitlong</t>
  </si>
  <si>
    <t>Eric Floreta Labastilla</t>
  </si>
  <si>
    <t>Connie Beb Torralba</t>
  </si>
  <si>
    <t>Marck Tristan B. Martin</t>
  </si>
  <si>
    <t>KATE A. PARULAN</t>
  </si>
  <si>
    <t>Melinda Tariman Brutas</t>
  </si>
  <si>
    <t>HELEN C. SILVA</t>
  </si>
  <si>
    <t>Evangeline Pascua Guzman</t>
  </si>
  <si>
    <t>Sharon Madamba Agbayani</t>
  </si>
  <si>
    <t>VENUS ESCOBAR TORRES</t>
  </si>
  <si>
    <t>RICARDO LAPAZ ESCOBA</t>
  </si>
  <si>
    <t>Marietta Abuan Graciano</t>
  </si>
  <si>
    <t>Florencio Jr. F. Andal</t>
  </si>
  <si>
    <t>FOR. ROMERO F NAVAJA, MGA, REB.</t>
  </si>
  <si>
    <t>Dennis Juabot Mangubat</t>
  </si>
  <si>
    <t>Edgar Banzuela Balidoy</t>
  </si>
  <si>
    <t>Manuel Melis Ignacio</t>
  </si>
  <si>
    <t>Brendalyn Ungajan Fernando</t>
  </si>
  <si>
    <t>Christian George Bantilan Pal-ing</t>
  </si>
  <si>
    <t>Chona M. Halili</t>
  </si>
  <si>
    <t>JOVYLYN P LUCAS</t>
  </si>
  <si>
    <t>Nina Lacson Magat</t>
  </si>
  <si>
    <t>Ma. Veronica Mahilum De Guzman</t>
  </si>
  <si>
    <t>Ian Herodito Sy Gutierrez</t>
  </si>
  <si>
    <t>JENILYN RONQUILLO NEVALGA</t>
  </si>
  <si>
    <t>MARILYN DURAN BINONDO</t>
  </si>
  <si>
    <t>Asunypel Tandug Julao</t>
  </si>
  <si>
    <t>Fermin F Sapuras</t>
  </si>
  <si>
    <t>JOSEPH BITAGON</t>
  </si>
  <si>
    <t>SUSAN QUITLONG SISON</t>
  </si>
  <si>
    <t>Abdulnasser M Kali</t>
  </si>
  <si>
    <t>Ademar R de Castro</t>
  </si>
  <si>
    <t>RAYMUND R. MATEO</t>
  </si>
  <si>
    <t>Rolito Gonzaga Daguipa</t>
  </si>
  <si>
    <t>CIRILA A. ESTRELLA</t>
  </si>
  <si>
    <t>JORJAN BECKER FEDERISO</t>
  </si>
  <si>
    <t>JESSIE B COROTAN</t>
  </si>
  <si>
    <t>Charito G Yulo</t>
  </si>
  <si>
    <t>Melinda Dizon</t>
  </si>
  <si>
    <t>MERLINDA M. ANG</t>
  </si>
  <si>
    <t>Margie A Calar</t>
  </si>
  <si>
    <t>GINA D. ABENIO</t>
  </si>
  <si>
    <t>Javier Serrano Bonafe</t>
  </si>
  <si>
    <t>Rose Andrea V. Milaor</t>
  </si>
  <si>
    <t>Chirry Lyn Bagalihog Arayan</t>
  </si>
  <si>
    <t>Ma. Nanette Patriarca Curimatmat</t>
  </si>
  <si>
    <t>avelino costanilla</t>
  </si>
  <si>
    <t>Ana Marie L. Tayag</t>
  </si>
  <si>
    <t>Mary Ann Banco Bunag</t>
  </si>
  <si>
    <t>Nenita P. Oriel</t>
  </si>
  <si>
    <t>Rogel Canico Lopez</t>
  </si>
  <si>
    <t>Ruel Capucao de Loyola</t>
  </si>
  <si>
    <t>Christopher D. Badayos</t>
  </si>
  <si>
    <t>Mirasol Hortelano Suan</t>
  </si>
  <si>
    <t>Russell C Narte</t>
  </si>
  <si>
    <t>ANNA MARIE L. MUNDIN</t>
  </si>
  <si>
    <t>Danilo P Polestico</t>
  </si>
  <si>
    <t>BENJAMIN N. LAURENCIANA</t>
  </si>
  <si>
    <t>Conrado Bandoquillo Ragay</t>
  </si>
  <si>
    <t>EMMANUEL R. SORIANO</t>
  </si>
  <si>
    <t>Anthony A. Ferrolino</t>
  </si>
  <si>
    <t>Norjannah P Lucman</t>
  </si>
  <si>
    <t xml:space="preserve">Ronnie  ? Ereguero </t>
  </si>
  <si>
    <t>Glenn Infante Lansangan</t>
  </si>
  <si>
    <t>SANTEE C ESPARES</t>
  </si>
  <si>
    <t>Racky Arnoco</t>
  </si>
  <si>
    <t>Renan Ferrer Mangle</t>
  </si>
  <si>
    <t>Mark Joseph Zulita  Lloren</t>
  </si>
  <si>
    <t>Marissa I Rivera</t>
  </si>
  <si>
    <t>Karen Wright Ramirez</t>
  </si>
  <si>
    <t>Connie S De Leon</t>
  </si>
  <si>
    <t>Delia G Todco</t>
  </si>
  <si>
    <t>Jasmine Deguito</t>
  </si>
  <si>
    <t>Albert Donato Martin</t>
  </si>
  <si>
    <t>Michell  Sanchez  Quilo</t>
  </si>
  <si>
    <t>ANNE MARIE  P. PACATANG</t>
  </si>
  <si>
    <t>Arthur Olandria Yana</t>
  </si>
  <si>
    <t>Mark Neil Ansagay Recaido</t>
  </si>
  <si>
    <t>Jessa Marie Trasmonte Ducay</t>
  </si>
  <si>
    <t>Cindy Ramos Tiu</t>
  </si>
  <si>
    <t>ERLINDA F. MANIPON</t>
  </si>
  <si>
    <t>Dennis Bandal Dalucapas</t>
  </si>
  <si>
    <t>Rowena M. Torreflores</t>
  </si>
  <si>
    <t>Jeffreylhada Muallil Noor</t>
  </si>
  <si>
    <t>MELANIE PINEDA BACSAIN</t>
  </si>
  <si>
    <t>Alfonso R Zara III</t>
  </si>
  <si>
    <t>ARBEN P. BUSTILLO</t>
  </si>
  <si>
    <t>Eugene G. Galula</t>
  </si>
  <si>
    <t>Erika Bernice C Ocampo</t>
  </si>
  <si>
    <t>EDGIE SIMON DIMALANTA</t>
  </si>
  <si>
    <t>Aileen L Bonghanoy</t>
  </si>
  <si>
    <t>Glaiza Dela Cruz-Pasion</t>
  </si>
  <si>
    <t>FRANCIS ELLORIMO</t>
  </si>
  <si>
    <t>DEZERIE BAUTISTA MECIJA</t>
  </si>
  <si>
    <t>Benhur V. Malana</t>
  </si>
  <si>
    <t>Aileene T Dagos</t>
  </si>
  <si>
    <t>Ignacio Geno P. Eugenio</t>
  </si>
  <si>
    <t>Carla Nuyad Remonde</t>
  </si>
  <si>
    <t>SHYKHEN B. YAPAC</t>
  </si>
  <si>
    <t>Ma. Chona Roa Fabia</t>
  </si>
  <si>
    <t>Mayo Resuma Pelagio</t>
  </si>
  <si>
    <t>RONNEL B GUNDOY</t>
  </si>
  <si>
    <t>GINA BATALLER LABE</t>
  </si>
  <si>
    <t>James Escamillas Laredo</t>
  </si>
  <si>
    <t>Melencia M. Novero</t>
  </si>
  <si>
    <t>FELMA M. DEZA</t>
  </si>
  <si>
    <t>Jessie So Buendia</t>
  </si>
  <si>
    <t>Jean Galang Roxas</t>
  </si>
  <si>
    <t>Tedler Jr. H. Depaynos</t>
  </si>
  <si>
    <t>Margie Moreno</t>
  </si>
  <si>
    <t>Leonardo Cabahug Caburatan</t>
  </si>
  <si>
    <t>Fidencio Cañete Paranas Jr.</t>
  </si>
  <si>
    <t>MARINA VILLANUEVA</t>
  </si>
  <si>
    <t>Consorcio Manlangit Ferrer</t>
  </si>
  <si>
    <t>LEONORA S ALINSUB</t>
  </si>
  <si>
    <t>Marites Dela Cruz</t>
  </si>
  <si>
    <t>Karen Christine O. Onanad</t>
  </si>
  <si>
    <t>NASUL ARAS SAJILI</t>
  </si>
  <si>
    <t>Sukarno J. Minsuarez</t>
  </si>
  <si>
    <t>Melinda P Orenza</t>
  </si>
  <si>
    <t>LANE EVANGELISTA PAULAR</t>
  </si>
  <si>
    <t>GRACE PONCE ARELLANO</t>
  </si>
  <si>
    <t>SALVE REGINA A. RUERO</t>
  </si>
  <si>
    <t>Joseph Villanueva Emboltorio</t>
  </si>
  <si>
    <t>Jumdail Mohamad Kiram</t>
  </si>
  <si>
    <t>PHILLIP C. ADVIENTO</t>
  </si>
  <si>
    <t>Roel Galang Villanueva</t>
  </si>
  <si>
    <t>LCDR RAYMOND A ROLDAN PN</t>
  </si>
  <si>
    <t>guillermo supilanas ardillo</t>
  </si>
  <si>
    <t>JOSE MARTINEZ GRANDE</t>
  </si>
  <si>
    <t>Verginia Nioda Ochavillo</t>
  </si>
  <si>
    <t>IGNACIO S PANTI</t>
  </si>
  <si>
    <t>Marito V. Catorce</t>
  </si>
  <si>
    <t>Ruiz Lloyd Gonzales Magcamit</t>
  </si>
  <si>
    <t>Antonio F. Zoleta</t>
  </si>
  <si>
    <t>Janet Gonzales Villafranca</t>
  </si>
  <si>
    <t>Robert Floyd Nangkil Salise</t>
  </si>
  <si>
    <t>Alwin M. Uy</t>
  </si>
  <si>
    <t>Fernando Espinoza Lopez</t>
  </si>
  <si>
    <t>Iluminado Ticoy Timon</t>
  </si>
  <si>
    <t>Lizette Ann Manlulu</t>
  </si>
  <si>
    <t>Emily  Cortez Gonzalez</t>
  </si>
  <si>
    <t>Epimaco M. Ilagan Jr.</t>
  </si>
  <si>
    <t>vivencio c. palo</t>
  </si>
  <si>
    <t>Marcelino Jr. R. Bebanco</t>
  </si>
  <si>
    <t>ALJEAN SOON DELWESTE</t>
  </si>
  <si>
    <t>Danilo B. Solis</t>
  </si>
  <si>
    <t>Haziel Joy Adriano</t>
  </si>
  <si>
    <t>Lope Mario B. Lina</t>
  </si>
  <si>
    <t>CHARLENE DE NAVA ALDEA</t>
  </si>
  <si>
    <t>Evangeline C Bongcac</t>
  </si>
  <si>
    <t>Angelie de la Llave Intico</t>
  </si>
  <si>
    <t>Maureen P. Camilo</t>
  </si>
  <si>
    <t>Analiza Camsa Lomedeg</t>
  </si>
  <si>
    <t>Rico Basilio Macabare</t>
  </si>
  <si>
    <t>NIÑO ROSANA TIAMA</t>
  </si>
  <si>
    <t>Domingo Vasquez Capistrano</t>
  </si>
  <si>
    <t>Edmar Pascua</t>
  </si>
  <si>
    <t>JASMIN  LABTIC  MONSALE</t>
  </si>
  <si>
    <t>Rex Aquiatan Agustin</t>
  </si>
  <si>
    <t>Marites M. Ermitanio</t>
  </si>
  <si>
    <t>Marjorie Guiao Vitug</t>
  </si>
  <si>
    <t>RICKY CRUIZ POCON</t>
  </si>
  <si>
    <t>Jocelyn L. Rey</t>
  </si>
  <si>
    <t>Fercilyn E Grospe</t>
  </si>
  <si>
    <t>CRISALDO T MERCADER</t>
  </si>
  <si>
    <t>Lea Cachila Munez</t>
  </si>
  <si>
    <t>Farhan M Ambiong</t>
  </si>
  <si>
    <t>Mark Jason F. Malgapo</t>
  </si>
  <si>
    <t>RUBY QUEMERISTA PACAMO</t>
  </si>
  <si>
    <t>Joey Vincent P. Rabanal</t>
  </si>
  <si>
    <t>Antonio, Jr. Sarigumba Acuña</t>
  </si>
  <si>
    <t>Mark Anthony Cuison Lopez</t>
  </si>
  <si>
    <t>Pat Andrew B. Barrientos</t>
  </si>
  <si>
    <t>Jesus aleman zamoras</t>
  </si>
  <si>
    <t>Mark Daruca Petran</t>
  </si>
  <si>
    <t>Madrigal B. Larang</t>
  </si>
  <si>
    <t>Conchita Caranzo</t>
  </si>
  <si>
    <t>Zenaida Sahagun</t>
  </si>
  <si>
    <t>Cyril D. Valencerina</t>
  </si>
  <si>
    <t>FLORELYN BUOT LACHARON</t>
  </si>
  <si>
    <t>ETHEL M. GOH</t>
  </si>
  <si>
    <t>Joel B. Elloso</t>
  </si>
  <si>
    <t>Ellen M. Montoya</t>
  </si>
  <si>
    <t>Florante Tomas Ruiz</t>
  </si>
  <si>
    <t>Jasmin Macaspag Dacaynos</t>
  </si>
  <si>
    <t>ROSARIO TAGAYO TILLAY</t>
  </si>
  <si>
    <t>Jeric Edem Menoy</t>
  </si>
  <si>
    <t>ULYSSES  SUYO   ZULUETA</t>
  </si>
  <si>
    <t>Jesse R. Quilantang</t>
  </si>
  <si>
    <t>Sherry P Villanueva</t>
  </si>
  <si>
    <t>DINDO BABATIO CONGE</t>
  </si>
  <si>
    <t>Jannes Detablan Cantones</t>
  </si>
  <si>
    <t>Raul Antonio B Soniega</t>
  </si>
  <si>
    <t>Marla PAMISARAN Andal</t>
  </si>
  <si>
    <t>Dhom Lozano</t>
  </si>
  <si>
    <t>Cherry Ann Lico Pocot</t>
  </si>
  <si>
    <t>RUEL  P. MANTANTUAN</t>
  </si>
  <si>
    <t>Christopher Rosal Mangcopa</t>
  </si>
  <si>
    <t>Maricel  Abonado  Pailago</t>
  </si>
  <si>
    <t>Avin  Vargas  Surban</t>
  </si>
  <si>
    <t>Charlene Dizon Flores</t>
  </si>
  <si>
    <t>Nixon B Sañano</t>
  </si>
  <si>
    <t>Jimmy  Bobis  Monteras</t>
  </si>
  <si>
    <t>Jesusa Bagnol Jalad</t>
  </si>
  <si>
    <t>Cayylord D. Niala</t>
  </si>
  <si>
    <t>Norman Casiple Ardina</t>
  </si>
  <si>
    <t>JUANITO C. VALONES</t>
  </si>
  <si>
    <t>Carmen B. Cortes</t>
  </si>
  <si>
    <t>Randy L Lubis</t>
  </si>
  <si>
    <t>Engr. Arnulfo F. Tena</t>
  </si>
  <si>
    <t>Rosalie Torririt Morales</t>
  </si>
  <si>
    <t>Eva  Nabejet Dulnuan</t>
  </si>
  <si>
    <t>RENALYN BOLIVAR PARREÑO</t>
  </si>
  <si>
    <t>Janet Tagpis Santos</t>
  </si>
  <si>
    <t>Jaime Dapula Omaña</t>
  </si>
  <si>
    <t>Ma. Teresa  D. Rodriguez</t>
  </si>
  <si>
    <t>Fatima M. Ombawa</t>
  </si>
  <si>
    <t>Joy Abonitalla Adecer</t>
  </si>
  <si>
    <t>Amelita Miras Mercado</t>
  </si>
  <si>
    <t>Ninez B. Regalado</t>
  </si>
  <si>
    <t>LANNIE MAE C DINGAL</t>
  </si>
  <si>
    <t>Luzviminda Bentulan Muyco</t>
  </si>
  <si>
    <t>JHOANNA RATIFICAR YANGCO</t>
  </si>
  <si>
    <t>Zeus Sumaylo Lumancas</t>
  </si>
  <si>
    <t>Gracianito Lara Lucero</t>
  </si>
  <si>
    <t>Leo Distor Huinda</t>
  </si>
  <si>
    <t>Rhonna Regina  Puno</t>
  </si>
  <si>
    <t>Rosalie  Demontaño De Justo</t>
  </si>
  <si>
    <t>Renato E. Masculino</t>
  </si>
  <si>
    <t>GERARDO DALINOC CLEMENTE</t>
  </si>
  <si>
    <t>Harold P Morri</t>
  </si>
  <si>
    <t>Pia B Abengoza</t>
  </si>
  <si>
    <t>AICEL NECY F MARTINEZ</t>
  </si>
  <si>
    <t>Anavie Amelista Orcinado</t>
  </si>
  <si>
    <t>Ervin C. San Jose</t>
  </si>
  <si>
    <t>Avelino Guerrero Abello</t>
  </si>
  <si>
    <t>Edward Rumohr</t>
  </si>
  <si>
    <t>Renato S. Galang</t>
  </si>
  <si>
    <t>RAMONA CAMPOMANES OPEÑA</t>
  </si>
  <si>
    <t>Dennis Tono Ventilacion</t>
  </si>
  <si>
    <t>MILDRED AUSA DELOS SANTOS</t>
  </si>
  <si>
    <t>Janilyn Mae Roque Tahimic</t>
  </si>
  <si>
    <t>Zosimalinda Blanco Estella</t>
  </si>
  <si>
    <t>Daniel Alpas Cañete</t>
  </si>
  <si>
    <t>RAY PAROJINOG VIRTUDEZ</t>
  </si>
  <si>
    <t>Carmilo E Monterona</t>
  </si>
  <si>
    <t>Neciforo Asuncion</t>
  </si>
  <si>
    <t>Alain Richard Diaz Rosales</t>
  </si>
  <si>
    <t>Freddie Oben Tomines</t>
  </si>
  <si>
    <t>APOLLO RAMIRO PERNIA</t>
  </si>
  <si>
    <t>Mila C Altura</t>
  </si>
  <si>
    <t>Ma. Shirley Andarza Baliauas</t>
  </si>
  <si>
    <t>Dionesio Temelo Tristeza</t>
  </si>
  <si>
    <t>KAREN KAY ANNE RECIDO</t>
  </si>
  <si>
    <t>OLIVER ORBIZO OLIVO</t>
  </si>
  <si>
    <t>RODOLFO SALUD Palma</t>
  </si>
  <si>
    <t>Karla A. Gencianos</t>
  </si>
  <si>
    <t>Andrian B. Mesa</t>
  </si>
  <si>
    <t>Alden  Alvarez</t>
  </si>
  <si>
    <t>Dencio A Pagbilao</t>
  </si>
  <si>
    <t>Geronimo Genil Jr.</t>
  </si>
  <si>
    <t>Mary Rose  Tawas  Gabales</t>
  </si>
  <si>
    <t>RANDY ALLEN LAYAGUIN</t>
  </si>
  <si>
    <t>Myrna  C.  Satuito</t>
  </si>
  <si>
    <t>SATURNINA P. REAL</t>
  </si>
  <si>
    <t>JOHN MICHAEL DE FRANCIA</t>
  </si>
  <si>
    <t>Shirley R. Dominador</t>
  </si>
  <si>
    <t>Jose Mario C Viernes</t>
  </si>
  <si>
    <t>Levy H. Lagutin Jr.</t>
  </si>
  <si>
    <t>NIRO ROTE NINIANO</t>
  </si>
  <si>
    <t>Joyce De Vera</t>
  </si>
  <si>
    <t>Evelyn C. Padayhag</t>
  </si>
  <si>
    <t>Albert Sebastian D Sembrano</t>
  </si>
  <si>
    <t>Rose Golpio Dela Cruz</t>
  </si>
  <si>
    <t>Mary Anne Garcia Tanazana</t>
  </si>
  <si>
    <t>Mary Grace Sta. Elena</t>
  </si>
  <si>
    <t>Haydee Asparin Espinosa</t>
  </si>
  <si>
    <t>Shirly Quinto Isorena</t>
  </si>
  <si>
    <t>Rizza C. Dela Cruz</t>
  </si>
  <si>
    <t>Leonarda Radovan Aleta</t>
  </si>
  <si>
    <t>NOLI U GUIAD</t>
  </si>
  <si>
    <t>Elmer G Canios</t>
  </si>
  <si>
    <t>Irene Enriquez</t>
  </si>
  <si>
    <t>Ermintrude Diaz Gonzales</t>
  </si>
  <si>
    <t>JOEL T. BEHIS</t>
  </si>
  <si>
    <t>Lyn Latag Mistas</t>
  </si>
  <si>
    <t>Nelia B. Mejia</t>
  </si>
  <si>
    <t>Camille Tomas Ronquillo</t>
  </si>
  <si>
    <t>Mary Amor Fiedalan Jandusay</t>
  </si>
  <si>
    <t>Maximo C. Allorin</t>
  </si>
  <si>
    <t>Aiza Montecer Engasa</t>
  </si>
  <si>
    <t>MA. DIVINA  L.  FAMULARCANO</t>
  </si>
  <si>
    <t>GENARA DELIGENCIA RAMONES</t>
  </si>
  <si>
    <t>Ivylea Cantago</t>
  </si>
  <si>
    <t>Lauro Bagaoisan Cruz de la Jr.</t>
  </si>
  <si>
    <t>Ellen Padel Platil</t>
  </si>
  <si>
    <t>EDEN SARMIENTO CAIN</t>
  </si>
  <si>
    <t>Gigi Niog Fatingana</t>
  </si>
  <si>
    <t>Paulo F. Tagsip</t>
  </si>
  <si>
    <t>JUNA T. TIANGCO</t>
  </si>
  <si>
    <t>MERCEDES M. ALFUERTE</t>
  </si>
  <si>
    <t>Nonito Comeros Modequillo</t>
  </si>
  <si>
    <t>CARMEN M. FLORES</t>
  </si>
  <si>
    <t>Salvador Sabado Sangalia</t>
  </si>
  <si>
    <t>Ismael G. Santillan</t>
  </si>
  <si>
    <t>NONIELYN CABRERA RONQUILLO</t>
  </si>
  <si>
    <t>Larisa Salgado Donguila</t>
  </si>
  <si>
    <t>Eden Echalas Bandoquillo</t>
  </si>
  <si>
    <t>Joseph Aldrin De Silva Magtanong</t>
  </si>
  <si>
    <t>BENJIE ECHAVIA MALIGRO</t>
  </si>
  <si>
    <t>Remigio L. Jamilan</t>
  </si>
  <si>
    <t>Eustaquio Ligutan</t>
  </si>
  <si>
    <t>Emerson John Exclamado Fernandez</t>
  </si>
  <si>
    <t>Lily May T. Julao</t>
  </si>
  <si>
    <t>Noli U. Guiad</t>
  </si>
  <si>
    <t>BAC SECRETARIAT, LGU-SANTIAGO CITY</t>
  </si>
  <si>
    <t>Karla Remolacio Palles</t>
  </si>
  <si>
    <t>MYRNA DACUYCUY</t>
  </si>
  <si>
    <t>Marcus Andico Cupino</t>
  </si>
  <si>
    <t>Rebecca N. Tanate</t>
  </si>
  <si>
    <t>Jorge A. Albinda</t>
  </si>
  <si>
    <t>cipriano t cavite</t>
  </si>
  <si>
    <t>Laila M Robosa</t>
  </si>
  <si>
    <t>Gaia Ma. Karleena Abrigo Dajao</t>
  </si>
  <si>
    <t>Miguel Jr. D. Tolentino</t>
  </si>
  <si>
    <t>Marilyn Ulep Tolentino</t>
  </si>
  <si>
    <t>BERNARDO  RAMOS</t>
  </si>
  <si>
    <t>Odessa O Mayangitan</t>
  </si>
  <si>
    <t>LANI BAYLON YURONG</t>
  </si>
  <si>
    <t>armeilto s. robles</t>
  </si>
  <si>
    <t>Rowena A. Bañaga</t>
  </si>
  <si>
    <t>Donabel Valiente Gulaga</t>
  </si>
  <si>
    <t>Ma. Czarina Aguil Subillaga</t>
  </si>
  <si>
    <t>jude atutubo rico</t>
  </si>
  <si>
    <t>MARIA FE AGAPAY LAPLANA</t>
  </si>
  <si>
    <t>GLADYS GANITANO BAGOOD</t>
  </si>
  <si>
    <t>Ricarte De Guzman Tadeja</t>
  </si>
  <si>
    <t>Lea Ordinario Abando</t>
  </si>
  <si>
    <t>Remigio Lago Blanco</t>
  </si>
  <si>
    <t>RHODORA PAYAO MAGNO</t>
  </si>
  <si>
    <t>MERLOBEL O. NAVALES</t>
  </si>
  <si>
    <t>LINA COLMINAS ZARCO</t>
  </si>
  <si>
    <t>Severino Tiamzon Mascareñas III</t>
  </si>
  <si>
    <t>Kris Mae D. Balorio</t>
  </si>
  <si>
    <t>Orea Attiwan</t>
  </si>
  <si>
    <t>Jaime S.J. Javellana</t>
  </si>
  <si>
    <t>Renzjay Antonio Linsangan</t>
  </si>
  <si>
    <t>Jannette L. Fronda</t>
  </si>
  <si>
    <t>Nikkolo Marco Aurelio V. Cortes</t>
  </si>
  <si>
    <t>Pedro F De Guzman</t>
  </si>
  <si>
    <t>Emilia Sales Quilet</t>
  </si>
  <si>
    <t>Allan Rey Del Castillo Hiponia</t>
  </si>
  <si>
    <t>Jenny Lopez Castro</t>
  </si>
  <si>
    <t>Marlon Iwarat Esguerra</t>
  </si>
  <si>
    <t>Noel Bahoy Esplana</t>
  </si>
  <si>
    <t>JOSE TEPPANG GALACINAO</t>
  </si>
  <si>
    <t>Sharon  G.  Umbaad</t>
  </si>
  <si>
    <t>Romarico J. Deona</t>
  </si>
  <si>
    <t>Milagros Berganio Abaquita</t>
  </si>
  <si>
    <t>Janet A. Pumalo</t>
  </si>
  <si>
    <t>SOTERO JR. FAVILA LOMIGO</t>
  </si>
  <si>
    <t>Floresa Pizarro Suarez</t>
  </si>
  <si>
    <t>Myrna Pascual Cabico</t>
  </si>
  <si>
    <t>WILLIAM UBA VALDE</t>
  </si>
  <si>
    <t>Rosalie  C.  Sanico</t>
  </si>
  <si>
    <t>Jonathan B. Guevarra</t>
  </si>
  <si>
    <t>Leah S Osorio</t>
  </si>
  <si>
    <t>Gertrude T. Daguio</t>
  </si>
  <si>
    <t>Edison C Gascon</t>
  </si>
  <si>
    <t>Joselyn S. Vivares</t>
  </si>
  <si>
    <t>RENE (BOY) A. ANGELES</t>
  </si>
  <si>
    <t>Myra Cecilia Donila Grata</t>
  </si>
  <si>
    <t>LYNDON DICHOSO TORRES</t>
  </si>
  <si>
    <t>FRANCISCO , JR. YGRUBAY LABRAGUE</t>
  </si>
  <si>
    <t>PROCESO M. KADAVERO</t>
  </si>
  <si>
    <t>Napoleon C Bascon</t>
  </si>
  <si>
    <t>Antonio Abellana Calinog</t>
  </si>
  <si>
    <t>Arnel M Ruz</t>
  </si>
  <si>
    <t>Datumalao Eting Saikol</t>
  </si>
  <si>
    <t>Glenda Labitigan Goti-ay</t>
  </si>
  <si>
    <t>Lunrey B. Bagor</t>
  </si>
  <si>
    <t>Khristine Aquino Balagtas</t>
  </si>
  <si>
    <t>Christian Garganza Ortega</t>
  </si>
  <si>
    <t>Angelica Santayana Asiao</t>
  </si>
  <si>
    <t>Erlindo Jr. Cabug</t>
  </si>
  <si>
    <t>Veronica Manzano Rodriguez</t>
  </si>
  <si>
    <t>Belna M Acobo</t>
  </si>
  <si>
    <t>Ethel Joy Domingo Invencion</t>
  </si>
  <si>
    <t>Hermenigilda A. Aposaga</t>
  </si>
  <si>
    <t>ELIZABETH B MEDINA</t>
  </si>
  <si>
    <t>Drafino Jr Ramos Arocena</t>
  </si>
  <si>
    <t>Glyza  Ampo  Landar</t>
  </si>
  <si>
    <t>Roberto Besarino Lucaban</t>
  </si>
  <si>
    <t>ERNEL PRAVA MAYONGUE</t>
  </si>
  <si>
    <t>NORMAN TOLENTINO BUAN</t>
  </si>
  <si>
    <t>Edwin L. Madla</t>
  </si>
  <si>
    <t>Pedrito B. Abregana</t>
  </si>
  <si>
    <t>JONATHAN ARENAS MIRANDA</t>
  </si>
  <si>
    <t>Ma Christina Sorilla Segura</t>
  </si>
  <si>
    <t>Maria Concepcion Salcedo Florida</t>
  </si>
  <si>
    <t>Floringaile Alvarez Daquinag</t>
  </si>
  <si>
    <t>Ronnie R. Calanno</t>
  </si>
  <si>
    <t>Antonio Cagdan Failoga</t>
  </si>
  <si>
    <t>Maria Agnes Gonzales Tacadena</t>
  </si>
  <si>
    <t>Liza Roque Leaño</t>
  </si>
  <si>
    <t>Myla Dela Cruz Gepitan</t>
  </si>
  <si>
    <t>Bernard Bordon Delos Reyes</t>
  </si>
  <si>
    <t>Corazon S Aquino</t>
  </si>
  <si>
    <t>ROMIDA GAYANES NAAG</t>
  </si>
  <si>
    <t>MIRIAM CAHAPAY OLAYVAR</t>
  </si>
  <si>
    <t>Carmencita R Lisondra</t>
  </si>
  <si>
    <t>Alberto V. Cainglet</t>
  </si>
  <si>
    <t>GLAIZA  G.  CADAG</t>
  </si>
  <si>
    <t>Felicisimo Villarico Wenceslao Jr.</t>
  </si>
  <si>
    <t>Evelyn Larosa Cainglet</t>
  </si>
  <si>
    <t>Shirley Cua San Luis</t>
  </si>
  <si>
    <t>ATTY. EDGARDO J. GIL</t>
  </si>
  <si>
    <t>Enrique Nochebuena Mocling</t>
  </si>
  <si>
    <t>Loraine Rangcudo  Delleva</t>
  </si>
  <si>
    <t>Nick Sumile Magsayo</t>
  </si>
  <si>
    <t>Emilyn Galicia Magracia</t>
  </si>
  <si>
    <t>Jonathan Sabordo Jamandre</t>
  </si>
  <si>
    <t>Eva D. Bañares</t>
  </si>
  <si>
    <t>Arturo Magallon Palencia</t>
  </si>
  <si>
    <t>EDLEY  CASAS ABARIDO</t>
  </si>
  <si>
    <t>Edgar M Mendoza</t>
  </si>
  <si>
    <t>Babe Charity S Enerio</t>
  </si>
  <si>
    <t>JENNY C. SIGNEY</t>
  </si>
  <si>
    <t>Joy Melga Buendia Olazo</t>
  </si>
  <si>
    <t>Marion M. Navarez</t>
  </si>
  <si>
    <t>Jayson B. Ramos</t>
  </si>
  <si>
    <t>Arlene Seno Padilla</t>
  </si>
  <si>
    <t>Henjie Albete Ramirez</t>
  </si>
  <si>
    <t>Rhodora Francisco Tradio</t>
  </si>
  <si>
    <t>Lorena Obsiquo Escaro</t>
  </si>
  <si>
    <t>Marife Moron Jabon</t>
  </si>
  <si>
    <t>Amelita Quinsay Londonio</t>
  </si>
  <si>
    <t>John Paulo Telmo Purino</t>
  </si>
  <si>
    <t>Marjorie Hazel R Cofino</t>
  </si>
  <si>
    <t>Mercy Gladys Santiago Cuenca</t>
  </si>
  <si>
    <t>Vivian M. Cuizon</t>
  </si>
  <si>
    <t>ALLAN P. RAMBANO</t>
  </si>
  <si>
    <t>Ceferino C. Oryan</t>
  </si>
  <si>
    <t>Lourdes M. Ng</t>
  </si>
  <si>
    <t>Ma. Theresa D. Jamero</t>
  </si>
  <si>
    <t>Cheryl Samuel Conag</t>
  </si>
  <si>
    <t>Ivan Cruz</t>
  </si>
  <si>
    <t>Franklin Aquino Salcedo</t>
  </si>
  <si>
    <t>Jerome John Jumawan Gabin</t>
  </si>
  <si>
    <t>Josue p Perez</t>
  </si>
  <si>
    <t>RANDY R. LIGSANAN</t>
  </si>
  <si>
    <t>ARLENE REBONG REARIO</t>
  </si>
  <si>
    <t>Jahmil H. Asebo</t>
  </si>
  <si>
    <t>HELEN M PORTE</t>
  </si>
  <si>
    <t>Monalisa Jabonero Cuna</t>
  </si>
  <si>
    <t>Cesar Dura Poblacion</t>
  </si>
  <si>
    <t>Marvin T. Mosteiro</t>
  </si>
  <si>
    <t>Miguelito A. Ogania</t>
  </si>
  <si>
    <t>Nilo Eduarte Diesta</t>
  </si>
  <si>
    <t>Aaron John Reyes Liwag</t>
  </si>
  <si>
    <t>Danilo Anggot Taucan</t>
  </si>
  <si>
    <t>Judima D Sebido</t>
  </si>
  <si>
    <t>Allan R. Guintapan</t>
  </si>
  <si>
    <t>Eulogio Pancho Sullano</t>
  </si>
  <si>
    <t>DANTE RESARE VENIAL</t>
  </si>
  <si>
    <t>Kristine Joy Apostol Castillo</t>
  </si>
  <si>
    <t>Jorge Olaer Madrona</t>
  </si>
  <si>
    <t>Ernesto Luceño Tan</t>
  </si>
  <si>
    <t>Khad Magalgalit Layag</t>
  </si>
  <si>
    <t>FAISAL O IDRIS</t>
  </si>
  <si>
    <t>Sherra Gutierrez Espina</t>
  </si>
  <si>
    <t>ABDULRAHMAN MACASILANG ULAMA</t>
  </si>
  <si>
    <t>CHRISTIE ANN GELVEZON ORTIZ</t>
  </si>
  <si>
    <t>Marjorie M. Balangue</t>
  </si>
  <si>
    <t>John Eric Raguindin</t>
  </si>
  <si>
    <t>juvelyn samson publeo</t>
  </si>
  <si>
    <t>Aldren Galido Madelozo</t>
  </si>
  <si>
    <t>Jaynorin S Kalilangan</t>
  </si>
  <si>
    <t>Michael M Bacarisas</t>
  </si>
  <si>
    <t>Charlene Jumawan Oberes</t>
  </si>
  <si>
    <t>Lito I Balarbar</t>
  </si>
  <si>
    <t>Angelito Regalario De Lima</t>
  </si>
  <si>
    <t>Manolito Magkilat Silagan</t>
  </si>
  <si>
    <t>Eustila Furog Evangelista</t>
  </si>
  <si>
    <t>Ramon M De Leon</t>
  </si>
  <si>
    <t>Sharmaine J. Vicente</t>
  </si>
  <si>
    <t>REGNER MEL BALAGOT</t>
  </si>
  <si>
    <t>APRIL JOY L. VILLA</t>
  </si>
  <si>
    <t>Michael P Arayan</t>
  </si>
  <si>
    <t>Eden Esquejo Alimpuangon</t>
  </si>
  <si>
    <t>Charito Santos Fernando</t>
  </si>
  <si>
    <t>Ramil L. Caseda</t>
  </si>
  <si>
    <t>Norman G Mercado</t>
  </si>
  <si>
    <t>Dudeo C. Galeon</t>
  </si>
  <si>
    <t>Andro L. Colacion</t>
  </si>
  <si>
    <t>MARIA APRIL ROSSELLE MEJILLA VALDEZ</t>
  </si>
  <si>
    <t>Arleen Calderon Tan</t>
  </si>
  <si>
    <t>Wilma G. Udalve</t>
  </si>
  <si>
    <t>Aida L Cerudo</t>
  </si>
  <si>
    <t>RUTH VALLADOLID BOBIER</t>
  </si>
  <si>
    <t>Jennifer  d Alcantara</t>
  </si>
  <si>
    <t>ADRIAN  JAVIER  TUAZON</t>
  </si>
  <si>
    <t>Maylen Zorilla Damasing</t>
  </si>
  <si>
    <t>Martin C Lagmay</t>
  </si>
  <si>
    <t>Marilyn T Inong</t>
  </si>
  <si>
    <t>Czarina Facunla Palencia</t>
  </si>
  <si>
    <t>Rudy Escoto Metante</t>
  </si>
  <si>
    <t>Lauri Rose Salazar Coquia</t>
  </si>
  <si>
    <t>Felibert  Ramos Salvador</t>
  </si>
  <si>
    <t>MARY JOYCE MANIBOG</t>
  </si>
  <si>
    <t>Donald Glenn M Lanzado</t>
  </si>
  <si>
    <t>Estanly Pepito Ebo</t>
  </si>
  <si>
    <t>Maricel Balmes Recio</t>
  </si>
  <si>
    <t>Melita Gidoman Apolinaria</t>
  </si>
  <si>
    <t>Alma Bella Mater Gilo</t>
  </si>
  <si>
    <t>Gilbert Dador Solidum</t>
  </si>
  <si>
    <t>Roberto III Almazan Mirando</t>
  </si>
  <si>
    <t>Jocelyn M Romero</t>
  </si>
  <si>
    <t>ROSALIE N. MORALDE</t>
  </si>
  <si>
    <t>ANTONIO O. SANTOS</t>
  </si>
  <si>
    <t>HELEN IGUANA EDULLANTES</t>
  </si>
  <si>
    <t>Jay V Villafranca</t>
  </si>
  <si>
    <t>Diosdada V. Vito</t>
  </si>
  <si>
    <t>Cipriano Indencia Osunero</t>
  </si>
  <si>
    <t>Mia Marinelle Ramos Labuguen</t>
  </si>
  <si>
    <t>Expedito Magluyan Villaruz</t>
  </si>
  <si>
    <t>Cesarina Sico Macuha</t>
  </si>
  <si>
    <t>Adel L. Mangaliag</t>
  </si>
  <si>
    <t>DIVINA TANEDO MANINANG</t>
  </si>
  <si>
    <t>Kathleen Laxamana Tiamzon</t>
  </si>
  <si>
    <t>Norma C. Sarigumba</t>
  </si>
  <si>
    <t>Quintin Albarico Lim, JR</t>
  </si>
  <si>
    <t>Arjay G.  Alonzo</t>
  </si>
  <si>
    <t>ASSEL PAGARAN MADANGUIT</t>
  </si>
  <si>
    <t>Eva Marie Maglunsod Gapulan</t>
  </si>
  <si>
    <t>HERIBERTO AROCENA TOMAS</t>
  </si>
  <si>
    <t>Ronald Merin</t>
  </si>
  <si>
    <t>Evelyn Galleposo Saumay</t>
  </si>
  <si>
    <t>Zenaida Lozada Bontilao</t>
  </si>
  <si>
    <t>EULALIA CALUGAS CABALONGA</t>
  </si>
  <si>
    <t>Warlita Guido</t>
  </si>
  <si>
    <t>Virgilio Monsod Cabueñas</t>
  </si>
  <si>
    <t>ALVIN BALAQUIAO</t>
  </si>
  <si>
    <t>GEMMA C. AQUINO-BASTIAN</t>
  </si>
  <si>
    <t>Erasto A Llagas</t>
  </si>
  <si>
    <t>RANDY DUENAS DE TORRES</t>
  </si>
  <si>
    <t>MELNER BONDAUG SAGARAY</t>
  </si>
  <si>
    <t>Melanie R Interino</t>
  </si>
  <si>
    <t>JULA S. GARGANTA</t>
  </si>
  <si>
    <t>Franklin Tubiera Toledana</t>
  </si>
  <si>
    <t>EDWIN REYES</t>
  </si>
  <si>
    <t>Rryam Ansing Jaralve</t>
  </si>
  <si>
    <t>NOVER M. BATE</t>
  </si>
  <si>
    <t>Felipe M Hutalla</t>
  </si>
  <si>
    <t>Ramilito P. Paloma</t>
  </si>
  <si>
    <t>jenette marquez samillano</t>
  </si>
  <si>
    <t>Larry U Vicente</t>
  </si>
  <si>
    <t>Ines Goden Lanzaderas</t>
  </si>
  <si>
    <t>Regina S. Valdez</t>
  </si>
  <si>
    <t>Rodolfo Lapitan Ladia, Jr.</t>
  </si>
  <si>
    <t>Emelita I. Garcia</t>
  </si>
  <si>
    <t>Romy Alusen Bucalen</t>
  </si>
  <si>
    <t>Luz S. Liloc</t>
  </si>
  <si>
    <t>Ester C Catalan</t>
  </si>
  <si>
    <t>CEZARIO JOEL C ESPEJO</t>
  </si>
  <si>
    <t>flor de amor tangonan delacruz</t>
  </si>
  <si>
    <t>ENGR. NORMAN DIMATATAC</t>
  </si>
  <si>
    <t>Maria Theresa Sta. Cruz Sanz</t>
  </si>
  <si>
    <t>EDRALIN MANGUERRA CALLO</t>
  </si>
  <si>
    <t>RUEL O. LOZANO</t>
  </si>
  <si>
    <t>Joan Marie N Napolis</t>
  </si>
  <si>
    <t>Maribel Lopez Bongar</t>
  </si>
  <si>
    <t>Jasmen Joguilon Pablo</t>
  </si>
  <si>
    <t>Arvin S De Guzman</t>
  </si>
  <si>
    <t>daniel andaya ogana</t>
  </si>
  <si>
    <t>Grace G. Astrero</t>
  </si>
  <si>
    <t>Billie Jean P. Lagazo</t>
  </si>
  <si>
    <t>Kathyleen Dulnuan Marcelo (2nd Account)</t>
  </si>
  <si>
    <t>MARY FE L. MONTANO</t>
  </si>
  <si>
    <t>Mobarak Patungcal Pandi</t>
  </si>
  <si>
    <t>Roberto Alngag Chulsi</t>
  </si>
  <si>
    <t>Racel Ann Landicho Almodovar</t>
  </si>
  <si>
    <t>Victor Yasul Navarro</t>
  </si>
  <si>
    <t>LORETA CAYABYAB MARIÑAS</t>
  </si>
  <si>
    <t>ZACARIAS CAPOL SUPLAAG</t>
  </si>
  <si>
    <t>Miguel Sequio Gallego</t>
  </si>
  <si>
    <t>Mirasol Macaranas Rosano</t>
  </si>
  <si>
    <t>MARIA GRACIA  PATRON  DELA RAMA</t>
  </si>
  <si>
    <t>Elaine Bumanghat Immotna</t>
  </si>
  <si>
    <t>Mary Grace  E.  Lumabi</t>
  </si>
  <si>
    <t>Margarita Mendoza Hipolito</t>
  </si>
  <si>
    <t>Rowena Arcon Plando</t>
  </si>
  <si>
    <t>Monica A. Tuguinay</t>
  </si>
  <si>
    <t>Vivien S. Batobato</t>
  </si>
  <si>
    <t>HELBERT GARING CORCELLIS</t>
  </si>
  <si>
    <t>Mary Ann N. Escoto</t>
  </si>
  <si>
    <t>Hasmin Ticzon</t>
  </si>
  <si>
    <t>Jelenita D Limot</t>
  </si>
  <si>
    <t>Joel M Ariones</t>
  </si>
  <si>
    <t>Norielle Ann P. Vergara</t>
  </si>
  <si>
    <t>Nerissa Lajom Villanueva</t>
  </si>
  <si>
    <t>ALICIA RENTILLO JUGADO</t>
  </si>
  <si>
    <t>Gulbuddin Amil Tudon</t>
  </si>
  <si>
    <t>Glodyn Trocio Talledo</t>
  </si>
  <si>
    <t>Edwin Delos Santos Maliksi</t>
  </si>
  <si>
    <t>AIDA BUTIHIN MENDOZA</t>
  </si>
  <si>
    <t>Dominador N Castañeto Jr.</t>
  </si>
  <si>
    <t>Honorato Aquino</t>
  </si>
  <si>
    <t>Ma. Luz Irene Orbe</t>
  </si>
  <si>
    <t>Joy M Rivera</t>
  </si>
  <si>
    <t>haily gapew patna-an</t>
  </si>
  <si>
    <t>Mary Joy Claveria Capones</t>
  </si>
  <si>
    <t>DIANA FELLO MOJICA</t>
  </si>
  <si>
    <t>JANET ARELLANO MONTEVERDE</t>
  </si>
  <si>
    <t>Sheryl  Pariñas Simbajon</t>
  </si>
  <si>
    <t>BELEN BANDADA PARAÑAQUE</t>
  </si>
  <si>
    <t>ROSALYN AZUL CONDAT</t>
  </si>
  <si>
    <t>Edwin B Mendoza</t>
  </si>
  <si>
    <t>Freddie Sr. Francisco Gabo</t>
  </si>
  <si>
    <t>Arthur Ryan  R.  Dupalco</t>
  </si>
  <si>
    <t>DARIO SUSON TARRIMAN</t>
  </si>
  <si>
    <t>MARIA ELIZA SANTANA SILLESA</t>
  </si>
  <si>
    <t>Zotico L. Pastelero</t>
  </si>
  <si>
    <t>ROSELYN GARCIA LUGOD</t>
  </si>
  <si>
    <t>Vicente Morata</t>
  </si>
  <si>
    <t>David T. Raguindin</t>
  </si>
  <si>
    <t>LEA CABRERA MENGULLO</t>
  </si>
  <si>
    <t>Roderick Limueco</t>
  </si>
  <si>
    <t>RONALD S. BARRAMEDA</t>
  </si>
  <si>
    <t>Jonalyn Angel Pangilinan</t>
  </si>
  <si>
    <t>Arlene Maunahan Avejero</t>
  </si>
  <si>
    <t>Lourdes D Fraile</t>
  </si>
  <si>
    <t>JOSELITO CRUZ MERCADO</t>
  </si>
  <si>
    <t>Socrates G Torres</t>
  </si>
  <si>
    <t>SHALIMAR S RAKIIN, MD, MPM,MSPH-mHA, CESE</t>
  </si>
  <si>
    <t>Eric G Limpin</t>
  </si>
  <si>
    <t>Oliver  L. Gonzaga</t>
  </si>
  <si>
    <t>Editha P. Conejos</t>
  </si>
  <si>
    <t>Nanette Mirasol Dulfo</t>
  </si>
  <si>
    <t>Leonilo Lota Laborte</t>
  </si>
  <si>
    <t>Jennifer Loquillano Mayang-Aligado</t>
  </si>
  <si>
    <t>ESTRELLA E. VINO</t>
  </si>
  <si>
    <t>Abner H Labaniego</t>
  </si>
  <si>
    <t>Freddie Anzaldo Vecinal</t>
  </si>
  <si>
    <t>Emie Liza Fabella Ferrancol</t>
  </si>
  <si>
    <t>Dexter B. Baylon</t>
  </si>
  <si>
    <t>Jaynalyn E Amparo</t>
  </si>
  <si>
    <t>Eric P Cabauatan</t>
  </si>
  <si>
    <t>Carolina Castillo Moraleda</t>
  </si>
  <si>
    <t>Maria Sarah Mae Lioren  Renoblas</t>
  </si>
  <si>
    <t>Cynthia L. Ayles</t>
  </si>
  <si>
    <t>Rodrigo C Rodrigo</t>
  </si>
  <si>
    <t>LEYTE PROVINCIAL BAC</t>
  </si>
  <si>
    <t>Mary Grace B Valle</t>
  </si>
  <si>
    <t>Dina V. Panganiban</t>
  </si>
  <si>
    <t>Dexter C. Lingbanan</t>
  </si>
  <si>
    <t>DORILYN C. DADOR</t>
  </si>
  <si>
    <t>LEVY H. LAGUTIN, JR.</t>
  </si>
  <si>
    <t>Julius Caesar Matadling Badilla</t>
  </si>
  <si>
    <t>REYNALDO C. RIVERA</t>
  </si>
  <si>
    <t>Juliet Villanueva- Chiquito</t>
  </si>
  <si>
    <t>Ronald D. Elnar</t>
  </si>
  <si>
    <t>Eugene R. Geñoso</t>
  </si>
  <si>
    <t>Milbert Arnold Zurbano Racelis</t>
  </si>
  <si>
    <t>Analyn Arriola Sarmiento</t>
  </si>
  <si>
    <t>ROSE HABANA MARTINEZ</t>
  </si>
  <si>
    <t>Naomi Asendiente Bajao</t>
  </si>
  <si>
    <t>MERLA ARAMBURO REVECHE</t>
  </si>
  <si>
    <t>ANA MARIA M. MADAYAG</t>
  </si>
  <si>
    <t>ENGR. EDUARDO SALVADOR MANGOBA JR.</t>
  </si>
  <si>
    <t>ELVIRA LAWAS HERMOSO</t>
  </si>
  <si>
    <t>Warlito Yuson Suan</t>
  </si>
  <si>
    <t>Victorino Berguela Almario</t>
  </si>
  <si>
    <t>Michael  Mercado Caisip</t>
  </si>
  <si>
    <t>Cholie M. Roble</t>
  </si>
  <si>
    <t>rosellene ape Gurang</t>
  </si>
  <si>
    <t>Sharon Jane Antonis Dacuno</t>
  </si>
  <si>
    <t>Elena Tayag Villa</t>
  </si>
  <si>
    <t>Mary Jane  Cabreros</t>
  </si>
  <si>
    <t>Melicoro P Colot</t>
  </si>
  <si>
    <t>FERDINAND P. CAYETANO</t>
  </si>
  <si>
    <t>Ma. Gina Diaz Valenzuela</t>
  </si>
  <si>
    <t>Norina L. David</t>
  </si>
  <si>
    <t>LINDALE PEPINO SAAVEDRA</t>
  </si>
  <si>
    <t>Cherrylyn Estinar Malagday</t>
  </si>
  <si>
    <t>Victorio J Jimenez</t>
  </si>
  <si>
    <t>Frank John  Bagato  Adornado</t>
  </si>
  <si>
    <t>Ledella Juni Dag</t>
  </si>
  <si>
    <t>Gloria Barrameda Dalipe</t>
  </si>
  <si>
    <t>ALEX A. MERLIN</t>
  </si>
  <si>
    <t>Abdullah M. Dipatuan</t>
  </si>
  <si>
    <t>Allen Mar P Antalan</t>
  </si>
  <si>
    <t>Editha O Sagaral</t>
  </si>
  <si>
    <t>JASMINE I. GAOGAO</t>
  </si>
  <si>
    <t>Mila Tolentino</t>
  </si>
  <si>
    <t>Ana Suzette Limguis Moreño</t>
  </si>
  <si>
    <t>Canuto, Jr Adalin Paluga</t>
  </si>
  <si>
    <t>Airene Galan</t>
  </si>
  <si>
    <t>EDWARD ALIGUYON CARIÑO</t>
  </si>
  <si>
    <t>Lauren Christine B. La'O</t>
  </si>
  <si>
    <t>Mary Grace Reynoso Binasahan</t>
  </si>
  <si>
    <t>Anita P. Nitura</t>
  </si>
  <si>
    <t>Charity Belacaol Evangelista</t>
  </si>
  <si>
    <t>Maria Teresa Ocong Bucio</t>
  </si>
  <si>
    <t>Gina Francisco Placido</t>
  </si>
  <si>
    <t>REMEGIO GASCON DUYAN</t>
  </si>
  <si>
    <t>Susana M Pardo</t>
  </si>
  <si>
    <t>Aldex Julian</t>
  </si>
  <si>
    <t>Jenelyn Drilon Lazare</t>
  </si>
  <si>
    <t>Angeline A Logatiman</t>
  </si>
  <si>
    <t>Chona D. Derramas</t>
  </si>
  <si>
    <t>Mary Grace Raquel Niedo</t>
  </si>
  <si>
    <t>Teresita Siega Laviste</t>
  </si>
  <si>
    <t>Jennifer Senapilo Lumanug</t>
  </si>
  <si>
    <t>Lenybelle Ceriola Santos</t>
  </si>
  <si>
    <t>Winston Sombillo Fuertez</t>
  </si>
  <si>
    <t>Janne P. Garcia - Rosales</t>
  </si>
  <si>
    <t>Nenita Crisostomo Flores</t>
  </si>
  <si>
    <t>Ronamel Limjuco</t>
  </si>
  <si>
    <t>Kristy Joy Minguito Untay</t>
  </si>
  <si>
    <t>Ely Calize Abis</t>
  </si>
  <si>
    <t>Aldy B Novo</t>
  </si>
  <si>
    <t>Fe Bernabe</t>
  </si>
  <si>
    <t>MARY JULIE A. TRUS</t>
  </si>
  <si>
    <t>Elvira Sebio</t>
  </si>
  <si>
    <t>Karen Lisette Trinidad Molas</t>
  </si>
  <si>
    <t>Maicel Bandol Esquivel</t>
  </si>
  <si>
    <t>DENNIS MARTILLANO JAMBALOS</t>
  </si>
  <si>
    <t>Michelle Nabas Gregorio</t>
  </si>
  <si>
    <t>JOSEPH G ESCASIO</t>
  </si>
  <si>
    <t>Nolito Fabellon</t>
  </si>
  <si>
    <t>Dan T Tayo</t>
  </si>
  <si>
    <t>Felicisimo Junio Estrella, Jr.</t>
  </si>
  <si>
    <t>Diana D. Ermita</t>
  </si>
  <si>
    <t>Rommel Ebuenga De Jesus</t>
  </si>
  <si>
    <t>Marybeth Luces</t>
  </si>
  <si>
    <t>Felicilda F Sano</t>
  </si>
  <si>
    <t>Marina Ingoy Balicoco</t>
  </si>
  <si>
    <t>Lita Godinez Canda</t>
  </si>
  <si>
    <t>Marites S Penosa</t>
  </si>
  <si>
    <t>Lazaro Buluran Pascual</t>
  </si>
  <si>
    <t>Imelda D. Calinao</t>
  </si>
  <si>
    <t>Romeo Teodoro</t>
  </si>
  <si>
    <t>Herma Aratan Seruela</t>
  </si>
  <si>
    <t>Jocelyn Castro Ballesteros</t>
  </si>
  <si>
    <t>Perseverando Tolentino Atienza</t>
  </si>
  <si>
    <t>JOSELITO PEDRO LIM</t>
  </si>
  <si>
    <t>Manuel Perez Delica</t>
  </si>
  <si>
    <t>Cherry Jean Anlucday Antig</t>
  </si>
  <si>
    <t>Veronica Samsam Macadangdang</t>
  </si>
  <si>
    <t>Danilo  Mira Omagtang</t>
  </si>
  <si>
    <t>Emily B Laigo</t>
  </si>
  <si>
    <t>Jan Davin V. Maganto</t>
  </si>
  <si>
    <t>Annabelle De Vera Quiñones</t>
  </si>
  <si>
    <t>Ricardo Alvarado Sanchez</t>
  </si>
  <si>
    <t>Raul Javier Siong</t>
  </si>
  <si>
    <t>Jean Mae Baltero</t>
  </si>
  <si>
    <t>HARRY DELA FUENTE FRANCISCO</t>
  </si>
  <si>
    <t>Lolita Genuino Santiago</t>
  </si>
  <si>
    <t>Rhoda Apalla Viterbo</t>
  </si>
  <si>
    <t>Ma. Amor Bañas</t>
  </si>
  <si>
    <t>IMELDA MATIBAG ABARINTOS</t>
  </si>
  <si>
    <t>Madilyn M Macatual</t>
  </si>
  <si>
    <t>MICHELLE ZAMAR LIM</t>
  </si>
  <si>
    <t>ONIE J REYES</t>
  </si>
  <si>
    <t>Danna Marie B. Asentista</t>
  </si>
  <si>
    <t>Maria Madel Binaya Brozo</t>
  </si>
  <si>
    <t>GREGORIO TURQUEZA</t>
  </si>
  <si>
    <t>Maricel Aretano</t>
  </si>
  <si>
    <t>ANTONIO M GEREMIAS</t>
  </si>
  <si>
    <t>LORETO LUCERO LORENZO</t>
  </si>
  <si>
    <t>Jessca Mae P. Solano</t>
  </si>
  <si>
    <t>Allan G. Farnazo</t>
  </si>
  <si>
    <t>JESSELL GARCIA TORREJOS</t>
  </si>
  <si>
    <t>GINA LACSARON SERVANO</t>
  </si>
  <si>
    <t>Angela Eduvala Dagsaan</t>
  </si>
  <si>
    <t>RICHELLE L. MOROTA</t>
  </si>
  <si>
    <t>Ruby Rina Soco</t>
  </si>
  <si>
    <t>ALVIN  PACULA  MAGTANGOB</t>
  </si>
  <si>
    <t>Mildred v. Fernando</t>
  </si>
  <si>
    <t>Ana De Guzman Asprec</t>
  </si>
  <si>
    <t>Carlo Fernando G. Logarta</t>
  </si>
  <si>
    <t>Bryan G. Fortuno</t>
  </si>
  <si>
    <t>NOLANDO  C.  SATURNO</t>
  </si>
  <si>
    <t>Albert Lee Basuel Cabanting</t>
  </si>
  <si>
    <t>HAZEL JANE M. PANGAN</t>
  </si>
  <si>
    <t>Merla A. Monje</t>
  </si>
  <si>
    <t>NANELLE REFORMADO PILAPIL</t>
  </si>
  <si>
    <t>Thelma M. Marco</t>
  </si>
  <si>
    <t>Annabelle Canonigo Husain</t>
  </si>
  <si>
    <t>Rey Steve Palacay Balatico</t>
  </si>
  <si>
    <t>NEOPOLO JR. LACSON MANALOTO</t>
  </si>
  <si>
    <t>Ronald Bangcaya</t>
  </si>
  <si>
    <t>Eric Torres Tejada</t>
  </si>
  <si>
    <t>MARIELLE SANDRA GAVIOLA</t>
  </si>
  <si>
    <t>ERLINDA DOMINGUEZ LANTIN</t>
  </si>
  <si>
    <t>CRISPIN AUSTRIA BATAC</t>
  </si>
  <si>
    <t>Rhodeliza De Villa Penarroyo</t>
  </si>
  <si>
    <t>Resette Hernandez Razon</t>
  </si>
  <si>
    <t>JOANN MANSILLA TACUYAN</t>
  </si>
  <si>
    <t>Ronnie L Gutierrez</t>
  </si>
  <si>
    <t>Gina Fesalbon Torrechiva</t>
  </si>
  <si>
    <t>Restituto Busbos Bautista</t>
  </si>
  <si>
    <t>Mariano Bea Vargas</t>
  </si>
  <si>
    <t>John Albert Odi Diaz</t>
  </si>
  <si>
    <t>Joemel Bolongaita Recamara</t>
  </si>
  <si>
    <t>Vincent C. Dasmariñas</t>
  </si>
  <si>
    <t>ADELAIDA LATADE MALABUYOC</t>
  </si>
  <si>
    <t>Edwin L Diesto</t>
  </si>
  <si>
    <t>Lexter Gaite Alfonga</t>
  </si>
  <si>
    <t>Mary Grace L. Romero</t>
  </si>
  <si>
    <t>Ernani B. Añonuevo</t>
  </si>
  <si>
    <t>Edward Miguel Juanito</t>
  </si>
  <si>
    <t>Hanz Willbur Domondon Quebral</t>
  </si>
  <si>
    <t>Abigail Madarang</t>
  </si>
  <si>
    <t>Joshua Mari Jareño</t>
  </si>
  <si>
    <t>Mariole Bulat-ag Ramirez</t>
  </si>
  <si>
    <t>CHARISMA ALLAPITAN BARUT</t>
  </si>
  <si>
    <t>Jonathan Bajo Ramos</t>
  </si>
  <si>
    <t>Norma Desiderio</t>
  </si>
  <si>
    <t>Wynzel Jagolina  Quiros</t>
  </si>
  <si>
    <t>Joan Margarette A Yap</t>
  </si>
  <si>
    <t>Beato Bandoquillo Balderrama</t>
  </si>
  <si>
    <t>Lilane Mejillano Nuñez</t>
  </si>
  <si>
    <t>Brenda R. Morales</t>
  </si>
  <si>
    <t>Criselda D. Bacatano</t>
  </si>
  <si>
    <t>Angelina R Villanoy</t>
  </si>
  <si>
    <t>Jorge C Catilo</t>
  </si>
  <si>
    <t>JOEDDIE MAE T. CUATON</t>
  </si>
  <si>
    <t>Florian Agcopra Labiano</t>
  </si>
  <si>
    <t>VIOLETA V JAVAR</t>
  </si>
  <si>
    <t>Rodel Carmelo Mabination</t>
  </si>
  <si>
    <t>CLARO SENTINA SERVENTO</t>
  </si>
  <si>
    <t>Ariel E Fangonilo</t>
  </si>
  <si>
    <t>JENELYN DALANGIN</t>
  </si>
  <si>
    <t>Leni De Guzman Enriquez</t>
  </si>
  <si>
    <t>Rico L. Navarro</t>
  </si>
  <si>
    <t>William Fernandez Bendal</t>
  </si>
  <si>
    <t>Romaliza Pinas Carreon</t>
  </si>
  <si>
    <t>Sherelyn Trias Laquindanum</t>
  </si>
  <si>
    <t>Delfin Delinea</t>
  </si>
  <si>
    <t>Jonathan Ramos Viernes</t>
  </si>
  <si>
    <t>Richie Fabonan Fadriquela</t>
  </si>
  <si>
    <t>ROSEMARIE PANAGUE PAGENTE</t>
  </si>
  <si>
    <t>Atty. Raymundo Badang Bautista Jr.</t>
  </si>
  <si>
    <t>Gerald Alday Pacanan</t>
  </si>
  <si>
    <t>Teofilo B. Ferolin, Sr.</t>
  </si>
  <si>
    <t>Linalyn Tolentino - Cueto</t>
  </si>
  <si>
    <t>FREDDIE C. BENDULO</t>
  </si>
  <si>
    <t>LITO APDIAN CADORNA</t>
  </si>
  <si>
    <t>Marilyn Cruz Santella</t>
  </si>
  <si>
    <t>Helen Pulmano Mabini</t>
  </si>
  <si>
    <t>MA. PATRICE VALMONTE YGNACIO</t>
  </si>
  <si>
    <t>Tomas Blaya Matildo</t>
  </si>
  <si>
    <t>CHARYMELLE O FORONDA</t>
  </si>
  <si>
    <t>WALTER L. RUIZO</t>
  </si>
  <si>
    <t>Paula Bianca de Mesa</t>
  </si>
  <si>
    <t>ROSELLER CABATINGAN AMOR</t>
  </si>
  <si>
    <t>Marlon L. Aguirre</t>
  </si>
  <si>
    <t>Elaine L. Abdurani</t>
  </si>
  <si>
    <t>NATHANIEL B. GERTOS</t>
  </si>
  <si>
    <t>HENRY B CALUDUCAN</t>
  </si>
  <si>
    <t>Elloisa Blanco Perez</t>
  </si>
  <si>
    <t>Maria Gina Rosales Carino</t>
  </si>
  <si>
    <t>MARIA THERESA LOZADA PITALLANO</t>
  </si>
  <si>
    <t>JERELA BIELLE AMERNA AUSTRIA</t>
  </si>
  <si>
    <t>Dennis G Varon</t>
  </si>
  <si>
    <t>Geoffrey P. Villahermosa</t>
  </si>
  <si>
    <t>Fernando De Guzman Cruz</t>
  </si>
  <si>
    <t>MARINEL LAROSA</t>
  </si>
  <si>
    <t>GARRY BOY PARAGUA BAUTISTA</t>
  </si>
  <si>
    <t>Mechel S. Ronquillo</t>
  </si>
  <si>
    <t>Gallardo G Guerrero</t>
  </si>
  <si>
    <t>Noli C. Discaya, Jr.</t>
  </si>
  <si>
    <t>Ronnie Carpio</t>
  </si>
  <si>
    <t>Mellany Millano Amaranto</t>
  </si>
  <si>
    <t>JOSE NIRO R NILLASCA</t>
  </si>
  <si>
    <t>MARILYN MILLARES MAGPANTAY</t>
  </si>
  <si>
    <t>Joybeth Delfin Sabino</t>
  </si>
  <si>
    <t>Balingit F. Billy</t>
  </si>
  <si>
    <t>Florinda Z Babilonia</t>
  </si>
  <si>
    <t>ASHER ITHAMAR BAGOL ALLUNAR</t>
  </si>
  <si>
    <t>ATTY. ADELITO M. SOLIBAGA, JR.</t>
  </si>
  <si>
    <t>Marissa Gertos</t>
  </si>
  <si>
    <t>ELENA GUINGAB SUAREZ</t>
  </si>
  <si>
    <t>Virgie N Bartonico</t>
  </si>
  <si>
    <t>Teresa A. Macapanas</t>
  </si>
  <si>
    <t>Norma Bandria Bayoneta</t>
  </si>
  <si>
    <t>Felyn Fille Paco</t>
  </si>
  <si>
    <t>Apollo Gamboa Gariando</t>
  </si>
  <si>
    <t>Jesus A Madrilejos</t>
  </si>
  <si>
    <t>Jessica R. Narit/ Julia Marie L. Abarca/ Erwin S. Aban</t>
  </si>
  <si>
    <t>Neil  L.  Asuelo</t>
  </si>
  <si>
    <t>Arjean Villacorta Jumamoy</t>
  </si>
  <si>
    <t>VALENTE MICLAT HALILI</t>
  </si>
  <si>
    <t>Aylene S. Belleza</t>
  </si>
  <si>
    <t>VOLTAIRE S EGNORA, MD.</t>
  </si>
  <si>
    <t>Crestita Javar Saguisa</t>
  </si>
  <si>
    <t>Almond Garalde Leaño</t>
  </si>
  <si>
    <t>Nemesio H Davalos</t>
  </si>
  <si>
    <t>Joseph Villa Echalas</t>
  </si>
  <si>
    <t>Venus V Timpug</t>
  </si>
  <si>
    <t>MICHAEL ANDREW QUIROGA FRIAS</t>
  </si>
  <si>
    <t>Jaime Hervilla Mahimpit</t>
  </si>
  <si>
    <t>Leonarda Salazar Cojito</t>
  </si>
  <si>
    <t>Roweiji F. Bautista</t>
  </si>
  <si>
    <t>HERMINIA D. ESPEJO</t>
  </si>
  <si>
    <t>JARRATUL  SABARA  RADJID</t>
  </si>
  <si>
    <t>NIDA BLASCO MIÑOZA</t>
  </si>
  <si>
    <t>KAREN FAYE CHAVEZ</t>
  </si>
  <si>
    <t>Jerose B. Cotorno</t>
  </si>
  <si>
    <t>John Moses Bulahan Aposaga</t>
  </si>
  <si>
    <t>ronvie pangilinan masangya</t>
  </si>
  <si>
    <t>Marinelle Marquez Rubico</t>
  </si>
  <si>
    <t>Fe Jennifer V. Yaranon</t>
  </si>
  <si>
    <t>Zammuel Arellano Bernales</t>
  </si>
  <si>
    <t>Rebecca Echague Nogales</t>
  </si>
  <si>
    <t>Helen A. Cabarles</t>
  </si>
  <si>
    <t>Arnaldo Panis Vallesfino</t>
  </si>
  <si>
    <t>RODOLFO JR. MACASPAC NUSUG</t>
  </si>
  <si>
    <t>ROMELYN GERALLA YEE</t>
  </si>
  <si>
    <t>Maria Cristina I. Canson</t>
  </si>
  <si>
    <t>Sio King Sy Aurea</t>
  </si>
  <si>
    <t>Marites Cueto Borbon</t>
  </si>
  <si>
    <t>Melinda D Deyto</t>
  </si>
  <si>
    <t>Sheila Mae T.  Toyorada</t>
  </si>
  <si>
    <t>Jean L. Anunsaon</t>
  </si>
  <si>
    <t>Danilo Bron Alamil</t>
  </si>
  <si>
    <t>Christine Canceran</t>
  </si>
  <si>
    <t>MA. GLORIA GELI SORRERA</t>
  </si>
  <si>
    <t>ANTONIO  C.  VALE</t>
  </si>
  <si>
    <t>Rommel Leo Saballo Rodegerio</t>
  </si>
  <si>
    <t>Kem Berly  C. Abio</t>
  </si>
  <si>
    <t>Vanessa Gumop-as Rillo</t>
  </si>
  <si>
    <t>DONNA COMPANIA DELOTINA</t>
  </si>
  <si>
    <t>REYNALD V. SAMBRANO</t>
  </si>
  <si>
    <t>Sarah Jenn R. San Blas</t>
  </si>
  <si>
    <t>Marcelino D. Fernandez</t>
  </si>
  <si>
    <t>Serafito Torio Celis</t>
  </si>
  <si>
    <t>LOUIE GRACE P. ALVIOR</t>
  </si>
  <si>
    <t>Adam  V. Ramilo</t>
  </si>
  <si>
    <t>John B Magbanua</t>
  </si>
  <si>
    <t>Rodel O. Serrano</t>
  </si>
  <si>
    <t>Abner  R.  Formento</t>
  </si>
  <si>
    <t>Feliciano Jr. Maddawin Galupo</t>
  </si>
  <si>
    <t>MARL PHILIP YAMSUAN CACHERO</t>
  </si>
  <si>
    <t>Myrna B Vergara</t>
  </si>
  <si>
    <t>Joan DM Vendiola</t>
  </si>
  <si>
    <t>Eugene C Miguel</t>
  </si>
  <si>
    <t>Angelica Manzano Pellien</t>
  </si>
  <si>
    <t>HERMILA D LAMBAN</t>
  </si>
  <si>
    <t>EUGENE IGNACIO</t>
  </si>
  <si>
    <t>Jayson Barbara Florendo</t>
  </si>
  <si>
    <t>Elena Cotcot Rosario</t>
  </si>
  <si>
    <t>Eddie cabacungan Acosta</t>
  </si>
  <si>
    <t>MICHAEL F. LAGUIO</t>
  </si>
  <si>
    <t>MARY GRACE BUCASAS OPON</t>
  </si>
  <si>
    <t>Amenodin Taher Arinza</t>
  </si>
  <si>
    <t>Cyde Dionaldo Gatpandan</t>
  </si>
  <si>
    <t>JOEY L. VILLARINO</t>
  </si>
  <si>
    <t>Eva Marie Domingo</t>
  </si>
  <si>
    <t>Herminio Aca-ac</t>
  </si>
  <si>
    <t>Gloria L. Duga</t>
  </si>
  <si>
    <t>REDEMCION M. DE LEON</t>
  </si>
  <si>
    <t>Engr. Lloyd Daligdig Baconguis</t>
  </si>
  <si>
    <t>JEANNE V. BAUZON</t>
  </si>
  <si>
    <t>Melvin B. Arevalo</t>
  </si>
  <si>
    <t>Edwin Francisco Argonza</t>
  </si>
  <si>
    <t>Alger F Lamprea</t>
  </si>
  <si>
    <t>Merlita Mangalonzo Regonda</t>
  </si>
  <si>
    <t>Anthony Reduta Macayan</t>
  </si>
  <si>
    <t>Vanessa A Dela Torre</t>
  </si>
  <si>
    <t>NIDA COFUENTES PALACIO</t>
  </si>
  <si>
    <t>CANDIDO ALFRED II AZARES BANCORO</t>
  </si>
  <si>
    <t>Catherine C Pizarra</t>
  </si>
  <si>
    <t>LIZA RIPALDA</t>
  </si>
  <si>
    <t>JOAN SANTIANEZ BENEDICTO</t>
  </si>
  <si>
    <t>MARY MEDIATRIX BAYER ARROYO</t>
  </si>
  <si>
    <t>Arnold C Ligaya</t>
  </si>
  <si>
    <t>Noel P Baldueza</t>
  </si>
  <si>
    <t>ANTONIO L. PAR</t>
  </si>
  <si>
    <t>Clark Wendell P Lising</t>
  </si>
  <si>
    <t>Annavie Bacomo Lapitan</t>
  </si>
  <si>
    <t>Winelyn Lagurin Gibe</t>
  </si>
  <si>
    <t>CAROLINA C. UMIPIG</t>
  </si>
  <si>
    <t>Alexander O. Lala</t>
  </si>
  <si>
    <t>Marie Ann Cristobal Leoncio</t>
  </si>
  <si>
    <t>Maria Magnaye Matawaran</t>
  </si>
  <si>
    <t>DAISY R. BABAAN</t>
  </si>
  <si>
    <t>Violeta Mata</t>
  </si>
  <si>
    <t>PETER S MALALUAN</t>
  </si>
  <si>
    <t>Catherine G. Santos</t>
  </si>
  <si>
    <t>Maximo Dela Cerna Bragat</t>
  </si>
  <si>
    <t>Aldwin  Alcantara  Carandang</t>
  </si>
  <si>
    <t>HILARION TACAISAN DUBRIA, JR.</t>
  </si>
  <si>
    <t>Juanito Refugio Gonzales</t>
  </si>
  <si>
    <t>Raymundo Almariego Sosa</t>
  </si>
  <si>
    <t>SHEENA JOY MALBAS</t>
  </si>
  <si>
    <t>CRISTINE  CABATON QUILLAMOR</t>
  </si>
  <si>
    <t>Grace G Asis</t>
  </si>
  <si>
    <t>Herbie B De Lemios</t>
  </si>
  <si>
    <t>Colleen  Ferrer  Dilla</t>
  </si>
  <si>
    <t>ROSELYN ANN R. BAGASOL</t>
  </si>
  <si>
    <t>Lilian  Pacamalan  Uy</t>
  </si>
  <si>
    <t>Carlota Tolentino Caluducan</t>
  </si>
  <si>
    <t>RICHARD  SALCEDO  IBARRA</t>
  </si>
  <si>
    <t>Levi P. Baldonado</t>
  </si>
  <si>
    <t>Rhazel C. Rigoroso</t>
  </si>
  <si>
    <t>Irene Cuestas Monden</t>
  </si>
  <si>
    <t>Khalid Barazar Kapampangan</t>
  </si>
  <si>
    <t>GENIE-ANN TOLENTINO SANTOS</t>
  </si>
  <si>
    <t>Napol Domenden Mercurio</t>
  </si>
  <si>
    <t>Jaypee Villanueva Patricio</t>
  </si>
  <si>
    <t>LENI ROCHA RIOFLORIDO</t>
  </si>
  <si>
    <t>Nemesio M. Frigillana</t>
  </si>
  <si>
    <t>Laurence Joseph Reyes Tadiar</t>
  </si>
  <si>
    <t>Christian  Salcedo  Serrano</t>
  </si>
  <si>
    <t>Marie Jagon</t>
  </si>
  <si>
    <t>Juliet Agpay Cayanan</t>
  </si>
  <si>
    <t>Edelito Aniñon</t>
  </si>
  <si>
    <t>JAIME G. JALON</t>
  </si>
  <si>
    <t>Ariel V. Aguirre</t>
  </si>
  <si>
    <t>May Grace Alvaro Palicdon</t>
  </si>
  <si>
    <t>Ivy C. Huertas</t>
  </si>
  <si>
    <t>Abigail Tabadero Alemania</t>
  </si>
  <si>
    <t>Merlinda Rojas De la Torre</t>
  </si>
  <si>
    <t>LEONIDES BERCASIO ESPERON</t>
  </si>
  <si>
    <t>Shiela Narbarte Domondon</t>
  </si>
  <si>
    <t>Maxnolie C. Legarse</t>
  </si>
  <si>
    <t>Jonefe Gomez Ocasla</t>
  </si>
  <si>
    <t>Peter Bautista</t>
  </si>
  <si>
    <t>Eduardo T. Yu</t>
  </si>
  <si>
    <t>Robert Monis Aliga</t>
  </si>
  <si>
    <t>JANE MACATANGAY LUCE</t>
  </si>
  <si>
    <t>Joseph S. Valderrama</t>
  </si>
  <si>
    <t>Rhandy D. Domingo</t>
  </si>
  <si>
    <t>Roland Esporma Parina</t>
  </si>
  <si>
    <t>Avel Villamor Nunez</t>
  </si>
  <si>
    <t>Percy Gonzales Salazar</t>
  </si>
  <si>
    <t>Lucylisa C. Pilapil</t>
  </si>
  <si>
    <t>Jersam Bangcot</t>
  </si>
  <si>
    <t>Ernesto Garcia Escoto</t>
  </si>
  <si>
    <t>Elreen Sijera Villanueva</t>
  </si>
  <si>
    <t>Rachelle De Guzman Agpoon</t>
  </si>
  <si>
    <t>Lourdes Pretencio Peñaflor</t>
  </si>
  <si>
    <t>Nila A Tiago</t>
  </si>
  <si>
    <t>MILROSE  L OMADLE</t>
  </si>
  <si>
    <t>EDNA B. LACSON</t>
  </si>
  <si>
    <t>Noli D. Padagdag</t>
  </si>
  <si>
    <t>SHEILA B DE LEON</t>
  </si>
  <si>
    <t>michelle ramos salamat</t>
  </si>
  <si>
    <t>Gladys Angit Abarabar</t>
  </si>
  <si>
    <t>VENN WEIR SIPALAY AÑONUEVO</t>
  </si>
  <si>
    <t>Ailleen Melody Enguerra Alya-On</t>
  </si>
  <si>
    <t>Jever Catalan Vargas</t>
  </si>
  <si>
    <t>ROBERTO MARCELINO GREGORE</t>
  </si>
  <si>
    <t>Roselito Maningas Bautista</t>
  </si>
  <si>
    <t>ROMEO LIMA GADIN</t>
  </si>
  <si>
    <t>Mary Joy C. San Buenaventura</t>
  </si>
  <si>
    <t>RONALD  C.  BAUTISTA</t>
  </si>
  <si>
    <t>Melanio B. De vera</t>
  </si>
  <si>
    <t>PEREGRINA ERONICO CAROSUS</t>
  </si>
  <si>
    <t>Maribel Castillo Botavara</t>
  </si>
  <si>
    <t>Marilyn Macawili Torena</t>
  </si>
  <si>
    <t>Marinell R. Galang</t>
  </si>
  <si>
    <t>Venus C. Solano</t>
  </si>
  <si>
    <t>Erlinda M. Cases</t>
  </si>
  <si>
    <t>Cheryl Escoro Ortiz</t>
  </si>
  <si>
    <t>Ryan Bartolome</t>
  </si>
  <si>
    <t>Joann Liezel Bongat</t>
  </si>
  <si>
    <t>Niña Aniñon Asis</t>
  </si>
  <si>
    <t>ERVIN PAGE SALANG</t>
  </si>
  <si>
    <t>Virgilio A Abonador</t>
  </si>
  <si>
    <t>Lucila G De Ocampo</t>
  </si>
  <si>
    <t>EMMANUEL OBINA</t>
  </si>
  <si>
    <t>JOEL DALMACIA SUMAWANG</t>
  </si>
  <si>
    <t>Patricio  Nablo</t>
  </si>
  <si>
    <t>Ruben G Harayo</t>
  </si>
  <si>
    <t>KATHRYN SANTIC ASUNCION</t>
  </si>
  <si>
    <t>Annie Burgos Camacho</t>
  </si>
  <si>
    <t>RONAMAE ROBIN CANOY</t>
  </si>
  <si>
    <t>Chinalyn Dakiwag Rivera</t>
  </si>
  <si>
    <t>Aileen Catidas</t>
  </si>
  <si>
    <t>MARTINA B. ROSALES</t>
  </si>
  <si>
    <t>Loreta C Salgado</t>
  </si>
  <si>
    <t>Ruby Dedace Abriol</t>
  </si>
  <si>
    <t>Lily Saltarin Hermogino</t>
  </si>
  <si>
    <t>Aurea Adrados</t>
  </si>
  <si>
    <t>JAMES REYES DOLOROSO</t>
  </si>
  <si>
    <t>RESTITUTO PRIVADO VILORIA</t>
  </si>
  <si>
    <t>WINEFREDO ALORO HERMANO</t>
  </si>
  <si>
    <t>Melinda  Mauricio Javier</t>
  </si>
  <si>
    <t>Arundale Gum-u Immoliap Bunnag</t>
  </si>
  <si>
    <t>Marjorie Munar Cabacungan</t>
  </si>
  <si>
    <t>Peter  S.  Sobrevega</t>
  </si>
  <si>
    <t>Arlyn Gabriel Basbas</t>
  </si>
  <si>
    <t>EDELYN JIMENEZ IGLESIA</t>
  </si>
  <si>
    <t>Paul Francis Sarmiento Tomimbang</t>
  </si>
  <si>
    <t>Maricris S. Cabanayan</t>
  </si>
  <si>
    <t>MARIA LIZA GENADA RULL</t>
  </si>
  <si>
    <t>Duannie Chico Gonzales</t>
  </si>
  <si>
    <t>CONRADO TAWAGIN ALFUERTO</t>
  </si>
  <si>
    <t>BENIGNO BAUTISTA SALAZAR</t>
  </si>
  <si>
    <t>Dandy T Solas</t>
  </si>
  <si>
    <t>WENDEL BODIOLA DERUBIO</t>
  </si>
  <si>
    <t>DIONISIO TORIBIO GOMANTI COSTES</t>
  </si>
  <si>
    <t>Isagani J. Moso</t>
  </si>
  <si>
    <t>ISABEL MASAGCA ENCISO</t>
  </si>
  <si>
    <t>MA. EILEEN A. BERDEPRADO</t>
  </si>
  <si>
    <t>Nida ? Dalida</t>
  </si>
  <si>
    <t>Jeffrey Asuncion Rabanal</t>
  </si>
  <si>
    <t>Melvin Ortega Cejas</t>
  </si>
  <si>
    <t>Julie Fe B. Balais</t>
  </si>
  <si>
    <t>Mary Grace B. Dulnuan</t>
  </si>
  <si>
    <t>Dennis Capito Caballes</t>
  </si>
  <si>
    <t>PHIEGY GONZALES PANGANIBAN</t>
  </si>
  <si>
    <t>KRISTEL GEM QUIANO MANGANAAN</t>
  </si>
  <si>
    <t>Isaias, Sr. Tulio Bigol</t>
  </si>
  <si>
    <t>Michael Lood Astillero</t>
  </si>
  <si>
    <t>Rizza Villena Dalisay</t>
  </si>
  <si>
    <t>Mayette Casaysayan</t>
  </si>
  <si>
    <t>Liwayway De Guzman Pangilinan</t>
  </si>
  <si>
    <t>Armando Bañaga Uluan</t>
  </si>
  <si>
    <t>PRUDENCIO EGSAN NOCELO, JR.</t>
  </si>
  <si>
    <t>Virgilio Bullen Damasing</t>
  </si>
  <si>
    <t>MARITES MABORRANG TOPIA</t>
  </si>
  <si>
    <t>Arlyn Autencio Romaquin</t>
  </si>
  <si>
    <t>Ivy Joy L. Castro</t>
  </si>
  <si>
    <t>Roderick D. Diputado</t>
  </si>
  <si>
    <t>Hurdy F Denosta</t>
  </si>
  <si>
    <t>SUSANA  CABIGAO DELA ROSA</t>
  </si>
  <si>
    <t>Raymond Lopez Cruz</t>
  </si>
  <si>
    <t>Alejandro Polestico Auxtero</t>
  </si>
  <si>
    <t>Danilo Rutaquio Almacen</t>
  </si>
  <si>
    <t>JEORGE ARIOLA TOMAS</t>
  </si>
  <si>
    <t>Anne Nicole Cabiles</t>
  </si>
  <si>
    <t>Eugenio Gallo Reyes</t>
  </si>
  <si>
    <t>Adrian Magcamit Aguilar</t>
  </si>
  <si>
    <t>Celedonio Jerson  Villanueva  Bonayon</t>
  </si>
  <si>
    <t>John Carl F Lodevico</t>
  </si>
  <si>
    <t>Ariel M Galita</t>
  </si>
  <si>
    <t>Elmer Rama Malayo</t>
  </si>
  <si>
    <t>JONATHAN R. HIJADA</t>
  </si>
  <si>
    <t>Reynaldo Diamante Guillergan</t>
  </si>
  <si>
    <t>Rodolfo Maano Cipriano</t>
  </si>
  <si>
    <t>Irene Grace Badua Pajarillo</t>
  </si>
  <si>
    <t>jenny rose zapanta egama</t>
  </si>
  <si>
    <t>Pocholo Hernandez</t>
  </si>
  <si>
    <t>Elisheba Pocong Sabandal</t>
  </si>
  <si>
    <t>Erwin Mendoza Punzalan</t>
  </si>
  <si>
    <t>NIÑO L. SUSA</t>
  </si>
  <si>
    <t>Rosalie  A. Pelle</t>
  </si>
  <si>
    <t>Maria Teresa Nuena Labrador</t>
  </si>
  <si>
    <t>Julieta C Romen</t>
  </si>
  <si>
    <t>Reyvelino Benigno Apongol</t>
  </si>
  <si>
    <t>Cerilo  L  Cabania</t>
  </si>
  <si>
    <t>RONALD R BASCO</t>
  </si>
  <si>
    <t>Teofilo, Jr. Rostata Gervacio</t>
  </si>
  <si>
    <t>Yessa Casuncad</t>
  </si>
  <si>
    <t>Magilyn O. Azarcon</t>
  </si>
  <si>
    <t>Priscila R. Rolluqui</t>
  </si>
  <si>
    <t>ANGELITA A RETARDO</t>
  </si>
  <si>
    <t>MA. CECILIA REYES POTESTADES</t>
  </si>
  <si>
    <t>Kim Rhoa Delos Santos</t>
  </si>
  <si>
    <t>John Reil Lomerio Gutierrez</t>
  </si>
  <si>
    <t>Cristina Rico Tabunda</t>
  </si>
  <si>
    <t>FRANCIS UTRAM DELA CRUZ</t>
  </si>
  <si>
    <t>Alicia A. Cruz</t>
  </si>
  <si>
    <t>Angel Jr. Dacuycuy Morales</t>
  </si>
  <si>
    <t>Evelyn Escaner</t>
  </si>
  <si>
    <t>Leticia O. Clemente</t>
  </si>
  <si>
    <t>Joseph Bustamante Calvo</t>
  </si>
  <si>
    <t>Noemi San Miguel Yanga</t>
  </si>
  <si>
    <t>ANISA  EMAN</t>
  </si>
  <si>
    <t>Gilmer  R. Manguera</t>
  </si>
  <si>
    <t>Krizza Mapalad Payonga</t>
  </si>
  <si>
    <t>Victoria Espanola</t>
  </si>
  <si>
    <t>JAYCIBETH TUNAC RAMIREZ</t>
  </si>
  <si>
    <t>Anita Pardigo</t>
  </si>
  <si>
    <t>Patrick Bayona Gimeno</t>
  </si>
  <si>
    <t>Edwin Vergel De Dios David</t>
  </si>
  <si>
    <t>Anna Marie Bongay</t>
  </si>
  <si>
    <t>Ma. Teresa  Panuda Ansino</t>
  </si>
  <si>
    <t>Yanny F. Pinera</t>
  </si>
  <si>
    <t>Isabelita Barzaga</t>
  </si>
  <si>
    <t>Edgar Bumanglag Llapitan</t>
  </si>
  <si>
    <t>Emylyn Carpila Casipong</t>
  </si>
  <si>
    <t>FREDDIE MAGBATO ARETANO</t>
  </si>
  <si>
    <t>Edvil Urbiztondo Trillanes</t>
  </si>
  <si>
    <t>Gloria  Cura</t>
  </si>
  <si>
    <t>jingo ong severino</t>
  </si>
  <si>
    <t>RM ASES AZUELO ORTEGA</t>
  </si>
  <si>
    <t>Asaria P Cañal</t>
  </si>
  <si>
    <t>Govanne Marie Agudo</t>
  </si>
  <si>
    <t>EDSON III CASTRO TANDOC</t>
  </si>
  <si>
    <t>Glenn Patrick A. Leynes</t>
  </si>
  <si>
    <t>Alvin P. Justo</t>
  </si>
  <si>
    <t>Lara Mae Dente Pares</t>
  </si>
  <si>
    <t>Ian Luis C Aguila</t>
  </si>
  <si>
    <t>Ma. Emelene P. Coquilla</t>
  </si>
  <si>
    <t>Amelia C. Villanueva</t>
  </si>
  <si>
    <t>REY GONZALES BAUTISTA</t>
  </si>
  <si>
    <t>Richard Pandita Sanlocan</t>
  </si>
  <si>
    <t>WILLIAM B. NONOG</t>
  </si>
  <si>
    <t>TESSIE A ELIZALDE</t>
  </si>
  <si>
    <t>Hazel F Gloria</t>
  </si>
  <si>
    <t>Mariel De Vera Mohammad-Sali</t>
  </si>
  <si>
    <t>Delwin  Dalubajan  Dagook</t>
  </si>
  <si>
    <t>ROGER T. SEVILLA</t>
  </si>
  <si>
    <t>Eddie Crisologo</t>
  </si>
  <si>
    <t>Dominador V Sauro</t>
  </si>
  <si>
    <t>Rowena Pavillar Bulfa</t>
  </si>
  <si>
    <t>Edwin Tan Chan</t>
  </si>
  <si>
    <t>Antonio F. Espanol</t>
  </si>
  <si>
    <t>Nelson Miranda Bautista</t>
  </si>
  <si>
    <t>Vincent Ian Mejia Malijan</t>
  </si>
  <si>
    <t>NANCY CABALLERO</t>
  </si>
  <si>
    <t>NIEVES HOSENA FIGUEROA</t>
  </si>
  <si>
    <t>Evelyn Valenzuela Manuguid</t>
  </si>
  <si>
    <t>Franco Torrion Alampangan</t>
  </si>
  <si>
    <t>ROWENA  VILLALUZ  RAMOS</t>
  </si>
  <si>
    <t>Gina Tañedo Argosino</t>
  </si>
  <si>
    <t>PEDERITO BERSABE GUIANAN</t>
  </si>
  <si>
    <t>Joey John PINOTE Omoso</t>
  </si>
  <si>
    <t>Guillermo Israel Modino</t>
  </si>
  <si>
    <t>DEMOSTHENES SALINDATO BLANCO</t>
  </si>
  <si>
    <t>Nestor Bulay-og Napune</t>
  </si>
  <si>
    <t>Mario Sr. P. Tumale</t>
  </si>
  <si>
    <t>Rhea Valmadrid</t>
  </si>
  <si>
    <t>carina unira rocamora</t>
  </si>
  <si>
    <t>Wilma Bumagat Policarpio</t>
  </si>
  <si>
    <t>Marilen L Santiago</t>
  </si>
  <si>
    <t>Plaridel Agustin Uao</t>
  </si>
  <si>
    <t>Helen B. Olaer</t>
  </si>
  <si>
    <t>novenia viloria</t>
  </si>
  <si>
    <t>enrico e. bilog</t>
  </si>
  <si>
    <t>Ramon Christopher Alon</t>
  </si>
  <si>
    <t>PAMELA AMOR ACTUB RAMOS</t>
  </si>
  <si>
    <t>Mark Anthony  Abalde  Alas</t>
  </si>
  <si>
    <t>Rita Grace Alviar Pascua</t>
  </si>
  <si>
    <t>nelson lique</t>
  </si>
  <si>
    <t>Andy G Matula</t>
  </si>
  <si>
    <t>Felicisima Capistrano Balasabas</t>
  </si>
  <si>
    <t>David B. Reyes, Jr.</t>
  </si>
  <si>
    <t>merle c. amante</t>
  </si>
  <si>
    <t>VIRGINITA SARAPANAN SALCEDO</t>
  </si>
  <si>
    <t xml:space="preserve">ANTHONY  BENOZA </t>
  </si>
  <si>
    <t>SHERLITA ARIÑO PALMA</t>
  </si>
  <si>
    <t>ARNOLD B DAGASUHAN</t>
  </si>
  <si>
    <t>GABRIEL FEÑUNES FLORES</t>
  </si>
  <si>
    <t>DIONISIO WALAWAD LINDUGAN</t>
  </si>
  <si>
    <t>Amabe Amanse Dela Cruz</t>
  </si>
  <si>
    <t>Zenaida C Bautista</t>
  </si>
  <si>
    <t>Maria Rizza Mae  R.  Mabaquiao</t>
  </si>
  <si>
    <t>Marina P. Cayabo</t>
  </si>
  <si>
    <t>Marc Justin A Arzadon</t>
  </si>
  <si>
    <t>Jennifer Ducusin Flores</t>
  </si>
  <si>
    <t>Alvi R Valle</t>
  </si>
  <si>
    <t>Arsenia Morcoso Ordiales</t>
  </si>
  <si>
    <t>Danilo Ragudo Rafanan</t>
  </si>
  <si>
    <t>RUBY ALAG BRIONES</t>
  </si>
  <si>
    <t>Cesah Jane Pillodar Napalla</t>
  </si>
  <si>
    <t>Eduardo Vila Visitacion</t>
  </si>
  <si>
    <t>desiree mariano macayan</t>
  </si>
  <si>
    <t>Rufino Aguinaldo Aguada</t>
  </si>
  <si>
    <t>Jose Jacinto B Antonio</t>
  </si>
  <si>
    <t>Joannarie V. Bantolo</t>
  </si>
  <si>
    <t>ATTY. NICHOLAS S. MARASIGAN</t>
  </si>
  <si>
    <t>RONALD M. PERALTA</t>
  </si>
  <si>
    <t>Enjill Grace R. Subillaga</t>
  </si>
  <si>
    <t>Jessa Mae Endraca Sulpico</t>
  </si>
  <si>
    <t>JUANALY OLARTE LACAL</t>
  </si>
  <si>
    <t>Aracel Santos</t>
  </si>
  <si>
    <t>Victor Y Romano</t>
  </si>
  <si>
    <t>DOMINADOR V. DILLERA</t>
  </si>
  <si>
    <t>JOSEPH A. BUNAN</t>
  </si>
  <si>
    <t>Jerome Bardoquillo Ramirez</t>
  </si>
  <si>
    <t>Armando Subiel Dumas</t>
  </si>
  <si>
    <t>ROLITO FLORES</t>
  </si>
  <si>
    <t>Herma Taghap Paragsa</t>
  </si>
  <si>
    <t>MARICHELLE D. FERRER</t>
  </si>
  <si>
    <t>JERAMIL U. AYOC</t>
  </si>
  <si>
    <t>Maria Alma O Almazan</t>
  </si>
  <si>
    <t>Joresel Lara Coronado</t>
  </si>
  <si>
    <t>ARTHUR  C.  DELA PENA</t>
  </si>
  <si>
    <t>Catherine Juntarciego Nomananap</t>
  </si>
  <si>
    <t>Analie Vidal Estilo</t>
  </si>
  <si>
    <t>Melleth D Miole</t>
  </si>
  <si>
    <t>Edna Cabunoc Sison</t>
  </si>
  <si>
    <t>Adriel S. Dacara</t>
  </si>
  <si>
    <t>Robert M Valles</t>
  </si>
  <si>
    <t>Joehar Sencio Salahuddin</t>
  </si>
  <si>
    <t>Cereal Nicdao Sadsad</t>
  </si>
  <si>
    <t>JANICE MAY ARCONES SERASPE</t>
  </si>
  <si>
    <t>JOEL ARROYO SANTES</t>
  </si>
  <si>
    <t>Lorena Garces Laud</t>
  </si>
  <si>
    <t>Hermelo Gooc Sorronda</t>
  </si>
  <si>
    <t>MERLITA DUQUE LIRAZAN</t>
  </si>
  <si>
    <t>MA. NEOFITA S. TUAZON</t>
  </si>
  <si>
    <t>Randy G. Bacsa</t>
  </si>
  <si>
    <t>Krystal Eleni Bulatete Tabernero</t>
  </si>
  <si>
    <t>Cecilia Notario Jumawan</t>
  </si>
  <si>
    <t>Cristina Manalo Bajado</t>
  </si>
  <si>
    <t>NACIANCINA SIONG CATUBIG</t>
  </si>
  <si>
    <t>Jose Alcantara Clarion, Jr.</t>
  </si>
  <si>
    <t>PADILLA A. MACAWADIB</t>
  </si>
  <si>
    <t>Flore Fe Polega</t>
  </si>
  <si>
    <t>Ma. Wiena Lofranco Saguid</t>
  </si>
  <si>
    <t>Pee Jay Bernardo Chiapoco</t>
  </si>
  <si>
    <t>Sergio De Guzman Ramirez</t>
  </si>
  <si>
    <t>Angelina M De Vera</t>
  </si>
  <si>
    <t>Vina Liza Ruth Cabrera</t>
  </si>
  <si>
    <t>Glenda C. Concepcion</t>
  </si>
  <si>
    <t>Gregorio L. Obial Jr</t>
  </si>
  <si>
    <t>Reniza L Abellera</t>
  </si>
  <si>
    <t>Bernadette Sanchez Ragay</t>
  </si>
  <si>
    <t>ROBERT HULIGANGA LARANANG</t>
  </si>
  <si>
    <t>Alfonso Stagen</t>
  </si>
  <si>
    <t>Rogel M De la Cuesta</t>
  </si>
  <si>
    <t>Marino Merano Silagan Jr.</t>
  </si>
  <si>
    <t>Rogelio Jr del Pilar Labrador</t>
  </si>
  <si>
    <t>PRUDENCIO L VARELA</t>
  </si>
  <si>
    <t>Domingo Sampanga Reyes</t>
  </si>
  <si>
    <t>Joselito Mallillin Bugayong</t>
  </si>
  <si>
    <t>Lorna Triviño Manalo</t>
  </si>
  <si>
    <t>GILDA BORRE AJERO</t>
  </si>
  <si>
    <t>EDMUND BASCONGADA SERVANDO</t>
  </si>
  <si>
    <t>Rosalinda Cortez Jabonillo</t>
  </si>
  <si>
    <t>MARINA C MATUGUINAS</t>
  </si>
  <si>
    <t>James Formoso Encarnacion</t>
  </si>
  <si>
    <t>Jennita V Garcia</t>
  </si>
  <si>
    <t>Rogerio Cagas Acle</t>
  </si>
  <si>
    <t>NORMA  TONGUIA  SEPRIA</t>
  </si>
  <si>
    <t>ANTONIETO F PACAYRA</t>
  </si>
  <si>
    <t>Maria Lucia Sanchez</t>
  </si>
  <si>
    <t>NELSON YBAÑEZ GABAYAN</t>
  </si>
  <si>
    <t>HENRY REYES TURA</t>
  </si>
  <si>
    <t>Melany Trinanes</t>
  </si>
  <si>
    <t>Resurreccion De Guzman Abada</t>
  </si>
  <si>
    <t>CLEOFE TUBA Polido</t>
  </si>
  <si>
    <t>Jess Angelo Gabriel Usquisa</t>
  </si>
  <si>
    <t>Aida M. Cinco</t>
  </si>
  <si>
    <t>YUSOP ARBISON WEE</t>
  </si>
  <si>
    <t>ARCELI VICENTE TOMAS</t>
  </si>
  <si>
    <t>Debbyriza Taylan Hidalgo</t>
  </si>
  <si>
    <t>Perfecto B Taduran</t>
  </si>
  <si>
    <t>EMMA SALTIGA ROSALES</t>
  </si>
  <si>
    <t>Noel I Yatco</t>
  </si>
  <si>
    <t>Gilbert Bo Bolaños</t>
  </si>
  <si>
    <t>Marlyn Jadie Paje</t>
  </si>
  <si>
    <t>Angeline G. Regalado</t>
  </si>
  <si>
    <t>Princess dela Cruz</t>
  </si>
  <si>
    <t>BRENDO C. AUDIENCIA</t>
  </si>
  <si>
    <t>Elton Gurro Panulaya</t>
  </si>
  <si>
    <t>TERESA M. ARCONCIL</t>
  </si>
  <si>
    <t>Nelson Bonifacio Villaluna</t>
  </si>
  <si>
    <t>Romeo Magallanes Taclindo</t>
  </si>
  <si>
    <t>Rogette Etoquilla Sadio</t>
  </si>
  <si>
    <t>Sherwin  V.  Gelacio</t>
  </si>
  <si>
    <t>Brgy. 09 Catbalogan</t>
  </si>
  <si>
    <t>EDWARD A. ROA</t>
  </si>
  <si>
    <t>Freddie Uraga Villajuan</t>
  </si>
  <si>
    <t>Alma A. Permejo</t>
  </si>
  <si>
    <t>Aries C. Tang</t>
  </si>
  <si>
    <t>Bienvenido Capilitan Barrera, Jr.</t>
  </si>
  <si>
    <t>Esterlina I. Gamez</t>
  </si>
  <si>
    <t>Zaldy Omisol Dequito</t>
  </si>
  <si>
    <t>MARISSA PANLILIO ORTIZ</t>
  </si>
  <si>
    <t>Ana Fe Roldan</t>
  </si>
  <si>
    <t>BERNARD MALINGTAY PEPE</t>
  </si>
  <si>
    <t>Joseph Clarence D Valero</t>
  </si>
  <si>
    <t>SATUR CALUBANDI PAYANGDO</t>
  </si>
  <si>
    <t>Zaldy B. Burgonio</t>
  </si>
  <si>
    <t>Nellie B Chian</t>
  </si>
  <si>
    <t>Margarita Mendoza Clemente</t>
  </si>
  <si>
    <t>Maria May Santiago Forio</t>
  </si>
  <si>
    <t>Maria Lourdes E. Dwiggins</t>
  </si>
  <si>
    <t>Segundo Escamillas Anyayahan</t>
  </si>
  <si>
    <t>Paul Brian F Roc</t>
  </si>
  <si>
    <t>BAC Secretariat II</t>
  </si>
  <si>
    <t>Janny M Pacleb</t>
  </si>
  <si>
    <t>Ruben Denoso Raandaan</t>
  </si>
  <si>
    <t>Ricardo De Luna Costo</t>
  </si>
  <si>
    <t>Noel C. Mangkikis</t>
  </si>
  <si>
    <t>Tessie Bocales Lingbanan</t>
  </si>
  <si>
    <t>Princess Fabrienne Tonzo Panganiban</t>
  </si>
  <si>
    <t>Lilibeth Tayab Sabihon</t>
  </si>
  <si>
    <t>Lorna Novero Riego</t>
  </si>
  <si>
    <t>Ray Retarino Ruiz</t>
  </si>
  <si>
    <t>Yolanda Marquez Mendez</t>
  </si>
  <si>
    <t>MARIFEL OCAMPO PERALTA</t>
  </si>
  <si>
    <t>Judeth M. Madelo</t>
  </si>
  <si>
    <t>Abigail Chiara Catalla Muñoz</t>
  </si>
  <si>
    <t>Phebe Fernandez Javalde</t>
  </si>
  <si>
    <t>Manuel M. Andes</t>
  </si>
  <si>
    <t>Florentino O. Jerez</t>
  </si>
  <si>
    <t>Louella  Rempis  Segarra</t>
  </si>
  <si>
    <t>Daisy D Bautista</t>
  </si>
  <si>
    <t>Marjorie G Diño</t>
  </si>
  <si>
    <t>MARIE JANE ABING CLAVERO</t>
  </si>
  <si>
    <t>Ma Luz Buenaagua Francisco</t>
  </si>
  <si>
    <t>Janice Esperanza Tan</t>
  </si>
  <si>
    <t>Teresita de la Torre Obin</t>
  </si>
  <si>
    <t>RUDY S DACULAN</t>
  </si>
  <si>
    <t>JASMIN R LACUNA</t>
  </si>
  <si>
    <t>Diosdado A. Bambico</t>
  </si>
  <si>
    <t>Gilbert C. Colegado</t>
  </si>
  <si>
    <t>Ma.Corazon Jimenez Alquizar</t>
  </si>
  <si>
    <t>ALTHEA MAGUERIANO PAGUNSAN</t>
  </si>
  <si>
    <t>Salvador Guades Basa</t>
  </si>
  <si>
    <t>NIKKI IVY IBAÑEZ BANTOG</t>
  </si>
  <si>
    <t>Ma.  Erowena V Soriano</t>
  </si>
  <si>
    <t>Roman Lareza</t>
  </si>
  <si>
    <t>Reynante Bayungan Salazar Sr.</t>
  </si>
  <si>
    <t>Richard Cammayo Malayao</t>
  </si>
  <si>
    <t>Vincent A. Tan</t>
  </si>
  <si>
    <t>Leopoldo Saladaga Elago</t>
  </si>
  <si>
    <t>Zenaida M Formentera</t>
  </si>
  <si>
    <t>Ma. Soledad F Baquiran</t>
  </si>
  <si>
    <t>ELA PABLEO PAVILANDO</t>
  </si>
  <si>
    <t>RYAN  V.  MEDINA</t>
  </si>
  <si>
    <t>Cliftone Kiteng Bangse-il</t>
  </si>
  <si>
    <t>ROSMENDO CARDINEZ BONGOCAN, JR.</t>
  </si>
  <si>
    <t>Vanessa Tornito Alcuizar</t>
  </si>
  <si>
    <t>Jay Francis Ibanez Dela Victoria</t>
  </si>
  <si>
    <t>Cheryl Ann Galeon Ombina</t>
  </si>
  <si>
    <t>Larry De Chavez Perez</t>
  </si>
  <si>
    <t>Rodrigo S Baid</t>
  </si>
  <si>
    <t>Lalen Salagubang</t>
  </si>
  <si>
    <t>Estrella Bacaling Abapo</t>
  </si>
  <si>
    <t>Rommel Aristotle Paraiso Varias</t>
  </si>
  <si>
    <t>Noriel G. Sanson</t>
  </si>
  <si>
    <t>Luis Argana Hernandez</t>
  </si>
  <si>
    <t>RAIMUNDA MATUOD LUMANTAS</t>
  </si>
  <si>
    <t>Emilia Vasquez Carpio</t>
  </si>
  <si>
    <t>Jenn Glaiza Gallego</t>
  </si>
  <si>
    <t>Zaiton Navarro Sumpo</t>
  </si>
  <si>
    <t>Pepsi Pineda Duldulao</t>
  </si>
  <si>
    <t>Juliet Zinampan Altura</t>
  </si>
  <si>
    <t>LANY AGANAN BURDEOS</t>
  </si>
  <si>
    <t>Jose Galario Fernando</t>
  </si>
  <si>
    <t>JUDITH PATRIARCA MANTOS</t>
  </si>
  <si>
    <t>Liza Rogador Vargas</t>
  </si>
  <si>
    <t>MARIA PAMELA TOLENTINO BACTOL</t>
  </si>
  <si>
    <t>Marnie O. Credo</t>
  </si>
  <si>
    <t>Gabby Mangila Sevilla</t>
  </si>
  <si>
    <t>Jingle Repollo Saloma</t>
  </si>
  <si>
    <t>Virgie N Bibat</t>
  </si>
  <si>
    <t>Kristine Mae Dayuday Taga-Añabieza</t>
  </si>
  <si>
    <t>Arsed Bisara Mawlod</t>
  </si>
  <si>
    <t>Myrna Badilles Belgado</t>
  </si>
  <si>
    <t>Erwin Domingo Salvador</t>
  </si>
  <si>
    <t>Ely Garcillano Ramos</t>
  </si>
  <si>
    <t>Liza Labog Enicola</t>
  </si>
  <si>
    <t>Jojie Ann Oliva Watin</t>
  </si>
  <si>
    <t>Gerald B Alvaro</t>
  </si>
  <si>
    <t>Raul Aranton Octavo</t>
  </si>
  <si>
    <t>Juffa Panaguiton Estrada</t>
  </si>
  <si>
    <t>Enrique Jr Cariaga Garaño</t>
  </si>
  <si>
    <t>Noe I Forbes</t>
  </si>
  <si>
    <t>Ludwig  Solano</t>
  </si>
  <si>
    <t>Melchor O. De Leon</t>
  </si>
  <si>
    <t>Noel Aguillon Salvan</t>
  </si>
  <si>
    <t>IAN JEHH VALENCIA PARRENAS</t>
  </si>
  <si>
    <t>Jonathan Pabalinas Jalandoni</t>
  </si>
  <si>
    <t>Cyril Carreon Tejada</t>
  </si>
  <si>
    <t>EMMA RUTH LOPEZ FLORES</t>
  </si>
  <si>
    <t>Juvylyn Viajar Bitang</t>
  </si>
  <si>
    <t>Rosarie R. Paras</t>
  </si>
  <si>
    <t>PERICLES CUIZON SOLLANO</t>
  </si>
  <si>
    <t>Jackson L. Pasamic</t>
  </si>
  <si>
    <t>EMILIANO JR. C. MILITAR</t>
  </si>
  <si>
    <t>JACKYLINE CUTILLAS BENIGIAN</t>
  </si>
  <si>
    <t>Ma.  Hannah Hecita Dobrea</t>
  </si>
  <si>
    <t>SANDRA TORAYNO UDANG</t>
  </si>
  <si>
    <t>Asuncion Asuncion Padre</t>
  </si>
  <si>
    <t>Luciana Libadisos Pesudas</t>
  </si>
  <si>
    <t>Jovelyn I. Legaspi</t>
  </si>
  <si>
    <t>Melinda  Bongcawel  Magsucang</t>
  </si>
  <si>
    <t>JERRY R CENTRO</t>
  </si>
  <si>
    <t>Joeven C Calasagsag</t>
  </si>
  <si>
    <t>DELMA S NAYAD</t>
  </si>
  <si>
    <t>Ma. Milyn Saturinas Podador</t>
  </si>
  <si>
    <t>Marites Asuque</t>
  </si>
  <si>
    <t>JOAN PACALIOGA ABEJUELA</t>
  </si>
  <si>
    <t>Judito Oposa Pegarro</t>
  </si>
  <si>
    <t>Louven L. Matib</t>
  </si>
  <si>
    <t>Maria Cristina Macarayan Dapal</t>
  </si>
  <si>
    <t>Ronnie Zaraspe</t>
  </si>
  <si>
    <t>Ma. Vicenta To Malana</t>
  </si>
  <si>
    <t>Myracel M. Quitain</t>
  </si>
  <si>
    <t>Julita Alvarez Ragandang</t>
  </si>
  <si>
    <t>Remelyn L. Orapa</t>
  </si>
  <si>
    <t>Bruno Ayco Lingatong</t>
  </si>
  <si>
    <t>Mary Dumangeng Baguilat</t>
  </si>
  <si>
    <t>Julie G Salvador</t>
  </si>
  <si>
    <t>Salvador Cuachin Nuarin</t>
  </si>
  <si>
    <t>Renejene M. Umali</t>
  </si>
  <si>
    <t>Sheila Paraiso Estrellanes</t>
  </si>
  <si>
    <t>CIRILO BAUI AZURIN</t>
  </si>
  <si>
    <t>SHERLITA ABAYAN DEL MUNDO</t>
  </si>
  <si>
    <t>Ann S Ancajas</t>
  </si>
  <si>
    <t>Noli T. Gandamon</t>
  </si>
  <si>
    <t>Liza Panganiban Defeo</t>
  </si>
  <si>
    <t>JAMES CINO ESTOYA</t>
  </si>
  <si>
    <t>Arnel Delos Santos  Delo Santos  Arcena</t>
  </si>
  <si>
    <t>Joemarie Flores Geguiera</t>
  </si>
  <si>
    <t>LGU TANGUB</t>
  </si>
  <si>
    <t>Jezereel Esteban</t>
  </si>
  <si>
    <t>LINO CORNELIO CECILIO TRIUNFO BASCUG</t>
  </si>
  <si>
    <t>EDGARDO MEDINO TOBIAS</t>
  </si>
  <si>
    <t>Donnalynn Waje Mercado</t>
  </si>
  <si>
    <t>Juan Marco Palma Jr</t>
  </si>
  <si>
    <t>Matias Rebola Mabbun</t>
  </si>
  <si>
    <t>Marichu Lachica Villa-real</t>
  </si>
  <si>
    <t>Jose Garing Orzal</t>
  </si>
  <si>
    <t>Randolph R Maguigad</t>
  </si>
  <si>
    <t>Mary Jane Elegio Malbas</t>
  </si>
  <si>
    <t>Gredalie Rivera Acopio</t>
  </si>
  <si>
    <t>JESSIE EMMANUEL TRINIDAD RICERRA</t>
  </si>
  <si>
    <t>Virgel Vito Fugaban</t>
  </si>
  <si>
    <t>JULIUS EFREN CEPEDA CANAPI</t>
  </si>
  <si>
    <t>ROWENA MACQUIAN ISAYAS</t>
  </si>
  <si>
    <t>Jesus Cesar Padul Albarico</t>
  </si>
  <si>
    <t>Joyce Ann Mae L Del Valle</t>
  </si>
  <si>
    <t>Ronalyn Cabungcag</t>
  </si>
  <si>
    <t>Renee  Salomon  Davad</t>
  </si>
  <si>
    <t>Mary Grace Liwag Capisonda</t>
  </si>
  <si>
    <t>Maricel Cuden Cosme</t>
  </si>
  <si>
    <t>Charlito Fabregas Fababeir</t>
  </si>
  <si>
    <t>Alex S. Rosal Jr.</t>
  </si>
  <si>
    <t>Marvin V. Danao</t>
  </si>
  <si>
    <t>MARIO C. CAJARA</t>
  </si>
  <si>
    <t>Reyma Castañeda Tabalno</t>
  </si>
  <si>
    <t>ROGELIO CAMINO EMPILLO</t>
  </si>
  <si>
    <t>Mercy Gavino Valgomera</t>
  </si>
  <si>
    <t>Michelle Retamar Roldan</t>
  </si>
  <si>
    <t>Jahra Amiry Narciso</t>
  </si>
  <si>
    <t>Cuajotor Toledo Albert</t>
  </si>
  <si>
    <t>Emilio R. Pizarro</t>
  </si>
  <si>
    <t>CJ Figuerres</t>
  </si>
  <si>
    <t>Larry Alcoran Pastrana</t>
  </si>
  <si>
    <t>Rosalie de Villena</t>
  </si>
  <si>
    <t>BAC Secretariat     Tel: 634-19-06</t>
  </si>
  <si>
    <t>rejulio jacildo bruno</t>
  </si>
  <si>
    <t>Mohamad Mamental Odin</t>
  </si>
  <si>
    <t>Christopher M. Edjic</t>
  </si>
  <si>
    <t>Perlita Senarillos Pabillaran</t>
  </si>
  <si>
    <t>Rodelina Cabudol Bartolome</t>
  </si>
  <si>
    <t>Marlon Sibal Danao</t>
  </si>
  <si>
    <t>Jojie B. Rabina</t>
  </si>
  <si>
    <t>LOUIE C. FERNANDEZ</t>
  </si>
  <si>
    <t>Lyra RJ Cubos Carolino</t>
  </si>
  <si>
    <t>Jose Jacob Siriban Medinaceli</t>
  </si>
  <si>
    <t>LEOREYSALDIE NAPATA SALANATIN</t>
  </si>
  <si>
    <t>Cheenne Grace Luha Dela Peña</t>
  </si>
  <si>
    <t>Renato Toledo Ebreo</t>
  </si>
  <si>
    <t>SHIELA MARIE MACAUYAG CABAHUG</t>
  </si>
  <si>
    <t>Rey R. Fausto</t>
  </si>
  <si>
    <t>Vilma Capistrano Globio</t>
  </si>
  <si>
    <t>Leandro Antonio Bebita Capulso</t>
  </si>
  <si>
    <t>Ryan Delotina Jamandre</t>
  </si>
  <si>
    <t>Remy O. Patente</t>
  </si>
  <si>
    <t>Amalia Acay Ibarra</t>
  </si>
  <si>
    <t>MANUEL L BELLO</t>
  </si>
  <si>
    <t>KEREN JOYCE DAYOT POLICARPIO</t>
  </si>
  <si>
    <t>Junje Abayon Draculan</t>
  </si>
  <si>
    <t>LENY GELBOLINGO AMA</t>
  </si>
  <si>
    <t>Allan O. Cabarriban</t>
  </si>
  <si>
    <t>LUZ  CUDAl DURANO</t>
  </si>
  <si>
    <t>Oscar M. Maribojoc Sr.</t>
  </si>
  <si>
    <t>JOEL A. ELUMBA</t>
  </si>
  <si>
    <t>Ma. Ruth Viñas Bandales</t>
  </si>
  <si>
    <t>WILFREDO M. WAQUIZ</t>
  </si>
  <si>
    <t>Laurence Bryan R. Malana</t>
  </si>
  <si>
    <t>Georgie  Lamparas Ruelan</t>
  </si>
  <si>
    <t>Jodel Peda Formalejo</t>
  </si>
  <si>
    <t>Vivencia Lelis</t>
  </si>
  <si>
    <t>Benjamin Adding Indil</t>
  </si>
  <si>
    <t>Jenifer C. Alcain</t>
  </si>
  <si>
    <t>Rolinda Macario De Julian</t>
  </si>
  <si>
    <t>Gemma Ladera Asi</t>
  </si>
  <si>
    <t>JENNIFER  D. SIMBAJON</t>
  </si>
  <si>
    <t>Gerardo L. Dacles</t>
  </si>
  <si>
    <t>Imelda Macalinga Lantin</t>
  </si>
  <si>
    <t>Janine V. Baldovino</t>
  </si>
  <si>
    <t>Richard Dean B. Dagpin</t>
  </si>
  <si>
    <t>Paterno O Hempeso</t>
  </si>
  <si>
    <t>FELIXBERTO JR. BIRCO MATUTE</t>
  </si>
  <si>
    <t>ROMMEL M. ORONOS</t>
  </si>
  <si>
    <t>Florester M Jimenez</t>
  </si>
  <si>
    <t>Elizer V. Magaoay</t>
  </si>
  <si>
    <t>Reynaldo B. Anapen</t>
  </si>
  <si>
    <t>ARMANDO E. SUETOS</t>
  </si>
  <si>
    <t>MARLON CASTILLO</t>
  </si>
  <si>
    <t>Wencislao Jr. Calimlim Cagalitan</t>
  </si>
  <si>
    <t>WILDEGARDO SABERON ENRIQUEZ</t>
  </si>
  <si>
    <t>Dindo Cornejo Montablan</t>
  </si>
  <si>
    <t>Alex D. Vegafria</t>
  </si>
  <si>
    <t>ELSA DE GUZMAN MONTEMAYOR</t>
  </si>
  <si>
    <t>Marissa Calzada Ogario</t>
  </si>
  <si>
    <t>Elvira L Literatus</t>
  </si>
  <si>
    <t>Elmer J. Ronulo</t>
  </si>
  <si>
    <t>Norjanah  M.  Solaiman</t>
  </si>
  <si>
    <t>Madelyn Paquibot Palma</t>
  </si>
  <si>
    <t>Josephine L Mananquil</t>
  </si>
  <si>
    <t>Miramar (Myra) S De Asis</t>
  </si>
  <si>
    <t>Teresita C. Suralta</t>
  </si>
  <si>
    <t>Fernando Boricano Mercene</t>
  </si>
  <si>
    <t>Ma. Dea Osorio</t>
  </si>
  <si>
    <t>Tony Tayone Orilla</t>
  </si>
  <si>
    <t>Archie Tumambing</t>
  </si>
  <si>
    <t>Julia Untiveros Lizada</t>
  </si>
  <si>
    <t>MANUEL M CALICA, JR</t>
  </si>
  <si>
    <t>Jocelyn Campaña Langbid</t>
  </si>
  <si>
    <t>Mary Joy B. Catangui</t>
  </si>
  <si>
    <t>Mae Dangatan</t>
  </si>
  <si>
    <t>SONIA R. DEL ROSARIO</t>
  </si>
  <si>
    <t>Ramon Chito Mejia Terado</t>
  </si>
  <si>
    <t>MELANIE GAMILDE GACUSAN</t>
  </si>
  <si>
    <t>Michael Angelo San Pedro BAC Secretariat</t>
  </si>
  <si>
    <t>Alejandro Sr. Soncio Suello</t>
  </si>
  <si>
    <t>Judea Micah Dialco Carbajosa</t>
  </si>
  <si>
    <t>Kristina Omapas Racuya</t>
  </si>
  <si>
    <t>Dixie Santander De Guzman</t>
  </si>
  <si>
    <t>ELEANOR A. ECO</t>
  </si>
  <si>
    <t>Robert Amable</t>
  </si>
  <si>
    <t>Federico III Daleno Rivero</t>
  </si>
  <si>
    <t>Veronica Vergara De Jesus</t>
  </si>
  <si>
    <t>Domingo Llave Nace</t>
  </si>
  <si>
    <t>Nestor Mendina Bufe</t>
  </si>
  <si>
    <t>Alvin Crisostomo</t>
  </si>
  <si>
    <t>LILIA E PINEDA</t>
  </si>
  <si>
    <t>Vicente Hotchkiss Pimentel, III</t>
  </si>
  <si>
    <t>Nerissa Nedic Calimbo</t>
  </si>
  <si>
    <t>Melvin Ballerda</t>
  </si>
  <si>
    <t>Emmanuel Eduarte Pacapac</t>
  </si>
  <si>
    <t>George Fangroy</t>
  </si>
  <si>
    <t>Analyn R. Rollon</t>
  </si>
  <si>
    <t>Janelyn Ortegn Salvan</t>
  </si>
  <si>
    <t>COLEEN C LOMOLJO</t>
  </si>
  <si>
    <t>ARCHIE TOLEDO JOAQUIN</t>
  </si>
  <si>
    <t>MARITES GONZALES BALDOMAN</t>
  </si>
  <si>
    <t>Ma. Socorro C Tabang</t>
  </si>
  <si>
    <t>Mark Joton Paguirigan Ramirez</t>
  </si>
  <si>
    <t>Erica Dimaculangan</t>
  </si>
  <si>
    <t>Gundelino Bermeo</t>
  </si>
  <si>
    <t>Rene P Quezada</t>
  </si>
  <si>
    <t>Glenn A. Lamag</t>
  </si>
  <si>
    <t>Joselito Ferreras Asma</t>
  </si>
  <si>
    <t>MARIA ANNA NOLASCO SINOGBA</t>
  </si>
  <si>
    <t>Romulo Jr Balayo Lamson</t>
  </si>
  <si>
    <t>Maritess Fortes Idala</t>
  </si>
  <si>
    <t>Virginia Punay</t>
  </si>
  <si>
    <t>Robert John Donesa</t>
  </si>
  <si>
    <t>CONSORCIA PISPIS RAÑOSA</t>
  </si>
  <si>
    <t>Emelinda Jaboli Sarmiento</t>
  </si>
  <si>
    <t>MARIGOLD RIGUER GODOY</t>
  </si>
  <si>
    <t>Juanito Gacanes Domingo</t>
  </si>
  <si>
    <t>Krisbert S. Malanay</t>
  </si>
  <si>
    <t>Cecilio Tagala Sacorum</t>
  </si>
  <si>
    <t>Artemio Ramal</t>
  </si>
  <si>
    <t>Marissa G. Quijano</t>
  </si>
  <si>
    <t>Rafael C Salles</t>
  </si>
  <si>
    <t>VANESSA JANE CEBALLOS LIM</t>
  </si>
  <si>
    <t>STEMSON ESPIRITU NILO</t>
  </si>
  <si>
    <t>Julius Luis Juanito</t>
  </si>
  <si>
    <t>RUTH DEDAMA ESTRADA</t>
  </si>
  <si>
    <t>MERIAM GALLO RAMOS</t>
  </si>
  <si>
    <t>Christian Quitoriano Doria</t>
  </si>
  <si>
    <t>Eden Rose V. Calo</t>
  </si>
  <si>
    <t>Aris A. Arellano</t>
  </si>
  <si>
    <t>JOSEPHINE G PEREA</t>
  </si>
  <si>
    <t>Sylvia P. Obera</t>
  </si>
  <si>
    <t>SAMUEL S. FERNANDEZ</t>
  </si>
  <si>
    <t>Isaac T. Bangcaya</t>
  </si>
  <si>
    <t>GERALDINE O AGRAVANTE</t>
  </si>
  <si>
    <t>ABNER ALPAS ESPARTERO</t>
  </si>
  <si>
    <t>DERRICK ENCARNACION MAYOR</t>
  </si>
  <si>
    <t>Ernesto S. Suplido</t>
  </si>
  <si>
    <t>Nelson Oracion Tolentino</t>
  </si>
  <si>
    <t>Hilario Yoshy Casem</t>
  </si>
  <si>
    <t>Francis Alfred Calo Bokingo</t>
  </si>
  <si>
    <t>Angel D. Pundao</t>
  </si>
  <si>
    <t>Lailane L. Palustre</t>
  </si>
  <si>
    <t>Maria Teresa M. Silva</t>
  </si>
  <si>
    <t>Rafael Ralph Cia Hernandez</t>
  </si>
  <si>
    <t>Zaldy Rodriguez Delmendo</t>
  </si>
  <si>
    <t>ARTEMIO MENDEZ</t>
  </si>
  <si>
    <t>Almae  Villarmia Arquiza</t>
  </si>
  <si>
    <t>Nymia T. Chavez</t>
  </si>
  <si>
    <t>REINERIO R. FLORENDO</t>
  </si>
  <si>
    <t>Ryan Anthony Agay Olalia</t>
  </si>
  <si>
    <t>Ronnie Gecolea Sierva</t>
  </si>
  <si>
    <t>Lolito Pesidas Campos</t>
  </si>
  <si>
    <t>ROSAVILLA  COLANGCO  BALAZO</t>
  </si>
  <si>
    <t>Leda Penarubia Redoble</t>
  </si>
  <si>
    <t>Arnel T. Marquez</t>
  </si>
  <si>
    <t>TEOFILO YUZON GUINO-O</t>
  </si>
  <si>
    <t>Eulogio Valle Mendoza</t>
  </si>
  <si>
    <t>Riza Ortez Muanag</t>
  </si>
  <si>
    <t>WILSON NARVAIS CABRALES</t>
  </si>
  <si>
    <t>Nida Tordesillas Tuason</t>
  </si>
  <si>
    <t>MARCIAL RAMOS VALIENTE</t>
  </si>
  <si>
    <t>Maximo Jr. Pejo Magana</t>
  </si>
  <si>
    <t>Danilo, Jr. Gemarino Lumasag</t>
  </si>
  <si>
    <t>ELIZABETH TRINIDAD BELLO</t>
  </si>
  <si>
    <t>Nedencio T. Macles and Rebecca M. Gadayan</t>
  </si>
  <si>
    <t>Teodoro C. Gozarem</t>
  </si>
  <si>
    <t>Divina Gracia Binuya</t>
  </si>
  <si>
    <t>Reynaldo  Aripal  Jalaron</t>
  </si>
  <si>
    <t>Jaybee Punzalan</t>
  </si>
  <si>
    <t>RODERICK LINDAIN DE LEON</t>
  </si>
  <si>
    <t>Florence Santos Gelacio</t>
  </si>
  <si>
    <t>FRANCISCO D. GUINAYON</t>
  </si>
  <si>
    <t>Alvin Salonga Oliveros</t>
  </si>
  <si>
    <t>Eugene Tolentino Garcia</t>
  </si>
  <si>
    <t>Gypsy Jennsen Arquio</t>
  </si>
  <si>
    <t>MARJORIE VICTORIANO ROSALES</t>
  </si>
  <si>
    <t>Sheena Clariz  Bautista</t>
  </si>
  <si>
    <t>Ian Lemuel Bandoy Felix</t>
  </si>
  <si>
    <t>Jerry Grace G Danao</t>
  </si>
  <si>
    <t>Salome D. Diel</t>
  </si>
  <si>
    <t>ROGIE  PAGUIRIGAN GUMARO</t>
  </si>
  <si>
    <t>Manuel, Jr. A Palasi</t>
  </si>
  <si>
    <t>Lolita Milante Polillo</t>
  </si>
  <si>
    <t>Joshua Abejero Adanza</t>
  </si>
  <si>
    <t>Allan L Mariano</t>
  </si>
  <si>
    <t>Nellie A Francisco</t>
  </si>
  <si>
    <t>Willbert D Hosme</t>
  </si>
  <si>
    <t>ERNESTO AQUINO MANEGDEG</t>
  </si>
  <si>
    <t>Irene Tabanda</t>
  </si>
  <si>
    <t>JOMAR D. OLIVA</t>
  </si>
  <si>
    <t>Rodelio Aspa Bonto</t>
  </si>
  <si>
    <t>Julie  Castañeda Titular</t>
  </si>
  <si>
    <t>Hanz Cecilio Bernardo</t>
  </si>
  <si>
    <t>Pilar Balbuena Quinico</t>
  </si>
  <si>
    <t>ROGELIO PAGAS LAQUINTA</t>
  </si>
  <si>
    <t>Danny Clamor Flores</t>
  </si>
  <si>
    <t>Evelyn Ramos</t>
  </si>
  <si>
    <t>Jocelyn Diaz Sagang</t>
  </si>
  <si>
    <t>Maria Rachel Panti Gonzales</t>
  </si>
  <si>
    <t>Hardeley B. Aday</t>
  </si>
  <si>
    <t>Teresita L. Vitug</t>
  </si>
  <si>
    <t>Engr. Joel Antonio</t>
  </si>
  <si>
    <t>Kayle Perez Bathan</t>
  </si>
  <si>
    <t>Theresa David Buendia</t>
  </si>
  <si>
    <t>JAMES BENEDICT E. BAGSIC</t>
  </si>
  <si>
    <t>MA. REINA SIEGA ACEVEDO</t>
  </si>
  <si>
    <t>Giovanne Tan  Lim</t>
  </si>
  <si>
    <t>Irene  Romero Arevalo</t>
  </si>
  <si>
    <t>GENELYN BUMILTAC</t>
  </si>
  <si>
    <t>Ferdinand M Hernaez</t>
  </si>
  <si>
    <t>Antonio  B  Darug</t>
  </si>
  <si>
    <t>Geremie Noble Tajada</t>
  </si>
  <si>
    <t>Susan Siacor Arsenio</t>
  </si>
  <si>
    <t>Nelly Sanes Echavez</t>
  </si>
  <si>
    <t>Celina L. Padchanan</t>
  </si>
  <si>
    <t>Arnel Villamor Esller</t>
  </si>
  <si>
    <t>Jellyby M Manlin</t>
  </si>
  <si>
    <t>Jerona M. Silagan</t>
  </si>
  <si>
    <t>EDRALPH PANTALEON RAMOS</t>
  </si>
  <si>
    <t>Wilfredo Gomez Sanchez</t>
  </si>
  <si>
    <t>Ruel Alfaro Magbanua</t>
  </si>
  <si>
    <t>MAYLA F FEO</t>
  </si>
  <si>
    <t>Joan M. dela Cruz</t>
  </si>
  <si>
    <t>Teresita Morota Añonuevo</t>
  </si>
  <si>
    <t>Mark Joy Clor Nogaliza</t>
  </si>
  <si>
    <t>HAIDEE PEÑAMANTE AVELLANO</t>
  </si>
  <si>
    <t>EDGARDO A. VALDEZ</t>
  </si>
  <si>
    <t>Bevs A Santino</t>
  </si>
  <si>
    <t>Arnaldo G Liansing</t>
  </si>
  <si>
    <t>Dhalie Dicen Almirol</t>
  </si>
  <si>
    <t>Riza E. Peralta</t>
  </si>
  <si>
    <t>Rusell Gattu Lozano</t>
  </si>
  <si>
    <t>Roxanne O. Valenzuela</t>
  </si>
  <si>
    <t>Morley Padayhag Baguio</t>
  </si>
  <si>
    <t>SHYREL ARCHE ALEGRE</t>
  </si>
  <si>
    <t>Eymard Caperiña Angulo</t>
  </si>
  <si>
    <t>GEMMA H TAMAGOS</t>
  </si>
  <si>
    <t>YOLETTE  U.  DE HITTA</t>
  </si>
  <si>
    <t>Celeste Ala Berba</t>
  </si>
  <si>
    <t>EMIL RODRIGUEZ GANADEN</t>
  </si>
  <si>
    <t>Donnabel Manzano Justo</t>
  </si>
  <si>
    <t>DANIEL, JR. ALBERTO BAUTISTA</t>
  </si>
  <si>
    <t>Feryness Belmonte Escarpe</t>
  </si>
  <si>
    <t>ALEX ALCIBAR JADUCANA</t>
  </si>
  <si>
    <t>Camilo A. Manzon</t>
  </si>
  <si>
    <t>CYRILL BULALACAO MOLINA</t>
  </si>
  <si>
    <t>LISETTE MILAGROSO ADRIANO</t>
  </si>
  <si>
    <t>marilou into cabeguin</t>
  </si>
  <si>
    <t>ELMER CEZAR ASPE ZALETA</t>
  </si>
  <si>
    <t>Mayna N. Mayuga</t>
  </si>
  <si>
    <t>Antonio Paquite Serognas</t>
  </si>
  <si>
    <t>Delfin Caba Macapagal</t>
  </si>
  <si>
    <t>Claire Degamo Selloria</t>
  </si>
  <si>
    <t>Elmer O Macalma</t>
  </si>
  <si>
    <t>Maximo H Salvatierra</t>
  </si>
  <si>
    <t>Levie Pacuri Diaz</t>
  </si>
  <si>
    <t>George Sacdalan Mendoza</t>
  </si>
  <si>
    <t>Verisima Sarigumba Calipusan</t>
  </si>
  <si>
    <t>Crisel Luna Layague Agudo</t>
  </si>
  <si>
    <t>Francorival Castanares Lorizo</t>
  </si>
  <si>
    <t>Rogelio Loy Magdaug, Jr.</t>
  </si>
  <si>
    <t>Romela  A.  Hiquial</t>
  </si>
  <si>
    <t>Cleofe A Amores</t>
  </si>
  <si>
    <t>Dina S. Deal Vega</t>
  </si>
  <si>
    <t xml:space="preserve">Aries  Cantos  Abdon </t>
  </si>
  <si>
    <t>Efren B Ronquillo</t>
  </si>
  <si>
    <t>AIZA PAUL CALIAO</t>
  </si>
  <si>
    <t>Vicenta M. Natividad</t>
  </si>
  <si>
    <t>Joseph Abalde Magriña</t>
  </si>
  <si>
    <t>VIOLA  P.  MONTILLA</t>
  </si>
  <si>
    <t>JAYVEE BRYAN GALVEZ CARILLO</t>
  </si>
  <si>
    <t>Juffer  Valed  Lacadon</t>
  </si>
  <si>
    <t>James Camanzo Salvador</t>
  </si>
  <si>
    <t>ALEXANDER C COLINA</t>
  </si>
  <si>
    <t>Eleanor C. Laylo</t>
  </si>
  <si>
    <t>Zelina G Dela Cruz</t>
  </si>
  <si>
    <t>Gladys Jean Dasilao Quijada</t>
  </si>
  <si>
    <t>Arnel Caparros Portales</t>
  </si>
  <si>
    <t>Lilio Serviño Porcalla</t>
  </si>
  <si>
    <t>Divina Agaser Miguel</t>
  </si>
  <si>
    <t>Atty. Anna Rosario P. Reyes</t>
  </si>
  <si>
    <t>Christelyn A. Aguro</t>
  </si>
  <si>
    <t>Charito Tinio Mertens</t>
  </si>
  <si>
    <t>Danny Fernandez Cadalso</t>
  </si>
  <si>
    <t>Norman Sta.Ana</t>
  </si>
  <si>
    <t>Joan Dela Cruz  Padua</t>
  </si>
  <si>
    <t>Luxmay P Aleria</t>
  </si>
  <si>
    <t>ARVIN B BELARDO</t>
  </si>
  <si>
    <t>Blesilda P. Makabali</t>
  </si>
  <si>
    <t>Rex Juarez</t>
  </si>
  <si>
    <t>Jesamine M. Mendi</t>
  </si>
  <si>
    <t>CONSUELO R. GEDUSPAN</t>
  </si>
  <si>
    <t>Novemer Tacang Tabasa</t>
  </si>
  <si>
    <t>MARGARITA LAGUADOR PLACINO</t>
  </si>
  <si>
    <t>FREDERICK B AGUIRRE</t>
  </si>
  <si>
    <t>Clark Benzon Lobo Casuco</t>
  </si>
  <si>
    <t>Cecille Angeline 09171477690 Lipardo</t>
  </si>
  <si>
    <t>Melanie Sergio Pili</t>
  </si>
  <si>
    <t>Joseph Dante D Develleres</t>
  </si>
  <si>
    <t>Cynthia Eleonor Guno Manalo</t>
  </si>
  <si>
    <t>Marfen Guinmapang Corvera</t>
  </si>
  <si>
    <t>Mary Ann A. Lazo</t>
  </si>
  <si>
    <t>LIVY POLIA DALA</t>
  </si>
  <si>
    <t>Melanie Estrella Abela</t>
  </si>
  <si>
    <t>Jose Nolito Castor Tomulto</t>
  </si>
  <si>
    <t>Lester Mobreros Aringo</t>
  </si>
  <si>
    <t>Julio Malanao Sampilo</t>
  </si>
  <si>
    <t>Andy Ralfh Villafuerte Conocono</t>
  </si>
  <si>
    <t>Norma Capate Laure</t>
  </si>
  <si>
    <t>Michael Trasmil Ibisate</t>
  </si>
  <si>
    <t>ROLANDO A DINGLASAN</t>
  </si>
  <si>
    <t>bryan gallenero piadoche</t>
  </si>
  <si>
    <t>Lydia Grueso Suguerra</t>
  </si>
  <si>
    <t>Donato Panaligan</t>
  </si>
  <si>
    <t>Epifanio D. Villasorca</t>
  </si>
  <si>
    <t>Editha D. Cruz</t>
  </si>
  <si>
    <t>Melinda Devesa Lonceras</t>
  </si>
  <si>
    <t>Blessilda May S.  Angeles</t>
  </si>
  <si>
    <t>ELEONOR B PALACIO</t>
  </si>
  <si>
    <t>Loy Joseph I Quitain</t>
  </si>
  <si>
    <t>JONEFE GOMEZ OCASLA</t>
  </si>
  <si>
    <t>Adelfa Tiongco Lamangin</t>
  </si>
  <si>
    <t>Juvy  Fugnit  Paulican</t>
  </si>
  <si>
    <t>Roberto R. Dingding</t>
  </si>
  <si>
    <t>MA. LIGAYA PIMENTEL GEPOLLO</t>
  </si>
  <si>
    <t>Patrocinio Risos</t>
  </si>
  <si>
    <t>Edsel A. Moratal</t>
  </si>
  <si>
    <t>Mary Rose Capanzana Occidental</t>
  </si>
  <si>
    <t>Rodrigo V. Custodio</t>
  </si>
  <si>
    <t>Francis Antonio Legaspi Flores</t>
  </si>
  <si>
    <t>FILIPINAS ESTRELLA RODELAS</t>
  </si>
  <si>
    <t>April Joy R Tambis</t>
  </si>
  <si>
    <t>Grace P Hainto</t>
  </si>
  <si>
    <t>JOEBAEL D MOHAMAD</t>
  </si>
  <si>
    <t>Evangeline L Sarlon</t>
  </si>
  <si>
    <t>Amorie Michele Marba Janubas</t>
  </si>
  <si>
    <t>Danilo D. Pazcoguin</t>
  </si>
  <si>
    <t>Lelia Uriarte</t>
  </si>
  <si>
    <t>Andrew Ian Bulda Dormitorio</t>
  </si>
  <si>
    <t>Aaron Robert Anza Binarao</t>
  </si>
  <si>
    <t>DELMA C FERNANDEZ</t>
  </si>
  <si>
    <t>Oliver Ted Castillo Orsolino</t>
  </si>
  <si>
    <t>MELCHOR JR. P. DEJANO</t>
  </si>
  <si>
    <t>Roderick Trangia Songahid</t>
  </si>
  <si>
    <t>Rosalind Rosal Vasquez</t>
  </si>
  <si>
    <t>ANTONIO BERNARDO GALVEZ</t>
  </si>
  <si>
    <t>Rodolfo Felipe Jopio Jr.</t>
  </si>
  <si>
    <t>CHARRIE ANN SINGCO SALES</t>
  </si>
  <si>
    <t>Jovito Gocela Salazar</t>
  </si>
  <si>
    <t>LIEZEL BRAZAL DE LEON</t>
  </si>
  <si>
    <t>Harold Repollo Jabel</t>
  </si>
  <si>
    <t>ELYNOR DE SAN ANDRES PUEBLA</t>
  </si>
  <si>
    <t>Michelle A Supena</t>
  </si>
  <si>
    <t>TEOFILO I CALUYA</t>
  </si>
  <si>
    <t>Ma. Estela Magno Gabiota</t>
  </si>
  <si>
    <t>Raymund Espino Garrido</t>
  </si>
  <si>
    <t>Roderick Casulla Macinas</t>
  </si>
  <si>
    <t>Marivic Santander Saniel</t>
  </si>
  <si>
    <t>Reynaldo G Mariano</t>
  </si>
  <si>
    <t>ELVIS R. CUIZON</t>
  </si>
  <si>
    <t>SARAH JOY S. AGBAYANI</t>
  </si>
  <si>
    <t>FRANCES BENILAN TANGOG</t>
  </si>
  <si>
    <t>DIOSCORO ALICARTE LARIDE</t>
  </si>
  <si>
    <t>Policarpio Eli Fontanilla Jr.</t>
  </si>
  <si>
    <t>PHOEBE AMON POTENCIOSO</t>
  </si>
  <si>
    <t>LEIZEL ALBEZA MORA</t>
  </si>
  <si>
    <t>Marivic Torres Pagala</t>
  </si>
  <si>
    <t>Lorenzo B Gahoy</t>
  </si>
  <si>
    <t>Mariecel E Cornejo</t>
  </si>
  <si>
    <t>Isidra E. Tumale</t>
  </si>
  <si>
    <t>AGOSTO BELINO BAOBAOEN</t>
  </si>
  <si>
    <t>Sol P. Molo</t>
  </si>
  <si>
    <t>Maximo G. Lomosbog</t>
  </si>
  <si>
    <t>Welia  Caagbay Mundin</t>
  </si>
  <si>
    <t>Ann Mariz Tablante Dalumpines</t>
  </si>
  <si>
    <t>EDUARDO EBANA JAQUILMAC</t>
  </si>
  <si>
    <t>Carol Zulueta Ramos</t>
  </si>
  <si>
    <t>ANNALIZA LAUREO GARCIA</t>
  </si>
  <si>
    <t>Hazel Bancale Dacillo</t>
  </si>
  <si>
    <t>Stanley B Uriarte</t>
  </si>
  <si>
    <t>Marlene  Castro  Sabado</t>
  </si>
  <si>
    <t>Antonio Ma. Benito Tiano Calma</t>
  </si>
  <si>
    <t>Enrico Papag Limjuico</t>
  </si>
  <si>
    <t>Gonzalo Taguenca Pusta</t>
  </si>
  <si>
    <t>Ma. Kristina Goylos Medalla</t>
  </si>
  <si>
    <t>Leonisa De Ramon  Romano</t>
  </si>
  <si>
    <t>Lady E. Abong</t>
  </si>
  <si>
    <t>Reynald Meim Villacorta</t>
  </si>
  <si>
    <t>Jose, Jr. Ban-ao Balajo</t>
  </si>
  <si>
    <t>Cristina Olvido Gutierrez</t>
  </si>
  <si>
    <t>Joseph Molina Apan</t>
  </si>
  <si>
    <t>Mark Jayson R. Carabido</t>
  </si>
  <si>
    <t>WILSON ALLONA</t>
  </si>
  <si>
    <t>Mary Ann P Halili</t>
  </si>
  <si>
    <t>Christine Joy S. Aclan-Pacalang</t>
  </si>
  <si>
    <t>Necerio Lazarte</t>
  </si>
  <si>
    <t>Christine Joy Benin Anonuevo</t>
  </si>
  <si>
    <t>Donell Mark  Francisco Baranda</t>
  </si>
  <si>
    <t>Jeffin Dick M Vidal</t>
  </si>
  <si>
    <t>Leonora Lumayag Ofredo</t>
  </si>
  <si>
    <t>Ma. Elina Romas Lipang</t>
  </si>
  <si>
    <t>Roland David David</t>
  </si>
  <si>
    <t>Merlinda P. Maata</t>
  </si>
  <si>
    <t>Rico Atega Ygbuhay</t>
  </si>
  <si>
    <t>ORLANDO LIBORES ROMERO</t>
  </si>
  <si>
    <t>EFREN MARBEBE</t>
  </si>
  <si>
    <t>Agnes Buena Agnas</t>
  </si>
  <si>
    <t>Candelaria Ubana Estremos</t>
  </si>
  <si>
    <t>Bernadette F. Ang</t>
  </si>
  <si>
    <t xml:space="preserve">Mario Jr. Basilio Deraco </t>
  </si>
  <si>
    <t>Jocelyn D Melandres</t>
  </si>
  <si>
    <t>Cherryl Cerbo</t>
  </si>
  <si>
    <t>TRIPON  MERCADO  CONDEZA</t>
  </si>
  <si>
    <t>ANNA LHE BOLIVAR TULIO</t>
  </si>
  <si>
    <t>Roy Ian A Resplandor</t>
  </si>
  <si>
    <t>Aries Cañas Balboa</t>
  </si>
  <si>
    <t>Marcela Deseo Blancada</t>
  </si>
  <si>
    <t>Marcial C. Comeros</t>
  </si>
  <si>
    <t>DEBORAH APAS MONTERO</t>
  </si>
  <si>
    <t>LOUIS SAGRADO BOLLOZOS</t>
  </si>
  <si>
    <t>Leonisa L. Layosa</t>
  </si>
  <si>
    <t>Elmer Ogena Macenas</t>
  </si>
  <si>
    <t>Philip P. Garcia</t>
  </si>
  <si>
    <t>Florencio Formaran Parcarey</t>
  </si>
  <si>
    <t>ADRIAN CORDITA COSTUYA</t>
  </si>
  <si>
    <t>Perry Origenes Bague</t>
  </si>
  <si>
    <t>MARLENE PAGSISIHAN ERNAS</t>
  </si>
  <si>
    <t>Karla Shane Ramos Patega</t>
  </si>
  <si>
    <t>Jose Ferdinand Laloy Gabrido</t>
  </si>
  <si>
    <t>REGIE BAES AGNO</t>
  </si>
  <si>
    <t>Ella Mae F. Jayag</t>
  </si>
  <si>
    <t>Raymundo Ayeng Sualog</t>
  </si>
  <si>
    <t>Eva Cañeda</t>
  </si>
  <si>
    <t>Jezreel Gomez Ortega</t>
  </si>
  <si>
    <t>Sandae B. Lico</t>
  </si>
  <si>
    <t>Christopher Lacea Malayan</t>
  </si>
  <si>
    <t>marianne ojeno samar</t>
  </si>
  <si>
    <t>Guy Villanueva Arellano</t>
  </si>
  <si>
    <t>RESTITUTO ALIÑABON</t>
  </si>
  <si>
    <t>Emeliza Maniquiz Nogoy</t>
  </si>
  <si>
    <t>ORLANDO MUNDO ALMACIN</t>
  </si>
  <si>
    <t>Lani Maog Tumbaga</t>
  </si>
  <si>
    <t>Miguela Biongcog</t>
  </si>
  <si>
    <t>ERMA DICHOSO ESCURO</t>
  </si>
  <si>
    <t>Michael A. Piodena</t>
  </si>
  <si>
    <t>ODESSA T. MANLIGOY</t>
  </si>
  <si>
    <t>Kristelle Balboa Dimarucot</t>
  </si>
  <si>
    <t>Merly Basabe Lanon</t>
  </si>
  <si>
    <t>Carol Flores Diwa</t>
  </si>
  <si>
    <t>Magnolia T Flores</t>
  </si>
  <si>
    <t>Vivian Jaquilmac Adajar</t>
  </si>
  <si>
    <t>ANNABELLA SUGURAN GALLARDO</t>
  </si>
  <si>
    <t>Krizza Joy De La Cerna Tomugdan</t>
  </si>
  <si>
    <t>MANUEL PARAYNO PARAYNO</t>
  </si>
  <si>
    <t>Julie Ann Dizon Malig</t>
  </si>
  <si>
    <t>Marilyn P. Duran</t>
  </si>
  <si>
    <t>Marife Rendon</t>
  </si>
  <si>
    <t>Marilou Yu Macapil</t>
  </si>
  <si>
    <t>Felix S. Billon</t>
  </si>
  <si>
    <t>Reynaldo Viduya Valenzuela</t>
  </si>
  <si>
    <t>CYNTHIA BACONGA PECORE</t>
  </si>
  <si>
    <t>Jake Malnegro Maglahus</t>
  </si>
  <si>
    <t>Letecia M. Jovenal M Jovenal</t>
  </si>
  <si>
    <t>MARIE VI SALUNDAGUIT FABRE</t>
  </si>
  <si>
    <t>JOSEPHINE JIMENEZ DUMALAG</t>
  </si>
  <si>
    <t>LEO S. MATIAS</t>
  </si>
  <si>
    <t>Amancio Velasco, Sr.</t>
  </si>
  <si>
    <t>Vicente B. Calag</t>
  </si>
  <si>
    <t>Joselyn Gonza Madrigallos</t>
  </si>
  <si>
    <t>Joelito Bueñafe</t>
  </si>
  <si>
    <t>Irein E. Landicho</t>
  </si>
  <si>
    <t>Jessie Luceño</t>
  </si>
  <si>
    <t>Perlito C. Oteyza</t>
  </si>
  <si>
    <t>MA. ANTONIA GATIL RAFALES</t>
  </si>
  <si>
    <t>Clariza Cabuello Estremera</t>
  </si>
  <si>
    <t>Donald De la Cruz Landero</t>
  </si>
  <si>
    <t>Mary- Ann R Lumag</t>
  </si>
  <si>
    <t>GIGI FLORES CORONEL</t>
  </si>
  <si>
    <t>PABLITO DALISAY AGILLON</t>
  </si>
  <si>
    <t>JUBERT  D.  TUTOR</t>
  </si>
  <si>
    <t>JOSE L MANZANO</t>
  </si>
  <si>
    <t>LEAH ABORDO OBLIAN</t>
  </si>
  <si>
    <t>KRISTOFFER JOHN GALVAN AMBUEGUIA</t>
  </si>
  <si>
    <t>Geraldine L Arrieta</t>
  </si>
  <si>
    <t>KATHERINE J GUTIERREZ</t>
  </si>
  <si>
    <t>Arman Borja Basbas</t>
  </si>
  <si>
    <t>Mariecon Pambid Vicente</t>
  </si>
  <si>
    <t>EDITHA LOPEZ LARON</t>
  </si>
  <si>
    <t>Jessie Canama Paquibo</t>
  </si>
  <si>
    <t>JEFFREY TABUCO KHO</t>
  </si>
  <si>
    <t>Glenn Centino Quinto</t>
  </si>
  <si>
    <t>Alan C. Santos</t>
  </si>
  <si>
    <t>NOLITO MATANGUIHAN</t>
  </si>
  <si>
    <t>Rosanna Maratas Siega</t>
  </si>
  <si>
    <t>Roland Jason  Montejo</t>
  </si>
  <si>
    <t>Jocelyn Mosqueda Abaya</t>
  </si>
  <si>
    <t>JOSE R TOLENTINO</t>
  </si>
  <si>
    <t>Annielyn N JAVIER</t>
  </si>
  <si>
    <t>RANIL COLE LEGARDE</t>
  </si>
  <si>
    <t>Romer Pacpaco Regucera</t>
  </si>
  <si>
    <t>RIZALITO DELA CRUZ VERGARA</t>
  </si>
  <si>
    <t>Vanesa C. Cutanda</t>
  </si>
  <si>
    <t>ROMEL BARIA BALISANG</t>
  </si>
  <si>
    <t>EMMANUEL DE GUZMAN CABRAL</t>
  </si>
  <si>
    <t>chito bardelosa niegas</t>
  </si>
  <si>
    <t>Wilbert Eusebio Jose</t>
  </si>
  <si>
    <t>May Rose Dejaro  Denolang</t>
  </si>
  <si>
    <t>VINCENT RON B BACOL</t>
  </si>
  <si>
    <t>Evangeline Balan Lorenzo</t>
  </si>
  <si>
    <t>Cheryll  Villareal</t>
  </si>
  <si>
    <t>FLORIE V RASDAS</t>
  </si>
  <si>
    <t>Joseph Roy Quezon Suhayon</t>
  </si>
  <si>
    <t>Annalyne Abenido  Zaballero</t>
  </si>
  <si>
    <t>Arni Nidoy Abad</t>
  </si>
  <si>
    <t>ALLEN M FORTES</t>
  </si>
  <si>
    <t>Antonio Mendoza Bautista</t>
  </si>
  <si>
    <t>VICTOR LUZA LAGUNA</t>
  </si>
  <si>
    <t>Mary Grace A Dela Cruz</t>
  </si>
  <si>
    <t>Azlek Owen B. Tan</t>
  </si>
  <si>
    <t>Jovie Mayne Legaspi-Valdez</t>
  </si>
  <si>
    <t>JAMES DIZON GUAZO</t>
  </si>
  <si>
    <t>Jan Michael Clifford Bugtong</t>
  </si>
  <si>
    <t>Minna Balagtas Galang</t>
  </si>
  <si>
    <t>Rene Maslog</t>
  </si>
  <si>
    <t>Mitos Villareal Royo</t>
  </si>
  <si>
    <t>Aileen Aleste</t>
  </si>
  <si>
    <t>Mayren Joy Hapitan Balindoa</t>
  </si>
  <si>
    <t>EDEN MERCADO SANTOS</t>
  </si>
  <si>
    <t>Armand Aquino</t>
  </si>
  <si>
    <t>Felisa R Ebreo</t>
  </si>
  <si>
    <t>Ma. Rita Fallorina Ongbit</t>
  </si>
  <si>
    <t>James Beltran</t>
  </si>
  <si>
    <t>ulanbai silongan lizardo</t>
  </si>
  <si>
    <t>Lucita T. Orfilla</t>
  </si>
  <si>
    <t>Marnell Carreon Ubaldo</t>
  </si>
  <si>
    <t>Jennifer Principe Esteban</t>
  </si>
  <si>
    <t>MARCELO JUANICH PADILLA</t>
  </si>
  <si>
    <t>Jose Albert A Barrogo</t>
  </si>
  <si>
    <t>Regino  Mirafuentes  Rama</t>
  </si>
  <si>
    <t>Abdulrakman Mokamad</t>
  </si>
  <si>
    <t>ILUMINADA O. RUBA</t>
  </si>
  <si>
    <t>Alex Rivas Literato</t>
  </si>
  <si>
    <t>ARISTON TARROQUIN TORCELINO</t>
  </si>
  <si>
    <t>Manuel  Arguelles Alastre</t>
  </si>
  <si>
    <t>Eufrecenia A. Bernardo</t>
  </si>
  <si>
    <t>Ofelia Escobarte Nacional</t>
  </si>
  <si>
    <t>Julieto R. Yahot</t>
  </si>
  <si>
    <t>SHIRLEY SENA SIGUE</t>
  </si>
  <si>
    <t>IMELDA ANANO ALBUTRA</t>
  </si>
  <si>
    <t>Christian Noel D. Castillo</t>
  </si>
  <si>
    <t>Cynthia Faustino Delgado</t>
  </si>
  <si>
    <t>Richard Angel M. Arboleda</t>
  </si>
  <si>
    <t>Charitie Dagsa Gabito</t>
  </si>
  <si>
    <t>Mark Joseph Roque Dampil</t>
  </si>
  <si>
    <t>Glen Mary Fiecas Sim</t>
  </si>
  <si>
    <t>Remegio Lao Saniel</t>
  </si>
  <si>
    <t>Rovic G. Pantua</t>
  </si>
  <si>
    <t>NOEMI V. BALAIS</t>
  </si>
  <si>
    <t>Hamza M. Boloto</t>
  </si>
  <si>
    <t>fredericka F. ferriol</t>
  </si>
  <si>
    <t>Flordeliza  Villanoy Cansancio</t>
  </si>
  <si>
    <t>JUNE ILYN TERADO ESTEBAN</t>
  </si>
  <si>
    <t>Elna Bacayo Valenzuela</t>
  </si>
  <si>
    <t>Michael Ian Galleros Ceballos</t>
  </si>
  <si>
    <t>FELOMENA S CABACTULAN</t>
  </si>
  <si>
    <t>Elizabeth B. Del Fin</t>
  </si>
  <si>
    <t>Romeo L Tuddao</t>
  </si>
  <si>
    <t>DENNIS BAYUWAN BAGYON</t>
  </si>
  <si>
    <t>WILBERTO O. CASTILLO</t>
  </si>
  <si>
    <t>MARIA LUCIA RANIN REQUEJO</t>
  </si>
  <si>
    <t>Mercedita Binoya Maluenda</t>
  </si>
  <si>
    <t>Flores Ogaña Serdon</t>
  </si>
  <si>
    <t>BERNARDITHA BOLINA MILLETE</t>
  </si>
  <si>
    <t>Ricardo M Tupaz</t>
  </si>
  <si>
    <t>Rudy Zamora Soliven</t>
  </si>
  <si>
    <t>Sylvia Maquilan Caratao</t>
  </si>
  <si>
    <t>Gilbert Cuaresma</t>
  </si>
  <si>
    <t>Lamberto Santos Ramos</t>
  </si>
  <si>
    <t>Efren  Turno  Acaso</t>
  </si>
  <si>
    <t>Edgardo C. Ramos</t>
  </si>
  <si>
    <t>DOMINADOR FAMACION BOMOTANO</t>
  </si>
  <si>
    <t>Jordan Ravanzo Sipsip</t>
  </si>
  <si>
    <t>Jhenevy Monel Diamate</t>
  </si>
  <si>
    <t>Ruel Salumbides Lazona</t>
  </si>
  <si>
    <t>DEBBIE HERRAS ESCURO</t>
  </si>
  <si>
    <t>Joycelyn Calibuso  Leonzon</t>
  </si>
  <si>
    <t>Antonio T Chan</t>
  </si>
  <si>
    <t>KAREN SOSMEÑA TENEBRO</t>
  </si>
  <si>
    <t>JOHN CHRISTIAN MANAGAD SIOCO</t>
  </si>
  <si>
    <t>Dolores Carig Tendero</t>
  </si>
  <si>
    <t>Yondre Jaen Yonder</t>
  </si>
  <si>
    <t>Brenjune Bliss Gerong Calapre</t>
  </si>
  <si>
    <t>Candelaria Tamera Motin</t>
  </si>
  <si>
    <t>Ma. Liza Candelaria Ortiz</t>
  </si>
  <si>
    <t>MERIAM R. BENDOY</t>
  </si>
  <si>
    <t>Joven P Marcial</t>
  </si>
  <si>
    <t>MARIO  BEDRIJO  URSAL</t>
  </si>
  <si>
    <t>LILIA DIAZ DE GUZMAN</t>
  </si>
  <si>
    <t>Jim Benzon R. Talavera</t>
  </si>
  <si>
    <t>THEODORE MAZO ROJAS</t>
  </si>
  <si>
    <t>Ferdinand So Omaña</t>
  </si>
  <si>
    <t>Lucil I Montermoso</t>
  </si>
  <si>
    <t>Ronald Nacario Villanueva</t>
  </si>
  <si>
    <t>ERENEO  E. SULLANO</t>
  </si>
  <si>
    <t>Maria Umambac Floren</t>
  </si>
  <si>
    <t>Engr Renie R Albarina</t>
  </si>
  <si>
    <t>Mary Jofel C Santelices</t>
  </si>
  <si>
    <t>Jenny  Ardales Rubrico</t>
  </si>
  <si>
    <t>Mateo  Tomaquin</t>
  </si>
  <si>
    <t>CHERRY ANN BANIEL</t>
  </si>
  <si>
    <t>GLEN BESUEÑA MAGTURO</t>
  </si>
  <si>
    <t>Anna Karla Mae Postor Grindulo</t>
  </si>
  <si>
    <t>RIZA ESPARTERO BALLANCA</t>
  </si>
  <si>
    <t>MACAPANTAO REMPUNGAN MANAMBA</t>
  </si>
  <si>
    <t>BAC HINUNDAYAN LGU-Hinundayan, So. Leyte</t>
  </si>
  <si>
    <t>Hamelcar Anala Primavera</t>
  </si>
  <si>
    <t>RHEA B  PEDROSA</t>
  </si>
  <si>
    <t>Rodel T. Espiritu</t>
  </si>
  <si>
    <t>ROSE JEAN  MUnOZ</t>
  </si>
  <si>
    <t>Florence Joy R. Mallare-Abad</t>
  </si>
  <si>
    <t>Connie  Bagadiong Avila</t>
  </si>
  <si>
    <t>Helen Apostol Calatrava</t>
  </si>
  <si>
    <t>Blesilda R. Domagas</t>
  </si>
  <si>
    <t>Estrella Ageas Maata</t>
  </si>
  <si>
    <t>LUISA G  AZUELO</t>
  </si>
  <si>
    <t>MARIVIC  J.  MANGUBAT</t>
  </si>
  <si>
    <t>Arianna Krystyn A. Perez</t>
  </si>
  <si>
    <t>SAMERIO JR. D  AGURA</t>
  </si>
  <si>
    <t>Armando Roaring</t>
  </si>
  <si>
    <t>CHRISTINE Y CARTAJENA</t>
  </si>
  <si>
    <t>Mary Jean  L.  Lara</t>
  </si>
  <si>
    <t>MILAGROS BAGASIN</t>
  </si>
  <si>
    <t>MARIFE M  TOÑACAO</t>
  </si>
  <si>
    <t>Randy B Moredo</t>
  </si>
  <si>
    <t>Jayjay C. Pagalaran</t>
  </si>
  <si>
    <t>Lolito B. Aboy</t>
  </si>
  <si>
    <t>Arnold Alba Perez</t>
  </si>
  <si>
    <t>JEREMIAS RAÑOLA TUMAMAK</t>
  </si>
  <si>
    <t>RENATO RUBEN CASIANO BRAGADO</t>
  </si>
  <si>
    <t>ludivina culasing olivas</t>
  </si>
  <si>
    <t>Samira Guimba Pagayao</t>
  </si>
  <si>
    <t>Louie O Canlas</t>
  </si>
  <si>
    <t>Restituto Zapanta Balane</t>
  </si>
  <si>
    <t>Kristine Gomez Contreras</t>
  </si>
  <si>
    <t>EMELITO M YURO</t>
  </si>
  <si>
    <t>Rey Amador Mallen Baragamento</t>
  </si>
  <si>
    <t>Alegria Acosta Rayos</t>
  </si>
  <si>
    <t>Ma. Elma Solangon Alapre</t>
  </si>
  <si>
    <t>Reynaldo Collado Floria</t>
  </si>
  <si>
    <t>Henry L Vera</t>
  </si>
  <si>
    <t>EDMUNDO ORQUITA ALTIZO SR.</t>
  </si>
  <si>
    <t>Maria Nenita Reyes Chiu</t>
  </si>
  <si>
    <t>Joel Gubatanga Jaboneta</t>
  </si>
  <si>
    <t>Rodnie L. Benny</t>
  </si>
  <si>
    <t>Isidro Lopez Tapar</t>
  </si>
  <si>
    <t>Ferdinand G. Razonable</t>
  </si>
  <si>
    <t>Miladilla Santiago</t>
  </si>
  <si>
    <t>FREDERICK ORTEZA DELA CRUZ</t>
  </si>
  <si>
    <t>Charles Bronson Bautista Olea</t>
  </si>
  <si>
    <t>Christine Marie Cruz Crisostomo</t>
  </si>
  <si>
    <t>Joel P Rosario</t>
  </si>
  <si>
    <t>Renato Leones Diaz</t>
  </si>
  <si>
    <t>Leonardo P Garcia</t>
  </si>
  <si>
    <t>Carlos Seechung</t>
  </si>
  <si>
    <t>DORINA MELAD</t>
  </si>
  <si>
    <t>ROMARICO M. CABELLON</t>
  </si>
  <si>
    <t>Edmundo Alonzo Escape</t>
  </si>
  <si>
    <t>Reynaldo V Pioquinto</t>
  </si>
  <si>
    <t>IRENEO L. SORIANO, JR.</t>
  </si>
  <si>
    <t>Lucille  I.  Susano</t>
  </si>
  <si>
    <t>Lou Poliquit Quipit</t>
  </si>
  <si>
    <t>ROSABELLA ORNA MAGPILI</t>
  </si>
  <si>
    <t>Angel, Jr. S. Ramos</t>
  </si>
  <si>
    <t>james berlin H. escaner</t>
  </si>
  <si>
    <t>Mary Melisande Jamoyot Andaya</t>
  </si>
  <si>
    <t>Glenn C. Cabaya</t>
  </si>
  <si>
    <t>LILIBETH TOCMO ALBIT</t>
  </si>
  <si>
    <t>Charo R Arugay</t>
  </si>
  <si>
    <t>Samuel Canaya</t>
  </si>
  <si>
    <t>Mark Eduard Borda Peñas</t>
  </si>
  <si>
    <t>Ma. Teresa I. Samson</t>
  </si>
  <si>
    <t>Ida I Juezan</t>
  </si>
  <si>
    <t>Feoridin Jason Lazaga Elumbaring</t>
  </si>
  <si>
    <t>JULLIAN KYLE GONZAGA SAN MATEO</t>
  </si>
  <si>
    <t>Marvin Francis U Apale</t>
  </si>
  <si>
    <t>ALIMUDIN S BITOL</t>
  </si>
  <si>
    <t>Reinerio Boglosa</t>
  </si>
  <si>
    <t>Maricel Vitasa Granada</t>
  </si>
  <si>
    <t>Zaldy C Domalina</t>
  </si>
  <si>
    <t>Petronio  C.  Tolentino</t>
  </si>
  <si>
    <t>NELIA MENGULLO ADORA</t>
  </si>
  <si>
    <t>Miriam Dela Paz Mapatac</t>
  </si>
  <si>
    <t>Rodel Gullon Chavez</t>
  </si>
  <si>
    <t>Dwight Romeo Jr. Bactol Marquez</t>
  </si>
  <si>
    <t>Relanie T Esta</t>
  </si>
  <si>
    <t>Dante M Obillo</t>
  </si>
  <si>
    <t>Marie Juvy Lalin Alera</t>
  </si>
  <si>
    <t>Cecilia Ilao Pureza</t>
  </si>
  <si>
    <t>Consuelo Javier Cruz</t>
  </si>
  <si>
    <t>Nilda Lumapak</t>
  </si>
  <si>
    <t>DOWIE JOY RODIS</t>
  </si>
  <si>
    <t>Mary Minchelle Payabyab Dela Rosa</t>
  </si>
  <si>
    <t>Toni Marc L Dargantes</t>
  </si>
  <si>
    <t>Jessie Rose Sabindo Pascua</t>
  </si>
  <si>
    <t>EMMANUEL SABORNIDO NIERRAS</t>
  </si>
  <si>
    <t>Raquel Manlimos Cero</t>
  </si>
  <si>
    <t>Aprilene Agojo Natanauan</t>
  </si>
  <si>
    <t>Gemma Del Mundo Nicolas</t>
  </si>
  <si>
    <t>Irish B. Velasco</t>
  </si>
  <si>
    <t>Pedrita A. Linga</t>
  </si>
  <si>
    <t>Cecilia Calagui</t>
  </si>
  <si>
    <t>Cario Abag Baskial</t>
  </si>
  <si>
    <t>Deniel Salvador Bentoy Morillo</t>
  </si>
  <si>
    <t>Hazel G Solis</t>
  </si>
  <si>
    <t>Rebecca B. Abdulkadil</t>
  </si>
  <si>
    <t>Johannah Descargar Bantas</t>
  </si>
  <si>
    <t>Doreen A. Lugo</t>
  </si>
  <si>
    <t>Marieta Alva Reyes</t>
  </si>
  <si>
    <t>Erlie A. Mallari</t>
  </si>
  <si>
    <t>Jeffrey Justin T. Talisic</t>
  </si>
  <si>
    <t>Angelica Joy Jara Eje</t>
  </si>
  <si>
    <t>KAREN  M. MAGSALIN</t>
  </si>
  <si>
    <t>Katrina Enerio Garcia</t>
  </si>
  <si>
    <t>Helen  Senosa  Esperancilla</t>
  </si>
  <si>
    <t>Edwin Matalog</t>
  </si>
  <si>
    <t>Fe Estrada Tingal</t>
  </si>
  <si>
    <t>Josef David Vega</t>
  </si>
  <si>
    <t>Edbert Piosca Soliven</t>
  </si>
  <si>
    <t>Christopher Marquez Azusano</t>
  </si>
  <si>
    <t>Ruben Matibag</t>
  </si>
  <si>
    <t>Bienvinido Caymo Noblefranca</t>
  </si>
  <si>
    <t>Honey Sahara Bautista Aleman</t>
  </si>
  <si>
    <t>Omar Cabauatan</t>
  </si>
  <si>
    <t>ALLANA AGUILAR BABAYEN-ON</t>
  </si>
  <si>
    <t>EMILY D UGAY</t>
  </si>
  <si>
    <t>Joey Bajao Bacoy</t>
  </si>
  <si>
    <t>Manuel T Barit</t>
  </si>
  <si>
    <t>MARIA SOL FABELLA CASUNCAD</t>
  </si>
  <si>
    <t>Gerry Lacuesta Bautista</t>
  </si>
  <si>
    <t>Lou Wendell C San Jose</t>
  </si>
  <si>
    <t>Mavic Azuran</t>
  </si>
  <si>
    <t>Gerry G Jucar</t>
  </si>
  <si>
    <t>Rosa Katherine J. Angeles</t>
  </si>
  <si>
    <t>Francisco Basilio Gadingan</t>
  </si>
  <si>
    <t>Felix Amontano Desamero</t>
  </si>
  <si>
    <t>Olga R. Bulisig</t>
  </si>
  <si>
    <t>BERNARDITA T. MUASSAB</t>
  </si>
  <si>
    <t>Prospero Andres Bartolome</t>
  </si>
  <si>
    <t>Anjie P. Ytac</t>
  </si>
  <si>
    <t>Ellyne Marie Kee Aligarbes</t>
  </si>
  <si>
    <t>QUINLO C. SUPERA</t>
  </si>
  <si>
    <t>Raychell S Luna</t>
  </si>
  <si>
    <t>Ma. Sandy M. Abutanmo</t>
  </si>
  <si>
    <t>Mario G Poserio</t>
  </si>
  <si>
    <t>CLEANTH REYES GOROSPE</t>
  </si>
  <si>
    <t>Juliana M. Reyes, MD, MHA</t>
  </si>
  <si>
    <t>Maureen Pasajol Camilo</t>
  </si>
  <si>
    <t>Emmanuel Garrido Bartolome</t>
  </si>
  <si>
    <t>AURORA MARGARET D. DIEZA</t>
  </si>
  <si>
    <t>Jo Ann Jugan Jabello</t>
  </si>
  <si>
    <t>Jesus Malana  Bolima</t>
  </si>
  <si>
    <t>BEDA LEGITA CANAMAQUE</t>
  </si>
  <si>
    <t>ARCELI ALLONES TIMOGTIMOG</t>
  </si>
  <si>
    <t>Jonathan H Loresca</t>
  </si>
  <si>
    <t>Mario Jennifer Rosco Orion</t>
  </si>
  <si>
    <t>MARY FE GRACE MERCADO BENITO</t>
  </si>
  <si>
    <t>Jerry  C.  Rodriguez</t>
  </si>
  <si>
    <t>ALEX HILARIO BALAAN</t>
  </si>
  <si>
    <t>ADRIAN A AÑO</t>
  </si>
  <si>
    <t>REYNALDO PARTIDO SANTOS</t>
  </si>
  <si>
    <t>RUPERTO BATO YCO</t>
  </si>
  <si>
    <t>FEDERICO J. GOTICO III</t>
  </si>
  <si>
    <t>Joelinda A Segui</t>
  </si>
  <si>
    <t>Nemensio T Benoza</t>
  </si>
  <si>
    <t>Eunice Faith Panganiban Castillo</t>
  </si>
  <si>
    <t>MARY GERMAINE VELARDO ALBERTO</t>
  </si>
  <si>
    <t>Nonito Cervancia</t>
  </si>
  <si>
    <t>Fernan Milagrosa Macaraeg</t>
  </si>
  <si>
    <t>MARY JOY BUCCAHAN SORIANO</t>
  </si>
  <si>
    <t>Edwin P. Marcelo</t>
  </si>
  <si>
    <t>Arturo Bordeos Timog</t>
  </si>
  <si>
    <t>CLARENCE C. MORALES</t>
  </si>
  <si>
    <t>Pablo Aguda Jr.</t>
  </si>
  <si>
    <t>margie celemen africa</t>
  </si>
  <si>
    <t>Elizabeth Gonzales Cabatingan</t>
  </si>
  <si>
    <t>VILMA BORLA HERMOSO</t>
  </si>
  <si>
    <t>Christian Inesola</t>
  </si>
  <si>
    <t>Martin A Telan</t>
  </si>
  <si>
    <t>Joel Embalsado Alvarado</t>
  </si>
  <si>
    <t>Rhoderick T. Haban</t>
  </si>
  <si>
    <t>FLERINE JAY RELATIVO SANDOT</t>
  </si>
  <si>
    <t>ALLAN SABAS BARCENA</t>
  </si>
  <si>
    <t>Modesto Buenavides Talon</t>
  </si>
  <si>
    <t>Juliet Lampago Largado</t>
  </si>
  <si>
    <t>Erika Sheena Serrano</t>
  </si>
  <si>
    <t>REA AXALAN RAMOS</t>
  </si>
  <si>
    <t>NONA V. ANHAO</t>
  </si>
  <si>
    <t>AURORA CUDAL CUARESMA</t>
  </si>
  <si>
    <t>Jaybee Gumboc Riobuya</t>
  </si>
  <si>
    <t>Jovelyn Valdez Pega</t>
  </si>
  <si>
    <t>Francis Ian L Tan</t>
  </si>
  <si>
    <t>Neil Macaraeg</t>
  </si>
  <si>
    <t>Carmelita Seto Bangayan</t>
  </si>
  <si>
    <t>Deane Marie Dorliac Ybanez</t>
  </si>
  <si>
    <t>JOHN ANTHONY ASPURIA</t>
  </si>
  <si>
    <t>Gavin B Cadiente</t>
  </si>
  <si>
    <t>GERALDINE N. RANARA</t>
  </si>
  <si>
    <t>Benigno C Austero</t>
  </si>
  <si>
    <t>EnP Arlet E. Legaspi</t>
  </si>
  <si>
    <t>Julius Caducano Bartolome</t>
  </si>
  <si>
    <t>Jose G Medel</t>
  </si>
  <si>
    <t>Rodolfo R David</t>
  </si>
  <si>
    <t>Randolf B.  Dimal</t>
  </si>
  <si>
    <t>Liborio Ancero Urot</t>
  </si>
  <si>
    <t>Noel Donell Ynion Narida</t>
  </si>
  <si>
    <t>FRANCISCO DELA VICTORIA MASCUÑANA, JR.</t>
  </si>
  <si>
    <t>Lolita Alvarez</t>
  </si>
  <si>
    <t>Rolando Veronilla Pe</t>
  </si>
  <si>
    <t>Eliza Rendon Alamo</t>
  </si>
  <si>
    <t>Devina  Pahuna Bustamante</t>
  </si>
  <si>
    <t>Joseph  Mangco  Soriano</t>
  </si>
  <si>
    <t>Ma. Rossana Cabigting Fariñas</t>
  </si>
  <si>
    <t>Victor Ariong Aglipay</t>
  </si>
  <si>
    <t>Joey Llorente</t>
  </si>
  <si>
    <t>RENATO CARINGAL ANONUEVO</t>
  </si>
  <si>
    <t>PIO CLAR TONERA</t>
  </si>
  <si>
    <t>Cherry Mae Molijon Cañete</t>
  </si>
  <si>
    <t>HEDELISA  PELOLA  MANINGO</t>
  </si>
  <si>
    <t>Felipe P Ogaco</t>
  </si>
  <si>
    <t>Marchelyn Pareja Ganit</t>
  </si>
  <si>
    <t>Blesilda Virtucio Erejer</t>
  </si>
  <si>
    <t>RUEL B. CUBERO</t>
  </si>
  <si>
    <t>Tiburcio Jr. Tolentino Tabarrejo</t>
  </si>
  <si>
    <t>Mylene Giselle C. Catbagan</t>
  </si>
  <si>
    <t>Mary Nor Jontilla Gonzales</t>
  </si>
  <si>
    <t>Ma. Twinkle G Mercader</t>
  </si>
  <si>
    <t>ROLAND B MATIAS</t>
  </si>
  <si>
    <t>Macinole Manalo Domopoy</t>
  </si>
  <si>
    <t>Victor Avendaño</t>
  </si>
  <si>
    <t>Belen Serenio Dela Peña</t>
  </si>
  <si>
    <t>Marivic Yorong Morales</t>
  </si>
  <si>
    <t>DANILO S. SANTA ANA</t>
  </si>
  <si>
    <t>JUNE IVY CIELOS MENDEZ</t>
  </si>
  <si>
    <t>Carlos De Leon Catigay Jr.</t>
  </si>
  <si>
    <t>MARIA CRISTIE VARGAS BALMADRID</t>
  </si>
  <si>
    <t>ROMER LOREZCA</t>
  </si>
  <si>
    <t>MANUEL QUERIJERO HERNANDEZ</t>
  </si>
  <si>
    <t>MERLITA  T.  SUMAWANG</t>
  </si>
  <si>
    <t>ELIZALDE ESTABILLO TUAZON</t>
  </si>
  <si>
    <t>Jeffrey G. Apilado</t>
  </si>
  <si>
    <t>Julio Carcellar Gatil</t>
  </si>
  <si>
    <t>Reynaldo C. Lopez Jr.</t>
  </si>
  <si>
    <t>CLINIA C EUSORES</t>
  </si>
  <si>
    <t>Irene Bea Faustino</t>
  </si>
  <si>
    <t>Petronila  Cabrera Mariano</t>
  </si>
  <si>
    <t>Ramil Labrigas Convicto</t>
  </si>
  <si>
    <t>larry fabian dasalla</t>
  </si>
  <si>
    <t>Scarlet Sualog Villanueva</t>
  </si>
  <si>
    <t>Aser G Sadava</t>
  </si>
  <si>
    <t>BENEDICTA B. GAMATERO</t>
  </si>
  <si>
    <t>Leonila G. Lapada</t>
  </si>
  <si>
    <t>Annalee Alarcon Aguilar</t>
  </si>
  <si>
    <t>Candido Matutina Dichosa, Jr.</t>
  </si>
  <si>
    <t>Agnes Badilla Martino</t>
  </si>
  <si>
    <t>Ofelia Dimabuyo Napalit</t>
  </si>
  <si>
    <t>RAMIL A. CONDEZ</t>
  </si>
  <si>
    <t>Julito Monteclaro Maglacas</t>
  </si>
  <si>
    <t>rodrigo jabellana</t>
  </si>
  <si>
    <t>Noel Jardeleza</t>
  </si>
  <si>
    <t>harry eran</t>
  </si>
  <si>
    <t>Ramises Baladad Esteban</t>
  </si>
  <si>
    <t>Lailani S Hernandez</t>
  </si>
  <si>
    <t>JOHN REFUERZO PILOT</t>
  </si>
  <si>
    <t>Bren Vergara Buena</t>
  </si>
  <si>
    <t>Dennis S Dabuco</t>
  </si>
  <si>
    <t>Ramil Custodio Martinez</t>
  </si>
  <si>
    <t>Jose Marcelo</t>
  </si>
  <si>
    <t>Giovanni Y. Tianero</t>
  </si>
  <si>
    <t>JENNY BEE HERBILLA RIVERA</t>
  </si>
  <si>
    <t>NESTOR T TELIN</t>
  </si>
  <si>
    <t>Nestor Acol Almaite</t>
  </si>
  <si>
    <t>Ruth Embate Agustin</t>
  </si>
  <si>
    <t>Sharon S. Gupalor</t>
  </si>
  <si>
    <t>Lani Pabalan Magno</t>
  </si>
  <si>
    <t>REYLLAND EBALLE RENDAL</t>
  </si>
  <si>
    <t>Virginia D. Balderas</t>
  </si>
  <si>
    <t>Rosemarie  Lavilla  Ordas</t>
  </si>
  <si>
    <t>Jackielyn Macahilo Marcelino</t>
  </si>
  <si>
    <t>Dolores Villanueva Betonio</t>
  </si>
  <si>
    <t>Angela H. Rivera</t>
  </si>
  <si>
    <t>EVAN V. PUYOS</t>
  </si>
  <si>
    <t>Katrine Natanauan Martinez</t>
  </si>
  <si>
    <t>Sharon Obias Dancalan</t>
  </si>
  <si>
    <t>Jude Thaddeus G. Paat</t>
  </si>
  <si>
    <t>MARIADELIA BUBA AVE</t>
  </si>
  <si>
    <t>Jacquiline Lanutan Tagaca</t>
  </si>
  <si>
    <t>ELAINE JUBAILYN MAGARANG MOCSANAT</t>
  </si>
  <si>
    <t>Klaudine Magno De Vera</t>
  </si>
  <si>
    <t>Andres R Avorque</t>
  </si>
  <si>
    <t>Julie Joy Bayoguing Divinagracia</t>
  </si>
  <si>
    <t>Angelbert G Dimazana</t>
  </si>
  <si>
    <t>Beatriz Dumapay Pascual</t>
  </si>
  <si>
    <t>ANECITA PEREZ ARGUILLES</t>
  </si>
  <si>
    <t>JESUS JONJIE ADELANTAR VENTURANZA</t>
  </si>
  <si>
    <t>Melanie D. Calajate</t>
  </si>
  <si>
    <t>Jovel Jurada Oberio</t>
  </si>
  <si>
    <t>CARLITO BRUZON COTARES</t>
  </si>
  <si>
    <t>ATTY. CHRISTY JOY S SOLLESTA</t>
  </si>
  <si>
    <t>Benazir Lim Alam</t>
  </si>
  <si>
    <t>Virginia Jimenez Nicolas</t>
  </si>
  <si>
    <t>Angelo Arca dela Rosa</t>
  </si>
  <si>
    <t>ANACLETO  AVENIDO  PLASABAS</t>
  </si>
  <si>
    <t>Raymundo Belen Cueto</t>
  </si>
  <si>
    <t>Camille L Maraviles</t>
  </si>
  <si>
    <t>Gerardo Jr. V Viloria</t>
  </si>
  <si>
    <t>Hitler Zapata Masangkay</t>
  </si>
  <si>
    <t>Monaliza Aquino Galvez</t>
  </si>
  <si>
    <t>Ma. Carlota Supillo Baral</t>
  </si>
  <si>
    <t>JIMMY AMBROCIO FAMARANCO</t>
  </si>
  <si>
    <t>Maricar C Cristobal</t>
  </si>
  <si>
    <t>Mila Rodrin Creencia 2</t>
  </si>
  <si>
    <t>MERCEDITA DIWA</t>
  </si>
  <si>
    <t>JEANNA RABANILLO RAPAYRAPAY</t>
  </si>
  <si>
    <t>LEA C. BARASI</t>
  </si>
  <si>
    <t>Mae Ann Olasiman Cutamora</t>
  </si>
  <si>
    <t>Gina Arao Arevalo</t>
  </si>
  <si>
    <t>Lilibeth Pedroso Arca</t>
  </si>
  <si>
    <t>jimmy managad tolentino</t>
  </si>
  <si>
    <t>Antonia D Castillo</t>
  </si>
  <si>
    <t>SAMUEL GUMPAL LLANES</t>
  </si>
  <si>
    <t>KARLEEN R. DESTURA</t>
  </si>
  <si>
    <t>Rene I Estorpe</t>
  </si>
  <si>
    <t>Algen Grejalvo Rasco</t>
  </si>
  <si>
    <t>MA. CELESTE S. DIZON</t>
  </si>
  <si>
    <t>JOENIME B KAPINA</t>
  </si>
  <si>
    <t>KEN EMERY B. MARTINEZ</t>
  </si>
  <si>
    <t>Fritzie Mae Vasquez Valenzuela</t>
  </si>
  <si>
    <t>Leonard E. Marquez</t>
  </si>
  <si>
    <t>Fhe Gallardo</t>
  </si>
  <si>
    <t>Norman Jay B. Alvarado</t>
  </si>
  <si>
    <t>Lourvelyn Sicat Lacson</t>
  </si>
  <si>
    <t>Rosanna Tan Andal</t>
  </si>
  <si>
    <t>Jennifer Balucan Vega</t>
  </si>
  <si>
    <t>JOCELYN FUENTES VILLARIN</t>
  </si>
  <si>
    <t>DUSTIN PADILLA FORMALEJO</t>
  </si>
  <si>
    <t>Rinafe del Rio Dy</t>
  </si>
  <si>
    <t>Hope Jaravata Relayson</t>
  </si>
  <si>
    <t>EDWARD SULIMA MAHINAY</t>
  </si>
  <si>
    <t>RAUL PANELO GALI</t>
  </si>
  <si>
    <t>Atilano Alinarte Abilay</t>
  </si>
  <si>
    <t>rodrigo burio olano</t>
  </si>
  <si>
    <t>Christopher Dave Baldedara Musa</t>
  </si>
  <si>
    <t>Evencio C Ruben</t>
  </si>
  <si>
    <t>Helen Capuyan Suico</t>
  </si>
  <si>
    <t>kethlyn franco villar</t>
  </si>
  <si>
    <t>Monalyn Lomibao Moulic</t>
  </si>
  <si>
    <t>Jennifer Sayson Teo</t>
  </si>
  <si>
    <t>Mariane B. Tingchuy</t>
  </si>
  <si>
    <t>EVELYN COLUMBRES MALIGAD</t>
  </si>
  <si>
    <t>Andresito Papelirin Dosal</t>
  </si>
  <si>
    <t>Realyn Mae Bonilla Bernas</t>
  </si>
  <si>
    <t>Romelyn G. Estares</t>
  </si>
  <si>
    <t>Kimberly Englis Templado</t>
  </si>
  <si>
    <t>Joel B Sumugat</t>
  </si>
  <si>
    <t>Dominic Babaran Calimag</t>
  </si>
  <si>
    <t>Alvin B De Roxas</t>
  </si>
  <si>
    <t>Urbie Mahipos Migallen</t>
  </si>
  <si>
    <t>RICARDO, JR. ABABOL IMBING</t>
  </si>
  <si>
    <t>Rene Sarmiento</t>
  </si>
  <si>
    <t>FREDDIE O. TEJADA</t>
  </si>
  <si>
    <t>Annalyn R. Encomio</t>
  </si>
  <si>
    <t>Mary Jean Garrido Demonteverde</t>
  </si>
  <si>
    <t>Ruel Cole Armodia</t>
  </si>
  <si>
    <t>RUSTICO GOJO CRUZ GATCHALIAN</t>
  </si>
  <si>
    <t>Jennifer Mallonga Cunanan</t>
  </si>
  <si>
    <t>Manulito S Rodriguez</t>
  </si>
  <si>
    <t>RAYMOORE A ARTATES</t>
  </si>
  <si>
    <t>Cecille Arao Briones</t>
  </si>
  <si>
    <t>Peachy Natividad E. Chatto</t>
  </si>
  <si>
    <t>Celia villanueva Manalad</t>
  </si>
  <si>
    <t>Michelle M Marcos</t>
  </si>
  <si>
    <t>JANICE DJ. CHICO</t>
  </si>
  <si>
    <t>MA. BELEN POLIDO ACUESTA</t>
  </si>
  <si>
    <t>Vannesa Bianca Garcia</t>
  </si>
  <si>
    <t>Rosalie C Obena</t>
  </si>
  <si>
    <t>Jundel John Benavidez Cabanela</t>
  </si>
  <si>
    <t>Reynaldo Salting De Fiesta</t>
  </si>
  <si>
    <t>Aileen C. Cula</t>
  </si>
  <si>
    <t>GLENN H. TIANGHA</t>
  </si>
  <si>
    <t>Baltazar Caro Carisma</t>
  </si>
  <si>
    <t>JAN RAE MIJARES CANABANO</t>
  </si>
  <si>
    <t>MARICRIS G. DIAZ</t>
  </si>
  <si>
    <t>CONSTANTE MADRID JACOBE</t>
  </si>
  <si>
    <t>ENGR. GREGORIO VALENCIA BALUYUT</t>
  </si>
  <si>
    <t>Esmeralda Inojales Vallecera</t>
  </si>
  <si>
    <t>VENUS NARAG MARTIREZ</t>
  </si>
  <si>
    <t>NESTOR APLACA AMPARO</t>
  </si>
  <si>
    <t>Rojedy Arroyo Castro</t>
  </si>
  <si>
    <t>Edwina C. Carriedo</t>
  </si>
  <si>
    <t>Gaudencio Quiaoit Orpiano, Jr</t>
  </si>
  <si>
    <t>ELIZABETH GARAY AYAG</t>
  </si>
  <si>
    <t>JEMSEL  Sr. DETALO VALDEZ</t>
  </si>
  <si>
    <t>marygrace sarabia samillano</t>
  </si>
  <si>
    <t>Evelyn G Orcajada</t>
  </si>
  <si>
    <t>ELENA A. AGANON</t>
  </si>
  <si>
    <t>Marcelina Jumawan Oguis</t>
  </si>
  <si>
    <t>STEVE NICHOLS S. DIONALDO</t>
  </si>
  <si>
    <t>Carolina Lequin Henoguin</t>
  </si>
  <si>
    <t>Victorino Martin Tamayo</t>
  </si>
  <si>
    <t>JAN MICHAEL RAYMUNDO RAYMUNDO</t>
  </si>
  <si>
    <t>MARICAR H DIPUTADO</t>
  </si>
  <si>
    <t>Jingkie L. Abelgas</t>
  </si>
  <si>
    <t>Gilbert Bactadan Castaneda</t>
  </si>
  <si>
    <t>Gaudencia Averion Buensuceso</t>
  </si>
  <si>
    <t>FLORITO GUINIT BERNALIS</t>
  </si>
  <si>
    <t>Silvestre Jr. Villamor</t>
  </si>
  <si>
    <t>Jolemar  M.  Coguit</t>
  </si>
  <si>
    <t>Glin Valzado Sagre</t>
  </si>
  <si>
    <t>MARYJANE VISTAL TAMPEPE</t>
  </si>
  <si>
    <t>Haze Berlene Portugal Puno</t>
  </si>
  <si>
    <t>Josie Ga-ang Yap</t>
  </si>
  <si>
    <t>JOHN JOHN CASTILLO FAULVE</t>
  </si>
  <si>
    <t>Lorna Colob Lustria</t>
  </si>
  <si>
    <t>Melito Delos Reyes Pabellon</t>
  </si>
  <si>
    <t>Leizel  O.  Hernando</t>
  </si>
  <si>
    <t>MARIO ABANTO TALLEDO</t>
  </si>
  <si>
    <t>Armina B. Abad</t>
  </si>
  <si>
    <t>manuel LATUBE legionl</t>
  </si>
  <si>
    <t>RICHELIZA JEAN C. CORDERO</t>
  </si>
  <si>
    <t>Mariz  Lapid  Onchengco</t>
  </si>
  <si>
    <t>Maricor Melorin Carbonilla</t>
  </si>
  <si>
    <t>Daniel D. Reyes</t>
  </si>
  <si>
    <t>Leonard D Danao</t>
  </si>
  <si>
    <t>KRISCHAN V. LAURADO</t>
  </si>
  <si>
    <t>Raul B. Jacela</t>
  </si>
  <si>
    <t>Marilyn N. Ontolan</t>
  </si>
  <si>
    <t>EDMAR SANTOS BENAVIDEZ</t>
  </si>
  <si>
    <t>Clarisse Anne De Castro Salenga</t>
  </si>
  <si>
    <t>GERMAN M. DELA CRUZ</t>
  </si>
  <si>
    <t>ROSELLER PAJAREN GERZON</t>
  </si>
  <si>
    <t>Raquel Dela Cruz Reontoy</t>
  </si>
  <si>
    <t>Alan Rey del Castillo Hiponia</t>
  </si>
  <si>
    <t>Sylvia Manzanillo Del Agua</t>
  </si>
  <si>
    <t>Servando Lonzon Amparo Jr.</t>
  </si>
  <si>
    <t>Ruby S Cortez</t>
  </si>
  <si>
    <t>Janely Porras Ansoyon</t>
  </si>
  <si>
    <t>HENRY JOHN U. MORADA</t>
  </si>
  <si>
    <t>Naomie Dahunan Zalsos</t>
  </si>
  <si>
    <t>NOEL AZARCON AGOR</t>
  </si>
  <si>
    <t>DON BATOON SMITH</t>
  </si>
  <si>
    <t>MARIO B GARCIA</t>
  </si>
  <si>
    <t>LEMUEL ESPINA AN</t>
  </si>
  <si>
    <t>Catherine G. Macanip</t>
  </si>
  <si>
    <t>Nimfa Mendoza Derada</t>
  </si>
  <si>
    <t>Nelson Moskito Merculio</t>
  </si>
  <si>
    <t>Ma. Socorro Lacambra Domingo</t>
  </si>
  <si>
    <t>Mario Galila Parreño</t>
  </si>
  <si>
    <t>MARCELINO JR. L. PONIPON</t>
  </si>
  <si>
    <t>Jaime Ortega Jorda</t>
  </si>
  <si>
    <t>JAIME  SAURO   BAYABAY</t>
  </si>
  <si>
    <t>CLIFTON GARETH NGODCHO FANG-ASAN</t>
  </si>
  <si>
    <t>DANILO B. MANUEL</t>
  </si>
  <si>
    <t>Ryan Delos Reyes</t>
  </si>
  <si>
    <t>Ma. Macbeth Cabug</t>
  </si>
  <si>
    <t>Bonifacio R. Fabre</t>
  </si>
  <si>
    <t>Julian Orcino Castro Jr.</t>
  </si>
  <si>
    <t>Diana E Orcine</t>
  </si>
  <si>
    <t>Fatima Madonna Ubalde Jaynario</t>
  </si>
  <si>
    <t>PAOLO ANGELO ATIENZA MESINA</t>
  </si>
  <si>
    <t>JESSIE SALUTAN PANDIAN</t>
  </si>
  <si>
    <t>Linell Fulleros Montuerto</t>
  </si>
  <si>
    <t>Balligi Wandas Quitor</t>
  </si>
  <si>
    <t>JERRY S. ROSARIO</t>
  </si>
  <si>
    <t>Al Rasheed Olivo Sapto</t>
  </si>
  <si>
    <t>Bobby Latumbo Orolfo</t>
  </si>
  <si>
    <t>Michelle S Almojuela</t>
  </si>
  <si>
    <t>RACHELLE ALANO CRON</t>
  </si>
  <si>
    <t>Jose  C.  Tagbac</t>
  </si>
  <si>
    <t>Gregg P. Agravante</t>
  </si>
  <si>
    <t>Teresita H. Ferriol</t>
  </si>
  <si>
    <t>Rodolfo Catalan San Pedro, Jr.</t>
  </si>
  <si>
    <t>Benito Soriano Montano</t>
  </si>
  <si>
    <t>NESTOR MALASIG UY</t>
  </si>
  <si>
    <t>Leomar Bayod Balod</t>
  </si>
  <si>
    <t>Elvisa Japay Villar</t>
  </si>
  <si>
    <t>Abner Escobar Guilambo</t>
  </si>
  <si>
    <t>ANTHONY  ARTHUR D. FERNANDEZ</t>
  </si>
  <si>
    <t>Gorgonio S. Cabañero Jr.</t>
  </si>
  <si>
    <t>Marivie R. Manero-Fernandez</t>
  </si>
  <si>
    <t>Joemard C Calvez</t>
  </si>
  <si>
    <t>Shella Marie Ilig De Vera</t>
  </si>
  <si>
    <t>Victor Alberca Asentista</t>
  </si>
  <si>
    <t>Sofronia Ceniza Uy</t>
  </si>
  <si>
    <t>GERTRUDES VELASQUEZ ABELEDA</t>
  </si>
  <si>
    <t>WENNIE SR. FLORES JORDAN</t>
  </si>
  <si>
    <t>Lourdes Macabulos</t>
  </si>
  <si>
    <t>EVELYN EVIDIENTES GUINTU</t>
  </si>
  <si>
    <t>Marisa P Las</t>
  </si>
  <si>
    <t>Marelyn  Pestillos  Culanag</t>
  </si>
  <si>
    <t>ATTY. MARIA JONIKA GONZAGA ROMANO</t>
  </si>
  <si>
    <t>LORETO GALVEZ NICOLAS</t>
  </si>
  <si>
    <t>Diosdado Lopenoria Salapang</t>
  </si>
  <si>
    <t>Constante C. Sabalburo</t>
  </si>
  <si>
    <t>Memilanie Malabunga Aguilar</t>
  </si>
  <si>
    <t>Isidro Alabag Gumpad</t>
  </si>
  <si>
    <t>Nick Longga Bio</t>
  </si>
  <si>
    <t>Perseverando Pantuan Caleza,Jr.</t>
  </si>
  <si>
    <t>Beverly Escalon Taotjo</t>
  </si>
  <si>
    <t>Joel Soriano Pagulayan</t>
  </si>
  <si>
    <t>Cesario  A.  Pasicolan</t>
  </si>
  <si>
    <t>Ador Dionisio</t>
  </si>
  <si>
    <t>Analiza Domingo Paz</t>
  </si>
  <si>
    <t>Rommel Bagadiong Brillantes</t>
  </si>
  <si>
    <t>MARIVIC CALABIO PRADO</t>
  </si>
  <si>
    <t>Marissa L Yagyagan</t>
  </si>
  <si>
    <t>EDGAR SISNEROS BESIN</t>
  </si>
  <si>
    <t>Rosemary Terez Gepte</t>
  </si>
  <si>
    <t>Melvin Agbayani Agbalog</t>
  </si>
  <si>
    <t>CARY P. BALBUTIN</t>
  </si>
  <si>
    <t>Jayson Pascual Galbis</t>
  </si>
  <si>
    <t>Marion Acolentaba Balasa</t>
  </si>
  <si>
    <t>Bernalyn  Wenceslao Besonia</t>
  </si>
  <si>
    <t>Gil Bagares Llosa</t>
  </si>
  <si>
    <t>ADA VERONICA C. GRECIA</t>
  </si>
  <si>
    <t>Jessie Sobrevega Porras</t>
  </si>
  <si>
    <t>Mary Jean Jose Bañaga</t>
  </si>
  <si>
    <t>Juliet Franesa S Aton</t>
  </si>
  <si>
    <t>Ma. Rhina Hermida Roque</t>
  </si>
  <si>
    <t>Jose Marie Ortiz Canlapan</t>
  </si>
  <si>
    <t>Elizabeth M Dayot</t>
  </si>
  <si>
    <t>Marilyn  Labrador Garcia</t>
  </si>
  <si>
    <t>Carlota Conda Jalmasco</t>
  </si>
  <si>
    <t>Aimee Tompong Maata</t>
  </si>
  <si>
    <t>Amancio S. Dongcoy</t>
  </si>
  <si>
    <t>Wilfredo R Bartolini</t>
  </si>
  <si>
    <t>Rowena M Mirhan</t>
  </si>
  <si>
    <t>Gen Anderson Gonzales Tanhueco</t>
  </si>
  <si>
    <t>Florliza A. Morilao</t>
  </si>
  <si>
    <t>Felix E. Ortega</t>
  </si>
  <si>
    <t>Marivic Estopin Diaz</t>
  </si>
  <si>
    <t>Catalino Arado Sumaylo</t>
  </si>
  <si>
    <t>Maiden P. Cortez</t>
  </si>
  <si>
    <t>Ederlita Cena</t>
  </si>
  <si>
    <t>RAL P CORNEJO</t>
  </si>
  <si>
    <t>Leonides Luis Bautista</t>
  </si>
  <si>
    <t>Engr. Fernando B. Sarile Jr.</t>
  </si>
  <si>
    <t>Jomar Beltran Torres</t>
  </si>
  <si>
    <t>Luzviminda S. Reyes</t>
  </si>
  <si>
    <t>Michael Angelo Agoto Samonte</t>
  </si>
  <si>
    <t>Rose S. Sucgang</t>
  </si>
  <si>
    <t>Roselle C. Turreda</t>
  </si>
  <si>
    <t>Jolan T. Crisostomo</t>
  </si>
  <si>
    <t>PATRICIA TAN MARA</t>
  </si>
  <si>
    <t>Ma. Shella S Cabrera</t>
  </si>
  <si>
    <t>Delberlyn V. Punzalan</t>
  </si>
  <si>
    <t>Rhienna Jhean Marcial Arsenal</t>
  </si>
  <si>
    <t>Elizabeth Dioco Sunga</t>
  </si>
  <si>
    <t>Rox E. Tarranza</t>
  </si>
  <si>
    <t>Maria Teresa Hilado Tapil</t>
  </si>
  <si>
    <t>Julius Dapitilla Palma</t>
  </si>
  <si>
    <t>Emma Linda Impang Arano</t>
  </si>
  <si>
    <t>Ma. Isabel N. Argueza</t>
  </si>
  <si>
    <t>ANTONINO RAQUIL</t>
  </si>
  <si>
    <t>Christma Joy Pereyra Rodriguez</t>
  </si>
  <si>
    <t>Rey Partible Urbano</t>
  </si>
  <si>
    <t>LANI DEFENSOR SARDINA</t>
  </si>
  <si>
    <t>Merlyn Leyson</t>
  </si>
  <si>
    <t>Mae Lyn Garcia Altarejos</t>
  </si>
  <si>
    <t>JULIETO DELOAG</t>
  </si>
  <si>
    <t>Jhoanne Ayen A Jimenez</t>
  </si>
  <si>
    <t>Edmer S. Polloso</t>
  </si>
  <si>
    <t>Venn Wei Sipalay   Añonuevo</t>
  </si>
  <si>
    <t>Marlon Salutan Dubla</t>
  </si>
  <si>
    <t>Maria Jessica Dulce Gumban</t>
  </si>
  <si>
    <t>Ryan Ibrado Bonghanoy</t>
  </si>
  <si>
    <t>Ma. Corazon V. Tadena</t>
  </si>
  <si>
    <t>ESMERALDO P BEJOSA</t>
  </si>
  <si>
    <t>Frazier L. Quinesio</t>
  </si>
  <si>
    <t>Ma. Nena T. Zapico</t>
  </si>
  <si>
    <t>Anna Liza Ramirez Quirolgico</t>
  </si>
  <si>
    <t>Felicidad F. De Guzman</t>
  </si>
  <si>
    <t>PHILIP GENE II A.   MALACAS</t>
  </si>
  <si>
    <t>Hope S Macusi</t>
  </si>
  <si>
    <t>Erwin Libres Cajelo</t>
  </si>
  <si>
    <t>Priscilla Samonte Esguerra</t>
  </si>
  <si>
    <t>Angeli A. Lood</t>
  </si>
  <si>
    <t>Donna Mae Mitra Reyroso</t>
  </si>
  <si>
    <t>Emiliana Z Sarmiento</t>
  </si>
  <si>
    <t>Marlone Templeton Buen</t>
  </si>
  <si>
    <t>Francisco Escape Oliva, Jr.</t>
  </si>
  <si>
    <t>Teresita Correa Faustino</t>
  </si>
  <si>
    <t>Alex M Rendon</t>
  </si>
  <si>
    <t>NOEL C. MANGKIKIS</t>
  </si>
  <si>
    <t>MA. NITA DIZOR GEROY</t>
  </si>
  <si>
    <t>CHARITO TACTAC YANGAT</t>
  </si>
  <si>
    <t>Ma Ruby S Carmona</t>
  </si>
  <si>
    <t>Alejandro Yulo Mirasol</t>
  </si>
  <si>
    <t>EMILIANA D. RUSTIA</t>
  </si>
  <si>
    <t>Rainero Elmer Dingal Gerzon</t>
  </si>
  <si>
    <t>HERBERT WILLIAM L. EMNAS</t>
  </si>
  <si>
    <t>EDUARDO JUAN FORONDA</t>
  </si>
  <si>
    <t>Aniano III Bisnar Bacor</t>
  </si>
  <si>
    <t>DANILO B DALISAY</t>
  </si>
  <si>
    <t>DELFIN DELA CRUZ CARLOS</t>
  </si>
  <si>
    <t>Edralin B. Baingan</t>
  </si>
  <si>
    <t>Maricon Alpitche Butcon</t>
  </si>
  <si>
    <t>Mary Ann J Chavez</t>
  </si>
  <si>
    <t>Jovina Corrales Orias</t>
  </si>
  <si>
    <t>Adelia Gonzales</t>
  </si>
  <si>
    <t>FERDINAND YU RICABLANCA</t>
  </si>
  <si>
    <t>Sanny Yntong Dandoy</t>
  </si>
  <si>
    <t>LIZA SANGUENZA VILLAMOR</t>
  </si>
  <si>
    <t>Simplicio Paracale</t>
  </si>
  <si>
    <t>Rochelle Anne Reforzado Balagonsa</t>
  </si>
  <si>
    <t>Jelyn Futol Sta Ana</t>
  </si>
  <si>
    <t>Steve Leo Mangyan</t>
  </si>
  <si>
    <t>Milagros A Agustin</t>
  </si>
  <si>
    <t>Arturo I Gumban</t>
  </si>
  <si>
    <t>Kristel Capundan Rosello</t>
  </si>
  <si>
    <t>CRISTINA DUNGCA</t>
  </si>
  <si>
    <t>Christie Magdalene J Pedroza</t>
  </si>
  <si>
    <t>Ronie S. Dela Calzada</t>
  </si>
  <si>
    <t>Filomena S Acidera</t>
  </si>
  <si>
    <t>Doris Grimaldo Labog</t>
  </si>
  <si>
    <t>Reynaldo J Santiago</t>
  </si>
  <si>
    <t>CHARLTON LIU UY</t>
  </si>
  <si>
    <t>Liza R. Balagot</t>
  </si>
  <si>
    <t>Mark Anthony Parcon Peñafiel</t>
  </si>
  <si>
    <t>Mercedita A. Flores</t>
  </si>
  <si>
    <t>Christine D. Batallones</t>
  </si>
  <si>
    <t>Mark Anthony C Lorilla</t>
  </si>
  <si>
    <t>Jerlyn G. Peter</t>
  </si>
  <si>
    <t>DOLORES JAVIER GOTICO</t>
  </si>
  <si>
    <t>Debielyn B. Santos</t>
  </si>
  <si>
    <t>Muriel Tupas Autencio</t>
  </si>
  <si>
    <t>Sandra Caturan Dagani</t>
  </si>
  <si>
    <t>Esmeralda Gonzales Aguilar</t>
  </si>
  <si>
    <t>TEEJAY YOSHIUMI JUNATAS SAKUMA</t>
  </si>
  <si>
    <t>ZORAYA BAKAR MASAKAL</t>
  </si>
  <si>
    <t>Aaron John Reyes Liwag (2nd Account)</t>
  </si>
  <si>
    <t>ESTEBAN FERNANDEZ CANONES, JR.</t>
  </si>
  <si>
    <t>Nessa Esporma Acolentaba</t>
  </si>
  <si>
    <t>Mary Grace Palcon Gallardo</t>
  </si>
  <si>
    <t>Ormil D.  Go</t>
  </si>
  <si>
    <t>Mary Grace  Bajar</t>
  </si>
  <si>
    <t>JOCELYN A. FERNANDO, MPMG</t>
  </si>
  <si>
    <t>Lerio Conmigo Arizala Jr.</t>
  </si>
  <si>
    <t>Lurline Merencillo Tongco</t>
  </si>
  <si>
    <t>Angelita H Reazon</t>
  </si>
  <si>
    <t>Cipriano Grande Gardoque</t>
  </si>
  <si>
    <t>Gregorio M Monreal</t>
  </si>
  <si>
    <t>Rolando Javier Garcia</t>
  </si>
  <si>
    <t>EVA MACAHILIG JIMENEZ</t>
  </si>
  <si>
    <t>Samson Gavasan Gilo, Jr.</t>
  </si>
  <si>
    <t>Paquito Joel Alferez Arocha</t>
  </si>
  <si>
    <t>Jhonna Salve Janer Buenaflor</t>
  </si>
  <si>
    <t>Dario Sarabusing Jr.</t>
  </si>
  <si>
    <t>Luis, Jr. Artieda Albacete</t>
  </si>
  <si>
    <t>GENEROSO P DORO</t>
  </si>
  <si>
    <t>Marisa S. Jumalon</t>
  </si>
  <si>
    <t>Demars Gonzaga Madroso</t>
  </si>
  <si>
    <t>MARIA CORAZON RIVA VALDEMORO</t>
  </si>
  <si>
    <t>JEAN ALLEN PECHAYCO ALEJANDRO</t>
  </si>
  <si>
    <t>Elma Seraphelle Magdaug Bulagao</t>
  </si>
  <si>
    <t>Elvie Villanueva Diaz</t>
  </si>
  <si>
    <t>Nida Avisado Santiago</t>
  </si>
  <si>
    <t>Celestino D. Boldo</t>
  </si>
  <si>
    <t>Aubrey George Tamargo Corpuz</t>
  </si>
  <si>
    <t>Nestor Corpuz Guillermo</t>
  </si>
  <si>
    <t>ROMMEL G. ERPELO</t>
  </si>
  <si>
    <t>Ricardo A. Negado</t>
  </si>
  <si>
    <t>Pablo L Nabong</t>
  </si>
  <si>
    <t>ESTRELLA T. SAPURAS</t>
  </si>
  <si>
    <t>LUCY FE M ELLAR</t>
  </si>
  <si>
    <t>Ruth Magno Milanio</t>
  </si>
  <si>
    <t>Monera Ferrer Pramis</t>
  </si>
  <si>
    <t>NORBERTO, JR ONES RUBI</t>
  </si>
  <si>
    <t>Francisco C Cabunoc</t>
  </si>
  <si>
    <t>Florenda Inutan Carballo</t>
  </si>
  <si>
    <t>Arjay Caballero Dimafelix</t>
  </si>
  <si>
    <t>Armando L. Andres</t>
  </si>
  <si>
    <t>Lourfe S. Rondina</t>
  </si>
  <si>
    <t>MARIE ROSE G. BAL</t>
  </si>
  <si>
    <t>Poliver L  Tumaneng</t>
  </si>
  <si>
    <t>Ruel Jr. Bayubay Masangcay</t>
  </si>
  <si>
    <t>JENNY F OASAY</t>
  </si>
  <si>
    <t>Dennis R Marquez</t>
  </si>
  <si>
    <t>Homer G. Hubag</t>
  </si>
  <si>
    <t>joahna grace pates vahey</t>
  </si>
  <si>
    <t>Marcelo C. Gutierrez</t>
  </si>
  <si>
    <t>Alien Belleza Empaces</t>
  </si>
  <si>
    <t>Michele Solon Mapalo</t>
  </si>
  <si>
    <t>Eugene Raro Luces</t>
  </si>
  <si>
    <t>BRINALYN DE LA CRUZ LONTOC</t>
  </si>
  <si>
    <t>Baivy Leen Mendoza Reyes</t>
  </si>
  <si>
    <t>MERVIN "BUDA" JUSI JUSI</t>
  </si>
  <si>
    <t>Marcial  M. Ilagan</t>
  </si>
  <si>
    <t>Saturnino Napa Magmanlac, Jr.</t>
  </si>
  <si>
    <t>Jerome Duenas Malapit</t>
  </si>
  <si>
    <t>Jesus Rey Serna Cavalida</t>
  </si>
  <si>
    <t>Eugenia Lizabeth G. Somera</t>
  </si>
  <si>
    <t>Vince Kyle Dizon Timbol</t>
  </si>
  <si>
    <t>Abegail Cuevas Tigas</t>
  </si>
  <si>
    <t>Rosario Corazon  Sison  Abara</t>
  </si>
  <si>
    <t>Florence Joseline Gredona</t>
  </si>
  <si>
    <t>ALVIN  L  ESTRADA.</t>
  </si>
  <si>
    <t>RENY ACERO CELESPARA</t>
  </si>
  <si>
    <t>ERIKA R. DURAN</t>
  </si>
  <si>
    <t>Marichelle Ferrer</t>
  </si>
  <si>
    <t>Florita Cidro Cabato</t>
  </si>
  <si>
    <t>Arlene Radam Ureta</t>
  </si>
  <si>
    <t>Jessica Foronda Eriguel</t>
  </si>
  <si>
    <t>MOISES D. LABIAN, JR, PhD, CESO VI</t>
  </si>
  <si>
    <t>Christopher Mabulay Rizo</t>
  </si>
  <si>
    <t>Engr. Roberto M Digay</t>
  </si>
  <si>
    <t>Caroline Tubongbanua Bucita</t>
  </si>
  <si>
    <t>Judith  D.  Arago</t>
  </si>
  <si>
    <t>Ana Lorraine Endaya Ellarina</t>
  </si>
  <si>
    <t>GONZALO P COCON</t>
  </si>
  <si>
    <t>Judilyn Tampepe Natabio</t>
  </si>
  <si>
    <t>Abdul Rahman Coliling Palao</t>
  </si>
  <si>
    <t>Dawnavi Lae Valle Lacsado</t>
  </si>
  <si>
    <t>Carla Francesca M. Guinto</t>
  </si>
  <si>
    <t>MARJORIE SAMSON SAN JUAN</t>
  </si>
  <si>
    <t>Evelyn Grace A Aperocho</t>
  </si>
  <si>
    <t>Roger Sr. A Obra</t>
  </si>
  <si>
    <t>ERNESTO N. ARCO</t>
  </si>
  <si>
    <t>NECESARIO B. DONAYRE</t>
  </si>
  <si>
    <t>FERNANDO ORACION</t>
  </si>
  <si>
    <t>Jhune M Rivera</t>
  </si>
  <si>
    <t>ROXAN KASTINE MENDOZA LUMAPAS</t>
  </si>
  <si>
    <t>Teresita Bravo Guiang</t>
  </si>
  <si>
    <t>ELIZABETH FERNANDO CRUZ</t>
  </si>
  <si>
    <t>JUNREY RATILLA</t>
  </si>
  <si>
    <t>Ignacio Subebe</t>
  </si>
  <si>
    <t>Roselma Catherine Garrote Cantos</t>
  </si>
  <si>
    <t>EDMUND PAPEL SOMORAY</t>
  </si>
  <si>
    <t>LEO ELOGADA DELOS SANTOS</t>
  </si>
  <si>
    <t>Gilda Filoteo Lluisma</t>
  </si>
  <si>
    <t>NENA G. BANGGAT</t>
  </si>
  <si>
    <t>NIÑO BALISTOY SALVACION</t>
  </si>
  <si>
    <t>Ma. Emilyn Sweetie Leonor Protacio</t>
  </si>
  <si>
    <t>ANASTACIO MAMALIAS  BAHINTING</t>
  </si>
  <si>
    <t>Claress Montojo</t>
  </si>
  <si>
    <t>Flordeliza Aquino Ibaite</t>
  </si>
  <si>
    <t xml:space="preserve">JEFFERSON  THOMPSON RODRIGUEZ </t>
  </si>
  <si>
    <t>Leonardo  Carandang  Villanueva</t>
  </si>
  <si>
    <t>Rebecca Enierga Valenzuela</t>
  </si>
  <si>
    <t>Juliet Corregidor Custodio</t>
  </si>
  <si>
    <t>Victoria Taguinod Padilla</t>
  </si>
  <si>
    <t>Betty Lou Gornez</t>
  </si>
  <si>
    <t>ARNEL USITA URGANAY</t>
  </si>
  <si>
    <t>elsie C Agustin</t>
  </si>
  <si>
    <t>LUCIO F. PEQUIRO</t>
  </si>
  <si>
    <t>Norlan M De Las Alas</t>
  </si>
  <si>
    <t>Ralph Martin Romero Roque</t>
  </si>
  <si>
    <t>Verlene Layaoen Melendez</t>
  </si>
  <si>
    <t>Julius Asuit Arcinas</t>
  </si>
  <si>
    <t>Arnold A. De Castro</t>
  </si>
  <si>
    <t>Amerhussien Basher Panganting</t>
  </si>
  <si>
    <t>Criszen Baluyot BAUTISTA</t>
  </si>
  <si>
    <t>Romeo Avelino Tiri</t>
  </si>
  <si>
    <t>Alver P Lamoste, CPA</t>
  </si>
  <si>
    <t>Chamberlain J. Babiera</t>
  </si>
  <si>
    <t>Sheila Riva B. Soriaga</t>
  </si>
  <si>
    <t>REINA BLANCA D REMPILLO</t>
  </si>
  <si>
    <t>Angelo Aniar Sabaybay</t>
  </si>
  <si>
    <t>Elena Hastia Tunacao</t>
  </si>
  <si>
    <t>Francisco III Dacillo Booc</t>
  </si>
  <si>
    <t>Dindo Bautista Gonzales</t>
  </si>
  <si>
    <t>Jahnson Salidaga Yap</t>
  </si>
  <si>
    <t>Jocelyn Maalat Torda</t>
  </si>
  <si>
    <t>Chona Terrayo Flores</t>
  </si>
  <si>
    <t>Agnes Lara Gabriel</t>
  </si>
  <si>
    <t>Gary S Velayo</t>
  </si>
  <si>
    <t>Marc Louis B. Sampilo</t>
  </si>
  <si>
    <t>Ricardo V Nuñez</t>
  </si>
  <si>
    <t>Eunice Pilapil Narbonita</t>
  </si>
  <si>
    <t>Rosalinda Baring Ongue</t>
  </si>
  <si>
    <t>Veronica  Ponce  Paradiang</t>
  </si>
  <si>
    <t>Arra Jane Juridico</t>
  </si>
  <si>
    <t>Mary Jane Sison Lola</t>
  </si>
  <si>
    <t>Maricel Miguel dela Salde</t>
  </si>
  <si>
    <t>Sonny Boy Bautista Berbano</t>
  </si>
  <si>
    <t>Rheajane Chu Saavedra</t>
  </si>
  <si>
    <t>Marfel Nonato Casanova Solidum</t>
  </si>
  <si>
    <t>Josafat Lindong Caipang</t>
  </si>
  <si>
    <t>Joel Liban Dubla</t>
  </si>
  <si>
    <t>LT RAYMOND A ROLDAN PN</t>
  </si>
  <si>
    <t>Kim Manalo Manuel</t>
  </si>
  <si>
    <t>Jules Amiel  Angeles</t>
  </si>
  <si>
    <t>Sukarno M Hadjinor</t>
  </si>
  <si>
    <t>Catherine Olmoguez Ureta</t>
  </si>
  <si>
    <t>Wilfredo Ramos Ognilla</t>
  </si>
  <si>
    <t>Cirio Dela Cruz Pangan</t>
  </si>
  <si>
    <t>Andrew Dullin Agunod</t>
  </si>
  <si>
    <t>Melanie Calura Rufino</t>
  </si>
  <si>
    <t>Katherine Liwanag Pangilinan</t>
  </si>
  <si>
    <t>Glenn L Enesio</t>
  </si>
  <si>
    <t>TEODULO EDER</t>
  </si>
  <si>
    <t>Pedro Arguelles</t>
  </si>
  <si>
    <t>ALBERTO Q. BEREDO</t>
  </si>
  <si>
    <t>jennifer empleo rondina</t>
  </si>
  <si>
    <t>ROMULO JR DISPO</t>
  </si>
  <si>
    <t>Ma. Gianelli A Ecuacion</t>
  </si>
  <si>
    <t>Leo F. Ferraris</t>
  </si>
  <si>
    <t>LODEVICO CODAL LUIS</t>
  </si>
  <si>
    <t>Thelma Ardon Escanillas</t>
  </si>
  <si>
    <t>Marilyn F. Chavez</t>
  </si>
  <si>
    <t>Leah Kierulf De Paz</t>
  </si>
  <si>
    <t>Janine S. Zarate</t>
  </si>
  <si>
    <t>LERMA TERONES RECILLO</t>
  </si>
  <si>
    <t>Charlene P. Alonzo</t>
  </si>
  <si>
    <t>Kreenzel Joy Pagaduan</t>
  </si>
  <si>
    <t>Jannette Rojas Raganit</t>
  </si>
  <si>
    <t>MARIA ELINOR F. HEMEDES</t>
  </si>
  <si>
    <t>Niño G. Mascareñas</t>
  </si>
  <si>
    <t>Chenaryl M. Cordero</t>
  </si>
  <si>
    <t>Toni Rose E. Unciano</t>
  </si>
  <si>
    <t>JACKIE CHARLEMAGNE JO CHIONG</t>
  </si>
  <si>
    <t>ABNER VILLAFLOR DE LA CRUZ</t>
  </si>
  <si>
    <t>Stephen Eric G. Castrodes</t>
  </si>
  <si>
    <t>Minrad Quinto Tigno</t>
  </si>
  <si>
    <t>DARA AUREA HENRIETTA A. VILLALOBOS</t>
  </si>
  <si>
    <t>Neil Patrick Y. Cruz</t>
  </si>
  <si>
    <t>Anna Michelle Icasiano Africa</t>
  </si>
  <si>
    <t>Myra Millena Bombio</t>
  </si>
  <si>
    <t>Rosella Alojado Villegas</t>
  </si>
  <si>
    <t>Carol Galang Mercado</t>
  </si>
  <si>
    <t>Jessel Gementiza Bestudio</t>
  </si>
  <si>
    <t>Jenny Lyn Roa Panganiban</t>
  </si>
  <si>
    <t>Jessica Diokno Santos</t>
  </si>
  <si>
    <t>Darlene Sevilla Esmero</t>
  </si>
  <si>
    <t>AIMER BARTOLOME CRUZ</t>
  </si>
  <si>
    <t>Marlon Delovino Cayaban</t>
  </si>
  <si>
    <t>Merla D. Escobar</t>
  </si>
  <si>
    <t>Julita A. Santos</t>
  </si>
  <si>
    <t>Judith Domingo Unson</t>
  </si>
  <si>
    <t>COMELEC Bids and Awards Committee</t>
  </si>
  <si>
    <t>CINSP JERICKSON PATRIARCA MIRAFLOR</t>
  </si>
  <si>
    <t>Myles M Sayre</t>
  </si>
  <si>
    <t>Mark Alvin Hernandez Gatus</t>
  </si>
  <si>
    <t>ROLANDO A SAMSON</t>
  </si>
  <si>
    <t>Angelica B. Acoba</t>
  </si>
  <si>
    <t>ATHESA LASTIMOSA BAS</t>
  </si>
  <si>
    <t>Roderick I. Mendoza</t>
  </si>
  <si>
    <t>VICTORIO FAJARDO CORPORAL</t>
  </si>
  <si>
    <t>Jonjon Bautista III</t>
  </si>
  <si>
    <t>RUEL MARCA</t>
  </si>
  <si>
    <t>Noel  Alcabaza</t>
  </si>
  <si>
    <t>Mercy Vargas</t>
  </si>
  <si>
    <t>Dianne Gungob Ibias</t>
  </si>
  <si>
    <t>Renz Michael Pabrua Salaguban</t>
  </si>
  <si>
    <t>Ray-Ann Sorilla</t>
  </si>
  <si>
    <t>Atila S. Barre</t>
  </si>
  <si>
    <t>SSUPT LEONIDA G ROSALES</t>
  </si>
  <si>
    <t>Lord Kristan Atienza Logmao</t>
  </si>
  <si>
    <t>Leonardo Duran Recabo</t>
  </si>
  <si>
    <t>Reggie C Placido</t>
  </si>
  <si>
    <t>WILNA MANAYTAY BELICANO</t>
  </si>
  <si>
    <t>John David E Bonifacio</t>
  </si>
  <si>
    <t>Johna Paula Campilan Manzano</t>
  </si>
  <si>
    <t>Rebecca Cequiña Remulta</t>
  </si>
  <si>
    <t>Active</t>
  </si>
  <si>
    <t>Order</t>
  </si>
  <si>
    <t>01/07/2020</t>
  </si>
  <si>
    <t>30/06/2020</t>
  </si>
  <si>
    <t>02/07/2020</t>
  </si>
  <si>
    <t>29/06/2020</t>
  </si>
  <si>
    <t>28/06/2020</t>
  </si>
  <si>
    <t>27/06/2020</t>
  </si>
  <si>
    <t>26/06/2020</t>
  </si>
  <si>
    <t>25/06/2020</t>
  </si>
  <si>
    <t>24/06/2020</t>
  </si>
  <si>
    <t>23/06/2020</t>
  </si>
  <si>
    <t>22/06/2020</t>
  </si>
  <si>
    <t>21/06/2020</t>
  </si>
  <si>
    <t>20/06/2020</t>
  </si>
  <si>
    <t>19/06/2020</t>
  </si>
  <si>
    <t>18/06/2020</t>
  </si>
  <si>
    <t>17/06/2020</t>
  </si>
  <si>
    <t>16/06/2020</t>
  </si>
  <si>
    <t>15/06/2020</t>
  </si>
  <si>
    <t>14/06/2020</t>
  </si>
  <si>
    <t>13/06/2020</t>
  </si>
  <si>
    <t>12/06/2020</t>
  </si>
  <si>
    <t>11/06/2020</t>
  </si>
  <si>
    <t>10/06/2020</t>
  </si>
  <si>
    <t>09/06/2020</t>
  </si>
  <si>
    <t>08/06/2020</t>
  </si>
  <si>
    <t>06/06/2020</t>
  </si>
  <si>
    <t>07/06/2020</t>
  </si>
  <si>
    <t>05/06/2020</t>
  </si>
  <si>
    <t>04/06/2020</t>
  </si>
  <si>
    <t>03/06/2020</t>
  </si>
  <si>
    <t>02/06/2020</t>
  </si>
  <si>
    <t>30/05/2020</t>
  </si>
  <si>
    <t>27/05/2020</t>
  </si>
  <si>
    <t>22/05/2020</t>
  </si>
  <si>
    <t>26/05/2020</t>
  </si>
  <si>
    <t>25/05/2020</t>
  </si>
  <si>
    <t>28/05/2020</t>
  </si>
  <si>
    <t>01/06/2020</t>
  </si>
  <si>
    <t>07/05/2020</t>
  </si>
  <si>
    <t>12/05/2020</t>
  </si>
  <si>
    <t>13/05/2020</t>
  </si>
  <si>
    <t>14/05/2020</t>
  </si>
  <si>
    <t>15/05/2020</t>
  </si>
  <si>
    <t>16/05/2020</t>
  </si>
  <si>
    <t>21/05/2020</t>
  </si>
  <si>
    <t>20/05/2020</t>
  </si>
  <si>
    <t>24/04/2020</t>
  </si>
  <si>
    <t>27/04/2020</t>
  </si>
  <si>
    <t>28/04/2020</t>
  </si>
  <si>
    <t>30/04/2020</t>
  </si>
  <si>
    <t>01/04/2020</t>
  </si>
  <si>
    <t>31/03/2020</t>
  </si>
  <si>
    <t>22/04/2020</t>
  </si>
  <si>
    <t>05/04/2020</t>
  </si>
  <si>
    <t>17/04/2020</t>
  </si>
  <si>
    <t>17/03/2020</t>
  </si>
  <si>
    <t>18/03/2020</t>
  </si>
  <si>
    <t>20/03/2020</t>
  </si>
  <si>
    <t>24/03/2020</t>
  </si>
  <si>
    <t>25/03/2020</t>
  </si>
  <si>
    <t>26/03/2020</t>
  </si>
  <si>
    <t>30/03/2020</t>
  </si>
  <si>
    <t>19/03/2020</t>
  </si>
  <si>
    <t>13/03/2020</t>
  </si>
  <si>
    <t>06/04/2020</t>
  </si>
  <si>
    <t>14/03/2020</t>
  </si>
  <si>
    <t>16/03/2020</t>
  </si>
  <si>
    <t>20/04/2020</t>
  </si>
  <si>
    <t>21/04/2020</t>
  </si>
  <si>
    <t>12/03/2020</t>
  </si>
  <si>
    <t>07/04/2020</t>
  </si>
  <si>
    <t>11/03/2020</t>
  </si>
  <si>
    <t>09/03/2020</t>
  </si>
  <si>
    <t>10/03/2020</t>
  </si>
  <si>
    <t>06/03/2020</t>
  </si>
  <si>
    <t>07/03/2020</t>
  </si>
  <si>
    <t>04/03/2020</t>
  </si>
  <si>
    <t>05/03/2020</t>
  </si>
  <si>
    <t>28/02/2020</t>
  </si>
  <si>
    <t>27/02/2020</t>
  </si>
  <si>
    <t>29/02/2020</t>
  </si>
  <si>
    <t>03/03/2020</t>
  </si>
  <si>
    <t>21/02/2020</t>
  </si>
  <si>
    <t>20/02/2020</t>
  </si>
  <si>
    <t>22/02/2020</t>
  </si>
  <si>
    <t>24/02/2020</t>
  </si>
  <si>
    <t>14/02/2020</t>
  </si>
  <si>
    <t>12/02/2020</t>
  </si>
  <si>
    <t>15/02/2020</t>
  </si>
  <si>
    <t>11/02/2020</t>
  </si>
  <si>
    <t>30/01/2020</t>
  </si>
  <si>
    <t>01/02/2020</t>
  </si>
  <si>
    <t>31/01/2020</t>
  </si>
  <si>
    <t>06/02/2020</t>
  </si>
  <si>
    <t>05/02/2020</t>
  </si>
  <si>
    <t>07/02/2020</t>
  </si>
  <si>
    <t>10/02/2020</t>
  </si>
  <si>
    <t>06/11/2019</t>
  </si>
  <si>
    <t>23/08/2019</t>
  </si>
  <si>
    <t>31/10/2019</t>
  </si>
  <si>
    <t>20/12/2019</t>
  </si>
  <si>
    <t>07/01/2020</t>
  </si>
  <si>
    <t>16/01/2020</t>
  </si>
  <si>
    <t>21/01/2020</t>
  </si>
  <si>
    <t>22/01/2020</t>
  </si>
  <si>
    <t>24/01/2020</t>
  </si>
  <si>
    <t>06/12/2019</t>
  </si>
  <si>
    <t>29/01/2020</t>
  </si>
  <si>
    <t>17/02/2020</t>
  </si>
  <si>
    <t>18/02/2020</t>
  </si>
  <si>
    <t>19/02/2020</t>
  </si>
  <si>
    <t>26/02/2020</t>
  </si>
  <si>
    <t>27/01/2020</t>
  </si>
  <si>
    <t>23/01/2020</t>
  </si>
  <si>
    <t>25/02/2020</t>
  </si>
  <si>
    <t>01/05/2020</t>
  </si>
  <si>
    <t>06/05/2020</t>
  </si>
  <si>
    <t>29/05/2020</t>
  </si>
  <si>
    <t>01/07/2020 12:00 AM</t>
  </si>
  <si>
    <t>01/07/2020 1:29 PM</t>
  </si>
  <si>
    <t>01/07/2020 4:55 PM</t>
  </si>
  <si>
    <t>01/07/2020 12:13 PM</t>
  </si>
  <si>
    <t>01/07/2020 12:10 PM</t>
  </si>
  <si>
    <t>01/07/2020 12:11 PM</t>
  </si>
  <si>
    <t>01/07/2020 12:12 PM</t>
  </si>
  <si>
    <t>01/07/2020 12:14 PM</t>
  </si>
  <si>
    <t>01/07/2020 4:41 PM</t>
  </si>
  <si>
    <t>01/07/2020 4:47 PM</t>
  </si>
  <si>
    <t>01/07/2020 4:48 PM</t>
  </si>
  <si>
    <t>01/07/2020 1:30 PM</t>
  </si>
  <si>
    <t>01/07/2020 1:31 PM</t>
  </si>
  <si>
    <t>01/07/2020 2:30 PM</t>
  </si>
  <si>
    <t>30/06/2020 12:00 AM</t>
  </si>
  <si>
    <t>01/07/2020 3:27 PM</t>
  </si>
  <si>
    <t>01/07/2020 12:29 PM</t>
  </si>
  <si>
    <t>01/07/2020 4:50 PM</t>
  </si>
  <si>
    <t>30/06/2020 9:30 AM</t>
  </si>
  <si>
    <t>01/07/2020 3:31 PM</t>
  </si>
  <si>
    <t>01/07/2020 3:29 PM</t>
  </si>
  <si>
    <t>01/07/2020 2:00 PM</t>
  </si>
  <si>
    <t>30/06/2020 11:09 AM</t>
  </si>
  <si>
    <t>01/07/2020 9:44 PM</t>
  </si>
  <si>
    <t>02/07/2020 12:00 AM</t>
  </si>
  <si>
    <t>01/07/2020 2:09 PM</t>
  </si>
  <si>
    <t>01/07/2020 2:12 PM</t>
  </si>
  <si>
    <t>01/07/2020 2:15 PM</t>
  </si>
  <si>
    <t>01/07/2020 9:38 AM</t>
  </si>
  <si>
    <t>01/07/2020 12:56 PM</t>
  </si>
  <si>
    <t>30/06/2020 9:09 AM</t>
  </si>
  <si>
    <t>30/06/2020 4:44 PM</t>
  </si>
  <si>
    <t>30/06/2020 8:29 AM</t>
  </si>
  <si>
    <t>01/07/2020 4:32 PM</t>
  </si>
  <si>
    <t>01/07/2020 2:45 PM</t>
  </si>
  <si>
    <t>30/06/2020 2:49 PM</t>
  </si>
  <si>
    <t>30/06/2020 3:27 PM</t>
  </si>
  <si>
    <t>01/07/2020 7:59 PM</t>
  </si>
  <si>
    <t>30/06/2020 10:56 AM</t>
  </si>
  <si>
    <t>01/07/2020 1:56 PM</t>
  </si>
  <si>
    <t>01/07/2020 1:53 PM</t>
  </si>
  <si>
    <t>01/07/2020 1:55 PM</t>
  </si>
  <si>
    <t>01/07/2020 2:41 PM</t>
  </si>
  <si>
    <t>01/07/2020 1:57 PM</t>
  </si>
  <si>
    <t>01/07/2020 2:43 PM</t>
  </si>
  <si>
    <t>01/07/2020 2:39 PM</t>
  </si>
  <si>
    <t>01/07/2020 2:44 PM</t>
  </si>
  <si>
    <t>01/07/2020 2:42 PM</t>
  </si>
  <si>
    <t>30/06/2020 11:13 AM</t>
  </si>
  <si>
    <t>01/07/2020 2:50 PM</t>
  </si>
  <si>
    <t>01/07/2020 2:46 PM</t>
  </si>
  <si>
    <t>01/07/2020 12:49 PM</t>
  </si>
  <si>
    <t>01/07/2020 3:36 PM</t>
  </si>
  <si>
    <t>01/07/2020 3:20 PM</t>
  </si>
  <si>
    <t>01/07/2020 3:17 PM</t>
  </si>
  <si>
    <t>30/06/2020 3:51 PM</t>
  </si>
  <si>
    <t>29/06/2020 12:00 AM</t>
  </si>
  <si>
    <t>01/07/2020 9:58 AM</t>
  </si>
  <si>
    <t>01/07/2020 1:28 PM</t>
  </si>
  <si>
    <t>01/07/2020 1:43 PM</t>
  </si>
  <si>
    <t>01/07/2020 1:36 PM</t>
  </si>
  <si>
    <t>01/07/2020 1:41 PM</t>
  </si>
  <si>
    <t>30/06/2020 9:45 AM</t>
  </si>
  <si>
    <t>29/06/2020 1:27 PM</t>
  </si>
  <si>
    <t>30/06/2020 4:24 PM</t>
  </si>
  <si>
    <t>30/06/2020 8:29 PM</t>
  </si>
  <si>
    <t>30/06/2020 8:28 PM</t>
  </si>
  <si>
    <t>29/06/2020 3:04 PM</t>
  </si>
  <si>
    <t>01/07/2020 1:45 PM</t>
  </si>
  <si>
    <t>01/07/2020 1:34 PM</t>
  </si>
  <si>
    <t>29/06/2020 9:58 PM</t>
  </si>
  <si>
    <t>30/06/2020 12:58 PM</t>
  </si>
  <si>
    <t>29/06/2020 9:54 PM</t>
  </si>
  <si>
    <t>28/06/2020 12:00 AM</t>
  </si>
  <si>
    <t>01/07/2020 11:38 AM</t>
  </si>
  <si>
    <t>01/07/2020 11:42 AM</t>
  </si>
  <si>
    <t>01/07/2020 11:37 AM</t>
  </si>
  <si>
    <t>29/06/2020 1:33 PM</t>
  </si>
  <si>
    <t>29/06/2020 10:43 AM</t>
  </si>
  <si>
    <t>30/06/2020 12:34 PM</t>
  </si>
  <si>
    <t>29/06/2020 1:48 PM</t>
  </si>
  <si>
    <t>27/06/2020 12:00 AM</t>
  </si>
  <si>
    <t>29/06/2020 2:08 PM</t>
  </si>
  <si>
    <t>01/07/2020 11:22 AM</t>
  </si>
  <si>
    <t>29/06/2020 2:31 PM</t>
  </si>
  <si>
    <t>29/06/2020 10:47 PM</t>
  </si>
  <si>
    <t>30/06/2020 2:13 PM</t>
  </si>
  <si>
    <t>01/07/2020 1:37 PM</t>
  </si>
  <si>
    <t>01/07/2020 11:15 AM</t>
  </si>
  <si>
    <t>29/06/2020 2:51 PM</t>
  </si>
  <si>
    <t>01/07/2020 11:14 AM</t>
  </si>
  <si>
    <t>30/06/2020 5:48 PM</t>
  </si>
  <si>
    <t>26/06/2020 12:00 AM</t>
  </si>
  <si>
    <t>01/07/2020 1:27 PM</t>
  </si>
  <si>
    <t>26/06/2020 9:27 AM</t>
  </si>
  <si>
    <t>01/07/2020 8:58 AM</t>
  </si>
  <si>
    <t>26/06/2020 10:45 AM</t>
  </si>
  <si>
    <t>01/07/2020 2:26 PM</t>
  </si>
  <si>
    <t>26/06/2020 8:33 AM</t>
  </si>
  <si>
    <t>30/06/2020 2:23 PM</t>
  </si>
  <si>
    <t>30/06/2020 10:21 AM</t>
  </si>
  <si>
    <t>30/06/2020 10:23 AM</t>
  </si>
  <si>
    <t>26/06/2020 8:43 AM</t>
  </si>
  <si>
    <t>26/06/2020 8:37 AM</t>
  </si>
  <si>
    <t>30/06/2020 11:47 AM</t>
  </si>
  <si>
    <t>01/07/2020 4:51 PM</t>
  </si>
  <si>
    <t>30/06/2020 8:09 AM</t>
  </si>
  <si>
    <t>29/06/2020 4:13 PM</t>
  </si>
  <si>
    <t>01/07/2020 1:35 PM</t>
  </si>
  <si>
    <t>26/06/2020 11:41 AM</t>
  </si>
  <si>
    <t>26/06/2020 11:47 AM</t>
  </si>
  <si>
    <t>30/06/2020 8:52 AM</t>
  </si>
  <si>
    <t>26/06/2020 11:43 AM</t>
  </si>
  <si>
    <t>26/06/2020 11:42 AM</t>
  </si>
  <si>
    <t>26/06/2020 2:06 PM</t>
  </si>
  <si>
    <t>30/06/2020 3:19 PM</t>
  </si>
  <si>
    <t>26/06/2020 2:42 PM</t>
  </si>
  <si>
    <t>30/06/2020 12:40 PM</t>
  </si>
  <si>
    <t>30/06/2020 12:42 PM</t>
  </si>
  <si>
    <t>30/06/2020 12:46 PM</t>
  </si>
  <si>
    <t>29/06/2020 10:54 AM</t>
  </si>
  <si>
    <t>30/06/2020 12:49 PM</t>
  </si>
  <si>
    <t>30/06/2020 12:06 PM</t>
  </si>
  <si>
    <t>29/06/2020 8:41 AM</t>
  </si>
  <si>
    <t>29/06/2020 6:23 PM</t>
  </si>
  <si>
    <t>30/06/2020 12:51 PM</t>
  </si>
  <si>
    <t>29/06/2020 10:34 AM</t>
  </si>
  <si>
    <t>30/06/2020 12:53 PM</t>
  </si>
  <si>
    <t>29/06/2020 3:05 PM</t>
  </si>
  <si>
    <t>30/06/2020 12:55 PM</t>
  </si>
  <si>
    <t>26/06/2020 11:33 AM</t>
  </si>
  <si>
    <t>29/06/2020 5:09 PM</t>
  </si>
  <si>
    <t>26/06/2020 2:04 PM</t>
  </si>
  <si>
    <t>01/07/2020 2:04 PM</t>
  </si>
  <si>
    <t>01/07/2020 2:07 PM</t>
  </si>
  <si>
    <t>01/07/2020 2:47 PM</t>
  </si>
  <si>
    <t>01/07/2020 5:53 PM</t>
  </si>
  <si>
    <t>01/07/2020 5:55 PM</t>
  </si>
  <si>
    <t>01/07/2020 5:57 PM</t>
  </si>
  <si>
    <t>01/07/2020 2:14 PM</t>
  </si>
  <si>
    <t>01/07/2020 5:14 PM</t>
  </si>
  <si>
    <t>01/07/2020 2:48 PM</t>
  </si>
  <si>
    <t>01/07/2020 6:01 PM</t>
  </si>
  <si>
    <t>30/06/2020 10:32 PM</t>
  </si>
  <si>
    <t>25/06/2020 12:00 AM</t>
  </si>
  <si>
    <t>30/06/2020 11:57 AM</t>
  </si>
  <si>
    <t>30/06/2020 11:54 AM</t>
  </si>
  <si>
    <t>01/07/2020 6:17 PM</t>
  </si>
  <si>
    <t>30/06/2020 11:53 AM</t>
  </si>
  <si>
    <t>30/06/2020 11:38 AM</t>
  </si>
  <si>
    <t>30/06/2020 11:41 AM</t>
  </si>
  <si>
    <t>30/06/2020 11:56 AM</t>
  </si>
  <si>
    <t>30/06/2020 11:58 AM</t>
  </si>
  <si>
    <t>01/07/2020 4:42 PM</t>
  </si>
  <si>
    <t>01/07/2020 4:34 PM</t>
  </si>
  <si>
    <t>01/07/2020 4:29 PM</t>
  </si>
  <si>
    <t>01/07/2020 4:36 PM</t>
  </si>
  <si>
    <t>01/07/2020 4:26 PM</t>
  </si>
  <si>
    <t>01/07/2020 4:53 PM</t>
  </si>
  <si>
    <t>01/07/2020 4:54 PM</t>
  </si>
  <si>
    <t>01/07/2020 4:46 PM</t>
  </si>
  <si>
    <t>01/07/2020 4:44 PM</t>
  </si>
  <si>
    <t>29/06/2020 8:05 AM</t>
  </si>
  <si>
    <t>30/06/2020 6:15 PM</t>
  </si>
  <si>
    <t>30/06/2020 11:51 AM</t>
  </si>
  <si>
    <t>01/07/2020 7:58 AM</t>
  </si>
  <si>
    <t>29/06/2020 3:29 PM</t>
  </si>
  <si>
    <t>30/06/2020 2:29 PM</t>
  </si>
  <si>
    <t>30/06/2020 1:04 PM</t>
  </si>
  <si>
    <t>25/06/2020 12:54 PM</t>
  </si>
  <si>
    <t>29/06/2020 12:22 PM</t>
  </si>
  <si>
    <t>01/07/2020 9:03 AM</t>
  </si>
  <si>
    <t>30/06/2020 3:33 PM</t>
  </si>
  <si>
    <t>26/06/2020 8:23 AM</t>
  </si>
  <si>
    <t>26/06/2020 10:13 AM</t>
  </si>
  <si>
    <t>26/06/2020 5:45 PM</t>
  </si>
  <si>
    <t>30/06/2020 8:37 AM</t>
  </si>
  <si>
    <t>26/06/2020 12:49 PM</t>
  </si>
  <si>
    <t>01/07/2020 7:10 PM</t>
  </si>
  <si>
    <t>29/06/2020 4:08 PM</t>
  </si>
  <si>
    <t>29/06/2020 9:47 AM</t>
  </si>
  <si>
    <t>01/07/2020 10:21 AM</t>
  </si>
  <si>
    <t>30/06/2020 9:55 AM</t>
  </si>
  <si>
    <t>01/07/2020 7:12 PM</t>
  </si>
  <si>
    <t>29/06/2020 9:43 AM</t>
  </si>
  <si>
    <t>30/06/2020 6:55 PM</t>
  </si>
  <si>
    <t>30/06/2020 7:04 PM</t>
  </si>
  <si>
    <t>01/07/2020 7:14 PM</t>
  </si>
  <si>
    <t>01/07/2020 7:04 PM</t>
  </si>
  <si>
    <t>25/06/2020 4:49 PM</t>
  </si>
  <si>
    <t>30/06/2020 1:32 PM</t>
  </si>
  <si>
    <t>30/06/2020 1:29 PM</t>
  </si>
  <si>
    <t>30/06/2020 9:52 AM</t>
  </si>
  <si>
    <t>24/06/2020 12:00 AM</t>
  </si>
  <si>
    <t>25/06/2020 10:49 AM</t>
  </si>
  <si>
    <t>30/06/2020 5:01 PM</t>
  </si>
  <si>
    <t>30/06/2020 5:00 PM</t>
  </si>
  <si>
    <t>25/06/2020 10:50 AM</t>
  </si>
  <si>
    <t>25/06/2020 3:54 PM</t>
  </si>
  <si>
    <t>30/06/2020 4:49 PM</t>
  </si>
  <si>
    <t>30/06/2020 5:17 PM</t>
  </si>
  <si>
    <t>30/06/2020 5:14 PM</t>
  </si>
  <si>
    <t>30/06/2020 5:13 PM</t>
  </si>
  <si>
    <t>30/06/2020 5:11 PM</t>
  </si>
  <si>
    <t>30/06/2020 5:03 PM</t>
  </si>
  <si>
    <t>25/06/2020 1:48 PM</t>
  </si>
  <si>
    <t>30/06/2020 5:16 PM</t>
  </si>
  <si>
    <t>30/06/2020 5:05 PM</t>
  </si>
  <si>
    <t>30/06/2020 5:04 PM</t>
  </si>
  <si>
    <t>30/06/2020 1:47 PM</t>
  </si>
  <si>
    <t>30/06/2020 5:18 PM</t>
  </si>
  <si>
    <t>30/06/2020 1:56 PM</t>
  </si>
  <si>
    <t>30/06/2020 5:19 PM</t>
  </si>
  <si>
    <t>30/06/2020 5:15 PM</t>
  </si>
  <si>
    <t>24/06/2020 10:38 AM</t>
  </si>
  <si>
    <t>01/07/2020 12:54 PM</t>
  </si>
  <si>
    <t>01/07/2020 7:31 AM</t>
  </si>
  <si>
    <t>01/07/2020 9:41 AM</t>
  </si>
  <si>
    <t>01/07/2020 12:52 PM</t>
  </si>
  <si>
    <t>24/06/2020 1:36 PM</t>
  </si>
  <si>
    <t>25/06/2020 1:07 PM</t>
  </si>
  <si>
    <t>30/06/2020 8:30 AM</t>
  </si>
  <si>
    <t>24/06/2020 1:40 PM</t>
  </si>
  <si>
    <t>29/06/2020 9:45 AM</t>
  </si>
  <si>
    <t>26/06/2020 3:08 PM</t>
  </si>
  <si>
    <t>01/07/2020 11:45 AM</t>
  </si>
  <si>
    <t>30/06/2020 3:39 PM</t>
  </si>
  <si>
    <t>24/06/2020 2:14 PM</t>
  </si>
  <si>
    <t>24/06/2020 2:16 PM</t>
  </si>
  <si>
    <t>01/07/2020 8:16 AM</t>
  </si>
  <si>
    <t>01/07/2020 1:32 PM</t>
  </si>
  <si>
    <t>29/06/2020 2:03 PM</t>
  </si>
  <si>
    <t>01/07/2020 3:39 PM</t>
  </si>
  <si>
    <t>29/06/2020 1:23 PM</t>
  </si>
  <si>
    <t>29/06/2020 6:24 PM</t>
  </si>
  <si>
    <t>29/06/2020 1:24 PM</t>
  </si>
  <si>
    <t>01/07/2020 3:41 PM</t>
  </si>
  <si>
    <t>30/06/2020 2:17 PM</t>
  </si>
  <si>
    <t>29/06/2020 4:42 PM</t>
  </si>
  <si>
    <t>24/06/2020 5:13 PM</t>
  </si>
  <si>
    <t>27/06/2020 8:34 AM</t>
  </si>
  <si>
    <t>25/06/2020 3:56 PM</t>
  </si>
  <si>
    <t>24/06/2020 5:16 PM</t>
  </si>
  <si>
    <t>01/07/2020 8:27 AM</t>
  </si>
  <si>
    <t>30/06/2020 1:27 PM</t>
  </si>
  <si>
    <t>30/06/2020 1:52 PM</t>
  </si>
  <si>
    <t>30/06/2020 5:24 PM</t>
  </si>
  <si>
    <t>30/06/2020 5:22 PM</t>
  </si>
  <si>
    <t>28/06/2020 4:47 PM</t>
  </si>
  <si>
    <t>30/06/2020 5:26 PM</t>
  </si>
  <si>
    <t>30/06/2020 5:25 PM</t>
  </si>
  <si>
    <t>25/06/2020 9:53 PM</t>
  </si>
  <si>
    <t>30/06/2020 1:35 PM</t>
  </si>
  <si>
    <t>26/06/2020 6:59 PM</t>
  </si>
  <si>
    <t>30/06/2020 1:19 PM</t>
  </si>
  <si>
    <t>23/06/2020 12:00 AM</t>
  </si>
  <si>
    <t>01/07/2020 4:10 PM</t>
  </si>
  <si>
    <t>01/07/2020 4:09 PM</t>
  </si>
  <si>
    <t>26/06/2020 2:57 PM</t>
  </si>
  <si>
    <t>26/06/2020 2:58 PM</t>
  </si>
  <si>
    <t>01/07/2020 1:22 PM</t>
  </si>
  <si>
    <t>29/06/2020 11:33 PM</t>
  </si>
  <si>
    <t>29/06/2020 12:09 PM</t>
  </si>
  <si>
    <t>30/06/2020 4:46 PM</t>
  </si>
  <si>
    <t>01/07/2020 8:12 AM</t>
  </si>
  <si>
    <t>30/06/2020 1:20 PM</t>
  </si>
  <si>
    <t>29/06/2020 4:09 PM</t>
  </si>
  <si>
    <t>25/06/2020 8:58 AM</t>
  </si>
  <si>
    <t>29/06/2020 4:11 PM</t>
  </si>
  <si>
    <t>29/06/2020 4:12 PM</t>
  </si>
  <si>
    <t>01/07/2020 8:31 PM</t>
  </si>
  <si>
    <t>29/06/2020 9:11 AM</t>
  </si>
  <si>
    <t>29/06/2020 10:00 AM</t>
  </si>
  <si>
    <t>29/06/2020 9:53 AM</t>
  </si>
  <si>
    <t>29/06/2020 10:06 AM</t>
  </si>
  <si>
    <t>29/06/2020 10:04 AM</t>
  </si>
  <si>
    <t>29/06/2020 9:07 AM</t>
  </si>
  <si>
    <t>29/06/2020 10:09 AM</t>
  </si>
  <si>
    <t>29/06/2020 10:08 AM</t>
  </si>
  <si>
    <t>29/06/2020 10:27 AM</t>
  </si>
  <si>
    <t>29/06/2020 10:13 AM</t>
  </si>
  <si>
    <t>29/06/2020 11:38 PM</t>
  </si>
  <si>
    <t>29/06/2020 10:22 AM</t>
  </si>
  <si>
    <t>29/06/2020 10:33 AM</t>
  </si>
  <si>
    <t>29/06/2020 1:53 PM</t>
  </si>
  <si>
    <t>29/06/2020 10:29 AM</t>
  </si>
  <si>
    <t>29/06/2020 4:10 PM</t>
  </si>
  <si>
    <t>29/06/2020 4:07 PM</t>
  </si>
  <si>
    <t>25/06/2020 11:11 AM</t>
  </si>
  <si>
    <t>01/07/2020 4:21 PM</t>
  </si>
  <si>
    <t>25/06/2020 10:36 AM</t>
  </si>
  <si>
    <t>01/07/2020 4:07 PM</t>
  </si>
  <si>
    <t>30/06/2020 4:33 PM</t>
  </si>
  <si>
    <t>23/06/2020 2:36 PM</t>
  </si>
  <si>
    <t>01/07/2020 3:37 PM</t>
  </si>
  <si>
    <t>25/06/2020 4:02 PM</t>
  </si>
  <si>
    <t>25/06/2020 10:23 AM</t>
  </si>
  <si>
    <t>01/07/2020 4:06 PM</t>
  </si>
  <si>
    <t>26/06/2020 3:38 PM</t>
  </si>
  <si>
    <t>26/06/2020 5:04 PM</t>
  </si>
  <si>
    <t>26/06/2020 3:40 PM</t>
  </si>
  <si>
    <t>30/06/2020 10:34 PM</t>
  </si>
  <si>
    <t>30/06/2020 10:31 PM</t>
  </si>
  <si>
    <t>29/06/2020 11:39 PM</t>
  </si>
  <si>
    <t>29/06/2020 11:43 PM</t>
  </si>
  <si>
    <t>29/06/2020 11:49 PM</t>
  </si>
  <si>
    <t>30/06/2020 5:23 PM</t>
  </si>
  <si>
    <t>26/06/2020 5:14 PM</t>
  </si>
  <si>
    <t>29/06/2020 11:45 PM</t>
  </si>
  <si>
    <t>01/07/2020 5:42 PM</t>
  </si>
  <si>
    <t>24/06/2020 1:29 PM</t>
  </si>
  <si>
    <t>22/06/2020 12:00 AM</t>
  </si>
  <si>
    <t>22/06/2020 4:35 PM</t>
  </si>
  <si>
    <t>24/06/2020 9:11 AM</t>
  </si>
  <si>
    <t>22/06/2020 4:36 PM</t>
  </si>
  <si>
    <t>22/06/2020 10:43 AM</t>
  </si>
  <si>
    <t>29/06/2020 3:47 PM</t>
  </si>
  <si>
    <t>01/07/2020 8:17 AM</t>
  </si>
  <si>
    <t>30/06/2020 1:50 PM</t>
  </si>
  <si>
    <t>01/07/2020 8:21 AM</t>
  </si>
  <si>
    <t>23/06/2020 10:05 AM</t>
  </si>
  <si>
    <t>22/06/2020 4:21 PM</t>
  </si>
  <si>
    <t>29/06/2020 7:58 PM</t>
  </si>
  <si>
    <t>26/06/2020 11:28 AM</t>
  </si>
  <si>
    <t>01/07/2020 4:12 PM</t>
  </si>
  <si>
    <t>26/06/2020 1:15 PM</t>
  </si>
  <si>
    <t>26/06/2020 11:11 AM</t>
  </si>
  <si>
    <t>21/06/2020 12:00 AM</t>
  </si>
  <si>
    <t>01/07/2020 4:15 PM</t>
  </si>
  <si>
    <t>20/06/2020 12:00 AM</t>
  </si>
  <si>
    <t>29/06/2020 2:15 PM</t>
  </si>
  <si>
    <t>23/06/2020 10:03 PM</t>
  </si>
  <si>
    <t>01/07/2020 9:23 AM</t>
  </si>
  <si>
    <t>30/06/2020 5:13 AM</t>
  </si>
  <si>
    <t>30/06/2020 5:21 AM</t>
  </si>
  <si>
    <t>26/06/2020 11:23 AM</t>
  </si>
  <si>
    <t>30/06/2020 5:29 AM</t>
  </si>
  <si>
    <t>30/06/2020 5:16 AM</t>
  </si>
  <si>
    <t>29/06/2020 9:35 AM</t>
  </si>
  <si>
    <t>25/06/2020 2:11 PM</t>
  </si>
  <si>
    <t>23/06/2020 12:17 PM</t>
  </si>
  <si>
    <t>29/06/2020 9:34 AM</t>
  </si>
  <si>
    <t>23/06/2020 12:21 PM</t>
  </si>
  <si>
    <t>23/06/2020 12:19 PM</t>
  </si>
  <si>
    <t>23/06/2020 12:31 PM</t>
  </si>
  <si>
    <t>23/06/2020 12:16 PM</t>
  </si>
  <si>
    <t>23/06/2020 12:30 PM</t>
  </si>
  <si>
    <t>26/06/2020 9:30 AM</t>
  </si>
  <si>
    <t>23/06/2020 11:06 AM</t>
  </si>
  <si>
    <t>23/06/2020 12:29 PM</t>
  </si>
  <si>
    <t>23/06/2020 12:23 PM</t>
  </si>
  <si>
    <t>23/06/2020 12:32 PM</t>
  </si>
  <si>
    <t>23/06/2020 12:22 PM</t>
  </si>
  <si>
    <t>23/06/2020 12:34 PM</t>
  </si>
  <si>
    <t>23/06/2020 12:52 PM</t>
  </si>
  <si>
    <t>23/06/2020 12:43 PM</t>
  </si>
  <si>
    <t>23/06/2020 12:41 PM</t>
  </si>
  <si>
    <t>23/06/2020 12:39 PM</t>
  </si>
  <si>
    <t>23/06/2020 1:28 PM</t>
  </si>
  <si>
    <t>23/06/2020 1:27 PM</t>
  </si>
  <si>
    <t>23/06/2020 12:36 PM</t>
  </si>
  <si>
    <t>23/06/2020 12:35 PM</t>
  </si>
  <si>
    <t>23/06/2020 1:26 PM</t>
  </si>
  <si>
    <t>23/06/2020 12:40 PM</t>
  </si>
  <si>
    <t>23/06/2020 1:40 PM</t>
  </si>
  <si>
    <t>22/06/2020 5:16 PM</t>
  </si>
  <si>
    <t>23/06/2020 1:38 PM</t>
  </si>
  <si>
    <t>23/06/2020 1:37 PM</t>
  </si>
  <si>
    <t>23/06/2020 1:30 PM</t>
  </si>
  <si>
    <t>23/06/2020 1:35 PM</t>
  </si>
  <si>
    <t>23/06/2020 1:34 PM</t>
  </si>
  <si>
    <t>23/06/2020 1:29 PM</t>
  </si>
  <si>
    <t>26/06/2020 2:40 PM</t>
  </si>
  <si>
    <t>01/07/2020 10:56 AM</t>
  </si>
  <si>
    <t>23/06/2020 1:42 PM</t>
  </si>
  <si>
    <t>23/06/2020 1:45 PM</t>
  </si>
  <si>
    <t>23/06/2020 1:44 PM</t>
  </si>
  <si>
    <t>23/06/2020 1:43 PM</t>
  </si>
  <si>
    <t>29/06/2020 3:30 PM</t>
  </si>
  <si>
    <t>24/06/2020 4:09 PM</t>
  </si>
  <si>
    <t>23/06/2020 1:48 PM</t>
  </si>
  <si>
    <t>23/06/2020 1:49 PM</t>
  </si>
  <si>
    <t>23/06/2020 1:47 PM</t>
  </si>
  <si>
    <t>01/07/2020 8:10 AM</t>
  </si>
  <si>
    <t>01/07/2020 10:27 AM</t>
  </si>
  <si>
    <t>30/06/2020 5:55 PM</t>
  </si>
  <si>
    <t>23/06/2020 1:52 PM</t>
  </si>
  <si>
    <t>23/06/2020 1:57 PM</t>
  </si>
  <si>
    <t>23/06/2020 2:00 PM</t>
  </si>
  <si>
    <t>23/06/2020 1:56 PM</t>
  </si>
  <si>
    <t>29/06/2020 3:31 PM</t>
  </si>
  <si>
    <t>22/06/2020 9:18 AM</t>
  </si>
  <si>
    <t>23/06/2020 1:59 PM</t>
  </si>
  <si>
    <t>25/06/2020 10:24 AM</t>
  </si>
  <si>
    <t>30/06/2020 9:04 AM</t>
  </si>
  <si>
    <t>23/06/2020 3:52 PM</t>
  </si>
  <si>
    <t>30/06/2020 6:00 PM</t>
  </si>
  <si>
    <t>01/07/2020 8:11 AM</t>
  </si>
  <si>
    <t>23/06/2020 1:54 PM</t>
  </si>
  <si>
    <t>23/06/2020 1:50 PM</t>
  </si>
  <si>
    <t>29/06/2020 3:32 PM</t>
  </si>
  <si>
    <t>01/07/2020 5:26 PM</t>
  </si>
  <si>
    <t>01/07/2020 5:24 PM</t>
  </si>
  <si>
    <t>01/07/2020 6:07 PM</t>
  </si>
  <si>
    <t>01/07/2020 6:10 PM</t>
  </si>
  <si>
    <t>30/06/2020 8:05 AM</t>
  </si>
  <si>
    <t>19/06/2020 12:00 AM</t>
  </si>
  <si>
    <t>30/06/2020 2:46 PM</t>
  </si>
  <si>
    <t>30/06/2020 8:46 PM</t>
  </si>
  <si>
    <t>30/06/2020 8:41 PM</t>
  </si>
  <si>
    <t>01/07/2020 5:28 PM</t>
  </si>
  <si>
    <t>30/06/2020 4:15 PM</t>
  </si>
  <si>
    <t>01/07/2020 5:22 PM</t>
  </si>
  <si>
    <t>01/07/2020 6:21 PM</t>
  </si>
  <si>
    <t>30/06/2020 4:41 PM</t>
  </si>
  <si>
    <t>29/06/2020 1:22 PM</t>
  </si>
  <si>
    <t>25/06/2020 9:22 AM</t>
  </si>
  <si>
    <t>26/06/2020 1:51 PM</t>
  </si>
  <si>
    <t>01/07/2020 1:07 PM</t>
  </si>
  <si>
    <t>30/06/2020 8:49 PM</t>
  </si>
  <si>
    <t>26/06/2020 1:59 PM</t>
  </si>
  <si>
    <t>19/06/2020 3:53 PM</t>
  </si>
  <si>
    <t>30/06/2020 3:48 PM</t>
  </si>
  <si>
    <t>22/06/2020 1:05 PM</t>
  </si>
  <si>
    <t>19/06/2020 5:02 PM</t>
  </si>
  <si>
    <t>19/06/2020 5:03 PM</t>
  </si>
  <si>
    <t>29/06/2020 4:16 PM</t>
  </si>
  <si>
    <t>29/06/2020 2:48 PM</t>
  </si>
  <si>
    <t>19/06/2020 5:04 PM</t>
  </si>
  <si>
    <t>22/06/2020 1:08 PM</t>
  </si>
  <si>
    <t>24/06/2020 1:17 PM</t>
  </si>
  <si>
    <t>19/06/2020 4:02 PM</t>
  </si>
  <si>
    <t>19/06/2020 4:03 PM</t>
  </si>
  <si>
    <t>30/06/2020 4:02 PM</t>
  </si>
  <si>
    <t>19/06/2020 4:12 PM</t>
  </si>
  <si>
    <t>19/06/2020 4:07 PM</t>
  </si>
  <si>
    <t>30/06/2020 4:20 PM</t>
  </si>
  <si>
    <t>29/06/2020 3:58 PM</t>
  </si>
  <si>
    <t>29/06/2020 3:59 PM</t>
  </si>
  <si>
    <t>29/06/2020 4:05 PM</t>
  </si>
  <si>
    <t>29/06/2020 4:04 PM</t>
  </si>
  <si>
    <t>28/06/2020 10:55 AM</t>
  </si>
  <si>
    <t>29/06/2020 4:02 PM</t>
  </si>
  <si>
    <t>26/06/2020 2:14 PM</t>
  </si>
  <si>
    <t>24/06/2020 4:28 PM</t>
  </si>
  <si>
    <t>29/06/2020 4:06 PM</t>
  </si>
  <si>
    <t>29/06/2020 4:00 PM</t>
  </si>
  <si>
    <t>24/06/2020 8:29 AM</t>
  </si>
  <si>
    <t>29/06/2020 3:57 PM</t>
  </si>
  <si>
    <t>29/06/2020 4:03 PM</t>
  </si>
  <si>
    <t>01/07/2020 8:22 AM</t>
  </si>
  <si>
    <t>01/07/2020 9:07 AM</t>
  </si>
  <si>
    <t>29/06/2020 9:32 AM</t>
  </si>
  <si>
    <t>29/06/2020 11:34 PM</t>
  </si>
  <si>
    <t>29/06/2020 11:36 PM</t>
  </si>
  <si>
    <t>01/07/2020 8:28 AM</t>
  </si>
  <si>
    <t>01/07/2020 9:11 AM</t>
  </si>
  <si>
    <t>01/07/2020 9:34 AM</t>
  </si>
  <si>
    <t>19/06/2020 4:54 PM</t>
  </si>
  <si>
    <t>29/06/2020 11:37 PM</t>
  </si>
  <si>
    <t>29/06/2020 11:35 PM</t>
  </si>
  <si>
    <t>19/06/2020 4:53 PM</t>
  </si>
  <si>
    <t>01/07/2020 8:25 AM</t>
  </si>
  <si>
    <t>01/07/2020 9:36 AM</t>
  </si>
  <si>
    <t>29/06/2020 10:32 AM</t>
  </si>
  <si>
    <t>30/06/2020 1:01 PM</t>
  </si>
  <si>
    <t>01/07/2020 11:09 AM</t>
  </si>
  <si>
    <t>19/06/2020 4:26 PM</t>
  </si>
  <si>
    <t>29/06/2020 3:56 PM</t>
  </si>
  <si>
    <t>19/06/2020 4:56 PM</t>
  </si>
  <si>
    <t>01/07/2020 3:45 PM</t>
  </si>
  <si>
    <t>29/06/2020 5:01 PM</t>
  </si>
  <si>
    <t>29/06/2020 10:55 AM</t>
  </si>
  <si>
    <t>30/06/2020 1:05 PM</t>
  </si>
  <si>
    <t>23/06/2020 10:45 AM</t>
  </si>
  <si>
    <t>23/06/2020 6:34 PM</t>
  </si>
  <si>
    <t>24/06/2020 2:09 PM</t>
  </si>
  <si>
    <t>30/06/2020 4:16 PM</t>
  </si>
  <si>
    <t>30/06/2020 4:11 PM</t>
  </si>
  <si>
    <t>01/07/2020 8:42 AM</t>
  </si>
  <si>
    <t>29/06/2020 11:58 AM</t>
  </si>
  <si>
    <t>26/06/2020 7:45 AM</t>
  </si>
  <si>
    <t>26/06/2020 7:09 PM</t>
  </si>
  <si>
    <t>01/07/2020 8:24 AM</t>
  </si>
  <si>
    <t>25/06/2020 1:49 PM</t>
  </si>
  <si>
    <t>27/06/2020 12:13 PM</t>
  </si>
  <si>
    <t>01/07/2020 6:20 PM</t>
  </si>
  <si>
    <t>19/06/2020 3:54 PM</t>
  </si>
  <si>
    <t>01/07/2020 6:13 PM</t>
  </si>
  <si>
    <t>29/06/2020 4:25 PM</t>
  </si>
  <si>
    <t>30/06/2020 1:06 PM</t>
  </si>
  <si>
    <t>24/06/2020 2:22 PM</t>
  </si>
  <si>
    <t>30/06/2020 1:02 PM</t>
  </si>
  <si>
    <t>30/06/2020 4:30 PM</t>
  </si>
  <si>
    <t>30/06/2020 4:28 PM</t>
  </si>
  <si>
    <t>19/06/2020 11:52 AM</t>
  </si>
  <si>
    <t>01/07/2020 2:58 PM</t>
  </si>
  <si>
    <t>01/07/2020 6:15 PM</t>
  </si>
  <si>
    <t>29/06/2020 7:59 PM</t>
  </si>
  <si>
    <t>24/06/2020 2:18 PM</t>
  </si>
  <si>
    <t>26/06/2020 5:06 PM</t>
  </si>
  <si>
    <t>25/06/2020 12:02 PM</t>
  </si>
  <si>
    <t>19/06/2020 11:51 AM</t>
  </si>
  <si>
    <t>30/06/2020 4:36 PM</t>
  </si>
  <si>
    <t>01/07/2020 6:33 PM</t>
  </si>
  <si>
    <t>01/07/2020 6:31 PM</t>
  </si>
  <si>
    <t>01/07/2020 5:33 PM</t>
  </si>
  <si>
    <t>01/07/2020 5:36 PM</t>
  </si>
  <si>
    <t>01/07/2020 5:41 PM</t>
  </si>
  <si>
    <t>01/07/2020 5:39 PM</t>
  </si>
  <si>
    <t>01/07/2020 5:38 PM</t>
  </si>
  <si>
    <t>18/06/2020 12:00 AM</t>
  </si>
  <si>
    <t>01/07/2020 6:35 PM</t>
  </si>
  <si>
    <t>01/07/2020 9:09 AM</t>
  </si>
  <si>
    <t>01/07/2020 9:14 AM</t>
  </si>
  <si>
    <t>25/06/2020 2:23 PM</t>
  </si>
  <si>
    <t>01/07/2020 3:06 PM</t>
  </si>
  <si>
    <t>01/07/2020 2:57 PM</t>
  </si>
  <si>
    <t>01/07/2020 2:55 PM</t>
  </si>
  <si>
    <t>01/07/2020 3:00 PM</t>
  </si>
  <si>
    <t>01/07/2020 2:27 PM</t>
  </si>
  <si>
    <t>01/07/2020 3:10 PM</t>
  </si>
  <si>
    <t>29/06/2020 7:48 PM</t>
  </si>
  <si>
    <t>01/07/2020 3:04 PM</t>
  </si>
  <si>
    <t>01/07/2020 12:31 PM</t>
  </si>
  <si>
    <t>29/06/2020 1:34 PM</t>
  </si>
  <si>
    <t>29/06/2020 1:29 PM</t>
  </si>
  <si>
    <t>30/06/2020 4:10 PM</t>
  </si>
  <si>
    <t>30/06/2020 4:09 PM</t>
  </si>
  <si>
    <t>30/06/2020 10:47 AM</t>
  </si>
  <si>
    <t>30/06/2020 4:08 PM</t>
  </si>
  <si>
    <t>30/06/2020 4:07 PM</t>
  </si>
  <si>
    <t>30/06/2020 4:06 PM</t>
  </si>
  <si>
    <t>22/06/2020 2:47 PM</t>
  </si>
  <si>
    <t>30/06/2020 8:26 AM</t>
  </si>
  <si>
    <t>01/07/2020 1:18 PM</t>
  </si>
  <si>
    <t>18/06/2020 2:59 PM</t>
  </si>
  <si>
    <t>24/06/2020 3:36 PM</t>
  </si>
  <si>
    <t>01/07/2020 1:05 PM</t>
  </si>
  <si>
    <t>01/07/2020 1:11 PM</t>
  </si>
  <si>
    <t>22/06/2020 1:57 PM</t>
  </si>
  <si>
    <t>30/06/2020 8:28 AM</t>
  </si>
  <si>
    <t>01/07/2020 1:15 PM</t>
  </si>
  <si>
    <t>23/06/2020 11:57 AM</t>
  </si>
  <si>
    <t>18/06/2020 2:20 PM</t>
  </si>
  <si>
    <t>23/06/2020 12:04 PM</t>
  </si>
  <si>
    <t>19/06/2020 4:28 PM</t>
  </si>
  <si>
    <t>19/06/2020 3:59 PM</t>
  </si>
  <si>
    <t>19/06/2020 4:19 PM</t>
  </si>
  <si>
    <t>19/06/2020 3:57 PM</t>
  </si>
  <si>
    <t>18/06/2020 3:32 PM</t>
  </si>
  <si>
    <t>19/06/2020 3:56 PM</t>
  </si>
  <si>
    <t>19/06/2020 4:52 PM</t>
  </si>
  <si>
    <t>18/06/2020 3:35 PM</t>
  </si>
  <si>
    <t>19/06/2020 4:50 PM</t>
  </si>
  <si>
    <t>25/06/2020 3:03 PM</t>
  </si>
  <si>
    <t>19/06/2020 4:48 PM</t>
  </si>
  <si>
    <t>25/06/2020 3:00 PM</t>
  </si>
  <si>
    <t>19/06/2020 4:05 PM</t>
  </si>
  <si>
    <t>30/06/2020 1:36 PM</t>
  </si>
  <si>
    <t>19/06/2020 5:06 PM</t>
  </si>
  <si>
    <t>19/06/2020 4:46 PM</t>
  </si>
  <si>
    <t>23/06/2020 6:05 PM</t>
  </si>
  <si>
    <t>29/06/2020 8:42 AM</t>
  </si>
  <si>
    <t>30/06/2020 6:18 PM</t>
  </si>
  <si>
    <t>24/06/2020 10:07 AM</t>
  </si>
  <si>
    <t>01/07/2020 3:11 PM</t>
  </si>
  <si>
    <t>29/06/2020 2:40 PM</t>
  </si>
  <si>
    <t>30/06/2020 2:38 PM</t>
  </si>
  <si>
    <t>29/06/2020 12:55 PM</t>
  </si>
  <si>
    <t>01/07/2020 3:26 PM</t>
  </si>
  <si>
    <t>29/06/2020 12:58 PM</t>
  </si>
  <si>
    <t>01/07/2020 4:23 PM</t>
  </si>
  <si>
    <t>29/06/2020 1:56 PM</t>
  </si>
  <si>
    <t>01/07/2020 11:07 AM</t>
  </si>
  <si>
    <t>01/07/2020 4:18 PM</t>
  </si>
  <si>
    <t>29/06/2020 2:49 PM</t>
  </si>
  <si>
    <t>01/07/2020 4:22 PM</t>
  </si>
  <si>
    <t>27/06/2020 6:00 AM</t>
  </si>
  <si>
    <t>01/07/2020 11:44 PM</t>
  </si>
  <si>
    <t>29/06/2020 3:13 PM</t>
  </si>
  <si>
    <t>29/06/2020 1:06 PM</t>
  </si>
  <si>
    <t>26/06/2020 2:23 PM</t>
  </si>
  <si>
    <t>29/06/2020 3:10 PM</t>
  </si>
  <si>
    <t>30/06/2020 3:23 PM</t>
  </si>
  <si>
    <t>29/06/2020 5:34 PM</t>
  </si>
  <si>
    <t>23/06/2020 5:23 PM</t>
  </si>
  <si>
    <t>29/06/2020 3:20 PM</t>
  </si>
  <si>
    <t>25/06/2020 1:29 PM</t>
  </si>
  <si>
    <t>19/06/2020 1:32 PM</t>
  </si>
  <si>
    <t>19/06/2020 1:31 PM</t>
  </si>
  <si>
    <t>24/06/2020 6:07 PM</t>
  </si>
  <si>
    <t>19/06/2020 1:28 PM</t>
  </si>
  <si>
    <t>19/06/2020 1:26 PM</t>
  </si>
  <si>
    <t>19/06/2020 1:30 PM</t>
  </si>
  <si>
    <t>29/06/2020 3:16 PM</t>
  </si>
  <si>
    <t>01/07/2020 9:55 AM</t>
  </si>
  <si>
    <t>29/06/2020 10:57 AM</t>
  </si>
  <si>
    <t>19/06/2020 1:36 PM</t>
  </si>
  <si>
    <t>19/06/2020 1:29 PM</t>
  </si>
  <si>
    <t>19/06/2020 1:35 PM</t>
  </si>
  <si>
    <t>26/06/2020 4:40 PM</t>
  </si>
  <si>
    <t>19/06/2020 1:33 PM</t>
  </si>
  <si>
    <t>29/06/2020 11:00 AM</t>
  </si>
  <si>
    <t>26/06/2020 4:43 PM</t>
  </si>
  <si>
    <t>30/06/2020 7:20 PM</t>
  </si>
  <si>
    <t>30/06/2020 7:19 PM</t>
  </si>
  <si>
    <t>29/06/2020 10:59 AM</t>
  </si>
  <si>
    <t>26/06/2020 9:06 PM</t>
  </si>
  <si>
    <t>17/06/2020 12:00 AM</t>
  </si>
  <si>
    <t>01/07/2020 8:33 AM</t>
  </si>
  <si>
    <t>23/06/2020 4:49 PM</t>
  </si>
  <si>
    <t>29/06/2020 10:58 AM</t>
  </si>
  <si>
    <t>26/06/2020 11:29 AM</t>
  </si>
  <si>
    <t>01/07/2020 7:36 PM</t>
  </si>
  <si>
    <t>30/06/2020 2:01 PM</t>
  </si>
  <si>
    <t>25/06/2020 4:52 PM</t>
  </si>
  <si>
    <t>22/06/2020 4:25 PM</t>
  </si>
  <si>
    <t>22/06/2020 5:36 PM</t>
  </si>
  <si>
    <t>25/06/2020 4:53 PM</t>
  </si>
  <si>
    <t>26/06/2020 11:03 AM</t>
  </si>
  <si>
    <t>22/06/2020 5:15 PM</t>
  </si>
  <si>
    <t>19/06/2020 2:34 PM</t>
  </si>
  <si>
    <t>29/06/2020 1:47 PM</t>
  </si>
  <si>
    <t>29/06/2020 11:05 AM</t>
  </si>
  <si>
    <t>29/06/2020 2:36 PM</t>
  </si>
  <si>
    <t>29/06/2020 11:32 AM</t>
  </si>
  <si>
    <t>22/06/2020 2:06 PM</t>
  </si>
  <si>
    <t>30/06/2020 2:40 PM</t>
  </si>
  <si>
    <t>30/06/2020 12:39 PM</t>
  </si>
  <si>
    <t>26/06/2020 9:07 AM</t>
  </si>
  <si>
    <t>29/06/2020 11:30 AM</t>
  </si>
  <si>
    <t>29/06/2020 2:41 PM</t>
  </si>
  <si>
    <t>23/06/2020 8:26 AM</t>
  </si>
  <si>
    <t>26/06/2020 1:54 PM</t>
  </si>
  <si>
    <t>30/06/2020 3:53 PM</t>
  </si>
  <si>
    <t>01/07/2020 2:52 PM</t>
  </si>
  <si>
    <t>22/06/2020 3:07 PM</t>
  </si>
  <si>
    <t>30/06/2020 3:08 PM</t>
  </si>
  <si>
    <t>29/06/2020 4:35 PM</t>
  </si>
  <si>
    <t>29/06/2020 4:39 PM</t>
  </si>
  <si>
    <t>29/06/2020 4:37 PM</t>
  </si>
  <si>
    <t>26/06/2020 1:02 PM</t>
  </si>
  <si>
    <t>26/06/2020 4:16 PM</t>
  </si>
  <si>
    <t>28/06/2020 9:41 PM</t>
  </si>
  <si>
    <t>23/06/2020 2:11 PM</t>
  </si>
  <si>
    <t>01/07/2020 8:34 AM</t>
  </si>
  <si>
    <t>29/06/2020 12:26 PM</t>
  </si>
  <si>
    <t>30/06/2020 5:59 PM</t>
  </si>
  <si>
    <t>24/06/2020 11:14 AM</t>
  </si>
  <si>
    <t>22/06/2020 10:38 PM</t>
  </si>
  <si>
    <t>23/06/2020 2:13 PM</t>
  </si>
  <si>
    <t>22/06/2020 10:40 PM</t>
  </si>
  <si>
    <t>23/06/2020 2:16 PM</t>
  </si>
  <si>
    <t>29/06/2020 11:02 AM</t>
  </si>
  <si>
    <t>24/06/2020 11:12 AM</t>
  </si>
  <si>
    <t>23/06/2020 9:08 AM</t>
  </si>
  <si>
    <t>01/07/2020 4:43 PM</t>
  </si>
  <si>
    <t>22/06/2020 8:48 AM</t>
  </si>
  <si>
    <t>17/06/2020 4:11 PM</t>
  </si>
  <si>
    <t>22/06/2020 8:39 AM</t>
  </si>
  <si>
    <t>26/06/2020 10:24 AM</t>
  </si>
  <si>
    <t>22/06/2020 8:45 AM</t>
  </si>
  <si>
    <t>23/06/2020 9:23 AM</t>
  </si>
  <si>
    <t>23/06/2020 9:11 AM</t>
  </si>
  <si>
    <t>22/06/2020 2:49 PM</t>
  </si>
  <si>
    <t>25/06/2020 4:41 PM</t>
  </si>
  <si>
    <t>01/07/2020 10:25 AM</t>
  </si>
  <si>
    <t>23/06/2020 9:29 AM</t>
  </si>
  <si>
    <t>29/06/2020 11:25 PM</t>
  </si>
  <si>
    <t>23/06/2020 9:35 AM</t>
  </si>
  <si>
    <t>29/06/2020 11:28 PM</t>
  </si>
  <si>
    <t>30/06/2020 3:21 PM</t>
  </si>
  <si>
    <t>29/06/2020 11:30 PM</t>
  </si>
  <si>
    <t>29/06/2020 11:26 PM</t>
  </si>
  <si>
    <t>29/06/2020 11:31 PM</t>
  </si>
  <si>
    <t>29/06/2020 11:32 PM</t>
  </si>
  <si>
    <t>01/07/2020 6:42 PM</t>
  </si>
  <si>
    <t>30/06/2020 3:57 PM</t>
  </si>
  <si>
    <t>30/06/2020 3:59 PM</t>
  </si>
  <si>
    <t>29/06/2020 11:22 PM</t>
  </si>
  <si>
    <t>29/06/2020 11:24 PM</t>
  </si>
  <si>
    <t>30/06/2020 3:55 PM</t>
  </si>
  <si>
    <t>29/06/2020 11:23 PM</t>
  </si>
  <si>
    <t>30/06/2020 6:42 PM</t>
  </si>
  <si>
    <t>01/07/2020 5:12 PM</t>
  </si>
  <si>
    <t>29/06/2020 11:29 PM</t>
  </si>
  <si>
    <t>01/07/2020 5:15 PM</t>
  </si>
  <si>
    <t>01/07/2020 5:13 PM</t>
  </si>
  <si>
    <t>22/06/2020 8:40 PM</t>
  </si>
  <si>
    <t>23/06/2020 3:46 PM</t>
  </si>
  <si>
    <t>25/06/2020 12:46 PM</t>
  </si>
  <si>
    <t>30/06/2020 3:18 PM</t>
  </si>
  <si>
    <t>01/07/2020 8:10 PM</t>
  </si>
  <si>
    <t>18/06/2020 3:53 PM</t>
  </si>
  <si>
    <t>01/07/2020 3:50 PM</t>
  </si>
  <si>
    <t>23/06/2020 10:59 AM</t>
  </si>
  <si>
    <t>01/07/2020 6:57 PM</t>
  </si>
  <si>
    <t>29/06/2020 7:35 PM</t>
  </si>
  <si>
    <t>23/06/2020 2:14 PM</t>
  </si>
  <si>
    <t>01/07/2020 5:10 PM</t>
  </si>
  <si>
    <t>29/06/2020 3:14 PM</t>
  </si>
  <si>
    <t>22/06/2020 2:18 PM</t>
  </si>
  <si>
    <t>26/06/2020 12:42 PM</t>
  </si>
  <si>
    <t>29/06/2020 3:19 PM</t>
  </si>
  <si>
    <t>22/06/2020 10:26 AM</t>
  </si>
  <si>
    <t>26/06/2020 2:45 PM</t>
  </si>
  <si>
    <t>01/07/2020 4:57 PM</t>
  </si>
  <si>
    <t>16/06/2020 12:00 AM</t>
  </si>
  <si>
    <t>29/06/2020 3:23 PM</t>
  </si>
  <si>
    <t>29/06/2020 8:36 AM</t>
  </si>
  <si>
    <t>29/06/2020 3:27 PM</t>
  </si>
  <si>
    <t>24/06/2020 12:07 PM</t>
  </si>
  <si>
    <t>29/06/2020 6:51 PM</t>
  </si>
  <si>
    <t>30/06/2020 10:12 AM</t>
  </si>
  <si>
    <t>26/06/2020 6:20 PM</t>
  </si>
  <si>
    <t>18/06/2020 1:13 PM</t>
  </si>
  <si>
    <t>26/06/2020 6:18 PM</t>
  </si>
  <si>
    <t>29/06/2020 6:17 PM</t>
  </si>
  <si>
    <t>29/06/2020 6:19 PM</t>
  </si>
  <si>
    <t>26/06/2020 9:16 AM</t>
  </si>
  <si>
    <t>23/06/2020 5:07 PM</t>
  </si>
  <si>
    <t>24/06/2020 9:50 AM</t>
  </si>
  <si>
    <t>29/06/2020 8:52 AM</t>
  </si>
  <si>
    <t>22/06/2020 10:37 AM</t>
  </si>
  <si>
    <t>22/06/2020 1:37 PM</t>
  </si>
  <si>
    <t>25/06/2020 10:17 PM</t>
  </si>
  <si>
    <t>25/06/2020 3:59 PM</t>
  </si>
  <si>
    <t>01/07/2020 4:25 PM</t>
  </si>
  <si>
    <t>24/06/2020 1:38 PM</t>
  </si>
  <si>
    <t>29/06/2020 11:14 AM</t>
  </si>
  <si>
    <t>01/07/2020 3:55 PM</t>
  </si>
  <si>
    <t>01/07/2020 4:38 PM</t>
  </si>
  <si>
    <t>29/06/2020 9:57 AM</t>
  </si>
  <si>
    <t>29/06/2020 3:44 PM</t>
  </si>
  <si>
    <t>29/06/2020 3:45 PM</t>
  </si>
  <si>
    <t>26/06/2020 8:27 AM</t>
  </si>
  <si>
    <t>29/06/2020 9:58 AM</t>
  </si>
  <si>
    <t>25/06/2020 9:17 AM</t>
  </si>
  <si>
    <t>25/06/2020 5:02 PM</t>
  </si>
  <si>
    <t>01/07/2020 4:52 PM</t>
  </si>
  <si>
    <t>16/06/2020 11:00 AM</t>
  </si>
  <si>
    <t>26/06/2020 10:34 AM</t>
  </si>
  <si>
    <t>25/06/2020 4:30 PM</t>
  </si>
  <si>
    <t>19/06/2020 8:13 AM</t>
  </si>
  <si>
    <t>27/06/2020 8:53 AM</t>
  </si>
  <si>
    <t>17/06/2020 4:21 PM</t>
  </si>
  <si>
    <t>29/06/2020 7:44 PM</t>
  </si>
  <si>
    <t>01/07/2020 4:45 PM</t>
  </si>
  <si>
    <t>22/06/2020 9:11 PM</t>
  </si>
  <si>
    <t>28/06/2020 1:51 PM</t>
  </si>
  <si>
    <t>22/06/2020 2:30 PM</t>
  </si>
  <si>
    <t>29/06/2020 7:52 PM</t>
  </si>
  <si>
    <t>29/06/2020 2:24 PM</t>
  </si>
  <si>
    <t>29/06/2020 7:47 PM</t>
  </si>
  <si>
    <t>23/06/2020 8:23 AM</t>
  </si>
  <si>
    <t>28/06/2020 1:45 PM</t>
  </si>
  <si>
    <t>24/06/2020 3:32 PM</t>
  </si>
  <si>
    <t>30/06/2020 9:24 PM</t>
  </si>
  <si>
    <t>01/07/2020 11:30 AM</t>
  </si>
  <si>
    <t>15/06/2020 12:00 AM</t>
  </si>
  <si>
    <t>29/06/2020 3:33 PM</t>
  </si>
  <si>
    <t>29/06/2020 1:42 PM</t>
  </si>
  <si>
    <t>30/06/2020 12:21 PM</t>
  </si>
  <si>
    <t>24/06/2020 3:04 PM</t>
  </si>
  <si>
    <t>26/06/2020 4:09 PM</t>
  </si>
  <si>
    <t>16/06/2020 10:18 AM</t>
  </si>
  <si>
    <t>25/06/2020 3:39 PM</t>
  </si>
  <si>
    <t>30/06/2020 8:43 AM</t>
  </si>
  <si>
    <t>30/06/2020 8:40 AM</t>
  </si>
  <si>
    <t>30/06/2020 9:34 PM</t>
  </si>
  <si>
    <t>30/06/2020 9:35 PM</t>
  </si>
  <si>
    <t>30/06/2020 11:40 AM</t>
  </si>
  <si>
    <t>30/06/2020 9:33 PM</t>
  </si>
  <si>
    <t>29/06/2020 8:49 AM</t>
  </si>
  <si>
    <t>23/06/2020 3:39 PM</t>
  </si>
  <si>
    <t>25/06/2020 10:25 AM</t>
  </si>
  <si>
    <t>23/06/2020 3:30 PM</t>
  </si>
  <si>
    <t>16/06/2020 10:38 AM</t>
  </si>
  <si>
    <t>01/07/2020 10:57 AM</t>
  </si>
  <si>
    <t>16/06/2020 10:39 AM</t>
  </si>
  <si>
    <t>01/07/2020 11:33 AM</t>
  </si>
  <si>
    <t>01/07/2020 11:27 AM</t>
  </si>
  <si>
    <t>01/07/2020 11:12 AM</t>
  </si>
  <si>
    <t>01/07/2020 11:24 AM</t>
  </si>
  <si>
    <t>01/07/2020 11:32 AM</t>
  </si>
  <si>
    <t>24/06/2020 9:06 PM</t>
  </si>
  <si>
    <t>01/07/2020 11:10 AM</t>
  </si>
  <si>
    <t>01/07/2020 11:00 AM</t>
  </si>
  <si>
    <t>29/06/2020 7:01 PM</t>
  </si>
  <si>
    <t>14/06/2020 12:00 AM</t>
  </si>
  <si>
    <t>22/06/2020 11:25 AM</t>
  </si>
  <si>
    <t>23/06/2020 11:44 AM</t>
  </si>
  <si>
    <t>22/06/2020 11:20 AM</t>
  </si>
  <si>
    <t>22/06/2020 11:15 AM</t>
  </si>
  <si>
    <t>13/06/2020 12:00 AM</t>
  </si>
  <si>
    <t>24/06/2020 8:20 AM</t>
  </si>
  <si>
    <t>01/07/2020 4:08 PM</t>
  </si>
  <si>
    <t>21/06/2020 2:10 PM</t>
  </si>
  <si>
    <t>21/06/2020 2:00 PM</t>
  </si>
  <si>
    <t>12/06/2020 12:00 AM</t>
  </si>
  <si>
    <t>30/06/2020 2:03 PM</t>
  </si>
  <si>
    <t>22/06/2020 4:02 PM</t>
  </si>
  <si>
    <t>01/07/2020 5:27 PM</t>
  </si>
  <si>
    <t>24/06/2020 3:17 PM</t>
  </si>
  <si>
    <t>17/06/2020 10:12 AM</t>
  </si>
  <si>
    <t>30/06/2020 4:35 PM</t>
  </si>
  <si>
    <t>19/06/2020 2:15 PM</t>
  </si>
  <si>
    <t>26/06/2020 9:36 AM</t>
  </si>
  <si>
    <t>24/06/2020 10:17 AM</t>
  </si>
  <si>
    <t>26/06/2020 4:49 PM</t>
  </si>
  <si>
    <t>17/06/2020 11:00 AM</t>
  </si>
  <si>
    <t>25/06/2020 1:19 PM</t>
  </si>
  <si>
    <t>30/06/2020 4:34 PM</t>
  </si>
  <si>
    <t>26/06/2020 3:01 PM</t>
  </si>
  <si>
    <t>25/06/2020 1:20 PM</t>
  </si>
  <si>
    <t>22/06/2020 10:55 AM</t>
  </si>
  <si>
    <t>30/06/2020 1:17 PM</t>
  </si>
  <si>
    <t>26/06/2020 1:56 PM</t>
  </si>
  <si>
    <t>25/06/2020 2:34 PM</t>
  </si>
  <si>
    <t>30/06/2020 6:20 PM</t>
  </si>
  <si>
    <t>22/06/2020 5:22 PM</t>
  </si>
  <si>
    <t>01/07/2020 4:04 PM</t>
  </si>
  <si>
    <t>24/06/2020 9:14 PM</t>
  </si>
  <si>
    <t>01/07/2020 4:05 PM</t>
  </si>
  <si>
    <t>24/06/2020 9:47 AM</t>
  </si>
  <si>
    <t>26/06/2020 1:55 PM</t>
  </si>
  <si>
    <t>24/06/2020 12:57 PM</t>
  </si>
  <si>
    <t>30/06/2020 6:21 PM</t>
  </si>
  <si>
    <t>30/06/2020 6:19 PM</t>
  </si>
  <si>
    <t>30/06/2020 6:31 PM</t>
  </si>
  <si>
    <t>30/06/2020 6:29 PM</t>
  </si>
  <si>
    <t>30/06/2020 6:28 PM</t>
  </si>
  <si>
    <t>30/06/2020 6:26 PM</t>
  </si>
  <si>
    <t>30/06/2020 6:25 PM</t>
  </si>
  <si>
    <t>30/06/2020 6:24 PM</t>
  </si>
  <si>
    <t>22/06/2020 5:25 PM</t>
  </si>
  <si>
    <t>30/06/2020 6:23 PM</t>
  </si>
  <si>
    <t>30/06/2020 6:22 PM</t>
  </si>
  <si>
    <t>30/06/2020 6:33 PM</t>
  </si>
  <si>
    <t>30/06/2020 7:59 PM</t>
  </si>
  <si>
    <t>26/06/2020 2:29 PM</t>
  </si>
  <si>
    <t>18/06/2020 3:10 PM</t>
  </si>
  <si>
    <t>30/06/2020 6:37 PM</t>
  </si>
  <si>
    <t>22/06/2020 10:07 PM</t>
  </si>
  <si>
    <t>25/06/2020 11:37 AM</t>
  </si>
  <si>
    <t>26/06/2020 10:52 AM</t>
  </si>
  <si>
    <t>26/06/2020 9:43 AM</t>
  </si>
  <si>
    <t>18/06/2020 3:12 PM</t>
  </si>
  <si>
    <t>25/06/2020 4:42 PM</t>
  </si>
  <si>
    <t>30/06/2020 6:36 PM</t>
  </si>
  <si>
    <t>30/06/2020 6:34 PM</t>
  </si>
  <si>
    <t>25/06/2020 3:07 PM</t>
  </si>
  <si>
    <t>11/06/2020 12:00 AM</t>
  </si>
  <si>
    <t>24/06/2020 11:39 AM</t>
  </si>
  <si>
    <t>25/06/2020 4:01 PM</t>
  </si>
  <si>
    <t>18/06/2020 5:06 PM</t>
  </si>
  <si>
    <t>18/06/2020 11:18 PM</t>
  </si>
  <si>
    <t>26/06/2020 2:43 PM</t>
  </si>
  <si>
    <t>17/06/2020 3:55 PM</t>
  </si>
  <si>
    <t>27/06/2020 9:23 PM</t>
  </si>
  <si>
    <t>25/06/2020 7:16 AM</t>
  </si>
  <si>
    <t>24/06/2020 9:37 AM</t>
  </si>
  <si>
    <t>24/06/2020 9:35 AM</t>
  </si>
  <si>
    <t>22/06/2020 10:07 AM</t>
  </si>
  <si>
    <t>29/06/2020 8:40 AM</t>
  </si>
  <si>
    <t>23/06/2020 12:50 PM</t>
  </si>
  <si>
    <t>29/06/2020 1:57 PM</t>
  </si>
  <si>
    <t>28/06/2020 7:25 PM</t>
  </si>
  <si>
    <t>19/06/2020 4:31 PM</t>
  </si>
  <si>
    <t>24/06/2020 9:53 AM</t>
  </si>
  <si>
    <t>01/07/2020 9:19 AM</t>
  </si>
  <si>
    <t>23/06/2020 2:46 PM</t>
  </si>
  <si>
    <t>29/06/2020 11:36 AM</t>
  </si>
  <si>
    <t>11/06/2020 1:00 PM</t>
  </si>
  <si>
    <t>22/06/2020 10:12 AM</t>
  </si>
  <si>
    <t>23/06/2020 4:46 PM</t>
  </si>
  <si>
    <t>24/06/2020 2:49 PM</t>
  </si>
  <si>
    <t>30/06/2020 6:07 PM</t>
  </si>
  <si>
    <t>26/06/2020 2:05 PM</t>
  </si>
  <si>
    <t>23/06/2020 9:45 AM</t>
  </si>
  <si>
    <t>23/06/2020 9:42 AM</t>
  </si>
  <si>
    <t>23/06/2020 3:53 PM</t>
  </si>
  <si>
    <t>22/06/2020 5:04 PM</t>
  </si>
  <si>
    <t>19/06/2020 4:57 PM</t>
  </si>
  <si>
    <t>16/06/2020 11:05 AM</t>
  </si>
  <si>
    <t>23/06/2020 9:41 AM</t>
  </si>
  <si>
    <t>23/06/2020 9:44 AM</t>
  </si>
  <si>
    <t>26/06/2020 8:50 AM</t>
  </si>
  <si>
    <t>23/06/2020 6:37 PM</t>
  </si>
  <si>
    <t>25/06/2020 2:05 PM</t>
  </si>
  <si>
    <t>25/06/2020 2:35 PM</t>
  </si>
  <si>
    <t>18/06/2020 1:51 PM</t>
  </si>
  <si>
    <t>01/07/2020 2:06 PM</t>
  </si>
  <si>
    <t>25/06/2020 10:52 PM</t>
  </si>
  <si>
    <t>24/06/2020 2:30 PM</t>
  </si>
  <si>
    <t>22/06/2020 2:35 PM</t>
  </si>
  <si>
    <t>26/06/2020 11:25 PM</t>
  </si>
  <si>
    <t>25/06/2020 10:55 PM</t>
  </si>
  <si>
    <t>10/06/2020 12:00 AM</t>
  </si>
  <si>
    <t>25/06/2020 2:49 PM</t>
  </si>
  <si>
    <t>23/06/2020 9:46 AM</t>
  </si>
  <si>
    <t>11/06/2020 9:29 AM</t>
  </si>
  <si>
    <t>30/06/2020 4:58 PM</t>
  </si>
  <si>
    <t>01/07/2020 4:02 PM</t>
  </si>
  <si>
    <t>23/06/2020 5:13 PM</t>
  </si>
  <si>
    <t>25/06/2020 10:37 AM</t>
  </si>
  <si>
    <t>25/06/2020 10:32 AM</t>
  </si>
  <si>
    <t>23/06/2020 4:14 PM</t>
  </si>
  <si>
    <t>25/06/2020 2:37 PM</t>
  </si>
  <si>
    <t>24/06/2020 10:10 PM</t>
  </si>
  <si>
    <t>25/06/2020 2:32 PM</t>
  </si>
  <si>
    <t>25/06/2020 2:45 PM</t>
  </si>
  <si>
    <t>01/07/2020 5:30 PM</t>
  </si>
  <si>
    <t>25/06/2020 4:54 PM</t>
  </si>
  <si>
    <t>01/07/2020 11:59 AM</t>
  </si>
  <si>
    <t>01/07/2020 5:01 PM</t>
  </si>
  <si>
    <t>19/06/2020 11:09 AM</t>
  </si>
  <si>
    <t>22/06/2020 3:27 PM</t>
  </si>
  <si>
    <t>09/06/2020 12:00 AM</t>
  </si>
  <si>
    <t>23/06/2020 5:37 PM</t>
  </si>
  <si>
    <t>26/06/2020 2:20 PM</t>
  </si>
  <si>
    <t>01/07/2020 3:51 PM</t>
  </si>
  <si>
    <t>01/07/2020 5:02 PM</t>
  </si>
  <si>
    <t>23/06/2020 2:06 PM</t>
  </si>
  <si>
    <t>29/06/2020 9:44 AM</t>
  </si>
  <si>
    <t>29/06/2020 1:17 PM</t>
  </si>
  <si>
    <t>26/06/2020 3:09 PM</t>
  </si>
  <si>
    <t>22/06/2020 1:47 PM</t>
  </si>
  <si>
    <t>23/06/2020 5:41 PM</t>
  </si>
  <si>
    <t>01/07/2020 2:16 PM</t>
  </si>
  <si>
    <t>01/07/2020 2:01 PM</t>
  </si>
  <si>
    <t>22/06/2020 3:23 PM</t>
  </si>
  <si>
    <t>25/06/2020 3:06 PM</t>
  </si>
  <si>
    <t>23/06/2020 7:46 AM</t>
  </si>
  <si>
    <t>25/06/2020 11:38 AM</t>
  </si>
  <si>
    <t>23/06/2020 5:44 PM</t>
  </si>
  <si>
    <t>23/06/2020 5:43 PM</t>
  </si>
  <si>
    <t>26/06/2020 9:28 AM</t>
  </si>
  <si>
    <t>23/06/2020 7:45 AM</t>
  </si>
  <si>
    <t>24/06/2020 10:40 AM</t>
  </si>
  <si>
    <t>01/07/2020 2:21 PM</t>
  </si>
  <si>
    <t>26/06/2020 9:34 AM</t>
  </si>
  <si>
    <t>25/06/2020 3:17 PM</t>
  </si>
  <si>
    <t>22/06/2020 10:10 AM</t>
  </si>
  <si>
    <t>26/06/2020 9:22 AM</t>
  </si>
  <si>
    <t>01/07/2020 7:33 AM</t>
  </si>
  <si>
    <t>08/06/2020 12:00 AM</t>
  </si>
  <si>
    <t>25/06/2020 2:29 PM</t>
  </si>
  <si>
    <t>26/06/2020 4:59 PM</t>
  </si>
  <si>
    <t>25/06/2020 2:26 PM</t>
  </si>
  <si>
    <t>25/06/2020 2:16 PM</t>
  </si>
  <si>
    <t>26/06/2020 9:29 PM</t>
  </si>
  <si>
    <t>24/06/2020 10:46 AM</t>
  </si>
  <si>
    <t>25/06/2020 10:02 PM</t>
  </si>
  <si>
    <t>26/06/2020 9:40 AM</t>
  </si>
  <si>
    <t>24/06/2020 2:55 PM</t>
  </si>
  <si>
    <t>24/06/2020 2:53 PM</t>
  </si>
  <si>
    <t>22/06/2020 10:20 AM</t>
  </si>
  <si>
    <t>06/06/2020 12:00 AM</t>
  </si>
  <si>
    <t>18/06/2020 2:32 PM</t>
  </si>
  <si>
    <t>26/06/2020 4:41 PM</t>
  </si>
  <si>
    <t>25/06/2020 2:19 PM</t>
  </si>
  <si>
    <t>22/06/2020 8:35 PM</t>
  </si>
  <si>
    <t>10/06/2020 12:02 PM</t>
  </si>
  <si>
    <t>05/06/2020 12:00 AM</t>
  </si>
  <si>
    <t>10/06/2020 4:39 PM</t>
  </si>
  <si>
    <t>22/06/2020 4:08 PM</t>
  </si>
  <si>
    <t>22/06/2020 4:05 PM</t>
  </si>
  <si>
    <t>26/06/2020 8:16 PM</t>
  </si>
  <si>
    <t>30/06/2020 4:40 PM</t>
  </si>
  <si>
    <t>29/06/2020 4:31 PM</t>
  </si>
  <si>
    <t>19/06/2020 4:45 PM</t>
  </si>
  <si>
    <t>24/06/2020 1:59 PM</t>
  </si>
  <si>
    <t>22/06/2020 8:27 PM</t>
  </si>
  <si>
    <t>11/06/2020 4:03 PM</t>
  </si>
  <si>
    <t>11/06/2020 4:00 PM</t>
  </si>
  <si>
    <t>04/06/2020 12:00 AM</t>
  </si>
  <si>
    <t>03/06/2020 12:00 AM</t>
  </si>
  <si>
    <t>26/06/2020 9:26 PM</t>
  </si>
  <si>
    <t>26/06/2020 9:19 PM</t>
  </si>
  <si>
    <t>29/06/2020 12:21 PM</t>
  </si>
  <si>
    <t>29/06/2020 12:19 PM</t>
  </si>
  <si>
    <t>29/06/2020 12:16 PM</t>
  </si>
  <si>
    <t>23/06/2020 4:16 PM</t>
  </si>
  <si>
    <t>24/06/2020 4:34 PM</t>
  </si>
  <si>
    <t>30/06/2020 9:57 AM</t>
  </si>
  <si>
    <t>25/06/2020 4:43 PM</t>
  </si>
  <si>
    <t>02/06/2020 12:00 AM</t>
  </si>
  <si>
    <t>09/06/2020 2:18 PM</t>
  </si>
  <si>
    <t>26/06/2020 11:12 AM</t>
  </si>
  <si>
    <t>24/06/2020 5:53 PM</t>
  </si>
  <si>
    <t>24/06/2020 4:04 PM</t>
  </si>
  <si>
    <t>26/06/2020 11:18 AM</t>
  </si>
  <si>
    <t>01/07/2020 4:49 PM</t>
  </si>
  <si>
    <t>30/06/2020 2:20 PM</t>
  </si>
  <si>
    <t>20/06/2020 5:40 PM</t>
  </si>
  <si>
    <t>30/06/2020 4:27 PM</t>
  </si>
  <si>
    <t>30/06/2020 4:26 PM</t>
  </si>
  <si>
    <t>26/06/2020 11:26 AM</t>
  </si>
  <si>
    <t>30/06/2020 4:25 PM</t>
  </si>
  <si>
    <t>27/06/2020 2:02 PM</t>
  </si>
  <si>
    <t>30/06/2020 5:09 PM</t>
  </si>
  <si>
    <t>29/06/2020 6:26 PM</t>
  </si>
  <si>
    <t>23/06/2020 11:34 AM</t>
  </si>
  <si>
    <t>30/05/2020 12:00 AM</t>
  </si>
  <si>
    <t>29/06/2020 6:22 PM</t>
  </si>
  <si>
    <t>01/07/2020 8:13 AM</t>
  </si>
  <si>
    <t>04/06/2020 1:51 PM</t>
  </si>
  <si>
    <t>27/05/2020 12:00 AM</t>
  </si>
  <si>
    <t>24/06/2020 5:42 PM</t>
  </si>
  <si>
    <t>30/06/2020 2:59 PM</t>
  </si>
  <si>
    <t>30/06/2020 2:56 PM</t>
  </si>
  <si>
    <t>25/06/2020 1:56 PM</t>
  </si>
  <si>
    <t>30/06/2020 2:54 PM</t>
  </si>
  <si>
    <t>27/06/2020 2:00 PM</t>
  </si>
  <si>
    <t>30/06/2020 1:31 PM</t>
  </si>
  <si>
    <t>29/05/2020 4:05 PM</t>
  </si>
  <si>
    <t>30/06/2020 2:57 PM</t>
  </si>
  <si>
    <t>27/06/2020 12:27 PM</t>
  </si>
  <si>
    <t>30/06/2020 9:02 PM</t>
  </si>
  <si>
    <t>01/07/2020 11:29 AM</t>
  </si>
  <si>
    <t>29/06/2020 1:10 PM</t>
  </si>
  <si>
    <t>18/06/2020 5:11 PM</t>
  </si>
  <si>
    <t>28/05/2020 12:00 AM</t>
  </si>
  <si>
    <t>01/07/2020 11:31 AM</t>
  </si>
  <si>
    <t>26/06/2020 6:57 PM</t>
  </si>
  <si>
    <t>10/06/2020 9:59 AM</t>
  </si>
  <si>
    <t>25/06/2020 7:55 AM</t>
  </si>
  <si>
    <t>18/06/2020 7:35 PM</t>
  </si>
  <si>
    <t>24/06/2020 5:26 PM</t>
  </si>
  <si>
    <t>25/06/2020 7:41 AM</t>
  </si>
  <si>
    <t>24/06/2020 5:48 PM</t>
  </si>
  <si>
    <t>30/06/2020 12:00 PM</t>
  </si>
  <si>
    <t>24/06/2020 5:49 PM</t>
  </si>
  <si>
    <t>24/06/2020 2:41 PM</t>
  </si>
  <si>
    <t>27/04/2020 12:00 AM</t>
  </si>
  <si>
    <t>30/05/2020 2:16 PM</t>
  </si>
  <si>
    <t>30/05/2020 2:19 PM</t>
  </si>
  <si>
    <t>30/05/2020 2:28 PM</t>
  </si>
  <si>
    <t>30/05/2020 2:13 PM</t>
  </si>
  <si>
    <t>30/06/2020 10:03 PM</t>
  </si>
  <si>
    <t>30/05/2020 2:10 PM</t>
  </si>
  <si>
    <t>19/05/2020 6:10 PM</t>
  </si>
  <si>
    <t>30/06/2020 8:49 AM</t>
  </si>
  <si>
    <t>14/06/2020 7:59 AM</t>
  </si>
  <si>
    <t>29/06/2020 1:04 PM</t>
  </si>
  <si>
    <t>30/05/2020 2:25 PM</t>
  </si>
  <si>
    <t>16/06/2020 4:59 PM</t>
  </si>
  <si>
    <t>16/06/2020 4:57 PM</t>
  </si>
  <si>
    <t>29/06/2020 4:44 PM</t>
  </si>
  <si>
    <t>30/06/2020 1:26 PM</t>
  </si>
  <si>
    <t>30/06/2020 1:24 PM</t>
  </si>
  <si>
    <t>01/07/2020 1:08 PM</t>
  </si>
  <si>
    <t>30/05/2020 2:22 PM</t>
  </si>
  <si>
    <t>29/06/2020 4:01 PM</t>
  </si>
  <si>
    <t>29/06/2020 2:54 PM</t>
  </si>
  <si>
    <t>29/06/2020 1:13 PM</t>
  </si>
  <si>
    <t>29/06/2020 8:37 AM</t>
  </si>
  <si>
    <t>29/06/2020 12:12 PM</t>
  </si>
  <si>
    <t>29/06/2020 8:34 AM</t>
  </si>
  <si>
    <t>01/07/2020 1:12 PM</t>
  </si>
  <si>
    <t>29/06/2020 4:48 PM</t>
  </si>
  <si>
    <t>23/06/2020 2:54 PM</t>
  </si>
  <si>
    <t>30/06/2020 3:17 PM</t>
  </si>
  <si>
    <t>04/06/2020 2:43 PM</t>
  </si>
  <si>
    <t>01/07/2020 8:18 AM</t>
  </si>
  <si>
    <t>29/06/2020 8:47 AM</t>
  </si>
  <si>
    <t>04/06/2020 2:18 PM</t>
  </si>
  <si>
    <t>30/06/2020 11:52 AM</t>
  </si>
  <si>
    <t>06/04/2020 12:00 AM</t>
  </si>
  <si>
    <t>26/06/2020 3:24 PM</t>
  </si>
  <si>
    <t>25/06/2020 2:28 PM</t>
  </si>
  <si>
    <t>16/06/2020 4:23 PM</t>
  </si>
  <si>
    <t>16/06/2020 4:17 PM</t>
  </si>
  <si>
    <t>11/06/2020 7:53 PM</t>
  </si>
  <si>
    <t>01/07/2020 6:12 PM</t>
  </si>
  <si>
    <t>15/06/2020 4:37 PM</t>
  </si>
  <si>
    <t>27/06/2020 12:20 PM</t>
  </si>
  <si>
    <t>22/05/2020 3:26 PM</t>
  </si>
  <si>
    <t>29/06/2020 4:19 PM</t>
  </si>
  <si>
    <t>29/06/2020 4:52 PM</t>
  </si>
  <si>
    <t>15/06/2020 2:32 PM</t>
  </si>
  <si>
    <t>16/06/2020 4:20 PM</t>
  </si>
  <si>
    <t>05/06/2020 11:33 AM</t>
  </si>
  <si>
    <t>22/06/2020 3:22 PM</t>
  </si>
  <si>
    <t>29/06/2020 8:44 AM</t>
  </si>
  <si>
    <t>16/06/2020 4:25 PM</t>
  </si>
  <si>
    <t>29/06/2020 4:28 PM</t>
  </si>
  <si>
    <t>30/06/2020 8:55 AM</t>
  </si>
  <si>
    <t>30/06/2020 3:22 PM</t>
  </si>
  <si>
    <t>30/06/2020 9:10 AM</t>
  </si>
  <si>
    <t>26/06/2020 8:30 AM</t>
  </si>
  <si>
    <t>26/06/2020 11:33 PM</t>
  </si>
  <si>
    <t>16/06/2020 4:15 PM</t>
  </si>
  <si>
    <t>26/06/2020 10:49 PM</t>
  </si>
  <si>
    <t>25/06/2020 2:30 PM</t>
  </si>
  <si>
    <t>16/06/2020 4:07 PM</t>
  </si>
  <si>
    <t>22/06/2020 11:23 AM</t>
  </si>
  <si>
    <t>30/06/2020 1:51 PM</t>
  </si>
  <si>
    <t>29/06/2020 4:53 PM</t>
  </si>
  <si>
    <t>01/07/2020 6:19 PM</t>
  </si>
  <si>
    <t>30/06/2020 3:30 PM</t>
  </si>
  <si>
    <t>16/06/2020 11:07 AM</t>
  </si>
  <si>
    <t>30/06/2020 1:44 PM</t>
  </si>
  <si>
    <t>30/06/2020 1:42 PM</t>
  </si>
  <si>
    <t>16/06/2020 11:03 AM</t>
  </si>
  <si>
    <t>23/06/2020 7:32 PM</t>
  </si>
  <si>
    <t>16/06/2020 10:54 AM</t>
  </si>
  <si>
    <t>16/06/2020 11:52 AM</t>
  </si>
  <si>
    <t>25/06/2020 2:15 PM</t>
  </si>
  <si>
    <t>30/06/2020 11:46 AM</t>
  </si>
  <si>
    <t>26/06/2020 8:44 AM</t>
  </si>
  <si>
    <t>26/06/2020 9:02 AM</t>
  </si>
  <si>
    <t>30/06/2020 2:27 PM</t>
  </si>
  <si>
    <t>16/06/2020 10:50 AM</t>
  </si>
  <si>
    <t>30/06/2020 2:22 PM</t>
  </si>
  <si>
    <t>30/06/2020 3:54 PM</t>
  </si>
  <si>
    <t>30/06/2020 1:33 PM</t>
  </si>
  <si>
    <t>16/06/2020 6:49 PM</t>
  </si>
  <si>
    <t>30/06/2020 11:43 AM</t>
  </si>
  <si>
    <t>30/06/2020 11:33 AM</t>
  </si>
  <si>
    <t>30/06/2020 7:09 AM</t>
  </si>
  <si>
    <t>25/06/2020 8:31 PM</t>
  </si>
  <si>
    <t>17/06/2020 9:42 AM</t>
  </si>
  <si>
    <t>16/06/2020 10:57 AM</t>
  </si>
  <si>
    <t>16/06/2020 10:39 PM</t>
  </si>
  <si>
    <t>16/06/2020 10:30 PM</t>
  </si>
  <si>
    <t>16/06/2020 3:58 PM</t>
  </si>
  <si>
    <t>23/06/2020 7:03 PM</t>
  </si>
  <si>
    <t>29/06/2020 2:43 PM</t>
  </si>
  <si>
    <t>10/06/2020 10:22 AM</t>
  </si>
  <si>
    <t>10/06/2020 10:08 AM</t>
  </si>
  <si>
    <t>10/06/2020 9:55 AM</t>
  </si>
  <si>
    <t>26/05/2020 12:45 PM</t>
  </si>
  <si>
    <t>29/06/2020 7:36 PM</t>
  </si>
  <si>
    <t>19/06/2020 2:39 PM</t>
  </si>
  <si>
    <t>30/06/2020 11:48 AM</t>
  </si>
  <si>
    <t>26/06/2020 8:55 AM</t>
  </si>
  <si>
    <t>23/06/2020 7:28 PM</t>
  </si>
  <si>
    <t>17/06/2020 1:01 PM</t>
  </si>
  <si>
    <t>05/06/2020 11:49 AM</t>
  </si>
  <si>
    <t>29/06/2020 7:40 PM</t>
  </si>
  <si>
    <t>19/06/2020 12:09 PM</t>
  </si>
  <si>
    <t>30/06/2020 7:14 AM</t>
  </si>
  <si>
    <t>30/06/2020 7:13 AM</t>
  </si>
  <si>
    <t>30/06/2020 7:12 AM</t>
  </si>
  <si>
    <t>30/06/2020 7:11 AM</t>
  </si>
  <si>
    <t>30/06/2020 7:10 AM</t>
  </si>
  <si>
    <t>01/07/2020 4:59 PM</t>
  </si>
  <si>
    <t>21/05/2020 12:32 PM</t>
  </si>
  <si>
    <t>29/06/2020 5:00 PM</t>
  </si>
  <si>
    <t>21/05/2020 12:29 PM</t>
  </si>
  <si>
    <t>21/05/2020 12:35 PM</t>
  </si>
  <si>
    <t>24/06/2020 3:07 PM</t>
  </si>
  <si>
    <t>23/06/2020 5:47 PM</t>
  </si>
  <si>
    <t>22/06/2020 3:11 PM</t>
  </si>
  <si>
    <t>24/06/2020 3:14 PM</t>
  </si>
  <si>
    <t>15/06/2020 2:31 PM</t>
  </si>
  <si>
    <t>10/06/2020 9:00 AM</t>
  </si>
  <si>
    <t>23/06/2020 4:29 PM</t>
  </si>
  <si>
    <t>22/06/2020 2:24 PM</t>
  </si>
  <si>
    <t>25/06/2020 2:18 PM</t>
  </si>
  <si>
    <t>30/06/2020 1:22 PM</t>
  </si>
  <si>
    <t>10/06/2020 9:50 AM</t>
  </si>
  <si>
    <t>18/06/2020 2:13 PM</t>
  </si>
  <si>
    <t>10/06/2020 9:41 AM</t>
  </si>
  <si>
    <t>30/06/2020 11:27 AM</t>
  </si>
  <si>
    <t>25/06/2020 10:38 PM</t>
  </si>
  <si>
    <t>04/06/2020 9:00 AM</t>
  </si>
  <si>
    <t>25/06/2020 2:21 PM</t>
  </si>
  <si>
    <t>09/06/2020 4:37 PM</t>
  </si>
  <si>
    <t>18/06/2020 3:56 PM</t>
  </si>
  <si>
    <t>29/06/2020 9:46 AM</t>
  </si>
  <si>
    <t>22/05/2020 10:12 PM</t>
  </si>
  <si>
    <t>26/06/2020 11:29 PM</t>
  </si>
  <si>
    <t>29/06/2020 2:32 PM</t>
  </si>
  <si>
    <t>01/07/2020 9:34 PM</t>
  </si>
  <si>
    <t>21/05/2020 12:12 PM</t>
  </si>
  <si>
    <t>26/06/2020 5:07 PM</t>
  </si>
  <si>
    <t>02/06/2020 4:39 PM</t>
  </si>
  <si>
    <t>01/07/2020 11:25 AM</t>
  </si>
  <si>
    <t>16/06/2020 10:53 AM</t>
  </si>
  <si>
    <t>26/05/2020 12:31 PM</t>
  </si>
  <si>
    <t>29/06/2020 2:45 PM</t>
  </si>
  <si>
    <t>29/06/2020 4:51 PM</t>
  </si>
  <si>
    <t>15/06/2020 4:26 PM</t>
  </si>
  <si>
    <t>23/06/2020 8:54 AM</t>
  </si>
  <si>
    <t>29/06/2020 12:34 PM</t>
  </si>
  <si>
    <t>15/06/2020 4:32 PM</t>
  </si>
  <si>
    <t>15/06/2020 4:34 PM</t>
  </si>
  <si>
    <t>15/06/2020 4:29 PM</t>
  </si>
  <si>
    <t>04/06/2020 8:59 AM</t>
  </si>
  <si>
    <t>04/06/2020 8:57 AM</t>
  </si>
  <si>
    <t>12/06/2020 1:45 PM</t>
  </si>
  <si>
    <t>08/06/2020 4:14 PM</t>
  </si>
  <si>
    <t>08/06/2020 4:13 PM</t>
  </si>
  <si>
    <t>23/06/2020 7:16 PM</t>
  </si>
  <si>
    <t>01/07/2020 6:26 PM</t>
  </si>
  <si>
    <t>21/05/2020 3:47 PM</t>
  </si>
  <si>
    <t>15/06/2020 4:23 PM</t>
  </si>
  <si>
    <t>23/06/2020 7:24 PM</t>
  </si>
  <si>
    <t>23/06/2020 7:20 PM</t>
  </si>
  <si>
    <t>23/06/2020 7:15 PM</t>
  </si>
  <si>
    <t>26/06/2020 3:54 PM</t>
  </si>
  <si>
    <t>23/06/2020 7:13 PM</t>
  </si>
  <si>
    <t>01/07/2020 4:00 PM</t>
  </si>
  <si>
    <t>28/02/2020 2:06 PM</t>
  </si>
  <si>
    <t>15/06/2020 4:36 PM</t>
  </si>
  <si>
    <t>01/07/2020 2:28 PM</t>
  </si>
  <si>
    <t>23/06/2020 7:21 PM</t>
  </si>
  <si>
    <t>23/06/2020 7:07 PM</t>
  </si>
  <si>
    <t>26/06/2020 5:03 PM</t>
  </si>
  <si>
    <t>23/06/2020 7:22 PM</t>
  </si>
  <si>
    <t>16/06/2020 4:49 PM</t>
  </si>
  <si>
    <t>26/06/2020 5:01 PM</t>
  </si>
  <si>
    <t>23/06/2020 7:34 PM</t>
  </si>
  <si>
    <t>29/06/2020 2:47 PM</t>
  </si>
  <si>
    <t>26/05/2020 12:16 PM</t>
  </si>
  <si>
    <t>19/06/2020 3:02 PM</t>
  </si>
  <si>
    <t>25/06/2020 1:57 PM</t>
  </si>
  <si>
    <t>25/06/2020 11:19 AM</t>
  </si>
  <si>
    <t>01/07/2020 4:03 PM</t>
  </si>
  <si>
    <t>24/06/2020 4:23 PM</t>
  </si>
  <si>
    <t>23/06/2020 7:33 PM</t>
  </si>
  <si>
    <t>25/06/2020 2:09 PM</t>
  </si>
  <si>
    <t>23/06/2020 7:11 PM</t>
  </si>
  <si>
    <t>01/07/2020 3:57 PM</t>
  </si>
  <si>
    <t>17/06/2020 4:28 PM</t>
  </si>
  <si>
    <t>24/06/2020 4:33 PM</t>
  </si>
  <si>
    <t>30/06/2020 3:03 PM</t>
  </si>
  <si>
    <t>30/06/2020 2:53 PM</t>
  </si>
  <si>
    <t>30/06/2020 2:47 PM</t>
  </si>
  <si>
    <t>25/06/2020 4:33 PM</t>
  </si>
  <si>
    <t>30/06/2020 7:16 PM</t>
  </si>
  <si>
    <t>19/06/2020 3:13 PM</t>
  </si>
  <si>
    <t>01/07/2020 6:11 PM</t>
  </si>
  <si>
    <t>25/06/2020 12:55 PM</t>
  </si>
  <si>
    <t>26/06/2020 8:26 AM</t>
  </si>
  <si>
    <t>23/06/2020 7:19 PM</t>
  </si>
  <si>
    <t>26/06/2020 4:58 PM</t>
  </si>
  <si>
    <t>25/06/2020 2:27 PM</t>
  </si>
  <si>
    <t>23/06/2020 7:05 PM</t>
  </si>
  <si>
    <t>23/06/2020 7:04 PM</t>
  </si>
  <si>
    <t>30/06/2020 9:49 AM</t>
  </si>
  <si>
    <t>29/06/2020 1:08 PM</t>
  </si>
  <si>
    <t>24/06/2020 11:34 AM</t>
  </si>
  <si>
    <t>25/06/2020 2:57 PM</t>
  </si>
  <si>
    <t>22/06/2020 2:21 PM</t>
  </si>
  <si>
    <t>24/06/2020 7:01 PM</t>
  </si>
  <si>
    <t>24/06/2020 7:03 PM</t>
  </si>
  <si>
    <t>26/06/2020 8:46 PM</t>
  </si>
  <si>
    <t>16/06/2020 11:55 AM</t>
  </si>
  <si>
    <t>29/06/2020 1:51 PM</t>
  </si>
  <si>
    <t>24/06/2020 4:16 PM</t>
  </si>
  <si>
    <t>29/06/2020 7:49 PM</t>
  </si>
  <si>
    <t>24/06/2020 4:29 PM</t>
  </si>
  <si>
    <t>24/06/2020 2:38 PM</t>
  </si>
  <si>
    <t>30/06/2020 11:45 AM</t>
  </si>
  <si>
    <t>24/06/2020 2:28 PM</t>
  </si>
  <si>
    <t>30/06/2020 11:50 AM</t>
  </si>
  <si>
    <t>01/07/2020 2:25 PM</t>
  </si>
  <si>
    <t>24/06/2020 1:50 PM</t>
  </si>
  <si>
    <t>29/06/2020 4:17 PM</t>
  </si>
  <si>
    <t>24/06/2020 5:56 PM</t>
  </si>
  <si>
    <t>23/06/2020 11:30 AM</t>
  </si>
  <si>
    <t>29/06/2020 12:24 PM</t>
  </si>
  <si>
    <t>01/07/2020 2:22 PM</t>
  </si>
  <si>
    <t>26/06/2020 8:48 AM</t>
  </si>
  <si>
    <t>29/06/2020 6:25 PM</t>
  </si>
  <si>
    <t>30/06/2020 7:09 PM</t>
  </si>
  <si>
    <t>25/06/2020 4:46 PM</t>
  </si>
  <si>
    <t>29/06/2020 4:40 PM</t>
  </si>
  <si>
    <t>04/06/2020 4:26 PM</t>
  </si>
  <si>
    <t>16/06/2020 4:02 PM</t>
  </si>
  <si>
    <t>25/06/2020 9:57 PM</t>
  </si>
  <si>
    <t>16/06/2020 3:59 PM</t>
  </si>
  <si>
    <t>29/06/2020 5:04 PM</t>
  </si>
  <si>
    <t>08/06/2020 3:01 PM</t>
  </si>
  <si>
    <t>19/06/2020 3:03 PM</t>
  </si>
  <si>
    <t>23/06/2020 5:51 PM</t>
  </si>
  <si>
    <t>24/06/2020 2:58 PM</t>
  </si>
  <si>
    <t>16/06/2020 4:00 PM</t>
  </si>
  <si>
    <t>25/06/2020 9:54 PM</t>
  </si>
  <si>
    <t>18/06/2020 9:51 PM</t>
  </si>
  <si>
    <t>01/07/2020 6:09 PM</t>
  </si>
  <si>
    <t>25/06/2020 9:58 PM</t>
  </si>
  <si>
    <t>19/06/2020 3:08 PM</t>
  </si>
  <si>
    <t>24/06/2020 2:56 PM</t>
  </si>
  <si>
    <t>14/07/2020 1:00 PM</t>
  </si>
  <si>
    <t>13/07/2020 9:00 AM</t>
  </si>
  <si>
    <t>16/07/2020 9:00 AM</t>
  </si>
  <si>
    <t>22/07/2020 10:00 AM</t>
  </si>
  <si>
    <t>09/07/2020 8:00 AM</t>
  </si>
  <si>
    <t>06/07/2020 11:00 AM</t>
  </si>
  <si>
    <t>10/07/2020 1:00 AM</t>
  </si>
  <si>
    <t>03/07/2020 1:00 PM</t>
  </si>
  <si>
    <t>21/07/2020 5:00 AM</t>
  </si>
  <si>
    <t>21/07/2020 5:00 PM</t>
  </si>
  <si>
    <t>15/07/2020 2:00 PM</t>
  </si>
  <si>
    <t>22/07/2020 9:00 AM</t>
  </si>
  <si>
    <t>08/07/2020 9:00 AM</t>
  </si>
  <si>
    <t>09/07/2020 2:00 PM</t>
  </si>
  <si>
    <t>21/07/2020 2:00 PM</t>
  </si>
  <si>
    <t>06/07/2020 10:00 AM</t>
  </si>
  <si>
    <t>08/07/2020 1:30 PM</t>
  </si>
  <si>
    <t>06/07/2020 5:00 PM</t>
  </si>
  <si>
    <t>10/07/2020 5:00 PM</t>
  </si>
  <si>
    <t>21/07/2020 11:00 AM</t>
  </si>
  <si>
    <t>09/07/2020 9:00 AM</t>
  </si>
  <si>
    <t>07/07/2020 10:00 AM</t>
  </si>
  <si>
    <t>23/07/2020 9:00 AM</t>
  </si>
  <si>
    <t>06/07/2020 1:30 PM</t>
  </si>
  <si>
    <t>08/07/2020 1:00 AM</t>
  </si>
  <si>
    <t>08/07/2020 5:00 PM</t>
  </si>
  <si>
    <t>22/07/2020 2:00 PM</t>
  </si>
  <si>
    <t>09/07/2020 5:00 AM</t>
  </si>
  <si>
    <t>07/07/2020 1:00 PM</t>
  </si>
  <si>
    <t>08/07/2020 9:30 AM</t>
  </si>
  <si>
    <t>21/07/2020 10:00 AM</t>
  </si>
  <si>
    <t>21/07/2020 8:00 AM</t>
  </si>
  <si>
    <t>08/07/2020 10:00 AM</t>
  </si>
  <si>
    <t>10/07/2020 8:00 AM</t>
  </si>
  <si>
    <t>21/07/2020 9:00 AM</t>
  </si>
  <si>
    <t>20/07/2020 1:00 PM</t>
  </si>
  <si>
    <t>06/07/2020 1:00 AM</t>
  </si>
  <si>
    <t>14/07/2020 5:00 PM</t>
  </si>
  <si>
    <t>10/07/2020 9:00 AM</t>
  </si>
  <si>
    <t>09/07/2020 9:30 AM</t>
  </si>
  <si>
    <t>10/07/2020 10:00 AM</t>
  </si>
  <si>
    <t>08/07/2020 11:00 AM</t>
  </si>
  <si>
    <t>13/07/2020 1:00 PM</t>
  </si>
  <si>
    <t>03/07/2020 5:00 PM</t>
  </si>
  <si>
    <t>08/07/2020 8:00 AM</t>
  </si>
  <si>
    <t>07/07/2020 9:00 AM</t>
  </si>
  <si>
    <t>23/07/2020 10:00 AM</t>
  </si>
  <si>
    <t>06/07/2020 4:00 PM</t>
  </si>
  <si>
    <t>06/07/2020 12:00 PM</t>
  </si>
  <si>
    <t>09/07/2020 1:00 AM</t>
  </si>
  <si>
    <t>29/07/2020 10:00 AM</t>
  </si>
  <si>
    <t>20/07/2020 12:00 PM</t>
  </si>
  <si>
    <t>08/07/2020 1:05 PM</t>
  </si>
  <si>
    <t>06/07/2020 9:00 AM</t>
  </si>
  <si>
    <t>13/07/2020 1:00 AM</t>
  </si>
  <si>
    <t>07/07/2020 3:00 PM</t>
  </si>
  <si>
    <t>08/07/2020 2:00 PM</t>
  </si>
  <si>
    <t>21/07/2020 9:30 AM</t>
  </si>
  <si>
    <t>20/07/2020 10:00 AM</t>
  </si>
  <si>
    <t>06/07/2020 8:00 AM</t>
  </si>
  <si>
    <t>06/07/2020 6:00 AM</t>
  </si>
  <si>
    <t>14/07/2020 1:00 AM</t>
  </si>
  <si>
    <t>22/07/2020 1:00 PM</t>
  </si>
  <si>
    <t>17/07/2020 9:00 AM</t>
  </si>
  <si>
    <t>20/07/2020 9:00 AM</t>
  </si>
  <si>
    <t>22/07/2020 9:45 AM</t>
  </si>
  <si>
    <t>15/07/2020 12:00 PM</t>
  </si>
  <si>
    <t>06/07/2020 4:30 PM</t>
  </si>
  <si>
    <t>08/07/2020 1:00 PM</t>
  </si>
  <si>
    <t>02/07/2020 10:00 AM</t>
  </si>
  <si>
    <t>02/07/2020 9:00 AM</t>
  </si>
  <si>
    <t>03/07/2020 9:00 AM</t>
  </si>
  <si>
    <t>07/07/2020 4:00 PM</t>
  </si>
  <si>
    <t>10/07/2020 10:30 AM</t>
  </si>
  <si>
    <t>21/07/2020 1:00 AM</t>
  </si>
  <si>
    <t>09/07/2020 1:30 PM</t>
  </si>
  <si>
    <t>07/07/2020 12:00 PM</t>
  </si>
  <si>
    <t>20/07/2020 8:30 AM</t>
  </si>
  <si>
    <t>03/07/2020 10:00 AM</t>
  </si>
  <si>
    <t>24/07/2020 10:30 AM</t>
  </si>
  <si>
    <t>06/07/2020 1:00 PM</t>
  </si>
  <si>
    <t>13/07/2020 10:00 AM</t>
  </si>
  <si>
    <t>21/07/2020 12:00 PM</t>
  </si>
  <si>
    <t>03/07/2020 4:30 PM</t>
  </si>
  <si>
    <t>07/07/2020 1:00 AM</t>
  </si>
  <si>
    <t>03/07/2020 2:00 PM</t>
  </si>
  <si>
    <t>23/07/2020 2:00 PM</t>
  </si>
  <si>
    <t>08/07/2020 12:00 AM</t>
  </si>
  <si>
    <t>31/07/2020 1:00 AM</t>
  </si>
  <si>
    <t>15/07/2020 1:00 AM</t>
  </si>
  <si>
    <t>03/07/2020 8:00 AM</t>
  </si>
  <si>
    <t>20/07/2020 10:15 AM</t>
  </si>
  <si>
    <t>09/07/2020 11:00 AM</t>
  </si>
  <si>
    <t>06/07/2020 3:00 PM</t>
  </si>
  <si>
    <t>09/07/2020 5:00 PM</t>
  </si>
  <si>
    <t>07/07/2020 10:30 AM</t>
  </si>
  <si>
    <t>06/07/2020 2:00 PM</t>
  </si>
  <si>
    <t>14/07/2020 9:00 AM</t>
  </si>
  <si>
    <t>20/07/2020 11:30 AM</t>
  </si>
  <si>
    <t>07/07/2020 5:00 PM</t>
  </si>
  <si>
    <t>03/07/2020 1:00 AM</t>
  </si>
  <si>
    <t>07/07/2020 2:00 PM</t>
  </si>
  <si>
    <t>14/07/2020 10:00 AM</t>
  </si>
  <si>
    <t>15/07/2020 9:00 AM</t>
  </si>
  <si>
    <t>09/07/2020 12:00 PM</t>
  </si>
  <si>
    <t>08/07/2020 10:30 AM</t>
  </si>
  <si>
    <t>09/07/2020 10:00 AM</t>
  </si>
  <si>
    <t>22/07/2020 9:30 AM</t>
  </si>
  <si>
    <t>06/07/2020 8:30 AM</t>
  </si>
  <si>
    <t>02/07/2020 2:00 PM</t>
  </si>
  <si>
    <t>21/07/2020 10:30 AM</t>
  </si>
  <si>
    <t>16/07/2020 1:00 PM</t>
  </si>
  <si>
    <t>07/07/2020 8:00 AM</t>
  </si>
  <si>
    <t>02/07/2020 1:00 AM</t>
  </si>
  <si>
    <t>06/07/2020 1:09 AM</t>
  </si>
  <si>
    <t>06/07/2020 1:10 AM</t>
  </si>
  <si>
    <t>03/07/2020 3:00 PM</t>
  </si>
  <si>
    <t>10/07/2020 5:00 AM</t>
  </si>
  <si>
    <t>06/07/2020 6:00 PM</t>
  </si>
  <si>
    <t>20/07/2020 8:00 AM</t>
  </si>
  <si>
    <t>08/07/2020 12:00 PM</t>
  </si>
  <si>
    <t>20/07/2020 1:00 AM</t>
  </si>
  <si>
    <t>27/07/2020 12:00 PM</t>
  </si>
  <si>
    <t>06/07/2020 9:55 AM</t>
  </si>
  <si>
    <t>15/07/2020 10:00 AM</t>
  </si>
  <si>
    <t>09/07/2020 1:00 PM</t>
  </si>
  <si>
    <t>06/07/2020 5:00 AM</t>
  </si>
  <si>
    <t>27/07/2020 9:00 AM</t>
  </si>
  <si>
    <t>16/07/2020 2:00 PM</t>
  </si>
  <si>
    <t>08/07/2020 4:00 PM</t>
  </si>
  <si>
    <t>08/07/2020 8:30 AM</t>
  </si>
  <si>
    <t>15/07/2020 11:00 AM</t>
  </si>
  <si>
    <t>08/07/2020 7:00 AM</t>
  </si>
  <si>
    <t>22/07/2020 1:00 AM</t>
  </si>
  <si>
    <t>20/07/2020 11:00 AM</t>
  </si>
  <si>
    <t>22/07/2020 12:00 PM</t>
  </si>
  <si>
    <t>10/07/2020 12:00 PM</t>
  </si>
  <si>
    <t>20/07/2020 4:00 PM</t>
  </si>
  <si>
    <t>15/07/2020 1:00 PM</t>
  </si>
  <si>
    <t>17/07/2020 1:00 PM</t>
  </si>
  <si>
    <t>03/07/2020 5:05 PM</t>
  </si>
  <si>
    <t>13/07/2020 8:30 AM</t>
  </si>
  <si>
    <t>09/07/2020 6:00 PM</t>
  </si>
  <si>
    <t>17/07/2020 1:30 PM</t>
  </si>
  <si>
    <t>03/07/2020 4:00 PM</t>
  </si>
  <si>
    <t>27/07/2020 5:00 PM</t>
  </si>
  <si>
    <t>07/07/2020 12:00 AM</t>
  </si>
  <si>
    <t>17/07/2020 2:00 PM</t>
  </si>
  <si>
    <t>27/07/2020 5:00 AM</t>
  </si>
  <si>
    <t>22/07/2020 2:30 PM</t>
  </si>
  <si>
    <t>20/07/2020 2:00 PM</t>
  </si>
  <si>
    <t>10/07/2020 2:00 PM</t>
  </si>
  <si>
    <t>20/07/2020 10:30 AM</t>
  </si>
  <si>
    <t>02/07/2020 12:00 PM</t>
  </si>
  <si>
    <t>08/07/2020 2:30 PM</t>
  </si>
  <si>
    <t>08/07/2020 6:00 AM</t>
  </si>
  <si>
    <t>07/07/2020 8:30 AM</t>
  </si>
  <si>
    <t>27/07/2020 10:00 AM</t>
  </si>
  <si>
    <t>24/07/2020 9:00 AM</t>
  </si>
  <si>
    <t>06/07/2020 10:30 AM</t>
  </si>
  <si>
    <t>21/07/2020 1:00 PM</t>
  </si>
  <si>
    <t>22/07/2020 3:30 PM</t>
  </si>
  <si>
    <t>20/07/2020 5:00 PM</t>
  </si>
  <si>
    <t>08/07/2020 3:00 PM</t>
  </si>
  <si>
    <t>21/07/2020 1:59 PM</t>
  </si>
  <si>
    <t>22/07/2020 1:30 PM</t>
  </si>
  <si>
    <t>21/07/2020 11:30 AM</t>
  </si>
  <si>
    <t>21/07/2020 3:00 PM</t>
  </si>
  <si>
    <t>07/07/2020 12:12 PM</t>
  </si>
  <si>
    <t>03/07/2020 12:00 PM</t>
  </si>
  <si>
    <t>14/08/2020 10:00 AM</t>
  </si>
  <si>
    <t>02/07/2020 3:44 PM</t>
  </si>
  <si>
    <t>07/07/2020 7:00 PM</t>
  </si>
  <si>
    <t>21/07/2020 8:59 AM</t>
  </si>
  <si>
    <t>14/07/2020 4:00 PM</t>
  </si>
  <si>
    <t>31/07/2020 9:09 AM</t>
  </si>
  <si>
    <t>31/07/2020 9:00 AM</t>
  </si>
  <si>
    <t>21/07/2020 8:30 AM</t>
  </si>
  <si>
    <t>13/07/2020 2:00 PM</t>
  </si>
  <si>
    <t>15/07/2020 5:00 PM</t>
  </si>
  <si>
    <t>06/07/2020 9:30 AM</t>
  </si>
  <si>
    <t>14/07/2020 9:30 AM</t>
  </si>
  <si>
    <t>21/07/2020 9:59 AM</t>
  </si>
  <si>
    <t>23/07/2020 1:00 AM</t>
  </si>
  <si>
    <t>20/07/2020 3:00 PM</t>
  </si>
  <si>
    <t>23/07/2020 5:00 PM</t>
  </si>
  <si>
    <t>10/07/2020 1:01 PM</t>
  </si>
  <si>
    <t>21/07/2020 10:59 AM</t>
  </si>
  <si>
    <t>05/08/2020 12:00 PM</t>
  </si>
  <si>
    <t>06/07/2020 7:00 PM</t>
  </si>
  <si>
    <t>28/07/2020 12:30 PM</t>
  </si>
  <si>
    <t>28/07/2020 1:00 PM</t>
  </si>
  <si>
    <t>17/07/2020 8:59 AM</t>
  </si>
  <si>
    <t>08/07/2020 2:00 AM</t>
  </si>
  <si>
    <t>28/07/2020 1:30 PM</t>
  </si>
  <si>
    <t>10/07/2020 12:01 AM</t>
  </si>
  <si>
    <t>02/07/2020 6:51 PM</t>
  </si>
  <si>
    <t>20/07/2020 1:30 PM</t>
  </si>
  <si>
    <t>07/07/2020 11:00 AM</t>
  </si>
  <si>
    <t>03/07/2020 1:30 PM</t>
  </si>
  <si>
    <t>07/07/2020 1:30 PM</t>
  </si>
  <si>
    <t>21/07/2020 4:00 PM</t>
  </si>
  <si>
    <t>28/07/2020 10:00 AM</t>
  </si>
  <si>
    <t>24/07/2020 2:00 PM</t>
  </si>
  <si>
    <t>04/08/2020 9:00 AM</t>
  </si>
  <si>
    <t>06/07/2020 12:00 AM</t>
  </si>
  <si>
    <t>08/07/2020 12:59 PM</t>
  </si>
  <si>
    <t>03/07/2020 12:59 PM</t>
  </si>
  <si>
    <t>08/07/2020 1:59 PM</t>
  </si>
  <si>
    <t>03/07/2020 11:00 AM</t>
  </si>
  <si>
    <t>03/07/2020 1:01 AM</t>
  </si>
  <si>
    <t>09/07/2020 12:00 AM</t>
  </si>
  <si>
    <t>17/07/2020 5:00 PM</t>
  </si>
  <si>
    <t>07/07/2020 2:30 PM</t>
  </si>
  <si>
    <t>04/08/2020 10:00 AM</t>
  </si>
  <si>
    <t>21/07/2020 1:30 PM</t>
  </si>
  <si>
    <t>02/07/2020 9:41 AM</t>
  </si>
  <si>
    <t>20/07/2020 8:15 AM</t>
  </si>
  <si>
    <t>07/07/2020 9:30 AM</t>
  </si>
  <si>
    <t>09/07/2020 7:00 AM</t>
  </si>
  <si>
    <t>02/07/2020 4:30 PM</t>
  </si>
  <si>
    <t>17/07/2020 9:30 AM</t>
  </si>
  <si>
    <t>07/07/2020 11:20 AM</t>
  </si>
  <si>
    <t>14/07/2020 2:00 PM</t>
  </si>
  <si>
    <t>13/07/2020 8:00 AM</t>
  </si>
  <si>
    <t>02/07/2020 5:00 PM</t>
  </si>
  <si>
    <t>03/07/2020 9:30 AM</t>
  </si>
  <si>
    <t>20/07/2020 2:00 AM</t>
  </si>
  <si>
    <t>09/07/2020 2:00 AM</t>
  </si>
  <si>
    <t>02/07/2020 8:00 AM</t>
  </si>
  <si>
    <t>03/08/2020 2:00 PM</t>
  </si>
  <si>
    <t>03/07/2020 9:25 AM</t>
  </si>
  <si>
    <t>17/07/2020 4:00 PM</t>
  </si>
  <si>
    <t>03/07/2020 1:11 AM</t>
  </si>
  <si>
    <t>03/07/2020 2:30 PM</t>
  </si>
  <si>
    <t>03/07/2020 9:35 AM</t>
  </si>
  <si>
    <t>29/07/2020 1:00 PM</t>
  </si>
  <si>
    <t>03/07/2020 2:00 AM</t>
  </si>
  <si>
    <t>31/07/2020 10:00 AM</t>
  </si>
  <si>
    <t>03/07/2020 12:00 AM</t>
  </si>
  <si>
    <t>18/08/2020 8:00 AM</t>
  </si>
  <si>
    <t>20/07/2020 9:30 AM</t>
  </si>
  <si>
    <t>27/07/2020 1:00 PM</t>
  </si>
  <si>
    <t>28/07/2020 2:00 PM</t>
  </si>
  <si>
    <t>09/07/2020 3:00 PM</t>
  </si>
  <si>
    <t>23/07/2020 1:00 PM</t>
  </si>
  <si>
    <t>08/07/2020 10:40 AM</t>
  </si>
  <si>
    <t>07/07/2020 9:45 AM</t>
  </si>
  <si>
    <t>10/07/2020 2:30 PM</t>
  </si>
  <si>
    <t>23/07/2020 3:00 PM</t>
  </si>
  <si>
    <t>03/07/2020 10:30 AM</t>
  </si>
  <si>
    <t>03/07/2020 7:00 AM</t>
  </si>
  <si>
    <t>02/07/2020 9:30 AM</t>
  </si>
  <si>
    <t>16/07/2020 10:00 AM</t>
  </si>
  <si>
    <t>16/07/2020 1:30 PM</t>
  </si>
  <si>
    <t>03/07/2020 8:30 AM</t>
  </si>
  <si>
    <t>02/07/2020 11:00 AM</t>
  </si>
  <si>
    <t>21/07/2020 1:45 PM</t>
  </si>
  <si>
    <t>20/07/2020 5:00 AM</t>
  </si>
  <si>
    <t>03/07/2020 11:11 AM</t>
  </si>
  <si>
    <t>13/07/2020 11:00 AM</t>
  </si>
  <si>
    <t>08/07/2020 9:08 AM</t>
  </si>
  <si>
    <t>20/07/2020 1:12 PM</t>
  </si>
  <si>
    <t>03/07/2020 6:00 PM</t>
  </si>
  <si>
    <t>03/07/2020 5:30 PM</t>
  </si>
  <si>
    <t>10/07/2020 11:00 AM</t>
  </si>
  <si>
    <t>22/07/2020 10:30 AM</t>
  </si>
  <si>
    <t>06/07/2020 7:12 AM</t>
  </si>
  <si>
    <t>02/07/2020 1:05 PM</t>
  </si>
  <si>
    <t>24/07/2020 10:00 AM</t>
  </si>
  <si>
    <t>28/07/2020 12:00 PM</t>
  </si>
  <si>
    <t>17/07/2020 10:00 AM</t>
  </si>
  <si>
    <t>14/07/2020 2:30 PM</t>
  </si>
  <si>
    <t>14/07/2020 11:00 AM</t>
  </si>
  <si>
    <t>23/07/2020 10:30 AM</t>
  </si>
  <si>
    <t>14/07/2020 7:00 AM</t>
  </si>
  <si>
    <t>14/07/2020 11:00 PM</t>
  </si>
  <si>
    <t>30/07/2020 9:00 AM</t>
  </si>
  <si>
    <t>07/07/2020 12:59 PM</t>
  </si>
  <si>
    <t>07/07/2020 10:01 AM</t>
  </si>
  <si>
    <t>02/07/2020 3:00 PM</t>
  </si>
  <si>
    <t>02/07/2020 2:00 AM</t>
  </si>
  <si>
    <t>06/07/2020 11:59 PM</t>
  </si>
  <si>
    <t>17/07/2020 5:00 AM</t>
  </si>
  <si>
    <t>06/07/2020 11:59 AM</t>
  </si>
  <si>
    <t>20/07/2020 2:05 PM</t>
  </si>
  <si>
    <t>06/07/2020 7:00 AM</t>
  </si>
  <si>
    <t>08/07/2020 10:20 AM</t>
  </si>
  <si>
    <t>24/07/2020 3:00 PM</t>
  </si>
  <si>
    <t>09/07/2020 10:00 PM</t>
  </si>
  <si>
    <t>03/07/2020 8:15 AM</t>
  </si>
  <si>
    <t>03/07/2020 11:45 AM</t>
  </si>
  <si>
    <t>03/07/2020 11:30 AM</t>
  </si>
  <si>
    <t>03/07/2020 5:00 AM</t>
  </si>
  <si>
    <t>15/07/2020 11:30 AM</t>
  </si>
  <si>
    <t>03/07/2020 8:45 AM</t>
  </si>
  <si>
    <t>23/07/2020 9:30 AM</t>
  </si>
  <si>
    <t>13/07/2020 11:30 AM</t>
  </si>
  <si>
    <t>24/07/2020 1:00 PM</t>
  </si>
  <si>
    <t>21/07/2020 9:50 AM</t>
  </si>
  <si>
    <t>21/07/2020 12:00 AM</t>
  </si>
  <si>
    <t>03/07/2020 10:10 AM</t>
  </si>
  <si>
    <t>21/07/2020 12:30 PM</t>
  </si>
  <si>
    <t>24/07/2020 2:30 PM</t>
  </si>
  <si>
    <t>06/07/2020 12:59 PM</t>
  </si>
  <si>
    <t>21/07/2020 2:30 PM</t>
  </si>
  <si>
    <t>03/07/2020 8:59 AM</t>
  </si>
  <si>
    <t>20/07/2020 12:30 PM</t>
  </si>
  <si>
    <t>13/07/2020 1:30 PM</t>
  </si>
  <si>
    <t>07/07/2020 7:00 AM</t>
  </si>
  <si>
    <t>10/07/2020 7:00 AM</t>
  </si>
  <si>
    <t>10/07/2020 1:30 PM</t>
  </si>
  <si>
    <t>10/07/2020 9:30 AM</t>
  </si>
  <si>
    <t>09/07/2020 11:59 PM</t>
  </si>
  <si>
    <t>17/07/2020 1:00 AM</t>
  </si>
  <si>
    <t>06/07/2020 2:30 PM</t>
  </si>
  <si>
    <t>07/07/2020 9:15 AM</t>
  </si>
  <si>
    <t>07/07/2020 11:15 AM</t>
  </si>
  <si>
    <t>13/07/2020 12:00 PM</t>
  </si>
  <si>
    <t>07/07/2020 1:15 PM</t>
  </si>
  <si>
    <t>07/07/2020 2:15 PM</t>
  </si>
  <si>
    <t>02/07/2020 1:10 AM</t>
  </si>
  <si>
    <t>07/07/2020 10:15 AM</t>
  </si>
  <si>
    <t>02/07/2020 6:00 AM</t>
  </si>
  <si>
    <t>28/07/2020 9:00 AM</t>
  </si>
  <si>
    <t>27/07/2020 1:30 PM</t>
  </si>
  <si>
    <t>16/07/2020 8:30 AM</t>
  </si>
  <si>
    <t>20/07/2020 8:30 PM</t>
  </si>
  <si>
    <t>06/07/2020 1:04 PM</t>
  </si>
  <si>
    <t>13/07/2020 5:00 PM</t>
  </si>
  <si>
    <t>20/07/2020 9:59 AM</t>
  </si>
  <si>
    <t>02/07/2020 4:00 PM</t>
  </si>
  <si>
    <t>28/07/2020 5:00 PM</t>
  </si>
  <si>
    <t>02/07/2020 5:00 AM</t>
  </si>
  <si>
    <t>02/07/2020 1:00 PM</t>
  </si>
  <si>
    <t>19/08/2020 3:00 PM</t>
  </si>
  <si>
    <t>06/07/2020 8:00 PM</t>
  </si>
  <si>
    <t>03/07/2020 1:05 PM</t>
  </si>
  <si>
    <t>06/07/2020 1:05 PM</t>
  </si>
  <si>
    <t>17/07/2020 8:00 AM</t>
  </si>
  <si>
    <t>17/07/2020 6:00 AM</t>
  </si>
  <si>
    <t>10/07/2020 1:00 PM</t>
  </si>
  <si>
    <t>14/07/2020 1:30 PM</t>
  </si>
  <si>
    <t>16/07/2020 3:00 PM</t>
  </si>
  <si>
    <t>02/07/2020 1:30 PM</t>
  </si>
  <si>
    <t>16/07/2020 11:00 AM</t>
  </si>
  <si>
    <t>16/07/2020 5:00 PM</t>
  </si>
  <si>
    <t>16/07/2020 7:00 AM</t>
  </si>
  <si>
    <t>02/07/2020 7:45 PM</t>
  </si>
  <si>
    <t>02/07/2020 4:00 AM</t>
  </si>
  <si>
    <t>02/07/2020 8:30 AM</t>
  </si>
  <si>
    <t>02/07/2020 7:56 PM</t>
  </si>
  <si>
    <t>06/07/2020 8:05 AM</t>
  </si>
  <si>
    <t>06/07/2020 1:08 AM</t>
  </si>
  <si>
    <t>02/07/2020 8:00 PM</t>
  </si>
  <si>
    <t>20/07/2020 2:30 PM</t>
  </si>
  <si>
    <t>15/07/2020 3:00 PM</t>
  </si>
  <si>
    <t>06/07/2020 11:30 AM</t>
  </si>
  <si>
    <t>16/07/2020 1:00 AM</t>
  </si>
  <si>
    <t>16/07/2020 8:00 AM</t>
  </si>
  <si>
    <t>09/07/2020 4:00 PM</t>
  </si>
  <si>
    <t>06/07/2020 9:32 AM</t>
  </si>
  <si>
    <t>20/07/2020 9:25 AM</t>
  </si>
  <si>
    <t>13/07/2020 3:00 PM</t>
  </si>
  <si>
    <t>15/07/2020 2:01 PM</t>
  </si>
  <si>
    <t>16/07/2020 12:00 PM</t>
  </si>
  <si>
    <t>16/07/2020 9:30 AM</t>
  </si>
  <si>
    <t>17/07/2020 8:30 AM</t>
  </si>
  <si>
    <t>03/07/2020 11:59 PM</t>
  </si>
  <si>
    <t>15/07/2020 1:30 PM</t>
  </si>
  <si>
    <t>28/07/2020 1:00 AM</t>
  </si>
  <si>
    <t>16/07/2020 8:59 AM</t>
  </si>
  <si>
    <t>03/07/2020 2:07 PM</t>
  </si>
  <si>
    <t>30/07/2020 10:00 AM</t>
  </si>
  <si>
    <t>16/07/2020 12:59 PM</t>
  </si>
  <si>
    <t>16/07/2020 2:29 PM</t>
  </si>
  <si>
    <t>17/07/2020 11:00 AM</t>
  </si>
  <si>
    <t>16/07/2020 9:25 AM</t>
  </si>
  <si>
    <t>15/07/2020 9:30 AM</t>
  </si>
  <si>
    <t>03/07/2020 1:10 AM</t>
  </si>
  <si>
    <t>10/07/2020 12:00 AM</t>
  </si>
  <si>
    <t>15/07/2020 2:30 PM</t>
  </si>
  <si>
    <t>16/07/2020 1:25 PM</t>
  </si>
  <si>
    <t>13/07/2020 9:30 AM</t>
  </si>
  <si>
    <t>06/08/2020 3:00 PM</t>
  </si>
  <si>
    <t>16/07/2020 10:00 PM</t>
  </si>
  <si>
    <t>20/07/2020 1:15 PM</t>
  </si>
  <si>
    <t>13/07/2020 4:00 PM</t>
  </si>
  <si>
    <t>10/07/2020 3:00 PM</t>
  </si>
  <si>
    <t>02/07/2020 6:00 PM</t>
  </si>
  <si>
    <t>15/07/2020 12:00 AM</t>
  </si>
  <si>
    <t>02/07/2020 11:30 AM</t>
  </si>
  <si>
    <t>15/07/2020 1:01 AM</t>
  </si>
  <si>
    <t>15/07/2020 8:00 AM</t>
  </si>
  <si>
    <t>22/07/2020 8:00 AM</t>
  </si>
  <si>
    <t>29/07/2020 8:00 AM</t>
  </si>
  <si>
    <t>16/07/2020 10:30 AM</t>
  </si>
  <si>
    <t>23/07/2020 12:00 PM</t>
  </si>
  <si>
    <t>24/07/2020 12:00 PM</t>
  </si>
  <si>
    <t>14/07/2020 1:45 PM</t>
  </si>
  <si>
    <t>14/07/2020 10:30 AM</t>
  </si>
  <si>
    <t>14/07/2020 8:00 AM</t>
  </si>
  <si>
    <t>06/07/2020 1:13 PM</t>
  </si>
  <si>
    <t>13/07/2020 7:00 AM</t>
  </si>
  <si>
    <t>15/07/2020 10:30 AM</t>
  </si>
  <si>
    <t>14/07/2020 12:00 PM</t>
  </si>
  <si>
    <t>13/07/2020 6:00 AM</t>
  </si>
  <si>
    <t>02/07/2020 3:00 AM</t>
  </si>
  <si>
    <t>15/07/2020 9:50 AM</t>
  </si>
  <si>
    <t>30/07/2020 5:00 PM</t>
  </si>
  <si>
    <t>06/08/2020 1:15 PM</t>
  </si>
  <si>
    <t>15/07/2020 8:30 AM</t>
  </si>
  <si>
    <t>02/07/2020 2:30 PM</t>
  </si>
  <si>
    <t>13/07/2020 10:00 PM</t>
  </si>
  <si>
    <t>03/07/2020 4:00 AM</t>
  </si>
  <si>
    <t>02/07/2020 3:30 AM</t>
  </si>
  <si>
    <t>13/07/2020 10:30 AM</t>
  </si>
  <si>
    <t>06/07/2020 3:30 PM</t>
  </si>
  <si>
    <t>17/07/2020 12:00 PM</t>
  </si>
  <si>
    <t>14/07/2020 3:00 PM</t>
  </si>
  <si>
    <t>14/07/2020 9:45 AM</t>
  </si>
  <si>
    <t>14/07/2020 8:15 AM</t>
  </si>
  <si>
    <t>02/07/2020 9:15 AM</t>
  </si>
  <si>
    <t>02/07/2020 10:30 AM</t>
  </si>
  <si>
    <t>14/07/2020 9:15 AM</t>
  </si>
  <si>
    <t>14/07/2020 9:25 AM</t>
  </si>
  <si>
    <t>13/07/2020 2:15 PM</t>
  </si>
  <si>
    <t>10/08/2020 2:00 PM</t>
  </si>
  <si>
    <t>10/07/2020 2:02 PM</t>
  </si>
  <si>
    <t>14/07/2020 10:15 AM</t>
  </si>
  <si>
    <t>24/07/2020 11:00 AM</t>
  </si>
  <si>
    <t>02/07/2020 10:01 AM</t>
  </si>
  <si>
    <t>10/07/2020 11:59 PM</t>
  </si>
  <si>
    <t>27/07/2020 11:00 AM</t>
  </si>
  <si>
    <t>28/07/2020 11:00 AM</t>
  </si>
  <si>
    <t>14/07/2020 8:30 AM</t>
  </si>
  <si>
    <t>14/07/2020 3:30 PM</t>
  </si>
  <si>
    <t>14/07/2020 1:59 PM</t>
  </si>
  <si>
    <t>14/07/2020 8:59 AM</t>
  </si>
  <si>
    <t>14/07/2020 8:01 AM</t>
  </si>
  <si>
    <t>07/08/2020 2:00 PM</t>
  </si>
  <si>
    <t>07/07/2020 1:30 AM</t>
  </si>
  <si>
    <t>13/07/2020 5:05 PM</t>
  </si>
  <si>
    <t>08/07/2020 1:32 PM</t>
  </si>
  <si>
    <t>13/07/2020 5:00 AM</t>
  </si>
  <si>
    <t>03/07/2020 1:30 AM</t>
  </si>
  <si>
    <t>27/07/2020 2:00 PM</t>
  </si>
  <si>
    <t>06/07/2020 7:06 AM</t>
  </si>
  <si>
    <t>14/07/2020 9:01 AM</t>
  </si>
  <si>
    <t>13/07/2020 3:30 PM</t>
  </si>
  <si>
    <t>13/07/2020 2:01 PM</t>
  </si>
  <si>
    <t>13/07/2020 2:30 PM</t>
  </si>
  <si>
    <t>10/08/2020 1:30 PM</t>
  </si>
  <si>
    <t>17/07/2020 10:00 PM</t>
  </si>
  <si>
    <t>03/07/2020 1:02 PM</t>
  </si>
  <si>
    <t>28/07/2020 9:30 AM</t>
  </si>
  <si>
    <t>07/07/2020 3:30 PM</t>
  </si>
  <si>
    <t>03/07/2020 8:00 PM</t>
  </si>
  <si>
    <t>10/07/2020 8:30 AM</t>
  </si>
  <si>
    <t>24/07/2020 1:30 PM</t>
  </si>
  <si>
    <t>13/07/2020 8:59 AM</t>
  </si>
  <si>
    <t>10/07/2020 9:15 AM</t>
  </si>
  <si>
    <t>07/07/2020 3:30 AM</t>
  </si>
  <si>
    <t>09/07/2020 10:30 AM</t>
  </si>
  <si>
    <t>14/07/2020 5:00 AM</t>
  </si>
  <si>
    <t>23/07/2020 1:30 PM</t>
  </si>
  <si>
    <t>03/07/2020 6:00 AM</t>
  </si>
  <si>
    <t>09/07/2020 10:01 AM</t>
  </si>
  <si>
    <t>08/07/2020 9:50 AM</t>
  </si>
  <si>
    <t>04/08/2020 8:00 AM</t>
  </si>
  <si>
    <t>13/07/2020 1:45 PM</t>
  </si>
  <si>
    <t>07/07/2020 11:30 AM</t>
  </si>
  <si>
    <t>07/07/2020 10:00 PM</t>
  </si>
  <si>
    <t>08/07/2020 8:59 AM</t>
  </si>
  <si>
    <t>07/07/2020 11:45 AM</t>
  </si>
  <si>
    <t>06/07/2020 6:08 AM</t>
  </si>
  <si>
    <t>07/07/2020 9:25 AM</t>
  </si>
  <si>
    <t>06/07/2020 9:15 AM</t>
  </si>
  <si>
    <t>07/07/2020 1:09 AM</t>
  </si>
  <si>
    <t>07/07/2020 2:10 PM</t>
  </si>
  <si>
    <t>07/07/2020 2:20 PM</t>
  </si>
  <si>
    <t>31/07/2020 2:00 PM</t>
  </si>
  <si>
    <t>03/07/2020 3:08 AM</t>
  </si>
  <si>
    <t>07/07/2020 8:15 AM</t>
  </si>
  <si>
    <t>06/07/2020 2:29 PM</t>
  </si>
  <si>
    <t>07/07/2020 8:59 AM</t>
  </si>
  <si>
    <t>30/07/2020 10:30 AM</t>
  </si>
  <si>
    <t>16/07/2020 12:30 PM</t>
  </si>
  <si>
    <t>30/07/2020 9:30 AM</t>
  </si>
  <si>
    <t>10/07/2020 8:59 AM</t>
  </si>
  <si>
    <t>08/07/2020 11:30 AM</t>
  </si>
  <si>
    <t>08/07/2020 12:30 PM</t>
  </si>
  <si>
    <t>08/07/2020 10:10 AM</t>
  </si>
  <si>
    <t>06/07/2020 1:30 AM</t>
  </si>
  <si>
    <t>03/08/2020 1:30 PM</t>
  </si>
  <si>
    <t>06/07/2020 8:59 AM</t>
  </si>
  <si>
    <t>07/07/2020 2:00 AM</t>
  </si>
  <si>
    <t>07/07/2020 11:00 PM</t>
  </si>
  <si>
    <t>02/07/2020 9:45 AM</t>
  </si>
  <si>
    <t>03/07/2020 3:30 PM</t>
  </si>
  <si>
    <t>02/07/2020 10:50 AM</t>
  </si>
  <si>
    <t>17/07/2020 12:30 PM</t>
  </si>
  <si>
    <t>23/07/2020 12:30 PM</t>
  </si>
  <si>
    <t>06/07/2020 1:29 PM</t>
  </si>
  <si>
    <t>17/07/2020 10:30 AM</t>
  </si>
  <si>
    <t>10/07/2020 1:59 PM</t>
  </si>
  <si>
    <t>29/07/2020 9:00 AM</t>
  </si>
  <si>
    <t>06/07/2020 2:00 AM</t>
  </si>
  <si>
    <t>29/07/2020 9:30 AM</t>
  </si>
  <si>
    <t>17/07/2020 2:30 PM</t>
  </si>
  <si>
    <t>31/12/2020 9:00 AM</t>
  </si>
  <si>
    <t>21/01/2021 10:00 AM</t>
  </si>
  <si>
    <t>07/10/2020 10:00 AM</t>
  </si>
  <si>
    <t>01/07/2021 9:00 AM</t>
  </si>
  <si>
    <t>03/08/2020 9:00 AM</t>
  </si>
  <si>
    <t>23/09/2020 1:00 AM</t>
  </si>
  <si>
    <t>30/07/2020 2:00 PM</t>
  </si>
  <si>
    <t>06/07/2020 10:01 AM</t>
  </si>
  <si>
    <t>31/12/2020 1:00 AM</t>
  </si>
  <si>
    <t>13/07/2020 1:05 PM</t>
  </si>
  <si>
    <t>06/07/2020 1:15 PM</t>
  </si>
  <si>
    <t>02/07/2020 1:15 PM</t>
  </si>
  <si>
    <t>24/08/2020 12:00 PM</t>
  </si>
  <si>
    <t>05/10/2020 9:30 AM</t>
  </si>
  <si>
    <t>28/08/2020 10:00 AM</t>
  </si>
  <si>
    <t>08/07/2020 1:15 PM</t>
  </si>
  <si>
    <t>06/07/2020 1:45 PM</t>
  </si>
  <si>
    <t>01/09/2020 9:00 AM</t>
  </si>
  <si>
    <t>31/07/2020 5:00 PM</t>
  </si>
  <si>
    <t>31/07/2020 5:00 AM</t>
  </si>
  <si>
    <t>02/07/2020 1:03 PM</t>
  </si>
  <si>
    <t xml:space="preserve"> PROCUREMENT OF CONSTRUCTION MATERIALS FOR THE IMPROVEMENT/REBLOCKING/ OF LOCAL ROAD</t>
  </si>
  <si>
    <t xml:space="preserve"> Patrol (Multi-cab) Single Motor Patrol Tricycle</t>
  </si>
  <si>
    <t xml:space="preserve"> GOA (by set) Belt Supplementary Uniform (Tshirt w/ print) 4 sets x 30 pax Shoes Cap Flashlight Hand Cuffs Tear Gas Raincoat Bota</t>
  </si>
  <si>
    <t xml:space="preserve"> Attached herewith the Request for Proposal and Terms of Reference</t>
  </si>
  <si>
    <t xml:space="preserve"> PROCUREMENT OF THE FOLLOWING SERVICES: CONCRETING OF 0.10 METER THK, 0.60 METER WIDTH, 194.0 LINEAR METERS PATHWALK. A. MATERIALS B. LABOR C. OTHER SERVICES FOR MORE DETAILS VISIT THE BARANGAY</t>
  </si>
  <si>
    <t xml:space="preserve"> 5 Ampules Epinephrine 1mg/ml 10 amp. Magnesium Sulfate 200 amp. oxytocin 100 amp. methergen 100 amp. menadione 10 amp. tranexamic acid 15 pcs. introcan gauge 18 10 pcs. introcan gauge 22 10 pcs. introcan gauge 26 4 gal. povidone iodine 30 sets macroset 10</t>
  </si>
  <si>
    <t xml:space="preserve"> OPENING OF BIDS IN DSWD FO IX, ZAMBOANGA CITY,							 DELIVERY IN DSWD FO IX ZAMBOANGA CITY							 PROCUREMENT FOR THE FF.:							 							 10	UNIT	EVAPORATIVE AIR COOLER HEAVY DUTY					 5	UNIT	KITCHEN CABINET , 4 LAYER STAINLESS					 15	UNIT	HOT AND COLD </t>
  </si>
  <si>
    <t xml:space="preserve"> TO BE BID ARE GOOD FOR THE RATIFICATION AND SIGNING OF THE REVISED GUIDELINES IN THE SELECTIONS OF IPMRs IN THE MUNICIPALITY OF CALATRAVA ON JULY 7, 2020</t>
  </si>
  <si>
    <t xml:space="preserve"> Procurement ID/Contract ID: 				20CA0056 Contract Name: 	Construction/Repair/Rehabilitation/Improvement of Various Infrastructure including Local Projects- Buildings and Other Structures- Multi-Purpose/Facilities-Construction of Multi-Purpose Building, Br</t>
  </si>
  <si>
    <t xml:space="preserve"> Procurement ID/Contract ID: 				20CA0055 Contract Name: 	Concreting of Sitio Grego to Sitio Pinagpatayan Barangay Calaylayan FMR, Barangay Calaylayan Contract Location:	Abucay, Bataan Brief Description:	Concreting of  Road Approved Budget for the Contract</t>
  </si>
  <si>
    <t xml:space="preserve"> 1.	The Provincial Government of Batanes, through the 5% Calamity Fund intends to apply the sum of Five Million Eight Hundred Twenty Thousand Pesos Only (₱ 5,820,000.00), being the Approved Budget for the Contract (ABC) to payments under the contract for S</t>
  </si>
  <si>
    <t xml:space="preserve"> PROCUREMENT OF THE FOLLOWING SERVICES: CONCRETING OF 0.15 METER THK, 2.50 METERS WIDTH, 34.0 LINEAR METERS LOCAL ROAD ZONE 4-A. A. MATERIALS B. LABOR C. OTHER SERVICES FOR MORE DETAILS VISIT THE BARANGAY</t>
  </si>
  <si>
    <t xml:space="preserve"> Republic of the Philippines Province of Iloilo BIDS AND AWARDS COMMITTEE INVITATION TO BID Purchase of Office Equipment Bid No.AGR-20-0128-B 1. The Iloilo Provincial Government, through the 2020 GENERAL FUND intends to apply the sum of THREE HUNDRED NINET</t>
  </si>
  <si>
    <t xml:space="preserve"> 1.	The Provincial Government of Batanes, through the Provincial Appropriations Ordinance No. 03 series of 2019 (20% Development Fund) intends to apply the sum of One Million Pesos Only (₱ 1,000,000.00), being the Approved Budget for the Contract (ABC) to </t>
  </si>
  <si>
    <t xml:space="preserve"> Procurement ID/Contract ID: 				20CA0058 Contract Name: 	Construction of Two (2) Storey-Eight (8) Classroom School Building, Layac Elementary School Contract Location:	Dinalupihan, Bataan Brief Description:	Construction of  Two (2) Storey Eight (8) Classr</t>
  </si>
  <si>
    <t xml:space="preserve"> PROCUREMENT OF THE FOLLOWING SERVICES: CONCRETING OF 0.10 METER THK, 0.60 METER WIDTH, 194.0 LINEAR METERS PATHWALK. A. MATERIALS B. LABOR C. HAULING D. OTHER SERVICES FOR MORE DETAILS VISIT THE BARANGAY</t>
  </si>
  <si>
    <t xml:space="preserve"> Procurement ID/Contract ID: 				20CA0057 Contract Name: 	Construction of Two (2) Storey-Four (4) Classroom School Building, Bayan-Bayanan Elementary School Contract Location:	Dinalupihan, Bataan Brief Description:	Construction of  Two (2) Storey Four (4) </t>
  </si>
  <si>
    <t xml:space="preserve"> BID TENDER The Bids and Awards Committee Province of Iloilo 	In connection with your Invitation to Bid  No. SPO-20-0762-B scheduled on July 8, 2020, I/We proposed to furnish and deliver in confirmation with the terms and conditions, and specifications of </t>
  </si>
  <si>
    <t xml:space="preserve"> The Municipality of Tanza, Cavite, through its Bids and Awards Committee (BAC), invites suppliers/manufacturers/distributor/contractors to apply for eligibility and to bid for the hereunder project: 	Name of Project	: SUPPLY AND DELIVERY OF UNIFORM FOR MU</t>
  </si>
  <si>
    <t xml:space="preserve"> The Municipality of Tanza, Cavite, through its Bids and Awards Committee (BAC), invites suppliers/manufacturers/distributor/contractors to apply for eligibility and to bid for the hereunder project: 	Name of Project	: SUPPLY AND DELIVERY OF MEDICINES FOR </t>
  </si>
  <si>
    <t xml:space="preserve"> Project: Purchase of Construction Materials Location: Laurel, Batangas</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</si>
  <si>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</si>
  <si>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Amount of Bid Docs 2,000.00 To all suppliers, Bid Documents are available at BAC Office on July 9, 2020 Please qoute your Lowest Price; Item No. Quantity Unit Description I 1.00 lot Site Works II 1.00 lot Form Works &amp; Scaffolding III 1.00 lot Masonry Work</t>
  </si>
  <si>
    <t xml:space="preserve"> Amount of Bid Docs 5,000.00 To all suppliers, Bid Documents are available at BAC Office on July 9, 2020 Please qoute your Lowest Price; Item No. Quantity Unit Description I 1.00 lot Site Clearing, Excavation Works Signage II 87.72 cu.m. Concrete Works III</t>
  </si>
  <si>
    <t xml:space="preserve"> Amount of Bid Docs 5,000.00 To all suppliers, Bid Documents are available at BAC Office on July 9, 2020 Please qoute your Lowest Price; Item No. Description Quantity Unit SPL Mobilization / Demobilization 1.00 LS A. EARTHWORKS 100(1) Clearing &amp; Grubbing 2</t>
  </si>
  <si>
    <t xml:space="preserve"> TERMS AND CONDITIONS:						 1. All entries must be typewritten or legibly written. 					 2. Delivery period within __________3 days__________________ upon receipt of the approved  funded Purchase Order (P.O.).   				 3. Warranty shall be for a minimum of </t>
  </si>
  <si>
    <t xml:space="preserve"> Procurement ID/Contract ID: 				20CA0059 Contract Name: 	Construction of Four (4)  Storey-Sixteen (16) Classroom School Building, Nagbalayong National High School Contract Location:	Morong, Bataan Brief Description:	Construction of  Two (2) Storey Sixteen</t>
  </si>
  <si>
    <t xml:space="preserve"> Amount of Bid Docs 10,000.00 To all suppliers, Bid Documents are available at BAC Office on July 9, 2020 Please qoute your Lowest Price; tem No. Description Quantity Unit SPL Mobilization / Demobilization 1.00 LS A. EARTHWORKS 101 Removal of Existing Stru</t>
  </si>
  <si>
    <t xml:space="preserve"> Poultry house</t>
  </si>
  <si>
    <t xml:space="preserve"> Supply and delivery of 3 sets Brand New Desktop Computer w/ complete accessories and 2 sets Printer, WIFI Integrated Ink Tank of the Mayor's Office, San Enrique, Iloilo. Approved Budget for the Contract: Php. 147, 000.00 1. 3 sets Brand New Desktop Comput</t>
  </si>
  <si>
    <t xml:space="preserve"> Republic of the Philippines	Republic of the Philippines								 	Department of Transportation and Communications								 	CIVIL AVIATION AUTHORITY OF THE PHILIPPINES								 	Area Center II, Tuguegarao Airport								 									 									 Request for Price</t>
  </si>
  <si>
    <t xml:space="preserve"> Republic of the Philippines Province of Guimaras OFFICE OF THE BIDS AND AWARDS COMMITTEE INVITATION TO BID FOR    SUPPLY AND DELIVERY OF LABORATORY SUPPLIES Bid Ref. No. 2020-06-367 1.	The Province of Guimaras , through the (5-02-03-080) Laboratory Expens</t>
  </si>
  <si>
    <t xml:space="preserve"> Building</t>
  </si>
  <si>
    <t xml:space="preserve"> 1. ALL ENTRIES MUST BE COMPLETELY FILLED UP IN PRINT. NO DATA PROVIDED ON UNIT PRICES &amp; TOTAL PRICES SHALL CONSIDER THE BID AS "NON-RESPONSIVE" , THUS, DISQUALIFIED. A DASH(-) OR A ZERO (0) INDICATED IN THE SPACE PROVIDED FOR UNIT PRICES PER ITEM SHALL BE</t>
  </si>
  <si>
    <t xml:space="preserve"> Republic of the Philippines Region XII Province of Cotabato CITY OF KIDAPAWAN BIDS AND AWARDS COMMITTEE Invitation to Bid 						  		           Date: July 1, 2020 1.	The City Government of Kidapawan, through the 20% EDF CY 2020 SB#1 /AO#20-001   intends to</t>
  </si>
  <si>
    <t xml:space="preserve"> Four (4) Units Cabinet</t>
  </si>
  <si>
    <t xml:space="preserve"> Purchase of Materials for Construction of Signages</t>
  </si>
  <si>
    <t xml:space="preserve"> Invitation to Bid for the  Renovation/Improvement of Various Offices (Office Cubicles) 1.	The JH Cerilles State College, through the Trust Fund- Capital Outlay 2020 invites PhilGEPS registered suppliers to bid for Improvement and Installation of Fabric wi</t>
  </si>
  <si>
    <t xml:space="preserve"> Repainting of wall exterior face of Municipal Government bldg.: Repair of second floor exterior ceiling and waterproofing of second floor roof deck and pre-painted roofings.</t>
  </si>
  <si>
    <t xml:space="preserve"> Republic of the Philippines Province of Nueva Vizcaya MUNICIPALITY OF BAYOMBONG BARANGAY LA TORRE NORTH -o0o- BIDS AND AWARDS COMMITTEE INVITATION TO BID  CONSTRUCTION OF 45 L.M CHB LINE CANAL ALONG ESQUEDA STREET (sta.0+000-0+045) PUROK 4, PHASE 1   (PR </t>
  </si>
  <si>
    <t xml:space="preserve"> The Schools Division of Calapan City invites suppliers/ bidders for the delivery of the following: Unit        Quantity       Description set              59            Disinfection sprayer, knapsack, 16-18L liters          118           Disinfectant Solu</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</si>
  <si>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</si>
  <si>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Republic of the Philippines PROVINCE OF NUEVA VIZCAYA Municipality of Alfonso Castañeda  BIDS AND AWARDS COMMITTEE FOR INFRASTRUCTURE PROJECTS CONCRETING OF PUROK 6B ROAD (LUBLUB) 1.	The Local Government of Alfonso Castañeda, through the 20% Development</t>
  </si>
  <si>
    <t xml:space="preserve"> Republic of the Philippines PROVINCE OF NUEVA VIZCAYA Municipality of Alfonso Castañeda  BIDS AND AWARDS COMMITTEE FOR INFRASTRUCTURE PROJECTS CONCRETING OF PUROK 3 ROAD (LUBLUB) 1.	The Local Government of Alfonso Castañeda, through the 20% Development </t>
  </si>
  <si>
    <t xml:space="preserve"> 1.	The Municipality of Caraga, through the Resolution No. 42 Series of 2018 intends to apply the sum of Two Hundred Fifty Five Thousand Seven Hundred Thirty Eight Pesos  (255,738.00) being the Approved Budget for the Contract (ABC) to payments under the c</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</si>
  <si>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</si>
  <si>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Republic of the Philippines Province of Cebu Municipality of Dalaguete DALAGUETE BIDS AND AWARDS COMMITTEE INVITATION TO BID (Procurement of Goods) 	 The MUNICIPAL GOVERNMENT OF DALAGUETE, CEBU (MGD) invites all legitimate and interested suppliers/traders</t>
  </si>
  <si>
    <t xml:space="preserve"> 1. 1 unit ROG G15 Zephyrus GA 502IV-AZ023T 15.6inches FHD 240Hz Ryzen 7 4800H 16GB/1TB/6GB RTX 2060/Win 10 2. 1 unit Netbook 155-DU0044TX 15.6-in. FHD,IPS,AG, Intel core i7 8565u/8gb/2tb gfmx 130/Win 10</t>
  </si>
  <si>
    <t xml:space="preserve"> Republic of the Philippines Province of Guimaras OFFICE OF THE BIDS AND AWARDS COMMITTEE INVITATION TO BID FOR    SUPPLY AND DELIVERY OF DIESEL Bid Ref. No. 2020-02-119 Re-bid 1.	The Province of Guimaras , through the Gasoline, Oil &amp; Lubricants Expenses i</t>
  </si>
  <si>
    <t xml:space="preserve"> Rehabilitation of Evacuation Center including  1. Concreting works  2. Masonry Wall 3. Tinnery Works 4. Windows 5. Carpentry Works 6. Tile Works.</t>
  </si>
  <si>
    <t xml:space="preserve"> 1.	The Municipality of Caraga, through the 20% LGDF 2020 intends to apply the sum of Two Hundred Fifty Thousand  Pesos  (250,000.00) being the Approved Budget for the Contract (ABC) to payments under the contract for the  Construction of Drinking and Hand</t>
  </si>
  <si>
    <t xml:space="preserve"> 1.	The Municipality of Caraga, through the 20% LGDF 2018 intends to apply the sum of Three Hundred Thousand  Pesos  (300,000.00) being the Approved Budget for the Contract (ABC) to payments under the contract for the  Construction of Livestock Breeding De</t>
  </si>
  <si>
    <t xml:space="preserve"> 1.	The Municipality of Caraga, through the 20% LGDF 2020 intends to apply the sum of Three Hundred Fifty Thousand  Pesos  (350,000.00) being the Approved Budget for the Contract (ABC) to payments under the contract for the  Completion of SAn Antonio Multi</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</si>
  <si>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</si>
  <si>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Republic of the Philippines Province of Sarangani Municipality of Malapatan INVITATION TO BID  	 2020-B1-06-016        PROCUREMENT OF MATERIALS FOR WATER SYSTEM MAINTENANCE, MALAPATAN, SARANGANI PROVINCE 1.	The Local Government Unit of Malapatan, through </t>
  </si>
  <si>
    <t xml:space="preserve"> Republic of the Philippines Province of Sarangani Municipality of Malapatan INVITATION TO BID  	 2020-B2-06-017 CONSTRUCTION OF FOOTBRIDGE AT BARANGAY KIHAN, MALAPATAN, SARANGANI PROVINCE  1.	The Local Government Unit of Malapatan, through the 20% AIP CY </t>
  </si>
  <si>
    <t xml:space="preserve"> Republic of the Philippines PROVINCE OF ZAMBOANGA DEL NORTE Municipality of Godod BARANGAY LOMOGOM INVITATION TO BID FOR PROPOSED STREET LIGHT EXTENSION Lomogom, Godod, Zamboanga del Norte 1.	The Barangay Local Government Unit of Lomogom, Godod, ZAmboanga</t>
  </si>
  <si>
    <t xml:space="preserve"> The AGRICULTURAL TRAINING INSTITUTE-REGIONAL TRAINING CENTER (ATI-RTC) X, through the 2020 General Appropriations Act intends to apply the sum of Ninety Nine Thousand Two Hundred Pesos (P 99,200.00) being the Approved Budget for the Contract (ABC) to paym</t>
  </si>
  <si>
    <t xml:space="preserve"> Republic of the Philippines Province of Sarangani Municipality of Malapatan INVITATION TO BID  	 2020-B2-06-018 CONCRETING OF ROAD AT PUROK PROPER, BARANGAY KINAM, MALAPATAN, SARANGANI PROVINCE  1.	The Local Government Unit of Malapatan, through the 20% A</t>
  </si>
  <si>
    <t xml:space="preserve"> Republic of the Philippines PROVINCE OF ZAMBOANGA DEL NORTE Municipality of Godod BARANGAY LOMOGOM INVITATION TO BID FOR PROPOSED COVERED COURT PORTABLE FENCE Lomogom, Godod, Zamboanga del Norte 1.	The Barangay Local Government Unit of Lomogom, Godod, ZAm</t>
  </si>
  <si>
    <t xml:space="preserve"> 1.	The Municipality of Caraga, through the BIDS AND AWARDS COMMITTEE intends to apply the sum of Two Hundred Seventy Eight Thousand Five Hundred Pesos (PhP 278,500.00) being the Approved Budget for the Contract (ABC) to payments under the contract for Sup</t>
  </si>
  <si>
    <t xml:space="preserve"> Repair/Renovation and Extension of PVAO Field Service Extension Office Building located at NOLCOM, Camp. Gen. Servillano Aquino, Brgy. San Miguel, Tarlac City</t>
  </si>
  <si>
    <t xml:space="preserve"> Please submit the following documents: A. PhilGEPS Certificate of Registration and Membership in accordance with Section 8.5.2 of the IRR B. Mayor's Permit C. Latest Income and Tax Returns D. Omnibus Sworn Statement 50	box	Earloop Surgical Face Mask 10	bo</t>
  </si>
  <si>
    <t xml:space="preserve"> AIRCON - 1 UNIT BOND PAPER (A4)- 30 BOXES BOND PAPER (LONG) - 30 BOXES BOND PAPER (SHORT) - 30 BOXES BROWN ENVELOPE (LONG) 100"s - 30 BOXES BROWN ENVELOPE (SHORT) 100"s - 25 BOXES CLEAR TAPE - 30 PACKS CORRECTION FLUID - 25 PCS FASTENER PLASTIC - 20 BOXES</t>
  </si>
  <si>
    <t xml:space="preserve"> Please submit the following documents: A. PhilGEPS Certificate of Registration and Membership in accordance with Section 8.5.2 of the IRR B. Mayor's Permit C. Latest Income and Tax Returns D. Omnibus Sworn Statement 100 set SARS-CoV-2 Antibody Test (Later</t>
  </si>
  <si>
    <t xml:space="preserve"> I. CONCRETE PEDESTAL                      QTY- 6M3 MATERIALS: 6      M3        WASHED GRAVEL 4      M3        WASH SAND 50    BAGS    PORTLAND CEMENT 36    PCS.     10MM x 6M RSB 30    PCS.     8MM X 6M RSB 4      KLS.     #16 TIE WIRE 4      PCS.     HAC</t>
  </si>
  <si>
    <t xml:space="preserve"> Republic of the Philippines Province of Guimaras OFFICE OF THE BIDS AND AWARDS COMMITTEE INVITATION TO BID FOR    SUPPLY AND DELIVERY OF STAINLESS CHAIR, MONOBLOCK CHAIR AND COMPUTER TABLE Bid Ref. No. 2020-06-371 1.	The Province of Guimaras , through the</t>
  </si>
  <si>
    <t xml:space="preserve"> Section I. Invitation to Bid Republic of the Philippines Province of Zambales MUNICIPALITY OF SAN FELIPE Invitation to Bid for the Concreting of Various Streets (Phase IV) ITB NO: SFZ-INFRA 2020-005 1.	The Municipality of San Felipe, Zambales, through the</t>
  </si>
  <si>
    <t xml:space="preserve"> The AGRICULTURAL TRAINING INSTITUTE-REGIONAL TRAINING CENTER (ATI-RTC) X, through the 2020 General Appropriations Act intends to apply the sum of One Hundred Forty One Thousand Two Hundred Pesos (P 141,200.00) being the Approved Budget for the Contract (A</t>
  </si>
  <si>
    <t xml:space="preserve"> 1.	The Municipality of Caraga, through the GAD CY 2015-2020 &amp; 20% LGDF 2018 intends to apply the sum of Eight Hundred Forty Six Thousand One Hundred Forty Nine &amp; 10/100 (846,146.10) being the Approved Budget for the Contract (ABC) to payments under the co</t>
  </si>
  <si>
    <t xml:space="preserve"> various</t>
  </si>
  <si>
    <t xml:space="preserve"> Invitation to Bid The Municipal Government of Liliw, Laguna, through its Bids and Awards Committee (BAC), invites bidders top bid for the hereunder project: Name of Project: Supply and Delivery of Office Supplies for different offices in this Municipality</t>
  </si>
  <si>
    <t xml:space="preserve"> Supply and Delivery of Various CI Saddle Clamp for Potable Water The Metro Midsayap Water District (MMWD) gives notice that  quotations are invited for the Supply and Delivery of various CI Saddle Clamp for Potable Water 100 pcs - CI Saddle Clamp, 2" x ¾"</t>
  </si>
  <si>
    <t xml:space="preserve"> The AGRICULTURAL TRAINING INSTITUTE-REGIONAL TRAINING CENTER (ATI-RTC) X, through the 2020 General Appropriations Act intends to apply the sum of Two Hundred Four Thousand Four Hundred Pesos (P 204,400.00) being the Approved Budget for the Contract (ABC) </t>
  </si>
  <si>
    <t xml:space="preserve"> LENGTH = 200 LINEAL METERS WIDTH = 3.50 METERS THICKNESS = 0.15 METERS AREA = 700.00 SQ.M.</t>
  </si>
  <si>
    <t xml:space="preserve"> Republic of the Philippines DEPARTMENT OF PUBLIC WORKS AND HIGHWAYS OFFICE OF THE DISTRICT ENGINEER Benguet 1st District Engineering Office Wangal, La Trinidad, Benguet Telefax No. (074) 422 6163            June 29, 2020 INVITATION TO BID FOR Supply and D</t>
  </si>
  <si>
    <t xml:space="preserve"> LENGTH = 135 LINEAL METERS WIDTH = 4.0 METERS THICKNESS = 0.15 METERS AREA = 540 SQ.M.</t>
  </si>
  <si>
    <t xml:space="preserve"> The Metro Midsayap Water District (MMWD) now invites competitive bidding to the Suppliers for the hereunder contract: Name of Contract: Supply and Delivery of 1,718 Lengths of uPVC Pipes, Class 100 With Sizes Ranging from 2" to 4" ID Approved Budget for t</t>
  </si>
  <si>
    <t xml:space="preserve"> LENGTH = 100 LINEAL METERS WIDTH = 5.0 METERS THICKNESS = 0.15 METERS VOLUME = 75 CU.M.</t>
  </si>
  <si>
    <t xml:space="preserve"> LENGTH = 200 LINEAL METERS WIDTH = 3.50 METERS THICKNESS = 0.15 METERS AREA = 700 SQ.M.</t>
  </si>
  <si>
    <t xml:space="preserve"> LENGTH = 200 LINEAL METERS WIDTH = 3.20 METERS THICKNESS = 0.15 METERS VOLUME = 96 CU.M.</t>
  </si>
  <si>
    <t xml:space="preserve"> Republic of the Philippines Province of Guimaras OFFICE OF THE BIDS AND AWARDS COMMITTEE INVITATION TO BID FOR    SUPPLY AND DELIVERY OF OFFICE EQUIPMENT Bid Ref. No. 2020-03-173 Re-bid 1.	The Province of Guimaras , through the Office Equipment Outlay (1-</t>
  </si>
  <si>
    <t xml:space="preserve"> Face towels (small) Medical kit (medical scissors, sterile gauze, medical tape, sterile gloves, povidone-iodine, alcohol) Tarpaulin 3 in 1 Children Kids Outdoor Indoor Swing Slide Basketball Set Indoor Inflatable playpen Play mat (rubber) Air Condition Do</t>
  </si>
  <si>
    <t xml:space="preserve"> LENGTH = 100 LINEAL METERS WIDTH = 4.0 METERS THICKNESS = 0.15 METERS VOLUME = 60 CU.M.</t>
  </si>
  <si>
    <t xml:space="preserve"> LENGTH = 250 LINEAL METERS WIDTH = 4.0 METERS THICKNESS = 0.15 METERS VOLUME = 1000.00 SQ.M.</t>
  </si>
  <si>
    <t xml:space="preserve"> LENGTH = 11 METERS WIDTH = 6.0 METERS I. CONCRETE, MASONRY AND PLASTERING FORMS &amp; SCAFFOLDS II. CEILING WORK INCLUDING EAVES III. ROOFING MATERIALS IV. ELECTRICAL WORKS V. DOORS, WINDOWS, GRILLS &amp; STAIR RAILINGS VI. TILE WORKS AT SECOND FLOOR VII. PAINTIN</t>
  </si>
  <si>
    <t xml:space="preserve"> Laptop i8 Smart LED TV 40" Photocopier Conference Table Office Chair Split Type Aircon (2.5 horsepower) Gazebo Tent Metal Filing Cabinet</t>
  </si>
  <si>
    <t xml:space="preserve"> Specifications Engine: Euro II Emission Standard Engine Displacement: 9.726L Max Output power (Hp/rpm): 371hp (273kw) at 2200rpm according to DIN Max Torque (N/m/rpm): 15000Nm at 1100-1600rpm Brake: Dual Circuit Compressed air brake Steering:ZF8098 Hydrau</t>
  </si>
  <si>
    <t xml:space="preserve"> See attached specifications</t>
  </si>
  <si>
    <t xml:space="preserve"> Contract I.D. No.: 20GCE0009 Contract Name: Procurement of Security Services for use of DPWH, Nueva Ecija 1st District Engineering Office  Contract Location: DPWH, Nueva Ecija 1st D.E.O., La Torre, Talavera, Nueva Ecija  Approved Budget for the Contract: </t>
  </si>
  <si>
    <t xml:space="preserve"> Proposed Road Concreting Copradia, Zone 6, San Felipe Naga City</t>
  </si>
  <si>
    <t xml:space="preserve"> Download the Request For Quotation in the Associated Components</t>
  </si>
  <si>
    <t xml:space="preserve"> LENGTH = 100 LINEAL METERS WIDTH = 3.0 METERS THICKNESS = 0.15 METERS VOLUME = 45 CU.M.</t>
  </si>
  <si>
    <t xml:space="preserve"> 12 PCS 1/4 PLYWOOD 4 PCS 1 PLYWOOD 1 KG #4 CONCRETE NAILS 1 KG #4 NAIL 1 KG #3 NAIL 1 KG #1 NAIL 1/2 KG #2 NAIL 15 M STRANDED WIRE 3 M MALE PLUG  1 ROLL ELECTRICAL TAPE 1 LENGTH G.I. PIPE 1/2" 1 PC 12 MM ROUND BAR 4 UNITS CEILING FAN  4 ROLLS WALL PAPER 1</t>
  </si>
  <si>
    <t xml:space="preserve"> Interested suppliers are required to submit the following requirements: (1) valid Mayor’s/Business  Permit; (2) PhilGEPS Registration Number; (3) PCAB License; (4) Income/Business Tax Return; (5)  Omnibus Sworn Statement; (6) Performance Security; (7) Reg</t>
  </si>
  <si>
    <t xml:space="preserve"> 1	w1-1.70m.x1.70m. Aluminum Analok Frame					2	sets 	Sliding Door						 2	w2-1.70m.x1.70m. Aluminum Analok Frame					5	sets 	Fixed Window						 3	w3-1.35m.x1.70m. Aluminum Analok Frame					1	set 	FixedWindow</t>
  </si>
  <si>
    <t xml:space="preserve"> Republic of the Philippines Province of Negros Oriental MUNICIPALITY OF BACONG REQUEST FOR EXPRESSION OF INTEREST FOR SURVEYING SERVICES FOR THE PROPOSED DEVELOPMENT OF BACONG INTERNATIONAL AIRPORT BacongRFQ 2020-06 1.	The [Municipality of Bacong], throug</t>
  </si>
  <si>
    <t xml:space="preserve"> 2,000	tab	Amlodipine 10mg 1,000	tab	Aspirin 80mg 2,000	tab	Betahistine 8mg 50	supp	Bisacodyl 10mg suppository 100	amp	Bupivacaine heavy 0.5%, 4ml heavy 1,000	tab	Cinnarizine 25mg 2,000	tab	Ciprofloxacin 500mg 5,000	cap	Clindamycin 300mg 3,000	tab	Clopidog</t>
  </si>
  <si>
    <t xml:space="preserve"> Republic of the Philippines Province of Guimaras OFFICE OF THE BIDS AND AWARDS COMMITTEE INVITATION TO BID FOR    SUPPLY AND DELIVERY OF DRUGS AND MEDICINES Bid Ref. No. 2020-06-372 1.	The Province of Guimaras , through the General Fund- Drugs and Medicio</t>
  </si>
  <si>
    <t xml:space="preserve"> Important Notice for Bidders: 1. Bid documents will be available to prospective bidder upon payment of a non-refundable amount of Two Hundred Pesos Only (P 200.00) to the Basilan State College Cashier 2. Interested suppliers are required to submit their v</t>
  </si>
  <si>
    <t xml:space="preserve"> LENGTH = 16.00 METERS WIDTH = 7.20 METERS I. EARTHWORKS II. REINFORCING STEEL BARS III. SCAFFOLDING AND FORMWORKS IV. CONCRETE WORKS V. MASONRY &amp; PLASTERING WORKS VI. TILE WORKS VII. STEEL WORKS &amp; ROOF FRAMING VIII. CARPENTRY WORKS IX. PAINTING WORKS X. R</t>
  </si>
  <si>
    <t xml:space="preserve"> Lot 1 - Office Supplies 20 pcs. Ring binder, 80 rings, plastic, 25mm x 1.12m 20 pcs. Ring binder, 80 rings, plastic, 32mm x 1.12m 20 pcs. Ring binder, 80 rings, plastic, 50mm x 1.12m 1 pc. Personalized self inking rubber stamp 1 pc. Custom stamp certified</t>
  </si>
  <si>
    <t xml:space="preserve"> INVITATION TO APPLY FOR ELIGIBILITY AND TO BID THE LOCAL GOVERNMENT UNIT OF BARANGAY SAN JOSE, KALAWIT, ZAMBOANGA DEL NORTE, through its Bids and Awards Committee (BAC), invites suppliers/manufacturers/distributors to bid for the hereunder project: NAME O</t>
  </si>
  <si>
    <t xml:space="preserve"> Republic of the Philippines Province of Guimaras OFFICE OF THE BIDS AND AWARDS COMMITTEE INVITATION TO BID FOR    SUPPLY AND DELIVERY OF TIRE Bid Ref. No. 2020-06-375 1.	The Province of Guimaras , through the Repair &amp; Maintenance- Transpo. Equipment (5021</t>
  </si>
  <si>
    <t xml:space="preserve"> LENGTH = 100 LINEAL METERS WIDTH = 5.00 METERS THICKNESS = 0.20 METERS AREA = 500.00 SQ.M. I. PCCP II. AGGREGATE SUB-BASE COURSE VOLUME = 50 CU.M.</t>
  </si>
  <si>
    <t xml:space="preserve"> Identification cards Package Deal 1 regular size PVC type 1 big size PVC type with casing and digital printed lace To be used by the education staff for identification purposes.</t>
  </si>
  <si>
    <t xml:space="preserve"> LENGTH = 250 LINEAL METERS WIDTH = 4.0 METERS THICKNESS = 0.15 METERS AREA = 1000.00 SQ.M.</t>
  </si>
  <si>
    <t xml:space="preserve"> For complete specification, please see attached for quotation at the associate components link or request.</t>
  </si>
  <si>
    <t xml:space="preserve"> 1	Portland Cement (Type 1)				193	bags 2	Washed Sand				10	cu.m. 3	Washed Gravel				18	cu.m. 4	12mmØx6.00m Reinforcing Steel Bar				8	length 5	1.5mmx2"x8" C-Purlins				4	length</t>
  </si>
  <si>
    <t xml:space="preserve"> Republic of the Philippines Province of Guimaras OFFICE OF THE BIDS AND AWARDS COMMITTEE INVITATION TO BID FOR    SUPPLY AND DELIVERY OF DOG FOOD AND SUPPLIES Bid Ref. No. 2020-06-376 1.	The Province of Guimaras , through the SPA- Peace and Order Support </t>
  </si>
  <si>
    <t xml:space="preserve"> Republic of the Philippines Province of Cavite City of General Trias Invitation to Bid for  Project Reference No. INFR-20-015– CONSTRUCTION OF SIXTY-FIVE (65) UNITS HOUSING AT BARANGAY SANTIAGO, CITY OF GEN. TRIAS, CAVITE 1.	The City Government Unit of Ge</t>
  </si>
  <si>
    <t xml:space="preserve"> Section I. Invitation to Bid   Provincial Government of Isabela SUPPLY, DELIVERY AND INSTALLATION OF SOLAR POWERED IRRIGATION SYSTEM IN THE TWO (2) SITES OF PROVINCIAL PLANT NURSERY The Provincial Government of Isabela, through the PGI FUND intends to app</t>
  </si>
  <si>
    <t xml:space="preserve"> LENGTH = 100 LINEAL METER WIDTH = 4.0 METERS THICKNESS = 0.15 METERS VOLUME = 60 CU.M.</t>
  </si>
  <si>
    <t xml:space="preserve"> 1.	The Municipality of Caraga, through the BIDS AND AWARDS COMMITTEE intends to apply the sum of Two Hundred Ninety One Thousand Seven Hundred Fifty One Pesos (PhP 291,751.00) being the Approved Budget for the Contract (ABC) to payments under the contract</t>
  </si>
  <si>
    <t xml:space="preserve"> LENGTH = 210 LINEAL METERS WIDTH = 6.0 METERS THICKNESS = 0.15 METERS AREA = 1260.00 SQ.M.</t>
  </si>
  <si>
    <t xml:space="preserve"> Purchase of Laboratory Supplies for Dr. Florentino C. Doble Memorial Hospital (formerly Kainomayan Primary Hospital) for laboratory testing of CBC, Blood Chemistry, and Serum Electrolytes, Botolan,Zambales</t>
  </si>
  <si>
    <t xml:space="preserve"> MATERIALS 13 pcs GI pipe #20 25 pcs LED security lights 1000 mts #6 service drop wire 25 pcs flat bar 2 box THHN #12 100 pcs 1/2 x 2 bolt &amp; knot 35 bags portland cement 2 cu.m. 3/4 crushed gravel 3 cu.m. albay sand 50 pcs LED bulb 9 watts 25 pcs 2x2x12 co</t>
  </si>
  <si>
    <t xml:space="preserve"> LENGTH = 11 METERS WIDTH = 7.20 METERS I. CONCRETE, MASONRY AND PLASTERING FORMS &amp; SCAFFOLDS II. CEILING WORKS III. ROOFING MATERIALS IV. ELECTRICAL WORKS V. DOORS, WINDOWS &amp; STAIR RAILINGS VI. TILE WORKS AT SECOND FLOOR VII. PLUMBING WORKS VIII. PAINTING</t>
  </si>
  <si>
    <t xml:space="preserve"> BIDS AND AWARDS COMMITTEE INVITATION TO SUBMIT PRICE QUOTATIONS SMALL VALUE PROCUREMENT No. 065-2020                                                                 The METRO ROXAS WATER DISTRICT (MRWD), through its Bids and Awards Committee (BAC), invite</t>
  </si>
  <si>
    <t xml:space="preserve"> 2 pcs. G.I. Pipe Nipple, 2" diameter x 6m, sch. 40 2 pcs. G.I. Tee, 2" x 2" diameter equal 10 pcs. G.I. Tee reducer, 2" x 3/4" diameter 10 pcs. G.I. Nipple 2" x 4" , sch. 40 (threaded) 50 pcs. Male adaptor 3/4" diameter, P.E. 50 pcs. G.I. stand pipe, 3/4"</t>
  </si>
  <si>
    <t xml:space="preserve"> PROVINCE OF BOHOL  Municipality of Pres. Carlos P. Garcia Tel. No. 519-2010 INVITATION TO APPLY FOR ELIGIBILITY AND TO BID The LGU-Pres. C. P. Garcia, through its Bids and Awards Committee (BAC), invites suppliers/manufacturers/distributors/contractors to</t>
  </si>
  <si>
    <t xml:space="preserve"> MATERIALS 300 bags cement 120 pack sahara cement REINFORCED STEEL 50 pcs 16mm RSB 100 pcs 12mm RSB 300 pcs 10mm RSB 75 pcs 8mm RSB 25 cu.m. 3/4 crushed gravel 25 cu.m. albay sand 20 pcs 1/4 marine plywood 250 pcs 2x3x12 coco lumber 120 pcs 2x2x12 coco lum</t>
  </si>
  <si>
    <t xml:space="preserve"> OTHER SUPPLIES AND MATERIALS EXPENSES</t>
  </si>
  <si>
    <t xml:space="preserve"> BRAND NEW 25KVA ISUZU GENERATOR SET  -3PH,230V,60HZ,1800RPM  -ENCLOSED TYPE WITH STAMFORD TECHNOLOGY ALTERNATOR</t>
  </si>
  <si>
    <t xml:space="preserve"> 1.	The Provincial Government of Batanes, through the Sustainable Eco-Tourism Development Fee under Trust Fund Account intends to apply the sum of One Hundred Ninety-One Thousand Six Hundred Twenty-Five Pesos Only (₱ 191,625.00), being the Approved Budget </t>
  </si>
  <si>
    <t xml:space="preserve"> Asphalt Cement Penetration Grade 60/70 Fine Aggregates x-x-x-x-x-x-x-x-x-x-x-x-x-x-x-x-x</t>
  </si>
  <si>
    <t xml:space="preserve"> Portland cement Sand Gravel 10mm dia.x 6.0m Reinforcing steel bars 16GI Tie Wire Marine Plywood 12mm thk.-  3 uses Good Lumber 2x2x10 Assorted CWN x-x-x-x-x-x-x-x-x-x-x-x-x-x-x-x-x-x-x-x-x-x-x</t>
  </si>
  <si>
    <t xml:space="preserve"> Supply, delivery and installation of water pump of Daet-Talisay RIS, Daet, Camarines Norte</t>
  </si>
  <si>
    <t xml:space="preserve"> Diesel Brake fluid Gear Oil Grease  Engine oil Fuel Filter Oil filter x-x-x-x-x-x-x-x-x-x</t>
  </si>
  <si>
    <t xml:space="preserve"> Diesel Grease Trekker Oil filter ATF Coolant Brake fluid x-x-x-x-x-x-x-x-x-x-x-x</t>
  </si>
  <si>
    <t xml:space="preserve"> LENGTH = 150 LINEAL METERS WIDTH = 5.0 METERS THICKNESS = 0.20 METERS AREA = 750.00 SQ.M. I. PCCP II. AGGREGATE SUB-BASE COURSE VOLUME = 150 CU.M.</t>
  </si>
  <si>
    <t xml:space="preserve"> 2ND INVITATION TO BID FOR THE PROCUREMENT OF VARIOUS IT EQUIPMENT AND ACCESSORIES FOR BUSINESS ONE-STOP SHOP CENTER (BOSS CENTER),  CITY OF ALAMINOS, PANGASINAN 1.	The CITY GOVERNMENT OF ALAMINOS, PANGASINAN, through its Special Purpose Appropriation inte</t>
  </si>
  <si>
    <t xml:space="preserve"> Republic of the Philippines Province of Negros Oriental MUNICIPALITY OF BACONG REQUEST FOR EXPRESSION OF INTEREST FOR CONSULTANCY SERVICES FOR THE APPRAISAL OF LAND AND IMPROVEMENT OF THE PROPOSED DEVELOPMENT OF BACONG INTERNATIONAL AIRPORT BacongRFQ 2020</t>
  </si>
  <si>
    <t xml:space="preserve"> 1.	The Municipal Government of Placer, through the Budget for the contract approved by the respective Sanggunian-  General Fund CY 2020 intends to apply the sum of Two Million Two Hundred Thousand Pesos (₱ 2,200,000.00) being the Approved Budget for the C</t>
  </si>
  <si>
    <t xml:space="preserve"> Asphalt Cement Penetration Grade 60/70 Coarse Aggregate Fine Aggregates</t>
  </si>
  <si>
    <t xml:space="preserve"> Quantity	Unit of 	Item Description				 	Issue					 3	pc	External Hard Drive 1TB				 1	pc	2.5HP Aircondition (window type)				 1	pc	Laptop				 		ryzen 3rd gen or intel i5 10th gen				 		8gb DDR 4Ram				 		1080p resolution				 		128gb ssd/nvme w/ 1tb hdd st</t>
  </si>
  <si>
    <t xml:space="preserve"> Provision of IT equipment and software</t>
  </si>
  <si>
    <t xml:space="preserve"> Extension wire Paint (white/gray/silver) Brush (2", 3", 4") Wood (2x2x10) Plyboard (3/4") Nail (1", 2", 3") Rollers Plywood (1/4") Office table Executive chair Drawer Working table Chair Aircon w/ installation Wall fan Ceiling fan Computer table Cabinet S</t>
  </si>
  <si>
    <t xml:space="preserve"> Rehab of sledge trail Maconacon-Ballayangon West</t>
  </si>
  <si>
    <t xml:space="preserve"> Please see attached associated component.</t>
  </si>
  <si>
    <t xml:space="preserve"> 1 - Lot - Water Pump set with engine and mounted in a common frame. Pump size - 4" cast iron &amp; Suction with discharge pipe Engine - 8-Hp horizontal type water-cooled Accessories - 1-roll flexible hose. Must conform to the minimum requirements prescribe by</t>
  </si>
  <si>
    <t xml:space="preserve"> Supply and Delivery of Emulsified Asphalt (SS-1) and Asphalt Sealant</t>
  </si>
  <si>
    <t xml:space="preserve"> As soon as possible</t>
  </si>
  <si>
    <t xml:space="preserve"> Purchase of Bucket Truck Boom for the use of Barangay Bagumbuhay</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</si>
  <si>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</si>
  <si>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Renovation/rehabilitation of Omar Municipal Hall at Lahing-Lahing, Omar, Sulu</t>
  </si>
  <si>
    <t xml:space="preserve"> 1.	The Municipality of Caraga, through the 20% LGDF 2020 intends to apply the sum of Three Hundred Thousand  Pesos  (300,000.00) being the Approved Budget for the Contract (ABC) to payments under the contract for the  Construction of Multi-purpose Drying </t>
  </si>
  <si>
    <t xml:space="preserve"> Republic of the Philippines Province of Romblon MUNICIPALITY OF MAGDIWANG INVITATION TO BID PURCHASE OF FURNITURE AND FIXTURES Project ID No. 2020-18 June 29, 2020 The Municipality of Magdiwang, Romblon, through its Gen. Fund 2020 intends to apply the sum</t>
  </si>
  <si>
    <t xml:space="preserve"> Supply and Delivery of Various Maintenance Tools</t>
  </si>
  <si>
    <t xml:space="preserve"> Contract Location: FIRST DISTRICT OF ALBAY Brief Description: Concreting of Farm to Market Roads Source of Funds: GAA 2020 DPWH OUTSIDE INFRA The BAC is conducting the public bidding for this Contract in accordance with RA 9184 and its Implementing Rules </t>
  </si>
  <si>
    <t xml:space="preserve"> Supply and Delivery of Lubricants and Parts for Various Service Vehicle</t>
  </si>
  <si>
    <t xml:space="preserve"> BLGU-STALUCIA-AL-01-2020 CONCRETING OF BARANGAY ROAD PHASE II</t>
  </si>
  <si>
    <t xml:space="preserve"> Assorted Books Bond Paper Printer Ink (Per bottle) Computer set Computer tables &amp; chairs Bookshelf Printers</t>
  </si>
  <si>
    <t xml:space="preserve"> REQUEST FOR QUOTATION The Bureau of Jail Management and Penology — National  Headquarters  (BJMP- NHQ), through its Bids and Awards Committee, intends to procure Lease of Printer for BJMP-NHQ which will be undertaken in accordance with the 2016 Revised  I</t>
  </si>
  <si>
    <t xml:space="preserve"> Concreting of Road</t>
  </si>
  <si>
    <t xml:space="preserve"> Supply and Delivery of Emulsified Asphalt (SS-1)</t>
  </si>
  <si>
    <t xml:space="preserve"> Republic of the Philippines						 Province of Bukidnon						 Municipality of Lantapan						 						 INVITATION TO BID FOR THE PROCUREMENT OF SOUND 						 SYSTEM, OFFICE FURNITURES &amp; EQUIPMENT (2ND BID)						 						 1	The Local Government Unit of Lantapan t</t>
  </si>
  <si>
    <t xml:space="preserve"> Supply and Delivery of Asphalt Sealant</t>
  </si>
  <si>
    <t xml:space="preserve"> Republic of the Philippines Province of Guimaras OFFICE OF THE BIDS AND AWARDS COMMITTEE INVITATION TO BID FOR    SUPPLY AND DELIVERY OF DIESEL Bid Ref. No. 2020-03-148 Re-bid 1.	The Province of Guimaras , through the Fuel &amp; Oil Expenses (5-02-13-090) int</t>
  </si>
  <si>
    <t xml:space="preserve"> FINANCIAL PROPOSAL																								 NEGOTIATED PROCUREMENT																								 DUE TO TWO-FAILED BIDDINGS																								 																								 	Company Name 			:																				 	Address                			:																				 	</t>
  </si>
  <si>
    <t xml:space="preserve"> Supply and Delivery of Diesel Fuel for Graveling of 2 kilometers Barangay Roads 1. The Barangay Government of Linao Matalam Cotabato Province, through the Budget Approved by the Sanggunian intends to apply the sum of Two Hundred Thousand Pesos (Php200,000</t>
  </si>
  <si>
    <t xml:space="preserve"> Republic of the Philippines Province of Guimaras OFFICE OF THE BIDS AND AWARDS COMMITTEE INVITATION TO BID FOR    SUPPLY AND DELIVERY OF DIESEL AND GASOLINE Bid Ref. No. 2020-03-149 Re-bid 1.	The Province of Guimaras , through the 2020 Regular Budget- Fue</t>
  </si>
  <si>
    <t xml:space="preserve"> Purchase of various Janitorial Supplies of LBP Naga Rotunda branch</t>
  </si>
  <si>
    <t xml:space="preserve"> Supply and Delivery of Materials for use in Survey Activities</t>
  </si>
  <si>
    <t xml:space="preserve"> The AGRICULTURAL TRAINING INSTITUTE-REGIONAL TRAINING CENTER (ATI-RTC) X, through the 2020 General Appropriations Act intends to apply the sum of One Hundred Fifty Thousand Pesos (P 150,000.00) being the Approved Budget for the Contract (ABC) to payments </t>
  </si>
  <si>
    <t xml:space="preserve"> Republic of the Philippines Province of Guimaras OFFICE OF THE BIDS AND AWARDS COMMITTEE INVITATION TO BID FOR    SUPPLY AND DELIVERY OF ISOLATION TRANSFORMER Bid Ref. No. 2020-06-370 1.	The Province of Guimaras , through the Medical Equipment Outlay (1-0</t>
  </si>
  <si>
    <t xml:space="preserve"> Republic of the Philippines Province of Guimaras OFFICE OF THE BIDS AND AWARDS COMMITTEE INVITATION TO BID FOR    SUPPLY AND DELIVERY OF DIESOLINE Bid Ref. No. 2020-03-166 Re-bid 1.	The Province of Guimaras , through the General Fund (Fuel, Oil &amp; Lubrican</t>
  </si>
  <si>
    <t xml:space="preserve"> For the use of DORL-HNS</t>
  </si>
  <si>
    <t xml:space="preserve"> 1 unit Two Door Refrigerator 2 pcs Butane Stove 1 unit Exhaust Fan 1 set Seater Dinning Table</t>
  </si>
  <si>
    <t xml:space="preserve"> Republic of the Philippines Province of Guimaras OFFICE OF THE BIDS AND AWARDS COMMITTEE INVITATION TO BID FOR    SUPPLY AND DELIVERY OF DRUGS AND MEDICINES Bid Ref. No. 2020-06-368 1.	The Province of Guimaras , through the Medical, Dental &amp; Laboratory Ex</t>
  </si>
  <si>
    <t xml:space="preserve"> Republic of the Philippines BARANGAY SAN LUCAS OFFICE OF THE PUNONG BARANGAY BIDS AND AWARDS COMMITTEE INVITATION TO BID The Barangay Government of BARANGAY SAN LUCAS through its Bids and Awards Committee (BAC), invites suppliers/manufacturers/distributor</t>
  </si>
  <si>
    <t xml:space="preserve"> FOR PRINTING OF VMMC ID</t>
  </si>
  <si>
    <t xml:space="preserve"> FOR DES USE</t>
  </si>
  <si>
    <t xml:space="preserve"> For DES use</t>
  </si>
  <si>
    <t xml:space="preserve"> see attached</t>
  </si>
  <si>
    <t xml:space="preserve"> To be used by patients waiting outside the Medical Ambulatory Care Clinic</t>
  </si>
  <si>
    <t xml:space="preserve"> ***Purchase of School Supplies, Hardware/Construction Materials used for Bag-ong Ariosa Elementary School 230	pcs	Ballpen 300	pcs	Pencil 200	pcs	Notebook 50	pads	Intermediate Pads 100	pads	Writing Pad 100	pcs	Ruler 20	pcs	Scissors 100	pcs	Sharpener 1	unit</t>
  </si>
  <si>
    <t xml:space="preserve"> ***Purchase of School Supplies used for Simata Elementary School 178	pads	Writing Pad 102	pads	Intermediate Pad 320	pcs	Ruler 320	boxesCrayons 24 color 320	pcs	Scissors small 320	pcs	Sharpener Big 320	pcs	Pencil 165	pcs	Cartolina 15	rolls	Plastic Tape 2	u</t>
  </si>
  <si>
    <t xml:space="preserve"> Motorized Treadmill - 1 unit Stationary bike- 1 unit Table Tennis Set (complete table, post, net, rackets)- 1 unit Vinyl Dumbbell set (10 lbs) - 3 set Vinyl Dumbbell set (4 lbs) - 3 set Rowing Machine - 1 unit Race Bike Fitness Machine - 1 unit</t>
  </si>
  <si>
    <t xml:space="preserve"> Fire Extinguisher HCFC 123 (Refill) 2 lot</t>
  </si>
  <si>
    <t xml:space="preserve"> 12 Vial Anti A Typing Sera 10ml., 180T 12 Vial Anti B Typing Sera 10ml., 180T 12 Vial Anti D Typing Sera 10ml., 180T 10 Box Hematology Analyzer Mindray Diluent 20ltrs. 3 Pack TSH Rapid Test (20 test/kit) 50 Bot Urine Strips 10 SG 100 Strips 2 Set Wright G</t>
  </si>
  <si>
    <t xml:space="preserve"> Supply and Delivery of Tires for Stake Truck H2-367</t>
  </si>
  <si>
    <t xml:space="preserve"> 20-10215</t>
  </si>
  <si>
    <t xml:space="preserve"> PLEASE SEE ATTACHED REQUEST FOR QUOTATION IN THE ASSOCIATED COMPONENTS</t>
  </si>
  <si>
    <t xml:space="preserve"> Please see ASSOCIATED COMPONENTS for details.</t>
  </si>
  <si>
    <t xml:space="preserve"> 003-06-20</t>
  </si>
  <si>
    <t xml:space="preserve"> INVITATION TO BID FOR THE SALE OF UNSERVICEABLE PROPERTY OF DENR RIV-A (CALABARZON) LOCATED AT DENR RIV-A, BRGY. MAYAPA, CALAMBA, LAGUNA "AS IS WHERE IS BASIS" 1.	The Department of Environment and Natural Resources Region IV-A now invites bids for the sal</t>
  </si>
  <si>
    <t xml:space="preserve"> Items Quantity / Units 1.conference chair 12 units mesh office chair size:50cmx60cmx92cm 2.office table 40 pcs 1.0m office table melamine/scratch proof 100cmx49cmx76cm 3.office chair 40 pcs mesh office chair 69cmx49cmx88cm 4.training table 10 pcs size:180</t>
  </si>
  <si>
    <t xml:space="preserve"> Construction of Slope Protection Wall V =5.50 cu.m. Concreting of Pavement L = 33.60 m/ w = 22.40 m / t = 0.15 m 201 Aggregate Base Coarse V = 70.56 cu.m. compacted volume/ V = 84.67 cu.m. loose volume Portland Cement Concrete Pavement V = 112.90 cu.m./ A</t>
  </si>
  <si>
    <t xml:space="preserve"> Furnishing of tools, labor, equipment and other necessary documents for the completion of the above  project. The Works consist of: SPL A MOBILIZATION AND DEMOBILIZATION 100 CLEARING AND GRUBBING 102-A EXCAVATION (UNCLASSIFIED MATERIALS) 102-B EXCAVATION </t>
  </si>
  <si>
    <t xml:space="preserve"> Items Quantity / Units 1.bag 12000 pcs string back bag with print LOGO 3 colors size:14”x18” materials:pvc taffeta production shall be made at the gsad-Livelihood Center design shall be based on the City Branding lay-out shall be coming from PIO PRICE QUO</t>
  </si>
  <si>
    <t xml:space="preserve"> Republic of the Philippines PROVINCIAL GOVERNMENT OF EASTERN SAMAR Capitol Building, Borongan, Eastern Samar, 6800 Tel No. (055)-560-8312 E-mail Address: esamar.bac@gmail.com BIDS AND AWARDS COMMITTEE (BAC) INVITATION TO BID FOR OPENING OF ROAD, BRGY. CAN</t>
  </si>
  <si>
    <t xml:space="preserve"> 1	420	bags	Portland Cement	 2	330	pcs.	10mm dia. X 6m RSB	 3	30	pcs.	16mm dia. X 6m RSB	 4	1,000	pcs.	5" CHB	 5	55	kgs.	#16 Tie Wire	 6	5	pcs.	1/4" thk Phenolic Plywood	 7	4	kgs.	Assorted CWN	 8	200	bd.ft.	Lumber	 X X X X X X X X X X X X X X X X X X X</t>
  </si>
  <si>
    <t xml:space="preserve"> ****Purchase of Office/Pupil's/Teacher's Supplies, Hardware and Construction Materials used for Blancia Central School 900	pcs	Writing Notebook 10	pcs	Ballpen 12	pads	Writing Pad 5	reams	Bondpaper 225	pcs	Pencil 48	reams	Bondpaper 16	pcs	Stappler #35 16	b</t>
  </si>
  <si>
    <t xml:space="preserve"> 1.Laptop Equipment (3) unit Specifications: Intel core i3 -7020U (2.3 GHz) 4Gb DDR4 Memory 1TB+128GB SSD 15.6" HD Screen Windows 10 Wifi/Cam/FPR Bluetooth 2.Laptop Computer (1) unit Specifications: AMD Ryzen 7-3750H (2.3GHz) 8GB Memory  1TB HDD+512GB SSD </t>
  </si>
  <si>
    <t xml:space="preserve"> 1	Portland Cement			95	bags 2	 Sand			4	cu.m. 3	Gravel			8	cu.m. 4	Form Good Lumber - 4 Usage			350	bd. Ft. 5	75mm diameter G.I. Pipe			525	m 6	G.I. Flat Bar 1 1/2" x 1/8"			875	kg. 7	G.I. Bolts w/ Nuts &amp; Washer , 5mm diameter			525	pcs. 8	G.I. Bolts w/ N</t>
  </si>
  <si>
    <t xml:space="preserve"> City Engineer's Office P.R. No. : 2020-03-1944 Date: 03/17/2020 1 15 roll 1 1/4" dia. PE pipes, SDR-11, 60m 80,280.00 2 15 roll 1" dia" PE pipes SDR 11, 100m 84,000.00 3 15 roll 3/4" PE pipes SDR 11, 150m 77,670.00 4 10 roll 1/2" PE pipes SDR 11, 150m 32,</t>
  </si>
  <si>
    <t xml:space="preserve"> Unit 	Printer	3	2,495.00	7,485.00 	Print Speed:Black - 7.0 ppm, Color - 4.8 ppm			 	Paper Input(Standard Tray): Up to 80-sheets			 	Paper Handling Sizes: A4, Letter, Legal, B5,A6,DL envelope</t>
  </si>
  <si>
    <t xml:space="preserve"> Furnishing of tools, labor, equipment and other necessary documents for the completion of the above project. The Work consist of: 103 EMBANKMENT 404 REINFORCING STEEL 405 STRUCTURAL CONCRETE 505 GROUTED RIPRAP SPL A BILLBOARD/TARPAULIN Invitation to Re- B</t>
  </si>
  <si>
    <t xml:space="preserve"> City Engineer's Office P.R. No. : 2020-05-2404 Date: 05/20/2020 1 28.14 cu.m. I. Hardearth excavation 7,768.61 2 80.4 sq.m. II. Sub-grade preparation 7,962.01 3 12.06 cu.m. III. Aggregate Base Coarse 30,137.58 4 80.4 sq.m. IV. PCCP 213,988.62 5 12 ln.m. V</t>
  </si>
  <si>
    <t xml:space="preserve"> REQUEST FOR QUOTATION For Shopping Procurement under Sec. 52 of the Revised IRR of RA 9184 Quotation No.:  2020-06-219 Date: June 30, 2020 PR No.: 20-06-235 (i.1, &amp; 3-11) PR Date: June 22, 2020 The Metropolitan Tuguegarao Water District (MTWD) is pleased </t>
  </si>
  <si>
    <t xml:space="preserve"> Concreting Works V = 3.00 cu.m. Masonry Works Rebarworks</t>
  </si>
  <si>
    <t xml:space="preserve"> 1.Diesel (9,000) liters 2.Gasoline (3,000) liters xxxxxxxx</t>
  </si>
  <si>
    <t xml:space="preserve"> WELFARE GOODS EXPENSES</t>
  </si>
  <si>
    <t xml:space="preserve"> Including LTO Registration 					 With rain gutter/visor, tint, floor mats, seat covers, set of tools,  WARRANTY					 ENGINE:					 Type: 4 cylinder In-line, DOHC 16 valve, variable nozzle turbo (VNT) with front mounted intercooler					 Maximum Output (Hp/R</t>
  </si>
  <si>
    <t xml:space="preserve"> Specs: 3  units  Misting Sprayer (chargeable/manual) 40  bxs/50's  Surgical mask 30  bxs/100's Gloves (large &amp; medium) 50  liters  Alcohol 24  pcs.  PPE (overall washable)</t>
  </si>
  <si>
    <t xml:space="preserve"> REPUBLIC OF THE PHILIPPINES PROVINCE OF NEGROS OCCIDENTAL MUNICIPALITY OF MOISES PADILLA Barangay Montilla Bids and Awards Committee June 30, 2020 INVITATION TO BID FOR THE REPAIR &amp; MAINTENANCE OF WATER SUPPLY SYSTEM 1.	The Barangay of Montilla through th</t>
  </si>
  <si>
    <t xml:space="preserve"> Stantard From Title:   Purchase Request					 					 					 					 					 Department: 		MDRRMC	PR No.:		 					 					 					 	unit	Description	QTY	ESTIMATED 	TOTAL 				UNIT COST	ESTIMATED COST 1	pcs	Sinigang Mix	20		 2	pc	Ajinomoto	1		 3	pc	Pineapple	1		 4	kls	B</t>
  </si>
  <si>
    <t xml:space="preserve"> INVITATION TO APPLY FOR ELIGIBILITY AND TO BID The local Government Unit of Can-avid, through is Bid and Awards Committee (BAC). Invites suppliers to apply for eligibility, to bid for the hereunder contract: Name of Contract: 	PURCHASE AND DELIVERY OF HAR</t>
  </si>
  <si>
    <t xml:space="preserve"> 1  unit  External Drive ( 1 Tera )</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</si>
  <si>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</si>
  <si>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The City Government of San Pedro, Laguna invites interested parties to quote for the following item/s as per request OM: Qty.	Unit of Issue	Item Description 5	pail	Semi gloss paint (White) 5	pail	Semi gloss paint (Yellow) 5	pail	Semi gloss paint (Blue) Fo</t>
  </si>
  <si>
    <t xml:space="preserve"> 200 Vial Ampicillin 250mg. I.M./I.V. 200 Vial Ampicillin 500mg. I.M./I.V. 300 Vial Ceftriaxone 1g. IM./I.V. 500 Vial Cefuroxime 750mg. IM/IV 200 Amp Epinephrine 1ml. I.V. 100 Vial Omeprazole 40mg/ml. IM/IV</t>
  </si>
  <si>
    <t xml:space="preserve"> Delivery of construction materials</t>
  </si>
  <si>
    <t xml:space="preserve"> Specs: 465  pcs  Facemask 468  pcs  Shirt</t>
  </si>
  <si>
    <t xml:space="preserve"> Specs: 1  unit  HP15S-DU0044TX silver-Intel Core i7 - 8565U processor (8M cache, up to 4.60 Ghz) 8GB DDR4 - 2400 SDRAM (1x8GB) 2TB 5400 rpm SATA, NO OOD, windows 10, 3 cel, 41 Wh Li-ino, 15.6 in diagonal FHD IPS anti glare micro edge WLED - backlit 1920 x</t>
  </si>
  <si>
    <t xml:space="preserve"> Item	QTY.	UNIT	PARTICULARS / DESCRIPTION AND SPECIFICATIONS		APPROVED	UNIT PRICE	 NO.					UNIT COST		 1			 Monday, July 6, 2020 				 	375	 pax 	 AM Snacks 		 80.00 		 			 Tuna spaghetti, Fresh Juice 				 							 	375	 pax 	 Lunch 		 180.00 		 			 Pork Afr</t>
  </si>
  <si>
    <t xml:space="preserve"> See attached rfq</t>
  </si>
  <si>
    <t xml:space="preserve"> City Engineer's Office P.R. No. : 2020-05-2430 Date: 05/27/2020 1 3.57 cu m I. EARTHWORKS 6,516.46 2 7.41 cu m II. CONCRETE WORKS 140,802.60 3 .97 sq m III. MASONRY WORKS 6,541.53 4 60.09 sq m IV. WALL &amp; DOOR 255,955.16 5 1 lot V. ELECTRICAL WORKS 7,363.7</t>
  </si>
  <si>
    <t xml:space="preserve"> 1.2"x3"x8" Coco Lumber (12) bdft. 2.1/2" Thk. ordianry pl;ywood (1) pcs 3.Assorted CWN (1) kgs 4.G. I. H-frame, sch. 40 (4) sets 5.1" thk x 4" x 8" plyboard (catwalk / platform) (3) pcs 6.Portland cement (2) bags 7.Washed sand (0.1) cu.m 8Crushed gravel  </t>
  </si>
  <si>
    <t xml:space="preserve"> Please quote your lowest price on the SUPPLY AND DELIVERY OF FUEL AND LUBRICANTS FOR VICE MAYOR’S OFFICE  as specified below and submit your quotation duly signed by your representative not later than 2pm of                  JULY 8, 2020 				 					 						</t>
  </si>
  <si>
    <t xml:space="preserve"> Republic of the Philippines DEPARTMENT OF HEALTH DR. JOSE RIZAL MEMORIAL HOSPITAL Lawaan, Dapitan City Telefax; (065) 213-6421 Website: www.djrmh.doh.gov.ph Email: dohdjrmh@gmail.com BIDS AND AWARDS COMMITTEE INVITATION TO BID PROCUREMENT OF IT EQUIPMENT </t>
  </si>
  <si>
    <t xml:space="preserve"> City Engineer's Office P.R. No. : 2020-05-2377 Date: 05/13/2020 1 13.84 cu.m I. Excavation 27,733.15 2 1.8 cu.m II. Concrete Works 35,067.44 3 24.6 sq.m III. Masonry Works with Plastering 37,851.28 4 1 unit IV. PE Water Tank and Pipeline 275,827.13 5 1 lo</t>
  </si>
  <si>
    <t xml:space="preserve"> MEDICAL, DENTAL AND LABORATORY SUPPLIES EXPENSES</t>
  </si>
  <si>
    <t xml:space="preserve"> ITEM      UNIT      QTY       DESCRIPTION</t>
  </si>
  <si>
    <t xml:space="preserve"> Furnishing of tools, labor, equipment and other necessary documents for the completion of the above project. The Work Consist of: SPL 1 PROJECT BILLBOARD I. HAULING OF MATERIALS II. FOOTBRIDGE III. GROUTED RIPRAP Invitation to Re-Bid for the COMPLETION OF</t>
  </si>
  <si>
    <t xml:space="preserve"> 1.Van Rental (20) day xxxxxxxxxxxx</t>
  </si>
  <si>
    <t xml:space="preserve"> Supply of Labor and Materials for Roofing Works  (See attached PoW)</t>
  </si>
  <si>
    <t xml:space="preserve"> General Merchandise PF-0620-617</t>
  </si>
  <si>
    <t xml:space="preserve"> INVITATION TO BID FOR  Procurement of One Unit Brand New Pick-Up Type Vehicle The Municipality of Banaybanay, through the 2020 Annual Budget intends to apply the sum of One Million Two Hundred Fifty Thousand Pesos (Php 1,250,000.00) being the Approved Bud</t>
  </si>
  <si>
    <t xml:space="preserve"> For the use of Supply Section</t>
  </si>
  <si>
    <t xml:space="preserve"> The TARLAC AGRICULTURAL UNIVERSITY, through its Bids and Awards Committee (BAC), invites all suppliers and dealers to submit sealed quotation for the “PURCHASE OF MESH NETS TO BE USED IN THE CONSTRUCTION OF NETHOUSES FOR THE DA-ACEF PROJECT". 40 roll 32 x</t>
  </si>
  <si>
    <t xml:space="preserve"> Please quote your lowest price on the items listed in the Request for Quotation, subject to the Specification and Terms and Conditions provided therein, stating the shortest time of delivery and submit your quotation in the box located at Procurement Sect</t>
  </si>
  <si>
    <t xml:space="preserve"> 1 UNIT SOUND SYSTEM, LAPEL MICROPHONE: CLEAR AUDIO UNIT AND LOW HANDLING NOISE, FREQUENCY RANGE; 20 Hz- 20 KHz, OMNIDIRECTIONAL-PICK UP FROM ALL SIDES EQUALLY . 1 UNIT SOUND SYSTEM, PUBLIC ADDRESS SYSTEM; PORTABLE microphone/line input: electronically bal</t>
  </si>
  <si>
    <t xml:space="preserve"> 1.Toner Cartridge - Black CB435 ABN / TNT 511 (5) cart.</t>
  </si>
  <si>
    <t xml:space="preserve"> Repair of Damaged walls, construction of concrete columns, replacement of partition wall to folding wall, replacement of main doors &amp; CR doors and Painting of Interior and exterior wallings.</t>
  </si>
  <si>
    <t xml:space="preserve"> Materials/Supplies</t>
  </si>
  <si>
    <t xml:space="preserve"> THE NATIONAL IRRIGATION ADMINISTRATION-SCIMO, THROUGH THE FUND 501 HAS THE APPROVED BUDGET FOR THE CONTRACT (ABC) AMOUNTING   SEVENTY-TWO THOUSAND FOUR HUNDRED FORTY PESOS ONLY (72,440.00).   QUOTATION RECEIVED IN EXCESS OF THE ABC SHALL BE AUTOMATICALLY </t>
  </si>
  <si>
    <t xml:space="preserve"> INVITATION TO BID FOR  Procurement of Goods [Supply and Installation of Close Circuit Television Security] (REBID) The   City Government of Tagbilaran,   through the Appropriation Ordinance No. 19-05 for FY 2020, intends to apply the sum of Nine Hundred E</t>
  </si>
  <si>
    <t xml:space="preserve"> Items Quantity / Units 1.ballpen 20 boxes 50pcs/box 2.bond paper 100 reams A4 size 3.bond paper 100 reams Long 80 gsm 4.correction tape 50 pcs 5.paper clip 100 boxes Gem type, vinyl coated 6.printer ribbon 50 cart Epson lq2180 7.printer ribbon 50 cart Eps</t>
  </si>
  <si>
    <t xml:space="preserve"> FOR HEMODIALYSIS USE</t>
  </si>
  <si>
    <t xml:space="preserve"> Labor and Materials</t>
  </si>
  <si>
    <t xml:space="preserve"> 1 UNIT SOUND SYSTEM, FOR INDOOR USE, 12 CHANNEL ANALOG MIXER, 2X 15" SPEAKER, 750W @ 4.0 OHMS POWER AMPLIFIER, WITH 2 SETS WIRELESS MICROPHONES, 2 UNITS WIRED DYNAMIC MICROPHONE, 2 UNITS MICROPHONE STAND, DVD PLAYER, EQUIPMENT RACK AND WIRES, CABLES AND C</t>
  </si>
  <si>
    <t xml:space="preserve"> 2 units SUBMERSIBLE PUMP, “Grundfos” SP 30-3, 30 M3/hr rated cap. @ 50meter TDH coupled with Submersible Motor “Franklin”, 5HP, 440VAC, 3 Phase with standard submersible cable lead wire 2 units SUBMERSIBLE PUMP, Grundfos”SP 60-4, 57.6 M3/hr rated cap. @ 4</t>
  </si>
  <si>
    <t xml:space="preserve"> BIDS AND AWARDS COMMITTEE Dated: June 30, 2020 REQUEST FOR QUOTATION The Municipality of Sison, through the Municipal Bids and Awards Committee, now invites sealed Bids from eligible Bidders for the project; School Repainting @ Sison, Surigao del Norte. B</t>
  </si>
  <si>
    <t xml:space="preserve"> LOCATION:  SITIO RANGTAY SITIO CAVITE SITIO PURAW</t>
  </si>
  <si>
    <t xml:space="preserve"> Republic of the Philippines			 Province of Surigao del Norte			 Municipality of Gigaquit			 			 OFFICE OF THE BIDS AND AWARDS COMMITTEE (BAC)			 			 Date:June 30,2020			 			 INVITATION TO APPLY FOR ELIGIBILITY AND TO BID			 			 A. Construction of FMR-Brgy</t>
  </si>
  <si>
    <t xml:space="preserve"> Communication Equipment PF-0220-169</t>
  </si>
  <si>
    <t xml:space="preserve"> Communication Equipment PF-0220-168</t>
  </si>
  <si>
    <t xml:space="preserve"> Clinical Laboratory use LGU Cabagan Cabagan, Isabela</t>
  </si>
  <si>
    <t xml:space="preserve"> Fifteen (15) scks Rice 50kls and three (3) other L/I</t>
  </si>
  <si>
    <t xml:space="preserve"> INVITATION TO BID FOR THE  PURCHASE OF ONE (1) UNIT BRAND NEW CRAWLER EXCAVATOR WITH BREAKER LINE AND BUCKET CAPACITY OF 0.50 CU.M. 1.	The Municipal Government of San Sebastian, through the General Fund-20% EDF FY 2019 (Continuing Appropriation) intends t</t>
  </si>
  <si>
    <t xml:space="preserve"> Specs: 2   units  External hard drive 2.5" HDD, 2TB, USB 3.0 5   units  APC Back UPS BX650LI-MS 325W 650VA with AVR universal socket 1   unit   Epson L360 all-in-one ink tank printer 1   unit   LED monitor 19" 1   unit   Laptop: Aspire 3 A315-53G-599B - o</t>
  </si>
  <si>
    <t xml:space="preserve"> PHILIPPINE BIDDING DOCUMENTS (As Harmonized with Development Partners) RE BIDDING - MATERIALS AND APPARATUS NEEDED IN THE CMS CENTRALIZE MONITORING SYSTEM BIDDING Government of the Republic of the Philippines TABLE OF CONTENTS SECTION I. INVITATION TO BID</t>
  </si>
  <si>
    <t xml:space="preserve"> FOR THE GOOD OF RATIFICATION AND SIGNING OF THE REVISED GUIDELINES IN THE SELECTIONS OF IPMRs IN THE MUNICIPALITY OF CALATRAVA ON JULY 7, 2020</t>
  </si>
  <si>
    <t xml:space="preserve"> Fifteen (15) scks Rice 50kls and five (5) other L/I</t>
  </si>
  <si>
    <t xml:space="preserve"> Steel Fibered Movable Basketball Board</t>
  </si>
  <si>
    <t xml:space="preserve"> PURCHASE OF ONE (1) UNIT BRAND NEW 4X4 MINI DUMPTRUCK WITH 5-6 CU.M. CAPACITY  1.	The Municipal Government of San Sebastian, through the General Fund-20% EDF FY 2019 (Continuing Appropriation) intends to apply the sum of TWO MILLION FIVE HUNDRED THOUSAND </t>
  </si>
  <si>
    <t xml:space="preserve"> INVITATION TO RE-BID FOR Motor Vehicle  (Name of Project)    1.	The CITY GOVERNMENT OF ZAMBOANGA, through the AB FY 2019 intends to apply for re-bid the sum of ONE MILLION SEVEN HUNDRED THOUSAND PESOS (P1,700,000.00) ONLY being the Approved Budget for the</t>
  </si>
  <si>
    <t xml:space="preserve"> Republic of the Philippines Province of Misamis Oriental Municipality of Initao Invitation to Bid  CONCRETING OF TUBIGAN-BOBUTAN FARM-TO-MARKET ROAD  1.	The Municipal Government of Initao, Misamis Oriental, through Trust Fund intends to apply the sum of F</t>
  </si>
  <si>
    <t xml:space="preserve"> Republic of the Philippines Province of Leyte Municipality of Hilongos BARANGAY PA-A REQUEST FOR QUOTATION _____________ Date  _______________________ _______________________                                Please quote your lowest price on the items/liste</t>
  </si>
  <si>
    <t xml:space="preserve"> Ten (10) sacks Rice 50kgs and seven (7) other L/I</t>
  </si>
  <si>
    <t xml:space="preserve"> Republic of the Philippines Province of Cotabato Municipality of Arakan BIDS AND AWARDS COMMITTEE REQUEST FOR QUOTATION  	SUPPLY OF AIRCONDITION &amp; ELECTRIC POT FOR SB The Local Government Unit of Arakan is inviting interested suppliers to submit price quo</t>
  </si>
  <si>
    <t xml:space="preserve"> Please quote your lowest price on the item/s listed below, stating the shortest time of delivery and						 submit your quotation duly signed by your representative not later than July 06, 2020 5PM.						 						 				Orlando A. Aycardo		 				Canvasser		 	No</t>
  </si>
  <si>
    <t xml:space="preserve"> Sir/Madam:																																		 																																		 Please quote your government price/s including delivery charges, VAT or other applicable taxes, and other incidental expenses for the goods listed in Annex A.  Failure to indi</t>
  </si>
  <si>
    <t xml:space="preserve"> See attached file</t>
  </si>
  <si>
    <t xml:space="preserve"> I      SURFACE LEVELING II     STRUCTURE EXCAVATION III    FORM WORKS AND SCAFFOLDING IV    CONCRETE WORKS "CLASS A" V     REINFORCING STEEL BARS VI   STEEL TRUSSES VII  INSTALLATION OF C-PURLINS VIII PAINTING OF TRUSSES AND PURLINS (TWO COATING) IX   TIN</t>
  </si>
  <si>
    <t xml:space="preserve"> ITEM NO. QUANTITY UNIT ITEM DESCRIPTION 1 4 PCS. BIND - (70 PAGES) 2 21 PCS. BIND - (100-250 PAGES) 3 7 PCS. BIND - (300-400 PAGES) 4 1 PC. TARPAULIN - 4X15FT, WITH EYELET 5 28 PCS. TARPAULIN - 4X6.5 FT, WITH EYELET</t>
  </si>
  <si>
    <t xml:space="preserve"> Republic of the Philippines National Kidney and Transplant Institute Bids and Awards Committee East Avenue, Quezon City 1100 981-0300 / 981-0400 local 1157 http://www.nkti.gov.ph/	 INVITATION TO BID for the ITB No. 20-052 ONE (1) LOT SUPPLY AND DELIVERY O</t>
  </si>
  <si>
    <t xml:space="preserve"> Republic of the Philippines														 PROVINCE OF ZAMBOANGA SIBUGAY														 Municipality of Payao														 														 INVITATION TO BID														 										PR2020-06-29-075				 The Local Government Unit of Payao, Zamboanga Sibugay, </t>
  </si>
  <si>
    <t xml:space="preserve"> Republic of the Philippines PROVINCIAL GOVERNMENT OF EASTERN SAMAR Capitol Building, Borongan, Eastern Samar, 6800 Tel No. (055)-560-8312 E-mail Address: esamar.bac@gmail.com BIDS AND AWARDS COMMITTEE (BAC) INVITATION TO BID FOR THE  PROCUREMENT OF COMPAC</t>
  </si>
  <si>
    <t xml:space="preserve"> 1 Set CAESARIAN SECTION INSTRUMENT SET WITH STERILIZING TRAY Contents: 12 Pcs Sponge Holding Forceps 9 1/2" Straight 12 Pcs Backhaus Towel Clamp 5 1/4" 1 Pc Knife Handle #3 1 Pc Knife Handle #4 1 Pc Knife Handle #7 1 Pc Knife Handle #3L 1 Pc Mayo Dissecti</t>
  </si>
  <si>
    <t xml:space="preserve"> Please quote your lowest price on the items listed on the Request for Quotation, subject to the Specifications, Terms and Conditions provided therein, stating the shortest time of delivery and submit your quotation in the box located at Procurement Sectio</t>
  </si>
  <si>
    <t xml:space="preserve"> Purchase of Communication Parts and Accessories for MDRRM use.</t>
  </si>
  <si>
    <t xml:space="preserve"> INVITATION TO BID FOR  Procurement of Goods [Medicines] The   City Government of Tagbilaran,   through the Appropriation Ordinance No. 19-05 for FY 2020, intends to apply the sum of Eight Hundred Ninety One Thousand Six Hundred Sixty Pesos and Seventy Cen</t>
  </si>
  <si>
    <t xml:space="preserve"> Sound System</t>
  </si>
  <si>
    <t xml:space="preserve"> 2. Procurement ID/Contract ID:	RFQ-014-2020 Contract Name:	PROCUREMENT OF MULTI-FUNCTION COPIER TO BE USED IN DPWH, CAPIZ 1ST DISTRICT ENGINEERING OFFICE ASSIGNED AT FINANCE SECTION.	 Contract Location:	DPWH-CAPIZ 1ST DEO, KM. 1, ROXAS CITY Brief Descript</t>
  </si>
  <si>
    <t xml:space="preserve"> Pag-IBIG FUND Tuguegarao Branch Office Editha Tuddao Bldg., Balzain Road, Tuguegarao City, Cagayan REQUEST FOR QUOTATION SUPPLY AND DELIVERY OF THREE (3) UNITS BRAND NEW 3-IN-1 PRINTERS  FOR Pag-IBIG FUND, TUGUEGARAO HUB  The Pag-IBIG Fund (HDMF) is invit</t>
  </si>
  <si>
    <t xml:space="preserve"> 3 roll - service drop wire #6 371 meters - service drop wire # 6 30 pcs. - secondary rock single w/spool 3 boxes - phelps dodge THHN 12 10 pcs. - Armak elec. tape B. xxxxxx</t>
  </si>
  <si>
    <t xml:space="preserve"> 6 units Jetmatic Pump and other items for use in various water services activities.</t>
  </si>
  <si>
    <t xml:space="preserve"> INVITATION TO BID FOR SUPPLY, DELIVERY AND INSTALLATION OF LOCAL NETWORK INFRASTRUCTURE FOR DSWD FIELD OFFICES —  ITB NO. GOP/20-DSWD-043 — (PR NO. 01-20001-PR-2020-03-00126) 1. The Department of Social Welfare and Development (DSWD), through the DSWD Fun</t>
  </si>
  <si>
    <t xml:space="preserve"> Fifteen (15) sacks Rice 50kls and seven (7) other L/I</t>
  </si>
  <si>
    <t xml:space="preserve"> Republic of the Philippines PROVINCIAL GOVERNMENT OF EASTERN SAMAR Capitol Building, Borongan, Eastern Samar, 6800 Tel No. (055)-560-8312 E-mail Address: esamar.bac@gmail.com BIDS AND AWARDS COMMITTEE (BAC) INVITATION TO BID FOR THE  PROCUREMENT OF BROADC</t>
  </si>
  <si>
    <t xml:space="preserve"> Construction of Picnic Sheds at Macalong Fishing Ground (SWIP area), Asingan, Pangasinan.</t>
  </si>
  <si>
    <t xml:space="preserve"> INVITATION FOR PRICE QUOTATION Date:  June 30, 2020 For The PROVISION OF BREASTFEEDING ROOM    The Civil Aviation Authority of the Philippines (CAAP) intends to apply the estimated amount of  One Hundred Eighty Nine Thousand Thirty One Pesos &amp; 50/100 (₱ 1</t>
  </si>
  <si>
    <t xml:space="preserve"> PHO-NC-2020-129 REQUEST FOR QUOTATION FOR THE PROCUREMENT OF VARIOUS IT SOFTWARE, EQUIPMENT, AND MATERIALS FOR IHOMIS PROVISION OF INTERNET SECURITY, VARIOUS OFFICE IT EQUIPMENT, GMPH, TALIBON, BOHOL COST OF CANVASS: P 400.00</t>
  </si>
  <si>
    <t xml:space="preserve"> Procurement of Personal Protective Equipment Sets and Other Relevant Materials, for Use of Security Guards, Utility Workers, and Liaison Officer - 12 sets Personal Protective Equipment with Gloves, Goggles, Shoe Covers, Cover-All, Face Shief, Mask - 10 bo</t>
  </si>
  <si>
    <t xml:space="preserve"> 184	Sheet	Roofing sheet, Corrugated, Galvanized Iron, Ga. 24, 36 in. x 8 ft. 15	Kg	Nail, Umbrella Type, 2 ½ in 18	Gal	Paint, Primer, Red Oxide 21	Gal	Paint, Roofing, 4 liters, Baguio Green 69	Gal	Paint, Latex (high quality standard) 69	Gal	Paint, Enamel (</t>
  </si>
  <si>
    <t xml:space="preserve"> Republic of the Philippines Province of Batanes	 MUNICIPALITY OF BASCO               INVITATION FOR NEGOTIATED PROCUREMENT  Project Reference No. : 100-3-03-20% DF (PY) Name of Project	      : Inst. &amp; Maint. of Streetlighting System Location of Project	Ba</t>
  </si>
  <si>
    <t xml:space="preserve"> 3. Procurement ID/Contract ID:	SH-009-2020 Contract Name:	PROCUREMENT OF AIR CONDITIONING UNIT FOR ADMINISTRATIVE SECTION – SUPPLY, PROPERTY &amp; GENERAL SERVICES UNIT OF DPWH, CAPIZ 1ST DEO COMPOUND. Contract Location:	DPWH-CAPIZ 1ST DEO, KM. 1, ROXAS CITY </t>
  </si>
  <si>
    <t xml:space="preserve"> Construction of Laying House at Barangay Bangon, Aroroy, Masbate</t>
  </si>
  <si>
    <t xml:space="preserve"> Republic of the Philippines Province of Cotabato Municipality of Arakan BIDS AND AWARDS COMMITTEE INVITATION TO BID FOR  CONCRETING OF MUNICIPAL STREET  ( MIGUEL TUBLE ST-  T. NOMBREDA ST.) 1.	The Local Government Unit of Arakan, through the GENERAL   FUN</t>
  </si>
  <si>
    <t xml:space="preserve"> 4 pcs Detergent Powder with Fabric Conditioner, 900g 14 pair Rubber Gloves Length 12" 6 pair Rubber Gloves Length 15" 1 can Insect Repellent 8 gallon Alcohol Ethyl 70% 48 sachet Fabric Conditioner Liquid, Scented, 20ml 20 container Mineral Water Round 20 </t>
  </si>
  <si>
    <t xml:space="preserve"> INVITATION TO RE-BID FOR Technical and Scientific Equipment  (Name of Project)    1.	The CITY GOVERNMENT OF ZAMBOANGA, through the AB FY 2020 intends to apply for re-bid the sum of ONE MILLION THREE HUNDRED FORTY THOUSAND PESOS (P1,340,000.00) ONLY being </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</si>
  <si>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</si>
  <si>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1 Bumper Repair and Repaint 1 Fuel Pump 1 Power Steering Hose with Hoseclamp 1 Fuel Filter 1 Oil Filter 1 Power Steering Fluid 1 Eco Gear 1 Strainer/Washer 1 Thermo Switch 7 ltrs Engine Oil 1 Wiper 1 Bulb 1 Door Visor 1 Aircon Cleaning 1 Timing Belt with </t>
  </si>
  <si>
    <t xml:space="preserve"> 2. Procurement ID/Contract ID:	SH-008-2020 Contract Name:	PROCUREMENT OF PGS STRATEGY MAP EFFIGY AND KONKRETO 2022 BUILT UP LOGO (Stand-up Sign)	 Contract Location:	DPWH-CAPIZ 1ST DEO, KM. 1, ROXAS CITY Brief Description:	PROCUREMENT OF STANDUP SIGN Appro</t>
  </si>
  <si>
    <t xml:space="preserve"> Item	QTY.	UOM	PARTICULARS / DESCRIPTION AND SPECIFICATIONS		APPROVED	BRAND NAME NO.					UNIT COST	 1	2	unit	Airconditioner, Inverter, Split Type, (5TR)		115,000.00	 			(2-units-CON)			 			Conditions:			 			*Free 10 feet pipe installation per unit.			 			*</t>
  </si>
  <si>
    <t xml:space="preserve"> 1 unit  Desktop Computer(Digital Age,AMD powerful A8 Quad,Crore processor 1  unit Epson L565 All in One Ink Tank Printer 1 unit Epson LCD Projector (Digi serv Solution Epson S41/EB S31 1 unit HP core i5 Laptop 15..6 inches (LED screen RAM 8gd ,HDD 2 TB) 1</t>
  </si>
  <si>
    <t xml:space="preserve"> Seven (7) sks Rice 50kls and five (5) other L/I</t>
  </si>
  <si>
    <t xml:space="preserve"> Supply &amp; Delivery of Printing Supplies @ NIA CBIMO Maddarulug, Solana, Cagayan</t>
  </si>
  <si>
    <t xml:space="preserve"> Purchase of Anti- Rabies vaccine for RHU I use, Botolan, Zambales</t>
  </si>
  <si>
    <t xml:space="preserve"> NOTICE OF ALTERNATIVE METHODS OF PROCUREMENT Notice is hereby given that this office will conduct Small Value Procurement in accordance with Section 53.9 of the Revised Implementing Rules and Regulations of RA 9184. Contractors/Suppliers/ Consultants of k</t>
  </si>
  <si>
    <t xml:space="preserve"> 15 Pcs Dust Mop 25 Pcs Floor Wiper 25 Pcs Window Wiper 100 Pcs Anti Slip Mat Rubber, Heavy Duty 100 Pcs Trash Bin (Swing 50-60 Liter) 100 Pcs Trash Bin (Swing 40-50 Liter) 10 Units Mop Squeezer 10 Pcs Wet Floor Caution Sign 1 Unit Floor polisher (Heavy Du</t>
  </si>
  <si>
    <t xml:space="preserve"> The Barangay Malalinta, Tuao Cagayan through its Provincial Aid fund intends to apply the sum of Php 73.385.00 being the Approved Budget for the Contract (ABC) to payments under the contract for Procurement of Materials for Installation of the Solar Stree</t>
  </si>
  <si>
    <t xml:space="preserve"> The Barangay Malalinta, Tuao Cagayan through its 20% Barangay Dev't Fund intends to apply the sum of                   Php 54,954.00  being the Approved Budget for the Contract (ABC) to payments under the contract for  Procurement of Materials for the Con</t>
  </si>
  <si>
    <t xml:space="preserve"> 2  unit  PTZ Camera /2.8” 2 Megapixel             Starvis CMOS ,Powerful 25 x optical zoom            Starlight Technology ,Max 25/30 fps @ 1080P            IR distance up to 100m,IP66 1 unit  NVR4K Series DVR,8 MP Preview,80 Mbps Bandwidth 1 pcs  1 TB Su</t>
  </si>
  <si>
    <t xml:space="preserve"> Republic of the Philippines Province of Cotabato Municipality of Arakan BIDS AND AWARDS COMMITTEE REQUEST FOR QUOTATION  	SUPPLY OF DOUBLE GLASS DOOR  FOR SB The Local Government Unit of Arakan is inviting interested suppliers to submit price quotation to</t>
  </si>
  <si>
    <t xml:space="preserve"> IT Equipment</t>
  </si>
  <si>
    <t xml:space="preserve"> Please see attached files.</t>
  </si>
  <si>
    <t xml:space="preserve"> see attached associated component documents</t>
  </si>
  <si>
    <t xml:space="preserve"> The Local Government Unit of Santa Fe, Nueva Vizcaya, through its Bids &amp; Awards Committee invites contractors to bid for the following project: Contract Name: Procurement of Base Radio and Antenna Tower (Supply, delivery, engineering and programming inclu</t>
  </si>
  <si>
    <t xml:space="preserve"> LOCATION: SITIO MORO I. EXCAVATION WORKS II. MASONRY WORKS SPL CONSTRUCTION SAFETY &amp; HEALTH</t>
  </si>
  <si>
    <t xml:space="preserve"> CONSTRUCTION OF TWO LAYER OPEN CANAL @ BLK. 219 PUROK 10</t>
  </si>
  <si>
    <t xml:space="preserve"> OPA-RASS-NC-2020-0344 REQUEST FOR QUOTATION FOR THE PROCUREMENT OF PVC PIPES, PVC PIPE CLEAN OUT SET, PVC ELBOW, AND PVC PIPE SOLVENT FOR THE ESTABLISHMENT OF SMALL FARM RESERVOIR AS SOIL AND WATER CONSERVATION STRUCTURES AND FOR IRRIGATION PURPOSES TO IM</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</si>
  <si>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</si>
  <si>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1. Procurement ID/Contract ID:	SH-007-2020 Contract Name:	PROCUREMENT OF FUEL, OIL AND LUBRICANTS FOR USE IN THE OFFICE OF THE QAS DPWH, CAPIZ 1ST DEO.	 Contract Location:	DPWH-CAPIZ 1ST DEO, KM. 1, ROXAS CITY Brief Description:	PROCUREMENT OF FUEL, OIL A</t>
  </si>
  <si>
    <t xml:space="preserve"> INVITATION TO RE-BID FOR Spare Parts – Other Transportation Equipment  (Name of Project)    1.	The CITY GOVERNMENT OF ZAMBOANGA, through the General Fund intends to apply for re-bid the sum of ONE MILLION TWO HUNDRED SEVENTY THOUSAND FIVE HUNDRED PESOS (P</t>
  </si>
  <si>
    <t xml:space="preserve"> Republic of the Philippines							 	DEPARTMENT OF SCIENCE AND TECHNOLOGY							 	Regional Office No. 7							 	Lahug S&amp;T Complex, Sudlon, Lahug							 	Cebu City							 	TEL./FAX NO.  256-3345/328-9305							 		email: dost7supply@gmail.com						 PR No.   </t>
  </si>
  <si>
    <t xml:space="preserve"> Qty	Unit 	Item Description		 				  14 	 cum 	 Item 201 		  68 	 bags 	 Portland Cement 		  7 	 cum 	 Gravel 		  5 	 cum 	 Washed Sand 		  160 	 pcs 	 4" CHB 		  5 	 pcs 	 1/2" Phenolic Board 		  15 	 kgs 	 Assorted CWN 		  44 	 pcs 	 2 x 3 x 12 G. Lumber </t>
  </si>
  <si>
    <t xml:space="preserve"> Supply and Delivery of Vehicle Spare Parts at NIA CBIMO Maddarulug, Solana, Cagayan</t>
  </si>
  <si>
    <t xml:space="preserve"> 88 pcs 32 gb flashdrive 1 roll plastic cover 16 packs surgical gloves</t>
  </si>
  <si>
    <t xml:space="preserve"> Provision of Project Development Officer III on "USM Technology Business Incubation (USM_TBI)  Job Description: -shall supervise the overall operation of the USM ATBI i.e. schedules of office staff technical experts, and other involved key employees -lead</t>
  </si>
  <si>
    <t xml:space="preserve"> INVITATION TO RE-BID FOR Motor Vehicle  (Name of Project)    1.	The CITY GOVERNMENT OF ZAMBOANGA, through the AB FY 2017 / SB# 01 FY 2019 intends to apply for re-bid the sum of ONE MILLION FIVE HUNDRED THOUSAND PESOS (P1,500,000.00) ONLY being the Approve</t>
  </si>
  <si>
    <t xml:space="preserve"> Republic of the Philippines Province of Camiguin MUNICIPALITY OF MAMBAJAO INVITATION TO BID / REQUEST FOR EXPRESSION OF INTEREST The Municipal Government of Mambajao, Camiguin through the Bids and Awards Committee (BAC) invites all duly qualified bidders/</t>
  </si>
  <si>
    <t xml:space="preserve"> THE NATIONAL IRRIGATION ADMINISTRATION-SCIMO, THROUGH THE FUND 501 HAS THE APPROVED BUDGET FOR THE CONTRACT (ABC) AMOUNTING    FIFTY SIX THOUSAND PESOS ONLY (56,000.00).  QUOTATION RECEIVED IN EXCESS OF THE ABC SHALL BE AUTOMATICALLY REJECTED. INTERESTED </t>
  </si>
  <si>
    <t xml:space="preserve"> Unit 	Item Description	Quantity 		 pcs.	C Purlen 2 x 3 3/16 x 6m	11 pcs.	1 1/2 Angle Bar	22 pcs.	Round Bar	20 pcs.	Angle Bar #2	10 gal.	Red Lead Paints	1 kls.	Welding Rod	4 pcs.	G I Pipe	4 pcs.	G I Sheet	8 bag	Cement	6 pcs.	Screw	30 pcs.	CHB 	50 cu.m	Sand</t>
  </si>
  <si>
    <t xml:space="preserve"> A. WASH AREA I. REMOVAL OF STRUCTURE a) Labor II. MASONRY &amp; TILE WORKS a) Materials b) Labor c) Equipment Rental B. WATER SYSTEM a) Materials b) Labor c) Equipment Rental C. ELECTRICAL a) Materials b) Labor SPL. CONSTRUCTION SAFETY &amp; HEALTH</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</si>
  <si>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</si>
  <si>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Supply and Delivery of Fuels at NIA ZRIS, Lasam &amp; Gattaran, Cagayan</t>
  </si>
  <si>
    <t xml:space="preserve"> 106 pcs Face mask</t>
  </si>
  <si>
    <t xml:space="preserve"> Supply and Delivery of Various Janitorial Supplies 100 can Air Freshener, aerosol, 280ml/150g min- 10,000.00 60 bottle, 70% solution, disinfectant, 500ml- 6,000.00 30 pack Battery, dry cell, AA, 1.5 volts, alkaline, 4pcs/pack- 4,500.00 20 pc Broom, Stick </t>
  </si>
  <si>
    <t xml:space="preserve"> Republic of the Philippines Province of Agusan del Norte Municipality of Carmen OFFICE OF THE BIDS AND AWARDS COMMITTEE INVITATION TO BID  The Local Government of Carmen, through its Bids and Awards Committee (BAC) invites Suppliers/Manufactures/Distribut</t>
  </si>
  <si>
    <t xml:space="preserve"> 60 pcs spin mop 1 bed frame 1 bed sheet</t>
  </si>
  <si>
    <t xml:space="preserve"> 1. Procurement ID/Contract ID:	RFQ-013-2020 Contract Name:	PROCUREMENT OF TOOLS AND EQUIPMENT TO BE USED OF ROADSIDE MAINTENANCE WORKERS IN CONNECTION WITH THE REPAIR/MAINTENANCE OF NATIONAL ROADS AND BRIDGES (DISTRICTWIDE).	 Contract Location:	DPWH-CAPIZ</t>
  </si>
  <si>
    <t xml:space="preserve"> Supply and Delivery of Diesel at NIA IAAPIS Baculud Amulung Cagayan</t>
  </si>
  <si>
    <t xml:space="preserve"> 1. 145 Gal. Alcohol 2. 145 Kls. Chlorine 3. 145 Bot. Liquid antibac hand soap 4. 290 Pcs. Sprayer ( for alcohol / disinfectant ) 5. 290 Pcs. Washable mask 6. 145 Pcs. Detergent soap</t>
  </si>
  <si>
    <t xml:space="preserve"> 1 set Major Surgery Instrument set with sterilizing tray Contents: 6 Pcs Sponge Holding Forceps 9 1/2" Straight 12 Pcs Backhaus Towel Clamp 5 1/4" 1 Pc Knife Handle #3 1 Pc Knife Handle #4 1 Pc Knife Handle #7 1 Pc Mayo Dissecting Scissors 6 3/4" Straight</t>
  </si>
  <si>
    <t xml:space="preserve"> Republic of the Philippines														 PROVINCE OF ZAMBOANGA SIBUGAY														 Municipality of Payao														 														 INVITATION TO BID														 										PR2020-06-29-074				 The Local Government Unit of Payao, Zamboanga Sibugay, </t>
  </si>
  <si>
    <t xml:space="preserve"> Republic of the Philippines Province of Palawan Municipality of Dumaran dum_bacsecretariat@yahoo.com BIDS AND AWARDS COMMITTEE INVITATION TO BID 1.	The Municipal Government of Dumaran, Palawan, through its 20% Development Fund intends to apply the sum of </t>
  </si>
  <si>
    <t xml:space="preserve"> Assorted Construction Materials &amp; Supplies</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</si>
  <si>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</si>
  <si>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Republic of the Philippines Province of Batanes	 MUNICIPALITY OF BASCO               INVITATION FOR NEGOTIATED PROCUREMENT  Project Reference No. : 100-3-03-Various Offices Name of Project	      : Office Supplies (Batch 2) Location of Project	Basco, Batan</t>
  </si>
  <si>
    <t xml:space="preserve"> 6	Pc	Tire for water tanker, 205/85 R16, Tubeless 1	Pc	Filter, oil, PO-3511A for water tanker 1	Pc	Filter, fuel, for water tanker ME 132526 2	Pc	Battery, 12 volts, N70 L-70 Ah, maintenance free 1	Pc	Belt, Alternator for water tanker, 6PK1245/R62-8A 1	Pc	Fi</t>
  </si>
  <si>
    <t xml:space="preserve"> REQUEST FOR SUPPLY OF MATERIALS AND LABOR IN THE IMPROVEMENT OF NEW OFFICE SPACE OF VALENCIA POST OFFICE, VALENCIA, NEG. OR. WITH AN ABC OF P95,000.00</t>
  </si>
  <si>
    <t xml:space="preserve"> RRepublic of the Philippines Province of Palawan Municipality of Dumaran dum_bacsecretariat@yahoo.com BIDS AND AWARDS COMMITTEE INVITATION TO BID 1.	The Municipal Government of Dumaran, Palawan, through its 20% Development Fund intends to apply the sum of</t>
  </si>
  <si>
    <t xml:space="preserve"> PEO-NC-2020-0341 REQUEST FOR QUOTATION FOR THE PROCUREMENT OF AGGREGATE SUBBASE COURSE (ANAPOG) FOR THE MAINTENANCE OF VARIOUS PROVINCIAL ROADS FOR PROJECT MANAGEMENT DIVISION (PMD) III - SET 1 COST OF CANVASS: P 400.00</t>
  </si>
  <si>
    <t xml:space="preserve"> PEO-NC-2020-0343 REQUEST FOR QUOTATION FOR THE PROCUREMENT OF AGGREGATE SUBBASE COURSE (ANAPOG) FOR THE MAINTENANCE OF VARIOUS PROVINCIAL ROADS FOR PROJECT MANAGEMENT DIVISION (PMD) III - SET 2 COST OF CANVASS: P 400.00</t>
  </si>
  <si>
    <t xml:space="preserve"> INVITATION FOR PRICE QUOTATION Date:  June 30, 2020 For The PROVISION OF KID’S PLAY AREA    The Civil Aviation Authority of the Philippines (CAAP) intends to apply the estimated amount of  Ninety Nine Thousand Eight Hundred Forty One Pesos &amp; 67/100 (₱ 99,</t>
  </si>
  <si>
    <t xml:space="preserve"> Plumbing Repairs of the CTL Classroom</t>
  </si>
  <si>
    <t xml:space="preserve"> 1.	The Municipality of Caraga, through the Gender and Development Fund  2019 intends to apply the sum of Six Hundred Ninety Nine Thousand Nine Hundred Ninety Nine &amp; 43/100  (699,999.43) being the Approved Budget for the Contract (ABC) to payments under th</t>
  </si>
  <si>
    <t xml:space="preserve"> CTL Classroom Rewiring</t>
  </si>
  <si>
    <t xml:space="preserve"> Republic of the Philippines Danao City BIDS AND AWARDS COMMITTEE 		 REQUEST FOR QUOTATION The Local Government of Danao City, through the General Services Office intends to apply the sum of Php790,900.00 being the Approved Budget for the Contract (ABC) to</t>
  </si>
  <si>
    <t xml:space="preserve"> Republic of the Philippines Province of Davao Oriental CITY OF MATI REQUEST FOR QUOTATION 			 Date:	25 JUNE 2020 RFQ No.:	0834-2020 Name of Company: __________________________________________________________________________________________________________</t>
  </si>
  <si>
    <t xml:space="preserve"> Continuation of river bank protection</t>
  </si>
  <si>
    <t xml:space="preserve"> Provision of Science Research Assistant  on "USM Technology Business Incubation" (USM-TBI) JOB DESCRIPTION: -Provide support to the operation of IP-TBM -Collect/extract data from the IP database as needed -Prepare relevant communications and maintain requ</t>
  </si>
  <si>
    <t xml:space="preserve"> Procurement of Medical Equipment for the Municipal Isolation Unit in relation to COVID-19</t>
  </si>
  <si>
    <t xml:space="preserve"> Republic of the Philippines Province of Leyte Municipality of Hilongos BARANGAY MARANGOG REQUEST FOR QUOTATION _____________ Date  _______________________ _______________________  ______________________                                Please quote your low</t>
  </si>
  <si>
    <t xml:space="preserve"> Scope of Work 1. Body Repainting with Materials, Repair Rear Right Side Door with Materials, Front Bumper Repair and Alignment. 2. Roll Bar with Rack 3. Steering Wheel with Cover 4. Tail Light Assembly</t>
  </si>
  <si>
    <t xml:space="preserve"> 1.	The Municipality of Caraga, through the Gender and Development Fund  2020 intends to apply the sum of One Million Four Hundred Ninety Nine Thousand Nine Hundred Ninety Nine &amp; 79/100  (1,499,999.79) being the Approved Budget for the Contract (ABC) to pa</t>
  </si>
  <si>
    <t xml:space="preserve"> REQUEST FOR QUOTATION Please quote your price on the job/item listed below, subject to the Specification and Terms and Conditions provided herein, stating the shortest time of delivery and submit your quotation in the bid box located at the Procurement Se</t>
  </si>
  <si>
    <t xml:space="preserve"> 1	Aggregate Sub-Base Course(River Sourced)			125	cu.m. 2	Boga			42	cu.m. 3	Crushed Rock G-1			83	cu.m. 4	Portland Cement 			891	bags 5	Gravel			89	cu.m. 6	Sand			45	cu.m. 7	RSB 16mmx6m			30	pcs 8	Round Bar 16mmx6m			13	pcs 9	RSB, 12mmx6m			22	pcs 10	C-Pur</t>
  </si>
  <si>
    <t xml:space="preserve"> Please see attached PR</t>
  </si>
  <si>
    <t xml:space="preserve"> (PLEASE SEE ATTACHED ASSOCIATED COMPONENT) please send Request for Quotation  -  philgepsprocurement19@gmail.com Contact Person: JILLSHARON JIMENEZ (711-69-73) 100	gal	70% Isoprophyl Alcohol	 			 		REQUIREMENTS: 3 sets Individual sealed Quotation. (per En</t>
  </si>
  <si>
    <t xml:space="preserve"> 1 Lot Procurement of Consulting Services:  Training Institution to Conduct Training on International Financial Accounting Standards for ECC Employees ABC: PhP1,000,000.00 Delivery Date:  Capability Training conducted by July 30, 2020</t>
  </si>
  <si>
    <t xml:space="preserve"> BUGO CENTRAL SCHOOL WOULD LIKE TO PROCURE THE FOLLOWING MATERIALS FOR OUR SCHOOL DISASTER RISK REDUCTION MANAGEMENT: HANDHELD RADIO BULL HORN/MEGAPHONE SPINE BOARD FRUCTURE SPLINTS ROPE 1/2 " KERNMANTLE TYPE FLOTATION RINGS/DEVICE WORK GLOVES HARD HATS RE</t>
  </si>
  <si>
    <t xml:space="preserve"> TERMS and CONDITIONS : 1. All entries must be typewritten or legibly written. 2. Delivery period within 10 days upon receipt of the approved  unded Purchase Order (P.O). Administrative penalties pursuant to Sec. 69  of  the  Revised IRR-RA 9184 shall be i</t>
  </si>
  <si>
    <t xml:space="preserve"> TO BE BID ARE GOOD FOR THE MNAO OFFICE</t>
  </si>
  <si>
    <t xml:space="preserve"> 100     bags    Cement 4        cubic    Gravel 12      cubic    Whitesand</t>
  </si>
  <si>
    <t xml:space="preserve"> The BAC of Urdaneta City announces that the above infrastructure project shall be procured through Alternative Method of Procurement as per Section 53.9 for Small Value Procurement under Negotiated Procurement of the Revised IRR of RA No. 9184.  Brief Des</t>
  </si>
  <si>
    <t xml:space="preserve"> Republic of the Philippines													 BUTUAN CITY WATER DISTRICT													 Gov. Jose A. Rosales Avenue, Butuan City													 Tel. Nos. 143 (Hotline) 342-3145/46 (Bayantel)													 Fax No. 341-4298													 				REQUEST FOR PRICE QUOTATIO</t>
  </si>
  <si>
    <t xml:space="preserve"> BEMO-NC-2020-0342 REQUEST FOR QUOTATION FOR THE PROCUREMENT OF LABOR, MATERIALS, AND EQUIPMENT FOR THE CONSTRUCTION OF NURSERY AND VERMI SHED HOUSES AT BIO-DIVERSITY COMPLEX, ROXAS, BILAR, BOHOL COST OF CANVASS: P 400.00</t>
  </si>
  <si>
    <t xml:space="preserve"> 1	Aggregate Sub-Base Course(River Sourced)			381	cu.m. 2	Boga			127	cu.m. 3	Crushed Rock G-1			254	cu.m. 4	Portland Cement 			2723	bags 5	Gravel			272	cu.m. 6	Sand			136	cu.m. 7	RSB 16mmx6m			85	pcs 8	Round Bar 16mmx6m			36	pcs 9	RSB, 12mmx6m			56	pcs 10	</t>
  </si>
  <si>
    <t xml:space="preserve"> QTY.	UNIT	ITEM &amp; DESCRIPTION		TOTAL	 						  7,200 	containers	MINERAL WATER		 252,000.00 		 						 		Specifications/Conditions:				 		*Supplier must provide:				 			- 10 hot and cold water dispenser (free usage) for the duration of the contract			 			- a</t>
  </si>
  <si>
    <t xml:space="preserve"> The Local  Government   Unit  of General  Santos  City, through  the  GENERAL FUND CY 2020  intends  to apply  the sum of eight thousand six hundred forty and xx / 100 Pesos Only (8,640.00)   being  the Approved  Budget  for the Contract   (ABC) to paymen</t>
  </si>
  <si>
    <t xml:space="preserve"> 1.	The Municipal Government of Talisayan, through the 70% OF 5% MDRR 2019  intends to apply the sum of P2,000,000.00 being the Approved Budget for the Contract (ABC) to payments under the PURCHASE of RESCUE VEHICLE, Talisayan, Mis. Or.. Bids received in e</t>
  </si>
  <si>
    <t xml:space="preserve"> PB NO. 2020-044		 			 1.	6	gal/s	Cidex Metricide 2.	20	pc/s	Epidural Catheter g.18 3.	200	bx/s	Examination Gloves medium 4.	300	bx/s	Facemask Disp. 3ply w. Earloop 5.	5	pack/s	Foot Cover Disp. 50's 6.	30	pc/s	Hair cap disposable 7.	1	bx/s	Insyte g 24 8.	1</t>
  </si>
  <si>
    <t xml:space="preserve"> Republic of the Philippines Province of Leyte Municipality of Palompon Palompon, Leyte  								  BIDS AND AWARDS COMMITTEE		RPQ No.	2020-0707-025	   						Date	01-July-2020	   						PR No.	20-02	  						Date	6/29/2020	 To: 	 	Origin	 	   	 			   	 			   </t>
  </si>
  <si>
    <t xml:space="preserve"> INVITATION TO BID FOR Fuel, Oil and Lubricants Expenses  (Name of Project)    1.	The CITY GOVERNMENT OF ZAMBOANGA, through the General Fund intends to apply the sum of ONE MILLION FOUR HUNDRED FIFTY TWO THOUSAND PESOS (P1,452,000.00) ONLY being the Approv</t>
  </si>
  <si>
    <t xml:space="preserve"> Rehabilitation of Multi-Purpose Hall at Brgy. Macalong, Asingan, Pangasinan.</t>
  </si>
  <si>
    <t xml:space="preserve"> Republic of the Philippines Province of Davao Oriental CITY OF MATI REQUEST FOR QUOTATION 			 Date:	25 JUNE 2020 RFQ No.:	0838-2020 Name of Company: __________________________________________________________________________________________________________</t>
  </si>
  <si>
    <t xml:space="preserve"> Good Day! We post the list of materials that amounting the some of P 113, 915.00 for the second time public bidding for this project of the Barangay. 131 bags cement 74 pcs 16mmᴓ steel bar 72 pcs 12mmᴓsteel bar 18 pcs 10mmᴓsteel bar 18 pcs ¼ ordinary Plyw</t>
  </si>
  <si>
    <t xml:space="preserve"> Republic of the Philippines Province of Bohol Municipality of Tubigon BIDS AND AWARDS COMMITTEE Tel/Fax. No. (038) 508-8059 REQUEST FOR QUOTATION For Small Value Procurement under Sec. 53.9 of the Revised IRR of R.A. 9184 Quotation No: 2020-06-306 P. R. N</t>
  </si>
  <si>
    <t xml:space="preserve"> 1	14 PCS	LAMINATED GLASS PARTITION 42 MM THK 120 (H) X 120 (W) CM ALUMINUM ENDTRIMS 2	30 PCS	LAMINATED GLASS PARTITION 42 MM THK 120 (H) X 60 (W) CM ALUMINUM ENDTRIMS 3	2 PCS	LAMINATED GLASS PARTITION 42 MM THK 150 (H) X 120 (W) CM ALUMINUM ENDTRIMS 4	2 P</t>
  </si>
  <si>
    <t xml:space="preserve"> The National Food Authority (NFA), Southern Tagalog Regional Office (Region IV), through the NFA Corporate Operating Budget for 2020, intends to apply the sum of One Million Eight Hundred Thousand Four Hundred Twenty-Four Pesos (P1,818,424.00) being the A</t>
  </si>
  <si>
    <t xml:space="preserve"> See the attached description</t>
  </si>
  <si>
    <t xml:space="preserve"> 1 unit Vaccine Refrigerator KDH</t>
  </si>
  <si>
    <t xml:space="preserve"> Construction of New Main Gate at Carosucan Sur National High School, Asingan, Pangasinan.</t>
  </si>
  <si>
    <t xml:space="preserve"> Province of Cotabato Municipality of Arakan BIDS AND AWARDS COMMITTEE Invitation for Negotiated Procurement SUPPLY OF MEDICINE &amp; MEDICAL SUPPLIES FOR  WALK IN CLIENT  	In view of the two (2) failed public bidding the Local Government of Arakan Bids and Aw</t>
  </si>
  <si>
    <t xml:space="preserve"> Republic of the Philippines Province of Iloilo Municipality of Lemery Invitation to Bid 1.	The Barangay  Milan,  Lemery, Iloilo, through  20% Development Fund 2019 intends to apply the sum of  One Hundred Thousand  Pesos ( 100,000.00 ) being the Approved </t>
  </si>
  <si>
    <t xml:space="preserve"> Republic of the Philippines Province of Guimaras OFFICE OF THE BIDS AND AWARDS COMMITTEE INVITATION TO BID FOR    SUPPLY AND DELIVERY OF VEHICLE PARTS AND ACCESSORIES Bid Ref. No. 2020-06-361 1.	The Province of Guimaras , through the Repairs and Maintenan</t>
  </si>
  <si>
    <t xml:space="preserve"> 1.	The Municipality of Caraga, through the Gender and Development Fund  2019 intends to apply the sum of Four Hundred Ninety Nine Thousand Nine Hundred Ninety Eight &amp;89/100  (499,998.89) being the Approved Budget for the Contract (ABC) to payments under t</t>
  </si>
  <si>
    <t xml:space="preserve"> Republic of the Philippines Province of Sarangani Municipality of Malapatan INVITATION TO BID  	 2020-B1-06-019        PROCUREMENT OF GOODS AND SERVICES FOR REPAIRMENT OF RP VEHICLE ISUZU ALTERRA SHE-440, MALAPATAN, SARANGANI PROVINCE 1.	The Local Governm</t>
  </si>
  <si>
    <t xml:space="preserve"> BID TENDER The Bids and Awards Committee Province of Iloilo 	In connection with your Invitation to Bid  No. SPO-20-0761-B  scheduled on July 8, 2020. I/We proposed to furnish and deliver in confirmation with the terms and conditions , and specifications o</t>
  </si>
  <si>
    <t xml:space="preserve"> 3MP HD Network Small IR Dome Camera  - 1/3" 3 Megapixel progressive scan CMOS  - H.264 &amp; MJPEG dual-stream encoding  - 20fps@3M (2304x1296)  - DWDR, Day/Night (ICR), 3DNR, AWB, AGC, BLC  - 2.8mm~lens  - Max. IR LED's Length 60m  - IP67, PoE 3MP IR Bullet </t>
  </si>
  <si>
    <t xml:space="preserve"> Safety precaution materials against Covid-19 of Barangay 5, Lucena City</t>
  </si>
  <si>
    <t xml:space="preserve"> Republic of the Philippines Province of Davao Oriental CITY OF MATI REQUEST FOR QUOTATION 			 Date:	25 JUNE 2020 RFQ No.:	0831-2020 Name of Company: __________________________________________________________________________________________________________</t>
  </si>
  <si>
    <t xml:space="preserve"> 2 Pre-Starter 4 Pre-Starter 12 Starter 42 Grower 41 Finisher</t>
  </si>
  <si>
    <t xml:space="preserve"> Republic of the Philippines Province of Misamis Oriental Municipality of Initao Invitation to Bid  CONCRETING OF NANGKAON-TALAGUSOK FARM-TO-MARKET ROAD  1.	The Municipal Government of Initao, Misamis Oriental, through Trust Fund intends to apply the sum o</t>
  </si>
  <si>
    <t xml:space="preserve"> The Department of Environment and Natural Resources, PENRO, Ipil, Zamboanga Sibugay through its Bids and Awards Committee, intends to procure electrical supplies and materials for the rehabilitation of DENR PENRO Sibugay PENRO Office, Conference Room and </t>
  </si>
  <si>
    <t xml:space="preserve"> Republic of the Philippines									 Province of Iloilo									 BIDS AND AWARDS COMMITTEE									 									 INVITATION TO BID									 Purchase of Food Packs									 Bid No. PHO-20-0749-B									 									 1	The Iloilo Provincial Government, through t</t>
  </si>
  <si>
    <t xml:space="preserve"> Pag-IBIG FUND Tuguegarao Branch Office Editha Tuddao Bldg., Balzain Road, Tuguegarao City, Cagayan REQUEST FOR QUOTATION SUPPLY, DELIVERY AND INSTALLATION OF ONE (1) UNIT DUAL PHASE SIGNAGE FOR   FOR Pag-IBIG FUND, TUGUEGARAO BRANCH  The Pag-IBIG Fund (HD</t>
  </si>
  <si>
    <t xml:space="preserve"> Republic of the Philippines						SLAUGHTER		 		Government of Ormoc City						P.R. No.:  	201638	 		BIDS AND AWARDS COMMITTEE						Quotation No.: 	204505-6173	 		Ormoc City						PhilGEPs No.: 		 										 Standard Form Title:			REQUEST FOR QUOTATION						</t>
  </si>
  <si>
    <t xml:space="preserve"> Purchase of Commercial Rice for Barangay Constituents COVID-19</t>
  </si>
  <si>
    <t xml:space="preserve"> Republic of the Philippines Province of Guimaras OFFICE OF THE BIDS AND AWARDS COMMITTEE INVITATION TO BID FOR    SUPPLY AND DELIVERY OF MEDICAL SUPPLIES Bid Ref. No. 2020-06-360 1.	The Province of Guimaras , through the Medical, Dental &amp; Laboratory Expen</t>
  </si>
  <si>
    <t xml:space="preserve"> OPA-FISHERIES-2020-0175 PR2020-0457 INVITATION TO BID FOR THE PROCUREMENT OF THE CONSTRUCTION OF STORAGE WAREHOUSE FOR CONSOLIDATION/STORAGE AREA OF DRIED SEAWEEDS (RDS) FOR MARKETING TO PROSPECTIVE BUYERS ABC: P 7,275,231.36 COST OF BID DOCUMENTS: P 10,0</t>
  </si>
  <si>
    <t xml:space="preserve"> Please see attached RFQ</t>
  </si>
  <si>
    <t xml:space="preserve"> PROCUREMENT TERMS AND CONDITIONS						 						 1. The Total Approved Budget for the Contract (ABC) is SIXTY TWO THOUSAND PESOS ONLY (62,000.00)						 2.  Price Quotation should be inclusive of tax obligation.						 3. Evaluation of bids will be conducted o</t>
  </si>
  <si>
    <t xml:space="preserve"> poras flashlight sweat shirt w/print posas whistle hat</t>
  </si>
  <si>
    <t xml:space="preserve"> ABC = P 574,004.75 3	unt	Recorder, 8GB 3	unt	Pointer 20	unt	Flashdrive, 16GB, USB, 3.0 30	unt	Flashdrive, 32GB, USB 3.0 15	unt	Flashdrive, 64GB, USB 3.1 20	unt	Internal Hardware, 2TB 30	pcs	Ink, black, HP680, potable printer 20	pcs	Ink, tri color HP 680 p</t>
  </si>
  <si>
    <t xml:space="preserve"> Republic of the Philippines Province of Davao Oriental CITY OF MATI REQUEST FOR QUOTATION 			 Date:	25 JUNE 2020 RFQ No.:	0827-2020 Name of Company: __________________________________________________________________________________________________________</t>
  </si>
  <si>
    <t xml:space="preserve"> 66 unit Hand Pump</t>
  </si>
  <si>
    <t xml:space="preserve"> Republic of the Philippines														 PROVINCE OF ZAMBOANGA SIBUGAY														 Municipality of Payao														 														 INVITATION TO BID														 										PR2020-06-29-076				 The Local Government Unit of Payao, Zamboanga Sibugay, </t>
  </si>
  <si>
    <t xml:space="preserve"> Republic of the Philippines Province of Guimaras OFFICE OF THE BIDS AND AWARDS COMMITTEE INVITATION TO BID FOR    SUPPLY AND DELIVERY OF LABORATORY SUPPLIES Bid Ref. No. 2020-06-366 1.	The Province of Guimaras , through the (5-02-03-080 Laboratory Expense</t>
  </si>
  <si>
    <t xml:space="preserve"> No.	Quantity	Unit	ARTICLES					 Estimated Unit Cost 	Total Cost 									 1	2	kit	2019-NCOV IgG (CLIA) 100Tests/kit with inclusion of consumables					 47,500.00 	 95,000.00  2	2	kit	2019-NCOV IgM (CLIA) 100Tests/kit with inclusion of consumables					 47,5</t>
  </si>
  <si>
    <t xml:space="preserve"> Supply and delivery of 150 pcs Blaan dictionary - for IPED Implementing schools</t>
  </si>
  <si>
    <t xml:space="preserve"> 1	Laptop	1 unit 	Specifications:	 	· Display	 	14” LED Screen (or higher)	 	1920 x 1080 FHD Resolution	 	IPS	 	· Processor	 	Intel Core i7 – 8th Gen (or higher)	 	· Memory	 	8 GB DDR4 (or higher)	 	· Storage Drive   	 	1 TB 7200 RPM Sata HDD	 	· Optical D</t>
  </si>
  <si>
    <t xml:space="preserve"> Repainting, Ceiling repair, Installation of window screens and replacement of door and door and doorknob and replacement of led bulbs and jalousie window blades</t>
  </si>
  <si>
    <t xml:space="preserve"> Construction of Pavement along Purok Cappia at Brgy. Domanpot, Asingan, Pangasinan</t>
  </si>
  <si>
    <t xml:space="preserve"> 50 sacks Palit Bigas Program Rice (50kilos) Premium</t>
  </si>
  <si>
    <t xml:space="preserve"> 2 Sets O.R. INSTRUMENTS Contents: 1 Pc Mayo Scissors (Curved), size 5 1/2" 1 Pc mayo Scissors (Curved), size 6 1/2" 1 Pc Metzenbaum (Curved), size 7" 1 Pc Metzenbaum (Curved), size 8" 1 Pc Metzenbaum (Straight), size 7" 1 Pc Metzenbaum (Straight), size 8"</t>
  </si>
  <si>
    <t xml:space="preserve"> The Municipality of Limay, through its Bids and Awards Committee (BAC) invites registered contractors to apply for eligibility and if found eligible, to bid for the hereunder project/contract: Project/Contract:     REPAIR AND RE-PAINTING OF KINARAGAN ELEM</t>
  </si>
  <si>
    <t xml:space="preserve"> Procurement of Construction Supplies and Materials</t>
  </si>
  <si>
    <t xml:space="preserve"> For the change oil, replacement filters and parts for Dumptrucks, &amp; Heavy Equipment</t>
  </si>
  <si>
    <t xml:space="preserve"> QTY. 	UNIT	ITEM &amp; DESCRIPTION	                 TOTAL 	 		 MEDICINES 					  2 	 box 	 Amoxicillin 500mg/cap box/100's 	 594.00 				  30 	 box 	 Ascorbic Acid 500 mg/tab, 100s/box 	 16,500.00 				  1 	 box 	 Clonidine 1150 mcg/tab box/100's 	 200.00 				  2</t>
  </si>
  <si>
    <t xml:space="preserve"> ABC = P 51,065.00 2	pcs	External Hard Drive,2 TB, USB, 3.0 10	pcs	Flash Drive, 32GB, USB, 3.0 1	pc	Logitect R400 Wireless Presentation Remote w/ Laser pointer 12	rms	Bond paper, multicopy, 80 gsm, A4 12	rms	Bond paper, multicopy, 80 gsm, long 4	bot	Ink, E</t>
  </si>
  <si>
    <t xml:space="preserve"> The ISU Cabagan, Isabela invites registered suppliers to submit bid quotations/bid proposal of the items listed in the attached RFQ. Submit your bid quotations / bid proposal duly signed by you or your authorized representative with certified true copies </t>
  </si>
  <si>
    <t xml:space="preserve"> Republic of the Philippines						CMO		 		Government of Ormoc City						P.R. No.:  	201778	 		BIDS AND AWARDS COMMITTEE						Quotation No.: 	204501-6171	 		Ormoc City						PhilGEPs No.: 		 										 Standard Form Title:			REQUEST FOR QUOTATION							 				</t>
  </si>
  <si>
    <t xml:space="preserve"> 280	pads	journal entry voucher long 300	pads	journal entry voucher short 500	pcs.	General ledger 16	pads	registry of allotment and obligations</t>
  </si>
  <si>
    <t xml:space="preserve"> 1	1 copy	PHYSIOLOGY OF BEHAVIOR 2	1 copy	LIFESPAN DEVELOPMENT 3	1 copy	SOCIAL PSYCHOLOGY 4	1 copy	THEORY &amp; PRACTICE OF GROUP COUNSELING 5	1 copy	POSITIVE PSYCHOLOGICAL ASSESSMENT 6	1 copy	COGNITION EXPLORING THE SCIENCE OF THE MIND 7	1 copy	GROUP DYNAMICS</t>
  </si>
  <si>
    <t xml:space="preserve"> Document Camera (2 units) -	Sensor : CMOS -	Pixels : 2MP (1920 x 1080) -	Native Resolution : 1080p (16 : 9 Aspect Ration) -	Frame Rate : up to 30fps -	HDMI : 480p / 720p / 1080p -	USB-B : VGA / SVGA / XGA / SXGA / WXGA / 720P / 1080 P -	Lens Type : Optica</t>
  </si>
  <si>
    <t xml:space="preserve"> Sir/Madam:																																						 																																						 Please quote your government price/s including delivery charges, VAT or other applicable taxes, and other incidental expenses for the goods listed in Annex A.  Also, f</t>
  </si>
  <si>
    <t xml:space="preserve"> SEE ATTACHED DOCUMENT.</t>
  </si>
  <si>
    <t xml:space="preserve"> INVITATION TO BID FOR Fuel, Oil and Lubricants Expenses  (Name of Project)    1.	The CITY GOVERNMENT OF ZAMBOANGA, through the General Fund intends to apply the sum of ONE MILLION EIGHT HUNDRED TWENTY SIX THOUSAND SEVEN HUNDRED PESOS (P1,826,700.00) ONLY </t>
  </si>
  <si>
    <t xml:space="preserve"> Supply of 10,000 liters of Diesel</t>
  </si>
  <si>
    <t xml:space="preserve"> 3 pcs Folding Steel table 1 pc   Zoom Box with Microphone 1 pc   Laptop</t>
  </si>
  <si>
    <t xml:space="preserve"> Please submit your quotation to the END USER based on the attached RFQ. For further details please contact 09161486025</t>
  </si>
  <si>
    <t xml:space="preserve"> Procurement of Office Equipment and Furniture 1. Dress Form, Adjustable, small (1 male &amp; female) Medium (1 male &amp; female) - 4 units 2. Ceiling Fan, heavy duty 18, 05 bit type - 2 units 3. Flat Iron, Electric Iron for Clothes, 220 V, 1000 W, aluminum sole </t>
  </si>
  <si>
    <t xml:space="preserve"> to be used in printing Modules</t>
  </si>
  <si>
    <t xml:space="preserve"> Supply and Delivery of Acrylic Sheets for Fabrication of Table Acrylic Stands</t>
  </si>
  <si>
    <t xml:space="preserve"> Item	Quantity	Unit	ARTICLES					 Estimated Unit Cost  								 1	100	ream	Bond Paper, subs. 20, long					 220.00  2	100	ream	Bond Paper, subs. 20, short					 195.00  3	4	pcs	Globe Load Card					 325.00  4	100	ream	Mimeographing Paper, long					 178.25  5	</t>
  </si>
  <si>
    <t xml:space="preserve"> 180 pax Catering Services</t>
  </si>
  <si>
    <t xml:space="preserve"> 30 sacks Rice (50 kilos) Natural 150 kilo Molasses  16 liters Container 5 pcs. Clay pot 3 pcs. LPG Gas with Tank 10 pcs. LPG Gas</t>
  </si>
  <si>
    <t xml:space="preserve"> Supply and Delivery of Various Materials (See attached RFQ for the quantity of each item) BILL OF MATERIALS G26 Corrogated GI Sheet		 G26 Plain GI Flat Sheet	6 x 4 x 100m	6 x 4 x 100m Roofing Ties (Langueta)		 Ordinary Ridge Roll		 Umbrella Nails		 1" Fla</t>
  </si>
  <si>
    <t xml:space="preserve"> Republic of the Philippines						OTESD		 		Government of Ormoc City						P.R. No.:  	201660	 		BIDS AND AWARDS COMMITTEE						Quotation No.: 	204491-6166	 		Ormoc City						PhilGEPs No.: 		 										 Standard Form Title:			REQUEST FOR QUOTATION							 		</t>
  </si>
  <si>
    <t xml:space="preserve"> Republic of the Philippines								 Department of Health								 VICENTE SOTTO MEMORIAL MEDICAL CENTER								 B. Rodriguez St., Cebu City, 6000								 TELEFAX : 2532182/2540057								 			Email: vsmmc_procurement@yahoo.com					 (Establishment/Supplier)	</t>
  </si>
  <si>
    <t xml:space="preserve"> &gt; The Municipality of San Quintin Abra now invites bids for the CONSTRUCTION/REHABILITATION OF MULTI PURPOSE HALL AT POBLACION, SAN QUINTIN, ABRA with the following items: I	Progess Photo					 l.s. 	 1.00  II	BUILT/ASSEMBLE OF BLEACHER					 l.s 	 1.00  II</t>
  </si>
  <si>
    <t xml:space="preserve"> Supply and Delivery of Various Building Materials, (11 Items) as per BSP Technical Specifications and Terms and Conditions: Specifications and Terms and Conditions: Item 1:   100 pcs. Handle, Cabinet, 3” Item 2:     5 pcs. Wheel, Diamond, 180mm (7-1/8) x </t>
  </si>
  <si>
    <t xml:space="preserve"> ICT EQUIPMENT</t>
  </si>
  <si>
    <t xml:space="preserve"> 70 Pack Coffee &amp; Eleven (11) LI</t>
  </si>
  <si>
    <t xml:space="preserve"> OPV-2020-0176 PR2020-0458 INVITATION TO BID FOR THE PROCUREMENT OF VARIOUS OFFICE EQUIPMENT, FURNITURE AND FIXTURES FOR OFFICE USE AT THE OFFICE OF THE PROVINCIAL VETERINARIAN ABC: P 1,623,100.00 COST OF BID DOCUMENTS: P 5,000.00 ADVERTISEMENT PERIOD: JUL</t>
  </si>
  <si>
    <t xml:space="preserve"> Republic of the Philippines														 PROVINCE OF ZAMBOANGA SIBUGAY														 Municipality of Payao														 														 INVITATION TO BID														 										PR2020-06-29-079				 The Local Government Unit of Payao, Zamboanga Sibugay, </t>
  </si>
  <si>
    <t xml:space="preserve"> Fabrication of Tables for Vendors at Public Market, Asingan, Pangasinan.</t>
  </si>
  <si>
    <t xml:space="preserve"> PB NO. 2020-045		 			 1.	1	lot	Proposed concreting of road at Brgy. Santiago I, San Pablo City. 			By: Contract 			 	Deadline for Submission of Bids: July 22, 2020 1:00 pm</t>
  </si>
  <si>
    <t xml:space="preserve"> The AGRICULTURAL TRAINING INSTITUTE-REGIONAL TRAINING CENTER (ATI-RTC) X, through the 2020 General Appropriations Act intends to apply the sum of Forty Four Thousand Eight Hundred Pesos (P 44,800.00) being the Approved Budget for the Contract (ABC) to pay</t>
  </si>
  <si>
    <t xml:space="preserve"> TO BE USED BY PUPILS/TEACHERS FOR HOME-BASED LEARNING</t>
  </si>
  <si>
    <t xml:space="preserve"> Republic of the Philippines Province of Eastern Samar Municipality of Maydolong Invitation to Bid Procurement of Infrastructure Projects for Implementation of Various Municipal Development Projects III 1.	The Municipal Government of Maydolong, Eastern Sam</t>
  </si>
  <si>
    <t xml:space="preserve"> PROJECT: BARANGAY STAGE LOCATION: BARANGAY MINANE, CONCEPCION, TARLAC APPROVED BUDGET FOR THE CONTRACT: PHP 248,601.00 SOURCE OF FUND: 20% BDF The contract to be performed by the successful bidder shall be specified in the Technical Quotation Form of the </t>
  </si>
  <si>
    <t xml:space="preserve"> PLEASE SEE ATTACHED FILES FOR REFERENCE.</t>
  </si>
  <si>
    <t xml:space="preserve"> Request for Quotation PR. No.:2020-06-234 Sir/ Madam: Please quote your lowest price on the item/s listed below, stating the shortest time of delivery and submit your quotation duly signed by your representative not later than the set deadline at the BAC </t>
  </si>
  <si>
    <t xml:space="preserve"> INVITATION TO APPLY FOR ELIGIBILITY AND TO BID FOR THE EQUIPMENT, TOOLS AND RAW MATERIALS FOR DOLE INTEGRATED LIVELIHOOD PROGRAM – STARTER KIT PROJECT. EQUIPMENT, TOOLS AND RAW MATERIALS FOR THE FOLLOWING PROJECTS - NO. OF BENEFICIARIES 1. BREAD AND PASTR</t>
  </si>
  <si>
    <t xml:space="preserve"> Republic of the Philippines Department of Education Region VI – Western Visayas Division of Aklan TAMALAGON INTEGRATED SCHOOL Tamalagon, Tangalan, Aklan 	 REQUEST FOR QUOTATION (RFQ) Project No: DepED-RO6-D1-TIS-SUPPORT INSTRUCTIONAL &amp; LEARNERS MATERIALS </t>
  </si>
  <si>
    <t xml:space="preserve"> Please see attached file</t>
  </si>
  <si>
    <t xml:space="preserve"> Item	Quantity	Unit	ARTICLES					 Estimated Unit Cost  								 1	1000	box	Face Mask, Ear-Loop Type, disposable, 50's					 900.00</t>
  </si>
  <si>
    <t xml:space="preserve"> TO BE BID ARE GOOD FOR THE MNAO SUPPLIES</t>
  </si>
  <si>
    <t xml:space="preserve"> Republic of the Philippines National Kidney and Transplant Institute Bids and Awards Committee East Avenue, Quezon City 1100 981-0300 / 981-0400 local 1157 http://www.nkti.gov.ph/	 INVITATION TO BID for the ITB No. 20-053 SUPPLY AND DELIVERY OF LABOR, TOO</t>
  </si>
  <si>
    <t xml:space="preserve"> Invitation to Bid for Purchase of Four (4) units Airconditioning Units for Various Offices 4 units of 2.5hp wall mounted split-type aircon inverter with actual piping (90ft per unit) Source of Fund: Capital Outlay Nonrefundable fee for bidding documents: </t>
  </si>
  <si>
    <t xml:space="preserve"> Line Item</t>
  </si>
  <si>
    <t xml:space="preserve"> 60 SETS FABRICATED PARTITION IN ANALOK TUBULAR FRAME (1.80M X 2.40M) WITH ORDINARY PLYWOOD 1/2'THK. (PAINTED) ACRYLIC GLASS 1/4 THK.</t>
  </si>
  <si>
    <t xml:space="preserve"> AIRCONDITIONER</t>
  </si>
  <si>
    <t xml:space="preserve"> 18	can	Air Freshener, Gel, Lavender 33	can	Air Freshener, Spray, Lemon,  14	btl	Alcohol, Ehytl, Spray, 330ml 89	btl	Alcohol, Ethyl, 70%, 500ml. 46	pcs	Ballpen, Black 0.7, water gel 96	pcs	Ballpen, Black, 0.5, water gel 17	pcs	Ballpen, Blue, 0.5, water gel</t>
  </si>
  <si>
    <t xml:space="preserve"> COMPUTER DESKTOP	1	set AMD A8 7680		 Gigabyte FM2		 4gb Memory DDR3		 1 TB HDD Sg		 ATX Casing		 18.5 LED Monitor /UPS		 O.S Windows 10 64bit		 USB mouse &amp; keyboard		 Microsoft Office		 Antivirus		 Printer  		 COMPUTER LAPTOP	1	unit Intel Core I.3 process</t>
  </si>
  <si>
    <t xml:space="preserve"> PROCUREMENT TERMS AND CONDITIONS						 						 1. The Total Approved Budget for the Contract (ABC) is One Hundred Eighty Six Thousand Six Hundred Eighty Pesos (186,680.00)						 2.  Price Quotation should be inclusive of tax obligation.						 3. Evaluation</t>
  </si>
  <si>
    <t xml:space="preserve"> 10	pcs	Caster  Wheel 2" diameter with break					 360	pcs	Wood screw 1/8 x 3/4"					 1800	pcs	2" Teckscrew (wooden)					 10	pcs	.05 m Ridge Roll (blue)					 10	pcs	1/4" x 2" Flat Bar					 200	pcs	1 1/2 Teckscrew metal					 8	pcs	Elasto Seal					 20	pcs	San</t>
  </si>
  <si>
    <t xml:space="preserve"> Invitation to Bid for the 2nd Public Bidding: Construction of Water Tower in PCDP, HFW, RSCC, and Upgrade of Water System in HE The Department of Social Welfare and Development (DSWD) Field Office IX, through the 2020 General Appropriation Act intends to </t>
  </si>
  <si>
    <t xml:space="preserve"> Tile works Painting Ceiling Electrical  Plumbing</t>
  </si>
  <si>
    <t xml:space="preserve"> See Attached Documents</t>
  </si>
  <si>
    <t xml:space="preserve"> Name of Project : Calasgaan SIP Location : Bais City, Negros Oriental Contract No. : NOSO-LMC-SIP-21-2020 Brief Description : Construction of Diversion Works, Canal and Canal Structures Approved Budget for the Contract : P 4,633,209.52 Estimated Contract </t>
  </si>
  <si>
    <t xml:space="preserve"> INVITATION TO BID FOR Repair and Maintenance – Infrastructure Assets – Power Supply Systems  (Name of Project)    1.	The CITY GOVERNMENT OF ZAMBOANGA, through the General Fund intends to apply the sum of ONE MILLION NINETY SIX THOUSAND FIVE HUNDRED PESOS </t>
  </si>
  <si>
    <t xml:space="preserve"> Republic of the Philippines														 PROVINCE OF ZAMBOANGA SIBUGAY														 Municipality of Payao														 														 INVITATION TO BID														 										PR2020-06-29-078				 The Local Government Unit of Payao, Zamboanga Sibugay, </t>
  </si>
  <si>
    <t xml:space="preserve"> Supply and Delivery of Surveying Instruments at NIA CBIMO HEad Office Maddarulug, Solana, Cagayan</t>
  </si>
  <si>
    <t xml:space="preserve"> Procurement of One(10 weighing scale &amp; Three (3) Other line Items</t>
  </si>
  <si>
    <t xml:space="preserve"> 4	units	Computer, Laptop with the following specifications: 		Processor: Intel Core i5-1035G1 Processor (6M Cache, up to 3.60 		GHz); Memory: 8 GB DDR4-2666 SDRAM (1x8 GB); Storage: 1TB 		5400 rpm SATA; 128 GB GB M.2 SSD; OS: Windows 10; Battery: 		3-cell</t>
  </si>
  <si>
    <t xml:space="preserve"> AGRICULTURAL AND FIELD SUPPLIES 200	pcs	Sacks, Plastic, 37"x21" 50 kilos capacity, color white 50	pcs	Plastic Trays, 400x300x110mm (LXWXH) Color - Red 100	pack	Plastic Bag, Clear size, 12 x18" Polypropylene, Thickness 0.03mm, 100s 100	pack	Plastic Bag, Cl</t>
  </si>
  <si>
    <t xml:space="preserve"> PLEASE SEE ATTACHED FILE FORE REFERENCE</t>
  </si>
  <si>
    <t xml:space="preserve"> Republic of the Philippines										 Province of Misamis Oriental										 CITY OF EL SALVADOR										 										 REQUEST FOR QUOTATION										 										 								No.	2020-06-626	 										 										 										 										 	Please quote your price </t>
  </si>
  <si>
    <t xml:space="preserve"> (PLEASE SEE ATTACHED ASSOCIATED COMPONENT) please send Request for Quotation  -  philgepsprocurement19@gmail.com Contact Person: FREDERICK VILLAS (711-69-73) 250	pc	BALLPEN WITH FLASHDRIVE, brandnew, customized ballpen with removable 8GB Flashdisk ( NRL-S</t>
  </si>
  <si>
    <t xml:space="preserve"> See attached RFQ-KCS</t>
  </si>
  <si>
    <t xml:space="preserve"> 5,000.00 Heads Mallard Ducks Ready-to-Lay</t>
  </si>
  <si>
    <t xml:space="preserve"> Description Republic of the Philippines Danao City Brgy.Sandayong Norte INVITATION to APPLY for ELIGIBILITY and to BID Multicab for Brgy.Sandayong Norte,Danao City The Brgy.Sandayong Norte, tends to apply the sum of Php260,000.00 being Approved Budget for</t>
  </si>
  <si>
    <t xml:space="preserve"> Invitation to Bid for  SUPPLY &amp; DELIVERY OF MATERIALS FOR THE CONSTRUCTION OF BAGSAKAN CENTER @ BRGY. WEST KILIKILI, WAO, LANAO DEL SUR ---------------------------------------------------------------------------------------------------------------- ITB NO</t>
  </si>
  <si>
    <t xml:space="preserve"> Republic of the Philippines														 PROVINCE OF ZAMBOANGA SIBUGAY														 Municipality of Payao														 														 INVITATION TO BID														 										PR2020-06-29-081				 The Local Government Unit of Payao, Zamboanga Sibugay, </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</si>
  <si>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</si>
  <si>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1	Cucumber 	cans	300 2	Eggplant	cans	150 3	Ampalaya	cans	300 4	Bell Pepper	cans	200 5	Pechay	cans	100 6	Squash	cans	300 7	String beans	cans	250 8	Okra	cans	100 9	Lettuce	cans	10 10	Sponge Gourd 	cans	80 11	Bottle Gourd 	cans	80 12	Tomato	cans	250 13	Uplan</t>
  </si>
  <si>
    <t xml:space="preserve"> PGBH-C-NC-2020-095 PR2020-111 REQUEST FOR QUOTATION FOR THE PROCUREMENT OF MEALS DURING BID OPENING FOR BAC MEMBERS AND BAC SECRETARIAT STAFF COST OF CANVASS: P 150.00</t>
  </si>
  <si>
    <t xml:space="preserve"> REQUEST FOR EXPRESSION OF INTEREST FOR  SUBDIVISION SURVEY OF COLLECTIVE CLOA 1. The DEPARTMENT OF AGRARIAN REFORM, through the GOVERNMENT APPROPRIATIONS ACT 2020 intends to apply the sum of TWO MILLION ONE HUNDRED EIGTHY EIGHT THOUSAND PESOS (Php. 2,188,</t>
  </si>
  <si>
    <t xml:space="preserve"> PHOTOCOPIER</t>
  </si>
  <si>
    <t xml:space="preserve"> Item	Quantity	Unit	ARTICLES					 Estimated Unit Cost  1	1	Lot	CONSTRUCTION DRILLING OF A NEW DEEPWELL					 264,611.00  			 -with the following deliverables:					 			 - Well drilling with 9" diameter borehole (100 feet deep)					 			 - PVC Pipe blue casing</t>
  </si>
  <si>
    <t xml:space="preserve"> 18 reams Coupon Bond Long 14 reams Coupon Bond Short 18 reams Coupon Bond A4 8 pieces Document Files 3 boxes Ball pen / Sign Pen 50 pieces Folder Long 4 boxes Pencil 2 pad Yellow Paper 17 bottles Computer Ink Refill Colored 15 bottles Computer Ink refill </t>
  </si>
  <si>
    <t xml:space="preserve"> TERMS and CONDITIONS:    The following documents must be included in the submitted quotation: 1. Eligibility Requirements:   a. PhilGeps Registration Certificate   b. Mayor's Permit   c. DTI Business Registration/SEC/CDA   d. Latest Income business tax re</t>
  </si>
  <si>
    <t xml:space="preserve"> PROCUREMENT TERMS AND CONDITIONS						 						 1. The Total Approved Budget for the Contract (ABC) is One Hundred Ninety Three Thousand Six Hundred Pesos (193,600.00)						 2.  Price Quotation should be inclusive of tax obligation.						 3. Evaluation of b</t>
  </si>
  <si>
    <t xml:space="preserve"> Looking for supplier for ICT use equipment .  Item No.	Item/s and Description					Specification		Quantity	Unit	Budget  Price per unit 1	LED Telivision set					 32" Led TV,digital, with 		8	unit	 10,000.00  						 wall bracket 				 See attached file.</t>
  </si>
  <si>
    <t xml:space="preserve"> Procurement of 1 Lot Heavy Equipment Parts and Supplies of various  heavy equipment (Dresser Payloader 515C; Volvo Prime Mover with Trailer; Dump Truck 6 Wheeler; Komatsu Pay Loader WA320; Galion Motor Grader 830B; Isuzu Mini Dump Truck SGC 781; Isuzu Dum</t>
  </si>
  <si>
    <t xml:space="preserve"> 27700-001	GAUGE  PRESSURE  60 PSI	100	PIECE	3,560.00	356,000.00 27730-001	GAUGE  PRESSURE  0-160 PSI  2 1/2" X 3"	10	PIECE	2,200.00	22,000.00 27731-001	GAUGE  PRESSURE  60 PSI	20	PIECE	3,560.00	71,200.00 TERMS AND CONDITIONS: 1.	Delivery Term: Within 30 c</t>
  </si>
  <si>
    <t xml:space="preserve"> Purchase of one(1) unit motorcycle with stainless side car Displacement of not exceeding 177 cm³ 4 stroke 4 speed, return shift Dual start</t>
  </si>
  <si>
    <t xml:space="preserve"> 243 pcs Lanzones Longkong 243 pcs Lanzones Duco 243 pcs Durian 243 pcs Rambutan 243 pcs C. Pomelo</t>
  </si>
  <si>
    <t xml:space="preserve"> INVITATION TO BID FOR Information and Communication Technology Equipment  (Name of Project)    1.	The CITY GOVERNMENT OF ZAMBOANGA, through the AB FY 2020 intends to apply the sum of ONE MILLION TWO HUNDRED NINETY EIGHT THOUSAND PESOS (P1,298,000.00) ONLY</t>
  </si>
  <si>
    <t xml:space="preserve"> Construction of Multi-Purpose Hall at Samahang Nayon Bantog, Asingan, Pangasinan.</t>
  </si>
  <si>
    <t xml:space="preserve"> Please see attached</t>
  </si>
  <si>
    <t xml:space="preserve"> Lactulose 3.3G/5ML (66%) SYRUP 120ML Requirements for Drugs and Medicines: **Drugs with history of usage from VMMC (Requirements No. 1-5 only) ** **For Innovators (Requirements No. 1-4 only) ** 1. CPR 2. CGMP 3. LTO 4. CERTIFICATE OF DISTRIBUTOSHIP 5. CER</t>
  </si>
  <si>
    <t xml:space="preserve"> Republic of the Philippines Department of Justice BUREAU OF CORRECTIONS SABLAYAN PRISON AND PENAL FARM Occidental Mindoro REQUEST FOR QUOTATION “PROCUREMENT OF PSP HOG FEEDS &amp; ANIMAL MEDICINE FOR THE MONTH OF AUGUST TO SEPTEMBER 2020 AMOUNTING TO PHP 50,1</t>
  </si>
  <si>
    <t xml:space="preserve"> Republic of the Philippines Department of Education Region VI – Western Visayas District of Makato Makato Integrated School DIVISION OF AKLAN Makato, Aklan REQUEST FOR QUOTATION (RFQ) Project No: DepED-RO6-D1-CONSTRUCTIONMATERIALS-001-2019 The Department </t>
  </si>
  <si>
    <t xml:space="preserve"> materials for Installation of Street Lighting Facilities</t>
  </si>
  <si>
    <t xml:space="preserve"> TRAINING EXPENSE</t>
  </si>
  <si>
    <t xml:space="preserve"> Republic of the Philippines PROVINCE OF BUKIDNON Municipality of Sumilao Barangay San Vicente INVITATION TO BID ITB NO. GS-2020-01 PROCUREMENT OF CONSTRUCTION MATERIAL FOR THE COMPLETION OF MULTI-PURPOSE HALL- BARANGAY SAN VICENTE June 30, 2020 1.	The Bar</t>
  </si>
  <si>
    <t xml:space="preserve"> 1,464.00       paxs         meals          150.00           219,600.00 970.00          paxs         snacks          30.00             29,100.00                                                                Total:   248,700.00</t>
  </si>
  <si>
    <t xml:space="preserve"> INVITATION TO BID FOR Other Transportation Equipment  (Name of Project)    1.	The CITY GOVERNMENT OF ZAMBOANGA, through the SB# 01 FY 2019 intends to apply the sum of EIGHT MILLION PESOS (P8,000,000.00) ONLY being the Approved Budget for the Contract (ABC</t>
  </si>
  <si>
    <t xml:space="preserve"> i. Construction of Comfort Room (Day Care Center A)- - - - - - - - - - - - 14,998.00 ii. Construction of Canopy (Phase II)- - - - - - - - - - - - - - - - - - - - - - - 20,858.00 iii. Construction of Public Comfort Room (Cemetery) - - - - - - - - - - - - -</t>
  </si>
  <si>
    <t xml:space="preserve"> REQUEST  FOR  QUOTATION RFQ NO. 2020-06-26-(8099) 								   		PR No. 2020-407 									    		                   June 26, 2020        Date Company Name:	__________________________________________ Address		:	__________________________________________ Pleas</t>
  </si>
  <si>
    <t xml:space="preserve"> Repainting, ceiling repair, installation of window screens and replacement of door and doorkob</t>
  </si>
  <si>
    <t xml:space="preserve"> Looking for Supplier /caterer  Item No.	Item/s and Description				Specification		Quantity	Unit	Budget  Price per unit 	DAY 1 -Foods for June  22 ,2020								 1	A.M.snacks- balenciana,mineral water						39	pax	 50.00  2	Lunch -rice,chopsuey,fried chicken,</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</si>
  <si>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</si>
  <si>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NOTICE TO THE PUBLIC REQUEST FOR PROPOSAL Purchase Request No: PUR20-06-0488 The Philippine General Hospital hereby informs the public that it will be procuring the following item/s through Small Value Procurement: 			Supply and Delivery:			 1.	60 pcs.		T</t>
  </si>
  <si>
    <t xml:space="preserve"> TO BE BID ARE GOOD FOR THE MAINTENANCE OF RESCUE VEHICLES</t>
  </si>
  <si>
    <t xml:space="preserve"> Barangay Sta. Lucia Municipality of Dolores, Quezon INVITATION TO BID FOR CONSTRUCTION OF MINI PARK W/ REHABILITATION OF STREET LIGHT The LGU, through  the General  Fund ( 20% DF)–intends to apply the sum of  One Hundred Twenty Five Thousand and Six Hundr</t>
  </si>
  <si>
    <t xml:space="preserve"> 40 pax Food and Room Accommodation for 2 days July 7-8 2020 32 pax Food and Room Acc0mmodation for 2 days July 9-10 2020 4   day Venue</t>
  </si>
  <si>
    <t xml:space="preserve"> BASKETBALL BACKBOARD,... 7 pair @ 31,575.00/pair   6'X4'X12mm, Fiberglass  SPECIFICATIONS: - Dimension ( LxWx Thickness ): 6'x4'x12 mm -12 mm Tempered Glass with aluminum frame 18mm   acrylic - with dual shock snap back ring - with nylon woven net - with </t>
  </si>
  <si>
    <t xml:space="preserve"> TO BE BID ARE GOOD FOR THE FOR THE PROCUREMENT OF RELIEF GOODS FOR BHERTs &amp; Frontliners</t>
  </si>
  <si>
    <t xml:space="preserve"> 2 Pcs. Photocopier machine (Fax/Copier/Printer/Scanner Specifications:  409 W x 398 x D x 316 H 11.7KG PLEASE SEE ATTACHED RFQ. QUOTE YOUR PRICE AND SUBMIT TO THE BAC SECRETARIAT, PROVINCIAL GENERAL SERVICES OFFICE, MAIN CAPITOL BUILDING, CAPITOL SITE, SU</t>
  </si>
  <si>
    <t xml:space="preserve"> Tire Tubeless,205x70,R16               - 6 pcs Tire Rim XAB16x5 1/2R (115-9TC)  - 1 unit TERMS and CONDITIONS:    The following documents must be included in the submitted quotation: 1. Eligibility Requirements:   a. PhilGeps Registration Certificate   b.</t>
  </si>
  <si>
    <t xml:space="preserve"> Procurement of 1 Lot Office Supplies</t>
  </si>
  <si>
    <t xml:space="preserve"> Fuel, Oil and Lubricants</t>
  </si>
  <si>
    <t xml:space="preserve"> Supply and Delivery of One (1) Lot COVID19 Health and Safety Supplies 10	gals	       Alcohol 70% 200	boxes      Face Mask (50 pcs/box) 10	gals	       Liquid Hand Soap (anti-bacterial) 10	gals	       Zonrox</t>
  </si>
  <si>
    <t xml:space="preserve"> 1 LOT OFFICE SUPPLIES</t>
  </si>
  <si>
    <t xml:space="preserve"> Republic of the Philippines Province of Guimaras OFFICE OF THE BIDS AND AWARDS COMMITTEE INVITATION TO BID FOR    SUPPLY AND DELIVERY OF OFFICE EQUIPMENT Bid Ref. No. 2020-06-377 1.	The Province of Guimaras , through the Capital Outlay 2020  intends to ap</t>
  </si>
  <si>
    <t xml:space="preserve"> Brief Description/Specification: “SUPPLY AND DELIVERY OF VEHICLE PARTS AND VEHICLE OIL” for the repair and maintenance of government vehicle, Army Jeep in the Office of the Sangguniang Bayan Members.   Approved Budget For The Contract:  Php 69,940.00 Esti</t>
  </si>
  <si>
    <t xml:space="preserve"> BIDS AND AWARDS COMMITTEE ATTENTION:		ALL INTERESTED BIDDERS 			 SUBJECT:	INVITATION TO BID –   Procurement of Equipment for CCTV Security System DATE:	June 28, 2020 - - - - - - - - - - - - - - - - - - - - - - - - - - - - - - - - - - - - - - - - - - - - -</t>
  </si>
  <si>
    <t xml:space="preserve"> ITB No. 2020-78 July 1, 2020 Republic of the Philippines Province of Davao Oriental CITY OF MATI INVITATION TO BID LAND DEVELOPMENT - NEW PUNTAVILLE Name of Project 1.	The City Government of Mati, through the 20% Local Development Fund intends to apply th</t>
  </si>
  <si>
    <t xml:space="preserve"> I. ITEM 101: REMOVAL OF STRUCTURE II. REPAIR OF STAIR III. ELECTRICAL WORKS IV. KITCHEN LAVATORY V. CEILING WORKS VI. PAINTING WORKS VII. CONSTRUCTION SAFETY &amp; HEALTH</t>
  </si>
  <si>
    <t xml:space="preserve"> Motorcycle Vehicle</t>
  </si>
  <si>
    <t xml:space="preserve"> REQUEST FOR QUOTATION# Please quote your price on the job/item listed below, subject to the Specification and Terms and Conditions provided herein, stating the shortest time of delivery and submit your quotation in the bid box located at the Procurement S</t>
  </si>
  <si>
    <t xml:space="preserve"> Bureau of Fisheries and						                        Aquatic Resources - 10					ALTERNATIVE METHOD OF PROCUREMENT	                                        Macabalan, Cagayan de Oro City						                              TIN No.: 000-550-823-017						 				</t>
  </si>
  <si>
    <t xml:space="preserve"> Please see the attached file</t>
  </si>
  <si>
    <t xml:space="preserve"> The Cagayan State University is pleased to invite you to quote your lowest price on the item/s attached herewith, stating the shortest time of delivery and submit your quotation duly signed by you, or by your authorized representative.</t>
  </si>
  <si>
    <t xml:space="preserve"> Labotory Outsourcing 12	samples	 Complete Chemical Analysis for Soil Samples  	  	  *********** End users:	Laboratory																				 Deadline for submission of bids:  July 8, 2020  at  12:00pm																					 																					 Please attach/</t>
  </si>
  <si>
    <t xml:space="preserve"> Installation of new table and cabinet</t>
  </si>
  <si>
    <t xml:space="preserve"> 180 packs meals 360 packs snacks</t>
  </si>
  <si>
    <t xml:space="preserve"> Contract ID       :      20CSPA001 Contract Name  :      DETAILED ENGINEERING DESIGN OF ABRA COLISEUM AND  CONVENTION CENTER Location           :      La Paz, Abra The DPWH-Abra District Engineering Office reserves the right to accept or reject any bid an</t>
  </si>
  <si>
    <t xml:space="preserve"> Communication Expenses 100	pcs	Mobile prepaid card, Globe 300 50	pcs	Mobile prepaid card, Smart 300 		 ************* End users:	SWRRD																				 Deadline for submission of bids:  July 8, 2020  at  12:00pm																					 																				</t>
  </si>
  <si>
    <t xml:space="preserve"> CONDUCT OF SOIL TESTING/EXPLORATION FOR THE PROPOSED BRIDGE WIDENING, BADOC BR. (B00564LZ), QUIAOIT BR. (B00571LZ),  ALONG MANILA NORTH ROAD, CABARUAN BR. (B02770LZ), QUIOM BR. (B02768LZ) ALONG BATAC-PINILI VIA MAIPALIG ROAD AND GALPAC BR. (B00555LZ) ALON</t>
  </si>
  <si>
    <t xml:space="preserve"> REQUEST FOR QUOTATION The Bureau of Jail Management and Penology — National Headquarters (BJMPNHQ), through its Bids and Awards Committee, intends to procure Supply and Delivery of Various Brother Ink which will be undertaken in accordance with the 2016 R</t>
  </si>
  <si>
    <t xml:space="preserve"> Republic of the Philippines										 Province of Misamis Oriental										 CITY OF EL SALVADOR										 										 REQUEST FOR QUOTATION										 										 								No.	2020-06-628	 										 										 										 										 	Please quote your price </t>
  </si>
  <si>
    <t xml:space="preserve"> Please refer to the attached Request for Quotation. Thank you.</t>
  </si>
  <si>
    <t xml:space="preserve"> 27636-002	BOOSTER PUMP CENTRIFUGAL	1	UNIT	140,000.00	140,000.00 "Vertical Multi Stage Centrifugal Pump" Type: CR10-04 A-A-A-E-HQQE Model: A96503187P11542 Q: 12.1 m3/h P: 3.0 kW Hz: 60 Rpm: 3500 to 3550 H: 47.2 to 59.1 m pmax: 16 bar tmax: 120 deg. c TERMS</t>
  </si>
  <si>
    <t xml:space="preserve"> 1. Ltr Diesel  2.  Ltr Gasoline  Purpose: For Consumption for LGU Vehicles, Construction and Heavy Equipment for June 24-30, 2020 to July 1-30, 2020  End - User: CSWMO</t>
  </si>
  <si>
    <t xml:space="preserve"> REQUEST  FOR  QUOTATION RFQ NO. 2020-06-26-(8097) 								   		PR No. 2020-405 									    		                   June 26, 2020        Date Company Name:	__________________________________________ Address		:	__________________________________________ Pleas</t>
  </si>
  <si>
    <t xml:space="preserve"> 32” Smart TV 1 pc To be delivered at Baguio Radar PAGASA Station  Pls. submit your quotation thru email:  mi_lynsn@yahoo.com x-x-x-x-x-x-x-x-x-x-x-x-x-x-x-x-x Total ABC  (in PhP) 12,890.00</t>
  </si>
  <si>
    <t xml:space="preserve"> Republic of the Philippines Province of Southern Leyte Municipality of San Juan 					Barangay San Jose BIDS AND AWARD COMMITTEE INVITATION TO BID FOR  Supply &amp; Delivery of  Vehicles The Brgy. San Jose of San Juan, Southern Leyte through the Province Finan</t>
  </si>
  <si>
    <t xml:space="preserve"> Procurement of Maintenance and Refill of Fire Extinguisher. Interested bidders can download the attached file for complete specifications and requirements. Please send your quotation thru this email: caysiebagsit.ritm@gmail.com Note: Kindly make our PR# a</t>
  </si>
  <si>
    <t xml:space="preserve"> REQUEST FOR QUOTATION Please quote your lowest price (price must be inclusive of tax) on the item/s listed below, subject to the General Conditions, stating the shortest time of delivery. Submit your quotation duly signed by your representative and proper</t>
  </si>
  <si>
    <t xml:space="preserve"> Contract ID:	20DL0225 Contract Name:	CONVERGENCE AND SPECIAL SUPPORT PROGRAM, CONSTRUCTION/ IMPROVEMENT OF VARIOUS INFRASTRUCTURE IN SUPPORT OF NATIONAL SECURITY 1. ACCESS ROAD LEADING TO 85TH INFANTRY BATTALION MABUNGA-CASASAHAN ILAYA, GUMACA, QUEZON	 Co</t>
  </si>
  <si>
    <t xml:space="preserve"> TO BE BID ARE GOOD FOR THE FOR THE USE OF PUI/PUM/FRONT LINERS WHILE ON QUARANTINE</t>
  </si>
  <si>
    <t xml:space="preserve"> Republic of the Philippines  Province of Southern Leyte Municipality of Macrohon BARANGAY FLORDELIZ INVITATION TO BID FOR THE REHABILITATION OF HEALTH CENTER /FLORDELIZ, MACROHON, SOUTHERN LEYTE The  Barangay Flordeliz,MAcrohon,Southern Leyte through the </t>
  </si>
  <si>
    <t xml:space="preserve"> 8 units Coffee Pulper  -dual type (manually operated and electric power driven -Prime mover: powered w/ compatible electric motor, 220V single phase -input capacity, electric motor: minimum 300kg/h -input capacity, manual driven: minimum 50kg/h -see attac</t>
  </si>
  <si>
    <t xml:space="preserve"> Republic of the Philippines					 Province of Bukidnon					 Municipality of Lantapan					 					 INVITATION TO BID FOR THE PURCHASE OF MOTORCYCLES FOR BARANGAYS (1ST BID)					 					 1	The Local Government Unit of Lantapan through the General Fund for CY 202</t>
  </si>
  <si>
    <t xml:space="preserve"> To Conduct Verification/Subdivision survey and provide complete docucments as provided in the Survey Return for submittal at LMS-DENR, to wit: 1. Original subdivision plan plotted in the LMB form no. GSD-C-1 2. Lot data computations, original and duplicat</t>
  </si>
  <si>
    <t xml:space="preserve"> 3 sacks mongos 20 powder milk 700 grms 15 case cocoa rich sweetened  250 grams 12 kls dilis 8 sacks brown sugar 15 sacks glutanios rice</t>
  </si>
  <si>
    <t xml:space="preserve"> Supply and delivery of hydrological instrument</t>
  </si>
  <si>
    <t xml:space="preserve"> 1000 pouch Vegetable Seeds (in pouch) -OPV Cabbage - 1000 seeds/pouch -OVP  Lettuce - 1000 seeds/pouch -OPV Sili - 190 seed/pouch -OPV Carrot - 1000/seeds/pouch -OVP Raddish - 1000/seeds/pouch -OPV Upo - 15 seed/pouch -OPV Patola - 150 seeds/pouch -see at</t>
  </si>
  <si>
    <t xml:space="preserve"> Title:Procurement of 1 Pakyaw Remote Sensing Services for Groundwater Availability Exploration(GEO-Resistivity Survey) under 0700-2020-OCA-Support to Quality Corn Development(Trust Fund) Total ABC: Php 100,000.00 (INSTRUCTION AS TO THE REQUIRED FORM: For </t>
  </si>
  <si>
    <t xml:space="preserve"> NOTICE TO THE PUBLIC REQUEST FOR PROPOSAL Purchase Request No: PUR20-06-0475 The Philippine General Hospital hereby informs the public that it will be procuring the following item/s through Small Value Procurement: 1.	22 pcs.		SPO2 EXTENSION CABLE, brand </t>
  </si>
  <si>
    <t xml:space="preserve"> 150 Pcs Goggles Mask (Full Face Protective Sheild)</t>
  </si>
  <si>
    <t xml:space="preserve"> NOTICE TO THE PUBLIC REQUEST FOR PROPOSAL Purchase Request No: PUR20-04-0318 The Philippine General Hospital hereby informs the public that it will be procuring the following item/s through Small Value Procurement: The Philippine General Hospital hereby i</t>
  </si>
  <si>
    <t xml:space="preserve"> Republic of the Philippines BARANGAY NAGPALANGAN BIDS AND AWARDS COMMITTEE Binmaley, Pangasinan INVITATION TO BID The Barangay NAGPALANGAN, Bimaley, Pangasinan through its Bids and Award Committee (BAC), invites supplier to apply for eligibility and to bi</t>
  </si>
  <si>
    <t xml:space="preserve"> 1 JOB ORDER: Installation of Cable Television at Siargao Dormitory Dapa, Surigao del Norte I. Electrical Works A. Materials 3 Rolls Cable wire 1 Unit Amplifier cable (digital) 30 Pcs Connector 3 Pcs 4 way splitter 1 Lot Miscellaneous Labor for Installatio</t>
  </si>
  <si>
    <t xml:space="preserve"> COMPUTER DESKTOP Intel		1 unit Core I3		 8GB Memory		 21" LED Monitor		 1TB Hard Drive		 USB Mouse &amp; Keyboard		 Headset /DVD Writer		 AVR/UPS	1	unit 		 AMD	1	unit AMD Core A8-7680		 Mother Board Gigabyte		 4GB Memory DDR4		 21" LED Monitor		 500GB Hard Dr</t>
  </si>
  <si>
    <t xml:space="preserve"> 50 pc GI Coupling 1/2" sch. 40 std. - Mech 50 pc GI Coupling Reducer 3/4" x 1/2"sch. 40 std. - Mech. 50 pc GI Nipple 1/2" x 4" sch. 40 std.  30 pc GI Nipple 1/2" x 8" sch 40. std.  50 pc GI Tee 1/2" sch. 40 std 50 pc GI Tee 3/4" sch. 40 std. 100 pc Faucet</t>
  </si>
  <si>
    <t xml:space="preserve"> 45	pc	Seedling tray (104 holes) 9	pc	Garden hose (100 meters) 12	pc	Garden Rake 12	pc	Shovel 12	pc	Hand shovel 12	pc	Garden hoe 6	pc	Knapsack Sprayer (16L) 6	pc	Plastic Drum (200 L) 6	pc	Plastic Mulch (400meters) 12	pc	Sticky Traps (10pcs-15cmx30cm) 15	pc</t>
  </si>
  <si>
    <t xml:space="preserve"> Contract ID:	20DL0226 Contract Name:	CONVERGENCE AND SPECIAL SUPPORT PROGRAM, CONSTRUCTION/ IMPROVEMENT OF ACCESS ROADS LEADING TO DECLARED TOURISM DESTINATIONS 4. ACCESS ROAD LEADING TO LAMESANG BATO, CALAUAG, QUEZON	 	 Contract Location:	CALAUAG, QUEZON</t>
  </si>
  <si>
    <t xml:space="preserve"> Invitation to Bid for the 2nd Public Bidding: Construction of Covered Path Walk, Kitchen and Laundry Area for AVRC III The Department of Social Welfare and Development (DSWD) Field Office IX, through the 2020 General Appropriation Act intends to apply the</t>
  </si>
  <si>
    <t xml:space="preserve"> 2 units Electric Sewer/Bagger -with plastic handle for safety -oil pump lubrication system -oil lines direct lubrication to main moving elements -electric motor , 220V, single phase, 50-60Hz -speed (sec/bag):-5-6 -see attached RFQ Form for details.</t>
  </si>
  <si>
    <t xml:space="preserve"> 1.          1000        pcs         AEROPIONEER LITERARY FOLIO                                           Five by Seven inches ( 5"x 7"" )                                           Full Color                                            Paper: Glossy        </t>
  </si>
  <si>
    <t xml:space="preserve"> Contract ID:	20DL0227 Contract Name:	CONVERGENCE AND SPECIAL SUPPORT PROGRAM, CONSTRUCTION/ IMPROVEMENT OF ACCESS ROADS LEADING TO TRADES, INDUSTRIES AND ECONOMIC ZONES 5. ACCESS ROADS IN SUPPORT OF HANDICRAFTS, FOODS, COCONUT PROCESSING AND OTHER AGRI-BA</t>
  </si>
  <si>
    <t xml:space="preserve"> Paint 4 pail white (16 liters); Gloss 3 liter Green 3 liter Brown 3 liter Blue 3 liter Red 4 unit Black Metal Sheet  Flat Sheet 4 piece 4x8 6 piece 3x8 Cocolumber 10 piece Dos por Dos (10 ft.) 15 piece Dos por tres (10 ft.) Nails 10 kilo De Tres 10 kilo D</t>
  </si>
  <si>
    <t xml:space="preserve"> Republic of the Philippines DEPARTMENT OF PUBLIC WORKS AND HIGHWAYS Zamboanga Sibugay 2nd DISTRICT ENGINEERING OFFICE REGIONAL OFFICE IX Ipil Zamboanga Sibugay INVITATION TO BID Date: June 30, 2020  The Zamboanga Sibugay 2nd District Engineering Office, t</t>
  </si>
  <si>
    <t xml:space="preserve"> Various Equipment &amp; Supplies</t>
  </si>
  <si>
    <t xml:space="preserve"> 1	pc.	2"x4"x21 ft Analoc type Rectangular Aluminum tube						 1	pc.	½"x4'x8' -Marine Plywood						 1	tube	Sealant						 2	sheet	¼" Thick x 1.2m x 1.8m x 1.8m Clear Glass						 5	sheet	½ x2"x3' Cork board						 1	set	Glass Clip						 1	set	Glass lock						</t>
  </si>
  <si>
    <t xml:space="preserve"> Seventeen (17) pcs A4 Tech Keyboard and 70 other LI</t>
  </si>
  <si>
    <t xml:space="preserve"> Please download and then print the attached Request for Price Quotation Form (RFQ Form) if you want to bid/quote and also if your business is registered as supplier in PhilGEPS. To view this attachment, just click “ORDER” opposite the ASSOCIATED COMPONENT</t>
  </si>
  <si>
    <t xml:space="preserve"> 2020 17TH PUBLIC BIDDING for PROCUREMENT OF MEDICAL IMAGING SUPPLIES FOR 2020 2ND SEMESTER CONSUMPTION</t>
  </si>
  <si>
    <t xml:space="preserve"> Procurement of Supplies for the Preparation of Pandesal</t>
  </si>
  <si>
    <t xml:space="preserve"> Refrigerator 1 pc To be delivered at Baguio Radar PAGASA Station Pls. submit your quotation thru email:  mi_lynsn@yahoo.com x-x-x-x-x-x-x-x-x-x-x-x-x-x-x-x-x Total ABC  (in PhP) 13,016.00</t>
  </si>
  <si>
    <t xml:space="preserve"> Municipality of Looc Invitation to Bid for Construction of One Classroom in Brgy. Tabao-Ambil 1.	The Municipality of Looc, through the CCO intends to apply the sum of Php 1,150,000.00 being the Approved Budget for the Contract (ABC) to payments under the </t>
  </si>
  <si>
    <t xml:space="preserve"> •	Split Type Airconditioner (Basic)     -     2 units         KSW-18R5CA        2.0HP     •	Window Type Airconditioner (Basic)  - 2 units         CW-SC184EPH         2.0HP</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</si>
  <si>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</si>
  <si>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Republic of the Philippines						CASO		 		Government of Ormoc City						P.R. No.:  	201715	 		BIDS AND AWARDS COMMITTEE						Quotation No.: 	204487-6164	 		Ormoc City						PhilGEPs No.: 		 										 Standard Form Title:			REQUEST FOR QUOTATION							 			</t>
  </si>
  <si>
    <t xml:space="preserve"> TO BE BID ARE GOOD FOR THE FOOD EXPENSES OF MEDICAL AND OTHER LGU PERSONNEL</t>
  </si>
  <si>
    <t xml:space="preserve"> REPUBLIC OF THE PHILIPPINES PROVINCE OF SURIGAO DEL NORTE MUNICIPALITY OF SAN ISIDRO San Isidro, Surigao del Norte 	 Section I. Invitation for Negotiated Procurement SUPPLY AND DELIVERY OF ONE (1) LOT 2nd QUARTER FUELS, OILS AND LUBRICANTS 1.	In view of t</t>
  </si>
  <si>
    <t xml:space="preserve"> 1 1/2"X60.0 MTS. SDR 13.6 HDPE Pipe ---------20 rolls</t>
  </si>
  <si>
    <t xml:space="preserve"> Republic of the Philippines														 PROVINCE OF ZAMBOANGA SIBUGAY														 Municipality of Payao														 														 INVITATION TO BID														 										PR2020-06-29-083				 The Local Government Unit of Payao, Zamboanga Sibugay, </t>
  </si>
  <si>
    <t xml:space="preserve"> 30	pack	Pepper (100g per pack) 129	pc	Peppper Seedling 30	pack	Eggplant (100g per pack) 225	pc	Eggplant seedling 30	pack	Tomato (100g per pack) 225	pack	Tomato Seedling 15	pc	Kalabasa (250g per pack) 36	pack	Kalabasa Seedling 15	pc	Patola (250g per pack) </t>
  </si>
  <si>
    <t xml:space="preserve"> REQUEST FOR QUOTATION 	The Caraga State University-Cabadbaran Campus, through its Bids and Awards Committee (BAC), will undertake a Negotiated Procurement (Small Value Procurement) for the project: SUPPLY, DELIVERY AND INSTALLATION OF CSUCC ELECTRONICS SW</t>
  </si>
  <si>
    <t xml:space="preserve"> 1 unit           1 tonner floor type aircon 2 units          1 hp window type aircon 1 unit            7 cubic ft refrigerator, 2 door and inverter type Nothing Follows ***</t>
  </si>
  <si>
    <t xml:space="preserve"> Republic of the Philippines Province of Ifugao Municipality of Hingyon  Bids and Awards Committee  INVITATION TO BID Publication No. 014 – 2020 (SECOND POSTING – SUPPLY AND DELIVERY OF ONE (01) UNIT NPL-322+ PRISMLESS TOTAL STATION FOR THE MUNICIPAL ASSES</t>
  </si>
  <si>
    <t xml:space="preserve"> for instructional materials</t>
  </si>
  <si>
    <t xml:space="preserve"> REQUEST  FOR  QUOTATION RFQ NO. 2020-06-24-(8087) 								   		PR No. 2020-393 									    		                   June 24, 2020        Date Company Name:	__________________________________________ Address		:	__________________________________________ Pleas</t>
  </si>
  <si>
    <t xml:space="preserve"> 1.  2,000 pcs. Galvanized Tricycle Plate 5"x9" 2.  2,000 pcs. Printable Vinyl Sticker 5"x9" 3.  3,500 pcs Printable Vinyl Sticker 2cmx4cm    ---------------Nothing Follows--------------- Purpose: Renewal of Plates for Tricycle Franchise End-User: TFLRU</t>
  </si>
  <si>
    <t xml:space="preserve"> 4 x 4; Double Cab, Manual Transmission Specs: - 6-Speed Manual Transmission - Displacement - 2497cc - Torque (kgf-m/rpm)16.8/2400 - Power (ps/pm) 130/3800 - Valve System - DOHC (4 valve/cyl) - Lenght - 4855mm - Width - 1740mm - Height - 1995mm - Wheel Bas</t>
  </si>
  <si>
    <t xml:space="preserve"> Republic of the Philippines														 PROVINCE OF ZAMBOANGA SIBUGAY														 Municipality of Payao														 														 INVITATION TO BID														 										PR2020-06-29-084				 The Local Government Unit of Payao, Zamboanga Sibugay, </t>
  </si>
  <si>
    <t xml:space="preserve"> SEE PR &amp; POW</t>
  </si>
  <si>
    <t xml:space="preserve"> please download the ITB and its other supporting documents in the associated component</t>
  </si>
  <si>
    <t xml:space="preserve"> 289 BAG PORTLAND CEMENT 34 CU.M GRAVEL 17 CU.M SAND</t>
  </si>
  <si>
    <t xml:space="preserve"> the specification is available at the Bids and Awards Committee Secretariat MPDC-2nd Floor, Lasam Municipal Town Hall Centro 02, Lasam, Cagayan</t>
  </si>
  <si>
    <t xml:space="preserve"> REQUEST FOR QUOTATION 	The Caraga State University-Cabadbaran Campus, through its Bids and Awards Committee (BAC), will undertake a Negotiated Procurement (Small Value Procurement) for the project: PROCUREMENT ON SUPPLY AND DELIVERY OF CONSTRUCTION MATERI</t>
  </si>
  <si>
    <t xml:space="preserve"> Concreting of FMR</t>
  </si>
  <si>
    <t xml:space="preserve"> June 30, 2020 REQUEST FOR QUOTATION (RFQ) VACUUM CLEANER 1.	The Batangas Medical Center hereinafter referred to as the “Purchaser” now request for submission of price proposal for the procurement of the aforesaid item described in the Technical Specificat</t>
  </si>
  <si>
    <t xml:space="preserve"> 4	box	Electrical Wire # 12 AWG, 3.5mm stranded, 150 meter/box 2	box	Electrical Wire # 12 AWG, 8 mm stranded, 100 meter/box 2	pcs	Circuit breaker with housing, 15 amperes 2	pcs	Circuit breaker with housing, 30 amperes 2	pcs	Circuit breaker with housing, 60</t>
  </si>
  <si>
    <t xml:space="preserve"> INVITATION TO BID Construction Materials (Rehabilitation of Multi-Purpose Hall) Project No: 2020-003 The Brgy. Council Aningalan, San Remigio, through the 20% Dev’t. Fund 2nd Qtr. CY 2020 intends to apply the sum of Seventy-Two Thousand Six Hundred Fifty </t>
  </si>
  <si>
    <t xml:space="preserve"> Republic of the Philippines JOSE RIZAL MEMORIAL STATE UNIVERSITY KATIPUNAN CAMPUS Katipunan, Zamboanga del Norte Invitation to Bid: Purchase of Animal Feeds 1)	The Jose Rizal Memorial State University-Katipunan Campus, Katipunan, Zamboanga del Norte throu</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</si>
  <si>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</si>
  <si>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please see attached purchase request...</t>
  </si>
  <si>
    <t xml:space="preserve"> 1 unit Monitor-43’’ Inc Devant Smart TV 1 unit DVR- Hikvision digital video recorder MODEL DS-7261HQHI-K2 UP TO 4MP 12 unit Camera-Hikvision COLOR CAMERA MODEL DS-2CE56HOT-ITMF 5MP Dome Camera 1 unit Power Supply- 20a Arrow/Multi-way w/ case 300  mtrs Cab</t>
  </si>
  <si>
    <t xml:space="preserve"> 15	Box	Ballpen (Color Black) 12's 15	Box	Ballpen (Color Blue) 12's 15	Box	Ballpen (Color Red) 12's 10	Box	Binder Clips 12's 100	Ream	Bondpaper Long Size GSM 70  100	Ream	Bondpaper Short Size GSM 70  30	Ream	Bond Paper GSM 80 Long Size 30	Ream	Bond Paper G</t>
  </si>
  <si>
    <t xml:space="preserve"> INK CART, HP F6V26AA (HP680) BLACK                       35 CART INK CART, HP F6V27AA (HP680) TRI-COLOR                25 CART</t>
  </si>
  <si>
    <t xml:space="preserve"> see the attached RFQ, submit necessary file and sent to this ; email : johnedmar.barairo@deped.gov.ph  phone no. (049) 530-0284 - we prioritize bidder/supplier who completed and complied the process. - if system error occur pls. contact us.</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</si>
  <si>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</si>
  <si>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PURCHASE REQUEST  Municipality of Buenavista  LGU  Department: LGU-BUENAVISTA Section: DRRM PR: Date:  SA1 No.  Qty. 		Unit	Item Description 	Estimated Unit cost 	Estimated Total cost  BONGO TRUCK 8	liters	engine oil 1	pc	oil filter 1	pc	fuel filter 3	pcs</t>
  </si>
  <si>
    <t xml:space="preserve"> please download rfq and store furnish in the associated component</t>
  </si>
  <si>
    <t xml:space="preserve"> REQUEST FOR QUOTATION 	The Caraga State University-Cabadbaran Campus, through its Bids and Awards Committee (BAC), will undertake a Shopping-Ordinary/Regular Office Supplies for the project: PROCUREMENT ON SUPPLY AND DELIVERY OF VARIOUS OFFICE SUPPLIES (C</t>
  </si>
  <si>
    <t xml:space="preserve"> 38 FLASHDRIVE 8 HARD DRIVE</t>
  </si>
  <si>
    <t xml:space="preserve"> Supply and delivery of labor and materials for the repair of GID Warehouse covering the replacement of damaged GI sheet roofings, gutters, flashing, ridge, skylights and rotary ventilators</t>
  </si>
  <si>
    <t xml:space="preserve"> Procurement Terms and Conditions 1. The Total Approved Budget for the Contract (ABC) is Php303,000.00 2. Price quotation should be include of the required tax obligations. 3. Delivery period is 10 days upon receipt of Notice of Award (NOA) 4. Place of del</t>
  </si>
  <si>
    <t xml:space="preserve"> Construction of 4sty-16cl (2 Science Laboratory workshop, 2 ICT Laboratory workshop &amp; 4 Regular workshop) with site adaptation and demolition</t>
  </si>
  <si>
    <t xml:space="preserve"> Republic of the Philippines PROVINCE OF ZAMBOANGA DEL SUR Municipality of Dumalinao Barangay Bibilik BIDS AND AWARDS COMMITTEE INVITATION TO APPLY FOR ELIGIBILITY AND TO BID The Local Government Unit of Bibilik, Dumalinao, Zamboanga del Sur, through its B</t>
  </si>
  <si>
    <t xml:space="preserve"> 5	kilo	G.I Wire # 16 10	kilo	G.I Wire # 14 3	kilo	Garden Hose, 1/2 inch diameter, 90 meter per roll, braided flexible hose, heavy duty 2	roll	Garden Hose, 1/2 inch diameter, 60 meter per roll, braided flexible hose, heavy duty 10	pcs	Meter Stick,  hardwor</t>
  </si>
  <si>
    <t xml:space="preserve"> SEE ATTACHED PR</t>
  </si>
  <si>
    <t xml:space="preserve"> 4 pcs. Adaptor R410A 1 unit Air-Conditioning Cleaning Cover 2 pcs. Blow Torch Regulator 4 pcs. Cutting Disk 4" 2 unit Electrical Drill, 620W 4 pcs. Flaring Tool, 1/4-3/4" 2 set Gauge Manifold. R410 w/ Hose 2 set Gauge Manifold. R22 w/ Hose 2 unit Grinder </t>
  </si>
  <si>
    <t xml:space="preserve"> COVID MITIGATION</t>
  </si>
  <si>
    <t xml:space="preserve"> Isophane Insulin Human (Recombinant DNA) 100IU/ml, 10ml Requirements for Drugs and Medicines: **Drugs with history of usage from VMMC (Requirements No. 1-5 only) ** **For Innovators (Requirements No. 1-4 only) ** 1. CPR 2. CGMP 3. LTO 4. CERTIFICATE OF DI</t>
  </si>
  <si>
    <t xml:space="preserve"> Supply and Delivery of Split-Type Air Conditioning Unit intended for LGU Manito all in accordance with the bill of quantities and specifications. 2.0 HP, Power Supply- 1ph 230v 60hz, Capacity-21,960 KJ/hr, Power Input-1,800W (240-2100), EER-122KJ/hr (180-</t>
  </si>
  <si>
    <t xml:space="preserve"> PURCHASE REQUEST  Municipality of Buenavista  LGU  Department: LGU-BUENAVISTA Section: DA PR: Date:  SA1 No.  Qty. 		Unit	Item Description 	Estimated Unit cost 	Estimated Total cost  145	pcs	sarol TOTAL  Purpose: Procurement of gardening tools Requested b</t>
  </si>
  <si>
    <t xml:space="preserve"> PURCHASE REQUEST  Municipality of Buenavista  LGU  Department: LGU-BUENAVISTA Section: MO PR: Date:  SA1 No.  Qty. 		Unit	Item Description 	Estimated Unit cost 	Estimated Total cost  1		lot	single panel fix glass 58 x 94 inches with 1 x 1 framing using ¼ </t>
  </si>
  <si>
    <t xml:space="preserve"> I. WALL PLASTERING II. FLOORING/FLOOR TILES III. DOORS / WINDOWS W/ GRILLS IV. ELECTRICAL WORKS V. CEILING VI. COMFORT ROOMS VII. LAVATORY WITH TILES VIII. PLUMBING WORKS IX. SEPTIC TANK X. PAINTING WORKS XI. STAIRS</t>
  </si>
  <si>
    <t xml:space="preserve"> Prepaid Cards 282	pcs	Smart (300) 282	pcs	Globe (300) ************ End users:	OAP																				 Deadline for submission of bids:  July 8, 2020  at  12:00pm																					 																					 Please attach/submit the following documents with </t>
  </si>
  <si>
    <t xml:space="preserve"> RPQ</t>
  </si>
  <si>
    <t xml:space="preserve"> Procurement of Materials for the Replacement of broken floor tiles of RELC  	15 piece Ceramic floor tiles,60cmx60cm,color white(with sample)			 	6 piece	Ceramic floor tiles,60cmx60cm,color brown (with sample)			 	20 piece Ceramic floor tiles,20cmx20cm,</t>
  </si>
  <si>
    <t xml:space="preserve"> 399  bags   Cement 36  Cu.m.   Gravels 24  Cu. M.   Sand 10   pcs    RSB 12mm 48   Cu.m  ASBC 180    Bd.ft.  Cco lumber 2 x6 x10 5    kls   CWN #3 2   kls   CWN #2 1/2</t>
  </si>
  <si>
    <t xml:space="preserve"> PURCHASE OF VARIOUS FORM FOR INVENTORY PURPOSES OF GSO</t>
  </si>
  <si>
    <t xml:space="preserve"> Republic of the Philippines Province of Pangasinan Municipality of Bugallon OFFICE OF THE BIDS AND AWARDS COMMITTEE INVITATION TO BID The Barangay Angarian of the Municipality of Bugallon, Pangasinan, through its Bids and Awards Committee (BAC), invites c</t>
  </si>
  <si>
    <t xml:space="preserve"> Furnishing &amp; delivery of construction materials , labor, tools and equipment and other incidentals only. Schedule of Activities: Issuance of Bid Documents - July 1-22, 2020 Pre-Bid Conference - July 9, 2020; 1:00 p.m. Submission of Bids - on or before Jul</t>
  </si>
  <si>
    <t xml:space="preserve"> Various Office Supplies</t>
  </si>
  <si>
    <t xml:space="preserve"> Nasipit District Hospital Agusan del Norte</t>
  </si>
  <si>
    <t xml:space="preserve"> Materials only:  5 cu.m.  Embankment materials  4 cu.m.  Gravel Bedding  215 kgs  Steel bar 10mm  25 kgs  Tie wire  40 bags Cement   2 cu.m. Sand  619 pcs  CHB 4"  14 bags  Cement   2 cu.m.  Sand  63 bags Cement   7 cu.m. Gravel   4 cu.m.  Sand 133 bd.ft.</t>
  </si>
  <si>
    <t xml:space="preserve"> INVITATION TO BID                                   FOR THE PROCUREMENT OF SECURITY SERVICES FOR                          ADMINISTRATIVE CENTER AND CAGAYAN DE ORO CITY POST OFFICE 	The Philippine Postal Corporation, through the CY 2020 Corporate Budget ap</t>
  </si>
  <si>
    <t xml:space="preserve"> Republic of the Philippines JOSE RIZAL MEMORIAL STATE UNIVERSITY KATIPUNAN CAMPUS Katipunan, Zamboanga del Norte Invitation to Bid: Purchase of Agricultural Chemicals 1)	The Jose Rizal Memorial State University-Katipunan Campus, Katipunan, Zamboanga del N</t>
  </si>
  <si>
    <t xml:space="preserve"> PROCUREMENT TERMS AND CONDITIONS						 						 1. The Total Approved Budget for the Contract (ABC) is One Hundred Twenty Thousand Three Hundred Seventy &amp; 25/100 Only						     (Php. 120,370.25) 						 2.  Price Quotation should be inclusive of tax obligati</t>
  </si>
  <si>
    <t xml:space="preserve"> Grade 7 - 1200 x 271 pages Grade 8 - 1000 x 280 pages Grade 9 - 950 x 274 pages Grade 10 - 900 x 273 pages Grade 11 - HUMMS 50 X 337 pages Grade 11 - GAS 50 x 336 pages Grade 11 - ABM 50 x 333 pages Grade 11 - STEM  50 x 292 pages Grade 12 - HUMMS 50 x 29</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</si>
  <si>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</si>
  <si>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INVITATION TO BID REPUBLIC OF THE PHILIPPINES CITY OF GOVERNMENT OF NAVOTAS BARANGAY SAN RAFAEL VILLAGE   BIDS AND AWARDS COMMITTEE 1.The Sangguniang BaraNGAY San Rafael Village, through its Bids and Awards Committee intends to  apply the sun of One Hundr</t>
  </si>
  <si>
    <t xml:space="preserve"> Republic of the Philippines Province of Ifugao Municipal Government of Hingyon BIDS AND AWARDS COMMITTEE – GOODS REQUEST FOR QUOTATION (Small Value Procurement) Second Posting RFQ No. 002-2020 Bid Opening: July 06, 2020 To			: ALL PROSPECTIVE BIDDERS Addr</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</si>
  <si>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</si>
  <si>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Purchase of Medical Supplies for the use of Ospital ng Lungsod ng San Jose Del Monte</t>
  </si>
  <si>
    <t xml:space="preserve"> SUPPLY AND DELIVERY OF CONSTRUCTION MATERIALS</t>
  </si>
  <si>
    <t xml:space="preserve"> Supply &amp; Delivery of Other Supplies for Mayor's Office, Municipality of Bongabong, Oriental Mindoro</t>
  </si>
  <si>
    <t xml:space="preserve"> Purchase of Powdered Milk for Adults &amp; Kids</t>
  </si>
  <si>
    <t xml:space="preserve"> see attached documents.</t>
  </si>
  <si>
    <t xml:space="preserve"> 1 roll Copper Tube 5/8 1 roll Copper Tube 1/2 2 roll Copper Tube 1/4 10 piece Copper Elbow 5/8 10 piece Copper Elbow 1/2 8 piece Rubber Insulation 5/8 10 piece Rubber Insulation 3/4 20 piece Silver Rod 2 can Map Gas 1 tank Freon 410A  2 roll Polyethelene </t>
  </si>
  <si>
    <t xml:space="preserve"> for the maintenance of barangay road.</t>
  </si>
  <si>
    <t xml:space="preserve"> Bid-opening-July 9,2020 at 2:00 p.m.</t>
  </si>
  <si>
    <t xml:space="preserve"> CONDUCT OF SOIL TESTING/EXPLORATION FOR THE PROPOSED MULTI-STOREY SCHOOL BUILDINGS, BATAC CITY, BADOC &amp; MARCOS, ILOCOS NORTE 1.	The Department of Public Works and Highways, Ilocos Norte 2nd District Engineering Office, through the PDE 2019, intends to app</t>
  </si>
  <si>
    <t xml:space="preserve"> Republic of the Philippines Province of Palawan  Municipal Government of Cuyo BIDS AND AWARDS COMMITTEE Email Address: baccuyopalawan@gmail.com INVITATION TO BID  STRAIGHT CONTRACT FOR THE CONSTRUCTION AND REHABILITATION OF BANCAL SLOPE PROTECTION, PUROK </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</si>
  <si>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</si>
  <si>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CLINIC SUPPLIES</t>
  </si>
  <si>
    <t xml:space="preserve"> INSTALLATION OF 12 UNITS QUARANTINE FACILITIES.</t>
  </si>
  <si>
    <t xml:space="preserve"> The City Government of Malolos, through its BIDS and AWARDS COMMITTEE (BAC) Invites Suppliers/Manufacturers/Distributors to Bid for hereunder procurement:  PR No. : GSO-2020-06-872 Name of Project : PURCHASE OF 1,803 UNITS OF ICT EQUIPMENT (LAPTOP) FOR TH</t>
  </si>
  <si>
    <t xml:space="preserve"> 54 pcs 12mm dia x 6m - RSB 44 bags Cement 5 kg CW Nails, 1 1/2" 5 kg CW Nails, 3" 5 kg CW Nails, 4" 1 Qrt Enamel Paint (Semi-gloss Black) 1 Gal Enamel Paint (Semi-gloss Yellow) 1 Length GI Pipe 2" dia 1 sheet GI Plain sheet, 0.6mm thk 5 kg GI Tie Wire #16</t>
  </si>
  <si>
    <t xml:space="preserve"> Republic of the Philippines PROVINCE OF ZAMBOANGA DEL SUR Municipality of Dumalinao BIDS AND AWARDS COMMITTEE INVITATION TO APPLY FOR ELIGIBILITY AND TO BID The Local Government Unit of Dumalinao, Zamboanga del Sur, through its Bids and Awards Committee (</t>
  </si>
  <si>
    <t xml:space="preserve"> for sbm wins supplies</t>
  </si>
  <si>
    <t xml:space="preserve"> INVITATION TO BID IB NO. CW 2020 –  102 Infrastructure Project (Phase II) for Oriental Mindoro Rehabilitation and Recovery Center,  Brgy. Ilaya, Calapan City, Oriental Mindro 1.  The Provincial Government of Oriental Mindoro (PGOM) through the DOH Trust F</t>
  </si>
  <si>
    <t xml:space="preserve"> Provincial Social Welfare Development Office Agusan del Norte</t>
  </si>
  <si>
    <t xml:space="preserve"> INVITATION TO REBID FOR THE PROCUREMENT OF SUPPLY &amp; DELIVERY OF BANANA PLANTLET      1.	The Department of Agriculture Regional Field Office 6 through the General Appropriations Act (GAA) of 2020 intends to apply the sum of One Million Eight Hundred Twenty</t>
  </si>
  <si>
    <t xml:space="preserve"> See Attachment</t>
  </si>
  <si>
    <t xml:space="preserve"> Repainting, replacement of door and doorknob, installation of window screen, and installation of electrical connection</t>
  </si>
  <si>
    <t xml:space="preserve"> Republic of the Philippines JOSE RIZAL MEMORIAL STATE UNIVERSITY KATIPUNAN CAMPUS Katipunan, Zamboanga del Norte Invitation to Bid: Purchase of Office Equipment 1)	The Jose Rizal Memorial State University-Katipunan Campus, Katipunan, Zamboanga del Norte t</t>
  </si>
  <si>
    <t xml:space="preserve"> Republic of the Philippines						CAO		 		Government of Ormoc City						P.R. No.:  	201766	 		BIDS AND AWARDS COMMITTEE						Quotation No.: 	204483-6162	 		Ormoc City						PhilGEPs No.: 		 										 Standard Form Title:			REQUEST FOR QUOTATION							 				</t>
  </si>
  <si>
    <t xml:space="preserve"> Republic of the Philippines Department of Education National Capital Region Schools Division Office - Taguig City and Pateros SILANGAN ELEMENTARY SCHOOL Telephone Nos. (02) 478-9458          JUNE 30, 2020                                     BIDS AND AWARD</t>
  </si>
  <si>
    <t xml:space="preserve"> Network Devices and Installation Service 1. LRT224 Dual WAN, Business Gigabit VPN Router..........................................1 unit 2. LAPAAC1750 Business, AC1750 Dual Band Access Point ...............................3 units 3. Wireless Router, LRT22</t>
  </si>
  <si>
    <t xml:space="preserve"> Republic of the Philippines Province of Cotabato Municipality of Arakan Barangay Ganatan BIDS AND AWARDS COMMITTEE REQUEST FOR QUOTATION Supply of Materials for Culverts  The Barangay Local Government Unit of Ganatan is inviting interested suppliers to su</t>
  </si>
  <si>
    <t xml:space="preserve"> 6    pcs   Solar Street light (Big Light) 6    Post Bracket 12   Pcs   Metal Post Clamp 6    set    Post Light Schedule 402" 11   pcs    G.I.  Pipe #2   Sched. 40</t>
  </si>
  <si>
    <t xml:space="preserve"> 1. The National Irrigation Administration (NIA), Regional Irrigation Office No.7, through the Small Reservoir Irrigation Project (SRIP) 2020 intends to apply the sum of Two Million Four Hundred Twenty Nine Thousand Four Hundred Eighty Nine Pesos (P 2,429,</t>
  </si>
  <si>
    <t xml:space="preserve"> 9 Pail Flush Ordinary Toilet Bowl</t>
  </si>
  <si>
    <t xml:space="preserve"> Purchase of Office Supplies and Materials (see attached RFQ)</t>
  </si>
  <si>
    <t xml:space="preserve"> REPAIR &amp; MAINTENANCE BUILDING</t>
  </si>
  <si>
    <t xml:space="preserve"> Repainting, Extension of ramp, repair of CR door, installation of electrical connection and replacement of main door</t>
  </si>
  <si>
    <t xml:space="preserve"> Republic of the Philippines Province of Cotabato Municipality of Arakan Barangay Ganatan BIDS AND AWARDS COMMITTEE REQUEST FOR QUOTATION Supply of Assorted Materials The Barangay Local Government Unit of Ganatan is inviting interested suppliers to submit </t>
  </si>
  <si>
    <t xml:space="preserve"> See attachment</t>
  </si>
  <si>
    <t xml:space="preserve"> 33 KLS TIE WIRE #16 20 PCS COCO LUMBER 2X2X12 4 KLS CWN ASSTD. 86 BAGS CEMENT 3.5 CU.M SAND 9.5 CU.M GRAVEL 3/4" 10 PCS ORD. PLYWOOD 1/4" 12 PCS 10MM, SRB 110 PCS 9MM, SRB 42 PCS 12MM, SRB 400 PCS CHB # 3.5 CU.M FINISHING SAND</t>
  </si>
  <si>
    <t xml:space="preserve"> The Municipality of Bay, through the GOP – 20% Economic Development Fund (EDF) intends to apply the sum of One Million Pesos Only (PHP 1,000,000.00) being the Approved Budget for the Contract (ABC) to payments under the contract for the Delivery of labor </t>
  </si>
  <si>
    <t xml:space="preserve"> RFQ2020-06-1007 Category	Item No.	QTY	Unit of Issue	Item Description	Stock No. / APP NO	Estimated Unit Cost	Estimated Cost Construction Materials and Supplies		30	sqm	Pre-painted Metal Roofing Sheet Ga. 26 Long Span (green)		720	21,600.00 Construction Mat</t>
  </si>
  <si>
    <t xml:space="preserve"> •	Drone   -     2 Units         Maximum takeoff weight-2.00lb/907g         Maximum horizontal speed: 44.7 mph/72km/h         Maximum ascent speed: 16.4 ft/s/5 m/s         Maximum descent speed: 9.8 ft/s/3 m/s         Maximum wind resistance: 23.6 mph/38 k</t>
  </si>
  <si>
    <t xml:space="preserve"> REPAIR &amp; IMPROVEMENT OF SCHOOL CLINIC</t>
  </si>
  <si>
    <t xml:space="preserve"> Supply and Delivery of Fire Extinguisher for the compliance of violations for the fire Code of the Philippines of 2008 (R.A. 9514)</t>
  </si>
  <si>
    <t xml:space="preserve"> Provincial Health Office Agusan del Norte</t>
  </si>
  <si>
    <t xml:space="preserve"> 1			Ceiling eaves (spandrel)	 2			Paints	 3			Tiles	 4			Ceiling	 5	1	set	Panel door</t>
  </si>
  <si>
    <t xml:space="preserve"> 4 piece Tires (195R15c)</t>
  </si>
  <si>
    <t xml:space="preserve"> Please quote your lowest price inclusive of VAT on the item/s listed below, subject to the Terms and Conditions of this RFQ, and submit your quotation duly signed by your representative not later than July 06, 2020 at Bids and Awards Committee, Ground Flo</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</si>
  <si>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</si>
  <si>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Republic of the Philippines						ENRO		 		Government of Ormoc City						P.R. No.:  	201593	 		BIDS AND AWARDS COMMITTEE						Quotation No.: 	204463-6152	 		Ormoc City						PhilGEPs No.: 		 										 Standard Form Title:			REQUEST FOR QUOTATION							 			</t>
  </si>
  <si>
    <t xml:space="preserve"> Contract ID:	20DL0228 Contract Name:	ORGANIZATIONAL OUTCOME 2 : PROTECT LIVES AND PROPERTIES AGAINST MAJOR FLOODS, FLOOD MANAGEMENT PROGRAM, CONSTRUCTION/ MAINTENANCE OF FLOOD MITIGATION STRUCTURES AND DRAINAGE SYSTEMS 6. CONSTRUCTION OF FLOOD CONTROL STR</t>
  </si>
  <si>
    <t xml:space="preserve"> Republic of the Philippines						CPDO		 		Government of Ormoc City						P.R. No.:  	201797	 		BIDS AND AWARDS COMMITTEE						Quotation No.: 	204479-6160	 		Ormoc City						PhilGEPs No.: 		 										 Standard Form Title:			REQUEST FOR QUOTATION							 			</t>
  </si>
  <si>
    <t xml:space="preserve"> MOBILIZATION/DEMOBILIZATION FORM WORKS MASONRY WORKS</t>
  </si>
  <si>
    <t xml:space="preserve"> June 30, 2020 REQUEST FOR QUOTATION (RFQ) COLD BLOCKS 1.	The Batangas Medical Center hereinafter referred to as the “Purchaser” now request for submission of price proposal for the procurement of the aforesaid item described in the Technical Specification</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</si>
  <si>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</si>
  <si>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Republic of the Philippines Bangsamoro Autonomous Region in Muslim Mindanao Provincial Government of Maguindanao BIDS AND AWARDS COMMITTEE REQUEST FOR QUOTATION The PROVINCIAL GOVERNMENT OF MAGUINDANAO – Office of the Provincial General Services invites a</t>
  </si>
  <si>
    <t xml:space="preserve"> SUPPLY AND DELIVERY OF 7 SETS CLERICAL TABLES FOR PVD - LUHBC</t>
  </si>
  <si>
    <t xml:space="preserve"> OPENING OF BIDS IN DSWD FO IX, ZAMBOANGA CITY,										 DELIVERY IN SINDANGAN ZAMBOANGA DEL NORTE										 PROCUREMENT FOR THE FF.:										 										 7	MONTH	OFFICE RENTAL COMMERCIAL OFFICE SPACE WITH FLOOR AREA OF MORE OR LESS 170 sqm. EFFICIENT WAT</t>
  </si>
  <si>
    <t xml:space="preserve"> see attached picture</t>
  </si>
  <si>
    <t xml:space="preserve"> Provincial Disaster Risk Reduction Management Office Agusan del Norte</t>
  </si>
  <si>
    <t xml:space="preserve"> Contract ID:	20DL0229 Contract Name:	ORGANIZATIONAL OUTCOME 2 : PROTECT LIVES AND PROPERTIES AGAINST MAJOR FLOODS, FLOOD MANAGEMENT PROGRAM, CONSTRUCTION/ MAINTENANCE OF FLOOD MITIGATION STRUCTURES AND DRAINAGE SYSTEMS 13. REHABILITATION OF FLOOD CONTROL </t>
  </si>
  <si>
    <t xml:space="preserve"> Republic of the Philippines						GSD		 		Government of Ormoc City						P.R. No.:  	201774	 		BIDS AND AWARDS COMMITTEE						Quotation No.: 	204471-6156	 		Ormoc City						PhilGEPs No.: 		 										 Standard Form Title:			REQUEST FOR QUOTATION							 				</t>
  </si>
  <si>
    <t xml:space="preserve"> for sbm wins facility</t>
  </si>
  <si>
    <t xml:space="preserve"> 9btls         Ink Epson (Cyan, Blue, Magenta)-3pcs each Color 5btls         Ink Epson ( Black) 20 reams  Advance Bond Paper S20 Long 20 reams  Advance Bond Paper S20 Short 2 btls        Ineo 164 Powder Toner 1 doz        Corrector Tape-25m 5 doz        Cr</t>
  </si>
  <si>
    <t xml:space="preserve"> Catering Services for the conduct of Orientation/workshop Cost-sharing Mechanism, Drafting of the cost-sharing Mechanism Guidelines or User's Fee System for Pantabangan Carranglan Protected Area Management Board (PAMB) on July 9-10, 2020</t>
  </si>
  <si>
    <t xml:space="preserve"> 1 LOT one	job	Installation of two (2) unit Water System: 		Labor &amp; Materials 		- 1 unit GI Pipe, 3" 		- 4" Water Pump 		- 14HP Diesel Engine 		- 1 unit GI Pipe, 3" 		- 3HP Electric Motor 		-Including  installation of house cage of each unit</t>
  </si>
  <si>
    <t xml:space="preserve"> See associated components</t>
  </si>
  <si>
    <t xml:space="preserve"> DepEd, Division of Sorsogon										 Standard Form Number: SF-GOOD-60										 Revised on: May 24, 2004										 REQUEST FOR QUOTATION										 										 						Date:				 						Quotation No.:		20-06-086-_____		 										 										 										 							</t>
  </si>
  <si>
    <t xml:space="preserve"> Item Number	Description	Qty	UNIT	Total 1	CENTRIFUGAL PUMP 2HP	2	UNIT	90,000.00</t>
  </si>
  <si>
    <t xml:space="preserve"> Republic of the Philippines Province of Negros Occidental MUNICIPALITY OF HINOBA-AN Bids and Awards Committee E-mail: municipality_hinobaan@yahoo.com INVITATION TO BID The Municipality of  Hinoba-an, Negros Occidental through its Bids and Awards Committee</t>
  </si>
  <si>
    <t xml:space="preserve"> FOR COMPLETION OF MULTIPURPOSE BUILDING III</t>
  </si>
  <si>
    <t xml:space="preserve"> SUPPLY OF 3 PCS. ROLLING DOOR MOTOR under PR No. RS-0120-004 and ITB No. 2002-012-01 Please quote your lowest price on the item/s listed below, subject to the Terms and Conditions set forth hereunder, stating among others the shortest time of delivery and</t>
  </si>
  <si>
    <t xml:space="preserve"> aircon</t>
  </si>
  <si>
    <t xml:space="preserve"> REPUBLIC OF THE PHILIPPINES Guimba Water District Danzalan St. Cor. Faigal St., Sta. Veronica Guimba, Nueva Ecija Request for Quotation of Tapping Tools ABC Two Hundred Fifty Thousand Pesos and 00/100 (Php250,000.00) TAPPING TOOLS ITEM NO.	QUANTITY	UNIT	D</t>
  </si>
  <si>
    <t xml:space="preserve"> 1 LOT  1	unit	Copier: 		- Copier, Warm Up Time (sec.); 25sec;Power Consumption: 120W, Model: AR6020N, Type: Copy, Print,                    Scan, Copy Speed, 20cmp, Print, 20cpm, Scanner: Res.50to9600dpi, via user settings, A3, Color                    Sc</t>
  </si>
  <si>
    <t xml:space="preserve"> Amount of Bid Docs 2,000.00 To all suppliers, Bid Documents are available at BAC Office on July 9, 2020 Please qoute your Lowest Price; Item No. Quantity Unit Description I 28.88 cu.m. Concrete Works II 1.00 lot Painting Works Opening of Bid shall be on J</t>
  </si>
  <si>
    <t xml:space="preserve"> 1	Pocket WIFI (4G/ LTE) 		7	units 2	 P 500.00 Prepaid Card Load (Expiration date of Prepaid Cards Should not be earlier than November 2021)		399	pcs</t>
  </si>
  <si>
    <t xml:space="preserve"> The DPWH-North Manila District Engineering Office, through its Bids and Awards Committee (BAC) invites contractors to submit bids for the following Contract: 1.	  Contract I.D. No. 20OE0207   Contract Name: Installation of Road Safety Devices on MC Arthur</t>
  </si>
  <si>
    <t xml:space="preserve"> Construction materials and Supplies</t>
  </si>
  <si>
    <t xml:space="preserve"> PHO-NC-2020-128 PR2020-176 REQUEST FOR QUOTATION FOR THE PROCUREMENT OF ANTI-RABIES SERUM AND PURIFIED RABIES VACCINE FOR PATIENTS USE AT CONG. SIMEON G. TORIBIO MEMORIAL HOSPITAL, CARMEN, BOHOL COST OF CANVASS: P 400.00</t>
  </si>
  <si>
    <t xml:space="preserve"> REQUEST FOR QUOTATION The Tourism Infrastructure and Enterprise Zone Authority (TIEZA) through its Bids and Awards Committee undertake a Small Value Procurement for the SUPPLY AND DELIVERY OF DRONE CAMERA AND VOICE RECORDER FOR THE USE OF TIEZA REGULATORY</t>
  </si>
  <si>
    <t xml:space="preserve"> FURNISHING AND DELIVERY OF MATERIALS FOR THE IMPROVEMENT OF A. BONIFACIO ST. NORTH POBLACION JUBAN SORSOGON</t>
  </si>
  <si>
    <t xml:space="preserve"> REQUEST FOR QUOTATION						 						 Date: June 23, 2020		PR No.: 006.0484				 RFQ No. 006.0420		End User: Enforcement Division				 						 The Department of Environment and Natural Resources (DENR), Region-9, Regional Office, through its Regional Bids and A</t>
  </si>
  <si>
    <t xml:space="preserve"> We are in need of the following materials: Faceshield - 350 Facemask (washable) - 400 Alcohol Sprayer Bottle - 12 Insecticide - 20 Germicidal Soap - 30 Multipurpose Sprayer - 1 Disinfecting Mat - 25 Plastic Cover - 1 roll Isoprophyl Alcohol - 5 gal Calciu</t>
  </si>
  <si>
    <t xml:space="preserve"> PHO-SC-2020-005 PR2020-177 REQUEST FOR QUOTATION FOR THE PROCUREMENT OF DRUGS AND MEDICINES FOR PATIENTS USE AT CONG. SIMEON G. TORIBIO MEMORIAL HOSPITAL, CARMEN, BOHOL COST OF CANVASS: P 150.00</t>
  </si>
  <si>
    <t xml:space="preserve"> Republic of the Philippines					 PROVINCE OF SIQUIJOR					 BIDS &amp; AWARDS COMMITTEE					 Capitol Building, Siquijor, Siquijor					 					 Business Name:_____________________________				AD. No.: 472-06-2020	 Address:___________________________________				DAT</t>
  </si>
  <si>
    <t xml:space="preserve"> REQUEST FOR QUOTATION The Tourism Infrastructure and Enterprise Zone Authority (TIEZA) through its Bids and Awards Committee undertake a Small Value Procurement for the SUPPLY AND DELIVERY OF PRINTER AND BARCODE SCANNER, in accordance with Section 53.9 of</t>
  </si>
  <si>
    <t xml:space="preserve"> OPENING OF BIDS IN DSWD FO IX, ZAMBOANGA CITY,					 DELIVERY IN DSWD FO IX ZAMBOANGA CITY					 PROCUREMENT FOR THE FF.:					 					 12 PCS.- 12 VOLTS BATTERY 11 PLATE ADVANCE -GOOD QUALITY MAINTENANCE FREE **************************************************</t>
  </si>
  <si>
    <t xml:space="preserve"> Republic of the Philippines						ENRO		 		Government of Ormoc City						P.R. No.:  	201475	 		BIDS AND AWARDS COMMITTEE						Quotation No.: 	204467-6154	 		Ormoc City						PhilGEPs No.: 		 										 Standard Form Title:			REQUEST FOR QUOTATION							 			</t>
  </si>
  <si>
    <t xml:space="preserve"> See associated component</t>
  </si>
  <si>
    <t xml:space="preserve"> Supply and Delivery of Hardware Materials for the Installation of Radio Tower and Antenna and Relocation of Radio Station</t>
  </si>
  <si>
    <t xml:space="preserve"> REQUEST FOR QUOTATION The Tourism Infrastructure and Enterprise Zone Authority (TIEZA) through its Bids and Awards Committee undertake a Small Value Procurement for the SUPPLY AND DELIVERY OF VAULT FOR TRAVEL TAX DEPARTMENT, in accordance with Section 53.</t>
  </si>
  <si>
    <t xml:space="preserve"> ARTICLE AND DESCRIPTION                  										 ITEM	QTY	UNIT						CEILING 		UNIT PRICE			TOTAL  								PRICE					 			Office:  City General Services Office 										 			Charge to: Office Supplies Expenses					PR No. 814					 			ABC: Php269,983.70			</t>
  </si>
  <si>
    <t xml:space="preserve"> 1. Construction of 665m Community Access Road Carriageway (4m width x 0.20m thickness) and 1.0m Road Shoudering __________________________________________________________________________________________ Prospective Bidders shall submit a Letter of Intent </t>
  </si>
  <si>
    <t xml:space="preserve"> PROCUREMENT OF OFFICE SUPPLIES FOR THE OFFICE OF THE MUNICIPAL HUMAN RESOURCE MANAGEMENT OFFICER Mexico, Pampanga</t>
  </si>
  <si>
    <t xml:space="preserve"> See Line Item</t>
  </si>
  <si>
    <t xml:space="preserve"> Brief Description: Construction/Rehabilitation/Improvement of Multi-Purpose Pavement which involves barricades, removal of existing concrete pavement, excavation,  sub-grade preparation, aggregate sub base course, portland cement concrete pavement, road s</t>
  </si>
  <si>
    <t xml:space="preserve"> for handwashing construction</t>
  </si>
  <si>
    <t xml:space="preserve"> LGU-AL-31-2020 CONSTRUCTION/OPENING OF BARANGAY ROAD WITH RIPRAP BRGY. CADAC-AN ABUYOG, LEYTE</t>
  </si>
  <si>
    <t xml:space="preserve"> Quantity       Unit            Description   732           copy            Manila Bulletin (January 01-March 31,2020)    732           copy            Balita (January 01-March 32, 2020)       366           copy            Philippine Star (January 01-March</t>
  </si>
  <si>
    <t xml:space="preserve"> 12	bottle	Alcohol ethyl 68%-70%, scented 500ml 85	ream	        Paper copy 80gsm size 216x330mm 85	ream	        Paper copy 80gsm size 210x297mm 4	book	        Record book 300 pages 214mmx278mm 6	jar	       Glue all purpose gross weight 200 grams 24	box	   </t>
  </si>
  <si>
    <t xml:space="preserve"> To All Eligible Suppliers/Contractors:  Please quote your lowest price inclusive of VAT on the items listed in the RFQ Form (please see and download attachment in the Associated Components), subject to the Terms and Conditions of this Request for Quotatio</t>
  </si>
  <si>
    <t xml:space="preserve"> Republic of the Philippines Province of Ilocos Norte MUNICIPALITY OF PINILI REQUEST FOR QUOTATION PIN2020-084 The Municipality of Pinili invites all interested registered suppliers to submit quotations for:   1 LOT  =	SUPPLY OF VARIOUS CONSTRUCTION MATERI</t>
  </si>
  <si>
    <t xml:space="preserve"> 3rd Level Training on 2020 CPH on August 3 - 8, 2020 (6 Days) Breakfast AM Snacks Lunch PM Snacks Dinner *Free Flowing of Coffee *Other offers, pls. specify fpr 112 pax</t>
  </si>
  <si>
    <t xml:space="preserve"> PHO-SC-2020-004 PR2020-175 REQUEST FOR QUOTATION FOR THE PROCUREMENT OF IV FLUIDS FOR PATIENTS USE AT CONG. SIMEON G. TORIBIO MEMORIAL HOSPITAL, CARMEN, BOHOL COST OF CANVASS: P 150.00</t>
  </si>
  <si>
    <t xml:space="preserve"> PHO-SC-2020-003 PR2020-168 REQUEST FOR QUOTATION FOR THE PROCUREMENT OF IV FLUIDS AND STERILE WATER FOR EMERGENCY USE OPERATIONS OF PRES. CARLOS P. GARCIA MUNICIPAL HOSPITAL COST OF CANVASS: P 150.00</t>
  </si>
  <si>
    <t xml:space="preserve"> The Barangay Government of Dagupan, Allacapan Cagayan, through its Bids and Awards Committee (BAC) will invites interested entities to submit their bidding documents for the following details: Name of Project: Construction of Comfort Room Source of Fund: </t>
  </si>
  <si>
    <t xml:space="preserve"> REQUEST FOR QUOTATION The Tourism Infrastructure and Enterprise Zone Authority (TIEZA) through its Bids and Awards Committee undertake a Small Value Procurement for the CHECK UP TRANSMISSION AND REPAIR OF TOYOTA FORTUNER, in accordance with Section 53.9 o</t>
  </si>
  <si>
    <t xml:space="preserve"> Item Description	Quantity/ Unit	Unit Cost	Total Cost CLASS 150 UPVC PIPE 100 MM 0 X 6 MTS	66 PCS		 150MM 0 C.I. TEE /MM	1 PC		 150MM 0 C,I STC	2 PCS		 150MM 0 C.I GATE VALVE /MM		2 PCS		 150MM 0 C.I ELBOW 90 DEG. /MM	2 PCS		        150MM 0 C.I ELBOW TO PV</t>
  </si>
  <si>
    <t xml:space="preserve"> PHO-NC-2020-127 PR2020-174 REQUEST FOR QUOTATION FOR THE PROCUREMENT OF CERTIFICATE FOR GALLONERS (11"x14" FRAMES INCLUSIVE OF THE CERTIFICATE) FOR THE USE OF THE NATIONAL VOLUNTARY BLOOD SERVICES PROGRAM, PHO COST OF CANVASS: P 250.00</t>
  </si>
  <si>
    <t xml:space="preserve"> please see attached associated components</t>
  </si>
  <si>
    <t xml:space="preserve"> See attached</t>
  </si>
  <si>
    <t xml:space="preserve"> Provincial Agriculturist Office Agusan del Norte</t>
  </si>
  <si>
    <t xml:space="preserve"> 1 unit  All-in-One  Ink Eco Tank Printer  - L6190</t>
  </si>
  <si>
    <t xml:space="preserve"> Republic of the Philippines Province of Iloilo Municipality of Lambunao Office of the Bids &amp; Awards Committee INVITATION TO BID/ REQUEST FOR PRICE QUOTATION Name of Project: Purchase of Generator Set to for the use of Municipal Slaughterhouse Location: La</t>
  </si>
  <si>
    <t xml:space="preserve"> INVITATION FOR SUBMISSION OF QUOTATION (SMALL VALUE PROCUREMENT) 	The local Government Unit of Can-avid, through is Bid and Awards Committee (BAC). Invites suppliers to apply for eligibility, to bid for the hereunder contract: Name of Contract:  	Computer</t>
  </si>
  <si>
    <t xml:space="preserve"> The Municipal Government of Aloguinsan invites prospective bidders to bid for the project Purchase of 1 Unit 6-Wheeler Garbage Compact Truck. Source of Fund: GENERAL FUND FY 2020 ABC: Php 5,000,000.00 The complete schedule of activities will be as follows</t>
  </si>
  <si>
    <t xml:space="preserve"> FOR CONSTRUCTION OF PUROK 5A MULTIPURPOSE CENTER</t>
  </si>
  <si>
    <t xml:space="preserve"> Invitation to Bid The LGU Alangalang, through its Bids and Awards Committee (BAC), invites prospective bidders to apply for eligibility and to bid for the hereunder project: Name of Project   	: COMPLETION OF CIVIC CETER    Location                 	:  LG</t>
  </si>
  <si>
    <t xml:space="preserve"> Provincial Governor's Office Agusan del Norte</t>
  </si>
  <si>
    <t xml:space="preserve"> INVITATION TO BID PURCHASE OF SUPPLIES AND MATERIALS TO BE USED DURING RESPONSE OPERATIONS OF CDRRMO The City Government of San Jose del Monte, Bulacan, thru its Bids and Awards Committee (BAC), through the Sangguniang Panlungsod (SP) Appropriation Ordina</t>
  </si>
  <si>
    <t xml:space="preserve"> Specifications: White, unisex V-neck t-shirt, varied sizes XS-50 pcs S-200 pcs M-300 pcs L-340 pcs XL-150 pcs 2XL-75 pcs 3XL-40 pcs 4XL-45 pcs Others: Colored print front and back, Silkscreen print; layout provided Terms and condition: 1. Provide sample w</t>
  </si>
  <si>
    <t xml:space="preserve"> Provincial Engineer's Office Agusan del Norte</t>
  </si>
  <si>
    <t xml:space="preserve"> Quantity            Unit              Item Description    400                pcs           3/16 Ordinary Plywood</t>
  </si>
  <si>
    <t xml:space="preserve"> Supply and Delivery of Assistive Device for PWD use of Dupax del Norte with an ABC of Php65,000.00 For further details, please refer to the attached Purchase Request in the associated components.</t>
  </si>
  <si>
    <t xml:space="preserve"> Purchase of Construction Supplies</t>
  </si>
  <si>
    <t xml:space="preserve"> Brief Description: Rehabilitation/Improvement of Gymnasium which involves project billboard/signage, safety &amp; health, temporary facility, reinforced concrete slab, tile works, grilles, and fire safety Equipment to be used:  Concrete Bagger Mixer and Concr</t>
  </si>
  <si>
    <t xml:space="preserve"> 4th level Training on 2020 CPH in the Mun. of Asuncion 1.Meals and AM &amp; PM Snacks       on  August 17 – 21, 2020     (5 Days) for 71 pax 2. Meals and AM &amp; PM Snacks  on August 22, 2020 (1 Day) for 15 pax *Free Flowing of Coffee *Other offers, pls. specify</t>
  </si>
  <si>
    <t xml:space="preserve"> Provincial Governor's Office/ENRD Agusan del Norte</t>
  </si>
  <si>
    <t xml:space="preserve"> Brief Description: Construction of School Building which involves project billboard/signage, safety &amp; health, temporary facility, A. School Building; layout and excavation, embankment (loose volume), soil poisoning and termite control, reinforcing steel b</t>
  </si>
  <si>
    <t xml:space="preserve"> 1  unit  Hydro Vacuum ( 10L, 1200W )</t>
  </si>
  <si>
    <t xml:space="preserve"> DepEd, Division of Sorsogon										 Standard Form Number: SF-GOOD-60										 Revised on: May 24, 2004										 REQUEST FOR QUOTATION										 										 						Date:		June 30, 2020		 						Quotation No.:		20-06-087-_____		 										 										 					</t>
  </si>
  <si>
    <t xml:space="preserve"> Republic of the Philippines					 Province of Bukidnon					 Municipality of Lantapan					 					 INVITATION TO BID FOR THE REHABILITATION					 OF BARANGAY ROADS OF 14 BARANGAYS [2ND BID]					 					 1	The Local Government Unit of Lantapan through the 20% LDF</t>
  </si>
  <si>
    <t xml:space="preserve"> 1  unit Paper Shredder       Specifiications:  Shred Capacity: 10 Sheets                               Shred Size: 5 x 18 mm                               Cutting Speed: 50 sheets/min                               Paper mode sensing switch: Auto, Off &amp; re</t>
  </si>
  <si>
    <t xml:space="preserve"> All interested bidder/suppliers are requested to submit quotations in a sealed envelope and submit to: NICASIO S. FRIO Acting Asst. Schools Division Superintendent BAC Chair NOTE: 1. PHILGEPS REGISTRATION CERTIFICATE and PLATINUM MEMBERSHIP IN ACCORDANCE </t>
  </si>
  <si>
    <t xml:space="preserve"> Republic of the Philippines Province of Iloilo Municipality of Ajuy Barangay of Lanjagan BIDS AND AWARD COMMITTEE INVITATION TO BID 	The Barangay of Lanjagan, Ajuy, Iloilo invites Accredited Supplier to apply for eligibility and to bid for the Constructio</t>
  </si>
  <si>
    <t xml:space="preserve"> INVITATION TO BID FOR THE  DOCUMENTATION AND REGISTRATION OF MUNICIPAL CEMETERY INCLUDING SITE DEVELOPMENT PLAN The Local Government Unit of Del Gallego, Camarines Sur, through the Supplemental Budget No. 2 s. of 2015 Documentation/Transfer/Registration o</t>
  </si>
  <si>
    <t xml:space="preserve"> Purchase of Materials for Construction of Stairway in Hagdan Coast Way</t>
  </si>
  <si>
    <t xml:space="preserve"> REPUBLIC OF THE PHILIPPINES		 			          PROVINCE OF SIQUIJOR		 					 			        MUNICIPALITY OF SIQUIJOR		 			         REQUEST FOR QUOTATION		 					 			                                                          Date:  	29-Jun-20	 _______________________</t>
  </si>
  <si>
    <t xml:space="preserve"> 1	20	pcs	GI pipe 2'' supreme	 2	20		GI pipe 1/2'' 	 3	5		GI coupling reducer 1/2 x 3/8	 4	4		Cylinder Champion	 5	5		Tee 2x1 1/4 GI	 6	5		Nipple 1x1/ 4x12	 7	5		Bushing reducer 2x3/4	 8	5		Bushing reducer 2x1/4</t>
  </si>
  <si>
    <t xml:space="preserve"> 1 	 2 	 units 	 Purchase of 2 units Fabricated Counter-top rack w/ 10 units of chairs (hardwood) 	 			 ****Closed Nothing Follows****</t>
  </si>
  <si>
    <t xml:space="preserve"> REQUEST FOR QUOTATION The Tourism Infrastructure and Enterprise Zone Authority (TIEZA) through its Bids and Awards Committee undertake a Small Value Procurement for the THREE (3) UNITS MANAGED PRINT SERVICES FOR THE USE OF TRAVEL TAX DEPARTMENT-PAD, TEZ F</t>
  </si>
  <si>
    <t xml:space="preserve"> 16 Reams Bondpaper A4 40 Bottles Glue 4 Sheets Plywood 5 Pieces Fine Wood (2x2x10) 10 Kilos Assorted Nails 2 Cans Vulca Seal 15 Sheets GI Sheets 300 Pieces Text Screw #2 11 Gallons Gloss Latex 2 Pieces Roller Brush 3 Lengths Angle Bar 11 Bottles Epson Ink</t>
  </si>
  <si>
    <t xml:space="preserve"> Supply of Labor and Materials for the installation of CCTV Camera at Pag-IBIG Fund JR Borja St Cagayan de Oro City</t>
  </si>
  <si>
    <t xml:space="preserve"> Republic of the Philippines					 PROVINCE OF SIQUIJOR					 BIDS &amp; AWARDS COMMITTEE					 Capitol Building, Siquijor, Siquijor					 					 Business Name:_____________________________				AD. No.: 471-06-2020	 Address:___________________________________				DAT</t>
  </si>
  <si>
    <t xml:space="preserve"> MACHINE SHOP: Main journal regrind Conrod journal regrind Cylinder sleeving/resleeving Cylinder head/block resurface Main housing and caps line boring Camshaft bsg. replace &amp; r'mg. &amp; lifting Valve guide replace valve seat ring insert Conrod restandard/con</t>
  </si>
  <si>
    <t xml:space="preserve"> Brief Description: Improvement of Slope Protection which involves excavation, reinforcing steel, structural concrete, rubble concrete, concrete piles (Cast-In-Place), project billboard/signage, safety &amp; health and temporary facility. Equipment to be used:</t>
  </si>
  <si>
    <t xml:space="preserve"> ROAD CONCRETING    - 4M X 0.20m x 22m</t>
  </si>
  <si>
    <t xml:space="preserve"> 3,448.37 liters - Diesel 1,041.66 liters - Gasoline</t>
  </si>
  <si>
    <t xml:space="preserve"> (PLEASE SEE ATTACHED ASSOCIATED COMPONENT) please send Request for Quotation  - msbslh14@gmail.com Contact Person:	MHELET BEÑALES (711-69-73) 200	bots	Ink for Epson T6641 black	 100	bots	Ink for Epson T6642 Cyan	 100	bots	Ink for Epson T6643 Magenta	 100	</t>
  </si>
  <si>
    <t xml:space="preserve"> 1. Please see attached Request for Quotation Form for details 2. RFQ Form can also be downloaded at www.ilocossur.gov.ph 3. Please read the General Instructions to Bidders at the attached RFQ Form</t>
  </si>
  <si>
    <t xml:space="preserve"> Purchase of School Supplies</t>
  </si>
  <si>
    <t xml:space="preserve"> 1.Meals and AM &amp; PM Snacks on August 17 - 21, 2020 (5 Days) for 69 pax 2. Meals and AM &amp; PM Snacks on August 22, 2020  (1 Day) for 14 pax *Free Flowing of Coffee *Other offers, pls. specify __________________ __________________</t>
  </si>
  <si>
    <t xml:space="preserve"> Rapid assessment for structural integrity of the existing 6(six) story w/roof deck District office building, 3(three) story w/roof deck BIR Regional office building and detailed structural assessment of existing 3(three) story w/roof deck DPD building all</t>
  </si>
  <si>
    <t xml:space="preserve"> Republic of the Philippines DEPARTMENT OF PUBLIC WORKS AND HIGHWAYS CAMARINES SUR 5TH   DISTRICT ENGINEERING OFFICE REGIONAL OFFICE V Sta. Teresita, Baao, Camarines Sur Request for Expression of Interest (REOI) Contract ID No.	20CSFN0001 Contract Name	Con</t>
  </si>
  <si>
    <t xml:space="preserve"> To promote health and wellness to all teaching, non-teaching personnel and learners for the prevention of COVID-19 Alcohol 70% 500 ml, Thermal Scanner Heavy Duty, Surgical Face Mask, Face Shield, Rubber Gloves, KN 95 Mask, Hand Sanitizer 500ml, Safe Guard</t>
  </si>
  <si>
    <t xml:space="preserve"> SEE ATTACHED DOCUMENTS</t>
  </si>
  <si>
    <t xml:space="preserve"> 2 pcs. Radio Transceiver Unit 2 pcs. 4-Elements Inverted J 1 set Repeater Set COR w/ Negative Feedback Unit  1 unit COR Regulated Power Supply 1 unit Power Supply 30amp.  1 unit Band Pass Cavity Filter  60 meters RG8/U 50 oms. 30 meters RG58/U 50 oms. 5 p</t>
  </si>
  <si>
    <t xml:space="preserve"> REQUEST FOR QUOTATION										 VAN RENTAL 										 SMALL VALUE 										 										 INSTRUCTION:									              	 1.	Supplies are required to read the instructions and fill all the blanks properly.								 2.	The supplier may submit their propo</t>
  </si>
  <si>
    <t xml:space="preserve"> 96,000.00  GOLDEN HORIZON		SITES		       FOR EVACUATION CENTER		1	PC	      FOR BRGY. OUTPOST		1	PC	 				 SUNSHINE VILLE 1				       FOR EVACUATION CENTER		1	PC	      FOR BRGY. OUTPOST		1	PC	 				 SOUTHVILLE 2 PH3				       FOR EVACUATION CENTER		1	PC	    </t>
  </si>
  <si>
    <t xml:space="preserve"> cctv</t>
  </si>
  <si>
    <t xml:space="preserve"> Furnishing &amp; delivery of construction materials , labor, tools and equipment and other incidentals only. Schedule of Activities: Issuance of Bid Documents - July 1-22, 2020 Submission of Bids - on or before July 22, 2020; 1:00 p.m. Bid Opening - July 22, </t>
  </si>
  <si>
    <t xml:space="preserve"> Brief Description: Rehabilitation/Improvement of Road  which involves project billboard/signage, temporary facility, safety &amp; health, mobilization and demobilization, barricades, A. Rehabilitation of Road (RNR); Breaking of existing dilapidated concrete p</t>
  </si>
  <si>
    <t xml:space="preserve"> CONSTRUCTION OF GATE</t>
  </si>
  <si>
    <t xml:space="preserve"> Please see attached file for your reference.</t>
  </si>
  <si>
    <t xml:space="preserve"> EDUCATIONAL SUPPLIES AND MATERIALS</t>
  </si>
  <si>
    <t xml:space="preserve"> INVITATION TO BID The Municipal Government of Laoac, Pangasinan through its Bids and Awards Committee (BAC), invites suppliers/ manufacturers/distributors/contractors to bid for the hereunder contract/s: Name of Project	: PROCUREMENT OF FARM INPUTS FOR RI</t>
  </si>
  <si>
    <t xml:space="preserve"> INVITATION TO BID PURCHASE OF HEAVY DUTY PAYLOADER EQUIPMENT TO BE USED DURING RESPONSE, CLEARING &amp; DISASTER OPERATIONS OF CDRRMO The City Government of San Jose del Monte, Bulacan, thru its Bids and Awards Committee (BAC), through the Sangguniang Panlung</t>
  </si>
  <si>
    <t xml:space="preserve"> 1.	22 tanks - Solane</t>
  </si>
  <si>
    <t xml:space="preserve"> 1.Meals and AM &amp; PM Snacks on August 17 – 21, 2020 (5 Days) for 221 pax 2. Meals and AM &amp; PM Snacks on August 22, 2020  (1 Day) for 39 pax *Free Flowing of Coffee *Other offers, pls. specify __________________</t>
  </si>
  <si>
    <t xml:space="preserve"> Flood Control</t>
  </si>
  <si>
    <t xml:space="preserve"> Brief Description: Site Development which involves project billboard/signage, temporary facility, safety &amp; health, mobilization and demobilization, barricades, subgrade preparation, aggregate subbase course (compacted volume), portland cement  concrete pa</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</si>
  <si>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</si>
  <si>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The PHILIPPINE SCIENCE HIGH SCHOOL - MIMAROPA REGION CAMPUS (PSHS-MRC) intends to apply the sum of ONE HUNDRED FORTY-SIX THOUSAND NINE HUNDRED NINETY SEVEN PESOS (Php146,997.00) being the Approved Budget for the Contract (ABC) to pay for the contract for </t>
  </si>
  <si>
    <t xml:space="preserve"> CONDUCT OF SOIL TESTING/EXPLORATION FOR THE PROPOSED SLOPE PROTECTION, ILOCOS NORTE-ABRA RD - K0527+330 - K0527+ 358,  K0532+275 - K0532+290, K0533+175 - K0533+191, K0533+324 - K0533+332, K0534+824 - K0534+844, K0529+000 - K0529+600, BATAC-ESPIRITU (BANNA</t>
  </si>
  <si>
    <t xml:space="preserve"> Office Supplies</t>
  </si>
  <si>
    <t xml:space="preserve"> SEE ATTACHED RFQ</t>
  </si>
  <si>
    <t xml:space="preserve"> Vehicle Parts</t>
  </si>
  <si>
    <t xml:space="preserve"> Please see attached RFQ and TOR</t>
  </si>
  <si>
    <t xml:space="preserve"> 1.Meals and AM &amp; PM Snacks on  August  24 - 28, 2020  (5 Days)  for 315 poax 2. Meals and AM &amp; PM Snacks on August 29, 2020  (1 Day) for 54 pax *Free Flowing of Coffee *Other offers, pls. specify __________________ __________________</t>
  </si>
  <si>
    <t xml:space="preserve"> Brief Description: Construction of Waiting Shed with Steel Bench at Sta. Barbara Elementary School, Sta. Barbara (Revised 2) / Improvement of PS Zamboanga Sub- Depot Building at Zone IV (Revised)  which involves layout and excavation, filling materials, r</t>
  </si>
  <si>
    <t xml:space="preserve"> Republic of the Philippines Bangsamoro Autonomous Region in Muslim Mindanao Provincial Government of Maguindanao BIDS AND AWARDS COMMITTEE Buluan, Maguindanao SUPPLY AND DELIVERY OF PROTECTIVE EQUIPMENT (PPE’S), HYGIENE KIT AND VITAMINS (SUPPORT OF AFP) 1</t>
  </si>
  <si>
    <t xml:space="preserve"> 27729-001	FILTER BAG  HOUSING  INLET 1-12"  PVC	10	PIECE	38,100.00 	381,000.00 TERMS AND CONDITIONS: 1.	Delivery Term: Within 30 calendar days after receipt of P.O. 2.	Place of Delivery: TALAMBAN 3.	Payment Terms: Within 35 calendar days after acceptance </t>
  </si>
  <si>
    <t xml:space="preserve"> Republic of the Philippines Province of Pangasinan Municipality of Bugallon OFFICE OF THE BIDS AND AWARDS COMMITTEE INVITATION TO BID The Barangay Laguit Padilla of the Municipality of Bugallon, Pangasinan, through its Bids and Awards Committee (BAC), inv</t>
  </si>
  <si>
    <t xml:space="preserve"> Republic of the Philippines					 PROVINCE OF SIQUIJOR					 BIDS &amp; AWARDS COMMITTEE					 Capitol Building, Siquijor, Siquijor					 					 Business Name:_____________________________				AD. No.: 469-06-2020	 Address:___________________________________				DAT</t>
  </si>
  <si>
    <t xml:space="preserve"> REQUEST FOR QUOTATION							 							 PR No.:	EQ-2020-04-34		RFQ No.:		NIAREG9-06-2020-COB-080 (SH)		 PR. Date:	June 30, 2020		RFQ Date:		June 30, 2020		 End-User:	NIA-REGIONAL OFFICE		PhilGEPS Reference No.:				 ABC:	81,000.00		PhilGEPS Closing Date:		Jul</t>
  </si>
  <si>
    <t xml:space="preserve"> Brief Description: Construction of Day Care Center which involves hauling of materials, layout and excavation, embankment, soil poisoning and termite control, reinforcing steel bars, structural concrete, carpentry works, masonry works, doors &amp; windows, wi</t>
  </si>
  <si>
    <t xml:space="preserve"> Republic of the Philippines Dagupan City BIDS AND AWARDS COMMITTEE INVITATION TO BID For the Procurement of Ten (10) units mobile phones for office use (PR no.: 2020-00760-035) 1.	The City Government of Dagupan, through the 2020 Approved ANNUAL BUDGET int</t>
  </si>
  <si>
    <t xml:space="preserve"> Republic of the Philippines Province of Iloilo Municipality of Ajuy Barangay of Progreso BIDS AND AWARD COMMITTEE INVITATION TO BID 	The Barangay of Progreso, Ajuy, Iloilo invites Accredited Supplier to apply for eligibility and to bid for the Covering of</t>
  </si>
  <si>
    <t xml:space="preserve"> 5 units Handheld Radio</t>
  </si>
  <si>
    <t xml:space="preserve"> 1 	 1 	 PC 	 Camera Lens 	 			 Model # KEF134L03E 3.6mm 	 			 Fixed Lens 1280 x 960, Comp H. 264 	 			 Water Proof 	  2 	 1 	 PC 	 Video Recorders 	 			 IP-Type Network Video Recorder 	 			 Without Internal HDD,  	 			 We Suggest Western Digital 	 			 8ca</t>
  </si>
  <si>
    <t xml:space="preserve"> Republic of the Philippines Province of Leyte Municipality of Hilongos INVITATION TO BID FOR THE PURCHASE OF 15 TELEVISION SETS AS PART OF THE E-LEARNING PROGRAM OF THE DISTRICT FOR THE 15 GRADE 1 CLASSES 1.  The Local Government Unit of Hilongos, through</t>
  </si>
  <si>
    <t xml:space="preserve"> Republic of the Philippines														 PROVINCE OF ZAMBOANGA SIBUGAY														 Municipality of Payao														 														 INVITATION TO BID														 										PR2020-06-29-082				 The Local Government Unit of Payao, Zamboanga Sibugay, </t>
  </si>
  <si>
    <t xml:space="preserve"> 1 lot Enhancement of St. Vincent Chapel</t>
  </si>
  <si>
    <t xml:space="preserve"> DESCRIPTION ----------------------------------------------------------- QTY - UNIT MULTI LANGUAGE OFFICE TIME AND  ATTENDANCE ACCESS SUPPORT RS485 TCP IP  USB SWIPE CARD NETWORK ACCESS READER  WITH 2.4INCH SCREEN WITH CSC DTR FORM  NO. 48 OUTPUT  --------</t>
  </si>
  <si>
    <t xml:space="preserve"> Republic of the Philippnes									 Province of Davao Oriental									 MUNICIPALITY OF BOSTON									 OFFICE OF THE TREASURER									 REQUEST FOR QUOTATION									 									 							June 30, 2020		 Company Name							Quotation No.: 100-20-06-30-218		 	</t>
  </si>
  <si>
    <t xml:space="preserve"> CONDUCT OF SOIL TESTING/EXPLORATION FOR THE PROPOSED FLOOD CONTROL PROJECTS, DINGRAS, PAOAY, BADOC, BANNA, CITY OF BATAC, SOLSONA, MARCOS &amp; NUEVA ERA, ILOCOS NORTE 1.	The Department of Public Works and Highways, Ilocos Norte 2nd District Engineering Offic</t>
  </si>
  <si>
    <t xml:space="preserve"> 2,325.58 liters - Diesel 520.83  liters   - Gasoline</t>
  </si>
  <si>
    <t xml:space="preserve"> Termite Control</t>
  </si>
  <si>
    <t xml:space="preserve"> Portland Cement Steel round bar 12mm CW Nails #4 Washed Stone 3/4 Washed sand</t>
  </si>
  <si>
    <t xml:space="preserve"> 1 unit Network Attached Storage (NAS) Kindly see attachment for specifications.</t>
  </si>
  <si>
    <t xml:space="preserve"> Rear Axel Shaft Oil Seal for Toyota Land Cruiser	 •	Small	 1 pc •	Big	 1 pc Selastic	 1 pc Gasket	 1 pc ****nothing follows****</t>
  </si>
  <si>
    <t xml:space="preserve"> 1 units Corn Sheller -power requirement: minimum of 7.46kw (10HP diesel engine -specific fuel consumption: 0.82g fuel per kg. output maximum -corrected shelling capacity: minimum, 2 t/h -shelling efficiency: minimum 99.5% -see attached RFQ Form for more d</t>
  </si>
  <si>
    <t xml:space="preserve"> 6 Set Tire 7.50 x 16, 14 ply, CT 163, mixed lug with inner tube and flap PVET</t>
  </si>
  <si>
    <t xml:space="preserve"> Tile works Painting Ceiling Electrical Plumbing</t>
  </si>
  <si>
    <t xml:space="preserve"> 1 Unit hand tractor with trailer and complete accessories 2 Uints Brush Cutter</t>
  </si>
  <si>
    <t xml:space="preserve"> SUPPLY OF MATERIALS</t>
  </si>
  <si>
    <t xml:space="preserve"> Item No.	Item/s and Description					Specification		Quantity	Unit	Budget  Price per unit 			OFFICE SUPPLIES							 1	bond paper legal size					sub.20,legal size		20	ream	 230.00  2	bond paper short					sub.20,short size		2	ream	 210.00  3	bond paper ,long </t>
  </si>
  <si>
    <t xml:space="preserve"> Republic of the Philippines														 PROVINCE OF ZAMBOANGA SIBUGAY														 Municipality of Payao														 														 INVITATION TO BID														 										PR2020-06-29-080				 The Local Government Unit of Payao, Zamboanga Sibugay, </t>
  </si>
  <si>
    <t xml:space="preserve"> 1 units Forage Chopper -powered by atleast 7HP colled diesel engine -V-belt driven -input capacity: 200kg/h minimum -shall be able to cut atleast 3 different cuts -see attached RFQ Form form for more details</t>
  </si>
  <si>
    <t xml:space="preserve"> Name of Project : Cambaguio SIP Location : Bais City, Negros Oriental Contract No. : NOSO-LMC-SIP-22-2020 Brief Description : Construction of Intake and Pipeline Approved Budget for the Contract : P 4,585,700.60 Estimated Contract Duration : 180 calendar </t>
  </si>
  <si>
    <t xml:space="preserve"> 2 set DESKTOP ASUS FX10CP-PH004T Intel Core i5-8400 Processor Motherboard 8gb DDR4 RAM/TB HDD DVD Super MultiDrive NIVIDIA GTX 1050 2G Graphics Mouse &amp; Keyboard Windows 10, ASUS 21.5 LED Monitor 2 unit UPS-AWP-AIDE 650 2 unit AVR Secure Brand 2 unit Print</t>
  </si>
  <si>
    <t xml:space="preserve"> The Technical Education and Skills Development Authority (TESDA), through the Supply Unit/FASU , will undertake a Shopping for the "Purchased of Office supplies", in accordancewith Section 52.1b of the 2016  Revised Implementing Rules and	Regulations of R</t>
  </si>
  <si>
    <t xml:space="preserve"> INVITATION TO BID PURCHASE OF VARIOUS EQUIPMENTS TO BE USED DURING RESPONSE OPERATIONS OF CDRRMO  The City Government of San Jose del Monte, Bulacan, thru its Bids and Awards Committee (BAC), through the Sangguniang Panlungsod (SP) Appropriation Ordinance</t>
  </si>
  <si>
    <t xml:space="preserve"> 16   tanks    Liquified petroluem gas net weight 50 kgs./tank for the month of July 2020</t>
  </si>
  <si>
    <t xml:space="preserve"> Construction of Open Concrete Drainage Canal Lining</t>
  </si>
  <si>
    <t xml:space="preserve"> 1.Meals and AM &amp; PM Snacks on August 17 – 21, 2020 (5 Days) for 46 pax 2. Meals and AM &amp; PM Snacks on August 22, 2020  (1 Day) for 11 pax *Free Flowing of Coffee *Other offers, pls. specify __________________</t>
  </si>
  <si>
    <t xml:space="preserve"> INVITATION TO BID PURCHASE OF VARIOUS MEDICAL SUPPLIES AND MATERIALS TO BE USED DURING RESPONSE OPERATIONS OF CDRRMO The City Government of San Jose del Monte, Bulacan, thru its Bids and Awards Committee (BAC), through the Sangguniang Panlungsod (SP) Appr</t>
  </si>
  <si>
    <t xml:space="preserve"> 5 Unit Grass Cutter</t>
  </si>
  <si>
    <t xml:space="preserve"> AUTHORITY OF THE FREEPORT AREA OF BATAAN					 MARIVELES, BATAAN					 Telefax 047-9354004 loc. 8116 or (02) 236-5010					 					 REQUEST FOR QUOTATION (RFQ)					 _________________________________________________                                              </t>
  </si>
  <si>
    <t xml:space="preserve"> Midazolam 15mg Tab Mecobalamin 500mg Tab Monobasic Sodium Phosphate, Dibasic Sodium 19G/7G Solution Per 133ml Bottle Morphine 10mg/ml, 1ml Monobasic/Dibasic Sodium Phosphate 48G/18G Solution per 100ml Sol, 45ml Requirements for Drugs and Medicines: **Drug</t>
  </si>
  <si>
    <t xml:space="preserve"> 2 units MIST BLOWER MACHINE Specs:          Backpack MistBlower with 2-mix Engine          Weight(dry): 7.9kg          Max. air Flow rate:780 3/h          Air Flow rate with Nozzle: 580          Air Velocity: 81 m/s          Container Capacity: 10L       </t>
  </si>
  <si>
    <t xml:space="preserve"> OPEN SHELVES, ET AL</t>
  </si>
  <si>
    <t xml:space="preserve"> Invitation to Bid for the Embankment in PCDP Compound The Department of Social Welfare and Development (DSWD) Field Office IX, through the 2020 General Appropriation Act intends to apply the sum of Six Hundred Sixteen Thousand Six Hundred Seventy-Four Pes</t>
  </si>
  <si>
    <t xml:space="preserve"> Republic of the Philippines Province of Southern Leyte MUNICIPALITY OF SAINT BERNARD BIDS AND AWARDS COMMITTEE INVITATION TO BID FOR CONSTRUCTION OF ESWM PROCESSING PLANT PHASE 2 BAC-SBSL-MEO-2020-13 1.	The Municipality of Saint Bernard, Southern Leyte, t</t>
  </si>
  <si>
    <t xml:space="preserve"> INVITATION TO BID The Municipal Government of Laoac, Pangasinan through its Bids and Awards Committee (BAC), invites suppliers/ manufacturers/distributors/contractors to bid for the hereunder contract/s: Name of Project	: PROCUREMENT OF 2 SETS OF DESKTOP </t>
  </si>
  <si>
    <t xml:space="preserve"> INVITATION TO BID FOR I.T. Supplies  (Name of Project)    1.	The CITY GOVERNMENT OF ZAMBOANGA, through the General Fund intends to apply the sum of TWO MILLION TWO HUNDRED TWENTY FIVE THOUSAND TWO HUNDRED FIVE &amp; 60/100 PESOS (P2,225,205.60) ONLY being the</t>
  </si>
  <si>
    <t xml:space="preserve"> Please download PDF @ associated components for more information * LOT BIDDING*</t>
  </si>
  <si>
    <t xml:space="preserve"> Spare parts</t>
  </si>
  <si>
    <t xml:space="preserve"> Please quote your best offer/proposal for the items/ described below.  PRODUCTION AND DEVELOPMENT OF PSHC INTERACTIVE VIRTUAL TOUR Requirements: I. 360 Degree Photo-shoot Production  a. Photo-shoot Planning (360 Degrees Captures) b. On-Site Photo-shoot Se</t>
  </si>
  <si>
    <t xml:space="preserve"> Brief Description: Installation of Streetlights which involves project billboard/signage, safety &amp; health, temporary facility, A. Solar Foundation; layout and excavation, reinforcing steel bars, structural concreted, B. Solar Streetlight and Electrical Wo</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</si>
  <si>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</si>
  <si>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1,100 liters Diesel 200 litters Gasoline</t>
  </si>
  <si>
    <t xml:space="preserve"> Sliding Glass Door Cabinet with computer table Height : 2.55m Width: 3m Thickness: 0.60m</t>
  </si>
  <si>
    <t xml:space="preserve"> Project Description: Groundwood Mimeographing Paper, Short</t>
  </si>
  <si>
    <t xml:space="preserve"> 1  unit  Air conditioner, Floor Standing Type, Inverter, 3 tonners            Free 10 ft. Copper Tube, including Installation 1  unit  Air conditioner, Split Type, Inverter, 2 HP            Free 10 ft. Copper Tube, including Installation 2  unit  Water Di</t>
  </si>
  <si>
    <t xml:space="preserve"> PROCUREMENT OF SUPPLY AND INSTALLATION OF ONE YEAR ORACLE SUPPORT LICENSE TO EXISTING TREASURY MANAGEMENT SYSTEM FOR THE BUREAU OF THE TREASURY 1.	PROJECT TITLE Supply and Installation of One Year (1) support licenses to existing database management syste</t>
  </si>
  <si>
    <t xml:space="preserve"> The Barangay Government of Badiangon, President Roxas, Capiz, through the 20% Development Fund (2020), intends to apply the sum of Three Hundred Ninety One Thousand Pesos (Php 391,000.00) being the Approved Budget for the Contract (ABC) to payments under </t>
  </si>
  <si>
    <t xml:space="preserve"> The PHILIPPINE SCIENCE HIGH SCHOOL SYSTEM - CALABARZON REGION CAMPUS (PSHS-CBZRC) intends to apply the sum of EIGHTY-NINE THOUSAND NINE HUNDRED SEVENTY PESOS (Php89,970.00) being the Approved Budget for the Contract (ABC) to pay for the contract for the P</t>
  </si>
  <si>
    <t xml:space="preserve"> 20-8768 240 pack Disposable Nurse Cap, 100's/pack</t>
  </si>
  <si>
    <t xml:space="preserve"> 250  pcs. of ampule  10 box of 100 Carbamazepine 5 box of 100 Chlorpromazine 200mg tablet 50 tube silver sulfadiazine tube 8 box 10s Diphenhydramine ampule</t>
  </si>
  <si>
    <t xml:space="preserve"> Request for Quotation: RFQ-2006-503  1. 10 pcs. Weighing Scale  2, 10 pcs. Plaque</t>
  </si>
  <si>
    <t xml:space="preserve"> Description   Republic of the Philippines Province of Negros Occidental MUNICIPALITY OF HINOBA-AN Bids and Awards Committee ooOoo REQUEST FOR QUOTATION Date : June 30, 2020 RFQ # : 926 Please quote your lowest price on the item (s) below, subject to the c</t>
  </si>
  <si>
    <t xml:space="preserve"> INVITATION TO BID COMPLETION OF MULAWIN HIGH SCHOOL BUILDING, (CONSTRUCTION OF COMFORT ROOM), BRGY. FRANCISCO HOMES- MULAWIN, CITY OF SAN JOSE DEL MONTE, BULACAN The City Government of San Jose del Monte, Bulacan, thru its Bids and Awards Committee (BAC),</t>
  </si>
  <si>
    <t xml:space="preserve"> 1.Meals and AM &amp; PM Snacks on   August 17 - 21, 2020 for 40 pax (5 Days) 2. Meals and AM &amp; PM Snacks  on  August 22, 2020  (1 Day) for 10 pax *Free Flowing of Coffee *Other offers, pls. specify</t>
  </si>
  <si>
    <t xml:space="preserve"> Invitation to Bid for Improvement of Health Center The Barangay Sta. Cruz, Diplahan, Zamboanga Sibugay, through the Barangay Funds intends to apply the sum of Two Hundred Thousand Pesos Only (Php. 200,000.00) being the Approved Budget for the Contract (AB</t>
  </si>
  <si>
    <t xml:space="preserve"> Republic of the Philippines Province of Iloilo Municipality of Ajuy Barangay of Agbobolo BIDS AND AWARD COMMITTEE INVITATION TO BID 	The Barangay of Agbobolo, Ajuy, Iloilo invites Accredited Supplier to apply for eligibility and to bid for the Constructio</t>
  </si>
  <si>
    <t xml:space="preserve"> ARTICLES 					      QTY	         UNIT 	 Computer Set  							1unit 	 Specs: 								 	 Intel Core i5 - 7500 3.40ghz 6m (Kaby Lake) 								 	 Mobo: h170 D3H LGA 1151 								 	 Memory: 8Gb DDR4 Hyer X 								 	 12Gb SSD 								 	 HDD WD Black 500Gb sat </t>
  </si>
  <si>
    <t xml:space="preserve"> MATERIALS AND EQUIPMENT FOR SCHOOL NETWORK MANAGEMENT</t>
  </si>
  <si>
    <t xml:space="preserve"> Republic of the Philippines					 PROVINCE OF SIQUIJOR					 BIDS &amp; AWARDS COMMITTEE					 Capitol Building, Siquijor, Siquijor					 					 Business Name:_____________________________				AD. No.: 464-06-2020	 Address:___________________________________				DAT</t>
  </si>
  <si>
    <t xml:space="preserve"> The PHILIPPINE SCIENCE HIGH SCHOOL SYSTEM - CALABARZON REGION CAMPUS (PSHS-CBZRC) intends to apply the sum of TWO HUNDRED NINETY-FOUR THOUSAND PESOS (Php294,000.00) being the Approved Budget for the Contract (ABC) to pay for the contract for the Project: </t>
  </si>
  <si>
    <t xml:space="preserve"> 6pcs Tarpaulin, Printing of tarpaulin and fabrication of frame 4x8ft tarpaulin Blackout 3 inches fold edges, full color tunular frame and stand 10ft height in both sides including frame 39pcs Tarpaulin, Printing of tarpaulin and fabrication of frame 3x4ft</t>
  </si>
  <si>
    <t xml:space="preserve"> The Department of Environment and Natural Resources, PENRO, Ipil, Zamboanga Sibugay through its Bids and Awards Committee, intends to procure labor services: Rehabilitation of Main Entrance, Electrical Wiring at Conference Room, and Installation of Centra</t>
  </si>
  <si>
    <t xml:space="preserve"> Outsourcing of Physico Chemical and Heavy Metal and 	 Microbiological Analyses for Industrial Wastes Samples (June-July 2020)	 25	samples	PH	 25	samples	Total Suspended Solid	 25	samples	Color	 20	samples	Biochemical Oxygen Demand	 20	samples	Oil and Grea</t>
  </si>
  <si>
    <t xml:space="preserve"> INVITATION TO BID COMPLETION OF SAN RAFAEL HIGH SCHOOL BUILDING (CONSTRUCTION OF COMFORT ROOM), BRGY. SAN RAFAEL III, CITY OF SAN JOSE DEL MONTE, BULACAN The City Government of San Jose del Monte, Bulacan, thru its Bids and Awards Committee (BAC), through</t>
  </si>
  <si>
    <t xml:space="preserve"> Laptop</t>
  </si>
  <si>
    <t xml:space="preserve"> INVITATION TO BID FOR Drugs and Medicines  (Name of Project)    1.	The CITY GOVERNMENT OF ZAMBOANGA, through the General Fund intends to apply the sum of TWO MILLION FOUR HUNDRED SEVENTY FIVE THOUSAND NINE HUNDRED PESOS (P2,475,900.00) ONLY being the Appr</t>
  </si>
  <si>
    <t xml:space="preserve"> 1	8	UNITS	50 watts, Solar lamp with 2" dia. Lighting post	 			*****Closed Nothing Follows*****</t>
  </si>
  <si>
    <t xml:space="preserve"> Repainting, repair of ramp, replacement of CR door, installation of electrical connection and replacement of glass jalousie blades</t>
  </si>
  <si>
    <t xml:space="preserve"> Please download PDF @ associated components for  more information * LOT BIDDING*</t>
  </si>
  <si>
    <t xml:space="preserve"> Republic of the Philippines Province of Davao Del Sur Municipality of Padada BARANGAY UPPER MALINAO  Bids and Awards Committee June 30, 2020 PURCHASE OF (1) ONE UNIT SECOND HAND VEHICLE - VAN, PICK-UP TYPE 1.	The Barangay Government Unit of Upper Malinao,</t>
  </si>
  <si>
    <t xml:space="preserve"> CONCRETING OF FMR SAN VICENTE - AN ANONAS ROAD, BRGY. SAN VICENTE, SAN MANUEL, PANGASINAN</t>
  </si>
  <si>
    <t xml:space="preserve"> Laptop (Mid-Range)	2	units Processor: AMD Ryzen 5 3500U Memory: 8GB DDR4 Storage: 256 GB PCle SSD + 1 TB HDD OS: Windows 10 Pro 64 bit Display: 15.6 inches Weight: not heavier than 1.63 kg Connectivity: Wi-Fi: IEEE 802.11 a/b/g/n/ac, 2.4 GHz and 5 GHz, 2x</t>
  </si>
  <si>
    <t xml:space="preserve"> The PHILIPPINE SCIENCE HIGH SCHOOL SYSTEM - CALABARZON REGION CAMPUS (PSHS-CBZRC) intends to apply the sum of NINETY THOUSAND SIX HUNDRED SEVENTY FIVE PESOS (Php90,675.00) being the Approved Budget for the Contract (ABC) to pay for the contract for the Pr</t>
  </si>
  <si>
    <t xml:space="preserve"> INVITATION TO BID PURCHASE OF HIV MOBILE CLINIC FOR THE USE OF HIV –AIDS PROGRAM OF CITY HEALTH OFFICE The City Government of San Jose del Monte, Bulacan, thru its Bids and Awards Committee (BAC), through the Sangguniang Panlungsod (SP) Appropriation Ordi</t>
  </si>
  <si>
    <t xml:space="preserve"> 1	Improvised Oven	1	pc 	4/8 Planchas Capacity-Model: JO4P/8P, make: 2 Decks Baking Chamber with 4 or 8 Baking Pans (18"x13") capacity/Deck, Baking Chamber size: H-14" W-29 1/2" D-19, Ower All Dimension: H-57" W-43" D- 27"		 2	Free Standing Electric Mixer </t>
  </si>
  <si>
    <t xml:space="preserve"> as per (electronic) file attached:</t>
  </si>
  <si>
    <t xml:space="preserve"> INVITATION TO BID The Municipal Government of Laoac, Pangasinan through its Bids and Awards Committee (BAC), invites suppliers/ manufacturers/distributors/contractors to bid for the hereunder contract/s: Name of Project	: INSTALLATION AND REHABILITATION O</t>
  </si>
  <si>
    <t xml:space="preserve"> Petroleum consumption</t>
  </si>
  <si>
    <t xml:space="preserve"> Brief Description: Construction of Fence which involves project billboatd/signage, safety &amp; health, temporary facility, A. Const. of Fence; layout &amp; excavation, reinforcing steel bars, structural concrete, masonry works, painting works , B. Const. of Main</t>
  </si>
  <si>
    <t xml:space="preserve"> 1.Meals and AM &amp; PM Snacks      on August 10 - 14, 2020   (5 Days) for 87 pax 2.Meals and AM &amp; PM Snacks      on August 15, 2020 (1 Day) for 17 pax *Free Flowing of Coffee *Other offers, pls. specify __________________ __________________</t>
  </si>
  <si>
    <t xml:space="preserve"> 1	20	UNITS	50 watts, Solar lamp with 2" dia. Lighting post	 			*****Closed Nothing Follows*****</t>
  </si>
  <si>
    <t xml:space="preserve"> 272 cu.m. Filling Materials (item 200)</t>
  </si>
  <si>
    <t xml:space="preserve"> Request for Quotation: RFQ-2006-585  1, 320 heads Meals and Snacks</t>
  </si>
  <si>
    <t xml:space="preserve"> Please see attached file for reference.</t>
  </si>
  <si>
    <t xml:space="preserve"> Supply of Labor and Materials for the Rehabilitation of Lateral Line 1 1/4" at San Benito-San Isidro, Goa, Camarines Sur.</t>
  </si>
  <si>
    <t xml:space="preserve"> 1	1 copy	Sociology for Music Teachers: practical applications 2	1 copy	Rhythm to recovery: practical guide to using rhythmic music, voice and movement 3	1 copy	Dyslexia- friendly strategies for reading spelling and handwriting: a toolkit for teachers 4	1 </t>
  </si>
  <si>
    <t xml:space="preserve"> 20-10225 60000 pcs Paper Soup Bowl with Flat Lid, Plain 320cc</t>
  </si>
  <si>
    <t xml:space="preserve"> 1. Meals and AM &amp; PM Snacks on August 10-14, 2020 (5 Days) for 88 pax 2. Meals and AM &amp; PM Snacks on August 15, 2020 (1 Day) for 17 pax *Free Flowing of Coffee *Other offers, pls. specify __________________ __________________</t>
  </si>
  <si>
    <t xml:space="preserve"> Republic of the Philippines Bangsamoro Autonomous Region in Muslim Mindanao Provincial Government of Maguindanao BIDS AND AWARDS COMMITTEE Buluan, Maguindanao SUPPLY AND DELIVERY OF PROTECTIVE EQUIPMENT (PPE’S), HYGIENE KIT AND VITAMINS FOR THE MUSLIM REL</t>
  </si>
  <si>
    <t xml:space="preserve"> PROCUREMENT OF ONE (1) LOT OFFICE SUPPLIES 1.  Bond Paper, Legal Size, 81/2X13, subs. 20 - 500 REAMS 	 2.  Bond Paper, A4, subs. 20 - 300 REAMS ***nothing follows***		 Request for Quotation (RFQ) Terms, Conditions, Procedures  A.	SUBMISSION  1.	Submit sea</t>
  </si>
  <si>
    <t xml:space="preserve"> 1	Ascorbic Acid (Vitamin C) 100 mg/5 mL, 60 mL Syrup (144 bottles/box) 2	Ascorbic Acid Tablet 500mg  (100 tab/box) 3	Atorvastatin 20mg tablet (100 tablet/box) 4	Cefalexin 125mg/5ml in 60ml bottle  (144 bottles/box) 5	Cefalexin 500mg capsule (100capsule/bo</t>
  </si>
  <si>
    <t xml:space="preserve"> Project Description: Ink for Copier Machine BPS 150 Master Roll for BPS 150</t>
  </si>
  <si>
    <t xml:space="preserve"> Republic of the Philippines Province of Palawan Municipality of Dumaran BIDS AND AWARDS COMMITTEE dum_bacsecretariat@yahoo.com REQUEST FOR QUOTATION (SUPPLY AND DELIVERY OF 4 UNITS LAPTOP FOR ALS DUMARAN IMPLEMENTERS USE) _______________________ _________</t>
  </si>
  <si>
    <t xml:space="preserve"> 666 pcs. MEALS AND SNACKS</t>
  </si>
  <si>
    <t xml:space="preserve"> Brief Description: Construction of Open Stage and Comfort Room hauling of materials, layout and excavation, embankment, soil poisoning and termite control, reinforcing steel bars, structural concrete, carpentry works, masonry works, doors and windows,  pl</t>
  </si>
  <si>
    <t xml:space="preserve"> INVITATION TO BID SUPPLY AND DELIVERY OF FUEL (DIESEL AND GASOLINE) FOR PNP PATROL VEHICLES 1.	The Local Government Unit of Cabadbaran City through the PEACE &amp; ORDER FUND intends to apply the sum of THREE HUNDRED THIRTY-FIVE THOUSAND EIGHT HUNDRED PESOS O</t>
  </si>
  <si>
    <t xml:space="preserve"> Construction of Basketball Court @ Zone A, Brgy. San Miguel, Tarlac City I. PROJECT BILLBOARD II. DEMOLITION III. CONCRETE WORKS IV. STEEL WORKS V. MISCELLANEOUS</t>
  </si>
  <si>
    <t xml:space="preserve"> INVITATION TO BID PURCHASE OF LABORATORY REAGENT FOR THE USE OF OSPITAL NG LUNGSOD NG SAN JOSE DEL MONTE The City Government of San Jose del Monte, Bulacan, thru its Bids and Awards Committee (BAC), through the Sangguniang Panlungsod (SP) Appropriation Or</t>
  </si>
  <si>
    <t xml:space="preserve"> Date: June 30, 2020  Quotation No.: 2020-052 REQUEST FOR QUOTATION The Municipal Government of Victoria, through the Bids and Awards Committee, will undertake Small Value Procurement for the “Procurement of insecticides (Aqua Resigen) for indoor residual </t>
  </si>
  <si>
    <t xml:space="preserve"> Please see attached Request for Quotation.</t>
  </si>
  <si>
    <t xml:space="preserve"> 17 pcs Rechargeable Flashlights 1 roll Nylon Rope #24 1 set BP apparatus with stethoscope (heavy duty) 1 unit nebulizer 1 unit megaphone (rechargeable) 1 set First aid kit 3 gals Alcohol 70% with moisturizer 1 pc Tent Maruyama 20 x 30 1 unit Therml scanne</t>
  </si>
  <si>
    <t xml:space="preserve"> See attached main document.</t>
  </si>
  <si>
    <t xml:space="preserve"> Republic of the Philippines						SLAUGHTER		 		Government of Ormoc City						P.R. No.:  	201602	 		BIDS AND AWARDS COMMITTEE						Quotation No.: 	204459-6150	 		Ormoc City						PhilGEPs No.: 		 										 Standard Form Title:			REQUEST FOR QUOTATION						</t>
  </si>
  <si>
    <t xml:space="preserve"> Construction of school building</t>
  </si>
  <si>
    <t xml:space="preserve"> REQUEST FOR QUOTATION (RFQ)							 							 					June 30, 2020		 					R.I.S. No.: 20-82-027		 							 GENTLEMEN:			 Please submit  your  lowest price quotation (including taxes and government discounts) on charged account basis, on the following supplies/m</t>
  </si>
  <si>
    <t xml:space="preserve"> EPSON Printer L5190	1 EPSON Ink 003 Black  2 EPSON Ink 003 Blue	1</t>
  </si>
  <si>
    <t xml:space="preserve"> The AGRICULTURAL TRAINING INSTITUTE-REGIONAL TRAINING CENTER (ATI-RTC) X, through the 2020 General Appropriations Act intends to apply the sum of One Hundred Thirty Four Thousand Four Hundred Pesos (P 134,400.00) being the Approved Budget for the Contract</t>
  </si>
  <si>
    <t xml:space="preserve"> INVITATION TO BID PURCHASE OF I.V. FLUIDS FOR THE USE OF OSPITAL NG LUNGSOD NG SAN JOSE DEL MONTE The City Government of San Jose del Monte, Bulacan, thru its Bids and Awards Committee (BAC), through the Sangguniang Panlungsod (SP) Appropriation Ordinance</t>
  </si>
  <si>
    <t xml:space="preserve"> REHABILITATION OF STAGE AT SAN ROQUE ELEMENTARY SCHOOL BARANGAY SAN ROQUE</t>
  </si>
  <si>
    <t xml:space="preserve"> Item Description        Quantity     Unit Portland Cement      5     bags Washed Sand       1 cum Mix Gravel 3/4"-1 size     1      cum Deformed Steel Bar 10mm   14 pcs GI Wire No. 16 4 kgs Marine Plywood 1/2 Thick Good lumber  2 bundles CW nail #1 1/2   </t>
  </si>
  <si>
    <t xml:space="preserve"> INVITATION TO BID PURCHASE OF ANTI-RABIES VACCINE FOR THE USE OF OSPITAL NG LUNGSOD NG SAN JOSE DEL MONTE The City Government of San Jose del Monte, Bulacan, thru its Bids and Awards Committee (BAC), through the Sangguniang Panlungsod (SP) Appropriation O</t>
  </si>
  <si>
    <t xml:space="preserve"> Republic of the Philippines MUNICIPALITY OF ECHAGUE Province of Isabela INVITATION TO BID FOR  THE  PROCUREMENT OF  BUSINESS PLATES  AND TRICYCLE STICKERS 1.	The Local Government Unit , through  the  GENERAL   FUND  Of  2020  intends to apply the sum of  </t>
  </si>
  <si>
    <t xml:space="preserve"> Republic of the Philippines						OSCA		 		Government of Ormoc City						P.R. No.:  	201603	 		BIDS AND AWARDS COMMITTEE						Quotation No.: 	204455-6148	 		Ormoc City						PhilGEPs No.: 		 										 Standard Form Title:			REQUEST FOR QUOTATION							 			</t>
  </si>
  <si>
    <t xml:space="preserve"> QUANTITY-----UNIT-----ITEM 1---------------Ls--------Mobilization &amp; Demobilization  2,760----------sq.m.----Clearing &amp; Grubbing 800-----------cu.m------Aggregate Sub-base Coarse 3,250---------cu.m------Roadway Excavation  2,300---------cu.m------PCC pAVEM</t>
  </si>
  <si>
    <t xml:space="preserve"> 20-06-217 Procurement of Various Drugs and Medicines</t>
  </si>
  <si>
    <t xml:space="preserve"> 1.Meals and AM &amp; PM Snacks on August 10 - 14, 2020 (5 Days) for 137 pax 2. Meals and AM &amp; PM Snacks on August 15, 2020 (1 Day) for 25 pax *Free Flowing of Coffee *Other offers, pls. specify __________________ ________________</t>
  </si>
  <si>
    <t xml:space="preserve"> Republic of the Philippines Province of Leyte Municipality of Hilongos INVITATION TO BID FOR THE PURCHASE OF 3 IN 1 PRINTER FOR THE EBEIS ROOM OF CONCEPCION CENTRAL SCHOOL 1.  The Local Government Unit of Hilongos, through SEF-CURRENT APPROPRIATION intend</t>
  </si>
  <si>
    <t xml:space="preserve"> Request for Quotation (RFQ) Request for Quotation No.: 2020-06-091-GS Date Published: June 30, 2020 Closing Date: July 8, 2020 at 10:00 AM, PST (refer to BAC Office Wall Clock) Opening of Quotation: July 8, 2020 at 10:30 AM, PST Title of the Projects: Pro</t>
  </si>
  <si>
    <t xml:space="preserve"> usb flash drive 32 gb          Newsprint 60gsm , legal size          Correction Tape 5mm          Envelope, mailing,white, 80gsm (-5%)          Flag  (Philippine Flag)          Folder, tagboard, long          Paper multicopy, legal size, 70 gsm           </t>
  </si>
  <si>
    <t xml:space="preserve"> Brief Description: Construction/Rehabilitation/Improvement of Fence  which involves project billboard/signage, safety &amp; health, temporary facility, demolition works, A.Const. of Fence; layout and excavation, reinforcing steel bar, structural concrete,maso</t>
  </si>
  <si>
    <t xml:space="preserve"> Republic of the Philippines Bangsamoro Autonomous Region in Muslim Mindanao Provincial Government of Maguindanao BIDS AND AWARDS COMMITTEE Buluan, Maguindanao INVITATION TO BID FOR SUPPLY AND DELIVERY OF PROTECTIVE EQUIPMENT (PPE’S), HYGIENE KIT AND VITAM</t>
  </si>
  <si>
    <t xml:space="preserve"> Please download PDF @associated for more information * LOT BIDDING*</t>
  </si>
  <si>
    <t xml:space="preserve"> Supply of labor, chemicals, equipment including the technical supervision necessary for the disinfection  services of LLDA Green Building located at National Ecology Center, East Avenue, Diliman Quezon City which includes the following areas: Common Area,</t>
  </si>
  <si>
    <t xml:space="preserve"> ITEM NO.	ITEM &amp; DESCRIPTION				UNIT	QTY. 1	Portland Cement				bags	12 2	Screened Gravel				cu.m.	2 3	Screened Sand				cu.m.	1 4	12mmx6m Plain Bar				pcs	8 5	10mmx6m Def. Bar				pcs	12 6	Dyna Bolt				pcs	30 7	#18 Tie Wire				kls	6 8	#26x10’ Corr. G.I Sheet</t>
  </si>
  <si>
    <t xml:space="preserve"> Supply and Delivery of CM for the improvement of Pangawan-Balangabang and Tidang Village-Amelong Road, Kayapa NV</t>
  </si>
  <si>
    <t xml:space="preserve"> 330-pax-Lunch and snacks</t>
  </si>
  <si>
    <t xml:space="preserve"> QTY	UNIT	ITEM DESCRIPTION					 30	pcs	TONER CARTRIDGE for HP laserjet M604, CF281A Black					 55	pcs	TONER CARTRIDGE for HP M607(37A)					 		*AUTHENTIC / ORIGINAL*</t>
  </si>
  <si>
    <t xml:space="preserve"> INVITATION TO BID NO. GOODS-030-2020 The Provincial Government of Bataan, through the General Fund030 intends to apply the below listed procurement w/ corresponding Approved Budget of the Contract (ABC). Bids received in excess of the ABC shall be automat</t>
  </si>
  <si>
    <t xml:space="preserve"> Republic of the Philippines GENERAL SANTOS CITY WATER DISTRICT                       E. Fernandez Street, Barangay Lagao General Santos Telephone No.: 552-3824; Telefax No.: 553-4960 Email Address:  gscwdprocurement@yahoo.com REQUEST FOR QUOTATION RFQ #: </t>
  </si>
  <si>
    <t xml:space="preserve"> 1.Meals and AM &amp; PM Snacks on    August  10 - 14, 2020  (5 Days) for 41 pax 2. Meals and AM &amp; PM Snacks on August 15, 2020  (1 Day) for 10 pax *Free Flowing of Coffee *Other offers, pls. specify __________________ __________________</t>
  </si>
  <si>
    <t xml:space="preserve"> For complete details please see attached file.</t>
  </si>
  <si>
    <t xml:space="preserve"> ARTICLE AND DESCRIPTION                  										 ITEM	QTY	UNIT						CEILING 		UNIT PRICE			TOTAL  								PRICE					 			Office:  City General Services Office					PR No. 848					 			Charge to: Information and Technology Equipment					OBR No. 100-2006-05</t>
  </si>
  <si>
    <t xml:space="preserve"> Request for Quotation: RFQ-2006-599  Supply and delivery of various spareparts.</t>
  </si>
  <si>
    <t xml:space="preserve"> Road Concreting  - 4m x 0.20m x 22</t>
  </si>
  <si>
    <t xml:space="preserve"> Supply &amp; Delivery of Diesel &amp; Gasoline (see attached RFQ)</t>
  </si>
  <si>
    <t xml:space="preserve"> INVITATION TO BID PURCHASE OF ANTIBACTERIAL DRUGS AND MEDICINES FOR THE USE OF OSPITAL NG LUNGSOD NG SAN JOSE DEL MONTE The City Government of San Jose del Monte, Bulacan, thru its Bids and Awards Committee (BAC), through the Sangguniang Panlungsod (SP) A</t>
  </si>
  <si>
    <t xml:space="preserve"> Republic of the Philippines Batangas City Invitation to Apply for Eligibility and to Bid The Barangay Government of Barangay San Miguel, Batangas City intends to apply the sum of One Hundred Two Thousand Pesos Only (Php 102,000.00) broken down as follow: </t>
  </si>
  <si>
    <t xml:space="preserve"> 1 package DJI Mavic 2 Enterprise Dual Camera Key Specs: Sensor: Uncooled Vox Microbolometer Lens: HFOV:57 degrees Aperture: f/1.1. Resolution: 160x120 Pixel Pitch: 12micrometer Spectral band: 8-14 mincrometer Image Size: 640x480 (4:3); 640x360 (16:9) Stil</t>
  </si>
  <si>
    <t xml:space="preserve"> RAIN BOOTS &amp; RAINCOATS FOR BARANGAY TANODS</t>
  </si>
  <si>
    <t xml:space="preserve"> INVITATION TO BID SUPPLY AND DELIVERY OF CORN SEEDS (HYBRID) FOR CORN PRODUCTION PROGRAM 1.	The Local Government Unit of Cabadbaran City through the GENERAL FUND intends to apply the sum of THREE HUNDRED THIRTEEN THOUSAND FIVE HUNDRED PESOS ONLY (P 313,50</t>
  </si>
  <si>
    <t xml:space="preserve"> 1 LOT of: 1 Unit RJ10 (500-800watts) Portable Speaker w/ built-in wheels and extension Handlles  Battery Powered 								  2 Ways Speaker/100watts peak 								  3 channel mixer inegrated 								  Bluetooth Music Streaming  								  2 Band EQ + Reverb E</t>
  </si>
  <si>
    <t xml:space="preserve"> PIPELINES 15 pcs 160MM UPVC PIPE S-10 W/ RR 8 pcs 6" Dia. G.I. PIPE STANDARD SCHEDULE 40 WITH COUPLINGS FITTINGS AND APPURTENANCES 8 pcs 150MM X 45 DEG. C.I. BEND M/M W/ BNG FOR G.I. 1 pc   150MM GATE VALVE F/F w/ BNG 2 pcs 150MM FLANGE ADAPTOR F/M W/ BNG</t>
  </si>
  <si>
    <t xml:space="preserve"> Including installation</t>
  </si>
  <si>
    <t xml:space="preserve"> Brief Description: Construction of Covered Walk which involves lay-out and excavation, reinforcing steel bars, structural concrete, steel works, roofing works, painting works, temporary facility, safety &amp; health and project billboard/signage. Amount of Bi</t>
  </si>
  <si>
    <t xml:space="preserve"> Construction Materials for July 2020 (sand, gravel, cement, CBH#4 and the like)</t>
  </si>
  <si>
    <t xml:space="preserve"> Social Amelioration Program Forms with barcode with control number front &amp; back printing 8 x 13"</t>
  </si>
  <si>
    <t xml:space="preserve"> 100 pads, CTG Tracing Paper - 150mm x 90mm - compatible to Star5000D</t>
  </si>
  <si>
    <t xml:space="preserve"> Request for Quotation (RFQ) Request for Quotation No.: 2020-06-092-GS Date Published: June 30, 2020 Closing Date: July 8, 2020 at 10:00 AM, PST (refer to BAC Office Wall Clock) Opening of Quotation: July 8, 2020 at 10:30 AM, PST Title of the Projects: Pro</t>
  </si>
  <si>
    <t xml:space="preserve"> INVITATION TO BID PURCHASE OF VARIOUS MEDICINES FOR THE USE OF CITY HEALTH CENTERS The City Government of San Jose del Monte, Bulacan, thru its Bids and Awards Committee (BAC), through the Sangguniang Panlungsod (SP) Appropriation Ordinance of 2020, inten</t>
  </si>
  <si>
    <t xml:space="preserve"> INVITATION TO BID SUPPLY AND DELIVERY OF THREE (3) UNITS SINGLE MOTORCYCLE W/ ACCESSORIES FOR VARIOUS OFFICES 1.	The Local Government Unit of Cabadbaran City through the GENERAL FUND intends to apply the sum of TWO HUNDRED SEVENTY THOUSAND PESOS ONLY (P 2</t>
  </si>
  <si>
    <t xml:space="preserve"> Republic of the Philippines						GSD		 		Government of Ormoc City						P.R. No.:  	201757	 		BIDS AND AWARDS COMMITTEE						Quotation No.: 	204457-6149	 		Ormoc City						PhilGEPs No.: 		 										 Standard Form Title:			REQUEST FOR QUOTATION							 				</t>
  </si>
  <si>
    <t xml:space="preserve"> REQUEST FOR QUOTATION (RFQ)							 							 					June 30, 2020		 					R.I.S. No.: 20-83-111		 							 GENTLEMEN:			 Please submit  your  lowest price quotation (including taxes and government discounts) on charged account basis, on the following supplies/m</t>
  </si>
  <si>
    <t xml:space="preserve"> Disinfection Sprayer- 65 units Description :   -  16L Battery/Manual (2in1) Knapsack Sprayer</t>
  </si>
  <si>
    <t xml:space="preserve"> Pls see attached docs</t>
  </si>
  <si>
    <t xml:space="preserve"> REQUEST FOR QUOTATION	 RFQ No. 2020-0273 The CITY GOVERNMENT OF CABANATUAN through its Bid and Awards Committee (BAC) will undertake Small Value Procurement for SUPPLY AND DELIVERY OF I.T. EQUIPMENT (HRMO) in accordance with Section 53.9 of the Revised Im</t>
  </si>
  <si>
    <t xml:space="preserve"> The Bureau of Customs (BOC) through the authorized appropriations under the CY 2020 General Appropriations Act intends to apply the sum of  Three Million Five Hundred Thousand Pesos (Php3,500,000.00) being the Approved Budget for the Contract (ABC) to pay</t>
  </si>
  <si>
    <t xml:space="preserve"> 5 Units	Desktop	 	Intel Core i7 D496      -	D498-16 G.B RAM      -	240G SSD, DDR4      -	1920 x 1080 HD Graphics      -	Window 10 monitor : 23.8 inches     -	Includes monitor, USB mouse  USB keyboard and AVR		 1 Unit Printer 	 	Single function colored pri</t>
  </si>
  <si>
    <t xml:space="preserve"> Republic of the Philippines						CASO		 		Government of Ormoc City						P.R. No.:  	201743	 		BIDS AND AWARDS COMMITTEE						Quotation No.: 	204461-6151	 		Ormoc City						PhilGEPs No.: 		 										 Standard Form Title:			REQUEST FOR QUOTATION							 			</t>
  </si>
  <si>
    <t xml:space="preserve"> Polo shirts T-Shirts</t>
  </si>
  <si>
    <t xml:space="preserve"> 6	pc	TONER CART, HP CF283A (HP83A) LaserJet  Black  6	pc	Correction Tape (Mr. Wiper) 20	pc	Correction Tape (Mr. Wiper) Refill 2	pack	TOILET TISSUE PAPER 2-plys sheets, 150 pulls 8	pc	TAPE, TRANSPARENT, width: 48mm (±1mm) 1	pc	DUST PAN, non-rigid plastic, </t>
  </si>
  <si>
    <t xml:space="preserve"> Medical Supplies</t>
  </si>
  <si>
    <t xml:space="preserve"> Purchase of Office Supplies and Materials (Please see attached RFQs)</t>
  </si>
  <si>
    <t xml:space="preserve"> Request for Quotation: RFQ-2006-600 1. 8 truckloads ( Firewood)</t>
  </si>
  <si>
    <t xml:space="preserve"> 1. Grass Cutter STIHL FS 230 2. Mower Head / Trimmer Head Mega</t>
  </si>
  <si>
    <t xml:space="preserve"> 1.Meals and AM &amp; PM Snacks on April 20 – April 24, 2020 (5 Days) for 45 pax 2. Meals and AM &amp; PM Snacks on April 25, 2020 (1 Day) for 8 pax *Free Flowing of Coffee *Other offers, pls. specify __________________ __________________</t>
  </si>
  <si>
    <t xml:space="preserve"> 1 unit Computer Desk Top with PRINTER, Computer table and Chair Specification: Processor 9th Egn. CORE i3 Memory 8GB, DDR 4 Storage SSD 512GB LED Monitor 19 inches Printer 3 in 1 functionality 1 Unit LCD/DLP Multi-media Projector with Tripod, ceiling wall</t>
  </si>
  <si>
    <t xml:space="preserve"> The PHILIPPINE SCIENCE HIGH SCHOOL SYSTEM - CALABARZON REGION CAMPUS (PSHS-CBZRC) intends to apply the sum of FIFTY THOUSAND PESOS (Php50,000.00) being the Approved Budget for the Contract (ABC) to pay for the contract for the Project: SUPPLY AND DELIVERY</t>
  </si>
  <si>
    <t xml:space="preserve"> Laboratory Supplies</t>
  </si>
  <si>
    <t xml:space="preserve"> 32"</t>
  </si>
  <si>
    <t xml:space="preserve"> INVITATION TO BID PURCHASE OF EMERGENCY VEHICLE TO BE USED DURING RESPONSE OPERATIONS OF CDRRMO The City Government of San Jose del Monte, Bulacan, thru its Bids and Awards Committee (BAC), through the Sangguniang Panlungsod (SP) Appropriation Ordinance o</t>
  </si>
  <si>
    <t xml:space="preserve"> RFQ No. 2020-028 REQUEST FOR QUOTATION (SUPPLY OF FUEL FOR CONSUMPTION OF MUNICIPAL VEHICLES FOR THE MONTH OF JULY 2020) The Municipal Government of Cuyo hereinafter referred to as “the Purchaser”, through its Bids and Awards Committee (BAC), invite inter</t>
  </si>
  <si>
    <t xml:space="preserve"> 200-Boxes-Surgical Mask</t>
  </si>
  <si>
    <t xml:space="preserve"> The Municipal Government of Aloguinsan invites prospective bidders to bid for the project Supply and Delivery of Tires for LGU Vehicles . Source of Fund: General Fund FY 2020 ABC: Php 749,000.00 The complete schedule of activities will be as follows: 1. S</t>
  </si>
  <si>
    <t xml:space="preserve"> 1.Meals and AM &amp; PM Snacks on April 20 – April 24, 2020 (5 Days) for 62 pax 2. Meals and AM &amp; PM Snacks on April 25, 2020 (1 Day) for 12 pax *Free Flowing of Coffee *Other offers, pls. specify __________________ __________________</t>
  </si>
  <si>
    <t xml:space="preserve"> ROAD CONCRETING  - 4m x 0.15m x 30m</t>
  </si>
  <si>
    <t xml:space="preserve"> 1	24	UNITS	50 watts, Solar lamp with 2" dia. Lighting post	 			*****Closed Nothing Follows*****</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</si>
  <si>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</si>
  <si>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</si>
  <si>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1.Meals and AM &amp; PM Snacks on April 20 – April 24, 2020 (5 Days) for 45 pax 2. Meals and AM &amp; PM Snacks on April 25, 2020 (1 Day) for 15 pax *Free Flowing of Coffee *Other offers, pls. specify __________________ __________________</t>
  </si>
  <si>
    <t xml:space="preserve"> Ink for Epson L1455 60 cart Cyan 60 cart Magenta 60 cart Yellow 60 cart Black Term and conditions: with free use of printer</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</si>
  <si>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</si>
  <si>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REQUEST FOR QUOTATION Date:					June 30, 2020 Request of Quotation No.: 		RFQ-2020-06-0009 Purchase Request No.: 		COV-Q-0007, COV-Q-0010, COV-Q-0011, COV-Q-0012, COV-Q-    0015 The DOH-Treatment and Rehabilitation Center- Bataan, will undertake Negotiate</t>
  </si>
  <si>
    <t xml:space="preserve"> 10 Black Cylinder Trash Bin</t>
  </si>
  <si>
    <t xml:space="preserve"> Please quote your lowest price on the SUPPLY AND DELIVERY OF MATERIALS FOR THE CONSTRUCTION OF COAST GUARD AUXILIARY OFFICE AT GREEN ISLAND as specified below and submit your quotation duly signed by your representative not later than 2pm of  JULY 8, 2020</t>
  </si>
  <si>
    <t xml:space="preserve"> ROAD CONCRETING  - 4m x 0.20m x 22m</t>
  </si>
  <si>
    <t xml:space="preserve"> INVITATION TO BID SUPPLY AND DELIVERY OF AIR CONDITIONING UNITS (FLOOR MOUNTED AND WINDOW-TYPE) FOR VARIOUS OFFICES 1.	The Local Government Unit of Cabadbaran City through the GENERAL FUND intends to apply the sum of TWO HUNDRED THIRTY-SIX THOUSAND PESOS </t>
  </si>
  <si>
    <t xml:space="preserve"> By Contact.</t>
  </si>
  <si>
    <t xml:space="preserve"> Procurement of Various Office Equipment</t>
  </si>
  <si>
    <t xml:space="preserve"> The PHILIPPINE SCIENCE HIGH SCHOOL SYSTEM - CALABARZON REGION CAMPUS (PSHS-CBZRC) intends to apply the sum of ONE HUNDRED FIFTEEN THOUSAND PESOS (Php115,000.00) being the Approved Budget for the Contract (ABC) to pay for the contract for the Project: SUPP</t>
  </si>
  <si>
    <t xml:space="preserve"> One (1) Unit Printer w/ Scanner</t>
  </si>
  <si>
    <t xml:space="preserve"> Brief Description: Concreting of Road which involves barricades, removal of existing concrete pavement, excavation, sub-grade preparation, aggregate sub base course (compacted volume), portland cement concrete pavement, road shouldering (loose volume), pr</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</si>
  <si>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</si>
  <si>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HEALTH AND SAFETY MATERIALS AND EQUIPMENT</t>
  </si>
  <si>
    <t xml:space="preserve"> The Philippine Rural Development Project- Regional Project Coordination Office XI hereunder referred to as the End-User now requests interested applicants to submit Expression of Interest for the Hiring of the following position for the period July 16, 20</t>
  </si>
  <si>
    <t xml:space="preserve"> - The Municipality of Baliguian, request for quotation for the Procurement of office supplies and consumables. - The Estimated Budget Cost is Seven Hundred Seventeen Thousand Eighty Four Pesos and Fifty Centavos (Php717,084.50). - Interested suppliers/bid</t>
  </si>
  <si>
    <t xml:space="preserve"> 1.  1 set Computer Set      Intel Core i5      Processor      8GB Memory      1TB HDD      2GB DDR3 NVIDIA GT 710      DVDRW with Monitor 23" 2.  1 unit Computer Table &amp; Chair 3.  1 unit Printer 3 in 1      Wifi ready    ---------------Nothing Follows----</t>
  </si>
  <si>
    <t xml:space="preserve"> Republic of the Philippines     Province of Oriental Mindoro Gloria, Oriental Mindoro BARANGAY PAPANDUNGIN INVITATION TO BID ITB No. 2020-001  SUPPLY AND DELIVERY OF HARDWARE MATERIALS FOR THE CONSTRUCTION OF BRGY. HEALTH STATION BUILDING 1. The Barangay </t>
  </si>
  <si>
    <t xml:space="preserve"> Brief Description: Construction of Slope Protection which involves excavation, reinforcing steel bar, structural concrete, rubble concrete, concrete piles (Cast-In-Place), project billboard/signage, safety &amp; health and temporary facility. A.	Equipment to </t>
  </si>
  <si>
    <t xml:space="preserve"> INVITATION TO BID SUPPLY AND DELIVERY OF IT EQUIPMENTS (COMPUTER, LAPTOP, PRINTER) FOR VARIOUS OFFICES 1.	The Local Government Unit of Cabadbaran City through the GENERAL FUND intends to apply the sum of TWO HUNDRED SEVENTY-ONE THOUSAND PESOS ONLY (P 271,</t>
  </si>
  <si>
    <t xml:space="preserve"> Please download RFQ.</t>
  </si>
  <si>
    <t xml:space="preserve"> 1.Broadcast Ads (3) month xxxxxxxxxxxxx</t>
  </si>
  <si>
    <t xml:space="preserve"> 28 	 pcs. 	 Ethyl Alcohol 1 liter (Green Cross) 		  12 	 pcs. 	 32gb USB Flash disk 		  1 	 pc. 	         Laminating Machine 		  11 	 sets 	 Ink bottles for printer 		  2 	 pcs. 	 Stapler 		  2 	 pcs. 	 Puncher 		  12 	 ream 	 Short bond paper 		  15 	 re</t>
  </si>
  <si>
    <t xml:space="preserve"> X-RAY MACHINE (QUANTUM BRAND FROM USA) SCOPE  PREVENTIVE MAINTENANCE SERVICE: -ADJUSTMENT ABD KUBRICATION OF MECHANICAL PARTS ON THE X-RAY SYSTEM MECHANISM -CHECK –UP OF HIGH VOLTAGE GENERATOR HIGH TENSION CABLES,X-RAY TUBE AND REPLACEMENT OF HIGH VOLTAGE</t>
  </si>
  <si>
    <t xml:space="preserve"> 2 units Desktop Computer Specs: Intel Core i3-8100 3.6 ghz Motherboard w/ built in audio, video, Lan 4GB DDR4 Memory  500 GB Hard Drive DVD Writer ATX Casing w/ power Supply 19" LED Monitor A4tech Keyboard &amp; Optical Mouse AVR 500 watts &amp; Mouse Pad UPS 720</t>
  </si>
  <si>
    <t xml:space="preserve"> Republic of the Philippines DEPARTMENT OF PUBLIC WORKS AND HIGHWAYS SARANGANI 	DISTRICT ENGINEERING OFFICE	 REGIONAL OFFICE XII Alabel, Sarangani Province INVITATION TO BID FOR 1.	20GME0047 –	Lease of One (1) Unit Service Vehicle for Eleven (11)  days for</t>
  </si>
  <si>
    <t xml:space="preserve"> MUNICIPAL GOVERNMENT OF LAZI						             	  Project Reference Number: _________________  	              	  Name of the Project: Construction of Guardhouse 		    		 in Simacolong Standard Form Number:  SF-GOOD-05					                                 </t>
  </si>
  <si>
    <t xml:space="preserve"> INVITATION TO BID PURCHASE OF VARIOUS NUTRI-MILK/ OATS PRODUCTS FOR THE FEEDING SUPPLEMENTATION PROGRAM OF THE CITY HEALTH OFFICE The City Government of San Jose del Monte, Bulacan, thru its Bids and Awards Committee (BAC), through the Sangguniang Panlung</t>
  </si>
  <si>
    <t xml:space="preserve"> Request for Quotation City Agriculture Office Repair &amp; Maintenance - Machinery &amp; Equipment (Agricultural &amp; Fishery) P 82,590.00</t>
  </si>
  <si>
    <t xml:space="preserve"> June 30, 2020 	 INVITATION TO BID Reference No. 7077407 / Solicitation No. 2020/06/065 	The City Government of Tagum invites interested Bidders/Suppliers to submit for eligibility and to bid for the following: MATERIALS FOR CONSTRUCTION OF MULTI-PURPOSE C</t>
  </si>
  <si>
    <t xml:space="preserve"> Republic of the Philippines National Kidney and Transplant Institute Bids and Awards Committee East Avenue, Quezon City 1100 981-0300 / 981-0400 local 1157 http://www.nkti.gov.ph/	 INVITATION TO BID for the ITB No. 20-057 ONE (1) LOT SUPPLY AND DELIVERY O</t>
  </si>
  <si>
    <t xml:space="preserve"> CONSTRUCTION OF 2-STOREY SCHOOL BUILDING GENERAL LUNA CENTRAL ELEM. SCHOOL, MUN. OF GENERAL LUNA, SURIGAO DEL NORTE Brief Description:	The project will involve the Construction of 2-Storey School Building with the following scope of works: Facilities for </t>
  </si>
  <si>
    <t xml:space="preserve"> 1.Broadcast Ads (3) month xxxxxxxxxx</t>
  </si>
  <si>
    <t xml:space="preserve"> Republic of the Philippines Province of Cagayan Municipality of Baggao INVITATION TO BID FOR THE PROCUREMENT OF GOODS The LOCAL GOVERNMENT UNIT OF BAGGAO, CAGAYAN, through the 01-001-5-02-03-090 intends to apply the sum of One Million Seven Hundred Ninety</t>
  </si>
  <si>
    <t xml:space="preserve"> REQUEST TO SUBMIT PROPOSAL FOR SUPPLY, DELIVERY AND INSTALLATION OF      2 UNITS SPLIT TYPE AIRCON FOR THE USE IN THE OFFICE OF RTD FOR OPERATIONS AND OFFICE OF RICE AND CORN PROGRAM FOCAL PERSON UNDER RICE PROGRAM 2020 AT APPROVED BUDGET FOR THE CONTRACT</t>
  </si>
  <si>
    <t xml:space="preserve"> Waterworks Materials for the construction of Shallow Well Pump</t>
  </si>
  <si>
    <t xml:space="preserve"> Item	ITEMS &amp; DESCRIPTION				QTY	UNIT No.						 1	Alcohol, rubbing 70% Isopropyl, 500 mL				59	bt 2	Automatic Voltage Regulator (AVR)				10	pc 3	Bond paper short s-20				33	rm 4	Calculator 16 digits				2	pc 5	Calculator(Scientific) compact electronic 12 di</t>
  </si>
  <si>
    <t xml:space="preserve"> Photocopying Machine</t>
  </si>
  <si>
    <t xml:space="preserve"> Section I. Invitation to Bid Republic of the Philippines Province of Benguet MUNICIPALITY OF BOKOD INVITATION TO BID FOR DILP PROJECT PRODUCTION OF MEAT &amp; EGGS OF NATIVE CHICKEN AND DUCK (LIVELIHOOD ENHANCEMENT FOR BARANGAY BOBOK-BISAL) 1.	The MUNICIPALIT</t>
  </si>
  <si>
    <t xml:space="preserve"> PLEASE SEE ATTACHED RFQ.</t>
  </si>
  <si>
    <t xml:space="preserve"> Bond Paper A4 - 75 Reams Bond Paper Legal - 75 Reams Sign Pen Black 320 Pcs Sing Pen Red - 155 Pcs</t>
  </si>
  <si>
    <t xml:space="preserve"> See attached document, print Bid Notice Abstract and download ITB No. GOODS-20-116.</t>
  </si>
  <si>
    <t xml:space="preserve"> CATERING SERVICES</t>
  </si>
  <si>
    <t xml:space="preserve"> INVITATION TO BID IB NO. GS-2020-03 Office Supplies and Consumables 1.	The Municipality of Baco  through Office Supplies from various office  intends  to  apply the sum of  the  Goods  for  Php 312,984.00 being the Approved Budget for the Contract (ABC) t</t>
  </si>
  <si>
    <t xml:space="preserve"> Repainting of Bantay bayan HQ</t>
  </si>
  <si>
    <t xml:space="preserve"> Procurement of Anti-Covid-19 Janitorial Supplies  30 pcs   MANUAL CHEMICAL SPRAYER</t>
  </si>
  <si>
    <t xml:space="preserve"> 132 bags Hybrid Corn Seeds -conventional hybrid, white -NSIC registered varieties -packed at 18kg/bag -early maturing, maximum of 100 days -see attached RFQ Form for more details</t>
  </si>
  <si>
    <t xml:space="preserve"> To be delivered at: PhilHealth Regional Office IX BGIDC Corporate Center Governor Lim Avenue Zamboanga City Please use the attached RFQ when submitting your quotation</t>
  </si>
  <si>
    <t xml:space="preserve"> Pls. see the attached file</t>
  </si>
  <si>
    <t xml:space="preserve"> various electrical supplies</t>
  </si>
  <si>
    <t xml:space="preserve"> 12 Pcs Scotch tape 1” 80 Reams	Bond Paper legal	 95 Reams	Bond Paper A4	 50 Pairs Battery AAA	 20 Tubes Computer Ink 0003 black	 30 Tubes Computer Ink T6641 black	 20 Pcsm Correction tape	 10 Pcs Record book	 20 Pcs Marker black permanent 	 10 Pcs White b</t>
  </si>
  <si>
    <t xml:space="preserve"> Name of the Procuring Entity:					Project Reference Number: PR # 200-2020-06-11 Municipality of Lantapan					Name of the Project:  Standard Form Number: SF-GOOD-60					Supply &amp; Delivery of Materials for the Repair of Classroom  					at Bugcaon Elem School</t>
  </si>
  <si>
    <t xml:space="preserve"> Standard Form No. 60						 Revised on May 24, 2004						 REQUEST FOR QUOTATION						 Provincial Government of Romblon						 						 				Date:        July 01, 2020		 				Quotation No.:    81-S		 						 To Our Valued Suppliers:						 						 	Please quote you</t>
  </si>
  <si>
    <t xml:space="preserve"> CSC-CO  BIDS AND AWARDS COMMITTEE                                          CSC-ITB No.  2020-_08_               (Proc. of Laptops &amp; Printers)                                                                  June 29, 2020    INVITATION TO BID  (Mode of Pro</t>
  </si>
  <si>
    <t xml:space="preserve"> Republic of the Philippines Province of Guimaras OFFICE OF THE BIDS AND AWARDS COMMITTEE INVITATION TO BID FOR    SUPPLY AND DELIVERY OF JANITORIAL SUPPLIES  Bid Ref. No. 2020-06-331 1.	The Province of Guimaras , through the Other Supplies and Materials E</t>
  </si>
  <si>
    <t xml:space="preserve"> See attachment/s.</t>
  </si>
  <si>
    <t xml:space="preserve"> Siren</t>
  </si>
  <si>
    <t xml:space="preserve"> SEE ATTACHED...</t>
  </si>
  <si>
    <t xml:space="preserve"> Request for Quotation: RFQ-2006-688  1. 22 hrs. Radio Live Broadcast</t>
  </si>
  <si>
    <t xml:space="preserve"> Waterworks Materials for the Improvement of Water System (14 Barangays)</t>
  </si>
  <si>
    <t xml:space="preserve"> 66 bags Corn Seeds (20kgs/bag -OPV white certified seeds -NSIC registered -minimum yield of 5 tons per hectare -76% minimum shelling recovery -see attached RFQ Form for more details.</t>
  </si>
  <si>
    <t xml:space="preserve"> 5 units Computer Netbook -operating system: Windows 10 home -screen size: atleast 11.6" -processor: atleast 2 cores 1.1 Ghz or higher -memory: atleast 2GB DDR4 -hard disk drive: 500GB SATA -see attached RFQ Forms for more details.</t>
  </si>
  <si>
    <t xml:space="preserve"> Bicol Regional Training and Teaching Hospital Legazpi City INVITATION TO BID FOR  Procurement of Medical Equipment for NICU (Care for Small Babies) IB No. 07-2020 1.	The Bicol Regional Training and Teaching Hospital (BRTTH) through the 2020 Hospital Incom</t>
  </si>
  <si>
    <t xml:space="preserve"> (PLEASE SEE ATTACHED ASSOCIATED COMPONENT) please send Request for Quotation  -  mbslh14@gmail.com Contact Person:	MHELET BEÑALES (711-69-73) 1	lot	Provision and Installation of Double - Leaf Metal Flush Door with Viewing Glass	 1	lot	Provision and Instal</t>
  </si>
  <si>
    <t xml:space="preserve"> Republic of the Philippines PROVINCE OF NUEVA VIZCAYA Municipality of Alfonso Castañeda  BIDS &amp; AWARDS COMMITTEE FOR GOODS &amp; SERVICES REQUEST FOR QUOTATION RFQ Number: 2020-07-01 The Local Government of Alfonso Castañeda through its Bids and Awards Comm</t>
  </si>
  <si>
    <t xml:space="preserve"> The Philippine Crop Insurance Corporation (PCIC) invites interested suppliers to send quotation for the Supply and Delivery of Air Purifier with the following minimum specifications: ITEM A Humidifying System			: Natural Vaporization Humidifying Tank Capa</t>
  </si>
  <si>
    <t xml:space="preserve"> Invitation to Bid</t>
  </si>
  <si>
    <t xml:space="preserve"> REPAIR AND MAINTENANCE OF CLASSROOM</t>
  </si>
  <si>
    <t xml:space="preserve"> SIGNAGE DISCHARGE PIPELINES AND APPURTENANCES REHABILITATION OF WATER DISTRIBUTION PIPELINES SYSTEM INCLUDING FLUSHING &amp; DISINFECTION</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</si>
  <si>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</si>
  <si>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</si>
  <si>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See Philippine Bidding Documents, Bill of Quantities and Checklist hereto attached.</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</si>
  <si>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</si>
  <si>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Ephedrine 50mg/ml, 1ml (as Sulfate) Esmolol 10mg/ml, 10ml Vial (as hydrochloride) Etoposide 20mg/ml Felodipine 10mg/MR Epinephrine 1mg/ml, 1ml Amp Fentanyl Citrate 50mcg/ml, 2ml Inj. (Citrate) Requirements for Drugs and Medicines: **Drugs with history of </t>
  </si>
  <si>
    <t xml:space="preserve"> 10 pcs Folder Long, Merit 10 pcs Folder Short, Merit 10 Pc Brown Envelope Long 10 ream Bondpaper premium Long 10 ream Bondpaper premium grade A4 10 pc Sign Pen Blue 10 pc Sign Pen Black 4 pc Correction Tape 3 btl Computer Ink-EPSON 664 (Magenta) 3 btl Com</t>
  </si>
  <si>
    <t xml:space="preserve"> Republic of the Philippines BATANGAS STATE UNIVERSITY Batangas City REQUEST FOR QUOTATION "Procurement of Furniture for Various Offices" 1. The Batangas State University (BatState U) through the Bids and Awards Committee invites interested firms/supplier </t>
  </si>
  <si>
    <t xml:space="preserve"> CONSTRUCTION OF NURSES QUARTER AND DOCTOR'S QUARTER STA. CRUZ, MUNICIPALITY OF PLACER, SURIGAO DEL NORTE Brief Description:    The project will involve the following scope of works: General Requirements, Earthworks, Concrete Works, Reinforcing Steel Bars,</t>
  </si>
  <si>
    <t xml:space="preserve"> Standard Form No. 60						 Revised on May 24, 2004						 REQUEST FOR QUOTATION						 Provincial Government of Romblon						 						 				Date:        July 01, 2020		 				Quotation No.:    202-S		 						 To Our Valued Suppliers:						 						 	Please quote yo</t>
  </si>
  <si>
    <t xml:space="preserve"> ACCOMMODATION  Target Date: 2nd week of July 15 rooms twin bed (deluxe type of room with complimentary breakfast) Preferred Hotel in Baguio: The Manor (Camp John Hay) and/or The Lemonet Baguio. Note: Health and Safety Guidelines including Protocols shall </t>
  </si>
  <si>
    <t xml:space="preserve"> SUPPLY OF LABOR AND MATERIALS FOR THE REHABILITATION OF APDC TOILETS AND SEPTIC TANK, DRAINAGES SYSTEM AND WATER LINES AT APDS, MARULAS VALENZUELA CITY 1.	The Bureau of Animal Industry, through the National Livestock Program, Approved Annual Procurement P</t>
  </si>
  <si>
    <t xml:space="preserve"> *PAINT - Latex, White, 1 gal (76 gallons) *PORTLAND CEMENT - ASTM C-150,C-595 type I, 40 kgs, Plastic Bag (38 bags) *BOARD - Plyboard 4` x 8` x ¾" thk, Ordinary (12 sheets) *ROOFING - G.I. Corrugated Sheet 3' x 10', Ga. 24 (0.30mm thk) (29 sheets) *PAPER </t>
  </si>
  <si>
    <t xml:space="preserve"> Procurement of Meal Tray</t>
  </si>
  <si>
    <t xml:space="preserve"> 3pcs  Spine Board Strecher 1 set  Scissors, Head Bead, Roll Duct Tape 1pc   Mechanical Trebble Extension Ladder-7m</t>
  </si>
  <si>
    <t xml:space="preserve"> Republic of the Philippines Province of Guimaras OFFICE OF THE BIDS AND AWARDS COMMITTEE INVITATION TO BID FOR    SUPPLY AND DELIVERY OF TIRE Bid Ref. No. 2020-06-364 1.	The Province of Guimaras , through the Repairs &amp; Maintenance Transportation Equipment</t>
  </si>
  <si>
    <t xml:space="preserve"> INVITATION TO BID  FOR SUPPLY AND DELIVERY OF MEDICAL SUPPLIES. 1.	The Local Government Unit of Murcia, Negros Occidental, through the LGU-TRUSTFUND 2020, intends to apply the sum of One Hundred Sixteen Thousand Four Hundred Pesos (Php 116,400.00) being t</t>
  </si>
  <si>
    <t xml:space="preserve"> Section I. Invitation to Bid Republic of the Philippines Province of Davao del Norte MUNICIPALITY OF TALAINGOD 								1 July, 2020 Invitation to Bid for CONSTRUCTION OF STAR WOMEN’S BUILDING (@ Sto. Niño,Talaingod, DdN 1.	The Local Government Unit of Tal</t>
  </si>
  <si>
    <t xml:space="preserve"> Spareparts and Oil Lubricants</t>
  </si>
  <si>
    <t xml:space="preserve"> Brief Description: Construction of Fence which involves project billboard/signage, safety &amp; health, temporary facility, A. Const. of Fence A; layout and excavation, reinforcing steel bar, structural concrete, masonry works, grille works, painting works, B</t>
  </si>
  <si>
    <t xml:space="preserve"> 1.Request for quotation. 2.Please see attached file.</t>
  </si>
  <si>
    <t xml:space="preserve"> Procurement of Office Supplies				 				 Purchase Requested by the City Civil Registrar's Office, Tabaco City				 				 To Interested Suppliers, Manufacturers and Distributors,				 				 Please quote your lowest price/s on the lot or item/s  below, subject t</t>
  </si>
  <si>
    <t xml:space="preserve"> 1	Chlorine test (free) - Strips		5	box 	(1box=12 bottles)			 	(1bottle=100strips)			 	0-6ppm			 				 2	Chlorine Dioxide test - Strips		4	box 	(1box=12 bottles)			 	(1bottle=100strips)			 	0.04-7ppm</t>
  </si>
  <si>
    <t xml:space="preserve"> THE NATIONAL IRRIGATION ADMINISTRATION-SCIMO, THROUGH THE FUND 501 HAS THE APPROVED BUDGET FOR THE CONTRACT (ABC) AMOUNTING    SIX HUNDRED FIFTY THOUSAND PESOS ONLY (650,000.00).  QUOTATION RECEIVED IN EXCESS OF THE ABC SHALL BE AUTOMATICALLY REJECTED. IN</t>
  </si>
  <si>
    <t xml:space="preserve"> 40 ROLLS- UTP CABLE, CAT #6  (Php 7,900/roll) 4000 PCS - RJ 45 CONNECTOR (Php 7.00/PC) Please be guided by the following: 1.       Price quotation must be based on the Terms of Reference (TOR) / Scope of Work/Services (SOW) / Technical Specifications (TS)</t>
  </si>
  <si>
    <t xml:space="preserve"> The procuring entity shall draw up a list of at least three (3) suppliers of known qualifications which will be invited to submit proposals. (Section 53.9.1 of Revised IRR of RA 9184)</t>
  </si>
  <si>
    <t xml:space="preserve"> One (1) Unit Aircon 1/2hp (Window Type) and  One (1) Unit Steel Cabinet (4 drawers)</t>
  </si>
  <si>
    <t xml:space="preserve"> Brief Description: Construction of Fence which involves project billboard/signage, safety &amp; health, temporary facility, A. Const. of Fence; layout &amp; excavation, reinforcing steel bar, structural concrete, masonry works, painting works and barbed wire work</t>
  </si>
  <si>
    <t xml:space="preserve"> 2	pcs	Memento of Awards (Miniature 20” x 24” narra wood frame w/ glass)  2	pcs	Command Plaque  (glass box) 2	pcs	Plaque of Honorable Service                 ( fiber glass in 7in x 10 in) 2	sets	Philippine Flag (Flag Size 3ft x 5ft)                 Encase </t>
  </si>
  <si>
    <t xml:space="preserve"> Republic of the Philippines                                                                                                        Department of Agriculture                                                                                                   </t>
  </si>
  <si>
    <t xml:space="preserve"> Item Number	Description	Qty	UNIT	Total 1	PARACETAMOL SYRUP  250 mg   6o ml	20	PCS	740.00 2	PARACETAMOL DROPS 30 ml	20	PCS	700.00 3	PARACETAMOL TABLETS	15	BOX	1,005.00 4	ASCORBIC VITAL C 500 mg CAPSULE 	10	BOX	7,500.00 5	AMOXICILLIN 125 mg	20	PCS	585.00 6	</t>
  </si>
  <si>
    <t xml:space="preserve"> ONE (1) UNIT IRON AERATION FILTER - 48x72	 	 TANK MATERIAL: Bobbin wound Reinforced Fiberglass	 MAX OPERATING PRESSURE : 36 PSI (2.5 BARS)	 MAX TEMPERATURE: 43 ° C (109 ° F)	 	 TECHNICAL INFORMATION:	     FILTER AREA (M2): 0.78	     VALVE CONNECTION: 2.5"</t>
  </si>
  <si>
    <t xml:space="preserve"> Republic of the Philippines DIGOS WATER DISTRICT (DWD) Rizal Avenue, Digos City INVITATION TO BID FOR THE PROCUREMENT OF VARIOUS WATER METERS, CLASS B AND MATERIALS FOR NEW SERVICE CONNECTIONS 1.	The Digos Water District, through the Corporate Budget for </t>
  </si>
  <si>
    <t xml:space="preserve"> Item No.	Unit	DESCRIPTION				Weight 						 1	Pcs.	Dressed Chicken (145 Pcs.)				260.71</t>
  </si>
  <si>
    <t xml:space="preserve"> The Local Government Unit (LGU) of Bamban, Tarlac, through its Bids and Awards Committee (BAC), will undertake Shopping Procurement for the "FURNISHING AND DELIVERY OF CONSTRUCTION MATERIALS”, for the improvement of old SDA Cafeteria Building in accordanc</t>
  </si>
  <si>
    <t xml:space="preserve"> ARTICLE AND DESCRIPTION                  										 ITEM	QTY	UNIT						CEILING 		UNIT PRICE			TOTAL  								PRICE					 			Office:  City General Services Office					PR No. 851					 			Charge to: Machineries and Equipment-Office Equipment					OBR No. 100-2</t>
  </si>
  <si>
    <t xml:space="preserve"> Construction Materials for the Rehabilitation/Improvement of Bairan Water System</t>
  </si>
  <si>
    <t xml:space="preserve"> Please see "associated component" for the specifications</t>
  </si>
  <si>
    <t xml:space="preserve"> No. of pages:          260 pages including front and  back cover  Size:                      6" x 9.5"  Color:                    Full Color  Materials:               Cover- C2S 120 lbs mounted on PB#30                               Inside - C2S 120 lbs  </t>
  </si>
  <si>
    <t xml:space="preserve"> Republic of the Philippines DEPARTMENT OF PUBLIC WORKS AND HIGHWAYS SARANGANI DISTRICT ENGINERING OFFICE REGIONAL OFFICE XII Alabel, Sarangani Province 					 					 SHOPPING 					 The Department of Public Works and Highways-Sarangani District Engineering O</t>
  </si>
  <si>
    <t xml:space="preserve"> Improvement of Barangay Plaza at Barangay Gualsic, Alcala, Pangasinan</t>
  </si>
  <si>
    <t xml:space="preserve"> Republic of the Philippines Province of Cagayan Municipality of Baggao INVITATION TO BID FOR THE PROCUREMENT OF CIVIL WORKS The LOCAL GOVERNMENT UNIT OF BAGGAO, CAGAYAN, through 5-06-04-030-02 (20% DF) SB #01-2019 intends to apply the sum of Seven Hundred</t>
  </si>
  <si>
    <t xml:space="preserve"> See attached document</t>
  </si>
  <si>
    <t xml:space="preserve"> Feeds for production of animal center</t>
  </si>
  <si>
    <t xml:space="preserve"> 25	paxs	Meals 25	paxs	Meals 25	paxs	Meals 25	paxs	Meals 25	paxs	Meals 25	paxs	Meals 25	paxs	Meals 25	paxs	Meals 25	paxs	Meals 25	paxs	Meals 25	paxs	Meals 25	paxs	Meals 25	paxs	Meals 25	paxs	Meals 25	paxs	Meals 25	paxs	Meals 25	paxs	Meals 25	paxs	Meals 25	</t>
  </si>
  <si>
    <t xml:space="preserve"> Brief Description: Construction of Fence which involves project billboard/signage, safety &amp; health, temporary facility, A. Const. of Fence A; demolition works,layout and excavation, reinforcing steel bar, structural concrete, masonry works, grille works, </t>
  </si>
  <si>
    <t xml:space="preserve"> Republic of the Philippines Province of Leyte Municipality of Hilongos Barangay LAMAK REQUEST FOR QUOTATION  JUNE 30, 2020          Date               ______________________ _______________________ _______________________ _________________________________</t>
  </si>
  <si>
    <t xml:space="preserve"> Request for Quotation for Drugs and Medicines (493,900.00)</t>
  </si>
  <si>
    <t xml:space="preserve"> see attached document</t>
  </si>
  <si>
    <t xml:space="preserve"> Window Type Aircon of Barangay Cotta, Lucena City</t>
  </si>
  <si>
    <t xml:space="preserve"> Section I. Invitation to Bid Republic of the Philippines Province of Davao del Norte MUNICIPALITY OF TALAINGOD 								1 July, 2020 Invitation to Bid for CONSTRUCTION AND REHABILITATION OF DRAINAGE CANAL (@ Piggery Area, Sto. Niño,Talaingod, DdN 1.	The Lo</t>
  </si>
  <si>
    <t xml:space="preserve"> REPAIR AND MAINTENANCE OF WATER SUPPLY</t>
  </si>
  <si>
    <t xml:space="preserve"> Republic of the Philippines Province of Quezon Town of Lucban Barangay Kulapi ESTIMATED COST OF PROPOSED WORK One Bagger Concrete Mixer - 1 Subgrade Preparation - 248 sq.m Aggregate Base Course - 37.20 cu.m          Portland Cement Concrete Pavement 150mm</t>
  </si>
  <si>
    <t xml:space="preserve"> Procurement of Construction Materials &amp; Supplies						 Purchase Requested by the City Engineering Office, Tabaco City						 						 To Interested Suppliers, Manufacturers and Distributors,						 						 Please quote your lowest price/s on the lot or item/s </t>
  </si>
  <si>
    <t xml:space="preserve"> MUNICIPAL GOVERNMENT OF LAZI						               Project Reference Number: _________________  	               Name of the Project: Construction of Kitchen in the 		Municipal Evacuation Center (Social Center) with 		Necessary Fixtures Standard Form Number:</t>
  </si>
  <si>
    <t xml:space="preserve"> BID BULLETIN REVISION OF BILL OF QUANTITIES</t>
  </si>
  <si>
    <t xml:space="preserve"> See attached document, print Bid Notice Abstract and download ITB No. GOODS-20-117.</t>
  </si>
  <si>
    <t xml:space="preserve"> Hiring of Warehouse Manager/Pharmacist for Supply Chain Management from July 6 to December 31, 2020  (See attached Term of Reference TOR) Please attach quotation with the ff: 1.	Curriculum Vitae (CV) 2.	PhilGEPS Certification/Registration Number (Snap Sho</t>
  </si>
  <si>
    <t xml:space="preserve"> Regravelling of Farm-to-Market Road at Barangay Atainan, Alcala, Pangasinan</t>
  </si>
  <si>
    <t xml:space="preserve"> INVITATION TO BID FOR PURCHASE OF PROPERTY, PLANT &amp; EQUIPMENT (PPE), SEMI-EXPENDABLE EQUIPMENT (ICT EQUIPMENT) AND FURNITURE AND FIXTURES TO BE USED BY VARIOUS OFFICES/PROGRAMS OF DSWD FO III FOR THE 1ST SEMESTER OF 2020   1.	The DEPARTMENT OF SOCIAL WELF</t>
  </si>
  <si>
    <t xml:space="preserve"> Brief Description: Construction of Fence which involves project billboard/signage, safety &amp; health, temporary facility, A. Const. of Fence, demolition works, layout and excavation, reinforcing steel bars, structural concrete, masonry works, grille works, </t>
  </si>
  <si>
    <t xml:space="preserve"> MUNICIPAL GOVERNMENT OF LAZI						                     Project Reference Number: ____________                       Name of the Project: Drugs and Medicines               Expenses (First Quarter)             Standard Form Number:  SF-GOOD-05						        </t>
  </si>
  <si>
    <t xml:space="preserve"> Repair &amp; Maintenance Materials 				 23	10	gallons	Latex Paint -white Ivory - Gloss				 24	4	gallons	Latex paint , Green 				 25	4	piece	Roller brush - big				 26	5	piece	Paint brush -  6 "				 27	2	bundles	Lumber  2 x 5 x 8				 28	5	cubic	Sand				 29	5	cu</t>
  </si>
  <si>
    <t xml:space="preserve"> - CONCRETING OF 80.00 LN.M MUNICIPAL ROAD - INSTALLATION OF 72.00 LN.M GI PIPE GUARD RAIL</t>
  </si>
  <si>
    <t xml:space="preserve"> Section I. Invitation to Bid Republic of the Philippines Province of Davao del Norte Municipality of Talaingod 1 July, 2020 INVITATION TO BID FOR CONSTRUCTION MATERIALS (ROAD REHABILITATION-From Sitio Kaylawan, Sto. Nino and Central Baugan, Palma Gil, Tal</t>
  </si>
  <si>
    <t xml:space="preserve"> 6 bxs Face Mask 20 btl Alcohol 1 Liter with Pump 50 btl Alchol 500ml 36 pcs Customized Washable Face Mask</t>
  </si>
  <si>
    <t xml:space="preserve"> 750 pcs. KIDDIE Tooth Brush  750 pcs KIDDIE Tooth paste 25ml 150 pcs Germicidal Soap (60 grams)   2 pc. FACE SHIELD (Flexi Glass) 2 pc. Medical Googles 25 box Lidocaine 2% 1.8 ml (Dental Anesthesia) 8 box Dental Needle (Gauge 27 short) 5 bot. Povidone Iod</t>
  </si>
  <si>
    <t xml:space="preserve"> Lunch</t>
  </si>
  <si>
    <t xml:space="preserve"> A. 51 unit	UV Germicidal light 38 watts portable	 Specifications: Medical Grade, Disinfection Lamp, Wattage: 38 watts, Dual wave: Yes, Wavelength: 253nm + Ozone 185nm, Min Material: ABS Plastic, Light Source: Quartz UV Tube, Light Color : Purple/Blue, App</t>
  </si>
  <si>
    <t xml:space="preserve"> various item per Purchase Request</t>
  </si>
  <si>
    <t xml:space="preserve"> Republic of the Philippines CITY OF BAIS BIDS AND AWARDS COMMITTEE NOTICE OF AWARD This is to certify that the following item was awarded to Newborn Screening Center – Central Visayas Eversley Child Sanitarium and General Hospital (Outpatient Department B</t>
  </si>
  <si>
    <t xml:space="preserve"> CSC-CO  BIDS AND AWARDS COMMITTEE                                                CSC-ITB No.  2020 - 09                 (Proc. of Anti-Virus Licenses)                                                                     June  29, 2020     INVITATION TO BID</t>
  </si>
  <si>
    <t xml:space="preserve"> No.	"ITEM DESCRIPTION  (ITEM NAME &amp; TECHNICAL SPECIFICATIONS)"	QTY.	UNIT	UNIT COST	APPROVED BUDGET OF CONTRACT (ABC)		"FINANCIAL PROPOSAL  (Indicate the Price Offer)"		TECHNICAL PROPOSAL (Indicate Brand/Model Offer)	 							Unit Price	Total Price		 1	Ink,</t>
  </si>
  <si>
    <t xml:space="preserve"> Please see attached RFQ.</t>
  </si>
  <si>
    <t xml:space="preserve"> *COMPUTER DESKTOP - AMD ATHLON Series Processor, Socket AM4 Motherboard (Gigabyte), 4GB DDR4 Memory, 500GB HDD, Tower Casing w/ 700w PSU, Built-in Vcard, ODD DVD Writer, 19" LED Monitor, USB Mouse w/ Pad, USB Keyboard, AVR 500w, Subwoofer Speakers, UPS 65</t>
  </si>
  <si>
    <t xml:space="preserve"> materials</t>
  </si>
  <si>
    <t xml:space="preserve"> Republic of the Philippines PROVINCE OF NUEVA VIZCAYA Municipality of Alfonso Castañeda  BIDS &amp; AWARDS COMMITTEE FOR GOODS &amp; SERVICES REQUEST FOR QUOTATION RFQ Number: 2020-07-02 The Local Government of Alfonso Castañeda through its Bids and Awards Comm</t>
  </si>
  <si>
    <t xml:space="preserve"> Republic of the Philippines Province of Guimaras OFFICE OF THE BIDS AND AWARDS COMMITTEE INVITATION TO BID FOR    SUPPLY AND DELIVERY OF GENERAL MERCHANDISE Bid Ref. No. 2020-06-379 1.	The Province of Guimaras , through the 2020 Regular Budget- Special Pu</t>
  </si>
  <si>
    <t xml:space="preserve"> Purchase of Sports Equipment for the Youth</t>
  </si>
  <si>
    <t xml:space="preserve"> Republic of the Philippines Province of Cagayan Municipality of Baggao INVITATION TO BID FOR THE PROCUREMENT OF GOODS The LOCAL GOVERNMENT UNIT OF BAGGAO, CAGAYAN, through the 01-011-5-02-03-070 &amp; 01-011-5-02-03-080 intends to apply the sum of Three Hundr</t>
  </si>
  <si>
    <t xml:space="preserve"> PROCUREMENT TERMS AND CONDITIONS						 						 1. The Total Approved Budget for the Contract (ABC) is Seventy Thousand Pesos Only (70,000.00)						 2.  Price Quotation should be inclusive of tax obligation.						 3. Evaluation of bids will be conducted on </t>
  </si>
  <si>
    <t xml:space="preserve"> By Contract.</t>
  </si>
  <si>
    <t xml:space="preserve"> 1. 600 80 Plus Bronze CPU Power Supply</t>
  </si>
  <si>
    <t xml:space="preserve"> Please see attached PR.</t>
  </si>
  <si>
    <t xml:space="preserve"> 1.	225 CB’s TQD 	1	Pc. 2.	Nena 1 Powder Coated 	1	Pc. 3.	Nena 3 Powder Coated	14	Pcs. 4.	70 AT CB’s Bolt-on 	14	Pcs. 5.	Full Box 30x20x100cm	2	Pcs. 6.	Male Adaptor 25mm	30	Pcs. 7.	Male Adaptor 65mm	6	Pcs. 8.	PVC 32mm Orange	2	Pcs. 9.	PVC 25mm Orange	10	Pc</t>
  </si>
  <si>
    <t xml:space="preserve"> The Bureau of Customs (BOC), through its Port of Zamboanga, will undertake Procurement thru Shopping for the Supply and Delivery of Various Office Supplies, in accordance with the Revised Implementing Rules and Regulations of Republic Act No. 9184. The de</t>
  </si>
  <si>
    <t xml:space="preserve"> CSC-CO  BIDS AND AWARDS COMMITTEE    								                               CSC-ITB No.  2020 - 10  (Proc. of Primary Internet Services)      June 29, 2020   INVITATION TO BID  (Mode of Procurement:   Public Bidding) The Civil Service Commission (CSC), th</t>
  </si>
  <si>
    <t xml:space="preserve"> Pharmaceutical Refrigerator 48.2 cu. ft. capacity 2° c to 23° Temp. Range</t>
  </si>
  <si>
    <t xml:space="preserve"> Supply and Delivery of Mixed Sand and Gravel for the Regravelling of Farm-to-Market Road at Barangay San Juan, Alcala, Pangasinan</t>
  </si>
  <si>
    <t xml:space="preserve"> Biometric Scanner/Device  External Hard Disc Drive, 1 TB  Extension Cable, USB, 1 meter  Extension Cable, USB, 5 meters  USB Hub, 4 ports  Flash Drive,16GB capacity, 1 piece in individual blister pack  Electric Fan, Stand Type  Computer Mouse, USB connect</t>
  </si>
  <si>
    <t xml:space="preserve"> Republic of the Philippines DEPARTMENT OF PUBLIC WORKS AND HIGHWAYS SARANGANI DISTRICT ENGINEERING OFFICE REGIONAL OFFICE XII Sarangani District Engineering Office Alabel Sarangani Province 	 DIRECT CONTRACTING The Department of Public Works and Highways-</t>
  </si>
  <si>
    <t xml:space="preserve"> REQUEST FOR QUOTATION The Local Government Unit of Siaton, Siaton Negros Oriental, through the Bids and Awards Committee (BAC) will undertake a Small Value Procurement for the “Purchase of EPI Supplies”, in accordance with Sec. 53.9 of the Implementing Ru</t>
  </si>
  <si>
    <t xml:space="preserve"> 1 unit Aircon (SPLIT TYPE) 2.0 HP w/ Installation\ 1 unit Aircon (WINDOW TYPE) 1.5 HP</t>
  </si>
  <si>
    <t xml:space="preserve"> Republic of the Philippines							 PROVINCE OF ZAMBOANGA SIBUGAY							 Municipality of Talusan							 -7012-							 							 							 MUNICIPAL BIDS AND AWARDS  COMMITTEE							 REQUEST FOR QUOTATION							 SMALL VALUE PROCUREMENT							 NOTICE TO THE PUBL</t>
  </si>
  <si>
    <t xml:space="preserve"> SHIPMENT OF OFFICE EQUIPMENT TO BTR REGIONAL/PROVINCIAL OFFICES Printer Dimension/box: 45x43x30cm Printer weight/box: 9kgs Scanner dimension/box:59x50x32cm Scanner weight/box: 12kgs Mode of shipment/delivery: Luzon Areas - via land and VisMin Areas - via </t>
  </si>
  <si>
    <t xml:space="preserve"> June 30, 2020 	 INVITATION TO BID Reference No. 7077493 / Solicitation No. 2020/06/066 	The City Government of Tagum invites interested Bidders/Suppliers to submit for eligibility and to bid for the following: MATERIALS FOR CONSTRUCTION OF MULTI-PURPOSE C</t>
  </si>
  <si>
    <t xml:space="preserve"> REQUEST FOR QUOTATION The Local Government Unit of Siaton, Siaton Negros Oriental, through the Bids and Awards Committee (BAC) will undertake a Small Value Procurement for the “Purchase of (1) unit Split Type Aircon 2.5HP Including Installation” (Capital </t>
  </si>
  <si>
    <t xml:space="preserve"> INVITATION TO BID FOR SUPPLY, DELIVERY, INSTALLATION AND COMMISSIONING OF FIREWALL APPLIANCE FOR THE USE OF TIEZA (TWO (2) YEARS LICENSE SUBSCRIPTION) Invitation to Bid No. 20-06-0001 In line with the government’s directive to ensure safety and to prevent</t>
  </si>
  <si>
    <t xml:space="preserve"> I - Earth Works     a.  Excavation Labor     b.  Backfill Labor     c.  Onfill-Flooring at Toilets/Electrical Room     d.  Gravel Bedding (2" thick) - Flooring at Toiletss/Electrical II - Formworks and Scaffoldings: (Lumpsum) III - Concrete Works        a</t>
  </si>
  <si>
    <t xml:space="preserve"> 2	pcs	Tire wire good year 1	pcs	Oil filter 2	ltrs	Gear oil 1	pcs	Selector cable 1	set	Repair kit</t>
  </si>
  <si>
    <t xml:space="preserve"> 55 Pax Meals for Monitoring/Screening Team and  Frontliners at Biliran Bridge for COVID-19 Crisis from  July 8, 2020 to July 31, 2020 @ 100.00/Pack/Meal</t>
  </si>
  <si>
    <t xml:space="preserve"> 01 JULY 2020 INVITATION TO BID FOR THE SUPPLY AND DELIVERY OF TECATHERAPY MACHINE FOR  CALOOCAN CITY MEDICAL CENTER 	 	 1.	The City of Caloocan, through the Trust Fund of the 2020  Annual City Budget approved under Sangguniang Panlungsod Ordinance No. 081</t>
  </si>
  <si>
    <t xml:space="preserve"> 2 btl Alcohol 4 pack Battery AAA 5 ream Bond Paper (Legal) 5 ream Bond Paper A4 5 ltr Correction Tape 1 pcs Disinfectant/Bleaching Solution 1 pcs Flash Drive 16GB 1 pcs File Folder Level Arch File 1 btl Epson Printer Ink Yellow 1 btl Epson Printer Ink Cya</t>
  </si>
  <si>
    <t xml:space="preserve"> MUNICIPAL GOVERNMENT OF LAZI						           Project Reference Number: ________________            Name of the Project: Purchase of Tools, PPE                         Handheld Radios and Other Communication Eqpt. Standard Form Number:  SF-GOOD-05						   </t>
  </si>
  <si>
    <t xml:space="preserve"> 3 unit Boat Engine Model No. GX390TZ LBHB  Displacement 389 cm3 Gross Power (Net Power): 16.0 Hp Type: 4 Stroke, OHV, Single Cylinder inclined 25 Compression Ratio: 8:2:1 Fuel Consumption : 4.7L/hr Fuel Tank Capacity: 6.1 L Weight: 35.1 kg Bore x Stroke: </t>
  </si>
  <si>
    <t xml:space="preserve"> Supply and Delivery of Construction Materials for Concrete Pavement of Farm-to-Market Road and Multi-Purpose Building at Barangay Vacante, Alcala, Pangasinan</t>
  </si>
  <si>
    <t xml:space="preserve"> BIDS AND AWARDS COMMITTEE Office of the Chairman Request for Quotation Date:                                                                                 Quotation No.:         PR # 2020-06-271 __________________________________ _______________________</t>
  </si>
  <si>
    <t xml:space="preserve"> 12	sets	         Amglobe crystal light 1/2 clear 3	boxes	#12THW stranded wire 12	pcs	        Bulb 18watts 6	rolls	        Electrical tape (big) 		        Labor</t>
  </si>
  <si>
    <t xml:space="preserve"> Regravelling of Farm-to-Market Road at Barangay Anulid, Alcala, Pangasinan</t>
  </si>
  <si>
    <t xml:space="preserve"> June 30, 2020 REQUEST FOR QUOTATION (RFQ) QUALITATIVE FIT TEST APPARATUS 1.	The Batangas Medical Center hereinafter referred to as the “Purchaser” now request for submission of price proposal for the procurement of the aforesaid item described in the Tech</t>
  </si>
  <si>
    <t xml:space="preserve"> 1200	heads	"CHICKEN -layer type -ready to lay -at least 18 weeks old -with BAI required test -with 14 days holding period (feeds and all incidental expenses covered)"	 ₱500.00  Delivery Site Apayao: 200 heads Abra: 200 heads Ifugao: 200 heads Benguet: 200</t>
  </si>
  <si>
    <t xml:space="preserve"> 11pcs    keypad Cellphone 1set      Rain Gauge 1pc       Megaphone</t>
  </si>
  <si>
    <t xml:space="preserve"> - CONCRETING OF 175.00 LN.M. MUNICIPAL ROAD</t>
  </si>
  <si>
    <t xml:space="preserve"> PLEASE SEE ATTACHED DOCUMENTS</t>
  </si>
  <si>
    <t xml:space="preserve"> Materials for the Improvement of Waterworks System</t>
  </si>
  <si>
    <t xml:space="preserve"> 10 UNITS CELLPHONE Specifications: Display - 6.5 MOLED capacitive touchscreen w/ at least 1080x2340 pixel OS - Android, at least 9.0 version Memory - at least 128GB 8GB  RAM internal memory and memory card slot Main camera - at least 48MP (wide) &amp; 8MP (ul</t>
  </si>
  <si>
    <t xml:space="preserve"> Procurement of Medical Supplies</t>
  </si>
  <si>
    <t xml:space="preserve"> Republic of the Philippines Department of Agriculture BUREAU OF PLANT INDUSTRY Manila REQUEST FOR QOUTATION SHOPPING INSTRUCTION: 1.	Bidders are required to read the instructions and fill all the blanks properly. Particularly the column under the offered </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</si>
  <si>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</si>
  <si>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REQUEST FOR QUOTATION STOCK NO. UNIT ITEM DESCRIPTION                           QTY. 01              PCS  MINI TABLES                                      15 02              PCS  BIG TABLES (HEAVY DUTY)                   3 03              PCS  PLASTIC PAL</t>
  </si>
  <si>
    <t xml:space="preserve"> 1. 1 unit Scanner, A5 to A3, 11 x 17, photocopy, print with Pedestral/Table 2. 1 unit Desk Top Computer Core i5 -HDD 1 TBH - Core i5 Processor -Motherboard with audio, video and LAN -4GB DDR4 Memory -500GB Hard Disk Drive -22" LCD Digital Colored monitor </t>
  </si>
  <si>
    <t xml:space="preserve"> 1	305	bags	Muriate of Potash</t>
  </si>
  <si>
    <t xml:space="preserve"> Office  &amp; Teachers, Student  Supplies &amp; Materials 				 1	14	reams	Multi Copy Paper - Legal ,70gsm				 2	30	piece	Marker Pen , Black				 3	10	dozen	Ballpen , -black				 4	27	bottles 	 Marker  Ink , black				 5	25	piece	Pencil , lead with eraser				 6	130	p</t>
  </si>
  <si>
    <t xml:space="preserve"> GUIDELINES FOR SHOPPING AND SMALL VALUE PROCUREMENT 1. SCOPE AND PURPOSE These Guidelines shall prescribe the general procedures for procurement through: a. Shopping of readily available off-the-shelf goods, or ordinary/regular equipment under Section 52.</t>
  </si>
  <si>
    <t xml:space="preserve"> I. Mobilization II. CSHP III. Road PReparatiom     A. Equipment     B. Materials IV. Portland Cement V. Equipment Labor</t>
  </si>
  <si>
    <t xml:space="preserve"> 01 JULY 2020 INVITATION TO BID FOR THE SUPPLY AND DELIVERY OF DRUGS AND MEDICINES FOR  CALOOCAN CITY MEDICAL CENTER 	 	 1.	The City of Caloocan, through the General Fund of the 2020  Annual City Budget approved under Sangguniang Panlungsod Ordinance No. 0</t>
  </si>
  <si>
    <t xml:space="preserve"> Please see "associated component" for the specifications Laptop Computer - 2 units</t>
  </si>
  <si>
    <t xml:space="preserve"> REQUEST TO SUBMIT PROPOSAL FOR THE PRINTING OF DA RFU-5 ANNUAL REPORT 2019 FOR DISTRIBUTION TO TARGET CLIENT AT APPROVED BUDGET FOR THE CONTRACT AMOUNTING TO ONE HUNDRED SEVENTY-FIVE THOUSAND PESOS (PHP175,000.00) PURSUANT TO ALTERNATIVE METHOD OF PROCURE</t>
  </si>
  <si>
    <t xml:space="preserve"> 1 unit Laptop Core i5 Acer with printer &amp; office chair</t>
  </si>
  <si>
    <t xml:space="preserve"> Leather Seat Cover Tail Light Cover Head Light Cover Door Handle Cover Bed Liner Deck Cover Lift Window Sun Visor Rubber Floor Mats Fender Flare Slim Steering Wheel Cover Bumper Cover (front) Dash Cam x-x-x-x-x-x-x-x-x-x-x-x-x-x-x-</t>
  </si>
  <si>
    <t xml:space="preserve"> Portland cement river sand gravel deformed bars concrete nails marine plywood form lumber form lumber cw nails tie wire</t>
  </si>
  <si>
    <t xml:space="preserve"> 1.	The PSHS Central Luzon Campus, through the GAA 2017 intends to apply the sum of FORTY-THREE MILLION SEVEN HUNDRED SEVENTY-NINE THOUSAND NINE HUNDRED SIXTEEN PESOS AND TWENTY-SIX CENTAVOS (PHP 43,779,916.26) being the Approved Budget for the Contract (A</t>
  </si>
  <si>
    <t xml:space="preserve"> 1 Unit Brand New four-wheel drive automatic transmission, engine displacement of 1,500 cc to 2,000 cc equipped with a bi-turbo diesel engine, euro IV complaint compact truck with a low-sided open cargo hauler, a passenger cab (crew cab type) accommodation</t>
  </si>
  <si>
    <t xml:space="preserve"> HDPE PIPE SIZE 3"Ø - SDR 13.6  - 570 meters PE Tube SIZE 1"Ø - SDR 11 - 200 meters Pipes Specifications:					 ASTM STANDARD - ISO Pipe (HDPE), PE 100					 For SDR = 13.6 Pressure rating (PN 12.5), Strength of 10 MPO to 20 MPO. Color Blue standard for pota</t>
  </si>
  <si>
    <t xml:space="preserve"> INVITATION FOR SUBMISSION OF QUOTATION (SMALL VALUE PROCUREMENT) 	The local Government Unit of Can-avid, through is Bid and Awards Committee (BAC). Invites suppliers to apply for eligibility, to bid for the hereunder contract: Name of Contract:  	Use for </t>
  </si>
  <si>
    <t xml:space="preserve"> INVITATION FOR PRICE QUOTATION Date:  30 June 2020 For The Provision Of Runway Markers And Markings At Bulan Airport – 2nd SVP The Civil Aviation Authority of the Philippines (CAAP), Area Center V, Legazpi Airport intends to apply the estimated amount   o</t>
  </si>
  <si>
    <t xml:space="preserve"> SOURCE OF FUNDS: 20% BIDDING DATE &amp; TIME: JULY 8, 2020- 1:00 P.M</t>
  </si>
  <si>
    <t xml:space="preserve"> FABRICATION OF THE FOLLOWING: 		 FOOD LANDING COUNTER WITH UNDERSHELF,STAILESS  2	UNIT L-1800mm W-710mm H863mm 	 PREPARATION TABLE WITH BOTTOM SHELF, STAINLESS    2	UNIT L-1900mm W-710mm H-863mm 	 MOBILE WORKTABLE WITH BOTTOM SHELF, STAINLESS   2	UNIT L-1</t>
  </si>
  <si>
    <t xml:space="preserve"> Procurement of Laboratory Supplies</t>
  </si>
  <si>
    <t xml:space="preserve"> INVITATION TO BID Date: June 30, 2020 1.	The Provincial Government of Davao del Sur, through its Bids and Awards Committee (BAC), invites all potential bidders/suppliers to apply to bid for the following goods. Bids received in excess of the ABC shall be </t>
  </si>
  <si>
    <t xml:space="preserve"> REQUEST FOR QUOTATION The Local Government Unit of Siaton, Siaton Negros Oriental, through the Bids and Awards Committee (BAC) will undertake a Small Value Procurement for the purchase of various construction materials and supplies for the “Maintenance of</t>
  </si>
  <si>
    <t xml:space="preserve"> various items (as per Purchase Request)</t>
  </si>
  <si>
    <t xml:space="preserve"> repainting of mlti-purpose bldg</t>
  </si>
  <si>
    <t xml:space="preserve"> INVITATION TO BID (GOODS) The Municipality of Sibonga, through the General Fund intends to apply the sum of Eight hundred seventy thousand seven hundred seventy-five pesos only (870,775.00) being the Approved Budget for the Contract (ABC) to payment under</t>
  </si>
  <si>
    <t xml:space="preserve"> VEHICLE RENTAL 		 1	1	lot	Region 10 Destinations (July 1-31, 2020) 		 			  Duration: 5 Days                                                             Destinations: Misamis Occidental: Bonifacio, Plaridel		 					 			  Duration: 5 Days                    </t>
  </si>
  <si>
    <t xml:space="preserve"> Republika ng Pilipinas								 NATIONAL IRRIGATION ADMINISTRATION								 Pambansang Pangasiwaan ng Patubig								 Negros Occidental Irrigation Management Office								 Celis St. Bago City, Negros Occidental								 (034) 461-0494, (034) 454-2033							</t>
  </si>
  <si>
    <t xml:space="preserve"> The DPWH-North Manila District Engineering Office, through its Bids and Awards Committee (BAC) for Goods, invites Suppliers to submit bids for the following Contract: 1.	Contract I.D. No: 20GOE0021 Contract Name 	: Procurement of Painting Materials to be </t>
  </si>
  <si>
    <t xml:space="preserve"> REQUEST FOR QUOTATION The Local Government Unit of Siaton, Siaton Negros Oriental, through the Bids and Awards Committee (BAC) will undertake a Small Value Procurement for the “Purchase of Supplies for Dengue Control”, in accordance with Sec. 53.9 of the </t>
  </si>
  <si>
    <t xml:space="preserve"> 1. The APO Production Unit, Inc., through the Approved Annual Procurement Plan (APP) for CY 2020 intends to apply the sum of Six Million Pesos (PhP 6,000,000.00) being the Approved Budget for the Contract (ABC) to payments under the contract for the Lease</t>
  </si>
  <si>
    <t xml:space="preserve"> 2	units	ALL IN ONE COMPUTER			 40,000.00   	 	Specifications: 			    		23.8 inch Monitor, 16GB RAM, 240G SSD, DDR4, 1920x1080 HD Graphics, Windows 10,  Includes: USB Mouse*1, USB Keyboard*1, BUILT-IN Stereo SPEAKER AVR 			 					 		                        </t>
  </si>
  <si>
    <t xml:space="preserve"> Supply and Delivery of Various Agricultural Supplies 50 sack chicken manure- 7500 4 sack T-16- 8,000.00 2 sack Urea- 3,600.00 4 kg Manzate- 1,800.00 5 pc Fruit fly attractant- 4,500.00 2 liter Kriss- 500.00 3 bag Dithane M-45- 1,950.00 5 liter Lorsban- 2,</t>
  </si>
  <si>
    <t xml:space="preserve"> Republic of the Philippines Province of Camarines Sur MUNICIPALITY OF CALABANGA  -oOo- BIDS AND AWARDS COMMITTEE INVITATION TO BID  The LGU CALABANGA, through its Bids and Awards Committee (BAC), invites PhilGEPS-registered suppliers to apply for eligibil</t>
  </si>
  <si>
    <t xml:space="preserve"> INVITATION TO BID The DPWH, Masbate 3rd District Engineering Office, Dimasalang, Masbate through its Bids and Awards Committee (BAC), invites contractors to submit bids for the following Contract: Procurement ID/ Contract ID:	20FJ0029 Contract Name:	Const</t>
  </si>
  <si>
    <t xml:space="preserve"> 1 pcs Uninterruptible Power Supply 1,100VA</t>
  </si>
  <si>
    <t xml:space="preserve"> Republic of the Philippines Office of the President National Irrigation Administration SURIGAO DEL SUR IRRIGATION MANAGEMENT OFFICE Tabon-tabon, Tago, Surigao del Sur Telefax. No.: (086) 214-3155 REQUEST FOR QUOTATION June 16, 2020 Date __________________</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</si>
  <si>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</si>
  <si>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Republic of the Philippines					 Province of Bohol					 Municipality of Ubay					 					 Request for Quotation					 					 Standard Form Number: SF-GOOD-60					  Revised on: May 24, 2004				Date: 	___________ Standard Form Title: Request for Quotation				Qu</t>
  </si>
  <si>
    <t xml:space="preserve"> Brief Description: Improvement of Farm-to-Market Road which involves hauling of materials, sub-grade preparation, aggregate sub base course (compacted volume), portland cement concrete pavement, road shouldering (compacted volume), project billboard/signa</t>
  </si>
  <si>
    <t xml:space="preserve"> Purchase and delivery of Personal Protective Equipment - Face Shield to be distributed to frontliners</t>
  </si>
  <si>
    <t xml:space="preserve"> Isosorbide-Dinitrate 5mg Sublingual Requirements for Drugs and Medicines: **Drugs with history of usage from VMMC (Requirements No. 1-5 only) ** **For Innovators (Requirements No. 1-4 only) ** 1. CPR 2. CGMP 3. LTO 4. CERTIFICATE OF DISTRIBUTOSHIP 5. CERT</t>
  </si>
  <si>
    <t xml:space="preserve"> The DPWH-North Manila District Engineering Office, through its Bids and Awards Committee (BAC) for Goods, invites Suppliers to submit bids for the following Contract: 2.	Contract I.D. No: 20GOE0022 Contract Name 	: Procurement of Supply and Delivery of Ma</t>
  </si>
  <si>
    <t xml:space="preserve"> The Coron School of Fisheries would like to request for Price Qoutation for the provision of Supply and Delivery of office supply for the Bridging Program of Grade 11 learners.</t>
  </si>
  <si>
    <t xml:space="preserve"> Procurement of drugs and medicines to be use at MHO for the 2nd quarter of 2020</t>
  </si>
  <si>
    <t xml:space="preserve"> Qty	Unit	Articles 3	 tl 	Garden Clay  Loam 750	 pcs 	CHB 4" 10	 kg 	G.I. Wire  40	 mtrs 	Garden Hose 1/2" 10	 pcs 	Rotating Sprinkler  2	 gal. 	QDE Paint (White) 1	 lit 	Tinting Color(blue) 1	 gal. 	Paint Thinner 5	 sacks 	Cement  5	 pcs 	Paint Brush(2 in</t>
  </si>
  <si>
    <t xml:space="preserve"> Please download associated components.</t>
  </si>
  <si>
    <t xml:space="preserve"> Improvement/Renovation of Municipal Hall</t>
  </si>
  <si>
    <t xml:space="preserve"> PHIVIDEC INDUSTRIAL AUTHORITY	 MCT Complex, Tagoloan, Mis. Oriental	 Tel Nos: (08822) 740245, (088) 5670-315	 email add:  	procurement@piamo.gov.ph 	 Standard Form Number: SF-GOOD-60	 Revised on: May 24, 2004	Oct-16 Standard Form Title:  REQUEST FOR QUOTA</t>
  </si>
  <si>
    <t xml:space="preserve"> Std. Form No.: SF-05	 										Revised on: July 28, 2005	 											 Republic of the Philippines											 City Government of Ormoc											 2nd /F New Ormoc City Hall Bldg., Ormoc City											      Tel. # (053) 255-2054  &amp; 560-8050 											   </t>
  </si>
  <si>
    <t xml:space="preserve"> QTY	UNIT	ITEM DESCRIPTION					 42	unit	Web Cam	at an estimated cost of P1,040 per unit				 Technical Specifications: Image Sensor: 1/4 CMOS, 640x480pixels, Frame rate: 15fps: @640x480, @600x800, 30 fps: @320x240, @160x120 Lens F=2.2, f=4.6mm View Angle : </t>
  </si>
  <si>
    <t xml:space="preserve"> Republic of the Philippines DEPARTMENT OF ENVIRONMENT AND  NATURAL RESOURCES Regional Government Center, Balintawak, Pagadian City Region IX, Zamboanga Peninsula 			                 REQUEST FOR QUOTATION Date: 	June 30, 2020 RFQ No.: 006.0453 The Departme</t>
  </si>
  <si>
    <t xml:space="preserve"> 1 box Sign Pen, Black 0.5mm Needle Tip 5 pcs Correction Tape, 1 piece in Individual Plastic 5 bxs Staple Wire, Standard 1 pack Toilet Tissue Paper 2-PLY 6 btl Printer Ink (Epson L3110 Black) 10 ream Bond Paper (A4) 11 ream Bond Paper (Legal) 2 ream Bond P</t>
  </si>
  <si>
    <t xml:space="preserve"> 20	carts	Ink Cart, Brother LC563K, Black		 15	carts	Ink Cart, Brother LC563K, Cyan		 15	carts	Ink Cart, Brother LC563K, Magenta		 15	carts	Ink Cart, Brother LC563K, Yellow		 5	carts	Canon RMC: K10404 12 ML (Black) (35)		 5	carts	Canon RMC: K10404 12 ML (C</t>
  </si>
  <si>
    <t xml:space="preserve"> 2 unit Automatic Alcohol Dispenser, 400ml 1 pc VGA to HDMI Adaptor 7 pcs Personal Protective Equipment (Jacket)</t>
  </si>
  <si>
    <t xml:space="preserve"> INVITATION TO BID The DPWH, Masbate 3rd District Engineering Office, Dimasalang, Masbate through its Bids and Awards Committee (BAC), invites contractors to submit bids for the following Contract: Procurement ID/ Contract ID:	20FJ0030 Contract Name:	Const</t>
  </si>
  <si>
    <t xml:space="preserve"> Item No. Qty. Unit of Issue Item Description 1	120	KLS	CHICKEN	 2	50	PCS	SAYOTE	 3	40	KLS	CARROTS	 4	4	BOXES	BUTTER CUP	 5	20	KLS	HOTDOG	 6	25	CANS	PORK AND BEANS BIG	 7	5	KLS	BULAD BOLINAO	 8	10	KLS	RADDISH	 9	10	KLS	CAMATIS	 10	26	KLS	BOMBAY	 11	15	KLS	</t>
  </si>
  <si>
    <t xml:space="preserve"> PR#	2020-06-0283 CRFMS CDD	 1	lot	Various Computer Supplies and Peripherals:	 52,125.00 	 3	unit	Solid State Drive (SSD) 250GB SATA 6GB/s (STGS250401)		 2	piece	RAM (Memory) 8GB (DDR3)		 1	piece	RAM (Memory) 8GB (DDR4)		 5	piece	USB OTG USB drive (32GB) 3</t>
  </si>
  <si>
    <t xml:space="preserve"> 1 unit Brand New four-wheel Drive, 6 speed Automatic Transmission, engine displacement of 2,775 cc equipped with a turbo diesel engine, euro IV complaint compact truck, with a low-sided open cargo hauler, a passenger cab (crew cab type) accommodating two </t>
  </si>
  <si>
    <t xml:space="preserve"> 500 TABLET ZINC 30 MG TABLET</t>
  </si>
  <si>
    <t xml:space="preserve"> Supply of services in the Structural Design and Analysis of the following :			 450,000.00  1 . Seven-Storey ICTC Building 			    2. CBAA Building 			    The Scope of works are;			 1. Establish locations of columns and beams.			 2. Make sketch of floor pla</t>
  </si>
  <si>
    <t xml:space="preserve"> The City Government of Ligao through its Bids and Awards Committee (BAC), now invites bids for the herein project: Name of Contract        :  Opening of sitio Abibling  Road Location                       : Tiongson,  Ligao City Brief Description         </t>
  </si>
  <si>
    <t xml:space="preserve"> INVITATION FOR PRICE QUOTATION Date:  30 June 2020 For The Provision Of Runway Markers And Markings At Bacon Airport – 2nd SVP The Civil Aviation Authority of the Philippines (CAAP), Area Center V, Legazpi Airport intends to apply the estimated amount   o</t>
  </si>
  <si>
    <t xml:space="preserve"> Republic of the Philippines											 Province of Occidental Mindoro											 Mamburao, Occidental Mindoro											 REQUEST FOR QUOTATION											 Date of Posting:	June 30, 2020					Ref. No.		RN 398-2020			 						PR No.		1011-A-2020-5-0126			 					</t>
  </si>
  <si>
    <t xml:space="preserve"> Qty	Unit	Item Description 1	unit	Labor and Materials (Garbage Truck) 		(Replacement of Idler, Track roller, Sprocket, adjuster)</t>
  </si>
  <si>
    <t xml:space="preserve"> 1. The APO Production Unit, Inc., through the Approved Annual Procurement Plan (APP) for CY 2020 intends to apply the sum of Nine Million Pesos (PhP 9,000,000.00) being the Approved Budget for the Contract (ABC) to payments under the contract for the Leas</t>
  </si>
  <si>
    <t xml:space="preserve"> Procurement of medical, dental and laboratory supplies to be use at MHO for the 2nd quarter of 2020</t>
  </si>
  <si>
    <t xml:space="preserve"> INVITATION TO BID  Purchase &amp; Delivery of Various Medical Supplies for DCMMH (Re-bid) July 1, 2020 1.	The Provincial Government of Sarangani, through the AB CY 2020 intends to apply the sum of One Million Two Hundred Ten Thousand Four Hundred Forty Pesos </t>
  </si>
  <si>
    <t xml:space="preserve"> The LGU MUNICIPALITY OF JOSEFINA, ZAMBOANGA DEL SUR, through its Bids and Awards Committee (BAC),under BAC Reso.# 2020-05-071  &amp; BAC Reso.# 2020-06-087 intends to perform Small Value Procurement   in the procurement of  Electrical Supplies for Installatio</t>
  </si>
  <si>
    <t xml:space="preserve"> 1.	1	unit/s	Utility Van 			Type: 			In-line 4 cylinder, 16 valves (DOHC) with turbocharger 			Engine Size / Displacement: Not exceeding 3,000cc 			No. of Cylinders: 4 			No. of valves: 16 			Bore x stroke: 92.0 x 10.6 			Compression Ratio: 15:6:1 			Maxim</t>
  </si>
  <si>
    <t xml:space="preserve"> REQUEST FOR QUOTATION STOCK NO.   UNIT     ITEM DESCRIPTION                      QTY. 01                PCS.    ALUMINUM (Medium Size)              30 02                ROLL   Plastic Cellophane (For Door Cover  3 03                PCS     Trash Bin  (Med</t>
  </si>
  <si>
    <t xml:space="preserve"> Please call or email posted address for Bid Documents.</t>
  </si>
  <si>
    <t xml:space="preserve"> 1 unit - 3in1 Printer  1 unit - Digital Audio Recorder  1 unit - Laptop  - see canvass for details</t>
  </si>
  <si>
    <t xml:space="preserve"> Please see attached documents for your reference.</t>
  </si>
  <si>
    <t xml:space="preserve"> MUNICIPAL GOVERNMENT OF LAZI						                      Project Reference Number: ____________                        Name of the Project: Procurement of Fully-                  Equipped Rescue Vehicle             Standard Form Number:  SF-GOOD-05						  </t>
  </si>
  <si>
    <t xml:space="preserve"> REACH-IN FREEZER, UPRIGHT, STAINLESS STEEL, 4 DOORS, APPROXIMATELY 40 CU. FT.             2 UNIT	 UPRIGHT REACH-IN CHILLER, APPROXIMATELY 40 CU. FT.., 2 GLASS DOOR DISPLAY WITH ROLLERS	2	unit CHEST TYPE, FREEZER, 29 CU. FT., SOLID TOP	 2	unit PLEASE ATTAC</t>
  </si>
  <si>
    <t xml:space="preserve"> The City Government of Ligao through its Bids and Awards Committee (BAC), now invites bids for the herein project: Name of Contract        :  Opening of sitio Boundary to sitio Pasto Road Location                       : Balanac,  Ligao City Brief Descrip</t>
  </si>
  <si>
    <t xml:space="preserve"> 20-8956</t>
  </si>
  <si>
    <t xml:space="preserve"> INVITATION TO BID The DPWH, Masbate 3rd District Engineering Office, Dimasalang, Masbate through its Bids and Awards Committee (BAC), invites contractors to submit bids for the following Contract: Procurement ID/ Contract ID:	20FJ0031 Contract Name:	Const</t>
  </si>
  <si>
    <t xml:space="preserve"> 01 JULY 2020 INVITATION TO BID FOR THE SUPPLY AND DELIVERY OF HIGH SPEED BLACK INKJET PRINTING MACHINES  FOR DIVISION OF CITY SCHOOLS 	 	 1.	The City of Caloocan, through the Special Education Fund and included in the 2020 Annual City School Board Budget </t>
  </si>
  <si>
    <t xml:space="preserve"> Please download associated component (RFQ) and submit quotation together with the requirements in a sealed envelope to UP Cebu SPMO on or before 06 July 2020 at 5:00 PM. Kindly click DRL if you wish to bid for the items herein posted.</t>
  </si>
  <si>
    <t xml:space="preserve"> Purchase of various office supplies of different offices of the Municipality of San Enrique, Iloilo. Approved Budget for the Contract: Php. 199,570.00 1. 200 reams Bond paper long (substance 20) 2. 200 reams Bond paper short (substance 20) 3. 50 reams Bon</t>
  </si>
  <si>
    <t xml:space="preserve"> Republic of the Philippines 		Province of Laguna MUNICIPAL GOVERNMENT OF PANGIL BIDS AND AWARDS COMMITTEE Nat’l. Rd. Brgy. San Jose, Pangil, Laguna Tel Nos.  (049)557-0284 &amp; 557-3139 NOTICE TO BIDDER 	Sealed proposal plainly marked bidding for the Photo C</t>
  </si>
  <si>
    <t xml:space="preserve"> ITEM NO. 	QTY.  	UNIT        	NAME/DESCRIPTION  OF ARTICLES                                                                          (State Brand or Market Name)                                                                     						UNIT PRICE   		TOTA</t>
  </si>
  <si>
    <t xml:space="preserve"> Republic of the Philippines											 Province of Occidental Mindoro											 Mamburao, Occidental Mindoro											 REQUEST FOR QUOTATION											 Date of Posting:	June 30, 2020					Ref. No.		RN 385-2020			 						PR No.		1011-2020-05-19-204			 				</t>
  </si>
  <si>
    <t xml:space="preserve"> Purchase and delivery of brand new modern jeepney to be used by the City Government of Calapan</t>
  </si>
  <si>
    <t xml:space="preserve"> 50pcs Monoblock Non-Arm Chair</t>
  </si>
  <si>
    <t xml:space="preserve"> 20-10044</t>
  </si>
  <si>
    <t xml:space="preserve"> INVITATION TO BID  Purchase &amp; Delivery of Various Medical Supplies  for PVET  July 1, 2020 1.	The Provincial Government of Sarangani, through the Trust Fund  Unexpended LDRRMF 2019 intends to apply the sum of One Million One Hundred Seventy Nine Thousand </t>
  </si>
  <si>
    <t xml:space="preserve"> PLS. SEE ATTACHMENT</t>
  </si>
  <si>
    <t xml:space="preserve"> For supply and delivey of: 96	pc	Polyethylene Plastic Drum, used			 		Specifications:			 		200-250L capacity			 		High Density</t>
  </si>
  <si>
    <t xml:space="preserve"> Expenses to be used for the virtual workshop and sports clinic 2020</t>
  </si>
  <si>
    <t xml:space="preserve"> Please quote your lowest price inclusive of VAT on the item/s listed below, subject to the Terms and Conditions of this RFQ, and submit your sealed quotation and other requirements duly signed by your representative not later than 10:00am of July 07, 2020</t>
  </si>
  <si>
    <t xml:space="preserve"> various item as per Purchase Request</t>
  </si>
  <si>
    <t xml:space="preserve"> The Office of Administrative Services, Security Division - Baguio, of the Supreme Court, through the Procurement Section, invites interested suppliers to quote for the price/s of the item/s listed in the attached document (PLEASE DOWNLOAD) Please also pro</t>
  </si>
  <si>
    <t xml:space="preserve"> I. Mobilization II. CSHP III. Project Billboard IV. Masonry Works V. Roof Framing VI. Plumbing Works VII. Carpentry Works VIII. Forms and Scaffolding IX. Electrical X. Windows XI. Painting Works Labor</t>
  </si>
  <si>
    <t xml:space="preserve"> CALUMPIT WATER DISTRICT      Serrano. St. Corazon, Calumpit, Bulacan      (044) 675-1453; 202-4235; 913-0079      Fax No. (044) 202-5125; 913-0080      (Name of the Procuring Entity)      Project Reference Number: ______________      Name of Project: ____</t>
  </si>
  <si>
    <t xml:space="preserve"> 1 job        Repair and align R/H fender,rear &amp; front door, rear side cab siding rear bumber and step board 1 piece     R/H Tail Ligh 1 job        Painting and whole body</t>
  </si>
  <si>
    <t xml:space="preserve"> Bidding for delivery of drugs and medicines to be distributed to different barangays</t>
  </si>
  <si>
    <t xml:space="preserve"> INVITATION TO SUBMIT PRICE QUOTATION Messengerial services for SSS Iba Branch for the year 2020 1. The SOCIAL SECURITY SYSTEM - Iba Branch through its Bids and Awards Committee (BAC) Division will undertake Small Value Procurement and invites interested e</t>
  </si>
  <si>
    <t xml:space="preserve"> Request for Quotation 50	ea	Good Lumber 2x2x12 26	ea	Good Lumber 2x3x12 15	ea	Good Lumber 1x2x10 30	bag	Cement Pozzolan 11	ea	Paint Brush #2 11	ea	Roller Brush with basin #4 7	pail	QDE White  27	bag	Skimcoat 20kg 6	kg	CWN #1 8	kg	CWN #2 6	kg	CWN #3 5	kg	C</t>
  </si>
  <si>
    <t xml:space="preserve"> Item I Removal of Damage G.I Roofing Item II Roofing System Item III Painting</t>
  </si>
  <si>
    <t xml:space="preserve"> Republic of the Philippines Province of Davao de Oro MUNICIPALITY OF COMPOSTELA BIDS AND AWARDS COMMITTEE CP#: 0998-571-7569 INVITATION TO BID FOR  Procurement of Spare Parts for Construction and Heavy Equipment (2nd Qtr) - MOTORPOOL ITB NO. 2020-06-032, </t>
  </si>
  <si>
    <t xml:space="preserve"> REQUEST FOR QUOTATION REFERENCE NO.: MR19-11-199 We are inviting all interested contractors/suppliers to submit their best quotation for PROCUREMENT OF THE SUPPLY OF LABOR AND MATERIALS FOR THE REHABILITATION OF AIRCONDITIONING DUCTING SYSTEM AT 4TH FLOOR</t>
  </si>
  <si>
    <t xml:space="preserve"> Procurement of One (1) Male Agency Security Guard for SDO South Cotabato for the Period July to December 31, 2020</t>
  </si>
  <si>
    <t xml:space="preserve"> Materials for nursery construction at Calapan City Sanitary Landfill</t>
  </si>
  <si>
    <t xml:space="preserve"> The Office of Administrative Services, Property Division, of the Supreme Court, through the Procurement Section, invites interested suppliers to quote for the price/s of the item/s listed in the attached document (PLEASE DOWNLOAD) Please also provide "Eli</t>
  </si>
  <si>
    <t xml:space="preserve"> The Department of Agriculture Regional Field Office IX, through the GAA 2020 - (STO 2020) intends to apply the sum of (PHP 96,000.00) being the Approved Budget for the Contract (ABC) to payments under the contract for 06-020-20. Bids received in excess of</t>
  </si>
  <si>
    <t xml:space="preserve"> I. Mobilization II. Demolition III. CSHP IV. Line Canal (L=82.4) V. Steel Grating VI. Equipment Labor</t>
  </si>
  <si>
    <t xml:space="preserve"> Vancomycin 500mg Inj. (HCL) Requirements for Drugs and Medicines: **Drugs with history of usage from VMMC (Requirements No. 1-5 only) ** **For Innovators (Requirements No. 1-4 only) ** 1. CPR 2. CGMP 3. LTO 4. CERTIFICATE OF DISTRIBUTOSHIP 5. CERTIFICATE </t>
  </si>
  <si>
    <t xml:space="preserve"> 20-10239</t>
  </si>
  <si>
    <t xml:space="preserve"> Bureau of Jail Management and P.R. No. : Penology 2020-06-2685 Date: 06/23/2020 Date: 1 37 sack Rice, high grade, at least 50kgs/bag 88,800.00 Sardines w/ tomato suace, 155grams, 13,600.00 2 8 box 100/box 3 3 box Noodles, chicken flavored, 72's / box 1,86</t>
  </si>
  <si>
    <t xml:space="preserve"> Purchase and delivery of supplies and materials of Calapan Public Market</t>
  </si>
  <si>
    <t xml:space="preserve"> 1	lot	Supply, Delivery and Installation of Railings @ Gate 2				 						 		15 CD to complete				 						 		Technical Personnel Required:				 		4 Skilled				 						 		Scope:				 		1. Steel Works				 		2. Masonry Works				 		3. False Works</t>
  </si>
  <si>
    <t xml:space="preserve"> The National Housing Authority (NHA), through its Central Bids and Awards Committee is inviting External Real Estate Appraisal Service Providers to undertake the Land Appraisal of the Commercial Area within Madayaw Residences located in Brgy. Bangkal, Tal</t>
  </si>
  <si>
    <t xml:space="preserve"> 20-10226</t>
  </si>
  <si>
    <t xml:space="preserve"> PURCHASE OF COMPUTER WITH PRINTER AND LAPTOP, CMO-ADMIN, CALBAYOG CITY</t>
  </si>
  <si>
    <t xml:space="preserve"> Republic of the Philippines											 Province of Occidental Mindoro											 Mamburao, Occidental Mindoro											 REQUEST FOR QUOTATION											 Date of Posting:	June 30, 2020					Ref. No.		RN 397-2020			 						PR No.		1061-0022			 											 Th</t>
  </si>
  <si>
    <t xml:space="preserve"> pls see attached RFQ for details</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</si>
  <si>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</si>
  <si>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INVITATION FOR PRICE QUOTATION Date:  30 June 2020 For The  Supply, Delivery, Installation, Testing, And Commissioning Of Airconditioning Units At CAAP Legazpi Airport The Civil Aviation Authority of the Philippines (CAAP) intends to apply the estimated a</t>
  </si>
  <si>
    <t xml:space="preserve"> INVITATION TO BID  Purchase &amp; Delivery of One (1) Unit Service Utility Vehicle for PGO-PSG  July 1, 2020 1.	The Provincial Government of Sarangani, through the AB CY 2020 intends to apply the sum of One Million Five Hundred Thousand Pesos Only (P 1,500,00</t>
  </si>
  <si>
    <t xml:space="preserve"> 100	sets	Needle, G16, stainless, hypodermic, 12 pcs/set, 0.5 inch	 ₱200.00  100	sets	Needle, G16, stainless, hypodermic, 12 pcs/set, 1.5 inch	 ₱200.00  100	sets	Needle, G18, stainless, hypodermic, 12 pcs/set, 0.5 inch	 ₱200.00  100	sets	Needle, G18, stain</t>
  </si>
  <si>
    <t xml:space="preserve"> 10	cart	Ink cartridge, canon PGI-35, black	 ₱1,000.00  10	cart	Ink cartridge, canon PGI-36 color	 ₱1,500.00  10	cart	Ink cartridge, canon PGI-47-black	 ₱550.00  10	cart	Ink cartridge, canon CL-57s, colored	 ₱900.00  3	cart	Ink cartridge, HP,black	 ₱2,000.</t>
  </si>
  <si>
    <t xml:space="preserve"> The Medical and Dental Services, of the Supreme Court, through the Procurement Section, invites interested suppliers to quote for the price/s of the item/s listed in the attached document (PLEASE DOWNLOAD) Please also provide "Eligibility Documents, Annex</t>
  </si>
  <si>
    <t xml:space="preserve"> 1. Grader Tire 14.00-24 W/ Tube and Flap</t>
  </si>
  <si>
    <t xml:space="preserve"> INVITATION TO BID FOR (GOODS &amp; SERVICES)       20GJC0216 – Equipment Rental: 12.5 days Cargo truck/Delivery Truck etc.                            Repair/Maintenance of Road Safety Facilities along National Roads,                           Installation of </t>
  </si>
  <si>
    <t xml:space="preserve"> Provision of Potable Water System: 1. Upper Brgy. Carahayan = P 350,000.00 2. Upper Brgy. Tabayaon =   P 350,000.00</t>
  </si>
  <si>
    <t xml:space="preserve"> INVITATION TO QUOTE Date:  June 30, 2020 1.	The Provincial Government of Davao del Sur, through its Bids and Awards Committee (BAC), invites all interested bidders/suppliers to quote for the following goods under Alternative Methods of Procurement (Small </t>
  </si>
  <si>
    <t xml:space="preserve"> 200 pcs. school bag (kiddie bag) 200 pads Paper (grade 1) 200 pcs eraser  200 boxes crayons (secondary colors) 2 boxes Pencils (100 pc/box) 2 boxes Sharpener (100 pcs/box)</t>
  </si>
  <si>
    <t xml:space="preserve"> Interested bidders may obtain further information of the bidding documents from the BAC Secretariat of Barangay Jona, Tubungan, Iloilo during working days starting July 1 - 7, 2020 from 8:00 a.m. to 5:00 p.m. or thru 09061879020</t>
  </si>
  <si>
    <t xml:space="preserve"> Computer with complete accessories and printer</t>
  </si>
  <si>
    <t xml:space="preserve"> REQUEST FOR QUOTATION JOB REQUEST OF GENERAL PEST CONTROL AND TREATMENT FOR MAINTENANCE OF EMB V SORROUNDINGS  The Environmental Management Bureau Region V through the General Appropriation Act of 2019 intends to apply the sum ONE HUNDRED THOUSAND (Php100</t>
  </si>
  <si>
    <t xml:space="preserve"> Invitation to Bid For Two (2) Years Subscription of Dark Fiber Facility 1.	The LAND BANK OF THE PHILIPPINES (LANDBANK), through its Corporate Budget for the contract approved by the Board of Directors for 2019intends to apply the total sum of Six Million </t>
  </si>
  <si>
    <t xml:space="preserve"> PURPOSE: FOR MAINTENANCE USE OF BOILER 2. (DELIVERY DATE: SEPT. 30, 2020) Fax your Price Quotation at Tel. Fax#: 426-30-45 / 927-64-26 local 2561 or Email at bacveterans@gmail.com. Please indicate the brand name and complete specifications.</t>
  </si>
  <si>
    <t xml:space="preserve"> NOTICE FOR NEGOTIATED PROCUREMENT Publication: June 30, 2020 Closing: July 3, 2020 Name of Project	Training and Assessment on Motorcyle/Small Engine NCII (Inclusive of Materials) Approved Budget for the Contract	 ₱186,000.00 Contract Period:	16 days Item </t>
  </si>
  <si>
    <t xml:space="preserve"> Name of the Procuring Entity:					Project Reference Number: PR # 200-2020-06-12 Municipality of Lantapan					Name of the Project:  Standard Form Number: SF-GOOD-60					Supply &amp; Delivery of Materials for the Repair of Classroom  					at Bantuanon Elem Scho</t>
  </si>
  <si>
    <t xml:space="preserve"> The DPWH-Ilocos Norte Second District Engineering Office, through its Bids and Awards Committee (BAC), invites contractors to submit bids for the Contract: Procurement ID/Contract ID: 20AB0122 Contract Name/Location: CONSTRUCTION OF TWO (2) STOREY - FOUR </t>
  </si>
  <si>
    <t xml:space="preserve"> SUPPLY AND DELIVERY OF MATERIALS FOR CONCRETING OF ROAD (Improvement) in Pansacola Street, Barangay Bagong Bayan, Mauban, Quezon. 1.	The Local Government Unit of Mauban through the GENERAL FUND/20% DEVELOPMENT FUND-8751/1-07-03-010, 2020 intends to apply </t>
  </si>
  <si>
    <t xml:space="preserve"> PROCUREMENT OF PREPAID LOAD CARDS (PROCUREMENT CONTRACT NO. 2020-PCOO-I-001)  This was postponed due to COVID-19 and the Bids and Awards Committee decided to resume with the procurement process.</t>
  </si>
  <si>
    <t xml:space="preserve"> 3	set	 Jalousie frame 15 blades 5	pcs.	 Plywood Marine 1/4 5	pcs.	 Good Lumber 2x2x12 6	pcs.	 Good lumber 2x5x10 9	pcs.	Good Lumber 2x4x12 2	kilo	common nail  1 1/2 " 2	kilo	common nail  2 " 2	kilo	common nail  2.5" 2	kilo	concrete nail 6	pcs.	  paint rol</t>
  </si>
  <si>
    <t xml:space="preserve"> 1.) 1 LOT SUPPLY OF LABOR AND MATERIALS FOR THE CONSTRUCTION OF ATM BOOTH. * LOCATION : AJUY LGU, SPECIFICALLY AT THE AJUY GYM, REAL STREET, POBLACION AJUY ILOILO X X X X X X X X X X X X X X X X X X X NOTHING FOLLOWS X X X X X X X X X X X X X X X X X X X </t>
  </si>
  <si>
    <t xml:space="preserve"> Concreting of Municipal Streets: 1. Yuba Street, Caburan Small, Jose Abad Santos, Davao Occidental - Phase II = P 3,000,000.00 2. Juan Opong, Sitio Pag-asa, Caburan Small, Jose Abad Santos, Davao Occidental = P 2,000,000.00</t>
  </si>
  <si>
    <t xml:space="preserve"> THE MAYOR'S OFFICE WOULD LIKE TO REPAIR AND MAINT. OF SERVICE VEHICLE ( STRADA). . . . . . . . .</t>
  </si>
  <si>
    <t xml:space="preserve"> PURPOSE: FOR MAINTENANCE USE OF ELECTRICAL UNIT Fax your Price Quotation at Tel. Fax#: 426-30-45 / 927-64-26 local 2561 or Email at bacveterans@gmail.com. Please indicate the brand name and complete specifications.</t>
  </si>
  <si>
    <t xml:space="preserve"> REPAIR OF PILAR ELEM SCHOOL BUILDING, BRGY, PILAR, CALBAYOG CITY</t>
  </si>
  <si>
    <t xml:space="preserve"> 1 unit Garbage Compactor (with Specifications)</t>
  </si>
  <si>
    <t xml:space="preserve"> PURPOSE: FOR MAINTENANCE USE OF BOILER 2. (DELIVERY DATE: AUG. 28, 2020) Fax your Price Quotation at Tel. Fax#: 426-30-45 / 927-64-26 local 2561 or Email at bacveterans@gmail.com. Please indicate the brand name and complete specifications.</t>
  </si>
  <si>
    <t xml:space="preserve"> Republic of the Philippines										 Department of Education										 Region VI - Western Visayas										 DIVISION OF NEGROS OCCIDENTAL										 Cottage Road, Bacolod City										 										 REQUEST FOR QUOTATION (RFQ) FOR GOODS										 									</t>
  </si>
  <si>
    <t xml:space="preserve"> Republic of the Philippines											 Province of Occidental Mindoro											 Mamburao, Occidental Mindoro											 REQUEST FOR QUOTATION											 Date of Posting:	June 30, 2020					Ref. No.		RN 383-2020			 						PR No.		009			 											 The Prov</t>
  </si>
  <si>
    <t xml:space="preserve"> I - Earth Works        a.  Excavation Labor     b.  Gravel Bedding (4" thick) II - Concrete Works       a.  Column Footing       b.  Concrete Pedestal       c.  Slab on Fill (Pavement Reconcreting) III - Steel Works       a.  Steel Column/Roof Framing IV </t>
  </si>
  <si>
    <t xml:space="preserve"> Personal Protective Equipment</t>
  </si>
  <si>
    <t xml:space="preserve"> Purchase and delivery of Evacuation Modular Tent for Isolation Areas</t>
  </si>
  <si>
    <t xml:space="preserve"> 20-10222</t>
  </si>
  <si>
    <t xml:space="preserve"> REQUEST FOR QUOTATION 	The Caraga State University-Cabadbaran Campus, through its Bids and Awards Committee (BAC), will undertake a Shopping-Ordinary/Regular Office Supplies for the project: PROCUREMENT ON SUPPLY AND DELIVERY OF VARIOUS OFFICE SUPPLIES (1</t>
  </si>
  <si>
    <t xml:space="preserve"> Please see attached for details or you may visit the DND website at: https://www.dnd.gov.ph/transparency/procurement/dnd-properbids-and-awards-committee.html</t>
  </si>
  <si>
    <t xml:space="preserve"> Improvement/Construction of Old Public Market (Public Market Roof Extension)</t>
  </si>
  <si>
    <t xml:space="preserve"> REQUEST FOR QUOTATION STOCK NO.    UNIT    ITEM DESCRIPTION   QTY. 01                 liter     DIESEL/FUEL           1,850 x-x-x-x-x-x-NOTHING FOLLOWS-x-x-x-x-x-x FRANCISCO I. CORPUZ, JR. BAC CHAIRMAN</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</si>
  <si>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</si>
  <si>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Republic of the Philippines CITY OF MARIKINA SF-GOOD-05 Revised on: July 28, 2004				 													Mkna-GSO-20-295	 	BIDS AND AWARDS COMMITTEE		 NOTICE OF PROPOSED PROCUREMENT The City Government of Marikina, through its Bids and Awards Committee (BAC), w</t>
  </si>
  <si>
    <t xml:space="preserve"> City Administrator's Office P.R. No. : 2020-06-2565 Date: 06/18/2020 Date: 90,000.00 LAPTOP: AMD RYZEN 7 4800HS (8-CORES 16-THREADS) | G15 GA502IU-AZ077T | 15.6" FULL HD IPS 240HZ DISPLAY | 8GB DDR4 2666MHZ | 512GB PCI-E 2 SSD | NVIDIA GTX 1660TI 6GB GDDR</t>
  </si>
  <si>
    <t xml:space="preserve"> The DPWH-Ilocos Norte Second District Engineering Office, through its Bids and Awards Committee (BAC), invites contractors to submit bids for the Contract: Procurement ID/Contract ID: 20AB0123 Contract Name/Location: CONSTRUCTION OF ONE (1) STOREY - FOUR </t>
  </si>
  <si>
    <t xml:space="preserve"> ILGLASS AUTOMATED DOOR LOCK SYSTEM RFID CARD RFID KEYCHAIN</t>
  </si>
  <si>
    <t xml:space="preserve"> PURPOSE: FOR MAINTENANCE OF MOTORPOOL UNIT. (FOR THE MONTH OF JAN.-MARCH, 2020) Fax your Price Quotation at Tel. Fax#: 426-30-45 / 927-64-26 local 2561 or Email at bacveterans@gmail.com. Please indicate the brand name and complete specifications.</t>
  </si>
  <si>
    <t xml:space="preserve"> The LGU MUNICIPALITY OF JOSEFINA, ZAMBOANGA DEL SUR, through its Bids and Awards Committee (BAC),under BAC Reso.#2020-06-094  intends to perform NEGOTIATED  PROCUREMENT under two failed biddings  in the procurement of  BIOMETRIC  by the office of  Municip</t>
  </si>
  <si>
    <t xml:space="preserve"> Zamboanga Sibugay 1st District Engineering Office Brgy. Kauswagan, Diplahan, Zamboanga Sibugay INVITATION TO BID (June 30, 2020) The Zamboanga Sibugay 1st District Engineering Office, through its Bids and Awards Committee (BAC), invites contractors to sub</t>
  </si>
  <si>
    <t xml:space="preserve"> The DPWH-Ilocos Norte Second District Engineering Office, through its Bids and Awards Committee (BAC), invites contractors to submit bids for the Contract: Procurement ID/Contract ID: 20AB0124 Contract Name/Location: CONCRETING OF SITIO KAPPIA TO SITIO MU</t>
  </si>
  <si>
    <t xml:space="preserve"> 1	1	Unit	Inverter Split Type Aircon 1hp 			(Package Type) with complete installation 			Specs: 			1HP 			Cooling Capacity:9,706Kj/h, minimum 			Power: Input Min 200 Watts 			Input Max 1,000 Watts 			x-x-x-x-x-x-x</t>
  </si>
  <si>
    <t xml:space="preserve"> RAPID TEST KIT	400	SETS 		 			 TO BE USED IN DETECTING EMPLOYEES POSSIBLY INFECTED WITH THE CORONA VIRUS DISEASE 2019 (COVID 19)</t>
  </si>
  <si>
    <t xml:space="preserve"> 01 JULY 2020 INVITATION TO BID FOR THE SUPPLY AND DELIVERY OF RISOGRAPH PRINTING INKS AND  CONSUMABLES  FOR DIVISION OF CITY SCHOOLS 	 	 1.	The City of Caloocan, through the Special Education Fund and included in the 2020 Annual City School Board Budget a</t>
  </si>
  <si>
    <t xml:space="preserve"> REQUEST FOR QUOTATION Date: June 30, 2020							 RFQ No.: 2020 – 109 - Battery Tricle Charger, 6A, 220V Name of Company:	________________________________________________________ Office Address:	________________________________________________________			__</t>
  </si>
  <si>
    <t xml:space="preserve"> 1	pc	Aircontion-Cooling Capacity: 8500BTU/h 		Excessive Operating Pressure: 		Discharge: 4 2MPa 		Suction: 1.5MPa 		Power Source: 220-230V-60Hz, 1Ph 		standard Rating Condition: 		Cooling current: 3.74A / Input: 860W 		Rated current: 5.43A 		Rated input: </t>
  </si>
  <si>
    <t xml:space="preserve"> Concreting of (35mx4mx.15m) concrete pavement</t>
  </si>
  <si>
    <t xml:space="preserve"> Request for Quotation for Office Supplies (219,100.00)</t>
  </si>
  <si>
    <t xml:space="preserve"> Vehicle Parts &amp; Accessories</t>
  </si>
  <si>
    <t xml:space="preserve"> 34	meter	 THHN wire #14 25	meter	 PDX wire # 14( ) 3	pc	 electrical tape (big) 2	set	 junction  box  2	box	 electrical staple wire #1 5	pc	 socket 2	set	 Outlet( 2 gang) 2	pc	 LED bulb  11 watts 3	pc	 Pvc receptacle 4x4 1	set	 circuit breaker (20 amp.) 3	</t>
  </si>
  <si>
    <t xml:space="preserve"> INVITATION TO BID FOR (GOODS &amp; SERVICES)       20GJC0218 – Equipment Rental: 5.93 days One Bagger Mixer etc. Repair/Maintenance of                              Road Safety Facilities along National Roads, Instllation of Guardrails along                   </t>
  </si>
  <si>
    <t xml:space="preserve"> Supply &amp; delivery of: 1	3	unit	PRISM + TILTABE HOLDER + RANGE POLE 			xxxxxxx</t>
  </si>
  <si>
    <t xml:space="preserve"> INVITATION TO BID FOR (GOODS &amp; SERVICES)       20GJC0217 – Equipment Rental: 11.25 days Cargo Truck/Delivery Truck etc.                             Repair/Maintenance of Road Safety Facilities along National Roads,                                Installat</t>
  </si>
  <si>
    <t xml:space="preserve"> PURPOSE: FOR MAINTENANCE USE OF ELECTRICAL UNIT. (FOR THE MONTH OF JAN.-JUNE, 2020) Fax your Price Quotation at Tel. Fax#: 426-30-45 / 927-64-26 local 2561 or Email at bacveterans@gmail.com. Please indicate the brand name and complete specifications.</t>
  </si>
  <si>
    <t xml:space="preserve"> Construction</t>
  </si>
  <si>
    <t xml:space="preserve"> 20-10223</t>
  </si>
  <si>
    <t xml:space="preserve"> 30 Capillary tube 100s &amp; 42LI</t>
  </si>
  <si>
    <t xml:space="preserve"> Materials for the repair/rehab of streetlights at Biga</t>
  </si>
  <si>
    <t xml:space="preserve"> Construction of Multi-purpose Buildings/Feeding Centers (P 200,000 each): 1.   Cayaponga Elementary School 2.   Faustino Labiton Sr. Elementary School, Brgy. Carahayan 3.   JASCES, Brgy. Caburan Small 4.   Mangile Elementary School 5.   San Felipe Element</t>
  </si>
  <si>
    <t xml:space="preserve"> Section I. Invitation to Bid Republic of the Philippines Province of Davao del Norte MUNICIPALITY OF TALAINGOD 								1 July, 2020 Invitation to Bid for CONSTRUCTION OF SAFE CLOSURE AND REHABILITATION OF OPEN DUMPSITE (@ Tibi-Tibi, Sto. Niño,Talaingod, D</t>
  </si>
  <si>
    <t xml:space="preserve"> 20-8954</t>
  </si>
  <si>
    <t xml:space="preserve"> Republic of the Philippines     Province  of Surigao del Sur   TAGBINA, SURIGAO DEL SUR    BIDS AND AWARDS COMMITTEE INVITATION TO BID FOR THE  Completion of Slaughter House LOCATION:  Brgy.  Poblacion, Tagbina, Surigao del Sur The municipality of Tagbina</t>
  </si>
  <si>
    <t xml:space="preserve"> PURPOSE: FOR DES USE. NEW PURCHASE REQUEST.  (2 OF 3) FOR THE MONTH OF MAY 2020 TO AUGUST 2020 Fax your Price Quotation at Tel. Fax#: 426-30-45 / 927-64-26 local 2561 or Email at bacveterans@gmail.com. Please indicate the brand name and complete specifica</t>
  </si>
  <si>
    <t xml:space="preserve"> HDPE TUBE SIZE 6"Ø  - SDR 13.6  - 90 meters Pipes Specifications:					 ASTM STANDARD - ISO Pipe (HDPE), PE 100					 SDR = 13.6 Pressure rating (PN 12.5), Strength of 10 MPO to 20 MPO. Color Blue standard for potable water. HDPE pipe shall bear the standar</t>
  </si>
  <si>
    <t xml:space="preserve"> HDPE TUBE SIZE 6"Ø  - SDR 13.6  - 12 meters HDPE TUBE SIZE 4"Ø  - SDR 13.6  - 78 meters Pipes Specifications:					 ASTM STANDARD - ISO Pipe (HDPE), PE 100					 SDR = 13.6 Pressure rating (PN 12.5), Strength of 10 MPO to 20 MPO. Color Blue standard for pot</t>
  </si>
  <si>
    <t xml:space="preserve"> Fabrication of Hospital Bench, Wood</t>
  </si>
  <si>
    <t xml:space="preserve"> 1 Phase line extension &amp; upgrading intended for power supply of water pump</t>
  </si>
  <si>
    <t xml:space="preserve"> PROGRAM OF WORK					 					 PROJECT:  INSTALLATION OF 4-UNITS HANDWASHING FACILITIES WITH ROOFING AND TILE FINISH					 OWNER      : DepED-DIVISION OF TALISAY CITY					 LOCATION   : POBLACION, TALISAY CITY, CEBU					 					 ITEM NO.	DESCRIPTION	UNIT	QTY	UNIT</t>
  </si>
  <si>
    <t xml:space="preserve"> Expenses for MPA Assessment of FMO</t>
  </si>
  <si>
    <t xml:space="preserve"> ITEM NO.	Unit of issue	ITEM &amp;DESCRIPTION	Brand &amp; Model	QTY.	 1	pcs	Coconut brisk broom		30	 2	pcs	Mosquito Sprayer		4	 3	gals	Mosquito Spray		2	 4	gals	Muriatic acid		15	 5	tins	Battery Solution		15	 6	kls	Powder Soap		12	 7	bars	Soap		10	 8	gal	Disinfect</t>
  </si>
  <si>
    <t xml:space="preserve"> The Municipality of San Mariano, Isabela invite bidders to participate in this procurement, Supply and Delivery of One Lot Heavy Equipment Approved Budget: Php.16,640,604.36 Specification:  A.	One (1) Unit Brand New Payloader -	Operating Weight: 17 tons -</t>
  </si>
  <si>
    <t xml:space="preserve"> 2 units Printer specification: Compatible printing long and short with scanner and photocopier</t>
  </si>
  <si>
    <t xml:space="preserve"> VHMCP USE INCLUDING ACCOUNTING SECTION</t>
  </si>
  <si>
    <t xml:space="preserve"> SUPPLY AND DELIVERY OF COMPUTER 	 SPECIFICATIONS 	 Computer  Desktop, Bundle (GeForce GTX 1080t; or higher, Intel Core i9 (Quad Core, 4.0 GHz), 32GB RAM or  higher,  750W Gold Rated Power Supply, 512GB SSD+ 2TB HDD, Licensed Windows 10 OS and MS Office 20</t>
  </si>
  <si>
    <t xml:space="preserve"> Procurement of Various Supplies in response to COVID 19 pandemic.</t>
  </si>
  <si>
    <t xml:space="preserve"> 1 lot</t>
  </si>
  <si>
    <t xml:space="preserve"> Republic of the Philippines                   Department of Health	       CENTRAL OFFICE BIDS AND AWARDS COMMITTEE  INVITATION TO BID FOR THE  PROCUREMENT OF SERVER FOR THE EPIDEMIOLOGY BUREAU (EB) EMERGENCY OPERATION CENTER (EOC) SYSTEM  IB NO. 2020-227 </t>
  </si>
  <si>
    <t xml:space="preserve"> SUZUKI FB TYPE  SCRUM W/ AIRCON</t>
  </si>
  <si>
    <t xml:space="preserve"> 20 bottles Uric Acid (easy touch) 35 bottles Cholesterol strip (easy touch) 5 boxes EDTA tube 5 ml 2 boxes EDTA mini collect 30 boxes Disposable gloves (Med) 30 boxes Surgical Face Mask/50's 10 roll ECG thermal paper 50mmx30m</t>
  </si>
  <si>
    <t xml:space="preserve"> Vehicle Parts, Accessories &amp; Labor Cost</t>
  </si>
  <si>
    <t xml:space="preserve"> 1.	The Local Government Unit of Las Nieves, through the Budget for the Contract Approved by the Sanggunian (20% DF) intends to apply the sum of one hundred eighty  three thousand pesos only (Php 183,000.00) being the Approved Budget for the Contract (ABC)</t>
  </si>
  <si>
    <t xml:space="preserve"> The DPWH-Ilocos Norte Second District Engineering Office, through its Bids and Awards Committee (BAC), invites contractors to submit bids for the Contract: Procurement ID/Contract ID: 20AB0125 Contract Name/Location: CONCRETING OF BRGY. POBLACION 1-PANGIL</t>
  </si>
  <si>
    <t xml:space="preserve"> 1 LOT	Service Provider for the development and maintenance of Online Systems inclusive of Training and other requirements 	 	Development of the following New Systems: 	- Special Program for the Employment of Students Onlines System 	- Construction Safety </t>
  </si>
  <si>
    <t xml:space="preserve"> 5	Units 	"Cabinet Chemical storage cabinet; hazardous chemical, oxidizing chemicals, acids and bases, height 1830mm x 915mm width"</t>
  </si>
  <si>
    <t xml:space="preserve"> Pls. see attached RFQ</t>
  </si>
  <si>
    <t xml:space="preserve"> Linear construction Length - 335 Ln. M. Pavement Width - 4m. No. of days - 93 working days Equipment / manpower: 1 Civil Engineer 1 Foreman 14 Laborers 4 skilled workers 1 unit Road Grader 1 unit Backhoe 1 unit Dumptruck 1 unit Payloader 1 unit Concrete T</t>
  </si>
  <si>
    <t xml:space="preserve"> REPAIR/MAINTENANCE OF HEAVY EQUIPMENT</t>
  </si>
  <si>
    <t xml:space="preserve"> STREET LIGHTING  - 7 post</t>
  </si>
  <si>
    <t xml:space="preserve"> OPENING OF BIDS IN DSWD FO IX ZAMBOANGA CITY DELIVERY IN DSWD FO IX, ZC PROCUREMENT FOR THE FF.: 		 		 2	unit	LARGE GROUP CONFERENCE CAMERA (SEE ATTACHED SPECS AT ASSOCIATED COMPONENT) 2	unit	COMPUTER SPEAKER  FOR VEDIO CONFERENCING (SEE ATTACHED SPECS AT</t>
  </si>
  <si>
    <t xml:space="preserve"> INVITATION TO BID The Barangay Quinastillojan of Tabaco City through the Bids and Awards Committee (BAC) invites suppliers to bid for the hereunder contract: Name of Contract: Construction of Pathways Location: Barangay Quinastillojan, Tabaco City Descrip</t>
  </si>
  <si>
    <t xml:space="preserve"> Purchase of construction materials and supplies for the Improvement of Water System project of Barangay Monte Dujali, San Isidro, Davao del Norte.</t>
  </si>
  <si>
    <t xml:space="preserve"> Construction of Additional One (1) Span of Multi-Purpose Open Space at Purok Saranay, Poblacion, Kabacan, Cotabato for the benefits of the people.</t>
  </si>
  <si>
    <t xml:space="preserve"> *SEALANT - Elastomeric Sealant (gal.) (77 gallons) *PLYWOOD (MARINE) - 4' x 8' x ¾" thk (50 sheets) *Please see attached canvass form.</t>
  </si>
  <si>
    <t xml:space="preserve"> Purchase of Rapid Anti-body Test for COVID-19.</t>
  </si>
  <si>
    <t xml:space="preserve"> The Department of Agriculture Regional Field Office IX, through the GAA 2020 - (LIVESTOCK PROGRAM 2020) intends to apply the sum of (PHP 392,000.00) being the Approved Budget for the Contract (ABC) to payments under the contract for 06-021-20. Bids receiv</t>
  </si>
  <si>
    <t xml:space="preserve"> The Department of Agriculture Regional Field Office IX, through the GAA 2020 - (National Rice Program 2020) intends to apply the sum of (PHP 110,000.00) being the Approved Budget for the Contract (ABC) to payments under the contract for 06-016-20. Bids re</t>
  </si>
  <si>
    <t xml:space="preserve"> PURPOSE: FOR DES USE. NEW PURCHASE REQUEST. FOR THE MONTH OF JULY 2020 TO SEPTEMBER Fax your Price Quotation at Tel. Fax#: 426-30-45 / 927-64-26 local 2561 or Email at bacveterans@gmail.com. Please indicate the brand name and complete specifications.</t>
  </si>
  <si>
    <t xml:space="preserve"> INVITATION FOR PRICE QUOTATION Date:  30 June 2020 For The  Supply And Delivery Of Range Finder For SMO Of Legazpi Airport   The Civil Aviation Authority of the Philippines (CAAP) intends to apply the estimated amount   of   Seventy Five Thousand Five Hun</t>
  </si>
  <si>
    <t xml:space="preserve"> INVITATION TO BID The DPWH, Masbate 3rd District Engineering Office, Dimasalang, Masbate through its Bids and Awards Committee (BAC), invites contractors to submit bids for the following Contract: Procurement ID/ Contract ID:	20FJ0032 Contract Name:	Const</t>
  </si>
  <si>
    <t xml:space="preserve"> The DPWH-Ilocos Norte Second District Engineering Office, through its Bids and Awards Committee (BAC), invites contractors to submit bids for the Contract: Procurement ID/Contract ID: 20AB0126 Contract Name/Location: CONCRETING OF BUROK BARANIW, BRGY. PAR</t>
  </si>
  <si>
    <t xml:space="preserve"> Repair &amp; Maintenance of Other Structure</t>
  </si>
  <si>
    <t xml:space="preserve"> 8 pcs Pumpboat Cases 7 pcs Engine 10 HP 2 pcs Engine 16 HP</t>
  </si>
  <si>
    <t xml:space="preserve"> relocation survey (Brgy. Nalvo) 2 lots relocation survey (Brgy. Tangaoan) 1 lot Topographic survey (Cabaroan-silag-pacang bridge) Topographic survey (Brgy. Suso-baywalk)</t>
  </si>
  <si>
    <t xml:space="preserve"> Rehabilitation of Drainage Canal along Purok Sunrise, Saranay, Bonifacio St. Phase 1 of Poblacion, Kabacan,Cotabato</t>
  </si>
  <si>
    <t xml:space="preserve"> Republic of the Philippines                   Department of Health	       CENTRAL OFFICE BIDS AND AWARDS COMMITTEE  INVITATION TO BID FOR THE REHABILITATION OF DEPARTMENT OF HEALTH (DOH) CAMPUS WIDE NETWORK IB NO. 2020-228 1.	The Department of Health (DOH</t>
  </si>
  <si>
    <t xml:space="preserve"> Construction of (30mx2.8mx1.60m) concrete bleacher</t>
  </si>
  <si>
    <t xml:space="preserve"> Republic of the Philippines Province of Nueva Vizcaya BIDS AND AWARDS COMMITTEE (BAC-GOODS) BAC OFFICE, Provincial Capitol, Bayombong, Nueva Vizcaya Tel. No. (078) 392-2650 	 INVITATION TO BID FOR THE SUPPLY AND DELIVERY OF ONE (1) UNIT DEFIBRILLATOR WITH</t>
  </si>
  <si>
    <t xml:space="preserve"> Supply and Delivery of Various Plumbing Supplies as per PR 20-01-0078A</t>
  </si>
  <si>
    <t xml:space="preserve"> 1.Invitation to Bid. 2.Please see attached file.</t>
  </si>
  <si>
    <t xml:space="preserve"> Supply and Delivery of Food commodities</t>
  </si>
  <si>
    <t xml:space="preserve"> Republic of the Philippines							 Province of Davao del Sur							 Municipality of Malalag							 							 BIDS AND AWARDS COMMITTEE							 CANVASS/REQUEST FOR QUOTATION							 For Shopping &amp; Small value Procurement							 						  06/29/2020 	 ___________</t>
  </si>
  <si>
    <t xml:space="preserve"> 1	lot	Supply and Installation of Panel Board                 for 3 units of Magnetic Contractor of                  Filter Pump Motor</t>
  </si>
  <si>
    <t xml:space="preserve"> 50 Pcs CARD (Smart Buddy) 500 53 Pcs CARD (Talk n' Text ) 300 40 Pcs CARD  (Globe) 500 3 Pcs CARD (Talk n' Text) 300</t>
  </si>
  <si>
    <t xml:space="preserve"> meals</t>
  </si>
  <si>
    <t xml:space="preserve"> Republic of the Philippines Province of Albay Municipality of Sto. Domingo Bids and Awards Committee 	 Invitation to Apply for Eligibility and to Bid: 06-02-2020 	The LGU- Sto. Domingo, Albay through its Bids and Awards Committee (BAC) invites Suppliers/M</t>
  </si>
  <si>
    <t xml:space="preserve"> CALAMANSI(CITRUS) BUDDED - 800 SEEDLINGS RAMBUTAN (GRAFTED) - 800 SEEDLINGS</t>
  </si>
  <si>
    <t xml:space="preserve"> 1	42	Set	Epson 003 ink (Black, Magenta,Cyan, Yellow) 2	153	Pcs	Ring Bind 3	85	Pack	Linen Paper 4	9	Pcs	Heavy Duty Stapler PS-123 5	77	Box	Staple Wire23/6 (15 pages) 6	77	Box	Staple Wire 23/8 (30 pages) 7	77	Box	Staple Wire 23/10 (50 pages) 8	77	Box	Staple</t>
  </si>
  <si>
    <t xml:space="preserve"> The Department of Agriculture Regional Field Office IX, through the GAA 2020 - (National Rice Program 2020) intends to apply the sum of (PHP 70,000.00) being the Approved Budget for the Contract (ABC) to payments under the contract for 06-022-20. Bids rec</t>
  </si>
  <si>
    <t xml:space="preserve"> Republic of the Philippines							 Province of Davao del Sur							 Municipality of Malalag							 							 BIDS AND AWARDS COMMITTEE							 CANVASS/REQUEST FOR QUOTATION							 For Shopping &amp; Small value Procurement							 						  06/29/2020  	 __________</t>
  </si>
  <si>
    <t xml:space="preserve"> Repair and Maintenance of Road Safety Facilities includes Miscellaneous Structures.</t>
  </si>
  <si>
    <t xml:space="preserve"> To All Eligible Suppliers/Contractors: Please quote your lowest price inclusive of VAT on the items listed in the RFQ Form (please see and download attachment in the Associated Components), subject to the Terms and Conditions of this Request for Quotation</t>
  </si>
  <si>
    <t xml:space="preserve"> Rehabilitation of Old City Hall Building (Comfort Room) I. Item SPL: Rehabilitation of Old City Hall Building (Comfort Room)</t>
  </si>
  <si>
    <t xml:space="preserve"> Calcium Hypochlorite Granular, 70% min. C		40	drums (45 kls/drum)</t>
  </si>
  <si>
    <t xml:space="preserve"> labor for construction</t>
  </si>
  <si>
    <t xml:space="preserve"> Pls. see attached RFQ Specification: -double cab with canopy -flour wheel drive -engine-FGA-12 valve -at least 3 cylinder -1,000 kgs. net capacity Special Condition of the contract/PO -Warranty period -after sales service -availability of parts and access</t>
  </si>
  <si>
    <t xml:space="preserve"> The Department of Agriculture-RFO 3, invites interested suppliers to submit quotations/proposals for the hereunder requirement, to wit: ITEM NO.	QTY.	UNIT	ITEMS &amp; DESCRIPTION		UNIT PRICE	TOTAL AMOUNT	BRAND/MODEL 							 			Other Supplies (Laboratory Suppl</t>
  </si>
  <si>
    <t xml:space="preserve"> Purchase of materials for students to use during classes.</t>
  </si>
  <si>
    <t xml:space="preserve"> Day 1-7: Breakfast, Lunch, Dinner</t>
  </si>
  <si>
    <t xml:space="preserve"> kindly see attached file for your reference.</t>
  </si>
  <si>
    <t xml:space="preserve"> INVITATION TO BID The DPWH, Masbate 3rd District Engineering Office, Dimasalang, Masbate through its Bids and Awards Committee (BAC), invites contractors to submit bids for the following Contract: Procurement ID/ Contract ID:	20FJ0033 Contract Name:	Const</t>
  </si>
  <si>
    <t xml:space="preserve"> Telephone Mobile Expenses</t>
  </si>
  <si>
    <t xml:space="preserve"> 150	ream	Paper Multicopy A4 80gsm 150	ream	Paper Multicopy Legal 80gsm 100	pack	Tissue Paper 12 pcs/pack</t>
  </si>
  <si>
    <t xml:space="preserve"> REQUEST FOR QUOTATION Project Name: Supply and Delivery of Supplies for May 2020 Approved Budget:  Area of Delivery: Butong Elementary School, Brgy. Butong City of Cabuyao, Laguna Date of Submission and Delivery and Opening of Quotation: July The DepEd Di</t>
  </si>
  <si>
    <t xml:space="preserve"> The DPWH-Ilocos Norte Second District Engineering Office, through its Bids and Awards Committee (BAC), invites contractors to submit bids for the Contract: Procurement ID/Contract ID: 20AB0127 Contract Name/Location: CONCRETING OF SITIO BUGA TO CURRIMAO R</t>
  </si>
  <si>
    <t xml:space="preserve"> I. Window II. Masonry Works</t>
  </si>
  <si>
    <t xml:space="preserve"> 6	pcs	Steel matting 4x8 6	pcs	C Purlins 2 x3 5	pcs	GI Pipe #2  10	pcs	Angle bar #1 1/2 x 1 1/2 7	pcs	Angle bar #1 x1x1/4 4	pcs	GI Pipe #1 3	pcs	Cylindrical hinges #5/8 1	pc	Cutting disk #14 inches 1	pc	Grinding disk #4 inches 5	kg	Welding rod 6	pcs	GI she</t>
  </si>
  <si>
    <t xml:space="preserve"> PROCUREMENT AND DELIVERY OF  ONE (1) UNIT AMBULANCE  The LOCAL GOVERNMENT UNIT OF PANDAN, ANTIQUE, through the Capital Outlay intends to apply the total sum of One Million Eight Hundred Thousand Pesos Only (Php 1,800,000.00), being the Approved Budget for</t>
  </si>
  <si>
    <t xml:space="preserve"> Request for Quotation			Date:		 			Quotation No.:		 2020-06-042-June  Company Name 					 					 Address					 					 	Please quote your lowest price on the items listed below, subject to the General Conditions ln the last				 page stating the shortest time o</t>
  </si>
  <si>
    <t xml:space="preserve"> Supply and Delivery of Construction materials for Paglaum Housing for informal settlers @ Little Baguio, San Fernando, Bukidnon</t>
  </si>
  <si>
    <t xml:space="preserve"> The Department of Agriculture Regional Field Office IX, through the GAA 2020 - (RAED 2020) intends to apply the sum of (PHP 200,000.00) being the Approved Budget for the Contract (ABC) to payments under the contract for 06-018-20. Bids received in excess </t>
  </si>
  <si>
    <t xml:space="preserve"> Rehabilitation of Drainage Canal along Bonifacio St. Phase II, Poblacion, Kabacan, Cotabato</t>
  </si>
  <si>
    <t xml:space="preserve"> Purchase of construction materials and supplies for the Improvement of Multi-purpose Building project of Barangay Monte Dujali, San Isidro, Davao del Norte.</t>
  </si>
  <si>
    <t xml:space="preserve"> PURPOSE: FOR USE IN DOP Fax your Price Quotation at Tel. Fax#: 426-30-45 / 927-64-26 local 2561 or Email at bacveterans@gmail.com. Please indicate the brand name and complete specifications.</t>
  </si>
  <si>
    <t xml:space="preserve"> Republic of the Philippines  PROVINCIAL GOVERNMENT OF EASTERN SAMAR Provincial Capitol, 6800 Borongan City  E-mail Address: esamar.bac@gmail.com REQUEST FOR QUOTATION RFQ No. 2020-06-289                                                                     </t>
  </si>
  <si>
    <t xml:space="preserve"> Invitation to Bid for the Exploratory Deepwell Drilling, Installation of Electro-Mechanical Equipment and Power Supply, Construction of Pump House and Fence and Pipelaying of 100mm u.P.V.C. Transmission Pipelines in Barangay Lipay, Villasis, Pangasinan 1.</t>
  </si>
  <si>
    <t xml:space="preserve"> Procurement of acrylic covers for NCCA Ground Floor		 		 The  National  Commission   for   Culture   and   the   Arts   (NCCA) invites prospective bidders to submit their quotations 		 for the following item/s listed below on or before July 06, 2020  at  </t>
  </si>
  <si>
    <t xml:space="preserve"> Various Electrical Supplies</t>
  </si>
  <si>
    <t xml:space="preserve"> Various Hardware Materials</t>
  </si>
  <si>
    <t xml:space="preserve"> Video service for the including filming of five story telling videos		 		 The  National  Commission   for   Culture   and   the   Arts   (NCCA) invites prospective bidders to submit their quotations 		 for the following item/s listed below on or before Ju</t>
  </si>
  <si>
    <t xml:space="preserve"> FRONT LOAD WASHING MACHINE •	WASHER WITH DRYER •	INVERTER MOTOR •	DISPLAY: TOUCH LED •	CAPACITY: 8Kg and ABOVE	                1	UNIT WATER DISPENSER •	HOT AND COLD WATER DISPENSER	1	UNIT SENSOR ACTIVATED TRASH BIN •	TOUCHLESS INFRARED MOTION SENSOR	5	PIE</t>
  </si>
  <si>
    <t xml:space="preserve"> see attached RFQ</t>
  </si>
  <si>
    <t xml:space="preserve"> Supply and Delivery of Various Carpentry Supplies as per PR 20-01-0065A</t>
  </si>
  <si>
    <t xml:space="preserve"> 113 tshirts</t>
  </si>
  <si>
    <t xml:space="preserve"> Repair / Rehabilitation of Slope Protection 		 Cost of Bidding Documents: Php 5,000.00					 Source of Funds: Maintenance Fund 101 CY 2020 The significant times and deadlines of procurement activities are shown below: 1. Issuance of Bidding Documents	Deadl</t>
  </si>
  <si>
    <t xml:space="preserve"> QTY  UNIT  PARTICULARS 20	units	LAPTOP 		Swift 3 SF314-41-R1HQ-Sparkly 		silver, window 10 home 		AMD RYZEN 3500u 2.1GHz, Max Boost 3.7GHz 		AMD Radeon Vega 8 Mobile Graphics 		14-in- In-plane Switching (IPS) Technology 		4 GB DDR4 SDRAM 		256GB PCI3 NVMe</t>
  </si>
  <si>
    <t xml:space="preserve"> Request for Quotation 4	ea	Tire 205x70R15  40	ea	Engine Oil  8	ea	Oil Filter   8	ea	Fuel Filter  5	ea	Clutch Disc  6	ea	Clutch Lining  8	ea	Fan Belt  6	ea	Brake Pad  10	ea	Brake Bonding  20	ea	Signal Light  12	ea	Hub Bearing  2	ea	Shock Absorber  10	ea	Cr</t>
  </si>
  <si>
    <t xml:space="preserve"> 1 unit vehicle</t>
  </si>
  <si>
    <t xml:space="preserve"> spare parts</t>
  </si>
  <si>
    <t xml:space="preserve"> 100	reams	Risograph Long 		        Back To Back</t>
  </si>
  <si>
    <t xml:space="preserve"> I CARPENTRY WORKS</t>
  </si>
  <si>
    <t xml:space="preserve"> Republic of the Philippines PROVINCE OF BUKDINON Malaybalay City OFFICE OF THE PROVINCIAL GOVERNOR Bids and Awards Committee INVITATION TO BID FOR THE “SUPPLY AND DELIVERY OF WATER HAND PUMP” ITB No. 2020-163 June 30, 2020 1.	The Provincial Government of </t>
  </si>
  <si>
    <t xml:space="preserve"> DepEd, Division of Sorsogon										 Standard Form Number: SF-GOOD-60										 Revised on: May 24, 2004										 REQUEST FOR QUOTATION										 										 						Date:				 						Quotation No.:		20-06-090-_____		 										 										 										 							</t>
  </si>
  <si>
    <t xml:space="preserve"> The Department of Agriculture-RFO 3, invites interested suppliers to submit quotations/proposals for the hereunder requirement, to wit: 2	unit	Aircondition : Window Type	 		EER Rating 14.3	 		Length (cm) 72.9	 		Height (cm) 42.9	 		Inverte Technology - in</t>
  </si>
  <si>
    <t xml:space="preserve"> Qty.	UNIT	ITEM AND DESCRIPTION					APPROVED BUDGET COST	 							UNIT PRICE	TOTAL 1	UNIT	MOTORCYCLE VEHICLE					 90,000.00 	 90,000.00  		SPECIFICATIONS:						 		DIMENSION: 1919X679X1062 MM						 		WHEEL BASE (MM) 1280						 		GROUND CLEARANCE (MM) 132				</t>
  </si>
  <si>
    <t xml:space="preserve"> Linear Construction Length - 267 Ln. m. Pavement width - 5.00 m.  No. of days - 55 working days Equipment / manpower requirements: 1 civil Engineer 1 Foreman 14 Laborers 4 skilled workers 1 unit Road Grader 1 unit Backhoe 1 unit Dumptruck 1 unit Payloader</t>
  </si>
  <si>
    <t xml:space="preserve"> Various animal feeds</t>
  </si>
  <si>
    <t xml:space="preserve"> The DPWH-Ilocos Norte Second District Engineering Office, through its Bids and Awards Committee (BAC), invites contractors to submit bids for the Contract: Procurement ID/Contract ID: 20AB0128 Contract Name/Location: CONCRETING OF SITIO BUGA TO SITIO BING</t>
  </si>
  <si>
    <t xml:space="preserve"> 5 pcs  portable handwashing</t>
  </si>
  <si>
    <t xml:space="preserve"> ITEM NO.	Unit of issue	ITEM &amp;DESCRIPTION	Brand &amp; Model	QTY.	 1	copy	Investigating Oceanography/2nd ed/Keith Sverdrup &amp; Raphael Kudela/2017		1	 2	copy	Design for Safety/Louis Gullo &amp; Jack Dixon/2018		1	 3	copy	Operation and Control of Renewable Energy Syst</t>
  </si>
  <si>
    <t xml:space="preserve"> Republic of the Philippines					 		Province of Davao del Sur					 		Municipality of Malalag					 							 		BIDS AND AWARDS COMMITTEE					 		CANVASS/REQUEST FOR QUOTATION					 		For Shopping &amp; Small value Procurement					 						  06/29/2020 	 _____________</t>
  </si>
  <si>
    <t xml:space="preserve"> Unit 	Item Description	Quantity 		 ream	Bondpaper (multiply sub.20 80gsm,size 210x297 mm)	65 ream	Bondpaper (multiply sub.20 80gsm,size 8 1/2 x 13 )	55 pcs.	Signed Pen Black liquid gel ink 0.5mm needle tip	100 box	Fastener	5 doz.	Folder ( Long )	30 pcs.	I</t>
  </si>
  <si>
    <t xml:space="preserve"> Invitation to Bid for the PIPELAYING OF 100MM PARALLEL PIPELINES IN BACAG WEST-HIGHWAY in Barangay Bacag West, Villasis, Pangasinan 1.	The VILLASIS WATER DISTRICT, through the 2020 CORPORATE BUDGET APPROVED BY THE GOVERNING BOARDS intends to apply the sum</t>
  </si>
  <si>
    <t xml:space="preserve"> Republic of the Philippines CITY GOVERNMENT OF ORMOC  2nd /F New Ormoc City Hall Bldg.,Ormoc City Tel # (053) 255-2054 &amp; 560-8050 Local # 1126, 1127 &amp; 1123	      37-________________________ INVITATION TO BID         The City Government of Ormoc, through t</t>
  </si>
  <si>
    <t xml:space="preserve"> REQUEST FOR QUOTATION Name of Procuring Entity:	BARANGAY SAN ISIDRO-IRAYA, MALILIPOT, ALBAY Purchase Request No:		PR No. 2020-___- ___ Mode of Procurement:	NP Small Value Procurement Name of Contract: Purchase of Construction Materials for the Repair of D</t>
  </si>
  <si>
    <t xml:space="preserve"> INVITATION TO APPLY FOR ELIGIBILITY AND TO BID The City of San Juan, Metro Manila, through its Bids and Awards Committee (BAC), invites interested parties to apply for an Eligibility and if found eligible to bid for the – Name of Project Supply and Delive</t>
  </si>
  <si>
    <t xml:space="preserve"> Name of the Procuring Entity							Project Reference Number	7078243		 DENR-PENRO, Surigao del Norte							Name of the Project	SCUBA DIVING TRAINING		 										 							Location of the Project	PENRO-SURIGAO DEL NORTE		 										 Standard Form Number: SF-G</t>
  </si>
  <si>
    <t xml:space="preserve"> 1000	pcs	Ballpen Black 500	pcs	Ballpen Blue 300	pcs	Correction Tape 300	pcs	Detergent Powder 60	pcs	Double sided tape 100	pcs	Doormat 1000	pcs	Folder tagboard long 5	ream	Laid paper    short 500 pcs/ream color cream 5	ream	Laid paper    long 500 pcs/ream </t>
  </si>
  <si>
    <t xml:space="preserve"> Please quote your price(s) inclusive of VA T on the items listed below, subject to the Terms and Conditions of this RFQ, and submit your Quotation duly signed by your representative not later than July 10, 2020 at Bids and Awards Committee for goods at Ki</t>
  </si>
  <si>
    <t xml:space="preserve"> Commonly Used Office supplies</t>
  </si>
  <si>
    <t xml:space="preserve"> Notice of Procurement and RFQ for 2020-06-0011 - Procurement of Tires for Service Vehicle, Toyota Hi-Ace, Conduction Sticker No. YW 5708, DPWH No. H1-5833</t>
  </si>
  <si>
    <t xml:space="preserve"> The DPWH-Ilocos Norte Second District Engineering Office, through its Bids and Awards Committee (BAC), invites contractors to submit bids for the Contract: Procurement ID/Contract ID: 20AB0129 Contract Name/Location: CONCRETING OF SITIO USAT, BRGY. BOMITO</t>
  </si>
  <si>
    <t xml:space="preserve"> Computer Laptop: Intel Core i5 - 102 IOU processor Colored Printer: with ADF; Print, scan, copy and wifi</t>
  </si>
  <si>
    <t xml:space="preserve"> DELIVERY OF SUPPLIES AND MATERIALS FOR GRAVELING OF FMR AND CONCRETING OF FMR PUROK 3 OF BARANGAY PLARIDEL</t>
  </si>
  <si>
    <t xml:space="preserve"> Notice of Procurement &amp; RFQ for 2020-06-0013 dated June 29, 2020	Procurement of Automatic Temperature Induction and Disinfection AIO (All-in-One) Machine for use in the DPWH Regional Office No. III	PHP 240,000.00</t>
  </si>
  <si>
    <t xml:space="preserve"> PROCUREMENT OF CONSTRUCTION MATERIALS FOR THE REHABILITATION/IMPROVEMENT OF DISTRIBUTION PIPES</t>
  </si>
  <si>
    <t xml:space="preserve"> Item No.    Qty. Unit     Description 1. 8 pcs. 3mm x 1 1/2 Angle Bar 2. 12 pcs. 5mm x 1 1/2 Angle Bar 3. 4 pcs. 5mm x 1 Angle Bar 4. 7 pcs. G.I pipe #1x S40 5. 3 pcs. G.I pipe #2x S40 6. 13 pcs. 16mm RSB 7. 23 pcs. 12mm RSB 8. 31 pcs. 10 mmRSB 9. 5 box w</t>
  </si>
  <si>
    <t xml:space="preserve"> Republic of the Philippines					 		Province of Davao del Sur					 		Municipality of Malalag					 							 		BIDS AND AWARDS COMMITTEE					 		CANVASS/REQUEST FOR QUOTATION					 		For Shopping &amp; Small value Procurement					 						  06/29/2020  	 ____________</t>
  </si>
  <si>
    <t xml:space="preserve"> Republic of the Philippines  Province of Agusan del Norte  Municipality of Nasipit BIDS AND AWARDS COMMITTEE June 30, 2020 REQUEST for QUOTATION The Local Government Unit of Nasipit, through its Bids and Awards Committee (BAC) will undertake a Small Value</t>
  </si>
  <si>
    <t xml:space="preserve"> Proposed Earthfilling Bagong Sirang (Poro) San Felipe, Naga City</t>
  </si>
  <si>
    <t xml:space="preserve"> INVITATION TO BID         The Local Government Unit of Camaligan, Cam. Sur, through its Bids &amp; Awards Committee (BAC), invites contractors to submit bids for the following contract: Contract Name:  CONSTRUCTION OF MRF MULTI-PURPOSE BUILDING (Covered Court</t>
  </si>
  <si>
    <t xml:space="preserve"> Medicine Kit-11 set Spine Board-11pc.</t>
  </si>
  <si>
    <t xml:space="preserve"> 30 booklets</t>
  </si>
  <si>
    <t xml:space="preserve"> Supply and Delivery of Materials for  Garments Production of SDSSU Cantilan Campus Please see attached Request for Quotation (RFQ)</t>
  </si>
  <si>
    <t xml:space="preserve"> REQUEST FOR QUOTATION FOR THE SUPPLY AND DELIVERY PROCUREMENT OF WATER SERVICE CONNECTION MATERIALS Please quote your lowest price on the item/s listed below, subject to the General Conditions and stating the shortest time of delivery and submit your quot</t>
  </si>
  <si>
    <t xml:space="preserve"> l.	The MUNICIPALITY OF GUINAYANGAN, QUEZON, through  the  2020 C.O.    intends to apply the sum of  Two Hundred Twelve Thousand Three Hundred Twenty  Pesos                   (P 212,320.00) being the Approved Budget for the Contract (ABC) to payments under</t>
  </si>
  <si>
    <t xml:space="preserve"> I. Specifications (Please see attached file @ Associated Components). II. Payment upon 100% completion of project. III. A penalty of one-tenth of one percent (0.001) of the total value of the product(s)/goods purchased shall be deducted for each day of de</t>
  </si>
  <si>
    <t xml:space="preserve"> Interconnection of Pipelines at Poblacion Pump Station VI-Interior Roads of Poblacion</t>
  </si>
  <si>
    <t xml:space="preserve"> INVITATION TO APPLY FOR ELIGIBILITY AND TO BID The City of San Juan, Metro Manila, through its Bids and Awards Committee (BAC), invites interested parties to apply for an Eligibility and if found eligible to bid for the – Name of Project  Ordering agreeme</t>
  </si>
  <si>
    <t xml:space="preserve"> DELIVERY OF SUPPLIES AND MATERIALS GRAVELLING OF FMR, CONCRETING OF FMR AND INSTALLATION RCPC OF PUROK 4 BARANGAY PLARIDEL, STA. ELENA, CAMARINES NORTE</t>
  </si>
  <si>
    <t xml:space="preserve"> 1	7	sheets	GA # 16x4'x8' G.I Plain Sheets 2	15	length	2 1/2"Øx6.0m. G.I Pipe S40 3	30	length	3mm thk. X 25mm x 25mm x6.0 			m. Angle Bar 4	60	length	10mmØ x 6.0m. Deformed  			Round Bar 5	12	kls	#16 G.I Tie Wire 6	30	bags	Portland Cement 7	6	cu.m	Sand &amp; G</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</si>
  <si>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</si>
  <si>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Procurement of Construction Materials &amp; Supplies						 Purchase Requested by the City Engineering Office/City Mayor's Office, Tabaco City						 						 To Interested Suppliers, Manufacturers and Distributors,						 						 Please quote your lowest price/s o</t>
  </si>
  <si>
    <t xml:space="preserve"> One (1 pc Oil Filter (KM250) and 46 other LI</t>
  </si>
  <si>
    <t xml:space="preserve"> Materials Description	Quantity	Unit SC Booklet Medicine	444	Pcs. SC Booklet Groceries and Prime Commodities	444	Pcs. PWD Booklet Medicine	444	Pcs.</t>
  </si>
  <si>
    <t xml:space="preserve"> One (1) - Supply of labor, tools and materials (Supply of Labor, Tools and Materials for (6) Months Operation and Basic Maintenance Servicing (OBMS) of the Electro-Mechanical System of BSP Cebu Regional Office per BSP Terms of Reference)           nothing</t>
  </si>
  <si>
    <t xml:space="preserve"> l.	The MUNICIPALITY OF GUINAYANGAN, QUEZON, through  the  2020 C.O.    intends to apply the sum of  One Hundred Twenty Four Thousand Eighty Two  Pesos                      (P 124,082.00) being the Approved Budget for the Contract (ABC) to payments under t</t>
  </si>
  <si>
    <t xml:space="preserve"> INVITATION TO BID The Barangay San Isidro-Iraya of Malilipot, Albay through the Bids and Awards Committee (BAC) invites suppliers to bid for the hereunder contract: Name of Contract: Procurement of Materials for the Fencing of Barangay Health Center Locat</t>
  </si>
  <si>
    <t xml:space="preserve"> INSTALLATION OF HANDWASHING AREA</t>
  </si>
  <si>
    <t xml:space="preserve"> Item Number	Description	 QTY 	UNIT	 ESTIMATED BUDGET  	Fergola			 1	Sand	1	cu.m.	 325.00  2	Gravel	1	cu.m.	 750.00  3	Portland Cement	9	bags	 2,340.00  4	10mm dia. Deformed Bar	32	lngth.	 6,080.00  5	#18 Tie Wire	3	kgs.	 270.00  6	39 pcs-2"x2"x10' Coco Lu</t>
  </si>
  <si>
    <t xml:space="preserve"> TERMS OF REFERENCE Technical Consultant (Charged to 2019 Continuing Budget of OTDPRIM) MINIMUM REQUIREMENTS 1.	A seasoned journalist with articles published in a daily newspaper with nationwide circulation.  2.	With at least 20 years of Experience as Edit</t>
  </si>
  <si>
    <t xml:space="preserve"> Linear Construction: Length - 600 meters Width - 5 meters No. of days - 49 calendar days Equipment requirements: 1 unit Backhoe 1 unit Payloader 1 unit Low bed trailer 2 units Dumptruck 1 unit Road Grader 1 unit Vibratory Roller 1 unit Water tank Batching</t>
  </si>
  <si>
    <t xml:space="preserve"> 120	Pads	Writing pads 31	Pads	Intermediate pads 60	Pcs	Ball pen 100	Pcs	Activity note book 50	Pcs	Pencil 40	Pcs	Protractor 100	pcs	Ruler 100	Boxes	Crayons(double) 7	Liters	glue 100	Pcs	Scissors 2	Ream	Construction paper 20	pcs	eraser 41	pcs	Writing notebo</t>
  </si>
  <si>
    <t xml:space="preserve"> Proposed Earthfilling Bagong Sirang near Obias Residence San Felipe, Naga City</t>
  </si>
  <si>
    <t xml:space="preserve"> Improvement of Multi-Purpose Building @ Brgy Manibaug Pasig, Porac, Pampanga Rib Type Roof 26' 8 pcs CHB 4" 1000 pcs Portland Cement 60 bags 2x5x16 Lumber 10 ocs 2x3x16 Lumber 32 pcs 2x2x12 Lumber 50 pcs Plywood Marine 1/4 20 pcs 10mm Deformed Bars 30 pcs</t>
  </si>
  <si>
    <t xml:space="preserve"> I - Steel Works      a.  Main Framing &amp; Roof Framing      b.  Equipment Rental II - Carpentry Works      a.  Counter Table &amp; Fascia Board III - Roofing and Accessories IV - Painting Works</t>
  </si>
  <si>
    <t xml:space="preserve"> PROCUREMENT AND DELIVERY OF DESKTOP COMPUTERS OF BFP R4A FY 2020</t>
  </si>
  <si>
    <t xml:space="preserve"> Name of the Procuring Entity							Project Reference Number	7078308		 DENR-PENRO, Surigao del Norte							Name of the Project	SERVICE VEHICLE MAINTENANCE		 										 							Location of the Project	PENRO-SURIGAO DEL NORTE		 										 Standard Form Number</t>
  </si>
  <si>
    <t xml:space="preserve"> Solar Street Light</t>
  </si>
  <si>
    <t xml:space="preserve"> Republic of the Philippines Region IX, Zamboanga Peninsula   PROVINCE OF ZAMBOANGA DEL SUR  Municipality of Guipos -oOo- INVITATION TO BID  PROCUREMENT OF SPAREPARTS FOR 6D17 FUSO FIGHTER DUMPTRUCK AND 6D15 MITSUBISHI DUMPTRUCK 1.	The Municipality of Guip</t>
  </si>
  <si>
    <t xml:space="preserve"> Purchase of school and office supplies through alternative mode of procurement through shopping.</t>
  </si>
  <si>
    <t xml:space="preserve"> 1		pc.	Tarpaulin - material production, installation and dismantling services: 18.50  ft.  X  38.25 ft; 18oz tarp with all around seaming, eyelets, and ropes.		 1		pc.	Tarpaulin - material production, installation and dismantling services: 38.81  ft.  x  </t>
  </si>
  <si>
    <t xml:space="preserve"> Proposed Pathwalk Puring Gamosa, Copradia, Zone 6 San Felipe, Naga City</t>
  </si>
  <si>
    <t xml:space="preserve"> UPGRADING OF FLOORING AT DIRTY KITCHEN OF FEEDING ROOM</t>
  </si>
  <si>
    <t xml:space="preserve"> Invitation to Bid The Manila International Airport Authority, through its Bids and Awards Committee (BAC), invites contractors to apply for eligibility and if found eligible, to bid for the hereunder contract:  Name of Contract                            </t>
  </si>
  <si>
    <t xml:space="preserve"> The City Government of Ligao through its Bids and Awards Committee (BAC), now invites bids for the herein project: Name of Contract        :  Opening of Tuburan-Calzada-Bonga FMR Phase II Location                       : Tuburan,  Ligao City Brief Descrip</t>
  </si>
  <si>
    <t xml:space="preserve"> Republic of the Philippines RIZAL PROVINCIAL GOVERNMENT Antipolo City INVITATION TO BID  PURCHASE OF UTILITY VEHICLE The Rizal Provincial Government, through the General Fund intends to apply the sum of ₱3,450,000.00 as the Approved Budget for the Contrac</t>
  </si>
  <si>
    <t xml:space="preserve"> 2 units COVID-19 swabbing booth</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</si>
  <si>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</si>
  <si>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Invitation for Negotiated Procurement (Two Failed Biddings) Supply and Delivery of School Supplies and Equipment In view of the two (2) failed biddings, the LGU-Salcedo through its Bids and Awards Committee (BAC) invites interested bidders to participate </t>
  </si>
  <si>
    <t xml:space="preserve"> Purchase of construction supplies  by alternative mode of procurement through shopping</t>
  </si>
  <si>
    <t xml:space="preserve"> Name of the Procuring Entity							Project Reference Number	7078350		 DENR-PENRO, Surigao del Norte							Name of the Project	MAINTENANCE OF EIGHT (8) PA FACILITIES IN SIPLAS		 										 							Location of the Project	PASU-SIPLAS, SDN		 										 Standa</t>
  </si>
  <si>
    <t xml:space="preserve"> i. Luna Public Market Security Surveillance System ----------------------	178,000.00 ii. Legislative Building  Security Surveillance System --------------------	136,000.00 iii. Rural Health Unit  Security Surveillance System ---------------------	160,000.</t>
  </si>
  <si>
    <t xml:space="preserve"> Revised on May 24, 2004						 REQUEST FOR QUOTATION						 Provincial Government of Romblon						 						 				Date:        July 01, 2020		 				Quotation No.:    554		 						 To Our Valued Suppliers:						 						 	Please quote your lowest price on the items/</t>
  </si>
  <si>
    <t xml:space="preserve"> PROCUREMENT OF SCHOOL/ OFFICE SUPPLIES</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</si>
  <si>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</si>
  <si>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OPENING OF BIDS IN DSWD FO IX ZAMBOANGA CITY												 DELIVERY IN DSWD FO IX ZC												 PROCUREMENT FOR THE FF.												 																									 24 can AIR FRESHENER, aerosol, 280ml/150g min, in can, shrink wrapped, assorted scents												</t>
  </si>
  <si>
    <t xml:space="preserve"> Supply and Delivery of 21,300 Sets of Training Supplies and Materials in the Province of Bohol with the following inclusions per set: •	2 bottles of 150mL Antiseptic Disinfectant Alcohol •	2 bottles of 250mL Multi-Purpose Bleach (Disinfectant) •	1 pc. of </t>
  </si>
  <si>
    <t xml:space="preserve"> 1	set	biometric finger scanner</t>
  </si>
  <si>
    <t xml:space="preserve"> Name of the Procuring Entity							Project Reference Number	7078394		 DENR-PENRO, Surigao del Norte							Name of the Project	CONSULTANCY ON UPDATING OF SIPLAS GENERAL MANAGEMENT PLAN		 										 							Location of the Project	PASU-SIPLAS, SDN		 								</t>
  </si>
  <si>
    <t xml:space="preserve"> l.	The MUNICIPALITY OF GUINAYANGAN, QUEZON, through  the  2020 C.O.    intends to apply the sum of  One Hundred Sixty  Two Thousand Three Hundred Ten  Pesos                      (P 162,310.00) being the Approved Budget for the Contract (ABC) to payments u</t>
  </si>
  <si>
    <t xml:space="preserve"> ITB No. 2020-79 July 1, 2020 Republic of the Philippines Province of Davao Oriental CITY OF MATI INVITATION TO BID CONSTRUCTION OF ONE TOWN ONE PRODUCT (OTOP) AND ORGANIC TRADING PORT (OTP) Name of Project 1.	The City Government of Mati, through the 20% L</t>
  </si>
  <si>
    <t xml:space="preserve"> 172 bags Bangus feeds grower 30 bags Fry mash 5 bags Shrimp feeds (starter) 35 bags Shrimp feeds (grower) 10 bags Shrimp feeds (finisher)</t>
  </si>
  <si>
    <t xml:space="preserve"> Eco bag with print used for Womens Welfare Program</t>
  </si>
  <si>
    <t xml:space="preserve"> Relief Kit(face towel,powdered milk,vitamins,soap)</t>
  </si>
  <si>
    <t xml:space="preserve"> I. Specifications (Please see attached files @ Associated Components). II. Payment upon 100% completion of project. 10% Performance Security shall be deducted and will be refunded to the supplier after One (1) year of completion of the project. III. Penal</t>
  </si>
  <si>
    <t xml:space="preserve"> VEHICLE (Ambulance) Engine Specification: model 1GD-FTV- 2.8 Diesel M/T Engine tech 4 cylinders, in line type Type 16 valve DOHC Displacement 2,755 cc Maximum output 176/3400 Maximum tourque 420/1400-2600 Bore and stroke 92.0 x 103.6 Compression ratio 15.</t>
  </si>
  <si>
    <t xml:space="preserve"> Request for Quotation 2	ea	Ball Joint 2	set	Compressor 1	set	Evaporator 3	set	Condenser 1	set	Front Suspension 2	ea	Ball Joint Upper 6	ea	Rack End 6	ea	Tie Rod End 3	ea	Oil Filter 1	ea	Converter 4	ea	Heater plug 4	set	Brake Pad 1	assy	Fuel Pump 2	ea	Cross</t>
  </si>
  <si>
    <t xml:space="preserve"> INVITATION TO BID FOR NMC &amp; PASUQUIN EXTENSION RIS, PACKAGE 3; REMAINING WORKS ; CLIMATE CHANGE ADAPTATION WORKS (CCAW) FUND; CY 2019 REFERENCE NO. INIMO-2020-06-041 1.	The National Irrigation Administration –Ilocos Norte Irrigation Management Office, thr</t>
  </si>
  <si>
    <t xml:space="preserve"> see attached documents</t>
  </si>
  <si>
    <t xml:space="preserve"> Procurement of Drugs and Medicines for RHU Night Shift Duty</t>
  </si>
  <si>
    <t xml:space="preserve"> 8	Unit 	Photocopier 		General 		•Warm Up time: 31 Seconds 		•First Output speed:8.8 seconds 		• Continous Output Speed: 20 pages per minute 		• Weight: 33.5 kg 		Scan 		• File Format: TIF,JPEG,PDF 		• Scan to: Email/Folder (Option) 		Copier 		• Copying Pr</t>
  </si>
  <si>
    <t xml:space="preserve"> INVITATION TO BID FOR THE REBIDDING OF SUPPLY AND DELIVERY OF VARIOUS LABORATORY SUPPLIES AND CONSUMABLES (32 items) 1.	The Department of Agriculture Regional Field Office 1 (DA RFO-1), through the GAA FY 2020 intends to apply the sum of Six Hundred Twent</t>
  </si>
  <si>
    <t xml:space="preserve"> Republic of the Philippines DEPARTMENT OF PUBLIC WORKS AND HIGHWAYS NORTHERN SAMAR FIRST  DISTRICT ENGINEERING OFFICE REGIONAL OFFICE VIII Catarman, N. Samar INVITATION TO APPLY FOR ELIGIBILITY AND TO BID The DPWH Northern Samar 1st District Engineering O</t>
  </si>
  <si>
    <t xml:space="preserve"> REQUEST FOR QUOTATION No. 2020-379                                                                                                                                 	   Request Reference Number: 100-20-04-188         Date: July 1, 2020 Pursuant to R.A. 9184</t>
  </si>
  <si>
    <t xml:space="preserve"> 1.	The Mindanao State University-Tawi-Tawi College of Technology and Oceanography (MSU-TCTO), through the General Appropriations Act (GAA) 2020  intends to apply the sum of One Million Six Hundred Thousand Pesos and  0/100 Centavos (PhP1,600,000.00) being</t>
  </si>
  <si>
    <t xml:space="preserve"> G.I PIPE 2 ½’’ S 40 14 PCS	 	LED BULB 16 WATTS 70PCS	 	G,I PIPE ¾’S 40 14PCS	 	10 MM STEEL BAR 30PCS	 	9 MM STEEL BAR 30PCS	 	4X4 RECEPTACLE 95PCS	 	G.I. SHEET GAUGE 18 2PCS	 	3/16 X 1 FLAT BAR 10PCS	 	ELECTRIC TAPE BIG 5PCS	 	STRANDED WIRE #14 3BOXES	 	3</t>
  </si>
  <si>
    <t xml:space="preserve"> 1	set	Continuous Printer 2	bottle	Epson L220 ink refill Black  2	bottle	Epson L220 ink refill Yellow 2	bottle	Epson L220 ink refill Magenta  2	bottle	Epson L220 ink refill Cyan 10	ream	Book Paper (Sub 20 short) 3	pouch	Laminating Film (short) 10	piece	Bro</t>
  </si>
  <si>
    <t xml:space="preserve"> REQUEST FOR QUOTATION RFQ No. A-020-2020 _____________________________ Name of Dealer/Supplier/Distributor _____________________________ Business Address 	Please quote your lowest price on the item/s listed below, stating the shortest time of delivery and</t>
  </si>
  <si>
    <t xml:space="preserve"> LABORATORY CHEMICALS AND SUPPLIES (3 items) 1.	The Department of Agriculture Regional Field Office 1 (DA RFO-1), through the GAA FY 2020 intends to apply the sum of Thirty-Six Thousand Four Hundred Pesos (PhP36,400.00) being the Approved Budget for the Co</t>
  </si>
  <si>
    <t xml:space="preserve"> Improvement of Barangay Health Center</t>
  </si>
  <si>
    <t xml:space="preserve"> Particulars: 18280 liters Diesel Please download the linkage below For the complete bidding documents.</t>
  </si>
  <si>
    <t xml:space="preserve"> Please see attached RFQ and Technical Specifications</t>
  </si>
  <si>
    <t xml:space="preserve"> Please see attached Request for Quotation and Technical Specifications</t>
  </si>
  <si>
    <t xml:space="preserve"> Province of Agusan del Sur Municipality of Rosario Barangay Sta. Cruz Invitation to Bid for CONSTRUCTION OF TRIBAL CENTER 1. The Barangay Sta. Cruz Local Government Unit, through the Government of the Philippines, General Appropriation Act 2018 intends to</t>
  </si>
  <si>
    <t xml:space="preserve"> Training Expense</t>
  </si>
  <si>
    <t xml:space="preserve"> Rpr &amp; Maint Motor Vehicles</t>
  </si>
  <si>
    <t xml:space="preserve"> Please download attached file in the associated component area for the list of supplies/materials and scope of work.</t>
  </si>
  <si>
    <t xml:space="preserve"> Pencil Eraser Sharpener Notebook Whiteboard Marker Masking Tape Permanent Marker Corrugated Box Packaging Tape Plastic Twine Wrapping Paper Shoelace Ballpen  A4 Bond Paper Letter Bond Paper F4 Bond Paper Ink/Toner Duplo Ink Master Roll</t>
  </si>
  <si>
    <t xml:space="preserve"> QUARTERLY PREVENTIVE MAINTENANCE SERVICES OF CLOSED CIRCUIT TELEVISION (CCTV) FOR 3rd AND 4th QUARTERS AT VARIOUS SSS BRANCH OFFICES UNDER LUZON CENTRAL 2 DIVISION (SSS Angeles, Baliuag, Bocaue, Malolos, Meycauayan, Olongapo &amp; Pampanga Branch Offices) *Pl</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</si>
  <si>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</si>
  <si>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1	bottle	Epson L220 ink refill Black  1	bottle	Epson L220 ink refill Yellow 1	bottle	Epson L220 ink refill Magenta  1	bottle	Epson L220 ink refill Cyan 6	ream	Book Paper (Sub 20 long) 1	box	Staple Wire no.35 1	pc	External hard drive 1tb 1	pc	Bluetooth tro</t>
  </si>
  <si>
    <t xml:space="preserve"> 10 units LCD PROJECTOR TECHNOLOGY Projection System 3LCD Technology LCD Panel 0.55 inch with D7 IMAGE Colour Light Output 3,200 lumen-2,240 lumen (economy) In accordance with IDMS15.4 White Light Output 3,200 lumen - 2,240 lumen (economy) In accordance wi</t>
  </si>
  <si>
    <t xml:space="preserve"> Name of the Procuring Entity							Project Reference Number	7078436		 DENR-PENRO, Surigao del Norte							Name of the Project	INFRA. NETWORK POINT TO POINT WIRELESS CONNECTION		 										 							Location of the Project	PENRO-SDN		 										 Standard For</t>
  </si>
  <si>
    <t xml:space="preserve"> REPUBLIC OF THE PHILIPPINES PROVINCE OF CEBU MUNICIPALITY OF PINAMUNGAJAN Invitation to Bid for : CONSTRUCTION OF NEW MUNICIPAL CEMETERY 						 1. The MUNICIPALITY OF PINAMUNGAJAN, through the GENERAL FUND  intends to apply the sum of  FOUR  MILLION PESOS</t>
  </si>
  <si>
    <t xml:space="preserve"> REPAIR AND MAINTENANCE MOTOR VEHICLE</t>
  </si>
  <si>
    <t xml:space="preserve"> Republic of the Philippines Province of Albay Municipality of Sto. Domingo Bids and Awards Committee Request for Quotation: 06-08-2020 	 The LGU- Sto. Domingo, Albay through its Bids and Awards Committee (BAC) invites Suppliers/Manufacturer/Distributors f</t>
  </si>
  <si>
    <t xml:space="preserve"> Laptop- 2 Units Technical Specification: • Processor: 1.60 GHz up to 3.40 GHz (4 cores; 8 Threads) or higher • Storage: 250 SSD + 1TB HDD • Memory: 8GB • Monitor: 15.6” Display • Software: Windows 10 Pro  • Hardware: HDMI, USB 2.0/3.0, Ethernet Port (keyb</t>
  </si>
  <si>
    <t xml:space="preserve"> REQUEST FOR QUOTATION (RFQ) Date: June 30, 2020 R.I.S. No.:	20-88-047 Gentlemen:			 Please submit your lowest price quotation (including taxes and government discounts) on charged account basis, on the following supplies/materials/ equipment or labor for </t>
  </si>
  <si>
    <t xml:space="preserve"> PURCHASE OF MOVABLE TENTS FOR ISOLATION, SIKATUNA, BOHOL</t>
  </si>
  <si>
    <t xml:space="preserve"> Accomplished RFQ's must be received by the BAC SECRETARIAT of the PROCURING ENTITY at Department of Agriculture-RSO IX, Zamboanga City, on or before the deadline of submission.							 ABC:	853,100.00	 Delivery Period:		30 days Delivery Site:		DA RSO IX - </t>
  </si>
  <si>
    <t xml:space="preserve"> Project Name : Supply and Delivery of Medical /Medical Instrument School Year 2020 - 2021  Approved Budget of Contract ( ABC ) : Php 4,850.00 Area of Delivery : Gulod Elementary School, Gulod, Cabuyao City, Laguna Date of Submission and Opening of Quotati</t>
  </si>
  <si>
    <t xml:space="preserve"> ¬ REQUEST FOR QUOTATION (RFQ)  SUPPLY AND DELIVERY OF ETHANOL ALCOHOL RFQ NO. EMB-EMB-PGSS 090-06-30-2020 PR NO.2020-0628    1.	The Department of Environment and Natural Resources – Environmental Management Bureau (DENR-EMB) hereinafter referred to as the</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</si>
  <si>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</si>
  <si>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</si>
  <si>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The Provincial Government of Laguna through its Bids and Awards Committee (BAC) invites suppliers/manufacturers/distributors/contractors to submit quotations for the hereunder project:  Name of Project	:	Medical Supplies for Laguna Chest Center Location	:</t>
  </si>
  <si>
    <t xml:space="preserve"> Internet Subscription Expenses</t>
  </si>
  <si>
    <t xml:space="preserve"> ITEM I - SNACKS - 90pax x 50 per snack x 2(AM/PM) x 5 days = 45,000.00 ITEM II - LUNCH - 90pax x 150 per meal x 5 days = 67,000.00 ITEM III - MEAL FOR VISITORS - 10pax x 200 per meal x 2(Breakfast/Dinner) x 5 days = 20,000.00 ITEM IV - ACCOMMODATION - 5 r</t>
  </si>
  <si>
    <t xml:space="preserve"> LOT 1		ABC= 2,597,200.00 1	51,944	Liter	Diesel Fuel 			 			•Winning supplier shall install at the General Services one (1) unit tank for diesel and fuel with total capacity of 16,000 liters and one (1) unit fuel pump for free us of the end-user for the du</t>
  </si>
  <si>
    <t xml:space="preserve"> Name of the Procuring Entity					"Project Reference Number Name of the Project Location of the Project"					 PHILIPPINE PORTS AUTHORITY, PMO MO/C										 Standard Form Number: SF-GOOD-60										 Revised on: May 24, 2004										 Standard Form Title: </t>
  </si>
  <si>
    <t xml:space="preserve"> Procurement of Airconditioner					 					 Purchase Requested by the City Auditor's Office, Tabaco City					 					 To Interested Suppliers, Manufacturers and Distributors,					 					 Please quote your lowest price/s on the lot or item/s  below, subject to T</t>
  </si>
  <si>
    <t xml:space="preserve"> The DPWH Neg. Occ. 4th District Engineering Office, Bago City, Neg. Occ., through its Bids and Awards Committee (BAC), invites contractors to submit bids for the following Contracts: 1.	Contract ID No.:       	20GN0092 	Contract Name:  	Concreting of Brgy</t>
  </si>
  <si>
    <t xml:space="preserve"> Republic of the Philippines Province of Agusan del Norte Municipality of Nasipit BIDS AND AWARDS COMMITTEE June 30, 2020 REQUEST for QUOTATION The Local Government Unit of Nasipit, through its Bids and Awards Committee (BAC) will undertake a Small Value P</t>
  </si>
  <si>
    <t xml:space="preserve"> Supply and delivery of labor and materials for the repair of FLGC Warehouse covering the replacement of damaged canopy roofings, provision of new main gate, concreting and installation of concrete fence and repair of perimeter fence with barbed wire.</t>
  </si>
  <si>
    <t xml:space="preserve"> Please quote your lowest price on the SUPPLY AND DELIVERY OF TIRES  FOR  MONTERO OF VICE-MAYOR’S OFFICE  as specified below and submit your quotation duly signed by your representative not later than 2pm of       JULY 8, 2020 				 					 								    LEONOR</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</si>
  <si>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</si>
  <si>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Republic of the Philippines  Department of  Science and Technology  Regional Office No. IX  Pettit Barracks,   Zamboanga  City Tel. Nos. (062) 992-1114; (062) 991-1024 INVITATION TO BID SUPPLY AND DELIVERY OF CARTRIDGE KIT FOR BARNSTEAD E-PURE SYSTEM PR-2</t>
  </si>
  <si>
    <t xml:space="preserve"> STREET LIGHTING  - 5 POST</t>
  </si>
  <si>
    <t xml:space="preserve"> Proposed Road Reblocking Custodio St. Bagong Sirang San Felipe, Naga City</t>
  </si>
  <si>
    <t xml:space="preserve"> 295 - Participants ( AM/PM Snacks &amp; Lunch) 1st Batch ---------- July 6 - 8, 2020 2nd Batch --------- July 9-11, 2020</t>
  </si>
  <si>
    <t xml:space="preserve"> REPIPING AND REHABILITATION OF WATER LINE</t>
  </si>
  <si>
    <t xml:space="preserve"> Communication load</t>
  </si>
  <si>
    <t xml:space="preserve"> Philippine Science High School – Central Luzon Campus (PSHS-CLC) wishes to invite proponent for the Procurement for the Provision of Calibration Services of Various Science Laboratory Equipment for SY 2020-2021 of PSHS-CLC with ABC of Seventy-Five Thousan</t>
  </si>
  <si>
    <t xml:space="preserve"> Supply and Delivery of 3,612 sets of Peerless Box for Pag-IBIG Fund Specifications: Box Dimension: 0.31m x 0.38m x 0.25m (12” x 15” x 10”) Logo: 3.0” x 3.0” Box No.: 1.5” x 4.0” Period Covered: 1.5” x 4.0” Record Title: 1.5” x 11.5” Creation Date: 1.5” x </t>
  </si>
  <si>
    <t xml:space="preserve"> 6"Ø Sleeve Type Coupling, CI - 6 pcs 6" x 6" Ø CI, Tee (M/M) - 2 pcs 6" x 90˚ CI, Elbow (M/M) - 2 pcs 6"Ø CI, End Cap - 	2 pcs 6"Ø Gate Valve, CI - 1 pcs 1- LOT CONDITIONS: 1. All fittings should conform to the specifications of the district. 2. Suppliers</t>
  </si>
  <si>
    <t xml:space="preserve"> 1 sala set</t>
  </si>
  <si>
    <t xml:space="preserve"> Project Name : Supply and Delivery of Personal Care Products School Year 2020 - 2021  Approved Budget of Contract ( ABC ) : Php 57,085.00 Area of Delivery : Gulod Elementary School, Gulod, Cabuyao City, Laguna Date of Submission and Opening of Quotation :</t>
  </si>
  <si>
    <t xml:space="preserve"> R/M</t>
  </si>
  <si>
    <t xml:space="preserve"> Printing Services for the 2020 CPH</t>
  </si>
  <si>
    <t xml:space="preserve"> Deadline of Submission of Quotation: July 8, 2020, 2:00 PM Opening of Quotation: July 8, 2020, 3:00 PM at the BAC Office</t>
  </si>
  <si>
    <t xml:space="preserve"> REPAIR AND MAINTENANCE BUILDING</t>
  </si>
  <si>
    <t xml:space="preserve"> Republic of the Philippines Province of Albay Municipality of Rapu-Rapu Barangay Buenavista INVITATION TO BID FOR THE 20% EDF CY 2019 PROJECTS 1.	The Barangay Local Government Unit of Buenavista, Rapu-Rapu, Albay, through the Budget for the Contract Appro</t>
  </si>
  <si>
    <t xml:space="preserve"> ITEM DESCRIPTION - HONDA XRM 125CC MOTORCYCLE ABC - 70,000.00Php</t>
  </si>
  <si>
    <t xml:space="preserve"> The Barangay 76 Zone 10, through its Bids and Awards Committee (BAC) invites suppliers/manufacturers/distributors/contractors to apply and submit sealed bids for Proposed Construction of Concrete Pedestal, Supply and Installation of Lighting Facilities Ph</t>
  </si>
  <si>
    <t xml:space="preserve"> Maintenance, Repair and Rehabilitation of Infrastructure Facilities and Other Related Activities - Public Buildings: Repair/ Maintenance of DOJ Building National Bureau Investigation Office Building North Drive, Baguio City Contract Location :	Baguio City</t>
  </si>
  <si>
    <t xml:space="preserve"> Republic of the Philippines Province of Camarines Sur MUNICIPALITY OF LAGONOY BIDS AND AWARDS COMMITTEE INVITATION TO BID/REQUEST FOR EXPRESSION OF INTEREST The Municipal Government of Lagonoy, through its Bids &amp; Awards Committee (BAC) invites suppliers/ </t>
  </si>
  <si>
    <t xml:space="preserve"> 1. 1 unit 6’ x 8’ Tarpaulin Printing ( Project Billboard) 2. 2 unit 2’ x 6’ Tarpaulin Printing ( Warning Sign Board) 3. 10 pcs. 2 x 2 x 10 Good Lumber – 33.33 bd.ft. 4. 6 pcs. 2 x 3 x 10 Good Lumber – 30.00 bd.ft 5. 34 pcs. 2 x 2 x 10 Good Lumber ( for bo</t>
  </si>
  <si>
    <t xml:space="preserve"> Request for Qoutation The Municipality of Sta. Rita now invites Suppliers to submit Bids for the CATERING SERVICES FOR THE DISTRIBUTION OF FARMERS ASSISTANCE. The Approved Budget Cost is One Hundred Thousand Pesos (Php100,000.00). Said prospective supplie</t>
  </si>
  <si>
    <t xml:space="preserve"> INVITATION TO BID for PURCHASE OF ONE (1)   RESCUE VEHICLE (MULTICAB) WITH ESSENTIAL RESCUE EQUIPMENT The Municipality of Tingloy, through the LDRRMF FUND  intends to apply the sum of FOUR HUNDRED THOUSAND PESOS (PHP 400,000.00) being the Approved Budget </t>
  </si>
  <si>
    <t xml:space="preserve"> PROCUREMENT AND DELIVERY OF GENERATOR SETS OF BFP R4A FY 2020</t>
  </si>
  <si>
    <t xml:space="preserve"> INVITATION TO BID for PURCHASE OF ONE (1)    FIRETRUCK ( MULTICAB) WITH FIRE RESCUE EQUIPMENT 1.The Municipality of Tingloy, through the LDRRMF FUND  intends to apply the sum of FIVE HUNDRED THOUSAND PESOS (PHP 500,000.00) being the Approved Budget for th</t>
  </si>
  <si>
    <t xml:space="preserve"> 4 pcs. 1 1/2'' dia. G.I Pipe S40 1 pc. Pipe wrench 36'' 1 pc. Pipe chain wrench 36'' 4 pcs. 1 1/2'' dia. G.I Coupling  1 pail Chlorine 1 roll 1/2 dia. P.E pipe</t>
  </si>
  <si>
    <t xml:space="preserve"> Printing of Progestin Sub-Dermal Implant (PSI) Individual Box Sticker Label Project Specification/Details:  Size: 1x3 inches  Font: Akrobat  Font Size:  (NOT FOR SALE) #23  (POPCOM and Philippine Government Property) #13.4  Type of Sticker: Glossy </t>
  </si>
  <si>
    <t xml:space="preserve"> Purchased of COVID Response Items for safety and precautionary measures against the COVID 19 pandemic</t>
  </si>
  <si>
    <t xml:space="preserve"> SUPPLY AND DELIVERY OF MICRONUTRIENT POWDER FOR THE IMPLEMENTATION OF SUPPLEMENTARY FEEDING PROGRAM DURING COMMUNITY QUARANTINE (9TH CYCLE CONTINUATION) PROJECT ID NO: DSWD4B-2020-012   1.	The Department of Social Welfare and Development MIMAROPA Region t</t>
  </si>
  <si>
    <t xml:space="preserve"> Installation of 14 units solar streetlights at various sitios</t>
  </si>
  <si>
    <t xml:space="preserve"> INVITATION TO BID for PURCHASE OF ONE (1)   MULTIPURPOSE (MULTICAB)  VEHICLE  1.The Municipality of Tingloy, through the LDRRMF FUND  intends to apply the sum of THREE HUNDRED THOUSAND PESOS (PHP 300,000.00) being the Approved Budget for the Contract (ABC</t>
  </si>
  <si>
    <t xml:space="preserve"> Republic of the Philippines										 Department of Public Works and Highways										 Quezon 1st District Engineering Office										 Brgy. Abang, Lucban, Quezon										 	Name of procuring Entity :					 Request for Quotation (P.R. No.)  :			2020-06-1</t>
  </si>
  <si>
    <t xml:space="preserve"> 304th Contracting Office										 ARMED FORCES OF THE PHILIPPINES PROCUREMENT SERVICE										 Naval Station Leovigildo Gantioqui 										 San antonio, Zambales										 										 REQUEST FOR QUOTATION 										 										 01 July 2020						RFQ NO:</t>
  </si>
  <si>
    <t xml:space="preserve"> DPWH, Isabela City District Engineering Office Tabuk, Isabela City, Basilan Province INVITATION TO BID The DPWH Isabela City District Engineering Office, through its Bids and Awards Committee (BAC), invites contractors to submit bids for the following Con</t>
  </si>
  <si>
    <t xml:space="preserve"> 40 pk Assorted Candies, 50s &amp; 18 L/I</t>
  </si>
  <si>
    <t xml:space="preserve"> 105 rm Paper, Copier, A4 &amp; 14 L/I</t>
  </si>
  <si>
    <t xml:space="preserve"> 35 cn Insecticide, Aerosol can spray &amp; 14 L/I</t>
  </si>
  <si>
    <t xml:space="preserve"> Paper: White Paper - GSM 70 Print: 1-side printing Paper Size: A4 SORTED STAPLED 3x at the left side Bookbinded Grade 7  Total No. of pages: 273 No. of copies: 725 Grade 8 Total No. of pages: 282 No. of copies: 701 Grade 9 Total No. of pages: 276 No. of c</t>
  </si>
  <si>
    <t xml:space="preserve"> 5 rolls P,E Pipe 1'' dia. 5 pcs. 1'' dia. Union patente 3 pcs. 1 1/2'' x 1'' dia. Elbow reducer 3 pcs. 1'' dia. Elbow 4 unit jecmatic pump 2 pcs. pitcher pump 3 pcs. foot valve 4 pcs. 1 1/4'' dia. Check valve 4 pcs. 1'' dia. check valve 2 pcs. pipe wrench</t>
  </si>
  <si>
    <t xml:space="preserve"> A12 300Mbps Repeater Range Extender	7 pcs Uninterruptible power supply (UPS)	7 pcs Smart TV 32"	4 pcs Printer Scan legal paper, Refill Tank System, Wifi, Mobile-Print, ADF Print, Scan and Copy with Built-in Wireless Borderless Printing	10 pcs 500GB Hard D</t>
  </si>
  <si>
    <t xml:space="preserve"> Appendix 60	 					 PURCHASE REQUEST 					 					 Entity Name: 	TESDA RO V		Fund Cluster: 		 					 Office/Section :  		 PR No.: 2020-06-PR 021 		Date: 	 FASD		Responsibility Center Code : 16-009-03-00005-97		June 30, 2020	 "Stock/  Property No."	Unit 	Item </t>
  </si>
  <si>
    <t xml:space="preserve"> City Government of La Carlota								          Standard Form Number: SF-GOOD-59 Revised on: May 24, 2004 Standard Form Title: REQUEST FOR QUOTATION 												Date: ______________												              Quotation No.________ Company Name Address 	Pleas</t>
  </si>
  <si>
    <t xml:space="preserve"> 2  pcs  Tire 13.00 x 24</t>
  </si>
  <si>
    <t xml:space="preserve"> Republic of the Philippines Office of the Municipal Mayor BIDS AND AWARDS COMMITTEE Sual, Pangasinan Invitation to Bid for PROCUREMENT OF OFFICE SUPPLIES AND EQUIPMENT (MPDO) Sual, Pangasinan 1.	The Municipal Government of Sual, Pangasinan, through the 20</t>
  </si>
  <si>
    <t xml:space="preserve"> RGMO			 TRACTOR (MF 445) 			 1	kit	2	Tie Rod End 2	kit	2	Rack End 3	pcs	2	Packing Seal 4	pcs	2	Dust Steal 			 TRACTOR (MF 460 4WD)			 1	kit	2	Steering Arm (Tierod End) 2	set	1	Fuel Pump Assy 3	pcs	2	Quick Release Valve 4	pc	1	Crankshaft Oil Seal (Front) 5</t>
  </si>
  <si>
    <t xml:space="preserve"> 25 ea Pen, Sign Blue &amp; 29 L/I</t>
  </si>
  <si>
    <t xml:space="preserve"> Repair of the University Homestay 1	30	pcs	Ordinary Corrugated Color Roofing (green),0.4 mm thkx6mx1.0m effective width 2	10	pcs	Plain Sheet Color Rooofing (Green),0.4 mm thk x 1.2m x 2.4m 3	30	pcs	Spanish Gutter Color Roofing (green),0.4 mm thk x 2.4m 4	</t>
  </si>
  <si>
    <t xml:space="preserve"> JOSE B. LINGAD MEMORIAL REGIONAL HOSPITAL City of San Fernando, Pampanga Tel. No. (045) 961-3921 Date: July 01, 2020 No. 2020 – 07 - 205-S REQUEST FOR QUOTATION (Name of Agency) (Address) Sir/Madam: Please quote your lowest price on the item/s listed belo</t>
  </si>
  <si>
    <t xml:space="preserve"> Paper: White Paper - GSM 70 Print: 1 side printing Paper Size: A4 SORTED STAPLED    3x at the left side Bookbinded Grade 11 (GAS) Total No. of pages: 336 No. of copies: 217 Grade 11 (ABM) Total No. of pages: 333 No. of copies: 164 Grade 12 (ABM) Total No.</t>
  </si>
  <si>
    <t xml:space="preserve"> PROCUREMENT OF CELL PHONE WITH SPECS OF 500 MAH BATTERY , 3 GB RAM + 32 GB ROM, QUAL  COMM. OCTA CORE PROCESSOR, 6.35 INCHES HALO FULL VIEW DISPLAY, FINGER PRINT SCANNING. FOR FURTHER DETAILS VISIT THE BARANGAY</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</si>
  <si>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</si>
  <si>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10       boxes       Paracetamol 70       bottles      Paracetamol Syrup 100     bottles      Ambroxol Syrup 10       boxes       Mefenamic Acid 7         boxes       Lozartan 100mg 7         bottles      Tarbutamol Polmoxel 30ml 10       boxes       B Co</t>
  </si>
  <si>
    <t xml:space="preserve"> Purchase of Rescue Equipment</t>
  </si>
  <si>
    <t xml:space="preserve"> SPL-1 REMOVAL AND RE-INSTALLATION OF REPAINTED G.I SHEETS ROOFING  SPL-2 TOTAL REPLACEMENT OF CEILING AND CEILING JOIST AT GROUND FLOOR AND SECOND FLOOR SPL-3 SELECTED REPLACEMENT OF DILAPIDATED PLYWOOD FLOORING AND WALLING &amp; PARTITIONS WALLS SPL-4 APPLIC</t>
  </si>
  <si>
    <t xml:space="preserve"> SMALL VALUE PROCUREMENT (REQUEST FOR QUOTATION/PROPOSALS) July 1, 2020 The Bureau of Jail Management and Penology National Capital Region, through its Bids and Awards Committee (BAC), invites suppliers/ manufacturers/distributors/contractors to quote the </t>
  </si>
  <si>
    <t xml:space="preserve"> 103 EXCAVATION 104 BACKFILL 404 REINFORCING STEEL BARS 405 STRUCTURAL CONCRETE CLASS "A" 704 MASONRY WORKS 1002 PLUMBING WORKS 1003 ROOFING WORKS 1018 TILE WORKS 1027 PLASTERING WORKS 1032 PAINTING WORKS 1100-01 ELECTRICAL WORKS SPL-1 FORMS AND SCAFFOLDIN</t>
  </si>
  <si>
    <t xml:space="preserve"> Republic of the Philippines Province of Leyte Municipality of Mahaplag BARANGAY CAMPIN Invitation to bid for the Procurement of Materials for the Road Reblocking 1. The Barangay Campin of Mahaplag, Leyte, through the 20% EDF intends to apply the sum of Ph</t>
  </si>
  <si>
    <t xml:space="preserve"> Please see attached Bid Documents</t>
  </si>
  <si>
    <t xml:space="preserve"> 1	set	1	Supply and Installation of 50KVA Silent Type 			Generator Set with ATS and Canopy 			220V @60Hz, Prime KVA: 50KVA 			Standby KVA: 55KVA, Phase:3,RPM:1500 			Engine: Diesel Turbo, Dimension 			LXWXH 2350mmx900mmx1150mm 			Weight -1 Ton, Tank Capaci</t>
  </si>
  <si>
    <t xml:space="preserve"> HARDWARE AND CONSTRUCTION SUPPLIES	 				 SQUARE BAR for grills          20	pcs FLAT BAR				 10	pcs Marine plywood 1/4		40	pcs Coco lumber 2x2x10		40	pcs</t>
  </si>
  <si>
    <t xml:space="preserve"> 1.	The Tourism Promotions Board through the 2020 Approved Corporate Operating Budget intends to apply the sum of Nine Million Nine Hundred Ten Thousand Pesos Only (PhP9,910,000.00)  being the Approved Budget for the Contract (ABC) to payments under the co</t>
  </si>
  <si>
    <t xml:space="preserve"> contractors to quote the lowest government price for hereunder project Name of the Project	Procurement of COVID-19 Response Items (Surgical Face Masks and Surgical Gloves) for BJMP-NCR Approved Budget for the Contract	 Three Hundred Eighty Five Thousand F</t>
  </si>
  <si>
    <t xml:space="preserve"> The DPWH Nueva Ecija 1st DEO, through its Bids and Awards Committee (BAC), invites contractors to submit bids for the following contract:			 				 	20CE0234: Construction of Multi-Purpose Building with Covered Court, Zaragoza, Nueva Ecija			 				 				 	CON</t>
  </si>
  <si>
    <t xml:space="preserve"> Republic of the Philippines MUNICIPALITY OF BUNAWAN, AGUSAN DEL SUR Invitation to Bid/ Instruction to Bidders PURCHASE OF RICE PLANTER USE TO SUPPORT RICE PRODUCTION FOR THE MUNICIPALITY OF BUNAWAN July 01, 2020 1.	The Municipality of Bunawan, now invite </t>
  </si>
  <si>
    <t xml:space="preserve"> Republic of the Philippines        NATIONAL FOOD AUTHORITY                 Cebu Provincial Office Banilad, Cebu City                     REQUEST FOR QUOTATION RE-NEGOTIATED Procurement SMALL VALUE PROCUREMENT  Ref: Small Value Procurement Invitation No. 2</t>
  </si>
  <si>
    <t xml:space="preserve"> The DPWH Nueva Ecija 1st DEO, through its Bids and Awards Committee (BAC), invites contractors to submit bids for the following contract:			 				 	20CE0236: Replacement of Permanent Weak Bridges Amawinan Br. (B01981LZ) along Daang Maharlika (LZ)			 				 	</t>
  </si>
  <si>
    <t xml:space="preserve"> The DPWH Nueva Ecija 1st DEO, through its Bids and Awards Committee (BAC), invites contractors to submit bids for the following contract:			 				 	20CE0235: Widening of Permanent Bridges Manicla Br. (B01968LZ) along Daang Maharlika (LZ)			 				 				 	CONT</t>
  </si>
  <si>
    <t xml:space="preserve"> Supply and Delivery of the following DRRM Rescue Vehicles: 1. 6 units DRRM Rescue Vehicle, pick-up body type, 4x4 Manual Transmission with the following specifications: Model 2020, colors Silver Metallic, Gray Metallic, Crimson Spark Red, Orange Metallic,</t>
  </si>
  <si>
    <t xml:space="preserve"> VARIOUS CONSTRUCTION MATERIALS</t>
  </si>
  <si>
    <t xml:space="preserve"> ITEM    DESCRIPTION                                 QTY.        UNIT I.         EXCAVATION           II.        LIGHTING POST &amp; INSTALLATION             OF WIRING &amp; LIGHTING                  50    LN.M</t>
  </si>
  <si>
    <t xml:space="preserve"> Please see attached Terms of Reference</t>
  </si>
  <si>
    <t xml:space="preserve"> SOURCE OF FUND: MOOE 2020 ITEMS: 1. SCHOOL BAGS = 750pcs 2. WRITING NOTEBOOK = 4,000pcs 3. SPRING NOTEBOOK = 4,000pcs 4. PENCIL = 600pcs 5. BALLPEN = 500pcs 6. GRADE 1 PAPER = 300pad 7. GRADE 2 PAPER = 200pad 8. GRADE 3 PAPER = 200pad 9. GRADE 4 PAPER = 2</t>
  </si>
  <si>
    <t xml:space="preserve"> Black with PSA name and 2020 CPH Logo, 14"x12" Landscape Format and covered in leatherette with Plastic Stopper</t>
  </si>
  <si>
    <t xml:space="preserve"> ELECTRIFICATION</t>
  </si>
  <si>
    <t xml:space="preserve"> Republic of the Philippines BARANGAY SAN CARLOS OFFICE OF THE PUNONG BARANGAY BIDS AND AWARDS COMMITTEE INVITATION TO BID The Barangay Government of BARANGAY SAN CARLOS through its Bids and Awards Committee (BAC), invites suppliers/manufacturers/distribut</t>
  </si>
  <si>
    <t xml:space="preserve"> Republic of the Philippines Province of Leyte Municipality of Kananga BARANGAY LIM-AO 1.	The Barangay Government of Lim-ao, Kananga, Leyte, through its BIDS AND AWARDS COMMITTEE (BAC),through the DOE ER 1-94 Fund intends to apply the sum of One Million Si</t>
  </si>
  <si>
    <t xml:space="preserve"> Lot 1 - Improvement of Feeding Area Kitchen - PhP 18, 745.00 Lot 2 - Repiping of the School Water System - PhP 16, 358.00 Lot 3 - Repair of Ceiling of Room H5 - PhP 20, 980.00 Lot 4 - Repair of Wirings of Room H5 - PhP 3, 688.00 Lot 5 - Repair of Perimete</t>
  </si>
  <si>
    <t xml:space="preserve"> Republic of the Philippines DEPARTMENT OF PUBLIC WORKS AND HIGHWAYS BATANGAS III DISTRICT ENGINEERING OFFICE REGIONAL OFFICE IV-A J. Gonzales St., Barangay 4, Tanauan City REQUEST FOR EXPRESSION OF INTEREST (CONSL-2020-02) for the 20CSDD02 - Consultancy S</t>
  </si>
  <si>
    <t xml:space="preserve"> Procurement of supplies to be used in modular learning...</t>
  </si>
  <si>
    <t xml:space="preserve"> To supply and deliver at BFAR 3 Office: 20 pads Multipurpose copy paper (A4, 70gsm) 20 pads Multipurpose copy paper (Legal, 70gsm) 5 bot Ink Epson L3150 Black (65ml) 5 bot Ink Epson L3150 Cyan (65ml) 5 bot Ink Epson L3150 Yellow (65ml) 5 bot Ink Epson L31</t>
  </si>
  <si>
    <t xml:space="preserve"> Procurement of Semi-Expandable Equipment to be used in modular learning...</t>
  </si>
  <si>
    <t xml:space="preserve"> Republic of the Philippines BARANGAY BAGONG POOK OFFICE OF THE PUNONG BARANGAY BIDS AND AWARDS COMMITTEE INVITATION TO BID The Barangay Government of BARANGAY BAGONG POOK through its Bids and Awards Committee (BAC), invites suppliers/manufacturers/distrib</t>
  </si>
  <si>
    <t xml:space="preserve"> INVITATION TO BID  REHABILITATION OF POBLACION WATER SYSTEM LGU-GIGMOTO, CATANDUANES 		 June 30, 2020 1.	The Municipal Government of Gigmoto, through CY 2020 20% EDF intends to apply the sum of Seven Hundred Sixty Two Thousand Two Hundred Eighty Four Peso</t>
  </si>
  <si>
    <t xml:space="preserve"> Item No.	Unit	ITEM DESCRIPTION				Qty.	ESTIMATED UNIT COST	ESTIMATED COST 1	       sheet	 Plywood - marine, 5mm			50	 400.00 	                        20,000.00  2	        kg.	 G.I Sheets - 12ft.				80	 450.00 	                        36,000.00  3	        </t>
  </si>
  <si>
    <t xml:space="preserve"> Purchase of Various School Supplies such as Printer, Bond paper A4 size, ink black and colored: Lot 1   May  Purchase of Various Office Supplies                 2,000.00 Lot 2 June Purchase of Various Office Supplies                 72,200.00 Lot 3 July P</t>
  </si>
  <si>
    <t xml:space="preserve"> Republic of the Philippines DEPARTMENT OF PUBLIC WORKS AND HIGHWAYS BATANGAS III DISTRICT ENGINEERING OFFICE REGIONAL OFFICE IV-A J. Gonzales St., Barangay 4, Tanauan City REQUEST FOR EXPRESSION OF INTEREST (CONSL-2020-01) for the 20CSDD01 - Consultancy S</t>
  </si>
  <si>
    <t xml:space="preserve"> Item no.	Qty.	Unit	ARTICLES 			 1	100	pc/s	LED Bulb, 9W, Daylight, 900 lm, 230v, 60hz Non dimmable 			 2	100	pc/s	LED T8 ,18W, Daylight, 2340 lm, 230v, 60hz Double ended 			 3	30	pcs/	LED T8, 9W, Daylight,900 lm, 230v, 60hz, Double ended  			L= 600mm 			 </t>
  </si>
  <si>
    <t xml:space="preserve"> Supply and Delivery of LOT I 450 cu.m. Common Borrow: Php 202,500.00 Total Amount: Php 202,500.00</t>
  </si>
  <si>
    <t xml:space="preserve"> INVITATION TO BID  PURCHASE OF MEDICINE LGU-GIGMOTO, CATANDUANES 		 June 30, 2020 1.	The Municipal Government of Gigmoto, through CY 2020 General Fund intends to apply the sum of Seven Hundred Ninety Nine Thousand Seven Hundred Sixty Pesos (Php799,760.00)</t>
  </si>
  <si>
    <t xml:space="preserve"> Republic of the Philippines Province of Samar Catbalogan City INVITATION FOR NEGOTIATED PROCUREMENT GOODS 2020-015(NP) Supply and Delivery of  120 vials Rabbies Vaccine (10ml) The City Government of Catbalogan, through the CY 2020 City Veterinary Fund  in</t>
  </si>
  <si>
    <t xml:space="preserve"> No.	"ITEM DESCRIPTION  (ITEM NAME &amp; TECHNICAL SPECIFICATIONS)"	QTY.	UNIT	UNIT COST	APPROVED BUDGET OF CONTRACT (ABC)		"FINANCIAL PROPOSAL  (Indicate the Price Offer)"		TECHNICAL PROPOSAL (Indicate Brand/Model Offer)	 							Unit Price	Total Price		 1	PPEs</t>
  </si>
  <si>
    <t xml:space="preserve"> 4,000 Sacks -  Transportation, Labor, Hauling NFA Rice  -  Food Assistance Re-COVID 19 Pandemic Amount Approved: 140,000.00 Source of Fund: General</t>
  </si>
  <si>
    <t xml:space="preserve"> Standard Form Number: SF-GOOD-05 Revised on: July 28, 2004        INVITATION TO APPLY FOR ELIGIBILITY AND TO BID The LOCAL GOVERNMENT UNIT OF UNISAN, QUEZON, through its Bids and Awards Committee (BAC), invites suppliers/ manufacturers/distributors/contra</t>
  </si>
  <si>
    <t xml:space="preserve"> Republic of the Philippines Province of Leyte Municipality of Kananga BARANGAY LIM-AO 1.	The Barangay Government of Lim-ao, Kananga, Leyte, through its BIDS AND AWARDS COMMITTEE (BAC),through the Supplemental Budget No. 3 (General Fund) (Retained Earnings</t>
  </si>
  <si>
    <t xml:space="preserve"> Total budget 49,262</t>
  </si>
  <si>
    <t xml:space="preserve"> 1 1 PC PANAFLEX SIGNAGE (AJDH 2FT Hx18FT W,6" THICKNESS) 2 1 PC PANAFLEX SIGNAGE (PHILHEALTH 2FT Hx5FT W,6" THICKNESS) 3 1 PC PANAFLEX SIGNAGE (6FT Hx13FT W ,6" THICKNESS)</t>
  </si>
  <si>
    <t xml:space="preserve"> Total Budget 57,517</t>
  </si>
  <si>
    <t xml:space="preserve"> REPUBLIC OF THE PHILIPPINES PROVINCE OF EASTERN SAMAR MUNICIPALITY OF LAWAAN REQUEST FOR QUOTATION PR No.: RFQ No.: PR Date: PhilGEPS Reference No. : End-User : Closing Date: ABC:234,000.00 Time: Sir/Madam: Please quote your lowest price on the items/s li</t>
  </si>
  <si>
    <t xml:space="preserve"> To supply and deliver at Nueva Ecija: 3 pairs Men's rubber Rain Boots (high-cut, black color, water proof) 1 unit Grass Cutter, 2 stroke 3 pcs Flashlights, rechargeable, lead 3 pcs Rain coat with hood (heavy duty) 10 pack Polyethelene Plastic Bag 16x20, 1</t>
  </si>
  <si>
    <t xml:space="preserve"> Installation of Street Lights</t>
  </si>
  <si>
    <t xml:space="preserve"> Republic of the Philippines  ANGELES CITY WATER DISTRICT  Angeles City  REQUEST FOR QUOTATIONS  SUPPLIER: J.O No.: 20-07-004 ADDRESS: DATE:  CONTACT NOS.: ________________________________  Please submit your quotations for the following items on or before</t>
  </si>
  <si>
    <t xml:space="preserve"> NOTICE TO ALL PROVIDERS/SUPPLIERS: The Department of Science and Technology, Caraga, through its BAC intends to procure the Supply and Delivery  Of 150 pc Printing of the 2019 DOST Caraga Annual Report Magazine. Specifications: -	104 pages, full-colored, </t>
  </si>
  <si>
    <t xml:space="preserve"> GENERAL MERCHANDISE		 			 Tarpaulin for Brigada Eskwela				2	pcs Engraving machine pen type, metal wood plastic glass, electric mini grinder for medals		1	unit Emergency light rechargeable heavy duty		1	unit</t>
  </si>
  <si>
    <t xml:space="preserve"> Please see attached for details.</t>
  </si>
  <si>
    <t xml:space="preserve"> Lot 1 - PhP 10, 350.00 Note:     Please see attached file for more details.</t>
  </si>
  <si>
    <t xml:space="preserve"> Republic of the Philippines  Province of Nueva Ecija City Government of Palayan INVITATION TO BID FOR THE CONCRETING OF MILITAR ROAD @ BRGY. MILITAR PALAYAN CITY 1.	The City Government of Palayan, through the 20% Development Fund for 2020 intends to apply</t>
  </si>
  <si>
    <t xml:space="preserve"> No.	"ITEM DESCRIPTION  (ITEM NAME &amp; TECHNICAL SPECIFICATIONS)"	QTY.	UNIT	UNIT COST	APPROVED BUDGET OF CONTRACT (ABC)		"FINANCIAL PROPOSAL  (Indicate the Price Offer)"		TECHNICAL PROPOSAL (Indicate Brand/Model Offer)	 							Unit Price	Total Price		 	Pruch</t>
  </si>
  <si>
    <t xml:space="preserve"> HARDWARE AND CONSTRUCTION SUPPLIES		 			 Door Knob				                        4	pcs SQUARE BAR FOR GRILLS				20	pcs FLAT BAR				                        5	pcs Welding Rod J38.12 E6013 FOR GRILLS	1	box</t>
  </si>
  <si>
    <t xml:space="preserve"> To supply and deliver at Tarlac: 10 bags Urea (50kgs/bag known brand) (46-00) 10 bags Ammonium Phosphate (50kgs/bag known brand) (16-20-0)</t>
  </si>
  <si>
    <t xml:space="preserve"> ITEM NO.	UNIT		QTY		DESCRIPTION		 							 1	 lot 		1.00		Amenities		 2	 lot 		1.00		 Mobilization 		 3	 cu.m. 		60.75		 Structural Excavation 		 4	 cu.m. 		82.00		 Concrete Works 		 5	 sq.m. 		154.00		 Masonry Works 		 6	 lot 		1.00		 Structural Steel &amp;  </t>
  </si>
  <si>
    <t xml:space="preserve"> Unit 	Item Description		                                                     Quantity	 Unit Cost 	          Total Cost  					 Unit 	Freezer, chest type, eco-55 PDF/5.5 Cu ft, with sliding glass		9	        14,200.00 	 127,800.00  Unit 	Freezer, RDD-7OS, 7.</t>
  </si>
  <si>
    <t xml:space="preserve"> PURCHASE OF SPLIT TYPE AIRCONDITIONING UNIT TO BE INSTALL AT THE CONFERENCE HALL OF BARANGAY BAGUMBUHAY</t>
  </si>
  <si>
    <t xml:space="preserve"> ITEM NO.	UNIT		QTY		DESCRIPTION		 							 					COMMON OFFICE SUPPLIES		 1	 piece 		300		Assorted Pad Paper, Grade 1 - 6 Intermediate 80 leaves		 2	 can 		1		Air Freshener, California scent, car shaldan		 3	 box 		3		Acetate film, clear, A4 size 100pcs/box</t>
  </si>
  <si>
    <t xml:space="preserve"> Republic of the Philippines Province of Bohol MUNICIPALITY OF TUBIGON Invitation to Bid for: Procurement of Airconditioning Unit Name of Project:  Purchase/Acquisition of one (1) Airconditioning Unit 1. The Barangay of Macaas.  through the Provincial Fina</t>
  </si>
  <si>
    <t xml:space="preserve"> INVITATION TO BID FOR  (ITB NO. 2020-032) TPB SECURITY SERVICES FOR SIX (6) – MONTH CONTRACT PERIOD for 2020 1.	The Tourism Promotion Board (TPB), through the Corporate Budget FY2020 intends to apply the sum of Two Million Nine Hundred Eighty-Seven Thousa</t>
  </si>
  <si>
    <t xml:space="preserve"> 3 pcs LONA/TRAPAL Specifications: Size: 20ft x 24ft Color: Yellow/Green Thickness: S400 Type: Ring all sides Durable and high quality With 5mm reinforcement rope all around the tarp Edges are electronically welded and rope is sandwiched inside Eyelets, br</t>
  </si>
  <si>
    <t xml:space="preserve"> Republic of the Philippines PROVINCE OF NUEVA ECIJA City of Palayan BIDS AND AWARDS COMMITTEE Invitation for Negotiated Procurement for REHABILITATION/ IMPROVEMENT OF RIVER BED ALONG THE VICINITY OF BRGY. MAPANGPANG, SCIENCE CITY OF MUÑOZ, NUEVA ECIJA Jul</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</si>
  <si>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</si>
  <si>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Procurement of Semi-Expandable Equipment to be used in Installing the Water System of the School...</t>
  </si>
  <si>
    <t xml:space="preserve"> Paper, Multi-Purpose (COPY), 80gsm, 210mm x 297mm					130			ream Paper, Multi-Purpose (COPY), Legal, 70gsm					                          10			ream Trash Bag, Plastic, transparent					                                            2			roll CLIP, Backfold, all</t>
  </si>
  <si>
    <t xml:space="preserve"> HARDWARE SUPPLIES 					 wall paint				        16	gallons Roller brush				10	pcs Blackboard paint green		8	liters Paint brush 4"				10	pcs Paint brush 2"				10	pcs</t>
  </si>
  <si>
    <t xml:space="preserve"> INVITATION TO BID for the Procurement of Infrastructure Projects            1.	The City Government of Puerto Princesa (CGPP), through Appropriation Ordinance No. 6-2019 (Supplemental Budget No. 3 for CY 2019/Fund Source: Borrowings – Loan at Land Bank of </t>
  </si>
  <si>
    <t xml:space="preserve"> INVITATION TO BID The Local Government Unit of Loboc, Bohol, Barangay Villaflor through its Bids and Awards Committee (BAC), invites Contractors registered within and classified by the Philippine Contractors Accreditation Board (PCAB) to apply for eligibi</t>
  </si>
  <si>
    <t xml:space="preserve"> PURCHASE OF SALA SET FOR THE USE OF BARANGAY BAGUMBUHAY</t>
  </si>
  <si>
    <t xml:space="preserve"> Republic of the Philippines Province of Sarangani Municipality of Malapatan INVITATION TO BID  	 2020-B1-03-007        PROCUREMENT OF ONE (1) UNIT FIRETRUCK FOR BUREAU OF FIRE PROTECTION, MALAPATAN, SARANGANI PROVINCE 1.	The Local Government Unit of Malap</t>
  </si>
  <si>
    <t xml:space="preserve"> Request for Quotation RFQ No.		SVP-022-2020 MR No.		10221 Requisition No. 	AMD-093-2020 Posting Date:         	July 1, 2020 Deadline of  Submission:		July 6, 2020 at 9:00 AM Opening Date:	July 6, 2020 at 10:00 AM TO:	Name of Supplier: ____________________</t>
  </si>
  <si>
    <t xml:space="preserve"> Replacement for the following items of Copier (SHARP MX-2310U): MX-230U2 BQLPE 2nd transfer unit MX-230U1 catxe 1st transfer belt unit Toner Cartridge, Black Toner Cartridge, Cyan Toner Cartridge, Magenta Toner Cartridge, Yellow</t>
  </si>
  <si>
    <t xml:space="preserve"> Lot 1 - PhP 21, 600.00 Note:    PLease see attached file for more details.</t>
  </si>
  <si>
    <t xml:space="preserve"> GENERAL MERCHANDISE		 			 Face Mask with AUTO DARKENING LENS	8	pcs C-Clamp standard				2	pcs Pull push rule big				5	pcs Level hose 15meters				1	pc Hand riveter				        5	pcs  Rivets for gutter				2	boxes Electric drill				        1	unit POLY BAG 11X1</t>
  </si>
  <si>
    <t xml:space="preserve"> INVITATION TO BID (for the Procurement of Goods)           1.	The City Government of Puerto Princesa (CGPP), through its General Appropriations Ordinance No. 1-2018 (General Fund FY 2019), intends to apply the sum, corresponds as the Approved Budget for t</t>
  </si>
  <si>
    <t xml:space="preserve"> Agricultural Training Institute Regional Training Center, MiMaRoPa (ATI-RTC-MiMaRoPa) invites interested bidders/suppliers to submit quotation/proposals for the here under requirement: Piglets for the conduct of FLS on Sustainable Pig Farming Oriental Min</t>
  </si>
  <si>
    <t xml:space="preserve"> 3 GALLON LATEX PAINT  2 GALLON ENAMEL PAINT 10 CAN TINTING COLOR 3 GALLON LATEX READY MIX 5 ROLLER BRUSH 8 GALLON ROOF PAINT 4 PIECE PAINT BRUSH #4 40 PIECE JALOUSIE BLADE 12 BOTTLE PRINTER INK (ASSORTED) 19 PIECE TRASH CAN 5 PIECE FAUCET 2 PIECE MOBILE C</t>
  </si>
  <si>
    <t xml:space="preserve"> COVID 19 supply</t>
  </si>
  <si>
    <t xml:space="preserve"> OPENING OF BIDS IN ZAMBOANGA CITY, DELIVERY IN HOME FOR WOMEN PROCUREMENT FOR THE FF,:							 							 1 unit WEIGHING SCALE WITH HEIGHT AND WEIGHT DETECTOR							 1 unit ANDROID BLOOD PRESSURE APPARATUS WITH WHEEL							 2 unit MEDICAL FOOT STOOL DOUBLE		</t>
  </si>
  <si>
    <t xml:space="preserve"> 84 pcs PFT Gear (see attached design)</t>
  </si>
  <si>
    <t xml:space="preserve"> The MUNICIPALITY OF AGUTAYA, through its Bids and Awards Committee (BAC), invites eligible suppliers/contractors to bid for the hereunder project: Project		:	 	 Requesting Office/End-user	:	MUNICIPALITY OF AGUTAYA Approved Budget for	 	 the Contract (ABC)</t>
  </si>
  <si>
    <t xml:space="preserve"> Agricultural Training Institute Regional Training Center, MiMaRoPa (ATI-RTC-MiMaRoPa) invites interested bidders/suppliers to submit quotation/proposals for the here under requirement: Animal Feeds for the conduct of Advocacy Seminar on Livestock Program </t>
  </si>
  <si>
    <t xml:space="preserve"> 4 REAM LONG BOND PAPER #20 4 REAM SHORT BOND PAPER #20 18 BOTTLE COMPUTER INK 12 GALLON LATEX PAINT READY MIX 5 PIECE PAINT BRUSH #3 2 PIECE ROLLER BRUSH #10 2 PIECE PAINT TRAY 16 SHEET MARINE PLYWOOD 1/4 4 BOX BLIND RIVET 2 CARD MOBILE LOAD 16 GALLON ROO</t>
  </si>
  <si>
    <t xml:space="preserve"> Republic of the Philippines Province of Bohol MUNICIPALITY OF TUBIGON Invitation to Bid for: Procurement of Photocopier/Printer Machine Name of Project:  Purchase/Acquisition of one (1) Photocopier/Printer Machine 1. The Barangay of Macaas.  through the S</t>
  </si>
  <si>
    <t xml:space="preserve"> Procurement of Construction Materials for Water Works System, Barangay Dinawehan, Gingoog City</t>
  </si>
  <si>
    <t xml:space="preserve"> OFFICE SUPPLIES AND DEVICES					  3 in 1 Printer Epson			1	unit Epson Black ink				2	bottles</t>
  </si>
  <si>
    <t xml:space="preserve"> 1 PC DIGITAL DRY BATH (230 V (EU/UK), stainless steel chamber and aluminum block ofter rapid and even heating of up to 24 x 1.5 ml microcentrifuge tubes, CE approved</t>
  </si>
  <si>
    <t xml:space="preserve"> Contract ID No. :	20CSPH02 Project:	Geotechnical Investigation for Slope Protection Projects along Various Road Sections and Construction of Bridge in Mountain Province for FY 2021 Location:	Various Road Section in Mountain Province Objectives:	Geotechnic</t>
  </si>
  <si>
    <t xml:space="preserve"> Conduct of Geo-Resistivity Survey/Scanning of Proposed well sites and to determine ground water level.</t>
  </si>
  <si>
    <t xml:space="preserve"> INVITATION TO BID FOR PURCHASE OF EMERGENCY RESCUE VEHICLE 1.	The Municipality of Ubay, through the Annual Budget C.Y. 2020 (5% MDRRM FUND) intends to apply the sum of ONE MILLION FIVE HUNDRED PESOS (Php1,500,000.00) being the Approved Budget for the Cont</t>
  </si>
  <si>
    <t xml:space="preserve"> Description	Qty	Unit Cost	Total Cost 	Partition:			 1	S: 1.20x1.35Ht.,pfbo-1/3g (frosted)	4 Pcs	22.134.70	88,538.80 2	S: 1.00x1.35Ht.,pfbo-1/3g (frosted)	2 Pcs	19,036.86	38,073.72 3	Connection pole:  1.35Ht.	1 Pc	1,720.53	1,720.53 4	Wall Adaptor	1 Pc	1,03</t>
  </si>
  <si>
    <t xml:space="preserve"> The AGRICULTURAL TRAINING INSTITUTE-REGIONAL TRAINING CENTER (ATI-RTC) X, through the 2020 General Appropriations Act intends to apply the sum of Four Hundred Thirteen Thousand Two Hundred Fifty Pesos (P 413,250.00) being the Approved Budget for the Contr</t>
  </si>
  <si>
    <t xml:space="preserve"> Republic of the Philippines Province of Agusan del Sur Municipality of Trento BIDS &amp; AWARDS COMMITTEE INVITATION TO BID  FOR THE BUB-RICE PROCESSING COMPLEX RPC, Poblacion, Trento, Agusan del Sur 1.	The Municipality of Trento, through the Trust Fund inten</t>
  </si>
  <si>
    <t xml:space="preserve"> The AGRICULTURAL TRAINING INSTITUTE-REGIONAL TRAINING CENTER (ATI-RTC) X, through the 2020 General Appropriations Act intends to apply the sum of Eighty Nine Thousand Five Hundred Pesos (P 89,500.00) being the Approved Budget for the Contract (ABC) to pay</t>
  </si>
  <si>
    <t xml:space="preserve"> Installation of 19(nineteen) units additional streetlights CFL Lightning Fixture (FIAMMA Single) with LED Bulb 15watts and 2x2-1/2x4.5 mtrs ht. g.i post at Looban, bokal, centro, calawang and corehousing</t>
  </si>
  <si>
    <t xml:space="preserve"> GOODS</t>
  </si>
  <si>
    <t xml:space="preserve"> Republic of the Philippines Province of Samar Catbalogan City INVITATION TO BID FOR GOODS 2020-015 SUPPLY AND DELIVERY OF ONE (1) UNIT BRAND NEW VECHICLE 1.	The City Government of Catbalogan, through the CY 2020 CSWD FUND  intends to apply the sum of One </t>
  </si>
  <si>
    <t xml:space="preserve"> Agricultural Training Institute Regional Training Center, MiMaRoPa (ATI-RTC-MiMaRoPa) invites interested bidders/suppliers to submit quotation/proposals for the here under requirement: Live Animals (Piglet) for the conduct of Advocacy Seminar on Livestock</t>
  </si>
  <si>
    <t xml:space="preserve"> ENGINE AND TRANSMISSION:  2.4L Diesle 2393cc displacement 4 - Cylinder, 16 - Valve DOHC Variable Nozzle Turbo with Front Mounted Intercooler, 6- Speed M/T.                                                                                                CHAS</t>
  </si>
  <si>
    <t xml:space="preserve"> 1. The Mindanao State University - Tawi-Tawi College of Technology and Oceanography (MSU-TCTO), through the TRUST FUND, intends to apply the sum of Nine Hundred Twenty-One Thousand Ninety and 50/100 pesos only (PhP 921,090.50) being approved Budget for th</t>
  </si>
  <si>
    <t xml:space="preserve"> Republic of the Philippines SUGAR REGULATORY ADMINISTRATION North Avenue, Diliman, Quezon City 													                                            6/22/2020 										         Date REQUEST FOR QUOTATION Gentlemen: 		Please quote your lowest prices, t</t>
  </si>
  <si>
    <t xml:space="preserve"> Agricultural Training Institute Regional Training Center, MiMaRoPa (ATI-RTC-MiMaRoPa) invites interested bidders/suppliers to submit quotation/proposals for the here under requirement: Training Supplies and Materials for the Enhancement of Meat Processing</t>
  </si>
  <si>
    <t xml:space="preserve"> PROCUREMENT OF FILING CABINET, CUBICLES AND SALA SET</t>
  </si>
  <si>
    <t xml:space="preserve"> \Republic of the Philippines PROVINCE OF SOUTHERN LEYTE Maasin City Invitation to Bid for the Concreting of 400m. Road Barangay Hinagtungan, Silago, Southern Leyte Contact ID # - 2020-07-21-052CW 1.	The Provincial Government of Southern Leyte, through the</t>
  </si>
  <si>
    <t xml:space="preserve"> C O R R E C T E D C O P Y H E A D Q U A R T E R S P H I L I P P I N E   A R M Y OFFICE OF THE PHILIPPINE ARMY BIDS AND AWARDS COMMITTEE 1 Fort Andres Bonifacio, Metro Manila ITB 006-20									29 June 2020 Invitation to Bid The Armed Forces of the Philipp</t>
  </si>
  <si>
    <t xml:space="preserve"> Section I. Invitation to Bid Republic of the Philippines Province of Samar Municipality of Motiong Invitation to Bid for the Procurement of Infrastructure for the CONSTRUCTION OF CONCRETE PATHWALK FROM BRGY. MALOBAGO TO BRGY. BARAYONG 1.	The Municipal Gov</t>
  </si>
  <si>
    <t xml:space="preserve"> The AGRICULTURAL TRAINING INSTITUTE-REGIONAL TRAINING CENTER (ATI-RTC) X, through the 2020 General Appropriations Act intends to apply the sum of Fifteen Thousand Six Hundred Fifty Pesos (P 15,650.00) being the Approved Budget for the Contract (ABC) to pa</t>
  </si>
  <si>
    <t xml:space="preserve"> 1. The Mindanao State University - Tawi-Tawi College of Technology and Oceanography (MSU-TCTO), through the Trust Fund, intends to apply the sum of Two Hundred Ten Thousand Pesos only (PhP 210,000.00) being Approved Budget of Contract to payments under th</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</si>
  <si>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</si>
  <si>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MODEL: 2015-2019 ENGINE TYPE: 4 CYLINDERS IN LINE, 4 STROKE, WATER COOLING DISPLACEMENT: 4.334 L RATED POWER: 110KW @ 2600rpm BORE STROKE: 112*110mm COMPRESSION RATIO: 18.5: 1 FUEL CONSUMPTION: 225g/kwh -110% LOAD ENGINE SIZE: L*W*H: 771mmX687mmX790mm</t>
  </si>
  <si>
    <t xml:space="preserve"> The AGRICULTURAL TRAINING INSTITUTE-REGIONAL TRAINING CENTER (ATI-RTC) X, through the 2020 General Appropriations Act intends to apply the sum of Four Thousand Pesos (P 4,000.00) being the Approved Budget for the Contract (ABC) to payments under the contr</t>
  </si>
  <si>
    <t xml:space="preserve"> PROCUREMENT OF TV SETS, UPS AND HARD DRIVE</t>
  </si>
  <si>
    <t xml:space="preserve"> The AGRICULTURAL TRAINING INSTITUTE-REGIONAL TRAINING CENTER (ATI-RTC) X, through the 2020 General Appropriations Act intends to apply the sum of Forty Six Thousand Six Hundred Pesos (P 46,600.00) being the Approved Budget for the Contract (ABC) to paymen</t>
  </si>
  <si>
    <t xml:space="preserve"> Republic of the Philippines PROVINCE OF SOUTHERN LEYTE Maasin City Invitation to Bid for the Construction of Records, Medicine &amp; Supply Storage Room PHSO, Dongon, Maasin City, Southern Leyte Contact ID # - 2020-07-21-057CW 1.	The Provincial Government of </t>
  </si>
  <si>
    <t xml:space="preserve"> Republic of the Philippines PROVINCE OF SOUTHERN LEYTE Maasin City Invitation to Bid for the Completion of Food Terminal Capitol Site, Maasin City, Southern Leyte Contact ID # - 2020-07-21-056CW 1.	The Provincial Government of Southern Leyte, through the </t>
  </si>
  <si>
    <t xml:space="preserve"> Republic of the Philippines PROVINCE OF SOUTHERN LEYTE Maasin City Invitation to Bid for the Completion of Multi-Purpose Livelihood &amp; Training Center/Covered Court Barangay Imelda, Silago, Southern Leyte Contact ID # - 2020-07-21-055CW 1.	The Provincial G</t>
  </si>
  <si>
    <t xml:space="preserve"> Republic of the Philippines				 Province of Cebu				 Municipality of Moalboal				 				 			Canvass No.:	 			Date:	 				 REQUEST FOR QUOTATION				 				 				 				 SIR/MADAM:				 				 	Please quote your price of the articles listed below for immediate deliver</t>
  </si>
  <si>
    <t xml:space="preserve"> The AGRICULTURAL TRAINING INSTITUTE-REGIONAL TRAINING CENTER (ATI-RTC) X, through the 2020 General Appropriations Act intends to apply the sum of Eight Thousand Five hundred Pesos (P 8,500.00) being the Approved Budget for the Contract (ABC) to payments u</t>
  </si>
  <si>
    <t xml:space="preserve"> The AGRICULTURAL TRAINING INSTITUTE-REGIONAL TRAINING CENTER (ATI-RTC) X, through the 2020 General Appropriations Act intends to apply the sum of Fifty Eight Thousand Four Hundred Pesos (P 58,400.00) being the Approved Budget for the Contract (ABC) to pay</t>
  </si>
  <si>
    <t xml:space="preserve"> INSTALLATION OF  FLOOR TILES IN CANTEEN AREA WORTH 325,161.63</t>
  </si>
  <si>
    <t xml:space="preserve"> Contract ID No. :	20CSPH01 Project:	Geotechnical Investigation for Slope Protection Projects along Various Road Sections in Mountain Province for FY 2020 Location:	Various Road Section in Mountain Province Objectives:	To provide important data necessary i</t>
  </si>
  <si>
    <t xml:space="preserve"> Additional Installation of CCTV camera at Barangay Poblacion, Lingayen, Pangasinan (including peripherals) DH-1pc HF w4431 S-S4 30 series 4 mega pixels IP cam  Breaker 20Amp HDMI Splitter 3 Ports HDMI Extender 1.5M HDMI Cable Cat6 Extension 20M UAB Extens</t>
  </si>
  <si>
    <t xml:space="preserve"> REHABILITATION OF ACCOUNTING AND REGISTRARS OFFICE</t>
  </si>
  <si>
    <t xml:space="preserve"> BARANGAY CENTRAL SIGNAL BIDS AND AWARDS COMMITTEE -- Advertisement/Posting of Invitation to Bid ------ July 1, 2020 -- Issuance and Availability of Bid Documents ----- July 1, 2020 -- Deadline for Submission -------------------------- July 8, 2020 @ 3PM -</t>
  </si>
  <si>
    <t xml:space="preserve"> RISOCV1200</t>
  </si>
  <si>
    <t xml:space="preserve"> Republic of the Philippines PROVINCE OF SOUTHERN LEYTE Maasin City Invitation to Bid for the Construction of Cambite River ccontrol Barangay Cambite, Tomas Oppus, Southern Leyte Contact ID # - 2020-07-21-054CW 1.	The Provincial Government of Southern Leyt</t>
  </si>
  <si>
    <t xml:space="preserve"> To supply and for pickup: 13 bags Fry Mash (10kg/bag known brand) ≥48%CP 27 bags Tilapia Floating Feeds Grower (25kg/bag known brand) ≥31%CP</t>
  </si>
  <si>
    <t xml:space="preserve"> Republic of the Philippines PROVINCE OF SOUTHERN LEYTE Maasin City Invitation to Bid for the Completion of 0.40 Km PCCP Poblacion District 2 Circumferential Road Poblacion District 2, Silago, Southern Leyte Contact ID # - 2020-07-21-053CW 1.	The Provincia</t>
  </si>
  <si>
    <t xml:space="preserve"> Procurement of Construction Materials for the Repair and Improvement of Barangay Hall and Repair and Improvement of Barangay Stage, Barangay Kalipay, Gingoog City</t>
  </si>
  <si>
    <t xml:space="preserve"> Republic of the Philippines Barangay Government of   Cabatangan   BIDS AND AWARDS COMMITTEE Cabatangan , Zamboanga City INVITATION TO BID FOR THE CONSTRUCTION  OF  SOLAR  STREET  LIGHTS  AT  PUROK IV, BARANGAY CABATANGAN, ZAMBOANGA CITY 1.	THE BARANGAY GO</t>
  </si>
  <si>
    <t xml:space="preserve"> GENERAL MERCHANDISE					 Firefly Bulb 100wtts			3	pcs Door Knob				        4	pcs Mop Ordinary				5	pcs Curtain Rod Stainless			8	pcs Heavy Duty lock Standard size	8	pcs</t>
  </si>
  <si>
    <t xml:space="preserve"> 2Republic of the Philippines Bangsamoro Autonomous Region in Muslim Mindanao Provincial Government of Maguindanao BIDS AND AWARDS COMMITTEE REQUEST FOR QUOTATION The PROVINCIAL GOVERNMENT OF MAGUINDANAO – Office of the Provincial Governor invites all inte</t>
  </si>
  <si>
    <t xml:space="preserve"> Republic of the Philippines Province of Bohol MUNICIPALITY OF TUBIGON Invitation to Bid for: Procurement of Construction Materials &amp; Supplies Name of Project:  Construcion of Barangay Tanod Outpost. 1. The Barangay of Macaas.  through the Surplus 2019 (Su</t>
  </si>
  <si>
    <t xml:space="preserve"> Agricultural Training Institute Regional Training Center, MiMaRoPa (ATI-RTC-MiMaRoPa) invites interested bidders/suppliers to submit quotation/proposals for the here under requirement: Feeds for the conduct of FLS on Sustainable Pig Farming Oriental Mindo</t>
  </si>
  <si>
    <t xml:space="preserve"> Request for Quotation RFQ No.		SVP-023-2020 MR No.		10222 Requisition No. 	AMD-094-2020 Posting Date:         	July 1, 2020 Deadline of  Submission:		July 6, 2020 at 9:00 AM Opening Date:	July 6, 2020 at 10:00 AM TO:	Name of Supplier: ____________________</t>
  </si>
  <si>
    <t xml:space="preserve"> Section I. Invitation to Bid Republic of the Philippines Province of Samar Municipality of Motiong Invitation to Bid for the Procurement of Infrastructure for the CONSTRUCTION OF CONCRETE PATHWALK FROM BRGY. CANATUAN TO BRGY. PAMAMAS-AN 1.	The Municipal G</t>
  </si>
  <si>
    <t xml:space="preserve"> OFFICE SUPPLIES 					 Plastic File Case big			18	pcs Pentel pen black				18	pcs Pentel pen blue				18	pcs Ink pentel black				18	pcs Ink pentel pen blue			18	pcs  Correction tape 8m			18	pcs Dater stamp with stamp pad	18	sets Colored chalk				18	boxes Man</t>
  </si>
  <si>
    <t xml:space="preserve"> Republic of the Philippines PROVINCE OF NUEVA ECIJA City of Palayan INVITATION TO BID FOR  SUPPLY AND DELIVERY OF DIESEL July 1, 2020 1.	The Provincial Government of Nueva Ecija (PGNE), through the General Fund intends to apply the sum of Fourteen Million</t>
  </si>
  <si>
    <t xml:space="preserve"> Procurement of Various Supplies used for Repair and Renovation of Water System Facilities</t>
  </si>
  <si>
    <t xml:space="preserve"> Purchase of supplies 2 ream of Paper parchment 210x297mm 10 pcs. Of DVD rewritable 18 pcs. Of Correction tape 9 box of envelop, documentary legal size 1 pack of photopaper 5 pcs. of frames A4 size 33 pcs. Of certificate holder A4 size 1 PC. Of silver meda</t>
  </si>
  <si>
    <t xml:space="preserve"> Procurement of Various Supplies in response for the COVID 19 Pandemic...</t>
  </si>
  <si>
    <t xml:space="preserve"> REPLACEMENT OF LED BULB &amp; EXPANSION OF STREET LIGHT 10 rolls THHN wire #12 5 rolls Electrical Tape (Big) 85 pcs. LED Bulb 9 watts 2 pcs. 1 1/4;; dia. G.I Pipe s40 1 set Panel board 4 branches 1 set double throw 30 amp. 60 pcs. receptacle 2x2 15 pcs. PVC p</t>
  </si>
  <si>
    <t xml:space="preserve"> CONSTRUCTION OF 3.M X 3M RESERVOIR AND INSTALLATION OF 2000 I.m 22 rolls 2'' dia. P.E Pipe 20 pcs. 2'' dia. Union Patente 2 pcs. 2'' dia. gate valve 10 rolls 2'' dia. elbow 48 bags Portland cement 3 cu.m. washed sand  6 cu.m. washed gravel 12 pcs. 1/4'' t</t>
  </si>
  <si>
    <t xml:space="preserve"> Specification: 12 units Scope of Work: I- Steel Post II- Electrical III- Concrete Works</t>
  </si>
  <si>
    <t xml:space="preserve"> 162 PACKS MEALS AND SNACKS 112 BOTTLES MINERAL WATER</t>
  </si>
  <si>
    <t xml:space="preserve"> Republic of the Philippines Province of Sarangani Municipality of Malapatan INVITATION TO BID  	 2020-B1-06-020        PROCUREMENT OF MATERIALS FOR REHABILITATION OF CRISIS INTERVENTION CENTER BUILDING, MUNICIPAL SITE, BARANGAY POBLACION, MALAPATAN, SARAN</t>
  </si>
  <si>
    <t xml:space="preserve"> Republic of the Philippines MUNICIPALITY OF BUNAWAN, AGUSAN DEL SUR Invitation to Bid/ Instruction to Bidders PURCHASE OF ORGANIC FERTILIZER – GRANULES USE TO SUPPORT TO ORGANIC AGRICULTURE PROGRAM July 01, 2020 1.	The Municipality of Bunawan, now invite </t>
  </si>
  <si>
    <t xml:space="preserve"> 1.	The Municipal Government of Placer, through the Budgte for the contract approved by the respective Sanggunian-  General Fund CY 2020 intends to apply the sum of Two Million One Hundred Forty Two Thousand pesos (P 2,142,000.00) being the Approved Budget</t>
  </si>
  <si>
    <t xml:space="preserve"> SPECIFICATION: 10units SCOPE OF WORK: I- Steel Post II- Electrical III- Concrete Works IV- Painting</t>
  </si>
  <si>
    <t xml:space="preserve"> OFFICE SUPPLIES					 Ink Epson black				10	bottles Ink Epson colored			10	bottles</t>
  </si>
  <si>
    <t xml:space="preserve"> 1,500 Liters - Diesel 300 Ltrs. Premium Gasoline 300 Ltrs. Unleaded Gasoline Amount Approved: Php126,000.00 Source of Fund: General</t>
  </si>
  <si>
    <t xml:space="preserve"> RGMO - RV SUDARIA			 1	Unit 	 10 	54LED 3W 3in1 RGB Full Color Led par light 2	Unit 	1	Guitar Amplifier (Power:85 watts Drivers:12" Custom Driver + Switchable HF horn Inputs: Normal &amp; High, CD Input: Yes (mini Jack)/No Headphone Socket,Switchable compress</t>
  </si>
  <si>
    <t xml:space="preserve"> Republic of the Philippines Province of Leyte Municipality of Mahaplag BARANGAY SAN ISIDRO Invitation to bid for the Procurement of Materials for the Construction of Multi - Purpose Building (Phase I) 1. The Barangay San Isidro of Mahaplag, Leyte, through</t>
  </si>
  <si>
    <t xml:space="preserve"> No.   Unit 	Item Description	                              Quantity	Unit Cost	Total Cost 					 1	pcs.	Magazine Filer, single	                                    10	230.00	 2,300.00  2	packs	Folder, w/tab, legal, 100 pcs/pack	      2	600.00	 1,200.00  3	pa</t>
  </si>
  <si>
    <t xml:space="preserve"> 103        EXCAVATION 104        BACKFILL 404        REINFORCING STEEL BAR 405        CONCRETE CLASS "A" SPL-l      FORMS &amp; SCAFFOLDING 704        MASONRY WORKS SPL-ll     ROOF FRAMING 1014      ROOFING 1018      TILE WORKS 1027      PLASTERING 1032      </t>
  </si>
  <si>
    <t xml:space="preserve"> Section I. Invitation to Bid Republic of the Philippines Province of Samar Municipality of Motiong Invitation to Bid for the Procurement of Infrastructure for the CONSTRUCTION OF CONCRETE PATHWALK FROM PUROK 8 BRGY. CALAPI TO MAYDAJA (SARAO) 1.	The Munici</t>
  </si>
  <si>
    <t xml:space="preserve"> OASP-DENIS A. TAN			 1	set	2	Desktop Computer, i5 with RAM &amp; HD 1 TB 			(All in One with office software, UPS &amp; AVR) 2	unit	1	Laptop Computer, i7 Touchscreen 			Specifications: Intel Core i5; Windows 10; 4GB RAM; 1TB HDD; 2GB Graphics; 12 HD LED Screen; 2</t>
  </si>
  <si>
    <t xml:space="preserve"> General Cleaning and Check-up of NSRC Office Aircon Units for 12 months  -2 Wall-mounted  -3 Cassette-type   -1 Window-type</t>
  </si>
  <si>
    <t xml:space="preserve"> 1.	The Municipal Government of Placer, through the Budget for the contract approved by the respective Sanggunian-  General Fund CY 2020 intends to apply the sum of One Million Four Hundred Thirty Thousand pesos (P 1,430,000.00) being the Approved Budget f</t>
  </si>
  <si>
    <t xml:space="preserve"> Please see Request for Quotation attached to associated components.</t>
  </si>
  <si>
    <t xml:space="preserve"> Republic of the Philippines MUNICIPALITY OF BUNAWAN, AGUSAN DEL SUR Invitation to Bid/ Instruction to Bidders PURCHASE OF ORGANIC FOLIAR FERTILIZER USE TO SUPPORT TO ORGANIC AGRICULTURE PROGRAM July 01, 2020 1.	The Municipality of Bunawan, now invite bids</t>
  </si>
  <si>
    <t xml:space="preserve"> 1.	The Cotabato Irrigation Management Office, through the GAA fund CY 2020 intends to apply the sum of Two Million Five Hundred Seventy Six Thousand Three Hundred Eighty Pesos Only (P 2,576,380.00)  being the  Approved Budget for the Contract (ABC) to pay</t>
  </si>
  <si>
    <t xml:space="preserve"> REQUEST FOR QUOTATION The National Irrigation Administration – Bulacan-Aurora-Nueva Ecija Irrigation Management Office, Tambubong, San Rafael, Bulacan through its Bids and Awards Committee (BAC), will undertake SHOPPING for the Supply &amp; Delivery of Brande</t>
  </si>
  <si>
    <t xml:space="preserve"> The DPWH Nueva Ecija 1st DEO, through its Bids and Awards Committee (BAC), invites contractors to submit bids for the following contract:			 				 	20CE0233: Construction of Multi-Purpose Building (Phase 1), Brgy. Saint John, Guimba, Nueva Ecija			 				 		</t>
  </si>
  <si>
    <t xml:space="preserve"> 1000 pcs Rapid Covid Testing Kit</t>
  </si>
  <si>
    <t xml:space="preserve"> 7 ea Mobile Drawers &amp; 1 L/I</t>
  </si>
  <si>
    <t xml:space="preserve"> City Government of La Carlota								          Standard Form Number: SF-GOOD-59 Revised on: May 24, 2004 Standard Form Title: REQUEST FOR QUOTATION 												Date: ______________ 												Quotation No.________ Company Name Address 	Please quote your </t>
  </si>
  <si>
    <t xml:space="preserve"> 10  PC   INK, EPSON L3110, CYAN 10  PC   INK, EPSON L3110, MAGENTA 10  PC   INK, EPSON L3310, YELLOW 30  PC   INK, EPSON T664, BLACK 20  SET INK, EPSONT664, CYAN, MAGENTA, YELLOW   5  PC  TONER CARTRIDGE, HP 85A   2  PC  TONER CARTRIDGE, SAMSUNG, CLT-K404</t>
  </si>
  <si>
    <t xml:space="preserve"> INVITATION TO BID IB No. 18,   S. 2020 The Municipality of General Nakar, Quezon through the Approved Appropriation Ordinance No. 2019-29  appropriating funds for the Annual Budget CY 2020 intends to apply the sum of Five Hundred Thousand Pesos   (PhP500,</t>
  </si>
  <si>
    <t xml:space="preserve"> INVITATION TO BID IB No. 17,   S. 2020 The Municipality of General Nakar, Quezon through the Approved Appropriation Ordinance No. 2019-29  appropriating funds for the Annual Budget CY 2020 intends to apply the sum of  One Million Pesos  (PhP1,000,000.00) </t>
  </si>
  <si>
    <t xml:space="preserve"> GENERAL MERCHANDISE					 STAND fan standard for office	2	units Welding rod J38.12 E6013		4	boxes Industrial fan 				1	unit Welding rod for stainless special	2	boxes</t>
  </si>
  <si>
    <t xml:space="preserve"> Supply, delivery, and installation of  Three (3) pieces of ROLL-UP BLINDS: 1)	 Size: W74.25 x 63H (1 pc.)  Area:  32.48 sq. m.   2)	 Size: W68.25 x 63H (1 pc.)  Area:  29.86 sq. m. 3)	Size: W46.75 x 63H (1 pc.)  Area:  20.45 sq. m.</t>
  </si>
  <si>
    <t xml:space="preserve"> The AGRICULTURAL TRAINING INSTITUTE-REGIONAL TRAINING CENTER (ATI-RTC) X, through the 2020 General Appropriations Act intends to apply the sum of Fifty Thousand Pesos (P 50,000.00) being the Approved Budget for the Contract (ABC) to payments under the con</t>
  </si>
  <si>
    <t xml:space="preserve"> STRUCTURE EXCAVATION,GROUTED RIPRAP,EMBANKMENT,MANUAL HAULING SERVICES</t>
  </si>
  <si>
    <t xml:space="preserve"> Republic of the Philippines									 Province of Iloilo									 MUNICIPALITY OF POTOTAN									 BIDS AND AWARDS COMMITTEE									 REQUEST FOR QUOTATION									 		Quotation No. 	G2020-07-001(NP-SV)						 		Reference PR No. 	100-20-06-17						 				June </t>
  </si>
  <si>
    <t xml:space="preserve"> Republic of the Philippines Province of Guimaras OFFICE OF THE BIDS AND AWARDS COMMITTEE Invitation to Bid for  One Job Supply of Materials and  Labor for the Construction of Agri-Fishery center Bid Ref. No. 2020-06-362 1.	The Provincial Government of Gui</t>
  </si>
  <si>
    <t xml:space="preserve"> Republic of the Philippines PROVINCE OF SOUTHERN LEYTE Maasin City Invitation to Bid for the Procurement of Air condition with Installation, Camera with complete Accessories &amp; Computer Set   Contract ID # 2020-07-21-384PG 1.	The Provincial Government of S</t>
  </si>
  <si>
    <t xml:space="preserve"> 1.	The Inter-Country Adoption Board (ICAB), through the GOP-2020 intends to apply the sum of 4,700,000.00 (Four Million, Seven Hundred Thousand Pesos Only VAT Inclusive) being the Approved Budget for the Contract (ABC) to payments under the contract for M</t>
  </si>
  <si>
    <t xml:space="preserve"> Purchase of Paint</t>
  </si>
  <si>
    <t xml:space="preserve"> Republic of the Philippines Region XII Province of Cotabato City of Kidapawan OFFICE OF THE BIDS AND AWARD COMMITTEE June 30, 2020 INVITATION TO BID FOR  SUPPLY AND DELIVERY OF VETERINARY SUPPLIES AND ANIMAL FEEDS TO BE USED FOR THE ANIMAL HEALTH SERVICES</t>
  </si>
  <si>
    <t xml:space="preserve"> Republic of the Philippines PROVINCE OF SOUTHERN LEYTE Maasin City Invitation to Bid for the Procurement of Various Vehicle Spareparts  Contract ID # 2020-07-21-385PG 1.	The Provincial Government of Southern Leyte through the OSP– Repair and Maintenance –</t>
  </si>
  <si>
    <t xml:space="preserve"> Please submit your quotation for the following items on or before 5:00PM on Jul 10, 2020. ITEM D E S C R I P T I O N QTY. UNIT  1 Jewelry, Bracelet, Gold (Men) (18Karat) 2 pc 2 Jewelry, Bracelet, Gold (Women) (18Karat) 1 pc Awarding is in LUMP-SUM basis, </t>
  </si>
  <si>
    <t xml:space="preserve"> Republic of the Philippines Region XII Province of Cotabato City of Kidapawan OFFICE OF THE BIDS AND AWARD COMMITTEE June 30, 2020 INVITATION TO BID FOR  SUPPLY, DELIVERY AND INSTALLATION OF SPLIT TYPE AIRCON FOR THE USE OF THE LIGA NG MGA BARANGAY OFFICE</t>
  </si>
  <si>
    <t xml:space="preserve"> 1. The City Government of Calamba through the General Fund intends to apply the sum of Php 98,776.80 being the Approved Budget for the Contract (ABC) to payments under the contract for G-2020-397 Supply and Delivery of Printed Materials, Sangguniang Panlu</t>
  </si>
  <si>
    <t xml:space="preserve"> 1. The City Government of Calamba through the General Fund intends to apply the sum of Php 73,596.00 being the Approved Budget for the Contract (ABC) to payments under the contract for G-2020-312 Supply and Delivery of Printed Materials, City Veterinary S</t>
  </si>
  <si>
    <t xml:space="preserve"> SPL-1 CONSTRUCTION SAFETY AND HEALTH PROGRAM SPL-2 STEEL SCAFFOLDING  SPL-3 REMOVAL OF EXISTING TRUSSES FRAMES &amp; ROOFING ACCESSORIES FOR (MAIN BUILDING ONLY) 712    FABRICATION AND INSTALLATION OF NEW ROOF FRAMING TRUSS STRUCTURE (MAIN BUILDING) AND      </t>
  </si>
  <si>
    <t xml:space="preserve"> 1. The City Government of Calamba through the General Fund intends to apply the sum of Php 811,558.20 being the Approved Budget for the Contract (ABC) to payments under the contract for G-2020-286 Supply and Delivery of Food Commodities, City Social Servi</t>
  </si>
  <si>
    <t xml:space="preserve"> 1. The City Government of Calamba through the General Fund intends to apply the sum of Php 374,269.14 being the Approved Budget for the Contract (ABC) to payments under the contract for G-2020-398 Supply and Delivery of Veterinary Medicine and Supplies, C</t>
  </si>
  <si>
    <t xml:space="preserve"> 1. The City Government of Calamba through the General Fund intends to apply the sum of Php 321,600.00 being the Approved Budget for the Contract (ABC) to payments under the contract for G-2020-396 Supply and Delivery of Rice, Sangguniang Panlungsod/City o</t>
  </si>
  <si>
    <t xml:space="preserve"> SUPPLIES AND EQUIPMENT</t>
  </si>
  <si>
    <t xml:space="preserve"> Republic of the Philippines Region XII Province of Cotabato City of Kidapawan OFFICE OF THE BIDS AND AWARD COMMITTEE June 30, 2020 INVITATION TO BID FOR  SUPPLY AND DELIVERY OF OFFICE AND JANITORIAL SUPPLIES FOR THE USE OF BAC AND CHRMO, KIDAPAWAN CITY Th</t>
  </si>
  <si>
    <t xml:space="preserve"> JOSE B. LINGAD MEMORIAL REGIONAL HOSPITAL City of San Fernando, Pampanga Tel. No. (045) 961-3921 Date: July 01, 2020 No. 2020 – 07 - 206-S REQUEST FOR QUOTATION (Name of Agency) (Address) Sir/Madam: Please quote your lowest price on the item/s listed belo</t>
  </si>
  <si>
    <t xml:space="preserve"> Aggregate Base Course 1175.85 cu.m. xxxxx nothing follows xxxx</t>
  </si>
  <si>
    <t xml:space="preserve"> Common Office Supplies 1.	4 roll Acetate, thickness: 0.075mm min (gauge #3) @ 50 meters/ roll 2.	250 bottle Alcohol, ethyl, 68%-70%, scented, 500ml (-5mL) 3.	11 pieces Binder, 3-ring, D-type, A4,(2.5”)with insert clearview pocket on front, back and spine </t>
  </si>
  <si>
    <t xml:space="preserve"> As per Request for Quotation No. QN20-06-163 under PR20-03-219 4 samples Chromium Analysis via ICP-OES 4 samples Magnesium Analysis 4 samples Sodium Analysis 4 samples Iron Analysis 4 samples Sample preparation 4 samples Total Dissolved Solid 4 samples To</t>
  </si>
  <si>
    <t xml:space="preserve"> Republic of the Philippines									 Province of Iloilo									 MUNICIPALITY OF POTOTAN									 BIDS AND AWARDS COMMITTEE									 REQUEST FOR QUOTATION									 		Quotation No. 	G2020-12-016(PB)2F						 		Reference PR No. 	300-19-11-05						 				June 2</t>
  </si>
  <si>
    <t xml:space="preserve"> Portland Cement etc.  NOTE:To all suppliers bid documents and BAC Resolution 2020-029 are avaible at BAC Office and LGU website.</t>
  </si>
  <si>
    <t xml:space="preserve"> Republic of the Philippines Province of Surigao del Norte Municipality of Claver BIDS AND AWARDS COMMITTEE INVITATION TO BID The Local Government Unit of Claver, Surigao del Norte through its Bids and Awards Committee, now invites manufacturers/suppliers/</t>
  </si>
  <si>
    <t xml:space="preserve"> Materials for Hand Washing Pipe and Fitting for Water Line  1.120 pcs. Pipe slon blue ½” 2.90 pcs. Elbow Plain, slon blue ½” 3.40 pcs. Elbow Threaded, slon blue ½” 4.40 pcs. Tee, slon blue ½” 5.30 pcs. Sink, stainless, 50 x 40 cm 6.30 pcs. Faucets, ½” 7.2</t>
  </si>
  <si>
    <t xml:space="preserve"> The Bids and Awards Committee								 Province of Iloilo								 								      In connection with your Invitation to Bid No. PEO-20-0618 B (Rebid) scheduled on July 7, 2020, I/we proposed to furnish and deliver in conformity with the terms and conditions,</t>
  </si>
  <si>
    <t xml:space="preserve"> Raincoat Heavy Duty etc. NOTE:To all suppliers bid documents  and BAC Resolution 2020-029 are available at BAC Office and LGU website.</t>
  </si>
  <si>
    <t xml:space="preserve"> INVITATION TO BID FOR  CONSTRUCTION OF CANAL LINING AT BARANGAY AGUADO, TRECE MARTIRES CITY 1.	The City Government of Trece Martires, through the Continuing of 20% Development Fund  (2019 )approved by the Sangguniang Panlungsod intends to apply the sum of</t>
  </si>
  <si>
    <t xml:space="preserve"> CNH-0620-062</t>
  </si>
  <si>
    <t xml:space="preserve"> Republic of the Philippines									 Province of Iloilo									 MUNICIPALITY OF POTOTAN									 BIDS AND AWARDS COMMITTEE									 REQUEST FOR QUOTATION									 		Quotation No. 	G2020-12-011(PB)2F						 		Reference PR No. 	300-19-11-03						 				June 2</t>
  </si>
  <si>
    <t xml:space="preserve"> To undertake works for Maintenance of Farm to Market Road</t>
  </si>
  <si>
    <t xml:space="preserve"> INVITATION TO BID  SUPPLY, DELIVERY, INSTALLATION, CONFIGURATION, MIGRATION, AND TESTING OF ADDITIONAL SERVERS FOR BTMS INFRASTRUCTURE 1.	The Department of Budget and Management (DBM), through the authorized appropriations under the FY 2019 General Approp</t>
  </si>
  <si>
    <t xml:space="preserve"> INVITATION TO BID FOR  CONSTRUCTION OF CANAL LININGS AT TRES CRUSES ROAD( GOLDCREST VILLAS) BRGY. SAN AGUSTIN, TMC 1.	The City Government of Trece Martires, through the Continuing of 20% Development Fund  (2018 )approved by the Sangguniang Panlungsod inte</t>
  </si>
  <si>
    <t xml:space="preserve"> Republic of the Philippines PROVINCE OF NUEVA VIZCAYA Municipality of Alfonso Castañeda  BIDS AND AWARDS COMMITTEE FOR INFRASTRUCTURE PROJECTS CONCRETING OF PUROK 2 ROAD (LUBLUB) 1.	The Local Government of Alfonso Castañeda, through the 20% Development </t>
  </si>
  <si>
    <t xml:space="preserve"> Republic of the Philippines DEPARTMENT OF PUBLIC WORKS AND HIGHWAYS CAPIZ 2ND DISTRICT ENGINEERING OFFICE REGIONAL OFFICE VI Dumalag, Capiz REQUEST FOR EXPRESSION OF INTEREST (REOI) FOR I.      Contract ID: 20GP003CS          Contract Name: 	Consulting Se</t>
  </si>
  <si>
    <t xml:space="preserve"> Republic of the Philippines DEPARTMENT OF PUBLIC WORKS AND HIGHWAYS CAPIZ 2ND DISTRICT ENGINEERING OFFICE REGIONAL OFFICE VI Dumalag, Capiz REQUEST FOR EXPRESSION OF INTEREST (REOI) FOR I.      Contract ID: 20GP002CS          Contract Name: 	Consulting Se</t>
  </si>
  <si>
    <t xml:space="preserve"> Republic of the Philippines CITY OF BAIS -o0o- BIDS AND AWARDS COMMITTEE INVITATION TO APPLY FOR ELIGIBILITY AND TO BID The City Government of Bais through its Bids and Awards Committee (BAC) hereby invites Contractors registered with and classified by th</t>
  </si>
  <si>
    <t xml:space="preserve"> L=92LM;  W=1M;  T=0.15M</t>
  </si>
  <si>
    <t xml:space="preserve"> Undertake Construction of Drainage along Hijosa Street, Poblacion Ilawod, Cuartero, Capiz</t>
  </si>
  <si>
    <t xml:space="preserve"> Republic of the Philippines PROVINCE OF NUEVA VIZCAYA Municipality of Alfonso Castañeda  BIDS AND AWARDS COMMITTEE FOR INFRASTRUCTURE PROJECTS CONCRETING OF PUROK 2 ROAD-BATU (LUBLUB) 1.	The Local Government of Alfonso Castañeda, through the 20% Develop</t>
  </si>
  <si>
    <t xml:space="preserve"> Republic of the Philippines PROVINCE OF NUEVA VIZCAYA Municipality of Alfonso Castañeda  BIDS AND AWARDS COMMITTEE FOR INFRASTRUCTURE PROJECTS CONCRETING OF JUNCTION ROAD - LIPUGA ROAD 1.	The Local Government of Alfonso Castañeda, through the 20% Develo</t>
  </si>
  <si>
    <t xml:space="preserve"> SUPPLY AND DELIVERY OF FAST MOVING SPAREPARTS FOR 1 X 410KW FG WILSON.</t>
  </si>
  <si>
    <t xml:space="preserve"> Republic of the Philippines PROVINCE OF NUEVA VIZCAYA Municipality of Alfonso Castañeda  BIDS AND AWARDS COMMITTEE FOR INFRASTRUCTURE PROJECTS CONCRETING OF MARIKIT EAST CIRCUMFERENTIAL ROAD 1.	The Local Government of Alfonso Castañeda, through the 20% </t>
  </si>
  <si>
    <t xml:space="preserve"> June 26, 2020 INVITATION TO BID  The Department of Public Works and Highways, Mindoro Occidental District Engineering Office, Mamburao, Occidental Mindoro, through its Bids and Award Committee (BAC), invites contractors to submit bids for the following Co</t>
  </si>
  <si>
    <t xml:space="preserve"> ITEM NO.	ITEM &amp; DESCRIPTION						QTY.	UNIT 1	SPECIAL PAPER (WHITE) - 200 GSM (100 PCS / SHEET) A4 SIZE						10	SHEETS 2	GARBAGE BAG WHITE XXL 						30	 ROLLS  3	ALCOHOL ETHYL 3.785 L						20	GAL 4	LIGHT BULB 7 WATTS (LED)						30	PCS 5	FABRIC CONDITIONER </t>
  </si>
  <si>
    <t xml:space="preserve"> 1.  The prospective bidder/s shall bid for the supply and delivery of 3 (Three) units of High-End Laptop, to the PLLO, with specifications listed below: 	Processor:	Intel Core i7 – 9th Generation Processor or up 			Processor Base Clock Speed 2.5 GHZ 			Ma</t>
  </si>
  <si>
    <t xml:space="preserve"> Republic of the Philippines									 Province of Iloilo									 MUNICIPALITY OF POTOTAN									 BIDS AND AWARDS COMMITTEE									 REQUEST FOR QUOTATION									 		Quotation No. 	CW2020-06-001(NP-SV)1F						 		Reference PR No. 	100-20-03-04						 				Ju</t>
  </si>
  <si>
    <t xml:space="preserve"> Republic of the Philippines Province of Surigao del Norte Municipality of Claver BIDS AND AWARDS COMMITTEE INVITATION TO BID The Municipality of Claver, Surigao del Norte through its Bids and Awards Committee (BAC), now invites manufactures/supplies/distr</t>
  </si>
  <si>
    <t xml:space="preserve"> 2 Units Laptop with accessories 1 unit outdoor multi-media Projector *nothing follows*</t>
  </si>
  <si>
    <t xml:space="preserve"> 115 cavans Rice (25kgs) 1725 cans Sardines 1725 cans Tuna 115 pcs Soap 345 sachet Toothpaste 345 pcs Biscuit 690 pcs sachet Coffee (3 in 1) 1725 pcs Noodles 1725 pcs Cereal Drink 345 pcs Eco Bag Other Information FOR INFORMATION PURPOSES ONLY MODE OF PROC</t>
  </si>
  <si>
    <t xml:space="preserve"> Republic of the Phillipines Province of Sultan Kudarat City of Tacurong Barangay Poblacion                                                              INVITATION TO BID 			                                                                                  </t>
  </si>
  <si>
    <t xml:space="preserve"> 1.The MUNICIPALITY OF PATEROS through the 2020 GENERAL FUND intends to apply the sum of Two Million Nine Hundred Thousand Pesos (PhP2,900,000.00) being the Approved Budget for the Contract (ABC) to payments under the contract for the above-mentioned procu</t>
  </si>
  <si>
    <t xml:space="preserve"> INVITATION TO BID FOR THE  CONSTRUCTION/REHABILITATION OF HOSPITAL BUILDINGS AND FACILITIES-QUEZON MEDICARE HOSPITAL, PHASE III   (MUNICIPALITY OF QUEZON, PALAWAN) 1.	The Provincial Government of Palawan, through its 20% Development Fund (OBR No. 300-15-0</t>
  </si>
  <si>
    <t xml:space="preserve"> Republic of the Philippines DEPARTMENT OF PUBLIC WORKS AND HIGHWAYS CAPIZ 2ND DISTRICT ENGINEERING OFFICE REGIONAL OFFICE VI Dumalag, Capiz REQUEST FOR EXPRESSION OF INTEREST (REOI) FOR I.      Contract ID: 20GP001CS          Contract Name: 	Consulting Se</t>
  </si>
  <si>
    <t xml:space="preserve"> INVITATION TO BID FOR THE  CONSTRUCTION OF THREE (3) BARREL RCBC  (BGY. MINARA, ROXAS, PALAWAN) 1.	The Provincial Government of Palawan, through its 20% Development Fund (OBR No. 300-20-06-07622) account intends to apply the sum of Four Million Five Hundr</t>
  </si>
  <si>
    <t xml:space="preserve"> Procurement of 130pcs. 15 mm Brass Body Water Meter for second semester of 2020</t>
  </si>
  <si>
    <t xml:space="preserve"> INVITATION TO BID FOR THE  CONSTRUCTION OF HANGING BRIDGE (SAN JUAN, ABORLAN, PALAWAN) 1.	The Provincial Government of Palawan, through its 20% Development Fund (OBR No. 300-20-06-07384) account intends to apply the sum of Three Million Five Hundred Two T</t>
  </si>
  <si>
    <t xml:space="preserve"> Supply of materials and installation of three (3) units of CCTV cameras. Scope of Work: 1 Unit  8 Port POE Switch •	Layer 2 Commercial Switch •	Supports IEEE802.3, IEEE802.3u and IEEE802.3X Standards •	MAC Auto Learning and Aging •	Supports MDI/MDIX Self-</t>
  </si>
  <si>
    <t xml:space="preserve"> The Department of Agriculture-RFO 3, invites interested suppliers to submit quotations/proposals for the hereunder requirement, to wit: 3	unit	Desktop System Unit	 		AMD Ryzen 5 3600 Processor	 		16GB DDR4 2666 Memory	 		500GB SSD Boot Drive + 2TB HDD Aux</t>
  </si>
  <si>
    <t xml:space="preserve"> INVITATION TO BID FOR THE  CONSTRUCTION OF ONE (1) BARREL RCBC LEADING TO BORAC PORT  (BGY. BORAC, CORON, PALAWAN) 1.	The Provincial Government of Palawan, through its 20% Development Fund (OBR No. 300-20-06-07383) account intends to apply the sum of Thre</t>
  </si>
  <si>
    <t xml:space="preserve"> INVITATION TO BID FOR THE SUPPLY AND DELIVERY OF AIRCON UNITS AND OTHER OFFICE EQUIPMENT TO BE USED FOR THE DARFO 3 SOCIO ECONOMIC PRODUCTION IN MARKETING- 2nd Posting PB-2020-184-012 1. The Pampanga State Agricultural University, through Fund 184, intend</t>
  </si>
  <si>
    <t xml:space="preserve"> The LOCAL GOVERNMENT UNIT of Maslog, Eastern Samar, through an Appropriation Ordinance No. 07 intends to apply the sum of One Hundred Seventy Five Thousand Twenty Six Pesos (Php175,026.00) being the Approved Budget Cost (ABC) to payments under the contrac</t>
  </si>
  <si>
    <t xml:space="preserve"> Republic of the Philippines PROVINCE OF SOUTHERN LEYTE Maasin City Invitation to Bid for the Procurement of Publication of SP Ordinance  Contract ID # 2020-07-21-387PG 1.	The Provincial Government of Southern Leyte through the OSP– Printing and Publicatio</t>
  </si>
  <si>
    <t xml:space="preserve"> Republic of the Philippines BIDS AND AWARDS COMMITTEE Province of Iloilo Invitation to Bid Purchase of Weighing Scale Bid No. AGR-20-0767-B 1. The Iloilo Provincial Government, through the GENERAL FUND 2020 intends to apply the sum of ONE HUNDRED FIFTY TH</t>
  </si>
  <si>
    <t xml:space="preserve"> Undertake construction of Drainage along Hornachos Street, Poblacion Ilawod, Cuartero, Capiz</t>
  </si>
  <si>
    <t xml:space="preserve"> INVITATION TO BID The Municipal Government of San Narciso, Quezon through its Bids and Award Committee (BAC), invites registered suppliers with DTI, Mayor’s Permit and PhilGEPS, if found eligible, to bid or the hereunder contract: Name of Contract : 	Addi</t>
  </si>
  <si>
    <t xml:space="preserve"> 3 unit  Epson L3110 Printer 2 pcs   2TB External HDD Toshiba 3 pcs   Delux Keyboard/opt mouse 1 unit  Desktop Computer            AMD RYZEN 32200G Proessor            MSI A320 Pro Motherboard            Crucial Ballistix 16gb DIMM            Seagate 1TB H</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</si>
  <si>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</si>
  <si>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Republic of the Philippines PROVINCE OF DAVAO DEL SUR Matti, Digos City BIDS AND AWARDS COMMITTEE (BAC)  NEGOTIATED PROCUREMENT – TWO FAILED BIDDING Date: June 26, 2020 1.	The Provincial Government of Davao del Sur, through its Bids and Awards Committee (</t>
  </si>
  <si>
    <t xml:space="preserve"> Republic of the Philippines PROVINCE OF SOUTHERN LEYTE Maasin City Invitation to Bid for the Procurement of Premium Gasoline  Contract ID # 2020-07-21-388PG 1.	The Provincial Government of Southern Leyte through the PGO– Fuel,Oil and Lubricants Expenses i</t>
  </si>
  <si>
    <t xml:space="preserve"> 133 pcs of Flu Vaccine</t>
  </si>
  <si>
    <t xml:space="preserve"> Delivery and supply of Construction materials for const. of Multipurpose building as to wit: Item		Unit of		 Number	Qty.	Issue	Item Description	 					 1	180	BAGS	PORTLAND CEMENT		 2	35	CU.M	WASH SAND		 3	10	CU.M	GRAVEL "YY"		 4	100	bdft.	2"X2" X 12 FT. Co</t>
  </si>
  <si>
    <t xml:space="preserve"> AM Snacks  &gt;Tuna sandwich with crackers, mineral water Lunch (with Rice and Softdrinks) &gt;Beef Steak,Fried Chicken,Sotanghon,Brownies PM Snacks &gt;Special mamon,Juice</t>
  </si>
  <si>
    <t xml:space="preserve"> 1. The City Government of Calamba through the General Fund intends to apply the sum of Php 132,228.00 being the Approved Budget for the Contract (ABC) to payments under the contract for G-2020-255 Supply and Installation of Office Partition, Sangguniang P</t>
  </si>
  <si>
    <t xml:space="preserve"> CONSTRUCTION OF DRAINAGE WITH SIDEWALK Item No.	Description 	Unit	Quantity PART A 	GENERAL REQUIREMENTS		 a	Const.Safety and Health Program	Lot	 1.00  b	Project Billboard	Unit	 1.00  c	Mobilization/Demobilization	Lumpsum	 1.00  PART B 			 I	Removal of Exi</t>
  </si>
  <si>
    <t xml:space="preserve"> Republic of the Philippines PROVINCE OF SOUTHERN LEYTE Maasin City Invitation to Bid for the Procurement of Spare parts and Services  Contract ID # 2020-07-21-386PG 1.	The Provincial Government of Southern Leyte through the OVG– Repair and Maintenance –Tr</t>
  </si>
  <si>
    <t xml:space="preserve"> ROAD REHABILITATION Item No.	Description 	Unit	Quantity PART A 	GENERAL REQUIREMENTS		 a	Const.Safety and Health Program	LS	 1.00  b	Project Billboard	Unit	 1.00  c	Mobilization/Demobilization	Lot	 1.00  PART B 			 105	Subgrade Preparation	sq.m.	 950.00  </t>
  </si>
  <si>
    <t xml:space="preserve"> Republic of the Philippines PROVINCE OF SOUTHERN LEYTE Maasin City Invitation to Bid for the Procurement of Various Office Supplies  Contract ID # 2020-07-21-396PG 1.	The Provincial Government of Southern Leyte through the PAGSO Office Supplies Expenses i</t>
  </si>
  <si>
    <t xml:space="preserve"> Republic of the Philippines PROVINCE OF SOUTHERN LEYTE Maasin City Invitation to Bid for the Procurement of Banana Cardava Plantlets  Contract ID # 2020-07-21-395PG 1.	The Provincial Government of Southern Leyte through the PAGSO - Other Maintenance and O</t>
  </si>
  <si>
    <t xml:space="preserve"> Republic of the Philippines PROVINCE OF SOUTHERN LEYTE Maasin City Invitation to Bid for the Procurement of Various Office Supplies  Contract ID # 2020-07-21-394PG 1.	The Provincial Government of Southern Leyte through the PHSO– Office Supplies Expenses i</t>
  </si>
  <si>
    <t xml:space="preserve"> Republic of the Philippines PROVINCE OF SOUTHERN LEYTE Maasin City Invitation to Bid for the Procurement of Vehicle Spare parts  Contract ID # 2020-07-21-393PG 1.	The Provincial Government of Southern Leyte through the PGO– Repair and Maintenance –Transpo</t>
  </si>
  <si>
    <t xml:space="preserve"> Republic of the Philippines PROVINCE OF SOUTHERN LEYTE Maasin City Invitation to Bid for the Procurement of One (1) Unit Digital Photocopier  Contract ID # 2020-07-21-392PG 1.	The Provincial Government of Southern Leyte through the SDH-Information and Com</t>
  </si>
  <si>
    <t xml:space="preserve"> Republic of the Philippines PROVINCE OF SOUTHERN LEYTE Maasin City Invitation to Bid for the Procurement of Various Office Supplies  Contract ID # 2020-07-21-390PG 1.	The Provincial Government of Southern Leyte through the PSWDO– Office Supplies Expenses </t>
  </si>
  <si>
    <t xml:space="preserve"> Republic of the Philippines PROVINCE OF SOUTHERN LEYTE Maasin City Invitation to Bid for the Procurement of Various Laboratory Supplies  Contract ID # 2020-07-21-401PG 1.	The Provincial Government of Southern Leyte through the SDH Medical, Dental and Labo</t>
  </si>
  <si>
    <t xml:space="preserve"> Republic of the Philippines													 City of San Carlos													 Negros Occidental													 													 INVITATION TO BID											FOR SALE	 			PURCHASE REQUEST NO: 1-20-06-0732				P 150.00	 Sealed bids for quotation of prices will be recei</t>
  </si>
  <si>
    <t xml:space="preserve"> The LOCAL GOVERNMENT UNIT of Maslog, Eastern Samar, through an Appropriation Ordinance No. 07 intends to apply the sum of One Hundred Twenty Eight Thousand Four Hundred Fifty Pesos (Php128,450.00) being the Approved Budget Cost (ABC) to payments under the</t>
  </si>
  <si>
    <t xml:space="preserve"> Republic of the Philippines													 City of San Carlos													 Negros Occidental													 													 INVITATION TO BID											FOR SALE	 			PURCHASE REQUEST NO: 1-20-06-0699				P 300.00	 Sealed bids for quotation of prices will be recei</t>
  </si>
  <si>
    <t xml:space="preserve"> Republic of the Philippines PROVINCE OF SOUTHERN LEYTE Maasin City Invitation to Bid for the Procurement of Various Vehicle Spare parts  Contract ID # 2020-07-21-391PG 1.	The Provincial Government of Southern Leyte through the PGO – Repair and Maintenance</t>
  </si>
  <si>
    <t xml:space="preserve"> Republic of the Philippines													 City of San Carlos													 Negros Occidental													 													 INVITATION TO BID											FOR SALE	 			PURCHASE REQUEST NO: 1-20-06-0683				P 150.00	 Sealed bids for quotation of prices will be recei</t>
  </si>
  <si>
    <t xml:space="preserve"> Republic of the Philippines													 City of San Carlos													 Negros Occidental													 									                     			REBIDDING	 INVITATION TO BID											FOR SALE	 			PURCHASE REQUEST NO: 1-20-06-0659				P 300.00	 Sealed bids for quo</t>
  </si>
  <si>
    <t xml:space="preserve"> Republic of the Philippines PROVINCE OF SOUTHERN LEYTE Maasin City Invitation to Bid for the Procurement of One (1) Unit Rescue Vehicle  Contract ID # 2020-07-21-398PG 1.	The Provincial Government of Southern Leyte through the PDRRMO – Disaster Response a</t>
  </si>
  <si>
    <t xml:space="preserve"> Republic of the Philippines													 City of San Carlos													 Negros Occidental													 										                   		REBIDDING	 INVITATION TO BID											FOR SALE	 			PURCHASE REQUEST NO: 1-20-06-0649				P 150.00	 Sealed bids for quota</t>
  </si>
  <si>
    <t xml:space="preserve"> Republic of the Philippines													 City of San Carlos													 Negros Occidental													 									                  			REBIDDING	 INVITATION TO BID											FOR SALE	 			PURCHASE REQUEST NO: 1-20-03-0487				P 150.00	 Sealed bids for quotat</t>
  </si>
  <si>
    <t xml:space="preserve"> Invitation to Bid for THE  Installation of RAIN WATER HARVESTER 1.The Barangay Local Government Unit of Barangay Caigangan, through the PAMANA-IP CDD intends to apply the sum on a per lot basis being the Approved Budget for the Contract (ABC) to payments </t>
  </si>
  <si>
    <t xml:space="preserve"> ROAD CONCRETING Item No.	Description 	Unit	Quantity PART A 	GENERAL REQUIREMENTS		 a	Const.Safety and Health Program	LS	 1.00  b	Project Billboard	Unit	 1.00  c	Mobilization/Demobilization	Lot	 1.00  PART B 			 105	Subgrade Preparation	sq.m.	 1,310.00  20</t>
  </si>
  <si>
    <t xml:space="preserve"> Republic of the Philippines												 City of San Carlos												 Negros Occidental												 												 			INVITATION TO BID							FOR SALE	 			PURCHASE REQUEST NO: 1-20-06-0680			P 36,250.00	 Sealed bids for quotation of prices will be received</t>
  </si>
  <si>
    <t xml:space="preserve"> Republic of the Philippines													 City of San Carlos													 Negros Occidental													 										                 		REBIDDING	 INVITATION TO BID											FOR SALE	 			PURCHASE REQUEST NO: 1-20-03-0482				P 150.00	 Sealed bids for quotati</t>
  </si>
  <si>
    <t xml:space="preserve"> 1. The City Government of Calamba through the General Fund intends to apply the sum of Php 148,500.00 being the Approved Budget for the Contract (ABC) to payments under the contract for G-2020-399 Supply and Delivery of Printed Materials, City Population </t>
  </si>
  <si>
    <t xml:space="preserve"> FOR SALE	 Lot 	Amount	 1	P 1,450.00	 2	P 300.00	 3	P 150.00	 4	P 150.00	 5	P 150.00	 6	P 150.00	 7	P 150.00	 8	P 150.00	 Republic of the Philippines												 City of San Carlos												 Negros Occidental												 												 			INVITATION TO BID</t>
  </si>
  <si>
    <t xml:space="preserve"> Republic of the Philippines													 City of San Carlos													 Negros Occidental													 									                    			REBIDDING	 INVITATION TO BID											FOR SALE	 			PURCHASE REQUEST NO: 1-20-04-0532				P 150.00	 Sealed bids for quot</t>
  </si>
  <si>
    <t xml:space="preserve"> Republic of the Philippines													 City of San Carlos													 Negros Occidental													 													 INVITATION TO BID											FOR SALE	 			PURCHASE REQUEST NO: 9-20-06-0740				P 150.00	 Sealed bids for quotation of prices will be recei</t>
  </si>
  <si>
    <t xml:space="preserve"> Military, Police &amp; Traffic Supplies</t>
  </si>
  <si>
    <t xml:space="preserve"> Printing and Publication</t>
  </si>
  <si>
    <t xml:space="preserve"> 100 set Athletic uniform dry fit</t>
  </si>
  <si>
    <t xml:space="preserve"> Republic of the Philippines													 City of San Carlos													 Negros Occidental													 													 INVITATION TO BID											FOR SALE	 			PURCHASE REQUEST NO: 9-20-06-0734				P 300.00	 Sealed bids for quotation of prices will be recei</t>
  </si>
  <si>
    <t xml:space="preserve"> Republic of the Philippines												 City of San Carlos												 Negros Occidental												 												 			INVITATION TO BID							FOR SALE	 			PURCHASE REQUEST NO: 18-20-06-0646			P 4,745.00	 Sealed bids for quotation of prices will be received</t>
  </si>
  <si>
    <t xml:space="preserve"> Procurement of Furniture &amp; Fixtures</t>
  </si>
  <si>
    <t xml:space="preserve"> Republic of the Philippines													 City of San Carlos													 Negros Occidental													 													 INVITATION TO BID											FOR SALE	 			PURCHASE REQUEST NO: 9-20-06-0695				P 997.00	 Sealed bids for quotation of prices will be recei</t>
  </si>
  <si>
    <t xml:space="preserve"> 1. The City Government of Calamba through the Special Education Fund intends to apply the sum of Php 602,154.00 being the Approved Budget for the Contract (ABC) to payments under the contract for G-2020-164 Supply and Delivery of Ink &amp; Toner, City Schools</t>
  </si>
  <si>
    <t xml:space="preserve"> Republic of the Philippines													 City of San Carlos													 Negros Occidental													 													 INVITATION TO BID											FOR SALE	 			PURCHASE REQUEST NO: 9-20-06-0739				P 991.00	 Sealed bids for quotation of prices will be recei</t>
  </si>
  <si>
    <t xml:space="preserve"> Republic of the Philippines													 City of San Carlos													 Negros Occidental													 													 INVITATION TO BID											FOR SALE	 			PURCHASE REQUEST NO: 9-20-06-0676				P 733.00	 Sealed bids for quotation of prices will be recei</t>
  </si>
  <si>
    <t xml:space="preserve"> Provision of food supplies</t>
  </si>
  <si>
    <t xml:space="preserve"> Republic of the Philippines PROVINCE OF SOUTHERN LEYTE Maasin City Invitation to Bid for the Procurement of Various Office Supplies  Contract ID # 2020-07-21-402PG 1.	The Provincial Government of Southern Leyte through the SDH – Office Supplies Expenses i</t>
  </si>
  <si>
    <t xml:space="preserve"> Please see attached component.</t>
  </si>
  <si>
    <t xml:space="preserve"> Republic of the Philippines													 City of San Carlos													 Negros Occidental													 										                   		REBIDDING	 INVITATION TO BID											FOR SALE	 			PURCHASE REQUEST NO: 401-20-03-0453				P 500.00	 Sealed bids for quo</t>
  </si>
  <si>
    <t xml:space="preserve"> Please see attached components</t>
  </si>
  <si>
    <t xml:space="preserve"> Procurement of Equipment</t>
  </si>
  <si>
    <t xml:space="preserve"> 2 sets Desktop Computers  - processor 8 core 17  -Ram 8/16gb  -hard disk drive (1tb)  -Video Ram-2gb  -Optical Drive</t>
  </si>
  <si>
    <t xml:space="preserve"> Republic of the Philippines													 City of San Carlos													 Negros Occidental													 										                  		REBIDDING	 INVITATION TO BID											FOR SALE	 			PURCHASE REQUEST NO: 1-20-03-0497				P 150.00	 Sealed bids for quotat</t>
  </si>
  <si>
    <t xml:space="preserve"> INVITATION TO BID FOR THE FURNISHING OF LABOR AND MATERIALS FOR THE IMPROVEMENT OF MULTI-PURPOSE HALL OF BARANGAY PAMUL-OGAN, CABATUAN, ILOILO</t>
  </si>
  <si>
    <t xml:space="preserve"> INVITATION TO BID FOR THE FURNISHING OF LABOR AND MATERIALS FOR THE CONSTRUCTION OF DRAINAGE CANAL OF BARANGAY NAMOCON, TIGBAUAN, ILOILO</t>
  </si>
  <si>
    <t xml:space="preserve"> Purchase of Computer Sets</t>
  </si>
  <si>
    <t xml:space="preserve"> Procurement of Office Equipment for the official use of Planning Support Unit  of CENRO Real, Quezon for CY-2020, listed below:     2     units   Laptop                     Intel i5-9300H                     8GB RAM DDR4                     Nvidia GTX 165</t>
  </si>
  <si>
    <t xml:space="preserve"> Please see attached component</t>
  </si>
  <si>
    <t xml:space="preserve"> 1. The City Government of Calamba through the General Fund intends to apply the sum of Php 293,188.50 being the Approved Budget for the Contract (ABC) to payments under the contract for G-2020-411 Supply and Delivery of Promotional Materials, Office of th</t>
  </si>
  <si>
    <t xml:space="preserve"> 1. The City Government of Calamba through the General Fund intends to apply the sum of Php 499,611.90 being the Approved Budget for the Contract (ABC) to payments under the contract for G-2020-407 Supply and Delivery of Office &amp; Janitorial Supplies, City </t>
  </si>
  <si>
    <t xml:space="preserve"> 1. The City Government of Calamba through the General Fund intends to apply the sum of Php 708,420.00 being the Approved Budget for the Contract (ABC) to payments under the contract for G-2020-403 Supply and Delivery of I.T. Equipment, Office of the City </t>
  </si>
  <si>
    <t xml:space="preserve"> Purchase of CCTV with Installation</t>
  </si>
  <si>
    <t xml:space="preserve"> 1. The City Government of Calamba through the General Fund intends to apply the sum of Php 170,376.00 being the Approved Budget for the Contract (ABC) to payments under the contract for G-2020-404 Supply and Delivery of Toner, City Engineering &amp; Infrastru</t>
  </si>
  <si>
    <t xml:space="preserve"> Republic of the Philippines                                       Province of Leyte                            MUNICIPALITY OF ALBUERA                     OFFICE OF THE MUNICIPAL MAYOR OFFICE OF THE BIDS AND AWARDS COMMITTEE INVITATION TO BID 	The Local G</t>
  </si>
  <si>
    <t xml:space="preserve"> Quantity         Unit              Description of Materials   15                pcs               uPVC pipe 1/2" x 3m   10                pcs               uPVC pipe elbow 1/2"   10                pcs               uPVC threaded elbow 1/2"   3            </t>
  </si>
  <si>
    <t xml:space="preserve"> 1. The City Government of Calamba through the General Fund intends to apply the sum of Php 64,800.00 being the Approved Budget for the Contract (ABC) to payments under the contract for G-2020-412 Supply and Delivery of Purified &amp; Alkaline Water, Office of</t>
  </si>
  <si>
    <t xml:space="preserve"> ITEM NO.	QTY.	UNIT	ITEMS &amp; DESCRIPTION	 				 1	40	kls	Fingicide/Bactericide	 2	47	ltrs	Insecticide	 3	28	ltrs	Pesticide	 4	30	ltrs	Insecticide</t>
  </si>
  <si>
    <t xml:space="preserve"> Supply and delivery of construction materials for the Installation of Street Lights.</t>
  </si>
  <si>
    <t xml:space="preserve"> ITEM NO.	QTY.	UNIT	ITEMS &amp; DESCRIPTION	 				 1	1	l.s	Procurement of Professional Services for the	 			Structural Design of the Proposed Maddela District	 			Hospital Building</t>
  </si>
  <si>
    <t xml:space="preserve"> INVITATION TO BID FOR THE FURNISHING OF LABOR AND MATERIALS FOR THE CONCRETING OF BARANGAY ROAD OF BARANGAY BARROC, TIGBAUAN, ILOILO</t>
  </si>
  <si>
    <t xml:space="preserve"> INVITATION TO APPLY FOR ELIGIBILITY AND TO BID The Municipality of RONDA, through its Bids &amp; Awards Committee (BAC), invites contractors registered with and classified by the Philippine Contractors Accreditation Board (PCAB) to apply for eligibility and i</t>
  </si>
  <si>
    <t xml:space="preserve"> Provision of meals and snacks</t>
  </si>
  <si>
    <t xml:space="preserve"> PURCHASED OF BRGY PATROL CAR ( MOTORCYCLE W/ SIDECAR)</t>
  </si>
  <si>
    <t xml:space="preserve"> The DPWH Nueva Ecija 1st DEO, through its Bids and Awards Committee (BAC), invites contractors to submit bids for the following contract:			 				 	20CE0230: Network Development – Construction of By-Pass and Diversion Roads - San Roque – Bacayao Road, Guim</t>
  </si>
  <si>
    <t xml:space="preserve"> 1. The City Government of Calamba through the General Fund intends to apply the sum of Php 127,800.00 being the Approved Budget for the Contract (ABC) to payments under the contract for G-2020-409 Supply and Delivery of Meals and Snacks, City Population M</t>
  </si>
  <si>
    <t xml:space="preserve"> THE PROCURING ENTITY THROUGH ITS BIDS AND AWARDS COMMITTEE INVITES SUPPLIER TO QUOTE FOR THE HEREUNDER PROJECT/PROGRAM: CONSTRUCTION OF RIP RAP - 20% EDF 2019 ITEMS DESCRIPTION	ABC/UNIT	QTY UNIT 1 Various Construction Materials (aggregates): 1 Lot. 45 cu.</t>
  </si>
  <si>
    <t xml:space="preserve"> Republic of the Philippines PROVINCE OF SOUTHERN LEYTE Maasin City Invitation to Bid for the Procurement of Window grills  Contract ID # 2020-07-21-403PG 1.	The Provincial Government of Southern Leyte through the SLPL Repair and Maintenance Expenses inten</t>
  </si>
  <si>
    <t xml:space="preserve"> (FORM NO. 014 – INVITATION TO APPLY FOR ELIGIBILITY AND TO BID) Republic of the Philippines Sangguniang Barangay of TUBIGAN Barangay TUBIGAN, Unisan, Quezon INVITATION TO APPLY FOR ELIGIBILITY AND TO BID Date			:  					 The Sangguniang Barangay TUBIGAN, t</t>
  </si>
  <si>
    <t xml:space="preserve"> Republic of the Philippines Province of Samar Catbalogan City INVITATION FOR NEGOTIATED PROCUREMENT GOODS 2020-014(NP) Supply and Delivery of  1,500 PCS. REAL PROPERTY TAX ACCOUNT REGISTER (RPTAR) The City Government of Catbalogan, through the CY 2020 Cit</t>
  </si>
  <si>
    <t xml:space="preserve"> 66 games for Inter Zone for Basketball League</t>
  </si>
  <si>
    <t xml:space="preserve"> Description   REQUEST FOR QUOTATION Please quote your lowest price (price must be inclusive of tax) on the item/s listed below, subject to the General Conditions, stating the shortest time of delivery. Submit your quotation duly signed by your representat</t>
  </si>
  <si>
    <t xml:space="preserve"> 9 pieces Trophies 48 pieces Medals</t>
  </si>
  <si>
    <t xml:space="preserve"> 1. The City Government of Calamba through the General Fund intends to apply the sum of Php 287,520.00 being the Approved Budget for the Contract (ABC) to payments under the contract for G-2020-400 Supply and Delivery of Office Furniture, Office of the Cit</t>
  </si>
  <si>
    <t xml:space="preserve"> The Local Government Unit of Santa Fe, Nueva Vizcaya, through its Bids &amp; Awards Committee invites contractors to bid for the following project: Contract Name:  Construction of Flood Control (Malico) Contract Location: Santa Fe, Nueva Vizcaya Approve Budge</t>
  </si>
  <si>
    <t xml:space="preserve"> THE PROCURING ENTITY THROUGH ITS BIDS AND AWARDS COMMITTEE INVITES SUPPLIER TO QUOTE FOR THE HEREUNDER PROJECT/PROGRAM: IMPROVEMENT OF BARANGAY STREETLIGHT - 20% EDF 2019 ITEMS DESCRIPTION	ABC/UNIT	QTY	UNIT 1 Various Electrical Materials (Electrical): 1 L</t>
  </si>
  <si>
    <t xml:space="preserve"> Republic of the Philippines													 City of San Carlos													 Negros Occidental													 													 INVITATION TO BID											FOR SALE	 			PURCHASE REQUEST NO: 9-20-03-0415				P 150.00	 Sealed bids for quotation of prices will be recei</t>
  </si>
  <si>
    <t xml:space="preserve"> Republic of the Philippines													 City of San Carlos													 Negros Occidental													 													 INVITATION TO BID											FOR SALE	 			PURCHASE REQUEST NO: 1-20-06-0733				P 150.00	 Sealed bids for quotation of prices will be recei</t>
  </si>
  <si>
    <t xml:space="preserve"> Other Supplies and Materials</t>
  </si>
  <si>
    <t xml:space="preserve"> Invitation to Bid for CONSTRUCTION OF TRIBAL CENTER 1.The Barangay Santa Emelia Local Government Unit, through the Government of the Philippines, General Appropriation Act 2118 intends to apply the sum of Three Million One Hundred Seven Thousand Seven Hun</t>
  </si>
  <si>
    <t xml:space="preserve"> Republic of the Philippines												 City of San Carlos												 Negros Occidental												 												 			INVITATION TO BID							FOR SALE	 			PURCHASE REQUEST NO: 1-20-06-0681			P 2,667.00	 Sealed bids for quotation of prices will be received </t>
  </si>
  <si>
    <t xml:space="preserve"> Republic of the Philippines                                                                      PROVINCE OF ISABELA                                                                    Municipality of Dinapigue                                              </t>
  </si>
  <si>
    <t xml:space="preserve"> Republic of the Philippines PROVINCE OF ZAMBOANGA DEL NORTE BIDS AND AWARDS COMMITTEE (BAC) BAC Conference Room, Capitol Building, Brgy. Estaka Tel. # (065) 212-6492 Telefax # (065) 212-6492 	                                                               </t>
  </si>
  <si>
    <t xml:space="preserve"> Supply and Delivery of Equipments</t>
  </si>
  <si>
    <t xml:space="preserve"> Bid-Opening-July 21, 2020 at 2:00 p.m. at Municipal Conference Room</t>
  </si>
  <si>
    <t xml:space="preserve"> 15 can Air Freshener, 320ml/can, high quality 15 can Disinfectant Spray, 340g net content, high quality 10 bottle Glass Cleaner, 500ml, high quality 10 can Furniture Cleaner, 330ml/can, anti dust high quality 10 bottle Toilet Bowl &amp; Urinal Cleaner, 900 - </t>
  </si>
  <si>
    <t xml:space="preserve"> Republic of the Philippines													 City of San Carlos													 Negros Occidental													 									                      			REBIDDING	 INVITATION TO BID											FOR SALE	 			PURCHASE REQUEST NO: 9-20-04-0533				P 150.00	 Sealed bids for qu</t>
  </si>
  <si>
    <t xml:space="preserve"> MG-LGD20-002..FUEL, GASOLINE, DIESEL ABC : P4,680,000.00 PLACE OF DELIVERY : MINGEN CENTRAL WAREHOUSE DITUCALAN, ILIGAN CITY AMOUNT OF BID DOCUMENTS : P 5,000.00</t>
  </si>
  <si>
    <t xml:space="preserve"> FM-CDC-PD-05 REV01		 												 												 												 												 CLARK DEVELOPMENT CORPORATION												 Clark Freeport Zone, Philippines												 												 REQUEST FOR QUOTATION												 												 The Clark Development Corporation, </t>
  </si>
  <si>
    <t xml:space="preserve"> LIQUID DETERGENT, ALL PURPOSE CONCENTRATED For use in the Dept. of OB-GYN. REQUESTED BY: H, OB-GYN Fax your Price Quotation at Telefax 927-6426 local 2561 Please indicate the brand name, complete specifications.</t>
  </si>
  <si>
    <t xml:space="preserve"> 5 Units Lateral steel cabinet with 4 drawers (90x45x133cm) 2 Units Lateral steel cabinet with 2 drawers PLEASE SEE ATTACHED RFQ. QUOTE YOUR PRICE AND SUBMIT TO THE BAC SECRETARIAT, PROVINCIAL GENERAL SERVICES OFFICE, MAIN CAPITOL BUILDING, CAPITOL SITE, S</t>
  </si>
  <si>
    <t xml:space="preserve"> 1. 10 pcs Auto Bulb 24 volts (double big) 2. 10 pcs Auto Bulb 24 volts (single big) 3. 10 pcs Auto Bulb 24 volts (double small) 4. 10 pcs Auto Bulb 24 volts (single small) 5. 10 pcs Auto Bulb 12 volts (double big) 6. 10 pcs Auto Bulb 12 volts (single big)</t>
  </si>
  <si>
    <t xml:space="preserve"> See associated components for complete details</t>
  </si>
  <si>
    <t xml:space="preserve"> See attached Request for Quotation (RFQ)_dbc</t>
  </si>
  <si>
    <t xml:space="preserve"> MINDANAO STATE UNIVERSITY			Reference Nos.                           	616-20/5-27-2020 Fatima, General Santos City			Project Name: 			Location:________________________ REQUEST FOR QUOTATION				 __________________________			Date :  June 24,2020           C</t>
  </si>
  <si>
    <t xml:space="preserve"> The DPWH Nueva Ecija 1st DEO, through its Bids and Awards Committee (BAC), invites contractors to submit bids for the following contract:			 				 	20CE0231: Asset Preservation – Preventive Maintenance – Secondary Roads - Bongabon – Rizal – Aurora Rd K0153</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</si>
  <si>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</si>
  <si>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Republic of the Philippines													 City of San Carlos													 Negros Occidental													 													 INVITATION TO BID											FOR SALE	 			PURCHASE REQUEST NO: 4-20-06-0643				P 150.00	 Sealed bids for quotation of prices will be recei</t>
  </si>
  <si>
    <t xml:space="preserve"> MINDANAO STATE UNIVERSITY			Reference Nos.                           	530-20/5-20-2020 Fatima, General Santos City			Project Name: 			Location:________________________ REQUEST FOR QUOTATION				 __________________________			Date :  June 24,2020           C</t>
  </si>
  <si>
    <t xml:space="preserve"> The DPWH Nueva Ecija 1st DEO, through its Bids and Awards Committee (BAC), invites contractors to submit bids for the following contract:			 				 	20CE0232: Asset Preservation – Rehabilitation/Reconstruction/Upgrading of Damaged Paved Roads – Primary Road</t>
  </si>
  <si>
    <t xml:space="preserve"> Item	Qty.	A R T I C L E S				 1		OTHER PROPERTY PLANT &amp; EQUIPMENT				 2	1 lot	CCTV camera w/IR, siamese wire				 3		UTP wire,power supply, F&amp;M connector				 4		balun, bracket				 5</t>
  </si>
  <si>
    <t xml:space="preserve"> for the distributions to the constituents of the barangay      4       boxes        Amoxicillin 500 mgs. capsules        4       boxes	    Paracetamol 500 mg.tablet            4       boxes	    Mefenamic acid 500 mg.capsule     2      boxes	    Cloxacilli</t>
  </si>
  <si>
    <t xml:space="preserve"> 1. The City Government of Calamba through the General Fund intends to apply the sum of Php 488,447.70 being the Approved Budget for the Contract (ABC) to payments under the contract for G-2020-401 Supply and Delivery of Office &amp; Janitorial Supplies, Offic</t>
  </si>
  <si>
    <t xml:space="preserve"> Please see attached Request for Quotation. ----------------PGO-Tourism-----------------</t>
  </si>
  <si>
    <t xml:space="preserve"> 2 Meals and 2 Snacks	1	job Admin. Division Mid-year Checkpoint		 Assessment - 69 pax		 1 day activity		 xxxxxxxxxxxxxxxxxxxxxxxxxxxxxxxxx</t>
  </si>
  <si>
    <t xml:space="preserve"> UNIVERSITY OF THE PHILIPPINES BAGUIO																				 Governor Pack Road, Baguio City, Benguet, CAR																				 VAT Reg. TIN: 000-864-006-00007																				 																				 																				 Request for Quotation																	</t>
  </si>
  <si>
    <t xml:space="preserve"> Pls. quote the items listed below: 1. Safety Breaker with aircon outlet  -  2 pcs. 2. 3 Gang Outlet  -  12 pcs. 3. Male Plug  -  4 pcs. 4. Mounted Awilen  -  1 pc. 5. Ceiling Receptacle  -  1 pc. 6. Insulation Foam  -  1 roll 7. Rubber Socket  -  6 pcs. 8</t>
  </si>
  <si>
    <t xml:space="preserve"> Supply and Delivery of Construction Materials</t>
  </si>
  <si>
    <t xml:space="preserve"> INVITATION TO BID  PR NO. 2020-05-58 – PURCHASE OF ICT EQUIPMENT FOR OFFICIAL USE OF DENR-CAR, PENRO MOUNTAIN PROVINCE  The Department of Environment and Natural Resources- PENRO Mountain Province, through its Bids and Awards Committee (BAC) for Goods, in</t>
  </si>
  <si>
    <t xml:space="preserve"> 4 pcs Tires 265 70 R17</t>
  </si>
  <si>
    <t xml:space="preserve"> The LOCAL GOVERNMENT UNIT of Maslog, Eastern Samar, through the 20% EDF of 2020 intends to apply the sum of Seven Hundred Fifty One Thousand Three Hundred Sixty One Pesos (Php751,361.00) being the Approved Budget Cost (ABC) to payments under the contract </t>
  </si>
  <si>
    <t xml:space="preserve"> LGU,San Antonio</t>
  </si>
  <si>
    <t xml:space="preserve"> Continuation of the Construction of CHB Lined Canal at Zone III brgy. Cabalitian, Asingan, Pangasinan.</t>
  </si>
  <si>
    <t xml:space="preserve"> Supply and Delivery and Installation of Airconditioning Unit</t>
  </si>
  <si>
    <t xml:space="preserve"> Construction of Bridge</t>
  </si>
  <si>
    <t xml:space="preserve"> One Year Subscription to ZOOM BUSINESS 10 Host Accounts Max Participants: 300 pax Time Limit: 24 hours Meeting ID: Customized Security: Lock/Close Meeting Recording: 1 GB: Admin Dashboard Company Branding: Vanity URL &amp; Branded Email Invitation 1 lot 115,0</t>
  </si>
  <si>
    <t xml:space="preserve"> The Local Government Unit of Maslog, Eastern Samar now invites bids for the Retrofitting of Suspension Bridge I @ Maslog, Eastern Samar with the following scope of works: Dismantle of Damage Part, Repair of Steel Frame (Girts/Girder, Floor Joist, Cross Br</t>
  </si>
  <si>
    <t xml:space="preserve"> The LOCAL GOVERNMENT UNIT of Maslog, Eastern Samar, through an Appropriation Ordinance No. 07 intends to apply the sum of Two Hundred Thirty Four Thousand Nine Hundred Ten Pesos (Php234,910.00) being the Approved Budget Cost (ABC) to payments under the co</t>
  </si>
  <si>
    <t xml:space="preserve"> 2 set COMPUTER DESKTOP CPU : 8th Generation Intel Core i5-8400 processor (9M Cache, up to 4.0 GHz) HDD : 1TB 7200 rpm Hard Drive RAM : 8GB (1X8GB) 2666Mhz DDR4 Graphics : NVIDIA GeForce GT 1030 2GB GDDR5 Screen : Monitor S2319H 23"" Color / Camera : N/A K</t>
  </si>
  <si>
    <t xml:space="preserve"> The City Government of San Pedro, Laguna invites interested parties to quote for the following item/s as per request Sangguniang Panlungsod: Qty.	Unit of Issue	Item Description 100	boxes	Disposable Facemask 50	gal	Alcohol 70 % 100	pcs	Washable Facemask 2	</t>
  </si>
  <si>
    <t xml:space="preserve"> FOR CONSTRUCTION OF SAFETY WALKS-IN</t>
  </si>
  <si>
    <t xml:space="preserve"> SPECS: * Transformer Type EFI * 12 Valve * 4WD * Siren &amp; Blinker * Full Steel Canopy with Passenger Set Back to Back Type * Logo &amp; Body Sticker * Mags Wheel * Brand New Tires &amp; Battery * Jack with handle * Tire Wrench * Spare Tire * 1-year LTO registratio</t>
  </si>
  <si>
    <t xml:space="preserve"> Republic of the Philippines DEPARTMENT OF PUBLIC WORKS AND HIGHWAYS BATANGAS III DISTRICT ENGINEERING OFFICE REGIONAL OFFICE IV-A J. Gonzales St., Barangay 4, Tanauan City NOTICE OF ALTERNATIVE METHODS OF PROCUREMENT Notice is hereby given that this offic</t>
  </si>
  <si>
    <t xml:space="preserve"> Republic of the Philippines COMMISSION ON AUDIT Quezon City REQUEST FOR QUOTATION Procurement And Property &amp; Supply Management Services, General Services Office Date Prepared: June 26, 2020 Supplier :______________________ Address :______________________ </t>
  </si>
  <si>
    <t xml:space="preserve"> INVITATION TO BID  ADDITIONAL NETWORK COMPONENTS FOR  BTMS INFRASTRUCTURE 1.	The Department of Budget and Management (DBM), through the authorized appropriations under the FY 2019 General Appropriations Act, intends to apply the sum of Twenty Five Million</t>
  </si>
  <si>
    <t xml:space="preserve"> INVITATION TO BID FOR THE CONSTRUCTION OF COMFORT ROOM AT PSAU GATE 2 -2nd Posting PB-2020-184-011 1. The Pampanga State Agricultural University, through Fund 184, intends to apply the sum of P200,013.06 being the Approved Budget for the Contract (ABC) to</t>
  </si>
  <si>
    <t xml:space="preserve"> REQUEST FOR QUOTATION (Emergency Purchase) 							    ABC: 495,000.00 Source of Fund: SEF Sir/Madam: 	      Please quote your price of the article/s listed below for immediate delivery at DepEd, Poblacion, Anda, Bohol. No. of Units : 5 Description: Resogr</t>
  </si>
  <si>
    <t xml:space="preserve"> INVITATION TO BID FOR THE  CONSTRUCTION/REHABILITATION OF RCBC WITH SLOPE PROTECTION (NATIONAL HIGHWAY-TABUD ROAD, BGY. PANITIAN, QUEZON, PALAWAN) 1.	The Provincial Government of Palawan, through its 20% Development Fund (OBR No. 300-20-06-07380) account </t>
  </si>
  <si>
    <t xml:space="preserve"> A Republic of the Philippines BIDS AND AWARDS COMMITTEE Dagupan City Invitation to Bid   for PROPOSED DEVELOPMENT OF OPEN – AIR AUDITORIUM GROUNDS TONDALIGAN BLUE BEACH, BONUAN GUESET, DAGUPAN CITY 1.	The City Government of Dagupan, through the TRUST FUND</t>
  </si>
  <si>
    <t xml:space="preserve"> Republic of the Philippines PROVINCE OF SOUTHERN LEYTE Maasin City Invitation to Bid for the Procurement of Various Housekeeping Supplies and Office Supplies  Contract ID # 2020-07-21-389PG 1.	The Provincial Government of Southern Leyte through the PEO–Mo</t>
  </si>
  <si>
    <t xml:space="preserve"> ENGINE MODEL - YC4D140-48 EMISSION STANDARD - EURO IV FUEL  -  DIESEL (TURBO INTER COOLER) STROKE VOLUME(ml) - 4214 RATED POWER (kw/hp) - 103/140 TORQUE (N.m)/ (r/min)  - 450/2800 MAX SPEED (km/h)         - 80 TRANSMISSION     - 653H,6 forwards &amp; 1 revers</t>
  </si>
  <si>
    <t xml:space="preserve"> The Barangay Calabanit through its Bid and awards Committee (BAC) invites qualified dealers, Distributors and Suppliers to apply for eligibility and to bid for the following; SCHEDULE OF ACTIVITIES ------ All interested bidders are invited to attend the P</t>
  </si>
  <si>
    <t xml:space="preserve"> Motorcycle with sidecars</t>
  </si>
  <si>
    <t xml:space="preserve"> INVITATION TO BID FOR  SUPPLY AND DELIVERY OF GIANT BAMBOO 1.	The City Government of Trece Martires, through the 20% DEVELOPMENT FUND CURRENT   intends to apply the sum of TWO MILLION PESOS ONLY   ( Php 2,000,000.00 )  being the Approved Budget for the Co</t>
  </si>
  <si>
    <t xml:space="preserve"> 26 unit Rechargeable Twinhead Emergency Lamps  Specifications: -220V 60Hz -1 Head (12 x 0.06 Watts LED) -2 Heads (24 x 0.06 Watts LED) -6V 4.5Ah Sealed Lead Acid Battery -Duration Time: 32Hrs.= 1 Head       17Hrs.= 2 Heads -Built-in AC Charges -External s</t>
  </si>
  <si>
    <t xml:space="preserve"> INVITATION TO BID IB No. 19,   S. 2020 The Municipality of General Nakar, Quezon through the Approved Appropriation Ordinance No. 2019-29  appropriating funds for the Annual Budget CY 2020 intends to apply the sum of  One Million Five Hundred Thousand Pes</t>
  </si>
  <si>
    <t xml:space="preserve"> INVITATION TO BID FOR THE  CONSTRUCTION OF SPILLWAY  (SITIO KALAMPINAY, EL NIDO, PALAWAN) 1.	The Provincial Government of Palawan, through its 20% Development Fund (OBR No. 300-20-06-07382) account intends to apply the sum of One Million Seven Hundred Nin</t>
  </si>
  <si>
    <t xml:space="preserve"> Republic of the Philippines Province of Cebu Municipality of Cordova BIDS &amp; AWARDS COMMITTEE (032-236-6171) 			  	June 30, 2020 Request for quotation (RFQ)  The Municipality of Cordova, through its Bids and Awards Committee (BAC), is inviting all interest</t>
  </si>
  <si>
    <t xml:space="preserve"> 1	3	pcs	Flow Meter 4”Ø (100 mm) Water Temperature = &lt; 50°C Working Pressure = &gt; IMP Overload Flow (Qs) = 120 m³/h Nominal Flow (Qp) = 60 m³/h Transitional Flow (Qt) = 12 m³/h Minimum Flow (Qmin) = 1.8 m³/h Minimum Reading = 0.01 m³ Maximum Reading = 99999</t>
  </si>
  <si>
    <t xml:space="preserve"> The AGRICULTURAL TRAINING INSTITUTE-REGIONAL TRAINING CENTER (ATI-RTC) X, through the 2020 General Appropriations Act intends to apply the sum of Fifty Four Thousand Fifty Pesos (P 54,050.00) being the Approved Budget for the Contract (ABC) to payments un</t>
  </si>
  <si>
    <t xml:space="preserve"> Invitation to Bid for PR No. 20061189 – Supply and Delivery of One (1) unit Emergency Vehicle 	 1.	The Provincial Government of Camarines Norte, through the LDRRMF Special Trust Fund CY 2020intends to apply the sum of One Million Five Hundred Thousand Pes</t>
  </si>
  <si>
    <t xml:space="preserve"> 1. The Mindanao State University - Tawi-Tawi College of Technology and Oceanography (MSU-TCTO), through the Trust Fund, intends to apply the sum of Nine Hundred Fifty-Two Thousand Seven Hundred Fifty Pesos only (PhP 952,750.00) being Approved Budget of Co</t>
  </si>
  <si>
    <t xml:space="preserve"> The AGRICULTURAL TRAINING INSTITUTE-REGIONAL TRAINING CENTER (ATI-RTC) X, through the 2020 General Appropriations Act intends to apply the sum of One Hundred Fifty Nine Thousand Thirty Pesos (P 159,030.00) being the Approved Budget for the Contract (ABC) </t>
  </si>
  <si>
    <t xml:space="preserve"> "          Please quote your price(s) for the article(s) as specified in the list below for Tumaras Integrated School which are available in your store/establishment/company. If available, please furnish catalogue, descriptive brochures of literature abou</t>
  </si>
  <si>
    <t xml:space="preserve"> Republic of the Philippines PROVINCE OF SOUTHERN LEYTE Maasin City Invitation to Bid for the Procurement of Various Office Supplies, Aluminum Ladder &amp; Furnitures   Contract ID # 2020-07-21-383PG 1.	The Provincial Government of Southern Leyte through the P</t>
  </si>
  <si>
    <t xml:space="preserve"> One (1) pax Consultant/Facilitator in Furniture Industry One (1) pax Consultant/Facilitator in Organic Agriculture Industry One (1) pax Consultant/Facilitator in Baked Products Industry One (1) pax Consultant/Facilitator in High Value Vegetable Production</t>
  </si>
  <si>
    <t xml:space="preserve"> 65 bags Portland Cement 200 pcs. CHB 4'' 8 cu.m. washed Sand 6 cu.m. washed gravel 1 set 1.0m x 2.0m door (Frame w/ G.I Pipe) 8 pcs. glass block 40 pcs. 10mm dia. x 6.0m RSB 12 pcs. 16mm dia. x 6.0m RSB 30 pcs. 2''x3''x12' form lumber 10 kls. #16 tie wire</t>
  </si>
  <si>
    <t xml:space="preserve"> Province of Agusan del Sur Municipality of Rosario Barangay Maligaya Invitation to Bid for CONSTRUCTION OF TRIBAL CENTER 1.	The Barangay Maligaya Local Government Unit, through the Government of the Philippines, General Appropriation Act 2018 intends to a</t>
  </si>
  <si>
    <t xml:space="preserve"> A. REMOVAL OF EXISTING GARDEN, PLANT BOX, AND COCO TREE B. PLANT BOX (85m.) 1. WALL FOOTING (Thk. = 0.10m.) 2. MASONRY WORK 3. REINFORCING BARS C. LANDSCAPING (L=85m.,W=0.50m.,D-0.38m.)</t>
  </si>
  <si>
    <t xml:space="preserve"> NATIONAL FOOD AUTHORITY Siquijor Provincial Office Larena, Siquijor REQUEST FOR QUOTATION SMALL VALUE PROCUREMENT  Ref: Small Value Procurement Invitation No. 2020-06-001 2020 REPAIR OF PERIMETER FENCE(PHASE I) OF  NFA COMPOUND, LARENA, SIQUIJOR NOTICE IS</t>
  </si>
  <si>
    <t xml:space="preserve"> Republic of the Philippines Department of Environment and Natural Resources ENVIRONMENTAL MANAGEMENT BUREAU National Capital Region National Ecology Center Compound, East Ave., Diliman, Quezon City Tel. Nos.: 9311331 Email : emb.bacsec.ncr@gmail.com      </t>
  </si>
  <si>
    <t xml:space="preserve"> ITEM      UNIT      QTY      DESCRIPTION</t>
  </si>
  <si>
    <t xml:space="preserve"> Republic of the Philippines Province of Albay Municipality of Rapu-Rapu Barangay Malobago INVITATION TO BID FOR THE CONSTRUCTION OF SEAWALL PHASE 1 1.	The Barangay Local Government Unit of Malobago, Rapu-Rapu, Albay, through the Budget for the Contract Ap</t>
  </si>
  <si>
    <t xml:space="preserve"> REQUEST FOR QUOTATION (RFQ) Date: June 30, 2020 R.I.S. No.:	20-88-081 Gentlemen:			 Please submit your lowest price quotation (including taxes and government discounts) on charged account basis, on the following supplies/materials/ equipment or labor for </t>
  </si>
  <si>
    <t xml:space="preserve"> SHIPPING OF NFP CHARTS (STM, BBT, CMM, REVISED FORM1) TO THE REGIONAL OFFICE  Shipped via sea/land/trucking cargo  Payment to supplier is thru LDDAP-ADA  Pick-up point is specified warehouse in Paranaque City  Pick-up should within 1-2 days upon notif</t>
  </si>
  <si>
    <t xml:space="preserve"> GRAVEL 90 CUBIC M.	 	ALBAY SAND 72 CUBIC M.	 	POZOLAN CEMENT 720 BAGS	 	C-PURLINS (2X4X6X1.5) 10 PCS</t>
  </si>
  <si>
    <t xml:space="preserve"> Invitation to Bid for Const. of Local Road at Brgy. Poblacion Diplahan Zambo. Sibugay The Barangay Poblacion, Diplahan, Zamboanga Sibugay, through the Barangay Funds intends to apply the sum of One Hundred Ninety- Nine Thousand Eight Hundred Seventy-Four </t>
  </si>
  <si>
    <t xml:space="preserve"> Purchase of Medical Supplies for MHO @ Samal,Bataan 1 box - Stress Tab 100's 1 box - Potencee 100's 1 box - Myra E 100's 3 boxes - Losartan 50mg 1 box - Metformin</t>
  </si>
  <si>
    <t xml:space="preserve"> Estimated Unit Cost                        Estimated Amount 1000 liters Diesel Fuel                              55.00                                             55,000.00 200  liters  Oil                                         200.00                   </t>
  </si>
  <si>
    <t xml:space="preserve"> 1pc	Upholstery seat 1pc	Fulldown trasnsmission 1pc	EGR cleaning 1pc	Replaced timming belt and tension 1pc	Change oil &amp; check all operation 1pc	Replaced engine coolant 1pc	Replaced break fluids 1pc	Replaced gear oil 1pc	Interior detailing 1pc	Oil filter 1p</t>
  </si>
  <si>
    <t xml:space="preserve"> 1	set	Computer w/ complete accessories 		Brew Master 17-7600-m2820sf 		CPU L1151 14NM CORE 17-8700 OPEN BOX 		MB I 1151 H310M VGA, HDMI, M.2 MATX 		DDR 4 PC2666 8GB Kingston KV26N 1958/8 		HD 3.5" ITB SATA 		CVO Case G. Micro ATX BLK/BLK 650W PS w/SATA 		</t>
  </si>
  <si>
    <t xml:space="preserve"> Materials: -100- bags - Portland Cement -200- pcs. - RSB, 12mmØ x 6.0m -20- pcs. - RSB, 10mmØ x 6.0m -40- kgs. - G.I. Tie Wire # 16 -150- pcs. - Good Lumber (50mm x 50mm x 3.0m) -178- cu.m. - White Sand -56- cu.m. Crushed Gravel 3/4"Ø -50- pcs. - Ordinary</t>
  </si>
  <si>
    <t xml:space="preserve"> Please quote your best price 7 pcs of Black Junior Executive Chairs, long back with arm rest, faux leather ABC 31,500.00 1 pc of Black Executive Chair, long back with arm rest, faux leather ABC 9,500.00 Lot Bidding but should not exceed ABC per item. Plea</t>
  </si>
  <si>
    <t xml:space="preserve"> construction supplies and materials, labor</t>
  </si>
  <si>
    <t xml:space="preserve"> 2 units Brand New Patrol Van Back to Back: Seating Capacity:21,Engine:2.6L naturally aspirated 4 cylinder SOHC 8-valve,diesel engine steering type: rack and pinion steering gear w power assist, minimum turning radius:5m, 5 speed manual transmission,FR &amp; R</t>
  </si>
  <si>
    <t xml:space="preserve"> Please see attached Request for Quotation. ----------------SDO-Benguet-----------------</t>
  </si>
  <si>
    <t xml:space="preserve"> The City Government of Santiago invites interested parties to submit price quotation for the “SUPPLY AND DELIVERY OF CONSTRUCTION MATERIALS FOR PAINTING OF CURB, GUTTER AND STREETLIGHT POST“ City Hall, Santiago City, details as follows: ABC: Php 887,956.0</t>
  </si>
  <si>
    <t xml:space="preserve"> ASSORTED FOOD STUFF</t>
  </si>
  <si>
    <t xml:space="preserve"> I. MATERIALS: 21 PCS. SOLAR POWERED LIGHTING FIXTURE WITH 10 WATTS LED LAMP 11 PCS. G.I. PIPE 2" 6 PCS. G.I. PIPE 1 1/2" 10 PCS. RSB mmØ x 6m 4 KGS. G.I. TIE WIRE #16 5 KGS. WELDING ROD 2 CU.M. WHITE SAND 1.5 CU.M. GRAVEL 14 BAGS PORTLAND CEMENT 16 PCS. C</t>
  </si>
  <si>
    <t xml:space="preserve"> The DPWH Neg. Occ. 4th District Engineering Office, Bago City, Neg. Occ., through its Bids and Awards Committee (BAC), invites contractors to submit bids for the following Contracts: 2.	Contract ID No.:       	20GN0093 	Contract Name:  	Concreting of Brgy</t>
  </si>
  <si>
    <t xml:space="preserve"> 6   pcs.      Printer-EPSON 5190 50   pcs.    Printer-EPSON L3110</t>
  </si>
  <si>
    <t xml:space="preserve"> Republic of the Philippines Province of Davao del Sur Municipality of Matanao BARANGAY DONGANPEKONG -oOo- INVITATION TO BID The Barangay Government Unit of Donganpekong, Matanao, Davao del Sur, through its Bids and Awards Committee (BAC), invites supplier</t>
  </si>
  <si>
    <t xml:space="preserve"> items:    650 pcs.grafted lanzones seedlings    796 pcs. grafted rambotan seedlings    780 pcs. grafted durian seedlings    751 pcs. mangosten seedlings location: mdrrmc office, gutalac, zamboanga del norte approved budget for the contract: php200,000.00 </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</si>
  <si>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</si>
  <si>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Construction of Multi – Purpose Building</t>
  </si>
  <si>
    <t xml:space="preserve"> BAC RESOLUTION NO. 343-2020 “A RESOLUTION DECLARING FAILURE OF BIDDING AND RECOMMEND FOR ALTERNATIVE MODE OF PROCUREMENT” WHEREAS, the Bids and Awards Committee (BAC) thru the Secretariat published in PhilGEPS and in any conspicuous places the purchase of</t>
  </si>
  <si>
    <t xml:space="preserve"> June 29, 2020 INVITATION TO BID  Reference No. 7073345 /Solicitation No.20-24 The City Government of Tagum invites interested Bidders/Suppliers to bid for the following: Name of Contract         :  CONSTRUCTION MATERIALS &amp; SUPPLIES FOR THE USE OF CMO - CO</t>
  </si>
  <si>
    <t xml:space="preserve"> 6' CI LIne valve 6' Sleeve 4' Sleeve 3' CI Cleeve 2" PE Connector 2" PE Adoptor 1 x 1/2 PE Connector  1" PE connector  1 P:E Adoptor  3/4 PE connector 3/4 PE adoptor 1/2 PE connector 1/2 Adoptor 1 x 3/4 Corporation Stop</t>
  </si>
  <si>
    <t xml:space="preserve"> 85 pc Spine board with holes around the stretcher for convenient transportation, on head end there is a space to fix head immobilizer, floats in water, equipped with three safety belts, with spider strap, load capacity of 160 kg. size of 184x45x6cm, color</t>
  </si>
  <si>
    <t xml:space="preserve"> 2 units Brand New Motorcycle: Specifications: dimension:2150*835*1332 mm, wheelbase: 1415mm,seat height:840mm,curb weight:213kg, max load:150kg,tire size:front-120/70-ZR17, Rear-160/60-ZR17,brake system:anti lock braking system,engine type:in line 2 cycli</t>
  </si>
  <si>
    <t xml:space="preserve"> Invitation to Bid for Installation of Street Light at Pob. Diplahan ZSP. The Barangay Poblacion, Diplahan, Zamboanga Sibugay, through the Barangay Funds intends to apply the sum of Eighty-Three Thousand Nine Hundred Five Pesos Only (Php. 83,905.00) being </t>
  </si>
  <si>
    <t xml:space="preserve"> Provide school personnel supplies for maintenance and prevention of spread of communicable diseases such as COVID 19</t>
  </si>
  <si>
    <t xml:space="preserve"> For the use of City General Services Office. Honda Wave 125 Motorcycle SH 7751 1 lot Machine Shop: Piston Kit Rebore Toyota Grandia SFX 673 2 pcs. battery 2SM 1 assy. water pump 1 pc. cylinder head gasket 1 pc. air cleaner 1 pc. crank shaft oil seal 1 pc.</t>
  </si>
  <si>
    <t xml:space="preserve"> type: desktop control panel display: custom LCD paper size: Max A3, min A6 paper capacity: standard 350 sheets warm up time: 25 sec interface: USB 2.0 resolution: 600 x 600dpi</t>
  </si>
  <si>
    <t xml:space="preserve"> REPAIR OF 36 UNITS CCTV CAMERAS AND INSTALLATION OF 7 UNITS CCTV CAMERAS</t>
  </si>
  <si>
    <t xml:space="preserve"> PROPOSED SOLAR STREET LIGHTING</t>
  </si>
  <si>
    <t xml:space="preserve"> 8 units - Printer (3 in 1) EPSON Note: With free delivery to Felipe Tayko Memorial School - Siaton, Negros Oriental</t>
  </si>
  <si>
    <t xml:space="preserve"> Construction of Deep well, Purok Narra, Barangay Isabang Lucena City</t>
  </si>
  <si>
    <t xml:space="preserve"> Republic of the Philippines Province of Cotabato Municipality of Aleosan Invitation to Bid  SUPPLY AND DELIVERY OF PORTABLE MICROBIOLOGICAL TEST FOR WATER                                                                                                     </t>
  </si>
  <si>
    <t xml:space="preserve"> 2 GALLON LATEX PAINT WHITE 3 GALLON ENAMEL PAINT WHITE 10 CAN TINTING ASSORTED COLOR 3 GALLON LATEX READY MIXED 4 PIECE ROLLER BRUSH 8 GALLON ROOF PAINT 4 PIECE PAINT BRUSH # 4 190 PIECE HOLLOW BLOCKS 8 BAGS CEMENT 2 CU.M SAND 1 CU. M GRAVEL 9 PIECE ROUND</t>
  </si>
  <si>
    <t xml:space="preserve"> UPGRADING OF LEVEL III WATER SUPPLY SYSTEM (PHASE IV)</t>
  </si>
  <si>
    <t xml:space="preserve"> 2 units Compact Passenger Van: Specifications: Overall Dimension(LxWxH)(mm):4344x1690x2030 Cargo Bed Dimension (LxWxH)(mm):2605x1690 x1705, displacement:1462cc,valvetrain:DOHC 16 valve, cylinder layout:Inline 4,Aspiration: naturally aspirated,MPI, Fuel Ty</t>
  </si>
  <si>
    <t xml:space="preserve"> Please see attached request for quotation.</t>
  </si>
  <si>
    <t xml:space="preserve"> I. SLOPE PROTECTION  A. EXCAVATION B. RUBBLE FOUNDATION C. GROUTED RIP-RAP II. EMBANKMENT III. ITEM-311 PCCP (Thk.=0.15m.)</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</si>
  <si>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</si>
  <si>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Prospective bidders should have experience in undertaking a similar project within the last two (2) years with an amount of at least 50% of the proposed project for bidding and have key personnel and equipment (owned, leased or under purchase) available f</t>
  </si>
  <si>
    <t xml:space="preserve"> 24 Sets of camera with Siamese Cable DVR 32 inches Monitor Power supply HDD BNC Jack male and female DC Female and male jack U box and Bracket U. Clip Services and parts warranty</t>
  </si>
  <si>
    <t xml:space="preserve"> Project Description I. Installation of Thermal and Sound Proofing II. Installation of Audio System III. Installation of Ventilation System IV. Installation of Gel Coated- Colored Fiber Glass Stadium Seats V. Plumbing Works VI. Installation of Modular Part</t>
  </si>
  <si>
    <t xml:space="preserve"> The City Government of Santiago invites interested parties to submit price quotation for the “SUPPLY AND DELIVERY OF CONSTRUCTION MATERIALS FOR IMPROVEMENT OF PERIMETER FENCE“ City Hall, Santiago City, details as follows: ABC: Php 670,134.00 Contract Dura</t>
  </si>
  <si>
    <t xml:space="preserve"> Department of Agriculture    BUREAU OF PLANT INDUSTRY   Baguio National Crop Research, Development and Production Support Center Division                                         BPI-Compound , Guisad, Baguio City  Tel. No. (074)445-9084-85                </t>
  </si>
  <si>
    <t xml:space="preserve"> Materials: -300- bags - Thermoplastic Paint White (25 kgs./bag.)</t>
  </si>
  <si>
    <t xml:space="preserve"> Republic of the Philippines  City of Canlaon Office of the Bids and Awards Committee  INVITATION TO BID FOR the Construction of Brgy. Multi-purpose Building The Local Government of Canlaon City, through AIP 2019. Intends to apply the sum Three Hundred Fou</t>
  </si>
  <si>
    <t xml:space="preserve"> 144 pcs. Serving Tray ABC: 495.00/pc &gt;Stainless Steel/Aluminum &gt;With Transparent Plastic Cover &gt;4-5 compartments &gt;8.6 inches in Length &gt;6.8 inches in width &gt;2mm Thickness &gt;1.5 inches in height &gt;see attached Pictures xxxxxxxxxx</t>
  </si>
  <si>
    <t xml:space="preserve"> 225 DOSE QUADRIVALENT SEASONAL VACCINE  - INACTIVATED, TYPES A AND B SUBVIRON, 0.5ML PRE-FILLED SYRINGE  - (INCLUSIVE OF MEDICAL TEAM AND MATERIALS)</t>
  </si>
  <si>
    <t xml:space="preserve"> The Municipality of Pilar would like to purchase sacks of rice as relief goods under BGCM including freight and handling.</t>
  </si>
  <si>
    <t xml:space="preserve"> 2 units Facial Recognition, free hardware installation and training</t>
  </si>
  <si>
    <t xml:space="preserve"> 1.	2	set/s	Computer Desktop AMD A8 FM2 			Socket Motherboard, 4GB RAM 			1TB HDD, 21.5 LED Monitor, ATX Casing 			with PSU, Printer Epson L120 2.	2	set/s	Computer Desktop AMD A8 FM2 			Socket Motherboard, 4GB RAM 			1TB HDD, 18.5 LED Monitor, ATX Casing 	</t>
  </si>
  <si>
    <t xml:space="preserve"> 200       PCS.                HORIZONTAL ARCHILLE</t>
  </si>
  <si>
    <t xml:space="preserve"> 24 pieces - Portable Handwashing 20 gal - Alcohol 70% (1gallon) 35 kg - Chlorine 200 pieces - Hand &amp; Body Soap regular 85grams 8 boxes - Disposable Gloves Note: With free delivery to Felipe Tayko Memorial School - Siaton, Negros Oriental</t>
  </si>
  <si>
    <t xml:space="preserve"> June 29, 2020 1.	The Barangay of Tukucan through the Bids and Awards Committee advertised an Invitation to bid for the Cocoy – Natpugan Road Improvement funded under 20% BLDF 2020 with an Approved Budget for the Contract (ABC) of One Hundred Forty-eight T</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</si>
  <si>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</si>
  <si>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for repair and maintenance of service vehicles</t>
  </si>
  <si>
    <t xml:space="preserve"> Materials: -100- M.T. - Bituminous Concrete Surface Coarse Furnishing Only (F)</t>
  </si>
  <si>
    <t xml:space="preserve"> Section 1. INVITATION to BID (IB) No. 2020-013 The Municipality of Cabiao, Nueva Ecija, through its Bids and Awards Committee (BAC), invites suppliers/manufacturers/distributors to apply for eligibility and to bid if found eligible, to bid for the followi</t>
  </si>
  <si>
    <t xml:space="preserve"> Portland Cement, 40kg., 420 bags Gravel, 48.2 cu.m. 12mm dia. x 6.0m rebar std. 30-pcs 2"x8"x12' cocolumber, 480 bd/ft CWNails, assorted, 3kls shovel, 4pcs</t>
  </si>
  <si>
    <t xml:space="preserve"> Republic of the Philippines Province of Bohol Municipality of Ubay INVITATION TO BID FOR PURCHASE OF MEAT VAN VEHICLE 1.	The Municipality of Ubay, through the Annual Budget C.Y. 2020 (Capital Outlay) intends to apply the sum of ONE MILLION FIVE HUNDRED PE</t>
  </si>
  <si>
    <t xml:space="preserve"> Description Please quote your price inclusive of VAT on the item/s listed below, subject to the Terms and conditions of the RFQ, and submit your quotation duly signed by your representative not later than July 7, 2020 at CGSO for Goods. Upon receipt of at</t>
  </si>
  <si>
    <t xml:space="preserve"> The City Government of Santiago invites interested parties to submit price quotation for the “SUPPLY AND DELIVERY OF CONSTRUCTION MATERIALS FOR IMPROVEMENT OF ITC COMPOUND“ City Hall, Santiago City, details as follows: ABC: Php 272,447.00 Contract Duratio</t>
  </si>
  <si>
    <t xml:space="preserve"> Engine type 23 L Displacement 2,488 cc Number of Cylinders 4 Number of Valves 16 Transmission Category 6 speed MT Fuel Type Diesel Mud Grappler 4 pcs RJM 4 pcs Front Steel Bumper Front Winch Led Blinker with Siren Decals and Sticker BAC Activity 1. Advert</t>
  </si>
  <si>
    <t xml:space="preserve"> REQUEST FOR QUOTATION (RFQ) The MAO  through the Bids and Awards Committee (BAC) of the Municipality of Banaybanay, Davao Oriental hereby notifies and invites you to submit your quotation/bid for the hereunder proposed project/request, viz: FOR THE CONSTR</t>
  </si>
  <si>
    <t xml:space="preserve"> Location: Poblacion I, Moncada, Tarlac Minimum Requirements: 1. Direct Injection Four-Stroke Common Rail Diesel, 2.8 Liter Diesel, 4 Cylinder In-Line, 16 valve, Double Overhead Camshaft (DOHC), Turbo Charged, 2. Dimension : At least (L x W x H) 4,735 x 1,</t>
  </si>
  <si>
    <t xml:space="preserve"> materials &amp; &amp; office Supplies for Different offices</t>
  </si>
  <si>
    <t xml:space="preserve"> June 29, 2020 1.	The Barangay of Tukucan through the Bids and Awards Committee advertised an Invitation to bid for the Amdalagan – Binag-il Road Improvement funded under 20% BLDF 2020 with an Approved Budget for the Contract (ABC) of One Hundred Forty-sev</t>
  </si>
  <si>
    <t xml:space="preserve"> 30          CARTS.       INK CARTRIDGE, HP F6V26AA (HP680), TRI-COLOR                 PHP15,000.00 30     CARTS.        INK CARTRIDGE, HP F6V27AA (HP680), BLACK                      PHP15,000.00</t>
  </si>
  <si>
    <t xml:space="preserve"> Stock No.	Item Description						QTY	Unit 1	INSURANCE						1664	pcs 	Line: Personal Accident							 	Subline: Student PA							 	Benefits:							 	Accident Death &amp; Permanent Disablement					90,000.00		 	Accident Medical Reimburstment					18,000.00		 	Murde</t>
  </si>
  <si>
    <t xml:space="preserve"> Republic of Philippines								 City of Canlaon								 OFFICE OF THE BIDS AND AWARDS COMMITTEE								 REQUEST FOR SEALED QUOTATION								 								 								 				Date:	26-Jun-20			 				Quotation No.:	2020-06-0179			 				PR No.:	2020-06-181-B			 				Depar</t>
  </si>
  <si>
    <t xml:space="preserve"> Republic of the Philippines										 Cordillera Administrative Region										 Provincial Government of Kalinga										 										 BIDS AND AWARDS COMMITTEE										 										 Invitation to Bid										 										 1.	The Provincial Government of KA</t>
  </si>
  <si>
    <t xml:space="preserve"> 50	REAMS	BOND PAPER SUB (LONG) 50	REAMS	BOND PAPER SUB (SHORT) 10	REAMS	BOND PAPER A4 20	BOXES	BINDER CLIP (SMALL) 100	PCS	MAILING ENVELOPE (LONG) 2	BOXES	WHITE BOARD MARKER 2	PCS	STAPLER (HEAVY DUTY) 40	PCS	EXPANDABLE ENVELOPE 10	PCS	MASKING TAPE 20	PCS	</t>
  </si>
  <si>
    <t xml:space="preserve"> RFQ-TFB-10-2020 Republic of the Philippines Province of Davao Oriental CITY OF MATI BIDS AND AWARDS COMMITTEE (Local Funding Source) REQUEST FOR QUOTATION (Negotiated Procurement – Two Failed Biddings) 		 Name of Company:	 Address:	 Telephone No.:	 Please</t>
  </si>
  <si>
    <t xml:space="preserve"> REQUEST FOR QUOTATION The Municipal Government of Cavinti, Laguna will undertake a Negotiated Procurement (Small Value Procurement) Supply and Delivery of Gauze Roll for Municipal Health Office in accordance with Section 53.9 of the 2016 Revised Implement</t>
  </si>
  <si>
    <t xml:space="preserve"> I. REMOVAL OF EXISTING DAMAGED LINED CANAL II. DESILTING AND EXCAVATION III. REINFORCING STEEL BARS IV. STRUCTURAL CONCRETE</t>
  </si>
  <si>
    <t xml:space="preserve"> 5                  UNITS               EXTERNAL HARD DISK DRIVE (4TB)                   PHP60,000.00 3            UNITS             EXTENSION WIRE (10 GANG)             PHP2,850.00</t>
  </si>
  <si>
    <t xml:space="preserve"> Meals and snacks good for 25 heads including room accommodation and meeting facilities (seminar hall)</t>
  </si>
  <si>
    <t xml:space="preserve"> BILLING NOTICE WITH STATEMENT OF ACCOUNT SPECIFICATIONS, WITH FOUR (4) COLORS PRINT, WITH  TWO (2) VERICAL PERFORATION, WITH PRE-NUMBERING (3 SETS) WITH BOTH SIDE PERFORATION BOOK PAPER: 80 GSM SIZE 4 1/2 X 9 1/2 (3 CUTS) PACKAGING QUANTITY 4,000 SHEETS/B</t>
  </si>
  <si>
    <t xml:space="preserve"> MG-TSE20-021..PROTECTION RELAY, DIGITAL ABC : P 2,500,000.00 PLACE OF DELIVERY  : CMTSD WAREHOUSE DITUCALAN, ILIGAN CITY AMOUNT OF BID DOCUMENTS : P 3,000.00</t>
  </si>
  <si>
    <t xml:space="preserve"> BAC RESOLUTION NO. 349-2020 “A RESOLUTION RECOMMENDING “NEGOTIATED - SMALL VALUE PROCUREMENT” FOR THE VARIOUS PURCHASE REQUESTS (PR’s) FROM VARIOUS OFFICES OF THE CITY OF CABADBARAN” NO.	PR NO.	END-USER	PARTICULARS	AMOUNT 1	1358	CTCAO	CATERING SERVICES	18</t>
  </si>
  <si>
    <t xml:space="preserve"> Office Supplies Expense</t>
  </si>
  <si>
    <t xml:space="preserve"> Purchase of Medical Supplies for MHO @ Samal,Bataan 30 boxes - Azithromycin 500mg                 Zithrovic Box 3's 10 boxes - Cefuroxime Axetil 500mg                 Cefuvic Box x 30's 10 boxes - Co-Amoxiclav 625mg                 Grovixin Box x 30's 2 b</t>
  </si>
  <si>
    <t xml:space="preserve"> 1 Meal and 2 Snacks		 Meal               Lunch		 Rice, 2-3 Viands, Side Dishes, Desserts, Fruits &amp; Drinks		 Snacks		 AM &amp; PM w/ drinks		 Activity                      Date                    Days		 MDRRMC Meeting  July 22, 2020        1	50	pax BDRRMC Meet</t>
  </si>
  <si>
    <t xml:space="preserve"> This project entails labor and materials for the construction of Multi-Purpose Bldg. Phase I at Brgy. Behia, Magallanes, Sorsogon funded by BDF 2020.</t>
  </si>
  <si>
    <t xml:space="preserve"> WE INVITE INTERESTED BIDDERS TO QUOTE FOR 1 UNIT VACUUM PACK SEALER NEEDED BY THE BUREAU OF PLANT INDUSTRY-LA GRANJA NATIONAL CROP RESEARCH, DEVELOPMENT AND PRODUCTION SUPPORT CENTER, LA GRANJA LA CARLOTA CITY NEGROS OCCIDENTAL . REQUEST FOR QUOTATION/CAN</t>
  </si>
  <si>
    <t xml:space="preserve"> 20 bd.ft. 12L-1x2x10 Good Lumber 2.67 bd.ft 2L-1x2x8 Good Lumber 25 bd.ft. 5L 2x3x10 Good Lumber 48 bd.ft 12L 2x3x8 Good Lumber 133.33 bd.ft 50L-2x2x8 Good Lumber</t>
  </si>
  <si>
    <t xml:space="preserve"> Materials: -300- pails - Bituminous Cold Mix in pail</t>
  </si>
  <si>
    <t xml:space="preserve"> transshipment of one unit truck with crane and wheel excavator from Basco port to Itbayat port</t>
  </si>
  <si>
    <t xml:space="preserve"> Purchase of Medical/Dental Supplies</t>
  </si>
  <si>
    <t xml:space="preserve"> 50 PAD GRADE PAPER 1 50 PAD GRADE PAPER 2 50 PAD GRADE PAPER 3 50 PAD GRADE PAPER 4 108 PAD INTERMEDIATE PAPER 230 PIECE NOTEBOOK 69 REAM BOND PAPER LONG 8 GALLON ROOF PAINT 4 PIECE PAINT BRUSH #4 38 BOTTLE PRINTER INK 105 PIECE FOLDER LONG 2 REAM BOND PA</t>
  </si>
  <si>
    <t xml:space="preserve"> 1 &amp; 1/2 PE pipe SDR9 -60 mtrs Roll 1 &amp; 1/2 PE connector 1" PE pipe SDR 9 -90 mtrs roll 1 PE Connector 3/4 PE PIpe SDR 9 90 mters  3/4 PE connector</t>
  </si>
  <si>
    <t xml:space="preserve"> The Municipality of Alfonso Lista, Ifugao assumes no responsibility whatsoever to compensate or indemnify bidders for any expenses incurred in the preparation of the Bid. ITEM DESCRIPTION: 100 pcs Rubberized mattress 2 pcs Black canvass (tolda) 24x30 ft.</t>
  </si>
  <si>
    <t xml:space="preserve"> Purchase of Kitchenware</t>
  </si>
  <si>
    <t xml:space="preserve"> Repair and maintenance of road grader to include labor materials 1.Hydraulic hose asst. sizes 2.Hydraulic boom packing 3.Oil tin 4.Electrical wiring,replace relay socket signal lamp LH 5.Change oil replace oil &amp; fuel filter 6.Body painting (labor &amp; materi</t>
  </si>
  <si>
    <t xml:space="preserve"> Rehabilitation of Paved Road</t>
  </si>
  <si>
    <t xml:space="preserve"> 26        UNITS                    UNINTERRUPTED POWER SUPPLY (650VA) (BRANDED)</t>
  </si>
  <si>
    <t xml:space="preserve"> REQUEST FOR QUOTATION The Local Government Unit of Siaton, Siaton Negros Oriental, through the Bids and Awards Committee (BAC) will undertake a Small Value Procurement for the “Purchase of Computer and Digital Accessories, Storage Devices and Laptops”  to</t>
  </si>
  <si>
    <t xml:space="preserve"> OTHER SUPPLIES &amp; MATERIALS EXPENSES NIFSL4</t>
  </si>
  <si>
    <t xml:space="preserve"> Republic of the Philippines Region XII Province of Cotabato City of Kidapawan OFFICE OF THE BIDS AND AWARD COMMITTEE June 30, 2020 INVITATION TO BID FOR  SUPPLY AND DELIVERY OF OFFICE AND JANITORIAL SUPPLIES FOR THE VARIOUS OFFICES(SP OFFICE, MAYOR’S OFFI</t>
  </si>
  <si>
    <t xml:space="preserve"> QUANTITY     UNIT               PARTICULARS/DESCRIPTION                                 150            bag	        Portland Cement (40 kg/bag)			                                               20            cu.m	        Washed Gravel 3/4" diameter/cu.m			 </t>
  </si>
  <si>
    <t xml:space="preserve"> 4 units Brand Aluminum Van: Specifications: Wheelbase(mm):3308,emission standard:Euro IV engine power(kw):85,displacement:2771, overall dimension(mm):5995*1980*2700 cabin:1730mm,sigle cabin,tiltable, Van specs material:aluminum, van size: 4150*1880*1800mm</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</si>
  <si>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</si>
  <si>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Items Quantity / Units 1. LPG (11 KGS) 6 units Refill 2. LPG (50 KGS) 4 units Refill PRICE QUOTATION/S SHOULD BE PRINTED ON COMPANY’S OFFICIAL LETTERHEAD TOGETHER WITH THE FOLLOWING DOCUMENTS; 1.Mayor’s/Business Permit 2.PhilGEPS Registration Number 3.Inc</t>
  </si>
  <si>
    <t xml:space="preserve"> INVITATION FOR SUBMISSION OF QUOTATION (SMALL VALUE PROCUREMENT) 	The local Government Unit of Can-avid, through is Bid and Awards Committee (BAC). Invites suppliers to apply for eligibility, to bid for the hereunder contract: Name of Contract:  	Repair a</t>
  </si>
  <si>
    <t xml:space="preserve"> 1 pc. 20.5 x 25 Tire 2 pcs. 4D Battery</t>
  </si>
  <si>
    <t xml:space="preserve"> 14 pcs 14" long span, Rib type 12 pcs 1 1/2" x 1/4" Angle Bar 4 pcs 2" x1/4 Angle Bar  15 pcs 2" x 3" Purlins 7 pcs 1" 1/4 Flat Bar 12 pcs 1/2 " Sq. Bar 12 pcs 2" x2" x12' Good Lumber 14 pcs 2'x2" x 14' Good Lumber 150 pcs 1 1/2" Tekscrew 6 pcs Drill Bit </t>
  </si>
  <si>
    <t xml:space="preserve"> MG-TSE20-018..METER MULTIFUNCTION CAN MEASURE VOLTAGE, CURRENT, ACTIVE POWER ABC  : P 1,500,000.00 PLACE OF DELIVERY : CMTSD WAREHOUSE DITUCALAN, ILIGAN CITY AMOUNT OF BID DOCUMENTS : P 3,000.00</t>
  </si>
  <si>
    <t xml:space="preserve"> R E Q U E S T  F O R   Q U O T A T I O N								 								 								 P.R Number:	2020-06-0463 								 Company Name	: __________________________						 								 Address	: ______________________________							 								 	Please qoute your price on the item/s l</t>
  </si>
  <si>
    <t xml:space="preserve"> For Sewing of Face Mask Republic of the Philippines Technical Education and Skills Development Authority PROVINCE OF BILIRAN Cabucgayan National School of Arts and Trades Libertad, Cabucgayan, Biliran Email Address: tesdacnsat@yahoo.com Please quote your </t>
  </si>
  <si>
    <t xml:space="preserve"> *PADLOCK - Brass, Big (5 pcs) *GARBAGE BAG - Polyethylene, XL, Transparent, Colorless, 10's/pack (10 packs) *SACK - Abaka Sacks (40 pcs) *BATTERY - AA, 4pcs/pack (30 packs) *BATTERY - AAA, 2pcs/pack (50 packs) *DISWASHING LIQUID - 1 Liter (20 bottles) *DR</t>
  </si>
  <si>
    <t xml:space="preserve"> 4          PCS.                     WEB CAMERA (FULL HIGH DEFINITION)             PHP14,800.00  - 1920 X 1080 PX 3           PCS.            TRIPOD FOR WEB CAMERA                  PHP7,500.00 3             PCS.                   CONFERENCE SPEAKER WITH MI</t>
  </si>
  <si>
    <t xml:space="preserve"> Republic of the Philippines DEPARTMENT OF HEALTH DR. JOSE RIZAL MEMORIAL HOSPITAL Lawaan, Dapitan City Telefax; (065) 213-6421 Website: www.djrmh.doh.gov.ph Email: dohdjrmh@gmail.com BIDS AND AWARDS COMMITTEE INVITATION TO BID PROCUREMENT OF MOTOR VEHICLE</t>
  </si>
  <si>
    <t xml:space="preserve"> Supply and Delivery of Misting Solution for RHU use for treatment of mosquito infested areas.</t>
  </si>
  <si>
    <t xml:space="preserve"> 2 ea Rotary type compressor panasonic carrier 2HP &amp; 17 Others</t>
  </si>
  <si>
    <t xml:space="preserve"> Materials only: -15- drums - Bituminous Tack Coat (Cationic Rapid Setting, CRS-2) -20- drums - Penetration Asphalt, 60/70</t>
  </si>
  <si>
    <t xml:space="preserve"> Republic of the Philippines Province of Negros Occidental Municipality of Pontevedra BIDS AND AWARDS COMMITTEE INVITATION TO BID 	The Brgy. Canroma, Pontevedra, Negros Occidental through its Bids and Awards Committee (BAC), invites all prospective bidders</t>
  </si>
  <si>
    <t xml:space="preserve"> Republic of the Philippines Province of Ifugao BIDS AND AWARDS COMMITTEE Banaue, Ifugao Invitation to Bid for Street Lighting Publication No. INF-2020-003 1.	The Municipal Government of Banaue, through the Local Government Fund (LGU) 2020 intends to apply</t>
  </si>
  <si>
    <t xml:space="preserve"> 8-Units-GADGET for GGET (Gadget for Good Governance with Enhanced Technology) Specifications: Type: Booklet Connection: Wifi, WiFi + Cellular OS: Android OS ver.: Android 9.0 PIE, One UI CPU: Octa-core CPU Speed: 2x 1.8GHz Cortex-A73 &amp; 6x 1.6GHz Cortex-A5</t>
  </si>
  <si>
    <t xml:space="preserve"> Republic of the Phillipines			 		DEPARTMENT OF TRADE &amp; INDUSTRY-X			 		Antonio-Luna corner Corrales Avenue			 		Cagayan de Oro City			 					 				PR #:	2020-06-169A 		REQUEST FOR QUOTATION		DATE:	6/29/2020 					 					 					6/29/2020 					DATE Supplier:				</t>
  </si>
  <si>
    <t xml:space="preserve"> Printed Material - ECCD Checklist, 12-pages, colored board cover, 6" x 8"  Printed Material - Family Card, board paper</t>
  </si>
  <si>
    <t xml:space="preserve"> CONSTRUCTION OF BENCH FLUME - LABOR</t>
  </si>
  <si>
    <t xml:space="preserve"> Supply of materials only.  Submission of Quotations; on or before July 3, 2020; 10:000 am</t>
  </si>
  <si>
    <t xml:space="preserve"> Work Item No.	Qty .    	Unit of Issue                                        	Item Description 1102. 1.1	       160	          Cu.m	                                           Roadway Excavation 506	                 24	          Cu.m	                       </t>
  </si>
  <si>
    <t xml:space="preserve"> Asstd office supplies-for office use-mho</t>
  </si>
  <si>
    <t xml:space="preserve"> RFQ-TFB-11-2020 Republic of the Philippines Province of Davao Oriental CITY OF MATI BIDS AND AWARDS COMMITTEE (Local Funding Source) REQUEST FOR QUOTATION (Negotiated Procurement – Two Failed Biddings) 		 Name of Company:	 Address:	 Telephone No.:	 Please</t>
  </si>
  <si>
    <t xml:space="preserve"> PR.No. ____________________ Republic of the Philippines Region XII Province of Cotabato Municipality of Aleosan  OFFICE OF BIDS AND AWARDS COMMITTEE REQUEST FOR QUOTATION __________________________ Name of Company __________________________ Address 	The L</t>
  </si>
  <si>
    <t xml:space="preserve"> Publication: June 30, 2020 Closing: July 3 2020 Name of Project	General Cleaning Services of Airconditioning Units of the City Government of Vigan Approved Budget for the Contract	 ₱230,000.00 Contract Period:	1 Month Item No.	ITEM DESCRIPTION	QTY	UNIT	UN</t>
  </si>
  <si>
    <t xml:space="preserve"> INVITATION FOR SUBMISSION OF QUOTATION (SMALL VALUE PROCUREMENT) 	The local Government Unit of Can-avid, through is Bid and Awards Committee (BAC). Invites suppliers to apply for eligibility, to bid for the hereunder contract: Name of Contract:  	Hardware</t>
  </si>
  <si>
    <t xml:space="preserve"> Other Supplies and Materials (Rehab) July to September 2020</t>
  </si>
  <si>
    <t xml:space="preserve"> Republic of the Philippines  Province of Samar Municipality of Jiabong Invitation to Bid  Emergency Purchase to Prevent Spread of Covid 19 (PRN2020-4-112) Jiab-2020-1B The Municipal Government of Jiabong, Samar, through LGU OF JIABONG   intends to apply t</t>
  </si>
  <si>
    <t xml:space="preserve"> INVITATION TO APPLY FOR ELIGIBILITY AND TO BID (IAEB)   The Municipality of Molave, Zamboanga del Sur, through its General Appropriations, invites suppliers/distributors to apply for eligibility and to bid for the hereunder project:   Name of Project     </t>
  </si>
  <si>
    <t xml:space="preserve"> *BANDAGE - Elastic, 6" x 15ft (100 pcs) *BANDAGE - Elastic, 4" x 15ft (100 pcs) *BANDAGE - Elastic, 2" x 15ft (100 pcs) *MASK - Non-Rebreather Mask with Reservoir (220 pcs) *FACE MASK - Surgical, 3 Layers, Non-Woven Earloop with Metal Nose Slip, 50pcs/box</t>
  </si>
  <si>
    <t xml:space="preserve"> Ink for Printer WF-C5790 (Eco-Friendly) -6- pcs. - Black C13T948100 -6- pcs. - Cyan C13T948200 -6- pcs. - Magenta C13T948300 -6- pcs. - Yellow C13T948400</t>
  </si>
  <si>
    <t xml:space="preserve"> June 29, 2020 INVITATION TO BID  Reference No. 7073532 /Solicitation No.20-24 The City Government of Tagum invites interested Bidders/Suppliers to bid for the following: Name of Contract         :  120 UNITS OF LAPTOP COMPUTER FOR THE USE OF DEPED       -</t>
  </si>
  <si>
    <t xml:space="preserve"> Republic of the Philippines PROVINCE OF AGUSAN DEL SUR Municipality of San Luis Invitation to Bid ============================================ Construction of Municipal Slaughterhouse (Phase-1) 1.	The Municipal Government of San Luis, Agusan del Sur, rese</t>
  </si>
  <si>
    <t xml:space="preserve"> 1	unit	Desktop Computer Set w/ Printer 2	units	Printer 3in1</t>
  </si>
  <si>
    <t xml:space="preserve"> Bond Paper subs 20 size:A4 (100 reams) Bond Paper subs 20 size:Letter (20 reams) Bond Paper subs 20 size:Long (100 reams) Alcohol (30 bottles) Scissors (10 Pieces) Press board Folder - Long Size:Blue (100 Pieces) Press board Folder - Long Size:Yellow (150</t>
  </si>
  <si>
    <t xml:space="preserve"> JOB ORDER: Provision of Catering Services, good for  30 pax for the Conduct of CY 2020 Program Level  Fourth Quarter Assessment on November 25, 26 &amp; 27, 2020 at DA-RFO 8, Tacloban City. No.	Scope of Work	Quantity	Unit_Cost	ABC 	Menu			 Day 1	AM Snacks: Su</t>
  </si>
  <si>
    <t xml:space="preserve"> INVITATION TO BID									 									 The LOCAL GOVERNMENT UNIT OF SINDANGAN, through its Bids and Awards Committee (BAC), hereby invites suppliers/manufacturers/ distributors/contractors to apply for eligibility and to bid for the hereunder project.						</t>
  </si>
  <si>
    <t xml:space="preserve"> See attached Request for Quotation.</t>
  </si>
  <si>
    <t xml:space="preserve"> Procurement of Various Supplies to be used in the project(SPA eJ: Soap Provision &amp; Allocation for every Juan)</t>
  </si>
  <si>
    <t xml:space="preserve"> Negotiated Procurement</t>
  </si>
  <si>
    <t xml:space="preserve"> 1	DESKTOP PC (SYSTEM UNIT ONLY), RYZEN 3-3200G, A320M CHIP,				7	UNIT 	4GB RAD DDR4, (250 GB SATA, 1TB HARD DISK											 2	UPS WITH AVR PROTECTION, 700-800 VA									3	UNIT	 	X-X-X-X-X-X-X-X-X-X-X											 	FOR USE OF DARMO OFFICES</t>
  </si>
  <si>
    <t xml:space="preserve"> Republic of the Philippines Province of Lanao del Norte MUNICIPALITY OF MAIGO INVITATION TO BID The LGU-MAIGO, Lanao del Norte, through its Bids and Awards Committee (BAC) invites suppliers/manufacturers/distributors/contractors to apply for eligibility a</t>
  </si>
  <si>
    <t xml:space="preserve"> -50- rolls - Mylar Film, 24 x 20, 75 Microns</t>
  </si>
  <si>
    <t xml:space="preserve"> 1 lot Photocopier rental</t>
  </si>
  <si>
    <t xml:space="preserve"> Preventive Maintenance of Road: Asphalt Overlay</t>
  </si>
  <si>
    <t xml:space="preserve"> 1.	1	unit	Submersible Pump 7.5hp, 220volts, Single Phase Minimum of 70gpm and 53 meter Pump Head 2.	1	set	Splicing Kit 3.	1	lot	Labor (Pullout &amp; Replacement of Submersible Pump)</t>
  </si>
  <si>
    <t xml:space="preserve"> 1	unit	Split Type Aircon 3.0HP Inverter 		with Installation</t>
  </si>
  <si>
    <t xml:space="preserve"> Supply and Delivery of Office Furnitures intended for LGU Manito Albay as listed in the bill of quantities and specifications.</t>
  </si>
  <si>
    <t xml:space="preserve"> Supply/installation of transformer-maint of public market-meo</t>
  </si>
  <si>
    <t xml:space="preserve"> Date:	 					 COMPANY NAME: _________________________________					 LOCATION: _______________________________________					 					 					 REQUEST FOR QUOTATION					 					 Gentlemen/Madam:					 					      Please quote your lowest price on the item/s listed belo</t>
  </si>
  <si>
    <t xml:space="preserve"> 5 units Wireless router Please see and download the attachment</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</si>
  <si>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</si>
  <si>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The Kasiglahan Village Elementary School through its Bids and Awards Committee will undertake a Small Value Procurement /Negotiated Procurement (emergency cases) for the “Supply and delivery of office supplies for the month of May 2020 for Kasiglahan Vill</t>
  </si>
  <si>
    <t xml:space="preserve"> CONSTRUCTION OF SOLAR STREET LIGHTS @ SITIO LAWIS, BRGY. TAGLAWIGAN, SAN ISIDRO, LEYTE CONSTRUCTION OF 3.0 UNITS INTEGRATED SOLAR STREET LIGHTS WITH STEEL POST AND CONCRETE FOOTING.</t>
  </si>
  <si>
    <t xml:space="preserve"> PURCHASE OF SEMI EXPENDABLE OFFICE EQUIPMENT (BARCODE SCANNER &amp; PRINTER) FOR IMPLEMENTATION OF PREMIS OF PASMS</t>
  </si>
  <si>
    <t xml:space="preserve"> 60	Piece	Data Storage, CD-R with case 12	roll	Bidning Tape, 2-1/2", yellow 12	roll	Bidning Tape,2-1/2", Blue 2	pack	Glassine Bag,16 x 7 cm 1	Unit	Reversible Whiteboard with aluminum satnd with wheels 2 sides white dry erase or marker board with aliminum f</t>
  </si>
  <si>
    <t xml:space="preserve"> INVITATION FOR SUBMISSION OF QUOTATION (SMALL VALUE PROCUREMENT) 	The local Government Unit of Can-avid, through is Bid and Awards Committee (BAC). Invites suppliers to apply for eligibility, to bid for the hereunder contract: Name of Contract:  	Catering</t>
  </si>
  <si>
    <t xml:space="preserve"> RFQ</t>
  </si>
  <si>
    <t xml:space="preserve"> NTC permit repeater VHR repeater with interface and commisioning Lo - lost Antenna with cable 50 Ohms with PG 259 G.I wire #12 G.I turn buckle #12 Ankle Plate #12 Repaint and Installation Battery Back up 12V 80amp</t>
  </si>
  <si>
    <t xml:space="preserve"> 1 unit  Desktop Computer 1 unit   Printer  1 unit   Camera</t>
  </si>
  <si>
    <t xml:space="preserve"> H E A D Q U A R T E R S								 108TH CONTRACTING OFFICE								 ARMED FORCES OF THE PHILIPPINES PROCUREMENT SERVICE								 Camp Lukban, Catbalogan City								 								 108COX						Date:		 								 REQUEST FOR QUOTATION								 								 SIR/MADAM:						</t>
  </si>
  <si>
    <t xml:space="preserve"> PLASTIC BARRIERS WITH DPWH LOGO	50	PCS TRAFFIC CONES WITH DPWH LOGO	136	PCS FOR USE IN THE TRAFFIC RE-DIRECTION OR ADVANCE WARNING HAZARDS &amp; DANGERS IN THE IMPLEMENTATION OF ROAD MAINTENANCE ACTIVITIES.</t>
  </si>
  <si>
    <t xml:space="preserve"> 1 Cling Wrap (6 rolls/box) 300 meters/roll 36 box Php 2,016.00 2 2 division carton (Lunch Pack) 5.5inches Length, 5.3inches Width, 1.2inches Height 2400 pcs Php 8.70 3 Soup Bowls (carton) 220cc/1,000's/box 20 box Php 1,635.00 xxxxxxxxxx &gt;For Dietary use f</t>
  </si>
  <si>
    <t xml:space="preserve"> Medical Dental and Laboratory Supplies For 3rd Quarter of CY 2020</t>
  </si>
  <si>
    <t xml:space="preserve"> 15200 liters DIESEL</t>
  </si>
  <si>
    <t xml:space="preserve"> June 29, 2020 INVITATION TO BID  Reference No. 7073570 /Solicitation No.20-24 The City Government of Tagum invites interested Bidders/Suppliers to bid for the following: Name of Contract         :  CONSTRUCTION MATERIALS &amp; SUPPLIES FOR THE USE OF CMO – CO</t>
  </si>
  <si>
    <t xml:space="preserve"> See attached RFQ</t>
  </si>
  <si>
    <t xml:space="preserve"> Invitation to Bid 								 June 29, 2020 1.	The Barangay Local Government Unit of Poblacion through the Bids and Awards Committee advertised an Invitation to bid for the Tupaan – Bileng Road Construction funded under 20% BLDF – 2020 with an Approved Budge</t>
  </si>
  <si>
    <t xml:space="preserve"> Purchase of Desktop for HRM Office @ Samal,Bataan 1 set - Desktop Intel i5 9400, 8gb           ram, 1tbhdd, dvd writer, keyboard,           mouse, 19.5" monitor, apc ups</t>
  </si>
  <si>
    <t xml:space="preserve"> 5 Ampalaya 50 grams/can 5 Eggplant  50 grams/can 7 String Beans Kilo 8 Cucumber 250 Grams/can 7 Squash Kilo 8 Pechay Kilo 6 Upo 250 Grams/can 7 Patola 250 Grams/can 7 Kangkong Kilo  7 Okra kilo</t>
  </si>
  <si>
    <t xml:space="preserve"> Municipality of Claver				Project Reference Number: _______________ 						Name of the Project: ___________________ 						Location of the Project:_________________ Standard Form Number: SF- GOOD-60 Revised: May 24, 2004 Standard Form Title: REQUEST FOR QUO</t>
  </si>
  <si>
    <t xml:space="preserve"> INVITATION FOR SUBMISSION OF QUOTATION (SMALL VALUE PROCUREMENT) 	The local Government Unit of Can-avid, through is Bid and Awards Committee (BAC). Invites suppliers to apply for eligibility, to bid for the hereunder contract: Name of Contract:  	Lunch fo</t>
  </si>
  <si>
    <t xml:space="preserve"> REQUEST FOR QUOTATION Price Quotation No.: CSWD-SSRFQ-2020-06-013 The Castillejos Water District through its Bids &amp; Awards Committee will undertake a procurement transaction for the SUPPLY AND DELIVERY OF CHLORINE HYPOCHLORITE AND LIQUID CHLORINE DIOXIDE </t>
  </si>
  <si>
    <t xml:space="preserve"> 20PCS DOOR KNOB AND 19 LINE ITEMS</t>
  </si>
  <si>
    <t xml:space="preserve"> To be delivered at Dumalag Vocational Technical School</t>
  </si>
  <si>
    <t xml:space="preserve"> 1 unit Desktop Computer, etc. SPO</t>
  </si>
  <si>
    <t xml:space="preserve"> MG-TSE20-024..TESTER, INSULATION AT 10 KV ABC  : P 1,200,000.00 PLACE OF DELIVERY : CMTSD WAREHOUSE DITUCALAN, ILIGAN CITY AMOUNT OF BID DOCUMENTS : P3,000.00</t>
  </si>
  <si>
    <t xml:space="preserve"> Republic of the Philippines Department of Justice BUREAU OF CORRECTIONS SAN RAMON PRISON AND PENAL FARM Zamboanga City Request for Quotation The San Ramon Prison And Penal Farm, through its Bids and Awards Committee, request your lowest quotation of Compu</t>
  </si>
  <si>
    <t xml:space="preserve"> 1 unit recirculating chiller/cooler Digitally set temperature, easy to read LED display, quiet operation Lowest temperature w/ zero load: -15 c, refregierant cpaacity: 1328-319W circulating performance flow: 20L/min lift: 4-6 meters temperature range: -10</t>
  </si>
  <si>
    <t xml:space="preserve"> Republic of the Philippines  Province of Samar Municipality of Jiabong Invitation to Bid  Emergency Purchase to Prevent Spread of Covid 19 (PRN2020-4-113) Jiab-2020-2B The Municipal Government of Jiabong, Samar, through LGU OF JIABONG   intends to apply t</t>
  </si>
  <si>
    <t xml:space="preserve"> Various Office Supplies for 3rd Quarter 2020</t>
  </si>
  <si>
    <t xml:space="preserve"> Republic of the Philippines BIDS AND AWARDS COMMITTEE Brgy. #5 DAVILA Pasuquin, Ilocos Norte REQUEST FOR QUOTATION ________________________                                                           DATE: _________________                     Name of Suppl</t>
  </si>
  <si>
    <t xml:space="preserve"> Invitation to Bid 								 June 29, 2020 1.	The Barangay of Tukucan through the Bids and Awards Committee advertised an Invitation to bid for the Palintaang – Kulili Road Improvement funded under 20% BLDF 2020 with an Approved Budget for the Contract (ABC</t>
  </si>
  <si>
    <t xml:space="preserve"> JOB ORDER: Provision for Catering Services, good for  30 pax for the Conduct of CY 2020 Program Level  3rd Quarter Assessment on September 28, 29 &amp; 30, 2020 at DA-RFO 8, Tacloban City. No.	Scope of Work	Quantity	Unit_Cost	ABC 	Menu:			 Day 1	AM Snack: Cho</t>
  </si>
  <si>
    <t xml:space="preserve"> ITEM NO.	QTY.	UNIT	ITEMS &amp; DESCRIPTION	 				 1	30	pcs	Sharpening Stone	 2	36	pcs	Hat (Payabyab)	 3	40	pairs	Rain Boots, (female/male)	 4	20	rolls	Barbwire, 30kls	 5	30	pcs	Sickle (kumpay)	 6	1	pc	Grease Pump	 7	35	pcs	Glove, Cloth Knitted	 8	10	pcs	Rainco</t>
  </si>
  <si>
    <t xml:space="preserve"> Republic of the Philippines Department of Education National Capital Region Schools Division Office - Taguig City and Pateros SILANGAN ELEMENTARY SCHOOL Telephone Nos. (02) 478-9458          JUNE 29, 2020                                     BIDS AND AWARD</t>
  </si>
  <si>
    <t xml:space="preserve"> Various Drugs And Medicines</t>
  </si>
  <si>
    <t xml:space="preserve"> 1 Meal and 2 Snacks		 Meal               Lunch		 Rice, 2-3 Viands, Side Dishes, Desserts, Fruits &amp; Drinks		 Snacks		 AM &amp; PM w/ drinks		 Activity                      Date                    Days		 MDRRMC Meeting  July 22, 2020        1	61	pax BDRRMC Meet</t>
  </si>
  <si>
    <t xml:space="preserve"> LIWAD is in need of R-Vat Motor Controller for its pump station. Specification are stated in the RFQ form attached to this post.</t>
  </si>
  <si>
    <t xml:space="preserve"> Purchase of Desktop for PNP Office @ Samal,Bataan 1 set - Desktop Intel i5 9400, 8gb ram           1 tbhdd, dvd writer, keyboard,           mouse, 19.5" monitor, apc ups</t>
  </si>
  <si>
    <t xml:space="preserve"> MG-TSE20-032..REHAB/REPAIR OF VARIOUS DEFECTIVE LOW/MEDIUM/HIGH VOLTAGE EQUIPMENT ABC  : P 1,021,500.00 PLACE OF DELIVERY : CMTSD WAREHOUSE DITUCALAN, ILIGAN CITY AMOUNT OF BID DOCUMENTS : P 3,000.00</t>
  </si>
  <si>
    <t xml:space="preserve"> Top Engine Overhaul Change Oil Change Tire</t>
  </si>
  <si>
    <t xml:space="preserve"> 1 unit Brand New Pick Up: Specifications: Overall Dimension (LWH)(mm): 4314*1809*1648 Kerb Weight (kg): 1258 GVW (kg): 1720 Wheelbase (mm): 3096 Wheel track (mm): Front: 1526, Rear: 1536 Rear leg room (mm): 926 Rear head room (mm): 995 Min. turning Radius</t>
  </si>
  <si>
    <t xml:space="preserve"> 1	PC	FRONT BUMPER ASSEMBLY		 2	PCS	SIDE MIRROR ASSEMBLY		 2	PCS	BATTERY		 2	PCS	HEAD LIGHT BULB		 1	PC	CLUCTH DISC		 1	PC	CLUCTH PRESSURE PLATE		 1	PC	RELEASE BEARING		 1	PC	PILOT BEARING		 3	PCS	GEAR OIL		 2	PCS	BRAKE CLEANER		 1	PC	FRONT BUMPER PAINTING</t>
  </si>
  <si>
    <t xml:space="preserve"> The Department of Agriculture-RFO 3, invites interested suppliers to submit quotations/proposals for the hereunder requirement, to wit: 8	set	Foot Operated Hand Sanitizer Interested Suppliers may download and examine the attached Request for Quotation For</t>
  </si>
  <si>
    <t xml:space="preserve"> MG-TSE20-022..SWITCH, ISOLATION, METERING PROTECTION SYSTEM ABC  : P 2,000,000.00 PLACE OF DELIVERY : CMTSD WAREHOUSE DITUCALAN, ILIGAN CITY AMOUNT OF BID DOCUMENTS : P 3,000.00</t>
  </si>
  <si>
    <t xml:space="preserve"> Materials: -100- bags - Thermoplastic Paint Yellow (25 kgs./bag.)</t>
  </si>
  <si>
    <t xml:space="preserve"> ITEM NO.	QTY.	UNIT	ITEMS &amp; DESCRIPTION	 				 			Farm Inputs	 1	2000	kgs	Seed (Pigmented Rice)	 2	275	bags	Organic Fertilizer (Vermicast)	 3	25	bags	Urea	 4	25	bags	14-14-14	 5	75	ltrs	Foliar Fertilizer</t>
  </si>
  <si>
    <t xml:space="preserve"> 200 boxs dried noodles  location: mdrrmc office, gutalac, zamboanga del norte approved budget for the contract: php105,000.00 opening of bids: july 9, 2020     2:00 pm submission of bids: on or before opening of bids non refundable fee for bidding documen</t>
  </si>
  <si>
    <t xml:space="preserve"> 1 unit overhead projector 1 unit 3-in-1 printer 1 unit desktop computer 1 lot office tables and chairs</t>
  </si>
  <si>
    <t xml:space="preserve"> Invitation to Bid 								 June 29, 2020 1.	The Barangay of Wangwang through the Bids and Awards Committee advertised an Invitation to bid for the Package 01: A. Bawi – Lebeng Concrete Pathway Extension, B. Ambuyeng CIS Improvement, C. Gaday – Huyukto FMR</t>
  </si>
  <si>
    <t xml:space="preserve"> REQUEST FOR QUOTATION (RFQ) 	The PHILIPPINE PORTS AUTHORITY (PPA), PMO-Surigao, through its Bids and Awards Committee (BAC)-Infra &amp; GOODS, hereby notifies entities duly registered with the Philippine Government Electronic Procurement System (PhilGEPS) to </t>
  </si>
  <si>
    <t xml:space="preserve"> see attached purchse request</t>
  </si>
  <si>
    <t xml:space="preserve"> INVITATION TO QUOTE Date:  June 26, 2020 1.	The Provincial Government of Davao del Sur, through its Bids and Awards Committee (BAC), invites all interested bidders/suppliers to quote for the following goods under Alternative Methods of Procurement (Small </t>
  </si>
  <si>
    <t xml:space="preserve"> ICT Supplies for Project CAIT, Project SABAP, Office Supplies and Others</t>
  </si>
  <si>
    <t xml:space="preserve"> 3 sets Desktop Computer CPU Intel i5 - 9400F Prime B365M - A 8GB DDR4 Memory 1TB HDD 120GB SSD Palit GTX1050TI 4GB GDDR5 Neutron Colt 9001R Casing Keyboard &amp; Mouse 3 units Computer Monitor 21.5" 3 units UPS 625VA 5 units Inkjet Printer (Print, Scan, and C</t>
  </si>
  <si>
    <t xml:space="preserve"> Republic of the Philippines DEPARTMENT OF HEALTH DR. JOSE RIZAL MEMORIAL HOSPITAL Lawaan, Dapitan City Telefax; (065) 213-6421 Website: www.djrmh.doh.gov.ph Email: dohdjrmh@gmail.com BIDS AND AWARDS COMMITTEE INVITATION TO BID PROCUREMENT FOR THE PROPOSED</t>
  </si>
  <si>
    <t xml:space="preserve"> Maintenance of St Lights</t>
  </si>
  <si>
    <t xml:space="preserve"> CONSTRUCTION OF CONCRETE PATHWAY @ BRGY. DAJA DAKU CONCRETING OF 54.00 M. X 1.0 M. LOCAL ACCESS ROAD ( THICKNESS = 0.10 M.)</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</si>
  <si>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</si>
  <si>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40   Length    uPVC Pipe 3" dia x 6m long (Class 150)  (ISO cert) 2     pc           Mechanical Gate Valve 3" diameter (ISO cert) 20   pc           Tee Reducer (1" x 3/4" x 1") dia GI (ISO cert) 10   roll          PTFE Thread Seal Tape; 0.075mm x 1/2" x 1</t>
  </si>
  <si>
    <t xml:space="preserve"> The Department of Agriculture-RFO 3, invites interested suppliers to submit quotations/proposals for the hereunder requirement, to wit: 3	UNIT	 Laptop 	 		 Processor: Intel Core i5-8250U Processor (6M Cache, up to 3.40 GHz) 	 		 Operating System: Windows </t>
  </si>
  <si>
    <t xml:space="preserve"> 1	unit	Binding Machine  (24 holes) 2	unit	Printer 3N1 Continuous ink with scanner 1	unit	Photocopier Machine 1	unit	Laptop core i5/4GB/1TB 2	ctrg	Sharp Ink Toner Catridge (MX-238TF) 5	bot	Epson Printer ink #003 Black 5	bot	Epson Printer ink #003 Cyan 5	bo</t>
  </si>
  <si>
    <t xml:space="preserve"> Supply and Delivery of Various Replacement of Defective Parts of Esser/gent Fire Alarm System</t>
  </si>
  <si>
    <t xml:space="preserve"> Portable Inverter Power Generator Set 5KVA 10HP Watercooled, Silent type, Diesel</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</si>
  <si>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</si>
  <si>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ITEM NO.	QTY.	UNIT	ITEMS &amp; DESCRIPTION	 				 1	1	l.s	Conduct of Fieldwork Survey for 12 Barangays	 			in the Municipality of Aglipay, Quirino	 				 			 - gather data on individual health &amp; nutrition profile	 			for the pre-development of a GIS- based info</t>
  </si>
  <si>
    <t xml:space="preserve"> THE MUNICIPALITY OF PILAR WOULD LIKE TO PURCHASE FUEL &amp; LUBRICANTS UNDER BGCM INCLUDING FREIGHT &amp; HANDLING</t>
  </si>
  <si>
    <t xml:space="preserve"> Republic of the Philippines Office of the Punong Barangay BIDS AND AWARDS COMMITTEE Barangay #5 Davila, Pasuquin, Ilocos Norte INVITATION TO BID FOR  	Purchase of Construction Materials &amp; Supplies for the Improvement of Manpower Development Center and Ele</t>
  </si>
  <si>
    <t xml:space="preserve"> 2 pcs, Plywood Marine 3/4 10 pcs, Edging 1/2 x 1 x 8 6 pcs, Quarter C 1/2 x 1 x 8 6 pcs, Center Moulding 1/2 x 1 x 8 1 kg, Common Nail 1 1/2 1 kg, Common Nail 1 2 liter, Wood Glue 1 gallon, Glazing Lacquer Putty 1 gallon, QDE White 1 gallon, Lacquer Prime</t>
  </si>
  <si>
    <t xml:space="preserve"> 1 set Desktop Computer, etc. KDH</t>
  </si>
  <si>
    <t xml:space="preserve"> 60 pcs 0.50 mm thin ribtype roof panel x 3.65 40 pcs ridge roll 0.60mm x 0.60m x 2.40 100 pcs 1.5" x 1.5" x [1]0mm tubular. GI 2 rolls 10mm thk laminated roof insulator 4 tubes silicon sealant 1000 pcs tekscrew 2" 200 pcs blind rivets 5/32 4 pcs drill bit</t>
  </si>
  <si>
    <t xml:space="preserve"> 3	gallon	Dishwashing Liquid 116	can	Air Freshner, Aerosol,280ml/150g minimum per can 391	bottle	Ethyl Alcohol,68%-70%, Scented,500 ml per piece 37	piece	Soft Broom (Tambo) 19	piece	Stick Broom (Ting-ting) 57	can	Furniture cleaner, aerosol type, 300ml min </t>
  </si>
  <si>
    <t xml:space="preserve"> To be delivered at:  PhilHealth Regional Office IX  BGIDC Corporate Center Governor Lim Avenue Zamboanga City Please use the attached RFQ when submitting your quotation</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</si>
  <si>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</si>
  <si>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INVITATION TO QUOTE Date:  June 29, 2020 1.	The Provincial Government of Davao del Sur, through its Bids and Awards Committee (BAC), invites all interested bidders/suppliers to quote for the following goods under Alternative Methods of Procurement (Small </t>
  </si>
  <si>
    <t xml:space="preserve"> RFQ No. 2020-____ 										         Date___________ REQUEST FOR QUOTATION Replacement of tire for the maintenance of Compactor-5 (SKX 577) 	 The Municipal Government of Pinamalayan herein after referred to as “the Purchaser”, through its Bids and Awards </t>
  </si>
  <si>
    <t xml:space="preserve"> 2 UNITS SPLIT TYPE INVERTER AIRCON 2HP</t>
  </si>
  <si>
    <t xml:space="preserve"> pcs	12mm Ø rebars	50 pcs	10mm Ø rebars	25 kls	5/8" x 7" bolts &amp; nuts	1 kls	tie wire	10 kls	3" CWN	7 kls	4" CWN	10 kls	2" CWN	5 kls	1" CWN	2 kls	umbrella nails	10 pcs	10 Corr. Gl sheet 40mm	48 bags	portland cement	60 pbs	ridge roll	6 pbs	G.l flashing	10 lt</t>
  </si>
  <si>
    <t xml:space="preserve"> E-Billboard and Bulletin Board Maintenance</t>
  </si>
  <si>
    <t xml:space="preserve"> REPUBLIC OF THE PHILIPPINES PROVINCE OF SIQUIJOR MUNICIPALITY OF MARIA BARANGAY LOCAL GOVERNMENT UNIT OF LOGUCAN INVITATION TO BID FOR PROCUREMENT OF VARIOUS PLUMBING MATERIALS-LOGUCAN/LOG-0001G-2020 1.	The Barangay Local Government Unit of Logucan of the</t>
  </si>
  <si>
    <t xml:space="preserve"> please see attached purchase request</t>
  </si>
  <si>
    <t xml:space="preserve"> Republic of the Philippines Province of Romblon MUNICIPALITY OF ALCANTARA -oOo- INVITATION TO BID FOR  PURCHASE OF MATERIALS FOR COMPLETION OF  CALAGONSAO MULTI-PURPOSE HALL        Calagonsao,  Alcantara, Romblon The Local Government Unit of Alcantara, Ro</t>
  </si>
  <si>
    <t xml:space="preserve"> JOB ORDER: Supply labor and materials for the Repair of plant Nursery Shed (Net Shade) at Babatngon Experiment Station, Brgy. Bagong Silang, Babatngon, Leyte. No.	Scope of Work	Quantity	Unit_Cost	ABC Spcl I	SIGNBOARD/ BILLBOARD     SQ.FT.	32	140.11	 I.	SI</t>
  </si>
  <si>
    <t xml:space="preserve"> 1 LOT SUPPLY, DELIVERY, INSTALLATION, LABOR AND MATERIALS FOR THE PROPOSED LANDBANK HIMAMAYLAN BRANCH TEMPORARY SITE I.	SITE WORKS a.	Dismantling/Demolition of the following: &gt;	Stickers at main entrance door, POSTBANK signage and ATM signage at façade &gt;	F</t>
  </si>
  <si>
    <t xml:space="preserve"> Purchase of supplies for daily hygiene needs of residents of Haven for Women and Girls Liquid bleach 1 gallon - 24 gallons Bathsoap 85g x 96 - 4 boxes Detergent bar soap 380 g x 36's - 4 boxes Detergent powder soap 2 kg - 72 pcs Shampoo anti-dandruff for </t>
  </si>
  <si>
    <t xml:space="preserve"> 42	roll	Nylon String,Tansi (1kg/roll) 60	piece	Plastic Sack,20kg cap 1735	piece	Net Bag, 19" x 26", with nylon string 600	piece	Net Bag, 6" x 8", with nylon string 30	piece	Net Bag, 8" x 12", with nylon string 55	piece	Plastic bottle sprayer,50ml cap 80	r</t>
  </si>
  <si>
    <t xml:space="preserve"> Supply and Delivery of IT and Office Equipment intended for LGU Manito Albay all in accordance with the approved bill of quantities and specifications.</t>
  </si>
  <si>
    <t xml:space="preserve"> Republic of the Philippines						 Province of Cebu 						 Municipality of Alcantara 						 						 OFFICE OF THE MUNICIPAL HEALTH OFFICER 						 						 Municipality 		        : Alcantara 				 Address		                : Poblacion Alcantara, Cebu 				 Source</t>
  </si>
  <si>
    <t xml:space="preserve"> Republic of the Philippines PROVINCE OF ZAMBOANGA SIBUGAY Municipality of Mabuhay OFFICE OF THE BAC CHAIRMAN INVITATION TO BID June 30, 2020  To all interested Bidders; Notice is hereby served that sealed bid be received for public bidding under the harmo</t>
  </si>
  <si>
    <t xml:space="preserve"> 1. The Municipal Government of Sta. Cruz, through its 20% Municipal Development Fund intends to apply the sum of Two Million Ninety Nine Thousand Nine Hundred Eighty Seven Pesos and 71/100 (P2,099,987.71) being the Approved Budget for the Contract (ABC) t</t>
  </si>
  <si>
    <t xml:space="preserve"> UMBRELLA UPSIDE DOWN INVERTED UMBRELLA</t>
  </si>
  <si>
    <t xml:space="preserve"> 3 cu.m Mixed Sand and Gravel  6 pcs Plyboard 3/4" 10 pcs 2"x4"x12' Coco Lumber  32 Bags Cement  1 Kg CWN #3 33 Sheets GI Plain Sheets  15 Length GI Pipe 1/2" 975 Pcs Teckscrew #2 2 Pcs Paint Brush #2 1 Kg CWN #2 20 Length GI Pipe 1" 37 Lenght 1"x1"x1/8 An</t>
  </si>
  <si>
    <t xml:space="preserve"> Conduct of Geo-Resistivity Test, 18 VES</t>
  </si>
  <si>
    <t xml:space="preserve"> INVITATION TO BID FOR PROCUREMENT OF ICT EQUIPMENT (SUPPLY AND DELIVERY) 1.	The Philippine Science High School-Bicol Region Campus, through the General Appropriations Act FY 2020 intends to apply the total amount of Two Million Two Hundred Eighteen Thousa</t>
  </si>
  <si>
    <t xml:space="preserve"> 75 pcs Foot Operated Alcohol Dispenser -adjustable -stainless steel material -1 liter alcohol container (initial content free of charge) Purpose: Office &amp; Classroom use</t>
  </si>
  <si>
    <t xml:space="preserve"> Purchase of office consumables (HP toner cartidge) for offical use of HRMDD for printing of certificates Toner cartridge for HP Color Laser Jet Pro 400 M477FNW multifunction printer (any compatible toner) Black - 2 pcs Cyan - 2 pcs Yellow - 2 pcs Magenta </t>
  </si>
  <si>
    <t xml:space="preserve"> Name of the Requirement/ Brief Description	:	One (1) lot – Workshop on International Standard on Assurance Engagements (ISAE 3000), as per BSP Terms of Reference Approved Budget for the Contract (ABC)	:	Php992,000.00, VAT inclusive  (Quotations/Proposals </t>
  </si>
  <si>
    <t xml:space="preserve"> Supply and Delivery of 2 pcs Heavy-Duty Scanners Specifications: with ADF and Flatbed A4 size Note:  -Attach photo and relevant specs in the quotation.  -Attach copy of PhilGEPS Registration/Certificate together with your quotation. -Payment should be in </t>
  </si>
  <si>
    <t xml:space="preserve"> NOTICE OF PROCUREMENT  (For Posting Purposes in the PhilGEPS and DPWH websites)  19CSZ016- Capacity Development of DPWH Staff in Tunnel Operation and Maintenance and Preparation of Tender Documents for Procurement of Services for the Operation and Mainten</t>
  </si>
  <si>
    <t xml:space="preserve"> 200 pcs. Administrtion set Adult (Macroset) 300 pcs. Bloodset 800 pcs. IV Cannula G26</t>
  </si>
  <si>
    <t xml:space="preserve"> Republic of the Philippines  Province of Samar Municipality of Jiabong Invitation to Bid  Emergency Purchase to Prevent Spread of Covid 19 (PRN2020-4-114) Jiab-2020-3B The Municipal Government of Jiabong, Samar, through LGU OF JIABONG   intends to apply t</t>
  </si>
  <si>
    <t xml:space="preserve"> To provide Labor and materials for the Local Access Road Upgrading - Brgy. Hampton to Brgy Palambrag Pre-bid Conference: July 10, 2020 @ 9:00AM, venue: Engineer's Office Opening of Bids - July 28, 2020, 10:00AM Other Information: Letter of Intent must be </t>
  </si>
  <si>
    <t xml:space="preserve"> For Intructional, office works and operational maintenance of nala elementary school</t>
  </si>
  <si>
    <t xml:space="preserve"> QTY	Unit	Agency Specification	 3	pcs	Soap Dispenser	 6	pcs	Linoleum for Foot Bath	 10	gal.	Alcohol/Sanitixing Gel	 2	 pcs 	thermal scanner	 50	 kg 	Chlorine	 3	 pcs 	Spray (Empty Bottle)	 23	 bot 	handwashing liquid soap	 2	pcs	plastic cover (100meters)</t>
  </si>
  <si>
    <t xml:space="preserve"> Contract ID No. 20OH0087 Re-ads Contract Name :  Convergence  and  Special  Support Program - Construction/ Improvement  of  Various Infrastructure in support of National Security - Construction of Typhoon Shelter Hangar for Rotary Aircraft, Colonel Jesus</t>
  </si>
  <si>
    <t xml:space="preserve"> Description   The Department of Agriculture-RFO 3, invites interested suppliers to submit quotations/proposals for the hereunder requirement, to wit: 40	bottle	"Alcohol, 70% Ethly, 500ml  "	 40	pack	"Toilet Tissue, 12 rolls per pack  "	 20	bottle	"Dishwas</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</si>
  <si>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</si>
  <si>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INVITATION TO BID “PUBLIC BIDDING FOR THEANNUAL SUBSCRIPTION AND PREVENTIVE MAINTENANCE OF SECURITY FIREWALL INFRASTRUCTURE FOR THE OFFICE OF THE OMBUDSMAN” 1.	The Office of the Ombudsman through the General Appropriations Act for CY 2020 intends to apply</t>
  </si>
  <si>
    <t xml:space="preserve"> Invitation to Bid FOR THE UPLB-I-022-07-20 SUPPLY, DELIVERY, INSTALLATION, TESTING AND COMMISSIONING OF BRANDED AND BRAND NEW STANDBY GENERATOR SET FOR CAFS-PHTRC 1.	The UNIVERSITY OF THE PHILIPPINES LOS BAÑOS (UPLB), through the GOP (FC: 8265200) intends</t>
  </si>
  <si>
    <t xml:space="preserve"> Please see attached file.</t>
  </si>
  <si>
    <t xml:space="preserve"> Request for Quotation RFQ No.		SVP-028-2020 MR No.		10883 Requisition No. 	CN-20-49 Posting Date:         	July 2, 2020 Deadline for Submission:		July 8, 2020 at 9:00 AM Opening Date:	July 8, 2020 at 10:00 AM 	 TO:	Name of Supplier:_______________________</t>
  </si>
  <si>
    <t xml:space="preserve"> 2 units for handwashing facility it should have a dispenser fr liquid soap and for the water</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</si>
  <si>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</si>
  <si>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Request for Quotation RFQ No.		SVP-027-2020 MR No.		10882 Requisition No. 	CN-20-50 Posting Date:         	July 2, 2020 Deadline for Submission:		July 8, 2020 at 9:00 AM Opening Date:	July 8, 2020 at 10:00 AM 	 TO:	Name of Supplier:_______________________</t>
  </si>
  <si>
    <t xml:space="preserve"> 1	Unit	Fabricated Wood Medicine Cabinet  		2 Columns; 7 Layers with Varnish and Transparent 1/8 inch thick sliding glass 		H=2.15m; L=1.35m; W=0.30m 1	Unit	Fabricated Wood Medicine Cabinet  		2 Columns; 7 Layers with Varnish and Transparent 1/8 inch thick</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</si>
  <si>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</si>
  <si>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Complete Construction of 2 Storey 4 Classroom School Building (Stairwall 5m width, Steel Casement Window at Rear Portion with Security Grilles for the Front Jalousie Window, Fire Protection System, Overhead Tank and Cistern)</t>
  </si>
  <si>
    <t xml:space="preserve"> CONSTRUCTION OF FLOOD CONTROL, RIVERSIDE, JUNCTION, PINUKPUK</t>
  </si>
  <si>
    <t xml:space="preserve"> Complete Construction of 1 Storey 2 Classroom with Handwashing Facility</t>
  </si>
  <si>
    <t xml:space="preserve"> Consultancy Service for Research Institution/Individual Consultant to conduct the Further Analysis of the 2018 National Migration Survey on the Trends and Patterns of Migration Duration July to August 2020 (See attached Term of Reference TOR) Please attac</t>
  </si>
  <si>
    <t xml:space="preserve"> BARANGAY CENTRAL SIGNAL BIDS AND AWARDS COMMITTEE -- Advertisement/Posting of Invitation to Bid ------ July 2, 2020 -- Issuance and Availability of Bid Documents ----- July 2, 2020 -- Deadline for Submission -------------------------- July 9, 2020 @ 3PM -</t>
  </si>
  <si>
    <t xml:space="preserve"> Consultancy Service for Research Institution/Individual Consultant to conduct Further Analysis of 2018 National Migration Survey on the Intra and Inter Regional Trends and Patterns of Migration Duration July to August 2020 (See attached Term of Reference </t>
  </si>
  <si>
    <t xml:space="preserve"> INVITATION TO BID FOR PROCUREMENT OF OFFICE SUPPLIES AND CONSUMABLES  1.	The Philippine Science High School-Bicol Region Campus, through the General Appropriations Act FY 2020 intends to apply the total amount of FIVE HUNDRED SEVENTY-FIVE THOUSAND FIVE HU</t>
  </si>
  <si>
    <t xml:space="preserve"> T-shirt with logo of Masaganang Ani Mataas na kita and ATI ----- 120 Pcs. Long Sleeves (Makapal), Cotton ----- 120 Pcs. Boots ----- 120 Pcs. Hat, Cloth ----- 120 Pcs. Gloves ----- 120 Pcs. Socks, Long, Black ----- 120 Pcs.</t>
  </si>
  <si>
    <t xml:space="preserve"> Purchase of Lawn Mower</t>
  </si>
  <si>
    <t xml:space="preserve"> 1	Set	SIREN, sentry e-6 model, 124Db @ 10ft, 5  selectable alarm tones, made in USA, delivery and                   installation at the municipal building 		 3	Sets	SIREN, blue and red light, attaching mechanism, control mechanism, microphone 		Length = 1</t>
  </si>
  <si>
    <t xml:space="preserve"> Resource Person for the COVID Proofing for the Next Normal Online Learning Sessions and Business Resilience Planning and Consultations for BOHOL MSMEs	 Date: July 14 - 31, 2020	 	 Please see Terms of Reference</t>
  </si>
  <si>
    <t xml:space="preserve"> Split Type 2 HP</t>
  </si>
  <si>
    <t xml:space="preserve"> Polo shirt with embroidered logo of masaganang ani, mataas na kita and ATI ----- 150 Pcs.</t>
  </si>
  <si>
    <t xml:space="preserve"> 1 unit Desktop Computer CPU intel i5 - 9400 F Prime B365M - A 8GB DDR4 Memory 1TB HDD 120GB SSD Palit GTX1050TI 4GB GDDR5 DRW -24D5MT Neutron Colt 9001R Casing Keyboard and Mouse 1 unit Computer MONITOR 21.5" 1 unit UPS 625VA or equivalent</t>
  </si>
  <si>
    <t xml:space="preserve"> 80,000 PCS - ENVELOPE MAILING, NON-WINDOW, BIG (2.50/PC) 200,000 PCS - ENVELOPE MAILING, WINDOW, BIG (2.80/PC) Please be guided by the following: 1.       Price quotation must be based on the Terms of Reference (TOR) / Scope of Work/Services (SOW) / Techn</t>
  </si>
  <si>
    <t xml:space="preserve"> use for waste segregation</t>
  </si>
  <si>
    <t xml:space="preserve"> Supply and Delivery of Prepaid Callcards for the 3rd Qtr. of 2020 21 pcs Globe P500 Prepaid callcards 6 pcs Globe P300 Prepaid callcards 243 pcs Globe P100 Prepaid callcards  12 pcs Smart P500 Prepaid callcards 3 pcs Smart P300 Prepaid callcards 72 pcs Sm</t>
  </si>
  <si>
    <t xml:space="preserve"> 50 pcs, Inflation Bulb with air release valve and ring interlock</t>
  </si>
  <si>
    <t xml:space="preserve"> PROCUREMENT OF 40 PCS. HARROW DISC 24" FOR FARM TRACTOR Office of the Municipal Agriculturist, Mexico, Pampanga</t>
  </si>
  <si>
    <t xml:space="preserve"> toner, bond paper and other consumable items location: sb legislative office, gutalac, zamboanga del norte approved budget for the contract: php200,000.00 opening of bids: july 9, 2020      2:00 pm submission of bids: on or before opening of bids non refu</t>
  </si>
  <si>
    <t xml:space="preserve"> Supply  &amp; Delivery of		    1.	LAPTOP Computer 	1 	unit   	specification: 		   	RAM : 8GB		 	OS: Windows 10 		 	Processor Model: 8th Gen intel 		 	Core I7-8750HQ Quad- Core		    2. 	Desktop PC 	1	unit    	Specification: 		 	A320 motherboard 		 	8GB DDR4 RA</t>
  </si>
  <si>
    <t xml:space="preserve"> Advertising Services:			 	 Airing of ECCD  radio plugs 6-8 spots per day for 30 days	5	12300/month	61,500.00 	Airing of ECCD video clips via Facebook liveto be covered by 5 radio station for 1 month from July 1 to                           July 30, 2020 	</t>
  </si>
  <si>
    <t xml:space="preserve"> 2 units heavy duty rack with deck (large) 2 units heavy duty rack (medium)</t>
  </si>
  <si>
    <t xml:space="preserve"> The Department of Agriculture-RFO 3, invites interested suppliers to submit quotations/proposals for the hereunder requirement, to wit: 1	1 SET	 Operating System: Windows 10 Home 	 		 Memory: 4GB 	 		 1TB HDD 	 		 Intel HD Graphics 	 		 Includes Dell 22" </t>
  </si>
  <si>
    <t xml:space="preserve"> Republic of the Philippines  Province of Samar Municipality of Jiabong Invitation to Bid  Emergency Purchase to Prevent Spread of Covid 19 (PRN2020-4-115) Jiab-2020-4B The Municipal Government of Jiabong, Samar, through LGU OF JIABONG   intends to apply t</t>
  </si>
  <si>
    <t xml:space="preserve"> One Hundred 70% Solution 350ml &amp; Two (2) LI</t>
  </si>
  <si>
    <t xml:space="preserve"> Republic of the Philippines City of Canlaon OFFICE OF THE BIDS AND AWARDS COMMITTEE Invitation to Bid for the CONSTRUCTION OF BUNTIS LOUNGE The City Government of Canlaon City, through Ordinance No. 78, S-2018 intends to apply the sum of  Nine Hundred Sev</t>
  </si>
  <si>
    <t xml:space="preserve"> The National Irrigation Administration, Interim Eastern-Western Samar Irrigation Management Office, Catbalogan City now invites suppliers for ICT Equipment &amp; Devices &amp; Accessories for use at NIA, EWSIMO, Catbalogan City, Samar.  Delivery period is seven (</t>
  </si>
  <si>
    <t xml:space="preserve"> *Construction of 5m by 10m MRF Building with a total area of 50 sq.m. Use of 4" G.I Pipe for Column, cyclone wire for walling with 2 layers of 4"CHB from floor level. *One (1) unit Plastic and Glass Bottle Shredder/Pulverizer-Grinder- Output: 100kg/hr; Mo</t>
  </si>
  <si>
    <t xml:space="preserve"> 4 unit Desktop Computer PVGO</t>
  </si>
  <si>
    <t xml:space="preserve"> Please see attach documents</t>
  </si>
  <si>
    <t xml:space="preserve"> Repair and Maintenance of Breastfeeding Room for Lactating Mothers</t>
  </si>
  <si>
    <t xml:space="preserve"> Invitation to Bid 								 June 29, 2020 1.	The Barangay of Gumhang through the Bids and Awards Committee advertised an Invitation to bid for the Balukok Water System Construction funded under 20% BLDF 2020 with an Approved Budget for the Contract (ABC) o</t>
  </si>
  <si>
    <t xml:space="preserve"> Alcohol, Isopropyl 70%, 500ml Green											60	bots Air Freshener, aerosol, 280ml/150g min										25	can Bathroom Deodorizing 													27	pcs Bathroom Soap Regular Size White 100G JB										27	pcs Battery, Dry cell, AA, 1.5 volts, alkaline						</t>
  </si>
  <si>
    <t xml:space="preserve"> BUILDING I-	Earth works                                 =        144.08 cu.m II-    Formworks and Scaffolds      	=	    3,800.00 bd.ft. III-	Reinforced Conc. Works              =	    50.00 cu.m. IV-	Masonry Works(include Septic Tank) =     124.80 sq.m. V-</t>
  </si>
  <si>
    <t xml:space="preserve"> see attached Purchase Request</t>
  </si>
  <si>
    <t xml:space="preserve"> Republic of the Philippines Province of Nueva Vizcaya BIDS AND AWARDS COMMITTEE (BAC-Goods) BAC OFFICE, Provincial Capitol, Bayombong, Nueva Vizcaya Tel. No. 078-392-2062 	 INVITATION TO BID FOR THE SUPPLY AND DELIVERY OF CONSTRUCTION MATERIALS  FOR THE  </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</si>
  <si>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</si>
  <si>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INVITATION FOR SUBMISSION OF QUOTATION (SMALL VALUE PROCUREMENT) 	The local Government Unit of Can-avid, through is Bid and Awards Committee (BAC). Invites suppliers to apply for eligibility, to bid for the hereunder contract: Name of Contract:  	General </t>
  </si>
  <si>
    <t xml:space="preserve"> Radio Plugging GenSantos &amp; Sarangani Province 30 seconder, 20 spots per dy at 150 per spots for 20 days.</t>
  </si>
  <si>
    <t xml:space="preserve"> Weighing Scale (10 kgs)													4	unit Nail 2"													20	kilo Nail 1"													20	kilo Paint (QDE semigloss white 8, Roof Green 4, FW Enamel - white 8)													20	gal Bolo													25	pc Knapsack Sprayer (Stainless 16 lits. Cap.)							</t>
  </si>
  <si>
    <t xml:space="preserve"> Republic of the Philippines Province of Capiz Municipality of Maayon OFFICE OF THE BIDS AND AWARDS COMMITTEE INVITATION TO BID  The Municipality of Maayon, Province of Capiz, through its Bids and Awards Committee (BAC), invites suppliers to apply for elig</t>
  </si>
  <si>
    <t xml:space="preserve"> Pls see attached documents</t>
  </si>
  <si>
    <t xml:space="preserve"> Item No.	 Quantity	Unit	     Item and Description       1	    60	piece	     PC Antivirus: with High Expiration       2	    5	        piece	     Licensed OS (Microsoft) Windows 10 Pro-bit       3	    2	        piece	     Mobile Phone 6.4" Infinity-U-FHD+Su</t>
  </si>
  <si>
    <t xml:space="preserve"> Supply and Delivery of One (1) Lot Vegetable Seeds for Agricultural and Fishery Modernization Program of LGU-Coron (Re-Bid). INVITATION TO BID  1.	 The Municipal Government of Coron, through the 2020 Annual Municipal Budget intends to apply the sum of THR</t>
  </si>
  <si>
    <t xml:space="preserve"> Purchase of ID Card Printer with given specifications</t>
  </si>
  <si>
    <t xml:space="preserve"> 50 Boxes Mineral water &amp; Six (6) LI</t>
  </si>
  <si>
    <t xml:space="preserve"> 24.00 	cu.m	Gravel river mixed  221.00 	bags	Portland Cement  25.00 	cu.m	3/4" dia. Washed Gravel  13.00 	cu.m	Screened Sand  133.33 	bd.ft	16pcs- 2"x6"x12' Forms  2.00 	kls	#3 CW Nail  63.96 	kls	12pcs- 12mm dia. DSB  2.00 	pcs	Hacksaw Blade</t>
  </si>
  <si>
    <t xml:space="preserve"> 4 units white board with stand</t>
  </si>
  <si>
    <t xml:space="preserve"> Supply &amp; Delivery of Piggery feeds for July 2020 F28-2020 Kindly see attached file. Thank you!</t>
  </si>
  <si>
    <t xml:space="preserve"> Procurement of Equipment to be used in the project(SPA eJ: Soap Provision &amp; Allocation for every Juan)</t>
  </si>
  <si>
    <t xml:space="preserve"> Republic of the Philippines Province of Nueva Vizcaya BIDS AND AWARDS COMMITTEE (BAC-Goods) BAC OFFICE, Provincial Capitol, Bayombong, Nueva Vizcaya Tel. No. 078-392-2062 	 2ND INVITATION TO BID FOR THE SUPPLY AND DELIVERY OF AGRICULTURAL MACHINERY AND SU</t>
  </si>
  <si>
    <t xml:space="preserve"> ONE (1) YEAR SUBSCRIPTION OF ONLINE VIDEO CONFERENCING APPLICATION FOR ENTERPRISE (15 HOST)</t>
  </si>
  <si>
    <t xml:space="preserve"> 200 pcs. RAPID DIAGNOSTIC TEST KITS</t>
  </si>
  <si>
    <t xml:space="preserve"> Document Box Customized Extra Heavy Duty File Folder</t>
  </si>
  <si>
    <t xml:space="preserve"> Radio Plugging for Sultan Kudarat and South Cotabato 30 seconder, 20 spots per day at 150 per spots  for 20 days</t>
  </si>
  <si>
    <t xml:space="preserve"> Admin Meds for the period covered of 3rd Quarter 2020.</t>
  </si>
  <si>
    <t xml:space="preserve"> Province of Iloilo Municipality of New Lucena    New Lucena, Iloilo 							         June 30, 2020    INVITATION TO BID FOR THE SUPPLY AND DELIVERY OF MATERIALS FOR THE REPAIR AND MAINTENANCE OF STREET LIGHT,MUNICIPAL HALL BLDG. &amp; PUBLIC PLACES, NEW LUCENA</t>
  </si>
  <si>
    <t xml:space="preserve"> JOB ORDER: Supply labor and materials for the Repair Scion Grove Perimeter Fence at Babatngon Experiment Station, Brgy. Bagong Silang, Babatngon, Leyte. No.	Scope of Work	Quantity	Unit_Cost	ABC Spcl I.	SIGNBOARD/ BILLBOARD     SQ.FT.	32	140.11	 I.	SITEWOR</t>
  </si>
  <si>
    <t xml:space="preserve"> Item        Description                              QTY           Unit 1. Face shield 170 pcs 2. Chlorine Granules 90 kgs 3. Gloves 15 boxes 4. Mops (floor mops with handle) 90 units 5. Bunny suit (cover-all) -washable 10 pcs 6. Rubber boots (PVC Materia</t>
  </si>
  <si>
    <t xml:space="preserve"> 1 unit 7cu.ft. chest freezer 1 unit 32cu.ft. chest freezer</t>
  </si>
  <si>
    <t xml:space="preserve"> SEE ATTACHED FILES REQUEST FOR QUOTATION DRUGS AND MEDICINE;</t>
  </si>
  <si>
    <t xml:space="preserve"> Republic of the Philippines  Province of Samar Municipality of Jiabong Invitation to Bid  Emergency Purchase to Prevent Spread of Covid 19 (PRN2020-4-116) Jiab-2020-5B The Municipal Government of Jiabong, Samar, through LGU OF JIABONG   intends to apply t</t>
  </si>
  <si>
    <t xml:space="preserve"> Republic of the Philippines DEPARTMENT OF EDUCATION Region III SCHOOLS DIVISION OF AURORA San Luis, Aurora REQUEST FOR QUOTATION ______________________ To All Eligible Supplies/Dealers: I. Please quote your lowest price inclusive of VAT on the item/s list</t>
  </si>
  <si>
    <t xml:space="preserve"> Procurement of Catering Services for the Face to Face and Virtual Capacity Enhancement of Batch 52-A (Supervised Field Practice) 4-Day Activities 50 Pax per day Total= 200 Pax 1meal+2snacks Lunch Pack Type 2viands with rice Bottled Water Drinks and Fruits</t>
  </si>
  <si>
    <t xml:space="preserve"> 1 160 pcs. voucher stub white 2 160 pcs. white bag 3 160 pcs. face mask washable 4 160 pcs. tumbler 5 160 pcs. voucher stub green 6 160 pcs. green bag 7 160 pcs. toothbrush 8 160 pcs. toothpaste 9 160 pcs. face towel 10 160 pcs. bath soap 11 160 pcs. vouc</t>
  </si>
  <si>
    <t xml:space="preserve"> 82		piece		3" uPVC Pipe, Class 150, Series 8 1		piece		3" x 2" C.I. Coupling Reducer, M/M 1		piece		2" G.I. Elbow, Std. Type 1		piece		2" G.I. Tee, Std. Type 1		piece		2" x 1" G.I. Bushing Reducer, Std. Type 1		piece		2" C.I. Gate Valve, M/M</t>
  </si>
  <si>
    <t xml:space="preserve"> Republic of the Philippines Province of Nueva Vizcaya BIDS AND AWARDS COMMITTEE (BAC-Goods) BAC OFFICE, Provincial Capitol, Bayombong, Nueva Vizcaya Tel. No. 078-392-2062 	 INVITATION TO BID FOR THE SUPPLY AND DELIVERY OF ANIMAL FEEDS  AND VETERINARY SUPP</t>
  </si>
  <si>
    <t xml:space="preserve"> Radio Plugging for Cotabato City and Cotabato Province 30 Seconder, 20 spots per day at 150 per spot for 20 days</t>
  </si>
  <si>
    <t xml:space="preserve"> 1. 50 vial fluphenazine 25mg/10mL 2. 2000 tab biperiden 2mg 3. 60 tab sertraline 50mg 4. 50 cap diphenhydramine 50mg/cap 5. 2000 tab chlorpromazine 100mg/tab 6. 65 amp vitamin K 7. 65 amp oxytocin 10 IU</t>
  </si>
  <si>
    <t xml:space="preserve"> DSWD RO III PROPOSED INFRA PROJECTS FOR THE VARIOUS RM-BUILDINGS: RECTIFICATION OF DAMAGES CAUSED BY THE 6.1 EARTHQUAKE AND IMPROVEMENT AND REPAIR OF BUILDINGS AND ACTIVITIES</t>
  </si>
  <si>
    <t xml:space="preserve"> Asepto Syringe 50ml													20	pc Adult Diaper large 10's													20	pack Examination Gloves Medium 50's													20	box Disposable Syringe 10ml 100's													10	box Elastic Bandage 3" 12's													6	pcs Elastic Bandage 4" 12's									</t>
  </si>
  <si>
    <t xml:space="preserve"> Invitation to Bid to all Supplier/Contractor duly accredited by CITY Council of Manila to supply and deliver the Following items provided hereunder, to wit; Item	Qty.	Unit	Articles 			 1.	4	rms	Bond Paper A4 2	3	rms	Bond Paper,Short  3	4	rms	Bond Paper, L</t>
  </si>
  <si>
    <t xml:space="preserve"> See attached file........</t>
  </si>
  <si>
    <t xml:space="preserve"> 157 pcs Stainless Building Markers -stainless cutout -polished -delivery &amp; installation included Canteen - 7 pieces Community Center 1 - 16 Community Center 2 - 16 Academic Building 2 - 17 Academic Building 3 - 17 Gymnasium - 9 Administration Building - 2</t>
  </si>
  <si>
    <t xml:space="preserve"> 12 gals Herbicide (Round Up) 1 gals 2-4 herbicide 2 unit 16 Litters Sprayer (Knapsack) Taiwan made 2 kls nylon #3.50 mm (Monoline rope)</t>
  </si>
  <si>
    <t xml:space="preserve"> Please see attached Purchase Request (PR) for the specifications.</t>
  </si>
  <si>
    <t xml:space="preserve"> The AGRICULTURAL TRAINING INSTITUTE-REGIONAL TRAINING CENTER (ATI-RTC) X, through the 2020 General Appropriations Act intends to apply the sum of Eighty Thousand Pesos (P 80,000.00) being the Approved Budget for the Contract (ABC) to payments under the co</t>
  </si>
  <si>
    <t xml:space="preserve"> Republic of the Philippines  Province of Samar Municipality of Jiabong Invitation to Bid  To Purchase of Computer Package RHU Office Jiab-2020-6B The Municipal Government of Jiabong, Samar, through LGU OF JIABONG   intends to apply the sum of SIXTY FIVE T</t>
  </si>
  <si>
    <t xml:space="preserve"> Supplies to used in the school's classrooms and offices</t>
  </si>
  <si>
    <t xml:space="preserve"> 300	tanks	Oxygen tank refill</t>
  </si>
  <si>
    <t xml:space="preserve"> 1. Brand new Motorcycle with Registration and Insurance 3 Units      Capacity: 124.45cc      Power: 12@8500 (ps@RPM)      Torque: 1.1kg-m@ 6000NM@RPM)      Engine: 4 Stroke, Air Cooled 4-valved, single cylinder,SOCH, FI</t>
  </si>
  <si>
    <t xml:space="preserve"> 30 pcs. Monoblock chairs 1 unit table 15 pcs. ink 12 pcs. folder 1 box pilot ballpen 5 units  stand fan 10 pcs. correction tape 1 pc. external drive 10 packs high gloss photo paper 1 unit steel cabinet 5 packs sticker paper gloss 10 packs battery AA 2 sac</t>
  </si>
  <si>
    <t xml:space="preserve"> Procurement of: 2 units All in One Printer(Wifi ready), 4 units 1HP Window Type Aircon and 2 Units Paper Shredder</t>
  </si>
  <si>
    <t xml:space="preserve"> SEE PROGRAM OF WORK FOE DETAILS</t>
  </si>
  <si>
    <t xml:space="preserve"> 40.00 	cu.m	Gravel river mixed  221.00 	bags	Portland Cement  40.00 	cu.m	3/4" dia. Washed Gravel  20.00 	cu.m	Screened Sand  192.00 	bd.ft	16pcs- 2"x6"x12' Forms  3.00 	rolls	Nylon #20 (30 lm)  3.00 	kls	#3 CW Nail  95.94 	kls	18pcs- 12mm dia. DSB  1.00 </t>
  </si>
  <si>
    <t xml:space="preserve"> Doorknob Kwikset Led Bulb 17W Secondary Rock Bolt-in Nut 1/2 LED Bulb Copper Stranded Wire # 12/7 THNN PVC Moulding #3/4 Superline Surface Type Utility Box White Flush Type Conv. Outlet Electrical Tape Big 3n Tox #6 w/ Metal Screw Tubular Lamp 15W Outlet </t>
  </si>
  <si>
    <t xml:space="preserve"> 3 UNITS COMPUTER DESKTOP SPECIFICATION:  	Intel 9th Gen Core i5- 9400 2.9 GHz  	8GB DDR 4 Memory  	128 GB SSD + 1TB Hard Disk Drive  	Super Multi DVD Drive  	NVIDIA GEForce GT1030 2GB  	Built – in Bluetooth &amp; Wifi  	23.6” Full HD Monitor  	All – in One Ca</t>
  </si>
  <si>
    <t xml:space="preserve"> LAPTOP DESKTOP COMPUTER</t>
  </si>
  <si>
    <t xml:space="preserve"> Request for Quotation</t>
  </si>
  <si>
    <t xml:space="preserve"> INVITATION FOR SUBMISSION OF QUOTATION (SMALL VALUE PROCUREMENT) 	The local Government Unit of Can-avid, through is Bid and Awards Committee (BAC). Invites suppliers to apply for eligibility, to bid for the hereunder contract: Name of Contract:  	Hired Pu</t>
  </si>
  <si>
    <t xml:space="preserve"> Corazon Locsin Montelibano Memorial Regional Hospital, through its Bids and Awards Committee, intends to procure GENERAL PEST AND TERMITE CONTROL SERVICES, which will be undertaken in accordance with Section 53.9 of the Revised Implementing Rules and Regu</t>
  </si>
  <si>
    <t xml:space="preserve"> 250 packs Eggplant Seeds (OPV), 50g														 250 packs Okra Seeds (OPV)														 250 packs Stringbean Seeds (OPV)														 150 packs Tomato (OPV)														 150 packs Hot Pepper (OPV)														 150 packs Pechay														 15 kgs U</t>
  </si>
  <si>
    <t xml:space="preserve"> 10 sets Ozonizer Gen. kit 10g/H 10g Purpose: For classroom and dorm disinfection</t>
  </si>
  <si>
    <t xml:space="preserve"> Procurement of Condiments to be used in the project(SPA eJ: Soap Provision &amp; Allocation for every Juan)</t>
  </si>
  <si>
    <t xml:space="preserve"> 2 Unit Desktop Computer etc.. DMDH</t>
  </si>
  <si>
    <t xml:space="preserve"> 10	piece	INK - PRINTER EPSON  T6641 10	piece	INK - PRINTER EPSON T6642 10	piece	INK - PRINTER EPSON T6643 10	piece	INK - PRINTER EPSON T6644 12	bot	Ink, Brothert Black  4	bot	Ink, Brothert Cyan 4	bot	Ink, Brothert Mageta 4	bot	Ink, Brothert Yellow 5	bot	I</t>
  </si>
  <si>
    <t xml:space="preserve"> 1 unit, Postural Mirror - metal frame with wheels - 168 x 60 (cm)</t>
  </si>
  <si>
    <t xml:space="preserve"> DIESEL													1,485	liters Terms of Reference:														 *Billing Based on Actual Consumption														 *Fuel will be delivered as requested														 *Payment will be made on quarterly basis</t>
  </si>
  <si>
    <t xml:space="preserve"> June 29, 2020 P-RFQ No. 2020-013 REQUEST FOR QUOTATION SUPPLY AND DELIVERY OF CONTINUOUS FORMS  The Santa Maria Water District (SMWD) hereinafter referred to as “the Purchaser”, through its Bids and Awards Committee (BAC), invite interested parties to sub</t>
  </si>
  <si>
    <t xml:space="preserve"> Invitation to Apply for Eligibility and to Bid The Barangay Government of Barangay Cuta, Batangas City intends to apply the sum of One Hundred Fifty Thousand Pesos Only (Php 150,000.00) broken down as follow: ITEM Brief Description SUB-ABC Lot 1 PURCHASE </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</si>
  <si>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</si>
  <si>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1 unit  PVC ID Card Printer Dual - side Printing Capability 1 pc Electronic signature pad 1 pc Web Camera ABC = P99,000.00</t>
  </si>
  <si>
    <t xml:space="preserve"> Supply &amp; Delivery of Dairy feeds for July 2020 F30-2020 Kindly see attached file. Thank you!</t>
  </si>
  <si>
    <t xml:space="preserve"> 71 sacks Commercial Rice</t>
  </si>
  <si>
    <t xml:space="preserve"> For supply and delivery of the following: 12	unit	All in One Printer			 		Duplex Printing: Auto-duplex			 		Speed: up to 33 ppm (Draft Text-Memo, A4) up to 20 ppm (Draft Text- Memo, A4) 			 		Nozzle Configuration: 400 nozzles for black, 128 nozzles per co</t>
  </si>
  <si>
    <t xml:space="preserve"> Republic of the Philippines					 PROVINCE OF SOUTHERN LEYTE					 Maasin City					 	Standard Form No.: SF-GOOD-60			 Project Reference No. 140	 	Revised on:  May 24, 2004			 Name of the Project:  _______	 	Standard Form Title:                              </t>
  </si>
  <si>
    <t xml:space="preserve"> A. Clinic Supplies Digital thermometer / Thermal Scanner Antibacterial Hand Sanitizer 500 - 1000ml  Liquid Hand Soap 450 - 1000ml Face Shield Adjustable Anti-droplet protective hat Face mask reusable/washable Surgical Gloves L-XL rubber  B. Janitorial Sup</t>
  </si>
  <si>
    <t xml:space="preserve"> 1 Meal and 2 Snacks		 Meal               Lunch		 Rice, 2-3 Viands, Side Dishes, Desserts, Fruits &amp; Drinks		 Snacks		 AM &amp; PM w/ drinks		 Activity                      Date                    Days		 MDRRMC Meeting  June 18, 2020        1	81	pax BDRRMC Meet</t>
  </si>
  <si>
    <t xml:space="preserve"> Ten Barrels Hi-clone (Swimming Pool Disinfectant) One Unit Swimming Pool Vacuum Hose</t>
  </si>
  <si>
    <t xml:space="preserve"> PARTS 2		Brake Pads  7		Engine Oil (Fully Synthetic) 1		Oil Filter 1		Fuel Filter  1		Brake Fluid 5		Coolant 2		Stabilizer Assy. 1		Alternator Assy. 1		Battery 1		Tensioner Bearing Set 1		Transmission and Different Oil 1		ELECTRICAL WORKS 		Diagnostic Sca</t>
  </si>
  <si>
    <t xml:space="preserve"> BY LOT 6 pc 1 person work station w/o mobile pedestal 6 pc Wooden Mobile Pedestal (3 drawers) 3 pc Foldable Wall Divider 1 pc Vertical Filing Cabinet (4 drawers)</t>
  </si>
  <si>
    <t xml:space="preserve"> Republic of the Philippines					 PROVINCE OF SIQUIJOR					 BIDS &amp; AWARDS COMMITTEE					 Capitol Building, Siquijor, Siquijor					 					 Business Name:_____________________________				AD. No.: 468-06-2020	 Address:___________________________________				DAT</t>
  </si>
  <si>
    <t xml:space="preserve"> The Municipal Government of Pilar, through the General Fund intends to apply the sum of Fifteen Million Pesos (P/15,000,000.00) being the Approved Budget for the COntract (ABC) to payments under the contract for the Rehabilitation of Municipal Building, M</t>
  </si>
  <si>
    <t xml:space="preserve"> Fabrication and Installation of Modular Partition and Furniture 2pcs OTOP Shelves Design 1 (L-1725xW-425xH-2325mm) @16,000 3pcs OTOP Shelves Design 2 (L-1325xW-425xH-1750mm) @13,000 4pcs OTOP Shelves Design 3 (L-2000xW-425xH-1750mm) @16,000 2pcs OTOP Shel</t>
  </si>
  <si>
    <t xml:space="preserve"> request for quotation</t>
  </si>
  <si>
    <t xml:space="preserve"> The Bureau of Customs (BOC), through Port of Manila will undertake a Small Value Procurement for the Supply and Delivery of Drinking Water, in accordance with the Revised Implementing Rules and Regulations of Republic Act No. 9184. The details of the proj</t>
  </si>
  <si>
    <t xml:space="preserve"> Item No. Description QTY Unit 1. Laptop 2 units     Specs:     Processor: core i5     Storage: SDD+HDD (128+1TB)     Display: 14-15 inches     RAM: 6Gb-8Gb 2. External hard drive, 1TB 3 pcs</t>
  </si>
  <si>
    <t xml:space="preserve"> Food Processing equipment</t>
  </si>
  <si>
    <t xml:space="preserve"> Republic of the Philippines Province of Southern Leyte MUNICIPALITY OF SOGOD -o0o- REQUEST FOR QUOTATION (RFQ) ___________________________________ ___________________________________ Sir/Madam: 	Please quote your price for the item/s specified below, taki</t>
  </si>
  <si>
    <t xml:space="preserve"> Procurement of 1 Lot Oxytetracycline, etc.</t>
  </si>
  <si>
    <t xml:space="preserve"> Procurement of 1 Lot Water treatment supplies, etc.</t>
  </si>
  <si>
    <t xml:space="preserve"> 80	pack	CARTOLINA, assosrted colors 18	piece	NOTEBOOK, STENOGRAPHER, spiral 40 leaves 2	pad	PAPER, RULED 6	ream	Paper, Parchment , size 210 x 297mm, multi 27	book	Record Book, 300 pages size 214mm x 278mm 12	book	Record Book, 500 pages size 214mm x 278mm </t>
  </si>
  <si>
    <t xml:space="preserve"> 2 Unit Water Tank etc.. DMDH</t>
  </si>
  <si>
    <t xml:space="preserve"> SEE PROGRAM OF WORK FOR DETAILS</t>
  </si>
  <si>
    <t xml:space="preserve"> Hydraulic Hose 6 ft. Hose clamp (1/4)</t>
  </si>
  <si>
    <t xml:space="preserve"> Republic of the Philippines Province of Nueva Vizcaya Municipality of Solano -o0o- BIDS AND AWARDS COMMIITTEE  BAC RESOLUTION RECOMMENDING TO THE HEAD OF THE PROCURING ENTITY THE ADOPTION OF ALTERNATIVE METHODS OF PROCUREMENT SPECIFICALLY SMALL VALUE PROC</t>
  </si>
  <si>
    <t xml:space="preserve"> 1. 2 unit camera with tripod 10x15 2. 1 unit laptop core i7 3. 1 unit printer with scanner 4. 1 piece whiteboard 3x4 5. 1 unit ceiling fan 6. 1 unit TV set 32" smart TV 7. 1 unit tablet 8"x5"</t>
  </si>
  <si>
    <t xml:space="preserve"> Corazon Locsin Montelibano Memorial Regional Hospital, through its Bids and Awards Committee, intends to procure NUTRITION &amp; DIETETICS SUPPLIES (PR#20-06-70489), which will be undertaken in accordance with Section 53.9 of the Revised Implementing Rules an</t>
  </si>
  <si>
    <t xml:space="preserve"> Supply, Delivery and Installation of Materials for the repair of the Wastewater Line and Plumbing Accessories of the Revenue District Office No. 110, General Santos City 5	length    uPVC Pipe, 4" s1000	 1	length    uPipe, 2" s1000	 4	length    uPVC Pipe, </t>
  </si>
  <si>
    <t xml:space="preserve"> 155  PCS.   UPVC PIPES #4, SERIES 10, ATLANTA    200  MTRS. HDPE PIPES, #1, SDR 11    1     PC.      G.I  PIPE,#1, SCH. 40    1     PC.      C.I TEE,#4,M/M/M    1     PC.      C.I SLEEVE TYPE COUPLING, #4    1     PC.      WATER METER, #1, ARAD    8     P</t>
  </si>
  <si>
    <t xml:space="preserve"> Name of Project	        : 	PURCHASE OF SOFTWARE AND VARIOUS EQUIPMENTS OF DENR-PENRO PALAWAN Place of Delivery	:	PENRO Office, Bgy. Sta. Monica, Puerto Princesa City Brief Description	:	Supply and Delivery of: 		                       LOT 1:  One (1) unit</t>
  </si>
  <si>
    <t xml:space="preserve"> Procurement of 1 Lot Office Supplies and Consumables</t>
  </si>
  <si>
    <t xml:space="preserve"> 1 unit, Hydrocollator Tank - stainless steel with overheating safety features - thermostatically temperature control - 80-85" x 85-90" x 50-55 - tank capacity:  135-140 liter - insulated casing - transportable</t>
  </si>
  <si>
    <t xml:space="preserve"> MUNICIPALITY OF BADOC BIDS AND AWARDS COMMITTEE INVITATION TO BID FOR THE Sustaining the Implementation of Privatized Segregated Collection of Solid Wastes, Operation and Management of Materials Recovery Facility. Bid Reference BAC 2020-G-06-010 Approved </t>
  </si>
  <si>
    <t xml:space="preserve"> 4	pcs	Tarpulin (4x6) 2	pcs	Tarpulin (5x6) 5	pcs	Tarpulin 3x4) 2	pcs	Tarpulin (4x8) 2	pcs	Tarpulin (5x8) 5	pcs	Tarpulin (2x8) 650	pcs	Ribbons (parents, learners,faculty &amp; guest) 800	pcs	Assorted personalized medals</t>
  </si>
  <si>
    <t xml:space="preserve"> 1 1500 pcs PURCHASE OF DIPLOMA JACKET</t>
  </si>
  <si>
    <t xml:space="preserve"> 10 roll Cling Film, Fermosa etc... DMDH</t>
  </si>
  <si>
    <t xml:space="preserve"> 3 box UTP cable cat6 etc.</t>
  </si>
  <si>
    <t xml:space="preserve"> Purchased Construction Material for 120 meters open canal channel</t>
  </si>
  <si>
    <t xml:space="preserve"> Construction of Concrete Road</t>
  </si>
  <si>
    <t xml:space="preserve"> see attached ITB</t>
  </si>
  <si>
    <t xml:space="preserve"> Republic of the Philippines Office of the Municipal Mayor BIDS AND AWARDS COMMITTEE Sual, Pangasinan Invitation to Bid for PROCUREMENT OF OFFICE SUPPLIES AND EQUIPMENT (Sual, Pangasinan) 1.	The Municipal Government of Sual, Pangasinan, through the 2020 Lo</t>
  </si>
  <si>
    <t xml:space="preserve"> I.PLUMBING WORKS</t>
  </si>
  <si>
    <t xml:space="preserve"> see attached docs</t>
  </si>
  <si>
    <t xml:space="preserve"> 4 kilos Freon R410 etc.</t>
  </si>
  <si>
    <t xml:space="preserve"> Corazon Locsin Montelibano Memorial Regional Hospital, through its Bids and Awards Committee, intends to procure LABORATORY SUPPLIES (PR#20-06-70592), which will be undertaken in accordance with Section 53.9 of the Revised Implementing Rules and Regulatio</t>
  </si>
  <si>
    <t xml:space="preserve"> 1	1 unit	Drum DR312 2	1 unit 	Transfer Roller - A7AH-R729-00 3	1 unit 	Desktop Computer Monitor 		23.6 LED Backlit Widescreen LCD 		         Monitor, 1920x1080 Full HD 		         Resolution, VGA &amp; HDMI Inputs 4	15 unit	Barcode Scanner Handheld  5	3 unit	1</t>
  </si>
  <si>
    <t xml:space="preserve"> Standard Form No. 60						 Revised on May 24, 2004						 REQUEST FOR QUOTATION						 Provincial Government of Romblon						 						 				Date:        June 30, 2020		 				Quotation No.:    577		 						 To Our Valued Suppliers:						 						 	Please quote your</t>
  </si>
  <si>
    <t xml:space="preserve"> 1 pc, Hydraulic Pinch Gauge - measures pinch force to 45lbs - includes instruction and a carrying case - latex free</t>
  </si>
  <si>
    <t xml:space="preserve"> Bids and Awards Committee							 REQUEST FOR QUOTATION							         The City Government of Pagadian, through its Bids and Awards Committee (BAC), invites suppliers/manufacturers/distributors to bid for the hereunder supplies/goods, charged to 1011-5-02-</t>
  </si>
  <si>
    <t xml:space="preserve"> 3 set Flush Door Plywood etc.</t>
  </si>
  <si>
    <t xml:space="preserve"> Republic of the Philipppines Province of Palawan Municipality of Taytay BIDS AND AWARDS COMMITTEE RFQ no.:2020 Date: June 29, 2020 REQUEST FOR PRICE QUOTATION (Procurement of various) Sir/Madam: You're hereby invited to quote your price(s) on the article(</t>
  </si>
  <si>
    <t xml:space="preserve"> Repair/Maintenance of Municipal Vehicle (Dump Truck with Plate No. UKL 563) @ Samal, Bataan 1 set - Stabilizer Ball Joint 1 set - Upper Camber Ball Joint</t>
  </si>
  <si>
    <t xml:space="preserve"> Procurement of Supplies to be used in the project(SPA eJ: Soap Provision &amp; Allocation for every Juan)</t>
  </si>
  <si>
    <t xml:space="preserve"> 1 pc. Bookshelf</t>
  </si>
  <si>
    <t xml:space="preserve"> Small Value Procurement . . .</t>
  </si>
  <si>
    <t xml:space="preserve"> Shopping. . . .</t>
  </si>
  <si>
    <t xml:space="preserve"> SEE ATTACHED DOCUMENT</t>
  </si>
  <si>
    <t xml:space="preserve"> 200	pieces	Graduate Journal 2018 200	pieces	Graduate Journal 2019</t>
  </si>
  <si>
    <t xml:space="preserve"> Corazon Locsin Montelibano Memorial Regional Hospital, through its Bids and Awards Committee, intends to procure CSR SUPPLIES (PR#20-06-70603), which will be undertaken in accordance with Section 53.9 of the Revised Implementing Rules and Regulations of R</t>
  </si>
  <si>
    <t xml:space="preserve"> Corazon Locsin Montelibano Memorial Regional Hospital, through its Bids and Awards Committee, intends to procure UPS FOR NETWORK AND SERVER 3000VA, which will be undertaken in accordance with Section 53.9 of the Revised Implementing Rules and Regulations </t>
  </si>
  <si>
    <t xml:space="preserve"> Distilled water 1liter Coolant 1 liter Brake fluid 900ml Oil 10/68 ATF Oil 40 1 liter Oil 90 Grease 390 grams Oil 40 1 liter Diesel Fuel Gasoline</t>
  </si>
  <si>
    <t xml:space="preserve"> Intended for the purchase of one (1) unit laptop</t>
  </si>
  <si>
    <t xml:space="preserve"> RFQ-2020-185		 			 1.	680	sacks	Rice (Well Milled) half cavan 			 	Deadline for Submission of Bids: July 2, 2020, 11:00 AM		 			PAYMENT TERM: 90 DAYS</t>
  </si>
  <si>
    <t xml:space="preserve"> Construction of Flood Mitigation Structure</t>
  </si>
  <si>
    <t xml:space="preserve"> 1 pc, Stationary Bike - recumbent bike with back rest - easy seat adjustment and lock while sitting position - maximum weight capacity: 120-140 kgs - resistance levels ranging from 15-20 - dual grip front handlebar - side-mounted handlebars with pulse - m</t>
  </si>
  <si>
    <t xml:space="preserve"> Republic of the Philippines Province of Batangas Municipality of Lemery  INVITATION TO BID FOR THE Purchase of office equipments for Community Learning Center and various schools 1.	The MUNICIPALITY OF LEMERY, through the Local School Board Resolution No.</t>
  </si>
  <si>
    <t xml:space="preserve"> ITEM	ITEM  DESCRIPTION	QTY	UNIT NO.			 1	Notice of Deliquency of Real Properties	15	pads 2	Warrant of Levy	10	pads 3	Proof of Service	10	pads 4	Notice of Sale	10	pads 5	Sworn Statement 	10	pads 6	Notice of Levy	10	pads 7	Report of Sale 	10	pads 8	Notice o</t>
  </si>
  <si>
    <t xml:space="preserve"> INVITATION FOR SUBMISSION OF QUOTATION (SMALL VALUE PROCUREMENT) 	The local Government Unit of Can-avid, through is Bid and Awards Committee (BAC). Invites suppliers to apply for eligibility, to bid for the hereunder contract: Name of Contract:  	Common J</t>
  </si>
  <si>
    <t xml:space="preserve"> Number: 	Quantity: 	 1	4	pcs.		Battery	Motolite Maintenance free		8,000.00	32,000.00 2	5	pcs		Fuel Filter	(for Toyota Hi-Ace Van)		1,300.00	6,500.00 3	5	pcs.		Fuel Filter	(Avanza) for gasoline		1,300.00	6,500.00 4	10	pcs.		Oil Filter	(for Toyota Hi-Ace Va</t>
  </si>
  <si>
    <t xml:space="preserve"> 8 sets 11.00 x 20.00 Tires</t>
  </si>
  <si>
    <t xml:space="preserve"> 1. 40 pieces bamboo pole 2. 4 roll "trapal" 8ft. 3. 80 pieces ESL 9W 4. 50 pieces rubber socket 5. 6 pieces electrical tape 6. 3 pieces RCPC 0.90m dia.</t>
  </si>
  <si>
    <t xml:space="preserve"> Republic of the Philippines Cordillera Administrative Region PROVINCIAL GOVERNMENT OF ABRA Bangued INVITATION TO BID FOR  PURCHASE OF VEGETABLE PRODUCTION MATERIALS AND EQUIPMENT 1.	The PROVINCIAL GOVERNMENT OF ABRA, through the Budget for the Contract Ap</t>
  </si>
  <si>
    <t xml:space="preserve"> Hauling of hazardous waste DMDH</t>
  </si>
  <si>
    <t xml:space="preserve"> Project Billboard,  Emulsified Asphalt,  Bituminous Concrete Surface Course,  Traffic Management Prospective Bidders must have completed a contract similar to the project with the amount of at least 50% of the ABC. Bidding will be conducted through open c</t>
  </si>
  <si>
    <t xml:space="preserve"> REQUEST FOR QUOTATION							 							 SIR/MADAM:							 							 Please quote your lowest price for the following items enumerated below, taking into consideration the following:							 							 TERMS AND CONDITIONS:							 1.  The Approved Budget for the Co</t>
  </si>
  <si>
    <t xml:space="preserve"> Printer and Scanner colored</t>
  </si>
  <si>
    <t xml:space="preserve"> June 29, 2020 P-RFQ No. 2020-014 REQUEST FOR QUOTATION SUPPLY AND DELIVERY OF VARIOUS IT EQUIPMENTS  The Santa Maria Water District (SMWD) hereinafter referred to as “the Purchaser”, through its Bids and Awards Committee (BAC), invite interested parties t</t>
  </si>
  <si>
    <t xml:space="preserve"> Purchase of Hardware Supplies and Materals</t>
  </si>
  <si>
    <t xml:space="preserve"> Purchase of One (1) unit Water Tank, Steel, 3,200 liters</t>
  </si>
  <si>
    <t xml:space="preserve"> 1. The National Irrigation Administration (NIA), Regional Irrigation Office No.7, through the Small Reservoir Irrigation Project (SRIP) 2020 intends to apply the sum of Thirty Eight Million Four Hundred Sixty Three Thousand Three Hundred Twenty Pesos and </t>
  </si>
  <si>
    <t xml:space="preserve"> Grade 7 DLP/Modules - 54996 copies Grade 8 DLP/Modules - 54094 copies Grade 9 DLP/Modules - 54678 copies Grade 10 DLP/Modules - 54982 copies</t>
  </si>
  <si>
    <t xml:space="preserve"> Submission of Request for Quotation (RFQ) will be on or before July 03, 2020 at 10: am at BAC Secretariat Head,  MPDC Office, 2nd Floor, Municipal Building, Brgy. Poblacion, Magallanes, Agusan Del Norte. For more information, you may contact: NORMA C. SAR</t>
  </si>
  <si>
    <t xml:space="preserve"> Surveying instrument-infrastructure multi-purpose design system- integrated RTK GNSS  hardware and software with training RTK GNSS Static base (448 channel or more) GNSS Technology simultaneous tracking of all visible satellite signals Support Signal: GPS</t>
  </si>
  <si>
    <t xml:space="preserve"> *STEEL BAR - Deformed Round Bar, 10mmØ x 6m - Grade 33 (200 lgth/s) *STEEL BAR - Deformed Round Bar, 12mmØ x 6m - Grade 33 (200 lgth/s) *Please see attached canvass form.</t>
  </si>
  <si>
    <t xml:space="preserve"> Please see attached associated components for the Technical Specifications and download the Complete Bidding Documents through linkage below.</t>
  </si>
  <si>
    <t xml:space="preserve"> Corazon Locsin Montelibano Memorial Regional Hospital, through its Bids and Awards Committee, intends to procure NURSERY SUPPLIES (PR#20-06-70604), which will be undertaken in accordance with Section 53.9 of the Revised Implementing Rules and Regulations </t>
  </si>
  <si>
    <t xml:space="preserve"> 1 set, Stainless Steel Goniometer - includes one hand and small joint goniometer and one large joint goniometer - made up of stainless steel - head with two opposing 180 degrees scale - which are marked in 5 degrees increment - linear scales with inches a</t>
  </si>
  <si>
    <t xml:space="preserve"> Item no.	Qty.	Unit	ARTICLES 			 1	12	pair	Traffic Gloves(reflectorized, light green and red) 2	15	pc	Traffic vest personalized(reflectorized, 100 polyester material orange) 3	10	pc	Badges (personalized) 4	138	pair	Shoulder board(personalized) 5	10	set	Bla</t>
  </si>
  <si>
    <t xml:space="preserve"> 10 PCS SHARP TONER (MX-235ft model; SHARP AR 5618)</t>
  </si>
  <si>
    <t xml:space="preserve"> 24,400   ltrs   Diesel   1,000   ltrs   Silver   1,000   ltrs   Premium       40    btls  Brake fluid, 200ML</t>
  </si>
  <si>
    <t xml:space="preserve"> Brgy. Capehan Project Billboard,  Safety and Health,  Demolition/Disposal of Waste,  Drainage Canal 1,  Drainage Canal 2,  Canal Cover &amp; Driveway,  Box Culvert,  Form Works Brgy. Balete Project Billboard,  Safety and Health,  Demolition/Disposal of Waste,</t>
  </si>
  <si>
    <t xml:space="preserve"> OFFICE AND OTHER SUPPLIES</t>
  </si>
  <si>
    <t xml:space="preserve"> Provision of labor services and materials for the fabrication of 3,520 information materials of Quezon Protected Landscape for CY-2020 under CENRO Tayabas City, Quezon</t>
  </si>
  <si>
    <t xml:space="preserve"> Procurement of 1 Lot Grocery Items</t>
  </si>
  <si>
    <t xml:space="preserve"> Purchase of Medicines to replenish stocks in the Municipal Health Office</t>
  </si>
  <si>
    <t xml:space="preserve"> Structure Excavation (Common Soil), Embankment (from structure excavation), Embankment (from borrow), Structural Concrete (footings and slab on fill, class A - 28 days), Structural Concrete (columns, class A - 28 days), Structural Concrete (suspended slab</t>
  </si>
  <si>
    <t xml:space="preserve"> Please quote your lowest price inclusive of VAT on the item/s listed below, subject to the Terms and Conditions of this RFQ, and submit your quotation duly signed by your representative not later than July 3, 2020 at Bids and Awards Committee for Goods, D</t>
  </si>
  <si>
    <t xml:space="preserve"> Disp. Syringe 1 cc 100's/box	30	box Disp. Syringe 3 cc 100's/box	30	box Disp. Syringe 5 cc 100's/box	30	box Digital Thermometer	25	pc ECG Paper 112MM x 2, 5,S	10	box Surgical Facemask 50's	40	box Facemask N95	20	pc Heplock	370	pc IV Cannula g-18	200	pcs I</t>
  </si>
  <si>
    <t xml:space="preserve"> 1. The National Irrigation Administration (NIA), Regional Irrigation Office No.7, through the Small Reservoir Irrigation Project (SRIP) 2020 intends to apply the sum of Fourty Six Million Fifty Six Thousand Three Hundred Fifteen Pesos and 78/100 (P 46,056</t>
  </si>
  <si>
    <t xml:space="preserve"> Corazon Locsin Montelibano Memorial Regional Hospital, through its Bids and Awards Committee, intends to procure LABORATORY SUPPLIES (PR#20-06-70606), which will be undertaken in accordance with Section 53.9 of the Revised Implementing Rules and Regulatio</t>
  </si>
  <si>
    <t xml:space="preserve"> Republic of the Philippines PROVINCE OF SOUTHERN LEYTE Maasin City Invitation to Bid for the Procurement of Various Tire Wheel  Contract ID # 2020-07-21-404PG 1.	The Provincial Government of Southern Leyte through the PEO’EQUIP, PDH, PAGSO &amp; PHSO Repairs </t>
  </si>
  <si>
    <t xml:space="preserve"> Invitation to  Bid for the Materials for Road Concreting at Purok 4 The Barangay Concepcion, Hilongos, Leyte through its Bids and Awards Committee (BAC) invites the PhilGEPS registered suppliers to apply to bid for the Supply and Delivery for Materials fo</t>
  </si>
  <si>
    <t xml:space="preserve"> Procurement of Livelihood Supplies and Materials</t>
  </si>
  <si>
    <t xml:space="preserve"> Provide school personnel supplies for maintenance and prevention of spread of communicable diseases such as COVID 19.</t>
  </si>
  <si>
    <t xml:space="preserve"> Please contact BAC Secretariat for details</t>
  </si>
  <si>
    <t xml:space="preserve"> Corazon Locsin Montelibano Memorial Regional Hospital, through its Bids and Awards Committee, intends to procure FUEL FOR THE MOBILE BLOOD DONATION ACTIVITY, which will be undertaken in accordance with Section 53.9 of the Revised Implementing Rules and Re</t>
  </si>
  <si>
    <t xml:space="preserve"> Corazon Locsin Montelibano Memorial Regional Hospital, through its Bids and Awards Committee, intends to procure PURIFIED DRINKING WATER , which will be undertaken in accordance with Section 53.9 of the Revised Implementing Rules and Regulations of Republ</t>
  </si>
  <si>
    <t xml:space="preserve"> pls. see attached</t>
  </si>
  <si>
    <t xml:space="preserve"> 2 units @ PhP 24,000 each - Samsung Galaxy A71  6.7-inch FHD+ Super AMOLED "Infinity-O" display, 32MP selfie camera, and 64MP + 12MP + 5MP + 5MP quad rear cameras. It runs on a Qualcomm Snapdragon 730 chipset with 8GB of RAM, 128GB of expandable storage, </t>
  </si>
  <si>
    <t xml:space="preserve"> 50PCS. ELECTRIC BULB, 4PCS. OFFICE TABLES AND CONSTRUCTION OF BOW-LARD (HARBOR POST)</t>
  </si>
  <si>
    <t xml:space="preserve"> 1.00 pc Head Block 1kz</t>
  </si>
  <si>
    <t xml:space="preserve"> 150 bot Nature Spring Water (500ml) 50 bot 1.5 liter Coke 30 pcks Assorted Biscuits 25 pcks 3 in 1 Nescafe Creamy White 100 pcs Noodles (chicken/beef) 90 pcs Eight o'clock Juice 300 pcs. Assorted Bread 90 can Corn Beef 90 can Sardines 8 tray Eggs 1 sack R</t>
  </si>
  <si>
    <t xml:space="preserve"> NOTICE FOR NEGOTIATED PROCUREMENT Consultant Services for Education Specifically the Day Care Workers in Every Barangay of Vigan City for July to December 2020 Total Cost: ₱110,000.00 Item No.	CONSULTANCY FOR	NO. OF PERSON NEEDED 1	Consultant Services for</t>
  </si>
  <si>
    <t xml:space="preserve"> Purchased Construction Materials and Supplies for Rehab. of Health Center</t>
  </si>
  <si>
    <t xml:space="preserve"> 1	lot	Vehicle accessories 		Slim fender, fit for Toyota Hilux Conquest 1	lot	Vehicle accessories 	          Deep Dish Matting, fits for Toyota Hilux Conquest Durable, washable, waterproof, heavy-duty material 1	lot	Vehicle accessories 		Bed Liner Cover, f</t>
  </si>
  <si>
    <t xml:space="preserve"> 1 Lot Purchase and Delivery of 11 Units of Laptop for the Sangguniang Bayan Office</t>
  </si>
  <si>
    <t xml:space="preserve"> NOTICE FOR NEGOTIATED PROCUREMENT Consultant Services for Information and Communication Technology for July to December 2020 Total Cost: ₱110,000.00 Item No.	CONSULTANCY FOR	NO. OF PERSON NEEDED 1	Consultant Services for Information and Communication Tech</t>
  </si>
  <si>
    <t xml:space="preserve"> MEALS AND SNACKS FOR COMMITTEE MEETING OF  SBO- PR. NO:	2020-06-102</t>
  </si>
  <si>
    <t xml:space="preserve"> Please see attached Request for Quotation</t>
  </si>
  <si>
    <t xml:space="preserve"> Republic of the Philippines										 Province of Misamis Oriental										 CITY OF EL SALVADOR										 										 REQUEST FOR QUOTATION										 										 								No.	2020-05-526	 										 										 										 										 	Please quote your price </t>
  </si>
  <si>
    <t xml:space="preserve"> 1. 1 unit 3.0T3 Floor Standing Aircon  Non-Inverter System Remote control Breaker and installation</t>
  </si>
  <si>
    <t xml:space="preserve"> Number: 	Quantity: 	 1	30	box		Plastic Storage Box	Big, 165 Liters Capcity		2,000.00	60,000.00 No.	TermsAndConditions 1.	Participating bidders on items with more than P50,000.00 must submit its PhilGEPS Registration; 2.	Deliver brand new items; 3.	Bid pri</t>
  </si>
  <si>
    <t xml:space="preserve"> Trainer's Kit for the 2020 CPH 2nd, 3rd &amp; 4th Training</t>
  </si>
  <si>
    <t xml:space="preserve"> 20 pcs. anti-fog goggles with garter 100 gallons alcohol</t>
  </si>
  <si>
    <t xml:space="preserve"> REQUEST FOR QUOTATION NOTICE 1. The PHILIPPINE SCIENCE HIGH SCHOOL – ZAMBOANGA PENINSULA REGION CAMPUS (PSHS-ZRC) intends to apply the sum of Ninety Eight Thousand Two Hundred Pesos (P 98,200.00) being the Approved Budget for the Contract (ABC) to pay for</t>
  </si>
  <si>
    <t xml:space="preserve"> Standard Form No. 60						 Revised on May 24, 2004						 REQUEST FOR QUOTATION						 Provincial Government of Romblon						 						 				Date:        June 30, 2020		 				Quotation No.:    101-S		 						 To Our Valued Suppliers:						 						 	Please quote yo</t>
  </si>
  <si>
    <t xml:space="preserve"> REPAIR AND MAINTENANCE OF BUILDING AND OTHER STRUCTURES, MUNICIPAL GROUND POBLACION, MAWAB, DAVAO DE ORO- PR NO. 2020-06-100</t>
  </si>
  <si>
    <t xml:space="preserve"> Improvement of Multi-Purpose Covered Court &amp; Evacuation Center location: brgy. Malaruhatan Lian, batangas Budget: 924,000.00 Source of Fund : 20% Development Fund</t>
  </si>
  <si>
    <t xml:space="preserve"> Description: Please quote your lowest price inclusive of VAT on the item/s listed below, subject to the Terms and Conditions of this RFQ, and submit your quotation duly signed by your representative not later than December 26, 2018 at Bids and Awards Comm</t>
  </si>
  <si>
    <t xml:space="preserve"> Republic of the Philippines SUGAR REGULATORY ADMINISTRATION North Avenue, Diliman, Quezon City 													                                          6/29/2020 										         Date REQUEST FOR QUOTATION Gentlemen: 		Please quote your lowest prices, tax</t>
  </si>
  <si>
    <t xml:space="preserve"> ITEM NO.	ITEM &amp; DESCRIPTION						QTY	Unit 	Data file box, double						20	pc 	Data file box, single						60	pc 	Clock						1	pc 	Bond paper, Letter size,80 GSM						10	reams 	White folder, letter size						1	ream  	Ink (BTDK60BK, BT500M, BT500Y &amp; BT500C)		</t>
  </si>
  <si>
    <t xml:space="preserve"> 1 Meal and 2 Snacks		 Meal               Lunch		 Rice, 2-3 Viands, Side Dishes, Desserts, Fruits &amp; Drinks		 Snacks		 AM &amp; PM w/ drinks		 Activity                      Date                    Days		 MDRRMC Meeting  July 22, 2020        1	45	pax BDRRMC Meet</t>
  </si>
  <si>
    <t xml:space="preserve"> insect &amp; mosquito repellent</t>
  </si>
  <si>
    <t xml:space="preserve"> Supplies And equipments for Barangay use in prevention of covid-19 Opening of Bids July 7 10am tuesday at Barangay Hall</t>
  </si>
  <si>
    <t xml:space="preserve"> Installation Package for Network Connection including Labor &amp; Materials</t>
  </si>
  <si>
    <t xml:space="preserve"> INVITATION TO BID FOR  INSTALLATON OF STREETLIGHTS IN STRATEGIC AREA OF VARIOUS BARANGAY. A. Construction/ Installation of Solar Powered Streetlights at Brgy.   Lallana, TMC B. Installation of LED Streelights at West Plains- Saluysoy Road, Brgy. San Agust</t>
  </si>
  <si>
    <t xml:space="preserve"> INVITATION TO BID FOR THE DELIVERY OF SEA URCHIN JUVENILES  (ITB No. 2020-04-1) 1. The Bureau of Fisheries and Aquatic Resources-Regional Fisheries Office I (BFAR RFO I), through the General Appropriations Act of 2020 (GAA 2020) intends to apply the sum o</t>
  </si>
  <si>
    <t xml:space="preserve"> Supply and Delivery of Materials, Labor and Construction/Improvement of Multi-Purpose Building at Barangay Lajala, Coron, Palawan. Invitation to Bid  1.	The Municipal Government of Coron, Palawan, through the 2020 Annual Municipal Budget intends to apply </t>
  </si>
  <si>
    <t xml:space="preserve"> Invitation to Bid for the Procurement of Materials for the Construction of Drainage Canal, Barangay Garitan, Tagudin, Ilocos Sur 1.	Barangay Garitan of Tagudin, Ilocos Sur, thru its Bids and Awards Committee intends to apply the sum of Seventy Three Thous</t>
  </si>
  <si>
    <t xml:space="preserve"> Diazepam 10mg/2mL ampule										20	amp Ephedrine 50mg/ml amp											10	amp Haloperidol 50mg ampule											10	amp Ketamine 50mg													5	vial Morphine Sulfate 10mg ampule 										10	amp Nalbuphine 10mg												10	amp Phenytoin 50mg							</t>
  </si>
  <si>
    <t xml:space="preserve"> Please refer to the attached RFQ and specification.</t>
  </si>
  <si>
    <t xml:space="preserve"> see attached file</t>
  </si>
  <si>
    <t xml:space="preserve"> Please download Associated Components “Request for Quotation” at www.philgeps.gov.ph or www.cagayandeoro.da.gov.ph &amp; send your sealed quotation by fastest means or drop your sealed quotation reflecting PR Number at the quotation box provided by BAC</t>
  </si>
  <si>
    <t xml:space="preserve"> Processor: Intel Core i7 Memory: 8 GB Storage 1 TB + 256 SSD Graphics: 2 GB NVIDIA Display: 15.6 FHD OS: Windows 10</t>
  </si>
  <si>
    <t xml:space="preserve"> Desktop Computer Motherboard: with USB 3 support, WIFI, HDMI Support the peripheral listed below RAM:16GB Processor: Intel Cor i7 Graphics: 192 bit, 6GB Storage: 2TB Monitor: 24 inches LED Keyboard: wireless Mouse: Wireless OS:Windows 10 Office 2016</t>
  </si>
  <si>
    <t xml:space="preserve"> MEALS AND SNACKS FOR PUBLIC  HEARING AND COMMITTEE MEETING OF  SBO- PR. NO:	2020-06-103</t>
  </si>
  <si>
    <t xml:space="preserve"> INVITATION TO QUOTE Date:  June 29, 2020 1.	The Provincial Government of Davao del Sur, through its Bids and Awards Committee (BAC), invites all interested bidders/suppliers to quote for the following goods under Alternative Methods of Procurement ([Shopp</t>
  </si>
  <si>
    <t xml:space="preserve"> INVITATION TO QUOTE Date:  June 26, 2020 1.	The Provincial Government of Davao del Sur, through its Bids and Awards Committee (BAC), invites all interested bidders/suppliers to quote for the following goods under Alternative Methods of Procurement ([Shopp</t>
  </si>
  <si>
    <t xml:space="preserve"> 40	reams	BOND PAPER - LONG SUB 20 30	reams	BOND PAPER - A4 SUB 20 8	reams	BOND PAPER - SHORT SUB 20 100	pcs.	CRAFT FOLDER LONG THICK 50	pcs.	CRAFT BROWN ENVELOP LONG  50	pcs.	CRAFT EXPANDED BROWN ENVELOP LONG 50	pcs.	CRAFT BROWN ENVELOP LONG  4	pcs.	COLOR</t>
  </si>
  <si>
    <t xml:space="preserve"> PROCUREMENT OF ONE (1) LOT COMPUTER TONERS FOR THE 3RD QUARTER OF CY 2020 1.  TONER CART, HP CE285A (HP85A), Black, Compatible - 40 CART 2.  TONER, CANON 303, Black, Compatible - 60 CART 3.  Toner CART, HP 17A, Black; Compatible - 30 CART 4.  Toner, Canon</t>
  </si>
  <si>
    <t xml:space="preserve"> Republic of the Philippines													 City of San Carlos													 Negros Occidental													 													 INVITATION TO BID											FOR SALE	 			PURCHASE REQUEST NO: 1-20-06-0763				P 150.00	 Sealed bids for quotation of prices will be recei</t>
  </si>
  <si>
    <t xml:space="preserve"> Steel gate</t>
  </si>
  <si>
    <t xml:space="preserve"> 1 lot water pump assembly 2 pcs engine oil filter 2 pails engine oil 2 sets maintenance free battery 1 lot Labor</t>
  </si>
  <si>
    <t xml:space="preserve"> PR. No. 73-2020 (LDRRMO) 1.	2	gal	Engine Oil 2.	1	pc	Flushing Oil 3.	5	gal	Coolant 4.	2	pcs	BS 265/65R17 5.	1	pc	Brake Pad DB-2380 6.	1	lit	Brake Fluid PR. No. 74-2020 (LDRRMO) 1.	1	pc	FOTON Filter EO-193430000008 2.	1	pc	Cylinder Head Gasket 3.	1	pc	Alte</t>
  </si>
  <si>
    <t xml:space="preserve"> 1	unit	Grinder (Branded) 1	unit	Rotary Drill (Branded) 1	set	Drill Bit for metal #3/16, 1/4, 3/8, 5/8, 1/2 1	set	Drill bit for Masonry #6, 8, 10, 12, 14 1	pc	Clamp Meter Digital (Branded) 1	pc	Manifold Gauge for 410A 1	pc	Adjustable Wrench#12 Inches 2	rol</t>
  </si>
  <si>
    <t xml:space="preserve"> CONSTRUCTION OF FLOOD CONTROL SYSTEM @ SITIO AYALA, POBLACION SAN PASCUAL, BATANGAS</t>
  </si>
  <si>
    <t xml:space="preserve"> ITEM NO.	ITEM &amp; DESCRIPTION						QTY	Unit 1	Laptop 						1	pcs 	Processor: Core i5 Processor							 	Storage: 128 SSD+1T HDD							 	RAM:4GB to 6GB							 	Screen: Non-touch screen							 	with video card							 	pre-installed with Win 10OS							 2	Lapto</t>
  </si>
  <si>
    <t xml:space="preserve"> 1	copies	Kinder DLP/Module		15,000	 0.80 	 12,000.00  2	copies	Grade 1 DLP/Module		30,000	 0.80 	 24,000.00  3	copies	Grade 2 DLP/Module		35,000	 0.80 	 28,000.00  4	copies	Grade 3 DLP/Module		32,000	 0.80 	 25,600.00  5	copies	Grade 4 DLP/Module		35,000	</t>
  </si>
  <si>
    <t xml:space="preserve"> Republic of the Philippines Province of Lanao del Norte Municipality of Tubod BARANGAY PUALAS BIDS AND AWARDS COMMITTEE INVITATION TO BID PURCHASE AND INSTALLATION OF WATER PIPE LINES FOR BARANGAY WATER SYSTEM Barangay Pualas, Tubod, Lanao del Norte  (ITB</t>
  </si>
  <si>
    <t xml:space="preserve"> 3.0TR Ceiling Mounted, Non-inverter with complete installation Scope of Works: Supply of copper tubing 0.28 thicker rubber outside breaker Insulation of freon R410A control wire from FCU to ACCU L-type bracket and other sundry materials needed to complete</t>
  </si>
  <si>
    <t xml:space="preserve"> Additional details available at the BAC office upon request and purchased of bidding documents</t>
  </si>
  <si>
    <t xml:space="preserve"> INVITATION TO BID The DPWH Regional Office IX, Veterans Avenue Extension, Tetuan, Zamboanga City, through its Bids and Awards Committee (BAC), invites contractors to submit bids for the following Contract: Contract ID	:	20J00199 Contract Name	:	Buildings </t>
  </si>
  <si>
    <t xml:space="preserve"> 1	unit	 Digital Camera w/ Accessories					 		Mirrorless Digital Camera 					 		Description:					 		• 24.1MP (APS-C) CMOS Sensor					 		• 2.36m-Dot OLED Electronic Viewfinder 					 		• 3.0"1.04m-Dot Vari-Angle Touchscreen					 		• UHD 4K and HD 720p120 Vid</t>
  </si>
  <si>
    <t xml:space="preserve"> see attached bidding documents</t>
  </si>
  <si>
    <t xml:space="preserve"> 4 pcs Solid State Drive (SSD) internal drive 500GB 1 pc Solid State Drive (SSD) External drive 500GB 2 pcs hard Disk SATA internal drive 1TB 2 pcs Memory DDR3 4GB 2 pc Power Supply 650 watts ( with two 6- pin connector)</t>
  </si>
  <si>
    <t xml:space="preserve"> 1 Meal and 2 Snacks		 Meal               Lunch		 Rice, 2-3 Viands, Side Dishes, Desserts, Fruits &amp; Drinks		 Snacks		 AM &amp; PM w/ drinks		 Activity                      Date                    Days		 MDRRMC Meeting  July 22, 2020        1	87	pax BDRRMC Meet</t>
  </si>
  <si>
    <t xml:space="preserve"> INVITATION TO BID FOR  Supplies &amp; Delivery of  Materials   PURCHASE  OF  MULTI-PURPOSE TRUCK Unzad ,  Villasis, Pangasinan 1.	The Local Government of  Unzad, Villasis,  Pangasinan, intends to apply the sum  of (P1,490,000.00)  being the Approved Budget fo</t>
  </si>
  <si>
    <t xml:space="preserve"> 208 bags Portland Cement 12 cu.m Screened Sand 31 cu.m Screened Gravel (incd. Gravel Bedding) 26 drums Clean Water 2053 pcs 4" thk CHB (250psi)</t>
  </si>
  <si>
    <t xml:space="preserve"> INVITATION TO BID The DPWH Regional Office IX, Veterans Avenue Extension, Tetuan, Zamboanga City, through its Bids and Awards Committee (BAC), invites contractors to submit bids for the following Contract: Contract ID	:	20J00198 Contract Name	:	Rehabilita</t>
  </si>
  <si>
    <t xml:space="preserve"> see attached description</t>
  </si>
  <si>
    <t xml:space="preserve"> INVITATION TO APPLY FOR ELIGIBILITY AND TO BID 	The local Government Unit of Can-avid, through is Bid and Awards Committee (BAC). Invites suppliers to apply for eligibility, to bid for the hereunder contract: Name of Contract:      CONCRETING OF MAYOR ALE</t>
  </si>
  <si>
    <t xml:space="preserve"> MINIMUM SPECIFICATIONS Qty.	Unit	Articles/ Description 		 1	year	Renewal of Sophos EndpointEnterprise Edition 	150 nodes 	Host-based Intrusion Prevention System 	Finds Malware Other AV companies missed 	Single management console for windows, Mac and L</t>
  </si>
  <si>
    <t xml:space="preserve"> 1 set Desktop computer " ROG Strix- Aura Sync FHD (1980x1080,16.9) VA up to 240 Hz Rapid Refresh Rate, G Sync Compatible DP,HDMI Height Adjustment, Tilt, Pivot, Swivel Wall Mount Support 1 ms Trace Free Extreme Low Motion Blur Game visual-one click visual</t>
  </si>
  <si>
    <t xml:space="preserve"> Republic of the Philippines Province of Nueva Vizcaya BIDS AND AWARDS COMMITTEE (BAC-Goods) BAC OFFICE, Provincial Capitol, Bayombong, Nueva Vizcaya 	 2nd REQUEST FOR QUOTATION (RFQ)  For the Procurement of 1 lot Stage Decorations (Assorted Fresh Flowers,</t>
  </si>
  <si>
    <t xml:space="preserve"> ITEM	ITEM  DESCRIPTION	QTY	UNIT NO.			 1	Tying Wire	3	kgs. 2	Portland Cement	20	bags 3	RSB 10mm	15	pcs. 4	RSB 9mm	25	pcs. 5	Sand and Gravel	1	truckload 6	Fine sand	1	truckload 7	G.I Sheet 12'	8	pcs. 8	G.I Sheet 8'	8	pcs. 9	Good Lumber 4" x 4" x 6'	4	pcs. </t>
  </si>
  <si>
    <t xml:space="preserve"> QDE Square bar ect.</t>
  </si>
  <si>
    <t xml:space="preserve"> 100 box face mask 50 gallons alcohol 200 gallons liquid bleach</t>
  </si>
  <si>
    <t xml:space="preserve"> INVITATION TO BID The DPWH Regional Office IX, Veterans Avenue Extension, Tetuan, Zamboanga City, through its Bids and Awards Committee (BAC), invites contractors to submit bids for the following Contract: Contract ID	:	20J00197 Contract Name	:	Constructi</t>
  </si>
  <si>
    <t xml:space="preserve"> Drum (Xerox Machine) Toner (Xerox Machine)</t>
  </si>
  <si>
    <t xml:space="preserve"> Construction of Flood Mitigation Facility</t>
  </si>
  <si>
    <t xml:space="preserve"> PCC thru the BIDS and AWARDS Committee intends to apply for 69,093 as the Approved Budget for the Contract (ABC) under Repair and maintenance of tractor with the following specifications: 1 pc 3C081-25130 Assy Disc Clutch 1 Pc 33740-26350 Bearing ball 1 P</t>
  </si>
  <si>
    <t xml:space="preserve"> Kindly launch attached Purchase Order (PO) for details.</t>
  </si>
  <si>
    <t xml:space="preserve"> INVITATION TO BID The DPWH Regional Office IX, Veterans Avenue Extension, Tetuan, Zamboanga City, through its Bids and Awards Committee (BAC), invites contractors to submit bids for the following Contract: Contract ID	:	20J00202 Contract Name	:	Constructi</t>
  </si>
  <si>
    <t xml:space="preserve"> ITEM NO. DESCRIPTION UNIT QUANTITY 1 SITE PREPARATION &amp; EXCAVATION CU.M 12.00 11 GROUTED RIPRAP, CONCRETE &amp; R.S.B CU.M 7.12 111 FORM SCAFOLDING BDFT 151.7 1v transhipment and manual hauling lot 1 Tabuk hardware-project site</t>
  </si>
  <si>
    <t xml:space="preserve"> Download attachment in the Associated Components. For further information, please refer to: Atty. VIRGILIO B. GALEON- Head, BAC Secretariat BAC Office Government Center Bldg. A J. P. Rizal Blvd., Market Area  City of Santa Rosa, Laguna 4026 Telephone Numb</t>
  </si>
  <si>
    <t xml:space="preserve"> Number: 	Quantity: 	 1	3	units	Tripod for Projector		3,000.00	9,000.00 							Specification:			 							"•	Universal projector"			 							"•	Top plate size :290x390mm"			 							"•	Height adjustable, from 550mm (min) to 1380mm (max)"			 							"•	Rotate by</t>
  </si>
  <si>
    <t xml:space="preserve"> SEE ATTACHED FILE</t>
  </si>
  <si>
    <t xml:space="preserve"> 10 BOX PIPETTE TIPS 200UL 5 BOX PIPETTE TIPS 100UL 5 BOX PIPETTE TIPS 20UL</t>
  </si>
  <si>
    <t xml:space="preserve"> Description: concreting of Brgy. Road-Road Improvement 1. Cement - 633 bags 2. SAG - 122.58 cu.m 3. RSB - 12mmx6m - 27 pcs. 4. # 18 G.I Wire - 6 kilos 5. 50 pcs - 2x6x12" coco lumber 6. CW nails assorted - 8 kls</t>
  </si>
  <si>
    <t xml:space="preserve"> 6 set Brake Lining,14 Holes 3 sets Brake Lining Front (6 Holes &amp; 8 Holes 800 pcs Aluminum Revits 1 set Brake Pad 1 set Brake Shoe 1 set Wiper blade</t>
  </si>
  <si>
    <t xml:space="preserve"> INVITATION TO BID The DPWH Regional Office IX, Veterans Avenue Extension, Tetuan, Zamboanga City, through its Bids and Awards Committee (BAC), invites contractors to submit bids for the following Contract: Contract ID	:	20J00201 Contract Name	:	Constructi</t>
  </si>
  <si>
    <t xml:space="preserve"> CONSTRUCTION OF CANAL SYSTEM</t>
  </si>
  <si>
    <t xml:space="preserve"> MINIMUM SPECIFICATIONS NETWORK PERFORMANCE MONITORING •	Solarwinds Orion SL100 (up to 100 elements) •	SNMP-based network management tool •	Application performance monitoring •	Web-based administration	 •	IP address manager •	NetFlow traffic analyzer •	IP </t>
  </si>
  <si>
    <t xml:space="preserve"> STOCK	UNIT	ITEM DESCRIPTION	QTY. NO.			 		One Job Catering for quarantine enforcers and	 		frontliners for COVID 19	 			 1		Breakfast	 	cups	Plain rice, 250 grams	1,277 	pc	Fried Egg/Boiled Egg, 50 grams	1,277 	serve	Choriso/Tocino/Corned Beef/Fried Fish/</t>
  </si>
  <si>
    <t xml:space="preserve"> Repair/Maintenance of Municipal Vehicle (FB with Conduction Sticker B1R695) @ Samal, Bataan 2 pcs - Shock Absorber 1 set - Tail Light</t>
  </si>
  <si>
    <t xml:space="preserve"> 1	100 pc	Correction Tape 2	5 pc	Tape Dispenser 3	6 roll	Double Sided Tape 4	8 pc	Blue Sign Pen (BIC) (0.7) Gelocity 12's 5	10 ream	Long Folder, 100's 6	50 ream	Bond Paper (A4) 7	20 pc	Soft Broom (Baguio) 8	30 pc	Albatross 9	15 set	Epson 003 Ink 10	10 set	</t>
  </si>
  <si>
    <t xml:space="preserve"> see attached Purchase Request / Purchase Order</t>
  </si>
  <si>
    <t xml:space="preserve"> 1 Meal and 2 Snacks		 Meal               Lunch		 Rice, 2-3 Viands, Side Dishes, Desserts, Fruits &amp; Drinks		 Snacks		 AM &amp; PM w/ drinks		 Activity                      Date                    Days		 MDRRMC Meeting  July 22, 2020        1	55	pax BDRRMC Meet</t>
  </si>
  <si>
    <t xml:space="preserve"> Republic of the Philippines Province of Lanao del Norte Municipality of Tubod BARANGAY PUALAS BIDS AND AWARDS COMMITTEE INVITATION TO BID PURCHASE AND INSTALLATION OF 1 SET BASKETBALL BOARD Barangay Pualas, Tubod, Lanao del Norte  (ITB-2020-REL-002)  Appr</t>
  </si>
  <si>
    <t xml:space="preserve"> THE NATIONAL IRRIGATION ADMINISTRATION-SCIMO, THROUGH THE FUND 501 HAS THE APPROVED BUDGET FOR THE CONTRACT (ABC) AMOUNTING TWO HUNDRED FIFTY THOUSAND PESOS ONLY (250,000.00).  QUOTATION RECEIVED IN EXCESS OF THE ABC SHALL BE AUTOMATICALLY REJECTED. INTER</t>
  </si>
  <si>
    <t xml:space="preserve"> INVITATION TO BID The DPWH Regional Office IX, Veterans Avenue Extension, Tetuan, Zamboanga City, through its Bids and Awards Committee (BAC), invites contractors to submit bids for the following Contract: Contract ID	:	20J00200 Contract Name	:	Constructi</t>
  </si>
  <si>
    <t xml:space="preserve"> Republic of the Philippines Province of Dinagat Islands MUNICIPALITY OF TUBAJON Tubajon, Dinagat Islands    BIDS AND AWARDS COMMITTEE    INVITATION TO BID  FOR     CONSTRUCTION OF MULTI-PURPOSE BUILDING TUBAJON, DINAGAT ISLANDS ( INFRA 2020 - 0 13 )    1.</t>
  </si>
  <si>
    <t xml:space="preserve"> 2 pcs, Wedge Board - dimensions:  30-32 x 18-20 x 10-12 (inches) - firm high density urethane foam core  - easy to clean surface - vinyl covers with antimicrobial and anti-bacterial coating</t>
  </si>
  <si>
    <t xml:space="preserve"> Please see attached RFQ for complete details.</t>
  </si>
  <si>
    <t xml:space="preserve"> 3	unit	Laptop;Intel core i7-8565U processor/8GB  DDR4 memory/1 TB HDD+1256gb/15.6"FHD 1920x1080 display/nvidia Geforce MX150 2GB GDDR5 VRAM/802.11AC Wifi BT/Webcam/HDMI port /win 10 pro		 		***nothing follows***</t>
  </si>
  <si>
    <t xml:space="preserve"> NOTICE TO THE PUBLIC  REQUEST FOR QUOTATION                                                 AMP SVP-S NO: 20-06-0339A	              The University of the Philippines, System (UPS) hereby informs the public that it will be procuring the following item/s th</t>
  </si>
  <si>
    <t xml:space="preserve"> 100	pairs	Raincoats 100	pairs	Rubber Boots 50	pairs	Cloth Gloves</t>
  </si>
  <si>
    <t xml:space="preserve"> Certificate Diploma Holder		50 	pc &gt; Size: A4			 &gt;Color: Navy Blue			 &gt; with engraved TESDA Name and Logo			 &gt; 2 Sided with Acetate Cover			 &gt; see attached design</t>
  </si>
  <si>
    <t xml:space="preserve"> SEE ATTACHED DESCRIPTION</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</si>
  <si>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</si>
  <si>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INVITATION TO BID Date: June 29, 2020 1.	The Provincial Government of Davao del Sur, through its Bids and Awards Committee (BAC), invites all potential bidders/suppliers to apply to bid for the following goods. Bids received in excess of the ABC shall be </t>
  </si>
  <si>
    <t xml:space="preserve"> Purchase of school supplies, COVID-related items and other supplies</t>
  </si>
  <si>
    <t xml:space="preserve"> Republic of the Philippines Province of Lanao del Norte Municipality of Tubod BARANGAY PUALAS BIDS AND AWARDS COMMITTEE INVITATION TO BID CONCRETING OF FARM TO MARKET ROAD Purok 3 &amp; 4, Barangay Pualas, Tubod, Lanao del Norte  (ITB-2020-REL-003)  Approved </t>
  </si>
  <si>
    <t xml:space="preserve"> INVITATION TO BID FOR THE PROPOSED MAINTENANCE OFFICE WITH ELEVATED WATER TANK AT LUCAP PARK, BRGY. LUCAP, CITY OF ALAMINOS, PANGASINAN 1.	The CITY GOVERNMENT OF ALAMINOS, PANGASINAN through its Development Fund (DF) intends to apply an amount of Seven Hu</t>
  </si>
  <si>
    <t xml:space="preserve"> INVITATION TO BID The DPWH Regional Office IX, Veterans Avenue Extension, Tetuan, Zamboanga City, through its Bids and Awards Committee (BAC), invites contractors to submit bids for the following Contract: Contract ID	:	20J00203 Contract Name	:	Repair Mai</t>
  </si>
  <si>
    <t xml:space="preserve"> 3 UNIT COMPUTER MONITOR 3 UNIT DESKTOP CPU 3 UNIT PRINTER COLORED,CONTINOUS INK SUPPLY (CIS)</t>
  </si>
  <si>
    <t xml:space="preserve"> Republic of the Philippines 		Province of Bulacan Municipality of Bocaue INVITATION TO BID FOR PURCHASE OF  SERVICE VEHICLE FOR GOVERNMENT USE OF THE MUNICIPALITY  OF BOCAUE 1	The Municipality of Bocaue, through the Annual Appropriation 2020 intends to ap</t>
  </si>
  <si>
    <t xml:space="preserve"> STOCK		ITEM DESCRIPTION	QTY.      UNIT NO.			 1		stationery 	10     reams 		Office of the City Mayor letterhead	 		natural color, a4, 85 gsm, 	 2		stationery 	5  reams 		Office of the City Mayor letterhead	 		natural,legal, 85 gsm, 	 3		stationery 	20  re</t>
  </si>
  <si>
    <t xml:space="preserve"> 100	pcs	Annual report 2019 A4(8.27"x11.96" 300pages all pages-full colored cover C2S220 full colored with 3D lamination glossy paper		 		***nothing follows***</t>
  </si>
  <si>
    <t xml:space="preserve"> The work includes Common Excavation, Gravel Bedding, Concrete Works, Reinforcing Steel Bars, Form Works, Grouted Riprap and Backfilling, Construction Safety and Health with 2 sets informative sign and Billboard</t>
  </si>
  <si>
    <t xml:space="preserve"> Supply and Delivery of CM for the construction of of Barangay Health Station @ Pinayag</t>
  </si>
  <si>
    <t xml:space="preserve"> Republic of the Philippines 		Province of Bulacan Municipality of Bocaue INVITATION TO BID FOR PURCHASE OF VEHICLE FOR THE USE OF  BOCAUE POLICE 1	The Municipality of Bocaue, through the Annual Appropriation 2020 intends to apply the sum of One Million Ni</t>
  </si>
  <si>
    <t xml:space="preserve"> SURIGAO STATE COLLEGE OF TECHNOLOGY Surigao City INVITATION TO BID FOR LIBRARY ONLINE DATABASES AND REFERENCES 1.	The Surigao State College of Technology, through the General Appropriations Act (GAA) 2020 intends to apply the sum of Thirteen Million Four </t>
  </si>
  <si>
    <t xml:space="preserve"> OFFICE SUPPLIES</t>
  </si>
  <si>
    <t xml:space="preserve"> The work includes Common Excavation, Gravel Bedding, Concrete Works, Reinforcing Steel Bars, Form works, Grouted Riprap and Backfilling, Construction safety and Health with 2 sets informative sign and billboard.</t>
  </si>
  <si>
    <t xml:space="preserve"> PR2020-06-028 - Purchase and delivery of vehicle parts and accessories for use of Quality Assurance Section, this office</t>
  </si>
  <si>
    <t xml:space="preserve"> Zamboanga Sibugay 1st District Engineering Office Brgy. Kauswagan, Diplahan, Zamboanga Sibugay 	 INVITATION TO BID (June 29, 2020) The Zamboanga Sibugay 1st District Engineering Office, through its Bids and Awards Committee (BAC), invites contractors to s</t>
  </si>
  <si>
    <t xml:space="preserve"> Repair / Rehabilitation of Handwashing Facility located at K to 12 Building inside Tipas Elementary School Main.</t>
  </si>
  <si>
    <t xml:space="preserve"> PURCHASED OF DIFFERENT SCHOOL SUPPLIES AND OTHER SERVICES OF SAN PABLO INTEGRATED SCHOOL2020</t>
  </si>
  <si>
    <t xml:space="preserve"> ITEM DESCRIPTION UNIT QUANTITY 1 Excavation works sq.m 9.00 11 Scalfing, form bdft 282 111 concrete works cu.m 102.00  1V R.S.B Works kgs 1623.84 V Transhipment and manual hauling Tabuk-Road end lot 1</t>
  </si>
  <si>
    <t xml:space="preserve"> Procurement of Furnitures and Supplies to be used at the Faculty Office</t>
  </si>
  <si>
    <t xml:space="preserve"> 1 pc Hard Disk Drive (HDD) 12 pcs Power Bank Slim (30000MAH) 9 units Netbook (please refer to attached list of specifications)</t>
  </si>
  <si>
    <t xml:space="preserve"> 2 unit, Bolster 24" x 6" 2 unit, Bolster 24" x 8"</t>
  </si>
  <si>
    <t xml:space="preserve"> PURCHASE OF 2,200 PCS. HOUSE PLATE NUMBERING AT BRGY. STO. ANGEL, SAN PABLO CITY</t>
  </si>
  <si>
    <t xml:space="preserve"> CONSTRUCTION/REHABILITATION/IMPROVEMENT OF LOCAL GOVERNMENT-OWNED POTABLE WATER SUPPLY SYSTEM @ BARANGAY RESPLANDOR, SAN PASCUAL, BATANGAS</t>
  </si>
  <si>
    <t xml:space="preserve"> Republic of the Philippines Province of Lanao del Norte Municipality of Tubod OFFICE OF THE BIDS AND AWARDS COMMITTEE INVITATION TO BID CONSTRUCTION OF MALINGAO BIRTHING FACILITY  Barangay Malingao, Tubod, Lanao del Norte  (ITB-2020-JDL-007) Approved Budg</t>
  </si>
  <si>
    <t xml:space="preserve"> Procurement of goods and appropriate medicine to the response measures relative due to the contagion of the Corona Virus Disease (COVID-19)</t>
  </si>
  <si>
    <t xml:space="preserve"> Stock No.              Descriptiom                    QTY        Unit 1                             Laptop                   	1	unit                           Operating System: windows 10 Home			                           Processor: Intel Core i5-10210U p</t>
  </si>
  <si>
    <t xml:space="preserve"> Please see attached Terms of Reference. Thanks! ** Interested Resource Persons must submit the following: 1. Letter of Intent 2. Project Proposal and Financial Proposal (inclusive of tax) 3. Curriculum Vitae</t>
  </si>
  <si>
    <t xml:space="preserve"> Desilting of creek by equipment in Caingin, San Rafael, Bulacan</t>
  </si>
  <si>
    <t xml:space="preserve"> The Barangay Government of Barangay POB. 5, Tanauan City, Batangas through the Bids and Awards Committee (BAC) invites Suppliers/Contractors to apply for eligibility and if subsequently found eligible, to bid for the projects described hereunder, viz: Nam</t>
  </si>
  <si>
    <t xml:space="preserve"> Republic of the Philippines BANGSAMORO AUTONOMOUS REGION IN MUSLIM MINDANAO Province of Maguindanao Municipality of Pandag INVITATION TO BID PROCUREMENT OF AGRICULTURAL INPUTS (ITB No. 28-Goods-2020) The Local Government Unit of Pandag, Maguindanao throug</t>
  </si>
  <si>
    <t xml:space="preserve"> CONSTRUCTION/REHABILITATION/IMPROVEMENT OF LOCAL GOVERNMENT-OWNED POTABLE WATER SUPPLY SYSTEM @ BARANGAY KAINGIN, SAN PASCUAL, BATANGAS</t>
  </si>
  <si>
    <t xml:space="preserve"> LAPTOP COMPUTER Specifications: Processor Mode: 9th Gen. Core i7-9750H Processor (2.60GHz, up to 4.50GHz with Turbo Boost, 6 Cors, 12MB Cache) GPU Model: NVIDIA GeForce GTX 1650 Max-Q 4GB RAM: 32GB Memory Type: DDR4 Memory Speed: 2666MHz Memory Expandable</t>
  </si>
  <si>
    <t xml:space="preserve"> The work includes for Purok 4, Brgy. Linabo-includes excavation, formworks, concrete works, reinforcing steel works, smooth cement finishing (5mm thick), construction health and safety with 2 sets informative sign and billboard. for Purok 8, Brgy. Linabo-</t>
  </si>
  <si>
    <t xml:space="preserve"> Procurement of fire extinguisher</t>
  </si>
  <si>
    <t xml:space="preserve"> REPUBLIC OF THE PHILIPPINES CITY GOVERNMENT OF OROQUIETA BIDS AND AWARD COMMITTEE City Hall Main, Oroquieta City            		 June  29, 2020                                                                                                                  </t>
  </si>
  <si>
    <t xml:space="preserve"> 1	2	pairs	Wall Mounted Speakersw/Bracket 2	1	unit	Conference Controller 3	1	unit	Amplifier 4	1	unit	12 Channel Mixing Console 5	1	unit	Chairman Microphone 6	3	unit	Delegate Microphone 7	2	units	Dual Wireless Microphone 8	1	unit	Automatic Voltage Regulator</t>
  </si>
  <si>
    <t xml:space="preserve"> AGRI 		 100	PCS	AVOCADO ( MEDIUM) 120	PCS	LEMON 200	PCS	CALAMANSI (MEDIUM) 60	PCS	GIANT DUHAT ( MEDIUM) 50	PCS	CARABAO MANGO ( MEDIUM) 50	PCS	CHICO ( MEDIUM) 80	PCS	ATIS ( MEDIUM) 60	PCS	GUAVA ( MEDIUM) 50	PCS	JACKFRUIT ( MEDIUM) LANGKA 70	PCS	GUYABANO ( </t>
  </si>
  <si>
    <t xml:space="preserve"> Republic of the Philippines BANGSAMORO AUTONOMOUS REGION IN MUSLIM MINDANAO Province of Maguindanao Municipality of Pandag INVITATION TO BID PROCUREMENT OF FARM MACHINERY (ITB No. 29-Goods-2020) The Local Government Unit of Pandag, Maguindanao through the</t>
  </si>
  <si>
    <t xml:space="preserve"> Purchased Fuel, Oil, Lubricant , Diesel and Construction Materials for Road Maintenance of Public Cemetery.</t>
  </si>
  <si>
    <t xml:space="preserve"> PR2020-06-029 - Purchase and Delivery of Construction Equipment, Materials and Supplies for use in Maintenance activities, this office</t>
  </si>
  <si>
    <t xml:space="preserve"> CONSTRUCTION OF COVERED CANAL - TRAMO SILANGAN AND MP CONTI RD.</t>
  </si>
  <si>
    <t xml:space="preserve"> The BIWAD BAC invites suppliers to quote for the procurement of: 40,000 Computer continuous official receipt form</t>
  </si>
  <si>
    <t xml:space="preserve"> Republic of the Philippines Batangas City Invitation to Apply for Eligibility and to Bid The Barangay Government of Barangay Cumba, Batangas City intends to apply the sum of Two Hundred Thousand Pesos Only (Php 200,000.00) broken down as follow: ITEM Brie</t>
  </si>
  <si>
    <t xml:space="preserve"> Project Billboard,  Safety and Health,  Sub-Grade Preparation,  Aggregate Base Course,  PCCP (0.20m thk) Prospective Bidders must have completed a contract similar to the project with the amount of at least 50% of the ABC. Bidding will be conducted throug</t>
  </si>
  <si>
    <t xml:space="preserve"> ****ABC: 115,459.00 ****Date of Delivery: July 6, 2020 ****Please submit RFQ on or before the closing date 20	 Boxes 	Disposable Surgical Mask 50's 24	 pack 	Tissue paper (pull-up) 2ply, 100 pulls 12	 pack 	Tissue paper  2ply (roll), 12's 2	 Boxes 	Examin</t>
  </si>
  <si>
    <t xml:space="preserve"> The works includes for Purok 1, Brgy. Sinanglanan-Includes excavation, formworks, concrete works, reinforcing steel works, smooth cement finishing (5mm thick) construction health and safety with 2 sets informative sign and billboard. For Purok7, brgy. San</t>
  </si>
  <si>
    <t xml:space="preserve"> Brgy. Balibago I Project Billboard,  Sub-Grade Preparation,  Aggregate Base Course,  PCCP (0.15m thk) Brgy. Salapungan Project Billboard,  Structure Excavation,  Masonry Works,  Removal of Existing Concrete Pavement,  Sub Grade Preparation,  Aggregate Bas</t>
  </si>
  <si>
    <t xml:space="preserve"> The project will covers a geo-resistivity survey and conduct a water drilling works at 250ft. below ground surface with submission of water log report. Thus, if water is found sufficient, it includes installation of well casing with appurtenances and 1.5h</t>
  </si>
  <si>
    <t xml:space="preserve"> Brgy. Alvindia Project Billboard,  Sub-Grade Preparation,  Aggregate Base Course,  PCCP (0.15m thk) Brgy. Balibago II Project Billboard,  Sub-Grade Preparation,  Aggregate Base Course,  PCCP (0.20m thk) Prospective Bidders must have completed a contract s</t>
  </si>
  <si>
    <t xml:space="preserve"> Concreting of roads with total length of 388 meters (116mL, 5mW; 37mL, 3.5mW; 90mL, 3.5mW and 145mL, 4mW) with thickness of 0.20m in San Roque, San Rafael, Bulacan</t>
  </si>
  <si>
    <t xml:space="preserve"> 10 btls air freshener &amp; 42 others</t>
  </si>
  <si>
    <t xml:space="preserve"> Tires (Tubeless Tires 245/65R17)				5	pcs</t>
  </si>
  <si>
    <t xml:space="preserve"> 6 bottles Nitric acid, 68 - 70%, AR grade (2.5 L/bottle) = 6,000.00 2 bottles Lanthanum oxide, AR, 100g = 6,000.00 1 bottle Diphenylamine, AR, 500g = 5,000.00 2 bottles Silicon Grease for dessicator,150g = 1,200.00 2 bottles Ethylene glycol, AR,2.5 L = 3,</t>
  </si>
  <si>
    <t xml:space="preserve"> For specifications and other details, please download the Request for Quotation (RFQ) form at the ASSOCIATED COMPONENTS. You may call at 8249-2000 local 4423 during office hours for further inquiries.</t>
  </si>
  <si>
    <t xml:space="preserve"> Brgy. Balanti Project Billboard,  Safety and Health,  Sub-Grade Preparation,  Aggregate Base Course,  PCCP (0.20m thk) Brgy. San Jose de Urquico Project Billboard,  Safety and Health,  Sub-Grade Preparation,  Aggregate Base Course,  PCCP (0.20m thk) Prosp</t>
  </si>
  <si>
    <t xml:space="preserve"> 2 UNIT SMART TV 42" AND 32" (BUY ONE TAKE ONE) 1 WATER DISPENSER</t>
  </si>
  <si>
    <t xml:space="preserve"> See attached Scope of Work</t>
  </si>
  <si>
    <t xml:space="preserve"> Please check attached Request for Quotation Form.</t>
  </si>
  <si>
    <t xml:space="preserve"> Concreting of road with length of 52 meters width of 5 meters with 20cm thickness in Diliman II, San Rafael, Bualcan</t>
  </si>
  <si>
    <t xml:space="preserve"> 1.	The Municipality of Baliguian, implementing partner of the Department of the Interior and Local Government, now invites bids for the Concreting/Rehabilitation of Tan-awan to Guimotan Access Road, Baliguian, Zamboanga del Norte.  2.	Bidding will be cond</t>
  </si>
  <si>
    <t xml:space="preserve"> Republic of the Philippines Province of Sultan Kudarat Municipality of Bagumbayan OFFICE OF THE BIDS AND AWARDS COMMITTEE Bagumbayan, Sultan Kudarat INVITATION TO BID FOR THE PROCUREMENT OF 1 UNIT SELF-LOADING PRIME MOVER (SURPLUS) 1.	The Municipal Govern</t>
  </si>
  <si>
    <t xml:space="preserve"> Invitation to Bid ITB-SSS-Goods-2020-019 SUPPLY, DELIVERY &amp; INSTALLATION OF FIFTY-SEVEN (57) UNITS TELLERING ALARM SYSTEM FOR VARIOUS SSS BRANCH OFFICES Approved Budget for the Contract (ABC)    :       P1,920,758.22 Source of Fund                        </t>
  </si>
  <si>
    <t xml:space="preserve"> Republic of the Philippines BIDS AND AWARDS COMMITTEE Dagupan City Invitation to Bid  for PROPOSED CONSTRUCTION OF BASE WI-FI RADIO ANTENNA VIDEO TRANSCEIVER COMMUNICATION FOR CCTV TRAFFIC MONITORING SYSTEM AND INSTALLATION OF PERIMETER SECURITY CAMERA IN</t>
  </si>
  <si>
    <t xml:space="preserve"> 8 pcs. Plain Sheet 1/4" x 4' x 8' 6 pcs. C-Bar 1/4" x 2 x 4 10 kls. Welding Rod 1/8 4 box Cutting Disk 1 gal Epoxy  1 gal Thinner 2 pcs. Paint Brush #1 2 Pcs Paint Brush #2 2 pcs. Steel Brush</t>
  </si>
  <si>
    <t xml:space="preserve"> Supply and Delivery of CM-for the improvement of Besong-Amelong Labeng Road</t>
  </si>
  <si>
    <t xml:space="preserve"> Republic of the Philippines BANGSAMORO AUTONOMOUS REGION IN MUSLIM MINDANAO Province of Maguindanao Municipality of Pandag INVITATION TO BID PROCUREMENT OF OFFICE SUPPLY INTENSIFIED CAMPAIGN ON ILL EFFECTS OF DRUGS (ITB No. 31-Goods-2020) The Local Govern</t>
  </si>
  <si>
    <t xml:space="preserve"> CONSOLIDATED  OFFICE SUPPLIES FOR  MSWDO ( DIFFERENT PROGRAM) AND HRD SECTION- PR. NO:	2020-06-104</t>
  </si>
  <si>
    <t xml:space="preserve"> NOTICE OF NEGOTIATED PROCUREMENT (Small Value Procurement)   Project 		:	Preventive Maintenance/Pallaltive Repair of Bayambang District Hospital 				(PR#2020-01-0571) 			 Location		: 	Bayambang, Pangasinan Duration 		:	Fifty-Seven (57) Calendar Days Appro</t>
  </si>
  <si>
    <t xml:space="preserve"> Item No.	Unit	DESCRIPTION				Qty 						 1	Pcs.	NEW PORT NEW CAR AIR FRESHENER 				2 2	Pc.	TIRE BLACK 270ml				1 3	Pc.	BOTCH RELAY				1 4	Pc.	VSI 120MC				1 5	Pcs.	AIR FRESHENER LEMON/ORANGE				2 6	Gal	DELO GOLD				1 7	Ltrs.	DELO GOLD				2 8	Pc.	OIL FILTER</t>
  </si>
  <si>
    <t xml:space="preserve"> 1,050 pcs FaceMask</t>
  </si>
  <si>
    <t xml:space="preserve"> 1. 25 bag portland cement 40kg 2. 3 cu.m washed sand 3. 20 pcs. angle bar 2"x2"x1/4" 4. 20 pcs. angle bar 2"x1"x1/4" 5. 20 pcs. flat bar 1"x1/4" 6. 12 pcs. C-purlins 2"x4"x1.50mm 7. 10 length RSB 12mm dia. 8. 10 sheet pre-painted long span 0.40mm thk. 9. </t>
  </si>
  <si>
    <t xml:space="preserve"> CONSOLIDATED DRUGS AND MEDICINES FOR DIFFERENT  PROGRAMS OF MHO- PR. NO:	2020-06-107</t>
  </si>
  <si>
    <t xml:space="preserve"> ENGINE ASSEMBLY FOR DUMPTRUCK GD15 - SURPLUS</t>
  </si>
  <si>
    <t xml:space="preserve"> Republic of the Philippines BANGSAMORO AUTONOMOUS REGION IN MUSLIM MINDANAO Province of Maguindanao Municipality of Pandag INVITATION TO BID PROCUREMENT OF AGRICULTURAL INPUTS FOR COMMUNITY REINTEGRATION PROGRAM (ITB No. 30-Goods-2020) The Local Governmen</t>
  </si>
  <si>
    <t xml:space="preserve"> EQUIPPED WITH MODEL 4N14 2.2L 4 IN LINE SOHC EURO4 COMMON RAIL DIRECT INJECTION DIESEL ENGINE, MAXIMUM POWER 99PS@3,500 RPM,  MAXIMUM TORQUE 200 N-M @1500 RPM, 2-DOOR, 4260 MM OVERALL LENGTH 1695 MM OVERALL WIDTH,  1895 MM OVERALL HEIGHT, 195 GROUND CLEAR</t>
  </si>
  <si>
    <t xml:space="preserve"> Supply and Delivery of CM for the improvement of CIS Soriano and Lopez Residence @ Baan KNV</t>
  </si>
  <si>
    <t xml:space="preserve"> Digital Camera CAnon HD 1XUS 185</t>
  </si>
  <si>
    <t xml:space="preserve"> NOTICE OF NEGOTIATED PROCUREMENT (Small Value Procurement) Project 		:	Preventive Maintenance/Pallaltive Repair of Pozorrubio Community Hospital 				(PR#2020-01-0573) 			 Location		: 	Pozorrubio, Pangasinan Duration 		:	Twenty (20) Calendar Days Approved </t>
  </si>
  <si>
    <t xml:space="preserve"> Item No.	Unit	DESCRIPTION				Qty 						 1	Set	Computer Set				1.00 		Intel Core i3 8100				 		Compatible motherboard				 		4gb DDR4 memory				 		240gb SSD				 		1TB internal hard Drive				 		ATX casing w/ FSU				 		USB Keyboard &amp; USB Mouse w/ Pad				 		AV</t>
  </si>
  <si>
    <t xml:space="preserve"> Provision of supplies, materials and other incidentals including labor for the printing and binding of 80 pcs Annual Report 80	pcs	Provision of supplies, materials and other incidentals including labor for the printing and binding of the Annual Report		 	</t>
  </si>
  <si>
    <t xml:space="preserve"> Republic of the Philippines                                                                         Province of Leyte                                                               MUNICIPALITY OF PALO 	                                     NOTICE OF POSTIN</t>
  </si>
  <si>
    <t xml:space="preserve"> * TWO-HOUR FIRE PROTECTION * DUAL COMBINATION &amp; KEY LOCK PROTECTION * DOUBLE STEEL WALL CONSTRUCTION * 3 LIVE/ 1 DEAD LOCKING DOOR BOLTS * INCLUDES 1 EMERGENCY ACCESS KEY * 2 REMOVABLE/ADJUSTABLE SHELF * LOCKING INTERIOR DRAWER * HEAVY DUTY STEEL CASTinER</t>
  </si>
  <si>
    <t xml:space="preserve"> Republic of the Philippines Province of Bohol Municipality of Getafe Bids and Awards Committee Poblacion, Getafe, Bohol INVITATION TO BID (1st   Public Bidding) 	The Barangay Poblacion ,Getafe, Province of Bohol through its Bids and Awards Committee (BAC)</t>
  </si>
  <si>
    <t xml:space="preserve"> -Transport Van -Dual Aircon -2.3L to 2.6L  -EURO 4 Diesel Engine</t>
  </si>
  <si>
    <t xml:space="preserve"> Construction of elevated pathway Phase I at Dasmariñas,  Bonuan Gueset, Dag.   City</t>
  </si>
  <si>
    <t xml:space="preserve"> INVITATION TO APPLY FOR ELIGIBILITY AND BID								 								 								 The Barangay Amerang Maasin,Iloilo  through  its  Bids and Awards Committee (BAC), invites suppliers/								  manufacturers/distributors/ contractors to apply for eligibility and to bi</t>
  </si>
  <si>
    <t xml:space="preserve"> Republic of the Philippines PROVINCE OF BUKDINON Malaybalay City OFFICE OF THE PROVINCIAL GOVERNOR Bids and Awards Committee INVITATION TO BID FOR THE “SUPPLY AND DELIVERY OF AGRICULTURAL SUPPLIES, SEEDS, SEEDLINGS AND FERTILIZERS” ITB No. 2020-160 June 2</t>
  </si>
  <si>
    <t xml:space="preserve"> The work includes excavation, formworks, concrete works, reinforcing steel works, smooth cement finishing (5mm thick), construction health and safety with 2 sets informative sign and billboard.</t>
  </si>
  <si>
    <t xml:space="preserve"> Procurement of CW-Improvement of SLF (Phase I), Construction of SLF Protection @ Tidang Village</t>
  </si>
  <si>
    <t xml:space="preserve"> PURCHASE OF OFFICE  SUPPLIES FOR MCOW- PR. NO:	2020-06-112</t>
  </si>
  <si>
    <t xml:space="preserve"> Purchased of laptop computer with printer</t>
  </si>
  <si>
    <t xml:space="preserve"> Supply of Civil Works for Construction of Lipata Brgy. Health Station, Brgy. Lipata, Barotac Viejo, Iloilo</t>
  </si>
  <si>
    <t xml:space="preserve"> Procurement of Test Booklet</t>
  </si>
  <si>
    <t xml:space="preserve"> The Maragondon Water District- #18 Col Riel St. Pob;acion 2A Maragondon, Cavite, through its Administrative Department- Engineering and Construction Division will undertake a Negotiated Procurement- Small value procurement 9Sec. 53.9) for water service co</t>
  </si>
  <si>
    <t xml:space="preserve"> June 29, 2020 INVITATION TO BID FOR PURCHASE OF RICE FOR BASURA PALIT BIGAS PROGRAM The Municipality of Magallanes, Cavite, through the Budget for the Contract approved by the Sangguniang Bayan intends to apply the sum of Two Hundred Eight Thousand Pesos </t>
  </si>
  <si>
    <t xml:space="preserve"> PURCHASE REQUEST 					 					 Entity Name: Department of Education			Fund Cluster: 01		 Office/Section :		PR No.: 2020-06-006		Date: 	 TALAVERA CS		Responsibility Center Code : 001			 Stock/ Property No.	Unit 	Item Description	Qty	Unit Cost	Total Cost 				</t>
  </si>
  <si>
    <t xml:space="preserve"> Title:Procurement of 1 Package Improvement of City Accountants Office under P.R.Nos. 2561-2020-Office of the City Accountant Total ABC: Php 69,023.00 (INSTRUCTION AS TO THE REQUIRED FORM: For your price quotation, please use the attached Request for Quota</t>
  </si>
  <si>
    <t xml:space="preserve"> Republic of the Philippines National Irrigation Administration LOWER AGNO RIVER IRRIGATION SYSTEM IMPROVEMENT PROJECT Tomana East, Rosales, Pangasinan INVITATION TO BID FOR THE CONSTRUCTION OF TRAPEZOIDAL CONCRETE CANAL LINING (STA. 9+998-STA. 10+545) OF </t>
  </si>
  <si>
    <t xml:space="preserve"> Republic of the Philippines BANGSAMORO AUTONOMOUS REGION IN MUSLIM MINDANAO Province of Maguindanao Municipality of Pandag INVITATION TO BID PROCUREMENT OF SCHOOL SUPPLIES (ITB No. 32-Goods-2020) The Local Government Unit of Pandag, Maguindanao through th</t>
  </si>
  <si>
    <t xml:space="preserve"> A Republic of the Philippines BIDS AND AWARDS COMMITTEE Dagupan City Invitation to Bid  for PROPOSED UPGRADING OF PCC PAVEMENT AND DRAINAGE SYSTEM AT BARANGAY HERRERO-PEREZ (INFRONT OF CHO AND RED CROSS), DAGUPAN CITY - PHASE I 1.	The City Government of D</t>
  </si>
  <si>
    <t xml:space="preserve"> Section I. Invitation to Bid Republic of the Philippines Province of Sultan Kudarat Municipality of Bagumbayan OFFICE OF THE BIDS AND AWARDS COMMITTEE Bagumbayan, Sultan Kudarat INVITATION TO BID FOR THE PROCUREMENT OF VARIOUS CONSTRUCTION MATERIALS FOR T</t>
  </si>
  <si>
    <t xml:space="preserve"> PROJECT	:	TOURIST PHILCare KIT SPECIFICATIONS: 1. 15,000 pcs. WASHABLE FACEMASK (Yakan, Hinablon, Abel, Binakul, Ikat and Abra weave cloth) ●	size – 8”  x  5” ●	Material: Yakan, Hinablon, Inabel, Binakul, Ikat and Abra weave cloth ●	3 layers facemask fabr</t>
  </si>
  <si>
    <t xml:space="preserve"> The Amai Pakpak Medical Center (APMC) Bids and Awards Committee invites contractors registered with and classified by the Philippine Contractors Accreditation Board (PCAB) – Small B to apply for Prospective Builders should possess a valid Small B PCAB Lic</t>
  </si>
  <si>
    <t xml:space="preserve"> Sacks (2000pcs), Seedlings (500pcks), Soil (100sacks), Pot (200pcs)</t>
  </si>
  <si>
    <t xml:space="preserve"> Republic of the Philippines PROVINCE OF SOUTHERN LEYTE Maasin City Invitation to Bid for the Procurement of Consulting Services    Contract ID # 2020-07-21-405PG 1.	The Provincial Government of Southern Leyte through the PGO Consulting Services Expenses i</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</si>
  <si>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</si>
  <si>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PASSO 200-20-05-05728														 Bond Paper short 8x11 subs 20									27	reams Paper A3													2	reams Pencil, Mechanical, push type for .5mm lead							20	pcs Pencil #2 medium EF 482										10	boxes Lead Pencil refill #0.5											30	pcs PAS</t>
  </si>
  <si>
    <t xml:space="preserve"> Purchased  1 unit Motor Vehicle(Bao-Bao) for Disaster &amp; Emergency Response</t>
  </si>
  <si>
    <t xml:space="preserve"> this  RFQ composed of various office supplies such as Printer, notebook and sign pen etc.</t>
  </si>
  <si>
    <t xml:space="preserve"> *REFLECTIVE TAPE - Orange 2" x 50mtr/s genuine (1 roll) *REFLECTIVE TAPE - Red 2" x 50mtr/s genuine (1 roll) *REFLECTIVE TAPE - Silver 2" x 50mtr/s genuine (1 roll) *REFLECTIVE TAPE - White 2" x 50mtr/s genuine (1 roll) *BODY/CADAVER BAG (FREE SIZE) CADAV</t>
  </si>
  <si>
    <t xml:space="preserve"> PLEASE SEE ATTACHED PURCHASE REQUISITION &amp; TERMS OF REFERENCE FOR DETAILS</t>
  </si>
  <si>
    <t xml:space="preserve"> PURCHASE OF REFILL OF FIRE EXTINGUISHER  FOR MDRRMO- PR. NO:	2020-06-118</t>
  </si>
  <si>
    <t xml:space="preserve"> Number: 	Quantity: 	 1	2250	kg		Ginger Rizome	a. two percent (2%)  weight mortality allowance b. Rhizome  should  be mature(10 months old),dry,clean and  free from  soil particles  and other  inert materials,c. Rhizome  should be disinfected  by washing  </t>
  </si>
  <si>
    <t xml:space="preserve"> Item No.	Unit	DESCRIPTION				Qty 						 1	Pc.	Ladder 5''				1</t>
  </si>
  <si>
    <t xml:space="preserve"> DEPARTMENT OF PUBLIC WORKS AND HIGHWAYS Contract ID: 20CSIB08 Contract Name: SUBSURFACE SOIL EXPLORATION WORKS FOR PROPOSED REHABILITATION/CONSTRUCTION OF 2-STOREY QUALITY ASSURANCE SECTION AND MAINTENANCE BUILDING. Contract Location: EASTERN SAMAR  Repub</t>
  </si>
  <si>
    <t xml:space="preserve"> kilos	MONO STABILIZED CHLORINE DIOXIDE POWDER			1,500	 550.00 	 825,000.00  	INGREDIENTS:					 	SODIUM CHLORITE            5%					 	SODIUM CARBONATE      18% 					 	SODIUM BISULFATE         12%					 	CITRIC ACID MONOHYDRATE   6%					 	SODIUM CHLORIDE     </t>
  </si>
  <si>
    <t xml:space="preserve"> Standard Form Number: SFGOOD60 Revised on: May 24, 2004 Standard Form Title: Request for Quotation Date: June 29, 2020  Quotation No. 20-06-0366 PR No. 20-06-776 __________________________ Company Name _________________________________ Address         Ple</t>
  </si>
  <si>
    <t xml:space="preserve"> 1 piece battery 9 plates 12 volts Note: To be used for the Hummer with plate No.090806 in conveying NGP personnel.</t>
  </si>
  <si>
    <t xml:space="preserve"> NOTICE OF NEGOTIATED PROCUREMENT (Small Value Procurement)   Project 		:	Preventive Maintenance / Pallaltive Repair of Lingayen District Hospital 				(PR#2020-01-0572) 			 Location		: 	Lingayen, Pangasinan Duration 		:	Eighteen (18) Calendar Days Approved</t>
  </si>
  <si>
    <t xml:space="preserve"> A Republic of the Philippines BIDS AND AWARDS COMMITTEE Dagupan City Invitation to Bid  for PROPOSED UPGRADING OF PCC PAVEMENT AND DRAINAGE SYSTEM AT GALVAN ST., BARANGAY IV, DAGUPAN CITY 1.	The City Government of Dagupan, through the 2019 CONTINUING APPR</t>
  </si>
  <si>
    <t xml:space="preserve"> Construction of Pavement Dasmariñas, Phase II</t>
  </si>
  <si>
    <t xml:space="preserve"> Procurement of Load Card</t>
  </si>
  <si>
    <t xml:space="preserve"> The Public Information Office of the Supreme Court, through the Procurement Section, invites interested suppliers to quote for the price/s of the item/s listed in the attached document (PLEASE DOWNLOAD) Please also provide "Eligibility Documents, Annex A"</t>
  </si>
  <si>
    <t xml:space="preserve"> Food Supplies</t>
  </si>
  <si>
    <t xml:space="preserve"> Bidding will be conducted through open competitive bidding procedures as specified in the Implementing Rules and Regulation (IRR) of Republic Act No. 9184 (R.A. 9184), otherwise known as the Government Procurement Reform Act.</t>
  </si>
  <si>
    <t xml:space="preserve"> INVITATION TO BID FOR THE Procurement of Eco Solvent Printer  1.	The Municipality of Alabel, through the Annual Budget for CY 2020  intends to apply the sum of: Lot No. 	Description		                                    ABC	        Name/no. of contract I.	</t>
  </si>
  <si>
    <t xml:space="preserve"> LED FLAT LAMP		100 	pcs &gt;22watts			 DAYLIGHT SENSOR BULB		100 	pcs &gt;LED			 &gt;Base Type			 &gt;12 watts			 RECEPTACLE		100 	pcs &gt;4"			 &gt;PLASTIC			 DAYLIGHT CEILING LAMP		30 	pcs &gt;20watts			 FLUORESCENT TUBE		4 	box &gt;40 watts			 &gt;LED			 &gt;25 pcs per box			 ELECT</t>
  </si>
  <si>
    <t xml:space="preserve"> NOTICE OF NEGOTIATED PROCUREMENT (Small Value Procurement) Project 		:	Preventive Maintenance at Pangasinan Provincial Hospital 				(PR#2020-01-0519) 			 Location		: 	Bolingit, San Carlos City, Pangasinan Duration 		:	Twenty-One (21) Calendar Days Approve</t>
  </si>
  <si>
    <t xml:space="preserve"> Layout and Preparation, Rebarworks, Masonry Works, Concreting works, Equipments, Formworks</t>
  </si>
  <si>
    <t xml:space="preserve"> Standard Form Number: SFGOOD60 Revised on: May 24, 2004 Standard Form Title: Request for Quotation Date: June 29, 2020  Quotation No. 20-06-0367 PR No. 20-06-777 __________________________ Company Name _________________________________ Address         Ple</t>
  </si>
  <si>
    <t xml:space="preserve"> Purchase of Food Supplies for Nutrition Item	Quantity	Unit of	Item Description	 No.		Issue		 				 				 1	2	cavans	Commercial Rice, White 50kg	 2	97	box	Nido Junior 1-3, 160 grams in box	 3	50	pouch	Milo, 600g pouch	 4	75	pouch	Bearbrand, 700g pouch	 5	55	</t>
  </si>
  <si>
    <t xml:space="preserve"> wooden sala set (sofa, 2 chairs, center table)</t>
  </si>
  <si>
    <t xml:space="preserve"> BROOM	10 	pcs &gt;soft (tambo)		 BROOM	10 	pcs &gt;stick (tingting)		 TOILET BOWL AND URINAL CLEANER	30 	bottle &gt;900-1000ml		 DISINFECTANT SPRAY	40 	can &gt;400(min) grams		 RAG	40 	bundle &gt;all cotton		 &gt;32 pieces per kilo per bundle</t>
  </si>
  <si>
    <t xml:space="preserve"> NOTICE OF NEGOTIATED PROCUREMENT (Small Value Procurement) Project:	Purchase of 1,440 bags of Cement and 4,000 pcs. Concrete Hollow Blocks, 4” (to be delivered to the                  different schools within the 6th district of Pangasinan) 		(PR#2020-05-</t>
  </si>
  <si>
    <t xml:space="preserve"> PLEASE SEE ATTACHED PURCHASE REQUISITION AND TERMS OF REFERENCE FOR DETAILS</t>
  </si>
  <si>
    <t xml:space="preserve"> Revised on: July 28, 2004                                   INVITATION TO APPLY FOR ELIGIBILITY AND TO BID                        The Local Government Unit of Catanauan, Quezon, through its Bids and Awards Committee (BAC), invites suppliers/manufacturers/</t>
  </si>
  <si>
    <t xml:space="preserve"> 1 set, Therapy Mats - blue in color - dimension: 5"L x 10"W - folds in 2 panel - vinyl covered - polyethylene foam</t>
  </si>
  <si>
    <t xml:space="preserve"> 35 pcs. uPVC Pipe 3"Ø x 6m C-100 2 pcs. C.I. Sleeve Type Coupling 3"Ø 1 pc. C.I. Elbow 3"Ø 1 Roll HDPE Pipe 3"Ø x 50 meters</t>
  </si>
  <si>
    <t xml:space="preserve"> PURCHASE  OF CUSTOMIZED  UMBRELLA'S FOR MAYORS OFFICE- PR. NO:	2020-06-120</t>
  </si>
  <si>
    <t xml:space="preserve"> Schools and office supplies such as bondpaper,  tape masking, mop, ink</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</si>
  <si>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</si>
  <si>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REQUEST FOR QUOTATION (RFQ)                           Date: June 29, 2020                         Quotation No.: SDO-2020-06-0037 TO ALL ELIGIBLE SUPPLIERS/BIDDERS: I.	Please quote your lowest price appraisal inclusive of VAT on all/each items below for t</t>
  </si>
  <si>
    <t xml:space="preserve"> Republic of the Philippines CITY OF BAIS BIDS AND AWARDS COMMITTEE NOTICE FOR NEGOTIATED PROCUREMENT (53.1) In view of the failure of the second bidding scheduled last June 9, 2020, the Bids and Awards Committee (BAC) passed Resolution No. 27 series of 20</t>
  </si>
  <si>
    <t xml:space="preserve"> 1 lot, Printing and Delivery of Wall Calendar with Metal Hanger Hook  Pages: 12 Pages (1month/page)  Size: 18inches x 24inches  Paperstock: bookpaper #40  Colors: Full color all pages  Process: 4-color printing offset  Calendar template (soft copy) to be </t>
  </si>
  <si>
    <t xml:space="preserve"> Purchase of cellphone..</t>
  </si>
  <si>
    <t xml:space="preserve"> Republic of the Philippines Province of Batangas Municipality of Lemery  INVITATION TO BID FOR THE Purchase of disaster equipment (cutter and spreader portable) 1.	The MUNICIPALITY OF LEMERY, through the Annual Budget CY 2020-70% of 5% Calamity Fund-Capit</t>
  </si>
  <si>
    <t xml:space="preserve"> Standard Form Number: SFGOOD60 Revised on: May 24, 2004 Standard Form Title: Request for Quotation Date: June 29, 2020  Quotation No. 20-06-0368 PR No. 20-06-773 __________________________ Company Name _________________________________ Address         Ple</t>
  </si>
  <si>
    <t xml:space="preserve"> 1   set   Computer Desktop With the following specifications:  -Core i3 Processor; 480GB SSD; 1TB HDD; 16GB RAM;   DVD Writer Casing; Monitor 18.5; Windows 10;   Keyboard and Mouse; UPS and AVR 1  unit  Computer Printer, 3-in-1 with continuous ink/ refill</t>
  </si>
  <si>
    <t xml:space="preserve"> Fencing of 589m lot perimeter using concrete precast post and barbed wire in Coral na Bato, San Rafael, Bulacan</t>
  </si>
  <si>
    <t xml:space="preserve"> CONSOLIDATED OFFICE SUPPLIES FOR SB SEC., SBO, MACCO, ADMIN OFFICE AND SLAUGHTERHOUSE- PR. NO:	2020-06-124</t>
  </si>
  <si>
    <t xml:space="preserve"> Fine Sand, 100 cu.m. Gravel, 30 cu.m.</t>
  </si>
  <si>
    <t xml:space="preserve"> Tires for Garbage Truck Hi-Lux L300 Starex Invitation to bid For Tires 1. The Barangay Government of Dalig, Antipolo City, through the General Fund intends to apply the sum of Five Hundred Thousand Pesos Only (P500,000.00) being Approved Budget for the Co</t>
  </si>
  <si>
    <t xml:space="preserve"> Procurement of Meals and Beverages Php 180,00.00</t>
  </si>
  <si>
    <t xml:space="preserve"> 1. 50 pcs. ESL 9W 2. 5 set electric motor 1hp 3. 6 pcs. empty galvanized drum 4. 6 pcs. union patente #1 dia. 5. 12 pcs. 2 gang outlet 6. 1 roll flat chord #16 7. 12 pcs. plastic faucet 8. 3 roll electrical tape 9. 6 roll cautioned line 10. 3 pcs. water t</t>
  </si>
  <si>
    <t xml:space="preserve"> -HANDHELD RADIO TRANSCEIVER  -2-WAY</t>
  </si>
  <si>
    <t xml:space="preserve"> Republic of the Philippines CITY OF MARIKINA SF-GOOD-05 Revised on: July 28, 2004				 													Mkna-GSO-20-290	 	BIDS AND AWARDS COMMITTEE		 NOTICE OF PROPOSED PROCUREMENT The City Government of Marikina, through its Bids and Awards Committee (BAC), w</t>
  </si>
  <si>
    <t xml:space="preserve"> 1 unit POlisher, 8" diameter, 1/5hp</t>
  </si>
  <si>
    <t xml:space="preserve"> SUPPLY AND DELIVERY OF BRASS WATER METER</t>
  </si>
  <si>
    <t xml:space="preserve"> Catering Services for the Conduct of Four (4) day mid Year Assessment of Accomplishments cum strategic Planning Workshop for the Second Semester Targets to be held at CENRO Office, Brgy. San Jaun Sta Rita Samar  -For 60 PAX -includes;    -morning snack   </t>
  </si>
  <si>
    <t xml:space="preserve"> PURCHASE OF OFFICE EQUIPMENT OF MDRRMO- PR. NO:	2020-06-125</t>
  </si>
  <si>
    <t xml:space="preserve"> see attached associated components</t>
  </si>
  <si>
    <t xml:space="preserve"> Standard Form Number: SFGOOD60 Revised on: May 24, 2004 Standard Form Title: Request for Quotation Date: June 29, 2020  Quotation No. 20-06-0369 PR No. 20-06-788 __________________________ Company Name _________________________________ Address         Ple</t>
  </si>
  <si>
    <t xml:space="preserve"> Water Dispenser		3 	unit &gt;Tri-Dispense (hot, room, cold temp)			 &gt;Compressor cooling			 &gt;Water tank capacity 1L hot/2L cold			 &gt;Food grade stainless steel water reservoir			 &gt;BPA free			 &gt;Free standing Water Dispenser			 &gt;With Spacious Cabinet			 &gt;Top But</t>
  </si>
  <si>
    <t xml:space="preserve"> REPUBLIC OF THE PHILIPPINES Santa Rosa (NE) Water District Santa Rosa – Fort Magsaysay Road, Brgy. Rizal, Santa Rosa, Nueva Ecija Acquisition of 5 units All-in-One PC Item	Description	Qty	Unit	U. Cost	Total Cost 1	All in one PC i5 Processor	4	sets	63,000.</t>
  </si>
  <si>
    <t xml:space="preserve"> *PORTLAND CEMENT - ASTM C-150,C-595 type I, Typical Strength (Mpa, 19 in 3days, 25 in 7days, 32 in 28days); Blaine (340sq.m/kg.) ; Setting time : 130 minutes (initial time) &amp; 5 hour (final) 40 kgs, Plastic Bag Terms &amp; Condition: Supplier must coordinate w</t>
  </si>
  <si>
    <t xml:space="preserve"> Republic of the Philippines CITY OF MARIKINA SF-GOOD-05 Revised on: July 28, 2004				 													Mkna-GSO-20-291	 	BIDS AND AWARDS COMMITTEE		 NOTICE OF PROPOSED PROCUREMENT The City Government of Marikina, through its Bids and Awards Committee (BAC), w</t>
  </si>
  <si>
    <t xml:space="preserve"> Purchase of Food Supplies for Pregnant &amp; Lactating Women Item	Quantity	Unit of	Item Description	 No.		Issue		 				 				 1	23	boxes	Ensure Milk 1.2 kg</t>
  </si>
  <si>
    <t xml:space="preserve"> Intel core : i7 8550u pROCESSOR 256GB SSD 8GB DDR4 2666Mhz mEMORY 13.3" FHD Screen Size iTB 2.5" 5400RPM sATA HDD</t>
  </si>
  <si>
    <t xml:space="preserve"> 1.    11776    LITERS   DIESEL APPROVED BUDGET FOR THE CONTRACT: PHP 482,816.00 LOCATION OF THE CONTRACT: BATARAZA, PALAWAN DURATION OF THE CONTRACT: 7 DAYS SCHEDULE OF ACTIVITIES: POSTING AND ISSUANCE OF BIDS: JUNE 29-JULY 14, 2020 PRE-BID CONFERENCE : D</t>
  </si>
  <si>
    <t xml:space="preserve"> Republic of the Philippines CITY OF MARIKINA SF-GOOD-05 Revised on: July 28, 2004				 													Mkna-GSO-20-292	 	BIDS AND AWARDS COMMITTEE		 NOTICE OF PROPOSED PROCUREMENT The City Government of Marikina, through its Bids and Awards Committee (BAC), w</t>
  </si>
  <si>
    <t xml:space="preserve"> Repair/Replacement of Dilapidated Roofings, Sidings and Support at Agro-Industrial Building, Barangay Bersamin, Alcala, Pangasinan</t>
  </si>
  <si>
    <t xml:space="preserve"> 1 pc Laptop See attached file for specification.</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</si>
  <si>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</si>
  <si>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1	pc	Safety Breaker 40amp 5	pc	Safety Breaker 30amp 1	box	THHN, THW 5.5mm (#10) 80	mtrs	THHN, THW 22mm 1	pc	Panel Board (Double Throw 200amp 4	pc	Square Box (4X4) Full box 1	pc	Service Intrance cup #1 5	pc	Electrical pipe #1 5	pc	Electrical pipe #3/4 1	pc</t>
  </si>
  <si>
    <t xml:space="preserve"> REQUEST FOR QUOTATION                                          Date: ___________________________ Gentleman: Please quote your lowest price for the following item/s specified below. INSTRUCTIONS: Mode of  Procurement: Negotiated Procurement- SMALL VALUE PR</t>
  </si>
  <si>
    <t xml:space="preserve"> bottle	ALCOHOL, ethyl, 68%-70%, scented, 500ml (-5ml)		60 roll	ACETATE, thickness: 0.075mm min (gauge #3)		1 pack	CARTOLINA, assorted colors		1 ream	PAPER, MULTICOPY, 80gsm, size: 210mm x 297mm		50 piece	BATTERY, dry cell, AA, 2 pieces per blister pack		2</t>
  </si>
  <si>
    <t xml:space="preserve"> Procurement of Snacks and Drinks Php 50,000.00</t>
  </si>
  <si>
    <t xml:space="preserve"> Please quote your best price 734 pcs of Safety Collector Box ABC 220,200.00 Specifications: Volume 5.0 to 5.5 liters Capacity: 100-120 used needles and syringes Material: Hard Carton Packaging Instruction: Standard Packaging of the Manufacturer Color: Yel</t>
  </si>
  <si>
    <t xml:space="preserve"> pad	Decolgen 500mg/ Neozep		30 pad	Dicycloverine HCL 3mg		30 piece	Height Measurement Tape		1 bottle	Betadine Solution		18 bottle	Hydrogen Peroxide 6% solution		18 roll	Cotton, Big		20 pad	Kremil S, 500mg		18 pad	Lagundi, 500mg		18 pad	Mefenamic Acid, 250</t>
  </si>
  <si>
    <t xml:space="preserve"> 210 L.M. a. Excavation Works 32 pcs. b. Pipelaying 3"Ø x 6m 3 units c. Installation of Fittings 210 L.M. d. Final Backfill with compaction 20 L.M. e. Demolition of concrete driveways &amp; road shoulders 3-6 thick 30 meters f. Installation of HDPE Pipe 3"Ø x </t>
  </si>
  <si>
    <t xml:space="preserve"> PLEASE SEE ATTACHED PURCHASE REQUISITION AND TERMS OF REFERENCE FOR DETAILS.</t>
  </si>
  <si>
    <t xml:space="preserve"> 2 unit, Cardiac Board, whole plastic - heavy duty with handle mounts to cart back for easy access - dimension;  at least 39" in height, 54" in length, 2" in width</t>
  </si>
  <si>
    <t xml:space="preserve"> Six (6) pc Lint free shop towel (Unit L300 VAN) AAA3879 &amp; 186 other line items</t>
  </si>
  <si>
    <t xml:space="preserve"> 1.    4,000  LITERS    DIESEL APPROVED BUDGET FOR THE CONTRACT: PHP 220,000.00 LOCATION OF THE CONTRACT: BATARAZA, PALAWAN DURATION OF THE CONTRACT: 7 DAYS SCHEDULE OF ACTIVITIES: POSTING AND ISSUANCE OF BIDS: JUNE 29-JULY 14, 2020 PRE-BID CONFERENCE : DE</t>
  </si>
  <si>
    <t xml:space="preserve"> INVITATION TO BID The City of Bayawan, through its Bids and Awards Committee (BAC), invites suppliers/manufacturers/distributors/contractors to bid for the hereunder projects: 	Lot No. I		MEDICAL, DENTAL AND LABORATORY SUPPLIES					 1	2	sets	ABD Typing Se</t>
  </si>
  <si>
    <t xml:space="preserve"> Please see attached terms of reference.</t>
  </si>
  <si>
    <t xml:space="preserve"> 1,000 pcs - LED Tube STD 1200mm 10.5w/865 T8 Approved Budget for the Contract (ABC) – Php 400,000.00 NOTE: Please attach together with your quotations/bid offers, the following documentary requirements as required under Appendix A of Annex “H” of the 2016</t>
  </si>
  <si>
    <t xml:space="preserve"> Supply of Civil Works for the Renovation/Repair of San Miguel Brgy. Health Station, Brgy. San Miguel, Barotac Viejo, Iloilo</t>
  </si>
  <si>
    <t xml:space="preserve"> PURCHASE OF OFFICE, COMPUTER AND JANITORIAL SUPPLIES FOR MPDO, TOURISM AND  MCR- PR. NO:	2020-06-119</t>
  </si>
  <si>
    <t xml:space="preserve"> 4"Ø x 6m - 4.77mm Spiral Steel Pipe - 2 pcs 4"Ø x 6" Tee Seamless - 1 pc 4"Ø Sleeve Type Coupling, Steel - 1 pc 4"Ø Butterfly Valve, Lever Type - 2 pcs 4"Ø Check Valve, Horizontal mounted - 1 pc 4"Ø x 90˚ Steel Long Elbow, Seamless - 1 pc 4"Ø x 45˚ Elbow,</t>
  </si>
  <si>
    <t xml:space="preserve"> Item Number	Description	 QTY 	UNIT	 ESTIMATED BUDGET  	Water Works			 1	P.E. Pipe #1	40	meters	 3,800.00  2	2" Ø G.I. Pipe (Sch. 40)	20	pcs	 53,000.00  3	1" Ø G.I. Pipe (Sch. 40)	10	pcs	 14,500.00  4	P.E. Adaptor #1" Ø	10	pcs	 2,950.00  5	G.I. Coupling #1</t>
  </si>
  <si>
    <t xml:space="preserve"> The Municipality of Limay, through its Bids and Awards Committee (BAC) invites registered contractors to apply for eligibility and if found eligible, to bid for the hereunder project/contract: Project/Contract:  SUPPLY AND DELIVERY OF LAPTOPS FOR TEACHERS</t>
  </si>
  <si>
    <t xml:space="preserve"> 1.   Diesel 5,466.66 Liters</t>
  </si>
  <si>
    <t xml:space="preserve"> Republic of the Philippines CITY OF MARIKINA SF-GOOD-05 Revised on: July 28, 2004				 													Mkna-GSO-20-293	 	BIDS AND AWARDS COMMITTEE		 NOTICE OF PROPOSED PROCUREMENT The City Government of Marikina, through its Bids and Awards Committee (BAC), w</t>
  </si>
  <si>
    <t xml:space="preserve"> Provision of labor, materials, equipment rentals and other incidentals needed for the Reconstruction of Screenhouse at DA-INREC, Batac Station, Brgy. Tabug, Batac, Ilocos Norte  	 	Provision of labor, materials, equipment rentals and other incidentals nee</t>
  </si>
  <si>
    <t xml:space="preserve"> Improvement of Mechanical Dryer (Concrete Pavement) at Agro-Industrial Building, Barangay Bersamin, Alcala, Pangasinan</t>
  </si>
  <si>
    <t xml:space="preserve"> 1.      10714.28   LITERS   DIESEL APPROVED BUDGET FOR THE CONTRACT: PHP 599,999.68 LOCATION OF THE CONTRACT: BATARAZA, PALAWAN DURATION OF THE CONTRACT: 7 DAYS SCHEDULE OF ACTIVITIES: POSTING AND ISSUANCE OF BIDS: JUNE 29-JULY 14, 2020 PRE-BID CONFERENCE</t>
  </si>
  <si>
    <t xml:space="preserve"> REPUBLIC  OF  THE  PHILIPPINES    Province  of   Cavite   Municipality  of  Carmona   Barangay 14 – BANCAL INVITATION TO BID The LGU – Bancal, Carmona, Cavite, through its Bids and Awards Committee (BAC), invites repair shops to apply to bid fo the hereun</t>
  </si>
  <si>
    <t xml:space="preserve"> Purchased Construction Materials of Storage Facility</t>
  </si>
  <si>
    <t xml:space="preserve"> Two (2) ea Air Cleaner (AT171853) &amp; 84 other line items</t>
  </si>
  <si>
    <t xml:space="preserve"> piece	Tarpaulins (4x8)		6 piece	Congratulatory Tarpaulins		4 piece	Tapaulins (8x12)		6 piece	Tapaulins (8x5)		2 piece	Lei		40 piece	Personalized Medals		500 piece	Personalized Ribbon		800 piece	Flowers		24 piece	Certificate Holder		400</t>
  </si>
  <si>
    <t xml:space="preserve"> Section I. Invitation to Bid   Provincial Government of Isabela SUPPLY AND DELIVERY OF VAN, 2.8L, DIESEL, 4 CYLINDER DOHC, M/T, WITH 3 YEARS LTO REGISTRATION The Provincial Government of Isabela, through the PGI FUND intends to apply the sum of One Millio</t>
  </si>
  <si>
    <t xml:space="preserve"> piece	Master Roll		2 piece	RISO Ink		2 piece	Reproduction of Materials -rental services		6</t>
  </si>
  <si>
    <t xml:space="preserve"> Republic of the Philippines Province of Batanes MUNICIPALITY OF SABTANG -oOo- BIDS AND AWARDS COMMITTEE INVITATION TO APPLY FOR ELIGIBILITY AND TO BID The LGU-Sabtang has allocated funds from 20% Development Fund – 2018 PGB which is intended for the payme</t>
  </si>
  <si>
    <t xml:space="preserve"> Cebu Technological University-Tuburan Campus invites interested bidder to submit one (1) LOT quotation for the following items: Multi-function ink tank printer system with scanner	7 unit	63,000.00 ink magenta	4 bottles	 1,600.00 ink cyan	       4 bottles	</t>
  </si>
  <si>
    <t xml:space="preserve"> 1	8	PCS	UPPER ARM BUSHING 2	32	GALS	OIL 40 3	32	LITERS	ATF 4	32	PCS	FLUSHING OIL  5	8	PCS	CONNECTING ROD BEARING 6	98	LITERS	COOLANT 7	8	PCS	SHOCK ABSORBER FRONT 8	8	PCS	SHOCK ABSORBER REAR 9	8	PCS	FREON RECHARGING 10	8	PCS	CLUTCH DISC 11	150	LITERS	GEAR </t>
  </si>
  <si>
    <t xml:space="preserve"> SUPPLY AND DELIVERY OF PLASTIC SADDLE CLAMPS</t>
  </si>
  <si>
    <t xml:space="preserve"> Procurement of Lechon Php108,00.00</t>
  </si>
  <si>
    <t xml:space="preserve"> SEE ATTACHED : REQUEST FOR QUOTATION (RFQ) For use in documentation of projects and maintenance activities, DPWH, Sorsogon 1st DEO</t>
  </si>
  <si>
    <t xml:space="preserve"> Vaccine for Senior Citizens/PWD</t>
  </si>
  <si>
    <t xml:space="preserve"> INVITATION TO BID FOR Expansion of Students Athletic Ground (Lot 2-Savings)                 The CAMARINES SUR POLYTECHNIC COLLEGES, through the GAA (Savings)  intends to apply the sum of Eight Hundred Twenty Nine Thousand Two Hundred Thirty Pesos &amp; 15/100</t>
  </si>
  <si>
    <t xml:space="preserve"> DIESEL HYDRAULIC OIL 68 15W 40 ENGINE OIL TRANSMISSION OIL 140 GREASE</t>
  </si>
  <si>
    <t xml:space="preserve"> Four (4) ea Air Filter Element &amp; 33 other line items</t>
  </si>
  <si>
    <t xml:space="preserve"> Description Republic of the Philippines Danao City Brgy.Sta.Rosa INVITATION to APPLY for ELIGIBILITY and to BID Road Concreting @ Brgy.Sta.Rosa,Danao City The Brgy.Sta.Rosa, tends to apply the sum of Php177,614.00 being Approved Budget for the Contract (A</t>
  </si>
  <si>
    <t xml:space="preserve"> Construction of Covered Court/ Evacuation Center at Barangay San Vicente, Alcala, Pangasinan</t>
  </si>
  <si>
    <t xml:space="preserve"> Republic of the Philippines PROVINCE OF BUKDINON Malaybalay City OFFICE OF THE PROVINCIAL GOVERNOR Bids and Awards Committee INVITATION TO BID FOR THE “SUPPLY AND DELIVERY OF ONE LOT OFFICE SUPPLIES” ITB No. 2020-152A June 29, 2020 1.	The Provincial Gover</t>
  </si>
  <si>
    <t xml:space="preserve"> Formworks &amp; Scaffolding                          LS              LS    Demolition of Existing Roofing  Roof Framing &amp; Roof Beams                      LS              LS  Reinforced Concrete Footing   (at Stage -1st floor &amp; 2nd floor)                cu.m  </t>
  </si>
  <si>
    <t xml:space="preserve"> Assorted Medicines</t>
  </si>
  <si>
    <t xml:space="preserve"> Search Lights</t>
  </si>
  <si>
    <t xml:space="preserve"> 2 unit Sofa, (2 seater,1 seater) seat, backrest and armrest padded with thick polyurethane foam upholstered in thick woven dark color fabric except black; Frame of the sofa must be made of durable wood 5 unit Mobile Pedestal Cabinet, 3 Layers, made of met</t>
  </si>
  <si>
    <t xml:space="preserve"> note: please see attach supporting RFQ.</t>
  </si>
  <si>
    <t xml:space="preserve"> Concrete Paving of Farm-to-Market Road at Barangay Atainan, Alcala, Pangasinan</t>
  </si>
  <si>
    <t xml:space="preserve"> Repair of Combination Chiller/Freezer at TWC Cookery Workshop, 1 lot Scope of work 1. Supply &amp; installation of Compressor Motor. 2. Flushing of system, leak test and Vacuuming 3. Charging of Freon 404 4. Testing and commissioning</t>
  </si>
  <si>
    <t xml:space="preserve"> 1	Cutting Edge, 232-70-12143		2	pcs. 2	End Bit, 232-70-52192		2	pcs. 3	Bolt, 232-70-12450		18	pcs. 4	Bolt, 232-70-12460		4	pcs. 5	Nut, 232-70-12480		22	pcs. 6	Washer, 01643-31645		22	pcs. 7	Guide, 232-70-12420		2	pcs. 8	Guide, 232-70-12430		2	pcs. 9	Air C</t>
  </si>
  <si>
    <t xml:space="preserve"> Republic of the Philippines Province of Batangas Municipality of Lemery  INVITATION TO BID FOR THE Procurement of portable generators for Evacuation Center 1.	The MUNICIPALITY OF LEMERY, through the Annual Budget CY 2020-70% of 5% Calamity Fund-Capital Ou</t>
  </si>
  <si>
    <t xml:space="preserve"> Service Vehicle (AUV) -with Engine Displacement not exceeding 2800cc - Diesel Fed -4 Cylinder</t>
  </si>
  <si>
    <t xml:space="preserve"> Three (3) ea Navigational Light &amp; 10 other line items</t>
  </si>
  <si>
    <t xml:space="preserve"> Provision of labor, materials, equipment and other incidentals needed for the Reconstruction of Nursery (2 units) at DA-PREC, Sual, Pangasinan  	 	Provision of labor, materials, equipment and other incidentals needed for the Reconstruction of Nursery (2 u</t>
  </si>
  <si>
    <t xml:space="preserve"> INVITATION TO BID The __DEPARTMENT OF PUBLIC WORKS AND HIGHWAYS - DISTRICT ENGINEER’S OFFICE ZAMBOANGA CITY__, through its Bids and Awards Committee (BAC), invites contractors to submit bids for the following Contract: Contract ID: 20JA0085  Contract Name</t>
  </si>
  <si>
    <t xml:space="preserve"> Please see attached Invitation to Bid (ITB) and Purchase Request (PR).</t>
  </si>
  <si>
    <t xml:space="preserve"> Repair/Rehabilitation of Ceiling (Planning Office, Budget Office, Accounting Office, MSWDO Office, 1st Floor Hallway &amp; Municipal Trial Circuit Office) at Municipal &amp; Legislative Building, Barangay Poblacion East, Alcala, Pangasinan.</t>
  </si>
  <si>
    <t xml:space="preserve"> Republic of the Philippines Province of Albay Municipality of Rapu-Rapu Barangay Dap-Dap INVITATION TO BID FOR THE CONSTRUCTION OF FOOTBRIDGE – PUROK 1 1.	The Barangay Local Government Unit of Dap-Dap, Rapu-Rapu, Albay, through the Budget for the Contract</t>
  </si>
  <si>
    <t xml:space="preserve"> To reproduce sufficient materials for students</t>
  </si>
  <si>
    <t xml:space="preserve"> For Toyota Innova SLB-190 4 pcs. Tubeless Tire (205/65R 15) Specifications: * Branded * Tire Width - 205mm * Load Index/ Maximum Load -  91/615 kgs * Speed Index/ Maximum Speed - H210 km/h w-w-w-w-w-w-w-w-w-w-w-w-w-w-w-w-w-w-w</t>
  </si>
  <si>
    <t xml:space="preserve"> Standard Form Number: SFGOOD60 Revised on: May 24, 2004 Standard Form Title: Request for Quotation Date: June 29, 2020  Quotation No. 20-06-0370 PR No. 20-06-789 __________________________ Company Name _________________________________ Address         Ple</t>
  </si>
  <si>
    <t xml:space="preserve"> Number: 	Quantity: 	 1	17.49	set		Window Blinds 125 x 130		250.00	4,372.50 2	34.55	set		Window Blinds 247 x 130		250.00	8,637.50 3	67.84	set		Window Blinds 485 x 130		250.00	16,960.00 4	68.68	set		Window Blinds 491 x 130		250.00	17,170.00 5	68.26	set		Win</t>
  </si>
  <si>
    <t xml:space="preserve"> NOTICE TO THE PUBLIC  REQUEST FOR QUOTATION                                                 AMP SVP-D NO: 20-06-0287B	              The University of the Philippines, Diliman (UPD) hereby informs the public that it will be procuring the following item/s t</t>
  </si>
  <si>
    <t xml:space="preserve"> Concrete Paving of Farm-to-Market Road at Barangay Kisikis, Alcala, Pangasinan</t>
  </si>
  <si>
    <t xml:space="preserve"> 1	98	pcs	macaroni pasta (1kl) 2	230	pcs	milk(evap) 3	200	doz.	coffee 3 n 1 4	1400	bags	assorted biscuits 5	60	case	corned beef 6	600	pair	sllippers 7	60	pcs	noodles 8	60	pcs	mineral water 50ml 90	60	case	c2 solo 10	500	kls	brown sugar 11	1500	pcs	nescafe </t>
  </si>
  <si>
    <t xml:space="preserve"> June 29, 2020 INVITATION TO BID FOR PURCHASE OF MEDICINE SUPPLIES FOR THE RURAL HEALTH UNIT The Municipality of Magallanes, Cavite, through the Budget for the Contract approved by the Sangguniang Bayan intends to apply the sum of Two Hundred Forty Nine Th</t>
  </si>
  <si>
    <t xml:space="preserve"> one unit (set)</t>
  </si>
  <si>
    <t xml:space="preserve"> Republic of the Philippines PROVINCE OF ZAMBOANGA DEL SUR Municipality of Tabina -o0o- BIDS AND AWARDS COMMITTEE INVITATION TO BID  IMPROVEMENT OF DAY CARE CENTER 1.	The Barangay Local Government of Malim,Tabina, Zamboanga del Sur, through the 20%-BDF int</t>
  </si>
  <si>
    <t xml:space="preserve"> Rapid Test Kit for COVID-19 Invitation to bid For Rapid Test Kit for COVID-19 1. The Barangay Government of Dalig, Antipolo City, through the General Fund intends to apply the sum of Three Hundred Thousand Pesos Only (P300,000.00) being Approved Budget fo</t>
  </si>
  <si>
    <t xml:space="preserve"> SEE ATTACHED : REQUEST FOR QUOTATION (RFQ) For use in documentation of projects and maintenance reports, DPWH Sorsogon 1st DEO</t>
  </si>
  <si>
    <t xml:space="preserve"> PURCHASE OF PORTABLE RADIO TRANCEIVER FOR DISASTER AND EMERGENCY RESPONSE (MDRRMO)- PR NO. 2020-06-126</t>
  </si>
  <si>
    <t xml:space="preserve"> 1 unit 2.5HP airconditioner, Inverter Series</t>
  </si>
  <si>
    <t xml:space="preserve"> piece	LPG  Gas Tank		3 piece	LPG  Gas Refill		3</t>
  </si>
  <si>
    <t xml:space="preserve"> Standard Form Number: SFGOOD60 Revised on: May 24, 2004 Standard Form Title: Request for Quotation Date: June 29, 2020  Quotation No. 20-06-0371 PR No. 20-06-790 __________________________ Company Name _________________________________ Address         Ple</t>
  </si>
  <si>
    <t xml:space="preserve"> Purchase of Anti Dengue Chemicals</t>
  </si>
  <si>
    <t xml:space="preserve"> SUBSCRIPTION OF DEDICATED CLOUD HOSTING with Multi-Domain SSL Certificate Hosting Features/Services – Essential Operating System :  Linux CentOS 7 (64 bit) Vcpu:  (core) RAM:  8GB Data Storage:  160GB Data Cap: 2 TB IP Address: 1 IPv4 Multiple Hosted Doma</t>
  </si>
  <si>
    <t xml:space="preserve"> medical supply</t>
  </si>
  <si>
    <t xml:space="preserve"> Republic of the Philippines Province of Samar  Municipality of Jiabong INVITATION TO BID FOR  Emergency Purchase in response to covid 19 Mayor’s Office 47A Jiab-2020-47A 1.	The Municipal Government of Jiabong, Samar, intends to apply the sum of SIXTY FOUR</t>
  </si>
  <si>
    <t xml:space="preserve"> The PRDP-RPCO through the Department of Agriculture Regional Field Office 3 is hereby invited suppliers to submit quotations/proposals from the here-under requirements, to wit: 		Office Supplies to be used at RPCO3 I-SUPPORT Office 25	ream	Bond Paper (sub</t>
  </si>
  <si>
    <t xml:space="preserve"> Republic of the Philippines Province of Batanes	 MUNICIPALITY OF BASCO               		INVITATION TO BID FOR THE PROCUREMENT OF FUEL, OIL AND LUBRICANT 1.	The Municipal Local Government Unit of Basco, through the General Fund  intends to apply the sum of </t>
  </si>
  <si>
    <t xml:space="preserve"> June 29, 2020 INVITATION TO BID FOR RIPRAPPING AT BRGY. POBLACION 5, MAGALLANES, CAVITE The Municipality of Magallanes, Cavite, through the Budget for the Contract approved by the Sangguniang Bayan intends to apply the sum of Four Hundred Ninety Seven Tho</t>
  </si>
  <si>
    <t xml:space="preserve"> NOTICE OF NEGOTIATED PROCUREMENT (Small Value Procurement) Project:	Purchase of 20,000 liters Diesel Fuel (to replenish Stocks at Motorpool Oil Depot, for use of various                  service vehicles, dumptrucks &amp; equipment of the province) 		(PR#2020</t>
  </si>
  <si>
    <t xml:space="preserve"> 75	 meters	Stretchable cloth printed 25	 meters	Stretchable cloth plain 100	meters	Alphagena cloth printed 50	meters	Alphagena cloth plain 100	meters	Polyster cloth printed 60width 60	 yards	Teturon cloth plain white 50	meters	Polyster cloth plain 60width</t>
  </si>
  <si>
    <t xml:space="preserve"> Republic of the Philippines Region XII Province of Cotabato City of Kidapawan OFFICE OF THE BIDS AND AWARD COMMITTEE June 30, 2020 INVITATION TO BID FOR  SUPPLY AND DELIVERY OF APPLIANCES NEEDED FOR THE PANGKABUHAYAN STARTER KITS BENEFICIARIES OF THE CITY</t>
  </si>
  <si>
    <t xml:space="preserve"> Standard Form Number: SFGOOD60 Revised on: May 24, 2004 Standard Form Title: Request for Quotation Date: June 29, 2020  Quotation No. 20-06-0373 PR No. 20-06-774 __________________________ Company Name _________________________________ Address         Ple</t>
  </si>
  <si>
    <t xml:space="preserve"> Bid Documents Fee P 5,000.00 Submission and receipt of Bids/ Opening of Bids Date: July 21, 2020 Time: 10:00 AM Venue: Conference Room, Municipal Hall Bldg., Laur, Nueva Ecija 1 unit Rescue Vehicle Specifications: 2.2 - 3.0 Li. Diesel Engine 	Euro 4 	5 Sp</t>
  </si>
  <si>
    <t xml:space="preserve"> piece	Fish plates, 8-9”		24 piece	Side plates or bread plates, 6”		8 piece	Soup plate/bowl		13 piece	Cups and saucers 5-6 oz		12 piece	Coffee pot		2 piece	Salt and Pepper shakers		1 piece	service trays		1 piece	Silver platters		8 piece	Round (bar) trays		</t>
  </si>
  <si>
    <t xml:space="preserve"> Republic of the Philippines Province of Nueva Vizcaya BIDS AND AWARDS COMMITTEE (BAC-Goods) BAC OFFICE, Provincial Capitol, Bayombong, Nueva Vizcaya 	 2ND REQUEST FOR QUOTATION (RFQ)  For the Procurement of Municipal &amp; Provincial Banners/Flags For the Gov</t>
  </si>
  <si>
    <t xml:space="preserve"> PHILIPPINE BIDDING DOCUMENTS (As Harmonized with Development Partners) FOR ENHANCEMENT OF CACAO PRODUCTION THRU PROVISION OF ACCREDITED VARIETY OF CACAO GRAFTED PLANTING MATERIALS BIDDING Government of the Republic of the Philippines TABLE OF CONTENTS SEC</t>
  </si>
  <si>
    <t xml:space="preserve"> CONSOLIDATED OFFICE, JANITORIAL AND OTHER SUPPLIES FOR DIFFERENT PROGRAMS OF  MHO- PR. NO:	2020-06-129</t>
  </si>
  <si>
    <t xml:space="preserve"> The Local  Government   Unit  of General  Santos  City, through  the  GENERAL FUND CY 2020  intends  to apply  the sum of fifty six thousand and xx / 100 Pesos Only (56,000.00)   being  the Approved  Budget  for the Contract   (ABC) to payments  under  th</t>
  </si>
  <si>
    <t xml:space="preserve"> Republic of the Philippines Province of Batanes	 MUNICIPALITY OF BASCO               		INVITATION TO BID FOR THE PROCUREMENT OF MATERIALS FOR THE REHABILITATION OF ROAD BETWEEN BSC AND BFAR 1.	The Municipal Local Government Unit of Basco, through the Gene</t>
  </si>
  <si>
    <t xml:space="preserve"> Purchased of 4 sets Branded Desktop, 4 pieces Licensed MS Office, 3 pieces Licensed OS and 5 Units Uninterrupted Power Supply (UPS)</t>
  </si>
  <si>
    <t xml:space="preserve"> 5 UNITS STEEL SHED  3.6M (LENGTH) X2.5M(WIDTH)X2.5M(HEIGHT) USING MATERIALS: TRUSSES:ANGLE BAR 1'' ROOFING:PLAIN SHEEL 0.50 POST: G.I PIPE 2 DIA SCH 40 ARM REST: 1 1/2 DIA G.I PIPE CHAIR AND FLOORING: 1 1/2 X 3/6 ANGLE BAR</t>
  </si>
  <si>
    <t xml:space="preserve"> Republic of the Philippines Province of Capiz MUNICIPALITY OF TAPAZ REQUEST FOR QUOTATION The Municipality of Tapaz, through its Bids and Awards Committee (BAC) will undertake Shopping for the Supply and Delivery of Materials for the Rehabilitation of Mun</t>
  </si>
  <si>
    <t xml:space="preserve"> Water truck</t>
  </si>
  <si>
    <t xml:space="preserve"> Republic of the Philippines Province of Batanes	 MUNICIPALITY OF BASCO               		INVITATION TO BID FOR THE PROCUREMENT OF Supplies for Communicable Disease, Medical and Laboratory Supplies of the Municipal Health Office and Supplies for the Home Car</t>
  </si>
  <si>
    <t xml:space="preserve"> PURCHASE OF LABORATORY SUPPLIES WORTH P99,190.00,  DOCUMENT ATTACHED</t>
  </si>
  <si>
    <t xml:space="preserve"> Section I. Invitation to Bid   Provincial Government of Isabela SUPPLY AND DELIVERY OF PICK-UP, 4X4, 2.4L, DIESEL, 4 CYLINDER DOHC, M/T WITH 3 YEARS LTO REGISTRATION The Provincial Government of Isabela, through the PGI FUND intends to apply the sum of On</t>
  </si>
  <si>
    <t xml:space="preserve"> Medical Supplies and Equipment 5 Set Digital infrared Forehead Thermometer 1 Set PPE Suit Disposable (Full Gear) 10 Btl Vitamins C with Zinc (1000mg) 30 Box Surgical Mask 5 Set Face Shield 1 Set Stethoscope</t>
  </si>
  <si>
    <t xml:space="preserve"> June 29, 2020 INVITATION TO BID  Reference No. 7074671 /Solicitation No.20-24 The City Government of Tagum invites interested Bidders/Suppliers to bid for the following: Name of Contract         :  CONSTRUCTION MATERIALS &amp; SUPPLIES FOR THE USE OF CMO – EN</t>
  </si>
  <si>
    <t xml:space="preserve"> Standard Form Number: SFGOOD60 Revised on: May 24, 2004 Standard Form Title: Request for Quotation Date: June 29, 2020  Quotation No. 20-06-0375 PR No. 20-06-784 __________________________ Company Name _________________________________ Address         Ple</t>
  </si>
  <si>
    <t xml:space="preserve"> For Animal Bite Treatment Center Use</t>
  </si>
  <si>
    <t xml:space="preserve"> Printing of PWU Exhibit Catalogue		 		 The  National  Commission   for   Culture   and   the   Arts   (NCCA) invites prospective bidders to submit their quotations 		 for the following item/s listed below on or before July 03, 2020  at  1:00 p.m.		 		 The</t>
  </si>
  <si>
    <t xml:space="preserve"> RFQ No. 2020-____ 										         Date___________ REQUEST FOR QUOTATION Replacement of tire for the maintenance of Dumptruck-8, Dumptruck-9 and Dumptruck-10 	 The Municipal Government of Pinamalayan herein after referred to as “the Purchaser”, through </t>
  </si>
  <si>
    <t xml:space="preserve"> 10	 box	DBX1 #12 needle 10	 box	DBX1 #14 needle 10	 box	DBX1 #16 needle 10	box	DPX1 #12 needle 10	box	DPX1 #14 needle 24	pairs	Square ruller and curve ruller (wooden) 43	 pcs	Wooden ruller 12 inches 48	boxes	Pencil mongol #1,2,3 30	boxes	Tailor chalk asso</t>
  </si>
  <si>
    <t xml:space="preserve"> Antonio V. Aporstol Sr. Memorial Central Elementary School and SPED Center  School MOOE intended for Office supplies and other materials for the Month of March-April 2020.</t>
  </si>
  <si>
    <t xml:space="preserve"> Republic of the Philippines Province of Albay Municipality of Rapu-Rapu Barangay Sagrada INVITATION TO BID FOR THE INSTALLATION OF SOLAR POWERED STREET LIGHTS 1.	The Barangay Local Government Unit of Sagrada, Rapu-Rapu, Albay, through the Budget for the C</t>
  </si>
  <si>
    <t xml:space="preserve"> Foods to be Consumed in the Public Hearing of Committee on Environmental Protection and Ecology @ Samal, Bataan 130 pax - Meals and Snacks</t>
  </si>
  <si>
    <t xml:space="preserve"> 1	125	set	packed meal 			 lunch:  rice, spring roll, chicken lollipops, beef kaldereta, 			 sinigang boneless bangus, buko pandan, canned juice drink 			Delivery Date:  July 6, 2020, 10:30 am, AVR 2	125	set	packed meal 			 lunch:  rice, beef kare-kare, fr</t>
  </si>
  <si>
    <t xml:space="preserve"> Republika ng Pilipinas										 National Irrigation Administration										 (Pambansang Pangasiwaan ng Patubig)										 REGION XI										 Irrigation Management Office- Davao de Oro										 										 										 										 										 										 			</t>
  </si>
  <si>
    <t xml:space="preserve"> The Ministry of Human Settlements and Development (MHSD) a locally funded agency, intends to Request for Quotation (RFQ) for the sum of Two Hundred Seventy Eight Thousand Six Hundred Seventy-Seven Pesos and 16/100(₽278,677.16) being the Approved Budget fo</t>
  </si>
  <si>
    <t xml:space="preserve"> Number: 	Quantity: 	 							Supply and Delivery of Goods				 1	 5	btl		INEO + 258 TONER, Black	TN324		9,260.00	46,300.00 2	5	btl		INEO + 258 TONER, Cyan	TN324		16,510.00	82,550.00 3	5	btl		INEO + 258 TONER, Magenta	TN324		16,510.00	82,550.00 4	5	btl		INEO</t>
  </si>
  <si>
    <t xml:space="preserve"> Fifty (50) bags Adhesive Cement &amp; 52 other line items</t>
  </si>
  <si>
    <t xml:space="preserve"> see associated component</t>
  </si>
  <si>
    <t xml:space="preserve"> piece	Jalousie Blades		80 piece	Jalousie FRAMES		50 gal.	Paint, GREEN		20 gal.	Paint, BROWN		5 gal.	Paint, IVORY		10 gal.	Paint, YELLOW		2 piece	Padlock ( big)		10 piece	Padlock ( SMALL)		10 ft	Wood ( 2x2)		50 piece	Plywood 		5 m	Angle Bar ( 1  1/2 x 1/4)</t>
  </si>
  <si>
    <t xml:space="preserve"> Republic of the Philippines Province of Albay Municipality of Rapu-Rapu Barangay Sagrada INVITATION TO BID FOR THE CONSTRUCTION OF PATHWAY 1.	The Barangay Local Government Unit of Sagrada, Rapu-Rapu, Albay, through the Budget for the Contract Approved by </t>
  </si>
  <si>
    <t xml:space="preserve"> Trastuzumab 150mg Lyophilized Powder Requirements for Drugs and Medicines: **Drugs with history of usage from VMMC (Requirements No. 1-5 only) ** **For Innovators (Requirements No. 1-4 only) ** 1. CPR 2. CGMP 3. LTO 4. CERTIFICATE OF DISTRIBUTOSHIP 5. CER</t>
  </si>
  <si>
    <t xml:space="preserve"> Please see attached file for terms of reference.</t>
  </si>
  <si>
    <t xml:space="preserve"> Republic of the Philippines Province of Batangas Municipality of San Juan BIDS AND AWARDS COMMITTEE INVITATION TO APPLY FOR ELIGIBILITY AND TO BID THE LOCAL  GOVERNMENT UNIT OF BRGY. JANAO-JANAO, SAN JUAN, BATANGAS, through its Bids and Awards Committee(B</t>
  </si>
  <si>
    <t xml:space="preserve"> Gasoline 													1,500	liters Diesel													4,265	liters</t>
  </si>
  <si>
    <t xml:space="preserve"> Company Name:							 Address:							 Telephone No./ Fax No.			Philgeps Registration No.:				 							 Item No. 	QTY	Unit	Items and Description	 ABC	Bidder's Brand	Unit Price	"Total  Price" 							 1	1	lot	Improvement of Ground Floor Common Toilet and Lobby</t>
  </si>
  <si>
    <t xml:space="preserve"> 1.	2	unit/s	Desktop Computer Intel core i7 License 2.	1	unit/s	Printer Laserjet Pro MFP 3.	1	box/es	Toner Cartridge CF280XC</t>
  </si>
  <si>
    <t xml:space="preserve"> Supply and Delivery of 45 Toner Cartridges HP CE505A with free use of corresponding HP Laserjet Printer</t>
  </si>
  <si>
    <t xml:space="preserve"> Republic of the Philippines									 Province of Batangas									 Municipality of Sto. Tomas									 Barangay STA. ANASTACIA									 									 									 INVITATION TO BID									 									 The Barangay Government of Sta. Anastacia, Sto. Tomas, Batanga</t>
  </si>
  <si>
    <t xml:space="preserve"> Bids and Awards Committee							 REQUEST FOR QUOTATION							         The City Government of Pagadian, through its Bids and Awards Committee (BAC), invites suppliers/manufacturers/distributors to bid for the hereunder supplies/goods, charged to 8751-200-5</t>
  </si>
  <si>
    <t xml:space="preserve"> PURCHASE OF FOOD AND OTHER SUPPLIES FOR LOGICTICAL SUPPORT TO RESPONDERS AND VOLUNTEERS RETRIEVAL OPERATIONS INCLUDING COVID-19  OPERATION ( MDRRMO)- PR. NO:	2020-06-133</t>
  </si>
  <si>
    <t xml:space="preserve"> Two (2) ea Camera Digital, Flash Mount &amp; 29 other line items</t>
  </si>
  <si>
    <t xml:space="preserve"> CONTRACT COST:	 	 1.	m²	53.18	ENTERIOR FINISHING AT COMFORT ROOMS		32,620.86 2.			TILING		 2.1	m²	144.59	OFFICE SPACE		221,285.28 2.2	m²	34.4	CORRIDOR AND STAIRS		67,111.67 2.3			COMFORT ROOMS		 2.3.1	m²	72.12	WALL &amp; PARTITION (H= 2.0m)		92,931.94 2.3.2	m</t>
  </si>
  <si>
    <t xml:space="preserve"> RFQ 2020-06-026 - PR 2020-06-035 Procurement of One (1) Job Order, L&amp;M for Preventive Maintenance of AAG-4646 Mitsubishi Strada Pick-Up</t>
  </si>
  <si>
    <t xml:space="preserve"> Printing of Walang kikilos  Exhibit Catalogue		 		 The  National  Commission   for   Culture   and   the   Arts   (NCCA) invites prospective bidders to submit their quotations 		 for the following item/s listed below on or before July 03, 2020  at  1:00 p</t>
  </si>
  <si>
    <t xml:space="preserve"> 20-10199</t>
  </si>
  <si>
    <t xml:space="preserve"> 3	 pcs 	 Handheld Radio</t>
  </si>
  <si>
    <t xml:space="preserve"> 7	pcs	SAFE VAULT 		SPECS: 		Height (mm/inch): 302.7/11.9 		Width (mm/inch): 381/15 		Depth (mm/inch): 310/12.2 		Weight (kgs.): 14 		Color: black 		Other features: 		Concealed emergency manual key lock 		Open and close by using keypad 		Complimentary moun</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</si>
  <si>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</si>
  <si>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</si>
  <si>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Republic of the Philippines									 Department of Health									 VICENTE SOTTO MEMORIAL MEDICAL CENTER									 B. Rodriguez St., Cebu City, 6000									 TELEFAX : 2532182/2540057									 			Email: vsmmc_procurement@yahoo.com						 (Establishment/Supp</t>
  </si>
  <si>
    <t xml:space="preserve"> MEALS AND SNACKS FOR PARTICIPANTS ( REC- ECHO TRAINING ON COLLAPSED STRUCTURE SEARCH AND RESCUE TRAINING  FOR MDRRMO- PR. NO:	2020-06-135</t>
  </si>
  <si>
    <t xml:space="preserve"> Please see attached RFQ # 20-1007-2 Submit your Sign and Sealed Quotation together with your UPDATED ELIGIBILITY Requirements For more details please call DA-PRES (09199350159)</t>
  </si>
  <si>
    <t xml:space="preserve"> Purchase of office supplies (Health Essentials)	 	 Infrared Thermometer Forehead scanner with stand	    (hands free non-contact scanner) 	 Specification:	 *	Please see attached sample photo 	 Disposable face mask (50 pcs/box)	 	3 ply with ear-loop, free s</t>
  </si>
  <si>
    <t xml:space="preserve"> One (1) job Furnishing of Labor and Materials for the Construction of Slope Protection at Brgy. Tabucan, Dumangas, Iloilo</t>
  </si>
  <si>
    <t xml:space="preserve"> Supply &amp; Delivery of ICT Materials for Procurement Office 01D(GASS) F13-2020 Kindly see attached file. Thank you!</t>
  </si>
  <si>
    <t xml:space="preserve"> 2	 pcs 	 CCTV Camera</t>
  </si>
  <si>
    <t xml:space="preserve"> pax	INSET Meals		25 piece	Notary Fee/Services		10 piece	Araw ngSF- Deped Cultural Uniform		15</t>
  </si>
  <si>
    <t xml:space="preserve"> Concreting of 0.15m x 3.0m x 80.0 m long road Materials/Description: 1. Cement - 306 bags 2. SAG - 59.38 cu.m 3. Gravel Bidding - 12.00 cu.m 4. 40 pcs- 2x6x12' coco lumber  5. CW Nails assorted - 6.0 kilos</t>
  </si>
  <si>
    <t xml:space="preserve"> Item Number	Description	 QTY 	UNIT	 ESTIMATED BUDGET  1	Diesel Fuel	12,000	Liters	 480,000.00  	xxxxxxxxxx			 			TOTAL:	Php 480,000.00</t>
  </si>
  <si>
    <t xml:space="preserve"> Complete 14-14-14 Fertilizer, etc. for PhilRice Seed Production Please see attached RFQ.</t>
  </si>
  <si>
    <t xml:space="preserve"> One (1) job Furnishing of Labor and Materials for the Construction of Drainage and Sidewalk- Southbound Terminal at Brgy. Tabucan, Dumangas, Iloilo</t>
  </si>
  <si>
    <t xml:space="preserve"> 1 Triwheeler Vehicle Technical Specification: Engine Type: 4 stroke, DTS-I Engine No. of Cylinders: One Engine Displacement: 198.88 CC Groud Clearance: 200mm Kerb. Weight: 348 kg Max. Gross Weight: 678 kg Front: HydraulicTandem type braking           mech</t>
  </si>
  <si>
    <t xml:space="preserve"> The DPWH-Ilocos Sur 1st District Engineering Office, through its Bids and Awards Committee (BAC), invites contractors to submit bids for the following Contract:   Contract ID: 20AC0101   Contract Name: Construction of Classrooms, Four (4) Storey, Twelve (</t>
  </si>
  <si>
    <t xml:space="preserve"> 1	60	PCS	(E.O.)  ELECTRICAL PIPE 2 1/2 75mm 2	2	PCS	(E.O.)  ELECTRICAL PVC MTA 2 1/2 3	2	PCS	(S) RSC ENTRANCE CAP 2 1/2 4	20	ROLLS	(A) ELECTRICAL TAPE (L) BLADE 5	4	PCS	US SOLDERESS CONNECTOR 2B 350mcm 6	1	CAN	€ SOLVENT CEMENT 400CC 7	180	MTRS	(COL) THHW </t>
  </si>
  <si>
    <t xml:space="preserve"> 10	 ltrs. 	 Insects &amp; Mosquito Repellant</t>
  </si>
  <si>
    <t xml:space="preserve"> INVITATION TO BID: BID REF. NO.: 2020-21 “SUPPLY AND DELIVERY OF VARIOUS PARTS AND LABOR OF DA-BFAR MCS PATROL VESSELS.” 		 1.	The Bureau of Fisheries and Aquatic Resources (BFAR) of the Department of Agriculture, through the General Appropriations Act fo</t>
  </si>
  <si>
    <t xml:space="preserve"> PURCHASE OF SPARE PARTS FOR REPAIR AND MAINTENANCE FOR FARM TRUCTOR, KOBELCO SK225SR AND KOBELCO SK115SR FOR MOTORPOOL- PR. NO:	2020-06-136</t>
  </si>
  <si>
    <t xml:space="preserve"> Republic of the Philippines Province of Batanes	 MUNICIPALITY OF BASCO               		INVITATION TO BID FOR THE PROCUREMENT OF TOOLS AND EQUIPMENT OF THE MUNICIPAL WATERWORKS SYSTEM 1.	The Municipal Local Government Unit of Basco, through the General Fun</t>
  </si>
  <si>
    <t xml:space="preserve"> Printing of Kanlungan  Exhibit Catalogue		 		 The  National  Commission   for   Culture   and   the   Arts   (NCCA) invites prospective bidders to submit their quotations 		 for the following item/s listed below on or before July 02, 2020  at  1:00 p.m.		</t>
  </si>
  <si>
    <t xml:space="preserve"> Air Filter Element # 17801-OC010									2	pc Alternator pulley # 27415-30010									1	pc Ball Joint, Upper (L &amp; R)											1	pc Brake pad # PD47135											1	pc Clutch disc #													1	pc Electrical tape, big												7	set Oil filter # 90915-</t>
  </si>
  <si>
    <t xml:space="preserve"> 1. Name of Project: PROVISION OF CATERING SERVICES FOR THE 1ST DIVISION MANAGEMENT COMMITTEE MEETING (MANCOM) 2020 2. ABC: Php 68,400.00 3. Source of Funds: Division, District and School MOOE to be deducted automatically at the Division Office 4. Delivery</t>
  </si>
  <si>
    <t xml:space="preserve"> Fresh Cacao Beans - ABE DOST-PCAARRD Cacao Agricultural &amp; Biosystems Engineering Supplies Please see attached RFQ.</t>
  </si>
  <si>
    <t xml:space="preserve"> Description Republic of the Philippines Danao City Brgy.Sta.Rosa INVITATION to APPLY for ELIGIBILITY and to BID Improvement of Multipurpose Hall @ Brgy.Sta.Rosa,Danao City The Brgy.Sta.Rosa, tends to apply the sum of Php132,370.00 being Approved Budget fo</t>
  </si>
  <si>
    <t xml:space="preserve"> Republic of the Philippines PROVINCE OF ALBAY 				   Municipality of Rapu-Rapu                                                          Barangay Poblacion Invitation to Bid for  Purchase of Drugs and Medicines 1.	The Barangay Local Government Units of Pob</t>
  </si>
  <si>
    <t xml:space="preserve"> Request for Quotation 3	ea	Fan belt	 2	ea	Cover assy/x'mission	 4	ea	Universal joint	 1	ea	Pitman arm	 1	ea	Drag link	 2	ea	Rack end	 4	ea	Ball Joint front	 4	ea	Ball Joint Rear	 4	set	Battery relay	 3	set	Engine Valve	 1	ea	Bracket fuel tank	 1	ea	Tank, </t>
  </si>
  <si>
    <t xml:space="preserve"> Telmisartan 40mg Tab Requirements for Drugs and Medicines: **Drugs with history of usage from VMMC (Requirements No. 1-5 only) ** **For Innovators (Requirements No. 1-4 only) ** 1. CPR 2. CGMP 3. LTO 4. CERTIFICATE OF DISTRIBUTOSHIP 5. CERTIFICATE OF ANAL</t>
  </si>
  <si>
    <t xml:space="preserve"> 113 pcs of Flu Vaccine</t>
  </si>
  <si>
    <t xml:space="preserve"> Republic of the Philippines Province of Southern Leyte Municipality of Tomas Oppus Invitation to Bid  PROCUREMENT OF MATERIALS FOR CONSTRUCTION OF COVERED COURT 1.	The Barangay Government of Higoso-an, Tomas Oppus, Southern Leyte, through the 20% General </t>
  </si>
  <si>
    <t xml:space="preserve"> 125	pcs	Award for Leadership		 		Gold Medal		 		Specification:		 		Medal with DepEd Seal		 		Diameter Size: 7cm		 		Weight: 30g		 		Ribbon Width: 1inch		 		Ribbon Color: Gold		 1,400	pcs	Award for Work Immersion		 		Award for Research Innovation		 		Award</t>
  </si>
  <si>
    <t xml:space="preserve"> June 29, 2020 INVITATION TO BID  Reference No. 7074783 /Solicitation No.20-24 The City Government of Tagum invites interested Bidders/Suppliers to bid for the following: Name of Contract         :  CONSTRUCTION MATERIALS &amp; SUPPLIES FOR THE USE OF CMO – CO</t>
  </si>
  <si>
    <t xml:space="preserve"> Republic of the Philippines PROVINCE OF SOUTHERN LEYTE Maasin City Invitation to Bid for the Procurement of One (1) Unit Service Vehicle    Contract ID # 2020-07-21-406PG 1.	The Provincial Government of Southern Leyte through the PSWDO Motor Vehicles Expe</t>
  </si>
  <si>
    <t xml:space="preserve"> Purchase of Medicines for COVID - 19 Response @ Samal, Bataan 100 boxes - Zinc Drops 20 boxes - Aspirin 80mg 100's 10 boxes - Clonidine (Catapres) 75mg 10 boxes - Cefalexin 500mg 100's 50 boxes - Cetirizine Drops 5mg/5ml 50 boxes - Cetirizine Drops 2.5ml </t>
  </si>
  <si>
    <t xml:space="preserve"> KINDER - 220 PUPILS= 6,600 COPIES GRADE 1- 355 PUPILS = 28,400 COPIES GRADE 2- 500 PUPILS = 40,000 COPIES GRADE 3- 470 PUPILS = 39,480 COPIES GRADE 4 - 350 PUPILS = 29,400 COPIES GRADE 5- 360 PUPILS = 30,240  COPIES GRADE 6- 400 PUPILS = 33,600 COPIES</t>
  </si>
  <si>
    <t xml:space="preserve"> Republic of the Philippines PROVINCE OF ALBAY 				   Municipality of Rapu-Rapu                                                          Barangay Poblacion Invitation to Bid for  Maintenance &amp; Improvement of Day Care Center 1.	The Barangay Local Government</t>
  </si>
  <si>
    <t xml:space="preserve"> Fabrication of Steel Grills of the Kitchen at MFASS Memorial Sports and Cultural Center.</t>
  </si>
  <si>
    <t xml:space="preserve"> One (1) job Furnishing of Labor and Materials for the Improvement of Task Force Puerto at Brgy. Sapao, Dumangas, Iloilo</t>
  </si>
  <si>
    <t xml:space="preserve"> Procurement of veterinary supplies to be used in anti-rabies vaccination</t>
  </si>
  <si>
    <t xml:space="preserve"> Air Safety Valve etc.  NOTE:To all suppliers bid documents and BAC Resolution 2020-029 are available at BAC Office and LGU website.</t>
  </si>
  <si>
    <t xml:space="preserve"> Procurement of HP CF219A - Original Laser Jet Imaging Drum - 2020 Please see attached components for detailed specifications. For more queries, please contact Property Management Section at 8465-2400 loc. 133 or 8523-0205 PLEASE SEND YOUR PROPOSALS TO ANY</t>
  </si>
  <si>
    <t xml:space="preserve"> Purchase of Medical Supplies for MHO @ Samal,Bataan 100 boxes - Amlodipine 5mg 100's 30 boxes - Amlodipine 10mg 100's 100 boxes - Losartan 50mg 100's 30 boxes - Losartan 100mg 100's</t>
  </si>
  <si>
    <t xml:space="preserve"> Republic of the Philippines 						 DEPARTMENT OF PUBLIC WORKS AND HIGHWAYS 						 LAGUNA II DISTRICT ENGINEERING OFFICE 						 Los Baños, Laguna 						 						 Name of Procuring Entity: DPWH-LAGUNA II DEO				Request for Quotation (PR No. ) :		2020-06-020 R</t>
  </si>
  <si>
    <t xml:space="preserve"> 6BOXES NESCAFEE COFFEE @ 100G(30/BX) 300PCKS BEAR BRAND 320G 300 KLS BROWN SUGAR WASHED 12BOXES CORNED BEEF 48 TNS 12 BOXES SAUSAGE 48TNS 12BOXES MEATLOAF 48TNS 20 BOXES LUCKY ME NOODLES 72 PACKS 10 PACKS SANDO BAG 100PCS 300PCS ECO BAG</t>
  </si>
  <si>
    <t xml:space="preserve"> LED Bulb, 17W, Daylight	 250 	Pc LED Bulb, 11W, Daylight	 150 	Pc Receptacle size 4"	 50 	Pc Switch Box	 100 	Pc PVC Moulding, 1" x 8ft	 25 	Pc PVC Moulding, 1/2" x 8ft	 25 	Pc Incandescent bulb, 100w, Wam Light	 50 	Pc Flourescent Tube, 15W, Day Light	 2</t>
  </si>
  <si>
    <t xml:space="preserve"> NOTICE TO THE PUBLIC  REQUEST FOR QUOTATION                                                 AMP SVP-D NO: 20-06-0308B	              The University of the Philippines, Diliman (UPD) hereby informs the public that it will be procuring the following item/s t</t>
  </si>
  <si>
    <t xml:space="preserve"> Republic of the Philippines Province of Ifugao Municipal Government of Hingyon BIDS AND AWARDS COMMITTEE – INFRA Invitation to Bid Publication No. 013 – 2020                                                          (FIRST POSTING) June 29, 2020 The Munici</t>
  </si>
  <si>
    <t xml:space="preserve"> The Local  Government   Unit  of General  Santos  City, through  the  GENERAL FUND CY 2020  intends  to apply  the sum of seventy eight thousand seven hundred fifty and xx / 100 Pesos Only (78,750.00)   being  the Approved  Budget  for the Contract   (ABC</t>
  </si>
  <si>
    <t xml:space="preserve"> ARTICLE AND DESCRIPTION										 ITEM	QTY.	UNIT						CEILING 			UNIT PRICE			TOTAL  								PRICE						 				Office: Office of the City Accountant				PR No. 415						 				Charge to: Printing and Publication Expenses 				OBR No. 100-2002-01201						 				 A</t>
  </si>
  <si>
    <t xml:space="preserve"> The DepEd Division of Cabuyao (Southville 1 Elementary School) invites registered supplier to quote the best offer for the item/s. Submit your quotation duly signed by duly representative not later than July 8, 2020. The quotation may be submitted manuall</t>
  </si>
  <si>
    <t xml:space="preserve"> PURCHASE OF AGRICULTURAL SUPPLIES FOR MAGRO- PR. NO:	2020-06-139</t>
  </si>
  <si>
    <t xml:space="preserve"> Republic of the Philippines DEPARTMENT OF PUBLIC WORKS AND HIGHWAYS ZAMBOANGA DEL SUR 2ND DISTRICT ENGINEERING OFFICE REGIONAL OFFICE IX Poblacion, Guipos NOTICE OF ALTERNATIVE METHODS OF PROCUREMENT (Small Value Procurement) 	Notice is hereby given that </t>
  </si>
  <si>
    <t xml:space="preserve"> PURCHASE OF SEMI-EXPENDABLE EQUIPMENT (MEDICAL EQUIPMENT) FOR SEVEN (7) AMBULANCES OF CENTERS AND RESIDENTIAL CARE FACILITIES CY 2020</t>
  </si>
  <si>
    <t xml:space="preserve"> Republic of the Philippines Municipality of Taytay Barangay Pularaquen NOTICE TO BIDDERS 1.	CONSTRUCTION OF MULTI – PURPOSE HALL (PHASE 1) Item#	Description			     QTY.		UNIT	 1.	Nylon String #100				2		clip 2.	CWN 3”					        2		kgs 3.	16mm dia x 6m, </t>
  </si>
  <si>
    <t xml:space="preserve"> PROCUREMENT OF SUPPLIES AND EQUIPMENT AGAINST COVID-19 PANDEMIC, SIKATUNA, BOHOL.</t>
  </si>
  <si>
    <t xml:space="preserve"> 1 pc. 23.5 + 25 milepro with tube &amp; flap tire brand new</t>
  </si>
  <si>
    <t xml:space="preserve"> Information Technology-Computer Desktop</t>
  </si>
  <si>
    <t xml:space="preserve"> Printing of UE Buklod Sining  Exhibit Catalogue		 		 The  National  Commission   for   Culture   and   the   Arts   (NCCA) invites prospective bidders to submit their quotations 		 for the following item/s listed below on or before July 03, 2020  at  1:00</t>
  </si>
  <si>
    <t xml:space="preserve"> CONSOLIDATED OFFICE SUPPLIES FOR MIO,MO,MDRRMO AND NUTRITION OFFICE- PR. NO:	2020-06-140</t>
  </si>
  <si>
    <t xml:space="preserve"> 20	 ltrs. 	 Insects &amp; Mosquito Repellant</t>
  </si>
  <si>
    <t xml:space="preserve"> The Local  Government   Unit  of General  Santos  City, through  the  GENERAL FUND CY 2020  intends  to apply  the sum of eight thousand eight hundred and xx / 100 Pesos Only (8,800.00)   being  the Approved  Budget  for the Contract   (ABC) to payments  </t>
  </si>
  <si>
    <t xml:space="preserve"> Supply and delivery of supplies and materials for National School Building Inventory SY 2019-2020</t>
  </si>
  <si>
    <t xml:space="preserve"> Anti-Tetanus Serum 1500IU/ml, 1ml (Equine) Ferrous Salt 60mg Elemental Iron + Folic Acid 400mg Tab Ferrous Salt 60mg Elemental Iron Tab Oxycodone HCL 5mg/Cap Requirements for Drugs and Medicines: **Drugs with history of usage from VMMC (Requirements No. 1</t>
  </si>
  <si>
    <t xml:space="preserve"> printer with continous ink with photo copier with scanner</t>
  </si>
  <si>
    <t xml:space="preserve"> Invitation to Bid to all Supplier/Contractor duly accredited by the city Council of Manila to supply  and deliver the Following items provided hereunder ,to wit;  proItem	Quantity	Unit	Description 			 1	10	ream	Bondpaper short 2	10	ream 	Bondpaper long 3	</t>
  </si>
  <si>
    <t xml:space="preserve"> Republic of the Philippines Province of Negros Oriental City of Guihulngan Bids and Awards Committee INVITATION TO BID (ITB No. PB2020-049) The  City of  Guihulngan, through its Bids and Awards Committee (BAC), invites suppliers/ manufacturers/ distributo</t>
  </si>
  <si>
    <t xml:space="preserve"> Republic of the Philippines Province of Albay Municipality of Rapu-Rapu Barangay Tinocawan INVITATION TO BID FOR THE  REHABILITATION OF WATER SYSTEM 1.	The Barangay Local Government Unit of Tinocawan, Rapu-Rapu, Albay, through the Budget for the Contract </t>
  </si>
  <si>
    <t xml:space="preserve"> 1000 pcs. PWD ID 1000 pcs. Solo Parent ID</t>
  </si>
  <si>
    <t xml:space="preserve"> Procurement of Office Supplies 2020 Please see attached components for detailed specifications. For more queries, please contact Property Management Section at 8465-2400 loc. 133 or 8523-0205 PLEASE SEND YOUR PROPOSALS TO ANY OF THE FOLLOWING CHOICES: 1. </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</si>
  <si>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</si>
  <si>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Piston Assy. etc.  NOTE:To all suppliers bid documents and BAC Resolution 2020-029 are available at BAC Office and LGU website.</t>
  </si>
  <si>
    <t xml:space="preserve"> Construction of Brgy Multi-Purpose Hall (Phase II) See Program of Works Plans and Programs upon submission of LOI</t>
  </si>
  <si>
    <t xml:space="preserve"> 420 bags Portland Cement 50 cu.m. Screened Gravel 25 cu.m. Washed Sand 800 pcs. 10mm dia. x 6m. RSB 200 kgs. Tie Wire #16</t>
  </si>
  <si>
    <t xml:space="preserve"> Republic of the Philippines										 Province of Bohol										 Municipality of Buenavista										 										 Barangay DAIT									 INVITATION TO APPLY FOR ELIGIBILITY AND TO BID										 										 The Barangay Local Government Unit of  DAIT,  Buen</t>
  </si>
  <si>
    <t xml:space="preserve"> REQUEST FOR QUOTATION The Bureau of Customs (BOC) – Port of Limay, through its General fund, will undertake Small Value Construction Services for the Renovation of the Customer Care Center (CCC) in accordance with the Revised Implementing Rules and Regula</t>
  </si>
  <si>
    <t xml:space="preserve"> Bids and Awards Committee							 REQUEST FOR QUOTATION							         The City Government of Pagadian, through its Bids and Awards Committee (BAC), invites suppliers/manufacturers/distributors to bid for the hereunder supplies/goods, charged to 1011-200-5</t>
  </si>
  <si>
    <t xml:space="preserve"> Vehicle Parts &amp; Accessories-Tire Set,HD SAE 10W,etc....</t>
  </si>
  <si>
    <t xml:space="preserve"> Const. of VAWCS Center Item No.	Quantity	Unit	Description			 1	22	bags	Portland Cement 40kg			 2	2.15	cu.m.	Sand			 3	1.72	cu.m.	Gravel			 4	170	pcs.	CHB, 100 mm Thk			 5	5	pcs.	Marine Plywood 1/4			 6	14	pcs.	12mm x 6m Std RSB			 7	8	pcs.	10mm x 6m Std R</t>
  </si>
  <si>
    <t xml:space="preserve"> Sticker for Ambulance with Installation								25	pcs  - vinyl sticker 23cm X 31cm/ Full colors														  - attached layout of sticker name of the ff:														  - PALAWAN RESCUE 165														  - 2 AGENCY LOGO OF PALAWAN RESCUE 165											</t>
  </si>
  <si>
    <t xml:space="preserve"> Printing of Bayaning inday  Exhibit Catalogue		 		 The  National  Commission   for   Culture   and   the   Arts   (NCCA) invites prospective bidders to submit their quotations 		 for the following item/s listed below on or before July 03, 2020  at  1:00 p</t>
  </si>
  <si>
    <t xml:space="preserve"> Republic of the Philippines Province of Negros Oriental City of Guihulngan Bids and Awards Committee INVITATION TO BID (ITB No. PB2020-050) The  City of  Guihulngan, through its Bids and Awards Committee (BAC), invites suppliers/ manufacturers/ distributo</t>
  </si>
  <si>
    <t xml:space="preserve"> As per attached RFQ</t>
  </si>
  <si>
    <t xml:space="preserve"> Vehicles-Motor Vehicle</t>
  </si>
  <si>
    <t xml:space="preserve"> Republic of the Philippines  Province of Samar Municipality of Jiabong Invitation to Bid  CONSTRUCTION OF MULTI-PURPOSE HALL BRGY VICTORY Jiab-2020-1C The Municipal Government of Jiabong, Samar, through LGU OF JIABONG   intends to apply the sum of ONE HUN</t>
  </si>
  <si>
    <t xml:space="preserve"> I.  VIDEO SURVEILLANCE 1. Hikvision 4K &amp; H.265+ NVR: 160Mbps Max       (up to 16-ch IP video), 8-ch 1080P, or 2-ch 4K,       SATA Interfaces, alarm I/O: 16/4, 1.5U case, 19"         1 pc. 2. HIWatch 2MP Mini Bullet: 1920x1080:25fps(P)/     30fps(N), H.265</t>
  </si>
  <si>
    <t xml:space="preserve"> The Local  Government   Unit  of General  Santos  City, through  the  DRRM FUND CY 2020  intends  to apply  the sum of nine hundred eighty six thousand eight hundred sixty and xx / 100 Pesos Only (986,860.00)   being  the Approved  Budget  for the Contrac</t>
  </si>
  <si>
    <t xml:space="preserve"> The Local  Government   Unit  of General  Santos  City, through  the  GENERAL FUND CY 2020  intends  to apply  the sum of eight hundred seven thousand five hundred and xx / 100 Pesos Only (807,500.00)   being  the Approved  Budget  for the Contract   (ABC</t>
  </si>
  <si>
    <t xml:space="preserve"> Gabapentin 100mg Cap Requirements for Drugs and Medicines: **Drugs with history of usage from VMMC (Requirements No. 1-5 only) ** **For Innovators (Requirements No. 1-4 only) ** 1. CPR 2. CGMP 3. LTO 4. CERTIFICATE OF DISTRIBUTOSHIP 5. CERTIFICATE OF ANAL</t>
  </si>
  <si>
    <t xml:space="preserve"> Procurement of Agung Plastic Jacket		 		 The  National  Commission   for   Culture   and   the   Arts   (NCCA) invites prospective bidders to submit their quotations 		 for the following item/s listed below on or before July 03, 2020  at  1:00 p.m.		 		 T</t>
  </si>
  <si>
    <t xml:space="preserve"> 30 sacks Rice Grains (50kl/sack)</t>
  </si>
  <si>
    <t xml:space="preserve"> 27634-001	DOCUMENT MANAGEMENT SYSTEM	1	LOT	145,000.00	145,000.00 27851-001	DOCUMENT MANAGEMENT SYSTEM	1	LOT	145,000.00	145,000.00 TERMS AND CONDITIONS: 1.	Delivery Term: Within 30 calendar days after receipt of P.O. 2.	Place of Delivery: TALAMBAN 3.	Payme</t>
  </si>
  <si>
    <t xml:space="preserve"> 20% EDF CY 2020 Rehabilitation of Water System - P 105,000.00 Schedule of Activities 1. Submission &amp; Receipt of Bids / Bid Opening - July 21, 2020 @ 10:00 AM 2. Bid Evaluation - July 22, 2020 3. Post Qualification - July 23, 2020 4. Approval of Resolution</t>
  </si>
  <si>
    <t xml:space="preserve"> 07032020-095 NOTICE FOR NEGOTIATED PROCUREMENT Publication: June 30, 2020 Closing: July 3, 2020 Name of Project	Purchase of Stickers for Disaster Preparedness and Emergency Response Approved Budget for the Contract	 ₱139,500.00 Contract Period:	15 days It</t>
  </si>
  <si>
    <t xml:space="preserve"> ITEM NO. QTY UNIT  DESCRIPTION 1.  11 ROLLS 2"DIAX60M PE PIPE SDR 11 2.  10 PCS 2"DIA PE TO PE PIPE CONNECTOR 3.  1 PC 2"DIA PE FEMALE CONNECTOR 4.  1 PC 2"DIA PE ELBOW 5. 25 ROLLS TAPELON TAOE BIG</t>
  </si>
  <si>
    <t xml:space="preserve"> Please refer to the attached RFQ.</t>
  </si>
  <si>
    <t xml:space="preserve"> 20% EDF CY 2020 1. Rehab &amp; Repair of Barangay Road - 107,634.00 2. Rehab &amp; Repair of Pathwalk - P 105,000.00 3. Construction of Line Canal - P 105,000.00 Schedule of Activities 1. Submission &amp; Receipt of Bids / Bid Opening - July 21, 2020 @ 3:00 PM 2. Bid</t>
  </si>
  <si>
    <t xml:space="preserve"> 2	 pcs 	 VHF Handheld  Radio</t>
  </si>
  <si>
    <t xml:space="preserve"> Office Equipment-Glass wall partition/cubicle</t>
  </si>
  <si>
    <t xml:space="preserve"> Construction of Spillway and Riprapping of road sides, A – 66.00sqm, T-0.15m 1.	Bids received in excess of the ABC shall be automatically rejected at bid opening. 2.	Bidders should have completed a contract similar to the Project. The description of an el</t>
  </si>
  <si>
    <t xml:space="preserve"> 30 reams bond paper short 30 reams bond paper long 2 ream long folder white 2 reams long folder red 5 bottles printer ink black 6 bottles printer ink colored 2 pcs flash drive 16 gb 1 box binder clip 2 pcs correction pen 1 piece keyboard 1 box push pin 1 </t>
  </si>
  <si>
    <t xml:space="preserve"> June 29, 2020 	 INVITATION TO BID Reference No. 7074940 / Solicitation No. 2020/06/062 	The City Government of Tagum invites interested Bidders/Suppliers to submit for eligibility and to bid for the following: MATERIALS FOR CONSTRUCTION OF MULTI-PURPOSE C</t>
  </si>
  <si>
    <t xml:space="preserve"> Procurement of One (1) Unit Ambulance for the Use of Rural Health Unit, LGU-Tagudin, Ilocos Sur 1.	The Local Government Unit of Tagudin, Ilocos Sur, thru its Bids and Awards Committee intends to apply the sum of Two Million One Hundred Thousand Pesos (Php</t>
  </si>
  <si>
    <t xml:space="preserve"> REQUEST FOR QUOTATION The City Government of Malolos, through its BIDS and AWARDS COMMITTEE (BAC) Invites Suppliers/Manufacturers/Distributors to Bid for hereunder procurement:  PR No. : GSO-2020-06-812 Name of Project : OFFICE EQUIPMENTS FOR THE USE OF S</t>
  </si>
  <si>
    <t xml:space="preserve"> 150 SACKS OF RICE @ 25KLS/SACK</t>
  </si>
  <si>
    <t xml:space="preserve"> 1. Ensure Instruments Package Includes: Ensure Luminometer Protective Instrument ASF Luminometer Stand Neck Strap User Manual Sure Trend Data Analysis Software PC USB Interface Cable AA Batteries (2) 2. US2020 Ultrasnap ATP Test (Surface), 100 pcs/case AD</t>
  </si>
  <si>
    <t xml:space="preserve"> Procurement of Toner Cartridge, Canon 337, Black - 2020 Please see attached components for detailed specifications. For more queries, please contact Property Management Section at 8465-2400 loc. 133 or 8523-0205 PLEASE SEND YOUR PROPOSALS TO ANY OF THE FO</t>
  </si>
  <si>
    <t xml:space="preserve"> ITEM NO. P.R. No. :CMO-City Disaster Risk and Reduction Management Council 2020-06-2568 Date: 06/19/2020 Date: 19,950.00Ascorbic Acid, 500mg, tablet, 100'sbox571 31,350.00Multivitamins+iron, cap 100'sbox572 23,370.00Paracetamol, 600mg tablet, 100'sbox573</t>
  </si>
  <si>
    <t xml:space="preserve"> Republic of the Philippines										 Province of Bohol										 Municipality of Buenavista										 										 Barangay CANTOMOGCAD									 INVITATION TO APPLY FOR ELIGIBILITY AND TO BID										 										 The Barangay Local Government Unit of  CANT</t>
  </si>
  <si>
    <t xml:space="preserve"> Republic of the Philippines					 MUNICIPALITY OF MARIHATAG					 SURIGAO DEL SUR					 	oOo-				 Bids and Awards Committee					 					 REQUEST FOR QUOTATION					 					 		       Date: June 29, 2020			 		       Quotation No.396-2020			 ________________________</t>
  </si>
  <si>
    <t xml:space="preserve"> 500 pcs. class 100 uPVC 4"  fixed seal (BLUE) 50 pcs. class 100 uPVC 6" fixed seal (BLUE)</t>
  </si>
  <si>
    <t xml:space="preserve"> Procurement of water connection and fittings to be used in the rehabilitation of water system at Malolos</t>
  </si>
  <si>
    <t xml:space="preserve"> PR No.: 0620-043 Office: MALAYBALAY CITY WATER DISTRICT MCWD Procurement of Services ABC: 91,323.43 Date: 6/30/2020 Standard Form Number: SF-GOOD-60 Revised on May 24, 2004 Standard Form Title: Request for Quotation Company Name:_______________________ Ad</t>
  </si>
  <si>
    <t xml:space="preserve"> meal</t>
  </si>
  <si>
    <t xml:space="preserve"> Purchase of Medical Supplies for MHO @ Samal,Bataan 10 boxes - Allopurinol 300mg 100's 20 boxes - Allopurinol 100mg 100's 10 boxes - Hyoscine Butybromide 10mg 100's 20 boxes -Cloxacillin 500mg 100's 20 boxes - Celecoxib 200mg 100's 20 boxes - Lagundi Tabl</t>
  </si>
  <si>
    <t xml:space="preserve"> BAC RESOLUTION NO. 356-2020 “A RESOLUTION RECOMMENDING “NEGOTIATED - SMALL VALUE PROCUREMENT” FOR THE VARIOUS PURCHASE REQUESTS (PR’s) FROM VARIOUS OFFICES OF THE CITY OF CABADBARAN” 	 NO.	PR NO.	END-USER	PARTICULARS	AMOUNT 1	1413	CHO	DESKTOP COMPUTER WIT</t>
  </si>
  <si>
    <t xml:space="preserve"> materials for Construction of 9 Units Led Streetlights</t>
  </si>
  <si>
    <t xml:space="preserve"> SCOPE OF WORKS: EMBANKMENT  CONCRETE SLAB FLOORING  CHB FILLING  PLASTERING (INTERIOR) RAMP RAILINGS FAB. NOTE: SEE ATTACHED PLAN &amp; SPECIFICATIONS</t>
  </si>
  <si>
    <t xml:space="preserve"> Hot and Cold Water Dispenser</t>
  </si>
  <si>
    <t xml:space="preserve"> 1 lot body repaint  4 pcs. mags repaint 1 set sticker masilya labor</t>
  </si>
  <si>
    <t xml:space="preserve"> Procurement of Envelope, Documentary with BI Logo - 2020 Please see attached components for detailed specifications. For more queries, please contact Property Management Section at 8465-2400 loc. 133 or 8523-0205 PLEASE SEND YOUR PROPOSALS TO ANY OF THE F</t>
  </si>
  <si>
    <t xml:space="preserve"> Republic of the Philippines Region X Province of Lanao del Norte Gov. Arsenio A. Quibranza Provincial Government Center Invitation to Bid for the CONSTRUCTION OF FLOOD CONTROL AND MITIGATION STRUCTURE (BURIASAN BRIDGE OF MALABANG-MASIBAY-MAITOMAIG PROVINC</t>
  </si>
  <si>
    <t xml:space="preserve"> The Local  Government   Unit  of General  Santos  City, through  the  GENERAL FUND CY 2020  intends  to apply  the sum of four hundred thousand and xx / 100 Pesos Only (400,000.00)   being  the Approved  Budget  for the Contract   (ABC) to payments  under</t>
  </si>
  <si>
    <t xml:space="preserve"> QTY	UNIT	ITEM DESCRIPTION						UNIT PRICE 	 11	unit	Tent heavy duty  8 FEET X 16 FEET							 		**please see attached Technical Specifications**</t>
  </si>
  <si>
    <t xml:space="preserve"> 1.	The OROQUIETA CITY WATER DISTRICT, through the Corporate Approved Budget 2020 intends to apply the sum of Eight Hundred Fifty Eight Thousand Seven Hundred Fifteen Pesos &amp; 00/100 (Php 858,715.00) being the Approved Budget for the Contract (ABC) to payme</t>
  </si>
  <si>
    <t xml:space="preserve"> Item No.	Unit	DESCRIPTION				Qty 						 1		To Hire Auto-Mechanic for the Repair of the				 		Municipal Government Vehicle (Strada L200,				 		Dumptruck &amp; Ambulance)</t>
  </si>
  <si>
    <t xml:space="preserve"> Standard Form Number: SFGOOD60 Revised on: May 24, 2004 Standard Form Title: Request for Quotation Date: June 29, 2020  Quotation No. 20-06-0376 PR No. 20-06-785 __________________________ Company Name _________________________________ Address         Ple</t>
  </si>
  <si>
    <t xml:space="preserve"> 1 unit Brand Tractor with Mower: Specifications: Drive Type: 4x4 Capacity of fuel tank (L): 150 Rated speed (r/min): 2300 Engine power (kw): 66.2 Lowest fuel consumption (g/kwh): ≤ 242 Clutch: Clutch PTO Speed (rpm): PTO Speed (rpm) Gearshift: 8F+4R/16F+8</t>
  </si>
  <si>
    <t xml:space="preserve"> Procurement of Signpen and Ballpen 2020 Please see attached components for detailed specifications. For more queries, please contact Property Management Section at 8465-2400 loc. 133 or 8523-0205 PLEASE SEND YOUR PROPOSALS TO ANY OF THE FOLLOWING CHOICES:</t>
  </si>
  <si>
    <t xml:space="preserve"> Construction of Hanging Bridge at Brgy. Mataywanak, Tuy 1.	Bids received in excess of the ABC shall be automatically rejected at bid opening. 2.	Bidders should have completed a contract similar to the Project. The description of an eligible bidder is cont</t>
  </si>
  <si>
    <t xml:space="preserve"> PR No.: 0620-043 Office: MALAYBALAY CITY WATER DISTRICT MCWD Procurement of Services ABC: 52,317.35 Date: 6/30/2020 Standard Form Number: SF-GOOD-60 Revised on May 24, 2004 Standard Form Title: Request for Quotation Company Name:_______________________ Ad</t>
  </si>
  <si>
    <t xml:space="preserve"> The Local  Government   Unit  of General  Santos  City, through  the  GENERAL FUND CY 2020  intends  to apply  the sum of nineteen thousand four hundred sixty and xx / 100 Pesos Only (19,460.00)   being  the Approved  Budget  for the Contract   (ABC) to p</t>
  </si>
  <si>
    <t xml:space="preserve"> Rehab of Togong Proper Road Item No.	Quantity	Unit	Description			 1	281	bags	Portland Cement 40kg			 2	32	cu.m.	Sand			 3	27	cu.m.	Gravel			 4	60	bd.ft.	10pcs. 1 x 6 x 12 Coco Lumber			 5	15	kg	CWN,assorted</t>
  </si>
  <si>
    <t xml:space="preserve"> Fuel-Diesel,Gasoline</t>
  </si>
  <si>
    <t xml:space="preserve"> Standard Form Number: SFGOOD60 Revised on: May 24, 2004 Standard Form Title: Request for Quotation Date: June 29, 2020  Quotation No. 20-06-0377 PR No. 20-06-786 __________________________ Company Name _________________________________ Address         Ple</t>
  </si>
  <si>
    <t xml:space="preserve"> 1	SOUND SYSTEM FOR SPORTS COMPLEX		 	1	UNIT	PRE-AMP MIXER 16 CHANNELS WITH HARD CASE 	8	UNITS	POWER SPEAKER 15"WITH STAND 	3	SETS	WIREL;ESS MICROPHONE 	4	ROLL	MIC CABLE STEREO 100M 	40	PAIR	XLR CONNECTOR 	1	UNIT	AUDIO DIGITAL PLAYER 2	SOUND SYSTEM MULTI P</t>
  </si>
  <si>
    <t xml:space="preserve"> DIESEL													6,950	liter UNLEADED												3,200	liter TERMS OF REFERENCE:														 (Monthly billing based on actual consumption)														 * Fuel will be delivered as Requested														 * Payment will be made on Quarterly basis</t>
  </si>
  <si>
    <t xml:space="preserve"> TIAONG WATER DISTRICT Invitation to Bid for  Procurement of Well Drilling Project at Brgy. Ayusan 2  1.	The Tiaong Water District, intends to apply the sum of P 2,117,955.00 being the Approved Budget for the Contract (ABC) to payments under the contract f</t>
  </si>
  <si>
    <t xml:space="preserve"> REQUEST FOR PRICE QUOTATION PURCHASE &amp; DELIVERY OF MEDICAL SUPPLIES AND EQUIPMENT ABC: Php 230,000.00  	 	MEDICAL SUPPLIES AND EQUIPMENT  	 	 	  100	gal.	Alcohol 70% Solution Isoprophyl/Ethyl 1 gal. 113	pcs	Pocket Alcohol 70% Isoprophyl/ Ethyl 60ml 100	bo</t>
  </si>
  <si>
    <t xml:space="preserve"> The Local  Government   Unit  of General  Santos  City, through  the  GENERAL FUND CY 2020  intends  to apply  the sum of seventy seven thousand five hundred and xx / 100 Pesos Only (77,500.00)   being  the Approved  Budget  for the Contract   (ABC) to pa</t>
  </si>
  <si>
    <t xml:space="preserve"> Republic of the Philippines Province of Albay Municipality of Rapu-Rapu Barangay Tinocawan INVITATION TO BID FOR THE REHABILITATION OF MULTI-PURPOSE BUILDING 1.	The Barangay Local Government Unit of Tinocawan, Rapu-Rapu, Albay, through the Budget for the </t>
  </si>
  <si>
    <t xml:space="preserve"> PURCHASE OF SPARE PARTS FOR REPAIR AND MAINTENANCE FOR FOROKAWA LOADER 325 (MOTORPOOL)- PR. NO:	2020-06-138</t>
  </si>
  <si>
    <t xml:space="preserve"> 1 pc   Desktop computer w/ complete accessories          -Intel pentium 64600          -4GB memory          -240GB SSD          -18.5" LED monitor          -keyboard &amp; Optical mouse  pack  -huntkey powerstrip  can    -65W AUPS 2 pc   Printer, 3in1 (Brothe</t>
  </si>
  <si>
    <t xml:space="preserve"> Supply and delivery of the following: 3	box	Biological and Chemical Indicator Steam Pack			 		Technical Specifications:			 		Test pack are self-contained biological indicator and a chemical indicator for steam.			 		Dual species indicator: Geobacillus ste</t>
  </si>
  <si>
    <t xml:space="preserve"> REPUBLIC OF THE PHILIPPINES PROVINCE OF EASTERN SAMAR MUNICIPALITY OF LAWAAN REQUEST FOR QUOTATION PR No.: RFQ No.: PR Date: PhilGEPS Reference No. : End-User : Closing Date: ABC:166,432.00 Time: Sir/Madam: Please quote your lowest price on the items/s li</t>
  </si>
  <si>
    <t xml:space="preserve"> Influenza Polyvalent (Quadrivalent) Vaccine 0.5ml Vial + PFS Diluent/0.5ml Suspension in Prefilled Syringe Requirements for Drugs and Medicines: **Drugs with history of usage from VMMC (Requirements No. 1-5 only) ** **For Innovators (Requirements No. 1-4 </t>
  </si>
  <si>
    <t xml:space="preserve"> Vegetable Seeds and Materials (see attached documents)</t>
  </si>
  <si>
    <t xml:space="preserve"> Republic of the Philippines Province of Batanes	 MUNICIPALITY OF BASCO               		INVITATION TO BID FOR THE PROCUREMENT OF MATERIALS FOR THE REPAIR OF MUNICIPAL BUILDING GROUND FLOOR-HALLWAY 1.	The Municipal Local Government Unit of Basco, through th</t>
  </si>
  <si>
    <t xml:space="preserve"> Please see and download the attachment.</t>
  </si>
  <si>
    <t xml:space="preserve"> Notice for Negotiated Procurement</t>
  </si>
  <si>
    <t xml:space="preserve"> MOTOR CYCLE BIKE-XRM 125 DUAL SPORT</t>
  </si>
  <si>
    <t xml:space="preserve"> Please see attached associated components for the Request for Quotation</t>
  </si>
  <si>
    <t xml:space="preserve"> Surgical brush with betadine soap									50	pc Smack Gown													24	pc Cotton Strand Suture 											5	pc Chromic 0, round												72	pc Chromic 0, cutting												72	pc Chromic 2-0, round with round needle									600	pc Chromic 2-0, cuttin</t>
  </si>
  <si>
    <t xml:space="preserve"> Republic of the Philippines Province of Albay Municipality of Sto. Domingo Bids and Awards Committee Request for Quotation: 06-07-2020 	 The LGU- Sto. Domingo, Albay through its Bids and Awards Committee (BAC) invites Suppliers/Manufacturer/Distributors f</t>
  </si>
  <si>
    <t xml:space="preserve"> Removal and Installation of Floor Tiles (30cm x 30cm) 120 sqm, and repair of Doors, Windows, Plumbing and Electrical Fixtures 1.	Bids received in excess of the ABC shall be automatically rejected at bid opening. 2.	Bidders should have completed a contract</t>
  </si>
  <si>
    <t xml:space="preserve"> Provision of Outsourced Personnel / NSRP Coordinator for the 3rd Quarter 2020 Note: 5 days a week, 8 hours per day except Saturdays, Sundays, and Holidays Daily Rate: Php619.82 2 pax</t>
  </si>
  <si>
    <t xml:space="preserve"> The DPWH-Lanao del Norte 1st District Engineering Office, through the following Approved Budget Cost (ABC):  1.	Php 1,487,640.00 – Reference No. 20GKG0033 (PR No. 20-06-033) Bid received in excess of the ABC for each lot shall be automatically rejected at</t>
  </si>
  <si>
    <t xml:space="preserve"> Unit     Qty       Items pcs      535      Alcohol 70% Solution Antiseptic Desinfectant 250 ml with mosturizer pcs      1,070    Bath Soap (pure white) 60g pcs      535       Toothpaste (spicy fresh) 100 ml pack    1,070    Toothbrush (adult) sachet  2,67</t>
  </si>
  <si>
    <t xml:space="preserve"> 1. Deformed Steel Bar                                   93 pcs. 10mn dia 2. Tie Wire No. 16                                         4 kg 3. Cement                                                    45.29 bags 4. Sand                                       </t>
  </si>
  <si>
    <t xml:space="preserve"> Please see attached RFQ and Specifications</t>
  </si>
  <si>
    <t xml:space="preserve"> 240 SQ.M. CONSTRUCTION OF CONCRETE PAVEMENT (W=2m, L=120m, THK=0.10m)</t>
  </si>
  <si>
    <t xml:space="preserve"> PROJECT: CONCRETING OF ROAD  LOCATION: BARANGAY STA. MONICA, CONCEPCION, TARLAC APPROVED BUDGET FOR THE CONTRACT: PHP 816,870.00 SOURCE OF FUND: 20% BDF The contract to be performed by the successful bidder shall be specified in the Technical Quotation Fo</t>
  </si>
  <si>
    <t xml:space="preserve"> Republic of the Philippines  Province of Leyte                                                               MUNICIPALITY OF PALO 	NOTICE OF POSTING @ PHILGEPS WEBSITE	                                                                                       </t>
  </si>
  <si>
    <t xml:space="preserve"> Supply and Delivery of Ordinary Earth Filling Materials at Cagba, Tugbo, Masbate City, Masbate</t>
  </si>
  <si>
    <t xml:space="preserve"> Invitation to Bid Public Competitive Bidding for the Supply and Delivery of Various Mental Health Medicines of the Department of Health – Re-Bid  (Project Ref. No. BAC-PO/GOODS 2020-06-008)</t>
  </si>
  <si>
    <t xml:space="preserve"> 1 unit Inline pump Vertical 5.5 HP motor, 3 Phase, 31H, 3,450 rpm for Partida Pumping Station Php113,000.00 1 unit Inline pump Horizontal 5 HP motor, Single Phase, 3,459 rpm for Holcim Road Booster Pump Php82,000.00</t>
  </si>
  <si>
    <t xml:space="preserve"> To purchase of purified drinking water</t>
  </si>
  <si>
    <t xml:space="preserve"> Labor and Materials Improvement of Multi-Purpose Hall</t>
  </si>
  <si>
    <t xml:space="preserve"> 07032020-096 NOTICE FOR NEGOTIATED PROCUREMENT Publication: June 30, 2020 Closing: July 3, 2020 Name of Project	Purchase of Rescue Rubber Boat for Water Search and Rescue Operations Approved Budget for the Contract	 ₱210,000.00 Contract Period:	15 days It</t>
  </si>
  <si>
    <t xml:space="preserve"> TERMS OF REFERENCE PROJECT TITLE:  INTERNAL ELECTRICAL ENERGY AUDIT OF EARIST ACADEMIC BUILDINGS, ADMINISTRATION BUILDINGS CONNECTED IN THE EXISTING MAIN PANEL BOARDS. No. of Calendar Days:  60 Calendar Days Terms of Reference: 1.  The contractor must; 	a</t>
  </si>
  <si>
    <t xml:space="preserve"> 8 unit, Laryngoscope Set Adult-Curved Fiber Optic - material:  stainless steel handles and blade are interchangeable - Consist of at least;  1 pc, laryngoscope handle standard  1 pc, laryngoscope blade #1  1 pc, laryngoscope blade #2  1 pc, laryngoscope b</t>
  </si>
  <si>
    <t xml:space="preserve"> Procurement of Card Printer Ribbon - YMCKO 400 Prints - 2020 Please see attached components for detailed specifications. For more queries, please contact Property Management Section at 8465-2400 loc. 133 or 8523-0205 PLEASE SEND YOUR PROPOSALS TO ANY OF T</t>
  </si>
  <si>
    <t xml:space="preserve"> PROCUREMENT OF TWO (2) UNITS AMBULANCE FOR THE USE OF DSWD, RHU and OBS</t>
  </si>
  <si>
    <t xml:space="preserve"> Fifty (50) pk Pasta, Macaroni 1 kg &amp; 56 other line items</t>
  </si>
  <si>
    <t xml:space="preserve"> Item Number	Description	 QTY 	UNIT	 ESTIMATED BUDGET  	Water Works			 1	P.E. Pipe # 2" (1 roll-60m)	8	rolls	 70,000.00  2	Straight Coupler # 2"	7	sets	 4,130.00  3	G.I. Elbow # 2" Sched. 40	2	pcs	 570.00  4	Brass Gate Valve # 2"	1	pc	 1,550.00  5	G.I. End</t>
  </si>
  <si>
    <t xml:space="preserve"> Republic of the Philippines Province of South Cotabato BIDS AND AWARDS COMMITTEE Capitol Compound Alunan Avenue, Koronadal City Tel. No. (083)228-9951 INVITATIONS TO PAKYAW CONTRACT GROUPS The Province of South Cotabato is inviting Pakyaw Groups (Labor) t</t>
  </si>
  <si>
    <t xml:space="preserve"> L.S. REPAIR/REHABILITATION OF MULTI-PURPOSE HALL (doors &amp; windows, concrete slab roofing (water proofing), electrical &amp; paintings)</t>
  </si>
  <si>
    <t xml:space="preserve"> NOTICE TO THE PUBLIC  REQUEST FOR QUOTATION                                                 AMP SVP-D NO: 20-06-0300B	              The University of the Philippines, Diliman (UPD) hereby informs the public that it will be procuring the following item/s t</t>
  </si>
  <si>
    <t xml:space="preserve"> Republic of the Philippines Province of Albay Municipality of Rapu-Rapu Barangay Masaga INVITATION TO BID FOR THE 20% EDF CY 2020 PROJECTS 1.	The Barangay Local Government Unit of Villahermosa, Rapu-Rapu, Albay, through the Budget for the Contract Approve</t>
  </si>
  <si>
    <t xml:space="preserve"> Procurement of Mattress 2020 Please see attached components for detailed specifications. For more queries, please contact Property Management Section at 8465-2400 loc. 133 or 8523-0205 PLEASE SEND YOUR PROPOSALS TO ANY OF THE FOLLOWING CHOICES: 1. Send th</t>
  </si>
  <si>
    <t xml:space="preserve"> Epoetin Alfa (Recombinant Human Erythropoetin) 4000IU/0.4ml Prefilled Syringe Requirements for Drugs and Medicines: **Drugs with history of usage from VMMC (Requirements No. 1-5 only) ** **For Innovators (Requirements No. 1-4 only) ** 1. CPR 2. CGMP 3. LT</t>
  </si>
  <si>
    <t xml:space="preserve"> PURCHASE REQUEST			 LGU BUGALLON						 Agency / Procuring Entity						 						 	Department: 		MDRRMC Office		Date:	 						 	Section:				Date:	 						 STOCK 		UNIT	Description	QTY	UNIT COST	AMOUNT NO.						 			Misting Tent       Package			 	1	unit	Decontami</t>
  </si>
  <si>
    <t xml:space="preserve"> 500 pcs. Monobloc Chairs</t>
  </si>
  <si>
    <t xml:space="preserve"> 1. Motor Oil #40 -2 drums 2. Gear Oil #90 -2 pails 3. Gear Oil #140 -1 pail 4. Hydraulic Oil #10 -20 pails 5. M.P. Grease -1 pail</t>
  </si>
  <si>
    <t xml:space="preserve"> Bicol Medical Center Concepcion Pequeña, Naga City, 4400 (0998-247-0239/0906-256-9238          E-mail Address: bmc.bacoffice@gmail.com INIVITATION TO BID PROCUREMENT OF ORTHO INSTRUMENTS &amp; EQUIPMENT ITB No. 2020-17 1.	The BICOL MEDICAL CENTER, through SA-</t>
  </si>
  <si>
    <t xml:space="preserve"> 2" Bronze Medal (bleu lace) 2" Silver Medal (red lace) 1.5" Bronze Medal (bleu lace Gold Medal big (stripes lace) 2" Loyalty award (with bar plate &amp; engraving)</t>
  </si>
  <si>
    <t xml:space="preserve"> 1 unit Mechanical compression crimping tool 1 unit Ratchet type wire puller with come along wire grip</t>
  </si>
  <si>
    <t xml:space="preserve"> Request for Quotation 1,590  liters  Diesel 350     liters  XCS Gasoline</t>
  </si>
  <si>
    <t xml:space="preserve"> Description The LGU-MAYANTOC, through its Bids and awards committee (BAC) invites contractors registered with and classified by the PHILGEPS to apply for the eligibility and found eligible, to bid for the here under contract: 	 NAME OF PROJECT:PURCHASE &amp; </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</si>
  <si>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</si>
  <si>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Republic of the Philippines  Province of Samar Municipality of Jiabong Invitation to Bid  Improvement of concrete pavement and construction of drainage canal brgy Malobago Jiab-2020-2C The Municipal Government of Jiabong, Samar, through LGU OF JIABONG   i</t>
  </si>
  <si>
    <t xml:space="preserve"> Item No.	Unit	DESCRIPTION				Qty 						 1	Pc.	Tables (Office Table)				2</t>
  </si>
  <si>
    <t xml:space="preserve"> STEEL CABINET (4 DRAWERS WITH LOCK) to deliver at DepED Regional Office, City of Koronadal</t>
  </si>
  <si>
    <t xml:space="preserve"> Generator set Model: 6GF-LDE 7500 Rated Power: 6.5 KW Maximum Power: 7.0 KW Voltage:220 V/60DHz Engine:192 F Stroke: 4 strokes Air cooled diesel Electric/Manual Start with AVR silent type</t>
  </si>
  <si>
    <t xml:space="preserve"> 2  units    Laptop               2.3 ghz               4Gb Memory               500GB HDD               14 inches</t>
  </si>
  <si>
    <t xml:space="preserve"> Republic of the Philippines Province of Bohol Municipality of Getafe Bids and Awards Committee BUYOG, Getafe, Bohol INVITATION TO BID (1st   Public Bidding) 	The Barangay Buyog ,Getafe, Province of Bohol through its Bids and Awards Committee (BAC), invite</t>
  </si>
  <si>
    <t xml:space="preserve"> PURCHASE OF  OFFICE EQUIPMENT  2 UNITS AIRCONDITION FOR PEACE AND ORDER PROGRAM FOR MAYORS OFFICE- PR. NO:	2020-06-131</t>
  </si>
  <si>
    <t xml:space="preserve"> Finishing Interiors of Engineering Building</t>
  </si>
  <si>
    <t xml:space="preserve"> Standard Form Number: SFGOOD60 Revised on: May 24, 2004 Standard Form Title: Request for Quotation Date: June 29, 2020  Quotation No. 20-06-0374 PR No. 20-06-783 __________________________ Company Name _________________________________ Address         Ple</t>
  </si>
  <si>
    <t xml:space="preserve"> Republic of the Philippines Province of Eastern Samar Municipality of Mercedes OFFICE OF THE BIDS AND AWARDS COMMITTEE (BAC) INVITATION TO BID # INFRA-2020-008  Invitation to Bid for the Proposed Construction/Establishing of Municipal Recovery Facility (M</t>
  </si>
  <si>
    <t xml:space="preserve"> ITEM NO. P.R. No. :City Engineer's Office 2020-03-2047 Date: 03/27/2020 Date: 280,000.00 Computer Set Desktop - processor core i7 9th Gen,Gigabyte MBoard, 8gb RAM 1TB hard disk, LED monitor 18.5",ATX case w/ PSU, DVD Writer, mouse, keyboard, speaker, UPS </t>
  </si>
  <si>
    <t xml:space="preserve"> 19	set	LED Flourescent Lamp 2X36 watts with Glass Cover 80	mtr	1/0 THHN 10	pc	65mm ePVC 10	pc	65mm ePVC elbow 2	pc	65mm Entrance Cap 1	pc	Panel board with 3P Center Main 10 holes 2 poles Branches TQD 1	pc	150 Amp Circuit Breaker (Industrial Type) 3 Poles </t>
  </si>
  <si>
    <t xml:space="preserve"> TERMS and CONDITIONS: The following documents must be included in the submitted quotation: 1. Eligibility Requirements: a. PhilGeps Registration Certificate b. Mayor's Permit c. DTI Business Registration/SEC/CDA d. Latest Income business tax return duly a</t>
  </si>
  <si>
    <t xml:space="preserve"> Request for Quotation 2 units  Laptop 1 unit    Printer</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</si>
  <si>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</si>
  <si>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Mun. Government of Alcantara, Romblon 				                     2020-022 Purchase of CCTV Camera Strengthening of Tobacco Control Program Office of the Municipal Health Standard Form Number: SF-GOOD-60						    Alcantara, Romblon Revised on: May 24, 2004 S</t>
  </si>
  <si>
    <t xml:space="preserve"> Standard Form Number: SFGOOD60 Revised on: May 24, 2004 Standard Form Title: Request for Quotation Date: June 29, 2020  Quotation No. 20-06-0378 PR No. 20-06-787 __________________________ Company Name _________________________________ Address         Ple</t>
  </si>
  <si>
    <t xml:space="preserve"> 1.	The Municipal Government of Coron, Palawan, through the 2020 Annual Municipal Budget intends to apply the sum of Three Hundred Fifty Thousand Pesos (PhP350,000.00) being the Approved Budget for the Contract (ABC) to payments under the contract for Supp</t>
  </si>
  <si>
    <t xml:space="preserve"> To support the procurement of services for the updating of nine (9) ea Global Positioning System (GPS) Navigational Data Base for use of N-22B/C Aircraft with Tail Nrs. B-12, C-68 and C-87.</t>
  </si>
  <si>
    <t xml:space="preserve"> 14cs Floorwax, Complete 5L (2pcs/cs)</t>
  </si>
  <si>
    <t xml:space="preserve"> Republic of the Philippines Province of Batanes	 MUNICIPALITY OF BASCO               		INVITATION TO BID FOR THE PROCUREMENT OF OFFICE SUPPLIES OF BASCO CENTRAL SCHOOL, TUKON BARRIO SCHOOL AND DIPTAN ELEMENTARY SCHOOL 1.	The Municipal Local Government Uni</t>
  </si>
  <si>
    <t xml:space="preserve"> June 29, 2020 	 INVITATION TO BID Reference No. 7075065 / Solicitation No. 2020/06/062 	The City Government of Tagum invites interested Bidders/Suppliers to submit for eligibility and to bid for the following: MATERIALS FOR REHABILITATION/CONSTRUCTION OF </t>
  </si>
  <si>
    <t xml:space="preserve"> 6	 ltrs. 	 Insects &amp; Mosquito Repellant</t>
  </si>
  <si>
    <t xml:space="preserve"> INVITATION TO BID SUPPLY, DELIVERY, INSTALLATION, TESTING AND COMMISSIONING OF SOLID WASTE MANAGEMENT EQUIPMENT CONSISTING OF FIVE (5) LOTS OF BRAND-NEW SET OF PLASTIC RECYCLING EQUIPMENT WITH BRAND NEW PLASTIC CHAIR MOLDS FOR THE DEPARTMENT OF ENVIRONMEN</t>
  </si>
  <si>
    <t xml:space="preserve"> You can submit your accomplished RFQ form  @ BAC Office, Bogo City Hall, Cayang, Bogo City, Cebu  or email us @ bogobacoffice2019@gmail.com / 	      bogocpdo@gmail.com Not later than the closing date.</t>
  </si>
  <si>
    <t xml:space="preserve"> Inkjet, Photo glossy paper, A4, 20's									19	pack Steel Document Tray, 3 layers										3	pcs Toner Kit TK 1147 (Kyocera)										7	tube PVC Cover Long 225 mic											6	pack PVC Binding Film, Legal, 217 mm x 331 mm, 100's						6	pack Arch File lon</t>
  </si>
  <si>
    <t xml:space="preserve"> Four (4) sets Bidet, 304 Stainless Steel &amp; 37 other line items</t>
  </si>
  <si>
    <t xml:space="preserve"> Republic of the Philippines PROVINCE OF CAVITE Barangay Santiago City of General Trias INVITATION TO BID PROJECT TITLE/ DESCRIPTION : PURCHASE OF  COMPUTER DESKTOP  USE AT BARANGAY SANTIAGO CITY OF GENERAL TRIAS 1. The Santiago  CITY OF GENERAL TRIAS, CAV</t>
  </si>
  <si>
    <t xml:space="preserve"> Republic of the Philippines Province of Nueva Vizcaya Municipality of Bagabag BARANGAY PANIKI INVITATION TO BID: SUPPLY AND DELIVERY OF MATERIALS AND LABOR  FOR THE IMPROVEMENT  OF MT. KELLEB ROAD (FTM)  Paniki ,  Bagabag, Nueva Vizcaya 1.	The Local Gover</t>
  </si>
  <si>
    <t xml:space="preserve"> 1 job Furnishing of Labor and Materials of Cold Storage Doors</t>
  </si>
  <si>
    <t xml:space="preserve"> Republic of the Philippines DEPARTMENT OF PUBLIC WORKS AND HIGHWAYS DAVAO DEL NORTE DISTRICT ENGINEERING OFFICE Region XI Tagum City Page 1 of 5 DPWH-INFRA-04-2016 INVITATION TO BID No. 2020-016 The Department of Public Works and Highways -Davao del Norte</t>
  </si>
  <si>
    <t xml:space="preserve"> Nature of Project :      	 Procurement of Security Services for Civil Service Commission Regional Office IV Located at 139 Panay Ave., Barangay South Triangle, Quezon City   Location: 139 Panay Ave., Brgy. South Triangle, Quezon City Approved Budget for t</t>
  </si>
  <si>
    <t xml:space="preserve"> Disp. Syringe 1 cc 100's/box									30	box Disp. Syringe 3 cc 100's/box									30	box Disp. Syringe 5 cc 100's/box									30	box Digital Thermometer 											25	pc ECG Paper  112MM x 2, 5's										10	box Surgical Facemask 50's										40	box Facem</t>
  </si>
  <si>
    <t xml:space="preserve"> The Municipality of Limay, through its Bids and Awards Committee (BAC) invites registered contractors to apply for eligibility and if found eligible, to bid for the hereunder project/contract: Project/Contract:     CONSTRUCTION OF TWO (2) STOREY, FOUR (4)</t>
  </si>
  <si>
    <t xml:space="preserve"> various items</t>
  </si>
  <si>
    <t xml:space="preserve"> Republic of the Philippines					 Province of Bukidnon					 Municipality of Lantapan					 					 INVITATION TO BID FOR THE CONCRETING OF					 BARANGAY ROADS AT P3 BALILA (2nd Bid)					 					 1	The Local Government Unit of Lantapan through the 20% LDF for CY</t>
  </si>
  <si>
    <t xml:space="preserve"> Section I. Invitation to Bid Republic of the Philippines Province of Bukidnon MUNICIPALITY OF TALAKAG Invitation to Bid for Procurement of Construction Materials  (For Construction of RCA, Basak, Dagundalahon, Lantud, Lirongan, San Rafael, Liguron) 1.	The</t>
  </si>
  <si>
    <t xml:space="preserve"> UPGRADING/CONCRETING OF ROAD M. SANTIAGO ST. (J.P. RIZAL-RHU-MARKET SECTION)</t>
  </si>
  <si>
    <t xml:space="preserve"> SCOPE OF WORKS: I. EARTHWORKS: II. FORMS &amp; SCAFFOLDING: III. CARPENTRY WORKS: IV.  CONCRETE, MASONRY WORKS &amp; STEEL REINF.:  V.   ROOFING WORKS &amp; STEEL TRUSS FABRICATION  VI. TILE WORKS: VII. SPECIAL ITEM(ACCESSORIES) VIII. PLUMBING WORKS:  IX.   PAITING W</t>
  </si>
  <si>
    <t xml:space="preserve"> REPUBLIC OF THE PHILIPPINES Sandiganbayan Quezon City Invitation to Bid  Provision of Janitorial Services for the  Sandiganbayan Centennial Building for One (1) Year (Re-advertisement) The Sandiganbayan, through its General Appropriations Act of 2020, int</t>
  </si>
  <si>
    <t xml:space="preserve"> Procurement of grocery items to be distributed under Balik Probinsya Relief Program</t>
  </si>
  <si>
    <t xml:space="preserve"> Oil Filter	4	ea Tire 33x12.50R for 15LT Tubeless	4	ea Battery 3SMF 12 Volts	1	ea Fuel Filter	2	ea w-w-w-Nothing Follows-w-w-w</t>
  </si>
  <si>
    <t xml:space="preserve"> Republic of the Philippines PROVINCE OF ZAMBOANGA DEL SUR Municipality of Tabina -o0o- BIDS AND AWARDS COMMITTEE INVITATION TO BID  CONSTRUCTION OF BARANGAY HALL PHASE 1 1.	The Barangay Local Government of Malim,Tabina, Zamboanga del Sur, through the 20%-</t>
  </si>
  <si>
    <t xml:space="preserve"> 1.    45   SETS   FOLDED TABLE AND CHAIRS                           (6 SEATER TABLE &amp; CHAIR) APPROVED BUDGET FOR THE CONTRACT: PHP 499,500.00 LOCATION OF THE CONTRACT: BATARAZA, PALAWAN DURATION OF THE CONTRACT: 7 DAYS SCHEDULE OF ACTIVITIES: POSTING AND </t>
  </si>
  <si>
    <t xml:space="preserve"> Procurement of Fireworks Display Php100,000.00</t>
  </si>
  <si>
    <t xml:space="preserve"> Materials for the Construction of Additional Hand-washing Facility and Foot Baths</t>
  </si>
  <si>
    <t xml:space="preserve"> Standard Form Number: SFGOOD60 Revised on: May 24, 2004 Standard Form Title: Request for Quotation Date: June 29, 2020  Quotation No. 20-06-0372 PR No. 20-06-791 __________________________ Company Name _________________________________ Address         Ple</t>
  </si>
  <si>
    <t xml:space="preserve"> Amoxicillin 500mg (as Trihydrate) Requirements for Drugs and Medicines: **Drugs with history of usage from VMMC (Requirements No. 1-5 only) ** **For Innovators (Requirements No. 1-4 only) ** 1. CPR 2. CGMP 3. LTO 4. CERTIFICATE OF DISTRIBUTOSHIP 5. CERTIF</t>
  </si>
  <si>
    <t xml:space="preserve"> INVITATION TO BID The Department of Public Works and Highways - Pampanga 1st District Engineering Office, through its Bids and Awards Committee (BAC), invites contractors to submit bids for the following Contract: 1.	 Procurement ID/Contract ID	:	20CG0178</t>
  </si>
  <si>
    <t xml:space="preserve"> Description   REQUEST FOR QUOTATION (RFQ) The MAO through the Bids and Awards Committee (BAC) of the Municipality of Banaybanay, Davao Oriental hereby notifies and invites you to submit your quotation/bid for the hereunder proposed project/request, viz: F</t>
  </si>
  <si>
    <t xml:space="preserve"> 10 units Pallet</t>
  </si>
  <si>
    <t xml:space="preserve"> 60 cu.m Garden Soil  200 sack Carbonized Rice Hull  30 kg/sack 200 sack Chicken Dung (dried-40 kg/sack)</t>
  </si>
  <si>
    <t xml:space="preserve"> Standard Form Number: SFGOOD60 Revised on: May 24, 2004 Standard Form Title: Request for Quotation Date: June 29, 2020  Quotation No. 20-06-0379 PR No. 20-06-792 __________________________ Company Name _________________________________ Address         Ple</t>
  </si>
  <si>
    <t xml:space="preserve"> REQUEST FOR QUOTATION The City Government of Malolos, through its BIDS and AWARDS COMMITTEE (BAC) Invites Suppliers/Manufacturers/Distributors to Bid for hereunder procurement:  PR No. : GSO-2020-06-787 Name of Project : PURCHASE OF 2,000 32GB FLASH DRIVE</t>
  </si>
  <si>
    <t xml:space="preserve"> REPUBLIC OF THE PHILIPPINES REGION IX  PROVINCIAL GOVERNMENT OF ZAMBOANGA DEL SUR  Provincial Capitol Compound, Pagadian City BIDS AND AWARDS COMMITTEE Invitation for Negotiated Procurement: Two-Failed Biddings REFILL OF SPECIALIZED GAS FOR CSR STOCKING/ </t>
  </si>
  <si>
    <t xml:space="preserve"> Good Limber 4x4x12	12	ea Marine Plywood ¼ Ord	 18	ea Good Lumber 4x2x12	25	ea Common Nail# 4	10	kls Common Nail # 3	05	kls Umbrella Nail #2’	12	kls Common Nail # 1/12	5	kls Corrugated Sheet Gauge 40x8	36	ea Good Lumber 2x2x12	40	Pcs Good Lumber 3x2x10	30	</t>
  </si>
  <si>
    <t xml:space="preserve"> 25	bags	Feeds, starter, 50kg.bag	 ₱1,600.00  25	bags	Feeds, grower, 50kg/bag	 ₱1,600.00  25	bags	Corn Grits, 50kg/bag	 ₱1,300.00  25	pieces	Chicken Feeder, plastic, lightweight, durable, hanging	 ₱200.00  20	sachet	Multivitamins, powder for chicken, 5g/sa</t>
  </si>
  <si>
    <t xml:space="preserve"> Tokens for the Launching of DTI New Business Program @ Samal, Bataan 4 pax - Token</t>
  </si>
  <si>
    <t xml:space="preserve"> MEALS AT THE ISOLATION UNIT</t>
  </si>
  <si>
    <t xml:space="preserve"> Republic of the Philippines 						 DEPARTMENT OF PUBLIC WORKS AND HIGHWAYS 						 LAGUNA II DISTRICT ENGINEERING OFFICE 						 Los Baños, Laguna 						 						 Name of Procuring Entity: DPWH-LAGUNA II DEO				Request for Quotation (PR No. ) :		2020-02-013 R</t>
  </si>
  <si>
    <t xml:space="preserve"> SSS Victorias   Branch  Supply of Diesel Fuel for Service Vehicle SHG 302  for the period July  2020 to December 2020 Specifications: 1500 liters - Diesel or approved equal for automotive - Euro 4 compliant - Biodegradable and Non-Toxic - Clean Air Act of</t>
  </si>
  <si>
    <t xml:space="preserve"> Request for Quotation 253	btl	Alcohol 70% sol 150ml 100	box	Face Mask 100s 30	roll	Gauze roll 42	roll	Cotton rolls 2	pcs	Macroset 3	gals	Povidone Iodine Solution for the use of 9DTS,9ID,PA</t>
  </si>
  <si>
    <t xml:space="preserve"> Republic of the Philippines DEPARTMENT OF PUBLIC WORKS AND HIGHWAYS CAMARINES SUR SECOND DISTRICT ENGINEERING OFFICE Regional Office V Baras, Canaman, Camarines Sur INVITATION TO BID FOR  20FE0129 – CONSTRUCTION OF CLASSROOMS, ODOC ES, LIBMANAN, CAMARINES</t>
  </si>
  <si>
    <t xml:space="preserve"> The Provincial Government of Samar invites all interested registered suppliers to submit in person or authorized representative quotation for- 				 1.	5	set		Computer Set: Processor Core i7; Motherboard LGA1151; 8GB DDR4; 1TB HDD; 240GB SSD; 650VA UPS; 19</t>
  </si>
  <si>
    <t xml:space="preserve"> Hino SKM-166 6   pcs   wheel cylinder front 6   pcs   wheel cylinder rear Hino SKM-137 6   pcs   wheel cylinder front 6   pcs   wheel cylinder front 2   pcs   axle 35"x37"x10 hole</t>
  </si>
  <si>
    <t xml:space="preserve"> Purchase of Laptop for Mayors Office @ Samal, Bataan 2 units - Laptop (Intel Core i3-8130U/14 HD BV LED SVA 220 Slim Narrow              Besel/4gb/1TB+256gb SSD/UMA/NO ODD/ac/BT/Natural Silver</t>
  </si>
  <si>
    <t xml:space="preserve"> Concrete Paving of Farm-to-Market Road at Barangay San Pedro Ili, Alcala, Pangasinan.</t>
  </si>
  <si>
    <t xml:space="preserve"> ITEM NO. P.R. No. :City Administrator's Office 2020-03-2042 Date: 03/25/2020 Date: 90,000.00Printer L5190set51</t>
  </si>
  <si>
    <t xml:space="preserve"> IMPROVMENT OF DIALYSIS ROOM, OBS, PALIWAS, OBANDO, BULACAN</t>
  </si>
  <si>
    <t xml:space="preserve"> INVITATION TO BID FOR THE SUPPLY &amp; DELIVERY OF FOOD SUBSIDY FOR INMATES OF MUNTINLUPA CITY 1.	The City Government of Muntinlupa, through its duly-approved Executive Budget for 2020 intends to apply the sum of Four Million Three Hundred Twenty Seven Thousa</t>
  </si>
  <si>
    <t xml:space="preserve"> Labor Charge for General Repair including Parts of Foton View Ambulance (SHX-191)</t>
  </si>
  <si>
    <t xml:space="preserve"> Purchase of Disaster Equipment</t>
  </si>
  <si>
    <t xml:space="preserve"> Eighty (80) pk Bread, sliced 450g &amp; 36 other line items</t>
  </si>
  <si>
    <t xml:space="preserve"> Seven (7) pcs Air Cleaner Element &amp; 114 other line items</t>
  </si>
  <si>
    <t xml:space="preserve"> 41 rapid test kits</t>
  </si>
  <si>
    <t xml:space="preserve"> 1 job Fabrication of hand Brake Flanged hub 1 job Fabrication of propeller Flanged Hub 1 pc Ball Bearing 6305 1 set carbon Brush 2 mtrs Fuel Filter</t>
  </si>
  <si>
    <t xml:space="preserve"> EXPANDED NEWBORN SCREENING KIT	50	PCS	87,500.00</t>
  </si>
  <si>
    <t xml:space="preserve"> Please send your quotation or e-mail your quotation with copy of the following: 	Registration certification from SEC/DTI or CDA whichever is applicable 	Mayors’ Permit from the principal place of business 	PhilGEPs Registration 	Tax Clearance per exec</t>
  </si>
  <si>
    <t xml:space="preserve"> June 29, 2020 INVITATION TO BID  Reference No. 7075140 /Solicitation No.20-24 The City Government of Tagum invites interested Bidders/Suppliers to bid for the following: Name of Contract         :  CONSTRUCTION MATERIALS &amp; SUPPLIES FOR THE USE OF CMO (CON</t>
  </si>
  <si>
    <t xml:space="preserve"> 3 - Units - Photocopying Machine. General Specs: Printing and copying speed &gt; A4: max. 36 ppm &gt; A3: max. 18 ppm Print system: Laser Gradation: 256 Paper format: A6-A3, customized paper sizes Dimensions (w x d x h): 585 x 660 x 735 mm (without options) Con</t>
  </si>
  <si>
    <t xml:space="preserve"> Concreting of Tinigban to Raang Seashore Item No.	Quantity	Unit	Description			 1	200	bags	Portland Cement 40kg			 2	21	cu.m.	Sand			 3	23	cu.m.	Gravel			 4	120	bd.ft.	20pcs. 1 x 6 x 12 Coco Lumber			 5	5	kgs	CWN,assorted</t>
  </si>
  <si>
    <t xml:space="preserve"> -</t>
  </si>
  <si>
    <t xml:space="preserve"> INVITATION TO BID LGU-El Salvador City, Misamis Oriental through its BAC, invites interested bidders to apply for eligibility and if found eligible to bid for the contract: 1.	Contract ID No.	:	ITB No. 2020-06-143 Name of Project	:	Procurement of one hund</t>
  </si>
  <si>
    <t xml:space="preserve"> Brand Approved Budget Contract per Item Name and Description of the Article / sUnitQTY.ITEM NO. P.R. No. :City Social Welfare and Development Office 2020-03-1989 Date: 03/23/2020 Date: 200,000.00 LAPTOP (WITH COMPLETE ACCESSORIES PLUS CARRYING CASE) SPECI</t>
  </si>
  <si>
    <t xml:space="preserve"> 1. EXCAVATION-8.8 CU.M 2. RUBBLED MASONRY DAM-11.60 CU.M 3. INSTALLATION OF PIPES (INCLUDES MANUAL EXCAVATION) - 13,000 LM</t>
  </si>
  <si>
    <t xml:space="preserve"> 10 unit Manual Plastic Sprayer Capacity: 12 ltrs.</t>
  </si>
  <si>
    <t xml:space="preserve"> Supply &amp; Delivery of 		    1.	Jetmatic hand Pump	9	units    2. 	PVC Pipe 1 ½ “ 	60	lenghts     3. 	PVC coupling 1 ½ “ 	45	pcs.    4. 	G.I Nipple 1 ½ “ x 8” 	9	pcs.    5. 	G.I Nipple 1 ¼ “ x 6” 	9	pcs.    6. 	G.I bell reducer 1 ½ “ x 1 ¼” 	9	pcs.    7.	tef</t>
  </si>
  <si>
    <t xml:space="preserve"> Republic of the Philippines					 MUNICIPALITY OF MARIHATAG					 SURIGAO DEL SUR					 	oOo-				 Bids and Awards Committee					 					 REQUEST FOR QUOTATION					 					 		       Date: June 29, 2020			 		       Quotation No.363-2020			 ________________________</t>
  </si>
  <si>
    <t xml:space="preserve"> Republic of the Philippines PROVINCE OF CAVITE Barangay Buenavista I of General Trias INVITATION TO BID PROJECT TITLE/ DESCRIPTION : PURCHASE OF COMPUTER DESKTOP USE AT BARANGAY BUENAVIST 1  CITY OF GENERAL TRIAS 1. The Buenavista I  CITY OF GENERAL TRIAS</t>
  </si>
  <si>
    <t xml:space="preserve"> MOTORCYCLE - 125cc Alpha (1 UNIT) Displacement : 124.1 ccm (7.57 cubic inches) Engine Type: Single Cylinder, four-stroke Power: 9.7 HP (7.1 kW) @ 8000 RPM Torque: 9.4 Nm (1.0 kgf-m or 6.9 ft.lbs) @ 6500 RPM Bore x Stroke: 56.5 x 49.5mm (2.2 x 1.9 inches) </t>
  </si>
  <si>
    <t xml:space="preserve"> Pressure Plate	1	Ea Expansion Valve	2	Ea Hub Oil Seal Outer (Rear)	2	Ea Radiator Hose Upper	1	Ea Hub Bearing Inner Front	2	ea Brake Shoe Assy	2	set Battery Clamp	2	Ea Crankshaft Oil Seal(Front)	1	Ea Fuel Filter Secondary	1	Ea Housing Signal/Park Light Ass</t>
  </si>
  <si>
    <t xml:space="preserve"> 20% EDF CY 2020 Repair &amp; Maintenance of Multi-Purpose Bldg. - P 70,000.00 Schedule of Activities 1. Submission &amp; Receipt of Bids / Bid Opening - July 21, 2020 @ 3:00 PM 2. Bid Evaluation - July 22, 2020 3. Post Qualification - July 23, 2020 4. Approval of</t>
  </si>
  <si>
    <t xml:space="preserve"> Three (300) yrd Plastic cover 90cm x 120cm, #16 &amp; 29 other line items</t>
  </si>
  <si>
    <t xml:space="preserve"> June 29, 2020 	 INVITATION TO BID Reference No.  7075177 / Solicitation No. 2020/06/064 	The City Government of Tagum invites interested Bidders/Suppliers to submit for eligibility and to bid for the following: MATERIALS FOR REHABILITATION/CONSTRUCTION OF</t>
  </si>
  <si>
    <t xml:space="preserve"> 203 sacks of Rice (in % kilos packs or 10 kilos pack per sack</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</si>
  <si>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</si>
  <si>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Specifications: 1. Light Type: Indoor Ceiling Lights; 2. Light Features: 3-way, Color-Changing, Dimmable; 3. Energy Saving; and 4. Model: Ceiling Light Fan. Note:  a. Supplier must provide pertinent documents such as PhilGEPS registration, Mayor's Permit,</t>
  </si>
  <si>
    <t xml:space="preserve"> Window Blinds							 1.	W - 46" x  H - 63"	1	set 2.	W - 30.5" x H - 45"	1	set 3.	W - 60" x H - 62"	1	set 4.	W - 81" x H - 63"	1	set 5.	W - 49" x x H - 62"	1	set 6.	W - 31" x H - 53"	1	set 7.	W - 19.5" x H - 63"	1	set 8.	W - 47" x H - 42"	1	set 9.	W - 51" </t>
  </si>
  <si>
    <t xml:space="preserve"> Installation of railings with concreting at Barangay IV-C, San Pablo City</t>
  </si>
  <si>
    <t xml:space="preserve"> Republic of the Philippines 						 DEPARTMENT OF PUBLIC WORKS AND HIGHWAYS 						 LAGUNA II DISTRICT ENGINEERING OFFICE 						 Los Baños, Laguna 						 						 Name of Procuring Entity: DPWH-LAGUNA II DEO				Request for Quotation (PR No. ) :		2020-06-022 R</t>
  </si>
  <si>
    <t xml:space="preserve"> IMPROVEMENT OF 2ND FLOOR LEVEL OF EVACUATION CENTER</t>
  </si>
  <si>
    <t xml:space="preserve"> 30	 pcs 	 16mm dia RSB  85	pcs	1/4" x 1" x" 1" Flat Bar 5	pcs	Bmboo Pole 25	kgs	Welding Rod 3	gals	Metal Primer 3	bots.	Paint Thinner  3	pcs	 1" Paint Brush   10	 pcs 	Hacksaw Blade</t>
  </si>
  <si>
    <t xml:space="preserve"> 20  pcs Flourescent lamp led T8 30  pcs Daylight led lamp 15W 3    bxs Flat Cord #16 AWG 20  pcs Convenience Outlet, flush type 20  pcs Switch 2 gang Flush type 3    doz Electrical Tape 3    bxs TW #10 AWG 30  pcs 4Gang Outlet</t>
  </si>
  <si>
    <t xml:space="preserve"> Eperisone HCL 50mg Requirements for Drugs and Medicines: **Drugs with history of usage from VMMC (Requirements No. 1-5 only) ** **For Innovators (Requirements No. 1-4 only) ** 1. CPR 2. CGMP 3. LTO 4. CERTIFICATE OF DISTRIBUTOSHIP 5. CERTIFICATE OF ANALYS</t>
  </si>
  <si>
    <t xml:space="preserve"> 1.	VEHICLE # 1 Replacement of Spare Parts for 80km Periodic Maintenance Service	 	Coolant	6 Ltrs 	Air Filter	1 pc 	Texamatic ATF	1 pc 	Igmo Oil	2 qrtz 	Thuban Diff. Oil	2 qrtz 	Brake Fluid	1 qrtz 	Grease	1 qrtz 	Fuel Filter	1 pc 	Rags	6 pcs 	Brake Cleaner</t>
  </si>
  <si>
    <t xml:space="preserve"> Alcohol w/ dispenser, 70% solution, 500ml.	3	bot. Alcohol, 70% solution					10	gal. Anti-Virus Software					5	pc. Bondpaper, legal size, sub. 20			15	ream Bookpaper, A4 size					20	ream Bookpaper, legal size					25	ream Carbon Film, legal size, black			3	</t>
  </si>
  <si>
    <t xml:space="preserve"> Republic of the Philippines Department of Justice BUREAU OF CORRECTIONS SAN RAMON PRISON AND PENAL FARM Zamboanga City Request for Quotation The San Ramon Prison And Penal Farm, through its Bids and Awards Committee, request your lowest quotation of Const</t>
  </si>
  <si>
    <t xml:space="preserve"> Request for Quotation 120    vials   Anti-Rabies Vaccine 26      li       Albendazole Dewormer 112.5 mg/ml 10     vials    Oxytetracycline 12     vials   Vitamin ADE 10     boxes  Latigo 1000</t>
  </si>
  <si>
    <t xml:space="preserve"> Republic of the Philippines Province of Nueva Vizcaya Municipality of Bagabag BARANGAY PANIKI INVITATION TO BID: SUPPLY AND DELIVERY OF MATERIALS AND LABOR  FOR THE  CONSTRUCTION OF DRAIANAGE CANAL ALONG PROVINCIAL ROAD OF PUROK 3 BARANGAY PANIKI BAGABAG </t>
  </si>
  <si>
    <t xml:space="preserve"> INVITATION TO BID FOR THE SUPPLY &amp; DELIVERY OF COMPUTER SOFTWARE TO BE USED AT MANAGEMENT INFORMATION SYSTEMS OFFICE 1.	The City Government of Muntinlupa, through its duly-approved Executive Budget for 2020 intends to apply the sum of One Million One Hund</t>
  </si>
  <si>
    <t xml:space="preserve"> 20% EDF CY 2020 Construction of Barangay Road-Purok 1 - P 100,000.00 Construction of Barangay Road-Purok 1 - p 200,000.00 Schedule of Activities 1. Submission &amp; Receipt of Bids / Bid Opening - July 21, 2020 @ 10:00 AM 2. Bid Evaluation - July 22, 2020 3. </t>
  </si>
  <si>
    <t xml:space="preserve"> Description The LGU-MAYANTOC, through its Bids and awards committee (BAC) invites contractors registered with and classified by the PHILGEPS to apply for the eligibility and found eligible, to bid for the here under contract: 	 NAME OF PROJECT:UPDATING OF</t>
  </si>
  <si>
    <t xml:space="preserve"> Please Download Attachments Invitation to Bid.</t>
  </si>
  <si>
    <t xml:space="preserve"> PHILIPPINE BIDDING DOCUMENTS (As Harmonized with Development Partners) FOR ENHANCEMENT OF CACAO PRODUCTION THRU PROVISION OF FERTILIZER SUBSIDY BIDDING Government of the Republic of the Philippines TABLE OF CONTENTS SECTION I. INVITATION TO BID……………………………</t>
  </si>
  <si>
    <t xml:space="preserve"> PLEASE SEE ATTACHED INVITATION TO BID FOR THE PROJECT DESCRIPTION.</t>
  </si>
  <si>
    <t xml:space="preserve"> SHOCK ABSORBER (front &amp; rear)	4	Units	51,287.05 Anti-Sway Bar	2	Units 	17,037.05</t>
  </si>
  <si>
    <t xml:space="preserve"> Purchase of additional Personal Protective Equipment's (PPE's) for use in the Municipal Isolation Unit</t>
  </si>
  <si>
    <t xml:space="preserve"> To support the procurement of 80 cans WD-40 Degreaser and 23 other L/I for use during Preventive Maintenance of Tug Harlan, EBT (Mitsubishi) and Kingkong MB-4 (Mitsubishi).</t>
  </si>
  <si>
    <t xml:space="preserve"> CONSTRUCTION/ IMPROVEMENT OF MULTI-PURPOSE BUILDING, POBLACION, MAWAB, DAVAO DE ORO- Purchase Request No.2020-06-106</t>
  </si>
  <si>
    <t xml:space="preserve"> details at engineering office</t>
  </si>
  <si>
    <t xml:space="preserve"> CARI						 1	Cefalexin 100mg/ml drops, 15ml/10ml					3,800	Bottles 2	Cefalexin 250mg/5ml suspension, 60ml					2,800	Bottles 3	Cefalexin 500mg capsule					30,300	Capsules 4	Co-Amoxiclav 200mg/28.5mg/5ml suspension, 70ml					460	Bottles 5	Co-Amoxiclav 500mg</t>
  </si>
  <si>
    <t xml:space="preserve"> RFQ No. 2020-00__   										                                                                                                                            Date___________ REQUEST FOR QUOTATION Supply and Delivery of Corner Stand and Chandelier for the Offi</t>
  </si>
  <si>
    <t xml:space="preserve"> Housing Signal/Park Light Assy (F,L/R)	2	Ea Radiator Hose (Upper)	1	Ea Hub Bearing Inner Front	2	Ea Release Bearing	1	Ea Hub Bearing Outer Front	2	Ea Fuel Tank Cap	1	Ea Tire Complete (7.00-15 LT)	4	Ea Housing Signal/Park/Light Assy(RR,L/R)	2	Ea Tie Rod En</t>
  </si>
  <si>
    <t xml:space="preserve"> Brand Approved Budget Contract per Item Name and Description of the Article / sUnitQTY.ITEM NO. P.R. No. :City Environment and Natural Resources Office 2020-03-1611 Date: 03/06/2020 Date: 60,000.00 BUSH CUTTER: mini 4 stroke engine, 35 cc displacement, 39</t>
  </si>
  <si>
    <t xml:space="preserve"> This project entails labor and materials for the construction of 1m x 100m x 0.10m concrete pathway at Brgy. Magsaysay, Magallanes, Sorsogon funded under BDF 2020.</t>
  </si>
  <si>
    <t xml:space="preserve"> INVITATION TO BID The DPWH-Regional Office No. III,  through  its  Bids  and  Awards  Committee  (BAC),  invites contractors to submit bids for the Contract below:          Procurement ID/Contract ID:    20C00048 Contract Name:      Local Program – Local </t>
  </si>
  <si>
    <t xml:space="preserve"> 1.	Television 40” Basic Digital Full HD  40’ Full HD LED-40D3000D Picture specs: 60Hz refresh rate Natural light 2 Functions: USB Multi-media playback ISDB-t Receiver ISDB-t Digital PVR-Personal Video Recording Electronic Program Guide Direct-lit EWBS Con</t>
  </si>
  <si>
    <t xml:space="preserve"> Republic of the Philippines DEPARTMENT OF PUBLIC WORKS AND HIGHWAYS CAMARINES SUR SECOND DISTRICT ENGINEERING OFFICE Regional Office V Baras, Canaman, Camarines Sur INVITATION TO BID FOR  20FE0130 – CONSTRUCTION OF CLASSROOMS, SALVACION ES, LIBMANAN, CAMA</t>
  </si>
  <si>
    <t xml:space="preserve"> 1 Meal and 2 Snacks		 Meal               Lunch		 Rice, 2-3 Viands, Side Dishes, Desserts, Fruits &amp; Drinks		 Snacks		 AM &amp; PM w/ drinks		 Activity                      Date                    Days		 MDRRMC Meeting  July 22, 2020        1	65	pax BDRRMC Meet</t>
  </si>
  <si>
    <t xml:space="preserve"> INVITATION TO BID FOR THE SUPPLY &amp; DELIVERY OF  VARIOUS MATERIALS FOR CONSOLIDATED PROJECT AT DIST. 1 &amp; 2, MUNTINLUPA CITY 1.	The City Government of Muntinlupa, through its duly-approved Executive Budget for 2020 intends to apply the sum of One Million Th</t>
  </si>
  <si>
    <t xml:space="preserve"> SUPPLY AND DELIVERY OF GINGER RHIZOMES</t>
  </si>
  <si>
    <t xml:space="preserve"> REHABILITATION OF MDRRMO OPERATION CENTER             ( GARRAGE)- Purchase Request No.2020-06-108</t>
  </si>
  <si>
    <t xml:space="preserve"> ITEMS OF WORK INCLUDES: -Site Preparation/Clearing/Base Preparation -Concrete Footpath -Formworks -Structural Concrete -Excavation -Railings -Manual Hauling</t>
  </si>
  <si>
    <t xml:space="preserve"> Republic of the Philippines Province of Samar BIDS AND AWARD COMMITTEE Negotiated Procurement SUPPLY AND DELIVERY OF Electrical and Plumbing Supplies  Solicitation No. 110012022019 			            Source of Fund. Trust Fund Approved Budget for the Contract</t>
  </si>
  <si>
    <t xml:space="preserve"> SEE ATTACHED</t>
  </si>
  <si>
    <t xml:space="preserve"> spareparts</t>
  </si>
  <si>
    <t xml:space="preserve"> Three (3) EACH Filing Cabinet &amp; Five (5) other Line Items</t>
  </si>
  <si>
    <t xml:space="preserve"> PURPOSE: FOR MAINTENANCE USE OF BOILER 2. (DELIVERY DATE: JULY 30, 2020) Fax your Price Quotation at Tel. Fax#: 426-30-45 / 927-64-26 local 2561 or Email at bacveterans@gmail.com. Please indicate the brand name and complete specifications.</t>
  </si>
  <si>
    <t xml:space="preserve"> PURCHASE OF FUEL ( DIESEL AND GASOLINE) FOR ALL GOVERNMENT VEHICLE USE- Purchase Request No.2020-06-110</t>
  </si>
  <si>
    <t xml:space="preserve"> Ertapenem 1GM, Powder (as sodium) Requirements for Drugs and Medicines: **Drugs with history of usage from VMMC (Requirements No. 1-5 only) ** **For Innovators (Requirements No. 1-4 only) ** 1. CPR 2. CGMP 3. LTO 4. CERTIFICATE OF DISTRIBUTOSHIP 5. CERTIF</t>
  </si>
  <si>
    <t xml:space="preserve"> Republic of the Philippines Province of Isabela MUNICIPALITY OF DELFIN ALBANO delfinalbano_gc@yahoo.com/gcdelfinalbanoisabela@yahoo.com BIDS AND AWARDS COMMITTEE Invitation to Bid for the Repair/Renovation of Rural Health Unit Building BID REFFERENCE NO.:</t>
  </si>
  <si>
    <t xml:space="preserve"> Complete Construction of (9.50m x 32.0m) Two (2) Storey; Six Classroom School Building mostly built with concrete masonry, with PWD ramp with handrails, parapet wall on concrete gutter and complete with electrical works, sanitary/plumbing works, ventilati</t>
  </si>
  <si>
    <t xml:space="preserve"> 1.	1	unit/s	Drone (Inspire 2) 2.	1	unit/s	Gimbal Camera (Zenmuse X5S) 3.	4	unit/s	Inspire 2 PART 05 TB50 Intelligent Flight Battery 			5.2K Video Support for High End Professional 4.	1	unit/s	Inspire Carrying Case 5.	1	unit/s	Battery Station, Cedence Remo</t>
  </si>
  <si>
    <t xml:space="preserve"> INVITATION TO BID  No. 2020-016 The Department of Public Works and Highways -Davao del Norte District Engineering Office, Tagum City, Davao del Norte, through its Bids and Awards Committee (BAC), invites contractors to submit bids for the following Contra</t>
  </si>
  <si>
    <t xml:space="preserve"> INVITATION TO BID FOR  1.	The Municipal Government of Coron, Palawan, through the 2020 Annual Municipal Budget intends to apply the sum of One Million Two Hundred Thousand Pesos (PhP1,200,000.00) being the Approved Budget for the Contract (ABC) to payment</t>
  </si>
  <si>
    <t xml:space="preserve"> Invitation to Bid to all Supplier/Contractor duly a Accredited by the City Council of Manila to Supply and deliver the Following items provided hereunder, to wit; 4	rms	Bond Paper A4 4	rms	Bond Paper, Short 4	rms	Bond Paper,Long 5	pcs	Envelope w/garter 20</t>
  </si>
  <si>
    <t xml:space="preserve"> Umbrella Nail, 2 1/2"	3	kls Cement Portland, 40kgs	5	bags Coarse Sand	2	cu.m Lumber, Good 2"x  2" x10'	10	pcs Lumber, Good 2"x  3" x10'	11	pcs Good Lumber, 1" x 12" x 10'	9	pcs Good Lumber, 2" x 6" x 10'	8	pcs Good Lumber, 2" x 4" x 10'	12	pcs Granite Til</t>
  </si>
  <si>
    <t xml:space="preserve"> Laptop Computer					1	pc. (i7, 10thGen, 4GB DDR4, 1TB HDD, Video							 Card 2GB GDDR5, Win 10 Home)							 Ink Tank System 3-in-1 Printer 			1	pc.</t>
  </si>
  <si>
    <t xml:space="preserve"> Republic of the Philippines Municipality of Nabunturan Barangay Anislagan Invitation to Bid for CONSTRUCTION OF BARAY  INDOANAN SANG KATIGMAN NANG MANSAKA 1. The Barangay Council of Anislagan, Nabunturan Davao de Oro, through the  Department of Social Wel</t>
  </si>
  <si>
    <t xml:space="preserve"> Invitation to Bid for the Upgrading of Brgy. Balatero Road 1.	The Municipal Government of Puerto Galera, through the DILG-LGSF-AM FY 2020 intends to apply the sum of Three Million Nine Hundred Ninety Thousand Nine Hundred Twenty-Five Pesos &amp; Thirty One Ce</t>
  </si>
  <si>
    <t xml:space="preserve"> 20% EDF CY 2020 Construction of River Dike - P 154,831.00 Schedule of Activities 1. Submission &amp; Receipt of Bids / Bid Opening - July 21, 2020 @ 3:00 PM 2. Bid Evaluation - July 22, 2020 3. Post Qualification - July 23, 2020 4. Approval of Resolution/Issu</t>
  </si>
  <si>
    <t xml:space="preserve"> PURCHASE OF 15 UNITS KNAPSACK SPRAYERS</t>
  </si>
  <si>
    <t xml:space="preserve"> 20% EDF CY 2020 Installation of Solar Power System - P 154,831.00 Schedule of Activities 1. Submission &amp; Receipt of Bids / Bid Opening - July 21, 2020 @ 10:00 AM 2. Bid Evaluation - July 22, 2020 3. Post Qualification - July 23, 2020 4. Approval of Resolu</t>
  </si>
  <si>
    <t xml:space="preserve"> The Municipal Government of San Mariano, Isabela intends to apply the sum of Ninety Seven Thousand Pesos Only (Php. 97,000.00) being the approved Budget for the Supply and Delivery of Information and Technology Equipment. Description: 1) 1 Set Desktop Com</t>
  </si>
  <si>
    <t xml:space="preserve"> HOSPITAL BEDS           4 PCS</t>
  </si>
  <si>
    <t xml:space="preserve"> SUPPLY AND DELIVERY OF HARDWARE MATERIALS</t>
  </si>
  <si>
    <t xml:space="preserve"> 3,800	Pieces	Plastic bag, PE, 5in x 6in x 0. 005 ,, w/ 1-color print 2,600	Pieces	Plastic sack ,50kg cap, with 2-color print 10,000	Pieces	Plastic bag, PE, 5in x 6in x 0. 005 ,, w/ 1-color print 1	Roll	Plastic Acetate, Gauge #16, 50m/roll 1	Roll	"Net, Nyl</t>
  </si>
  <si>
    <t xml:space="preserve"> Republic of the Philippines                  MUNICIPALITY OF MARIHATAG                 SURIGAO DEL SUR                                                 -o0o-        Bids and Awards Committee       INVITATION TO BID   SUPPLY AND DELIVERY OF AGRICULTURAL SUP</t>
  </si>
  <si>
    <t xml:space="preserve"> 2 pail Oil 10 2 pail Oil 30</t>
  </si>
  <si>
    <t xml:space="preserve"> CONSTRUCTION OF MULTI-PURPOSE BUILDING FOR MOTORIZE RICE TRANSPLANTER (LAGUILAYAN, ISK)	1	LOT	100,000.00</t>
  </si>
  <si>
    <t xml:space="preserve"> LCWD-2020-052 dtd. 06-24-20 20 KVA Generator Set     LCWD Warehouse INVITATION TO BID FOR 20 KVA Generator Set PR No. &amp; Date : 2020-063 dated June 11, 2020 Reference No. &amp; Date : __________ 		 1.	The LEGAZPI CITY WATER DISTRICT, through the 2020 Corporate</t>
  </si>
  <si>
    <t xml:space="preserve"> Complete Construction (9.59m x 23.00m) Two (2)  Storey; Four (4) Class Room School Building With Micropile Foundation Mostly built with concrete masonry, with PWD ramp with handrails, parapet wall on concrete gutter and complete with electrical works, san</t>
  </si>
  <si>
    <t xml:space="preserve"> Newspaper Publication of Municipal Ordinance		ls. 2 pages/3 issue							 							 (Mun. Ord. No. 18-`95)							 "An Ordinance Declaring the Month of July of Every Year							 as the Sinarapan Conservation and Awareness Month							 and Providing Funds Ther</t>
  </si>
  <si>
    <t xml:space="preserve"> Republic of the Philippines Province of Isabela MUNICIPALITY OF DELFIN ALBANO delfinalbano_gc@yahoo.com/gcdelfinalbanoisabela@yahoo.com BIDS AND AWARDS COMMITTEE Invitation to Bid for the Repair/Renovation of Delfin Albano Memorial Hospital BID REFFERENCE</t>
  </si>
  <si>
    <t xml:space="preserve"> 1	Lot	Supply of labor and materials in the Installation Office Partitions with Accessories, CON Lounge, 4/f ETC Building.			 405,750.00  		 			 		Note: Please see attached Scope of Work and Working Drawings sheets A1 &amp; A2			 		 	 		 		Estimated number of </t>
  </si>
  <si>
    <t xml:space="preserve"> Airfreshner, cool breeze				4	can Automatic Spray Airfreshner, lavender		5	pc. Bookpaper, legal size					10	ream Bookpaper, letter size					10	ream Comp. Cont. Form, 9-1/2" x 11", 3ply		10	box Dishwashing Liquid					4	pack Folder, tagboard, legal size				</t>
  </si>
  <si>
    <t xml:space="preserve"> CONSTRUCTION OF MULTI-PURPOSE BUILDING FOR MOTORIZE RICE TRANSPLANTER (LAGUILAYAN LABORERS ASS.)	1	LOT	100,000.00</t>
  </si>
  <si>
    <t xml:space="preserve"> Republic of the Philippines DEPARTMENT OF PUBLIC WORKS AND HIGHWAYS REGIONAL OFFICE VIII Baras, Palo, Leyte    INVITATION TO BID No. 2020-06-003 June 26, 2020 1.	The Department of Public Works and Highways Regional Office VIII, Baras, Palo, Leyte, through</t>
  </si>
  <si>
    <t xml:space="preserve"> Please see Attached File</t>
  </si>
  <si>
    <t xml:space="preserve"> Republic of the Philippines Batangas City Invitation to Apply for Eligibility and to Bid The Barangay Government of Barangay Libjo, Batangas City intends to apply the sum of One Hundred Fifty Thousand Pesos Only (Php 150,000.00) broken down as follow: ITE</t>
  </si>
  <si>
    <t xml:space="preserve"> GROUND WOOD - 100 REAM BOND PAPER 8 1/2X13  80 REAMS INK FOR RISO 3 BTL LONG PLASTIC ENVELOP - 2,800 PCS INK FOR PRINTER 7 BTL</t>
  </si>
  <si>
    <t xml:space="preserve"> Republic of the Philippines  Province of Southern Leyte MUNICIPALITY OF BONTOC Request for Quotation Purchase of Washing Machines for the Quarantine Area and Isolation Facility Use 1. The Municipality of Bontoc, through the General Fund intends to apply t</t>
  </si>
  <si>
    <t xml:space="preserve"> Republic of the Philippines  DEPARTMENT OF PUBLIC WORKS AND HIGHWAYS MISAMIS ORIENTAL 2nd DISTRICT ENGINEERING OFFICE Region X Balase Street, El Salvador City INVITATION TO BID The Misamis Oriental 2nd District Engineering Office, through its Bids and Awa</t>
  </si>
  <si>
    <t xml:space="preserve"> 1 LOT 	 Printing and Delivery of Flyers on Parcel Guidelines Size: 	6.5 x 6.5 inches Paper:	C2S 110 gsm glossy paper Printing:	One side only Color:	Full Color Scope of Work:	Printing and Delivery with Provision for Soft Copy Quantity:		50,000 Pieces 	  Pr</t>
  </si>
  <si>
    <t xml:space="preserve"> Invitation to Bid for the Upgrading of Brgy. Dulangan Road 1.	The Municipal Government of Puerto Galera, through the DILG-LGSF-AM FY 2020 intends to apply the sum of Four Million Seven Hundred Ninety-Nine Thousand Seventy-Four Pesos &amp; Sixty-Nine Centavos </t>
  </si>
  <si>
    <t xml:space="preserve"> Province of Surigao del Sur				 MUNICIPALITY OF TAGBINA				 				 Standard Form Number : SF-GOOD-60				 Revised on                          :  May 24, 2004		Supply, delivery and installation of 1 unit dupllicating machine		 Standard Form Title        :  RE</t>
  </si>
  <si>
    <t xml:space="preserve"> 40 kgs. Cement				40	bags Gravita					4	cu.m. Fine Aggregates (Sand)		2	cu.m. 16mm x 6m RSB			27	pcs. 10mm x 6m RSB			15	pcs. 1/4"thk. Marine Plywood		2	pcs. 2" x 3' x 10' Coco Lumber		8	pcs. Assorted CW Nails			2	kgs. #16 GI Tie Wire				3	kgs. Hacksaw Bl</t>
  </si>
  <si>
    <t xml:space="preserve"> PURCHASE OF BASED  DISASTER AND EMERGENCY MONITORING  SYSTEM (CCTV AND PUBLIC ADDRESS SYSTEM)- Purchase Request No.2020-06-127</t>
  </si>
  <si>
    <t xml:space="preserve"> QUOTATION - SEALED CANVASS: Please submit the accomplished OFFICIAL CANVASS FORM before the closing date at PPMD 2nd flr. SSS Main Bldg., East Ave., Quezon City. Submit in Sealed Envelope address to Ms. HYDEE R. RAQUID – Department Manager III, Procuremen</t>
  </si>
  <si>
    <t xml:space="preserve"> CONSTRUCTION OF MULTI-PURPOSE BUILDING FOR MOTORIZE RICE TRANSPLANTER (KUDANDING FARM WORKERS ASS.)</t>
  </si>
  <si>
    <t xml:space="preserve"> This project is by lot, partial bid is not accepted LOT LABORATORY SUPPLIES AND EQUIPMENT 1 FREEZER *Freezer (-80°C). *External size (W x D x H)mm: 854 x 1072 x 1907. *Internal size (W x D x H)mm: 488 x 607 x 1140. *Capacity: 338L. *Type: vertical. *Temp.</t>
  </si>
  <si>
    <t xml:space="preserve"> 1 Meal and 2 Snacks		 Meal               Lunch		 Rice, 2-3 Viands, Side Dishes, Desserts, Fruits &amp; Drinks		 Snacks		 AM &amp; PM w/ drinks		 Activity                      Date                    Days		 MDRRMC Meeting  July 22, 2020        1	66	pax BDRRMC Meet</t>
  </si>
  <si>
    <t xml:space="preserve"> 1 unit Desktop Computer 1 unit All-in-One Printer, CISS 1 unit Portable HDD, 1TB</t>
  </si>
  <si>
    <t xml:space="preserve"> Piston Yamaha 40 HP (4 stroke)	2	pcs Foot pump assy	2	pcs Cylinder head Gasket	2	pcs Rubber Impeller	2	pcs Thermostat	4	pcs Lower Head Gasket	2	pcs Zinc Anode	4	pcs Fuel Hose pump assy	4	pcs Ignition coil	4	pcs Spark plug	30	pcs w-w-w-w-Nothing Follows-w-</t>
  </si>
  <si>
    <t xml:space="preserve"> *MODEL ARUV 200LT3 OUTDOOR COMPRESSOR JBB055DAA DC MOTOR R410A 3PH DC 540V SERIAL: 24450005XDIO; for TBZ37996101 (2 units) *INVERTER PCB BOARD; for EBR36932815 (3 units) *INDOOR UNIT (CEILING CASSETTE); for EBR78401707 (2 units) *INDOOR UNIT (WALLMOUNTED </t>
  </si>
  <si>
    <t xml:space="preserve"> Standard Form Number: SFGOOD60 Revised on: May 24, 2004 Standard Form Title: Request for Quotation Date: June 29, 2020  Quotation No. 20-06-0380 PR No. 20-06-793 __________________________ Company Name _________________________________ Address         Ple</t>
  </si>
  <si>
    <t xml:space="preserve"> The Local  Government   Unit  of General  Santos  City, through  the  GENERAL FUND CY 2020  intends  to apply  the sum of twenty five thousand and xx / 100 Pesos Only (25,000.00)   being  the Approved  Budget  for the Contract   (ABC) to payments  under  </t>
  </si>
  <si>
    <t xml:space="preserve"> Centennial Year Projects (Improvement of Museum)</t>
  </si>
  <si>
    <t xml:space="preserve"> Republic of the Philippines Province of Nueva Vizcaya Municipality of Bagabag BARANGAY PANIKI INVITATION TO BID: SUPPLY AND DELIVERY OF MATERIALS AND LABOR  FOR THE  Construction of Drainage Canal Along Provincial Road In front of Paniki High School Panik</t>
  </si>
  <si>
    <t xml:space="preserve"> Standard Form Number: SFGOOD60 Revised on: May 24, 2004 Standard Form Title: Request for Quotation Date: June 29, 2020  Quotation No. 20-06-0383 PR No. 20-06-773 __________________________ Company Name _________________________________ Address         Ple</t>
  </si>
  <si>
    <t xml:space="preserve"> PURCHASE OF TIRE FOR REPAIR AND MAINTENANCE OF  GRADER MG 331- Purchase Request No.2020-06-137</t>
  </si>
  <si>
    <t xml:space="preserve"> Republic of the Philippines DEPARTMENT OF PUBLIC WORKS AND HIGHWAYS CAMARINES SUR SECOND DISTRICT ENGINEERING OFFICE Regional Office V Baras, Canaman, Camarines Sur INVITATION TO BID FOR  20FE0131 – CONSTRUCTION OF CLASSROOMS, BAGAMELON ES, LIBMANAN, CAMA</t>
  </si>
  <si>
    <t xml:space="preserve"> Standard Form Number: SFGOOD60 Revised on: May 24, 2004 Standard Form Title: Request for Quotation Date: June 29, 2020  Quotation No. 20-06-0382 PR No. 20-06-772 __________________________ Company Name _________________________________ Address         Ple</t>
  </si>
  <si>
    <t xml:space="preserve"> Standard Form Number: SFGOOD60 Revised on: May 24, 2004 Standard Form Title: Request for Quotation Date: June 29, 2020  Quotation No. 20-06-0384 PR No. 20-06-778 __________________________ Company Name _________________________________ Address         Ple</t>
  </si>
  <si>
    <t xml:space="preserve"> 1350 piece Customized Medal, Gold 1400 piece Customized Medal, Silver 1800 piece Customized Medal, Bronze</t>
  </si>
  <si>
    <t xml:space="preserve"> Invitation to Bid CY 2020 QRF REPAIR AND REHABILITATION OF CLASSROOMS LOT 1 – CANILA ES, BILIRAN DISTRICT (2020 QRF REPAIR – Lot 1-3CL) 1.	The DepEd, SDO-Biliran through the CY 2020 QRF – Repair and Rehabilitation of Classrooms  intends to apply the sum o</t>
  </si>
  <si>
    <t xml:space="preserve"> 3	bags	OPV White corn seeds, 20kg/sack	 ₱2,000.00  42	rolls	Nylon Rope, twisted, no.10,200m/roll	 ₱1,110.00</t>
  </si>
  <si>
    <t xml:space="preserve"> (see bidding documents and other supporting papers in the associated component for further project details)</t>
  </si>
  <si>
    <t xml:space="preserve"> Copier, monochrome						1	set 3-in-1multi-functionality							 Construction: Desktop System							 Copy/print speed: A4 - max 16ppm; A3 - max. 9 ppm							 Printsystem: Electrophotographic Laser							 Gradation: 256 gradation							 Paper Input Capacity:</t>
  </si>
  <si>
    <t xml:space="preserve"> 1 unit Desktop Computer 1 unit All-in-One Printer, CISS</t>
  </si>
  <si>
    <t xml:space="preserve"> ITEM NO. P.R. No. :City Engineer's Office 2020-03-1991 Date: 03/23/2020 Date: 44,160.0012mm thk x 4ft x 8ft M.S. Plateplate31 2,944.003mm thk x 1 1/2'' x 1 1/2'' x 6m Angle barpcs52 1,217.70welding rodkgs113 2,242.30acetylene  (content only)set1</t>
  </si>
  <si>
    <t xml:space="preserve"> INVITATION TO BID IB NO: 2020-07-20 (14) PROCUREMENT OF MEDICAL EQUIPMENT FOR OPERATING ROOM 1. 	The Caraga Regional Hospital (CRH), through the General Appropriation Act /  HEALTH FACILITIES ENHANCEMENT PROGRAM (HFEP) 2020 intends to apply the sum of FOU</t>
  </si>
  <si>
    <t xml:space="preserve"> Brand Approved Budget Contract per Item Name and Description of the Article / sUnitQTY.ITEM NO. P.R. No. :City Administrator's Office 2020-05-2302 Date: 05/07/2020 Date: 80,000.00 CAMERA: High-End ; Mirrorless EOS M200 FULL SPECIFICATIONS and FEATURES Foc</t>
  </si>
  <si>
    <t xml:space="preserve"> Republic of the Philippines Province of Bulacan Municipality of Angat 			 INVITATION TO BID The Municipality of Angat, through the Bids and Awards Committee (BAC), invites suppliers/manufacturers/distributors/contractors to apply for eligibility and to Bi</t>
  </si>
  <si>
    <t xml:space="preserve"> Republic of the Philippines					 Province of Bukidnon					 Municipality of Lantapan					 					 INVITATION TO BID FOR THE SUPPLY &amp; INSTALLATION OF STREET					 LIGHTS IN VARIOUS PUROKS, BARANGAYS AND SITIOS [1ST BID]					 					 1	The Local Government Unit o</t>
  </si>
  <si>
    <t xml:space="preserve"> 431 Bags Cement 21 cu.m. Sand 42 cu.m. Gravel 485 pcs. 10mm Ø def. bars 40 pcs. Marine Plywood ¼” 2 pcs. Marine Plywood ½” 2000 bdft. 500-2” x 3” x8’ Coco Lumber 20 kls. C.W. Nails #4” 3 kls C.W. Nails #3” 5 kls. C.W. Nails #1 ½” 30 kls. Tie Wire #16 12 p</t>
  </si>
  <si>
    <t xml:space="preserve"> Republic of the Philippines Province of Samar BIDS AND AWARD COMMITTEE Negotiated Procurement SUPPLY AND DELIVERY OF Medical Equipment  Solicitation No. 110012032019 			            Source of Fund. Trust Fund Approved Budget for the Contract:  PhP546,000.0</t>
  </si>
  <si>
    <t xml:space="preserve"> PURCHASE OF TIRE FOR VY 0643- PR. NO:	2020-06-143</t>
  </si>
  <si>
    <t xml:space="preserve"> The Local  Government   Unit  of General  Santos  City, through  the  GENERAL FUND CY 2020  intends  to apply  the sum of three hundred twenty five thousand nine hundred and xx / 100 Pesos Only (325,900.00)   being  the Approved  Budget  for the Contract </t>
  </si>
  <si>
    <t xml:space="preserve"> INVITATION TO BID SUPPLY, DELIVERY, INSTALLATION, TESTING AND COMMISSIONING OF EIGHT (8) LOTS SOLID WASTE MANAGEMENT EQUIPMENT CONSISTING OF BRAND NEW BIODEGRADABLE WASTE SHREDDER AND BRAND NEW COMPOSTER FOR THE DEPARTMENT OF ENVIRONMENT AND NATURAL RESOU</t>
  </si>
  <si>
    <t xml:space="preserve"> Stock No. Item description QTY Unit 1 Alcohol 70% ethyl 3.78 liters 30 gals. 2 Disinfectant Concertrate 3.78 liters 5 gals. 3 Hand Sanitizers/Antibacterial Sanitizer 3.78 liters 10 gals. 4 Liquid Hand Soap 3.78 liters 10 gals. for PCC 1 Book cover thick 2</t>
  </si>
  <si>
    <t xml:space="preserve"> 20% EDF CY 2020 Construction of Pathwalk - Purok 1 - P 406,415.00 Schedule of Activities 1. Submission &amp; Receipt of Bids / Bid Opening - July 21, 2020 @ 10:00 AM 2. Bid Evaluation - July 22, 2020 3. Post Qualification - July 23, 2020 4. Approval of Resolu</t>
  </si>
  <si>
    <t xml:space="preserve"> Rehabilitation of Box Culvert Installation of RCCP</t>
  </si>
  <si>
    <t xml:space="preserve"> Supply and Delivery -One (1) Unit Farm Tractor with complete accessories: &gt; Engine-Horse power:36 &gt; Direct Injection, vertical, water-cooled 4-cylinder &gt; Displacement: 1647 (100 47)CC &gt; bORE x sTROKE: 87X 92 4MM &gt; Transmission: Gear shift,8 forward and Re</t>
  </si>
  <si>
    <t xml:space="preserve"> PR#	2020-03-0178 ENFORCEMENT DIVISION	 2	unit	Geotagging Equipment	 80,000.00 	 		Specifications:		 		Operating System: Android		 		Processor: Octa-Core (4x2.3 GHz Cortex-A73 &amp; 4x1.7 GHz Cortex-A53)		 		Network and Connectivit: LTE, Wi-Fi, USB Type-C, Blu</t>
  </si>
  <si>
    <t xml:space="preserve"> PURPOSE: FOR USE IN THE DEPT. OF OB-GYNE Fax your Price Quotation at Tel. Fax#: 426-30-45 / 927-64-26 local 2561 or Email at bacveterans@gmail.com. Please indicate the brand name and complete specifications.</t>
  </si>
  <si>
    <t xml:space="preserve"> Please see attached associated component for specifications.</t>
  </si>
  <si>
    <t xml:space="preserve"> PLEASE SEE ATTACHED TOR</t>
  </si>
  <si>
    <t xml:space="preserve"> 500	heads	"Chicks, range, 350-400grams,1 month old Delivery Site: 300 heads for KALINGA 200 heads for BAGUIO CITY"	 ₱175.00</t>
  </si>
  <si>
    <t xml:space="preserve"> ITEM NO. P.R. No. :City Veterinary Office 2020-04-2119 Date: 04/03/2020 Date: 20,000.00 PRINTER, Multifunction Printer LaserJet Pro MFP M227fdw, Print, copy, scan, fax, wireless Print speed letter: Up to 30 ppm (black) Auto duplex printing; 250-sheet inpu</t>
  </si>
  <si>
    <t xml:space="preserve"> The Local  Government   Unit  of General  Santos  City, through  the  GENERAL FUND CY 2020  intends  to apply  the sum of two hundred forty eight thousand nine hundred five and xx / 100 Pesos Only (248,905.00)   being  the Approved  Budget  for the Contra</t>
  </si>
  <si>
    <t xml:space="preserve"> Republic of the Philippines													 City of San Carlos													 Negros Occidental													 													 INVITATION TO BID											FOR SALE	 			PURCHASE REQUEST NO: 1-20-06-0748				P 995.00	 Sealed bids for quotation of prices will be recei</t>
  </si>
  <si>
    <t xml:space="preserve"> Supply of Materials, Labor &amp; Equipment for the Drilling of Potable Water Supply for the Municipal Building A. Drilling &amp; Installation of Potable Water Supply B. Construction of Water Tank &amp; Water Pump Shed</t>
  </si>
  <si>
    <t xml:space="preserve"> To support the procurement of Thirty three (33) ea Bearing NLG (LH) with PN: 8790-206 and 2 other L/I for use in the Unscheduled Maintenance of NC-212i Aircraft with Nr 2119.</t>
  </si>
  <si>
    <t xml:space="preserve"> Materials  1. 20 ft. Double Jamb		- pcs. 6 2. 20 ft. Double Head (Analoc)	-	pcs.	3 3. 20 ft. Double Sill (Analoc)	-	pcs.	3 4. 20 ft. Lockstile (Analoc)		-	pcs.	6 5. 20 ft. Interlocker (Analoc)	-	pcs.	6 6. 20 ft. Top/Bottom Rail (Analoc) -	pcs.	6 7. 20 ft.</t>
  </si>
  <si>
    <t xml:space="preserve"> 1.PIKO - 35 PCS 2.PALA - 35 PCS 3.BARA - 35 PCS 4.MONOBLOCKS - 50 PCS</t>
  </si>
  <si>
    <t xml:space="preserve"> Continuation of Rehab of St. Agustin Road Item No.	Quantity	Unit	Description			 1	200	bags	Portland Cement 40kg			 2	21	cu.m.	Sand			 3	25	cu.m.	Gravel			 4	96	bd.ft.	16pcs. 1 x 6 x 12 Coco Lumber			 5	10	kgs	CWN, #2</t>
  </si>
  <si>
    <t xml:space="preserve"> Improvement of the Luis Hora Gym</t>
  </si>
  <si>
    <t xml:space="preserve"> 210 bottle alcohol, ethyl, 70%, 500ml 315 reams Paper, multi-purpose, A4, 70 gsm 230 reams Paper, multi-purpose, legal, 70 gsm 3 pieces record book, 500 pages, size:214mm x 278mm min 10 pack toilet tissue paper,2-plys sheets, 150 pulls 35 boxes staple wir</t>
  </si>
  <si>
    <t xml:space="preserve"> PURPOSE: FOR USE IN DOP BACTERIOLOGY.  (ATTACHED RPRI NO. 2020-02-028) Fax your Price Quotation at Tel. Fax#: 426-30-45 / 927-64-26 local 2561 or Email at bacveterans@gmail.com. Please indicate the brand name and complete specifications.</t>
  </si>
  <si>
    <t xml:space="preserve"> 1900 pcs printing of Certificate for Day Care Recognition</t>
  </si>
  <si>
    <t xml:space="preserve"> Sodium Bicarbonate 1MEQ/ML 50ML Requirements for Drugs and Medicines: **Drugs with history of usage from VMMC (Requirements No. 1-5 only) ** **For Innovators (Requirements No. 1-4 only) ** 1. CPR 2. CGMP 3. LTO 4. CERTIFICATE OF DISTRIBUTOSHIP 5. CERTIFIC</t>
  </si>
  <si>
    <t xml:space="preserve"> Supply and Delivery of Various IT supplies and peripherals</t>
  </si>
  <si>
    <t xml:space="preserve"> 20GID0021	PR No.: 20-02-0014 Dated 02/12/2020	Supply and Delivery of Bituminous Asphalt Mix (Item 310) for use in the Maintenance of National Roads and Bridges within the District    	985,600.00	15 CD Mode of Procurement: Alternative Method of Procurement</t>
  </si>
  <si>
    <t xml:space="preserve"> Reference No. PR # 20-06-0784 PRICE QUOTATION FORM (BID FORM) Sealed Bids shall be dropped in the BIDDERS BOX on or before 2:00 P.M.  July 03, 2020    placed at the office of the Chairman of the College BAC. Thereafter, the Bidder's Box shall be sealed un</t>
  </si>
  <si>
    <t xml:space="preserve"> Procurement of Fuel and Oil</t>
  </si>
  <si>
    <t xml:space="preserve"> Invitation to Bid CY 2020 QRF REPAIR AND REHABILITATION OF CLASSROOMS LOT 2 – USON ES, CAIBIRAN DISTRICT 2 (2020 QRF REPAIR – Lot 2-5CL) 1.	The DepEd, SDO-Biliran through the CY 2020 QRF – Repair and Rehabilitation of Classrooms  intends to apply the sum </t>
  </si>
  <si>
    <t xml:space="preserve"> SUBMERSIBLE PUMP AND MOTOR SET, 40 HP Complete with motor controls, submersible cable, column pipes, discharge elbow, discharge piping to include flow meter, valves and fittings and other accessories and appurtenances as specified herein.  One (1) unit o</t>
  </si>
  <si>
    <t xml:space="preserve"> Republic of the Philippines Province of Davao Oriental City of Mati BIDS &amp; AWARDS COMMITTEE INVITATION TO BID Procurement BY LOT of Various Filters, Oil and Lubricants for Use of 79 Units Light and Heavy Equipment SOURCE OF FUND: 20% LGDF [8000A-300-1-07-</t>
  </si>
  <si>
    <t xml:space="preserve"> 1	pc	 Sander Blade  10 	bag	 Cement  2 	cu.m.	 Sand  1 	cu.m.	 Gravel  80 	piece	 Hollow Block  8 	piece	 Deformed Bar 10mm  8 	piece	 Deformed Bar 8mm  2 	kilo	 Tie Wire  14 	bag	 Cement  3 	cu.m.	 Sand  2 	cu.m.	 Gravel  2 	piece	Paint Brush #2  1 	roll</t>
  </si>
  <si>
    <t xml:space="preserve"> Republic of the Philippines						 Province of Bukidnon						 Municipality of Lantapan						 						 INVITATION TO BID FOR THE SUPPLY &amp; INSTALLATION OF STREET LIGHTS						 AT POBLACION, BALILA HIGHWAY ROAD AND P-3 &amp; P-5 BALILA (1ST BID)						 						 1	The L</t>
  </si>
  <si>
    <t xml:space="preserve"> Republic of the Philippines					 PROVINCE OF IFUGAO					 BANAUE					 				Date	 Requesting Office: 					 ***REQUEST FOR QUOTATION***					 					 Company Name					 					 Address					 					 Sir:					 	Please quote your price/s for the article/s stated below:	</t>
  </si>
  <si>
    <t xml:space="preserve"> Section I. Invitation to Bid Republic of the Philippines Province of Bukidnon MUNICIPALITY OF TALAKAG Invitation to Bid for  Construction of Potable Deepwell Water Supply   Phase II – Market Site, San Isidro 1.	The Municipality of Talakag, through the 8-9</t>
  </si>
  <si>
    <t xml:space="preserve"> Office Supplies Approved Budget for the Contract = PHp93,000.01 Office Supplies Toner Cartridge, Brother Tn-3448, for Printer Hl-5100dn Printer, Colour, Inkject, Multi-Function (Print, Scan, Copy) DVD Rewritable, Speed: 4x min, 4.7GB capacity min ________</t>
  </si>
  <si>
    <t xml:space="preserve"> 1200	pcs	Face mask	 35.00  30	bts.	 All purpose spray for Alcohol Refill	 55.00  30	bts.	Hand soap	 250.00  3	pcs	Thermal Scanner	 3,500.00  2	gal.	Dis infectant	 2,025.00  8	gal.	Casino Ethyl Alcohol	 750.00  30	reams	bondpaper long	 240.00  5	reams	bond</t>
  </si>
  <si>
    <t xml:space="preserve"> Pre Starter (B-meg Expert) Hog Starter (B-meg Prem) Lactating (B-meg Expert) Gestating (B-meg Expert) Hog Growing (B-meg Expert)</t>
  </si>
  <si>
    <t xml:space="preserve"> Improvement of all Senior High School admin offices layouts for health and safety measures of school personnel against Covid19.</t>
  </si>
  <si>
    <t xml:space="preserve"> This project is by lot, partial bid is not accepted LOT LABORATORY SUPPLIES AND EQUIPMENT 1 CAMEL HAIR BRUSH *Brush orientation: round. *Size: No. 12. UNIT: PIECE, QUANTITY: 10 CAMEL HAIR BRUSH *Brush orientation: round. *Size: No. 7. UNIT: PIECE, QUANTIT</t>
  </si>
  <si>
    <t xml:space="preserve"> 1. 228 bags Cement 2. 64 Lgth. Deformed Round Bar, 12mmDiax6m 3. 116 Lgth Deformed Round Bar, 10mmDiax6m 4. 18 Kls. Tie Wire, GI #16” 5. 12 Pcs. Hacksaw Blade 6. 20 Kls. Common Wire Nails #4” 7. 20 Kls. Common Wire Nails #3” 8. 5 Kls. Common Wire Nails #1</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</si>
  <si>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</si>
  <si>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Brand Approved Budget Contract per Item Name and Description of the Article / sUnitQTY.ITEM NO. P.R. No. :City Engineer's Office 2020-05-2405 Date: 05/20/2020 Date: 27,596.80Portland Cementbag881 8,400.00Washed coarse sandcu.m.72 11,050.00Washed gravelcu.</t>
  </si>
  <si>
    <t xml:space="preserve"> 100 pcs Rice @ 10 kilos 100 trays Eggs 200 pcs Iodized Salt 100 kilos Sticky Rice 120 pcs Milk @ 320 grams 120 pcs Chocolate 220 grams 120 pcs Sugar ¼ 120 pcs Assorted Biscuit 120 pcs Condensed Milk 120 pcs Oatmeal</t>
  </si>
  <si>
    <t xml:space="preserve"> PR#	2020-06-0324 PERSONNEL SECTION	 1	lot	Various Computer Toner/ Inks with service printer	 120,000.00 	 10	cart	Toner 510A		 10	cart	Toner 511A		 10	cart	Toner 512A		 10	cart	Toner 513A		 				 		Note:		 		* Please indicate the unit price of each item		 </t>
  </si>
  <si>
    <t xml:space="preserve"> The City Government of San Pedro, Laguna invites interested parties to quote for the following item/s as per request CPDCO: 1	lot	Training &amp; Consultancy Services for the Establishment of a Quality Management System (QMS) Certifiable to ISO 9001:2015 Stand</t>
  </si>
  <si>
    <t xml:space="preserve"> Standard Form Number: SFGOOD60 Revised on: May 24, 2004 Standard Form Title: Request for Quotation Date: June 29, 2020  Quotation No. 20-06-0385 PR No. 20-06-779 __________________________ Company Name _________________________________ Address         Ple</t>
  </si>
  <si>
    <t xml:space="preserve"> PURPOSE: FOR USE IN TERMITE AROUND VMMC HOSPITAL BUILDINGS Fax your Price Quotation at Tel. Fax#: 426-30-45 / 927-64-26 local 2561 or Email at bacveterans@gmail.com. Please indicate the brand name and complete specifications.</t>
  </si>
  <si>
    <t xml:space="preserve"> 1	Steel Cabinet (big) Filling Cabinet, Height 1800mm, width 850mm, 2 sliding door, 5 layers	2	pcs 2	Steel Cabinet (4 drawers), width -458mm, depth - 622mm, Height - 280mm, lockable 2 keys	4	pcs 3	Steel cabinet 2 swing door, height 1800mm, width 850mm, 2 s</t>
  </si>
  <si>
    <t xml:space="preserve"> The Municipal Government of San Mariano, Isabela intends to apply the sum of Forty Eight Thousand Pesos Only (Php. 48,000.00) being the approved Budget for the Supply and Delivery of Furniture and Fixture. Description: 1) 3 units Filing Cabinet 4D 2) 1 un</t>
  </si>
  <si>
    <t xml:space="preserve"> Date: 	June 30, 2020 Shopping #: 2020-06-128 The MUNICIPALITY OF MAKILALA through its Bids and Awards Committee intend to procure goods for the: Name of Project:   Supplies for Kabuhayan Individual Starter Kits (DILEEP)-					Ukay-Ukay Vending Approved Bud</t>
  </si>
  <si>
    <t xml:space="preserve"> *For any inquiries, please look for Ms. Paula Bianca de Mesa Contact details: Telefax : 8-733 4861/71 Email: paula.demesal@pms.gov.ph 24,118 PCS. SODIUM ASCORBATE + ZINC VITAMINS</t>
  </si>
  <si>
    <t xml:space="preserve"> 50 filter cards</t>
  </si>
  <si>
    <t xml:space="preserve"> Republic of the Philippines PROVINCE OF ZAMBOANGA DEL SUR Municipality of Dimataling BIDS AND AWARD COMMITTEE Reference Number : PR-187-100-2020 Date: June 25, 2020 Project Title/P.R. # :PURCHASE OF TIRES (700R16/LUG 14 PLY) FOR RESCUE VEHICLES Approved B</t>
  </si>
  <si>
    <t xml:space="preserve"> Invitation to Bid CY 2020 QRF REPAIR AND REHABILITATION OF CLASSROOMS LOT 3 – ACABAN ES, CULABA DISTRICT  (2020 QRF REPAIR – Lot 3) 1.	The DepEd, SDO-Biliran through the CY 2020 QRF – Repair and Rehabilitation of Classrooms  intends to apply the sum of ON</t>
  </si>
  <si>
    <t xml:space="preserve"> 1. 360 Bd.ft. Lumber, 2x2x12 (90pcs) 2. 360 Bd.ft. Lumber, 2x3x12 (60pcs)</t>
  </si>
  <si>
    <t xml:space="preserve"> Date: 	June 30, 2020 Shopping #: 2020-06-129 The MUNICIPALITY OF MAKILALA through its Bids and Awards Committee intend to procure goods for the: Name of Project:   Fuel for MADAC Operation Approved Budget for Contract: 	Sixty Two Thousand Pesos (Php 62, 0</t>
  </si>
  <si>
    <t xml:space="preserve"> 15	pcs.	Marine Plyboard 1/4 2	kls.	CWN #1 6	gals.	Glossy Enamel White 500	pcs.	Bolts (Alloy) 100	pcs.	Wooden arm chair (Replace arm) 8	gals.	Enamel Choco brown Paint 320	pcs.	Hollow Blocks  12	cu.m	Gravel 6	cu.m	Sand 60	bags	Cement 10	pcs.	Lumber 2x2x12 8</t>
  </si>
  <si>
    <t xml:space="preserve"> The Barangay San Gabriel Council, through the approved budget for the year 2020, intends to apply the sum of P 854,409.60 being the approved budget (as 20% Development Funds) for the contract to payments under the contract for the SUPPLY, DELIVERY AND INS</t>
  </si>
  <si>
    <t xml:space="preserve"> INVITATION TO BID  Please quote your lowest price inclusive of VAT on the item/s listed below, subject to the Terms and Conditions of this RFQ, and submit your quotation duly signed by your representative not later than July 3, 2020 at 2 in the afternoon </t>
  </si>
  <si>
    <t xml:space="preserve"> 25	pcs	LM 317 Voltage Regulator					 25	pcs	7805 Voltage Regulator					 25	pcs	7812 Voltage Regulator					 50	pcs	Ceramic capacitor , 0.1 µF					 50	pcs	Fixed Ceramic Cement Resistor  ( 1      , 1 w)					 50	pcs	Electrolytic Capacitor , 1000 µF / 25 volts</t>
  </si>
  <si>
    <t xml:space="preserve"> Brand Approved Budget Contract per Item Name and Description of the Article / sUnitQTY.ITEM NO. P.R. No. :City Mayor's Office 2020-06-2490 Date: 06/15/2020 Date: 110,000.00 LAPTOP (WITH COMPLETE ACCESSORIES PLUS CARRYING CASE) Specification: Intel Core i7</t>
  </si>
  <si>
    <t xml:space="preserve"> RE-INVITATION TO BID  No. 2020-007 The Department of Public Works and Highways -Davao del Norte District Engineering Office, Tagum City, Davao del Norte, through its Bids and Awards Committee (BAC), invites contractors to submit bids for the following Con</t>
  </si>
  <si>
    <t xml:space="preserve"> Description   The LGU-MAYANTOC, through its Bids and awards committee (BAC) invites contractors registered with and classified by the PHILGEPS to apply for the eligibility and found eligible, to bid for the here under contract: NAME OF PROJECT:CONSTRUCTIO</t>
  </si>
  <si>
    <t xml:space="preserve"> PROCUREMENT TERMS &amp; CONDITIONS					 1	The Total Approved Budget for the Contract (ABC) is Php 40,000.00.				 2	Price quotation should be inclusive of tax obligations.				 3	Delivery period is 10 calendar days from the receipt of NOA &amp; PO.				 4	If awarded</t>
  </si>
  <si>
    <t xml:space="preserve"> Republiuc of the Philippnes				 PROVINCE OF APAYAO	PROVINCE OF APAYAO			 Provincial Government Center	Provincial Government Center, San Isidro Sur			 San Isidro Sur, Luna, Apayao	LUNA, APAYAO			 				 PROVINCIAL BIDS AND AWARD COMMITTEE-INFRA				 				 INVI</t>
  </si>
  <si>
    <t xml:space="preserve"> Repair &amp; Maintenance Office Equipment</t>
  </si>
  <si>
    <t xml:space="preserve"> ITEM          DESCRIPTION                             QTY.                 UNIT I.               CLEARING                                 47.85                SQ.M II.              CONCRETING                             20                    MTRS.</t>
  </si>
  <si>
    <t xml:space="preserve"> 15	cover	Dinner- pork sinigang, vegetables, rice and dessert	 ₱200.00  15	pax	Lodging	 ₱450.00  17	cover	Breakfast- longganisa, scrambled egg, fried rice, banana, brewed coffee	 ₱150.00  35	cover	AM Snacks- sanwich &amp; buko juice	 ₱100.00  35	cover	Lunch- a</t>
  </si>
  <si>
    <t xml:space="preserve"> Republic of the Philippines				 Province of Quezon 				 Municipality of Lucban				 				 Bill of Quantities				 Quantity	Unit	Articles/Description	Unit Price	Amount  4,000 	PCS	NEWSLETTER		 			 	  			 	  			 	  			 	  			 	  			 	  			 	  			 	  			 	 				</t>
  </si>
  <si>
    <t xml:space="preserve"> 1      Unit             Motorcycle</t>
  </si>
  <si>
    <t xml:space="preserve"> Standard Form Number: SFGOOD60 Revised on: May 24, 2004 Standard Form Title: Request for Quotation Date: June 29, 2020  Quotation No. 20-06-0387 PR No. 20-06-781 __________________________ Company Name _________________________________ Address         Ple</t>
  </si>
  <si>
    <t xml:space="preserve"> INVITATION TO BID SUPPLY AND DELIVERY OF ONE (1) UNIT DB COMPRESSOR FOR RESPONSE OPERATIONS – 2ND BIDDING 1.	The Local Government Unit of Cabadbaran City through the DRRM FUND intends to apply the sum of TWO HUNDRED FORTY-SEVEN THOUSAND FOUR HUNDRED FIFTY</t>
  </si>
  <si>
    <t xml:space="preserve"> Mirrorless Camera Sensor: 24.2MP APS-C CMOS Lens mount: X-mount Screen: 3.0 inch tilt-angle touchscreen, 1,040,000 dots Burst shooting: 8fps Autofocus: 325-point AF Video: 4K Connectivity: Wi-fi and Bluetooth Battery life: 350 shots Weight: 383g</t>
  </si>
  <si>
    <t xml:space="preserve"> ITEM NO. P.R. No. :City General Services Office 2020-03-1801 Date: 03/10/2020 Date: 9,920.00Portland Cementbags321 2,400.00washed coarsed sandcu.m.22 5,200.00washed gravelcu.m.43 2,304.0012mmx6m,deformed barlenghts84 7,164.0010mmx6m,deformed barlenghts365</t>
  </si>
  <si>
    <t xml:space="preserve"> Republic of the Philippines Region XII Province of Cotabato Municipality of Makilala OFFICE OF THE BIDS AND AWARD COMMITTEE REQUEST FOR QUOTATION (Shopping) Date: 	June 30, 2020 Shopping #: 2020-06-130 The MUNICIPALITY OF MAKILALA through its Bids and Awa</t>
  </si>
  <si>
    <t xml:space="preserve"> 1	Lot	Supply of labor and materials in the Renovation of OVCAF Conference Room, 2/F Administration Building. 			 269,000.00  		 			 		Note: Please see attached Scope of Work and Working Drawings sheets A1 &amp; A5.			 		 	 		 		Estimated number of Days of Com</t>
  </si>
  <si>
    <t xml:space="preserve"> meals and accommodation (1 day)	45	pax CONSULTATION-WORKSHOP FOR IP CONCERN ON PANTAWID PAMILYA IMPLEMENTATION		 September 10-11, 2020		 Inclusive of the ff:		 Amenities:		 *free wireless Internet Access		 *Free use LCD projector, LCD Screen &amp; white board</t>
  </si>
  <si>
    <t xml:space="preserve"> Desktop with UPS and Printer	2	units Specifications: Processor: Core i5-9400 processor up to 4.10 GHz Motherboard: Gigabyte H310M S2M (update bios for 9th Gen) GPU: UHD Graphics 630 Memory: 1x8gb DDR4-2666Mhz Hard Disk Drive: 1TB Blue 3.5-inch SATA Solid </t>
  </si>
  <si>
    <t xml:space="preserve"> Republic of the Philippines								 Province of Negros Occidental								 Municipality of La Castellana								 Bids and Awards Committee								 								 INVITATION TO APPLY FOR ELIGIBILITY AND TO BID								 								 Name of Project: 		PROPOSED BARANGAY</t>
  </si>
  <si>
    <t xml:space="preserve"> 7	trips	"Vehicle Rentals -4 seaters, good for off road use Inclusive of fuel, toll fee and driver's meal and accommodation Inclusive of comprehensive insurance coverage (CIC),  and Auto Passenger Insurance Coverage (APIC). Schedule: Day 1: Baguio City to </t>
  </si>
  <si>
    <t xml:space="preserve"> Brand Approved Budget Contract per Item Name and Description of the Article / sUnitQTY.ITEM NO. P.R. No. :City Engineer's Office 2020-02-1448 Date: 02/05/2020 Date: 4,961.25Portland Cementbags151 1,300.00Washed Coarse Sandcu.m12 2,800.00Washed Gravelcu.m2</t>
  </si>
  <si>
    <t xml:space="preserve"> Ampalaya Galaxy 100g String Beans / Sandigan String Beans /Negros Star Squash / Suprema Billa 250g Squash / Billa 250g Okra / Smooth Green Tomatoe/Mar; Diamante 400 seeds Sweet Pepper / Emperor 330 seeds Eggplant / Morena 875 seeds Eggplant - Warhawk Upo </t>
  </si>
  <si>
    <t xml:space="preserve"> This project is by lot, partial bid is not accepted LOT INFORMATION TECHNOLOGY PARTS &amp; ACCESSORIES &amp; PERIP AUDIO CABLE *Cable length: 30 meters, *With XLR male, male XLR male to male XLR male, less noise, 3 pins. UNIT: PIECE, QUANTITY: 1 BATTERY *Lithium </t>
  </si>
  <si>
    <t xml:space="preserve"> Invitation to Bid CY 2020 QRF REPAIR AND REHABILITATION OF CLASSROOMS LOT 4 – UNGALE I ES, KAWAYAN DISTRICT 2  (2020 QRF REPAIR – Lot 4-12CL) 1.	The DepEd, SDO-Biliran through the CY 2020 QRF – Repair and Rehabilitation of Classrooms  intends to apply the</t>
  </si>
  <si>
    <t xml:space="preserve"> Republic of the Philippines					 Province of Bukidnon					 Municipality of Lantapan					 					 INVITATION TO BID FOR THE ROAD CONCRETING AT					 MUNICIPAL MARKET EXTENSION (1st Bid)					 					 1	The Local Government Unit of Lantapan through the Trust Fund</t>
  </si>
  <si>
    <t xml:space="preserve"> INVITATION TO BID Bid No. B-92-2020(*REBIDDING)  1.	The Provincial Government of Negros Oriental now invites bids for the rebidding of the following requirements, viz: 	Project Name:	Source of Fund:	ABC: Project Name 1	Six (6) Lots Construction Materials </t>
  </si>
  <si>
    <t xml:space="preserve"> 1. 900 ltrs. Diesel 2. 80 ltrs. Gasoline</t>
  </si>
  <si>
    <t xml:space="preserve"> PROCUREMENT TERMS &amp; CONDITIONS					 1	The Total Approved Budget for the Contract (ABC) is Php 88,111.00.				 2	Price quotation should be inclusive of tax obligations.				 3	Delivery period is 10 calendar days from the receipt of NOA &amp; PO.				 4	If awarded</t>
  </si>
  <si>
    <t xml:space="preserve"> 1	Lot	Supply  of labor and materials in the Renovation of CSM Library, 3/F CSM Building			 344,600.00  		 			 		Note: Please see attached Scope of Work and Working Drawings sheets A1 &amp; A5. &amp; E1 to E2.			 		 	 		 		Estimated number of Days of Completion: 3</t>
  </si>
  <si>
    <t xml:space="preserve"> 4 pcs Tire 265/65R17 Office of the Mayor/ Norzagaray MPS</t>
  </si>
  <si>
    <t xml:space="preserve"> 1. 400 ltrs. Diesel</t>
  </si>
  <si>
    <t xml:space="preserve"> 100 KVA Transformer</t>
  </si>
  <si>
    <t xml:space="preserve"> Standard Form Number: SFGOOD60 Revised on: May 24, 2004 Standard Form Title: Request for Quotation Date: June 29, 2020  Quotation No. 20-06-0386 PR No. 20-06-780 __________________________ Company Name _________________________________ Address         Ple</t>
  </si>
  <si>
    <t xml:space="preserve"> Invitation to Bid ITB-SSS-Goods-2020-020 VARIOUS PROJECTS AT SSS BRANCH OFFICES Approved Budget for the Contract (ABC)     : Lot 1 -  Rehabilitation of Fire Detection and Alarm System of SSS Baguio Branch P 1,868,445.32 Lot 2 -  Total Replacement of the S</t>
  </si>
  <si>
    <t xml:space="preserve"> Top Glass</t>
  </si>
  <si>
    <t xml:space="preserve"> Brand Approved Budget Contract per Item Name and Description of the Article / sUnitQTY.ITEM NO. P.R. No. :CADO-Economic Enterprise Unit 2020-05-2378 Date: 05/13/2020 Date: 4,545.00roofing paint, whitegals51 4,407.75epoxy metal primer, graygals52 13,466.25</t>
  </si>
  <si>
    <t xml:space="preserve"> The AGRICULTURAL TRAINING INSTITUTE-REGIONAL TRAINING CENTER (ATI-RTC) X, through the 2020 General Appropriations Act intends to apply the sum of Sixty Eight Thousand Pesos (P 68,000.00) being the Approved Budget for the Contract (ABC) to payments under t</t>
  </si>
  <si>
    <t xml:space="preserve"> Republic of the Philippines					 PROVINCE OF SOUTHERN LEYTE					 Maasin City					 	Standard Form No.: SF-GOOD-60			 Project Reference No. 139	 	Revised on:  May 24, 2004			 Name of the Project:  _______	 	Standard Form Title:                              </t>
  </si>
  <si>
    <t xml:space="preserve"> Republic of the Philippines Province of Davao Oriental City of Mati BIDS &amp; AWARDS COMMITTEE INVITATION TO BID LOT Procurement of MEDICAL SUPPLIES for the Use of DOPMC SOURCE OF FUND: GENERAL FUND [4421F-200-5-02-03-080] 1.	The Provincial Government of Dav</t>
  </si>
  <si>
    <t xml:space="preserve"> Procurement of Van Rental Service for the Mindanao East Cluster - Regulatory Enforcement Unit				 Approved Budget for the Contract = PHp220,000.00 Procurement of Van Rental Service for the Mindanao East Cluster - Regulatory Enforcement Unit	 Van Rental (o</t>
  </si>
  <si>
    <t xml:space="preserve"> REQUEST FOR EXPRESSION OF INTEREST (REI) FOR 20CSCE006 - CONSULTING SERVICES FOR THE CONDUCT OF SOIL/GEOTECHNICAL INVESTIGATION FOR THE PROPOSED CONSTRUCTION/REHABILITATION/REPLACEMENT OF VARIOUS BRIDGE PROJECTS 1. The Department of Public Works and Highw</t>
  </si>
  <si>
    <t xml:space="preserve"> Procurement of Internet - Lagawe Campus</t>
  </si>
  <si>
    <t xml:space="preserve"> Description The LGU-MAYANTOC, through its Bids and awards committee (BAC) invites contractors registered with and classified by the PHILGEPS to apply for the eligibility and found eligible, to bid for the here under contract: 	 NAME OF PROJECT:REPAIR OF T</t>
  </si>
  <si>
    <t xml:space="preserve"> BAC RESOLUTION NO. 313-2020</t>
  </si>
  <si>
    <t xml:space="preserve"> I. Excavation,Hauling,Chipping of Concrete,Clearing &amp; lay-out. II. CHB Laying w/ Plaster Finish III. Concrete Works IV. Iron and Steel Works. V. Progress Photograph</t>
  </si>
  <si>
    <t xml:space="preserve"> 2 pail Oil 40 2 pail Oil 30</t>
  </si>
  <si>
    <t xml:space="preserve"> purified drinking water</t>
  </si>
  <si>
    <t xml:space="preserve"> SEE SPECIFICATIONS</t>
  </si>
  <si>
    <t xml:space="preserve"> 3 UNITS PORTABLE AIR CONDITIONER</t>
  </si>
  <si>
    <t xml:space="preserve"> Procurement of Meals and Snacks</t>
  </si>
  <si>
    <t xml:space="preserve"> SUPPLY AND DELIVERY OF MATERIALS AND SUPPLIES FOR THE  INSTALLATION OF SPORTS FACILITIES  1.	The MUNICIPALITY OF BAYABAS, through the 20% Development  Fund 2020 and its Continuing Appropriation intends to apply the sum of One Hundred Sixteen Thousand Thre</t>
  </si>
  <si>
    <t xml:space="preserve"> Republic of the Philippines					 PROVINCE OF SOUTHERN LEYTE					 Maasin City					 	Standard Form No.: SF-GOOD-60			 Project Reference No.141	 	Revised on:  May 24, 2004			 Name of the Project:  _______	 	Standard Form Title:                               </t>
  </si>
  <si>
    <t xml:space="preserve"> 220	box	Face mask, earloop, 50s, premium series, medical grade, bacterial filtration efficiency (BFE) is greater than 99%, 3-ply, latex free, fluid resistant	 ₱604.00   200	box	Gloves, nitrile latex, blue, large, powder-free 100s	 ₱250.50  200	box	Gloves,</t>
  </si>
  <si>
    <t xml:space="preserve"> PHIVIDEC INDUSTRIAL AUTHORITY	 MCT Complex, Tagoloan, Mis. Oriental	 Tel Nos: (08822) 740245, (088) 5670-315	 email add:  	bacsec@mail.piamo.gov.ph 	pia.bacsec@gmail.com 	 Standard Form Number: SF-GOOD-60	 Revised on: May 24, 2004	Oct-16 Standard Form Tit</t>
  </si>
  <si>
    <t xml:space="preserve"> 1.	420	bags.	Cement 2.	240	lgth.	DRB, 12mmDiax6m 3.	10	pcs.	Hacksaw Blade 4.	15	kls.	Tie Wire GI #16” 5.	12	kls.	CW Nails #4”</t>
  </si>
  <si>
    <t xml:space="preserve"> INVITATION TO BID FOR THE  SUPPLY &amp; DELIVERY OF ID CARD PRINTER &amp; ACCESSORIES OFFICE OF THE MUNICIPAL MAYOR, BUENAVISTA, QUEZON 1.	The Municipal Government of Buenavista, Quezon, through its General Fund intends to apply the sum of One Hundred Eighty One </t>
  </si>
  <si>
    <t xml:space="preserve"> Provision of labor, materials, equipment and other incidentals needed for the Rehab &amp; Enhancement of Veterinary Laboratory at  DA-INREC,Dingras, Ilocos Norte  	 	Provision of labor, materials, equipment and other incidentals needed for the Rehab &amp; Enhance</t>
  </si>
  <si>
    <t xml:space="preserve"> Standard Form Number: SFGOOD60 Revised on: May 24, 2004 Standard Form Title: Request for Quotation Date: June 29, 2020  Quotation No. 20-06-0388 PR No. 20-06-782 __________________________ Company Name _________________________________ Address         Ple</t>
  </si>
  <si>
    <t xml:space="preserve"> 1	20	BOT	Furniture Polisher Spray 2	30	PC	Bottle dispenser, 500ml 3	5	GAL	Muriatic Acid 4	20	PC	Broom Tambo 5	10	PC	Mop handle, wood 6	25	PC	Doormat/Floor Mat 7	10	PC	Hand Brush 8	15	PC	Plastic Toilet / Bowl Brush 9	10	PC	Scrubbing pad 10	15	BAR	Bar soap </t>
  </si>
  <si>
    <t xml:space="preserve"> Invitation to Bid CY 2020 QRF REPAIR AND REHABILITATION OF CLASSROOMS LOT 5 – LARRAZABAL ES, NAVAL DISTRICT 3  (2020 QRF REPAIR – Lot 5-7CL) 1.	The DepEd, SDO-Biliran through the CY 2020 QRF – Repair and Rehabilitation of Classrooms  intends to apply the </t>
  </si>
  <si>
    <t xml:space="preserve"> The Pamantasan ng Lungsod ng Maynila (PLM), through the Procurement Office (PO), will undertake a Small Value Procurement for the "Purchase of Wooden Frame for A4 size Certificates and Brass Medals" in accordance with Section 53.9 of the IRR of R.A. 9184.</t>
  </si>
  <si>
    <t xml:space="preserve"> Further information are provided in the Request for Quotation (RFQ). RFQ is available in electronic copy (by requesting through e-mail at bac.cabuyao@gmail.com) and in printed copy (at the Office of the Bids and Awards Committee). For queries, call us at </t>
  </si>
  <si>
    <t xml:space="preserve"> INVITATION TO BID SUPPLY AND DELIVERY OF 68 UNITS TRIBIKE WITH ACCESSORIES – 2ND BIDDING 1.	The Local Government Unit of Cabadbaran City through the GENERAL FUND (CAPITAL OUTLAY-EPMD) intends to apply the sum of ONE MILLION FOUR HUNDRED NINETY-SIX THOUSAN</t>
  </si>
  <si>
    <t xml:space="preserve"> Procurement of Rice</t>
  </si>
  <si>
    <t xml:space="preserve"> 1 lot Acrylic Divider Thickness: 3mm Height: 70cm Width: 60cm</t>
  </si>
  <si>
    <t xml:space="preserve"> 58	cover	Dinner- pork sinigang, vegetables, rice and dessert	 ₱250.00  58	pax	Lodging	 ₱450.00  116	cover	Breakfast- longganisa, scrambled egg, fried rice, banana, brewed coffee	 ₱150.00  116	cover	AM Snacks- sanwich &amp; buko juice	 ₱100.00  116	cover	Lunch</t>
  </si>
  <si>
    <t xml:space="preserve"> Brand Approved Budget Contract per Item Name and Description of the Article / sUnitQTY.ITEM NO. P.R. No. :City Engineer's Office 2020-03-1590 Date: 03/02/2020 Date: 17,280.002"X2"X12" gemelina - 90 pcsbd.ft.3601 12,723.205mm marine plywoodsht282 161.301" </t>
  </si>
  <si>
    <t xml:space="preserve"> Invitation to Bid CY 2020 QRF REPAIR AND REHABILITATION OF CLASSROOMS LOT 6 – CALUMPANG ES, NAVAL DISTRICT 2  (2020 QRF REPAIR – Lot 6-3CL) 1.	The DepEd, SDO-Biliran through the CY 2020 QRF – Repair and Rehabilitation of Classrooms  intends to apply the s</t>
  </si>
  <si>
    <t xml:space="preserve"> The City Government of Santiago invites interested parties to submit price quotation for the “SUPPLY AND DELIVERY OF GROCERY ITEMS AND VARIOUS SUPPLIES FOR SUPPLEMENTAL FEEDING FOR PREGNANT WOMEN“ City Hall, Santiago City, details as follows: ABC: Php 861</t>
  </si>
  <si>
    <t xml:space="preserve"> 1	D5LR 1000ML	50	BTL 2	D5LR 500ML	50	BTL 3	STERILE WATER FOR INJECTION 100ML	10	BTL 4	ALCHOL 70% ISOPROPHYL 500ML	60	BTL 5	BETADINE ANTISEPTIC SOL 10%	4	GAL 6	GOLVES STERILE 50s	30	BOX 7	GLOVES (CLEAN, EXAMINATION 100s)	30	BOX 8	SYRINGE (TUBERLIN) 1ML 100</t>
  </si>
  <si>
    <t xml:space="preserve"> Water Treatment Facility (including installation)</t>
  </si>
  <si>
    <t xml:space="preserve"> ITEM NO. P.R. No. :City Engineer's Office 2020-03-1591 Date: 03/02/2020 Date: 13,632.00 5mm Marine Plywoodsheets301 6,720.0035 pcs - 2"x2"x12' gemelina lumberbd.ft.1402 203.554" CW Nailskg33 93.002 1/2" CW Nialskg14 161.301" CW Nailskls.25 5,222.000.90m x</t>
  </si>
  <si>
    <t xml:space="preserve"> Standard Form Number: SFGOOD60 Revised on: May 24, 2004 Standard Form Title: Request for Quotation Date: June 29, 2020  Quotation No. 20-06-0381 PR No. 20-06-771 __________________________ Company Name _________________________________ Address         Ple</t>
  </si>
  <si>
    <t xml:space="preserve"> ITEM OF WORKS TO BE DONE INCLUDES: -Site Preparation (leveling, excavation) -Reinforcing Steel Works -Formworks -Reinforced Concrete Canal -Structural Concrete (Parapet wall included) -Grouted Riprap -Concrete Shoulder</t>
  </si>
  <si>
    <t xml:space="preserve"> SUPPLY AND DELIVERY OF MATERIALS AND SUPPLIES FOR THE  ESTABLISHMENT OF SANKTWARYO PARK/MANGROVE WALKWAYS AND COTTAGE  1.	The MUNICIPALITY OF BAYABAS, through the 20% Development  Fund 2020 intends to apply the sum of Two Hundred Fifty Four Thousand Seven</t>
  </si>
  <si>
    <t xml:space="preserve"> The City Government of Santiago invites interested parties to submit price quotation for the “SUPPLY AND DELIVERY OF GROCERY ITEMS AND VARIOUS SUPPLIES FOR RECOVERY FEEDING FOR ALL MALNOURISHED CHILDREN DURING PANDEMIC CRISIS“ City Hall, Santiago City, de</t>
  </si>
  <si>
    <t xml:space="preserve"> Request for Expression of Interest  REI-SSS-Consulting-2020-003 CONDUCT OF THE 2020 NATIONWIDE DETAILED SURVEY FOR SSS   1.	The Social Security System (SSS), through the Approved 2020 Corporate Operating Budget - MOOE with Code (PAP) 174 of the 2020 Appro</t>
  </si>
  <si>
    <t xml:space="preserve"> Repair &amp; Maintenance ICT Equipment</t>
  </si>
  <si>
    <t xml:space="preserve"> Republic of the Philippines Department of Education Region VI – Western Visayas DIVISION OF AKLAN Numancia, Aklan 	 REQUEST FOR QUOTATION (RFQ) Project No: DepED-RO6-D1-PFA-047-2020 The Department of Education Division of Aklan, through its Bids and Award</t>
  </si>
  <si>
    <t xml:space="preserve"> Republic of the Philippines Region XII Province of Cotabato Municipality of Makilala OFFICE OF THE BIDS AND AWARD COMMITTEE REQUEST FOR QUOTATION (Shopping) Date: 	June 30, 2020 Shopping #: 2020-06-133 The MUNICIPALITY OF MAKILALA through its Bids and Awa</t>
  </si>
  <si>
    <t xml:space="preserve"> Item	Quantity	Unit	ARTICLES					Estimated Unit Cost 								 1	1000	pcs	 DVD-RW (for CT Scan and Mamo use)					 50.00  2	250	pcs	 Egg Chest Electrodes					 20.00  3	300	pack	 Folded Hand Towel					 60.00</t>
  </si>
  <si>
    <t xml:space="preserve"> ITEM          DESCRIPTION                        QTY.             UNIT I.              CLEARING                            47.85            SQ.M II.             CONCRETING                        18                 METERS</t>
  </si>
  <si>
    <t xml:space="preserve"> 1	pc	4x4 Membrane Keypad			 100.00  1	pc	Smoke Sensor MQ2			 200.00  1	pc	Smoke Alarm			 1,000.00  1	pc	Temperature and Humidity Sensor			 100.00  1	pc	Smoke portable machine			 3,000.00  4	pcs	Digital Solenoid Valve			 300.00  1	pc	Soldering Iron tips Cl</t>
  </si>
  <si>
    <t xml:space="preserve"> ABC: 89,950.00                                                                              Quantity          Unit Cost        Total Cost                            Kalayaan: 1st Batch:  10-14 Aug. 2020 (5 days) No. of pax : 25                            </t>
  </si>
  <si>
    <t xml:space="preserve"> ITEMS OF WORK INCLUDES: - SITE PREPARATION (LEVELING, EXCAVATION) - FORMWORKS - CONCRETE FOOT TRAIL - HANDRAILS - REPAIR OF HANGING BRIDGE - MANUAL HAULING</t>
  </si>
  <si>
    <t xml:space="preserve"> INVITATION TO BID SUPPLY AND DELIVERY OF GARBAGE BINS FOR WASTE SEGREGATION / DISPOSAL PROGRAM – 2ND BIDDING 1.	The Local Government Unit of Cabadbaran City through the GENERAL FUND intends to apply the sum of ONE MILLION PESOS ONLY (P 1,000,000.00) being</t>
  </si>
  <si>
    <t xml:space="preserve"> 3 rd quarter Supplies and Materials for ORD use</t>
  </si>
  <si>
    <t xml:space="preserve"> Invitation to Bid for CONSTRUCTIONOF POWER HOUSE WITH TRANSFORMER PAD  ITB No.: 2020-004 1.	The DOH-Treatment and Rehabilitation Center-Bataan, through the Trust Receipt from DDB intends to apply the sum of Four Million Three Hundred Ninety-One Thousand P</t>
  </si>
  <si>
    <t xml:space="preserve"> INVITATION TO BID FOR THE  SUPPLY &amp; DELIVERY OF OVEN FOR URARO COOKIES PRODUCTION OFFICE OF THE MUNICIPAL MAYOR, BUENAVISTA, QUEZON 1.	The Municipal Government of Buenavista, Quezon, through its 2019 20% Development Fund – Livelihood Program  intends to a</t>
  </si>
  <si>
    <t xml:space="preserve"> Rehabilitation, Modification and Improvement of Villamor Campus Covered Court 1.	The Philippine State College of Aeronautics, through the Corporate Budget for the contract approved by governing Boards, intends to apply the sum of Five Million Pesos (PhP 5</t>
  </si>
  <si>
    <t xml:space="preserve"> 1	2	CAN	Solvent 100 cc/can 2	10	TUB	Silicon Sealant clear 3	5	PC	4" PVC Wye 4	5	PC	4" PVC Elbow 45 5	15	Cu	Sand, washed 6	15	PC	4" PVC Pipes (orange) 7	2	RL	Heat Insulator 3/4" 8	2	PC	Steel Matting 1/8" 9	1000	PC	Concrete Hollow Blocks 6" 10	5	PC	4" PVC E</t>
  </si>
  <si>
    <t xml:space="preserve"> Supply and Delivery of Various Office Supplies for the Office of the Municipal Treasurer</t>
  </si>
  <si>
    <t xml:space="preserve"> (ITB-28-2020) REQUEST TO SUBMIT QUOTATION OR PROPOSAL FOR THE VIDEO PRODUCTION OF DA-RFO 5 BANNER PROGRAM FOR INFORMATION ADVOCACY/CAMPAIGN AT APPROVED BUDGET FOR THE CONTRACT AMOUNTING TO THREE HUNDRED THOUSAND PESOS (PHP300,000.00) PURSUANT TO ALTERNATI</t>
  </si>
  <si>
    <t xml:space="preserve"> Republic of the Philippnes				 PROVINCE OF APAYAO	PROVINCE OF APAYAO			 Provincial Government Center	Provincial Government Center, San Isidro Sur			 San Isidro Sur, Luna, Apayao	LUNA, APAYAO			 				 PROVINCIAL BIDS AND AWARD COMMITTEE-INFRA				 				 INVIT</t>
  </si>
  <si>
    <t xml:space="preserve"> Republic of the Philippines Region XII Province of Cotabato Municipality of Makilala OFFICE OF THE BIDS AND AWARD COMMITTEE REQUEST FOR QUOTATION (Shopping) Date: 	June 30, 2020 Shopping #: 2020-06-124 The MUNICIPALITY OF MAKILALA through its Bids and Awa</t>
  </si>
  <si>
    <t xml:space="preserve"> REQUEST FOR QUOTATIONS The Civil Aviation Authority of the Philippines – Area VIII, through its Canvass and Contract Committee will conduct the Alternative Method of Procurement of SHOPPING – A under Section 52.1 (b) of the 2016 Revised IRR of RA 9184 and</t>
  </si>
  <si>
    <t xml:space="preserve"> SDR Pipes</t>
  </si>
  <si>
    <t xml:space="preserve"> 2	units	"Vehicle Rentals 1. Seating Capacity: 12 2.Type: vehicle for off-road 3.Inclusive of fuel, toll fee and driver's meal and accommodation 4. Inclusive of comprehensive insurance coverage (CIC),  and Auto Passenger Insurance Coverage (APIC). "	 ₱50,0</t>
  </si>
  <si>
    <t xml:space="preserve"> 1. 192 Bd.ft. Lumber, 2x4x12 (24pcs.)</t>
  </si>
  <si>
    <t xml:space="preserve"> Republic of the Philippines Province of Leyte Municipality of Kananga BIDS AND AWARDS COMMITTEE REQUEST FOR QUOTATION The Municipality of Kananga, through its Bids and Awards Committee, will undertake a Small Value for the Procurement of Supplies and Mate</t>
  </si>
  <si>
    <t xml:space="preserve"> Republic of the Philippines					 Province of Bukidnon					 Municipality of Lantapan					 					 INVITATION TO BID FOR THE CONSTRUCTION OF POTABLE WATER					 SYSTEM (PHASE 2) AT BASAC &amp; KIBANGAY (1ST BID)					 					 1	The Local Government Unit of Lantapan t</t>
  </si>
  <si>
    <t xml:space="preserve"> PROCUREMENT TERMS &amp; CONDITIONS					 1	The Total Approved Budget for the Contract (ABC) is Php 49,360.00				 2	Price quotation should be inclusive of tax obligations.				 3	Delivery period is 10 calendar days from the receipt of NOA &amp; PO.				 4	If awarded </t>
  </si>
  <si>
    <t xml:space="preserve"> Environment Month Polo  T-shirt	130	Pcs. *Summary of Sizes*		 Male Size:		 Large =             34		 Medium =       41		 Small =             5		 XL =                18		 XXL =              3		  		 Female Size: 		 XL =                2		 Large =            </t>
  </si>
  <si>
    <t xml:space="preserve"> PREPAID CELLULAR CARDS 72 PIECE GLOBE 300 159 PIECE GLOBE 100 16 PIECE SMART 300 109 PIECE SMART 100 16 PIECE TM 300 64 PIECE TM 10 30 PIECE TNT 100 18 PIECE SUN 200</t>
  </si>
  <si>
    <t xml:space="preserve"> Reference No. PR # 20-06-0782 PRICE QUOTATION FORM (BID FORM) Sealed Bids shall be dropped in the BIDDERS BOX on or before 2:00 P.M.  July 03, 2020    placed at the office of the Chairman of the College BAC. Thereafter, the Bidder's Box shall be sealed un</t>
  </si>
  <si>
    <t xml:space="preserve"> 66	cover	Dinner- pork sinigang, vegetables, rice and dessert	 ₱250.00  66	pax	Lodging	 ₱450.00  132	cover	Breakfast- longganisa, scrambled egg, fried rice, banana, brewed coffee	 ₱150.00  132	cover	AM Snacks- sanwich &amp; buko juice	 ₱100.00  132	cover	Lunch</t>
  </si>
  <si>
    <t xml:space="preserve"> INVITATION TO BID FOR THE PROVISION OF LABOR, MATERIALS, EQUIPMENT AND OTHER INCIDENTALS NEEDED FOR THE IMPROVEMENT OF BUBUOS CAPURICTAN DIVERSION DAM (DD) AT BRGY. BUBUOS, SOLSONA, ILOCOS NORTE   1. The Department of Agriculture Regional Field Office 1 (</t>
  </si>
  <si>
    <t xml:space="preserve"> REVISED BETA EXAMINATION (RBE), 25 PCS/PACK THURSTONE INTEREST SCHEDULE (TIS), 25 PCS/PACK Emergency Purchase of Psychological Testing Materials for the used of 100 applicants at NDCP. REQUESTED BY: C, HR Fax your Price Quotation at Telefax 927-6426 local</t>
  </si>
  <si>
    <t xml:space="preserve"> SUPPLY AND DELIVERY OF MATERIALS AND SUPPLIES FOR THE  IMPROVEMENT OF OVERLAND TERMINAL (TRICYCLE PARKING AREA) 1.	The MUNICIPALITY OF BAYABAS, through the 20% Development  Fund 2020 intends to apply the sum of One Hundred Eighty Six Thousand Seven Hundre</t>
  </si>
  <si>
    <t xml:space="preserve"> Republic of the Philippines Province of Misamis Occidental MUNICIPALITY OF CALAMBA INVITATION TO BID FOR PURCHASE OF ONE (1) UNIT BRAND NEW 6 WHEELERS GARBAGE COMPACTOR  	June 30, 2020 1.	The Municipality of Calamba, Misamis Occidental, through the 2019  </t>
  </si>
  <si>
    <t xml:space="preserve"> desktop computer i5 processor: inter core i7 (TM)15-7400 CPU @ 3GHz 3.00 GHz RAM: 4 GB (3.87 GB usable   System type: 64 bit  OS x 64 based processor</t>
  </si>
  <si>
    <t xml:space="preserve"> Mailing and courier services for BIR, RR12 Bacolod City for the period July 1, 2020 to December 31, 2020.</t>
  </si>
  <si>
    <t xml:space="preserve"> 6 pcs Sledge hammer, 12lbs(HD) w/ handle 6 pcs Sledge hammer, 8lbs, (HD) w/ handle</t>
  </si>
  <si>
    <t xml:space="preserve"> Supply and Delivery of Rice</t>
  </si>
  <si>
    <t xml:space="preserve"> Republic of the Philippines SILAY CITY GOVERNMENT Zamora Street Silay City, Negros Occidental Telefax No. (034) 495-3746 	Control  Reference Number : GOODS#0131, ITB#0134,  PR#0413: SCG-2020 Name of the Project: Purchase of BRAND NEW GARBAGE COMPACTOR TRU</t>
  </si>
  <si>
    <t xml:space="preserve"> Supply and Delivery of Mechanical Fittings and Plumbing Materials for the 2,000Meters Pipeline Extension       at Baragay Bayasong, Pilar</t>
  </si>
  <si>
    <t xml:space="preserve"> Part A	General Requirements							 1	Mobilization/Demobilization						1	lot 2	Permits 					                        	1	lot 3	Temporary Facilities						        3	month 								 Part B	DEMOLITION WORKS							 1	Removal of Ceiling						  32.09	sq.m 2	Removal </t>
  </si>
  <si>
    <t xml:space="preserve"> Invitation to Bid CY 2020 QRF REPAIR AND REHABILITATION OF CLASSROOMS LOT 7 – KAWAYAN NHS, KAWAYAN DISTRICT 1  (2020 QRF REPAIR – Lot 7-17CL) 1.	The DepEd, SDO-Biliran through the CY 2020 QRF – Repair and Rehabilitation of Classrooms  intends to apply the</t>
  </si>
  <si>
    <t xml:space="preserve"> 1	Lot	Supply of labor and materials in the Renovation of Comfort Room and Pantry at Registrar's Office, G/F Admin Building. 			 99,700.00  		 			 		Note: Please see attached Scope Work and  Working Drawings sheets A1 to  A6 P1 and E1..			 		 	 		 		Estima</t>
  </si>
  <si>
    <t xml:space="preserve"> The San Francisco Water District through Bid and Awards Committee invite suppliers to quote for:</t>
  </si>
  <si>
    <t xml:space="preserve"> INVITATION TO BID: IMPROVEMENT OF EXISTING OLD BARANGAY MULTI-PURPOSE HALL (PHASE 1) Villaros, Bagabag, Nueva Vizcaya 1.	The Local Government Unit of Barangay Villaros intends to apply the sum of ONE HUNDRED  THOUSAND PESOS being the approved Budget for t</t>
  </si>
  <si>
    <t xml:space="preserve"> Republic of the Philippines						 City Government of Davao						 						 INVITATION TO BID						 for Infrastructure Projects B14-2020						 						 The City Government of Davao now invites bidders for the project/s under B14-2020 as listed below.   The pros</t>
  </si>
  <si>
    <t xml:space="preserve"> 6	units	Service Vehicle 		Specification 		Engine Type: 4 Cylinder in-line Diesel Engine w/ Turbo Intercooler 		Displacement: 1900cc 		Max, Output: 150/3600 (PS/RPM) 		Max, Torque: 350/1800-2600 (kg-m/rpm) 		Fuel System: 6 Speed Automatic Transmission 		Fu</t>
  </si>
  <si>
    <t xml:space="preserve"> two laptop</t>
  </si>
  <si>
    <t xml:space="preserve"> PROCUREMENT TERMS &amp; CONDITIONS					 1	The Total Approved Budget for the Contract (ABC) is Php 24,926.00				 2	Price quotation should be inclusive of tax obligations.				 3	Delivery period is 10 calendar days from the receipt of NOA &amp; PO.				 4	If awarded </t>
  </si>
  <si>
    <t xml:space="preserve"> Labor and Materials for the Construction of Toilet for Disable (Female Rest Room with PWD Railings) at Municipal Hall San Nicolas Poblacion, Concepcion, Tarlac Approved Budget for the Contract : P 280,795.68 Source of Fund : MOOE 2020 - Municipal Mayor Th</t>
  </si>
  <si>
    <t xml:space="preserve"> Supply and Delivery of Airconditioning Unit for the Municipal Circuit Trial Court</t>
  </si>
  <si>
    <t xml:space="preserve"> 1 JOB ORDER CATERING SERVICES FOR ONE ACTIVITY      1.) One Meal and 1 snack for 150 heads (inside the venue)    67,500.00    2.) One meal for 100 heads (outside the venue)    12,500.00</t>
  </si>
  <si>
    <t xml:space="preserve"> INVITATION TO BID FOR THE  SUPPLY/DELIVERY &amp; REPRODUCTION OF DISTANCE LEARNING MATERIALS DEPED-BUENAVISTA DISTRICT I &amp; II, BUENAVISTA, QUEZON 1.	The Municipal Government of Buenavista, Quezon, through its Special Education Fund intends to apply the sum of</t>
  </si>
  <si>
    <t xml:space="preserve"> 70	cover	Dinner- pork sinigang, vegetables, rice and dessert	 ₱250.00  70	pax	Lodging	 ₱450.00  140	cover	Breakfast- longganisa, scrambled egg, fried rice, banana, brewed coffee	 ₱150.00  140	cover	AM Snacks- sanwich &amp; buko juice	 ₱100.00  140	cover	Lunch</t>
  </si>
  <si>
    <t xml:space="preserve"> 25	bot.	Cefuromaxime 250mg/5ml	 25	box	Cifixime 200mg Tab 10's	 25	bot.	Co-Amoxiclav Susp. 250mg/62.5mg/5ml	 25	box	Citirizine Tab 10mg	 144	bot.	Salbutamol Syrup	 25	box	Salbutamol Tab 10mg 100's	 12	box	Lagundi 500mg 100's	 22	box	Sambong	 25	box	Mefena</t>
  </si>
  <si>
    <t xml:space="preserve"> Republic of the Philippines Province of Agusan del Norte Municipality of Nasipit BIDS AND AWARDS COMMITTEE June 29, 2020 REQUEST for QUOTATION The Local Government Unit of Nasipit, through its Bids and Awards Committee (BAC) will undertake a Small Value P</t>
  </si>
  <si>
    <t xml:space="preserve"> 20% EDF CY 2020 Improvement of Multi-Purpose Hall - P 300,000.00 Schedule of Activities 1. Submission &amp; Receipt of Bids / Bid Opening - July 21, 2020 @ 10:00 AM 2. Bid Evaluation - July 22, 2020 3. Post Qualification - July 23, 2020 4. Approval of Resolut</t>
  </si>
  <si>
    <t xml:space="preserve"> 7 piece Loyalty rings, 10K</t>
  </si>
  <si>
    <t xml:space="preserve"> (ITB-29-2020) REQUEST TO SUBMIT QUOTATION OR PROPOSAL FOR THE LABOR AND MATERIALS FOR THE REPAIR OF 4-UNITS GOAT HOUSE AT MBS, ASID MASBATE AT APPROVED BUDGET FOR THE CONTRACT AMOUNTING TO ONE HUNDRED EIGHTY THOUSAND PESOS (PHP180,000.00) PURSUANT TO ALTE</t>
  </si>
  <si>
    <t xml:space="preserve"> 75	pcs	Marine Plywood, 3/4" thk x 4' x 8'			 1,400.00  40	pcs	Marine Plywood, 12mm thk x 1.2 x 2.4			 900.00  60	pcs	Marine Plywood, 5mm thk x 1.2 x 2.4			 450.00  30	pcs	Good Lumber, 2" x 2" x 8'			 110.00  20	pcs	Good Lumber, 2" x 6" x 8'			 320.00  10	</t>
  </si>
  <si>
    <t xml:space="preserve"> Procurement of Vehicle Car Accessories    RFQ No. 440</t>
  </si>
  <si>
    <t xml:space="preserve"> PROCUREMENT TERMS &amp; CONDITIONS					 1	The Total Approved Budget for the Contract (ABC) is Php 19,200.00				 2	Price quotation should be inclusive of tax obligations.				 3	Delivery period is 10 calendar days from the receipt of NOA &amp; PO.				 4	If awarded </t>
  </si>
  <si>
    <t xml:space="preserve"> ITEM NO. P.R. No. :City Engineer's Office 2020-02-1455 Date: 02/06/2020 Date: 30,380.00Portland Cementbag981 6,000.00washed coarsed sandcu m52 2,400.00washed fine sandcu m23 13,000.00washed gravelcu m104 48,960.0012mm x 6m deformed barlength1705 507.0016m</t>
  </si>
  <si>
    <t xml:space="preserve"> SUPPLY AND DELIVERY OF MATERIALS AND SUPPLIES FOR THE  IMPROVEMENT OF PUBLIC MARKET 1.	The MUNICIPALITY OF BAYABAS, through the 20% Development  Fund 2020 intends to apply the sum of Two  Hundred Fifteen Thousand Four Hundred Forty Two Pesos (Php 215,442.</t>
  </si>
  <si>
    <t xml:space="preserve"> Procurement of Workbooks for Day Care Children</t>
  </si>
  <si>
    <t xml:space="preserve"> Proposed Replacement of Roof and Gutter of Building – B 1.	The Philippine State College of Aeronautics, through the Corporate Budget for the contract approved by governing Boards, intends to apply the sum of Two Million Five Hundred Thousand Pesos (PhP 2,</t>
  </si>
  <si>
    <t xml:space="preserve"> 1,100   pcs.    CHB    130   bag    Portland Cement     12    cu.m  washed sand      6     cu.m  washed gravel     42    cu.m  River mixed (backfilling)   122    lghts  #10mm dia x 6.00m RSB      2     kls     #16 G.I tie wire</t>
  </si>
  <si>
    <t xml:space="preserve"> RESOURCE PERSON	5	job DAYS                                 AMOUNT/HOUR		 5                                         1500/hr*8hours		 Please see attached TOR		 XXXXXXXXXXXXXXXXXXXXXXXXXXXXXXXXXXXXXXXX</t>
  </si>
  <si>
    <t xml:space="preserve"> materials and supplies for barangay.</t>
  </si>
  <si>
    <t xml:space="preserve"> REQUEST FOR QUOTATION Supply and Delivery of Materials for Improvement/Upgrading of  New Academic Building (2nd Floor)  in MinSCAT Calapan Campus The Mindoro State College of Agriculture and Technology (MinSCAT) through the Bids and Awards Committee invit</t>
  </si>
  <si>
    <t xml:space="preserve"> Procurement of Office Equipment</t>
  </si>
  <si>
    <t xml:space="preserve"> Republic of the Philippines Province of Albay Municipality of Rapu-Rapu Barangay Manila INVITATION TO BID FOR THE REHABILITATION OF SEAWALL 1.	The Barangay Local Government Unit of Manila, Rapu-Rapu, Albay, through the Budget of the contract approved by t</t>
  </si>
  <si>
    <t xml:space="preserve"> REQUEST FOR QUOTATION											 											 The Clark Development Corporation, through its  Purchasing Division (PD), invites suppliers/ manufacturers/contractors to send proposal for the hereunder project :											 											 											 Name of Pro</t>
  </si>
  <si>
    <t xml:space="preserve"> 1.) 1 LOT SUPPLY OF LABOR AND MATERIALS FOR THE CONSTRUCTION OF ATM BOOTH. * LOCATION : SAN DIONISIO LGU, SPECIFICALLY AT THE MUNIPALITY BUILDING PREMISES, J.M BASA STREET SAN DIONISIO, ILOILO. X X X X X X X X X X X X X X X X X X X X  NOTHING FOLLOWS X X </t>
  </si>
  <si>
    <t xml:space="preserve"> REQUEST FOR QUOTATION 						       RFQ No. A-019-2020 _____________________________ Name of Dealer/Supplier/Distributor _____________________________ Business Address 	Please quote your lowest price on the item/s listed below, stating the shortest time of</t>
  </si>
  <si>
    <t xml:space="preserve"> Occupational Safety and Health Program Removal of cables and steel mattings Installation of new cables Fabrication/Installation of new steel mattings Concrete Works</t>
  </si>
  <si>
    <t xml:space="preserve"> Forty (40) Ea, Staple Heavy Duty and 28 Other line items.</t>
  </si>
  <si>
    <t xml:space="preserve"> Republic of the Philippines Province of North Cotabato Municipality of Pres. Roxas OFFICE OF THE BIDS AND AWARDS COMMITTEE INVITATION TO BID The Local Government Unit of President Roxas, thru Bids and Awards Committee (BAC) hereby invites interested Bidde</t>
  </si>
  <si>
    <t xml:space="preserve"> 50	pcs	DSB 12mmØ x 6m			 200.00  50	pcs	DSB 10mmØ x 6m			 135.00  50	pcs	Angle Bar 3mm dia x 25mm x 6m			 300.00  20	pcs	Angle Bar 5mm dia x 25mm x 6m			 630.00  50	pcs	Square Bar 10mm x 6m 			 210.00  50	pcs	Flat Bar 3mm x 25mm x 6m			 360.00  30	pcs	G.I</t>
  </si>
  <si>
    <t xml:space="preserve"> 15 rims long bond paper 10 rims bond paper A4 15 rims short bond paper 150 pcs. folder long 85 pcs. folder short 4 tube ball pen 30 pcs. correction tape 5 pcs. record book 500 leaves 5 pcs. record book 300 leaves 5 pcs. record book 200 leaves 2 box staple</t>
  </si>
  <si>
    <t xml:space="preserve"> Please see "associated component" for the specifications Tablet - 12 units</t>
  </si>
  <si>
    <t xml:space="preserve"> 1	UNIT	COOLING CAPACITY: 37,980J/HR		 		POWER SUPPLY: 3530 WATTS		 		REFRIGERANT :R22; ENERGY EFFICIENCY		 		RATIO(EER) : 10.8 KJ/W-HR		 		SOUND LEVEL @LOW:54DBA INDOOR UNIT		 		NET DIMENSION :(WxDxH) 508x1806x288mm		 		PACKAGING DIMENSION:( WxDxH) 590x19</t>
  </si>
  <si>
    <t xml:space="preserve"> 1.	The Department of Agriculture (DA) – Central Office, through the GAA CY2020 intends to apply the sum of One Million Nine Hundred Twenty-One Thousand Pesos (PhP1,921,000.00) being the Approved Budget for the Contract (ABC) to payments under the contract</t>
  </si>
  <si>
    <t xml:space="preserve"> 102 Sub grade Preparation,200 Aggregate Sub-Base Coarse</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</si>
  <si>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</si>
  <si>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Republic of the Philippines Department of Agriculture BUREAU OF PLANT INDUSTRY 692 San Andres Street Malate, Manila, Philippines E-mail Address: bpibac@yahoo.com Tel. No.: (02) 8526-7859, (02) 8691-0736 | Website: bpi.da.gov.ph Request for Quotation						</t>
  </si>
  <si>
    <t xml:space="preserve"> The Philippine Nuclear Research Institute (PNRI), through the Bids and Awards Committee (BAC), invites interested bidders to bid for hereunder project: Name of Project: Upgrading of NART Building (CY 2020) 	 Location of the Project	PNRI Compound, Commonwe</t>
  </si>
  <si>
    <t xml:space="preserve"> 1. The Provincial Government of Misamis Occidental, through the General Funds 20203 intends to apply the sum of One Million Nine Hundred Ninety-eight Thousand Two Hundred Forty-seven Pesos and 49/100 (Php. 1,998,247.49) being the Approved Budget for the C</t>
  </si>
  <si>
    <t xml:space="preserve"> Repair &amp; Maintenance of Buildings</t>
  </si>
  <si>
    <t xml:space="preserve"> Vicente Sotto Memorial Medical Center B Rodriguez Street, Cebu City INVITATION TO BID The Vicente Sotto Memorial Medical Center, through its Bids and Awards Committee (BAC) invites contractors   suppliers, manufacturers to bid for the hereunder project.  </t>
  </si>
  <si>
    <t xml:space="preserve"> Republic of the Philippines PROVINCE OF ALBAY 				   Municipality of Rapu-Rapu                                                          Barangay Binosawan Invitation to Bid for  Construction of Break Water 1.	The Barangay Local Government Units of Binosaw</t>
  </si>
  <si>
    <t xml:space="preserve"> Request for Quotation Under Emergency Cases for the Supply and Delivery of Trucking Services for the Intra and Inter-Provincial Transfer of Grains in NFA Occidental Mindoro and Mainland Palawan for the Month of July 2020</t>
  </si>
  <si>
    <t xml:space="preserve"> ITEM NO.	ITEM &amp; DESCRIPTION	 BRAND	UOM	QTY. 1	LED Road Lights 150W		Set	24 	Watt-150W, IP65, CT-2700K, Lumens-12,000LM, 40,000 HRS			 	Of operation, 3 years warranty, CE &amp; ROHs compliant, 20 years of life			 				 2	LED Road Lights 100W		Set	75 	Watt-100W,</t>
  </si>
  <si>
    <t xml:space="preserve"> 54	cover	Dinner- pork sinigang, vegetables, rice and dessert	 ₱250.00  54	pax	Lodging	 ₱450.00  108	cover	Breakfast- longganisa, scrambled egg, fried rice, banana, brewed coffee	 ₱150.00  108	cover	AM Snacks- sanwich &amp; buko juice	 ₱100.00  108	cover	Lunch</t>
  </si>
  <si>
    <t xml:space="preserve"> Five hundred (500) tab, Acetylcysteine 600 mg effervescent tab, 20's/bx and 42 Other line items.</t>
  </si>
  <si>
    <t xml:space="preserve"> Dear Sir/Madam Please quote your lowest net price/s on the item/s listed below, giving full detailed description of your offer. Submit your quotation in accordance with Item No.1 of the General Condition printed at the back, together with all samples, dra</t>
  </si>
  <si>
    <t xml:space="preserve"> 350	pcs	9W LED Bulb, 6500K, 806Lm, Daylight, E27, 1500Hrs.			 110.00  225	pcs	18W LED Flourescent Tube (T8) with LED starter			 200.00  25	pcs	6W Square recessed type slim LED panel			 400.00  25	pcs	6W Circular recessed type slim LED panel			 400.00  75	</t>
  </si>
  <si>
    <t xml:space="preserve"> 2.	Contract ID: 20EI0182 Contract Name: Construction of Evacuation Center, Barangay San Juan,  Location: Bongabong, Oriental Mindoro Brief Description: Construction of 1 unit Building.  Approved Budget for the Contract (ABC): PhP 34,740,000.00 Source of F</t>
  </si>
  <si>
    <t xml:space="preserve"> 10	pcs	Universal Diamon Cutting Disc, 4-1/2" Ø			 210.00  5	pcs	Cutting Disc for steel, 4-1/2" Ø			 80.00  15	pcs	Grinding stone, 4-1/2" Ø x 1/4" thk.			 220.00  3	pcs	Welding Helmet			 350.00  6	pcs	Welding electrode holder, 300A			 280.00  3	pairs	Weldi</t>
  </si>
  <si>
    <t xml:space="preserve"> Supply and Delivery of Medical Supplies</t>
  </si>
  <si>
    <t xml:space="preserve"> 1.	Contract ID: 20EI0181 Contract Name: Construction of Evacuation Center, Barangay Poblacion,  Location: Bulalacao, Oriental Mindoro Brief Description: Construction of 1 unit Building.  Approved Budget for the Contract (ABC): PhP 34,740,000.00 Source of </t>
  </si>
  <si>
    <t xml:space="preserve"> INVITATION TO BID FOR PROCUREMENT OF  INFANT RADIANT WARMER WITH RESUSCITATOR 1.	The Quirino Memorial Medical Center, through the SAA #2020-03-0379- HFEP CAPITAL OUTLAY intends to apply the sum of ONE MILLION FIVE HUNDRED THOUSAND PESOSONLY (PHP1,500,000.</t>
  </si>
  <si>
    <t xml:space="preserve"> Republic of the Philippines Province of Albay Municipality of Rapu-Rapu Barangay Linao INVITATION TO BID FOR THE 20% EDF CY 2020 PROJECTS 1.	The Barangay Local Government Unit of Linao, Rapu-Rapu, Albay, through the Budget for the Contract Approved by the</t>
  </si>
  <si>
    <t xml:space="preserve"> REPUBLIC OF THE PHILIPPINES CITY GOVERNMENT OF OROQUIETA BIDS AND AWARD COMMITTEE City Hall, Oroquieta City                                                                                                                       June 29, 2020                </t>
  </si>
  <si>
    <t xml:space="preserve"> INVITATION TO BID FOR PROCUREMENT OF  FLAT PANEL DETECTOR (WIRELESS) 1.	The Quirino Memorial Medical Center, through theSAA #2020-03-0379- HFEP CAPITAL OUTLAYintends to apply the sum of FIFTEEN MILLIONTWO HUNDRED THOUSAND PESOSONLY (PHP15,200,000.00) bein</t>
  </si>
  <si>
    <t xml:space="preserve"> Supply &amp; Delivery of Construction Materials for the Construction of Material Recovery Facility, Brgy. Caraudan, Janiuay, Iloilo Item Number	Description	Quantity 1	2” x 2” x 10’ Rough Lumber	170 bd.ft. 2	4” C.W Nails	4 kgs. 3	1/8” Nylon String	2 rolls 4	Po</t>
  </si>
  <si>
    <t xml:space="preserve"> Quantity	Particulars	Estimated Unit Price (Php)	Estimated. Total Amount (Php) LOT                           993,200.00.                      993,200.00 TPB needs services of an experienced ICT Company for the Virtual Event Platform to create, capture and </t>
  </si>
  <si>
    <t xml:space="preserve"> PROCUREMENT OF TONERS FOR BROTHER LASER PRINTER MODEL HL-L8360CDW</t>
  </si>
  <si>
    <t xml:space="preserve"> EPSON INK 664 BLACK EPSON INK 664 CYAN EPSON INK 664 MAGENTA EPSON INK 664 YELLOW EPSON INK 003 BLACK EPSON INK 003 CYAN EPSON INK 003 MAGENTA EPSON INK 003 YELLOW DIY MASK (COTTON) PROTECTIVE GOGGLES GARBAGE BAG ALCOHOL GLOVES GRASS CUTTER JET MATIC MOTO</t>
  </si>
  <si>
    <t xml:space="preserve"> Seventy (70) Packs, Mamon, assorted flavor, 48g, 4s and 54 Other line items.</t>
  </si>
  <si>
    <t xml:space="preserve"> ITEM NO.	ITEM &amp; DESCRIPTION	 BRAND	UOM	QTY. 1	Powder coated white alum. Frameless door W/ ½ thick clear glass H = 82 – ½’’ x W = 33 – 11/16		Pc	1 2	Powder coated white alum, fixed window w/ 6 sets of Awning type windows  H= 129’’ z W = 216’’		Set	1 3	Powd</t>
  </si>
  <si>
    <t xml:space="preserve"> FULL BOARD ACCOMMODATION 5DAYS	33	pax MEALS: Breakfast, Lunch &amp; Dinner		 Rice, 4 Viands, Side Dishes, Desserts, Fruits &amp; Drinks		 Snacks		 AM &amp; PM w/ drinks		 FUNCTION		 Can Accommodate Required Number of Pax		 Tables and Chairs		 Sound Systems		 Accesibl</t>
  </si>
  <si>
    <t xml:space="preserve"> REPUBLIC OF THE PHILIPPINES CITY GOVERNMENT OF OROQUIETA BIDS AND AWARD COMMITTEE City Hall , Oroquieta City                                                                                                                                                   </t>
  </si>
  <si>
    <t xml:space="preserve"> 12	units	Desktop Computer, Desktop PC Intel Core i7 Memory 8GB, Hard Disk 1 TB, Video Card SDDr4 2GB, Monitor 21.5", Motherboard Chipset H310, Power Supply 500w, Mouse, Keyboard and AVR			 52,500.00  3	units	Desktop PC set specifications CPU Intel Core i7</t>
  </si>
  <si>
    <t xml:space="preserve"> reproduction of learners materials supplies of ink for modules folders</t>
  </si>
  <si>
    <t xml:space="preserve"> 50	tubes	Waterproofing roof sealant, 250g			 150.00  50	sets	Cylindrical Door Knob, Brass, heavy duty			 1,100.00  50	pcs	Drawer Lock, Chrome			 70.00  10	pcs	Padlock, 40mm, heavy duty			 350.00  50	pcs	Concealed hinges, full overlay			 60.00  50	pcs	Conc</t>
  </si>
  <si>
    <t xml:space="preserve"> SCOPE OF WORKS: Excavation, Cleaning and Backfillling CHB Laying, Plastering, installation of 1.20m x 2.40m Tarpaulin signage w/ frame and stand  NOTE: Pls. See attached Plans &amp; specification</t>
  </si>
  <si>
    <t xml:space="preserve"> 1	unit	Clevenger trap (for oils lighter than water), Teflon valve, BorosilicateGlass, at least 5mL capacity, Graduated, 24/40 joints			 10,000.00  1	unit	Reversed Phase Analytical Coluimn C18 3um, size 4.6X250mm, Base Material:  High Purity ES Silica Gel,</t>
  </si>
  <si>
    <t xml:space="preserve"> 1. The Provincial Government of Misamis Occidental, through the General Funds 20203 intends to apply the sum of Two Million Two Hundred Seventy-nine Thousand Twentythree Pesos and 16/100 (Php. 2,279,023.16) being the Approved Budget for the Contract (ABC)</t>
  </si>
  <si>
    <t xml:space="preserve"> The Central Philippines State University intends to apply the sum of Twenty-five Million Nine Hundred Thirty-five Thousand Pesos only (PhP25,935,000.00) being the Approved Budget for the Contract (ABC) to payments under the contract for the Supply and Del</t>
  </si>
  <si>
    <t xml:space="preserve"> 1	bot	Hexane, anyhydrous, 95% 2L			 21,021.92  1	bot	Quercetin, ≥95% (HPLC) solid, Q4951-10g			 6,881.84  1	bot	Folin &amp; Ciocalteu's phenol reagent, F9252-500ML, 500 mL bottle			 21,661.10  1	bot	Galic acid monohydrates, ACS reagent, ≥98.0%, 100 grams, 398</t>
  </si>
  <si>
    <t xml:space="preserve"> Thirty (30) Ea, Office Athletic Uniform and 19 Other line items.</t>
  </si>
  <si>
    <t xml:space="preserve"> 4ft x 5ft TARPAULIN (Oplan Balik Eskwela)	2 PCS</t>
  </si>
  <si>
    <t xml:space="preserve"> 1 year Backup solution software Please see attached file for specifications.</t>
  </si>
  <si>
    <t xml:space="preserve"> Please quote your lowest price on the item below: 1. Airconditioning unit, split type, inverter        1 unit     *2.5HP     *Includes delivery and installation</t>
  </si>
  <si>
    <t xml:space="preserve"> Republic of the Philippines DEPARTMENT OF PUBLIC WORKS AND HIGHWAYS BATANGAS II  DISTRICT ENGINEERING OFFICE REGIONAL OFFICE IV-A Kumintang Ilaya, Batangas City INVITATION TO BID For Local Infrastructure Program – Construction of the Lobo Municipal Hall P</t>
  </si>
  <si>
    <t xml:space="preserve"> The Department of Agriculture invites interested suppliers to submit quotations/proposals for the hereunder requirement: IT Supplies (2nd Quarter FY 2020) 			 8	Cart	HP Toner 202A - Black	Php36,000.00		 3	Cart	HP Toner 202A - Cyan	Php15,000.00		 3	Cart	HP</t>
  </si>
  <si>
    <t xml:space="preserve"> 1	unit	PHOTOCOPIER			 82,000.00  		COPIER SPECS:			 		Printing and Copying Speed:   A4 ukp to 22 ppm, A3 up to 8 ppm			 		Printing System:   Laser			 		Paper Feeder:   Max. 1,350 sheets			 		Multi-bypass:   100 sheets			 		Power:   220-240V, 50/60Hz			 		</t>
  </si>
  <si>
    <t xml:space="preserve"> Supply &amp;Delivery of Materials for the Construction of Electric Transformer Pad and Installation of Electrical Lines, Municipal Building, Janiuay, Iloilo ITEM NO.	ITEM &amp; DESCRIPTION						QTY 1	#16 Tie Wire						9 kgs. 2	#6013 Welding Rod						1 pc. 3	1 1/2</t>
  </si>
  <si>
    <t xml:space="preserve"> Twenty nine (29) set, Dress Blue and Dress White</t>
  </si>
  <si>
    <t xml:space="preserve"> Supply and Delivery of Laboratory Supplies</t>
  </si>
  <si>
    <t xml:space="preserve"> The Philippine Nuclear Research Institute (PNRI), through the Bids and Awards Committee (BAC), invites interested bidders to bid for hereunder project: Name of Project: Procurement of One (1) Lot Generator Set and Housing System Location of the Project	PN</t>
  </si>
  <si>
    <t xml:space="preserve"> Please see the attached Invitation to Bid (ITB).</t>
  </si>
  <si>
    <t xml:space="preserve"> Supply and Installation of Window Blinds</t>
  </si>
  <si>
    <t xml:space="preserve"> gasoline supplies for lawn mower</t>
  </si>
  <si>
    <t xml:space="preserve"> Republic of the Philippines Province of Albay Municipality of Rapu-Rapu Barangay Linao INVITATION TO BID FOR THE CONSTRUCTION OF 3 UNITS JETMATIC PUMP 1.	The Barangay Local Government Unit of Linao, Rapu-Rapu, Albay, through the Budget for the Contract Ap</t>
  </si>
  <si>
    <t xml:space="preserve"> hiring of 1 unit backhoe for 10 days including mobilization / demobilization of heavy equipmet</t>
  </si>
  <si>
    <t xml:space="preserve"> Forty five (45) Pack, Sandwich Spread 470ml and 35 Other line items.</t>
  </si>
  <si>
    <t xml:space="preserve"> 4 units Computer Desktop *Processor: Core i5 *RAM: 8GB Memory *Storage: 1 TB HDD *Monitor: 21.5'' Full HD *OS: Windows 10 64bit Pro (With CD) *With Keyboard, mouse and speaker *With Warranty for Parts and Labor *No Clones or Assembled *Must have establish</t>
  </si>
  <si>
    <t xml:space="preserve"> Improvement of Municipal Cemetery (Road Concreting), Janiuay Municipal Cemetery, Janiuay, Iloilo Item No.	DESCRIPTION	Qty.	Unit A.1.1(3)	Construction of Field Office &amp; Bunkhouse 	1	L.s. B.5	Project Billboard/Signboard (COA)	2	Each SPL-1	Mobilization/Demob</t>
  </si>
  <si>
    <t xml:space="preserve"> Please download and view the Associated Component PDF document for the complete details/specs of the item(s).</t>
  </si>
  <si>
    <t xml:space="preserve"> Pakyaw Services of one (1) Project Assistant III for 6 months to be hired  as Technical Staff to monitor on the health concerns of Livestock and Poultry Animals in DA-PREC Sual, Pangasinan 1	1 x 6 months	Pakyaw Services to be hired as Project Assistant II</t>
  </si>
  <si>
    <t xml:space="preserve"> ABC:  102,200.00                                                                             Quantity              Unit Cost       Total Cost Mabitac: 1st Batch:  10-14 Aug. 2020 (5 days) No. of pax : 21                                                    </t>
  </si>
  <si>
    <t xml:space="preserve"> Forty five (45) Gl, Banana Catsup 3kl/gl and 34 Other line items.</t>
  </si>
  <si>
    <t xml:space="preserve"> Annual Budget CY 2020 20% EDF CY 2020 PROJECTS Construction of Pathwalk - Purok 5 - P 76,753.00 Construction of Pathwalk Purok 4 going to Cabangan - P 153,508.00 Construction of Pathwalk - Purok 2 - P 76,753.00 Construction of Footbridge - Purok 5 - P 76,</t>
  </si>
  <si>
    <t xml:space="preserve"> Please see "associated component" for the specifications Meal Box - 47,460 pcs</t>
  </si>
  <si>
    <t xml:space="preserve"> Ten (10) Pail, Paint, Flat wall enamel white and 17 Other line items</t>
  </si>
  <si>
    <t xml:space="preserve"> Further information are provided in the Request For Quotation (RFQ).</t>
  </si>
  <si>
    <t xml:space="preserve"> INVITATION TO BID 1)	The DPWH- Davao City District Engineering Office through its Bids and Awards Committee (BAC), invites contractors to submit bids for the following contract; 1. Procurement ID /          Contract ID No.	:	20LB0182     Contract Name	:	C</t>
  </si>
  <si>
    <t xml:space="preserve"> Estimated Measurement 3 meters by 4 meters Floor Area 3 doors 2 by 4 hallway Work  Inclusions: 1. Pluming and Sanitary Works 2. Tile Works 3. Painting Works 4. Installation of Faucet</t>
  </si>
  <si>
    <t xml:space="preserve"> INVITATION TO BID FOR PROCUREMENT OF  INSTALLATION AND COMMISSIONING OF OPERATING TABLE 1.	The Quirino Memorial Medical Center, through theSAA #2020-03-0379- HFEP CAPITAL OUTLAYintends to apply the sum of ELEVEN MILLION PESOS ONLY (PHP11,000,000.00) being</t>
  </si>
  <si>
    <t xml:space="preserve"> Purchase of Materials for the Repair of Streetlights at Various Sitio</t>
  </si>
  <si>
    <t xml:space="preserve"> Basak Elementary School Request for Price Quotation FY 2020 for First Quarter and Second Quarter purchase of School and Office Supplies.</t>
  </si>
  <si>
    <t xml:space="preserve"> 1	unit	Desktop Computer			 20,000.00  		System Unit Only			 		Quad Core or equivalent CPU mainboard with onboard graphics 4gb RAM to 8gb RAM (maximum capacity applicable within given budget) 1 TB hard drive tower casing			 1	unit	Notebook/Laptop Computer </t>
  </si>
  <si>
    <t xml:space="preserve"> CIVIL AVIATION AUTHORITY OF THE PHILIPPINES					Project Reference Number   :	0		 Francisco B. Reyes (Busuanga) Airport					Name of the Project              :	Preventive Maintenance of Generator Set		 Coron, Palawan					Location of the Project         :	Bu</t>
  </si>
  <si>
    <t xml:space="preserve"> REQUEST FOR QUOTATION (RFQ)						 						 	 			 Date: June 29, 2020		 R.I.S. No.:  20-83-064		 						 	 					 Gentlemen:			 Please submit your  lowest price quotation (including taxes and government discounts) on charged account basis, on the following sup</t>
  </si>
  <si>
    <t xml:space="preserve"> 1.	The BUREAU OF JAIL MANAGEMENT AND PENOLOGY, through the GENERAL APPROPRIATIONS ACT FY 2020 intends to apply the sum of   being the Approved Budget for the Contract (ABC) to payments under the contract for each lot/item. Bids received in excess of the A</t>
  </si>
  <si>
    <t xml:space="preserve"> Reproduction of Test Papers 1st &amp; 2nd Quarter 2020 of VES</t>
  </si>
  <si>
    <t xml:space="preserve"> FOR CITY OF BALANGA NATIONAL HIGH SCHOOL OPERATIONS</t>
  </si>
  <si>
    <t xml:space="preserve"> Materials for Construction of Pathway with Lateral Drainage at Purok 6 Phase 3</t>
  </si>
  <si>
    <t xml:space="preserve"> ABC: Php 798,000.00 Description:  The DOT-NCR has taken a new direction in order to attract and sustain the interest of its target market/attendees. It is the regional office’s hope that by presenting TED Talk-format webinars by luminaries and emerging in</t>
  </si>
  <si>
    <t xml:space="preserve"> INVITATION TO BID FOR PROCUREMENT OF  HIGH DEFINITION ENDOSCOPY SYSTEM 1.	The Quirino Memorial Medical Center, through the SAA #2020-03-0379- HFEP CAPITAL OUTLAY intends to apply the sum of TWENTY MILLION PESOSONLY (PHP20,000,000.00) being the Approved Bu</t>
  </si>
  <si>
    <t xml:space="preserve"> INVITATION TO BID FOR Procurement and Delivery of ICT and Office Equipment 1.	The Iloilo State College of Fisheries-San Enrique Campus, through the Corporate Budget for the Contract Approved by the Governing Boards 2020 intends to apply the sum of ONE MIL</t>
  </si>
  <si>
    <t xml:space="preserve"> INVITATION TO BID: 1.  Project Title:  Repair/Rehabilitation of Comfort Rooms At Ground Floor Charlie Del Rosario 2.  Approved Budget for the Contract:  Php 1,958,914.14 3.  Pre-bid Conference: on July 8, 2020 1:00 p.m. at Bulwagang Balagtas, 4th Floor, N</t>
  </si>
  <si>
    <t xml:space="preserve"> Please see attached file for the Philippine Bidding Documents</t>
  </si>
  <si>
    <t xml:space="preserve"> Republic of the Philippines Province of South Cotabato BIDS AND AWARDS COMMITTEE Capitol Compound Alunan Avenue, Koronadal City Tel. Fax No.: (083) 228-9951/228-8570 RE-INVITATION TO BID FOR 1 LOT JOB ORDER, DISASSEMBLY, ASSEMBLY &amp; COMMISSIONING OF EX 04 </t>
  </si>
  <si>
    <t xml:space="preserve"> Materials for Rehabilitation of Pathways with Drainage at Ilocandia Purok 5</t>
  </si>
  <si>
    <t xml:space="preserve"> 1 lot	GLASS DIVIDER -	2-unit glass divider using powder white aluminum tubular frame, ¼ thick reflective fixed glass, sliding door including (2.8 m x 2.5 m approx..) including labor and materials  -	1-unit glass divider using powder white aluminum tubular</t>
  </si>
  <si>
    <t xml:space="preserve"> Procurement of Office Equipment (Photocopier) 1a. PHOTOCOPIER (For Moderate Use) Quantity= 1 Features: Digital Copying/B&amp;W Printing/Scanning Speed: 16 Copies Per Minute or More Max Original size: A3 (11”*17”) Flat Bed Scanner With Reducer/Enlarger (50% -2</t>
  </si>
  <si>
    <t xml:space="preserve"> Republic of the Philippines Province of Batangas MUNICIPALITY OF ALITAGTAG INVITATION TO BID FOR PURCHASE OF LABORATORY AND RADIOLOGIC SUPPLIES FOR THE USE OF RURAL HEALTH UNIT AT ALITAGTAG, BATANGAS 	The Municipal Government of Alitagtag through General </t>
  </si>
  <si>
    <t xml:space="preserve"> 1. The GAMU WATER DISTRICT, through the Loan from the Local Water Utilities Administration (LWUA) intends to apply the sum of Six Million Nine Hundred Thirty Three Thousand One Hundred Pesos (Php 6,933,100.00) being the Approved Budget for the Contract (A</t>
  </si>
  <si>
    <t xml:space="preserve"> FACE SHIELD HEAVY DUTY	       6 PCS DISPOSABLE MASK	               3 BOXES ZONROX 	                               4 GAL FACE SHIELD ORDINARY	      15 PCS</t>
  </si>
  <si>
    <t xml:space="preserve"> Republic of the Philippines Province of South Cotabato BIDS AND AWARDS COMMITTEE Capitol Compound Alunan Avenue, Koronadal City Tel. Fax No.: (083) 228-9951/228-8570 RE-INVITATION TO BID FOR THE SUPPLY AND DELIVERY OF 141 PACKS COFFEE, 3 IN 1 COFFEE MIX, </t>
  </si>
  <si>
    <t xml:space="preserve"> Materials for Concreting of Road at Purok 4</t>
  </si>
  <si>
    <t xml:space="preserve"> Supply &amp; Delivery of Computer Equipment for use of Various Elementary Schools of District of Janiuay I, Janiuay, Iloilo ITEM NO.	ITEM &amp; DESCRIPTION						QTY 1	Ink Jet Printer with Wifi ADF (ink Tank)						2 units 2	Desktop Computer						14 units 	AMD Athl</t>
  </si>
  <si>
    <t xml:space="preserve"> NNP 20-012 – Procurement of Consultancy Services (Individual as Digital Artist/Illustrator) for Illustration Inspired by Stock Photos in the Diversion Toolkit. NOTICE FOR NEGOTIATED PROCUREMENT (Small Value Procurement) PROCUREMENT OF CONSULTANCY SERVICES</t>
  </si>
  <si>
    <t xml:space="preserve"> Please launch attached purchase order (P.O) for further references.</t>
  </si>
  <si>
    <t xml:space="preserve"> Republic of the Philippines Province of Albay Municipality of Rapu-Rapu Barangay Bogtong INVITATION TO BID FOR THE INSTALLATION OF SOLAR POWERED STREET LIGHTS 1.	The Barangay Local Government Unit of Bogtong, Rapu-Rapu, Albay, through the Budget for the C</t>
  </si>
  <si>
    <t xml:space="preserve"> B-600	                  2 GAL PAINT BRUSH 1”	  2 PCS BABY ROLLER	          1 PC PAINT THINNER	          1 GAL</t>
  </si>
  <si>
    <t xml:space="preserve"> Republic of the Philippines Province of Albay Municipality of Rapu-Rapu Barangay Bogtong INVITATION TO BID FOR THE 20% EDF CY 2020 PROJECTS 1.	The Barangay Local Government Unit of Bogtong, Rapu-Rapu, Albay, through the Budget for the Contract Approved by</t>
  </si>
  <si>
    <t xml:space="preserve"> Labor and Materials for the General Improvement of Legislative Building, Concepcion, Tarlac Approved Budget for the Contract : P 1,356,471.75 Source of Fund : MOOE 2020 - SB OFFICE The contract to be performed by the successful bidder shall be specified i</t>
  </si>
  <si>
    <t xml:space="preserve"> INVITATION TO BID IB 2020-077 The Philippine Children’s Medical Center, through GAA intends to apply the sum of One Million Two Hundred Thousand Pesos (Php 1,200,000.00) being the Approved Budget for the Contract (ABC) to payment under the contract for th</t>
  </si>
  <si>
    <t xml:space="preserve"> 1000	caps	Mefenamic  Acid, 500mg			 33.50  100	rolls	Elastic Bandage, 2 x 6			 25.00  100	rolls	Elastic Bandage, 4 x 5			 35.00  500	sachet 	Acetylcysteine			 45.00  200	pcs	Lactobacillus Reuteri DSM 17938			 35.00  1000	tabs	Hyoscine - N - Butylbromide		</t>
  </si>
  <si>
    <t xml:space="preserve"> 1.	The Municipal Government of Hagonoy, Bulacan, through the General Fund intends to apply the sum of Php15,000,000.00 being the Approved Budget for the Contract (ABC) to payments under the contract for Local Road Opening: Construction of Sto. Niño – San </t>
  </si>
  <si>
    <t xml:space="preserve"> Note: Please download the attached Request for Quotation which also the Terms of Reference, Bill of Quanties, Drawings/Plans and sample forms from the associated components found in this notice. Sir/Madam: Please  quote  your  lowest  price,  inclusive  o</t>
  </si>
  <si>
    <t xml:space="preserve"> Republic of the Philippines DEPARTMENT OF PUBLIC WORKS AND HIGHWAYS BATANGAS II  DISTRICT ENGINEERING OFFICE REGIONAL OFFICE IV-A Kumintang Ilaya, Batangas City INVITATION TO BID For Local Infrastructure Program – Construction of Multi-Purpose Building (P</t>
  </si>
  <si>
    <t xml:space="preserve"> OFFICE EQUIPMENT ,SUPPLIES AND CONSUMABLE MATERIALS FOR SENIOR HIGH SCHOOL</t>
  </si>
  <si>
    <t xml:space="preserve"> 10	sets	Saddle Clamp, 2” x 1”				2,300.00 7	sets	Saddle Clamp, 2” x 3/4”				1,540.00 6	sets	Saddle Clamp, 3” x 1”				2,100.00 7	sets	Saddle Clamp, 3” x 3/4”				2,100.00 10	sets	Saddle Clamp, 4” x 1”				3,500.00 10	sets	Saddle Clamp, 4” x 3/4”				3,500.00 </t>
  </si>
  <si>
    <t xml:space="preserve"> please see attached</t>
  </si>
  <si>
    <t xml:space="preserve"> CIVIL AVIATION AUTHORITY OF THE PHILIPPINES						Project Reference Number   :	USU-20-02-002	 Francisco B. Reyes (Busuanga) Airport						Name of the Project              :	Siphoning of All Septic Tanks (Phase 1 and 2)	 Coron, Palawan						Location of the P</t>
  </si>
  <si>
    <t xml:space="preserve"> Module Reproduction 2020</t>
  </si>
  <si>
    <t xml:space="preserve"> REQUEST FOR QUOTATION (RFQ)						 						 	 			 Date: June 29, 2020		 R.I.S. No.:  20-88-083	 						 	 					 Gentlemen:			 Please submit your  lowest price quotation (including taxes and government discounts) on charged account basis, on the following supp</t>
  </si>
  <si>
    <t xml:space="preserve"> REQUEST FOR QUOTATION (RFQ)						 						 	 			 Date: June 29, 2020		 R.I.S. No.:  20-83-120	 						 	 					 Gentlemen:			 Please submit your  lowest price quotation (including taxes and government discounts) on charged account basis, on the following supp</t>
  </si>
  <si>
    <t xml:space="preserve"> Republic of the Philippines DEPARTMENT OF PUBLIC WORKS AND HIGHWAYS BATANGAS II  DISTRICT ENGINEERING OFFICE REGIONAL OFFICE IV-A Kumintang Ilaya, Batangas City INVITATION TO BID For Construction/Repair/Rehabilitation/Improvement of Various Infrastructure</t>
  </si>
  <si>
    <t xml:space="preserve"> Fix Glass; Glass Door; Sliding Door; Window Glass; Aircon</t>
  </si>
  <si>
    <t xml:space="preserve"> REPUBLIC OF THE PHILIPPINES CALUMPIT WATER DISTRICT BIDS AND AWARDS COMMITTEE EOD Office., CWD Bldg., M. Serrano St.,Corazon, Calumpit, Bulacan Tel. Nos. 044- 913 0079/ Telefax: 202 5125 INVITATION TO BID FOR THE SUPPLY AND DELIVERY OF VARIOUS CONSTRUCTIO</t>
  </si>
  <si>
    <t xml:space="preserve"> QUOTATION - OPEN CANVASS: Please accomplish the official canvass form ASAP, sign and send immediately thru email (pmd@sss.gov.ph, bansilea@sss.gov.ph) or submit in sealed envelope at Procurement Planning &amp; Management Department before the closing date. CA</t>
  </si>
  <si>
    <t xml:space="preserve"> INVITATION TO BID: 1. Project Title: Repair/Rehabilitation of Comfort Rooms At 3rd Floor, North And West Wing, Academic Bldg. 2. Approved Budget for the Contract: Php 1,509,556.47 3. Pre-bid Conference: on July 8, 2020 1:00 p.m. at Bulwagang Balagtas, 4th</t>
  </si>
  <si>
    <t xml:space="preserve"> INVITATION TO BID FOR                                    PROCUREMENT OF VEHICLE RENTAL SERVICES WITH                               PROVISION FOR DRIVER FOR THE PERIOD  OF 5 MONTHS 1.	The Philippine Rice Research Institute, Isabela Branch, through the Corp</t>
  </si>
  <si>
    <t xml:space="preserve"> INVITATION TO SUBMIT PRICE QUOTATION  The Career Executive Service Board (CESB), through its Policy, Planning and Legal Division (PPLD) invites interested suppliers to submit their price quotations for the supply and delivery of the following items descri</t>
  </si>
  <si>
    <t xml:space="preserve"> PLS SEE ATTACHED TERMS OF REFERENCE</t>
  </si>
  <si>
    <t xml:space="preserve"> Part A	General Requirements							 1	Mobilization/Demobilization						1	lot 2	Temporary Facilities					         	1	lot 3	Safety and Health Program						1	lot 4	Bonds and Insurance						        1 	lot 								 Part B	CIVIL AND CARPENTRY WORKS							 1	CHB </t>
  </si>
  <si>
    <t xml:space="preserve"> 1	bd. Ft	SCAFFOLDING AND FORM WORKS	 		Materials	 	pcs	1/4" Marine Plywood	       	pcs	1/2" Marine Plywood	  	bd.ft	Assorted Good Lumber	  			 2		EMBANKMENT	 		Materials	 	cu.m	Filling Materials	  			 3		MASONRY WORKS	 		Materials	 	pcs	150mm CHB	  	bags	</t>
  </si>
  <si>
    <t xml:space="preserve"> 1st and 2nd Quarter supplies with the total budget of 80,000.00 only.</t>
  </si>
  <si>
    <t xml:space="preserve"> REQUEST FOR QUOTATION (RFQ) SUPPLY AND DELIVERY OF VITAMIN C AND B-COMPLEX FOR COVID-19 PREVENTION UNDER EMB-AFMD RFQ NO. EMB-AFMD-088-06-29-2020 2020-0624 1.	The Department of Environment and Natural Resources – Environmental Management Bureau (DENR-EMB)</t>
  </si>
  <si>
    <t xml:space="preserve"> Invitation to Bid No. PB2020-01 Procurement of Security Services (5 Guards) 1.	The West Visayas State University-Lambunao Campus, through its Income (F164 2020)  intends to apply the sum of TWO HUNDRED EIGHTY EIGHT THOUSAND NINE HUNDRED SIXTEEN PESOS AND </t>
  </si>
  <si>
    <t xml:space="preserve"> Procurement of Various Supplies/Medical supplies in Response to COVID19</t>
  </si>
  <si>
    <t xml:space="preserve"> OPENING OF BIDS IN DSWD FO IX ZAMBOANGA CITY, DELIVERY IN HOME FOR WOMAN ZC PROCUREMENT FOR THE FF.:			 			 1 LOT GROCERY ITEMS/FOOD SUPPLIES			 			 50 packs All Purpose Cream 250ml			 50 packs Baking powder 100g			 10 cases Beef loaf 250g			 50 packs bih</t>
  </si>
  <si>
    <t xml:space="preserve"> PLEASE REACH US AT THE FOLLOWING CONTACTS BELOW FOR THE COMPLETE REQUIREMENTS OF THIS PROJECT EMAIL: procurement.chr@gmail.com domingoem097@gmail.com MOBILE NUMBERS 09334178641 09953027536</t>
  </si>
  <si>
    <t xml:space="preserve"> 662 pcs 600mmx600mm granite tiles 17 lngths tile trim (stainless) 10 leths stair nosing (stainles) 16 bags tile grout 145 bags portland cement 12 bags adhesive cement 12 cum river washed sand 1 mtr sand sieve screen 1 pcs 4"0 diamont tile cutting disc</t>
  </si>
  <si>
    <t xml:space="preserve"> REQUEST FOR QUOTATION (RFQ) SUPPLY AND DELIVERY OF CUSTOMIZED JACKET UNDER EMB-EQMD-HWMS RFQ NO. EMB-EQMD-HWMS-SHOPPING-G-089-6-29-2020  PR. NO. 2019-0443 1.	The Department of Environment and Natural Resources – Environmental Management Bureau (DENR-EMB) </t>
  </si>
  <si>
    <t xml:space="preserve"> JOSE B. LINGAD MEMORIAL REGIONAL HOSPITAL City of San Fernando, Pampanga Tel. No. (045) 961-3921 Date: June 30, 2020 No. 2020 – 06 - 203-S REQUEST FOR QUOTATION (Name of Agency) (Address) Sir/Madam: Please quote your lowest price on the item/s listed belo</t>
  </si>
  <si>
    <t xml:space="preserve"> Procurement office supplies for modular Learning</t>
  </si>
  <si>
    <t xml:space="preserve"> The Municipality of General Luna, Quezon, through its Bids and Awards Committee (BAC), invites contractors registered with and classified by the Philippine Contractors Accreditation Board (PCAB) to apply for the eligibility and to bid: Name of Contract	: </t>
  </si>
  <si>
    <t xml:space="preserve"> INVITATION TO BID: 1. Project Title: Completion  of  Multi-Purpose  Building and  Sports  Development Facility, Phase  3,  Mabini  Campus,  Sta.  Mesa,  Manila 2. Approved Budget for the Contract: Php 18,998,224.54 3. Pre-bid Conference: on July 9, 2020, </t>
  </si>
  <si>
    <t xml:space="preserve"> Invitation to Bid for the for Construction of Demo Farm Training Center  1.	The Local Government Unit of Manticao intends to apply the sum of P 721,956	being the Approved Budget for the Contract (ABC) to payments under the contract. Bids received in exces</t>
  </si>
  <si>
    <t xml:space="preserve"> JOSE B. LINGAD MEMORIAL REGIONAL HOSPITAL City of San Fernando, Pampanga Tel. No. (045) 961-3921 Date: June 30, 2020 No. 2020 – 06 - 201-S REQUEST FOR QUOTATION (Name of Agency) (Address) Sir/Madam: Please quote your lowest price on the item/s listed belo</t>
  </si>
  <si>
    <t xml:space="preserve"> INVITATION TO BID: 1. Project Title: Construction of Academic and Office Building Phase I,  PUP  Rizal  Campus,  S.H.  Loyola  Street,  Sampaloc,  Manila  (Using  a  Design  and Build  Scheme) 2. Approved Budget for the Contract: Php 69,682,190.00 3. Pre-</t>
  </si>
  <si>
    <t xml:space="preserve"> 3 units Heavy Duty Aluminum Scoop Stretcher 1 unit  Disaster and emergency response bag</t>
  </si>
  <si>
    <t xml:space="preserve"> JOSE B. LINGAD MEMORIAL REGIONAL HOSPITAL City of San Fernando, Pampanga Tel. No. (045) 961-3921 Date: June 30, 2020 No. 2020 – 06 - 200-S REQUEST FOR QUOTATION (Name of Agency) (Address) Sir/Madam: Please quote your lowest price on the item/s listed belo</t>
  </si>
  <si>
    <t xml:space="preserve"> Procurement of Various Medical Supplies/Response Items for COVID-19</t>
  </si>
  <si>
    <t xml:space="preserve"> Republic of the Philippines Province of Surigao del Sur MUNICIPALITY OF BAYABAS INVITATION TO BID FOR CONSTRUCTION OF RIVER WALL 1.	The Local Government of Bayabas, through its Local Government Support Fund-Financial Assistance (LGSF-FA) 2019 intends to a</t>
  </si>
  <si>
    <t xml:space="preserve"> Solar Power for Public Market  1.	The Local Government Unit of Manticao intends to apply the sum of P 520,000 being the Approved Budget for the Contract (ABC) to payments under the contract. Bids received in excess of the ABC shall be automatically reject</t>
  </si>
  <si>
    <t xml:space="preserve"> Rubber Boots &amp; Raincoats</t>
  </si>
  <si>
    <t xml:space="preserve"> Quantity       Unit of Issue       Item Description      1                   lot               Partition wall with PC white frame &amp; ordinary clear glass      1                  unit              Table with PC white frame &amp; glossy white cladding NAME OF PR</t>
  </si>
  <si>
    <t xml:space="preserve"> Occuptional Safety and Health Program Roadway Excavation</t>
  </si>
  <si>
    <t xml:space="preserve"> HP 680	20 	pc &gt;Black		 HP 680	20 	pc &gt;Colored		 Data Folder	300 	pc &gt;3" x 9" x 15"		 &gt;with finger ring and clear plastic pockets for labels		 Correctable film ribbon	5 	pc &gt;Brother AX 10/15/20		 USB Flash Drive	5 	pc &gt;4GB		 White File Folder	100 	pc &gt;Long</t>
  </si>
  <si>
    <t xml:space="preserve"> PR No. 2020-06-0045 (Office Equipment Supplies and Consumables) Please see attached file</t>
  </si>
  <si>
    <t xml:space="preserve"> 1.)	1 - unit - LAPTOP COMPUTER 	INCLUSIONS:  	CPU: Intel Core i7-8550U 	RAM: 8GB DDR4 	 	Storage: 256GB SSD 	Screen: 15.6" HD Comfy view LCD 	Graphics: 2GB NVIDIA GeForce MX130 	OS: Windows 10 Pro 	 	 2	1 - unit - 1050 UPV  UPS</t>
  </si>
  <si>
    <t xml:space="preserve"> JOSE B. LINGAD MEMORIAL REGIONAL HOSPITAL City of San Fernando, Pampanga Tel. No. (045) 961-3921 Date: June 30, 2020 No. 2020 – 06 - 202-S REQUEST FOR QUOTATION (Name of Agency) (Address) Sir/Madam: Please quote your lowest price on the item/s listed belo</t>
  </si>
  <si>
    <t xml:space="preserve"> INDUSTRIAL TECHNOLOGY DEVELOPMENT INSTITUTE DOST Cmpd., Bicutan, Taguig City Telephone Nos. (02) 837-20-71 to 82 local 2221 E-mail Add.: itdi.admbac@gmail.com INVITATION TO BID June 29, 2020 Sir/Madam: Please quote your price for the item/items listed bel</t>
  </si>
  <si>
    <t xml:space="preserve"> Stone Masonry</t>
  </si>
  <si>
    <t xml:space="preserve"> Pls. see attached file.</t>
  </si>
  <si>
    <t xml:space="preserve"> NOTICE TO THE PUBLIC  REQUEST FOR QUOTATION                                             AMP SVP-D NO: 20-07-0271B	              The University of the Philippines, Diliman (UPD) hereby informs the public that it will be procuring the following item/s throu</t>
  </si>
  <si>
    <t xml:space="preserve"> JOSE B. LINGAD MEMORIAL REGIONAL HOSPITAL City of San Fernando, Pampanga Tel. No. (045) 961-3921 Date: June 30, 2020 No. 2020 – 06 - 204-S REQUEST FOR QUOTATION (Name of Agency) (Address) Sir/Madam: Please quote your lowest price on the item/s listed belo</t>
  </si>
  <si>
    <t xml:space="preserve"> PR No. 2020-06-0042 (Office Equipment Parts and Accessories) Please see attached file.</t>
  </si>
  <si>
    <t xml:space="preserve"> Aircon (split type) -Soft Dry operation mode Big flap -I-auto -R32 Eco-Refrigerant -sleep mode -Quiet mode -soft Dry operation mode -Airflow Direction Control (up and down) -Manual Horizontal Airflow Direction Control -Odor-Removing Function -Removable an</t>
  </si>
  <si>
    <t xml:space="preserve"> Procurement of Housekeeping Supplies</t>
  </si>
  <si>
    <t xml:space="preserve"> Procurement of Semi-Expandable Equipment for modular Learning</t>
  </si>
  <si>
    <t xml:space="preserve"> PR No. 2020-06-0043 (Office Equipment Supplies and Consumables) Please see attached file</t>
  </si>
  <si>
    <t xml:space="preserve"> 1.)	  1 	 - Unit 	 - Motor Vehicle (Passenger Van) 			Engine: 2.80 Diesel Manual Transmission, 4 cylinders 			Displacement: 2.755cc 			Maximum Output: 176/3,400 			Fuel Tank Capacity: 70L 			Emission Standard: EURO 4 			Tires: 235/65 R16 			Seating Capaci</t>
  </si>
  <si>
    <t xml:space="preserve"> Hire of Van (July 2020) 2 units</t>
  </si>
  <si>
    <t xml:space="preserve"> Name of the Procuring Entity 					Project Reference No.                              				 					      Name of the Project:  Purchase of Various Materials for the Maintenance of Waterworks System				 									 				              Location of the Project :Looc</t>
  </si>
  <si>
    <t xml:space="preserve"> One unit Cellphone - Dimension: 157.7 x 73.8 x 8.5 mm, Screen Size: 6.2 inch, CPU: exynos 9810 octa core cpu, OS: android 8.0 oreo, Weight: 189g One unit Cellphone - Dimension: 163.6 x 76.0 x 7.7 0, Screen Size: 6.7 inch, CPU:  octa core cpu, OS: android </t>
  </si>
  <si>
    <t xml:space="preserve"> Please refer to the attached document under associated components section.</t>
  </si>
  <si>
    <t xml:space="preserve"> 1  pcs  210x90 swing Door 2  pcs  130 x 130 sliding window 1 pcs 90 x 100 sliding window 32  bags cement 28 pcs RSB 9mm 126 pcs  60 x 60 tiles 5   pcs   Tiles Adhessive 5  kls  Tie Wire 3  kls  Concrete Nail 6 kls CWN #3 3  kls  CWN #2 300  bd.ft  2x2x10 </t>
  </si>
  <si>
    <t xml:space="preserve"> Invitation to Bid for Construction of Drainage Canal, Poblacion 1.	The Local Government Unit of Manticao intends to apply the sum of P 193,271.00	being the Approved Budget for the Contract (ABC) to payments under the contract. Bids received in excess of t</t>
  </si>
  <si>
    <t xml:space="preserve"> (see bidding documents and other supporting documents in the associated component for further project details)</t>
  </si>
  <si>
    <t xml:space="preserve"> This project is dealing of Brgy. San Antonio, Lopez, Quezon</t>
  </si>
  <si>
    <t xml:space="preserve"> The SANGGUNIANG KABATAAN of Barangay San Gabriel Council, through the approved budget for the year 2020, intends to apply the sum of P 220,504.80 being the approved budget (as SK Funds ) for the contract to payments under the contract for the ADDITIONAL S</t>
  </si>
  <si>
    <t xml:space="preserve"> INVITATION TO BID FOR THE PROCUREMENT OF SCIENCE LABORATORY FURNITURE AND FIXTURES IN THE ADVANCED SCIENCE AND TECHNOLOGY BUILDING OF PSHS CALABARZON REGION CAMPUS/GOODS-2020-03 1.	The Philippine Science High School-CALABARZON Region Campus (PSHS-CALABARZ</t>
  </si>
  <si>
    <t xml:space="preserve"> Quantity       Unit of Issue       Item Description    4000               pcs               Medicines Booklets    1000               pcs               Grocery Booklets NAME OF PROJECT:  Purchase of medicines and grocery booklets to be used at the OSCA Off</t>
  </si>
  <si>
    <t xml:space="preserve"> Invitation to Bid for the procurement of Water Meter  1.	The Local Government Unit of Manticao intends to apply the sum of P 110, 000 being the Approved Budget for the Contract (ABC) to payments under the contract. Bids received in excess of the ABC shall</t>
  </si>
  <si>
    <t xml:space="preserve"> Portland Cement Concrete Pavement Stone Masonry</t>
  </si>
  <si>
    <t xml:space="preserve"> Republic of the Philippines Province of Surigao del Sur MUNICIPALITY OF BAYABAS INVITATION TO BID FOR CONSTRUCTION OF RIVER WALL , 1.	The Local Government of Bayabas, through its Local Government Support Fund-Financial Assistance (LGSF-FA) 2019 intends to</t>
  </si>
  <si>
    <t xml:space="preserve"> 20 Bottle Ascorbic acid 100mg/55ml, 120ml Syrup 30 Box Ascorbic Acid 500mg Capsules 60 Box Ventolin nebules for inhalation  20 Bottle multivitamins Oral for children 10 Box Cefalexin 500mg capsule 10 Box Lagundi 300mg tablet Oral 10 Box Loratadine 10mg ta</t>
  </si>
  <si>
    <t xml:space="preserve"> Invitation to Bid for the Improvement of Multipurpose Building 1.	The Local Government Unit of Manticao intends to apply the sum of P 209,671	being the Approved Budget for the Contract (ABC) to payments under the contract. Bids received in excess of the A</t>
  </si>
  <si>
    <t xml:space="preserve"> Invitation to Bid for Road Concreting at Purok 4, Pagawan 1.	The Local Government Unit of Manticao intends to apply the sum of P 118,617	being the Approved Budget for the Contract (ABC) to payments under the contract. Bids received in excess of the ABC sh</t>
  </si>
  <si>
    <t xml:space="preserve"> National Power Corporation INVITATION TO BID PUBLIC BIDDING 2020-0145 1.	The NATIONAL POWER CORPORATION (NPC), through       its        approved       Corporate Budget of CY 2020 intends to apply   the   sum   of (Please see schedule below) being the Appr</t>
  </si>
  <si>
    <t xml:space="preserve"> The Department of Agriculture-RFO 3, invites interested suppliers to submit quotations/proposals for the hereunder requirement, to wit: QTY. UNIT ITEMS &amp; DESCRIPTION OFFICE SUPPLIES 40 bottle ALCOHOL, ethyl, 68%-70%, scented, 500ml (-5ml) 20 ream PAPER, M</t>
  </si>
  <si>
    <t xml:space="preserve"> *Bids received in excess of the ABC shall be automatically rejected at bid opening. 2. The City Government through the Bids and Awards Committee (BAC) hereby invites all interested PhilGEPS registered contractors, and bidders to submit proposals and bids </t>
  </si>
  <si>
    <t xml:space="preserve"> Republic of the Philippines Province of Leyte Municipality of Hilongos BARANGAY BUN-OT REQUEST FOR QUOTATION Date  _______________________ _______________________                                Please quote your lowest price on the items/listed below for </t>
  </si>
  <si>
    <t xml:space="preserve"> (see bidding documents and other supporting papers in the associated component for further details)</t>
  </si>
  <si>
    <t xml:space="preserve"> Generator -220V/ 60 Hz Voltage/Frequency -7.5/8.5 KVa- Prime/surge Power -3600 rpm - Engine Speed - 72-74 Noise Level - 100% Copper (Excitation Mode) - 520 Displacement Ratio - 1 power factor - single phase - Electric start starting system - SH-198F (Engi</t>
  </si>
  <si>
    <t xml:space="preserve"> Republic of the Philippines Province of Nueva Ecija Municipality of Cuyapo OFFICE OF THE BIDS AND AWARDS COMMITTEE REQUEST FOR QUOTATION The Municipal Government of Cuyapo, Nueva Ecija  , through its Bids and Awards Committee, shall undertake procurement </t>
  </si>
  <si>
    <t xml:space="preserve"> Local Government Unit of Magsaysay  2020-06-0006  Procurement of Civil Works  Magsaysay, Lanao del Norte Standard Form Number: SF GOOD – 05 Revised on July 28, 2004 INVITATION TO APPLY FOR ELIGIBILITY AND TO BID The Local Government Unit of Magsaysay, thr</t>
  </si>
  <si>
    <t xml:space="preserve"> SERVICES for Annual Physical Examination		 Inclusive of : Electrocardiogram Chest X-ray Urinalysis Complete blood count Fasting Blood Sugar Uric Acid Total Cholesterol Triglycerides Blood urea nitrogen Creatinine	450	P800.00</t>
  </si>
  <si>
    <t xml:space="preserve"> 1. Dismantling of Air Condition Units  21 Units 2. Hauling of Air Conditioning Units   21 Units</t>
  </si>
  <si>
    <t xml:space="preserve"> Invitation to Bid for Concreting of Cemetery Road 1.	The Local Government Unit of Manticao intends to apply the sum of P 367,415	being the Approved Budget for the Contract (ABC) to payments under the contract. Bids received in excess of the ABC shall be a</t>
  </si>
  <si>
    <t xml:space="preserve"> Name of the Procuring Entity 					Project Reference No.                              				 					      Name of the Project:  Supply and Delivery of Aluminum Glass Sliding Door and Window to be used for the Repair of Feeder Port Terminal				 									 						</t>
  </si>
  <si>
    <t xml:space="preserve"> Republic of the Philippines PROVINCE OF QUIRINO Cabarroguis -oOo- BIDS AND AWARDS COMMITTEE INVITATION TO BID FOR  Electrification of Cattle Breeding Center Contract No. PB-CW-2020-025 							June 30, 2020 1.	The Bids and Awards Committee (BAC) of the Pro</t>
  </si>
  <si>
    <t xml:space="preserve"> The DPWH – Bulacan First District Engineering Office, through its Bids and Awards Committee (BAC), invites contractors to submit bids for the following Contract: Contract ID: 20CC0258 Contract Name: Construction of four storey twelve classroom – Mapulang </t>
  </si>
  <si>
    <t xml:space="preserve"> The DPWH – Bulacan First District Engineering Office, through its Bids and Awards Committee (BAC), invites contractors to submit bids for the following Contract: Contract ID: 20CC0257 Contract Name: Construction of two storey four classroom – Borol 2nd El</t>
  </si>
  <si>
    <t xml:space="preserve"> Laptop - i7 CPU - Intel Core i7-8750H, Intel Core i7-8750H - NVIDIA GeForce GTX 2070 8GB GDDR6 VRAM - 32GB RAM - 2666MHz Memory Speed - Up to 32 GB Memory Expandable - SSD, SSHD Storage Type - 1 TB HDD - 2.5 inches HDD Format - 5400 rpm Rational Speed - 2</t>
  </si>
  <si>
    <t xml:space="preserve"> Republic of the Philippines PROVINCE OF QUIRINO Cabarroguis -oOo- BIDS AND AWARDS COMMITTEE INVITATION TO BID FOR  (Re-advertised) Improvement of Grandstands Contract No. PB-CW-2020-014 							June 30, 2020 1.	The Bids and Awards Committee (BAC) of the Pr</t>
  </si>
  <si>
    <t xml:space="preserve"> 30 JUNE 2020 INVITATION TO BID FOR THE SUPPLY AND DELIVERY OF OFFICE AND IT EQUIPMENT AND FURNITURE  FOR  VARIOUS OFFICES OF THE CITY GOVERNMENT 	 	 1.	The City of Caloocan, through the General Fund of the 2020  Annual City Budget approved under Sanggunia</t>
  </si>
  <si>
    <t xml:space="preserve"> INVITATION TO BID FOR THE PURCHASE OF COMPUTERS AND COMPUTER PERIPHERALS/GOODS-2020-04 1.	The Philippine Science High School - CALABARZON Region Campus (PSHS-CALABARZONRC), through the General Appropriations Act of 2020 intends to apply the sum of Two Mil</t>
  </si>
  <si>
    <t xml:space="preserve"> 30 JUNE 2020 INVITATION TO BID FOR THE SUPPLY AND DELIVERY OF OFFICE, JANITORIAL AND ELECTRICAL SUPPLIES AND DEVICES  FOR VARIOUS OFFICES OF THE CITY GOVERNMENT (@CALOOCAN CITY HALL, 8TH ST. COR. 8TH AVE. GRACE PARK, CALOOCAN CITY) 	 	 1.	The City of Calo</t>
  </si>
  <si>
    <t xml:space="preserve"> INVITATION TO BID FOR  Supply and Delivery of Android Tablets for Use at  Kolehiyo ng Lungsod ng Lipa  1.	The City Government of Lipa, through the Trust Fund (TF) of Kolehiyo ng Lungsod ng Lipa and General Fund (GF) of 2020 intends to apply the sum of For</t>
  </si>
  <si>
    <t xml:space="preserve"> Republic of the Philippines DEPARTMENT OF PUBLIC WORKS AND HIGHWAYS BATANGAS II  DISTRICT ENGINEERING OFFICE REGIONAL OFFICE IV-A Kumintang Ilaya, Batangas City INVITATION TO BID For Local Infrastructure Program – Construction of Multi-Purpose Covered Cou</t>
  </si>
  <si>
    <t xml:space="preserve"> Local Government Unit of Magsaysay  2020-06-0007  Procurement of Civil Works  Magsaysay, Lanao del Norte Standard Form Number: SF GOOD – 05 Revised on July 28, 2004 INVITATION TO APPLY FOR ELIGIBILITY AND TO BID The Local Government Unit of Magsaysay, thr</t>
  </si>
  <si>
    <t xml:space="preserve"> INVITATION TO BID FOR  Supply and Delivery of Laptops for Use at  Kolehiyo ng Lungsod ng Lipa  1.	The City Government of Lipa, through the Trust Fund (TF) of 2020 intends to apply the sum of   One Million Six Hundred Eighty-Eight Thousand Four Hundred Pes</t>
  </si>
  <si>
    <t xml:space="preserve"> Invitation to Bid for Paniangan Road Concreting at Purok 5 1.	The Local Government Unit of Manticao intends to apply the sum of P 157,885	being the Approved Budget for the Contract (ABC) to payments under the contract. Bids received in excess of the ABC s</t>
  </si>
  <si>
    <t xml:space="preserve"> PR No. 2020-06-0047 (Office Supplies ) Please see attached file</t>
  </si>
  <si>
    <t xml:space="preserve"> Procurement of CONSTRUCTION SUPPLIES description* Please quote your lowest price on the items /package listed below, subject to the General Conditions starting the shortest possible time of delivery and submit your quotation duly signed by your representa</t>
  </si>
  <si>
    <t xml:space="preserve"> Local Government Unit of Magsaysay  2020-06-0005  Procurement of Civil Works  Magsaysay, Lanao del Norte Standard Form Number: SF GOOD – 05 Revised on July 28, 2004 INVITATION TO APPLY FOR ELIGIBILITY AND TO BID The Local Government Unit of Magsaysay, thr</t>
  </si>
  <si>
    <t xml:space="preserve"> ITEM 200 (PALSABANGON SOURCE)</t>
  </si>
  <si>
    <t xml:space="preserve"> 1. 2 pcs. stainless foot-operated portable sinks/wash station (double) 2. 6 pcs. disinfectant mat with anti-slip tray 3. 6 pcs. stainless foot pedal alcohol sanitizer holder 4. 1 lot garden water hose, 1/2 size, 150 meters 5. 50 pcs. trash bins, plastic s</t>
  </si>
  <si>
    <t xml:space="preserve"> Republic of the Philippines  Province of Cotabato Municipality of Arakan OFFICE OF THE BIDS &amp; AWARD COMMITTEE Invitation to Bid for Construction Of 1-Unit Tribal Hall 1.	The Barangay Government of Katipunan, through the Trust Fund intends to apply the sum</t>
  </si>
  <si>
    <t xml:space="preserve"> REQUEST FOR QUOTATION The DPWH, Laguna III District Engineering Office, San Pablo City through its Bids and Awards Committee (BAC), invites suppliers/manufacturers/distributors/contractors to apply for quotation for the following: Contract ID no. : 2020 D</t>
  </si>
  <si>
    <t xml:space="preserve"> Quantity		Unit Issue			Item Description 16			length			RSB 16mm 13			length			RSB 10mm 2			kilos				Tie Wire #6 25			bags				Cement 1			cubic				Sand (Washed) 1			cubic				Gravel (Washed) 38			pieces			Lumber 2 x 2 8 2			pieces			Marine Plywood 5mmx4x8 2 	</t>
  </si>
  <si>
    <t xml:space="preserve"> IMPROVEMENT OF STREETLIGHTS @ BLK. 11, BLK. 12 &amp; BLK. 9</t>
  </si>
  <si>
    <t xml:space="preserve"> 1.) 	 1	  - unit	 - ASPIRE TC-866 DESKTOP COMPUTER 			INCLUSIONS:  			CPU: Intel Core i5-9400                          RAM: 8GB DDR4                         Storage: 1TB+128GB SSD                          DVD Writer                         Monitor: 24" LE</t>
  </si>
  <si>
    <t xml:space="preserve"> CONCRETING OF ROAD @ BLK. 12 EXTENSION</t>
  </si>
  <si>
    <t xml:space="preserve"> The Sangguniang Barangay Mulawin, Tanza, Cavite through its Bids and Awards Committee (BAC), invites contractors registered with and classified by the Philippine Contractors Accreditation Board (PCAB) to apply for eligibility and if found eligible, to bid</t>
  </si>
  <si>
    <t xml:space="preserve"> 30 JUNE 2020 INVITATION TO BID FOR THE SUPPLY AND DELIVERY OF OFFICE, JANITORIAL AND ELECTRICAL SUPPLIES AND DEVICES  FOR CALOOCAN CITY MEDICAL CENTER (@A.MABINI ST., CALOOCAN CITY) 	 	 1.	The City of Caloocan, through the General Fund of the 2020  Annual</t>
  </si>
  <si>
    <t xml:space="preserve"> Invitation to Bid for Road Concreting at Bagares Street  1.	The Local Government Unit of Manticao intends to apply the sum of P 333,265.00	being the Approved Budget for the Contract (ABC) to payments under the contract. Bids received in excess of the ABC </t>
  </si>
  <si>
    <t xml:space="preserve"> Structure Excavation  Structural Concrete Reinforcing Steel Formworks &amp; Falseworks  100mm CHB Prepainted Metal Sheets Painting Works (Metal Painting) Metal Structures</t>
  </si>
  <si>
    <t xml:space="preserve"> Supply and Delivery of Office Supplies for City Mayor's Office</t>
  </si>
  <si>
    <t xml:space="preserve"> Invitation to Bid for Day Care Center at Poblacion  1.	The Local Government Unit of Manticao intends to apply the sum of P 762,116.00 	being the Approved Budget for the Contract (ABC) to payments under the contract. Bids received in excess of the ABC shal</t>
  </si>
  <si>
    <t xml:space="preserve"> INVITATION TO BID The Municipal Government of San Narciso, Quezon through its Bids and Award Committee (BAC), invites registered suppliers with DTI, Mayor’s Permit and PhilGEPS, if found eligible, to bid or the hereunder contract: Name of Contract : 	Inst</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</si>
  <si>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</si>
  <si>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NOTICE TO THE PUBLIC  REQUEST FOR QUOTATION                                            AMP SVP-D NO: 20-07-0344A	              The University of the Philippines, Diliman (UPD) hereby informs the public that it will be procuring the following item/s throug</t>
  </si>
  <si>
    <t xml:space="preserve"> 1,000    CU.M.      ITEM 201 (SUPPLY AND DELIVERY ON SITE)</t>
  </si>
  <si>
    <t xml:space="preserve"> A. PROJECT DESCRIPTION This Project requires the procurement of a lease of real property that will be used as office space of the DBP Leasing Corporation (DBP-LC).   DBP-LC as the Procuring Entity shall be utilizing “Lease of Real Property and Venue” as t</t>
  </si>
  <si>
    <t xml:space="preserve"> REQUEST FOR QUOTATION   TO: ALL BIDDERS/SUPPLIERS The Games and Amusements Board (GAB) through its Bids and Awards Committee (BAC) will undertake a Small Value  Procurement  in  accordance  with  Section  53.9  of  the  2016  Revised  Implementing  Rules </t>
  </si>
  <si>
    <t xml:space="preserve"> 1.	The Local Government Unit of Manticao intends to apply the sum of P 1,200,000 being the Approved Budget for the Contract (ABC) to payments under the contract. Bids received in excess of the ABC shall be automatically rejected at the bid opening. 2.	The</t>
  </si>
  <si>
    <t xml:space="preserve"> Coverage: Group Personal Accident Insurance Period of Insurance: One (1) yr. Benefits and Coverage:  Accidental Death/Permanent Total Disability  Unprovoked Murder and Assault  Medical Reimbursement except    Motorcycling Risk  Medical Reimbursement due t</t>
  </si>
  <si>
    <t xml:space="preserve"> Purchase of 3-in-1 printers</t>
  </si>
  <si>
    <t xml:space="preserve"> INVITATION TO BID The Local Government Unit of Gitagum through its Bids and Awards Committee (BAC), Invites Contractors registered with and classified by the Philippine Contractors Accreditation Board (PCAB) to bid for the hereunder Contract.  Name of Pro</t>
  </si>
  <si>
    <t xml:space="preserve"> 7 pcs L120 Printer 1 pcs L3110 Printer 20 bottles Cyan Epson ink 20 bottles Yellow Epson ink 20 bottles Magenta Epson ink 40 bottles Black Epson ink 20 reams long coupon bond 20 reams short coupon bond 100 reams A4 coupon bond 30 pcs ballpen black 8 pcs s</t>
  </si>
  <si>
    <t xml:space="preserve"> Please see Request for Quotation/ Bid Form attached to Associated Components.</t>
  </si>
  <si>
    <t xml:space="preserve"> Name of  Procuring Entity : DPWH Isabela 4th DEO				 Request for Quatation /(PR No.)	:	RFQ-2020-0011	/	2020-06-0031 Requested on	Date	:	June 29, 2020		 Standard Form/Title: REQUEST FOR QUOTATION				 Office/End-User		:Isabela 4th DEO		 								 Please qout</t>
  </si>
  <si>
    <t xml:space="preserve"> Purchase of 3 units Risograph Machines GENERAL SPECIFICATIONS: 1. Up to B4 paper size accommodation 2. Maximum speed of 130 copies per minute 3. DPI image resolution 600 x 600 dpi 4. Enlargement/ reduction Feature 5. Built-in Computer Interface 6. Direct </t>
  </si>
  <si>
    <t xml:space="preserve"> RFQ FOR CONSTRUCTION MATERIALS</t>
  </si>
  <si>
    <t xml:space="preserve"> REQUEST FOR QUOTATION SUPPLY AND DELIVERY OF SOFTWARE FOR COMPUTER-AIDED DESIGN (CAD) FOR THE PROCUREMENT SERVICE (PS) AMP-013-20 (SVP) Sir/Madam: Please quote your best proposal for the item/s described below using the Price Proposal Form (see Annex "A" </t>
  </si>
  <si>
    <t xml:space="preserve"> INVITATION TO BID The Local Government Unit of Gitagum through its Bids and Awards Committee (BAC), Invites Suppliers/Manufacturers/Distributors/Contractors to apply for eligibility and to bid for the hereunder project:  Name of Project                   </t>
  </si>
  <si>
    <t xml:space="preserve"> 1.	The Local Government Unit of Manticao intends to apply the sum of P 8, 548,249.78 being the Approved Budget for the Contract (ABC) to payments under the contract. Bids received in excess of the ABC shall be automatically rejected at the bid opening. 2.</t>
  </si>
  <si>
    <t xml:space="preserve"> NOTICE TO THE PUBLIC  REQUEST FOR QUOTATION                                           AMP SVP-D NO: 20-07-0297C	              The University of the Philippines, Diliman (UPD) hereby informs the public that it will be procuring the following item/s through</t>
  </si>
  <si>
    <t xml:space="preserve"> RFQ FOR CONSTRUCTION MATERIALS ONLY</t>
  </si>
  <si>
    <t xml:space="preserve"> Clearing &amp; Grubbing  Structure Excavation  Embankment (from borrow) Structural Concrete  Reinforcing Steel Formworks &amp; Falseworks  Fabricated Metal Roofing Accessories  Prepainted Metal Sheets  Cement Plaster Finish Painting Works (Metal Painting) Masonry</t>
  </si>
  <si>
    <t xml:space="preserve"> INVITATION TO BID The municipality of Piagapo through the Bids and Awards Committee (BAC) invites accredited  suppliers for the items stated below: 1.  Project Reference No. :  2020-007- Supply and delivery of construction materials for the construction o</t>
  </si>
  <si>
    <t xml:space="preserve"> Invitation to Bid for Road Concreting at Purok 2, Patag 1.	The Local Government Unit of Manticao intends to apply the sum of P 1,508,601.00 being the Approved Budget for the Contract (ABC) to payments under the contract. Bids received in excess of the ABC</t>
  </si>
  <si>
    <t xml:space="preserve"> INVITATION TO BID FOR  Provision of One (1) Year Subscription of Active Cloud-Based Learning Management System for Use at Kolehiyo ng Lungsod ng Lipa  1.	The City Government of Lipa, through the Trust Fund (TF) 2020 intends to apply the sum of Five Millio</t>
  </si>
  <si>
    <t xml:space="preserve"> NOTICE TO THE PUBLIC  REQUEST FOR QUOTATION                                                  AMP SVP-D NO: 20-07-0345A	              The University of the Philippines, Diliman (UPD) hereby informs the public that it will be procuring the following item/s </t>
  </si>
  <si>
    <t xml:space="preserve"> These bags will be given for 2,600 learners of La Huerta Elementary School. These will be used for delivery and retrieval of all modules for learners for SY 2020-2021</t>
  </si>
  <si>
    <t xml:space="preserve"> Installation &amp; Maintenance of Streetlights                       P 76, 276.13</t>
  </si>
  <si>
    <t xml:space="preserve"> The Agricultural Training Institute Region IV-A (ATI Region IV-A) invites interested suppliers to submit quotations/ proposals for the hereunder requirement: Supply and Delivery of various Construction Supplies and Materials for Enhancement of LSA/SPA/ESP</t>
  </si>
  <si>
    <t xml:space="preserve"> INVITATION FOR NEGOTIATED PROCUREMENT (Two Failed Bidding under Sec. 53.1) In view of the two (2) failed public bidding, the LGU of General Luna, Quezon BAC invites suppliers to participate in the negotiation for PURCHASE OF MATERIALS FOR THE REHABILITATI</t>
  </si>
  <si>
    <t xml:space="preserve"> 2020 Census of Population and Housing Projector Projector Technology: RGB liquid crystal shutter projector system White Light Output (Normal/Eco): 3,600lm / 2,235lm Colour Light Output: 3,600lm USB Interface: USB Type A: 1 (for USB Memory, USB Document Ca</t>
  </si>
  <si>
    <t xml:space="preserve"> Name of  Procuring Entity : DPWH Isabela 4th DEO				 Request for Quatation /(PR No.)	:	RFQ-2020-0013	/	2020-06-0039 Requested on				Date	:	June 29, 2020		 Standard Form/Title: REQUEST FOR QUOTATION		 Office/End-User		:Isabela 4th DEO		 								 Please qou</t>
  </si>
  <si>
    <t xml:space="preserve"> Brief Description of the Project			 Quantity	Unit	Item Description	 1	lot	demolition works	 1	unit	comfort room	 18	sq.m.	CHB divider	 22.8	sq.m.	painting works	 1	lot	playground equipment</t>
  </si>
  <si>
    <t xml:space="preserve"> Various Kitchen Appliances  6 UNI Coffeemaker  70 UNI Microwave Oven, Digital, at least 28 Liters capacity  2  UNI Refrigerator, personal  -In accordance with the Technical Specifications  ABC: Php 594,782.00  NOTE: Please sign all pages of the Technical </t>
  </si>
  <si>
    <t xml:space="preserve"> OFFICE SUPPLIES  200 Balikbayan Box P125.00/box 50 Ballpen, Black P6.00/pc 40 Ballpen, Blue P6.00/pc 30 Ballpen, Red P6.00/pc 100 Battery, AAA, 2pcs per blister pack P10.00/pack 100 Fastener, for paper, metal, 50 sets per box P90.00/set 80 Pagemarker, 5/p</t>
  </si>
  <si>
    <t xml:space="preserve"> Brief Description of the Project		 Quantity	Unit	Item Description 1	lot	demolition works 18	sq.m.	CHB divider 22.8	sq.m.	painting works 1	lot	playground equipment 12	sq.m.	roof framing &amp; roofing</t>
  </si>
  <si>
    <t xml:space="preserve"> Name of  Procuring Entity : DPWH Isabela 4th DEO		 Request for Quatation /(PR No.)	:	RFQ-2020-0014	/	2020-06-0028 Requested on				Date		:June 29, 2020		 Standard Form/Title: REQUEST FOR QUOTATION			' Office/End-User		:Isabela 4th DEO		 								 	Please qo</t>
  </si>
  <si>
    <t xml:space="preserve"> NOTICE TO THE PUBLIC  REQUEST FOR QUOTATION                                            AMP SVP-D NO: 20-07-0114F	              The University of the Philippines, Diliman (UPD) hereby informs the public that it will be procuring the following item/s throug</t>
  </si>
  <si>
    <t xml:space="preserve"> Name of  Procuring Entity : DPWH Isabela 4th DEO			 Request for Quatation /(PR No.)	:	RFQ-2020-0016	/	2020-06-0040 Requested on				Date	:	June 29, 2020		 Standard Form/Title: REQUEST FOR QUOTATION	 Office/End-User	:	ISABELA 4TH DEO		 								 Please qoute</t>
  </si>
  <si>
    <t xml:space="preserve"> Supplies to be used in modular learning for office supplies Unit	Bidders Specifications ream	Bondpaper ( Long) pcs	Ink (Black) pcs	Ink (Colored)</t>
  </si>
  <si>
    <t xml:space="preserve"> Purchase of Breastfeeding Pills</t>
  </si>
  <si>
    <t xml:space="preserve"> CORRECTIVE MAINTENANCE SERVICE OF KOPPEL CEILING CASSETTE SPLITTYPE AIRCONDITIONING NON-INVERTER UNIT Model: KPC-241H1 1 LOT ABC: P33,000.00</t>
  </si>
  <si>
    <t xml:space="preserve"> Supplies to be used in modular learning for Printer QTY	Unit	Bidders Specifications 4	pcs	Printer</t>
  </si>
  <si>
    <t xml:space="preserve"> AS PER APPROVED REQUISITION</t>
  </si>
  <si>
    <t xml:space="preserve"> Furnitures for the following:  1. Conference table 6-8 pax, modesty panel and cabinet, MFC laminated finish, 2mm PVC edge band with glider chairs - 3 set 2. Office chairs, Ergo back, headrest and seat cushion adjust to fit different user's preferences/ ad</t>
  </si>
  <si>
    <t xml:space="preserve"> Republic of the Philippines CITY GOVERNMENT OF ANTIPOLO Antipolo City INVITATION TO BID For the Supply &amp; Delivery of Drugs &amp; Medicines, Fluids &amp; Electrolytes The City Government of Antipolo, through the General Fund intends to apply the sum of P 22,640,90</t>
  </si>
  <si>
    <t xml:space="preserve"> Procurement of Van Rental use for the MILG-Development Coordinating Office and SGA Officials Interface Meeting Cum Rapid Assessment Survey Day 1 Quantity=3 Day 2 Quantity=3 Day 3 Quantity=1 Terms and Conditions: 1. The RFQ form must be fully accomplished.</t>
  </si>
  <si>
    <t xml:space="preserve"> I. SITEWORKS A. EXCAVATION B. GRAVEL BED II. CONCRETE WORKS A. STRUCTURAL CONCRETE B. REINFORCING BARS III. SCAFFOLDING BARS IV. STEEL WORKS</t>
  </si>
  <si>
    <t xml:space="preserve"> Purchase of  materials for rehabilitation of school multi-purpose hall</t>
  </si>
  <si>
    <t xml:space="preserve"> Purchase of contactless handwashing facility</t>
  </si>
  <si>
    <t xml:space="preserve"> For SHN-958 Toyota Hiu-acw 2   sets   Brake Pad 4   gals   Engine Oil 5   ltrs.   Coolant 4   ltrs.   Brake Fluid 4   pcs.   Oil Filter 4   pcs.    Air Filter 4   pcs.   Fuel Filter For SKS-237 Toyota Innova 4   pcs.   Wiper Blade 4   gals.   Engine Oil 2</t>
  </si>
  <si>
    <t xml:space="preserve"> Republic of the Philippines Bangsamoro Autonomous Region in Muslim Mindanao Provincial Government of Maguindanao BIDS AND AWARDS COMMITTEE INVITATION TO BID FOR CONSTRUCTION OF COVERED COURT – TUKA ELEMENTARY SCHOOL 1. The Provincial Government of Maguind</t>
  </si>
  <si>
    <t xml:space="preserve"> 1. 12 seater conference table, dark brown/ black: 168" W x 58"D - 1 pc 2. Custom-made round table 3m diameter, 1m height, laminate finish, 8 detachable portions, drawer, cable holes, dark brown wood - 1 pc 3. Glass board 4 x 8 ft + installation - 1 pc 4. </t>
  </si>
  <si>
    <t xml:space="preserve"> The Zamboanga State College of Marine Sciences and Technology (ZSCMST), through its Bids and Awards Committee, is inviting PhilGeps registered suppliers to apply for eligibility and to submit bids for the items mentioned hereunder: B-038-2020  PROCUREMENT</t>
  </si>
  <si>
    <t xml:space="preserve"> Bids and Awards Committee															 INVITATION TO BID/ REQUEST FOR QUOTATION															 															          The City Government of Pagadian, through its Bids and Awards Committee (BAC), invites suppliers/manufacturers/distributors to apply f</t>
  </si>
  <si>
    <t xml:space="preserve"> REQUEST FOR QUOTATION The Bureau of Jail Management and Penology — National Headquarters (BJMPNHQ), through its Bids and Awards Committee, intends to procure Supply and Delivery of Hologram Security Sticker which will be undertaken in accordance with the </t>
  </si>
  <si>
    <t xml:space="preserve"> OFFICE SUPPLIES PURCHASED</t>
  </si>
  <si>
    <t xml:space="preserve"> Improvement of hand washing facility Qty.	Unit	Agency Specification	                           Bidders Specification 3	roll	Improvement of hand washing facility	    1"  pe pipe 25	pcs		                                                    2 reducer 1/3x1 9	</t>
  </si>
  <si>
    <t xml:space="preserve"> Name of  Procuring Entity : DPWH Isabela 4th DEO		 Request for Quatation /(PR No.)		: RFQ-2020-0015	/	2020-06-0038 Requested on				Date		:June 29, 2020		 Standard Form/Title: REQUEST FOR QUOTATION		 Office/End-User		:Planning &amp; Design Section		 								 P</t>
  </si>
  <si>
    <t xml:space="preserve"> INVITATION TO BID: 1. Project Title: Repair/Rehabilitation of Building and Structure (Improvement of Physical Planning and Development Office, Bids and Awards Committee &amp; Procurement Management Office) 2. Approved Budget for the Contract: Php 1,403,855.73</t>
  </si>
  <si>
    <t xml:space="preserve"> PLEASE SEE ATTACHED INVITATION TO BID</t>
  </si>
  <si>
    <t xml:space="preserve"> Republic of the Philippines Bangsamoro Autonomous Region in Muslim Mindanao Provincial Government of Maguindanao BIDS AND AWARDS COMMITTEE INVITATION TO BID FOR CONSTRUCTION OF COVERED COURT - BRGY. KATIDTUAN 1. The Provincial Government of Maguindanao, t</t>
  </si>
  <si>
    <t xml:space="preserve"> Description:		 			Road Section Length:   68 L.m		 			Roadway Width:  6.0 L.m		 			Pavement Width: 5.0 L.m 		 			Surface type:  PCCP Item 311		 			Thickness: 0.15 m.		 			CONTRACT COST		 	LOT 	1	SPECIAL ITEM- GENERAL CONDITIONS		 	LOT 	1	A. Mobilization an</t>
  </si>
  <si>
    <t xml:space="preserve"> Republic of the Philippines Bangsamoro Autonomous Region in Muslim Mindanao Provincial Government of Maguindanao BIDS AND AWARDS COMMITTEE INVITATION TO BID FOR CONSTRUCTION OF COVERED COURT’S STAGE – BRGY. GANASI 1. The Provincial Government of Maguindan</t>
  </si>
  <si>
    <t xml:space="preserve"> I. TILE WORKS</t>
  </si>
  <si>
    <t xml:space="preserve"> INVITATION TO BID FOR Procurement of Various Surgical Sutures for CY 2020 IB NO: 2020-022 The Western Visayas Medical Center, throughInternally Generated Fund-Hospital Income/FY 2020 GAA, in the amount of Ten Million Six Hundred Twenty Seven Thousand One </t>
  </si>
  <si>
    <t xml:space="preserve"> Please see attached Request for Quotation and Terms and Conditions</t>
  </si>
  <si>
    <t xml:space="preserve"> PLEAS SEE ATTACHED INVITATION TO BID</t>
  </si>
  <si>
    <t xml:space="preserve"> Republic of the Philippines Province of Bukidnon DISTRICT OF TALAKAG 1 CACAON ELEMENTARY SCHOOL Cacaon, Talakag, Bukidnon INVITATION TO SUBMIT QUOTATION FOR THE PROCUREMENT OF GOODS RECOMMENDED FOR SMALL VALUE PROCUREMENT PURSUANT TO SECTION 53.9 OF THE R</t>
  </si>
  <si>
    <t xml:space="preserve"> The Local Government Unit of, through the  DRRM Fund 70% for Preparation &amp; Mitigation CY 2020 intends to apply the sum of One Million Eighty Nine Thousand Nine Hundred Fifty (Php 1,089,950.00)  pesos only being the Approved Budget for the Contract (ABC) t</t>
  </si>
  <si>
    <t xml:space="preserve"> Republic of the Philippines Bangsamoro Autonomous Region in Muslim Mindanao Provincial Government of Maguindanao BIDS AND AWARDS COMMITTEE INVITATION TO BID FOR CONSTRUCTION OF POTABLE WATER SYSTEM – TINUNGKASAN 1. The Provincial Government of Maguindanao</t>
  </si>
  <si>
    <t xml:space="preserve"> I.			CONTRACT COST:		 1.0			DIRECT COST:	 	 1.1			EXCAVATION OF HOLES, ERECTION OF STEEL POLE &amp; RESTORATION OF EXCAVATED MATERIALS		29,000.00 1.2			SOLAR LAMP ACCESSORIES		697,148.00 2.0			INDIRECT COST:		 1.			OCM		18,153.70 2.			PROFIT		72,614.80 3.			T</t>
  </si>
  <si>
    <t xml:space="preserve"> Republic of the Philippines Province of Pangasinan MUNICIPALITY OF POZORRUBIO -o0o- 					 INVITATION TO BID FOR  CONSTRUCTION OF ONE (1) BARREL BOX CULVERT  WITH SLOPE PROTECTION AT BARANGAY MANAOL,  POZORRUBIO, PANGASINAN 1.	The Municipality of Pozorrubi</t>
  </si>
  <si>
    <t xml:space="preserve"> REPUBLIC OF THE PHILIPPINES		 			          PROVINCE OF SIQUIJOR		 					 			        MUNICIPALITY OF SIQUIJOR		 			         REQUEST FOR QUOTATION		 					 			                                                          Date:  		 ______________________________		</t>
  </si>
  <si>
    <t xml:space="preserve"> Republic of the Philippines 				 						City of Manila				 						BARANGAY 618, ZONE 61, DISTRICT VI				 						BIDS AND AWARDS COMMITTEE				 										 										June 29, 2020 										D A T E 						INVITATION TO BID 				 										 BARANGAY 618, ZONE 61, </t>
  </si>
  <si>
    <t xml:space="preserve"> Construction of health center</t>
  </si>
  <si>
    <t xml:space="preserve"> Two Hundred Two (202) ea Ballpen, Blue 1.0mm &amp; 14 other line items</t>
  </si>
  <si>
    <t xml:space="preserve"> Republic of the Philippines 				 						City of Manila				 						BARANGAY 365, ZONE 37, DISTRICT III				 						BIDS AND AWARDS COMMITTEE				 										 										June 29, 2020 										D A T E 						INVITATION TO BID 				 										 BARANGAY 365, ZONE 37,</t>
  </si>
  <si>
    <t xml:space="preserve"> Republic of the Philippines 				 						City of Manila				 						BARANGAY 177, ZONE 16, DISTRICT II				 						BIDS AND AWARDS COMMITTEE				 										 										June 29, 2020 										D A T E 						INVITATION TO BID 				 										 BARANGAY 177, ZONE 16, </t>
  </si>
  <si>
    <t xml:space="preserve"> Republic of the Philippines 				 						City of Manila				 						BARANGAY 606, ZONE 60, DISTRICT VI				 						BIDS AND AWARDS COMMITTEE				 										 										June 29, 2020 										D A T E 						INVITATION TO BID 				 										 BARANGAY 606, ZONE 60, </t>
  </si>
  <si>
    <t xml:space="preserve"> Republic of the Philippines MUNICIPALITY OF PAGBILAO Province of Quezon REQUEST FOR QUOTATION The Municipality of Pagbilao, through its Bids and Awards Committee (BAC), will undertake alternative method of Procurement (Shopping 52.1b) for Supply and Deliv</t>
  </si>
  <si>
    <t xml:space="preserve"> Republic of the Philippines 				 						City of Manila				 						BARANGAY 867, ZONE 95, DISTRICT VI				 						BIDS AND AWARDS COMMITTEE				 										 										June 29, 2020 										D A T E 						INVITATION TO BID 				 										 BARANGAY 867, ZONE 95, </t>
  </si>
  <si>
    <t xml:space="preserve"> CONCRETING OF ROAD</t>
  </si>
  <si>
    <t xml:space="preserve"> SHOPPING AS MODE OF PROCUREMENT FOR SCHOOL AND OFFICE SUPPLIES OF SAN ANDRES ES FOR THE  FIRST QUARTER OF THE CALENDAR YEAR 2020</t>
  </si>
  <si>
    <t xml:space="preserve"> Fifty One (51) ea Coffee Classic, Refill 200g &amp; 45 other line items</t>
  </si>
  <si>
    <t xml:space="preserve"> ITB / BOQ</t>
  </si>
  <si>
    <t xml:space="preserve"> Republic of the Philippines Province of Pangasinan MUNICIPALITY OF POZORRUBIO -o0o- 					 INVITATION TO BID FOR  CONSTRUCTION OF LINED CANAL AT PUROK II,  BARANGAY CABLONG, POZORRUBIO, PANGASINAN 1.	The Municipality of Pozorrubio, through the Local Fund i</t>
  </si>
  <si>
    <t xml:space="preserve"> 1	lot	Improvement of Multi-Purpose Hall (Repair of MDRRM Office) 		Scope of Work: 		Structure Excavation 		Embankment 		Reinforced Concrete 		Reinforcing Steel 		Formworks and Scaffolds 		Carpentry &amp; Joinery Works 		Aluminum Glass Window 		Wooden Panel Do</t>
  </si>
  <si>
    <t xml:space="preserve"> Please see attached copy of Request for Quotation</t>
  </si>
  <si>
    <t xml:space="preserve"> Concreting of Barangay Road @ Brgy Planas, Porac, Pampanga Portland Cement 250 Bags Washed Gravel 28 CU.M Sand 25 CU.M Form Lumber 1 LOT 16 MM diam. RSB 10.50 pcs Asphalt Sealant 0.50 Drum</t>
  </si>
  <si>
    <t xml:space="preserve"> CONSTRUCTION OF REST ROOMS Item No.	Description 	Unit	Quantity PART A 	GENERAL REQUIREMENTS		 a	Const.Safety and Health Program	Lot	 1.00  b	Project Billboard	Unit	 1.00  PART B 			 I	Excavation Works, Uncommon	cu.m.	 48.00  II	Gravel Bedding	cu.m.	 5.50 </t>
  </si>
  <si>
    <t xml:space="preserve"> Republic of the Philippines Province of Cebu MUNICIPALITY OF BALAMBAN Balamban, Cebu Telefax: (032) 316 – 4960 OFFICE OF THE BIDS and AWARDS COMMITTEE INVITATION TO BID FOR MEDICAL EQUIPMENT (for Laboratory)  1.	The Municipality of Balamban, through the R</t>
  </si>
  <si>
    <t xml:space="preserve"> Purchase of Laptops to be used by Porac Model Comm. High School 4 Units Laptop * i5 processor 1TB HDD w/ 25g SSD 15.6 LED Display w/ win10 OS 2GB Videocard GDDRS</t>
  </si>
  <si>
    <t xml:space="preserve"> Repair and maintenance of Aircon Services of Various Service Vehicle 1 unit toyota innova with plate no. (SLF 453) 1 unit foton Gratour midi Truck with CS no. (GC1550) 1 unit Toyota Hi-Lux FX with plate no. (SJL 588) 1 unit Toyota Hi-Lux FX with plate no.</t>
  </si>
  <si>
    <t xml:space="preserve"> Snacks AM Lunch Snacks PM</t>
  </si>
  <si>
    <t xml:space="preserve"> Republic of the Philippines Province of Aklan Municipality of Ibajay Barangay Agbago INVITATION TO BID “PURCHASE OF MATERIALS &amp; SUPPLIES FOR THE REHABILITATION OF BARANGAY STREET LIGHTS AC – 2020-002 The BARANGAY COUNCIL OF AGBAGO, through the 20% Develop</t>
  </si>
  <si>
    <t xml:space="preserve"> Provision of One unit Brand New Motorcycle 149.2 CM cc Displacement Electric System for Crime Prevention and Law Enforcement Activities</t>
  </si>
  <si>
    <t xml:space="preserve"> ROAD CONCRETING Item No.	Description 	Unit	Quantity PART A 	GENERAL REQUIREMENTS		 a	Const.Safety and Health Program	LS	 1.00  b	Project Billboard	Unit	 1.00  c	Mobilization/Demobilization	Lot	 1.00  PART B 			 I	Subgrade Preparation	sq.m.	 1,434.00  II	A</t>
  </si>
  <si>
    <t xml:space="preserve"> Standard Form No.: SF-GOODS-               Republic of the Philippines          MUNICIPALITY OF ROSALES                  Province of Pangasinan INVITATION TO BID 	The Municipality of Rosales, through its Bids and Awards Committee (BAC), invites suppliers/</t>
  </si>
  <si>
    <t xml:space="preserve"> Republic of the Philippines											 Department of Public Works and Highways											 TACLOBAN CITY 											 DISTRICT ENGINEERING OFFICE											 REGIONAL OFFICE VIII											 New Bus Terminal, Brgy. Abucay, Tacloban City	 										 Procuring </t>
  </si>
  <si>
    <t xml:space="preserve"> Floodlight, LED, 100 watts Assembly: - Floodlight, LED Type, 100 watts Lamp Assembly  - 100 watts, 240VAC, 60Hz - Protection Standard - IP65 - 8,000 Lumens or greater - Lifetime: 15,000 Hrs. or greater - Heavy Duty, Good Quality of Kn owned Brand - China </t>
  </si>
  <si>
    <t xml:space="preserve"> 1. The  Municipality  of   Laua-an,  Antique   intends  to  apply  the  sum   of One Hundred Ninety Nine Thousand Nine Hundred Seventy One Pesos &amp; 24/100 Only (Php199,971.24) being the Approved  Budget  for the  Contract  (ABC) to payments under the contr</t>
  </si>
  <si>
    <t xml:space="preserve"> Republic of the Philippines Province of Pangasinan MUNICIPALITY OF POZORRUBIO -o0o- 					 INVITATION TO BID FOR  CONSTRUCTION OF MULTI-PURPOSE HALL (PHASE II) AT BARANGAY CASANFERNANDOAN, POZORRUBIO, PANGASINAN 1.	The Municipality of Pozorrubio, through t</t>
  </si>
  <si>
    <t xml:space="preserve"> Republic of the Philippines Province of Cebu MUNICIPALITY OF BALAMBAN Balamban, Cebu Telefax: (032) 316 – 4960 OFFICE OF THE BIDS and AWARDS COMMITTEE INVITATION TO BID FOR MEDICAL SUPPLIES (1st – 3rd Quarter)  1.	The Municipality of Balamban, through the</t>
  </si>
  <si>
    <t xml:space="preserve"> Invitation to Bid No.: 06-2020-05 Date: June 29, 2020 1. The Malaybalay City Water District, through the 2020 Corporate Budget for the contract approved by the Malaybalay City Water District Board of Directors intends to apply the sum of 738,200.00 being </t>
  </si>
  <si>
    <t xml:space="preserve"> NO.	QTY	UNIT	PARTICULARS/DESCRIPTION AND SPECIFICATIONS	APPROVED BUDGET COST	QUOTED PRICE 				UNIT COST	 1	1	LOT	PROPOSED POWER &amp; WATER PROVISION FOR ADDITIONAL DRINKING FOUNTAIN 	 136,000.00 	 			Duration 30 C.D		 			Contract I.D. No. SVP-15-20</t>
  </si>
  <si>
    <t xml:space="preserve"> Republic of the Philippines Department of Health Western Visayas Center for Health Development  INVITATION TO BID FOR  Radio Plugging IB NO.2020-048 1.	The Department of Health- Western Visayas Center for Health Development, through the GOP/Sub-Allotment </t>
  </si>
  <si>
    <t xml:space="preserve"> Republic of the Philippines Department of Health Western Visayas Center for Health Development  INVITATION TO BID FOR  Purchase of IT Software IB NO.2020-046 1.	The Department of Health-Western Visayas Center for Health Development through the GOP/Sub-All</t>
  </si>
  <si>
    <t xml:space="preserve"> Republic of the Philippines Department of Health Western Visayas Center for Health Development  INVITATION TO BID FOR  Procurement of Hygiene Kit and Collapsible Water Drinking Container IB No. 2020-045 1.	The Department of Health- Western Visayas Center </t>
  </si>
  <si>
    <t xml:space="preserve"> Republic of the Philippines Department of Health Western Visayas Center for Health Development  INVITATION TO BID FOR  TV Plugging IB NO.2020-044 1.	The Department of Health- Western Visayas Center for Health Development, through the GOP/Sub-Allotment Fun</t>
  </si>
  <si>
    <t xml:space="preserve"> Republic of the Philippines Province of Cebu MUNICIPALITY OF BALAMBAN Balamban, Cebu Telefax: (032) 316 – 4960 OFFICE OF THE BIDS and AWARDS COMMITTEE INVITATION TO BID FOR RABIES VACCINE (for Animal Bite Treatment Center)  1.	The Municipality of Balamban</t>
  </si>
  <si>
    <t xml:space="preserve"> ICT Products please refer to the Line-Item</t>
  </si>
  <si>
    <t xml:space="preserve"> 2100 L DIESEL</t>
  </si>
  <si>
    <t xml:space="preserve"> Republic of the Philippines Department of Health Western Visayas Center for Health Development  INVITATION TO BID FOR  Purchase of Bond Paper IB NO.2020-049 1.	The Department of Health-Western Visayas Center for Health Development through the GOP/Sub-Allo</t>
  </si>
  <si>
    <t xml:space="preserve"> Floor mounted air conditioner</t>
  </si>
  <si>
    <t xml:space="preserve"> ITEM #	QUANTITY			ITEM &amp; DESCRIPTION					 									 1	8	units	Printer						 			          L3110 or its Equivalent						 			          All in One Printer (Print, Scan, Copy)						 			          400DPL Print 						 			          Color Ink System : Continuous In</t>
  </si>
  <si>
    <t xml:space="preserve"> Republic of the Philippines Department of Health Western Visayas Center for Health Development  INVITATION TO BID FOR  Photography and Videography Services 				IB NO.2020-041 1.	The Department of Health- Western Visayas Center for Health Development, thro</t>
  </si>
  <si>
    <t xml:space="preserve"> Republic of the Philippines Department of Health Western Visayas Center for Health Development  INVITATION TO BID FOR  Purchase of IT Supplies, Peripherals and Equipment IB NO.2020-042 1.	The Department of Health-Western Visayas Center for Health Developm</t>
  </si>
  <si>
    <t xml:space="preserve"> Supply and Delivery of Three (3) sets of Lineman’s Gloves, as per BSP Supplied Evaluation Matrix, Technical Specifications and Terms and Conditions</t>
  </si>
  <si>
    <t xml:space="preserve"> ITEM #	QUANTITY			ITEM &amp; DESCRIPTION					 									 1	2500	pcs	Student Handbook						 			          Size : 8.5" x 5.5"						 			          Cover : Colored, Glossy						 			          Inside Pages : Black Print, Plain Paper						 			*****END*****						 			(Se</t>
  </si>
  <si>
    <t xml:space="preserve"> Republic of the Philippines Province of Pangasinan MUNICIPALITY OF POZORRUBIO -o0o- 					 INVITATION TO BID FOR  ROAD CONCRETING AT BARANGAYS VILLEGAS &amp; BANTUGAN,  POZORRUBIO, PANGASINAN 1.	The Municipality of Pozorrubio, through the Local Fund intends to</t>
  </si>
  <si>
    <t xml:space="preserve"> ITEM #	QUANTITY			ITEM &amp; DESCRIPTION					 									 1	1	unit	Multi - Purpose Vehicle						 			          4 Cylinders, SOHC 16V						 			          1590cc (1.6L) - displacement						 			          91HP @ 5750 rpm - max output						 			          127Nm @ 4500rp</t>
  </si>
  <si>
    <t xml:space="preserve"> ITEMS	QUANTITY			ITEM &amp; DESCRIPTION					 									 1	4	pcs	Loudspeaker, 2way powered, 15" TC series 2000w peak 1000w RMS						 2	4	sets	Signal Cable 15m XLR M/F 						 3	2	sets	Dual Wireless Microphone						 4	2	pcs	12 Channel Mixer with DSP Effects						</t>
  </si>
  <si>
    <t xml:space="preserve"> Republic of the Philippines Department of Health Western Visayas -Center for Health Development  INVITATION TO BID FOR  Freight and Handling Services IB No. 2020-050 1.	The Department of Health Western Visayas Center for Health Development, through the 20</t>
  </si>
  <si>
    <t xml:space="preserve"> a. CONTRACT ID: RIZAL-17JULY2020-1 b. NAME OF PROJECT: Construction of Elevated Water Tank, Installation of Water Distribution Lines &amp; Construction of Artesian Well at Brgy. Bombong &amp; Brgy. Rayap, Binangonan, Rizal a)  Construction of 4,000 gallons Elevat</t>
  </si>
  <si>
    <t xml:space="preserve"> Republic of the Philippines Department of Health Western Visayas Center for Health Development  INVITATION TO BID FOR  Rental of LED Wall and Audio System IB NO.2020-040 1.	The Department of Health- Western Visayas Center for Health Development, through t</t>
  </si>
  <si>
    <t xml:space="preserve"> a. CONTRACT ID: RIZAL-17JULY2020-2 b. NAME OF PROJECT: Construction of Water System Level III &amp; Upgrading of Electrical Sevice Entrance at Sapang Elementary School, Brgy. Sapang, Binangonan, Rizal c. LOCATION: Brgy. Sapang, Binangonan, Rizal  d. BRIEF DES</t>
  </si>
  <si>
    <t xml:space="preserve"> P.R. No. X7-20-05-205 - Supply and Delivery for the in the Service Vehicle of the Planning and Design Division. (Please see attached RFQ)</t>
  </si>
  <si>
    <t xml:space="preserve"> P.R. No. X1-20-05-218 - Supply and Delivery for the use of DPWH X Compound and ORD. (Please see attached RFQ)</t>
  </si>
  <si>
    <t xml:space="preserve"> 1. The Municipality of Laua-an, Antique intends to apply the sum of One Hundred Ninety Nine Thousand Nine Hundred Seventy One Pesos &amp; 24/100 Only (Php199,971.24) being the Approved Budget for the Contract (ABC) to payments under the contract Purchase of F</t>
  </si>
  <si>
    <t xml:space="preserve"> P.R. No. X7-20-06-229 - Supply and Delivery for the use in the Planning and Design Division, Repair and Maintenance of ISUZU DOUBLE CAB DMAX with plate no. AAG-9562. (Please see attached RFQ)</t>
  </si>
  <si>
    <t xml:space="preserve"> Republic of the Philippines Department of Health Western Visayas Center for Health Development  INVITATION TO BID FOR  Purchase of New Power Distribution Transformers for new DOH Building IB NO.2020-052 1.	The Department of Health-Western Visayas Center f</t>
  </si>
  <si>
    <t xml:space="preserve"> P.R. No. X7-20-06-228 - Supply and Delivery for the use in the Planning and Design Division, Repair and Maintenance of LMT-283. (Please see attached RFQ)</t>
  </si>
  <si>
    <t xml:space="preserve"> PROJECT BILLBOARD                                                 1 LOT MOBILIZATION/DEMOBILIZATION                               1 LUMPSUM REINFORCING STEEL BAR DEFORMED                      522.50 KGS STRUCTURAL CONCERETE                                </t>
  </si>
  <si>
    <t xml:space="preserve"> INVITATION TO QUOTE SUPPLY AND DELIVERY OF ONE (1) UNIT FORWARD TRUCK, ONE (1) UNIT CLOSED VAN AND ONE (1) UNIT REEFER VAN FOR USE IN THE IMPLEMENTATION OF CAMARINES NORTE PINEAPPLE TRADING AND PROCESSING PROJECT Solicitation No.:  PRDP-IR-R005-CAN-002-00</t>
  </si>
  <si>
    <t xml:space="preserve"> ITEM #	QUANTITY			ITEM &amp; DESCRIPTION					 									 1	30	boxes	Co-Amoxiclav 625mg tab, 100's						 2	20	boxes	Cefuroxime 500mg tab, 100's						 3	15	boxes	Cifrofloxacin 500mg caps, 100's						 4	5	boxes	Clindamycin 300mg tab, 100's						 5	5	boxes	Clarith</t>
  </si>
  <si>
    <t xml:space="preserve"> ITEM #	QUANTITY			ITEM &amp; DESCRIPTION					 									 1	10	sets	Double Deck Bed with Foam						 			Double Deck Bed Size : 30 x 30 x 75 						 			Foam Size : 2 x 30 x 75						 			(See attached sample)						 2	1	unit	Massage Bed, Portable (Foldable)						 			</t>
  </si>
  <si>
    <t xml:space="preserve"> P.R. No. X3-20-03-179 - Supply and Delivery for the request of additional furniture and office equipment. (Please see attached RFQ)</t>
  </si>
  <si>
    <t xml:space="preserve"> Republic of the Philippines Department of Health Western Visayas Center for Health Development  INVITATION TO BID FOR  Procurement of Emergency Newborn Kits IB No. 2020-054 1.	The Department of Health- Western Visayas Center for Health Development, throug</t>
  </si>
  <si>
    <t xml:space="preserve"> Republic of the Philippines DEPARTMENT OF PUBLIC WORKS &amp; HIGHWAYS Region X Office of the Regional Director Bulua, Cagayan de Oro City REQUEST FOR QUOTATION June 24, 2020 __________ __________ Dear Sir/Madam,  We are respectfully inviting you to submit you</t>
  </si>
  <si>
    <t xml:space="preserve"> OFFICE SUPPLIES AND MATERIALS</t>
  </si>
  <si>
    <t xml:space="preserve"> a. CONTRACT ID: RIZAL-17JULY2020-7 b. NAME OF PROJECT: Asphalt Overlaying/Concrete Reblocking (portion) of J.P. Burgos St., Sitio Sambungan, Brgy. Bagumbong, Jalajala, Rizal c. LOCATION: Brgy. Bagumbong, Jalajala, Rizal d. BRIEF DESCRIPTION: Road improvem</t>
  </si>
  <si>
    <t xml:space="preserve"> a. CONTRACT ID: RIZAL-17JULY2020-6 b. NAME OF PROJECT: Construction of 2-Storey Ynares Multi-Purpose Building at Palmera 1, Brgy. Dolores, Taytay, Rizal c. LOCATION: Brgy. Dolores, Taytay, Rizal  d. BRIEF DESCRIPTION: Construction of Ynares Multi-Purpose </t>
  </si>
  <si>
    <t xml:space="preserve"> Republic of the Philippines DEPARTMENT OF PUBLIC WORKS &amp; HIGHWAYS Region X Office of the Regional Director Bulua, Cagayan de Oro City REQUEST FOR QUOTATION June 24, 2020 ___________ ___________ ___________ Dear Sir/Madam,  We are respectfully inviting you</t>
  </si>
  <si>
    <t xml:space="preserve"> P.R. No. X11-20-06-221 - Supply and Delivery for the use of the EMD Base Shop (Shop Supplies and Tools). (Please see attached RFQ)</t>
  </si>
  <si>
    <t xml:space="preserve"> a. CONTRACT ID: RIZAL-17JULY2020-4 b. NAME OF PROJECT: Construction of 15x30m Ynares Multi-Purpose Covered Court at Taytay Senior High School, Brgy. Dolores, Taytay, Rizal c. LOCATION: Brgy. Dolores, Taytay, Rizal d. BRIEF DESCRIPTION: Construction of Yna</t>
  </si>
  <si>
    <t xml:space="preserve"> Republic of the Philippines Department of Health Western Visayas Center for Health Development  INVITATION TO BID FOR  Purchase of IT Consumables IB NO.2020-053 1.	The Department of Health-Western Visayas Center for Health Development through the GOP/Sub-</t>
  </si>
  <si>
    <t xml:space="preserve"> Republic of the Philippines Department of Health Western Visayas Center for Health Development  INVITATION TO BID FOR  Purchase of Oil Proof Performance Sprayer IB NO.2020-051 1.	The Department of Health-Western Visayas Center for Health Development throu</t>
  </si>
  <si>
    <t xml:space="preserve"> a. CONTRACT ID: RIZAL-17JULY2020-10 b. NAME OF PROJECT: Construction of Stone Masonry Headwall (portion) of Wawa Boulevard, Brgy. Wawa, Pililla, Rizal c. LOCATION: Brgy. Wawa, Pililla, Rizal d. BRIEF DESCRIPTION: Slope protection. e. MAJOR ITEM OF WORK: S</t>
  </si>
  <si>
    <t xml:space="preserve"> Rehabilitation of Post-Harvest Facility (Warehouse-tiles and painting works &amp; Solar Dryer-plastering of surface)</t>
  </si>
  <si>
    <t xml:space="preserve"> DEPARTMENTOF SOCIAL WELFARE AND DEVELOPMENT Regional  Office No. 10, Masterson Avenue, Upper Carmen, Cagayan de Oro City INVITATION TO BID FOR Rebidding of Purchase and Delivery of Supplies for Bahay Silungan use 1.	The Department of Social Welfare and De</t>
  </si>
  <si>
    <t xml:space="preserve"> Installation of 3-Phase Primary Line Extension with Transformer and Electrical Accessories</t>
  </si>
  <si>
    <t xml:space="preserve"> a. CONTRACT ID: RIZAL-17JULY2020-8 b. NAME OF PROJECT: Construction / Extension of Jalajala Municipal Building, Brgy. First District, Jalajala, Rizal c. LOCATION: Brgy. First District, Jalajala, Rizal  d. BRIEF DESCRIPTION: Construction of Building. e. MA</t>
  </si>
  <si>
    <t xml:space="preserve"> P.R. No. X1-20-04-197 - Supply and Delivery for the use in the Regional Office equipment use for threat of spread of COVID-19. (Please see attached RFQ)</t>
  </si>
  <si>
    <t xml:space="preserve"> P.R. No. X3-20-03-178 - Supply and Delivery for the Finance Division Office Supplies for the 1st quarter. (Please see attached RFQ)</t>
  </si>
  <si>
    <t xml:space="preserve"> INVITATION TO BID The Municipal Government of Laoac, Pangasinan through its Bids and Awards Committee (BAC), invites suppliers/ manufacturers/distributors/contractors to bid for the hereunder contract/s: Name of Project	: PROCUREMENT OF 5 UNITS HAND TRACT</t>
  </si>
  <si>
    <t xml:space="preserve"> a. CONTRACT ID: RIZAL-17JULY2020-3 b. NAME OF PROJECT: Upgrading of Maria Clara St. (B. Pag-Asa - Rizal Avenue), Brgy. Sta. Ana &amp; Brgy. San Isidro, Taytay, Rizal c. LOCATION: Brgy. Sta. Ana &amp; Brgy. San Isidro, Taytay, Rizal  d. BRIEF DESCRIPTION: Road imp</t>
  </si>
  <si>
    <t xml:space="preserve"> a. CONTRACT ID: RIZAL-17JULY2020-9 b. NAME OF PROJECT: Improvement / Concreting (portion) of Road at Sitio Yapak, Brgy. Lagundi, Morong, Rizal c. LOCATION: Brgy. Lagundi, Morong, Rizal d. BRIEF DESCRIPTION: Road improvement. e. MAJOR ITEM OF WORK: PCC Pav</t>
  </si>
  <si>
    <t xml:space="preserve"> a. CONTRACT ID: RIZAL-17JULY2020-5 b. NAME OF PROJECT: Construction of Fence, Riprap &amp; Concreting of School Ground at Taytay Senior High School, Brgy. Dolores, Taytay, Rizal c. LOCATION: Brgy. Dolores, Taytay, Rizal d. BRIEF DESCRIPTION: Construction of F</t>
  </si>
  <si>
    <t xml:space="preserve"> a. CONTRACT ID: RIZAL-17JULY2020-11 b. NAME OF PROJECT: Asphalt Overlaying and Concrete Reblocking (portion) of Sitio Bulacan 1 Road, Brgy. Bagumbayan, Pililla, Rizal c. LOCATION: Brgy. Bagumbayan, Pililla, Rizal d. BRIEF DESCRIPTION: Road improvement.  e</t>
  </si>
  <si>
    <t xml:space="preserve"> Project 2020-16: Purchase of 225mm dia. uPVC Pipes Series 8, Fixed Seal Approved Budget of the Contract: Php 1,479,974.98 Delivery Schedule: 45 Calendar Days</t>
  </si>
  <si>
    <t xml:space="preserve"> CONSTRUCTION OF PERIMETER FENCE</t>
  </si>
  <si>
    <t xml:space="preserve"> The Department of Agriculture-RFO 3, invites interested suppliers to submit quotations/proposals for the hereunder requirement, to wit: 		CELLCARDS (REGULAR LOAD)	 2,000	pcs	Smart/Globe/Sun Cellular (worth 100 pesos per piece)	 			 		Smart	700 pcs 		Globe</t>
  </si>
  <si>
    <t xml:space="preserve"> a. CONTRACT ID: RIZAL-17JULY2020-15 b. NAME OF PROJECT: Repair/Repainting of Ynares School Bldg. at Virgilio B. Melendres Elem. School, Brgy. Takungan, Pililla, Rizal c. LOCATION: Brgy. Takungan, Pililla, Rizal  d. BRIEF DESCRIPTION: Improvement of Ynares</t>
  </si>
  <si>
    <t xml:space="preserve"> a. CONTRACT ID: RIZAL-17JULY2020-14 b. NAME OF PROJECT: Asphalt Overlaying and Concrete Reblocking (portion) of P. Oleta St., Brgy. Wawa, Pililla, Rizal c. LOCATION: Brgy. Wawa, Pililla, Rizal  d. BRIEF DESCRIPTION: Road improvement. e. MAJOR ITEM OF WORK</t>
  </si>
  <si>
    <t xml:space="preserve"> a. CONTRACT ID: RIZAL-17JULY2020-13 b. NAME OF PROJECT: Asphalt Overlaying and Concrete Reblocking (portion) of Sitio Lipat-Lipat Road, Brgy. Hulo, Pililla, Rizal c. LOCATION: Brgy. Hulo, Pililla, Rizal d. BRIEF DESCRIPTION: Road improvement. e. MAJOR ITE</t>
  </si>
  <si>
    <t xml:space="preserve"> a. CONTRACT ID: RIZAL-17JULY2020-12 b. NAME OF PROJECT: Asphalt Overlaying and Concrete Reblocking (portion) of Sitio Ligua Road,  Brgy.  Hulo, Pililla, Rizal c. LOCATION: Brgy.  Hulo,  Pililla, Rizal  d. BRIEF DESCRIPTION: Road improvement. e. MAJOR ITEM</t>
  </si>
  <si>
    <t xml:space="preserve"> VARIOUS SUPPLIES Qty.	Unit	Item/Description				ABC 						 10	pcs	Sofa bed 7.5 x 36.75				 85,000.00  10	pcs	Pillow (51 x 66 cm) Standard Size	   5,000.00  10	pcs	Blanket				                 10,000.00  		GRAND TOTAL				₱100,000.00</t>
  </si>
  <si>
    <t xml:space="preserve"> Construction of concrete pavement P-7B</t>
  </si>
  <si>
    <t xml:space="preserve"> 4 units laptop computer PEO</t>
  </si>
  <si>
    <t xml:space="preserve"> Invitation to Bid for the Supply and Delivery of various Medicine for the use of Brgy. San Jose Sico, Batangas City</t>
  </si>
  <si>
    <t xml:space="preserve"> CNH-0620-061</t>
  </si>
  <si>
    <t xml:space="preserve"> Republic of the Philippines City of Alaminos Province of Pangasinan BARANGAY CAYUCAY INVITATION TO BID FOR THE PROCUREMENT OF LABOR AND MATERIALS FOR THE INSTALLATION OF SOLAR STREETLIGHTS AT BRGY. CAYUCAY, ALAMINOS CITY, PANGASINAN 1. The BARANGAY COUNCI</t>
  </si>
  <si>
    <t xml:space="preserve"> Purchase of Citation Tickets for POSO Office</t>
  </si>
  <si>
    <t xml:space="preserve"> PLEASE SEE PURCHASE REQUEST AND REQUEST FOR QUOTATION FOR SPECIFICATIONS</t>
  </si>
  <si>
    <t xml:space="preserve"> The National Irrigation Administration-Regional Office XII, through the GAA Fund CY2019 and CY2020 intends to apply the sum of TWO MILLION SEVEN HUNDRED THOUSAND TEN PESOS &amp; 50/100 (P 2,700,010.50) being the Approved Budget for the Contract (ABC) to payme</t>
  </si>
  <si>
    <t xml:space="preserve"> 5 sets decktop computer PEO</t>
  </si>
  <si>
    <t xml:space="preserve"> Republic of the Philippines Province of Cebu MUNICIPALITY OF BALAMBAN Balamban, Cebu Telefax: (032) 316 – 4960 OFFICE OF THE BIDS and AWARDS COMMITTEE INVITATION TO BID FOR MEDICINES (for Mental Health Program)  1.	The Municipality of Balamban, through th</t>
  </si>
  <si>
    <t xml:space="preserve"> OFFICE SUPPLIES- Php 61,575.00</t>
  </si>
  <si>
    <t xml:space="preserve"> Republic of the Philippines Province of Cebu MUNICIPALITY OF BALAMBAN Balamban, Cebu Telefax: (032) 316 – 4960 OFFICE OF THE BIDS and AWARDS COMMITTEE INVITATION TO BID FOR VETERINARY SUPPLIES (for Livelihood Project)  1.	The Municipality of Balamban, thr</t>
  </si>
  <si>
    <t xml:space="preserve"> Republic of the Philippines Municipality of Taytay Taytay, Palawan NOTICE TO BIDDERS Item # Qty Unit Description Amount 1. 1 unit SCANNER: Specs: Compact size and Footpring, - Powered via USB 3.0 bus powered, AC adapter or in Built-in Battery - Dedicated </t>
  </si>
  <si>
    <t xml:space="preserve"> 1	Portable Toilet	2	units		 	-US Brand -Made of Plastic -Size: 1.15m x 1.15m x 2.3m				 2	Portablets Deodorizer	2	packs		 	-designed to deodorize portable toilet				 	Note: 1.	VAT Inclusive 2.	FOB MNWD, Naga City 3.	Partial Delivery shall not be accepted	</t>
  </si>
  <si>
    <t xml:space="preserve"> One (1) unit Split type Wall Mount Aircon w/ Installation</t>
  </si>
  <si>
    <t xml:space="preserve"> Construction of multipurpose hall Phase-1</t>
  </si>
  <si>
    <t xml:space="preserve"> Various I.T. Supplies</t>
  </si>
  <si>
    <t xml:space="preserve"> Republic of the Philippines Municipality of Taytay Taytay, Palawan NOTICE TO BIDDERS Item # Qty Unit Description Amount Bulldozer #03 1. 1 pc Priming Pump 2. 5 pcs Ripper Point 3. 5 pcs Pin Assy. Vibrator Roller #01 4. 4 pcs Rubber Damper Wheel Loader KOM</t>
  </si>
  <si>
    <t xml:space="preserve"> ITEM: 489 bags Portland Cement 40kg							 2 bags Non-Shrink Cement							 ( FOR STAGGERED DELIVERY) PURPOSE: "VARIOUS WORK ORDER(W.O.#19-027-F) (W.O.#20-013-A)(W.O.#20-026-D)(W.O.#20-019-A) (W.O.#19-057-F) (W.O.#20-021-D)(W.O.#19-077-D) (W.O.#20-028- F)"</t>
  </si>
  <si>
    <t xml:space="preserve"> Republic of the Philippines GENERAL SANTOS CITY WATER DISTRICT                       E. Fernandez Street, Barangay Lagao General Santos Telephone No.: 552-3824; Telefax No.: 553-4960 Email Address:  gscwdprocurement@yahoo.com REQUEST FOR QUOTATION RFQ No.</t>
  </si>
  <si>
    <t xml:space="preserve"> Republic of the Philippines Province of Cebu MUNICIPALITY OF BALAMBAN Balamban, Cebu Telefax: (032) 316 – 4960 OFFICE OF THE BIDS and AWARDS COMMITTEE INVITATION TO BID FOR Various Infrastructure Projects of the Municipality (Materials only) 1.	The Munici</t>
  </si>
  <si>
    <t xml:space="preserve"> A. Thermoplastic Kneader		 Type: Mechanical (double/single pot system)		 Dimension: 1800mm x 700 mm x 2060		 weight: 350 kgs		 Pot Capacity: 200kgs.		 Stirring Rotating Blades: 6 blades		 Driving System: Mechanical Gear Box		 Heat Source: LPG cylinder		 L</t>
  </si>
  <si>
    <t xml:space="preserve"> Procurement of Diesel Engine Generator Set</t>
  </si>
  <si>
    <t xml:space="preserve"> I. SUBBASE &amp; BASE COURSE II. CONCRETE WORKS III. FORMWORKS</t>
  </si>
  <si>
    <t xml:space="preserve"> Republic of the Philippines					 DEPARTMENT OF PUBLIC WORKS AND HIGHWAYS					 BUTUAN CITY DISTRICT ENGINEERING OFFICE					 REGIONAL OFFICE XIII					 Butuan City, Agusan del Norte					   Tel. Nos. 342-5331  Fax No. 225-2022					 Name of Procuring Entity: D</t>
  </si>
  <si>
    <t xml:space="preserve"> SPECIFICATIONS: Displacement: 2,480 to 2,500cc Type: 4-Cylinder, DOHC, Variable Turbo Charger with Intercooler Maximum Power: 185-195PS/3,500-3,600rpm Fuel: Diesel Fuel System: Common Rail Direct Injection Transmission:  6-Speed MT Wheels: 255/65 R17 Allo</t>
  </si>
  <si>
    <t xml:space="preserve"> Republic of the Philippines GENERAL SANTOS CITY WATER DISTRICT                       E. Fernandez Street, Barangay Lagao General Santos Telephone No.: 552-3824; Telefax No.: 553-4960 Email Address:  gscwdprocurement@yahoo.com REQUEST FOR QUOTATION RFQ NO.</t>
  </si>
  <si>
    <t xml:space="preserve"> a. CONTRACT ID: RIZAL-17JULY2020-17 b. NAME OF PROJECT: Construction of Ynares Multi-Purpose Covered Court (Rafter Type) at Carissa Homes East-1, Brgy. Bagumbayan, Teresa, Rizal c. LOCATION: Brgy. Bagumbayan, Teresa, Rizal d. BRIEF DESCRIPTION: Constructi</t>
  </si>
  <si>
    <t xml:space="preserve"> ITEM NO.	QTY.	UNIT OF ISSUE	ITEM DESCRIPTION		ESTIMATED COST 1	2	units	Airconditioner, Wall Mounted Split Type, 2.5HP, Inverter	  	 110,000.00  2	1	unit	Airconditioner, Window Type, 2.5HP, Non-inverter	 	 32,500.00  Total: Php 142,500.00 			xxxxxxx</t>
  </si>
  <si>
    <t xml:space="preserve"> Invitation to Bid for the Supply and Delivery of CCTV Camera for the use of Brgy. Dumantay, Batangas City</t>
  </si>
  <si>
    <t xml:space="preserve"> Item Description	Quantity	Unit a.	Ceramic tiles      60 cm x 60 cm	1099	pcs b.	Tile adhesive	158	bags c.	Tile grout	4	Kg d.	Washed sand	20	Cum e.	Portland cement	158	Bags f.	Nylon #80	2	Rolls g.	Double furring 19mm x 50mm x 5m  T40mm	68	Pcs h.	Carrying ch</t>
  </si>
  <si>
    <t xml:space="preserve"> REQUEST FOR QUOTATION (RFQ) 											Date: June 29, 2020 The Owner/Proprietor _________________________ Borongan City Sir: Please quote your price for the items specified below, taking into consideration the following &amp; fill-up the above portion “The Ow</t>
  </si>
  <si>
    <t xml:space="preserve"> Republic of the Philippines PROVINCE OF NUEVA VIZCAYA Invitation to Bid for the  CONSTRUCTION OF TUPLAC CIS Located at Dulli, Ambaguio, Nueva Vizcaya  1.	The Provincial Government of Nueva Vizcaya, through the 20% Development Fund 2020 intends to apply th</t>
  </si>
  <si>
    <t xml:space="preserve"> Republic of the Philippines Municipality of Taytay Taytay, Palawan NOTICE TO BIDDERS Item # Qty Unit Description Amount 1.    1     Lot    Water Service Connection Materials/Fitting  The two envelope system of procurement shall be observed, Bidding docume</t>
  </si>
  <si>
    <t xml:space="preserve"> a. CONTRACT ID: RIZAL-17JULY2020-16 b. NAME OF PROJECT: Asphalt overlaying of Various Roads at Bancom Life Homes, Brgy. Gulod Malaya, San Mateo, Rizal c. LOCATION: Brgy. Gulod Malaya, San Mateo, Rizal d. BRIEF DESCRIPTION: Road improvement. e. MAJOR ITEM </t>
  </si>
  <si>
    <t xml:space="preserve"> Repair/rehabilitation of pathway P-1,2 &amp; 3</t>
  </si>
  <si>
    <t xml:space="preserve"> INVITATION TO BID FOR PROCUREMENT OF MATERIALS AND RENTAL OF EQUIPMENT FOR RIPRAPPING/ ROAD SHOULDERING 1.	The Barangay Rizal, through the 20% Barangay Development Fund intends to apply the sum of One Hundred Eighty-Seven Thousand One Hundred Twenty-Five </t>
  </si>
  <si>
    <t xml:space="preserve"> Purchase of Construction Supplies as indicated in the School Improvement Plan</t>
  </si>
  <si>
    <t xml:space="preserve"> 100 pcs Folder Long 100 pcs Folder short 2 boxes fastener 2boxes staple wire #35 2 dozens ballpen black 1 dozen ballpen red 3 pcs broom 6 cans tycoon 10 pcs record book - 500pages 16 pcs columnar 18/20 column 2 pcs scissor 1 pc puncher 1 pc plastic tape h</t>
  </si>
  <si>
    <t xml:space="preserve"> 1 set of Sound System</t>
  </si>
  <si>
    <t xml:space="preserve"> TITLE: PROCUREMENT OF OFFICE EQUIPMENT			 DEPARTMENT: MUNICIPAL HEALTH OFFICE			 			 ITEM NO.	QTY	UNIT	ITEM DESCRIPTION 1	10	units	filing cabinet 2	3	units	filing rack 3 layers 			 ABC: PHP. 115,000.00</t>
  </si>
  <si>
    <t xml:space="preserve"> Procurement of Doors and Windows</t>
  </si>
  <si>
    <t xml:space="preserve"> Procurement of Air conditioning Units</t>
  </si>
  <si>
    <t xml:space="preserve"> Supply and delivery of the following items: 8 lengths 12mmx6.0m deff steel bar 8 lengths 10mmx6.0m deff steel bar 7 cu.m. Washed Sand &amp; Gravel 15 bags Portland Cement 3 Kgs #4 CW Nails 2 Kgs #3 CW Nails 3 Kgs #16 GI Tie Wire 8 sheets 8 ft. x ga. 24 Corr. </t>
  </si>
  <si>
    <t xml:space="preserve"> Name of Project : Purchase, Delivery of Motorcycle for Accounting Office Use					 Location : Balbalan, Poblacion , Balbalan					 Direct cost : Php 100,000.00					 	REQUIREMENTS:				 	PHILGEPS				 	MAYOR'S PERMIT				 REQUEST FOR QUOTATION (SHOPPING)					 C</t>
  </si>
  <si>
    <t xml:space="preserve"> Procurement of  Vehicle tyre ZF 6694 (Dump Truck) Tire/12R 22.5 Tubeless Quantity=1 JM 2536 (Close Van) Tire/10.00-20 Quantity=6 JM 2071 (Close Van) Tire/10.00-20 Quantity=2 Terms and Conditions: 1. The RFQ form must be fully accomplished. If an item is n</t>
  </si>
  <si>
    <t xml:space="preserve"> 15	 length 	1" dia G.I. Pipe 15	 pcs 	1" G.I. Union Patente  7	roll	Teflon Tape</t>
  </si>
  <si>
    <t xml:space="preserve"> Republic of the Philippines PROVINCE OF NUEVA VIZCAYA Invitation to Bid for the  IMPROVEMENT OF DIFFUDAY-BONIFACIO ROAD Located at Quezon, Nueva Vizcaya  1.	The Provincial Government of Nueva Vizcaya, through the 20% Development Fund 2020 intends to apply</t>
  </si>
  <si>
    <t xml:space="preserve"> REQUEST FOR EXPRESSION OF INTEREST (REOI) FOR CONSULTING SERVICES  19CSK00057 – Cluster - Consultancy Services for the Conduct of Feasibility Study for Region X Priority Road Infrastructure Projects-26 (REXPRIP-26), Total Length = 56.62 km:  a.) Quezon By</t>
  </si>
  <si>
    <t xml:space="preserve"> unit	1	Air Condition (Split type)	 40,000.00  		(2.5HP) with installation	 unit	1	Air Condition (Window type)	 24,000.00  		(1.5HP) with installation</t>
  </si>
  <si>
    <t xml:space="preserve"> L=92LM;  W=1M,  T=0.15M</t>
  </si>
  <si>
    <t xml:space="preserve"> Ten (10) 201E 48MM-Masking Tape ,Crepe Paper, Cream, 48mm x 50m and nineteen (19) other L/I</t>
  </si>
  <si>
    <t xml:space="preserve"> Republic of the Philippines PROVINCE OF NUEVA VIZCAYA Invitation to Bid for the  IMPROVEMENT OF MAKATBENG-KIMBUTAN-BELANCE ROAD Located at Dupax del Sur, Nueva Vizcaya  1.	The Provincial Government of Nueva Vizcaya, through the 20% Development Fund 2020 i</t>
  </si>
  <si>
    <t xml:space="preserve"> 2,000 bags cement &amp; 50 drums asphalt, cold mix FOR PEO</t>
  </si>
  <si>
    <t xml:space="preserve"> Republic of the Philippines                       EASTERN VISAYAS STATE UNIVERSITY                                                                              Tacloban City                     										 BIDS AND AWARDS COMMITTEE INVITATION TO BID  SUPPL</t>
  </si>
  <si>
    <t xml:space="preserve"> Procurement of Plumbing Materials</t>
  </si>
  <si>
    <t xml:space="preserve"> Republic of the Philippines Province of Cebu MUNICIPALITY OF BALAMBAN Balamban, Cebu Telefax: (032) 316 – 4960 OFFICE OF THE BIDS and AWARDS COMMITTEE INVITATION TO BID FOR FURNITURE (Office Chair and Mobile Pedestal) 1.	The Municipality of Balamban, thro</t>
  </si>
  <si>
    <t xml:space="preserve"> Republic of the Philippines PROVINCE OF NUEVA VIZCAYA Invitation to Bid for the  IMPROVEMENT OF NV BENGUET JCT.-KAYAPA CENTRAL-KAYAPA PROPER ROAD Located at Kayapa, Nueva Vizcaya  1.	The Provincial Government of Nueva Vizcaya, through the 20% Development </t>
  </si>
  <si>
    <t xml:space="preserve"> THE NATIONAL IRRIGATION ADMINISTRATION-SCIMO, THROUGH THE FUND 501 HAS THE APPROVED BUDGET FOR THE CONTRACT (ABC) AMOUNTING FIFTY-SEVEN THOUSAND TWO HUNDRED FIFTY PESOS ONLY (57,250.00).  QUOTATION RECEIVED IN EXCESS OF THE ABC SHALL BE AUTOMATICALLY REJE</t>
  </si>
  <si>
    <t xml:space="preserve"> 50 pcs Plastic Chair small</t>
  </si>
  <si>
    <t xml:space="preserve"> Procurement of Office Supplies</t>
  </si>
  <si>
    <t xml:space="preserve"> Pls see attached documents.</t>
  </si>
  <si>
    <t xml:space="preserve"> ENGINE:		 4-cylinder, in-line, direct injection, turbocharged and		 intercooled diesel engine; volume displacement= 4.1-4.3 liters;		 power output: 95-100kW @ 2,800 rpm; torque: ≥ 380N-m @ 		 1,400 - 1,800 rpm		 WEIGHT AND DIMENSION:		 gross vehicle weigh</t>
  </si>
  <si>
    <t xml:space="preserve"> 52	 bag 	Portland Cement  12	 cu.m 	Mixed Aggregates 315	pcs	4" x 8" x 16" CHB</t>
  </si>
  <si>
    <t xml:space="preserve"> Republic of the Philippines BATANGAS STATE UNIVERSITY Batangas City REQUEST FOR QUOTATION "Procurement of Customized Tower Mast and Enclosure Stainless Steel for SIGAW Project" 1. The Batangas State University (BatState U) through the Bids and Awards Comm</t>
  </si>
  <si>
    <t xml:space="preserve"> PROVINCE OF NUEVA VIZCAYA Invitation to Bid for the  IMPROVEMENT OF CVR BATU-STO. DOMINGO-MANAMTAM ROAD Located at Bambang, Nueva Vizcaya  1.	The Provincial Government of Nueva Vizcaya, through the 20% Development Fund 2020 intends to apply the sum of Fou</t>
  </si>
  <si>
    <t xml:space="preserve"> Procurement of Construction Materials</t>
  </si>
  <si>
    <t xml:space="preserve"> Please submit quotation for the purchase and delivery of Various Newspapers stated in the attached purchase request and TOR. For inquiry, please send email to the undersigned: ruby08abriol@gmail.com Thank you.</t>
  </si>
  <si>
    <t xml:space="preserve"> 50 pcs Plastic Chair big</t>
  </si>
  <si>
    <t xml:space="preserve"> Republic of the Philippines Province of Cebu MUNICIPALITY OF BALAMBAN Balamban, Cebu Telefax: (032) 316 – 4960 OFFICE OF THE BIDS and AWARDS COMMITTEE INVITATION TO BID FOR I.T. EQUIPMENT (Desktop, Laptop, Printer, Hard Drive, Server and Keyboard)  1.	The</t>
  </si>
  <si>
    <t xml:space="preserve"> Republic of the Philippines BATANGAS STATE UNIVERSITY Batangas City REQUEST FOR QUOTATION "Procurement of Alarm Sounder for SIGAW Project" 1. The Batangas State University (BatState U) through the Bids and Awards Committee invites interested firms/supplie</t>
  </si>
  <si>
    <t xml:space="preserve"> alcohol face mask cotton paracetamol amoxicillin 500mg mefenamic 500mg loperamide dicycloverine metronidazole vitamin c betadine citirizine saredon amlodepen 10mg</t>
  </si>
  <si>
    <t xml:space="preserve"> NO.	QTY	UNIT	PARTICULARS/DESCRIPTION AND SPECIFICATIONS	APPROVED BUDGET COST	QUOTED PRICE 				UNIT COST	 1	1	lot	Construction of 5-storey training laboratory &amp; equipment for HRM ( bukSU Hotel ) Sign and Sealed , Structural design &amp; analysis	 67,000.00 	 	</t>
  </si>
  <si>
    <t xml:space="preserve"> Republic of the Philippines BATANGAS STATE UNIVERSITY Batangas City REQUEST FOR QUOTATION "Procurement of ICT equipment and other supplies of the VPRDE office" 1. The Batangas State University (BatState U) through the Bids and Awards Committee invites int</t>
  </si>
  <si>
    <t xml:space="preserve"> Republic of the Philippines BATANGAS STATE UNIVERSITY Batangas City REQUEST FOR QUOTATION "Procurement of supplies for the installation of Wifi Connectivity." 1. The Batangas State University (BatState U) through the Bids and Awards Committee invites inte</t>
  </si>
  <si>
    <t xml:space="preserve"> Republic of the Philippines PROVINCE OF NUEVA VIZCAYA 2nd Invitation to Bid for the  CONSTRUCTION OF CUTAR FARMERS ASSOCIATION CIS Located at Aritao, Nueva Vizcaya  1.	The Provincial Government of Nueva Vizcaya, through the 2020 20% Development Fund inten</t>
  </si>
  <si>
    <t xml:space="preserve"> 52	 bag 	Portland Cement  12	 cu.m 	Mixed Aggreagates 315	pcs	4" x 8" x 16" CHB</t>
  </si>
  <si>
    <t xml:space="preserve"> Laptop/Computer</t>
  </si>
  <si>
    <t xml:space="preserve"> Submersible Deep Well Pump/Motor - 1 SET  Specifications:					 *Rated to deliver 35-45 cu.m per hour at 100m TDH,  *All stainless steel construction bowls, shafting and impeller construction, *Complete with cable guard and built in check valve,  *Driven b</t>
  </si>
  <si>
    <t xml:space="preserve"> TITLE: PROCUREMENT OF OFFICE SUPPLIES 			 DEPARTMENT: MUNICIPAL CIVIL REGISTRAR			 			 ITEM NO.	QTY	UNIT	ITEM DESCRIPTION 1	12	rms	Bond paper (legal) 2	12	rms	Bond paper (A4) 3	8	pcs	Correction pen (3.5 ml) 4	4	bxs	Carbon paper permafilm 5	8	bts	Epson 664</t>
  </si>
  <si>
    <t xml:space="preserve"> Republic of the Philippines PROVINCE OF NUEVA VIZCAYA Invitation to Bid for the  IMPROVEMENT OF DRAINAGE SYSTEM AT DEH Located at DEH, Diadi, Nueva Vizcaya  1.	The Provincial Government of Nueva Vizcaya, through the PGSO-(5-02-13-030) Infrastructure Asset</t>
  </si>
  <si>
    <t xml:space="preserve"> 1 unit of Aircon of Health Center</t>
  </si>
  <si>
    <t xml:space="preserve"> 1st POSTING 	 The Barangay Government of Capacuan, Paracale, Camarines Norte invites all legitimate suppliers to submit their quotation for the project of Barangay Capacuan, Paracale, Camarines Norte. BARANGAY HEALTH CENTER USED 	1	pc        		Refrigerato</t>
  </si>
  <si>
    <t xml:space="preserve"> Procurement of Housekeeping and Subsistence Supplies</t>
  </si>
  <si>
    <t xml:space="preserve"> BALANGA WATER DISTRICT					 EGSA, Four-Lanes, Tuyo, Balanga City, Bataan 2100				 Mobile No. +639-175-029-019	 RFQ No.:	2020-008					 								 REQUEST FOR QUOTATION								 								 Name of Supplier:								 Address:					 Tel. No.: Fax:	 Please quote us y</t>
  </si>
  <si>
    <t xml:space="preserve"> ILOCOS NORTE 1ST DISTRICT ENGINEERING OFFICE Airport Ave. Brgy. Cavit, Laoag City, Ilocos Norte INVITATION TO BID The DPWH - Ilocos Norte 1st District Engineering Office, through its Bids and Awards Committee (BAC), invites contractors to submit bids fo0r</t>
  </si>
  <si>
    <t xml:space="preserve"> I	Site Clearing lay-out &amp; Staking	800	Sq.m. II	Excavation	136.35	Cu.m. III	Perimeter fence	20.00	l.m IV	Portland Cement Concrete pavement with base course aggregate, reinforcement and forms	68.586	Cu.m. V	Drainage canal	110.00	l.m. VI	Steel grating canal </t>
  </si>
  <si>
    <t xml:space="preserve"> ITEM #	QTY.	UNIT	ARTICLES AND DESCRIPTION				 1	200	heads	 Hen (ready to lay)				 2	40	heads	Head of Rooster				 3	1500	kgs.	Cracked Corn (good quality)				 4	1500	kgs.	Pellets (good quality)				 			x-x-x-x-x</t>
  </si>
  <si>
    <t xml:space="preserve"> Republic of the Philippines PROVINCE OF NUEVA VIZCAYA Invitation to Bid for the  IMPROVEMENT OF GANAO-BIRUK ROAD Located at Dupax del Sur, Nueva Vizcaya  1.	The Provincial Government of Nueva Vizcaya, through the 20% Development Fund 2020 intends to apply</t>
  </si>
  <si>
    <t xml:space="preserve"> Pls see attachments.</t>
  </si>
  <si>
    <t xml:space="preserve"> 1st BIDDING The Barangay Government of Capacuan, Paracale, Camarines Norte invites all legitimate suppliers/bidders to submit their quotation for the project of Barangay Capacuan, Paracale, Camarines Norte. 1. Barangay Used 	2	pc        	Laptop 	1	pc		Pri</t>
  </si>
  <si>
    <t xml:space="preserve"> TITLE: PROCUREMENT OF JANITORIAL SUPPLIES			 DEPARTMENT: PUBLIC MARKET OFFICE			 			 ITEM NO.	QTY	UNIT	ITEM DESCRIPTION 1	40	bxs	albatros 2	40	bots	alcohol 3	60	pcs	bath soap 4	90	bots	zonrox 500ml 5	100	pcks	detergent powder 1kilo 6	50	dzs	fabric conditi</t>
  </si>
  <si>
    <t xml:space="preserve"> PURCHASE OF MATERIALS FOR THE CONSTRUCTION OF WOMEN'S BUILDING PHASE IV</t>
  </si>
  <si>
    <t xml:space="preserve"> Republic of the Philippines						 	Cordillera Administrative Region						 	Provincial Local Government Unit of Ifugao						 	BIDS AND AWARDS COMMITTEE ON GOODS						 	2nd Floor COA Bldg., Capitol Compound						 	Lagawe, Ifugao						 	Email Ad.: bacgoodsif</t>
  </si>
  <si>
    <t xml:space="preserve"> PURCHASE OF MATERIALS FOR THE REHABILITATION OF SCHOOL MULTI-PURPOSE HALL</t>
  </si>
  <si>
    <t xml:space="preserve"> Republic of the Philippines Province of Cebu MUNICIPALITY OF BALAMBAN Balamban, Cebu Telefax: (032) 316 – 4960 OFFICE OF THE BIDS and AWARDS COMMITTEE INVITATION TO BID FOR CONSTRUCTION EQUIPMENT (Bagger Concrete Mixer) 1.	The Municipality of Balamban, th</t>
  </si>
  <si>
    <t xml:space="preserve"> 2 units wooden chairs, etc PEO</t>
  </si>
  <si>
    <t xml:space="preserve"> Supply &amp; Delivery of the following items: 28 lengths 12mmx6.0m deff steel bar 15 lengths 10mmx6.0m deff steel bar 20 cu.m. Washed Sand &amp; Gravel 80 bags Portland Cement 4 Kgs #4 CW Nails 5 Kgs #16 GI Tie Wire  14 sheets 8ft. x ga.24 Corr. GI sheet 2 sheets</t>
  </si>
  <si>
    <t xml:space="preserve"> Republic of the Philippines Municipality of Taytay Taytay, Palawan NOTICE TO BIDDERS Item # Qty Unit Description Amount 1.    3132   bags    Portland Cement  2.       20    pcs      2'' x 6'' x 20' x 1.5mm C-purlins  3.       10    kgs     3'' CW Nails  4</t>
  </si>
  <si>
    <t xml:space="preserve"> INVITATION TO BID FOR Supply &amp; Delivery of Jetmatic Pumps and Toilet Bowls (Goods 2020-34) 1.	The LOCAL GOVERNMENT UNIT OF SAN MATEO, ISABELA (LGU-SMI), through its Bids and Awards Committee  intends to apply the sum of SIX HUNDRED EIGHTY THOUSAND PESOS (</t>
  </si>
  <si>
    <t xml:space="preserve"> Republic of the Philippines Province of Davao De Oro MUNICIPALITY OF COMPOSTELA BIDS AND AWARDS COMMITTEE (BAC) Invitation to Bid for Installation of Water Tank/Concrete Reservoir at NHA, San Antonio Barangay Maparat (ITB NO. 2020-06-031 - BID NO. 001) 1.</t>
  </si>
  <si>
    <t xml:space="preserve"> Republic of the Philippines Municipality of Taytay Taytay, Palawan NOTICE TO BIDDERS Item # Qty Unit Description Amount 1.	5	pcs	Tooth Point (STD) 2.	5	pcs	Pin &amp; Washer (Locking) 3.	2	pcs	Cutter (LH &amp; RH) 4.	8	pcs	Bolt  5.	8	pcs	Nut  6.	8	pcs	Washer (Hard</t>
  </si>
  <si>
    <t xml:space="preserve"> Procurement of Supply and Delivery of Office  Supplies &amp; Equipment 20	pcs	Ink cartridge, # 680 black 20	pcs	Ink cartridge, # 680 color 22	pcs	Ink cartridge, # 933 XL magenta 22	pcs	Ink cartridge, # 933 XL cyan 22	pcs	Ink cartridge, # 933 XL yellow 25	pcs	</t>
  </si>
  <si>
    <t xml:space="preserve"> Fuel-Diesel Fuel</t>
  </si>
  <si>
    <t xml:space="preserve"> 35	 set 	15 watts LED Bulb 35	 pc 	4" dia PVC Receptacle 190	m	2.0mm2 THW Wire Stranded  255	m	#6 Duplxe Wire  2	roll	Electrical Tape (Big)</t>
  </si>
  <si>
    <t xml:space="preserve"> PURCHASE OF MATERIALS FOR THE CONSTRUCTION OF OSCA BUILDING PHASE VIII</t>
  </si>
  <si>
    <t xml:space="preserve"> Republic of the Philippines Province of Cebu MUNICIPALITY OF BALAMBAN Balamban, Cebu Telefax: (032) 316 – 4960 OFFICE OF THE BIDS and AWARDS COMMITTEE INVITATION TO BID FOR COMMUNICATION EQUIPMENT (Projector) 1.	The Municipality of Balamban, through the O</t>
  </si>
  <si>
    <t xml:space="preserve"> Pls see attachments</t>
  </si>
  <si>
    <t xml:space="preserve"> Republic of the Philippines Province of Cebu MUNICIPALITY OF BALAMBAN Balamban, Cebu Telefax: (032) 316 – 4960 OFFICE OF THE BIDS and AWARDS COMMITTEE INVITATION TO BID FOR VETERINARY SUPPLIES AND MATERIALS 1.	The Municipality of Balamban, through the MAO</t>
  </si>
  <si>
    <t xml:space="preserve"> LOT 1: 5 m³ 1/2" Crushed Gravel 52 m³ Sand 9 m³ Fine Gravel sub-total Lot 1:  58,870.00 LOT 2: 390 bags Portland Cement sub-total Lot 2:  95,550.00 LOT 3: 4 drums Rapid Curing (RC) Cut Back Asphalt 6 pcs. Coco Broom sub-total Lot 3:  29,110.00 TOTAL AMOUN</t>
  </si>
  <si>
    <t xml:space="preserve"> BARANGAY GOVERNMENT OF NABAG-O City of Valencia INVITATION TO BID FOR  SUPPLY AND DELIVERY OF 2 UNITS 3 TONNER FLOOR STANDING AIRCONDITIONER 1.	The BARANGAY GOVERNMENT OF NABAG-O, through the 2020 Annual Budget  intends to apply the sum of One hundred fif</t>
  </si>
  <si>
    <t xml:space="preserve"> GENERATOR SET 50KVA - 1 UNIT   Specifications:					 DUAL CONVERTIBLE OUTPUT 220V/440V, 60Hz, 3 Phase					 CONDITIONS: 1. All fittings/materials should conform to the specifications of the district. 2. Suppliers must specify the BRAND, TRADEMARK, and other</t>
  </si>
  <si>
    <t xml:space="preserve"> Procurement of supply and delivery of Agricultural Supplies/Seeds 447	bags	NSIC Approved OPV White Glutinous Corn Seeds @ 20 kilograms per bag *Date of harvest not earlier than June, 2020 •	With Seed Tag specified the following: Lot number, Germination ra</t>
  </si>
  <si>
    <t xml:space="preserve"> Supplies to be purchased</t>
  </si>
  <si>
    <t xml:space="preserve"> Republic of the Philippines Province of Cebu MUNICIPALITY OF BALAMBAN Balamban, Cebu Telefax: (032) 316 – 4960 OFFICE OF THE BIDS and AWARDS COMMITTEE INVITATION TO BID FOR AGRICULTURAL SUPPLIES (Vegetable Seeds and Fertilizer) 1.	The Municipality of Bala</t>
  </si>
  <si>
    <t xml:space="preserve"> 1 unit desktop computer (server) FOR SPO/SPM</t>
  </si>
  <si>
    <t xml:space="preserve"> Office Equipment-Power Supply,Comcolor Black,Comcolor Yellow</t>
  </si>
  <si>
    <t xml:space="preserve"> Republic of the Philippines Province of Cebu MUNICIPALITY OF BALAMBAN Balamban, Cebu Telefax: (032) 316 – 4960 OFFICE OF THE BIDS and AWARDS COMMITTEE INVITATION TO BID FOR FARM EQUIPMENT (Egg Laying Machine) 1.	The Municipality of Balamban, through the D</t>
  </si>
  <si>
    <t xml:space="preserve"> Procurement of Van Hire 1	van	July 7, 2020 (OPA to Municipality of Panay &amp; Pontevedra, Capiz and vice versa) 1	van	July 9, 2020 (OPA to Municipality of Pilar, Pres. Roxas, &amp; Tapaz, Capiz and vice versa) 1	van	July 14, 2020 (OPA to Municipality of Panitan,</t>
  </si>
  <si>
    <t xml:space="preserve"> Republic of the Philippines BATANGAS STATE UNIVERSITY Batangas City REQUEST FOR QUOTATION "Procurement of service for the calibration of laboratory equipment to comply with ISO" 1. The Batangas State University (BatState U) through the Bids and Awards Com</t>
  </si>
  <si>
    <t xml:space="preserve"> DIAPHRAGM TYPE DOSING PUMP -  1 LOT Specifications:					 *Rated to deliver 10lph @ 3 bars, 1800rpm, driven by 0.25 hp electric motor rated 220V, 60Hz, Single Phase 					 *with warranty CONDITIONS: 1. All fittings/materials should conform to the specificat</t>
  </si>
  <si>
    <t xml:space="preserve"> Republic of the Philippines Municipality of Taytay Taytay, Palawan NOTICE TO BIDDERS Item # Qty Unit Description Amount 1.   1    Lot    Information Technology (SERVER) The two envelope system of procurement shall be observed, Bidding documents shall be a</t>
  </si>
  <si>
    <t xml:space="preserve"> 9300 Liters Diesel</t>
  </si>
  <si>
    <t xml:space="preserve"> INVITATION TO BID FOR Supply of Materials and Installation of Office Partitions (Goods 2020-29) 1.	The LOCAL GOVERNMENT UNIT OF SAN MATEO, ISABELA (LGU-SMI), through its Bids and Awards Committee  intends to apply the sum of FOUR HUNDRED THOUSAND TWO HUND</t>
  </si>
  <si>
    <t xml:space="preserve"> Procurement of supply and delivery of Full Kit 15	set	Full Kit for 100 prints-Badgy 100  100 thick PVC cards (0.76mm) PR# 2020-989</t>
  </si>
  <si>
    <t xml:space="preserve"> 8,000 Liters Diesel</t>
  </si>
  <si>
    <t xml:space="preserve"> Republic of the Philippines Municipality of Taytay Taytay, Palawan NOTICE TO BIDDERS Item # Qty Unit Description Amount 1.    1    Unit    Construction of Multi-Purpose Hall (So. Malinao, Bgy. Libertad, Taytay, Palawan) The two envelope system of procurem</t>
  </si>
  <si>
    <t xml:space="preserve"> 3 sets ----EGG LAYERING MACHINE (L-7ft., W-3.5 ft.,1" x 2" mess wire) galvanized-steel cages, feeders, nipple drinkers, water gallon containers, buzz beaters 36 (12 sacks per site) ---- Layering mash for 48 heads of ready to lay hens</t>
  </si>
  <si>
    <t xml:space="preserve"> 1	C-Purlins 6" (2.0)  x 2 x 6 BI	15	 pcs 		 2	Angle Bar 2 x 2x 1/4 (6.0m)	38	 pcs 		 3	Ridge Roll	9	 pcs 		 4	End Wall Flushing	28	 pcs 		 5	Tex Screws 2"	2000	 pcs 		 6	Silicon Sealant Clear	15	 tubes 		 7	Blind Rivet 5/32 x 1/2	1000	 pcs 		 	Note: 1.	VA</t>
  </si>
  <si>
    <t xml:space="preserve"> Republic of the Philippines Municipality of Taytay Taytay, Palawan NOTICE TO BIDDERS Item # Qty Unit Description Amount 1. 1 Unit Construction of Multi-Purpose Hall (So. Nalbot, Bgy. Poblacion, Taytay, Palawan) The two envelope system of procurement shall</t>
  </si>
  <si>
    <t xml:space="preserve"> NOTE:	1	THE APPROVED BUDGET FOR THE CONTRACT IS 			P	154,909.00	 	2	ALL ENTRIES MUST BE TYPEWRITTEN					 	3	DELIVERY PERIOD WITHIN ________________ CALENDAR DAYS					 	4	WARRANTY SHALL BE FOR A PERIOD OF THREE (3) MONTHS FOR EXPENDABLE 					 		SUPPLIES, O</t>
  </si>
  <si>
    <t xml:space="preserve"> 5 rolls Olyset Net (Gray)</t>
  </si>
  <si>
    <t xml:space="preserve"> LGU: MARIA, SIQUIJOR					Project Reference No:			 Name of the Procuring Entity					Name of the Project :			 								 					Location of the Project   :			 Standard Form No.  :		SF-GOOD-60						 Revised on              : 		May 24, 2004						 Standard Form Ti</t>
  </si>
  <si>
    <t xml:space="preserve"> Procurement of supply and delivery of Various Inorganic Fertilizers 200	bag	Urea (46-0-0) 800	bag	Complete Fertilizers (NPK) PR# 2020-1042</t>
  </si>
  <si>
    <t xml:space="preserve"> 1 piece Battery 2SM</t>
  </si>
  <si>
    <t xml:space="preserve"> 1.8ha/year  land rental 2 croppings /season</t>
  </si>
  <si>
    <t xml:space="preserve"> BIDS AND AWARDS COMMITTEE INVITATION TO SUBMIT PRICE QUOTATIONS SHOPPING No. 064-2020                                                                 The METRO ROXAS WATER DISTRICT (MRWD), through its Bids and Awards Committee (BAC), invites Manufacturers</t>
  </si>
  <si>
    <t xml:space="preserve"> 1.	The DPWH Negros Occidental 3rd District Engineering Office, Kabankalan City through the FY 2020 GAA (ROUTINE MAINTENANCE/EAO) intends to apply the sum of P721,893.00 being the Approved Budget for the Contract (ABC) to payments under the contract for 20</t>
  </si>
  <si>
    <t xml:space="preserve"> Republic of the Philippines											 Department of Public Works and Highways											 TACLOBAN CITY 											 DISTRICT ENGINEERING OFFICE											 REGIONAL OFFICE VIII											 New Bus Terminal, Brgy. Abucay, Tacloban City 											 Procuring </t>
  </si>
  <si>
    <t xml:space="preserve"> 2 Unit Air-condition (Window Type 2HP)</t>
  </si>
  <si>
    <t xml:space="preserve"> Republic of the Philippines Province of Iloilo Municipality of Lambunao Office of the Bids &amp; Awards Committee REQUEST FOR PRICE QUOTATION Name of Project: Purchase of Survey Drone Equipment for the use of Municipality of Lambunao Location: Lambunao, Iloil</t>
  </si>
  <si>
    <t xml:space="preserve"> ITEM	QTY.	UNIT		ARTICLE AND DESCRIPTION				CEILING 					UNIT PRICE		TOTAL  								PRICE							 															 				Office: Ospital Ng Maynila Medical Center 				PR No. 702							 				Charge to: Other Supplies and Materials Expenses 				OBR No. 100-2005-0</t>
  </si>
  <si>
    <t xml:space="preserve"> BARANGAY GOVERNMENT OF NABAG-O City of Valencia INVITATION TO BID FOR  SUPPLY AND DELIVERY OF MATERIALS FOR THE IMPROVEMENT OF PUBLIC CEMETERY (TOILET) 1.	The BARANGAY GOVERNMENT OF NABAG-O, through the 2019 &amp; 2020 Annual Budget  intends to apply the sum </t>
  </si>
  <si>
    <t xml:space="preserve"> 328	bags	Portland Cement	 24   	cu.m.	Sand, ordinary	 40   	cu.m.	Gravel, ordinary	 864	bd.ft.	2" x 4" x 12' Coco Lumber	 4	kgs	Common Wire Nail, assorted</t>
  </si>
  <si>
    <t xml:space="preserve"> Water system  for DCNHS-SHS</t>
  </si>
  <si>
    <t xml:space="preserve"> Section I. Invitation to Bid   Provincial Government of Isabela SUPPLY AND DELIVERY OF 153 UNITS MINI DUMP TRUCK, ENGINE DISPLACEMENT: 2.7L, 4 X 2, 4 CYLINDER, 109HP, EURO 4 ENGINE, WITH 3 YEARS LTO REGISTRATION The Provincial Government of Isabela, throu</t>
  </si>
  <si>
    <t xml:space="preserve"> Supplies for Minlanaw ELementary School</t>
  </si>
  <si>
    <t xml:space="preserve"> Supply and delivery of various office supplies to be used for the activities and program of AMAD 10	unit	Powerbank 20000 mAh		 35	ream	Bond paper, (8.5x13) legal, subs 20		 30	cart	Ink cart, EPSON (003), Black 		 25	cart	Ink cart, EPSON (003), Cyan		 25	c</t>
  </si>
  <si>
    <t xml:space="preserve"> ITEM	QTY.	UNIT		ARTICLE AND DESCRIPTION				CEILING 					UNIT PRICE		TOTAL  								PRICE							 															 				Office: Ospital Ng Maynila Medical Center 				PR No. 710							 				Charge to: Printing and Publication Expenses				OBR No. 100-2005-04607	</t>
  </si>
  <si>
    <t xml:space="preserve"> Procurement of Aircon					 					 Purchase Requested by the City Assessor's Office, Tabaco City					 					 To Interested Suppliers, Manufacturers and Distributors,					 					 Please quote your lowest price/s on the lot or item/s  below, subject to Terms an</t>
  </si>
  <si>
    <t xml:space="preserve"> Republic of the Philippines PROVINCE OF NUEVA VIZCAYA Invitation to Bid for the  CONSTRUCTION/IMPROVEMENT OF PUROK 7, BUSILAC FTMR Located at Bayombong, Nueva Vizcaya  1.	The Provincial Government of Nueva Vizcaya, through the 20% Development Fund 2020 in</t>
  </si>
  <si>
    <t xml:space="preserve"> Please see attached Invitation to Bid for details</t>
  </si>
  <si>
    <t xml:space="preserve"> 8 Liters Engine Oil 1 piece Oil Filter 1 piece Drain Plug Gasket (washer) 1 liter Windshield Fluid 1 Liter Engine Flushing Oil 1 Liter Engine Treatment 1 piece Injector Cleaner 1 piece Ethanol Drier 1 piece Air Filter 1 piece Air Refiner 1 piece Brake Flu</t>
  </si>
  <si>
    <t xml:space="preserve"> REQUEST FOR EXPRESSION OF INTEREST (REI) FOR 20CSCE005-CONSULTING SERVICES FOR THE CONDUCT OF a.) PARCELLARY SURVEY b.) DETAILED ENGINEERING SURVEY c.)STRUCTURAL/UTILITY/FACILITIES SURVEY d.)MONUMENTING e.)RESEARCH WORKS for the CONSTRUCTION OF RIZAL BY-P</t>
  </si>
  <si>
    <t xml:space="preserve"> 60 meters Service Drop Wire, #2 50 meters THHN Wire, 8.0mm2 15 pcs. PVC Conduit Pipe, 3/4" 1 piece Service Entrance Cap, 3/4" 1 piece Circuit Breaker, 20 AT, 2P, Plug-in 1 piece Circuit Breaker, 40 AT, 2P, Plug-in</t>
  </si>
  <si>
    <t xml:space="preserve"> ITEM	QTY.	UNIT		ARTICLE AND DESCRIPTION				CEILING 					UNIT PRICE		TOTAL  								PRICE							 															 	Office: Ospital Ng Maynila Medical Center 					PR No. 697	Php85,593.00			OBR No. 100-2005-04602					 	           Ospital Ng Maynila Medical Ce</t>
  </si>
  <si>
    <t xml:space="preserve"> Motor Control Panel RVAT (Reduce Voltage Transformer) - 1 SET Specifications:					 *With circuit breaker, thermal overload relay, under/over voltage relay, lightning arrested, phase failure relay, luquid level, hour counter, ammeter, voltmeter, start/stop</t>
  </si>
  <si>
    <t xml:space="preserve"> INVITATION TO BID The Municipal Government of Gumaca, through its Bids and Awards Committee (BAC), invites suppliers/ manufacturers/ distributors/ contractors, to bid for the hereunder contract: Name of Contract		:	PURCHASE OF DISASTER RESPONSE VEHICLE (D</t>
  </si>
  <si>
    <t xml:space="preserve"> I.	Please quote your lowest price inclusive of VAT on the projects listed below, subject to the Terms and Conditions of this RFQ, and submit your sealed quotation not later than 10:00 AM of July 2, 2020 upon posting of this RFQ at DepED-Division of Cotaba</t>
  </si>
  <si>
    <t xml:space="preserve"> Purchase of camera use in Tourism office and Department of Agriculture</t>
  </si>
  <si>
    <t xml:space="preserve"> Project Title: TPB CORPORATE TOTE BAG Specifications: Size Bag : 14” (width) x 16.5” (height) x 3.5” (base &amp; side thickness) Handle : 3.30cm width x 27” length Weave cloth accent: 11.00cm (w) x 18”(h), both sides Material : Bull twill black with 210D lini</t>
  </si>
  <si>
    <t xml:space="preserve"> Republic of the Philippines Municipality of Taytay Taytay, Palawan NOTICE TO BIDDERS Item # Qty Unit Description Amount 1. 1 Unit Construction of Multi-Purpose Hall (Barangay San Jose, Taytay, Palawan) The two envelope system of procurement shall be obser</t>
  </si>
  <si>
    <t xml:space="preserve"> No	Item &amp; Description	Unit	Qty	Unit Cost	 Bidders Quote per Unit 	 Total Bidders Quote   1	PAPER, MULTICOPY, 70gsm, legal	ream 	100			 2	PAPER, Multi-Purpose (COPY) A4, 70 gsm	ream 	10			 3	TOILET TISSUE PAPER 2-plys sheets, 150 pulls	pack	20			 4	GLUE, a</t>
  </si>
  <si>
    <t xml:space="preserve"> Republic of the Philippines Municipality of Taytay Taytay, Palawan NOTICE TO BIDDERS Item # Qty Unit Description Amount 1. 1 Unit Construction of Multi-Purpose Hall (Barangay Liminangcong, Taytay, Palawan) The two envelope system of procurement shall be o</t>
  </si>
  <si>
    <t xml:space="preserve"> 1. BOND PAPER, A4, 72 ream 2. COLORED CHALK, 12 box 3. EXPANDING BROWN ENVELOPE, LONG, 5,274 pcs.</t>
  </si>
  <si>
    <t xml:space="preserve"> Catering Serviec 143 pax AM Snacks, Lunch, PM Snacks</t>
  </si>
  <si>
    <t xml:space="preserve"> Supply and delivery of various furnitures and fixtures to be used at DA-INREC Dingras Station 1	unit	Executive Table, wooden, with glasstop, with center drawer and side drawers 		 2	unit	Lateral Cabinet, 4 drawers, 900w x 450d x 384h cm, steel, off white </t>
  </si>
  <si>
    <t xml:space="preserve"> Construction of Covered Canal Location: Brgy Luyahan Lian, Batangas Budget: 200,000.00</t>
  </si>
  <si>
    <t xml:space="preserve"> 304th Contracting Office										 ARMED FORCES OF THE PHILIPPINES PROCUREMENT SERVICE										 Naval Station Leovigildo Gantioqui 										 San antonio, Zambales										 										 REQUEST FOR QUOTATION 										 										 29 June 2020						RFQ NO:</t>
  </si>
  <si>
    <t xml:space="preserve"> rolls	8	P.E Pipe 2"ø, I.S.O SDR 11 	 93,200.00  		(Good Quality)	 roll	1	P.E Pipe 1/2"ø, I.S.O SDR 11 	 6,250.00  		 (Good Quality)	 pcs	5	P.E Union Coupling 2"ø I.S.O	 2,275.00  pcs	15	P.E Male adapter 2"ø I.S.O	 4,200.00  pcs	5	G.I. Elbow 2"ø	 1,275.00 </t>
  </si>
  <si>
    <t xml:space="preserve"> Republic of the Philippines PROVINCE OF NUEVA VIZCAYA Invitation to Bid for the  IMPROVEMENT OF OYAO-GANAO ROAD Located at Dupax del Norte and Dupax del Sur, Nueva Vizcaya  1.	The Provincial Government of Nueva Vizcaya, through the 20% Development Fund 20</t>
  </si>
  <si>
    <t xml:space="preserve"> BIDS AND AWARDS COMMITTEE INVITATION TO SUBMIT PRICE QUOTATIONS SHOPPING No. 063-2020                                                                 The METRO ROXAS WATER DISTRICT (MRWD), through its Bids and Awards Committee (BAC), invites Manufacturers</t>
  </si>
  <si>
    <t xml:space="preserve"> The Philippine Carabao Center at USM through its Bids and Awards Committee (BAC) invites PhilGEPS registered suppliers to apply to bid for the Supply and Delivery of Catering Services. Meals and Snacks		 Lunch 6 pax Dinner 6 pax Breakfast 6 pax Snacks AM/</t>
  </si>
  <si>
    <t xml:space="preserve"> Catering Services 278 pax AM Snacks, Lunch, PM Snacks</t>
  </si>
  <si>
    <t xml:space="preserve"> -650 pcs. -Big Body -1/2" diameter -with Tailpiece, nut &amp; gasket -None Reversible Reading -Class 1-A -Dry Type -Anti Magnetic</t>
  </si>
  <si>
    <t xml:space="preserve"> Item Description	Quantity	Unit a.	Ceramic tiles 60 cm x 60 cm	612	pcs b.	Tile adhesive	88	bags c.	Tile grout	4	Kg d.	Washed sand	16	Cum e.	Portland cement	88	Bags f.	Nylon #80	2	Rolls g.	Marine Plywood ¾” size	6	Sheets h.	Finishing nails no. 2	1	Kg i.	Sti</t>
  </si>
  <si>
    <t xml:space="preserve"> ABC:  581,000.00                                                                                             Quantity            Unit Cost    Total Cost 1st Batch:  10-14 August 2020 (5 days) No. of pax : 101                                               </t>
  </si>
  <si>
    <t xml:space="preserve"> BIDS AND AWARDS COMMITTEE REQUEST FOR QUOTATION The Barangay Unit of Lawagan, Labason, Z.N., invites all interested registered supplier to submit quotation for the Purchase of Construction Materials for the Comfort Room Phase - I at Lawagan, Labason, ZN: </t>
  </si>
  <si>
    <t xml:space="preserve"> Catering Services 318 pax AM Snacks, Lunch, PM Snacks</t>
  </si>
  <si>
    <t xml:space="preserve"> Catering Services 445 pac AM Snacks, lunch, PM Snacks</t>
  </si>
  <si>
    <t xml:space="preserve"> Republic of the Philippines Municipality of Taytay Taytay, Palawan NOTICE TO BIDDERS Item # Qty Unit Description Amount 1. 691 bags Cement 2. 21 kgs CW Nails #4 3. 16 kgs CW Nails #3 4. 10 kgs CW Nails #2.5 5. 4 rolls Nylon #100 6. 583 pcs RSB 10mm dia x </t>
  </si>
  <si>
    <t xml:space="preserve"> Republic of the Philippines Municipality of Taytay Taytay, Palawan NOTICE TO BIDDERS Item # Qty Unit Description Amount 1. 7 units Desktop Computer: Specs: Processor: CPU @ 2.20ghz, Installed RAM: 4.00 GB, System Type: 64 Bit Operating System x64 based pr</t>
  </si>
  <si>
    <t xml:space="preserve"> Republic of the Philippines Province of Ifugao Municipality of Asipulo BIDS AND AWARDS COMMITTEE INVITATION TO BID INFRASTRUCTURE PROJECTS The Municipal Government of Asipulo, through the Mun. Development Fund/Municipal Calamity Fund of 2020 intends to ap</t>
  </si>
  <si>
    <t xml:space="preserve"> INVITATION TO BID FOR SUPPLY AND DELIVERY OF VARIOUS LABORATORY SUPPLIES 1.	The Department of Agriculture Regional Field Office IX, through the GAA 2020 - (Support to Operations (STO) 2020) intends to apply the sum of ONE MILLION ONE HUNDRED NINETY-SIX TH</t>
  </si>
  <si>
    <t xml:space="preserve"> ABC:  119,700.00                                                                                   Quantity        Unit Cost       Total Cost 1st Batch:  10-14 August 2020 (5 days) No. of pax : 22                                                           </t>
  </si>
  <si>
    <t xml:space="preserve"> Republic of the Philippines Municipality of Taytay Taytay, Palawan NOTICE TO BIDDERS Item # Qty Unit Description Amount 1. 20 tons Green Mussel Juveniles 2. 20 tons Seaweeds Seedlings The two envelope system of procurement shall be observed, Bidding docum</t>
  </si>
  <si>
    <t xml:space="preserve"> Republic of the Philippines Province of Camarines Sur MUNICIPALITY OF LAGONOY BIDS AND AWARDS COMMITTEE INVITATION TO BID/REQUEST FOR EXPRESSION OF INTEREST The Municipal Government of Lagonoy through its Bids and Awards Committee (BAC) invites suppliers/</t>
  </si>
  <si>
    <t xml:space="preserve"> Installation of Solar Street Lightning System Location :Brgy Luyahan Lian, Batangas Budget: 200,000.00</t>
  </si>
  <si>
    <t xml:space="preserve"> various school supplies</t>
  </si>
  <si>
    <t xml:space="preserve"> Catering Services 694 pax AM Snacks, Lunch, PM Snacks</t>
  </si>
  <si>
    <t xml:space="preserve"> LOP TOP &amp; 3 in 1 PRINTER PURCHASED</t>
  </si>
  <si>
    <t xml:space="preserve"> Republic of the Philippines 		      Province of Laguna MUNICIPAL GOVERNMENT OF PANGIL BIDS AND AWARDS COMMITTEE Nat’l Rd. Brgy. San Jose, Pangil, Laguna 	Tel.Nos.  (049)557-0284 &amp; 557-3139		 	 INVITATION TO APPLY FOR ELIGIBILITY AND TO BID The Municipalit</t>
  </si>
  <si>
    <t xml:space="preserve"> Construction of two (2) production wells in brgy. Nakar and brgy. Centro 2, San guillermo, Isabela with 83 meters depth.</t>
  </si>
  <si>
    <t xml:space="preserve"> Various construction materials</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</si>
  <si>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</si>
  <si>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Diesoline, Gasoline and other Petroleum Products</t>
  </si>
  <si>
    <t xml:space="preserve"> Concreting of Road Location: So. Elenahan brgy luyahan lian, batangas Budget: 140,000.00</t>
  </si>
  <si>
    <t xml:space="preserve"> The Department of Agriculture-RFO 3, invites interested suppliers to submit quotations/proposals for the hereunder requirement, to wit: ITEM NO.	QTY.	UNIT	ITEMS &amp; DESCRIPTION		UNIT PRICE	TOTAL AMOUNT	BRAND/MODEL 							 			Chemicals and Filtering				 	1	b</t>
  </si>
  <si>
    <t xml:space="preserve"> Delivery of spare parts and Job Order for service vehicle</t>
  </si>
  <si>
    <t xml:space="preserve"> TITLE: PROCUREMENT OF OFFICE EQUIPMENT 			 DEPARTMENT: MUNICIPAL BUDGET OFFICE			 			 ITEM NO.	QTY	UNIT	ITEM DESCRIPTION 1	1	unit	Laptop corei7 2.8 GHZ 			DDR4, DDR3L, 4GB, 32GB, HDD 2TB 			15.6 inches 			MS Office (Lifetime/Licensed) 2	1	unit	Printer (Wi</t>
  </si>
  <si>
    <t xml:space="preserve"> BELEN		 Doors &amp; Windows	16.74	Sq.m. Ceiling Repair	5.18	Sq.m. Tile works	30.67	Sq.m. Water Supply Systems	1	lot BUNGRO		 Works area enclosure (extension)	9.60	Sq.m. Miscellaneous works	1	lot BUSIING		 Window grills with aluminum expanded screen	14.49	Sq.m</t>
  </si>
  <si>
    <t xml:space="preserve"> Catering Services 240 pax AM Snacks, Lunch, PM Snacks</t>
  </si>
  <si>
    <t xml:space="preserve"> Republic of the Philippines CITY OF MARIKINA SF-GOOD-05 Revised on: July 28, 2004				 													Mkna-GSO-20-286	 	BIDS AND AWARDS COMMITTEE		 NOTICE OF PROPOSED PROCUREMENT The City Government of Marikina, through its Bids and Awards Committee (BAC), w</t>
  </si>
  <si>
    <t xml:space="preserve"> Please see attached file . . .</t>
  </si>
  <si>
    <t xml:space="preserve"> 1 LOT Procurement of Various Medicines, and Medical Supplies and Equipment for the Official Use of the DFA Clinic ABC = PhP 210,398.37 For details of the item/s, kindly download and refer to the attached PURCHASE REQUEST in the Associated Components of th</t>
  </si>
  <si>
    <t xml:space="preserve"> Republic of the Philippines Department of Health Central Luzon Center for Health Development TALAVERA GENERAL HOSPITAL Talavera, Nueva Ecija  ISO QMS Certified REQUEST FOR QUOTATION for Talavera General Hospital Date: June 19, 2020 RFQ No.: 2020-52 Name o</t>
  </si>
  <si>
    <t xml:space="preserve"> 1 lot Back-up Dedicated Internet Service 1-year subscription - 20 Mbps dedicated internet access (fiber-optic connection) - Guaranteed internet bandwidth should be 20 Mbps (download/upload) with at least 29 public IP Addresses - Provision of diagnostic re</t>
  </si>
  <si>
    <t xml:space="preserve"> Please see attached file. . . .</t>
  </si>
  <si>
    <t xml:space="preserve"> FOR LGU BANTAY COVID-19 USE LGU Cabagan Cabagan, Isabela</t>
  </si>
  <si>
    <t xml:space="preserve"> 1. Weather Station and USB Data Logger (pls. see attached sample) 2. Marine VHF Transceiver complete set with Transceiver Unit, Hand Microphone, cable &amp; Screws, Installation Materials, Instruction Manual (pls. see attached sample)</t>
  </si>
  <si>
    <t xml:space="preserve"> Accommodation, catering services &amp; function hall good for 37 pax on July 20-25, 2020 For details please see attached document</t>
  </si>
  <si>
    <t xml:space="preserve"> wash gravel wash sand portland cement 10mm rsb hacksaw tie wire 3/8 x4x8 ord. plywood 2x2x12 coco lumber common nails no. 3 2 1/2 common nails 1 1/2 common nails 4x8x16 chb angle bar 1/4x1.5xx1.5x20 angle bar 3/16x1x1x20 c purlins 12mmx3x20 welding rod ro</t>
  </si>
  <si>
    <t xml:space="preserve"> Purchase of Pocket Wifi with Sim and Load 200 pcs Pocket Wifi with Sim and Load can connect up to 5 devices simultaneously</t>
  </si>
  <si>
    <t xml:space="preserve"> To be used in the distribution of food packs to various barangays. 16 units Push Cart * heavy duty * 54"x18.5" * solid rubber wheels</t>
  </si>
  <si>
    <t xml:space="preserve"> The Municipal Government of Atok, Benguet now invites bids for MDF CLUSTER 13-2020 PROJECTS AT CALIKING AND TOPDAC, ATOK, BENGUET with the following Clustered Projects: 1.	CONSTRUCTION OF PAVEMENT ALONG BELIS ROAD AT CALIKING WITH AN ABC OF P500,000.00; A</t>
  </si>
  <si>
    <t xml:space="preserve"> Procurement Supply and Delivery of One (1) unit Laptop Location: Balingasag, South District, Baliwagan Central School</t>
  </si>
  <si>
    <t xml:space="preserve"> Printing of Quarantine Passes w/ Layout 40,000 pcs 4.25 x 5x25 inches Foldcote 10 paper</t>
  </si>
  <si>
    <t xml:space="preserve"> BIDS AND AWARDS COMMITTEE REQUEST FOR QUOTATION NO. 2020-0006 		The Department of Education RICARDO P. CRUZ SR. ELEMENTARY SCHOOL, through SCHOOL BIDS and AWARDS COMMITTEE (SBAC) invites registered suppliers to submit a quotation for the hereunder project</t>
  </si>
  <si>
    <t xml:space="preserve"> The Department of Agriculture-RFO 3, invites interested suppliers to submit quotations/proposals for the hereunder requirement, to wit: ITEM NO.	QTY.	UNIT	ITEMS &amp; DESCRIPTION		UNIT PRICE	TOTAL AMOUNT	BRAND/MODEL 							 			Computer Supplies and other Mate</t>
  </si>
  <si>
    <t xml:space="preserve"> The Municipal Government of Atok, Benguet now invites bids for PROCUREMENT OF ONE (1) UNIT PASSENGER VAN FOR THE OFFICIAL USE OF MUNICIPAL OFFICIALS AND EMPLOYEES, ATOK, BENGUET with the following description: ONE (1) UNIT PASSENGER VAN (For general urban</t>
  </si>
  <si>
    <t xml:space="preserve"> The Municipal Government of Atok, Benguet now invites bids for MDF CLUSTER 14-2020 PROJECTS AT CATTUBO, ATOK, BENGUET with the following Clustered Projects: 1.	CONSTRUCTION OF CONCRETE PAVEMENT AT BITO-BOTIAO ROAD WITH AN ABC OF P800,000.00;  2.	CONSTRUCT</t>
  </si>
  <si>
    <t xml:space="preserve"> 1. 30800 ltr - Diesel 2. 200 ltr - Hydraulic oil 10w 3. 300 ltr - Engine oil 15w-40 4. 200 ltr - Engine oil 40 5. 50 ltr - Gear oil #90 6. 100 ltr - Gear oil #140 7. 60 ltr - Break fluid 8. 60 ltr. - Coolant 9. 20 kg - Grease</t>
  </si>
  <si>
    <t xml:space="preserve"> Purchase of Office Chairs and Tables to be used by Vice Mayors Office 4 pcs Tables 4 pcs Executive Chairs 2 pcs Office Chairs</t>
  </si>
  <si>
    <t xml:space="preserve"> Intel Core i7 - 1051OU, 15.6FHD/8GB/2TB/MX 130 2GB/ MISC NO ODD Win 10/ac/bt/Silver/2/2/0</t>
  </si>
  <si>
    <t xml:space="preserve"> Republic of the Philippines						 	Province of Nueva Ecija						 	CITY OF GAPAN						 	Km.92, Maharlika Highway, Bayanihan, Gapan City						 	 - - - - o0o - - - - 						 	BIDS AND AWARDS COMMITTEE						 							 	REQUEST FOR QUOTATION						 							 	The Ci</t>
  </si>
  <si>
    <t xml:space="preserve"> Various office equipments</t>
  </si>
  <si>
    <t xml:space="preserve"> PR No. 2020-06-0054 - Supply and delivery of 4 rolls 8.0 mm² THW Wire (#8 AWG), (2-Black, 2-White) and nine (9) other items for use in the replacement of electrical wiring supplying Shop, Guard House and replacement of damaged lighting fixtures for Distri</t>
  </si>
  <si>
    <t xml:space="preserve"> 1 LOT - TPB SHUTTLE SERVICE Three (3) vans within Metro Manila per day, for four (4) days/batch PhP8,500.00 / day x 3 vans x 4 batches TENTATIVE SCHEDULE:  18 &amp; 19 July 2020 25 &amp; 26 July 2020 OR 25 &amp; 26 July 2020 01 &amp; 02 August 2020 SPECIFICATIONS: 1.10-h</t>
  </si>
  <si>
    <t xml:space="preserve"> INVITATION TO BID  IB-2020-011-GOODS-FCSMO Repair of Three (3) Units Sinamics Variable Frequency Drive of Pump No. 5, 7, and 8 of Taguig Pumping Station 1.	The Metropolitan Manila Development Authority (“MMDA”), through the RA 11465 GENERAL APPROPRIATIONS</t>
  </si>
  <si>
    <t xml:space="preserve"> Standard Form Number: SF-GOODS-60 Revised on May 2004 PR. Number: 2020-010 RFQ No.: 2020-06-010 PR Date: June 22. 2020 Philgeps Ref. No. 2019-025 2020-010 End User: Municipality of Paombong Closing Date: July 29, 2020. ABC: P 1,932,484.20 Time: 1:30 PM Si</t>
  </si>
  <si>
    <t xml:space="preserve"> Hydraulic Pump Assembly,6HE1</t>
  </si>
  <si>
    <t xml:space="preserve"> The Department of Agriculture-RFO 3, invites interested suppliers to submit quotations/proposals for the hereunder requirement, to wit: ITEM NO.	QTY.	UNIT	ITEMS &amp; DESCRIPTION		UNIT PRICE	TOTAL AMOUNT	BRAND/MODEL 							 			Other Supplies 				 	100	Pack	Pl</t>
  </si>
  <si>
    <t xml:space="preserve"> 1 unit Portable External Hard Drive, 8TB 1 unit Laptop Computer (Mid-Range) for Office Productivity Processor: 8th Generation Intel® Core™ i7-8565U Processor (8MB Cache, up to 4.6 GHz) Memory: 8GB, 2400MHz, DDR4 Storage: 128GB M.2 PCIe NVMe Solid State Dr</t>
  </si>
  <si>
    <t xml:space="preserve"> ITB NO.: 2020-E001 INVITATION TO BID FOR SUPPLY, DELIVERY and INSTALLATION OF  ONE (1) UNIT HOSPITAL BED ELEVATOR 1.	The PHILIPPINE ORTHOPEDIC CENTER (POC), through Hospital Income CY 2020, intends to apply the sum of  TEN MILLION PESOS (PhP 10,000,000.00</t>
  </si>
  <si>
    <t xml:space="preserve"> The General Santos City, Halls of Justice, of the Supreme Court, through the Procurement Section, invites interested suppliers to quote for the price/s of the item/s listed in the attached document (PLEASE DOWNLOAD) Please also provide "Eligibility Docume</t>
  </si>
  <si>
    <t xml:space="preserve"> LGU BUGALLON						 Agency / Procuring Entity						 						 	Department: 		Office of the Mayor		Date:	 						 	Section:				Date:	 						 STOCK 		UNIT	Description	QTY	UNIT COST	AMOUNT NO.						 	1	unit	Modular Tent with Top Mesh/Kulambo	200		 			*Polyester H</t>
  </si>
  <si>
    <t xml:space="preserve"> Printer Epson L3110 6 units epson ink 003</t>
  </si>
  <si>
    <t xml:space="preserve"> The Office on Halls of Justice, of the Supreme Court, through the Procurement Section, invites interested suppliers to quote for the price/s of the item/s listed in the attached document (PLEASE DOWNLOAD) Please also provide "Eligibility Documents, Annex </t>
  </si>
  <si>
    <t xml:space="preserve"> Republic of the Philippines PROVINCE OF QUEZON MUNICIPALITY OF POLILLO ***** INVITATION TO BID FOR:  SUPPLY AND DELIVERY OF OFFICE EQUIPMENT &amp; DEVICES (PPE Capital Outlay) LGU Polillo, Quezon 1.	The Municipality of Polillo, through the Approved Budget 202</t>
  </si>
  <si>
    <t xml:space="preserve"> The material should be brass.</t>
  </si>
  <si>
    <t xml:space="preserve"> Supply and delivery of 1 unit Single Drum, Multi Crop Thresher to be used in the organic soybean production and processing for improved local supply and utilization project in Region I 1	unit	Single drum, multi crop thresher		 		- with 9 hp diesel engine </t>
  </si>
  <si>
    <t xml:space="preserve"> Republic of the Philippines National Kidney and Transplant Institute Bids and Awards Committee East Avenue, Quezon City 1100 981-0300 / 981-0400 local 1157 http://www.nkti.gov.ph/	 NOTICE OF PROCUREMENT OPPORTUNITY (SMALL VALUE PROCUREMENT) 1.	The NATIONA</t>
  </si>
  <si>
    <t xml:space="preserve"> AM SNACKS 250 PAX LUNCH 250 PAX</t>
  </si>
  <si>
    <t xml:space="preserve"> INVITATION TO BID  IB-2020-013-GOODS-PRFS Supply of Fiberglass Reinforced Plastic Pontoon with Polycarbonate Canopy for the use of Escolta-Pasig River Ferry 1.	The Metropolitan Manila Development Authority (“MMDA”), through the 2019 LOCAL FUND  2020 Regul</t>
  </si>
  <si>
    <t xml:space="preserve"> INVITATION TO BID FOR THE SUPPLY, DELIVERY AND INSTALLATION OF AIRCON UNITS AT THE GS BUILDING-2nd Posting PB-2020-184-010 1. The Pampanga State Agricultural University, through Fund 184, intends to apply the sum of P773,000.00 being the Approved Budget f</t>
  </si>
  <si>
    <t xml:space="preserve"> INVITATION TO BID FOR THE PROCUREMENT OF SUPPLY &amp; DELIVERY OF NSIC APPROVED HYBRID RICE SEEDS     1.	The Department of Agriculture Regional Field Office 6 through the General Appropriations Act (GAA) of 2020 intends to apply the sum of Eleven Million Peso</t>
  </si>
  <si>
    <t xml:space="preserve"> Item No.	Unit	Qty.	Description of Articles				 1	unit	1	X-RAY MACHINE WITH CR SYSTEM (BRAND NEW)				 			GENERATOR				 			  - Power Rating: 32 kW 				 			  - Line Power: 230V to 480V3, ±10% (Frequency: 50/60Hz)				 			   - mA Range: 10 to 500				 			   - k</t>
  </si>
  <si>
    <t xml:space="preserve"> 1	1	Lot	Supply and Delivery of Camera 			Item Description: 	1	Units	Mirrorless Camera VALID PIXEL : 24MP (min) LENGTH SENSITIVITY: 100 256000 ISO LCD SIZE : 3 inches IMAGE RECORD FORMAT : JPEG / RAW DIGITAL ZOOM : Approx. 1.5x   10x VIDEO RESOLUTION : 192</t>
  </si>
  <si>
    <t xml:space="preserve"> Purchase of Franklin Motor Water Pump for Barangay Babo Sacan 1 Motor Power Pump</t>
  </si>
  <si>
    <t xml:space="preserve"> Procurement of Twenty (20) box Phenylephrine HCI &amp; 11 LI</t>
  </si>
  <si>
    <t xml:space="preserve"> INVITATION TO BID  IB-2020-014-GOODS-FCSMO Supply and Delivery of Tool Box for use in the Repair and Maintenance of Various Pumping Station 1.	The Metropolitan Manila Development Authority (“MMDA”), through the RA 11465 GENERAL APPROPRIATIONS ACT Regular </t>
  </si>
  <si>
    <t xml:space="preserve"> The Barangay Government of Ibaca, President Roxas, Capiz, through the 20% Development Fund, intends to apply the sum of One Hundred Sixty Thousand Seven Hundred Pesos (Php 160,700.00) being the Approved Budget for the Contract (ABC) to payments under the </t>
  </si>
  <si>
    <t xml:space="preserve"> INVITATION TO BID FOR THE PROCUREMENT OF SUPPLY &amp; DELIVERY OF ORGANIC FERTILIZER     1.	The Department of Agriculture Regional Field Office 6 through the General Appropriations Act (GAA) of 2020 intends to apply the sum of One Million Nine Hundred Seventy</t>
  </si>
  <si>
    <t xml:space="preserve"> INDOOR P3 20 PANELS  POWER DISTRIBUTOR 1 SET LED WALL 2 PANELS</t>
  </si>
  <si>
    <t xml:space="preserve"> Medical and Lab Supplies LGU Cabagan Cabagan, Isabela</t>
  </si>
  <si>
    <t xml:space="preserve"> Republic of the Philippines CITY OF MARIKINA SF-GOOD-05 Revised on: July 28, 2004				 													Mkna-GSO-20-287	 	BIDS AND AWARDS COMMITTEE		 NOTICE OF PROPOSED PROCUREMENT The City Government of Marikina, through its Bids and Awards Committee (BAC), w</t>
  </si>
  <si>
    <t xml:space="preserve"> PRINTER FLASH DRIVE EXTERNAL POCKET WIFI</t>
  </si>
  <si>
    <t xml:space="preserve"> Materials for the Construction of Office at the Agoo East Central School</t>
  </si>
  <si>
    <t xml:space="preserve"> 1 pc jella oval 8's d/s 1 pc sherwin 311 smiley s/s 1 set roman old book case 1 set dos/kads telephone stand (cute)</t>
  </si>
  <si>
    <t xml:space="preserve"> Materials for the Repair of Principal's Office</t>
  </si>
  <si>
    <t xml:space="preserve"> Invitation to Bid for the Consultancy Services for the Training Needs Assessment, Design, Development and Pilot Implementation of Training Programs on MSMEs Resiliency for the Creative Industries Sector: Film (with development of PTTC trainers) 1.	The Phi</t>
  </si>
  <si>
    <t xml:space="preserve"> Republic of the Philippines Province of Occidental Mindoro MUNICIPALITY OF PALUAN Invitation to Bid for Rehabilitation of Multi-Purpose Hall/Tinangra  1.	The Local Government Unit of  Barangay IX-Tubili, Paluan, Occidental Mindoro  intends to apply the su</t>
  </si>
  <si>
    <t xml:space="preserve"> Bond Paper A4</t>
  </si>
  <si>
    <t xml:space="preserve"> Office Equipment</t>
  </si>
  <si>
    <t xml:space="preserve"> Republic of the Philippines EASTERN SAMAR STATE UNIVERSITY Borongan City, Eastern Samar INVITATION TO BID FOR Procurement of IT Supplies for the Maintenance of the University at ESSU Main Campus PR#2020-OSPM-215   1.	The EASTERN SAMAR STATE UNIVERSITY, th</t>
  </si>
  <si>
    <t xml:space="preserve"> LOW TUNNEL VEGETABLE SEEDLING NURSERY  20 PCS</t>
  </si>
  <si>
    <t xml:space="preserve"> FOOD GRADE STACKABLE CRATES 1000 PCS</t>
  </si>
  <si>
    <t xml:space="preserve"> Republika ng Pilipinas PAMAHALAANG LUNGSOD NG TACLOBAN (City Government of Tacloban) Kanhuraw Hill, Tacloban City 6500 BIDS AND AWARDS COMMITTEE INVITATION TO BID  REF #044-06-2020 (JUNE 29, 2020) PR# 2020- DATED 01-09-2020 7071961 The Procuring Entity th</t>
  </si>
  <si>
    <t xml:space="preserve"> One Job furnishing Labor and Materials for the Rehabilitation / Construction of Drainage System</t>
  </si>
  <si>
    <t xml:space="preserve"> INVITATION TO BID FOR THE SUPPLY, INSTALLATION AND DELIVERY OF EQUIPMENT FOR THE NEWLY CONSTRUCTED PSAU INNOVATION CENTER- 2nd Posting PB-2020-101-009 1. The Pampanga State Agricultural University, through Fund 101, intends to apply the sum of P2,240,000.</t>
  </si>
  <si>
    <t xml:space="preserve"> schedule opening of bids</t>
  </si>
  <si>
    <t xml:space="preserve"> The City Government of Pagadian, through its Bids and Awards Committee (BAC), invites suppliers/manufacturers/distributors to apply for eligibility and if found eligible, to bid for the hereunder supplies/goods charged to DIFFERENT OFFICES 200-5-02-05-020</t>
  </si>
  <si>
    <t xml:space="preserve"> Republic of the Philippines Province of Palawan Municipality of Roxas BIDS AND AWARDS COMMITTEE INVITATION TO BID FOR THE SUPPLY AND DELIVERY OF MATERIALS FOR THE REHABILITATION OF SHARED FACILITY AT SITIO CALAETEN, BARANGAY MALCAMPO, ROXAS, PALAWAN The L</t>
  </si>
  <si>
    <t xml:space="preserve"> INVITATION TO BID NO. 003-06-2020 PROCUREMENT OF THE FIBER OPTIC INTERNET ENTERPRISE CONNECTION TO UPGRADE DEPED REGION XI OFFICE INTERNET NETWORK The Department of Education Region XI, through GAA 2020 Funds  intends to apply the sum of  Five Hundred Six</t>
  </si>
  <si>
    <t xml:space="preserve"> Republic of the Philippines Province of Palawan Municipality of Roxas BIDS AND AWARDS COMMITTEE INVITATION TO BID FOR THE SUPPLY AND DELIVERY OF TIRES FOR VARIOUS VEHICLES The Local Government Unit of Roxas, Palawan, through the 2020 Annual Budget intends</t>
  </si>
  <si>
    <t xml:space="preserve"> Materials needed for Office Extension Construction.</t>
  </si>
  <si>
    <t xml:space="preserve"> ITEM	QTY.	UNIT		ARTICLE AND DESCRIPTION				CEILING 					UNIT PRICE		TOTAL  								PRICE							 															 				Office: Department of Tourism, Culture and Arts of Manila				PR No. 844							 				Charge to: Other Supplies and Materials Expenses				OBR </t>
  </si>
  <si>
    <t xml:space="preserve"> Republic of the Philippines PROVINCE OF ZAMBALES IBA BIDS AND AWARDS COMMITTEE Invitation to Bid for the Package IV: Construction of Multi-Purpose Hall with Comfort Rooms for Male, Female and PWDs and Solar Panel Roofing and Construction of Water System w</t>
  </si>
  <si>
    <t xml:space="preserve"> Republic of the Philippines Province of Palawan Municipality of Roxas   BIDS AND AWARDS COMMITTEE INVITATION TO BID  FOR THE CONSTRUCTION OF MULTI-PURPOSE COVERED HALL AT MATALANGAO ELEMENTARY SCHOOL, CANDELARIA ELEMENTARY SCHOOL AND NEW CUYO ELEMENTARY S</t>
  </si>
  <si>
    <t xml:space="preserve"> Republic of the Philippines Province of Palawan Municipality of Roxas BIDS AND AWARDS COMMITTEE INVITATION TO BID FOR THE SUPPLY AND DELIVERY OF MATERIALS FOR THE INSTALLATION OF WATER TANKS AND LATRINES FOR EVACUATION CENTERS IN ROXAS, PALAWAN The Local </t>
  </si>
  <si>
    <t xml:space="preserve"> REQUEST FOR QUOTATION Labor for Repair and Improvement of Ecumenical Chapel at CvSU Indang Campus 1. The Cavite State University (CvSU) invites interested firms/suppliers to submit quotation for the project “Labor for Repair and Improvement of Ecumenical </t>
  </si>
  <si>
    <t xml:space="preserve"> Republic of the Philippines Cordillera Administrative Region PROVINCIAL GOVERNMENT OF ABRA Bangued Invitation to Bid for  UPGRADING OF AGUIBO-MALIBCONG ROAD 1.	The Provincial Government of Abra, through the Government of the Philippines funded under the C</t>
  </si>
  <si>
    <t xml:space="preserve"> Republic of the Philippines PROVINCE OF ISABELA Ilagan REQUEST FOR QUOTATION (RFQ) FOR THE SUPPLY, DELIVERY AND INSTALLATION OF FIFTEEN (15) UNITS DRINKING WATER FOUNTAIN WITH COMPLETE ACCESSORIES NEGOTIATED PROCUREMENT-TWO FAILED BIDDINGS                </t>
  </si>
  <si>
    <t xml:space="preserve"> INVITATION TO BID 						 for the                                                                                                                                                                                  Supply and Delivery of various Construction M</t>
  </si>
  <si>
    <t xml:space="preserve"> 11 Units Radio, hand held Portable HH radio with battery pack, belt clip, rubber antenna, and desktop charger NTC registered supplier</t>
  </si>
  <si>
    <t xml:space="preserve"> The Municipal Government of Atok, Benguet now invites bids for MDRRMF CLUSTER 4-2020 PROJECTS AT CATTUBO, CALIKING AND PAOAY, ATOK, BENGUET with the following Clustered Projects: 1.	REHABILITATION OF DRAINAGE CANAL AT BONGLO, PAOAY WITH AN ABC OF P150,000</t>
  </si>
  <si>
    <t xml:space="preserve"> INVITATION TO BID FOR THE PROCUREMENT OF SUPPLY &amp; DELIVERY OF PRINTING OF IEC MATERIALS      1.	The Department of Agriculture Regional Field Office 6 through the General Appropriations Act (GAA) of 2020 intends to apply the sum of One Million Five Hundred</t>
  </si>
  <si>
    <t xml:space="preserve"> Municipality of Indang, Cavite</t>
  </si>
  <si>
    <t xml:space="preserve"> One Job furnishing labor and materials for the improvement / construction of Multi Purpose Hall</t>
  </si>
  <si>
    <t xml:space="preserve"> Republic of the Philippines Cordillera Administrative Region PROVINCIAL GOVERNMENT OF ABRA Bangued Invitation to Bid for  UPGRADING OF BITUEN-LACUB ROAD 1.	The Provincial Government of Abra, through the Government of the Philippines funded under the Condi</t>
  </si>
  <si>
    <t xml:space="preserve"> Improvement and Installation of the communication &amp; Internet System of the PMO-CRPIP NOTE: Jobber shall provide all materials, apparatus, equipment &amp; all other incidentals necessary in the scope of works. -Jobber shall be responsible of any necessary docu</t>
  </si>
  <si>
    <t xml:space="preserve"> INVITATION TO BID FOR PROCUREMENT OF MATERIALS FOR CONSTRUCTION OF VAWC OFFICE 1.	The Barangay Macabayao, through the 20% Barangay Development Fund intends to apply the sum of Seventy-Four Thousand Nine Hundred Eighty Pesos Only (Php74,980.00) being the A</t>
  </si>
  <si>
    <t xml:space="preserve"> INVITATION TO BID FOR Supply &amp; Delivery of Starter Kits for DOLE Program Beneficiaries (Goods 2020-35) 1.	The LOCAL GOVERNMENT UNIT OF SAN MATEO, ISABELA (LGU-SMI), through its Bids and Awards Committee  intends to apply the sum of FIVE HUNDRED FORTY-SIX </t>
  </si>
  <si>
    <t xml:space="preserve"> PURCHASE REQUEST			 LGU BUGALLON						 Agency / Procuring Entity						 						 	Department: 		Office of the Mayor		Date:	 						 	Section:				Date:	 						 STOCK 		UNIT	Description	QTY	UNIT COST	AMOUNT NO.						 	1	pcs	PPE Coverall	220</t>
  </si>
  <si>
    <t xml:space="preserve"> 1	1	Lot	Supply &amp; Delivery of Consumables 			Item Description: 	60	Cart	INK CART, EPSON C13T664100 (T6641), Black 	75	Cart	INK CART, HP F6V27AA (HP680) Black 	50	Cart	INK CART, HP F6V26AA (HP680) Tri color 	15	Cart	Epson C13T00V100 (003), Black 	10	Cart	Ep</t>
  </si>
  <si>
    <t xml:space="preserve"> Procurement of Office Supplies						 						 Purchase Requested by the City Assessor's Office, Tabaco City						 						 To Interested Suppliers, Manufacturers and Distributors,						 						 Please quote your lowest price/s on the lot or item/s  below, subj</t>
  </si>
  <si>
    <t xml:space="preserve"> Republic of the Philippines Municipality of Taytay Taytay, Palawan NOTICE TO BIDDERS Item # Qty Unit Description Amount 1. 30 set Seaweeds Paraphernalias 1 roll rope #20 6 roll rope #8 6 roll rope #6 10 roll straw 2. 10 set Balatan Paraphernalias 1 paldo </t>
  </si>
  <si>
    <t xml:space="preserve"> Republic of the Philippines PROVINCE OF ZAMBALES I B A  Project Reference Number/Purchase Request No..	OPA2020-008 &amp; PLO2020-08 													                                                                                                 Location of the P</t>
  </si>
  <si>
    <t xml:space="preserve"> REQUEST FOR QUOTATION Supply and Delivery of Materials for Construction of Hazardous Facility and Storage Room at CvSU Indang Campus 1. The Cavite State University (CvSU) invites interested firms/suppliers to submit quotation for the project “Supply and D</t>
  </si>
  <si>
    <t xml:space="preserve"> Republic of the Philippines PROVINCE OF ZAMBALES I B A  Project Reference Number/Purchase Request No..	SMDH-2020-221 													                                                                                                 Location of the Project:	San</t>
  </si>
  <si>
    <t xml:space="preserve"> REQUEST FOR QUOTATION Labor for Construction of Hazardous Facility and Storage Room at CvSU Indang Campus 1. The Cavite State University (CvSU) invites interested firms/suppliers to submit quotation for the project “Labor for Construction of Hazardous Fac</t>
  </si>
  <si>
    <t xml:space="preserve"> 15	BAGS	CEMENT 20	PCS	RSB 2	CUBIC 	SAND 2	CUBIC 	GRAVEL 100	OCS	CHB#4 2	KL	COMMON NAIL#1 2	KL	COMMON NAIL#2 2	KL	TIE WIRE</t>
  </si>
  <si>
    <t xml:space="preserve"> 19	PCS	GI SHEET CORR 12FT 10	PAIR	JALOSIE BLADE WITH FRAME 17 B 199	PCS	TEXT SCREW 2	PCS	PAINT BRUSH #2</t>
  </si>
  <si>
    <t xml:space="preserve"> REQUEST FOR QUOTATION Supply and Delivery of Materials for Repair and Improvement of Ecumenical Chapel at CvSU Indang Campus 1. The Cavite State University (CvSU) invites interested firms/suppliers to submit quotation for the project “Supply and Delivery </t>
  </si>
  <si>
    <t xml:space="preserve"> INVITATION TO APPLY FOR ELIGIBILITY AND TO BID THE MUNICIPALITY OF CAIBIRAN, BILIRAN IS INVITING ALL INTERESTED BIDDERS ON ITS FORTHCOMING PUBLIC BIDDING FOR: Project Title 		        : Acquisition of Medicines, MDRRO  Location	                        : Ca</t>
  </si>
  <si>
    <t xml:space="preserve"> 20	BAGS	CEMENT 150	PCS	CHB#4 4	PCS	FASCIA BOARD HARDIFLEX 1X12X12 2	CUBIC	GRAVEL 3/4 2	CUBIC 	SAND 10	PCS	CORR BAR 10MM 20	PCS	SQUARE BAR 12MM 200	PCS	METAL PARRING 3	KG	WELDING ROD SPECIAL 3	GAL	LATEX 2	GAL	PAINT THINNER 30	PCS	MARINE PLYWOOD 1/4 2	LTR	F</t>
  </si>
  <si>
    <t xml:space="preserve"> 21	PCS	GI SHEETS COR 12FT 4	GL	ROOF PAINT 276	PCS	TEXT SCREW 7	PCS	DOOR KNOB 2	PCS	GRASS CUTTER 1	PC	HAMMER 1	PC	HACK SAW 1	PC	CROSS CUT SAW 200	PCS	RIVET</t>
  </si>
  <si>
    <t xml:space="preserve"> 10 pcs Folding beds (heavy duty) 2 pcs Thermal scanner digital 1 set Bp apparatus with stethoscope (ALPK2) 1 set Medical Kit 1 gal Alcohol 70% with moiusturizer 10 pcs Handsoap 10 pcs Hand Sanitizer 1 pc Tent 20 x 30 maruyama 2 pcs Nylon rope #18</t>
  </si>
  <si>
    <t xml:space="preserve"> 1 Set Generator</t>
  </si>
  <si>
    <t xml:space="preserve"> Size: 14-1S" Memory: 1T RAM: 8G Processor: CORE; Series (Core) i3- Coreis) Latest oDR4 RAM 2qhz HDD or SSD</t>
  </si>
  <si>
    <t xml:space="preserve"> 10	set	smoke jalousie with frame 19 blades (23 cm) 7	pc	good lumber 2x6x6 3	pc	good lumber 2x6x9 1	cu	gravel and sand 16	pc	cement 10	pc	10 mm RSB x 6 m 1	kg	Tie wire 3	pc	elbow 2" 1	can	PVC solvent 20	pcs	CHB #4 2	pc	T PVC pipe 2"</t>
  </si>
  <si>
    <t xml:space="preserve"> Invitation to Bid for the Consultancy Services for the Training Needs Assessment, Design, Development and Pilot Implementation of Training Programs on MSMEs Resiliency for the Creative Industries Sector: Animation (with development of PTTC trainers) 1.	Th</t>
  </si>
  <si>
    <t xml:space="preserve"> 10	REAMS	BOND PAPER A4 14	PCS	TEXT SCREW 2	PCS	WHISTLE 1	UNIT 	GAS STOVE DOUBLE WITH GAS TANK</t>
  </si>
  <si>
    <t xml:space="preserve"> Procurement of Supply and Delivery of Office  Supplies &amp; Equipment 		Fuji Xerox DocuCentre 2320 2		Drum Cartridge 13		Toner PR# 2020-1002</t>
  </si>
  <si>
    <t xml:space="preserve"> REQUEST FOR QUOTATION Supply and Delivery of Various Supplies, Materials and Equipment for Research Center 1. The Cavite State University (CvSU) invites interested firms/suppliers to submit quotation for the project “Supply and Delivery of Various Supplie</t>
  </si>
  <si>
    <t xml:space="preserve"> REQUEST FOR QUOTATION Supply and Delivery of Various Semi-Expendable Equipment for CvSU Silang Campus 1. The Cavite State University (CvSU) invites interested firms/suppliers to submit quotation for the project “Supply and Delivery of Various Semi-Expenda</t>
  </si>
  <si>
    <t xml:space="preserve"> 7	REAMS	BOOK PAPER SUB 20 LONG 1	SET	UNIVERSAL INK 4 SETS 3	REAMS	BOOK PAPER SUB 20 SHORT 2	UNIT	DVD 2	SET	TELEVISION SET 8	PCS	DVD TAPES NURSERY RHYMES 1	UNIT	WIFI GLOBE 2	PCS	PRISM 2	PCKS	IRON FILLINGS 10	BOT	ISOPROPHYLL ALCOHOL 70% 2	BOT	IODINE SOLUTIO</t>
  </si>
  <si>
    <t xml:space="preserve"> Invitation to Bid for the Consultancy Services for the Training Needs Assessment, Design, Development and Pilot Implementation of Training Programs on MSMEs Resiliency for the Food Manufacturing Sector: Processed Marine Products (with development of PTTC </t>
  </si>
  <si>
    <t xml:space="preserve"> REQUEST FOR QUOTATION Supply and Delivery of Materials for Construction of Bee House for CvSU Bee Program 1. The Cavite State University (CvSU) invites interested firms/suppliers to submit quotation for the project “Supply and Delivery of Materials for Co</t>
  </si>
  <si>
    <t xml:space="preserve"> 8	REAMS	BOOK PAPER SUBS 20 LONG 80	PCS	CARTOINA WHITE THICK 8	PCS	FLASH DRIVE 4GB 8	PCS	CORRECTION TAPE 20	PCS	DVD RW WITH CASE 8	ROLLS	DOUBLE ADHESIVE TAPE  16	ROLLS	SCOTCH TAPE 1/2 7	BOT	GLUE ALL PURPOSE  8	BOX	PAPER CLIPS 8	BOT	PENTEL PEN INK 7	REAMS	N</t>
  </si>
  <si>
    <t xml:space="preserve"> 10	PCS	CORR GI SHEET #10 10	BAG 	CEMENT 223	PCS	CHB#4 10	PCS	CORR BAR 10MM 2	GAL	PAINT ROS BRIGHT GREEN 4	GAL	PAINT ROS CHEESE YELLOW 2	GAL	PAINT ROS OSO RED 2	GAL	PAINT ROS OAKWHITE 2	GAL	PAINT ROS TEMPTATION 2	BOX	BLIND REVIT #1 2/2 2	KLS	CONCRETE NAIL </t>
  </si>
  <si>
    <t xml:space="preserve"> Invitation to Bid for the Consultancy Services for the Training Needs Assessment, Design, Development and Pilot Implementation of Training Programs on MSMEs Resiliency for the Lifestyle Sector: Clothing (with development of PTTC trainers) 1.	The Philippin</t>
  </si>
  <si>
    <t xml:space="preserve"> 10	PCS	CORR GI SHEET 12.40MM 10	PCS	CORR BAR #10MM 8	PCS	CORR BAR #8MM 2	PCS	DOOR KNOB 1	KL	UMBRELLA NAIL 2	GAL	LATEX WHITE 2	GAL	PAINT ROS BRIGHT GREEN 1	CUBIC 	GRAVEL 1	CUBIC	SAND 4	GAL	CARAMEL BROWN 3	PCS	PADLOCK BIG 16	PCS	PAINT BRUSH #4 15	BAGS 	CEME</t>
  </si>
  <si>
    <t xml:space="preserve"> REQUEST FOR QUOTATION Labor for Construction of Bee House for CvSU Bee Program 1. The Cavite State University (CvSU) invites interested firms/suppliers to submit quotation for the project “Labor for Construction of Bee House for CvSU Bee Program” with an </t>
  </si>
  <si>
    <t xml:space="preserve"> QUANTITY	UNIT	ARTICLES				 1	unit	Passenger Van				 		          1GD - FTV				 		          2.8 Diesel A/T				 		          4 cylinders, in-line type 16V DOHC with VNT and Intercooler				 		          176ps / 3400rpm - max output				 		          450 Nm / 1600</t>
  </si>
  <si>
    <t xml:space="preserve"> Republic of the Philippines Province of Quezon City Government of Tayabas REQUEST FOR QUOTATION The City Government of Tayabas, through its Bids and Awards Committee (BAC), will undertake Negotiated Procurement (Small Value Procurement) for RFQ # 20-102  </t>
  </si>
  <si>
    <t xml:space="preserve"> QUANTITY	UNIT	ARTICLES				 40	boxes	Bond Paper Sub 20 (70 GSM), Short  8.5" x 11", 5 reams/box				 50	boxes	Bond Paper Sub 20 (70 GSM), Long 8.5" x 13", 5 reams/box				 50	boxes	Bond Paper Sub 20 (70 GSM), A4 210mm x 297mm, 5 reams/box				 		*****END*****</t>
  </si>
  <si>
    <t xml:space="preserve"> Republic of the Philippines Province of Quezon City Government of Tayabas REQUEST FOR QUOTATION The City Government of Tayabas, through its Bids and Awards Committee (BAC), will undertake Negotiated Procurement (Small Value Procurement) for RFQ # 20-098  </t>
  </si>
  <si>
    <t xml:space="preserve"> QUANTITY	UNIT	ARTICLES				 300	packs	BREAKFAST :				 		          Egg with Hotdog and Rice				 		          Skinless Longganisa and Rice				 		          Dried Fish with Tomato and Rice				 		          Egg with Tuyo and Rice				 		          Tocino with Rice	</t>
  </si>
  <si>
    <t xml:space="preserve"> INDUSTRIAL TECHNOLOGY DEVELOPMENT INSTITUTE DOST Cmpd., Bicutan, Taguig City Telephone Nos. (02) 837-20-71 to 82 local 2221 E-mail Add.: itdi.admbac@gmail.com INVITATION TO BID June 27, 2020 Sir/Madam: Please quote your price for the item/items listed bel</t>
  </si>
  <si>
    <t xml:space="preserve"> For CGSO Backhoe Loader (Sinomach 630 A) 1	set	Planetary Gear Assy. 		*****END*****</t>
  </si>
  <si>
    <t xml:space="preserve"> Republic of the Philippines Province of Quezon City Government of Tayabas REQUEST FOR QUOTATION The City Government of Tayabas, through its Bids and Awards Committee (BAC), will undertake Negotiated Procurement (Small Value Procurement) for RFQ # 20-101  </t>
  </si>
  <si>
    <t xml:space="preserve"> QUANTITY	UNIT	ARTICLES				 2	per/meter	Venetian Blinds (39mm x 98.5mm)				 3	per/meter	Venetian Blinds (38.25mm x 98mm)				 1	per/meter	Venetian Blinds (87mm x 52mm)				 2	per/meter	Venetian Blinds (71.5mm x 52mm)				 1	per/meter	Venetian Blinds (87mm x 5</t>
  </si>
  <si>
    <t xml:space="preserve"> QUANTITY	UNIT	ARTICLES				 60	rolls	Adhesive Tape, Scotch Tape 1"				 30	reams	Bond Paper, Long, S-20, Good Quality				 50	reams	Bond Paper, Short, S-20, Good Quality				 10	reams	Bond Paper, Short, S-24, Good Quality				 20	reams	Colored Paper, Long, Neo</t>
  </si>
  <si>
    <t xml:space="preserve"> QUANTITY	UNIT	ARTICLES				 100	packs	Spoon, Disposable, 20's				 100	packs	Fork, Disposable, 20's				 100	packs	Sando Bag, Plastic, Large, 100's				 100	bundles	Sando Bag, Plastic, Medium, 100's				 100	packs	Cup, Disposable, 50's				 100	packs	Cup, Paper</t>
  </si>
  <si>
    <t xml:space="preserve"> 185 pcs Flu Vaccine</t>
  </si>
  <si>
    <t xml:space="preserve"> QUANTITY	UNIT	ARTICLES				 2	units	File Cabinet, Lateral, Steel, 3-Drawer, Heavy Duty				 3	units	File Cabinet, Vertical, Steel, 4-Drawer, Heavy Duty				 2	units	Locker Cabinet, Metal, 15-Door (See attached sample)				 4	units	Rubber Boots Rack (See attac</t>
  </si>
  <si>
    <t xml:space="preserve"> 214 pcs of Flu Vaccine</t>
  </si>
  <si>
    <t xml:space="preserve"> RITEM	QTY.	UNIT		ARTICLE AND DESCRIPTION				CEILING 					UNIT PRICE		TOTAL 			 								PRICE										 																		 	           Ospital Ng Maynila Medical Center 					PR No. 705	Php238,120.00			OBR No. 100-2005-04600								 	           Ospital Ng M</t>
  </si>
  <si>
    <t xml:space="preserve"> Republic of the Philippines Province of Quezon City Government of Tayabas REQUEST FOR QUOTATION The City Government of Tayabas, through its Bids and Awards Committee (BAC), will undertake Negotiated Procurement (Small Value Procurement) for RFQ # 20-112  </t>
  </si>
  <si>
    <t xml:space="preserve"> QUANTITY	UNIT	ARTICLES				 4	pcs	Coco Post 4 x 4 x 8				 8	pcs	Coco Lumber 2 x 3 x 10				 40	pcs	Bamboo Sena, Whole				 2	kilos	CN# 3				 2	kilos	CN# 2				 50	rolls	Nylon Cord #90				 4	rolls	Net Nylon, Double, 1" x 6"				 2	units	Submersible Pump, 15 wat</t>
  </si>
  <si>
    <t xml:space="preserve"> Republic of the Philippines Province of Quezon City Government of Tayabas REQUEST FOR QUOTATION The City Government of Tayabas, through its Bids and Awards Committee (BAC), will undertake Negotiated Procurement (Small Value Procurement) for RFQ # 20-111  </t>
  </si>
  <si>
    <t xml:space="preserve"> Republic of the Philippines Province of Quezon City Government of Tayabas REQUEST FOR QUOTATION The City Government of Tayabas, through its Bids and Awards Committee (BAC), will undertake Negotiated Procurement (Small Value Procurement) for RFQ # 20-109  </t>
  </si>
  <si>
    <t xml:space="preserve"> INVITATION TO BID  IB-2020-012-GOODS-MIS Supply and Delivery of Additional Requirements for Innovative Document 1.	The Metropolitan Manila Development Authority (“MMDA”), through the 2019 LOCAL FUND  2020 Regular 2019  CONTINUING  intends to apply the sum</t>
  </si>
  <si>
    <t xml:space="preserve"> Republic of the Philippines Province of Quezon City Government of Tayabas REQUEST FOR QUOTATION The City Government of Tayabas, through its Bids and Awards Committee (BAC), will undertake Negotiated Procurement (Small Value Procurement) for RFQ # 20-108  </t>
  </si>
  <si>
    <t xml:space="preserve"> Republic of the Philippines Province of Quezon City Government of Tayabas REQUEST FOR QUOTATION The City Government of Tayabas, through its Bids and Awards Committee (BAC), will undertake Negotiated Procurement (Small Value Procurement) for RFQ # 20-107  </t>
  </si>
  <si>
    <t xml:space="preserve"> Republic of the Philippines Province of Quezon City Government of Tayabas REQUEST FOR QUOTATION The City Government of Tayabas, through its Bids and Awards Committee (BAC), will undertake Negotiated Procurement (Small Value Procurement) for RFQ # 20-106  </t>
  </si>
  <si>
    <t xml:space="preserve"> Supply of Labor and Materials for the Rehabilitation of Lateral Line 1" in Zone 6, Abo, Tigaon, Camarines Sur.</t>
  </si>
  <si>
    <t xml:space="preserve"> FOR DENGUE PREVENTION USE LGU Cabagan Cabagan, Isabela</t>
  </si>
  <si>
    <t xml:space="preserve"> Republic of the Philippines Province of Quezon City Government of Tayabas REQUEST FOR QUOTATION The City Government of Tayabas, through its Bids and Awards Committee (BAC), will undertake Negotiated Procurement (Small Value Procurement) for RFQ # 20-110  </t>
  </si>
  <si>
    <t xml:space="preserve"> Republic of the Philippines Province of Quezon City Government of Tayabas REQUEST FOR QUOTATION The City Government of Tayabas, through its Bids and Awards Committee (BAC), will undertake Negotiated Procurement (Small Value Procurement) for RFQ # 20-105  </t>
  </si>
  <si>
    <t xml:space="preserve"> QUANTITY	UNIT	ARTICLES				 2	unit	Laptop Computer				 		Specifications:				 		Model : X507UB - BR397T				 		Processor : Core i5 -8250U /BGA				 		Storage 1 TB HDD  5400 RPM				 		Video Card : 2gb HD Graphics(Built-In)				 		Memory: 4GB DDR4				 		Monitor:</t>
  </si>
  <si>
    <t xml:space="preserve"> QUANTITY	UNIT	ARTICLES				 5	unit	Office Table #4216, 33 x 36 inches				 1	unit	Conference Table, YC-06				 3	unit	Office Table #4212, 24 x 48 inches				 4	unit	Visitor's Chair B66				 1	unit	Office Table, Glass Top GA-13, 1.6m				 1	unit	Executive Chair </t>
  </si>
  <si>
    <t xml:space="preserve"> QUANTITY	UNIT	ARTICLES				 16	pcs	Clerical Chair with Gas Lift				 16	pcs	Office Table, 24 x 48				 1	pc	Executive Table				 1	pc	Executive High Back Chair with Gas Lift				 		******END*****				 		(See attached sample of tables and chairs)</t>
  </si>
  <si>
    <t xml:space="preserve"> Republic of the Philippines Province of Quezon City Government of Tayabas REQUEST FOR QUOTATION The City Government of Tayabas, through its Bids and Awards Committee (BAC), will undertake Negotiated Procurement (Small Value Procurement) for RFQ # 20-103  </t>
  </si>
  <si>
    <t xml:space="preserve"> QUANTITY	UNIT	ARTICLES				 926	pcs	Hard Bound Cover				 		          Color: Blue				 		          Height: 3.5 inches				 		          Length: 16 inches				 		          Width: 9 inches				 		          Mechanism: 70mm				 		*****END*****</t>
  </si>
  <si>
    <t xml:space="preserve"> 1	1	Lot	Supply and Delivery of Photocopier &amp; Printer 			Item Description: 	1	Unit	Digital Full Colour Multifunctional Photocopier 3 in 1 Specifications: Engine Speed: A4 Max. 40 cpm/ppm A3 Max.19cpm/ppm SRA3 Max. 18cpm/ppm Control Panel display:: 10.1 inc</t>
  </si>
  <si>
    <t xml:space="preserve"> ARTICLE AND DESCRIPTION										 ITEM	QTY.	UNIT						CEILING 			UNIT PRICE			TOTAL  								PRICE						 				Office: 	Department of Assessment			PR. No. 1765						 				Charge to :  SAF-Capital Outlay-Continuing Appropriation				OBR No. 100-1912-13280					</t>
  </si>
  <si>
    <t xml:space="preserve"> Supply of Labor and Materials for the Rehabilitation of Lateral Line 1 1/2"in Tabog-Camagong, Lagonoy, Camarines Sur</t>
  </si>
  <si>
    <t xml:space="preserve"> Tambobong Elementary School MOOE  Office Supplies</t>
  </si>
  <si>
    <t xml:space="preserve"> I N V I T A T I O N   T O   B I D 2020 - 120 June 29, 2020 1.	The Provincial Government of Tarlac through the Trust Fund intends to apply the sum of Three Million Eight Hundred Twenty-Three Thousand Four Hundred Sixty-Six Pesos and 50/100 (PhP 3,823,466.5</t>
  </si>
  <si>
    <t xml:space="preserve"> I N V I T A T I O N   T O   B I D 2020 - 119 June 29, 2020 1.	The Provincial Government of Tarlac through the TPH - Drugs and Medicines Expenses intends to apply the sum of Five Million One Hundred Seventy-Three Thousand Five Hundred Twenty-Seven Pesos an</t>
  </si>
  <si>
    <t xml:space="preserve"> QUANTITY	UNIT	ARTICLES				 65	pcs	Pants				 130	pcs	Polo with Embroider				 40	pcs	Red T-Shirt with Collar				 		*****END*****				 		(See attached sample of Pants, Polo and T-Shirt with Collar)</t>
  </si>
  <si>
    <t xml:space="preserve"> Procurement of supply and delivery of Agricultural Supplies and Materials (fertilizers) 100	bags	Urea 100	bags	T-14 PR# 2020-1020</t>
  </si>
  <si>
    <t xml:space="preserve"> Please see attached file (RFP-20-06-0499) for reference.</t>
  </si>
  <si>
    <t xml:space="preserve"> Republic of the Philippines Province of Quezon City Government of Tayabas REQUEST FOR QUOTATION The City Government of Tayabas, through its Bids and Awards Committee (BAC), will undertake Negotiated Procurement (Small Value Procurement) for RFQ # 20-104  </t>
  </si>
  <si>
    <t xml:space="preserve"> 2 pcs Knapsack Sprayer</t>
  </si>
  <si>
    <t xml:space="preserve"> Procurement of supply and delivery of corn mill 1	unit	Corn Mill 1.	Brand New Input capacity: 250 kg/hr 2.	Engine (Prime Mover) Brand New 12 Hp (Min.) Water-cooled diesel engine Maximum power developed: 80% of the rated maximum power Continuous power deve</t>
  </si>
  <si>
    <t xml:space="preserve"> 8	 ltrs 	Insects &amp; Mosquito Repellant</t>
  </si>
  <si>
    <t xml:space="preserve"> Republic of the Philippines									 BIDS AND AWARDS COMMITTEE									 (Goods and Services)									 City Government of Baguio									 Baguio City									 									 Standard Form No.: SF -GOODS-60                                                   					</t>
  </si>
  <si>
    <t xml:space="preserve"> Please Download Attachments: 1.  Bidding Documents (Instructions to Bidders) 2.  Invitation to Bid (ITB/Bid Form) 3.  Schedule of BAC Activities for the Project (Bid Bulletin)</t>
  </si>
  <si>
    <t xml:space="preserve"> 105   subgrade preparation  201   aggregate base course  311   PCC pavement plain  SPL-1 warning &amp; hazard signs  SPL-2 const. health &amp; safety  SPL-3 billboard</t>
  </si>
  <si>
    <t xml:space="preserve"> Procurement of Supply and Delivery of Food for the conduct of ACMA Meeting for the following dates: (45 pax per Meeting) 270	pax	 July 7, 2020 August 4, 2020 September 8, 2020 October 6, 2020 November 3, 2020 December 8, 2020  am snack, lunch pm snack PR#</t>
  </si>
  <si>
    <t xml:space="preserve"> Project Title:	Construction of Double Barrel Box Culvert						 Location:	Glamang, Magsaysay, Davao del Sur						 Dimension:	3m x 3m x 10m						 Mode of Implementation:		By Contract					 Period of Implementation:		135 Calendar Days 					 							 BILL OF QU</t>
  </si>
  <si>
    <t xml:space="preserve"> fence and gate</t>
  </si>
  <si>
    <t xml:space="preserve"> 47	        bags	   Portland Cement 7	        cu.m	   Washed Screened Sand &amp; Gravel 62	        pcs	    12 mm dia x 6m def bars 32	        pcs	    9 mm dia x 6m def bars 10	       kgs	    No, 16 Tie Wire 100	        bd.ft     20 pcs - 2" x 2" x 10' Form Lum</t>
  </si>
  <si>
    <t xml:space="preserve"> PLEASE SEE ATTACHED ITB.</t>
  </si>
  <si>
    <t xml:space="preserve"> 8	 ltrs.  	Insect &amp; Mosquito Repellant 2	 pcs 	Knapsack Sprayer</t>
  </si>
  <si>
    <t xml:space="preserve"> 352	     bags	       Portland cement	                                         28	     pcs	       9 mm dia x 6 m def bars 3.0 kgs	                 350       pcs	       4"x8"x16" CHB	                                         2	    kgs	       No. 16 G.I. Wire</t>
  </si>
  <si>
    <t xml:space="preserve"> Supply and Delivery of Generator</t>
  </si>
  <si>
    <t xml:space="preserve"> 10	 reams 	Bookpaper Short	 14	 reams 	Bookpaper Long	 30	pcs	Carbon Paper Black 	 50	pcs	White Folder Long	 58	pcs	White Folder Short	 3	boxes	Paper Clip Small	 2	boxes	Paper Clip Big	 55	pcs	Ballpen Black	 6	pcs	Correction Pen Small	 1	bot	White Glue Bi</t>
  </si>
  <si>
    <t xml:space="preserve"> I. CONCRETE WORKS 			 QTY	UNIT		DESCRIPTION 2	load		S1 10 Wheeler  2	load		G1 10 Wheeler  162	bags		Cement 			 II. MASONRY WORKS			 1055	pcs		CHB 5"  93	bags		Cement 4	load		S1 10 Wheeler  2	roll		G.I. Tie Wire #16 ( 25 kg.) 95	pcs		DRB  10mm 			 III. FOR</t>
  </si>
  <si>
    <t xml:space="preserve"> 1,620 Pails Aluminum Sulfate, (Solid/Lumps) 17% W/W AI2O3 with maximum 10%  Impurities, 50 kg./bag (contained/sealed In plastic), average size: (solid/lump):25-30mm</t>
  </si>
  <si>
    <t xml:space="preserve"> 1	 bots. 	Epson L3110 Ink (Magenta)	 1	 bots. 	Epson L3110 Ink (Yellow)	 1	bots.	Epson L3110 Ink (Cyan )	 2	bots.	Epson L3110 Ink (Black)	 10	reams	Paper, multicopy, letter, 80gsm	 10	reams	Paper, multicopy, legal, for laser printing 50gsm	 6	reams	Bookpa</t>
  </si>
  <si>
    <t xml:space="preserve"> Republic of the Philippines DEPARTMENT OF PUBLIC WORKS AND HIGHWAYS ILOILO 1st  DISTRICT ENGINEERING OFFICE Fort San Pedro Road, Iloilo City INVITATION TO BID FOR: 20GGF0019 – Procurement of Consumables/Spare parts of various printers for use in the Plann</t>
  </si>
  <si>
    <t xml:space="preserve"> 10	 pcs 	Long Sleeve T-shirt with Paint 10	 pcs 	Head Cap 10	pcs	Tanod Vest</t>
  </si>
  <si>
    <t xml:space="preserve"> PLEASE SEE PLANS &amp; SPECIFICATIONS</t>
  </si>
  <si>
    <t xml:space="preserve"> The Pasay City Government – City Administrator’s Office, through its Bids and Awards Committee, intends to apply the sum of Seventy Eight Thousand Three Hundred Eighty Eight Pesos and 80/100 (Php78,388.80) being the Approved Budget for the Contract (ABC) </t>
  </si>
  <si>
    <t xml:space="preserve"> Construction of Covered Court Stage with the following scope of works: 1.Earthworks 2.Concrete Works 3.Masonry 4.Electrical 5. Tile Works 6. Plumbing 7.Doors 8. Painting 9. Form and scaffolding</t>
  </si>
  <si>
    <t xml:space="preserve"> MINI DUMP TRUCK, (Brand new), 4 Cylinders inline, water cooling,CDRI,15” Tire, inclusive of GSIS Insurance and LTO Registration</t>
  </si>
  <si>
    <t xml:space="preserve"> Name of Projects: Construction of Retaining Wall @ Zumigui Creek -----------------	498,625.80 Location: Brgy. Zumigui	 	 Drainage Excavation along Lappa Creek ---------------------------	972,772.51 Location: Luna, Apayao</t>
  </si>
  <si>
    <t xml:space="preserve"> Project Location: San Sebastian, Luna, Apayao Materials for the Concreting of Farm To Market Road at Purok Sadiri Connected to Purok Saniata</t>
  </si>
  <si>
    <t xml:space="preserve"> Item	Qty.	A R T I C L E S			 1		MOTOR VEHICLE			 2	1 unit	Motor cycle only			 3</t>
  </si>
  <si>
    <t xml:space="preserve"> 7	roll	  TAPE, ELECTRICAL, 18mmx16M min 25	bag	  Cement 26	Unit	  wood 27	Piece	  styrofoam 28	Sq ft	  Tarpaulin  29	Piece	  Plaque 30	pax	  Lunch 31	pax	  Snacks for teachers and guest 88	Mtrs    Extension Wire 89	Piece	  Padlock 107	Piece	  Hollow Block</t>
  </si>
  <si>
    <t xml:space="preserve"> 15	 pcs 	Portland Cement 8	 cu.m 	Mix Aggregates 20	pcs	10mm dia RSB  20	length	1/4" x 2" x 2" Angle Bar (5.5mm) 15	length	1/4" 1 1/2" x 1 1/2" Angle Bar (15.5kgs) 14	kg	Welding Rod 2	gal	Metal Primer 1	gal	Paint Thinner</t>
  </si>
  <si>
    <t xml:space="preserve"> Republic of the Philippines DEPARTMENT OF PUBLIC WORKS AND HIGHWAYS ILOILO 1st  DISTRICT ENGINEERING OFFICE Fort San Pedro Road, Iloilo City INVITATION TO BID FOR: 20GGF0018 – Procurement of various Office Supplies for use in the Planning and Design secti</t>
  </si>
  <si>
    <t xml:space="preserve"> Republic of the Philippines Province of Surigao del Sur MUNICIPALITY OF CANTILAN OFFICE OF THE BIDS AND AWARDS COMMITTEE INVITATION TO BID The Municipality of Cantilan allocates fund from LDRRMO for the Supply &amp; Delivery of Two Units Rescue Vehicle. NAME </t>
  </si>
  <si>
    <t xml:space="preserve"> Installation of System with Complete Parts at Accessories</t>
  </si>
  <si>
    <t xml:space="preserve"> Procurement of Catering Services for the MILG-Development Coordinating Office and SGA Officials Interface Meeting Cum Rapid Assessment Survey Day 1 Midsayap 112 Pax Pikit2 72 Pax Kabacan 64 Pax Day 2 Pigcawayan 104 Pax Pikit3 72Pax Carmen 64 Pax Day 3 Pik</t>
  </si>
  <si>
    <t xml:space="preserve"> I N V I T A T I O N   T O   B I D 2020 - 123 June 29, 2020 1.	The Provincial Government of Tarlac through the 20% DF '20 - Improvement of Centro - Diwa intends to apply the sum of Three Million Six Hundred Twenty-One Thousand Five Hundred Fifty-Six Pesos </t>
  </si>
  <si>
    <t xml:space="preserve"> I N V I T A T I O N   T O   B I D 2020 - 122 June 29, 2020 1.	The Provincial Government of Tarlac through the 20% DF '20 - Improvement of IT Center intends to apply the sum of Forty-Six Million Four Hundred Seventy-Nine Thousand Four Hundred Seventy-One P</t>
  </si>
  <si>
    <t xml:space="preserve"> Supply of materials for the Construction of Public Comfort Room for Evacuation Center (Phase II)</t>
  </si>
  <si>
    <t xml:space="preserve"> Item	Qty.	A R T I C L E S				 1		CLEAN &amp; BEAUTIFICATION				 2	10 box	Paint, traffic yellow				 3	10 box	Paint blue				 4	10 box	Paint white				 5	10 gals	Paint thinner				 6	15 pcs	Paint brush #4				 7	10 pcs	Paint brush #2				 8	10 pcs	Roller brush w/tra</t>
  </si>
  <si>
    <t xml:space="preserve"> SEE ATTACH FILE</t>
  </si>
  <si>
    <t xml:space="preserve"> ITB-Manipis-ACU</t>
  </si>
  <si>
    <t xml:space="preserve"> Republic of the Philippines Department of Health	 CENTRAL OFFICE BIDS AND AWARDS COMMITTEE  INVITATION TO BID FOR THE  PROCUREMENT OF NVBSP COLLATERALS IB NO. 2020-218 1.	The Department of Health (DOH), through the General Appropriations Act of 2020 and C</t>
  </si>
  <si>
    <t xml:space="preserve"> Republic of the Philippines Province of Surigao del Sur MUNICIPALITY OF CANTILAN OFFICE OF THE BIDS AND AWARDS COMMITTEE INVITATION TO BID The Municipality of Cantilan allocates fund from MMK Award for the Supply &amp; Delivery of Bangus Fingerlings. NAME OF </t>
  </si>
  <si>
    <t xml:space="preserve"> I N V I T A T I O N   T O   B I D 2020 - 124 June 29, 2020 1.	The Provincial Government of Tarlac through the 20% DF - Infra Projects intends to apply the sum of Three Million Pesos Only (PhP 3,000,000.00) being the Approved Budget for the Contract (ABC) </t>
  </si>
  <si>
    <t xml:space="preserve"> 3RD QUARTER - 12,000.00 PESOS 4TH QUARTER - 12,000.00 PESOS</t>
  </si>
  <si>
    <t xml:space="preserve"> pls see attached</t>
  </si>
  <si>
    <t xml:space="preserve"> FOR THIRD QUARTER - 1,800.00 FOR FOURTH QUARTER - 1,800.00</t>
  </si>
  <si>
    <t xml:space="preserve"> Republic of the Philippines																																																										 DEPARTMENT OF PUBLIC WORKS AND HIGHWAYS																																																										 OFFICE OF THE DISTRICT ENGINEER																																								</t>
  </si>
  <si>
    <t xml:space="preserve"> 2 pcs D-Link DWR-920 1 pcs  Globe Prepaid Modem 1 pcs  Smart Prepaid Modem 100 pcs  Smart load cards @ 300 60 pcs Globe Load Cards @ 300 20 pcs TnT Load Cards @ 300 7 pcs load cards Globe @ 500 1 pc  Wireless mouse</t>
  </si>
  <si>
    <t xml:space="preserve"> 1	SET		PAY LOADER TCM-835 			HYDRAULIC PUMP WITH SERIAL NO. 			KFP5163CSMSFH 13D-142</t>
  </si>
  <si>
    <t xml:space="preserve"> INVITATION TO BID FOR PROVISION OF MULTI-YEAR CONTRACT FOR THE PROCUREMENT OF FUEL FOR DSWD VEHICLES USING FLEET CARD DISTRIBUTOR/ CREDIT FACILITY FOR CY 2020-2022 Second (2nd) Posting —  ITB NO. GOP/20-DSWD-033-A— (PR NO. 01-20001-PR-2020-04-00098, 20200</t>
  </si>
  <si>
    <t xml:space="preserve"> QTY	UNIT	ARTICLE / DESCRIPTION 			  	 	 	 6	unit	Helium gas tank	  	 	Ultra high pure helium gas	  	 	Purity: 99.999%	  	 	Laboratory Grade	  	 	For Gas Chromatography Mass Spectrometry use	  	 	    With quality certificate	  	 	 	 2	 unit 	Hydrogen Gas, </t>
  </si>
  <si>
    <t xml:space="preserve"> Republic of the Philippines                   Department of Health	       CENTRAL OFFICE BIDS AND AWARDS COMMITTEE  INVITATION TO BID FOR THE PROCUREMENT OF MALARIA TEST KIT (ANTIGEN ASSAY) WITH MACHINE TIE-UP  IB NO. 2020-226 1.	The Department of Health </t>
  </si>
  <si>
    <t xml:space="preserve"> Section I. Invitation to Bid Republic of the Philippines PROVINCE OF CAGAYAN Municipality of Peñablanca PROVINCIAL BIDS AND AWARDS COMMITTEE INVITATION TO BID FOR  Supply and Delivery of Various Brand New Tires 1.	The Provincial Government of Cagayan, thr</t>
  </si>
  <si>
    <t xml:space="preserve"> 1  270 PAX LUNCH july menu-rice fish, chix adobo, salad talong/okra with fish sauce, fruits, drinks august -rice, beef menudo, bam-i, sauted veges, fruits, drinks september - rice, pusit adobo, beef steak, gata dabong, fruits, drinks october - rice, sigan</t>
  </si>
  <si>
    <t xml:space="preserve"> Construction of Bleacher, Roof and Fabrication of 1unit Movable Basketball Goal and 1 unit Hanging Basketball Goal and Const. Of Comfort Rooms (Male &amp; Female)</t>
  </si>
  <si>
    <t xml:space="preserve"> 160 pax Meal and 1 Set Snack Meals: - Rice - Sliced Fruits or any equivalent - Softdrinks - Water - two (2) kinds of viands, either of the following sets:  Set A: Fried Chicken and Pork Giniling with Mixed Vegetables  Set B: Beef Steak with Ampalaya and F</t>
  </si>
  <si>
    <t xml:space="preserve"> Fuel						 I	for Surigao del Norte						 	Gasoline					4000	liter 	Diesel					6000	liter II	for Agusan del Norte						 	Gasoline					1500	liter 	Diesel					1500	liter 		Note: Interested Bidder or Supplier must have filling station within the bound of Cara</t>
  </si>
  <si>
    <t xml:space="preserve"> 25	bot	Canon caltridge ink 810 black 50	bot	Brother ink BT60 black  90    bot	Brother ink BT60 (3 Color) 25	bot	Canon caltridge ink 811 colored 3	unit	Canon G 2000 printer 100	bot	Canon Pixma 790 4 color yellow 100	bot	Epson ink (3110) 003 (4 colors) 50	b</t>
  </si>
  <si>
    <t xml:space="preserve"> 1 1,000 ltrs DIESEL  2 100 Ltrs GASOLINE Remarks : TERMS AND CONDITIONS 1 Payments will be based on actual pump price. 2 The supplier must preferably be the nearest station from the requisitioning office. 3 Billing shall be made weekly. 4 The requisitioni</t>
  </si>
  <si>
    <t xml:space="preserve"> I N V I T A T I O N   T O   B I D 2020 - 129 June 29, 2020 1.	The Provincial Government of Tarlac through the 20% DF '20 - Improvement of IT Park and Dormitory intends to apply the sum of Two Hundred Thousand Nine Hundred Ninety-Nine Pesos and 73/100 (PhP</t>
  </si>
  <si>
    <t xml:space="preserve"> INVITATION TO BID The Local Government Unit of Jasaan, Jasaan, Misamis Oriental, through the 20% Development Fund (DF) intends to apply the sum of One Million Five Hundred Thousand Pesos and 00/100 (P1,500,000.00) being the Approved Budget for the Contrac</t>
  </si>
  <si>
    <t xml:space="preserve"> I N V I T A T I O N   T O   B I D 2020 - 128 June 29, 2020 1.	The Provincial Government of Tarlac through the 20% DF '20 - Improvement of Concepcion District Hospital intends to apply the sum of Three Hundred Fifty Thousand Six Hundred Fifty-One Pesos and</t>
  </si>
  <si>
    <t xml:space="preserve"> Invitation to Bid for CONSTRUCTION OF CHILD DEVELOPMENT CENTER 1.	The Barangay La Fortuna Local Government Unit, through the Government of the Philippines, General Appropriation Act 2018 intends to apply the sum of Two Million Two Hundred Fifty Three Thou</t>
  </si>
  <si>
    <t xml:space="preserve"> Republic of the Philippines BARANGAY CANAOALAN BIDS AND AWARDS COMMITTEE Binmaley, Pangasinan INVITATION TO BID The Barangay CALIT, Bimaley, Pangasinan through its Bids and Award Committee (BAC), invites supplier to apply for eligibility and to bid for th</t>
  </si>
  <si>
    <t xml:space="preserve"> DESCRIPTION HP Elitebook 840 G6  •	Processor / Chipset:	Intel Core i7 (8th Gen) 8665U / 1.9 GHz •	RAM:	32GB •	Storage:	512 GB SSD - (M.2 2280) PCIe - NVM Express (NVMe) •	Software:		Windows PRO •	 Resolution:		1920 x 1080 pixels 2. DESKTOP COMPUTER i7  HP</t>
  </si>
  <si>
    <t xml:space="preserve"> REPUBLIC OF THE PHILIPPINES National Office, Diliman, Quezon City             June 24, 2020 INVITATION TO BID 1.	The Bureau of Internal Revenue – National Office (BIR-NO), through the General Appropriations Act (GAA) FY 2020, intends to apply the sum of t</t>
  </si>
  <si>
    <t xml:space="preserve"> INVITATION TO BID The Local Government Unit of Jasaan, Jasaan, Misamis Oriental, through the GF – Mayor’s Office (Representation Expenses) intends to apply the sum of Two Million Nine Hundred Fifty Three Thousand One Hundred Forty Four Pesos and 60/100 (P</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</si>
  <si>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</si>
  <si>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LGU - PLAZA (MATERIALS) 1.00	roll		R. Hose 1" x 60 1.00	roll		Electrical Tape Big 30.00mtrs		Duplex 6" 3.00	pcs		PVC Door White 60x200 3.00	set		Meco Tank Fittings (PB) 3.00	pcs		Flexible Hose 1/2x1/2x12 Meco 3.00	pcs		Meco Angle Valve 1/2 x 1/2 3.00	pcs	</t>
  </si>
  <si>
    <t xml:space="preserve"> Tomato improve pope EW - select (50g) ----- 9 Tin cans Eggplant bulakena long purple (50g) ----- 8 Tin cans Hot pepper red hot (25g) ----- 9 TIn cans Patola primera (100g) ----- 16 Tin cans Pumpkin kapitana (250g) ----- 8 Tin cans Cucumber poinsett EW (25</t>
  </si>
  <si>
    <t xml:space="preserve"> Tomato diamante max (25g) ----- 2 Tin cans Eggplant fortuner (25g) ----- 2 Tin cans Hot pepper red hot (25g) ----- 2 Tin cans Hot pepper django (25g) ----- 2 Tin cans Sweet pepper all season (25g) ----- 2 Tin cans Pechay (1Kl) ----- 2 Tin cans Patola prim</t>
  </si>
  <si>
    <t xml:space="preserve"> Invitation to Bid for CONSTRUCTION OF PATHWAY  1.	The Barangay Bacay II Local Government Unit, through the Government of the Philippines, General Appropriation Act 2018 intends to apply the sum of Seven Hundred Thousand Sixty Three  Eight Hundred Eighty E</t>
  </si>
  <si>
    <t xml:space="preserve"> Republic of the Philippines PROVINCE OF NUEVA VIZCAYA Municipality of Aritao BARANGAY BANGANAN BIDS AND AWARDS COMMITTEE ITB-COMMUNITY KITCHEN-20-07-002 INVITATION TO BID FOR CONSTRUCTION OF SEPARATE PUBLIC TOILET FOR MEN &amp; WOMEN Barangay Hall Compound, P</t>
  </si>
  <si>
    <t xml:space="preserve"> INVITATION TO BID FOR THE REPLACEMENT OF OLD PRODUCTIVITY EQUIPMENT: SUPPLY AND DELIVERY OF COMPUTER LAPTOPS FOR THE BOARD OF INVESTMENTS PBD_BOI No. 2020-05 1.	The Board of Investments, through the General Appropriation Act intends to apply the sum of Th</t>
  </si>
  <si>
    <t xml:space="preserve"> Republic of the Philippines PROVINCE OF NUEVA VIZCAYA Municipality of Aritao BARANGAY BANGANAN BIDS AND AWARDS COMMITTEE ITB-COMMUNITY KITCHEN-20-07-001 INVITATION TO BID FOR REHABILITATION OF COMMUNITY KITCHEN FOR EVACUATION CENTER Barangay Hall Compound</t>
  </si>
  <si>
    <t xml:space="preserve"> Office Equipments, Supplies and Consumable...............................................109, 815.00</t>
  </si>
  <si>
    <t xml:space="preserve"> Republic of the Philippines City of Manila Office of the Barangay Chairman The Barangay 699, Zone 76, District 5, Manila Through its Bid and Awards Committee (BAC), Invites all supplier with Certificate of Accreditation duly approved by the City Council o</t>
  </si>
  <si>
    <t xml:space="preserve"> Invitation to Bid for CONSTRUCTION OF TRIBAL CENTER 1. The Barangay Don Mateo Local Government Unit, through the Government of the Philippines, General Appropriation Act 2018 intends to apply the sum of Three Million One Hundred Thirty Six Thousand Six Hu</t>
  </si>
  <si>
    <t xml:space="preserve"> Republic of the Philippines					 PROVINCE OF SOUTHERN LEYTE					 Maasin City					 	Standard Form No.: SF-GOOD-60			 Project Reference No. 124	 	Revised on:  May 24, 2004			 Name of the Project:  _______	 	Standard Form Title:                              </t>
  </si>
  <si>
    <t xml:space="preserve"> Purchase of Emulsified Asphalt SS-1, Bituminous Concrete Surface Course, Thermoplastic Paint (White), Glass Beads, Primer, LPG (50kg), LPG (11kg) and Calsumine</t>
  </si>
  <si>
    <t xml:space="preserve"> The Department of Agriculture-RFO 3, invites interested suppliers to submit quotations/proposals for the hereunder requirement, to wit: 1	set	Bed Cover  	 	     2 Step lift (half open &amp; full open)   	 	     Matte black color  	 	     with installation 1	p</t>
  </si>
  <si>
    <t xml:space="preserve"> One (1) Lot Preventive Maintenance of the Radio Communication System for BSP Head Office and Security Plant Complex, as per BSP Terms of Reference Contract Duration: Shall commence on the date stipulated in the Notice to Proceed to be issued by the Securi</t>
  </si>
  <si>
    <t xml:space="preserve"> RFQ -PROCUREMENT OF BEACONLIGHTS AND MEGAPHONE</t>
  </si>
  <si>
    <t xml:space="preserve"> Republic of the Philippines					 PROVINCE OF SOUTHERN LEYTE					 Maasin City					 	Standard Form No.: SF-GOOD-60			 Project Reference No. 122	 	Revised on:  May 24, 2004			 Name of the Project:  _______	 	Standard Form Title:                              </t>
  </si>
  <si>
    <t xml:space="preserve"> Tarpaulin for posting</t>
  </si>
  <si>
    <t xml:space="preserve"> Invitation to Bid FOR THE UPLB-I-020-07-20 SUPPLY, DELIVERY, INSTALLATION, TESTING AND COMMISSIONING OF FIVE (5) AIRCONDITIONING UNITS AND TWO (2) UNITS AIR CURTAIN FOR OICA 1.	The UNIVERSITY OF THE PHILIPPINES LOS BAÑOS (UPLB), through the GOP (RCC: LB03</t>
  </si>
  <si>
    <t xml:space="preserve"> Republic of the Philippines					 PROVINCE OF SOUTHERN LEYTE					 Maasin City					 	Standard Form No.: SF-GOOD-60			 Project Reference No. 123	 	Revised on:  May 24, 2004			 Name of the Project:  _______	 	Standard Form Title:                              </t>
  </si>
  <si>
    <t xml:space="preserve"> INDUSTRIAL TECHNOLOGY DEVELOPMENT INSTITUTE DOST Cmpd., Bicutan, Taguig City Telephone Nos. (02) 837-20-71 to 82 local 2221 E-mail Add.: itdi.admbac@gmail.com INVITATION TO BID June 28, 2020 Sir/Madam: Please quote your price for the item/items listed bel</t>
  </si>
  <si>
    <t xml:space="preserve"> ARTICLE AND DESCRIPTION							 											 ITEM	QTY.	UNIT						CEILING 			 								PRICE			 											 				Office: Sta. Ana Hospital				PR No. 182			 				Charge to: Repairs and Maintenance - Machinery				OBR No. 100-2001-00207			 				                    </t>
  </si>
  <si>
    <t xml:space="preserve"> 150	btl	Brother ink BT60 (3 Color) 50	bxs	Brother ink BT60 black  80	btl	Epson ink 003 black 80	btl	Epson ink 003 cyan 80	btl	Epson ink 003 magenta 80	btl	Epson ink 003 yellow 100	btl	Epson ink T664 black 100	btl	Epson ink T664 cayen 100	btl	Epson ink T66</t>
  </si>
  <si>
    <t xml:space="preserve"> CONSTRUCTION OF ONE UNIT - TWO CLASSROOM  SCHOOL BUILDING 1.	The Barangay Sisimon Local Government Unit, through the Government of the Philippines, General Appropriation Act 2018 intends to apply the sum of Three Million Eight Hundred Sixty Four Thousand </t>
  </si>
  <si>
    <t xml:space="preserve"> photocopy of documents</t>
  </si>
  <si>
    <t xml:space="preserve"> The Cotabato Irrigation Management Office, through its Bids and Awards Committee (BAC), intends to procure  the Supply and Delivery of  Two (2) Units GSP  in accordance with Section 53.9 (Small Value Procurement) of the 2016 Revised Implementing Rules and</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</si>
  <si>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</si>
  <si>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cement sand gravel 10 mm def. bar BS 600 BS 800 Roller Paint brush</t>
  </si>
  <si>
    <t xml:space="preserve"> Republic of the Philippines Danao City BIDS AND AWARDS COMMITTEE 	 REQUEST FOR QUOTATION The Local Government of Danao City, through the City Agriculture Services Office intends to apply the sum of Php137,500.00 being the Approved Budget for the Contract </t>
  </si>
  <si>
    <t xml:space="preserve"> Construction/Rehabilitation of Sidewalk</t>
  </si>
  <si>
    <t xml:space="preserve"> Republic of the Philippines					 PROVINCE OF SOUTHERN LEYTE					 Maasin City					 	Standard Form No.: SF-GOOD-60			 Project Reference No. 125	 	Revised on:  May 24, 2004			 Name of the Project:  _______	 	Standard Form Title:                              </t>
  </si>
  <si>
    <t xml:space="preserve"> foot pedal alcohol dispenser</t>
  </si>
  <si>
    <t xml:space="preserve"> Recreational and Educational Building</t>
  </si>
  <si>
    <t xml:space="preserve"> MOOE Request 2020 April, May, June</t>
  </si>
  <si>
    <t xml:space="preserve"> Republic of the Philippines					 PROVINCE OF SOUTHERN LEYTE					 Maasin City					 	Standard Form No.: SF-GOOD-60			 Project Reference No. 121	 	Revised on:  May 24, 2004			 Name of the Project:  _______	 	Standard Form Title:                              </t>
  </si>
  <si>
    <t xml:space="preserve"> Alcohol 70% Face mask</t>
  </si>
  <si>
    <t xml:space="preserve"> Republic of the Philippines					 PROVINCE OF SOUTHERN LEYTE					 Maasin City					 	Standard Form No.: SF-GOOD-60			 Project Reference No. 120	 	Revised on:  May 24, 2004			 Name of the Project:  _______	 	Standard Form Title:                              </t>
  </si>
  <si>
    <t xml:space="preserve"> 220		Pcs	60x60 Floor Tiles 19		Pcs	Tile Adhesive 5		Pcs	Tile Grout	 25		Pcs	Marine Plywood 1/4 105		Pcs	Good Lumber 2x2x12 5		Kls	CWN 2"	 10		Kls	CWN 3"	 2		Kls	CWN 1½"	 3		Kls	Concrete Nail 37		Pcs	Coco Lumber 2x3x12 120		bags	Cement	 8		cu m	Sand	 92		P</t>
  </si>
  <si>
    <t xml:space="preserve"> The Department of Agriculture-RFO 3, invites interested suppliers to submit quotations/proposals for the hereunder requirement, to wit: 4	unit	Vacuum Cleaner, 1400W, Wet &amp; Dry Cleaner, 20L, 3 in 1 Water, Powder &amp; Blower, Free of Allergic Agents, LED Dust </t>
  </si>
  <si>
    <t xml:space="preserve"> Aggregate Subbase Course  (For Intermittent Reblocking) Materials Only</t>
  </si>
  <si>
    <t xml:space="preserve"> INVITATION TO BID FOR  Construction of Multi-Purpose Building Phase-II (Procurement of Construction Materials) 1.	The Barangay Government of Napangan through the 2020 – 20% Barangay Development Fund intends to apply the sum of two hundred twenty thousand </t>
  </si>
  <si>
    <t xml:space="preserve"> Invitation to Bid for CONSTRUCTION OF TRIBAL CENTER 1. The Barangay Sawagan Local Government Unit, through the Government of the Philippines, General Appropriation Act 2018 intends to apply the sum of Three Million One Hundred Sixty Two Thousand Seven Hun</t>
  </si>
  <si>
    <t xml:space="preserve"> I N V I T A T I O N   T O   B I D 2020 - 127 June 29, 2020 1.	The Provincial Government of Tarlac through the 20% DF '20 - Improvement of IT Park and Dormitory intends to apply the sum of One Million Four Hundred Ninety-Nine Thousand Nine Hundred Fifty-Tw</t>
  </si>
  <si>
    <t xml:space="preserve"> Test Paper 3rd Quarter - 4, 039.00 4th Quarter - 4, 039.00  total amount of 8,078.00 Pesos</t>
  </si>
  <si>
    <t xml:space="preserve"> 50	unit	HP laserjet 85A toner 50	unit	HP laserjet 12A toner 250   bot	Epson ink T664 black &amp; 3 colors 250	bot	Epson ink  003 ( black &amp; 3 colors) 75	unit	Canon caltridge ink 810  black 90	bot	Canon caltridge ink 811 colored 10	unit	HP laserjet TK 17 10	uni</t>
  </si>
  <si>
    <t xml:space="preserve"> see attach file</t>
  </si>
  <si>
    <t xml:space="preserve"> Purchase of Herbicide and Nylon #300</t>
  </si>
  <si>
    <t xml:space="preserve"> For use in the operations of Maintenance Section</t>
  </si>
  <si>
    <t xml:space="preserve"> QTY	UNIT	ARTICLE / DESCRIPTION						 								 								 pack	197	Face Mask, 3-Ply, earloop, 50pcs/pack						 								 pack	15	Face Mask, 3-Ply, tie-on, 50pcs/pack						 								 pc	100	Face Mask, N95, pc						 Submit the following: (soft or hard copy) 1.	Q</t>
  </si>
  <si>
    <t xml:space="preserve"> Republic of the Philippines Cordillera Administrative Region PROVINCIAL GOVERNMENT OF ABRA Bangued Invitation to Bid for  IMPROVEMENT OF BUCAY-MANABO ROAD 1.	The Provincial Government of Abra, through the Budget for the Contract Approved by the Sanggunian</t>
  </si>
  <si>
    <t xml:space="preserve"> 22	unit	HP LaserJet TK17 5	bot	Canon Printer G 2000 15	unit	Toner Kyocera - 135 120	bot	HP ink black &amp; tri colors 10	unit	HP laser jet 201A (4 colors) 23	unit 	USB 32GB 26	unit	HP laser jet 12A toner 5	unit	Canon Printer G 4000 20	unit	Toner Kyocera -1147</t>
  </si>
  <si>
    <t xml:space="preserve"> Republic of the Philippines Province of Surigao del Sur MUNICIPALITY OF CANTILAN OFFICE OF THE BIDS AND AWARDS COMMITTEE INVITATION TO BID The Municipality of Cantilan allocates fund from Special Trust Fund (LDRRMF) for the Supply of Labor &amp; Materials for</t>
  </si>
  <si>
    <t xml:space="preserve"> QTY	UNIT	ARTICLE / DESCRIPTION						 								 								 5	units	Handwashing Kiosk						 		Foot Operated						 		Inclusions:						 		Stainless sink						 		40-liter water tank						 		Anti-bacterial liquid hand soap						 		Installation of Drainage system f</t>
  </si>
  <si>
    <t xml:space="preserve"> 1 lot Carry Out Return to Service Inspection</t>
  </si>
  <si>
    <t xml:space="preserve"> I N V I T A T I O N   T O   B I D 2020 - 125 June 29, 2020 1.	The Provincial Government of Tarlac through the 20% DF - Infra Projects intends to apply the sum of Two Million Five Hundred Thousand Pesos Only (PhP 2,500,000.00) being the Approved Budget for</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</si>
  <si>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</si>
  <si>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INVITATION FOR NEGOTIATION Name of Requirement/ Brief Description	One (1) Lot Supply of Labor, Tools, Materials, Equipment, and Technical Supervision for the Preventive Maintenance of Variable Refrigerant Volume (VRV) System and Split Type Air-Conditionin</t>
  </si>
  <si>
    <t xml:space="preserve"> See Attach File</t>
  </si>
  <si>
    <t xml:space="preserve"> Republic of the Philippines BARANGAY DAGATAN OFFICE OF THE PUNONG BARANGAY BIDS AND AWARDS COMMITTEE INVITATION TO BID The Barangay Government of BARANGAY DAGATAN through its Bids and Awards Committee (BAC), invites suppliers/manufacturers/distributors to</t>
  </si>
  <si>
    <t xml:space="preserve"> I N V I T A T I O N   T O   B I D 2020 - 126 June 29, 2020 1.	The Provincial Government of Tarlac through the 20% DF - Infra Projects intends to apply the sum of Two Million Three Hundred Thousand Pesos Only (PhP 2,300,000.00) being the Approved Budget fo</t>
  </si>
  <si>
    <t xml:space="preserve"> 48-50 meters long concrete footbridge</t>
  </si>
  <si>
    <t xml:space="preserve"> Republic of the Philippines Danao City BIDS AND AWARDS COMMITTEE 	 REQUEST FOR QUOTATION The Local Government of Danao City, through the CDRRMO intends to apply the sum of Php117,000.00 being the Approved Budget for the Contract (ABC) to payments under th</t>
  </si>
  <si>
    <t xml:space="preserve"> 1	1	Lot	Supply and Delivery of  Office Supplies ₱97,800.70 			Item Description: 	24	Pcs	SIGN PEN, BLACK, liquid/gel ink, 0.5mm needle tip 	24	Pcs	BALLPOINT PEN, Line point, black 	50	Pcs	EDP BINDER, TB, for 11" X 9 1/2" CCF 	50	Pcs	EDP BINDER, TB, for 11"</t>
  </si>
  <si>
    <t xml:space="preserve"> Cleaning Supplies and Materials</t>
  </si>
  <si>
    <t xml:space="preserve"> Supplies and Materials for Livelihood/Entrepreneurship Activities</t>
  </si>
  <si>
    <t xml:space="preserve"> I N V I T A T I O N   T O   B I D 2020 – 121 June 29, 2020 1.	The Provincial Government of Tarlac through the PGO - Capital Outlay - Motor Vehicles intends to apply the sum of One Million Six Thousand One Hundred Twenty-Eight Pesos Only (PhP 1,006,128.00)</t>
  </si>
  <si>
    <t xml:space="preserve"> Republika ng Pilipinas 		 PAMAHALAANG LUNGSOD NG TACLOBAN (City Government of Tacloban) Kanhuraw Hill, Tacloban City 6500 BIDS AND AWARDS COMMITTEE INVITATION FOR NEGOTIATED  PROCUREMENT OF DRUGS AND MEDICINES REF NO. 033(2)-04-2020 (JUNE 29, 2020)  PR# 2</t>
  </si>
  <si>
    <t xml:space="preserve"> Republic of the Philippines Danao City BIDS AND AWARDS COMMITTEE 	 REQUEST FOR QUOTATION The Local Government of Danao City, through the City Engineering Office intends to apply the sum of Php67,200.00 being the Approved Budget for the Contract (ABC) to p</t>
  </si>
  <si>
    <t xml:space="preserve"> Republic of the Philippines Danao City BIDS AND AWARDS COMMITTEE 	 REQUEST FOR QUOTATION The Local Government of Danao City, through the City Agriculture Services Office intends to apply the sum of Php500,000.00 being the Approved Budget for the Contract </t>
  </si>
  <si>
    <t xml:space="preserve"> Republic of the Philippines Danao City BIDS AND AWARDS COMMITTEE 	 REQUEST FOR QUOTATION The Local Government of Danao City, through the City Agriculture Services Office intends to apply the sum of Php150,000.00 being the Approved Budget for the Contract </t>
  </si>
  <si>
    <t xml:space="preserve"> SUPPLY AND INSTALLATION OF ELECTRICAL SERVICE WIRE AT THE MARINA BACOLOD BUILDING</t>
  </si>
  <si>
    <t xml:space="preserve"> Republic of the Philippines Danao City BIDS AND AWARDS COMMITTEE 	 REQUEST FOR QUOTATION The Local Government of Danao City, through the City Admin./Market Division intends to apply the sum of Php75,000.00 being the Approved Budget for the Contract (ABC) </t>
  </si>
  <si>
    <t xml:space="preserve"> Procurement of Office Continuous System Printer All in One Tank Printer 3-in-1 ink With a very hi Quality Prints Quantity=8 Tank Printer Duplex All in One built with Wifi With a very hi Quality Prints Quantity=1 Terms and Conditions: 1. The RFQ form must </t>
  </si>
  <si>
    <t xml:space="preserve"> The Pasay City Government – City Secretariat’s Office – Session Hall, through its Bids and Awards Committee, intends to apply the sum of Sixty Five Thousand Pesos (Php65,000.00) being the Approved Budget for the Contract (ABC) for the  project: Repair and</t>
  </si>
  <si>
    <t xml:space="preserve"> IMPVT/CONCRETING OF ROAD Item No.	Description 	Unit	Quantity PART A 	GENERAL REQUIREMENTS		 a	Const.Safety and Health Program	LS	 1.00  b	Project Billboard	Unit	 1.00  c	Mobilization/Demobilization	LS	 1.00  PART B 			 I	Item 500 -RCCP	l.m.	 42.00  II	Sto</t>
  </si>
  <si>
    <t xml:space="preserve"> CONSTRUCTION OF DRAINAGE WITH SIDEWALK Item No.	Description 	Unit	Quantity PART A 	GENERAL REQUIREMENTS		 a	Const.Safety and Health Program	Lot	 1.00  b	Project Billboard	Unit	 1.00  c	Mobilization/Demobilization	LS	 1.00  PART B 			 101	Removal of Existi</t>
  </si>
  <si>
    <t xml:space="preserve"> Project Title:	Concreting of Farm to Market Road From Poblacion to Sitio Akasya, San Miguel						 Location:	Poblacion to Sitio Akasya, San Miguel, Magsaysay, Davao del Sur						 Road Length:		 676.66 lin.m. 					 Roadway Width:		 10m 					 Road Carriagewa</t>
  </si>
  <si>
    <t xml:space="preserve"> Republic of the Philippines Danao City BIDS AND AWARDS COMMITTEE 	 REQUEST FOR QUOTATION The Local Government of Danao City, through the City Agriculture Services Office intends to apply the sum of Php100,000.00 being the Approved Budget for the Contract </t>
  </si>
  <si>
    <t xml:space="preserve"> Supply and Delivery 150	PC	Ballpen, superfine point, black 36	PC	Clip, Foldback  2", black (3 boxes/12 pcs per box) 60	PC	Correction Tape 3000	PC	Folder, file, for legal size paper 24	BT	Glue, Non-toxic, clear 380	REM	Paper Bond, A4, white, subs. 20 60	PC</t>
  </si>
  <si>
    <t xml:space="preserve"> ROAD CONCRETING Item No.	Description 	Unit	Quantity PART A 	GENERAL REQUIREMENTS		 a	Project Billboard	Lumpsum	 b	Mobilization/Demobilization	Lumpsum	 PART B 	Roads		 105(1)	Subgrade Preparation	sq.m.	 660.00  201	Aggregate Base Course	cu.m.	 55.00  311(1</t>
  </si>
  <si>
    <t xml:space="preserve"> Republic of the Philippines PROVINCE OF QUIRINO Municipality of Cabarroguis LOCAL GOVERNMENT UNIT OF CABARROGUIS Cabarroguis, Quirino -o0o- INVITATION FOR SMALL VALUE PROCUREMENT The Local Government Unit through its Bids and Awards Committee (BAC) invite</t>
  </si>
  <si>
    <t xml:space="preserve"> Project Title:	New Construction of Level II Potable Water Supply System						 Location:	Cluster A-Acacia, San Isidro, Magsaysay, Davao del Sur						 Mode of Implementation:		By Contract					 Period of Implementation:		150 Calendar Days					 							 						</t>
  </si>
  <si>
    <t xml:space="preserve"> 105(1) subgrade preparation  201      aggregate base course  311(1) PCC pavement plain  SPL-1   warning &amp; hazard signs  SPL-2   const. health &amp; safety  SPL-3   billboard</t>
  </si>
  <si>
    <t xml:space="preserve"> QUANTITY	UNIT	ARTICLES				 2	units	Printer				 		          L3110 or its equivalent				 		          All-in-One Printer (Print, Scan, Copy)				 		          Continuous Ink Support System				 		Desktop Computer				 1	unit	System Unit :				 		          Process</t>
  </si>
  <si>
    <t xml:space="preserve"> Republic of the Philippines DEPARTMENT OF PUBLIC WORKS AND HIGHWAYS ILOILO 1st  DISTRICT ENGINEERING OFFICE Fort San Pedro Road, Iloilo City INVITATION TO BID FOR: 20GGF0017 – Procurement of Oxygen (content only) and Acetylene (content only) for use in th</t>
  </si>
  <si>
    <t xml:space="preserve"> ROAD CONCRETING Item No.	Description 	Unit	Quantity PART A 	GENERAL REQUIREMENTS		 a	Const.Safety and Health Program	LS	 1.00  b	Project Billboard	Unit	 1.00  c	Mobilization/Demobilization	Lot	 1.00  PART B 			 I	Subgrade Preparation	sq.m.	 726.00  II	Agg</t>
  </si>
  <si>
    <t xml:space="preserve"> Invitation to Bid for the Consultancy Services for the Training Needs Assessment, Design, Development and Pilot Implementation of Training Programs on MSMEs Resiliency for the Creative Industries Sector: Gaming (with development of PTTC trainers) 1.	The P</t>
  </si>
  <si>
    <t xml:space="preserve"> QUANTITY	UNIT	ARTICLES				 25	boxes	Coffee, Sachet 3-in-1				 100	boxes	Ziplock Plastic Bag				 1000	pcs	Pail with Cover, Plastic, 5L				 1000	pcs	Whistle, Plastic				 200	pcs	Laundry Bar Soap				 30	packs	Toilet Paper, 2 Ply				 50	boxes	Alcohol, 75ml, 2</t>
  </si>
  <si>
    <t xml:space="preserve"> QUANTITY	UNIT	ARTICLES				 		Desktop Computer				 25	units	System Unit :				 		          Proccessor : i5 - 9400F Coffee Lake Refresh				 		          Motherboard : H310M Pro - M2 Plus				 		          RAM : 8GB				 		          HDD : 1 TB				 		          SSD</t>
  </si>
  <si>
    <t xml:space="preserve"> ROAD CONCRETING Item No.	Description 	Unit	Quantity PART A	GENERAL REQUIREMENTS		 a	Const.Safety and Health Program	Lot	 1.00  b	Project Billboard	Unit	 1.00  105	Subgrade Preparation	sq.m.	 495.00  201	Aggregate Base Course	cu.m.	 41.25  311	Portland Cem</t>
  </si>
  <si>
    <t xml:space="preserve"> INVITATION TO APPLY FOR ELIGIBILITY AND TO BID THE BIDS AND AWARD COMMITTEE OF THE MUNICIPALITY OF CAIBIRAN, BILIRAN IS INVITING ALL INTERESTED BIDDERS ON ITS FORTHCOMING PUBLIC BIDDING FOR: Project Title	: Acquisition of Air Conditioner Delivery Period	:</t>
  </si>
  <si>
    <t xml:space="preserve"> Invitation to Bid for the Consultancy Services for the Training Needs Assessment, Design, Development and Pilot Implementation of Training Programs on MSMEs Resiliency for the Food Manufacturing Sector: Processed Meat Products (with development of PTTC tr</t>
  </si>
  <si>
    <t xml:space="preserve"> Project Title:	Installation of Complete CCTV Lines with Internet (2nd Publication)						 Location:	Magsaysay, Davao del Sur						 Contract Duration:		30 CD					 							 							 							 BILL OF QUANTITIES							 							 ITEM #	DESCRIPTION			UNIT	QTY.	UNIT </t>
  </si>
  <si>
    <t xml:space="preserve"> Republic of the Philippines Province of Quezon City Government of Tayabas REQUEST FOR QUOTATION The City Government of Tayabas, through its Bids and Awards Committee (BAC), will undertake Negotiated Procurement (Small Value Procurement) for RFQ # 20-099  </t>
  </si>
  <si>
    <t xml:space="preserve"> Assorted Plants, soil, fertilizer, garden supplies</t>
  </si>
  <si>
    <t xml:space="preserve"> Republic of the Philippines Danao City BIDS AND AWARDS COMMITTEE 	 REQUEST FOR QUOTATION The Local Government of Danao City, through the City Environment and Natural Resources intends to apply the sum of Php735,000.00 being the Approved Budget for the Con</t>
  </si>
  <si>
    <t xml:space="preserve"> 1	1	Lot	Lease of Printer 			Item Description: 	1	Unit	Printer and Printing Services Specifications: Print Document Size : 215.9 x 1200mm (8.5 x 47.24)  Print Type : All – in – One Printer, Wi-Fi Connectivity Cartridge Ink : T03Y100 / T03Y200 / T03Y300 /T0</t>
  </si>
  <si>
    <t xml:space="preserve"> QUANTITY	UNIT	ARTICLES				 100	sacks	Commercial Rice				 25	boxes	Corned Beef, 155 grams, 48's				 200	pcs	Toothbrush				 200	pcs	Toothpaste, Sachet				 25	boxes	Bottled Water, 500ml, 24's				 		*****END*****</t>
  </si>
  <si>
    <t xml:space="preserve"> please see attached RFQ</t>
  </si>
  <si>
    <t xml:space="preserve"> REQUEST FOR QUOTATION Supply and Delivery of Materials for Fabrication of 10 Movable Bee Houses for CvSU Bee Program 1. The Cavite State University (CvSU) invites interested firms/suppliers to submit quotation for the project “Supply and Delivery of Mater</t>
  </si>
  <si>
    <t xml:space="preserve"> Republic of the Philippines Province of Quezon City Government of Tayabas REQUEST FOR QUOTATION The City Government of Tayabas, through its Bids and Awards Committee (BAC), will undertake Negotiated Procurement (Small Value Procurement) for RFQ # 20-100  </t>
  </si>
  <si>
    <t xml:space="preserve"> Supply, delivery and installation of 60 pcs Disinfection Dispenser at the MARINA Central Office building</t>
  </si>
  <si>
    <t xml:space="preserve"> 3	pc	Alcohol 500ml (70% isoprophyl) 1	set	Terumo Needle  4	pc	Dicycloverine, 10 mg tablets 30	pc	Paracetamol 250 mg. 20	pc	Mefenamic Acid 250 mg 1	pc	Polar Bear 3	pc	Lagundi tablet  1	tube	Katinko Ointment  4	pc	Amoxicillin 250.mg 1	bottle	Betadine Gargle</t>
  </si>
  <si>
    <t xml:space="preserve"> Republic of the Philippines Danao City BIDS AND AWARDS COMMITTEE 	 REQUEST FOR QUOTATION The Local Government of Danao City, through the City Environment and Natural Resources intends to apply the sum of Php720,000.00 being the Approved Budget for the Con</t>
  </si>
  <si>
    <t xml:space="preserve"> Republic of the Philippines Province of Romblon MUNICIPALITY OF ALCANTARA -o0o- Invitation to Bid for   CONSTRUCTION OF TUGDAN SEAWALL Tugdan, Alcantara, Romblon The Municipal Government of Alcantara, Romblon through the  20% Annual Development Fund 2020 </t>
  </si>
  <si>
    <t xml:space="preserve"> Conference table and chairs</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</si>
  <si>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</si>
  <si>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Republic of the Philippines Danao City BIDS AND AWARDS COMMITTEE 	 REQUEST FOR QUOTATION The Local Government of Danao City, through the City Mayors Office intends to apply the sum of Php179,500.00 being the Approved Budget for the Contract (ABC) to payme</t>
  </si>
  <si>
    <t xml:space="preserve"> 1	1	Lot	Supply and Delivery of  Office Supplies ₱71,346.14 			Item Description: 	100	Pcs	SIGN PEN, BLACK, liquid/gel ink, 0.5mm needle tip 	100	Pcs	SIGN PEN, BLUE, liquid/gel ink, 0.5mm needle tip 	30	Pcs	SIGN PEN, RED, liquid/gel ink, 0.5mm needle tip 	3</t>
  </si>
  <si>
    <t xml:space="preserve"> Republic of the Philippines BARANGAY LUMBANG OFFICE OF THE PUNONG BARANGAY BIDS AND AWARDS COMMITTEE INVITATION TO BID The Barangay Government of BARANGAY LUMBANG through its Bids and Awards Committee (BAC), invites suppliers/manufacturers/distributors to</t>
  </si>
  <si>
    <t xml:space="preserve"> REQUEST FOR QUOTATION Supply and Delivery of ICT Equipment for Research Center 1. The Cavite State University (CvSU) invites interested firms/suppliers to submit quotation for the project “Supply and Delivery of ICT Equipment for Research Center” with an </t>
  </si>
  <si>
    <t xml:space="preserve"> 1	pc 	Door Jamb 8	pc 	2x2x8 good lumber 4	pc	Marine Plywood 3/4" 2	set	Jalousie Frames with smoke blade (14 blades) 4	pc	Ordinary plywood 2	L	Vulcaseal 20	bags	Cement 202	pc	CHB 2	cubic	Sand 15	pc	RSB 10 mm 1	kg	tie wire</t>
  </si>
  <si>
    <t xml:space="preserve"> (SUPPLY AND INSTALLATION OF ELECTRICAL CONNECTION, HARDWARE &amp; ACCESSORIES FOR THE OPERATION OF MUNICIPAL LANDFILL)</t>
  </si>
  <si>
    <t xml:space="preserve"> The Environmental Management Bureau 10 through the (GAA NDRRM FUND (Calamity Fund 2020) intends to apply the sum of [Three Hundred Thousand Pesos Only. (Php 300,000.00) being the Approved Budget for the Contract (ABC) to payments under the contract for th</t>
  </si>
  <si>
    <t xml:space="preserve"> Air-conditioner, Ceiling Fan, Outdoor LED Screen, Outdoor Drinking Water</t>
  </si>
  <si>
    <t xml:space="preserve"> Republic of the Philippines PROVINCE OF ZAMBALES I B A  Project Reference Number/Purchase Request No..	CDH-2020-179 													                                                                                                 Location of the Project:	Cand</t>
  </si>
  <si>
    <t xml:space="preserve"> 1.	The Quezon (Bukidnon) Water District (QBWD), through the Corporate Operating Budget CY 2020 intends to apply the sum of Twenty Three Million Seventy Four Thousand Two Hundred Forty Pesos &amp; 20/100  (Php 23,074,240.20) being the Approved Budget for the C</t>
  </si>
  <si>
    <t xml:space="preserve"> Republic of the Philippines Danao City BIDS AND AWARDS COMMITTEE 	 REQUEST FOR QUOTATION The Local Government of Danao City, through the CDRRMO intends to apply the sum of Php97,500.00 being the Approved Budget for the Contract (ABC) to payments under the</t>
  </si>
  <si>
    <t xml:space="preserve"> Republic of the Philippines Province of Ilocos Sur Municipality of San Juan Barangay Sunggiam OFFICE OF THE BIDS AND AWARD COMMITTEE INVITATION TO APPLY FOR ELIGIBILITY AND TO BID The Barangay Sunggiam,San Juan,Ilocos Sur through the Bids and Awards Commi</t>
  </si>
  <si>
    <t xml:space="preserve"> Projectors,Computer printers, Desktop Computers, Laptop Computer, Sound System, Table microphone</t>
  </si>
  <si>
    <t xml:space="preserve"> Republic of the Philippines BARANGAY SAN FRANCISCO OFFICE OF THE PUNONG BARANGAY BIDS AND AWARDS COMMITTEE INVITATION TO BID The Barangay Government of BARANGAY SAN FRANCISCO through its Bids and Awards Committee (BAC), invites suppliers/manufacturers/dis</t>
  </si>
  <si>
    <t xml:space="preserve"> 1	1	Job	Repair and Maintenance of Nissan Navarra with Plate No. SJB-168 			Item Description: 			Repair of clutch system &amp; replacement of damaged/worn out parts *Clutch cover *Clutch disk *Release bearing *Gear oil *Flywheel (Double mass) Note : Subject to</t>
  </si>
  <si>
    <t xml:space="preserve"> Please refer to attached Invitation to Bid (ITB) for complete details. The Project Sites are: For Lots 1-4: Davao Herbal Processing Plant, J.P. Laurel Ave, Bajada, Davao City For Lots 5-9: Cagayan Valley Herbal Processing Plant, Carig, Tuguegarao City</t>
  </si>
  <si>
    <t xml:space="preserve"> Republic of the Philippines DEPARTMENT OF PUBLIC WORKS AND HIGHWAYS QUEZON I  District Engineering Office 					     Regional Office IV-A        Lucban, Quezon INVITATION TO BID The  Department  of  Public  Works  and  Highways (DPWH), Quezon 1st District </t>
  </si>
  <si>
    <t xml:space="preserve"> No.	"ITEM DESCRIPTION  (ITEM NAME &amp; TECHNICAL SPECIFICATIONS)"	QTY.	UNIT	UNIT COST	APPROVED BUDGET OF CONTRACT (ABC)	 						 	Smartphone 6.3inch 	1	unit	₱14,999.00	 Php14,999.00 	 	FHD + Android P48MP AI Quad Camera				    	 	8GB RAM and 128GB ROM				   	</t>
  </si>
  <si>
    <t xml:space="preserve"> Republic of the Philippines BARANGAY 7 OFFICE OF THE PUNONG BARANGAY BIDS AND AWARDS COMMITTEE INVITATION TO BID The Barangay Government of BARANGAY 7 through its Bids and Awards Committee (BAC), invites suppliers/manufacturers/distributors to bid for the</t>
  </si>
  <si>
    <t xml:space="preserve"> 1. The fabric of the bag is Poly rubber/Poly Canvass with board at the bottom.  2. The size is 12x16 that can fit a long folder or a long brown envelope.  3.  Color is maroon with school logo printed on the bag.  4.  The amount is payable in 3 consecutive</t>
  </si>
  <si>
    <t xml:space="preserve"> Supply and Delivery of Office Supplies, I.T. Accessories &amp; Consumables 1	1	Lot	Supply and Delivery of  Office Supplies ₱56,717.70 			Item Description: 	30	Pcs	SIGN PEN, BLACK, liquid/gel ink, 0.5mm needle tip 	30	Pcs	SIGN PEN, BLUE, liquid/gel ink, 0.5mm </t>
  </si>
  <si>
    <t xml:space="preserve"> Republic of the Philippines Province of Ilocos Sur Municipality of San Juan Barangay Lira  OFFICE OF THE BIDS AND AWARDS COMMITTEE INVITATION TO APPLY FOR ELIGIBILITY AND TO BID The Barangay Lira,San Juan,Ilocos Sur through the Bids and Awards Committee(B</t>
  </si>
  <si>
    <t xml:space="preserve"> Republic of the Philippines					 PROVINCE OF SOUTHERN LEYTE					 Maasin City					 	Standard Form No.: SF-GOOD-60			 Project Reference No. 133	 	Revised on:  May 24, 2004			 Name of the Project:  _______	 	Standard Form Title:                              </t>
  </si>
  <si>
    <t xml:space="preserve"> Republic of the Philippines					 PROVINCE OF SOUTHERN LEYTE					 Maasin City					 	Standard Form No.: SF-GOOD-60			 Project Reference No. 136	 	Revised on:  May 24, 2004			 Name of the Project:  _______	 	Standard Form Title:                              </t>
  </si>
  <si>
    <t xml:space="preserve"> *** SEEDS *** Pechay Seeds (Black Behi) ----- 2 Kgs Eggplant (Ilokano Bilog), tin cans (100g) ----- 4 Cans Upland Kangkong Seeds ----- 4 Kgs Pakchoi (Genghis Khan) 100 grams tin can ----- 4 Tin cans Okra (Smooth Green), tin cans, 500 grams ----- 4 Cans To</t>
  </si>
  <si>
    <t xml:space="preserve"> REPUBLIC OF THE PHILIPPINES  CITY OF MANILA BARANGAY 209 ZONE 19 DISTRICT 2 MANILA OFFICE OF THE BID AWARDS COMMITTEE BIDS &amp; AWARDS COMMITTEE INVITATION TO BID THE BARANGAY 209 ZONE 19 DISTRICT 2 TONDO,MANILA THROUGH ITS BID &amp; AWARDS COMMITTEE (BAC) INVIT</t>
  </si>
  <si>
    <t xml:space="preserve"> Supply and delivery of Laptop with the following specs: 2 units * 1.4 GHz Quad-Core 8th Generation Intel Core i5 Processor, Turbo Boost up to 3.9GHz * 8 GB 2133MHz LPDDR3 Memory * 128GB SSD Storage * Retina Display with True Tone * Intel Iris Plus Graphic</t>
  </si>
  <si>
    <t xml:space="preserve"> Republic of the Philippines					 PROVINCE OF SOUTHERN LEYTE					 Maasin City					 	Standard Form No.: SF-GOOD-60			 Project Reference No. 135	 	Revised on:  May 24, 2004			 Name of the Project:  _______	 	Standard Form Title:                              </t>
  </si>
  <si>
    <t xml:space="preserve"> Republic of the Philippines					 PROVINCE OF SOUTHERN LEYTE					 Maasin City					 	Standard Form No.: SF-GOOD-60			 Project Reference No. 134	 	Revised on:  May 24, 2004			 Name of the Project:  _______	 	Standard Form Title:                              </t>
  </si>
  <si>
    <t xml:space="preserve"> Provision of janitorial services for  seven (7) utility men/women within DENR-PENRO Quezon for six months starting July- December, 2020, distributed as follows:    1. PENR Officer          - 3    2. CENRO Tayabas      - 1    3. CENRO Reak           - 1   </t>
  </si>
  <si>
    <t xml:space="preserve"> No.	"ITEM DESCRIPTION  (ITEM NAME &amp; TECHNICAL SPECIFICATIONS)"	QTY.	UNIT	UNIT COST	APPROVED BUDGET OF CONTRACT (ABC)	 						 1	Van Rental (within Metro Manila) for	28	trips	₱3,500.00	 Php98,000.00 	 	8 hrs/day, inclusive of gasoline, toll, 					 	meals of</t>
  </si>
  <si>
    <t xml:space="preserve"> CONSTRUCTION OF ONE UNIT - TWO CLASSROOM  SCHOOL BUILDING 1.	The Barangay Awao Local Government Unit, through the Government of the Philippines, General Appropriation Act 2018 intends to apply the sum of Three Million Eight Hundred Fifty Seven Thousand Si</t>
  </si>
  <si>
    <t xml:space="preserve"> Republic of the Philippines					 PROVINCE OF SOUTHERN LEYTE					 Maasin City					 	Standard Form No.: SF-GOOD-60			 Project Reference No. 132	 	Revised on:  May 24, 2004			 Name of the Project:  _______	 	Standard Form Title:                              </t>
  </si>
  <si>
    <t xml:space="preserve"> Republic of the Philippines					 PROVINCE OF SOUTHERN LEYTE					 Maasin City					 	Standard Form No.: SF-GOOD-60			 Project Reference No. 130	 	Revised on:  May 24, 2004			 Name of the Project:  _______	 	Standard Form Title:                              </t>
  </si>
  <si>
    <t xml:space="preserve"> Supply and installation of Signage with the following specifications: 1 unit DepEd "MISSION" Signage-two-sided with lightings inside * Dimension: Length- 181 cms.     Height- 154 cms.       Width- 20 cms 1 unit DepEd "VISION" Signage- two-sided with light</t>
  </si>
  <si>
    <t xml:space="preserve"> Republic of the Philippines					 PROVINCE OF SOUTHERN LEYTE					 Maasin City					 	Standard Form No.: SF-GOOD-60			 Project Reference No. 128	 	Revised on:  May 24, 2004			 Name of the Project:  _______	 	Standard Form Title:                              </t>
  </si>
  <si>
    <t xml:space="preserve"> Description   Invitation to Re-Bid The Barangay San Vicente Hindang, Leyte through its Bids and Awards Committee (BAC) invites the PhilGEPS registered suppliers to apply to bid for the Supply and Delivery of Construction of Acces Road (Pathway). Intereste</t>
  </si>
  <si>
    <t xml:space="preserve"> Bond Paper (Short)					12	Ream Bond Paper (Long)					25	Ream Bond Paper A4					          5	Ream GSM 100 ( Long)					  3	Ream Ink -Black					                 10	Btl Ink - Colored (yellow)					   5	Btl Ink - Colored (red)					   5	Btl Ink - Colored (blue)		</t>
  </si>
  <si>
    <t xml:space="preserve"> The Environmental Management Bureau 10 through the (GAA NDRRM FUND (Calamity Fund 2020) intends to apply the sum of [Nine Million Pesos Only]. (Php 9,000,000.00) being the Approved Budget for the Contract (ABC) to payments under the contract for the Suppl</t>
  </si>
  <si>
    <t xml:space="preserve"> NAME OF PROJECT:  Procurement of Personal Protective Equipment for MDRRMO                          LOCATION OF THE PROJECT:   LGU-Donsol, Sorsogon PROJECT REFERENCE NO     GOODS-PB-2020-004 Approved Budget for the Contract (ABC): ₱ 342,000.00 1	piece	18	T</t>
  </si>
  <si>
    <t xml:space="preserve"> Procurement of Various Toners and Ink Cartridges (ORIGINAL) Epson 664, black ink cartridge – 6 cartridges Epson 664, cyan ink cartridge – 1 cartridge Epson 664, magenta ink cartridge – 4 cartridges HP Q2612A, black toner cartridge - 10 cartridges HP Q6000</t>
  </si>
  <si>
    <t xml:space="preserve"> Invitation to Re- Bid The Barangay San Vicente Hindang, Leyte through its Bids and Awards Committee (BAC) invites the PhilGEPS registered suppliers to apply to bid for the Supply and Delivery for Upgrading of Barangay Sports Center. Interested bidders may</t>
  </si>
  <si>
    <t xml:space="preserve"> Republic of the Philippines					 PROVINCE OF SOUTHERN LEYTE					 Maasin City					 	Standard Form No.: SF-GOOD-60			 Project Reference No. 131	 	Revised on:  May 24, 2004			 Name of the Project:  _______	 	Standard Form Title:                              </t>
  </si>
  <si>
    <t xml:space="preserve"> Drus and Medicines							 Paracetamol 500mg by 100's		1	box	 85.00  Loperamide 100's				1	box	 100.00  Cetirizine 10mg Tablet			1	box	 70.00  Mefenamic Acid 100's				1	box	 140.00  Povidone-iodine 120 ml			1	btl	 50.00  Cotton ball 300s					2	Pack	 100.00</t>
  </si>
  <si>
    <t xml:space="preserve"> The Bids and Awards Committee (BAC) of Luis UyChiat Elementary School invites interested bidders of 2020 Procurement of Supplies to be used for Modular Learning.  Procurement of Supplies Months Covered: August-December 2020 Approved Budget of Contract: 79</t>
  </si>
  <si>
    <t xml:space="preserve"> Lapel					                              1	Set Professional Teach Amplifier						 USB/FM/MP3						 Rechargable/AC Power						 Internet Router w/ Cable Wires					1	Set Dual Bank Function (Wireless/Land)						 4 Ethernet Ports Model						 Antennas / WIFI / G</t>
  </si>
  <si>
    <t xml:space="preserve"> VARIOUS MATERIALS/SUPPLIES/EQUIPMENT/TOOLS FOR THE IMPLEMENTATION OF LIVELIHOOD PROJECT OF VARIOUS INDIVIDUAL BENEFICIARIES AT APAYAO SEE ATTACHED CANVASS FORM FOR THE DETAILS PROCUREMENT IS ON A LOT BASIS</t>
  </si>
  <si>
    <t xml:space="preserve"> LED TV  40"					1	Set	 14,950.00  Basic TV/ Full HD							 HDMI /USB							 Electric Fan 16"					1	Unit	 1,500.00  Rotary							 Stand Fan</t>
  </si>
  <si>
    <t xml:space="preserve"> MEALS FOR FRONTLINERS IN THE SECURITY AND MANAGEMENT OF THE LOCALLY STRANDED INDIVIDUALS</t>
  </si>
  <si>
    <t xml:space="preserve"> Republic of the Philippines CITY GOVERNMENT OF SAN FERNANDO Barangay II Email: brgy_two_csf@yahoo.com.ph INVITATION TO BID FOR  PROCUREMENT AND DELIVERY OF ONE (1) UNIT BRAND NEW MOTORCYCLE 1.	The Barangay II, through the Barangay Fund intends to apply th</t>
  </si>
  <si>
    <t xml:space="preserve"> Republic of the Philippines					 PROVINCE OF SOUTHERN LEYTE					 Maasin City					 	Standard Form No.: SF-GOOD-60			 Project Reference No. 138	 	Revised on:  May 24, 2004			 Name of the Project:  _______	 	Standard Form Title:                              </t>
  </si>
  <si>
    <t xml:space="preserve"> Republika ng Pilipinas PAMAHALAANG LUNGSOD NG TACLOBAN (City Government of Tacloban) BIDS AND AWARDS COMMITTEE INVITATION TO BID (June 29, 2020) 20-017 7073140 The City Government of Tacloban thru the Special Education Fund-Current Appropriation, intends </t>
  </si>
  <si>
    <t xml:space="preserve"> Kindly download attached Invitation to Bid. Thank you.</t>
  </si>
  <si>
    <t xml:space="preserve"> The Environmental Management Bureau 10 through the (GAA NDRRM FUND (Calamity Fund 2020) intends to apply the sum of [Five Million Seven Hundred Thousand Pesos Only]. (Php 5,700,000.00) being the Approved Budget for the Contract (ABC) to payments under the</t>
  </si>
  <si>
    <t xml:space="preserve"> 150 - Vaccines (for Dogs)</t>
  </si>
  <si>
    <t xml:space="preserve"> Generator Set					1	Set Gasoline Engine						 3000 Watts / 220-230 Volts						 xxxxxxxxxxxxxxxxxxxxxx</t>
  </si>
  <si>
    <t xml:space="preserve"> 2	unit	forage chopper (5 horse power gasoline engine with complete accessories</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</si>
  <si>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</si>
  <si>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940	pcs	rubber vinyl tile 0.4mx0.3m 5	liters	wood glue 3	set	window blinds</t>
  </si>
  <si>
    <t xml:space="preserve"> SUPPLY OF FUEL, OIL AND LUBRICANTS: MAYOR'S OFFICE USE For July 6-31, 2020 consumption 2500 liters Diesel 350 liters Gasoline 30 liters Engine Oil 4 liters Brake Fluid 4 liters ATF 3 liters Synthetic Oil</t>
  </si>
  <si>
    <t xml:space="preserve"> Provision of security services for  eleven (11)  security guards within DENR-PENRO Quezon for six months starting July- December, 2020, distributed as follows:    1. PENR Officer          - 3    2. CENRO Tayabas      - 2    3. CENRO Reak           - 2    </t>
  </si>
  <si>
    <t xml:space="preserve"> Mini-Speaker w/ Microphone					1	Set USB/Micro SD Reader						 Ultra HD Sound /FM Radio						 AC &amp; Battery Operated</t>
  </si>
  <si>
    <t xml:space="preserve"> Steel Cabinet					1	Unit 4 Drawers						 Centralize Safety Lock</t>
  </si>
  <si>
    <t xml:space="preserve"> SUPPLY OF FUEL, OIL AND LUBRICANTS: BANTAY DAGAT OPERATION USE For July 6-31, 2020 consumption 650 liters Diesel 650 liters Gasoline</t>
  </si>
  <si>
    <t xml:space="preserve"> 1	set	diving gears with complete accessories (BCCD, Regulator, fins, tanks, weiht belt, booties, snorkle, mask, wet suits</t>
  </si>
  <si>
    <t xml:space="preserve"> Mode of Procurement: Small Value Procurement	 Prospective Bidders should submit their Quotation to the BAC Secretariat and should have a track record of having completed or supervised a project by administration or by contract, similar to and a cost of at</t>
  </si>
  <si>
    <t xml:space="preserve"> Please refer to the attached document.</t>
  </si>
  <si>
    <t xml:space="preserve"> see attachment</t>
  </si>
  <si>
    <t xml:space="preserve"> Steel Works, Installation of Boards and Rings, Concrete Works and Painting</t>
  </si>
  <si>
    <t xml:space="preserve"> 1 3 tanks 11 KG LPG FILLED  2 16 TANK 50 KG LPG FILLED</t>
  </si>
  <si>
    <t xml:space="preserve"> 1 41 reams Paper Book (Long) 70GSM, High White  2 20 reams Paper Book (Short) 70GSM, High White  3 6 cart. 83A Toner  4 20 cart. Ink, Canon 811 Color - QFC</t>
  </si>
  <si>
    <t xml:space="preserve"> SUPPLY OF FUEL, OIL AND LUBRICANTS: SWMOC USE For July 6-31, 2020 Consumption 1300 liters Diesel 30 liters Gasoline 8 gals Engine Oil 3 liters Brake Fluid 4 pails oil 10</t>
  </si>
  <si>
    <t xml:space="preserve"> Construction materials and other office supplies.</t>
  </si>
  <si>
    <t xml:space="preserve"> Republic of the Philippines Office of the Punong Barangay BIDS AND AWARDS COMMITTEE Barangay #18 San Isidro, Pasuquin, Ilocos Norte INVITATION TO BID FOR  Purchase of Materials for the Various Barangay Projects 1.	The BARANGAY BINSANG -PASUQUIN, through t</t>
  </si>
  <si>
    <t xml:space="preserve"> Digital Scoreboard at Barangay Sinipit Bongabon, Nueva Ecija</t>
  </si>
  <si>
    <t xml:space="preserve"> 10000	pcs	bottled water 350ml/bottle 500	packs	paper cups 25 pcs/pack</t>
  </si>
  <si>
    <t xml:space="preserve"> SUPPLY OF FUEL, OIL AND LUBRICANTS: MUNICIPAL ENGINEERING OFFICE USE AND MOTORPOOL USE For July 6-31, 2020 consumption 1000 liters Diesel 50 liters Gasoline 8 gals Engine Oil 3 liters Brake Fluid 6 pails Oil 10</t>
  </si>
  <si>
    <t xml:space="preserve"> 1 2,600 LTRS. DIESEL  2 100 LTRS. GASOLINE TERMS AND CONDITIONS: 1.) PAYMENT WILL BE BASED ON ACTUAL PUMP PRICE 2.) PAYMENT WILL BE MADE PER QUINCENA</t>
  </si>
  <si>
    <t xml:space="preserve"> Republic of the Philippines Office of the Punong Barangay BIDS AND AWARDS COMMITTEE Barangay #18 San Isidro, Pasuquin, Ilocos Norte INVITATION TO BID FOR  Purchase of Construction Materials for the Construction of Animal Crossing and Walkway 1.	The BARANG</t>
  </si>
  <si>
    <t xml:space="preserve"> REHABILITATION OF GREEN HOUSE @ BETINAN RESEARCH STATION, BETINAN, SAN MIGUEL ZAMBOANGA DEL SUR</t>
  </si>
  <si>
    <t xml:space="preserve"> Please see attached Terms of Reference and Technical Specifications.</t>
  </si>
  <si>
    <t xml:space="preserve"> 1 30 bot. Alcohol Rubbing, Isoprophyl 70% 500ml with moisturizer  2 45 pcs. Ballpen 0.8 - black  3 3 pcs. Battery 9v  4 20 pcs. Baterry AAA, Super Heavy Duty  5 15 boxes Canon Laid - yellow and green (short) 8.5x11  6 75 pcs. Cartolina (assorted color)  7</t>
  </si>
  <si>
    <t xml:space="preserve"> Republic of the Philippines Region XII Province of Cotabato BIDS AND AWARDS COMMITTEE Amas, Kidapawan City INVITATION TO BID FOR Supply &amp; Delivery of Food Processing Equipment to be given to Coffee and Cacao qualified planters in the Province of Cotabato.</t>
  </si>
  <si>
    <t xml:space="preserve"> 1 100 pcs Electrical Tape 19mm x 16m  2 4 bots Cement Rubber (Rugby), Beer Size  3 5 pcs Filter Mask  4 2 doz Hack Saw Blade  5 12 tubes Loctite, 5 g  6 2 sets Mounted Stone (5pcs/set)  7 3 gal Muriatic Acid, Pure  8 2 pcs Respirator, Paint and Chemical  </t>
  </si>
  <si>
    <t xml:space="preserve"> Republic of the Philippines Office of the Punong Barangay BIDS AND AWARDS COMMITTEE Barangay #12 Puyupuyan, Pasuquin, Ilocos Norte INVITATION TO BID FOR  Purchase of Office Equipment 1.	The BARANGAY PUYUPUYAN-PASUQUIN, through the AO2020-3SAVINGS OF 10% S</t>
  </si>
  <si>
    <t xml:space="preserve"> Please download attached Request for Quotation SPECIFICATIONS: A. PAES MINIMUM SPECIFICATIONS: I. Design and Performance "1. Main product Recovery: 64%, minimum  2. Maximum by-product Recovery: 31%, maximum  3. Total Machine Loss: 5%, maximum  4. Degermer</t>
  </si>
  <si>
    <t xml:space="preserve"> 1 2,300 LTRS DIESEL  2 485 LTRS GASOLINE Remarks : TERMS &amp; CONDITIONS: 1.) PAYMENT WILL BE BASED ON ACTUAL PUMP PRICE 2.) PAYMENT WILL BE MADE PER QUINCENA</t>
  </si>
  <si>
    <t xml:space="preserve"> Please download attached Request for Quotation KNAPSACK SPRAYER (PLASTIC) SPECIFICATIONS: A. PAES MINIMUM SPECIFICATIONS:  I. Design and Performance "1. Volumetric Efficiency: 80%, minimum 2. Flow Rate: 1.4 liter per minute, maximum 3. Mean Operating Pres</t>
  </si>
  <si>
    <t xml:space="preserve"> Republic of the Philippines Region XII Province of Cotabato BIDS AND AWARDS COMMITTEE Amas, Kidapawan City INVITATION TO BID FOR Supply of Petroleum Products for Provincial Social Welfare and Development Office, Amas, Kidapawan City. (PB-20-326) 1.	The Pr</t>
  </si>
  <si>
    <t xml:space="preserve"> 1 2 Units WINDOW TYPE 2.0hp NON INVERTER ROMOTE CONTROLLER  2 1 Units 2.0hp WALL MOUNTED SPLIT TYPE NON INVERTER</t>
  </si>
  <si>
    <t xml:space="preserve"> PR NO. 0793 - 20                 Republic of the Philippines         CITY GOVERNMENT OF TACURONG Alunan Highway, Tacurong City Sultan Kudarat BIDS AND AWARDS COMMITTEE                  Tel nos. (064) 562-0128 / Telefax no. (064) 477 - 0138         www.tac</t>
  </si>
  <si>
    <t xml:space="preserve"> Republic of the Philippines Region XII Province of Cotabato BIDS AND AWARDS COMMITTEE Amas, Kidapawan City INVITATION TO BID FOR Supply &amp; Delivery of IV Fluids for Pres. Roxas Provincial Community Hospital, Pres. Roxas, Cotabato. (PB-20-345) 1.	The Provin</t>
  </si>
  <si>
    <t xml:space="preserve"> Republic of the Philippines         CITY GOVERNMENT OF TACURONG Alunan Highway, Tacurong City Sultan Kudarat BIDS AND AWARDS COMMITTEE                  Tel nos. (064) 562-0128 / Telefax no. (064) 477 - 0138         www.tacurong.gov.ph                     </t>
  </si>
  <si>
    <t xml:space="preserve"> Please download attached Request for Quotation SPECIFICATIONS: A. PAES MINIMUM SPECIFICATIONS: I. Design and Performance "1. Pressure: 175-250 psi 2. Discharge rate: 15 liters per minute, minimum 3. Nozzle: made of non-corrosive material 4. Spray hose len</t>
  </si>
  <si>
    <t xml:space="preserve"> Republic of the Philippines                CITY GOVERNMENT OF TACURONG Alunan Highway, Tacurong City Sultan Kudarat BIDS AND AWARDS COMMITTEE                  Tel nos. (064) 562-0128 / Telefax no. (064) 477 - 0138      www.tacurong.gov.ph                 </t>
  </si>
  <si>
    <t xml:space="preserve"> 1 20 BXS BIPERIDEN HCL 2MG. TAB. 100'S  2 14 BXS. RESPERIDONE 2MG. TAB. 100'S  3 15 BXS. HALOPERIDOL 5MG. TAB. 100'S  4 1,000 AMPS FLUPHENZINE DECANOATE 25MG. /10ML.  5 10 BXS. CLOZAPINE 100,G. TAB. 100'S  6 80 BXS. LEVOMEPROMAZINE 100MG. TAB. 100'S Remar</t>
  </si>
  <si>
    <t xml:space="preserve"> Please download attached Request for Quotation SPECIFICATIONS: 1. PRIME MOVER "a. Direct Injection Diesel Engine b. Minimum Output Power 9 HP c. Maximum Fuel Consumption: 2.4 L/h" 2. 4 INCHES DIAMETER CENTRIFUGAL PUMP: a. Minimum Discharge Capacity 21 L/S</t>
  </si>
  <si>
    <t xml:space="preserve"> Procurement of school supplies and other goods not available in PS</t>
  </si>
  <si>
    <t xml:space="preserve"> The Department of Agriculture-RFO 3, invites interested suppliers/ bidders to submit bid proposal(s) for the hereunder requirement, to wit: SUPPLY AND DELIVERY OF VARIOUS AGRICULTURAL MACHINERIES AND EQUIPMENT CONSISTING OF FOUR (4) LOTS TO BE USED BY LIV</t>
  </si>
  <si>
    <t xml:space="preserve"> Republic of the Philippines Region XII Province of Cotabato BIDS AND AWARDS COMMITTEE Amas, Kidapawan City INVITATION TO BID FOR Supply &amp; Delivery of Engineering Laboratory Equipment for Provincial Engineer’s Office, Amas, Kidapawan City. (PB-20-211) 1.	T</t>
  </si>
  <si>
    <t xml:space="preserve"> Need to Construct a Handwashing area having a size of .60m x 7m  and with roofing with size  2m x 8m and covered Canal size 40m x .40m x 8m (inside dimension)and pathwalk 1.5m x 10m x .10m. Covered Canal cement 15bags W.sand 2 cu.m 3/4 gravel 1 cu.m DB 12</t>
  </si>
  <si>
    <t xml:space="preserve"> Quadrivalent pre-filled syringe</t>
  </si>
  <si>
    <t xml:space="preserve"> 1 Lot Purchase of Brand New Networking Accessories 1 unit AC 1900 Dual Band LTE Wifi Modem Router    MIMO Technology; 2.4GHZ 3x3, 5GHZ 3x3    (PhP14,750.00) 1 unit AX11000 Tri-band 802.11ax Router Wifi6    8x external antenna; Processor: 1.8GHZ quad core </t>
  </si>
  <si>
    <t xml:space="preserve"> Republic of the Philippines Province of Cavite Municipality of Tanza BARANGAY SAHUD - ULAN INVITATION TO BID The Barangay Government of Sahud -Ulan through its Bids and Awards Committee (BAC), invites contractors with and classified by the Philippine Cont</t>
  </si>
  <si>
    <t xml:space="preserve"> 3 Units of Rain Water Collector Cabanuyoan Elem. Sch., Mambog Elem. Sch. and Cabrera Elem. Sch., Dimasalang, Masbate</t>
  </si>
  <si>
    <t xml:space="preserve"> 1 40 Gal TEXTURE PAINT  2 1 Pc TEXTURE ROLLER BRUSH (COLOR RED)  3 1 Pc TEXTURE ROLLER BRUSH (COLOR BLUE)  4 1 Pc PAINT TRAY  5 25 Gal PRIMER  6 20 Gal CAST  7 22 Gal REDUCER  8 20 Gal SEMI - GLOSS SOLVENT 9 32 Can TINTING COLOR SOLVENT - 4 LAMP BLACK - 4</t>
  </si>
  <si>
    <t xml:space="preserve"> Please see attached ITB ABC: 724,215.40</t>
  </si>
  <si>
    <t xml:space="preserve"> Concreting of Barangay Road, Phase I</t>
  </si>
  <si>
    <t xml:space="preserve"> Section I. Invitation to Bid   Republic of the Philippines CITY GOVERNMENT OF SAN FERNANDO Barangay Pupus Email: brgy_puspus_csf@yahoo.com.ph INVITATION TO BID FOR  Rehabilitation of Health Center Barangay Puspus, City of San Fernando 1.	The Barangay Pusp</t>
  </si>
  <si>
    <t xml:space="preserve"> 1. Name of Project: Purchase of One (1) Unit Ambulance/Emergency Medical Transport  Brief Description: Purchase of One (1) Unit Ambulance/Emergency Medical Transport with the following specifications and features: Displacement : 2488 cc Engine Type : Inli</t>
  </si>
  <si>
    <t xml:space="preserve"> Multivitamins+Iron syrup: 60ml Amoxicillin tab: 500mg 100's Amoxicillin: cap 500mg 100s Amoxicillin Drops: 100mg/1.5ml 60ml Amoxicillin: susp 250mg/5ml 60ml Anti-Tetanus Serum: 1500 iu ampoule Azithromycin Dihydrate: 500mg 100's Benzathine Penicillin vial</t>
  </si>
  <si>
    <t xml:space="preserve"> Please see attached ITB. ABC: 249,800.00</t>
  </si>
  <si>
    <t xml:space="preserve"> ALT/SGPT: Automated 5x40+5x10ml AST/SGOT: Automated 5x10ml+5x10ml BUN: Automated 5x40+5x10ml Calibrator: 5x5ml 5Cotton Balls: 300's Dengue NS1Ag+Ab Combo: 10's Diestro Trilevel Control: - Diluent: 20 liter E-Z Cleanser: 100ml Face Mask: 50s Glucose Strips</t>
  </si>
  <si>
    <t xml:space="preserve"> Description   Republic of the Philippines Province of Davao del Sur Municipality of Sta.Cruz Barangay Tibolo INVITATION TO BID PROCUREMENT OF RESCUE VEHICLE 1. The Barangay Government of Tibolo, Sta.Cruz, Davao del Sur, through the Barangay Fund intends t</t>
  </si>
  <si>
    <t xml:space="preserve"> REPUBLIC OF THE PHILIPPINES PROVINCE OF CAMARINES SUR MUNICIPALITY OF BAAO BARANGAY SAGRADA INVITATION TO BID FOR THE INSTALLATION OF STREET LIGHTING-Zone 1-Zone 6 1.	The LOCAL GOVERNMENT UNIT OF BARANGAY SAGRADA, through the Annual Budget 2020 and Supple</t>
  </si>
  <si>
    <t xml:space="preserve"> Halogen bulb: 10W 6V Glucose: BSA 10x50ml Urea/BUN UV: 5x50ml Cotton Balls: 300's Diestro ISE Calibrator Pack: - Diestro Sodium Conditioner: - Diestro Trilevel Control: - Syringe: disposable 1cc G25x5/8 100's Examination Gloves: Small Examination Gloves: </t>
  </si>
  <si>
    <t xml:space="preserve"> Notice of Eligibility and Short Listing MR. RAYMOND DIZON Managing Director IPG Mediabrands Phils., Inc. 29F The Trade and Financial Tower 7th Avenue corner 32nd Street Global City, Taguig City MR. HERMAN Z. ONGKIKO President and Chief Operating Officer O</t>
  </si>
  <si>
    <t xml:space="preserve"> Request for Quotation on THE SUPPLY AND DELIVERY OF VARIOUS CONSTRUCTION MATERIALS AND SUPPLIES FOR THE REPAIR AND CONSTRUCTION OF GARLIC-RELATED FACILITIES 1. The Bureau of Plant Industry-Davao National Crop Research Development and Production Support Ce</t>
  </si>
  <si>
    <t xml:space="preserve"> Please see attached ITB. ABC: 386,000.00</t>
  </si>
  <si>
    <t xml:space="preserve"> Construction/Improvement of Water System (Construction of Additional Intake Box)</t>
  </si>
  <si>
    <t xml:space="preserve"> Repair (replacement of roofing of PhilSCA-Basa Campus Building) with the following construction materials. The ABC shall include material cost and labor. 324	PC	GI SHEET CORR. G24		 25	PC	RIDGE ROLL		 4	GAL	VULCASEAL		 20	PC	LUMBER 2"x 3" x 12'		 20	PC	LU</t>
  </si>
  <si>
    <t xml:space="preserve"> 8000	PC	REGISTRATION FORM,  offset printing, blk &amp; whte, 5.5"x8.5" size, vellum 100 paper, back-to-back print		 30000	PC	CLASSCARDS,  offset printing, blk &amp; white, size 3.5"x 5",  vellum 100 paper, back-to-back print		 1000	PC	AMT CURRICULUM, offset print</t>
  </si>
  <si>
    <t xml:space="preserve"> 30	bottle	Epson T6641 Black Ink Bottle		 12	bottle	Epson T6642 Cyan Ink Bottle		 12	bottle	Epson T6643 Magenta Ink Bottle		 12	bottle	Epson T6644 Yellow Ink Bottle		 8	PC	Ink Cartridge Canon 89 Black		 8	pc	Ink Cartridge Canon 99 Color		 12	PC	HP # 704 Bl</t>
  </si>
  <si>
    <t xml:space="preserve"> Adhesive: Double Edge tape 1" Ballpen: Black Ballpen: Blue Ballpen: Red Ballpen: Retractable 3's Binder Clip: 2" Bond Paper: Long, 8.5x13, S‐24 Bond Paper: Short, 8.5x11, S‐24 Board: Large Correction Tape: ‐ Envelope: Brown, Long Envelope: Brown, Short En</t>
  </si>
  <si>
    <t xml:space="preserve"> ALT/GPT: 5x50ml AST/GOT: 5x50ml Chemistry Calibrator: 5x5ml Cholesterol: HDL/LDL Calibrator 1x1ml Triglycerides: 10x50ml Urea/BUN UV: 5x50ml Cotton Balls: 300's Syringe: disposable 1cc, G-25 x 5/8" Examination Gloves: Small Examination Gloves: Large Face </t>
  </si>
  <si>
    <t xml:space="preserve"> Cucumber: Ambassador 50g Eggplant: Fortuner 50g Pechay: (Pavito) Sitao: Sandigan Okra: (Smooth green) Kangkong: Tsina LP Pak Choi: 100g</t>
  </si>
  <si>
    <t xml:space="preserve"> CONSTRUCTION OF DRAINAGE CANAL Portion along Osmeña Street (Kalye Daku)</t>
  </si>
  <si>
    <t xml:space="preserve"> Organic Fertilizer: 50kgs Vital N: - Treelizer: - Insecticide/Insect Killer: 250ml Herbicide: -</t>
  </si>
  <si>
    <t xml:space="preserve"> Vermicast: - Urea: - Complete Fertilizer: (14-14-14) Foliar Fertilizer: - Sowing Media: - Soil Inoculant/Conditioner: - Organic Fertilizer: -</t>
  </si>
  <si>
    <t xml:space="preserve"> Coffee seed: Liberica &amp; Excelsa</t>
  </si>
  <si>
    <t xml:space="preserve"> Please see attached ITB. ABC: 407,000.00</t>
  </si>
  <si>
    <t xml:space="preserve"> Knapsack Sprayer: - Plastic Drum: 200 liter Sprinkler: - Shovel (Pala): - Hoe: - Scythe: - Plastic Mulch: - String: - Fish net: -</t>
  </si>
  <si>
    <t xml:space="preserve"> Trash Bin: (Biodegradable/Non-Biodegradable) Seedling Tray: 128 holes Fine Mesh Net: - Rice Hull: (Carbonized) Jetmatic pump: with 2 G.I Pipe 1 1/2 sched. 40 Knapsack Sprayer: -</t>
  </si>
  <si>
    <t xml:space="preserve"> Grass Cutter: - Power Sprayer: -</t>
  </si>
  <si>
    <t xml:space="preserve"> Bamboo Poles: - Amazon Net: 1/2" (hole size) 4'x98m (1 roll) Rubber Tub: - Rubber Tub: - Vacuum Sealer: - Plastic Pail: 20liter capacity Weighing Scale: - Weighing Scale: 10 kg Rubber gloves: - Fish: Assorted Salt: (rock salt)</t>
  </si>
  <si>
    <t xml:space="preserve"> Standby Power: 50KVA (50KW) Voltage: 220/440Volts Phasing: Single Frequency:50Hz Speed:1500rpm Alternator: STAMFORD Control system: Standard Digital Panel Silent Type</t>
  </si>
  <si>
    <t xml:space="preserve"> Site Works, Concrete Works, Reinforcing Steel Bars, Formworks &amp; Scaffolding: Two (2) Use, Masonry Works Steel Works, Roofing Works, Ceiling Works (Interior &amp; Exterior), Doors And Windows, Plumbing Works, Tile Works, Electrical Works, Painting Works, Proje</t>
  </si>
  <si>
    <t xml:space="preserve"> NAME OF THE PROJECT: Supply and Delivery of Materials for Concreting of Pathway (Phase 3) LOCATION OF THE PROJECT:  Purok 6, Bgy. San Isidro, Donsol, Sorsogon PROJECT REFERENCE NO.:  SVP-G-2020-014 Approved Budget for the Contract (ABC):   ₱64,825.00 Sour</t>
  </si>
  <si>
    <t xml:space="preserve"> Supply/Delivery of PDL Yellow T-shirts for period of July, CY 2020.</t>
  </si>
  <si>
    <t xml:space="preserve"> NAME OF THE PROJECT: Supply and Delivery  of Materials forImprovement of Multi-Purpose Hall (Phase 3) LOCATION OF THE PROJECT: Bgy. Cristo, Donsol, Sorsogon PROJECT REFERENCE NO.:  SVP-G-2020-013 Approved Budget for the Contract (ABC):  Seventy Eight Thou</t>
  </si>
  <si>
    <t xml:space="preserve"> Request for Quotation on SUPPLY OF ONE (1) UNIT OF VACUUM PACK SEALER 1. The Bureau of Plant Industry-Davao National Crop Research Development and Production Support Center (BPI-DNCRDPSC) intends to apply the sum of Eighty Thousand Pesos (₱ 80,000.00) bei</t>
  </si>
  <si>
    <t xml:space="preserve"> 1 Unit Solar Panel Location: Buenaflor, Dimasalang, Masbate</t>
  </si>
  <si>
    <t xml:space="preserve"> 1 2 UNIT WATER PUMP 2HP  2 1 UNIT COMPRESSOR</t>
  </si>
  <si>
    <t xml:space="preserve"> Republic of the Philippines Department of Education Region VI - Western Visayas Division of Bacolod City District II BATA ELEMENTARY SCHOOL - I Fr. Gratian Murray St., Brgy. Villamonte, Bacolod City INVITATION TO BID FOR THE PROCUREMENT OF 6 PCS CELL CARD</t>
  </si>
  <si>
    <t xml:space="preserve"> Rubber Band: - Oatmeal: (Instant) 800g Powdered Gulaman: 10's Surgical Face Mask: - Polypropylene plastic: 12x6x3 500/bundle Sanitizing Gel: 60ml/bottle Dishwashing Liquid: Antibac Scrubbing Pad: - Paper Bag: #2 Brown Polypropylene plastic: 4x12 Super ela</t>
  </si>
  <si>
    <t xml:space="preserve"> 1 2,000 LTRS DIESEL  2 333.5000 LTRS GASOLINE</t>
  </si>
  <si>
    <t xml:space="preserve"> Supply/Delivery of Office Equipments for period of July 2020.</t>
  </si>
  <si>
    <t xml:space="preserve"> Republika ng Pilipinas PAMAHALAANG LUNGSOD NG TACLOBAN (City Government of Tacloban) Kanhuraw Hill, Tacloban City 6500 BIDS AND AWARDS COMMITTEE INVITATION TO BID  REF #038(1)-06-2020 (JUNE 29, 2020) PR# 2020-621 DATED 05-21-2020 7073198 The Procuring Ent</t>
  </si>
  <si>
    <t xml:space="preserve"> Republic of the Philippines Region XII Province of Cotabato BIDS AND AWARDS COMMITTEE Amas, Kidapawan City INVITATION TO BID FOR Supply &amp; Delivery of Medical Supplies for Dr. Amado Diaz Provincial Foundation Hospital, Midsayap, Cotabato. (PB-20-341) 1.	Th</t>
  </si>
  <si>
    <t xml:space="preserve"> Republic of the Philippines Region XII Province of Cotabato BIDS AND AWARDS COMMITTEE Amas, Kidapawan City INVITATION TO BID FOR Supply &amp; Delivery of IV Fluids for Dr. Amado Diaz Provincial Foundation Hospital, Midsayap, Cotabato. (PB-20-340) 1.	The Provi</t>
  </si>
  <si>
    <t xml:space="preserve"> 1 Units LED LIGHTED ONE DAVNOR ONE TEAM LOGO WITH STAINLESS FRAME: THICK 14", HEIGHT; 67", WIDTH;87" NOTE: Supplier must have a shop in Tagum City</t>
  </si>
  <si>
    <t xml:space="preserve"> 1 set RELOADING MACHINE (RL550B)</t>
  </si>
  <si>
    <t xml:space="preserve"> Republic of the Philippines Region XII Province of Cotabato BIDS AND AWARDS COMMITTEE Amas, Kidapawan City INVITATION TO BID FOR Supply &amp; Delivery of Vibrating Screen for Asphalt Plant, Pag-asa, Mlang, Cotabato. (PB-20-320) 1.	The Provincial Government of</t>
  </si>
  <si>
    <t xml:space="preserve"> Republic of the Philippines Region XII Province of Cotabato BIDS AND AWARDS COMMITTEE Amas, Kidapawan City INVITATION TO BID FOR Supply &amp; Delivery of Swine for distribution to qualified beneficiaries provincewide. (PB-20-047) 1.	The Provincial Government </t>
  </si>
  <si>
    <t xml:space="preserve"> 1 50 PC FOLDER LONG ( RED)  2 2 PC. AIR FRESHENER (CAR)  3 10 BOT. ALCOHOL, RUBBING, ISOPROPHYL 70% 500ML W/ MOISTURI  4 24 PC. BALLPEN, GRIP XP5  5 2 PC. BATTERY AAA, SUPER HEAVY DUTY  6 2 PACK BATTERY, 9 VOLTS, RECHARGEABLE  7 2 PACK BATTERY, AA 4 PCS/P</t>
  </si>
  <si>
    <t xml:space="preserve"> Construction of 37.80 linear meter x 1.35 meter fence with plastering at one side only</t>
  </si>
  <si>
    <t xml:space="preserve"> Please quote your lowest price inclusive of VAT on the item/s listed above, subject to the Terms and Conditions of this RFQ, and submit your quotation duly signed by your representative not later than July 3, 2020 at Bids and Awards Committee, Ground Floo</t>
  </si>
  <si>
    <t xml:space="preserve"> Foliar Fertilizer: - Soil Conditioner: - Pesticides Agent: - Fungicides: - Urea: - Ammonium Phosphate: - Muriate of Potash: - Agricultural Lime: - Soil Conditioner: - Complete Fertilizer: -</t>
  </si>
  <si>
    <t xml:space="preserve"> MUNICIPALITY OF ABRA DE ILOG Name of Procuring Entity						 Contract Reference Number Goods No. 27-2020 Name of Contract: Supply and Delivery of Materials for the Construction of Barangay Multi-Purpose Hall  Location Brgy. Sta. Maria, ADIOM Republic of th</t>
  </si>
  <si>
    <t xml:space="preserve"> MUNICIPALITY OF ABRA DE ILOG Name of Procuring Entity						 Contract Reference Number Goods No. 25-2020 Name of Contract: Supply and Delivery of Goods for  Day Care Children of Abra de Ilog, Occ. Mindoro Location:  LGU, ADIOM Republic of the Philippines P</t>
  </si>
  <si>
    <t xml:space="preserve"> PLEASE SEE ATTACHED COMPONENTS</t>
  </si>
  <si>
    <t xml:space="preserve"> The Ministry of Labor and Employment MOLE – BARMM through the Bids and Awards Committee (BAC), hereby invites all interested supplier registered with the Philippine Government Electronic Procurement System (PHILGEPS), to quote their lowest price for the h</t>
  </si>
  <si>
    <t xml:space="preserve"> I	EARTHWORKS	 	 	 	 	 	   	A.	Excavation	 	 	 	439.6	 cu.m   	B.	Backfilling and Compaction	 	 	439.6	 cu.m   	D.	Concrete Breaking and Disposal	 	54.8	 sq.m   	E.	Restoration	 	 	 	8.22	 cu.m   	 	 	 	 	 	 	 	  PIPES AND FITTINGS MATERIAL A.	150mm uPVC P</t>
  </si>
  <si>
    <t xml:space="preserve"> Item Description INTERNET SUBSCRIPTION Connection Type: Fiber Optics             Must be leased-line, enterprise or corporate Bandwidth: can reach up to 300mbps CIR (guaranteed speed): 10mbps Contract Period: June to December 2020 (7 months) PLEASE SEE AS</t>
  </si>
  <si>
    <t xml:space="preserve"> Qty	Unit		Description	 8 	pcs 	Council Table with Drawer			                 Size 100cm x 50cm x 75cm                 Color Black Walnut 1	pc	Punong Barangay’s Table			 		Conference Desk with BigOver Hole 		Wing Management, with 2 open Drawers, 		Size: 100</t>
  </si>
  <si>
    <t xml:space="preserve"> MUNICIPALITY OF ABRA DE ILOG Name of Procuring Entity						 Contract Reference Number Goods No. 28-2020 Name of Contract: Supply and Delivery of UGT (Upper Ground Tank) for Fuel  Location LGU, ADIOM Republic of the Philippines Province of Occidental Mindo</t>
  </si>
  <si>
    <t xml:space="preserve"> INVITATION TO BID Republic of the Philippines Province of Antique Municipality of Anini-y Barangay Sagua, Anini-y Antique BIDS &amp; AWARDS COMMITTEE Invitation to Bid for CONCRETING OF BARANGAY ROAD 	 The BLGU, Sagua, Anini-y,  Antique, through the 20 % IRA </t>
  </si>
  <si>
    <t xml:space="preserve"> MUNICIPALITY OF ABRA DE ILOG Name of Procuring Entity						 Contract Reference Number Goods No. 26-2020 Name of Contract: Supply and Delivery of Materials for the Construction of Concrete Canal (Additional Works)  Location Brgy. Cabacao, ADIOM Republic of</t>
  </si>
  <si>
    <t xml:space="preserve"> A construction project of the Barangay Dicayas, Dipolog City Talipapa public market with two (2) Comfort rooms</t>
  </si>
  <si>
    <t xml:space="preserve"> Please download attached Request for Quotation  SPECIFICATIONS:  I. Performance 1. Weeding Efficiency: 80%, minimum II. Maintenance 1. Provided with a set of manufacturer’s standard tools and accessories III. Must Conform to: "1. PAES for Weeder  2. PAES </t>
  </si>
  <si>
    <t xml:space="preserve"> Medical, Dental &amp; Laboratory Supplies -------161,900.00</t>
  </si>
  <si>
    <t xml:space="preserve"> Procurement ID/Contract ID		:  20 IK 0098     Contract Name				:  Construction of Modified Design with Parapet of 4-strorey, Twenty (20)     Classroom School Building project     Contract Location			:  Catbalogan II Central Elementary School, Catbalogan C</t>
  </si>
  <si>
    <t xml:space="preserve"> Frequency range VHF: 136 –174 MHz UHF: 440 – 470 MHz 16 channels</t>
  </si>
  <si>
    <t xml:space="preserve"> Construction of Water Tank</t>
  </si>
  <si>
    <t xml:space="preserve"> Weighing Scale: Digital 10kg Weighing Scale: Manual 10kg Impulse sealer: 16" manual Stainless Tank: - Plastic Container: Food Grade 20L Capacity Plastic Drum: 200 liter Tray: Stainless (Food Grade) Strainer: Fine, Stainless (Food Grade) Ladle (Sandok): St</t>
  </si>
  <si>
    <t xml:space="preserve"> Republic of the Philippines PROVINCE OF BUKDINON 	Malaybalay City	 OFFICE OF THE PROVINCIAL GOVERNOR Bids and Awards Committee REQUEST FOR BID PROPOSAL THROUGH NEGOTIATED PROCUREMENT (SECTION 53.2 – EMERGENCY CASES) SUPPLY AND DELIVERY OF LABORATORY AND H</t>
  </si>
  <si>
    <t xml:space="preserve"> Republic of the Philippines City of Dapitan BIDS AND AWARDS COMMITTEE INVITATION TO BID June 25, 2020 	 The City Government of Dapitan, through its Bids and Awards Committee (BAC), invites interested parties to apply for eligibility and, if found eligible</t>
  </si>
  <si>
    <t xml:space="preserve"> Construction 52.0 linear meter x4.0 wide barangay road</t>
  </si>
  <si>
    <t xml:space="preserve"> ============================================================= 	8		PCS		SOLAR LAMP WITH PANEL BOARD   = -------------------------------------------------------------------------------------------------- 	6	 	LENGTH		GI PIPE #2   = -------------------------</t>
  </si>
  <si>
    <t xml:space="preserve"> PROCUREMENT OF ONE (1) UNIT SURPLUS DUMP TRUCK</t>
  </si>
  <si>
    <t xml:space="preserve"> INVITATION FOR NEGOTIATED PROCUREMENT FOR Procurement of Laboratory Equipment for the Aviation Maintenance Department of the College of Industrial Technology NORSU Main Campus (Negotiated) Project Reference No.: GOOD2020-00-02 1. In view of the Two (2) fa</t>
  </si>
  <si>
    <t xml:space="preserve"> REPUBLIC OF THE PHILIPPINES PROVINCE OF CAMARINES SUR MUNICIPALITY OF BAAO BARANGAY SAGRADA INVITATION TO BID FOR CONSTRUCTION OF PATHWAY/PATHWALK AT ZONE 5-6. 1.	The LOCAL GOVERNMENT UNIT OF BARANGAY SAGRADA, through the Annual Budget 2020 and Supplement</t>
  </si>
  <si>
    <t xml:space="preserve"> PROCUREMENT OF ONE (1) UNIT SURPLUS ELF TRUCK (16 FT)</t>
  </si>
  <si>
    <t xml:space="preserve"> REPUBLIC OF THE PHILIPPINES PROVINCE OF CAMARINES SUR MUNICIPALITY OF BAAO BARANGAY SAGRADA INVITATION TO BID FOR THE ROAD CONCRETING-ZONE 1 1.	The LOCAL GOVERNMENT UNIT OF BARANGAY SAGRADA, through the Annual Budget 2020 and Supplemental Budget 2020  int</t>
  </si>
  <si>
    <t xml:space="preserve"> INVITATION TO BID Supply &amp; Delivery of One (1) Unit Type II Wide Body Rescue Ambulance with complete accessories CDRRMO, Marawi City Contract ID No. 20-MC-CO-01 ABC: Php 3,000,000.00 June 27, 2020 1. The City Government of Marawi, intends to apply the sum</t>
  </si>
  <si>
    <t xml:space="preserve"> Republic of the Philippines Province of Quezon Municipality of Guinayangan Barangay Government of Himbubulo Este INVITATION TO BID Date: June 27, 2020 1.	The Barangay Government of  Himbubulo Este intends to apply the sum one Seventy three thousand one hu</t>
  </si>
  <si>
    <t xml:space="preserve"> Republic of the Philippines City of Dapitan BIDS AND AWARDS COMMITTEE 						June 26, 2020 NOTICE FOR NEGOTIATED - SMALL VALUE PROCUREMENT 	The City Government of Dapitan through the Bids and Awards Committee (BAC) would like to inform PhilGEPS registered </t>
  </si>
  <si>
    <t xml:space="preserve"> INVITATION TO BID FOR INSTALLATION AND UPGRADE OF NORSU ICT DATABASE CENTER INFRASTRUCTURE FOR NORSU MAIN CAMPUSES I &amp; II Project Reference No.: GOOD2020-05-05 1. The Negros Oriental State University (NORSU) Campuses and the Bids and Awards Committee (BAC</t>
  </si>
  <si>
    <t xml:space="preserve"> Republic of the Philippines City of Dapitan BIDS AND AWARDS COMMITTEE INVITATION TO BID June 26, 2020 	 The City Government of Dapitan, through its Bids and Awards Committee (BAC), invites interested parties to apply for eligibility and, if found eligible</t>
  </si>
  <si>
    <t xml:space="preserve"> Republic of the Philippines PROVINCE OF BOHOL Municipality of DANAO Invitation for Negotiated Procurement (GOODS) Procurement of Office Supplies for LGU-Danao, Bohol 2nd Quarter of FY 2020 In view of two (2) failed public biddings, the Local Government Un</t>
  </si>
  <si>
    <t xml:space="preserve"> Republic of the Philippines City of Manila Office of the Barangay Chairman The Barangay 217, Zone 20, District 2, Manila Through its Bid and Awards Committee (BAC), Invites all supplier with Certificate of Accreditation duly approved by the City Council o</t>
  </si>
  <si>
    <t xml:space="preserve"> PETAL 06-2020 - construction of concrete fence at brgy hall</t>
  </si>
  <si>
    <t xml:space="preserve"> Republic of the Philippines Province of Bohol Municipality of Danao Invitation to Bid for  IMPROVEMENT OF BARANGAY COVERED COURT, BRGY. MAGTANGTANG 1.	The Municipality of Danao, Bohol  through the GF [Local Development Plan (20% of IRA) FY 2020]   intends</t>
  </si>
  <si>
    <t xml:space="preserve"> Republic of the Philippines Province of Bohol Municipality of Danao Invitation to Bid for  IMPROVEMENT / REHABILITATION OF LOCAL ACCESS ROAD FROM SAN CARLOS TO DAGOHOY ROAD 1.	The Municipality of Danao, Bohol  through the GF [Local Development Plan (20% o</t>
  </si>
  <si>
    <t xml:space="preserve"> 1-Year Subscription Support Contract for the Virtualized Environment Backup Appliance: 1 Lot I. Objective: • The purpose of procuring Subscription Support Contract for the Virtualized Environment Backup Appliance will ensure that the equipment is in good </t>
  </si>
  <si>
    <t xml:space="preserve"> INVITATION TO  BID # 017-2020    The Municipal Government  of Aguilar, through its Bids and Awards Committee (BAC) invites suppliers/ manufacturers/contractors to bid for the hereunder project:.    Name of the Project: PURCHASE OF SPRAY CHEMICALS FOR MOSQ</t>
  </si>
  <si>
    <t xml:space="preserve"> INVITATION TO BID The Municipality of Pandi, through its Bids and Awards Committee (BAC) invites all eligible suppliers, distributors, and manufacturers to bid on the following project: BP Number Project Title/Location/Contract Duration Amount Source of F</t>
  </si>
  <si>
    <t xml:space="preserve"> Republic of the Philippines Province of Bohol Municipality of Danao Invitation to Bid for  IMPROVEMENT / REHABILITATION OF LOCAL ACCESS ROAD OF BARANGAY HIBALE 1.	The Municipality of Danao, Bohol  through the GF [Local Development Plan (20% of IRA) FY 202</t>
  </si>
  <si>
    <t xml:space="preserve"> Equipment 1 Mini Dumptruck 1 Jackhammer 1 Backhoe PC 30 2 Bar Cutter  1 Concrete Mixer one bagger  3 Welding Machine  2 Grinder Machine  1 Concrete Saw   Description 101(1) Removal of Structures and Obstructions 102(2) Surplus Common Excavation 103(3) Fou</t>
  </si>
  <si>
    <t xml:space="preserve"> 1	pc	C/Slave kit 3/4		 1	lit	B/Fluid DOT-4		 1		REP C/SLAVE KIT		 1	pc	RADIATOR ASSY		 1	gal	DEW SPORTS		 1	lit	DELO SPORTS		 1	pc	Oil Filter		 1	pc	Fuel Filter		 2	gal	Coolant		 2	pcs	Hood Dumper		 1	pc	Relay		 1	pc	Socket 5T		 		Rep. Url Filter		 		Rep </t>
  </si>
  <si>
    <t xml:space="preserve"> INVITATION TO APPLY FOR ELIGIBILITY AND TO BID Project Title: IMPROVEMENT OF MULTI-PURPOSE BUILDING (GYMNASIUM) Project Location: Caglayan, Conner, Apayao Project ID No.: 20MGU-037 The Local Government Unit of CONNER, through the 2020 20% DF intends to ap</t>
  </si>
  <si>
    <t xml:space="preserve"> DESCRIPTION: 5.0 MP Main Camera 4.3 aspect radio screen LTE ready 1.2 GHZ Quad core CPU 2.0 GB RAM, 32-64 GB Memory 4200 mAh battery Full Pone Functionality Wifi, Bluetooth with accessory  (Power Bank 20 mAh)</t>
  </si>
  <si>
    <t xml:space="preserve"> INVITATION TO APPLY FOR ELIGIBILITY AND TO BID Project Title: REHABILITATION OF MUTI-PURPOSE DRYING PAVEMENT AT PUROK 3 MANAG E/S Project Location: Manag, Conner, Apayao Project ID No.: 20MGU-042 The Local Government Unit of CONNER, through the 2020 20% D</t>
  </si>
  <si>
    <t xml:space="preserve"> Republic of the Philippines Italian Assistance to the Agrarian Reform Community Development Support Program (IARCDSP) Invitation to Bid for the  Expansion of Potable Water System Level II 1.The Government of the Philippines (GoP) has availed a loan from t</t>
  </si>
  <si>
    <t xml:space="preserve"> SCOPE OF WORKS:            I.         MOBILIZATION           II.        TEMPORARY FACILITIES (Camp House)            III.       FORMS &amp; SCAFFOLDINGS            IV.        SITEWORKS/EXCAVATION            V.        CONCRETE WORKS           VI.        MASONR</t>
  </si>
  <si>
    <t xml:space="preserve"> 60 pcs- alcohol 500ml 70% 5 box - face mask 60 pcs- zonrox 450ml 60 pcs - safeguard soap 130g 15 box - Vit C 500mg</t>
  </si>
  <si>
    <t xml:space="preserve"> Supply and delivery of the following Information and Communication Equipment’s for the SK E-LEARNING CENTER to wit; •	7 Sets of Complete Package of Computers with Webcam and Headphone (AMD RyzenTM 3 3200G with RadeonTM Vega 8 Graphics, Gigabyte A320M-S2H </t>
  </si>
  <si>
    <t xml:space="preserve"> PLEASE DOWNLOAD THE ATTACHMENT/S FOR REFERENCE. Important Notes and Conditions: You can submit your quotation ON or BEFORE JULY 3, 2020 at 09:00 AM with the photocopy of the following legal documents: a. Mayor’s / Business Permit b. PhilGEPS Registration </t>
  </si>
  <si>
    <t xml:space="preserve"> INVITATION TO BID The LOCAL GOVERNMENT UNIT OF SANTO TOMAS,  through its Bids and Awards Committee (BAC), invites suppliers/ manufacturers/distributors/ contractors to apply for eligibility and to bid for the hereunder projects to be undertaken on  July 6</t>
  </si>
  <si>
    <t xml:space="preserve"> 60 pcs- alcohol 70% 500ml 5 box- face mask 60 pcs - chlorox 450ml 60 pcs - bar soap 130g 15 box- Vit. C 500mg</t>
  </si>
  <si>
    <t xml:space="preserve"> Republic of the Philippines Department of Health Regional Office IV-A (CALABARZON) TREATMENT AND REHABILITATION CENTER Tagaytay City INVITATION TO BID FOR IMPROVEMENT OF ADMISSION OFFICE, WAITING AREA AND GENERATOR HOUSE 1.	The  DOH-Treatment  and  Rehabi</t>
  </si>
  <si>
    <t xml:space="preserve"> I. CONCRETE &amp; MASONRY WORKS</t>
  </si>
  <si>
    <t xml:space="preserve"> FLU VACCINE FOR TEACHING AND NON-TEACHING STAFF (JUNIOR HIGH SCHOOL AND SENIOR HIGH SCHOOL)</t>
  </si>
  <si>
    <t xml:space="preserve"> Republic of the Philippines ISABELA STATE UNIVERSITY City of Ilagan, Isabela FOR SUPPLY, DELIVERY, TESTING AND DEMONSTRATION OF CIVIL ENGINEERING LABORATORY EQUIPMENT 1. The ISABELA STATE UNIVERSITY – City of Ilagan Campus, through the General Appropriati</t>
  </si>
  <si>
    <t xml:space="preserve"> Consulting Services for the Relocation, Topographic and Subdivision Survey of Various LGU Owned Lots</t>
  </si>
  <si>
    <t xml:space="preserve"> Republic of the Philippines Province of Batangas Municipality of San Juan BIDS AND AWARDS COMMITTEE INVITATION TO APPLY FOR ELIGIBILITY AND TO BID THE LOCAL  GOVERNMENT UNIT OF BRGY. COLOCONTO, SAN JUAN, BATANGAS, through its Bids and Awards Committee(BAC</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</si>
  <si>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</si>
  <si>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See attached Bidding Documents</t>
  </si>
  <si>
    <t xml:space="preserve"> Republic of the Philippines BIDS AND AWARDS COMMITTEE FOR THE PROCUREMENT OF GOODS City of Puerto Princesa Barangay Babuyan, Puerto Princesa City INVITATION TO BID (Procurement of Goods) Purchase Request #: 2020-06-02  Date: June 22, 2020 Procuring/Fundin</t>
  </si>
  <si>
    <t xml:space="preserve"> INVITATION TO APPLY FOR ELIGIBILITY AND TO BID Project Title: IMPROVEMENT OF FAR-TO-MARKET ROAD @ SITIO APAYA, ALLANGIGAN Project Location: Allangigan, Conner, Apayao Project ID No.: 20MGU-041 The Local Government Unit of CONNER, through the 2020 20% DF i</t>
  </si>
  <si>
    <t xml:space="preserve"> REPUBLIC OF THE PHILIPPINES PROVINCE OF CAMARINES SUR MUNICIPALITY OF BAAO BARANGAY SAGRADA INVITATION TO BID FOR THE CONSTRUCTION OF OPEN DRAINAGE CANAL AT ZONE 4-5 1.	The LOCAL GOVERNMENT UNIT OF BARANGAY SAGRADA, through the Annual Budget 2020 and Supp</t>
  </si>
  <si>
    <t xml:space="preserve"> Republic of the Philippines ISABELA STATE UNIVERSITY City of Ilagan, Isabela FOR SUPPLY, DELIVERY, TESTING AND DEMONSTRATION OF ELECTRICAL ENGINEERING LABORATORY EQUIPMENT The ISABELA STATE UNIVERSITY – City of Ilagan Campus, through the General Appropria</t>
  </si>
  <si>
    <t xml:space="preserve"> Refer the Approved NAPOLCOM Res. Specification  on 30 Rds Aluminum Magazine for M-16 Rifle</t>
  </si>
  <si>
    <t xml:space="preserve"> See attached bidding documents</t>
  </si>
  <si>
    <t xml:space="preserve"> I. Demolition II. Concrete &amp; Steel Works III. Carpentry Works IV. Painting Works V. Site Cleaning VI. Construction Safety &amp; Health Program VII. Mobilization</t>
  </si>
  <si>
    <t xml:space="preserve"> REPUBLIC OF THE PHILIPPINES PROVINCE OF ILOCOS SUR MUNICIPALITY OF SANTA BARANGAY CALONGBUYAN INVITATION TO BID PURCHASE OF MOTOR VEHICLE PHP70,000.00 LOT DESCRIPTION QTY. UNIT MOTOR VEHICLE 1</t>
  </si>
  <si>
    <t xml:space="preserve"> INVITATION TO APPLY FOR ELIGIBILITY AND TO BID Project Title: CONSTRUCTION OF CONCRETE FENCE @ PADDIG ES (PHASE II) Project Location: Caglayan, Conner, Apayao Project ID No.: 20MGU-040 The Local Government Unit of CONNER, through the Capital Outlay Mayor’</t>
  </si>
  <si>
    <t xml:space="preserve"> new van type vehicle - power steering - power window - A1 engine condition - airconditioned - tire wrench and mechanical jack - spare tire - with LTO Registration - (1) one year warranty - Barangay Matina Crossing 74-A Logo decal sticker (front &amp; back &amp; s</t>
  </si>
  <si>
    <t xml:space="preserve"> 60 bottles - Alcohol 70% 500ml  5 box- face mask 60 bottles- chlorox 450ml 60 pcs - bar soap 130g 15 box- Vit. C 500mg</t>
  </si>
  <si>
    <t xml:space="preserve"> 41 sets COMPUTER DESKTOP BUNDLE, Intel Core i9-9900K Processor please refer to ITB for the complete specifications.  ABC per unit P81,000.00 1 set COMPUTER DESKTOP SERVER BUNDLE, Intel Xeon E-2134 16BG UDIMM please refer to ITB for the complete specificat</t>
  </si>
  <si>
    <t xml:space="preserve"> 1 1 BTL/S TOILET BOWL CLEANER - W/ KILLER VIREX 500ML 2 3 PC/S SOAP - BATH- FAMILY SIZE 3 2 GAL/S BLEACHING SOLUTION 4 22 PC/S TOILET TISSUE - . 5 3 BTL DISHWASHING LIQUID - 270ML- CONCENTRATED W/ GERMEX 6 1 POUCH FABRIC SOFTENER - 450ML</t>
  </si>
  <si>
    <t xml:space="preserve"> Name of the Procuring Entity LOCAL GOVERNMENT UNIT  Mahinog, Camiguin	Project Reference Number: 2020-GOODS-RFQ-078 Name of Project: Supply &amp; Delivery of Office Supplies Location of the Project: Poblacion, Mahinog, Camiguin 	 Standard Form Number: SF-GOOD-</t>
  </si>
  <si>
    <t xml:space="preserve"> To deliver various office supplies and other consumables at Iligan City National High School. Note: Suppliers must be within Iligan City.</t>
  </si>
  <si>
    <t xml:space="preserve"> Supply, Delivery and Configuration of Unified Threat Management Devices for all (CTU External Campuses with the following technical specifications: HARDWARE SPECIFICATIONS:  Processor : Intel Core i3 Dual Core 6100 @ 3.7GHz Form Factor : 1U Memory : 12 GB</t>
  </si>
  <si>
    <t xml:space="preserve"> Purchase request submitted by Gina Cahilig 1 unit Umblical Cable  ABC is Php 184,619.00</t>
  </si>
  <si>
    <t xml:space="preserve"> Purchase of Supply for 1 (unit) Garbage Truck   -  P  2,000,000.00</t>
  </si>
  <si>
    <t xml:space="preserve"> Procurement of 1 Lot Vehicle Tires (1 set, tires 265/65R17), etc.</t>
  </si>
  <si>
    <t xml:space="preserve"> Republic of the Philippines BIDS AND AWARDS COMMITTEE FOR THE PROCUREMENT OF GOODS City of Puerto Princesa Barangay Babuyan, Puerto Princesa City INVITATION TO BID (Procurement of Goods) Purchase Request #: 2020-06-01  Date: June 17, 2020 Procuring/Fundin</t>
  </si>
  <si>
    <t xml:space="preserve"> Please quote your lowest price on the item/s listed below, subject to the General Conditions on the last page, stating the shortest time of delivery and submit your quotation duly signed your representative.  Warranty shall be for period of six months for</t>
  </si>
  <si>
    <t xml:space="preserve"> INVITATION TO APPLY FOR ELIGIBILITY AND TO BID Project Title: CONSTRUCTION OF CALAOAN MULTI PURPOSE BUILDING BUILING (PHASE I) Project Location: Buluan, Conner, Apayao Project ID No.: 20MGU-039 The Local Government Unit of CONNER, through the Capital Outl</t>
  </si>
  <si>
    <t xml:space="preserve"> INVITATION TO APPLY FOR ELIGIBILITY AND TO BID Project Title: IMPROVEMENT OF SACPIL NATIONAL HIGH SCHOOL ACCESS ROAD Project Location: Sacpil, Conner, Apayao Project ID No.: 20MGU-038 The Local Government Unit of CONNER, through the 2020 20% DF intends to</t>
  </si>
  <si>
    <t xml:space="preserve"> INVITATION TO APPLY FOR ELIGIBILITY AND TO BID Project Title: REHBILITATION OF WATER SYSTEM Project Location: Paddaoan, Conner, Apayao Project ID No.: 20MGU-044 The Local Government Unit of CONNER, through the LDRRMF 5% 2018 intends to apply the sum of Tw</t>
  </si>
  <si>
    <t xml:space="preserve"> REQUEST FOR QUOTATION TERMS OF PAYMENT:   30 DAYS PRICE VALIDITY:        120 DAYS</t>
  </si>
  <si>
    <t xml:space="preserve"> SEE ATTACHED INVITATION TO BID, BIDDING DOCUMENTS, CHECKLISTS, STANDARD BIDDING FORMS AND PLANS</t>
  </si>
  <si>
    <t xml:space="preserve"> Purchase of Supplies for Electrical Supplies   – P 92,000.00</t>
  </si>
  <si>
    <t xml:space="preserve"> Please see attached Terms of Reference (TOR) for more details Kindly submit your sealed quotation on or before July 3, 2020, 8:00am to 5:00pm at Procurement Management Division, Admin and Finance Building, Cultural Center of the Philippines, CCP Complex, </t>
  </si>
  <si>
    <t xml:space="preserve"> Construction of Concrete/Timber footbridge, width=2.40m, length=40.00m I. 84.00 L.M. Columns (pre-cast) II. 10.00 cu.m Capping, Girder &amp; Transom III. 9,226.67 bd. ft. Plank Floor &amp; Running Board IV. 60.00 bd. ft Stone Masonry V. 3,367.50 bd. ft. Railguard</t>
  </si>
  <si>
    <t xml:space="preserve"> Republic of the Philippines Province of Cagayan MUNICIPALITY OF BALLESTEROS Barangay Sta. Cruz INVITATION TO BID FOR  Procurement of Various Materials for the Installation of Solar Street Lights 1.	The Barangay Government of Sta. Cruz through the 20% Deve</t>
  </si>
  <si>
    <t xml:space="preserve"> General Merchandise PF-0420-392</t>
  </si>
  <si>
    <t xml:space="preserve"> General Merchandise PF-0320-332</t>
  </si>
  <si>
    <t xml:space="preserve"> 1	lot	Laboratory Supplies (RNA surface decontaminant, case of (6) 475 ml spray bottles) 1	pack	PCR Buffer (10X PCR buffer; 50mM KCl, 10mM Tris-HCl, pH 9.0, 1% TritonX-100; for PCR amplification; 1.5 ml) 2	bottle	DNA Decontamination Reagent, Molecular Biol</t>
  </si>
  <si>
    <t xml:space="preserve"> Metropolitan Manila Development Authority																																																																			     BIDS AND AWARDS COMMITTEE																																																																			 																																																	</t>
  </si>
  <si>
    <t xml:space="preserve"> Republic of the Philippines Province of Leyte Municipality of Hilongos INVITATION TO BID FOR THE PROCUREMENT OF MATERIALS FOR THE REPAIR/MAINTENANCE OF PARKS, PLAZAS &amp; MONUMENTS 1.  The Local Government Unit of Hilongos, through GENERAL FUND-CURRENT APPRO</t>
  </si>
  <si>
    <t xml:space="preserve"> Please see attached Bid Docs for details</t>
  </si>
  <si>
    <t xml:space="preserve"> Chlorine Dioxide, 1kilo/bag - 200 kls Chlorine Granular, Calcium Hypochlorite with 70 percent chlorine - 20 pails</t>
  </si>
  <si>
    <t xml:space="preserve"> Wooden Office Table and product display shelves</t>
  </si>
  <si>
    <t xml:space="preserve"> Republic of the Philippines Province of Camarines Sur MUNICIPALITY OF BAAO INVITATION TO BID FOR THE PURCHASE OF F.O.L. FOR VARIOUS OFFICES 1. The LOCAL GOVERNMENT UNIT OF BAAO, through the Budget for the contract approved by the Sanggunian 2020 intends t</t>
  </si>
  <si>
    <t xml:space="preserve"> Purchase request submitted by Chrisgel Auñgon  40 unit EXTERNAL HARD DRIVE 1TB, USB powered 50 piece FLASH DRIVE 16 GB, USB 3.0, plug &amp; play 4 piece FLASH DRIVE USB 3.0, 32 GB (for Laser Scanner use) ABC is Php 223,000.00</t>
  </si>
  <si>
    <t xml:space="preserve"> BIDS AND AWARDS COMMITTEE INVITATION TO BID The Local Government Unit of Labason, Z.N., invites all interested registered supplier to submit quotation for the Purchase of IT Equipments for the Different Schools at Labason District ,Labason,ZN : Approved B</t>
  </si>
  <si>
    <t xml:space="preserve"> PLEASE SEE THE BAC SECRETARIAT</t>
  </si>
  <si>
    <t xml:space="preserve"> 1.Flash drive 3.0 32gb capacity 1pc individual blister pack (2) pcs 2.Wireless presentation remote with laser pointer (1) pcs 3.Mouse wireless connectivity with scroll wheel (1) unit 4.Ink cart. L110 BKT6641 black (5) bottle 5.Ink cart. L110 CT6642 cyan (</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</si>
  <si>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</si>
  <si>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BIDS AND AWARDS COMMITTEE REQUEST FOR QUOTATION The Local Government Unit of Labason, Z.N., invites all interested registered supplier to submit quotation for the Purchase of Construction Materials for Renovation of Day Care Center at Malintuboan, Lab. ZN</t>
  </si>
  <si>
    <t xml:space="preserve"> ** see attached **</t>
  </si>
  <si>
    <t xml:space="preserve"> Republic of the Philippines Province of Leyte Municipality of Hilongos INVITATION TO BID FOR THE PROCUREMENT OF MATERIALS FOR THE ROAD CONCRETING OF BRGY. OWAK 1.  The Local Government Unit of Hilongos, through GENERAL FUND-CONTINUING APPROPRIATION-SUPPLE</t>
  </si>
  <si>
    <t xml:space="preserve"> 1 5 BTL/S GLASS CLEANER - 500ML.-ORANGE SCENT 2 1 GAL/S DISINFECTANT - PINE SCENT 3 2 BTL/S DISHWASHING LIQUID - W/ ANTI-BAC 500ML 4 1 CAN/S AIR FRESHENER - 500ML- AEROSOL 5 1 BTL/S FABRIC SOFTENER - 1000ML 6 20 PACK/S DETERGENT - POWDER 200G 7 6 PC/S BRO</t>
  </si>
  <si>
    <t xml:space="preserve"> 1	3	units		LAPTOP 13-INCH Display Retina Display with IPS Technology; 2560-by 1600 native resolution                                 at 227 pixels per inch with support for millions of colord                                Processor - 1.1GHz quad-core Int</t>
  </si>
  <si>
    <t xml:space="preserve"> General Merchandise PF-0320-254</t>
  </si>
  <si>
    <t xml:space="preserve"> Republic of the Philippines Province of Camarines Sur MUNICIPALITY OF BAAO INVITATION TO BID FOR THE INSTALLATION OF STREETLIGHTS ALONG DIVERSION ROAD 1. The LOCAL GOVERNMENT UNIT OF BAAO, through the Budget for the contract approved by the Sanggunian 201</t>
  </si>
  <si>
    <t xml:space="preserve"> 1	kit	AneuVysion Multicolor DNA Probe Kit (CE), (Vysis CEP 18/X/Y - alpha satellite / LSI 13/21) 1	kit	BCR/ABL1/ASS1 Tri-Color DF FISH Probe (CE) 1	kit	Vysis Prader-Willi/Angelman Region Probe - LSI D15S10 (SO)/Vysis CEP 15 (D15Z1) (SA)/PML (SG)          </t>
  </si>
  <si>
    <t xml:space="preserve"> Please quote your lowest price on the items listed below, subject to the General Conditions, stating the shortest time of delivery and submit your quotation duly signed by your representative.		 		 Instructions:		 a)  Official copy of the Request for Quot</t>
  </si>
  <si>
    <t xml:space="preserve"> Supply, Deliver, Provision, Configuration of CTU Online Platform Subscription across all university campuses with the following technical specifications:  CLOUD HOSTING SPECIFICATIONS:  Cloud Hosting Facility that has dedicated servers capable of 30,000 m</t>
  </si>
  <si>
    <t xml:space="preserve"> Procurement of One (1) Unit Single Motorcycle (MDRRMO) Approved Budget for the Contract: P72,500.00 Source of Fund: charge to prize Gawad Kalasag MDRRM Please quote your lowest price on the item/s listed below, subject to the Terms and Conditions stipulat</t>
  </si>
  <si>
    <t xml:space="preserve"> Municipality of Infanta				Solicitation		RFQ - 2020 - 111			 Infanta, Pangasinan				        Project Ref. No					 Name of Project:	PURCHASE OF ONE (1) UNIT DUMP TRUCK  FOR THE MUNICIPALITY OF INFANTA, PANGASINAN					 Date:		June 25, 2020			 									 					</t>
  </si>
  <si>
    <t xml:space="preserve"> Lot.</t>
  </si>
  <si>
    <t xml:space="preserve"> Cartridge Ball for Caliber 5.56 M16 Rifle</t>
  </si>
  <si>
    <t xml:space="preserve"> Gasoline</t>
  </si>
  <si>
    <t xml:space="preserve"> Quantity	Unit of Issue	Item Description		Stock No.	Estimated Unit Cost	TOTAL CATEGORY A: MATERIALS 						 17	pcs	Steel Bar 12 mm		1	 235.00 	 3,995.00  10	pcs	Steel Bar 10  mm		2	 165.00 	 1,650.00  15	pcs	Steel Bar 9 mm		3	 105.00 	 1,575.00  4	pcs	Plywo</t>
  </si>
  <si>
    <t xml:space="preserve"> 1.)   75 BAGS       25 KILO-COMMERCIAL RICE</t>
  </si>
  <si>
    <t xml:space="preserve"> Sir/Madam:																																						 																																						 Please quote your government price/s including delivery charges, VAT or other applicable taxes, and other incidental expenses for the goods listed in Annex A.  Failure</t>
  </si>
  <si>
    <t xml:space="preserve"> Purchase request submitted by Gina Cahilig 3 piece TALL CABINET WITH GLASS DOORS  90 X 45 X 185 cm	 2 piece LOW CABINET WITH GLASS DOORS 90 X 45 X 92.5 cm 2 piece OPEN SHELF 6 shelves ABC is Php 76,000.00</t>
  </si>
  <si>
    <t xml:space="preserve"> ITB 2020-11 1.	The SUGAR REGULATORY ADMINISTRATION, through the SRA Corporate Operating Budget 2020 intends to apply the sum of Sixteen Million Eight Hundred Seventy-Nine Thousand Three Hundred Pesos (₱16,879,300.00) being the Approved Budget for the Cont</t>
  </si>
  <si>
    <t xml:space="preserve"> Repair/Rehabilitation of Pathway</t>
  </si>
  <si>
    <t xml:space="preserve"> Municipality of Infanta				Solicitation		RFQ - 2020 - 0110			 Infanta, Pangasinan				Project Ref. No					 Name of Project: PURCHASE OF TWO (2) UNITS MOTORCYCLE FOR THE OPERATION OF THE OFFICE OF THE IWWS, INFANTA, PANGASINAN					 Date:		June 25, 2020			 	</t>
  </si>
  <si>
    <t xml:space="preserve"> Republic of the Philippines Province of Camarines Sur MUNICIPALITY OF BAAO INVITATION TO BID FOR THE SUPPLY &amp; DELIVERY OF NUTRITION SUPPLEMENT FOR PREGNANT AND LACTATING MOTHERS 1. The LOCAL GOVERNMENT UNIT OF BAAO, through the Budget for the contract app</t>
  </si>
  <si>
    <t xml:space="preserve"> Heavy Duty Storage Tub Black (Large) 2 pcs  Heavy Duty Storage Tub Black (Medium) 2 pcs  Heavy Duty Storage Tub Black (Small) 2 pcs  Total Amount: P 10,000.00</t>
  </si>
  <si>
    <t xml:space="preserve"> INVITATION FOR NEGOTIATED PROCUREMENT  SUPPLY AND DELIVERY VARIOUS MATERIALS FOR REPAIR AND MAINTENANCE  1.	In view of two (2) failed public biddings, the Balingasag Water District- Bids and Awards Committee (BWD-BAC) invites interested bidders to partici</t>
  </si>
  <si>
    <t xml:space="preserve"> Webpage Design for the Municipality of San Fernando</t>
  </si>
  <si>
    <t xml:space="preserve"> RFQ No. 20-06-056 - Purchase of Office Supplies for the 1st and 2nd Quarter</t>
  </si>
  <si>
    <t xml:space="preserve"> removal of existing structure - 16.54 sq.m. concrete works - 0.20 cu.m. steel works - 1.00 lot</t>
  </si>
  <si>
    <t xml:space="preserve"> 1 4 PC/S STAPLER W/ REMOVER - #35 HEAVY DUTY 2 25 BOX/S THUMBTACKS 3 15 BX/S PUSH PINS - FLAT HEAD,ASST. COLOR 4 10 PAD/S PINS - SAFETY 10'S 5 10 SET/S HIGHLIGHTER - FLOURESCENT ASSTD COLOR, 3 COLORS/ SET 6 15 ROLL/S TAPE - CLOTH DUCT, ASSORTED COLORS,1 7</t>
  </si>
  <si>
    <t xml:space="preserve"> INVITATION TO BID The Bureau of Fisheries and Aquatic Resources Region 5 (BFAR 5), through the Government of the Philippines (GOP), for CY 2020 intends to apply the sum of Nine Hundred Ninety Two Thousand Two Hundred Fifty Pesos (PhP992,250.00) only, bein</t>
  </si>
  <si>
    <t xml:space="preserve"> 1 2 PC/S BATTERY - RECHARGEABLE, SIZE AA, NI-MH2700 2 1 PC/S CASING - SELF INKING STAMP-LARGE (S-824) 3 4 BOT/S ALCOHOL - 70% SOL. 500ML</t>
  </si>
  <si>
    <t xml:space="preserve"> Republic of the Philippines Province of Southern Leyte Municipality of Silago BIDS AND AWARDS COMMITTEE INVITATION TO BID FOR  PROCUREMENT OF FARM INPUTS FOR FILP PROGRAM 1.   The Local Government Unit of Silago, Province of Southern Leyte, through the FI</t>
  </si>
  <si>
    <t xml:space="preserve"> see associated components for downloadable RFQ 2020-192</t>
  </si>
  <si>
    <t xml:space="preserve"> Genuine ICOM V86 VHF 7 Watts Water Dust and Shock Resistant Two Way Radio</t>
  </si>
  <si>
    <t xml:space="preserve"> Municipality of Infanta					Solicitation :		RFQ - 2020 - 109	 Infanta, Pangasinan					Project Ref. No :			 					Name of Project:		Labor and Spare Parts for the	 						Repair and Maintenance of LDRRMO		 						rescue vehicle with plate number A7Y 699		 				</t>
  </si>
  <si>
    <t xml:space="preserve"> Republic of the Philippines Province of Camarines Sur MUNICIPALITY OF BAAO INVITATION TO BID FOR THE SUPPLY AND DELIVERY OF PPE’S/GEAR FOR DRRM 1. The LOCAL GOVERNMENT UNIT OF BAAO, through the Budget for the contract approved by the Sanggunian 2020 inten</t>
  </si>
  <si>
    <t xml:space="preserve"> Services-PF-0220-092</t>
  </si>
  <si>
    <t xml:space="preserve"> Republic of the Philippines Department of Public Works and Highways Pampanga 3rd District Engineering Office San Francisco Street, Brgy. Pampang, Angeles City Region III Telephone Nos. (045) 323-5782 / 887-5249 DPWH-INFR-04-2016 INVITATION TO BID The DPWH</t>
  </si>
  <si>
    <t xml:space="preserve"> 100 SETS - FOLDING BED PILLOW CASE 75 INCH X 25 INCH DURABLE ALUMINUM CONTRACTED FRAME WITH STEEL LEGS AND REINFORCED POLYESTER FABRIC</t>
  </si>
  <si>
    <t xml:space="preserve"> Services-PF-0620-598</t>
  </si>
  <si>
    <t xml:space="preserve"> Republic of the Philippines PROVINCE OF NUEVA VIZCAYA Invitation to Bid for the  CONSTRUCTION OF NALAY-AN PIS Located at Ambaguio, Nueva Vizcaya  1.	The Provincial Government of Nueva Vizcaya, through the 20% Development Fund 2020 intends to apply the sum</t>
  </si>
  <si>
    <t xml:space="preserve"> 1 SETDESkTOP COMPUTER - - intel core i3,3.2GHZ or Higher processor - PIO series motherboard- 1TB HDD-DVD ROM-22</t>
  </si>
  <si>
    <t xml:space="preserve"> 196 cu.m Aggregated Sub Base Course</t>
  </si>
  <si>
    <t xml:space="preserve"> 30	jar	ALCOHOL, ethyl, 68-70% scented,500ml (5mL) 1	pc	Apple HDM1 cable 4	box	BALLPEN black, 0.5 (20's/box) 4	box	BALLPEN blue, 0.5 (20's box) 45	pcs	BALLPEN, Ballpoint Ret Rx5 Bkblrd 0.5 15	box	BALLPEN, Black Retractable Ballpen, Pen Thickness 0.5 mm, 20</t>
  </si>
  <si>
    <t xml:space="preserve"> 1,470 pcs. Grouper Fingerlings</t>
  </si>
  <si>
    <t xml:space="preserve"> INVITATION TO BID CONSTRUCTION OF ALUKON DIVERSION DAM, PHASE-II MANGAAN, SANTOL, LA UNION 1.	The Municipal Government of Santol, La Union through the MDF-2020 intends to apply the sum of FIVE HUNDRED THOUSAND PESOS (Php 500,000.00) being the Approved Bud</t>
  </si>
  <si>
    <t xml:space="preserve"> Republic of the Philippines CITY GOVERNMENT OF SAN FERNANDO Barangay Poro INVITATION TO BID FOR  Construction and Renovation of Teen Center Barangay Poro, City of San Fernando 1.	The Barangay Poro, through the Barangay Fund intends to apply the sum of one</t>
  </si>
  <si>
    <t xml:space="preserve"> 1 1 PC/S BROCHURE STAND - AS PER SPECIFICATION 2 10 REAM/S PAPER - BOOK A4,210MMX297MM,MIN OF 70GSM 3 8 REAM/S PAPER - BOOK LEGAL,216MMX330MM(8-1/2"X13"),MIN OF 70GSM 4 2 PC/S MAGAZINE ORGANIZER 5 1 PC/S CORKBOARD - 2' X 3' W/ FRAME 6 3 REAM/S PAPER - MIM</t>
  </si>
  <si>
    <t xml:space="preserve"> Republic of the Philippines Province of Leyte Municipality of Hilongos INVITATION TO BID FOR THE PURCHASE OF FURNITURE &amp; FIXTURES 1.  The Local Government Unit of Hilongos, through GENERAL FUND-CURRENT APPROPRIATION intends to apply the sum EIGHTY FIVE TH</t>
  </si>
  <si>
    <t xml:space="preserve"> Republic of the Philippines								 Province of Benguet								 Municipality of Buguias								 BIDS AND AWARDS COMMITTEE								 								 			Purchase Request Number:				Date:	 			Name of the Project:				Quotation No:	 			Location of the Project:				OBR #</t>
  </si>
  <si>
    <t xml:space="preserve"> Purchase request submitted by Chrisgel Auñgon 30 units OFFICE CHAIR black, swivel, mesh back ABC is Php 270,000.00</t>
  </si>
  <si>
    <t xml:space="preserve"> Republic of the Philippines CITY GOVERNMENT OF SAN FERNANDO Barangay Poro INVITATION TO BID FOR  Construction of Drainage Canal Upper Banks to Tawi-Tawi, Barangay Poro, City of San Fernando 1.	The Barangay Poro, through the Barangay Fund intends to apply </t>
  </si>
  <si>
    <t xml:space="preserve"> REQUEST FOR QUOTATION The Local Government Unit of Molave, through its Bids and Awards Committee, will undertake a Small Value Procurement for the Purchase of Various Electrical Supplies to be Used for the Rehabilitation of Street Lights at Mabini Street </t>
  </si>
  <si>
    <t xml:space="preserve"> Construction Supplies-PF-0420-428</t>
  </si>
  <si>
    <t xml:space="preserve"> See Attached Document.</t>
  </si>
  <si>
    <t xml:space="preserve"> General Merchandise PF-0620-639</t>
  </si>
  <si>
    <t xml:space="preserve"> REPUBLIC OF THE PHILIPPINES PROVINCE OF ILOCOS SUR MUNICIPALITY OF SANTA BRGY. BASUG INVITATION TO BID PURCHASE OF MOTOR VEHICLE PHP70,000.00 LOT DESCRIPTION QTY. UNIT MOTOR VEHICLE 1</t>
  </si>
  <si>
    <t xml:space="preserve"> Equipment 1 Backhoe  1 Road Roller  1 Concrete Mixer 1 bagger  1 Concrete Saw  1 Concrete Vibrator  14 Steel forms Description  101 Removal of Structures and Obstructions 104 Embankment  105 Subgrade Preparation  201 Aggregate Base Course  311 PCC Pavemen</t>
  </si>
  <si>
    <t xml:space="preserve"> INVITATION TO APPLY FOR ELIGIBILITY AND TO BID Project Title: IMROVEMENT OF MANAG TO SIMUD FMR Project Location: Manag, Conner, Apayao Project ID No.: 20MGU-043 The Local Government Unit of CONNER, through the 2020 20% DF intends to apply the sum of Four </t>
  </si>
  <si>
    <t xml:space="preserve"> Services-PF-0520-582</t>
  </si>
  <si>
    <t xml:space="preserve"> Invitation to Bid No.: 2020-06-05 Date: June 26, 2020 INVITATION TO BID 2nd PUBLIC BIDDING FOR LOT 1 OF THE PROCUREMENT OF  RANDOM ACCESS MEMORY AND VARIOUS DATA STORAGE DEVICES  1.	The National Economic and Development Authority (NEDA) intends to apply t</t>
  </si>
  <si>
    <t xml:space="preserve"> Republic of the Philippines Province of Camarines Sur MUNICIPALITY OF BAAO INVITATION TO BID FOR THE SUPPLY AND DELIVERY OF EMBROIDERY MACHINE &amp; SUPPLIES FOR DTI-BUB EMBROIDERY MACHINE TRAINING The LOCAL GOVERNMENT UNIT OF BAAO, through the Budget for the</t>
  </si>
  <si>
    <t xml:space="preserve"> Republic of the Philippines Province of Benguet MUNICIPALITY OF BOKOD BIDS AND AWARDS COMMITTEE INVITATION TO BID FOR PROCUREMENT OF MICRO-INFRA PROJECTS CLUSTER 07-2020 (MDF 2020), NAWAL &amp; TIKEY, BOKOD, BENGUET 1.	The MUNICIPALITY OF BOKOD, through the  </t>
  </si>
  <si>
    <t xml:space="preserve"> INVITATION TO BID CONSTRUCTION OF CABAROAN DIVERSION DAM, PHASE-II POBLACION, SANTOL, LA UNION 1.	The Municipal Government of Santol, La Union through the MDF-2020 intends to apply the sum of FIVE HUNDRED THOUSAND PESOS (Php 500,000.00) being the Approved</t>
  </si>
  <si>
    <t xml:space="preserve"> Hardware Materials</t>
  </si>
  <si>
    <t xml:space="preserve"> General Merchandise PF-0620-600</t>
  </si>
  <si>
    <t xml:space="preserve"> Republic of the Philippines City of Manila Office of the Barangay Chairman The Barangay 667, Zone 72, District 5, Manila Through its Bid and Awards Committee (BAC), Invites all supplier with Certificate of Accreditation duly approved by the City Council o</t>
  </si>
  <si>
    <t xml:space="preserve"> Unit 	Item Description	Quantity 		 PC.	THERMAL SCANNER	5 BOX	DISPOSABLE FACE MASK SURGICAL 40 PC	FACE SHIELD	59 BOX	RUBBER GLOVES	33 GALLON	ALCOHOL 70%	10 ROLL	PAPER TOWEL	20 PACK	SAFEGUARD PROMO 3-PID PACK 135G	22 PC.	ALCOHOL DISPENSER	2</t>
  </si>
  <si>
    <t xml:space="preserve"> SAN PABLO CITY WATER DISTRICT							 San Pablo City							 Telefax: (049) 503-0075 Email Address: spcwd_bac@yahoo.com							 							 REQUEST FOR PRICE QUOTATION							 June 22, 2020							 AGD - 099 - 0							 Contract No. 2020-135 							 REFERENCE 		PR </t>
  </si>
  <si>
    <t xml:space="preserve"> Republic of the Philippines Barangay Government of Ligpit Bantayan		 Date: June 27, 2020 1.	The BARANGAY GOVERNMENT OF  LIGPIT BANTAYAN  intends  to apply     the sum  Eight Thousand Three hundred Seventy  pesos only.(68,370.00)   Being the Approved Budge</t>
  </si>
  <si>
    <t xml:space="preserve"> 1 50 PADS STICK NOTE PAD - 1" X 2" 2 10 PC/S MARKER PEN - PERMANENT, BROAD POINT, BLACK 3 8 ROLL/S TAPE - MASKING #1 4 8 ROLL/S TAPE - TRANSPARENT 24MM (1") WIDTH USABLE LENGHT OF</t>
  </si>
  <si>
    <t xml:space="preserve"> SUPPLY OF LABOR, TOOLS &amp; EQUIPMENT FOR THE LINE CLEARING OF NARRA TO BROOKE'S POINT 69KV TRANSMISSION LINE.(sCHEDULE 2).</t>
  </si>
  <si>
    <t xml:space="preserve"> Republic of the Philippines Province of Leyte Municipality of Hilongos INVITATION TO BID FOR THE PROCUREMENT OF OFFICE SUPPLIES 1.  The Local Government Unit of Hilongos, through GENERAL FUND-CURRENT APPROPRIATION- intends to apply the sum FORTY NINE THOU</t>
  </si>
  <si>
    <t xml:space="preserve"> Purchase Request No.: 101-2020-05-0245 NOTICE TO ALL PROVIDERS/SUPPLIERS: The Department of Information and Communications Technology (DICT), through its Bid and Awards Committee intends to procure IPTD Visayas Island Cross-Connection.   As such, supplier</t>
  </si>
  <si>
    <t xml:space="preserve"> DELIVERY OF MINI-DUMPTRUCK OF BARANGAY MANUAL, KIBLAWAN, DAVAO DEL SUR</t>
  </si>
  <si>
    <t xml:space="preserve"> 22	cases	Powdered Milk 700g x 12 135	cases	Biscuit Cracker 25g x 15</t>
  </si>
  <si>
    <t xml:space="preserve"> Provide Labor, Materials &amp; Equipment for the Construction of Free Range Native Chicken House Location: Brgy. San Isidro, Tagum City, Davao del Norte Calendar days to complete: 60 Calendar Days (Inclusive of 10 unworkable days) upon receipt of Notice to Pr</t>
  </si>
  <si>
    <t xml:space="preserve"> 1 2 BTL DISHWASHING LIQUID - 270ML- CONCENTRATED W/ GERMEX 2 2 CAN/S DISHWASHING PASTE - 400G 3 2 PC/S SPONGE - W/ SCOURING PAD 4 1 BAR/S DETERGENT - BAR 5 1 PC/S SOAP - BATH- FAMILY SIZE 6 2 PC/S CLEANER - FURNITURE 180ML- SPRAY 7 4 PC/S BROOM - SOFT- TH</t>
  </si>
  <si>
    <t xml:space="preserve"> 1 lot Provision of Food &amp; venue for 60 persons in the Joint Local Finance Committee, Department Heads &amp; Leyte Economics Team Coordination Meeting on July 13, 20-20 @ Candahug, Palo, Leyte.  Inclusives: Use of Basic Sound System with  two microphones and P</t>
  </si>
  <si>
    <t xml:space="preserve"> SAN PABLO CITY WATER DISTRICT							 San Pablo City							 Telefax: (049) 503-0075 Email Address: spcwd_bac@yahoo.com							 							 REQUEST FOR PRICE QUOTATION							 June 24, 2020							 AGD - 099 - 0							 Contract No. 2020-137  -  WO # 2020-137						</t>
  </si>
  <si>
    <t xml:space="preserve"> Pls. quote the item listed below: 1.  Smart TV  -  1 unit      best quality      43 inches 2.  Aircon  -  1 unit      2 hp, window type      best quality NOTE:                      Opening of Bids will be on July 7, 2020 @ 1:00 pm</t>
  </si>
  <si>
    <t xml:space="preserve"> 1 1 CART. TONER - LBP 230DN CANON 2 7 PC/S PEN - 0.5 BLACK</t>
  </si>
  <si>
    <t xml:space="preserve"> Purchase Request No.: 101-2020-06-0263 NOTICE TO ALL PROVIDERS/SUPPLIERS: The Department of Information and Communications Technology (DICT), through its Bid and Awards Committee intends to procure Toners for the use of the Free WiFi. As such, supplier of</t>
  </si>
  <si>
    <t xml:space="preserve"> 1 7 REAM/S PAPER - BOOK SUBS.20 SHORT ( 8 1/2"X11" ) 2 7 REAM/S PAPER - BOOK LEGAL,216MMX330MM(8-1/2"X13"),MIN OF 70GSM 3 5 PC/S CORRECTION TAPE - W/ CASE 4 60 PC/S BALLPEN - ORDINARY, BLACK 5 5 BTL/S ALCOHOL - RUBBING, 70% ISOPROPHYL, 250ML 6 4 PC/S INK </t>
  </si>
  <si>
    <t xml:space="preserve"> SUPPLY AND DELIVERY OF GENERAL PLANT EQUIPMENT (GPE) FOR JP RIZAL DPP</t>
  </si>
  <si>
    <t xml:space="preserve"> 1,995 kilos Feeds(Trashfish)</t>
  </si>
  <si>
    <t xml:space="preserve"> Republic of the Philippines Province of Camarines Sur MUNICIPALITY OF BAAO INVITATION TO BID FOR THE CATERING SERVICES BATCH 2 1. The LOCAL GOVERNMENT UNIT OF BAAO, through the Budget for the contract approved by the Sanggunian 2020 intends to apply the s</t>
  </si>
  <si>
    <t xml:space="preserve"> Purchase Request No.: 101-2020-02-0087C NOTICE TO ALL PROVIDERS/SUPPLIERS: The Department of Information and Communications Technology (DICT), through its Bid and Awards Committee intends to procure Toners for the use of the National Computer Emergency Re</t>
  </si>
  <si>
    <t xml:space="preserve"> 570	vials	Pneumococcal Conjugate Vaccine 		 Polyvalent 		13-valent (adsorbed) 		0.5ml suspension for IM injection 		Single dose, pre-filled syringe 		 		 		Note: Delivery of vaccine only</t>
  </si>
  <si>
    <t xml:space="preserve"> 1.The Brgy. Pondang, through the LGSF-DBM intends to apply the sum of Two Hundred Fifty Thousand Pesos Only (P250,000.00) being the Approved Budget for the Contract (ABC) to payments under the contract for Construction &amp; Repair of Brgy. Road. Bids receive</t>
  </si>
  <si>
    <t xml:space="preserve"> T-shirts with Tarpaulin</t>
  </si>
  <si>
    <t xml:space="preserve"> 1 5 REAM/S PAPER - BOOK SUBS.20 SHORT ( 8 1/2"X11" ) 2 5 PC/S TAPE - DOUBLE SIDED 1" 3 3 ROLL/S TAPE - TRANSPARENT 24MM (1") WIDTH USABLE LENGHT OF 50M 4 2 PC/S ALBUM - PHOTO-BIG 5 50 PC/S FOLDER - LONG-WHITE 6 50 PC/S FOLDER - SHORT-WHITE</t>
  </si>
  <si>
    <t xml:space="preserve"> ITEM       DESCRIPTION                           QTY.            UNIT I.            Removal of Forms/Clearing         235.83       sq.m. II.           Concrete Works                             5           sets III.          Doors &amp; Windows               </t>
  </si>
  <si>
    <t xml:space="preserve"> Repair and maintenance of outboard motor - CPSD</t>
  </si>
  <si>
    <t xml:space="preserve"> 350	vials	Varicella-Zoster Vaccine Live 		   Specifications: 		19400 PFU/ 		.65ml Lyophilized powder for injection (SC), 		single dose glass vial containing lyophilized powder with  		prefilled syringe containing sterile diluent includes 		2 unattached ne</t>
  </si>
  <si>
    <t xml:space="preserve"> 1100	vials	Influenza Trivalent Vaccine 		   Specifications: 		Trivalent Vaccine 		Surface Antigen, Inactivated 		2020 Southern Hemisphere Strain 		0.5ml pre-filled syringe 		Suspension for injection (IM/SC) 		 		Note: 		Delivery only, without vaccination</t>
  </si>
  <si>
    <t xml:space="preserve"> Portland Cement Sand (Approved Source) 12mmØ Def. Bars 24pcs - 2" x 6" x 10' Coco Lumber 3" C.W. Nails 3/4" Gravel (Approved Source) max size</t>
  </si>
  <si>
    <t xml:space="preserve"> REPUBLIC OF THE PHILIPPINES																																							 Province of Davao del Sur																																							 MUNICIPALITY OF SANTA CRUZ																																							 -- oOo --																																							 								</t>
  </si>
  <si>
    <t xml:space="preserve"> 1 SET/S DESKTOP COMPUTER - WITH COMPLETE ACCESSORIES - intel core, i3, 7th gen. 3.5GHz or Higher Processor - H110 Series Mother Board - 4GB DDR - 1 TB HDD - w/ DVD ROM - Tower Case w/ Power Supply - w/ Wireless Computer Mouse - w/ USB Computer Keyboard - </t>
  </si>
  <si>
    <t xml:space="preserve"> 1.	The Municipality of Tayug, Pangasinan through the Bids and Awards Committee intends to apply the sum of Five Million Pesos (Php5,000,000.00) being the Approved Budget for the Contract (ABC) to payments under the contract for Installation/Rehabilitation</t>
  </si>
  <si>
    <t xml:space="preserve"> SUPPLY AND DELIVERY OF AIRCONDITIONING UNIT, WINDOW TYPE INVERTER, 2.5HP.</t>
  </si>
  <si>
    <t xml:space="preserve"> 6-month old new zealand rabbit - male		60	Head 6-month old new zealand rabbit - female		60	Head</t>
  </si>
  <si>
    <t xml:space="preserve"> 1 UNIT DESKTOP COMPUTER - . - Intel core i3, 7th gen. 3.5 GHz minimum processor - H110 Series Motherboard ( ) - -8GB DDR - 1 TB HDD X2 - 22" Touchscreen LED Monitor - DVD ROM - Tower case with power supply - USB Optional mouse with pad - USB keyboard - 75</t>
  </si>
  <si>
    <t xml:space="preserve"> SUPPLY OF LABOR, TOOLS AND EQUIPMENT FOR THE LINE CLEARING OF IRAWAN SS TO NARRA SS 69KV TL.</t>
  </si>
  <si>
    <t xml:space="preserve"> This project entails labor and materials for the construction of 11 linear meter R.C. Retaining Wall/Shore Protection   funded BDF 2020 at Brgy. Biga, Magallanes, Sorsogon.</t>
  </si>
  <si>
    <t xml:space="preserve"> EXTERNAL HARD DRIVE, 1TB, 2.5'HDD, USB 3.0</t>
  </si>
  <si>
    <t xml:space="preserve"> Department of Education Region VI-Western Visayas Division of Cadiz City Cadiz East Elementary School II INVITATION TO BID FOR THE ADDITIONAL OFFICE SUPPLIES FOR 2020 1.	The Cadiz East Elementary School II of Cadiz City, through the Schools MOOE Fund CY 2</t>
  </si>
  <si>
    <t xml:space="preserve"> 1	205 BAGS CEMENT 2	180 PCS. 10MM RSB 3	84   PCS. 9MM RSB 4	15 KLS. TIE WIRE 5	8 PCS. HACKSAW BLADE 6	1,990 pcs CHB 7	10 cu.m. Gravel 8	18 CU.m. SAND 9	6 CU.M TYPE A BOULDER 10	8 KLS. ASSORTED CW NAIL 11	4PCS. Plywood  12	10 PCS. 2X3X12 FORM LUMBER</t>
  </si>
  <si>
    <t xml:space="preserve"> SAN PABLO CITY WATER DISTRICT							 San Pablo City							 Telefax: (049) 503-0075 Email Address: spcwd_bac@yahoo.com							 							 REQUEST FOR PRICE QUOTATION							 June 22, 2020							 AGD - 099 - 0							 Contract No. 2020-134 							 REFERENCE 		PR </t>
  </si>
  <si>
    <t xml:space="preserve"> INVITATION TO BID The Municipality of Candoni, through its Bids and Awards Committee (BAC), invites suppliers/manufacturers/distributor/contractors to apply for eligibility and to bid for the hereunder project: Name of Project	:  CONSTRUCTION OF SLOPE PRO</t>
  </si>
  <si>
    <t xml:space="preserve"> From: 	The Bids and Awards Committee 	Poblacion, Bokod, Benguet Date:  June 24, 2020 A PROPOSAL &amp; NOTICE FOR NEGOTIATED PROCUREMENT DIRECTED TO:  AG CHUNGALAN CONSTRUCTION 		 	    POLO ENGINEERING &amp; CONSTRUCTION 	         SHERFELIAS CONSTRUCTION Reference</t>
  </si>
  <si>
    <t xml:space="preserve"> Republic of the Philippines BIDS AND AWARDS COMMITTEE 9017 Población, El Salvador City Misamis Oriental  Email: bac.elsalvadorcity@gmail.com INVITATION TO BID for the PROCUREMENT OF TRACTOR IMPLEMENT HARROW AND DISCPLOW FOR AGRICULTURE OFFICE 	 The LGU-El</t>
  </si>
  <si>
    <t xml:space="preserve"> Angle Bar   2x 1/4 STD       120 PC Square Bar  12mm             240 pc Welding Rod                       15 kilo Epoxy Primer                      4 gal Epoxy Thinner                     4 gal Paint Brush                         5 pc Cutting Disc        </t>
  </si>
  <si>
    <t xml:space="preserve"> Purchase request submitted by Gina D. Cahilig 	 6 unit OFFICE CHAIR 10 unit VISITOR’S CHAIR ABC is Php 100,000.00</t>
  </si>
  <si>
    <t xml:space="preserve"> 1 UNIT PROJECTOR - LCD - LARGE-VENUE PROJECTOR - RGB LIQUID CRYSTAL SHUTTER PROJECTION SYSTEM - PROJECTION LENS: - TYPE: POWER ZOOM/POWER FOCUS/POWER SHIFT - NATIVE RESOLUTION: WXGA ( 1280 X 800 ) - WHITE LIGHT OUTPUT (NORMAL/ECO) 6,500Lm-7,000Lm - WITH A</t>
  </si>
  <si>
    <t xml:space="preserve"> RIS#20-06-033 60 packs Roasted Coffee drip-ons, Coffee Mug and lettuce chips packaged in a local bayong bag with ribbon</t>
  </si>
  <si>
    <t xml:space="preserve"> SUPPLY AND DELIVERY OF GENERAL PLANT EQUIPMENT (GPE) FOR NPSSTL 69KV TL.</t>
  </si>
  <si>
    <t xml:space="preserve"> Spare parts and labor for different dump trucks used by CEPWD</t>
  </si>
  <si>
    <t xml:space="preserve"> Repair and maintenance of dump truck assigned to CENRD</t>
  </si>
  <si>
    <t xml:space="preserve"> 1 unit Ambulance Equipment and Supplies (Color: Alphine White) INCLUDES: - LED Toplight with Siren and PA System (White,Red/Blue) - Medical Cabinet (Wall-Wide) - Fully Collapsible Stretcher with Floor Lock - Spine Board with Bracket - Scoop Stretcher - Ox</t>
  </si>
  <si>
    <t xml:space="preserve"> REPAIR AND REPLACEMENT OF DEFECTIVE PARTS FOR THE 3 STOP ELEVATOR AT OSPITAL NG MAKATI RFQ IS AVAILABLE @ GSD HEAD OFFICE 10 FLR BUILDING II MAKATI CITY HALL. LOOK FOR MR. REDEN VILLANUEVA</t>
  </si>
  <si>
    <t xml:space="preserve"> SUPPLY AND DELIVERY OF MATERIALS AND EQUIPMENT FOR OM PALAWAN AREA OFFICE.</t>
  </si>
  <si>
    <t xml:space="preserve"> Invitation to Bid for the Procurement of Materials for the Construction of Canal Cover, Barangay Quirino, Tagudin, Ilocos Sur 1.	Barangay Quirino of Tagudin, Ilocos Sur, thru its Bids and Awards Committee intends to apply the sum of One Hundred Forty Six </t>
  </si>
  <si>
    <t xml:space="preserve"> Please see attached request for quotation</t>
  </si>
  <si>
    <t xml:space="preserve"> INVITATION TO BID PROVISION OF SECURITY SERVICES Reference No.: GDS-20-063 The MUNICIPAL GOVERNMENT OF DARAGA, through the Municipal Annual Budget, intends to apply the sum of  Three Hundred Six Thousand Pesos (P306,000.00)  being the Approved Budget for </t>
  </si>
  <si>
    <t xml:space="preserve"> Cordillera Administrative Region Province of Kalinga B A L B A L A N BARANGAY POBLACION Invitation to Apply for Eligibility and to Bid for the PURCHASE AND DELIVERY OF IT EQUIPMENTS, POBLACION, BALBALAN 1.	The Local Government Unit of Balbalan, through th</t>
  </si>
  <si>
    <t xml:space="preserve"> This project entails labor and materials for the Improvement of Drainage canal (Const. of Slope protection grouted Riprap 21 linear meter)  funded BDF 2020 at Brgy. Biga, Magallanes, Sorsogon.</t>
  </si>
  <si>
    <t xml:space="preserve"> Purchase request submitted by Nora Meneses 2 units SHELF / CABINET Specifications: •	Solid wood with glass door •	5 adjustable shelves with 1 fix shelf for high stability •	Adjustable feet; stands steady even in uneven floor •	With 2 bottom drawers •	Widt</t>
  </si>
  <si>
    <t xml:space="preserve"> 1.Package tour for camiguin (1) lot (inclusive of van rental, accommodation meals, entrance fees and boat fare) 2.Cottage rental (1) lot 3.Tables and chairs rental (1) lot 4.Cottage rental (1) lot xxxxxxxxxxxx</t>
  </si>
  <si>
    <t xml:space="preserve"> Republic of the Philippines City of Tacurong BARANGAY KALANDAGAN BIDS AND AWARDS COMMITTEE INVITATION TO BID 	June 15, 2020 	The Barangay Government of Kalandagan through the Bids and Awards Committee (BAC) is inviting suppliers to bid for the supply and </t>
  </si>
  <si>
    <t xml:space="preserve"> 15	units	Body Camera 		 Specifications: 		Combines a body camera and remote speaker microphone 		All in one device is equipped with HD camera that provides 		instant and accurate video recording and image 		Taking experience for operators 		Compliant with</t>
  </si>
  <si>
    <t xml:space="preserve"> daycare center improvement</t>
  </si>
  <si>
    <t xml:space="preserve"> Republic of the Philippines										 Province of Zambales										 MUNICIPALITY OF PALAUIG										 										 							Name of Project: Purchase &amp; Delivery of Office Supplies			 							Project Ref. No./Purchase Request No. :  100-2020-			910,912,913, 		</t>
  </si>
  <si>
    <t xml:space="preserve"> Purchase request submitted by Chrisgel Auñgon 2 pieces MEASURING TAPE metal, 8 meters 1 pieces MEASURING TAPE fiber glass, 50 meters 20 pieces REFLECTORIZED T-SHIRTS 20 pieces HEAVY DUTY WORK PANTS tough denim 20 pairs THICK SOCKS black, mid-calf ABC is P</t>
  </si>
  <si>
    <t xml:space="preserve"> PLEASE SEE ATTACHED PR, TOR AND BIDDING DOCUMENTS FOR DETAILS</t>
  </si>
  <si>
    <t xml:space="preserve"> Republic of the Philippines SILAY CITY GOVERNMENT Zamora Street Silay City, Negros Occidental Telefax No. (034) 495-3746 	Control  Reference Number : GOODS#0082, ITB#0083,  PR#0245: SCG-2020 Name of the Project: Purchase of Medical Supplies for use of GAD</t>
  </si>
  <si>
    <t xml:space="preserve"> Please quote your lowest price on the item(s)  listed below, subject to the Terms and Condition Stated												 below and submit your quotation duly signed by your representative not later than 10:30 A.M. of   July 07 												 2020 at the return en</t>
  </si>
  <si>
    <t xml:space="preserve"> Pls. quote the item listed below: 1.  Food Accommodation (Meals &amp; 2 Snacks)  -  700 pax NOTE:                      Opening of Bids will be on July 7, 2020 @ 1:00 pm</t>
  </si>
  <si>
    <t xml:space="preserve"> 1 4,180 BOT D5 0.3% NaCl 500ML 24' PLASTIC BOTTLE 2 6,500 BOT D5 IMB 500ML 24' PLASTIC BOTTLE 3 10,000 BOT D5 LR 1L 12' PLASTIC BOTTLE 4 200 BOT D5LR 500ML 5 1,796 BOT D5 0.9% SODIUM CHLORIDE 1L PLASTIC BOTTLE 6 644 BOT D5 WATER 500ML 24' PLASTIC BOTTLE 7</t>
  </si>
  <si>
    <t xml:space="preserve"> 1 unit Computer set with high specs</t>
  </si>
  <si>
    <t xml:space="preserve"> Pag-IBIG FUND Tuguegarao Branch Office Editha Tuddao Bldg., Balzain Road, Tuguegarao City, Cagayan REQUEST FOR QUOTATION SUPPLY, DELIVERY AND INSTALLATION OF VARIOUS FURNITURES FOR   Pag-IBIG FUND ILAGAN AND SANTIAGO MSOs AND TUGUEGARAO BRANCH  The Pag-IB</t>
  </si>
  <si>
    <t xml:space="preserve"> 1    100 PCS 20cc SYRINGE 2    340 BOT 70% ETHYL ALCOHOL 500ML/BOT 3    100 PCS ABDOMINAL SUCTION WITH TIP 4    500 ROLL ABSORBENT COTTON 400GMS 5    350 ROLL ABSORBENT GAUZE SPONGES BANDAGES, FINS 6     400 TUBE ADHESIVE PLASTER, HOSPITAL SIZE 7    40 PC</t>
  </si>
  <si>
    <t xml:space="preserve"> Cement 10 bags Stick will 1 gal quer out 2 bag corsand 2 cubic 2x2x10 (lawaan) 25 pcs plywood 5mm 18 kl concrete nail #4 1 kl cwn #2 1/2 2 kl cwn #1 2 kl latex paint 2 gal reducer 2 gal pullytop 2 quart primer 2 gal cass 2 gal ruller brush #4 2 pcs ruller</t>
  </si>
  <si>
    <t xml:space="preserve"> Republic of the Philippines SILAY CITY GOVERNMENT Zamora Street Silay City, Negros Occidental Telefax No. (034) 495-3746 	Control  Reference Number : GOODS#0125, ITB#0127,  PR#0343: SCG-2020 Name of the Project: Purchase of Laptop to be used of the Secret</t>
  </si>
  <si>
    <t xml:space="preserve"> Procurement of 1 Lot Animal Feeds</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</si>
  <si>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</si>
  <si>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</si>
  <si>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1 7.5000 K AGAR TECHNICAL GRADE 2 1 L BUFFER pH7 3 1 L BUFFER pH4 4 1 pack COBALT CHLORIDE, 250G 5 1 PACK CUPRIC SULFATE 250G 6 1 DRUM ETHYL ALCOHOL 95% TECHNICAL 7 1 PACK GLYCINE 100G 8 3 PACK MAGNESIUM SULFATE 500G 9 1 PACK MANGANESE SULFATE 500G 10 1 P</t>
  </si>
  <si>
    <t xml:space="preserve"> Republic of the Philippines										 Province of Zambales										 MUNICIPALITY OF PALAUIG										 										 						Name of Project: Purchase &amp; Delivery of Computer Supplies &amp; Materials				 						Project Ref. No./Purchase Request No. : 100-2020 -     </t>
  </si>
  <si>
    <t xml:space="preserve"> Supply and Delivery of Additional Materials Tarpaulin for 2020 Census of Population and Housing (2020 CPH) 4th Level Training. "Blown Up of CPH Form 1 42"" x 60"", Tarpaulin No. of Page: 2 (one side) Collated, rolled &amp; wrapped " "Blown Up of CPH  Form 2 4</t>
  </si>
  <si>
    <t xml:space="preserve"> Please see supporting documents for details of the following: 1 - Installation of Wooden Partition Walls and Repainting of Holding Area 2 - Installation of Wooden Flush Doors (Supplies, Materials, and Labor Cost)</t>
  </si>
  <si>
    <t xml:space="preserve"> Province of Benguet-CAR Municipality of Mankayan  BIDS AND AWARDS COMMITTEE INVITATION TO APPLY FOR ELIGIBILITY AND TO BID JUNE 26, 2020 	The Municipal Government of Mankayan, through its Bids and Awards Committee, invites PhilGEPS registered supplier for</t>
  </si>
  <si>
    <t xml:space="preserve"> 1	lot	Change Oil and filters 		  Specifications of Generator: 		Prime Power (60Hz): 360kw/450kva 		Standy Power (60Hz) : 400Kw/500KVa 		Power Factor: 0.8 (Lagging) 		Phase wires : 3 phases, 4 wires 		Start Model: Electric 		Protection: Low oil pressure, H</t>
  </si>
  <si>
    <t xml:space="preserve"> Procurement of 1 Lot Ornamental Plants for beautification of Plaza and Parks</t>
  </si>
  <si>
    <t xml:space="preserve"> 1 set Receiver/Real Time Kinetic with One (1) Drone Survey System Inclusive of One (1) Licensed Copy of Processing Software (PIX4D) and One (1) Unit Android Tablet TECHNICAL SPECIFICATIONS: 1. DRONE -Model: T650 -Weight: 7.58lbs. (3440g including propelle</t>
  </si>
  <si>
    <t xml:space="preserve"> OPENING OF BIDS IN DSWD FO IX ZAMBOANGA CITY, DELIVERY IN ZC, PROCUREMENT FOR THE FF.: 3  UTILITY WORKERS **************************************** PROCUREMENT OF 3 UTILITY WORKERS FOR RECORDS MANAGEMENT SECION AND PROPERTY AND ASSETS SECTION AND GENERAL S</t>
  </si>
  <si>
    <t xml:space="preserve"> 15	units	Portable Radio 		 Specifications: 		Frequency Range: 403-470 Mhz  		Complete with accessories: 		Battery Pack (li-on) 		Antenna 		belt Clip 		Battery Charger 		User's Manual</t>
  </si>
  <si>
    <t xml:space="preserve"> INVITATION TO APPLY FOR ELIGIBILITY AND TO BID THE MUNICIPALITY OF CAIBIRAN, BILIRAN IS INVITING ALL INTERESTED BIDDERS ON ITS FORTHCOMING PUBLIC BIDDING FOR: Project Title 	: Rehabilitation of Water System   Location	: Brgy. Uson, Caibiran,Biliran ABC			</t>
  </si>
  <si>
    <t xml:space="preserve"> REQUEST FOR QUOTATION 78 UNITS DRY SEAL 2inches Diameter ABC: Php 374,400  for Certification Authentication and Verification of documents of all Schools in the Division of Surigao del Sur</t>
  </si>
  <si>
    <t xml:space="preserve"> INVITATION TO APPLY FOR ELIGIBILITY AND TO BID THE BIDS AND AWARD COMMITTEE OF BRGY. USON, MUNICIPALITY OF CAIBIRAN, BILIRAN IS INVITING ALL INTERESTED BIDDERS ON ITS FORTH COMING PUBLIC BIDDING FOR:   Project Title	                : Construction of Intak</t>
  </si>
  <si>
    <t xml:space="preserve"> Procurement of 1 Lot Anti-Rabbies Vaccines for indigents</t>
  </si>
  <si>
    <t xml:space="preserve"> 1 380 PC/S RIBBON-CARTRIDGE - LQ300+II 2 10 PC/S RIBBON- REFILL - LQ310 3 10 BOX/S COMPUTER FORMS - 11X9 1/2 CARBONLESS 4 5 PC/S CORRECTION TAPE - W/ CASE 5 2 PC USB FLASH DRIVE - 32 GB 6 5 REAM/S PAPER - BOND,PG,A4,210MMX297MM,70GSM. 7 5 REAM/S PAPER - B</t>
  </si>
  <si>
    <t xml:space="preserve"> 1 set</t>
  </si>
  <si>
    <t xml:space="preserve"> 1		MS plate 6MMSM	 1		MS plate5MM	 1		Poly Cord 400/6	 2		QDE black B/S	 2		P-brush #2	 7		Baby roller	 2	gal	Paint Thinner	 65	m	PE Pipe SDRII 1/2	 4	pcs	Compression coupling 1/2	 1	pcs	GI pipe S40 4"	 1	gal	Acrylic Emulsion	 5	pcs	Sand Paper #100	 2	set</t>
  </si>
  <si>
    <t xml:space="preserve"> 1 unit</t>
  </si>
  <si>
    <t xml:space="preserve"> Portland Cement Sand (Approved Source) Gravel (Approved Source) 3/8" Marine Plywood 50pcs - 2" x 3" x 10' Coco Lumber 50pcs - 2" x 2" x 10' Coco Lumber Rust Converter 3" Paint Brush Assorted C.W. Nails</t>
  </si>
  <si>
    <t xml:space="preserve"> 4 pcs Rubber Cap 1 pc Oil Filter 2 pcs Selector cable 1 pc Clutch Secondary assy. 1 pc Union Fitting</t>
  </si>
  <si>
    <t xml:space="preserve"> Supply and Delivery of Additional Census Forms and Materials for 2020 Census of Population and Housing (2020 CPH) 4th Level Training &amp; Enumeration. CPH Form 1- Listing Booklet - for Enumeration 8.5" X 13" (Booklet), BP 100gsm No. Pages: 24 (Front and Back</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</si>
  <si>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</si>
  <si>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PUBLICATION OF 4 MUNICIPAL ORDINANCES 1 ORDINANCE REQUIRING WEAR OF FACE MASK 2. HUMAN REMAINS 3. HARASSMENT DISCRIMINATION 4. DETENTION CELLS REFORMATORY CENTER HALFWAY</t>
  </si>
  <si>
    <t xml:space="preserve"> REQUEST FOR QUOTATION For Negotiated Procurement thru Small Value Procurement under Sec. 53.9 of the 2016 Revised IRR of RA 9184 Quotation No.:  2020-06-217 Date: June 26, 2020 PR No.:  CONSOLIDATED PRs – HDPE Pipe PR Date: CONSOLIDATED PRs POW No.: See a</t>
  </si>
  <si>
    <t xml:space="preserve"> ADDITIONAL CHB PARTITION CEILING ELECTRICAL ( ROUGHING IN, PARTIAL FIXTURES)</t>
  </si>
  <si>
    <t xml:space="preserve"> INVITATION TO APPLY FOR ELIGIBILITY AND TO BID THE BIDS AND AWARD COMMITTEE OF BRGY. USON, MUNICIPALITY OF CAIBIRAN, BILIRAN IS INVITING ALL INTERESTED BIDDERS ON ITS FORTH COMING PUBLIC BIDDING FOR:   Project Title	                : Rehabilitation of Fis</t>
  </si>
  <si>
    <t xml:space="preserve"> CONSUMABLE SCHOOL SUPPLIES LIKE BONDPAPER, ALCOHOL, HANDSOAP, BATTERY</t>
  </si>
  <si>
    <t xml:space="preserve"> Module # 1 - Pantukan   No. of Has.-357.0252 -ABC Php1,071,075.60. Module # 2 - Mabini, Maco, Mawab and Nabunturan -No. of Has. 314.7457- ABC Php930,672.00 Module # 3 - Compostela, Laak and New Bataan -No. of Has.-298.6689 -ABC Php928,488.00 Module # 4 - </t>
  </si>
  <si>
    <t xml:space="preserve"> 4 sets 825 R16 Tire w/ inner tube,Lug type 14-16PR 2 sets 825 R16 Tire w/ inner tube, Miler Type 14-16PR</t>
  </si>
  <si>
    <t xml:space="preserve"> Republic of the Philippines SILAY CITY GOVERNMENT Zamora Street Silay City, Negros Occidental Telefax No. (034) 495-3746 	Control  Reference Number : GOODS#0128, ITB#0131,  PR#0390: SCG-2020 Name of the Project: Purchase of Construction Materials and Supp</t>
  </si>
  <si>
    <t xml:space="preserve"> 1 Lot Water Purification System/Unit 24-Stages Water Purification System/Unit                                        Must be DOH Accredited                            Capacity: 2000 GPD                                   a.) 24 stages Filtration and Purifi</t>
  </si>
  <si>
    <t xml:space="preserve"> 1 250 BAG COMPLETE FERTILIZER (14-14-14) 2 250 BAG MURIATE OF POTASH (0-0-60)</t>
  </si>
  <si>
    <t xml:space="preserve"> For general use of the Court Requirements: 1.  2020 Mayors Permit 2.  BIR Registrarion (BIR 2020) 3.  Philgeps Registration</t>
  </si>
  <si>
    <t xml:space="preserve"> Republic of the Philippines Province of Quezon Municipality of Guinayangan Barangay Government of San Pedro II INVITATION TO BID Date: June 27, 2020 1.	The Barangay Government of  San Pedro II intends to apply the sum Eighty three thousand  pesos only (83</t>
  </si>
  <si>
    <t xml:space="preserve"> One (1) unit Floor Mounted Motor Controller VFD Type 90kw w/ enclosure see attached complete specifications</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</si>
  <si>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</si>
  <si>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</si>
  <si>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3 ft Bilamoid Gasket 50 pcs Sand paper #120 50 pcs Sand paper #1000 7 pcs Steel Brush 10 pcs Oil Filter Element 6769</t>
  </si>
  <si>
    <t xml:space="preserve"> INVITATION TO BID The Department of Public Works and Highways-National Capital Region-Metro Manila 3rd District Engineering Office, through its Bids and Awards Committee (BAC), invites contractors to apply to bid for the following contract/s:   Contract I</t>
  </si>
  <si>
    <t xml:space="preserve"> Republic of the Philippines Province of Ilocos Norte MUNICIPAL GOVERNMENT OF SOLSONA INVITATION TO BID FOR THE  IMPROVEMENT OF FARM TO MARKET ROADS SITIO TOLEDO &amp; CABATUAN, BRGY. BARCELONA, SOLSONA, ILOCOS NORTE 1.	The LGU-SOLSONA, through the RA 7171  in</t>
  </si>
  <si>
    <t xml:space="preserve"> Republic of the Philippines Province of Oriental Mindoro MUNICIPALITY OF PINAMALAYAN OFFICE OF THE BIDS AND AWARDS COMMITTEE Invitation to Bid ITB-2020-18 1.  The Municipal Government of Pinamalayan, Oriental Mindoro, through the authorized appropriations</t>
  </si>
  <si>
    <t xml:space="preserve"> Procurement of 1 Lot Airtime Services</t>
  </si>
  <si>
    <t xml:space="preserve"> 30	BAGS	CEMENT 1.50	CU.M.	SAND 3	CU.M.	GRAVEL 227.28	KGS	16MMDIA x 6M RBS 229.35	KGS	10MMDIA x 6M RBS 10	KGS	TIE WIRES 240	BD.FT.	30-PCS. 2” x 3” x 16’ SCAFFOLDINGS 9	PCS	MARINE PLYWOOD ½ 8	KGS	ASSORTED CW NAIL</t>
  </si>
  <si>
    <t xml:space="preserve"> ASSORTED MEDICINES AND VITAMINS</t>
  </si>
  <si>
    <t xml:space="preserve"> PROVINCIAL GOVERNMENT OF ISABELA Invitation to Bid for  Repair of Water Tank Flooring at Milagros Albano District Hospital, Cabagan, Isabela  1.	The Provincial Government of  Isabela, through the PGI Fund intends to apply the sum of One Hundred Six Thousa</t>
  </si>
  <si>
    <t xml:space="preserve"> 11 Flashlights</t>
  </si>
  <si>
    <t xml:space="preserve"> REPUBLIC OF THE PHILIPPINES PROVINCE OF CAMARINES SUR MUNICIPALITY OF BAAO BARANGAY SAGRADA INVITATION TO BID FOR ROAD CONCRETING AT ZONE 6 1.	The LOCAL GOVERNMENT UNIT OF BARANGAY SAGRADA, through the Annual Budget 2020 and Supplemental Budget 2020  inte</t>
  </si>
  <si>
    <t xml:space="preserve"> PURCHASE REQUEST FOR THE MONTH OF APRIL - MAY, 2020 OF TUKURAN CENTRAL ELEMENTARY SCHOOL</t>
  </si>
  <si>
    <t xml:space="preserve"> PROVINCIAL GOVERNMENT OF ISABELA Invitation to Bid for  Renovation of Provincial Treasurer’s Office,  Alibagu, City of Ilagan, Isabela  1.	The Provincial Government of  Isabela, through the PGI Fund intends to apply the sum of Two Million Nine Hundred Nin</t>
  </si>
  <si>
    <t xml:space="preserve"> MALIMPIN 04-2020 - construction of mini-park phase1</t>
  </si>
  <si>
    <t xml:space="preserve"> RFQ-2020-183		 			 1.	50	pcs.	Brown Envelop (Short) 2.	50	pcs.	Brown Envelop (Long) 3.	100	pcs.	Ballpen (Black) 4.	50	pcs.	Ballpen (Blue) 5.	10	pcs.	Whiteboard Marker Broad (Black) 6.	10	pcs.	Whiteboard Marker Broad (Red) 7.	10	pcs.	Whiteboard Marker Broa</t>
  </si>
  <si>
    <t xml:space="preserve"> 300	PCS	TOILET BOWL (FLUSH TYPE) PORCELAIN WITH OUT COVER</t>
  </si>
  <si>
    <t xml:space="preserve"> 1 unit Steel Cabinet for VAWC Desk Office</t>
  </si>
  <si>
    <t xml:space="preserve"> Food Commodities</t>
  </si>
  <si>
    <t xml:space="preserve"> PCC thru its BIDS and AWARDS Committee intend to apply for  P79,156 as the Approved Budget for the Contract under tractor implement spare parts &amp; Lubricants &amp; Labor Specifications:                                       ABC 9 Pcs Marpak Grease - 280.00 eac</t>
  </si>
  <si>
    <t xml:space="preserve"> INVITATION TO BID PROCUREMENT OF MEDICAL EQUIPMENT IB NO. 2020-07-21 (07) 1.	The Department of Health Cagayan Valley Center for Health Development, through the GOP-General Appropriations Act 2020 intends to apply the lump sum of Eighteen Million Six Hundr</t>
  </si>
  <si>
    <t xml:space="preserve"> PROVINCIAL GOVERNMENT OF ISABELA Invitation to Bid for  Construction of Mabantad Multi-purpose Hall Cauayan City, Isabela 1.	The Provincial Government of  Isabela, through the PGI Fund intends to apply the sum of Four Million Nine Hundred Ninety Nine Thou</t>
  </si>
  <si>
    <t xml:space="preserve"> Republic of the Philippines Province of Oriental Mindoro MUNICIPALITY OF PINAMALAYAN OFFICE OF THE BIDS AND AWARDS COMMITTEE Invitation to Bid ITB-2020-23 1.  The Municipal Government of Pinamalayan, Oriental Mindoro, through the authorized appropriations</t>
  </si>
  <si>
    <t xml:space="preserve"> rescue vehicle with equipment (blinker, oxygen tank, cabinets, PA System</t>
  </si>
  <si>
    <t xml:space="preserve"> https://drive.google.com/file/d/1jif1FRCQJ9EazjTEfmhWiMfkKhiA7GB4/view?usp=drivesdk</t>
  </si>
  <si>
    <t xml:space="preserve"> Procurement of 1 Lot Vehicle parts, tires and etc.</t>
  </si>
  <si>
    <t xml:space="preserve"> Please see attached Request for Quotation for more details. For Concern/query you may contact Ma'am Liezl through Liezl.Eustaquio@deped.gov.ph</t>
  </si>
  <si>
    <t xml:space="preserve"> INVITATION TO BID The DPWH Bukidnon 1st District Engineering Office, Malaybalay City, through its Bids and Awards Committee (BAC), invites contractors to submit bids for the following Contracts:   3	Contract ID 	:	20KA0099 (Readvertisement) 	Contract Name</t>
  </si>
  <si>
    <t xml:space="preserve"> PURCHASE REQUEST OF SAN MIGUEL CES</t>
  </si>
  <si>
    <t xml:space="preserve"> 140 cylinders 68kgs. Liquid Chlorine see attached complete specifications</t>
  </si>
  <si>
    <t xml:space="preserve"> Sir/Madam: 	Please quote your lowest price on the item/s listed below, stating the shortest time of delivery and please submit your quotation duly signed by your representative. Please return this RFQ not later than July 02, 2020 at 10:00AM in the BAC Off</t>
  </si>
  <si>
    <t xml:space="preserve"> 1-unit Air-Condition System Inverter Split Type 2.50HP with Accessories includes delivery and installation.</t>
  </si>
  <si>
    <t xml:space="preserve"> Republic of the Philippines			 			                         Department of Agriculture			 			               BUREAU OF FISHERIES AND AQUATIC RESOURCES			 			Fisheries Regional Office No. 10			 			Macabalan, Cagayan de Oro City			 			TIN – 000-550-823-017			 </t>
  </si>
  <si>
    <t xml:space="preserve"> 1.	The Sultan Kudarat Water District, through the Corporate Budget Approved by the Governing Board  intends to apply the sum of P 4,087,785.51 being the total Approved Budget for the Contract (ABC) to payments under the contract. Bids received in excess o</t>
  </si>
  <si>
    <t xml:space="preserve"> 4	units 	Motorcycle 		 Specifications: 		Displacement: 150cm3 		Maximum Power: 11.3kW (15.4PS)/850r/min. 		Cylinder Arrangement: Single Cylinder 		Bore and Stroke: 57.0 x 58.7mm 		Compression Ratio: 10.4:1 		Starting System: Electric Starter and Kick Star</t>
  </si>
  <si>
    <t xml:space="preserve"> 30 bottles Sf5230 Ink F Type Black UA 10 Bottles Master F Type 73 B4 Black UA Riso Ink, Riso Master, Universal Ink (Black) &amp; Universal Ink (Colored)</t>
  </si>
  <si>
    <t xml:space="preserve"> INVITATION TO BID   ADDITIONAL APPROPRIATION OF ROAD CONCRETING AT STO. DOMINGO ST., PUROK MALINAWON, BARANGAY CALUMPANG, GEN. SANTOS CITY The Local Government Unit of Barangay Calumpang, GSC, through the 20% Local Development Fund intents to apply the su</t>
  </si>
  <si>
    <t xml:space="preserve"> Office Supplies &amp; Office Equipment</t>
  </si>
  <si>
    <t xml:space="preserve"> 50 btls Alcohol 500 ml &amp; 24L/I</t>
  </si>
  <si>
    <t xml:space="preserve"> Supply and Delivery of Laptop Computer Specifications: *Processor: AMD Ryzen 5 2500U *Display: 15.6” FHD with Webcam *Memory: 8GB DDR4 *Storage: 1TB HDD *Graphics: Integrated Radeon Vega 8 *Operating System: Windows 10 *Includes: – Wireless AC &amp; Bluetooth</t>
  </si>
  <si>
    <t xml:space="preserve"> Procurement of 1 Lot Construction Materials</t>
  </si>
  <si>
    <t xml:space="preserve"> Republic of the Philippines BARANGAY BALANGA Ibaan, Batangas INVITATION TO BID The Barangay Government of Balanga, Ibaan, Batangas through its Bids and Awards Committee (BAC), invites contractors registered with and classified by the Philippine Contractor</t>
  </si>
  <si>
    <t xml:space="preserve"> 4 pcs. Ring Flange, 250mm diameter see attached specifications</t>
  </si>
  <si>
    <t xml:space="preserve"> Republic of the Philippines Province of Lanao del Norte MUNICIPALITY OF LALA BIDS AND AWARDS COMMITTEE                                                                                                                                                         </t>
  </si>
  <si>
    <t xml:space="preserve"> Rental of Service Vehicle for MPP/Engineer (4x4 Pick Up)</t>
  </si>
  <si>
    <t xml:space="preserve"> Lot  Bidding	 			 1	Lot	Security Guards	 		7 months Contract Term (Inclusive Dates)	 914,999.00  		August 1, 2020 to Feb 28, 2021 (7 months)	 		17,372.00 Per Month (Night) 	 		15,995.03 Per month  (Day)</t>
  </si>
  <si>
    <t xml:space="preserve"> Republic of the Philippines									 Province of Batangas									 City of Sto. Tomas									 Barangay SAN ROQUE									 									 									 INVITATION TO BID									 									 The Barangay Government of San Roque, City of Sto. Tomas, Batangas through </t>
  </si>
  <si>
    <t xml:space="preserve"> PLEASE SEE ATTACHED FILE OF INVITATION TO BID</t>
  </si>
  <si>
    <t xml:space="preserve"> JOSE B. LINGAD MEMORIAL REGIONAL HOSPITAL City of San Fernando, Pampanga Tel. No. (045) 961-3921 Date: June 27, 2020 No. 2020 – 06 - 199-S REQUEST FOR QUOTATION (Name of Agency) (Address) Sir/Madam: Please quote your lowest price on the item/s listed belo</t>
  </si>
  <si>
    <t xml:space="preserve"> LGU Dinalupihan, Bataan, through MUNICIPAL FUND for the contract approved by the Municipality of Dinalupihan for 2020 intends to apply the sum of ONE MILLION ONE HUNDRED FORTY-SIX THOUSAND SEVEN HUNDRED FIFTY-SEVEN PESOS &amp; FIFTY-ONE CENTAVOS (₱1,146,757.5</t>
  </si>
  <si>
    <t xml:space="preserve"> 50 gallons Ethyl Alcohol 70% Solution, 1 gallon/3.78 liters, antiseptic, disinfectant</t>
  </si>
  <si>
    <t xml:space="preserve"> INVITATION FOR SUBMISSION OF QUOTATION (SMALL VALUE PROCUREMENT)   The ZAMBOANGA SIBUGAY POLYTECHNIC INSTITUTE (ZSPI) formerly KABASALAN INSTITUTE OF TECHNOLOGY (KIT), through the General Appropriations Act (GAA) of 2018 intends to apply the sum SEVEN HUN</t>
  </si>
  <si>
    <t xml:space="preserve"> JOSE B. LINGAD MEMORIAL REGIONAL HOSPITAL City of San Fernando, Pampanga Tel. No. (045) 961-3921 Date: June 27, 2020 No. 2020 – 06 - 198-S REQUEST FOR QUOTATION (Name of Agency) (Address) Sir/Madam: Please quote your lowest price on the item/s listed belo</t>
  </si>
  <si>
    <t xml:space="preserve"> ITB No. 2020 – 77 June 26, 2020 Republic of the Philippines Province of Davao Oriental CITY OF MATI INVITATION TO BID PROCUREMENT OF CACAO PROCESSING EQUIPMENT Name of Project 1.	The City Government of Mati, through the 20% Local Development Fund intends </t>
  </si>
  <si>
    <t xml:space="preserve"> Negotiation for the Procurement of Various Drugs and Medicines covering seventy-two (72) items</t>
  </si>
  <si>
    <t xml:space="preserve"> SCHOOLS DIVISION OF THE CITY OF BATAC</t>
  </si>
  <si>
    <t xml:space="preserve"> 1 5 cart. Toner 83A  2 3 cart. Toner 85A  3 6 cart. 73HN  4 3 cart. 103 Cyan  5 3 cart. 103 Magenta  6 3 cart. 103 Yellow  7 10 cart. 664 Black (for Epson L800)  8 3 cart. 933XL Cyan (for HP Officejet 7110)  9 3 cart. 933XL Magenta (for HP Officejet 7110)</t>
  </si>
  <si>
    <t xml:space="preserve"> Procurement of 1 Lot Janitorial Supplies</t>
  </si>
  <si>
    <t xml:space="preserve"> INVITATION TO BID The __DPWH-Lanao del Norte 1st District Engineering Office, through its Bids and Awards Committee (BAC), invites contractors to submit bids for the project funded under Department of Agriculture Regular Funding CY 2020: 1.	Contract ID: 2</t>
  </si>
  <si>
    <t xml:space="preserve"> SUPPLY AND DELIVERY OF MATERIALS/SUPPLIES FOR EL NIDO DPP.</t>
  </si>
  <si>
    <t xml:space="preserve"> FOR FURTHER INFORMATION CONTACT TO: MA. IRMA E. MANLUBATAN BAC SECRETARIAT BARANGAY CALAMBA, CABADBARAN CITY CELL NO: 09105658782</t>
  </si>
  <si>
    <t xml:space="preserve"> Republic of the Philippines Province of Oriental Mindoro MUNICIPALITY OF PINAMALAYAN OFFICE OF THE BIDS AND AWARDS COMMITTEE Invitation to Bid ITB-2020-21 1.  The Municipal Government of Pinamalayan, Oriental Mindoro, through the authorized appropriations</t>
  </si>
  <si>
    <t xml:space="preserve"> Repair/Extension (Right Wing) of the Multi-Purpose Hall at Carosucan NOrte Elementary School, Asingan, Pangasinan.</t>
  </si>
  <si>
    <t xml:space="preserve"> Republic of the Philippines Province of Oriental Mindoro MUNICIPALITY OF PINAMALAYAN OFFICE OF THE BIDS AND AWARDS COMMITTEE Invitation to Bid ITB-2020-20 1.  The Municipal Government of Pinamalayan, Oriental Mindoro, through the authorized appropriations</t>
  </si>
  <si>
    <t xml:space="preserve"> REQUEST FOR QUOTATION (OPEN CANVASS) Police Regional Office 2 through its Bids and Awards Committee (BAC) invites supplier/manufacturers/distributors/contractors to quote the lowest government price for the hereunder project: Name of the Project	Supply an</t>
  </si>
  <si>
    <t xml:space="preserve"> Republic of the Philippines Province of Oriental Mindoro MUNICIPALITY OF PINAMALAYAN OFFICE OF THE BIDS AND AWARDS COMMITTEE Invitation to Bid ITB-2020-19 1.  The Municipal Government of Pinamalayan, Oriental Mindoro, through the authorized appropriations</t>
  </si>
  <si>
    <t xml:space="preserve"> Procurement of 1 Lot Construction materials and supplies</t>
  </si>
  <si>
    <t xml:space="preserve"> Title: Procurement of 900 pax Snack(1) under P.R No. 0586-2020- Mayor's Special Fund Total ABC: Php 54,000.00 (INSTRUCTION AS TO THE REQUIRED FORM: For your price quotation, please use the attached Request for Quotation (RFQ) Form and send to the City Pro</t>
  </si>
  <si>
    <t xml:space="preserve"> Name of Project		: ON-GOING CONSTRUCTION OF MULTI-PURPOSE HALL Location	        	: Brgy. Narangasan,Milagros,Masbate Brief Description	: I. Ceiling Works                                       A.	Materials 			          II. Roofing Works                    </t>
  </si>
  <si>
    <t xml:space="preserve"> Purchase Request of Dao-An NHS, San Miguel, Zamboanga del Sur</t>
  </si>
  <si>
    <t xml:space="preserve"> 1 pc 500gb hard disk - good quality</t>
  </si>
  <si>
    <t xml:space="preserve"> INVITATION TO BID The DPWH Bukidnon 1st District Engineering Office, Malaybalay City, through its Bids and Awards Committee (BAC), invites contractors to submit bids for the following Contracts:   			 2	Contract ID 	:	20KA0098 (Readvertisement) 	Contract </t>
  </si>
  <si>
    <t xml:space="preserve"> INVITATION TO APPLY FOR ELIGIBILITY AND TO BID THE BIDS AND AWARD COMMITTEE OF BRGY. PALANAY, MUNICIPALITY OF CAIBIRAN, BILIRAN IS INVITING ALL INTERESTED BIDDERS ON ITS FORTH COMING PUBLIC BIDDING FOR: Project Title		        : Improvement of Barangay Hal</t>
  </si>
  <si>
    <t xml:space="preserve"> INDUSTRIAL TECHNOLOGY DEVELOPMENT INSTITUTE DOST Cmpd., Bicutan, Taguig City Telephone Nos. (02) 837-20-71 to 82 local 2221 E-mail Add.: itdi.admbac@gmail.com INVITATION TO BID June 26, 2020 Sir/Madam: Please quote your price for the item/items listed bel</t>
  </si>
  <si>
    <t xml:space="preserve"> Republic of the Philippines Province of Masbate Municipality of Claveria Construction of One (1) Storey, 474 Square  Meters DRRM Building  The MLGU-Claveria, Masbate, through the General Fundintends to apply the sum of Nine Million Four Hundred Sixty Five</t>
  </si>
  <si>
    <t xml:space="preserve"> 2 units</t>
  </si>
  <si>
    <t xml:space="preserve"> 10	PCS	TIMBER POST 92	BD.FT.	4-2” x 6” x 23’ GIRT 160	BD.FT.	8-2” x 6” x 20’ GIRT 414	BD.FT.	18-2” x 6” x 23’ BOTTOM CHORD 306	BD.FT.	18-2” x 6” x 17’ TOP CHORD 63	BD.FT.	9-2” x 6” x 7’ KING POST 216	BD.FT.	18-2” x 6” x 12’ DIAGONAL/COLLAR PLATE 300	BD.FT</t>
  </si>
  <si>
    <t xml:space="preserve"> The LGU Dinalupihan, Bataan, through MUNICIPAL FUND for the contract approved by the Municipality of Dinalupihan for 2020 intends to apply the sum of TWO MILLION ONE HUNDRED TWENTY-NINE THOUSAND FIVE HUNDRED SEVEN PESOS &amp; FIFTY-ONE CENTAVOS (₱2,129,507.51</t>
  </si>
  <si>
    <t xml:space="preserve"> Republic of the Philippines BARANGAY COLIAT Ibaan, Batangas INVITATION TO BID The Barangay Government of Coliat, Ibaan, Batangas through its Bids and Awards Committee (BAC), invites contractors registered with and classified by the Philippine Contractors </t>
  </si>
  <si>
    <t xml:space="preserve"> ~~~~~~~~~~~~~~~~~~~~~~~~~~~~~~~~~~~~~~~~~~~~~~~~~~~~~~~~~~~ 	20		CUM		SAND   = _____________________________________________________________ 	10		CUM		GRAVEL  = _____________________________________________________________				 	1,700	PCS.		HOLLOW BLOCKS #</t>
  </si>
  <si>
    <t xml:space="preserve"> Designation: Provincial Value Chain Specialist Contract Period: July-December 31,2020(renewable) Place of Assignment: Pagadian,Zamboanga del Sur  Qualification Requirements: 1. At least 4 years work experience  in the agribusiness development,especially m</t>
  </si>
  <si>
    <t xml:space="preserve"> INVITATION TO APPLY FOR ELIGIBILITY AND TO BID The Barangay Local Government Unit of Bati-awan, Taft E. Samar, through its Bid and Awards Committee (BAC). Invites suppliers to apply for eligibility, to bid for the hereunder contract: Name of Contract: PUR</t>
  </si>
  <si>
    <t xml:space="preserve"> NAME OF PROJECT:  Fabrication, Accession of Furniture and Fixtures                        LOCATION OF THE PROJECT:  Donsol, Sorsogon PROJECT REFERENCE NO     GOODS-PB-2020-006 Approved Budget for the Contract (ABC): ₱ 995,000.00 1	7	set	Office Table with </t>
  </si>
  <si>
    <t xml:space="preserve"> Rental of Service Vehicle for MPP/Engineer</t>
  </si>
  <si>
    <t xml:space="preserve"> Please see attachment.</t>
  </si>
  <si>
    <t xml:space="preserve"> 1 1,472 lts. Diesel  2 750 ltrs Gasoline  3 10 ltrs Brake Fluid  4 25 ltrs Oil for Diesel Engine  5 25 ltrs Oil for Diesel Engine -Synthetic  6 20 ltrs Oil for Gasoline Engine  7 1 pc Fuel Filter Genuine 23390  8 1 pc Oil Filter Genuine 90915 FOR THIRD (3</t>
  </si>
  <si>
    <t xml:space="preserve"> 1 4 pcs Tire (265x65x17)  2 1 set Brake Pad  3 1 set Brake Shoe  4 1 pc Oil Filter  5 1 pc Fuel Filter  6 7 qrts Engine OIl  7 1 lot Labor  8 1 lot Wheel alignment and balancing -Pull out and replace brake pad, brake shoe, and change oil</t>
  </si>
  <si>
    <t xml:space="preserve"> The LGU Dinalupihan, Bataan, through MUNICIPAL FUND for the contract approved by the Municipality of Dinalupihan for 2020 intends to apply the sum of ONE MILLION SEVEN HUNDRED NINETY-NINE THOUSAND EIGHT HUNDRED TWENTY PESOS &amp; FOURTEEN CENTAVOS (₱1,799,820</t>
  </si>
  <si>
    <t xml:space="preserve"> Pcs	2000	Plastic Liner (Trash Bag) 0.0009 thk, size 2XL Yellow	 30,000.00  Pcs	2000	Plastic Liner (Trash Bag) 0.0009 thk, size 2XL Green	 30,000.00  Pcs	2000	Plastic Liner (Trash Bag) 0.0009 thk, size 2XL Black	 24,000.00  			 Pcs	2000	Plastic Liner (Tras</t>
  </si>
  <si>
    <t xml:space="preserve"> ITEM	UNIT	QTY	ITEM DESCRIPTION 	bag	100	Pozzolan cement  	cum	8	Washed sand 	cum	3	Washed fine gravel 	pcs	70	10 mm deformed bar x 6 mtrs 	pcs	20	9 mm deformed bar x 6 mtrs 	pcs	700	4’’ CHB 	kg	10	Tire wire 	pcs	5	Ordinary plywood 1/4’’ 	kg	10	CWN #4 	kg	</t>
  </si>
  <si>
    <t xml:space="preserve"> 30   ream   Bond Paper, short size 6     pcs.    Ink Cartridge, HP 704 black 6     pcs.    Ink Cartridge, HP 704 colored 12   pcs.    Ink Cartridge, Canon 810 black 6     pcs.    Ink Cartridge, HP 680 black 3     pcs.    Ink Cartridge, HP 680 colored 6   </t>
  </si>
  <si>
    <t xml:space="preserve"> 1  2 cyl. TANK, Nitrogen Gas, Refill  2  22 cyl. TANK, Industrial Oxygen, Refill  3  16 cyl. TANK, Acetylene, Refill All items must be brand new</t>
  </si>
  <si>
    <t xml:space="preserve"> SUPPLY OF LABOR, TOOL AND EQUIPMENT FOR THE FABRICATION/MACHINING/RECONDITIONING OF PARTS AND AUXILLIARIES</t>
  </si>
  <si>
    <t xml:space="preserve"> SUPPLY OF LABOR, TOOLS AND EQUIPMENT FOR PCB TESTING OF TRANSFORMER OIL</t>
  </si>
  <si>
    <t xml:space="preserve"> PROJECT: PURCHASE OF 1 UNIT BARANGAY PATROL VEHICLE LOCATION: BARANGAY TELABANCA, CONCEPCION, TARLAC APPROVED BUDGET FOR THE CONTRACT: PHP 1,100,000.00 SOURCE OF FUND: CAPITAL OUTLAY The contract to be performed by the successful bidder shall be specified</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</si>
  <si>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</si>
  <si>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Rental of Service Vehicle for Engineer (4x4 Pick up)</t>
  </si>
  <si>
    <t xml:space="preserve"> 1 4 PCS TIRE (245/70 R15) AT  2 1 PC RH TAIL LIGHT  3 1 PC FRONT WINDSHIELD  4 1 PC CROSS JOINT  5 1 PC CENTER BEARING  6 1 PAX LABOR COST PULL OUT &amp; REPLACE PROFILLER CROSS JOINT, CENTER BEARING &amp; TAIL LIGHT 7  1 PAX LABOR COST FRONT WHEEL ALIGNMENT &amp; BA</t>
  </si>
  <si>
    <t xml:space="preserve"> For official use of the Acting Presiding Justice Requirements: 1.  2020 Mayors Permit 2.  Philgeps Registration 3.  BIR Registration (Form 2303)</t>
  </si>
  <si>
    <t xml:space="preserve"> Engine Oil ultra max 15w 140 Hydraulic Oil #68</t>
  </si>
  <si>
    <t xml:space="preserve"> Activities: 1. Site Preparation and Planting - 6,500.00/ha. 2. Maintenance and Protection- 2,000.00/ha. Proposed Contractor: - Wilson M. Saranillo (20 has.) - Samuel Atoy (20 has.) - Pablo B. Canumay (20 has.) - Ramonit Guyha, Jr. (20 has.) - Dionard Calu</t>
  </si>
  <si>
    <t xml:space="preserve"> 1 150 reams bookpaper short  2 400 reams bookpaper long Remarks : 1. The supplier shall supply paper is at least Elementary Chlorine Free (ECF) 2. Wrapping should be made of at least 50% biodegradable material, no 100% single-use plastic wrapping. For bul</t>
  </si>
  <si>
    <t xml:space="preserve"> INVITATION TO BID									 									 The Barangay Datu Tumanggong, Municipality of Tungawan, Province of Zamboanga Sibugay,  through its Bids and Awards Committee 									 Committee (BAC), invites suppliers/ manufacturers/ distributors / contractors to a</t>
  </si>
  <si>
    <t xml:space="preserve"> INVITATION TO BID The DPWH Bukidnon 1st District Engineering Office, Malaybalay City, through its Bids and Awards Committee (BAC), invites contractors to submit bids for the following Contracts:   1	Contract ID 	:	20KA0097 (Readvertisement) 	Contract Name</t>
  </si>
  <si>
    <t xml:space="preserve"> Chlorination Equipment (Hypochlorinator) Dosing Pump with complete Accessories, 230V, Single Phase, 2.28 L/H @ 10 Bar, or Equivalent - 2 sets</t>
  </si>
  <si>
    <t xml:space="preserve"> Republic of the Philippines PROVINCE OF SIQUIJOR Capitol, Bldg., Pulangyuta, Siquijor, Siquijor INVITATION TO BID FOR Supply and Delivery of Various Food Commodities 1.	The Province of Siquijor, through the IPHO Non Office Provincial Nutrition Program Foo</t>
  </si>
  <si>
    <t xml:space="preserve"> Republic of the Philippines DEPARTMENT OF PUBLIC WORKS AND HIGHWAYS OFFICE OF THE DISTRICT ENGINEER TARLAC 2ND DISTRICT ENGINEERING OFFICE San Francisco, Concepcion, Tarlac Tel. No. (045) 925-5665	 RE-INVITATION TO BID The Department of Public Works and H</t>
  </si>
  <si>
    <t xml:space="preserve"> Item Number	Description	Unit	Quantity 			 1	Semi-Auto Frost Refrigerator	Unit	2 2	Aircon	Unit	3 3	Water Dispenser	Unit	6 4	Stand Fan	Unit	5 5	Exhaust Fan	Unit	8 6	Wall Clock	Unit	10 7	Rechargeable LED Emergency Light	Unit	10 8	Utility Cart for Kitchen	Uni</t>
  </si>
  <si>
    <t xml:space="preserve"> SUPPLY OF LABOR, TOOLS AND EQUIPMENT FOR THE LINE CLEARING OF PUERTO - ROXAS 69KV TL, SCHED. 1 ( BGY. IRAWAN TO LANGOGAN SECTION, 55CKT FROM TOWER 1-200).</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</si>
  <si>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</si>
  <si>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1.	The Local Government Unit of Tukuran, ZDS, through the Local Funds intends to apply the sum of Php 191,795.50 being the Approved Budget for the Contract (ABC) to payments under the contract PURCHASE OF MATERIALS FOR IMPROVEMENT OF LGU BEACH. Bids recei</t>
  </si>
  <si>
    <t xml:space="preserve"> REQUEST FOR QUOTATION 	Please quote your price on the job/item listed below, subject to the Specification and Terms and Conditions provided herein, stating the shortest time of delivery and submit your quotation in the bid box located at the Procurement S</t>
  </si>
  <si>
    <t xml:space="preserve"> 1 1 set Brake Pad, L/R  2 1 set Brake Shoe, L/R  3 1 set Spark Guide (4 pcs.)  4 1 pc Hand Brake Cable  5 1 pc Output Oil Seal  6 6 pcs Suspension Rubber Bushing  7 1 assy Rack End  8 2 pcs Rack End Rubber Booths  9 16 pcs Body Rubber Bushing  10 1 pc Tra</t>
  </si>
  <si>
    <t xml:space="preserve"> Item Number	Description	Unit	Quantity 			 1	Desktop PC with Windows 7 Professional (OS) and Office	Units	2 2	Desktop PC with Windows Server 2008 R2 (OS) and Office	Units	2 3	Router -24 Port 10/100MBPS	Units	2 4	Patch Panel 24 Port	Units	2 5	Laptop with Wi</t>
  </si>
  <si>
    <t xml:space="preserve"> SUPPLY AND DELIVERY OF FAST MOVING MECHANICAL SPARE PARTS FOR 1 X 305.3KW STAMFORD/PERKINS GEN-SET</t>
  </si>
  <si>
    <t xml:space="preserve"> SUPPLY AND DELIVERY OF AUTOMATIC VOLTAGE REGULATOR (AVR) R438 FOR CUMMINS GEN-SET 6BTAA5.9-G2</t>
  </si>
  <si>
    <t xml:space="preserve"> TERMS OF REFERENCE FOR STRUCTURED CABLING											 											 1 .	General Requirements										 	1.1.	All cabling must be permanently labelled at both ends in accordance with labeling scheme as									 		per TIA/EIA-6065-A.									 	1.2.	All Copper </t>
  </si>
  <si>
    <t xml:space="preserve"> Construction of 3.80mx6.50m Multi-Purpose Building</t>
  </si>
  <si>
    <t xml:space="preserve"> 2	Box 	Ambu Bag Mask (Neonate) 20	Bottle	Antibacterial Liquid Hand Soap 1L 50	Box	Chromic Suture 3-0 12's (cutting) 100	Box	Clean Gloves Powdered Large 100's 100	Box	Clean Gloves Powdered Medium 100's 5	Box	Cord Clamp 100's (White/nude) 50	Box	D5LR 1L 12'</t>
  </si>
  <si>
    <t xml:space="preserve"> Materials</t>
  </si>
  <si>
    <t xml:space="preserve"> The LGU Dinalupihan, Bataan, through MUNICIPAL FUND for the contract approved by the Municipality of Dinalupihan for 2020 intends to apply the sum of SIX HUNDRED EIGHTY-EIGHT THOUSAND SEVEN HUNDRED FIFTEEN PESOS &amp; NINETY-TWO CENTAVOS (₱688,715.92)  being </t>
  </si>
  <si>
    <t xml:space="preserve"> Republic of the Philippines CITY GOVERNMENT OF SAN FERNANDO Barangay Pagadaraon Email: barangay_pagdaraoan_csf_lu_2019@yahoo.com INVITATION TO BID FOR  Rehabilitation of Multi-Purpose Hall Barangay Pagdaraoan, City of San Fernando 1.	The Barangay Pagdarao</t>
  </si>
  <si>
    <t xml:space="preserve"> Lot  Bidding	 			 16	Days	Consultancy in Preparation of ISO 9001:2015	 112,000.00  		(Online Consultancy)	 		● Consultancy Assistance in Enchancing Document	 		Information Prepared	 		● QMS Planning Documents, Procedures work 	 		Instructions and Guidelin</t>
  </si>
  <si>
    <t xml:space="preserve"> Department of Education Region VI-Western Visayas Division of Cadiz City Severino Escaro Elementary School INVITATION TO BID FOR THE PROVISION OF OFFICE SUPPLIES AND OTHER SUPPLIES AND MATERIALS 2020 1.	The Severino Escaro Elementary School (formerly Naga</t>
  </si>
  <si>
    <t xml:space="preserve"> Republic of the Philippines Office of the Punong Barangay BIDS AND AWARDS COMMITTEE Barangay #26 Salpad, Pasuquin, Ilocos Norte INVITATION TO BID FOR  Purchase of Construction Materials for the Construction of MRF and Continuation of the Construction of S</t>
  </si>
  <si>
    <t xml:space="preserve"> Lot  Bidding	 			 50	Gal	Grease Solvent	 463,845.00  		Used in drain traps, Garbage containers, as odor 	 		controllant in garbage and as cleaner an greasy walls,	 		kitchen floors, etc	 		Specification:	 		Appearance: Colorless to plae Straw Collored liq</t>
  </si>
  <si>
    <t xml:space="preserve"> SCOPE OF WORKS: I. FORMS &amp; SCAFFOLDING: II. CARPENTRY WORKS: (CEILING WORKS, KITCHEN CABINET,      BUILT IN CABINET 3 DOORS III. CONCRETE, MASONRY WORKS (KITCHEN SINK        SEPTIC TANK &amp; CATCH BASIN IV.  TILE WORKS: V.   SPECIAL ITEM (ACCESSORIES) VI.  P</t>
  </si>
  <si>
    <t xml:space="preserve"> STRAIGHT CONTRACT: REHABILITATION OF WATER SUPPLY SYSTEM: 1.  1 unit 800/1000lts stainless 304 overhead tank 2.  1 set 21 gals stainless pressure tank with complete accessories 3.  1 set 1 HP motor pump 4.  10 pcs ½ elbow w/ thread (moldex blue) PVC 5.  1</t>
  </si>
  <si>
    <t xml:space="preserve"> Republic of the Philippines  Barangay 617, Zone 61, District VI, Manila Bids and Awards Committee INVITATION TO BID Barangay 617, Zone 61, District VI, Manila through its Bids and Awards Committee (BAC), Invites all Suppliers Contractors to bid the here u</t>
  </si>
  <si>
    <t xml:space="preserve"> Procurement of Common-Use Office Supplies (Not Available in the PS-DBM) Ball point pen, black - 50 pieces Ball point pen, blue - 30 pieces Boxed facial tissue, (100 sheets x 2 ply) - 30 boxes Copy paper, short, subs. 20 – 10 reams Copy paper, A4, 80gsm – </t>
  </si>
  <si>
    <t xml:space="preserve"> Battery, dry cell , AA, 2 pieces per blister pack  Bond Paper, long (white) subs. 16 class-A  Bond Paper, short (pink) subs. 16 class-A  Bond Paper, short (white) subs. 16 class-A  Book Paper, A4 size white subs. 20 Class A  Book Paper, long (white) subs.</t>
  </si>
  <si>
    <t xml:space="preserve"> NAME OF PROJECT:  Fabrication/Installation of Floating Dock (Pontoon)                         LOCATION OF THE PROJECT:   Dancalan, Donsol, Sorsogon PROJECT REFERENCE NO     GOODS-PB-2020-005 Approved Budget for the Contract (ABC): ₱ 5,988,000.00 1	488	Pcs</t>
  </si>
  <si>
    <t xml:space="preserve"> Catering (Opening Program) Breakfast ----- 20 Heads AM Snack ----- 20 Heads Lunch ----- 20 Heads Catering (Closing Program) Breakfast ----- 20 Heads AM Snack ----- 20 Heads Lunch ----- 20 Heads Meal Allowance of trainees for 40 days ----- 10 Heads Lodging</t>
  </si>
  <si>
    <t xml:space="preserve"> 2475	pcs	snacks - pansit/sandwich/banna que/fried camote strips with sugar with drinks</t>
  </si>
  <si>
    <t xml:space="preserve"> Republic of the Philippines					 PROVINCE OF SOUTHERN LEYTE					 Maasin City					 	Standard Form No.: SF-GOOD-60			 Project Reference No. 126	 	Revised on:  May 24, 2004			 Name of the Project:  _______	 	Standard Form Title:                              </t>
  </si>
  <si>
    <t xml:space="preserve"> Battery Pack, Lithium Ion battery pack for Nikon EN El15;7.0V;1900mAh:14wh  SD Card, 8GB for DSLR Camera  Battery, dry cell, AAA, 2 pieces per blister pack  Battery, dry cell , AA, 2 pieces per blister pack  Book Paper, A4 size white subs. 20 Class A  Boo</t>
  </si>
  <si>
    <t xml:space="preserve"> Republic of the Philippines					 PROVINCE OF SOUTHERN LEYTE					 Maasin City					 	Standard Form No.: SF-GOOD-60			 Project Reference No. 137	 	Revised on:  May 24, 2004			 Name of the Project:  _______	 	Standard Form Title:                              </t>
  </si>
  <si>
    <t xml:space="preserve"> Republic of the Philippines					 PROVINCE OF SOUTHERN LEYTE					 Maasin City					 	Standard Form No.: SF-GOOD-60			 Project Reference No. 127	 	Revised on:  May 24, 2004			 Name of the Project:  _______	 	Standard Form Title:                              </t>
  </si>
  <si>
    <t xml:space="preserve"> APPLICATIONS: SHEDDING OF THIN WASTE PLASTICS INCLUDING SANDO BAGS AND LAMINATED PACKING MATERIALS SPECIFICATIONS: BLADE HARDENED STEEL STATIONARY BLADES:2 ROTATING BLADES:2 ROTATING SHAFT: 7.5 CM DIAMETER SHREDEDER PRIMARY SUPPORT/ENCLOSURE: MS PLATE APP</t>
  </si>
  <si>
    <t xml:space="preserve"> 1 50 pcs Oil Filter P.N. 70005  2 40 pcs Fuel Filter P.N. 80009  3 20 pcs Fuel Filter w/ Separator, P.N. 80052  4 10 pcs Fuel Filter P.N. 81334  5 5 pcs Fuel Filter w/ Separator, P.N. 80311  6 6 pcs Oil Filter w/ Separator, P.N. 5435701  7 6 pcs Fuel Filt</t>
  </si>
  <si>
    <t xml:space="preserve"> PURCHASE OF IT EQUIPMENT, AGRICULTURE OFFICE</t>
  </si>
  <si>
    <t xml:space="preserve"> CIVIL WORKS</t>
  </si>
  <si>
    <t xml:space="preserve"> 1 1,000 Pcs. Face Mask  2 950 Pcs. Germicidal Soap  3 950 Pcs. Disinfectant Liquid</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</si>
  <si>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</si>
  <si>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Item Number	Description	Unit	Quantity 			 1	Ultimate ULV Knapsack Power Nebulizer	Unit	1</t>
  </si>
  <si>
    <t xml:space="preserve"> SOURCE OF FUNDS: SUPPLEMENTAL BUDGET NO. 2, 2020 (ER-1-94) BIDDING DATE &amp; TIME: JULY 6, 2020- 3:00 P.M</t>
  </si>
  <si>
    <t xml:space="preserve"> 50  bags   Cement (Portland) 6    pcs     9mm Steel Bar 3    pcs     10mm Steel Bar 12  pcs     2 x 4 x 12 Coco Lumber 16  pcs     2 x 4 x 12 Coco Lumber 24  pcs     Corrugated Sheet 0.5 x 12 7    pcs     Marine Plywood 1/4 35  pcs     S4S 2 x 4 x 12 500 </t>
  </si>
  <si>
    <t xml:space="preserve"> 1 2,000 ltrs Diesel  2 500 ltrs Gasoline Remarks : 1. Payment will be based on actual pump price 2. Payment will be made per quincena</t>
  </si>
  <si>
    <t xml:space="preserve"> Constructionof Water Treatment House, Fencing of Existing Chlorine House &amp; Filtration House and Installation of Water Treatment Fixture</t>
  </si>
  <si>
    <t xml:space="preserve"> 1 200 pcs stenographic notebook  2 150 pcs record book (500 pages)  3 250 bxs ballpen asstd (12s)  4 200 pcs correction tape  5 10 bxs envelop long white (mailing)  6 60 pcs sign pen V7  7 120 pcs pentel pen (black)  8 60 pcs sign pen .3mm  9 150 pcs high</t>
  </si>
  <si>
    <t xml:space="preserve"> REQUEST FOR QUOTATION Date:    June 26, 2020                RFQ No.: 2020-040 Please quote your lowest price on the item/s listed below, subject to the General Conditions on the last page, stating the shortest time of delivery and submit your quotation du</t>
  </si>
  <si>
    <t xml:space="preserve"> A.	Mobilization /Demobilization ( Included in the Overhead Contingency miscellaneous (OCM) 		 	General Requirements: 		 1	1.	Chipping, Masonry &amp; Steel Drill Bits	1	lots 2	2.	Ropes &amp; Wire 	1	lots. 3	3.	Solderless lugs and connectors	1	lots 4	4.	Rubber and </t>
  </si>
  <si>
    <t xml:space="preserve"> Republic of the Philippines PROVINCE OF AGUSAN DEL SUR Municipality of Sta. Josefa Invitation to Bid for   SJADS INFRA 20-04: ESTABLISHMENT OF ECO-PARK  (SCRAPING AND EMBANKMENT) 				                         June 27, 2020 1.	The Municipality of Sta. Josef</t>
  </si>
  <si>
    <t xml:space="preserve"> SUPPLIES AND MATERIALS FOR BREAD AND PASTRY PRODUCTION NC II AND COOKERY NC II</t>
  </si>
  <si>
    <t xml:space="preserve"> Submersible Motor, 75hp, 60Hz, 3-phase 440 volts</t>
  </si>
  <si>
    <t xml:space="preserve"> INVITATION TO BID The Department of Public Works and Highways (DPWH), Cavite 3rd District Engineering Office, Carmona, Cavite through its Bids and Awards Committee (BAC), invites contractors to submit bids for the following Contract: 6. Contract I.D. No.:</t>
  </si>
  <si>
    <t xml:space="preserve"> 30 Piece Hazmat suit M/L Colored 100 Piece Isolation Gown 1 Roll Compound Crystal Film 6 FTX100 Meters Clear 12 Set Garbage Bins, Med Foot-Pressed 1 Pack Garbage Bags Med Green 100's 1 Pack Garbage Bags Med Black 100's 1 Pack Garbage Bags Med Yellow 100's</t>
  </si>
  <si>
    <t xml:space="preserve"> Repair/Rehabilitation of Old BFP Building (for Balay Silangan use)</t>
  </si>
  <si>
    <t xml:space="preserve"> SIR/MADAM:						           Please quote your price of item/s listed below as per specifications, stating the shortest time of delivery. Submit your quotation duly signed by you or your representative to the Bids and Awards Committee not later than  9:00 A</t>
  </si>
  <si>
    <t xml:space="preserve"> 1 2,942 ltrs Diesel  2 297 ltrs Gasoline Remarks : TERMS AND CONSDITION: 1. Payment will be based on actual pump price. 2. The Supplier must preferably be the nearest station from the requisitioning office. 3. Billing shall be made weekly. 4. The requisit</t>
  </si>
  <si>
    <t xml:space="preserve"> 1   set   desktop computer 1   unit  CPU 1   unit  UPS 1   unit  dot matrix printer</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</si>
  <si>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</si>
  <si>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Item No.	Description	Unit	Quantity 1	Motor Vehicle w/ Sidecar	Unit	1 	Backbone frame, manual gear shift @ 5-speed constant mesh, DC-CDI type of ignition,140-150cc displacement, telescopic fork on front suspension, kick and electric starting system 7.85kW </t>
  </si>
  <si>
    <t xml:space="preserve"> EONSTRUCTION MATERIALS &amp; SUPPLIES FOR THE CONSTRUCTION OF MANPOWER/YOUTH DEVELOPMENT CENTER,PHASE XIII AT BARANGAY TABONTABON,SIBAGAT,AGUSAN DEL SUR</t>
  </si>
  <si>
    <t xml:space="preserve"> SEE ATTACH FILE.</t>
  </si>
  <si>
    <t xml:space="preserve"> Republic of the Philippines Province of Davao Oriental City of Mati BIDS &amp; AWARDS COMMITTEE INVITATION TO BID (REBID) LOT Procurement of MATERIALS for Use in Urban Greening and Landscaping of the TOURISM PREMISES SOURCE OF FUND: 20% LGDF [8000PA-300-1-07-</t>
  </si>
  <si>
    <t xml:space="preserve"> 1.	Provision of Design Services : Architectural Plan, Civil/Structural Plan, Electrical Plan, Sanitary/Plumbing Plan, Mechanical Plan, Electronic Plan (Duly Signed and sealed by the Registered Professional) 2. Design and Seismic Analysis 3. Preparation of</t>
  </si>
  <si>
    <t xml:space="preserve"> General Merchandise PF-0620-624</t>
  </si>
  <si>
    <t xml:space="preserve"> 1.	The Local Government Unit of Tukuran, ZDS, through the Local Funds intends to apply the sum of Php 250,000.00 being the Approved Budget for the Contract (ABC) to payments under the contract PURCHASE OF WEIGHING SCALE FOR PREGNANT AND LACTATING WOMEN. B</t>
  </si>
  <si>
    <t xml:space="preserve"> INVITATION TO BID The Department of Public Works and Highways (DPWH), Cavite 3rd District Engineering Office, Carmona, Cavite through its Bids and Awards Committee (BAC), invites contractors to submit bids for the following Contract: 8. Contract I.D. No.:</t>
  </si>
  <si>
    <t xml:space="preserve"> supply and delivery of hardware materials</t>
  </si>
  <si>
    <t xml:space="preserve"> INVITATION TO BID The Department of Public Works and Highways (DPWH), Cavite 3rd District Engineering Office, Carmona, Cavite through its Bids and Awards Committee (BAC), invites contractors to submit bids for the following Contract: 5. Contract I.D. No.:</t>
  </si>
  <si>
    <t xml:space="preserve"> Mun. Government of Alcantara, Romblon 				                     2020-015 Purchase of Information &amp; Communication Technology Equipment (ICT) Office of the DEP-ED (SEF Fund) Standard Form Number: SF-GOOD-60						    Alcantara, Romblon Revised on: May 24, 200</t>
  </si>
  <si>
    <t xml:space="preserve"> Item No.	Quantity	Unit of Issue	Item Description 1	              1	      unit	         Dump Truck 			Specs: Emission Standard                    :  EURO IV Fuel                                           :  Diesel (Turbo Intercooler) Stroke Volume (ml)    </t>
  </si>
  <si>
    <t xml:space="preserve"> Const. Supplies &amp; Materials for the Rehab of Gabriel Fabella St. Item	Quantity	Unit of	Item Description	 No.		Issue		 				 1	1320	bgs	Portland Cement 40 kg	 2	140	cu.m.	Sand	 3	145	cu.m.	Gravel	 4	25	pcs	Flat Bar 2.0" x 6mm thk	 5	20	pcs	Square Bar 3/8"	 </t>
  </si>
  <si>
    <t xml:space="preserve"> SPECIFICATIONS: RECONDITIONED MULTI-PURPOSE CAB/PICK-UP 0.7 LITER OR HIGHER CYLINDER SHOC GASOLINE ENGINE 64HP AND 90Nm OF TORQUE MANUAL TRANSMISSION NEWLY PAINTED/UPHOLSTERED NEW BATTERY NEW TIRES WITH RESERVE AND MAGS RIM BASIC TOOLS LTO REGISTERED IN T</t>
  </si>
  <si>
    <t xml:space="preserve"> 1  64 PCS TARPAULIN (4X10) PUBLIC HEARING ON CULTIVATING POLLUTION-FREE WATERWAYS, STRENGTHENING THE IMPLEMENTATION OF SECTION 48 (1) OF RA 9003, OTHERWISE KNOWN AS THE ECOLOGICAL SOLID WASTE MANAGEMENT ACT OF 2000, AND PROVIDING FUNDS THEREFOR free deliv</t>
  </si>
  <si>
    <t xml:space="preserve"> CONSTRUCTION SUPPLIES FOR THE RENOVATION OF OLD BRGY HALL TURN INTO WOMEN AND CHILDREN BUILDING PHASE II AT BARANGAY TABONTABON,SIBAGAT,AGUSAN DEL SUR</t>
  </si>
  <si>
    <t xml:space="preserve"> 1 2,697 ltrs DIESEL 2 83 ltrs GASOLINE Remarks : TERMS AND CONDITIONS 1 Payments will be based on actual pump price. 2 The supplier must preferably be the nearest station from the requisitioning office. 3 Billing shall be made weekly. 4 The requisitioning</t>
  </si>
  <si>
    <t xml:space="preserve"> Meals for the Third  and Fourth Convening of Provincial Census Coordinating Board (PCCB) and City/Municipal Census Coordinating Board(CCCB) and for the Conduct of 2020 Census of Population and Housing (2020 CPH)	 Provincial Census Coordinating Board (PCCB</t>
  </si>
  <si>
    <t xml:space="preserve"> I			Procurement &amp; Installation of Radio Antenna @ EOC (Repair &amp; Maintenance)							 	1.00	unit	Repair and Maintenance:							 			Solar MPPT, Charge Controller							 	1.00	unit	Programmamble, 30 amperes							 			Diamond BC-100, 18-174 mhz vhf high angle	</t>
  </si>
  <si>
    <t xml:space="preserve"> Submersible pump assembly with stainless body bowls and impeller with a capacity of 55 cu. m./hr., 3-phase, 440 volts, 60 Hz, 3450 RPM</t>
  </si>
  <si>
    <t xml:space="preserve"> INVITATION TO BID The Department of Public Works and Highways (DPWH), Cavite 3rd District Engineering Office, Carmona, Cavite through its Bids and Awards Committee (BAC), invites contractors to submit bids for the following Contract: 7. Contract I.D. No.:</t>
  </si>
  <si>
    <t xml:space="preserve"> General Merchandise PF-0520-579</t>
  </si>
  <si>
    <t xml:space="preserve"> General Merchandise PF-0620-652</t>
  </si>
  <si>
    <t xml:space="preserve"> DRR Rescue, Emergency Equipment and Supplies	                    175,000.00  1	25.00	UNIT	Reflectorized Raincoat, Heavy Duty w/ Print (Poncho Type)							 2	1.00	UNIT	Rescue Basket							 3	1.00	UNIT	Rescue Rope, 12mm dia., 100 meters							 4	1.00	UNIT	A</t>
  </si>
  <si>
    <t xml:space="preserve"> TAMBOBONG 04-2020 - installation of LED solar lights</t>
  </si>
  <si>
    <t xml:space="preserve"> The Western Mindanao State University, through its Bids and Awards Committee (BAC), is inviting PhilGEPS registered suppliers to apply for eligibility and to submit bids for the item mentioned hereunder:  1.)	2	Units	Steel Filing Cabinet 			specification:</t>
  </si>
  <si>
    <t xml:space="preserve"> 1 6,000 ltrs DIESEL  2 100 ltrs GASOLINE Remarks : TERMS AND CONDITIONS 1 Payments will be based on actual pump price. 2 The supplier must preferably be the nearest station from the requisitioning office. 3 Billing shall be made weekly. 4 The requisitioni</t>
  </si>
  <si>
    <t xml:space="preserve"> INVITATION TO BID The Department of Public Works and Highways (DPWH), Cavite 3rd District Engineering Office, Carmona, Cavite through its Bids and Awards Committee (BAC), invites contractors to submit bids for the following Contract: 10. Contract I.D. No.</t>
  </si>
  <si>
    <t xml:space="preserve"> GAIS-GUIPE 05-2020 - repair &amp; maint of streetlights</t>
  </si>
  <si>
    <t xml:space="preserve"> INVITATION TO BID									 									 The Barangay Masao, Municipality of Tungawan, Province of Zamboanga Sibugay,  through its Bids and Awards Committee 									 Committee (BAC), invites suppliers/ manufacturers/ distributors / contractors to apply for e</t>
  </si>
  <si>
    <t xml:space="preserve"> 1 4 units Brake Chamber, Rear, APS  2 2 units Brake Chamber, Front, APS  3 4 units Repair Kit- Relay Value, APS  4 1 unit Dryer Repair Kit, APS  5 2 units Air Dryer Filter, APS  6 3 units Brake Chamber Assembly, APS All items must be brand new. Remarks : </t>
  </si>
  <si>
    <t xml:space="preserve"> Contract for the Rehabilitation of Riverbank, P3A, Tagaytay, Barangay Bobongon, Santo Tomas, Davao del Norte The Municipality of Santo Tomas, through LDRRM Fund CY 2020 intends to apply the sum of P’ 2,698,001.13 being the Approved Budget for the Contract</t>
  </si>
  <si>
    <t xml:space="preserve"> INVITATION TO BID The Department of Public Works and Highways (DPWH), Cavite 3rd District Engineering Office, Carmona, Cavite through its Bids and Awards Committee (BAC), invites contractors to submit bids for the following Contract: 9. Contract I.D. No.:</t>
  </si>
  <si>
    <t xml:space="preserve"> 2 UNIT LAPTOP : INTEL i7 7th Gen Processor 1 unit LAPTOP: INTEL i3 9th Gen Processor 2 unit GEOTAGGING DEVICE: REALME 6PRO 1 unit LAPTOP :i7 7th Gen Processor 1 unit PRINTER</t>
  </si>
  <si>
    <t xml:space="preserve"> Item No.	Quantity	Unit of Issue	Item Description 1	2	units	Grass Cutter 2	2	units	Head Immobilizer 3	2	Pcs.	Movable Table  4	5	Pcs.	Shredder Water Rescue Fins 5	5	Pcs.	Googles A148 Snorkeling Breather Pipe Mask  6	3	units	Megaphone 7	4	Pcs.	Utility Box Wh</t>
  </si>
  <si>
    <t xml:space="preserve"> SUPPLIES AND MATERIALS FOR ORGANIC AGRICULTURE PRODUCTION NC II, RAC SERVICING NC II, SMAW NC I, SMAW NC II AND DRIVING NC II</t>
  </si>
  <si>
    <t xml:space="preserve"> 1,000     liters    Diesel Fuel 500        liters    Xtra Gasoline</t>
  </si>
  <si>
    <t xml:space="preserve"> 1 450 ltrs ATF, III Synthetic  2 16 pail AD Blue ( 1pail/ 20ltrs) SCR Technology  3 160 kg Grease Point (including repack bearing) Extreme Pressure, fully synthetic</t>
  </si>
  <si>
    <t xml:space="preserve"> 1 100 RMS BONDPAPER LONG SUB 20  2 25 BOTS GLUE 120ML  3 15 PCS RECORD BOOK #85 500PGS  4 20 PCS WHITEBOARD PEN MARKER  5 200 ROLL TRASH BAG MEIUM BLACK 10's ROLL  6 50 ROLL MARKING TAPE 1'  7 80 gal liquid bleach  8 50 rms MEMEO PAPER LONG WW</t>
  </si>
  <si>
    <t xml:space="preserve"> DESKTOP UNIT:1 UNIT Specifications: Processor : Intel®Core™i7-9700FProcessor (12M Cache, up to 4.70 GHz) or its equivalent Motherboard : Gigabyte B360M-DS3H MOTHERBOARD or its equivalent Memory : 2pcs-8GB (16GB) DDR4 2400MHZ MEMORY Hard Drive : 1TB HDD SA</t>
  </si>
  <si>
    <t xml:space="preserve"> 17	200	 bd.ft. 	2x3x10 MCL	 18	133.34	 bd.ft. 	2x2x10</t>
  </si>
  <si>
    <t xml:space="preserve"> 1 PC BRANDED LAPTOP -CORE i5 LATEST PROCESSOR -INTEL MH175 CHIPSET -INTEL HD GRAPHICS 620 -8GB DDR4 RAM -MEMORY EXPANDABLE:UP TO 32GB -SSD STORAGE TYPE -SSD/eMMC:512GB,1TB-HDD -DISPLAY SIZE : 14 INCHES -RESOLUTION : 1920X1080 -LED, IPS PANEL TYPE -BATTERY</t>
  </si>
  <si>
    <t xml:space="preserve"> CONSTRUCTION OF FIVE-STOREY COLLEGE OF EDUCATION LABORATORY BUILDING (Phase II) MSU-IIT PROPERTY, Hinaplanon, Iligan City 1.	The MSU-Iligan Institute of Technology, through the GAA funds Year 2020 intends to apply the sum of SEVENTY FIVE MILLION PESOS ONL</t>
  </si>
  <si>
    <t xml:space="preserve"> 1 150 PCS ATROPINE SULFATE 250MCG/ML AMPULE  2 135 PCS ADRENALINE AMPULE  3 1,000 PCS ALUMINUM + MAGNESIUM HYDROXIDE TABLET  4 86 BOT ASCORBIC ACID + ZINC DROPS 15ML  5 25 BOT ASCORBIC ACID + TAURINE + LYSINE SYRUP 60ML  6 36 BOT BUTAMIRATE CITRATE 7.5MG/</t>
  </si>
  <si>
    <t xml:space="preserve"> 1	6000	Pcs.	Sanitary permit blue 2	1000	Pcs.	Health certificate pink color 3	6000	Pcs.	Health certificate green color 4	7000	Pcs.	Health certificate white</t>
  </si>
  <si>
    <t xml:space="preserve"> SUPPLY AND DELIVERY OF FAST MOVING CRITICAL ELECTRICAL SPARE PARTS FOR MAN CXZ 500KW GEN-SET</t>
  </si>
  <si>
    <t xml:space="preserve"> The Western Mindanao State University, through its Bids and Awards Committee (BAC), is inviting PhilGEPS registered suppliers to apply for eligibility and to submit bids for the item mentioned hereunder:  1.)	18	Gallons	Enamel Paint - chocolate brown 			 </t>
  </si>
  <si>
    <t xml:space="preserve"> SUPPLY AND DELIVERY OF MATERIALS/SUPPLIES FOR OPERATION USE.</t>
  </si>
  <si>
    <t xml:space="preserve"> INVITATION TO BID The Department of Public Works and Highways (DPWH), Cavite 3rd District Engineering Office, Carmona, Cavite through its Bids and Awards Committee (BAC), invites contractors to submit bids for the following Contract: 11. Contract I.D. No.</t>
  </si>
  <si>
    <t xml:space="preserve"> The Agricultural Training Institute (ATI) invites interested suppliers to submit quotation/proposals for the hereunder requirements: Supply and Delivery of Office Supplies for official use of AFU-OD (2nd Semester of 2020). Budget for the Contract = PHP 59</t>
  </si>
  <si>
    <t xml:space="preserve"> One Set of Public Address</t>
  </si>
  <si>
    <t xml:space="preserve"> 1   1 UNIT MEDICAL CHART RACK WITH WHEELS (2 TIER) 37H X 23W X 13D 2   2 UNIT MEDICAL CHART RACK WITH WHEELS (3 TIER) 37H X 33W X 13D   Remarks : The aluminum whelled chart carriers are designed to provide a lightweight and easy to use medical chart cart </t>
  </si>
  <si>
    <t xml:space="preserve"> 1  1 unit Computer Laptop Inter Core i7 8th gen or latest (2.30 GHz or higher) 8GB DDR4 RAM 1 TB HDD SATA 15.6" HD LED Display Intel HD Graphics Optical Disk Drive Pre-installed Windows 10 64-bit Operating System Free Mouse and Laptop Bag 2  2 unit Comput</t>
  </si>
  <si>
    <t xml:space="preserve"> Republic of the Philippines          City of Dumaguete Bids and Awards Committee INVITATION TO BID FOR PURCHASE REQUEST OF 1 ROLL #14 THW WIRE-BLACK AND OTHER ITEMS 	The City of Dumaguete thru its BIDS AND AWARDS COMMITTEE (BAC), invites all interested ma</t>
  </si>
  <si>
    <t xml:space="preserve"> Republic of the Philippines PROVINCE OF AGUSAN DEL SUR Municipality of Sta. Josefa Invitation to Bid for   SJADS INFRA 20-05: COMPLETION OF MOTORPOOL 				                         June 27, 2020 1.	The Municipality of Sta. Josefa through the authorized appr</t>
  </si>
  <si>
    <t xml:space="preserve"> Republic of the Philippines PROVINCE OF AGUSAN DEL SUR Municipality of Sta. Josefa Invitation to Bid for   SJADS INFRA 20-06: CONSTRUCTION OF LATRINE FOR DESIGNATED EVACUATION CENTER 				                         June 27, 2020 1.	The Municipality of Sta. J</t>
  </si>
  <si>
    <t xml:space="preserve"> SUPPLY AND DELIVERY OF SPARE PARTS FOR VEHICLES.</t>
  </si>
  <si>
    <t xml:space="preserve"> 1 1 PC SUSPENSION ARM ASSEMBLY  2 2 PCS RACK END  3 1 QRT BRAKE FLUID  4 2 PCS TIE ROD END  5 2 PCS STAB BUSHING  6 2 PCS STAB LINK  7 1 PC OIL FILTER  8 1 PC FUEL FILTER(PRIMARY)  9 1 PC FUEL FILTER( SECONDARY)  10 7 QRT SYNTHETIC OIL  11 1 PC AIR CLEANE</t>
  </si>
  <si>
    <t xml:space="preserve"> SUPPLY AND DELIVERY OF MATERIALS/SUPPLIES INTENDED FOR OPERATION AND MAINTENANCE USE</t>
  </si>
  <si>
    <t xml:space="preserve"> Repair and Rehabilitation of Hand-washing Facilities with a floor area of 16 sq meter with roof and 10 faucets.</t>
  </si>
  <si>
    <t xml:space="preserve"> Please download ITB in the Associated Components</t>
  </si>
  <si>
    <t xml:space="preserve"> furniture and fixtures and supplies</t>
  </si>
  <si>
    <t xml:space="preserve"> Google Cloud Storage subscription, 2 Terabyte,  storage for DILG-CAR Google one (1) account, including Gmail and Google Drive  1 year Printer all-in-one, scanner; copier; printer, with ADF and Wifi, ink tank   1 unit Mini DP (Display Port) to HDMI adapter</t>
  </si>
  <si>
    <t xml:space="preserve"> SUPPLY AND DELIVERY OF MATERIALS/SUPPLIES FOR OPERATION AND MAINTENANCE USE.</t>
  </si>
  <si>
    <t xml:space="preserve"> 1 10 m MESH WIRE 1"X1"  2 2 UNIT PLATFORM TROLLEY, DURABLE, 300KG CAP  3 7 ROLL ORCHID NET FOR SCREENHOUSE, BLACK, 5FTX40M  4 20 m GARDEN HOSE, HEAVY DUTY</t>
  </si>
  <si>
    <t xml:space="preserve"> office equipment</t>
  </si>
  <si>
    <t xml:space="preserve"> 1 20 PCS ALCOHOL 70%  2 3 PCS AIR FRESHENER SPRAY  3 15 RMS LONG BOND PAPER SUB # 20  4 8 PCS CARTRIDGE CANON INK COLORED # 811  5 8 PCS CARTRIDGE CANON INK BLACK # 810  6 2 BXS PAPER CLIP BIG COLORED  7 5 PADS CONSTRUCTION PAPER  8 30 PCS FOLDER LONG SIZ</t>
  </si>
  <si>
    <t xml:space="preserve"> INVITATION TO BID Date: June 26, 2020 1.	The Provincial Government of Davao del Sur, through its Bids and Awards Committee (BAC), invites all potential bidders/suppliers to apply to bid for the following goods. Bids received in excess of the ABC shall be </t>
  </si>
  <si>
    <t xml:space="preserve"> Webcam, conference wide field of view  10 units Desktop Video Conference (All-in-one)   2 sets In-ear Headphone                                2 pcs. USB Omni-directional Condenser Microphone for Meeting Business Conference  10 pcs. 2.1 Speaker System wit</t>
  </si>
  <si>
    <t xml:space="preserve"> 7 	 100 	 bdft. 	 2x3x10 MCL - 20 pcs 	  8 	 66.66 	 bdft. 	 2x2x10 MCL - 20 pcs 	  13 	 233.33 	 bdft. 	 2x2x10 MCL - 70 pcs</t>
  </si>
  <si>
    <t xml:space="preserve"> 1   1 unit Digital B&amp;W Multi Function Copier/Printer/Color canner w/ ARDF &amp; Built-In D - Copy Speed : 27 copies per minute - Feeder : 50 sheets Auto Reverse  Document Feeder - Duplex Copying : Automatic Back-to-back  copying and printing - Mobile Printing</t>
  </si>
  <si>
    <t xml:space="preserve"> SUPPLY AND DELIVERY OF MATERIALS AND SUPPLIES INTENDED FOR OPERATION AND MAINTENANCE.</t>
  </si>
  <si>
    <t xml:space="preserve"> 1. The Lobo Water District through the Corporate Budget for the contract approved by the governing Boards 3 intends to apply the sum of One Million Two Hundred Ninety Eight Thousand Pesos (Php 1,298,000.00) being the Approved Budget for the Contract (ABC)</t>
  </si>
  <si>
    <t xml:space="preserve"> INVITATION TO BID FOR THE  SUPPLY, DELIVERY, INSTALLATION, PROGRAMMING, TESTING AND COMMISSIONING OF EQUIPMENT AND APPURTENANCES FOR THE UPGRADING OF INLINE BOOSTER FOR LARION BAJO PUMPING STATION 1.	The Metropolitan Tuguegarao Water District through the </t>
  </si>
  <si>
    <t xml:space="preserve"> INVITATION TO BID FOR THE  SUPPLY AND DELIVERY OF BRASS WATER METER 1.	The Metropolitan Tuguegarao Water District through the Corporate Budget for the Year 2020  intends to apply the sum of Eight Million Six Hundred Seventy Four Thousand Pesos (P 8,674,00</t>
  </si>
  <si>
    <t xml:space="preserve"> Installtion of 10 units of Solar Streetlights</t>
  </si>
  <si>
    <t xml:space="preserve"> Section I. Invitation to Bid Republic of the Philippines Province of Davao del Norte Municipality of Talaingod 27 June, 2020 INVITATION TO BID FOR CHEMICALS, FERTILIZERS, FARM TOOLS &amp; EQUIPMENT AND SEEDLINGS/CORM (OPLAN AHON SA KAHIRAPAN-BANANA PRODUCTION</t>
  </si>
  <si>
    <t xml:space="preserve"> Convergence on Value Chain Enhancement for Rural Growth and Empowerment (Project ConVERGE) Terms of Reference (TOR) Position			:   Regional Knowledge Management Specialist (RKMS) Type of Engagement	:   Contract of Service Place of Assignment	:   Regional </t>
  </si>
  <si>
    <t xml:space="preserve"> Municipality of Danao 						 Project Reference Number 			 : 	 2020-001 		  Name of Procuring Entity 						 Name of Project 			 : 	 Improvement/Opening of Brgy. Access Road San Carlos 		  StandardForm Number : SF -GOOD -60 						 Location of the Project   </t>
  </si>
  <si>
    <t xml:space="preserve"> Please quote us your lowest price inclusive of VAT on the items listed below.</t>
  </si>
  <si>
    <t xml:space="preserve"> ITEM	ITEM DESCRIPTIONS				Unit of Measures	QUANTITY	 UNIT COST 	TOTAL COST Office Supplies								 1	alcohol, 70%, 500ml	alcohol, 70%, 500ml	alcohol, 70%, 500ml	alcohol, 70%, 500ml	bot	15		 2	Ballpen, blue/black, good quality	Ballpen, blue/black, good qua</t>
  </si>
  <si>
    <t xml:space="preserve"> Drugs and Medicines</t>
  </si>
  <si>
    <t xml:space="preserve"> Re-Bidding for the Supply, Installation and Commissioning of One (1) Unit Earthquake Recording Instrument (ERI)</t>
  </si>
  <si>
    <t xml:space="preserve"> Spl-1 - Excavation Spl-2 - Concrete Works Spl-3 - Forms and Scaffoldings Spl-4 - G.I. Pipe Railings Spl-5 - Grouted Rip-Rap</t>
  </si>
  <si>
    <t xml:space="preserve"> Republic of the Philippines PROVINCE OF AGUSAN DEL SUR Municipality of Sta. Josefa Invitation to Bid for   SJADS GOODS 20-11: PROCUREMENT OF IT EQUIPMENT 					   June 27, 2020 1.	The Municipality of Sta. Josefa through the following; a.	CY 2019 Non Office</t>
  </si>
  <si>
    <t xml:space="preserve"> Repair/Rehabilitation of Roads Damaged by Taal Volcano Eruption</t>
  </si>
  <si>
    <t xml:space="preserve"> Republic of the Philippines Province of Misamis Occidental MUNICIPALITY OF CALAMBA   INVITATION TO BID FOR THE CONCRETING OF SILOY-MAMALAD ROAD 	June 27, 2020 1.	The Local Government Unit of Calamba, Misamis Occidental, through the 20% Development Fund-20</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</si>
  <si>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</si>
  <si>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COMPLIANCE</t>
  </si>
  <si>
    <t xml:space="preserve"> The Department of Agriculture invites interested suppliers to submit quotations/proposals for the hereunder requirement: REPLACEMENT OF CEILING AND REPAINTING, INSTALLATION OF 3 PCS. PLASTIC DOOR AND 18 SETS DOOR KNOB INSTALLATION OF COMMON CR OF OLD BUIL</t>
  </si>
  <si>
    <t xml:space="preserve"> The Agricultural Training Institute (ATI) invites interested suppliers to submit quotation/proposals for the hereunder requirements: Supply and Delivery of Safety and Janitorial Supplies for official use of AFU-OD (2nd Semester of 2020). Budget for the Co</t>
  </si>
  <si>
    <t xml:space="preserve"> Republic of the Philippines DEPARTMENT OF PUBLIC WORKS AND HIGHWAYS BATANGAS III DISTRICT ENGINEERING OFFICE REGIONAL OFFICE IV-A J. Gonzales St., Barangay 4, Tanauan City INVITATION TO BID (CW-2020-037) The DPWH–Batangas III District Engineering Office, </t>
  </si>
  <si>
    <t xml:space="preserve"> Rehabilitation / Major Repair of Multi-Purpose Building</t>
  </si>
  <si>
    <t xml:space="preserve"> Republic of the Philippines DEPARTMENT OF PUBLIC WORKS AND HIGHWAYS BATANGAS III DISTRICT ENGINEERING OFFICE REGIONAL OFFICE IV-A J. Gonzales St., Barangay 4, Tanauan City INVITATION TO BID (CW-2020-038) The DPWH–Batangas III District Engineering Office, </t>
  </si>
  <si>
    <t xml:space="preserve"> Structural Improvement of Public Buildings and Construction of Evacuation Center</t>
  </si>
  <si>
    <t xml:space="preserve"> The Western Mindanao State University, through its Bids and Awards Committee (BAC), is inviting PhilGEPS registered suppliers to apply for eligibility and to submit bids for the item mentioned hereunder:  1.)	40	Tubes	Biostix 4SG Urine Strips (100 strips/</t>
  </si>
  <si>
    <t xml:space="preserve"> BACKGROUND: Pursuant to Revenue Administrative Order 4 – 2019 dated June 18, 2019, prescribing the splitting of Revenue Region No. 7 – Quezon City to Revenue Region No. 7A – Quezon City and Revenue Region No. 7B – East NCR, redefining its area of jurisdic</t>
  </si>
  <si>
    <t xml:space="preserve"> Republic of the Philippines 	Cebu Normal University 	Osmeña Blvd. Cebu City, 6000 Philippines                                 Office of the Bids and Awards Committee                                         Telephone No.: (+63 32) 254 1452 local 141 or 125</t>
  </si>
  <si>
    <t xml:space="preserve"> The Western Mindanao State University, through its Bids and Awards Committee (BAC), is inviting PhilGEPS registered suppliers to apply for eligibility and to submit bids for the item mentioned hereunder:  1.)	42	Units	Computer Table 			* keyboard sliding </t>
  </si>
  <si>
    <t xml:space="preserve"> INVITATION TO BID The Municipality of Mutia through its Bids and  Awards Committee Invites  contractors to apply for eligibility and to bid for the project reflected hereunder; NAME OF PROJECT	:  Purchase of IT Equipment [MDRRMO] LOCATION   :  Mutia, Zamb</t>
  </si>
  <si>
    <t xml:space="preserve"> The Western Mindanao State University, through its Bids and Awards Committee (BAC), is inviting PhilGEPS registered suppliers to apply for eligibility and to submit bids for the item mentioned hereunder:  1.)	15	Pieces	Flash Drive  - 16GB 			 2.)	3	Pieces</t>
  </si>
  <si>
    <t xml:space="preserve"> The Department of Agriculture invites interested suppliers to submit quotations/proposals for the hereunder requirement: Hiring of Service Provider for Printing/Production of the DA's CY 2019 Annual Report	 1,250	Piece 	-	Size: A4 Pages: 120 pages excludi</t>
  </si>
  <si>
    <t xml:space="preserve"> Contract ID: 20-DO-0085 Contract Name: Repair/Rehabilitation of Flood Control Structure at Malaya, Pililla, Rizal Contract Location	: Pililla, Rizal Brief Description	: Repair/Rehabilitation of Flood Control Structure Approved Budget for the Contract (ABC</t>
  </si>
  <si>
    <t xml:space="preserve"> Rehabilitation of Drainage System</t>
  </si>
  <si>
    <t xml:space="preserve"> Section I. Invitation to Bid Republic of the Philippines Province of Davao del Norte MUNICIPALITY OF TALAINGOD 								27 June, 2020 Invitation to Bid for CONSTRUCTION OF NATIONAL CHILD DEVELOPMENT CENTER (@Purok 4B, Sto. Niño,Talaingod, DdN 1.	The Local </t>
  </si>
  <si>
    <t xml:space="preserve"> The Western Mindanao State University, through its Bids and Awards Committee (BAC), is inviting PhilGEPS registered suppliers to apply for eligibility and to submit bids for the item mentioned hereunder:  1.)	1	Unit	Laptop 			Specifications: 			Processor:</t>
  </si>
  <si>
    <t xml:space="preserve"> Unit       Qty         Items bottle    50           INK, epson, 664, black bottle    50           INK, epson, 003, black bottle    30           INK, epson, 003, cyan bottle    30           INK, epson, 003, magenta bottle    30           INK, epson, 003, y</t>
  </si>
  <si>
    <t xml:space="preserve"> Contract ID: 20-DO-0084 Contract Name: Repair/Rehabilitation of Slope Protection along Nagsandig to Sampad, Brgy. Nagsandig &amp; Brgy. Sampad, Cardona, Rizal Contract Location	: Cardona, Rizal Brief Description	: Repair/Rehabilitation of Slope Protection App</t>
  </si>
  <si>
    <t xml:space="preserve"> The Western Mindanao State University, through its Bids and Awards Committee (BAC), is inviting PhilGEPS registered suppliers to apply for eligibility and to submit bids for the item mentioned hereunder:  1.)	1	Unit	LCD Projector 			Specifications: 			* P</t>
  </si>
  <si>
    <t xml:space="preserve"> The Western Mindanao State University, through its Bids and Awards Committee (BAC), is inviting PhilGEPS registered suppliers to apply for eligibility and to submit bids for the item mentioned hereunder:  1.)	10	Units	Abney Hand Level 			5 case 1/4" long </t>
  </si>
  <si>
    <t xml:space="preserve"> OFFICE OF THE BIDS AND AWARDS COMMITTEE REQUEST FOR QUOTATION (Negotiated 2-Failed Biddings) Name of Project: 20-05-394 Purchase of Furniture and Fixtures for Office Use (COMELEC) 1st Quarter 2020 Procurement Mode: Negotiated Procurement (Two-Failed Biddi</t>
  </si>
  <si>
    <t xml:space="preserve"> Republic of the Philippines PROVINCE OF AGUSAN DEL SUR Municipality of Sta. Josefa OFFICE OF THE BIDS AND AWARDS COMMITTEE REQUEST FOR QUOTATION Price Quotation No. SJADS SVP: 2020-22 The Local Government Unit, Sta. Josefa, Agusan del Sur, through its Bid</t>
  </si>
  <si>
    <t xml:space="preserve"> OFFICE OF THE BIDS AND AWARDS COMMITTEE REQUEST FOR QUOTATION (Negotiated 2-Failed Biddings) Name of Project: 20-05-385 Purchase of Fuel for the Office of the Municipal Mayor (2nd Quarter) Procurement Mode: Negotiated Procurement (Two-Failed Biddings) Cla</t>
  </si>
  <si>
    <t xml:space="preserve"> Repair / Maintenance of Public Building</t>
  </si>
  <si>
    <t xml:space="preserve"> Repair / Maintenance of Multi-Purpose Building</t>
  </si>
  <si>
    <t xml:space="preserve"> PROCUREMENT OF THE FOLLOWING SERVICES: CLEARING, DE-SILTING AND REMOVAL OF WASTES OF AKAN CREEK APPROX. 500 LN.M. x 2.50 METERS LABOR SERVICES : CAPABILITY OUTPUT (15 DAYS)                               1 FOREMAN                                14 LABORERS</t>
  </si>
  <si>
    <t xml:space="preserve"> PROCUREMENT OF THE FOLLOWING SERVICES: CLEARING, DE-SILTING AND REMOVAL OF WASTES OF QUIRIAON CREEK APPROX. 500 LN.M. x 1.0 METER LABOR SERVICES : CAPABILITY OUTPUT (15 DAYS)                               1 FOREMAN                                10 LABORE</t>
  </si>
  <si>
    <t xml:space="preserve"> PROCUREMENT OF THE FOLLOWING SERVICES: CONCRETING OF 0.10 METER THK, 1.0 METER WIDTH, 140.0 LINEAR METERS PATHWALK AT ZONE 8. A. MATERIALS B. LABOR  C. OTHER SERVICES FOR MORE DETAILS VISIT THE BARANGAY</t>
  </si>
  <si>
    <t xml:space="preserve"> IB 2020-07-010 PLPG Procurement of LPG 50 Kgs 2020-10</t>
  </si>
  <si>
    <t xml:space="preserve"> PROJECT NAME: CONSTRUCTION OF SANGGUNIANG KABATAAN (SK) BUILDING PROJECT LOCATION: AYUSAN NORTE, VIGAN CITY PROJECT COST: ₱178,697.50 PROJECT IMPLEMENTATION: BY CONTRACT Scope of Work: Demolition of existing doors Repair of window Aluminum works Carpentry</t>
  </si>
  <si>
    <t xml:space="preserve"> The Western Mindanao State University, through its Bids and Awards Committee (BAC), is inviting PhilGEPS registered suppliers to apply for eligibility and to submit bids for the item mentioned hereunder:  1.)	4	Bottles	Printer Ink (Brother DCP J100-LC539X</t>
  </si>
  <si>
    <t xml:space="preserve"> REQUEST FOR EXPRESSION OF INTEREST (REI) FOR THE CONSULTANCY SERVICES FOR THE GEOTECHNICAL INVESTIGATION OF CY 2020 PROJECTS 1.	The Department of Public Works and Highways, Rizal 1st District Engineering Office, through the RA 11465 REGULAR CURRENT, inten</t>
  </si>
  <si>
    <t xml:space="preserve"> Name of Contract: IMPROVEMENT OF BARANGAY CAPANGPANGAN TANOD OUTPOST Location: BARANGAY CAPANGPANGAN, VIGAN CITY Approved Budget for the Contract: ₱76,471.34 Contract Duration: 5 days SCOPE OF WORK Ceiling Works Electrical Works Aluminum Works Constructio</t>
  </si>
  <si>
    <t xml:space="preserve"> 1.Super Carry Van 2. Yr. Model 2018 3. 5 doors 4. Passenger capacity-9 including driver 5. Milleage Reaching-not to exceed 8,000 Kms. 6. Fully loaded- Pioneer car stereo and 4 speakers                      - Aricon front and rear                      - he</t>
  </si>
  <si>
    <t xml:space="preserve"> Item I:  Hog Line 1 set Scalding Vat -5mm thick SS grade 304 full welded construction with 50mm dia. SS drain gate valve, lifter and counter weight -includes furnace construction with fire bricks insulation and 250mm dia. heat resistant chimney 1.5 meters</t>
  </si>
  <si>
    <t xml:space="preserve"> Republic of the Philippines Province of Nueva Vizcaya Municipality of Bambang -oOo- INVITATION TO BID The Local Government Unit of Bambang, through the General Fund, intends to apply the sum of ONE MILLION TWO HUNDRED FORTY SIX THOUSAND SIX HUNDRED SEVENT</t>
  </si>
  <si>
    <t xml:space="preserve"> Republic of the Philippines Province of Compostela Valley MUNICIPALITY OF COMPOSTELA BARANGAY GABI BIDS AND AWARDS COMMITTEE CP#: 0951-518-8927 INVITATION TO BID FOR  Procurement of Hardware Materials for Rehabilitation of Multi-Purpose Building ITB NO. 2</t>
  </si>
  <si>
    <t xml:space="preserve"> Attached herewith is the Request for Proposal and Terms of Reference.</t>
  </si>
  <si>
    <t xml:space="preserve"> Republic of the Philippines Province of Davao De Oro MUNICIPALITY OF COMPOSTELA BARANGAY GABI BIDS AND AWARDS COMMITTEE CP#: 0951-518-8927 INVITATION TO BID FOR  Procurement of Hardware Materials for Improvement of Multi-Purpose Building ITB NO. 2020-06-0</t>
  </si>
  <si>
    <t xml:space="preserve"> 1. The CITY GOVERNMENT OF CALAMBA through the General Fund intends to apply the sum of PHP 2,914,240.00 being the Approved Budget for the Contract (ABC) to payments under the contract for: G-2019-1080 Supply and Delivery of Pick-Up Patrol Vehicle Public O</t>
  </si>
  <si>
    <t xml:space="preserve"> Invitation to Bid for the  Fabrication  and Setting/Deployment of Concrete Artificial Reef 1.The Bureau of Fisheries and Aquatic Resources- Regional Fisheries Office I (BFAR-RFO I), through the General Appropriation Act of 2020 (GAA 2020) intends to apply</t>
  </si>
  <si>
    <t xml:space="preserve"> INVITATION TO BID  for  Supply and Delivery of Various Construction Materials and Agricultural Equipment at Different Barangays within the 4th District of Pangasinan  Solicitation No. PANG-2020-0794 1.	The Provincial Government of Pangasinan, through the </t>
  </si>
  <si>
    <t xml:space="preserve"> INVITATION TO BID  for  Construction of Material Recovery Facilities at Lingayen District Hospital, Lingayen, Pangasinan Solicitation No. PANG-2020-0792 1.	The Provincial Government of Pangasinan, through the Maintenance/improvement of Various Hospitals i</t>
  </si>
  <si>
    <t xml:space="preserve"> INVITATION TO BID  for  Upgrading of Poblacion-Cabalaoangan-Guiling Road, Rosales, Pangasinan Solicitation No. PANG-2020-0791 1.	The Provincial Government of Pangasinan, through the DILG-CMGP intends to apply the sum of Forty-Three Million Two Hundred Fif</t>
  </si>
  <si>
    <t xml:space="preserve"> Office and IT Equipment</t>
  </si>
  <si>
    <t xml:space="preserve"> Attached herewith the Request for proposal and Terms of Reference.</t>
  </si>
  <si>
    <t xml:space="preserve"> Victorias City Water District (VCWD), will undertake a Small Value Procurement for the Supply &amp; Delivery of Pipeline Extension Materials Lot 3 (Construction Materials) in accordance with Section 53.9 of the Implementing Rules and Regulations of Republic A</t>
  </si>
  <si>
    <t xml:space="preserve"> INVITATION TO BID IB NO. CW 2020 –  101 Construction of Capitol in the South at Bagumbayan, Roxas, Oriental Mindoro 1.  The Provincial Government of Oriental Mindoro (PGOM) through the General Fund – SB # 2 intends to apply the sum of Thirty Four Million </t>
  </si>
  <si>
    <t xml:space="preserve"> Victorias City Water District (VCWD), will undertake a Small Value Procurement for the Supply &amp; Delivery of Pipeline Extension Materials Lot 2 (Fittings) in accordance with Section 53.9 of the Implementing Rules and Regulations of Republic Act No. 9184. N</t>
  </si>
  <si>
    <t xml:space="preserve"> INVITATION TO BID  for  Supply and Delivery of 837 MT Asphalt Pre-Mix and 36 drums Emulsified Asphalt at PGO, Lingayen, Pangasinan (for use in the Asphalting of Lingayen-San Carlos Road Dike at San Carlos City, Pangasinan) Solicitation No. PANG-2020-0793 </t>
  </si>
  <si>
    <t xml:space="preserve"> Victorias City Water District (VCWD), will undertake a Small Value Procurement for the Supply &amp; Delivery of Pipeline Extension Materials Lot 1 (HDPE) in accordance with Section 53.9 of the Implementing Rules and Regulations of Republic Act No. 9184. Name </t>
  </si>
  <si>
    <t xml:space="preserve"> INVITATION TO BID  for  Upgrading of Urdaneta – Asingan via Calepaan Road, Urdaneta &amp; Asingan, Pangasinan Solicitation No. PANG-2020-0790 1.	The Provincial Government of Pangasinan, through the DILG-CMGP intends to apply the sum of Sixty-Nine Million Eigh</t>
  </si>
  <si>
    <t xml:space="preserve"> Invitation to Bid for the Construction of Multi-Purpose Building, Brgy. Dogongan, Daet, Camarines Norte 1.	TheProvincial Government of Camarines Norte, through the Aid to BarangayCY 2020intends to apply the sum of Two MillionFour Hundred Ninety-FourThousa</t>
  </si>
  <si>
    <t xml:space="preserve"> Construction of Multi purpose center</t>
  </si>
  <si>
    <t xml:space="preserve"> Invitation to Bid for the Construction of Three Classroom, Brgy. Poblacion, Sta. Elena, Camarines Norte 1.	TheProvincial Government of Camarines Norte, through the General Fund CY 2020intends to apply the sum of Four MillionFour Hundred Ninety-Five Thousa</t>
  </si>
  <si>
    <t xml:space="preserve"> 11	pcs.	baby roller w/ handle 3	ltrs.	QDE white 2	gal.	paint thinner 2	pcs.	3 gang outlet 4	pcs.	washer 3	pcs.	rubber plug 4	ltrs.	red oxide 6	pc.	paint brush 2" 1	ltr.	QDE black 7	bots.	paint thinner 11	kls.	welding rod 1	pc.	30 amp wall breaker 12	mtrs.</t>
  </si>
  <si>
    <t xml:space="preserve"> Republic of the Philippines Province of Compostela Valley MUNICIPALITY OF COMPOSTELA BARANGAY GABI BIDS AND AWARDS COMMITTEE CP#: 0951-518-8927 INVITATION TO BID FOR  Procurement of Hardware Materials for Construction of Multi-Purpose Building ITB NO. 202</t>
  </si>
  <si>
    <t xml:space="preserve"> 1. The CITY GOVERNMENT OF CALAMBA through the Special Education Fund intends to apply the sum of PHP 19,997,004.00 being the Approved Budget for the Contract (ABC) to payments under the contract for: G-2020-197 Supply and Delivery of School Supplies City </t>
  </si>
  <si>
    <t xml:space="preserve"> Floor tiling of clinic and guidance office</t>
  </si>
  <si>
    <t xml:space="preserve"> REQUEST FOR QUOTATION The Department of Education, Taguig Integrated School, through SCHOOL BIDS and AWARDS COMMITTEE (SBAC) invites registered suppliers to submit a quotation for the hereunder project: PROJECT NAME : PROVISION OF HANDWASHING FACILITY OF </t>
  </si>
  <si>
    <t xml:space="preserve"> Republic of the Philippines Province of Cagayan Municipality of Aparri BARANGAY BISAGU -oOo- BIDS AND AWARDS COMMITTEE 								                           June 23, 2020 	 INVITATION TO APPLY FOR ELIGIBILITY AND TO BID The Barangay of BISAGU, Municipality o</t>
  </si>
  <si>
    <t xml:space="preserve"> 20CSE008: Consulting Services for the Conduct of Feasibility Study of the Proposed Coron-Culion Bridge, Palawan</t>
  </si>
  <si>
    <t xml:space="preserve"> Republic of the Philippines Province of Bukidnon Municipality of Damulog OFFICE OF THE BIDS AND AWARDS COMMITTEE INVITATION TO BID FOR CONCRETING OF MUNICIPAL STREETS (Jct. Jose Rizal St to Gregorio del Pilar St. to Jct. Manlabao St.) AT POBLACION, DAMULO</t>
  </si>
  <si>
    <t xml:space="preserve"> PROCUREMENT OF SLIPPERS (SANDAL TYPE) FOR AGE 6-12 YEARS The MUNICIPALITY OF AGUTAYA, through its Bids and Awards Committee (BAC), invites eligible suppliers/contractors to bid for the hereunder project: Project		:	 	 Requesting Office/End-user	:	MUNICIPA</t>
  </si>
  <si>
    <t xml:space="preserve"> Republic of the Philippines Province of Cagayan Municipality of Piat -o0o- OFFICE OF THE BIDS AND AWARDS COMMITTEE (BAC) INVITATION TO BID FOR PROCUREMENT OF FERTILIZER                                       The Local Government Unit of Piat, through a sha</t>
  </si>
  <si>
    <t xml:space="preserve"> Republic of the Philippines                                           Province of Leyte     MUNICIPALITY OF ALBUERA       OFFICE OF THE BIDS AND AWARDS COMMITTEE INVITATION TO BID 	The Local Government Unit of Albuera, Leyte through its Bids and Awards Co</t>
  </si>
  <si>
    <t xml:space="preserve"> -Supply and Delivery of Spare Parts of Grass Cutter for use in Maintenance  Section along Puerto Princesa North Road (PPNR) , Roxas, Palawan</t>
  </si>
  <si>
    <t xml:space="preserve"> Republic of the Philippines Department of Health WESTERN VISAYAS SANITARIUM Santa Barbara, Iloilo INVITATION TO BID FOR Procurement of Various Office Supplies,  Customized Logbooks &amp; Forms and ICT Consumables IB No. 2020-06-012-G The Western Visayas Sanit</t>
  </si>
  <si>
    <t xml:space="preserve"> Republic of the Philippines Province of Camarines Norte Municipality of Santa Elena BIDS AND AWARDS COMMITTEE INVITATION TO BID FOR PROCUREMENT OF MEDICINES (	4th QUARTER) 2019 CONTINUED FUNDING ITB NO. 2020-G-017 1.	The MUNICIPALITY OF STA. ELENA, CAMARI</t>
  </si>
  <si>
    <t xml:space="preserve"> Republic of the Philippines Province of Cagayan Municipality of Aparri BARANGAY MAURA -oOo- BIDS AND AWARDS COMMITTEE 								                           June 24, 2020 	 INVITATION TO APPLY FOR ELIGIBILITY AND TO BID The Barangay of MAURA, Municipality of </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</si>
  <si>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</si>
  <si>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1. The CITY GOVERNMENT OF CALAMBA through the General Fund intends to apply the sum of PHP 1,276,500.00 being the Approved Budget for the Contract (ABC) to payments under the contract for: G-2020-283 Supply and Delivery of Medical Equipment City Health Se</t>
  </si>
  <si>
    <t xml:space="preserve"> 1. The CITY GOVERNMENT OF CALAMBA through the GAD Fund intends to apply the sum of PHP 3,805,574.40 being the Approved Budget for the Contract (ABC) to payments under the contract for: G-2020-372 Supply and Delivery of Agricultural Inputs: Organic Swine P</t>
  </si>
  <si>
    <t xml:space="preserve"> 1. The CITY GOVERNMENT OF CALAMBA through the LGD Fund intends to apply the sum of PHP 2,094,000.00 being the Approved Budget for the Contract (ABC) to payments under the contract for: G-2020-371 Supply and Delivery of Blood Bank Refrigerator &amp; Plasma Fre</t>
  </si>
  <si>
    <t xml:space="preserve"> Various</t>
  </si>
  <si>
    <t xml:space="preserve"> 1. The CITY GOVERNMENT OF CALAMBA through the General Fund intends to apply the sum of PHP 7,530,411.00 being the Approved Budget for the Contract (ABC) to payments under the contract for: G-2020-322 Supply and Delivery of Drugs and Medicines City Health </t>
  </si>
  <si>
    <t xml:space="preserve"> 1. The CITY GOVERNMENT OF CALAMBA through the General Fund intends to apply the sum of PHP 3,360,000.00 being the Approved Budget for the Contract (ABC) to payments under the contract for: G-2020-281 Supply and Delivery of Rice Office of the City Mayor, C</t>
  </si>
  <si>
    <t xml:space="preserve"> 1. The CITY GOVERNMENT OF CALAMBA through the General Fund intends to apply the sum of PHP 1,717,416.00 being the Approved Budget for the Contract (ABC) to payments under the contract for: G-2020-361 Labor &amp; Materials for the Repair &amp; Maintenance of Water</t>
  </si>
  <si>
    <t xml:space="preserve"> Republic of the Philippines Province of Camarines Norte Municipality of Santa Elena BIDS AND AWARDS COMMITTEE INVITATION TO BID FOR OPERATION AND MAINTENANCE OF STA. ELENA MUNICIPAL WATER SYSTEM ITB NO. 2020-G-018 1.	The MUNICIPALITY OF STA. ELENA, CAMARI</t>
  </si>
  <si>
    <t xml:space="preserve"> BDRRM EQUIPMENTS</t>
  </si>
  <si>
    <t xml:space="preserve"> IB 2020-07-009 POC Procurement of Oxygen Cylinder 1800 PSI and Installation of Oxygen Manifold with Oxygen Pipe-in 2020-09</t>
  </si>
  <si>
    <t xml:space="preserve"> INVITATION TO BID  for  Supply and Delivery of 832 MT Asphalt Pre-Mix and 36 drums Emulsified Asphalt at PGO, Lingayen, Pangasinan (for use in the Asphalting/Blocktopping of Lingayen-San Carlos Road Dike at Lingayen, Pangasinan) Solicitation No. PANG-2020</t>
  </si>
  <si>
    <t xml:space="preserve"> Item No.	Qty.	Unit of Issue	Item Description      1	          1	   length 	        10" Ø x 20' B.I Pipe       2	          1	   length 	        6" Ø x 20' B.I Pipe       3	          1	   length 	        4" Ø x 20' B.I Pipe       4	          2	   length 	  </t>
  </si>
  <si>
    <t xml:space="preserve"> INVITATION TO BID  for  Construction of Provincial Youth Development Center at Lingayen, Pangasinan Solicitation No. PANG-2020-0798 1.	The Provincial Government of Pangasinan, through the PCF-DILG/Community Development Fund intends to apply the sum of Sev</t>
  </si>
  <si>
    <t xml:space="preserve"> I	SURFACE COURSE (Bituminouse Tack Coat)			 a	Emulsified Asphalt SS-1 (Bitumul)	5	drum	 				 II	SURFACE COURSE (Bituminous Concrete Surface Course)			 a	FDLRC AC/MIX (Grading E)			 	Bituminous Concrete Surface Course	98	m.t	 b 	EQUIPMENT (INCLUDED)			 	As</t>
  </si>
  <si>
    <t xml:space="preserve"> The BARANGAY BOMBA, through its BIDS AND AWARDS COMMITTEE (BAC) invites suppliers/manufacturers/distributors to apply for eligibility and to bid for the hereunder project: Name of Project: CONSTRUCTION/IMPROVEMENT OF DAY CARE CENTER Location: Barangay Bom</t>
  </si>
  <si>
    <t xml:space="preserve"> Republic of the Philippines PROVINCE OF ZAMBALES IBA BIDS AND AWARDS COMMITTEE Invitation to Bid for the Completion of 10 Classroom Two-Storey School Building with Multi-Purpose Covered Court Phase 1, Amungan High School, Iba 1.	The Province of Zambales, </t>
  </si>
  <si>
    <t xml:space="preserve"> Contract ID:      20HL0111 Contract Name: Repair/Maintenance of Flood Control &amp; Drainage Structures: Datag 1                         River Control Upstream "A"  Contract Location:  Datag, Siaton, Negros Oriental Scope of Works:  Construction of River Cont</t>
  </si>
  <si>
    <t xml:space="preserve"> INVITATION TO BID 26 June 2020 The municipality of Sampaloc through its Bids and Awards Committee (BAC) invites suppliers/manufacturers/distributors/contractors to apply for eligibility to bid for the hereunder project: ame of Project	:	SUPPLY AND DELIVER</t>
  </si>
  <si>
    <t xml:space="preserve"> Item 			 No.	ITEM &amp; DESCRIPTION	UNIT	QTY 			 			 			 1	Vertical Multi-Stage Submersible Pump	Lot	1 	3.0 Lps against 40 Meters TDH, Ø2 1/2 		 	Discharge Pipe, Stainless Steel casing &amp;		 	Impeller with mechanical Seal Fitted		 	on Stainless Steel Shaft coup</t>
  </si>
  <si>
    <t xml:space="preserve"> see attached doc</t>
  </si>
  <si>
    <t xml:space="preserve"> INVITATION TO BID The PILI WATER DISTRICT, through its BIDS AND AWARDS COMMITTEE invites suppliers/manufacturers to apply for eligibility and to bid for the following project: Name of Project:	Supply and Delivery of Various Pipes and Fittings Approved Bud</t>
  </si>
  <si>
    <t xml:space="preserve"> INVITATION TO  BID 26 June 2020 The municipality of Sampaloc through its Bids and Awards Committee (BAC) invites suppliers/manufacturers/distributors/contractors to apply for eligibility to bid for the hereunder project: Name of Project	:	SUPPLY AND DELIV</t>
  </si>
  <si>
    <t xml:space="preserve"> Republic of the Philippines        Province of Leyte     MUNICIPALITY OF ALBUERA       OFFICE OF THE BIDS AND AWARDS COMMITTEE INVITATION TO BID 	The Local Government Unit of Albuera, Leyte through its Bids and Awards Committee invites interested supplier</t>
  </si>
  <si>
    <t xml:space="preserve"> PARTICULARS	DATE Pre-bid Conference @ BAC Conference Room, GSO, 1st floor, New Capitol Blg, Pigcarangan, Tubod,LDN.	July 9,  2020 @ 10:00 AM Deadline for Submission of Eligibility requirements and bidding documents for bid opening (all bids must be placed</t>
  </si>
  <si>
    <t xml:space="preserve"> Item                    QTY                    Unit                             Item Description   # 1                         14                      rolls                    HDPE pipe 63mm o SDR-11 (60/roll) 2                         13                 </t>
  </si>
  <si>
    <t xml:space="preserve"> 1. The CITY GOVERNMENT OF CALAMBA through the General Fund intends to apply the sum of PHP 3,444,000.00 being the Approved Budget for the Contract (ABC) to payments under the contract for: G-2020-280 Supply and Delivery of Rice &amp; Personalized Sacks Office</t>
  </si>
  <si>
    <t xml:space="preserve"> 1. The CITY GOVERNMENT OF CALAMBA through the Special Education Fund intends to apply the sum of PHP 3,450,000.00 being the Approved Budget for the Contract (ABC) to payments under the contract for: G-2020-387 Supply and Delivery of Generator City Schools</t>
  </si>
  <si>
    <t xml:space="preserve"> Formulation /Updating  of the Ten (10) Year Comprehensive Land Use Plan (CLUP) CY 2021 – CY 2030 with Updated Maps Zoning Ordinance /  Comprehensive Development Plan  CY 2021 – CY 2030 of  Pagadian City INVITATION TO BID 2nd Posting 	The City Government o</t>
  </si>
  <si>
    <t xml:space="preserve"> 1. The CITY GOVERNMENT OF CALAMBA through the Special Education Fund intends to apply the sum of PHP 2,232,000.00 being the Approved Budget for the Contract (ABC) to payments under the contract for: G-2020-210 Supply and Delivery of Portable Pressure Wash</t>
  </si>
  <si>
    <t xml:space="preserve"> Supply and Delivery of Nylon use for Grass cutter along Puerto Princesa North Road, PPNR , Roxas, Palawan</t>
  </si>
  <si>
    <t xml:space="preserve"> Supply and Delivery of Nylon use for Grass Cutter along Coron-Busuanga National Road, CBNR &amp; Coron-Busuanga Road (F.B. Reyes Road) section , Coron, Palawan</t>
  </si>
  <si>
    <t xml:space="preserve"> 1.	Contract ID: 20EI0179 Contract Name: Repair/Rehab. Of Scoured Shoulder with Slope Protection along CSR K0164+800 – K0164+860, Brgy. Manaul,  Location: Mansalay, Oriental Mindoro Brief Description: Repair/Rehab. Of scoured Shoulder with Slope Protection</t>
  </si>
  <si>
    <t xml:space="preserve"> Const. Supplies &amp; Materials for the Concreting of Cote-Boybo Road Item No.	Quantity	Unit	Description			 1	280	bags	Portland Cement 40kg			 2	25	cu.m.	Sand			 3	23	cu.m.	Gravel			 4	60	bd.ft	10pcs. 1 x 6 x 12 coco lumber			 5	10	kg	CW nails, assorted</t>
  </si>
  <si>
    <t xml:space="preserve"> 124.80 cm (7.62) cubic inch Single cylinder, four stroke 9.40 HP (6.9) @ 75000 RPM 10.40 mm (1.1kgf-m or 7.7 ft lbs) @ 5000 rpm 52.4 *57.9 mm (2.1 * 2.3 inches)</t>
  </si>
  <si>
    <t xml:space="preserve"> Republic of the Philippines Province of Cagayan Municipality of Aparri BIDS AND AWARDS COMMITTEE June 17, 2020   RE-INVITATION TO APPLY FOR ELIGIBILITY AND TO BID The Municipality of Aparri, through its Bids and Awards Committee (BAC), invites suppliers/ </t>
  </si>
  <si>
    <t xml:space="preserve"> Attahced herewith the Request for Proposal and Terms of Reference.</t>
  </si>
  <si>
    <t xml:space="preserve"> 2.	Contract ID:  Brief Description: Repair/Rehab. Of scoured Shoulder with Slope Protection of 46.00 ln.m.   Approved Budget for the Contract (ABC): PhP 664,612.34 Source of Funds: GAA FY - 2020 Contract Duration: 30 calendar days Bid Document Amount: PhP</t>
  </si>
  <si>
    <t xml:space="preserve"> Republic of the Philippines PROVINCE OF NUEVA VIZCAYA Invitation to Bid for the  IMPROVEMENT OF PAPAYA-CABINUANGAN-RUNRUNO ROAD Located at Kasibu, Nueva Vizcaya  1.	The Provincial Government of Nueva Vizcaya, through the 2020 20% Development Fund intends </t>
  </si>
  <si>
    <t xml:space="preserve"> Contract ID: 20-DO-0086 Contract Name	: Construction/Rehabilitation of Water Supply/Septage and Sewerage/ Rain Water Collectors – Rain Water Collectors in Public Facilities – Construction of Rain Water Collectors at Rodriguez, Rizal Contract Location	: Ro</t>
  </si>
  <si>
    <t xml:space="preserve"> INVITATION TO BID SUPPLY AND DELIVERY  OF ADDITIONAL SUPPLIES AND MATERIALS  FOR THE 2020 CENSUS OF POPULATION AND HOUSING (2020 CPH) 1.	The Philippine Statistics Authority – Regional Statistical Services Office II  (PSA-RSSO II), through the Fiscal Year </t>
  </si>
  <si>
    <t xml:space="preserve"> The Western Mindanao State University, through its Bids and Awards Committee (BAC), is inviting PhilGEPS registered suppliers to apply for eligibility and to submit bids for the item mentioned hereunder:  1.)	1	Unit	Steel Filing Cabinet 			* 4 drawers, ve</t>
  </si>
  <si>
    <t xml:space="preserve"> Contract ID:      20HL0110 Contract Name: Repair and Maintenance of Road Safety Facilities - Installation of                         New Traffic Signs along Dumaguete South Road, Dumaguete City-                        Valencia-Bacong Road, Sta. Catalina-P</t>
  </si>
  <si>
    <t xml:space="preserve"> Republic of the Philippines Province of Leyte Municipality of Pastrana BARANGAY LANAUAN INVITATION TO BID RENOVATION OF HEALTH CENTER  I.  SIGNBOARD II. EXCAVATION &amp; DEMOLITION   - .832cu.m III.MASSONRY WORKS - 29sq.m IV. CEILING WORKS    - 32sq.m V.  DOO</t>
  </si>
  <si>
    <t xml:space="preserve"> various Office Supplies</t>
  </si>
  <si>
    <t xml:space="preserve"> Construction of Multi-Purpose Building</t>
  </si>
  <si>
    <t xml:space="preserve"> Republic of the Philippines Province of Davao de Oro MUNICIPALITY OF COMPOSTELA BIDS AND AWARDS COMMITTEE CP#: 0998-571-7569 INVITATION TO BID FOR  Rehabilitation of Roads and Bridges at Purok 1-Poblacion - SB # 01 CY 2020 (Procurement of Diesel &amp; Gasolin</t>
  </si>
  <si>
    <t xml:space="preserve"> 1.	The Mindanao State University-Tawi-Tawi College of Technology and Oceanography (MSU-TCTO), through the MSU-TCTO Trust Fund,  intends to apply the sum of One Million Seven Hundred Twenty-one Thousand Four Hundred Four Pesos and 67/100 Centavos (PhP 1,72</t>
  </si>
  <si>
    <t xml:space="preserve"> 1. The CITY GOVERNMENT OF CALAMBA through the LDRRM Fund intends to apply the sum of PHP 9,599,999.36 being the Approved Budget for the Contract (ABC) to payments under the contract for: G-2020-369 Supply and Delivery of Advance Life Support Ambulance Loc</t>
  </si>
  <si>
    <t xml:space="preserve"> PARTICULARS	DATE Pre-bid Conference @ BAC Conference Room, GSO, 1st floor, New Capitol Blg, Pigcarangan, Tubod,LDN.	July 9,  2020 @ 10:00 AM Deadline for Submission of Eligibility requirements and bidding documents for  bid opening (all bids must be place</t>
  </si>
  <si>
    <t xml:space="preserve"> Republic of the Philippines DEPARTMENT OF PUBLIC WORKS AND HIGHWAYS CAPIZ 2ND DISTRICT ENGINEERING OFFICE REGIONAL OFFICE VI Dumalag, Capiz INVITATION TO BID The Department of Public Works and Highways, Capiz 2nd District Engineering Office, through its B</t>
  </si>
  <si>
    <t xml:space="preserve"> Republic of the Philippines Province of Davao de Oro MUNICIPALITY OF COMPOSTELA BIDS AND AWARDS COMMITTEE CP#: 0998-571-7569 INVITATION TO BID FOR  Rehabilitation of Roads and Bridges at Purok 7-Poblacion - SB # 01 CY 2020 (Procurement of Diesel &amp; Gasolin</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</si>
  <si>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</si>
  <si>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4 units HandHeld radio</t>
  </si>
  <si>
    <t xml:space="preserve"> The Department of Public Works and Highways, Nueva Ecija 1st District Engineering Office thru its Bids and Awards Committee (BAC) hereby notifies the following contractors classified by and registered with the Philippine Contractors Accreditation Board (P</t>
  </si>
  <si>
    <t xml:space="preserve"> The DPWH Nueva Ecija 1st DEO, through its Bids and Awards Committee (BAC), invites contractors to submit bids for the following contract:			 				 	20CE0225: Repair/Maintenance of River Bank Protection along Rio Chico River, Brgy. Mapangpang, Lupao, Nueva </t>
  </si>
  <si>
    <t xml:space="preserve"> The DPWH Nueva Ecija 1st DEO, through its Bids and Awards Committee (BAC), invites contractors to submit bids for the following contract:			 				 	20CE0223: Construction of 1STY2CL, Camanggahan ES, Carranglan, Nueva Ecija			 				 				 	CONTRACT DURATION: </t>
  </si>
  <si>
    <t xml:space="preserve"> 1 45 REAM/S PAPER - BOND,PG,A4,210MMX297MM,70GSM. 2 25 REAM/S PAPER - BOOK LEGAL,216MMX330MM(8-1/2"X13"),MIN OF 70GSM 3 18 PC/S INK - EPSON - BLACK T6641 4 4 PAIR/S SCISSORS - ORDINARY 15CM (6") 5 5 PC/S CORRECTION TAPE - W/ CASE 6 1 PC/S LAMINATES - 1.2m</t>
  </si>
  <si>
    <t xml:space="preserve"> The DPWH Nueva Ecija 1st DEO, through its Bids and Awards Committee (BAC), invites contractors to submit bids for the following contract:			 				 	20CE0222: Construction of 1STY2CL, Salvacion 2nd ES, Lupao, Nueva Ecija			 				 				 	CONTRACT DURATION: ___</t>
  </si>
  <si>
    <t xml:space="preserve"> 1. The CITY GOVERNMENT OF CALAMBA through the General Fund intends to apply the sum of PHP 2,424,000.00 being the Approved Budget for the Contract (ABC) to payments under the contract for: G-2020-370 Supply and Delivery of Wheelchair Office of the City Ma</t>
  </si>
  <si>
    <t xml:space="preserve"> Republic of the Philippines DEPARTMENT OF PUBLIC WORKS AND HIGHWAYS CAPIZ 2ND DISTRICT ENGINEERING OFFICE REGIONAL OFFICE VI Dumalag, Capiz INVITATION TO BID The Department of Public Works and Highways, Capiz 2nd District Engineering Office through its Bi</t>
  </si>
  <si>
    <t xml:space="preserve"> The DPWH Nueva Ecija 1st DEO, through its Bids and Awards Committee (BAC), invites contractors to submit bids for the following contract:			 				 	20CE0218: Construction of 2STY6CL, Doroteo R. Jose Elementary School, Cuyapo, Nueva Ecija			 				 				 	CONT</t>
  </si>
  <si>
    <t xml:space="preserve"> The DPWH Nueva Ecija 1st DEO, through its Bids and Awards Committee (BAC), invites contractors to submit bids for the following contract:			 				 	20CE0224: Repair/Maintenance of Collapsed Slope Protection, Cadaclan Bridge 2, along Pantabangan - Canili - </t>
  </si>
  <si>
    <t xml:space="preserve"> The DPWH Nueva Ecija 1st DEO, through its Bids and Awards Committee (BAC), invites contractors to submit bids for the following contract:			 				 	20CE0216: Construction of 2STY4CL, Cabaruan ES, Guimba, Nueva Ecija			 				 				 	CONTRACT DURATION: _______</t>
  </si>
  <si>
    <t xml:space="preserve"> The DPWH Nueva Ecija 1st DEO, through its Bids and Awards Committee (BAC), invites contractors to submit bids for the following contract:			 				 	20CE0213: Construction of 2STY6CL, Collado ES, Talavera, Nueva Ecija			 				 				 	CONTRACT DURATION: ______</t>
  </si>
  <si>
    <t xml:space="preserve"> The DPWH Nueva Ecija 1st DEO, through its Bids and Awards Committee (BAC), invites contractors to submit bids for the following contract:			 				 	20CE0219: Construction of 3STY15CL, Cuyapo CS, Cuyapo, Nueva Ecija			 				 				 	CONTRACT DURATION: ________</t>
  </si>
  <si>
    <t xml:space="preserve"> The DPWH Nueva Ecija 1st DEO, through its Bids and Awards Committee (BAC), invites contractors to submit bids for the following contract:			 				 	20CE0221: Construction of 1STY2CL, Maragol IS, Science City of Muñoz, Nueva Ecija			 				 				 	CONTRACT DUR</t>
  </si>
  <si>
    <t xml:space="preserve"> The DPWH Nueva Ecija 1st DEO, through its Bids and Awards Committee (BAC), invites contractors to submit bids for the following contract:			 				 	20CE0211: Construction of 2STY6CL, Homestead I ES, Talavera, Nueva Ecija			 				 				 	CONTRACT DURATION: __</t>
  </si>
  <si>
    <t xml:space="preserve"> Sealed Quotation - One (1) Lot Supply and Delivery of Various Computer for Pag-IBIG Fund Office of the Area Head, COA and Admin.</t>
  </si>
  <si>
    <t xml:space="preserve"> The DPWH Nueva Ecija 1st DEO, through its Bids and Awards Committee (BAC), invites contractors to submit bids for the following contract:			 				 	20CE0217: Construction of 2STY8CL, Guimba West CS, Guimba, Nueva Ecija			 				 				 	CONTRACT DURATION: ____</t>
  </si>
  <si>
    <t xml:space="preserve"> Republic of the Philippines Province of Zamboanga del Sur MUNICIPALITY OF LAKE WOOD BIDS AND AWARDS COMMITTEE Invitation to Bid for Procurement of Construction of Gender Sensitive Common C.R in this Municipality 1.	The Local Government Unit of Lake Wood, </t>
  </si>
  <si>
    <t xml:space="preserve"> The DPWH Nueva Ecija 1st DEO, through its Bids and Awards Committee (BAC), invites contractors to submit bids for the following contract:			 				 	20CE0212: Construction of 2STY8CL, Minabuyok ES, Talavera, Nueva Ecija			 				 				 	CONTRACT DURATION: ____</t>
  </si>
  <si>
    <t xml:space="preserve"> -SURPLUS COMMON EXCAVATION -FOUNDATION FILL -EMBANKMENT -REINFORCING STEEL -FORMS &amp; SCAFFOLDINGS -STRUCTURAL CONCRETE, CLASS "A" -MASONRY WORKS -PAINTING WORKS -STONE MASONRY -PIPE CULVERTS -CONSTRUCTION SAFETY AND HEALTH -BILLBOARD</t>
  </si>
  <si>
    <t xml:space="preserve"> The DPWH Nueva Ecija 1st DEO, through its Bids and Awards Committee (BAC), invites contractors to submit bids for the following contract:			 				 	20CE0214: Construction of 2STY6CL, Don Emiliano Soriano ES, Aliaga, Nueva Ecija			 				 				 	CONTRACT DURAT</t>
  </si>
  <si>
    <t xml:space="preserve"> Ext. Length 120 mts Width 1.5 mts</t>
  </si>
  <si>
    <t xml:space="preserve"> INVITATION TO BID Barangay Tamag, through its Bids and Awards Committee (BAC), invites contractors registered with and classified by the Philippine Contractors Accreditation Board (PCAB) to apply for eligibility and if found eligible, to bid for the hereu</t>
  </si>
  <si>
    <t xml:space="preserve"> ENVIRONMENT SAFETY EQUIPMENT</t>
  </si>
  <si>
    <t xml:space="preserve"> CONSTRUCTION SUPPLIES AND MATERIALS ONLY</t>
  </si>
  <si>
    <t xml:space="preserve"> Please see attached in the associated components for the Official Bid Form 14 unit Emergency Lights Document requirement *PhilGEPS Certificate * Mayors Permit</t>
  </si>
  <si>
    <t xml:space="preserve"> 30 PC's. 90 watts Automatic solar street lights with remote control 30 PC's. Facricated G.I.post  for solar panel ànd led bulbs</t>
  </si>
  <si>
    <t xml:space="preserve"> Installment of Radio Base and purchase of Hand held Radio</t>
  </si>
  <si>
    <t xml:space="preserve"> SITE CLEARING AND GRUBBING SURPLUS COMMON EXCAVATION SUBGRADE PREPARATION AGGREGATE BASE COURSE PCC PAVEMENT WARNING &amp; HAZARD SIGNS INCLUDING BOLLARDS CONSTRUCTION SAFETY AND HEALTH 4' x 8' Tarpaulin on 5mm thk. Marine Plywood with Helivitica Font (70dpi)</t>
  </si>
  <si>
    <t xml:space="preserve"> One (1) lot - Supply, Delivery and Installation of 42inch Full HD Digital Kiosk with Touch Screen of Pag-IBIG Fund Lipa Branch *See attached scope of works, technical specifications, etc..</t>
  </si>
  <si>
    <t xml:space="preserve"> INVITATION TO BID FOR SUPPLY/DELIVERY OF BRAND-NEW RESCUE VEHICLE 1.	The Municipality of Datu Piang, through the CY 2020 LOCAL DISASTER RISK REDUCTION MANAGEMENT FUND  intends to apply the sum of One Million Three Hundred Thousand Pesos (Php 1,300,000.00)</t>
  </si>
  <si>
    <t xml:space="preserve"> The DPWH Nueva Ecija 1st DEO, through its Bids and Awards Committee (BAC), invites contractors to submit bids for the following contract:			 				 	20CE0210: Construction of 2STY6CL, Mamandil PS, Talavera, Nueva Ecija			 				 				 	CONTRACT DURATION: _____</t>
  </si>
  <si>
    <t xml:space="preserve"> The DPWH Nueva Ecija 1st DEO, through its Bids and Awards Committee (BAC), invites contractors to submit bids for the following contract:			 				 	20CE0220: Construction of 2STY4CL, Muñoz National High School (Annex), Science City of Muñoz, Nueva Ecija			</t>
  </si>
  <si>
    <t xml:space="preserve"> Republic of the Philippines Province of Compostela Valley Municipality of Monkayo -o0o- INVITATION TO BID FOR THE PROCUREMENT OF DOCUMENT READER FOR ALCUCOA ACCREDITION PURPOSES  The Municipality of Monkayo, through the GENERL FUND intends to apply the su</t>
  </si>
  <si>
    <t xml:space="preserve"> Diesel Fuel		ltrs	6,680</t>
  </si>
  <si>
    <t xml:space="preserve"> June 25, 2020 	 	INVITATION TO BID		 			 	The City Government of Pasig through Ordinance No. 21 Series 2019 dated November 7, 2019 		 duly approved by the Sanggunian Panglungsod appropriated funds in the sum as enumerated 			 below being the Approved Budg</t>
  </si>
  <si>
    <t xml:space="preserve"> The Local Government Unit of the Island Garden City of Samal, through the Supplemental Budget#1 (2020) intends to apply the sum of Nine Hundred Seventy Seven Thousand Six Hundred Forty Nine Pesos and Twenty Three Centavos (₱977,649.23) being the Approved </t>
  </si>
  <si>
    <t xml:space="preserve"> Please refer to the attached List &amp; Specification of the items at the associated components: Bidders are also required to submit photocopy of the following documents within seven (7) calendar days after bid submission date. • Current and Valid Mayor’s Per</t>
  </si>
  <si>
    <t xml:space="preserve"> The Municipal Government of Luna, Isabela through its Bids and Awards Committee (BAC) invites contractors registered by the Philippine Contractors Accreditation Board (PCAB) to apply and bid for the hereunder project: Name of Project: REHABILITATION OF FA</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</si>
  <si>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</si>
  <si>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INVITATION TO BID The Bureau of Fisheries and Aquatic Resources Region 5 (BFAR 5), through the Government of the Philippines (GOP), for CY 2020 intends to apply the sum of Six Hundred Twenty Two Thousand Eight Hundred Pesos (PhP622,800.00) only, being the</t>
  </si>
  <si>
    <t xml:space="preserve"> Repair/Rehabilitation of Barangay Hall</t>
  </si>
  <si>
    <t xml:space="preserve"> The Local Government Unit-Municipality of Malinao, Aklan through the Bids and Awards Committee, intends to apply the sum of Eighty Four Thousand Five Hundred Twenty Nine Pesos and 00/100 (Php84,529.00) as the Approved Budget for the Contract (ABC) to paym</t>
  </si>
  <si>
    <t xml:space="preserve"> Republic of the Philippines Province of Compostela Valley Municipality of Monkayo -o0o- INVITATION TO BID FOR THE PROCUREMENT OF MATERIALS FOR THE PROJECT OF CONSTRUCTION OF FLOOD CONTROL DRAINAGE SYSTEM (REPROGRAMMED) LOCATED @ PUROK 7 &amp; PUROK 7A, POBLAC</t>
  </si>
  <si>
    <t xml:space="preserve"> Republic of the Philippines Province of Batanes	 MUNICIPALITY OF BASCO               INVITATION FOR NEGOTIATED PROCUREMENT  Small Value Procurement Project Reference No. :100-3-01-011 Name of Project	      : Drugs and Medicines Location of Project   : MLG</t>
  </si>
  <si>
    <t xml:space="preserve"> The Local Government Unit of the Island Garden City of Samal through the 20% Development Funds (2020) intends to apply the sum of Four Million Seven Hundred Ninety Four Thousand Two Hundred Sixty One Pesos and Thirty Four Centavos (₱4,794,261.34) being th</t>
  </si>
  <si>
    <t xml:space="preserve"> INVITATION OF BID The Municipality of Anda, Pangasinan, through its Bids and Awards Committee, invites bidder/suppliers to submit their Bid for the hereunder contract; Name of Contract: CONSTRUCTION OF LINE CANAL ALONG SAN JOSE              JUNCTION-TONDO</t>
  </si>
  <si>
    <t xml:space="preserve"> LAL-LO WATER DISTRICT Centro, Lal-lo, Cagayan REQUEST FOR QUOTATION June 24, 2020 Name of Company/Supplier: __________________________________________________ Address: __________________________________________________________________ Business Permit No.:</t>
  </si>
  <si>
    <t xml:space="preserve"> Republic of the Philippines Province of Compostela Valley Municipality of Monkayo -o0o- INVITATION TO BID FOR THE PROCUREMENT OF LABOR &amp; MATERIALS FOR THE PROJECT OF MULTI-PURPOSE HALL IMPROVEMENT-BARANGAY OLAYCON, MONKAYO, DAVAO DE ORO  The Municipality </t>
  </si>
  <si>
    <t xml:space="preserve"> The Local Government Unit of the Island Garden City of Samal, through the 20% Development Fund (SB#1) intends to apply the sum of One Million Nine Hundred Thirty Four Thousand Nine Hundred Sixteen Pesos and Twenty Nine Centavos (₱1,934,916.29) being the A</t>
  </si>
  <si>
    <t xml:space="preserve"> Republic of the Philippines Province of Compostela Valley Municipality of Monkayo -o0o- INVITATION TO BID FOR THE PROCUREMENT OF FUEL FOR MOBILIZATION OF VARIOUS OFFICES  The Municipality of Monkayo, through the GENERL FUND intends to apply the sum of ONE</t>
  </si>
  <si>
    <t xml:space="preserve"> Chicken Meat Production  for food sufficiency amidst the threat of Covid-19 Pandemic 5,000 head- one day old chick mixedbreed (immunized) 7 bag - chick booster 42 bag - broiler starter 5 bag - La Sota 650 sachet - Antibiotic (24 grms) 600 sachet - electro</t>
  </si>
  <si>
    <t xml:space="preserve"> Invitation to Bid SUPPLY AND DELIVERY OF CONSTRUCTION  MATERIALS FOR THE RENOVATION OF TRAINING CENTER (PHASE II) ITB No. R4B-20-06-08 1.The NIA MIMAROPA Regional Office, through the General Appropriations Act of 2020 intends to apply the sum of Two Milli</t>
  </si>
  <si>
    <t xml:space="preserve"> 1.	The Mindanao State University-Tawi-Tawi College of Technology and Oceanography (MSU-TCTO), through the MSU-TCTO TRUST FUND   intends to apply the sum of One Million Five Hundred Pesos and  0/100 Centavos (PhP1,500,000.00) being the Approved Budget for </t>
  </si>
  <si>
    <t xml:space="preserve"> 1.	200		pcs.		Plastic Envelope w/ handle	 2.	1600		pcs.		Notebooks	 3.	200		pcs.		Pencil	 4.	400		pcs.		Ballpen	 5.	200		pcs.		Sharpener	 6.	200		pcs.		Ruler	 7.	200		pcs.		Eraser	 8.	100		pcs.		Pad Paper (Grade 1-4)	 9.	50		pcs.		Intermediate Pad Paper	 </t>
  </si>
  <si>
    <t xml:space="preserve"> MUNICIPALITY OF BORBON DESCRIPTION 576 BOTTLES PARACETAMOL 250 MG SYRUP 288 BOTTLES CLOXACILLIN 250 MG SUSPENSION 20 BOXES/100 CLOXACILLIN 500MG CAPSULE 288 BOTTLES 250 MG SUSPENSION 5 BOXES/100 MEFENAMIC 500MG CAP 40 BOXES/100 AMOXICILLIN 500MG CAP 144 B</t>
  </si>
  <si>
    <t xml:space="preserve"> DISPERSANT</t>
  </si>
  <si>
    <t xml:space="preserve"> Republic of the Philippines Province of Camarines Norte MUNICIPALITY OF VINZONS BIDS AND AWARDS COMMITTEE (BAC) (Tel. # 446-63-09) 	 INVITATION TO BID FOR: PURCHASE OF EXPANDED NBS TESTING KITS  1.	The Local Government Unit of Vinzons through the MOOE – M</t>
  </si>
  <si>
    <t xml:space="preserve"> The DPWH Nueva Ecija 1st DEO, through its Bids and Awards Committee (BAC), invites contractors to submit bids for the following contract:			 				 	20CE0215: Construction of 2STY6CL, Concepcion ES, Santo Domingo, Nueva Ecija			 				 				 	CONTRACT DURATION</t>
  </si>
  <si>
    <t xml:space="preserve"> various Emergency and First Aid Kits</t>
  </si>
  <si>
    <t xml:space="preserve"> Sealed Quotation - One (1) Lot - Supply and Delivery of Various Computer Supplies of Pag-IBIG Fund</t>
  </si>
  <si>
    <t xml:space="preserve"> 150mm (6") dia. x 100mm (4") dia. CI Reducer, M/M 100mm (4") dia. CI Tee, M/M 100mm (4") dia. CI Tee, M/F with BNG 100mm (4) dia. CI Gate Valve, M/M 100mm (4") dia. CI Gate Valve, F/F 100mm (4") dia. CI Adaptor, M/F 110mm (4") dia. x 90deg. PVC Elbow, Lon</t>
  </si>
  <si>
    <t xml:space="preserve"> Surveying Services-Subdivisioning of Lot No. 2793 for Housing and resettlement and Subdivision Development 1. 1 lot relocation survey of lot no.2793 2. 1 lot monumenting of lot corners 3. 1 lot topographic survey for 3.0182 has at 0.50m 4. 1 lot parcellar</t>
  </si>
  <si>
    <t xml:space="preserve"> 2	unit	24-Port Gigabit Unmanaged Desktop Switch 6	unit	Desktop Computer  24	pcs 	Sealed Lead Acid Battery 12v 7.2Ah 30	pcs 	SSD 2.5" SATA 6Gb/s or higher 256GB  General Conditions: 1. All entries must be typewritten or in print. 2. Price validity shall be</t>
  </si>
  <si>
    <t xml:space="preserve"> The Local Government Unit of the Island Garden City of Samal through the 20% Development Fund (2020) intends to apply the sum of One Million Four Hundred Twenty Nine Thousand Nine Hundred Fifty Eight Pesos and Sixty Five Centavos (₱1,429,958.65) being the</t>
  </si>
  <si>
    <t xml:space="preserve"> Item Description	                                   Quantity	                                              Unit a.	Project Billboard                                 	1	                                              unit b.	Clearing and Grubbing of Source P</t>
  </si>
  <si>
    <t xml:space="preserve"> The Local Government Unit of the Island Garden City of Samal through the Special Education Fund – 2020 AB intends to apply the sum of One Million Four Hundred Eighteen Thousand Four Hundred Eighty Six Pesos and Thirty One Centavos (₱1,418,486.31) being th</t>
  </si>
  <si>
    <t xml:space="preserve"> INVITATION TO BID June 24, 2020            Contract ID Number	:  20GIA006 P.R. Number		:  2020-03-0041 dated March 18, 2020 (GOODS) A B C			:  P 4,600,000.00 Contract Location	:  Naval, Province of Biliran Brief Description	:  Procurement of DPWH Equipmen</t>
  </si>
  <si>
    <t xml:space="preserve"> Republic of the Philippines Province of Compostela Valley Municipality of Monkayo -o0o- INVITATION TO BID FOR THE PROCUREMENT OF LABOR &amp; MATERIALS FOR THE PROJECT OF REHABILITATION/IMPROVEMENT OF DRY MARKET @ BLOCK-1 BUILDING BLOCK 1, MARKET SITE, POBLACI</t>
  </si>
  <si>
    <t xml:space="preserve"> Aircondition 2 horse power, window type		unit	2</t>
  </si>
  <si>
    <t xml:space="preserve"> Republic of the Philippines DEPARTMENT OF PUBLIC WORKS AND HIGHWAYS NUEVA ECIJA 2ND DISTRICT ENGINEERING OFFICE REGIONAL OFFICE III San Isidro, Cabanatuan City INVITATION TO BID The   DPWH- Nueva Ecija 2nd District Engineering Office, through its Bids and</t>
  </si>
  <si>
    <t xml:space="preserve"> The Local Government Unit of the Island Garden City of Samal, through the Special Education Fund intends to apply the sum of One Million Four Hundred Forty Seven Thousand Pesos and Seventy Two Centavos (₱1,447,000.72) being the Approved Budget for the Con</t>
  </si>
  <si>
    <t xml:space="preserve"> Record Book 300pp Bondpaper long S-20 Bondpaper short S-20 Yellow pad Folder short Ballpen black12's Pencil 12's Correction Fluid Correction Pen Paper Clip Big Stapler #35 Stapler #10 Oil Pastel Staple Wire#35 Stapler Wire#10 12's Pentel Pen Assorted Pape</t>
  </si>
  <si>
    <t xml:space="preserve"> The Local Government Unit of the Island Garden City of Samal, through the CDRRMC (Trust Fund): Continuing GF intends to apply the sum of One Million Three Hundred Five Thousand One Hundred Seven Pesos and Sixty One Centavos (₱1,305,107.61) being the Appro</t>
  </si>
  <si>
    <t xml:space="preserve"> Billboard; Clearing &amp; Excavation; Covered Canal; Safety &amp; Health (Construction Health and Safety Requirement); Equipment Requirement: Cargo/service truck; concrete mixer (1 bagger); Truck with water tank; bar cutter; bar bender; 36 w.d.</t>
  </si>
  <si>
    <t xml:space="preserve"> The Local Government Unit of the Island Garden City of Samal through the 20% Development Fund intends to apply the sum of Nine Hundred Forty Eight Thousand One Hundred Forty Six Pesos and Seventy Centavos (₱948,146.70) being the Approved Budget for the Co</t>
  </si>
  <si>
    <t xml:space="preserve"> Invitation to Bid ITB-SSS-Goods-2020-018 SUPPLY, DELIVERY, INSTALLATION INTO OPERATIONAL STATE, AND MAINTENANCE OF AN INVESTMENT MANAGEMENT SYSTEM (IMS) (RE-ADVERTISEMENT) Approved Budget for the Contract (ABC)    : ₱ 66,400,000.00 (inclusive of Value Add</t>
  </si>
  <si>
    <t xml:space="preserve"> Payment for electrical expenses</t>
  </si>
  <si>
    <t xml:space="preserve"> the specification is available at the Bids and Awards Secretariat MPDC-2nd Floor, Lasam Municipal Town Hall Centro 02, Lasam, Cagayan</t>
  </si>
  <si>
    <t xml:space="preserve"> STRUCTURAL STEEL ROOF TRUSS (RAFTERS) STRUCTURAL STEEL (PURLINS) STRUCTURAL STEEL (FASCIA) METAL STRUCTURE ACCESSORIES (ANCHOR BOLT) METAL STRUCTURE ACCESSORIES (SAG ROD) METAL STRUCTURE ACCESSORIES (TURNBUCKLE) METAL STRUCTURE ACCESSORIES (CROSSBRACING) </t>
  </si>
  <si>
    <t xml:space="preserve"> 1. 2 unit Steel cabinet (140cm x 62cm) 2. 50 unit Mono block Chair (brown) 3. 4 Unit Office Wooden Table (102cm x 60cm)  4. 2 Unit Gang Chair (Metal 3 seater) 5. 6 Unit Wall Fan (high Performance motor, with thermal fuse protection, tilting head with osci</t>
  </si>
  <si>
    <t xml:space="preserve"> Estimated Expenditures for Lot A - Php 1,070,180.00        Item Description	       Quantity                	Unit a.		uPVC pipe 75 mm θ series-8 w/ rubber ring blue	320	Pcs. b.		uPVC pipe 100 mm θ series-8 w/ rubber ring blue	4	Pcs. c.		uPVC straight coupl</t>
  </si>
  <si>
    <t xml:space="preserve"> 30 MM SQ.</t>
  </si>
  <si>
    <t xml:space="preserve"> INVITATION TO BID FOR SUPPLY OF LABOR AND MATERIALS FOR THE  CONSTRUCTION OF COVERED LINE CANAL AT  BARANGAY POBLACION ZONE 1, TAAL, BATANGAS (CB INFRA 2020-01) 1.	The Barangay Government of Poblacion Zone 1,Taal, Batangas, through the 20% Development Fun</t>
  </si>
  <si>
    <t xml:space="preserve"> ASCORBIC ACID	10,000	TAB</t>
  </si>
  <si>
    <t xml:space="preserve"> 15	ream		Bond Paper, Short 1	ream		Bond Paper, A3 1	box		Continuous Form, 11x9 1/2 (1 Ply) 6	pads		Yellow Pad 10	pcs		Stainless Clip, XL 3	boxes		Push Pin, Small 2	boxes		Pencil, #2 2	btl		Water Based Correction Fluid 10	pcs		Correction Tape 10	pcs		Perma</t>
  </si>
  <si>
    <t xml:space="preserve"> The Local Government Unit of the Island Garden City of Samal, through the 20% Development Fund (SB#1) intends to apply the sum of One Million Four Hundred Seventy Four Thousand Thirty Three Pesos and Six Centavos (₱1,474,033.06) being the Approved Budget </t>
  </si>
  <si>
    <t xml:space="preserve"> Billboard; Clearing and Excavation; Structural Concrete (Class A); RSB (Grade 40); Grouted Riprap (Class A); Backfill; PCC Pavement (200 mm Thick); Safety &amp; Health (Construction Health and Safety Requirement); Equipment Requirement: One bagger mixer; Conc</t>
  </si>
  <si>
    <t xml:space="preserve"> The Local Government Unit of the Island Garden City of Samal, through the 20% Dev’t. Funds intends to apply the sum of One Million Eight Hundred Sixty Nine Thousand Four Hundred Sixty Three Pesos and Seventy Two Centavos (₱1,869,463.72) being the Approved</t>
  </si>
  <si>
    <t xml:space="preserve"> Republic of the Philippines Province of Compostela Valley Municipality of Monkayo -o0o- INVITATION TO BID FOR THE PROCUREMENT OF LABOR &amp; MATERIALS FOR THE PROJECT OF CONSTRUCTION OF MULTI-PURPOSE HALL-BABAG, MONKAYO, DAVAO DE ORO The Municipality of Monka</t>
  </si>
  <si>
    <t xml:space="preserve"> Rebidding of Const. Supply &amp; Materials for the Maint. of BCR, Various Section Item	Quantity	Unit of	Item Description	 No.		Issue		 				 1	155	bgs	Portland Cement 40 kg	 2	20	cu.m.	Sand	 3	27	cu.m.	Gravel	 4	240	bd.ft.	1 x 8 x 12 cocolumber	 5	20	kgs	CW na</t>
  </si>
  <si>
    <t xml:space="preserve"> Billboard; Site Works; Forms and Falseworks; Reinforcing Steel; Structural Concrete;  Safety &amp; Health (Construction Health and Safety Requirement);  Equipment Requirement: Dump truck; bar bender; bar cutter; 21 w.d.</t>
  </si>
  <si>
    <t xml:space="preserve"> FLOOR STANDING, INVERTER TYPE</t>
  </si>
  <si>
    <t xml:space="preserve"> The Local Government Unit of the Island Garden City of Samal, through the 20% Development Fund (2020) intends to apply the sum of Nine Hundred Fifty Thousand Nine Hundred Fifty Five Pesos and Fifty Nine Centavos (₱950,955.59) being the Approved Budget for</t>
  </si>
  <si>
    <t xml:space="preserve"> Republic of the Philippines Municipality of Taytay Barangay Pularaquen  NOTICE TO BIDDERS 1.	BACKFILLING/WIDENING OF BARANGAY ROADS Item#	Description			QTY.		UNIT	 1.	Diesel				2600		lit The two envelope system of procurement shall be observed, Bidding do</t>
  </si>
  <si>
    <t xml:space="preserve"> I. Mobilization II. Demolition III. CSHP IV. Line Canal (L=41.2) V. Steel Grating VI. Equipment</t>
  </si>
  <si>
    <t xml:space="preserve"> I. Mobilization II. CSHP III. Concrete Works (Slab on Grade) IV. Masonry Works V. Equipment Labor</t>
  </si>
  <si>
    <t xml:space="preserve"> bond paper printer ink folders</t>
  </si>
  <si>
    <t xml:space="preserve"> Republic of the Philippines Province of Camarines Norte Municipality of Santa Elena BIDS AND AWARDS COMMITTEE INVITATION TO BID FOR CONCRETING OF FARM TO MARKET ROAD ITB NO. 2020-I-019 1.	The MUNICIPALITY OF STA. ELENA, CAMARINES NORTE through the LOCAL G</t>
  </si>
  <si>
    <t xml:space="preserve"> The Local Government Unit of the Island Garden City of Samal, through the 20% Development Fund (2020) intends to apply the sum of One Million Nine Hundred Twenty Two Thousand Four Hundred Twenty Pesos and Seventy Four  Centavos (₱1,922,420.74) being the A</t>
  </si>
  <si>
    <t xml:space="preserve"> Laptop 15.6" (Core i7 / 8 gb ram DDR4 Windows 10 / 1 TB HDD</t>
  </si>
  <si>
    <t xml:space="preserve"> Rebidding of Const. Supply &amp; Materials for the Repair/Maint. of Port Facilities Item	Quantity	Unit of	Item Description	 No.		Issue		 				 1	235	bgs	Portland Cement 40 kg	 2	25	cu.m.	Sand	 3	28	cu.m.	Gravel	 4	10	gal	Epoxy Primer Gray	 5	5	gal	QDE	 6	5	gal</t>
  </si>
  <si>
    <t xml:space="preserve"> I. Mobilization II. Excavation III. CSHP IV. Concrete Works V. Steel Works VI. Formworks VII. Masonry Works Labor</t>
  </si>
  <si>
    <t xml:space="preserve"> Republic of the Philippines Province of Davao de Oro MUNICIPALITY OF COMPOSTELA BIDS AND AWARDS COMMITTEE CP#: 0998-571-7569 INVITATION TO BID FOR  Rehabilitation of Roads and Bridges at Purok 11-Poblacion - SB # 01 CY 2020 (Procurement of Diesel &amp; Gasoli</t>
  </si>
  <si>
    <t xml:space="preserve"> Office supplies</t>
  </si>
  <si>
    <t xml:space="preserve"> Republic of the Philippines Province of Compostela Valley Municipality of Monkayo -o0o- Invitation to Bid for The Procurement of Labor &amp; Materials for The Project of Rehabilitation/ Improvement of Evacuation Center 1- Poblacion, Monkayo, Davao De Oro The </t>
  </si>
  <si>
    <t xml:space="preserve"> Conference Table with 8 Chairs &amp; Top Glass and Exec. Chair</t>
  </si>
  <si>
    <t xml:space="preserve"> Sealed Quotation - One (1) Lot - Supply and Delivery of Various Office Supplies of Pag-IBIG Fund</t>
  </si>
  <si>
    <t xml:space="preserve"> The Bids and Awards Committee								 Province of Iloilo								 								      In connection with your Invitation to Bid No. PEO-20-0639 B (Rebid) scheduled on July 3, 2020, I/we proposed to furnish and deliver in conformity with the terms and conditions,</t>
  </si>
  <si>
    <t xml:space="preserve"> I. 	STEEL WORKS				 	Gi pipe sched 40 1 1/4 Gi Pipe	42	pcs		 	1 1/2 x 1/4 thk angle bar	50	pcs		 	Steel matting 4.5 mm (4'x8')	34	pcs		 	welding rod (25kg/box)	1	bpx		 	cutting disc 14 dia (steel)	8	pcs		 	cutting disc 4" dia (steel)	14	pcs		 	grinding di</t>
  </si>
  <si>
    <t xml:space="preserve"> 1.	The Capiz Provincial Government, through the GOP–2020 intends to apply the total amount of Two Million Pesos (Php 2,000,000.00) being the total aggregated Approved Budget for the Contract (ABC) to payments under the contract of Public Bidding for the S</t>
  </si>
  <si>
    <t xml:space="preserve"> The Local Government Unit of the Island Garden City of Samal, through the 20% Development Fund (2020) intends to apply the sum of Eight Hundred Fifty Nine Thousand Six Hundred Seventy Pesos (₱859,670.00) being the Approved Budget for the Contract (ABC) to</t>
  </si>
  <si>
    <t xml:space="preserve"> REQUEST FOR QUOTATION (RFQ)-SUPPLY, DELIVERY AND INSTALLATION OF ONE (1) UNIT AUTOMATIC TRANSFER SWITH FOR GENSET Area of Delivery		:  DBP Pagadian Branch                                    Rizal Avenue, Balangasan District, Pagadian City Project/Category</t>
  </si>
  <si>
    <t xml:space="preserve"> Construction of Toilet Facilities and Water Facilities</t>
  </si>
  <si>
    <t xml:space="preserve"> Billboard; Clearing and Excavation(Manual); Guardrails; Structural Concrete; Painting Works; Manual Hauling; Safety &amp; Health (Construction Health and safety Requirement); Equipment Requirement: Cargo/service truck; generator (diesel or gasoline); welding </t>
  </si>
  <si>
    <t xml:space="preserve"> CLEARING AND/OR GRUBBING EXCAVATION CURB AND GUTTER CEILING WORKS DOORS ROOFING PAINTING WORKS PROJECT BILLBOARD OTHERS( PLUMBING AND ELECTRICAL ACCESORIES)</t>
  </si>
  <si>
    <t xml:space="preserve"> Item No.      Quantity        Unit of Issue        Description     1                100                  Pcs               Dry Type Water Meter Specifications: * 1/2" diameter, brass, complete with tailpiece * Antimagnetic * Uni-directional Note: 1. This </t>
  </si>
  <si>
    <t xml:space="preserve"> Republic of the Philippines Province of Samar Municipality of Sta. Rita The Municipality of Sta. Rita, through Municipal Agriculture Office MOOE fund intends to apply the sum of TWO MILLION PESOS (Php2,000,000.00) ONLY being the Approved Budget for the Co</t>
  </si>
  <si>
    <t xml:space="preserve"> Request for Quotation for the Procurement of Chemical and Filtering Supplies to be used at Regional Soils Laboratory 1.	The Department of Agriculture-Regional Field Office 7 (DA-RFO 7), through the General Appropriations Act of CY 2020)  intends to apply </t>
  </si>
  <si>
    <t xml:space="preserve"> 300 bags Complete Fertilizer (14-14-14)</t>
  </si>
  <si>
    <t xml:space="preserve"> BARANGAY USE</t>
  </si>
  <si>
    <t xml:space="preserve"> Procurement of hygiene kits as augmentation support to LGUs to respond to the impact of COVID-19 and for stockpiling Hygiene Kits - 1,000 packs - 1 pc. bucket/pail with plastic cover , 20 liters capacity - 5 pcs of toothbrush conventional type, assorted c</t>
  </si>
  <si>
    <t xml:space="preserve"> Republic of the Philippines Province of Compostela Valley Municipality of Monkayo -o0o- INVITATION TO BID FOR THE PROCUREMENT OF LABOR &amp; MATERIALS FOR THE PROJECT OF CONSTRUCTION OF MULTI-PURPOSE HALL-UPPER ULIP, MONKAYO, DAVAO DE ORO The Municipality of </t>
  </si>
  <si>
    <t xml:space="preserve"> Amoxicillin Cap. 500mg Amoxicillin Susp. 250mg/60ml. Amoxicillin Drops 15mg. Susp. Dicycloverine Tab. Catrimoxazole  800mg. /100mg. Loperamide Cap. 2mg. Carboceistine Cap. 500mg Carboceistine Syrup 60ml. Carboceistine Drops 15ml. Mefenamic Acid 500mg. Cap</t>
  </si>
  <si>
    <t xml:space="preserve"> Billboard; Dismantling of dilapidated pathway; site clearing &amp; excavation works; Railings; Concrete  Works; Manual Hauling of Materials;  Safety &amp; Health (Construction Health and safety Requirement); Equipment Requirement: Electric Jack Hammer; cargo/serv</t>
  </si>
  <si>
    <t xml:space="preserve"> Request for Quotation for the Procurement of Deionized Water to be used at Regional Soils Laboratory 1.	The Department of Agriculture-Regional Field Office 7 (DA-RFO 7), through the General Appropriations Act of CY 2020)  intends to apply the sum of Sixty</t>
  </si>
  <si>
    <t xml:space="preserve"> Republic of the Philippines Office of the Punong Barangay BIDS AND AWARDS COMMITTEE Barangay #5 Davila, Pasuquin, Ilocos Norte INVITATION TO BID FOR  Purchase of 200 pcs. Monobloc Chairs 1.	The BARANGAY #5 DAVILA-PASUQUIN, through the General Fund 2020  i</t>
  </si>
  <si>
    <t xml:space="preserve"> Republic of the Philippines Province of Iloilo  Municipality of Pototan BIDS AND AWARDS COMMITTEE INVITATION TO BID 1.	The Municipality of Pototan, through the Gen Fund‘‘ intends to apply the sum of (4,000,000.00) being the Approved Budget for the Contrac</t>
  </si>
  <si>
    <t xml:space="preserve"> 166 Bags Complete Fertilizer (14-14-14)</t>
  </si>
  <si>
    <t xml:space="preserve"> Republic of the Philippines Province of Samar Municipality of Sta. Rita The Municipality of Sta. Rita, through Municipal Agriculture Office MOOE fund intends to apply the sum of TWO MILLION FIVE HUNDRED THOUSAND PESOS (Php2,500,000.00) ONLY being the Appr</t>
  </si>
  <si>
    <t xml:space="preserve"> umbrella nails assorted paint</t>
  </si>
  <si>
    <t xml:space="preserve"> Portland Cement, 40kg., 20bags Sand, 2 cu.m Floor Tiles, Class A, 52 sq.m Floor Tiles, unglazed, 12 sq.m. ABC Tile adhesive, 5bags Tile Grout, 4packs Quick Drying Enamel, white, 2gal Latex Flat, white, 4 pails Latex Gloss, 2 pail Latex Gloss, Green Salad </t>
  </si>
  <si>
    <t xml:space="preserve"> 1 unit Adlay Milling Machine Specifications: 3.0hp Electric Motor 50-75kgs Output Capacity 95.0-99.9% Milling Efficiency 62.0% Maximum Milling Recovery 75kgs Dry Weight, Portable, Green Finish, w/ 2 sets extra blades &amp; 2 sets concave screens, selected too</t>
  </si>
  <si>
    <t xml:space="preserve"> Const. Supplies &amp; Materials for the Rehab of Togbongan Multi-Purpose Hall Item	Quantity	Unit of	Item Description	 No.		Issue		 				 1	40	bgs	Portland Cement 40 kg	 2	7	cu.m.	Sand, washed	 3	15	pcs	10mm Std RSB	 4	2	kg	GI Tie Wire #16	 5	12	pcs	1 1/2 dia G</t>
  </si>
  <si>
    <t xml:space="preserve"> Please see attached file for the terms of reference</t>
  </si>
  <si>
    <t xml:space="preserve"> Billboard; Safety &amp; Health (Construction Health and safety Requirement); Clearing and Site Preparation; Reinforcing Steel Bars; Concrete Works; Equipment Requirement: one bagger concrete mixer; dump truck; speed cutter; bar bender; 15 w.d</t>
  </si>
  <si>
    <t xml:space="preserve"> Communication Load Globe and Smart</t>
  </si>
  <si>
    <t xml:space="preserve"> Please see attached documents</t>
  </si>
  <si>
    <t xml:space="preserve"> Procurement supply and Delivery of One (1) Set Rescue Boat with Outboard Motor Engine and Trailer Location: LGU-Balingasag, Peoples Palace Balingasag, Misamis Oriental</t>
  </si>
  <si>
    <t xml:space="preserve"> Delivery of 1 unit outboard motor to be used by CPSD</t>
  </si>
  <si>
    <t xml:space="preserve"> Note: This Project has already been bid-out... Thank you...</t>
  </si>
  <si>
    <t xml:space="preserve"> The Local Government Unit of the Island Garden City of Samal through the 20% Development Funds (2020) intends to apply the sum of Four Million Eight Hundred Forty Nine Thousand One Hundred Six Pesos and Twenty Two Centavos (₱4,849,106.22) being the Approv</t>
  </si>
  <si>
    <t xml:space="preserve"> This project entails purchase of Construction supplies and materials for the maintenance of Mayor's office.</t>
  </si>
  <si>
    <t xml:space="preserve"> Request for Quotation for the Procurement of Autoclavable Plastic to be used in Metarhizium Production 1.	The Department of Agriculture-Regional Field Office 7 (DA-RFO 7), through the General Appropriations Act of CY 2020)  intends to apply the sum of Nin</t>
  </si>
  <si>
    <t xml:space="preserve"> CONCRETING: LENGTH : 236 METERS WIDTH : 1.0 METERS THICKNESS: 0.075 MTRS</t>
  </si>
  <si>
    <t xml:space="preserve"> SEE ATTACHED FILES</t>
  </si>
  <si>
    <t xml:space="preserve"> Note: This Project has already been bid-out. Thank You...</t>
  </si>
  <si>
    <t xml:space="preserve"> The Local Government Unit of the Island Garden City of Samal, through the 20%Dev’t. Fund(SB#01)  intends to apply the sum of One Million Eighty Two Thousand Three Hundred Seventy Nine Pesos and Eighty Nine Centavos only (₱1,082,379.89) being the Approved </t>
  </si>
  <si>
    <t xml:space="preserve"> Republic of the Philippines DEPARTMENT OF PUBLIC WORKS &amp; HIGHWAYS LEYTE THIRD ENGINEERING DISTRICT REGIONAL OFFICE VIII Villaba, Leyte Telefax No. (053) 552-9266 Email Add: dpwh_leyte3@yahoo.com INVITATION TO BID  June 17, 2020 The Department of Public Wo</t>
  </si>
  <si>
    <t xml:space="preserve"> The Local Government Unit of the Island Garden City of Samal, through the Supplemental Budget#1 (2020) intends to apply the sum of Two Million Eight Hundred Ninety Seven Thousand Nine Hundred Eighty Eight Pesos and Sixty Centavos (₱2,897,988.60) being the</t>
  </si>
  <si>
    <t xml:space="preserve"> Republic of the Philippines Province of Davao Oriental City of Mati BIDS &amp; AWARDS COMMITTEE INVITATION TO BID LOT Procurement of SLIDING WINDOWS for Use in the Repair of RSDC Windows SOURCE OF FUND: LCPC FUND [7999D1-200-5-02-99-990] 1.	The Provincial Gov</t>
  </si>
  <si>
    <t xml:space="preserve"> 10 pcs Certified Reference Materials (CRM) for Soil Analysis, 125g 3 pcs Pippetor and pippetor tips- 1 ml and 5 ml, Acid Resistant 1 pc Digital LCD Anemometer- for monitoring air velocity of fumehood - Air Velocity Range: 0.3-30m/s, 0.6-58knots; 1-108km/h</t>
  </si>
  <si>
    <t xml:space="preserve"> 10 pouches Lettuce, Funfair 10 pouches Lettce, Carlo Rosa 10 pouches Lettuce, Green Frillice 10 pouches Lettuce, Green Wave 15 cans Ampalaya (Galaxy 100g/can) 15 cans Amplaya(Bonito 100g/can) 10 cans Pakchoy Choy (500g/pack) 16 cans Tomato (Dimante Max, 2</t>
  </si>
  <si>
    <t xml:space="preserve"> Republic of the Philippines Province of Davao del Sur Municipality of Sta.Cruz Barangay Sibulan INVITATION TO BID PROCUREMENT OF MATERIALS FOR THE CONSTRUCTION OF DAY CARE CENTER 1. The Barangay Government of Sibulan, Sta.Cruz, Davao del Sur, through the </t>
  </si>
  <si>
    <t xml:space="preserve"> Republic of the Philippines BOHOL ISLAND STATE UNIVERSITY Main Campus, Tagbilaran City INVITATION TO BID FOR “RE-BIDDING: SUPPLY AND DELIVERY OF IT PARTS AND ACCESSORIES (PR NO. 2020-02-0120, 2020-02-0312, 2020-02-0203, 2020-02-0337, 2020-01-0034, 2020-01</t>
  </si>
  <si>
    <t xml:space="preserve"> REQUEST FOR QUOTATION (RFQ)-SUPPLY, DELIVERY AND INSTALLATION OF ONE (1) UNIT QUEUING MACHINE SYSTEM Area of Delivery		:  DBP Pagadian Branch                                    Rizal Avenue, Balangasan District, Pagadian City Project/Category             </t>
  </si>
  <si>
    <t xml:space="preserve"> Request for Quotation for the Preventive Maintenance and Calibration of Atomic Absorption Spectrophotometer 1.	The Department of Agriculture-Regional Field Office 7 (DA-RFO 7), through the General Appropriations Act of CY 2020)  intends to apply the sum o</t>
  </si>
  <si>
    <t xml:space="preserve"> Republic of the Philippines Province of Davao Oriental City of Mati BIDS &amp; AWARDS COMMITTEE INVITATION TO BID LOT Procurement of TIRES and AIRCON COMPRESSOR for the Use of the PNP Vehicles in Support to Peace and Public Safety Operation SOURCE OF FUND: PG</t>
  </si>
  <si>
    <t xml:space="preserve"> Note; This project has already been bid-out. Thank you...</t>
  </si>
  <si>
    <t xml:space="preserve"> Clearing and Grubbing; Structural Excavation; Reinforcing Steel Bar; Structural Concrete-Class A; Grouted Riprap; Billboard; Manual Hauling of Materials; Transportation;    Safety &amp; Health (Construction Health and safety Requirement); Equipment Requiremen</t>
  </si>
  <si>
    <t xml:space="preserve"> Amoxicillin-500mg Amoxicillin -250mg Amoxicillin -125mg Amoxicillin - drops cotrimoxazole 400mg cotrimoxazole syrup  Paracetamol Drops Paracetamol Tablet - 500mg Paracetamol Syrup -250mg Paracetamol Syrup -125mg Lagundi Capsul - 500mg Lagundi Syrup - 300m</t>
  </si>
  <si>
    <t xml:space="preserve"> Republic of the Philippines PROVINCE OF BUKIDNON Municipality of Don Carlos BIDS AND AWARDS COMMITTEE Invitation to Bid for the Supply &amp; Delivery of Various Construction Materials intended for Construction of Drainage Canal (Complete Bid) (Project Referen</t>
  </si>
  <si>
    <t xml:space="preserve"> Billboard; Clearing and Excavation; PCCP (pathway);Structural Concrete; Grouted Riprap; Installation of Railings;  Safety &amp; Health (Construction Health and safety Requirement); Equipment Requirement: Welding machine; Speed Cutter; Cargo Truck; 22 w.d.</t>
  </si>
  <si>
    <t xml:space="preserve"> Republic of the Philippines DEPARTMENT OF PUBLIC WORKS AND HIGHWAYS Region X OFFICE OF THE REGIONAL DIRECTOR Engineers’ Hill, Bulua, Cagayan de Oro City INVITATION TO BID FOR CONTRACT ID NO. 19GSK00052– SUPPLY &amp; INSTALLATION OF MOBILE COLUMN LIFT, POST LI</t>
  </si>
  <si>
    <t xml:space="preserve"> Note: This project has already been bid-out. Thank you...</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</si>
  <si>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</si>
  <si>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This project is own and govern by Barangay Nemeño, Josefina, Zamboanga del Sur.</t>
  </si>
  <si>
    <t xml:space="preserve"> 1. 20GEI0019 - Furnishing and Delivery of Materials for use in the Concrete and Asphalt Pavement along CSR KM123+000-KM193+000 (Intermittent Section),  Contract Location: Bongabong-Bulalacao, Oriental Mindoro Approved Budget for the Contract (ABC):  P 2,0</t>
  </si>
  <si>
    <t xml:space="preserve"> Note: This project has already been bid-out.. Thank you...</t>
  </si>
  <si>
    <t xml:space="preserve"> Billboard; Clearing and Excavation Works; Construction of Watertank (RSB, Formworks, manual hauling of materials); Installation of HDPE Pipe;  Safety &amp; Health (Construction Health and safety Requirement); Equipment Requirement: Cargo/service truck; bar cu</t>
  </si>
  <si>
    <t xml:space="preserve"> Specification: Model: 2020 2.4 E  DSL, 4x4 M/T ENGINE: 2GD-FTV,Type 2.4L Diesel,4-cylinder,16 valve DOHC Variable Nozzle Turbo with Front Mounted Inter cooler Displacement: 2,393 cc, Maximum Output : 147/3,400 hp/rpm, Maximum Torque : 400/1,600- 2,000 nm/</t>
  </si>
  <si>
    <t xml:space="preserve"> The Local Government Unit of the Island Garden City of Samal, through the 20% Development Fund intends to apply the sum of One Million Nine Hundred Thirty Two Thousand Nine Hundred Thirteen Pesos and Thirty Seven Centavos (₱1,932,913.37) being the Approve</t>
  </si>
  <si>
    <t xml:space="preserve"> The Municipality of Limay, through its Bids and Awards Committee (BAC) invites registered suppliers to apply for eligibility and if found eligible, to bid for the hereunder project/contract: Project/Contract:     PROCUREMENT OF ONE (1) SET THERMOPLASTIC R</t>
  </si>
  <si>
    <t xml:space="preserve"> The LOCAL GOVERNMENT UNIT OF ISLAND GARDEN CITY OF SAMAL, ), through the 20% Development Fund under the account code 1-07-03-040  intends to apply the sum of Seven Hundred Forty Three Thousand Three Hundred Ninety Six Pesos Only (Php743,396.00) being the </t>
  </si>
  <si>
    <t xml:space="preserve"> The LOCAL GOVERNMENT UNIT OF ISLAND GARDEN CITY OF SAMAL, ), through the 20% Development Fund under the account code 1-07-03-050  intends to apply the sum of Two Million Eight Hundred Ninety-Four Thousand Seven Hundred Fifty-Five (2,894,755.00) being the </t>
  </si>
  <si>
    <t xml:space="preserve"> Supply and Installation of Air condition unit with Feederline	1	set Specifications:  2.0HP Wall mounted, basic type *DILG-Cavite		 Supply and Installation of Air condition unit with Feederline	1	set Specifications:  2.0HP Wall mounted, basic type *PDRRMO	</t>
  </si>
  <si>
    <t xml:space="preserve"> Republic of the Philippines BARANGAY 816, ZONE 88, DISTRICT V, MANILA BIDS AND AWARDS COMMITTEE INVITATION TO BID (ITB) The BARANGAY 816, ZONE 88, DISTRICT V, MANILA. Through it's Bids and Awards Committee (BAC), to bid for the here under project. Project</t>
  </si>
  <si>
    <t xml:space="preserve"> 38 drums              Granular Chlorine, 45kgs/drum, 70% Purity, US</t>
  </si>
  <si>
    <t xml:space="preserve"> The LOCAL GOVERNMENT UNIT OF ISLAND GARDEN CITY OF SAMAL, ), through the 20%  Development Fund under the account code 1-07-03-040  intends to apply the sum of One Million Thirty-Nine thousand Eighty Pesos and Forty Centavos Only (Php1,039,080.40) being th</t>
  </si>
  <si>
    <t xml:space="preserve"> Please see attached Invitation to Bid</t>
  </si>
  <si>
    <t xml:space="preserve"> can	INSECTICIDE, aerosol type, net content: 600ml min bottle	ALCOHOL, ethyl, 68%-70%, scented, 500ml (-5ml) bottle	STAMP PAD INK, purple or violet pad	NOTE PAD, stick on, 50mm x 76mm (2" x 3") min piece	NOTEBOOK, STENOGRAPHER, spiral, 40 leaves ream	PAPER</t>
  </si>
  <si>
    <t xml:space="preserve"> Fabrication and Installation of Steel Goal</t>
  </si>
  <si>
    <t xml:space="preserve"> Item Description: 2,500 pcs MONOBLOCK CHAIRS</t>
  </si>
  <si>
    <t xml:space="preserve"> Procurement and installation of basic and unified Internet Network at TESDA Provincial Trainnig Center-Ifugao.</t>
  </si>
  <si>
    <t xml:space="preserve"> INVITATION TO BID (ITB) Procuring Entity : BARANGAY LOCAL GOVERNMENT UNIT BRGY. COGON, LA PAZ, LEYTE Title of Project : ROAD CONCRETING Approved Budget of the Contract (ABC) : Php 431,356.80 Area of Delivery : BRGY. COGON, LA PAZ, LEYTE Description: The B</t>
  </si>
  <si>
    <t xml:space="preserve"> Bond Paper s-20 Bond Paper s-20 Carbon Paper Plastofail Long Folder Long Ballpen Pencil Elmers' Glue Big Glue Stick Big Record Book 500pp. Record Book 300pp. Record Book 200pp. Staple Wire No.10 12's Staple Wire No. 35 Manila Paper Cartolina Asst'd. Faste</t>
  </si>
  <si>
    <t xml:space="preserve"> Republic of the Philippines CITY GOVERNMENT OF LA CARLOTA BIDS AND AWARDS COMMITTEE OFFICE TEL. NO.  735-1370                                                                                                      	               	 INVITATION TO BID FOR THE </t>
  </si>
  <si>
    <t xml:space="preserve"> The LOCAL GOVERNMENT UNIT OF ISLAND GARDEN CITY OF SAMAL, ), through the 20% Development Fund under the account code 1-07-03-050  intends to apply the sum of Eight Hundred Fifty-Nine Thousand One Hundred Pesos and Forty Five Centavos (PhP859,100.45) being</t>
  </si>
  <si>
    <t xml:space="preserve"> delivery of materials</t>
  </si>
  <si>
    <t xml:space="preserve"> INVITATION TO BID COMPLETION OF MULTI PURPOSE HALL CUM EVACUATION CENTER 1.	The Local Government Unit of Cabadbaran City through the 20% DEVELOPMENT FUND OF 2019 SUPPLEMENTAL BUDGET NO. 2  intends to apply the sum of  TWO MILLION ONE HUNDRED SIXTY-EIGHT T</t>
  </si>
  <si>
    <t xml:space="preserve"> Republic of the Philippines DEPARTMENT OF PUBLIC WORKS AND HIGHWAYS Region X OFFICE OF THE REGIONAL DIRECTOR Engineers’ Hill, Bulua, Cagayan de Oro City INVITATION TO BID FOR CONTRACT ID NO. 20GSK00013– SUPPLY &amp; DELIVERY OF DESKTOP COMPUTER &amp; LASER PROJEC</t>
  </si>
  <si>
    <t xml:space="preserve"> Request for Quotation for the Procurement of Animal/Zoological Supplies to be given to the Cooperatives or Farmers Associations in support to Covid-19 Response Program in the Region 1.	The Department of Agriculture-Regional Field Office 7 (DA-RFO 7), thro</t>
  </si>
  <si>
    <t xml:space="preserve"> Supply &amp; Delivery of Materials with Installation</t>
  </si>
  <si>
    <t xml:space="preserve"> 10	Pcs	out let universal # 3 gang 10	Pcs	switch box 5	Pcs	3.5mm wire standard  50	meters	receptacle # 4 flush type  3	Pcs	length molding 20	meters	Pdx wire  # 12 20	pcs	Junction box w/ cover  10	pack	staple wire 1  95	pcs	Tox 6mm  100	Pcs	screw 6mm  7	Pcs</t>
  </si>
  <si>
    <t xml:space="preserve"> Republic of the Philippines DEPARTMENT OF PUBLIC WORKS AND HIGHWAYS Region X OFFICE OF THE REGIONAL DIRECTOR Engineers’ Hill, Bulua, Cagayan de Oro City RE-INVITATION TO BID FOR CONTRACT ID NO. 20GSK00009 – SUPPLY AND DELIVERY OF OFFICE SUPPLIES &amp; CONSUMA</t>
  </si>
  <si>
    <t xml:space="preserve"> Materials and Equipment to be used for TLE</t>
  </si>
  <si>
    <t xml:space="preserve"> 400 pcs           Replacement Brass, ¾, Flare Type</t>
  </si>
  <si>
    <t xml:space="preserve"> INVITATION TO QUOTE Date:  June 25, 2020 1.	The Provincial Government of Davao del Sur, through its Bids and Awards Committee (BAC), invites all interested bidders/suppliers to quote for the following goods under Alternative Methods of Procurement (Small </t>
  </si>
  <si>
    <t xml:space="preserve"> PLS SEE ATTACHED FILE</t>
  </si>
  <si>
    <t xml:space="preserve"> The LOCAL GOVERNMENT UNIT OF ISLAND GARDEN CITY OF SAMAL, ), through the 20%  Development Fund under the account code 1-07-03-040  intends to apply the sum of Eight Hundred Eighty-Five Thousand Nine Hundred Thirteen Pesos and Twenty- Centavos (Php885,913.</t>
  </si>
  <si>
    <t xml:space="preserve"> Republic of the Philippines									 Province of Batangas									 City  of Sto. Tomas									 Barangay STA. TERESITA									 									 									 INVITATION TO BID									 									 The Barangay Government of Sta. Teresita, City of Sto. Tomas, Batangas</t>
  </si>
  <si>
    <t xml:space="preserve"> 1.  12  sets  Tires  8.25x16,  14 ply road lug with tube &amp; flap xxxxxxxxxxxxxxxxxxxxxxxxxxxxxxxxxxxxxxxxxxxxxxxxxxxxxxxxx</t>
  </si>
  <si>
    <t xml:space="preserve"> Request for Quotation for the Procurement of Office Supplies for the DA SAAD PPMSO Bohol 1.	The Department of Agriculture-Regional Field Office 7 (DA-RFO 7), through the General Appropriations Act of CY 2019)  intends to apply the sum of Sixty Thousand Pe</t>
  </si>
  <si>
    <t xml:space="preserve"> INVITATION TO BID  for  Supply and Delivery of One (1) unit Vehicle at Provincial Health Office (for the I Love Pangasinan Kalusugan Karavan) Solicitation No. PANG-2020-801 1.	The Provincial Government of Pangasinan, through the PHO-Maintenance and Other </t>
  </si>
  <si>
    <t xml:space="preserve"> Republic of the Philippines SILAY CITY GOVERNMENT Zamora Street Silay City, Negros Occidental Telefax No. (034) 495-3746 	Control  Reference Number : GOODS#0127, ITB#0130,  PR#0383: SCG-2020 Name of the Project: Purchase of Gasoline Premium for use in Gov</t>
  </si>
  <si>
    <t xml:space="preserve"> CONSTRUCTION OF CONCRETE CANAL  OVER @ BRGY. CROSSING, SAN ISIDRO, LEYTE Construction of 44 ln. m. x 1.2 m. wide x 0.1 m. thick concrete canal cover at the back of JFKMS.</t>
  </si>
  <si>
    <t xml:space="preserve"> Republic of the Philippines									 Province of Batangas									 City of Sto. Tomas									 Barangay SAN VICENTE									 									 									 INVITATION TO BID									 									 The Barangay Government of San Vicente, City of Tomas, Batangas through i</t>
  </si>
  <si>
    <t xml:space="preserve"> Republic of the Philippines PROVINCE OF DAVAO DE ORO Municipality of Nabunturan Barangay Magsaysay INVITATION TO BID  MATERIALS AND INSTALATTION OF 2 IN 1 TYPE OF SOLAR LED STREETLIGHTS (BARANGAY SITE) 1.	The Barangay Magsaysay, through the Supplemental N</t>
  </si>
  <si>
    <t xml:space="preserve"> Republic of the Philippines MANUEL LUIS QUEZON ELEMENTARY SCHOOL Quezon City REQUEST FOR QUOTATION “Purchase of Supplies and Materials for Virtual In-Service Training” 1.	The MANUEL LUIS QUEZON Elementary School through its Bids and Awards Committee invit</t>
  </si>
  <si>
    <t xml:space="preserve"> 50 pcs Training Shirts 24 pcs MNC Shirts/Uniforms</t>
  </si>
  <si>
    <t xml:space="preserve"> - The Barangay Lumay, call for quotation for the procurement of 1 set pre-fab, fiber glass board with complete accessories. - The Estimated Budget Cost is One Hundred Fifty Thousand Pesos (Php150,000.00). - Interested bidders may obtain further informatio</t>
  </si>
  <si>
    <t xml:space="preserve"> Provision of Security Services From March 1- December 31, 2020</t>
  </si>
  <si>
    <t xml:space="preserve"> Republic of the Philippines  City of Canlaon Office of the Bids and Awards Committee  INVITATION TO BID FOR the Improvement of Brgy. Multi-purpose Building The Local Government of Canlaon City, through AIP 2018. Intends to apply the sum Two Hundred Ninety</t>
  </si>
  <si>
    <t xml:space="preserve"> PR2020-05-014 - Purchase and delivery of vehicle parts and accessories for use of various service vehicles, this office</t>
  </si>
  <si>
    <t xml:space="preserve"> 2 UNITS Printer w/ Scanner L1455 A3 Wifi Duplex All in-one Ink Printer Multi Scan (up to A3 Paper) Automatic Duplex Print speed up to 32ppm/ 20ppm Fax and ADF capability Ethernet &amp; Wifi Direct 2 years or 80,000 prints 1 UNIT Desktop Clone Processor Intel </t>
  </si>
  <si>
    <t xml:space="preserve"> 45 pcs Notebook 45 pcs Ballpen 45 pcs Design Plastic Envelop 45 pcs ID with Lace 50 pcs Face Shield 36 pcs Frames 4 packs Laid Paper (Certificate Paper)</t>
  </si>
  <si>
    <t xml:space="preserve"> Please submit your quotation for the following items on or before 5:00PM on Jul 06, 2020. ITEM D E S C R I P T I O N QTY. UNIT 1 Radio Transceiver, Handset Radio 3 unit Technical Specification Requirements: Portable handhel radio; water resistant, shock p</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</si>
  <si>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</si>
  <si>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Republic of the Philippines Province of Davao del Sur MUNICIPALITY OF MATANAO -oOo- INVITATION TO BID The Local Government Unit of Matanao, Davao del Sur, through its Bids and Awards Committee (BAC), invites interested ISO certified suppliers/distributors</t>
  </si>
  <si>
    <t xml:space="preserve"> Republic of the Philippines PROVINCE OF BUKIDNON  Municipality of Don Carlos BIDS AND AWARDS COMMITTEE REQUEST FOR QUOTATION 									 								Date:  								RFQ No.													Name of Project:  T-Shirt w/print 									 								End User:  Name of Compan</t>
  </si>
  <si>
    <t xml:space="preserve"> supply of fuel and lubricants (July to December 2020)</t>
  </si>
  <si>
    <t xml:space="preserve"> NOTICE OF PROCUREMENT June 26, 2020 Notice is hereby given that the Department of Public Works and Highways (DPWH)-BATAAN 2ND DISTRICT ENGINEERING OFFICE is undertaking the following contracts, through Negotiated Procurement in accordance with Section 53.</t>
  </si>
  <si>
    <t xml:space="preserve"> as per (electronic) attached:</t>
  </si>
  <si>
    <t xml:space="preserve"> SURVEY EXPENSES, SURVEY WORKS,... 70,000.00/lot prize 1.PHASE -1 A. GEODETIC WORKS 1. Structural and Topgraphic Survey 2. Design preparation Subdivision Plan base on the Standard of HLURB a.Residential Lots b. Road Lots c. Parks &amp; Play Ground d. Open Spac</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</si>
  <si>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</si>
  <si>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INVITATION TO BID  for  Construction of Two (2) Storey Multi-Purpose Building (for BSP Eastern Pangasinan Council) at Urdaneta City, Pangasinan Solicitation No. PANG-2020-0800 1.	The Provincial Government of Pangasinan, through the Community Development F</t>
  </si>
  <si>
    <t xml:space="preserve"> Bidding Date and Time: July 3, 2020 1:00 p.m.</t>
  </si>
  <si>
    <t xml:space="preserve"> Republic of the Philippines Province of Misamis Occidental Municipality of Aloran Barangay Lawa-an INVITATION TO BID FOR THE SUPPLY AND DELIVERY OF CONSTRUCTION MATERIALS FOR THE CONSTRUCTION OF CONCRETE FOOT BRIDGE/LAWA-AN, ALORAN, MIS. OC. 		JUNE 25, 20</t>
  </si>
  <si>
    <t xml:space="preserve"> Please quote your lowest price on the item(s) listed, subject to the Terms and Conditions stated below and submit your quotations duly signed by your representative not later than 9:00PM of July 2, 2020 in a sealed envelope to the Office of the BAC Secret</t>
  </si>
  <si>
    <t xml:space="preserve"> 1.  Open type collapsible tent, 3mtrs x 3mtrs with maruyama cover with print of barangay logo.  Heavy duty G.I.       pipe frame. 2.  Same as number one except 3mtrs x 6 mtrs. 3.  High strength Automatic Loading Ambulance Trolley Stretcher.  Lightweight a</t>
  </si>
  <si>
    <t xml:space="preserve"> Republic of the Philippines			 			Department of Agriculture			 			         BUREAU OF FISHERIES AND AQUATIC RESOURCES			 			Fisheries Regional Office No. 10			 			Macabalan, Cagayan de Oro City			 			TIN – 000-550-823-017			 _______________________________</t>
  </si>
  <si>
    <t xml:space="preserve"> Invitation to Bid for the Supply and Delivery of various Equipment for the use of Brgy. Tingga Itaas, Batangas City</t>
  </si>
  <si>
    <t xml:space="preserve"> BUDGET IS BELOW 50K</t>
  </si>
  <si>
    <t xml:space="preserve"> Procurement of materials (hardware &amp; aggregates)</t>
  </si>
  <si>
    <t xml:space="preserve"> INSTALLATION OF 3 SETS OF SOLAR STREETLIGHT 100 WATTS OF TAMPERED POST AND CONCRETE PEDESTAL.  A. 100 W/36V LED Light WITH SOLAR POWER SET UP AND 8 METERS STREETLIGHT POST WHICH INCLUDES:  I. 1 Post - round tampered post 3"x2"x8 meters. Completor with bas</t>
  </si>
  <si>
    <t xml:space="preserve"> 5 parts ENGINE OIL 1 part OIL FILTER 1 part AIR FILTER 1 part FUEL FILTER 2 parts TRANSMISSION OIL 2 parts DIFFERENTIAL OIL 1 part HAZARD SWITCH 2 parts SHOCK ABSORBER 5 parts STABILIZER BUSHING 2 parts UPPER CROSS ARM BALLJOINT ASSY. 1 part TIE ROD END I</t>
  </si>
  <si>
    <t xml:space="preserve"> 2     units     Air Conditioner, 2HP Window Type Aircon Location                      : BICOL UNIVERSITY POLANGUI CAMPUS, POLANGUI, ALBAY    Delivery Period		: 14 days PURCHASE OF TWO (2) UNITS AIR CONDITIONER TO BE USED IN THE LIBRARY The Bicol Universit</t>
  </si>
  <si>
    <t xml:space="preserve"> Multi-function Photocopying Machine (1 unit) - colored/black and white laser printer - built-in scanner - copying/printing speed: 14ppm - paper feeder: (A5-A3, 52-256g/m2)       &gt; standard: 1,150 sheets; max: 3,650 sheets - paper sizes: A6-SRA3 customized</t>
  </si>
  <si>
    <t xml:space="preserve"> 6 wheeler dumptruck</t>
  </si>
  <si>
    <t xml:space="preserve"> The Municipality of Gen. Mariano Alvarez, Cavite, through its Bids and Awards Committee (BAC), invites suppliers / manufacturers /distributors /contractors to apply for eligibility and to bid for the hereunder project:									 									 									 Name of</t>
  </si>
  <si>
    <t xml:space="preserve"> 1  Desktop Computer, core i7 (as per MS specification) - 8 units 1 Desktop Computer, core i5 (as per MS specification) - 1 unit</t>
  </si>
  <si>
    <t xml:space="preserve"> 2 Units Laptop 10 Units Mobile Phone</t>
  </si>
  <si>
    <t xml:space="preserve"> Coffee 3 in 1 28g x 30’s	40	Pack Jacobina	50	Pack Kaibigan Lengua	40	Jars Sugar White	10	Kilo Coffee Creamer 5g 48’s	13	Pack Coffee 3 in 1 Creamy White 29g x 30’s	13	Pack Sugar Washed (Muscovado)	10	Kilo Coffee Blanca 30g x 30’s	24	Pack  Coffee Brown	10	P</t>
  </si>
  <si>
    <t xml:space="preserve"> Item No. 1                             Item and Description                                                                              Quantity 	                               Microphone Audio System (Function Hall) with complete accessories           1</t>
  </si>
  <si>
    <t xml:space="preserve"> Invitation to Bid for the Supply and Delivery of various Medicine for the use of Brgy. Cuta, Batangas City</t>
  </si>
  <si>
    <t xml:space="preserve"> Purchase of supplies for Water System Maintenance - Brgy. Candabong, Dumanjug</t>
  </si>
  <si>
    <t xml:space="preserve"> 1.	The Municipality of Baliguian, now invites bids for the Construction of PNP Perimeter Fence with Drainage at PNP Station, Poblacion, Baliguian, Zamboanga del Norte.  2.	Bidding will be conducted in accordance with relevant procedures for open competiti</t>
  </si>
  <si>
    <t xml:space="preserve"> 1 UNIT DRONE Mavic 2 Pro  Sensor	1” CMOS Effective Pixels: 20 million Lens	FOV: about 77° 35 mm Format Equivalent: 28 mm Aperture: f/2.8–f/11 Shooting Range: 1 m to ∞ ISO Range	Video: 100-6400 Photo: 100-3200 (auto) 100-12800 (manual) Shutter Speed	Electr</t>
  </si>
  <si>
    <t xml:space="preserve"> Conferene Room					 1	8 Channel Mixer				1	unit 2	250w Powered Speaker, 8inch low/mid, 1 x tweeter				4	units 3	Speaker Stand				4	units 4	Conference microphone system controller - record and play function thru USB/SD, 3 groups capable of 20 units for eac</t>
  </si>
  <si>
    <t xml:space="preserve"> The Philippine Statistics Authority – Misamis Oriental Branch , (PSA-Mis. Or.) through its Technical Working Group (TWG ), will undertake an Alternative Mode of Procurement through Negotiated Procurement -for the items stated below,  in accordance with Se</t>
  </si>
  <si>
    <t xml:space="preserve"> Republic of the Philippines Province of Davao de Oro MUNICIPALITY OF COMPOSTELA BIDS AND AWARDS COMMITTEE CP#: 0998-571-7569 INVITATION TO BID FOR  Rehabilitation of Roads and Bridges at Purok 4-Poblacion - SB # 01 CY 2020 (Procurement of Diesel &amp; Gasolin</t>
  </si>
  <si>
    <t xml:space="preserve"> A.  APPROVED BUDGET FOR THE CONTRACT: DESCRIPTION: 3 Tonner Inverter Aircondition   (Freon 410A) QUANTITY: Three (3) Approved Budget for the contract inclusive of delivery, installation and taxes (in Php): Php 600,000.00 B. TECHNICAL SPECIFICATIONS:      </t>
  </si>
  <si>
    <t xml:space="preserve"> Date of Bidding : July 16,2020    Time of Bidding : 11: am    Place of Bidding:  Multi-Purpose Hall, Brgy. Agbatuan,Anilao,Iloilo    MATERIALS:  24 BAGS  CEMENT  2   CU.M   SAND  3   CU.M   GRAVEL  29 PCS.    RSB-10MMØX6M 24  PCS.    RSB- 9MMØX6M 8    KGS</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</si>
  <si>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</si>
  <si>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Construction of 50 ln. m. x 0.1 m. thick concrete pathway</t>
  </si>
  <si>
    <t xml:space="preserve"> UNIT	  DESCRIPTION		QUANTITY	 I.	PAINTING WORKS :			 	Qty.= 1   lot			 tin	Roofing Paint		        4	   gal (s)	Paint Thinner		4	   kg (s)	Patching Compound	10	   gal (s)	Glazing Putty		2	   tin	Flat Latex Paint		        4	   tin	Gloss Latex Paint		4	   se</t>
  </si>
  <si>
    <t xml:space="preserve"> Republic of the Philippines DEPARTMENT OF SOCIAL WELFARE AND DEVELOPMENT Field Office XI Ramon Magsaysay Ave. cor. Damaso Suazo St., Davao City Telefax (082) 226-2857 / 227-1964 / 2278746 e-mail: fo11@dswd.gov.ph Website:http://www.dswd.gov.ph INVITATION </t>
  </si>
  <si>
    <t xml:space="preserve"> ARTICLE AND DESCRIPTION                  										 ITEM	QTY	UNIT						CEILING 		UNIT PRICE			TOTAL  								PRICE					 			Office:  City General Services Office					PR No. 751					 			Charge to: Repair and Maintenance-Machinery &amp; Equipment										 			AB</t>
  </si>
  <si>
    <t xml:space="preserve"> 1 KILOS BROWN SUGAR - . 60 2 KILOS DRIED FISH-DILI PINIKAS - . 40 3 CAN SARDINES - . 160 4 BOT/S SOY SAUCE - . 50 5 KILOS COOKING OIL - . 60 6 CAN/S CORNED BEEF - 160 GRMS. 80 7 PCS NOODLES - . 300 8 SACK RICE - well-milled 25 9 PCK/S SALT - 250 GRMS-IODI</t>
  </si>
  <si>
    <t xml:space="preserve"> REQUEST FOR EXPRESSION OF INTEREST (REOI) FOR THE CONDUCT OF SUB-SOIL INVESTIGATION ACTIVITIES FOR WIDENING AT 30M. DEPTH (TOTAL 18-HOLES) Contract ID		:  20CSFJ01 Contract Name	: For the Conduct of Sub-Soil Investigation Activities for Widening at 30m. D</t>
  </si>
  <si>
    <t xml:space="preserve"> 1 2160 MTR/S PE PIPE - SDR 17-63mmx60m 2 36 PC/S PE COUPLING - 63mm 3 900 MTR/S PE PIPE - 20mm x 90m SDR 17 4 360 MTR/S PE PIPE - 50mm x 60m SDR 17 5 10 PC/S PE COUPLING - 20mm 6 6 PC/S PE COUPLING - 50mm</t>
  </si>
  <si>
    <t xml:space="preserve"> ARTICLE AND DESCRIPTION                  										 ITEM	QTY	UNIT						CEILING 		UNIT PRICE			TOTAL  								PRICE					 			Office:  City General Services Office					PR No. 752					 			Charge to: Printing and Publication Expenses					OBR No. 100-2005-04654</t>
  </si>
  <si>
    <t xml:space="preserve"> ARTICLE AND DESCRIPTION                  										 ITEM	QTY	UNIT						CEILING 		UNIT PRICE			TOTAL  								PRICE					 			Office:  City General Services Office					PR No. 753					 			Charge to: Information and Technology Equipment					OBR No. 100-2005-04</t>
  </si>
  <si>
    <t xml:space="preserve"> ARTICLE AND DESCRIPTION                  										 ITEM	QTY	UNIT						CEILING 		UNIT PRICE			TOTAL  								PRICE					 			Office:  City General Services Office					PR No. 29					 			Charge to: Numancia Residences Trust Fund					OBR No.					 			ABC: Php29</t>
  </si>
  <si>
    <t xml:space="preserve"> Supply and Delivery of stainless round bar, welding machine and accessories to be delivered at Pinamalatican, Mobo, Masbate</t>
  </si>
  <si>
    <t xml:space="preserve"> REQEST FOR QUOTATIONS Purchase of Agricultural Products to be used for the project, Enhancing Pilinut Propagation and Distribution System for Y1 Quarter 1-2 The Bicol University, through the Corporate Budget for the contract approved by the Board of Regen</t>
  </si>
  <si>
    <t xml:space="preserve"> 20% EDF CY 2020 Projects Construction of Pathwalk (Purok 3) - P 150,000.00 Construction of Pathwalk (Purok 4) - P 150,000.00 Construction of Pathwalk (Purok 6) - P 100,000.00 The above listed project have a total ABC of Three Hundred Thousand Pesos Only (</t>
  </si>
  <si>
    <t xml:space="preserve"> MATERIALS FOR THE CONSTRUCTION OF PUBLIC UTILITY TERMINAL BRGY, TULAY NA LUPA, LABO, CAMARINES NORTE MATERIALS: 140 pcs. 16mm dia. DSb 116 pcs. 12mm dia. DSB 220 pcs. 10mm dia. DSB 301 bags Portland Cement 19.5 cu.m. Washed Sand 5 cu.m. Boulders 47 kgs. C</t>
  </si>
  <si>
    <t xml:space="preserve"> 1	Kyocera Toner TK-8349Y for TASKALFA 2552CI				5	pcs. 2	Kyocera Toner TK-8349M for TASKALFA 2552CI				5	pcs. 3	Kyocera Toner TK-8349C for TASKALFA 2552CI				5	pcs. 4	Gel Hand Soap, 1000ml.				30	pcs. 5	HIGH QUALITY AUTHENTIC BLENDER FRUIT EXTRACTOR FOOD </t>
  </si>
  <si>
    <t xml:space="preserve"> To undertake the upgrading of Sewer Treatment Plant (in accordance to DAO 2016-08)</t>
  </si>
  <si>
    <t xml:space="preserve"> Description   The Barangay Government of Barangay POB. IV, Tanauan City, Batangas through the Bids and Awards Committee (BAC) invites Suppliers/Contractors to apply for eligibility and if subsequently found eligible, to bid for the projects described here</t>
  </si>
  <si>
    <t xml:space="preserve"> Republic of the Philippines PROVINCE OF SURIGAO DEL SUR MUNICIPALITY OF CARRASCAL OFFICE OF MUNICIPAL BIDS AND AWARDS COMMITTEE The Local Government Unit of Carrascal through its Bids &amp; Awards Committee invites sealed bids from eligible bidders with appli</t>
  </si>
  <si>
    <t xml:space="preserve"> canon printer G4010</t>
  </si>
  <si>
    <t xml:space="preserve"> 38 pcs Tablet, 8.0 Pie, 4-core, 32GB, 5100mAh 38 pcs Power Bank 10050mAh Lithium 2.4A/2 USB Output Powerbank 2 pcs Laptop Core i7 Core i7-9750H (2.6GHZ), 8GB, 1TB+128 M.2 SSD, 15.6FHD IPS, 4GB NO OOD, Win 10 Wifi, Cam, BT w/Trial Operating System and Anti</t>
  </si>
  <si>
    <t xml:space="preserve"> I.	TERMS OF REFERENCE: 1.	Prospective Bidders Shall Bid for the service of Rental of 4 Units of Photocopy Machine listed below to the ICAB at #2 Chicago Street Corner Ermin Garcia, Barangay Pinagkaisahan, Cubao, Quezon City: List of Items and Specificatio</t>
  </si>
  <si>
    <t xml:space="preserve"> Furnishing/ delivering of Acrylic lighted build-up name with 2 acrylic lighted Logos with installation ***** Nothing follows *****</t>
  </si>
  <si>
    <t xml:space="preserve"> INVITATION TO BID FOR THE “PROPOSED CONSTRUCTION/REHABILITATION OF DRAINAGE SYSTEM PHASE II (SOUTH SIDE) ALONG OGATIS STREET, LA CARLOTA CITY” The CITY GOVERNMENT OF LA CARLOTA, through the Capital Outlay intends to apply the sum of One Million Sixty Eigh</t>
  </si>
  <si>
    <t xml:space="preserve"> Request for Quotation for the Procurement of Free-Range Chicken Grower Crumble to be given to the Cooperatives or Farmers Associations in support to Covid-19 response Program in the Region 1.	The Department of Agriculture-Regional Field Office 7 (DA-RFO 7</t>
  </si>
  <si>
    <t xml:space="preserve"> Baby Weighing Scale (Hanging)</t>
  </si>
  <si>
    <t xml:space="preserve"> INVITATION TO BID FOR PURCHASE OF FOOD AND NON-FOOD ITEMS FOR STOCKPILE OF FAMILY FOOD PACKS (FFP)   1.	The DEPARTMENT OF SOCIAL WELFARE AND DEVELOPMENT FIELD OFFICE III through its Bids and Awards Committee and the DRMD intends to apply the sum of LOT NO</t>
  </si>
  <si>
    <t xml:space="preserve"> Procurement of Books (Lot 1: Procurement of Printed Books; Lot 2: Procurement of e-Books)</t>
  </si>
  <si>
    <t xml:space="preserve"> Date of Bidding: July 16,2020   Time of Bidding:   10:00 a.m   Place of Bidding: Multi-Purpose Hall, Brgy. Agbatuan,Anilao,Iloilo   MATERIALS: 16 CU.M.    BASE COURSE 235 BAGS  CEMENT 15 CU.M.    SAND 27 CU.M.   GRAVEL CRUSHED (G.I MAX. SIZE) 10 PCS.    R</t>
  </si>
  <si>
    <t xml:space="preserve"> Republic of the Philippines Province of Davao del Sur Municipality of Sta.Cruz Barangay Melilla INVITATION TO BID PROCUREMENT OF MATERIALS FOR CONSTRUCTION OF FOOTBRIDGE 1. The Barangay Government of Melilla, Sta.Cruz, Davao del Sur, through the Barangay </t>
  </si>
  <si>
    <t xml:space="preserve"> 1 pc = 32 CHANNEL NETWORK VIDEO RECORDER up to 12 MEGAPIXEL 8 pcs = IP BIG BULLET CAMERA 4 MEGAPIXEL 6 pcs = IP CAMERA 4 MEGAPIXEL 1 pc = PAN/TILT/ZOOM CAMERA 2 MEGAPIXEL 1 pc = 43 INCHES 24/7 LED HD MONITOR 1 pc = 8 TERABYTE HARD DISK 2 rolls = UTP WIRE </t>
  </si>
  <si>
    <t xml:space="preserve"> 1.  10 PCS HEAD LAMP 2.    3 PCS SAFETY HARNESSWITH SKULL GUARD 3.   1 SET ANGLE GRINDER WITH DISC FOR METAL, WOOD AND CONCRETE 4.   4 CAMPING WATER PROOF TENT 5.   2 SETS BP APPARATUS 6.   1 UNIT VAWC FILING CABINET 7.   1 UNIT PRINTER</t>
  </si>
  <si>
    <t xml:space="preserve"> The Municipality of Limay, through its Bids and Awards Committee (BAC) invites registered contractors to apply for eligibility and if found eligible, to bid for the hereunder project/contract: Project/Contract:    PROCUREMENT OF ONE (1) UNIT LIFTING PLATF</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</si>
  <si>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</si>
  <si>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175 pcs Customized Zippered Tote Nappy Bag 175 pcs Maternity Absorbent Pads 175 pcs Box of Tissue 350 pcs Customized Breastfeeding Cover 175 pcs Wthyl Alcohol 70% 500ml</t>
  </si>
  <si>
    <t xml:space="preserve"> Republic of the Philippines Province of Compostela Valley Municipality of Monkayo -o0o- INVITATION TO BID FOR THE PROCUREMENT OF LABOR &amp; MATERIALS FOR THE PROJECT OF REHABILITATION OF DRY MARKET @ BLOCK-2 (PHASE 2) BLACK 2, MARKET SITE, POBLACION, MONKAYO</t>
  </si>
  <si>
    <t xml:space="preserve"> 1. Lollipop waterproof/shockproof Laboratory Thermometer (2 pieces) - ₱6,000.00  2. Centrifuge Tubes, free-standing with skirt, plug seal cap, 50 ml, sterile, 25pcs/pack (20 packs) - ₱13,120.00  3. Rubber pipet bilb with pipet aid, vikem vinyl constructio</t>
  </si>
  <si>
    <t xml:space="preserve"> 4head carabao</t>
  </si>
  <si>
    <t xml:space="preserve"> Republic of the Philippines Province of Samar Municipality of Sta. Rita Brgy. Dampigan BIDS AND AWARDS COMMITTEE INVITATION TO BID The Brgy. Dampigan, Municipality of Sta. Rita, through Brgy. fund intends to apply the sum of One Hundred Forty Thousand Pes</t>
  </si>
  <si>
    <t xml:space="preserve"> JOB ORDER:    To provide labor and materials for the installation of Cubicles, Drywall Partitions and Front Desk of Integrated Soils Laboratory Office located at San Felipe, City of ILagan, Isabela. I.     1 LOT INSTALLATION OF CUBICLES &amp; PARTITIONS II.  </t>
  </si>
  <si>
    <t xml:space="preserve"> Republic of the Philippines          City of Dumaguete Bids and Awards Committee INVITATION TO BID FOR PURCHASE REQUEST OF 5 CU.M SAND STD. AND SPECS OTHER ITEMS 	The City of Dumaguete thru its BIDS AND AWARDS COMMITTEE (BAC), invites all interested manuf</t>
  </si>
  <si>
    <t xml:space="preserve"> Republic of the Philippines Province of Leyte MUNICIPALITY OF HILONGOS 	 Invitation to Bid  1.	The  Local Government Unit of Hilongos  through its Bids and Awards Committee (BAC), hereby invites Domestic Contractors registered with and classified by the P</t>
  </si>
  <si>
    <t xml:space="preserve"> Republic of the Philippines Province of Davao del Sur Municipality of Sta.Cruz Barangay Sibulan INVITATION TO BID PROCUREMENT OF DIESEL FUEL FOR THE REPAIR AND REHABILITATION OF BARANGAY ROAD AT SITIO BACOBO AND CAGAS VILLAGE 1. The Barangay Government of</t>
  </si>
  <si>
    <t xml:space="preserve"> Procurement supply and Delivery of 1 unit 4 x 2 AT Pick Up Location: LGU-Balingasag SB Office, Peoples Palace, Balingasag, Misamis Oriental</t>
  </si>
  <si>
    <t xml:space="preserve"> RFQ-2020-181		 			 1.	55	members	Annual Premium Insurance 			 	Deadline for Submission of Bids: July 2, 2020, 11:00 AM		 			PAYMENT TERM: 90 DAYS</t>
  </si>
  <si>
    <t xml:space="preserve"> Installation of Skyline; Installation of G.I. Pipes/Fittings; Construction of 8’x8’x8’ Distribution Tank; billboard;  Safety &amp; Health (Construction Health and safety Requirement); Equipment Requirement: Chain Block; Pipe Threader; pipe wrench; bar cutter;</t>
  </si>
  <si>
    <t xml:space="preserve"> Purchase of CCTV which includes 5 cameras and its accessories</t>
  </si>
  <si>
    <t xml:space="preserve"> Const. supply &amp; Materials for the Const. of Argao Road Item	Quantity	Unit of	Item Description	 No.		Issue		 				 1	170	bgs	Portland Cement 40 kg	 2	18	cu.m.	Sand	 3	20	cu.m.	Gravel	 4	60	bd.ft	10 pcs. 1 x 6 x 12 coco lumber	 5	10	kg	CW nails, assorted	 Re</t>
  </si>
  <si>
    <t xml:space="preserve"> INVITATION TO BID FOR THE PROCUREMENT OF ICT EQUIPMENT and offic supplies 1.	The Local Government Unit of Buug, through the General Fund  intends to apply the sum of Two Million Six Hundred Forty Thousand Pesos only ( 2,640,000.00) being the Approved Budg</t>
  </si>
  <si>
    <t xml:space="preserve"> INVITATION TO REBID FOR SUPPLY AND DELIVERY OF MATERIALS FOR REPLACEMENT AND EXPANSION OF PIPELINES 1.	The Balingasag Water District, through the Balingasag Water District Fund of 2020 intends to apply the following being the Approved Budget for the Contr</t>
  </si>
  <si>
    <t xml:space="preserve"> REQUEST FOR PROPOSAL (RFP) FOR THE PROCUREMENT OF CONSULTING SERVICES FOR THE PREPARATION OF LAND USE DEVELOPMENT AND INFRASTRUCTURE PLAN OF DEBESMSCAT COVERING 3 CAMPUSES (MAIN CAMPUS, CAWAYAN CAMPUS, MASBATE CITY CAMPUS) 1.	The DEBESMSCAT  through its B</t>
  </si>
  <si>
    <t xml:space="preserve"> Under Lease Agreement (Three-Time Payment) Please see attached Purchase Request for the details.</t>
  </si>
  <si>
    <t xml:space="preserve"> Billboard; Structure  Excavation; RSB; Structural Concrete;  Safety &amp; Health (Construction Health and safety Requirement); Equipment Requirement: Bar cutter; Bar Bender; Dumptruck; 19 w.d.</t>
  </si>
  <si>
    <t xml:space="preserve"> Bars; Concrete Works; Forms and Falseworks; Manual Hauling of Materials; Safety &amp; Health (Construction Health and safety Requirement); Equipment Requirement: Cargo Service Truck; Speed Cutter; Bar bender; Electric Jack Hammer; Safety Shoes; Safety Helmet;</t>
  </si>
  <si>
    <t xml:space="preserve"> ITB</t>
  </si>
  <si>
    <t xml:space="preserve"> Description   Item No. Item and Description Quantity Fire Fighting System 1 Addressable Fire Alarm Control Panel 1 2 Addressable Smoke Detector 15 3 Addressable Heat Detector 1</t>
  </si>
  <si>
    <t xml:space="preserve"> 1     unit     GENERATOR, Diesel Fuel, 10KVA Key Operated Location                      : BICOL UNIVERSITY POLANGUI CAMPUS, POLANGUI, ALBAY    Delivery Period		: 14 days PURCHASE OF ONE (1) UNIT GENERATOR TO BE USED IN VARIOUS BUILDINGS AT BUPC The Bicol </t>
  </si>
  <si>
    <t xml:space="preserve"> 1	20ft. X 8.5ft. Container Van				2	units</t>
  </si>
  <si>
    <t xml:space="preserve"> 50 copies PIT Annual Report 2018                Copies: Full Color Cover and Inside Pages                Finish Size: 8.5" x 11"                Cover: as per sample                Materials: Same with PIT Annual Report 2008                Inside Pages: as</t>
  </si>
  <si>
    <t xml:space="preserve"> INVITATION TO BID Supply of Labor, Tools and Equipment for the Drilling of One (1) Unit Exploratory/Production Well at Arcon, Tumauini, Isabela 1. The TUMAUINI WATER DISTRICT (TWD), through the Corporate Operating Budget (COB) for the contract approved by</t>
  </si>
  <si>
    <t xml:space="preserve"> 1. 1 LOT - CONSTRUCTION MATERIALS - 599,382.00 he Complete Schedule of Activities are Listed as Fallows: 1. Submission of Letter of Intent &amp; Issuance of Bid Documents - July 3-15, 2020 @ 8:00am - 5:00pm 2. Opening of Bids - July 16, 2020 @ 09:00am @ Mun. </t>
  </si>
  <si>
    <t xml:space="preserve"> INVITATION TO BID Barangay Pantay Laud, through its Bids and Awards Committee (BAC), invites contractors registered with and classified by the Philippine Contractors Accreditation Board (PCAB) to apply for eligibility and if found eligible, to bid for the</t>
  </si>
  <si>
    <t xml:space="preserve"> Description   Item No. Item and Description Quantity 1 Ramp and Railing 2" dia. SS-Pipe t-304, sch. 40 12 1" dia. SS-Pipe t-304, sch. 40 9 Consumables 1 (including installation</t>
  </si>
  <si>
    <t xml:space="preserve"> Billboard; Excavation; Grouted Riprap (Class A); Reinforcing Steel Bar (Grade 40); Structural Concrete (Class A);  Safety &amp; Health (Construction Health and safety Requirement); Equipment Requirement: One Bagger Mixer; Concrete vibrator; Water Truck (16000</t>
  </si>
  <si>
    <t xml:space="preserve"> 1 UNIT GANG CHAIR - 4 SEATERS  - STAINLESS</t>
  </si>
  <si>
    <t xml:space="preserve"> Republic of the Philippines PROVINCE OF AGUSAN DEL SUR Municipality of Sta. Josefa Invitation to Bid for   SJADS GOODS 20-10: PROCUREMENT OF SPAREPARTS FOR HEAVY EQUIPMENT 					   June 27, 2020 1.	The Municipality of Sta. Josefa through the authorized app</t>
  </si>
  <si>
    <t xml:space="preserve"> INVITATION TO BID FOR Procurement of Medical and Laboratory Supplies 1. The Ospital ng Palawan, through the Trust Fund for CY 2020 intends to apply the sum of Twenty-Nine Million Two Hundred Fifty-Nine Thousand One Hundred Ninety- Nine Pesos and 10/100 Ce</t>
  </si>
  <si>
    <t xml:space="preserve"> Republic of the Philippines Province of Davao del Sur Municipality of Matanao BARANGAY TOWAK -oOo- INVITATION TO BID The Barangay Government Unit of Towak, Matanao, Davao del Sur, through its Bids and Awards Committee (BAC), invites suppliers/distributors</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</si>
  <si>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</si>
  <si>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1,500 Liter Gasoline 500 Liters - July 500 Liters - August 500 Liters - September Note: *Payment will be based on actual pump price *Payment will be made per quincena</t>
  </si>
  <si>
    <t xml:space="preserve"> Contract for the Concreting of Road Section at Purok 16, Bulahan, San Isidro, Barangay Tibal-og, Santo Tomas, Davao del Norte The Municipality of Santo Tomas, through 20% MDF CY 2020 intends to apply the sum of P’ 2,999,141.66 being the Approved Budget fo</t>
  </si>
  <si>
    <t xml:space="preserve"> CW-2020-001		 			 1.	1	lot	Proposed Construction of Sidewalk with curb and Gutter at Brgy. Bagong Pook, San Pablo City. 			By: Contract 			 	Deadline for Submission of Bids: July 3, 2020 10:00 AM</t>
  </si>
  <si>
    <t xml:space="preserve"> Republic of the Philippines Province of Camarines Sur MUNICIPALITY OF MINALABAC BARANGAY SALINGOGON -o0o- Invitation to Bid for PURCHASE OF AUTOMATIC TRANSMISSION (for Ambulance) Salingogon, Minalabac, Camarines Sur 1. BLGU-Salingogon, Minalabac, Camarine</t>
  </si>
  <si>
    <t xml:space="preserve"> Republic of the Philippines PROVINCE OF MARINDUQUE Capitol Boac, Marinduque OFFICE OF BIDS AND AWARDS COMMITTEE INVITATION TO BID  (REBIDDING) Supplying one (1) unit Generator, Brand New, 250 KVA, 3 phase w/ ATS, 220V, Diesel Fed, Silent Type w/ five (5) </t>
  </si>
  <si>
    <t xml:space="preserve"> INVITATION TO BID The Municipal Government of La Trinidad through the Bids and Awards Committee (BAC) invites contractors to bid for the hereunder project: Contract Reference No.: POW - 8751 - 2020 - PCO - 06 Name of Project: Rehabilitation of Municipal B</t>
  </si>
  <si>
    <t xml:space="preserve"> The Municipality of General Mariano Alvarez, Cavite (GMA, Cavite), invites sealed bids from interested Bidders for the Purchase of 1Unit Brand New Vehicle details stated as follows: 1.	PURCHASE OF 1 UNIT BRANDVEHICLE – ABC Php 980,000.00 1	2	Units	BRAND N</t>
  </si>
  <si>
    <t xml:space="preserve"> Billboard; Clearing &amp; Excavation; Canal; Canal cover (Steel Grating); PCCP;  Safety &amp; Health (Construction Health and safety Requirement); Equipment Requirement: Concrete cutter; Jack Hammer; Dump truck; Cargo truck/dumptruck; bar bender; bar cutter; conc</t>
  </si>
  <si>
    <t xml:space="preserve"> SEE ATTACHED BILL OF QUANTITIES.</t>
  </si>
  <si>
    <t xml:space="preserve"> Billboard; Replacement of dilapidated canal (RSB); Construction of Concrete Canal (RSB, Structural Concrete); Plastering of Existing Canal; Grouted riprap;  Safety &amp; Health (Construction Health and safety Requirement); Equipment Requirement: Bar cutter; b</t>
  </si>
  <si>
    <t xml:space="preserve"> A. APPROVED BUDGET FOR THE CONTRACT: DESCRIPTION: Portable Money Counter QUANTITY: Three (3) Approved Budget for the contract inclusive of delivery, testing and taxes (in Php): Php240,000.00 B. TECHNICAL SPECIFICATIONS:       SPECIFICATIONS        	DATA S</t>
  </si>
  <si>
    <t xml:space="preserve"> Billboard; Clearing and Grubbing; Structural Concrete Class A (Intake tank) (1.3x1.3x1.3); Structural Concrete Class A(Anchor Deadman-6 units); Installation of Pipeline and skyline cable; Manual Hauling; Safety &amp; Health (Construction Health and safety Req</t>
  </si>
  <si>
    <t xml:space="preserve"> Repair/Rehabilitation of Students Comfort Room</t>
  </si>
  <si>
    <t xml:space="preserve"> Description   Construction Works (Perimeter Fence, Guard House, Power House and Storage Room Interested bidder may visit PENRO SK Office at Old Capitol Compound, Kalawag II, Isulan, Sultan Kudarat</t>
  </si>
  <si>
    <t xml:space="preserve"> Billboard; Structure Excavation; Grouted Riprap (Class A); Embankment;  Safety &amp; Health (Construction Health and safety Requirement); Equipment Requirement: Water Truck; Dump Truck; Backhoe (0.80cum); One Bagger Mixer; Cargo Service Truck; Safety Shoes; S</t>
  </si>
  <si>
    <t xml:space="preserve"> Billboard; Structure Excavation; RSB Works; Structural Concrete; Grouted Riprap (Class A); Embankment; Safety &amp; Health (Construction Health and safety Requirement);  Equipment Requirement: Dump truck; backhoe; backhoe with breaker; bar cutter; bar bender;</t>
  </si>
  <si>
    <t xml:space="preserve"> BIDS AND AWARDS COMMITTEE INVITATION FOR NEGOTIATED PROCUREMENT (TWO FAILED BIDDINGS)  IB NO. 2020-057/ RJVF Supply and Delivery 1,200 head Free Range Chicken- Male and 6,000 head Free Range Chicken- Female In view of the two (2) failed biddings, the Depa</t>
  </si>
  <si>
    <t xml:space="preserve"> Billboard; Dismantling of dilapidated pathway; site clearing and excavation works; railings; concrete works; grouted riprap;  Safety &amp; Health (Construction Health and safety Requirement); Manual Hauling of Materials; Equipment Requirement: Cargo/service t</t>
  </si>
  <si>
    <t xml:space="preserve"> Spl-1 - Removal of Damage Doors and Windows Spl-2 - Concrete Plastering (Smooth finish) Spl-3 - Painting Works Spl-4 - Doors and Windows</t>
  </si>
  <si>
    <t xml:space="preserve"> Description   SUPPLY, INSTALLATION AND DELIVERY OF FLAG POLE AND DENR 3D CAST METAL SIGNAGE WITH DENR LOGO</t>
  </si>
  <si>
    <t xml:space="preserve"> A. APPROVED BUDGET FOR THE CONTRACT: DESCRIPTION: Automatic Voltage Regulator QUANTITY: Ten (10) Approved Budget for the contract inclusive of delivery, testing and taxes (in Php): Php 200,000.00 B. TECHNICAL SPECIFICATIONS:       SPECIFICATIONS        	D</t>
  </si>
  <si>
    <t xml:space="preserve"> 1 1 PC INJECTOR AASY  2 1 PC EGR ASSY  3 1 PC BATTERY  4 1 LOT CHECK UP ENGINE LIGHT ILLUMINATE, REPLACE INJECTOR AND EGR ASSY</t>
  </si>
  <si>
    <t xml:space="preserve"> Republic of the Philippines PROVINCE OF MARINDUQUE Capitol Boac, Marinduque OFFICE OF BIDS AND AWARDS COMMITTEE INVITATION TO BID  (REBIDDING) Supplying one (1) unit Brand New Mini Dump Truck with Highside, EURO IV, Government Plate, etc. for use in the S</t>
  </si>
  <si>
    <t xml:space="preserve"> Name of Project: Widening of Concrete Pathway Project Description: L=122.00m    W=1.00m    Thk=0.15m Location: Zone 1,Labao,Libmanan, Camarines Sur Total Project Cost: P 200,000.00 Source of Fund : 20% EDF 2020</t>
  </si>
  <si>
    <t xml:space="preserve"> Please see attach file.</t>
  </si>
  <si>
    <t xml:space="preserve"> Description   Item No. Item and Description Quantity Wall Painting Finishes 1 Interior Painting 1,000 sq.m. 2 Exterior Painting 500 sq.m.</t>
  </si>
  <si>
    <t xml:space="preserve"> ITEM DESCRIPTION 		 HP 680 (Black) ------	240	pcs. HP 680 (Colored) ---	240	pcs  *The above-quoted prices are inclusive of all costs and applicable taxes. *Price must be valid for sixty (60) days upon submission of quotation.  Minimum Requirements: a.   V</t>
  </si>
  <si>
    <t xml:space="preserve"> Invitation to Bid Date: June 25, 2020 IB NO.: G-109-20	 Description: Supply/Delivery of 6 units Multicab Full Body Type Specification: Engine Displacement: 660cc to 1000cc, Manual Transmission Seating capacity: 11-13 persons 4 wheel drive 3 cylinders Fuel</t>
  </si>
  <si>
    <t xml:space="preserve"> Construction materials and supplies</t>
  </si>
  <si>
    <t xml:space="preserve"> Invitation to Submit Quotation Date:  June 15, 2020 Canvass/Quotation No.: 2020-06-064  	 To All Eligible Service Providers/Bidders I. Please quote your lowest price inclusive of VAT on the items/ listed below, subject to the Terms and Conditions of this </t>
  </si>
  <si>
    <t xml:space="preserve"> INVITATION TO QUOTE Date:  June 25, 2020 1.	The Provincial Government of Davao del Sur, through its Bids and Awards Committee (BAC), invites all interested bidders/suppliers to quote for the following goods under Alternative Methods of Procurement ([Shopp</t>
  </si>
  <si>
    <t xml:space="preserve"> The Municipality of Baliwag, through its Bids and Awards Committee (BAC), invites contractors to apply for eligibility and to bid the here ender project: Name of Project	:	PRINTING OF LOCALIZED BOOKS FOR BALIWAG 				NORTH AND SOUTH DISTRICT 	 Location		:	</t>
  </si>
  <si>
    <t xml:space="preserve"> Billboard; Structure Excavation; Grouted Riprap (class A); PCC Pavement (Plain); Curb &amp; Gutter (Cast in place);  Safety &amp; Health (Construction Health and Safety Requirement);  equipment requirement: one bagger mixer; cargo/service truck; Water truck; conc</t>
  </si>
  <si>
    <t xml:space="preserve"> The Local Government Unit of the Island Garden City of Samal, through the General Funds CY 2020 intends to apply the sum of Four Million Pesos only (₱4,000,000.00) being the Approved Budget for the Contract (ABC) to payments under the contract for Purchas</t>
  </si>
  <si>
    <t xml:space="preserve"> 1	Automotive Diesel Fuel (ADF)				5,000	liters 2	Engine Oil - 40 (15W-40)				10	liters 3	Brake Fluid				5	liters 4	Coolant				5	liters</t>
  </si>
  <si>
    <t xml:space="preserve"> INVITATION TO APPLY FOR ELIGIBILITY AND TO BID THE MUNICIPALITY OF CAIBIRAN, BILIRAN IS INVITING ALL INTERESTED BIDDERS ON ITS FORTHCOMING PUBLIC BIDDING FOR: Project Title 	: Acquisition of Medicines Location	        : RHU, LGU - Caibiran, Biliran  Deliv</t>
  </si>
  <si>
    <t xml:space="preserve"> Estimated unit cost             Estimated amount 44 boxes Corned Beef ( 160 grams)                         3,2700.00                            143,880.00     44 boxes Beefloat (150  grams)                               1,745.00                           </t>
  </si>
  <si>
    <t xml:space="preserve"> FOR POSTING AND INFORMATION PURPOSES LIGAO CITY WATER DISTRICT Natera St., Dunao, Ligao City REQUEST FOR QUOTATION The LIGAO CITY WATER DISTRICT, Natera St., Dunao Ligao City through its Bids and Awards Committee (BAC), invites suppliers/ manufacturers/di</t>
  </si>
  <si>
    <t xml:space="preserve"> Invitation to Bid The Brgy. Panungyan II, Mendez-Nuñez, Cavite, through the 20% Development Fund of 2020 intends to apply the sum of Sixty Thousand Two Hundred Seventy Pesos only (P60,270.00) being the Approved Budget for the Contract (ABC) to payments un</t>
  </si>
  <si>
    <t xml:space="preserve"> Purchase request submitted by Nora Meneses 1	 1	 set	 AUTOCLAVABLE PIPETTORS    Set includes: •	2 units     0.2 – 2.0ul •	1 unit       1.0 – 10.0ul •	1 unit       2.0 – 20.0ul •	1 unit       10.0 – 100.0ul •	1 unit       20.0 – 200.0ul •	1 unit       100.</t>
  </si>
  <si>
    <t xml:space="preserve"> REQUEST FOR QUOTATION Project:  Supply and Installation of Electromechanical Equipment’sfor ButedPump Station of Talugtug Water District 1 – unit 10 KVA Multi Tap “Automatic Voltage Regulator “  Servo-Type motor including Load Testing: 	 		Primary : 220Vo</t>
  </si>
  <si>
    <t xml:space="preserve"> Please submit your quotation for the following items on or before 5:00PM on Jul 06, 2020. ITEM D E S C R I P T I O N QTY. UNIT  1 Turbidity Meter, Portable 2 unit Technical Specification Requirements: Resolution: 0.01NTU, Turbidity range: 0.00- 1000 NTU, </t>
  </si>
  <si>
    <t xml:space="preserve"> INVITATION TO BID FOR Procurement of Technical Scientific Laboratory Equipment for CAFF and CNPAHS at NORSU Pamplona and Main Campuses (Batch 1) GOOD2020-00-03(a) 1. The Negros Oriental State University (NORSU) and the Bids and Awards Committee (BAC), thr</t>
  </si>
  <si>
    <t xml:space="preserve"> 1	50	pack	Sensitized film		 2	12	balls	Cotton Crochet Yarn		 3	20	rolls	Colored Duct tape (2" width)		 4	4	bots	BT5000C cyan, blue ink for Brother DCP-T710w (48.8ml)		 5	8	bots	Alcohol (70%)		 6	5	box	plastic fastener		 7	5	pc	Corkboard (frameless, for bu</t>
  </si>
  <si>
    <t xml:space="preserve"> Republic of the Philippines PROVINCE OF NUEVA VIZCAYA Invitation to Bid for the  CONSTRUCTION OF BARANGAY LIPUGA CIS Located at Alfonso Castañeda, Nueva Vizcaya  1.	The Provincial Government of Nueva Vizcaya, through the 2020 20% Development Fund intends </t>
  </si>
  <si>
    <t xml:space="preserve"> REQUEST FOR QUOTATION Date	:	June 23, 2020 Project Title	:	Supply and Delivery of One (1) Lot Various Printing Consumables  ITB No.             	:	FB20-02-004CORa-06 Brief Description 	:	Supply and Delivery of Ink Cartridge for existing PAGCOR HP Designje</t>
  </si>
  <si>
    <t xml:space="preserve"> Purchase request submitted by Rimmon T. Armones 1	 1	 unit	 DIGITAL WATER BATH **Note: (see detailed specifications) ABC is Php 100,000.00</t>
  </si>
  <si>
    <t xml:space="preserve"> Invitation to Bid to all Supplier/Contractor duly accredited by the City Council of Manila to supply and deliver the following items provided hereunder, to wit; Item	 	Qty.	 	Unit	 	 	 	DESCRIPTION 1	 	15	 	quartz	Tinting Thalo Blue	 	 	 	  2	 	20	 	Gals	</t>
  </si>
  <si>
    <t xml:space="preserve"> SectionI. Invitation to Bid Republic of the Philippines Province of Surigao del Sur Municipality of San Miguel BARANGAY CARROMATA INVITATION TO BID FOR THE SUPPLY AND DELIVERY OF DIESEL FUEL AND OIL LUBRICANTS FOR ROAD GRAVELLING OF FARM TO MARKET ROAD FR</t>
  </si>
  <si>
    <t xml:space="preserve"> INVITATION TO BID Date: June 25, 2020 1.	The Provincial Government of Davao del Sur, through its Bids and Awards Committee (BAC), invites all potential bidders/suppliers to apply to bid for the following goods. Bids received in excess of the ABC shall be </t>
  </si>
  <si>
    <t xml:space="preserve"> PCC thru the BIDS &amp; AWARDS Committee intend to apply for p160,000 as the Approved Budget for the Contract under Appliances _  4 Units CHEST FREEZER with the following specifications: Chest Freezer 20 cu.ft. INVERTER * 20 cu.ft solid top chest freezer * 22</t>
  </si>
  <si>
    <t xml:space="preserve"> 1 PC/S RIBBON- CARTRIDGE - LQ310+ DOT MATRIX 20 2 REAM/S PAPER - BOOK LEGAL,216MMX330MM(8-1/2"X13"),MIN OF 70GSM 10 3 REAM/S PAPER - BOOK A4,210MMX297MM,MIN OF 70GSM 10 4 REAM/S PAPER - BOOK SUBS.20 SHORT ( 8 1/2"X11" ) 15 5 BOX/S COMPUTER FORMS - 4 PLY 1</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</si>
  <si>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</si>
  <si>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Invitation to Bid 				 for the 				 Supply and Delivery of One (1) unit High Speed inkjet printer, one (1) unit digital duplicator and other supplies 				 				 The Local Government Unit of Pili, Camarines Sur, through the General Fund (Assistance to Educa</t>
  </si>
  <si>
    <t xml:space="preserve"> Description   Desktop Computer Specs: Intel Core I5 9400F 2.9GHZ 9MB LGA1151 14NM 8GB DDR4 MEMORY ASUS EX-H310M MOTHERBOARD 10C 21.5 WLEAD MONITOR PALIT GT 710 2048 MB 64 BIT DDR5 (VGA, DVI, HDMI) USB KEY / USB MOUSE COMBO CASING WITH 600 W PSU INDOWS 10 </t>
  </si>
  <si>
    <t xml:space="preserve"> Contract Reference Number: 007017-2020-01 Name of Project and Location: Covered Court at Sabang High School, Bgy. Sabang Approved Budget for the Contract  (ABC): 4,191,600.00 Contract Duration (calendar days): 200 Equipment Required: concrete mixer, cutti</t>
  </si>
  <si>
    <t xml:space="preserve"> Purchase of Goods</t>
  </si>
  <si>
    <t xml:space="preserve"> Republic of the Philippines PROVINCE OF NUEVA VIZCAYA Invitation to Bid for the  CONSTRUCTION OF COLINTINAFTMR Located at Imugan, Sta. Fe, Nueva Vizcaya  1.	The Provincial Government of Nueva Vizcaya, through the 2020 20% Development Fund intends to apply</t>
  </si>
  <si>
    <t xml:space="preserve"> Republic of the Philippines PROVINCE OF NUEVA VIZCAYA Invitation to Bid for the  CONSTRUCTION/IMPROVEMENT OF TANDOK-LOCOS-KASERREK FTMR Located at Mabuslo, Bambang, Nueva Vizcaya  1.	The Provincial Government of Nueva Vizcaya, through the 2020 20% Develop</t>
  </si>
  <si>
    <t xml:space="preserve"> ITEM DESCRIPTION ---------------------------------  QTY ------------- UNIT 	 ITEM DESCRIPTION		 Shallow Well Pumps Model CAM -202, 0.7 kw/ 2hp 220v-60hz	-------- 1	--------- unit Stainless Steel Cylindrical Water Storage  Tank Horizontal Model: HBST 3,922</t>
  </si>
  <si>
    <t xml:space="preserve"> Please submit your quotation for the following items on or before 5:00PM on Jul 06, 2020. ITEM D E S C R I P T I O N QTY. UNIT 1 Lab. Glassware, Volumetric Flask, 10mL, Glass with Snap Cap and Permanent Graduation Line 20 pc 2 Lab. Glassware, Volumetric F</t>
  </si>
  <si>
    <t xml:space="preserve"> Contract Reference Number: 007034-2020-01 Name of Project and Location: Drainage at Zone 5 Bgy. Abella Approved Budget for the Contract  (ABC): 2,014,900.00 Contract Duration (calendar days): 120 Equipment Required: jackhammer with compressor,  concrete c</t>
  </si>
  <si>
    <t xml:space="preserve"> Purchase request submitted by Nora Meneses 1 unit	 LAMINAR FLOW HOOD 1 unit	 FUME HOOD ABC is Php 400,000.00</t>
  </si>
  <si>
    <t xml:space="preserve"> please download the ITB and its other documents in the associated component</t>
  </si>
  <si>
    <t xml:space="preserve"> Please download and view the associated component PDF document for the complete details/specs of the item(s).</t>
  </si>
  <si>
    <t xml:space="preserve"> Furnishing/ delivering of various office equipment 1. 1 Unit-Wooden podium stand 2. 1 Unit-Complete conference system equipment (Mixer, Speakers, conference microphones and others)      and installation 3. 2 Units-Modular office cabinet 4. 2 Units-Heavy d</t>
  </si>
  <si>
    <t xml:space="preserve"> A. APPROVED BUDGET FOR THE CONTRACT: DESCRIPTION: Automatic Check Writer QUANTITY: One (1)  Approved Budget for the contract inclusive of delivery, testing and taxes (in Php): Php60,000.00 B. TECHNICAL SPECIFICATIONS:       SPECIFICATIONS	DATA Throat Dept</t>
  </si>
  <si>
    <t xml:space="preserve"> 2 units Butterfly gate valve 8" dia., including accs. and free installation</t>
  </si>
  <si>
    <t xml:space="preserve"> Republic of the Philippines PROVINCE OF NUEVA VIZCAYA Invitation to Bid for the  CONSTRUCTION/IMPROVEMENT OF PUROK 5 POBLACION FTMR Located at Diadi, Nueva Vizcaya  1.	The Provincial Government of Nueva Vizcaya, through the 2020 20% Development Fund inten</t>
  </si>
  <si>
    <t xml:space="preserve"> Purchase request submitted by Nelsie Grace Gela  1 unit	 BENCHTOP pH METER ABC is Php 50,000.00</t>
  </si>
  <si>
    <t xml:space="preserve"> 1.	The West Visayas State University Medical Center, through Use of Income Fund (2020) intends to apply  the sum of  ONE MILLION SIX HUNDRED EIGHTY THREE THOUSAND TWO HUNDRED THIRTY PESOS ONLY (PhP 1,683,230.00) being the Approved Budget for the Contract </t>
  </si>
  <si>
    <t xml:space="preserve"> INVITATION TO BID Supply of Labor, Tools and Equipment for the Drilling of One (1) Unit Exploratory/Production Well at Fermeldy, Tumauini, Isabela 1. The TUMAUINI WATER DISTRICT (TWD), through the Corporate Operating Budget (COB) for the contract approved</t>
  </si>
  <si>
    <t xml:space="preserve"> Purchase request submitted by Rimmon Armones 1 unit	 FLAT ROTARY SHAKER ABC is Php 200,000.00</t>
  </si>
  <si>
    <t xml:space="preserve"> The City Government of Naga, through the Medical Supplies Account of Naga City Hospital (NCH), intends to apply the sum of Two Million Nine Hundred Eighty Nine Thousand Six Hundred Eighty (P 2,989,680.00) Pesos being the Approved Budget for the Contract (</t>
  </si>
  <si>
    <t xml:space="preserve"> Republic of the Philippines Municipality of Taytay Barangay:Silanga NOTICE TO BIDDERS 							 Item No.	Qty.		Unit of  Item		 Description		 				 1	       	80		sack 			 rice  			  The two envelope system of procurement shall be observe, Bidding documents sh</t>
  </si>
  <si>
    <t xml:space="preserve"> Enhancement of IFSU Hostel &amp; Water System</t>
  </si>
  <si>
    <t xml:space="preserve"> Billboard; Subgrade preparation (unclassified materials); Portland cement concrete pavement; grouted riprap; curb and gutter; construction of cross drainage; concrete barrier; widening blocks;  Safety &amp; Health (Construction Health and Safety Requirement);</t>
  </si>
  <si>
    <t xml:space="preserve"> Republic of the Philippines PROVINCE OF NUEVA VIZCAYA Invitation to Bid for the  CONCRETING OF BANGANAN-TUCANON-TABUENG ROAD Located at Aritao, Nueva Vizcaya  1.	The Provincial Government of Nueva Vizcaya, through the 2020 20% Development Fund intends to </t>
  </si>
  <si>
    <t xml:space="preserve"> Republic of the Philippines PROVINCE OF NUEVA VIZCAYA Invitation to Bid for the  CONCRETING OF CALDAAN-MONGKOL-MAPAINA ROAD Located at Solano, Nueva Vizcaya  1.	The Provincial Government of Nueva Vizcaya, through the 2020 20% Development Fund intends to a</t>
  </si>
  <si>
    <t xml:space="preserve"> 1.	The Local Government Unit of Las Nieves, through the Budget for the Contract approved by the Sanggunian intends to apply the sum of one million one hundred seventy five thousand four hundred and fifty pesos only (Php 1,175,450.00) for Lot 1 and fifty t</t>
  </si>
  <si>
    <t xml:space="preserve"> The Municipality of Baliwag, through its Bids and Awards Committee (BAC), invites contractors to apply for eligibility and to bid the here ender project: Name of Project	:	PROCUREMENT OF ACTIVITY BOOK FOR  				KINDERGARTEN OF BALIWAG NORTH AND SOUTH 				D</t>
  </si>
  <si>
    <t xml:space="preserve"> ATTACHED</t>
  </si>
  <si>
    <t xml:space="preserve"> Republic of the Philippines Province of Davao de Oro MUNICIPALITY OF COMPOSTELA BIDS AND AWARDS COMMITTEE CP#: 0998-571-7569 INVITATION TO BID FOR  Rehabilitation of Roads and Bridges at Purok 6-Poblacion - SB # 01 CY 2020 (Procurement of Diesel &amp; Gasolin</t>
  </si>
  <si>
    <t xml:space="preserve"> 1	Brass Ball Valve 1/2	300	pc. 2	Brass Ball Valve 3/4	300	pc. 3	Nipple 3/4 x 2 std. sch. 40	50	pc. 4	CI Sleeve Type Coupling 4" PVC	20	pc. 5	France Coupling 2	20	pc. 6	Straight Elbow 2	15	pc. 7	GI Elbow 1/2 std. sch. 40	1000	pc. 8	GI Elbow Reducer 3/4 x 1</t>
  </si>
  <si>
    <t xml:space="preserve"> 2 unit Uninterruptible Power Supply (UPS) built in AVR			 	 550 w, 230 V, universal and IEC sockets	 		 1 set Desktop Computer			 	"Intel® Core i3-8100 3.6Ghz processor 8th Generation         Intel® B360 Express Chipset         4 GB DDR4 2666MHz (Up to 32</t>
  </si>
  <si>
    <t xml:space="preserve"> Republic of the Philippines Municipality of Taytay Barangay:Silanga NOTICE TO BIDDERS 							 Item No.	Qty.		Unit of  Item		 Description		 				 1	       	100		sack 			         rice  			  The two envelope system of procurement shall be observe, Bidding doc</t>
  </si>
  <si>
    <t xml:space="preserve"> 1. 1 box Fecal Occult Blood 25’s 2. 4 Casst Glucose 3. 3 Casst Cholesterol 4. 3 Casst Triglyceride 5. 2 Casst ALT 6. 2 Casst AST 7. 1 Casst UREA 8. 5 Casst Creatinine 9. 5 Casst Uric Acid 10. 10 box Cover Slips 200’s 15. 1 set Easylyte Bilevel Control Set</t>
  </si>
  <si>
    <t xml:space="preserve"> 1	1	unit	1080USB webcam manual focus computer camera built-in sound absorbing microphone Drive free web camera for PC laptock black		 2	1	unit	Gaming headset with microphone (50mm speaker) for PC		 3	1	unit	1500VA uninterrupted power supply		 4	4	bot	BT50</t>
  </si>
  <si>
    <t xml:space="preserve"> Republic of the Philippines PROVINCE OF NUEVA VIZCAYA Invitation to Bid for the  CONCRETING OF UNAON-STA. LUCIA ROAD Located at Bagabag, Nueva Vizcaya  1.	The Provincial Government of Nueva Vizcaya, through the 2020 20% Development Fund intends to apply t</t>
  </si>
  <si>
    <t xml:space="preserve"> 1	6	cans	spray paint (Green)	 2	10	cans	spray paint (Black)	 3	6	cans	spray paint (Red)</t>
  </si>
  <si>
    <t xml:space="preserve"> Specifications:  Fuel Type : Diesel  No. of Cylinders: 4  Engine Size/Displacement: 2,488-3,000  Max. Power (Ps):129  Engine Type(VGS): 3  Transmission Type: 5-speed manual WITH ACCESSORIES:  Folder Stretcher  Spine Board  Wall Mounted Blood Pressure Appa</t>
  </si>
  <si>
    <t xml:space="preserve"> Automatic/automated alcohol dispenser (1) Sphygmomanometer with stand/wheels and with stethoscope (1) Glucometer with strips and lancets (1) Nebulizer (1)</t>
  </si>
  <si>
    <t xml:space="preserve"> Purchase request submitted by Nelsie Grace Gela  1 unit	 ACID STORAGE CABINET ABC is Php 300,000.00</t>
  </si>
  <si>
    <t xml:space="preserve"> UNIT	  DESCRIPTION		QUANTITY	 I.	MASONRY/CONCRETE  WORKS:			 	Qty.= 1 lot			 				 pcs	CHB #6		        7461	   pcs	CHB #4		          660	   bag (s)	Cement		1823	  cu.m	Sand		146	   cu.m	Gravel		117	  pcs	16mmØ Deformed Bar		509	   pcs	12mmØ Deformed Bar		1</t>
  </si>
  <si>
    <t xml:space="preserve"> CONSTRUCTION MATERIALS OF SMCS BUILDING</t>
  </si>
  <si>
    <t xml:space="preserve"> 1	4	bots	Bleach, 500 ML		 2	20	rolls	Bathroom tissue, 2play thick		 3	1	bots	Muriatic Acid, 500ml		 4	3	pack	Laundry detergent, 1 kl		 5	10	roll	Transparent Garbage bag (XL)</t>
  </si>
  <si>
    <t xml:space="preserve"> Republic of the Philippines PROVINCE OF DINAGAT ISLANDS Municipality of Basilisa -oOo- Invitation to Bid COUNTERPART FOR THE CONSTRUCTION OF BASILISA TOURISM INN The Municipality of Basilisa, through the 20 % Municipal Development Fund (MDF) 2020 intends </t>
  </si>
  <si>
    <t xml:space="preserve"> I. CONSTRUCTION OF COMFORT ROOMS</t>
  </si>
  <si>
    <t xml:space="preserve"> 1	200	pcs	CHB 4"		 2	2	cu.m	mix gravel		 3	2	cu.m	sand		 4	2	gal	vulcaseal		 5	5	pcs	Plywood, Marine 1/4" thick		 6	10	pcs	Lumber 2x6x12		 7	25	pcs	RSB 10mmx6m		 8	5	roll	Tie wire # 16</t>
  </si>
  <si>
    <t xml:space="preserve"> 17 tank Cooking gas 50kg (refill)</t>
  </si>
  <si>
    <t xml:space="preserve"> Supply and Delivery of various animal feeds Unit	Item/Description				                     ABC 					 	PR No. PNAD 2020-02-010				 bags	Chicken Laying Mash (50kg/bag)				180,000.00 bags	Chicken Grower Mash (50kg/bag)			  84,000.00 bags	Chicken Starter Mash </t>
  </si>
  <si>
    <t xml:space="preserve"> Vehicle Parts &amp; Accessories-Siren Assy.,Tires 195,Windshield Front,etc...</t>
  </si>
  <si>
    <t xml:space="preserve"> Request for Quotation for the Procurement of 3,000 sachets Dewormer to be used for the DA SAAD Native Chicken Production Project in Bohol Province 1.	The Department of Agriculture-Regional Field Office 7 (DA-RFO 7), through the General Appropriations Act </t>
  </si>
  <si>
    <t xml:space="preserve"> Supply &amp; Delivery of Various Chemicals ABC:151,300.00 14 bags Insecticide, Carbofuran @ 16.7 kgs/bag 8 liters insecticide, Cypermethrin, 5EC, 50g/liter conc @ 1l/bottle 39 packs Fungicide, Chlorothalonil, WP 75 @ 1,000g/pack 12	gal Herbicide, Isopropylami</t>
  </si>
  <si>
    <t xml:space="preserve"> Purchase request submitted by Ma. Theresa Alejandrino	 1 unit	 pH METER ABC is Php 60,000.00</t>
  </si>
  <si>
    <t xml:space="preserve"> Republic of the Philippines PROVINCE OF NUEVA VIZCAYA Invitation to Bid for the  CONCRETING OF KINACAO-KURASAY-KINALABASA ROAD Located at Bagabag, Nueva Vizcaya  1.	The Provincial Government of Nueva Vizcaya, through the 2020 20% Development Fund intends </t>
  </si>
  <si>
    <t xml:space="preserve"> Republic of the Philippines Department of Education Region V SCHOOLS DIVISION OFFICE OF CAMARINES SUR Office of the Bids and Awards Committee INVITATION TO BID FOR:   SUPPLY, DELIVERY AND INSTALLATION OF EQUIPMENT FOR SDO CAMARINES SUR IT SECTION (LOT 1-3</t>
  </si>
  <si>
    <t xml:space="preserve"> Please submit your quotation for the following items on or before 5:00PM on Jul 06, 2020. ITEM D E S C R I P T I O N QTY. UNIT  1 Lab. Eqpt., Biosafety Cabinet (Class II, A2, includes cabinet, manual, stand and pre-installed UV light) 1 unit Awarding is i</t>
  </si>
  <si>
    <t xml:space="preserve"> Republic of the Philippines PROVINCE OF NUEVA VIZCAYA Invitation to Bid for the  CONCRETING OF JCT. NATIONAL BATU-BALINTUGON ROAD Located at Alfonso Castañeda, Nueva Vizcaya  1.	The Provincial Government of Nueva Vizcaya, through the 2020 20% Development </t>
  </si>
  <si>
    <t xml:space="preserve"> 10	ream	Accounting form 10	bot.	Alcohol,ethyl,70%, scented, 250ml 121	bottle	Alcohol,ethyl,70%, scented, 500ml 138	pc	Ballpen 5	box	Ballpen, black 20	pc	Ballpen, black, blue &amp; red 2	box	Ballpen, blue 25	pc	Ballpen, green 5	pc	Ballpen, my-gel, 0.5 blue 1	b</t>
  </si>
  <si>
    <t xml:space="preserve"> Republic of the Philippines PROVINCE OF NUEVA VIZCAYA Invitation to Bid for the  IMPROVEMENT OF CVR BAMBANG-SALINAS-SAN FABIAN-PINGKIAN ROAD Located at Kayapa, Nueva Vizcaya  1.	The Provincial Government of Nueva Vizcaya, through the 2020 20% Development </t>
  </si>
  <si>
    <t xml:space="preserve"> Purchase request submitted by Ma. Theresa Alejandrino 1 unit	 WATER BATH ABC is Php 150,000.00</t>
  </si>
  <si>
    <t xml:space="preserve"> IV Stand: Stainless steel, Heavy duty, can hold an  infusion pump; 4-5 Legs, 3-4” premium rubber casters, Welded steel base pole with epoxy finish, Slow descending stainless telescoping top pole, 4 hook top at least 99” fully extended, 68” compressed	 10 </t>
  </si>
  <si>
    <t xml:space="preserve"> Republic of the Philippines Province of Davao de Oro MUNICIPALITY OF COMPOSTELA BIDS AND AWARDS COMMITTEE CP#: 0998-571-7569 INVITATION TO BID FOR  Rehabilitation of Roads and Bridges at Purok 3-Poblacion - SB # 01 CY 2020 (Procurement of Diesel &amp; Gasolin</t>
  </si>
  <si>
    <t xml:space="preserve"> 1.	The Provincial Government of Antique, through the General Fund intends to apply the sum of Two Million Nine Hundred Forty Six Thousand Sixty Three Pesos &amp; 60/100 (Php 2, 946, 063.60) being the Approved Budget for the Contract (ABC) to payments under th</t>
  </si>
  <si>
    <t xml:space="preserve"> supply &amp; delivery of construction materials</t>
  </si>
  <si>
    <t xml:space="preserve"> The Metro Iloilo Water District (MIWD), through its Bids and Awards Committee (BAC), invites Suppliers / Manufacturers / Contractors to bid for Four (4) units Laptop Computers with Wireless Mouse as per attached Request for Quotation (RFQ) under Purchase </t>
  </si>
  <si>
    <t xml:space="preserve"> Republic of the Philippines Province of Davao de Oro MUNICIPALITY OF COMPOSTELA BIDS AND AWARDS COMMITTEE CP#: 0998-571-7569 INVITATION TO BID FOR  Rehabilitation of Roads and Bridges at Purok 2-Poblacion - SB # 01 CY 2020 (Procurement of Diesel &amp; Gasolin</t>
  </si>
  <si>
    <t xml:space="preserve"> Description   The Zamboanga State College of Marine Sciences and Technology (ZSCMST), through its Bids and Awards Committee, is inviting PhilGeps registered suppliers to apply for eligibility and to submit bids for the items mentioned hereunder: B-036-202</t>
  </si>
  <si>
    <t xml:space="preserve"> PHILIPPINE BIDDING DOCUMENTS (As Harmonized with Development Partners) Procurement for  Installation of Secondary Lines Sitio Maapon, Sitio Pulang Lupa and Sitio Kabilang Piis Barangay Piis Lucban, Quezon BIDDING Government of the Republic of the Philippi</t>
  </si>
  <si>
    <t xml:space="preserve"> Provision of Ceiling at BHRM Building</t>
  </si>
  <si>
    <t xml:space="preserve"> Catering Services-Combo Meals</t>
  </si>
  <si>
    <t xml:space="preserve"> Networking Laboratory Bundle for Information Technology</t>
  </si>
  <si>
    <t xml:space="preserve"> SectionI. Invitation to Bid Republic of the Philippines Province of Surigao del Sur Municipality of San Miguel BARANGAY CARROMATA Invitation to Bid for the Supply and Delivery of diesel fuel AND OIL LUBRICANTS FOR ROAD GRAVELLING OF FARM TO MARKET ROAD FR</t>
  </si>
  <si>
    <t xml:space="preserve"> Republic of the Philippines DEPARTMENT OF PUBLIC WORKS AND HIGHWAYS REGIONAL OFFICE II Tuguegarao City, Cagayan REQUEST FOR EXPRESSION OF INTEREST (REI) FOR 20CSB007: CONSULTING SERVICES FOR THE FEASIBILITY STUDY OF PROPOSED CAGAYAN-APAYAO ROAD AT  RIZAL,</t>
  </si>
  <si>
    <t xml:space="preserve"> Catering Services-Meals &amp; Snacks</t>
  </si>
  <si>
    <t xml:space="preserve"> Republic of the Philippines Municipality of Taytay Barangay:Silanga NOTICE TO BIDDERS 							 Item No.	Qty.		Unit of  Item		 Description		 				 1	       	13		BOX 			 COFFEE 25g 2		11		SACK			 sugar 3		12		BOX			 noodles 4		11		CASE			 sardines 5		28		SACK</t>
  </si>
  <si>
    <t xml:space="preserve"> Republic of the Philippines PROVINCE OF NUEVA VIZCAYA 2nd Invitation to Bid for the  CONSTRUCTION/IMPROVEMENT OF SITIO CAINO FTMR Located at Banila, Dupax del Sur, Nueva Vizcaya  1.	The Provincial Government of Nueva Vizcaya, through the 2020 20% Developm</t>
  </si>
  <si>
    <t xml:space="preserve"> Supply &amp; Delivery of Laboratory Supplies ABC: 57,000.00 	10  sacks Crack Corn  -	Yellow 	30 sacks Trigo/Wheat -	50 kgs/bag -	Big grains -	White in color and clean 	Delivery period: 30 days 	Delivery site: DA-RCPC, Tacurong City  Note: Bidders must quote i</t>
  </si>
  <si>
    <t xml:space="preserve"> I. MAINTENANCE OF PUBLIC PARKS</t>
  </si>
  <si>
    <t xml:space="preserve"> Republic of the Philippines DEPARTMENT OF PUBLIC WORKS AND HIGHWAYS REGIONAL OFFICE II Tuguegarao City, Cagayan REQUEST FOR EXPRESSION OF INTEREST (REI) FOR 20CSB006: CONSULTING SERVICES FOR THE FEASIBILITY STUDY OF PROPOSED RAMON-SAN ISIDRO-ECHAGUE BYPAS</t>
  </si>
  <si>
    <t xml:space="preserve"> UNIT	  DESCRIPTION		QUANTITY 	CONCRETING &amp; MASONRY WORKS		 cu.m	Cement		619 cu.m	Sand 		48 cu.m	Gravel		40 pc (s)	10mm Dia x 6.0m Corrugated Round Bar		1541 pc (s)	12mm Dia x 6.0m Corrugated Round Bar		10 pc (s)	20mm Dia x 6.0m Corrugated Round Bar		237 p</t>
  </si>
  <si>
    <t xml:space="preserve"> Procurement of diesel fuel for the branch generator set (2020 Provision)</t>
  </si>
  <si>
    <t xml:space="preserve"> Transaction window w/counter				 1	2	pcs	Clear Glass w/holes				 2	2	units	Glass w/ aluminum Braces for counter Arm rest (inside and outside)				 							 			 Note:				 			see attached drawing for details includes installation fee in the quotation</t>
  </si>
  <si>
    <t xml:space="preserve"> Location:  Pob. East,Tungngod, Cudog, Luta, Ponghal ABC: Php 1,250,000.00 Cost of Bid Docs: 5,000.00 The Procurement Schedules are as following: 1. Deadline of buying of Bid Docs: July 8, 2020 @ 5:00 PM 2. Deadline for submission of Bid Docs: July 9, 2020</t>
  </si>
  <si>
    <t xml:space="preserve"> 1	50	pc	ceiling receptacle 4"		 2	55	pc	LED bulb 20 watts		 3	10	pc	weather proof lighting receptacle		 4	1	box	PDX wire #14		 5	5	roll	electrical tape, big</t>
  </si>
  <si>
    <t xml:space="preserve"> Item #	Unit	Specification	Quantity 1	boxes	Ascorbic Acid (500mg tablet)	309</t>
  </si>
  <si>
    <t xml:space="preserve"> 1	70	pcs	lumber 2"x2"x12'		 2	20	pcs	lumber 2"x3"x12'		 3	10	pcs	Hardiflex cenepa, 1/2"x10"x8'		 4	2	gal	Vulcaseal		 5	10	pcs	lumber  2"x6"x12 		 6	40	pcs	marine plywood, 1/4" thick		 7	4	kgs	CWN 1"		 8	6	kgs	CWN 2"		 9	6	kgs	CWN 3"		 10	10	kgs	CWN 4"</t>
  </si>
  <si>
    <t xml:space="preserve"> Republic of the Philippines  BARANGAY TAMBO  Lipa City  OFFICE OF THE PUNONG BARANGAY  BIDS AND AWARDS COMMITTEE  INVITATION TO BID  The Barangay Government of BARANGAY TAMBO, through its Bids and Awards Committee ( BAC ), invites suppliers/manufacturers/</t>
  </si>
  <si>
    <t xml:space="preserve"> The Zamboanga State College of Marine Sciences and Technology (ZSCMST), through its Bids and Awards Committee, is inviting PhilGeps registered suppliers to apply for eligibility and to submit bids for the items mentioned hereunder: B-037-2020 PROCUREMENT </t>
  </si>
  <si>
    <t xml:space="preserve"> LERMA ES- IMPROVEMENT OF WALL PARTITION AND WINDOWS</t>
  </si>
  <si>
    <t xml:space="preserve"> Other General Requirements, Civil, Mechanical, Electrical &amp; Sanitary/Plumbing Works, Earthworks, Plain and Reinforced Concrete Work, Finishing and Other Civil Works, Electrical, Drainage and Slope Protection Structures</t>
  </si>
  <si>
    <t xml:space="preserve"> The Metro Iloilo Water District, through its Bids and Awards Committee (BAC), invites Suppliers / Manufacturers / Contractors to bid for Various Carpentry Materials as per attached Request for Quotation (RFQ) under Purchase Requisition (PR) No. 13811. App</t>
  </si>
  <si>
    <t xml:space="preserve"> Request for Quotation for the Procurement of Cellcards to be used by the DA SAAD RPMSO, PPMSO Negros Oriental, PPMSO Siquijor and PPMSO Bohol Staff 1.	The Department of Agriculture-Regional Field Office 7 (DA-RFO 7), through the General Appropriations Act</t>
  </si>
  <si>
    <t xml:space="preserve"> Request for Quotation for the Procurement of Animal/Zoological Supplies to be given to the Cooperatives or Farmers Associations in support to the COVID-19 Response Program in the Region specifically for the Layer Project 1.	The Department of Agriculture-R</t>
  </si>
  <si>
    <t xml:space="preserve"> 1	20	ream	paper, multi-purpose (COPY) A4, 70gsm		 2	20	ream	paper, multi-purpose (COPY) legal, 70gsm		 3	40	pc	signpen, black		 4	15	bot	Alcohol, 70% ethyl, 500ml		 5	5	bot	Computer ink L3110, black (EPSON)		 6	1	bot	Computer ink L3110, black (CYAN)		 7	1</t>
  </si>
  <si>
    <t xml:space="preserve"> NO	UNIT	DESCRIPTION	QTY 1	boxes	Instant Noodles (72pcs/box)	100 2	boxes	Coffee (25grms) (60/box)	26 3	bundles	Plastic Bag (Large)	20</t>
  </si>
  <si>
    <t xml:space="preserve"> Please refer to the attached RFQ for more details.</t>
  </si>
  <si>
    <t xml:space="preserve"> Public Bidding</t>
  </si>
  <si>
    <t xml:space="preserve"> Republic of the Philippines          City of Dumaguete Bids and Awards Committee INVITATION TO BID FOR PURCHASE REQUEST OF 8 PACK WATER PROOFING COMPOUND OTHER ITEMS 	The City of Dumaguete thru its BIDS AND AWARDS COMMITTEE (BAC), invites all interested m</t>
  </si>
  <si>
    <t xml:space="preserve"> One (1) Consultant on Education - Basic Education/Early Childhood Development.</t>
  </si>
  <si>
    <t xml:space="preserve"> Purchase request submitted by Ma. Theresa Alejandrino  1 unit	 ELECTRIC STERILIZER ABC is Php 150,000.00</t>
  </si>
  <si>
    <t xml:space="preserve"> Supply and Delivery of 1,800 Pcs of Transparent Hygiene Kit Pouch for Students ABC=75,300.00</t>
  </si>
  <si>
    <t xml:space="preserve"> The Local Government Unit of Bula is inviting interested PhilGEPS accredited contractors to apply for eligibility and to submit complete bid for the CONSTRUCTION OF HANDWASHING FACILITIES at LGU-Bula Compound, Bula Public Market, Balaogan Public Market, R</t>
  </si>
  <si>
    <t xml:space="preserve"> 1	1	  UNIT/S	SEAMLESS GLASS WINDOW 150" X 96" TUBULAR ANALOK ALUMINIUM FRAME 5MM THICK DARK GREY GLASS 6 PANELS SEAMLESS AWNING WINDOW LABOR &amp; MATERIALS 2	1	 UNIT/S	SEAMLESS GLASS WINDOW 150" X 96" TUBULAR ANALOK ALUMINIUM FRAME 5MM THICK DARK GREY GLASS </t>
  </si>
  <si>
    <t xml:space="preserve"> Construction Materials.</t>
  </si>
  <si>
    <t xml:space="preserve"> Location:  Burnay/Caba/ Pullaan/Pob. South/Pob. West/Dulao/Abinuan ABC: Php 1,250,000.00 Cost of Bid Docs: 5,000.00 The Procurement Schedules are as following: 1. Deadline of buying of Bid Docs: July 8, 2020 @ 5:00 PM 2. Deadline for submission of Bid Doc</t>
  </si>
  <si>
    <t xml:space="preserve"> I. CONCRETE WORKS II. REINFORCING STEEL III. CARPENTRY WORKS IV. STEEL WORKS V. ROOFING WORKS VI. CONSTRUCTION SAFETY AND HEALTH</t>
  </si>
  <si>
    <t xml:space="preserve"> Networking Security Bundle for Information Technology</t>
  </si>
  <si>
    <t xml:space="preserve"> Purchase request submitted by Ma. Theresa Alejandrino  1 unit Acid Cabinet ABC is Php 300,000.00</t>
  </si>
  <si>
    <t xml:space="preserve"> Please quote your lowest price on item/s listed in the line item and submit your quotation duly signed by your authorized representative through email at bac.secretariat@pnu.edu.ph not later than July 2, 2020 @ 4PM. Note: 1. Delivery period within thirty </t>
  </si>
  <si>
    <t xml:space="preserve"> 1     pc.     Counter top with complete accessories (include angle valve, flexible hose &amp; P traps) 1     set     Water closet with complete accessories, Dimension (48cm x 74cm x 38cm) 1     set     Water closet with complete accessories, Dimension (48cm x</t>
  </si>
  <si>
    <t xml:space="preserve"> 150	ream	Bookpaper sub20 0r 70 gsm, legal size 300	ream	Bookpaper sub20 0r 70 gsm, A4 size 200	ream	Bookpaper sub24 0r 80 gsm, legal size 250	ream	Bookpaper sub24 0r 80 gsm, A4 size 150	ream	Bookpaper sub20 0r 70 gsm, short 6	pack	Hardboard paper 220gsm, </t>
  </si>
  <si>
    <t xml:space="preserve"> 1	3	bot	Cleaner, toilet bowl and urinal, 900-1000ML  2	5	pack	Toilet Tissue, 12 rolls per pack 3	10	bot	Glass Cleaner  with sprayer 500ML 4	10	pack	Trashbag,plastic transparent, 10pcs/roll 5	1	bdle	Rag, all cotton, 32 pieces per kilo per bundle</t>
  </si>
  <si>
    <t xml:space="preserve"> Office Supplies-Bond Paper Short,Bond Paper Long,etc....</t>
  </si>
  <si>
    <t xml:space="preserve"> Office Supplies-Print Cartridge,Laser Toner,etc...</t>
  </si>
  <si>
    <t xml:space="preserve"> PROJECT REFERENCE NO. CWD 25-2020 INVITATION TO BID FOR  Supply and Delivery of Chlorine Dioxide (Liquid Solution) (Rebidding) Item No.	Item Description	Qty.	Unit	Unit Cost	Total Amount 1	Chlorine Dioxide (Liquid Solution)	181	Sets  (A &amp; B Components	6,00</t>
  </si>
  <si>
    <t xml:space="preserve"> Item Number	Qty	Unit of Issue	Item Description	Estimated Unit Cost	Estimated  Amount 1	7	Set	Installation of Solar Street Lights	40,000.00	280,000.00 			SPECS:		 			SOLAR PANEL:		 			MAX POWER-180v 50w ( high efficiency monocrystalline silicon)		 			LIFE </t>
  </si>
  <si>
    <t xml:space="preserve"> Republic of the Philippines Province of Davao de Oro MUNICIPALITY OF COMPOSTELA BIDS AND AWARDS COMMITTEE CP#: 0998-571-7569 INVITATION TO BID FOR  Concreting of Ondap Street to Bayubay Street Purok 2-Poblacion (75 LM) SB# 01 CY 2020 (Procurement of Diese</t>
  </si>
  <si>
    <t xml:space="preserve"> Supply &amp; Delivery of Various Supplies ABC:50,050.00 8 pcs Bukag  9 pcs Winnower  350 pcs Empty Sacks 5 pcs Shovel 6 pcs Spade, HD 2 units Wooden seed shelves (H= 6ft, W=8ft, D= 18”) 	Delivery period: 30 days 	Delivery site: DA-Aroman RES, Carmen, Cotabato</t>
  </si>
  <si>
    <t xml:space="preserve"> Supply &amp; Delivery of  Laboratory Supplies ABC: 327,000.00 	2 tube Avian Influenza Virus H5N1 Antigen 	2 tube Avian Influenza Virus H5N2 Antigen 	2 tube Avian Influenza Virus H7N1 Antigen 	1 bot EIA Equine Infections Anemia (Coggins Test kit) 	7 kit CAE Te</t>
  </si>
  <si>
    <t xml:space="preserve"> 1	Job Note: 	CONSTRUCTION OF SOLAR LIGTHINGS  	Php  133,846.50</t>
  </si>
  <si>
    <t xml:space="preserve"> Concreting of Batiocan - Demapaco Road at Brgy. Batiocan, Libungan, Cotabato</t>
  </si>
  <si>
    <t xml:space="preserve"> 1	25	bottle	Topical Antiseptic, 60cc	 2	25	bottle	70% Isopropyl alcohol, 240 cc	 3	25	bottle	Aromatic spirit of ammonia, 30 cc	 4	25	pack	Toothache drops, 15 cc	 5	25	bottle	Hydrogen peroxide solution, 120 cc	 6	25	tube	Burn ointment	 7	250	tablets	Analge</t>
  </si>
  <si>
    <t xml:space="preserve"> Please submit your quotation for the following items on or before 5:00PM on Jul 06, 2020. ITEM D E S C R I P T I O N QTY. UNIT  1 Lab. Eqpt., Flame - Resistant Chemical Storage Cabinet 1 unit Specification Requirements: 2-3 shelves, 20-60 gallon capacity,</t>
  </si>
  <si>
    <t xml:space="preserve"> PROJECT REFERENCE NO. CWD 27-2020 Invitation to Bid for Supply of Labor and Materials for the Restoration Works at Different Areas located in Calamba City (Rebidding) Item No.	Item Description	Qty.	Unit	Unit Cost	Total Amount 1	Supply of Labor and Materia</t>
  </si>
  <si>
    <t xml:space="preserve"> No. of Person: Five (5) Persons Contract Duration: 12 Months (January-December 2020) General ABC for 12 Months: 637,820.04 Qualification of Personnel: - Not more than 55 years old - At least high school graduate - With good moral character - Non-PUI/PUM's</t>
  </si>
  <si>
    <t xml:space="preserve"> Republic of the Philippines          City of Dumaguete Bids and Awards Committee INVITATION TO BID FOR PURCHASE REQUEST OF 20 BAGS TILE ADHESIVE 25 KGS/BAG OTHER ITEMS 	The City of Dumaguete thru its BIDS AND AWARDS COMMITTEE (BAC), invites all interested</t>
  </si>
  <si>
    <t xml:space="preserve"> Please submit your quotation for the following items on or before 5:00PM on Jul 06, 2020. ITEM D E S C R I P T I O N QTY. UNIT  1 Lab. Eqpt., Bacti-Cinerator 1 unit Technical Specification Requirements: IR or UV sterilizer, optimum heating temperature up </t>
  </si>
  <si>
    <t xml:space="preserve"> Rebidding of Improvement of Nueva Fuerza Water System</t>
  </si>
  <si>
    <t xml:space="preserve"> 1. 500 ampule Bupivacaine 5% heavy 4ml ampule 2. 30 vial Bupivacaine 5% isobaric 10ml ampule 3. 500 vial Sodium Bicarbonate 50 ml vial 4. 400 ampule Atracurium 25mg/2.5 ml ampule</t>
  </si>
  <si>
    <t xml:space="preserve"> The Local Government Unit of Santa Fe, Nueva Vizcaya, through its Bids &amp; Awards Committee invites contractors to bid for the following project: Contract Name: ESTABLISHMENT OF ISOLATION AREA Contract Location: Forest Park, Santa Fe, Nueva Vizcaya Approve </t>
  </si>
  <si>
    <t xml:space="preserve"> ITB  The JH Cerilles State College, through the Trust Fund- MOOE 2020 intends to apply the sum of ONE MILLION TWO HUNDRED NINE THOUSAND SIX HUNDRED PESOS (PHP1,209,600.00) ONLY  being the Approved Budget for the Contract (ABC) to payments under the contra</t>
  </si>
  <si>
    <t xml:space="preserve"> Location:  Tungngod/ Boliwong/ Abinuan/ Olilicon/ Cudog/ Tupaya/ Pob. West ABC: Php 1,100,000.00 Cost of Bid Docs: 5,000.00 The Procurement Schedules are as following: 1. Deadline of buying of Bid Docs: July 8, 2020 @ 5:00 PM 2. Deadline for submission of</t>
  </si>
  <si>
    <t xml:space="preserve"> Procurement of transport and hauling services for the proper disposal of shredded banknote</t>
  </si>
  <si>
    <t xml:space="preserve"> 1 roll Nylon Rope #22 2 rolls Nylon Rope #24 4 pcs Shovel (spade) 2 pcs Searchlight LED 1 unit Nebulizer 1 gal. Alcohol w/ moisturizer 1 pc. Tent Maruyama 18 x 20 10 pcs Safety Helmet 5 pcs Chain 12 pcs Defense sticks 12 pcs Rescue uniforms 23 pcs Raincoa</t>
  </si>
  <si>
    <t xml:space="preserve"> Supply and Delivery of ICT Supplies 3rd Quarter. ABC=28,419.12</t>
  </si>
  <si>
    <t xml:space="preserve"> Concreting of Katitisan - Gumaga Road at Brgy. Gumaga, Libungan, Cotabato</t>
  </si>
  <si>
    <t xml:space="preserve"> Supply &amp; Delivery of IT Supplies ABC:55,500.00 1 pc Intel core i5-7500 1 pc motherboard, Ex-H110M-V Micro ATX 1 pc 8GB DDR4 2666 DIMM Desktop memory 1 pc 1TB green SATA 6.0 gb/3.5 in IHD 1 pc  22 in widescreen LCD monitor/DVi 1 pc  ATX Case with 700 power</t>
  </si>
  <si>
    <t xml:space="preserve"> 1	const	Mirrorized Signage	1	 45,000.00 	 45,000.00  2	bags	Cement	15	 290.00 	 4,350.00  3	pcs	CHB	100	 15.00 	 1,500.00  4	pcs	RSB - 10 mm	20	 190.00 	 3,800.00  5	load	Screen Sand	1	 4,000.00 	 4,000.00  6	kl	Tie Wire	1	 85.00 	 85.00  7	pcs	Tiles 60x6</t>
  </si>
  <si>
    <t xml:space="preserve"> NO. 	QTY	UNIT	AGENCY'S SPECIFICATIONS			 1	4	pcs	Tires; 265/60 R18 All Terrain			 			x-x-x-x(Nothing Follows)x-x-x-x			 The Total  Approved Budget of the Contract (ABC) is Php 52,000.00. All bids in excess of the								 ABC shall be automatically rejecte</t>
  </si>
  <si>
    <t xml:space="preserve"> Supply/Delivery of Spare Parts</t>
  </si>
  <si>
    <t xml:space="preserve"> Location: LGU-Lagawe ABC: Php 549,000.00 Cost of Bid Docs: 1,000.00 The Procurement Schedules are as following: 1. Deadline of buying of Bid Docs: July 8, 2020 @ 5:00 PM 2. Deadline for submission of Bid Docs: July 9, 2020 @ 9:00 AM 3. Opening of Bids:  J</t>
  </si>
  <si>
    <t xml:space="preserve"> REQUEST FOR QUOTATION											 SUPPLY AND DELIVERY OF INK CARTRIDGES											 SHOPPING											 											 INSTRUCTION:										              	 	1.	Supplies are required to read the instructions and fill all the blanks properly.									 	2.	The s</t>
  </si>
  <si>
    <t xml:space="preserve"> Republic of the Philippines Department of Health Central Luzon Center for Health Development Talavera General Hospital Talavera, Nueva Ecija    ISO QMS Certified INVITATION TO BID  Supply and Delivery of Various Medical, Laboratory, Dental and Radiology E</t>
  </si>
  <si>
    <t xml:space="preserve"> Concreting of Montay Road at Brgy. Montay, Libungan, Cotabato</t>
  </si>
  <si>
    <t xml:space="preserve"> Main Motherboard	1 pc Main Processor	1 pc RGB 64GB DDR4 DRAM 3200MHZ	1 pc 2TB M.2 SSD	1 pc DVD Burner with M-Disk	1 pc Computer Case	1 pc True Rated Power Supply	1 pc Gaming Keyboard/Mouse Combo RGB	1 pc 18.5” LED Monitor with Universal Rack Monitor Mount</t>
  </si>
  <si>
    <t xml:space="preserve"> Supply and Delivery of Cleaning and Disinfecting Products for 3rd Quarter ABC=8,000</t>
  </si>
  <si>
    <t xml:space="preserve"> UNIT	  DESCRIPTION		QUANTITY SPL- 1	LINE CANAL INCL. LAY-BY		 	QTY.= 100.00 l.m		 	L= 100m 	W= 1.20m	 			 	I. Materials		 pcs	RCPC 36"Ø (0.90m)		95 pcs	CHB 4"		900 bags	Cement		80 pcs	10mmØ x 6.0m RSB		112 cu.m	Sand		8 cu.m	Gravel		5 kgs	G.I Tie Wire #16	</t>
  </si>
  <si>
    <t xml:space="preserve"> 200 AGGREGATE SUB-BASE COARSE</t>
  </si>
  <si>
    <t xml:space="preserve"> 1 set-      121cm X121cm Sliding window (Brown Analok) 1 set-      120.5 cm X 120.5 cm Sliding Window (Brown Analok) 1 set-       200 cm X 120 cm Sliding Window (Brown Analok) 1 set-      120 cm X120 cm Sliding Window (Brown Analok) 104 pcs    Tiles 40 X </t>
  </si>
  <si>
    <t xml:space="preserve"> Supply/Delivery of Furnitures and Fixtures</t>
  </si>
  <si>
    <t xml:space="preserve"> I. 	BIG CEILING FAN	2	unit 	FT. 1 HP 1 PHASE 240 V		 	specification: 1 HP / 1ph. / 240 V; 6 Blades; RPM: 70		 	Max. affected Area - 1,301 sq. meters		 	Hanging Weight: 94.35 kgs.		 	Power Usage: 750 W		 	* 3 years warranty on unit motor and parts.		 	with</t>
  </si>
  <si>
    <t xml:space="preserve"> QUANTITY - UNIT - DESCRIPTION - UNIT PRICE - AMOUNT 4 - UNITS - CEILING FAN - 2,500.00 - 10,000.00 4 - UNITS - DOUBLE DECK STEEL BED W/ FRAMES - 15,000.00 - 60,000.00 1 - UNIT - STAND FAN - 2,000.00 - 2,000.00 1 - UNIT - SMART TV 24" - 15,000.00 - 15,000.</t>
  </si>
  <si>
    <t xml:space="preserve"> Other General Requirements, Earthworks, Plain and Reinforced Concrete Work, Finishing and Other Civil Works</t>
  </si>
  <si>
    <t xml:space="preserve"> Item 	Quantity	Unit	Item Description No.			 1	8	reams	A3 Paper 2	8	bottles	Alcohol , 68 - 72% ethanol (Ethyl) 3	19	pcs	Alcohol with spray 4	34	bottles	Alcohol, 500 ml 5	5	bottles	Alcohol, 70% solution with moisturizer, 500ml 6	88	bottles	Alcohol, 70%, 300</t>
  </si>
  <si>
    <t xml:space="preserve"> Location:  LGU-Lagawe ABC: Php 95,000.00 Cost of Bid Docs: 500.00 The Procurement Schedules are as following: 1. Deadline of buying of Bid Docs: July 8, 2020 @ 5:00 PM 2. Deadline for submission of Bid Docs: July 9, 2020 @ 9:00 AM 3. Opening of Bids:  Jul</t>
  </si>
  <si>
    <t xml:space="preserve"> Republic of the Philippines																																			 DEPARTMENT OF PUBLIC WORKS AND HIGHWAYS																																			 REGIONAL OFFICE IX																																			 Ipil, Zamboanga Sibugay																																			 Name</t>
  </si>
  <si>
    <t xml:space="preserve"> INVITATION TO BID SUPPLY AND DELIVERY OF TONERS, IMAGING AND  PHOTOCONDUCTOR KIT FOR MULTIFUNCTION  (COPIER, SCANNER, PRINTER) MACHINE AND LASER PRINTERS OF BIR-RR NO. 9B LAQUEMAR, SAN PABLO CITY  1.	The Bureau of Internal Revenue (BIR), Revenue Region No</t>
  </si>
  <si>
    <t xml:space="preserve"> For the repair of swinging gate system</t>
  </si>
  <si>
    <t xml:space="preserve"> NO	UNIT	DESCRIPTION	QTY 1	pcs	BP apparatus sphymomanometer (adult) with stethoscope 	80 2	pcs	BP apparatus sphymomanometer (Pedia) with stethoscope 	14 3	pcs	Digital Non-contact Thermometer	14 4	pcs	Weighing Scale with height measuring Stick, Adult	2 5	pc</t>
  </si>
  <si>
    <t xml:space="preserve"> Repair/Maintenance of Mauhang River Control, Downstream Left, Brgy. Sta. Cruz Section, sta. 0+432-sta. 0+532</t>
  </si>
  <si>
    <t xml:space="preserve"> Supply and Delivery of Two-Way Radio for Security Guard ABC=4,000</t>
  </si>
  <si>
    <t xml:space="preserve"> FOR FURTHER INFORMATION, PLEASE REFER TO: FREZA M. MAGWATE BAC SECRETARIAT OFFICE OF THE BIDS AND AWARDS COMMITTEE BARANGAY 8 POBLACION, CABADBARAN CITY, ADN CELL NO. 0950-440-2197</t>
  </si>
  <si>
    <t xml:space="preserve"> Supply and Delivery of 10 rolls AWG ACSR Duplex Wire #2 (1000m/rool) and 5.2 rolls AWG ACSR Duplex Wire #2 (1000m/rool) to be used for electrification project expansion, Brooke’s Point, Palawan</t>
  </si>
  <si>
    <t xml:space="preserve"> Supply/Delivery of Office Equipment</t>
  </si>
  <si>
    <t xml:space="preserve"> 10	unit	laptop computer (with charger and bag)		 			specifications: 		 			Display: 14 inches		 			Resolution: FHD (1920 x 1080) HD (1366 x 768)		 			CPU: dual core		 			RAM: 4gb		 			Memory Type: DDR4 SDRAM		 			Storage Type: SSD/eMMC		 			SSD/eMMC: 128gb</t>
  </si>
  <si>
    <t xml:space="preserve"> 1 job Radiator overhaul 1 pc Oil Seal 1 pc universal Joint assy. 1 side Build-up/ re-spline flange 1 side Build-up/ re-thread axle</t>
  </si>
  <si>
    <t xml:space="preserve"> Please see attached RFQ # 20-1166 Submit your Sign and Sealed Quotation together with your UPDATED ELIGIBILITY Requirements at 3/F ATI Building Department of Agriculture Region IV-MiMaRoPa, Property&amp;Supply Unit/BAC Secretariat Elliptical Road, Diliman, Qu</t>
  </si>
  <si>
    <t xml:space="preserve"> Furnishing of Materials, Labor &amp; Equipment Scope of Work: SCPL-Item 1  1.00 l.s.  Provision of field Officer for Engineers SCPL-Item 2  1.00  l.s. Construction Safety and Health Program SCPL-Item 3  96.00  sq.ft  Project Billboard SCPL-Item 4  1.00 l.s.  </t>
  </si>
  <si>
    <t xml:space="preserve"> 1	lot	     Architectural Design of a Proposed Construction of 2-Storey Midwifery Building	 		             Specifications:	 		               A Proposed Construction of Php12M 2-Storey Midwifery Building	 			*2 Classrooms ground floor with comfort room 			*</t>
  </si>
  <si>
    <t xml:space="preserve"> Republic of the Philippines BOHOL ISLAND STATE UNIVERSITY Main Campus, Tagbilaran City INVITATION TO BID FOR RE-BIDDING: LOT 1- SUPPLY AND DELIVERY OF LABORATORY EQUIPMENT FOR FOOD TECHNOLOGY INSTRUCTION (PR NO. 2020-02-0292) LOT 2- SUPPLY AND DELIVERY OF</t>
  </si>
  <si>
    <t xml:space="preserve"> UNIT	  DESCRIPTION		QUANTITY SPL -1	LINE CANAL		 	Qty.= 94.00 l.m		 	L = 94.00 m		 	W = 1.20 m		 			 	I. Materials		 pcs	RCPC 36"Ø (0.90m)		90 pcs	CHB 4"		800 bags	Cement		70 pcs	10mmØ x 6.0m RSB		112 cu.m	Sand		8 cu.m	Gravel		5 kgs	G.I Tie Wire #16		12 b</t>
  </si>
  <si>
    <t xml:space="preserve"> ARTICLE AND DESCRIPTION                  										 ITEM	QTY	UNIT						CEILING 		UNIT PRICE			TOTAL  								PRICE					 			Office:  City General Services Office					PR No. 686					 			Charge to: Other Supplies and Materials Expenses					OBR No. 100-2005-0</t>
  </si>
  <si>
    <t xml:space="preserve"> Invitation to Bid for IMPROVEMENT OF ACCOUNTING OFFICE, A.G. SAMONTE HALL BUILDING, UPLB, COLLEGE, LAGUNA rebid 1.	The U.P. LOS BAÑOS, through the GOP through UPLB Reprogrammed Funds intends to apply the sum of ₱9,694,545.45 being the Approved Budget for </t>
  </si>
  <si>
    <t xml:space="preserve"> INVITATION TO BID Sealed proposal in ink typewritten one (1) copy will be received fro bonafide contractors on July 7, 2020 at 11:00 AM at Barangay Hall, Barangay Abar 1st, this city on which date, time and place the bid will publicly opened in the presen</t>
  </si>
  <si>
    <t xml:space="preserve"> Title: Procurement of 1 Job Repair Control Valves (Labor and Materials) under P.R No. 2237-2020 - Bureau of Fire Protection. Total ABC: Php 76,000.00 (INSTRUCTION AS TO THE REQUIRED FORM: For your price quotation, please use the attached Request for Quota</t>
  </si>
  <si>
    <t xml:space="preserve"> Invitation to Bid for PROPOSED GEN-SET HOUSE AND TRANSFORMER ENCLOSURE WITH FIELD STAFF FACILITY, UPLB CAMPUS, COLLEGE, LAGUNA 1.	The U.P. LOS BAÑOS, through the GOP through UPLB Trust Funds intends to apply the sum of ₱5,562,179.76 being the Approved Bud</t>
  </si>
  <si>
    <t xml:space="preserve"> Supply &amp; Delivery of Various Laboratory Supplies ABC:230,100.00 	20  packs Filter paper, 125 mm, Whatman Grade 2, 110/pack 	3 units micropipette stand, carousel type, rotatable for six micropipette 	4 pairs safety shoes, size 6, 7, 8.5 &amp; 12 	4 units Sevil</t>
  </si>
  <si>
    <t xml:space="preserve"> Republic of the Philippines Province of Davao de Oro MUNICIPALITY OF COMPOSTELA BIDS AND AWARDS COMMITTEE CP#: 0998-571-7569 INVITATION TO BID FOR  Improvement of Bridges along Purok 9 to Purok 6 Mangayon - SB#01 CY 2020 (Procurement of Diesel &amp; Gasoline)</t>
  </si>
  <si>
    <t xml:space="preserve"> 100 pcs.DTR</t>
  </si>
  <si>
    <t xml:space="preserve"> 1 10 REAM/S PAPER - BOND,PG,LEGAL,216MMX330MM(8-1/2"X13") 70 GSM 2 10 REAM/S PAPER - BOND,PG,A4,210MMX297MM,70GSM. 3 3 BOX BALLPEN - BLACK ORDINARY 50'S 4 20 PC/S CORRECTION TAPE - W/ CASE 5 10 PC/S RECORD BOOK - 300 PAGES,NON-BLOT,215MM X 275MM,55GSM,SMY</t>
  </si>
  <si>
    <t xml:space="preserve"> The Municipality of Baliwag, through its Bids and Awards Committee (BAC), invites contractors to apply for eligibility and to bid the here ender project: Name of Project	:	SUPPLY AND DELIVERY OF WOODEN ARMCHAIRS 				FOR BALIWAG POLYTECHNIC COLLEGE 	 Locat</t>
  </si>
  <si>
    <t xml:space="preserve"> Supply/Delivery of Technical and Scientific Equipment</t>
  </si>
  <si>
    <t xml:space="preserve"> FURNISHING AND DELIVERY OF 2HP SPLIT TYPE AIR CONDITIONER</t>
  </si>
  <si>
    <t xml:space="preserve"> Title: Procurement of Vehicle Repair and Maintenance under P.R Nos. 1972-2020, 1977-2020 and 1978-2020- City Social Welfare Development Office-1Lot. Total ABC: Php 57,600.00 (INSTRUCTION AS TO THE REQUIRED FORM: For your price quotation, please use the at</t>
  </si>
  <si>
    <t xml:space="preserve"> This project entails labor and materials for the Improvement of Multi-Purpose Building Phase II (installation of Floor tiles at 1st &amp; 2nd Floor bldg, CR) at Brgy. Biton, Magallanes, Sorsogon funded BDF 2020.</t>
  </si>
  <si>
    <t xml:space="preserve"> 1	5	pcs	stamp pad, felt pad	 2	7	unit	stand fan	 3	2	unit	wall clock, big HD	 4	12	pack	battery AAA 4pcs/pack	 5	12	pack	battery AA 4pcs/pack	 6	10	box	fastener, plastic	 7	24	pcs	empty spray bottle small size w/pump</t>
  </si>
  <si>
    <t xml:space="preserve"> Supply and Delivery of Agricultural Supplies (Lot #1), Materials (Lot #2) and Screen Sand (Lot #3) to be used for Techno Center Project, Brooke’s Point, Palawan Lot #1 Agri. Supplies: 69,500.00 Lot #2 Materials: 96,850.00 Lot #3 Screen Sand: 17,150.00 TOT</t>
  </si>
  <si>
    <t xml:space="preserve"> Furnishing of Materials, Labor &amp; Equipment SCOPE OF WORK: SCPL-Item 1  1.00  l.s.  Provision of Field Officer for Engineers SCPL-Item 2  1.00  l.s.  Construction Safety and Health Program SCPL-Item 3  96.00  sq.ft  Project Billboard SCPL-Item 4  1.00 l.s.</t>
  </si>
  <si>
    <t xml:space="preserve"> FURNISHING AND DELIVERY OF AGRICULTURAL SUPPLIES</t>
  </si>
  <si>
    <t xml:space="preserve"> INVITATION TO BID Sealed proposal in ink typewritten one (1) copy will be received fro bonafide contractors on July 10, 2020 at 11:00 AM at Barangay Hall, Barangay Abar 1st, this city on which date, time and place the bid will publicly opened in the prese</t>
  </si>
  <si>
    <t xml:space="preserve"> Establishment of Traffic Warning Signs Along National Roads, Provincial Roads &amp; Municipal Roads @ Buenavista, Agusan del Norte Buenavista, Agusan del Norte Project Category: Fabrication / Installation Project Description: Fabrication/Installation of Traff</t>
  </si>
  <si>
    <t xml:space="preserve"> Republic of the Philippines Province of Davao de Oro MUNICIPALITY OF COMPOSTELA BIDS AND AWARDS COMMITTEE CP#: 0998-571-7569 INVITATION TO BID FOR  Concreting of Road from Purok 1 Provincial Road to Community Activity Center of Brgy. Mangayon - SB#01 CY 2</t>
  </si>
  <si>
    <t xml:space="preserve"> Supply And Delivery of Two (2) sets Computer Desktop for the official use of the Municipal Assessor’s Office, Brooke’s Point, Palawan</t>
  </si>
  <si>
    <t xml:space="preserve"> Supply &amp; Delivery  of Proficiency Testing &amp; Certified Reference Materials ABC:77,000.00 	1  set Soil Proficiency Testing (PT) materials 		For pH, organic matter, NPK analysis, 500ml container, 5 containers 	    Specs:  -	PT materials must come from an int</t>
  </si>
  <si>
    <t xml:space="preserve"> 1. 500 bot - Efavirenz+Lamivudine+Tenofovir Disoproxil Fumarate 600mg/300mg/300mg film coated tab (30tabs/bot)</t>
  </si>
  <si>
    <t xml:space="preserve"> 1.	The Municipality of Impasugong, through the 20% - Construction of Residual Containment Facility – Sanitary Landfill intends to apply the sum of Two Million Five Hundred Thousand Pesos (PhP2,500,000.00) being the Approved Budget for the Contract (ABC) t</t>
  </si>
  <si>
    <t xml:space="preserve"> The Barangay Government of Daanghari, through the Annual Budget 2020 duly approved by the Sangguniang Panlungsod intends to apply the sum of Three Hundred Seventy Five Thousand Pesos (P 375,000.00) being the Approved Budget for the Contract (ABC) to payme</t>
  </si>
  <si>
    <t xml:space="preserve"> I. SIGNBOARD II. CLEARING AND LAYOUT III. EARTHWORKS IV. REINFORCED STEEL WORKS V. CONCRETE WORKS VI. MASONRY WORKS VII. TRUSSES &amp; ROOFING WORKS VIII. DOOR &amp; WINDOW WORKS IX. TILE WORKS X. ELECTRICAL WORKS XI. PLUMBING WORKS XII. CEILING WORKS XIII. PAINT</t>
  </si>
  <si>
    <t xml:space="preserve"> NEGOTIATED PROCUREMENT – SMALL VALUE PROCUREMENT June 25, 2020 1.	The Provincial Government of Davao del Sur, through its Special Bids and Awards Committee (SBAC), invites all bidders to apply to bid for the following civil works: End User	IB NO.	Descript</t>
  </si>
  <si>
    <t xml:space="preserve"> NEW INSTALLATION OF LIGHTING FIXTURES STARTING FROM BARANGAY AMBOLONG TO PALAY</t>
  </si>
  <si>
    <t xml:space="preserve"> NO	UNIT	DESCRIPTION	QTY 1	pcs	1/2'' dia GI Pipe Sch. 40	100 2	pcs	3/4'' dia GI Pipe Sch. 40	64 3	pcs	1'' dia GI Pipe Sch. 40	100 4	kls	Welding Rod 1630	50 5	pcs	12mm Square Bar x 6m	290 6	pcs	10mm Round Bar x 6m	10 7	pcs	Hacksaw Blade	1 8	pcs	Grinding Dis</t>
  </si>
  <si>
    <t xml:space="preserve"> 1	1	unit	laptop (with charger)	 			specifications: 	 			Display: 14 inches	 			Resolution: FHD (1920 x 1080) HD (1366 x 768)	 			CPU: Core i5 8265U	 			RAM: 4gb	 			Memory Type: DDR4 SDRAM	 			Storage Type: HDD+SSD/eMMC	 			HDD: 500gb	 			SSD/eMMC: 128gb	</t>
  </si>
  <si>
    <t xml:space="preserve"> REPUBLIC OF THE PHILIPPINES PROVINCE OF NUEVA VIZCAYA MUNICIPALITY OF BAGABAG BARANGAY VILLA COLOMA INVITATION TO BID: CONSTRUCTION OF COMFORT ROOM Villa Coloma, Bagabag, Nueva Vizcaya 1.	The Local Government Unit of Barangay Villa Coloma, through the 20%</t>
  </si>
  <si>
    <t xml:space="preserve"> Supply &amp; Delivery of Microtubes ABC:73,400.00 	4 packs 0.5ml Microtubes conical bottom RNA’se &amp; DNA’se free (1,000 pcs/pack) 	4 packs 0.2ml Microtubes conical bottom RNA’se &amp; DNA’se free (1,000 pcs/pack) 	10 packs 1.5ml Microtubes conical bottom RNA’se &amp; </t>
  </si>
  <si>
    <t xml:space="preserve"> Republic of the Philippines Province of Surigao del Sur Municipality of Lanuza INVITATION TO BID  PROCUREMENT OF SMART TV FOR SCHOOL INSTRUCTIONAL MATERIALS FOR TEACHING AND LEARNING 1.	The Local Government Unit of Lanuza, through the Special Education Fu</t>
  </si>
  <si>
    <t xml:space="preserve"> Supply &amp; Delivery  of Various Laboratory Chemicals ABC:92,090.00 	1 bot. Sulfuric acid, 96%, 2.5 L, AR 	2 bot. Formaldeyde, 1 gallon, AR 	1 bot. Isopropyl alcohol, 1 gallon, AR 	2 bot. Cobalt (II) nitrate hexahydrate 500 g, AR 	4 bot. Nitric acid 69% 2.5L</t>
  </si>
  <si>
    <t xml:space="preserve"> https://drive.google.com/file/d/1GijFi_ECxKD1i4qNxlPAEOK8WdQKZltV/view?usp=drivesdk</t>
  </si>
  <si>
    <t xml:space="preserve"> Republic of the Philippines Province of Davao de Oro MUNICIPALITY OF COMPOSTELA BIDS AND AWARDS COMMITTEE CP#: 0998-571-7569 INVITATION TO BID FOR  Concreting of Road from Provincial Road to the New Barangay Hall of Brgy. Mangayon - SB#01 CY 2020 (Procure</t>
  </si>
  <si>
    <t xml:space="preserve"> Supply and delivery of Agricultural Supplies to be for Piggery Project, Brooke’s Point, Palawan</t>
  </si>
  <si>
    <t xml:space="preserve"> Procurement of 1 Lot Repair and Maintenance of Office Equipment (Air-condition) for the 3rd Quarter of 2020</t>
  </si>
  <si>
    <t xml:space="preserve"> Republic of the Philippines Province of Negros Occidental CITY OF TALISAY INVITATION TO BID  Road Construction with Drainage System (widening of Magsaysay Road from Heaven’s Gate Cemetery onwards east) located at Magsaysay Street, Talisay City  1.	The Cit</t>
  </si>
  <si>
    <t xml:space="preserve"> pre-ordered Basketball uniform for Sports Development program</t>
  </si>
  <si>
    <t xml:space="preserve"> Item No.	QTY.	UNIT	DESCRIPTION/SPECIFICATION OF ARTICLES	ABC	 				Unit	Total 1	10	pc	Alcohol, 500ml	 100.00 	1,000.00 2	3	bottle	Barium Sulfate, 95.54 / 100g powder for suspension, 5 pack /box	 4,500.00 	13,500.00 3	3	box	Hygienic protective Cover for Ult</t>
  </si>
  <si>
    <t xml:space="preserve"> ITEM NO.	UNIT	ITEM &amp; DESCRIPTION	QTY. 			 	A. 1. Masonry Works 		 1	rolls	2" Ø PE Pipe  60 meters	2 2	pcs.	2" Ø PE Coupling 	1 3	liters	Marine Epoxy 	2 4	kgs.	#16 G.I Tie Wire 	2 		x-x-x-x-x-x-x</t>
  </si>
  <si>
    <t xml:space="preserve"> Led Road Lighting Fixture 30 watts Daylight model FSL1030DL	40 sets Led Road Lighting Fixture 50 watts Daylight model FSL1050DL	25 sets Photocell Control 6 Ampere	5 pcs Compact Fluorescent Lamp (CFL) 10 Watts	50 pcs Electrical Tape (Big)	21 pcs PVC Pipe ¾</t>
  </si>
  <si>
    <t xml:space="preserve"> Procurement of 1 Lot Repair and Maintenance of Office Equipment (Desktop Computer) for the 3rd Quarter of 2020</t>
  </si>
  <si>
    <t xml:space="preserve"> Supply &amp; Delivery of other Supplies ABC:92,858.00 	4 pcs Storage Box (S) 	5 pcs Nigo/Kalalaw (round) 	5 pcs Syche /garab 	5 pcs meter stick , yellow (1 meter) 	2 pcs beach umbrella HD 	10 pair Arm sleeve, long 	10 pcs Fishing hat UV protecting sun hat fol</t>
  </si>
  <si>
    <t xml:space="preserve"> Republic of the Philippines Department of Education Region V SCHOOLS DIVISION OFFICE OF CAMARINES SUR Office of the Bids and Awards Committee INVITATION TO BID FOR:   SUPPLY AND DELIVERY OF IT SUPPLIES &amp; EQUIPMENT AND OFFICE SUPPLIES FOR THE DIVISION OFFI</t>
  </si>
  <si>
    <t xml:space="preserve"> Prepainted Metal Roofing Sheets GA. 26 Long Span, Fabricated Metal Roofing Accessory (Ridge/Hip Rolls / Flashing/Counted Flashing Nallery Roll), Fabricated Metal Roofing Accessory (Gutter), Ceiling Works, Conduit Boxes and Fittings (Conduit Works/Conduit </t>
  </si>
  <si>
    <t xml:space="preserve"> Procurement of Infrastructure Supplies    RFQ No. 433</t>
  </si>
  <si>
    <t xml:space="preserve"> INFRASTRUCTURE WORKS FOR THE ROAD CONCRETING OF BARANGAY ROAD AT BARANGAY NAJANDIG,ZAMBOANGUITA, NEGROS ORIENTAL</t>
  </si>
  <si>
    <t xml:space="preserve"> Construction of Access Road at Sitio Kalangitan, Brgy. Cutcut II, Capas, Tarlac</t>
  </si>
  <si>
    <t xml:space="preserve"> 6 units Lateral Cabinet with 4 Drawers - Powder Coating - Size: 1380H x 900W x 450D mm  - Color: Gray</t>
  </si>
  <si>
    <t xml:space="preserve"> NEW INSTALLATION OF LIGHTING FIXTURES AT BARANGAY MANDONG</t>
  </si>
  <si>
    <t xml:space="preserve"> I	SURFACE COURSE (Bituminouse Tack Coat)		 a	Emulsified Asphalt SS-1 (Bitumul)	6	drum 			 II	SURFACE COURSE (Bituminous Concrete Surface Course)		 a	FDLRC AC/MIX (Grading E)		 	Bituminous Concrete Surface Course	127	m.t b 	EQUIPMENT (INCLUDED)		 	Asphalt </t>
  </si>
  <si>
    <t xml:space="preserve"> Request for Quotation PR. No.:2020-01-071 Sir/ Madam: Please quote your lowest price on the item/s listed below, stating the shortest time of delivery and submit your quotation duly signed by your representative not later than the set deadline at the BAC </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</si>
  <si>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</si>
  <si>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1. Contract ID:	20ND0066         Contract Name:	REPAIR/MAINTENANCE OF DPWH BLDG. MULTI-PURPOSE HALL BUTUAN CITY DISTRICT ENGINEERING OFFICE         Contract Location:	R. Palma Street , Butuan City         Brief Description:	Repair and Maintenance of  Two </t>
  </si>
  <si>
    <t xml:space="preserve"> Republic of the Philippines Province of Oriental Mindoro MUNICIPALITY OF VICTORIA INVITATION TO BID Supply and Delivery of Construction Materials and Supplies to be used for Repair and Maintenance of School Classrooms in the Municipality of Victoria, Orie</t>
  </si>
  <si>
    <t xml:space="preserve"> Republic of the Philippines 	CITY OF SAN PEDRO Province of Laguna BIDS AND AWARDS COMMITTEE INVITATION TO APPLY FOR ELIGIBILITY AND TO BID PR NO. 0498 1.	The City Government of San Pedro, Laguna through the 2020 LSB Budget Approved by the Sangguniang Pang</t>
  </si>
  <si>
    <t xml:space="preserve"> 20-05-183 Procurement of Biosafety Cabinet Type II</t>
  </si>
  <si>
    <t xml:space="preserve"> INVITATION TO BID FOR THE PROCUREMENT OF FUEL AND OIL (2nd and 3rd Quarter of 2020) 1.	The Local Government Unit of Buug, through the General Fund  intends to apply the sum of Two Million Four Hundred Forty Two Thousand NIne Hundred Seventy  Pesos only ( </t>
  </si>
  <si>
    <t xml:space="preserve"> INVITATION TO BID FOR THE CONSTRUCTION OF IRRIGATION FACILITIES Lower Akki, Adams, Ilocos Norte 1.	The Municipal Government of Adams, through funds from the 20% Municipal Development Fund intends to apply the sum of P299,522.46 being the Approved Budget f</t>
  </si>
  <si>
    <t xml:space="preserve"> INVITATION TO BID IB No. 2020-01-A PURCHASE OF VARIOUS CONSTRUCTION MATERIALS AND SUPPLY FOR THE PROPOSED CONSTRUCTION OF LINING CANAL APPROXIMATELY 100m 1.	The Barangay Cabolo-an Sur, Oton, Iloilo, through 20% Development, intends to apply the sum of One</t>
  </si>
  <si>
    <t xml:space="preserve"> 1. WIRELESS HEADPHONES -Soundlink around-ear wireless headphones II -Headphones: 19.1cm H x 15.2cm W x 3.8cm D (200g) -Ear Cushion: 9.6cm H x 7.4cm W -Deep, immersive sound for music from exclusive technology. Clear, natural sound at both ends of a call, </t>
  </si>
  <si>
    <t xml:space="preserve"> construction of Covered court (Flooring )41/2"thick x 25mtrs x 30 meters)</t>
  </si>
  <si>
    <t xml:space="preserve"> Title: Procurement of 785 pax Meal(1) under P.R No. 2434-2020 - Sangguniang Panglungsod Total ABC: Php 157,000.00 (INSTRUCTION AS TO THE REQUIRED FORM: For your price quotation, please use the attached Request for Quotation (RFQ) Form and send to the City</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</si>
  <si>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</si>
  <si>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BDRRMF 2020 Purchase of Generator Set - P 52,378.00 Schedule of Activities 1. Submission &amp; Receipt of Bids / Bid Opening - July 15, 2020 @ 3:00 P.M. 2. Bid Evaluation - July 16, 2020 3. Post Qualification - July 17, 2020 4. Approval of Resolution/Issuance</t>
  </si>
  <si>
    <t xml:space="preserve"> Portland Cement Coco Lumber 2" x5" 12' Water Mixing Gravel Gravel Common Nails (Assorted)</t>
  </si>
  <si>
    <t xml:space="preserve"> INVITATION TO APPLY FOR ELIGIBILITY AND TO BID  One (1) Lot Lease and Rental of Property   ITB No. 2020-06-007 P.R. No. 2020-05-167 1.	The Mines and Geosciences Bureau, through the General Appropriations Act (GAA) for CY 2020 intends to apply the sum corr</t>
  </si>
  <si>
    <t xml:space="preserve"> SMARTPHONE -Screen: 6.4-inch FHD+ Super AMOLED Display (1080x2340 Pixels, 411 ppi) with Corning Gorilla Glass 3, 19.5:9 Aspect Ratio &amp; Infinity-U Notch -OS: Android 10 with One UI 2.0 -Chipset: Samsung Exynos 9611 -CPU: Octa Core CPU 4x Cortex-A73 @2.3GHz</t>
  </si>
  <si>
    <t xml:space="preserve"> Republic of the Philippines 	CITY OF SAN PEDRO Province of Laguna BIDS AND AWARDS COMMITTEE INVITATION TO APPLY FOR ELIGIBILITY AND TO BID PR NO. 0499 1.	The City Government of San Pedro, Laguna through the 2020 LSB Budget Approved by the Sangguniang Pang</t>
  </si>
  <si>
    <t xml:space="preserve"> TO FURNISHN LABOR FOR AIRCON CLEANING: 1. Ceiling Suspended Type Air-Conditioned  4-units 2. Fllor mounted Type Air-Conditioned        5-units 3. Wall mounted (2.5Hp) Type Air-Condtioned  6 units 4. Wall mounted 1.5 Hp) Type Air-Conditioned   16 units 5. </t>
  </si>
  <si>
    <t xml:space="preserve"> Republic of the Philippines PROVINCE OF BUKDINON 	Malaybalay City	 OFFICE OF THE PROVINCIAL GOVERNOR Bids and Awards Committee REQUEST FOR BID PROPOSAL THROUGH NEGOTIATED PROCUREMENT (SECTION 53.2 – EMERGENCY CASES) SUPPLY AND DELIVERY OF PERSONAL PROTECT</t>
  </si>
  <si>
    <t xml:space="preserve"> INVITATION TO BID FOR THE SUPPLY OF SECURITY SERVICES FOR 2020-2021  1.	The Philippine Crop Insurance Corporation (PCIC), through the PCIC Corporate Operating Budget for 2020 approved by the Board intends to apply the sum of ONE MILLION TWO HUNDRED TWELVE</t>
  </si>
  <si>
    <t xml:space="preserve"> JOSE B. LINGAD MEMORIAL REGIONAL HOSPITAL City of San Fernando, Pampanga Tel. No. (045) 961-3921 Date: June 26, 2020 No. 2020 – 06 - 195-S REQUEST FOR QUOTATION (Name of Agency) (Address) Sir/Madam: Please quote your lowest price on the item/s listed belo</t>
  </si>
  <si>
    <t xml:space="preserve"> 1	lot	     Licensed Statistical Package for the Social Science with Plagiarism Detector and Grammarly (1 year subscription)			 		          General Description:			 			Statistics base module		 			  1. Descriptive statistics		 			  2. Test to predict numeric</t>
  </si>
  <si>
    <t xml:space="preserve"> Republic of the Philippines Province of Negros Occidental CITY OF TALISAY INVITATION TO BID  Construction of Water Lines &amp; Reservoirs located at Barangay Cabatangan, Talisay City  1.	The City of Talisay, through the 20% ADF 2020 intends to apply the sum o</t>
  </si>
  <si>
    <t xml:space="preserve"> Capital Outlay Watercraft (Purchase of Motorboat Service) - P 100,000.00 Schedule of Activities 1. Submission &amp; Receipt of Bids / Bid Opening - July 15, 2020 @ 10:00 A.M. 2. Bid Evaluation - July 16, 2020 3. Post Qualification - July 17, 2020 4. Approval </t>
  </si>
  <si>
    <t xml:space="preserve"> Procurement of 1 Lot Repair and Maintenance of Office Equipment (Photocopier) for the 3rd Quarter of 2020</t>
  </si>
  <si>
    <t xml:space="preserve"> Philippine Science High School – Central Luzon Campus (PSHS-CLC) wishes to invite proponent for the Supply, Delivery and Installation of Cameras for Emergency Exits of Dormitory Building 1 and Additional Capacity of Surveillance Hard Drive for the CCTV Ca</t>
  </si>
  <si>
    <t xml:space="preserve"> 2. Contract ID:	20ND0067         Contract Name:	Construction of Multi-Purpose Building, Brgy. Poblacion, Las Nieves, Agusan del Norte         Contract Location:	Brgy. Tiniwisan, Butuan City         Brief Description:	Repair and Maintenance of  Two  Storey</t>
  </si>
  <si>
    <t xml:space="preserve"> 20% EDF CY 2020 Rehabilitation of Pathway - P 200,000.00 Schedule of Activities 1. Submission &amp; Receipt of Bids / Bid Opening - July 15, 2020 @ 1:00 P.M. 2. Bid Evaluation - July 16, 2020 3. Post Qualification - July 17, 2020 4. Approval of Resolution/Iss</t>
  </si>
  <si>
    <t xml:space="preserve"> Republic of the Philippines Province of Sarangani Municipality of Alabel oooOooo INVITATION TO BID FOR PROCUREMENT OF ONE (1) UNIT RESCUE VEHICLE 2.2 L 4x4 Manual Transmission 1.The Municipality of Alabel, through the Disaster Response &amp; Rescue Equipment </t>
  </si>
  <si>
    <t xml:space="preserve"> Please see attached ITB</t>
  </si>
  <si>
    <t xml:space="preserve"> Republic of the Philippines Province of Cagayan Tuguegarao City Invitation to Bid for  Construction of Farmer’s Dormitory Building and Construction of PVET Admin Building, Zitanga, Ballesteros, Cagayan 1.	The Provincial Government of Cagayan, through the </t>
  </si>
  <si>
    <t xml:space="preserve"> Updating of CLUP 2020-2029				 				 Scope of Work:				 				  # Review and assessment of existing CLUP and   zoning ordinance				  # Review of the Municipal Vision and Mission				  # Gather needed updated data from all sector				  # Identify and assessment</t>
  </si>
  <si>
    <t xml:space="preserve"> 1	pc	4PK Aircon Belt		 2	ltr	Motor oil Gasoline</t>
  </si>
  <si>
    <t xml:space="preserve"> PCCP 0.20m x 5.00m x 165.00m</t>
  </si>
  <si>
    <t xml:space="preserve"> UNIT	  DESCRIPTION		QUANTITY	 SPL-1	CLEARING OF OTHER OBSTRUCTIONS/STRUCTURE  EXCAVATION			 	Qty.= 1.00    lot			 I.	Labor incl. Equipment Rental			 				 				 DIRECT COST  				 				 INDIRECT COST  			 OCM(15%ofDirect Cost) 	 			Profit(10%of Direct Cost)	 </t>
  </si>
  <si>
    <t xml:space="preserve"> 1 6 REAM/S PAPER - BOND,PG,LEGAL,216MMX330MM(8-1/2"X13") 70 GSM 2 6 REAM/S PAPER - BOOK A4,210MMX297MM,MIN OF 70GSM 3 6 REAM/S PAPER - BOOK LEGAL,216MMX330MM(8-1/2"X13"),MIN OF 70GSM 4 6 PC/S BALLPEN - ORDINARY, BLACK 5 6 PC/S BALLPEN - ORDINARY, RED 6 2 </t>
  </si>
  <si>
    <t xml:space="preserve"> 42,075 liters Diesel Fuel</t>
  </si>
  <si>
    <t xml:space="preserve"> Pipeline installation</t>
  </si>
  <si>
    <t xml:space="preserve"> Republic of the Philippines PROVINCE OF BUKDINON 	Malaybalay City	 OFFICE OF THE PROVINCIAL GOVERNOR Bids and Awards Committee REQUEST FOR BID PROPOSAL THROUGH NEGOTIATED PROCUREMENT (SECTION 53.2 – EMERGENCY CASES) SUPPLY AND DELIVERY OF TESTING KITS AND</t>
  </si>
  <si>
    <t xml:space="preserve"> INVITATION TO BID FOR THE PROCUREMENT OF Cellcards 1.	The Local Government Unit of Buug, through the General Fund  intends to apply the sum of Two Hundred Twelve Thousand Five Hundred Twelve Pesos only ( 222,512.00) being the Approved Budget for the Contr</t>
  </si>
  <si>
    <t xml:space="preserve"> 23 items of office supplies</t>
  </si>
  <si>
    <t xml:space="preserve"> REQUEST FOR QUOTATION												 												 RFQ No.		SVP 20 - 0395				Date				3/18/2020		 PR Reference		100-20-03-014				Implementing Office				CEO		 Closing Date and Time												 Designated Places of Submission (Bid Box Designated Locations)						</t>
  </si>
  <si>
    <t xml:space="preserve"> INVITATION TO BID FOR THE SUPPLY OF JANITORIAL SERVICES FOR 2020-2021  1.	The Philippine Crop Insurance Corporation (PCIC), through the PCIC Corporate Operating Budget for 2020 approved by the Board intends to apply the sum of ONE MILLION TWO HUNDRED TWEL</t>
  </si>
  <si>
    <t xml:space="preserve"> Supply and Delivery of Steel Ladder (Pilipino Bldg.) Materials. (Hardware supplies 3Q)  ABC=36,150.00</t>
  </si>
  <si>
    <t xml:space="preserve"> -ISO 4064-1-2014 Class B  -Dry Dial,Rotary Vane Wheel  -Anti-Magnetic Shield to prevent tampering  -Snap fit locking system,machine encapsulated body  -Non-return valve available upon request  -Counter Available in 7 number wheel  -Extra security sealing-</t>
  </si>
  <si>
    <t xml:space="preserve"> Republic of the Philippines PROVINCE OF BUKDINON 	Malaybalay City	 OFFICE OF THE PROVINCIAL GOVERNOR Bids and Awards Committee REQUEST FOR BID PROPOSAL THROUGH NEGOTIATED PROCUREMENT (SECTION 53.2 – EMERGENCY CASES) SUPPLY AND DELIVERY OF DISINFECTANTS AN</t>
  </si>
  <si>
    <t xml:space="preserve"> Local Government Unit of Irosin						                                            GOOD-20-2020                 Supply &amp; Delivery of Hardware/Materials  as Assistance to Various Schools-Local School Board Irosin, Sorsogon Standard Form Number: SF-GOOD-05 Re</t>
  </si>
  <si>
    <t xml:space="preserve"> 600 meters - P.E. Tubing 2", ISO • 60 meters / roll  1,500 meters - P.E. Tubing 1", CTS • 100 meters / roll 3,000 meters - P.E. Tubing 1/2", CTS • 300 meters / roll Notes: • To be awarded as one (1) lot. • F.O.B. Dumaguete City Water District   (Price inc</t>
  </si>
  <si>
    <t xml:space="preserve"> 420 LI</t>
  </si>
  <si>
    <t xml:space="preserve"> REQUEST FOR QUOTATION											 											 RFQ No.		SVP 20-0560				Date				May 06, 2020	 PR Reference		200-20-04-043				Implementing Office				DEPED	 Closing Date and Time					May 13, 2020		,5PM				 Designated Places of Submission (Bid Box Designated Lo</t>
  </si>
  <si>
    <t xml:space="preserve"> Republic of the Philippines Province of Cavite Municipality of Naic BIDS AND AWARDS COMMITTEE PB-2020-06-039 INVITATION TO  BID  IMPROVEMENT OF MULTI-PURPOSE HALL  AT BRGY. CAPT. C. NAZARENO, NAIC, CAVITE 1.       The Municipal Government of Naic through </t>
  </si>
  <si>
    <t xml:space="preserve"> 0.15m x 5.0m x 220.00ln.m. PCCP 0.15m x 4.0m x 120.00ln.m. PCCP 0.10m x 3.0m x 90.00ln.m. PCCP 0.10m x 2.40m x 48.00ln.m. PCCP 37.15 cu.m. Grouted Riprap</t>
  </si>
  <si>
    <t xml:space="preserve"> 1	Alcohol (gallon)	154	gallon 2	Backpack Sprayer	36	piece 3	Bottle Sprayer	10	bottle 4	Disinfecting Mat 19x30 inches	5	piece 5	Hand Sanitizer	174	bottled 6	Liquid Bleach 3785ml	130	gallon 7	Liquid Bleach 1000ml	34	bottle</t>
  </si>
  <si>
    <t xml:space="preserve"> NEGOTIATED PROCUREMENT-EMERGENCY CASES</t>
  </si>
  <si>
    <t xml:space="preserve"> INVITATION TO BID FOR The Department of Public Works and Highways Camarines Sur 5TH, District Engineering Office through its Bids and Awards Committee (BAC) for Goods, invites suppliers to submit bids for the following Contract: Contract ID No. 20GFN0009 </t>
  </si>
  <si>
    <t xml:space="preserve"> INVITATION TO BID FOR The Department of Public Works and Highways Camarines Sur 5TH, District Engineering Office through its Bids and Awards Committee (BAC) for Goods, invites suppliers to submit bids for the following Contract: Contract ID No. 20GFN0010 </t>
  </si>
  <si>
    <t xml:space="preserve"> NEW INSTALLATION OF LIGHTING FIXTURES AT BARANGAY LUPIT TO BARANGAY MAN-UP</t>
  </si>
  <si>
    <t xml:space="preserve"> Republic of the Philippines Province of Albay Municipality of Rapu-Rapu Barangay Sta. Barbara INVITATION TO BID FOR THE IMPROVEMENT/REHABILITATION OF WATER SYSTEM 1.	The Barangay Local Government Unit of Sta. Barbara, Rapu-Rapu, Albay, through the Budget </t>
  </si>
  <si>
    <t xml:space="preserve"> UNIVERSITY OF THE PHILIPPINES BAGUIO											 Governor Pack Road, Baguio City, Benguet, CAR											 VAT Reg. TIN: 000-864-006-00007											 Telephone No. 074.442.3484											 Email Address: spmo.upbaguio@up.edu.ph											 											 REQUEST</t>
  </si>
  <si>
    <t xml:space="preserve"> Supply and Delivery of Steel Fence Materials (Hardware Supplies (3rd Quarter) ABC=121,300</t>
  </si>
  <si>
    <t xml:space="preserve"> Republic of the Philippines PROVINCE OF BUKDINON 	Malaybalay City	 OFFICE OF THE PROVINCIAL GOVERNOR Bids and Awards Committee REQUEST FOR BID PROPOSAL THROUGH NEGOTIATED PROCUREMENT (SECTION 53.2 – EMERGENCY CASES) SUPPLY AND DELIVERY OF MEDICAL SUPPLIES</t>
  </si>
  <si>
    <t xml:space="preserve"> BIDS AND AWARDS COMMITTEE FDA-BAC Ref. No. ITB No. 2020-004-RFO/CTQAL INVITATION TO BIDS PROVISION OF SECURITY SERVICES FOR FDA-REGIONAL FIELD OFFICES AND CEBU TESTING  AND QUALITY ASSURANCE LABORATORY 1.	The Food and Drug Administration (FDA) - Field Reg</t>
  </si>
  <si>
    <t xml:space="preserve"> Republic of the Philippines Province of Cagayan Tuguegarao City Invitation to Bid for  Construction of Material Recovery Facility (Cluster 1) 1.	The Provincial Government of Cagayan, through the Trust Fund intends to apply the sum of P 1,190,427.92  being</t>
  </si>
  <si>
    <t xml:space="preserve"> Female, 2 - 10 years old</t>
  </si>
  <si>
    <t xml:space="preserve"> medical supplies and materials for division office use against COVID 19 pandemic attached is the RFQ worth P190,377.00 Note: kindly email the RFQ to the BAC secretariat (mareina.acevedo@deped.gov.ph) if interested to quote before the closing date. Thank y</t>
  </si>
  <si>
    <t xml:space="preserve"> 1. The Local Government Unit of San Andres, Quezon through its 20% Development Fund intends to apply the sum of Two Hundred Seventy Four Thousand and One  Hundred Twenty Pesos (Php 274,120.00) only being the Approved Budget for the Contract (ABC) to payme</t>
  </si>
  <si>
    <t xml:space="preserve"> The JH Cerilles State College, through the Trust Fund- MOOE 2020 intends to apply the sum of TWO MILLION ONE HUNDRED TEN THOUSAND PESOS (PHP2,110,000.00) ONLY  being the Approved Budget for the Contract (ABC) to payments under the contract for SUPPLY &amp; DE</t>
  </si>
  <si>
    <t xml:space="preserve"> Procurement of consumables for Brother HL-L6400DW printers</t>
  </si>
  <si>
    <t xml:space="preserve"> ALBAY 3RD DISTRICT ENGINEERING OFFICE																																						 Paulog, Ligao City																																						 																																						 																																						 INVITATION TO BID																											</t>
  </si>
  <si>
    <t xml:space="preserve"> NEW INSTALLATION OF LIGHTING FIXTURES STARTING FROM BARANGAY MAN-UP, BATAN TO BARANGAY MAN-UP , ALTAVAS BOUNDARY</t>
  </si>
  <si>
    <t xml:space="preserve"> INVITATION TO BID FOR THE CONSTRUCTION OF IRRIGATION FACILITIES Lower Akki, Adams, Ilocos Norte 1.	The Municipal Government of Adams, through funds from the 20% Municipal Development Fund intends to apply the sum of P249,772.95 being the Approved Budget f</t>
  </si>
  <si>
    <t xml:space="preserve"> SCOOP OF WORK 1.WIDENING AND EARTHFIL AT LOW PORTION OF THE ROAD 2.SPOT GRAVELLING OF THE REHABILITATE STREET 3.COMPACTION AT EARTHFIL PORTION OF THE ROAD WIDENING OF ROAD  A. RENTALS (OPERATED) B. MATERIALS  TOTAL COST 100.000.00</t>
  </si>
  <si>
    <t xml:space="preserve"> QTY   UNIT    PARTICULARS 2 pax Janitorial services, Labor and materials, the effective minimum wage in NCR and social benefits, Mondays-Saturdays, 8 hours/day, 7:00 A.M. to 4:00 P.M. for CY 2020</t>
  </si>
  <si>
    <t xml:space="preserve"> Republic of the Philippines Province of Misamis Occidental Municipality of Jimenez Barangay Carmen _____________________________________			PR#:  __________________________ _____________________________________			Date: __________________________ 	Please qu</t>
  </si>
  <si>
    <t xml:space="preserve"> CITY GOVERNMENT OF PASIG INVITATION TO BID The City Government of Pasig thru the Bids and Awards Committee (BAC) invites interested suppliers / contractors to apply for eligibility screening and if subsequently found eligible to bid for the procurement of</t>
  </si>
  <si>
    <t xml:space="preserve"> 1 | P a g e NNP 20-011 – Procurement of Consultancy Services (Individual) for the Cost-Benefit Analysis of Community-Based and Center-Based Intervention for Children in Conflict with the Law NOTICE FOR NEGOTIATED PROCUREMENT (Small Value Procurement) PROC</t>
  </si>
  <si>
    <t xml:space="preserve"> Supply &amp; Delivery of Various Supplies ABC: 51,000.00 	5  boxes U-Nail  	20 bags Cement 	2 rolls Barb wire 	8 bags  Salt 	5 pcs  Claw Hammer, HD 	5 pcs Hand Saw, high Quality 	1 roll 1” Rope @ 200 meter/roll 	1 roll 1.5” Rope @ 200 meter/roll 	Delivery per</t>
  </si>
  <si>
    <t xml:space="preserve"> Various shirts &amp; personal protective equipment's</t>
  </si>
  <si>
    <t xml:space="preserve"> Contract ID:       20GHL0002 Contract Name:  Supply and delivery of 100 drums Penetration Asphalt 60/70 and three  (3) other items for use in the correction of minor scaling/raveling, potholes,  alligator cracks, shoving along DSR, DCVBR, SCPTR, BKR and B</t>
  </si>
  <si>
    <t xml:space="preserve"> Republic of the Philippines PROVINCE OF BUKDINON 	Malaybalay City	 OFFICE OF THE PROVINCIAL GOVERNOR Bids and Awards Committee REQUEST FOR BID PROPOSAL THROUGH NEGOTIATED PROCUREMENT (SECTION 53.2 – EMERGENCY CASES) SUPPLY AND DELIVERY OF VARIOUS DRUGS AN</t>
  </si>
  <si>
    <t xml:space="preserve"> Republic of the Philippines Province of Cagayan Tuguegarao City Invitation to Bid for Construction of TFLC Building Sanchez Mira, Cagayan  1.	The Provincial Government of Cagayan, through the General Fund intends to apply the sum of P 4,999,662.30 being t</t>
  </si>
  <si>
    <t xml:space="preserve"> 1	pc	clutch master assym		 1	pc	radiator averhauling		 2	ltr	motor oil 20-40</t>
  </si>
  <si>
    <t xml:space="preserve"> Purchase of Office Safety Equipment  as indicated in the School Improvement Plan</t>
  </si>
  <si>
    <t xml:space="preserve"> Supply &amp; Delivery of Various Rice Seeds ABC:403,200.00 	72  bags Rice Seeds, Lowland (Inbred) NSIC RC 400 	72 bags  Rice Seeds, Lowland (Inbred) NSIC RC 160 	72  bags Rice Seeds, Lowland (Inbred) NSIC RC 216 	72 bags  Rice Seeds, Lowland (Inbred) NSIC RC </t>
  </si>
  <si>
    <t xml:space="preserve"> as per attached INM</t>
  </si>
  <si>
    <t xml:space="preserve"> 1 unit - 60HP Submersible Motor 6" •  460V, 3 Phase, 60Hz, 3450 RPM  Notes: • F.O.B. Dumaguete City Water District   (Price includes freight and handling expenses) • Kindly submit a copy of your valid “Certificate of PhilGEPS Registration”. Please send yo</t>
  </si>
  <si>
    <t xml:space="preserve"> Republic of the Philippines Province of South Cotabato BIDS AND AWARDS COMMITTEE Salada Street, Poblacion Tupi, South Cotabato Tel. Fax No.: (083) 226-1045 INVITATION TO BID FOR THE SUPPLY AND DELIVERY OF CONSTRUCTION MATERIALS FOR THE CONCRETING OF POBLA</t>
  </si>
  <si>
    <t xml:space="preserve"> Department of Education							 Region VI-Western Visayas							 DIVISION OF CADIZ CITY							 VILLACIN NATIONAL HIGH SCHOOL							 Cadiz City							 BUDGETARY REQUIREMENTS							 PROGRAM TITLE:		CONDUCT MEETING WITH THE PTA &amp; STAKEHOLDERS ,QUARTERLY CADR </t>
  </si>
  <si>
    <t xml:space="preserve"> DETAILED ESTIMATES OF UNIT COST 											 FOR VARIOUS ITEMS/SUB-ITEMS											 											 PROJECT TITLE: REHABILITATION OF MUNICIPAL ROAD, SITIO IBABA TO TULAY, MAAHAS, LOS BANOS, LAGUNA 											 LOCATION: MAAHAS, LOS BANOS, LAGUNA					 P 1,383,13</t>
  </si>
  <si>
    <t xml:space="preserve"> CONSTRUCTION MATERIALS OF IMPROVEMENT OF LGU BUILDING</t>
  </si>
  <si>
    <t xml:space="preserve"> Purchase of equipments</t>
  </si>
  <si>
    <t xml:space="preserve"> Republic of the Philippines Province of Cagayan Tuguegarao City Invitation to Bid for Concreting of Santiago- San Isidro, Claveria, Cagayan  1.	The Provincial Government of Cagayan, through the NTLB intends to apply the sum of  P 2,997,131.29 being the Ap</t>
  </si>
  <si>
    <t xml:space="preserve"> 65 pax Snacks morning, 15 days 65 pax Meal, Lunch 15 days 65 pax Snacks, Afternoon, 15 days</t>
  </si>
  <si>
    <t xml:space="preserve"> INVITATION TO BID FOR The Department of Public Works and Highways Camarines Sur 5TH, District Engineering Office through its Bids and Awards Committee (BAC) for Goods, invites suppliers to submit bids for the following Contract: Contract ID No. 20GFN0011 </t>
  </si>
  <si>
    <t xml:space="preserve"> office supplies</t>
  </si>
  <si>
    <t xml:space="preserve"> Section I. Invitation to Bid                                             	Republic of the Philippines                                             Municipality of Kalayaan                                             Province of Palawan 	Bids and Awards Com</t>
  </si>
  <si>
    <t xml:space="preserve"> Republic of the Philippines          City of Dumaguete Bids and Awards Committee INVITATION TO BID FOR PURCHASE REQUEST OF 37 CU.M SAND (STD. SPECS) AND OTHER ITEMS 	The City of Dumaguete thru its BIDS AND AWARDS COMMITTEE (BAC), invites all interested ma</t>
  </si>
  <si>
    <t xml:space="preserve"> INVITATION TO BID FOR THE PROCUREMENT OF Construction Materials for the Construction of Drainage Canal Open Type 1.	The Barangay Bliss of Buug, through the General Fund  intends to apply the sum of One Hundred Two Thousand Seven Hundred Ninety Six Pesos o</t>
  </si>
  <si>
    <t xml:space="preserve"> The Associate Justice Bernabe of the Supreme Court, through the Procurement Section, invites interested suppliers to quote for the price/s of the item/s listed in the attached document (PLEASE DOWNLOAD) Please also provide "Eligibility Documents, Annex A"</t>
  </si>
  <si>
    <t xml:space="preserve"> PATRTICULARS                               QTY  UNIT          UNIT COST     TOTAL COST WATER TANK (6,000 LI CAPACITY)       1     UNIT          60,000.00           60,000.00 WATER TANK (2,200 LI CAPACITY)       1     UNIT          40,000.00           80,0</t>
  </si>
  <si>
    <t xml:space="preserve"> Invitation to Bid The National Housing Authority (NHA), through the Corporate Budget approved by the NHA Board for CY 2020 intends to apply the sum of the Approved Budget for the Contract (ABC) to payments for the PROCUREMENT OF ADDITIONAL FULLY DEVELOPED</t>
  </si>
  <si>
    <t xml:space="preserve"> Purchase of  Construction Supplies as indicated in the School Improvement Plan</t>
  </si>
  <si>
    <t xml:space="preserve"> Republic of the Philippines Province of Cagayan Tuguegarao City Invitation to Bid for Sanchez Mira District Hospital Perimeter Fence San Andres , Sanchez Mira, Cagayan  1.	The Provincial Government of Cagayan, through the General Fund SB #1Cy2019 intends </t>
  </si>
  <si>
    <t xml:space="preserve"> Office equipments</t>
  </si>
  <si>
    <t xml:space="preserve"> INVITATION TO BID The Philippine Children’s Medical Center, through GAA/HFEP (DOH) CY 2019 intends to apply the sum of One Million Pesos  (Php1,000,000.00) being the Approved Budget for the Contract (ABC) to payment under the contract for the following pr</t>
  </si>
  <si>
    <t xml:space="preserve"> Grosary Items for the consumtion of the government wards for the month of April 2020</t>
  </si>
  <si>
    <t xml:space="preserve"> Procurement of Housekeeping Supplies   RFQ No. 434          Item No.	       Description	                            Qty.	             Unit	                Total Price 1	2 WAY OPEN PALLET, Heavy Duty	     30	             Pcs                      150,000.00</t>
  </si>
  <si>
    <t xml:space="preserve"> Republic of the Philippines Province of Albay Municipality of Rapu-Rapu Barangay Sta. Barbara INVITATION TO BID FOR THE CONSTRUCTION OF SEAWALL (PHASE II) 1.	The Barangay Local Government Unit of Sta. Barbara, Rapu-Rapu, Albay, through the Budget for the </t>
  </si>
  <si>
    <t xml:space="preserve"> Item No.	Quantity	Unit	       Item Description	 1	            2	       pieces	CI gate valve 2" Ø F/F with BNG powder coated with manufacturer initial with                                                  2"x2" operating nut	 2	            2	       pieces	</t>
  </si>
  <si>
    <t xml:space="preserve"> Republic of the Philippines PROVINCE OF BUKDINON 	Malaybalay City	 OFFICE OF THE PROVINCIAL GOVERNOR Bids and Awards Committee REQUEST FOR BID PROPOSAL THROUGH NEGOTIATED PROCUREMENT (SECTION 53.2 – EMERGENCY CASES) SUPPLY AND DELIVERY OF TEXTILE, ELECTRI</t>
  </si>
  <si>
    <t xml:space="preserve"> 75 SETS CHLORINE DIOXIDE COMPONENT - A &amp; B</t>
  </si>
  <si>
    <t xml:space="preserve"> Supply &amp; Delivery of Gasoline Rice Paddy Field Weeder ABC:62,500.00 	1 unit  Gasoline Rice Paddy Field Weeder 	    Specs: -	Engine: rated power: 1.46 KW/42.7cc -	Rated speed: 6500 r/min -	Overall Dimension (L*W*H*) -	1550 x 200 x 400mm, 1550 x 550 x 400mm</t>
  </si>
  <si>
    <t xml:space="preserve"> HK Vision Dome Camera, 5mp, 20 meter IR</t>
  </si>
  <si>
    <t xml:space="preserve"> Supply &amp; Delivery of Office Equipment ABC:76,000.00 	2  units Metal Office Desk -	Size: 0.4626 cm -	Materials: Heavy Gauge cold-rolled steel plate -	Color: classic  grey, two-tone option with one keyboard tray, 6 drawers 	 	2  units Office Chair -	Dimensi</t>
  </si>
  <si>
    <t xml:space="preserve"> PLS. SEE ATTACHED PURCHASE REQUISITION, TERMS OF REFERENCE &amp; BID DOCUMENTS FOR DETAILS.</t>
  </si>
  <si>
    <t xml:space="preserve"> Republic of the Philippines Province of South Cotabato Municipality of Sto. Niño BARANGAY POBLACION BIDS AND AWARDS COMMITTEE (BAC) Invitation to Bid 1. The Barangay Local Government of  Poblacion, Sto. Niño, through its Bids and Awards Committee (BAC) in</t>
  </si>
  <si>
    <t xml:space="preserve"> Supply &amp; Delivery of other Supplies ABC:102,500.00 	31 pcs budding knife (Batanggas made) 	2000 pcs budding tape, 30 x 40 x .001 	5 pcs lopper  	10 pcs Pruning  shear with handle 	70 pcs mono block chair, high quality 	1 unit wooden seed shelves, H= 6 ft.</t>
  </si>
  <si>
    <t xml:space="preserve"> REQUEST FOR QUOTATION Procurement of Goods [Laptop] The   City Government of Tagbilaran, through its Bids and Awards Committee (BAC) intends to apply the sum of Sixty-Two Thousand One Hundred (P62,100.00) pesos only being the Approved Budget for the Contr</t>
  </si>
  <si>
    <t xml:space="preserve"> Republic of the Philippines Province of Cagayan Tuguegarao City Invitation to Bid for  Construction of Material Recovery Facility (Cluster 2) 1.	The Provincial Government of Cagayan, through the Trust Fund intends to apply the sum of P 1,488,034.90  being</t>
  </si>
  <si>
    <t xml:space="preserve"> (385.85 sq. ft.)  12-panels    Korean Combi Blinds (Marie Khaki) Location                      : BICOL UNIVERSITY POLANGUI CAMPUS, POLANGUI, ALBAY    Delivery Period		: 14 days PROCUREMENT OF KOREAN COMBI BLINDS TO BE USED IN THE ADMINISTRATIVE, ACCOUNTIN</t>
  </si>
  <si>
    <t xml:space="preserve"> Republic of the Philippines National Kidney and Transplant Institute Bids and Awards Committee East Avenue, Quezon City 1100 981-0300 / 981-0400 local 1157 http://www.nkti.gov.ph/    NOTICE OF PROCUREMENT OPPORTUNITY 1.	The NATIONAL KIDNEY AND TRANSPLANT </t>
  </si>
  <si>
    <t xml:space="preserve"> Republic of the Philippines PROVINCE OF BUKDINON 	Malaybalay City	 OFFICE OF THE PROVINCIAL GOVERNOR Bids and Awards Committee REQUEST FOR BID PROPOSAL THROUGH NEGOTIATED PROCUREMENT (SECTION 53.2 – EMERGENCY CASES) SUPPLY AND DELIVERY OF MISTING MACHINES</t>
  </si>
  <si>
    <t xml:space="preserve"> Republic of the Philippines Province of Albay Municipality of Rapu-Rapu Barangay Bagaobawan INVITATION TO BID FOR THE CONSTRUCTION OF 4 UNITS JETMATIC PUMP 1.	The Barangay Local Government Unit of Bagaobawan, Rapu-Rapu, Albay, through the Budget for the C</t>
  </si>
  <si>
    <t xml:space="preserve"> Supply &amp; Delivery of  Purified Drinking Water ABC:84,000.00 	2,800 gal  Purified Drinking Water 		 Delivery period :  February – December 2020 Delivery site: DA- RFO 12, Koronadal City (GSO) Note: Bidders must quote in all items (by lot) in a Sealed Envel</t>
  </si>
  <si>
    <t xml:space="preserve"> Republic of the Philippines Province of Cagayan Tuguegarao City Invitation to Bid for General Repair and Rehabilitation of Baggao District Hospital , Baggao Cagayan  1.	The Provincial Government of Cagayan, through the General Fund Cy2019 intends to apply</t>
  </si>
  <si>
    <t xml:space="preserve"> SCOPE OF WORK &amp; TECHNICAL SPECIFICATIONS GENERAL CONDITIONS                All works to be undertaken shall be in accordance with the plans and working drawings. It includes the furnishing of all materials, labor and equipment with supervision necessary f</t>
  </si>
  <si>
    <t xml:space="preserve"> Republic of the Philippines Province of Cagayan Tuguegarao City Invitation to Bid for Alcala Municipal Hospital Construction of Laundry Area, Ambulance Bay, Bantay Waiting Area, Isolation Room, Covered Walk, Septic Tank and Power House   1.	The Provincial</t>
  </si>
  <si>
    <t xml:space="preserve"> PLS. SEE ATTACHED PURCHASE REQUISITION, TERMS OF REFERENCE &amp; BID DOCS FOR DETAILS</t>
  </si>
  <si>
    <t xml:space="preserve"> 210 	pcs	16mm dia def bar	 1,200 	pcs	10mm dia def bar	 75 	kls	Tie Wire	 35 	pcs	Marine Plywood x 1/2	 4 	kls	Nylon #30	 50 	kls	Common Nail x 3	 1,150 	bags	Portland Cement	 75 	kls	Common Nail x 2 1/2	 75 	kls	Common Nail x 4	 10 	kls	Common Nail x 1 1</t>
  </si>
  <si>
    <t xml:space="preserve"> Rehabilitation/Improvement of Multi-Purpose Building (El Nido Municipal Complex and Covered Court)</t>
  </si>
  <si>
    <t xml:space="preserve"> Republic of the Philippines Province of Oriental Mindoro MUNICIPALITY OF PINAMALAYAN OFFICE OF THE BIDS AND AWARDS COMMITTEE Invitation to Bid ITB-2020-16 1.  The Municipal Government of Pinamalayan, Oriental Mindoro, through the authorized appropriations</t>
  </si>
  <si>
    <t xml:space="preserve"> Republic of the Philippines Province of Albay Municipality of Rapu-Rapu Barangay Bagaobawan INVITATION TO BID FOR THE 20% EDF CY 2020 PROJECTS 1.	The Barangay Local Government Unit of Bagaobawan, Rapu-Rapu, Albay, through the Budget for the Contract Appro</t>
  </si>
  <si>
    <t xml:space="preserve"> Republic of the Philippines Province of Cagayan Tuguegarao City Invitation to Bid for  Cluster 8 Concreting of Gaggabutan West Barangay Road Rizal, Cagayan and Concreting of Poblacion Barangay Road Rizal, Cagayan  1.	The Provincial Government of Cagayan, </t>
  </si>
  <si>
    <t xml:space="preserve"> PREVATHON  Insect Control	200	bot    Excellent control of yiel-reducing worms in corn, cereals, soybeans, peanuts and the like.		    Helps break the resistance cycle by stopping insect feeding, within minutes and delivering long-lasting residual control f</t>
  </si>
  <si>
    <t xml:space="preserve"> Title: Procurement of Services under P.R.Nos. 2477-2020(City Human Resource Management Office),2487-2020(Enforcement of Traffic Laws),2490-2020(Office of the City Prosecutor),2491-2020(SP Nalcot- Committee on Social Welfare and Development),2503-2020(City</t>
  </si>
  <si>
    <t xml:space="preserve"> Republic of the Philippines Province of Quezon MUNICIPALITY OF PANUKULAN * * * Invitation to Bid for REPAIR / IMPROVEMENT OF RHU, TB DOTS BUILDING 1.	The Local Government Unit of Panukulan, Quezon  through the  General Fund 2020(Supplemental)  intends to </t>
  </si>
  <si>
    <t xml:space="preserve"> 4gb DDR4, 1tb memory</t>
  </si>
  <si>
    <t xml:space="preserve"> Republic of the Philippines Province of Cagayan Tuguegarao City Invitation to Bid for Construction of Public Market Afusing Daga, Alcala, Cagayan 1.	The Provincial Government of Cagayan, through the General Fund CY 2019 NTLB intends to apply the sum of  P</t>
  </si>
  <si>
    <t xml:space="preserve"> Supply &amp; Delivery of Rotary Weeder ABC: 70,000.00	 	1 unit Rotary weeder  -	Compact tiller  -	Displacement : 63 cm (9.9) cu in) -	Net power (SAEJ1349) *1: 3.6 kW @ 3,600 rpm -	Maximum net torgue (SAE J1349): 10.3N-m @ 2,500 rpm -	Compression ratio: 8.5:1 </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</si>
  <si>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</si>
  <si>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Supply &amp; Delivery of Steel Cabinet ABC: 64,000.00 	16  units Steel Cabinet  -	3 drawers -	White Delivery period :  30 days Delivery site: DA- RFO 12, Koronadal City (Rice Program) Note: Bidders must quote in all items (by lot) in a Sealed Envelope  togeth</t>
  </si>
  <si>
    <t xml:space="preserve"> Supply and Delivery of Office Supplies for 3QR 2020 ABC=40,065.65</t>
  </si>
  <si>
    <t xml:space="preserve"> Republic of the Philippines Province of Cagayan Tuguegarao City Invitation to Bid for Construction of Semi Private Room Building Lasam District Hospital, Lasam, Cagayan 1.	The Provincial Government of Cagayan, through the General Fund CY 2019 intends to a</t>
  </si>
  <si>
    <t xml:space="preserve"> SUPPLY AND DELIVERY OF MATERIALS AND FITTINGS (GOODS-2020-005) - REBID 1.	The Government of the Philippines, through the Puerto Princesa City Water District  intends to apply the sum of Three Million One Hundred Seventy-Five Thousand Two Hundred Sixty-Fiv</t>
  </si>
  <si>
    <t xml:space="preserve"> NOTICE FOR NEGOTIATED PROCUREMENT																																							 Small Value																																							 																																							 																																							 Project: Procurement of Assorted Merchandise (for L</t>
  </si>
  <si>
    <t xml:space="preserve"> REQUEST FOR QUOTATION Procurement of Goods [Air Conditioner] The   City Government of Tagbilaran, through its Bids and Awards Committee (BAC) intends to apply the sum of One Hundred Twenty Thousand Eight Hundred (P120,800.00) pesos only being the Approved</t>
  </si>
  <si>
    <t xml:space="preserve"> Invitation to Bid for IMPROVEMENT OF PANUKULAN WATER SYSTEM (Construction of Additional Water Source) 1.	The Local Government Unit of Panukulan, Quezon  through the  20% MDF  intends to apply the sum of Five Hundred Seventy Three Thousand Six Hundred Twen</t>
  </si>
  <si>
    <t xml:space="preserve"> Republic of the Philippines							 Province of Negros Occidental							 Municipality of La Castellana							 Bids and Awards Committee							 							 INVITATION TO APPLY FOR ELIGIBILITY AND TO BID							 							 Name of Project: 		PROPOSED DECOMPOSER SHED</t>
  </si>
  <si>
    <t xml:space="preserve"> Republic of the Philippines MINDANAO STATE UNIVERSITY General Santos City INVITATION TO BID FOR THE PROCUREMENT OF EQUIPMENT/ITEMS FOR TUNA RESEARCH PROGRAM 1.	The Mindanao State University – General Santos City (MSU-GSC), through the DOST-PCAARRD Fund in</t>
  </si>
  <si>
    <t xml:space="preserve"> INVITATION TO APPLY FOR ELIGIBILITY AND TO BID The Barangay Lintum, Guipos, Zamboanga del Sur, through its Bids and Award Committee BAC, invites suppliers/ manufacturers/ distributors/ contractors to apply for eligibility and bid for the hereunder project</t>
  </si>
  <si>
    <t xml:space="preserve"> Foodstuff for the consumption of government residents for the month of MAY 2020</t>
  </si>
  <si>
    <t xml:space="preserve"> Republic of the Philippines Province of Cagayan Tuguegarao City Invitation to Bid for Construction of School Multi – Purpose Building Gattaran National Trade School, Gattaran, Cagayan  1.	The Provincial Government of Cagayan, through the NTLB intends to a</t>
  </si>
  <si>
    <t xml:space="preserve"> PARTICULARS                           UNIT COST                    TOTAL COST  2 UNITS WATER TANK (7,OOO LI)             80,000 EACH                  P160,000.00</t>
  </si>
  <si>
    <t xml:space="preserve"> INVITATION TO BID Barangay Cabaroan Laud, through its Bids and Awards Committee (BAC), invites contractors registered with and classified by the Philippine Contractors Accreditation Board (PCAB) to apply for eligibility and if found eligible, to bid for t</t>
  </si>
  <si>
    <t xml:space="preserve"> 1.The Local Government Unit of San Andres, Quezon through its General Fund intends to apply the sum of Seven Hundred Ninety Three Thousand and Nine Hundred Sixty Eight Pesos (Php 793,968.00) only being the Approved Budget for the Contract (ABC) to payment</t>
  </si>
  <si>
    <t xml:space="preserve"> Purchase of Office Janitorial Supplies as indicated in the School Improvement Plan</t>
  </si>
  <si>
    <t xml:space="preserve"> Supply &amp; Delivery of  Steel Cabinet ABC:60,000.00 	12 units Steel Cabinet -	3 drawers, white or off white w/ lock keys 	 Delivery period :  30  days  Delivery site: DA-RFO 12, Koronadal City (HRMS)	 Note: Bidders must quote in all items (by lot) in a Seal</t>
  </si>
  <si>
    <t xml:space="preserve"> Supply &amp; Delivery of  Agricultural Supplies ABC:52,000.00 	11  bags OPV corn Seeds @ 20 kg/bag -	OPV White Flint -	99% Purity -	95% germination rate -	OPV foundation seeds 	4 bags Hybrid Corn Seeds  -	100% Purity -	99% germination rate -	Traditional Hybri</t>
  </si>
  <si>
    <t xml:space="preserve"> Supply and Delivery of Supplies and Materials Place of Delivery : Department of Education - Schools Division Office of Abra, Bangued, Abra Delivery Period: 15 calendar days Terms:  Due to COVID-19 pandemic and to ensure timely delivery of the supplies and</t>
  </si>
  <si>
    <t xml:space="preserve"> Republic of the Philippines Province of Cagayan Tuguegarao City Invitation to Bid for Construction of School Multi – Purpose Building Don Mariano High School, Gattaran, Cagayan  1.	The Provincial Government of Cagayan, through the NTLB intends to apply th</t>
  </si>
  <si>
    <t xml:space="preserve"> Supply &amp;  Delivery of  Various Supplies ABC:138,175.70 	4  pcs Toner Cart.  303 black 	3 pcs Toner Cart. 325 black 	2 pcs Toner Photocopier TK 479 	80  packs Detergent Powder, 1 kg/pack 	50 packs cleanser for tiles &amp; bathroom 350 grams 	10 gal disinfectan</t>
  </si>
  <si>
    <t xml:space="preserve"> INVITATION TO BID June 25, 2020 The DPWH-Quirino District Engineering Office, through its Bids and Awards Committee (BAC), invites contractors to submit bids for the following Contract: 1	Contract I.D.  	:	20BK0147 	Name of Project	:	Repair/Maintenance al</t>
  </si>
  <si>
    <t xml:space="preserve"> Republic of the Philippines Province of Cagayan Tuguegarao City Invitation to Bid for Construction / Repair/ Rehab of Vice Governor’s Office, Capitol Hills Peñblanca, Cagayan 1.	The Provincial Government of Cagayan, through the AIP 2020 intends to apply t</t>
  </si>
  <si>
    <t xml:space="preserve"> PLS. SEE ATTACHE PR, TOR, &amp; BID DOC FOR DETAILS.</t>
  </si>
  <si>
    <t xml:space="preserve"> Purchase of construction supplies as indicated in the School Improvement Plan</t>
  </si>
  <si>
    <t xml:space="preserve"> Republic of the Philippines DEPARTMENT OF PUBLIC WORKS AND HIGHWAYS OFFICE OF THE DISTRICT ENGINEER TARLAC SECOND DISTRICT ENGINEERING OFFICE San Francisco, Concepcion, Tarlac Tel. No. (045) 925-56-65	 REQUEST FOR SUBMISSION OF PROPOSAL FOR Contract ID No</t>
  </si>
  <si>
    <t xml:space="preserve"> SUPPLY AND DELIVERY OF VALVES, RUBBER EXPANSION JOINT, AND PRESSURE GAUGE (GOODS-2020-006) - REBID 1.	The Government of the Philippines, through the Puerto Princesa City Water District  intends to apply the sum of  Three Million Seven Hundred Seventy Thou</t>
  </si>
  <si>
    <t xml:space="preserve"> Supply and Delivery of snacks for training participants (Junior High Teachers) on the use of online -offline Software Applications in making Instructional and supplemental materials for new normal delivery of Instruction for SY 2020-2021. ABC=21,670.00</t>
  </si>
  <si>
    <t xml:space="preserve"> INVITATION TO BID Supply &amp; Delivery of One (1) Unit Brand New Ambulance with AED  CDRRMO, Tabaco City Contract ID No. 005-06-2020-GOODS ABC: Php 2,000,000.00 										June 26, 2020 	 1.	The City Government of Tabaco, through the Trust Fund (LDRRMF 2019-R</t>
  </si>
  <si>
    <t xml:space="preserve"> REPUBLIC OF THE PHILIPPINES  Region XII  Province of Cotabato  Municipality of Midsayap  LOCAL GOVERNMENT OF MIDSAYAP  BIDS &amp; AWARDS COMMITTEE  _____________________________________________________________________________________    REQUEST FOR QUOTATION </t>
  </si>
  <si>
    <t xml:space="preserve"> Department of Environment and Natural Resources Provincial Environment and Natural Resources Office North Poblacion, Larena, Siquijor Invitation to Bid for the Partial Completion of Two-Storey Building with Mezzanine Floor 1.	The Department of Environment</t>
  </si>
  <si>
    <t xml:space="preserve"> Variable Frequency Drive, 40HP, 230V Rubber Tape, Big Electrical Tape</t>
  </si>
  <si>
    <t xml:space="preserve"> Procurement of Fuel Diesel             RFQ No. 432          Item No.	Description             Qty.	 Unit	      	       Total Price 1	      FUEL DIESEL	   5000	  Ltrs		        215,000.00</t>
  </si>
  <si>
    <t xml:space="preserve"> Project Ref. Number		:	iba yuni 20-01-goods			 Project Name		:	Supply and Delivery of Supplies and Materials to be used for the Rehabilitation of FMR			 Project Location			Barangay Ibabang Yuni, Mulanay, Quezon			 						 				Standard Form Number : SF - Go</t>
  </si>
  <si>
    <t xml:space="preserve"> REPUBLIC OF THE PHILIPPINES DEPARTMENT OF PUBLIC WORKS AND HIGHWAYS ILOILO 4TH DISTRICT ENGINEERING OFFICE STA. BARBARA, ILOILO TEL. NO. 523 - 4557 FAX NO. 523 - 9340 BIDDING DOCUMENTS FOR PROCUREMENT ID/CONTRACT ID: 	20GI0099 CONTRACT NAME:   CONSTRUCTIO</t>
  </si>
  <si>
    <t xml:space="preserve"> Republic of the Philippines Province of Davao del Sur MUNICIPALITY OF STA.CRUZ INVITATION TO BID  PROCUREMENT OF PUMPBOAT FOR TAGABULI BAY CRUISE-2ND POSTING (ITB No. 15-Goods-2020) 1.	The Local Government Unit of Sta. Cruz, Davao del Sur through the Gene</t>
  </si>
  <si>
    <t xml:space="preserve"> INVITATION TO BID FOR Procurement of Information Communication Technology (ICT) Laboratory Equipment for CEA and CIT at NORSU Main Campus (Batch 1) GOOD2020-00-02(a) 1. The Negros Oriental State University (NORSU) and the Bids and Awards Committee (BAC), </t>
  </si>
  <si>
    <t xml:space="preserve"> REQUEST FOR QUOTATION The Bureau of Customs Port of Cebu, through its Bids and Awards Committee, hereby invites all interested suppliers to quote their price on the item/s listed below, subject to the terms and conditions specified herein, and submit the </t>
  </si>
  <si>
    <t xml:space="preserve"> Republic of the Philippines Province of Albay Municipality of Rapu-Rapu Barangay Galicia INVITATION TO BID FOR THE FENCING OF MULTI-PURPOSE HALL 1.	The Barangay Local Government Unit of Galicia, Rapu-Rapu, Albay, through the Budget for the Contract Approv</t>
  </si>
  <si>
    <t xml:space="preserve"> INVITATION TO BID IB No. 2020-23 CONTRACT OF SERVICE WITH LABOR AND MATERIALS FOR THE REPAIR OF ROOFING AT FISH SECTION AREA 1.	The Local Government Unit of Oton, through Repair &amp; Maintenance Public Market - MEEDO, intends to apply the sum of Two Hundred </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</si>
  <si>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</si>
  <si>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Supply and Delivery of materials for 500m WINS facilities and electrical repair at room 39, 40, and 41. ABC=52,871.64</t>
  </si>
  <si>
    <t xml:space="preserve"> INVITATION TOBID FOR Procurement of Technology Laboratory Equipment for NORSU Bayawan- Sta. Catalina, Guihulngan and Main Campuses (Batch 1) GOOD2020-00-04(a) 1. The Negros Oriental State University (NORSU) and the Bids and Awards Committee (BAC), through</t>
  </si>
  <si>
    <t xml:space="preserve"> Republic of the Philippines Province of Isabela LOCAL GOVERNMENT UNIT OF BENITO SOLIVEN INVITATION TO BID FOR THE PROCUREMENT OF 6-CYLINDER TURBO DIESEL ENGINE INLINE INJECTION FOR GRADER 1.	The Municipal Government of Benito Soliven, intends to apply the</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</si>
  <si>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</si>
  <si>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Procurement of Various Spare Parts for use of Man Truck with Plate No. SKD-947 Assigned for the Repair and Maintenance of National Roads of DPWH Iloilo 2nd DEO, Balabag, Dumangas, Iloilo</t>
  </si>
  <si>
    <t xml:space="preserve"> medical supplies and equipment</t>
  </si>
  <si>
    <t xml:space="preserve"> Supply and Delivery of the following goods at ZFRESS, Kalawit, Zamboanga del Norte: a. 45 bags complete fertilizer (14-14-14) b. 90 bags ammonium sulfate (21-0-0) c. 30 L cypermethrin e. 15 pcs. mowing bolo "lampas" f. 15 pcs. digging bar "tagad" g. 15 pc</t>
  </si>
  <si>
    <t xml:space="preserve"> 50	pcs	Fuse Link 60 amp.			 50	pcs	Fuse Link 50 amp.			 50	pcs	Fuse Link 30 amp.			 50	pcs	Fuse Link 25 amp.			 100	pcs	Led Light Bulb , 14 watts, screw type			 100	pcs	Led Light Bulb, 10 watts, screw type			 3	bxs	ElectricaL Wire, 3.5mm stranded THNN			 </t>
  </si>
  <si>
    <t xml:space="preserve"> ITEM NO. ITEM AND DESCRIPTION QTY. UNIT  UNIT PRICE  TOTAL PRICE  1 Headset 25 pc   2 Portable Speaker for Handset 25 pc   3 Cellphone Stand 25 pc   4 Laptop Cooler 25 pc   5 Laptop Portable Table 25 pc   6 Desktop Webcam 2 pc   7 Desktop Speaker 2 pc   8</t>
  </si>
  <si>
    <t xml:space="preserve"> PLS. SEE ATTACHED PR, TOR &amp; BID DOCS FOR DETAILS</t>
  </si>
  <si>
    <t xml:space="preserve"> Project Ref. Number		:	spdro 20-01--goods			 Project Name		:	Supply and Delivery of Materials  for the Concreting of Pavement			 Project Location			Barangay San Pedro, Mulanay, Quezon			 						 				Standard Form Number : SF - Good - 05		 				Revised on  :</t>
  </si>
  <si>
    <t xml:space="preserve"> TARPAULIN PRINTING OF THE 2020 CENSUS OF POPULATION AND HOUSING (2020 CPH) FORMS (BLOWN-UP) – CP FORM 1, 2, 3, 4, AND 5 FOR USE DURING TRAINING 1.	The Philippine Statistics Authority – Regional Statistical Services Office II  (PSA-RSSO II), through the Fi</t>
  </si>
  <si>
    <t xml:space="preserve"> Republic of the Philippines Province of Nueva Ecija Municipality of General Mamerto Natividad BIDS AND AWARDS COMMITTEE  INVITATION TO BID FOR “CONSTRUCTION OF CENTRALIZED MATERIAL RECOVERY FACILITY (MRF) PHASE 2” 1.	The LGU-General Mamerto Natividad, Nue</t>
  </si>
  <si>
    <t xml:space="preserve"> Republic of the Philippines Province of Dinagat Islands MUNICIPALITY OF TUBAJON Tubajon, Dinagat Islands BIDS AND AWARDS COMMITTEE INVITATION TO BID  FOR  ROAD CONCRETING OF WILSON ST., BRGY SAN VICENTE (INFRA 2020- 012) 1.	The Municipality of Tubajon, Pr</t>
  </si>
  <si>
    <t xml:space="preserve"> Please download ITB and Checklist in the Associated Components.</t>
  </si>
  <si>
    <t xml:space="preserve"> Submersible Motor, 10 HP Submersible Pump, 230V, TDH-100M, Q-6LPS Control Panel Control Box Rubber Tape Electrical Tape</t>
  </si>
  <si>
    <t xml:space="preserve"> cleaning materials</t>
  </si>
  <si>
    <t xml:space="preserve"> SUPPLY, DELIVERY, TESTING AND COMMISSIONING OF ON-LINE MULTI-PARAMETER ANALYZER AND WATER LEVEL SENSOR (GOODS-2020-010) - REBID 	 1.	The Government of the Philippines, through the Puerto Princesa City Water District  intends to apply the sum of One Millio</t>
  </si>
  <si>
    <t xml:space="preserve"> PROCUREMENT OF TWO UNITS PROJECTOR 1.	The Philippine Statistics Authority – Regional Statistical Services Office II  (PSA-RSSO II), through the Fiscal Year 2020 General Appropriations Act intends to apply the sum of SIXTY THOUSAND PESOS (P60,000.00) ONLY </t>
  </si>
  <si>
    <t xml:space="preserve"> Repair and Maintenance of KIA Rescue Vehicle</t>
  </si>
  <si>
    <t xml:space="preserve"> 20% EDF CY 2020 Construction of Multi-Purpose Pavement - Purok 5 - P 249,960.00 Schedule of Activities 1. Submission &amp; Receipt of Bids / Bid Opening - July 15, 2020 @ 3:00 P.M. 2. Bid Evaluation - July 16, 2020 3. Post Qualification - July 17, 2020 4. App</t>
  </si>
  <si>
    <t xml:space="preserve"> PLS. SEE ATTACHED PR, TOR &amp; BID DOCS FOR DETAILS.</t>
  </si>
  <si>
    <t xml:space="preserve"> Republic of the Philippines PROVINCE OF BUKIDNON Municipality of Don Carlos PROCUREMENT UNIT RA-11469 – THE BAYANIHAN TO HEAL AS ONE ACT REQUEST FOR QUOTATION 									 							Date:  							RFQ No.		                                                        </t>
  </si>
  <si>
    <t xml:space="preserve"> Republic of the Philippines DEPARTMENT OF PUBLIC WORKS AND HIGHWAYS CAMARINES NORTE  DISTRICT ENGINEERING OFFICE REGIONAL OFFICE V Daet, Camarines Norte INVITATION TO BID 	 The Department of Public Works and Highways, Camarines Norte District Engineering </t>
  </si>
  <si>
    <t xml:space="preserve"> Purchase of Materials for Road Concreting</t>
  </si>
  <si>
    <t xml:space="preserve"> Republic of the Philippines PROVINCE OF BUKIDNON Municipality of Don Carlos PROCUREMENT UNIT                 RA-11469 – THE BAYANIHAN TO HEAL AS ONE ACT REQUEST FOR QUOTATION 									 							Date:  							RFQ No.		                                        </t>
  </si>
  <si>
    <t xml:space="preserve"> 10 UNITS KIDNEY BIOPSY GUN, BARD MAX CORE DISPOSABLE CORE BIOPSY Instrument: Gauge: 18g Needle Length: 16cm Length of Sample notch: 1.8cm Penetration depth: 22cm NOTE: ALL NEW SUPPLIER ARE REQUIRED TO SUBMIT THE FOLLOWING DOCUMENT. 1. DTI Registration 2. </t>
  </si>
  <si>
    <t xml:space="preserve"> 20 Pcs Catheter, Pediatric, 15Fx37cm double cuff,straight catheter 20 Pcs Catheter, Adult, 15Fx63cm double cuff, straight coiled catheter 15 Pcs Catheter, Neonatal, 15Fx31cm double cuff, straight catheter NOTE: ALL NEW SUPPLIER ARE REQUIRED TO SUBMIT THE </t>
  </si>
  <si>
    <t xml:space="preserve"> INVITATION TO BID FOR THE  PRINT, SUPPLY AND DELIVERY OF MTWD 2021 CALENDAR 1.	The Metropolitan Tuguegarao Water District through the Corporate Budget for the Year 2020  intends to apply the sum of One Million Pesos (P 1,000,000.00) being the Approved Bud</t>
  </si>
  <si>
    <t xml:space="preserve"> Use for the different offices of the college for 3rd quarter of C.Y.2020</t>
  </si>
  <si>
    <t xml:space="preserve"> Republic of the Philippines PROVINCE OF BUKIDNON Municipality of Don Carlos PROCUREMENT UNIT                 RA-11469 – THE BAYANIHAN TO HEAL AS ONE ACT REQUEST FOR QUOTATION 						       Date:  						         RFQ No		                                     </t>
  </si>
  <si>
    <t xml:space="preserve"> 20CSE010 – Consulting Services for the Conduct of Environmental Impact Assessment (EIA), Preparation of Environmental Impact Assessment Statement (EIS) and Application of Environmental Compliance Certificate (ECC) of Widening of Tablas Circumferential Roa</t>
  </si>
  <si>
    <t xml:space="preserve"> 20CSE009 -  Consulting Services for the Conduct of Environmental Impact Assessment (EIA), Preparation of Environmental Impact Assessment Statement (EIS) and Application of Environmental Compliance Certificate (ECC) of Widening of Palawan Circumferential R</t>
  </si>
  <si>
    <t xml:space="preserve"> ELECTRICAL WORKS: MATERIALS:      THHN WIRE NO. 10- 2 BOX      THHN WIRE NO. 12- 6 BOX      FLEXIBLE HOSE 1/2 - 8 ROOLS      HOSE CLAMP 1/2 - 600 PCS      120 AMP CIRCUIT ROYU BREAKER NO. 3 - 1 PC      60 AMP CIRCUIT BREAKER NO. 3 - 1 PC      PAINT BOX NO</t>
  </si>
  <si>
    <t xml:space="preserve"> Use of the different Deparments of the College</t>
  </si>
  <si>
    <t xml:space="preserve"> Public Competitive Bidding for the Supply and Delivery of Various Cancer Medicines of the Department of Health</t>
  </si>
  <si>
    <t xml:space="preserve"> School Watchman Services</t>
  </si>
  <si>
    <t xml:space="preserve"> Use  of the Gymnasium</t>
  </si>
  <si>
    <t xml:space="preserve"> Invitation to Bid for Repainting Multi Purpose Hall &amp; Daycare Center  No. 2020-001 1. The Barangay Magyapyap Sur, through the Annual Budget 2020(General Fund) Approved by the Sanggunian intends to apply the sum of One Hundred Fifty Thousand Pesos  (Php 13</t>
  </si>
  <si>
    <t xml:space="preserve"> Purchase of Office Supplies and Consumables as indicated in the School Improvement Plan</t>
  </si>
  <si>
    <t xml:space="preserve"> Use of the Gymnasium</t>
  </si>
  <si>
    <t xml:space="preserve"> Construction Materials</t>
  </si>
  <si>
    <t xml:space="preserve"> Republic of the Philippines DEPARTMENT OF PUBLIC WORKS AND HIGHWAYS BATANGAS II  DISTRICT ENGINEERING OFFICE REGIONAL OFFICE IV-A Kumintang Ilaya, Batangas City INVITATION TO BID For Local Infrastructure Program – Rehabilitation of Road along San Isidro -</t>
  </si>
  <si>
    <t xml:space="preserve"> See attached documents</t>
  </si>
  <si>
    <t xml:space="preserve"> Project Ref. Number		:	bolo 20-01-goods			 Project Name		:	Procurement of Selected Borrow for the Rehabilitation of Farm to Market Road			 Project Location			Barangay Bolo, Mulanay, Quezon			 						 				Standard Form Number : SF - Good - 05		 				Revised </t>
  </si>
  <si>
    <t xml:space="preserve"> Republic of the Philippines DEPARTMENT OF PUBLIC WORKS AND HIGHWAYS BATANGAS II  DISTRICT ENGINEERING OFFICE REGIONAL OFFICE IV-A Kumintang Ilaya, Batangas City INVITATION TO BID For Local Infrastructure Program – Construction of Multi-Purpose Building, S</t>
  </si>
  <si>
    <t xml:space="preserve"> Republic of the Philippines DEPARTMENT OF PUBLIC WORKS AND HIGHWAYS BATANGAS II  DISTRICT ENGINEERING OFFICE REGIONAL OFFICE IV-A Kumintang Ilaya, Batangas City INVITATION TO BID For Local Infrastructure Program – Construction/Rehabilitation of Flood Cont</t>
  </si>
  <si>
    <t xml:space="preserve"> Republic of the Philippines Province of Ilocos Norte Municipality of Paoay BIDS AND AWARDS COMMITTEE INVITATION TO BID 2020-016 Invitation to Bid for the Purchase of kitchen utensils and other materials for the use at the Evacuation Center 1.	The Municipa</t>
  </si>
  <si>
    <t xml:space="preserve"> Resograph machine  Specification will be attached on the bidding documents</t>
  </si>
  <si>
    <t xml:space="preserve"> Purchase of Meterials for Construction of Seven (7) Purok Centers</t>
  </si>
  <si>
    <t xml:space="preserve"> Republic of the Philippines Province of Ilocos Norte Municipality of Paoay BIDS AND AWARDS COMMITTEE INVITATION TO BID 2020-015 Invitation to Bid for the Purchase of goods for the stock pile of the Municipality 1.	The Municipal Government of Paoay, Ilocos</t>
  </si>
  <si>
    <t xml:space="preserve"> Supply and Installation of Acrylic Sneeze Shield for PTB Check-in Counters NOTE: CLOSING OF ADVERTISEMENT IS ON JUNE 29, 2020 @ 12:00NN OPENING OF BIDS WILL BE ON JUNE 29, 2020 @ 1:30PM //////////nothing follows///////////</t>
  </si>
  <si>
    <t xml:space="preserve"> Use of Custodial Care Program</t>
  </si>
  <si>
    <t xml:space="preserve"> REQUEST FOR QUOTATION PROJECT TITLE:	SUPPLY AND INSTALATION OF BLINDS AT THE OFFICE OF THE PRESIDENT PNOC BUILDING 6. INSTRUCTIONS:	 ___	ADDITIONAL INSTRUCTIONS ATTACHED 			___	NO ADDITIONAL INSTRUCTIONS 1.	Fax / Email / Submit your quote or regret (with </t>
  </si>
  <si>
    <t xml:space="preserve"> Supply &amp;  Delivery of  Door Close Push &amp; Pull ABC:194,350.00 	13 units  Glass Door Push &amp; Pull 		Dimension: 90 x 210 cm 	 Delivery period :  30  days  Delivery site: DA-RFO 12, Koronadal City (GSO)	 Note: Bidders must quote in all items (by lot) in a Seal</t>
  </si>
  <si>
    <t xml:space="preserve"> Project Ref. Number		:	ila yuni 20-01-goods			 Project Name		:	Supply and Delivery of Supplies and  Materials  to be used for the Construction of SK Office Building			 Project Location			Barangay Ilayang Yuni, Mulanay, Quezon			 						 				Standard Form N</t>
  </si>
  <si>
    <t xml:space="preserve"> 262 sacks Polished Rice 25 kls per sack 160 variety</t>
  </si>
  <si>
    <t xml:space="preserve"> OIL HYDROTUR #46, 10 DRUMS, OIL LUBRICATION</t>
  </si>
  <si>
    <t xml:space="preserve"> Republic of the Philippines Office of the Municipal Mayor BIDS AND AWARDS COMMITTEE Sual, Pangasinan Invitation to Bid for PROCUREMENT OF AGRICULTURAL MACHINERY AND EQUIPMENT (Sual, Pangasinan) 1.	The Municipal Government of Sual, Pangasinan, through the </t>
  </si>
  <si>
    <t xml:space="preserve"> XLPE WIRE FOR 13.8KV BURIAL TYPE POWER CABLE, EU / US</t>
  </si>
  <si>
    <t xml:space="preserve"> for 127.2 hrs</t>
  </si>
  <si>
    <t xml:space="preserve"> ELECTRONIC MODULE FOR UNIT 1, 2 &amp; 3, HMI FOR EXCITATION SYSTEM AT CONTROL ROOM</t>
  </si>
  <si>
    <t xml:space="preserve"> Republic of the Philippines DEPARTMENT OF PUBLIC WORKS AND HIGHWAYS BATANGAS III DISTRICT ENGINEERING OFFICE REGIONAL OFFICE IV-A J. Gonzales St., Barangay 4, Tanauan City INVITATION TO BID (CW-2020-036) The DPWH–Batangas III District Engineering Office, </t>
  </si>
  <si>
    <t xml:space="preserve"> 240 sacks Polished Rice 50 kilos per sack 160 variety</t>
  </si>
  <si>
    <t xml:space="preserve"> SUPPLY TOOLS, LABOR AND MATERIALS FOR THE REPLACEMENT OF SIX (6) SELECTED FIBER GLASS SKYLIGHT DOME AT POWERHOUSE</t>
  </si>
  <si>
    <t xml:space="preserve"> Republic of the Philippines Office of the Municipal Mayor BIDS AND AWARDS COMMITTEE Sual, Pangasinan Invitation to Bid for PROCUREMENT OF OFFICE EQUIPMENT (DepED – Sual District Office) 1.	The Municipal Government of Sual, Pangasinan, through the Special </t>
  </si>
  <si>
    <t xml:space="preserve"> 9 units IP Bullet CCTV Camera  3 Sets Public Address</t>
  </si>
  <si>
    <t xml:space="preserve"> materials:    ceiling 1/4 MARINE PLYWOOD	9.00 BLIND RIVET 5/32 X 1/2	2.00 DRILL BIT 5/32	4.00 MASONRY DRILL BIT	1.00 CONCRETE NAIL #1	1.00 1X4X12 CORNEZA	2.00 1X4X8 CORNEZA	12.00 WALL ANGLE 10FT	74.00 .50 METAL FURRING	50.00 BLACK SCREW 1 1/2	150.00 BLACK</t>
  </si>
  <si>
    <t xml:space="preserve"> Tiglawigan Elementary School are inviting bidders to bid for the Materials for Repair and Provision of Additional Hand washing Facilities amounting of 25,325.00</t>
  </si>
  <si>
    <t xml:space="preserve"> Republic of the Philippines DEPARTMENT OF PUBLIC WORKS AND HIGHWAYS SULTAN KUDARAT 2ND DISTRICT ENGINEERING OFFICE REGION XII Lebak, Sultan Kudarat INVITATION TO BID FOR SUPPLY/DELIVERY OF MAINTENANCE TOOLS/EQUIPMENTS FOR USE OF ROUTINE/ROADSIDE MAINTENAN</t>
  </si>
  <si>
    <t xml:space="preserve"> Republic of the Philippines DEPARTMENT OF PUBLIC WORKS AND HIGHWAYS SULTAN KUDARAT 2ND DISTRICT ENGINEERING OFFICE REGION XII Lebak, Sultan Kudarat INVITATION TO BID FOR SUPPLY/DELIVERY OF AGGREGATE BASE COURSE FOR THE RESURFACING OF UNPAVED SHOULDER ALON</t>
  </si>
  <si>
    <t xml:space="preserve"> Republic of the Philippines DEPARTMENT OF PUBLIC WORKS AND HIGHWAYS SULTAN KUDARAT 2ND DISTRICT ENGINEERING OFFICE REGION XII Lebak, Sultan Kudarat INVITATION TO BID FOR SUPPLY/DELIVERY OF SENIOR EXECUTIVE CHAIR FOR USE OF ASSISTANT DISTRICT ENGINEER’S OF</t>
  </si>
  <si>
    <t xml:space="preserve"> 1       UNIT     LAPTOP                                              WINDOWS 10 HOME SINGLE LANGUAGE                       NITRO AN515-43                       AMD RYZEN 5 3550H W/ RADEON VEGA MOBILE                         GFX PROCESSOR 2.10 GHz         </t>
  </si>
  <si>
    <t xml:space="preserve"> NON-RETURN VALVE, VALVE, NON-RETURN, STEEL</t>
  </si>
  <si>
    <t xml:space="preserve"> Republic of the Philippines DEPARTMENT OF PUBLIC WORKS AND HIGHWAYS SULTAN KUDARAT 2ND DISTRICT ENGINEERING OFFICE REGION XII Lebak, Sultan Kudarat INVITATION TO BID FOR SUPPLY/DELIVERY OF DIESEL FUEL FOR USE OF ASSISTANT DISTRICT ENGINEER’S OFFICE, DPWH </t>
  </si>
  <si>
    <t xml:space="preserve"> HIGH PRESSURE PISTON PUMP ASSY,  MOTOR WITH PUMP ASSEMBLY (3 UNITS), HIGH PRESSURE</t>
  </si>
  <si>
    <t xml:space="preserve"> SUPPLY OF MATERIALS, TOOLS, EQUIPMENT, LABOR AND INCLUDING TECHNICAL EXPERTISE FR THE RESTORATION TO NORMAL OPERATING CONDITION OF 30 TR CENTRALIZED AIR CONDITION UNIT</t>
  </si>
  <si>
    <t xml:space="preserve"> HOSE, HYDRAULIC</t>
  </si>
  <si>
    <t xml:space="preserve"> TO SUPPLY LABOR, MATERIALS, TOOLS, EQUIPMENT, CONSUMABLES &amp; TECHNICAL SUPERVISION FOR THE REPLACEMENT OF OLD TUBES OF SHELL &amp; TUBES HEAT EXCHANGER</t>
  </si>
  <si>
    <t xml:space="preserve"> TRANSFORMER OIL SHELL DIALA B FOR TAKE-OFF TRANSFORMER</t>
  </si>
  <si>
    <t xml:space="preserve"> INVITATION FOR NEGOTIATED PROCUREMENT  Provision of Courier Services 1.	In view of two (2) failed public biddings, the Department of Budget and Management-Bids and Awards Committee (DBM-BAC) invites interested bidders to participate in the negotiation for</t>
  </si>
  <si>
    <t xml:space="preserve"> Republic of the Philippines Office of the Municipal Mayor BIDS AND AWARDS COMMITTEE Sual, Pangasinan Invitation to Bid for PROCUREMENT OF FURNITURES, FIXTURES, &amp; CONSTRUCTION SUPPLIES (Sual, Pangasinan) 1.	The Municipal Government of Sual, Pangasinan, thr</t>
  </si>
  <si>
    <t xml:space="preserve"> Republic of the Philippines CITY OF LAPU-LAPU BIDS AND AWARDS COMMITTEE Invitation to Bid FOR THE PROCUREMENT of MEDICINES &amp; MEDICAL SUPPLIES The City of Lapu-Lapu through the MOOE FUND 9998-5-02-03-080 intends to apply the sum of One Million Two Hundred </t>
  </si>
  <si>
    <t xml:space="preserve"> Republic of the Philippines DEPARTMENT OF PUBLIC WORKS AND HIGHWAYS SULTAN KUDARAT 2ND DISTRICT ENGINEERING OFFICE REGION XII Lebak, Sultan Kudarat INVITATION TO BID FOR SUPPLY/DELIVERY OF TONER CARTRIDGE FOR USE OF ADMINISTRATIVE SECTION (RECORDS MANAGEM</t>
  </si>
  <si>
    <t xml:space="preserve"> Quantity	Unit	Item Description 1.00	lot	Construction &amp; Occupational Health 1.00	lot	Mobilization 280.00	cu.m.	Excavation Works 266.00	cu.m.	Stone Masonry</t>
  </si>
  <si>
    <t xml:space="preserve"> MATERIALS ONLY</t>
  </si>
  <si>
    <t xml:space="preserve"> Brief Description of the Project			 Quantity	Unit	Item Description	 1.00	lot	Construction &amp; Occupational Health	 800.00	sq.m	Mobilization &amp; Site Clearing	 280.00	sq.m	Sub-Grade Preparation	  28.00 	cu.m.	Aggregate Sub-Base Course	  28.00 	cu.m.	Aggregate </t>
  </si>
  <si>
    <t xml:space="preserve"> Roads</t>
  </si>
  <si>
    <t xml:space="preserve"> 2	units	Portable Speaker (15") with Built in Amplifier		 				 		Specification:		 		  * 2 Way 400W Powered Portable Sound System		 		 * Plastic Cabinet		 		 * AC220V or DC12V (With built-in Rechargeable Batteries)		 		 * With 2 Wireless Microphone		 		 * W</t>
  </si>
  <si>
    <t xml:space="preserve"> Republic of the Philippines CITY OF LAPU-LAPU BIDS AND AWARDS COMMITTEE Invitation to Bid FOR THE PROCUREMENT of 1,000 VIALS PURIFIED VERO CELL RABIES VACCINE The City of Lapu-Lapu through the MOOE FUND 4411-5-02-03-070-2 intends to apply the sum of One M</t>
  </si>
  <si>
    <t xml:space="preserve"> Republic of the Philippines DEPARTMENT OF PUBLIC WORKS AND HIGHWAYS SULTAN KUDARAT 2ND DISTRICT ENGINEERING OFFICE REGION XII Lebak, Sultan Kudarat INVITATION TO BID FOR SUPPLY/DELIVERY OF DIESEL FUEL FOR USE OF FINANCE SECTION, SULTAN KUDARAT 2ND DISTRIC</t>
  </si>
  <si>
    <t xml:space="preserve"> Tiglawigan Elementary School are inviting bidders to bid for the Communication Load amounting of 8,000.00</t>
  </si>
  <si>
    <t xml:space="preserve"> Republic of the Philippines DEPARTMENT OF PUBLIC WORKS AND HIGHWAYS SULTAN KUDARAT 2ND DISTRICT ENGINEERING OFFICE REGION XII Lebak, Sultan Kudarat INVITATION TO BID FOR SUPPLY/DELIVERY OF OFFICE SUPPLIES FOR USE OF FINANCE SECTION, DPWH SULTAN KUDARAT 2N</t>
  </si>
  <si>
    <t xml:space="preserve"> Quantity	Unit	Item Description 1.00	lot	Construction &amp; Occupational Health 1.00	lot	Clearing &amp; Grubbing 160.00	cu.m.	Excavation Works 2000.00	m.	installation of piping lines</t>
  </si>
  <si>
    <t xml:space="preserve"> Republic of the Philippines CITY OF LAPU-LAPU BIDS AND AWARDS COMMITTEE 2nd Invitation to Bid FOR THE PROCUREMENT of OFFICE SUPPLIES The City of Lapu-Lapu through the MOOE 1061-5-02-03-010 intends to apply the sum of One Million Eight  Hundred Twenty-Six </t>
  </si>
  <si>
    <t xml:space="preserve"> FABRICATION AND INSTALLATION OF STREETLIGHTS (30-UNITS), BARANGAY WIDE, BARANGAY SAN MANUEL, CITY OF SAN JOSE DEL MONTE, BULACAN</t>
  </si>
  <si>
    <t xml:space="preserve"> INVITATION TO BID  1.	The Davao City Water District (DCWD), through the DCWD 2020 Corporate Budget intends to apply the sum indicated below being the Approved Budget for the Contract (ABC) to payments under the contracts as shown below. Bids received in e</t>
  </si>
  <si>
    <t xml:space="preserve"> Tiglawigan Elementary School are inviting bidders to bid for the Materials for Module amounting of 67,975.00</t>
  </si>
  <si>
    <t xml:space="preserve"> REPUBLIC OF THE PHILIPPINES PROVINCE OF EASTERN SAMAR MUNICIPALITY OF LAWAAN REQUEST FOR QUOTATION PR No.: RFQ No.: PR Date: PhilGEPS Reference No. : End-User : Closing Date: ABC:552,200.00 Time: Sir/Madam: Please quote your lowest price on the items/s li</t>
  </si>
  <si>
    <t xml:space="preserve"> INVITATION TO BID PROCUREMENT OF THE ANNUAL SUBSCRIPTION OF  BCDA EMAIL SYSTEM 1.	The BASES CONVERSION AND DEVELOPMENT AUTHORITY (hereinafter referred to as BCDA) through the FY 2020 Corporate Operating Budget, intends to apply the sum of Pesos:  One Mill</t>
  </si>
  <si>
    <t xml:space="preserve"> Republic of the Philippines Province of Isabela LOCAL GOVERNMENT UNIT OF BENITO SOLIVEN INVITATION TO BID FOR THE PROCUREMENT OF 4-CYLINDER DIESEL TURBO ENGINE FOR LOADER 9-IN-1 1.	The Municipal Government of Benito Soliven, intends to apply the sum of On</t>
  </si>
  <si>
    <t xml:space="preserve"> Tiglawigan Elementary School are inviting bidders to bid for the Replacement of Water Tank amounting of 7,000.00</t>
  </si>
  <si>
    <t xml:space="preserve"> INVITATION TO BID FOR 1 LOT REHABILITATION OF WATER SUPPLY SYSTEM OF BARANGAY TAGPANGI, CAGAYAN DE ORO CITY 1.	The Cagayan de Oro City Water District, through the COWD Approved Budget for 2019 under LGU 6 Million Fund Allocation intends to apply the sum o</t>
  </si>
  <si>
    <t xml:space="preserve"> 1    UNIT      Laptop Computer		 		 		       Processor: 8th Generation Intel Core i5-8300H; 		                         2.3GHz Processor		      Operating System: Windows 10		      Memory: 4GB DDR4 2666MHz (Max 32GB) 		      Hard Drive: 1 TB Hard Drive		   </t>
  </si>
  <si>
    <t xml:space="preserve"> Department of Education Region VI-Western Visayas Cadiz City Alimatoc Elementary School Invitation to BID for the Procurement of Improvement of Kindergarten Comfortroom 1.	The Alimatoc Elementary School, through the School’s MOOE 2020  intends to apply th</t>
  </si>
  <si>
    <t xml:space="preserve"> INVITATION TO BID 1.	The Davao City Water District (DCWD), through the Term Loan with the Development Bank of the Philippines for Package 1-2 and DCWD 2020 Corporate Operating Budget for Package 3, intends to apply the sum indicated below being the Approv</t>
  </si>
  <si>
    <t xml:space="preserve"> Please submit your quotation in a close and sealed envelop and mail in this address: Agricultural Training Institute Regional Training Center III Gov't Complex, San Ramon, Dinalupihan, Bataan C/O Supply Management Unit. or Email us on atiregion3_supply@ya</t>
  </si>
  <si>
    <t xml:space="preserve"> INVITATION TO BID FOR  (ITB NO. 2020-028) PROCUREMENT OF SEVENTY – FIVE (75) LAPTOP UNITS FOR TOURISM PROMOTIONS BOARD EMPLOYEES 1.	The Tourism Promotions Board (TPB), through the 2020 Corporate Operating Budget (COB)   intends to apply the sum of Five Mi</t>
  </si>
  <si>
    <t xml:space="preserve"> 1 – unit CNC Router with 4th Axis 	-	ABC P1,100,000.00 Specifications: Working Area: 600x900x200mm Travelling Positioning Accuracy: +-0.01/300mm Repositioning Accuracy: +-0.03mm Table Surface: T-slot Extrusion with stainless water tank Frame:  Cast Steel </t>
  </si>
  <si>
    <t xml:space="preserve"> see associated components for downloadable Bidding Documents</t>
  </si>
  <si>
    <t xml:space="preserve"> SOURCE OF FUND: SUPPLEMENTAL BUDGET#1- CAPITAL OUTLAY - PURCHASE OF TENTS</t>
  </si>
  <si>
    <t xml:space="preserve"> Department of Education Region VI-Western Visayas Division of Cadiz City Alimatoc Elementary School INVITATION TO BID FOR PROCUREMENT OF  2 SETS of 3 in 1 PRINTER FOR 2020 1.	The Alimatoc Elementary School of Cadiz City, through the Schools MOOE Fund CY 2</t>
  </si>
  <si>
    <t xml:space="preserve"> RE-CONDITIONED (CLASS A1) SIX WHEELER FIRE TRUCK  1. FEATURES: A. Engine:  4HG1-734629 / 4 Cylinders Engine 115 Horsepower   B. Torque: 404.M (41.0 Kg-m) RPM: 1,500 – 2,600  C. Transmission: 5 speed manual Cubic Meter: 4,570cc  D. Double Body Cab (COWL)  </t>
  </si>
  <si>
    <t xml:space="preserve"> see associated components for downloadable ITB 2020-005</t>
  </si>
  <si>
    <t xml:space="preserve"> JOSE B. LINGAD MEMORIAL REGIONAL HOSPITAL City of San Fernando, Pampanga Tel. No. (045) 961-3921 Date: June 26, 2020 No. 2020 – 06 - 196-S REQUEST FOR QUOTATION (Name of Agency) (Address) Sir/Madam: Please quote your lowest price on the item/s listed belo</t>
  </si>
  <si>
    <t xml:space="preserve"> Tiglawigan Elementary School are inviting bidders to bid for the Provision of Fire Alarm amounting of 2,000.00</t>
  </si>
  <si>
    <t xml:space="preserve"> Republic of the Philippines Province of Isabela LOCAL GOVERNMENT UNIT OF BENITO SOLIVEN INVITATION TO BID FOR THE PROCUREMENT OF 6-CYLINDER DIESEL ENGINE FOR DUMP TRUCK 1.	The Municipal Government of Benito Soliven, intends to apply the sum of Two Hundred</t>
  </si>
  <si>
    <t xml:space="preserve"> Republic of the Philippines PROVINCE OF NUEVA ECIJA City of Palayan -o0o- Invitation to Bid for  CONSTRUCTION OF MULTI-PURPOSE FACILITY at Cambitala National High School, Cambitala, Pantabangan, Nueva Ecija June 26, 2020 1.	The Provincial Government of Nu</t>
  </si>
  <si>
    <t xml:space="preserve"> Department of Education Region VI-Western Visayas Division of Cadiz City Alimatoc Elementary School INVITATION TO BID FOR THE PROVISION OF MEDICAL SUPPLIES FOR 2020 1.	The Alimatoc Elementary School of Cadiz City, through the Schools MOOE Fund CY 2020  in</t>
  </si>
  <si>
    <t xml:space="preserve"> Republic of the Philippines PROVINCE OF NUEVA ECIJA City of Palayan -o0o- Invitation to Bid for  CONSTRUCTION OF MULTI-PURPOSE FACILITY at Pias Elementary School, Pias, Gen. Tinio, Nueva Ecija June 26, 2020 1.	The Provincial Government of Nueva Ecija (PGN</t>
  </si>
  <si>
    <t xml:space="preserve"> Concreting of Pathway at NIC near Patiño Res. Site Clearing and Grubbing - 1 L.S. Subgrade Preparation - 101.50 sq.m. Aggregate Base Course - 10.15 cu.m. Surplus Common Excavation - 9.90 cu.m. Foundation Fill - 1.65 cu.m. Structural Concrete, Class "A" - </t>
  </si>
  <si>
    <t xml:space="preserve"> Improvement of road and drainage at Talisay, Construction of Drainage at Purok Talisay REmoval of structure and obstructions - 1 L.S. Surplus Common Excavation - 1.33 cu.m. Foundation Fill - 13.11 cu.m. Embankment - 49.47 cu.m. Chipping Works - 1 L.s. Agg</t>
  </si>
  <si>
    <t xml:space="preserve"> Tiglawigan Elementary School are inviting bidders to bid for the IEC on proper Hygiene and COVID-19 Precautionary Measures amounting of 7,000.00</t>
  </si>
  <si>
    <t xml:space="preserve"> Concreting of Alley @ Rizal St., Km. 5, Near Alquizar Res. Removal of Obstruction and Structures - 1 L.S. Structure Excavation - 10.07 cu.m. Foundation Fill - 1.41. cu.m. Subgrade Preparation - 89 sq.m. Aggregate Base Course - 13.35 cu.m. Reinforcing Stee</t>
  </si>
  <si>
    <t xml:space="preserve"> ITEM	QTY.	UNIT		ARTICLE AND DESCRIPTION				CEILING 					UNIT PRICE		TOTAL  								PRICE							 															 				Office: Ospital Ng Maynila Medical Center 				PR No. 36							 				Charge to: Philhealth Trust Fund 											 				ABC:  Php155,625.00				</t>
  </si>
  <si>
    <t xml:space="preserve"> Name of Projects: Improvement of Road	------------------------------------------------ 485,467.20 Location: Purok Liwliwa Brgy San Isidro Sur	 	 Road Opening at Purok Bougainvilla and Purok Sinamar -----------485,708.40 Location: Brgy. Turod	 	 Opening an</t>
  </si>
  <si>
    <t xml:space="preserve"> Project Location: Poblacion, Luna, Apayao Scope of Work: i. Removal of Obstruction ii. Excavation iii. Steel Works iv. Concrete Works v. Masonry vi. Scaffoldings vii. Forms viii. Doors &amp; Windows, PWD Railings &amp; Tabular Rail Guard ix. Plastering (Ground Fl</t>
  </si>
  <si>
    <t xml:space="preserve"> Republic of the Philippines PROVINCE OF NUEVA ECIJA City of Palayan -o0o- Invitation to Bid for  CONSTRUCTION OF MULTI-PURPOSE FACILITIES June 26, 2020 1.	The Provincial Government of Nueva Ecija (PGNE), through the Special Educational Fund (SEF) intends </t>
  </si>
  <si>
    <t xml:space="preserve"> INVITATION TO BID The Barangay Government of JULUGAN VIII  through its Bids and Awards Committee (BAC), invites contractors with and classified by the Philippine Contractors Accredited Board (PCAB) to apply  for eligibility and to bid for hereunder projec</t>
  </si>
  <si>
    <t xml:space="preserve"> JOSE B. LINGAD MEMORIAL REGIONAL HOSPITAL City of San Fernando, Pampanga Tel. No. (045) 961-3921 Date: June 26, 2020 No. 2020 – 06 - 197-S REQUEST FOR QUOTATION (Name of Agency) (Address) Sir/Madam: Please quote your lowest price on the item/s listed belo</t>
  </si>
  <si>
    <t xml:space="preserve"> Supply of Fuel &amp; Lubricants</t>
  </si>
  <si>
    <t xml:space="preserve"> Brief Description of the Project		 Quantity	Unit	Item Description 1.00	lot	Construction &amp; Occupational Health 800.00	sq.m	Mobilization &amp; Site Clearing 732.00	sq.m	Sub-Grade Preparation  73.20 	cu.m.	Aggregate Sub-Base Course  73.20 	cu.m.	Aggregate Base C</t>
  </si>
  <si>
    <t xml:space="preserve"> Liquid Chlorine</t>
  </si>
  <si>
    <t xml:space="preserve"> Republic of the Philippines DEPARTMENT OF PUBLIC WORKS AND HIGHWAYS SULTAN KUDARAT 2ND DISTRICT ENGINEERING OFFICE REGION XII Lebak, Sultan Kudarat INVITATION TO BID FOR SUPPLY/DELIVERY OF UPS (UNTERRUPTIBLE POWER SUPPLY) FOR USE OF FINANCE SECTION, SULTA</t>
  </si>
  <si>
    <t xml:space="preserve"> Quantity	Unit	Item Description	 1.00	lot	Construction &amp; Occupational Health	 300.00	cu.m.	Excavation 	 480.00	cu.m.	Stone Masonry</t>
  </si>
  <si>
    <t xml:space="preserve"> Office enhancement of Barangay Rizal procurement of materials, equipments, office supplies, utilities, maintenance and other miscellaneous and expenses and council operational expenses and personal services on institution</t>
  </si>
  <si>
    <t xml:space="preserve"> INVITATION TO BID 	 The Department of Education, Division of Bukidnon Intends to apply the sum of ONE MILLION TWENTY THOUSAND SEVEN HUNDRED THIRTY THREE AND 13 (Php. 1,020,733.13) being the Approved Budget for the Contract (ABC) to payments under the cont</t>
  </si>
  <si>
    <t xml:space="preserve"> Parcellary Survey for the Construction of Various Roads and Bridges</t>
  </si>
  <si>
    <t xml:space="preserve"> 7 UNI Shredder, Paper  -In accordance with the Technical Specifications  ABC: Php 143,220.00  NOTE: Please sign all pages of the Technical Specifications and submit it together with your quotation. If selected as the winning bidder, you are required to su</t>
  </si>
  <si>
    <t xml:space="preserve"> Surveying Services</t>
  </si>
  <si>
    <t xml:space="preserve"> Republic of the Philippines DEPARTMENT OF PUBLIC WORKS AND HIGHWAYS OFFICE OF THE REGIONAL DIRECTOR Regional Office No. IV-A EDSA, Quezon City June 22, 2020 Mr. BENIGNO T. PAUCO Managing Partner / CEO KEY ENGINNERS, CO. Unit 217, Grand Emerald Tower, Emer</t>
  </si>
  <si>
    <t xml:space="preserve"> Parcellary Survey for the Construction of Various Roads and Bridges.</t>
  </si>
  <si>
    <t xml:space="preserve"> The Western Mindanao State University, through its Bids and Awards Committee (BAC), is inviting PhilGEPS registered suppliers to apply for eligibility and to submit bids for the item mentioned hereunder:  1.)	200	Reams	Book Paper - subs. 20, 8.5" x 11" 2.</t>
  </si>
  <si>
    <t xml:space="preserve"> The Western Mindanao State University, through its Bids and Awards Committee (BAC), is inviting PhilGEPS registered suppliers to apply for eligibility and to submit bids for the item mentioned hereunder:  1.)	9	Units	Steel Filing Cabinet 			* 2 drawers, v</t>
  </si>
  <si>
    <t xml:space="preserve"> The Western Mindanao State University, through its Bids and Awards Committee (BAC), is inviting PhilGEPS registered suppliers to apply for eligibility and to submit bids for the item mentioned hereunder:  1.)	150	Boxes	Acrinol - 50 strips/box 2.)	50	Bottl</t>
  </si>
  <si>
    <t xml:space="preserve"> The Western Mindanao State University, through its Bids and Awards Committee (BAC), is inviting PhilGEPS registered suppliers to apply for eligibility and to submit bids for the item mentioned hereunder:  1.)	7	Units	Push Cart Trolley 			* with 360 degree</t>
  </si>
  <si>
    <t xml:space="preserve"> The Western Mindanao State University, through its Bids and Awards Committee (BAC), is inviting PhilGEPS registered suppliers to apply for eligibility and to submit bids for the item mentioned hereunder:  1.)	20	Spools	Calculator Ribbon 			* for existing </t>
  </si>
  <si>
    <t xml:space="preserve"> Republic of the Philippines BATANGAS STATE UNIVERSITY Batangas City REQUEST FOR QUOTATION "Procurement for the Supply and Fabrication of Computer Tables for BatStateU Lemery Campus" 1. The Batangas State University (BatState U) through the Bids and Awards</t>
  </si>
  <si>
    <t xml:space="preserve"> Republic of the Philippines DEPARTMENT OF PUBLIC WORKS AND HIGHWAYS SULTAN KUDARAT 2ND DISTRICT ENGINEERING OFFICE REGION XII Lebak, Sultan Kudarat INVITATION TO BID FOR SUPPLY/DELIVERY OF CONSTRUCTION MATERIALS FOR THE MAINTENANCE/IMPROVEMENT OF DPWH BUI</t>
  </si>
  <si>
    <t xml:space="preserve"> The Western Mindanao State University, through its Bids and Awards Committee (BAC), is inviting PhilGEPS registered suppliers to apply for eligibility and to submit bids for the item mentioned hereunder:  1.)	3	Units	AVR 			* 1500VA Servo Type 			* AVR Ul</t>
  </si>
  <si>
    <t xml:space="preserve"> Republic of the Philippines                                                                  Municipality of Tagoloan                                                          PROVINCE OF MISAMIS ORIENTAL                                                    </t>
  </si>
  <si>
    <t xml:space="preserve"> The Western Mindanao State University, through its Bids and Awards Committee (BAC), is inviting PhilGEPS registered suppliers to apply for eligibility and to submit bids for the item mentioned hereunder:  1.)	45	Bottles	Amoxicillin 			250mg/5ml, powder fo</t>
  </si>
  <si>
    <t xml:space="preserve"> Republic of the Philippines Province of Guimaras OFFICE OF THE BIDS AND AWARDS COMMITTEE INVITATION TO BID FOR    SUPPLY AND DELIVERY OF WATER TREATMENT EQUIPMENT Bid Ref. No. 2020-03-224 1.	The Province of Guimaras , through the PHO – (107-04-990) Capita</t>
  </si>
  <si>
    <t xml:space="preserve"> The Subic Bay Metropolitan Authority, through the Corporate Budget for the contract approved by the governing board for 2020 intends to apply the sum of Twenty-Two Million Eight Hundred Thirty Thousand Four Hundred Ninety-Two Pesos and Seventy Centavos (P</t>
  </si>
  <si>
    <t xml:space="preserve"> ITEM       QTY     UNIT        DESCRIPTION 1              1        pc           ID MAKER 2              664     pcs         RF ID Cards 3              3         rolls       ID MAKER COLOR RIBBON  4              4        rolls        ID MAKER-RETRANSFER FI</t>
  </si>
  <si>
    <t xml:space="preserve"> Republic of the Philippines                                                             Municipality of Tagoloan                                                     PROVINCE OF MISAMIS ORIENTAL                                                              </t>
  </si>
  <si>
    <t xml:space="preserve"> Republic of the Philippines                                                                        Municipality of Tagoloan                                                                 PROVINCE OF MISAMIS ORIENTAL                                       </t>
  </si>
  <si>
    <t xml:space="preserve"> PROCESSOR: intel i7 OR ITS EQUIVALENT RAM: 16GB STORAGE:512 SSD + 1TB HDD GRAPHICS: 4GB GTX 1650 OR ITS EQUIVALENT OS: WINDOWS 10 DISPLAY: 15.6" FHD IPS BATTERY 3 CELL</t>
  </si>
  <si>
    <t xml:space="preserve"> INVITATION TO BID FOR THE PURCHASE OF MATERIALS FOR THE CONSTRUCTION OF 2 MAKESHIFT CLASSROOMS AT DAHILAYAN INTEGRATED SCHOOL 1.	The Local Government Unit of Manolo Fortich, through the Special Education Fund  intends to apply the sum of Two Hundred Twelv</t>
  </si>
  <si>
    <t xml:space="preserve"> Republic of the Philippines Province of Guimaras OFFICE OF THE BIDS AND AWARDS COMMITTEE Invitation to Bid for  One Job Supply of Materials and Labor for the Support to Municipal Nursery/barangay Nurseries (Construction of Working Cottage) Bid Ref. No. 20</t>
  </si>
  <si>
    <t xml:space="preserve"> 1.	The Department of Public Works and Highways Regional Office XI, Davao City, through its Bids and Awards Committee (BAC), invites bidders to submit bids for the Infra projects funded under GAA FY 2020, to wit: Contract ID 	:	20L00138 Contract Name/Locat</t>
  </si>
  <si>
    <t xml:space="preserve"> Roofing Works</t>
  </si>
  <si>
    <t xml:space="preserve"> Republic of the Philippines City of Cagayan de Oro BIDS AND AWARDS COMMITTEE  INVITATION TO BID  FOR  Supply and Delivery of Medical, Dental and Labarotary Supplies (Lot No. and Lot No. 2); PR No. 20-1412 dated 29 May 2020; SN 130 - 2020 1.	The City Gover</t>
  </si>
  <si>
    <t xml:space="preserve"> Road widening with canal, and curb &amp; gutter</t>
  </si>
  <si>
    <t xml:space="preserve"> Republic of the Philippines Province of Guimaras OFFICE OF THE BIDS AND AWARDS COMMITTEE INVITATION TO BID FOR    SUPPLY AND DELIVERY OF CURTAINS AND CURTAIN RODS Bid Ref. No. 2020-06-355 1.	The Province of Guimaras , through the 2020 Regular Budget- Offi</t>
  </si>
  <si>
    <t xml:space="preserve"> The Procuring Entity through its Bids and Awards Committee invites suppliers to quote for the hereunder project/program: Water System Improvement @ Barangay Bagtic CY 2019-20% EDF. Item No.	       DESCRIPTION				QNTY	UNIT 								 1	Various Plumbing Mater</t>
  </si>
  <si>
    <t xml:space="preserve"> INVITATION TO BID The City Vigan, through its Bids and Awards Committee (BAC), invites suppliers/manufacturers/distributors/contractors to apply for eligibility and to bid for the hereunder project: Name of Project:	Supply, Delivery and Installation of Br</t>
  </si>
  <si>
    <t xml:space="preserve"> Republic of the Philippines Province of Guimaras OFFICE OF THE BIDS AND AWARDS COMMITTEE INVITATION TO BID FOR    SUPPLY AND DELIVERY OF MINERAL OIL, VEGETABLE OIL AND CITRONELLA PLANTS Bid Ref. No. 2020-06-353 1.	The Province of Guimaras , through the DO</t>
  </si>
  <si>
    <t xml:space="preserve"> The Procuring Entity through its Bids and Awards Committee invites suppliers to quote for the hereunder project/program: Medicines CY 2020 General Fund Item No.	      DESCRIPTION					QNTY	UNIT 								 1	     Various Drugs and Medicines:		                </t>
  </si>
  <si>
    <t xml:space="preserve"> Primary Registration Household Registration Resident List ID Printing Integration Logistic Inventory Automation of Barangay Certifications Reports Website with Database integrated in RBI System   Logistic for Barangay Census (5 Staff in 60days) 5 mobile p</t>
  </si>
  <si>
    <t xml:space="preserve"> The Procuring Entity through its Bids and Awards Committee invites suppliers to quote for the hereunder project/program: Water System at Brgy. Sta. Monica CY 2019-20% EDF Item No.	DESCRIPTION						QNTY	UNIT 								 1	Various Construction Materials (Hardw</t>
  </si>
  <si>
    <t xml:space="preserve"> RFQ for the School and Office Supplies</t>
  </si>
  <si>
    <t xml:space="preserve"> Please see attached copy of the Request For Quotations</t>
  </si>
  <si>
    <t xml:space="preserve"> INVITATION TO BID FOR THE PURCHASE OF MATERIALS FOR THE CONSTRUCTION OF BASE FOR TRANSFER OF HEDCOR BUILDING AT MALUKO 1.	The Local Government Unit of Manolo Fortich, through the Special Education Fund  intends to apply the sum of Five Hundred Seven Thous</t>
  </si>
  <si>
    <t xml:space="preserve"> Republic of the Philippines                                                     PROVINCE OF MISAMIS ORIENTAL                                                             Municipality of Tagoloan                                                              </t>
  </si>
  <si>
    <t xml:space="preserve"> 1.Municipality of Amadeo through its GEN FUND intends to apply the sum of Php 290,999.03 being the Approved Budget Ceiling for the CONSTRUCTION OF CANAL LINING LOCATED @ BRGY. #7, AMADEO, CAVITE Quotation received in excess of the ABC shall be automatical</t>
  </si>
  <si>
    <t xml:space="preserve"> Procurement of Heparin, hemodialysis treatment packages</t>
  </si>
  <si>
    <t xml:space="preserve"> 1.Municipality of Amadeo through its GEN FUND intends to apply the sum of Php 794,182.00 being the Approved Budget Ceiling for the PURCHASE OF OFFICE SUPPLIES TO BE USED BY DIFFERENT OFFICES Quotation received in excess of the ABC shall be automatically r</t>
  </si>
  <si>
    <t xml:space="preserve"> 1.Municipality of Amadeo through its GEN FUND intends to apply the sum of Php 284,750.00 being the Approved Budget Ceiling for the INSTALLATION OF CCTV CAMERA @ VARIOUS BARANGAY LOCATED @ AMADEO, CAVITE Quotation received in excess of the ABC shall be aut</t>
  </si>
  <si>
    <t xml:space="preserve"> 1.Municipality of Amadeo through its GEN FUND intends to apply the sum of Php 290,996.90 being the Approved Budget Ceiling for the FABRICATION AND INSTALLATION OF BARANGAY DAGATAN STREETLIGHTING LOCATED @ BRGY. DAGATAN, AMADEO, CAVITE Quotation received i</t>
  </si>
  <si>
    <t xml:space="preserve"> 1.Municipality of Amadeo through its GEN FUND intends to apply the sum of Php 170,693.50 being the Approved Budget Ceiling for the PURCHASE OF JANITORIAL SUPPLIES TO BE USED BY DIFFERENT OFFICES Quotation received in excess of the ABC shall be automatical</t>
  </si>
  <si>
    <t xml:space="preserve"> 1.	The Department of Public Works and Highways Regional Office XI, Davao City, through its Bids and Awards Committee (BAC), invites bidders to submit bids for the Infra projects funded under GAA FY 2020, to wit: Contract ID 	:	20L00159 Contract Name/Locat</t>
  </si>
  <si>
    <t xml:space="preserve"> 1.	The Department of Public Works and Highways Regional Office XI, Davao City, through its Bids and Awards Committee (BAC), invites bidders to submit bids for the Infra projects funded under GAA FY 2020, to wit:   Contract ID 	:	20L00158 Contract Name/Loc</t>
  </si>
  <si>
    <t xml:space="preserve"> 1.	The Department of Public Works and Highways Regional Office XI, Davao City, through its Bids and Awards Committee (BAC), invites bidders to submit bids for the Infra projects funded under GAA FY 2020, to wit: Contract ID 	:	20L00157 \Contract Name/Loca</t>
  </si>
  <si>
    <t xml:space="preserve"> 1.Municipality of Amadeo through its GEN FUND intends to apply the sum of Php 618,000.00 being the Approved Budget Ceiling for the PURCHASE OF IT EQUIPMENTS TO BE USED BY LGU-AMADEO Quotation received in excess of the ABC shall be automatically rejected. </t>
  </si>
  <si>
    <t xml:space="preserve"> Please see attachment for the List of Construction Materials.</t>
  </si>
  <si>
    <t xml:space="preserve"> 1.	The Department of Public Works and Highways Regional Office XI, Davao City, through its Bids and Awards Committee (BAC), invites bidders to submit bids for the Infra projects funded under GAA FY 2020, to wit: Contract ID 	:	20L00156 Contract Name/Locat</t>
  </si>
  <si>
    <t xml:space="preserve"> 1. The Mindanao State University - Tawi-Tawi College of Technology and Oceanography (MSU-TCTO), through the GAA 2020, intends to apply the sum of Seven Hundred Forty-Nine Thousand Eight Hundred Ninety-Three and 21/100 pesos only (PhP 749,893.21) being app</t>
  </si>
  <si>
    <t xml:space="preserve"> Republika ng Pilipinas PAMAHALAANG LUNGSOD NG TACLOBAN (City Government of Tacloban) Kanhuraw Hill, Tacloban City 6500 BIDS AND AWARDS COMMITTEE INVITATION TO BID  REF #042-06-2020 (JUNE 25, 2020) PR# 2020-681 DATED 06-09-2020 7060270 The Procuring Entity</t>
  </si>
  <si>
    <t xml:space="preserve"> Construction of Rainwater Collection System (RWCS)</t>
  </si>
  <si>
    <t xml:space="preserve"> Repair/Maintenance of DPWH Building Super Area (Storage Room)</t>
  </si>
  <si>
    <t xml:space="preserve"> Repair/Maintenance of DPWH Building, Langogan Resthouse</t>
  </si>
  <si>
    <t xml:space="preserve"> 1.	The Department of Public Works and Highways Regional Office XI, Davao City, through its Bids and Awards Committee (BAC), invites bidders to submit bids for the Infra projects funded under GAA FY 2020, to wit: Contract ID 	:	20L00166 Contract Name/Locat</t>
  </si>
  <si>
    <t xml:space="preserve"> 1.	The Department of Public Works and Highways Regional Office XI, Davao City, through its Bids and Awards Committee (BAC), invites bidders to submit bids for the Infra projects funded under GAA FY 2020, to wit: Contract ID 	:	20L00165 Contract Name/Locat</t>
  </si>
  <si>
    <t xml:space="preserve"> 1.Municipality of Amadeo through its GEN FUND intends to apply the sum of Php 272,950.00 being the Approved Budget Ceiling for the PURCHASE OF BUSINESS PLATES, 2020 STICKER AND TODA STICKER FOR THE USE OF BPLO Quotation received in excess of the ABC shall</t>
  </si>
  <si>
    <t xml:space="preserve"> Availability in Cargo Bed Sizes in length      :   10 ft long Color options                                            :   any color except white Valves                                                     :    8 Gearbox details                            </t>
  </si>
  <si>
    <t xml:space="preserve"> 1.Municipality of Amadeo through its GEN FUND intends to apply the sum of Php 675,473.14 being the Approved Budget Ceiling for the CONCRETING OF TALYER ROAD LOCATED @ BRGY. SALABAN, AMADEO, CAVITE Quotation received in excess of the ABC shall be automatic</t>
  </si>
  <si>
    <t xml:space="preserve"> 1.	The Department of Public Works and Highways Regional Office XI, Davao City, through its Bids and Awards Committee (BAC), invites bidders to submit bids for the Infra projects funded under GAA FY 2020, to wit: Contract ID 	:	20L00163 Contract Name/Locat</t>
  </si>
  <si>
    <t xml:space="preserve"> 1.	The Department of Public Works and Highways Regional Office XI, Davao City, through its Bids and Awards Committee (BAC), invites bidders to submit bids for the Infra projects funded under GAA FY 2020, to wit: Contract ID 	:	20L00162 Contract Name/Locat</t>
  </si>
  <si>
    <t xml:space="preserve"> 1.Municipality of Amadeo through its GEN FUND intends to apply the sum of Php 630,413.06 being the Approved Budget Ceiling for the IMPROVEMENT OF AMADEO POLICE STATION LOCATED @ AMADEO, CAVITE Quotation received in excess of the ABC shall be automatically</t>
  </si>
  <si>
    <t xml:space="preserve"> Repainting of Concrete Bridges</t>
  </si>
  <si>
    <t xml:space="preserve"> 1. The Mindanao State University - Tawi-Tawi College of Technology and Oceanography (MSU-TCTO), through the GAA 2020, intends to apply the sum of Nine Hundred Seventy-Six Thousand Eight Hundred Forty and 09/100 pesos only (PhP 976,840.09) being approved B</t>
  </si>
  <si>
    <t xml:space="preserve"> INVITATION TO BID IB-2020-100-INFRA Drainage Improvement and Concreting at Barangay Sauyo, District VI, Quezon City 1.	The Metropolitan Manila Development Authority, through the 2020 General Appropriations Act (GAA)intends to apply the sum of EightMillion</t>
  </si>
  <si>
    <t xml:space="preserve"> Invitation to Bid  For the Construction of Four (4) Storey Sixteen (16) Classroom Building at Lapaz National High School, Lapaz, Iloilo City 1.	The City of Iloilo, through the SEF Capital Outlay, CY2019 intends to apply the sum of Forty Five Million Pesos</t>
  </si>
  <si>
    <t xml:space="preserve"> 1.	The Department of Public Works and Highways Regional Office XI, Davao City, through its Bids and Awards Committee (BAC), invites bidders to submit bids for the Infra projects funded under GAA FY 2020, to wit: Contract ID 	:	20L00164 Contract Name/Locat</t>
  </si>
  <si>
    <t xml:space="preserve"> 1.Municipality of Amadeo through its GEN FUND intends to apply the sum of Php 1,999,850.00 being the Approved Budget Ceiling for the PURCHASE OF MEDICINE TO BE USED BY RHU Quotation received in excess of the ABC shall be automatically rejected. 2. BAC of </t>
  </si>
  <si>
    <t xml:space="preserve"> INVITATION TO BID IB-2020-098-INFRA Improvement / Deepening of Estero De Concordia, Pandacan,  District VI, Manila 1.	The Metropolitan Manila Development Authority, through the 2020 General Appropriations Act (GAA)intends to apply the sum of ThirteenMilli</t>
  </si>
  <si>
    <t xml:space="preserve"> The Technical Education and Skills Development Authority (TESDA), through the TESDA-PTC Sindangan, Zamboanga del Norte will undertake a Small Value Procurement for the “Supplies and materials to be used for skills training Cum Production in Wooden Poultry</t>
  </si>
  <si>
    <t xml:space="preserve"> INVITATION TO BID IB-2020-096-INFRA        Drainage Improvement along C5, District II, Makati City 1.	The Metropolitan Manila Development Authority, through the 2020 General Appropriations Act (GAA)intends to apply the sum of FiveMillion, NineHundredEight</t>
  </si>
  <si>
    <t xml:space="preserve"> INVITATION TO BID IB-2020-099-INFRA Drainage Improvement along Esperanza St. and Vicinities, District II, Valenzuela City 1.	The Metropolitan Manila Development Authority, through the 2020 General Appropriations Act (GAA)intends to apply the sum of Thirte</t>
  </si>
  <si>
    <t xml:space="preserve"> Republic of the Philippines Province of Guimaras OFFICE OF THE BIDS AND AWARDS COMMITTEE INVITATION TO BID FOR    SUPPLY AND DELIVERY OF LAPTOP WITH PRINTER AND OTHER SUPPLIES AND EQUIPMENT Bid Ref. No. 2020-06-351 1.	The Province of Guimaras , through th</t>
  </si>
  <si>
    <t xml:space="preserve"> INVITATION TO BID IB-2020-097-INFRA Rehabilitation / Improvement and Maintenance of Drainage System along Beata St., and Vicinity, Pandacan, District VI, Manila City 1.	The Metropolitan Manila Development Authority, through the 2020 General Appropriations</t>
  </si>
  <si>
    <t xml:space="preserve"> ----------ANTHROPOMORPHIC PHANTOM    Features Patient positioning: -	Shoulders rotate full 360 degrees in the sagittal plane, approx. 180 degrees to side-ways. -	Elbows bend up to approx. 90 degrees. -	Hip joints rotate forward up to 90 degrees, then rota</t>
  </si>
  <si>
    <t xml:space="preserve"> Republic of the Philippines Province of Guimaras OFFICE OF THE BIDS AND AWARDS COMMITTEE INVITATION TO BID FOR    SUPPLY AND DELIVERY OF MEDICAL OXYGEN Bid Ref. No. 2020-06-343 1.	The Province of Guimaras , through the Revolving Fund (BEH) 502-03-070 inte</t>
  </si>
  <si>
    <t xml:space="preserve"> Republic of the Philippines City of Cagayan de Oro BIDS AND AWARDS COMMITTEE INVITATION TO BID  FOR  SUPPLY AND DELIVERY OF DIESEL AND UNLEADED GASOLINE INCLUDING INSTALLATION OF PETROLEUM UNDERGROUND STORAGE TANKS AND FUEL DISPENSERS; PR NO. 20-1431 DATE</t>
  </si>
  <si>
    <t xml:space="preserve"> Invitation to Bid No. NSCV2020-03 RE-BIDDING- PROCUREMENT OF 1 LOT VARIOUS LABORATORY REAGENTS 1.	The West Visayas State University Medical Center, through its NSCV Fund 2020 intends to apply the sum of SIX HUNDRED EIGHT THOUSAND PESOS (PhP 608,000.00) ON</t>
  </si>
  <si>
    <t xml:space="preserve"> INVITATION TO BID IB-2020-095-INFRA        Drainage Improvement along Kalayaan Avenue, District II, Makati City 1.	The Metropolitan Manila Development Authority, through the 2020 General Appropriations Act (GAA)intends to apply the sum of SevenMillion, Fo</t>
  </si>
  <si>
    <t xml:space="preserve"> DIGITAL RADIOGRAPHIC SYSTEM SPECIFICATION DIGITAL RADIOGRAPHY DETECTOR: Scintillator Type:Cesium lodide (CsI) Pixel Pitch: 140 um Field of View: 14x17 inch  Effective area: 356.72x428.4 mm Resolution:2536x3048 Grayscale:14 bit Spatial Resolution: 3.5 lp/m</t>
  </si>
  <si>
    <t xml:space="preserve"> Republic of the Philippines Province of Guimaras OFFICE OF THE BIDS AND AWARDS COMMITTEE INVITATION TO BID FOR    SUPPLY AND DELIVERY OF KITCHENWARE Bid Ref. No. 2020-06-352 1.	The Province of Guimaras , through the DOLE Kabuhayan Program (Various Livelih</t>
  </si>
  <si>
    <t xml:space="preserve"> 25 Sets of Garbage Bins</t>
  </si>
  <si>
    <t xml:space="preserve"> 1.Municipality of Amadeo through its GEN FUND intends to apply the sum of Php 192,000.00 being the Approved Budget Ceiling for the PURCHASE OF AUDIO AND VISUAL EQUIPMENT TO BE USED BY DIFFERENT OFFICES Quotation received in excess of the ABC shall be auto</t>
  </si>
  <si>
    <t xml:space="preserve"> Republic of the Philippines City of Cagayan de Oro BIDS AND AWARDS COMMITTEE  INVITATION TO BID  FOR  Supply and Delivery of Various Office Supplies; PR No. 20-1432 dated 11 June 2020; SN 131 - 2020 1.	The City Government of Cagayan de Oro, through the Ge</t>
  </si>
  <si>
    <t xml:space="preserve"> Invitation to Bid  For the Construction/Rehabilitation of Existing Drainage System at Brgy. Navais, Mandurriao, Iloilo City 1.	The City of Iloilo, through the 20% Development Fund, CY2019 intends to apply the sum of Two Million Pesos (Php 2,000,000.00) be</t>
  </si>
  <si>
    <t xml:space="preserve"> ARTICLE AND DESCRIPTION											 ITEM	QTY.	UNIT						CEILING 					UNIT PRICE		TOTAL  								PRICE							 															 				Office: Universidad De Manila				PR No. 834							 				Charge to: Training Expenses				OBR No. 100-2006-05038							 				ABC:  </t>
  </si>
  <si>
    <t xml:space="preserve"> 3926 cu.m. Aggregates</t>
  </si>
  <si>
    <t xml:space="preserve"> Invitation to Bid  For the Repair of Classroom at Melchor L. Nava National High School, Calaparan, Arevalo, Iloilo City 1.	The City of Iloilo, through the SEF Capital Outlay, CY2019 – P 10,000,000.00; SEF Capital Outlay, CY2020 – P 1,000,000.00 intends to</t>
  </si>
  <si>
    <t xml:space="preserve"> 1.Municipality of Amadeo through its GEN FUND intends to apply the sum of Php 434,600.00 being the Approved Budget Ceiling for the PURCHASE OF FURNITURE AND FIXTURES TO BE USED BY DIFFERENT OFFICES Quotation received in excess of the ABC shall be automati</t>
  </si>
  <si>
    <t xml:space="preserve"> INVITATION TO BID IB-2020-105-INFRA Improvement of Malabon-Tullahan River, Muzon-Concepcion,  Malabon City 1.	The Metropolitan Manila Development Authority, through the 2020 General Appropriations Act (GAA)intends to apply the sum of NineMillion, NineHund</t>
  </si>
  <si>
    <t xml:space="preserve"> Invitation to Bid  For the Rehabilitation of All Gabaldon Building at Montes I Elementary School, City Proper, Iloilo City 1.	The City of Iloilo, through the SEF Capital Outlay, SB No. 2 Fund, CY2019  intends to apply the sum of Seven Million Pesos (Php 7</t>
  </si>
  <si>
    <t xml:space="preserve"> INVITATION TO BID IB-2020-104-INFRA Drainage Improvement / Declogging along R-10, Pacheco St. and Vicinity, Tondo, District I, Manila City 1.	The Metropolitan Manila Development Authority, through the 2020 General Appropriations Act (GAA)intends to apply </t>
  </si>
  <si>
    <t xml:space="preserve"> INVITATION TO BID IB-2020-103-INFRA Drainage Improvement / Declogging along J. Luna St., H. Lopez Blvd., C-2 Road and Vicinity, Tondo, District II, Manila 1.	The Metropolitan Manila Development Authority, through the 2020 General Appropriations Act (GAA)i</t>
  </si>
  <si>
    <t xml:space="preserve"> Republic of the Philippines Province of Batangas Municipality of San Nicolas Invitation to Bid for the Purchase of Dump Truck to be used in Solid Waste Management 1.	The MUNICIPALITY OF SAN NICOLAS through the Continuing Appropriation – 20% Dev. Fund inte</t>
  </si>
  <si>
    <t xml:space="preserve"> INVITATION TO BID IB-2020-102-INFRA Drainage Improvement and Concreting at Barangay BagongSilangan, District II, Quezon City 1.	The Metropolitan Manila Development Authority, through the 2020 General Appropriations Act (GAA)intends to apply the sum of Thi</t>
  </si>
  <si>
    <t xml:space="preserve"> The DPWH, Negros Occidental 3rd District Engineering Office, Kabankalan City, Negros Occidental, through its Bids and Awards Committee (BAC), invites contractors to submit bids for the following contract: 1. Contract ID		:	20GM0080 Contract Name	:	Upgradi</t>
  </si>
  <si>
    <t xml:space="preserve"> Procurement of the following: a. 75 bags  - Seeds b. 75 bags  - Urea (46-0-0)  c. 150 bags - Complete (14-14-14)</t>
  </si>
  <si>
    <t xml:space="preserve"> 1. The Mindanao State University - Tawi-Tawi College of Technology and Oceanography (MSU-TCTO), through the TRUST FUND, intends to apply the sum of Three Hundred Seventy Thousand Two Hundred Fifty-Two and 72/100 pesos only (PhP 370,252.572) being approved</t>
  </si>
  <si>
    <t xml:space="preserve"> INVITATION TO BID IB-2020-106-INFRA Dredging of Maricaban Creek, at the Back of Magallanes Village, Makati City and Villamor Barangay 183 Pasay City 1.	The Metropolitan Manila Development Authority, through the 2020 General Appropriations Act (GAA)intends</t>
  </si>
  <si>
    <t xml:space="preserve"> INVITATION TO BID FOR THE SUPPLY AND DELIVERY OF RELIEF GOODS   1.	The City of Iloilo, through the General Fund intends to apply the sum of Five Hundred Seventy-Nine Thousand Nine Hundred Thirty-Seven Pesos Eighty Centavos (P579,937.80) being the Approved</t>
  </si>
  <si>
    <t xml:space="preserve"> Invitation to Bid  For the Rehabilitation/Construction of Roads at Brgy. Bakhaw, Mandurriao, Iloilo City 1.	The City of Iloilo, through the 20% Development Fund, CY2019 intends to apply the sum of Two Million Pesos (Php 2,000,000.00) being the Approved Bu</t>
  </si>
  <si>
    <t xml:space="preserve"> CONSTRUCTION OF POTABLE WATER SYSTEM LEVEL II WITH 1 UNIT 2X2X2 30M CONCRETE RESERVOIR AND 4 UNITS COMMUNAL FAUCET.</t>
  </si>
  <si>
    <t xml:space="preserve"> INVITATION TO BID IB-2020-101-INFRA Drainage Improvement and Concreting at Barangay Vasra, District I, Quezon City 1.	The Metropolitan Manila Development Authority, through the 2020 General Appropriations Act (GAA)intends to apply the sum of FiveMillion, </t>
  </si>
  <si>
    <t xml:space="preserve"> Procurement of the following: a. 10kls of Assorted Vegetable Seeds b. Farm Tools/Inputs</t>
  </si>
  <si>
    <t xml:space="preserve"> The DPWH, Negros Occidental 3rd District Engineering Office, Kabankalan City, Negros Occidental, through its Bids and Awards Committee (BAC), invites contractors to submit bids for the following contract: 1. Contract ID		:	20GM0063 (Re-bidding) Contract N</t>
  </si>
  <si>
    <t xml:space="preserve"> 1.	The Department of Public Works and Highways Regional Office XI, Davao City, through its Bids and Awards Committee (BAC), invites bidders to submit bids for the Infra projects funded under GAA FY 2020, to wit: Contract ID 	:	20L00160 Contract Name/Locat</t>
  </si>
  <si>
    <t xml:space="preserve"> Republic of the Philippines Province of Guimaras OFFICE OF THE BIDS AND AWARDS COMMITTEE INVITATION TO BID FOR    SUPPLY AND DELIVERY OF VETERINARY SUPPLIES Bid Ref. No. 2020-06-344 1.	The Province of Guimaras , through the (Item 1,2,3,4 and 5 P18,092.00-</t>
  </si>
  <si>
    <t xml:space="preserve"> 1.Municipality of Amadeo through its GEN FUND intends to apply the sum of Php 100,000.00 being the Approved Budget Ceiling for the PURCHASE OF WHEEL CLAMP TO BE USED FOR BALIK KALSADA PROGRAM OF PNP Quotation received in excess of the ABC shall be automat</t>
  </si>
  <si>
    <t xml:space="preserve"> 1.Municipality of Amadeo through its GEN FUND intends to apply the sum of Php 122,525.00 being the Approved Budget Ceiling for the PROCUREMENT AND RESTORATION OF RADIO COMMUNICATION Quotation received in excess of the ABC shall be automatically rejected. </t>
  </si>
  <si>
    <t xml:space="preserve"> 2 Lengths GI Pipe, etc.</t>
  </si>
  <si>
    <t xml:space="preserve"> June 24, 2020 Name of Project:	PROCUREMENT AND DELIVERY OF MATERIALS FOR THE CONSTRUCTION OF 84 BY 1 METER PERIMETER FENCE OF LEUTEBORO NHS. Sir/Madame: Please quote your lowest price for the following item enumerated below, taking into consideration the </t>
  </si>
  <si>
    <t xml:space="preserve"> Republika ng Pilipinas PAMAHALAANG LUNGSOD NG TACLOBAN (City Government of Tacloban) Kanhuraw Hill, Tacloban City 6500 BIDS AND AWARDS COMMITTEE INVITATION TO BID  REF #041(1)-06-2020 (JUNE 25, 2020) PR# 2020-647 DATED 05-28-2020 7062711 The Procuring Ent</t>
  </si>
  <si>
    <t xml:space="preserve"> 1665 cu.m aggregates</t>
  </si>
  <si>
    <t xml:space="preserve"> Republic of the Philippines Province of Guimaras OFFICE OF THE BIDS AND AWARDS COMMITTEE INVITATION TO BID FOR    SUPPLY AND DELIVERY OF SANITATION AND DISINFECTANT SUPPLIES Bid Ref. No. 2020-06-356 1.	The Province of Guimaras , through the 2020 Regular B</t>
  </si>
  <si>
    <t xml:space="preserve"> Invitation to Bid  For the Construction/Rehabilitation/Improvement of Multi-Purpose Hall at Brgy. Rizal , Lapaz, Iloilo City 1.	The City of Iloilo, through the 20% Development Fund, CY2020 – P 3,000,000.00; 20% Development Fund, CY2019 – P 500,000.00 inte</t>
  </si>
  <si>
    <t xml:space="preserve"> Republic of the Philippines Province of Cavite Municipality of Naic BIDS AND AWARDS COMMITTEE PB-2020-06-034 INVITATION TO  BID  CONCRETING OF ROAD (PHASE 3) AT DUMPSITE  BRGY. SABANG, NAIC, CAVITE 1.         The Municipal Government of Naic through  2019</t>
  </si>
  <si>
    <t xml:space="preserve"> MULTI PURPOSE  VEHICLE           1 UNIT Overall (LxWxH) Maximum of: 4,435mm x 1,695mm x 1,705mm Wheelbase  :  Maximum 2,700mm: Size 16in; Wheel Type: Alloy Engine Type:    1.5 Gasoline Displacement:   1,499cc Maximum Output: 102hp@6,000rpm Maximum Torque:</t>
  </si>
  <si>
    <t xml:space="preserve"> Invitation to Bid  For the Construction/Rehabilitation/Improvement of Multi-Purpose Hall at Brgy. Rizal Pala-Pala I, City Proper, Iloilo City 1.	The City of Iloilo, through the 20% Development Fund, CY2019 – P500,000.00; 20% Development Fund, CY2020 – P 2</t>
  </si>
  <si>
    <t xml:space="preserve"> Invitation to Bid  For the Construction/Rehabilitation of Existing Drainage System at Brgy. Tacas, Jaro, Iloilo City 1.	The City of Iloilo, through the 20% Development Fund, CY2018 intends to apply the sum of One Million Pesos (Php 1,000,000.00) being the</t>
  </si>
  <si>
    <t xml:space="preserve"> Invitation to Bid  For the Construction/Rehabilitation/Improvement of Multi-Purpose Hall at Brgy. Bakhaw, Mandurriao, Iloilo City 1.	The City of Iloilo, through the 20% Development Fund, CY2020  intends to apply the sum of One Million Three Hundred Thousa</t>
  </si>
  <si>
    <t xml:space="preserve"> 1.	The Department of Public Works and Highways Regional Office XI, Davao City, through its Bids and Awards Committee (BAC), invites bidders to submit bids for the Infra projects funded under GAA FY 2020, to wit: Contract ID 	:	20L00161 Contract Name/Locat</t>
  </si>
  <si>
    <t xml:space="preserve"> Aggregates 1178 cu.m aggregates</t>
  </si>
  <si>
    <t xml:space="preserve"> Construction Safety and Health	 1.00 	 lot  Aggregate Base Coarse	 240.00 	 cu.m.  Reinforcing Steel	 26.64 	 kgs  Portland Cement Concrete Pavement	 135.00 	 cu.m.  Formworks	 840.00 	 sq.m.  Sub-Project Billboard	 1.00 	 unit</t>
  </si>
  <si>
    <t xml:space="preserve"> Wide Format Multi Function Printer etc. NOTE:To all suppliers bid documents and BAC Resolution 2020-029 are available at BAC Office and LGU website.</t>
  </si>
  <si>
    <t xml:space="preserve"> Republic of the Philippines 				 						City of Manila				 						BARANGAY 365, ZONE 37, DISTRICT III				 						BIDS AND AWARDS COMMITTEE				 										 										June 25, 2020 										D A T E 						INVITATION TO BID 				 										 BARANGAY 365, ZONE 37,</t>
  </si>
  <si>
    <t xml:space="preserve"> Please see attached docs.</t>
  </si>
  <si>
    <t xml:space="preserve"> 1515 SQM. HIGH DESITY POLYETHYLENE (HDPE) LINER) PROCUREMENT AND PROVISION OF HDPE LINER FOR THE CONTRUCTION OF  MINERAL PROCESSING PLANT TAILINGS POND LINING OF CMPZ</t>
  </si>
  <si>
    <t xml:space="preserve"> Republic of the Philippines DEPARTMENT OF PUBLIC WORKS &amp; HIGHWAYS LEYTE THIRD ENGINEERING DISTRICT REGIONAL OFFICE VIII Villaba, Leyte Telefax No. (053) 552-9266 Email Add: dpwh_leyte3@yahoo.com INVITATION TO BID June 17, 2020 1.	The DPWH Third Leyte Engi</t>
  </si>
  <si>
    <t xml:space="preserve"> 2 LENGTHS GI PIPE, ETC. FOR THE ESTABLISHMENT OF 1 RCA AT SITIO BACLISE, BARANGAY ANGAS, STA. JOSEFA, ADS</t>
  </si>
  <si>
    <t xml:space="preserve"> Republic of the Philippines Province of Negros Occidental CITY OF VICTORIAS BIDS AND AWARDS COMMITTEE Reference No: Vict-eps20-029 INVITATION TO BID  CONSTRUCTION OF VETERINARY CLINIC AT CPSU CAMPUS, BARANGAY XIV, VICTORIAS CITY The City of Victorias, thr</t>
  </si>
  <si>
    <t xml:space="preserve"> Republic of the Philippines PROVINCE OF ZAMBOANGA SIBUGAY Municipality of Buug BIDS AND AWARDS COMMITTEE Invitation to Bid for Procurement of Construction Materials for the Concreting of Pathway 1.	The  Barangay Villacastor of Buug, through the 20 % Devel</t>
  </si>
  <si>
    <t xml:space="preserve"> COVERED COURT FLOORING QTY	UNIT	DESCRIPTION	UNIT COST	TOTAL COST 1 CONCRETE SLAB 456	Bag	Cement		 40	Cu.m	Washed Sand		 80	Cu. m	Washed Gravel		 II. WALLING 10	Bag	Cement		 2	Cu.m	Washed Sand		 4	Cu.m	Washed Gravel		 III. MASONRY WORK 296	PCS	CHB		 25	Bag</t>
  </si>
  <si>
    <t xml:space="preserve"> 50 pcs water meter 20 pcs G.I.Pipe No. 1/2" x 20 S-40 30 pcs G.I. Elbow No. 1/2" 50 pcs G.i. Coupling No. 1/2" 45 pcs G.I. Tee No. 1/2" x 1/2" 45 pcs G.I. Tee No. 1-1/2" x 1/2" 45 pcs G.I. Tee No. 1" x 1/2" 45 pcs G.I. Union Patente No. 1/2" 50 roll Teflo</t>
  </si>
  <si>
    <t xml:space="preserve"> Republic of the Philippines Cordillera Administrative Region PROVINCIAL GOVERNMENT OF ABRA Bangued INVITATION TO BID FOR  PURCHASE OF SOIL AMELIORANT 1.	The PROVINCIAL GOVERNMENT OF ABRA, through the Budget for the Contract Approbed by the Sangguniang Pan</t>
  </si>
  <si>
    <t xml:space="preserve"> Republic of the Philippines Cordillera Administrative Region PROVINCIAL GOVERNMENT OF ABRA Bangued INVITATION TO BID FOR  PURCHASE OF POST HARVEST AND FARM MACHINERY EQUIPMENT 1.	The PROVINCIAL GOVERNMENT OF ABRA, through the Budget for the Contract Appro</t>
  </si>
  <si>
    <t xml:space="preserve"> 2 UNITS ECO SEPTIC TANK) PROVISION AND INSTALLATION OF ECO-SEPTIC TANK FOR 10 HOUSEHOLDS IN BRGY. LA FLORA, TALACOGON. ADS</t>
  </si>
  <si>
    <t xml:space="preserve"> Republic of the Philippines Cordillera Administrative Region PROVINCIAL GOVERNMENT OF ABRA Bangued Invitation to Bid for  CONSTRUCTION OF MULTI-PURPOSE COVERED PAVEMENT 1.	The Provincial Government of Abra, through the Budget for the Contract Approved by </t>
  </si>
  <si>
    <t xml:space="preserve"> Republic of the Philippines Cordillera Administrative Region PROVINCIAL GOVERNMENT OF ABRA Bangued Invitation to Bid for  REHABILITATION OF BITUEN-LACUB ROAD 1.	The Provincial Government of Abra, through the Budget for the Contract Approved by the Sanggun</t>
  </si>
  <si>
    <t xml:space="preserve"> Republic of the Philippines NATIONAL POLICE COMMISSION PHILIPPINE NATIONAL POLICE  INTELLIGENCE GROUP Camp BGen Rafael T Crame, Quezon City INVITATION TO BID 1. The PNP Intelligence Group Bids and Awards Committee (PNP IG-BAC) based on the approved GAA FY</t>
  </si>
  <si>
    <t xml:space="preserve"> Republic of the Philippines NATIONAL POLICE COMMISSION PHILIPPINE NATIONAL POLICE INTELLIGENCE GROUP Camp BGen Rafael T Crame, Quezon City INVITATION TO BID 1. The PNP Intelligence Group Bids and Awards Committee (PNP IG-BAC) based on the approved GAA FY </t>
  </si>
  <si>
    <t xml:space="preserve"> 1 9 REAM/S PAPER - BOND-SUBS.16,LONG (8 1/2"X13") 2 6 REAM/S PAPER - BOOK A4,210MMX297MM,MIN OF 70GSM 3 6 REAM/S PAPER - BOOK LEGAL,216MMX330MM(8-1/2"X13"),MIN OF 70GSM 4 5 ROLL/S TAPE - MASKING #1 5 10 PC/S BALLPEN - ORDINARY, BLACK 6 10 PC/S BALLPEN - O</t>
  </si>
  <si>
    <t xml:space="preserve"> Demolition, Installation of Doors and windows, Floor Tiles and Repainting</t>
  </si>
  <si>
    <t xml:space="preserve"> Delivery and Supply of Construction Materials</t>
  </si>
  <si>
    <t xml:space="preserve"> 2 lengths GI Pipe etc.</t>
  </si>
  <si>
    <t xml:space="preserve"> Name of the Procuring Entity LOCAL GOVERNMENT UNIT  Mahinog, Camiguin	Project Reference Number: 2020-GOODS-065 Name of Project: Supply &amp; Delivery of Rescue Equipment and Accessories Location of the Project: Poblacion, Mahinog, Camiguin 	 Standard Form Num</t>
  </si>
  <si>
    <t xml:space="preserve"> Republic of the Philippines Province of Oriental Mindoro  MUNICIPALITY OF NAUJAN BIDS AND AWARDS COMMITTEE INVITATION TO BID SUPPLY AND DELIVERY OF TWO (2) UNITS EMERGENCY TRANSPORT VEHICLE TO BE USED IN THE OFFICE OF THE MUNICIPAL MAYOR, NAUJAN, ORIENTAL</t>
  </si>
  <si>
    <t xml:space="preserve"> PROJECT SIGNAGE RETAINING WALL CONSTRUCTION     A. EXCAVATION FOR FOOTING     B. REINFORCED CONCRETE WORKS     C. MASONRY WORKS     D. FORMWORKS THREE-CHAMBERED SEDIMENT/SEWERAGE TANK (3.0M X 2.0m x 4.0m deep each) PIPE CULVERT AND DRAIN EXCAVATION REMOVA</t>
  </si>
  <si>
    <t xml:space="preserve"> Republic of the Philippines  City of Toledo -oOo- BIDS AND AWARDS COMMITTEE ITB No. G11-03-2020 INVITATION TO BID FOR: Purchase Request of Medical Equipments for Toledo City Hospital (DOH Standard) 1.	The City Government of Toledo under the 20% Dev’t. Fun</t>
  </si>
  <si>
    <t xml:space="preserve"> Republic of the Philippines  City of Toledo -oOo- BIDS AND AWARDS COMMITTEE ITB No. G12-03-2020 INVITATION TO BID FOR: Purchase Request of Hospital Equipments for Toledo City Hospital (DOH Standard) 1.	The City Government of Toledo under the 20% Dev’t. Fu</t>
  </si>
  <si>
    <t xml:space="preserve"> Nabulo, Catubig, N. Samar through the 20%  BDF C.Y. 2020 intends to apply the sum of Sixty-six   Thousand Nine Hundred  Seven Pesos (Php 66,907.00) being the Approved Budget for the Street Cementing (Phase II). Quotation received in excess of the CWSR  sh</t>
  </si>
  <si>
    <t xml:space="preserve"> Procurement of IT equipment for RDS &amp; OARDC use as per attached Request for Quotation.</t>
  </si>
  <si>
    <t xml:space="preserve"> 1. Mobilization 2. Sidewalk 3. Concreting of Barangay Road 4. Construction Safety &amp; Health Program</t>
  </si>
  <si>
    <t xml:space="preserve"> INVITATION TO BID The Bureau of Fisheries and Aquatic Resources Region 5 (BFAR 5), through the Government of the Philippines (GOP), for CY 2020 intends to apply the sum of Eight Hundred Seventy Three Thousand Five Hundred Pesos (PhP873,500.00) only, being</t>
  </si>
  <si>
    <t xml:space="preserve"> INVITATION TO BID SUPPLY AND DELIVERY OF CONSTRUCTION MATERIALS FOR BARANGAY STREETLIGHTS, PISAAN, SAN FRANCISCO, AGUSAN DEL SUR The Barangay Local Government Unit of Pisaan, San Francisco, Agusan del Sur, through through the BIDS and AWARDS COMMITTEE (BA</t>
  </si>
  <si>
    <t xml:space="preserve"> MATERIALS FOR THE RIPRAPPING OF CREEK BETWEEN LOT NO. 3511 AND 3514, TS 203 BRGY. TULAY NA LUPA, LABO, CAMARINES NORTE MATERIALS: 200	bags	Portland Cement 26	cu.m. Washed Sand 35	cu.m. Gravel (Apple Size) 30	cu.m. Boulders 5	pcs.	UPVC 3" 10	pcs.	12mm dia.</t>
  </si>
  <si>
    <t xml:space="preserve"> MATERIALS FOR THE IMPROVEMENT OF EVACUATION CENTER BRGY. TULAY NA LUPA, LABO, CAMARINES NORTE MATERIALS: 8	pcs.	16mm dia. DSb 13	pcs.	12mm dia. DSB 38	pcs.	10mm dia. DSB 95	bags	Portland Cement 2	cu.m. Crushed Gravel 20.5	cu.m. Washed Sand 7	kgs.	Tie Wire</t>
  </si>
  <si>
    <t xml:space="preserve"> 1.Municipality of Amadeo through its GEN FUND intends to apply the sum of Php 117,509.00 being the Approved Budget Ceiling for the PURCHASE OF MEDICAL SUPPLIES TO BE USED BY RHU Quotation received in excess of the ABC shall be automatically rejected. 2. B</t>
  </si>
  <si>
    <t xml:space="preserve"> This project is dealing of Brgy. Dela Paz, Lopez, Quezon</t>
  </si>
  <si>
    <t xml:space="preserve"> Bid-Opening-July 14, 2020 at 2:00 p.m. at Municipal Conference Room</t>
  </si>
  <si>
    <t xml:space="preserve"> Republic of the Philippines CITY OF MALABON Metro Manila BIDS AND AWARDS COMMITTEE I N V I T A T I O N     T O     B I D PROPOSED GREENING AND BEAUTIFICATION OF LETRE CENTER ISLAND, SIDEWALK AND EASEMENT, LOCATED AT BRGY. TONSUYA, CITY OF MALABON 1.	The C</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</si>
  <si>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</si>
  <si>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Repair/rehabilittaion of pathway</t>
  </si>
  <si>
    <t xml:space="preserve"> REQUEST FOR PRICE QUOTATION The Department of Justice (DOJ), through the Bids and Awards Committee (BAC) of the National Prosecution Service-Region V (NPS Region V) is inviting interested parties to submit proposal/price quotation for the project  Name of</t>
  </si>
  <si>
    <t xml:space="preserve"> 375 bags cement , Portland 3 kgs CW Nails, Assorted 17 pcs RSB 16mm0 3 pcs RSB 12mm0 288 bdft Coco lumber 42 cu.m. Gravel 21 cu.m. Sand</t>
  </si>
  <si>
    <t xml:space="preserve"> this serves as second posting for the second bidding of brgy bagong silang 3 labo project.</t>
  </si>
  <si>
    <t xml:space="preserve"> Repair of Stage (roofing) &amp; Basketball court (flooring)</t>
  </si>
  <si>
    <t xml:space="preserve"> Republic of the Philippines	 Province of Bohol	 Municipality of Buenavista	 INVITATION TO APPLY FOR ELIGIBILITY AND TO BID	 The Barangay Local Government Unit of Buenavista, Bohol, through its Bids and Awards Committee (BAC), invites suppliers/manufacture</t>
  </si>
  <si>
    <t xml:space="preserve"> Shopping. . . .  Outside Labor (with necessary tools/equipment and materials for fabrication including installation/ mounting of tempered glass window with sliding window and fixed grills for BMC Cashier office at 8 Storey General Wards Building (upper gr</t>
  </si>
  <si>
    <t xml:space="preserve"> https://drive.google.com/file/d/1wryrsz7M4MR2due6Pz6mlvuYFzSU0aIa/view?usp=drivesdk use the link to view the bidding documents The Armed Forces of the Philippines (AFP), through the GHQ Bids and Awards Committee 1 (GHQ BAC 1), invites suppliers, manufactu</t>
  </si>
  <si>
    <t xml:space="preserve"> Payment for the replacement of some damage/defective parts of Patient Transport Vehicle HYUNDAI STAREX 234</t>
  </si>
  <si>
    <t xml:space="preserve"> Republic of the Philippines Province of Negros Occidental Municipality of Isabela INVITATION TO BID FOR THE  Purchase of One (1) Unit 4WD Double Cab/Multi-Purpose Vehicle, Isabela, Negros Occidental. 1. The MUNICIPALITY OF ISABELA, through the Capital Out</t>
  </si>
  <si>
    <t xml:space="preserve"> Construction of drainage canal p-3</t>
  </si>
  <si>
    <t xml:space="preserve"> Weaving Looms, 50" x 50" and warping PGO</t>
  </si>
  <si>
    <t xml:space="preserve"> BIDS AND AWARDS COMMITTEE REQUEST FOR QUOTATION The Local Government Unit of Labason, Z.N., invites all interested registered supplier to submit quotation for the Purchase of Construction Materials for Renovation of Day Care Center at Gil Sanchez, Lab. ZN</t>
  </si>
  <si>
    <t xml:space="preserve"> Republic of the Philippines Province of Negros Occidental Municipality of Isabela INVITATION TO BID FOR THE  Purchase of One (1) Unit Dump Truck, Isabela, Negros Occidental. 1. The MUNICIPALITY OF ISABELA, through the 20% Dev. Fund &amp; Supplemental Budget #</t>
  </si>
  <si>
    <t xml:space="preserve"> TYPE: MONOCYRSTALLINE SOLAR PANEL POWER RATING OF 130 WATTS FEATURES: DUST OR SANDSTORM PROOF SENSOR- DAY AND NIGHT FUNCTION, START UP AND SHUT-OFF MOTION SENSOR: PIR TYPE (6-10PM 100% BRIGHTNESS STEADY OUTPUT) (10PM-6AM INFRARED SENSOR) DETECTION DISTANC</t>
  </si>
  <si>
    <t xml:space="preserve"> The Municipality of President Roxas (MPR), through the 20% Development Fund (2020), intends to apply the sum of One Hundred Forty Six Thousand Six Hundred Forty Pesos (Php 146,640.00) being the Approved Budget for the Contract (ABC) to payments under the </t>
  </si>
  <si>
    <t xml:space="preserve"> Bid-Opening-July 14, 2020 at 2:00 p.m at Municipal Conference Room</t>
  </si>
  <si>
    <t xml:space="preserve"> .</t>
  </si>
  <si>
    <t xml:space="preserve"> Republic of the Philippines PROVINCE OF ZAMBOANGA DEL NORTE BIDS AND AWARDS COMMITTEE (BAC) BAC Conference Room, Capitol Building, Brgy. Extaka, Dipolog City Tel. # (065) 212-6492 Telefax # (065) 212-6492                                                   </t>
  </si>
  <si>
    <t xml:space="preserve"> Please quote your lowest price inclusive of VAT on the item/s listed below, subject to the Terms and Conditions of this RFQ, and submit your quotation duly signed by your representative not later July 2, 2020 at 10:00 AM at Bids and Awards Committee at BA</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</si>
  <si>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</si>
  <si>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REQUEST FOR QUOTATION Procurement of Goods [Tools for Transportation and MotorpoolUse][Repost] The   City Government of Tagbilaran, through its Bids and Awards Committee (BAC) intends to apply the sum of One Hundred Thirty-Two Thousand Two Hundred Fifty-F</t>
  </si>
  <si>
    <t xml:space="preserve"> MUNICIPALITY OF BORBON DESCRIPTION: 60 VIALS VAXIRAB N SOLUTION FOR INJECTION 25 VIALS EQUIRAB SOLUTION FOR INJECTION</t>
  </si>
  <si>
    <t xml:space="preserve"> REQUEST FOR QUOTATION 								Date: 		6/04/2020 								RFQ No.: 	20-53 Name of Business: 		_____________________________________________________ Address: 			_____________________________________________________ Name of Store:		___________________________</t>
  </si>
  <si>
    <t xml:space="preserve"> COSTRUCTION OF HANDWASHING FACILITY</t>
  </si>
  <si>
    <t xml:space="preserve"> Improvement of Multipurpose - Brgy, Tapul</t>
  </si>
  <si>
    <t xml:space="preserve"> BLGU-STAFE-AL-G-01-2020 PURCHASE/INSTALLATION SOLAR STREET LIGHT BRGY. STA. FE, ABUYOG, LEYTE</t>
  </si>
  <si>
    <t xml:space="preserve"> Republic of the Philippines Province of Davao del Sur Municipality of Padada June 24, 2020 BIDS AND AWARDS COMMITTEE INVITATION TO BID Expansion of Drainage Sytem @ Lapu-Lapu Street Brgy. Quirino District and Harada Butai, Padada, Daao del Sur  1.	The Loc</t>
  </si>
  <si>
    <t xml:space="preserve"> Rehabilitation of drainage canal</t>
  </si>
  <si>
    <t xml:space="preserve"> Section I. Invitation to Bid Republic of the Philippines Province of Camiguin Municipality of Mahinog ITB NO. 2020-INFRA-008 Invitation to Bid for the Construction of 2 Units Picnic Shed and Boardwalk at Katunggan Park 1.The Municipality of MAHINOG, inten</t>
  </si>
  <si>
    <t xml:space="preserve"> Republic of the Philippines MUNICIPALITY OF QUEZON Province of Quezon INVITATION TO BID Date	: June 29, 2020 The Municipality of Quezon, through its Bids and Awards Committee (BAC), invites supplier/manufactures/distributors/contractors to apply for eligi</t>
  </si>
  <si>
    <t xml:space="preserve"> Republic of the Philippines Province of Negros Occidental Municipality of Isabela INVITATION TO BID FOR THE  Purchase of One (1) Unit Manlift Truck, Isabela, Negros Occidental. 1. The MUNICIPALITY OF ISABELA, through the Supplemental Budget #1 CY2020 – in</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</si>
  <si>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</si>
  <si>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INVITATION TO BID CONSTRUCTION OF SANITARY LANDFILL, CATEGORY 1 SANTOL, LA UNION 1.	The Municipal Government of Santol, La Union through the MDF-2020 intends to apply the sum of THREE MILLION PESOS (Php3,000,000.00) being the Approved Budget for the Contr</t>
  </si>
  <si>
    <t xml:space="preserve"> Please see attached purchase request</t>
  </si>
  <si>
    <t xml:space="preserve"> https://drive.google.com/file/d/1BwSSTulHH8CGtc_u-6hnBtCgqD7LU8DD/view?usp=drivesdk use link to view the bidding documents The Armed Forces of the Philippines (AFP), through the GHQ Bids and Awards Committee 1 (GHQ BAC 1), invites suppliers, manufacturers</t>
  </si>
  <si>
    <t xml:space="preserve"> Republic of the Philippines Province of Davao Del Sur Municipality of Padada INVITATION TO BID June 24, 2020 SUPPLY AND DELIVERY OF VARIOUS CONSTRUCTION MATERIALS FOR THE EXPANSION OF CONCRETE DRAINAGE CANAL (U TYPEDRANAGE SYSTEM) 1.	The Local Government </t>
  </si>
  <si>
    <t xml:space="preserve"> l.	The MUNICIPALITY OF GUINAYANGAN, QUEZON, through  the  2020 MOOE    intends to apply the sum of  One Hundred Eighty Nine Thousand Eighty Pesos                                  (P 189,080.00) being the Approved Budget for the Contract (ABC) to payments </t>
  </si>
  <si>
    <t xml:space="preserve"> Joint sealer - For use in sealing cracks and joints within the district</t>
  </si>
  <si>
    <t xml:space="preserve"> The Philippine Carabao Center at USM through its Bids and Awards Committee (BAC) invites PhilGEPS registered suppliers to apply to bid for the Supply and Delivery of Packaging Supplies. Sticker for 1 li Fresh Milk 1000ml 	10000 pcs Sticker for 1 li Choco </t>
  </si>
  <si>
    <t xml:space="preserve"> PLEASE SEE ATTACHED DOCUMENT</t>
  </si>
  <si>
    <t xml:space="preserve"> Republic of the Philippines Department of Health DAVAO REGIONAL MEDICAL CENTER Apokon, Tagum City BIDS AND AWARDS COMMITTEE INVITATION TO BID FOR THE SUPPLY, DELIVERY, INSTALLATION and COMMISSIONING of BRAND NEW DIGITAL RADIOGRAPHY/FLUOROSCOPY X-RAY MACHI</t>
  </si>
  <si>
    <t xml:space="preserve"> Republic of the Philippines Province of South Cotabato BIDS AND AWARDS COMMITTEE Salada Street, Poblacion Tupi, South Cotabato Tel. Fax No.: (083) 226-1045 INVITATION TO BID FOR THE SUPPLY AND DELIVERY OF OFFICE &amp; OTHER SUPPLIES 1.	The Municipality of Tup</t>
  </si>
  <si>
    <t xml:space="preserve"> CONSTRUCTION materials for the repair of Tanod Outpost</t>
  </si>
  <si>
    <t xml:space="preserve"> 1 job Radiator repair and overhaul BACKHOE-03 1 job Radiator repair and overhaul PL-03 1 pc Clutch booster assy FUSO 8DC9 long 1 pc Clutch booster assy ISUZU !)PDI-105mm long 6 pcs oil filter M3000- 102740</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</si>
  <si>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</si>
  <si>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164	sacks	Rice for consumption of AFP</t>
  </si>
  <si>
    <t xml:space="preserve"> Const./Rehab. of Rain Water Collector</t>
  </si>
  <si>
    <t xml:space="preserve"> The Municipality of President Roxas (MPR), through the Budget Approved by the Sanggunian, intends to apply the sum of One Hundred Thirty Five Thousand Pesos (Php 135,000.00) being the Approved Budget for the Contract (ABC) to payments under the contract f</t>
  </si>
  <si>
    <t xml:space="preserve"> The Barangay Cogon – Talicud Island, Kaputian District of the Island Garden City of Samal through the 20% Development Funds CY 2019  intends to apply the sum of Two Hundred Thirty Two Thousand Eight Hundred Thirty Five Pesos and Ninety Five Centavos Only </t>
  </si>
  <si>
    <t xml:space="preserve"> 45 bags cement 3.5 cu.m. Sand 2.5 cu.m. Gravel 53 pcs 10mm0 RSB 18 pcs 12mm0 RSB 360 pcs CHB 4" 6 kgs #16 G.I. Tire wire 5 pcs O. Plywood 1/4" 120 bdft Coco lumber 3 kgs Assorted CW Nail 16 pcs G.I. Corr Roof Sheet 10" 3 pcs G. I. Gutter 8' 4 pcs G.I. End</t>
  </si>
  <si>
    <t xml:space="preserve"> 1.	The Municipal Government of Placer, through the Budget for the contract approved by the respective Sanggunian-  General Fund CY 2020 intends to apply the sum of One Million Five Hundred Thousand Pesos (₱ 1,500,000.00) being the Approved Budget for the </t>
  </si>
  <si>
    <t xml:space="preserve"> ITEM: 10 pcs Concrete Cutter Blade(18-inches)							 6 pcs Concrete Cutter Blade(14-inches)							 5 pcs Belt							 10 pcs (Pillow Block)Bearing							 PURPOSE: FOR STOCKING												 ABC: PHP 242,000.00 DELIVERY SCHEDULE:  10 CALENDAR DAYS</t>
  </si>
  <si>
    <t xml:space="preserve"> The CNSC Bids and Awards Committee would like to invite interested bidders to quote their lowest price for the following: Item No.    Unit of Issue   Quantity   Description 1               pcs                 946         Face Mask (washable), cotton, subl</t>
  </si>
  <si>
    <t xml:space="preserve"> l.	The MUNICIPALITY OF GUINAYANGAN, QUEZON, through the  2020  MDF   intends to apply the sum of  One Hundred Forty Six Thousand Seven Hundred Fourteen  Pesos                                  (P 146,714.00) being the Approved Budget for the Contract (ABC)</t>
  </si>
  <si>
    <t xml:space="preserve"> ITEM NO. QUANTITY UNIT ITEM DESCRIPTION 1 1 UNIT BRAND NEW 6 WHEELER DUMP TRUCK VEHICLE DIMENSIONS (mm) 1. Wheelbase 2. Front overhang 3. Rear overhang 4. Wheel track of front axle 5. Wheel track of rear axle 6. Chassis length 7. Approach angle (°) 8. Dep</t>
  </si>
  <si>
    <t xml:space="preserve"> 909		pcs	Mono block Chair</t>
  </si>
  <si>
    <t xml:space="preserve"> Republic of the Philippines Province of South Cotabato BIDS AND AWARDS COMMITTEE Salada Street, Poblacion Tupi, South Cotabato Tel. Fax No.: (083) 226-1045 INVITATION TO BID FOR THE SUPPLY AND DELIVERY OF CONSTRUCTION MATERIALS FOR THE CONSTRUCTION OF BAH</t>
  </si>
  <si>
    <t xml:space="preserve"> MUNICIPALITY OF PANIQUI Province of Tarlac 	Project Reference Number : G-2020-005 Name of the Project           : Supply &amp; Delivery of various Medicine, Medical, Dental &amp; Laboratory  Supplies for RHU-I, RHU-II and PGH Location of the Project     :  LGU, P</t>
  </si>
  <si>
    <t xml:space="preserve"> Republic of the Philippines ANGELES CITY WATER DISTRICT Pampang Road, Brgy. Lourdes Northwest, Angeles City   (045) 458-0384; (045) 458-0382; (045) 458-0372  (045)322-6422; (045)458-0371, Fax No.: (045)322-6926 E-mail address:  angelescitywd@gmail.com Web</t>
  </si>
  <si>
    <t xml:space="preserve"> 1-unit-Service Van; brand new; white					           Overall Dimensions: 5,265 x 1,950 x 1,990 mm; Wheelbase:					           3,860mm; Seating Capacity: 12; Engine Type: 4 Cylinders,					           In-line Type 16-Valve DOHC; Engine Displacement: 2,755cc			</t>
  </si>
  <si>
    <t xml:space="preserve"> purchase of materials &amp; installation of Solar streetlights of the Barangay</t>
  </si>
  <si>
    <t xml:space="preserve"> -250- bags - Portland Cement -200- pcs. - RSB, 12mmØ x 6.0m -60- pcs. - RSB, 10mmØ x 6.0m -50- kgs. - G.I. Tie Wire # 16  -140- cu.m - White Sand -50- pcs. - Ordinary Plywood (1/4" thick x 4'x8') -150- pairs - Working Gloves -150- pcs. - Good Lumber (50mm</t>
  </si>
  <si>
    <t xml:space="preserve"> Office</t>
  </si>
  <si>
    <t xml:space="preserve"> INVITATION TO BID (Rebid) Procurement of Construction Materials for the Construction of Perimeter Niches, Brgy. Dajay, Surallah The LGU Surallah through the Bids and Awards Committee (BAC) is inviting suppliers to bid for the supply and delivery of GOODS/</t>
  </si>
  <si>
    <t xml:space="preserve"> Materials / Uniforms:  -250- pcs. - T-shirt White without collar printed with Logo of DPWH in front at the left side  -250- pcs. - CAP with DPWH Logo -250- pcs. - Raincoats (Poncho) with Logo at the front left side and DPWH MAINTENANCE</t>
  </si>
  <si>
    <t xml:space="preserve"> BIDS AND AWARDS COMMITTEE REQUEST FOR QUOTATION The Local Government Unit of Labason, Z.N., invites all interested registered supplier to submit quotation for the Purchase of CCTV with Installation for PNP Labason Station Surveillance: Approved Budget for</t>
  </si>
  <si>
    <t xml:space="preserve"> 110		pcs	Ballpen (Black) 				 15		pcs	Ballpen (Blue)				 4		packs	Battery AAA , 3pcs/pack				 103		reams	Bond Paper (A4) 80gsm Multicopy				 17		reams	Bond Paper (Legal) 80 gsm Multicopy				 2		reams	Bond Paper (Letter) 80gsm Multicopy				 2		reams	Bond P</t>
  </si>
  <si>
    <t xml:space="preserve"> Republic of the Philippines Province of Ilocos Sur Vigan City INVITATION TO BID FOR  Security Services for the Provincial Government of Ilocos Sur 1.	The Provincial Government of Ilocos Sur, through the GF-Security Services intends to apply the sum of PhP</t>
  </si>
  <si>
    <t xml:space="preserve"> For use in the installation of cabinet of the maintenance section</t>
  </si>
  <si>
    <t xml:space="preserve"> Republic of the Philippines DEPARTMENT OF PUBLIC WORKS AND HIGHWAYS THIRD LEYTE ENGINEERING DISTRICT OFFICE Regional Office VIII Villaba, Leyte NOTICE OF POSTING @ PHILGEPS / DPWH WEBSITE / BULLETIN BOARD  June 22, 2020 The DPWH Leyte Third Engineering Di</t>
  </si>
  <si>
    <t xml:space="preserve"> Supply and Delivery of One (1) Unit Multi Cab (Rebuilt/Reconditioned), Ugac Sur, Tuguegarao City</t>
  </si>
  <si>
    <t xml:space="preserve"> Covid-19 prevention and monitoring</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</si>
  <si>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</si>
  <si>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Republic of the Philippines PROVINCE OF NORTHERN SAMAR BIDS AND AWARDS COMMITTEE Catarman Invitation to Bid NS-06-25-20-01 Construction of 10 Post Solar Street Lights at Brgy. New Rizal, Catarman, Northern Samar 1.	The Provincial Government of Northern Sa</t>
  </si>
  <si>
    <t xml:space="preserve"> INVITATION TO BID June 24, 2020 1.	The Provincial Government of Davao Occidental, through its Bids and Awards Committee (BAC), invites all suppliers to apply to bid for the following goods: Bids received in excess of the ABC shall be automatically rejecte</t>
  </si>
  <si>
    <t xml:space="preserve"> Republic of the Philippines City of Toledo -oOo- BIDS AND AWARDS COMMITTEE ITB  No. I31-03-2020 INVITATION TO BID FOR: Proposed Opening/Improvement of Toledo City Hospital Circumferential Road @ Brgy. Poblacion, Toledo City 1.	The City Government of Toled</t>
  </si>
  <si>
    <t xml:space="preserve"> 6 unit Shovel, wood handle, round head 6 bottle Growth hormone  6 bottle Pesticide 1000 ml/btl. 20 pcs Steel bar, 12mm 1 box Welding rod</t>
  </si>
  <si>
    <t xml:space="preserve"> INVITATION TO BID Bid No. B-91-2020 1.	The Provincial Government of Negros Oriental, through Responsibility Center: 9998-055(20), intends to apply the sum of Six Million Three Hundred Seventy Thousand Pesos (Php 6,370,000.00) being the Approved Budget for</t>
  </si>
  <si>
    <t xml:space="preserve"> Construction of Multi-Purpose Building (New Building Phase I), Ugac Sur, Tuguegarao City</t>
  </si>
  <si>
    <t xml:space="preserve"> PROJECT NAME : REBLOCKING OF MUNICIPAL ROAD AND RECONSTRUCTION OF SLOPE PROTECTION PROJECT LOCATION : BRGY CALERO, JOSE PANGANIBAN, CAMARINES NORTE ABC : PHP 400,000.00 DURATION : 74 DAYS SOURCE OF FUND : 20% CDF 2020</t>
  </si>
  <si>
    <t xml:space="preserve"> INVITATION TO BID (Rebid) Procurement of Construction Materials for the Concreting of Perimeter Fence at new PNP building The LGU Surallah through the Bids and Awards Committee (BAC) is inviting suppliers to bid for the supply and delivery of GOODS/INFRAS</t>
  </si>
  <si>
    <t xml:space="preserve"> 1.	The Municipality of Impasugong, through the 8-90-00 20% (2016 &amp; below) Rehabilitation &amp; Preservation of Cultural and Historical Sites intends to apply the sum of One Million Eight Hundred Thousand Pesos (PhP1,800,000.00) being the Approved Budget for t</t>
  </si>
  <si>
    <t xml:space="preserve"> ITEM: 100 boxes Computerized Billing Form 6000 pcs/box (as per sample)		 PURPOSE: FOR REPLENISHMENT OF STOCKS. RPP NO. 20-06-05-025	 DELIVERY SCHEDULE: 10 CALENDAR DAYS</t>
  </si>
  <si>
    <t xml:space="preserve"> Republic of the Philippines                   PROVINCE OF BUKIDNON                   Municipality of Don Carlos                                        BIDS AND AWARDS COMMITTEE       REQUEST FOR QUOATATION   									 							Date:  							RFQ No.								 </t>
  </si>
  <si>
    <t xml:space="preserve"> For use in the operation of grasscutter within the district</t>
  </si>
  <si>
    <t xml:space="preserve"> Please see attached Invitation to Bid and Technical specs</t>
  </si>
  <si>
    <t xml:space="preserve"> Republic of the Philippines Province of Davao Del Sur Municipality of Padada INVITATION TO BID June 23, 2020 SUPPLY AND DELIVERY OF VARIOUS CONSTRUCTION MATERIALS FOR ROAD REHABILITATION OF RIZAL STREET, NCO DIST. PADADA, DAVAO DEL SUR 1.	The Local Govern</t>
  </si>
  <si>
    <t xml:space="preserve"> ITEM: 19 pcs Saddle Clamp,FTE 100mmØ x 50mm							 12 pcs Saddle Clamp,FTE 75mmØ x 50mm							 32 pcs Straight ball Valve w/Lockwing MTE x FTE 50mmØ							 32 pcs Brass Straight ball Valve w/Lockwing FTE x FTE 50mmØ							 33 pcs Female Adaptor 90° Bend (</t>
  </si>
  <si>
    <t xml:space="preserve"> 3-m3-Excavation 2.22-m3-Tie Beam, Roof Beam 246-m2-Roof Covering 246-m2-Ceiling 62.40-m3-Wall &amp; Wall Footing 163.20-m2-Flooring &amp; Tiles 1.0-ls-Beds, Doors, &amp; Windows 12.22-m3-Bricks, ramps &amp; Railings 2.70-m2-He &amp; She Toilt (1.50mX1.8m) 9-m3-Septic Vault (</t>
  </si>
  <si>
    <t xml:space="preserve"> Name of the Procuring Entity LOCAL GOVERNMENT UNIT  Mahinog, Camiguin	Project Reference Number: 2020-GOODS-RFQ-067 Name of Project: Supply &amp; Delivery of Tires and Battery Location of the Project: Poblacion, Mahinog, Camiguin 	 Standard Form Number: SF-GOO</t>
  </si>
  <si>
    <t xml:space="preserve"> NOTICE OF INVITED CONSULTANTS AND REQUEST FOR PROPOSALS (RFP)  (NEGOTIATED PROCUREMENT – Small Value Procurement) 1.	AUGUSTO B. AGOSTO      Proprietor   AA+ APPRAISAL AND       CONSULTANCY INC.    48 Paseo del Sol Baseline      Compound, Juana Osmena,    </t>
  </si>
  <si>
    <t xml:space="preserve"> BIDS AND AWARDS COMMITTEE INVITATION TO BID The Local Government Unit of Labason, Z.N., invites all interested registered supplier to submit quotation for the Purchase of Business Plate for LGU Labason: Approved Budget for the Contract (ABC):  Php 375,000</t>
  </si>
  <si>
    <t xml:space="preserve"> For use in the Planning and Design Section</t>
  </si>
  <si>
    <t xml:space="preserve"> PROJECT TITLE : CONCRETING OF ACCESS ROAD (BRGY STA ELENA) PROJECT LOCATION : BRGY STA ELENA, JOSE PANGANIBAN, CAMARINES NORTE ABC : 400,000.00 DURATION : 71 DAYS SOURCE OF FUND : 20% CDF 2020</t>
  </si>
  <si>
    <t xml:space="preserve"> ITEM NO.                         DESCRIPTION                     QUANTITY         UNIT     1                              CLEARING AND LAY-OUT           115.50             SQ.M     2                              CONCRETE WORKS                    12.00    </t>
  </si>
  <si>
    <t xml:space="preserve"> INVITATION TO BID FOR CONCRETING OF IRRIGATION SERVICE ROAD IN DARAMUANGAN NORTE  (INFRA 2020-12) 1.	The LOCAL GOVERNMENT UNIT OF SAN MATEO, ISABELA (LGU-SMI), through its Bids and Awards Committee  intends to apply the sum of ONE MILLION SIXTY SIX THOUSA</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</si>
  <si>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</si>
  <si>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2ND Floor 1.  25.97 sq.ft  Blinds 68"x55" 2.  47.56  sq.ft  Blinds  34-1/4"x100" 3.  50  sq.ft  Blinds  36"x100" 4.  270.83  sq.ft  Blinds 50"x65"     1st Floor 5.  189.95  sq.ft  Blinds  141"x97" 6.  60.03  sq.ft  Blinds  133"x65" 7.  39.72  sq.ft  Blind</t>
  </si>
  <si>
    <t xml:space="preserve"> BARANGAY TANZA 2 BIDS AND AWARDS COMMITTEE Barangay Tanza 2,  Navotas City 									Date: Company Name: Adress: Contact Nos. 	Please quote your lowest price on the item/s listed below, subject to the general conditions on the last page, starting the short</t>
  </si>
  <si>
    <t xml:space="preserve"> Continuation of Barangay hall rehabilitation at P-2 Camote, Barangay Maon, Butuan City.</t>
  </si>
  <si>
    <t xml:space="preserve"> 5		Units		Hikvision 2MP Bullet Network Camera							 5		Units		UBNT Lite Beam 5AC 23 Gen 2							 1		Units		Hikvision 8 Ch. NVR							 8		Units		12V Power Adoptor							 6		Pcs.		Outdoor Pull Box							 1		Pcs.		TWHN AWG 24 #14							 6		Roll		3 Gang Outl</t>
  </si>
  <si>
    <t xml:space="preserve"> Handtools and Others: -60- pcs. - Shovel, Flat End # 2 -36- pcs. - Shovel, Flat End # 4 -36- pcs. - Shovel, Round Point -48- pcs. - Hacksaw Blade -120- pcs. - Surgical/Face Mask -36- pcs. - Tool Bar/Wrecking Bar 25mmØ (1.50m) -36- pcs. - Wheelborrow, tubu</t>
  </si>
  <si>
    <t xml:space="preserve"> Hand Tools and Others: -250- pcs. - Hard Hat (Orange) with DPWH Logo -100- pcs. - Hard Hat (White) with DPWH Logo -250- pcs. - Safety Vest (Reflectorized)</t>
  </si>
  <si>
    <t xml:space="preserve"> Brgy Apalit Floridablanca Pampanga</t>
  </si>
  <si>
    <t xml:space="preserve"> cabinet for BOD and water dispenser</t>
  </si>
  <si>
    <t xml:space="preserve"> NOTICE OF NEGOTIATED PROCUREMENT (Two Failed Biddings) TO ALL INTERESTED BIDDERS We are pleased to invite you in our negotiation conference for the project requirements requirement To hire contractor to provide materials, labor and equipment for two (2) I</t>
  </si>
  <si>
    <t xml:space="preserve"> INSTALLATION OF SOLAR STREET LIGHTS</t>
  </si>
  <si>
    <t xml:space="preserve"> ITEM: 15 bags Portland Cement (40 kg.)							 30 length Deformed Reinforced Bars (16mmØ)							 25 cu.m Aggregate Sub Base (item 200)							 PURPOSE: FOR THE PROJECT:PROP.67 UNITS OF 100MMØ,150MMØ,200MMØ,300MMØ INSTALLATION OF BOUNDARY VALVE FOR DMA.(NON-</t>
  </si>
  <si>
    <t xml:space="preserve"> INVITATION TO BID 25 June 2020 The Barangay Bilucao through its Bids and Awards Committee (BAC) invites suppliers/manufacturers/distributors/contractors to apply for eligibility to bid for the hereunder project: Name of Project	:	SUPPLY AND DELIVERY OF MA</t>
  </si>
  <si>
    <t xml:space="preserve"> PURCHASE OF GOODS FOR THE WATER SUPPLY OF THE BARANGAY</t>
  </si>
  <si>
    <t xml:space="preserve"> Quantity	"Unit of  Issue"	PARTICULARS				"Stock  No."	"Estimated Unit  Cost"	Estimated Cost 		Office Equipment of GDSS for Official use of  DENR-INREMP						 5	unit	PRINTER				1	 10,500.00 	 52,500.00  		Specifications:						 		A4 Multifunction						 		Pr</t>
  </si>
  <si>
    <t xml:space="preserve"> -1- unit - Air-con, 2.5HP, Wall Mounted Split type with Inverter, Branded -1- unit - Air-con, 2.0HP, Window type with Inverter, Branded</t>
  </si>
  <si>
    <t xml:space="preserve"> &gt; The Municipality of San Quintin Abra now invites bids for the REHABILITATION / IMPROVEMENT OF POBLACION AND MAUSOC FARM TO MARKET ROAD  with the following items: 100(1)	CLEARING &amp; GRUBBING with STRIPPING	sq.m.	1,455.00 102(2)a.	ROADWAY EXCAVATION (SURPL</t>
  </si>
  <si>
    <t xml:space="preserve"> INVITATION TO BID The Nueva Ecija University of Science and Technology through its Bids and Awards Committee (BAC), invites entities to bid for the hereunder projects: 	 Name of Project: ELECTRO-MECHANICAL AND INDUSTRIAL MOTOR CONTROL TRAINING SYSTEM Loca</t>
  </si>
  <si>
    <t xml:space="preserve"> Republic of the Philippines  Province of Isabela  Municipality of Jones    INVITATION TO BID FOR   Supply of Materials, Labor and Equipment for the Rehabilitation/Construction of  Sports Complex Solicitation No.: Infra-2020-09   		The Municipality of Jone</t>
  </si>
  <si>
    <t xml:space="preserve"> 100 pieces  Water Meter 1/2" Class C (Good Quality) Metrological Performance   * ISO 4064 class C in all positions   * Very low starting flow allows leakage detection Climate Resistant   * The design  resists ambient temperature up      to 50 degree celci</t>
  </si>
  <si>
    <t xml:space="preserve"> Republic of the Philippines PROVINCE OF NORTHERN SAMAR BIDS AND AWARDS COMMITTEE Catarman Invitation to Bid NS-06-25-20-02 Construction of Access Road at Allen Transport Terminal Allen, Northern Samar 1.	The Provincial Government of Northern Samar, throug</t>
  </si>
  <si>
    <t xml:space="preserve"> Republic of the Philippines Province of Davao de Oro MUNICIPALITY OF COMPOSTELA BIDS AND AWARDS COMMITTEE CP#: 0998-571-7569 INVITATION TO BID FOR  Procurement of Office Supplies for Different Offices  (2nd &amp; 3rd Qtr.) ITB NO. 2020-06-030, BID NO. 001 1.	</t>
  </si>
  <si>
    <t xml:space="preserve"> ************************************************APPROVED BUDGET 1. 300 COPY PRINTING AND BINDING OF THE RULES OF      Php 75,000.00 THE SENATE Specifications: *size: 5 1/2 x 8 1/2; 8 1/2 x 11 - spread *materials: CD Supplied (250 pages excluding cover ) *</t>
  </si>
  <si>
    <t xml:space="preserve"> Purchase of Drugs and Medicines</t>
  </si>
  <si>
    <t xml:space="preserve"> Materials: -150- pails - Paint Latex Semi-Gloss (White) -50- pails - Paint Terra Cotta -100- pails - Paint Quick Dry Enamel (Orange)</t>
  </si>
  <si>
    <t xml:space="preserve"> Republic of the Philippines City of Toledo -oOo- BIDS AND AWARDS COMMITTEE ITB  No. I30-03-2020 INVITATION TO BID FOR: Proposed Road Opening (Hospital-Hinulawan Road)Brgy. Poblacion, Toledo City (L=162.00m.;W=15.00m.) 1.	The City Government of Toledo unde</t>
  </si>
  <si>
    <t xml:space="preserve"> See attached file.......</t>
  </si>
  <si>
    <t xml:space="preserve"> Republic of the Philippines  Province of Quezon Municipality of Atimonan  Barangay Zone III Poblacion  Project Reference No: 2020-09 Name of the Project: Construction of Water Supply System Location of the Project: Barangay Zone III Poblacion Atimonan, Qu</t>
  </si>
  <si>
    <t xml:space="preserve"> PURCHASE OF FUELS, MAYORS OFFICE</t>
  </si>
  <si>
    <t xml:space="preserve"> INVITATION TO BID (548-2020) Procurement of Materials for the Repair &amp; Maintenance of Parks and Plaza, Municipal Site The LGU Surallah through the Bids and Awards Committee (BAC) is inviting suppliers to bid for the supply and delivery of GOODS/INFRASTRUC</t>
  </si>
  <si>
    <t xml:space="preserve"> 2		unit	CONTAINER VAN (Class B Usable Twenty Footer Container Van.)</t>
  </si>
  <si>
    <t xml:space="preserve"> BIDS AND AWARDS COMMITTEE REQUEST FOR QUOTATION The Local Government Unit of Labason, Z.N., invites all interested registered supplier to submit quotation for the Purchase of Construction Materials for Perimeter Fencing of 330 Lm Gulayan sa Paaralan at KA</t>
  </si>
  <si>
    <t xml:space="preserve"> 122   pcs   Pre- Paintec Rib Type Sheet 14'' .5 3,172   pcs   Tekscrew 18   pcs   Gutter 7   pcs   Pre-Painted Ridge Roll 14''</t>
  </si>
  <si>
    <t xml:space="preserve"> 1	set	Digital Repeater  	 	Dual Mode (DMR/Analog) Repeater System with  	 	Repeater Unit, Power Supplies, Tower, Antennas, Cables,  	 	Lightning Surge Protectors, Connectors/ Adapters,   	 	Repeater Cabinet/ Enclosure, Other Accessories, System  	 	Design</t>
  </si>
  <si>
    <t xml:space="preserve"> Republic of the Philippines  Province of Isabela  Municipality of Jones    INVITATION TO BID FOR   Supply of Materials, Labor and Equipment for the Concreting and Continuation of Bridge Approach with Stone Masonry and Guard Railings at Dicamay I, Jones, I</t>
  </si>
  <si>
    <t xml:space="preserve"> INVITATION TO BID  The Local Government Unit of Don Victoriano, through its Bids and Awards Committee (BAC), invites suppliers/contractors to apply for eligibility and to bid for the hereunder project: Name of Project:			Proposed Material Recovery Facilit</t>
  </si>
  <si>
    <t xml:space="preserve"> PLEASE SEE ATTACHED DOCUMENTS...</t>
  </si>
  <si>
    <t xml:space="preserve"> Please see attachment</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</si>
  <si>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</si>
  <si>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Republic of the Philippines City of Pagadian BARANGAY KAWIT  BARANGAY AND AWARDS COMMITTEE (BAC) -oOo- INVITATION TO APPLY FOR ELIGIBILITY AND TO BID The KAWIT, through its BIDS AND AWARDS COMMITTEE (BAC) invites suppliers/ manufacturers/distributors to a</t>
  </si>
  <si>
    <t xml:space="preserve"> Various Construction Materials and Supplies  (attached request for quotation)</t>
  </si>
  <si>
    <t xml:space="preserve"> Procurement of Materials for the Rehabilitation of Basketball Court</t>
  </si>
  <si>
    <t xml:space="preserve"> PROJECT TITLE : CONSTRUCTION OF MULTI-PURPOSE BUILDING (GEN SET HOUSING - PHASE I) PROJECT LOCATION : BRGY NORTH POBLACION, JOSE PANGANIBAN, CAMARINES NORTE DURATION : 80 DAYS ABC : 500,000.00 SOURCE OF FUND 20% CDF 2020</t>
  </si>
  <si>
    <t xml:space="preserve"> ITEM NO.      ITEM OF WORK                                                           UNIT        QUANTITY      1            STREET LIGHTS POSTS WITH CONCRETE PEDESTAL        UNIT             6      2            ELECTRICAL WIRES                            </t>
  </si>
  <si>
    <t xml:space="preserve"> Barangay Apalit Floridablanca Pampanga</t>
  </si>
  <si>
    <t xml:space="preserve"> Apalit Floridablanca Pampanga</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</si>
  <si>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</si>
  <si>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I. Steel and Roofing Works ( includes trusses and pre-painted long span roof) II. Masonry Works with plastering</t>
  </si>
  <si>
    <t xml:space="preserve"> Contract ID: 20PL0122 Contract Name: Concreting of Brgy. Wagud to Brgy. Ballayangon FMR, Brgy. Wagud and Brgy. Ballayangon, Pinukpuk, Kalinga Contract Location: Pinukpuk, Kalinga Brief Description: Construction of 848m x 5.0m x 0.23m thk PCCP Approved Bud</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</si>
  <si>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</si>
  <si>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Diesel and Oil and Lubricants (attached request for quotation)</t>
  </si>
  <si>
    <t xml:space="preserve"> MATERIALS FOR BRGY. COVERED COURT STEEL FENCE</t>
  </si>
  <si>
    <t xml:space="preserve"> 60		pc	2'' X 3'' X 12' Coco Lumber				 108		pc	2'' X 3'' X 10' Coco Lumber				 6		roll	Nylon # 16				 16		kilo	1 1/2'' CWN				 6		kilo	4'' CWN				 1		gal	Soil Poisoning 				 27		cu.m	 Washed Gravel 3/4				 246		bag	Portland Cement 				 19		cu.m	Washed San</t>
  </si>
  <si>
    <t xml:space="preserve"> Republic of the Philippines Province of Bohol MUNICIPALITY OF SAN MIGUEL Invitation to Bid for Improvement/Concreting of Access Road   1.	The Local Government Unit of San Miguel, Bohol through the 20% Development Fund intends to apply the sum of One Milli</t>
  </si>
  <si>
    <t xml:space="preserve"> I UNIT 4D56 ENGINE WITH TRANSMISSION 1 UNIT RADIATOR 4 ROWS 1 UNIT COOLER (TURBO) 2 PCS ENGINE SUPPORT 2 PCS CABLE (SHIFTING)</t>
  </si>
  <si>
    <t xml:space="preserve"> CONSTRUCTION OF LIRIO M. ESCANO NATIONAL HIGH SCHOOL GYMNASIUM (PHASE V) , BRGY. CARIT AN , PATNONGON, ANTIQUE</t>
  </si>
  <si>
    <t xml:space="preserve"> Republic of the Philippines Department of Education Region VI – Western Visayas TANGALAN NATIONAL HIGH SCHOOL Tondog, Tanglan, Aklan 	 REQUEST FOR QUOTATION (RFQ) Project No: DepED-RO6-D1- “TNHS” PURCHASE OF TRANSFORMER FOR JUNIOR HIGH SCHOOL (GAD)-001-20</t>
  </si>
  <si>
    <t xml:space="preserve"> Procurement of General Merchandise</t>
  </si>
  <si>
    <t xml:space="preserve"> Republic of the Philippines City of Toledo -oOo- BIDS AND AWARDS COMMITTEE ITB  No. I28-03-2020 INVITATION TO BID FOR: Proposed Road Rehabilitation/Improvement @ Sitio Dakit, Brgy. Cambang-ug, Toledo City 1.	The City Government of Toledo under the 20% Dev</t>
  </si>
  <si>
    <t xml:space="preserve"> 1 set  coring machine PEO</t>
  </si>
  <si>
    <t xml:space="preserve"> ITEM: 1 unit Vertical Turbine pump 1. Capacity-2200 GPM							 2. TDH - 216 ft, RPM-1800							 3. Stages - 4(min)							 5. Bowl- Cast Iron							 6. Bowl Outside Diameter-12 inch(max)							 7. Attached to 10 inch dia pipe and 1 3/4 inch dia SS							 S</t>
  </si>
  <si>
    <t xml:space="preserve"> additional well dirrling of 86 ft. bore hole @ 8" diameter</t>
  </si>
  <si>
    <t xml:space="preserve"> Procurement of ISO-Re Certification</t>
  </si>
  <si>
    <t xml:space="preserve"> 3/4" dia. PVC Electrical Conduit	350	length 3/4" x 90 deg long elbow	140	pc. 3/4" x 3/4" x 3/4 PVC Tee	20	pc. 1" dia PVC Electrical Conduit	10	length PVC Solvent Cement	20	can #8 THW Stranded Copper Wire (red)	10	box #8 THW Stranded Copper Wire (yellow)	1</t>
  </si>
  <si>
    <t xml:space="preserve"> WEST CITY CENTRAL SCHOOL IS IN NEED OF THE FOLLOWING MATERIALS ATTACHED HEREOF  FOR THE SAFETY MEASURES  OF  PHYSICAL HEALTH FROM VIRUSES DUE TO COVID 19. SCHOOL SUPPLIES ARE ALSO NEEDED FOR THE TEACHING AND NON- TEACHING STAFF FOR THEIR OWN CONSUMPTION W</t>
  </si>
  <si>
    <t xml:space="preserve"> Provision of Fuel for Various Municipal Health Vehicle for the month of July 2020</t>
  </si>
  <si>
    <t xml:space="preserve"> L   = 200.00m    W  = 1.00 m   T  = 0.15m TOTAL MATERIALS =  P 142, 426.00 TOTAL LABOR =  P 49, 774.00 Bagger Equipment  = P 7,800.00</t>
  </si>
  <si>
    <t xml:space="preserve"> Supply of Fuel of various DPWH Vehicles &amp; other Equipment for the 3rd Quarter CY 2020</t>
  </si>
  <si>
    <t xml:space="preserve"> 4 bags pre starter feed, 50 kgs etc. OPAG</t>
  </si>
  <si>
    <t xml:space="preserve"> The project includes: 1. Project Billboard 2. Roadway Excavation 3. Sub-Grade Preparation 4. Aggregate Base Course 5. PCCP 6. RCPC</t>
  </si>
  <si>
    <t xml:space="preserve"> REPAIR AND MAINTENANCE OF BARANGAY HALL OF BRGY. MAPULO</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</si>
  <si>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</si>
  <si>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4 units diamond core, drill bit PEO</t>
  </si>
  <si>
    <t xml:space="preserve"> Unit 	Item Description	Quantity 		 		 pcs.	C Purlen 2 x 3 3/16 x 6m	26 pcs.	1 1/2 Angle Bar	24 pcs.	Round Bar	23 pcs.	Angle Bar #2	15 gal.	Red Lead Paints	1 kls.	Welding Rod	4 pcs.	G I Pipe	7 pcs.	G I Sheet	7 bag	Cement	3 pcs.	Screw	12</t>
  </si>
  <si>
    <t xml:space="preserve"> Republic of the Philippines DEPARTMENT OF PUBLIC WORKS AND HIGHWAYS ZAMBALES 2ND DISTRICT ENGINEERING OFFICE REGIONAL OFFICE III Castillejos, Zambales NOTICE OF ALTERNATIVE METHODS OF PROCUREMENT Please be informed that the Department of Public Works and </t>
  </si>
  <si>
    <t xml:space="preserve"> CCTV camera &amp; accessories install within the vicinity of  barangay  Don Manuel</t>
  </si>
  <si>
    <t xml:space="preserve"> trolling trash bin with barangay official names</t>
  </si>
  <si>
    <t xml:space="preserve"> TWO (2) UNITS MULTI-PURPOSE VEHICLE</t>
  </si>
  <si>
    <t xml:space="preserve"> Lot 2 Supply &amp; Delivery of IT Equipment for the use of Procurement Unit</t>
  </si>
  <si>
    <t xml:space="preserve"> Procurement ID/Contract I.D.: 20CN0154 Contract Name: Network Development Program, Off-Carriageway Improvement – Secondary Roads Contract Location: Baler – Casiguran Road (Dinadiawan – Casiguran Section), K0322+404 – K0323+617, K0332+000 – K0333+725, K033</t>
  </si>
  <si>
    <t xml:space="preserve"> 1	Booster Pump   Vertical in-Line Multi Stages Stainless steel impeller and shaft. Rated to deliver 500gpm-600gpm max against 40M 50 psi driven by 25hp electric motor, 230Volts, 3Phase, 60Hz, 3450 RPM. 2	Motor Controller:   Simplex type controller rated t</t>
  </si>
  <si>
    <t xml:space="preserve"> Republic of the Philippines PROVINCE OF BUKIDNON Municipality of Sumilao INVITATION TO BID ITB NO. GS-2020-30 PROCUREMENT OF CONSTRUCTION MATERIALS FOR THE CONSTRUCTION OF SOLAR DRIER AT UPPER PUROK 2- POBLACION, SUMILAO, BUKIDNON June 24, 2020 1.	The Loc</t>
  </si>
  <si>
    <t xml:space="preserve"> Procurement ID/Contract I.D.: 20CN0153 Contract Name: Asset Preservation Program – Rehabilitation/Reconstruction/Upgrading of Damaged Paved Roads – Secondary Roads Contract Location: Baler-Casiguran Rd (Baler-Dinadiawan) - K0232+609 - K0232+773, K0239+773</t>
  </si>
  <si>
    <t xml:space="preserve"> CARLOS HILADO MEMORIAL STATE COLLEGE 		BIDS AND AWARDS COMMITTEE Talisay City, Negros Occidental Telefax Nos. (034) 712-8404 INVITATION TO BID  FOR THE PROCUREMENT OF VARIOUS CONSUMABLES FOR PRINTERS AND PHOTOCOPIER OF THE FOUR (4) CAMPUSES (2ND PUBLICATI</t>
  </si>
  <si>
    <t xml:space="preserve"> 1500pcs of Expandable Colored Envelop with Handle (Php.135,000.00) 130 Reams of A3 Size Bond Paper (Php.78,000.00)</t>
  </si>
  <si>
    <t xml:space="preserve"> 30 pcs. solar street lights with monopole include installation</t>
  </si>
  <si>
    <t xml:space="preserve"> attached RFQ for specifications</t>
  </si>
  <si>
    <t xml:space="preserve"> ITEM NO.     DESCRIPTION                            QUANTITY      UNIT      1            STEEL WORKS                               1.00            LS      2            CARPENTRY &amp; ROOFING WORKS    1.00              LS      3             CEILING WORKS     </t>
  </si>
  <si>
    <t xml:space="preserve"> TERMS AND CONDITIONS 1. Interested suppliers are required to submit two (2) copies each of their valid and current (a) 2020 Mayor’s/Business Permit or 2019 Mayor’s/Business Permit with Official Receipt of Renewal, (b) PhilGEPS Registration Number/Certific</t>
  </si>
  <si>
    <t xml:space="preserve"> BIDS AND AWARDS COMMITTEE REQUEST FOR QUOTATION The Local Government Unit of Labason, Z.N., invites all interested registered supplier to submit quotation for the Purchase of Construction Materials for Renovation of Day Care Center at Ubay, Lab. ZN: Appro</t>
  </si>
  <si>
    <t xml:space="preserve"> Supply &amp; Delivery of materials for the const. of 163Ln.m open channel drainage system at Purok 04, Malapat, Cordon, Isabela.</t>
  </si>
  <si>
    <t xml:space="preserve"> purchase</t>
  </si>
  <si>
    <t xml:space="preserve"> INVITATION TO BID  FOR THE Supply and Installation of Hospital Information Management System I.B. No. 2020 - 0030 1.	The LGU - Cabanatuan City, through the General Fund, FY 2020 intends to apply the sum of Three Million Pesos (₱3,000,000.00) being the App</t>
  </si>
  <si>
    <t xml:space="preserve"> WORKS CONSIST OF GENERAL REQUIREMENTS, MOBILIZATION/DEMOBILIZATION, DEMOLITION/REMOVAL OF EXISTING STRUCTURE, COMMON STRUCTURE EXCAVATION, CONCRETE WORKS (COLUMN FOOTING &amp; WALL FOOTING, COLUMN BEAMS, SLAB, STAIR, RAMP &amp; STIFFENER), STEEL WORKS (COLUMN FOO</t>
  </si>
  <si>
    <t xml:space="preserve"> INVITATION TO BID  Purchase &amp; Delivery of Various Medical, Dental &amp; Laboratory Supplies for Maitum MH (Re-bid) June 25, 2020 1.	The Provincial Government of Sarangani, through the Trust Fund – Philhealth Collection  intends to apply the sum of Two Hundred</t>
  </si>
  <si>
    <t xml:space="preserve"> Republic of the Philippines Province of Quezon Municipality of San Francisco   BIDS &amp; AWARDS COMMITTEE INVITATION TO APPLY FOR ELIGIBILITY AND TO BID     The Municipality of San Francisco through 20% Development Fund intends to apply the sum of One Millio</t>
  </si>
  <si>
    <t xml:space="preserve"> RE-INVITATION TO BID 1.	Provincial Government of Misamis Oriental, intends to apply the sum stated below being the Approved Budget for the Contract (ABC) to payments under the contract: for the supply and Delivery of Goods. Bids received in excess of the </t>
  </si>
  <si>
    <t xml:space="preserve"> Republic of the Philippines City of Cagayan de Oro BIDS AND AWARDS COMMITTEE Invitation to Bid  for Proposed Bahay Pag-asa Building (Phase II-A) - (Maitum, Upper Puerto); SN 129 - 2020 ` 1.	The City Government of Cagayan de Oro, through the Trust Fund - D</t>
  </si>
  <si>
    <t xml:space="preserve"> SOURCE OF FUNDS: ANNUAL BUDGET CY 2020 BIDDING DATE &amp; TIME: JULY 2, 2020- 1:00 P.M</t>
  </si>
  <si>
    <t xml:space="preserve"> Republic of the Philippines Province of Palawan  Municipal Government of Cuyo BIDS AND AWARDS COMMITTEE Email Address: baccuyopalawan@gmail.com NEGOTIATED PROCUREMENT “SUPPLY AND DELIVERY OF ASSORTED MEDICINES FOR MUNICIPAL HEALTH OFFICE OF CUYO”   1.	The</t>
  </si>
  <si>
    <t xml:space="preserve"> PLEASE SEE ATTACHED AND DOWNLOAD THE DOCUMENT</t>
  </si>
  <si>
    <t xml:space="preserve"> Supply, Delivery and Configuration of LTE CPE Broadband Device for CTU Flexible Learning System (FLS) with Smart/PLDT Telecom Network with the following: •	Broadband Modem Capable of 4G/LTE SIM •	Must have at least 2 External Antenna support •	With USB, R</t>
  </si>
  <si>
    <t xml:space="preserve"> at least 6.5" tall. Please see attached specifications.</t>
  </si>
  <si>
    <t xml:space="preserve"> Republic of the Philippines Bohol Island State University-Calape Campus Calape, Bohol Invitation to Bid for the Procurement of Office Supplies for Instructional Materials PRN- 615-2020 1.	The Bohol Island State University Calape Campus,  through the Speci</t>
  </si>
  <si>
    <t xml:space="preserve"> Request for Quotation Date:  ______________ Quotation No.______ Company Name	: _________________________________________(1) Address	           	: _________________________________________(2) VAT-TIN		:__________________________________________(3) Please q</t>
  </si>
  <si>
    <t xml:space="preserve"> 500  copies     Panagsurat ken Arte (Writing) 500  copies     Pagbasaan iti Araling Panlipunan (Araling Panlipunan) 500  copies     Panangyam-ammo iti Siensia</t>
  </si>
  <si>
    <t xml:space="preserve"> Bicol Medical Center Concepcion Pequeña, Naga City, 4400 (0998-247-0239/0906-256-9238          E-mail Address: bmc.bacoffice@gmail.com INIVITATION TO BID PROCUREMENT OF CARDIAC SURGERY INSTRUMENTS ITB No. 2020-15 1.	The BICOL MEDICAL CENTER, through INCOM</t>
  </si>
  <si>
    <t xml:space="preserve"> PB NO. 2020-043		 			 1.	1	lot	Formulation of Feasibility Study for the Improvement of Water System in the City of San Pablo. 			 	Deadline for Submission of Bids: July 2, 2020 10:00 am</t>
  </si>
  <si>
    <t xml:space="preserve"> Contract ID: 20GKK0032 Contract Name: Supply and Delivery of Fuel to be used by DPWH-MOFDEO Service Vehicle and Equipment of All Section Contract Location: DPWH-MOFDEO, Gingoog City Brief Description of Goods to be procured: Gasoline and Diesoline Approve</t>
  </si>
  <si>
    <t xml:space="preserve"> Order/download attached Invitation to Bid and print-out Abstract of bids from Philgeps.</t>
  </si>
  <si>
    <t xml:space="preserve"> Concreting of Access Road to Police and Health Station Aggregate Base Course	 360.00 	 cu.m.  Portland Cement Concrete Pavement	 655.32 	 cu.m.  Structural Concrete	 39.00 	 cu.m.  Formworks	 840.00 	 sq.m  Sub-Project Billboard	 1.00 	 Unit</t>
  </si>
  <si>
    <t xml:space="preserve"> Republic of the Philippines Province of Ilocos Sur Municipality of Santa Barangay Calungboyan Invitation to Bid Construction of Multi-Purpose Hall Php 247,016.60 A. Materials lot description qty bag cement 50 cu.m gravel  9 cu.m sand    9 pcs 2x4x12 Good </t>
  </si>
  <si>
    <t xml:space="preserve"> INVITATION TO BID LGU-El Salvador City, Misamis Oriental through its BAC, invites interested bidders to apply for eligibility and if found eligible to bid for the contract: 1.	Contract ID No.	:	ITB No. 2020-06-056/Project ID No. 20-010-20% Name of Project</t>
  </si>
  <si>
    <t xml:space="preserve"> attached RFQ</t>
  </si>
  <si>
    <t xml:space="preserve"> Fabrication and Installation of Stainless Steel Demonstration Tables and Sink for Food Laboratory with Floor Area: Kitchen 1: 8mtrs and 62cm     x 4m and 53.5cm Sink: 5m and 13cm x 60cm x 57cm Kitchen 2: 8mtrs x 4mtrs and 52.5cm Sink: 3m and 66cm x 60.5 c</t>
  </si>
  <si>
    <t xml:space="preserve"> To Contract for the Supply of Materials, Labor, and Equipments for the Rehabilitation/Improvement of Level II Water System in Luma-Lebe, ID No. KIA-SAR-19-011</t>
  </si>
  <si>
    <t xml:space="preserve"> attached RFQ for the specifications</t>
  </si>
  <si>
    <t xml:space="preserve"> Republic of the Philippines          City of Dumaguete Bids and Awards Committee INVITATION TO BID FOR PURCHASE REQUEST OF 104 BAGS PORTLAND CEMENT 40 KGS AND OTHER ITEMS 	The City of Dumaguete thru its BIDS AND AWARDS COMMITTEE (BAC), invites all interes</t>
  </si>
  <si>
    <t xml:space="preserve"> attached RFQ for the Specifications</t>
  </si>
  <si>
    <t xml:space="preserve"> Construction materials &amp; supplies</t>
  </si>
  <si>
    <t xml:space="preserve"> 35 heads Piglets, black, mixed breed, 2 months old etc. OPAG</t>
  </si>
  <si>
    <t xml:space="preserve"> KINDLY SEE ATTACHED CANVASS FOR THE ITEMS AND SPECIFICATIONS</t>
  </si>
  <si>
    <t xml:space="preserve"> Please download and then print the attached Invitation to Bid (ITB) for more details and for your reference. To view this attachment, just click “ORDER” opposite the ASSOCIATED COMPONENTS. TOTAL APPROVED BUDGET FOR THE CONTRACT (ABC): ₱2,000,000.00</t>
  </si>
  <si>
    <t xml:space="preserve"> Local Government Unit -VINCENZO SAGUN              Invitation to Bid for [Installation of Street Lighting System, Vincenzo Sagun ZDS] 1.	The Local Government Unit – Vincenzo Sagun Zamboanga del Sur, through the 20% EDF  intends to apply the sum of Two Mil</t>
  </si>
  <si>
    <t xml:space="preserve"> INVITATION TO BID  1.	The DPWH-Samar First District Engineering Office, Calbayog City , through the Sub-Allotment Advice No. SR2020-02-000836 intends to apply the sum of Four Million Six Hundred Twenty Three Thousand Five Hundred Pesos (4,623,500.00)  Onl</t>
  </si>
  <si>
    <t xml:space="preserve"> 1 unit Server  etc.  NOTE:To all suppliers bid documents and  BAC Resolution 2020-029 are available at BAC Office and LGU website.</t>
  </si>
  <si>
    <t xml:space="preserve"> INVITATION TO BID FOR THE IMPROVEMENT/CONCRETING OF CADLIT ROAD Brgy. Cadlit, Buenavista, Quezon 1.	The Municipal Government of Buenavista, Quezon, through the 20% Development  Fund intends to apply the sum of One Million Seven Hundred Three Thousand Six </t>
  </si>
  <si>
    <t xml:space="preserve"> I. GENERAL REQUIREMENTS 1 LOT  II. EARTHWORKS 124.00 SQ.M. III. CONCRETE WORKS (INCLUDES RAMP ON FILL) 34.70 CU.M. IV. FORMWORKS 130.33 SQ.M. V. REINFORCING STEEL BARS 2,751.66 KG. VI. MASONRY WORKS (PLANT BOX) 223.32 SQ.M. VII. DOORS AND WINDOWS 1 LOT VI</t>
  </si>
  <si>
    <t xml:space="preserve"> Republic of the Philippines          City of Dumaguete Bids and Awards Committee INVITATION TO BID FOR PURCHASE REQUEST OF 8 CU.M SAND STD. SPECS. OTHER ITEMS 	The City of Dumaguete thru its BIDS AND AWARDS COMMITTEE (BAC), invites all interested manufact</t>
  </si>
  <si>
    <t xml:space="preserve"> 5,000 pcs. BIRTHDAY CAKE</t>
  </si>
  <si>
    <t xml:space="preserve"> General Requirements	 1	Mobilization / Demobilization 	1 lot 2	Health and Safety Requirements 	1 lot 3	Temporary Enclosure	1 lot 		 	Preliminary Works	 4	Clearing of Site	1 lot 5	Surface Preparation Works of Exterior Walls	1 lot 6	Access Ladder/ Scaffoldi</t>
  </si>
  <si>
    <t xml:space="preserve"> cleaning of window type, split type and floor mounted types of Air Conditioning Units</t>
  </si>
  <si>
    <t xml:space="preserve"> please download bidding documents</t>
  </si>
  <si>
    <t xml:space="preserve"> Please download and then print the attached Invitation to Bid (ITB) for more details and for your reference. To view this attachment, just click “ORDER” opposite the ASSOCIATED COMPONENTS. TOTAL APPROVED BUDGET FOR THE CONTRACT (ABC): ₱500,000.00</t>
  </si>
  <si>
    <t xml:space="preserve"> CONSTRUCTION OF TWO-STOREY, 6 CLASSROOMS SCHOOL BUILDING</t>
  </si>
  <si>
    <t xml:space="preserve"> CONSTRUCTION OF 2-STOREY 4-CLASSROOMS AND 1-STOREY, 2-CL. CLASSROOMS SCHOOL BUILDINGS</t>
  </si>
  <si>
    <t xml:space="preserve"> MUNICIPALITY OF BORBON DESCRIPTION: 10,440 PACKS SQUASH MALUNGGGAY 24G PACK                       NUTRILOVE INSTANT DRY CEREAL (348) CHILDREN X 30 DAYS) 10,440 PACKS MILKY BANANA AND OATS 24G OPACK                      NUTRILOVE INSTANT DRY CEREAL  (348 C</t>
  </si>
  <si>
    <t xml:space="preserve"> Republic of the Philippines Province of Quezon Municipality of San Francisco   BIDS &amp; AWARDS COMMITTEE INVITATION TO APPLY FOR ELIGIBILITY AND TO BID     The Municipality of San Francisco through 20% Development Fund intends to apply the sum of Five Hundr</t>
  </si>
  <si>
    <t xml:space="preserve"> Republic of the Philippines Province of Romblon MUNICIPALITY OF MAGDIWANG INVITATION TO BID SUPPLEMENTAL FEEDING Project ID No. 2020-17 June 24, 2020 1.	The Municipality of Magdiwang, Romblon, through its Gen. Fund 2020 intends to apply the sum of Php 492</t>
  </si>
  <si>
    <t xml:space="preserve"> General Requirements	 1	Mobilization / Demobilization 	1 lot 2	Health and Safety Requirements 	1 lot 3	Temporary Enclosure	1 lot 		 	Preliminary Works	 4	Removal of existing ceiling	1 lot 5	Moving of cabinets prior to painting works	1 lot 6	Surface Prepar</t>
  </si>
  <si>
    <t xml:space="preserve"> BIDS AND AWARDS COMMITTEE REQUEST FOR QUOTATION The office of Bureau of the Treasury, Regional Office VI, through its Bids and Awards Committee, hereby invites all interested suppliers, to quote their lowest price on the items listed below, subject to the</t>
  </si>
  <si>
    <t xml:space="preserve"> HOP-QR-PRO-005 Republic of the Philippines Department of Health DAVAO REGIONAL MEDICAL CENTER Apokon, Tagum City BIDS AND AWARDS COMMITTEE INVITATION TO BID FOR THE SUPPLY &amp; DELIVERY OF PHACOEMULSIFICATION-VITRECTOMY MACHINE 1.	The Davao Regional Medical </t>
  </si>
  <si>
    <t xml:space="preserve"> Reproduction of Detailed Lesson Plans from Kinder to Grade Six</t>
  </si>
  <si>
    <t xml:space="preserve"> Republic of the Philippines Bohol Island State University-Calape Campus Calape, Bohol Invitation to Bid for the Procurement of I.T. Equipment  PRN- 614-2020 1.	The Bohol Island State University Calape Campus,  through the Special Trust Fund (STF) 2020  in</t>
  </si>
  <si>
    <t xml:space="preserve"> 1		unit		BRAND NEW SIX WHEELER MEAT VAN TRUCK 	 					- 4X2, Non Refrigerated Aluminum Van Back Door Type, 4 cylinder in  					line, water cooled Turbo-intercooler, common rail direct injection, Diesel 					Engine w/ Engine Power ranges from 170HP to 190HP</t>
  </si>
  <si>
    <t xml:space="preserve"> INVITATION TO BID FOR THE IMPROVEMENT/CONCRETING OF SITIO YABAAN ROAD Brgy. Maligaya, Buenavista, Quezon 1.	The Municipal Government of Buenavista, Quezon, through the 20% Development  Fund intends to apply the sum of One Million Five Hundred Pesos (P1,50</t>
  </si>
  <si>
    <t xml:space="preserve"> INVITATION TO BID FOR THE INITIAL CONSTRUCTION OF STANDARD DAY CARE CENTER Brgy. San Pablo, Buenavista, Quezon 1.	The Municipal Government of Buenavista, Quezon through the 20% Development Fund intends to apply the sum of Five Hundred Thousand Pesos (P500</t>
  </si>
  <si>
    <t xml:space="preserve"> Republic of the Philippines Office of the Punong Barangay BIDS AND AWARDS COMMITTEE Callitong, Burgos, Ilocos Sur INVITATION TO BID The Barangay Government of Callitong, Burgos, Ilocos Sur, through its Bids and Awards Committee (BAC) invites bids for the </t>
  </si>
  <si>
    <t xml:space="preserve"> The Local  Government   Unit  of General  Santos  City, through  the  GENERAL FUND CY 2020  intends  to apply  the sum of thirty five thousand and xx / 100 Pesos Only (35,000.00)   being  the Approved  Budget  for the Contract   (ABC) to payments  under  </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</si>
  <si>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</si>
  <si>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Date of Bidding: July 10,2020 Time of Bidding: 10:00 a.m Place of Bidding: Multi-Purpose Hall,Brgy.Sto.Rosario,Anilao,Iloilo 72 heads Piglets ( at least at the average of 10-12 kgs body weight)</t>
  </si>
  <si>
    <t xml:space="preserve"> INVITATION TO BID FOR SUPPLY AND DELIVERY OF VARIOUS WATER SERVICE CONNECTION MATERIALS FOR INSTALLATION OF 75MM DIA. UPVC DISTRIBUTION LINE FOR EXPANSION PROJECTS AT KALIBO, BANGA &amp; NEW WASHINGTON AREAS 1.	The METRO KALIBO WATER DISTRICT, through the Cor</t>
  </si>
  <si>
    <t xml:space="preserve"> Please see attached documents.</t>
  </si>
  <si>
    <t xml:space="preserve"> Installation and Implementation of pre-developed and customized Application Systems for establishment of centralized Data Banking System Website for International Connection of the City Government of Dipolog(Electronic Government Application Systems) -Pha</t>
  </si>
  <si>
    <t xml:space="preserve"> INVITATION FOR SUBMISSION OF QUOTATION (SMALL VALUE PROCUREMENT)   The ZAMBOANGA SIBUGAY POLYTECHNIC INSTITUTE (ZSPI) formerly KABASALAN INSTITUTE OF TECHNOLOGY (KIT), through the General Appropriations Act (GAA) of 2018 intends to apply the sum TWO HUNDR</t>
  </si>
  <si>
    <t xml:space="preserve"> Pls. see attached file</t>
  </si>
  <si>
    <t xml:space="preserve"> The Local  Government   Unit  of General  Santos  City, through  the  GENERAL FUND CY 2020  intends  to apply  the sum of two hundred sixty thousand and xx / 100 Pesos Only (260,000.00)   being  the Approved  Budget  for the Contract   (ABC) to payments  </t>
  </si>
  <si>
    <t xml:space="preserve"> Construction Safety and Health	 1.00 	 lot  Aggregate Base Coarse	 14.40 	 cu.m.  Excavation and Backfilling	 87.50 	 cu.m.  Structural Concrete	 39.00 	 cu.m.  Reinforcing Steel	 2,157.84 	 cu.m.  Portland Cement Concrete Pavement	 14.63 	 cu.m.  Formwor</t>
  </si>
  <si>
    <t xml:space="preserve"> INVITATION TO BID FOR THE INITIAL CONSTRUCTION OF STANDARD DAY CARE CENTER Brgy. Masaya, Buenavista, Quezon 1.	The Municipal Government of Buenavista, Quezon through the 20% Development Fund and LCPC Fund intends to apply the sum of Five Hundred Thousand </t>
  </si>
  <si>
    <t xml:space="preserve"> The Local  Government   Unit  of General  Santos  City, through  the  GENERAL FUND CY 2020  intends  to apply  the sum of two hundred forty four thousand eight hundred twenty five and xx / 100 Pesos Only (244,825.00)   being  the Approved  Budget  for the</t>
  </si>
  <si>
    <t xml:space="preserve"> Printing of Tarpaulin (COVID-19 Advocacy) 2 pcs printing of 8X6 Feet COVID-19 Advocacy Tarpaulin</t>
  </si>
  <si>
    <t xml:space="preserve"> Construction Safety and Health	 1.00 	 lot  Aggregate Base Coarse	 84.00 	 cu.m.  Reinforcing Steel	 109.52 	 kgs  Portland Cement Concrete Pavement	 102.41 	 cu.m.  Formworks	 733.33 	 bd.ft.  Sub-Project Billboard	 1.00 	 unit</t>
  </si>
  <si>
    <t xml:space="preserve"> item no.       quantity         unit              description  1.                    10             pcs.          electrical tape  2.                    100           pcs.          LED Bulb 9 watts  3.                    50             pcs.          recep</t>
  </si>
  <si>
    <t xml:space="preserve"> Pls. see attached TOR</t>
  </si>
  <si>
    <t xml:space="preserve"> 1 unit Laptop W/ Printer</t>
  </si>
  <si>
    <t xml:space="preserve"> 1st Quarter Supply ( BUSCO CES) 2020</t>
  </si>
  <si>
    <t xml:space="preserve"> The Local  Government   Unit  of General  Santos  City, through  the  GENERAL FUND CY 2020  intends  to apply  the sum of three hundred thousand and xx / 100 Pesos Only (300,000.00)   being  the Approved  Budget  for the Contract   (ABC) to payments  unde</t>
  </si>
  <si>
    <t xml:space="preserve"> INVITATION TO BID FOR THE IMPROVEMENT/CONCRETING OF CAWA-CABONG ROAD Brgy. Cawa-Cabong, Buenavista, Quezon 1.	The Municipal Government of Buenavista, Quezon, through the 20% Development  Fund intends to apply the sum of One Million Pesos (P1,000,000.00) b</t>
  </si>
  <si>
    <t xml:space="preserve"> The Local  Government   Unit  of General  Santos  City, through  the  GENERAL FUND CY 2020  intends  to apply  the sum of one hundred eight thousand four hundred and xx / 100 Pesos Only (108,400.00)   being  the Approved  Budget  for the Contract   (ABC) </t>
  </si>
  <si>
    <t xml:space="preserve"> Republic of the Philippines COMMISSION ON AUDIT Quezon City REQUEST FOR QUOTATION Procurement And Property &amp; Supply Management Services, General Services Office Date Prepared: June 24, 2020 Supplier :______________________ Address :______________________ </t>
  </si>
  <si>
    <t xml:space="preserve"> General Requirements	1	lot Earthworks	124	sq.m. Concreting Works (includes ramp on fill)	34.7	cu.m. Formworks	130.33	sq.m. Reinforcing Steel Bars	 2,751.66 	kgs. Masonry Works (with plant boxes)	223.32	sq.m. Doors &amp; Windows	 1.00 	lot Steel Works	 2,690.0</t>
  </si>
  <si>
    <t xml:space="preserve"> Procurement of Chair</t>
  </si>
  <si>
    <t xml:space="preserve"> Procurement Materials for the Completion of Poblacion 06 Community Stage</t>
  </si>
  <si>
    <t xml:space="preserve"> The Local  Government   Unit  of General  Santos  City, through  the  GENERAL FUND CY 2020  intends  to apply  the sum of three million eight hundred ninety four thousand one hundred five and 88 / 100 Pesos Only (3,894,105.88)   being  the Approved  Budge</t>
  </si>
  <si>
    <t xml:space="preserve"> Fertilizer, (Complete 14-14-14 NPK/ha) 50 kg.bag = 400	bag The complete schedule of activities is listed below as follows: 1.	Issuance of Bid Documents – June 25 – July 3, 2020 at the BAC Office, Municipal Hall Bldg. SNIN 2.	Opening of Bids – July 3, 2020</t>
  </si>
  <si>
    <t xml:space="preserve"> Smart Mobile Load card worth 700.00 every month from August to December</t>
  </si>
  <si>
    <t xml:space="preserve"> Republic of the Philippines PROVINCE OF CAMIGUIN Mambajao, Camiguin  BIDS AND AWARDS COMMITTEE (BAC) INVITATION TO BID The Provincial Government of Camiguin through its Bids and Awards Committee (BAC) invites all interested and qualified contractors to ap</t>
  </si>
  <si>
    <t xml:space="preserve"> The Local  Government   Unit  of General  Santos  City, through  the  GENERAL FUND CY 2020  intends  to apply  the sum of one million two hundred eighty one thousand four hundred ten and 80 / 100 Pesos Only (1,281,410.80)   being  the Approved  Budget  fo</t>
  </si>
  <si>
    <t xml:space="preserve"> 1 1 PC/S INK - EPSON - CYAN T6642 2 1 PC/S INK - EPSON - MAGENTA T6643 3 1 PC/S INK - EPSON - YELLOW T6644 4 5 PC/S PEN - SIGN C4-BLACK 5 15 REAM/S PAPER - BOND,PG,A4,210MMX297MM,70GSM. 6 15 REAM/S PAPER - BOND,PG,LEGAL,216MMX330MM(8-1/2"X13") 70 GSM 7 50</t>
  </si>
  <si>
    <t xml:space="preserve"> Date of Bidding: July 10,2020 Time of Bidding: 11:00 a.m Place of Bidding: Multi-Purpose Hall,Brgy.Sto,Rosario,Anilao,Iloilo 36 SACKS HOG STARTER (59KG/SACK) 36 SACKS X4.8 HOG GROWER (50KG/SACK) 36 SACKS FINISHER (50KG/SACK) DEWORMER AND VITAMINS: 36 BOTT</t>
  </si>
  <si>
    <t xml:space="preserve"> 42 sets 200w Solar Streetlight            4' x 2" x 15' Single Arm Steel Tapered Lamp Post w/ 55" arm Length type A, 1.5" tip             10" x 10" Base Plate, 3/4" x 18" Anchor Bolts, Nuts &amp; Washers</t>
  </si>
  <si>
    <t xml:space="preserve"> 1	50mm x 6m uPVC Pipe; S-10, with RR			              127	pcs. 2	50mm x 90° PVC Elbow (single hub)			                 1	pc. 3	1" x 250mm CI Saddle Clamp (for CI pipe, O.D.=275mm)	 4	pcs. 4	1" x 50mm CI Saddle Clamp			                         4	pcs. 5	50mm </t>
  </si>
  <si>
    <t xml:space="preserve"> Procurement ID/Contract I.D.: 20CN0101 Contract Name: Construction of Municipal Slaughterhouse Contract Location: Baler, Aurora  Brief Description: Earthwork, Civil, Mechanical, Electrical and Sanitary/Plumbing Works; Earthwork, Plain and Reinforced Concr</t>
  </si>
  <si>
    <t xml:space="preserve"> Republic of the Philippines Province of Oriental Mindoro MUNICIPALITY OF SAN TEODORO INVITATION TO BID FOR THE  CONSTRUCTION OF LINED CANAL No. 2020-09 June 24, 2020 1.The Municipality of San Teodoro intends to apply the sum of One Million, One Hundred Ni</t>
  </si>
  <si>
    <t xml:space="preserve"> food services</t>
  </si>
  <si>
    <t xml:space="preserve"> The project includes:  1. Project Billboard 2. Sub-grade Preparation 3. Embankment 4. Aggregate Base Course 5. PCCP</t>
  </si>
  <si>
    <t xml:space="preserve"> Republic of the Philippines PROVINCE OF BUKIDNON Municipality of Sumilao INVITATION TO BID ITB NO. GS-2020-29 PROCUREMENT OF INFORMATION TECHNOLOGY (IT) EQUIPMENT June 24, 2020 1.	The Local Government Unit of  Sumilao, intends to apply the sum of Four Hun</t>
  </si>
  <si>
    <t xml:space="preserve"> Supply, Delivery and Configuration of LTE CPE Broadband Device for CTU Flexible Learning System (FLS) with Globe Telecom Network with the following details:  •	Broadband Modem Capable of 4G/LTE SIM •	Must have at least 2 External Antenna support •	With US</t>
  </si>
  <si>
    <t xml:space="preserve"> INVITATION TO BID The Nueva Ecija University of Science and Technology through its Bids and Awards Committee (BAC), invites entities to bid for the hereunder projects: 	 Name of Project: UNIVERSAL REFRIGERATION TRAINING SYSTEM Location: College of Industr</t>
  </si>
  <si>
    <t xml:space="preserve"> BARANGAY MULTI PURPOSE CENTER CONSTRUCTION FOR VILLA ELIOT AT VILLA ELIOT, PATNONGON, ANTIQUE</t>
  </si>
  <si>
    <t xml:space="preserve"> Republic of the Philippines Province of Quezon Municipality of Macalelon Invitation to Bid for the  LOCAL ACCESS ROAD-ROAD UPGRADING (CONCRETE PAVING OF BARANGAY AMONTAY FMR) Reference No. 2020-06-314-ME 										June 25, 2020 1.	The LGU-Macalelon, Quezo</t>
  </si>
  <si>
    <t xml:space="preserve"> Republic of the Philippines PROVINCE OF SURIGAO DEL SUR Municipality of Carrascal Barangay Caglayag INVITATION FOR BIDS                      The Barangay Caglayag through its Bids and Awards Committee invites sealed bids from eligible supplier for Constru</t>
  </si>
  <si>
    <t xml:space="preserve"> Republic of the Philippines Province of Quezon Municipality of Macalelon Invitation to Bid for the  ROAD UPGRADING/CONCRETE PAVING P. HERRERA FMR Reference No. 2020-06-312-ME 										June 25, 2020 1.	The LGU - Macalelon, Quezon intends to apply the sum </t>
  </si>
  <si>
    <t xml:space="preserve"> Procurement Materials for the Installation of 10 Unit Street Lighting</t>
  </si>
  <si>
    <t xml:space="preserve"> 1	Lube oil SAE 40		4	pails 2	Radiator coolant (optional)		4	pails 3	By-pass filter P/N 35A40-01800		1	pc 4	Full- flow filter P/N 32540-21600		2	pcs 5	Fuel filter P/N 32562-60300		2	pcs 6	Valve cover gasket		6	pcs 7	Injector nozzle P/N 105015-8520 ZXL		6	p</t>
  </si>
  <si>
    <t xml:space="preserve"> I. PURCHASE OF MATERIALS AND INSTALLATION OF LIGHTS 1 LOT</t>
  </si>
  <si>
    <t xml:space="preserve"> 1. The total approved budget for the contract for the SUPPLY AND DELIVERY OF PE TUBING 1/2 SDR11 is PhP 180,000.00 2. Price quotations must include all taxes, duties, and/or levies payable and must be valid for 30 days. 3. Suppliers must specify the BRAND</t>
  </si>
  <si>
    <t xml:space="preserve"> INVITATION TO BID FOR THE PURCHASE OF PURCHASE OF ONE (1) UNIT AMBULANCE FOR THE USE OF LGU-HINIGARAN, NEGROS OCCIDENTAL 1.	The Local Government Unit of Hinigaran, through  Capital Outlay (Office of the Municipal Mayor)  intends to apply the sum of P 1,90</t>
  </si>
  <si>
    <t xml:space="preserve"> PES Purchase of Office Supplies 2020-Supplemental for ABC Php 162,000.00 600	reams	Bond paper, Long Size	 35	bot	Ink  (Black) for Epson L003	 35	bot	Ink  (Magenta) for Epson L003	 30	bot	Ink (Cyan) for Epson L003	 30	bot	Ink (Yellow) for Epson L003</t>
  </si>
  <si>
    <t xml:space="preserve"> The Local  Government   Unit  of General  Santos  City, through  the  GENERAL FUND CY 2020  intends  to apply  the sum of one million four hundred thirty thousand and xx / 100 Pesos Only (1,430,000.00)   being  the Approved  Budget  for the Contract   (AB</t>
  </si>
  <si>
    <t xml:space="preserve"> QTY	UNIT	ITEM DESCRIPTION 		  92.29 	sq.m.	Siteworks  171.76 	sq.m.	Scaffolding &amp; Formworks  3,692.72 	kg/s	Steel Reinforcement Works  28.30 	cu.m.	Concrete Works  244.95 	sq.m.	Masonry Works  113.70 	sq.m.	Roof &amp; Roof Framing Works  12.81 	sq.m.	Fabricat</t>
  </si>
  <si>
    <t xml:space="preserve"> Republic of the Philippines             Province of Sultan Kudarat          CITY OF TACURONG            BARANGAY NEW CARMEN BIDS AND AWARDS COMMITTEE                                               INVITATION TO BID    								                            Th</t>
  </si>
  <si>
    <t xml:space="preserve"> Republic of the Philippines Department of Education Region VI – Western Visayas Division of Aklan District of Buruanga BURUANGA VOCATIONAL SCHOOL Katipunan, Buruanga, Aklan 	 REQUEST FOR QUOTATION (RFQ) Project No: DepED-RO6-D1-BVS-TOOLSANDEQUIPMENT(ALSES</t>
  </si>
  <si>
    <t xml:space="preserve"> Job Order:				 1	Unit	Repairs and maintenance of PRDP RPCO 8 vehicle (Strada) with plate number NH2879				 						 		(Please see attached Repair Estimate)				 						 						 						 						 						 						 TERMS AND CONDITIONS:				 That the bidder shall:				 1.</t>
  </si>
  <si>
    <t xml:space="preserve"> Supply and Delivery of Materials to be used in Military, Police, and Security Equipment.</t>
  </si>
  <si>
    <t xml:space="preserve"> Republika ng Pilipinas BAYAN NG CORTES Surigao del Sur BIDS AND AWARDS COMMITTEE 						           June 25, 2020 INVITATION TO BID FOR Equipment to be use in the Computerization Program (RPTAS) Phase 1    	The Local Government Unit of Cortes through LGU PR</t>
  </si>
  <si>
    <t xml:space="preserve"> Procurement of Various Office Supplies and Consumables of Mun. Accountant's Office - Laak, Davao De Oro with an ABC of Php. 177,595.00.</t>
  </si>
  <si>
    <t xml:space="preserve"> Republic of the Philippines  Province of Oriental Mindoro  Municipality of Bulalacao  Barangay San Juan    INVITATION TO APPLY FOR ELIGIBILITY AND TO BID    June 24, 2020   1.	The Barangay of San Juan, through 20% Development Fund of CY 2019 intends to ap</t>
  </si>
  <si>
    <t xml:space="preserve"> Contract ID: 20PL0123 Contract Name: Concreting of Brgy. Magnao FMR, Brgy. Magnao, Tabuk City, Kalinga Contract Location: Tabuk City, Kalinga Brief Description: Construction of 1,184m x 5.0m x 0.23m thk PCCP Approved Budget for the Contract (ABC): PhP 11,</t>
  </si>
  <si>
    <t xml:space="preserve"> Republic of the Philippines Province of Ilocos Sur Vigan City INVITATION TO BID FOR  Tobacco Farmers/Cooperatives' Hybrid Corn Seed Subsidy for Alternative Farming Livelihood Project 1.	The Provincial Government of Ilocos Sur, through the Special Budget N</t>
  </si>
  <si>
    <t xml:space="preserve"> Procurement of ICT Equipment includes Laptop, I5, with license OS, 4Gb RAM, 1Tb Hdd and Interactive Board with internet port and stand Bid Docs Amount - 2,500.00 Php Pre Bid - July 1, 2020 , 1:30 PM, Quality Assurance Center Submission of Bids - July 13, </t>
  </si>
  <si>
    <t xml:space="preserve"> Name of the Procuring Entity LOCAL GOVERNMENT UNIT  Mahinog, Camiguin	Project Reference Number: 2020-GOODS-066 Name of Project: Supply &amp; Delivery of Construction Materials for Fabrication of 4 Modular Tents Location of the Project: Poblacion, Mahinog, Cam</t>
  </si>
  <si>
    <t xml:space="preserve"> The Local  Government   Unit  of General  Santos  City, through  the  GENERAL FUND CY 2020  intends  to apply  the sum of one hundred forty thousand and xx / 100 Pesos Only (140,000.00)   being  the Approved  Budget  for the Contract   (ABC) to payments  </t>
  </si>
  <si>
    <t xml:space="preserve"> Leak Noise Analysis: Minimum level indication Frequency Response: 1 to 5000hz Filters: All band + infinitely adjustable narrow filter Memory: 8 last measurements Display: LCD with backlight Power: 4 standard 1.5V AA Alcaline Batteries Battery LIfe: Typeca</t>
  </si>
  <si>
    <t xml:space="preserve"> Const. of Slope Protection</t>
  </si>
  <si>
    <t xml:space="preserve"> INVITATION TO BID  FOR THE Supply and Delivery of Various Drugs and Medicines I.B. No. 2020 - 0028 							 1. The LGU-Cabanatuan City, through the General Fund FY 2020 intends to apply the sum of One Million Five Hundred Fifty Thousand Four Hundred Ten Pe</t>
  </si>
  <si>
    <t xml:space="preserve"> OPENING OF BIDS IN DSWD FO IX DELIVERY IN HOME FOR WOMEN MAMPANG ZC		 PROCUREMENT FOR THE FF.: 1 LOT PERSONAL APPARELS		 125	PCS	JOGGING PANTS 125	PCS	SANDO FOR GIRLS (ASST. SIZES S-XXL) 125	PCS	PAJAMA TERNO (ASST. SIZES S, M, L, XL, XXL) 100	DOZEN	UNDERW</t>
  </si>
  <si>
    <t xml:space="preserve"> The Local  Government   Unit  of General  Santos  City, through  the  GENERAL FUND CY 2020  intends  to apply  the sum of one million two hundred eighty eight thousand one hundred seventy three and xx / 100 Pesos Only (1,288,173.00)   being  the Approved </t>
  </si>
  <si>
    <t xml:space="preserve"> QTY	UNIT	ITEM DESCRIPTION 		  1.00 	l.s.	Mobilization/Demobilization  22.00 	unit/s	Construction of Manhole with Cover  118.00 	pc/s	Reinforced Concrete Pipe Culvert Laying  70.00 	lmtr	Construction of Line Canal I  170.00 	lmtr	Construction of Line Canal</t>
  </si>
  <si>
    <t xml:space="preserve"> Procurement Materials for the Rehabilitation of Barangay Plaza</t>
  </si>
  <si>
    <t xml:space="preserve"> Science Wonders Grade 5 = 37	pc Sangkan Grade 5 = 37	pc Enfolding Mathematics in Life Grade 5	= 37	pc Siglo Grade 5 = 37	pc Pathways to a Righteous Living Grade 5 = 37	pc Leaps &amp; Nound (Revised ed.) Grade 5 = 37	pc Echoes Grade 5 = 37	pc Improving Self &amp; </t>
  </si>
  <si>
    <t xml:space="preserve"> Regular Office Supplies,Equipment's and Consumable Goods.. see Attached Documents</t>
  </si>
  <si>
    <t xml:space="preserve"> REPAIR/REHABILITATION</t>
  </si>
  <si>
    <t xml:space="preserve"> -	Provide internet connectivity to 11 E/S and 2 H/S w/ hands-on orientation on operation of learning management system: a. Asuncion E/S; b. Barabar E/S; c. Bingao E/S; d. Bugnay E/S; e.	Catuguing E/S; f. Cayetano Bumanglag E/S; g. Eladio V Barangan E/S; h</t>
  </si>
  <si>
    <t xml:space="preserve"> QTY	UNIT	ITEM DESCRIPTION 		  20.13 	cu.m.	Concrete Works  139.24 	sq.m.	Masonry Works  124.80 	sq.m.	Roofing Works  14.00 	set/s	Installation of Doors  8.00 	sq.m.	Installation of Windows  1.00 	l.s.	Plumbing Works  1.00 	l.s.	Electrical Works  72.96 	sq</t>
  </si>
  <si>
    <t xml:space="preserve"> 1 lot Geo-Resistivity Study Three (3) Areas: Ilihan, Magdugo and Cantabaco (Toledo City, Cebu) Inclusions: *Mobilization/Demobilization *9 VES locations (3 per Area) *Recommendation and Analyses (all in on report)</t>
  </si>
  <si>
    <t xml:space="preserve"> The Local  Government   Unit  of General  Santos  City, through  the  GENERAL FUND CY 2020  intends  to apply  the sum of four million three hundred ninety one thousand four hundred fifty and xx / 100 Pesos Only (4,391,450.00)   being  the Approved  Budge</t>
  </si>
  <si>
    <t xml:space="preserve"> purchase of  assorted Medical supplies, Health products and PPE's  chargeable to school MOOE's</t>
  </si>
  <si>
    <t xml:space="preserve"> Republic of the Philippines Province of Isabela Municipality of Jones Request for Quotation Solicitation No. SVP-2020-15 	The Municipality of Jones, thru the Bids and Awards Committee, will undertake a Small Value Procurement for the “Supply and Delivery </t>
  </si>
  <si>
    <t xml:space="preserve"> Republic of the Philippines PROVINCE OF ZAMBOANGA SIBUGAY Municipality of Roseller T. Lim OFFICE OF THE BAC CHAIRMAN Barangay Palmera INVITATION TO BID 						June 24, 2020 To All Interested Bidders: Notice is hereby served that sealed bid be received for </t>
  </si>
  <si>
    <t xml:space="preserve"> Republic of the Philippines Department of Public Works and Highways DAVAO ORIENTAL FIRST DISTRICT ENGINEERING OFFICE REGION XI Lucod, Baganga, Davao Oriental INVITATION TO BID ITB No. 2020-036 1.	The Department of Public Works and Highways Davao Oriental </t>
  </si>
  <si>
    <t xml:space="preserve"> INVITATION TO BID The DPWH-Tarlac 1st District Engineering Office, through its Bids and Awards Committee (BAC), invites contractors to submit bids for the following Contract: 			 a.	Procurement ID/Contract ID 	: 	20CJ0154  	Contract Name 	: 	Repair/ Maint</t>
  </si>
  <si>
    <t xml:space="preserve"> Republic of the Philippines Province of Albay Municipality of Sto. Domingo Barangay Lidong Bids and Awards Committee INVITATION TO BID The LGU-Lidong, Sto. Domingo through its Bids and Awards Committee (BAC), invites suppliers/manufacturers/ contractors f</t>
  </si>
  <si>
    <t xml:space="preserve"> Description Please quote your price inclusive of VAT on the item/s listed below, subject to the Terms and conditions of the RFQ, and submit your quotation duly signed by your representative not later than July 2, 2020 at CGSO for Goods. Upon receipt of at</t>
  </si>
  <si>
    <t xml:space="preserve"> Please see attached canvass (RFQ) form / TOR for complete specifications.</t>
  </si>
  <si>
    <t xml:space="preserve"> Procurement of Laboratory Facilities</t>
  </si>
  <si>
    <t xml:space="preserve"> 2 units of Epson printer to be used for the reproduction of Modules.</t>
  </si>
  <si>
    <t xml:space="preserve"> INVITATION TO BID 1.	The Provincial Government of Misamis Oriental, through the Bids and Awards Committee, hereby invites all interested Philgeps registered contractors to submit bids for infrastructure projects stated below. Project Title	Construction of</t>
  </si>
  <si>
    <t xml:space="preserve"> School supplies and materials for MOOE2020 1st and 2nd quarter.</t>
  </si>
  <si>
    <t xml:space="preserve"> Procurement Materials for the Rehabilitation of Barangay Perimeter Fence</t>
  </si>
  <si>
    <t xml:space="preserve"> 2	length	Carbon Steel pipe 6" schedule 80 36	pcs.	        Welding mask  8	boxes	Welding Electrode, E-7018, 3.2mm 8	boxes	welding Electrode, E-6011, 3.2mm 7	boxes	Welding Electrode, E-6013, 3.2mm 40	pcs.	        Cutting disc, 100mm 40	pcs	        Griding d</t>
  </si>
  <si>
    <t xml:space="preserve"> Republic of the Philippines MUNICIPALITY OF MARIHATAG SURIGAO DEL SUR Bids and Awards Committee   INVITATION TO BID      COMPLETION OF VIEW DECK TREEPARK                                                                                                      </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</si>
  <si>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</si>
  <si>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The Local  Government   Unit  of General  Santos  City, through  the  DEPED SEF  CY 2020  intends  to apply  the sum of five million nine hundred eighty eight thousand and xx / 100 Pesos Only (5,988,000.00)   being  the Approved  Budget  for the Contract </t>
  </si>
  <si>
    <t xml:space="preserve"> Republic of the Philippines PROVINCE OF PAMPANGA City of San Fernando INVITATION TO BID NO. 2020-19 MEDIC-BAC INVITATION TO BID FOR PURCHASE REQUEST NO. 20-1488 and 20-1487 The Provincial Government of Pampanga (“Province”) intends to apply the following </t>
  </si>
  <si>
    <t xml:space="preserve"> Pansoy, Sogod, Cebu						Contract Ref. No.-01P-2020 Construction of Two (2) Storey Multi Purpose Building, Pansoy, Sogod, Cebu 		 Standard Form Number: SF-INFR-05 Revised on: July 29, 2004 INVITATION TO BID   The Pansoy, Sogod, Cebu  through its Bids and </t>
  </si>
  <si>
    <t xml:space="preserve"> Date of Bidding: July 10,2020 Time of Bidding: 10:00 a.m Place of Bidding: Multi-Purpose Hall,Brgy. San Carlos,Anilao,Iloilo MATERIALS: 65	bags	Cement			 12	cu.m	Sand and gravel mixed			 44	pcs	RSB -9mmØx6m			 27	pcs	RSB -10mmØx6m			 6	pcs	Ordinary Plywoo</t>
  </si>
  <si>
    <t xml:space="preserve"> The Local  Government   Unit  of General  Santos  City, through  the  GENERAL FUND CY 2020  intends  to apply  the sum of one million five hundred forty eight thousand three hundred fourteen and xx / 100 Pesos Only (1,548,314.00)   being  the Approved  Bu</t>
  </si>
  <si>
    <t xml:space="preserve"> Ref. Nos./PR Nos./Description: INFRA2020-AG2-007 Supply of Labor and Materials for Repair of Employees Housing Quarter Two (2) Units at NPC Compound, Pawak, Saguiaran, Lanao del Sur and MRSQ, Maria Cristina, Iligan City Repair of Housing No. 12-B-Duplex (</t>
  </si>
  <si>
    <t xml:space="preserve"> The Local  Government   Unit  of General  Santos  City, through  the  GENERAL FUND CY 2020  intends  to apply  the sum of two million five hundred three thousand one hundred twenty and xx / 100 Pesos Only (2,503,120.00)   being  the Approved  Budget  for </t>
  </si>
  <si>
    <t xml:space="preserve"> See attached PDF copy of RFQ</t>
  </si>
  <si>
    <t xml:space="preserve"> The Technical Education and Skills Development Authority (TESDA), through the TESDA-PTC Sindangan, Zamboanga del Norte will undertake a Small Value Procurement for the “Supplies and materials to be used in the Training Cum Production in the making of Wood</t>
  </si>
  <si>
    <t xml:space="preserve"> Supply and Delivery of Janitorial Supplies			 			 DETERGENT POWDER-57g, 12 sachets		20	dozens DOORMAT, Rubberized/meter		8	pcs FEATHER DUSTER, anti-static		4	pcs GLASS CLEANER, glass &amp; multi-surface 500ml		5	units GLOVES, electrical, rubber		4	pcs GLOVES,</t>
  </si>
  <si>
    <t xml:space="preserve"> The Local  Government   Unit  of General  Santos  City, through  the  GENERAL FUND CY 2020  intends  to apply  the sum of four million five hundred fifty four thousand three hundred fifteen and xx / 100 Pesos Only (4,554,315.00)   being  the Approved  Bud</t>
  </si>
  <si>
    <t xml:space="preserve"> 4	units	Digital Thermometer 10	pcs	Digital Thermometer Battery (2032 Lithium) 80	bots	Multivitamins w/ Taurine Drops 30mL,Appetite Enhancer 80	bots	Ascorbic Acid Vit. w/Zinc Drops(40/5mg)30mL 200	bots	Ascorbic Acid Vit. w/ Zinc Syrup (40/5mg)120mL 200	bot</t>
  </si>
  <si>
    <t xml:space="preserve"> Republic of the Philippines PROVINCE OF ZAMBOANGA SIBUGAY Municipality of Roseller T. Lim OFFICE OF THE BAC CHAIRMAN Barangay Calula INVITATION TO BID 						June 24, 2020 To All Interested Bidders: Notice is hereby served that sealed bid be received for p</t>
  </si>
  <si>
    <t xml:space="preserve"> Fabrication and installation of concrete road right-of-way markers.</t>
  </si>
  <si>
    <t xml:space="preserve"> The BARANGAY BALINTAWAK, through its BIDS AND AWARDS COMMITTEE (BAC) invites suppliers/manufacturers/distributors to apply for eligibility and to bid for the hereunder project: Name of Project: CONSTRUCTION OF DAY CARE CENTER Location: Barangay Balintawak</t>
  </si>
  <si>
    <t xml:space="preserve"> The Municipality of Tanza, Cavite, through its Bids and Awards Committee (BAC), invites suppliers/manufacturers/distributor/contractors to apply for eligibility and to bid for the hereunder project: 	Name of Project	: PROCUREMENT OF TWO (2) UNITS PASSENGE</t>
  </si>
  <si>
    <t xml:space="preserve"> Item			 No.	Qty	Unit	            Items/Description 			 1	7,225	cu m	Common borrow Item 104</t>
  </si>
  <si>
    <t xml:space="preserve"> INVITATION TO BID 1.	The Provincial Government of Misamis Oriental, through the Bids and Awards Committee, hereby invites all interested Philgeps registered contractors to submit bids for infrastructure projects stated below. Project Title	Proposed Constr</t>
  </si>
  <si>
    <t xml:space="preserve"> Republic of the Philippines Department of Health DAVAO REGIONAL MEDICAL CENTER Apokon, Tagum City BIDS AND AWARDS COMMITTEE INVITATION TO BID FOR THE SUPPLY &amp; DELIVERY OF MEDICAL EQUIPMENT &amp; INSTRUMENTS FOR ORTHOPEDIC USE 1.	The Davao Regional Medical Cen</t>
  </si>
  <si>
    <t xml:space="preserve"> MUNICIPALITY OF QUEZON Province of Quezon INVITATION TO BID Date	: June 29, 2020 The Municipality of Quezon, through its Bids and Awards Committee (BAC), invites supplier/manufactures/distributors/contractors to apply for eligibility and to bid for the he</t>
  </si>
  <si>
    <t xml:space="preserve"> Purchase of 335 bags cement</t>
  </si>
  <si>
    <t xml:space="preserve"> Date of Bidding: July 10, 2020 Time of Bidding: 9:00 a.m Place of Bidding: Multi-Purpose Hall, Brgy. San Carlos,Anilao,Iloilo MATERIALS: 154	bags	Cement			 15	cu.m	Sand			 24	cu.m	Gravel			 188	pcs	RSB -12mmØx6m			 114	pcs	Rough Lumber 2"x2"x8"			 5	pcs	H</t>
  </si>
  <si>
    <t xml:space="preserve"> ITEM 1: SIGNAGE ITEM 2: EARTHWORKS ITEM 3: REINFORCING STEEL BARS ITEM 4: FORM WORKS ITEM 5: MASONRY WORKS ITEM 6: CONCRETE WORKS</t>
  </si>
  <si>
    <t xml:space="preserve"> Movable Stage</t>
  </si>
  <si>
    <t xml:space="preserve"> Office supplies and consumables</t>
  </si>
  <si>
    <t xml:space="preserve"> INVITATION TO BID FOR  “Procurement of Various Semi-Expendables” 1.	The DOH-Treatment and Rehabilitation Center-Bataan, through the General Appropriation Act intends to apply the sum of Five Hundred Fifty Thousand Seventy-two pesos and 20/100 Only (Php 55</t>
  </si>
  <si>
    <t xml:space="preserve"> Republic of the Philippines PROVINCE OF ZAMBOANGA SIBUGAY Municipality of Roseller T. Lim    INVITATION TO BID 						June 1, 2020 	 To All Interested Bidders: Notice is hereby served that sealed bid be received for public bidding under the harmonious proc</t>
  </si>
  <si>
    <t xml:space="preserve"> INVITATION TO BID (CW-06-2020-021) The Department of Public Works and Highways (DPWH)-Batangas IV District Engineering Office, Marawoy, Lipa City, Batangas, through its Bids and Awards Committee (BAC), invites contractors to bid for the contract listed be</t>
  </si>
  <si>
    <t xml:space="preserve"> Republic of the Philippines          City of Dumaguete Bids and Awards Committee INVITATION TO BID FOR PURCHASE REQUEST OF 169 VIALS PURIFIED CHICK EMBRYO ANTIRABIES VACCINE 0.5ML OTHER ITEMS 	The City of Dumaguete thru its BIDS AND AWARDS COMMITTEE (BAC)</t>
  </si>
  <si>
    <t xml:space="preserve"> INVITATION TO BID FOR THE SUPPLY, DELIVERY AND INSTALLATION OF EQUIPMENT FOR THE BIOACTIVE EXTRACTS PROJECT- Dual Channel Flash Chromatograph The University of the Philippines Mindanao, through the GAA 2019, intends to apply the sum of Three Million Eight</t>
  </si>
  <si>
    <t xml:space="preserve"> INVITATION TO BID  Procurement and Delivery of Meals, Venue and Accommodation  for the 2020 Census of Population and Housing (CPH)  Third Level Training – PSA Batangas 1.	The Philippine Statistics Authority, RSSO IV-A, through the General Fund for 2020 in</t>
  </si>
  <si>
    <t xml:space="preserve"> INVITATION TO BID  FOR THE Supply and Delivery of Anti Rabies Vaccine I.B. No. 2020 - 0031 							 1. The LGU-Cabanatuan City, through the General Fund FY 2020 intends to apply the sum of One Million Seven Hundred Ninety-Five Thousand Five Hundred Pesos (</t>
  </si>
  <si>
    <t xml:space="preserve"> TO : ALL BIDDERS WHAT : Schedule for the bid; WHEN : July 15, 2020 @ 9:00 A.M. WHERE : Multi-Purpose Hall, 2nd Floor, Left Wing, Bogo City Hall, Cayang, Bogo City, Cebu Attention: All Bidders 1) You are required to bring Universal Serial Bus (USB) Flash D</t>
  </si>
  <si>
    <t xml:space="preserve"> The Municipality of Tanza, Cavite, through its Bids and Awards Committee (BAC), invites suppliers/manufacturers/distributor/contractors to apply for eligibility and to bid for the hereunder project: 	Name of Project	: PROCUREMENT OF TWO (2) UNITS SPORTS U</t>
  </si>
  <si>
    <t xml:space="preserve"> Supply of Gasoline/Diesel for Service Vehicle for the period July to December 2020 of SSS Boac Terms and Conditions: 1. Price of fuel will be the pump price at the time and hour of fill-up. 2. Price of fuel will be inclusive of tax and other government ch</t>
  </si>
  <si>
    <t xml:space="preserve"> 1.	The Capiz Provincial Government, through the GOP–2020 intends to apply the total amount of Three Hundred Sixty-Eight Thousand Four Hundred Twenty-Five Pesos (Php 368,425.00) being the total aggregated Approved Budget for the Contract (ABC) to payments </t>
  </si>
  <si>
    <t xml:space="preserve"> INVITATION TO BID									 									 The BARANGAY GOVERNMENT UNIT OF MOTIBOT, SINDANGAN, ZAMBOANGA DEL NORTE, through its Bids and Awards Committee (BAC), hereby invites suppliers/manufacturers/ distributors/contractors to apply for eligibility and to bid</t>
  </si>
  <si>
    <t xml:space="preserve"> Republic of the Philippines PROVINCE OF NUEVA VIZCAYA Municipality of Alfonso Castañeda  BIDS &amp; AWARDS COMMITTEE FOR GOODS &amp; SERVICES REQUEST FOR QUOTATION RFQ Number: 2020-06-01 The Local Government of Alfonso Castañeda through its Bids and Awards Comm</t>
  </si>
  <si>
    <t xml:space="preserve"> NOTE: 1.	The approved budget for the contract is 	149,534.00 2.	Delivery period within 	15 	calendar days 3.	Warranty shall be for a period of three (3) months for expendable supplies, One year for non-expendable supplies from date of acceptance by the Pr</t>
  </si>
  <si>
    <t xml:space="preserve"> Waste Management Supplies and Materials</t>
  </si>
  <si>
    <t xml:space="preserve"> Office Supplies and Materials</t>
  </si>
  <si>
    <t xml:space="preserve"> 1.	The Municipality of Daram, through the General Fund-2020 intends to apply the sum of One Million Pesos (P1,000,000.00) being the Approved Budget for the Contract (ABC) to payments under the contract for the Supply and Delivery of 500pcs. Toilet Bowl an</t>
  </si>
  <si>
    <t xml:space="preserve"> INVITATION TO BID  FOR THE Supply and Delivery of Drugs and Medicines I.B. No. 2020 - 0032 							 1. The LGU-Cabanatuan City, through the General Fund FY 2020 intends to apply the sum of One Million Five Hundred Eighty-Six Thousand One Hundred Twelve Pes</t>
  </si>
  <si>
    <t xml:space="preserve"> INVITATION TO BID  FOR THE Supply and Delivery of Medical Supplies I.B. No. 2020 - 0029 							 1. The LGU-Cabanatuan City, through the General Fund FY 2020 intends to apply the sum of One Million Three Hundred Thirty-Seven Thousand Six Hundred Thirty Pes</t>
  </si>
  <si>
    <t xml:space="preserve"> LOT NO.          PROPERTY LOCATION                                     CLOA NO                AREA (HA)  LOT NO. 1                    BRGY. HINAGOYONAN, CATUBIG, N. SAMAR     O-CLOA-1634          12.6450      2436                       BRGY. ANONGO, CATUB</t>
  </si>
  <si>
    <t xml:space="preserve"> INVITATION TO BID  Procurement and Delivery of Meals, Venue and Accommodation  for the 2020 Census of Population and Housing (CPH)  Third Level Training – PSA Laguna 1.	The Philippine Statistics Authority, RSSO IV-A, through the General Fund for 2020 inte</t>
  </si>
  <si>
    <t xml:space="preserve"> 6-Stage Purifier with negative ions 5-Stage Purifier with negative ions Ultraviolet lamp with timer,38R</t>
  </si>
  <si>
    <t xml:space="preserve"> Republic of the Philippines Province of Cavite Municipality of Naic BIDS AND AWARDS COMMITTEE PB-2020-06-037 INVITATION TO  BID  FABRICATION OF TABLES AND CABINETS OF DIFFERENT OFFICES, NAIC, CAVITE 1.         The Municipal Government of Naic through  202</t>
  </si>
  <si>
    <t xml:space="preserve"> Republic of the Philippines PROVINCE OF CAMIGUIN Mambajao, Camiguin BIDS AND AWARDS COMMITTEE (BAC) INVITATION TO BID The Provincial Government of Camiguin through its Bids and Awards Committee (BAC) invites all interested and qualified bidders/suppliers </t>
  </si>
  <si>
    <t xml:space="preserve"> Republic of the Philippines DEPARTMENT OF HEALTH WESTERN VISAYAS Center for Health Development INVITATION TO BID FOR THE  Rebidding of Drugs and Medicines,  IB No. SB-2020-013 1.	The Department of Health – WV CHD, through the PHM CONAP 2019, CONAP SA-2019</t>
  </si>
  <si>
    <t xml:space="preserve"> INVITATION TO BID  Procurement and Delivery of Meals, Venue and Accommodation  for the 2020 Census of Population and Housing (CPH)  Third Level Training – PSA Rizal 1.	The Philippine Statistics Authority, RSSO IV-A, through the General Fund for 2020 inten</t>
  </si>
  <si>
    <t xml:space="preserve"> Republicof the Philippines PROVINCEOFAGUSAN DEL SUR Municipality of San Luis Barangay MURITULA Invitation to Bid SUPPLY AND DELIVERY OF HARDWARE MATERIALS FOR THE CONST. OF MULTI-PURPOSE BLDG. 1. The Barangay government of Muritula, San Luis, Agusan del S</t>
  </si>
  <si>
    <t xml:space="preserve"> REQUEST FOR EXPRESSION OF INTEREST FOR CONTRACT ID NO.:	     19CSC008  Procurement of Consulting Services for the Master Plan, Feasibility Study of Aguang River Basin for Flood Control and River Improvement.  Location         		:   Aurora Source of Fund	:</t>
  </si>
  <si>
    <t xml:space="preserve"> Executive Table Executive chair Cabinet Visitor's Chair Stool Folding table</t>
  </si>
  <si>
    <t xml:space="preserve"> INVITATION TO BID FOR THE DELIVERY OF MATERIALS FOR THE CONTINUATION OF TWO STOREY BARANGAY MULTI PURPOSE HALL</t>
  </si>
  <si>
    <t xml:space="preserve"> repair /widening of brgy. road at sitio looban</t>
  </si>
  <si>
    <t xml:space="preserve"> Republic of the Philippines Province of Surigao del Sur Municipality of Tago ---ooo0ooo--- Invitation to Bid Improvement of Gamut Public Market and Parking Area  Project ID No. TAG-SDS-058-2020 The Local Government Unit of Tago, Surigao del Sur invites se</t>
  </si>
  <si>
    <t xml:space="preserve"> Motorcycle with Side Car</t>
  </si>
  <si>
    <t xml:space="preserve"> ALBAY 3RD DISTRICT ENGINEERING OFFICE																											 Paulog, Ligao City																											 																											 INVITATION TO BID																											 																											 The DPWH - Albay 3rd District Engineering O</t>
  </si>
  <si>
    <t xml:space="preserve"> INVITATION TO BID   Procurement of Goods:  SUPPLY and DELIVERY of Various Office Equipment for the newly constructed ELC Extension Building 1.	The Department of Education, Regional Office 02, through the NEAP-R Funds   intends to apply the sum of One Mill</t>
  </si>
  <si>
    <t xml:space="preserve"> INVITATION TO BID  Procurement and Delivery of Meals, Venue and Accommodation  for the 2020 Census of Population and Housing (CPH)  Third Level Training – PSA Cavite 1.	The Philippine Statistics Authority, RSSO IV-A, through the General Fund for 2020 inte</t>
  </si>
  <si>
    <t xml:space="preserve"> Republic of the Philippines Province of Surigao del Sur Municipality of Tago ---ooo0ooo--- Invitation to Bid Installation of Street Light from Crossing Victoria – Purisima Road section w/ center Island  Project ID No. TAG-SDS-061-2020 The Local Government</t>
  </si>
  <si>
    <t xml:space="preserve"> INVITATION TO BID The DPWH Isabela 4th District Engineering Office through its Bids and Awards Committee (BAC), invites contractors to submit bids for the following Contract: Procurement ID / Contract ID			: 20BH0143 Contract Name/                        </t>
  </si>
  <si>
    <t xml:space="preserve"> Invitation to Bid   Procurement of WORKS:  Construction of NEAP Communal Comfort Room 1.	The Department of Education Regional Office No.2, through the NEAP-R Funds   intends to apply the sum of One Million Four Hundred Seventy Four Thousand Five Hundred F</t>
  </si>
  <si>
    <t xml:space="preserve"> LOCAL GOVERNMENT UNIT OF NAGUILIAN , ISABELA INVITATION TO BID FOR the SUPPLY AND DELIVERY OF CONSTRUCTION MATERIALS FOR THE CONSTRUCTION OF BAHAY SILANGAN 1.	The Local Government Unit of Naguilian, Isabela, through the Capital Outlay of the Office of the</t>
  </si>
  <si>
    <t xml:space="preserve"> 1. The Provincial Government of Davao del Norte, through 20% DF CY 2019, 20% DF CY 2020 and 20% DF (Peace and Order Program), intends to apply the sum of Nine Million Three Hundred Ninety Six Thousand One Hundred Eighty Four and 22/100 Pesos (Php 9,396,18</t>
  </si>
  <si>
    <t xml:space="preserve"> Republic of the Philippines DEPARTMENT OF HEALTH WESTERN VISAYAS Center for Health Development INVITATION TO BID FOR THE  Procurement of NAAT – LAMP Reagents and Consumables, IB No. SB-2020-022 1.	The Department of Health – WV CHD, through the SAA-20-04-0</t>
  </si>
  <si>
    <t xml:space="preserve"> 1. The Polomolok Water District now invites Bids from MANUFACTURERS/SUPPLIERS &amp; ELIGIBLE BIDDERS for the Supply, Delivery and Commissioning of Generator Sets and Automatic Transfer Switch for PS No. 9 and No 9A with an approved budget amounting to PhP 950</t>
  </si>
  <si>
    <t xml:space="preserve"> INVITATION TO BID  Procurement and Delivery of Meals, Venue and Accommodation  for the 2020 Census of Population and Housing (CPH)  Third Level Training – PSA Quezon 1.	The Philippine Statistics Authority, RSSO IV-A, through the General Fund for 2020 inte</t>
  </si>
  <si>
    <t xml:space="preserve"> widening of barangay road- sitio parang</t>
  </si>
  <si>
    <t xml:space="preserve"> Invitation to Bid 1.	The MUNICIPAL GOVERNMENT OF SAN VICENTE, PALAWAN, through the 20% Development Fund CY 2020 intends to apply the sum of  ONE MILLION NINE HUNDRED FIVE THOUSAND PESOS (Php 1,905,000.00) being the Approved Budget for the Contract (ABC) t</t>
  </si>
  <si>
    <t xml:space="preserve"> Republic of the Philippines PROVINCE OF CAMARINES SUR BIDS AND AWARDS COMMITTEE ITB No. 033-07-2020 INVITATION TO BID  	The Provincial Government of Camarines Sur (PGCS) through its Bids and Awards Committee (BAC) invites suppliers/manufacturers/distribut</t>
  </si>
  <si>
    <t xml:space="preserve"> Purchased of Supplies and Materials  for ORGANIC AGRICULTURE PRODUCTION</t>
  </si>
  <si>
    <t xml:space="preserve"> REPUBLIC OF THE PHILIPPINES   DEPARTMENT OF AGRARIAN REFORM   Tunay na Pagbabago sa Repormang Agraryo Project Reference No. NO-2020-011 INVITATION TO BID  “Procurement of Farm Machineries and Equipment  For Major Crop Based Block Farm Productivity for DAR</t>
  </si>
  <si>
    <t xml:space="preserve"> June 24, 2020 Name of Project:	PROCUREMENT AND DELIVERY OF MATERIALS FOR THE IMPROVEMENT OF COVERED PATHWALK AND REPAIR OF CONCRETE PATHWALK AT BAYUIN NHS. Sir/Madame: Please quote your lowest price for the following item enumerated below, taking into con</t>
  </si>
  <si>
    <t xml:space="preserve"> 4 unit Partition Tables 6 pax Specifications: Office Partition: 6 pax 40mm thick, aluminum trims in custom Powder Coated fin. 2 tone full fabric finish + half glass 300mm Ht (9) 1500mm L x 1500mm Ht (6) 450mm L x 1500mm Ht Free Standing Table (6) brackete</t>
  </si>
  <si>
    <t xml:space="preserve"> Purchase and delivery of 3000 bott. of alcohol to be distributed to frontliners of the City of Calapan</t>
  </si>
  <si>
    <t xml:space="preserve"> Conduct of Detailed Engineering Design of Ilocos Norte-Ilocos Sur-Abra Irrigation Project</t>
  </si>
  <si>
    <t xml:space="preserve"> Municipality of Dolores, Quezon INVITATION TO BID FOR THE IMPROVEMENT OF PUBLIC CEMETERY (VETERANS), BRGY. BAYANIHAN, DOLORES, QUEZON The LGU, through  the General Fund (20% DF)  –intends to apply the sum of  One Million Two  Hundred  Twenty Six Thousand </t>
  </si>
  <si>
    <t xml:space="preserve"> Purchase and delivery of multivitamins and other supplements to be distributed to Calapan City residents</t>
  </si>
  <si>
    <t xml:space="preserve"> This project entails labor and materials for the rehabilitation/construction of 4 units Purok Marker at Brgy. Binisitahan Norte, Magallanes, Sorsogon.</t>
  </si>
  <si>
    <t xml:space="preserve"> Zone 5 c/o Romano Compound Barangay Abella, Naga City</t>
  </si>
  <si>
    <t xml:space="preserve"> MV Spare parts</t>
  </si>
  <si>
    <t xml:space="preserve"> Republic of the Philippines BATANGAS STATE UNIVERSITY Batangas City REQUEST FOR QUOTATION "Procurement of Communication Equipment for Various Offices" 1. The Batangas State University (BatState U) through the Bids and Awards Committee invites interested f</t>
  </si>
  <si>
    <t xml:space="preserve"> ITEM NO. QUANTITY UNIT ITEM DESCRIPTION 1 200 PCS. CHB 4" 2 55 BAGS CEMENT 3 1 CU.M. SAND 4 1 CU.M. GRAVEL 5 20 PCS. 10MM RSB X 6M 6 1 KG. TIE WIRE 7 1 PC. HACKSAW BLADE 8 2 KGS ASSTD CWN 9 1 PC. 1/2" ORD. PLYWOOD 10 181 PCS 60CM X 60CM FLOOR TILES  11 12</t>
  </si>
  <si>
    <t xml:space="preserve"> Republic of the Philippines Province of Cotabato Municipality of Antipas BIDS AND AWARDS COMMITTEE INVITATION TO BID FOR Supply and Delivery of Goods for Integrated Community Food Production 1.	The Municipal Government of Antipas, through the Trust Fund i</t>
  </si>
  <si>
    <t xml:space="preserve"> Supply, Delivery &amp; Installation of 11-unit Aircon for the New Mayor's Office &amp; Executive Hall 7 units Ceiling Mounted Aircon 4HP 1 unit Split Type Aircon 1HP 3 units Floor Standing Aircon 3TR Installation, Chipping Restoration and Start Up &amp; Commissioning</t>
  </si>
  <si>
    <t xml:space="preserve"> Specifications: 1.	CARABULL WITH BULLCART Specification: Carabao: bull 4-5 years old, 400-500 kg. Bullcart: body made of metal with two wheel	units	3 2.	COLLAPSIBLE DRYER Specification: Collapsible Dryer-II-25 Woven coated polyethylene (PE) Color: Black T</t>
  </si>
  <si>
    <t xml:space="preserve"> Good Lumber etc. NOTE:To all suppliers bid documents and BAC Resolution 2020-029 are available at BAC Office and LGU website.</t>
  </si>
  <si>
    <t xml:space="preserve"> INVITATION TO BID CATERING SERVICES FOR RESPONSE OPERATION – 2ND BIDDING 1.	The Local Government Unit of Cabadbaran City through the PEACE &amp; ORDER FUND intends to apply the sum of FOUR HUNDRED NINETY-EIGHT THOUSAND EIGHT HUNDRED PESOS ONLY (P 498,800.00) </t>
  </si>
  <si>
    <t xml:space="preserve"> Republic of the Philippines DEPARTMENT OF PUBLIC WORKS AND HIGHWAYS LAGUNA I  DISTRICT ENGINEERING OFFICE REGIONAL OFFICE NO. IV-A Santa Cruz, Laguna 									June 24, 2020 NOTICE OF PROCUREMENT THROUGH ALTERNATIVE METHOD 	Notice is given that the DPWH-La</t>
  </si>
  <si>
    <t xml:space="preserve"> INVITATION TO BID (RE-BID) A.	The DPWH, Negros Oriental 1st District Engineering Office, Tinaogan, Bindoy, Negros Oriental now invites contractors to apply to bid for the contract(s); Contract ID # 		20HJ0119 Contract Name 	Repair and Rehabilitation of In</t>
  </si>
  <si>
    <t xml:space="preserve"> Supply and delivery of Other Supplies			 			 BOOTS, rubber sizes 7, 8, 9 &amp; 10		7	pairs water proof, inner elastic gore, fabric lining			 HELMET,for safety		6	pcs BEDDING SET, inludes: pillow cases, fitted sheet &amp; flat sheet		9	sets BED MATTRESS, soft, sin</t>
  </si>
  <si>
    <t xml:space="preserve"> Republic of the Philippines Province of Cebu Municipality of Malabuyoc BIDS AND AWARDS COMMITTEE INVITATION TO APPLY FOR ELIGIBILITY AND TO BID Advertisement No. 2020-4 The Municipality of Malabuyoc, through its Bids and Awards Committee (BAC), invites co</t>
  </si>
  <si>
    <t xml:space="preserve"> PURCHASE</t>
  </si>
  <si>
    <t xml:space="preserve"> Materials for the rehabilitation/improvement of City Health Office, Old City Hall Building</t>
  </si>
  <si>
    <t xml:space="preserve"> Please see attached document</t>
  </si>
  <si>
    <t xml:space="preserve"> Ref.No./PR No./Description:  INFRA2020-AG6-008/MG-A7C20-016/A6 Construction of Concrete Barrier Below Access Road Area, Agus 6/7 HEPC, Fuentes, Maria Cristina, Iligan City 1. Clearing and Site Preparation  2. Earthworks  3. Reinforcement Steel Works DSB  </t>
  </si>
  <si>
    <t xml:space="preserve"> Republika ng Pilipinas PAMAHALAANG LUNGSOD NG TACLOBAN (City Government of Tacloban) Kanhuraw Hill, Tacloban City 6500 BIDS AND AWARDS COMMITTEE INVITATION TO BID  REF #043-06-2020 (JUNE 25, 2020) PR# 2020-696 DATED 06-15-2020 7066468 The Procuring Entity</t>
  </si>
  <si>
    <t xml:space="preserve"> Republic of the Philippines Province of Cavite Municipality of Naic BIDS AND AWARDS COMMITTEE PB-2020-06-036 INVITATION TO  BID  REPAIR/MAINTENANCE OF PUBLIC ELEMENTARY SCHOOLS, NAIC, CAVITE 1.         The Municipal Government of Naic through  2020 SEF FU</t>
  </si>
  <si>
    <t xml:space="preserve"> Republic of the Philippines Province of Cavite Municipality of Naic BIDS AND AWARDS COMMITTEE PB-2020-06-035 INVITATION TO  BID  CONSTRUCTION OF PERIMETER FENCE AT SCHOOL GROUNDS AT HILLVIEW ROYALE  BRGY. TIMALAN BALSAHAN, NAIC, CAVITE 1.         The Muni</t>
  </si>
  <si>
    <t xml:space="preserve"> 1.	The Development Bank of the Philippines (DBP) intends to apply the sum of Two Hundred One    Million Three Hundred Ninety-Eight Thousand Nine Hundred Sixty -Two and 47/100 Pesos                             (P201,398,962.47) as the Approved Budget for t</t>
  </si>
  <si>
    <t xml:space="preserve"> QTY	UNIT	ITEM DESCRIPTION 		 		"(FOTON VIEW AMBULANCE - SAA 6353)  Office of the Municipal Health Officer"  2.00 	pc	Ball Joint Lower  2.00 	pc	Ball Joint Upper  1.00 	l	Automatic Transmission Fluid  1.00 	pc	Battery 2SM 		Labor : 		Replacement of Ball Jo</t>
  </si>
  <si>
    <t xml:space="preserve"> 1.Municipality of Amadeo through its GEN FUND intends to apply the sum of Php 461,900.00 being the Approved Budget Ceiling for the PURCHASE OF OFFICE EQUIPMENT TO BE USED BY DIFFERENT OFFICES  Quotation received in excess of the ABC shall be automatically</t>
  </si>
  <si>
    <t xml:space="preserve"> 1.Municipality of Amadeo through its GEN FUND intends to apply the sum of Php 474,001.00 being the Approved Budget Ceiling for the PURCHASE OF IT EQUIPMENTS TO BE USED BY DIFFERENT OFFICES Quotation received in excess of the ABC shall be automatically rej</t>
  </si>
  <si>
    <t xml:space="preserve"> Republic of the Philippines 				 						City of Manila				 						BARANGAY 177, ZONE 16, DISTRICT II				 						BIDS AND AWARDS COMMITTEE				 										 										June 25, 2020 										D A T E 						INVITATION TO BID 				 										 BARANGAY 177, ZONE 16, </t>
  </si>
  <si>
    <t xml:space="preserve"> 1.	The Department of Public Works and Highways Regional Office XI, Davao City, through its Bids and Awards Committee (BAC), invites bidders to submit bids for the Infra projects funded under GAA FY 2020, to wit: Contract ID 	:	20L00155 Contract Name/Locat</t>
  </si>
  <si>
    <t xml:space="preserve"> 1.Municipality of Amadeo through its GEN FUND intends to apply the sum of Php 199,898.00 being the Approved Budget Ceiling for the PURCHASE OF FORMS TO BE USED BY ASSESSOR'S OFFICE  Quotation received in excess of the ABC shall be automatically rejected. </t>
  </si>
  <si>
    <t xml:space="preserve"> Please see attached copy of the Request For Quotation</t>
  </si>
  <si>
    <t xml:space="preserve"> Invitation to Bid  For the Fabrication and Installation of Grills in Classrooms of PAGCOR Building and Four (4) Storey BEEF Building at Iloilo City National High School, Molo, Iloilo City 1.	The City of Iloilo, through the SEF, CY2018  intends to apply th</t>
  </si>
  <si>
    <t xml:space="preserve"> Republic of the Philippines Department of Education Region v SCHOOLS DIVISION OF SORSOGON Capitol Compound, Sorsogon City Invitation to Bid for REPAIR OF CLASSROOMS UNDER CY 2020 QUICK RESPONSE FUND (QRF)  (Lots 4,9, 11, 22 and 32 – Rebid) Project No.: 20</t>
  </si>
  <si>
    <t xml:space="preserve"> Republic of the Philippines BATANGAS STATE UNIVERSITY Batangas City REQUEST FOR QUOTATION "Procurement of Chairs for BatStateU Lipa Campus" 1. The Batangas State University (BatState U) through the Bids and Awards Committee invites interested firms/suppli</t>
  </si>
  <si>
    <t xml:space="preserve"> INVITATION TO BID IB No. 16,   S. 2020 The Municipality of General Nakar, Quezon through the Approved Appropriation Ordinance No. 2019-29  appropriating funds for the Annual Budget CY 2020 intends to apply the sum of  Six Million  Five Hundred Thousand  P</t>
  </si>
  <si>
    <t xml:space="preserve"> Municipality of Indang, Cavitre</t>
  </si>
  <si>
    <t xml:space="preserve"> INVITATION TO BID IB No. 04, S. 2020 The Municipality of General Nakar, Quezon through the Approved  Purchase Request amounting to  Three Hundred Sixty Nine Thousand Two Hundred Sixty Four Pesos and Twenty Seven Centavos (PhP369,264.27)) being the Approve</t>
  </si>
  <si>
    <t xml:space="preserve"> Republic of the Philippines Province of Cebu Municipality of Malabuyoc BIDS AND AWARDS COMMITTEE INVITATION TO APPLY FOR ELIGIBILITY AND TO BID Advertisement No. 2020-5 The Municipality of Malabuyoc, through its Bids and Awards Committee (BAC), invites co</t>
  </si>
  <si>
    <t xml:space="preserve"> 1.	The Department of Public Works and Highways Regional Office XI, Davao City, through its Bids and Awards Committee (BAC), invites bidders to submit bids for the Infra projects funded under GAA FY 2020, to wit: Contract ID 	:	20L00146 Contract Name/Locat</t>
  </si>
  <si>
    <t xml:space="preserve"> INVITATION TO BID The Department of Public Works and Highways - Pampanga 1st District Engineering Office, through its Bids and Awards Committee (BAC), invites contractors to submit bids for the following Contract: 1.	 Procurement ID/Contract ID	:	20CG0158</t>
  </si>
  <si>
    <t xml:space="preserve"> Republic of the Philippines Province of Surigao del Sur Municipality of Tago ---ooo0ooo--- Invitation to Bid Construction of Operation Center Building (MDRRMO) Project ID No. TAG-SDS-059-2020 The Local Government Unit of Tago, Surigao del Sur invites seal</t>
  </si>
  <si>
    <t xml:space="preserve"> Invitation to Bid  For the Construction/Rehabilitation of Existing Drainage System at Brgy. Pali-Benedicto, Mandurriao, Iloilo City 1.	The City of Iloilo, through the 20% Development Fund, CY2019 intends to apply the sum of Three Million Pesos (Php 3,000,</t>
  </si>
  <si>
    <t xml:space="preserve"> Additional materials for the rehab of Gabaldon Building OMHS</t>
  </si>
  <si>
    <t xml:space="preserve"> Procurement of amlodipine</t>
  </si>
  <si>
    <t xml:space="preserve"> Purchase of Medicine for brgy Health Center</t>
  </si>
  <si>
    <t xml:space="preserve"> 1. AMPALAYA Vegetable Seeds, 3,510 pack 2. EGGPLANT Vegetable Seeds, 1,404 pack 3. SRING BEANS Vegetable Seeds, 702 pack 4. TOMATO Vegetable Seeds, 1,404 pack 5. FERTILIZER, Complete, 140 Sack 6. FERTILIZER, Urea, 140 Sack 7. PESTICIDES, 250ml 702 btls. 8</t>
  </si>
  <si>
    <t xml:space="preserve"> Republic of the Philippines BOHOL ISLAND STATE UNIVERSITY Main Campus, Tagbilaran City INVITATION TO BID FOR THE RE-BIDDING OF LOT 1: SUPPLY, DELIVERY AND INSTALLATION OF GARMENTS TECHNOLOGY EQUIPMENT FOR CTE EXTENSION PROGRAM (PR NO. 2020-02-0281) LOT 2:</t>
  </si>
  <si>
    <t xml:space="preserve"> INVITATION TO BID Purchase and Delivery of Cell Cards for the Month of July to December 2020  ITB 2020-06-035(GOODS) 1. 	The Municipality of Tuba, through the Budget for the contract approved by the Sangguniang Bayan for CY 2020 intends to apply the sum o</t>
  </si>
  <si>
    <t xml:space="preserve"> Republic of the Philippines DEPARTMENT OF HEALTH WESTERN VISAYAS Center for Health Development INVITATION TO BID FOR THE  Procurement of Drugs and Medicines for Outreach Activities, IB No. SB-2020-023 1.	The Department of Health – WV CHD, through the PHM </t>
  </si>
  <si>
    <t xml:space="preserve"> REPUBLIC OF THE PHILIPPINES   DEPARTMENT OF AGRARIAN REFORM   Tunay na Pagbabago sa Repormang Agraryo Project Reference No. NO-2020-012 INVITATION TO BID  “Procurement of Farm Machineries and Equipment  For Major Crop Based Block Farm Productivity for DAR</t>
  </si>
  <si>
    <t xml:space="preserve"> INVITATION TO BID The DPWH Isabela 4th District Engineering Office through its Bids and Awards Committee (BAC), invites contractors to submit bids for the following Contract: Procurement ID / Contract ID			: 20BH0144 Contract Name/                        </t>
  </si>
  <si>
    <t xml:space="preserve"> INVITATION TO BID FOR THE PURCHASE OF MATERIALS FOR THE CONSTRUCTION OF 2 MAKESHIFT CLASSROOMS AT MANTIBUGAO INTEGRATED SCHOOL 1.	The Local Government Unit of Manolo Fortich, through the Special Education Fund  intends to apply the sum of Two Hundred Twel</t>
  </si>
  <si>
    <t xml:space="preserve"> Republic of the Philippines DEPARTMENT OF PUBLIC WORKS AND HIGHWAYS SURIGAO DEL SUR II DISTRICT ENGINEERING OFFICE REGIONAL OFFICE XIII Bislig City INVITATION TO BID The Department of Public Works and Highways (DPWH), Surigao del Sur 2nd District Engineer</t>
  </si>
  <si>
    <t xml:space="preserve"> The Western Mindanao State University, through its Bids and Awards Committee (BAC), is inviting PhilGEPS registered suppliers to apply for eligibility and to submit bids for the item mentioned hereunder:  1.)	4	Units	Aircondition 			Specification: 			* wi</t>
  </si>
  <si>
    <t xml:space="preserve"> The Western Mindanao State University, through its Bids and Awards Committee (BAC), is inviting PhilGEPS registered suppliers to apply for eligibility and to submit bids for the item mentioned hereunder:  1.)	2	Units	Computer Table 			* keyboard sliding d</t>
  </si>
  <si>
    <t xml:space="preserve"> The Western Mindanao State University, through its Bids and Awards Committee (BAC), is inviting PhilGEPS registered suppliers to apply for eligibility and to submit bids for the item mentioned hereunder:  1.)	14	Units	Steel Filing Cabinet 			Specification</t>
  </si>
  <si>
    <t xml:space="preserve"> The Western Mindanao State University, through its Bids and Awards Committee (BAC), is inviting PhilGEPS registered suppliers to apply for eligibility and to submit bids for the item mentioned hereunder:  1.)	3	Cartridges	Printer Ink Cartridge for Compute</t>
  </si>
  <si>
    <t xml:space="preserve"> The Western Mindanao State University, through its Bids and Awards Committee (BAC), is inviting PhilGEPS registered suppliers to apply for eligibility and to submit bids for the item mentioned hereunder:  1.	Name of the Project: WMSU Water Refilling Stati</t>
  </si>
  <si>
    <t xml:space="preserve"> MODULE 1 = Tarragona, Caraga, Banganga, Cateel and Boston- No. of Hectares 194.7063 ABC Php739,884.02 MODULE 2 = Manay  -  No. of Hectares 366.2068 ABC Php1,391,585.94 MODULE 3 = Banaybanay, Gov. Generoso and Lupon -No. of Hectares -225.4345 ABC Php856,65</t>
  </si>
  <si>
    <t xml:space="preserve"> The Western Mindanao State University, through its Bids and Awards Committee (BAC), is inviting PhilGEPS registered suppliers to apply for eligibility and to submit bids for the item mentioned hereunder:  1.)	90	Cans	Insecticide, aerosol type, net content</t>
  </si>
  <si>
    <t xml:space="preserve"> 15        GAL.             PAINT THERMOPLASTIC MARKING PAINT, YELLOW 15        GAL.             PAINT THERMOPLASTIC MARKING PAINT, BLACK 10         PCS             ROLLER BRUSH, 4" 10         PCS             PAINT BRUSH, 4" 10         PCS             PAIN</t>
  </si>
  <si>
    <t xml:space="preserve"> 2 pail Grease 10 pail engine Oil Diesel SAE 40 15 pail Hrdraulic Oil 10</t>
  </si>
  <si>
    <t xml:space="preserve"> The Procuring Entity Through its Bids and Awards Committee invites suppliers to quote for the hereunder project/program: Purchase of 150cc Motorcycle,f.i. and 125cc motorcycle, f.i.  15% building permits fees and charges from sept. 2016 to sept. 2019 Item</t>
  </si>
  <si>
    <t xml:space="preserve"> Construction of Concrete Pathway P-3</t>
  </si>
  <si>
    <t xml:space="preserve"> Laptop with Digital Recorder	2	units	71,910.00 Processor: Core i3-8145U2. 10Ghz- 3.90 Ghz Memory: 4GB Onboard Memory SSD: 128GB SSD Graphics: Integrated Graphics Display: 15.6inch (16:9) LED HD (1366x768) 60GHz OS: Windows 10 Weight: 4lbs (1.8kg) Warranty</t>
  </si>
  <si>
    <t xml:space="preserve"> Purchase of Office Supplies and Consumables as indicated in School Improvement Plan</t>
  </si>
  <si>
    <t xml:space="preserve"> Republic of the Philippines Province of Oriental Mindoro MUNICIPALITY OF PINAMALAYAN OFFICE OF THE BIDS AND AWARDS COMMITTEE Invitation to Bid ITB-2020-17 1.  The Municipal Government of Pinamalayan, Oriental Mindoro, through the authorized appropriations</t>
  </si>
  <si>
    <t xml:space="preserve"> PLS. SEE ATTACHED PR, TOR &amp; BID DOCS. FOR DETAILS</t>
  </si>
  <si>
    <t xml:space="preserve"> SPINE BOARD: Specifications: 1. Color: Orange; 2. Size: 186 cm x 45.3 cm x 6.5 cm; 3. Net Weight: 7 kg.; 4. With Whole Body Strap; and  5. After sale warranty. Note:  a. Supplier must have pertinent documents such as PhilGPES registration, Mayor's Permit,</t>
  </si>
  <si>
    <t xml:space="preserve"> QTY UNIT  DESCRIPTION 1	pc	Saddle Clamp 4"Ø x 1"Ø G.I 1	roll	P.E pipe 1"Ø (sdr 11) 22	pcs	2"Ø P.E coupling 21	pcs	1 1/2" Ø P.E couping 6	pcs	1" Ø P.E couping 1	pc	2" Ø swing valve 1	pc	1 1/2"Ø swing valve 2	pcs	2" Ø gatevalve 2	pcs	1 1/2"Ø gatevalve 1	pc	</t>
  </si>
  <si>
    <t xml:space="preserve"> 1	pc	2C alternator 110apm		 1	pc	Battery, 3SN</t>
  </si>
  <si>
    <t xml:space="preserve"> Procurement of 1 Lot Repair and Maintenance of Office Equipment (Printers) for the 3rd Quarter of 2020</t>
  </si>
  <si>
    <t xml:space="preserve"> INFRASTRUCTURE WORKS FOR THE ROAD CONCRETING OF BARANGAY ROAD AT BARANGAY MAYABON, ZAMBOANGUITA, NEGROS ORIENTAL</t>
  </si>
  <si>
    <t xml:space="preserve"> INFRASTRUCTURE WORKS FOR THE ROAD CONCRETING OF BARANGAY ROAD AT BARANGAY LUTOBAN, ZAMBOANGUITA, NEGROS ORIENTAL</t>
  </si>
  <si>
    <t xml:space="preserve"> Supply and delivery of Materials for the Repair/Maintenance (Joints &amp; Cracks Sealing and Pothole Patching)</t>
  </si>
  <si>
    <t xml:space="preserve"> Item No.	QTY.	UNIT	DESCRIPTION/SPECIFICATION OF ARTICLES	ABC	 				Unit	Total 1	1000	tablet	Aciclovir 800mg	 34.00 	34,000.00 2	500	tablet	Alprazolam 250mcg in foil/blister pack*	 15.00 	7,500.00 3	140	bottle	Amino Acid, Crystalline Standard 8%, 500ml	 475</t>
  </si>
  <si>
    <t xml:space="preserve"> 1 UNIT MOTORCYCLE</t>
  </si>
  <si>
    <t xml:space="preserve"> INVITATION TO BID FOR THE  PURCHASE OF UNIFORM FOR CENRO PERSONNEL - CENRO 1.	The City Government of Bacoor, Cavite, through the General Fund Year 2020 intends to apply the sum of EIGHT HUNDRED THOUSAND PESOS AND ZERO CENTAVO (PhP800,000.00) being the App</t>
  </si>
  <si>
    <t xml:space="preserve"> National Power Corporation INVITATION TO BID PUBLIC BIDDING 2020-0138 1.	The NATIONAL POWER CORPORATION (NPC), through       its        approved       Corporate Budget of CY 2020 intends to apply   the   sum   of (Please see schedule below) being the Appr</t>
  </si>
  <si>
    <t xml:space="preserve"> Supply &amp; Delivery of Materials ABC:884,533.12 468 bot      ALCOHOL, 68-72% ethyl, 500 ml.  305 pc      BALLPEN, ordinary Black  255 pc       BALLPEN, ordinary Blue  1  tube       BALLPEN, Blue ink, retractable, 50 pcs/tube  1 tube	      BALLPEN, Black ink</t>
  </si>
  <si>
    <t xml:space="preserve"> The Municipality of Baggao, through the Bids and Awards Committee intends to enter into Negotiated Procurement (due to two-failed public biddings) to a qualified bidder for the procurement of Goods, to wit: GOODS	ABC Lot1-Purchase of Office &amp; IT Equipment</t>
  </si>
  <si>
    <t xml:space="preserve"> INSTALLATION OF BASKETBALL FIBER GLASS BOARD WITH RING</t>
  </si>
  <si>
    <t xml:space="preserve"> INVITATION TO BID SUPPLY &amp; DELIVERY OF MEDICINES Reference No.: GDS-20-053 The MUNICIPAL GOVERNMENT OF DARAGA, through the Municipal Annual Budget, intends to apply the sum of Four Million Seven Hundred Eighteen Thousand Five Hundred Twenty Eight Pesos 60</t>
  </si>
  <si>
    <t xml:space="preserve"> https://drive.google.com/file/d/1cUJ6XNowkbyZ-dpRVlAwdjlktzwxyT_G/view?usp=drivesdk</t>
  </si>
  <si>
    <t xml:space="preserve"> Invitation to Bid for the Road Concreting to Central MRF (Phase 2) 1.	The LGU-Salcedo, through the Local Development  Fund  intends to apply the sum of  Six  Million Two Hundred Thirty Three  Thousand Pesos only (Php 2,079,967.00)  being the Approved Budg</t>
  </si>
  <si>
    <t xml:space="preserve"> Purchase and delivery of 4 units laptop to be used at the City College of Calapan</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</si>
  <si>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</si>
  <si>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</si>
  <si>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Materials for the construction of motorpool</t>
  </si>
  <si>
    <t xml:space="preserve"> Mats. for the rehabilitation of Comelec Office</t>
  </si>
  <si>
    <t xml:space="preserve"> COMPLETION OF OTOP CENTER- SINAIT, I. SUR I	Painting Works II	Tile Works III.	Ceiling Works SPL	Construction Safety &amp; Health IMPROVEMENT OF MULTI-PURPOSE BUILDING- Brgys. Calanutian, Zapat, Tubigay, Ricudo, Binacud &amp; Masadag, Sinait, Ilocos Sur I	Painting</t>
  </si>
  <si>
    <t xml:space="preserve"> Republic of the Philippines Province of Cebu Municipality of Malabuyoc BIDS AND AWARDS COMMITTEE INVITATION TO APPLY FOR ELIGIBILITY AND TO BID Advertisement No. 2020-6 The Municipality of Malabuyoc, through its Bids and Awards Committee (BAC), invites co</t>
  </si>
  <si>
    <t xml:space="preserve"> HOP-QR-PRO-005 Republic of the Philippines Department of Health DAVAO REGIONAL MEDICAL CENTER Apokon, Tagum City BIDS AND AWARDS COMMITTEE INVITATION TO BID FOR THE SUPPLY &amp; DELIVERY OF MEDICAL EQUIPMENT FOR NEURO-SPINE SURGERY USE 1.	The Davao Regional M</t>
  </si>
  <si>
    <t xml:space="preserve"> Republic of the Philippines City of Gapan Province of Nueva Ecija ------------------------------------------------------------------------------ Invitation to Bid for the Supply and Delivery of One (1) Unit Service Ambulance 1.	The City Government of Gapa</t>
  </si>
  <si>
    <t xml:space="preserve"> 1.	The MUNICIPALITY OF GUINAYANGAN, QUEZON, through  the  PCB-TRUST Fund  intends to apply the sum of  One Hundred Eighty Thousand Pesos (P 180,000.00) being the Approved Budget for the Contract (ABC) to payments under the contract for Supply and Delivery</t>
  </si>
  <si>
    <t xml:space="preserve"> Republic of the Philippines DEPARTMENT OF HEALTH WESTERN VISAYAS Center for Health Development INVITATION TO BID FOR THE  Procurement of Drugs Medicines for Botika ng Bayan IB No. SB-2020-024 1.	The Department of Health – WV CHD, through the 2019 NCPAM CO</t>
  </si>
  <si>
    <t xml:space="preserve"> 4 pcs. Tire - 235/70/R15 10 cans Car Air Freshener (Organic) 42 g. 1 pc. Battery (9 plates) 1 pair Clutch Master/Secondary Clutch 1 pc. Skid Plate 4 pcs. Mags Cover</t>
  </si>
  <si>
    <t xml:space="preserve"> 10	T/L	SI (ELF) 110	BAGS	CEMENT 5	KLS	CONCRETE NAIL 15	PCS	TUBULAR 1.5 X 1 X 1 5	ROLLS	FISHING CORD 12	TIN	RUBBERIZED PAINT 6	TIN	LATEX PAINT 4	LTRS	TINTING ACRYCOLOR PAINT 5	PCS	PAINT BRUSH #2 6	PCS	ROLLER PAINT #7 1	PACKS	RAGS 5	ROLLS	MASKING TAPE #1</t>
  </si>
  <si>
    <t xml:space="preserve"> INVITATION TO BID SUPPLY AND DELIVERY OF FUEL (DIESEL &amp; GASOLINE) FOR THE CITY ENGINEER’S OFFICE – 2ND BIDDING 1.	The Local Government Unit of Cabadbaran City through the GENERAL FUND intends to apply the sum of THREE HUNDRED SEVENTY-FIVE THOUSAND NINE HU</t>
  </si>
  <si>
    <t xml:space="preserve"> SUPPLY &amp; INSTALLATION OF INDUSTRIAL CEILING FAN</t>
  </si>
  <si>
    <t xml:space="preserve"> NEGOTIATED PROCUREMENT (SMALL VALUE PROCUREMENT) OF SECURITY SERVICES (THREE GUARDS) FOR THE OFFICE OF THE PROFESSIONAL REGULATION COMMISSION, ILOILO REGIONAL OFFICE, ILOILO CITY RFQ-NP No. 2020-004</t>
  </si>
  <si>
    <t xml:space="preserve"> INSTALLATION OF CCTV</t>
  </si>
  <si>
    <t xml:space="preserve"> Republic of the Philippines PROVINCE OF PAMPANGA City of San Fernando INVITATION TO BID NO. 2020-20 IG-BAC INVITATION TO BID FOR PURCHASE REQUEST NO. 20-0661 and 20-0852 The Provincial Government of Pampanga (“Province”) intends to apply the following sum</t>
  </si>
  <si>
    <t xml:space="preserve"> INVITATION TO BID The DPWH Isabela 4th District Engineering Office through its Bids and Awards Committee (BAC), invites contractors to submit bids for the following Contract: Procurement ID / Contract ID			: 20BH0145 Contract Name/                        </t>
  </si>
  <si>
    <t xml:space="preserve"> Republic of the Philippines Province of Leyte BRGY. BALUCANAD, CAPOOCAN, LEYTE -oOo- BIDS AND AWARD COMMITTEE INVITATION TO BID  FOR THE PROCUREMENT OF EMRGENCY RESPONSE VEHICLE 1.	The Brgy. Balucanad Capoocan, Leyte, through the Brgy. 20% Development Fun</t>
  </si>
  <si>
    <t xml:space="preserve"> TO CONSTRUCT STONE MASONRY SLOPE PROTECTION</t>
  </si>
  <si>
    <t xml:space="preserve"> 1 unit Submersible Pump 24 LPS</t>
  </si>
  <si>
    <t xml:space="preserve"> IMPROVEMENT OF RHU II</t>
  </si>
  <si>
    <t xml:space="preserve"> Department of Education Region VI-Western Visayas Division of Cadiz City  Mabini National High School Invitation to Bid for Various Repairs and Maintenance of the School’s Infrastructures 1.	The Mabini National High School, through the school’s MOOE 2020 </t>
  </si>
  <si>
    <t xml:space="preserve"> INVITATION TO BID  ITB NO: 07-01-2020 CIVIL WORKS   The Local Government Unit of Maramag, Bukidnon has a loan package from Land Bank of the Philippines intended to finance for infrastructure development within the municipality. The Local Government Unit o</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</si>
  <si>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</si>
  <si>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MUNICIPALITY OF BORBON DESCRIPTION: 2000 Tabs Lithium Carbonate 450mg tab 6000 Tabs Biperiden 2mg tab 1000 Tabs Chlorpromazine 100mg Tab 1000 Tabs Clozapine 100mg Tab 2000 Tabs Haloperidol 5mg Tab 100 Boxes Olanzapine 10mg Tab 500 Tabs Quetiapine 200mg Ta</t>
  </si>
  <si>
    <t xml:space="preserve"> INVITATION TO BID INSTALLATION OF STREET LIGHTS IN PUROK 1 AND 3, BARANGAY MAHABA – 2ND BIDDING 1.	The Local Government Unit of Cabadbaran City through the PEACE &amp; ORDER FUND (EO 70 ELCAC IMPLEMENTATION) intends to apply the sum of NINE HUNDRED EIGTHY-EIG</t>
  </si>
  <si>
    <t xml:space="preserve"> INVITATION TO BID  ITB NO: 07-02-2020 CIVIL WORKS The Local Government Unit of Maramag, Bukidnon has a loan package from Land Bank of the Philippines intended to finance for infrastructure development within the municipality. The Local Government Unit of </t>
  </si>
  <si>
    <t xml:space="preserve"> Invitation to Bid Republic of the Philippines City of Olongapo -0- BIDS AND AWARDS COMMITTEE BAC Office 3rd Floor  Olongapo City Hall  Web: www.olongapocity.gov.ph INVITATION TO BID FOR  OC-67(DEPED-02) 20 GD PROCUREMENT FOR THE SUPPLY AND DELIVERY OF IT </t>
  </si>
  <si>
    <t xml:space="preserve"> Lot 1  Supply &amp; Delivery of Construction Materials for the Construction Materials for Construction of Drainage Canal, Brgy. Carigangan, Janiuay, Iloilo Item Number	Description	Quantity 1	Portland Cement	117 bags 2	Screened Gravel	32 cu.m 3	Boulders	31 cu.</t>
  </si>
  <si>
    <t xml:space="preserve"> 52 units double cubicle with mobile cabinet with 2 unit chairs</t>
  </si>
  <si>
    <t xml:space="preserve"> Blinds for Barangay Hall</t>
  </si>
  <si>
    <t xml:space="preserve"> Purchase of Laptop.   Specifications:       - S145-14IKB 81VB001UPH I3-7020, 8GB, 512GB SSD, MX110, WIN 10</t>
  </si>
  <si>
    <t xml:space="preserve"> Contract Labor and Materials for the Construction of Concrete Reservoir - BLGU Kaligutan, Laak, Davao De Oro with an ABC of Php. 549,800.00. Note: For further details of the said project, please see/contact Hon. Annalie F. Langomez - Punong Barangay of Ka</t>
  </si>
  <si>
    <t xml:space="preserve"> 1 1 UNIT CAMERA - DIGITAL - Resolution: 16 MP - Sensor Type: CMOS - 16 megapixel High-Resolution 16x Zoom - High-Performance flash lamp 2 1 UNIT WATER DISPENSER - HOT &amp; COLD - Bottom load water dispenser</t>
  </si>
  <si>
    <t xml:space="preserve"> Republic of the Philippines City of Gapan Province of Nueva Ecija -------------------------------------------------------------------------- Invitation to Bid for the Upgrading and Rehabilitation of Damaged Paved Roads and Drainage Canal 1.	The City Gover</t>
  </si>
  <si>
    <t xml:space="preserve"> 400 PCS. ANGLE METER VALVE, 3/4 X 1/2,BRASS</t>
  </si>
  <si>
    <t xml:space="preserve"> INVITATION TO BID  ITB NO: 07-04-2020 CIVIL WORKS   The Local Government Unit of Maramag, Bukidnon has a loan package from Land Bank of the Philippines intended to finance for infrastructure development within the municipality. The Local Government Unit o</t>
  </si>
  <si>
    <t xml:space="preserve"> TO CONSTRUCT BOX CULVERT IRRIGATION CANAL</t>
  </si>
  <si>
    <t xml:space="preserve"> Bicol Medical Center Concepcion Pequeña, Naga City, 4400 (0998-247-0239/0906-256-9238          E-mail Address: bmc.bacoffice@gmail.com INIVITATION TO BID PROCUREMENT OF HEPA FILTER MACHINES (1 Lot) ITB No. 2020-16 1.	The BICOL MEDICAL CENTER, through SA-Q</t>
  </si>
  <si>
    <t xml:space="preserve"> 150,000 pcs. L. Vannamei Shrimp Fry PL 14 150,000 pcs. Bangus Fry (size 3)</t>
  </si>
  <si>
    <t xml:space="preserve"> 29 reams Bond paper A4 size 80gsm 23 reams Bond paper LEgal size 70gsm 10 roll wrapping paper 1 ream Folder A4 tagboard 46 roll tape transparent 24mm 23 roll transparent 48mm 4 box envelope doc. Legal size 3 box envelope expanding legal size 30 pack board</t>
  </si>
  <si>
    <t xml:space="preserve"> INVITATION TO BID  ITB NO: 07-03-2020 CIVIL WORKS The Local Government Unit of Maramag, Bukidnon has a loan package from Land Bank of the Philippines intended to finance for infrastructure development within the municipality.  The Local Government Unit of</t>
  </si>
  <si>
    <t xml:space="preserve"> HOP-QR-PRO-005 Republic of the Philippines Department of Health DAVAO REGIONAL MEDICAL CENTER Apokon, Tagum City BIDS AND AWARDS COMMITTEE INVITATION TO BID FOR THE PROCUREMENT OF ABG REAGENTS AND PROVISION OF ANALYZER 1.	The Davao Regional Medical Center</t>
  </si>
  <si>
    <t xml:space="preserve"> 1.	The OFFICE OF CIVIL DEFENSE, through the GAA OCD (Quick Response Fund) FY 2020, intends to apply the sum of Seven Million Nine Hundred Twenty Thousand Pesos (PHP7,920,000.00) being the Approved Budget for the Contract (ABC) to payments under the contra</t>
  </si>
  <si>
    <t xml:space="preserve"> Name of the Procuring Entity LOCAL GOVERNMENT UNIT  Mahinog, Camiguin	Project Reference Number: 2020-GOODS-077 Name of Project: Supply &amp; Delivery of Covid-19 Rapid Test Kits Location of the Project: Poblacion, Mahinog, Camiguin 	 Standard Form Number: SF-</t>
  </si>
  <si>
    <t xml:space="preserve"> INVITATION TO BID  ITB NO: 07-07-2020 CIVIL WORKS   The Local Government Unit of Maramag, Bukidnon has a loan package from Land Bank of the Philippines intended to finance for infrastructure development within the municipality. The Local Government Unit o</t>
  </si>
  <si>
    <t xml:space="preserve"> TO CONSTRUCT PCCP WITH STONE MASONRY AND CANAL</t>
  </si>
  <si>
    <t xml:space="preserve"> Please download the attached file (Associated Components) for the Bid Document.</t>
  </si>
  <si>
    <t xml:space="preserve"> The Municipality of Malangas, through the Bids and Award Committee (BAC), invites suppliers/manufactures/distributors/contractors to bid for the hereunder contract: Name of Project	: RENOVATION/RETROFITTING OF PUBLIC MARKET BUILDING- PHASE 1 –DESIGN AND B</t>
  </si>
  <si>
    <t xml:space="preserve"> Concreting of Barangay Road: Length - 25m. width - 5.00m. and thickness- 0.20m with 1.00m shouldering on both sides.</t>
  </si>
  <si>
    <t xml:space="preserve"> Contract Labor and Materials for the Construction of Concrete Reservoir located at Sitio 27 - BLGU Kaligutan, Laak, Davao De Oro with an ABC of Php. 550,000.00</t>
  </si>
  <si>
    <t xml:space="preserve"> Construction of Slaughterhouse Phase II -Brgy. Macabiag, Sinait, Ilocos Sur I.	Excavation for Structure II.	Embankment III.	Concrete Works IV.	Masonry &amp; Plastering Works V.	Steel Trusses &amp; Roofing Works VI.	Plumbing Works VII.	Septic Tank VIII.	Electrical</t>
  </si>
  <si>
    <t xml:space="preserve"> INVITATION TO BID FOR     ITB NO. 07-08-2020- GOODS                                       The Local Government Unit – Maramag, Bukidnon through the BIDS AND AWARDS COMMITTEE  (BAC) now invites bids for the herein mentioned project: Name of Project        </t>
  </si>
  <si>
    <t xml:space="preserve"> Lot 1 1 bundle P.E. Net #17k 1 bundle P.E. Net #12k 1 bundle P.E. Net #10k 400 meters Gill Net #6, #6 mesh 5 kilos Nylon #120 3 kilos Nylon #12 2 packs Floats (pataw) #5 1/2  20 kilos Sinker 1 roll Black Net (knotless) 1 roll Nylon #100 1 roll Poly Rope #</t>
  </si>
  <si>
    <t xml:space="preserve"> INVITATION TO BID  ITB NO: 07-05-2020 CIVIL WORKS The Local Government Unit of Maramag, Bukidnon has a loan package from Land Bank of the Philippines intended to finance for infrastructure development within the municipality.  The Local Government Unit of</t>
  </si>
  <si>
    <t xml:space="preserve"> INVITATION TO BID  ITB NO: 07-06-2020 CIVIL WORKS   The Local Government Unit of Maramag, Bukidnon has a loan package from Land Bank of the Philippines intended to finance for infrastructure development within the municipality. The Local Government Unit o</t>
  </si>
  <si>
    <t xml:space="preserve"> In view of the two (2) failed biddings, the Bureau of Fisheries and Aquatic Resources 6, through the Bids and Awards Committee invite suppliers to participate in the Negotiated Procurement of Diesel and Gasoline of BFAR 6 for CY 2020 with a total Approved</t>
  </si>
  <si>
    <t xml:space="preserve"> MUNICIPALITY OF BORBON DESCRIPTION: 200 BOTTLES D5LR 200 BOTTLES D5NSS 20 PACKS COTTON (ABSORBENT COTTON WOOL) 400GRAMS 300 PIECES CORD CLAMP 50 PACKS OS 4X4 50 PACKS OS 2X2 50 BOTTLES ISOPROPYL ALCOHOL 500 ML (ETHYL ALCOHOL 70%) 10 BOXES PLASTER 3 M HYPO</t>
  </si>
  <si>
    <t xml:space="preserve"> INVITATION TO BID FOR  ROAD REHABILITATION (ASPHALT OVERLAY &amp; RE-BLOCKING) AT BRGY.BANLIC 1.	The CITY OF CABUYAO, through the 2020 General Fund Annual City Budget intends to apply the sum of Nine Million Four Hundred Sixty-one Thousand Seventy-five Pesos </t>
  </si>
  <si>
    <t xml:space="preserve"> REHABILITATION (Concreting) OF ACCESS ROAD LEADING TO TWS WATER SOURCE</t>
  </si>
  <si>
    <t xml:space="preserve"> To deliver and install 1 large electro mechanical siren  Specifications: sound rating:123 ±2dB(A) 1M(Wide ranged),electric motor:1.5Kw 220-240V AC,50/60Hz,Output Frequency:444/533±20Hz,Single or Multi Tone, with 60 cm*60cm*200cm Metal Housing</t>
  </si>
  <si>
    <t xml:space="preserve"> PHILIPPINE SCIENCE HIGH SCHOOL SYSTEM						"REQUEST FOR QUOTATION FORM &amp;  NOTICE (GOODS)"		 Office / Campus:			MAIN CAMPUS					 Address / Contact Details:			AGHAM ROAD, DILIMAN, QUEZON CITY					 								 						Quotation No.:	20-06-150	 	GENTLEMEN:					Dat</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</si>
  <si>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</si>
  <si>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INVITATION TO BID FOR  CONSTRUCTION OF CABUYAO CITY HOSPITAL PHASE 2 (SITE DEVELOPMENT) 1.	The CITY OF CABUYAO, through the 2020 Continuing Fund Annual City Budget intends to apply the sum of Thirty-one Million Seven Hundred Eight Thousand Four Hundred Se</t>
  </si>
  <si>
    <t xml:space="preserve"> INVITATION TO BID FOR THE PROCUREMENT AND DELIVERY OF FUEL TO SUPPORT OPERATIONAL REQUIREMENTS  FOR COVID-19 AND OTHER ACTIVITIES FOR 2ND SEMESTER (RHQ, CAVITE, LAGUNA AND RIZAL) OF BFP REGION IV-A FOR CY 2020</t>
  </si>
  <si>
    <t xml:space="preserve"> Desktop Computer with MSO, MW,AV &amp; UPS CPU: 10th Gen. intel Core i7 Memory storage: 8 up to 16gb software: window 10 Display: n/a</t>
  </si>
  <si>
    <t xml:space="preserve"> Contract ID: 20PF0067 Contract Name: Construction / Rehabilitation of Flood Mitigation Facilities within Major River Basins &amp; Principal Rivers: Construction of Baney Flood Control Brief Description: Flood Control: Construction - Slope Protection using Str</t>
  </si>
  <si>
    <t xml:space="preserve"> Republic of the Philippines 				 						City of Manila				 						BARANGAY 235, ZONE 22, DISTRICT II				 						BIDS AND AWARDS COMMITTEE				 										 										June 25, 2020 										D A T E 						INVITATION TO BID 				 										 BARANGAY 235, ZONE 22, </t>
  </si>
  <si>
    <t xml:space="preserve"> INVITATION TO BID FOR THE PROCUREMENT AND DELIVERY OF FUEL TO SUPPORT OPERATIONAL REQUIREMENTS  FOR COVID-19 AND OTHER ACTIVITIES FOR 2ND SEMESTER (BATANGAS AND QUEZON) OF BFP REGION IV-A FOR CY 2020</t>
  </si>
  <si>
    <t xml:space="preserve"> Republic of the Philippines 				 						City of Manila				 						BARANGAY 186, ZONE 16, DISTRICT II				 						BIDS AND AWARDS COMMITTEE				 										 										June 25, 2020 										D A T E 						INVITATION TO BID 				 										 BARANGAY 186, ZONE 16, </t>
  </si>
  <si>
    <t xml:space="preserve"> ITEM NO.	UNIT	ITEM &amp; DESCRIPTION	QTY. 			 1	pc.	Polo Shirt with Embroidered Logo	20 2	pc.	Tshirt V-shape with Print	25</t>
  </si>
  <si>
    <t xml:space="preserve"> See attached supporting bid documents</t>
  </si>
  <si>
    <t xml:space="preserve"> TO CONSTRUCT PCCP,STONE MASONRY AND RC BOX CULVERT</t>
  </si>
  <si>
    <t xml:space="preserve"> Republic of the Philippines Province of Cagayan Municipality Of Ballesteros BARANGAY PAYAGAN EAST INVITATION TO BID FOR “Procurement of Various Materials for the Installation of Solar Streetlights” 1.	The Barangay Government of Payagan East, Ballesteros, </t>
  </si>
  <si>
    <t xml:space="preserve"> 56,827 BAGS - LOT 1: UREA FERTILIZER (46-0-0) @ 50KG/BAG GRANULES/PRILLED DELIVERED IN MUNICIPALITIES: OCCIDENTAL MINDORO - 16,461 ORIENTAL MINDORO - 37,448 ROMBLON - 1,432 MARINDUQUE - 1,486</t>
  </si>
  <si>
    <t xml:space="preserve"> Bidders must submit Certificate of PhilGEPS Registration. No extension on the deadline of delivery. Strictly 20 CD upon receipt of P.O.</t>
  </si>
  <si>
    <t xml:space="preserve"> The Barangay Government of Barangay POB. III, Tanauan City, Batangas through the Bids and Awards Committee (BAC) invites Suppliers/Contractors to apply for eligibility and if subsequently found eligible, to bid for the projects described hereunder, viz: N</t>
  </si>
  <si>
    <t xml:space="preserve"> LOT 11: 9,256 BAGS COMPLETE FERTILIZER (14-14-14) DELIVERED IN MUNICIPALITIES: OCCIDENTAL MINDORO - 9,256</t>
  </si>
  <si>
    <t xml:space="preserve"> Department of Public Works and Highways (DPWH)												 													 	Contract ID		:	20GFB04									 	Contract Name		:	Purchase of Construction Materials for use in the Repair and Maintenance of National Road along Daang Maharlika, K0 513+(-544) - K0</t>
  </si>
  <si>
    <t xml:space="preserve"> Republic of the Philippines 	CITY OF SAN PEDRO Province of Laguna BIDS AND AWARDS COMMITTEE INVITATION TO APPLY FOR ELIGIBILITY AND TO BID PR NO. 0473 1.	The City Government of San Pedro, Laguna through the 2020 Budget Approved by the Sangguniang Panglung</t>
  </si>
  <si>
    <t xml:space="preserve"> SUPPLY OF LABOR AND  MATERIALS FOR THE FABRICATION OF CONTAINER VAN CONVERT INTO MOBILE HEALTH FACILITY FOR ISOLATION AND TREATMENT OF COVID - 19 CASES</t>
  </si>
  <si>
    <t xml:space="preserve"> 46 CU.M SAND &amp; GRAVEL</t>
  </si>
  <si>
    <t xml:space="preserve"> 1. Construction of Perimeter Fence 2. Construction of Wheel Bath 3. Construction of entrance and exit gates of Livestock Section DA RIARC Area 4. Expansion on Native Chicken House 5. Construction of Goat House Brgy. Alcate, Victoria, Oriental Mindoro</t>
  </si>
  <si>
    <t xml:space="preserve"> PURCHASE OF 1 SETS ASSEMBLY FIBER GLASS BASKETBALL BOARD WITH RING AND ASSEMBLY MOVABLE STEEL STAND</t>
  </si>
  <si>
    <t xml:space="preserve"> PCCP</t>
  </si>
  <si>
    <t xml:space="preserve"> Barangay 385, Zone 39, District III, Manila invites all interested suppliers/contractors to submit bid for the following items to wit: 25	reams	Bond paper long 25	reams	Bond paper short 25	reams	Bond paper A4 20	pcs.	Scotch tape 20	pcs.	Masking tape 10	pc</t>
  </si>
  <si>
    <t xml:space="preserve"> 9 unit  13"x20" Tent Canopy (Lona)            2,340 sq/ft. x 70 php/sqft. (260sqft/unit)            Maruyama Thick 3 unit  18" x 20" Tent Canopy (Lona)            1,080 sqft. x 70 php./sqft (360sqft/unit)            Maruyama Thick</t>
  </si>
  <si>
    <t xml:space="preserve"> Republic of the Philippines Department of Public Works and Highways REGIONAL OFFICE VIII Baras, Palo, Leyte INVITATION TO BID June 24, 2020 1.	The DPWH Regional Office VIII, Baras, Palo, Leyte through its Bids and Awards Committee (BAC), invites contracto</t>
  </si>
  <si>
    <t xml:space="preserve"> CANAL LINING</t>
  </si>
  <si>
    <t xml:space="preserve"> The municipality of San Clemente, Tarlac reserves the right to accept or reject any bid, to annul the  bidding  process, and to reject all bids at any time prior to contract award, without thereby incurring any liability to  the affected bidder or bidders</t>
  </si>
  <si>
    <t xml:space="preserve"> INSTALLATION OF BASKETBALL COURT LIGHT AND TIMER MACHINE</t>
  </si>
  <si>
    <t xml:space="preserve"> (FORM NO. 014 – INVITATION TO APPLY FOR ELIGIBILITY AND TO BID) Republic of the Philippines Sangguniang Barangay of PUNTA Barangay PUNTA, Unisan, Quezon INVITATION TO APPLY FOR ELIGIBILITY AND TO BID Date			:  					 The Sangguniang Barangay PUNTA, through</t>
  </si>
  <si>
    <t xml:space="preserve"> The Barangay 802, Zone 87, District V, Manila. Through its Bids and Awards Committee (BAC). INVITES ALL SUPPLIERS/CONTRACTORS to bid for the hereunder projects:</t>
  </si>
  <si>
    <t xml:space="preserve"> Republic of the Philippines Province of Quezon Municipality of Guinayangan Barangay Government of Sta. Cruz INVITATION TO BID Date: June 24, 2020 1.	The Barangay Government of  Sta. Cruz  intends to apply the sum one hundred one thousand eight hundred fif</t>
  </si>
  <si>
    <t xml:space="preserve"> ROAD EXPANSION/PCCP</t>
  </si>
  <si>
    <t xml:space="preserve"> INVITATION TO BID FOR the Procurement of OUTSOURCING OF MANPOWER SERVICES FOR CY 2020 – Ref. # 2020-06-04 1.	The FOOD AND NUTRITION RESEARCH INSTITUTE, through the “GAA 2020- LFP, Expanded NNS”  intends to apply the sum of Thirty Five Million Two Hundred </t>
  </si>
  <si>
    <t xml:space="preserve"> Desilting of Canal Creek Brgys. Paratong, Angkileng, Burgos, Ayusan</t>
  </si>
  <si>
    <t xml:space="preserve"> 1	1	Lot	Supply and Delivery of  Office Supplies  			Item Description: 	10	Pcs	CLEARBOOK, 20 transparent pockets, for A4 size 	10	Pcs	CLEARBOOK, 20 transparent pockets, for LEGAL size 	50	Pcs	SIGN PEN, BLACK, liquid/gel ink, 0.5mm needle tip 	50	Pcs	SIGN P</t>
  </si>
  <si>
    <t xml:space="preserve"> LANDSCAPING</t>
  </si>
  <si>
    <t xml:space="preserve"> 1 lot Piglets (25% delivery for first batch) (25% delivery for second batch) (25% delivery for third batch) (25% delivery for 4th batch)</t>
  </si>
  <si>
    <t xml:space="preserve"> 2 pcs 8 stack Variloop Antenna / VHF 1 pc RGB (50 Ohms) Coaxial Cable 1 set System Design and Installation -repeater set-up (frequency testing, tuning and others) -antenna set up -coaxial cable termination and installation 6 pcs PL259 Connector 1 set Copp</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</si>
  <si>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</si>
  <si>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PURCHASE OF 1 SET SOUND SYSTEM</t>
  </si>
  <si>
    <t xml:space="preserve"> 1	1	Lot	Supply &amp; Delivery of ICT Equipment &amp; Software 			Item Description: 	5	license	Autodesk AutoCAD Civil 3D Latest Software (Renewal/Licensed)SN#565-15227290 	1	unit	Laptop Computer, branded Processor: Intel Core i7-9th Gen Memory: 16GB DDR4 RAM Graph</t>
  </si>
  <si>
    <t xml:space="preserve"> Road Improvement</t>
  </si>
  <si>
    <t xml:space="preserve"> 1	1	Lot	Supply and Delivery of  Computer Desktop 			Item Description: 	2	Units	Desktop Computer set Processor	Intel Core i5 9th Gen Memory		8 GB Graphics	2GB Discrete Graphics Display		23 Inch FHD LED Monitor Storage		1 TB HDD + 128 GB SSD Accessories	USB</t>
  </si>
  <si>
    <t xml:space="preserve"> 1.	The Development Bank of the Philippines, through the Corporate Budget approved by the governing Board for CY 2020 intends to apply the sum of Twenty-Eight Million Eight Hundred Thousand Pesos &amp; 00/00 (PhP28,800,000.00) for three years (or PhP9,600,000.</t>
  </si>
  <si>
    <t xml:space="preserve"> Personal Computer with Complete Accessories</t>
  </si>
  <si>
    <t xml:space="preserve"> Republic of the Philippines  Barangay 842, Zone 38, District VI, Manila Bids and Awards Committee INVITATION TO BID Barangay 842, Zone 38, District VI, Manila through its Bids and Awards Committee (BAC), Invites all Suppliers Contractors to bid the here u</t>
  </si>
  <si>
    <t xml:space="preserve"> OFFICE OF THE BIDS AND AWARDS COMMITTEE (BAC) INVITATION TO BID FOR: 20-06-467 Construction Materials for the Repair of Classroom at Alamada East District, Bao, Alamada, Cotabato 1.	The Local Government Unit of Alamada, through the SEF- East District inte</t>
  </si>
  <si>
    <t xml:space="preserve"> IMPROVEMENT OF SCHOOL</t>
  </si>
  <si>
    <t xml:space="preserve"> OFFICE OF THE BIDS AND AWARDS COMMITTEE (BAC) INVITATION TO BID FOR: 20-06-449 Purchase of Rice Mill (Static Rice Mill) with Installation for Rice Production, Milling and Marketing Enterprise under DAR-MinSAAD Project 1.	The Local Government Unit of Alama</t>
  </si>
  <si>
    <t xml:space="preserve"> 1	1	Lot	Supply and Delivery of  I.T. Equipment 			Item Description: 	2	Units	COMPUTER, Desktop Processor	Intel Core i7 9th Gen Memory		8 GB Graphics	4GB Discrete Graphics Display		23 Inch LED Monitor Storage		128GB SSD + 1TB HDD Accessories	USB Keyboard &amp;</t>
  </si>
  <si>
    <t xml:space="preserve"> (see bidding documents in the associated component for further project details)</t>
  </si>
  <si>
    <t xml:space="preserve"> REQUEST FOR QUOTATION (RFQ) Solicitation No. PSO-VIS-GOODS-006-20 EPC: Php 80,000.00 Procurement Toner Cartridge for reproduction of documents and reports of DA PRDP PSO Visayas 10 pcs Toner Cartridge (Lexmark Cartridge Collection Program 60F3H03) Quotati</t>
  </si>
  <si>
    <t xml:space="preserve"> INVITATION TO BID IB NO. 2020– 058/ JJL SUPPLY AND DELIVERY OF INORGANIC FERTILIZERS 		 1.	Department of Agriculture, Regional Field Office-10, through the Rice Program Funds CY 2020 intends to apply the sum of  Bid Lot 1: Twenty Four Million Two Hundred </t>
  </si>
  <si>
    <t xml:space="preserve"> EXTENSION OF 10 UNITS STREET LIGHT &amp; REPLACEMENT OF BULB 4 roll THHN WIRE #12 10 pcs. receptacle 2x2 10 set street light basin w/ arm 4 pcs. 2'' dia. G.I Pipe s20 4 pcs. 1 1/2'' dia. G.I Pipe S20 16 bags Portland cement 16 pcs. 10mm dia. x 6.0m RSB 2 pcs.</t>
  </si>
  <si>
    <t xml:space="preserve"> (Supply &amp; Delivery) 2 units SIREN Specifications: 		 Design: aerodynamic bar type,  Light type: strobe light number of strobe lights- 8 min.;  Length: at least 44 inches min.; Height: 4 inches (min);  Material: Polycarbonate or better  Color: Red and Blue</t>
  </si>
  <si>
    <t xml:space="preserve"> No.: RFQ-08-2020 	       Date: May 12, 2020 REQUEST FOR QUOTATION (RFQ) MINISTRY OF PUBLIC WORKS  Bangsamoro Autonomous Region in Muslim Mindanao Sir/Madam: Please quote your price for the article described below with the request that the condition or req</t>
  </si>
  <si>
    <t xml:space="preserve"> The Local Government Unit of Brgy. Batug, MacArthur, Leyte, through the PF/A intends to apply the sum of Two hundred sixty thousand Pesos (Php 260,000.00) being the Approved Budget for the Contract (ABC) to payments under the contract for the Construction</t>
  </si>
  <si>
    <t xml:space="preserve"> Free school supplies</t>
  </si>
  <si>
    <t xml:space="preserve"> MUNICIPAL AGRICULTURE OFFICE Serbisyong Panghayopan                    	30,000.00 Training in Organic Agriculture Technology	20,000.00 MDRRM OFFICE MDRRMC Meeting                                                                   	20,000.00 Procurement of </t>
  </si>
  <si>
    <t xml:space="preserve"> 1 roll PE PIPELINE 2' x60m 4 rolls PE PIPELINE 1 1/2 x60m 9 rolls PE PIPELINE 1''X100m 1 pc. compression coupling 2'' 3 pcs. compression coupling 1 1/2 8 pcs. compression coupling 1'' 1 pc. compression reducer 2x1 1/2 1 pc. compression reducer 1 1/2 x1</t>
  </si>
  <si>
    <t xml:space="preserve"> Construction of Multi-Purpose Hall (Phase I) Rental of Equipment</t>
  </si>
  <si>
    <t xml:space="preserve"> 158 pcs. 60x60 Floor Tiles 28 pcs. 1/4 ord. plywood 5 bags Skim Coat 15 unit tile adhesive 1 unit sliding window 1 pc. PVC Door 50 bags portland cement 20 pcs. 10mm x 6.0m steel bar 1 pc. spiral stair 4 pcs. window grills  30 pcs. metal parring 20 pcs. ca</t>
  </si>
  <si>
    <t xml:space="preserve"> VEHICLE</t>
  </si>
  <si>
    <t xml:space="preserve"> INVITATION TO BID FOR THE CONSTRUCTION OF ROAD Basog, Adams, Ilocos Norte 1.	The Municipal Government of Adams, through funds from the LGSF-Other Financial Assistance intends to apply the sum of P1,499,934.92 being the Approved Budget for the Contract (AB</t>
  </si>
  <si>
    <t xml:space="preserve"> Republic of the Philippines Province of Isabela LOCAL GOVERNMENT UNIT OF BENITO SOLIVEN INVITATION TO BID FOR THE REHABILITATION OF PUBLIC MARKET 1.	The Municipal Government of Benito Soliven, intends to apply the sum of Four Million Nine Hundred Ninety N</t>
  </si>
  <si>
    <t xml:space="preserve"> QUANTITY 	UNIT 	DESCRIPTION                                                     	UNIT COST MUNICIPAL ENGINEERING OFFICE                               		IT Equipment                                                     	40,000.00 MENRO                      </t>
  </si>
  <si>
    <t xml:space="preserve"> QUANTITY 	UNIT 	DESCRIPTION                   	UNIT COST MAO                              		Tire                                	6,400.00                           		Interior                      	2,400.00                               		Battery          </t>
  </si>
  <si>
    <t xml:space="preserve"> Construction of Canal and Pathway at Padilla Compound</t>
  </si>
  <si>
    <t xml:space="preserve"> Please see attached ITB and RFQ for Specifications</t>
  </si>
  <si>
    <t xml:space="preserve"> INVITATION TO BID FOR HEALTH CARE SERVICE PROVIDER FOR THE  BASES CONVERSION AND DEVELOPMENT AUTHORITY (BCDA) 1.	The Bases Conversion and Development Authority (BCDA), through its Corporate Operating Budget intends to apply the sum of FIVE MILLION FOUR HU</t>
  </si>
  <si>
    <t xml:space="preserve"> Description 1. The BARANGAY QUEZON JR, ORMOC CITY LEYTE through 20% DEVELOPMENT FUND FY 2020 intends to apply the sum of TWO HUNDRED THOUSAND PESOS ONLY (PhP 200,000.00) being the Approved Budget for the Contract (ABC) to payments under the contract for t</t>
  </si>
  <si>
    <t xml:space="preserve"> QUANTITY 	UNIT         	DESCRIPTION                             	UNIT COST MUNICIPAL AGRICULTURE OFFICE                                  		Four Drawer Steer Cabinet (MAO)	35,000.00                                 		Office Table (MAO)                     	</t>
  </si>
  <si>
    <t xml:space="preserve"> For Rehabilitation of Barangay Roads(Alegre, Eman and Tubod) Please see attached ITB and RFQ</t>
  </si>
  <si>
    <t xml:space="preserve"> Republic  of  the  Philippines  Province  of  Marinduque MUNICIPALITY  OF  GASAN INVITATION TO  BID  FOR THE CONSTRUCTION OF 45 L.M.  PERMANENT CONCRETE BRIDGE 1.	The Municipality of Gasan, through  Assistance to Municipalities (AM) CY 2019, Local Bridge </t>
  </si>
  <si>
    <t xml:space="preserve"> INVITATION TO BID FOR THE SUPPLY AND DELIVERY OF SIX (6) UNITS BRAND NEW PICK-UP TRUCKS FOR THE SUBIC-CLARK RAILWAY PROJECT 1.	The BASES CONVERSION AND DEVELOPMENT AUTHORITY (hereinafter referred to as BCDA) through the FY 2019 General Appropriations Act </t>
  </si>
  <si>
    <t xml:space="preserve"> Purchase of supplies for pupils to be used for the opening of school year.</t>
  </si>
  <si>
    <t xml:space="preserve"> Republic of the Philippines Province of Eastern Samar MUNICIPALITY OF GIPORLOS Office of the Municipal Mayor ________________________________________ Invitation to Bid for Rehabilitation of Local Access Road (Portion) and Construction of Multi-Purpose Bui</t>
  </si>
  <si>
    <t xml:space="preserve"> 1.	The Securities and Exchange Commission (SEC), through the authorized appropriations under the FY 2020 Supplemental Annual Procurement Plan 2020-1 (SAPP), intends to apply the sum of Six Million Pesos (Php 6,000,000.00) being the Approved Budget for the</t>
  </si>
  <si>
    <t xml:space="preserve"> Office Supplies Expenses</t>
  </si>
  <si>
    <t xml:space="preserve"> 1.	The Securities and Exchange Commission (SEC), through the authorized appropriations under the FY 2020 Supplemental Annual Procurement Plan 2020-1 (SAPP), intends to apply the sum of Five Million Four Hundred Thousand Pesos (Php 5,400,000.00) being the </t>
  </si>
  <si>
    <t xml:space="preserve"> It includes: Toner Cartridge Can Print minimum of 2,200 to 3,000 pages high cartridge capacity, black cartridge color toner weight not lower than 0.58 kg Terms of Reference: 1.Free use of Printer  Specification: 3-in-1- (Print,copy,scan) with LAN Laserjet</t>
  </si>
  <si>
    <t xml:space="preserve"> 1.	The Securities and Exchange Commission (SEC), through the authorized appropriations under the FY 2020 Supplemental Annual Procurement Plan 2020-1 (SAPP), intends to apply the sum of Three Million Pesos (Php 3,000,000.00) being the Approved Budget for t</t>
  </si>
  <si>
    <t xml:space="preserve"> It includes: Dismantling/Chipping Works and Restoration; Supply and Installation of Airconditioning Units and Fan Coil Units; Fabrication and Installation of ACCU Steel Frames and Electrical Installation.</t>
  </si>
  <si>
    <t xml:space="preserve"> Materials for the repair of 3 Door WatSan Comfort Room.</t>
  </si>
  <si>
    <t xml:space="preserve"> Republic of the Philippines Province of Oriental Mindoro MUNICIPALITY OF VICTORIA INVITATION TO BID Supply and Delivery of 26 units Printer for Elementary Schools in the Municipality of Victoria, Oriental Mindoro 1.The Municipal Government of Victoria, th</t>
  </si>
  <si>
    <t xml:space="preserve"> Purchase of materials used for repair and renovation of water system facilities.</t>
  </si>
  <si>
    <t xml:space="preserve"> Republic of the Philippines Province of Oriental Mindoro MUNICIPALITY OF VICTORIA INVITATION TO BID Supply and Delivery of Construction Materials and Supplies to be used for Brigada Eskwela 2020 in the Municipality of Victoria, Oriental Mindoro 1.The Muni</t>
  </si>
  <si>
    <t xml:space="preserve"> INVITATION TO BID IB NO. 2020 – 059/ JJL SUPPLY AND DELIVERY OF 298 BAGS HYBRID CORN SEEDS (Yellow) GMO 		 1.	Department of Agriculture, Regional Field Office-10, through the Corn Program Funds CY 2020 intends to apply the sum of One Million One Hundred N</t>
  </si>
  <si>
    <t xml:space="preserve"> Food Supplies Expenses</t>
  </si>
  <si>
    <t xml:space="preserve"> To provide Labor and materials for the Repair and Improvement of Brgy. Road - Brgy. Napalisan Pre-bid Conference: July 14, 2020 @ 9:00AM, venue: Engineer's Office Opening of Bids - July 27, 2020, 10:00AM Other Information: Letter of Intent must be accompa</t>
  </si>
  <si>
    <t xml:space="preserve"> Other Supplies and Materials Expenses</t>
  </si>
  <si>
    <t xml:space="preserve"> CONSTRUCTION OF ACCESS ROAD</t>
  </si>
  <si>
    <t xml:space="preserve"> To provide Labor and materials for the Fabrication of Barangay Street Lights - Brgy. San Agustin Pre-bid Conference: July 14, 2020 @ 9:00AM, venue: Engineer's Office Opening of Bids - July 27, 2020, 10:00AM Other Information: Letter of Intent must be acco</t>
  </si>
  <si>
    <t xml:space="preserve"> Invitation to Bid for Repair/Rehabilitation of Reservoir at Purok Mirasol, Pob., Margosatubig, ZDS. Source of Fund: 20% EDF Nonrefundable fee for bidding documents: 500.00</t>
  </si>
  <si>
    <t xml:space="preserve"> Medical, Dental &amp; Laboratory Supplies</t>
  </si>
  <si>
    <t xml:space="preserve"> 1-unit Garbage Vehicle  Specifications: Surplus, color white, double cab, 4x2, Tire Front: 15x600 Rear Tire: 14x600, Piston Displacement: 3059, Diesel Engine 4 Cylinder, Net weight: 2,500 kg with Aircon, Stereo, Tie Wrench, Jack and spare tire front and r</t>
  </si>
  <si>
    <t xml:space="preserve"> To provide Labor and materials for the Repair and Installation o f Canal Covers - Poblacion Brgy. Pre-bid Conference: July 14, 2020 @ 9:00AM, venue: Engineer's Office Opening of Bids - July 27, 2020, 10:00AM Other Information: Letter of Intent must be acc</t>
  </si>
  <si>
    <t xml:space="preserve"> Purchase of supplies for modules to be given to pupils for their reference in school.</t>
  </si>
  <si>
    <t xml:space="preserve"> The Brgy Council of Brgy. Amambucale agreed to Install 3 Jetmatic Pumps in different areas of the Brgy.</t>
  </si>
  <si>
    <t xml:space="preserve"> Republic of the Philippines PROVINCE OF AGUSAN DEL SUR Municipality of Sta. Josefa Invitation to Bid for   SJADS GOODS 20-08: PROCUREMENT OF PATIENT TRANSPORTATION VEHICLE  (VAN TYPE 18 SEATERS) 					   June 24, 2020 1.	The Municipality of Sta. Josefa thr</t>
  </si>
  <si>
    <t xml:space="preserve"> Republic of the Philippines Province of Guimaras OFFICE OF THE BIDS AND AWARDS COMMITTEE INVITATION TO BID FOR    SUPPLY AND DELIVERY OF PRODUCTION OF VINYL STICKERS Bid Ref. No. 2020-05-354 1.	The Province of Guimaras , through the 2020 SPP Regular Budge</t>
  </si>
  <si>
    <t xml:space="preserve"> Purchase of supplies to be used in printing modules to be given to pupils for their lesson.</t>
  </si>
  <si>
    <t xml:space="preserve"> Item Description...........................................Quantity............................................Unit of Issue Motor Vehicle...................................................1.......................................................Unit Speci</t>
  </si>
  <si>
    <t xml:space="preserve"> Republic of the Philippines Region XII Province of Cotabato City of Kidapawan OFFICE OF THE BIDS AND AWARD COMMITTEE June 24, 2020 INVITATION TO BID FOR  SUPPLY AND DELIVERY OF AGRICULTURAL SUPPLIES AND MATERIALS FOR THE DISTRIBUTION TO IFCP BENEFICIARIES</t>
  </si>
  <si>
    <t xml:space="preserve"> Republic of the Philippines DEPARTMENT OF PUBLIC WORKS AND HIGHWAYS BATANGAS III DISTRICT ENGINEERING OFFICE REGIONAL OFFICE IV-A J. Gonzales St., Barangay 4, Tanauan City RE-INVITATION TO BID (GS-2020-006) The Department of Public Works and Highways (DPW</t>
  </si>
  <si>
    <t xml:space="preserve"> PB NO. 2020-042		 			 1.	1	lot	Enhancement of ICT Infrastructure with internet connectivity of SDO-San Pablo City. 			Lot 1: Enhancement 			• Structured Cabling 			• Data Center with servers and storage 			• Network Security 			• Office computing and othe</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</si>
  <si>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</si>
  <si>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INVITATION TO BID IB NO. CW 2020 –  100 Completion of Multi-Purpose Building at Salcedo, Bansud, Oriental Mindoro 1.  The Provincial Government of Oriental Mindoro (PGOM) through the 20% Development Fund CA 2018 intends to apply the sum of Two Hundred Nin</t>
  </si>
  <si>
    <t xml:space="preserve"> Description   1.	The Development Bank of the Philippines, through the Corporate Budget approved by the Board for CY 2020 intends to apply the sum of One Hundred Sixty-Eight Million Four Hundred Forty-Four Thousand Five Hundred Pesos &amp; 00/100 (Php168,444,5</t>
  </si>
  <si>
    <t xml:space="preserve"> INVITATION TO BID IB NO. CW 2020 –  099 Completion of Evacuation Center at Maasin and Balatasan, Bulalacao, Oriental Mindoro 1.  The Provincial Government of Oriental Mindoro (PGOM) through the 5% Local Disaster Risk Reduction Management Fund FY 2018 inte</t>
  </si>
  <si>
    <t xml:space="preserve"> SITE CLEARING AND GRUBBING -1.00 l.s Removal of Vegetations STRUCTURAL EXCAVATION -289.43 cu.m. Waster Disposal and Backfill -15.26 cu.m. Foundation fill 88.80 kg. Reinforcing steel 23.36 cu.m. Structural Concrete, Class A 6.00 In. m. Pipe Culverts, 575 m</t>
  </si>
  <si>
    <t xml:space="preserve"> Construction of 5.00m X 87.50m  X 0.20m PCCP; 2.00m X  34.30m X 0.20m PCCP to  include 2-1.5m X 12.00m  Concrete Retaining Wall, Box  Culvert and CHB Retaining Wall</t>
  </si>
  <si>
    <t xml:space="preserve"> Republic of the Philippines CITY OF BAIS BIDS AND AWARDS COMMITTEE INVITATION TO APPLY FOR ELIGIBILITY AND TO BID 	The City Government of Bais invites interested bidders to apply for eligibility and to bid for Construction of One Nutri-Ward/Halfway House </t>
  </si>
  <si>
    <t xml:space="preserve"> Republic of the Philippines CITY OF BAIS BIDS AND AWARDS COMMITTEE INVITATION TO APPLY FOR ELIGIBILITY AND TO RE-BID 	The City Government of Bais invites interested bidders to apply for eligibility and to bid for Improvement of Bais City Tourism Office, B</t>
  </si>
  <si>
    <t xml:space="preserve"> Republic of the Philippines BIDS AND AWARDS COMMITTEE Province of Iloilo Invitation to Bid Purchase of Dental Supplies Bid No. FRT-20-0437-B 1. The Iloilo Provincial Government, through the GENERAL FUND 2020 intends to apply the sum of ONE HUNDRED SIXTY T</t>
  </si>
  <si>
    <t xml:space="preserve"> Please download attached documents for complete details of the project.</t>
  </si>
  <si>
    <t xml:space="preserve"> Republic of the Philippines BIDS AND AWARDS COMMITTEE Province of Iloilo Invitation to Bid Purchase of Laboratory Supplies Bid No. FRT-20-0435-B 1. The Iloilo Provincial Government, through the GENERAL FUND 2020 intends to apply the sum of SIXTY THOUSAND </t>
  </si>
  <si>
    <t xml:space="preserve"> 20CSM00101 - GEOTECHNICAL SUB SURFACE EXPLORATION: PACKAGE No. 2020-01, MLANG AND TULUNAN, NORTH COTABATO</t>
  </si>
  <si>
    <t xml:space="preserve"> Republic of the Philippines BIDS AND AWARDS COMMITTEE Province of Iloilo Invitation to Bid PURCHASE OF MEDICAL EQUIPMENT Bid No. SDH-20-0734-B 1. The Iloilo Provincial Government, through the SUPPLEMENTAL BUDGET NO.2 intends to apply the sum of NINETY THO</t>
  </si>
  <si>
    <t xml:space="preserve"> Construction of concrete reservoir, 1 intake  box, installation of transmission and  distribution lines and construction of gate  valve and public faucet</t>
  </si>
  <si>
    <t xml:space="preserve"> Republic of the Philippines BIDS AND AWARDS COMMITTEE Province of Iloilo Invitation to Bid PURCHASE OF MEDICAL EQUIPMENT Bid No. SDH-20-0735-B 1. The Iloilo Provincial Government, through the 2019, 20% IRA intends to apply the sum of ONE HUNDRED NINETY-TW</t>
  </si>
  <si>
    <t xml:space="preserve"> Republic of the Philippines BIDS AND AWARDS COMMITTEE Province of Iloilo Invitation to Bid PURCHASE OF HOUSEKEEPING SUPPLIES Bid No. ADM-20-0578-B 1. The Iloilo Provincial Government, through the GENERAL FUND 2019 intends to apply the sum of FORTY-TWO THO</t>
  </si>
  <si>
    <t xml:space="preserve"> Item No.	Unit Issue	Quantity	Item Description	Estimated cost	Total Cost 50	pcs	6	 Albatross 	 50.00 	 300.00  2	pcs	1	 360 Rotating Spin Mop 	 1,000.00 	 1,000.00  3	pcs	16	 Ariel soap powder 55g 	 18.00 	 288.00  4	pcs	20	 Ballpen (Faber Castel) 	 15.00 </t>
  </si>
  <si>
    <t xml:space="preserve"> No.		Quantity	Unit	Item Description				 						  1		15	Pack 	Cartolina assorted colors				 2		54	Ream 	Paper Multi-Purpose (Copy) legal  70 gsm			 3		15	pad	Paper pad,ruled, size:216mmx330mm				 4		5	ream	Paper parchment size:210x297,multi-purpose				 5		1</t>
  </si>
  <si>
    <t xml:space="preserve"> Republic of the Philippines CITY OF BAIS BIDS AND AWARDS COMMITTEE INVITATION TO APPLY FOR ELIGIBILITY AND TO REBID 	The City Government of Bais invites interested bidders to apply for eligibility and to bid for Construction of Footbridge @ Brgy. Dansulan</t>
  </si>
  <si>
    <t xml:space="preserve"> INVITATION TO BID 1.	The Province of Cebu through the 2020 General Fund, intends to apply the sum of FIFTY- TWO MILLION NINE HUNDRED THIRTY-TWO THOUSAND PESOS AND 00/100 (Php52,932,000.00) being the Approved Budget for the Contract (ABC) to payments under</t>
  </si>
  <si>
    <t xml:space="preserve"> INVITATION TO BID 1.	The Province of Cebu through the 2020 General Fund, intends to apply the sum of TWENTY- THREE MILLION SIX HUNDRED ELEVEN THOUSAND EIGHT HUNDRED PESOS AND 00/100 (Php23,611,800.00) being the Approved Budget for the Contract (ABC) to pa</t>
  </si>
  <si>
    <t xml:space="preserve"> Republic of the Philippines BIDS AND AWARDS COMMITTEE Province of Iloilo Invitation to Bid PURCHASE OF OFFICE SUPPLIES Bid No. ADM-20-0577-B 1. The Iloilo Provincial Government, through the GENERAL FUND 2019 intends to apply the sum of ONE HUNDRED ONE THO</t>
  </si>
  <si>
    <t xml:space="preserve"> Republic of the Philippines CITY OF BAIS BIDS AND AWARDS COMMITTEE INVITATION TO APPLY FOR ELIGIBILITY AND TO BID 	The City Government of Bais invites interested bidders to apply for eligibility and to bid for Construction of Footbridge at Lower Lico, Bar</t>
  </si>
  <si>
    <t xml:space="preserve"> Republic of the Philippines CITY OF BAIS BIDS AND AWARDS COMMITTEE INVITATION TO APPLY FOR ELIGIBILITY AND TO BID 	The City Government of Bais invites interested bidders to apply for eligibility and to bid for Repair and Maintenance – Infrastructure Asset</t>
  </si>
  <si>
    <t xml:space="preserve"> Republic of the Philippines Province of Oriental Mindoro MUNICIPALITY OF NAUJAN BIDS AND AWARDS COMMITTEE INVITATION TO BID SUPPLY AND DELIVERY OF TWO (2) UNITS BRAND NEW DUMP TRUCK TO BE USED IN THE OFFICE OF THE MUNICIPAL ENGINEER, NAUJAN, ORIENTAL MIND</t>
  </si>
  <si>
    <t xml:space="preserve"> INVITATION TO BID ITB  No. 082-Brgy - 2020 The City Government of Surigao, through its Bids and Awards Committee (BAC), invites suppliers to bid for the following: Name of Contract	:  Purchase &amp; Delivery of Const. Materials &amp; Supplies for the  			   proje</t>
  </si>
  <si>
    <t xml:space="preserve"> INVITATION TO BID ITB  No. 081-Brgy - 2020 The City Government of Surigao, through its Bids and Awards Committee (BAC), invites suppliers to bid for the following: Name of Contract	:  Purchase &amp; Delivery of Const. Materials &amp; Supplies for the  			   proje</t>
  </si>
  <si>
    <t xml:space="preserve"> Republic of the Philippines BIDS AND AWARDS COMMITTEE Province of Iloilo Invitation to Bid Purchase of Drugs and Medicines Bid No. FRT-20-0439-B 1. The Iloilo Provincial Government, through the GENERAL FUND 2020 intends to apply the sum of SIXTY THOUSAND </t>
  </si>
  <si>
    <t xml:space="preserve"> Republic of the Philippines CITY OF BAIS BIDS AND AWARDS COMMITTEE INVITATION TO APPLY FOR ELIGIBILITY AND TO BID 	The City Government of Bais invites interested bidders to apply for eligibility and to bid for Fencing &amp; Site Development of New Cemetery, v</t>
  </si>
  <si>
    <t xml:space="preserve"> Republic of the Philippines CITY OF BAIS BIDS AND AWARDS COMMITTEE INVITATION TO APPLY FOR ELIGIBILITY AND TO BID 	The City Government of Bais invites interested bidders to apply for eligibility and to bid for Repair and Resealing of City Streets and Loca</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</si>
  <si>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a.</t>
  </si>
  <si>
    <t xml:space="preserve"> Bicol Medical Center Concepcion Pequeña, Naga City, 4400 (0998-247-0239/0906-256-9238          E-mail Address: bmc.bacoffice@gmail.com INIVITATION TO BID PROCUREMENT OF ELECTRICAL/PLUMBING/CARPENTRY/PAINTING SUPPLIES ITB No. 2020-14 1.	The BICOL MEDICAL C</t>
  </si>
  <si>
    <t xml:space="preserve"> Republic of the Philippines CITY OF BAIS BIDS AND AWARDS COMMITTEE INVITATION TO APPLY FOR ELIGIBILITY AND TO RE-BID 	The City Government of Bais invites interested bidders to apply for eligibility and to bid for Slope Protection along Farm to Market Road</t>
  </si>
  <si>
    <t xml:space="preserve"> Item Description..............................................................Quantity...............................Unit of Issue Mobile Multi-Purpose Shredder with Diesel Engine......................1..........................................Unit Capaci</t>
  </si>
  <si>
    <t xml:space="preserve"> Republic of the Philippines BIDS AND AWARDS COMMITTEE Province of Iloilo Invitation to Bid Purchase of Drugs and Medicines Bid No. FRT-20-0438-B 1. The Iloilo Provincial Government, through the GENERAL FUND 2020 intends to apply the sum of EIGHT HUNDRED T</t>
  </si>
  <si>
    <t xml:space="preserve"> INVITATION TO BID 1.	The Province of Cebu through the 2020 General Fund, intends to apply the sum of THIRTEEN MILLION THIRTY THOUSAND EIGHT HUNDRED PESOS AND 00/100 (Php13,030,800.00) being the Approved Budget for the Contract (ABC) to payments under the </t>
  </si>
  <si>
    <t xml:space="preserve"> Republic of the Philippines PROVINCE OF AGUSAN DEL SUR Municipality of Sta. Josefa Invitation to Bid for   SJADS INFRA 20-03: CONSTRUCTION OF MUNICIPAL MRF (RCA) 				                         June 24, 2020 1.	The Municipality of Sta. Josefa through the aut</t>
  </si>
  <si>
    <t xml:space="preserve"> One job Furnishing labor and Materials for the Installation of Brgy. Solar Street Lights (Phase2), Brgy. Poblacion Banate, Iloilo (42 units Post and Lighting)</t>
  </si>
  <si>
    <t xml:space="preserve"> INVITATION TO BID IB NO. CW 2020 –  098 Construction of Drainage Canal at Sitio II-Centro, Urdaneta, Victoria, Oriental Mindoro 1.  The Provincial Government of Oriental Mindoro (PGOM) through the 20% Development CA 2019 intends to apply the sum of Nine H</t>
  </si>
  <si>
    <t xml:space="preserve"> INVITATION TO BID FOR Procurement of Infra (Road Concreting of Saco St. ( Sta. 00+000 – Sta. 00+212.11 ) The Barangay Manga of Tagbilaran, through the Cont. Appropriation Ordinance No. 2015-003, 2018-001 Annual Budget and Supplemental Budget 2019-001, int</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</si>
  <si>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(f</t>
  </si>
  <si>
    <t xml:space="preserve"> Republic of the Philippines CITY OF BAIS BIDS AND AWARDS COMMITTEE INVITATION TO APPLY FOR ELIGIBILITY AND TO RE-BID 	The City Government of Bais invites interested bidders to apply for eligibility and to bid for Rehabilitation of Daycare Center @ Brgy. M</t>
  </si>
  <si>
    <t xml:space="preserve"> Republic of the Philippines Province of Isabela LOCAL GOVERNMENT UNIT OF BENITO SOLIVEN INVITATION TO BID FOR THE PROCUREMENT OF MEDICAL SUPPLIES FOR THE CONDUCTION OF PATIENTS 1.	The Municipal Government of Benito Soliven, intends to apply the sum of One</t>
  </si>
  <si>
    <t xml:space="preserve"> QUANTITY	UNIT 	DESCRIPTION                                        	UNIT COST SEEDS 3            	cans     	Calabaza Hybrid Suprema (50gms)         	2,265.00 3          	cans         	Water Melon Hybrid Sweet 18 (150 gms.)	3,405.00 20      	cans     	Eggpl</t>
  </si>
  <si>
    <t xml:space="preserve"> Republic of the Philippines CITY OF BAIS BIDS AND AWARDS COMMITTEE INVITATION TO APPLY FOR ELIGIBILITY AND TO BID 	The City Government of Bais invites interested bidders to apply for eligibility and to bid for Construction of Workshop/Warehouse @ Motorpoo</t>
  </si>
  <si>
    <t xml:space="preserve"> Republic of the Philippines PROVINCE OF AGUSAN DEL SUR Municipality of Sta. Josefa Invitation to Bid for   SJADS GOODS 20-09: PROCUREMENT OF PRUNING SHEAR AND FERTILIZER 					   June 24, 2020 1.	The Municipality of Sta. Josefa through the authorized appro</t>
  </si>
  <si>
    <t xml:space="preserve"> INVITATION TO BID ITB  No. 080-Goods-2020 The City Government of Surigao, through its Bids and Awards Committee (BAC), invites suppliers to bid for the following: Name of Contract	:  Purchase &amp; Delivery of Brand New Standby Power Generator  			   100 KVA </t>
  </si>
  <si>
    <t xml:space="preserve"> Republic of the Philippines CITY OF BAIS BIDS AND AWARDS COMMITTEE INVITATION TO APPLY FOR ELIGIBILITY AND TO BID 	The City Government of Bais invites interested bidders to apply for eligibility and to bid for Repair and Maintenance (Building &amp; Other Stru</t>
  </si>
  <si>
    <t xml:space="preserve"> INVITATION TO BID 1.	The Province of Cebu through the 2020 General Fund, intends to apply the sum of FIFTY-FIVE MILLION TWO HUNDRED THOUSAND PESOS AND 00/100 (Php55,200,000.00) being the Approved Budget for the Contract (ABC) to payments under the contrac</t>
  </si>
  <si>
    <t xml:space="preserve"> INVITATION TO BID 1.	THOUSAND PESOS AND 00/100 (Php55,200,000.00) being the Approved Budget for the Contract (ABC) to payments under the contract for the CONCRETING/IMPROVEMENT OF AWAYAN-CAN-ASUJAN-PIT-OS ROAD SECTION, CARCAR CITY, CEBU. Bids received in </t>
  </si>
  <si>
    <t xml:space="preserve"> VARIOUS SUPPLIES AND MATERIALS</t>
  </si>
  <si>
    <t xml:space="preserve"> Brgy Amambucale appropriate an amount for the construction of two waiting sheds  located at two different area of the brgy.</t>
  </si>
  <si>
    <t xml:space="preserve"> INVITATION TO BID 1.	The Province of Cebu through the 2020 General Fund, intends to apply the sum of FORTY-ONE MILLION NINE HUNDRED TEN THOUSAND SIX HUNDRED PESOS AND 00/100 (Php41,910,600.00) being the Approved Budget for the Contract (ABC) to payments u</t>
  </si>
  <si>
    <t xml:space="preserve"> INVITATION TO BID 1.	The Province of Cebu through the 2020 General Fund, intends to apply the sum of ELEVEN MILLION ONE HUNDRED TWENTY-TWO THOUSAND EIGHT HUNDRED PESOS AND 00/100 (Php11,122,800.00) being the Approved Budget for the Contract (ABC) to payme</t>
  </si>
  <si>
    <t xml:space="preserve"> Upgrading of Wire in Junior High School</t>
  </si>
  <si>
    <t xml:space="preserve"> Sec. 53.10</t>
  </si>
  <si>
    <t xml:space="preserve"> INVITATION TO BID 1.	The Province of Cebu through the 2020 General Fund, intends to apply the sum of TWENTY-EIGHT MILLION SIX HUNDRED TWENTY THOUSAND PESOS AND 00/100 (Php28,620,000.00) being the Approved Budget for the Contract (ABC) to payments under th</t>
  </si>
  <si>
    <t xml:space="preserve"> INVITATION TO BID 1.	The Province of Cebu through the 2020 General Fund, intends to apply the sum of TEN MILLION EIGHT HUNDRED THOUSAND PESOS AND 00/100 (Php10,800,000.00) being the Approved Budget for the Contract (ABC) to payments under the contract for</t>
  </si>
  <si>
    <t xml:space="preserve"> INVITATION TO BID DREDGING OF CREEK 	The Local Government Unit of Rizal, Cagayan intends to apply the sum of FIVE HUNDRED THOUSAND PESOS(P500,000.00) being the Approved Budget for the Contract (ABC) for the DREDGING OF CREEK from Mayor’s Office (Donation </t>
  </si>
  <si>
    <t xml:space="preserve"> INVITATION TO BID 1.	The Province of Cebu through the 2020 General Fund, intends to apply the sum of FOUR MILLION EIGHT THOUSAND PESOS AND 00/100 (Php4,008,000.00) being the Approved Budget for the Contract (ABC) to payments under the contract for the CON</t>
  </si>
  <si>
    <t xml:space="preserve"> Contract ID:	20DL0222 Contract Name:	CY 2020 BASIC EDUCATION FACILITIES FUND, CONSTRUCTION OF CLASSROOMS  2STY4CL DOÑA AURORA ES, CALAUAG, QUEZON Contract Location:	CALAUAG, QUEZON Brief Description:		CONSTRUCTION OF CLASSROOMS Approved Budget for the Con</t>
  </si>
  <si>
    <t xml:space="preserve"> Contract ID:	20DL0221 Contract Name:	CY 2020 BASIC EDUCATION FACILITIES FUND, CONSTRUCTION OF CLASSROOMS  2STY6CL CARIDAD IBABA ES, ATIMONAN, QUEZON Contract Location:	ATIMONAN, QUEZON Brief Description:		CONSTRUCTION OF CLASSROOMS Approved Budget for the</t>
  </si>
  <si>
    <t xml:space="preserve"> INVITATION TO BID 1.	The Province of Cebu through the 2020 General Fund, intends to apply the sum of FORTY-EIGHT MILLION PESOS AND 00/100 (Php48,000,000.00) being the Approved Budget for the Contract (ABC) to payments under the contract for the CONCRETING</t>
  </si>
  <si>
    <t xml:space="preserve"> Contract ID:	20DL0220 Contract Name:	CY 2020 BASIC EDUCATION FACILITIES FUND, CONSTRUCTION OF CLASSROOMS  2STY4CL ATIMONAN CES, ATIMONAN, QUEZON 	 Contract Location:	ATIMONAN, QUEZON Brief Description:		CONSTRUCTION OF CLASSROOMS Approved Budget for the C</t>
  </si>
  <si>
    <t xml:space="preserve"> INVITATION TO BID 1.	The Province of Cebu through the 2020 General Fund, intends to apply the sum of THIRTY-ONE MILLION THREE HUNDRED EIGHTY THOUSAND PESOS AND 00/100 (Php31,380,000.00) being the Approved Budget for the Contract (ABC) to payments under th</t>
  </si>
  <si>
    <t xml:space="preserve"> Republic of the Philippines CITY OF BAIS BIDS AND AWARDS COMMITTEE INVITATION TO APPLY FOR ELIGIBILITY AND TO BID 	The City Government of Bais invites interested bidders to apply for eligibility and to bid for Const,/Improv./Rehab. of Drainage System, a. </t>
  </si>
  <si>
    <t xml:space="preserve"> 1.            The Local Government Unit of Pasil,  through the 2020 Supplemental Budget (MLGU 2019 Savings-General Fund)-Appropriation Ordinance No. 04-2020 , intends to apply the sum of Four Hundred Fifty Thousand Pesos Only (₱ 450,000.00) being the Appr</t>
  </si>
  <si>
    <t xml:space="preserve"> Republic of the Philippines CITY OF BAIS BIDS AND AWARDS COMMITTEE INVITATION TO APPLY FOR ELIGIBILITY AND TO BID 	The City Government of Bais invites interested bidders to apply for eligibility and to bid for Rehabilitation of Daycare Centers @ Brgy. Bas</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</si>
  <si>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</si>
  <si>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INVITATION TO BID 1.	The Province of Cebu through the 2020 General Fund, intends to apply the sum of ONE MILLION PESOS AND 00/100 (Php1,000,000.00) being the Approved Budget for the Contract (ABC) to payments under the contract for the CONSTRUCTION OF PUB</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</si>
  <si>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</si>
  <si>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Republic of the Philippines CITY OF BAIS BIDS AND AWARDS COMMITTEE INVITATION TO APPLY FOR ELIGIBILITY AND TO BID 	The City Government of Bais invites interested bidders to apply for eligibility and to bid for rehabilitation of Day Care Center @ Brgy. Kat</t>
  </si>
  <si>
    <t xml:space="preserve"> Contract ID:	20DL0224 Contract Name:	CY 2020 BASIC EDUCATION FACILITIES FUND, CONSTRUCTION OF CLASSROOMS  2STY6CL STO. NIÑO ILAYA NHS, LOPEZ, QUEZON 					 Contract Location:	LOPEZ, QUEZON Brief Description:		CONSTRUCTION OF CLASSROOMS Approved Budget for </t>
  </si>
  <si>
    <t xml:space="preserve"> Project Description:		 			Type: Reinforced Boulder Dike		 			Length: 68 l.m.		 			Height: 4.10 l.m. (from River Bed)	 	 			CONTRACT COST:		 1.			SPECIAL ITEM-GENERAL CONDITION		 1.1	LOT	1	Mobilization/Demobilization		8,000.00 1.2	LOT	1	Temporary Facility </t>
  </si>
  <si>
    <t xml:space="preserve"> 1.	The Province of Cebu through the 2020 General Fund, intends to apply the sum of TWENTY MILLION PESOS AND 00/100 (Php20,000,000.00) being the Approved Budget for the Contract (ABC) to payments under the contract for the CONCRETING/IMPROVEMENT OF YATI- T</t>
  </si>
  <si>
    <t xml:space="preserve"> INVITATION TO BID 1.	The Province of Cebu through the 2020 General Fund, intends to apply the sum of TWELVE MILLION PESOS AND 00/100 (Php12,000,000.00) being the Approved Budget for the Contract (ABC) to payments under the contract for the CONCRETING/IMPR</t>
  </si>
  <si>
    <t xml:space="preserve"> ENGINE AND SPECIFICATIONS                                                         1GD-FTV-4 Cylinders, In-line Type, 16 -Valve DOHC, 2,755 cc, 176/3,400 Ps/Rpm, 420/1,400-2,600Nm/Rpm, 92.0x103.6mm, 15.6:1 compression ratio, Common Rail Type Fuel System, E</t>
  </si>
  <si>
    <t xml:space="preserve"> Contract ID:	20DL0223 Contract Name:	CY 2020 BASIC EDUCATION FACILITIES FUND, CONSTRUCTION OF CLASSROOMS  2STY4CL MUNICIPAL SECTOR ES, CALAUAG, QUEZON	 Contract Location:	CALAUAG, QUEZON Brief Description:		CONSTRUCTION OF CLASSROOMS Approved Budget for t</t>
  </si>
  <si>
    <t xml:space="preserve"> Republic of the Philippines CITY OF BAIS BIDS AND AWARDS COMMITTEE INVITATION TO APPLY FOR ELIGIBILITY AND TO BID 	The City Government of Bais invites interested bidders to apply for eligibility and to bid for Rehabilitation of Daycare Centers @ Brgy. Can</t>
  </si>
  <si>
    <t xml:space="preserve"> INVITATION TO BID FOR Procurement of Infra [Fabrication and Installation of City Traffic Signage with Post (400 units)] The City Government of Tagbilaran, through the AO No. 19-05 for FY 2020, intends to apply the sum of One Million Five Hundred Ninety Ni</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</si>
  <si>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</si>
  <si>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2 lots I. Plastic Crate II. Plastic Bag</t>
  </si>
  <si>
    <t xml:space="preserve"> INVITATION TO BID ITB  No. 083-Brgy - 2020 The City Government of Surigao, through its Bids and Awards Committee (BAC), invites suppliers to bid for the following: Name of Contract	:  Purchase &amp; Delivery of Const. Materials &amp; Supplies for the  			   proje</t>
  </si>
  <si>
    <t xml:space="preserve"> Bicol Medical Center Concepcion Pequeña, Naga City, 4400 (0998-247-0239/0906-256-9238          E-mail Address: bmc.bacoffice@gmail.com INIVITATION TO BID Supply, Delivery, Installation &amp; Commissioning  of 12 units Modular Patient Monitor  (1 Lot) ITB No. </t>
  </si>
  <si>
    <t xml:space="preserve"> INSTALLATION OF 5.133 SQ.M. JALOUSIE WINDOW, 2.50 M. GLASS BLOCKS, 65.1 SQ.M ROOFING WORK, 29.88 SQ.M. CEILING WORKS, 11SQ.M. CONCRETE STAIR AND JAIL WALLING, 18.9 LM STEEL RAILLINGS &amp; 13.15 SQ.M. VAWCI OFFICE.</t>
  </si>
  <si>
    <t xml:space="preserve"> Republic of the Philippines Region XII Province of Cotabato CITY OF KIDAPAWAN BIDS AND AWARDS COMMITTEE Invitation to Bid 						  		            Date: June 24, 2020 1.	The City Government of Kidapawan, through the Supplemental Budget No.2 CY 2020   intends</t>
  </si>
  <si>
    <t xml:space="preserve"> I.STEEL WORKS II. ROOFING WORKS III.PLASTERING WORKS IV.CONCRETE WORKS V.SCAFFOLDING WORKS</t>
  </si>
  <si>
    <t xml:space="preserve"> 1 Lot Supply and Delivery of Various Laboratory Equipment for AFMTC  inlcusion: 2 sets Light Meter (Pyranometer)                 2 units A. Sound Level Meter with Calibrator                 1 set 4 units Digital Thermometer with 8-channel Data Logger     </t>
  </si>
  <si>
    <t xml:space="preserve"> Standard Form Number: SFGOOD60 Revised on: May 24, 2004 Standard Form Title: Request for Quotation Date: June 22, 2020  Quotation No. 20-06-0350 PR No. 20-06-758 __________________________ Company Name _________________________________ Address         Ple</t>
  </si>
  <si>
    <t xml:space="preserve"> Standard Form Number: SFGOOD60 Revised on: May 24, 2004 Standard Form Title: Request for Quotation Date: June 22, 2020  Quotation No. 20-06-0351 PR No. 20-06-759 __________________________ Company Name _________________________________ Address         Ple</t>
  </si>
  <si>
    <t xml:space="preserve"> This project is dealing of Brgy. Pisipis, Lopez, Quezon</t>
  </si>
  <si>
    <t xml:space="preserve"> Road Concreting 					 Cost of Bidding Documents: Php 25,000.00					 Source of Funds: GAA FY 2020 (D.A. Fund) The significant times and deadlines of procurement activities are shown below: 1. Issuance of Bidding Documents	Deadline: June 22 – July 8, 2020, </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</si>
  <si>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</si>
  <si>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Please see attached canvass (RFQ) form/TOR for complete specifications.</t>
  </si>
  <si>
    <t xml:space="preserve"> Fabrication of Basketball Fiber Glass Board</t>
  </si>
  <si>
    <t xml:space="preserve"> MODULE PRINTING SHS FOR STUDENTS HANDOUTS</t>
  </si>
  <si>
    <t xml:space="preserve"> INVITATION TO BID for PROCUREMENT OF DESIGN, SUPPLY, INSTALLATION, AND COMMISSIONING OF CINEMA EQUIPMENT AND AUDIO SYSTEMS, ACOUSTIC TREATMENT AND THEATRE CURTAINS FOR THE METROPOLITAN THEATRE 1.	The NATIONAL COMMISSION FOR CULTURE AND THE ARTS (NCCA), th</t>
  </si>
  <si>
    <t xml:space="preserve"> Flood Control 	 	 		 		 Cost of Bidding Documents: Php 5,000.00					 Source of Funds: Maintenance Fund 101 CY 2020 The significant times and deadlines of procurement activities are shown below: 1. Issuance of Bidding Documents	Deadline: June 22 – July 8, </t>
  </si>
  <si>
    <t xml:space="preserve"> See attached Scope of Works</t>
  </si>
  <si>
    <t xml:space="preserve"> = 71.5 LN.M x 0.40M x 0.40M CHB Drainage - w/Steel Grating Cover Removal of Existing Structures  Structure Excavation (Common Soil) Foundation Fill Lined Canal Steel Grating  = 9.0 Pipe Culverts, 610mm dia. (24" Ø) Pipe Culverts, 610mm dia. (24" Ø)</t>
  </si>
  <si>
    <t xml:space="preserve"> MODULE PRINTING JHS FOR THEIR HANDOUTS</t>
  </si>
  <si>
    <t xml:space="preserve"> 50.0 LN.M. x 0.75M x 0.65M CHB Drainage Open Canal  Removal of Existing Structures  Structure Excavation (Common Soil) Foundation Fill Lined Canal</t>
  </si>
  <si>
    <t xml:space="preserve"> CONTRACT COST:		 1.			INSTALLATION OF FRONT GATE		35,059.92 2.	LOT	1	INSTALLATION OF VENTS (3 SIDES) AND BUILT-UP BEAM AT WESTERN SIDE		273,868.91 3.			PAINTING		 3.1	LOT	1	VENTS, CYCLONED WIRE FENCE ON G.I PIPE FRAMING, GATES &amp; BUILT-UP FRAME BEAM/STIFFE</t>
  </si>
  <si>
    <t xml:space="preserve"> Republic of the Philippines Region XII Province of Cotabato CITY OF KIDAPAWAN BIDS AND AWARDS COMMITTEE Invitation to Bid 						  		            Date: June 24, 2020 1.	The City Government of Kidapawan, through the Trust Fund DA-BUB   intends to apply the s</t>
  </si>
  <si>
    <t xml:space="preserve"> item  100 CLEARING AND CRUBBING         101 REMOVAL OF STRUCTURES &amp; OBSTRUCTIONS         103 STRUCTURE EXCAVATION         105 SUB GRADE PREPARATION         201 AGGREGATE BASE COARSE         311 PORTLAND CEMENT CONCRETE PAVEMENT         500 STORM DRAINS   </t>
  </si>
  <si>
    <t xml:space="preserve"> I.FILLING AND GRADING II.STRUCTURAL CONCRETE III.REINFORCING STEEL IV.CARPENTRY WORKS V.MASONRY WORKS VI.CEMENT PLASTER FINISH VII.DOORS&amp; WINDOWS</t>
  </si>
  <si>
    <t xml:space="preserve"> SUPPLY &amp; DELIVERY OF MATERIALS</t>
  </si>
  <si>
    <t xml:space="preserve"> Republic of the Philippines CITY OF BAIS BIDS AND AWARDS COMMITTEE INVITATION TO APPLY FOR ELIGIBILITY AND TO BID 	The City Government of Bais invites interested bidders to apply for eligibility and to bid for Water Supply Development @ Brgy. Mabunao, viz</t>
  </si>
  <si>
    <t xml:space="preserve"> 1.5 HP Pressurized Car Wash Water Pump Kit/set (including motor &amp; pressurized hose nozzle and token)	5	units Air Chuck 	2	pieces Air Compressor (¼ HP)	2	units 3rd class Flour	1	sack All Purpose Flour 	7	 sacks  Balut (raw)	6	trays Cake Flour	1	sack Calume</t>
  </si>
  <si>
    <t xml:space="preserve"> This project is dealing of Brgy. Vergana, Lopez, Quezon</t>
  </si>
  <si>
    <t xml:space="preserve"> CONTRACT COST:		 1.	LOT	1	ADDITION OF CONCRETE HOLLOW BLOCK WALL (ALL SIDE)		126,363.32 2.	LOT	1	CONCRETE COLUMN/POST EXTENSION &amp; ADDITION AND CONCRETE BEAM (ALL SIDE) 50,947.59 3.	LOT	1	FORMS AND SCAFFOLDING (ALL SIDE)		81,839.84 4.	LOT	1	PLASTERING (SMO</t>
  </si>
  <si>
    <t xml:space="preserve"> Republic of the Philippines CITY OF BAIS BIDS AND AWARDS COMMITTEE INVITATION TO APPLY FOR ELIGIBILITY AND TO BID 	The City Government of Bais invites interested bidders to apply for eligibility and to bid for Installation of Street Lighting System at Str</t>
  </si>
  <si>
    <t xml:space="preserve"> Standard Form Number: SFGOOD60 Revised on: May 24, 2004 Standard Form Title: Request for Quotation Date: June 22, 2020  Quotation No. 20-06-0352 PR No. 20-06-760 __________________________ Company Name _________________________________ Address         Ple</t>
  </si>
  <si>
    <t xml:space="preserve"> LOT 1:  Smart Load Cards             84 pcs Smart Load Card, 500             12 pcs Smart Load Card, 300 LOT 2: Globe Load Cards            348 pcs Globe Load Card, 500            36 pcs Load Card, 300</t>
  </si>
  <si>
    <t xml:space="preserve"> Issuance of Bid Documents Starts: June 24, 2020 Cost of Bid Document: Php 10,000.00 Venue of Dropping and Opening Bids: BAC Conference Room, Leyte SMED Center, Provincial Capitol Grounds, Tacloban City</t>
  </si>
  <si>
    <t xml:space="preserve"> Issuance of Bid Documents Starts: June 24, 2020 Cost of Bid Document: Php 19,000.00 Venue of Dropping and Opening Bids: BAC Conference Room, Leyte SMED Center, Provincial Capitol Grounds, Tacloban City</t>
  </si>
  <si>
    <t xml:space="preserve"> Chicken cut, thigh Chicken cut, breast Chicken cut, wings Chicken cut, drumstick Eggs, large Hotdog, regular size with cheese</t>
  </si>
  <si>
    <t xml:space="preserve"> SEE ATTACHED SPECS</t>
  </si>
  <si>
    <t xml:space="preserve"> [Republic of the Philippines] Province of Pangasinan Municipality of Natividad INVITATION TO BID FOR TITLE: Construction/Rehabilitation of Local Access Road  Location: Brgy. Batchelor West, Natividad, Pangasinan Approved Budget of the Contract: Php2,300,0</t>
  </si>
  <si>
    <t xml:space="preserve"> Republic of the Philippines PROVINCE OF NORTHERN SAMAR BIDS AND AWARDS COMMITTEE Catarman Purchase of Fishing Gears and Other Fishing Paraphernalia for Subsidized Assistance Project Provincial Agriculture Office Province of Northern Samar  NS-06-24-20-02 </t>
  </si>
  <si>
    <t xml:space="preserve"> Contract ID. No.     	:  20GOH0004 Contract Name		: Proposed  Purchase of Uniforms for Maintenance Workers along                                   Various National Roads within SMDEO Jurisdiction Purchase Request No. : 2020-01-015 Approved Budget for the </t>
  </si>
  <si>
    <t xml:space="preserve"> Republic of the Philippines PROVINCE OF NORTHERN SAMAR BIDS AND AWARDS COMMITTEE Catarman Purchase of Two (2) Units E – Trike – Barangay Patrol Electronic Vehicle Civil Security Office Catarman, Northern Samar    NS-06-24-20-01 1.	The Provincial Governmen</t>
  </si>
  <si>
    <t xml:space="preserve"> Issuance of Bid Documents Starts: June 24, 2020 Cost of Bid Document: Php 9,500.00 Venue of Dropping and Opening Bids: BAC Conference Room, Leyte SMED Center, Provincial Capitol Grounds, Tacloban City</t>
  </si>
  <si>
    <t xml:space="preserve"> Provision of FArm Inputs =        Php 164,000.00 Provision of FArm Machineries =Php 280,000.00                                          _________________                                               Php 444,000.00</t>
  </si>
  <si>
    <t xml:space="preserve"> PLEASE SEE ATTACHED REQUEST FOR QUOTATION.</t>
  </si>
  <si>
    <t xml:space="preserve"> 6 Months Contract For Six Security Guards 2 Security Guards for Tagudin Campus 1 Security Guard for Candon Campus 1 Security Guard for Cervantes Campus 1 Security Guard for Santiago Campus 1 Security Guard for Santa Maria</t>
  </si>
  <si>
    <t xml:space="preserve"> 30 sacks Fertilizer, Urea (46-0-0) 30 sacks Fertilizer, complete (14-14-14) 30 sacks Fertilizer, Muriate of Potash (0-0-60) 10 sacks Fertilizer, Calcium Nitrate 10 sacks Fertilizer, Ammonium Phospate (16-20-0) 10 cans Seeds, Eggplant, 50grms 10 cans Seeds</t>
  </si>
  <si>
    <t xml:space="preserve"> Republic of the Philippines Province of Negros Occidental Office of the Punong Barangay Invitation to Bid for Construction of Waiting Shed in Front of Roman Catholic Church  The Barangay Poblacion, Municipality of Valladolid, through the 20% Development f</t>
  </si>
  <si>
    <t xml:space="preserve"> Issuance of Bid Documents Starts: June 24, 2020 Cost of Bid Document: Php 3,500.00 Venue of Dropping and Opening Bids: BAC Conference Room, Leyte SMED Center, Provincial Capitol Grounds, Tacloban City</t>
  </si>
  <si>
    <t xml:space="preserve"> Republic of the Philippines PROVINCE OF NORTHERN SAMAR BIDS AND AWARDS COMMITTEE Catarman Invitation to Bid NS-06-24-20-03 Construction of 2 Units 3-Chamber Septic Vault Beside Prov’l Budget &amp;Tourism Offices, New Capitol Bldg. Brgy. Dalakit, Catarman, N. </t>
  </si>
  <si>
    <t xml:space="preserve"> Issuance of Bid Documents Starts: June 24, 2020 Cost of Bid Document: Php 4,500.00 Venue of Dropping and Opening Bids: BAC Conference Room, Leyte SMED Center, Provincial Capitol Grounds, Tacloban City</t>
  </si>
  <si>
    <t xml:space="preserve"> The Municipality of Limay, through its Bids and Awards Committee (BAC) invites registered contractors to apply for eligibility and if found eligible, to bid for the hereunder project/contract: Project/Contract:      Location:    Limay, Bataan Approved Bud</t>
  </si>
  <si>
    <t xml:space="preserve"> INVITATION TO BID LGU-El Salvador City, Misamis Oriental through its BAC, invites interested bidders to apply for eligibility and if found eligible to bid for the contract: 1.	Contract ID No.	:	ITB No. 2020-06-053/Project ID No. 20-012-20% Name of Project</t>
  </si>
  <si>
    <t xml:space="preserve"> Location: Brgy. Caguyao, Bislig, Surigao del Sur Brgy. Cabgan, Hinatuan, Surigao del Sur Sitio Labao, Loyola, Hinatuan, Surigao del Sur Sitio Rizal, Loyola, Hinatuan, Surigao del Sur Brgy. Manyayay,Lianga, Surigao del Sur Sitio Maribujok, Valencia, Lingig</t>
  </si>
  <si>
    <t xml:space="preserve"> 28,000 liters Fuel - Diesel 2,500 liters Fuel - Gasoline *********************************** Purpose: for maintenance of Garbage Trucks, Services Vehicles &amp; Heavy Equipments @ Office of the City General Services.</t>
  </si>
  <si>
    <t xml:space="preserve"> Issuance of Bid Documents Starts: June 24, 2020 Cost of Bid Document: Php 5,000.00 Venue of Dropping and Opening Bids: BAC Conference Room, Leyte SMED Center, Provincial Capitol Grounds, Tacloban City</t>
  </si>
  <si>
    <t xml:space="preserve"> Issuance of Bid Documents Starts: June 24, 2020 Cost of Bid Document: Php 20,000.00 Venue of Dropping and Opening Bids: BAC Conference Room, Leyte SMED Center, Provincial Capitol Grounds, Tacloban City</t>
  </si>
  <si>
    <t xml:space="preserve"> Issuance of Bid Documents Starts: June 24, 2020 Cost of Bid Document: Php 5,500.00 Venue of Dropping and Opening Bids: BAC Conference Room, Leyte SMED Center, Provincial Capitol Grounds, Tacloban City</t>
  </si>
  <si>
    <t xml:space="preserve"> Supply and Delivery of CM for the construction of tire path @ Kellet -Ba-neng phase II</t>
  </si>
  <si>
    <t xml:space="preserve"> CONSTRUCTION OF ONE ROOM AT NARRA BARANGAY HEALTH CENTER, BRGY. NARRA, SAN MANUEL, PANGASINAN</t>
  </si>
  <si>
    <t xml:space="preserve"> 1.	The Municipality of Esperanza, intends to apply the sum of  Two Hundred Four Thousand Three Hundred One Pesos (Php405,801.00) being the Approved Budget for the Contract (ABC) to payments under the contract for Supply and Delivery of  Animal Feeds, Drug</t>
  </si>
  <si>
    <t xml:space="preserve"> INVITATION TO BID FOR  SUPPLY OF PLATES FOR TRICYCLES, BICYCLES, PEDICAB AND BUSINESS ESTABLISHMENTS 1.	The [Local Government Unit of Pasacao], through the [General Fund CY 2020]  intends to apply the sum of [Four Hundred Ninety Six Thousand Eight Hundred</t>
  </si>
  <si>
    <t xml:space="preserve"> INVITATION TO BID SUPPLY AND DELIVERY OF ONE (1) UNIT COMBINE RICE HARVESTER AND ONE (1) UNIT FARM TRACTOR FOR THE CITY AGRICULTURIST OFFICE 1.	The Local Government Unit of Cabadbaran City through the 20% DEVELOPMENT FUND intends to apply the sum of FOUR </t>
  </si>
  <si>
    <t xml:space="preserve"> QTY  UNI DESCRIPTION CLEARING &amp; BRUSHING 1.00 lot Lumpsum-Laborworks LABOR OCM CP VAT EXCAVATION WORKS 45.0 CU.M. 1.00 lot Lumpsum-Laborworks LABOR OCM CP VAT CONCRETE WORKS 850.00 pcs. #4 CHB 12.00 cu.m. Gravel 6.00 cu.m. Sand 82.00 bags Portland Cement </t>
  </si>
  <si>
    <t xml:space="preserve"> Invitation to Bid for the Supply and Delivery of Water Pump for the use of Brgy. Poblacion 01, Batangas City</t>
  </si>
  <si>
    <t xml:space="preserve"> Standard Form Number: SFGOOD60 Revised on: May 24, 2004 Standard Form Title: Request for Quotation Date: June 22, 2020  Quotation No. 20-06-0353 PR No. 20-06-761 __________________________ Company Name _________________________________ Address         Ple</t>
  </si>
  <si>
    <t xml:space="preserve"> The Municipality of Limay, through its Bids and Awards Committee (BAC) invites registered contractors to apply for eligibility and if found eligible, to bid for the hereunder project/contract: Project/Contract:    REHABILITATION OF DRAINAGE AT FILACS LOWE</t>
  </si>
  <si>
    <t xml:space="preserve"> Concreting of 40mx2.5mx.15m</t>
  </si>
  <si>
    <t xml:space="preserve"> SOUND SYSTEM 2</t>
  </si>
  <si>
    <t xml:space="preserve"> BAC RESOLUTION NO. 328-2020 “A RESOLUTION DECLARING FAILURE OF BIDDING AND RECOMMEND FOR ALTERNATIVE MODE OF PROCUREMENT” WHEREAS, the Bids and Awards Committee (BAC) thru the Secretariat published in PhilGEPS and in any conspicuous places the purchase of</t>
  </si>
  <si>
    <t xml:space="preserve"> PR No. 				AF 2020-06-032							 											 	Please quote your lowest price on the item/s listed below, subject to the General Conditions, 										 stating the shortest time of delivery and submit your quotation duly signed by  your authorized 								</t>
  </si>
  <si>
    <t xml:space="preserve"> 10 pails Traffic Paint, reflectorized, white 10 pails Traffic Paint, reflectorized, white 10 pails Traffic paint, reflectorized, white 25 pcs. Spatula, 3" 25 pairs Putty Knife 15 boxes Lacquer Thinner 50 sets Baby Roller with pan *************************</t>
  </si>
  <si>
    <t xml:space="preserve"> SOUND SYSTEM 1</t>
  </si>
  <si>
    <t xml:space="preserve"> Invitation to bid for COMPLETION OF DORMITORY AND CAFETERIA OF FARM TECHNOLOGY TRAINING CENTER FOR PAMPLONA CAMPUS INFRA2020-00-02 1. The Negros Oriental State University (NORSU), through the General Appropriation Act (GAA) FY 2020 intends to apply the su</t>
  </si>
  <si>
    <t xml:space="preserve"> Municipality of Looc Invitation to Bid for Construction of Seawall (between Guitna and Bonbon) P-I 1.	The Municipality of Looc, through the Trust Fund-DRRMF intends to apply the sum of Php 2,670,000.00 being the Approved Budget for the Contract (ABC) to p</t>
  </si>
  <si>
    <t xml:space="preserve"> Republic of the Philippines Philippine Rural Development Project INVITATION TO QUOTE (ITQ) Construction of Two (2) - Storey Processing Building with Warehouse in Support to the Geonet Production and Marketing Enterprises PRDP ID No.: PRDP-IR-R013-SDN-002-</t>
  </si>
  <si>
    <t xml:space="preserve"> INVITATION TO BID The municipal government of Romblon through its Bids and Awards Committee (BAC) invites PhilGEPS registered suppliers to apply to bid for the Rehabilitation of LGU Owned Potable Water System.</t>
  </si>
  <si>
    <t xml:space="preserve"> Supply and delivery of various medicines for Birthing Facility, RHU, Zumarraga, Samar</t>
  </si>
  <si>
    <t xml:space="preserve"> The Municipality of Limay, through its Bids and Awards Committee (BAC) invites registered contractors to apply for eligibility and if found eligible, to bid for the hereunder project/contract: Project/Contract:     REPAIR OF CONCRETE ROAD WITH COVERED CRO</t>
  </si>
  <si>
    <t xml:space="preserve"> CHAMP Support Program.</t>
  </si>
  <si>
    <t xml:space="preserve"> Republic of the Philippines  Province of Cebu Municipality of Boljoon INVITATION TO BID FOR the Procurement of Medicines 1.	The Municipality of Boljoon, through the 40-40 Drugs and Medicines   in the amount of One million Four hundred Eighteen thousand  T</t>
  </si>
  <si>
    <t xml:space="preserve"> QTY  UNIT  DESCRIPTION 5143.72 liters Diesel Fuel</t>
  </si>
  <si>
    <t xml:space="preserve"> Concreting of 120mx2mx.15m</t>
  </si>
  <si>
    <t xml:space="preserve"> Republic of the Phillipines					 DEPARTMENT OF PUBLIC WORKS AND HIGHWAYS					 ZAMBOANGA DEL SUR					 1st District Engineering Office					 REGION IX					 Pagadian City					 					 				                 NOTICE No.: 20-08	 				                    DATE: July 23</t>
  </si>
  <si>
    <t xml:space="preserve"> 5 pcs 7-5 x R15 Tire Heavy Duty</t>
  </si>
  <si>
    <t xml:space="preserve"> REPUBLIC OF THE PHILIPPINES																																		 	PROVINCE OF ZAMBOANGA DEL NORTE																																		 	MUNICIPALITY OF PRES. MANUEL A. ROXAS																																		 	BIDS AND AWARDS COMMITTEE																											</t>
  </si>
  <si>
    <t xml:space="preserve"> LABORATORY REAGENTS AND SUPPLY FAMILY PLANNING 2020 HYPERTENSIVE AND DIABETIC CLUB MEETING 2020 NATIONAL TUBERCULOSIS PROGRAM\FACILITY BASED DELIVERY</t>
  </si>
  <si>
    <t xml:space="preserve"> DRUGS AND MEDICINE SUPPLY SMOKING CESSATION CLINIC 2020 NATIONAL TUBERCULOSIS PROGRAM ANTE-NATAL CARE DOH LICENSING 2020</t>
  </si>
  <si>
    <t xml:space="preserve"> Construction Materials &amp; Supplies</t>
  </si>
  <si>
    <t xml:space="preserve"> Hardware Materials &amp; Supplies</t>
  </si>
  <si>
    <t xml:space="preserve"> I. REMOVAL OF RAILINGS 1 LOT II. EXCAVATION WORKS 1.69 CU.M. III. FILLING MATERIALS 19.32 CU.M. IV. CONCRETE WORKS (FOOTING, COLUMN, TIEBEAM, FLOORING &amp; PATHWAY) 3.27 CU.M. V. MASONRY WORKS (CHB MORTAR, FINISHING OUTSIDE ONLY) 8.91 SQ.M. VI. ROOFING WORKS</t>
  </si>
  <si>
    <t xml:space="preserve"> PURCHASE OF THE MATERIALS FOR THE INSTALLATION OF PANEL STREET LIGHTS OF BARANGAY MINSAPINIT GINGOOG CITY MISAMIS ORIENTAL.</t>
  </si>
  <si>
    <t xml:space="preserve"> Republic of the Philippines Province of Agusan del Norte Municipality of Remedios T. Romualdez Invitation to Bid SUPPLY AND DELIVERY OF CONSTRUCTION MATERIALS AND SUPPLIES FOR THE CONSTRUCTION OF ADDITIONAL AIR VENTILATION 1. The Municipality of Remedios </t>
  </si>
  <si>
    <t xml:space="preserve"> REHABILITATION OF DAMAGED ROADS/BRIDGES/SLOPE PROTECTION OF BRIDGE APPROACHES/ OTHER STRUCTURES Municipality of Mainit, Malimono and San Francisco, Surigao del Norte Brief Description:    The project will involve the following scope of works: Repair of Di</t>
  </si>
  <si>
    <t xml:space="preserve"> 27.5ft.X 34ft.</t>
  </si>
  <si>
    <t xml:space="preserve"> INVITATION TO BID SUPPLY AND DELIVERY OF ONE (1) UNIT 4X4 PICK-UP FOR THE CITY SECURITY AND TRAFFIC MANAGEMENT TASKFORCE OFFICE – 2ND BIDDING 1.	The Local Government Unit of Cabadbaran City through the PEACE &amp; ORDER FUND intends to apply the sum of ONE MI</t>
  </si>
  <si>
    <t xml:space="preserve"> I. REMOVAL OF EXISTING STRUCTURE 1 LOT II. EXCAVATION WORKS 3.84 CU.M. III. CONCRETE WORKS (FOOTING, COLUMN, LENTIL BEAM &amp; BEAM) 4.64 CU.M. IV. MASONRY WORKS: (ADDITIONAL FILING OF CHB) 22.80 SQ.M. V. FABRICATION OF STEEL GATE 1 LOT VI. PAINTING WORKS (IN</t>
  </si>
  <si>
    <t xml:space="preserve"> See attached document, print Bid Notice Abstract and download ITB No. GOODS-20-115.</t>
  </si>
  <si>
    <t xml:space="preserve"> ACTIVITIES	SCHEDULE 1.	Issuance of Bid Documents	June 29, 2020 2.	Pre-Bid conference	 3.	Opening of Bids	July 3, 2020, 10:00 A.M. 4.	Bid Evaluation	July 3, 2020 5.	Post-qualification	July 6, 2020 6.	Notice of Award	July 9, 2020</t>
  </si>
  <si>
    <t xml:space="preserve"> Republic of the Philippines Department of Health CENTER FOR HEALTH DEVELOPMENT CALABARZON QMMC Compound, Project 4, Quezon City  Trunkline: 8-249-2000 Email Address: bacsec.doh4a@gmail.com INVITATION TO BID  1.	The DOH CENTER FOR HEALTH DEVELOPMENT CALABA</t>
  </si>
  <si>
    <t xml:space="preserve"> INVITATION TO BID FOR THE SUPPLY AND DELIVERY OF MATERIALS AND EQUIPMENT TO BE USED FOR THE TKDL-AYTA PROJECT PB-2020-184-008 1. The Pampanga State Agricultural University, through Fund 184, intends to apply the sum of P140,171.40 being the Approved Budge</t>
  </si>
  <si>
    <t xml:space="preserve"> INVITATION TO BID Republic of the Philippines MUNICIPALITY OF KITCHARAO Province of Agusan del Norte BIDS AND AWARDS COMMITTEE INVITATION TO BID FOR MOTORPOOL CONSTRUCTION PHASE I 	The Municipal Government of Kitcharao now invites bids for Motorpool Const</t>
  </si>
  <si>
    <t xml:space="preserve"> INVITATION TO BID LGU-El Salvador City, Misamis Oriental through its BAC, invites interested bidders to apply for eligibility and if found eligible to bid for the contract: 1.	Contract ID No.	:	ITB No. 2020-06-054/Project ID No. 19-061-SB#2-ENGG Name of P</t>
  </si>
  <si>
    <t xml:space="preserve"> SUPPLY AND DELIVERY OF VARIOUS IT EQUIPMENT'S FOR LGU OFFICES: 1. 4 UNITS LAPTOP COMPUTER X SERIES (Intel Core i7 1051OU, 14" FHD IPS 4G 512GB) 2. 4 UNITS LAPTOP COMPUTER X SERIES ( Intel Core i5 - 8265U, 14" Wide Screen, 15.6 HD, 4GB, 1TB mx230 2GDS) 3. </t>
  </si>
  <si>
    <t xml:space="preserve"> Staking &amp; Formworks  Earth Works Concrete Works Steel Works</t>
  </si>
  <si>
    <t xml:space="preserve"> Catering Services and Accommodation (40 pax) (3 Days) 6 Snacks and 7 Meals Start: AM Snacks End: PM Snacks Location: Brgy. Malitubog, Bao, &amp; Polayagan of Alamada &amp; Brgy. Malagap of Banisilan, Cotabato</t>
  </si>
  <si>
    <t xml:space="preserve"> INVITATION TO BID FOR  PROCUREMENT OF RESCUE VEHICLES 1.	The [Local Government Unit of Pasacao], through the [LDRRM Fund CY 2020]  ntends to apply the sum of [Two Million Five Hundred Thousand Pesos (2,500,000.00)] being the Approved Budget for the Contra</t>
  </si>
  <si>
    <t xml:space="preserve"> 6 rolls  Speaker Wire # 16 6 kls.  Nylon #300 50 mtrs  Nylon Rope #10 5 rolls Electrical Tape</t>
  </si>
  <si>
    <t xml:space="preserve"> Republic of the Philippines PROVINCE OF NORTHERN SAMAR BIDS AND AWARDS COMMITTEE Catarman Invitation to Bid NS-06-24-20-04 Repair/Improvement of Portion of PSWDO Building &amp; Construction of 1 Unit 3-Chamber Septic Vault Brgy. Dalakit, Catarman, Northern Sa</t>
  </si>
  <si>
    <t xml:space="preserve"> 1	260	bags	Portland Cement 2	32	cu.m.	Screened Gravel 3	16	cu.m.	Washed Sand 4	222	pcs	10mmΦx 6m RSB 5	10	kls.	#16 Tie Wire 6	30	pcs.	2"x4"x10' Cocolumber 7	10	pcs.	2"x3"x10' Cocolumber 8	3	kls.	4" CW Nails</t>
  </si>
  <si>
    <t xml:space="preserve"> Equipment for materials movement.</t>
  </si>
  <si>
    <t xml:space="preserve"> REPUBLIC OF THE PHILIPPINES																																	 	PROVINCE OF ZAMBOANGA DEL NORTE																																	 	MUNICIPALITY OF PRES. MANUEL A. ROXAS																																	 	BIDS AND AWARDS COMMITTEE																														</t>
  </si>
  <si>
    <t xml:space="preserve"> 1.    18      bots.      Hemorrhagic Septicemia 2.    95      ltrs.        Albendazole (de-wormer) 3.    400    vials       Anti-rabies 4.    10      boxes     Norfloxacine 20 grams 5.    5        boxes     Cotrimoxazole 6.    3        boxes     Amoxicill</t>
  </si>
  <si>
    <t xml:space="preserve"> Issuance of Bid Documents Starts: June 24, 2020 Cost of Bid Document: Php 6,000.00 Venue of Dropping and Opening Bids: BAC Conference Room, Leyte SMED Center, Provincial Capitol Grounds, Tacloban City</t>
  </si>
  <si>
    <t xml:space="preserve"> REPUBLIC OF THE PHILIPPINES																																					 	PROVINCE OF ZAMBOANGA DEL NORTE																																					 	MUNICIPALITY OF PRES. MANUEL A. ROXAS																																					 	BIDS AND AWARDS COMMITTEE																		</t>
  </si>
  <si>
    <t xml:space="preserve"> Issuance of Bid Documents Starts: June 24, 2020 Cost of Bid Document: Php 7,000.00 Venue of Dropping and Opening Bids: BAC Conference Room, Leyte SMED Center, Provincial Capitol Grounds, Tacloban City</t>
  </si>
  <si>
    <t xml:space="preserve"> 1 unit Central Processing Unit (CPU) Specifications: - Core i5-7500 processor - Memory: 8GB DDR4 RAM - Storage: 1TB 7200RPM Sata - OS: Windows 10 (License) 64 bit - Graphics: Geforce MX130 2GB GDDR5 - Power: 150W External AC Power Adapter - Connectivity: </t>
  </si>
  <si>
    <t xml:space="preserve"> Concreting of 80mx2mx.15m</t>
  </si>
  <si>
    <t xml:space="preserve"> To Contract for the Supply of Materials, Labor, and Equipments for the Project: SUPPLY AND ISTALLATION OF FIRE DETECTION, ALARM AND SUPPRESSION FOR THREE (3) STOREY NEW MUNICIPAL HALL BLDG., I.D. No. KIA-SAR-20-001, AMOUNTING TO SIX HUNDRED FORTY FIVE THO</t>
  </si>
  <si>
    <t xml:space="preserve"> INVITATION TO BID REHABILITATION OF CABADBARAN DISTRICT HOSPITAL (REHAB / REPAIR / IMPROVEMENT OF CDH) 1.	The Local Government Unit of Cabadbaran City through the 20% DEVELOPMENT FUND intends to apply the sum of  TEN MILLION PESOS ONLY (P 10,000,000.00) b</t>
  </si>
  <si>
    <t xml:space="preserve"> Specifications 5 units (3TR)  Floor Standing Aircon</t>
  </si>
  <si>
    <t xml:space="preserve"> Standard Form Number: SFGOOD60 Revised on: May 24, 2004 Standard Form Title: Request for Quotation Date: June 22, 2020  Quotation No. 20-06-0354 PR No. 20-06-762 __________________________ Company Name _________________________________ Address         Ple</t>
  </si>
  <si>
    <t xml:space="preserve"> Veterinary Kits (Tackle Box, fiber glass syringe (10ml), fiber glass syringe (20ml), Hypodermic needle (Gauge #16, 19 and 21), bush hat, cotton, alcohol, iodine, scalpel holder and blade (#22), curved forceps, surgical scissors, animal marker, disposal sy</t>
  </si>
  <si>
    <t xml:space="preserve"> For more inquiries please contact Engr. Joseph Heraldo BAC Chairman BAC Office Barangay Talisoy Jomalig Quezon 09463286983</t>
  </si>
  <si>
    <t xml:space="preserve"> 7 Units Ambulance Vehicle Specification: Vehicle: Full sized van Condition: brandnew body Type: passenger van converter to ambulance engine: 3.0L5-speed Manual Transmission Fuel: diesel Color: white 3years LTO Registration airconditioning: Dual aircon war</t>
  </si>
  <si>
    <t xml:space="preserve"> 7.50mX6.00m</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</si>
  <si>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</si>
  <si>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Republic of the Philippines Province of Leyte Municipality of Hilongos INVITATION TO RE-BID FOR THE PROCUREMENT OF ANTI-RABIES VACCINE 1.  The Local Government Unit of Hilongos, through GENERAL FUND-CURRENT APPROPRIATION intends to apply the sum TWO HUNDR</t>
  </si>
  <si>
    <t xml:space="preserve"> Please see attached RFQ. You may also visit our website at www.jhmc.com.ph for more procurement opportunities. Thank you.</t>
  </si>
  <si>
    <t xml:space="preserve"> INVITATION TO BID Republic of the Philippines MUNICIPALITY OF KITCHARAO Province of Agusan del Norte BIDS AND AWARDS COMMITTEE INVITATION TO BID FOR JALIOBONG CLUSTER ACCESS ROAD CONCRETING PHASE I 	The Municipal Government of Kitcharao now invites bids f</t>
  </si>
  <si>
    <t xml:space="preserve"> WIDTH=1.4m, THICKNESS=0.10m, WITH INSTALLATION OF 30m DRAINAGE</t>
  </si>
  <si>
    <t xml:space="preserve"> Public Bidding Description of work to be done : Part A : Sub-base and Base Course Part B : Surface Courses</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</si>
  <si>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</si>
  <si>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Republic of the Philippines Province of Pangasinan Municipality of Bolinao Tel. No. (075) 632-4346 Invitation to Bid 1.	The Local Government Unit of Bolinao Pangasinan intends to apply the sum of One Million Seven Hundred Eighty Eight Thousand Seventy Eig</t>
  </si>
  <si>
    <t xml:space="preserve"> Day 1 - 4: 30 pack - Snack Day 5: 70 pack - Snack</t>
  </si>
  <si>
    <t xml:space="preserve"> Republic of the Philippines PROVINCE OF ZAMBOANGA DEL NORTE Municipality of Sibutad BIDS AND AWARDS COMMITTEE 					                                                                                                                    June 24, 2020 INVITATION</t>
  </si>
  <si>
    <t xml:space="preserve"> Republic of the Philippines Province of Davao del Sur MUNICIPALITY OF STA.CRUZ INVITATION TO BID  PROCUREMENT OF DIESOLINE FOR COVID OPERATIONS AND OTHER DRRM RELATED ACTIVITIES -1ST POSTING (ITB No. 20-Goods-2020) 1.	The Local Government Unit of Sta. Cru</t>
  </si>
  <si>
    <t xml:space="preserve"> 175mx 2mx.15m Concrete Pavement</t>
  </si>
  <si>
    <t xml:space="preserve"> 2 unit - Emergency Light (Early Warning Device)</t>
  </si>
  <si>
    <t xml:space="preserve"> 50sqm.x.15m Concrete pavement</t>
  </si>
  <si>
    <t xml:space="preserve"> ABC AMOUNT      Php 100,000.00</t>
  </si>
  <si>
    <t xml:space="preserve"> Republic of the Philippines PROVINCE OF NORTHERN SAMAR BIDS AND AWARDS COMMITTEE Catarman Invitation to Bid NS-06-20-20-05-R3 Construction of River Landing Brgy. Matelarag, Las Navas Northern Samar 1.	The Provincial Government of Northern Samar, through S</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</si>
  <si>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</si>
  <si>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275sqm.x.15m Concrete Pavement</t>
  </si>
  <si>
    <t xml:space="preserve"> Concreting of 45mx3mx.15m</t>
  </si>
  <si>
    <t xml:space="preserve"> materials for other structure</t>
  </si>
  <si>
    <t xml:space="preserve"> Concreting of 75mx3mx.15m</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</si>
  <si>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</si>
  <si>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Republic of the Philippines BOHOL ISLAND STATE UNIVERSITY Main Campus, Tagbilaran City INVITATION TO BID FOR SUPPLY AND DELIVERY OF ARM CHAIRS AND SALA SETS (PR NO. 2020-02-0376, 2020-02-0240, 2020-02-0371) 1.	The Bohol Island State University – Main Camp</t>
  </si>
  <si>
    <t xml:space="preserve"> One (1) Year Lease Contract for Office Space Building Building Specification: - AREA: At least 2500 sq/m - One (1) or Two(2) adjoining floors - Sufficient Water Supply and Washing Area - Sufficient Power Supply (for lighting power and ACU) with Stand-by G</t>
  </si>
  <si>
    <t xml:space="preserve"> 2,100 PCS 4" CHB 36 PCS 9 MM RSB 50 PCS 10MM RSB 98 BAGS PORTLAND CEMENT  8 KLS TIE WIRE  4 CU.M RIVER SAND 8 CU.M MIXED AGGREGATES</t>
  </si>
  <si>
    <t xml:space="preserve"> Concreting of 65mx3mx.15m</t>
  </si>
  <si>
    <t xml:space="preserve"> Construction Materials and Supplies</t>
  </si>
  <si>
    <t xml:space="preserve"> The Barangay Government of Dalayap, Allacapan Cagayan, through its Bids and Awards Committee (BAC) will invites interested entities to submit their bidding documents for the following details: Name of Project: Continuation of the Multi Purpose Building So</t>
  </si>
  <si>
    <t xml:space="preserve"> Republic of the Philippines Province of Oriental Mindoro MUNICIPALITY OF NAUJAN BIDS AND AWARDS COMMITTEE INVITATION TO BID SUPPLY AND DELIVERY OF MATERIALS TO BE USED IN THE CONCRETING OF ROADS IN DIFFERENT BARANGAYS, NAUJAN, ORIENTAL MINDORO 1.	The Muni</t>
  </si>
  <si>
    <t xml:space="preserve"> Lot 1 (MSWDO/KALAHI IT Equipment, Php115,000.00) a. 1 unit Desktop Computer (corei5,HDD 1TB, SA480GBSSD, Windows 10) b. 1 unit Printer (Compact Integrated Tank design, Wifi/Wifi Direct, Print, Scan, Copy, Fax with ADF) c. 1 unit LapTop Computer (corei5, 4</t>
  </si>
  <si>
    <t xml:space="preserve"> 2 units Multi-Shredder Pulveriser Machine</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</si>
  <si>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</si>
  <si>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8 pcs. - 2" dia. UPVC Pipe 4 pcs. - 2" dia. G-Bault</t>
  </si>
  <si>
    <t xml:space="preserve"> I. REMOVAL OF DELAPIDATED MATERIALS (ROOF, CEILING, TILES &amp; WATER CLOSET) 1 LOT II. ROOFING WORKS (REPLACEMENT DAMAGE PORTION ONLY) 4.08 CU.M. III. CEILING WORKS REPAIR 6.95 SQ.M. IV. TILE WORKS 40.07 SQ.M. V. C.R. FIXTURES 1 LOT VI. PARTATION WALL ( DOUB</t>
  </si>
  <si>
    <t xml:space="preserve"> Republic of the Philippines Province of Southern Leyte MUNICIPALITY OF LIMASAWA -o0o- Bids and Awards Committee Invitation to Bid for the Procurement  of Information Technology (IT) Equipment of the Municipality of Limasawa, Southern Leyte 1.	The Local Go</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</si>
  <si>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</si>
  <si>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1. One (1) Unit of Laptop Specifications: -Intel Core i5-8265U -8GB RAM -256GB SSDNVME -15.6" Screen -Windows 10 2. One (1) Unit of Laptop Specifications: -Intel Core i3-1005GI -8GB RAM -1 TB HDD -15.6" Screen -Windows 10 3. Two (2) Units of Printer 3 in </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</si>
  <si>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</si>
  <si>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Gasoline and Diesel</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</si>
  <si>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</si>
  <si>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1 unit service vehicle (Patient Transport Vehicle) Vehicle specification: vehicle : Full sized van Condition : Brandnew Body type : commuter van engine : 3.0L 5-speed manual transmission fuel: diesel aircondioning : dual aircon color : white with : 3years</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</si>
  <si>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</si>
  <si>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Issuance of Bid Documents Starts: May 8, 2020 Cost of Bid Document: Php 3,500.00 Venue of Dropping and Opening Bids: BAC Conference Room, Leyte SMED Center, Provincial Capitol Grounds, Tacloban City</t>
  </si>
  <si>
    <t xml:space="preserve"> Construction of 4.0m x 3.0m x 2.00m (clear dimension) reinforced concrete box culvert.</t>
  </si>
  <si>
    <t xml:space="preserve"> VARIOUS SCHOOLS OF MALITA, DVO. OCCIDENTAL</t>
  </si>
  <si>
    <t xml:space="preserve"> Purchase of electrical supplies</t>
  </si>
  <si>
    <t xml:space="preserve"> Spareparts and Oil Lubricants for Municipal Vehicles</t>
  </si>
  <si>
    <t xml:space="preserve"> Veterinary Medical Supplies</t>
  </si>
  <si>
    <t xml:space="preserve"> Order/download attached Invitation to Bid and print-out Abstract of Bids from Philgeps.</t>
  </si>
  <si>
    <t xml:space="preserve"> Republic of the Philippines Province of Oriental Mindoro MUNICIPALITY OF NAUJAN BIDS AND AWARDS COMMITTEE INVITATION TO BID SUPPLY AND DELIVERY OF MATERIALS TO BE USED IN THE REPAIR AND MAINTENANCE OF MOTORPOOL AT NAUJAN AGRICULTURAL CENTER, ANDRES YLAGAN</t>
  </si>
  <si>
    <t xml:space="preserve"> 1	3	unit	ACU- SPLIT TYPE 1.5HP W/ INSTALLATION	 2	1	unit	PHOTOCOPY MACHINE	 3	3	unit	INDUSTRIAL FAN	 4	1	unit	SHREDDER	 5	3	unit	STAND FAN	 6	1	unit	DOCUMENT SCANNER	 7	4	unit	LAPTOP	 8	1	unit	PORTABLE SCANNER	 9	1	unit	HI FI STEREO W/ AMPLIFIER W/ USB	 1</t>
  </si>
  <si>
    <t xml:space="preserve"> 1. 1020 Unit - Monthly Preventive Maintenance of CCTV Cameras (120units x 12months) 2. 4 unit - CCTV Outdoor PTZ Dome, 5MP, 30x LENs, 150M</t>
  </si>
  <si>
    <t xml:space="preserve"> INVITATION TO BID APDC-ITB NO. 2020-06-002 Date: June 23, 2020 1.	The Alaminos City Water District through its Property Disposal Committee with office address at the Alaminos City Water District Multipurpose Warehouse and Training Center, Brgy. Pogo Alami</t>
  </si>
  <si>
    <t xml:space="preserve"> INVITATION TO BID (CW-06-2020-020) The Department of Public Works and Highways (DPWH)-Batangas IV District Engineering Office, Marawoy, Lipa City, Batangas, through its Bids and Awards Committee (BAC), invites contractors to bid for the contract listed be</t>
  </si>
  <si>
    <t xml:space="preserve"> 1 unit service vehicle Vehicle specification: vehicle : Full sized van Condition : Brandnew Body type : commuter van engine : 3.0L 5-speed manual transmission fuel: diesel aircondioning : dual aircon color : white with : 3years LTO Registration warranty :</t>
  </si>
  <si>
    <t xml:space="preserve"> Location : Legazpi City, Albay Scope of Work : Painting Works of Existing Façade, Left and Right Elevations and Poles including Pedestals</t>
  </si>
  <si>
    <t xml:space="preserve"> BIDS AND AWARDS COMMITTEE (BAC) Email address: bacregion2@yahoo.com Telefax No.: (078) 304-0560 INVITATION TO BID ITB No.: 2020-06-23 The Department of Agriculture – Regional Field Office No. 02 (DA-RFO 02) through its Bids and Awards Committee (BAC) invi</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</si>
  <si>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</si>
  <si>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</si>
  <si>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</si>
  <si>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</si>
  <si>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Republic of the Philippines                                                        Province of Batangas                                                   Nasugbu, Batangas                                                                                    </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</si>
  <si>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</si>
  <si>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299-contnr-Diesel Fuel (32L/Container) 17-L-Brake Fluid 1-pail-Grease 2-barrel-Oil 10 1-barrel-Gear Oil 1-barrel-Oil 40 4-units-Tire w/ flup 100x20 (Dumptruck) 20-units-Tire w/ flup 8.25x20 (Dumptruck)</t>
  </si>
  <si>
    <t xml:space="preserve"> Engine: Model - YC6J220-46 Rate Power (KW/rmp)- 162/2500 Maximum Torque (Nm/rmp) - 760/1400-1700 6 - Cylinder in line, 6,494 liter Clutch: 395A diaphragm spring clutch, single plate Gearbox: HW90510C 10 Speed Manual control Braking System: Type: Airbrake </t>
  </si>
  <si>
    <t xml:space="preserve"> INVITATION TO APPLY FOR ELIGIBILITY AND TO BID-2020-06 The SANGGUNIANG KABATAAN OF BOLO, LABRADOR, PANGASINAN the Bids and Awards Committee (BAC) invites contractors registered with and classified by the Philippine Contractors Accreditation Board (PCAB) t</t>
  </si>
  <si>
    <t xml:space="preserve"> 1	20	pcs	UNIFORM (SCRUB SUIT)	 2	20	pcs	THERMOMETER	 3	20	pcs	BLOOD PRESSURE APPARATUS	 4	20	pcs	RAIN COAT	 5	20	pair	BOOTS</t>
  </si>
  <si>
    <t xml:space="preserve"> Name of Contract: Construction of the Tanjay City Evacuation Center (Phase III) IAC Classification: Small "B" for Buildings PCAB Category "D" Duration: 120 Calendar Days Approved Budget for the Contract: Php 2,000,000.00 xxxxxxxxxxxxxxxx</t>
  </si>
  <si>
    <t xml:space="preserve"> Work to be Done: I. Tinsmith Works General repair of whole body to include front cowl, flooring &amp; Fiber Glass Fender, Straightening &amp; Repair of damaged  front bumper. Repair, patching of rotten portion &amp; re align damaged step board panel wheel arc plate &amp;</t>
  </si>
  <si>
    <t xml:space="preserve"> Structure Excavation, Subgrade Preparation, Aggregate Sub-base Course Concrete Class ‘A’, PCCP, Reinforcing Steel Bar (Drainage Canal), Excavation for Structure, Forms &amp; Scaffoldings</t>
  </si>
  <si>
    <t xml:space="preserve"> SUPPLY AND DELIVERY OF SCHOOL EQUIPMENT FOR USE IN IMPLEMENTATION OF NEW LEARNING AND TEACHING METHODS UNDER NEW NORMAL CONDITION (DUE TO COVID-19 PANDEMIC) IN ALL PUBLIC ELEMENTARY AND HIGH SCHOOL IN MAUBAN. 1.      The Local Government Unit of Mauban th</t>
  </si>
  <si>
    <t xml:space="preserve"> Supplies and Materials</t>
  </si>
  <si>
    <t xml:space="preserve"> 76         rolls        Adding Machine Tape 272       reams     Bond Paper (Long) S20 232       reams     Bond Paper (Short) S20 272       pcs         Brown Envelope long 196       pcs         Brown Envelope short 1560     pcs         Daily Time Record (D</t>
  </si>
  <si>
    <t xml:space="preserve"> The Municipality of Limay, through its Bids and Awards Committee (BAC) invites registered contractors to apply for eligibility and if found eligible, to bid for the hereunder project/contract: Project/Contract:     REPAINTING OF ROOF, INTERIOR &amp; EXTERIOR </t>
  </si>
  <si>
    <t xml:space="preserve"> 10    set   LAPTOP</t>
  </si>
  <si>
    <t xml:space="preserve"> FABRICATION AND INSTALLATION OF STEEL GOAL (FIBER GLASS)</t>
  </si>
  <si>
    <t xml:space="preserve"> UNIT	  DESCRIPTION		QUANTITY 105	Subgrade Preparation		 	A = 230m x 5.2m		 	Qty.= 1196 sq.m		 I- Equipment Rental:			 	1 Road Grader for 4 hours		 	1 Road Roller  for 4 hours		 			 II- Labor:			 	1 Foreman  for 0.5 day(s)		 	2 Laborers  for 0.5 day(s)		 	</t>
  </si>
  <si>
    <t xml:space="preserve"> Please see description at POW &amp; PLANS for this package projects.</t>
  </si>
  <si>
    <t xml:space="preserve"> Republic of the Philippines Province of Bohol Municipality of Maribojoc BIDS AND AWARDS COMMITTEE INVITATION TO BID The Municipality of Maribojoc, Bohol invites duly interested Suppliers /Contractors/Distributors who met the  following criteria, to apply </t>
  </si>
  <si>
    <t xml:space="preserve"> 1. 1 unit Multi-Cab Van</t>
  </si>
  <si>
    <t xml:space="preserve"> 29	cu.m.	3/4" Crushed Rocks 28	cu.m.	Mixing Sand 200	pcs	2" x 2" x 10 R/L 50	pcs	2" x 4" x 10' R/L 		GRAND TOTAL AMOUNT  P123,250.00</t>
  </si>
  <si>
    <t xml:space="preserve"> Issuance of Bid Documents Starts: June 24, 2020 Cost of Bid Document: Php 3,000.00 Venue of Dropping and Opening Bids: BAC Conference Room, Leyte SMED Center, Provincial Capitol Grounds, Tacloban City</t>
  </si>
  <si>
    <t xml:space="preserve"> SOURCE OF FUNDS: ANNUAL BUDGET CY 2020- 20% BIDDING DATE &amp; TIME: JULY 3, 2020- 4:00 P.M</t>
  </si>
  <si>
    <t xml:space="preserve"> 1 8 unit Two Way Radio</t>
  </si>
  <si>
    <t xml:space="preserve"> LOT - I Aggregates 63	cu.m.	Item 201 (Passing 3" Sieve) 79	cu.m.	3/4" Crushed Aggregates 43	cu.m.	Washed Fine Aggregates 30	pcs	2" x 2" x 10' R/L, Good Quality 		GRAND TOTAL AMOUNT  P238,100.00</t>
  </si>
  <si>
    <t xml:space="preserve"> Republic of the Philippines          City of Dumaguete Bids and Awards Committee INVITATION TO BID FOR PURCHASE REQUEST OF 7 CU.M SAND STD. SPECS AND OTHER ITEMS 	The City of Dumaguete thru its BIDS AND AWARDS COMMITTEE (BAC), invites all interested manuf</t>
  </si>
  <si>
    <t xml:space="preserve"> Various Supplies</t>
  </si>
  <si>
    <t xml:space="preserve"> 4-m3-Excavation 3.5-m3-Column &amp; Column Footing 3.3-m3-Wall Footing &amp; walling 10.80-m2-Flooring 128.48-m2-Roof Framing Installation &amp; Repair 128.48-m2-Ceiling Installation Garage 1 Repair (160.50 Sq. m) 20-m3-excavation 6.59-m3-Pedestal Column &amp; Column Foo</t>
  </si>
  <si>
    <t xml:space="preserve"> Name of Contract: Additional Backfilling and Construction of Retaining Wall (Ripraps) of Slaughterhouse Premises, Sitio Asiotes, Barangay Polo IAC Classification: Small "B" for Buildings PCAB Category "D" Duration: 210 Calendar Days Approved Budget for th</t>
  </si>
  <si>
    <t xml:space="preserve"> Procurement of the following: 1.  One (1)  Piece of Laptop 2.  One (1)  set of Printer</t>
  </si>
  <si>
    <t xml:space="preserve"> Concreting of Farm to Market Road (Tobrehon Road Section) at Brgy. Tobrehon, San Miguel, Catanduanes. Scope of Works: Concrete Works (Class "A"), Prep. of Road Bed, Aggregate Base Coarse, Bunk House &amp; Signage. Source of Fund: 20% EDF- 2020    	Prospective</t>
  </si>
  <si>
    <t xml:space="preserve"> Sub grade Preparation, Aggregate Sub-base Course Concrete Class ‘A’, PCCP, Embankment, Excavation for Structure</t>
  </si>
  <si>
    <t xml:space="preserve"> I. Mobilization II. CSHP III. Road Preparation A. Equipment B. Materials IV. Portland Cement Concrete Pavement V. Equipment</t>
  </si>
  <si>
    <t xml:space="preserve"> I. Mobilzation II. CSHP III. Road Preparation A. Equipment B. Materials IV Portland Cement Concrete Pavement V. Equipment</t>
  </si>
  <si>
    <t xml:space="preserve"> REQUEST FOR QUOTATION Date	:	June 23, 2020 Project Title	:	Supply and Delivery of Various Printed Forms ITB No.             	:	SV20-06-002ANG Approved Budget for the Contract (ABC)	:	Eighty Thousand Pesos (PhP80,000.00), VAT-Exclusive, Zero- Rated Transac</t>
  </si>
  <si>
    <t xml:space="preserve"> Republic of the Philippines          City of Dumaguete Bids and Awards Committee INVITATION TO BID FOR PURCHASE REQUEST OF 16 CU.M SAND (STD. SPECS) AND OTHER ITEMS 	The City of Dumaguete thru its BIDS AND AWARDS COMMITTEE (BAC), invites all interested ma</t>
  </si>
  <si>
    <t xml:space="preserve"> I. Mobilization II. CSHP III. Road Preparation A. Equipment B. Materials IV. Portland Cement Concrete Pavement V. Equipment Labor</t>
  </si>
  <si>
    <t xml:space="preserve"> Supply of Autodelfia Neonatal Kit/Solutions/Reagents (Rebid). Delivery Terms: 1st Staggered Delivery: 30% of the quantity to be delivered within 6 weeks upon receipt of approved Purchased Order. 2nd Staggered Delivery: 30% of the quantity to be delivered </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</si>
  <si>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</si>
  <si>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1. 2 unit  - Multi-Cab Van</t>
  </si>
  <si>
    <t xml:space="preserve"> Republic of the Philippines          City of Dumaguete Bids and Awards Committee INVITATION TO BID FOR PURCHASE REQUEST OF 8 GALS LATEX PAINT FLAT WHITE AND OTHER ITEMS 	The City of Dumaguete thru its BIDS AND AWARDS COMMITTEE (BAC), invites all intereste</t>
  </si>
  <si>
    <t xml:space="preserve"> Aggregate Sub-base Course, Structure Excavation, Cleaning and  Reconditioning, Demolition/Removal of Existing Damage Concrete Class ‘A’, Reinforcing Steel Bar, Forms &amp; Scaffoldings</t>
  </si>
  <si>
    <t xml:space="preserve"> ADVISORY AND REVIEW CONSULTANCY SERVICES Scope Of Work :   1.)  Perform business risk evaluation and formulate recommendations on improvement opportunities.   2.)  Evaluate existing processes, procedures &amp; systems and propose streamlining measures to achi</t>
  </si>
  <si>
    <t xml:space="preserve"> 1. 35500 ltr - Diesel 2. 200 ltr - Hydraulic oil 10w 3. 600 ltr - Engine oil 15w-40 4. 200 ltr - Engine oil 40 5. 40 ltr - Gear oil #90 6. 300 ltr - Gear oil #140 7. 60 ltr - Break fluid 8. 60 ltr. - Coolant 9. 40 kg - Grease</t>
  </si>
  <si>
    <t xml:space="preserve"> Slope Protection (Binagasbasan, Paraiso) at Sitio Binagasbasan Brgy. paraiso, San Miguel, Catanduanes. Scope of Works: Excavation of Foundation Structure, Concrete Foundation, Stone Masonry, Selected Backfill-Aggregate Base Coarse, Item No. A.1.1(3) Const</t>
  </si>
  <si>
    <t xml:space="preserve"> SERVICES; HEALTH AND ACCIDENT INSURANCE FOR BARANGAY PEACEKEEPNG ACTION TEAM (BPATs) 1.	1.	The Local Government Unit of Mauban through the GENERAL FUND-1011/5-02-99-990, 2020 intends to apply the sum of Five Hundred Thousand Pesos (Php 500,000.00) being t</t>
  </si>
  <si>
    <t xml:space="preserve"> Philgeps: Procurement of Laid paper and Notepad for the Office of the Solicitor General  ITEMS - Specifications - Quantity:  1. Laid Paper - 8.5" x 11", 90 gsm, Cream, 500's/pack - 40 boxes 2. Notepad - 3 inch x 3 inch,  stick-on, 100 sheets/pad - 500 pad</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</si>
  <si>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</si>
  <si>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Issuance of Bid Documents Starts: June 24, 2020 Cost of Bid Document: Php 2,500.00 Venue of Dropping and Opening Bids: BAC Conference Room, Leyte SMED Center, Provincial Capitol Grounds, Tacloban City</t>
  </si>
  <si>
    <t xml:space="preserve"> Republic of the Philippines UNIVERSITY OF NORTHERN PHILIPPINES Tamag, Vigan City 2700 Ilocos Sur INVITATION TO BID FOR I.T. EQUIPMENT  1.	The University of Northern Philippines, through the Use of Income, 2020 intends to apply the sum of ₱ 2,000,000.00 be</t>
  </si>
  <si>
    <t xml:space="preserve"> Machinery and Equipment</t>
  </si>
  <si>
    <t xml:space="preserve"> The Municipality of San Mariano, Isabela invite bidders to participate in this procurement, Supply And  Delivery of Food Supplies for Indigent Family. Approved Budget Contract: Php 486,000.00 Bids must be duly received on or before July 13, 2020 at 10:30 </t>
  </si>
  <si>
    <t xml:space="preserve"> Republic of the Philippines Department of Health DAVAO REGIONAL MEDICAL CENTER Apokon, Tagum City Tel/Fax No.: (084) 216-9129 HOP-QR-PRO-011 BIDS AND AWARDS COMMITTEE ========================================================================== REQUEST FOR Q</t>
  </si>
  <si>
    <t xml:space="preserve"> Improvement of One (1) Unit 2 storey-7.5m x 88.5m Municipal Public Market (slab, wall &amp; roofing)</t>
  </si>
  <si>
    <t xml:space="preserve"> Stone masonry works</t>
  </si>
  <si>
    <t xml:space="preserve"> Multi-Jet Water Meter 15mm dia. (Class B) Specifications: Magnetically driven sealed register with dome shaped lens; 6 number rollers for high totalizing capacity, 3 dial pointers for meter accuracy below 50ml, testing, central pointer for leak detection </t>
  </si>
  <si>
    <t xml:space="preserve"> City Government of La Carlota								          Standard Form Number: SF-GOOD-59 Revised on: May 24, 2004 Standard Form Title: REQUEST FOR QUOTATION 												Date: ______________											                             Quotation No.________ Company Name </t>
  </si>
  <si>
    <t xml:space="preserve"> Electrical and plumbing works</t>
  </si>
  <si>
    <t xml:space="preserve"> 4 Set Sphygmomanometer Aneroid 3 Set Stethoscope Adult Littman 40 COVID-19 Anti Body Rapid Test (Kit Innovita) 20 Box Clean Gloves Latex M/L 100's 10 Piece Hazmat Suit Colored M/L 5 Gal Chlrine Stock Solution 3 Box Surgical Cap Disposable 100's</t>
  </si>
  <si>
    <t xml:space="preserve"> Republic of the Philippines DEPARTMENT OF PUBLIC WORKS AND HIGHWAYS BATANGAS III DISTRICT ENGINEERING OFFICE REGIONAL OFFICE IV-A J. Gonzales St., Barangay 4, Tanauan City INVITATION TO BID (GS-2020-007) The Department of Public Works and Highways (DPWH),</t>
  </si>
  <si>
    <t xml:space="preserve"> Republic of the Philippines Barangay Ilayang Tayuman  San Francisco, Quezon INVITATION TO BID FOR Procurement of Materials for the Installation of street Lights at Barangays Ilayang Tayuman, San Francisco, Quezon. 1. The Sangguniang Barangay of Ilayang Ta</t>
  </si>
  <si>
    <t xml:space="preserve"> Republic of the Philippines UNIVERSITY OF NORTHERN PHILIPPINES Tamag, Vigan City 2700 Ilocos Sur INVITATION TO BID FOR OFFICE SUPPLIES, JANITORIAL AND CONSUMABLE SUPPLIES  1.	The University of Northern Philippines, through the Regular Fund and Use of Inco</t>
  </si>
  <si>
    <t xml:space="preserve"> Cabadbaran District Hospital Agusan del Norte</t>
  </si>
  <si>
    <t xml:space="preserve"> Republic of the Philippines DEPARTMENT OF PUBLIC WORKS AND HIGHWAYS BATANGAS III DISTRICT ENGINEERING OFFICE REGIONAL OFFICE IV-A J. Gonzales St., Barangay 4, Tanauan City INVITATION TO BID (GS-2020-008) The Department of Public Works and Highways (DPWH),</t>
  </si>
  <si>
    <t xml:space="preserve"> Republic of the Philippines Department of Public Works and Highways Pampanga 3rd District Engineering Office San Francisco Street, Brgy. Pampang, Angeles City Region III Telephone Nos. (045) 323-5782 / 887-5249 INVITATION TO BID CONTRACT ID NO. – 20GCI000</t>
  </si>
  <si>
    <t xml:space="preserve"> INVITATION TO BID The DPWH-Regional Office No. III,  through  its  Bids  and  Awards  Committee  (BAC) for Goods,  invites suppliers to submit bids for the Contract below:          Contract ID:    19GC00091 Contract Name:      Procurement of Reflectorized</t>
  </si>
  <si>
    <t xml:space="preserve"> The Barangay Government of Concepcion Pequeña, Naga City intends to apply for the sum of Eight Hundred Thousand Pesos (Php 800,000.00) to payments under the contract for the proposed Pathwalk/Covered Drainage at Zone 4A, Saint Claire, Concepcion Pequeña, </t>
  </si>
  <si>
    <t xml:space="preserve"> PURCHASE OF HOT ASPHALT 60/70 FOR MAINTENANCE SECTION, CDOC END DEO, MACABALAN, CAGAYAN DE ORO CITY</t>
  </si>
  <si>
    <t xml:space="preserve"> The ZAMBOANGA CITY STATE POLYTECHNIC COLLEGE through its Bids and Awards Committee (BAC) is inviting PHILGEPS registered suppliers to apply for eligibility and to submit bids for the items listed below: 1.	(6 pcs.) Terminal lugs, copper, crimp type, long </t>
  </si>
  <si>
    <t xml:space="preserve"> Supply of High Performance Liquid Chromatography (HPLC) Analyzer •	HPLC Principle for the Screening of hemoglobin in newborns on dried blood spots •	Fully automated system •	Ability to identify hemoglobins S, F, A, C, D and E as well as the ability to det</t>
  </si>
  <si>
    <t xml:space="preserve"> MEALS AND SNACKS</t>
  </si>
  <si>
    <t xml:space="preserve"> Brand New Passenger Van 18-Seater with the following specifications: YD25 DDTi 2.5L 4 cylinder, DOHC, 16 Valves, Variable Turbocharger (VGS), 5-Speed M/T (Dash-mounted), Common Rail Direct Injection, 2488cc, 129Ps/3,200rpm, 356Nm/ 1,400-2,000 rpm, Front-T</t>
  </si>
  <si>
    <t xml:space="preserve"> REPUBLIC OF THE PHILIPPINES PROVINCE OF LEYTE MUNICIPALITY OF PASTRANA -oOo- INVITATION TO BID CONSTRUCTION OF CLOSURE OF OPEN DUMPSITE THE MUNICIPALITY OF PASTRANA, INTENDS TO APPLY THE SUM OF TWO MILLION FIVE HUNDRED THOUSAND PESOS (P2,500,000.00 ) bein</t>
  </si>
  <si>
    <t xml:space="preserve"> Interested bidders are require to be pre-qualified and to bid for the supply of labor and materials</t>
  </si>
  <si>
    <t xml:space="preserve"> 1.	The Local Government Unit (LGU) of Aroroy, through its Annual Budget 2020 to apply the sum of Php 300,000.00 being the Approved Budget for the Contract (ABC) to payments under the contract for Procurement of Consultancy Services for Preparation of Envi</t>
  </si>
  <si>
    <t xml:space="preserve"> This procurement is subject to Ordering Agreement. Bid Documents Fee P 5,000.00 Submission and receipt of Bids/ Opening of Bids Date: July 14, 2020 Time: 10:00 AM Venue: Conference Room, Municipal Hall Bldg., Laur, Nueva Ecija</t>
  </si>
  <si>
    <t xml:space="preserve"> Construction of Drainage at Brgy. District III, San Miguel, Catanduanes. Scope of Works: Demolition, Excavation, Rubbles Concrete, Stone Masonry, Plastering (0.05 M thk.), RCPC, Backfill, Forms/false Works. Source of Fund: 20% EDF- 2020    	Prospective bi</t>
  </si>
  <si>
    <t xml:space="preserve"> 20M00080-Repair/Maintenance of DPWH Building (former Utility Building), DPWH Region 12 Compound, Corner Alunan-Mabini Street, Koronadal City, South Cotabato</t>
  </si>
  <si>
    <t xml:space="preserve"> Republic of the Philippines DEPARTMENT OF PUBLIC WORKS AND HIGHWAYS PANGASINAN 1ST DISTRICT ENGINEERING OFFICE REGIONAL OFFICE I Alaminos City, Pangasinan INVITATION TO BID 1.	The DPWH Pangasinan 1st District Engineering Office, through its Bids and Award</t>
  </si>
  <si>
    <t xml:space="preserve"> Republic of the Philippines RIZAL PROVINCIAL GOVERNMENT Antipolo City INVITATION TO BID  PURCHASE OF ANTIBODY RAPID TEST The Rizal Provincial Government, through the Trust Fund intends to apply the sum of ₱9,000,000.00 as the Approved Budget for the Contr</t>
  </si>
  <si>
    <t xml:space="preserve"> Invitation to Bid for  Construction of Local Access Road in Brgy. Cogon The Municipal Government of Lezo through the Assistance to Municipalities 2019  intends to apply the sum of Four Million Pesos Only (PhP4, 000, 000.00)  being the Approved Budget for </t>
  </si>
  <si>
    <t xml:space="preserve"> 1.	The Municipality of Impasugong, through the 20% DF – Rehabilitation of Multi-Purpose Halls – Cawayan intends to apply the sum of One Million Pesos (PhP1,000,000.00) being the Approved Budget for the Contract (ABC) to payments under the contract for PR </t>
  </si>
  <si>
    <t xml:space="preserve"> 1 UNIT DESKTOP COMPUTER WITH PRINTER</t>
  </si>
  <si>
    <t xml:space="preserve"> LOT 7: 83 HEADS CARABAO (HEIFER) - MINIMUM OF 20 UP TO 24 MONTHS - MINIMUM BODYWEIGHT OF 200 KG. UPON DELIVERY - VACCINATED W/ HEMORRHAGIC SEPTICEMIA AT LEAST 2 WEEKS PRIOR TO SHIPMENT - TESTED FREE FROM BRUCELLOSIS, TUBERCULOSIS &amp; SURRA - MUST NOT POSSES</t>
  </si>
  <si>
    <t xml:space="preserve"> Issuance of Bid Documents Starts: June 24, 2020 Cost of Bid Document: Php 2,000.00 Venue of Dropping and Opening Bids: BAC Conference Room, Leyte SMED Center, Provincial Capitol Grounds, Tacloban City</t>
  </si>
  <si>
    <t xml:space="preserve"> FURNITURE &amp; FIXTURES - MHO -(20-0082) 1	8	set	Gang Chair (5 seaters, color: black and stainless sidings &amp; legs) 2	8	set	Office Table w/ Drawer &amp; Chairs 3	9	piece	FILING CABINET, vertical, four (4) drawers with lock, color: light gray 4	6	piece	Computer Ta</t>
  </si>
  <si>
    <t xml:space="preserve"> Republic of the Philippines CARAGA Administrative Region PROVINCE OF DINAGAT ISLANDS San Jose, Dinagat Islands BIDS AND AWARDS COMMITTEE INVITATION TO BID FOR  SUPPLY AND DELIVERY OF ONE (1) UNIT BRAND NEW 4X4 PICK-UP 1.	The Provincial Government of Dinag</t>
  </si>
  <si>
    <t xml:space="preserve"> Fuel &amp; Lubricants</t>
  </si>
  <si>
    <t xml:space="preserve"> Republic of the Philippines Barangay Ilayang Tayuman San Francisco, Quezon INVITATION TO BID FOR Procurement of Materials for the Repair and Maintenance of Barangay Road (KALAHI Project) Ilayang Tayuman, San Francisco, Quezon. 1. The Sangguniang Barangay </t>
  </si>
  <si>
    <t xml:space="preserve"> Place of Delivery: Office of the MENRO, Moncada, Tarlac Specification min. requirements: 1. 4 stroke OHC, Air cooled Engine 150 cc carburetor , Manual Trans, 8.23 KW max power. 11.60 Nm 2. Kick and Electric start 3. Telescopic Front and Twin rear suspensi</t>
  </si>
  <si>
    <t xml:space="preserve"> Republic of the Philippines Province of Southern Leyte MUNICIPALITY OF LIMASAWA -o0o- Bids and Awards Committee Invitation to Bid for the Procurement of 5 units Collapsible Tent of the Municipality of Limasawa, Southern Leyte  1.	The Local Government Unit</t>
  </si>
  <si>
    <t xml:space="preserve"> Issuance of Bid Documents Starts: May 8, 2020 Cost of Bid Document: Php 2,500.00 Venue of Dropping and Opening Bids: BAC Conference Room, Leyte SMED Center, Provincial Capitol Grounds, Tacloban City</t>
  </si>
  <si>
    <t xml:space="preserve"> Item No.	Unit	DESCRIPTION				Qty 						 1	Unit	Data Cabinet 42RU with Accessories				1 2	Units	LED TV 50 inches				1 3	Units	NVR 16 Channels with 8TB HDD				1 4	Pairs	Media Converter 20KMS, Single Mode, Single Fiber				6 5	Unit	Manageable Switch with 16 E</t>
  </si>
  <si>
    <t xml:space="preserve"> Completion of Barangay Evacuation Center at Brgy. Katipunan, San Miguel, Catanduanes. Scope of Works: Demolition/Chipping of Concrete, Concrete Works, Masonry Works, rebar Works, Forms/False Works &amp; Stairs. Source of Fund: 20% EDF- 2020    	Prospective bi</t>
  </si>
  <si>
    <t xml:space="preserve"> DRUGS &amp; MEDICINES - MHO (20-06-0946) 1	576	drops	Paracetamol, 100mg/ml drops, 15ml 2	288	bottle	Paracetamol, 125mg/5ml, 60ml 3	144	bottle	Paracetamol, 250mg/5ml, 60ml 4	5000	tab	Paracetamol, 500mg/tab 5	1500	tab	Cetrizine, 10mg/tab 6	432	syrup	Cetrizine, </t>
  </si>
  <si>
    <t xml:space="preserve"> SUPPLIES FOR STI AND HIV TESTING KIT FOR PREGNANT MOTHERS - MHO (20-03-0642X) 1	80	Box	HIV test Kit      (30 Card per Box) 2	30	Box	One Step Anti TP (Treponema Pallidum /Syphilis) Test 3	30	Box	One Step HBsAg &amp; HBsAb Test      (50 Strips per Box)</t>
  </si>
  <si>
    <t xml:space="preserve"> SUPPLY AND DELIVERY FOR THE INSTALLATION OF STREETLIGHTS</t>
  </si>
  <si>
    <t xml:space="preserve"> INVITATION TO BID  IB-2020-005-GOODS-TEC Supply and Delivery of Materials for the Application of Traffic Lane Markings on Various Locations within Metro Manila 1.	The Metropolitan Manila Development Authority (“MMDA”), through the 2019 Local Fund 2020 Reg</t>
  </si>
  <si>
    <t xml:space="preserve"> SAFETY SHOES</t>
  </si>
  <si>
    <t xml:space="preserve"> Republic of the Philippines Province of Romblon MUNICIPALITY OF ALCANTARA -o0o- Invitation to Bid for   PROCUREMENT OF INFORMATION AND COMMUNICATION TECHNOLOGY EQUIPMENT (ICT) Poblacion, Alcantara, Romblon The Municipal Government of Alcantara, Romblon th</t>
  </si>
  <si>
    <t xml:space="preserve"> INVITATION TO BID  IB-2020-006-GOODS-TEC Supply and Delivery of Thermoplastic Pavement Marking Materials for the Periodic Maintenance of Existing Truck Lanes and Motorcycle Lanes at Various Locations within Metro Manila 1.	The Metropolitan Manila Developm</t>
  </si>
  <si>
    <t xml:space="preserve"> 1 1700 SERV. LIGHT MEAL - MEAL-B1-150 GRMS. STEAMED RICE,AMPALAYA W/ EGG,CHORIZO,COFFEE,BANANA/MELON - MEAL-B2- 150 GRMS. STEAMED RICE,1 BOILED EGG,1 HOTDOG,CORNED BEEF,COFFEE,BANANA/MELON - MEAL-B3-150 GRMS. STEAMED RICE, 100 GRMS. PAKSIW FISH,SCRAMBLE E</t>
  </si>
  <si>
    <t xml:space="preserve"> Republic of the Philippines BIDS AND AWARDS COMMITTEE Province of Iloilo Invitation to Bid Purchase of  I.V. FLUIDS Bid No. JCH-20-0224-B 1. The Iloilo Provincial Government, through the GENERAL FUND 2020 intends to apply the sum of ONE MILLION ONE HUNDRE</t>
  </si>
  <si>
    <t xml:space="preserve"> 2,016 heads - Ready to Lay Chicken (pullet) Lohman layer or Dekalb Layer Age: Not less than 5 months Minimum bodyweight 1-1.5 kilogram upon delivery Tested free from Avian Influenza and NewCastle Disease Must not possess physical defects or undesirable ch</t>
  </si>
  <si>
    <t xml:space="preserve"> Republic of the Philippines Province of Pangasinan Municipality of Bolinao Tel. No. (075) 632-4346 Invitation to Bid 1.	The Local Government Unit of Bolinao Pangasinan intends to apply the sum of One Million Seven Hundred Eighty Thousand Six Hundred Sixty</t>
  </si>
  <si>
    <t xml:space="preserve"> INVITATION TO BID: 1.  Project Title:  Procurement of Reference Books and Instructional Materials for College of Engineering Library 2.  Approved Budget for the Contract:  Php 1,812,055.45 3.  Pre-bid Conference: June 2, 2020, Dr. Pablo T. Mateo Conferenc</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</si>
  <si>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</si>
  <si>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LOT 10: 4,885 BAGS - CERTIFIED PALAY SEEDS INC. OF TRANSPORT COST VARIETIES: PSB Rc18, NSIC Rc160, Rc216, Rc218, Rc402 DELIVERED IN MUNICIPALITIES: ROMBLON - 2,885 MARINDUQUE - 2,000</t>
  </si>
  <si>
    <t xml:space="preserve"> 5,800 LITERS - LOT 4: MICRONUTRIENT FERTILIZER/ SOIL FERTILIZER ORGANIC, SEAWEED-BASED LIQUID COMPONENT OF N P K AND AT LEAST 12 TRACE ELEMENTS GROWTH HORMONES OF AUXINS, GIBBERELLINS &amp; CYTOKININS INCLUSIVE OF TECHNOLOGY BRIEFING DELIVERED IN MUNICIPALITI</t>
  </si>
  <si>
    <t xml:space="preserve"> Republic of the Philippines Province of Surigao del Sur Municipality of Lanuza INVITATION TO BID  PROCUREMENT OF ONE (1) UNIT PATIENT TRANSPORT VEHICLE 1.	The Local Government of Lanuza, Surigao del Sur has availed grant funds from the Local Government Su</t>
  </si>
  <si>
    <t xml:space="preserve"> Republic of the Philippines BIDS AND AWARDS COMMITTEE Province of Iloilo Invitation to Bid Purchase of  MEDICAL EQUIPMENT Bid No. JCH-20-0306-B 1. The Iloilo Provincial Government, through the 20% IRA 2019 intends to apply the sum of TWO HUNDRED FOUR THOU</t>
  </si>
  <si>
    <t xml:space="preserve"> INVITATION TO BID  The Local Government Unit of Don Victoriano, through its Bids and Awards Committee (BAC), invites suppliers/contractors to apply for eligibility and to bid for the hereunder project: Name of Project:			Construction of Motorpool Phase-I	</t>
  </si>
  <si>
    <t xml:space="preserve"> Issuance of Bid Documents Starts: June 24, 2020 Cost of Bid Document: Php 2,000.00  Venue of Dropping and Opening Bids: BAC Conference Room, Leyte SMED Center, Provincial Capitol Grounds, Tacloban City</t>
  </si>
  <si>
    <t xml:space="preserve"> Department of Public Works and Highways (DPWH) Contract ID: 20G00102 Contract Name: Construction/Rehabilitation of Water Supply/Septage and Sewerage/Rain Water Collectors – Rainwater Collector in Public Facilities in Region VI – Ten (10) units at NEGROS O</t>
  </si>
  <si>
    <t xml:space="preserve"> ABSORBENT OIL-SPILL &amp; 6 other items</t>
  </si>
  <si>
    <t xml:space="preserve"> 1.	The Barangay Tomado, Aleosan, Cotabato, through the DSWD KALAHI CIDSS PAMANA IP CDD intends to apply the sum of ONE MILLION EIGHT HUNDRED THREE THOUSAND PESOS ONLY (P1,803,000.00) being the Approved Budget for the Contract (ABC) to payments under the c</t>
  </si>
  <si>
    <t xml:space="preserve"> RAHABILITATION OF BARANGAY HEALTH CENTER</t>
  </si>
  <si>
    <t xml:space="preserve"> INVITATION TO BID  IB-2020-007-GOODS-PIO Procurement of one (1) lot Blowing and Percussion Instruments for the use of MMDA Band – Public Affairs Office 1.	The Metropolitan Manila Development Authority (“MMDA”), through the 2019 Local Fund 2020 Regular 201</t>
  </si>
  <si>
    <t xml:space="preserve"> Republic of the Philippines Barangay Ilayang Tayuman San Francisco, Quezon INVITATION TO BID FOR Procurement of Materials for the Extension of Pathway at Barangay Ilayang Tayuman, San Francisco, Quezon. 1. The Sangguniang Barangay of Ilayang Tayuman, thro</t>
  </si>
  <si>
    <t xml:space="preserve"> Repair of Multi-Purpose Center at Sitio Binagasbasan, and Brgy. Paraiso, San Miguel, Catanduanes. Scope of Works:  Repair of Multi-Purpose Center @ Paraiso: Demolition (roof/roof framings, beams) and chipping of concrete, Foundation Excavation, Concrete W</t>
  </si>
  <si>
    <t xml:space="preserve"> I. MATERIALS 1 LOT II. LABOR  LUMPSUM III. ENERGY DEPOSIT (INSTALLATION &amp; INSPECTION FEE) LUMPSUM</t>
  </si>
  <si>
    <t xml:space="preserve"> Republic of the Philippines RIZAL PROVINCIAL GOVERNMENT Antipolo City INVITATION TO BID  PURCHASE OF OFFICE SUPPLIES The Rizal Provincial Government, through the General Fund intends to apply the sum of ₱2,193,251.50 as the Approved Budget for the Contrac</t>
  </si>
  <si>
    <t xml:space="preserve"> Drilling Machine</t>
  </si>
  <si>
    <t xml:space="preserve"> The City Government of Malolos, through its BIDS and AWARDS COMMITTEE (BAC) Invites Suppliers/Manufacturers/Distributors to Bid for hereunder procurement:  Name of Project : PURCHASE OF 1,150 CERTIFIED SEEDS (40 KGS/BAG) Requesting Office : CITY AGRICULTU</t>
  </si>
  <si>
    <t xml:space="preserve"> CABLE CONTROL</t>
  </si>
  <si>
    <t xml:space="preserve"> Republic of the Philippines DEPARTMENT OF PUBLIC WORKS AND HIGHWAYS CAGAYAN THIRD DISTRICT ENGINEERING OFFICE REGION II Tuguegarao City The DPWH-CAGAYAN THIRD DISTRICT ENGINEERING OFFICE, through the CY 2020 - BEFF intends to apply the sum of P18,353,729.</t>
  </si>
  <si>
    <t xml:space="preserve"> DETERGENT &amp; 6 other items</t>
  </si>
  <si>
    <t xml:space="preserve"> Construction of Masonry Drainage, Along National Highway, Namabbalan Norte, Tuguegarao City, Cagayan</t>
  </si>
  <si>
    <t xml:space="preserve"> Department of Public Works and Highways (DPWH) Contract ID: 20G00103 Contract Name: Construction/Rehabilitation of Water Supply/Septage and Sewerage/Rain Water Collectors – Rainwater Collector in Public Facilities in Region VI – Nine (9) units at ILOILO A</t>
  </si>
  <si>
    <t xml:space="preserve"> INVITATION TO BID  IB-2020-008-GOODS-TEC Supply and Delivery of Materials for the In-House Installation of Traffic Signal Facilities as per Request of Various LGUs 1.	The Metropolitan Manila Development Authority (“MMDA”), through the  RA 11465 GENERAL AP</t>
  </si>
  <si>
    <t xml:space="preserve"> PURCHASE INDOOR CCTV  HIKVISION CAMERA 2MP FOR BRGY. NEW VISAYAS NOTE: Please see attached link below on Other Information for more reference.</t>
  </si>
  <si>
    <t xml:space="preserve"> 1.	The West Visayas State University Medical Center, through its Use of Income Fund 2020 intends to apply the sum of TWO MILLION PESOS (PhP 2,000,000.00) ONLY being the Approved Budget for the Contract (ABC) to payments under the contract for the Procurem</t>
  </si>
  <si>
    <t xml:space="preserve"> 826 boxes - Bacillus thuringesis subsp. Aizawai (500grams) 943 bottles - Chlorfluazuron (500ml)  1,428 bottles - Chloratranilipole (250ml) 578 bottles - Spinetoram (250ml) Delivery Breakdown: Barcenaga, Naujan, Oriental Mindoro 451 boxes - Bacillus thurin</t>
  </si>
  <si>
    <t xml:space="preserve"> LOT 8: 379 HEADS SWINE (GILT) - CROSSBRED OF LARGE WHITE AND LANDRACE - NOT LESS THAN 6 MONTHS OF AGE - MINIMUM BODYWEIGHT OF 60 KG. UPON DELIVERY - VACCINATED AGAINST HOG CHOLERA AND SWINE INFLUENZA - TESTED FOR PRRS, BRUCELLOSIS &amp; LEPTOSPIROSIS - FEMINI</t>
  </si>
  <si>
    <t xml:space="preserve"> MULTI TESTER MULTIMEDIA</t>
  </si>
  <si>
    <t xml:space="preserve"> LOT 9: UPGRADED GOAT - 467 HEADS - 374 HEADS DOES OF DOCILE FEMININE APPEARANCE - 93 HEADS BUCKS OF STURDY MASCULINE APPEARANCE - SOURCED FROM BAI ACCREDITED GOAT MULTIPLIER FARM - AGE 12-18 MONTHS OLD - MINIMUM OF BODYWEIGHT OF 20 KG. UPON DELIVERY - TES</t>
  </si>
  <si>
    <t xml:space="preserve"> ARGON GAS &amp; 2 other items</t>
  </si>
  <si>
    <t xml:space="preserve"> SEEDLINGS</t>
  </si>
  <si>
    <t xml:space="preserve"> INVITATION TO SUBMIT QUOTATION Date: June 23, 2020 Canvass/Quotation No.: 2020-06-069 To All Eligible Service Providers/Bidders I. Please quote your lowest price inclusive of VAT on the items/ listed below, subject to the Terms and Conditions of this RFQ </t>
  </si>
  <si>
    <t xml:space="preserve"> INVITATION TO BID: 1. Project Title: Procurement of Reference Books and Instructional Materials for PUP Branches and Campuses 2. Approved Budget for the Contract: Php 3,996,727.93 3. Pre-bid Conference: June 2, 2020, 10:00 a.m. Dr. Pablo T. Mateo Conferen</t>
  </si>
  <si>
    <t xml:space="preserve"> FUEL FILTERS/OIL FILTERS</t>
  </si>
  <si>
    <t xml:space="preserve"> Republic of the Philippines Province of Surigao del Sur Municipality of Lanuza Invitation to Bid for a Contract to Concreting of Road Infront of Municipal Hall 1.	The Local Government of Lanuza, Surigao del Sur has an available fund from 20% Local Develop</t>
  </si>
  <si>
    <t xml:space="preserve"> Republic of the Philippines Province of Pangasinan Municipality of Bolinao Tel. No. (075) 632-4346 Invitation to Bid 1.	The Local Government Unit of Bolinao Pangasinan intends to apply the sum of One Million Five Hundred Thousand Pesos Only (Php1,500,000.</t>
  </si>
  <si>
    <t xml:space="preserve"> Republic of the Philippines							 PROVINCE OF ZAMBOANGA SIBUGAY							 Municipality of Talusan							 -7012-							 OFFICE OF THE BAC CHAIRMAN							 							 INVITATION TO BID							 							 NOTICE TO THE PUBLIC:							 							 	Notice is hereby served t</t>
  </si>
  <si>
    <t xml:space="preserve"> PURCHASE OUTDOOR CCTV HIKVISION OUTDOOR CCTV HEAVY DUTY FOR BRGY. NEW VISAYAS NOTE: PLEASE SEE ATTACHED LINK BELOW ON OTHER INFORMATION FOR MORE REFERENCE</t>
  </si>
  <si>
    <t xml:space="preserve"> TIRES</t>
  </si>
  <si>
    <t xml:space="preserve"> Republic of the Philippines DEPARTMENT OF PUBLIC WORKS AND HIGHWAYS CAGAYAN THIRD DISTRICT ENGINEERING OFFICE REGION II Tuguegarao City The DPWH-CAGAYAN THIRD DISTRICT ENGINEERING OFFICE, through the CY 2020 - BEFF intends to apply the sum of P15,271,813.</t>
  </si>
  <si>
    <t xml:space="preserve"> Republic of the Philippines PROVINCE OF ZAMBOANGA DEL NORTE BIDS AND AWARDS COMMITTEE (BAC) BAC Conference Room, 2nd  Floor ZNCEC, Dipolog City Tel. # (065) 212-6492 Telefax # (065) 212-6492 	                                                               </t>
  </si>
  <si>
    <t xml:space="preserve"> Republic of the Philippines DEPARTMENT OF PUBLIC WORKS AND HIGHWAYS CAGAYAN THIRD DISTRICT ENGINEERING OFFICE REGION II Tuguegarao City The DPWH-CAGAYAN THIRD DISTRICT ENGINEERING OFFICE, through the CY 2020 - BEFF intends to apply the sum of P14,512,667.</t>
  </si>
  <si>
    <t xml:space="preserve"> SUPPLY AND DELIVERY OF COCO PEAT FOR OFFICIAL USE OF MECHANIZED AND MODERNIZED FOREST NURSERY (MMFN) AT TRP, SAN JUAN DE VALDEZ, SAN JOSE, TARLAC</t>
  </si>
  <si>
    <t xml:space="preserve"> FLUID &amp; 5 other items</t>
  </si>
  <si>
    <t xml:space="preserve"> Republic of the Philippines DEPARTMENT OF PUBLIC WORKS AND HIGHWAYS CAGAYAN THIRD DISTRICT ENGINEERING OFFICE REGION II Tuguegarao City The DPWH-CAGAYAN THIRD DISTRICT ENGINEERING OFFICE, through the CY 2020 - BEFF intends to apply the sum of P14,984,179.</t>
  </si>
  <si>
    <t xml:space="preserve"> Delivery Breakdown: RIARC, Alcate, Victoria, Oriental Mindoro</t>
  </si>
  <si>
    <t xml:space="preserve"> Medical Supplies 20-05-022 ABC: 183, 925.00 Items: Face Mask Thermal Scanner Face Shield Alcohol Gloves Hygiene Kit</t>
  </si>
  <si>
    <t xml:space="preserve"> The Zamboanga del Norte 3rd District Engineering Office, through its Bids and Awards Committee (BAC), invites contractors to submit bids for the Contract:												 												 Contract ID:				20JD0109								 Contract Name:				Construction of 1 Unit T</t>
  </si>
  <si>
    <t xml:space="preserve"> BRAKE PADS/SHOE</t>
  </si>
  <si>
    <t xml:space="preserve"> 1458.93 cu.m Pipeline Excavation 6871.7  Lm  Installation ofPipelines &amp; Fittings 90.00  cu.m  Sand Bedding 1635.68  cu.m Backfilling and Compaction  5.00 units Blow Off Valve Assembly &amp; Air Release Valve 16.00  units Installation of Stubout 2.00  units Si</t>
  </si>
  <si>
    <t xml:space="preserve"> 15 CU.M. DEMOLITION OF EXISTING STRUCTURE 398.2 KGS REBARS 40 SQ.M. FORMWORKS &amp; SCAFFOLDINGS 5.3 CU.M. CONCRETE WORKS 1 I.S ELECTRICAL WORKS 710 SQ.M. CEILING WORKS 718.2 SQ.M. PAINTING WORKS (CEILING) 1 LOT RAILINGS 194 SQ.M. ROOFING SYSTEM</t>
  </si>
  <si>
    <t xml:space="preserve"> CUTTING DISC &amp; 1 other item</t>
  </si>
  <si>
    <t xml:space="preserve"> Interested bidders are requested to be pre-qualified and to bid for the supply of Labor and Materials for the construction project</t>
  </si>
  <si>
    <t xml:space="preserve"> Provision of quality service to the constituents through availability of office supplies, equipment, uniforms, other supplies and the refurbishing of Barangay Poblacion SK Office.</t>
  </si>
  <si>
    <t xml:space="preserve"> Delivery Breakdown: Abra de Ilog, Occidental Mindoro - 15 units Magsaysay, Occidental Mindoro - 6 units  Sta. Cruz, Occidental Mindoro - 2 units Rizal, Occidental Mindoro - 8 units San Jose, Occidental Mindoro - 4 units</t>
  </si>
  <si>
    <t xml:space="preserve"> INVITATION TO BID  IB-2020-009-GOODS-REG Procurement of Ten (10) units AED Plus Defibrillator with Complete set Accessories for the use of Road Emergency Group 1.	The Metropolitan Manila Development Authority (“MMDA”), through the  2019 LOCAL FUND 2020 Re</t>
  </si>
  <si>
    <t xml:space="preserve"> Specs: Perimeter Fence: Length: 110.mts. height: 3.00 mts The significant times and deadlines of procurement activities are shown below:  Activities	Schedule 1. Receipt of LOIs from Prospective Bidders	June 24-30,2020 2. Issuance of Bidding Documents	July</t>
  </si>
  <si>
    <t xml:space="preserve"> Rehabilitation of Water System at Brgy. Balatohan, San Miguel, Catanduanes. Scope of Works:  1. 4,000L Water Tank: Staking Layout &amp; False Works, Excavation of Footing &amp; Site, Backfill, Concrete Works for Footing &amp; Slab, Masonry Works, Plastering (one face</t>
  </si>
  <si>
    <t xml:space="preserve"> Acquisition of construction materials for improvement of Barangay Multi-Purpose Hall Taguihon, Baclayon, Bohol Bill of materials:  INSTALLATION OF DOOR AND WINDOWS 1.  1 set - Fixed glass window 1 w/ aluminum frame (1.12mx1.00m with opening) 2.  2 sets - </t>
  </si>
  <si>
    <t xml:space="preserve"> Name of Project:      1. Construction of Road Improvement of CM Recto &amp; Española Ave. with Solar Light  		           Component Phase IV  Location:                      Brgy., Cabinuangan,New Bataan, Davao De Oro Brief Description:                         </t>
  </si>
  <si>
    <t xml:space="preserve"> Issuance of Bid Documents Starts: June 24, 2020 Cost of Bid Document: Php 1,500.00 Venue of Dropping and Opening Bids: BAC Conference Room, Leyte SMED Center, Provincial Capitol Grounds, Tacloban City</t>
  </si>
  <si>
    <t xml:space="preserve"> Republic of the Philippines DEPARTMENT OF PUBLIC WORKS AND HIGHWAYS CAGAYAN THIRD DISTRICT ENGINEERING OFFICE REGION II Tuguegarao City The DPWH-CAGAYAN THIRD DISTRICT ENGINEERING OFFICE, through the CY 2020 - BEFF intends to apply the sum of P14,412,667.</t>
  </si>
  <si>
    <t xml:space="preserve"> TALAYAN RIS EXTENSION PROJECT CY 2020: Construction of 2.6 km lined canal at sta. 1+600 to sta. 4+200 Lateral B Extension, 5-units Canal Structures and 2.6km Service Road with Road Surfacing at sta. 1+600 to sta. 4+200 Lateral B Extension.</t>
  </si>
  <si>
    <t xml:space="preserve"> PAINT ASSORTED COLORS for automotive</t>
  </si>
  <si>
    <t xml:space="preserve"> Rehabilitation of Water System at Brgy. Pagsangahan, San Miguel, Catanduanes. Scope of Works:  1. 4,000L Water Tank: Staking layout &amp; False Works, Excavation of Footing &amp; Site, Backfill, Concrete Works for footing &amp; Slab, masonry Works, Plastering (one fa</t>
  </si>
  <si>
    <t xml:space="preserve"> Construction of One (1) Unit 16m x 28.0 mMulti-Purpose/Evacuation Center</t>
  </si>
  <si>
    <t xml:space="preserve"> AIR FILTER &amp; 2 other items</t>
  </si>
  <si>
    <t xml:space="preserve"> INVITATION TO BID (National Competitive Bidding) The BFAR XIII, through its Bids and Awards Committee (BAC), invites eligible suppliers to bid for the hereunder contracts: Project Title: Supply and Delivery of Information Communication Technology (ICT) Eq</t>
  </si>
  <si>
    <t xml:space="preserve"> Republic of the Philippines Barangay Ilayang Tayuman San Francisco, Quezon INVITATION TO BID FOR Procurement of Materials for the Repair and Maintenance of Water Supply System of Barangay Ilayang Tayuman, San Francisco, Quezon. 1. The Sangguniang Barangay</t>
  </si>
  <si>
    <t xml:space="preserve"> Issuance of Bid Documents Starts: May 8, 2020 Cost of Bid Document: Php 1,500.00 Venue of Dropping and Opening Bids: BAC Conference Room, Leyte SMED Center, Provincial Capitol Grounds, Tacloban City</t>
  </si>
  <si>
    <t xml:space="preserve"> Invitation to Bid for  CY 2020 Quick Response Fund /Rehabilitation of Classrooms (Cluster 3 – Masipit ES, Tawagan ES) 1.	The Department of Education (DepED) Schools Division of Calapan City, through the CY 2020 Quick Response Fund Repair/Rehabilitation of</t>
  </si>
  <si>
    <t xml:space="preserve"> PURCHASE OF ONE (1) UNIT MUNICIPAL VEHICLE (Sports Utility Vehicle), Banate, Iloilo Specifications: *engine displacement: 2, 488cc *number of Cylinder : 4 cylinder *fuel: diesel *other specifications: -power steering -6SRS airbags -7-speed automatic trans</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</si>
  <si>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</si>
  <si>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Issuance of Bid Documents Starts: June 24, 2020 Cost of Bid Document: Php 1,000.00 Venue of Dropping and Opening Bids: BAC Conference Room, Leyte SMED Center, Provincial Capitol Grounds, Tacloban City</t>
  </si>
  <si>
    <t xml:space="preserve"> Republic of the Philippines Barangay Ilayang Tayuman San Francisco, Quezon INVITATION TO BID FOR Procurement of Materials for the Repair and Maintenance of Water Supply System at Barangays Ilayang Tayuman, San Francisco, Quezon. 1. The Sangguniang Baranga</t>
  </si>
  <si>
    <t xml:space="preserve"> SWITCH 16 PORTS</t>
  </si>
  <si>
    <t xml:space="preserve"> Supply and Delivery of MRBS complete with accessories and Hardware proposed is compatible with existing MMWD MRBS Application</t>
  </si>
  <si>
    <t xml:space="preserve"> MAIN DOCUMENT</t>
  </si>
  <si>
    <t xml:space="preserve"> For the use of Guba Community Hospital.</t>
  </si>
  <si>
    <t xml:space="preserve"> Purchase of Construction Materials</t>
  </si>
  <si>
    <t xml:space="preserve"> Invitation to Bid for  CY 2020 Quick Response Fund /Rehabilitation of Classrooms (Cluster 4 – Suqui ES, Guinobatan ES &amp; N. Aboboto MS) 1.	The Department of Education (DepED) Schools Division of Calapan City, through the CY 2020 Quick Response Fund Repair/</t>
  </si>
  <si>
    <t xml:space="preserve"> Republic of the Philippines					 Province of Guimaras					 Municipality of Sibunag					 					 BIDS AND AWARDS COMMITTEE					 				June  23,2020	 					 REQUEST FOR QUOTATION					 ______________________________					 ______________________________					 ______</t>
  </si>
  <si>
    <t xml:space="preserve"> various general medicines</t>
  </si>
  <si>
    <t xml:space="preserve"> LASER</t>
  </si>
  <si>
    <t xml:space="preserve"> Republic of the Philippines Province of Ilocos Norte MUNICIPALITY OF PINILI INVITATION TO BID FOR  “SUPPLY OF FERTILIZER” 1.	The Municipality of Pinili, Ilocos Norte through the RA 7171  intends to apply the sum SEVEN MILLION THREE HUNDRED FORTY THREE THO</t>
  </si>
  <si>
    <t xml:space="preserve"> FOR THE DETAILS, YOU CAN SEND YOUR INQUIRY THRU EMAIL.  FOR THE SITE INSPECTION, YOU CAN DIRECTLY CONTACT: MR. R.L. VEGA, Jr., Division Manager-Agus 7 HEP</t>
  </si>
  <si>
    <t xml:space="preserve"> One job furnishing labor and materials for the CONSTRUCTION OF THREE (3) – UNITS FARMER CENTERS AT BRGY. MERCED, BRGY.CARMELO &amp; BRGY.LIBERTAD, BANATE, ILOILO</t>
  </si>
  <si>
    <t xml:space="preserve"> Republic of the Philippines Province of South Cotabato BIDS AND AWARDS COMMITTEE Salada Street, Poblacion Tupi, South Cotabato Tel. Fax No.: (083) 226-1045 INVITATION TO BID FOR THE SUPPLY AND DELIVERY OF ONE (1) UNIT ASIAN UTILITY VEHICLE (AUV) (RE-BID) </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</si>
  <si>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</si>
  <si>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Please see attached bidding document associated with this notice</t>
  </si>
  <si>
    <t xml:space="preserve"> 1.	The Municipality of Impasugong, through the GF – Agricultural Support &amp; Services – OM &amp; OE intends to apply the sum Four Hundred Thousand Pesos (PhP400,000.00) being the Approved Budget for the Contract (ABC) to payments under the contract for PRNo.20-</t>
  </si>
  <si>
    <t xml:space="preserve"> The Philippine Statistics Authority – Regional Statistical Services Office XIII (PSA-RSSO XIII), through the 2020 General Appropriations Act (General Fund) intends to apply the sum of SEVEN MILLION TWO THOUSAND ONE HUNDRED PESOS ONLY (PhP 7,002,100.00) be</t>
  </si>
  <si>
    <t xml:space="preserve"> 40 DRUMS-Asphalt Cement, Penetration 60/70, ASTM D70 Specific Gravity @ 25c, ASTM D70, KG cm3, 1.01/1.06 Penetration @ 25C, ASTM D5, mm/10, 60/70 Spoftening Point˚c, 49/56 Ductility @ 25˚c, ASTM D113, cm, 100 min Loss on Heating (wt)%, ASTM D6, wt%, ASTM </t>
  </si>
  <si>
    <t xml:space="preserve"> Extension/Construction of SLR Covered Court as Evacuation Center</t>
  </si>
  <si>
    <t xml:space="preserve"> Republic of the Philippines CARAGA Administrative Region PROVINCE OF DINAGAT ISLANDS San Jose, Dinagat Islands BIDS AND AWARDS COMMITTEE INVITATION TO BID FOR  SUPPLY AND DELIVERY OF ONE (1) UNIT BRAND NEW 4X2 SUV 1.	The Provincial Government of Dinagat I</t>
  </si>
  <si>
    <t xml:space="preserve"> DEPARTMENT OF PUBLIC WORKS AND HIGHWAYS CAGAYAN THIRD DISTRICT ENGINEERING OFFICE REGION II Tuguegarao City The DPWH-CAGAYAN THIRD DISTRICT ENGINEERING OFFICE, through the CY 2020 - BEFF intends to apply the sum of P14,212,667.20 being the Approved Budget</t>
  </si>
  <si>
    <t xml:space="preserve"> 1 UNIT GRASSCUTTER - . - w/ complete accessories and tools</t>
  </si>
  <si>
    <t xml:space="preserve"> One job furnishing labor and materials for the CONSTRUCTION OF BULLETIN BOARD AND SIGNAGES, BANATE, ILOILO</t>
  </si>
  <si>
    <t xml:space="preserve"> Various Maintenance Medicines</t>
  </si>
  <si>
    <t xml:space="preserve"> Improvement of Barangay road. to Include: 1. Roadway Preparation 2. Concrete Pavement</t>
  </si>
  <si>
    <t xml:space="preserve"> PROCUREMENT OF CONSULTANCY SERVICES (FIRM) JJWC NNP NO. 20-010  The Juvenile Justice and Welfare Council (JJWC), through the Policy and Research Division (PRD), intends to apply the sum of Three Hundred Eighty Seven Thousand Pesos (Php 387,000.00) as Appr</t>
  </si>
  <si>
    <t xml:space="preserve"> Republic of the Philippines MUNICIPALITY OF BUNAWAN, AGUSAN DEL SUR Invitation to Bid/ Instruction to Bidders PURCHASE OF DOUBLE ARM STEEL TAPERED LAMP POST FOR REHABILITATION/ IMPROVEMENT OF CENTER ISLAND AND STREET LIGHT, SAN TEODORO, BUNAWAN, AGUSAN DE</t>
  </si>
  <si>
    <t xml:space="preserve"> Purchase of one (1) unit Multi-purpose vehicle for conversion into a rescue vehicle, equipped with the necessary equipment and apparatus.</t>
  </si>
  <si>
    <t xml:space="preserve"> 1.	The Municipality of Impasugong, through the 8-90-00 (2016 &amp; below) 20% - Purchase of Post Harvest Facilities intends to apply the sum Four Hundred Thirty Thousand Pesos (PhP 430,000.00) being the Approved Budget for the Contract (ABC) to payments under</t>
  </si>
  <si>
    <t xml:space="preserve"> `Republic of the Philippines DEPARTMENT OF PUBLIC WORKS AND HIGHWAYS LAGUNA I  DISTRICT ENGINEERING OFFICE REGIONAL OFFICE NO. IV-A 	Santa Cruz, Laguna	            Invitation to Bid The Department of Public Works and Highways- Laguna I District Engineerin</t>
  </si>
  <si>
    <t xml:space="preserve"> Republic of the Philippines Province of Aklan Municipality of Kalibo INVITATION TO BID FOR THE CONSTRUCTION OF TWO-STOREY  FOUR CLASSROOM SCHOOL BUILDING (PHASE 1) The Municipality of Kalibo, through the General Fund 2020, intends to apply the sum of One </t>
  </si>
  <si>
    <t xml:space="preserve"> Republic of the Philippines Province of Nueva Vizcaya BIDS AND AWARDS COMMITTEE (BAC-Goods) BAC OFFICE, Provincial Capitol, Bayombong, Nueva Vizcaya Tel. No. 078-392-2062 	 2ND INVITATION TO BID FOR THE SUPPLY AND DELIVERY OF VETERINARY MEDICAL SUPPLIES (</t>
  </si>
  <si>
    <t xml:space="preserve"> FEASIBILITY STUDY (F/S) ON THE SOLID WASTE MANAGEMENT FACILITY (LGU SANITARY LANDFILL) FOR THE FOUR (4) LOCAL GOVERNMENT UNIT-CLUSTERS (LGU-CLUSTERS) OF LANUZA AND SAN AGUSTIN IN SURIGAO DEL SUR, DINAGAT IN THE PROVINCE OF DINAGAT ISLANDS AND VERUELA IN A</t>
  </si>
  <si>
    <t xml:space="preserve"> Republic of the Philippines					 Province of Guimaras					 Municipality of Sibunag					 					 BIDS AND AWARDS COMMITTEE					 				June 23,2020	 					 REQUEST FOR QUOTATION					 ______________________________					 ______________________________					 _______</t>
  </si>
  <si>
    <t xml:space="preserve"> Improvement of MPP Training Center cum mess Hall to be used for isolation facility during Pandemic</t>
  </si>
  <si>
    <t xml:space="preserve"> Construction materials and supplies..</t>
  </si>
  <si>
    <t xml:space="preserve"> Purchase og Ascorbic Acid</t>
  </si>
  <si>
    <t xml:space="preserve"> Project Billboard Structure Excavation (Common Soil) Embankment from Structure Excavation Gravel Bedding Structural Concrete RSB Formworks &amp; Scaffoldings Masonry Wooden Doors Fixed and Windows Plain Cement Plaster Finish Railings/Handrails Tile Works Conc</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</si>
  <si>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</si>
  <si>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Invitation to Bid No. 2020-PB-06 FOR Supply and Delivery of Various Furniture for PRO IVA 1.	The PhilHealth Regional Office IVA (PRO-IVA), through the Corporate Operating Budget (COB) 2020 and Approved Budget for the Contract (ABC) intends to apply the su</t>
  </si>
  <si>
    <t xml:space="preserve"> The Metro Kalibo Water District, through the Bids and Awards Committee (BAC), will undertake Negotiated Procurement (Small Value Procurement) for the SUPPLY &amp; DELIVERY OF TWENTY-FIVE (25) PAILS CALCIUM HYPOCHLORITE GRANULES (45KGS. /PAIL, 70% CHLORINE CON</t>
  </si>
  <si>
    <t xml:space="preserve"> Item No.	Description	Unit	Quantity A.1.1(6)	Provision Of Combined Field Office Laboratory &amp; Living Quarters ( Rental Basis )	mo/s	8.00 b.5.	Project Billboard / Signboard	unit/s	1.00 b.7. (1)	Occupational Safety &amp; Health Program	mo/s	8.00 SPL - 1	Material </t>
  </si>
  <si>
    <t xml:space="preserve"> Republic of the Philippines DEPARTMENT OF PUBLIC WORKS AND HIGHWAYS CAMARINES SUR 2ND DISTRICT ENGINEERING OFFICE Regional Office V Baras, Canaman, Camarines Sur INVITATION TO BID FOR  20FE0127 – CONSTRUCTION OF CLASSROOMS, SAN JUAN NATIONAL HIGH SCHOOL, </t>
  </si>
  <si>
    <t xml:space="preserve"> The Municipality of Limay, through its Bids and Awards Committee (BAC) invites registered suppliers to apply for eligibility and if found eligible, to bid for the hereunder project/contract: Project/Contract:     SUPPLY AND DELIVERY OF HOUSEHOLD PLATES Lo</t>
  </si>
  <si>
    <t xml:space="preserve"> Thermoplastic Paints-White (25 kg. per bag) Specification: Content 16% of Glass Beads Packing Materials as Filling Added into the Paint, Ensure Mechanical Strength, Wear Resistance &amp; Color of Painting Coating - 245 Bags And Primer - 40 Liters</t>
  </si>
  <si>
    <t xml:space="preserve"> Supply and Delivery of CM for the construction of Takadang-Pilig-Buhlagan-Ganza Road,Babadi,KNV</t>
  </si>
  <si>
    <t xml:space="preserve"> SAPALAN RIP CY 2020 PACKAGE 7:   Construction of 1-unit Sapalan Main Office Building</t>
  </si>
  <si>
    <t xml:space="preserve"> Purchase of Supplies for emergency rescue team</t>
  </si>
  <si>
    <t xml:space="preserve"> 1.	The Municipality of Impasugong, through the 8-90-00 (2016 &amp; below) 20% - Purchase of Post Harvest Facilities intends to apply the sum Five Hundred Seventy Thousand Pesos (PhP 570,000.00) being the Approved Budget for the Contract (ABC) to payments unde</t>
  </si>
  <si>
    <t xml:space="preserve"> Republic of the Philippines CARAGA Administrative Region PROVINCE OF DINAGAT ISLANDS San Jose, Dinagat Islands BIDS AND AWARDS COMMITTEE INVITATION TO BID FOR  SUPPLY AND DELIVERY OF AGRICULTURAL &amp; FISHERY MACHINERIES AND EQUIPMENT 1.	The Provincial Gover</t>
  </si>
  <si>
    <t xml:space="preserve"> Republic of the Philippines DEPARTMENT OF PUBLIC WORKS AND HIGHWAYS PANGASINAN IV DISTRICT ENGINEERING OFFICE REGIONAL OFFICE I Tuliao, Sta. Barbara, Pangasinan Invitation to Bid for  Construction of Two (2) Storey Six (6) Classroom School Building, Balit</t>
  </si>
  <si>
    <t xml:space="preserve"> Invitation to Bid No. 2020-PB-05 FOR Engagement of Mailing Service of PRO IVA for CY 2020 1.	The PhilHealth Regional Office IVA (PRO-IVA), through the Corporate Operating Budget (COB) 2020 and Approved Budget for the Contract (ABC) intends to apply the su</t>
  </si>
  <si>
    <t xml:space="preserve"> Invitation to Bid PROCUREMENT OF MOVING SERVICES  (PEZA-HO-2020-01) 1.	The Philippine Economic Zone Authority (PEZA), through its Corporate Operating Budget for CY 2020 intends to apply the sum of P2,000,000.00 being the Approved Budget for the Contract (</t>
  </si>
  <si>
    <t xml:space="preserve"> Item No. 	Item Description					QTY.	Unit	Unit Price	Total Price 1	Digital / Analog Repaeater					1	lot		 	Specifications:								 	136-174Mhz, digital repeater system with built-in power supply, NTC license/engineering plan (1ch duplex), with the followin</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</si>
  <si>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</si>
  <si>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Republic of the Philippines Province of Lanao del Norte Municipality of Tubod OFFICE OF THE BIDS AND AWARDS COMMITTEE INVITATION TO BID CONSTRUCTION/DEVELOPMENT OF SANITARY LANDFILL   Barangay Tubaran, Tubod, Lanao del Norte  (ITB-2020-JDL-006) Approved B</t>
  </si>
  <si>
    <t xml:space="preserve"> Rehabilitation/Improvement of Two (2) Storey 8 Classroom Academic Building (Phase II) LSPU Siniloan Campus, Siniloan, Laguna”, A = 10.5 mtrs x 40.05 mtrs.,  work includes the following: Finishing Works, Ceiling, Electrical Rehabilitation and Installation,</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</si>
  <si>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</si>
  <si>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Item No.	Description	Unit	Quantity B.9	Mobilization/Demobilization	1.00	l.s B.5.	Project Billboard	1.00	unit/s 104(2)b	Embankment	15.50	cu.m 510 (2)	Concrete Slope Protection	25.00	cu.m</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</si>
  <si>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</si>
  <si>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Const. of one (1)public building.</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</si>
  <si>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</si>
  <si>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CONCRETING OF BRGY. FMR</t>
  </si>
  <si>
    <t xml:space="preserve"> Item Number	Description	Unit	Quantity 			 1	PNP Patrol Vehicle	unit	1</t>
  </si>
  <si>
    <t xml:space="preserve"> Contract for the Improvement of Water System, Barangay Bobongon, Santo Tomas The Municipality of Santo Tomas, through Supplemental Budget #3 CY 2020 intends to apply the sum of P’ 14,999,975.17  being the Approved Budget for the Contract (ABC) to payments</t>
  </si>
  <si>
    <t xml:space="preserve"> BIDS AND AWARDS COMMITTEE INVITATION TO BID (ITB) The LOCAL GOVERNMENT UNIT OF BILIRAN, through its BIDS AND AWARDS COMMITTEE (BAC) invites Bidders/Suppliers to bid for the Construction of the following: 1.	URBAN GREENING/LANDSCAPING					Php 2,025,533.50 </t>
  </si>
  <si>
    <t xml:space="preserve"> Republic of the Philippines CARAGA Administrative Region PROVINCE OF DINAGAT ISLANDS San Jose, Dinagat Islands BIDS AND AWARDS COMMITTEE INVITATION TO BID FOR  SUPPLY AND DELIVERY OF INORGANIC FERTILIZER 1.	The Provincial Government of Dinagat Islands, th</t>
  </si>
  <si>
    <t xml:space="preserve"> BIDS AND AWARDS COMMITTEE INVITATION TO BID (ITB) The LOCAL GOVERNMENT UNIT OF BILIRAN, through its BIDS AND AWARDS COMMITTEE (BAC) invites Bidders/Suppliers to bid for the Construction of the following: 1.	REHAB OF BREAK WATER/SEAWALL					Php 3,119,303.4</t>
  </si>
  <si>
    <t xml:space="preserve"> INVITATION TO BID 	 The Municipality of Liloan, Southern Leyte through its Bids and Awards Committee (BAC), invites suppliers/manufacturers/distributors/contractors to bid for the: 1.	Procurement of Electrical Fixtures and Accessories Location:  Poblacion</t>
  </si>
  <si>
    <t xml:space="preserve"> MUNICIPALITY OF BORBON LOCATION: BARANGAY TABUNAN TO BARANGAY BAGACAY DESCRIPTION: OTHER GENERAL REQUIREMENTS = 348,233.37 EARTHWORKS = 1,083,274.65 SUB BASE AND BASE COURSE = 1,016,140.08 SURFACE COURSES = 7,438,369.05 DRAINAGE AND SLOPE PROTECTION = 113</t>
  </si>
  <si>
    <t xml:space="preserve"> Republic of the Philippines Province of Guimaras Municipality of Sibunag INVITATION TO BID FOR  Bid No. 2020-019 – For the Impv’t. of Drainage System in the Municipal Site The Municipality of Sibunag through the  2018 LGSF – Trust Fund (DSWDO)  intends to</t>
  </si>
  <si>
    <t xml:space="preserve"> INVITATION TO BID LGU-El Salvador City, Misamis Oriental through its BAC, invites interested bidders to apply for eligibility and if found eligible to bid for the contract: 1.	Contract ID No.	:	ITB No. 2020-06-055/Project ID No. 19-007-20% &amp; 20-011-20% Na</t>
  </si>
  <si>
    <t xml:space="preserve"> 375 BAG/S PORTLAND CEMENT - with delivery at Municipal Warehouse - Type 1</t>
  </si>
  <si>
    <t xml:space="preserve"> Republic of the Philippines DEPARTMENT OF PUBLIC WORKS AND HIGHWAYS CAMARINES SUR 2ND DISTRICT ENGINEERING OFFICE Regional Office V Baras, Canaman, Camarines Sur INVITATION TO BID FOR  20FE0128 – CONSTRUCTION OF CLASSROOMS, MANTALISAY ES, LIBMANAN, CAMARI</t>
  </si>
  <si>
    <t xml:space="preserve"> 1 10 PC/S CLEAR BOOK - LONG-40 SHEETS 2 2 ROLL/S DOUBLE SIDED TAPE - #2 3 15 PC/S FOLDER - LONG-PLASTIC THICK PINK 4 10 PC/S PEN - SIGN PEN BLACK-NO.0.3 5 10 PC/S PEN - SIGN PEN BLACK-0.4 6 4 PC/S MAGAZINE RACK - FOLDABLE BLUE-115mmx270mmx325mm</t>
  </si>
  <si>
    <t xml:space="preserve"> BIDS AND AWARDS COMMITTEE INVITATION TO BID (ITB) The LOCAL GOVERNMENT UNIT OF BILIRAN, through its BIDS AND AWARDS COMMITTEE (BAC) invites Bidders/Suppliers to bid for the Purchase of the following: 1.	PURCHASE AND DELIVERY OF WATER PIPES			 	Php 253,740</t>
  </si>
  <si>
    <t xml:space="preserve"> REQUEST FOR QUOTATIONS Supply and Delivery of Waterbath Note:  Please see attached document for complete specifications. REMINDERS: 1.) Pls. see associated components for the attached approved canvass form for complete specifications. 2.) Only the approve</t>
  </si>
  <si>
    <t xml:space="preserve"> REQUEST FOR QUOTATIONS Supply and Delivery of Heating Mantle Note:  Please see attached document for complete specifications. REMINDERS: 1.) Pls. see associated components for the attached approved canvass form for complete specifications. 2.) Only the ap</t>
  </si>
  <si>
    <t xml:space="preserve"> BIDS AND AWARDS COMMITTEE INVITATION TO BID (ITB) The LOCAL GOVERNMENT UNIT OF BILIRAN, through its BIDS AND AWARDS COMMITTEE (BAC) invites Bidders/Suppliers to bid for the Purchase of the following: 1.	PURCHASE AND DELIVERY OF CASSAVA GRATER AND DRESSER	</t>
  </si>
  <si>
    <t xml:space="preserve"> Republic of the Philippines Province of Nueva Vizcaya BIDS AND AWARDS COMMITTEE (BAC-Goods) BAC OFFICE, Provincial Capitol, Bayombong, Nueva Vizcaya Tel. No. 078-392-2062 	 2ND INVITATION TO BID FOR THE SUPPLY AND DELIVERY OF CONSTRUCTION MATERIALS    FOR</t>
  </si>
  <si>
    <t xml:space="preserve"> REQUEST FOR QUOTATIONS Supply and Delivery of Incubator Note:  Please see attached document for complete specifications. REMINDERS: 1.) Pls. see associated components for the attached approved canvass form for complete specifications. 2.) Only the approve</t>
  </si>
  <si>
    <t xml:space="preserve"> INVITATION TO BID FOR PROVISION OF MULTI-YEAR CONTRACT FOR  SUBSCRIPTION TO A WATER TESTING AND ANALYSIS FOR THE WATER SUPPLY OF DSWD-CENTRAL OFFICE FOR CY 2020-2022 —  ITB NO. GOP/20-DSWD-040— (PR No. 01-20001-PR-2020-05-00031, 2020050120 and 2020050121)</t>
  </si>
  <si>
    <t xml:space="preserve"> Invitation to Bid Republic of the Philippines Philippine Rural Development Project Invitation to Bid for the Supply and Delivery of Ten (10) Heads Pregnant Holstein X Jersey Heifers Crosses (50:50) Loan No. 8421-PH PRDP-IR-R04A-BTG-003-TAN-001-2017 June 2</t>
  </si>
  <si>
    <t xml:space="preserve"> REPUBLIC OF THE PHILIPPINES PROVINCE OF BATAAN MUNICIPALITY OF MARIVELES BARANGAY ALASASIN INVITATION TO APPLY FOR ELIGIBILITY AND TO BID The Barangay of Alasasin, through the General Fund Approved by the Sangguniang Barangay CY 2019 intends to apply the </t>
  </si>
  <si>
    <t xml:space="preserve"> CONSTRUCTION SUPERVISION AND MANAGEMENT CONSULTANCYSERVICES FOR THE TWO (2) STOREY OFFICE BUILDING WITH RECORDS ROOM AND WAREHOUSE LOCATED RGC COMPOUND, CARIG SUR, TUGUEGARAO CITY 1.	The Metropolitan Tuguegarao Water District, through the Corporate Budget</t>
  </si>
  <si>
    <t xml:space="preserve"> INVITATION TO BID FOR THE PROCUREMENT OF JANITORIAL SERVICES FOR SIX (6) MONTHS  (ITB NO. 2020-029) 1.	The Tourism Promotions Board (TPB), through the Corporate Budget FY 2020, intends to apply the sum of  Two Million Fifty-Two Thousand Six Hundred Sevent</t>
  </si>
  <si>
    <t xml:space="preserve"> REQUEST FOR QUOTATIONS Procurement of One Year Subscription of Autodesk AutoCAD Note:  Please see attached document for complete specifications. REMINDERS: 1.) Pls. see associated components for the attached approved canvass form for complete specificatio</t>
  </si>
  <si>
    <t xml:space="preserve"> Please see Invitation to Bid and Bidding Documents attached to Associated Components. Lot 1 - Polo Shirts and Bags Lot 2 - Customized/Souvenir Items Lot 3 - Reproduction of Primer, Comics, Manuals, Training Workbook, and Administrative Forms Lot 4 - Tarpa</t>
  </si>
  <si>
    <t xml:space="preserve"> REQUEST FOR QUOTATIONS Supply and Delivery of Distillation Set-up Note:  Please see attached document for complete specifications. REMINDERS: 1.) Pls. see associated components for the attached approved canvass form for complete specifications. 2.) Only t</t>
  </si>
  <si>
    <t xml:space="preserve"> I N V I T A T I O N   T O   B I D  The Visayas State University (VSU) through its Bids and Awards Committee (BAC) invites contractors to bid for the hereunder project: Name of Project 	:  Renovation of University Students Services Office (INFRA-20-07) Loc</t>
  </si>
  <si>
    <t xml:space="preserve"> INVITATION TO BID FOR SUPPLY AND DELIVERY OF MATERIALS FOR THE IMPROVEMENT OF MULTI-PURPOSE BUILDING  1.	The  BARANGAY GOVERNMENT OF POCTOY , through the   20% COMMUNITY DEVELOPMENT FUND / CDF  intends to apply the sum of FOUR HUNDRED TWENTY FIVE THOUSAND</t>
  </si>
  <si>
    <t xml:space="preserve"> DOST Region 02 is inviting bidders to submit their lowest price(s) on the services needed. Please read the instructions below. INSTRUCTIONS: 1. Bidders are required to read the instructions and fill out the blanks properly. Prospective suppliers are requi</t>
  </si>
  <si>
    <t xml:space="preserve"> PCCP (Full width)</t>
  </si>
  <si>
    <t xml:space="preserve"> Improvement of Water tank, Installation of G.I Pipe with Skyline and Anchor, Laying of Hose.</t>
  </si>
  <si>
    <t xml:space="preserve"> I. INTRODUCTION Marcopper Mining Corporation (MMC) is a Philippine mining company incorporated in 1964 wherein Canada-based Placer Dome, Inc. has a 39.9% shareholding. Placer Dome acquired that interest after an association with the exploration of the min</t>
  </si>
  <si>
    <t xml:space="preserve"> Construction of Intake tank, Laying of HDPE Hose w/ Skyline and Anchor.</t>
  </si>
  <si>
    <t xml:space="preserve"> Concreting of Footpath</t>
  </si>
  <si>
    <t xml:space="preserve"> Road Opening</t>
  </si>
  <si>
    <t xml:space="preserve"> Republic of the Philippines Province of Eastern Samar Municipality of Mercedes OFFICE OF THE BIDS AND AWARDS COMMITTEE (BAC) INVITATION TO BID # INFRA-2020- 007  INVITATION TO BID FOR THE PROPOSED BRGY. SUNG-AN &amp; BRGY. SAN JOSE ECO-PARK DEVELOPMENT (PHASE</t>
  </si>
  <si>
    <t xml:space="preserve"> Please see attached associated components.</t>
  </si>
  <si>
    <t xml:space="preserve"> PCCP (full width)</t>
  </si>
  <si>
    <t xml:space="preserve"> PCCP (Full Width)</t>
  </si>
  <si>
    <t xml:space="preserve"> Grouted Riprap, PCCP (full width), Road Opening</t>
  </si>
  <si>
    <t xml:space="preserve"> Section I. Invitation to Bid SUPPLY OF LABOR, EQUIPMENT AND RESTORATION MATERIALS FOR THE INSTALLATION, TESTING AND COMMISSIONING OF 300MM DIA. AND 150MM DIA. TRANSMISSION LINE ALONG MAIN AVENUE, SAN GABRIEL, TUGUEGARAO CITY PHASE 4 1.	The Metropolitan Tu</t>
  </si>
  <si>
    <t xml:space="preserve"> ITEM and DESCRIPTION                            QUANTITY                 UNIT 1. BALLPEN, BLACK - 740 PIECE 2. CHALK, molded, white, dustless, length: 78mm min - 1 BOX 3. CORRECTION TAPE, film base type, UL 6m min - 89 PIECE 4. DATA FILE BOX, with CLOSE E</t>
  </si>
  <si>
    <t xml:space="preserve"> Construction of Ramp w/ Railings, Drainage Canal, Concrete Pavement &amp; Steel Gate</t>
  </si>
  <si>
    <t xml:space="preserve"> Concreting of Ground, Concrete Canal, Steel Grills</t>
  </si>
  <si>
    <t xml:space="preserve"> PCCP (Tirepath)</t>
  </si>
  <si>
    <t xml:space="preserve"> Retaining Wall</t>
  </si>
  <si>
    <t xml:space="preserve"> CCTV Cameras CCTV set (camera + DVR) 8 channels Siamese Cables for CCTV 3" uPVC pipes Electrical Conduit 20mm dia. Cable tray 2x8x3m Cable tray 2x3x3m xxxxxxxxxxxxxxxxxxxxxxxxxxxxxxxxxxxxxxxxxx Nothing follows xxxxxxxxxxxxxxxxxxxxxxxxxxxxxxxxxxxxxxxxx</t>
  </si>
  <si>
    <t xml:space="preserve"> Grouted Riprap</t>
  </si>
  <si>
    <t xml:space="preserve"> INVITATION TO BID SUPPLY, DELIVERY, INSTALLATION, TESTING,  APPLICATIONS TRAINING, AND COMMISSIONING OF  VARIOUS MEDICAL EQUIPMENT (Batch 3)  FOR GOV. CELESTINO GALLARES MEMORIAL HOSPITAL  1.	The Gov. Celestino Gallares Memorial Hospital, through Hospital</t>
  </si>
  <si>
    <t xml:space="preserve"> PCCP (full width and tirepath)</t>
  </si>
  <si>
    <t xml:space="preserve"> Republic of the Philippines Province of Quezon Municipality of Atimonan Barangay Zone IV Poblacion INVITATION FOR ELIGIBILITY AND TO BID 	The Barangay Zone IV Poblacion of Atimonan thru the Bids and Awards Committee (BAC) invites interested suppliers/cont</t>
  </si>
  <si>
    <t xml:space="preserve"> PCCP (full width), Retaining Wall and Slope Protection</t>
  </si>
  <si>
    <t xml:space="preserve"> Embankment, Road Clearing, Grouted Riprap, PCCP (Tirepath)</t>
  </si>
  <si>
    <t xml:space="preserve"> Concreting of Ground</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</si>
  <si>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</si>
  <si>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Extension of Building 2</t>
  </si>
  <si>
    <t xml:space="preserve"> BIDS AND AWARDS COMMITTEE INVITATION FOR NEGOTIATIONS (TWO-FAILED BIDDINGS) 1.	 3M PHILIPPINES INC.      2.    LEXICON PRESS, INC.          3.   FORMS INTERNATIONAL                         Taguig City                          Quezon City                  </t>
  </si>
  <si>
    <t xml:space="preserve"> OPENING OF BIDS IN DSWD FO IX ZAMBOANGA CITY		 DELIVERY IN RSCC-DSWD, MAMPANG ZAMBAONGA CITY		 PROCUREMENT FOR THE FF.:		 		 1 LOT  FURNITURE AND FIXTURE		 3	SET	SALA SET 3	PCS	CHANDELIER 12	PCS	FRAMES 10	UNIT	WOODEN PARTITION 3	UNIT	FURNITURE REVOLVING B</t>
  </si>
  <si>
    <t xml:space="preserve"> PCCP (tirepath) and Spillway</t>
  </si>
  <si>
    <t xml:space="preserve"> Construction of Multi - Purpose Hall ( Phase I )</t>
  </si>
  <si>
    <t xml:space="preserve"> ITEM and DESCRPTION    QUANTITY  UNIT 1. AIR FRESHENER, aerosol, 280ml PER CAN - 46 CAN 2. ALCOHOL, 70%, ethyl, 500ml - 89 BOTTLE 3. BROOM, soft (tambo) - 8 PIECE 4. BROOM, stick (tingting) - 8 PIECE 5. CLEANER, Toilet Bowl and Urinal, 900-1000ML cap. - 2</t>
  </si>
  <si>
    <t xml:space="preserve"> PCCP (tirepath)</t>
  </si>
  <si>
    <t xml:space="preserve"> Smoke Detector Smoke Detector Electrical Conduit 20mm dia. Smoke Detector Wires Junction Boxes Panel Boxes xxxxxxxxxxxxxxxxxxxxxxxxxxxxxxxxxxxxxxxxxxxx Nothing follows xxxxxxxxxxxxxxxxxxxxxxxxxxxxxxxxxxxxxxxxx</t>
  </si>
  <si>
    <t xml:space="preserve"> Concrete Footpath</t>
  </si>
  <si>
    <t xml:space="preserve"> 1.	The Municipality of Esperanza, Masbate through the Appropriation Ordinance No. 6, series of 2019 under the Twenty per cent (20%) Economic Development Fund of the Office of the Municipal Agriculturist (MAGO) intends to apply the sum of Two Hundred Fifty</t>
  </si>
  <si>
    <t xml:space="preserve"> Grouted Riprap, PCCP</t>
  </si>
  <si>
    <t xml:space="preserve"> Roadway Excavation &amp; Grouted Riprap</t>
  </si>
  <si>
    <t xml:space="preserve"> Road Rerouting, Grouted Riprap and Embankment</t>
  </si>
  <si>
    <t xml:space="preserve"> 1 Generator Set 100 KVA Generator Set (Silent type) Manual Transmission Switch (MTS) Copper Wires 120mm dia. 2 1/2 RSC Pipes Housing (Control room) xxxxxxxxxxxxxxxxxxxxxxxxxxxxxxxxxxxxxxxxxxx Nothing follows xxxxxxxxxxxxxxxxxxxxxxxxxxxxxxxxxxxxxxxx</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</si>
  <si>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</si>
  <si>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Concreting</t>
  </si>
  <si>
    <t xml:space="preserve"> REPLACEMENT OF CEILING WITH PAINTING</t>
  </si>
  <si>
    <t xml:space="preserve"> The DPWH-North Manila District Engineering Office, through its Bids and Awards Committee (BAC) invites contractors to submit bids for the following Contract: 2.	  Contract I.D. No. 20OE0203   Contract Name: Construction of Four (4) Storey Twelve (12) Clas</t>
  </si>
  <si>
    <t xml:space="preserve"> Grouted Riprap, Backfill</t>
  </si>
  <si>
    <t xml:space="preserve"> Handrails</t>
  </si>
  <si>
    <t xml:space="preserve"> Invitation to Bid for the Proposed Construction of Level 1 Potable Water Supply System  (Barangay Abaton, Burabud, Cagdarao, Cahayagan, Langob, Mualbual, Napotiocan, Oleras, Dona Luisa( Onay), Pangdan, Talisay and Vigo) 1.	The Local Government Unit of Lao</t>
  </si>
  <si>
    <t xml:space="preserve"> Open, Closed with Steel Grills Drainage Canal</t>
  </si>
  <si>
    <t xml:space="preserve"> The DPWH-North Manila District Engineering Office, through its Bids and Awards Committee (BAC) invites contractors to submit bids for the following Contract: 1.	  Contract I.D. No. 20OE0202   Contract Name: Completion of Four (4) Storey Eight (8) Classroo</t>
  </si>
  <si>
    <t xml:space="preserve"> Drainage Canal</t>
  </si>
  <si>
    <t xml:space="preserve"> Extension of Canal Wall, Grouted Riprap, Drainage Canal</t>
  </si>
  <si>
    <t xml:space="preserve"> Republic of the Philippines Province of Quezon Municipality of Guinayangan Barangay Government of Villa Hiwasayan INVITATION TO BID Date: June 23, 2020 1.	The Barangay Government of  Villa Hiwasayan intends to apply the sum One hundred fifteen thousand on</t>
  </si>
  <si>
    <t xml:space="preserve"> PCCP, Grouted Riprap, Cross Drain with Grills &amp; Railings</t>
  </si>
  <si>
    <t xml:space="preserve"> Please download the attached documents or you may visit our website @www.prc.gov.ph</t>
  </si>
  <si>
    <t xml:space="preserve"> Republic of the Philippines Province of Nueva Vizcaya BIDS AND AWARDS COMMITTEE (BAC-Goods) BAC OFFICE, Provincial Capitol, Bayombong, Nueva Vizcaya Tel. No. 078-392-2062 	 INVITATION TO BID FOR THE SUPPLY AND DELIVERY OF RABIES VACCINE,  HOG CHOLERA VACC</t>
  </si>
  <si>
    <t xml:space="preserve"> The DPWH-North Manila District Engineering Office, through its Bids and Awards Committee (BAC) invites contractors to submit bids for the following Contract: 5.	  Contract I.D. No. 20OE0206   Contract Name: Construction of Four (4) Storey Twenty (20) Clas</t>
  </si>
  <si>
    <t xml:space="preserve"> The DPWH-North Manila District Engineering Office, through its Bids and Awards Committee (BAC) invites contractors to submit bids for the following Contract: 4.	  Contract I.D. No. 20OE0205   Contract Name: Construction of Four (4) Storey Sixteen (16) Cla</t>
  </si>
  <si>
    <t xml:space="preserve"> The DPWH-North Manila District Engineering Office, through its Bids and Awards Committee (BAC) invites contractors to submit bids for the following Contract: 3.	  Contract I.D. No. 20OE0204   Contract Name: Construction of Four (4) Storey Twelve (12) Clas</t>
  </si>
  <si>
    <t xml:space="preserve"> PCCP, Gate, Grouted Riprap, Tank</t>
  </si>
  <si>
    <t xml:space="preserve"> INVITATION TO BID FOR THE CONSTRUCTION OF SOLAR DRYER Maligligay, Adams, Ilocos Norte 1.	The Municipal Government of Adams, through funds from the 20% Municipal Development Fund CY 2020 intends to apply the sum of P532,343.53 being the Approved Budget for</t>
  </si>
  <si>
    <t xml:space="preserve"> INVITATION TO BID FOR PROVISION OF MULTI-YEAR CONTRACT FOR THE HIRING OF SERVICE PROVIDER FOR TERMITE TREATMENT AND GENERAL PEST CONTROL OF DSWD CENTRAL OFFICE AND OTHER SATELLITE OFFICES                                                          FOR CY 202</t>
  </si>
  <si>
    <t xml:space="preserve"> Republic of the Philippines Province of Nueva Vizcaya BIDS AND AWARDS COMMITTEE (BAC-Goods) BAC OFFICE, Provincial Capitol, Bayombong, Nueva Vizcaya Tel. No. 078-392-2062 	 INVITATION TO BID FOR THE SUPPLY &amp; DELIVERY OF DESKTOP COMPUTERS, LAPTOP, ETC. FOR</t>
  </si>
  <si>
    <t xml:space="preserve"> Contract ID: 			20GO0102 Contract Name: 	71X-Special Maintenance (Installation of Road Safety Facilities Along Bacolod City National Roads), Bacolod City Contract Location:		Bacolod City, Negros Occidental Brief Description: 	Installation of road safety f</t>
  </si>
  <si>
    <t xml:space="preserve"> INVITATION TO BID FOR THE COMPLETION OF EVACUATION CENTER ANHS, ACES, Adams, Ilocos Norte 1.	The Municipal Government of Adams, through funds from the 20% Development Fund intends to apply the sum of P519,435.70 being the Approved Budget for the Contract </t>
  </si>
  <si>
    <t xml:space="preserve"> Purchase of Free School Supplies</t>
  </si>
  <si>
    <t xml:space="preserve"> INVITATION TO BID FOR the Procurement of Microwave Digestion System 968f – Ref. # 2020-06-03 1.	The FOOD AND NUTRITION RESEARCH INSTITUTE, through the “DOST-GIA Project entitled “Exposure Assessment of Food Chemical Contamination in Metro Manila: A Pilot </t>
  </si>
  <si>
    <t xml:space="preserve"> WORK DESCRIPTION:                  a. Mechanical Aspect (Kapingkong Dam Rehabilitation Including Replacement of Steel Gates at Main Canal)					 	 a.1 Barrage Gate (Dam)			                               10	units 	 a.2 Intake Gates (Dam)			                 </t>
  </si>
  <si>
    <t xml:space="preserve"> Republic of the Philippines Province of Quezon Municipality of Guinayangan Barangay Government of Capuluan Central INVITATION TO BID Date: June 23, 2020 1.	The Barangay Government of  Capuluan Central intends to apply the sum Two hundred fifty four thousa</t>
  </si>
  <si>
    <t xml:space="preserve"> Republic of the Philippines  Barangay 601, Zone 59, District VI, Manila Bids and Awards Committee INVITATION TO BID Barangay 601, Zone 59, District VI, Manila through its Bids and Awards Committee (BAC), Invites all Suppliers Contractors to bid the here u</t>
  </si>
  <si>
    <t xml:space="preserve"> GENERAL HEADQUARTERS ARMED FORCES OF THE PHILIPPINES GHQ BIDS AND AWARDS COMMITTEE 3 Camp General Emilio Aguinaldo, Quezon City INVITATION TO BID Retrofitting of GHQ Building (5th Rebidding) (GB3-PB-002-19)  1.	The Armed Forces of the Philippines (AFP), t</t>
  </si>
  <si>
    <t xml:space="preserve"> Department of Education Region VI-Western Visayas Division of Cadiz City Alimatoc Elementary School INVITATION TO BID FOR THE PROVISION OF SUPPLIES AND MATERIALS FOR MODULE REPRODUCTION 1.	The Alimatoc Elementary School of Cadiz City, through the Schools </t>
  </si>
  <si>
    <t xml:space="preserve"> SUPPLY AND DELIVERY OF ONE (1) UNIT AIR OVEN FOR NFA - TRLD LABORATORY USE</t>
  </si>
  <si>
    <t xml:space="preserve"> NVITATION TO BID FOR THE CONSTRUCTION OF IRRIGATION FACILITIES Sta. Maria, Malaggao, Adams, Ilocos Norte 1.	The Municipal Government of Adams, through funds from the RA 7171 intends to apply the sum of P451,659.65 being the Approved Budget for the Contrac</t>
  </si>
  <si>
    <t xml:space="preserve"> 13-inch Mac Book Air 13.3 - (diagonal) LED-backlit glossy widescreen display; 14-40 by 900 pixels 1.8GHZ dual-core intel Core i5 with 3MB L3 cache (Turbo Boost up to 2.8Ghz) 8GB of 1600Mhz LPDDR3 SDRAM 128GB PCIe-base SSD Intel HD Graphics 6000SDXC card s</t>
  </si>
  <si>
    <t xml:space="preserve"> Republic of the Philippines Province of Quezon Municipality of Guinayangan Barangay Government of Cabong Sur INVITATION TO BID Date: June 23, 2020 1.	The Barangay Government of  Cabong Sur intends to apply the sum one hundred ninety one  thousand two hund</t>
  </si>
  <si>
    <t xml:space="preserve"> ONE (1) LOT INTERNET SECURITY GATEWAY LICENSE SUBSCRIPTION SOPHOS SG 550</t>
  </si>
  <si>
    <t xml:space="preserve"> Republic of the Philippines Province of Quezon Municipality of Guinayangan Barangay Government of Dungawan Pantay INVITATION TO BID Date: June 23, 2020 1.	The Barangay Government of  Dungawan Pantay  intends to apply the sum Two hundred thousand one hundr</t>
  </si>
  <si>
    <t xml:space="preserve"> INVITATION TO BID The Department of Education (DepEd), Division of Pagadian City through the 2019 Government Appropriations Act (GAA), intends to apply the sum of Seven Hundred Forty-Seven Thousand Seven Hundred Pesos Only and 00/100 (P 747,700.00) being </t>
  </si>
  <si>
    <t xml:space="preserve"> Republic of the Philippines  Barangay 494, Zone 49, District IV, Manila Bids and Awards Committee INVITATION TO BID Barangay 494, Zone 49, District IV, Manila through its Bids and Awards Committee (BAC), Invites all Suppliers Contractors to bid the here u</t>
  </si>
  <si>
    <t xml:space="preserve"> Republic of the Philippines BIDS AND AWARDS COMMITTEE Province of Iloilo Invitation to Bid PURCHASE OF MEDICAL OXYGEN Bid No. IPH-20-0166-B 1. The Iloilo Provincial Government, through the GENERAL FUND 2020 intends to apply the sum of ONE MILLION NINETY N</t>
  </si>
  <si>
    <t xml:space="preserve"> INVITATION TO BID FOR Procurement / Acquisition of Communication and Early Warning Devices (Handheld radio and Radio base with antenna and accessories) 1.	The Municipality of San Jose, through the 2020 Annual Budget under 5% DRRM Calamity Fund   intends t</t>
  </si>
  <si>
    <t xml:space="preserve"> Department of Education Region VI-Western Visayas Division of Cadiz City Alimatoc Elementary School INVITATION TO BID FOR THE PROVISION OF MEDICAL AND DENTAL PROJECT WINS SUPPLIES 1.	The Alimatoc Elementary School of Cadiz City, through the Schools MOOE F</t>
  </si>
  <si>
    <t xml:space="preserve"> OPENING OF BIDS IN DSWD FO  IX ZAMBOANGA CITY		 DELIVERY IN HOME FOR WOMEN MAMPANG ZC		 PROCUREMENT FOR THE FF,: 		 1 LOT FROZEN GOODS 		 90	kls	Chicken Liver 200	packs	Chicken Lumpia 500g 180	packs	Chicken Nuggets 500g 180	packs	Chorizo (beef/chicken) 18</t>
  </si>
  <si>
    <t xml:space="preserve"> 1. The Department of Transportation (DOTr) through the 2020 GAA Locally Funded Projects intends to apply the sum of Nineteen Million Seven Hundred Sixty-One Thousand Four Hundred Thirty Pesos and Forty Centavos (Php 19,761,430.40) being the Approved Budge</t>
  </si>
  <si>
    <t xml:space="preserve"> I. MOBILIZATION II. OCCUPATIONAL HEALTH III. PROJECT BILLBOARD IV. SITE WORKS      A. CLEARING &amp; LAYOUT      B. STRUCTURAL EXCAVATION      C. EMBANKMENT      D. SOIL POISONING V. CONCRETE WORKS VI. REINFORCING STEEL BARS VII. FORM WORKS &amp; SCAFFOLDING VIII</t>
  </si>
  <si>
    <t xml:space="preserve"> 1.1 Conduct Ocular Inspection 1.2 Field Verification of Lots</t>
  </si>
  <si>
    <t xml:space="preserve"> GLOBAL NAVIGATION SATELLITE SYSTEM (GNSS SATELLITE SIGNALS TRACKED SIMULTANEOUSLY TECHNICAL SPECIFICATION)	NIA-SKIMO Compound, Isulan, Sultan Kudarat Channels: 220 channels, GPS: Simultaneous L1 C/A, L2C,L2E, L2E,L5	 GLONASS: Simultaneous L1 C/A, L2C/A (G</t>
  </si>
  <si>
    <t xml:space="preserve"> INVITATION TO BID FOR Establishment of Sari-sari Store and General Merchandising 1.	The Municipality of San Jose, through the Barangay Fund   intends to apply the sum of Two Hundred Seventy Seven Thousand Four Hundred Ninety Nine Pesos and 81/100 Only (₱ </t>
  </si>
  <si>
    <t xml:space="preserve"> REPUBLIC OF THE PHILIPPINES PROVINCE OF EASTERN SAMAR MUNICIPALITY OF LAWAAN REQUEST FOR QUOTATION PR No.: RFQ No.: PR Date: PhilGEPS Reference No. : End-User : Closing Date: ABC:98,675.00 Time: Sir/Madam: Please quote your lowest price on the items/s lis</t>
  </si>
  <si>
    <t xml:space="preserve"> INVITATION TO BID FOR Procurement of One (1) set Total Station/Surveying Equipment 1.	The Municipality of San Jose, through the 2020 Annual Budget under General Fund of Municipal Engineering Office   intends to apply the sum of Five Hundred Thousand Pesos</t>
  </si>
  <si>
    <t xml:space="preserve"> Republic of the Philippines Province of Ilocos Norte MUNICIPALITY OF ADAMS BIDS AND AWARDS COMMITTEE Cp nos.:09563902369, 09088956069  email address : mannegdege@yahoo.com June 23, 2020 INVITATION TO BID PURCHASE OF ONE (1) UNIT BRAND NEW AMBULANCE 1.	The</t>
  </si>
  <si>
    <t xml:space="preserve"> Department of Education Region VI-Western Visayas Division of Cadiz City Alimatoc Elementary School INVITATION TO BID PROCUREMENT FOR INTERNET CONNECTION OF ALIMATOC ELEMENTARY SCHOOL FOR 2020 1.	The Alimatoc Elementary School of Cadiz City, through the S</t>
  </si>
  <si>
    <t xml:space="preserve"> Repair of Barangay Hall</t>
  </si>
  <si>
    <t xml:space="preserve"> INVITATION TO BID FOR Purchase of Wheelchair, Quad Cane, Walker and Crutches for Senior Citizens and PWDs 1.	The Municipality of San Jose, through the 2020 Annual Budget under the Medical, Dental and Laboratory Expenses of Mayor’s Office   intends to appl</t>
  </si>
  <si>
    <t xml:space="preserve"> INVITATION TO BID FOR Procurement / Acquisition of Emergency Rescue Equipment and Supplies (Circular Concrete Saw, Concrete Chain Saw and Demolition Hammer) 1.	The Municipality of San Jose, through the 2020 Annual Budget under 5% DRRM Calamity Fund   inte</t>
  </si>
  <si>
    <t xml:space="preserve"> Section I. Invitation to Bid Supply and Delivery of Labor and Materials, and Provision of Service for the Renovation of the DTI-CITE 2020 1.The Department of Trade and Industry, through the General Appropriations Act for CY 2020, intends to apply the sum </t>
  </si>
  <si>
    <t xml:space="preserve"> OPENING OF BIDS IN DSWD FO  IX ZAMBOANGA CITY		 DELIVERY IN HOME FOR WOMEN MAMPANG ZC		 PROCUREMENT FOR THE FF,:		 		 1 LOT  VEGETABLE SUPPLIES		 		 120	kls	Ampalaya 80	kls	Baguio beans 60	pcs	Banana Blossom 120	kls	Broccoli 80	kls	Bell pepper 150	kls	Cab</t>
  </si>
  <si>
    <t xml:space="preserve"> OPENING OF BIDS IN DSWD FO  IX ZAMBOANGA CITY		 DELIVERY IN HOME FOR WOMEN-DSWD, MAMPANG  ZC		 PROCUREMENT FOR THE FF,:	 1 LOT PERSONAL EFFECTS		 		 250	PCS.	BATH SOAP 135g 250	PCS.	SHAMPOO 200ml 250	PCS.	TOOTHPASTE 150ml. 250	PCS.	DEODORANT 25 ml. 250	PA</t>
  </si>
  <si>
    <t xml:space="preserve"> 1.	The General Mariano Alvarez Water District (GMAWD), through the GMAWD General Fund, intends to apply the sum of TWO MILLION SEVEN HUNDRED TWENTY NINE THOUSAND PESOS (Php2,729,000.00) being the Approved Budget for the Contract (ABC) to payments under th</t>
  </si>
  <si>
    <t xml:space="preserve"> Department of Education Region VI-Western Visayas Division of Cadiz City Alimatoc Elementary School INVITATION TO BID PROCUREMENT FOR IMPROVEMENT OF HAND WASHING AREA OF ALIMATOC ELEMENTARY SCHOOL FOR 2020 1.	The Alimatoc Elementary School of Cadiz City, </t>
  </si>
  <si>
    <t xml:space="preserve"> 20F00107 - Local Program – National Roads and Bridges – National Roads – Local Infrastructure Program – Rehabilitation/Reconstruction of National Roads with Slips, Slope Collapsed and Landslide Andaya Highway, Ragay, Camarines Sur, Del Gallego and Ragay, </t>
  </si>
  <si>
    <t xml:space="preserve"> INVITATION TO BID FOR Purchase of 4x4 Service Vehicle for Monitoring of GAD Programs and Services 1.	The Municipality of San Jose, through the 2019 Annual Budget under the Gender and Development Fund (Capital Outlay)   intends to apply the sum of One Mill</t>
  </si>
  <si>
    <t xml:space="preserve"> Request for Expression of Interest (REOI)  for the  GEOTECHNICAL AND GEOLOGICAL SURVEY (SOIL BORING EXPLORATION) OF VARIOUS BUILDINGS IN REGION I (PACKAGE 2) 1.	The DPWH-Regional Office I through SR2020-02-0022685 intends to apply the sum of Five Million </t>
  </si>
  <si>
    <t xml:space="preserve"> Request for Expression of Interest (REOI)  for the  GEOTECHNICAL AND GEOLOGICAL SURVEY (SOIL BORING EXPLORATION) OF VARIOUS BUILDINGS IN REGION I (PACKAGE 1) 1.	The DPWH-Regional Office I through SR2020-02-0022685 intends to apply the sum of Five Million </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</si>
  <si>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</si>
  <si>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for the construction of the Drainage and Pathwalk at Looban 1 Bayawas St. Zone 4, Abella, Naga City</t>
  </si>
  <si>
    <t xml:space="preserve"> City Government of Manila INVITATION TO BID  NO. 2020-06-94 Procurement of Various Office Supplies 1.	The City Government of Manila, through the General Fund CY 2020 – Office Supplies Expenses  intends to apply the sum of  One Million Four Hundred Seventy</t>
  </si>
  <si>
    <t xml:space="preserve"> City Government of Manila INVITATION TO BID  NO. 2020-06-93 Procurement of Various Printed Materials 1.	The City Government of Manila, through the General Fund CY 2020 – Printing and Publication Expenses intends to apply the sum of One Million Three Hundr</t>
  </si>
  <si>
    <t xml:space="preserve"> INVITATION TO BID The Municipal Government of San Narciso, Quezon through its Bids and Award Committee (BAC), invites registered suppliers with DTI, Mayor’s Permit and PhilGEPS, if found eligible, to bid or the hereunder contract: Name of Contract : 	Part</t>
  </si>
  <si>
    <t xml:space="preserve"> Republic of the Philippines Province of Iloilo Municipality of Lemery Invitation to Bid 1.	The Barangay  Poblacion South East Zone,  Lemery, Iloilo, through  Provincial Aid intends to apply the sum of  Three million Pesos ( 3,000,000.00 ) being the Approv</t>
  </si>
  <si>
    <t xml:space="preserve"> Republic of the Philippines                                                    BARANGAY CITY HEIGHTS                                                        General Santos City                      								             INVITATION TO APPLY FOR ELIGIBILITY A</t>
  </si>
  <si>
    <t xml:space="preserve"> Republic of the Philippines DEPARTMENT OF HEALTH ZAMBOANGA PENINSULA - CENTER FOR HEALTH DEVELOPMENT  Upper Calarian, Zamboanga City 7000 Phone : (062) 983-0314, (062) 983-0146, Fax : (062)   991-3380 Email : dohchdzp@yahoo.com, Web : www.doh.gov.ph Contr</t>
  </si>
  <si>
    <t xml:space="preserve"> Proposed Salary:  P 15,000.00/month QUALIFICATION: A. Licensed Security Guard B.  Filipino Citizen C.  21 year old but not over 50 years old D.  No criminal records E.  High school graduate / College level F.  Physically and mentally fit G.  Of good moral</t>
  </si>
  <si>
    <t xml:space="preserve"> INVITATION TO BID The Municipal Government of San Narciso, Quezon through its Bids and Award Committee (BAC), invites registered suppliers with DTI, Mayor’s Permit and PhilGEPS, if found eligible, to bid or the hereunder contract: Name of Contract : 	Cons</t>
  </si>
  <si>
    <t xml:space="preserve"> INVITATION TO BID     20-079 Name of Project	:	Disaster Response and Rescue Equipment for Emergency Response Operations of the Provincial Disaster Risk Reduction Management Office (PDRRMO) Location	:	Sta. Cruz, Laguna  Brief Description	:	Various Disaster</t>
  </si>
  <si>
    <t xml:space="preserve"> 1,418        PAXS            MEALS               150.00             212,700.00 906           PAXS            SNACKS              30.00              27,188.00                                                                         TOTAL: 239,880.00</t>
  </si>
  <si>
    <t xml:space="preserve"> Republic of the Philippines Province of Agusan del Sur Municipality of Trento BIDS &amp; AWARDS COMMITTEE INVITATION TO BID  FOR THE CONCRETING OF BARANGAY ROAD PHASE 2 Brgy., San Isidro, Trento, Agusan del Sur 1.	The Municipality of Trento, through the 20% B</t>
  </si>
  <si>
    <t xml:space="preserve"> INVITATION TO BID The Municipal Government of San Narciso, Quezon through its Bids and Award Committee (BAC), invites registered suppliers with DTI, Mayor’s Permit and PhilGEPS, if found eligible, to bid or the hereunder contract: Name of Contract : 	Conc</t>
  </si>
  <si>
    <t xml:space="preserve"> Republic of the Philippines DEPARTMENT OF HEALTH ZAMBOANGA PENINSULA - CENTER FOR HEALTH DEVELOPMENT  Upper Calarian, Zamboanga City 7000 Phone: (062) 983-0314, (062) 983-0146, Fax : (062)   991-3380 Email : dohchdzp@yahoo.com, Web : www.doh.gov.ph Contra</t>
  </si>
  <si>
    <t xml:space="preserve"> Republic of the Philippines  Province of Samar Municipality of Jiabong Invitation to Bid  Emergency Purchase in Response to Covid19 RHU Office Jiab-2020-28A The Municipal Government of Jiabong, Samar, through LGU OF JIABONG   intends to apply the sum of F</t>
  </si>
  <si>
    <t xml:space="preserve"> Republic of the Philippines Province of Samar  Municipality of Jiabong INVITATION TO BID FOR  EMERGENCY PURCHASE IN RESPONSE TO COVID19 RHU office Jiab-2020-27A 1.	The Municipal Government of Jiabong, Samar, intends to apply the sum of TWO MILLION PESOS (</t>
  </si>
  <si>
    <t xml:space="preserve"> PB NO. 2020-040		 			 1.	1	lot	Proposed repair/rehabilitation of road including construction of drainage at Brgy. San Gabriel, San Pablo City. 			By: Contract 			 	Deadline for Submission of Bids: July 13, 2020 10:00 Am</t>
  </si>
  <si>
    <t xml:space="preserve"> Republic of the Philippines Province of Agusan del Sur Municipality of Trento BIDS &amp; AWARDS COMMITTEE INVITATION TO BID FOR  Supply/Delivery of One (1) Unit Police Patrol Car (20-06-0617) 1.	The Local Government Unit of Trento through the Peace and Order </t>
  </si>
  <si>
    <t xml:space="preserve"> Construction of City Health Office-Phase III NOTE:To all suppliers bid documents and BAC Resolution No. 2020-029 are available at BAC Office and LGU website.</t>
  </si>
  <si>
    <t xml:space="preserve"> PB NO. 2020-041		 			Garbage Truck 1.	6	units	SFC407 Euro 4 4x2 Dropside Vehicle 			GVW 4,450kgs 			Payload 2,800 kgs 			Engine: Tat 497sp tcic 4 cyclinder turbo intercooled crdi diesel engine 			5 speed transmission 			Body dimension: 10ft x 6ft x 16in 	</t>
  </si>
  <si>
    <t xml:space="preserve"> Attaching herewith RFP &amp; TOR</t>
  </si>
  <si>
    <t xml:space="preserve"> 55 units Brand New Amplifiers -Max. power output:  500W -Bluetooth -USB / SD Port -FM Tuner -Built-in Chime -3 Microphone input -3 Auxiliary input -1 Line output -6 Individual zone control -4Ω/8Ω/16Ω/70V/100V (with parts and service warranty, free install</t>
  </si>
  <si>
    <t xml:space="preserve"> Attached herewith Final RFP &amp; TOR</t>
  </si>
  <si>
    <t xml:space="preserve"> Republic of the Philippines DEPARTMENT OF PUBLIC WORKS AND HIGHWAYS NEGROS ORIENTAL 3RD  DISTRICT ENGINEERING OFFICE REGIONAL OFFICE VII Siaton, Negros Oriental REQUEST FOR EXPRESSION OF INTEREST (REOI) FOR I.	Contract ID: 20CSHL0001 Contract Name: Consul</t>
  </si>
  <si>
    <t xml:space="preserve"> Description	          No.	 Payloader	                   1	 Dump Truck	           1	 Water Truck	           1	 Transit Mixer	           1	 Concrete Vibrator	   1	 Field Engineer	           1	 Construction Foreman   1	 Skilled Worker	           5	 Laborer	 </t>
  </si>
  <si>
    <t xml:space="preserve"> Republic of the Philippines  Province of Samar Municipality of Jiabong Invitation to Bid  Emergency Purchase in Response to Covid19 DSWD Office Jiab-2020-31A The Municipal Government of Jiabong, Samar, through LGU OF JIABONG   intends to apply the sum of </t>
  </si>
  <si>
    <t xml:space="preserve"> The DPWH Neg. Occ. 4th District Engineering Office, Bago City, Neg. Occ., through its Bids and Awards Committee (BAC), invites contractors to submit bids for the following Contracts: 1.	Contract ID No.:       	20GN0091 	Contract Name:  	Repair/Maintenance</t>
  </si>
  <si>
    <t xml:space="preserve"> Unit    Quantity Portland Cement	     bag	337 Washed Sand	             cum	18 Washed Gravel G-1	   cum	36 2"x4" 6m Steel Form	   length	10 10mmØ x 6m Corr Bar   length	208 Tie Wire#16	              kl	5</t>
  </si>
  <si>
    <t xml:space="preserve"> Invitation to Bid  for the  Repair and Improvement of  Rockefeller Housing Units #4 &amp; #5 at PhilRice Central Experiment Station under PB Infra 20-02-03 1.The Philippine Rice Research Institute, through the Corporate Fund Budget for 2020 intends to apply t</t>
  </si>
  <si>
    <t xml:space="preserve"> Attached herewith the RFP &amp; TOR</t>
  </si>
  <si>
    <t xml:space="preserve"> Republic of the Philippines  Province of Samar Municipality of Jiabong Invitation to Bid  Emergency Purchase in Response to Covid19 DSWD Office Jiab-2020-30A The Municipal Government of Jiabong, Samar, through LGU OF JIABONG   intends to apply the sum of </t>
  </si>
  <si>
    <t xml:space="preserve"> Republic of the Philippines  Province of Samar Municipality of Jiabong Invitation to Bid  Emergency Purchase in Response to Covid19 Mayor’s Office Jiab-2020-29A The Municipal Government of Jiabong, Samar, through LGU OF JIABONG   intends to apply the sum </t>
  </si>
  <si>
    <t xml:space="preserve"> *** PLEASE FIND ATTACHED FILE *** ~nothing follows~</t>
  </si>
  <si>
    <t xml:space="preserve"> INVITATION TO BID FOR THE  INSTALLATION OF TRANSFORMER WITH METERING ACCESSORIES AND MAIN CABLE AT CUYO DISTRICT HOSPITAL (MUNICIPALITY OF CUYO, PALAWAN) 1.	The Provincial Government of Palawan, through its 20% Development Fund (OBR No. 300-20-06-07368) a</t>
  </si>
  <si>
    <t xml:space="preserve"> Republic of the Philippines  Province of Samar Municipality of Jiabong Invitation to Bid  For the Installation of 50 KVA Trasnformer Jiab-2020-32A The Municipal Government of Jiabong, Samar, through LGU OF JIABONG   intends to apply the sum of Two Hundred</t>
  </si>
  <si>
    <t xml:space="preserve"> Multi Purpose Vehicle etc.  NOTE:To all suppliers bid documents and BAC Resolution  2020-029 are available at BAC Office and LGU website.</t>
  </si>
  <si>
    <t xml:space="preserve"> 15 units streetlights</t>
  </si>
  <si>
    <t xml:space="preserve"> INVITATION TO BID FOR  INSTALLATION (Purchase) OF CCTV 	The Municipality of San Juan through the Government of the Philippines intends to apply the sum of  TWO MILLION THREE HUNDRED THOUSAND PESOS  (Php.2,300,000.00)  being the Approved Budget for the Con</t>
  </si>
  <si>
    <t xml:space="preserve"> Bicol Medical Center Concepcion Pequeña, Naga City, 4400 0998-247-0239/0906-256-9238  E-mail Address: bmc.bacoffice@gmail.com INIVITATION TO BID PROCUREMENT OF ONE (1) UNIT 2D-ECHO MACHINE ITB No. 2020-11 1. The BICOL MEDICAL CENTER, through INCOME inten</t>
  </si>
  <si>
    <t xml:space="preserve"> INVITATION TO BID FOR THE  CONSTRUCTION OF PERIMETER FENCE IN QUEZON MEDICARE HOSPITAL (MUNICIPALITY OF QUEZON, PALAWAN) 1.	The Provincial Government of Palawan, through its 20% Development Fund (OBR No. 300-20-06-07367) account intends to apply the sum o</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</si>
  <si>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</si>
  <si>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Invitation to Bid CONSTRUCTION OF RIVERBANK STABILIZATION-REVETMENT Valladolid, Loboc, Bohol 1.	The LGU-Loboc through the Bids and Awards Committee (BAC) would like to invite interested bidders registered with and classified by the Philippine Contractors </t>
  </si>
  <si>
    <t xml:space="preserve"> INVITATION TO BID FOR THE CONSTRUCTION OF SEWAGE TREATMENT PLANT (EL NIDO COMMUNITY HOSPITAL, EL NIDO, PALAWAN) 1.	The Provincial Government of Palawan, through its 20% Development Fund (OBR No. 300-20-06-07371) account intends to apply the sum of Thee Mi</t>
  </si>
  <si>
    <t xml:space="preserve"> INVITATION TO BID FOR THE CONSTRUCTION OF SEWAGE TREATMENT PLANT (NARRA MUNICIPAL HOSPITAL, NARRA, PALAWAN) 1.	The Provincial Government of Palawan, through its 20% Development Fund (OBR No. 300-20-06-07370) account intends to apply the sum of Thee Millio</t>
  </si>
  <si>
    <t xml:space="preserve"> INVITATION TO BID FOR THE CONSTRUCTION OF SEWAGE TREATMENT PLANT (BATARAZA DISTRICT HOSPITAL BATARZA, PALAWAN) 1.	The Provincial Government of Palawan, through its 20% Development Fund (OBR No. 300-20-06-07369) account intends to apply the sum of Thee Mil</t>
  </si>
  <si>
    <t xml:space="preserve"> 1. The Authority of the Freeport Area of Bataan (AFAB) through its Bids and Awards Committee (BAC) invites suppliers to apply for eligibility and to participate in the bidding for the above-mentioned project in accordance with the Revised Implementing Rul</t>
  </si>
  <si>
    <t xml:space="preserve"> Republic of the Philippines CARAGA Administrative Region PROVINCE OF DINAGAT ISLANDS San Jose, Dinagat Islands Bids AND AWARDS COMMITTEE Invitation to Bid  Project Name: 	CONCRETING OF ROAD LEADING TO WOMEN AND CHILDREN CRISIS AND DEVELOPMENT CENTER (WCCD</t>
  </si>
  <si>
    <t xml:space="preserve"> Republic of the Philippines CARAGA Administrative Region PROVINCE OF DINAGAT ISLANDS San Jose, Dinagat Islands Bids AND AWARDS COMMITTEE Invitation to Bid  Project Name: 	CONSTRUCTION OF POTABLE WATER SYSTEM, (Sitio Melody, Sitio Payo-Payo, Sitio Katipuna</t>
  </si>
  <si>
    <t xml:space="preserve"> Republic of the Philippines CARAGA Administrative Region PROVINCE OF DINAGAT ISLANDS San Jose, Dinagat Islands Bids AND AWARDS COMMITTEE Invitation to Bid  Project Name: 	CONSTRUCTION OF POTABLE WATER SYSTEM, SERING, BASILISA Location: Brgy. Sering, Basil</t>
  </si>
  <si>
    <t xml:space="preserve"> ECG MACHINE WITH THERMAL PAPER</t>
  </si>
  <si>
    <t xml:space="preserve"> Republic of the Philippines CARAGA Administrative Region PROVINCE OF DINAGAT ISLANDS San Jose, Dinagat Islands Bids AND AWARDS COMMITTEE Invitation to Bid  Project Name: 	CONCRETING OF ACCESS ROAD, PUROK 1 TO PUROK 4, LLAMERA, LIBJO Location: Brgy. Llamer</t>
  </si>
  <si>
    <t xml:space="preserve"> INVITATION TO BID 1.	The Santa Maria Water District (SMWD) intends to apply the sum of ONE MILLION THREE HUNDRED TWENTY THOUSAND PESOS (P1,320,000.00) being the Approved Budget for the Contract (ABC) to payments under the contract for the “Supply and Deli</t>
  </si>
  <si>
    <t xml:space="preserve"> Republic of the Philippines CARAGA Administrative Region PROVINCE OF DINAGAT ISLANDS San Jose, Dinagat Islands Bids AND AWARDS COMMITTEE Invitation to Bid  Project Name: 	CONSTRUCTION OF POTABLE WATER SYSTEM, NEW NAZARETH, BASILISA Location: Brgy. New Naz</t>
  </si>
  <si>
    <t xml:space="preserve"> Acquisition of Municipal Equipment for Engineering Office (other Machinery and Equipment) LOT 1 - ACQUISITION OF MUNICIPAL EQUIPMENT FOR ENGINEERING OFFICE LOT 2 - Other Machinery and Equipment **PLEASE REFER TO THE ATTACHED PURCHASE REQUEST AT THE ASSOCI</t>
  </si>
  <si>
    <t xml:space="preserve"> Unit	Quantity Submersible Pump 3HP Single Phase	set	1 PE Pipe 1 1/2"Ø SDR11	roll	16 PE Coupling 1 1/2"Ø	pc	15 GI Pipe 1 1/4"Ø Suction Pipe	length	5 GI Pipe 4"Ø Casing	length	6 GI Coupling 1 1/4"Ø France Coupling	pc	4 GI Coupling 4"Ø	pc	5</t>
  </si>
  <si>
    <t xml:space="preserve"> Republic of the Philippines CARAGA Administrative Region PROVINCE OF DINAGAT ISLANDS San Jose, Dinagat Islands Bids AND AWARDS COMMITTEE Invitation to Bid  Project Name: 	CONCRETING OF PROVINCIAL ROAD (PAMOQS SECTION) Location: Libjo, Dinagat Islands 1.	T</t>
  </si>
  <si>
    <t xml:space="preserve"> CONSTRUCTION</t>
  </si>
  <si>
    <t xml:space="preserve"> Bicol Medical Center Concepcion Pequeña, Naga City, 4400 0998-247-0239/0906-256-9238  E-mail Address: bmc.bacoffice@gmail.com INIVITATION TO BID PROCUREMENT OF ENT EQUIPMENT &amp; INSTRUMENTS ITB No. 2020-12 1. The BICOL MEDICAL CENTER, through SA-CO HFEP 20</t>
  </si>
  <si>
    <t xml:space="preserve"> TO ALL ELLIGIBLE BIDDERS:       The Barangay Sudlon, Municipality of Molave, through the Bids and Award Committee now invite bids for the Construction of Waiting Shed at Purok Domingo in this barangay. Likewise, intends to apply the sum of Php62,479.00 th</t>
  </si>
  <si>
    <t xml:space="preserve"> 34mx24m</t>
  </si>
  <si>
    <t xml:space="preserve"> INVITATION TO BID  Purchase &amp; Delivery of One (1) Unit Service Utility Vehicle for PGO  June 23, 2020 1.	The Provincial Government of Sarangani, through the AB CY 2020 intends to apply the sum of One Million Seven Hundred Thousand Pesos Only (P 1,700,000.</t>
  </si>
  <si>
    <t xml:space="preserve"> INVITATION TO BID  Purchase &amp; Delivery of One (1) Unit Service Utility Vehicle for PGSO  June 23, 2020 1.	The Provincial Government of Sarangani, through the AB CY 2020 intends to apply the sum of One Million Seven Hundred Thousand Pesos Only (P 1,700,000</t>
  </si>
  <si>
    <t xml:space="preserve"> INVITATION TO BID  Purchase &amp; Delivery of One (1) Unit Ambulance  for DCMMH June 23, 2020 1.	The Provincial Government of Sarangani, through the Trust Fund – Philhealth Collection  intends to apply the sum of Four Million Five Hundred Thousand Pesos Only </t>
  </si>
  <si>
    <t xml:space="preserve"> INVITATION TO BID 1.	The Santa Maria Water District (SMWD) intends to apply the sum of TWO MILLION NINE HUNDRED FIFTY THOUSAND PESOS (P2,950,000.00) being the Approved Budget for the Contract (ABC) to payments under the contract for the “Supply and Delive</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</si>
  <si>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</si>
  <si>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Request for Quotation RFQ No.		SVP-009-2020 MR No.		10067 Requisition No. 	MLS-20-028 Posting Date:         	June 16, 2020 Deadline for Submission:		June 22, 2020 at 9:00 AM Opening Date:	June 22, 2020, 2020 at 10:00 AM TO:	Name of Supplier:______________</t>
  </si>
  <si>
    <t xml:space="preserve"> Republic of the Philippines Province of Davao de Oro BIDS AND AWARDS COMMITTE Cabidianan, Nabunturan, Davao de Oro ITB No. 20-023 June 17, 2020 INVITATION TO BID  FOR  THE Procurement of the following service vehicles 1.) Seven (7) units crossover utility</t>
  </si>
  <si>
    <t xml:space="preserve"> INVITATION TO BID FOR THE  SUPPLY AND DELIVERY OF ISOLATION GATE VALVES AND FITTINGS FOR AIR SCOURING IMPLEMENTATION 1.	The Dagupan City Water District, through the Budget 2020 intends to apply the sum of One Million Four Hundred Thirty Five Thousand Seve</t>
  </si>
  <si>
    <t xml:space="preserve"> EQUIPMENT RENTAL</t>
  </si>
  <si>
    <t xml:space="preserve"> NOTICE OF PROCUREMENT OF GOODS THROUGH ALTERNATIVE METHOD OF PROCUREMENT (AMP-06-2020-010) 	Notice is hereby given that the Department of Public Works and Highways, Batangas IV District Engineering Office, Marawoy, Lipa City will conduct Shopping on _____</t>
  </si>
  <si>
    <t xml:space="preserve"> The National Center for Mental Health (NCMH) is inviting all Phil-GEPS registered to apply the Invitation to Bid for RENTAL / LEASE OF 180 UNITS OF DESKTOP COMPUTERS (6 MONTHS) CY 2020. (Complete Specifications are indicated in the Techinical specificatio</t>
  </si>
  <si>
    <t xml:space="preserve"> Republic of the Philippines Province of Davao Oriental City of Mati BIDS &amp; AWARDS COMMITTEE INVITATION TO BID Procurement of 2 Units Floor Mounted Aircon for the Use of PDRRMO SOURCE OF FUND: TRUST FUND [2-02-01-050-103-02] 1.	The Provincial Government of</t>
  </si>
  <si>
    <t xml:space="preserve"> Repair/Maintenance/Rehabilitation of Building</t>
  </si>
  <si>
    <t xml:space="preserve"> Republic of the Philippines Department of Education Region V SCHOOLS DIVISION OFFICE OF CAMARINES SUR 	 INVITATION TO BID Project No.: 2020-06-02 The Department of Education (DepED) Schools Division Office of Camarines Sur, through the OSEC-5-20-0208, int</t>
  </si>
  <si>
    <t xml:space="preserve"> toner Black, Epson 9731 etc.</t>
  </si>
  <si>
    <t xml:space="preserve"> Barangay Cabid-an, East District		Project Reference Number: 2020-005 Sorsogon City			Name of the Project: CONSTRUCTION OF OPEN LINE CANAL Location of the Project		:	 Phase I Seabreeze Homes, BrgyCabid-an, East District, Sor. City 					Source of Funds:20%B</t>
  </si>
  <si>
    <t xml:space="preserve"> meter tape, 10 meter etc.</t>
  </si>
  <si>
    <t xml:space="preserve"> INVITATION TO BID IB NO: 2020-07-16 (13) PROCUREMENT OF 3 UNITS OF ELECTRICAL DISTRIBUTION TRANSFORMER, 100 KVA 1. 	The Caraga Regional Hospital (CRH), through the General Appropriation Act /  HEALTH FACILITIES ENHANCEMENT PROGRAM (HFEP)   intends to appl</t>
  </si>
  <si>
    <t xml:space="preserve"> The Municipality of Malangas, through the Bids and Award Committee (BAC), invites suppliers/manufactures/distributors/contractors to bid for the hereunder contract: Name of Project : PROCUREMENT OF ONE (1) UNIT BRAND NEW AMBULANCE (RE-BID) SPECIFICATIONS </t>
  </si>
  <si>
    <t xml:space="preserve"> Procurement and Delivery of ICT and Office Equipment and Furniture and Fixture to Various Offices Lot 1 - Procurement of ICT Equipment for Budget Office (Laptop and Printer) Lot 2 - Procurement of Laptop Computer, A3 Printer, Filing Cabinet, Office Mobile</t>
  </si>
  <si>
    <t xml:space="preserve"> Republic of the Philippines  Province of Samar Municipality of Jiabong Invitation to Bid  Emergency Purchase in Response to Covid19 DSWD Office Jiab-2020-34A The Municipal Government of Jiabong, Samar, through LGU OF JIABONG   intends to apply the sum of </t>
  </si>
  <si>
    <t xml:space="preserve"> INVITATION TO BID (INFRA) The Municipality of Sibonga through the General Fund intends to apply the sum of One million nine hundred ninety-nine thousand nine hundred ninety-nine &amp; 33/100 pesos only (1,999,999.33) being the Approved Budget for the Contract</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</si>
  <si>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</si>
  <si>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INVITATION TO BID IMPROVEMENT OF DRAINAGE SYSTEM AT GUIJO ROAD Identification No.  TAMP-PB-INFRA-06-2020 1.	The Municipality of Tampakan, through the 20% MDF CY 2018/8918-300-1-07-10-020 intends to apply the sum of Five Hundred Thousand Pesos (500,000.00)</t>
  </si>
  <si>
    <t xml:space="preserve"> Republic of the Philippines Cordillera Administrative Region Province of Kalinga B A L B A L A N Invitation to Apply for Eligibility and to Bid for the CONTINUATION FOR THE CONCRETING OF THE ACCESS ROAD TO SANITARY LANDFILL, BALANTOY, BALBALAN, KALINGA 1.</t>
  </si>
  <si>
    <t xml:space="preserve"> Invitation to Rebid for the Supply &amp; Delivery of Materials for the  Repair of School Building – Villaflor Elementary School 1.	The Municipal Government of Puerto Galera, through the LGU – Gender &amp; Development (GAD) Fund FY 2020  intends to apply the sum o</t>
  </si>
  <si>
    <t xml:space="preserve"> Invitation to Rebid for the Supply &amp; Delivery of Materials for the  Construction of Washing Area and Kitchen and Installation of Portable Handwashing Facility 1.	The Municipal Government of Puerto Galera, through the 30% QRF-MDRRM Fund intends to apply th</t>
  </si>
  <si>
    <t xml:space="preserve"> Republic of the Philippines MUNICIPALITY OF MACABEBE Province of Pampanga INVITATION TO BID FOR Air Conditioners 1.	The Municipality of Macabebe, through the 2020 Municipal Budget intends to apply the sum of Four Hundred Seventy-Five Thousand Pesos (Php 4</t>
  </si>
  <si>
    <t xml:space="preserve"> Invitation to Bid for the Construction of Multi-Purpose Hall Barangay Dulangan 1.	The Municipal Government of Puerto Galera, through the 20% Development Fund FY 2020 intends to apply the sum of Two Million Four Hundred Ninety-Nine Thousand Nine Hundred Si</t>
  </si>
  <si>
    <t xml:space="preserve"> Republic of the Philippines Department of Health ZAMBOANGA PENINSULA-CENTER FOR HEALTH DEVELOPMENT  Upper Calarian, Zamboanga City 7000 Phone: (062) 983-0314, (062) 983-0146, Fax: (062) 991-3380 Email: dohchdzp@yahoo.com, Web: www.doh.gov.ph INVITATION TO</t>
  </si>
  <si>
    <t xml:space="preserve"> Repair/Maintenance of Building</t>
  </si>
  <si>
    <t xml:space="preserve"> Republic of the Philippines  City of Canlaon Office of the Bids and Awards Committee  INVITATION TO BID FOR the Procurement of one unit Emergency Rescue Vehicle The Local Government of Canlaon City, through LDRRMO. Intends to apply the sum Two Million Six</t>
  </si>
  <si>
    <t xml:space="preserve"> The Subic Bay Metropolitan Authority, through the Corporate Budget for the contract approved by the governing board for 2020 intends to apply the sum of Two Million Fifty-One Thousand Three Hundred Sixty-Six Pesos and Twenty-Five Centavos Only (PHP 2,051,</t>
  </si>
  <si>
    <t xml:space="preserve"> T. AWAD ECHEVARRIA ELEM SCHOOL - GENERAL MERCHANDISE</t>
  </si>
  <si>
    <t xml:space="preserve"> Republic of the Philippines Province of Palawan Municipality of Narra INVITATION TO BID 1.	The Municipal Government of Narra, through Bids and Awards Committee intends to apply the sum of TWO HUNDRED THIRTY-EIGHT THOUSAND (PHP 238,000.00) being the Approv</t>
  </si>
  <si>
    <t xml:space="preserve"> Construction of Rainwater Collector System</t>
  </si>
  <si>
    <t xml:space="preserve"> Republic of the Philippines  Province of Samar Municipality of Jiabong Invitation to Bid  Emergency Purchase in Response to Covid19 MDRRM Office Jiab-2020-35A The Municipal Government of Jiabong, Samar, through LGU OF JIABONG   intends to apply the sum of</t>
  </si>
  <si>
    <t xml:space="preserve"> Procurement and Delivery of Construction Supplies and Materials for the Concreting of San Isidro-Kibalus Road Location: Sitio Kibalus, Barangay San Isidro, Balingasag, Misamis Oriental</t>
  </si>
  <si>
    <t xml:space="preserve"> 1 UNIT/S VEHICLE - PICK-UP - BLACK - 4X4 - AUTOMATIC TRANSMISSION - 2.2L-2.5L DIESEL ENGINE - 4 CYLINDER - WITH THE FOLLOWING - 01. LTO REGISTRATION ( 3 YRS. ) - 02.COMPREHENSIVE INSURANCE ( 1 YR. ) - 03.GLASS TINT - 04.FLOOR MAT - 05. SEAT COVER - 06. BE</t>
  </si>
  <si>
    <t xml:space="preserve"> Scope of Works:				 1	Mobilization			 2	Retiling of wall and flooring			 3	Installation of ceiling			 4	Replacement of existing water closet			 5	Replacement of existing damaged cubicle door			 6	Replacement of existing damaged main door 			 7	Installatio</t>
  </si>
  <si>
    <t xml:space="preserve"> INVITATION TO BID CONCRETING OF PUROK 1, MALTANA ROAD Identification No.  TAMP-PB-INFRA-07-2020 1.	The Municipality of Tampakan, through the 20% MDF CY 2020/8918-300-1-07-10-020 intends to apply the sum of One Million Five Hundred Thousand Pesos (1,500,00</t>
  </si>
  <si>
    <t xml:space="preserve"> INVITATION TO BID FOR PROCUREMENT OF 400 PIECES WATER METER FOR NEW CONNECTION AND CHANGE METER 1.	The Bani Water District, through the Corporate Budget for the year 2020  intends to apply the sum of Five Hundred Sixty Thousand Pesos (Php 560,000.00) bein</t>
  </si>
  <si>
    <t xml:space="preserve"> 1.The NATIONAL KIDNEY AND TRANSPLANT INSTITUTE (NKTI) invites interested entities to submit their quotation/s through a formal SEALED/EMAIL PROPOSAL for the: Item/Description	 Approved Budget for the Contract (ABC) RFQ No. 20-06-039P Supply and Delivery o</t>
  </si>
  <si>
    <t xml:space="preserve"> FURNISHING OF LABOR AND MATERIALS FOR THE REPAIR OF AGUS 6      NATURE'S PARK SPRING WATERPIPE     SCOPE OF WORKS: 1. CONDUCT SITE INSPECTION. 2. INSTALLATION OF STEEL CABLE WIRE. 3. INSTALLATION OF HDPE PIPE 2.5"  4. TAPPING USING PIPE HDPE FITTINGS 5. T</t>
  </si>
  <si>
    <t xml:space="preserve"> 1 UNIT ELECTRIC FAN - STAND FAN</t>
  </si>
  <si>
    <t xml:space="preserve"> Healthy Lifestyle (Provision of Total Blood Chemistry to all LGU Employee **PLEASE REFER TO THE ATTACHED PURCHASE REQUEST AT THE ASSOCIATED COMPONENTS SECTION FOR FURTHER DETAILS.</t>
  </si>
  <si>
    <t xml:space="preserve"> INVITATION TO BID FOR THE CONSTRUCTION OF BARANGAY HEALTH STATION (BARANGAY LOS ANGELES, MAGSAYSAY, PALAWAN) 1.	The Provincial Government of Palawan, through its 20% Development Fund (OBR No. 300-20-06-07372) account intends to apply the sum of Two Millio</t>
  </si>
  <si>
    <t xml:space="preserve"> Procurement and Delivery of Construction Supplies and Materials for the Construction of  Drainage Location: Sitio Cala-cala, Cogon, Balingasag, Misamis Oriental</t>
  </si>
  <si>
    <t xml:space="preserve"> Republic of the Philippines  City of Canlaon Office of the Bids and Awards Committee  INVITATION TO BID FOR the Procurement of Sound System Equipment The Local Government of Canlaon City, through AIP 2020. Intends to apply the sum One Hundred Fifty Seven </t>
  </si>
  <si>
    <t xml:space="preserve"> Municipality of Dumanjug, Cebu through the SB Resolution No. 2018-136 Series of 2018  intends to apply the sum of TWO MILLION PESOS (2,000,000.00)  being the Approved Budget for the Contract (ABC) to payments under the contract for GOODS 2020-06-0005 Purc</t>
  </si>
  <si>
    <t xml:space="preserve"> INVITATION TO BID FOR THE CONSTRUCTION OF BARANGAY HEALTH STATION (BARANGAY LAGAORIAO, CUYO, PALAWAN) 1.	The Provincial Government of Palawan, through its 20% Development Fund (OBR No. 300-20-06-07373) account intends to apply the sum of Two Million Three</t>
  </si>
  <si>
    <t xml:space="preserve"> 1000 HILL/S PINE TREE - . - 700 Hills Norfolk Pine - Length : 2 ft. - 300 Hills Benguet Pine - Length: 2 ft.</t>
  </si>
  <si>
    <t xml:space="preserve"> Republic of the Philippines  City of Canlaon Office of the Bids and Awards Committee  INVITATION TO BID FOR the Improvement of Brgy. Multi-purpose Building The Local Government of Canlaon City, through AIP 2020. Intends to apply the sum One Million Four H</t>
  </si>
  <si>
    <t xml:space="preserve"> Department of Education Region VI-Western Visayas Division of Cadiz City Mabini National High School NOTICE FOR NEGOTIATED PROCUREMENT OF PROGRAMMING EQUIPMENT AND MATERIALS 1.	Mabini National High School, Division of Cadiz City, through the Schools MOOE </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</si>
  <si>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</si>
  <si>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INVITATION TO BID FOR THE SUPPLY, DELIVERY, INSTALLATION AND COMMISSIONING OF VARIOUS MEDICAL EQUIPMENT (HFEP) (IB NO. 2020-GOODS-015-01-0623) 1.	The ILOCOS TRAINING AND REGIONAL MEDICAL CENTER (ITRMC), through the GAA, FY 2020 (HFEP Fund), intends to app</t>
  </si>
  <si>
    <t xml:space="preserve"> The Subic Bay Metropolitan Authority, through the Corporate Budget for the contract approved by the Governing Board for 2020 intends to apply the sum of Three Million Five Hundred Thousand Pesos (Php 3,500,000.00) Exclusive of VAT and other taxes being th</t>
  </si>
  <si>
    <t xml:space="preserve"> PURCHASE AND DELIVERY OF EQUIPMENT FOR IMPLEMENTATION OF DA-BAR PROMOTION OF RECOMMENDED RICE VARIETIES PROJECT **PLEASE REFER TO THE ATTACHED PURCHASE REQUEST AT THE ASSOCIATED COMPONENTS SECTION FOR FURTHER DETAILS.</t>
  </si>
  <si>
    <t xml:space="preserve"> Invitation to Bid for the Supply and Delivery of various Medicine for the use of Brgy. Pagkilatan, Batangas City</t>
  </si>
  <si>
    <t xml:space="preserve"> Republic of the Philippines  Province of Samar Municipality of Jiabong Invitation to Bid  Emergency Purchase in Response to Covid19 RHU Office Jiab-2020-37A The Municipal Government of Jiabong, Samar, through LGU OF JIABONG   intends to apply the sum of S</t>
  </si>
  <si>
    <t xml:space="preserve"> CONSTRUCTION OF 7.15M X 9.15M SCHOOL BUILDING</t>
  </si>
  <si>
    <t xml:space="preserve"> LAPTOP USE AT THE OFFICE OF THE MUNICIPAL CIVIL REGISTRAR **PLEASE REFER TO THE ATTACHED PURCHASE REQUEST AT THE ASSOCIATED COMPONENTS SECTION FOR FURTHER DETAILS.</t>
  </si>
  <si>
    <t xml:space="preserve"> PREVENTIVE MAINTENANCE OF CLOSED-CIRCUIT TELEVISION (CCTV)  UNDER SSS MINDANAO WEST DIVISION FOR 3RD &amp; 4TH QUARTERS OF 2020   COST ESTIMATES:          BRANCHES          3RD QUARTER 2020     4TH QUARTER 2020 1. BASILAN BRANCH         Php5,727.25           </t>
  </si>
  <si>
    <t xml:space="preserve"> Brass Ball Valve 1/2", (Lock Head C") ISO - 1,695 PCS  Brass Check Valve 1/2" ISO - 1,130 PCS   G.I Union Patente 1/2" Sch 40 std - 1,550 PCS  G.I Coupling Reducer 3/4" Sch 40 std - 2,550 PCS  G.I Street Elbow ½” Sch 40 std - 1,575 PCS  G.I Bushing 1”x1/2</t>
  </si>
  <si>
    <t xml:space="preserve"> INVITATION TO BID Streetlighting Project Along Provincial Road Identification No. TAMP-PB-GOODS-05-2020 1.	The Local Government of Tampakan, through the 20% MDF 2020/8918-3001-07-03-050 intends to apply the sum of Seven Hundred Thirty Eight Thousand Five </t>
  </si>
  <si>
    <t xml:space="preserve"> ITB No. 2020-76 June 23, 2020 Republic of the Philippines Province of Davao Oriental CITY OF MATI INVITATION TO BID CONSTRUCTION OF MATI CREEK VERDANT WALL Name of Project 1.	The City Government of Mati, through the 20% Local Development Fund intends to a</t>
  </si>
  <si>
    <t xml:space="preserve"> Watchman Services (March 2020-Dec.2020)</t>
  </si>
  <si>
    <t xml:space="preserve"> Earthworks, Sub-base and Base Course, Surface Course, Bridge Construction, Slope Protection Structures, Miscellaneous</t>
  </si>
  <si>
    <t xml:space="preserve"> PROCUREMENT AND DELIVERY OF ICT EQUIPMENT FOR TOURISM OFFICE, MENR OFFICE &amp; OMM-SLAUGHTERHOUSE LOT 1 - LCD PROJECTOR WITH WHITE SCREEN (TOURISM OFFICE) LOT 2 - ICT EQUIPMENT FOR MENRO (LAPTOP) LOT 3 - ICT EQUIPMENT FOR OMM-SLAUGHTERHOUSE (LAPTOP) **PLEASE</t>
  </si>
  <si>
    <t xml:space="preserve"> INVITATION TO BID 1.	The Santa Maria Water District (SMWD) through the Corporate Operating Budget for the year 2020 intends to apply the sum of TWO MILLION SEVENTY-TWO THOUSAND ONE HUNDRED SEVENTY-FIVE PESOS (P 2,072,175.00) being the Approved Budget for </t>
  </si>
  <si>
    <t xml:space="preserve"> Food packs</t>
  </si>
  <si>
    <t xml:space="preserve"> 10 units - Handheld Radio with Charger 1 unit - Repeater</t>
  </si>
  <si>
    <t xml:space="preserve"> INVITATION TO BID FOR THE CONCRETING OF MAGARA BGY. ROAD PHASE II (MUNICIPALITY OF ROXAS, PALAWAN) 1.	The Provincial Government of Palawan, through its 20% Development Fund (OBR No. 300-20-06-07378) account intends to apply the sum of Three Million Two Hu</t>
  </si>
  <si>
    <t xml:space="preserve"> for RHU Consultation LGU Cabagan Cabagan, Isabela</t>
  </si>
  <si>
    <t xml:space="preserve"> 10 units - Handheld Radio with Charger</t>
  </si>
  <si>
    <t xml:space="preserve"> INVITATION TO BID Upgrading of Lampitak Potable Water System Identification No. TAMP-PB-GOODS-06-2020 1.	The Local Government of Tampakan, through the 20% MDF 2017/3911-300-1-07-10-020 intends to apply the sum of Five Hundred Forty Eight Thousand Four Hun</t>
  </si>
  <si>
    <t xml:space="preserve"> 1 unit - Photocopier Machine</t>
  </si>
  <si>
    <t xml:space="preserve"> delivery of materials, installation and other scope of work</t>
  </si>
  <si>
    <t xml:space="preserve"> REQUEST FOR PRICE QUOTATION The Department of Justice (DOJ), through the Bids and Awards Committee (BAC) of the National Prosecution Service-Region V (NPS Region V) is inviting interested parties to submit proposal/price quotation for the project: 	Name o</t>
  </si>
  <si>
    <t xml:space="preserve"> Municipality of  Sogod, Cebu					Contract Ref. No.-0006-2020 Proposed Road Concreting in Pansoy - Mohon Barangay Road - Sitio Mangadlao Section, Sogod, Cebu 		 Standard Form Number: SF-INFR-05 Revised on: July 29, 2004 INVITATION TO BID The Municipality o</t>
  </si>
  <si>
    <t xml:space="preserve"> The Subic Bay Metropolitan Authority, through the Corporate Budget for the contract approved by the governing board for 2020 intends to apply the sum of Two Million Eight Hundred Thousand Pesos (Php2,800,000.00) Exclusive of VAT and other taxes being the </t>
  </si>
  <si>
    <t xml:space="preserve"> Invitation to Bid ITB-SSS-Goods-2020-017 ACQUISITION OF PROCUREMENT AND INVENTORY MANAGEMENT SYSTEM (SUPPLY, DELIVERY, INSTALLATION AND CONFIGURATION INTO OPERATIONAL STATE)  Approved Budget for the Contract (ABC)          : ABC = ₱ 20,620,000.00 Broken d</t>
  </si>
  <si>
    <t xml:space="preserve"> Benguet First District Engineering Office La Trinidad, Benguet              June 22, 2020    RE – INVITATION TO BID The Benguet First District Engineering Office, through its Bids and Awards Committee (BAC), invites contractors to submit bids for the foll</t>
  </si>
  <si>
    <t xml:space="preserve"> For Construction of IP Housing (Materials)</t>
  </si>
  <si>
    <t xml:space="preserve"> Ccncreting of Road</t>
  </si>
  <si>
    <t xml:space="preserve"> the specification is available at the Bids and Awards Secretariat MPDC-2nd-Floor, Lasam Municipal Town Hall Centro 02, Lasam, Cagayan</t>
  </si>
  <si>
    <t xml:space="preserve"> Roadway Clearing, Roadway Excavation (UM w/ Solid Rock)</t>
  </si>
  <si>
    <t xml:space="preserve"> Item	Quantity	Unit	Item Description 1	31	       Rolls	HDPE Hose (1”, Class A Royale) 2	4	      Rolls	HDPE Hose (1/2”, Class A Royale) 3	24	      Rolls	HDPE Hose (2”, Class A Royale) 4	3	      Unit	Water Pump ( Diesel, 7HP, with complete Accessories) 5	2	 </t>
  </si>
  <si>
    <t xml:space="preserve"> ITEM 	ITEM &amp;  DESCRIPTION	QUANTITY 		 		 1	Base Course ( Dakal-Dakal)	30 cu.m. 2	2"x 2" x 8'  Coco Lumber	30 pcs. 3	3/4" x 4' x 8' Ordinary Plywood	4 pcs. 4	Assorted C.W. Nails	2 kls. 5	# 16 Tie Wire	3 kls. 6	Concrete Ready Mixed (3,000 psi)	44 cu.m. 7	Po</t>
  </si>
  <si>
    <t xml:space="preserve"> Department of Education Region VI-Western Visayas Division of Cadiz City Mabini National High School INVITATION TO BID FOR THE PROCUREMENT OF OFFICE SUPPLIES FOR MODULAR LEARNING MNHS-SHS 2020 1.	The Mabini National High School  of Cadiz City, through the</t>
  </si>
  <si>
    <t xml:space="preserve"> Description, Republic of the Philippines Municipality of Taytay Taytay,Palawan NOTICE TO BIDDERS Item #  Qty      Unit         Description    Amount 1.	  83     SACKS      RICE                199,200 2.	  20     kls            RICE                        </t>
  </si>
  <si>
    <t xml:space="preserve"> For 15 Units Cellular Phones (TouchScreen)</t>
  </si>
  <si>
    <t xml:space="preserve"> Republic of the Philippines  Province of Samar Municipality of Jiabong Invitation to Bid  Emergency Purchase in Response to Covid19 Vice-Mayor’s Office Jiab-2020-36A The Municipal Government of Jiabong, Samar, through LGU OF JIABONG   intends to apply the</t>
  </si>
  <si>
    <t xml:space="preserve"> Earthworks, Sub-base Course, Surface Course, Drainage &amp; Slope Protection Structures, Miscellaneous</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</si>
  <si>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</si>
  <si>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Other Supplies</t>
  </si>
  <si>
    <t xml:space="preserve"> a) Items and descriptions are specified in the approved PR and RFQ as posted in the associated component of PhilGEPS website.</t>
  </si>
  <si>
    <t xml:space="preserve"> For Construction of IP Housing (Labor)</t>
  </si>
  <si>
    <t xml:space="preserve"> Municipality of Danao 						 Project Reference Number 			 : 	 2020-001 		  Name of Procuring Entity 						 Name of Project 			 : 	 Rehabilitation of Barangay Road 		  StandardForm Number : SF -GOOD -60 						 Location of the Project                   			 </t>
  </si>
  <si>
    <t xml:space="preserve"> Republic of the Philippines Province of Romblon MUNICIPALITY OF ALCANTARA -oOo- INVITATION TO BID FOR PURCHASE OF TOILET BOWL (UNDER SUSTAINABLE SANITATION PROGRAM)        Poblacion,  Alcantara, Romblon The Local Government Unit of Alcantara, Romblon, thr</t>
  </si>
  <si>
    <t xml:space="preserve"> June 22, 2020 INVITATION TO BID  Reference No. 7059944 /Solicitation No.20-23 The City Government of Tagum invites interested Bidders/Suppliers to bid for the following: Name of Contract         :  FURNITURE &amp; FIXTURE FOR THE USE OF CMO - TAGUM NEW POLICE</t>
  </si>
  <si>
    <t xml:space="preserve"> ITEM 	ITEM &amp;  DESCRIPTION	QUANTITY NO.		 	EXCAVATION/ BACKFILL	 1	Filling Materials	7 cu.m. 		 	PCCP( PORTLAND CEMENT CONCRETE PAVEMENT)	 2	Portland Cement	360 bags 3	Washed Sand	20 cu.m 4	3/4" Gravel	40 cu.m. 5	12mm RSB	225 length 6	#16 Tie Wire	20 kgs.</t>
  </si>
  <si>
    <t xml:space="preserve"> 1.	The Mabini Water District through its Internal Cash Generation (ICG) intends to apply the sum of One Million Seven Hundred One Thousand Six Hundred Twenty Five Pesos Only (P 1,701,625.00) being the Approved Budget for the Contract (ABC) to payment unde</t>
  </si>
  <si>
    <t xml:space="preserve"> Tractor Maintenance 5	PAIL 	Diesel Engine Oil w-40 (18 ltrs /pail) 5	pail 	Hydraulic Oil (18 ltrs/pail) 2	pail 	Grease (18 ltrs/pail) 3	pail	Gear Oil 90(18ltrs /pail) 2	pcs	Fuel Filter Primary (as per sample) 2	pcs	Fuel Filter Secondary (as per sample) 6	</t>
  </si>
  <si>
    <t xml:space="preserve"> OFFICE  SUPPLIES AND CONSUMABLES</t>
  </si>
  <si>
    <t xml:space="preserve"> 1st  INVITATION TO BID The Local Government Unit of Rizal, Kalinga, through the Bids and Wards Committee, invites Suppliers to submit bids for the contract Contract Number: 2020-06-11 Project Title: Procurement of Vehicles for Vice Mayor’s Office Project </t>
  </si>
  <si>
    <t xml:space="preserve"> ITEM 	ITEM &amp;  DESCRIPTION	QUANTITY NO.		 	Streetlight Post	 1	12mm RSB	18 length 2	9mm RSB	10 length 3	#16 G.I. Tie Wire	5 kgs. 4	1/4 anchor bolt w/ nut and washer	24 pcs. 5	3"Ø G.S. Pipe Sched. 40	3 length 6	2"Ø G.S. Pipe Sched. 40	4 length 7	1/2"Ø G.S. </t>
  </si>
  <si>
    <t xml:space="preserve"> Republic of the Philippines Province of Aurora Municipality of Maria Aurora BIDS AND AWARDS COMMITTEE INVITATION TO BID (First   Posting) The Local Government Unit of Maria Aurora, through its Bids and Awards Committee (BAC), invites suppliers/interested </t>
  </si>
  <si>
    <t xml:space="preserve"> Road Widening, Retaining Wall and PCCP</t>
  </si>
  <si>
    <t xml:space="preserve"> 18 assy. Pen light 18-watts LED Lamp 1,081 bags Portland Cement type-1p 11 bags Skimcoat 98 bags Tile Adhesive Cement 7 box 1/8 Blind Revits at 1000 pcs/box 1 box Welding Rod Stainless Steel 1 box #14 THW Stranded 1 box #12 THW Stranded 1 box Stiple Wire </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</si>
  <si>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</si>
  <si>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installation of decorative  cement tiles</t>
  </si>
  <si>
    <t xml:space="preserve"> The National Center for Mental Health (NCMH) is inviting all Phil-GEPS registered to apply the Invitation to Bid for PEST CONTROL OUTSOURCING SERVICE CY 2020. (Complete Specifications are indicated in the Techinical specification / Terms of Reference). 	 </t>
  </si>
  <si>
    <t xml:space="preserve"> INVITATION TO BID for SALVACION-UNION CIS 1.	The National Irrigation Administration- Irrigation Management Office Davao de Oro, through the GAA –CARP-IC  fund 2020 Force Account Works intends to apply the sum of  One Million Five Hundred Sixty Eight Thous</t>
  </si>
  <si>
    <t xml:space="preserve"> Supply and Delivery of CM for the Improvement of Gusaran-Addon-Bineng Road and Improvement of Sta Cruz Hanging Foot bridge @ Sta Cruz Pingkian</t>
  </si>
  <si>
    <t xml:space="preserve"> 30 boxes PDX wire#14 38 Pcs. Rubber Receptacle 38 pcs. electrical bulb 15 W 20 rls. electrical tape 38 pcs. ball insulator</t>
  </si>
  <si>
    <t xml:space="preserve"> Name of Project	:	Procurement of Drugs &amp; Medicines Location		:	MHARSMC, Mindog, Maningcol, Ozamiz City Brief Description	:	Drugs &amp; Medicines 2020 Approved Budget for the Contract	:	Php 12,540,885.93 total or corporate budget (please refer to the list  			</t>
  </si>
  <si>
    <t xml:space="preserve"> Supply and Delivery of CM for the construction of Multi-purpose building/covered court phase II</t>
  </si>
  <si>
    <t xml:space="preserve"> 6,428  pcs Cacao Planting Materials (Asesual) 1,500  bags  Soil Enhancer (Chicken Dung)</t>
  </si>
  <si>
    <t xml:space="preserve"> INVITATION TO BID  1.	The National Printing Office, through the Revolving Fund 2020 intends to apply the sum of ₱3,950,000.00 being the Approved Budget for the Contract (ABC) to payments under the contract for the Procurement of Supply, Delivery &amp; Install</t>
  </si>
  <si>
    <t xml:space="preserve"> ITEM 	ITEM &amp;  DESCRIPTION	QUANTITY NO.		 1	Cement	112 bags 2	Sand 	7 cu.m. 3	Gravel	4 cu.m.  4	12mm x 6.0 RSB	8 pcs. 5	10mm x 6.0 RSB	8 pcs. 6	9mm x 6.0 RSB	80 pcs. 7	Tie Wire	12 kls. 8	4" CHB	880 kls. 9	Hacksaw Blade	6 liters 10	Assorted CW Nails	6 liter</t>
  </si>
  <si>
    <t xml:space="preserve"> Supply and Delivery of construction Materials for the improvement of PIS at Dangsal Besong and Construction of CIS @ Tidang Village</t>
  </si>
  <si>
    <t xml:space="preserve"> OFFICE OF THE CITY MAYOR 1 8900 Sack/s Rice, 50 kilos per sack, V160/7 tonner  2 4600 Box/es Sardines, in tomato sauce, 155g., 100s per box Terms and Conditions: 1. The bidder must have atleast 3 storage facilities within Davao City that can accommodate t</t>
  </si>
  <si>
    <t xml:space="preserve"> Department of Education Region VI-Western Visayas Division of Cadiz City Mabini National High School INVITATION TO BID FOR THE PROCUREMENT OF OFFICE SUPPLIES FOR MODULAR LEARNING MNHS-JHS 2020 1.	The Mabini National High School  of Cadiz City, through the</t>
  </si>
  <si>
    <t xml:space="preserve"> Please see attached.</t>
  </si>
  <si>
    <t xml:space="preserve"> CCDO 1 1 Unit/s Motor Vehicle (4 wheels), Brand new, Van Type and latest  model, 2.2L Diesel, 5-speed manual.   Please see attached file/document on associated components or BAC website www.davaocityportal.com (BAC posting) for the complete descriptions, </t>
  </si>
  <si>
    <t xml:space="preserve"> Supply and Delivery of CM for the improvement of Hanging Foot Bridge @ Pacac,Cabalatan Alang KNV</t>
  </si>
  <si>
    <t xml:space="preserve"> The Local  Government   Unit  of General  Santos  City, through  the  DRRM FUND CY 2020  intends  to apply  the sum of fifty seven thousand five hundred seventy and xx / 100 Pesos Only (57,570.00)   being  the Approved  Budget  for the Contract   (ABC) to</t>
  </si>
  <si>
    <t xml:space="preserve"> Republic of the Philippines PROVINCE OF ZAMBOANGA DEL NORTE Municipality of Godod BARANGAY RAMBON INVITATION TO BID FOR PROPOSED WATER SUPPLY REHABILITATION Rambon, Godod, Zamboanga del Norte 1.	The Barangay Local Government Unit of Rambon, Godod, ZAmboan</t>
  </si>
  <si>
    <t xml:space="preserve"> The City Government of Malolos, through its BIDS and AWARDS COMMITTEE (BAC) Invites Suppliers/Manufacturers/Distributors to Bid for hereunder procurement:  PR No. : GSO-2020-03-459 Name of Project : PURCHASE OF 5 UNITS MINI DUMP TRUCK 6                   </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</si>
  <si>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</si>
  <si>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Please see Terms of Reference</t>
  </si>
  <si>
    <t xml:space="preserve"> EXCAVATION, BOX CULVERT</t>
  </si>
  <si>
    <t xml:space="preserve"> Invitation to Bid 1.	The Barangay Government of Tanza 2 through the 2020 BDRRM Fund,intend to apply the amount of  Ninety Thousand Pesos Only  (words)  Php 90,000.00 as the Approved Budget for the Contract (ABC) for the payment under the contract for the </t>
  </si>
  <si>
    <t xml:space="preserve"> Standard Form Number: SF-INFR-05 Revised on: July 28, 2004        INVITATION TO APPLY FOR ELIGIBILITY AND TO BID The Municipal Local Government Unit of Saguday, Quirino through its Bids and Awards Committee (BAC), invites contractors to apply for eligibil</t>
  </si>
  <si>
    <t xml:space="preserve"> Republic of the Philippines MUNICIPALITY OF ECHAGUE Province of Isabela INVITATION TO BID FOR  THE  PURCHASE OF RAPID ELECTRIC VEHICLE CHARGER (FOR  E-TRIKE) 1.	The Local Government Unit , through  the  DOST FUND ( Grant)  intends to apply the sum of  ONE</t>
  </si>
  <si>
    <t xml:space="preserve"> 2,200     cu.m.  Common Borrow    800        cu.m.  Base Course</t>
  </si>
  <si>
    <t xml:space="preserve"> INVITATION TO BID FOR THE Provision of Internet Service and Domestic Multi-Protocol Label Switching Services for Bicol University 1.	The BICOL UNIVERSITY, through the General Appropriations Act/Corporate Budget for the contract approved by the Board of Re</t>
  </si>
  <si>
    <t xml:space="preserve"> CITY MAYOR'S OFFICE 1 1 Unit Vehicle, brand new Pick-Up Type, 3.0L Four Wheel Drive (4x4) Diesel Engine, A/T Transmission with Aircon, Color White.   Please see attached file/document on associated components or BAC website www.davaocityportal.com (BAC po</t>
  </si>
  <si>
    <t xml:space="preserve"> Item No.	Scope of Work	Quantity	Unit	Total Estimated Cost I	Const. of Water System		 II	Inst. Of 3707 lm distribution line	3707	Lm	 III	35 units cluster assembly	35	Units	 IV	Repair of intake box	1	Lot	 V	Civil Structures			 VI	Pipe Support Riprap	1	Lot	 </t>
  </si>
  <si>
    <t xml:space="preserve"> Portland Cement	220 Bags Sand	11 Cu. M Gravel ¾”	22 Cu. M Reinforcement Steel Bar 16mm	130 Pcs Reinforcement Steel Bar 10mm	146 Pcs Tying Wire # 16	20 Kilos 2” X 3” X 10 Coco Lumber	30 Pcs ½” ordinary Plywood	8 Pcs Common Wire Nails	14 Kilos Concrete Nail</t>
  </si>
  <si>
    <t xml:space="preserve"> The City Government of Malolos, through its BIDS and AWARDS COMMITTEE (BAC) Invites Suppliers/Manufacturers/Distributors to Bid for hereunder procurement:  PR No. : GSO-2020-05-657 Name of Project : SUPPLY AND DELIVERY OF 600 CAVANS WELL                  </t>
  </si>
  <si>
    <t xml:space="preserve"> The Local  Government   Unit  of General  Santos  City, through  the  GENERAL FUND CY 2020  intends  to apply  the sum of two hundred thirty nine thousand and xx / 100 Pesos Only (239,000.00)   being  the Approved  Budget  for the Contract   (ABC) to paym</t>
  </si>
  <si>
    <t xml:space="preserve"> 3KVA Generator Set	                3units Chain Block (3tons Capacity)	1unit Volt Cutter (small)	                1unit Static Kern Mantie Rope (11mm)	100m Seat Harness	                         4sets C-Collar (for adults)	                 4pcs Oxygen Tank </t>
  </si>
  <si>
    <t xml:space="preserve"> The Local  Government   Unit  of General  Santos  City, through  the  GENERAL FUND CY 2020  intends  to apply  the sum of three thousand six hundred and xx / 100 Pesos Only (3,600.00)   being  the Approved  Budget  for the Contract   (ABC) to payments  un</t>
  </si>
  <si>
    <t xml:space="preserve"> CITY MAYOR'S OFFICE 1 1000 Pieces Lechon (Baboy), Whole, 20 Kgs. Live Weight  2 10 Pieces Lechon (Baka), Whole, 50 Kgs. Live Weight  Terms and Condition: 1. Payment- Per Statement 2. All quoted prices shall be inclusive of VAT   Please see attached file/d</t>
  </si>
  <si>
    <t xml:space="preserve"> ITEM 	ITEM &amp;  DESCRIPTION	QUANTITY NO.		 1	1/4"x2"x2" Angle Bar	23 pcs. 2	3/16"x11/2"x11/2" Angle Bar	13 pcs. 3	3/16"x11/4"11/4" Angle Bar ( Cross Brace)	21 pcs. 4	12mmØ x 6m. Plain Bar ( Cross Tension)	8 pcs. 5	2"x3" C -Purlins (1.5)	34 pcs. 6	10mmØ X 6M</t>
  </si>
  <si>
    <t xml:space="preserve"> Republic of the Philippines Province of Bohol Municipality of San Miguel INVITATION TO BID FOR  SUPPLY AND DELIVERY OF SPARE PARTS OF MUNICIPAL ROAD GRADER AND BULLDOZER  1.	The Local Government Unit of San Miguel, Bohol, through the 5-02-13-060 intends t</t>
  </si>
  <si>
    <t xml:space="preserve"> CITY ENGINEER'S OFFICE/ MOTORPOOL DIVISION -- Spare Parts for Hyundai 6-Wheeler Dump Truck HD160 with Plate No. SKG-825 -- Spare Parts for Komatsu D65EX-15 Bulldozer with Equipment No. A2010-002L   Please see attached file/document on associated component</t>
  </si>
  <si>
    <t xml:space="preserve"> ITEM 	ITEM &amp;  DESCRIPTION	QUANTITY NO.		 1	Item 200	9 cu.m. 2	Portland Cement Type I	270 bags 3	Fine Aggregates	22 cu.m. 4	Coarse Aggregates	22 cu.m. 5	12mmØ 6m. Deformed Steel Bar	59 pcs. 6	10mmØ x 6m. Deformed Steel Bar	272 pcs. 7	16mmØ x7m. Deformed St</t>
  </si>
  <si>
    <t xml:space="preserve"> for CCTV Cameras with Installation and Services</t>
  </si>
  <si>
    <t xml:space="preserve"> The Local  Government   Unit  of General  Santos  City, through  the  GENERAL FUND CY 2020  intends  to apply  the sum of two hundred eighty six thousand five hundred eighty and xx / 100 Pesos Only (286,580.00)   being  the Approved  Budget  for the Contr</t>
  </si>
  <si>
    <t xml:space="preserve"> Republic of the Philippines   Province of Laguna             Municipality of Calauan 		ITB No.  2020-01 BIDS AND AWARDS COMMITTEE INVITATION TO BID  1.	 The Municipal Government of Calauan, Laguna intends to apply the sum of FOUR MILLION PESOS (Php4,000,0</t>
  </si>
  <si>
    <t xml:space="preserve"> Republic of the Philippines Province of Palawan Municipality of Roxas BIDS AND AWARDS COMMITTEE INVITATION TO BID FOR THE SUPPLY AND DELIVERY OF OFFICE SUPPLIES, FURNITURE AND EQUIPMENT FOR LGU-ROXAS, PALAWAN The Local Government Unit of Roxas, Palawan, t</t>
  </si>
  <si>
    <t xml:space="preserve"> The Local  Government   Unit  of General  Santos  City, through  the  SEF FUND  CY 2020  intends  to apply  the sum of two hundred fifty thousand and xx / 100 Pesos Only (250,000.00)   being  the Approved  Budget  for the Contract   (ABC) to payments  und</t>
  </si>
  <si>
    <t xml:space="preserve"> CITY HEALTH OFFICE -- Assorted Air Conditioners --   Please see attached file/document on associated components or BAC website www.davaocityportal.com (BAC posting) for the complete descriptions, terms of conditions and terms of references.   Bidding will</t>
  </si>
  <si>
    <t xml:space="preserve"> ITEM 	ITEM &amp;  DESCRIPTION	QUANTITY NO.		 		 1	Boulders	46 pcs. 2	Cement	172 bags 3	Sand	11 cu.m. 4	2"x2"x10' G.L.	45 pcs. 5	Gravel	7 cu.m. 6	10mm.Dia. X 6.0 RSB	62 pcs. 7	2" PVC Pipe	30 pcs. 8	# 16 Tie Wire	6 kls. 9	Filling Soil	60 cu.m. 10	Asst'd. C. W. </t>
  </si>
  <si>
    <t xml:space="preserve"> CITY ENGINEER'S OFFICE/ MOTORPOOL DIVISION 1 1 Unit/s Brand new counterbalance forklift with power output at least  110 hp minimum, gross vehicle weight at least 12,300 kg minimum at 2,000 rpm minimum, Diesel engine, 6 cylinders minimum, inline, direct in</t>
  </si>
  <si>
    <t xml:space="preserve"> One (1) lot – Repair of LED Wall System at the BSP Assembly Hall, Head Office, as per BSP Terms of Reference Php998,100.00, VAT inclusive (Quotations/Proposals exceeding this amount shall be disqualified.)</t>
  </si>
  <si>
    <t xml:space="preserve"> PES Various Office Supplies available at PS 2020 with the alloted budget of Php 40,000.00 QTY	Unit	Agency Specification		Bidders Specification	 20	ream	paper multi copy, 80 gsm size 216mm x 330			 15	ream	paper multi copy A4 70gsm			 2	pc	Record book 300 </t>
  </si>
  <si>
    <t xml:space="preserve"> The Local  Government   Unit  of General  Santos  City, through  the  GENERAL FUND CY 2020  intends  to apply  the sum of two hundred eighty thousand five hundred and xx / 100 Pesos Only (280,500.00)   being  the Approved  Budget  for the Contract   (ABC)</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</si>
  <si>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</si>
  <si>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CITY ENGINEER'S OFFICE -- Assorted Metals --   Please see attached file/document on associated components or BAC website www.davaocityportal.com (BAC posting) for the complete descriptions, terms of conditions and terms of references.   Bidding will be co</t>
  </si>
  <si>
    <t xml:space="preserve"> INVITATION TO BID The Municipality of San Mateo, through its Bids and Awards Committee (BAC), invites suppliers, registered with the BAC in the Municipality of San Mateo, to apply for eligibility and if found eligible, to bid for the hereunder listed proj</t>
  </si>
  <si>
    <t xml:space="preserve"> Maximum Power: 56 kW maximum speed: 15000rpm Maximum Torque: 130N-m Maximum Torque Speed: 4124 MOI kg M^2:.02 With data acquisition systems</t>
  </si>
  <si>
    <t xml:space="preserve"> Republic of the Philippines Province of Eastern Samar Municipality of Mercedes OFFICE OF THE BIDS AND AWARDS COMMITTEE (BAC) INVITATION TO BID # INFRA-2020- 004  INVITATION TO BID FOR THE PROPOSED REHABILITATION OF MUNICIPAL ROADS (Provincial Road with MO</t>
  </si>
  <si>
    <t xml:space="preserve"> The Local  Government   Unit  of General  Santos  City, through  the  DEPED SEF CY 2020  intends  to apply  the sum of nine thousand and xx / 100 Pesos Only (9,000.00)   being  the Approved  Budget  for the Contract   (ABC) to payments  under  the  contra</t>
  </si>
  <si>
    <t xml:space="preserve"> Republic of the Philippines Province of Masbate MUNICIPALITY OF CATAINGAN BARANGAY VILLAPOGADO   			                                                                                              JULY 23, 2020 INVITATION TO APPLY FOR ELIGIBILITY AND TO BID </t>
  </si>
  <si>
    <t xml:space="preserve"> The Local  Government   Unit  of General  Santos  City, through  the  GENEAL FUND CY 2020  intends  to apply  the sum of two hundred thirty two thousand three hundred twenty and xx / 100 Pesos Only (232,320.00)   being  the Approved  Budget  for the Contr</t>
  </si>
  <si>
    <t xml:space="preserve"> The Local  Government   Unit  of General  Santos  City, through  the  GENERAL FUND CY 2020  intends  to apply  the sum of twenty four thousand five hundred and xx / 100 Pesos Only (24,500.00)   being  the Approved  Budget  for the Contract   (ABC) to paym</t>
  </si>
  <si>
    <t xml:space="preserve"> For further details, please see attached Program of Works in the associated components.</t>
  </si>
  <si>
    <t xml:space="preserve"> The Local  Government   Unit  of General  Santos  City, through  the  GENERAL FUND CY 2020  intends  to apply  the sum of one hundred forty nine thousand four hundred twenty five and xx / 100 Pesos Only (149,425.00)   being  the Approved  Budget  for the </t>
  </si>
  <si>
    <t xml:space="preserve"> Construction of Two – Storey Six (6) Classroom PAGCOR Design School Building at Panitan NHS, Panitan, Capiz Affected by Typhoon Yolanda (Rebid)</t>
  </si>
  <si>
    <t xml:space="preserve"> Contract I.D. No.: 20GCE0007 Contract Name: Procurement of Materials for use in the Activity 309 - Other Traffic Services (Centerline and Laneline Repainting) and in the Repair and Maintenance of Various National Roads Contract Location: DPWH Nueva Ecija </t>
  </si>
  <si>
    <t xml:space="preserve"> CITY ENGINEER'S OFFICE 1 40 Metric Hot Asphalt 60/70 (Items must be in ISO Tank) 2 100 Drum/s Emulsified asphalt (bitamol), SS1 3 20 Metric Hot Asphalt 60/70 (Items must be in ISO Tank)    Please see attached file/document on associated components or BAC </t>
  </si>
  <si>
    <t xml:space="preserve"> Various Office P.R. No. : CONSOLIDATED-12 Date: 02/18/2020 Date: 1 2 meter 50m measuring tape 1,400.00 2 4 can Air Freshener 1,000.00 3 27 can AIR FRESHENER, 280mL/150g min 2,695.68 4 98 bottle ALCOHOL, 70%, ethyl, 500ml 7,840.00 5 6 piece BATHROOM SOAP, </t>
  </si>
  <si>
    <t xml:space="preserve"> 147 bags Premium Cement 12 pcs. 12mm dia, X 20' std def. bar 24 pcs. 10mm dia. X 20' std def. bar 11 kls. # 16 tie wire 1 pc. 1/2 thk. Ordinary Plywood 10 kls. #4 common wire nails 10 kls. #3 common wire nails 1 kl. #1-1/2 common wire nails 350 pcs. 4x8x1</t>
  </si>
  <si>
    <t xml:space="preserve"> Republic of the Philippines Province of Zamboanga del Sur MUNICIPALITY OF SOMINOT Barangay Poblacion -o0o- JUNE 04, 2020 INVITATION FOR NEGOTIATED PROCUREMENT  (TWO FAILED BIDDINGS) PURCHASE OF MATERIALS FOR THE INSTALLATION OF 48” RCCP AT RIZAL STREET In</t>
  </si>
  <si>
    <t xml:space="preserve"> INVITATION TO BID FOR THE PROCUREMENT OF SUPPLY &amp; DELIVERY OF 64 HEADS CATTLE (TYPHOON URSULA)      1.	The Department of Agriculture Regional Field Office 6 through the General Appropriations Act (GAA) of 2020 intends to apply the sum of Three Million Fif</t>
  </si>
  <si>
    <t xml:space="preserve"> BAC1-20-006 SUPPLY AND DELIVERY OF VARIOUS CONSTRUCTION SUPPLIES - PABX –  FOR 2020                                                      INVITATION  TO BID 1. The University of the Philippines Manila through its Bids and Awards Committee I (BAC 1), invite</t>
  </si>
  <si>
    <t xml:space="preserve"> CITY VET. OFFICE -- ASSORTED  VETERINARY DRUGS AND MEDICINES --   Please see attached file/document on associated components or BAC website www.davaocityportal.com (BAC posting) for the complete descriptions, terms of conditions and terms of references.  </t>
  </si>
  <si>
    <t xml:space="preserve"> Construction of Local Road Access- Brgy. Calabaca, Capalonga, Cam. Norte</t>
  </si>
  <si>
    <t xml:space="preserve"> TO AVOID FLU AND OTHER ILLNESS IN THE BARANGAY</t>
  </si>
  <si>
    <t xml:space="preserve"> Republic of the Philippines Province of Bukidnon Municipality of Cabanglasan -o0o- ___________________________________________________________________________ INVITATION TO BID FOR PURCHASE OF MINI DUMPTRUCK PB-2020-01 1.	The Local Government Unit of Caba</t>
  </si>
  <si>
    <t xml:space="preserve"> INVITATION TO BID 	 The Department of Public Works and Highways-Cebu 4th District Engineering Office, through its Bids and Awards Committee (BAC), invites contractors to submit bids for the Contract: 1.	Contract ID 		:	20HG0176 Contract Name           :  </t>
  </si>
  <si>
    <t xml:space="preserve"> CITY ENGINEER'S OFFICE/ MOTORPOOL DIVISION -- ASSORTED OIL AND LUBRICANTS --   Please see attached file/document on associated components or BAC website www.davaocityportal.com (BAC posting) for the complete descriptions, terms of conditions and terms of </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</si>
  <si>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</si>
  <si>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538 cubic meter (sand and gravel) road graveling of various barangay roads of Sta. filomena, Dipolog City</t>
  </si>
  <si>
    <t xml:space="preserve"> INVITATION TO BID  FOR THE Supply and Delivery of Various Spare Parts for Heavy Equipment I.B. No. 2020 - 0024 1.	The LGU - Cabanatuan City, through the General Fund, FY 2020 intends to apply the sum of Seven Million Nine Hundred Fifty-Three Thousand Four</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</si>
  <si>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</si>
  <si>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Request for Quotation RFQ No.		SVP-015-2020 MR No.		07118 Requisition No. 	LD-03-2019 Posting Date:         	June 23, 2020 Deadline for Submission:		June 29, 2020 at 9:00 AM Opening Date:	June 29, 2020 at 10:00 AM 	 TO:	Name of Supplier:__________________</t>
  </si>
  <si>
    <t xml:space="preserve"> CITY HEALTH OFFICE -- ASSORTED LABORATORY REAGENTS AND CHEMICALS -- TERMS AND CONDITIONS : Technical Documents Required for the Purchase of Medical Supplies, Laboratory Supplies and other Laboratory Reagents for Medical Laboratory Examination of the City </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</si>
  <si>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</si>
  <si>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Please download Bidding Documents IB 2020 – 051 Procurement of 46,700 bottles Rifampicin 200mg/5ml (REBID) Bidding Document fee: 10,000.00 The pre - bid conference is open to interested bidders. You may be qualified to submit your bidding documents during</t>
  </si>
  <si>
    <t xml:space="preserve"> The MLGU-Pasil, now invites bids for the ROAD IMPROVEMENT ALONG BATONG BUHAY TO COLAYO FMR. The project is located at Batong Buhay, Balatoc, Pasil, Province of Kalinga. The following are the Item of Works;					 					 	ITEM NO.	DESCRIPTION	QUANTITY	UNIT	 	</t>
  </si>
  <si>
    <t xml:space="preserve"> 441 cu.m Fine Aggregates 674 cu.m Coarse Aggregates</t>
  </si>
  <si>
    <t xml:space="preserve"> INVITATION TO BID FOR THE PROCUREMENT OF SUPPLY &amp; DELIVERY OF PIGLETS (TYPHOON URSULA)     1.	The Department of Agriculture Regional Field Office 6 through the General Appropriations Act (GAA) of 2020 intends to apply the sum of Two Million Two Hundred Si</t>
  </si>
  <si>
    <t xml:space="preserve"> CITY GOVERNMENT OF DAVAO -- ASSORTED COMPUTER SUPPLIES AND MATERIALS --   Please see attached file/document on associated components or BAC website www.davaocityportal.com (BAC posting) for the complete descriptions, terms of conditions and terms of refer</t>
  </si>
  <si>
    <t xml:space="preserve"> Republic of the Philippines Province of Capiz Municipality of Mambusao Barangay Bunga Invitation to Bid for a One (1) Job Order for the Supply of Labor and Materials for Construction of Perimeter Fence at Brgy. Bunga, Mambusao, Capiz   The Municipality of</t>
  </si>
  <si>
    <t xml:space="preserve"> PLEASE DOWNLOAD THE ATTACHMENT/S FOR REFERENCE. Important Notes and Conditions: You can submit your quotation ON or BEFORE JUNE 29, 2020 at 10:00 AM with the photocopy of the following legal documents: a. Mayor’s / Business Permit  b. PhilGEPS Registratio</t>
  </si>
  <si>
    <t xml:space="preserve"> CITY GOVERNMENT OF DAVAO -- ASSORTED OFFICE SUPPLIES AND MATERIALS --   Please see attached file/document on associated components or BAC website www.davaocityportal.com (BAC posting) for the complete descriptions, terms of conditions and terms of referen</t>
  </si>
  <si>
    <t xml:space="preserve"> Bid-Opening-July 14,2020 at 2:00 p.m. at Municipal Conference Room</t>
  </si>
  <si>
    <t xml:space="preserve"> Standard Form Number: SF-INFR-05 Revised on: July 28, 2004          INVITATION TO APPLY FOR ELIGIBILITY AND TO BID The Municipal Local Government Unit of Saguday, Quirino through its Bids and Awards Committee (BAC), invites contractors to apply for eligib</t>
  </si>
  <si>
    <t xml:space="preserve"> DESCRIPTION Republic of the Philippines Province of Oriental Mindoro MUNICIPALITY OF NAUJAN BARANGAY DAO BIDS AND AWARDS COMMITTEE INVITATION TO BID SUPPLY &amp; DELIVERY OF MATERIALS TO BE USED FOR THE INSTALLATION OF STREET LIGHTS IN DIFFERENT SITIOS, BARAN</t>
  </si>
  <si>
    <t xml:space="preserve"> INVITATION TO BID FOR THE PROCUREMENT OF SUPPLY &amp; DELIVERY OF GOAT (TYPHOON URSULA)     1.	The Department of Agriculture Regional Field Office 6 through the General Appropriations Act (GAA) of 2020 intends to apply the sum of Six Million Eight Hundred For</t>
  </si>
  <si>
    <t xml:space="preserve"> SNACKS</t>
  </si>
  <si>
    <t xml:space="preserve"> CY 2019 Repair/Rehabilitation of Department of Education Regional Office VI, Duran Street, Iloilo City (Rebid)</t>
  </si>
  <si>
    <t xml:space="preserve"> Republic of the Philippines Province of Surigao del Sur Municipality of Lanuza Barangay Bunga INVITATION TO BID  PROCUREMENT OF HARDWARE MATERIALS FOR REHABILITATION OF EXISTING BUSANAMCO RATTAN PROCESSING CENTER AT BARANGAY BUNGA, LANUZA, SURIGAO DEL SUR</t>
  </si>
  <si>
    <t xml:space="preserve"> ITEM 	ITEM &amp;  DESCRIPTION	QUANTITY NO.		 1	Portland Cement	23 bags 2	Screened Gravel	3 cu.m 3	Mixing Sand	2 cu.m. 4	2"x2"x10' Coco Lumber	15 pcs. 5	1/2"x4'x8' Ord. Plywood	2 sht. 6	No. 16 Tie Wire	3 kls. 7	C.W. Nails 4"	3 kls. 8	10mmØ x 6m RSB	12 pcs. 9	1</t>
  </si>
  <si>
    <t xml:space="preserve"> The Local  Government   Unit  of General  Santos  City, through  the  GENERAL FUND CY 2020  intends  to apply  the sum of two hundred forty two thousand one hundred seventy one and xx / 100 Pesos Only (242,171.00)   being  the Approved  Budget  for the Co</t>
  </si>
  <si>
    <t xml:space="preserve"> INVITATION TO APPLY FOR ELIGIBILITY AND TO BID The Municipality of Alcoy, Cebu, through its Bids and Awards Committee (BAC), invites suppliers/manufacturers/distributors/contractors to apply for eligibility and to bid for the hereunder projects: 	Particul</t>
  </si>
  <si>
    <t xml:space="preserve"> ITEM 	ITEM &amp;  DESCRIPTION	QUANTITY NO.		 1	Item 200	9 cu.m 2	Portland Cement Type 1	66 bags 3	Fine Aggregates	3 cu.m. 4	Coarse Aggregates	4 cu.m. 5	12mm.x  6.0m. Deformed Bars	120 pcs. 6	#16 Tie Wire	8 kls. 7	4" CHB ( No Bearing Load)	700 pcs. 8	0.30x 1.0</t>
  </si>
  <si>
    <t xml:space="preserve"> Republic of the Philippines  Province of Cebu  City of Mandaue  Barangay Paknaan  Contact#517-6562|Email:barangaypaknaanmandaue7@gmail.com Office of the Bids and Awards Committee Invitation to Bid for the Supply &amp; Delivery of One (1) Unit Brand New Six Wh</t>
  </si>
  <si>
    <t xml:space="preserve"> Republic of the Philippines Province of Bukidnon Municipality of Cabanglasan -o0o- ___________________________________________________________________________ INVITATION TO BID FOR PURCHASE OF MATERIALS FOR CONSTRUCTION OF MULTIPURPOSE PAVEMENT PHASE I 1.</t>
  </si>
  <si>
    <t xml:space="preserve"> Republic of the Philippines Province of Leyte Municipality of Tolosa BARANGAY POBLACION INVITATION TO BID FOR  Supply and Installation of Solar Streetlights at Brgy. Poblacion, Tolosa, Leyte  Job Request No. 20-06-01 1.	The Barangay of Poblacion, Tolosa, </t>
  </si>
  <si>
    <t xml:space="preserve"> 8 CCTV Camera, HD, Nigth Vision, Motion Detection, 16 - Channel DVR with 1 TB Hard Drive with complete accessories</t>
  </si>
  <si>
    <t xml:space="preserve"> INVITATION TO BID FOR THE CONSTRUCTION OF TWO (2) BARREL RCBC W/ CONCRETE SLOPE PROTECTION (BGY. MAGSAYSAY, MUNICIPALITY OF DUMARAN, PALAWAN) 1.	The Provincial Government of Palawan, through its 20% Development Fund (OBR No. 300-20-06-07381) account inten</t>
  </si>
  <si>
    <t xml:space="preserve"> INVITATION TO BID FOR THE  REHABILITATION OF MAGBABADIL BRIDGE I (BGY. MABINI, ABORLAN, PALAWAN) 1.	The Provincial Government of Palawan, through its 20% Development Fund (OBR No. 300-20-06-07376) account intends to apply the sum of Three Million One Hund</t>
  </si>
  <si>
    <t xml:space="preserve"> Municipality of  Sogod, Cebu					Contract Ref. No.-0005-2020 Proposed Road Concreting in Sitio Ocao - Brgy. Takay, Sogod, Cebu 		 Standard Form Number: SF-INFR-05 Revised on: July 29, 2004 INVITATION TO BID The Municipality of Sogod  through its Bids and </t>
  </si>
  <si>
    <t xml:space="preserve"> ITEM 	ITEM &amp;  DESCRIPTION	QUANTITY NO.		 1	2"x6" C- Purlins (Raffer)	6 pcs. 2	2"x4" c- Purlin ( Scollar Cleats)	2 pcs. 3	2"x3" C- Purlins ( Purlins)	18 pcs. 4	10mm x6.0 Plain Bar ( Sag Rod)	8 pcs. 5	1/4"x2-1/2"&lt; Bar ( Wedge Plate)	1 pc. 6	Welding Rod	5 kl</t>
  </si>
  <si>
    <t xml:space="preserve"> Municipality of  Sogod, Cebu					Contract Ref. No.-0004-2020 Proposed Road Concreting in Sitio Bontilao, Liki, Sogod, Cebu 		 Standard Form Number: SF-INFR-05 Revised on: July 29, 2004 INVITATION TO BID The Municipality of Sogod  through its Bids and Awar</t>
  </si>
  <si>
    <t xml:space="preserve"> 6 units Additional CCTV Camera 5mp 4 units Antenna 1 unit 43" Monitor</t>
  </si>
  <si>
    <t xml:space="preserve"> Republic of the Philippines Province of Palawan Municipality of Roxas BIDS AND AWARDS COMMITTEE INVITATION TO BID FOR THE SUPPLY AND DELIVERY OF FUEL, OIL AND LUBRICANTS FOR THE REHABILITATION/ IMPROVEMENT OF LOCAL ROADS, MUNICIPAL WIDE ROXAS, PALAWAN The</t>
  </si>
  <si>
    <t xml:space="preserve"> INVITATION TO BID FOR THE PROCUREMENT OF SUPPLY &amp; DELIVERY OF 56 HEADS CARACOWS (TYPHOON URSULA)     1.	The Department of Agriculture Regional Field Office 6 through the General Appropriations Act (GAA) of 2020 intends to apply the sum of Two Million Four</t>
  </si>
  <si>
    <t xml:space="preserve"> See attached file.........</t>
  </si>
  <si>
    <t xml:space="preserve"> Procurement and Delivery of Construction Supplies and Materials for the Concreting of Cesar-Calawag Road Location: Cesar-Calawag, Balingasag, Misamis Oriental</t>
  </si>
  <si>
    <t xml:space="preserve"> Invitation to Rebid for the Supply &amp; Delivery of Materials for the  Concrete Pavement and Repair of Drainage Canal –  Puerto Galera National High School 1.	The Municipal Government of Puerto Galera, through the LGU – Gender &amp; Development (GAD) Fund FY 202</t>
  </si>
  <si>
    <t xml:space="preserve"> Republic of the Philippines MUNICIPALITY OF ECHAGUE Province of Isabela INVITATION TO BID FOR  EXPENSES   ON  UGNAYAN SA BARANGAY; SPECIAL LAW MEDICAL AND DENTAL MISSION, TRAINING SEMINAR  OF BARANGAY TANOD,MONTHLY MEETING OF ADAC/MADAC/BARANGAY VISITATIO</t>
  </si>
  <si>
    <t xml:space="preserve"> Republic of the Philippines  Province of Iloilo Municipality of New Lucena                                                                                                               June 23, 2020                                                         </t>
  </si>
  <si>
    <t xml:space="preserve"> Republic of the Philippines  Province of Samar Municipality of Jiabong Invitation to Bid  Emergency Purchase in Response to Covid19 DSWD Office Jiab-2020-33A The Municipal Government of Jiabong, Samar, through LGU OF JIABONG   intends to apply the sum of </t>
  </si>
  <si>
    <t xml:space="preserve"> Republic of the Philippines MUNICIPALITY OF ECHAGUE Province of Isabela INVITATION TO BID FOR  REPRESENTATION EXPENSES OF THE MAY0R 1.	The Local Government Unit , through  the  GENERAL   FUND  Of  2020   intends to apply the sum of  EIGHT MILLION PESOS (P</t>
  </si>
  <si>
    <t xml:space="preserve"> INVITATION TO BID FOR THE PROCUREMENT OF SUPPLY &amp; DELIVERY OF NATIVE CHICKEN (TYPHOON URSULA)     1.	The Department of Agriculture Regional Field Office 6 through the General Appropriations Act (GAA) of 2020 intends to apply the sum of Three Million One H</t>
  </si>
  <si>
    <t xml:space="preserve"> The Municipal Government of Bayog, Zamboanga del Sur thru its Bids and Awards Committee (BAC) invites all interested bidders for the “EVENT MANAGEMENT - VENUE RENTAL, FOOD AND ACCOMMODATION” for the Three-Days Seminar Workshop on Gender and Development an</t>
  </si>
  <si>
    <t xml:space="preserve"> Please download Bidding Documents IB 2020 – 053 Procurement of 600 bottles Immersion Oil Bidding Document fee: 1,000.00 The pre - bid conference is open to interested bidders. You may be qualified to submit your bidding documents during the public bidding</t>
  </si>
  <si>
    <t xml:space="preserve"> Communication equipment and accsessories..</t>
  </si>
  <si>
    <t xml:space="preserve"> Please download Bidding Documents IB 2020 – 052 Procurement of 42 set CD4 Machine Control (Rebid) Bidding Document fee: 500.00 The pre - bid conference is open to interested bidders. You may be qualified to submit your bidding documents during the public </t>
  </si>
  <si>
    <t xml:space="preserve"> Republic of the Philippines Province of Cotabato Municipality of Antipas BIDS AND AWARDS COMMITTEE INVITATION TO BID FOR Supply and Delivery of School Equipment 1.	The Municipal Government of Antipas, through the Budget approved by the Sanggunian intends </t>
  </si>
  <si>
    <t xml:space="preserve"> INVITATION TO APPLY FOR ELIGIBILITY AND TO BID  One (1) Lot Information Technology   ITB No. 2020-06-005 P.R. No. 2020-03-158 1.	The Mines and Geosciences Bureau, through the General Appropriations Act (GAA) for CY 2020 intends to apply the sum correspond</t>
  </si>
  <si>
    <t xml:space="preserve"> INVITATION TO BID Construction of Administrative Office at Palo National High School Identification No. TAMP-PB-GOODS-07-2020 1.	The Local Government of Tampakan, through the 20% MDF 2018/8918-300-1-07-10-020 intends to apply the sum of Two Hundred Ninete</t>
  </si>
  <si>
    <t xml:space="preserve"> 50 BOT ACICLOVER 200MG/5ML SUSP.,60ML SUSP. 50 BOT. ALCOHOL, ETHYL 70% SOLUTION 40 BOX ALUMINUM MAGNESIUM 200MG TABLET 30 BOT. ALUMINUM MAGNESIUM 200 MG/ 5ML SUSP, 60ML 20 BOX AMLODIPINE 5MG OR 10MG TABLET 48 BOX AMOXICILLIN 500MG CAPSULE 100 BOT. AMOXICI</t>
  </si>
  <si>
    <t xml:space="preserve"> Please download Bidding Documents IB 2020 – 054 Procurement of 1,700 pcs. Etonogestrel Subdermal Implant Bidding Document fee: 5,000.00 The pre - bid conference is open to interested bidders. You may be qualified to submit your bidding documents during th</t>
  </si>
  <si>
    <t xml:space="preserve"> Complete Construction of (9.50mx23.00m) Two Storey; Four Classroom School Building Mostly Built With Concrete And Masonry, with PWD Ramp with handrails, parapet wall on concrete gutter and complete and electrical works, Sanitary/ Plumbing Works, ventilati</t>
  </si>
  <si>
    <t xml:space="preserve"> INVITATION TO APPLY FOR ELIGIBILITY AND TO BID  One (1) Lot Provision for Security Services for 2020 (August-December)   ITB No. 2020-06-004 P.R. No. 2020-06-172 1.	The Mines and Geosciences Bureau, through the General Appropriations Act (GAA) for CY 2020</t>
  </si>
  <si>
    <t xml:space="preserve"> Lot 1 1 Unit HAND TRACTOR Specification 1.Two Wheel Hand Tractor w/ Trailer 2.. Prime Mover: 10-12HP Diesel Engine 3. Trailer Capacity: 1ton,  4. With Mud Guard, with Belt Guard or Cover, with Rubber Hand Grip,  5. Transmission with reverse and forward.  </t>
  </si>
  <si>
    <t xml:space="preserve"> BAC1-20-008 SUPPLY AND DELIVERY OF VARIOUS CONSTRUCTION SUPPLIES - PAINTING  FOR 2020                                                            INVITATION  TO BID 1. The University of the Philippines Manila through its Bids and Awards Committee I (BAC 1)</t>
  </si>
  <si>
    <t xml:space="preserve"> INVITATION TO APPLY FOR ELIGIBILITY AND TO BID  One (1) Lot Laboratory Equipment   ITB No. 2020-06-006 P.R. No. 2020-06-171 1.	The Mines and Geosciences Bureau, through the General Appropriations Act (GAA) for CY 2020 intends to apply the sum correspondin</t>
  </si>
  <si>
    <t xml:space="preserve"> Please download Bidding Documents IB 2020 – 059 Procurement of Various Drugs/Medicines to be used during emergencies and disasters Bidding Document fee: 5,000.00 The pre - bid conference is open to interested bidders. You may be qualified to submit your b</t>
  </si>
  <si>
    <t xml:space="preserve"> Mohon, Sogod, Cebu						Contract Ref. No.-01M-2020 Fabrication &amp; Installation of Basketball Goal at Mohon Sports Complex, Mohon, Sogod, Cebu 		 Standard Form Number: SF-INFR-05 Revised on: July 29, 2004 INVITATION TO BID The Mohon, Sogod, Cebu  through it</t>
  </si>
  <si>
    <t xml:space="preserve"> LABOR AND MATERIALS FOR THE CONSTRUCTION OF MUNICIPAL AGRICULTURE OFFICE AT POBALCION,BADIAN,CEBU</t>
  </si>
  <si>
    <t xml:space="preserve"> 1.	The DENR-Environmental Management Bureau Region 2, through the ESWM Fund (Fund 101) CY 2020 intends to apply the sum of Two Million Two Hundred Thousand Pesos (P2,200,000.00) the contract for Procurement Of Professional Consulting Service For The Condu</t>
  </si>
  <si>
    <t xml:space="preserve"> Please download Bidding Documents IB 2020 – 058 Procurement of 528,635 cap. Cefalexin 500mg capsule Bidding Document fee: 5,000.00 The pre - bid conference is open to interested bidders. You may be qualified to submit your bidding documents during the pub</t>
  </si>
  <si>
    <t xml:space="preserve"> The Municipality of Limay, through its Bids and Awards Committee (BAC) invites registered contractors to apply for eligibility and if found eligible, to bid for the hereunder project/contract: Project/Contract:     REHABILITATION OF FENCE (SOUTH SIDE) AT </t>
  </si>
  <si>
    <t xml:space="preserve"> 8 unit Visitor Chair 8 pcs. Filing Cabinet (4 layer metal) 24 pcs. Back pack 75 pcs. Plaque (medium)</t>
  </si>
  <si>
    <t xml:space="preserve"> Republic of the Philippines Province of Ilocos Sur MUNICIPALITY OF MAGSINGAL Office of the Bids and Awards    Committee INVITATION TO BID FOR THE CONSTRUCTION OF PAGSANAAN SUR POST HARVEST FACILITY The Municipality of Magsingal, through its Bids and Award</t>
  </si>
  <si>
    <t xml:space="preserve"> INVITATION FOR NEGOTIATED PROCUREMENT FOR VARIOUS MEDICAL EQUIPMENT: 1.	In View of the two failed biddings, the Department of Health Center for Health Development I, through the Continuing Appropriations (CONAP) 2019 invites interested bidders to particip</t>
  </si>
  <si>
    <t xml:space="preserve"> Republic of the Philippines  Province of Samar Municipality of Jiabong Invitation to Bid  Emergency Purchase in Response to Covid19 DSWD Office Jiab-2020-39Af The Municipal Government of Jiabong, Samar, through LGU OF JIABONG   intends to apply the sum of</t>
  </si>
  <si>
    <t xml:space="preserve"> Republic of the Philippines Province of Ilocos Sur MUNICIPALITY OF MAGSINGAL Office of the Bids and Awards    Committee INVITATION TO BID FOR THE CONSTRUCTION OF SLOPE PROTECTION AT MANZANTE BEACH ROAD ADJACENT TO FARMLANDS The Municipality of Magsingal, </t>
  </si>
  <si>
    <t xml:space="preserve"> Please download Bidding Documents IB 2020 – 057 Procurement of 3,061 kits Hygiene Kit Bidding Document fee: 5,000.00 The pre - bid conference is open to interested bidders. You may be qualified to submit your bidding documents during the public bidding da</t>
  </si>
  <si>
    <t xml:space="preserve"> INVITATION TO BID  FOR THE Repair and Maintenance of Various Heavy Equipment I.B. No. 2020 - 0025 1.	The LGU - Cabanatuan City, through the General Fund, FY 2020 intends to apply the sum of Five Million Four Hundred Sixty-Four Thousand One Hundred Ninety-</t>
  </si>
  <si>
    <t xml:space="preserve"> Please download Bidding Documents IB 2020 – 056 Procurement of 433 pcs. Advocacy Jacket, reversible Bidding Document fee: 5,000.00 The pre - bid conference is open to interested bidders. You may be qualified to submit your bidding documents during the pub</t>
  </si>
  <si>
    <t xml:space="preserve"> Kindly see attached file for your reference.</t>
  </si>
  <si>
    <t xml:space="preserve"> Please download Bidding Documents IB 2020 – 055 Procurement of 1,091 cannister Effervescent Chlorine Tablet 1.7 g Bidding Document fee: 5,000.00 The pre - bid conference is open to interested bidders. You may be qualified to submit your bidding documents </t>
  </si>
  <si>
    <t xml:space="preserve"> The Government of the Philippines (GOP) has received a loan from World Bank towards the cost of Philippine Rural Development Project, and it intends to apply part of the proceeds of this Loan to payments for the procurement of office supplies intended for</t>
  </si>
  <si>
    <t xml:space="preserve"> INVITATION TO BID The Department of Public Works and Highways - Pampanga 1st District Engineering Office, through its Bids and Awards Committee (BAC), invites contractors to submit bids for the following Contract: 1.	 Procurement ID/Contract ID	:	20CG0142</t>
  </si>
  <si>
    <t xml:space="preserve"> Republic of the Philippines Province of Surigao del Sur MUNICIPALITY OF BAROBO INVITATION TO BID The Municipality of Barobo, through its Bids and Awards Committee (BAC), invites suppliers/bidders to Bid for the Supply and Delivery of  Construction Materia</t>
  </si>
  <si>
    <t xml:space="preserve"> LABOR AND MATERIALS FOR THE CONSTRUCTION OF MUNICIPAL WAREHOUSE AT POBLACION,BADIAN,CEBU</t>
  </si>
  <si>
    <t xml:space="preserve"> Republic of the Philippines  Province of Samar Municipality of Jiabong Invitation to Bid  Emergency Purchase in Response to Covid19 Mayor’s Office Jiab-2020-42A The Municipal Government of Jiabong, Samar, through LGU OF JIABONG   intends to apply the sum </t>
  </si>
  <si>
    <t xml:space="preserve"> BAC1-20-008 SUPPLY AND DELIVERY OF VARIOUS CONSTRUCTION SUPPLIES - MECHANICAL/CMGVS FOR 2020                                                            INVITATION  TO BID 1. The University of the Philippines Manila through its Bids and Awards Committee I </t>
  </si>
  <si>
    <t xml:space="preserve"> Republic of the Philippines DEPARTMENT OF PUBLIC WORKS AND HIGHWAYS MOUNTAIN PROVINCE SECOND DISTRICT ENGINEERING OFFICE CORDILLERA ADMINISTRATIVE REGION DENR Compound, Poblacion Paracelis, Mountain Province INVITATION TO BID FOR 20GPM006 - PURCHASE OF CO</t>
  </si>
  <si>
    <t xml:space="preserve"> Republic of the Philippines  Province of Samar Municipality of Jiabong Invitation to Bid  Emergency Purchase in Response to Covid19 mayor’s Office Jiab-2020-38A The Municipal Government of Jiabong, Samar, through LGU OF JIABONG   intends to apply the sum </t>
  </si>
  <si>
    <t xml:space="preserve"> Province of Bohol Municipality of San Miguel INVITATION TO BID FOR  SUPPLY AND DELIVERY OF DAY CARE PRE-SCHOOLER SUPPLIES  1.	The Local Government Unit of San Miguel, Bohol, through the 7999-46 and 1% Protection for Children intends to apply the sum of Th</t>
  </si>
  <si>
    <t xml:space="preserve"> INVITATION TO BID CONTRACT ID: 20-06-088 Contract Name: PROCUREMENT OF VARIOUS DRUGS AND MEDICINES Approved Budget for the Contract (ABC) : Php 578,003.00 Cost of Bidding Document: 500.00 1. The DOH-Zamboanga Peninsula - Center for Health Development , th</t>
  </si>
  <si>
    <t xml:space="preserve"> Note: Please download the complete bidding documents, including the Bid of Quantities and Plans/Drawings from the associated components found in this notice. The NATIONAL FOOD AUTHORITY, through its Capital Outlay for 2020 intends to apply the sum of  TWO</t>
  </si>
  <si>
    <t xml:space="preserve"> Republic of the Philippines Province of Cotabato Municipality of Mlang BIDS AND AWARDS COMMITTEE INVITATION TO BID            The Municipal Government of M’LANG intends to apply the sum of  EIGHT HUNDRED THOUSAND PESOS ONLY (P800,000.00) being the Approve</t>
  </si>
  <si>
    <t xml:space="preserve"> INVITATION TO BID FOR  SUPPLY, DELIVERY, INSTALLATION, TESTING AND COMMISSIONING OF MEDICAL EQUIPMENT FOR FY2020</t>
  </si>
  <si>
    <t xml:space="preserve"> Section I. Invitation to Bid Republic of the Philippines Philippine Rural Development Project Invitation to Bid for the  Construction of Mango Processing Center  ID No. PRDP-IR-RO03-NUE-035-PAL-001-2019-R1 Loan No. 8816-PH   June 23, 2020 1.	The Governmen</t>
  </si>
  <si>
    <t xml:space="preserve"> DELA COSTA HOMES III BRGY. GRACEVILLE CSJDM, BULACAN</t>
  </si>
  <si>
    <t xml:space="preserve"> Please see attached Bidding Documents in the Associated Components. Thank you very much</t>
  </si>
  <si>
    <t xml:space="preserve"> The Municipality of Limay, through its Bids and Awards Committee (BAC) invites registered contractors to apply for eligibility and if found eligible, to bid for the hereunder project/contract: Project/Contract:     REHABILITATION OF FENCE (NORTH SIDE) AT </t>
  </si>
  <si>
    <t xml:space="preserve"> CONTRACT ID: 20GL00008; P.R. No. 2020-05-057 DATED 05/26/2020 CONTRACT LOCATION: U.P. MINDANAO MULTI-PURPOSE HUMAN KINETICS BUILDING, BAGO OSHIRO, DAVAO CITY CONTRACT DESCRIPTION: PROCUREMENT OF VARIOUS CONSTRUCTION SUPPLIES &amp; MATERIALS, FOR USE IN THE CO</t>
  </si>
  <si>
    <t xml:space="preserve"> Purchase of CCTV Equipments and Its Accessories.</t>
  </si>
  <si>
    <t xml:space="preserve"> REQUEST FOR EXPRESSION OF INTEREST FOR THE CONDUCT  OF SURFACE AND SUBSURFACE GEOLOGICAL AND GEOTECHNICAL INVESTIGATION OF  OCAMPO  SRIP (REBID), OCAMPO, CAMARINES SUR 1.	 The National Irrigation Administration RO V, Naga City, through the GAA/FSDE CY 201</t>
  </si>
  <si>
    <t xml:space="preserve"> Barangay Ibayo Tipas through its Bid and Awards Committee (BAC) invites Contractors to bid for the hereunder project: Prospective bidders should have undertaken a similar project within one year (1) from the date of bidding and accredited. Bidding will be</t>
  </si>
  <si>
    <t xml:space="preserve"> Republic of the Philippines  Province of Samar Municipality of Jiabong Invitation to Bid  Emergency Purchase in Response to Covid19 MDRRM Office Jiab-2020-40A The Municipal Government of Jiabong, Samar, through LGU OF JIABONG   intends to apply the sum of</t>
  </si>
  <si>
    <t xml:space="preserve"> PURCHASE REQUEST								 Municipality of Buenavista								 							 Department:  				PR:	_______________		Date:	 				SAI No.	_______________		Date:	 Section:							Date:	 Item No	Unit	Qty.		Item Description			Estimated	Estimated 							Unit cost	Total cos</t>
  </si>
  <si>
    <t xml:space="preserve"> Contract ID:	20GFH0012 Contract Name:	SUPPLY AND DELIVERY OF SPARE PARTS FOR USE IN THE REPLACEMENT OF WORN-OUT PARTS OF SERVICE VEHICLE ASSIGNED  IN THE DPWH-PLANNING &amp; DESIGN SECTION, VIRAC, CATANDUANES (PR#20-05-021 DATED 5/26/2020) Contract Location:	</t>
  </si>
  <si>
    <t xml:space="preserve"> Contract ID:	20GFH0014 Contract Name:	SUPPLY AND DELIVERY OF TIRES FOR USE IN THE OPERATION OF SERVICE VEHICLE NISSAN NAVARA FI-X700, NISSAN NAVARA FI-X440, ALTERA NJQ-720 AND TOYOTA HI-LUX POA 227, DPWH SAN ISIDRO VILLAGE, VIRAC, CATANDUANES (PR#20-06-03</t>
  </si>
  <si>
    <t xml:space="preserve"> Republic of the Philippines DEPARTMENT OF PUBLIC WORKS AND HIGHWAYS LAGUNA I  DISTRICT ENGINEERING OFFICE REGIONAL OFFICE NO. IV-A Santa Cruz, Laguna 									June 22, 2020 NOTICE OF PROCUREMENT THROUGH ALTERNATIVE METHOD 	Notice is given that the DPWH-La</t>
  </si>
  <si>
    <t xml:space="preserve"> Republic of the Philippines Province of Compostela Valley Municipality of Monkayo -o0o- INVITATION TO BID FOR THE PROCUREMENT OF MATERIALS FOR PUBLIC BUILDING MAINTENANCE  The Municipality of Monkayo, through the GENERL FUND intends to apply the sum of TH</t>
  </si>
  <si>
    <t xml:space="preserve"> Republic of the Philippines  Province of Samar Municipality of Jiabong Invitation to Bid  Emergency Purchase in Response to Covid19 Mayor’s Office Jiab-2020-41A The Municipal Government of Jiabong, Samar, through LGU OF JIABONG   intends to apply the sum </t>
  </si>
  <si>
    <t xml:space="preserve"> Republic of the Philippines Department of Health Central Luzon Center for Health Development Talavera General Hospital Talavera, Nueva Ecija ISO QMS Certified INVITATION TO BID  Re-Bidding of Supply and Delivery of Various Medical and Hospital Supplies fo</t>
  </si>
  <si>
    <t xml:space="preserve"> Republic of the Philippines																		 Province of Bohol																		 Municipality of Buenavista																		 																		 Barangay Bonotbonot																		 INVITATION TO APPLY FOR ELIGIBILITY AND TO BID																		 						</t>
  </si>
  <si>
    <t xml:space="preserve"> INVITATION TO BID Date: June 22, 2020 1.	The Provincial Government of Davao del Sur, through its Bids and Awards Committee (BAC), invites all potential bidders/suppliers to apply to bid for the following goods. Bids received in excess of the ABC shall be </t>
  </si>
  <si>
    <t xml:space="preserve"> Contract ID:	20GFH0013 Contract Name:	SUPPLY AND DELIVERY OF LUBRICANTS &amp; SPARE PARTS/MAINTENANCE OF SPARE PARTS FOR USE IN THE OPERATION OF ISUZU DMAX H1-5515, L300 VAN HI-6548, TOYOTA HI-LUX (POA 217) AND TOYOTA HI-LUX (PON 974) ASSIGNED IN CONSTRUCTION</t>
  </si>
  <si>
    <t xml:space="preserve"> INSTALLATION OF ELECTRICAL LINES FOR WATER WORKS SYSTEM AT SITIO CENTRO, BRGY. MAPULO</t>
  </si>
  <si>
    <t xml:space="preserve"> Procurement of Ceftriaxone 1g+10ml diluent 5000 vials</t>
  </si>
  <si>
    <t xml:space="preserve"> CONTRACT ID: 19-12-272 2ND REBID Contract Name: PROCUREMENT OF VARIOUS LABORATORY REAGENTS, MEDICAL DEVICES, DENTAL SUPPLIES AND INSTRUMENTS Approved Budget for the Contract (ABC) : Php 971,750.00 1. The DOH-Zamboanga Peninsula - Center for Health Develop</t>
  </si>
  <si>
    <t xml:space="preserve"> INVITATION TO NEGOTIATED FOR THE  Supply &amp; Delivery of Trash Racks and Intake Gates for Gandiangan SIP IMELDA, ZAMBOANGA SIBUGAY 1.	The National Irrigation Administration – Zamboanga Sibugay Irrigation Management Office, Region 9, through the CARP-IC inte</t>
  </si>
  <si>
    <t xml:space="preserve"> INVITATION TO BID CONSTRUCTION OF VARIOUS INFRASTRUCTURE PROJECTS FOR THE CITY OF NAVOTAS UNDER OTHER INFRASTRUCTURE ASSETS The City Government of Navotas, through its Bids and Awards Committee, will hold a Public Bidding for the CONSTRUCTION OF VARIOUS I</t>
  </si>
  <si>
    <t xml:space="preserve"> Please see Invitation to Bid and Bidding Documents attached to Associated Components.O</t>
  </si>
  <si>
    <t xml:space="preserve"> INVITATION TO BID FOR THE  Supply &amp; Delivery of  Construction Equipment for   Sibuguey Valley Irrigation System BAYOG, ZAMBOANGA DEL SUR 1.	The National Irrigation Administration – Zamboanga Sibugay Irrigation Management Office, Region 9, through the RREN</t>
  </si>
  <si>
    <t xml:space="preserve"> Republic of the Philippines Province of Aurora MUNICIPALITY OF BALER BIDS AND AWARDS COMMITTEE June 22, 2020 Invitation to Bid for PURCHASE OF MOBILE CLINIC MUNICIPAL GOVERNMENT OF BALER BALER, AURORA 1.	The Municipal Government of Baler, through its 20% </t>
  </si>
  <si>
    <t xml:space="preserve"> INVITATION TO APPLY FOR ELIGIBILITY AND TO BID The Local Government Unit of Dinalungan, through its Municipal Bids and Awards Committee (MBAC) invites Suppliers and Dealers registered to apply for Eligibility. Prospective Bidders should have experienced i</t>
  </si>
  <si>
    <t xml:space="preserve"> For repair of transmission lines at Paculago Bridge &amp; pipelines at F. Simeon due to road widening by the DPWH.</t>
  </si>
  <si>
    <t xml:space="preserve"> Purchase of Medicines</t>
  </si>
  <si>
    <t xml:space="preserve"> AGD-074-0 Republic of the Philippines SAN PABLO CITY WATER DISTRICT Maharlika Highway, Brgy. San Gabriel, San Pablo City Telefax. No. (049) 503-0075 INVITATION TO BID  RE-BID: Supply and Delivery of Five Thousand Five Hundred (5,500) Ltrs. Gasoline and   </t>
  </si>
  <si>
    <t xml:space="preserve"> INVITATION TO REBID FOR THE PROCUREMENT OF SUPPLY &amp; DELIVERY OF VARIOUS FERTILIZERS      1.	The Department of Agriculture Regional Field Office 6 through the General Appropriations Act (GAA) of 2020 intends to apply the sum of Eight Million Nine Hundred T</t>
  </si>
  <si>
    <t xml:space="preserve"> MONTHLY ALLOTTED BUDGET  PHP. 15,000.00 x 2 Personnel (10 months) January to February  July to December</t>
  </si>
  <si>
    <t xml:space="preserve"> Complete Construction of (9.50m x 23.00m) Two Storey; Four Classroom School Building mostly built with concrete and masonry, with PWD ramp with handrails, parapet wall on concrete gutter and complete electrical works, sanitary/plumbing works, ventilation,</t>
  </si>
  <si>
    <t xml:space="preserve"> IN FRONT OF GRACEVILLE ELEMENTARY SCHOOL ZONE V BRGY. GRACEVILLE CSJDM, BULACAN</t>
  </si>
  <si>
    <t xml:space="preserve"> Republic of the Philippines Province of Davao de Oro Municipality of Monkayo -o0o- INVITATION TO BID FOR THE PROCUREMENT OF LABOR &amp; MATERIALS FOR THE PROJECT OF CONSTRUCTION FOR KABANGKALAN ELEM. SCHOOL MULTI-PURPOSE HALL, LOCATED @ SCHOOL SITE, KABANGKAL</t>
  </si>
  <si>
    <t xml:space="preserve"> INVITATION TO BID FOR  Supply and Delivery of Laptops to be Used by  Department of Education 1.	The City Government of Lipa, through the Special Education Fund (SEF) of 2020 intends to apply the sum of   One Hundred Fifteen Million Eight Hundred Thousand </t>
  </si>
  <si>
    <t xml:space="preserve"> The Subic Bay Metropolitan Authority, through the Corporate Budget for the contract approved by the governing board for 2020 intends to apply the sum of Seventy Million Pesos (PHP 70,000,000.00) VAT Exclusive being the Approved Budget for the Contract (AB</t>
  </si>
  <si>
    <t xml:space="preserve"> Construction/Rehabilitation of Water Supply/Septage and Sewerage/Rain Water Collectors include Earthworks; Plain and Reinforced Concrete Work; Finishings and Other Civil Works; and Mechanical.</t>
  </si>
  <si>
    <t xml:space="preserve"> ITEM 	ITEM &amp;  DESCRIPTION	QUANTITY NO.		 1	Portland Cement	155 bags 2	Sand	11 cu.m. 3	Gravel	13 cu.m. 4	4"x8"x16" CHB	396 pcs. 5	10mmØ RSB	220 pcs. 6	12mm x 6.0 m Ø RSB	32 pcs. 7	1/2"x4'x8' Marine Plywood	3 pcs. 8	#16 Tie Wire	24 kgs. 9	2"x4"x8' Good Lumb</t>
  </si>
  <si>
    <t xml:space="preserve"> Purchase of Spare parts and motor vehicles.</t>
  </si>
  <si>
    <t xml:space="preserve"> 1.	The Local Government Unit of Aroroy, through its Annual Budget (MDRRMF) intends to apply the sum of Php 1,000,000.00 being the Approved Budget for the Contract (ABC) to payments under the contract for Riprapping at Government Center (Phase II).  Bids r</t>
  </si>
  <si>
    <t xml:space="preserve"> ALBAY 3RD DISTRICT ENGINEERING OFFICE																										 Paulog, Ligao City																										 																										 																										 INVITATION TO BID																										 																										 																					</t>
  </si>
  <si>
    <t xml:space="preserve"> 14 Units LAPTOP, INTEL CORE i5-7200 to be used for full Implementation of Basic Education for DEPED Rizal Binangonan Sub-Office</t>
  </si>
  <si>
    <t xml:space="preserve"> VILLA SAN JOSE BRGY. GRACEVILLE, CSJDM, BULACAN</t>
  </si>
  <si>
    <t xml:space="preserve"> 1.	The Local Government Unit of Aroroy, through its Annual Budget (MDRRMF) intends to apply the sum of Php 1,000,000.00 being the Approved Budget for the Contract (ABC) to payments under the contract for Riprapping of Ambolong Creek.  Bids received in exc</t>
  </si>
  <si>
    <t xml:space="preserve"> 1.The Brgy.  Buenavista, through the LGSF-DBM intends to apply the sum of One Million Pesos Only (P1,000,000.00) being the Approved Budget for the Contract (ABC) to payments under the contract for Construction of Seawall. Bids received in excess of the AB</t>
  </si>
  <si>
    <t xml:space="preserve"> Project Location: Brgy. Bungro, Pinili, Ilocos Norte Project Description: Improvement of Ogee Dam, retaining wall and grouted riprap. Addition of concrete piers, provision of steel gate with sluice ways and outlet works. Scope of work to be done: Descript</t>
  </si>
  <si>
    <t xml:space="preserve"> INVITATION TO BID  FOR THE Supply and Delivery of Various Drugs and Medicines I.B. No. 2020 - 0023 							 1. The LGU-Cabanatuan City, through the General Fund FY 2020 intends to apply the sum of One Million One Hundred Thirty-Nine Thousand Six Hundred Th</t>
  </si>
  <si>
    <t xml:space="preserve"> Project Location: Brgy. Samac, San Nicolas, Ilocos Norte Project Description: Rehabilitation/Improvement of earth canal to concrete canal lining, excavation and spillway and marker Scope of work to be done: Description	Qty	Unit 1.	Mobilization and Demobil</t>
  </si>
  <si>
    <t xml:space="preserve"> Project Location: Brgy. Nagtrigoan, Pinili, Ilocos Norte Project Description: Construction of slope protection along spillway laying of handlaid riprap at upstream apron of the dam and concrete canal lining Scope of work to be done: Description	Qty	Unit 1</t>
  </si>
  <si>
    <t xml:space="preserve"> Republic of the Philippines Province of Compostela Valley Municipality of Monkayo -o0o- INVITATION TO BID FOR THE PROCUREMENT OF IT EQUIPMENT  The Municipality of Monkayo, through the GENERL FUND intends to apply the sum of TWO HUNDRED THOUSAND PESOS ONLY</t>
  </si>
  <si>
    <t xml:space="preserve"> Removal of Structures and Obstructions  Forms and Scaffolds  Painting Works (Concrete) Painting Works (Metal Painting) Metal Structures</t>
  </si>
  <si>
    <t xml:space="preserve"> Page 1 of 3 INVITATION TO BID FOR THE REPAIR OF POST-HARVEST FACILITIES BUILDING IN NAVAL, BILIRAN Section I Invitation to Bid Page 2 of 3 INVITATION TO BID FOR THE REPAIR OF POST-HARVEST FACILITIES BUILDING IN NAVAL, BILIRAN Republic of the Philippines N</t>
  </si>
  <si>
    <t xml:space="preserve"> PART A- Installation of lighting		 Amglobe 4"	 30.00 	pcs Receptacle Outlet 2"x2"	 30.00 	pcs LeD bulb 90 Watts	 30.00 	pcs G.I.Pipe 1¼	 15.00 	pcs 2.0mm sq. THW Wire	 300.00 	mts 3.5mm sq. THW Wire	 2,000.00 	mts PVC Pipe 20mm	 320.00 	pcs PVC Solvent 20</t>
  </si>
  <si>
    <t xml:space="preserve"> Invitation to Bid for Construction of Drainage Canal  No. 2020-001 1. The Barangay San Juan Accfa, through the Annual Budget 2020(General Fund) Approved by the Sanggunian intends to apply the sum of One Hundred Thirty Thousand Five Hundred Eigthy One Peso</t>
  </si>
  <si>
    <t xml:space="preserve"> ALBAY 3RD DISTRICT ENGINEERING OFFICE																										 Paulog, Ligao City																										 																										 																										 INVITATION TO BID																										 																										 The DPWH - Albay 3rd </t>
  </si>
  <si>
    <t xml:space="preserve"> Improvement of Health Center</t>
  </si>
  <si>
    <t xml:space="preserve"> For use During 2-day Training Orientation on the Salient Features of R.A. 9184</t>
  </si>
  <si>
    <t xml:space="preserve"> Request for Quotation RFQ No.		SVP-016-2020 MR No.		11597 Requisition No. 	TSE-2020-036 Posting Date:         	June 23, 2020 Deadline for Submission:		June 29, 2020 at 9:00 AM Opening Date:	June 29, 2020 at 10:00 AM 	 TO:	Name of Supplier:________________</t>
  </si>
  <si>
    <t xml:space="preserve"> 1 set CCTV system - 6 cameras HDCVI 1080p 1 unit 24" LED TV 2 sets CCTV System - 16 cameras HDCVI - 1080p 1 unit 40" LED TV</t>
  </si>
  <si>
    <t xml:space="preserve"> INVITATION TO RE-BID 1.	The Local Government Unit of Bayombong  - through the GENERAL FUND intends to apply the sum of ONE MILION SIXTY ONE THOUSAND ONE HUNDRED SIXTY EIGHT  PESOS AND 95/100 (P1,061,168.95) being the Approved Budget for the Contract (ABC)</t>
  </si>
  <si>
    <t xml:space="preserve"> 1,000 liters Diesel Fuel 1,000 liters Gasoline</t>
  </si>
  <si>
    <t xml:space="preserve"> Invitation to Bid for The Construction of Community Activity Center (Negotiated) Brgy. Tinindugan, Libertad, Antique The Local Government of Libertad, Antique, through the MDF 2018 intends to apply the sum of Two Million Two Hundred Thousand Pesos (PhP 2,</t>
  </si>
  <si>
    <t xml:space="preserve"> 1.The City of Koronadal Water District, through the Corporate Fund 2020 intends to apply the sum of Four Million Five Hundred Seventy Thousand Seven Hundred Thirty One Pesos (Php 4,570,731.00), being the Approved Budget for the Contract (ABC) to payments </t>
  </si>
  <si>
    <t xml:space="preserve"> Republic of the Philippines City of Lipa  INVITATION TO BID FOR  Supply and Delivery of Tablets to be Used by Department of Education 1.	The City Government of Lipa, through the Special Education Fund (SEF) of 2020 intends to apply the sum of Twenty-Eight</t>
  </si>
  <si>
    <t xml:space="preserve"> Municipality of Looc Invitation to Bid for Construction of Bulacan Birthing Facility 1.	The Municipality of Looc, through the LDF intends to apply the sum of Php 1,800,000.00 being the Approved Budget for the Contract (ABC) to payments under the contract </t>
  </si>
  <si>
    <t xml:space="preserve"> Request for Quotation RFQ No.		SVP-017-2020 MR Nos.		08100, 08097 &amp; 02601 Requisition Nos. 	OD-019-105, OD-019-108 &amp; OD-019-106 Posting Date:         	June 23, 2020 Deadline for Submission:		June 29, 2020 at 9:00 AM Opening Date:	June 29, 2020 at 10:00 AM</t>
  </si>
  <si>
    <t xml:space="preserve"> INVITATION TO BID  FOR THE Supply and Delivery of Laboratory Supplies I.B. No. 2020 - 0026 							 1. The LGU-Cabanatuan City, through the General Fund FY 2020 intends to apply the sum of Two Million Three Hundred Twenty Thousand Three Hundred Ninety Peso</t>
  </si>
  <si>
    <t xml:space="preserve"> INVITATION TO BID  FOR THE Supply and Delivery of Tires and Batteries I.B. No. 2020 - 0027 1.	The LGU - Cabanatuan City, through the General Fund, FY 2020 intends to apply the sum of Seventeen Million Five Hundred Twenty-Six Thousand Seven Hundred Pesos (</t>
  </si>
  <si>
    <t xml:space="preserve"> Republic of the Philippines PROVINCE OF ZAMBOANGA SIBUGAY Municipality of Roseller T. Lim OFFICE OF THE BAC CHAIRMAN Barangay Mabini INVITATION TO BID 						June 22, 2020 To All Interested Bidders: Notice is hereby served that sealed bid be received for p</t>
  </si>
  <si>
    <t xml:space="preserve"> TOTAL MATERIALS = P 40,510.00 LUMP SUM LABOR = P 59,490.00</t>
  </si>
  <si>
    <t xml:space="preserve"> 1.The City of Koronadal Water District, through the Corporate Fund 2020 intends to apply the sum of Two Million One Hundred Nine Thousand Four Hundred Eighty Four Pesos (Php 2,109,484.00), being the Approved Budget for the Contract (ABC) to payments under</t>
  </si>
  <si>
    <t xml:space="preserve"> Republic of the Philippines DEPARTMENT OF PUBLIC WORKS AND HIGHWAYS REGIONAL OFFICE VIII Baras, Palo, Leyte    INVITATION TO BID No. 2020-06-002 June 19, 2020 1.	The Department of Public Works and Highways Regional Office VIII, Baras, Palo, Leyte, through</t>
  </si>
  <si>
    <t xml:space="preserve"> 1.The City of Koronadal Water District, through the Corporate Fund 2020 intends to apply the sum of Two Million Six Hundred Ten Thousand Pesos, (Php 2,610,000.00) only, being the Approved Budget for the Contract (ABC) to payments under the contract for Su</t>
  </si>
  <si>
    <t xml:space="preserve"> Pls see attached</t>
  </si>
  <si>
    <t xml:space="preserve"> Section I. Invitation to Bid SUPPLY OF LABOR, EQUIPMENT AND RESTORATION MATERIALS FOR THE INSTALLATION, TESTING AND COMMISSIONING OF 250MM DIA. TRANSMISSION LINE ALONG AMULUNG SOLANA ROAD, CENTRO, SOLANA, CAGAYAN (CALAMAGUI UPGRADING PHASE 2)  1. The Metr</t>
  </si>
  <si>
    <t xml:space="preserve"> 1.The City of Koronadal Water District, through the Corporate Fund 2020 intends to apply the sum of One Million Four Hundred Thousand Pesos (Php 1,400,000.00) only, being the Approved Budget for the Contract (ABC) to payments under the contract for Supply</t>
  </si>
  <si>
    <t xml:space="preserve"> Page 1 of 3 Invitation to Bid 20GFC0011-15 Republic of the Philippines DEPARTMENT OF PUBLIC WORKS AND HIGHWAYS CAMARINES NORTE DISTRICT ENGINEERING OFFICE REGIONAL OFFICE V Daet, Camarines Norte INVITATION TO BID The Department of Public Works and Highway</t>
  </si>
  <si>
    <t xml:space="preserve"> INVITATION TO BID   Hire of Vehicle for Various DSWD-CAR Activities to All Provinces of Cordillera Administrative Region (CAR) from August to December 2020   (ITB 2020-DSWD-CAR-16) 1.	The Department of Social Welfare and Development - Cordillera Administr</t>
  </si>
  <si>
    <t xml:space="preserve"> Request for Quotation RFQ No.		SVP-020-2020 MR. No.		10754 Requisition No.	CORPLAN.06.13.2020 Posting Date:         	June 23, 2020 Deadline for Submission:		June 29, 2020 at 9:00 AM Opening Date:	June 29, 2020 at 10:00 AM TO:	Name of Supplier:____________</t>
  </si>
  <si>
    <t xml:space="preserve"> Section I. Invitation to Bid SUPPLY OF LABOR, EQUIPMENT AND RESTORATION MATERIALS FOR THE INSTALLATION, TESTING AND COMMISSIONING OF 250MM DIA. TRANSMISSION LINE ALONG AMULUNG SOLANA ROAD, BASI, SOLANA, CAGAYAN (CALAMAGUI UPGRADING PHASE 3) 1.	The Metropo</t>
  </si>
  <si>
    <t xml:space="preserve"> Dumping Fee for 7,142 (m3) of Municipal Waste</t>
  </si>
  <si>
    <t xml:space="preserve"> Purchase of Office Equipment Supplies and Consumables for admin and faculty use.</t>
  </si>
  <si>
    <t xml:space="preserve"> Republic of the Philippines Province of Northern Samar MUNICIPALITY OF LOPE DE VEGA Lope De Vega, Northern Samar Invitation to Bid CONSTRUCTION OF MRF Barangay Bonifacio, Lope De Vega, Northern Samar  The Local Government Unit – Lope De Vega, Northern Sam</t>
  </si>
  <si>
    <t xml:space="preserve"> Republic of the Philippines Province of Northern Samar MUNICIPALITY OF LOPE DE VEGA Lope De Vega, Northern Samar Invitation to Bid PROCUREMENT OF MATERIALS FOR THE CONSTRUCTION OF 26 UNITS SANITARY LATRINE Barangay Bonifacio, Lope De Vega, Northern Samar </t>
  </si>
  <si>
    <t xml:space="preserve"> 1.The City of Koronadal Water District, through the Corporate Fund 2020 intends to apply the sum indicated below being the Approved Budget for the Contract (ABC) as payment for the 1st year only to the PROVISION OF TWO-YEAR CONTRACT SECURITY SERVICES. Bid</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</si>
  <si>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</si>
  <si>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PURCHASE OF THREE DIGITAL DUPLICATORS (RISOGRAPHING MACHINES) FOR DEPED SIKATUNA</t>
  </si>
  <si>
    <t xml:space="preserve"> Republic of the Philippines Province of Northern Samar MUNICIPALITY OF LOPE DE VEGA Lope De Vega, Northern Samar Invitation to Bid REHABILITATION OF WATER SYSTEM Barangay Bonifacio, Lope De Vega, Northern Samar  The Local Government Unit – Lope De Vega, N</t>
  </si>
  <si>
    <t xml:space="preserve"> INVITATION TO BID FOR THE REBIDDING ON THE PROVISION OF LABOR, MATERIALS, EQUIPMENT AND OTHER INCIDENTALS NEEDED FOR THE IMPROVEMENT OF NAGPATPATAN CANAL LINING AT BRGY. NAGPATPATAN, SOLSONA, ILOCOS NORTE 1.	The Department of Agriculture Regional Field Of</t>
  </si>
  <si>
    <t xml:space="preserve"> INVITATION TO BID: 1.  Project Title:  Supply, Delivery and Installation of Air Conditioning Units Lot 1: Window Type Air Conditioning Units Lot 2: Split Type Air Conditioning Units 2.  Approved Budget for the Contract:  Php 2,060,000.00 Lot 1: 768,000.00</t>
  </si>
  <si>
    <t xml:space="preserve"> Request for Quotation RFQ No.		SVP-019-2020 MR. No.		10320 Posting Date:         	June 23, 2020 Deadline for Submission:		June 29, 2020 at 9:00 AM Opening Date:	June 29, 2020 at 10:00 AM TO:	Name of Supplier:_______________________ 	Address:______________</t>
  </si>
  <si>
    <t xml:space="preserve"> Engine Type: Mono-cylindric, forced air cooled,2 stroke engine, Max HP:4.6HP, Air Filter: Dry Type, paper element, Ignition System: Electronic, Starter System: Auto Retractable, Fuel Tank Capacity:2L, Product Mix Capacity:6L, Flow Rate, Max: 2.5L/Min, Hor</t>
  </si>
  <si>
    <t xml:space="preserve"> Request for Quotation RFQ No.		SVP-018-2020 MR No.		11588 Requisition No. 	TSE-2020-032 Posting Date:         	June 23, 2020 Deadline for Submission:		June 29, 2020 at 9:00 AM Opening Date:	June 29, 2020 at 10:00 AM 	 TO:	Name of Supplier:________________</t>
  </si>
  <si>
    <t xml:space="preserve"> DENR-ENVIRONMENTAL MANAGEMENT BUREAU R3 INVITES ELIGIBLE SUPPLIERS TO QUOTE ON THE FF.: PROCUREMENT OF ONE (1) LOT PROFESSIONAL/ CONSULTING SERVICE FOR THE CONDUCT OF WATER POLLUTION LOAD ASSESSMENT FOR SEVEN (7) RIVERS IN REGION III REQUEST FOR EXPRESSIO</t>
  </si>
  <si>
    <t xml:space="preserve"> INVITATION TO BID FOR THE PROCUREMENT OF SUPPLY AND INSTALLATION OF VARIOUS EQUIPMENT AND FACILITIES The LOCAL WATER UTILITIES ADMINISTRATION has received a Loan from the Asian Development Bank toward the cost of the Water District Development Sector Proj</t>
  </si>
  <si>
    <t xml:space="preserve"> bottle		Ascorbic acid 100 mg/5 ml syrup, 60 ml/bottle			72	 box		Ascorbic acid 500 mg tablet, 100 tablets/bottle			10	 bottle		Multivitamins drops, 15 ml/bottle			40	 bottle		Multivitamins syrup, 60 ml/bottle			72	 box		Multivitamis capsule, 100 capsule/b</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</si>
  <si>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</si>
  <si>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</si>
  <si>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</si>
  <si>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INVITATION TO BID FOR Procurement of Various PPE and Laparatomy Packs for COVID-19 Patients Use IB NO: 2020-021 The Western Visayas Medical Center, through Agency Fund-GAA/SAA, in the amount of Two Million Seven Hundred Twenty Six Thousand Five Hundred Pe</t>
  </si>
  <si>
    <t xml:space="preserve"> The DPWH – Bulacan First District Engineering Office, through its Bids and Awards Committee (BAC), invites contractors to submit bids for the following Contract: Contract ID: 20CC0255 Contract Name: Construction of three storey six classroom – Batia Eleme</t>
  </si>
  <si>
    <t xml:space="preserve"> The DPWH – Bulacan First District Engineering Office, through its Bids and Awards Committee (BAC), invites contractors to submit bids for the following Contract: Contract ID: 20CC0199 Contract Name: Construction of Flood Control Structure along Bocaue Riv</t>
  </si>
  <si>
    <t xml:space="preserve"> The DPWH – Bulacan First District Engineering Office, through its Bids and Awards Committee (BAC), invites contractors to submit bids for the following Contract: Contract ID: 20CC0170 Contract Name: Upgrading of Barangay Road, Brgy. Sta. Ines Contract Loc</t>
  </si>
  <si>
    <t xml:space="preserve"> Republic of the Philippines PROVINCE OF ZAMBALES IBA BIDS AND AWARDS COMMITTEE Invitation to Bid for the Package III: Construction of Multi-Purpose Hall, Barangay Balincaguing, San Felipe and Concreting of Purok 1 and 2, Barangay Paite, San Narciso 1.	The</t>
  </si>
  <si>
    <t xml:space="preserve"> Purchase request submitted by Rimmon T. Armones ABC is Php 100,000.00</t>
  </si>
  <si>
    <t xml:space="preserve"> INVITATION TO BID FOR  Procurement of Ambulance 1.	The Municipal Government of Cavinti, Laguna, through the DOE Electrification Fund intends to apply the sum of One Million Nine Hundred Ten Thousand  Pesos Only (Php 1,910,000.00) being the Approved Budget</t>
  </si>
  <si>
    <t xml:space="preserve"> The DPWH – Bulacan First District Engineering Office, through its Bids and Awards Committee (BAC), invites contractors to submit bids for the following Contract: Contract ID: 20CC0256 Contract Name: Concreting of Brgy. Tarcan FMR Contract Location: Brgy. </t>
  </si>
  <si>
    <t xml:space="preserve"> fb type vehicle  Engine : 2.2 diesel engine  with spare tire  Registration with insurance  with tire wrench and jack  Brandnew</t>
  </si>
  <si>
    <t xml:space="preserve"> MINI DUMP TRUCK Engine Type:   4-cylinder,In-line, 4-stroke,water cooled,direct injection,intercooler turbo,VE Pump                          Engine Displacement:     2.771cc;  Rated Power(kW/rpm:    76KW/3600RPM Horse Power:                   103PS:  ; Ma</t>
  </si>
  <si>
    <t xml:space="preserve"> Invitation to Bid for the Construction of Brgy. S.M.H. Multi-Purpose Hall 1.	The Local Government Unit of Laoang, through the General Fund component of the SB approved Municipal Budget   intends to apply the sum of One Million Five Hundred Forty Three Tho</t>
  </si>
  <si>
    <t xml:space="preserve"> Republic of the Philippines DEPARTMENT OF PUBLIC WORKS AND HIGHWAYS BATANGAS II  DISTRICT ENGINEERING OFFICE REGIONAL OFFICE IV-A Kumintang Ilaya, Batangas City INVITATION TO BID For Concreting of Brgy. San Vicente FMR, Brgy. San Vicente, Bauan, Batangas </t>
  </si>
  <si>
    <t xml:space="preserve"> 1 1 /2 x 100 ft fire hose with brass coupling ( double jacket ) 4 pcs  1 1/2 x 50 ft fire hose with brass coupling double jacket 2 pcs  40mm pistol grip nozzle QLD6.0 mpa regulating range 2.5- 5 5-6-5-8L/ sec Range :3.3m 1 pc  Fireman suit with complete a</t>
  </si>
  <si>
    <t xml:space="preserve"> The DPWH-North Manila District Engineering Office, through its Bids and Awards Committee (BAC) for Goods, invites Suppliers to submit bids for the following Contract: 1.	Contract I.D. No: 20GOE0013 Contract Name 	: Procurement / Acquisition of Portable We</t>
  </si>
  <si>
    <t xml:space="preserve"> Republic of the Philippines DEPARTMENT OF PUBLIC WORKS AND HIGHWAYS BATANGAS II  DISTRICT ENGINEERING OFFICE REGIONAL OFFICE IV-A Kumintang Ilaya, Batangas City INVITATION TO BID For Concreting of Brgy. San Jose Sico FMR, Brgy. San Jose Sico, Batangas Cit</t>
  </si>
  <si>
    <t xml:space="preserve"> INVITATION TO BID FOR  Procurement of Dump Truck 1.	The Municipal Government of Cavinti, Laguna, through the DOE Electrification Fund intends to apply the sum of Three Million Nine Hundred Seventy  Thousand  Pesos Only (Php 3,970,000.00) being the Approve</t>
  </si>
  <si>
    <t xml:space="preserve"> 1.	The Department of Social Welfare and Development (DSWD), through the DSWD Funds, intends to apply the sum of Four Million Two Hundred Thousand Pesos (PHP 4,200,000.00), being the Approved Budget for the Contract (ABC) to payments under the contract for</t>
  </si>
  <si>
    <t xml:space="preserve"> 1.	The Department of Social Welfare and Development (DSWD), through the Administrative Service – Building and Grounds Management Division (AS-BGMD) -  Department of Social Welfare and Development Funds, intends to apply the sum of One Million Three Hundre</t>
  </si>
  <si>
    <t xml:space="preserve"> REQUEST FOR EXPRESSION OF INTEREST    DESIGN AND DEVELOPMENT OF THE INTRAMUROS ADMINISTRATION INTEGRATED INFORMATION SYSTEM Project No. 2020-01 1.	The INTRAMUROS ADMINISTRATION, through the General Appropriations Act of CY 2020 intends to apply the sum of</t>
  </si>
  <si>
    <t xml:space="preserve"> Republic of the Philippines DEPARTMENT OF PUBLIC WORKS AND HIGHWAYS BATANGAS II  DISTRICT ENGINEERING OFFICE REGIONAL OFFICE IV-A Kumintang Ilaya, Batangas City INVITATION TO BID For Concreting of Brgy. Tulo FMR, Brgy. Tulo, Batangas City, Batangas 1.	The</t>
  </si>
  <si>
    <t xml:space="preserve"> Office Supplies for Learners Module  173 ream Bond Paper A4 Size   2 pcs Printer 3 in 1 10 bottle ink Black 9 Bottle ink colored</t>
  </si>
  <si>
    <t xml:space="preserve"> Livelihood Assistance to Tricycle Drivers</t>
  </si>
  <si>
    <t xml:space="preserve"> Republic of the Philippines MUNICIPALITY OF BUNAWAN, AGUSAN DEL SUR Invitation to Bid/ Instruction to Bidders CONSTRUCTION OF PROPOSED SLAUGHTERHOUSE – SAN TEODORO June 23, 2020 1.	The Municipality of Bunawan, now invite bids for Construction of Proposed </t>
  </si>
  <si>
    <t xml:space="preserve"> Invitation to Bid for the  Construction of Concrete Bridge  (2.0m x 40.0 ln.m. bridge with railings, 2.0m x 6.0 ln.m. x 0.15 thick PCCP  extended along the concrete bridge) Barangay Gibatangan, Laoang, N. Samar  1.	The Local Government Unit of Laoang, thr</t>
  </si>
  <si>
    <t xml:space="preserve"> Livelihood Assistance to Farmers in the form of Fertilizer</t>
  </si>
  <si>
    <t xml:space="preserve"> SCOPE OF WORK: CLEARING AND GRUBBING, STRUCTURAL EXCAVATION, REINFORCING STEEL BARS, FORMWORKS, STRUCTURAL CONCRETE</t>
  </si>
  <si>
    <t xml:space="preserve"> Rehabilitation of Local Access Road, Subec, Sta. Catalina, Ilocos Sur</t>
  </si>
  <si>
    <t xml:space="preserve"> Republic of the Philippines Bangsamoro Autonomous Region in Muslim Mindanao Provincial Government of Maguindanao BIDS AND AWARDS COMMITTEE INVITATION TO BID FOR CONSTRUCTION OF MULTI PURPOSE BUILDING – BRGY. NARRA 1. The Provincial Government of Maguindan</t>
  </si>
  <si>
    <t xml:space="preserve"> Construction of Sanitary Toilet &amp; Hygiene Facility, Poblacion, Sta. Catalina, Ilocos Sur</t>
  </si>
  <si>
    <t xml:space="preserve"> Republic of the Philippines Bangsamoro Autonomous Region in Muslim Mindanao Provincial Government of Maguindanao BIDS AND AWARDS COMMITTEE INVITATION TO BID FOR CONSTRUCTION OF MULTI PURPOSE BUILDING – BRGY. LADIA 1. The Provincial Government of Maguindan</t>
  </si>
  <si>
    <t xml:space="preserve"> Republic of the Philippines Bangsamoro Autonomous Region in Muslim Mindanao Provincial Government of Maguindanao BIDS AND AWARDS COMMITTEE INVITATION TO BID FOR CONSTRUCTION OF MULTI PURPOSE BUILDING – BRGY. BANATIN 1. The Provincial Government of Maguind</t>
  </si>
  <si>
    <t xml:space="preserve"> Construction of Water Tank located at Sitio lower Malubog , Cebu City Amount 514,000.00</t>
  </si>
  <si>
    <t xml:space="preserve"> Construction of Sheet Pile/Galvanized Iron Pipe Foot Bridge. See Program of Works, Structural Drawings and Bill of Quantities upon payment of bidding documents Minimum Required Equipment: 1. Welding Machine 2. Cut-off Machine 3. Backhoe 4. Dump Truck 5. 1</t>
  </si>
  <si>
    <t xml:space="preserve"> Republic of the Philippines Province of Iloilo Municipality of Carles BARANGAY ABONG INVITATION TO BID 1.0 The Barangay Local Government Unit of Abong, Carles, Province of Iloilo through its Grant from the Office of the Provincial Governor intends to appl</t>
  </si>
  <si>
    <t xml:space="preserve"> Republic of the Philippines Bangsamoro Autonomous Region in Muslim Mindanao Provincial Government of Maguindanao BIDS AND AWARDS COMMITTEE INVITATION TO BID FOR CONSTRUCTION OF MULTI PURPOSE BUILDING – BRGY. DARUGAO 1. The Provincial Government of Maguind</t>
  </si>
  <si>
    <t xml:space="preserve"> Republic of the Philippines Bangsamoro Autonomous Region in Muslim Mindanao Provincial Government of Maguindanao BIDS AND AWARDS COMMITTEE INVITATION TO BID FOR CONSTRUCTION OF MULTI PURPOSE BUILDING – BRGY. BUGCASAN NORTE 1. The Provincial Government of </t>
  </si>
  <si>
    <t xml:space="preserve"> Republic of the Philippines Bangsamoro Autonomous Region in Muslim Mindanao Provincial Government of Maguindanao BIDS AND AWARDS COMMITTEE INVITATION TO BID FOR CONSTRUCTION OF MULTI PURPOSE BUILDING – BRGY. MATAYA 1. The Provincial Government of Maguinda</t>
  </si>
  <si>
    <t xml:space="preserve"> Republic of the Philippines Bangsamoro Autonomous Region in Muslim Mindanao Provincial Government of Maguindanao BIDS AND AWARDS COMMITTEE INVITATION TO BID FOR CONSTRUCTION OF MULTI PURPOSE BUILDING – BRGY. SAPAD 1. The Provincial Government of Maguindan</t>
  </si>
  <si>
    <t xml:space="preserve"> Republic of the Philippines Bangsamoro Autonomous Region in Muslim Mindanao Provincial Government of Maguindanao BIDS AND AWARDS COMMITTEE INVITATION TO BID FOR CONSTRUCTION OF MULTI PURPOSE BUILDING – BRGY. GANG 1. The Provincial Government of Maguindana</t>
  </si>
  <si>
    <t xml:space="preserve"> SCOPE OF WORK: CLEARING AND GRUBBING, SUBGRADE PREPARATION, AGGREGATE BASE COARSE, PCCP, EMBANKMENT, STONE MASONRY</t>
  </si>
  <si>
    <t xml:space="preserve"> Republic of the Philippines Department of Health WESTERN VISAYAS SANITARIUM Santa Barbara, Iloilo INVITATION TO BID FOR Procurement of Various Drugs and Medicines IB No. 2020-06-011-G The Western Visayas Sanitarium, through its Bids and Awards Committee (</t>
  </si>
  <si>
    <t xml:space="preserve"> Republic of the Philippines Bangsamoro Autonomous Region in Muslim Mindanao Provincial Government of Maguindanao BIDS AND AWARDS COMMITTEE INVITATION TO BID FOR CONSTRUCTION OF MULTI PURPOSE BUILDING – BRGY. NANGI 1. The Provincial Government of Maguindan</t>
  </si>
  <si>
    <t xml:space="preserve"> SCOPE OF WORK: CLEARING AND GRUBBING, STRUCTURAL EXCAVATION, REINFORCING STEEL BARS, FORMWORKS, STRUCTURAL CONCRETE, STONE MASONRY</t>
  </si>
  <si>
    <t xml:space="preserve"> Republic of the Philippines Bangsamoro Autonomous Region in Muslim Mindanao Provincial Government of Maguindanao BIDS AND AWARDS COMMITTEE INVITATION TO BID FOR CONSTRUCTION OF MULTI PURPOSE BUILDING – BRGY. CENTRAL LANGCONG 1. The Provincial Government o</t>
  </si>
  <si>
    <t xml:space="preserve"> Republic of the Philippines Bangsamoro Autonomous Region in Muslim Mindanao Provincial Government of Maguindanao BIDS AND AWARDS COMMITTEE INVITATION TO BID FOR CONSTRUCTION OF MULTI PURPOSE BUILDING – BRGY. MINABAY 1. The Provincial Government of Maguind</t>
  </si>
  <si>
    <t xml:space="preserve"> Republic of the Philippines Bangsamoro Autonomous Region in Muslim Mindanao Provincial Government of Maguindanao BIDS AND AWARDS COMMITTEE INVITATION TO BID FOR CONSTRUCTION OF MULTI PURPOSE BUILDING – BRGY. CROSSING SIMUAY 1. The Provincial Government of</t>
  </si>
  <si>
    <t xml:space="preserve"> NEGOTIATED PROCUREMENT  FOR THE  Fabrication and Delivery of  Prisoner’s Vehicle (PR-2020-9999-0185) 1.	  In view of the two (2) failed biddings, the City Government of Mandaue invites interested bidders to participate in the negotiation for Fabrication a</t>
  </si>
  <si>
    <t xml:space="preserve"> SPECIFICATIONS: Type: 4 Cylinder, 16 Valve DOHC Variable, Nozzle Turbo with Front Mounted Intercooler Displacement: 2,390cc - 2,400cc Max. Output: 140-150/3,400-3,500hp/rpm Transmission: 5 Speed Manual Fuel/Fuel System: Diesel/Direct Injection Common Rail</t>
  </si>
  <si>
    <t xml:space="preserve"> This project involves the improvement of 108 lnm cable bridge at barangay Mabongto, Lubuagan. SCOPE OF WORKS ARE AS FOLLOWS: DEMOLITION OF WORKS PROJECT LAY-OUT PORTAL "A" (EXCAVATION FOR STRUCTURES, EMBANKMENT, rsb, STRUCTURAL CONCRETE, FORMWORKS) DEADMA</t>
  </si>
  <si>
    <t xml:space="preserve"> INVITATION TO BID No. IB-2020-VII-13-01 The Municipality of Sibalom through its Bids &amp; Awards Committee (BAC), invites bidders/contractors to apply for eligibility and to bid for the hereunder project: Project           	 		:	Office Supplies Inks  &amp; Toner</t>
  </si>
  <si>
    <t xml:space="preserve"> Invitation to Bid REPAIRS OF THE INFORMATION TECHNOLOGY (FELIPE AGONCILLO) BLDG., ORGANIC CENTER (MRF BLDG.) AND 2-STOREY LABORATORY (PEDRO PATERNO) BLDG.  AT OMSC LABANGAN DAMAGED BY TYPHOON URSULA (B-8661-20-13) 1.	The OCCIDENTAL MINDORO STATE COLLEGE (</t>
  </si>
  <si>
    <t xml:space="preserve"> 1 pc. Korg Kross Organ (kross-61) 1 set Cymbals (1 ride, 1 crash, 1 set hi hat/clappers) 1 pc. Camera EOS 200D II         SPECIFICATION:               Approx. 122.4mm x 92.6mm x 69.8mm               24.1 megapixel APS-C CMOS sensor               Wi-fi / B</t>
  </si>
  <si>
    <t xml:space="preserve"> Improvement/Upgrading of FMR 146.38 l.m. x 5m. x 0.23m thk. and other scope of works to be done</t>
  </si>
  <si>
    <t xml:space="preserve"> Republic of the Philippines Region XII Province of Cotabato City of Kidapawan OFFICE OF THE BIDS AND AWARD COMMITTEE                                June 22, 2020 INVITATION TO BID FOR  SUPPLY AND DELIVERY OF DUMP TRUCKS FOR THE USE OF THE CITY GOVERNMENT </t>
  </si>
  <si>
    <t xml:space="preserve"> Republic of the Philippines Region XII Province of Cotabato City of Kidapawan OFFICE OF THE BIDS AND AWARD COMMITTEE                              June 22, 2020 INVITATION TO BID FOR  SUPPLY AND DELIVERY OF HEAVY EQUIPMENT FOR THE USE OF THE CITY GOVERNMEN</t>
  </si>
  <si>
    <t xml:space="preserve"> Contract ID No.	: 20K00352     Contract Name	: Reconstruction/ Rehabilitation of Bridge along Barangay Road at Kurmatan Matampay     Contract Location	: Lanao del Sur     Scope of Work	: Reconst./Rehab. of Bridge     Appropriation		: Php. 40,000,000.00   </t>
  </si>
  <si>
    <t xml:space="preserve"> 1 unit Brand New Combined Rice Harvester SPECIFICATIONS: Engine: Water Cooled, 4 Cycle, 4 Cylinder, Vertical Diesel Engine (with turbo charger) Displacement: 2.430-2.450 liters Output: 50-51kw at 2,650-2,700rpm Fuel Capacity: 80-90 liters Travel Section: </t>
  </si>
  <si>
    <t xml:space="preserve"> SPECIFICATIONS: Model &amp; Type: 2.5-liter 4 In-line DOHC 16 Valve Variable Turbocharged Diesel Engine Displacement: 2,450cc – 2,500cc Max. Power: 125 to 130hp/3,200 to 3,500rpm Max Torque: 350 to 360 N-m/1,350 to 2,000rpm Fuel System: Common Rail Direct Inj</t>
  </si>
  <si>
    <t xml:space="preserve"> Republic of the Philippines Department of the Interior and Local Government BUREAU OF FIRE PROTECTION 10 OFFICE OF THE REGIONAL DIRECTOR Maharlika Bldg., Gumamela Extn. Carmen, Cagayan de Oro City Tel/Fax No. (088) 880-7534 Email Add: bfprbac10@yahoo.com </t>
  </si>
  <si>
    <t xml:space="preserve"> INVITATION FOR NEGOTIATED PROCUREMENT FOR THE FOLLOWING INFRASTRUCTURE PROJECTS: 1.	In View of the two failed biddings, the Department of Health Center for Health Development I, through the Continuing Appropriations (CONAP) 2019 invites interested bidders</t>
  </si>
  <si>
    <t xml:space="preserve"> Contract ID No.	: 20K00353     Contract Name	: Construction of 2-Lane PCCP Pantar (Lanao del Norte)-Marawi City (Lanao del Sur) Road     Contract Location	: Lanao del Sur     Scope of Work	: Const. of Conc. Road     Appropriation		: Php. 221,926,429.00   </t>
  </si>
  <si>
    <t xml:space="preserve"> INVITATION TO BID No. IB-2020-VII-13-02 The Municipality of Sibalom through its Bids &amp; Awards Committee (BAC), invites bidders/contractors to apply for eligibility and to bid for the hereunder project: Project           	 	:	 Farm to Market Road (Various </t>
  </si>
  <si>
    <t xml:space="preserve"> Barangay Road Gravelling from Sitio Malunay going to Sitio Sumonop, Dawa, Josefina, ZDS</t>
  </si>
  <si>
    <t xml:space="preserve"> 1.	The City Government of Sipalay, through the 2020 Budget Appropriation approved by the Sanggunian Panlungsod intends to apply the sum of Three Million Six Hundred Thirty Thousand Pesos (P 3,630,000.00) only being the Approved Budget for the Contract (AB</t>
  </si>
  <si>
    <t xml:space="preserve"> For Medicines</t>
  </si>
  <si>
    <t xml:space="preserve"> Republic of the Philippines Province of Quezon MUNICIPALITY OF UNISAN Invitation to Bid for CONSTRUCTION/REHABILITATION OF CONCRETE PAVEMENT, BRGY. LAPU-LAPU, UNISAN, QUEZON 1.	The LOCAL GOVERNMENT UNIT OF UNISAN, QUEZON, through the 20% MDF CY 2020 inten</t>
  </si>
  <si>
    <t xml:space="preserve"> 1	unit	Multi Cultivator Machine 		Engine 10 hp 		Air Cooled Four stroke 		Transmission: Gear Type 		2 Forward &amp; 2 Reverse (high &amp; low) 		Implement &amp; Accessories 		One Pair Iron Wheel 		One Pair Deep Tilling Knives 		One Piece Deep Trench forming Knife</t>
  </si>
  <si>
    <t xml:space="preserve"> 2	units	Power Tiller 		Engine 10 hp 		Air Cooled Four stroke 		Transmission: Gear Type 		2 Forward &amp; 2 Reverse (high &amp; low) 2	units	STW Motor 5HP</t>
  </si>
  <si>
    <t xml:space="preserve"> Package 1 of 1: Supply of Services and Materials for the Printing and Delivery of 2021 DCWD Wall Calendars - 240,000 sets Medium Size (17" x 22”) and 10,000 sets Large Size (22” x 34")</t>
  </si>
  <si>
    <t xml:space="preserve"> for Spare Parts for Various Vehicles</t>
  </si>
  <si>
    <t xml:space="preserve"> Department of Education Region VI-Western Visayas Division of Cadiz City Mabini National High School INVITATION TO BID FOR PROCUREMENT OF INTERNET LOAD MNHS-SHS 2020 1.	The Mabini National High School  of Cadiz City, through the Schools MOOE Fund CY 2020 </t>
  </si>
  <si>
    <t xml:space="preserve"> Republic of the Philippines Bangsamoro Autonomous Region in Muslim Mindanao Provincial Government of Maguindanao BIDS AND AWARDS COMMITTEE INVITATION TO BID FOR OPENING OF FARM TO MARKET ROAD AT BRGY. PINGGUIAMAN 1. The Provincial Government of Maguindana</t>
  </si>
  <si>
    <t xml:space="preserve"> Republic of the Philippines Region XII Province of Cotabato City of Kidapawan OFFICE OF THE BIDS AND AWARD COMMITTEE                               June 22, 2020 INVITATION TO BID FOR  PURCHASE OF HEAVY EQUIPMENT FOR THE LIVE STOCK DEVELOPMENT OF CITY GOVE</t>
  </si>
  <si>
    <t xml:space="preserve"> this project consist of delivery of materials, construction projects and other scope of work based on program of work and detailed engineering design</t>
  </si>
  <si>
    <t xml:space="preserve"> 1315	bags	Certified Seeds</t>
  </si>
  <si>
    <t xml:space="preserve"> INVITATION TO BID 1.	The Bangko Sentral ng Pilipinas (BSP), through its Bids and Awards Committee-Security Plant Complex (BAC-SPC), invites Bidders to apply for eligibility and to bid for the hereunder requirements: Name of Requirement/Brief Description	A</t>
  </si>
  <si>
    <t xml:space="preserve"> 1.	The Municipal Government of El Nido, through the Supplemental Budget No.3-Fertilizer Subsidy To Farmers Non-Office intends to apply the sum of Four Million Four Hundred Sixteen Thousand Pesos (₱ 4,416,000.00) being the Approved Budget for the Contract </t>
  </si>
  <si>
    <t xml:space="preserve"> 6	boxes Sterile Gloves 50	boxes Non-Sterile Gloves 50	bot	70% Isoprophyl Alcohol  10	bot	Laundry Bleach 1 li 10	bot	Disinfectant Concentrate 500 ml 10	can	Disinfectant  Spray 20	kls	Detergent Powder 10	bar	Hand Soap  10	bot	Hand Sanitizer 10	roll	Cotton 4</t>
  </si>
  <si>
    <t xml:space="preserve"> Republic of the Philippines Region XII Province of Cotabato Municipality of Antipas Barangay Luhong  BIDS AND AWARDS COMMITTEE INVITATION TO BID FOR MOBILE RICE MILL 1.	The Barangay Local Government Unit of Luhong, through the KC PAMANA IP-CDD, 2017 inten</t>
  </si>
  <si>
    <t xml:space="preserve"> COMMITTEE IDENTIFICATION MULTI COLOR POLO SHIRT WITH PRINT (BARANGAY COMMITTEE/ SITIO MEMBERS)</t>
  </si>
  <si>
    <t xml:space="preserve"> Gigabit Passive Optical Network (GPON) 1 1 set 16 Ports GPON Optical Line Terminal (OLT) open platfform and compatible with any brand of ONU or ONT with web management interface and telnet/CLI management standard 19 inches rack mount size with 4 1GE (SFP)</t>
  </si>
  <si>
    <t xml:space="preserve"> Republic of the Philippines Province of Masbate MUNICIPALITY OF CATAINGAN BARANGAY GAHIT   			                                                                                              JUNE 22, 2020 INVITATION TO APPLY FOR ELIGIBILITY AND TO BID The BA</t>
  </si>
  <si>
    <t xml:space="preserve"> SET OF RAINCOATS AND BOOTS / TRUNCHEON/ STICK</t>
  </si>
  <si>
    <t xml:space="preserve"> FIRE EXTINGUISHERS AND REFILL OF EMPTY FIRE EXTINGUISHERS</t>
  </si>
  <si>
    <t xml:space="preserve"> 1.	The Western Visayas Medical Center, through the Regular Fund and Collection of Income, intends to apply the sum of PhP 3,875,000.00 Philippine Currency being the Approved Budget for the Contract (ABC) to payments under the contract for IB No. GS 2020-0</t>
  </si>
  <si>
    <t xml:space="preserve"> 2 PERSONAL COMPUTER WITH ACCESSORIES AND PRINTER</t>
  </si>
  <si>
    <t xml:space="preserve"> 230	box	Paracetamol 500 mgs/tab (100's) 700	bot	Paracetamol 250mgs/5ml syrup (60ml) 500	bot	Paracetamol 100mgs/ml drops (15 ml) 250	bot	Paracetamol 125mgs/5ml syrup (60ml) 70	box	Amoxicillin 500mgs/cap. (100's) 36	box	Amoxicillin 250mgs/cap (100's) 600	bo</t>
  </si>
  <si>
    <t xml:space="preserve"> CCTV CAMERA WITH ACCESSORIES AND INSTALLATION INCLUDED</t>
  </si>
  <si>
    <t xml:space="preserve"> 1	unit	Air Cooled Compact Fire 		Fighting Pump Specification: DIMENSION (mm): 731 x 652 x 709 DRY WEIGHT (kg): 85 PUMP TYPE: High Pressure One Stage Turbine Pump ENGINE TYPE: Water Cooled Two-Cycle Gasoline Engine COOLING SYSTEM: WATER COOLED TYPE NO OF C</t>
  </si>
  <si>
    <t xml:space="preserve"> LAPTOP COMPUTER WITH ACCESSORIES AND PRINTER</t>
  </si>
  <si>
    <t xml:space="preserve"> PLANTS IN A POT AND STEEL MATTING FRAME</t>
  </si>
  <si>
    <t xml:space="preserve"> Republic of the Philippines                   Department of Health	       CENTRAL OFFICE BIDS AND AWARDS COMMITTEE  INVITATION TO BID FOR THE  PROCUREMENT OF HIV RAPID DIAGNOSTIC TEST-2   (FOR rHIVda CONFIRMATION) RE-BID IB NO. 2020-208-A 1.	The Departmen</t>
  </si>
  <si>
    <t xml:space="preserve"> Department of Education Region VI-Western Visayas Division of Cadiz City Mabini National High School NOTICE FOR NEGOTIATED PROCUREMENT OF INTERNET MODEM 2020 1.	Mabini National High School, Division of Cadiz City, through the Schools MOOE and HRTD Fund CY</t>
  </si>
  <si>
    <t xml:space="preserve"> 1. 12 bxs. Nylon Suture 3-0 18”  45cm 26mm PS 24’s Polyamide 6, Blue Monofilament non-absorbable 2. 6 bxs. Nylon Suture 4-0 18”  45cm 19mm PS-2 24’s Polyamide 6, Blue Monofilament non-absorbable 3. 2 bxs. Polypropylene 2-0 36”  90cm 26mm SH 36’s Blue M</t>
  </si>
  <si>
    <t xml:space="preserve"> Supply and delivery of various materials for the Proposed Improvement of Day Care Center, Brgy. San Antonio, San Enrique, Iloilo. Approved Budget for the Contract: Php. 82,100.00 Source of Fund: 20% Development Fund</t>
  </si>
  <si>
    <t xml:space="preserve"> Republic of the Philippines Region X PROVINCE OF LANAO DEL NORTE Municipality of Linamon -oOo- BIDS AND AWARDS COMMITTEE (BAC) INVITATION TO BID FOR SUPPLY AND DELIVERY OF CONSTRUCTION MATERIALS FOR THE PROPOSED ROAD CONCRETING (PHASE 1) AT POBLACION, LIN</t>
  </si>
  <si>
    <t xml:space="preserve"> Republic of the Philippines PROVINCE OF NUEVA VIZCAYA Municipality of Alfonso Castañeda  BIDS AND AWARDS COMMITTEE FOR INFRASTRUCTURE PROJECTS COMPLETION OF ALFONSO CASTAÑEDA RURAL HEALTH UNIT BUILDING 1.	The Local Government of Alfonso Castañeda, throu</t>
  </si>
  <si>
    <t xml:space="preserve"> 1. 1 unit Brand new Tractor Head, 6x4 10 wheeler, 4 cycle vertical 6 cylinder in-line overhead valve, water-cooled direct injection turbo charged intercooled diesel engine, 350 -375 PS @ 2,100 rpm maximum output, 1,500 – 1,600 Nm @ 1,500 rpm maximum torqu</t>
  </si>
  <si>
    <t xml:space="preserve"> 1	each	Project Billboard 1	mo	Occupational Safety &amp; Health Program 8	pcs	Removal of Trees 91.94 cu m Embankment from Borrow, Common Soil 590	sq.m	Sub-grade Preparation 348	cu m	Aggregate Base Course 454	sq.m	Portland Cement Concrete Pavement 		(unreinforc</t>
  </si>
  <si>
    <t xml:space="preserve"> 293.25	cu m	I. SITE WORKS 293.25	sq.m	II. CONCRETE AND MASONRY WORKS 1	cu m	III. FORMWORKS 1	ls	IV. STEEL WORKS 82.8	sq.m	V. ROOFING WORKS 1	ls	VI. FINISHING WORKS 1	ls	VII. ELECTRICAL WORKS 1	ls	VIII. PLUMBING WORKS</t>
  </si>
  <si>
    <t xml:space="preserve"> INVITATION TO BID 22 June 2020 The municipality of Sampaloc through its Bids and Awards Committee (BAC) invites suppliers/manufacturers/distributors/contractors to apply for eligibility to bid for the hereunder project: Name of Project	:	OPENING OF BARANG</t>
  </si>
  <si>
    <t xml:space="preserve"> I. R.C. WORKS: Volume = 15.538 cu m II. MASONRY WORKS: Area = 124.65 sq.m III. FLOORING: Volume = 7.425 cu m IV. ROOFING &amp; ROOF FRAMING: Area = 14.4 m x 8.65 m = 124.56 sq.m V. DOORS: Qty = 1 ls</t>
  </si>
  <si>
    <t xml:space="preserve"> Republic of the Philippines Province of Davao de Oro BIDS AND AWARDS COMMITTEE Cabidianan,Nabunturan, Davao de Oro Invitation to Bid for  Road and Bridge Improvement of Alegria - Panag - Camanlangan (Fatima and Camanlangan Section) (Concreting of 3.392kms</t>
  </si>
  <si>
    <t xml:space="preserve"> MUNICIPALITY OF BADOC BIDS AND AWARDS COMMITTEE INVITATION TO BID FOR THE Procurement of Multi-Purpose Shredder (200-300 kls/hr capacity). Bid Reference BAC 2020-06-007 Approved Budget for the Contract: P 1,200,000.00 1.	The Municipality of Badoc intends </t>
  </si>
  <si>
    <t xml:space="preserve"> 164	bot	Isopropyl Alchol 70% 4	box	Micropore Tape 65	roll	Cotton 400 gms. 2	box	Tongue Depressor 33	can	Insecticide Spray (500ml) 65	can	Disinfectant spray  42	can	Disinfectant Concentrate 500 ml  18	can	Air Freshener Spray (500 ml) 42	box	Laundry Bar 12	</t>
  </si>
  <si>
    <t xml:space="preserve"> Section I. Invitation to Bid Republic of the Philippines PROVINCE OF CAGAYAN Municipality of Peñablanca PROVINCIAL BIDS AND AWARDS COMMITTEE INVITATION TO BID FOR  Procurement and Implementation of Personnel Management Information with Centralized Payroll</t>
  </si>
  <si>
    <t xml:space="preserve"> Ref. No./PR No. : INFRA2020-CDD-001/MG-COM20-002 Description:        REPAIR/REHABILITATION OF WHARF WITH INTEGRATED ELEVATION 702 masl MARKER at                           Barangay Maindig, Binidayan, Lanao del Sur Pre- Bid Conference:  June 29, 2020 at 9:</t>
  </si>
  <si>
    <t xml:space="preserve"> I. SITE CLEARING AND LAND PREPARATION (PARKING LOT)...............................................674.00 SQ.M. II. DEMOLITION WORKS.......................................................1.00 LOT III. EXCAVATION.............................................</t>
  </si>
  <si>
    <t xml:space="preserve"> Contract ID:	20FH0085 Contract Name:	LOCAL ROADS AND BRIDGES-LOCAL ROADS-CONSTRUCTION/REHABILITATION/IMPROVEMENT OF BRGY. DUGUI TOO TO DUGUI WALA, VIRAC, CATANDUANES Contract Location:	VIRAC, CATANDUANES Scope of Work:	REHABILITATION/IMPROVEMENT OF 2,258.</t>
  </si>
  <si>
    <t xml:space="preserve"> 1	ls I. DEMOLITION WORKS 2.46	cu m	II. R.C. WORKS 34.84 sq m III. CHB WALL 13.73 sq m IV. FLOORING  1	ls V. FORMWORKS 46.54 sq m VI. ROOFING AND ROOF FRAMING 1	ls	VII. ELECTRICAL WORKS 1	ls	VIII. PAINTING WORKS 1	ls	IX. DOORS</t>
  </si>
  <si>
    <t xml:space="preserve"> Republic of the Philippines Province of Davao de Oro BIDS AND AWARDS COMMITTEE Cabidianan,Nabunturan, Davao de Oro Invitation to Bid for  Improvement of Hijo - Dumlan - Libay-libay - Sangab - Limbo Provincial Road (New Visayas - Sangab Section) (Concretin</t>
  </si>
  <si>
    <t xml:space="preserve"> Invitation to Bid The National Housing Authority (NHA), through the Corporate Budget approved by the NHA Board for CY 2020 intends to apply the sum of the Approved Budget for the Contract (ABC) to payments for the PROCUREMENT OF FULLY DEVELOPED LOTS AND C</t>
  </si>
  <si>
    <t xml:space="preserve"> Construction Project</t>
  </si>
  <si>
    <t xml:space="preserve"> Ref.No./PR No./Description: INFRA2020-CDD-002/MG-COM20-003/Construction of Wharf with Integrated Elevation 702 masl. Marker at Brgy. Taliogon, Ganassi, Lanao del Sur Pre-Bid Conference:  June 29, 2020 at 9:30 AM Bid Submission/Opening:  July 13, 2020 at 9</t>
  </si>
  <si>
    <t xml:space="preserve"> Purchase of Various Medicines for RHU *see attached file for the lists of medicines</t>
  </si>
  <si>
    <t xml:space="preserve"> Republic of the Philippines Region X PROVINCE OF LANAO DEL NORTE Municipality of Linamon -oOo- BIDS AND AWARDS COMMITTEE (BAC) INVITATION TO BID FOR SUPPLY AND DELIVERY OF CONSTRUCTION MATERIALS FOR THE PROPOSED TWO-STOREY MULTI-PURPOSE BUILDING (PHASE 1)</t>
  </si>
  <si>
    <t xml:space="preserve"> Repair of Main Gate (Front Gate) &amp; Construction of Fence	 Fence Area = 160.52 sq.m; Gate Area = 15.64 sq.m; Road Shoulder = 1.932 cu m 1	ls	        I. DEMOLITION 176.16 cu m	II. CONCRETE AND MASONRY 22.57 sq.m	III. STEEL WORKS 28.8	sq.m	        IV. PAINTI</t>
  </si>
  <si>
    <t xml:space="preserve"> I.	BILLBOARD and SIGNAGE…………………………………………………………….1.00 SET  II.	SITE CLEARING AND PREPARATION……………………………………………………………1.00 LOT III.	EARTHWORKS…………………………………………………………….20.56 CU.M. IV.	REINFORCING STEEL BARS…………………………………………………………….1,935.13 KGS. V.	CONCRETE WORKS</t>
  </si>
  <si>
    <t xml:space="preserve"> MUNICIPALITY OF BADOC BIDS AND AWARDS COMMITTEE INVITATION TO BID FOR THE Procurement of Garbage Compactor (5 cum capacity) Bid Reference BAC 2020-06-008 Approved Budget for the Contract: P 4,000,000.00 1.	The Municipality of Badoc intends to apply the su</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</si>
  <si>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</si>
  <si>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CONSTRUCTION OF HANGING BRIDGE PHASE II SAN PABLO, MUNICIPALITY OF SISON, SURIGAO DEL NORTE Brief Description:      The project will involve Construction of Hanging Bridge (Phase II) with the following scope of works: Suspension cables, tension rods, road</t>
  </si>
  <si>
    <t xml:space="preserve"> Weather proof speakers and all the accessories connected therewith</t>
  </si>
  <si>
    <t xml:space="preserve"> Section I. Invitation to Bid Republic of the Philippines PROVINCE OF ZAMBOANGA SIBUGAY Capitol Building, Ipil Heights, Ipil, Zamboanga Sibugay Invitation to Bid for  Construction of Water System (Drilling) @ Brgy. Tupilac, R.T. Lim, Zamboanga Sibugay 1.	T</t>
  </si>
  <si>
    <t xml:space="preserve"> Section I. Invitation to Bid Republic of the Philippines PROVINCE OF ZAMBOANGA SIBUGAY Capitol Building, Ipil Heights, Ipil, Zamboanga Sibugay Invitation to Bid for  Construction of Mangrove Boardwalk @ Brgy. Buluan, Ipil, Zamboanga Sibugay 1.	The Provinc</t>
  </si>
  <si>
    <t xml:space="preserve"> Republic of the Philippines Province of Bukidnon MUNICIPALITY OF KIBAWE O0o0o Bids and Awards Committee INVITATION TO BID June 19, 2020 The Local Government of Kibawe, Kibawe, Bukidnon through its Bids and Awards Committee (BAC), invites contractor’s regi</t>
  </si>
  <si>
    <t xml:space="preserve"> Republic of the Philippines Province of Davao de Oro BIDS AND AWARDS COMMITTEE Cabidianan, Nabunturan, Davao de Oro Invitation to Bid for the Construction of Water System at Liwanag Center, Brgy. Libasan, Nabunturan-Rebid 1.	The Provincial Government of D</t>
  </si>
  <si>
    <t xml:space="preserve"> Section I. Invitation to Bid Republic of the Philippines PROVINCE OF ZAMBOANGA SIBUGAY Capitol Building, Ipil Heights, Ipil, Zamboanga Sibugay Invitation to Bid for  Construction of Brgy Evacuation Center @ Brgy. Casacon, R.T. Lim, Zamboanga Sibugay 1.	Th</t>
  </si>
  <si>
    <t xml:space="preserve"> Republic of the Philippines CITY OF PANABO Province of Davao del Norte BIDS AND AWARDS COMMITTEE -o0o- INVITATION TO BID  SUPPLY OF 1 UNIT BRAND NEW MOBILE X-RAY MACHINE TRUCK 1.	The City of Panabo, through CMO/MEDICAL EQUIPMENT-COVID 19 PPA’S UNDER BGCM </t>
  </si>
  <si>
    <t xml:space="preserve"> CONSTRUCTION PROJECTS</t>
  </si>
  <si>
    <t xml:space="preserve"> I. Electrical Works Labor OCM/CP/VAt</t>
  </si>
  <si>
    <t xml:space="preserve"> Republic of the Philippines Region X PROVINCE OF LANAO DEL NORTE Municipality of Linamon -oOo- BIDS AND AWARDS COMMITTEE (BAC) INVITATION TO BID FOR LABOR AND MATERIALS FOR THE CONSTRUCTION OF TINAGO FALLS DEVELOPMENT PROJECT (MULTI-PURPOSE HALL) PHASE 2 </t>
  </si>
  <si>
    <t xml:space="preserve"> Republic of the Philippines BIDS AND AWARDS COMMITTEE Province of Iloilo Invitation to Bid Purchase of DRUGS AND MEDICINES Bid No.CDH-20-0711-B  1. The Iloilo Provincial Government, through the 2020 GENERAL FUND intends to apply the sum THREE HUNDRED EIGH</t>
  </si>
  <si>
    <t xml:space="preserve"> Section I. Invitation to Bid Republic of the Philippines PROVINCE OF ZAMBOANGA SIBUGAY Capitol Building, Ipil Heights, Ipil, Zamboanga Sibugay Invitation to Bid for  Construction of Water System (Drilling) @ Brgy. San Pedro, Tungawan, Zamboanga Sibugay 1.</t>
  </si>
  <si>
    <t xml:space="preserve"> Contract ID:	20FH0087 Contract Name:	CONSTRUCTION OF FOUR (4) STOREY SIXTEEN (16) CLASSROOM – TWO (2) UNITS (7X18) SCIENCE LABORATORY, TWO (2) UNITS (7X18) ICT LABORATORY AND FOUR (4) UNITS (7X18) REGULAR WORKSHOP SCHOOL BUILDING, GIGMOTO RURAL DEVELOPMEN</t>
  </si>
  <si>
    <t xml:space="preserve"> Section I. Invitation to Bid Republic of the Philippines PROVINCE OF ZAMBOANGA SIBUGAY Capitol Building, Ipil Heights, Ipil, Zamboanga Sibugay Invitation to Bid for  Construction of Boat / Fish Landing (Phase I) @ Brgy. Buluan, Ipil, Zamboanga Sibugay 1.	</t>
  </si>
  <si>
    <t xml:space="preserve"> Section I. Invitation to Bid Republic of the Philippines PROVINCE OF ZAMBOANGA SIBUGAY Capitol Building, Ipil Heights, Ipil, Zamboanga Sibugay Invitation to Bid for  Construction of Multi-Purpose Building @ Brgy. New Canaan, Titay, Zamboanga Sibugay 1.	Th</t>
  </si>
  <si>
    <t xml:space="preserve"> Section I. Invitation to Bid Republic of the Philippines PROVINCE OF ZAMBOANGA SIBUGAY Capitol Building, Ipil Heights, Ipil, Zamboanga Sibugay Invitation to Bid (REBID) for  Construction of Water System (Drilling) @ Brgy. Tilasan Roseller R.T. Lim, Zamboa</t>
  </si>
  <si>
    <t xml:space="preserve"> Purchase of Various Medicines for RHU  *see attached file for the list of medicines</t>
  </si>
  <si>
    <t xml:space="preserve"> Section I. Invitation to Bid Republic of the Philippines PROVINCE OF CAGAYAN Municipality of Peñablanca PROVINCIAL BIDS AND AWARDS COMMITTEE INVITATION TO BID FOR  Provision of Security Services to the various District Hospitals of the Provincial Governme</t>
  </si>
  <si>
    <t xml:space="preserve"> Construction of Multi-Purposed Building (Tourism Information and Assistance Center) @ Brgy Sapang Uwak, Porac, Pampanga</t>
  </si>
  <si>
    <t xml:space="preserve"> Republic of the Philippines Province of Davao de Oro BIDS AND AWARDS COMMITTEE Cabidianan,Nabunturan, Davao de Oro Invitation to Bid for  Improvement of Gabi - Cabacungan - Sto. Niño Provincial Road (Cabacungan Section) (Concreting of 2.47kms. road, insta</t>
  </si>
  <si>
    <t xml:space="preserve"> CCTV units and all the accessories connected therewith...(1lot)</t>
  </si>
  <si>
    <t xml:space="preserve"> Republic of the Philippines BIDS AND AWARDS COMMITTEE Province of Iloilo Invitation to Bid Purchase of DRUGS AND MEDICINES Bid No.CDH-20-0713-B  1. The Iloilo Provincial Government, through the 2020 GENERAL FUND intends to apply the sum EIGHT HUNDRED FORT</t>
  </si>
  <si>
    <t xml:space="preserve"> Section I. Invitation to Bid Republic of the Philippines PROVINCE OF ZAMBOANGA SIBUGAY Capitol Building, Ipil Heights, Ipil, Zamboanga Sibugay Invitation to Bid for  Concreting of Tomitom Brgy. Road @ Brgy. Tomitom, Ipil, Zamboanga Sibugay 1.	The Province</t>
  </si>
  <si>
    <t xml:space="preserve"> Republic of the Philippines Region X PROVINCE OF LANAO DEL NORTE Municipality of Linamon -oOo- BIDS AND AWARDS COMMITTEE (BAC) INVITATION TO BID FOR LABOR AND MATERIALS FOR THE IMPROVEMENT/ENHANCEMENT OF HISTORICAL SITES  Project Identification No. LIN-LD</t>
  </si>
  <si>
    <t xml:space="preserve"> Republic of the Philippines Province of Bataan MUNICIPALITY OF ORION Bids and Awards Committee 20ITB-INF-02-00040 Invitation to Bid for Labor and Materials for the Construction of Office Cabinet and Pantry at New RHU, Wawa, Orion, Bataan 1.	The Municipali</t>
  </si>
  <si>
    <t xml:space="preserve"> Republic of the Philippines BIDS AND AWARDS COMMITTEE Province of Iloilo Invitation to Bid Purchase of DRUGS AND MEDICINES Bid No.RPT-20-0294-B  1. The Iloilo Provincial Government, through the 2020 GENERAL FUND intends to apply the sum of SEVEN HUNDRED N</t>
  </si>
  <si>
    <t xml:space="preserve"> Republic of the Philippines BIDS AND AWARDS COMMITTEE Province of Iloilo Invitation to Bid Purchase of DRUGS AND MEDICINES Bid No.CDH-20-0712-B  1. The Iloilo Provincial Government, through the 2020 GENERAL FUND intends to apply the sum TWO HUNDRED EIGHTE</t>
  </si>
  <si>
    <t xml:space="preserve"> Republic of the Philippines Department of Justice Bureau of Corrections DAVAO PRISON AND PENAL FARM B. E. Dujali, Davao del Norte Section I. Invitation to Bid   INVITATION TO BID FOR SUPPLY AND DELIVERY OF FUEL FOR CY 2020 1.	The Davao Prison and Penal Fa</t>
  </si>
  <si>
    <t xml:space="preserve"> Polo shirt, tactical pants,raincoat,rainboots etc..(1lot)</t>
  </si>
  <si>
    <t xml:space="preserve"> Section I. Invitation to Bid Republic of the Philippines PROVINCE OF ZAMBOANGA SIBUGAY Capitol Building, Ipil Heights, Ipil, Zamboanga Sibugay Invitation to Bid (REBID) for  Improvement of Barangay Health Center at Brgy. Ipil Heights, Ipil, Zamboanga Sibu</t>
  </si>
  <si>
    <t xml:space="preserve"> Republic of the Philippines BIDS AND AWARDS COMMITTEE Province of Iloilo Invitation to Bid Purchase of DRUGS AND MEDICINES Bid No.CDH-20-0714-B  1. The Iloilo Provincial Government, through the 2020 GENERAL FUND intends to apply the sum SEVENTY-EIGHT THOU</t>
  </si>
  <si>
    <t xml:space="preserve"> Department of Health TONDO MEDICAL CENTER ISO 9001:2008 Certified Philhealth Accredited “Health care within your reach”  BIDS AND AWARDS COMMITTEE INVITATION TO BID   1.	The Tondo Medical Center (TMC), through the Genral Appropriations Act (GAA) intends t</t>
  </si>
  <si>
    <t xml:space="preserve"> Section I. Invitation to Bid Republic of the Philippines PROVINCE OF ZAMBOANGA SIBUGAY Capitol Building, Ipil Heights, Ipil, Zamboanga Sibugay Invitation to Bid for  Construction of Multi-Purpose Building @ Lindang, Diplahan, Zamboanga Sibugay 1.	The Prov</t>
  </si>
  <si>
    <t xml:space="preserve"> Invitation to Bid 1.	The Commission on Higher Education (CHED), through the General Appropriations Act Fiscal Year 2020  intends to apply the sum of Three Million Two Hundred Thousand Pesos (PHP 3,200,000.00) being the Approved Budget for the Contract (AB</t>
  </si>
  <si>
    <t xml:space="preserve"> Description I.	Signboard II.	Clearing and Grubbing III.	Surface Leveling and Base Correction  IV.	Aggregate Sub-Base Coarse  V.	Aggregate Base Coarse  VI.	Form Works VII.	Portland Cement Concrete Pavement VIII.	Shouldering (+10% Shrinkage) IX.	Constructio</t>
  </si>
  <si>
    <t xml:space="preserve"> Republic of the Philippines BIDS AND AWARDS COMMITTEE Province of Iloilo Invitation to Bid Purchase of DENTAL SUPPLIES Bid No.CDH-20-0434-B  1. The Iloilo Provincial Government, through the 2020 GENERAL FUND intends to apply the sum FIFTY-THREE THOUSAND F</t>
  </si>
  <si>
    <t xml:space="preserve"> 1.The Local Government Unit of the Municipality of Magsaysay, through LBP Loan intends to apply the sum of Twenty Million Nine-hundred Thousand Pesos (P 20,900,000.00) being the Approved Budget for the Contract (ABC) to payment under the Acquisition of He</t>
  </si>
  <si>
    <t xml:space="preserve"> Department of Education Region VI-Western Visayas Division of Cadiz City Mabini National High School 	NOTICE FOR NEGOTIATED PROCUREMENT OF ICT EQUIPMENT AND MATERIALS 1.	Mabini National High School, Division of Cadiz City, through the Schools MOOE and HRT</t>
  </si>
  <si>
    <t xml:space="preserve"> REPUBLIC OF THE PHILIPPINES National Office, Diliman, Quezon City             June 19, 2020 INVITATION TO BID PUBLIC BIDDING NO.  2020-31 (GOODS)   1.	The   Bureau   of   Internal     Revenue – National Office (BIR-NO), through the General Appropriations </t>
  </si>
  <si>
    <t xml:space="preserve"> You may refer in the attached files for details.</t>
  </si>
  <si>
    <t xml:space="preserve"> Budget for the Improvement of School Drainage System is 20,000.00 20,000.00</t>
  </si>
  <si>
    <t xml:space="preserve"> Section I. Invitation to Bid Republic of the Philippines PROVINCE OF ZAMBOANGA SIBUGAY Capitol Building, Ipil Heights, Ipil, Zamboanga Sibugay Invitation to Bid for  Construction of Foot Bridge at Brgy. Gandaan - Brgy. Galas, Olutanga, Zamboanga Sibugay 1</t>
  </si>
  <si>
    <t xml:space="preserve"> ITB No. 2020-010 (SHORT OF AWARD) 1.	The SUGAR REGULATORY ADMINISTRATION, through the SRA Corporate Operating Budget 2020 intends to apply the sum of Thirteen Million Four Hundred Fifty-Two Thousand Pesos (₱13,452,000.00) being the total Approved Budget f</t>
  </si>
  <si>
    <t xml:space="preserve"> Republic of the Philippines  PROVINCE OF SURIGAO DEL SUR  		MUNICIPALITY OF CARRASCAL	 Barangay Bon-ot INVITATION FOR BIDS The Barangay Bon-ot through its Bids and Awards Committee invites sealed bids from eligible supplier of Construction Materials and S</t>
  </si>
  <si>
    <t xml:space="preserve"> Republic of the Philippines     Province of South Cotabato     City of Koronadal     BIDS AND AWARDS COMMITTEE INVITATION TO BID FOR THE  Procurement for the Supply and Delivery of 40 Units Laptop Computers for DepEd City Division, City of Koronadal 1.	Th</t>
  </si>
  <si>
    <t xml:space="preserve"> The approved estimated budget was 30,000.00 for the purchases of the following items 1500 pcs Notebook 300 pcs Pad Paper 300 pcs Ball Pen 300 pcs Crayons 300 pcs Ruler 300 pcs Small Scissors 300 pcs Sharpener 300 pcs Plastic Folder</t>
  </si>
  <si>
    <t xml:space="preserve"> Republic of the Philippines     Province of South Cotabato     City of Koronadal     BIDS AND AWARDS COMMITTEE INVITATION TO BID FOR THE  Procurement for the Supply and Delivery of Various Construction Materials Lot 1, 2 &amp; 3, City of Koronadal 1.	The City</t>
  </si>
  <si>
    <t xml:space="preserve"> Republic of the Philippines Province of South Cotabato City of Koronadal BIDS AND AWARDS COMMITTEE Invitation to Bid for the Repair of Lined Canal, Agan Road, Brgy. Sta.Cruz, City of Koronadal 1.	The City Government of Koronadal, through its, CALAMITY FUN</t>
  </si>
  <si>
    <t xml:space="preserve"> Invitation to Bid: Warehouse Handling (And Allied) Services for Grains for NFA Region VIII for CY 2020 Page 1 Republic of the Philippines NATIONAL FOOD AUTHORITY EASTERN VISAYAS REGIONAL OFFICE (REGION VIII) Pawing, Palo, Leyte TeleFax No. (053) 323-4240 </t>
  </si>
  <si>
    <t xml:space="preserve"> Contract Ref. No.:	20200214-02-G Name of Contract:	Procurement of Drugs and Medicines to be used by Central Pharmacy  Location:	LGU-MABALACAT CITY Republic of the PHILIPPINES Province of PAMPANGA Municipality of MABALACAT INVITATION TO APPLY FOR ELIGIBILI</t>
  </si>
  <si>
    <t xml:space="preserve"> Republic of the Philippines     Province of South Cotabato     City of Koronadal     BIDS AND AWARDS COMMITTEE INVITATION TO BID FOR THE  Procurement for the Supply and Delivery of Thirteen (13) Units Duplicating Machine for DepEd City Division, City of K</t>
  </si>
  <si>
    <t xml:space="preserve"> Republic of the Philippines Bangsamoro Autonomous Region in Muslim Mindanao OFFICE OF THE SPECIAL BIDS AND AWARDS COMMITTEE Provincial Capitol, Buluan, Maguindanao 	 INVITATION TO BID The Local Government Unit of Maguindanao, through its Special Bids and </t>
  </si>
  <si>
    <t xml:space="preserve"> MEDICINES: 1) 2 boxes  Albendazole 400mg 100s/box 2) 30 boxes Aluminum Magnesium Hydroxide tablet, 100s/box 3) 7 boxes Amlodipine 10mg tablet, 100s/box 4) 576 bots Amoxicillin 100ml drops 5) 576 bots Amoxicillin 250/5 syrup 6) 200 boxes Amoxicillin 500mg </t>
  </si>
  <si>
    <t xml:space="preserve"> Brgy. San Miguel, Danao, Bohol  						 Project Reference Number 			 : 	 2020-001 		  Name of Procuring Entity 						 Name of Project 			 : 	 Construction of Deep Wells Potable Water 5 Sitio's (Quarry, Apalili, Centro, Hantud &amp; Kagisukan) 		  StandardForm </t>
  </si>
  <si>
    <t xml:space="preserve"> Contract Ref. No.:	20200619-02-G Name of Contract:	Procurement of Drugs and Medicines to be used by City Health Office Location:	LGU-MABALACAT CITY Republic of the PHILIPPINES Province of PAMPANGA Municipality of MABALACAT INVITATION TO APPLY FOR ELIGIBIL</t>
  </si>
  <si>
    <t xml:space="preserve"> Contract Ref. No.:	20200619-01-G Name of Contract:	Procurement of Water Filter and Purifier for Child Development Center Location:	LGU-MABALACAT CITY Republic of the PHILIPPINES Province of PAMPANGA Municipality of MABALACAT INVITATION TO APPLY FOR ELIGIB</t>
  </si>
  <si>
    <t xml:space="preserve"> Contract Ref. No.:	20200205-01-G Name of Contract:	Procurement of Various Janitorial and Other Maintenance Supplies for the use of the Departments of LGU- Mabalacat City Location:	LGU-MABALACAT CITY Republic of the PHILIPPINES Province of PAMPANGA Municip</t>
  </si>
  <si>
    <t xml:space="preserve"> Please see attached documents for more details.</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</si>
  <si>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</si>
  <si>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1. The ISABELA CITY WATER DISTRICT through the CORPORATE OPERATING BUDGET 2020 approved by the Board of Directors intends to apply the sum listed below being the Approved Budget for the Contract (ABC) to payments under the contract for each lot per P.R. N</t>
  </si>
  <si>
    <t xml:space="preserve"> Republic of the Philippines Province of Leyte Municipality of Kananga BIDS AND AWARDS COMMITTEE Invitation to Bid for CONSTRUCTION OF STAGE AT RIZAL NATIONAL HIGH SCHOOL, BRGY. RIZAL, KANANGA, LEYTE - REPOST 1.	The Municipality of Kananga through the Spec</t>
  </si>
  <si>
    <t xml:space="preserve"> Item	                          Quantity	                        ABC     ALM-300DN                         	362 units	                3,475,200.00     ALM 320DN	                        318 units	                3,863,700.00                                 </t>
  </si>
  <si>
    <t xml:space="preserve"> Garbage Collection at Brgy. Bel-Air for CY 2020 		Period of Contract: August to December 31, 2020 		Schedule of Pick-up: 		a. Two (2) 10 Wheeler dump trucks daily ( 7 days a week) 		   For Bel-Air Village 1,2, 3 and 4 		   2 DT's @ P8,500.00 net of VAT 		</t>
  </si>
  <si>
    <t xml:space="preserve"> Republic of the Philippines Province of South Cotabato City of Koronadal BIDS AND AWARDS COMMITTEE INVITATION TO BID FOR THE  Procurement for the Supply and Delivery of 200 Units Printer (3 in 1) for DepEd City Division, City of Koronadal 1.	The City Gove</t>
  </si>
  <si>
    <t xml:space="preserve"> Invitation to Bid Republic of the Philippines TANZA WATER DISTRICT A .Soriano Highway, Tanza, Cavite 4108 Tel. No. (046) 484-18-13 / 505-2906 1. The Tanza Water District through the Corporate Funds of 2020 intends to apply the sum of Two Million Five Hund</t>
  </si>
  <si>
    <t xml:space="preserve"> INVITATION TO BID IB-2020-093-INFRA Supply and Replacement of LED Solar Powered Streetlights along Quirino Highways 3.75 Kilometers (from Quezon City / Caloocan Boundary to Malaria St.) 1.	The Metropolitan Manila Development Authority, through the Local F</t>
  </si>
  <si>
    <t xml:space="preserve"> INVITATION TO BID IB-2020-094-INFRA STREETLIGHTS PROJECT FOR BLACK SPOT LOCATIONS (GAD PROJECT) Along Aurora Blvd. / Marcos Highway (Katipunan Ave. To Marikina Bridge 1.20 Kilometers) 1.	The Metropolitan Manila Development Authority, through the Local Fun</t>
  </si>
  <si>
    <t xml:space="preserve"> The Department of Agriculture-RFO 3, invites interested suppliers/ bidders to submit bid proposal(s) for the hereunder requirement, to wit: 4,000 FALL ARMY-LURE (PHEROMONE LURE) Composition: (Z)-9-Tetradecenyl Acetate 79.17% w/w to control Spodoptera frug</t>
  </si>
  <si>
    <t xml:space="preserve"> The Department of Agriculture-RFO 3, invites interested suppliers/ bidders to submit bid proposal(s) for the hereunder requirement, to wit: 2,000 bottles  Organic Pesticides	 Specification: Neem Oil Insect Growth Regulator Safe to Beneficial Insect OCCP C</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</si>
  <si>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</si>
  <si>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Description   Republic of the Philippines Danao City BIDS AND AWARDS COMMITTEE INVITATION to APPLY for ELIGIBILITY and to BID Supply and Delivery of Limestone for Embankment/Site Development/Construction of Motorpool Building at Barangay Cambanay, Danao C</t>
  </si>
  <si>
    <t xml:space="preserve"> MUNICIPALITY OF BALETE BIDS AND AWARDS COMMITTEE THE MUNICIPALITY OF BALETE THRU BIDS AND AWARDS COMMITTEE INVITES ALL SUPPLIERS/BIDDERS/CONTRACTORS TO APPLY FOR ELIGIBILITY SCREENING AND IF SUBSEQUENTLY FOUND ELIGIBLE FOR THE PROCUREMENT REQUEST FOR THE </t>
  </si>
  <si>
    <t xml:space="preserve"> INVITATION TO BID IB-2020-091-INFRA Design and Construction of Housing Facilities for Waste Granulator and Brick Making Equipment at Vitas Pumping Station, Tondo, Manila 1.	The Metropolitan Manila Development Authority, through the 2020 General Appropriat</t>
  </si>
  <si>
    <t xml:space="preserve"> Invitation to Bid Supply and Delivery of Vehicle for National Capital Regional Office 1. The Department of Trade and Industry, through the General Appropriations Act for CY 2020, intends to apply the sum of One Million Four Hundred Thousand Pesos (Php 1,4</t>
  </si>
  <si>
    <t xml:space="preserve"> INVITATION TO BID   PURCHASE OF ONE (1) UNIT PATROL CAR OF BRGY. CALUMPANG, GEN. SANTOS CITY The Local Government Unit of Barangay Calumpang, GSC, through the 20% LDRRMF and Brgy. Disaster and Risk Reduction Fund intents to apply the sum of One Million Si</t>
  </si>
  <si>
    <t xml:space="preserve"> Republic of the Philippines Province of Palawan Municipality of Narra INVITATION TO BID 1.	The Municipal Government of Narra, through Bids and Awards Committee intends to apply the sum of NINE HUNDRED TWENTY-FOUR THOUSAND AND FOUR PESOS ONLY (PHP 924,004.</t>
  </si>
  <si>
    <t xml:space="preserve"> Republic of the Philippines Province of Palawan Municipality of Narra INVITATION TO BID 1.	The Municipal Government of Narra, through Bids and Awards Committee intends to apply the sum of THREE HUNDRED TWENTY-TWO THOUSAND NINE HUNDRED FIVE PESOS (PHP 322,</t>
  </si>
  <si>
    <t xml:space="preserve"> Invitation to Bid for  Construction of Rimos National High School Pavilion and Completion of School Perimeter Fence, Luna, La Union 1.	The Provincial Government of La Union, through the RA8240 intends to apply the sum of ₱1,755,000.00 being the Approved B</t>
  </si>
  <si>
    <t xml:space="preserve"> Republic of the Philippines Province of Occidental Mindoro MUNICIPALITY OF PALUAN BARANGAY III-SILAHIS NG PAG-ASA Invitation to Bid for Service Vehicle (Chariot) 1.	The Local Government Unit of Barangay III-Silahis ng Pag-Asa, Paluan, Occidental Mindoro i</t>
  </si>
  <si>
    <t xml:space="preserve"> Invitation to Bid for  Construction of Luna Farmers Trading Center, Luna, La Union 1.	The Provincial Government of La Union, through the RA7171 intends to apply the sum of ₱9,750,000.00 being the Approved Budget for the Contract (ABC) to payments under th</t>
  </si>
  <si>
    <t xml:space="preserve"> Invitation to Bid for  Construction of Pagdildilan Farm to Market Road, San Juan, La Union 1.	The Provincial Government of La Union, through the RA7171 intends to apply the sum of ₱2,924,897.55 being the Approved Budget for the Contract (ABC) to payments </t>
  </si>
  <si>
    <t xml:space="preserve"> INVITATION TO BID IB-2020-092-INFRA Supply and Replacement of LED Streetlights at the following locations: Along Buendia Ave., (Taft Ave. to Tramo St.), Makati City along Mayor Ignacio Diaz St. (N. Domingo St. to EDSA), Quezon City along Dimasalang Road (</t>
  </si>
  <si>
    <t xml:space="preserve"> Invitation to Bid for  Rehabilitation and Improvement of Bacnotan-San Gabriel Road (San Juan Section), San Juan, La Union 1.	The Provincial Government of La Union, through the RA7171 intends to apply the sum of ₱3,900,010.79 being the Approved Budget for </t>
  </si>
  <si>
    <t xml:space="preserve"> INVITATION TO BID The DPWH Isabela 4th District Engineering Office through its Bids and Awards Committee (BAC), invites contractors to submit bids for the following Contract: ys Cost of Bidding Documents			: Php 25,000.00 Procurement ID / Contract ID			: </t>
  </si>
  <si>
    <t xml:space="preserve"> INVITATION TO BID FOR THE SUPPLY OF FUEL (GASOLINE AND DIESEL) - PART 2 1.	The Provincial Government of La Union (PGLU), through the PGLU Annual Budget CY 2020intends to apply the sum of Three Million One Hundred Seventy One Thousand Seven Hundred Forty P</t>
  </si>
  <si>
    <t xml:space="preserve"> INVITATION TO BID FOR THE SUPPLY, DELIVERY AND INSTALLATION OF OFFICE FURNITURES AND FIXTURES 1.	The Provincial Government of La Union (PGLU), through the PGLU Annual Budget CY 2020 intends to apply the sum of One Million Two Hundred Sixty-Four Thousand T</t>
  </si>
  <si>
    <t xml:space="preserve"> INVITATION TO BID FOR THE COLLECTION, TRANSPORTATION, TREATMENT AND PROPER DISPOSAL OF HAZARDOUS AND TOXIC HEALTH CARE WASTES GENERATED USING NON-BURN TECHNOLOGYFORTHE 5 DISTRICT HOSPITALS 1.	The Provincial Government of La Union (PGLU), through the PGLU </t>
  </si>
  <si>
    <t xml:space="preserve"> the specifications and materials required for CCTV are downloadable at associated sections</t>
  </si>
  <si>
    <t xml:space="preserve"> SUPPLY AND DELIVERY OF MEDICINES Municipal Health Office Balayan, Batangas</t>
  </si>
  <si>
    <t xml:space="preserve"> INVITATION TO BID IB NO: 2020-07-13 (11) PROCUREMENT OF LABORATORY EQUIPMENT 1. 	The Caraga Regional Hospital (CRH), through the General Appropriations Act /  HEALTH FACILITIES ENHANCEMENT PROGRAM (HFEP)   intends to apply the sum of  FOUR MILLION FOUR HU</t>
  </si>
  <si>
    <t xml:space="preserve"> Republic of the Philippines Province of Palawan Municipality of Narra INVITATION TO BID 1.	The Municipal Government of Narra, through Bids and Awards Committee intends to apply the sum of EIGHT HUNDRED FIFTY-TWO THOUSAND FIVE HUNDRED PESOS (PHP 852,500.00</t>
  </si>
  <si>
    <t xml:space="preserve"> PURCHASE AND DELIVERY OF MACHINERY AND EQUIPMENT FOR OMM-OPERATION OF SLAUGHTERHOUSE **PLEASE REFER TO THE ATTACHED PURCHASE REQUEST AT THE ASSOCIATED COMPONENTS SECTION FOR FURTHER DETAILS</t>
  </si>
  <si>
    <t xml:space="preserve"> INVITATION TO BID IB NO: 2020-07-15 (12) PROCUREMENT OF EXPENDABLE MEDICAL SUPPLIES (RE-BID) 1. 	The Caraga Regional Hospital (CRH), through the General Appropriations Act /  Hospital Income   intends to apply the sum of  FIVE MILLION SIX HUNDRED SIXTY SE</t>
  </si>
  <si>
    <t xml:space="preserve"> CONSTRUCTION OF PROTECTION DIKE – RIGHT SIDE DOWNSTREAM @ STA. 0+220 – 0+271.50</t>
  </si>
  <si>
    <t xml:space="preserve"> Invitation to Bid for SUPPLY AND DELIVERY OF VARIOUS OFFICE EQUIPMENT  FOR MDRRM OFFICE The Municipal Government of Looc, Romblon, through the AO-NO. 018-2019 Regular1 intends to apply the sum of Eighty Thousand Pesos Only (P 80,000.00) being the Approved</t>
  </si>
  <si>
    <t xml:space="preserve"> Republic of the Philippines Province of Isabela LOCAL GOVERNMENT UNIT OF BENITO SOLIVEN INVITATION TO BID FOR THE ROAD CONCRETING AT BARANGAY BALLIAO 1.	The Municipal Government of Benito Soliven, intends to apply the sum of Five Million Pesos (P5,000,000</t>
  </si>
  <si>
    <t xml:space="preserve"> Republic of the Philippines Province of Isabela LOCAL GOVERNMENT UNIT OF BENITO SOLIVEN INVITATION TO BID FOR THE CONCRETING OF CORE LOCAL ACCESS ROAD OF BARANGAY VILLALUZ TO NEW MAGSAYSAY 1.	The Municipal Government of Benito Soliven, intends to apply th</t>
  </si>
  <si>
    <t xml:space="preserve"> Republic of the Philippines Province of Palawan Municipality of Narra INVITATION TO BID 1.	The Municipal Government of Narra, through Bids and Awards Committee intends to apply the sum of THREE HUNDRED THOUSAND EIGHT HUNDRED SIXTY-FIVE PESOS (PHP 300,865.</t>
  </si>
  <si>
    <t xml:space="preserve"> INVITATION TO BID  SUPPLY AND DELIVERY  OF CORRUGATED   GI SHEET FOR THE IDENTIFIED PARTIALLY DAMAGED OF TYPHOON TISOY IN THE CITY OF SORSOGON (2ND CALL) GS 2020 -005-016 1.	The City Government of Sorsogon    intends to apply the sum of   Three  Million  </t>
  </si>
  <si>
    <t xml:space="preserve"> Description   Republic of the Philippines Danao City BIDS AND AWARDS COMMITTEE INVITATION to APPLY for ELIGIBILITY and to BID Supply and Delivery of Eighteen (18) Units Computer Laptop (SP) of the City GOVERNMENT OF DANAO The Local Government of Danao Cit</t>
  </si>
  <si>
    <t xml:space="preserve"> Department of Agriculture		 BUREAU OF PLANT INDUSTRY 692 San Andres Street Malate, Manila, Philippines E-mail Address: bpibac@yahoo.com Tel. No.: (02) 8526-7859, (02) 8691-0736 | Website: bpi.da.gov.ph SOLICITATION NO.: ITB PR NO. 0545-20BAC  INVITATION T</t>
  </si>
  <si>
    <t xml:space="preserve"> REQUEST FOR RFQ - SMAW SUPPLIES</t>
  </si>
  <si>
    <t xml:space="preserve"> I. Electrical Works Labor OCM/CP/VAT</t>
  </si>
  <si>
    <t xml:space="preserve"> Repair/Maintenance of Flood Control</t>
  </si>
  <si>
    <t xml:space="preserve"> Contract ID No.	: 20GAD005  	Contract Name/	: Purchase of Road/Traffic Warning Signs for use along Manila North   	Location	: Road, Tagudin-Santa Section (accident blackspot), K0313+(-103)- 			K0395+149) Brief Description of  Goods to be Procured	:  		 IT</t>
  </si>
  <si>
    <t xml:space="preserve"> Republic of the Philippines                                                              PROVINCE OF ISABELA                                                            Municipality of Dinapigue                                      INVITATION TO APPLY FOR </t>
  </si>
  <si>
    <t xml:space="preserve"> Item No.	Unit	Qty.	Description of Articles 1	Unit	1	L300 Cab and Chassis Euro 4 			2.2L Diesel 			5 speed Manual 			Overall Length:                                     mm 4,260 			Overall Width:                                      mm 1,695 			Overall Hei</t>
  </si>
  <si>
    <t xml:space="preserve"> Republic of the Philippines Province of Surigao del Sur MUNICIPALITY OF CANTILAN OFFICE OF THE BIDS AND AWARDS COMMITTEE INVITATION TO BID The Municipality of Cantilan allocates fund from 20% EDF for the Supply &amp; Delivery of Materials for Construction of </t>
  </si>
  <si>
    <t xml:space="preserve"> Repair/Maintenance of National Road</t>
  </si>
  <si>
    <t xml:space="preserve"> Republic of the Philippines Province of Surigao del Sur MUNICIPALITY OF CANTILAN OFFICE OF THE BIDS AND AWARDS COMMITTEE INVITATION TO BID The Municipality of Cantilan allocates fund from Capital Outlay 2018 for the Supply &amp; Delivery of Materials for Fenc</t>
  </si>
  <si>
    <t xml:space="preserve"> INVITATION TO BID FOR SUPPLY AND DELIVERY OF AGRICULTURAL INPUTS AND FARM MACHINERY AND EQUIPMENT UNDER CLIMATE RESILIENT FARM PRODUCTIVITY SUPPORT PROJECT (CRFPSP) The Department of Agrarian Reform Camarines Sur 1 Provincial Office, through the General A</t>
  </si>
  <si>
    <t xml:space="preserve"> Republic of the Philippines Province of Surigao del Sur MUNICIPALITY OF CANTILAN OFFICE OF THE BIDS AND AWARDS COMMITTEE INVITATION TO BID The Municipality of Cantilan allocates fund from 20% EDF 2020 for the Supply &amp; Delivery of Materials for Rehabilitat</t>
  </si>
  <si>
    <t xml:space="preserve"> The Department of Agriculture-RFO 3, invites interested suppliers/ bidders to submit bid proposal(s) for the hereunder requirement, to wit: 1,175 bottles SPINETORAM (250ml/bottle) Composition: Water: 832.2 g/L Dispersant: 30.8 g/L Other Inert: 93.6 g/L Re</t>
  </si>
  <si>
    <t xml:space="preserve"> Republic of the Philippines Province of Surigao del Sur MUNICIPALITY OF CANTILAN OFFICE OF THE BIDS AND AWARDS COMMITTEE INVITATION TO BID The Municipality of Cantilan allocates fund from 20% EDF 2020 for the Supply &amp; Delivery of Materials for Installatio</t>
  </si>
  <si>
    <t xml:space="preserve"> Rehabilitation of Concrete Road</t>
  </si>
  <si>
    <t xml:space="preserve"> Republic of the Philippines								 Province of Negros Occidental								 Municipality of La Castellana								 Bids and Awards Committee								 								 INVITATION TO APPLY FOR ELIGIBILITY AND TO BID								 								 Name of Project: 		IMPROVEMENT OF PA</t>
  </si>
  <si>
    <t xml:space="preserve"> 1 unit passengers terminal (phase 1)</t>
  </si>
  <si>
    <t xml:space="preserve"> INVITATION TO APPLY FOR ELIGIBILITY AND TO BID 	The local Government Unit of Can-avid, through is Bid and Awards Committee (BAC). Invites suppliers to apply for eligibility, to bid for the hereunder contract: Name of Contract:      PURCHASE, DELIVERY &amp; IN</t>
  </si>
  <si>
    <t xml:space="preserve"> Contract Location: Brgy. 18 Cabangan West Brief Description: Replacement of Windows Source of Fund: 20% Development Fund The BAC is conducting the public bidding for this Contract in accordance with RA 9184 and its Implementing Rules and Regulations (IRR)</t>
  </si>
  <si>
    <t xml:space="preserve"> Republic of the Philippines Province of Surigao del Sur MUNICIPALITY OF CANTILAN OFFICE OF THE BIDS AND AWARDS COMMITTEE INVITATION TO BID The Municipality of Cantilan allocates fund from 20% EDF 2020 for the Supply &amp; Delivery of Materials for Establishme</t>
  </si>
  <si>
    <t xml:space="preserve"> (1 meal (pack lunch with 2 viands and cold beverage) and 2 snacks (packed AM/PM snacks with cold beverage) per day for 15 days activity with 16 participants) and an accommodation for the facilitators for 15days.</t>
  </si>
  <si>
    <t xml:space="preserve"> I. Construction Tools &amp; Paints (Bridges)							 1	Paint Latex Gloss (white)				99,000.00	100 		 2	Paint Latex Gloss (black)				99,000.00	100 		 3	Paint Latex Gloss (yellow)				99,000.00	100 		 4	Paint Rollers (152mm)				2,600.00	52 		 5	Brush Paint (101mm</t>
  </si>
  <si>
    <t xml:space="preserve"> (6-units of complete set Manual Sewing Machine and 2-units of Edging Sewing Machine; Starter Kits for 16 pax-L-Square Ruler, Hip-Curve Ruler, French Curve Ruler, Scissor, Tape Measure, Patterned paper, Tailored chalk, Pencil, Safety Pin, 12” Ruler Stainle</t>
  </si>
  <si>
    <t xml:space="preserve"> 1	Item 310: Bituminous Concrete Surface				1,799,793.00	209.40		 	Coarse (FD)							 	-x-x-x-x-x-x-x-x-x-x-x-x-x-x							 			Grand Total:		1,799,793.00</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</si>
  <si>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</si>
  <si>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Location  : Legazpi City, Albay Scope of Work : Repair/Maintenance of DILG Building NAPOLCOM RO-V Main Building Rawis, Legazpi City, Albay</t>
  </si>
  <si>
    <t xml:space="preserve"> Diesel</t>
  </si>
  <si>
    <t xml:space="preserve"> Rehabilitation/ Major Repair of Drainage Structure</t>
  </si>
  <si>
    <t xml:space="preserve"> Republic of the Philippines Province of Leyte Municipality of Kananga BIDS AND AWARDS COMMITTEE INVITATION TO BID FOR PROCUREMENT OF ONE (1) UNIT MOTOR VEHICLE (PASSENGER VAN) 1.	The Municipality of Kananga, through the General Fund intends to apply the s</t>
  </si>
  <si>
    <t xml:space="preserve"> 1. Demolition/Excavation works 2. Reinforced Concrete Works 3. Form Works</t>
  </si>
  <si>
    <t xml:space="preserve"> Invitation to Bid for: Concreting of Sta. Maria Street to Bernardo Street at 100 meters at Brgy. Bato, Gamay, Northern Samar The BLGU Bato, Gamay, Northern Samar, through the 20% Development Fund of 2020 intends to apply the sum of P 426,434.55 being the </t>
  </si>
  <si>
    <t xml:space="preserve"> SUPPLY OF 5.10 DRUMS BITUMINOUS TACK COAT AND 298.41 M.T. BITUMINOUS CONCRETE SURFACE COURSE</t>
  </si>
  <si>
    <t xml:space="preserve"> Rehabilitation/ Major Repair of Multi – Purpose Building</t>
  </si>
  <si>
    <t xml:space="preserve"> Contract for the Concreting of Road Section at Cosmos St. to Fd. Rd. #4, Phase 2 The Municipality of Santo Tomas, through Supplemental Budget #3 CY 2020 intends to apply the sum of P’ 1,799,783.48  being the Approved Budget for the Contract (ABC) to payme</t>
  </si>
  <si>
    <t xml:space="preserve"> Construction of 4,000 Polyethelene Plastic Water Container</t>
  </si>
  <si>
    <t xml:space="preserve"> (REFLECTORIZED THERMOPLASTIC PAVEMENT MARKINGS)</t>
  </si>
  <si>
    <t xml:space="preserve"> BID OPENING July 06, 2020 10:00am 1 Unit Brand New 12 seater Van Vehicle Specification: - Model Type: 2.5 L. 4 in line DOHC 16 valves - Variable Turbo Charged ( VGS) - Diesel (YD5DDTI) - Bore X Stroke / Displacement / Compression - Ratio: 89mmx100mm / 248</t>
  </si>
  <si>
    <t xml:space="preserve"> Republic of the Philippines Province of Camarines Sur MUNICIPALITY OF BAAO INVITATION TO BID FOR THE SUPPLY AND DELIVERY OF CONSTRUCTION SUPPLIES FOR THE IMPROVEMENT OF ACCOUNTING OFFICE PHASE 2 1. The LOCAL GOVERNMENT UNIT OF BAAO, through the Budget for</t>
  </si>
  <si>
    <t xml:space="preserve"> SOIL TESTING/EXPLORATION (FOR CY 2021 REGULAR INFRASTRUCTURE PROJECTS, BATCH 2)</t>
  </si>
  <si>
    <t xml:space="preserve"> 1.	Contract ID No.	: 20GAD004  	Contract Name/	: Supply and Delivery of materials for the Repair and Maintenance   	Location	: along Tagudin-Cervantes Road         Brief Description of Goods to be Procured	:   		 ITEM NO.	PARTICULARS	QUANTITY	UNIT 1	Chevr</t>
  </si>
  <si>
    <t xml:space="preserve"> INVITATION TO BID (Public Bidding) The BFAR 08, through its Bids and Awards Committee (BAC), invites eligible suppliers to bid for the hereunder contract:	 NAME OF CONTRACT: 20-05-0564 Supply and Delivery of Materials for Tilapia Culture in Fish Cage as L</t>
  </si>
  <si>
    <t xml:space="preserve"> 1 unit Passengers Terminal Phase 1</t>
  </si>
  <si>
    <t xml:space="preserve"> Barangay Cabid-an, East District		Project Reference Number: 2020-004 Sorsogon City			Name of the Project: PURCHASE OF PICK UP WITH CANOPY Location of the Project		:	 BrgyCabid-an, East District, Sor. City 					Source of Funds:  5% CALAMITY FUND Standard F</t>
  </si>
  <si>
    <t xml:space="preserve"> Republic of the Philippines Province of Camarines Sur MUNICIPALITY OF BAAO INVITATION TO BID FOR THE SUPPLY AND DELIVERY OF CONSTRUCTION SUPPLIES FOR THE REHABILITATION OF MAYOR’S OFFICE PHASE 2 1. The LOCAL GOVERNMENT UNIT OF BAAO, through the Budget for</t>
  </si>
  <si>
    <t xml:space="preserve"> BDF Approved Project</t>
  </si>
  <si>
    <t xml:space="preserve"> Republic of the Philippines Province of Surigao del Sur MUNICIPALITY OF CANTILAN OFFICE OF THE BIDS AND AWARDS COMMITTEE INVITATION TO BID The Municipality of Cantilan allocates fund from 20% EDF 2020 for the Supply &amp; Delivery of Agricultural Supplies for</t>
  </si>
  <si>
    <t xml:space="preserve"> Improvement of drainage system at purok San Marcus Barangay Centro (San Juan), Agdao District, Davao City worth One Hundred Fifty Thousand Pesos (Php150,000.00) Rehabilitation and Construction of Concrete Canal Cover for the Existing Concrete Canal from M</t>
  </si>
  <si>
    <t xml:space="preserve"> Multivitamins+Iron syrup: 60ml Amoxicillin tab: 500mg 100's Anti-Tetanus Serum amp: 1,500 I.U Azithromycin Dihydrate: 500mg 3's Cefalexin cap: 500mg 100's Ciprofloxacin tab: 500mg 100s Clopidogrel tab: 75mg 100's Co-Amoxiclav tab: 625mg 20's Hepa B: Immun</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</si>
  <si>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</si>
  <si>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REQUEST FOR EXPRESSION OF INTEREST FOR  NATIONAL SURVEY ON THE AWARENESS OF PRIVATE FIRMS ON THE PHILIPPINE COMPETITION ACT AND THE PHILIPPINE COMPETITION COMMISSION 1.	The Philippine Competition Commission, through the 2020 General Appropriations Act int</t>
  </si>
  <si>
    <t xml:space="preserve"> 1.	The MUNICIPAL GOVERNMENT OF PALIMBANG through an appropriation from LDRRM Fund FY 2020 (5% of IRA) invites prospective and interested bidders for the project, to wit: 	 SUPPLY AND DELIVERY OF ONE (1) – UNIT RESCUE VEHICLE Solicitation Number: PB-2020-G</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</si>
  <si>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</si>
  <si>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INVITATION TO BID (Public Bidding) The BFAR 08, through its Bids and Awards Committee (BAC), invites eligible suppliers to bid for the hereunder contract:	 NAME OF CONTRACT: 20-04-0503 Supply and Delivery of Tilapia Feeds for Tilapia Culture Livelihood an</t>
  </si>
  <si>
    <t xml:space="preserve"> INVITATION TO BID FOR THE PROCUREMENT OF ONE (1) UNIT BOOM TRUCK W/ COMPLETE ACCESSORIES 1.The LGU-KALINGA, Kalinga Province through its Bids and Awards Committee (BAC) intends to apply the sum of a. Four Million Six Hundred Thousand pesos &amp; 00/100 (P 4,6</t>
  </si>
  <si>
    <t xml:space="preserve"> 1.	The Department of Social Welfare and Development (DSWD) – Pantawid Pamilyang Pilipino Program (hereinafter called “Procuring Entity”) has received financing (hereinafter called “funds”) from the Government of the Republic of the Philippines thru Pantaw</t>
  </si>
  <si>
    <t xml:space="preserve"> Republic of the Philippines DEPARTMENT OF SCIENCE AND TECHNOLOGY PHILIPPINE SCIENCE HIGH SCHOOL-SOCCSKSARGEN REGION CAMPUS Bids and Awards Committee INVITATION TO BID FOR THE INSTALLATION OF POWER,  DISTRIBUTION LINE AND COMMUNICATION SYSTEMS 1.	 The PHIL</t>
  </si>
  <si>
    <t xml:space="preserve"> INVITATION TO BID The City Government of Pasay, through its Bids and Awards Committee (BAC) invites suppliers/manufacturers/distributors/contractors to apply and submit sealed bids for the supply and delivery of the following: Supply and delivery of Vario</t>
  </si>
  <si>
    <t xml:space="preserve"> INVITATION TO BID The City Government of Pasay, through its Bids and Awards Committee (BAC) invites suppliers/manufacturers/distributors/contractors to apply and submit sealed bids for the supply and delivery of the following: Supply, delivery &amp; installat</t>
  </si>
  <si>
    <t xml:space="preserve"> Procurement of Comprehensive Maintenance Service Agreement for Virtualization Software (Project Reference No. 2020-PB-VMWARE-030-01) 1.	The Power Sector Assets and Liabilities Management (PSALM) Corporation, through the 2020 Corporate Operating Budget (fo</t>
  </si>
  <si>
    <t xml:space="preserve"> Republic of the Philippines Province of Leyte Municipality of Kananga BIDS AND AWARDS COMMITTEE Invitation to Bid for CONSTRUCTION OF FLOOD CONTROL AND RETAINING WALL AT BRGY. MAHAWAN, KANANGA, LEYTE 1.	The Municipality of Kananga through the 5% DRRM FUND</t>
  </si>
  <si>
    <t xml:space="preserve"> Republic of the Philippines Province of Leyte Municipality of Kananga BIDS AND AWARDS COMMITTEE Invitation to Bid for CONSTRUCTION OF ADDITIONAL TOMBS / BONE VAULTS AT MUNICIPAL CEMETERY, BRGY. MONTEBELLO, KANANGA, LEYTE 1.	The Municipality of Kananga thr</t>
  </si>
  <si>
    <t xml:space="preserve"> INVITATION TO BID The City Government of Pasay, through its Bids and Awards Committee (BAC) invites suppliers/manufacturers/distributors/contractors to apply and submit sealed bids for the supply and delivery of the following: PREVENTIVE MAINTENANCE for o</t>
  </si>
  <si>
    <t xml:space="preserve"> 1.	The Department of Public Works and Highways Regional Office XI, Davao City, through its Bids and Awards Committee (BAC), invites bidders to submit bids for the Infra projects funded under GAA FY 2020, to wit: Contract ID 	:	20L00137 Contract Name/Locat</t>
  </si>
  <si>
    <t xml:space="preserve"> 1.	The Department of Public Works and Highways Regional Office XI, Davao City, through its Bids and Awards Committee (BAC), invites bidders to submit bids for the Infra projects funded under GAA FY 2020, to wit: Contract ID 	:	20L00043 Contract Name/Locat</t>
  </si>
  <si>
    <t xml:space="preserve"> Seven (7) units Motorcycles See attached link under OTHER INFORMATION BOX</t>
  </si>
  <si>
    <t xml:space="preserve"> Republic of the Philippines Province of Leyte Municipality of Kananga BIDS AND AWARDS COMMITTEE Invitation to Bid for CONCRETING OF ROADS MUNICIPAL WIDE AT  BRGY. POBLACION, KANANGA, LEYTE 1.	The Municipality of Kananga through the General Fund (GF) inten</t>
  </si>
  <si>
    <t xml:space="preserve"> Straight Contract for Water Project Level 3 See attached link under OTHER INFORMATION BOX</t>
  </si>
  <si>
    <t xml:space="preserve"> Straight Contract for Water Project Level 2 See attached link/Url under OTHER INFORMATION BOX</t>
  </si>
  <si>
    <t xml:space="preserve"> Straight Contract for Water Project Level 3 See attached link/Url under OTHER INFORMATION BOX</t>
  </si>
  <si>
    <t xml:space="preserve"> Five (5) units Mini Dump truck - Surplus Reconditioned See attached link/Url under OTHER INFORMATION BOX</t>
  </si>
  <si>
    <t xml:space="preserve"> INVITATION TO BID (Public Bidding) The BFAR 08, through its Bids and Awards Committee (BAC), invites eligible suppliers to bid for the hereunder contract:	 NAME OF CONTRACT: 20-04-0511 Supply and Delivery of Materials for the Intensive Tilapia Culture in </t>
  </si>
  <si>
    <t xml:space="preserve"> Straight Contract for Improvement of Commission House See attached link/Url under OTHER INFORMATION BOX</t>
  </si>
  <si>
    <t xml:space="preserve"> Straight Contract for Water Project See attached link/Url under OTHER INFORMATION BOX</t>
  </si>
  <si>
    <t xml:space="preserve"> Straight Contract for Rehabilitation of Covered Court See attached link/Url under OTHER INFORMATION BOX</t>
  </si>
  <si>
    <t xml:space="preserve"> Straight Contract for Construction of Multi-Purpose Building - Dialysis Center See attached link/Url under OTHER INFORMATION BOX</t>
  </si>
  <si>
    <t xml:space="preserve"> The Municipal Government of Marilao hereby invites suppliers and distributors to apply for eligibility and to bid in accordance with IRR of R.A. 9970 for the supply of labor and materials in the amount of 5,000,000.00</t>
  </si>
  <si>
    <t xml:space="preserve"> The Municipal Government of Marilao hereby invites suppliers and distributors to apply for eligibility and to bid in accordance with IRR of R.A. 9970 for the FILLING MATERIALS in the amount of Php 5,000,000.00</t>
  </si>
  <si>
    <t xml:space="preserve"> The Municipal Government of Marilao hereby invites suppliers and distributors to apply for eligibility and to bid in accordance with IRR of R.A. 9970 for the supply of labor and materials in the amount of Php 1,400,000.00</t>
  </si>
  <si>
    <t xml:space="preserve"> 1.	The LGU-Mallig, Isabela, through the Tobacco Excise Tax 2016 intends to apply the sum of Five Million Fifty-Seven Thousand Eight Hundred Ninety Four Pesos &amp; 40/100 Only (Php 5,057,894.40) being the Approved Budget for the Contract (ABC) to payments und</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</si>
  <si>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</si>
  <si>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Straight Contract for Construction of Health Center See attached link/Url under OTHER INFORMATION BOX</t>
  </si>
  <si>
    <t xml:space="preserve"> INVITATION TO BID (Public Bidding) The BFAR 08, through its Bids and Awards Committee (BAC), invites eligible suppliers to bid for the hereunder contract:	 		 NAME OF CONTRACT: 20-03-0414 Supply and Delivery of Feeds and Fingerlings for Bangus Production </t>
  </si>
  <si>
    <t xml:space="preserve"> 1.	The Government Service Insurance System (GSIS) through the GSIS Corporate Operating Budget for CY 2020 intends to apply the sum of Five Million Pesos (Php5,000,000.00) being the Approved Budget for the Contract (ABC) to payments under the contract for </t>
  </si>
  <si>
    <t xml:space="preserve"> Sample description</t>
  </si>
  <si>
    <t xml:space="preserve"> 638 bags Portland Cement 71 cu.m Gravel 35.5 cu.m Washed Sand 15 pcs. 12mm DRB 15 kgs. Asphalt Sealant 15 cu.m Aggregate Sub Base Coarse Form Works  14 pcs. 2 x 6 x 12 coco 5 kgs. CW Nails #4 Rental Equipment  8 days rental Concrete Bagger Mixer</t>
  </si>
  <si>
    <t xml:space="preserve"> 1 LOT - PROCUREMENT FOR DEPED RO8 CY 2020 GENERAL SUPPLIES UNIT	PARTICULARS	QTY. roll	ACETATE 1 can	AIR FRESHENER, aerosol, 280ml/150g min 100 bottle	ALCOHOL, ethyl 70%, SOLUTION, 500ml 600 piece	BALL POINT PEN, BLACK	834 piece	BALL POINT PEN, BLUE 	930 p</t>
  </si>
  <si>
    <t xml:space="preserve"> Straight Contract for Installation of Street Lights (Phase 2) Along National Highway See attached link/Url under OTHER INFORMATION BOX</t>
  </si>
  <si>
    <t xml:space="preserve"> Supply and Delivery of Tires</t>
  </si>
  <si>
    <t xml:space="preserve"> School Forms JHS for students grades anf files use</t>
  </si>
  <si>
    <t xml:space="preserve"> INVITATION TO BID NO. 20-57  SUPPLY &amp; DELIVERY OF WHEELED STRETCHER 1.	The Department of Health, Center for Health Development Bicol (DOH – CHD Bicol), through the 2020 General Appropriations Act intends to apply the sum of One Million Seven Hundred Thous</t>
  </si>
  <si>
    <t xml:space="preserve"> Supply and Delivery of Oils and Lubricants</t>
  </si>
  <si>
    <t xml:space="preserve"> Please refer to attached documents.</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</si>
  <si>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</si>
  <si>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INVITATION TO BID 20-52  SUPPLY &amp; DELIVERY OF OPERATING ROOM LED LIGHT, AND OPERATING ROOM TABLE 1.	The Department of Health, Center for Health Development Bicol (DOH – CHD Bicol), through the 2020 General Appropriations Act intends to apply the sum of On</t>
  </si>
  <si>
    <t xml:space="preserve"> Contract Reference Number: 006976-0000-00 Name of Project and Location: Slope Protection and PCCP at Yabo River, Bgy. Carolina Approved Budget for the Contract  (ABC): P 2,211,800.00 Contract Duration (calendar days): 120	 Equipment Required: concrete mix</t>
  </si>
  <si>
    <t xml:space="preserve"> EARTHWORKS CONCRETE WORKS MASONRY WORKS ROOFING WORKS ELECTRICAL WORKS MECHANICAL WORKS SANITARY/PLUMBING WORKS</t>
  </si>
  <si>
    <t xml:space="preserve"> Contract Reference Number: 007026-2020-01 Name of Project and Location: Improvement of JMR Museum at J. Miranda Avenue corner Taal Avenue, Bgy. Concepcion Pequena Approved Budget for the Contract  (ABC): P 2,900,300.00	 Contract Duration (calendar days): </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</si>
  <si>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</si>
  <si>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Contract Reference Number: 007116-2020-01 Name of Project and Location: Completion of Earthfilling and Rip-rap at Sta. Cruz HS Access Road, Bgy. Sta. Cruz Approved Budget for the Contract  (ABC): 2,850,500.00 Contract Duration (calendar days): 90	 Equipme</t>
  </si>
  <si>
    <t xml:space="preserve"> INVITATION TO BID for  Provision of Motor Vehicle, and Motorcycle (G-20-03-A) 1.	The Central Bicol State University of Agriculture (CBSUA), through the Unexpended Income 2019 Fund intends to apply the sum of Two Million Eight Hundred Eighty Thousand Pesos</t>
  </si>
  <si>
    <t xml:space="preserve"> Construction/Rehabilitation of Multi-Purpose Building,</t>
  </si>
  <si>
    <t xml:space="preserve"> please refer to attached documents</t>
  </si>
  <si>
    <t xml:space="preserve"> INVITATION TO BID NO. 20-41 SUPPLY &amp; DELIVERY OF IUD INSERTION SET 1.	The Department of Health, Center for Health Development Bicol (DOH – CHD Bicol), through the 2020 General Appropriations Act intends to apply the sum of One Million Sixty Five Thousand </t>
  </si>
  <si>
    <t xml:space="preserve"> Construction of Multi-Purpose Building and other Improvement at Brgy. Talon 2, Las Pinas City</t>
  </si>
  <si>
    <t xml:space="preserve"> INVITATION TO BID 20-40  SUPPLY &amp; DELIVERY OF HOSPITAL EQUIPMENT AND FURNITURE 1.	The Department of Health, Center for Health Development Bicol (DOH – CHD Bicol), through the 2020 General Appropriations Act intends to apply the sum of Six Million Pesos (P</t>
  </si>
  <si>
    <t xml:space="preserve"> INVITATION TO BID 20-53  SUPPLY, DELIVERY, AND INSTALLATION OF X-RAY MACHINE 1.	The Department of Health, Center for Health Development Bicol (DOH – CHD Bicol), through the 2020 General Appropriations Act intends to apply the sum of Four Million Five Hund</t>
  </si>
  <si>
    <t xml:space="preserve"> INVITATION TO BID 20-56  SUPPLY &amp; DELIVERY OF INFANT INCUBATOR 1.	The Department of Health, Center for Health Development Bicol (DOH – CHD Bicol), through the 2020 General Appropriations Act intends to apply the sum of One Million One Hundred Forty Thousa</t>
  </si>
  <si>
    <t xml:space="preserve"> One (1) Unit Laptop and One (1) Unit External Hard Drive</t>
  </si>
  <si>
    <t xml:space="preserve"> Construction  of Multi-Purpose Building</t>
  </si>
  <si>
    <t xml:space="preserve"> Drainage Improvement including Rehabilitation of Road</t>
  </si>
  <si>
    <t xml:space="preserve"> INVITATION TO BID 20-60  SUPPLY &amp; DELIVERY OF VARIOUS LABORATORY  AND DIAGNOSTIC EQUIPMENT 1.	The Department of Health, Center for Health Development Bicol (DOH – CHD Bicol), through the 2020 General Appropriations Act intends to apply the sum of Five Mil</t>
  </si>
  <si>
    <t xml:space="preserve"> 1	set	Transmitter with complete accessories	 		    600watts FM Transmitter (Brand New)	 		       - RF Output Power : 0-600 watts 1w/step	 		       - Frequency Range : 87.5-108 Mhz, 100Khz/step	 		       - RF Output Connector : L29-Female	 		       - RF Ou</t>
  </si>
  <si>
    <t xml:space="preserve"> Contract Reference Number: 007099-2020-01 Name of Project and Location: Road Concreting (half-lane) and RCBC at Sta. Cruz HS Access Road, Bgy. Sta. Cruz Approved Budget for the Contract  (ABC): 3,630,400.00 Contract Duration (calendar days): 120	 Equipmen</t>
  </si>
  <si>
    <t xml:space="preserve"> INVITATION TO BID NO. 20-61  SUPPLY &amp; DELIVERY OF WEIGHING SCALE (ADULT AND INFANT) 1.	The Department of Health, Center for Health Development Bicol (DOH – CHD Bicol), through the 2020 General Appropriations Act intends to apply the sum of Three Million S</t>
  </si>
  <si>
    <t xml:space="preserve"> 1.	The Department of Public Works and Highways Regional Office XI, Davao City, through its Bids and Awards Committee (BAC), invites bidders to submit bids for the Infra projects funded under GAA FY 2020, to wit: Contract ID 	:	20L00140 Contract Name/Locat</t>
  </si>
  <si>
    <t xml:space="preserve"> Construction  of Multi-Purpose Building,</t>
  </si>
  <si>
    <t xml:space="preserve"> 5 brother ink-BT5000 cyan 4 brother ink-BT5000 magenta 6 brother ink - BT5000 yellow 5 brother ink - BT5000 black 4 brother Dcp - T710w ink black 2 brother dcp - t710w ink cyan 2 brother dcp- T710w ink magenta 2 brother dcp - T710w ink - yellow 14 comp in</t>
  </si>
  <si>
    <t xml:space="preserve"> 1	3	piece	Memory Card, Extreme Pro SDXC Memory Card 32 GB-2 pieces, Micro SD Card 64 GB- 1 piece  2	86	Unit	Flash Drive, 16GB, USB 3.0 3	5	Unit	Flash Drive, 64GB, USB 3.0 4	3	piece	Flash Drive, USB OTG (On the Go flash drive; USB connection,support Hot pl</t>
  </si>
  <si>
    <t xml:space="preserve"> Invitation to Bid for Construction of Multi-Purpose Hall for Livelihood for the Barangay Lim-ao Resettlement Site Home Owners Association, Brgy.Lim-ao, Kananga, Leyte 1.	The Barangay Government of Lim-ao, Kananga, Leyte, through its BIDS AND AWARDS COMMIT</t>
  </si>
  <si>
    <t xml:space="preserve"> INVITATION TO BID FOR IMPROVEMENT OF MULTI-PURPOSE BUILDING – PANDAYAN (SLAUGHTERHOUSE) The Municipality of San Juan, through its Bids and Awards Committee (BAC), invites contractors to submit bids for the following Contract: Contract ID		:          	20-0</t>
  </si>
  <si>
    <t xml:space="preserve"> INVITATION TO BID CONCRETING OF LOCAL CORE ACCESS ROAD ALONG BARANGAY 3 TO BARANGAY STA. ANA, SFADS The Municipal Government of San Francisco, Agusan del Sur, through the BIDS and AWARDS COMMITTEE (BAC) intends to apply the sum of SEVEN MILLION, EIGHT HUN</t>
  </si>
  <si>
    <t xml:space="preserve"> The Bids and Awards Committee of Barangay Miligan now invite bids for the above mentioned project. The pre-bid conference shall be opened to interested parties who have purchased the bidding documents on July 3, 2020, 2:00 P.M. at the Barangay Hall of Mil</t>
  </si>
  <si>
    <t xml:space="preserve"> Name of Project: Purchase of 56 units Jet-type Pitcher  Location: Pura, Tarlac  ABC: Php150,000.00</t>
  </si>
  <si>
    <t xml:space="preserve"> ITEM            QUANTITY            UNIT                DESCRIPTION 102(2)             61.2                 CU.M               COMMON EXCAVATION 201                 61.2                  CU.M               AGGREGATE BASE COURSE 301                 306    </t>
  </si>
  <si>
    <t xml:space="preserve"> INVITATION TO BID FOR THE SUPPLY OF FUEL  FOR THE THIRD QUARTER The Municipality of Isulan, through the 2020 GENERAL FUND  intends to apply the sum of ONE MILLION FIVE HUNDRED NINETY-FIVE THOUSAND NINE HUNDRED FIFTY-SEVEN PESOS &amp; 20/100 ONLY  (P1,595,957.</t>
  </si>
  <si>
    <t xml:space="preserve"> ITEM: 142 bag/s  Portland Cement 40kg 8     cu.m.  Washed Sand 16   cu.m.  Coarsed Gravel 10   length/s 12mm.dia.x6m.Deformed Bars 100 bd.ft  10-2"x 6" x 10ft Coco Lumber 2     pc/s  Hacksaw Blade 8     kg/s  Assorted Nails 5     liters Asphalt Sealant</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</si>
  <si>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</si>
  <si>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1	2	Unit	Branded/Brand New Processor : Intel Core i7-8700T 2.40 GHz Processor (12M Cache, up to 4.00 GHz) Memory : 8 GB DDR4-2400 SDRAM (1 x 8 GB) Storage : 1 TB 7200 rpm SATA Optical Drive : DVD writer ODD Operating System : Windows 10 Pro Display : 23.8</t>
  </si>
  <si>
    <t xml:space="preserve"> INVITATION TO BID 20-43  SUPPLY AND DELIVERY OF DENTAL SET, AND DENTAL UNIT 1.	The Department of Health, Center for Health Development Bicol (DOH – CHD Bicol), through the 2020 General Appropriations Act intends to apply the sum of Four Million Three Hund</t>
  </si>
  <si>
    <t xml:space="preserve"> SUPPLY AND DELIVERY OF LABORATORY SUPPLIES (APHERESIS KIT FOR RED CELL-PLASMA EXCHANGE-APHERESIS KIT FOR PLATELET) -ORDER OF PAYMENT FOR BID DOCS WILL BE AVAILABLE AT GSD-HEAD OFFICE @ 10TH FLOOR MAKATI CITY HALL BLDG. 2. LOOK FOR MR. REDEN VILLANUEVA. A </t>
  </si>
  <si>
    <t xml:space="preserve"> Republic of the Philippines						 Department of Environment and Natural Resources						 FORESTLAND MANAGEMENT PROJECT						 Province of Iloilo, Region VI						 						 SUBPROJECT PROGRAM OF WORK						 Subproject Title/Name		Construction of Canauillian Hang</t>
  </si>
  <si>
    <t xml:space="preserve"> Ceiling works Tile works Electrical works Painting works Plumbing works Doors and windows</t>
  </si>
  <si>
    <t xml:space="preserve"> Department of Education Region VI-Western Visayas Cadiz City Alimatoc Elementary School Small Vlue Procurement for the Repair and Maintenance of Faulty Electrical Wiring of Alimatoc Elementary School 1.	The Alimatoc Elementary School, through the School’s</t>
  </si>
  <si>
    <t xml:space="preserve"> INVITATION TO BID  FOR THE SUPPLY &amp; DELIVERY OF 2 SETS HIGH VOLUME LOW SPEED FAN The Municipality of Isulan, through the 2020 GENERAL FUND  intends to apply the sum of ONE MILLION PESOS ONLY (P1,000,000.00) being the total Approved Budget for the Contract</t>
  </si>
  <si>
    <t xml:space="preserve"> Republic of the PhilippinesA1:R44C16A1:R31A1:R64A1:R75C16A1:R31A1:R76A1:R74A1:R75A1:R76A1:R75A1:R76						 Department of Environment and Natural Resources						 FORESTLAND MANAGEMENT PROJECT						 Province of Iloilo, Region VI						 						 BILL OF QUANTITI</t>
  </si>
  <si>
    <t xml:space="preserve"> ITEM          DESCRIPTION                          QTY.       UNIT I.              Construction of Water System      2          units</t>
  </si>
  <si>
    <t xml:space="preserve"> INVITATION TO BID NO. 20-64 SUPPLY &amp; DELIVERY OF ULTRASOUND SCANNER MACHINE  WITH TRANS-VAGINAL PROBE 1.	The Department of Health, Center for Health Development Bicol (DOH – CHD Bicol), through the 2020 General Appropriations Act intends to apply the sum </t>
  </si>
  <si>
    <t xml:space="preserve"> Republic of the Philippines Province of Camarines Sur MUNICIPALITY OF BAAO INVITATION TO BID FOR THE PURCHASE OF BRANDNEW EMERGENCY TRANSPORT VEHICLE 1. The LOCAL GOVERNMENT UNIT OF BAAO, through the Budget for the contract approved by the Sanggunian 2020</t>
  </si>
  <si>
    <t xml:space="preserve"> 3 unit MOTORCYCLE: Engine Type: 4-Stroke, 2 Valves, SOHC, Air-cooled Displacement:124cc-125cc min. Maximum Power: 9.13kw @ 8,000 rpm min. Maximum Torque: 11.50Nm (1.2kgf.m) 6,500 rpm min. Bore X Stroke: 57.30 x 57.84 (mm) Starting System: Electric &amp; Kick </t>
  </si>
  <si>
    <t xml:space="preserve"> INVITATION TO BID 20-48  SUPPLY &amp; DELIVERY OF VARIOUS MEDICAL EQUIPMENT 1.	The Department of Health, Center for Health Development Bicol (DOH – CHD Bicol), through the 2020 General Appropriations Act intends to apply the sum of Five Million Seven Hundred </t>
  </si>
  <si>
    <t xml:space="preserve"> Republic of the Philippines						 Department of Environment and Natural Resources						 FORESTLAND MANAGEMENT PROJECT						 Province of Iloilo, Region VI						 						 BILL OF QUANTITIES						 Subproject Title/Name		Construction of Caratagan Irrigation Pip</t>
  </si>
  <si>
    <t xml:space="preserve"> Hygiene Kit Assistance for Senior Citizens</t>
  </si>
  <si>
    <t xml:space="preserve"> Republic of the Philippines						 Department of Environment and Natural Resources						 FORESTLAND MANAGEMENT PROJECT						 Province of Iloilo, Region VI						 						 BILL OF QUANTITIES						 Subproject Title/Name		Construction of Atimonan Irrigation and </t>
  </si>
  <si>
    <t xml:space="preserve"> INVITATION TO BID NO. 20-49  SUPPLY &amp; DELIVERY OF PHOTOTHERAPY UNIT 1.	The Department of Health, Center for Health Development Bicol (DOH – CHD Bicol), through the 2020 General Appropriations Act intends to apply the sum of One Million Five Hundred Thousa</t>
  </si>
  <si>
    <t xml:space="preserve"> INVITATION TO BID NO. 20-35  SUPPLY &amp; DELIVERY OF VENTILATOR 1.	The Department of Health, Center for Health Development Bicol (DOH – CHD Bicol), through the 2020 General Appropriations Act intends to apply the sum of Two Million Seven Hundred Thousand Pes</t>
  </si>
  <si>
    <t xml:space="preserve"> INVITATION TO BID CONSTRUCTION OF OYSTER MUSHROOM BUILDING (PHASE 1), MUNICIPAL AGRICULTURE’S OFFICE, BARANGAY 3, SFADS The Municipal Government of San Francisco, Agusan del Sur, through the BIDS and AWARDS COMMITTEE (BAC) intends to apply the sum of NINE</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</si>
  <si>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</si>
  <si>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Republic of the Philippines Department of Environment and Natural Resources ENVIRONMENTAL MANAGEMENT BUREAU Region VI, Iloilo City INVITATION TO BID FOR THE SUPPLY AND DELIVERY OF ICT SUPPLIES AND OTHER PERIPHERALS OF EMB REGION VI CY 2020 (RE-BID) ITB No</t>
  </si>
  <si>
    <t xml:space="preserve"> INVITATION TO BID for Procurement of Printer for 2020 1.	The Pedro Pitogo Elementary School of Cadiz City, through the Schools MOOE Fund CY 2020  intends to apply the sum of Seventeen Thousand Pesos (Php. 17,000.00) being the Approved Budget for the Contr</t>
  </si>
  <si>
    <t xml:space="preserve"> Department of Education Region VI-Western Visayas Division of Cadiz City Alimatoc Elementary School INVITATION TO BID FOR THE PROVISION OF MEDICINES  AND WASH IN SCHOOLFOR 2020 1.	The Alimatoc Elementary School of Cadiz City, through the Schools MOOE Fund</t>
  </si>
  <si>
    <t xml:space="preserve"> Republic of the Philippines PROVINCE OF CAMIGUIN Mambajao, Camiguin BIDS AND AWARDS COMMITTEE (BAC) INVITATION TO BID  The Provincial Government of Camiguin through its Bids and Awards Committee (BAC) invites all interested and qualified bidders/suppliers</t>
  </si>
  <si>
    <t xml:space="preserve"> INVITATION FOR NEGOTIATIONS  1.	The Technological University of the Philippines Visayas through Fund 164 FY2015 internally generated income per BOR Resolution No. 20, s. 2019 intends to apply the sum of One Million Two Hundred Thousand Pesos Only (Php1,20</t>
  </si>
  <si>
    <t xml:space="preserve"> The Local Government Unit of Enrile through the 20% Development Fund 2020 intends to apply the sum TWO Million Five Hundred Thousand pesos (Php 2,500,000.00) being the Approved Budget for the Contract (ABC) to payments under the contract for the Improveme</t>
  </si>
  <si>
    <t xml:space="preserve"> Republic of the Philippines DEPARTMENT OF PUBLIC WORKS AND HIGHWAYS CAMARINES SUR 2ND DISTRICT ENGINEERING OFFICE Regional Office V Baras, Canaman, Camarines Sur INVITATION TO BID FOR  20FE0124 – CONSTRUCTION OF CLASSROOMS, PAMPLONA NHS, PAMPLONA, CAMARIN</t>
  </si>
  <si>
    <t xml:space="preserve"> 5	pieces	DPPH (2,2-diphenyl-1-picrylhydrazyl), 1 g/bottle 3	bottles	Ferric chloride 6H20, APS, 500g, AR grade 5	bottles	Petroleum Ether, 4 liter/bottle, AR grade 4	bottles	Folin-Ciocalteau, Folin-Ciocalteau Standard Reagent ,  Analytical Grade; Folin-Cioc</t>
  </si>
  <si>
    <t xml:space="preserve"> INVITATION TO BID FOR The Department of Public Works and Highways Camarines Sur 5TH, District Engineering Office through its Bids and Awards Committee (BAC) for Goods, invites suppliers to submit bids for the following Contract: Contract ID No. 20GFN0006 </t>
  </si>
  <si>
    <t xml:space="preserve"> SUPPLY AND DELIVERY OF WALL FANS FOR ALL PUBLIC ELEMENTARY AND SECONDARY SCHOOLS IN MAKATI CITY -ORDER OF PAYMENT FOR BID DOCS WILL BE AVAILABLE AT GSD-HEAD OFFICE @ 10TH FLOOR MAKATI CITY HALL BLDG. 2. LOOK FOR MR. REDEN VILLANUEVA. A COMPLETE SET OF BID</t>
  </si>
  <si>
    <t xml:space="preserve"> Republic of the Philippines Province of Camarines Norte Municipality of Mercedes BIDS AND AWARDS COMMITTEE Municipal Engineer’s Office, LGU - Mercedes, Camarines Norte INVITATION TO BID FOR PURCHASE OF ONE (1) UNIT BRAND NEW HIGH LEVEL MODEL AMBULANCE WIT</t>
  </si>
  <si>
    <t xml:space="preserve"> INVITATION TO BID FOR The Department of Public Works and Highways Camarines Sur 5TH, District Engineering Office through its Bids and Awards Committee (BAC) for Goods, invites suppliers to submit bids for the following Contract: Contract ID No. 20GFN0007 </t>
  </si>
  <si>
    <t xml:space="preserve"> 3.	a)  Contract ID:	20OF0319 b)  Contract Name:	Construction of four (4) storey twelve (12) classroom School Building at Placido Del Mundo E/S, Q.C. c)  Contract Location:	Quezon City d)  Scope of Work:	Construction of Building e)  Approved Budget for the</t>
  </si>
  <si>
    <t xml:space="preserve"> 5.	a)  Contract ID:	20OF0321 b)  Contract Name:	Construction/Rehabilitation of Multi-Purpose Building, Vargas Compound, Brgy. Culiat, Q.C. c)  Contract Location:	Quezon City d)  Scope of Work:	Construction/Rehabilitation of Building e)  Approved Budget fo</t>
  </si>
  <si>
    <t xml:space="preserve"> BUTUAN CITY WATER DISTRICT Gov. Jose A. Rosales Ave., Butuan City INVITATION TO BID  For Package 03 -2020: Vehicle Rental Services of Eighteen (18) Units Vehicle with Tracker (Global Positioning System) for the Year 2020 The BUTUAN CITY WATER DISTRICT thr</t>
  </si>
  <si>
    <t xml:space="preserve"> INVITATION TO BID FOR The Department of Public Works and Highways Camarines Sur 5TH, District Engineering Office through its Bids and Awards Committee (BAC) for Goods, invites suppliers to submit bids for the following Contract: Contract ID No. 20GFN0008 </t>
  </si>
  <si>
    <t xml:space="preserve"> SUPPLY AND DELIVERY OF CUSTOMIZED ON-THE-GO (OTG) FLASHDRIVES FOR DISTRIBUTION TO ALL PUBLIC ELEMENTARY AND SECONDARY STUDENTS, TEACHERS AND TEACHING RELATED PERSONNEL IN MAKATI CITY -ORDER OF PAYMENT FOR BID DOCS WILL BE AVAILABLE AT GSD-HEAD OFFICE @ 10</t>
  </si>
  <si>
    <t xml:space="preserve"> SUPPLY AND DELIVERY OF CUSTOMIZED WASHABLE/REUSABLE CLOTH FACE MASKS WITH POUCH FOR DISTRIBUTION TO ALL PUBLIC ELEMENTARY AND SECONDARY STUDENTS IN MAKATI CITY -ORDER OF PAYMENT FOR BID DOCS WILL BE AVAILABLE AT GSD-HEAD OFFICE @ 10TH FLOOR MAKATI CITY HA</t>
  </si>
  <si>
    <t xml:space="preserve"> INVITATION TO BID for Reproduction of Modules for SY 2020-2021 1.	The Pedro Pitogo Elementary School of Cadiz City, through the Schools MOOE Fund CY 2020  intends to apply the sum of Thirteen Thousand Six Hundred Fifty Pesos (Php. 13, 650) being the Appro</t>
  </si>
  <si>
    <t xml:space="preserve"> PRINTING/REPRODUCTION OF SELF-DIRECTED LEARNER'S MODULES FOR ALL PUBLIC ELEMENTARY AND SECONDARY SCHOOLS IN MAKATI CITY -ORDER OF PAYMENT FOR BID DOCS WILL BE AVAILABLE AT GSD-HEAD OFFICE @ 10TH FLOOR MAKATI CITY HALL BLDG. 2. LOOK FOR MR. REDEN VILLANUEV</t>
  </si>
  <si>
    <t xml:space="preserve"> 1.	a)  Contract ID:	20OF0317 b)  Contract Name:	Construction of four (4) storey sixteen (16) classroom School Building at Rosa L. Susano E/S, Q.C. c)  Contract Location:	Quezon City d)  Scope of Work:	Construction of Building e)  Approved Budget for the C</t>
  </si>
  <si>
    <t xml:space="preserve"> INVITATION TO BID FOR The Department of Public Works and Highways Camarines Sur 5TH, District Engineering Office through its Bids and Awards Committee (BAC) for Goods, invites suppliers to submit bids for the following Contract: Contract ID No. 20GFN0005 </t>
  </si>
  <si>
    <t xml:space="preserve"> Department of Public Works and Highways (DPWH) Contract ID: 20G00099 Contract Name: Repair/Maintenance of DPWH Buildings, Regional Office Location of the Contract: Fort San Pedro, Iloilo City ---------------------------------------------------------------</t>
  </si>
  <si>
    <t xml:space="preserve"> ITEM                       QTY                                  UNIT                                         ITEM DESCRIPTION 1                       27,188.77                             LITERS                                           DIESEL 2          </t>
  </si>
  <si>
    <t xml:space="preserve"> 4.	a)  Contract ID:	20OF0320 b)  Contract Name:	Construction of Retaining Wall at Kaligayahan E/S, Q.C. c)  Contract Location:	Quezon City d)  Scope of Work:	Construction of Retaining Wall e)  Approved Budget for the Contract (ABC):  P 13,860,333.50 f)  C</t>
  </si>
  <si>
    <t xml:space="preserve"> (Section I) Republic of the Philippines Department of Health CENTER FOR HEALTH DEVELOPMENT MIMAROPA Q.M.M.C. Compound, Project 4, Quezon City INVITATION TO BID  PUBLIC BIDDING FOR THE SUPPLY AND DELIVERY OF FAMILY PLANNING COMMODITIES  (LINE ITEMS)  The D</t>
  </si>
  <si>
    <t xml:space="preserve"> BIDS AND AWARDS COMMITTEE INVITATION TO BID  	The City Government of Valenzuela, through its Bids and Award Committee (BAC), invites contractors registered with the Philippine Contractors Accreditation Board (PCAB) to apply for eligibility and to bid for </t>
  </si>
  <si>
    <t xml:space="preserve"> 2.	a)  Contract ID:	20OF0318 b)  Contract Name:	Construction of four (4) storey twelve (12) classroom School Building at Lucas R. Pascual E/S, Q.C. c)  Contract Location:	Quezon City d)  Scope of Work:	Construction of Building e)  Approved Budget for the </t>
  </si>
  <si>
    <t xml:space="preserve"> Republic of the Philippines  Province of Nueva Ecija City Government of Palayan INVITATION TO BID FOR THE CONSTRUCTION MATERIALS FOR 7-UNITS HOUSING PROJECT  1.	The City Government of Palayan, through the Trust Fund for the year 2020 intends to apply the </t>
  </si>
  <si>
    <t xml:space="preserve"> Article/Description            Qty       Unit                 TILES 60X60                  120        PCS.                      ADHESIVE                      10        SACKS               GROUTH                          5          KLS.                    </t>
  </si>
  <si>
    <t xml:space="preserve"> 7.	a)  Contract ID:	20OF0323 b)  Contract Name:	Construction of Multi-Purpose Building and Integrated Learning Facilities at Brgy. Santa Monica, Q.C. c)  Contract Location:	Quezon City d)  Scope of Work:	Construction of Building e)  Approved Budget for th</t>
  </si>
  <si>
    <t xml:space="preserve"> REPAIR / REPLACEMENT OF DEFECTIVE CCTV CAMERA AT AGUS 7 SPILLWAY</t>
  </si>
  <si>
    <t xml:space="preserve"> 5	pieces	Methyl tert-Butyl Ether, HPLC grade, 4L/bottle 5	bottles	Acetonitrile, HPLC Grade, 4L/bottle 5	bottles	Tetrahydrofuran, HPLC 99 8%, 4L per bottle, I L/LC1200-G 4	pieces	Diethyl-ether, HPLC grade, 4L/bottle 5	liters	Methanol, analytical grade, 1L/</t>
  </si>
  <si>
    <t xml:space="preserve"> ISO VG68</t>
  </si>
  <si>
    <t xml:space="preserve"> See attached Annex A of AMP-RFQ-2020-081</t>
  </si>
  <si>
    <t xml:space="preserve"> &gt; The Municipality of San Quintin Abra now invites bids for the PURCHASE OF FARM INPUTS AND EQUIPMENTS with the following items: 1. WATER PUMP DIESEL 80PH (WITH VASE AND PUMP) - 56 UNITS 2. FARM HOSE 2" - 70 ROLLS 3. HAND TRACTOR (KULIGLIG) 12PH WITH COMP</t>
  </si>
  <si>
    <t xml:space="preserve"> SUPPLY AND DELIVERY OF CONSTRUCTION MATERIALS FOR THE REPAIR OF RADIO STATION BUILDING CHARGE TO NON OFFICE</t>
  </si>
  <si>
    <t xml:space="preserve"> Revised on: July 28, 2004                                            INVITATION TO APPLY FOR ELIGIBILITY AND TO BID                        The Local Government Unit of Catanauan, Quezon, through its Bids and Awards Committee (BAC), invites suppliers/manuf</t>
  </si>
  <si>
    <t xml:space="preserve"> Republic of the Philippines DEPARTMENT OF PUBLIC WORKS AND HIGHWAYS CAMARINES SUR 2ND DISTRICT ENGINEERING OFFICE Regional Office V Baras, Canaman, Camarines Sur INVITATION TO BID FOR  20FE0126 – CONSTRUCTION OF CLASSROOMS, MALITBOG ES, MINALABAC, CAMARIN</t>
  </si>
  <si>
    <t xml:space="preserve"> INVITATION TO BID FOR THE SUPPLY, DELIVERY AND COMMISSIONING OF ENDOSCOPIC VIDEO INFORMATION SYSTEM WITH BUILT-IN NARROW BAND IMAGING SYSTEM 1.  The Cagayan Valley Medical Center (CVMC), intends to apply the sum Thirteen Million Pesos (Php   13,000,000.00</t>
  </si>
  <si>
    <t xml:space="preserve"> SUPPLY AND DELIVERY OF CONSTRUCTION MATERIALS FOR THE CONSTRUCTION OF VIEW DECK PHASE II CHARGE TO 20% EDF 2020</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</si>
  <si>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</si>
  <si>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Republic of the Philippines  City of Canlaon Office of the Bids and Awards Committee  INVITATION TO BID FOR the Rehabilitation of Water System The Local Government of Canlaon City, through AIP 2020. Intends to apply the sum Three Hundred Seven Thousand Fo</t>
  </si>
  <si>
    <t xml:space="preserve"> Department of Public Works and Highways (DPWH) Contract ID: 20G00100 Contract Name: Construction of Concrete Road – Barangay Comon – San Pedro Coastal Road leading to San Jose Port and Beaches, Resorts and Sunset Viewing, San Jose, Antique Location of the</t>
  </si>
  <si>
    <t xml:space="preserve"> The Municipal Government of Marilao hereby invites suppliers and distributors to apply for eligibility and to bid in accordance with IRR of R.A. 9970 for the HAULING, TRANSFER AND DISPOSAL OF SOLID WASTE in the amount of Php 15,200,000.00</t>
  </si>
  <si>
    <t xml:space="preserve"> REPUBLIC OF THE PHILIPPINES 		                PROVINCE OF PALAWAN MUNICIPALITY OF LINAPACAN June 5, 2020 											  Date                                                                                                                                     </t>
  </si>
  <si>
    <t xml:space="preserve"> WAREHOUSE HANDLING (AND ALLIED) SERVICES FOR NFA-NCR AND BATANES WAREHOUSES</t>
  </si>
  <si>
    <t xml:space="preserve"> Republic of the Philippines  City of Canlaon Office of the Bids and Awards Committee  INVITATION TO BID FOR the Improvement/Rehabilitation of Administrative Building The Local Government of Canlaon City, through AIP 2020. Intends to apply the sum Eight Hu</t>
  </si>
  <si>
    <t xml:space="preserve"> LABOR ONLY</t>
  </si>
  <si>
    <t xml:space="preserve"> Republic of the Philippines  City of Canlaon Office of the Bids and Awards Committee  INVITATION TO BID FOR the Improvement of Multi-purpose Building The Local Government of Canlaon City, through AIP 2020. Intends to apply the sum Six Hundred Forty Three </t>
  </si>
  <si>
    <t xml:space="preserve"> Local Government Unit of Cordon, Isabela Invitation to Bid for Construction of Multi-Purpose Hall located  at LGU-Cordon, Isabela. 1.	The Local Government Unit, through the 20%EDF 2020 intends to apply the sum of Nine Million Three Hundred Ninety Nine Tho</t>
  </si>
  <si>
    <t xml:space="preserve"> Republic of the Philippines  City of Canlaon Office of the Bids and Awards Committee  INVITATION TO BID FOR the Concreting of Pathway The Local Government of Canlaon City, through AIP 2020. Intends to apply the sum One Hundred Ninety Four Thousand Two Hun</t>
  </si>
  <si>
    <t xml:space="preserve"> REPUBLIC OF THE PHILIPPINES 		                PROVINCE OF PALAWAN MUNICIPALITY OF LINAPACAN 	June 5, 2020 Invitation to Bid (ITB No. 30-20) 1.	The Municipal Government of Linapacan, Palawan through the Municipal Development Fund 2020 (20%) intends to appl</t>
  </si>
  <si>
    <t xml:space="preserve"> The Philippine Nuclear Research Institute (PNRI), through the Bids and Awards Committee (BAC), invites interested bidders to bid for hereunder project: Name of Project: Procurement of One (1) Unit Thimble-Type Ionization Chamber with Electrometer and Wate</t>
  </si>
  <si>
    <t xml:space="preserve"> The Local Government Unit of Quinapondan, Eastern Samar through the Department of Agriculture under the Bottoms Up Budgeting (BUB) Program  CY 2015 funds, has received an amount toward the cost of the Construction of Organic Fertilizer Production Center i</t>
  </si>
  <si>
    <t xml:space="preserve"> DESKTOP COMPUTER Intel Core i7 7700 Kabylake 7th Gen CPU 8GB RAM 1TB SATA HDD 16x DVDWriter SATA ODD 2GB Dedicated Graphics Card Acer LED Monitor 21.5" Full HD USB Optical Mouse with Pad Standard Keyboard Internal Speaker Preinstalled with Windows 10 Prof</t>
  </si>
  <si>
    <t xml:space="preserve"> INVITATION TO BID CONSTRUCTION OF HAZARDOUS WASTE SEPTIC VAULT AT MUNICIPAL DUMPSITE, DAMILAG, BARANGAY PISAAN, SFADS The Municipal Government of San Francisco, Agusan del Sur, through the BIDS and AWARDS COMMITTEE (BAC) intends to apply the sum of FOUR H</t>
  </si>
  <si>
    <t xml:space="preserve"> INVITATION TO BID SUPPLY &amp; DELIVERY OF HEAVY DUTY SHREDDER WITH TRAILER Reference No.: GDS-20-056 The MUNICIPAL GOVERNMENT OF DARAGA, through the Municipal Annual Budget, intends to apply the sum of One Million Two Hundred Thousand Pesos  (P1,200,000.00) </t>
  </si>
  <si>
    <t xml:space="preserve"> 100 Bag Cement 303.28 Mtr. Metal Beam Guardrails (355mm) 152 Pcs Bolt, Nut &amp; Washer 5/8 '' dia. x 9'' 607 pcs. Bolt, Nut &amp; Washer 5/8 '' dia. x 1'' 142 Each Metal Guardrail End Piece 53 Pcs Galvanized Iron Pipes 152 mm dia 55 kg. Reinforcing Steel Bars, G</t>
  </si>
  <si>
    <t xml:space="preserve"> Republic of the Philippines Province of Negros Occidental CITY OF TALISAY INVITATION TO BID  Proposed Basement of HRMO Office located at New City Hall Building, Talisay City  1.	The City of Talisay, through the Capital Outlay 2018-2020 intends to apply th</t>
  </si>
  <si>
    <t xml:space="preserve"> INVITATION TO BID FOR SUPPLY AND DELIVERY OF WATER METER OF VARIOUS SIZES FOR REPLENISHMENT OF STOCKS 1.	The METRO KALIBO WATER DISTRICT, through the Corporate Budget for the contract approved by the governing Boards for the year 2020 intends to apply the</t>
  </si>
  <si>
    <t xml:space="preserve"> INVITATION FOR NEGOTIATIONS  1.	The Technological University of the Philippines Visayas, through Fund 164 FY2015 internally generated income per BOR Resolution No. 20, s. 2019 intends to apply the sum of One Million Eight Hundred Thousand Pesos Only (Php1</t>
  </si>
  <si>
    <t xml:space="preserve"> Location of the Project: Barangay Bondulan, San Dionisio, Iloilo Approved Budget for the Contract: P1,700,000.00 Funding Source: Department of Health Contract Duration: 90 Calendar Days Bid Opening: July 6, 2020 at 10:00 o'clock in the morning at Municipa</t>
  </si>
  <si>
    <t xml:space="preserve"> PROCUREMENT OF MUNICIPAL CAB AND CHASIS EURO 4 VEHICLE WITH THE FOLLOWING SPECIFICATIONS 	 TYPE OF BODY	              COMMERCIAL VEHICLE ENGINE	                      Type (4N14)2.2L in-line 4                                        Turbocharged and Interco</t>
  </si>
  <si>
    <t xml:space="preserve"> PURCHASE OF VARIOUS MEDICINES</t>
  </si>
  <si>
    <t xml:space="preserve"> UNIVERSITY OF THE PHILIPPINES MANILA The Health Sciences Center 8/F PGH Central Block Bldg,  Taft Avenue, Manila INVITATION TO BID PROPOSED SERVICE ENTRANCE COLLEGE OF MEDICINE UNIVERSITY OF THE PHILIPPINES MANILA 1.	The University of the Philippines Mani</t>
  </si>
  <si>
    <t xml:space="preserve"> ITEM NO.	DESCRIPTION	QUANTITY	UNIT 1.	GARBAGE TRUCK COMPACTOR 	1	UNIT 	SPECIFICATIONS:		 	•	ENGINE DISPLACEMENT      :  7,160 CC		 	•	FUEL TYPE                              :  DIESEL		 	•	6 WHEELER TRUCK		 	•	NO. OF CYLINDER                :  6		 	•	LOAD </t>
  </si>
  <si>
    <t xml:space="preserve"> Republic of the Philippines Province of Oriental Mindoro MUNICIPALITY OF GLORIA Invitation to Bid ITB No. 2020-004   Bulaklakan Farm to Market Road (FMR) Concreting 1.	The Municipality of Gloria, through Annual Budget 2020 under the 20% Development Fund P</t>
  </si>
  <si>
    <t xml:space="preserve"> see attached document xxxxxxxxxxxxxxxx</t>
  </si>
  <si>
    <t xml:space="preserve"> Department of Public Works and Highways Contract ID	:	20MH0105 Contract Name	:	Construction of Two(2)-Storey, Six(6)-Classrooms School Building at Bagumbayan National High School, Bagumbayan, Sultan Kudarat Contract Location	:	Bagumbayan, Sultan Kudarat D</t>
  </si>
  <si>
    <t xml:space="preserve"> Republic of the Philippines  City of Canlaon Office of the Bids and Awards Committee  INVITATION TO BID FOR the Repair of Footbridge, Proper &amp; Sitio Banban The Local Government of Canlaon City, through AIP 2020. Intends to apply the sum One Hundred Forty </t>
  </si>
  <si>
    <t xml:space="preserve"> Department of Public Works and Highways Contract ID	:	20MH0104 Contract Name	:	Construction of Two(2)-Storey, Six(6)-Classrooms School Building at Bagumbayan Central Elementary School, Bagumbayan, Sultan Kudarat Contract Location	:	Bagumbayan, Sultan Kuda</t>
  </si>
  <si>
    <t xml:space="preserve"> Republic of the Philippines DEPARTMENT OF PUBLIC WORKS AND HIGHWAYS SULTAN KUDARAT 2ND DISTRICT ENGINEERING OFFICE REGION XII Lebak, Sultan Kudarat INVITATION TO BID FOR RENTAL OF SERVICE VEHICLE FOR USE IN THE CONDUCT OF ENVIRONMENTAL IMPACT ASSESSMENT (</t>
  </si>
  <si>
    <t xml:space="preserve"> INVITATION TO BID FOR BUAGAO SIP/REMAINING WORKS SMALL IRRIGATION PROJECTS FUND/CY 2019 REFERENCE NO. INIMO-2020-06-040 1.	The National Irrigation Administration –Ilocos Norte Irrigation Management Office, through the CY 2019 General Appropriations Act (G</t>
  </si>
  <si>
    <t xml:space="preserve"> Department of Public Works and Highways Contract ID	:	20MH0106 Contract Name	:	Construction of Two(2)-Storey, Six(6)-Classrooms School Building at Esperanza National High School, Esperanza, Sultan Kudarat Contract Location	:	Esperanza, Sultan Kudarat Depa</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</si>
  <si>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</si>
  <si>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Local Government Unit of Cordon Invitation to Bid for CONSTRUCTION OF BOX CULVERT DRAINAGE SYSTEM (OPEN CANAL) PHASE II. 1.	The Local Government Unit of Cordon, through the 5% DRRMF 2020 intends to apply the sum of ONE MILLION EIGHT HUNDRED THOUSAND  PESO</t>
  </si>
  <si>
    <t xml:space="preserve"> National Power Corporation INVITATION TO BID PUBLIC BIDDING 2020-0130 1.	The NATIONAL POWER CORPORATION (NPC), through       its        approved       Corporate Budget of CY 2020 intends to apply   the   sum   of (Please see schedule below) being the Appr</t>
  </si>
  <si>
    <t xml:space="preserve"> Republic of the Philippines Province of Misamis Occidental MUNICIPALITY OF CALAMBA INVITATION TO BID FOR PROCUREMENT OF MATERIALS FOR TEMPORARY HOLDING FACILITY  	June 20, 2020 1.	The Municipality of Calamba, Misamis Occidental, through the BGCM  intends </t>
  </si>
  <si>
    <t xml:space="preserve"> pipes and fittings, valves installation service connection and restoration and removal of concrete</t>
  </si>
  <si>
    <t xml:space="preserve"> Completion of Concrete Bridge</t>
  </si>
  <si>
    <t xml:space="preserve"> Invitation to Bid for INFRA 2K20-45 CONST. OF FOUR (4) UNITS ELEVATED STEEL TANK STAND &amp; INSTALLATION OF 2,600 LTRS. CAP. STAINLESS TANK @ FARMERS' HALL, FISHERMEN'S HALL, FLORAL HALL &amp; SHEPHERDS' HALL June 19, 2020 1.	The Provincial Government of Zamboan</t>
  </si>
  <si>
    <t xml:space="preserve"> The Philippine Nuclear Research Institute (PNRI), through the Bids and Awards Committee (BAC), invites interested bidders to bid for hereunder project: Name of Project:  Procurement of Desktop and Laptop Computers with Accessories - (Rebid) Location of th</t>
  </si>
  <si>
    <t xml:space="preserve"> PURCHASE OF VARIOUS RESCUE SUPPLIES</t>
  </si>
  <si>
    <t xml:space="preserve"> Republic of the Philippines Province of Oriental Mindoro MUNICIPALITY OF NAUJAN BIDS &amp; AWARDS COMMITTEE INVITATION TO BID CONCRETING OF ROADS IN DIFFERENT BARANGAYS, NAUJAN, ORIENTAL MINDORO 1.	The Municipal Government of Naujan – Bids and Awards Committe</t>
  </si>
  <si>
    <t xml:space="preserve"> see attached Annex A of AMP-RFQ-2020-082</t>
  </si>
  <si>
    <t xml:space="preserve"> 1.	1		unit		Printer 3-in-1	 2.	9		unit		Office Table	 3.	9		unit		Office Chair	 4.	1		unit		Ladder - 10ft.	 5.	1		unit		Ladder - 20ft.	 6.	1		set		CCTV Camera</t>
  </si>
  <si>
    <t xml:space="preserve"> MAINTENANCE OF CCTV CAMERAS</t>
  </si>
  <si>
    <t xml:space="preserve"> The Local Government Unit of Aglipay through 20% Municipal Development Fund (MDF) CY 2018 3 intends to apply the sum of Six Hundred Seventy Thousand Nine Hundred Thirty Two Pesos and 97/100 (Php 670, 932.97) being the Approved Budget for the Contract (ABC</t>
  </si>
  <si>
    <t xml:space="preserve"> Department of Public Works and Highways (DPWH) Contract ID: 20G00101 Contract Name: Construction of Revetment Wall along Cangaranan River at Cangaranan Bridge (Abutment A), Bugasong, Antique Location of the Contract: Bugasong, Antique --------------------</t>
  </si>
  <si>
    <t xml:space="preserve"> Standard Form Number: SF-GOODS-05 Revised on: July 29, 2004        Republic of the Philippines Province of Nueva Ecija Municipality of Bongabon INVITATION TO BID The Municipal Government of Bongabon, Nueva Ecija, through its Bids and Awards Committee (BAC</t>
  </si>
  <si>
    <t xml:space="preserve"> INVITATION TO BID The Department of Public Works and Highways, Iloilo 2nd District Engineering Office through its Bids and Awards Committee (BAC), invites contractors to submit bids for the following Contracts: Procurement ID/Contract ID No.:   20GG0177 C</t>
  </si>
  <si>
    <t xml:space="preserve"> Riprapping of Arman Creek at Purok Pikaw with an ABC of Php210,000.00 to be implemented at Brgy. Yabbi, this municipality. Please note that the project is for BLGU-Yabbi. Posting however is made by the LGU because the new administration of BLGU-Yabbi forg</t>
  </si>
  <si>
    <t xml:space="preserve"> ITEM NO.	UNIT		QTY		DESCRIPTION		 							 1	 meter 		100		Rescue rope, prusik cords (7mm x 100mm)		 					Polymide provided w/ the thermocore technology		 2	 pcs 		5		 Rescue 8 with horn, steel 		 					 Large sized figure eight descender,hot forced alloy 	</t>
  </si>
  <si>
    <t xml:space="preserve"> Ceiling and masonry works</t>
  </si>
  <si>
    <t xml:space="preserve"> Department of Public Works and Highways Contract ID	:	20MH0107 Contract Name	:	Construction of Two(2)-Storey, Six(6)-Classrooms School Building at                    Sen. Ninoy Aquino National High School, Sen. Ninoy Aquino, Sultan Kudarat Contract Locati</t>
  </si>
  <si>
    <t xml:space="preserve"> Article/Description             Qty       Unit                          CEMENT                              858       BAGS                    GRAVEL                                96        CU.M.             SAND                                   48      </t>
  </si>
  <si>
    <t xml:space="preserve"> Republic of the Philippines DEPARTMENT OF PUBLIC WORKS AND HIGHWAYS CAMARINES SUR 2ND DISTRICT ENGINEERING OFFICE Regional Office V Baras, Canaman, Camarines Sur INVITATION TO BID FOR  20FE0125 – CONSTRUCTION OF CLASSROOMS, TINANQUIHAN PS, LIBMANAN, CAMAR</t>
  </si>
  <si>
    <t xml:space="preserve"> IB 2020-007-008 POSE Procurement of Office Supplies &amp; Equipment, Furnitures &amp; Fixtures 2020-08</t>
  </si>
  <si>
    <t xml:space="preserve"> ITEM NO.	UNIT		QTY		DESCRIPTION		 							 1	 sq.m. 		 476.00 		Layout ans Staking		 2	 cu.m 		 240.60 		 Earth Works 		 3	 lot  		 1.00 		 Form Works and Scaffoldings 		 4	 kgs. 		 21,210.74 		 Reinforcing Steel 		 5	 cu.m 		 282.14 		 Reinforcing Concret</t>
  </si>
  <si>
    <t xml:space="preserve"> Please quote hereunder your lowest possible price for the Courier Service. For more specifications and for the sample please see attached Request for Quotation form and sample. Original Request for Quotation form will be available for pick-up or download </t>
  </si>
  <si>
    <t xml:space="preserve"> NOTICE TO THE PUBLIC  REQUEST FOR QUOTATION AMP SVP-D NO: 20-05-0269B	             	 The University of the Philippines, Diliman (UPD) hereby informs the public that it will be procuring the following item/s through Small Value Procurement:   Qty/Unit	Item</t>
  </si>
  <si>
    <t xml:space="preserve"> 1	PASSENGER VAN   Service Vehicle 	ENGINE SPECIFICATIONS 	*Model: 1GD-FTV 	*Engine Technology: 4 cylinders, In-line Type 	*Type: 16-Valve DOHC 	*Displacement:   2,755 - 3,000 cc 	*Maximum Output: 176/3,400 Ps/Rpm 	*Maximum Torque: 450/1,600~2,400 Nm/Rpm 	</t>
  </si>
  <si>
    <t xml:space="preserve"> NOTICE TO THE PUBLIC  REQUEST FOR QUOTATION AMP SVP-D NO: 20-05-0290B	             	 The University of the Philippines, Diliman (UPD) hereby informs the public that it will be procuring the following item/s through Small Value Procurement:   Qty/Unit	Item</t>
  </si>
  <si>
    <t xml:space="preserve"> 1.	4		rms.		Bond Paper A4		 2.	4		rms.		Bond Paper (Long)		 3.	2		rms.		Bond Paper (Short)		 4.	100		pcs.		Plastic File Envelope		 5.	1000		pcs.		Assorted Notebook		 6.	150		pcs.		Crayola		 7.	50		pcs.		Binder Notebook		 8.	2		bxs.		Ballpen		 9.	100		pcs.</t>
  </si>
  <si>
    <t xml:space="preserve"> 1.	The LGU-Mallig, Isabela, through the Tobacco Excise Tax 2016 intends to apply the sum of Six Hundred Twenty-Five Thousand Five Hundred Forty-Eight Pesos &amp; 12/100 Only (Php 625,548.12) being the Approved Budget for the Contract (ABC) to payments under t</t>
  </si>
  <si>
    <t xml:space="preserve"> INVITATION TO BID REPAIR/RENOVATION OF SELECTED OFFICES/STAFF ROOMS, LABORATORIES AND FACILITIES OF THE ENVIRONMENT AND BIOTECHNOLOGY DIVISION (EBD) 1.	The INDUSTRIAL TECHNOLOGY DEVELOPMENT INSTITUTE, through the General Appropriations Act (GAA) Capital O</t>
  </si>
  <si>
    <t xml:space="preserve"> 2020 15TH PUBLIC BIDDING FOR PROCUREMENT OF MEDICAL EQUIPMENT</t>
  </si>
  <si>
    <t xml:space="preserve"> CONSTRUCTION OF 2-STOREY BUILDING (Floor Area: 105.98 sq.m.) WITH BALCONY COMPLETE WITH PAINTING, TILES, COMFORT ROOMS, ELECTRICAL SYSTEMS, SIGNAGE, RAILINGS &amp; OTHER FINISHING WORKS.</t>
  </si>
  <si>
    <t xml:space="preserve"> Medical Supplies and Equipment</t>
  </si>
  <si>
    <t xml:space="preserve"> 1.	The LGU Mallig, Isabela, through the SBO Budget 2020 intends to apply the sum of One Million Three Hundred Thousand Pesos only (PhP 1,300,000.00) being the Approved Budget for the Contract (ABC) to payments under the contract for LGU-M-GOODS-05-20 Bids</t>
  </si>
  <si>
    <t xml:space="preserve"> Contract ID                :    20CSEG01 Contract Name           :    Geotechnical Investigation for the Proposed  FY 2021                                      Infrastructure Program-Bridges Location of Contract    :    Replacement of Weak Bridge – Tanaba</t>
  </si>
  <si>
    <t xml:space="preserve"> 1.	The LGU-Mallig, Isabela, through the Tobacco Excise Tax 2016 intends to apply the sum of Nine Million Nine Hundred Forty-Nine Thousand Five Hundred Thirty-Four Pesos &amp; 06/100 Only (Php 9,949,534.06) being the Approved Budget for the Contract (ABC) to p</t>
  </si>
  <si>
    <t xml:space="preserve"> Procurement of HIV Test Kits</t>
  </si>
  <si>
    <t xml:space="preserve"> PROCUREMENT AND DELIVERY OF FEEDS FOR SAAD  PROGRAM CY 2020 LOT 1 Grower Crumble  @ 50 kg/bag Specifications: Crude Protein:  not less than 15.50% Crude Fat:  not less than 3% Crude Fiber:  not more than 6% Moisture:  Not more than 12% Calcium:  0.90 – 1.</t>
  </si>
  <si>
    <t xml:space="preserve"> REBIDDING OF LOT 1: SUPPLY AND DELIVERY OF VARIOUS MEDICAL AND SURGICAL SUPPLIES (IB NO. 2020-GOODS-004R-02-0619) 1.	The ILOCOS TRAINING AND REGIONAL MEDICAL CENTER (ITRMC), through the Trust Fund- Income Collection, intends to apply the sum of SIX MILLIO</t>
  </si>
  <si>
    <t xml:space="preserve"> One (1) Job Furnishing Labor, Materials and Equipment for the Rehabilitation of Multi-Purpose Hall Phase II</t>
  </si>
  <si>
    <t xml:space="preserve"> The Local Government Unit-Municipality of Malinao, Aklan through the 20% Development Fund, intends to apply the sum of One Million  Ninety Nine Thousand Three Hundred Sixty Four Pesos and 29/100 (Php1,099,364.29) as the Approved Budget for the Contract (A</t>
  </si>
  <si>
    <t xml:space="preserve"> Department of Public Works and Highways Contract ID	:	20MH0108 Contract Name	:	Repair/Maintenance of River Bank Protection at Magon Bridge along Sen. Ninoy Aquino-Lebak-Kalamansig Road, K1881 + 940 Contract Location	:	Kalamansig, Sultan Kudarat Department</t>
  </si>
  <si>
    <t xml:space="preserve"> The Local Government Unit-Municipality of Malinao, Aklan through the 20% Development Fund, intends to apply the sum of Four Hundred Ninety Nine Thousand Nine Hundred Seventy Seven Pesos and 40/100 (Php499,977.40) as the Approved Budget for the Contract (A</t>
  </si>
  <si>
    <t xml:space="preserve"> Procurement of Personal Protective Equipment</t>
  </si>
  <si>
    <t xml:space="preserve"> 1-Unit Municipal Motor Pool Facility with Equipment, Concrete Perimeter Fence, Comfort Room, Smooth Finished Column, with Garage, with Lightnings, Water Facility and Convenient Outlet, with Chief Mechanic's Quarter and Provision of Basic Amenities with Ha</t>
  </si>
  <si>
    <t xml:space="preserve"> Proposed Construction of Malimono District Hospital Admin Building, Surigao del Norte</t>
  </si>
  <si>
    <t xml:space="preserve"> Republic of the Philippines 		MUNICIPALITY OF LEYTE LEYTE -oOo- INVITATION TO BID FOR THE CONSTRUCTION OF FARM-TO-MARKET ROAD (STA.1+575-STA.1+645) (So. Lawad, Brgy. Poblacion, Leyte, Leyte) P.R No: LL-22-20 The Municipality of Leyte, through its Bids and</t>
  </si>
  <si>
    <t xml:space="preserve"> Republic of the Philippines Province of Cagayan Municipality of Baggao INVITATION TO BID FOR THE PROCUREMENT OF GOODS The Barangay Catugay, Baggao, Cagayan, through the 20% Barangay Development Fund CY 2018  intends to apply the sum of One Hundred Thousan</t>
  </si>
  <si>
    <t xml:space="preserve"> PLASTIC SPINE BOARD(FOR KIDS) HELMET (JUNIOR) REFLECTORIZED VEST (FOR KIDS) FIRST AID KIT/BOX W/ 3 LAYERS RACK MEGAPHONE FIRE EXTINGUISHER CAMEL BACK WATER BAG PERSONAL PROTECTIVE GEARS (TACTICAL DRESS) MINI PORTABLE GENSET AUTOMATIC FIRE ALARM SYSTEM POW</t>
  </si>
  <si>
    <t xml:space="preserve"> Republic of the Philippines 		MUNICIPALITY OF LEYTE LEYTE -oOo- INVITATION TO BID FOR THE CONSTRUCTION OF FARM-TO-MARKET ROAD (STA.1+505-STA.1+575) (So. Lawad, Brgy. Poblacion, Leyte, Leyte) P.R No: LL-21-20 The Municipality of Leyte, through its Bids and</t>
  </si>
  <si>
    <t xml:space="preserve"> DIESEL  GASOLINE ATF BRAKE FLUID OIL 40 OIL TREATMENT OIL 30</t>
  </si>
  <si>
    <t xml:space="preserve"> Republic of the Philippines Province of Cagayan Municipality of Baggao INVITATION TO BID FOR THE PROCUREMENT OF GOODS The Barangay Dalin, Baggao, Cagayan, through the 20% Brgy. Development Fund CY 2019 intends to apply the sum of One Hundred Twenty Four T</t>
  </si>
  <si>
    <t xml:space="preserve"> Procurement of HIV Supplies</t>
  </si>
  <si>
    <t xml:space="preserve"> PAIL W/COVER MODULAR TENT DRY BAG WHISTLE MUG (RESCUE LOGO PRINT) NAPKIN(FEMININE PAD) BATH SOAP 60G SHAMPOO 15ML TOOTHPASTE SCAHET SPOON FORK PLASTIC BAG LARGE&amp;MEDIUM LAUNDRY SOAP POWDER &amp; TWIN PACK LAUNDRY SAOP BAR HAMMOCK DISHWASHING LIQUID 100ML SERVI</t>
  </si>
  <si>
    <t xml:space="preserve"> Proposed Upgrading of  Bunawan District Hospital (Construction of Additional Ward Building), Bunawan District Hospital, Agusan del Sur</t>
  </si>
  <si>
    <t xml:space="preserve"> ANTI RABBIES DRUGS MENTAL HEALTH DRUGS ANTI TETANUS DRUGS ANTI CHOLINERGIC/ANTACID ANTIBACTERIAL/ANTIBIOTICS EXTERNAL OINTMENT/DROPS AND ETC...................</t>
  </si>
  <si>
    <t xml:space="preserve"> SUPPLY &amp; INSTALLATION OF CCTV CAMERAS SPECS: 1SET 32CH POE NVR 10 SETS 2MP MINI BULLET IP CAMERA 8 SETS 4MP BULLET CAMERA 2 SETS 2 MP 30X ZOOM PTZIP CAMERA 4 SETS 50" UxD LED TV 5 SETS 5.6GHz TRANSMITTER ANTENNA 2 SETS 5.6GHz BASE STATION ANTENNA 2 SETS 5</t>
  </si>
  <si>
    <t xml:space="preserve"> Republic of the Philippines Province of Cagayan Municipality of Baggao INVITATION TO BID FOR THE PROCUREMENT OF GOODS The Barangay Catugay, Baggao, Cagayan, through the Provincial Assistance intends to apply the sum of Ninety Five Thousand Three Hundred T</t>
  </si>
  <si>
    <t xml:space="preserve"> 11 UNITS PORTABLE GENERATOR: 5,500 WATTS ELEC. STARTER W/BATTERY</t>
  </si>
  <si>
    <t xml:space="preserve"> TRAINING TABLE BEECH WOOD(2x4 FT, FOLDING) EXE. CHAIR W/ ARMREST &amp; BACKREST, GAS TYPE STEEL FILLING CABINET(4 LAYERS) W/ CENTRALIZED LOCK WHITE BOARD W/FRAME &amp; STAND  (4x8 ft) CORK BOARD W/ FRAME WALL MOUNT (3x5ft) STEEL RACK (5 LAYERS) 2 ft x 8ft x 6ft O</t>
  </si>
  <si>
    <t xml:space="preserve"> INVITATION TO BID IB NO. CW 2020 –  090 Completion of Evacuation Center at M. Adriatico, Gloria, Oriental Mindoro 1.  The Provincial Government of Oriental Mindoro (PGOM) through the 5% Local Disaster Risk Reduction Management Fund FY 2018 intends to appl</t>
  </si>
  <si>
    <t xml:space="preserve"> BEARING FRONT &amp; REAR (XR150) CLUTCH CABLE BRAKE SHOE DOUBLE FRONT &amp; REAR ROLLER CHAIN 428H TELESCOPIC MONO SHOCK ABSORBER HORN ENGINE SPROCKET W/CHAIN 16T REAR SPROCKET 48T FRONT FORK OIL SEAL ACCELERATOR CABLE/TORTLE CABLE RIM W/SPOKE FRONT &amp; REAR CYLIND</t>
  </si>
  <si>
    <t xml:space="preserve"> COMPUTER SYSTEM: 3 UNITUPS 3 UNIT AVR HEAVY DUTY 500VA 4 UNIT CPU: 2.9GHz, 4GB DDR4 MEMO., 240GB SSD + 500GB 2 UNIT PRINTER W/ SCANNER MULTI COLOR 1 UNIT 18.2" MONITOR 1 UNIT COMPUTER SET:FULL SET, MONITOR, KEY BOARD, MOUSE, CPU: 2.9GHz, 4GB DDR SSD +500G</t>
  </si>
  <si>
    <t xml:space="preserve"> 1 UNIT DRONE  (MAVIC 2 ENTERPRISE DUAL) W/THERMAL SENSOR PA SPEAKER SYSTEM SPOTLIGHT  BEACON W/ACCESSORIES &amp; ONBOARD DATA STORAGE &amp; 64GB MEMO. CARD (COMPATIBLE TO THE UNIT) 2 ADD. BATTERIES  1 BATT CHARGING HUB 1 CAR CHARGER 1 SUB CONNECTOR 1 SOFT CASE  1</t>
  </si>
  <si>
    <t xml:space="preserve"> INVITATION TO BID IB NO. CW 2020 –  091 Concreting of Road at Sta. Maria, Mansalay, Oriental Mindoro 1.  The Provincial Government of Oriental Mindoro (PGOM) through the 20% Development Fund – SB # 2 intends to apply the sum of One Million Four Hundred Se</t>
  </si>
  <si>
    <t xml:space="preserve"> Procurement of Fetal Doppler</t>
  </si>
  <si>
    <t xml:space="preserve"> Construction of Slope Protection for 2 Storey 8 Classroom</t>
  </si>
  <si>
    <t xml:space="preserve"> Proposed Upgrading of Nasipit District Hospital (Construction of Laundry Building and Repair Renovation of BEMONC Building)</t>
  </si>
  <si>
    <t xml:space="preserve"> Proposed Construction of Cadaver Holding, Lianga District Hospital, Surigao del Sur</t>
  </si>
  <si>
    <t xml:space="preserve"> INCIDENT COMMAND CENTER (PHASE 2)</t>
  </si>
  <si>
    <t xml:space="preserve"> 1.	The LGU-Mallig, Isabela, through the Tobacco Excise Tax 2016 intends to apply the sum of Six Hundred Thousand Nine Hundred Four Pesos &amp; 93/100 Only                        (Php 600,904.93) being the Approved Budget for the Contract (ABC) to payments und</t>
  </si>
  <si>
    <t xml:space="preserve"> Republic of the Philippines Province of Cagayan Tuguegarao City Invitation to Bid for Fence Repair, Entrance Arch, Gates and Signages Cagayan Farm School and Agri – Tourism Center, Anquiray, Amulung, Cagayan  1.	The Provincial Government of Cagayan, throu</t>
  </si>
  <si>
    <t xml:space="preserve"> Procurement of Medical Equipment (BHS Package)</t>
  </si>
  <si>
    <t xml:space="preserve"> Proposed Upgrading of Talacogon District Hospital (Construction of Isolation Building), Talacogon District Hospital, Agusan del Sur</t>
  </si>
  <si>
    <t xml:space="preserve"> 1. The Municipality of Nabas, Aklan through its local budget approved by the Sanggunian, intends to apply the sum of One Million One Hundred eighty Four Thousand Eighty Pesos and 50/100 only (P 1,184,080.50) being the Approved Budget for the Contract (ABC</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</si>
  <si>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</si>
  <si>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Republic of the Philippines Province of Cagayan Tuguegarao City Invitation to Bid for Development of Eco Park at Cagayan Sports Complex, Tuguegarao City Cagayan 1.	The Provincial Government of Cagayan, through the G.F. CY 2019 intends to apply the sum of </t>
  </si>
  <si>
    <t xml:space="preserve"> Republic of the Philippines  Province of Aklan  MUNICIPALITY OF NABAS OFFICE OF THE BIDS AND AWARDS COMMITTEE INVITATION TO BID FOR THE PROCUREMENT OF MEDICINES/SUPPLEMENTS 1. The Municipality of Nabas, Aklan through its local budget approved by the Sangg</t>
  </si>
  <si>
    <t xml:space="preserve"> Republic of the Philippines Province of Cagayan Tuguegarao City Invitation to Bid for Construction of PENRO Admin Building Nassiping, Gattaran, Cagayan  1.	The Provincial Government of Cagayan, through the SB #1 CY 2019 intends to apply the sum of P 4,999</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</si>
  <si>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</si>
  <si>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INVITATION TO BID IB NO. CW 2020 –  095 Concreting of Road at Brgy. Mabuhay, Roxas, Or. Mindoro 1.  The Provincial Government of Oriental Mindoro (PGOM) through the 20% Development – SB # 2 intends to apply the sum of One Million Nine Hundred Forty One Th</t>
  </si>
  <si>
    <t xml:space="preserve"> INVITATION TO BID IB NO. CW 2020 –  089 Construction of Water System at Panikian, Naujan, Oriental Mindoro 1.  The Provincial Government of Oriental Mindoro (PGOM) through the 20% Development Fund CA 2019 intends to apply the sum of One Million Four Hundr</t>
  </si>
  <si>
    <t xml:space="preserve"> INVITATION TO BID  1.	The CITY GOVERNMENT OF CAUAYAN, ISABELA through the TRUST FUND intends to apply the sum of SEVEN MILLION PESOS (Php 7,000,000.00) being the Approved Budget for the Contract (ABC) to payments under the contract for the Supply and Deli</t>
  </si>
  <si>
    <t xml:space="preserve"> INVITATION TO BID IB NO. CW 2020 –  094 Concreting of Road Leading to Parola at Brgy. San Jose, Roxas, Oriental Mindoro 1.  The Provincial Government of Oriental Mindoro (PGOM) through the 20% Development Fund CA 2019 intends to apply the sum of One Milli</t>
  </si>
  <si>
    <t xml:space="preserve"> PB NO. 2020-038		 			 1.	1	lot	Proposed concreting of road at Patria Village, Brgy. Del Remedio, San Pablo City. 			By: Contract 			 	Deadline for Submission of Bids: July 9, 2020 10:00 am</t>
  </si>
  <si>
    <t xml:space="preserve"> INVITATION TO BID IB NO. CW 2020 –  092 Concreting of Balite-Pachoca-Lalud Road, Calapan City, Oriental Mindoro 1.  The Provincial Government of Oriental Mindoro (PGOM) through the 20% Development Fund CA 2019 intends to apply the sum of Three Million Nin</t>
  </si>
  <si>
    <t xml:space="preserve"> Republic of the Philippines Province of Cagayan Tuguegarao City Invitation to Bid for Concreting of Road Network with Line Drainage Tuao District Hospital, Tuao, Cagayan 1.	The Provincial Government of Cagayan, through the SG #1 intends to apply the sum o</t>
  </si>
  <si>
    <t xml:space="preserve"> INVITATION TO BID IB NO. CW 2020 –  096 Concreting of Road at Roma, Mansalay, Oiental Mindoro 1.  The Provincial Government of Oriental Mindoro (PGOM) through the 20% Development – SB # 2 intends to apply the sum of One Million Four Hundred Seventy Three </t>
  </si>
  <si>
    <t xml:space="preserve"> Name of  Project/Contract	:	CONSTRUCTION OFMULTIPURPOSE BUILDING AND COVERED COURT Location				:	Papaya,  Kasibu, Nueva Vizcaya Brief Description	:	Fabrication and installation of steel roof framing (steel trusses) and Galva Steel Hi-Rib roofing materials</t>
  </si>
  <si>
    <t xml:space="preserve"> Republic of the Philippines Province of Cagayan Municipality of Baggao INVITATION TO BID FOR THE PROCUREMENT OF GOODS The Barangay Catugay, Baggao, Cagayan, through the Provincial Assistance intends to apply the sum of Seventy Eight Thousand Thirty Four P</t>
  </si>
  <si>
    <t xml:space="preserve"> INVITATION TO BID: BID REF. NO.: 2020-18 “DRYDOCKING AND REPAIR WORKS OF VARIOUS BFAR PATROL VESSELS.” 1.	The Bureau of Fisheries and Aquatic Resources (BFAR) of the Department of Agriculture, through the General Appropriations Act for 2020 intends to app</t>
  </si>
  <si>
    <t xml:space="preserve"> Name of  Project/Contract	:	EXPANSION OF EVACUATION CENTER  Location				:	POBLACION, Kasibu, Nueva Vizcaya Brief Description	:	Construction of 27 ln.m Concrete line canal, 60 ln.m, perimeter fence, 3 m x 2.19m Gate and 0.10m x 1.25m x 75.5m Reinforce conc</t>
  </si>
  <si>
    <t xml:space="preserve"> Republic of the Philippines Province of Cagayan Tuguegarao City Invitation to Bid for Concreting of Culung – Bugnay Farm to Market Road at Tuao, Cagayan 1.	The Provincial Government of Cagayan, through the Trust Fund intends to apply the sum of P 35,995,5</t>
  </si>
  <si>
    <t xml:space="preserve"> Republic of the Philippines BIDS AND AWARDS COMMITTEE Province of Iloilo Invitation to Bid Purchase of Construction Materials Bid No. DIS-19-1554-B 1. The Iloilo Provincial Government, through the PDRRM FUND – Capital Outlay intends to apply the sum of ON</t>
  </si>
  <si>
    <t xml:space="preserve"> Name of  Project/Contract	:	LOCAL ACCESS ROAD  Location				:	PAQUET, Kasibu, Nueva Vizcaya Brief Description	:	Construction of 0.20m x 6m  x 465m PCCP Approved Budget  for the Contract (ABC)		:	P4,999,972.27 Source of Fund			:	DILG-TF LGSF ASSISTANCE TO M</t>
  </si>
  <si>
    <t xml:space="preserve"> Republic of the Philippines Province of Cagayan Tuguegarao City Invitation to Bid for Construction of OPA Admin Building Anquiray, Amulung, Cagayan  1.	The Provincial Government of Cagayan, through the SB #1 CY2019 intends to apply the sum of P 4,999,510.</t>
  </si>
  <si>
    <t xml:space="preserve"> PB NO. 2020-039		 			 1.	1	lot	Proposed construction of line canal at Brgy. San Nicolas, San Pablo City. 			By: Contract 			 	Deadline for Submission of Bids: July 9, 2020 1:00 pm</t>
  </si>
  <si>
    <t xml:space="preserve"> Name of  Project/Contract	:	LOCAL ACCESS ROAD  Location				:	TADJI, Kasibu, Nueva Vizcaya Brief Description	:	Construction of 0.20m x 5m x 345m and 0.20m x 7.33m x 20m PCCP, Installation of 36” RCPC with stone masonry Head Wall Approved Budget  for the Co</t>
  </si>
  <si>
    <t xml:space="preserve"> 1. IMPROVEMENT OF DRAINAGE SYSTEM ALONG BANABA, TANGUILE AND LAWAAN STREETS, BRGY. SAN JOSE, RODRIGUEZ, RIZAL ABC    :    4013,062.27                                                             DURATION:     120 CAL. DAYS 2.  PROPOSED CONSTRUCTION OF MONT</t>
  </si>
  <si>
    <t xml:space="preserve"> Republic of the Philippines Province of Cagayan Tuguegarao City Invitation to Bid for  Cluster 6 Anquiray Farm Tourism Development Project (Farm Service Area Network Development, Farm Utilities Development (Construction of Tanks and Pipelines), Farm Utili</t>
  </si>
  <si>
    <t xml:space="preserve"> INVITATION TO BID  1.	The CITY GOVERNMENT OF CAUAYAN, ISABELA through the TRUST FUND intends to apply the sum of ONE MILLION THREE HUNDRED THOUSAND PESOS (Php1,300,000.00) being the Approved Budget for the Contract (ABC) to payments under the contract for</t>
  </si>
  <si>
    <t xml:space="preserve"> Republic of the Philippines Province of Cagayan Tuguegarao City Invitation to Bid for Nassiping Eco Park Development Project Construction of Water System (Tanks and Distribution Lines) Nassiping, Gattaran, Cagayan 1.	The Provincial Government of Cagayan, </t>
  </si>
  <si>
    <t xml:space="preserve"> Republic of the Philippines Province of Cagayan Tuguegarao City Invitation to Bid for Construction of Multi Purpose Building Sub Capitol Bangag Lallo Cagayan 1.	The Provincial Government of Cagayan, through the SB #1 CY 2019 intends to apply the sum of P </t>
  </si>
  <si>
    <t xml:space="preserve"> INVITATION TO BID IB NO. CW 2020 –  097 Concreting of Road at Wasig, Mansalay, Oriental Mindoro 1.  The Provincial Government of Oriental Mindoro (PGOM) through the 20% Development – SB # 2 intends to apply the sum of One Million Four Hundred Sixty Nine T</t>
  </si>
  <si>
    <t xml:space="preserve"> Republic of the Philippines Province of Cagayan Tuguegarao City Invitation to Bid for Construction of Second Floor of Cagayan Provincial Jail Grid Line A-G, 1-10, Tuguegarao City 1.	The Provincial Government of Cagayan, through the SB #1 CY-2019 intends t</t>
  </si>
  <si>
    <t xml:space="preserve"> The City Government of Naga, through the Environmental/Sanitary Services of the Solid Waste Management Office (SWMO), intends to apply the sum of TWELVE MILLION SEVEN HUNDRED TWENTY TWO THOUSAND SIX HUNDRED SEVENTY (P 12,722,670.00) PESOS, being the Appro</t>
  </si>
  <si>
    <t xml:space="preserve"> Republic of the Philippines Province of Cagayan Tuguegarao City Invitation to Bid for Completion of Multi Purpose Building (Back of Aranz Granstand) Cagayan Sports Complex, Tuguegarao City  1.	The Provincial Government of Cagayan, through the AIP 2019 int</t>
  </si>
  <si>
    <t xml:space="preserve"> Republic of the Philippines Province of Batangas CITY OF TANAUAN INVITATION TO BID Description 1)	The City Government of Tanauan, through the General Fund intends to apply the sum of Php7,809,192.00 being the Approved Budget for the Contract (ABC) to paym</t>
  </si>
  <si>
    <t xml:space="preserve"> See attached document.</t>
  </si>
  <si>
    <t xml:space="preserve"> Republic of the Philippines Province of Eastern Samar Municipality of Balangkayan INVITATION TO BID FOR: CONSTRUCTION OF MEO BUILDING, PHASE 1 Abrigo St. Mun. Gov’t Center, Balangkayan, E. Samar June 19 - 25, 2020 The Municipal Government of Balangkayan, </t>
  </si>
  <si>
    <t xml:space="preserve"> Republic of the Philippines Province of Benguet MUNICIPALITY OF BOKOD BIDS AND AWARDS COMMITTEE INVITATION TO BID FOR PROCUREMENT OF MICRO-INFRA PROJECTS CLUSTER 03-2020 (MDF 2019/2020), BILA &amp; BOBOK-BISAL, BOKOD, BENGUET 1.	The MUNICIPALITY OF BOKOD, thr</t>
  </si>
  <si>
    <t xml:space="preserve"> 1	173.00	BAGS	PORTLAND CEMENT 2	14.00	CU.M	1”GRADED GRAVEL 3	6.00	CU.M	WASHED SAND 4	53.00	LENGHT	16MM RSB, GRADE 33 5	93.00	LENGHT	10MM RSB,GRADE 33 6	20.00	KG	#16 GI WIRE 7	15.00	PC	2X2X10 COCO LUMBER 8	40.00	LENGHT	BAMBOO POLES 9	15.00	SHEET	¼’ THICK O</t>
  </si>
  <si>
    <t xml:space="preserve"> Republic of the Philippines Province of Cagayan Tuguegarao City Invitation to Bid for Improvement of Multi Purpose Tuao Central Elementary School (Repair of Roof – School) Gymnasium  1.	The Provincial Government of Cagayan, through the AIP 2019 intends to</t>
  </si>
  <si>
    <t xml:space="preserve"> Republic of the Philippines BIDS AND AWARDS COMMITTEE Province of Iloilo Invitation to Bid Purchase of Office Equipment Bid No. PPD-20-0661-B 1. The Iloilo Provincial Government, through the CAPITAL OUTLAY intends to apply the sum of THREE HUNDRED FOURTEE</t>
  </si>
  <si>
    <t xml:space="preserve"> INVITATION TO BID IB NO. CW 2020 –  093 Concreting of Road at Sitio Proper West II, Nag-iba II, Naujan Oriental Mindoro 1.  The Provincial Government of Oriental Mindoro (PGOM) through the 20% Development Fund CA 2019 intends to apply the sum of One Milli</t>
  </si>
  <si>
    <t xml:space="preserve"> Brief Description/Specification: “PROCUREMENT OF LIFE INSURANCE” for the BERT/BDS Members in the Office of the Municipal Disaster Risk Reduction &amp; Management Officer, Municipal Government of Bayog, Zamboanga del Sur.   Approved Budget For The Contract:  P</t>
  </si>
  <si>
    <t xml:space="preserve"> INVITATION TO BID NO. 20- 50 SUPPLY &amp; DELIVERY OF ECG MACHINE WITH ANALYZER 1.	The Department of Health, Center for Health Development Bicol (DOH – CHD Bicol), through the 2020 General Appropriations Act intends to apply the sum of One Million Four Hundre</t>
  </si>
  <si>
    <t xml:space="preserve"> INVITATION TO BID The City of Bayawan, through its Bids and Awards Committee (BAC), invites suppliers/manufacturers/distributors/contractors to bid for the hereunder projects: Lot No. I		Oil and Lubricants	 				 1	18	drums	Oil, Hydrauli, SAE 10W					 2	12</t>
  </si>
  <si>
    <t xml:space="preserve"> MACHINERIES &amp; EQUIPMENT</t>
  </si>
  <si>
    <t xml:space="preserve"> INVITATION TO BID The City of Bayawan, through its Bids and Awards Committee (BAC), invites suppliers/manufacturers/distributors/contractors to bid for the hereunder projects: 	Lot No. I		CHEMICALS					 8	25	bags	Potash(Muriate of Potash)(0-0-60)	Potash(M</t>
  </si>
  <si>
    <t xml:space="preserve"> Name of  Project/Contract	:	CONSTRUCTION OF COVERED COURT  Location				:	NANTAWAKAN, Kasibu, Nueva Vizcaya Brief Description	:	Construction of 18m x 30m Covered Court (Reinforced Concrete Footings, Columns and Beams, Steel Roof Framing (Two Trusses) Insta</t>
  </si>
  <si>
    <t xml:space="preserve"> Republic of the Philippines Department of Health CENTRAL OFFICE BIDS AND AWARDS COMMITTEE Name of the Procuring Entity:  Department of Health Name of the Project: Procurement of Watches Delivery Site: DOH-Central Office Warehouse, San Lazaro Compound Sta.</t>
  </si>
  <si>
    <t xml:space="preserve"> Republic of the Philippines										 BIDS AND AWARDS COMMITTEE										 Baguio City										 (074) 300-6537/ (074)442-8795										 BID FORM										 CP No. 2020-39 Bidding										June 17, 2020 Circular Proposal No.										Date Prepared The City </t>
  </si>
  <si>
    <t xml:space="preserve"> QUANTITY	UNIT 	DESCRIPTION                                        	UNIT COST EQUIPMENT 85          	Bags   	Palay ( White Seeds)                               	161,500.00 3      	Btls.       	Iron 100ml                                         	1,716.00 3 </t>
  </si>
  <si>
    <t xml:space="preserve"> INVITATION TO BID 20-39  SUPPLY &amp; DELIVERY OF EXAMINING TABLE WITH STIRRUPS 1.	The Department of Health, Center for Health Development Bicol (DOH – CHD Bicol), through the 2020 General Appropriations Act intends to apply the sum of Four Million Twenty Fiv</t>
  </si>
  <si>
    <t xml:space="preserve"> INVITATION TO BID NO. 20-42  SUPPLY &amp; DELIVERY OF MEDICAL EQUIPMENT/ INSTRUMENT PACKAGES 1.	The Department of Health, Center for Health Development Bicol (DOH – CHD Bicol), through the Government of the Philippines 2020 General Appropriations Act intends </t>
  </si>
  <si>
    <t xml:space="preserve"> Please see attached Bid Docs</t>
  </si>
  <si>
    <t xml:space="preserve"> ENGINE Type :                                  2.4L Diesel, 4-Cylinder, 16 Valve DOHC Variable                                            Nozzle Turbo with Front Mounted Intercooler Displacement:                      2,393  Transmission:                  </t>
  </si>
  <si>
    <t xml:space="preserve"> Request for Proposal  The Bureau of Fisheries and Aquatic Resources Regional Office No. 5 (BFAR RO 5), Fabrica, Bula, Camarines Sur is requesting from prospective suppliers to submit written proposal for the Meals and Accommodation during the conduct of 2</t>
  </si>
  <si>
    <t xml:space="preserve"> REQUEST FOR PROPOSAL Purchase Request No: PUR20-05-0451 The Philippine General Hospital hereby informs the public that it will be procuring the following item/s through Small Value Procurement: I.                    NAME OF PROJECT Provision of a reliable</t>
  </si>
  <si>
    <t xml:space="preserve"> Republic of the Philippines BOHOL ISLAND STATE UNIVERSITY Main Campus, Tagbilaran City INVITATION TO BID FOR SUPPLY AND DELIVERY OF HOTEL PROPERTY MANAGEMENT SOFTWARE (PR NO. 2020-03-0474) 1.	The Bohol Island State University – Main Campus, Tagbilaran Cit</t>
  </si>
  <si>
    <t xml:space="preserve"> Republic of the Philippines PROVINCE OF SIQUIJOR Capitol, Bldg., Pulangyuta, Siquijor, Siquijor INVITATION TO BID FOR Supply and Delivery of Drugs and Medicines 1.	The Province of Siquijor, through the IPHO Drugs and Medicines Expenses 3000-1-01-013 200-5</t>
  </si>
  <si>
    <t xml:space="preserve"> INVITATION TO BID NO. 20-63  SUPPLY &amp; DELIVERY OF AUTOCLAVE 1.	The Department of Health, Center for Health Development Bicol (DOH – CHD Bicol), through the 2019 General Appropriations Act intends to apply the sum of Four Million Five Hundred Thirty Thousa</t>
  </si>
  <si>
    <t xml:space="preserve"> 1.	The MUNICIPAL GOV’T. OF CORELLA, BOHOL, through the budget approved by the Sanggunian per Municipal Ordinance No. 2020-08 (Supplemental Budget No. 2 under the General Fund for CY 2020) intends to apply the sum of PHP 300,000.00 being the Approved Budge</t>
  </si>
  <si>
    <t xml:space="preserve"> Security Services.</t>
  </si>
  <si>
    <t xml:space="preserve"> Republic of the Philippines Province of Benguet MUNICIPALITY OF BOKOD BIDS AND AWARDS COMMITTEE INVITATION TO BID FOR PROCUREMENT OF MICRO-INFRA PROJECTS CLUSTER 04-2020 (MDF 2020), DAKLAN, BOKOD, BENGUET 1.	The MUNICIPALITY OF BOKOD, through the  MDF 202</t>
  </si>
  <si>
    <t xml:space="preserve"> Republic of the Philippines Municipality of Palompon  Barangay Rizal BIDS AND AWARD COMMITTEE Palompon. Leyte INVITATION TO APPLY FOR ELIGIBILITY AND TO BID N0. 2020-0707-001                                                                                 </t>
  </si>
  <si>
    <t xml:space="preserve"> Name of Project: Construction of Multi-Purpose Building (Phase IV) I.	 Masonry/Concrete/Plastering/Plumbing/Electrical	Works 1000	pcs	CHB 50	pcs	10mm RSB 2	cu. m	Fine sand 2	cu. m	SI,aggrs. 40	bags	Cement 10	pcs	Ridge Roll 21	kgs	 Tie wire 1	pc	PVC pipe 4</t>
  </si>
  <si>
    <t xml:space="preserve"> Republic of the Philippines										 BIDS AND AWARDS COMMITTEE										 Baguio City										 (074) 300-6537/ (074)442-8795										 BID FORM										 CP No. 2020-40 Bidding										June 17, 2020 Circular Proposal No.										Date Prepared The City </t>
  </si>
  <si>
    <t xml:space="preserve"> Sticker paper 40pcs Long folder 2reams fastener 20pcs correction tape 20pcs Epson ink CYMB 10bottles Paper clip big 15boxes broom soft 15pcs brromstick 15pcs detergent powder 30pouches disinfectant spray 15cans rags 20packs folder expandable 200pcs photop</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</si>
  <si>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</si>
  <si>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Supply and Delivery of Medical Supplies, Rescue Materials and Evacuation Facilities for DRRM Operations with an ABC of Php327,350.00, arranged in four (4) lots: LOT 1. Medical Supplies = 34,600.00 LOT 2. Uniform = 24,000.00 LOT 3. Rescue Equipment = 171,3</t>
  </si>
  <si>
    <t xml:space="preserve"> Contract ID	: 20-HE-0119 Contract Name	: Repair and Maintenance of Road Safety Facility – 1. Installation of Internally Illuminated (Solar) Pavement Levelled Marker/Stud Flush Type (Bi-Directional) along Natalio Bacalso Avenue at K0021+000-K0022+000 (with</t>
  </si>
  <si>
    <t xml:space="preserve"> Republic of the Philippines Province of Benguet MUNICIPALITY OF BOKOD BIDS AND AWARDS COMMITTEE INVITATION TO BID FOR COMPLETION OF MULTI PURPOSE BUILDING AT PITO, BOKOD, BENGUET (MDF 2020) 1.	The MUNICIPALITY OF BOKOD, through the  MDF 2020  intends to a</t>
  </si>
  <si>
    <t xml:space="preserve"> Republic of the Philippines PROVINCE OF SIQUIJOR Capitol, Bldg., Pulangyuta, Siquijor, Siquijor INVITATION TO BID FOR Supply and Delivery of Laboratory Supplies 1.	The Province of Siquijor, through the IPHO Medical, Dental &amp; Laboratory Supplies Expenses  </t>
  </si>
  <si>
    <t xml:space="preserve"> Project Title: REHABILITATION / IMPROVEMENT OF LOCAL ACCESS ROADS Location: Brgy. Balais &amp; San Isidro, Lagangilang, Abra</t>
  </si>
  <si>
    <t xml:space="preserve"> INVITATION TO BID 20-55  SUPPLY &amp; DELIVERY OF DRESSING CART WITH DRESSING SET 1.	The Department of Health, Center for Health Development Bicol (DOH – CHD Bicol), through the 2020 General Appropriations Act intends to apply the sum of One Million Two Hundr</t>
  </si>
  <si>
    <t xml:space="preserve"> Intel Core i5 - 8250U Processor (6M Cache, up to 3.40GHz), 4GB of single-chanel, onboard DDR4 system memory, Upgradable up to 20GB of dual channel DDR System, ITB 2.5 inch 5400ROM, 15.6 in HD 1366 X 768 resolution, high - brightness 16.9 aspect ratio, ult</t>
  </si>
  <si>
    <t xml:space="preserve"> Republic of the Philippines Province of Benguet MUNICIPALITY OF BOKOD BIDS AND AWARDS COMMITTEE INVITATION TO BID FOR PROCUREMENT OF MICRO-INFRA PROJECTS CLUSTER 06-2020 (MDF 2020), KARAO, BOKOD, BENGUET 1.	The MUNICIPALITY OF BOKOD, through the  MDF 2020</t>
  </si>
  <si>
    <t xml:space="preserve"> Location : Legazpi City, Albay Scope of Work : Repair/Maintenance of 15.00 l.m. Reinforced Concrete Dike</t>
  </si>
  <si>
    <t xml:space="preserve"> INVITATION TO BID NO. 20-54  SUPPLY &amp; DELIVERY OF DEFIBRILLATOR WITH MONITOR 1.	The Department of Health, Center for Health Development Bicol (DOH – CHD Bicol), through the 2020 General Appropriations Act intends to apply the sum of One Million Five Hundr</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</si>
  <si>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</si>
  <si>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Location : Daraga, Albay Scope of Work : Repair/Maintenance of 16.00 l.m. Reinforced Concrete Dike</t>
  </si>
  <si>
    <t xml:space="preserve"> 50 bags cement 10 pcs 10 mm steel bar 10 pcs drum 200L HDPE open top 1 pc weighing scale 60kg 1 pcs weighing scale 10kg 6 pairs construction orange rubber coated gloves 2 box surgical mask 1 pc white board 4'x8' 3  pcs white board marker (flexoffice)</t>
  </si>
  <si>
    <t xml:space="preserve"> INVITATION TO BID NO. 20-45  SUPPLY &amp; DELIVERY OF FETAL DOPPLER AND FETAL MONITOR 1.	The Department of Health, Center for Health Development Bicol (DOH – CHD Bicol), through the 2020 General Appropriations Act intends to apply the sum of Four Million Thre</t>
  </si>
  <si>
    <t xml:space="preserve"> LOT 1 144 bots Co-amoxiclav 250mg/62.50mg susp 60ml 144 bots Cetirizine 10mg/ml drops 10ml 144 bots Cetirizine 5mg/5ml syrup 30ml 10 bxs Cetirizine 10mg tablet 100's 10 bxs Meclizine 25mg tablet 10 bxs Cotrimoxazole forte tablet 800mg/160mg 30 bxs Cotrimo</t>
  </si>
  <si>
    <t xml:space="preserve"> INVITATION TO BID 20-33 SUPPLY &amp; DELIVERY GENERATOR SET 1.	The Department of Health, Center for Health Development Bicol (DOH – CHD Bicol), through the 2020 General Appropriations Act intends to apply the sum of Seven  Million Five  Hundred  Thousand Peso</t>
  </si>
  <si>
    <t xml:space="preserve"> 1. 1500 tablets Cefuroxime 500mg/tablet 2. 1500 tablets Amoxicillin+Clavulanic Acid 625mg/tablet 3. 10 tubes Oxytetracycline+Polymycin B Sulfate(Teramycin Optic Ointment) 4. 100 boxes Vit. B Complex with Lyzine Capsule 5. 500 boxes Amoxicillin 500mg/ caps</t>
  </si>
  <si>
    <t xml:space="preserve"> Solar Streetlights</t>
  </si>
  <si>
    <t xml:space="preserve"> Republic of the Philippines Province of Benguet MUNICIPALITY OF BOKOD BIDS AND AWARDS COMMITTEE INVITATION TO BID FOR PROCUREMENT OF MICRO-INFRA PROJECTS CLUSTER 05-2020 (MDF 2020), PITO, BOKOD, BENGUET 1.	The MUNICIPALITY OF BOKOD, through the  MDF 2020 </t>
  </si>
  <si>
    <t xml:space="preserve"> 1.	The LGU - CORELLA, BOHOL, through the budget approved by the Sanggunian per Municipal Ordinance No. 2019-15 under 20% development fund intends to apply the sum of PHP 1,800,000.00 being the Approved Budget for the Contract (ABC) to payments under the c</t>
  </si>
  <si>
    <t xml:space="preserve"> DIESEL AND OIL AND LUBRICANT   (ATTACHED REQUEST FOR QUOTATION)</t>
  </si>
  <si>
    <t xml:space="preserve"> Biologic s</t>
  </si>
  <si>
    <t xml:space="preserve"> REPAIR OF LEGISLATIVE OFFICE/BUILDING</t>
  </si>
  <si>
    <t xml:space="preserve"> 4 Cylinder Diesel Engine Manual Transmission 4 Cu. Mtr. Capacity</t>
  </si>
  <si>
    <t xml:space="preserve"> Republic of the Philippines Province of Ilocos Sur Municipality of Santa Brgy. BASUG Construction of Multi-Purpose Building Php 133,479.40 A. Materials lot description qty bags cement 30 cu.m sand 6 cu.m gravel 6 pcs 12 mm rsb 15 pcs 10mm rsb 15 pcs 2x2x1</t>
  </si>
  <si>
    <t xml:space="preserve"> Republicof the Philippines PROVINCEOFAGUSAN DEL SUR Municipality of San Luis Barangay SAN PEDRO Invitation to Bid SUPPLY AND DELIVERY OF HARDWARE MATERIALS FOR THE REHAB/IMPROVEMENT OF BRGY. MULTI-PURPOSE BLDG. 1. The Barangay government of San Pedro, San</t>
  </si>
  <si>
    <t xml:space="preserve"> Republic of the Philippines Province of Oriental Mindoro Municipality of Bongabong Barangay Lisap Section I. Invitation to Bid 2020-001 SUPPLY AND DELIVERY OF CONSTRUCTION MATERIALS AND SUPPLIES FOR THE CONCRETING OF BARANGAY ROAD (SO. SIANGE) 1. The Bara</t>
  </si>
  <si>
    <t xml:space="preserve"> INVITATION TO APPLY FOR ELIGIBILITY AND TO BID 	The Municipality of Lingig, thru the Bids and Awards Committee invites interested suppliers, distributors and/or manufacturers to apply for eligibility and to bid for the supply and delivery of the following</t>
  </si>
  <si>
    <t xml:space="preserve"> 851 heads Chicken (ready to lay) 49.5 bags Feeds (pdp) 50 kls. 82 heads Piglet (8-10 kls) 64 bags Feeds (starter) 123 bags Feeds (grower) 95 bags Feeds (finisher)</t>
  </si>
  <si>
    <t xml:space="preserve"> Epson blank ink    8 bottles Epson ink cyan     3bottles Epson ink yellow   3bottles Epson ink magenta 3bottles ink brother t300 black 5pcs ink brother t300 cyan 3pcs ink brother t300 yellow 3pcs ink brother t300 magenta 3pcs specialty board    15packs fi</t>
  </si>
  <si>
    <t xml:space="preserve"> INVITATION TO BID  1.	The CITY GOVERNMENT OF CAUAYAN, ISABELA through the TRUST FUND (DA VEGETABLE SEED ASSISTANCE PROJECT) intends to apply the sum of TWO MILLION PESOS (PHP2,000,000.00) being the Approved Budget for the Contract (ABC) to payments under </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</si>
  <si>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</si>
  <si>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4 Cylinder Diesel Engine Manual Transmission Dual A/C</t>
  </si>
  <si>
    <t xml:space="preserve"> Procurement of Labor for the Repair of Existing Facilities at Lowan2 -Php200,000.00</t>
  </si>
  <si>
    <t xml:space="preserve"> Specification: 5ft x 2ft x 5 inches dimensions Panaflex/laser-cut acrylic Vinyl Sticker Metal frame, metal sheet Aluminum angle bar LED Electrical supplies Hardware and accessories 42 units to be delivered and installed in the following locations: Marindu</t>
  </si>
  <si>
    <t xml:space="preserve"> 1.	The University of Rizal System, through the Fund 011 and 052 of 2020  intends to apply the sum of Seven Million Eight Hundred Nineteen Thousand One Hundred One Pesos and 44/100 Only (₱7,819,101.44) being the Approved Budget for the Contract (ABC) to pa</t>
  </si>
  <si>
    <t xml:space="preserve"> INVITATION TO BID The Iligan City Government Bids and Awards Committee (BAC), invites contractors registered by the Philippine Contractors Accreditation Board (PCAB) to bid for the hereunder contract: Name of Project   : Construction of Tourism Multi-Purp</t>
  </si>
  <si>
    <t xml:space="preserve"> 6m x 6m</t>
  </si>
  <si>
    <t xml:space="preserve"> Republic of the Philippines Province of Oriental Mindoro Municipality of Bongabong Barangay Lisap Section I. Invitation to Bid 2020-003 SUPPLY AND DELIVERY OF CONSTRUCTION MATERIALS AND SUPPLIES FOR THE CONCRETING OF BARANGAY ROAD (SO. ALYANON) 1. The Bar</t>
  </si>
  <si>
    <t xml:space="preserve"> Republic of the Philippines Province of Ilocos Sur Municipality of Santa Barangay Calungboyan Construction of Solar Dryer  Php 147,000.00 A. Materials lot description qty cu.m filling materials  30 cu.m aggregate base course gravel 15 bags portland cement</t>
  </si>
  <si>
    <t xml:space="preserve"> Construction/Rehabilitation of Water Supply/Septage and Sewerage/Rain Water Collectors</t>
  </si>
  <si>
    <t xml:space="preserve"> Invitation to Bid  1.	The CITY GOVERNMENT OF CAUAYAN CITY, ISABELA  through the 20% DEVELOPMENT FUND 2020  intends to apply the sum of  NINE MILLION SEVEN  HUNDRED FORTY SEVEN  THOUSAND NINE  HUNDRED THIRTY ONE PESOS &amp; NINETEEN CENTAVOS (Php9,747,931.19) </t>
  </si>
  <si>
    <t xml:space="preserve"> 1.	The Municipality of Ubay, through the its bids and Awards Committee (BAC), Invites contractors to submit bids for the following contract: Contract ID No: 20INFR008 Contract Name: CONSTRUCTION OF UBAY OPEN MARKET STORE BAGSAKAN CENTER Contract Location:</t>
  </si>
  <si>
    <t xml:space="preserve"> 630lm</t>
  </si>
  <si>
    <t xml:space="preserve"> Procurement of Labor Cost for Demolition and Reconstruction of MPB (Wellness Center) Php353,600.00</t>
  </si>
  <si>
    <t xml:space="preserve"> Retainer Fee for Medical and Dental Services for CY 2020. Doctor's Fee at Salcedo Velasquez Park Doctor's Fee at Bel-Air Clinic Dentist at Salcedo Velasquez Park Dentist at Bel-Air Clinic Nurse at Salcedo Velasquez Park Nurse at Bel-Air Clinic Dental Assi</t>
  </si>
  <si>
    <t xml:space="preserve"> 300 boxes GLICLAZIDE 80 MG. TAB 500 BOXES VITAMIN E 400 IU/30'S 200 BOXES METFORMIN 500 MG 100'S 6 BOXES ORAL REHYDRATION TABLET (HYDRITE) 200 BOXES ASPIRIN 100MG X 100'S 12 BOTS DIPHENHYDRAMINE SYRUP</t>
  </si>
  <si>
    <t xml:space="preserve"> 1.	The Municipality of Guinayangan, Quezon through the 2019 &amp; 2020 MDF  intends to apply the sum of Three Million Eight Hundred Ninety Three Thousand Pesos (P 3,893,000.00) being the Approved Budget for the Contract (ABC) to payments under the contract fo</t>
  </si>
  <si>
    <t xml:space="preserve"> Repair/Maintenance of DILG Building</t>
  </si>
  <si>
    <t xml:space="preserve"> Repair/Maintenance of Big Mateo Bridge Revetment (Limits: K1622+217)</t>
  </si>
  <si>
    <t xml:space="preserve"> Procurement of Airconditioner Php600,000.00</t>
  </si>
  <si>
    <t xml:space="preserve"> The MUNICIPALITY OF GUINAYANGAN, QUEZON, through the  General Fund   intends to apply the sum of  Three Hundred Eighty Thousand   Pesos (P 380,000.00) being the Approved Budget for the Contract (ABC) to payments under the contract for  Supply &amp; Delivery o</t>
  </si>
  <si>
    <t xml:space="preserve"> FOR RHU ANTI RABIES VACCINATION LGU Cabagan Cabagan, Isabela</t>
  </si>
  <si>
    <t xml:space="preserve"> Republic of the Philippines Province of Bukidnon City of Valencia Barangay Kahaponan Contract Reference No. 2020-07 06/18/2020 INVITATION TO BID FOR THE SUPPLY AND DELIVERY OF ANDROID PHONE FOR BARANGAY OFFICIALS OF KAHAPONAN, VALENCIA CITY, BUKIDNON 1. T</t>
  </si>
  <si>
    <t xml:space="preserve"> MOBILIZATION/ DEMOBILIZATION											 OCCUPATIONAL SAFETY AND HEALTH PROGRAM											 CONCRETE WORKS											 REINFORCING STEEL OF REINFORCED CONCRETE											 FORM WORKS &amp; FALSE WORK ONE STOREY)											 Fabricated Metal Roofing Accessory (Ridg</t>
  </si>
  <si>
    <t xml:space="preserve"> various items ( as per Purchase Request)</t>
  </si>
  <si>
    <t xml:space="preserve"> DEMOBILIZATION											 OCCUPATIONAL SAFETY &amp; HEALTH PROGRAM											 CONCRETE WORKS											 REINFORCING STEEL OF REINFORCED CONCRETE											 FORM WORKS &amp; FALSE WORK ONE STOREY)											 PLUMBING WORKS AND FIXTURES											 UN-GLAZED TILES		</t>
  </si>
  <si>
    <t xml:space="preserve"> Deodorizer to be used at different government facility</t>
  </si>
  <si>
    <t xml:space="preserve"> Installation of Solar Lighting, Concrete Works &amp; Project Marker</t>
  </si>
  <si>
    <t xml:space="preserve"> Ink, Master Roll and Rubber Roll, to be used for production of learning modules, worksheets, activity and lesson exemplars</t>
  </si>
  <si>
    <t xml:space="preserve"> Republic of the Philippines Province of Oriental Mindoro Municipality of Bongabong Barangay Lisap Section I. Invitation to Bid 2020-002 SUPPLY AND DELIVERY OF CONSTRUCTION MATERIALS AND SUPPLIES FOR THE INSTALLATION OF SOLAR STREETLIGHTS (SO. HINGIN I &amp; A</t>
  </si>
  <si>
    <t xml:space="preserve"> GYPSUM BOARD ON METAL FRAME CEILING 100mm CHB NON-LOAD BEARING  PORTLAND CEMENT CONCRETE PAVEMENT(UNREINFORCED) 200mm THK. STAINLESS RAILINGS SPANDREL STRUCTURAL CONCRETE FOR FOOTING TIE BEAM, COLUMN, SUSPENDED SLAB, GIRDER/BEAM (CLASS A) ALUMINUM GLASS W</t>
  </si>
  <si>
    <t xml:space="preserve"> ATTACH</t>
  </si>
  <si>
    <t xml:space="preserve"> Please see the attached Documents</t>
  </si>
  <si>
    <t xml:space="preserve"> Bond Paper (Long Sub. 20) to be used for production of learning modules, worksheets, activity and lesson exemplars</t>
  </si>
  <si>
    <t xml:space="preserve"> INVITATION TO BID The Surigao del Sur 1st District Engineering Office, Tandag City, through its Bids and Awards Committee (BAC), invites contractors to submit bids for the following Contract: CONTRACT ID	:	20NH0075 (RE-AD) CONTRACT NAME	:	Rehabilitation o</t>
  </si>
  <si>
    <t xml:space="preserve"> Republic of the Philippines DEPARTMENT OF PUBLIC WORKS AND HIGHWAYS LAGUNA II DISTRICT ENGINEERING OFFICE REGIONAL OFFICE IV-A Brgy. Bambang, Los Baños, Laguna Invitation to Bid No. 2020 - 11 The Department of Public Works and Highways- Laguna II District</t>
  </si>
  <si>
    <t xml:space="preserve"> Republic of the Philippines Municipality of Taytay Barangay:Sandoval NOTICE TO BIDDERS 							 Item No.	Qty.		Unit of  Item		 Description		 				 1	       	50		sack 			 rice 			  2	      	10   		sack	       		 sugar			  3	       	520    	pcs	      		 g-tas</t>
  </si>
  <si>
    <t xml:space="preserve"> Risograph Machine to be used for production of learning modules, worksheets, activity and lesson exemplars</t>
  </si>
  <si>
    <t xml:space="preserve"> 1. The Polomolok Water District now invites Bids from MANUFACTURERS/SUPPLIERS &amp; ELIGIBLE BIDDERS for the Supply and Delivery of Assorted Gate Valves with an approved budget amounting to P 599,000.00. Issuance and availability of bidding documents will be </t>
  </si>
  <si>
    <t xml:space="preserve"> 1	1	Unit	Floor polisher Net weight: 30 kg; Underside size: 40.6 cm with bumper; Handle size: 1m adjustable stainless tube; Cord: 13.5 royal cord; Motor: 3/4 HP, 220V, 60 cycles; Brush speed: 175 rpm; Consumption: 559 watts; Includes: compatible floor poli</t>
  </si>
  <si>
    <t xml:space="preserve"> Earthworks excavation, stone masonry works(88 lin.m), plastering, manual hauling of materials</t>
  </si>
  <si>
    <t xml:space="preserve"> 42	bags	CEMENT 12 	lenghts	10mm Ø DEF. BARS 9	kl.	GI TIE WIRE #16 12	sheets	1/4 THK. ORDINARY MARINE PLYWOOD 18	kls.	SAHARA 20	pcs.	16mm Ø DEF. BARS 49	pcs.	12MM Ø DEF. BARS 20	pcs.	10mm Ø DEF. BARS 15	kls.	CWN #4 8	kls.	CWN# 2 1/2" 1	kls.	CWN #1" 5	lengt</t>
  </si>
  <si>
    <t xml:space="preserve"> Invitation to Bid  1.	The CITY GOVERNMENT OF CAUAYAN CITY, ISABELA  through the TRUST FUND intends to apply the sum of  FOURTEEN MILLION FOUR HUNDRED SIXTEEN THOUSAND SEVEN HUNDRED SEVENTY THREE PESOS &amp; EIGHTY FOUR CENTAVOS (Php14,416,773.84)  being the A</t>
  </si>
  <si>
    <t xml:space="preserve"> INVITATION TO BID The Surigao del Sur 1st District Engineering Office, Tandag City, through its Bids and Awards Committee (BAC), invites contractors to submit bids for the following Contract: CONTRACT ID	:	20NH0092 CONTRACT NAME	:	Construction/ Rehabilita</t>
  </si>
  <si>
    <t xml:space="preserve"> 1. The Polomolok Water District now invites Bids from MANUFACTURERS/SUPPLIERS &amp; ELIGIBLE BIDDERS for the Supply and Delivery of Assorted Service Connection Materials with an approved budget amounting to PhP 764,525.00. Issuance and availability of bidding</t>
  </si>
  <si>
    <t xml:space="preserve"> Republic of the Philippines CITY GOVERNMENT OF ANTIPOLO Antipolo City INVITATION TO BID For the Supply &amp; Delivery of Medical Oxygen The City Government of Antipolo, through the General Fund intends to apply the sum of P 3,518,500.00 being the Approved Bud</t>
  </si>
  <si>
    <t xml:space="preserve"> Earthworks excavation, stone masonry works, plastering, material carriage</t>
  </si>
  <si>
    <t xml:space="preserve"> 1. The Polomolok Water District now invites Bids from MANUFACTURERS/SUPPLIERS &amp; ELIGIBLE BIDDERS for the Supply and Delivery of Assorted Materials for the Establishment of District Metering Area with an approved budget amounting to PHP 430,000.00. Issuanc</t>
  </si>
  <si>
    <t xml:space="preserve"> INVITATION TO BID 20-59  SUPPLY &amp; DELIVERY OF ELECTROLYTE ANALYZER 1.	The Department of Health, Center for Health Development Bicol (DOH – CHD Bicol), through the 2020 General Appropriations Act intends to apply the sum of One Million Two Hundred Fifty Th</t>
  </si>
  <si>
    <t xml:space="preserve"> SUPPLY, DELIVERY AND INSTALLATION OF 3-75KVA TRANSFORMERS INCLUDING ACCESSORIES I. GENERAL EXPENSES I.1 MOBILIZATION, DEMOBILIZATION AND CLEAN UP OF SITE II MAIN POWERLINE SYSTEM II.1 INSTALLATION OF POWERLINE SYSTEM INCLUDING TESTING AND COMMISSIONING OF</t>
  </si>
  <si>
    <t xml:space="preserve"> INVITATION TO BID IB No. GS-2020 – 075 Hospital/Medical Equipment for use of OMSDH/ for the Covid &amp; Non Covid patients of OMSDH 1. The  Provincial  Government  of  Oriental  Mindoro  (PGOM)  through  the  20% Development Fund CA 2019 intends  to  apply  t</t>
  </si>
  <si>
    <t xml:space="preserve"> Construction of Stone Masonry</t>
  </si>
  <si>
    <t xml:space="preserve"> Excavation, grouted riprap, plastering</t>
  </si>
  <si>
    <t xml:space="preserve"> INVITATION TO BID NO. 20-44 SUPPLY &amp; DELIVERY OF CARDIAC MONITOR WITH PULSE OXIMETER 1.	The Department of Health, Center for Health Development Bicol (DOH – CHD Bicol), through the 2020 General Appropriations Act intends to apply the sum of Two Million On</t>
  </si>
  <si>
    <t xml:space="preserve"> INVITATION TO BID IB No. GS-2020 – 074 Agricultural Products (Seeds, Seedlings, Plants…) for Distribution of Fruit tress high quality Planting Materials to qualified Organization/Association/Cooperators of different Municipalities under High Value Commerc</t>
  </si>
  <si>
    <t xml:space="preserve"> INVITATION TO BID The Surigao del Sur 1st District Engineering Office, Tandag City, through its Bids and Awards Committee (BAC), invites contractors to submit bids for the following Contract: CONTRACT ID	:	20NH0091 CONTRACT NAME	:	Construction of Multi-Pu</t>
  </si>
  <si>
    <t xml:space="preserve"> INVITATION TO BID IB No. GS-2020 – 073 Agricultural Products (Seeds, Seedlings, Plants…) for Distribution under Binhian sa Barangay and Mindoro Dinorado Rice Production Program-Agro Technology Resource and Management Services Division 1. The  Provincial  </t>
  </si>
  <si>
    <t xml:space="preserve"> Republic of the Philippines MUNICIPALITY OF AGONCILLO Province of Batangas Tel. No. 043-210-2344 INVITATION TO BID The Municipal Government, through its Bids and Awards Committee (BAC), invites suppliers/manufacturers/distributors/contractors to apply for</t>
  </si>
  <si>
    <t xml:space="preserve"> 1. The Polomolok Water District now invites Bids from MANUFACTURERS/SUPPLIERS &amp; ELIGIBLE BIDDERS for the Supply and Delivery of GSM/SMS Data Logger (Flow and Pressure) and Accessories with an approved budget amounting to PhP 270,000.00. Issuance and avail</t>
  </si>
  <si>
    <t xml:space="preserve"> The Municipality of Lingig, thru the Bids and Awards Committee invites interested suppliers, distributors and/or manufacturers to apply for eligibility and to bid for the supply and delivery of the following:  1 LOT CONCRETING OF BARANGAY ACCESS ROAD (CRI</t>
  </si>
  <si>
    <t xml:space="preserve"> Concreting of 2.02 Lane Km.; Width=2.50m, Thk.=0.20m, Installation of 6” CHB Line Canal with Stiffener and 0.910m ø RCPC with Headwall</t>
  </si>
  <si>
    <t xml:space="preserve"> Construction of 1-Storey 2-Classroom School Building (with Toilet) with window grilles (9.5m x 18.0m plus corridor)</t>
  </si>
  <si>
    <t xml:space="preserve"> For Improvement / Cleaning and Maintenance of Drainage Canal (Labor)</t>
  </si>
  <si>
    <t xml:space="preserve"> Surface preparation, base coarse preparation, PCCP, gravel surface coarse(road shouldering)</t>
  </si>
  <si>
    <t xml:space="preserve"> For Improvement/ Cleaning and Maintenance of Drainage Canal (Materials)</t>
  </si>
  <si>
    <t xml:space="preserve"> Sub-grade preparation, base coarse preparation, gravel surface coarse(shouldering), PCCP</t>
  </si>
  <si>
    <t xml:space="preserve"> Signage Earthworks (Excavation &amp; Back filling) Reinforcing Steel Bars Form Works Masonry Works w/ Plaster Concrete Works Structural Steel Frame Roof and Cladding, including down spout installation Electrical Works Drainage Canal with Steel Grating and Cat</t>
  </si>
  <si>
    <t xml:space="preserve"> Invitation to Bid on the Supply &amp; Installation of Various Furniture,  Steel Signage &amp; Combi. Blinds at Health Services Building (Main Campus) 1.	The Bukidnon State University, through the INCOME 2020-Fund 164  intends to apply the sum of Three Million Pes</t>
  </si>
  <si>
    <t xml:space="preserve"> Location: Day Care Center,barangay Namnama,Cabatuan,Isabela Portland cement 71 bags Screened sand S1 1 load Gravel G1 1 load 9mmØx6.0m RSB 42 pcs. 10mmØx6.0m RSB 63 pcs. #16 GI Tie wire 15 kgs. 1/4"x4'x8' Marine plywood 3 pcs. 2"x2"x8' Good lumber 25 pcs.</t>
  </si>
  <si>
    <t xml:space="preserve"> 1 LOT	Hybrid Soil and Plant Laboratory (Chemistry and Biology) Equipment 							 Specifications/Inclusions:			 1 UNIT Interactive Projector - (Size 35.6 cm X 37.5 cmX 76.8 cm), (Weight- 12.7 kg), (Projector box- 51.6X 49.4X 57.9 cm, shipping weight- 14.5 </t>
  </si>
  <si>
    <t xml:space="preserve"> Excavation, concrete works, masonry works, roofing &amp; railings, doors &amp; windows, toilet, kitchen, &amp; tiles, ceiling, septic tank &amp; canal, electrical, gate, pergola &amp; barrier, painting</t>
  </si>
  <si>
    <t xml:space="preserve"> Tree cutting and clearing, excavation, chipping of concrete, clearing &amp; wasting, canal cover, shoulder &amp; gutter and cross drain</t>
  </si>
  <si>
    <t xml:space="preserve"> INVITATION TO BID 20-47  SUPPLY &amp; DELIVERY OF DELIVERY LIGHT,  DELIVERY SET &amp; DELIVERY TABLE 1.	The Department of Health, Center for Health Development Bicol (DOH – CHD Bicol), through the 2020 General Appropriations Act intends to apply the sum of Three </t>
  </si>
  <si>
    <t xml:space="preserve"> Republic of the Philippines DEPARTMENT OF PUBLIC WORKS AND HIGHWAYS OFFICE OF THE DISTRICT ENGINEER Biliran District Engineering Office Naval, Biliran Province INVITATION TO BID June 16, 2020 Contract ID Number	:  20GIA005 P.R. Number		:  2020-06-0057 dat</t>
  </si>
  <si>
    <t xml:space="preserve"> 1 UNIT PURCHASE OF BRAND NEW 4X2 AT PICK-UP Minimum Specification:  Engine Size=2.4L - 2.5 L  Displacement : 2,300cc - 2,500cc Number of Cylinders: 4  Number of Values :16 Transmission Category: Automatic Transmission  Fuel Type: Diesel  Fuel Tank Capacit</t>
  </si>
  <si>
    <t xml:space="preserve"> INVITATION TO BID 20-62  SUPPLY &amp; DELIVERY OF CHEMISTRY ANALYZER;  AND HEMATOLOGY ANALYZER 1.	The Department of Health, Center for Health Development Bicol (DOH – CHD Bicol), through the 2020 General Appropriations Act intends to apply the sum of Twelve M</t>
  </si>
  <si>
    <t xml:space="preserve"> 1 sht Hardiflex  2 shts Marine Plywood # 1/4 (4x8) 3 shts Marine Plywood #1/2 (4x8)  4 shts Marine Plywood # 3/4 (4x8)  5 shts Corrogated GI sheets gauge 24  6 shts Plain GI Sheets  7 kl Umbrella Nails 8 gal Gloss Enamel Paint (white) 9 gal Flat Enamel Pa</t>
  </si>
  <si>
    <t xml:space="preserve"> INVITATION TO BID RE-BIDDING LGU-El Salvador City, Misamis Oriental through its BAC, invites interested bidders to apply for eligibility and if found eligible to bid for the contract: 1. Contract ID No. : ITB No. 2020-06-047/Project ID No. 20-019-20% Name</t>
  </si>
  <si>
    <t xml:space="preserve"> Road Length = 579.00 l.m., PCCP (Width) = 4.0 m, Road Width = +/-6.0 m, Road thicknes = 0.20 m</t>
  </si>
  <si>
    <t xml:space="preserve"> Remov. of Actual Struc./Obst. L=40.0 In m, W= 4.0m, t=0.15m thk. Subgrade preparation, l=40.0 In.m, W=6.0m Aggregate Base Course, L=40.0 In.m, W=6.0m, t=0.20m thk. P.C.C.P ( 8'' THK.) L=40.0 In.m, W=5.0m, t=0.20m thk.</t>
  </si>
  <si>
    <t xml:space="preserve"> Please send your lowest possible quotation for the Procurement of Ozone Generator. Due to the recent situation, you can forward your proposal and queries at clarisseannesalenga@dti.gov.ph until 23 June 2020, 10:00AM. For those who have not yet submitted t</t>
  </si>
  <si>
    <t xml:space="preserve"> Road length = 405.00 l.m., Road Width = 6.0 m, Road pavement = 4.0 m, Road thickness = 0.20 m, Grouted Rip-Rap = 340.00 cu.m</t>
  </si>
  <si>
    <t xml:space="preserve"> Republic of the Philippines Province of Ilocos Norte MUNICIPALITY OF PINILI INVITATION TO BID FOR “CONSTRUCTION OF BARANGAY HEALTH STATION AT BARANGAY BARBAR”  1.	The Municipality of Pinili, Ilocos Norte through the MDF 2019 intends to apply the sum TWO M</t>
  </si>
  <si>
    <t xml:space="preserve"> 2ND INVITATION TO BID  SUPPLY AND DELIVERY OF SEVEN (7) UNITS MECHANICAL RICE TRANSPLANTER UNDER 2020 RICE PROGRAM 1.	The Department of Agriculture Regional Field Office No. 5, through the General Appropriation Act  for CY 2020-Rice intends to apply the s</t>
  </si>
  <si>
    <t xml:space="preserve"> For Construction of DRRM Operations Center Phase I</t>
  </si>
  <si>
    <t xml:space="preserve"> Location : Legazpi City, Albay Scope of Work : Repair/Maintenance of DPWH Building (Rediras Building) Albay II District Engineering Office, Airport Site, Legazpi City, Albay</t>
  </si>
  <si>
    <t xml:space="preserve"> Brief Description:Procurement of Cafeteria Concessionaire for CF-Iloilo Employees for a Period of Two (2) Years  Contract Duration: Two (2) Years Contract from the date of receipt by the winning contractor of the Notice to Proceed.  Approved Budget for th</t>
  </si>
  <si>
    <t xml:space="preserve"> 1 unit Submersible Pump Coupled with Submersible Motor w/ the ff. specs;       Pump: Q - 18 lps (300 GPM),      TDH - 135 ft,      NTP - 3",  Motor: Rating - 15 Hp,       Frequency - 60 HZ,      Eff. - 68%,       FS - 1.15,       Phasing – 3,      Voltage</t>
  </si>
  <si>
    <t xml:space="preserve"> Invitation to Bid for  Supply and Delivery of Construction Materials for Mambusao RIS NIAACIMO-RRENIS-MAMBUSAO-GS08-20 1.	The National Irrigation Administration Aklan-Capiz Irrigation Management Office, Linabuan Sur, Banga, Aklan, through the General Appr</t>
  </si>
  <si>
    <t xml:space="preserve"> TThe Local Government Unit of Bula is inviting interested PhilGEPS accredited contractors to apply for eligibility and to submit complete bid for the CONSTRUCTION OF STANDARD DAY CARE CENTER at Barangay Fabrica, Bula, Camarines Sur under the DSWDO CY 2020</t>
  </si>
  <si>
    <t xml:space="preserve"> for Construction of Multi-purpose Building Phase III</t>
  </si>
  <si>
    <t xml:space="preserve"> Brief Description:Procurement of F &amp; B Concessionaire for CF-Bacolod Customers, Guests and Officers for a Period of Three (3) Years.  Contract Duration: Three (3) Years Contract from the date of receipt by the winning contractor of the Notice to Proceed. </t>
  </si>
  <si>
    <t xml:space="preserve"> Earthworks: excavation, manual hauling of materials, embankment(stone masonry), concrete topping &amp; plastering</t>
  </si>
  <si>
    <t xml:space="preserve"> various medical and dental and laboratory supplies</t>
  </si>
  <si>
    <t xml:space="preserve"> see ITB attached</t>
  </si>
  <si>
    <t xml:space="preserve"> Invitation to Bid for  Supply and Delivery of Construction Materials for Tina II PCIP NIAACIMO-SIP-TINA II-GS07-20 1.	The National Irrigation Administration Aklan-Capiz Irrigation Management Office, Linabuan Sur, Banga, Aklan, through the General Appropri</t>
  </si>
  <si>
    <t xml:space="preserve"> For Expansion/ Improvement of Level III Water System</t>
  </si>
  <si>
    <t xml:space="preserve"> 1	REAR AXLE CASE ASSEMBLY (HOUSING)  2	CROSS JOINT (PROPELLER  SHAFT )  3	HUB BOLT -LEFT FRONT  4	HUB BOLT -RIGHT FRONT  5	HUB BOLT -LEFT REAR  6	HUB BOLT -RIGHT REAR  7	STARTER ASSEMBLY  8	SPRING CHAMBER ASSEMBLY  9	WIPER MOTOR  10	LEAF SPRING (FRONT )  </t>
  </si>
  <si>
    <t xml:space="preserve"> Republic of the Philippines Province of Negros Occidental CITY OF TALISAY INVITATION TO BID  Road Concreting located starting at Approach Hacienda Manaul, Barangay Matab-ang, Talisay City  1.	The City of Talisay, through the SARO-OSEC-19-0024229 intends t</t>
  </si>
  <si>
    <t xml:space="preserve"> Repair/Rehabilitation of Barangay Outpost</t>
  </si>
  <si>
    <t xml:space="preserve"> Republic of the Philippines Province of Misamis Occidental MUNICIPALITY OF PANAON INVITATION TO BID FOR  PROCUREMENT OF ONE (1) UNIT K2500 DOUBLE CAB (Procurement of Goods) 									June 18, 2020 1.	The Municipality of Panaon, Misamis Occidental intends t</t>
  </si>
  <si>
    <t xml:space="preserve"> For Construction of Multi-purpose Building (DSWD)</t>
  </si>
  <si>
    <t xml:space="preserve"> 3 site Conduct of Enginnering Geological &amp; Geo-Hazard Assessment (EGGA) to be performed by a license Geologist as required in the issuance of Environmental Compliance Certificate (ECC) Talaingod : Sitio Mesolong, Sto. Nino Sitio Nasilaban. Palma Gil New C</t>
  </si>
  <si>
    <t xml:space="preserve"> For Concreting of 120 meters Unpaved road</t>
  </si>
  <si>
    <t xml:space="preserve"> Item I Excavation Item II Formworks Item III 2 Barrel RCBC (incl. wingwall, headwall &amp; apron) Item IV Embankment Item V Subgrade Preparation Item VI Portland Cement Concrete Pavement</t>
  </si>
  <si>
    <t xml:space="preserve"> RFQ-GS-20200616-01 Interested Suppliers are invited to submit Price Quotation for the above listed item. The official LANDBANK Request for Quotation Form may be obtained from MS. CHARM FLORIDO (email address: floridocharmaine@gmail.com). The deadline for </t>
  </si>
  <si>
    <t xml:space="preserve"> INVITATION TO BID  Supply and Delivery of 245 bags Hybrid Palay Seeds for use in the Implementation  of  RRP-ALPAS Program under Rice Program 2020 1.	The Department of Agriculture Regional Field Office No. 5, through the General Appropriations Act (GAA) f</t>
  </si>
  <si>
    <t xml:space="preserve"> Republic of the Philippines Province of Iloilo Municipality of Lemery Invitation to Bid for Purchase of Office Supplies 1.	The Municipality of Lemery, Iloilo, through the General Fund   intends to apply the sum of  One Million Twenty Nine Thousand Four Hu</t>
  </si>
  <si>
    <t xml:space="preserve"> Item I Demolition of Existing Structure Item II Subgrade Preparation Item III Masonry Works Item IV Fabrication &amp; Installation of Gate Item V Portland Cement Concrete Pavement</t>
  </si>
  <si>
    <t xml:space="preserve"> INVITATION TO BID (CW-06-2020-019) The Department of Public Works and Highways (DPWH)-Batangas IV District Engineering Office, Marawoy, Lipa City, Batangas, through its Bids and Awards Committee (BAC), invites contractors to bid for the contract listed be</t>
  </si>
  <si>
    <t xml:space="preserve"> Up keeping and Maintenance of the Port Physical Facilities for a period of  Eleven (11) Months</t>
  </si>
  <si>
    <t xml:space="preserve"> For Construction of Community Police Assistance Center (COMPAC)</t>
  </si>
  <si>
    <t xml:space="preserve"> 105(1)	Sub-Grade Preparation			1,200.00 	 sq.m.  201	Aggregate Sub-Base Coarse		        345.00 	 cu.m.  311	Portland Cement Concrete Pavement		 600.00 	 sq.m.</t>
  </si>
  <si>
    <t xml:space="preserve"> ITEM NO.	UNIT		QTY		DESCRIPTION		 							 1	 ltr. 		35		Albendazole 15% (1liter)		 2	 bts. 		16		 Vitamin ADE (100ml/bottle) 		 3	 vials 		400		 Rabies Vaccine (10 doses/vial) 		 4	 amp 		12		 Ephinephrine 		 5	 pcs 		6821		 Dog tag/ Dog Collar 		 6	 pcs </t>
  </si>
  <si>
    <t xml:space="preserve"> INVITATION TO BID The City Government of Pasay, through its Bids and Awards Committee (BAC) invites suppliers/manufacturers/distributors/contractors to apply and submit sealed bids for the supply and delivery of the following: Proposed Installation of Ded</t>
  </si>
  <si>
    <t xml:space="preserve"> DESCRIPTION: One (1) Unit Dump Truck SPECIFICATIONS: 4 Cylinder Diesel Engine 4x4 (6 wheeler) 5 speed (Manual Transmission) 3.9 Liters (Turbo Intercooler) 8.25-16 &amp; 6.5-16 (Tire &amp; Rim) 8500 kg. Gross Vehicle Weight INCLUSIVE OF: 120 Ton Jack 1 Tire Wrench</t>
  </si>
  <si>
    <t xml:space="preserve"> Approved Budget Cost:  Php 300,000.00 To be delivered within 7 days upon receipt of P.O. Source of Fund:  Corporate Budget Fund Posting at PHILGEPS:  June 19, 2020</t>
  </si>
  <si>
    <t xml:space="preserve"> Invitation to Bid for Construction Slope Protection (Lugsad Spring Including Intake Box) – Labor and Materials 1.	The Calabanga Water District, through the Corporate budget FY 2020 intends to apply the sum of Php2,000,000.00 being the Approved Budget for </t>
  </si>
  <si>
    <t xml:space="preserve"> For 400 pcs ARAD Water System</t>
  </si>
  <si>
    <t xml:space="preserve"> CONTRACT NO.: BNLSL-LCB-04A-2019 LOCATION: Sto. Niño CIP, Babatngon, Leyte SCOPE OF WORK: Construction of Canal System APPROVED BUDGET FOR CONTRACT: Php 2,114,998.40 CONTRACT DURATION: 60 calendar days Bidding will be conducted in accordance with relevant</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</si>
  <si>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</si>
  <si>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ITEM NO.	UNIT		QTY		DESCRIPTION		 							 					Clinical Laboratory Program		 					 Conduct of early diagnosis through Clinical Laboratory 		 					 examination 		 1	 bots 		12		 70% Isoprophyl Alcohol (1 liter) 		 2	 bxs 		16		 Face Mask 		 3	 bxs 		5		 Mi</t>
  </si>
  <si>
    <t xml:space="preserve"> For MMH Medicines</t>
  </si>
  <si>
    <t xml:space="preserve"> ITEM NO.	UNIT		QTY		DESCRIPTION		 							 					 BOTIKA NG BAYAN 		 					 Proper Dispensing and Monitoring of Prescribed Medicines 		 1	 bxs 		5		Acetylcysteine 200mg Sachet 100's		 2	 bxs 		10		 Acetylcysteine 600mg Effervescent 100's 		 3	 bxs 		25		 Alu</t>
  </si>
  <si>
    <t xml:space="preserve"> Republic of the Philippines DEPARTMENT OF PUBLIC WORKS AND HIGHWAYS PANGASINAN IV DISTRICT ENGINEERING OFFICE REGIONAL OFFICE I Tuliao, Sta. Barbara, Pangasinan Invitation to Bid for  Construction of Four (4) Storey Eight (8) Classroom School Building, Bo</t>
  </si>
  <si>
    <t xml:space="preserve"> Contract Name:	PURCHASE OF SPARE PARTS AND LABOR SERVICES: A.) For use on the repair of fuel system and replacement of worn out tires of HI-7377, Ford Everest 3.0, 2011 B.) For use of 141204 (HI-5871) and 024405 (HI-5606) C.) For replacement of defective </t>
  </si>
  <si>
    <t xml:space="preserve"> Republic of the Philippines DEPARTMENT OF PUBLIC WORKS AND HIGHWAYS PANGASINAN IV DISTRICT ENGINEERING OFFICE REGIONAL OFFICE I Tuliao, Sta. Barbara, Pangasinan Invitation to Bid for  Construction of Four (4) Storey Eight (8) Classroom School Building, Pr</t>
  </si>
  <si>
    <t xml:space="preserve"> ITEM NO. QTY UNIT DESCRIPTION 1.  580 PCS 4 THICK CHB 2.  48 BAGS CEMENT 3.  4.0 CU M WASH SAND 4.  30 LENGTH 10MM DEF BAR 5.  4 KILOS TIE WIRE # 16 6.  9 SHTS 1/4"X4'X8' B. I. PLATE 7.  16 LENGTH 1/4"X1"X1"X6.0M 8.  6 LENGTH  16MM DIAX6.0 DEF BAR 9.  8 P</t>
  </si>
  <si>
    <t xml:space="preserve"> INVITATION TO BID FOR THE SUPPLY, DELIVERY AND COMMISSIONING OF LITHOTRIPTOR SET FOR STONE SURGERIES 1.  The Cagayan Valley Medical Center (CVMC), intends to apply the sum Six Million Pesos (Php   6,000,000.00 ) being the Approved Budget for the Contract </t>
  </si>
  <si>
    <t xml:space="preserve"> Procurement ID/ Contract ID:	20FJ0027 Contract Name:	Repair/ Maintenance of DPWH Building, Motorpool, Masbate III District Engineering Office                                                                  Contract Location:	Brgy. Balocawe, Dimasalang, M</t>
  </si>
  <si>
    <t xml:space="preserve"> Republic of the Philippines Province of Sarangani Municipality of Maitum Invitation to Bid for  Construction of 3 Type Public Market Building No. 3-C 1.	The Local Government of Maitum, through 20% LDF 2020 intends to apply the sum of Php 7,600,000.00 bein</t>
  </si>
  <si>
    <t xml:space="preserve"> INVITATION TO BID FOR THE PROVISION OF LABOR, MATERIALS, EQUIPMENT RENTALS AND OTHER INCIDENTALS NEEDED FOR THE RECONSTRUCTION OF (2 UNITS) GOAT HOUSE IN PREC-SUAL, PANGASINAN 1.	The Department of Agriculture Regional Field Office 1 (DA RFO-1), through th</t>
  </si>
  <si>
    <t xml:space="preserve"> INVITATION TO BID The DPWH-Bataan 2nd District Engineering Office, through its Bids and Awards Committee (BAC), invites contractors to submit bids for the following Contract: Contract ID	:	20CB0072 Contract Name	:	Construction of Two(2) Storey Four(4) Cla</t>
  </si>
  <si>
    <t xml:space="preserve"> INVITATION TO BID The DPWH-Bataan 2nd District Engineering Office, through its Bids and Awards Committee (BAC), invites contractors to submit bids for the following Contract: Contract ID	:	20CB0071 Contract Name	:	Construction of Two(2) Storey Four(4) Cla</t>
  </si>
  <si>
    <t xml:space="preserve"> INVITATION TO BID SUPPLY, DELIVERY, INSTALLATION, TESTING,  APPLICATIONS TRAINING, AND COMMISSIONING OF  VARIOUS MEDICAL EQUIPMENT (Batch 2)  FOR GOV. CELESTINO GALLARES MEMORIAL HOSPITAL  1.	The Gov. Celestino Gallares Memorial Hospital, through Hospital</t>
  </si>
  <si>
    <t xml:space="preserve"> INVITATION TO BID  1.	The CITY GOVERNMENT OF CAUAYAN, ISABELA through the 20% ECONOMIC DEVELOPMENT FUND intends to apply the sum of TWO MILLION SIX HUNDRED FORTY THREE THOUSAND TWO HUNDRED SIXTY NINE PESOS (PHP2,643,269.00) being the Approved Budget for t</t>
  </si>
  <si>
    <t xml:space="preserve"> Item 1 (MPDC)	 12	pc	Ballpen, 145-B, black 12	pc	Ballpen, 145-B, blue 12	pc	Hi-techpoint V5, black 12	pc	Hi-techpoint V5, blue 25	pack	Board paper, long, cream 15	pack	Board paper, medium, cream 7	ream	Book paper, subs. 20 A4 (ultrawhite), 80gsm 15	ream	B</t>
  </si>
  <si>
    <t xml:space="preserve"> Project 2020-15: Purchase of Assorted Sizes uPVC Pipes S-8 &amp; S-10, Fixed Seal</t>
  </si>
  <si>
    <t xml:space="preserve"> Republic of the Philippines Department of Environment and Natural Resources ENVIRONMENTAL MANAGEMENT BUREAU Region VI, Iloilo City INVITATION TO BID FOR THE SUPPLY AND DELIVERY OF ICT EQUIPMENT OF EMB REGION VI CY 2020 (RE-BID) ITB No. EMB-GOODS-NCB-2020-</t>
  </si>
  <si>
    <t xml:space="preserve"> For Health Equipment,</t>
  </si>
  <si>
    <t xml:space="preserve"> Republic of the Philippines DEPARTMENT OF PUBLIC WORKS AND HIGHWAYS PANGASINAN IV DISTRICT ENGINEERING OFFICE REGIONAL OFFICE I Tuliao, Sta. Barbara, Pangasinan Invitation to Bid for  Construction of Two (2) Storey Six (6) Classroom School Building at Tul</t>
  </si>
  <si>
    <t xml:space="preserve"> RFQ-GS-20200616-05 Interested Suppliers are invited to submit Price Quotation for the above listed item. The official LANDBANK Request for Quotation Form may be obtained from MS. LUBELLE LUMABAS (email address: landbank2290@gmail.com; llumabas@mail.landba</t>
  </si>
  <si>
    <t xml:space="preserve"> INVITATION TO APPLY FOR ELIGIBILITY AND TO BID (IAEB) June 19, 2020 The Municipality of Molave, Zamboanga del Sur, through its Bids and Awards Committee (BAC), invites interested bidders to apply for eligibility and to bid for the hereunder project: Contr</t>
  </si>
  <si>
    <t xml:space="preserve"> For Medical Supplies for MMH</t>
  </si>
  <si>
    <t xml:space="preserve"> Invitation to Bid Supply and Delivery of Toners and Inks, 1 Lot, for the Utilization of Pantawid Pamilya staff in RPMO, POO1, POO2, POO3, POO4 and Its municipalities 1.	The Department of Social Welfare and Development, Field Office 02, through the Governm</t>
  </si>
  <si>
    <t xml:space="preserve"> Republic of the Philippines DEPARTMENT OF PUBLIC WORKS AND HIGHWAYS PANGASINAN IV DISTRICT ENGINEERING OFFICE REGIONAL OFFICE I Tuliao, Sta. Barbara, Pangasinan Invitation to Bid for  Construction of Four (4) Storey, Eight (8) Classroom School Building, M</t>
  </si>
  <si>
    <t xml:space="preserve"> Please see the attached file.</t>
  </si>
  <si>
    <t xml:space="preserve"> ITB No. 2020-75 June 19, 2020 Republic of the Philippines Province of Davao Oriental CITY OF MATI INVITATION TO BID CONSTRUCTION OF MULTI-PURPOSE BUILDING KAGITINGAN, MAGAY, BRGY. DON MARTIN MARUNDAN Name of Project 1.	The City Government of Mati, through</t>
  </si>
  <si>
    <t xml:space="preserve"> CONTRACT NO.: BNLSL-LCB-34-2020 LOCATION: Tabion SIP, Leyte, Leyte SCOPE OF WORK: Construction of Diversion Works, Canal and Farm Level System APPROVED BUDGET FOR CONTRACT: Php 6,592,238.00 CONTRACT DURATION: 200 calendar days Bidding will be conducted in</t>
  </si>
  <si>
    <t xml:space="preserve"> For 4 Units Aircon Floor Standing 3HP with Installation</t>
  </si>
  <si>
    <t xml:space="preserve"> Republic of the Philippines Province of Sarangani Municipality of Alabel oooOooo INVITATION TO BID FOR PROCUREMENT OF ONE (1) UNIT RESCUE VEHICLE 1.The Municipality of Alabel, through the 5% Calamity Fund for CY 2019 &amp; 2020[  Ibid.] intends to apply the s</t>
  </si>
  <si>
    <t xml:space="preserve"> LOCATION OF PROJECTt: Sapuan, Ambassador, Tublay, Benguet ABC: Php 2,000,000.00 EQUIPMENTS TO BE USED: *1 Transit Mixer *Concrete Vibrator *Backhoe *Dump Truck (5 cu.m.) SCOPE OF WORK TO BE DONE: ITEM 103(1)a Structure Excavation (Common soil) ITEM 105(1)</t>
  </si>
  <si>
    <t xml:space="preserve"> Item I Preparation of Base Item II Riprap Item III Concrete Paving</t>
  </si>
  <si>
    <t xml:space="preserve"> Procurement of supply and delivery of Office Supplies 50	ream	Bondpaper A4, Substance 20 25	packs	L type transparent folder A4, 10pcs/pack 25	packs	L type transparent folder, long, 10pcs/pack 20	pcs	Notepad, Post It Sticky Notes, 100 sheets per pad, 2x4in</t>
  </si>
  <si>
    <t xml:space="preserve"> INVITATION TO BID The City Government of Pasay, through its Bids and Awards Committee (BAC) invites suppliers/manufacturers/distributors/contractors to apply and submit sealed bids for the supply and delivery of the following: Proposed PREVENTIVE MAINTENA</t>
  </si>
  <si>
    <t xml:space="preserve"> ITEM NO.	QTY.	UNIT	SPECIFIC DESCRIPTION	     1	         95	 Pcs	150mm(6”)Ø x 6m uPVC Pipe with Rubber Ring (Series 8)		     2	         95	 Pcs	200mm(8”)Ø x 6m uPVC Pipe with Rubber Ring (Series 8)		     3	       240	 Pcs	250mm(10”)Ø x 6m uPVC Pipe with Ru</t>
  </si>
  <si>
    <t xml:space="preserve"> BIDS AND AWARDS COMMITTEE (BAC) Email address: bacregion2@yahoo.com Telefax No.: (078) 304-0560 INVITATION TO BID ITB No.: 2020-06-22 The Department of Agriculture – Regional Field Office No. 02 (DA-RFO 02) through its Bids and Awards Committee (BAC) invi</t>
  </si>
  <si>
    <t xml:space="preserve"> Republic of the Philippines Municipality of Palompon  Barangay Central III BIDS AND AWARD COMMITTEE Palompon. Leyte INVITATION TO APPLY FOR ELIGIBILITY AND TO BID N0. 2020-0707-001                                                                           </t>
  </si>
  <si>
    <t xml:space="preserve"> Specification: 1.	WATERPUMP W/ COMPLETE SET OF ACCESSORIES Pump: Type: Single end suction, 100x100mm, self-priming cetrifugal pump, semi open impeller Maximum Total head: 20m(minimum) Engine: Type: 8 horsepower, four stroke, single horizontal cylinder die</t>
  </si>
  <si>
    <t xml:space="preserve"> Equipment Rental for the Demolition and Reconstruction of MPB Php83,345.00</t>
  </si>
  <si>
    <t xml:space="preserve"> ITEM NO.	UNIT		QTY		DESCRIPTION		 							 					Wood Vinegar Production		 1	 sacks 		80		 Coconut Shells 		 2	 pcs. 		500		 Empty Bottle(1.5) 		 3	 sacks 		100		 Wood Cuttings 		 4	 pcs. 		3		 Pail (Orocan) 		 5	 pcs. 		3		 Plywood Marine (1/2) 		 6	 bd.ft</t>
  </si>
  <si>
    <t xml:space="preserve"> Republic of the Philippines Province of Northern Samar BARANGAY LANDUSAN CAPUL, NORTHERN SAMAR BID AND AWARDS COMMITTEE INVITATION TO BID 2020-06-001 INF The BARANGAY LANDUSAN, CAPUL NORTHERN SAMAR through its BIDS AND AWARDS COMMITTEE (BAC), invites all </t>
  </si>
  <si>
    <t xml:space="preserve"> Republic of the Philippines Municipality of Bontoc Mountain Province Bids and Awards Committee INVITATION TO BID FOR SUPPLY AND DELIVERY OF OFFICE SUPPLIES, MATERIALS AND EQUIPMENT PB GOODS 2020-05/7054290 1.	The Municipal Government of Bontoc,Mountain Pr</t>
  </si>
  <si>
    <t xml:space="preserve"> Republic of the Philippines Province of Cotabato Municipality of Aleosan Invitation to Bid  SUPPLY, DELIVERY AND REPAIR OF SPAREPARTS OF HEAVY EQUIPMENT (VIBRATORY COMPACTOR), LGU ALEOSAN, COTABATO                                                          </t>
  </si>
  <si>
    <t xml:space="preserve"> INVITATION TO BID (for the Procurement of Goods)           1.	The City Government of Puerto Princesa (CGPP), through its  General Appropriations Ordinance No. 1-2017 (General Fund FY 2018) intends to apply the sum, corresponds as the Approved Budget for t</t>
  </si>
  <si>
    <t xml:space="preserve"> DESKTOP COMPUTER W/COMPLETE ACCESS. COMP. TABLE &amp; CHAIR 23.8" LED MONITOR, SMART TV, CPU iCORE i5, 3.2GHz, 8GB RAM , 1TB W/ 2 UNITS SPEAKER, 1 UNIT UPS LAPTOP W/ COMP. ACCESS. i7 8GB RAM, 1TB HDD WINDOWS 10 OR MORE PROJECTOR TOUCH SCREEN W/COMPLETE ACCESS</t>
  </si>
  <si>
    <t xml:space="preserve"> ANTHRACITE COAL SILICA SAND</t>
  </si>
  <si>
    <t xml:space="preserve"> DESCRIPTION SUPPLY AND DELIVERY OF VERMICAST UNDER OAP  -	50kg per bag -	Total NPK : at least 2.5% -	Organic Matter: ≥20% -	Moisture Content: 30-35% -	Color: Brown to black -	Odor: No foul odor -	Supplier must have an existing Vermicast production facilit</t>
  </si>
  <si>
    <t xml:space="preserve"> INVITATION TO BID NO. 20-51 SUPPLY &amp; DELIVERY OF HOSPITAL BED 1.	The Department of Health, Center for Health Development Bicol (DOH – CHD Bicol), through the 2020 General Appropriations Act intends to apply the sum of Fifteen Million Three Hundred Forty T</t>
  </si>
  <si>
    <t xml:space="preserve"> 1 unit Multicab FEATURES: 4WD 12 VALVE, 660CC 3 CYLINDER MANUAL POWER STEERING SPECIFICATION: RECONDITION UNIT ENGINE RECONDITION URETHANE PAINT GENERAL UPHOLSTERY BRANDE NEW TIRE BRAND NEW MAGS BRAND NEW BATTERY AIR-CONDITION USB TYPE STEREO ROOF RAIL, T</t>
  </si>
  <si>
    <t xml:space="preserve"> 6.	a)  Contract ID:	20OF0322 b)  Contract Name:	Construction of Multi-Purpose Building (Novaliches Convention and Sports Center), Phase I, Brgy. Fairview, Q.C. c)  Contract Location:	Quezon City d)  Scope of Work:	Construction of Building e)  Approved Bud</t>
  </si>
  <si>
    <t xml:space="preserve"> Request for Quotation The Bureau of Fisheries and Aquatic Resources, Regional Office No. 5, Fabrica, Bula, Camarines Sur is requesting from prospective suppliers to submit quotation for the Supply and Delivery of Commercial Feeds for Tilapia (Floating Typ</t>
  </si>
  <si>
    <t xml:space="preserve"> INVITATION TO BID The DPWH-Bataan 2nd District Engineering Office, through its Bids and Awards Committee (BAC), invites contractors to submit bids for the following Contract: Contract ID	:	20CB0074 Contract Name	:	Construction of Two(2) Storey Four(4) Cla</t>
  </si>
  <si>
    <t xml:space="preserve"> INVITATION TO BID The DPWH-Bataan 2nd District Engineering Office, through its Bids and Awards Committee (BAC), invites contractors to submit bids for the following Contract: Contract ID	:	20CB0073 Contract Name	:	Construction of Two(2) Storey Four(4) Cla</t>
  </si>
  <si>
    <t xml:space="preserve"> Book Paper Ballpen Computer Continues Forms Correction Pen Correction Tape Columnar Book Cutter, Heavy Duty Tracing paper Folder, Long Folder, Expanded Paper Fastener Flash Drive Staple Wire Ink, Epson LogBook Mailing Envelop Sliding Folder, etc</t>
  </si>
  <si>
    <t xml:space="preserve"> Repair/Renovation of Service Stairwell including Demolition/Dismantling of Elevated Water Tank (Near Accounting Building)</t>
  </si>
  <si>
    <t xml:space="preserve"> Various Construction Materials</t>
  </si>
  <si>
    <t xml:space="preserve"> Improvement of Regional Comptrollership Division Office</t>
  </si>
  <si>
    <t xml:space="preserve"> Angle bar Rib Type, Long Span Roof Purlins Welding Rod Cement Tecscrew, etc</t>
  </si>
  <si>
    <t xml:space="preserve"> Republic of the Philippines Province of Batanes MUNICIPALITY OF MAHATAO -oOo- BIDS AND AWARDS COMMITTEE INVITATION TO APPLY FOR ELIGIBILITY AND TO BID The Municipal Local Government of Mahatao through the General Funds intends to apply the sum of Php 218,</t>
  </si>
  <si>
    <t xml:space="preserve"> INVITATION TO BID FOR THE PROVISION OF LABOR, MATERIALS, EQUIPMENT RENTALS AND OTHER INCIDENTALS NEEDED FOR THE REHABILITATION AND ENHANCEMENT OF DORMITORY BUILDING AT DA-PREC, SUAL, PANGASINAN 1.	The Department of Agriculture Regional Field Office 1 (DA </t>
  </si>
  <si>
    <t xml:space="preserve"> INVITATION TO BID The DPWH-Bataan 2nd District Engineering Office, through its Bids and Awards Committee (BAC), invites contractors to submit bids for the following Contract: Contract ID	:	20CB0077 Contract Name	:	Construction of Two(2) Storey Eight(8) Cl</t>
  </si>
  <si>
    <t xml:space="preserve"> Renovation of Accounting Office</t>
  </si>
  <si>
    <t xml:space="preserve"> INVITATION TO BID The DPWH-Bataan 2nd District Engineering Office, through its Bids and Awards Committee (BAC), invites contractors to submit bids for the following Contract: Contract ID	:	20CB0076 Contract Name	:	Construction of Three(3) Storey Six(6) Cl</t>
  </si>
  <si>
    <t xml:space="preserve"> INVITATION TO BID FOR THE PROVISION OF LABOR, MATERIALS, EQUIPMENT RENTALS AND OTHER INCIDENTALS NEEDED FOR THE RECONSTRUCTION OF PERIMETER FENCE WITH GATE AT DA-PREC, SUAL, PANGASINAN 1.	The Department of Agriculture Regional Field Office 1 (DA RFO-1), t</t>
  </si>
  <si>
    <t xml:space="preserve"> Republic of the Philippines DEPARTMENT OF PUBLIC WORKS AND HIGHWAYS CAGAYAN 2ND DISTRICT ENGINEERING OFFICE Regional Office II Abulug, Cagayan INVITATION TO BID FOR  CLUSTER  NO. 2020-04-GOODS The DPWH -Cagayan 2nd District Engineering Office through the </t>
  </si>
  <si>
    <t xml:space="preserve"> INVITATION TO BID The DPWH-Bataan 2nd District Engineering Office, through its Bids and Awards Committee (BAC), invites contractors to submit bids for the following Contract: Contract ID	:	20CB0075 Contract Name	:	Construction of Two(2) Storey Four(4) Cla</t>
  </si>
  <si>
    <t xml:space="preserve"> Republic of the Philippines Province of Sarangani Municipality of Maitum Invitation to Bid for  Rehabilitation of Public Market  1.	The Local Government of Maitum, through 20% LDF – Infrastructure Development Project intends to apply the sum of Php 520,00</t>
  </si>
  <si>
    <t xml:space="preserve"> Assorted Oil Crude Oil</t>
  </si>
  <si>
    <t xml:space="preserve"> Republic of the Philippines DEPARTMENT OF PUBLIC WORKS AND HIGHWAYS ILOILO 1st  DISTRICT ENGINEERING OFFICE Fort San Pedro Road, Iloilo City INVITATION TO BID (RE-BIDDING) 20GGF0014 – Procurement of five (5) pcs. Tires 255/70/R16 and one (1) pc. Aircon Fi</t>
  </si>
  <si>
    <t xml:space="preserve"> The Metro Kalibo Water District, through the Bids and Awards Committee (BAC), will undertake Negotiated Procurement (Small Value Procurement) for the Supply and Delivery of Various Water Service Connection Materials for Maintenance use for 2ND Quarter Pro</t>
  </si>
  <si>
    <t xml:space="preserve"> SECOND INVITATION TO BID  2nd Invitation for the Supply &amp; Delivery of Lot 3- 5 units Copier for use in the office and staff of RPMSO and PPMSO Sorsogon, Catanduanes and Masbate Special Area for Agricultural Development (SAAD) Program for FY 2020 1.	The De</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</si>
  <si>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</si>
  <si>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Republic of the Philippines Province of Batanes MUNICIPALITY OF MAHATAO -oOo- BIDS AND AWARDS COMMITTEE INVITATION TO APPLY FOR ELIGIBILITY AND TO BID The Municipal Local Government of Mahatao through the 20% Development Funds intends to apply the sum of </t>
  </si>
  <si>
    <t xml:space="preserve"> INVITATION TO BID  Supply &amp; Delivery of 7,179 liters Foliar Fertilizer for distribution to affected farmers of Typhoon Tisoy 1.	The Department of Agriculture Regional Field Office No. 5, through the General Appropriations Act (GAA) for TS Tisoy- intends t</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</si>
  <si>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</si>
  <si>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INVITATION TO BID: BID REFERENCE NO.: 2020-19 “SUPPLY AND DELIVERY OF VARIOUS SCUBA DIVING GEARS FOR 10 UNITS 30m. MCS PATROL VESSELS, 4 UNITS OF 11m. MCS PATROL VESSELS, 2 UNITS MMOV, F/V TAMBAKOL AND MRG TECHNICIANS” 1. The Bureau of Fisheries and Aquat</t>
  </si>
  <si>
    <t xml:space="preserve"> SEE ATTACHED FILES IN THE LINK ON "OTHER INFORMATION"</t>
  </si>
  <si>
    <t xml:space="preserve"> INVITATION TO BID FOR THE PROVISION OF LABOR, MATERIALS, EQUIPMENT RENTALS AND OTHER INCIDENTALS NEEDED FOR THE REHAB AND ENHANCEMENT OF FIELD OPERATIONS UNIT BUILDING AT DA-INREC STATION, BATAC CITY STATION, ILOCOS NORTE 1.	The Department of Agriculture </t>
  </si>
  <si>
    <t xml:space="preserve"> Item No. Description Quantity Unit 1 Construction of temporary facility 1 Lot 2 Mobilization of one drilling unit, all equipment &amp; staff to project site 1 Lot 3 Drilling of 4" diam. Pilot hole from surface including strata sampling every 1 m. of penetrati</t>
  </si>
  <si>
    <t xml:space="preserve"> Supply and delivery of fuel for road opening</t>
  </si>
  <si>
    <t xml:space="preserve"> INVITATION TO BID FOR PROCUREMENT OF MEDICAL EQUIPMENT UNDER HFEP 2020 1.	The Ospital ng Palawan, through HFEP GAA and Trust Fund intends to apply the sum of Forty Million Seven Thousand Eighty-One Pesos &amp; 95/100 (P40,007,081.95) being the Approved Budget</t>
  </si>
  <si>
    <t xml:space="preserve"> 1.	The Dangerous Drugs Board, through the General Appropriation Act of 2020  intends to apply the sum of Ten Million Pesos (10,000,000.00) being the Approved Budget for the Contract (ABC) to payments under the contract for PROCUREMENT FOR INSTALLATION OF </t>
  </si>
  <si>
    <t xml:space="preserve"> Procurement ID/ Contract ID:	20FJ0028 Contract Name:	Repair/ Maintenance of DPWH Building, Area Equipment Quarter, Airport Road, Brgy. Kalipay, Masbate City Contract Location:	Airport Road, Brgy. Kalipay, Masbate City Brief Description:	Repair/Maintenance</t>
  </si>
  <si>
    <t xml:space="preserve"> INVITATION TO BID  Supply &amp; Delivery of 7,179 packs Plant Growth Enhancer for distribution to affected farmers of Typhoon Tisoy 1.	The Department of Agriculture Regional Field Office No. 5, through the General Appropriations Act (GAA) for TS Tisoy- intend</t>
  </si>
  <si>
    <t xml:space="preserve"> INVITATION TO BID The DPWH-Bataan 2nd District Engineering Office, through its Bids and Awards Committee (BAC), invites contractors to submit bids for the following Contract: Contract ID	:	20CB0078 Contract Name	:	Construction of Two(2) Storey Ten(10) Cla</t>
  </si>
  <si>
    <t xml:space="preserve"> CONCRETING OF PAVEMENT-BRGY. STA CRUZ Brgy. Sta. Cruz, Labo, Cams. Norte</t>
  </si>
  <si>
    <t xml:space="preserve"> a.) Ceiling Works (Q=1 lot.) b.)Tile Works (Q=1 lot.) c.) Painting Works (Q=1 lot) d.) Metal Works (Q= 1 lot) e.) CSHP (Q=1 lot)</t>
  </si>
  <si>
    <t xml:space="preserve"> a.) 601 bags Complete Fertilizer (14-14-14) b.) 405 bags 16-20-0 c.)  848 bags Urea (46-0-0) d.) 69 bags 21-0-0-24S e.) 970 bags Organic Fertilizer (Siglat)</t>
  </si>
  <si>
    <t xml:space="preserve"> Republic of the Philippines PROVINCE OF AGUSAN DEL SUR Municipality of Loreto INVITATION TO BID FOR SPARE PARTS OF HEAVY EQUIPMENT UNDER MEO 1.	The Municipality of Loreto, through the GENERAL FUND intends to apply the sum of THREE HUNDRED FIFTEEN THOUSAND</t>
  </si>
  <si>
    <t xml:space="preserve"> Republic of the Philippines PROVINCE OF AGUSAN DEL SUR Municipality of Loreto Invitation to Bid for  CONSTRUCTION OF CULTURAL AND RECREATION PARK 1.	The Municipality of Loreto, through the GENERAL FUND (GAD) intends to apply the sum of FIVE MILLION PESOS </t>
  </si>
  <si>
    <t xml:space="preserve"> See attached files</t>
  </si>
  <si>
    <t xml:space="preserve"> a.) Project Signboard (Q=1 lot) b.) Mobilization/Demobilization (Q=1 lot c.) Construction Safety and Health Program (Q=1 lot) d.) Formworks &amp; wood works (Q-1 lot) e.) Steel Works (Q-1 lot) f.) Concrete Works (V=7,9585 cu.m.) g.) Masonry Works (Q= 1lot) h.</t>
  </si>
  <si>
    <t xml:space="preserve"> The Municipality of Molave, Zamboanga del Sur, through its Bids and Awards Committee, invites suppliers/distributors to apply for eligibility and to bid for the rebidding of the hereunder project: Name of Project : PROCUREMENT OF VARIOUS HARDWARE AND CONS</t>
  </si>
  <si>
    <t xml:space="preserve"> 105(1)	Sub-Grade Preparation		 1,200.00 	 sq.m.  201	Aggregate Sub-Base Coarse		 225.00 	 cu.m.  311	Portland Cement Concrete Pavement	 488.00 	 sq.m.</t>
  </si>
  <si>
    <t xml:space="preserve"> Republic of the Philippines PROVINCE OF AGUSAN DEL SUR Municipality of Loreto INVITATION TO BID FOR FOOD SUPPLIES FOR THE CONSUMPTION IN ESTABLISHMENT FOR MAINTENANCE OF INTEGRATED DEFENSE SYSTEM FOR MPOC 1.	The Municipality of Loreto, through the GENERAL</t>
  </si>
  <si>
    <t xml:space="preserve"> Republic of the Philippines PROVINCE OF AGUSAN DEL SUR Municipality of Loreto INVITATION TO BID FOR CONSUMPTION OF MILITARY COMBAT/INTEL OPERATION (2ND QUARTER 2020) 1.	The Municipality of Loreto, through the GENERAL FUND intends to apply the sum of FOUR </t>
  </si>
  <si>
    <t xml:space="preserve"> LOCATION OF PROJECT: Chagao, Daclan, Tublay, Benguet ABC: Php 2,100,000.00 EQUIPMENTS TO BE USED: *1 Transit Mixer *Concrete Vibrator *Backhoe *Dump Truck (5 cu.m.) SCOPE OF WORK TO BE DONE: ITEM 102(1)a Roadway Excavation (Common Soil) ITEM 104(1)a Excav</t>
  </si>
  <si>
    <t xml:space="preserve"> Contract ID No. 20OH0049 Re-ads Contract Name:  Local Program-Local Infrastructure Program-Flood Control and Drainage-Drainage / Protection Works-Rehabilitation of Estero with Footbridge, Estero Tripa de Gallina, Paco, Manila Contract Location: Manila Cit</t>
  </si>
  <si>
    <t xml:space="preserve"> LOCATION OF PROJECT: Ambongdolan, Tublay, Benguet ABC: Php 1,500,000.00 EQUIPMENTS TO BE USED: *1 Transit Mixer *Concrete Vibrator *Backhoe *Dump Truck (5 cu.m.) SCOPE OF WORK TO BE DONE: ITEM 103(1)a Structure Excavation (Common Soil) ITEM 104 Embankment</t>
  </si>
  <si>
    <t xml:space="preserve"> 1. The Mindanao State University – Tawi-Tawi College of Technology and Oceanography (MSU-TCTO), through 2020 General Appropriations Act (GAA) Budget, intends to apply the sum of Forty-Three Million Pesos and 00/100 (PhP 43,000,000.00) being the Approved B</t>
  </si>
  <si>
    <t xml:space="preserve"> LOCATION OF PROJECT: Salaksak, Ambassador, Tublay, Benguet ABC: Php 1,000,000.00 EQUIPMENTS TO BE USED: *1 Transit Mixer *Concrete Vibrator *Backhoe *Dump Truck (5 cu.m.) SCOPE OF WORK TO BE DONE: ITEM 102(1) Roadway Excavation (C.E.) ITEM 105(1)a Sub Gra</t>
  </si>
  <si>
    <t xml:space="preserve"> General Items, Intake Sump, Delivery Pipeline, Power House &amp; Pumping Set, Solar Mounting Structure, Perimeter Fence, Project Marker &amp; Signboard, Mobilization/Demobilization</t>
  </si>
  <si>
    <t xml:space="preserve"> Construction Safety and Health Formworks Demolition/Chipping Works Excavation Drainage Drainage Cover Sign Board</t>
  </si>
  <si>
    <t xml:space="preserve"> CONSTRUCTION OF SCHOOL BUILDING, CUM EVACUATION CENTER MALAYA HIGH SCHOOL Brgy. Malaya, Labo, Cams. Norte</t>
  </si>
  <si>
    <t xml:space="preserve"> CONCRETING OF ACCESS ROAD -STA CRUZ Brgy. Sta. Cruz, Labo, Cams. Norte</t>
  </si>
  <si>
    <t xml:space="preserve"> NOTICE OF PROCUREMENT (For Posting Purposes in the PhilGEPS and DPWH websites) Notice is hereby given that the Department of Public Works and Highways (DPWH)- Central Office is undertaking the procurement of Consulting Services for the Construction Superv</t>
  </si>
  <si>
    <t xml:space="preserve"> Contract ID: 20GPF0012 Contract Name: Supply and Delivery of Lubricants, Tires, various vehicle and heavy equipment parts &amp; accessories for use of Maintenance Section of DPWH-BSDEO (CLUSTER I-2020 GOODS). Contract Location: Natubleng, Buguias, Benguet Bri</t>
  </si>
  <si>
    <t xml:space="preserve"> CONSTRUCTION OF MUNICIPAL DRAINAGE Labo, Cams. Norte</t>
  </si>
  <si>
    <t xml:space="preserve"> a.) Excavation (Q=16.20cu.m.) b.)stone masonry (Q=85.50 cu.m.) c.) CSHP (Q=1 lot) d.) Handling of Materials (Q= 1 lot) e.) Project Signboard (Q=1 lot)</t>
  </si>
  <si>
    <t xml:space="preserve"> LOCATION OF PROJECT: Tabeyo, Ambassador, Tublay, Benguet ABC: 1,000,000.00 EQUIPMENTS TO BE USED: *1 Transit Mixer *Concrete Vibrator *Backhoe *Dump Truck (5 cu.m) SCOPE OF WORK TO BE DONE: ITEM 102(1) Roadway Excavation (C.E.) ITEM 105(1)a Sub Grade Prep</t>
  </si>
  <si>
    <t xml:space="preserve"> Various office supplies Prospective bidders should have experience in undertaking a similar project within the last two(2) years with an amount of at least 50% for non-expendable supplies and 25% for expendable supplies of the project to be bid.  The elig</t>
  </si>
  <si>
    <t xml:space="preserve"> 103(1)	Structural Excavation		     6.48 	 cu.m.  500	Reinforced Concrete Culvert Pipes     6.00 	 LM  506)	Stone Masonry (RCCP Headwall)	     1.92 	 cu.m.  104(1)	Embankment			     130.00 	 cu.m.  105(1)	Sub-Grade Preparation	    1,760.00 	 sq.m.  201	Agg</t>
  </si>
  <si>
    <t xml:space="preserve"> 100	Clearing &amp; Grubbing				 112.00 	 cu.m.  102	Excavtion to Line and Grade		 75.59 	 LM  104(1)	Embankment				 750.00 	 cu.m.  105(1)	Sub-Grade Preparation		 3,210.32 	 sq.m.  201	Aggregate Sub-Base Coarse		 960.00 	 cu.m.  311	Portland Cement Concrete P</t>
  </si>
  <si>
    <t xml:space="preserve"> Construction of Magpet Fire Station Building</t>
  </si>
  <si>
    <t xml:space="preserve"> Construction of Pigcawayan Fire Station Building</t>
  </si>
  <si>
    <t xml:space="preserve"> Construction of Norala Fire Station Building</t>
  </si>
  <si>
    <t xml:space="preserve"> 1.	The Provincial Government of Misamis Occidental, through the General Funds 2020  intends to apply the sum of Twenty-two Million Three Hundred Thirty-two Thousand Three Hundred Forty-seven Pesos and 27/100 (Php. 22,332,347.27) being the Approved Budget </t>
  </si>
  <si>
    <t xml:space="preserve"> 105(1)	Sub-Grade Preparation		 2,736.00 	 sq.m.  201	Aggregate Sub-Base Coarse		870.00 	 cu.m.  311	Portland Cement Concrete Pavement	1,710.00 	 sq.m.</t>
  </si>
  <si>
    <t xml:space="preserve"> 800	PC	BED SHEET FLAT 60X90 WITH PRINT WHITE COTTON	 800	PC	BED SHEET FITTED 36X75 WITH PRINT WHITE COTTON	 400	PC	PATIENT GOWN, WHITE FOR ADULT W/ PRINT	 100	PC	OR GOWN OXFORD W/ PRINT AUTOCLAVABLE	 100	PC	DR GOWN OXFORD W/ PRINT	 800	PC	PILLOW CASE 16X2</t>
  </si>
  <si>
    <t xml:space="preserve"> Republic of the Philippines Province of Eastern Samar Municipality of Maydolong INVITATION TO BID FOR  Procurement of Rescue/Emergency Vehicle 1.	The Municipal Government of Maydolong, Eastern Samar, through the 2019 &amp; 2020 LDRRM Pre-Disaster Preparedness</t>
  </si>
  <si>
    <t xml:space="preserve"> various medical, dental and laboratory supplies Prospective bidders should have experience in undertaking a similar project within the last two(2) years with an amount of at least 50% for non-expendable supplies and 25% for expendable supplies of the proj</t>
  </si>
  <si>
    <t xml:space="preserve"> 4000	TANKS	MEDICAL OXYGEN SPECIFICATION: PURITY: 99.6% TO 99.7% MOISTURE LESS THAN 5ppm ODOR: FREE 5.66 CU.M VOLUME: 5.66 CU.M 3000	TANKS	MEDICAL COMPRESSED AIR SPECIFICATION: OXYGEN CONTENT: 21% MOISTURE LESS THAN 5ppm ODOR: FREE VOLUME: 5.66 CU.M</t>
  </si>
  <si>
    <t xml:space="preserve"> 103(1)	Structural Excavation			 7.56 	 cu.m.  500	Reinforced Concrete Culvert Pipes	 7.00 	 LM  506)	Stone Masonry (RCCP Headwall)		 1.92 	 cu.m.  105(1)	Sub-Grade Preparation	  1,200.00 	 sq.m.  201	Aggregate Sub-Base Coarse	     385.00 	 cu.m.  311	Port</t>
  </si>
  <si>
    <t xml:space="preserve"> 105(1)	Sub-Grade Preparation			 300.00 	 sq.m.  201	Aggregate Sub-Base Coarse			 25.00 	 cu.m.  311	Portland Cement Concrete Pavement		150.00 	 sq.m.</t>
  </si>
  <si>
    <t xml:space="preserve"> Republic of the Philippines Cordillera Administrative Region PROVINCIAL GOVERNMENT OF ABRA Bangued INVITATION TO BID FOR  SUPPLY AND DELIVERY OF OFFICE AND JANITORIAL SUPPLIES &amp; CONSUMABLES 1.	The PROVINCIAL GOVERNMENT OF ABRA, through the Budget for the </t>
  </si>
  <si>
    <t xml:space="preserve"> 700 SETS UPPER AND LOWER COMPLETE DENTURES 220 SETS UPPER COMPLETE DENTURES 240 SETS LOWER COMPLETE DENTURES 84 SETS UPPER REMOVABLE PARTIAL DENTURES 84 SETS LOWER REMOVABLE PARTIAL DENTURES SPECIFICATION: NEW ACE PONTICS &amp; RESIN-BASED DURACYL PINK</t>
  </si>
  <si>
    <t xml:space="preserve"> Anti rabies vaccines Prospective bidders should have experience in undertaking a similar project within the last two(2) years with an amount of at least 50% for non-expendable supplies and 25% for expendable supplies of the project to be bid.  The eligibi</t>
  </si>
  <si>
    <t xml:space="preserve"> Re-roofing of Brgy. Hall</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</si>
  <si>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</si>
  <si>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Invitation to Bid for the Completion of  Irrigation System    Sitio Dacuman, Brgy. Ipil, Surigao City ITB No. 078-Infra-2020    1.	The City Government of Surigao, intends to apply the sum of   One Million    Pesos (Php1,000,000.00)  being the Approved Bud</t>
  </si>
  <si>
    <t xml:space="preserve"> Republic of the Philippines Cordillera Administrative Region PROVINCIAL GOVERNMENT OF ABRA Bangued Invitation to Bid for  PROPOSED SOLAR POWERED IRRIGATION SYSTEM 1.	The Provincial Government of Abra, through the Budget for the Contract Approved by the Sa</t>
  </si>
  <si>
    <t xml:space="preserve"> Invitation to Bid Project No.: R6-D2-2020QRF-01H-SR Repair and Rehabilitation of Classrooms Damaged by Fire Incidents and Various Calamities and Construction of Slope Protection of School Buildings under CY 2020 Quick Response Fund 1.	The Department of Ed</t>
  </si>
  <si>
    <t xml:space="preserve"> Invitation to Bid For One (1) Year Support and Maintenance of Single Back-up Systems Solution for Midrange and Enterprise Platforms 1.	The LAND BANK OF THE PHILIPPINES (LANDBANK), through its Corporate Budget for the contract approved by the Board of Dire</t>
  </si>
  <si>
    <t xml:space="preserve"> Invitation to Bid Project No.: R6-D2-2020QRF-01C-SR Repair and Rehabilitation of Classrooms Damaged by Fire Incidents and Various Calamities and Construction of Slope Protection of School Buildings (CY 2020 Quick Response Fund) 1.	The Department of Educat</t>
  </si>
  <si>
    <t xml:space="preserve"> Invitation to Bid For    One (1) Lot Supply, Delivery and Installation of Signages, Acrylic Frame Panels, ATM Sunshade, and Thru-The-Wall ATM Enclosure, including Dismantling of existing signages, when necessary, at Four (4) LANDBANK Branches 1.	The LAND </t>
  </si>
  <si>
    <t xml:space="preserve"> Invitation to Bid Project No.: R6-D2-2020QRF-01E-SR Repair and Rehabilitation of Classrooms Damaged by Fire Incidents and Various Calamities and Construction of Slope Protection of School Buildings (CY 2020 Quick Response Fund) 1.	The Department of Educat</t>
  </si>
  <si>
    <t xml:space="preserve"> Invitation to Bid Project No.: R6-D2-2020QRF-01D-SR Repair and Rehabilitation of Classrooms Damaged by Fire Incidents and Various Calamities and Construction of Slope Protection of School Buildings (CY 2020 Quick Response Fund) 1.	The Department of Educat</t>
  </si>
  <si>
    <t xml:space="preserve"> Plastic bag Prospective bidders should have experience in undertaking a similar project within the last two(2) years with an amount of at least 50% for non-expendable supplies and 25% for expendable supplies of the project to be bid.  The eligibility chec</t>
  </si>
  <si>
    <t xml:space="preserve"> INVITATION TO BID ITB  No. 076-Goods-2020 The City Government of Surigao, through its Bids and Awards Committee (BAC), invites suppliers to bid for the following: Name of Contract	:  Purchase of All New Pick-up     4 x 2 E 2.4L Diesel Manual Transmission </t>
  </si>
  <si>
    <t xml:space="preserve"> Invitation to Bid Project No.: R6-D2-2020QRF-01B-SR Repair and Rehabilitation of Classrooms Damaged by Fire Incidents and Various Calamities and Construction of Slope Protection of School Buildings (CY 2020 Quick Response Fund) 1.	The Department of Educat</t>
  </si>
  <si>
    <t xml:space="preserve"> INVITATION TO BID ITB  No. 077-Goods-2020 The City Government of Surigao, through its Bids and Awards Committee (BAC), invites suppliers to bid for the following: Name of Contract	:  Purchase &amp; Delivery of Const. &amp; Electrical Supplies for the     project </t>
  </si>
  <si>
    <t xml:space="preserve"> REPUBLIC OF THE PHILIPPINES 		                PROVINCE OF PALAWAN MUNICIPALITY OF LINAPACAN 	June 5, 2020 Invitation to Bid (ITB No. 10-20) 1.	The Municipal Government of Linapacan, Palawan through the MUNICIPAL DEVELOPMENT FUND  (20% MDF 2019) projects i</t>
  </si>
  <si>
    <t xml:space="preserve"> Invitation to Bid Project No.: R6-D2-2020QRF-01F-SR Repair and Rehabilitation of Classrooms Damaged by Fire Incidents and Various Calamities and Construction of Slope Protection of School Buildings (CY 2020 Quick Response Fund) 1.	The Department of Educat</t>
  </si>
  <si>
    <t xml:space="preserve"> Invitation to Bid Project No.: R6-D2-2020QRF-01A-SR Repair and Rehabilitation of Classrooms Damaged by Fire Incidents and Various Calamities and Construction of Slope Protection of School Buildings (CY 2020 Quick Response Fund) 1.	The Department of Educat</t>
  </si>
  <si>
    <t xml:space="preserve"> Invitation to Bid For Three (3) Years Hardware Maintenance and License Subscription of Axway Secure Transport Server 1.	The LAND BANK OF THE PHILIPPINES (LANDBANK), through its Corporate Budget for the contract approved by the Board of Directors for 2020 </t>
  </si>
  <si>
    <t xml:space="preserve"> Invitation to Bid Project No.: R6-D2-2020QRF-01I-SR Repair and Rehabilitation of Classrooms Damaged by Fire Incidents and Various Calamities and Construction of Slope Protection of School Buildings (CY 2020 Quick Response Fund) 1.	The Department of Educat</t>
  </si>
  <si>
    <t xml:space="preserve"> TILES 24 TILES 12 HOLLOW BLOCKS PORTLAND CEMENT SAND SALANDRA (FINISHING) DEF BARS 9MM BOWL PAINT COCO LUMBER 2X3X12 (300 BFT) COMMON NAIL #1 COMMON NAIL #3 COMMON NAIL #4 TIE WIRE SLIDING WINDOW REFLECTIVE GLASS BRONZE SWING DOOR ALUMINUM w/ GLASS TILES </t>
  </si>
  <si>
    <t xml:space="preserve"> Acquisition of equipments and office supplies for the SK Council office and provision of transportation, communicaation and meals for the SK Council members for efficient and effective delivery services for KK Members of Barangay Cembo.</t>
  </si>
  <si>
    <t xml:space="preserve"> Invitation to Bid for the Completion of  Irrigation System     Brgy. Trinidad, Surigao City ITB No. 079-Infra-2020    1.	The City Government of Surigao, intends to apply the sum of   Two Million    Pesos (Php2,000,000.00)  being the Approved Budget for th</t>
  </si>
  <si>
    <t xml:space="preserve"> INVITATION TO BID FOR THE PROCUREMENT OF PSA SECURITY GUARD SERVICES FOR TWO (2) YEARS UNDER ITB NO.PB20-06-003ILO  The Philippine Amusement and Gaming Corporation (PAGCOR) is inviting all interested bidders in its forthcoming public bidding for Procureme</t>
  </si>
  <si>
    <t xml:space="preserve"> see attached program of works</t>
  </si>
  <si>
    <t xml:space="preserve"> Invitation to Bid Project No.: R6-D2-2020QRF-01G-SR Repair and Rehabilitation of Classrooms Damaged by Fire Incidents and Various Calamities and Construction of Slope Protection of School Buildings under CY 2020 Quick Response Fund 1.	The Department of Ed</t>
  </si>
  <si>
    <t xml:space="preserve"> Embroidery Machine  - six(6) needles computerized embroidery machine with     bobbin winder and sewing kit  - With UPS, table and stand ABC:Php 495,000.00/set 1 set Sublimation Printer with heatpress machine  - Printer head -4ft maximum print area   - Wit</t>
  </si>
  <si>
    <t xml:space="preserve"> Republic of the Philippines Province of Cagayan LOCAL GOVERNMENT UNIT-MUNICIPALITY SOLANA, 3503 BIDS AND AWARDS COMMITTEE (BAC) Invitation to Bid for  Rehabilitation of Parug-parug Diversion Dam 1.	The Municipal Government of Solana, through Trust Fund  i</t>
  </si>
  <si>
    <t xml:space="preserve"> Medical Oxygen etc NOTE:To all suppliers bid documents and BAC Resolution 2020-029 are available at BAC Office and LGU website.</t>
  </si>
  <si>
    <t xml:space="preserve"> QTY	UNIT	ITEM DESCRIPTION 		  1.00 	l.s.	Clearing  240.00 	lmtr.	Construction of Line Canal</t>
  </si>
  <si>
    <t xml:space="preserve"> Item No.	  Description		Qty.		Unit 100(1) Clearing and Grubbing- 0.0467 ha. 102(2) Surplus Common Excavation 56.040 cu.m. 103(1)a Structure Excavation, common soil 29.40 cu.m. 104(2)a Embankment from Borrow(Common soil)-57.190 cu.m. 200(1) Aggregate Sub-b</t>
  </si>
  <si>
    <t xml:space="preserve"> INVITATION TO BID FOR THE SUPPLY AND DELIVERY OF 6-WHEELER TRUCK   1.	The City of Iloilo, through the Trust Fund CY2017 intends to apply the sum of Two Million Nine Hundred Thousand Pesos (P2,900,000.00) being the Approved Budget for the Contract (ABC) to</t>
  </si>
  <si>
    <t xml:space="preserve"> QTY	UNIT	ITEM DESCRIPTION 		  85.90 	sq.m.	Masonry Works  1.55 	cu.m.	Concrete Works  64.94 	sq.m.	Roofing Works</t>
  </si>
  <si>
    <t xml:space="preserve"> QTY	UNIT	ITEM DESCRIPTION 		 		Environmental Health Services  79.00 	pc/s	Insecticide Concentrate 1 Liter 		Specification: 		Metofluthrin 0.1% + Cyphenothrin 6% Piperonyl Butoxide 10% 		with Advance Evaporation Retardant Technology that maintains Droplet </t>
  </si>
  <si>
    <t xml:space="preserve"> INVITATION TO BID FOR  The Procurement of Forty  (40) Units of  Pump  Irrigation  System  for Open Source ( PISOS)  1.	The Department of Agriculture-Regional Field Office 7, through the GAA 2020  intends to apply the sum of  Three Million  Six Hundred Tho</t>
  </si>
  <si>
    <t xml:space="preserve"> QTY	UNIT	ITEM DESCRIPTION 		  1.00 	l.s.	Concrete and Masonry Works  32.18 	sq.m.	Ceiling Works  12.00 	sq.m.	Wall Partition  1.00 	set/s	Installation of Doors  1.00 	l.s.	Plumbing Works  1.00 	l.s.	Electrical Works  1.00 	l.s.	Fabrication/Installation of</t>
  </si>
  <si>
    <t xml:space="preserve"> INVITATION TO BID FOR  The Procurement of One Hundred Eighty-Eight (188) Units Plow (Manual Cultivator Plow)  1.	The Department of Agriculture-Regional Field Office 7, through the GAA 2020  intends to apply the sum of Seven Hundred Fifty-Two Thousand Peso</t>
  </si>
  <si>
    <t xml:space="preserve"> Removal of Obstruction/Structure/Layout	1.00	lot Earthworks	80.00	cu.m. Reinforcing Steel Bar	5,516.74	kgs. Structural Concrete	42.41	cu.m. Roof Framing/Roofing	104.00	lot Masonry Works w/ Plastering	230.00	sq.m. Windows	19.08	sq.m. Electrical Works	1.00	</t>
  </si>
  <si>
    <t xml:space="preserve"> see attached program of work</t>
  </si>
  <si>
    <t xml:space="preserve"> Descriptions: 120 pcs ceramic toilet bowls Large ordinary</t>
  </si>
  <si>
    <t xml:space="preserve"> Procurement of Toilet Bowl</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</si>
  <si>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</si>
  <si>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INVITATION TO BID FOR THE REBIDDING OF THE SUPPLY AND DELIVERY OF VARIOUS LABORATORY REAGENTS AND SUPPLIES (IB NO. 2020-GOODS-005R-02-0618Rep) 1.	The ILOCOS TRAINING AND REGIONAL MEDICAL CENTER (ITRMC), through the Trust Fund- Income Collection, intends t</t>
  </si>
  <si>
    <t xml:space="preserve"> Republic of the Philippines PROVINCE OF LEYTE Burauen, Leyte INVITATION TO BID   CONSTRUCTION OF BURAUEN COMMUNITY COLLEGE BUILDING (ADMINISTRATION BUILDING) BURAUEN SPORTS COMPLEX, BURAUEN, LEYTE The Municipality of Burauen, through the Bids and Awards C</t>
  </si>
  <si>
    <t xml:space="preserve"> Epson: 1.	3 Bottles Epson Ink BT003, black 2.	3 Bottles Epson Ink BT003, Cyan 3.	3 Bottles Epson Ink BT003, Magenta 4.	3 Bottles Epson Ink BT003, Yellow 5.	11 Bottles Epson Ink T7741, Black 6.	45 Bottles Epson Ink T6641, Black 7.	31 Bottles Epson Ink T664</t>
  </si>
  <si>
    <t xml:space="preserve"> Procurement for various Information Technology Equipment -The project is subdivided into five lots -The submission of bids would be through the "Online Submission of Bids (OSB)" facility found at the ILS website at ils.dole.gov.ph</t>
  </si>
  <si>
    <t xml:space="preserve"> ARPA-RADAR Simulator  (Full Mission Ship Bridge Simulator) with complete accessories  (1 Instructor Station and 6 Students Station) including installation and training orientation.      please see attachment for more references...</t>
  </si>
  <si>
    <t xml:space="preserve"> -1,374.00- bags - Thermoplastic Paint White (25 kgs./bag) -153.00- bags - Thermoplastic Paint Yellow (25 kgs./bag) -208.00- bags - Glass Beads (pre-mix) -752.00- liters - Primer -21.00- pc. - G.I. Pipe Schedule 40 6m (76mmØ) -24.00- pcs. - Prohibitory/res</t>
  </si>
  <si>
    <t xml:space="preserve"> INVITATION TO BID FOR  The Supply of Labor and Materials for the Construction of Cangkue Diversion Dam located at Brgy. Sto. Niño , Tanjay City, Negros Oriental 1.	The Department of Agriculture-Regional Field Office 7, through the GAA 2020  intends to app</t>
  </si>
  <si>
    <t xml:space="preserve"> Construction and/ or Repair/ Rehabilitation of Multi-Purpose Building 6.00mx15.00mm Ground Floor Only; Ground Floor Area Only - 90.00sq.m at ground floor with canopy and sun breaker, doors and windows, ceiling, painting works for exterior and interior; ce</t>
  </si>
  <si>
    <t xml:space="preserve"> INVITATION TO BID (Re-Bid) PNOC Exploration Corporation (PNOC EC), through its Bids and Awards Committee (BAC), invites bidders to apply for eligibility and to bid for the hereunder project: Project Name 	Engagement of Service Provider for Group Life and </t>
  </si>
  <si>
    <t xml:space="preserve"> Nabulo, Catubig, N. Samar through the 20%  BDF C.Y. 2020 intends to apply the sum of Sixty-six Nine  Thousand Hundred  Seven Pesos (Php 66,907.00) being the Approved Budget for the Street Cementing (Phase II). Quotation received in excess of the CWSR  sha</t>
  </si>
  <si>
    <t xml:space="preserve"> Municipal General Services Department 1. 1 unit UPS Power Supply, 1200VA, Load auto sensing and Abnormal Protection, fast charging 2. 1 unit Office Chair, mangerial, black, mesh back, adjustable height, Armrest, chrome legs 3. 1 unit Trolly Speakers -&lt;60 </t>
  </si>
  <si>
    <t xml:space="preserve"> Improvement /expansion of LGU Water System at Fatima (Purok 5) Liloy, Zamboanga del Norte 48 cu.m.  - Concrete Water Tank 4 sq m.    - Pumphouse 70 sq. m. - Fence 10 kva     - Transformer (including calibration and installation 1 set        - Chlorinator </t>
  </si>
  <si>
    <t xml:space="preserve"> Construction of Drainage</t>
  </si>
  <si>
    <t xml:space="preserve"> Construction of concrete box culvert with embankment at Rafael Lacson Street (Slaughterhouse road)</t>
  </si>
  <si>
    <t xml:space="preserve"> Construction of MPB</t>
  </si>
  <si>
    <t xml:space="preserve"> ONE UNIT PICK-UP VEHICLE not less than 2.8L but not more than 3.0L engine displacement 4x4 diesel, manual transmission, model 2020</t>
  </si>
  <si>
    <t xml:space="preserve"> 1. The Provincial Government of Misamis Occidental, through the General Funds 2019 intends to apply the sum of Nine Million Pesos (Php. 9,000,000.00) being the Approved Budget for the Contract (ABC) to payments under the contract for PB-C-2020-05-620: Pro</t>
  </si>
  <si>
    <t xml:space="preserve"> Republic of the Philippines PROVINCE OF NORTHERN SAMAR BIDS AND AWARDS COMMITTEE Catarman Procurement of Tires for Service Vehicles and Heavy Equipment Province of Northern Samar NS-06-17-20-06 1.	The Provincial Government of Northern Samar, through the S</t>
  </si>
  <si>
    <t xml:space="preserve"> Description Republic of the Philippines Province of Oriental Mindoro MUNICIPALITY OF NAUJAN BARANGAY BACUNGAN BIDS AND AWARDS COMMITTEE INVITATION TO BID SUPPLY AND DELIVERY OF MATERIALS TO BE USED IN INSTALLATION  OF POTABLE WATER SUPPLY SYSTEM LEVEL 1 &amp;</t>
  </si>
  <si>
    <t xml:space="preserve"> Republic of the Philippines PROVINCE OF BUKIDNON Municipality of Sumilao INVITATION TO BID  ITB NO. CW-2020-07 CONSTRUCTION OF DRAINAGE CANAL FOR TEN (10) BARANGAYS 1.	The Local Government Unit of Sumilao, through its Bids Awards Committee (BAC) invites c</t>
  </si>
  <si>
    <t xml:space="preserve"> Construction of Convention Center</t>
  </si>
  <si>
    <t xml:space="preserve"> INVITATION TO BID THE BARANGAY NEW LAWAAN THROUGH ITS BIDS AND AWARDS COMMITTEE (BAC) INVITES PHILGEPS REGISTERED SUPPLIERS TO APPLY TO BID FOR THE SUPPLY AND DELIVERY OF VARIOUS MATERIALS FOR ROAD REHABILITATION. AGGREGATE SUB-BASE COARSE</t>
  </si>
  <si>
    <t xml:space="preserve"> INVITATION TO BID THE BARANGAY NEW LAWAAN THROUGH ITS BIDS AND AWARD COMMITTEE (BAC) INVITES PHILGEPS REGISTERED SUPPLIERS TO APPLY TO BID FOR THE SUPPLY AND DELIVERY OF VARIOUS MATERIALS FOR THE CONSTRUCTION OF 2 UNITS MATERIALS RECOVERY FACILITY. I. CON</t>
  </si>
  <si>
    <t xml:space="preserve"> Supply and Delivery of Materials</t>
  </si>
  <si>
    <t xml:space="preserve"> INVITATION TO BID Bid No. B-83-2020  1.	The Provincial Government of Negros Oriental, through Source of Fund: SP. Res. No. 1076-2017, AO 57 series of 2017, 20% DF, CY 2018; SP. Res. No. 846-2108,20%DF, AIP 2019, intends to apply the sum of Two Million Two</t>
  </si>
  <si>
    <t xml:space="preserve"> 2 UNITS	Type II Wide Body Ambulance 	 		with complete accessories	 		Brand New	 		Description:	 		Inline -4 Cylinder, DOHC, 16 Valves,	 		variable Turbocharger (VGS);	 		Common Rail Direct Injection	 		129PS Max Power;	 		356NM Max Torque;	 		16 Liter fil</t>
  </si>
  <si>
    <t xml:space="preserve"> Republic of the Philippines PROVINCE OF QUIRINO Cabarroguis -oOo- BIDS AND AWARDS COMMITTEE INVITATION TO BID FOR  Procurement of Various Medicines for COVID-19 Prevention Contract No. PB-GS-2020-007 							June 14, 2019 1.	The Bids and Awards Committee (</t>
  </si>
  <si>
    <t xml:space="preserve"> Republic of the Philippines Province of South Cotabato BIDS AND AWARDS COMMITTEE City of Koronadal  INF-ITB 20-032 INVITATION TO BID  1.	The Provincial Government of South Cotabato, through the PEO-8751 20% LDF (8.6.1) intends to apply the sum of         </t>
  </si>
  <si>
    <t xml:space="preserve"> Republic of the Philippines DEPARTMENT OF PUBLIC WORKS AND HIGHWAYS MASBATE 1st  DISTRICT ENGINEERING OFFICE REGIONAL OFFICE V San Fernando, Masbate Control No. 2020 - 004 								June 18, 2020 INVITATION TO BID The Department of Public Works and Highways</t>
  </si>
  <si>
    <t xml:space="preserve"> Please see attached file..</t>
  </si>
  <si>
    <t xml:space="preserve"> CONTRACT COST:		 1.			CONCRETING OF LUNA ST. ROAD SECTION TO PUBLIC MARKET (FROM COR. JOSE ROMERO DRIVE)		 			Work Description:		 			Surface type: Item 311 (PCCP)		 			Width: 6.0 l.m		 			thickness: 0.15m.		 			Road Section Length: 73 l.m	 	 	LOT	1	SPECIA</t>
  </si>
  <si>
    <t xml:space="preserve"> 4 units Brand New Ambulance: Cab/Bed Type-Standard Cab/High Deck-Long Wheelbase;21 Seating Capacity;2.6L Engine,Naturally Aspirated,4 cyl,SOHC,8-valve;Diesel Engine-Euro2 Compliant;2607cc Displacement;91.1x100mm Bore X Stroke;22.0:1 Compression Ratio;79/4</t>
  </si>
  <si>
    <t xml:space="preserve"> Republic of the Philippines Province of South Cotabato BIDS AND AWARDS COMMITTEE City of Koronadal  INF-ITB 20-031 INVITATION TO BID  1.	The Provincial Government of South Cotabato, through the PEO-8751 20% LDF (8.4.4) intends to apply the sum of         </t>
  </si>
  <si>
    <t xml:space="preserve"> INVITATION TO BID 20-46  SUPPLY &amp; DELIVERY OF BLOOD CULTURE SENSITIVITY MACHINE 1.	The Department of Health, Center for Health Development Bicol (DOH – CHD Bicol), through the 2020 General Appropriations Act intends to apply the sum of One Million  Pesos </t>
  </si>
  <si>
    <t xml:space="preserve"> Republic of the Philippines PROVINCE OF NORTHERN SAMAR BIDS AND AWARDS COMMITTEE Catarman Purchase of Biotek-M Dengue Package and Biotek-M Lamp Heater With Easyview LED Transilluminator for NSPH and District Hospitals Province of Northern Samar NS-06-17-2</t>
  </si>
  <si>
    <t xml:space="preserve"> Republic of the Philippines PROVINCE OF NORTHERN SAMAR BIDS AND AWARDS COMMITTEE Catarman Invitation to Bid NS-06-17-20-10 Street Concreting Brgy. Magsaysay Bobon Northern Samar 1.	The Provincial Government of Northern Samar, through SP Ordinance No. 21, </t>
  </si>
  <si>
    <t xml:space="preserve"> Invitation to Bid Drilling and Construction of Two (2) Test/Production Wells for Pamplona Water District in Pamplona, Camarines Sur 1. The Pamplona Water District intends to apply the sum of Three Million Nine Hundred Sixty Six Thousand One Hundred Twenty</t>
  </si>
  <si>
    <t xml:space="preserve"> Materials for the Completion of Spring Development Project</t>
  </si>
  <si>
    <t xml:space="preserve"> 1.	The MUNICIPAL GOVERNMENT OF PALIMBANG through an appropriation from 20% DF FY 2020 invites prospective and interested bidders for the project, to wit: 	 LANDSCAPING OF BAYWALK AT BARANGAY BARANAYAN Solicitation Number: PB-2020-CW-022 	Baranyan, Palimb</t>
  </si>
  <si>
    <t xml:space="preserve"> Republic of the Philippines PROVINCE OF NORTHERN SAMAR BIDS AND AWARDS COMMITTEE Catarman Invitation to Bid NS-06-17-20-09 Concreting of Salvacion-Balat Balud Farm to Market Road Bobon Northern Samar 1.	The Provincial Government of Northern Samar, through</t>
  </si>
  <si>
    <t xml:space="preserve"> INVITATION TO BID 20-32  SUPPLY &amp; DELIVERY OF ELECTROCAUTERY MACHINE WITH ARGON PLASMA COAGULATOR 1.	The Department of Health, Center for Health Development Bicol (DOH – CHD Bicol), through the 2020 General Appropriations Act intends to apply the sum of T</t>
  </si>
  <si>
    <t xml:space="preserve"> INVITATION TO BID NO. 20-27 SUPPLY &amp; DELIVERY OF I.T. EQUIPMENT, PERIPHERALS AND CONSUMABLES  1.	The Department of Health Center for Health Development Bicol (DOH CHD Bicol), through the GOP General Appropriation Act of 2020, intends to apply the sum of O</t>
  </si>
  <si>
    <t xml:space="preserve"> SUPPLY &amp; DELIVERY OF LABORATORY REAGENTS  IB NO. 20-10 1.	The Department of Health, Center for Health Development Bicol, through the authorized appropriations under the GOP General Appropriation Act of 2020 intends to apply the sum of ONE MILLION FIVE HUN</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</si>
  <si>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</si>
  <si>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Multicab              1 unit</t>
  </si>
  <si>
    <t xml:space="preserve"> LOCATION OF PROJECT: Lower Coroz, Ambassador, Tublay, Benguet ABC: Php 2,000,000.00 EQUIPMENTS TO BE USED: *1 Transit Mixer *Concrete Vibrator *Backhoe *Dump Truck (5 cu.m.) SCOPE OF WORK TO BE DONE: ITEM 102(1) Roadway Excavation (C.E.) ITEM 105(1)a Sub </t>
  </si>
  <si>
    <t xml:space="preserve"> Name of Project:Construction of 1 Unit 2 Classrooms at Sitio Sinaca, Barangay Anticala, Butuan City Location: Sitio, Sinaca, Barangay Anticala, Butuan City Duration: 115 calendar days Total ABC: Php 3,791,994.31 For representative/s of interested bidders </t>
  </si>
  <si>
    <t xml:space="preserve"> 2 UNITS - MOTORCYLE (CUSTOMIZED) Engine Type: Air cooled, 4-stroke, SOHC, 2-valve Cylinder: Single Cylinder Displacement: 125cm³ Engine Oil Cap: 0.84L Fuel Supply: Fuel injection Transmission Type: V-belt automatic Customize (Emergency QRT): -	Blinkers an</t>
  </si>
  <si>
    <t xml:space="preserve"> INVITATION TO BID Bid No. B-84-2020  1.	The Provincial Government of Negros Oriental, through Source of Fund: 1) 8918-047(20); 2) 8918-048(20); 3) 9998-037(20), intends to apply the sum of Thirteen Million Seven Hundred Twenty Thousand Pesos (Php 13,720,0</t>
  </si>
  <si>
    <t xml:space="preserve"> Removal of structure &amp; obstruction, Removal of Existing 24”Φ and 36"Φ RCPC drainage canal, Structure Excavation, Gravel Bedding and Construction of drainage canal with cover and manhole for every 3 meters @ left side = 196.64 l.m and @ right side = 43.11 </t>
  </si>
  <si>
    <t xml:space="preserve"> Republic of the Philippines PROVINCE OF NORTHERN SAMAR BIDS AND AWARDS COMMITTEE Catarman Purchase of Rescue Ambulance for the PDRRMO  Province of Northern Samar NS-06-17-20-07 1.	The Provincial Government of Northern Samar, through the SP Ordinance No. 2</t>
  </si>
  <si>
    <t xml:space="preserve"> 70  Lngts.    3” PE Pipe x6.m SDR11 ( Note: (BSP+ISO 9001)/Equiv.) 9     Rolls     1” HDPE Pipe x 100m SDR 11 ( Note:(BSP+ISO9001)/Equiv. 5     Rolls    ½” HDPE Pipe x 150m SDR 11 (Note: (BSP+ISO 9001)/Equiv. 20   pcs.       1” dia. Male Thread Adaptor 20</t>
  </si>
  <si>
    <t xml:space="preserve"> INVITATION TO BID NO. 20-24 SUPPLY &amp; DELIVERY OF ADVOCACY MATERIALS (T-SHIRTS, BAGS, UMBRELLAS, ETC)  1.	The Department of Health Center for Health Development Bicol (DOH CHD Bicol), through the GOP General Appropriation Act of 2020 intends to apply the s</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</si>
  <si>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</si>
  <si>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INVITATION TO BID 20-38  SUPPLY &amp; DELIVERY OF ANESTHESIA MACHINE 1.	The Department of Health, Center for Health Development Bicol (DOH – CHD Bicol), through the 2020 General Appropriations Act intends to apply the sum of Three Million Seven Hundred Fifty </t>
  </si>
  <si>
    <t xml:space="preserve"> Description:		 			Road Canal Section Length: 260 L.m		 			Type:  Grouter Riprap		 			Depth: 0.08m		 			Width, Bottom: 0.60m		 			Top: 0.80m	 	 			CONTRACT COST:	 	 	LOT	1	SPECIAL-ITEM-GENERAL CONDITIONS		 	LOT	1	A. Mobilization and Demobilization		10,000.</t>
  </si>
  <si>
    <t xml:space="preserve"> INVITATION TO BID Bid No. B-85-2020  1.	The Provincial Government of Negros Oriental through Responsibility Center: 8751-01(20) / Account Code: 50213090, intends to apply the sum of Four Million Six Hundred Twenty-Three Thousand Six Hundred Fifty-Two Peso</t>
  </si>
  <si>
    <t xml:space="preserve"> Purchase and Delivery of Office Supplies for CY 2020 Santa, Ilocos Sur</t>
  </si>
  <si>
    <t xml:space="preserve"> INVITATION TO BID June 15, 2020 The DPWH-Quirino District Engineering Office, through its Bids and Awards Committee (BAC), invites contractors to submit bids for the following Contract: 1	Contract I.D.  	:	20BK0144 	Name of Project	:	Construction/ Rehabil</t>
  </si>
  <si>
    <t xml:space="preserve"> 4 units Brand New Dump Truck 8x4: COMPLETE KERB MASS (kg): 8x4, GVW (kg): 8500, DIMENSIONS LWH (mm): 10400*2500*3600, FRONT/REAR OVERHANG (mm): 1525/2055, WHEELBASE (mm): 1800+3600+1400, MAX. SPEED (kmh): 88, MIN. TURNING CIRCLE: 17, MIN. GROUND CIRCLE: 3</t>
  </si>
  <si>
    <t xml:space="preserve"> Republic of the Philippines Province of Quezon Municipality of Perez Bids &amp; Awards Committee INVITATION TO BID FOR  Extension of Manlogon Street (Brgy. Bagong Silang) (Materials) 1.	The Municipal Government of Perez, Quezon through its 20% MDF intends to </t>
  </si>
  <si>
    <t xml:space="preserve"> Purchase and Delivery of Two (2) Units Laptop Computers and other Equipment and Accessories Santa, Ilocos Sur</t>
  </si>
  <si>
    <t xml:space="preserve"> Republic of the Philippines Province of Quezon Municipality of Perez Bids &amp; Awards Committee INVITATION TO BID FOR  Re-Blocking of Feeder Road with Canal Improvement, Brgy. Sangirin (Materials) 1.	The Municipal Government of Perez, Quezon through its 20% </t>
  </si>
  <si>
    <t xml:space="preserve"> Republic of the Philippines Province of Quezon Municipality of Perez Bids &amp; Awards Committee INVITATION TO BID FOR  Concreting of Refazo Street Extension (Materials) 1.	The Municipal Government of Perez, Quezon through its 20% MDF intends to apply the sum</t>
  </si>
  <si>
    <t xml:space="preserve"> Republic of the Philippines Province of Agusan del Norte Municipality of Remedios T. Romualdez BARANGAY TAGBONGABONG Invitation to Bid PROCUREMENT OF WATER SUPPLY ACCESSORIES AND MATERIALS FOR THE IMPROVEMENT OF WATER SYSTEM OF TAGBONGABONG 1. The BLGU Ta</t>
  </si>
  <si>
    <t xml:space="preserve"> The Department of Education, Schools Division Office of Albay, through the General Appropriations Act of 2020 intends to apply the sum of One Hundred Forty Eight Million One Hundred Seventy Thousand Two Hundred Nine Pesos &amp; 79/100 only (Php 148,170,209.79</t>
  </si>
  <si>
    <t xml:space="preserve"> Republic of the Philippines Province of Masbate MUNICIPALITY OF CATAINGAN BARANGAY PITOGO   			                                                                                               JUNE 18, 2020 INVITATION TO APPLY FOR ELIGIBILITY AND TO BID The </t>
  </si>
  <si>
    <t xml:space="preserve"> INVITATION TO BID NO. 20-16 SUPPLY &amp; DELIVERY OF FOOD SUPPLIES (REBID) 1.	The Department of Health Center for Health Development Bicol (DOH CHD Bicol), through the GOP General Appropriation Act of 2020 intends to apply the sum of One Million Pesos Only (P</t>
  </si>
  <si>
    <t xml:space="preserve"> Republic of the Philippines Province of Quezon Municipality of Perez Bids &amp; Awards Committee INVITATION TO BID FOR  Repair &amp; Maintenance of Machinery &amp; Equipment (Tools &amp; Parts- Ambulance, Nissan Van, Volvo Truck, Pay Loader) 1.	The Municipal Government o</t>
  </si>
  <si>
    <t xml:space="preserve"> INVITATION TO BID PROCUREMENT OF VARIOUS GOODS IB NO. 2020-07-08 (06) 1.	The Department of Health Cagayan Valley Center for Health Development, through the GOP-General Appropriations Act 2020 intends to apply the lump sum of One Million One Hundred Twelve</t>
  </si>
  <si>
    <t xml:space="preserve"> INVITATION TO BID NO. 20-36 REPRODUCTION &amp; DELIVERY OF BLOOD BAG LABER STICKER WITH PROVISION OF 1 UNIT BARCODE PRINTER 1.	The Department of Health Center for Health Development Bicol (DOH CHD Bicol), through the GOP General Appropriation Act of 2020, int</t>
  </si>
  <si>
    <t xml:space="preserve"> INVITATION TO BID June 15, 2020 The DPWH-Quirino District Engineering Office, through its Bids and Awards Committee (BAC), invites contractors to submit bids for the following Contract: 	Contract I.D.  	:	20BK0146 	Name of Project	:	Construction of 2 Unit</t>
  </si>
  <si>
    <t xml:space="preserve"> Quantity	Unit 	Description/Article 400	pc	Hollow Blocks 2	cu.m	Fine Sand 15	pc	10mm Rebars 10	pc	9mm Rebars 25	sack	Premium Cement 10	kl	Tie Wire 5	sheet	Marine Plywood 3/4 2	pc	Main Door 30	pc	Square bar 10mm 6	pc	Flat Bar 3/16x1 4	length	1.5mm C-Purlins</t>
  </si>
  <si>
    <t xml:space="preserve"> Construction of Masonry Drainage Structure, Along Soriano Street, Centro 11, Balzain East, Tuguegarao City</t>
  </si>
  <si>
    <t xml:space="preserve"> Republic of the Philippines PROVINCE OF ZAMBOANGA SIBUGAY Municipality of Mabuhay OFFICE OF THE BAC CHAIRMAN INVITATION TO BID June 17, 2020 To all interested Bidders; Notice is hereby served that sealed bid be received for public bidding under the harmon</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</si>
  <si>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</si>
  <si>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Republic of the Philippines Province of Quezon Municipality of Perez Bids &amp; Awards Committee INVITATION TO BID FOR  Improvement of Public Cemetery, Brgy. Sangirin (Materials) 1.	The Municipal Government of Perez, Quezon through its Local Fund intends to a</t>
  </si>
  <si>
    <t xml:space="preserve"> Republic of the Philippines Province of Davao del Sur Municipality of Malalag INVITATION TO BID FOR THE SUPPLY AND DELIVERY OF MATERIALS FOR ROAD CONCRETING, MSSD TO WET PUBLIC MARKET, POBLACION, MALALAG DAVAO DEL SUR 1.	The Local Government of Malalag, t</t>
  </si>
  <si>
    <t xml:space="preserve"> Construction of Masonry Drainage, Along Atal Street, Cataggaman Viejo, Tuguegarao City</t>
  </si>
  <si>
    <t xml:space="preserve"> Republic of the Philippines Municipality of Bontoc Mountain Province Bids and Awards Committee INVITATION TO BID FOR PURCHASE OF 1 UNIT MPV(MULTI-PURPOSE VEHICLE) 2.8L G DIESEL AT PB GOODS 2020-04/7050670 1.	The Municipal Government of Bontoc,Mountain Pro</t>
  </si>
  <si>
    <t xml:space="preserve"> INVITATION TO BID June 15, 2020 The DPWH-Quirino District Engineering Office, through its Bids and Awards Committee (BAC), invites contractors to submit bids for the following Contract: Contract I.D.  	:	20BK0145 Name of Project	:	Construction/Rehabilitat</t>
  </si>
  <si>
    <t xml:space="preserve"> Invitation to Bid for Construction of Drainage Canal  No. 2020-001 1. The Barangay Obrero, through the Annual Budget 2020(General Fund) Approved by the Sanggunian intends to apply the sum of Five Hundred Thousand Pesos  (Php 500,000.00 ) being the Approve</t>
  </si>
  <si>
    <t xml:space="preserve"> 1.	The Local Government Unit (LGU) of Caluya, Antique through the Municipal Annual Budget 2020 intends to apply the sum of Two Million Six Hundred Sixty-Five Thousand Four Hundred Pesos (Php2,665,400.00) only being the Approved Budget for the Contract (AB</t>
  </si>
  <si>
    <t xml:space="preserve"> Republic of the Philippines Province of Davao del Sur Municipality of Malalag INVITATION TO BID FOR THE SUPPLY AND DELIVERY OF ONE (1) UNIT FABRICATED PLASTIC AND CELLOPHANE PULVERIZER EQUIPMENT 1.	The Local Government of Malalag, through its Annual Budge</t>
  </si>
  <si>
    <t xml:space="preserve"> 1.	The Local Government Unit (LGU) of Caluya, Antique, through the Municipal Annual Budget 2020 intends to apply the sum of Nine Million Nine Hundred Ninety-Nine Thousand Nine Hundred Eighty-Six Pesos (P9,999,986.00) only being the Approved Budget for the</t>
  </si>
  <si>
    <t xml:space="preserve"> 2000 pcs Business Plates 1500 pcs/pairs Tricycle Plates</t>
  </si>
  <si>
    <t xml:space="preserve"> 45 units Laptop Specifications: -Intel core i3 7020U -4GB DDR4 -1TB HDD -AMD Radeon 530 2GB DDR5 -Windows 10 Home SL -14" HD -Card Reader -WebCam -WiFi -BT -LAN HDMI -HP 15.6" Value Backpack</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</si>
  <si>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</si>
  <si>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Construction Projects-Construction of Manpower &amp; Training w/GSO Building City Hall Site, Brgy. Awasian, Tandag City</t>
  </si>
  <si>
    <t xml:space="preserve"> Structure Excavation, Gravel Bedding. Fill and Backfill, Reinforced concrete of 5 units footing and column, 2 units x 6 L.m. Roof Beam and 3 units x 6 L.m. Roof Beam and 3 units x 6 L.m. Tie Beam, Fabrication and Installation of 2 units Full Truss, Roof F</t>
  </si>
  <si>
    <t xml:space="preserve"> INVITATION TO BID NO. 20-29 GENERAL OVERHAULING OF EXISTING GENERATOR SET AT BRDRL 1.	The Department of Health Center for Health Development Bicol (DOH CHD Bicol), through the GOP General Appropriation Act of 2020, intends to apply the sum of SEVEN HUNDRE</t>
  </si>
  <si>
    <t xml:space="preserve"> Republic of the Philippines Province of South Cotabato BIDS AND AWARDS COMMITTEE City of Koronadal  INF-ITB 20-033 INVITATION TO BID  1.	The Provincial Government of South Cotabato, through the PEO-8751 20% LDF (8.6.1) intends to apply the sum of         </t>
  </si>
  <si>
    <t xml:space="preserve"> Department of Education Region VI-Western Visayas Cadiz City Alimatoc Elementary School Small Value Procurement for the Repair of School Landscaping of Alimatoc Elementary School 1.	The Alimatoc Elementary School, through the School’s MOOE 2020  intends t</t>
  </si>
  <si>
    <t xml:space="preserve"> INVITATION TO BID FOR THE SUPPLY &amp; DELIVERY OF IV FLUIDS IN BAG TO BE USED AT OSPITAL NG MUNTINLUPA  1.	The City Government of Muntinlupa, through its duly-approved Executive Budget for 2020 intends to apply the sum of One Million Eight Hundred Forty Seve</t>
  </si>
  <si>
    <t xml:space="preserve"> Republic of the Philippines Province of Quezon Municipality of Perez Bids &amp; Awards Committee INVITATION TO BID FOR  Purchase of ICT Equipment  (Desktop, Laptop &amp; Printer) 1.	The Municipal Government of Perez, Quezon through its Local Fund intends to apply</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</si>
  <si>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</si>
  <si>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INVITATION TO BID FOR THE COMPLETION WORKS FOR THE SITE DEVELOPMENT &amp; CONSTRUCTION OF FLOOD CONTROL SYSTEM AT COLEGIO DE MUNTINLUPA, POSADAS AVE., BRGY. SUCAT, MUNTINLUPA CITY 1.	The City Government of Muntinlupa, through its duly-approved Supplemental Bu</t>
  </si>
  <si>
    <t xml:space="preserve"> INVITATION TO BID FOR THE CONSTRUCTION OF MULTI-PURPOSE COVERED STAGE, BLEACHER, AND PERIMETER FENCE AT VILLA CAROLINA 2, BRGY. TUNASAN, MUNTINLUPA CITY 1.	The City Government of Muntinlupa, through its duly-approved Executive Budget for 2019 intends to a</t>
  </si>
  <si>
    <t xml:space="preserve"> Department of Education Region VI-Western Visayas Cadiz City Alimatoc Elementary School Small Value Procurement for  Improvement of Water Supply of Alimatoc Elementary School 1.	The Alimatoc Elementary School, through the School’s MOOE 2020  intends to ap</t>
  </si>
  <si>
    <t xml:space="preserve"> Republic of the Philippines Province of South Cotabato BIDS AND AWARDS COMMITTEE City of Koronadal  INF-ITB 20-034 INVITATION TO BID  1.	The Provincial Government of South Cotabato, through the PEO-8751 20% LDF (8.6.1) intends to apply the sum of         </t>
  </si>
  <si>
    <t xml:space="preserve"> INVITATION TO BID     20-078 Name of Project	:	Personal Protective Equipment (PPE) for Laguna Medical Center Location	:	Sta. Cruz, Laguna  Brief Description	:	Medical Grade Approved Budget For the Contract	:	1,500,000.00 Delivery Period 	:	10 Calendar Day</t>
  </si>
  <si>
    <t xml:space="preserve"> Republic of the Philippines Province of Quezon Municipality of Perez Bids &amp; Awards Committee INVITATION TO BID FOR  Supply &amp; Delivery of Medicines (Second Bidding) 1.	The Municipal Government of Perez, Quezon through its Trust Fund intends to apply the su</t>
  </si>
  <si>
    <t xml:space="preserve"> INVITATION TO BID FOR THE  PURCHASE OF TRAINING EQUIPMENT FOR LIVELIHOOD PROGRAM – CLDO 1.	The City Government of Bacoor, Cavite, through the General Fund Year 2020 intends to apply the sum of ONE MILLION SIX HUNDRED FIFTY THOUSAND PESOS AND ZERO CENTAVO </t>
  </si>
  <si>
    <t xml:space="preserve"> Invitation to Bid for Repair &amp; Rehabilitation of Drainage Canal  No. 2020-003 1. The Barangay Mellojavilla, through the Annual Budget 2020(General Fund) Approved by the Sanggunian intends to apply the sum of One Hundred Ninety Six Thousand Pesos  (Php 196</t>
  </si>
  <si>
    <t xml:space="preserve"> A. Removal of Dilapidated concrete pavement, Roadway Excavation, Aggregate base course of Road and Shoulder and Concreting of 129 L.m. x 6.10 m x 0.20 m thk road. B. Removal of Existing Structure, Roadway Excavation, Backfilling, Foundation Fill, Aggregat</t>
  </si>
  <si>
    <t xml:space="preserve"> Republic of the Philippines Province of Davao del Sur Municipality of Malalag Barangay Mabini INVITATION TO BID FOR GOAT DISPERSAL LIVELIHOOD PROGRAM IN BARANGAY MABINI, MALALAG DAVAO DEL SUR 1.	The Barangay Mabini, through its Provincial Aid (Provincial </t>
  </si>
  <si>
    <t xml:space="preserve"> Four-wheel vehicle multicab type</t>
  </si>
  <si>
    <t xml:space="preserve"> 115 pairs Uniform (Patrol Shirt and Pants) 115 pairs Patrol Shoes 9 pcs Tshirts with print (Ladies) 55 pcs Traffic Vest 55 pcs Traffic Gloves</t>
  </si>
  <si>
    <t xml:space="preserve"> INVITATION TO BID FOR THE RENT OF PRINTER WITH CONTINUOUS INK TO BE USED AT OSPITAL NG MUNTINLUPA  1.	The City Government of Muntinlupa, through its duly-approved Executive Budget for 2020  intends to apply the sum of One Million Five Hundred Thousand Pes</t>
  </si>
  <si>
    <t xml:space="preserve"> 1.	The MUNICIPAL GOVERNMENT OF PALIMBANG through an appropriation from Capital Outlay (Mayor’s Office) FY 2020 and Capital Outlay (Treasury Office) FY 2020 invites prospective and interested bidders for the project, to wit: 	 SUPPLY AND DELIVERY OF SIX (6</t>
  </si>
  <si>
    <t xml:space="preserve"> Republic of the Philippines Province of Davao del Sur Municipality of Malalag INVITATION TO BID FOR THE SUPPLY AND DELIVERY OF MATERIALS FOR THE CONSTRUCTION/REHAB. OF POTABLE WATERSYSTEM, IBO, MALALAG DAVAO DEL SUR 1.	The Local Government of Malalag, thr</t>
  </si>
  <si>
    <t xml:space="preserve"> The Municipality of Calintaan through the Calamity Funds intends to apply the sum of One Million Seven Hundred Thousand Pesos Only (Php1,700,000.00) being the Approved Budget for the Contract (ABC) to payment under the contract for Procurement of One (1) </t>
  </si>
  <si>
    <t xml:space="preserve"> Invitation to Bid 1.	The MUNICIPAL GOVERNMENT OF SAN VICENTE, PALAWAN, through the General Fund for CY 2020 intends to apply the sum of  THREE HUNDRED SIXTY-THREE THOUSAND TWO HUNDRED SIXTY-ONE PESOS (Php 363,261.00) being the Approved Budget for the Cont</t>
  </si>
  <si>
    <t xml:space="preserve"> INVITATION TO BID 20-58  SUPPLY &amp; DELIVERY OF CERVICAL INSPECTION SET 1.	The Department of Health, Center for Health Development Bicol (DOH – CHD Bicol), through the 2020 General Appropriations Act intends to apply the sum of One Million Four Hundred Twen</t>
  </si>
  <si>
    <t xml:space="preserve"> 1.	The Local Government Unit (LGU) of Caluya, Antique through the Municipal Annual Budget 2020 intends to apply the sum of Two Million Pesos (Php2,000,000.00) only being the Approved Budget for the Contract (ABC) to payments under the contract for Procure</t>
  </si>
  <si>
    <t xml:space="preserve"> Republic of the Philippines Province of Quezon MUNICIPALITY OF PANUKULAN INVITATION TO BID FOR SUPPLY AND DELIVERY OF  TWO (2) UNITS MOTORCYCLE The Local Government Unit of Panukulan through the General Fund   intends to apply the sum of  One Hundred Thir</t>
  </si>
  <si>
    <t xml:space="preserve"> INVITATION TO BID FOR THE SUPPLY &amp; DELIVERY OF VARIOUS MEDICAL SUPPLIES TO BE USED AT OSPITAL NG MUNTINLUPA 1.	The City Government of Muntinlupa, through its duly-approved Executive Budget for 2020 intends to apply the sum of  Three Million Three Hundred </t>
  </si>
  <si>
    <t xml:space="preserve"> Invitation to Bid 1.	The MUNICIPAL GOVERNMENT OF SAN VICENTE, PALAWAN, through the General Fund for CY 2020 intends to apply the sum of  TWO HUNDRED FIFTY-SEVEN THOUSAND FOUR HUNDRED PESOS (Php 257,400.00) being the Approved Budget for the Contract (ABC) </t>
  </si>
  <si>
    <t xml:space="preserve"> IB NO. 20-37  SUPPLY &amp; DELIVERY OF DRUGS AND MEDICINES 1.	The Department of Health Center for Health Development Bicol (DOH CHD Bicol), through the GOP General Appropriation Act of 2020 intends to apply the sum of Two Million Eight Hundred Fifty-One Thous</t>
  </si>
  <si>
    <t xml:space="preserve"> INVITATION TO BID FOR THE SUPPLY &amp; DELIVERY OF SEVOFLURANE (WET FORMULATION) TO BE USED AT OSPITAL NG MUNTINLUPA 1.	The City Government of Muntinlupa, through its duly-approved Executive Budget for 2020 intends to apply the sum of Three Million Five Hundr</t>
  </si>
  <si>
    <t xml:space="preserve"> Republic of the Philippines Province of South Cotabato BIDS AND AWARDS COMMITTEE City of Koronadal  INF-ITB 20-035 INVITATION TO BID  1.	The Provincial Government of South Cotabato, through the PEO-8751 20% LDF (8.6.1) intends to apply the sum of         </t>
  </si>
  <si>
    <t xml:space="preserve"> Name of Procuring Entity:		                        		                              Contract Reference No. LGU-Q-CWC-02-20 LOCAL GOVERNMENT UNIT                           		       Name of Contract: Improvement of Barangay Health Station  QUEZON, ISABELA 		</t>
  </si>
  <si>
    <t xml:space="preserve"> Republic of the Philippines Province of Leyte Municipality of Hilongos INVITATION TO BID FOR THE PROCUREMENT OF WHEEL TYPE BACKHOE (BRAND NEW) 1.  The Local Government Unit of Hilongos, through GENERAL FUND-20% LDF-CONTINUING APPROPRIATION &amp; SUPPLEMENTAL </t>
  </si>
  <si>
    <t xml:space="preserve"> Fuels and Lubricants for Road Repair and Maintenance (attached request for quotation)</t>
  </si>
  <si>
    <t xml:space="preserve"> Procurement of One Unit Brand New SUV for LGU Operations</t>
  </si>
  <si>
    <t xml:space="preserve"> Invitation to Bid 1.	The MUNICIPAL GOVERNMENT OF SAN VICENTE, PALAWAN, through the GAD Fund 2019 intends to apply the sum of  TWO HUNDRED NINETY-EIGHT THOUSAND ONE HUNDRED SEVENTY-TWO PESOS (Php 298,172.00) being the Approved Budget for the Contract (ABC)</t>
  </si>
  <si>
    <t xml:space="preserve"> Republic of the Philippines PROVINCE OF NUEVA VIZCAYA Invitation to Bid for the  UPGRADING OF CVR BATU-MAGAPUY-PAITAN ROAD Located at Bayombong, Nueva Vizcaya  1.	The Provincial Government of Nueva Vizcaya, through the 2020 CMGP Program intends to apply t</t>
  </si>
  <si>
    <t xml:space="preserve"> Republic of the Philippines Province of Ilocos Norte MUNICIPALITY OF DINGRAS INVITATION TO BID FOR THE CONSTRUCTION OF PERIMETER FENCE AT MUNICIPAL ENGINEERED SANITARY LANDFILL (PHASE I) 1.	The Local Government Unit of Dingras, through the 20%Municipal De</t>
  </si>
  <si>
    <t xml:space="preserve"> REPUBLIC OF THE PHILIPPINES 		                PROVINCE OF PALAWAN MUNICIPALITY OF LINAPACAN June 5, 2020 Invitation to Bid (ITB No. 24-20) 1.	The Municipal Government of Linapacan, Palawan through the National Fund (Philhealth) projects intends to apply t</t>
  </si>
  <si>
    <t xml:space="preserve"> Republic of the Philippines Province of Masbate MUNICIPALITY OF CATAINGAN BARANGAY VILLAPOGADO   			                                                                                              JUNE 18, 2020 INVITATION TO APPLY FOR ELIGIBILITY AND TO BID </t>
  </si>
  <si>
    <t xml:space="preserve"> Republic of the Philippines         Province of Leyte     MUNICIPALITY OF ALBUERA       OFFICE OF THE BIDS AND AWARDS COMMITTEE INVITATION TO BID 	The Local Government Unit of Albuera, Leyte through its Bids and Awards Committee invites interested supplie</t>
  </si>
  <si>
    <t xml:space="preserve"> Department of Education Region VI-Western Visayas Division of Cadiz City Alimatoc Elementary School SMALLVALUE PROCUREMENT OF LAWN MOWER FOR 2020 1.	The Alimatoc Elementary School of Cadiz City, through the Schools MOOE Fund CY 2020  intends to apply the </t>
  </si>
  <si>
    <t xml:space="preserve"> Republic of the Philippines PROVINCE OF NUEVA VIZCAYA Invitation to Bid for the  UPGRADING OF DIFFUDAY-BONIFACIO ROAD Located at Quezon, Nueva Vizcaya  1.	The Provincial Government of Nueva Vizcaya, through the 2020 CMGP Program intends to apply the sum o</t>
  </si>
  <si>
    <t xml:space="preserve"> Republic of the Philippines DEPARTMENT OF PUBLIC WORKS AND HIGHWAYS Region VII            South Road Properties (SRP), Cebu City                                        Contract ID	 : 20H00068 Contract Name   : Construction/Rehabilitation/Improvement of Fa</t>
  </si>
  <si>
    <t xml:space="preserve"> BID ACTIVITIES: PRE-BID CONFERENCE: JUNE 26, 2020@1:00PM ISSUANCE OF BID DOCUMENTS: JUNE 18, 2020 - JULY 10, 2020 OPENING OF BID DOCUMENTS: JULY 10, 2020@1:00PM A complete set of Bidding Documents may be acquired by interested Bidders on [June 18, 2020 – </t>
  </si>
  <si>
    <t xml:space="preserve"> Republic of the Philippines Province of Leyte Municipality of Hilongos INVITATION TO BID FOR THE PURCHASE OF TOILET BOWLS 1.  The Local Government Unit of Hilongos, through GENERAL FUND-SUPPLEMENTAL BUDGET NO. 2020-05 intends to apply the sum SIX HUNDRED </t>
  </si>
  <si>
    <t xml:space="preserve"> REPUBLIC OF THE PHILIPPINES 		                PROVINCE OF PALAWAN MUNICIPALITY OF LINAPACAN June 5, 2020 Invitation to Bid (ITB No. 23-20) 1.	The Municipal Government of Linapacan, Palawan through the General Fund intends to apply the sum of Two Hundred T</t>
  </si>
  <si>
    <t xml:space="preserve"> Republic of the Philippines Province of Ilocos Norte MUNICIPALITY OF DINGRAS INVITATION TO BID FOR THE CONSTRUCTION OF PERIMETER FENCE OF SLAUGHTERHOUSE (PHASE I) 1.	The Local Government Unit of Dingras, through the 20%Municipal Development Fund  intends </t>
  </si>
  <si>
    <t xml:space="preserve"> H E A D Q U A R T E R S P H I L I P P I N E   A R M Y OFFICE OF THE PHILIPPINE ARMY BIDS AND AWARDS COMMITTEE 1 Fort Andres Bonifacio, Metro Manila ITB 005-20									17 June 2020 Invitation to Bid The Armed Forces of the Philippines, through the Philippi</t>
  </si>
  <si>
    <t xml:space="preserve"> Republic of the Philippines Province of Lanao del Norte Municipality of Tubod BARANGAY PINPIN BARANGAY PINPIN BIDS AND AWARDS COMMITTEE INVITATION TO BID BARANGAY ROAD REHABILITATION (FARM TO MARKET ROAD)   PUROK 5, 6 &amp; 7 SITIO CAMP 13, BRGY. PINPIN, TUBO</t>
  </si>
  <si>
    <t xml:space="preserve"> Retrofitting/Repair of Bridge</t>
  </si>
  <si>
    <t xml:space="preserve"> Republic of the Philippines Province of Ilocos Norte MUNICIPALITY OF DINGRAS INVITATION TO BID FOR THE MAINTENACE/IMPROVEMENT OF MUNICIPAL HALL (UPGRADING OF ELECTRICAL SYSTEM-PHASE II) 1.	The Local Government Unit of Dingras, through the General Fund int</t>
  </si>
  <si>
    <t xml:space="preserve"> Qty.	Unit	Description 20 sets Glucose strip(25 strip/bot) 4 sets Hema quick wrigths stain (4x250ml) 12 bots urine strip 10 parameters 100pcs/bot 4 bots WBC Diluting fluid 1000ml/bot 1 box cover slip 100pcs/box 50 tubes Test tube 12x75ml 50 tubes Test tube</t>
  </si>
  <si>
    <t xml:space="preserve"> Excavation of 212 mtrs. Creek and Riprapping of Sidewall (Portion)</t>
  </si>
  <si>
    <t xml:space="preserve"> REPUBLIC OF THE PHILIPPINES 		                PROVINCE OF PALAWAN MUNICIPALITY OF LINAPACAN June 5, 2020 Invitation to Bid (ITB No. 26-20) 1.	The Municipal Government of Linapacan, Palawan through the GENDER AND DEVELOPMENT FUND (GAD 5%) projects intends </t>
  </si>
  <si>
    <t xml:space="preserve"> Republic of the Philippines Province of Ilocos Norte MUNICIPALITY OF DINGRAS INVITATION TO BID FOR THE IMPROVEMENT/REHABILITATION OF FARM-TO-MARKET ROADS (REPAIR OF BRIDGE ABUTMENT/APPROACH)  1.	The Local Government Unit of Dingras, through the RA 7171 Fu</t>
  </si>
  <si>
    <t xml:space="preserve"> Qty Description Quantity Unit GI Pipe #3" by 40 5 pcs Coupling #3" 10 pcs Solar Light 100W 10 pcs Thinner Paint Thinner 1 gal Red Led Red Led Paint 1 gal Yellow Enamel Paint 1 gal Brush 3" 3 pcs</t>
  </si>
  <si>
    <t xml:space="preserve"> Republic of the Philippines PROVINCE OF MARINDUQUE Capitol Boac, Marinduque OFFICE OF BIDS AND AWARDS COMMITTEE INVITATION TO BID  Supplying  one (1) unit SWAT Patrol Vehicle, AUV or CUV, Manual Transmission, Diesel Fed, Displacement not exceeding 2500cc,</t>
  </si>
  <si>
    <t xml:space="preserve"> REPUBLIC OF THE PHILIPPINES 		                PROVINCE OF PALAWAN MUNICIPALITY OF LINAPACAN June 5, 2020 Invitation to Bid (ITB No. 25-20) 1.	The Municipal Government of Linapacan, Palawan through the GENDER AND DEVELOPMENT FUND (GAD 5%) projects intends </t>
  </si>
  <si>
    <t xml:space="preserve"> 1.	The Municipality of Daram, through the 20% DF-2020 intends to apply the sum of Nine Hundred Thousand Pesos Only (P900,000.00) being the Approved Budget for the Contract (ABC) to payments under the contract for Construction of Concrete Footbridge (Conne</t>
  </si>
  <si>
    <t xml:space="preserve"> Republic of the Philippines Province of Ilocos Norte MUNICIPALITY OF DINGRAS INVITATION TO BID FOR THE CONSTRUCTION OF FLOOD CONTROL ALONG POBLACION AREAS (PHASE III) 1.	The Local Government Unit of Dingras, through the MDRRM Fund intends to apply the sum</t>
  </si>
  <si>
    <t xml:space="preserve"> Republic of the Philippines PROVINCE OF NUEVA VIZCAYA Invitation to Bid for the  CONCRETING OF JCT. NATIONAL-GALINTUJA-DELACTAN-MAGINO ROAD Located at Alfonso Catañeda, Nueva Vizcaya  1.	The Provincial Government of Nueva Vizcaya, through the 2020 20% Dev</t>
  </si>
  <si>
    <t xml:space="preserve"> Republic of the Philippines Province of Leyte Municipality of Hilongos INVITATION TO BID FOR THE PROCUREMENT OF MATERIALS FOR THE CONSTRUCTION OF K-9 HOUSE (ADDITIONAL WITH FENCE &amp; LIGHT) 1.  The Local Government Unit of Hilongos, through GENERAL FUND-SUP</t>
  </si>
  <si>
    <t xml:space="preserve"> 1. The Development Bank of the Philippines, through the Corporate Budget approved by the Board for CY 2020 intends to apply the sum of Six Million One Hundred Fifty Thousand Pesos (Php6,150,000.00) being the Approved Budget for the Contract (ABC) inclusiv</t>
  </si>
  <si>
    <t xml:space="preserve"> Republic of the Philippines PROVINCE OF NUEVA VIZCAYA Invitation to Bid for the  CONCRETING OF BARESBES-BOLIWAO-INATUB ROAD Located at Quezon, Nueva Vizcaya  1.	The Provincial Government of Nueva Vizcaya, through the 2020 20% Development Fund intends to a</t>
  </si>
  <si>
    <t xml:space="preserve"> Republic of the Philippines Province of Ilocos Norte MUNICIPALITY OF DINGRAS INVITATION TO BID FOR THE IMPROVEMENT/REHABILITATION OF FARM-TO-MARKET ROADS (PACKAGE 4) 1.	The Local Government Unit of Dingras, through the RA 7171 Fund 2019  intends to apply </t>
  </si>
  <si>
    <t xml:space="preserve"> Republic of the Philippines PROVINCE OF NUEVA VIZCAYA Invitation to Bid for the  UPGRADING OF JCT. NATIONAL BUA-BULALA-MUTA-MACABENGA ROAD Located at Kasibu, Nueva Vizcaya  1.	The Provincial Government of Nueva Vizcaya, through the 2020 CMGP Program inten</t>
  </si>
  <si>
    <t xml:space="preserve"> see attached program of works.</t>
  </si>
  <si>
    <t xml:space="preserve"> Invitation to Bid 1.	The MUNICIPAL GOVERNMENT OF SAN VICENTE, PALAWAN, through the General Fund for CY 2020 intends to apply the sum of  ONE MILLION TWO HUNDRED TWENTY-SIX THOUSAND NINE HUNDRED THIRTY-FIVE PESOS AND TEN CENTAVOS (Php 1,226,935.10) being t</t>
  </si>
  <si>
    <t xml:space="preserve"> Furnishing and delivery of materials only. Schedule of Activities: Issuance of Bid Documents - June 18-July 8, 2020 Submission of Bids - on or before July 8, 2020; 1:00 p.m. Bid Opening - July 8, 2020; 1:00 p.m. Bid Evaluation - July 9, 2020: 10:00 a.m. P</t>
  </si>
  <si>
    <t xml:space="preserve"> Republic of the Philippines  City of Canlaon Office of the Bids and Awards Committee  INVITATION TO BID FOR the Construction of Water System The Local Government of Canlaon City, through AIP 2020. Intends to apply the sum Seventy Three Thousand Nine Hundr</t>
  </si>
  <si>
    <t xml:space="preserve"> Republic of the Philippines PROVINCE OF NUEVA VIZCAYA 2nd Invitation to Bid for the  UPGRADING OF NVPH WATER SYSTEM Located at Bambang, Nueva Vizcaya  1.	The Provincial Government of Nueva Vizcaya, through the 2020 20% Development Fund intends to apply th</t>
  </si>
  <si>
    <t xml:space="preserve"> INVITATION TO BID 1)	The DPWH- Davao City District Engineering Office through its Bids and Awards Committee (BAC), invites contractors to submit bids for the following contract; 1. Procurement ID /          Contract ID No.	:	20LB0157     Contract Name	:	C</t>
  </si>
  <si>
    <t xml:space="preserve"> Republic of the Philippines PROVINCE OF MARINDUQUE Capitol Boac, Marinduque OFFICE OF BIDS AND AWARDS COMMITTEE INVITATION TO BID  Supplying  one (1) unit Brand New Asian/Cross Over Utility Vehicle (AUV/CUV) not exceeding 2500cc engine displacement, diese</t>
  </si>
  <si>
    <t xml:space="preserve"> REPUBLIC OF THE PHILIPPINES 		                PROVINCE OF PALAWAN MUNICIPALITY OF LINAPACAN June 5, 2020 Invitation to Bid (ITB No. 28-20) 1.	The Municipal Government of Linapacan, Palawan through 5% Fund 2020 projects intends to apply the sum Three Hundr</t>
  </si>
  <si>
    <t xml:space="preserve"> Fabrication and Installation of 88 Units Streetlights in Various Barangays of Dalima, Putol, Bolboc and Talon 1.	Bids received in excess of the ABC shall be automatically rejected at bid opening. 2.	Bidders should have completed a contract similar to the </t>
  </si>
  <si>
    <t xml:space="preserve"> Republic of the Philippines PROVINCE OF NUEVA VIZCAYA Invitation to Bid for the  CONCRETING OF JCT. CALAOCAN-DIFFUNCIAN ROAD Located at Quezon, Nueva Vizcaya  1.	The Provincial Government of Nueva Vizcaya, through the 2020 20% Development Fund intends to </t>
  </si>
  <si>
    <t xml:space="preserve"> Invitation to Bid 1.	The MUNICIPAL GOVERNMENT OF SAN VICENTE, PALAWAN, through the General Fund for CY 2020 intends to apply the sum of  FOUR HUNDRED SIXTY-ONE THOUSAND AND SEVENTY-FIVE PESOS (Php 461,075.00) being the Approved Budget for the Contract (AB</t>
  </si>
  <si>
    <t xml:space="preserve"> Concreting of 270 cu.m. road pavement</t>
  </si>
  <si>
    <t xml:space="preserve"> Furnishing and delivery of materials, labor, tools and equipment and other incidentals only. Schedule of Activities: Issuance of Bid Documents - June 18-July 8, 2020 Submission of Bids - on or before July 8, 2020; 1:00 p.m. Bid Opening - July 8, 2020; 1:0</t>
  </si>
  <si>
    <t xml:space="preserve"> Department of Social Welfare and Development Field Office VI M.H. del Pilar St., Iloilo City INVITATION TO BID FOR THE PROCUREMENT OF 60,088 CANS OF CANNED TUNA FLAKES AND 149,770 SACHETS OF POWDERED CEREAL DRINKS AS RAW MATERIALS FOR FAMILY FOOD PACKS PR</t>
  </si>
  <si>
    <t xml:space="preserve"> INVITATION TO BID ON THE SUPPLY, DELIVERY AND INSTALLATION OF                                         1 LOT 645KVA GENERATOR SET OF BUKIDNON STATE UNIVERSITY 1.	The Bukidnon State University through the Bids and Awards Committee &amp; Budget Approved by the B</t>
  </si>
  <si>
    <t xml:space="preserve"> REPUBLIC OF THE PHILIPPINES 		                PROVINCE OF PALAWAN MUNICIPALITY OF LINAPACAN June 5, 2020 Invitation to Bid (ITB No. 27-20) 1.	The Municipal Government of Linapacan, Palawan through 5% Fund 2018 projects intends to apply the sum One Hundred</t>
  </si>
  <si>
    <t xml:space="preserve"> 1.	The Municipality of Daram, through the 20% DF-2020 intends to apply the sum of Eight Hundred Thousand Pesos Only (P800,000.00) being the Approved Budget for the Contract (ABC) to payments under the contract for Installation of Water Rain Catchment. Bid</t>
  </si>
  <si>
    <t xml:space="preserve"> Republic of the Philippines Province of Iloilo Municipality of Lemery Invitation to Bid 1.	The Barangay  Capiǹahan,  Lemery, Iloilo, through  20% Development Fund 2018 &amp; 2020 intends to apply the sum of Four Hundred Seventy Seven Thousand Four Hundred Thi</t>
  </si>
  <si>
    <t xml:space="preserve"> 1.	The Municipality of Daram, through the General Fund intends to apply the sum of Two Hundred Sixty Thousand Pesos Only (P260,000.00) being the Approved Budget for the Contract (ABC) to payments under the contract for Rehabilitation of SB Session Hall. B</t>
  </si>
  <si>
    <t xml:space="preserve"> Republic of the Philippines                                                                   PROVINCE OF SAMAR                                                                      INVITATION TO BID                                                         </t>
  </si>
  <si>
    <t xml:space="preserve"> A. Construction of slope protection and concreting of pavements (Site Development) B. Construction of Gate</t>
  </si>
  <si>
    <t xml:space="preserve"> Republic of the Philippines MUNICIPALITY OF VILLANUEVA Province of Misamis Oriental Bids and Awards Committee INVITATION TO APPLY FOR ELIGIBILITY AND TO BID   The LGU of Villanueva, Misamis Oriental, through its Bids and Awards Committee (BAC), invites al</t>
  </si>
  <si>
    <t xml:space="preserve"> Construction of Concrete Pathway @ Purok 5, Aguada Norte, Magallanes, Sorsogon</t>
  </si>
  <si>
    <t xml:space="preserve"> Office table (with 4 drawers)    1 Unit Mahogany Hardwood Lumber Dimension: Length: 60” Width: 35” Height: 30”	 Office table (with 2 drawers)    	10 Units Mahogany Hardwood Lumber Dimension: Length: 48” Width: 24” Height: 30”</t>
  </si>
  <si>
    <t xml:space="preserve"> The Specification is available at Bids and Awards Committee Secretariat MPDC-2nd Floor, Lasam Municipal Town Hall</t>
  </si>
  <si>
    <t xml:space="preserve"> Republic of the Philippines Province of Leyte Municipality of Hilongos INVITATION TO BID FOR THE PROCUREMENT OF FUEL, OIL AND  LUBRICANTS 1.  The Local Government Unit of Hilongos, through GENERAL FUND-SUPPLEMENTAL BUDGET NO. 2020-05 intends to apply the </t>
  </si>
  <si>
    <t xml:space="preserve"> Please see the attached file. Thank you.</t>
  </si>
  <si>
    <t xml:space="preserve"> 1/4” Marine Plywood	6 Pcs 2”x3”x8’ Coco Lumber	40 Pcs 2”x2”x8’ Coco Lumber	70 Pcs #100 nylon	1 Clip 4” CWN	4 Kls 1-1/4” CWN	2 Kls #16 tie wire	9 Kls Portland Cement	335 Bags Fine Sand	13 Cu. M Graded gravel	14 Cu. M 16mm dia x 6m RSB	30 Pcs 12mm dia x 6m </t>
  </si>
  <si>
    <t xml:space="preserve"> INVITATION TO BID SUPPLY, DELIVERY, INSTALLATION, TESTING,  APPLICATIONS TRAINING, AND COMMISSIONING OF  VARIOUS MEDICAL EQUIPMENT (Batch 1) FOR GOV. CELESTINO GALLARES MEMORIAL HOSPITAL  1.	The Gov. Celestino Gallares Memorial Hospital, through Hospital </t>
  </si>
  <si>
    <t xml:space="preserve"> Republic of the Philippines  City of Canlaon Office of the Bids and Awards Committee  INVITATION TO BID FOR the Construction of Pathway The Local Government of Canlaon City, through AIP 2020. intends to apply the sum Ninety Seven Thousand Two Hundred Eigh</t>
  </si>
  <si>
    <t xml:space="preserve"> see attached programs of works.</t>
  </si>
  <si>
    <t xml:space="preserve"> Description   A. Construction of Spring Box I Excavation Works II Reinforced Concrete Works III Formworks B. Conrete Apron C. Transmission Pipe D. Replacement of Distribution Pipes E. Hauling &amp; Transhipment of Materials</t>
  </si>
  <si>
    <t xml:space="preserve"> INVITATION TO BID ON THE SUPPLY, DELIVERY AND INSTALLATION OF  1 LOT IPGC SOLAR STREET LIGHT WITH POLE (60WATTS) OF BUKIDNON STATE UNIVERSITY 1.	The Bukidnon State University through the Bids and Awards Committee &amp; Budget Approved by the Board of Regents </t>
  </si>
  <si>
    <t xml:space="preserve"> 100 bd.ft. 30 pcs -2" x 2" x 10' Red Lauan or Equivalent 6 shts 1/4" x 4' x 8' Marine Plywood 14 shts 1/4" x 4' x 8' Parapet Board Fiber Cement 7 kgs Assorted Sizes CW Nail 2 kgs No. 1 Hardi Nail 90 L.M. 0.4mm x 1.09m Foam Green Corrugated 600 pcs Tekscre</t>
  </si>
  <si>
    <t xml:space="preserve"> INVITATION TO BID ON THE SUPPLY, DELIVERY AND INSTALLATION OF  1 LOT HEAVY DUTY VARIABLE PERFECT BINDER WITH BUILT-IN AUTOMATIC/DIGITAL THICKNESS CALIPER AND FULLY AUTOMATIC LAMINATOR OF BUKIDNON STATE UNIVERSITY 1.	The Bukidnon State University through t</t>
  </si>
  <si>
    <t xml:space="preserve"> INVITATION TO BID ON THE SUPPLY, DELIVERY AND INSTALLATION OF  1 LOT SKILLS LABORATORY EQUIPMENT FOR NEW NURSING LABORATORY  OF BUKIDNON STATE UNIVERSITY 1.	The Bukidnon State University through the Bids and Awards Committee &amp; Budget Approved by the Board</t>
  </si>
  <si>
    <t xml:space="preserve"> 179.50 litrs XLF 61.50 ltrs XLF 128.50 ltrs XLF 66 ltrs XLF 381 ltrs ADO 218 ltrs ADO 357 ltrs ADO 285 ltrs ADO 5 ltrs Trekker 4 ltrs Touring 1 ltrs Oil Filter C-741</t>
  </si>
  <si>
    <t xml:space="preserve"> Concreting of Road at Carmen Eco Tourism Park and Spring Resort</t>
  </si>
  <si>
    <t xml:space="preserve"> Republic of the Philippines Province of Sorsogon Barangay GIMALOTO West District Sorsogon City BIDS AND AWARDS COMMITTEE June 17, 2020 INVITATION TO BID Construction of Local Roads and Bridge Purok 1, 3, 6 &amp; 7, Brgy. Gimaloto West District, Sorsogon City </t>
  </si>
  <si>
    <t xml:space="preserve"> Republic of the Philippines Province of Siquijor Municipality of Enrique Villanueva Barangay Pari-an Invitation to Bid for Construction of Barangay Pari-an Multi-Purpose Hall and its Facilities Phase 1 1.	The Local Government Unit of Barangay Pari-an, thr</t>
  </si>
  <si>
    <t xml:space="preserve"> 5 rolls Range Net, 1" mesh size 1 peice Nylon Adaptor 1 piece Brush Cutter with Nylon Adaptor</t>
  </si>
  <si>
    <t xml:space="preserve"> The specification is available at the Bids and Awards Committee Secretariat MPDC-2nd Floor, Lasam Municipal Town Hall</t>
  </si>
  <si>
    <t xml:space="preserve"> Republic of the Philippines  City of Canlaon Office of the Bids and Awards Committee  INVITATION TO BID FOR the Land Scaping in-front of Multi-purpose Hall The Local Government of Canlaon City, through AIP 2020. Intends to apply the sum One Hundred Thirty</t>
  </si>
  <si>
    <t xml:space="preserve"> INVITATION TO BID FOR ENVIRONMENTAL MANAGEMENT BUREAU- REGION VII STANDARD SOURCE EMISSION TESTING EQUIPMENT 1.	The ENVIRONMENTAL MANAGEMENT BUREAU OF THE DEPARTMENT OF ENVIRONMENT AND NATURAL RESOURCES - REGION VII, Banilad Mandaue City , through the Gen</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</si>
  <si>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</si>
  <si>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INVITATION TO BID The DPWH Bukidnon 1st District Engineering Office, Malaybalay City, through its Bids and Awards Committee (BAC), invites contractors to submit bids for the following Contracts:   Contract ID 	:	20KA0143 Contract Name 	:	Reblocking of Dam</t>
  </si>
  <si>
    <t xml:space="preserve"> Construction of 175 cu.m. capacity reservoir with chlorination house and perimeter fence</t>
  </si>
  <si>
    <t xml:space="preserve"> The Local Government Unit of Isabel, Leyte through its Bids and Awards Committee (BAC), invites eligible philgeps supplier in the Philippines to supply the hereunder; Name of Project :Procurement of various medicine supplies Location: IEH, Isabel, Leyte B</t>
  </si>
  <si>
    <t xml:space="preserve"> Road Maintenance</t>
  </si>
  <si>
    <t xml:space="preserve"> Health Care Benefits of Commission on Appointments' employees for the year 2020-2021</t>
  </si>
  <si>
    <t xml:space="preserve"> Newspaper Publication Services for Republic Acts and Other Presidential Issuances for CY 2020 (Ordering Agreement) – 2nd Newspaper Requirement</t>
  </si>
  <si>
    <t xml:space="preserve"> NORTHWEST SAMAR STATE UNIVERSITY-MAIN CAMPUS          	             TELEFAX NOS. (055) 2093122 / 2091554			              Project Reference No. 20-06-123 Name of Project: Supply and Delivery of Laptop Computers for Main Campus Location of Project: NwSSU-Ma</t>
  </si>
  <si>
    <t xml:space="preserve"> Removal and Replacement of Sidewalk &amp; Drainage at Orchid St.</t>
  </si>
  <si>
    <t xml:space="preserve"> Item No.    : 311 Portland Cement Concrete Pavement Design Mix :  1:2:4 Length       :  75.0 m Width         :   3.0 m Thickness    :   0.15 m Area            :  225.0 sq. m. Volume        :  33.75 cu. m.</t>
  </si>
  <si>
    <t xml:space="preserve"> One (1) job Furnishing of Labor and Materials for the Rehabilitation of Solid Waste Management Ecological Center at                      Brgy. Capaliz, Dumangas, Iloilo</t>
  </si>
  <si>
    <t xml:space="preserve"> Republic of the Philippines Province of Leyte Municipality of Hilongos INVITATION TO BID FOR THE PROCUREMENT OF FUEL FOR OPERATION AND MAINTENANCE OF FARM TO MARKET ROAD (FMR)-CONCEPCION-BAGUMBAYAN-HAMPANGAN 1.  The Local Government Unit of Hilongos, thro</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</si>
  <si>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</si>
  <si>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Road Concreting</t>
  </si>
  <si>
    <t xml:space="preserve"> INVITATION TO BID FOR THE  PROCUREMENT OF 13 PCS SWIVEL CHAIR STA. FE, LEYTE (BDG-2020-03) 1.	 The Local Government Unit of Sta. Fe, Leyte, through the GENERAL Fund CY 2020 intends to apply the sum of One Hundred Thirty Thousand Pesos Only (Php130,000.00)</t>
  </si>
  <si>
    <t xml:space="preserve"> Republic of the Philippines							 DEPARTMENT OF PUBLIC WORKS AND HIGHWAYS							 PANGASINAN IV							 DISTRICT ENGINEERING OFFICE							 REGIONAL OFFICE I							 Tuliao, Sta. Barbara, Pangasinan							 Name of Procuring Entity: PANGASINAN IV DISTRICT ENG</t>
  </si>
  <si>
    <t xml:space="preserve"> 1.	The MUNICIPALITY OF GUINAYANGAN, QUEZON, through the  20% MDF Continuing Appropriation 2018 and 20 % MDF 2019 intends to apply the sum of  Four Million Pesos (P 4,000,000.00) being the Approved Budget for the Contract (ABC) to payments under the contra</t>
  </si>
  <si>
    <t xml:space="preserve"> INVITATION TO BID ON THE SUPPLY AND DELIVERY OF  1 LOT CONSOLIDATED ICT PRINTING CONSUMABLES (MAIN CAMPUS)  OF BUKIDNON STATE UNIVERSITY 1.	The Bukidnon State University through the Bids and Awards Committee &amp; Budget Approved by the Board of Regents 2020 </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</si>
  <si>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</si>
  <si>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The DPWH-Regional Office I, through its Bids and Awards Committee (BAC), invites contractors to submit bids for the following Contract: Contract ID: 20A00070 Contract Name: Construction of By-pass and Diversion Roads, Laoag-San Nicolas Bypass Road (San Ni</t>
  </si>
  <si>
    <t xml:space="preserve"> Specification: Vehicle type: Dump Truck Dump box capacity: 5 cu.m. Engine: Diesel</t>
  </si>
  <si>
    <t xml:space="preserve"> ITEMS: 140      HEADS    BREEDER CHICKEN MALE 1400    HEADS    BREEDER CHICKEN FEMALE</t>
  </si>
  <si>
    <t xml:space="preserve"> 1.	The Municipal Government of Mogpog, through the 2020 LDRRM Fund intends to apply the sum of FOUR MILLION NINE HUNDRED FIFTY THOUSAND PESOS being the Approved Budget for the Contract (ABC) to payments under the contract for Construction of MDRRM Office.</t>
  </si>
  <si>
    <t xml:space="preserve"> REPUBLIC OF THE PHILIPPINES CITY GOVERNMENT OF OROQUIETA BIDS AND AWARD COMMITTEE City Hall, Oroquieta City                                                                                                                       June 17, 2020                </t>
  </si>
  <si>
    <t xml:space="preserve"> Procurement of Materials for Rehabilitation of Spring box and pipelines</t>
  </si>
  <si>
    <t xml:space="preserve"> Supply and Delivery of 16 rolls AWG ACSR Duplex Wire #2 (1000m/roll) to be used for expansion/installation of NEW Electrical Lines of different Barangays, Brooke’s Point, Palawan</t>
  </si>
  <si>
    <t xml:space="preserve"> Republic of the Philippines Province of Bohol Municipality of Panglao INVITATION TO BID FOR REHABILITATION OF PERIMETER FENCE AT PANGLAO PUBLIC MARKET, POBLACION, PANGLAO, BOHOL 1.	The Municipality of Panglao, Bohol, through the 2019 Supplemental Budget N</t>
  </si>
  <si>
    <t xml:space="preserve"> Furnishing and delivery of materials, labor, tools and equipment and other incidentals only. Schedule of Activities: Issuance of Bid Documents - June 18-July 8, 2020 Pre-Bid Conference - June 25, 2020; 1:00 p.m. Submission of Bids - on or before July 8, 2</t>
  </si>
  <si>
    <t xml:space="preserve"> DESIGN AND BUILD FOR THE CONSTRUCTION OF NEW MANAPLA PUBLIC MARKET 1. The Municipality of Manapla, through Loan (Land Bank of the Philippines) intends to apply the total of One Hundred Twenty Five Million Pesos (P 125,000,000.00) being the Approved Budget</t>
  </si>
  <si>
    <t xml:space="preserve"> Roofing materials</t>
  </si>
  <si>
    <t xml:space="preserve"> please download the ITB and its supporting documents in the associated component</t>
  </si>
  <si>
    <t xml:space="preserve"> Republic of the Philippines PROVINCE OF MARINDUQUE Capitol Boac, Marinduque OFFICE OF BIDS AND AWARDS COMMITTEE INVITATION TO BID  Supplying labor and materials on the installation of Local Area Network (LAN) at Marinduque Provincial Hospital ICT Division</t>
  </si>
  <si>
    <t xml:space="preserve"> Republic of the Philippines Department of Health Central Luzon Center for Health Development TALAVERA GENERAL HOSPITAL 	Talavera, Nueva Ecija	      ISO QMS Certified REQUEST FOR QUOTATION  for Talavera General Hospital Date: June 17, 2020 RFQ No.: 2020-50</t>
  </si>
  <si>
    <t xml:space="preserve"> Republic of the Philippines Province of Oriental Mindoro MUNICIPALITY OF VICTORIA INVITATION TO RE-BID Supply and Delivery of Medical Equipment and Facilities for BEmONC in the Municipality of Victoria, Oriental Mindoro 1.The Municipal Government of Victo</t>
  </si>
  <si>
    <t xml:space="preserve"> The Local Government Unit of Isabel, Leyte through its Bids and Awards Committee (BAC), invites eligible philgeps supplier in the Philippines to supply the hereunder; Name of Project :Procurement of various medical and laboratory supplies Location: IEH, I</t>
  </si>
  <si>
    <t xml:space="preserve"> The DPWH-Regional Office I, through its Bids and Awards Committee (BAC), invites contractors to submit bids for the following Contract: Contract ID: 20A00021 Contract Name: Construction of By-Pass and Diversion Roads, Bauang-San Fernando-San Juan Bypass R</t>
  </si>
  <si>
    <t xml:space="preserve"> Republic of the Philippines Province of Southern Leyte MUNICIPALITY OF LIMASAWA -o0o- Bids and Awards Committee Invitation to Bid for the Construction of Drainage Canal with Concrete Cover Barangay Cabulihan, Limasawa Southern Leyte  1.	The Local Governme</t>
  </si>
  <si>
    <t xml:space="preserve"> Republic of the Philippines PROVINCE OF MARINDUQUE Capitol Boac, Marinduque OFFICE OF BIDS AND AWARDS COMMITTEE INVITATION TO BID  Supplying various medical oxygen for use of the three (3) hospitals owned by the Marinduque Provincial Government, SCDH/TMH/</t>
  </si>
  <si>
    <t xml:space="preserve"> Supply and Delivery of 40 rolls AWG ACSR Duplex Wire #6 (1000m/roll) for Electrification Project Expansion of different Barangays, Brooke’s Point, Palawan</t>
  </si>
  <si>
    <t xml:space="preserve"> the specification is available at the Bids and Awards Committee Secretariat MPDC-2nd Floor, Lasam, Municipal Town Hall</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</si>
  <si>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</si>
  <si>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INVITATION TO BID Supply and Delivery of Chemicals for Use in the Management of Fall Army Worm under 2020 STO - QRF FAW The Department of Agriculture Regional Field Office No. 5, through the General Appropriation Act for CY 2020 – STO - QRF FAW intends to</t>
  </si>
  <si>
    <t xml:space="preserve"> G.I. Pipe Threader 2" Rigid</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</si>
  <si>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</si>
  <si>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INVITATION TO BID Supply and Delivery of 6,000 Packs of Lure (Pheromone) for Use in the Management of Fall Army Worm under 2020 STO - QRF FAW The Department of Agriculture Regional Field Office No. 5, through the General Appropriation Act for CY 2020 – ST</t>
  </si>
  <si>
    <t xml:space="preserve"> Invitation to Bid Republic of the Philippines City of Olongapo -0- BIDS AND AWARDS COMMITTEE BAC Office 3rd Floor  Olongapo City Hall  Web: www.olongapocity.gov.ph INVITATION TO BID FOR  OC-68(ESMO-06) 20 GD PROCUREMENT FOR THE SUPPLY AND DELIVERY OF NINE</t>
  </si>
  <si>
    <t xml:space="preserve"> ITEM: 100    HEADS    GOAT UPGRADED FEMALE</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</si>
  <si>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</si>
  <si>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I	135.00	CU.M	EXCAVATION WORKS		 II	1.00	LOT	FORM WORKS		 III	120.00	CU.M	EMBANKMENT WORKS		 IV	106.50	CU.M	CONCRETE WORKS W/ RSB</t>
  </si>
  <si>
    <t xml:space="preserve"> the specification is available at the Bids and Awards Committee Secretariat MPDC-2nd-Floor, Lasam Municipal Town Hall</t>
  </si>
  <si>
    <t xml:space="preserve"> REPUBLIC OF THE PHILIPPINES 		                PROVINCE OF PALAWAN MUNICIPALITY OF LINAPACAN June 5, 2020 Invitation to Bid (ITB No. 29-20) 1.	The Municipal Government of Linapacan, Palawan through 5% Fund 2020 projects intends to apply the sum Seventy Fiv</t>
  </si>
  <si>
    <t xml:space="preserve"> 1.	The MUNICIPAL GOVERNMENT OF PALIMBANG through an appropriation from LDRRMO Fund (5% OF IRA) FY 2020 invites prospective and interested bidders for the project, to wit: 	 SUPPLY AND DELIVERY OF ONE (1) UNIT MOBILE CLINIC BUS Solicitation Number: PB-2020</t>
  </si>
  <si>
    <t xml:space="preserve"> Department of Education Region VI-Western Visayas Division of Cadiz City Severino Escaro Elementary School INVITATION TO BID FOR THE PROVISION OF Instructional Learning Materials and office Supplies for 2020 1.	The Severino Escaro Elementary School (forme</t>
  </si>
  <si>
    <t xml:space="preserve"> Supply And Delivery of One (1) unit Meat Van (Brand New) and Two (2) units LED TV CCTV Monitor to be used for delivery of dressed meat from slaughter house to Public Market and Market Satey and Security Surveillance, Brooke’s Point, Palawan Lot #1 Meat Va</t>
  </si>
  <si>
    <t xml:space="preserve"> the specification is available at the Bids and Awards Committee Secretariat MPDC-2nd Floor, Lasam Municipal Town Hall Centro 02, Lasam. Cagayan</t>
  </si>
  <si>
    <t xml:space="preserve"> Subject:		INVITATION FOR NEGOTIATED PROCUREMENT Reference:	Replacement of Escalator East and Escalator West at NAIA Terminal 1 In accordance with the provisions of the Implementing Rules and Regulations of the Republic Act No. 9184, the MIAA General Manag</t>
  </si>
  <si>
    <t xml:space="preserve"> ITEM: 2   UNITS    Four Wheeled Tractor                   Minimum Specifications:                   ENGINE:                   Rated Power: 50 – 55 HP                   Engine Speed: 2400 – 2500 rpm                   Type: 4 Stroke, Water Cooled,          </t>
  </si>
  <si>
    <t xml:space="preserve"> Republic of the Philippines PROVINCE OF MARINDUQUE Capitol Boac, Marinduque OFFICE OF BIDS AND AWARDS COMMITTEE INVITATION TO BID  Supplying various breeder animals to be dispersed to Marginalized farmers, solo parents, unemployed parents, parents with ch</t>
  </si>
  <si>
    <t xml:space="preserve"> Installation of Solar Panel Street Lights, Along Zone 01, 02 &amp; 03, Centro 12, Balzain West, Tuguegarao City</t>
  </si>
  <si>
    <t xml:space="preserve"> Procurement of Two (2)  Units Brand New  Ambulance to be Utilized as Emergency Vehicle for Probable/Suspect and/or Confirmed COVID - 19 case  and for other Health and/or Emergency Related Activities @ RHU, LGU-Javier, Leyte.	 	 TERMS AND CONDITIONS :  * 1</t>
  </si>
  <si>
    <t xml:space="preserve"> INVITATION TO BID Supply and Delivery of 2,000 Bottles of Organic Neem Insecticide for Use in the Management of Fall Army Worm under 2020 STO - QRF FAW The Department of Agriculture Regional Field Office No. 5, through the General Appropriation Act for CY</t>
  </si>
  <si>
    <t xml:space="preserve"> the specification is available at the Bids and Awards Committee Secretariat MPDC-2nd Floor, Lasam Municipal Town Hall</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</si>
  <si>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</si>
  <si>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Republic of the Philippines PROVINCE OF MARINDUQUE Capitol Boac, Marinduque OFFICE OF BIDS AND AWARDS COMMITTEE INVITATION TO BID  Supplying various breeder animals to be dispersed to Solo Parents of Torrijos Municipality, Provincial Veterinary Office, Bo</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</si>
  <si>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</si>
  <si>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INVITATION TO BID ON THE SUPPLY AND DELIVERY OF  CONSOLIDATED ICT EQUIPMENT, IT SUPPLIES AND PHOTOCOPIER (SUB-LOT) OF BUKIDNON STATE UNIVERSITY 1.	The Bukidnon State University through the Bids and Awards Committee &amp; Budget Approved by the Board of Regent</t>
  </si>
  <si>
    <t xml:space="preserve"> Invitation to Bid Republic of the Philippines City of Olongapo -0- BIDS AND AWARDS COMMITTEE BAC Office 3rd Floor  Olongapo City Hall  Web: www.olongapocity.gov.ph INVITATION TO BID FOR  OC-66(GSO-04) 20 GD PROCUREMENT FOR THE SUPPLY AND DELIVERY OF VARIO</t>
  </si>
  <si>
    <t xml:space="preserve"> I.  General Program Information: 0 Program Title :	Reproduction of Periodical Test Papers for School Year 2019-2020 and School Year 2020-2021  Program Description:	This reproduction of Periodical Test Papers will address the evaluation of academic perform</t>
  </si>
  <si>
    <t xml:space="preserve"> 1.	The MUNICIPAL GOVERNMENT OF PALIMBANG through an appropriation from 20% DF FY 2020 invites prospective and interested bidders for the project, to wit: 	 CONSTRUCTION OF MULTI-PURPOSE BUILDING Solicitation Number: PB-2020-CW-021 	Municipal Hall, Palimb</t>
  </si>
  <si>
    <t xml:space="preserve"> INVITATION TO BID ITB No. 2020 - 32 1.	The Dr. Jose Fabella Memorial Hospital, through its Hospital Income intends to apply the amount of Three Million Six Hundred Thirty-Six Thousand Pesos (Php 3,636,000.00) being the Approved Budget for the Contract (AB</t>
  </si>
  <si>
    <t xml:space="preserve"> INFRA 2020-06-046 CONSTRUCTION OF FOOTBRIDGE AT BRGY. TUNGKIL, MINGLANILLA, CEBU 1.	The MUNICIPALITY OF MINGLANILLA, through the Local Fund intends to apply the sum of  One  Million Nine  Hundred Ninety Seven Pesos &amp; 68/100 (Php  1,000,997.68) being the A</t>
  </si>
  <si>
    <t xml:space="preserve"> Invitation to Bid for the Supply and Delivery of Livelihood Kits for Livelihood Seeding Program – Negosyo Serbisyo sa Barangay (LSP-NSB) Beneficiaries of Department of Trade and Industry in the Province of Isabela The Department of Trade and Industry Regi</t>
  </si>
  <si>
    <t xml:space="preserve"> Reference No.	CEZRFQ 2020-06-14 RIS No.	20R-06-012 Date 	June 16, 2020 REQUEST FOR QUOTATION AMP – Sec 52.1 (b) Shopping  The PEZA – CEZ, through its Bids and Awards Committee (BAC) intends to apply the sum of ₱ 74,250.00 being the Approved Budget for the</t>
  </si>
  <si>
    <t xml:space="preserve"> Republic of the Philippines Province of Bohol Municipality of Panglao INVITATION TO BID FOR CONSTRUCTION OF CONCRETE PERIMETER FENCE WITH PLASTER BACK TO BACK AT TAWALA ELEMENTARY SCHOOL 1.	The Municipality of Panglao, Bohol, through the SEF - MOOE 2020 i</t>
  </si>
  <si>
    <t xml:space="preserve"> pls refer to attched description</t>
  </si>
  <si>
    <t xml:space="preserve"> Republic of the Philippines Province of Occidental Mindoro MUNICIPALITY OF PALUAN BARANGAY VIII-MARIKIT Invitation to Bid for Rehabilitation of Day Care Center 1.	The Local Government Unit of Barangay VIII-Marikit, Paluan, Occidental Mindoro intends to ap</t>
  </si>
  <si>
    <t xml:space="preserve"> pls refer to attached description</t>
  </si>
  <si>
    <t xml:space="preserve"> Department of Education Region VI-Western Visayas Division of Cadiz City Alimatoc Elementary School INVITATION TO BID FOR THE PROVISION OF OFFICE SUPPLIES AND FORMS 2020 1.	The Alimatoc Elementary School of Cadiz City, through the Schools MOOE Fund CY 202</t>
  </si>
  <si>
    <t xml:space="preserve"> Construction/ Rehabilitation of Water Supply/ Septage and Sewerage/ Rain Water Collectors - Rain Water Collectors in Public Facilities 1. Baguio City National High School (Main), Gov. Pack Rd., Baguio city 2. BCNHS – Fort Del Pilar Annex, Fort Del Pilar, </t>
  </si>
  <si>
    <t xml:space="preserve"> Contract ID : 20CSMH05 Contract Name : Contract Location : 1. 2. 3. The Department of Public Works and Highways - Sultan Kudarat 2nd District Engineering Office, Lebak, Sultan Kudarat, through the NEP/GAA 2020 intends to apply the sum of SEVEN HUNDRED EIG</t>
  </si>
  <si>
    <t xml:space="preserve"> QTY	UNIT	ITEM DESCRIPTION 		 1	set	AFB Staining Set 1	pc.	Hematocrit Centrifuse 1	set	ABO Blood typing Anti-sera 1	set	Blood Cholesterol Test Kit 1	set	Uric Acid Test Kit 3	bots.	Uric Acid Strips 10	bots.	Glucose Strips (Glucosure) 1	set	Easy Touch Hemogl</t>
  </si>
  <si>
    <t xml:space="preserve"> Republic of the Philippines Province of Bohol Municipality of Panglao INVITATION TO BID FOR REHABILITATION/IMPROVEMENT OF PIPELINES OF PANGLAO WATERWORKS SYSTEM, PANGLAO, BOHOL 1.	The Municipality of Panglao, Bohol, through the 20% Development Fund 2017 i</t>
  </si>
  <si>
    <t xml:space="preserve"> Contract ID : 20CSMH04 Contract Name : Contract Location : 1. 2. 3. DISTRICT ENGINEERING OFFICE Region XII Lebak, Sultan Kudarat REQUEST FOR EXPRESSION OF INTEREST (REOI) FOR SUB-SURFACE EXPLORATION (SOIL EXPLORATION) OF BRIDGES ALONG ISULAN JCT.- NINOY A</t>
  </si>
  <si>
    <t xml:space="preserve"> Name of Project: CONSTRUCTION OF MDRRMO BUILDING Location: Municipal Compound, Barangay 8, Mamburao, Occidental Mindoro 1.	CLEARING, REMOVAL OF TREES AND TRUSS DEMOLITION All surface objects and all tress, stumps, roots and other protruding obstructions, </t>
  </si>
  <si>
    <t xml:space="preserve"> Contract ID : 20CSMH03 Contract Name : Contract Location : 1. 2. 3. The Department of Public Works and Highways - Sultan Kudarat 2nd District Engineering Office, Lebak, Sultan Kudarat, through the NEP/GAA 2020 intends to apply the sum of TWO HUNDRED FIFTY</t>
  </si>
  <si>
    <t xml:space="preserve"> INFORMATION TECHNOLOGY EQUIPMENTS</t>
  </si>
  <si>
    <t xml:space="preserve"> BY CONTRACT I.	MOBILIZATION/DEMOBILIZATION II.	REMOVAL OF STRUCTURES AND OBSTRUCTION III.	EXCAVATION IV.	EMBANKMENT V.	REINFORCED CONCRETE VI.	MASONRY WORKS VII.	TILE WORKS VIII.	STEEL WORKS IX.	PRE-PAINTED METAL SHEET X.	PLUMBING WORKS XI.	ELECTRICAL WOR</t>
  </si>
  <si>
    <t xml:space="preserve"> INVITATION TO BID The DPWH Zamboanga del Sur 2nd District Engineering Office, Poblacion, Guipos, Zamboanga del Sur, through its Bids and Awards Committee (BAC), invites contractors to submit bids for the following Contract: Contract ID	:	20JG0083 Contract</t>
  </si>
  <si>
    <t xml:space="preserve"> Drive type: 4 x 2 Engine Model: 4 cylinder, in line Horse Power: 120 HP Rated Power/ Speed: 90/3000 Displacement: 3.857 Liters Wheelbase: 3200 mm Brake: Air Breaking System Emission Standard: Euro IV Alternator: 24 V Cargo Body Size: 3750x2000x600 Dump Bo</t>
  </si>
  <si>
    <t xml:space="preserve"> INVITATION TO BID The DPWH Zamboanga del Sur 2nd District Engineering Office, Poblacion, Guipos, Zamboanga del Sur, through its Bids and Awards Committee (BAC), invites contractors to submit bids for the following Contract: Contract ID	:	20JG0082 Contract</t>
  </si>
  <si>
    <t xml:space="preserve"> Republic of the Philippines BULACAN STATE UNIVERSITY City of Malolos, Bulacan ________________________________________ INVITATION TO BID FOR    Procurement of Security Services for Bulacan State University  (BulSU-BAC-G-2020-23) The BULACAN STATE UNIVERSI</t>
  </si>
  <si>
    <t xml:space="preserve"> INVITATION TO BID The DPWH Zamboanga del Sur 2nd District Engineering Office, Poblacion, Guipos, Zamboanga del Sur, through its Bids and Awards Committee (BAC), invites contractors to submit bids for the following Contract: Contract ID	:	20JG0078 Contract</t>
  </si>
  <si>
    <t xml:space="preserve"> INVITATION TO BID The DPWH Zamboanga del Sur 2nd District Engineering Office, Poblacion, Guipos, Zamboanga del Sur, through its Bids and Awards Committee (BAC), invites contractors to submit bids for the following Contract: Contract ID	:	20JG0077 Contract</t>
  </si>
  <si>
    <t xml:space="preserve"> INVITATION TO BID The DPWH Zamboanga del Sur 2nd District Engineering Office, Poblacion, Guipos, Zamboanga del Sur, through its Bids and Awards Committee (BAC), invites contractors to submit bids for the following Contract: Contract ID	:	20JG0081 Contract</t>
  </si>
  <si>
    <t xml:space="preserve"> Supply and delivery at Municipal Hall. Schedule of Activities: Issuance of Bid Documents - June 18-July 8, 2020 Pre-Bid Conference - June 25, 2020; 1:00 p.m.  Submission of Bids - on or before July 8, 2020; 1:00 p.m. Bid Opening - July 8, 2020; 1:00 p.m. </t>
  </si>
  <si>
    <t xml:space="preserve"> this serves as second posting for the second bidding for the barangay cabatuhan project...</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</si>
  <si>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</si>
  <si>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Delivery and Supply of Abaca Stripping Machine Specification Engine:	                      8-12 HP (Diesel/Gasoline Engine) Model:	                      MMAS Type:	                      Portable, Two Pedals, Spindle Type Output Capacity:	      1.00 - 2.00</t>
  </si>
  <si>
    <t xml:space="preserve"> SCOPE OF WORKS: I	General Requirements	1.00	lot II	Earth Works	561.87	cu.m. III	Concrete Works	50.06	cu.m. IV	Masonry Works	662.57	sq.m. V	Steel Works	1.00	lot VI	Tinning Works	337.50	sq.m. VII	Plumbing Works	1.00	lot VIII	Doors and Windows	1.00	lot IX	Ti</t>
  </si>
  <si>
    <t xml:space="preserve"> SCOPE OF WORKS: B.3	         Project Billboard &amp; Sign Board	2.00	each B.7	         Occupational Safety and Health Program	4.00	months	 801(1)	Removal of Structure &amp; Obstruction	1.00	l.s 803(1)a	Structure Excavation, Common Soil	30.00	cu.m. 804(1)b	Embankm</t>
  </si>
  <si>
    <t xml:space="preserve"> I. GENERAL REQUIREMENTS II. SITE WORKS III. ADMINISTRATIVE BUILDING VI. DORMITORY BUILDING 1 V. DORMITORY BUILDING 2 VI. PERIMETER FENCE VII. MULTI-PURPOSE PAVEMENT</t>
  </si>
  <si>
    <t xml:space="preserve"> barangay malangcao basud would like to do maintance of their street lights from purok1 to purok 6</t>
  </si>
  <si>
    <t xml:space="preserve"> SCOPE OF WORKS: B.3	Project Billboard &amp; Signboard	2.00	each B.7	Occupational Safety and Health Program	8.00	months		 801(1)	Removal of Structures &amp; Obstruction	1.00	l.s		 803(1)a	Structure Excavation, Common Soil	70.00	cu.m. 804(1)b	Embankment from Borrow</t>
  </si>
  <si>
    <t xml:space="preserve"> Department of Education Region VI-Western Visayas Division of Cadiz City Alimatoc Elementary School SMALL VALUE PROCUREMENT FOR THE PROVISION OF SCHOOL FORMS 2020 1.	The Alimatoc Elementary School of Cadiz City, through the Schools MOOE Fund CY 2020  inte</t>
  </si>
  <si>
    <t xml:space="preserve"> INVITATION TO BID The DPWH Zamboanga del Sur 2nd District Engineering Office, Poblacion, Guipos, Zamboanga del Sur, through its Bids and Awards Committee (BAC), invites contractors to submit bids for the following Contract: Contract ID	:	20JG0079 Contract</t>
  </si>
  <si>
    <t xml:space="preserve"> Invitation to Bid for: CONSTRUCTION OF MULTI-PURPOSE BUILDING FOR SOLID WASTE MANAGEMENT EQUIPMENT AND MOTOR VEHICLES AT BRGY. BURABOD, GAMAY, NORTHERN SAMAR The LGU Gamay, Northern Samar, through the DILG – GRANT Performance Challenge Fund 2019 intends t</t>
  </si>
  <si>
    <t xml:space="preserve"> barangay malancao basud is implementing a project from GAD plan to maintain their water system...</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</si>
  <si>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</si>
  <si>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INVITATION TO BID The DPWH Zamboanga del Sur 2nd District Engineering Office, Poblacion, Guipos, Zamboanga del Sur, through its Bids and Awards Committee (BAC), invites contractors to submit bids for the following Contract: Contract ID	:	20JG0076 Contract</t>
  </si>
  <si>
    <t xml:space="preserve"> INVITATION TO BID The DPWH Zamboanga del Sur 2nd District Engineering Office, Poblacion, Guipos, Zamboanga del Sur, through its Bids and Awards Committee (BAC), invites contractors to submit bids for the following Contract: Contract ID	:	20JG0080 Contract</t>
  </si>
  <si>
    <t xml:space="preserve"> Invitation to Bid for: REPAIR /REHABILITATION OF DAMAGED DRAINAGE FACILITY AT BRGY. CENTRAL, GAMAY, NORTHERN SAMAR The LGU Gamay, Northern Samar, through the 70% Disaster Fund 2020 intends to apply the sum of P 1,499,553.57 being the Approved Budget for t</t>
  </si>
  <si>
    <t xml:space="preserve"> INVITATION TO BID The DPWH Zamboanga del Sur 2nd District Engineering Office, Poblacion, Guipos, Zamboanga del Sur, through its Bids and Awards Committee (BAC), invites contractors to submit bids for the following Contract: Contract ID	:	20JG0075 Contract</t>
  </si>
  <si>
    <t xml:space="preserve"> INVITATION TO BID The DPWH Zamboanga del Sur 2nd District Engineering Office, Poblacion, Guipos, Zamboanga del Sur, through its Bids and Awards Committee (BAC), invites contractors to submit bids for the following Contract: Contract ID	:	20JG0086 Contract</t>
  </si>
  <si>
    <t xml:space="preserve"> INVITATION TO BID The DPWH Zamboanga del Sur 2nd District Engineering Office, Poblacion, Guipos, Zamboanga del Sur, through its Bids and Awards Committee (BAC), invites contractors to submit bids for the following Contract: Contract ID	:	20JG0084 Contract</t>
  </si>
  <si>
    <t xml:space="preserve"> Republic of the Philippines Province of Eastern Samar Municipality of Maydolong INVITATION TO BID FOR  Procurement of MDRRM Protective Equipment 1.	The Municipal Government of Maydolong, Eastern Samar, through the 2020 LDRRM Pre-Disaster Preparedness Fund</t>
  </si>
  <si>
    <t xml:space="preserve"> Contract Period: One (1) year subscription period shall commence on the date stipulated in the Notice to Proceed to be issued by the BSP Institute. Bidders should have completed from Y2015 to present a contract similar to the requirement.  The Eligibility</t>
  </si>
  <si>
    <t xml:space="preserve"> INVITATION TO BID FOR THE PROCUREMENT OF SUPPLY &amp; DELIVERY OF PHEROMONE LURE      1.	The Department of Agriculture Regional Field Office 6 through the General Appropriations Act (GAA) of 2020 intends to apply the sum of Three Million Five Hundred Fifteen </t>
  </si>
  <si>
    <t xml:space="preserve"> INVITATION TO BID The DPWH Zamboanga del Sur 2nd District Engineering Office, Poblacion, Guipos, Zamboanga del Sur, through its Bids and Awards Committee (BAC), invites contractors to submit bids for the following Contract: Contract ID	:	20JG0085 Contract</t>
  </si>
  <si>
    <t xml:space="preserve"> municipality of Balete BIDS AND AWARDS COMMITTEE THE MUNICIPALITY OF BALETE THRU BIDS AND AWARDS COMMITTEE INVITES ALL SUPPLIERS/BIDDERS/CONTRACTORS TO APPLY FOR ELIGIBILITY SCREENING AND IF SUBSEQUENTLY FOUND ELIGIBLE FOR THE SAID PROCUREMENT FOR THE IMP</t>
  </si>
  <si>
    <t xml:space="preserve"> I. GENERAL REQUIREMENTS II. HEALTH AND SAFETY REQUIREMENTS III. FURNISH AND INSTALLATION OF BILLBOARDS IV. SITE WORKS V. DEMOLITION OF MARKET OFFICE AND OTHERS VI. CONCRETE PEDESTAL PLANT BOX AND STREET LIGHTS VII. IMPROVEMENT OF PUBLIC MARKET PHASE A VII</t>
  </si>
  <si>
    <t xml:space="preserve"> Description   Department of Education Region VI-Western Visayas Cadiz City Alimatoc Elementary School Invitation to Bid for the Repair of School Stage of Alimatoc Elementary School 1. The Alimatoc Elementary School, through the School’s MOOE 2020 intends </t>
  </si>
  <si>
    <t xml:space="preserve"> Republic of the Philippines PROVINCE OF SAMAR Municipality of Pinabacdao Barangay Bangon Invitation to Bid  Construction of Landmark Brgy. Bangon, Pinabacdao, Samar 1.	The BARANGAY LOCAL GOVERNMENT UNIT of Bangon, Pinabacdao, Samar, through the 2020 20% B</t>
  </si>
  <si>
    <t xml:space="preserve"> Delivery and Supply of Looms Specification: Dimension (LxWxH):	58x39x54 cm Accessories:	        with Sab-ongan/Warping Board, Kalinyasan/Spooling Wheel</t>
  </si>
  <si>
    <t xml:space="preserve"> Republic of the Philippines Province of Eastern Samar Municipality of Maydolong INVITATION TO BID FOR  Procurement of Supplies and Materials for the Conduct of Vegetable Demo Farm 1.	The Municipal Government of Maydolong, Eastern Samar, through the 2020 M</t>
  </si>
  <si>
    <t xml:space="preserve"> SCOPE OF WORKS: I	Installation of Signage	5.00	pcs. II	Site Preparation	2,550.00	sq.m. III	Back filling Works	2,100.00	cu.m. IV	Concrete Works	214.30	cu.m.</t>
  </si>
  <si>
    <t xml:space="preserve"> Republic of the Philippines PROVINCE OF SAMAR Municipality of Pinabacdao Barangay Bangon Invitation to Bid  Installation of 7-units Purok Signages Brgy. Bangon, Pinabacdao, Samar 1.	The BARANGAY LOCAL GOVERNMENT UNIT of Bangon, Pinabacdao, Samar, through </t>
  </si>
  <si>
    <t xml:space="preserve"> INVITATION TO REBID FOR THE PROCUREMENT OF SUPPLY &amp; DELIVERY OF ORGANIC AND INORGANIC INSECTICIDE (BY LOT)     1.	The Department of Agriculture Regional Field Office 6 through the General Appropriations Act (GAA) of 2020 intends to apply the sum of Five M</t>
  </si>
  <si>
    <t xml:space="preserve"> Department of Education Region VI-Western Visayas Cadiz City Alimatoc Elementary School Small Value Procurement for the Improvement of Covered Foot Walk 1.	The Alimatoc Elementary School, through the School’s MOOE 2020  intends to apply the sum of Twenty </t>
  </si>
  <si>
    <t xml:space="preserve"> Department of Education Region VI-Western Visayas Division of Cadiz City Alimatoc Elementary School SMALL VALUE PROCUREMENT FOR PRINTING OF TARPAULINS 2020 1.	The Alimatoc Elementary School of Cadiz City, through the Schools MOOE Fund CY 2020  intends to </t>
  </si>
  <si>
    <t xml:space="preserve"> SCOPE OF WORKS: B.5	Project Billboard &amp; Signboard	2.00	each B.7	Occupational Safety &amp; Health Program	3.00	months		 103(1)a	Structure Excavation	165.00	cu.m. 104	Embankment 	72.00	cu.m.	 903(1)	Formworks &amp; False Works	260.76	sq.m. 404(1)a	Reinforcing Steel</t>
  </si>
  <si>
    <t xml:space="preserve"> Republic of the Philippines DEPARTMENT OF PUBLIC WORKS AND HIGHWAYS BATANGAS II  DISTRICT ENGINEERING OFFICE REGIONAL OFFICE IV-A Kumintang Ilaya, Batangas City INVITATION TO BID For Construction of Evacuation Center in Bolbok, Batangas City, Batangas 1.	</t>
  </si>
  <si>
    <t xml:space="preserve"> NOTICE TO PROSPECTIVE BIDDERS Procurement of Data Center and Network  Security Licenses Subscription RESUMPTION OF BIDDING ACTIVITIES DURING THE GENERAL COMMUNITY QUARANTINE  On 27 February 2020 and 09 March 2020, the Bases Conversion and Development Auth</t>
  </si>
  <si>
    <t xml:space="preserve"> INVITATION TO BID 2020-CS-06 The Department of Public Works and Highways QUEZON III DISTRICT ENGINEERING OFFICE, Catanauan, Quezon, through the FY2020 PDE FUND intends to apply the amount of ₱ ₱1,050,000.00 being the Approved Budget for the Contract (ABC)</t>
  </si>
  <si>
    <t xml:space="preserve"> Republic of the Philippines Province of Ilocos Norte MUNICIPALITY OF ADAMS BIDS AND AWARDS COMMITTEE Cp nos.:09088956069  email address : mannegdege@yahoo.com June 17, 2020 INVITATION TO BID IMPROVEMENT OF RHU BUILDING ( ISOLATION ROOM) 1.	The Municipal G</t>
  </si>
  <si>
    <t xml:space="preserve"> INVITATION TO BID 2020-CS-05 The Department of Public Works and Highways QUEZON III DISTRICT ENGINEERING OFFICE, Catanauan, Quezon, through the FY2020 PDE FUND intends to apply the amount of ₱ ₱1,000,000.00 being the Approved Budget for the Contract (ABC)</t>
  </si>
  <si>
    <t xml:space="preserve"> PLEASE DOWNLOAD THE ATTACHMENT/S FOR REFERENCE. Important Notes and Conditions: You can submit your quotation ON or BEFORE JUNE 22, 2020 at 09:00 AM with the photocopy of the following legal documents: a. Mayor’s / Business Permit b. PhilGEPS Registration</t>
  </si>
  <si>
    <t xml:space="preserve"> Contract ID : 20CSMH02 Contract Name : Contract Location : 1. 2. 3. DISTRICT ENGINEERING OFFICE Region XII Lebak, Sultan Kudarat REQUEST FOR EXPRESSION OF INTEREST (REOI) FOR SUB-SURFACE EXPLORATION (SOIL EXPLORATION) OF SARMIENTO BR. (B00609MN) ALONG ISU</t>
  </si>
  <si>
    <t xml:space="preserve"> Republic of the Philippines Province of La Union Municipality of Sudipen BIDS AND AWARDS COMMITTEE Invitation to Bid for  REHABILITATION OF SAN JOSE - CASTRO ROAD (SAN JOSE SECTION) LOCATED AT BARANGAY SAN JOSE, SUDIPEN, LA UNION 1. The MUNICIPALITY OF SU</t>
  </si>
  <si>
    <t xml:space="preserve"> Republic of the Philippines Province of La Union Municipality of Sudipen BIDS AND AWARDS COMMITTEE Invitation to Bid for  REHABILITATION OF CASTRO – PORPORIKET ROAD LOCATED AT BARANGAY CASTRO &amp; PORPORIKET, SUDIPEN, LA UNION 1. The MUNICIPALITY OF SUDIPEN,</t>
  </si>
  <si>
    <t xml:space="preserve"> I. BILLBOARD AND SIGNAGE.................................................1.00SET II. EXCAVATION...............................................................30.00CU.M. III. REINFORCING STEEL BARS...........................................................</t>
  </si>
  <si>
    <t xml:space="preserve"> Republic of the Philippines Province of La Union Municipality of Sudipen BIDS AND AWARDS COMMITTEE Invitation to Bid for  CONCRETE PAVING OF FARM TO MARKET ROAD (SITIO MINDANAO) LOCATED AT BARANGAY NAMALTUGAN, SUDIPEN, LA UNION 1. The MUNICIPALITY OF SUDI</t>
  </si>
  <si>
    <t xml:space="preserve"> Republic of the Philippines Province of La Union Municipality of Sudipen BIDS AND AWARDS COMMITTEE Invitation to Bid for  CONCRETE PAVING OF FARM TO MARKET ROAD (SITIO GUDEL) LOCATED AT BARANGAY NAMALTUGAN, SUDIPEN, LA UNION 1. The MUNICIPALITY OF SUDIPEN</t>
  </si>
  <si>
    <t xml:space="preserve"> Republic of the Philippines Province of La Union Municipality of Sudipen BIDS AND AWARDS COMMITTEE Invitation to Bid for  REHABILITATION OF FARM TO MARKET ROAD (NAMALTUGAN – UP-UPLAS ROAD) LOCATED AT BARANGAY UP-UPLAS, SUDIPEN, LA UNION 1. The MUNICIPALIT</t>
  </si>
  <si>
    <t xml:space="preserve"> Department of Education Region VI-Western Visayas Division of Cadiz City Alimatoc Elementary School SMALL VALUE  FOR PROCUREMENT OF PRINTER FOR 2020 1.	The Alimatoc Elementary School of Cadiz City, through the Schools MOOE Fund CY 2020  intends to apply t</t>
  </si>
  <si>
    <t xml:space="preserve"> INVITATION TO BID 2020-CS-04 The Department of Public Works and Highways QUEZON III DISTRICT ENGINEERING OFFICE, Catanauan, Quezon, through the FY2020 PDE FUND intends to apply the amount of ₱ ₱2,030,000.00 being the Approved Budget for the Contract (ABC)</t>
  </si>
  <si>
    <t xml:space="preserve"> INVITATION TO BID (for the Procurement of Goods)           1.	The City Government of Puerto Princesa (CGPP), through its GGeneral Appropriations Ordinance No. 1-2018 (General Fund FY 2019) intends to apply the sum, corresponds as the Approved Budget for t</t>
  </si>
  <si>
    <t xml:space="preserve"> INVITATION TO BID (for the Procurement of Goods)           1.	The City Government of Puerto Princesa (CGPP), through its GGeneral Appropriations Ordinance No. 1-2018 (General Fund FY 2019)intends to apply the sum, corresponds as the Approved Budget for th</t>
  </si>
  <si>
    <t xml:space="preserve"> DEPARTMENT OF ENVIRONMENT AND NATURAL RESOURCES													 													 CONTRACT REFERENCE NUMBER:  2020-011													 NAME OF THE CONTRACT:  Procurement of ICT Equipment (Desktop Computers and Laptops)													 													 LOCATION OF THE CON</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</si>
  <si>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</si>
  <si>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Supply and Delivery of Responders Kit, 15 sets		 Contains			 Heavy Duty Spine board, with Spider Strap	 (1) Oxygen Tank with Regulator and cannula (1) Heavy Duty First Aid Bag- Back Pack Type (2) Armsling			 (2) Alcohol 150ml			 (2) Cotton 300 grams			 (1</t>
  </si>
  <si>
    <t xml:space="preserve"> Contract ID : 20CSMH01 Contract Name : Contract Location : 1. 2. 3. DISTRICT ENGINEERING OFFICE Region XII Lebak, Sultan Kudarat REQUEST FOR EXPRESSION OF INTEREST (REOI) FOR SUB-SURFACE EXPLORATION (SOIL EXPLORATION) OF BRIDGES ALONG AWANG-UPI-LEBAK-KALA</t>
  </si>
  <si>
    <t xml:space="preserve"> H E A D Q U A R T E R S 6TH INFANTRY (KAMPILAN) DIVISION, PHILIPPPINE ARMY 6ID SPECIAL BIDS AND AWARD COMMITTEE Camp BGen Gonzalo H Siongco, Awang Datu Odin, Sinsuat, Maguindanao Invitation to Bid The Philippines Army through 6ID Special Bids and Awards C</t>
  </si>
  <si>
    <t xml:space="preserve"> 20CSAE01: SUBSURFACE EXPLORATION FOR THE PROPOSED 2021 PROJECTS WITHIN THE FIRST DISTRICT OF LA UNION Republic of the Philippines DEPARTMENT OF PUBLIC WORKS AND HIGHWAYS LA UNION 1ST DISTRICT ENGINEERING OFFICE REGIONAL OFFICE I Lingsat, City of San Ferna</t>
  </si>
  <si>
    <t xml:space="preserve"> 1.	The MUNICIPAL GOVERNMENT OF PALIMBANG through an appropriation from Peace and Order and Public Safety Plan LDRRMO FUND (5% OF IRA) FY 2020 invites prospective and interested bidders for the project, to wit: 	 SUPPLY, DELIVERY, INSTALLATION AND COMMISSI</t>
  </si>
  <si>
    <t xml:space="preserve"> Supply and delivery at Municipal Hall. Schedule of Activities: Issuance of Bid Documents - June 18-July 8, 2020 Pre-Bid Conference - June 25, 2020; 1:00 p.m. Submission of Bids - on or before July 8, 2020; 1:00 p.m. Bid Opening - July 8, 2020; 1:00 p.m. B</t>
  </si>
  <si>
    <t xml:space="preserve"> INFRA 2020-06-045 CONSTRUCTION OF DRAIANGE CANAL WITH COVER AT TUNGKIL, MINGLANILLA, CEBU 1.	The MUNICIPALITY OF MINGLANILLA, through the Local Fund intends to apply the sum of   Two  Million   Twelve  Thousand  Eight  Hundred   Forty  Seven   Pesos  &amp;  9</t>
  </si>
  <si>
    <t xml:space="preserve"> INFRA 2020-06-044 IMPROVEMENT  OF BRGY. WARD I COVERED COURT/ MULTI-PURPOSE BUILDING (PHASE III) AT BRGY. WARD I, MINGLANILLA, CEBU 1.	The MUNICIPALITY OF MINGLANILLA, through the Local Fund intends to apply the sum of   Two  Million   Nine   Hundred   Ni</t>
  </si>
  <si>
    <t xml:space="preserve"> DEMOLITION OF EXISTING STRUCTURES, STRUCTURAL EXCAVATION, FORMWORKS &amp; SCAFFOLDINGS, CONCRETE WORKS, MASONRY WORKS, ROOFING WORKS &amp; DOORS AND WINDOWS (GROUND FLOOR)</t>
  </si>
  <si>
    <t xml:space="preserve"> SCOPE OF WORKS: I	General Requirements	1.00	lot II	Lay Out Works	1.00	cu.m. III	Earth Works	264.24	cu.m. IV	Concrete Works	74.95	sq.m. V	Masonry Works	74.80	lot VI	Steel Works	1.00	sq.m. VII	Tinning Works	597.25	lot VIII	Painting Works	127.40	sq.m.</t>
  </si>
  <si>
    <t xml:space="preserve"> INVITATION TO BID (for the Procurement of Goods)           1.	The City Government of Puerto Princesa (CGPP), through its General Appropriations Ordinance No. 1-2017 (General Fund FY 2018) intends to apply the sum, corresponds as the Approved Budget for th</t>
  </si>
  <si>
    <t xml:space="preserve"> Republic of the Philippines Province of Oriental Mindoro MUNICIPALITY OF VICTORIA 												 INVITATION TO RE-BID Concreting of Farm to Market Road at Sitio Malamig, Barangay Leido, Victoria, Oriental Mindoro 1.The Municipal Government of Victoria, thro</t>
  </si>
  <si>
    <t xml:space="preserve"> Republic of the Philippines Province of La Union Municipality of Sudipen BIDS AND AWARDS COMMITTEE Invitation to Bid for  REHABILITATION OF FARM TO MARKET ROAD (SITIO BITTAO) LOCATED AT BARANGAY DUPLAS, SUDIPEN, LA UNION 1. The MUNICIPALITY OF SUDIPEN, LA</t>
  </si>
  <si>
    <t xml:space="preserve"> Item I	-174.00 sq.m. Finishing and Other Interior Fit-Out Works Item II	-1.00 lot Provision of President’s Office Pantry Item III	-1.00 lot Provision of Toilet and Bath Fixtures Item IV	-1.00 lot Electrical Works</t>
  </si>
  <si>
    <t xml:space="preserve"> Republic of the Philippines Province of La Union Municipality of Sudipen BIDS AND AWARDS COMMITTEE Invitation to Bid for  REHABILITATION OF FARM TO MARKET ROAD LOCATED AT BARANGAY SAN FRANCISCO NORTE, SUDIPEN, LA UNION 1. The MUNICIPALITY OF SUDIPEN, LA U</t>
  </si>
  <si>
    <t xml:space="preserve"> Republic of the Philippines Province of Davao Oriental Municipality of Boston BIDS AND AWARDS COMMITTEE I N V I T A T I O N   T O   B I D  REHABILITATION OF LOCAL ROADS Sitio Napo, Caatihan, Boston, Davao Oriental 1.	The Municipality of Boston, through Ap</t>
  </si>
  <si>
    <t xml:space="preserve"> Republic of the Philippines Province of La Union Municipality of Sudipen BIDS AND AWARDS COMMITTEE Invitation to Bid for  REHABILITATION OF FARM TO MARKET ROAD LOCATED AT BARANGAY BIGBIGA, SUDIPEN, LA UNION 1. The MUNICIPALITY OF SUDIPEN, LA UNION, throug</t>
  </si>
  <si>
    <t xml:space="preserve"> Procurement of Hydraulic Breaker and Hydraulic Grapple for use at EMD (PR No. 20-05-103 dated 5/29/2020), DPWH Regional Office No. V, Rawis, Legazpi City</t>
  </si>
  <si>
    <t xml:space="preserve"> Planting Materials (Seedlings) Langka Lansones Macapuno Rambotan</t>
  </si>
  <si>
    <t xml:space="preserve"> For the Project MODERNIZATION OF LABORATORY EQUIPMENT FOR BACHELOR OF SCIENCE IN ELECTRICAL ENGINEERING  Invitation to Bid No. 2020-007 1.	The Tarlac State University, through the Trust Fund (TF) intends to apply the sum of Ten Million Pesos (P 10,000,000</t>
  </si>
  <si>
    <t xml:space="preserve"> Republic of the Philippines Province of Iloilo BIDS AND AWARDS COMMITTEE INVITATION TO BID Purchase of Kitchenware Bid No. AGR-20-0338-B 1. The Iloilo Provincial Government, through the   General Fund CY 2020 intends to apply the sum of ONE HUNDRED THOUSA</t>
  </si>
  <si>
    <t xml:space="preserve"> INVITATION TO BID FOR THE Procurement of Various Chemical and Filtering Supplies (450 bottles Lambda Cyhalothrin (500ml/bot) et al..) 1. The Department of Agriculture-Regional Field Office 7, through the GAA 2020 intends to apply the sum of Four Million E</t>
  </si>
  <si>
    <t xml:space="preserve"> June 15, 2020 INVITATION TO BID 1.	The Department of Public Works and Highways, Mindoro Occidental District Engineering Office, Mamburao, Occidental Mindoro, through the General Appropriations Act intends to apply the sum of the Approved Budget for the Co</t>
  </si>
  <si>
    <t xml:space="preserve"> Item Description........................................Quantity...............................Unit of Issue 4 x 2, Six Wheeler, Mounted with.....................1..........................................Unit 5.5 cu.m. Dump Truck Body GCM Rating: 16,000 </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</si>
  <si>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</si>
  <si>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City Government of Manila INVITATION TO BID NO. 2020-06-89 Procurement of 92,500 pcs. Birthday Cake for the period July to December 31, 2020 1.	The City Government of Manila, through the General Fund CY 2020 – Other Maintenance and Operating Expenses inte</t>
  </si>
  <si>
    <t xml:space="preserve"> Republic of the Philippines BIDS AND AWARDS COMMITTEE Province of Iloilo Invitation to Bid PURCHASE OF I.V. FLUIDS Bid No. SDH-20-0364-B 1. The Iloilo Provincial Government, through the GENERAL FUND 2020 intends to apply the sum of ONE MILLION FIVE HUNDRE</t>
  </si>
  <si>
    <t xml:space="preserve"> Republic of the Philippines BIDS AND AWARDS COMMITTEE Province of Iloilo Invitation to Bid PURCHASE OF AMBULANCE WITH COMPLETE MEDICAL EQUIPMENT Bid No. HMO-20-0354-B 1. The Iloilo Provincial Government, through the 20% IRA 2019 intends to apply the sum o</t>
  </si>
  <si>
    <t xml:space="preserve"> INVITATION TO BID FOR THE Procurement of *3,600 packs of PHROMONE LURE (5 sachets/pack) 1. The Department of Agriculture-Regional Field Office 7, through the GAA 2020 intends to apply the sum of Two Million Three Hundred Forty Thousand Pesos (₱ 2,340,000.</t>
  </si>
  <si>
    <t xml:space="preserve"> 1.	The Municipality of Esperanza, through the Municipal &amp; Barangay Fund intends to apply the sum of Five Million One Hundred Thousand Pesos (Php5,100,000.00) being the Approved Budget for the Contract (ABC) to payments under the contract for Construction </t>
  </si>
  <si>
    <t xml:space="preserve"> 1.	The Municipality of Esperanza, through the Municipal &amp; Barangay Fund intends to apply the sum of Three Million Six Hundred Thousand Pesos (Php3,600,000.00) being the Approved Budget for the Contract (ABC) to payments under the contract for Construction</t>
  </si>
  <si>
    <t xml:space="preserve"> Republic of the Philippines Province of Sarangani Municipality of Malapatan INVITATION TO BID  	 2020-B1-06-014        PROCUREMENT OF OFFICE SUPPLIES FOR DIFFERENT OFFICES (1st – 2nd Quarter), MALAPATAN, SARANGANI PROVINCE 1.	The Local Government Unit of </t>
  </si>
  <si>
    <t xml:space="preserve"> Republic of the Philippines Province of Leyte MUNICIPALITY OF PALO Invitation to Bid for the Repair of Gazebo Building Canopy at the Municipal Hall Compound of Palo, Leyte Job Request No. 20-06-112 	 1.	The Municipality of Palo, Leyte, through the General</t>
  </si>
  <si>
    <t xml:space="preserve"> Republic of the Philippines BIDS AND AWARDS COMMITTEE Province of Iloilo Invitation to Bid PURCHASE OF DRUGS AND MEDICINES Bid No. SDH-20-0361-B 1. The Iloilo Provincial Government, through the GENERAL FUND 2020 intends to apply the sum of THREE MILLION O</t>
  </si>
  <si>
    <t xml:space="preserve"> 1	A4 Laminating Film	5	pcs 2	Accession Book	2	pcs 3	Adhessive Tape (1inch)	5	rolls 4	Air Freshener  (Spray) 320ml	38	bots 5	Air Freshener Can w/ holder 70g	64	cans 6	Airpot (good for 2L)	1	unit 7	Albatross big	62	pcs 8	Albatross small	9	pcs 9	"Alcohol 500</t>
  </si>
  <si>
    <t xml:space="preserve"> INVITATION TO BID FOR THE Procurement of Assorted Feeds 1.	The Department of Agriculture-Regional Field Office 7, through the GAA 2020  intends to apply the sum of One Million Four Hundred Fifty Two Thousand Pesos (₱1,452,000.00) being the Approved Budget</t>
  </si>
  <si>
    <t xml:space="preserve"> Republic of the Philippines  Province of Bukidnon  MUNICIPALITY OF KALILANGAN    Bids and Award Committee (BAC)  INVITATION TO BID FOR  Infra 2020-06-014 The Local Government Unit – Kalilangan, Bukidnon through the BIDS AND AWARDS COMMITTEE (BAC) now invi</t>
  </si>
  <si>
    <t xml:space="preserve"> INVITATION TO BID FOR THE Procurement of Various Feeds 1.	The Department of Agriculture-Regional Field Office 7, through the GAA 2020  intends to apply the sum of One Million One Hundred Seventy Thousand Pesos (₱1,170,000.00) being the Approved Budget for</t>
  </si>
  <si>
    <t xml:space="preserve"> Rental of Financial program for Accounting Office for the Month of July 2020 to December 2020</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</si>
  <si>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</si>
  <si>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Item Description........................................Quantity...............................Unit of Issue Bottle and Glass Crusher..................................1..........................................Unit Capacity..............................: </t>
  </si>
  <si>
    <t xml:space="preserve"> INVITATION TO BID FOR THE Procurement of 3,600 heads of Native Chicken 1. The Department of Agriculture-Regional Field Office 7, through the GAA 2020 intends to apply the sum of One Million Two Hundred Sixty Thousand Pesos (₱ 1,260,000.00) being the Appro</t>
  </si>
  <si>
    <t xml:space="preserve"> SUPPLY AND DELIVERY OF MATERIALS FOR THE CONSTRUCTION OF EVACUATION CENTER LOCATED AT BARANGAY NAMBARAN, SANTO DOMINGO, ILOCOS SUR.</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</si>
  <si>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</si>
  <si>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Republic of the Philippines Province of Cebu City of Toledo Barangay Don Andres Soriano Invitation to Bid for PROPOSED CONSTRUCTION OF PATHWAYS AT PUROK QCRO 1.The BARANGAY DON ANDRES SORIANO, through its  20% Developmental Fund 2019 intends to apply the </t>
  </si>
  <si>
    <t xml:space="preserve"> INVITATION TO BID FOR THE Procurement of 100 rolls of Range Nets 1.	The Department of Agriculture-Regional Field Office 7, through the GAA 2020  intends to apply the sum of Five Hundred Fifty Thousand Pesos (₱ 550,000.00) being the Approved Budget for the</t>
  </si>
  <si>
    <t xml:space="preserve"> Republic of the Philippines PROVINCE OF AKLAN Kalibo -oOo- BIDS AND AWARDS COMMITTEE (BAC) INVITATION TO BID 1.	The Provincial   Government   of   Aklan, through   20% IRA Development Fund CY 2019  intends   to   apply   the   sum   of  One Million Pesos </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</si>
  <si>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</si>
  <si>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Republic of the Philippines  Province of Bukidnon  MUNICIPALITY OF KALILANGAN    Bids and Award Committee (BAC)  INVITATION TO BID FOR  Infra 2020-06-013 The Local Government Unit – Kalilangan, Bukidnon through the BIDS AND AWARDS COMMITTEE (BAC) now invi</t>
  </si>
  <si>
    <t xml:space="preserve"> Republic of the Philippines PROVINCE OF AKLAN Kalibo -oOo- BIDS AND AWARDS COMMITTEE (BAC) INVITATION TO BID 1.	The Provincial   Government   of   Aklan, through   5% LDRRM Fund CY 2019 intends   to   apply   the   sum   of  Two Million Pesos Only (Php 2,</t>
  </si>
  <si>
    <t xml:space="preserve"> Republic of the Philippines Province of Cebu City of Toledo Barangay Don Andres Soriano Invitation to Bid for PROPOSED CONSTRUCTION OF DRAINAGE SYSTEM @ PUROK dascc  1.The BARANGAY DON ANDRES SORIANO, through its  20% Developmental Fund 2019 intends to ap</t>
  </si>
  <si>
    <t xml:space="preserve"> Republic of the Philippines Province of Sarangani Municipality of Malapatan INVITATION TO BID  	 2020-B1-002        PROCUREMENT OF OFICE EQUIPMENT FOR MUNICIPAL INFORMATION OFFICE, MALAPATAN, SARANGANI PROVINCE 1.	The Local Government Unit of Malapatan, t</t>
  </si>
  <si>
    <t xml:space="preserve"> Republic of the Philippines PROVINCE OF AKLAN Kalibo -oOo- BIDS AND AWARDS COMMITTEE (BAC) INVITATION TO BID 1.	The Provincial   Government   of   Aklan, through   20% IRA Development Fund CY 2020 intends   to   apply   the   sum   of  Two Million Four Hu</t>
  </si>
  <si>
    <t xml:space="preserve"> INVITATION TO BID FOR THE Procurement of *571 bottles of Azadirahtin (1 liter/bot. Organic Pesticide) and *100 boxes of Bacillus Thuringiensis (5 x 100 gram/box) 1. The Department of Agriculture-Regional Field Office 7, through the GAA 2020 intends to app</t>
  </si>
  <si>
    <t xml:space="preserve"> Republic of the Philippines Province of Sarangani Municipality of Malapatan INVITATION TO BID  	 2020-B1-02        PROCUREMENT OF MATERIALS FOR THE MAINTENANCE AND DEVELOPMENT OF HRIS SYSTEM, MALAPATAN, SARANGANI PROVINCE 1.	The Local Government Unit of M</t>
  </si>
  <si>
    <t xml:space="preserve"> Republic of the Philippines CITY GOVERNMENT OF ORMOC  2nd /F New Ormoc City Hall Bldg.,Ormoc City Tel # (053) 255-2054 &amp; 560-8050 Local # 1126, 1127 &amp; 1123	      36-________________________ INVITATION TO BID         The City Government of Ormoc, through t</t>
  </si>
  <si>
    <t xml:space="preserve"> INVITATION TO BID (GOODS) The Municipality of Sibonga, through the Trust Fund intends to apply the sum of Eight hundred ninety-one thousand five hundred seventy-five &amp; 85/100 pesos only (891,575.85) being the Approved Budget for the Contract (ABC) to paym</t>
  </si>
  <si>
    <t xml:space="preserve"> Invitation to Bid 1.	The Barangay Government of Tanza 2 through the 2020 Development Fund,intend to apply the amount of  Two Hundred Three Thousand  Four Hundred Ninety Nine Pesos (words)  Php 2,467,893.00 as the Approved Budget for the Contract (ABC) for</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</si>
  <si>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</si>
  <si>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</si>
  <si>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1.	The Department of Public Works and Highways Regional Office XI, Davao City, through its Bids and Awards Committee (BAC), invites bidders to submit bids for the Infra projects funded under GAA FY 2020, to wit: Contract ID 	:	20L00148 Contract Name/Locat</t>
  </si>
  <si>
    <t xml:space="preserve"> 1.	The Department of Public Works and Highways Regional Office XI, Davao City, through its Bids and Awards Committee (BAC), invites bidders to submit bids for the Infra projects funded under GAA FY 2020, to wit: Contract ID 	:	20L00032 Contract Name/Locat</t>
  </si>
  <si>
    <t xml:space="preserve"> I N V I T A T I O N   T O   B I D 2020 - 104 June 17, 2020 1.	The Provincial Government of Tarlac through the PENRO SB #1 2019 - Healthcare Waste Management Program at GOTMH intends to apply the sum of One Million Three Hundred Ninety-Nine Thousand Four H</t>
  </si>
  <si>
    <t xml:space="preserve"> I N V I T A T I O N   T O   B I D 2020 - 103 June 17, 2020 1.	The Provincial Government of Tarlac through the 20% DF '19 Continuing - Improvement of Sewerage Treatment Plant at TPH intends to apply the sum of One Million Four Hundred Ninety-Nine Thousand </t>
  </si>
  <si>
    <t xml:space="preserve"> Republic of the Philippines REGION X Province of Lanao del Norte MUNICIPALITY OF MATUNGAO matungaolgu@gmail.com  INVITATION TO BID CONCRETING OF 0.670 KM BARANGAY POBLACION TO COMPRA ROAD at Barangay Poblacion-Barangay Puntod, Matungao, Lanao del Norte IT</t>
  </si>
  <si>
    <t xml:space="preserve"> Republic of the Philippines Province of La Union Municipality of Sudipen BIDS AND AWARDS COMMITTEE Invitation to Bid for  PURCHASE OF RELIEF SUPPLIES FOR THE MDRRM OPERATION CENTER OF THE MUNICIPALITY OF SUDIPEN, LA UNION 1. The MUNICIPALITY OF SUDIPEN, L</t>
  </si>
  <si>
    <t xml:space="preserve"> Republic of the Philippines Province of La Union Municipality of Sudipen BIDS AND AWARDS COMMITTEE Invitation to Bid for  PURCHASE OF MEDICAL SUPPLIES (2ND SEMESTER-2020) FOR THE MUNICIPALITY OF SUDIPEN, LA UNION 1. The MUNICIPALITY OF SUDIPEN, LA UNION, </t>
  </si>
  <si>
    <t xml:space="preserve"> The Municipality of Malangas, through the Bids and Award Committee (BAC), invites suppliers/manufactures/distributors/contractors to bid for the hereunder contract: Name of Project	: PROCUREMENT OF 1 SET BUTT FUSION MACHINE Technical Specification: 	230 V</t>
  </si>
  <si>
    <t xml:space="preserve"> Republic of the Philippines PROVINCE OF BOHOL Municipality of Dagohoy INVITATION TO BID FOR THE CONCRETING OF FARM TO MARKET ROAD (SITIO 3-MARKET ROAD)    1.The Local Government Unit of Dagohoy, Bohol intends to apply the sum of Five Million Pesos (Php 5,</t>
  </si>
  <si>
    <t xml:space="preserve"> 35 PCS OF CLASSROOM ROUND TABLE</t>
  </si>
  <si>
    <t xml:space="preserve"> SUPPLY AND DELIVERY OF 100 HEADS OF F1 MEAT TYPE HOGS FOR USE IN THE KADIWA NI ANI AT KITA FOR THE PROJECT: FINAL HANDS-ON TRAINING AND FOR TESDA ASSESSMENT  OF BATCH 11 AND 12 (PB 2020-02A) 1.	The NATIONAL TOBACCO ADMINISTRATION (NTA), through the 2020 C</t>
  </si>
  <si>
    <t xml:space="preserve"> Republic of the Philippines  Province of Bukidnon  MUNICIPALITY OF KALILANGAN    Bids and Award Committee (BAC)  INVITATION TO BID FOR  Infra 2020-06-015 The Local Government Unit – Kalilangan, Bukidnon through the BIDS AND AWARDS COMMITTEE (BAC) now invi</t>
  </si>
  <si>
    <t xml:space="preserve"> Invitation to Bid 1.	The Barangay Government of Tanza 2 through the 2020 CAPITAL OUTLAY, intend to apply the amount of  SEVENTY THOUSAND Pesos  (words)  Php 70,000.00 as the Approved Budget for the Contract (ABC) for the payment under the contract for the</t>
  </si>
  <si>
    <t xml:space="preserve"> Location: Brgy. Calamay, Moncada, Tarlac Floor Area: 8.00 m x 7.80m Scope of Work to be Done: 1. Footing and Wall Footing 2.  Column 3. Beam 4. Flooring 5. CHB Wall and Partition 6. Doors and Windows 7. Ceiling 8. Roofing and Roof Framing 9. Kitchen Count</t>
  </si>
  <si>
    <t xml:space="preserve"> Repainting of Public Buildings. (Barangay Office, Public Market Building, Health Center, AL's Building and BPAT Outpost)</t>
  </si>
  <si>
    <t xml:space="preserve"> Invitation to Bid 1.	The Barangay Government of Tanza 2 through the 2020 BCPC Fund, intend to apply the amount One Hundred Four Thousand  Pesos  (words)  Php 104,000.00 as the Approved Budget for the Contract (ABC) for the payment under the contract for t</t>
  </si>
  <si>
    <t xml:space="preserve"> The DPWH, Negros Occidental 3rd District Engineering Office, Kabankalan City, Negros Occidental, through its Bids and Awards Committee (BAC), invites contractors to submit bids for the following contract: 1. Contract ID		:	20GM0064 (Re-bidding) Contract N</t>
  </si>
  <si>
    <t xml:space="preserve"> Items of Work: I. Site Preparation.......................................1 Lot II. Excavation, Foundation of Column and Wall Footing.........................1 Lot III. Carpentry and Welding Works, Installation of Steel Truss, Roofing &amp; Ceiling............</t>
  </si>
  <si>
    <t xml:space="preserve"> INVITATION TO BID 	 Date: June 16, 2020 1.	The Provincial Government of Davao Occidental, through its Bids and Awards Committee (BAC), invites all potential contractors to apply to bid for the following infrastructure projects: IB NO.	Description	ABC	Sour</t>
  </si>
  <si>
    <t xml:space="preserve"> 450 liters Insecticide (Active ingredient-Luferurony Carbosulfan)</t>
  </si>
  <si>
    <t xml:space="preserve"> 20 units Micro Desktop Computer 33 units Laptop Computer 5 units High-End Laptop Computer 2 units Portable Scanner 5 units Network Switch 5 units Entry-Level Server 6 units Uninterruptible Power Supply 5 units NAS Rack Mounted 5 units Network Rack</t>
  </si>
  <si>
    <t xml:space="preserve"> INVITATION TO BID FOR PURCHASE OF BOOKS / LEARNING MATERIALS FOR CHILD DEVELOPMENT CENTER (DAYCARE PUPILS) 1.	The Municipal Government of Sta. Maria through the 20% Local Development Fund 2020 intends to apply the sum of One Million Nine Hundred Thousand </t>
  </si>
  <si>
    <t xml:space="preserve"> INSTALLATION OF CONCRETE DRAINAGE SYSTEM OF TAMBUNAN - STA. LUCIA TOURISM ROAD</t>
  </si>
  <si>
    <t xml:space="preserve"> Republic of the Philippines Province of La Union Municipality of Sudipen BIDS AND AWARDS COMMITTEE Invitation to Bid for  PURCHASE OF MEDICINES (2ND SEMESTER-2020) FOR THE MUNICIPALITY OF SUDIPEN, LA UNION 1. The MUNICIPALITY OF SUDIPEN, LA UNION, through</t>
  </si>
  <si>
    <t xml:space="preserve"> Republic of the Philippines        PROVINCE OF BUKIDNON             Don Carlos, Bukidnon Invitation to Bid for the Rehabilitation of Local Road – Perimeter Road along Public Market, Poblacion Sur, Don Carlos, Bukidnon (Straight Contract) (Project Referenc</t>
  </si>
  <si>
    <t xml:space="preserve"> Republic of the Philippines Province of Agusan del Norte Municipality of Remedios T. Romualdez Invitation to Bid PROCUREMENT OF RESCUE EQUIPMENT AND SUPPLIES  1. The Municipality of Remedios T. Romualdez, Agusan del Norte, through the 5% MDRRM Funds inten</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</si>
  <si>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</si>
  <si>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“Garbage Granulator”           CAPACITY: 5 Cu .Meter per Hour a)	Prime Mover:4D35 Diesel Engine                       (Remanufactured) b)	Granulating Chamber: 1”thk. X 70 Cm X 70 Cm X 1.2 Meter c)	BLADES: 19mm x 150mm x 575mm d)	Main Gear Box    : 20 Hp e</t>
  </si>
  <si>
    <t xml:space="preserve"> Republic of the Philippines        PROVINCE OF BUKIDNON             Don Carlos, Bukidnon Invitation to Bid for the Construction of Two-Storey Hall of Justice Building,  Don Carlos, Bukidnon – Phase II (Straight Contract) (Project Reference No. 006-024-202</t>
  </si>
  <si>
    <t xml:space="preserve"> Furnishing/ delivering of various common construction materials and supplies ***** Nothing follows *****</t>
  </si>
  <si>
    <t xml:space="preserve"> INVITATION TO BID FOR THE SUPPLY AND DELIVERY OF VARIOUS PHARMACEUTICAL DRUGS, MEDICINES AND CONTRAST MEDIA (NEGOTIATED PROCUREMENT- TWO FAILED BIDDING) (IB NO. 2020-GOODS-002NP-02-0617) 1.	The ILOCOS TRAINING AND REGIONAL MEDICAL CENTER (ITRMC), through </t>
  </si>
  <si>
    <t xml:space="preserve"> Contract ID: 20CD0167      Contract Name:  Repair/Rehabilitation of Valenzuela-Obando-Meycauayan                                 Flood Control Structures along Palasan River (Panghulo to                                 Paliwas Sec.) Obando, Bulacan      C</t>
  </si>
  <si>
    <t xml:space="preserve"> Invitation to Bid 1.	The Barangay Government of Tanza 2 through the 2020 BDRRM FUND,intend to apply the amount of  Fifty Seven Thousand Eight Hundred Pesos  (words)  Php 57,800.00 as the Approved Budget for the Contract (ABC) for the payment under the con</t>
  </si>
  <si>
    <t xml:space="preserve"> Republic of the Philippines Office of the Punong Barangay BIDS AND AWARDS COMMITTEE Ambugat, Burgos, Ilocos Sur INVITATION TO BID The Barangay Government of Ambugat, Burgos, Ilocos Sur, through its Bids and Awards Committee (BAC) invites bids for the here</t>
  </si>
  <si>
    <t xml:space="preserve"> Invitation to Bid 1.	The Barangay Government of Tanza 2 through the 2019 Development Fund,intend to apply the amount of  Two Hundred Three Thousand Four Hundred Ninety Nine Pesos  (words)  Php 203,499.00 as the Approved Budget for the Contract (ABC) for t</t>
  </si>
  <si>
    <t xml:space="preserve"> DIGOS CITY NATIONAL HIGH SCHOOL						 						 Request for Quotation						 						 						 					Date:	Jun. 11, 2020 					PR No.:	20-06-00080 	Please quote your lowest price on the item/s listed below, subject to the General Conditions on the last page,					 s</t>
  </si>
  <si>
    <t xml:space="preserve"> Republic of the Philippines Province of Davao del Sur MUNICIPALITY OF STA.CRUZ INVITATION TO BID CONSTRUCTION OF RESIDUAL CONTAINMENT AREA (ITB No. 07-INFRA-2020) 1.	The Local Government Unit of Sta. Cruz, Davao del Sur through the General Funds for the Y</t>
  </si>
  <si>
    <t xml:space="preserve"> Republic of the Philippines        PROVINCE OF BUKIDNON             Don Carlos, Bukidnon Invitation to Bid for the Rehabilitation of Multi-Purpose Building at Lake Pinamaloy Area  In Don Carlos, Bukidnon (Straight Contract) (Project Reference No. 006-025-</t>
  </si>
  <si>
    <t xml:space="preserve"> Invitation to Bid for the Leachate Pond Completion at Sanitary Landfill 1.	The Local Government Unit of Manolo Fortich, through the General Fund intends to apply the sum of THREE MILLION FIVE HUNDRED THOUSAND PESOS (PhP 3,500,000.00) being the Approved Bu</t>
  </si>
  <si>
    <t xml:space="preserve"> Republic of the Philippines Department of Agriculture BUREAU OF FISHERIES AND AQUATIC RESOURCES Fisheries Regional Office No. 10 Macabalan, Cagayan de Oro City TIN – 000-550-823-017 INVITATION TO BID  The Bureau of Fisheries and Aquatic Resources Regional</t>
  </si>
  <si>
    <t xml:space="preserve"> 1. 2 units Corn Mill -Progressive type, capable of milling white corn for human food with slight switching port adjustment to immediately use for yellow corn milling for poultry and livestock Minimum Specifications: -Input Capacity:200kg-250kg/hr -Power S</t>
  </si>
  <si>
    <t xml:space="preserve"> The Barangay Government of Brgy. Sto. Nino, through its Bids and Awards Committee (BAC), intends to apply the sum of One Hundred Thirteen Thousand One Hundred Six Pesos and 20/100 (Php 113,106.20), under the 20% BDF of the approved Annual Budget CY 2020, </t>
  </si>
  <si>
    <t xml:space="preserve"> Republic of the Philippines        PROVINCE OF BUKIDNON             Don Carlos, Bukidnon Invitation to Bid for the Proposed Development of Municipal Cemetery in Norte, Don Carlos, Bukidnon – Phase II (Straight Contract) (Project Reference No. 006-027-2020</t>
  </si>
  <si>
    <t xml:space="preserve"> Work item includes Subgrade preparation, aggregate sub-base course, PCCP, embankment (filling of road shoulders) and rip rapping of existing RCP sides</t>
  </si>
  <si>
    <t xml:space="preserve"> 1 unit Dump truck Specs: Engine            :  Euro 4 Displacement  : 3933cc Max. Power     : 150 ps @2900 rpm Max. Torque: 59 kg-m@ 1,600 rpm Turbo charger: Turbo charger Suspension Type: Semi-elliptic, laminated leaf spring w/shock absorber Fuel Tank Cap</t>
  </si>
  <si>
    <t xml:space="preserve"> Republic of the Philippines                                                        Province of Misamis Oriental                                                MUNICIPALITY OF KINOGUITAN                                           BIDS AND AWARDS COMMITTEE (</t>
  </si>
  <si>
    <t xml:space="preserve"> Republic of the Philippines Province of Negros Occidental Municipality of Binalbagan Telephone/ FAX Number: (034) 3888701 INVITATION TO BID The Municipality   of  Binalbagan, Negros Occidental, through its Bids and Awards Committee (BAC), invites supplier</t>
  </si>
  <si>
    <t xml:space="preserve"> ITB No. 2020-74 June 17, 2020 Republic of the Philippines Province of Davao Oriental CITY OF MATI INVITATION TO BID ESTABLISHMENT OF STOCK ROOM FOR LIVESTOCK AND POULTRY MULTIPLIER FARM Name of Project 1.	The City Government of Mati, through the 20% Local</t>
  </si>
  <si>
    <t xml:space="preserve"> Work item includes subgrade preparation, aggregate sub base course, PCCP &amp; embankment (filling of road shoulders)</t>
  </si>
  <si>
    <t xml:space="preserve"> Work item includes Subgrade Preparation, Aggregate Sub-base Course, PCCP Class A, Concreting of Adjoining Premises and Grouted Rip rap (Slope Protection)</t>
  </si>
  <si>
    <t xml:space="preserve"> Please see attached Inivtation to Bid</t>
  </si>
  <si>
    <t xml:space="preserve"> AUDIO AND VISUAL EQUIPMENT</t>
  </si>
  <si>
    <t xml:space="preserve"> INVITATION TO BID June 15, 2020 The Eastern Visayas Regional Medical Center, through its Bids and Awards Committee (BAC B) invites suppliers/manufacturers/distributors/contractors to bid for the hereunder project:  Procurement Activity	Approved Budget for</t>
  </si>
  <si>
    <t xml:space="preserve"> Procurement of Farm Machineries and Equipment - Php 970,000.00 7 HP DIESEL ENGINE PALAY THRESHER - 1 unit - Php 162,000 Irrigation Water Supply w/ Accesories 7HP engine pumps, horizontal water cooled, 4-cycle diesel engine; bore x stroke – 80 x 75 mm; dis</t>
  </si>
  <si>
    <t xml:space="preserve"> PEO-2020-0173 PR2020-0436 INVITATION TO BID FOR THE PROCUREMENT OF LABOR, MATERIALS, AND EQUIPMENT FOR THE REHABILITATION AND IMPROVEMENT OF PEO BUILDING (ELECTRICAL CONNECTION REVAMP, REPLACEMENT OF DOORS AND WINDOWS, CEILING AND PAINTING WORKS) AT NEW C</t>
  </si>
  <si>
    <t xml:space="preserve"> Republic of the Philippines Province of Ilocos Sur Vigan City INVITATION TO BID FOR  Purchase &amp; Delivery of Medical Equipment for Ilocos District Hospitals-Tagudin, Sta. Lucia &amp; Narvacan Ilocos Sur 1.	The Provincial Government of Ilocos Sur, through the 2</t>
  </si>
  <si>
    <t xml:space="preserve"> Section I. Invitation to Bid Republic of the Philippines Province of Sultan Kudarat Municipality of Bagumbayan OFFICE OF THE BIDS AND AWARDS COMMITTEE Bagumbayan, Sultan Kudarat INVITATION TO BID FOR PROCUREMENT FOR THE 30,260 LITERS OF DIESOLINE FOR THE </t>
  </si>
  <si>
    <t xml:space="preserve"> 1 unit backhoe specs: Engine Power: 40hp Emission : Stage EC Stage lllA Loader Bucket Capacity: 0.36 cu.m. Backhoe Bucket Capacity: 0.08 cu.m. Operating Weight: 4262kg Max. Dig Depth:3.05m Loader Load over Height: up to 2.65m</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</si>
  <si>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</si>
  <si>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PVC ID PRINTER &amp; LAMINATOR -	Smart Card Printer -	Flipper (Back to Back Printing) -	Dual Side Printing  -	Card Feeding -	Full Color Ribbon with Black, Overlay and Black for Back Side -	Machine includes Colored Ribbon and 200 PVC Cards   Supplies included:</t>
  </si>
  <si>
    <t xml:space="preserve"> CONSTRUCTION /INSTALLATION OF STREET LIGHTING SYSTEM @ GELERANG KAWAYAN</t>
  </si>
  <si>
    <t xml:space="preserve"> Procurement of FArm Machineries and Equipment-Php 4,000,000.00 35 HP 4WD Tractor - 4 units @ Php 1,000,000.00</t>
  </si>
  <si>
    <t xml:space="preserve"> OPV-2020-0174 PR2020-0440 INVITATION TO BID FOR THE PROCUREMENT OF OFFICE FURNITURE AND FIXTURES FOR OFFICE USE AT OFFICE OF THE PROVINCIAL VETERINARIAN ABC: P 2,605,500.00 COST OF BID DOCUMENTS: P 5,000.00 ADVERTISEMENT PERIOD: JUNE 17 - JULY 8, 2020 PRE</t>
  </si>
  <si>
    <t xml:space="preserve"> Republic of the Philippines Province of Cotabato Municipality of Aleosan Invitation to Bid for the  CONSTRUCTION OF COMFORT ROOM BUILDING (PROGRESSIVE TYPE) AT ALEOSAN PUBLIC MARKET, LGU ALEOSAN, COT. 								June 15, 2020 		 1.	The Local Government Unit </t>
  </si>
  <si>
    <t xml:space="preserve"> Section I. Invitation to Bid Republic of the Philippines Province of Sultan Kudarat Municipality of Bagumbayan OFFICE OF THE BIDS AND AWARDS COMMITTEE Bagumbayan, Sultan Kudarat INVITATION TO BID FOR THE PROCUREMENT OF CONSTRUCTION MATERIALS FOR THE IMPRO</t>
  </si>
  <si>
    <t xml:space="preserve"> Opening of Farm to Market Road Barangay Mabilbila Sur, Santa, Ilocos Sur</t>
  </si>
  <si>
    <t xml:space="preserve"> INVITATION TO BID June 16, 2020 1.	The Provincial Government of Davao Occidental, through its Bids and Awards Committee (BAC), invites all suppliers to apply to bid for the following goods: Bids received in excess of the ABC shall be automatically rejecte</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</si>
  <si>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</si>
  <si>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INVITATION TO APPLY FOR ELIGIBILITY AND TO BID THE MUNICIPALITY OF CAIBIRAN, BILIRAN IS INVITING ALL INTERESTED BIDDERS ON ITS FORTHCOMING PUBLIC BIDDING FOR: Project Title 	: Provision of Pedicab (Small Transport) Sewing Machine &amp; Motorboat Engines to Se</t>
  </si>
  <si>
    <t xml:space="preserve"> INVITATION TO BID FOR THE Procurement of Assorted Feeds 1.	1.	The Department of Agriculture-Regional Field Office 7, through the GAA 2020  intends to apply the sum of Seven Hundred Sixty Nine Thousand Two Hundred Fifty Pesos (₱ 769,250.00) being the Appro</t>
  </si>
  <si>
    <t xml:space="preserve"> Republic of the Philippines Province of Sarangani Municipality of Malapatan INVITATION TO BID  	 2020-B1-06-015        PROCUREMENT OF PNP RESPONSE VEHICLE, MALAPATAN, SARANGANI PROVINCE 1.	The Local Government Unit of Malapatan, through the 2018 LDRRMF in</t>
  </si>
  <si>
    <t xml:space="preserve"> Republic of the Philippines  Province of Bukidnon  MUNICIPALITY OF KALILANGAN    Bids and Award Committee (BAC)  INVITATION TO BID FOR  Infra 2020-06-012 The Local Government Unit – Kalilangan, Bukidnon through the BIDS AND AWARDS COMMITTEE (BAC) now invi</t>
  </si>
  <si>
    <t xml:space="preserve"> Please see the attached document</t>
  </si>
  <si>
    <t xml:space="preserve"> Republic of the Philippines Province of Bukidnon Municipality of Cabanglasan -o0o- ___________________________________________________________________________ INVITATION TO BID FOR  Purchase of Materials for Construction of Multi-Purpose Building T Imbatu</t>
  </si>
  <si>
    <t xml:space="preserve"> Opening of Farm to Market Road Barangay Bucalag, Santa, Ilocos Sur</t>
  </si>
  <si>
    <t xml:space="preserve"> Republic of the Philippines PROVINCE OF SURIGAO DEL SUR Municipality of Carrascal   Barangay Caglayag   INVITATION FOR BIDS                      The Barangay Bacolod through its Bids and Awards Committee invites sealed bids from eligible supplier for Tran</t>
  </si>
  <si>
    <t xml:space="preserve"> City Government of Manila INVITATION TO BID NO. 2020-06-90 Procurement of 77,000 pcs. Tablet 10” and 33,000 pcs. Tablet 8” 1.	The City Government of Manila, through the SEF Fund CY 2020 –intends to apply the sum of Six Hundred Fifty Three Million Four Hun</t>
  </si>
  <si>
    <t xml:space="preserve"> Republic of the Philippines CITY OF SAN PEDRO Province of Laguna BIDS AND AWARDS COMMITTEE INVITATION TO BID The City Government of San Pedro Laguna through the 2020 Budget Approved by Sangguniang Panglungsod intends to apply the sum of Php 3,238,515.35 b</t>
  </si>
  <si>
    <t xml:space="preserve"> City Government of Manila INVITATION TO BID NO. 2020-06-91 Procurement of 11,000 pcs. Laptop 1.	The City Government of Manila, through the SEF Fund CY 2020 –intends to apply the sum of One Hundred  Sixty Five Million  Pesos Only (Php165,000,000.00) being </t>
  </si>
  <si>
    <t xml:space="preserve"> Republic of the Philippines Province of Ilocos Sur Vigan City INVITATION TO BID FOR  Purchase &amp; Delivery of Food Packs for Adults &amp; Nutri Packs for Children for distribution Provincewide 1.	The Provincial Government of Ilocos Sur, through the Supplemental</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</si>
  <si>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</si>
  <si>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concrete pavemernt 303 x 4 m x 4 x.10</t>
  </si>
  <si>
    <t xml:space="preserve"> MATERIALS AND LABOR COST</t>
  </si>
  <si>
    <t xml:space="preserve"> INVITATION TO BID FOR PURCHASE OF BOOKS / LEARNING MATERIALS FOR KINDERGARTEN PUPILS 1.	The Municipal Government of Sta. Maria through the Special Education Funds 2020 intends to apply the sum of Three Hundred Sixty One Thousand Pesos (₱361,000.00) being </t>
  </si>
  <si>
    <t xml:space="preserve"> 1.	The Municipality of Daram, through the 20%-Development Fund-2020 intends to apply the sum of Two Million Two Hundred Thousand Pesos (P2,200,000.00) being the Approved Budget for the Contract (ABC) to payments under the contract for the Supply and Deliv</t>
  </si>
  <si>
    <t xml:space="preserve"> Republic of the Philippines Province of Bukidnon Municipality of Cabanglasan -o0o- ___________________________________________________________________________ INVITATION TO BID FOR  Purchase of Materials for Construction of Multi-Purpose Building X Poblac</t>
  </si>
  <si>
    <t xml:space="preserve"> One (1) Year Internet Connection Service for the Six (6) Campuses of ISPSC 1. STA. MARIA CAMPUS (Main Campus) Particulars: *** 50 Mbps Dedicated Fiber Internet 2. Tagudin Campus Particulars: *** 30 Mbps Dedicated Fiber Internet 3. Narvacan, Santiago, Cand</t>
  </si>
  <si>
    <t xml:space="preserve"> Republic of the Philippines Province of Ilocos Sur Vigan City INVITATION TO BID FOR  Purchase &amp; Delivery of Medical Equipment for Ilocos Sur Provincial Hospital-Gabriela Silang &amp; Ilocos District Hospitals-Sinait &amp; Magsingal Ilocos Sur 1.	The Provincial Go</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</si>
  <si>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</si>
  <si>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Republic of the Philippines 	CITY OF SAN PEDRO Province of Laguna BIDS AND AWARDS COMMITTEE INVITATION TO APPLY FOR ELIGIBILITY AND TO BID PR NO. 0452 1.	The City Government of San Pedro, Laguna through the 2020 Budget Approved by the Sangguniang Panglung</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</si>
  <si>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</si>
  <si>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1.	The General Mariano Alvarez Water District (GMAWD), through the GMAWD General Fund, intends to apply the sum of FIVE MILLION NINE HUNDRED SIXTY THREE THOUSAND PESOS (Php5,963,000.00)  being the Approved Budget for the Contract (ABC) to payments under t</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</si>
  <si>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</si>
  <si>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Republic of the Philippines  Province of Bukidnon  MUNICIPALITY OF KALILANGAN    Bids and Award Committee (BAC)  INVITATION TO BID FOR  Infra 2020-06-008 The Local Government Unit – Kalilangan, Bukidnon through the BIDS AND AWARDS COMMITTEE (BAC) now invi</t>
  </si>
  <si>
    <t xml:space="preserve"> 1 unit i5 laptop  1 unit multi function laser copier</t>
  </si>
  <si>
    <t xml:space="preserve"> INVITATION TO BID FOR SUPPLY AND DELIVERY OF NINETY (90) CYLINDERS LIQUID GAS CHLORINE (68 KGS/CYLINDER) FOR WATER TREATMENT USE 1.	The METRO KALIBO WATER DISTRICT, through the Corporate Budget for the contract approved by the governing Boards for the yea</t>
  </si>
  <si>
    <t xml:space="preserve"> Republic of the Philippines Province of Bukidnon Municipality of Cabanglasan -o0o- ___________________________________________________________________________ INVITATION TO BID FOR  Purchase of Materials for Construction of Multi-Purpose Building C, Pobla</t>
  </si>
  <si>
    <t xml:space="preserve"> THE BRGY. NBBS DAGAT-DAGATAN THRU BIDS AND AWARDS COMMITTEE, THROUGH THE CY 2020 ANNUAL BUDGET INTENDS TO APPLY THE SUM OF PHP. 512,233.79 BEING THE ABC TO PAYMENTS UNDER THE CONTRACT FOR LABOR &amp; MATERIALS FOR UPGRADING OF ALLEY WITH IMPROVEMENT OF DRAINA</t>
  </si>
  <si>
    <t xml:space="preserve"> Republic of the Philippines Province of Bukidnon Municipality of Cabanglasan -o0o- ___________________________________________________________________________ INVITATION TO BID FOR  Purchase of Materials for Construction of Multi-Purpose Building P Poblac</t>
  </si>
  <si>
    <t xml:space="preserve"> Republic of the Philippines Province of Bukidnon Municipality of Cabanglasan -o0o- ___________________________________________________________________________ INVITATION TO BID FOR  Purchase of Materials for Construction Steel Goal at Pangian, Tagawili, B</t>
  </si>
  <si>
    <t xml:space="preserve"> Please see attached PR for specification</t>
  </si>
  <si>
    <t xml:space="preserve"> I.	Invitation to Apply for Eligibility and to Bid Rebidding for the Repair and Renovation of Second Floor Bonifacio P. Sibayan Hall	 1. The Philippine Normal University, through Fund 101 intends to apply the sum of Ten Million Three Hundred Fifty-One Thou</t>
  </si>
  <si>
    <t xml:space="preserve"> THE BRGY. NBBS DAGAT-DAGATAN THRU BIDS AND AWARDS COMMITTEE, THROUGH THE CY 2020 ANNUAL BUDGET INTENDS TO APPLY THE SUM OF PHP. 1,196,025.57 BEING THE ABC TO PAYMENTS UNDER THE CONTRACT FOR LABOR &amp; MATERIALS FOR UPGRADING OF ALLEY WITH IMPROVEMENT OF DRAI</t>
  </si>
  <si>
    <t xml:space="preserve"> Republic of the Philippines Province of Bukidnon Municipality of Cabanglasan -o0o- ___________________________________________________________________________ INVITATION TO BID FOR  Purchase of Materials for Construction of Multi-Purpose Building Q(Perime</t>
  </si>
  <si>
    <t xml:space="preserve"> Republic of the Philippines Province of Bukidnon Municipality of Cabanglasan -o0o- ___________________________________________________________________________ INVITATION TO BID FOR  Purchase of Materials for Construction of Calacapan Swimming Pool (Additi</t>
  </si>
  <si>
    <t xml:space="preserve"> Materials for printing of Modules for SY 2020-2021</t>
  </si>
  <si>
    <t xml:space="preserve"> CONSTRUCTION OF NATIONAL CHILD DEVELOPMENT CENTER @ POBLACION, SAN ISIDRO, LEYTE. FOR THE DETAILED DESCRIPTION, PLEASE SEE ATTACHED FILE  (TECHNICAL REPORT PAGE1 AND PAGE2)</t>
  </si>
  <si>
    <t xml:space="preserve"> Republic of the Philippines CITY OF SAN PEDRO Province of Laguna BIDS AND AWARDS COMMITTEE INVITATION TO BID The City Government of San Pedro Laguna through the 2020 CDC Budget Approved by Sangguniang Panglungsod intends to apply the sum of Php 1,499,966.</t>
  </si>
  <si>
    <t xml:space="preserve"> INVITATION TO BID FOR Janitorial Supplies  (Name of Project)    1.	The CITY GOVERNMENT OF ZAMBOANGA, through the General Fund intends to apply the sum of ONE MILLION FIFTY THOUSAND SIX HUNDRED NINETY EIGHT PESOS (P1,050,698.00) ONLY being the Approved Bud</t>
  </si>
  <si>
    <t xml:space="preserve"> Republic of the Philippines Province of Iloilo Municipality of Lambunao Office of the Bids &amp; Awards Committee INVITATION TO BID/ REQUEST FOR PRICE QUOTATION Name of Project: Purchase of Ambulance (Hi-Roof) Location: Lambunao, Iloilo ABC: Php 2,200,000.00 </t>
  </si>
  <si>
    <t xml:space="preserve"> Republic of the Philippines Province of Bukidnon Municipality of Cabanglasan -o0o- ___________________________________________________________________________ INVITATION TO BID FOR  Purchase of Materials for Construction of Multi-Purpose Building V (Perim</t>
  </si>
  <si>
    <t xml:space="preserve"> Specifications can be viewed online by clicking the "Associated Components" section on this ITB. The Local Government Unit-Municipality of Malinao, Aklan through the Bids and Awards Committee, intends to apply the sum of One Million Four Hundred  Thousand</t>
  </si>
  <si>
    <t xml:space="preserve"> Republic of the Philippines Province of Bukidnon Municipality of Cabanglasan -o0o- ___________________________________________________________________________ INVITATION TO BID FOR  Purchase of Materials for Construction of Multi-Purpose Building W (Perim</t>
  </si>
  <si>
    <t xml:space="preserve"> INVITATION TO BID FOR THE PROCUREMENT OF TWO (2) YEAR SUBSCRIPTION FOR TWO (2) LOTS OF MOBILE POSTPAID AND PREPAID PLAN FOR PAGCOR OFFICERS AND KEY PERSONNEL under ITB No. PB20-04-034COR The Philippine Amusement and Gaming Corporation (PAGCOR) is inviting</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</si>
  <si>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</si>
  <si>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Republic of the Philippines PROVINCE OF ZAMBOANGA SIBUGAY Municipality of Talusan Barangay Poblacion INVITATION TO BID  (FOR BARANGAY POBLACION) 1.	The Barangay Local Government Unit of Poblacion Talusan Zamboanga Sibugay, through the 20% Development Fund</t>
  </si>
  <si>
    <t xml:space="preserve"> INVITATION TO  BID 17 June 2020 The municipality of Sampaloc through its Bids and Awards Committee (BAC) invites suppliers/manufacturers/distributors/contractors to apply for eligibility to bid for the hereunder project: Name of Project	:	CONSTRUCTION OF </t>
  </si>
  <si>
    <t xml:space="preserve"> Republic of the Philippines  Province of Cebu Municipality of Boljoon INVITATION TO BID FOR the purchase of Construction materials for open canal 1.	The Municipality of Boljoon, through the DRRMF-Special Trust Fund  in the amount of One hundred thousand  </t>
  </si>
  <si>
    <t xml:space="preserve"> THE BRGY. NBBS DAGAT-DAGATAN THRU BIDS AND AWARDS COMMITTEE, THROUGH THE CY 2020 ANNUAL BUDGET INTENDS TO APPLY THE SUM OF PHP. 434,936.57 BEING THE ABC TO PAYMENTS UNDER THE CONTRACT FOR LABOR &amp; MATERIALS FOR UPGRADING OF ALLEY WITH IMPROVEMENT OF DRAINA</t>
  </si>
  <si>
    <t xml:space="preserve"> Republic of the Philippines Province of Bukidnon Municipality of Cabanglasan -o0o- ___________________________________________________________________________ INVITATION TO BID FOR  Purchase of Materials for Pasalubong Center lot 1,2 PB-2020-23 1.	The Loc</t>
  </si>
  <si>
    <t xml:space="preserve"> Completion of Road Concreting at Sitio Ruston, San Antonio Ogbon to La Opinion, Sitio Ruston San Antonio Ogbon, Nabua, Camarines Sur</t>
  </si>
  <si>
    <t xml:space="preserve"> Republic of the Philippines Province of Bukidnon Municipality of Cabanglasan -o0o- ___________________________________________________________________________ INVITATION TO BID FOR  Purchase of Solar Lights at Buso/P11 Poblacion/Jasaan/Salimbobonog Capino</t>
  </si>
  <si>
    <t xml:space="preserve"> INVITATION TO BID FOR Breeding Stocks  (Name of Project)    1.	The CITY GOVERNMENT OF ZAMBOANGA, through the AB FY 2020 intends to apply the sum of ONE MILLION THREE HUNDRED TWENTY THOUSAND PESOS (P1,320,000.00) ONLY being the Approved Budget for the Cont</t>
  </si>
  <si>
    <t xml:space="preserve"> INVITATION TO BID FOR Other Supplies  (Name of Project)    1.	The CITY GOVERNMENT OF ZAMBOANGA, through the Trust Fund intends to apply the sum of ONE MILLION FIVE HUNDRED THOUSAND PESOS (P1,500,000.00) ONLY being the Approved Budget for the Contract (ABC</t>
  </si>
  <si>
    <t xml:space="preserve"> City Government of Manila INVITATION TO BID NO. 2020-06-92 Procurement of 286,000 pcs. Mobile Prepaid SIM Cards  1.	The City Government of Manila, through the SEF Fund CY 2020 –intends to apply the sum of Two Hundred Forty Three Million One Hundred Thousa</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</si>
  <si>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</si>
  <si>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Republic of the Philippines Province of Iloilo Municipality of Lambunao Office of the Bids &amp; Awards Committee INVITATION TO BID/ REQUEST FOR PRICE QUOTATION Name of Project: PUrchase of Materials for the Concreting of Municipal Streets (DELMES Access Road</t>
  </si>
  <si>
    <t xml:space="preserve"> Concreting of Local Road Zone 5, Angustia, Nabua, Camarines Sur</t>
  </si>
  <si>
    <t xml:space="preserve"> Republic of the Philippines PROVINCE OF ZAMBOANGA DEL NORTE Municipality of Sibutad BIDS AND AWARDS COMMITTEE 					                                                                                                                    June 17, 2020 INVITATION</t>
  </si>
  <si>
    <t xml:space="preserve"> Republic of the Philippines PROVINCE OF AKLAN Kalibo -oOo- BIDS AND AWARDS COMMITTEE (BAC) INVITATION TO BID 1.	The Provincial   Government   of   Aklan, through   20% IRA Development Fund CY 2019  intends   to   apply   the   sum   of  Two Million Eight </t>
  </si>
  <si>
    <t xml:space="preserve"> RFQ-GS-20200608-04 Interested Suppliers are invited to submit Price Quotation for the above listed item. The official LANDBANK Request for Quotation Form may be obtained from MR. RUEL MARCA (email address: ruelmarca@yahoo.com) . The deadline for the submi</t>
  </si>
  <si>
    <t xml:space="preserve"> INVITATION TO BID CONSTRUCTION / ESTABLISHMENT OF TOURISM INFORMATION AND PASALUBONG CENTER 1.	The Local Government Unit of Cabadbaran City through the GF – CITY TOURISM PROGRAMS &amp; ACTIVITIES intends to apply the sum of  ONE MILLION ONE HUNDRED FIFTY-NINE</t>
  </si>
  <si>
    <t xml:space="preserve"> INVITATION TO BID FOR THE Procurement of 4,185 kilos of Ginger (Planting Materials) 1.	The Department of Agriculture-Regional Field Office 7, through the GAA 2020  intends to apply the sum of One Million Forty Six Thousand Two Hundred Fifty Pesos (₱ 1,046</t>
  </si>
  <si>
    <t xml:space="preserve"> Name of Project: Drilling of one (1) Deep Well through Percussion Drilling Method, 10" diameter, Depth - 100 meters, with the provision that in the event the desired 100 meters is not reached, bid shall automatically be reduced to accedptable amount appro</t>
  </si>
  <si>
    <t xml:space="preserve"> Concreting of Local Road at Barangay Angustia Going to Brgy. Salvacion Que Gatos, Nabua, Camarines Sur</t>
  </si>
  <si>
    <t xml:space="preserve"> Department of Education Region VI-Western Visayas Cadiz City Alimatoc Elementary School Small Value for Procurement of the Improvement of Gulayan sa Paaralan 1.	The Alimatoc Elementary School, through the School’s MOOE 2020  intends to apply the sum of Fo</t>
  </si>
  <si>
    <t xml:space="preserve"> Republic of the Philippines Province of Nueva Vizcaya BIDS AND AWARDS COMMITTEE (BAC-Goods) BAC OFFICE, Provincial Capitol, Bayombong, Nueva Vizcaya Tel. No. 078-392-2062 	 INVITATION TO BID FOR THE SUPPLY AND DELIVERY OF VEHICLE PARTS (III) FOR   HEAVY E</t>
  </si>
  <si>
    <t xml:space="preserve"> Republic of the Philippines DEPARTMENT OF PUBLIC WORKS AND HIGHWAYS BATANGAS III DISTRICT ENGINEERING OFFICE REGIONAL OFFICE IV-A J. Gonzales St., Barangay 4, Tanauan City INVITATION TO BID (GS-2020-005) The Department of Public Works and Highways (DPWH),</t>
  </si>
  <si>
    <t xml:space="preserve"> INVITATION TO BID FOR  Procurement of Goods [Water Meter and Others] (Rebid) The   City Government of Tagbilaran,   through the Continuing Appropriation, intends to apply the sum of One Million Four Hundred Twenty Eight Thousand Five Hundred Thirty Six Pe</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</si>
  <si>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</si>
  <si>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INVITATION TO BID NO. 2020-CW-06 The       DPWH-QUEZON III DISTRICT ENGINEERING OFFICE, Catanauan, Quezon, through its Bids and Awards Committee (BAC), invites contractors to submit bids for the following Contracts: 1.	Procurement ID/Contract ID: 20DM0068</t>
  </si>
  <si>
    <t xml:space="preserve"> Scaffolding                                           LS              LS Plastering at Existing CHB Wall (Exterior and Interior)                          187.20       sq.m Tile Works, Height = 1.80m (Walling and Flooring)                           80.00  </t>
  </si>
  <si>
    <t xml:space="preserve"> ELECTRICAL WIRING, LIGHTING, MAIN SERVICE</t>
  </si>
  <si>
    <t xml:space="preserve"> ONE (1) UNIT Brand New Electric Generator Set Silent type 100 KVA, 460 volts, 3 phase, 60 hz "Cummins diesel engine", RPM 1,800 class H insulation with complete accessories or its equivalent (Trailer Mounted) Control Panel: Digital control panel with disp</t>
  </si>
  <si>
    <t xml:space="preserve"> Republic of the Philippines DEPARTMENT OF PUBLIC WORKS AND HIGHWAYS Region VII            South Road Properties (SRP), Cebu City                                        Contract ID	 : 20H00062 Contract Name   : Construction/Repair/Rehabilitation/Improvemen</t>
  </si>
  <si>
    <t xml:space="preserve"> PLEASE DOWNLOAD THE ATTACHMENT/S FOR REFERENCE. Important Notes and Conditions: You can submit your quotation ON or BEFORE JUNE 22, 2020 at 09:00 AM with the photocopy of the following legal documents: a. Mayor’s / Business Permit  b. PhilGEPS Registratio</t>
  </si>
  <si>
    <t xml:space="preserve"> Contract ID: 20PF0068 Contract Name: Construction / Rehabilitation of Flood Mitigation Facilities within Major River Basins &amp; Principal Rivers: Construction of Copias Flood Control Brief Description: Flood Control: Construction - Slope Protection using St</t>
  </si>
  <si>
    <t xml:space="preserve"> Item No.	Quantity	Unit of Issue	Item Description B-5-          	2	each	               Project Billboard 405(2)	      5.81	Cu.m.	               Structural Concrete Class “B” 704	             56.79	Sq.m.          	Masonry 804	             34.01	Cu.m.	      </t>
  </si>
  <si>
    <t xml:space="preserve"> Republic of the Philippines                                               Province of Leyte  	                     MUNICIPALITY OF ALBUERA                              OFFICE OF THE MUNICIPAL MAYOR                    OFFICE OF THE BIDS AND AWARDS COMMITTE</t>
  </si>
  <si>
    <t xml:space="preserve"> INVITATION TO BID FOR PROCUREMENT OF EQUIPMENT FOR COE PHYSICS &amp; CHEMISTRY LABORATORY           The CAMARINES SUR POLYTECHNIC COLLEGES, through the GAA (2020) intends to apply the sum of One Million Five Hundred Twenty One Thousand Six Hundred Pesos (₱1,5</t>
  </si>
  <si>
    <t xml:space="preserve"> 1. Electronic Door Lock - 2 unit</t>
  </si>
  <si>
    <t xml:space="preserve"> INVITATION TO BID FOR Procurement of Reference Books &amp; Professional Journals (Lot 1-2) 	          The CAMARINES SUR POLYTECHNIC COLLEGES, through the College Income intends to apply the sum of the following listed below being the Approved Budget for the C</t>
  </si>
  <si>
    <t xml:space="preserve"> 1.	The Local Government Unit of  Tuao, Cagayan  through General Fund (Capital Outlay) 2020  intends to  apply the sum of  Php 399,000.00   being the Approved Budget for the Contract (ABC) to payments under  the contract for ACQUISITION OF 6 UNITS MOTORCYC</t>
  </si>
  <si>
    <t xml:space="preserve"> Department of Education Region VI-Western Visayas Cadiz City Alimatoc Elementary School Small Value Procurement of the Repair of 2 Span Perimeter Fence 1.	The Alimatoc Elementary School, through the School’s MOOE 2020  intends to apply the sum of Twenty T</t>
  </si>
  <si>
    <t xml:space="preserve"> Contract ID:	20GFH0011 Contract Name:	SUPPLY AND DELIVERY OF OFFICE EQUIPMENT FOR USE IN THE DPWH-DEO CATANDUANES, VIRAC, CATANDUANES (PR#20-06-025 DATED 6/8/2020) Contract Location:	VIRAC, CATANDUANES Scope of Work:	SUPPLY AND DELIVERY OF OFFICE EQUIPMEN</t>
  </si>
  <si>
    <t xml:space="preserve"> 1.	The Local Government Unit of Tuao, Cagayan  through General Fund (Capital Outlay) 2020  intends to  apply the sum of  Php 540,000.00   being the Approved Budget for the Contract (ABC) to payments under  the contract for PURCHASE AND DELIVERY OF 2 UNITS</t>
  </si>
  <si>
    <t xml:space="preserve"> (IB NO. 2020DJG-001) The PhilHealth Regional Office VI, through the COB of CY 2020 intends to apply the sum of Two Million Seven Hundred Sixty Eight Thousand Seven Hundred Two Pesos and 15/100 only  (Php 2,768,702.15), being the Approved Budget for the Co</t>
  </si>
  <si>
    <t xml:space="preserve"> Republic of the Philippines DEPARTMENT OF PUBLIC WORKS AND HIGHWAYS Region VII            South Road Properties (SRP), Cebu City                                        Contract ID	 : 20H00067 Contract Name   : Construction/Repair/Rehabilitation/Improvemen</t>
  </si>
  <si>
    <t xml:space="preserve"> SUPPLY AND INSTALLATION OF DOORS AND WINDOWS PROJECT BILLBOARD</t>
  </si>
  <si>
    <t xml:space="preserve"> Republic of the Philippines DEPARTMENT OF PUBLIC WORKS AND HIGHWAYS Region VII            South Road Properties (SRP), Cebu City                                        Contract ID	 : 20H00063 Contract Name   : Construction/Repair/Rehabilitation/Improvemen</t>
  </si>
  <si>
    <t xml:space="preserve"> Bid-Opening-July 7,2020 at 2:00 p.m. at Municipal Conference Room</t>
  </si>
  <si>
    <t xml:space="preserve"> Construction of Multi-Purpose Hall is funded thru Trust Fund. Please be guided by the following schedule: 1. Submission of Letter of Intent - June 25-26, 2020 2. Eligibility Screening - June 29, 2020 3. Issuance and Availability of Bidding Documents - Jun</t>
  </si>
  <si>
    <t xml:space="preserve"> 1	63	Cu. M.	Gravel for filling 2	480	bag	Portland Cement 3	30	Cu. M.	Gravel G#3/4 4	31	Cu. M.	Sand 5	2480	pcs	4” thick concrete hollow blocks 6	190	pcs	10mm diameter by 6.0m Rebars 7	137	pcs	12mm diameter by 6.0m Rebars 8	48	pcs	16mm diameter by 6.0m Reba</t>
  </si>
  <si>
    <t xml:space="preserve"> PLEASE SEE ATTACHED PR, TOR AND BID DOCUMENTS FOR DETAILS</t>
  </si>
  <si>
    <t xml:space="preserve"> Republic of the Philippines DEPARTMENT OF PUBLIC WORKS AND HIGHWAYS Region VII            South Road Properties (SRP), Cebu City                                        Contract ID	 : 20H00065 Contract Name   : Construction/Repair/Rehabilitation/Improvemen</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</si>
  <si>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</si>
  <si>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Contract ID	No. 	      	: 20AD0096 Contract Name	      	: Construction (Completion) of Candon City Hospital    (Satellite ITRMC) Buildings  Contract Location	      	: Candon City, Ilocos Sur	       Brief Description	      	: Construction of Multi-Purpose </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</si>
  <si>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</si>
  <si>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Department of Education Region VI-Western Visayas Division of Cadiz City Alimatoc Elementary School SMALL VALUE PROCUREMENT FOR THE GRADUATION YEAR 2020 1.	The Alimatoc Elementary School of Cadiz City, through the Schools MOOE Fund CY 2019  intends to app</t>
  </si>
  <si>
    <t xml:space="preserve"> Republic of the Philippines DEPARTMENT OF PUBLIC WORKS AND HIGHWAYS Region VII            South Road Properties (SRP), Cebu City                                        Contract ID	 : 20H00066 Contract Name   : Construction/Repair/Rehabilitation/Improvemen</t>
  </si>
  <si>
    <t xml:space="preserve"> PHO-2020-038 PR2020-0150 INVITATION TO BID FOR THE PROCUREMENT OF BASIC LIFE SUPPORT AMBULANCE FOR THE USE IN CONG. SIMEON G. TORIBIO MEMORIAL HOSPITAL, CARMEN, BOHOL ABC: P 2,500,000.00 COST OF BID DOCUMENTS: P 5,000.00 ADVERTISEMENT PERIOD: JUNE 17 - JU</t>
  </si>
  <si>
    <t xml:space="preserve"> Description of works to be done	Quantity	Unit 	CIVIL, MECHANICAL, ELECTRICAL AND SANITARY/PLUMBING WORKS		 	PART A – OTHER GENERAL REQUIREMENTS		 A.1.1(1)	Construction of Combined Field Office. Laboratory and Living Quarters Building for the Engineer	All	</t>
  </si>
  <si>
    <t xml:space="preserve"> INVITATION TO BID (INFRA) The Municipality of Sibonga through the General Fund intends to apply the sum of Twenty-five million three hundred fifty-six thousand seven hundred forty-nine &amp; 79/100 pesos only (25,356,749.74) being the Approved Budget for the </t>
  </si>
  <si>
    <t xml:space="preserve"> concrete pavement 455 m x 4 m x .10 m</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</si>
  <si>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</si>
  <si>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</si>
  <si>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</si>
  <si>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Republic of the Philippines          City of Dumaguete Bids and Awards Committee INVITATION TO BID FOR THE JOB ORDER: EQUIPMENT RENTAL 	The City of Dumaguete thru its BIDS AND AWARDS COMMITTEE (BAC), invites all interested manufacturers, suppliers, dealer</t>
  </si>
  <si>
    <t xml:space="preserve"> INVITATION TO BID The Philippine Children’s Medical Center, through GAA/HFEP (DOH) CY 2019 intends to apply the sum of Seventeen Million One Hundred Twenty One Thousand Three Hundred Pesos (Php 17,121,300.00) being the Approved Budget for the Contract (AB</t>
  </si>
  <si>
    <t xml:space="preserve"> The Local Government Unit – Quinapondan, Eastern Samar, through its Bids &amp; Awards Committee (BAC ), intends to apply the sum of Three Hundred Sixty Eight Thousand Three Hundred Sixty Pesos and 88/100 (Php368,360.88) under the approved Appropriation Ordina</t>
  </si>
  <si>
    <t xml:space="preserve"> PLS. SEE ATTACHED PURCHASE REQUISITION, TERMS OF REFERENCE &amp; BID DOCUMENTS FOR DETAILS</t>
  </si>
  <si>
    <t xml:space="preserve"> Republic of the Philippines DEPARTMENT OF PUBLIC WORKS AND HIGHWAYS REGIONAL OFFICE II Tuguegarao City, Cagayan INVITATION TO BID 1.	The Department of Public Works and Highways – Regional Office No. 02,, through the DPWH FY 2020 GAA intends to apply the A</t>
  </si>
  <si>
    <t xml:space="preserve"> PLS. SEE ATTACHED PURCHASE REQUISITION, TERMS OF REFERENCE, &amp; BID DOCUMENTS FOR DETAILS</t>
  </si>
  <si>
    <t xml:space="preserve"> Republic of the Philippines Province of Iloilo Municipality of Lambunao Office of the Bids &amp; Awards Committee INVITATION TO BID/ REQUEST FOR PRICE QUOTATION Name of Project: Purchase of Clinical Equipment for the use of Lambunao MHO-Laboratory Location: L</t>
  </si>
  <si>
    <t xml:space="preserve"> INVITATION TO BID FOR DRILLING OF ONE (1) EXPLORATORY/PRODUCTION WELL AT BRGY. RAFAELA BARRERA (PROVISION OF WATER SUPPLY TO NHA PERMANENT RESETTLEMENT SITES HOUSING PROGRAM IN YOLANDA AFFECTED AREAS) FOR SAGAY WATER DISTRICT 1. The SAGAY WATER DISTRICT (</t>
  </si>
  <si>
    <t xml:space="preserve"> concrete pavement 667 m x 4 m x .10 m</t>
  </si>
  <si>
    <t xml:space="preserve"> A. FURNITURE AND FIXTURES 1. 35 units Customized Tables Shape: Trapezoid Size: Height - 29" Main Base - 29" Sec. Base - 24" Sides - 20" Materials: Hardwood and wood laminates with one open pull out layer under Wheels: Roller caster 2. 35 units Chairs Stak</t>
  </si>
  <si>
    <t xml:space="preserve"> concrete pavement 758 m x 4 m x .10 m</t>
  </si>
  <si>
    <t xml:space="preserve"> Republic of the Philippines  Province of Cebu Municipality of Boljoon INVITATION TO BID FOR the purchase of T-Shirts 1.	The Municipality of Boljoon, through the 4040-SPA-Dengue Program, BHW &amp; BNS and Support to Nutrition Activities  in the amount of One h</t>
  </si>
  <si>
    <t xml:space="preserve"> Contract ID: 20PL0118 Contract Name: Improvement of Roadside Structures and Shoulder along Mt. Province-Boundary-Calanan-Pinukpuk-Abbut Road (Cagaluan-Calanan Section) Contract Location: K0483+790-K0483+870, Tabuk City, Kalinga Brief Description: Construc</t>
  </si>
  <si>
    <t xml:space="preserve"> 455 m x 4 m x .10 m</t>
  </si>
  <si>
    <t xml:space="preserve"> The Local Government Unit – Quinapondan, Eastern Samar, through its Bids &amp; Awards Committee (BAC ), intends to apply the sum of Two Hundred Sixteen Thousand Seven Hundred Fifty Six pesos (216,756.00) under the approved Annual Budget Appropriation Ordinanc</t>
  </si>
  <si>
    <t xml:space="preserve"> CENTRAL OFFICE BIDS AND AWARDS COMMITTEE (COBAC) INVITATION TO BID PROCUREMENT OF DATABASE SERVER COBAC IB NO. 002 (G) S. 2020  1.	The Department of the Interior and Local Government (DILG), through the General Appropriations Act FY 2020, intends to apply</t>
  </si>
  <si>
    <t xml:space="preserve"> Nylon # 2 (30meters)- 12 roll CWN # 3 - 36 kgs CWN # 4 - 42 kgs Portland Cement - 1764 bags</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</si>
  <si>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</si>
  <si>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1.	The Local Government Unit of Las Nieves, through the Budget for the Contract approved by the Sanggunian (20% DF) intends to apply the sum of one million and five hundred thousand pesos only (Php 1,500,000.00), being the Approved Budget for the Contract</t>
  </si>
  <si>
    <t xml:space="preserve"> 1 unit Tractor Brandnew with complete accessories/with warranty 75Hp 3 Cyl.Turbocharged,  Power steering ,Rotary Inj. Pump,12.4x 24 front tire; 18.4x 30 rear tire  Accessories: 1 unit universal Heavy Duty Disc Plow  1 unit universal Hydraulic disc plow 1 </t>
  </si>
  <si>
    <t xml:space="preserve"> ITEM.	QTY	UNIT OF	DESCRIPTION NO.		ISSUE	 			 1	48	units	Printer 2	997	reams	Bond Paper A4  3	56	set	Ink(black,cyan,magenta,yellow)</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</si>
  <si>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</si>
  <si>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INVITATION TO BID PROCUREMENT OF NFA - REGION I 2020 PESTICIDES REQUIREMENT  (LEFT-OUT LOTS) (REBIDDING) Project Reference No.: NFA-RO1-RBAC-2020-06-016 1.	The NATIONAL FOOD AUTHORITY (NFA) Regional Office 1 intends to apply the sum of PESOS: ONE MILLION </t>
  </si>
  <si>
    <t xml:space="preserve"> Republic of the Philippines DEPARTMENT OF PUBLIC WORKS AND HIGHWAYS LAGUNA II DISTRICT ENGINEERING OFFICE REGIONAL OFFICE IV-A Brgy. Bambang, Los Baños, Laguna Invitation to Bid No. 2020 - 10 The Department of Public Works and Highways- Laguna II District</t>
  </si>
  <si>
    <t xml:space="preserve"> Republic of the Philippines                                       Province of Leyte                        MUNICIPALITY OF ALBUERA                     OFFICE OF THE MUNICIPAL MAYOR OFFICE OF THE BIDS AND AWARDS COMMITTEE INVITATION TO BID 	The Local Gover</t>
  </si>
  <si>
    <t xml:space="preserve"> PLS. SEE ATTACHED PURCHASE REQUISITION,TERMS OF REFERENCE &amp; BID DOCUMENTS FOR DETAILS</t>
  </si>
  <si>
    <t xml:space="preserve"> Department of Education Region VI-Western Visayas Division of Cadiz City Alimatoc Elementary School SMALL VALUE PROCUREMENT FOR CATERING SERVICES OF ALIMATOC ELEMENTARY SCHOOL FOR  2020 1.	The Alimatoc Elementary School of Cadiz City, through the Schools </t>
  </si>
  <si>
    <t xml:space="preserve"> Republic of the Philippines Province of Leyte Municipality of Palompon oOo BIDS &amp; AWARD COMMITTEE Invitation to Bid for  REHABILITATION/IMPROVEMENT OF VARIOUS BARANGAY ROAD (SAN ROQUE-CATIGAHAN-HINAGBUAN) 2020-0707-013 Project Identification No. 1.	The Lo</t>
  </si>
  <si>
    <t xml:space="preserve"> ITEM No.	Description	 Quantity 	Unit 	ROAD COMPONENTS		 	PART A- EARTHWORK		 100(3)a1	Individual Removal of Trees (150-300mm dia.)- Small	 58.00 	each 102(2)	Surplus Common Excavation	 660.00 	cu.m. 102(3)a	Surplus Rock excavation	 615.00 	cu.m. 104(2)a	E</t>
  </si>
  <si>
    <t xml:space="preserve"> PLS. SEE ATTACHED PURCHASE REQUISITION , TERMS OF REFERENCE &amp; BID DOCUMENTS FOR DETAILS</t>
  </si>
  <si>
    <t xml:space="preserve"> PLS. SEE ATTACHED PURCHASE REQUISITION, TERMS OF REFERENCE, &amp; BID DOCS FOR DETAILS</t>
  </si>
  <si>
    <t xml:space="preserve"> Department of Education Region VI-Western Visayas Division of Cadiz City Alimatoc Elementary School SMALL VALUE FOR PROCURING FOR COMMUNICATION LOAD ALIMATOC ELEMENTARY SCHOOL FOR 2020 1.	The Alimatoc Elementary School of Cadiz City, through the Schools M</t>
  </si>
  <si>
    <t xml:space="preserve"> PLS. SEE ATTACHED PR, TOR, &amp; BID DOCS FOR DETAILS</t>
  </si>
  <si>
    <t xml:space="preserve"> Contract ID: 20PL0120 Contract Name: Repair of Cross Drainage Inlet and Canal Lining along Mt. Province-Boundary-Calanan-Pinukpuk-Abbut Road (Cagaluan-Calanan Section) Contract Location: K0485+710-K0485+780, Tabuk City, Kalinga Brief Description: Construc</t>
  </si>
  <si>
    <t xml:space="preserve"> Republic of the Philippines                   Department of Health	       CENTRAL OFFICE BIDS AND AWARDS COMMITTEE  INVITATION TO BID FOR THE  PROCUREMENT OF AUDIO VISUAL PRODUCTION SET-UP BUNDLE IB NO. 2020-217 1.	The Department of Health (DOH), through </t>
  </si>
  <si>
    <t xml:space="preserve"> Republic of the Philippines BOHOL ISLAND STATE UNIVERSITY Main Campus, Tagbilaran City INVITATION TO BID FOR PR NO. 2020-02-0277-MAIN-SUPPLY AND DELIVERY OF STEEL FILING CABINETS FOR  THE DIFFERENT OFFICES 1.	The Bohol Island State University – Main Campu</t>
  </si>
  <si>
    <t xml:space="preserve"> Republic of the Philippines BOHOL ISLAND STATE UNIVERSITY Main Campus, Tagbilaran City INVITATION TO BID FOR PR NO. 2020-02-0182-MAIN-SUPPLY AND DELIVERY OF STENOGRAPH MACHINE FOR STENOGRAPH LABORATORY OF CBAS 1.	The Bohol Island State University – Main C</t>
  </si>
  <si>
    <t xml:space="preserve"> ITEM No.	Description	 Quantity 	Unit 	ROAD COMPONENTS		 	PART A- EARTHWORK		 100(3)a1	Individual Removal of Trees (150-300mm dia.)- Small	 159.00 	each 102(2)	Surplus Common Excavation	 1,320.00 	cu.m. 102(3)a	Surplus Rock excavation	 854.00 	cu.m. 104(2)</t>
  </si>
  <si>
    <t xml:space="preserve"> Republic of the Philippines BOHOL ISLAND STATE UNIVERSITY Main Campus, Tagbilaran City INVITATION TO BID FOR PR NO. 2020-06-0561-MAIN-SUPPLY AND DELIVERY OF INKS AND TONERS FOR EXISTING PRINTERS OF THE DIFFERENT BISU OFFICES 1.	The Bohol Island State Univ</t>
  </si>
  <si>
    <t xml:space="preserve"> PLS. SEE ATTACHED PURCHASE REQUISITION, TERMS OF REFERENCE&amp; BID DOCUMENTS FOR DETAILS.</t>
  </si>
  <si>
    <t xml:space="preserve"> I	1.00	UNIT	ONE UNIT BRAND NEW RESCUE AMBULANCE FULLY EQUIPPED 							 			BIG VAN							 			MINIMUM REQUIREMENTS							 			engine displacement: 2,755cc							 			engine type: 4 cylinders, In-line Type; 16 valve DOHC							 			6-speed manual diesel							 </t>
  </si>
  <si>
    <t xml:space="preserve"> Plumbing Materials</t>
  </si>
  <si>
    <t xml:space="preserve"> I	10.00	UNIT	LAPTOP			 			Specifications			 			Raizen 5			 			4GB RAM			 			Quad Core, 2.1 ghz			 			1 TB Hardrive			 			128SSD			 			14" Monitor			 			Wifi &amp; Bluetooth Ready			 			with Camera			 			Windows 10</t>
  </si>
  <si>
    <t xml:space="preserve"> Contract ID: 20PL0121 Contract Name: Rehabilitation of National road, K0534+056 - K0534+106 (Babalag-Kinama-San Francisco Section), Rizal, Kalinga Contract Location: Rizal Kalinga Brief Description: Road Maintenance Approved Budget for the Contract (ABC):</t>
  </si>
  <si>
    <t xml:space="preserve"> I. Lay-out/Staking - 1.00 lot II. Excavation / Back fill - 75.60 cu.m III. Steel Reinforcement - 10,937.63 kgs. IV. Concrete Pouring - 154.07 cu.m V. G.I Pipe Structure Frames - 1.00 lot VI. Roofing Works - 777.23 sq.m VII. Electrical Works - 76.00 In.m V</t>
  </si>
  <si>
    <t xml:space="preserve"> Republic of the Philippines D E P A R T M E N T  O F  H E A L T H PHILIPPINE CHILDREN’ S MEDICAL CENTER Quezon Avenue, Quezon City             588-9900 loc 361/355  Website: www.pcmc.gov.ph email: bac@pcmc.gov.ph INVITATION TO BID The Philippine Children’</t>
  </si>
  <si>
    <t xml:space="preserve"> Contract ID: 20PL0119 Contract Name: Improvement of Shoulder Structure and Repair of Cross Drainage along Mt. Province-Boundary-Calanan-Pinukpuk-Abbut Road (Cagaluan-Calanan Section) Contract Location: K0484+550-K0485+590, Tabuk City, Kalinga Brief Descri</t>
  </si>
  <si>
    <t xml:space="preserve"> PLS. SEE ATTACHED PURCHASE REQUISITION, TERMS OF REFERENCE, BID DOCUMENTS FOR DETAILS</t>
  </si>
  <si>
    <t xml:space="preserve"> 940 m x 4 m x .10 m</t>
  </si>
  <si>
    <t xml:space="preserve"> Please see BAC Chairman &amp; attached document.</t>
  </si>
  <si>
    <t xml:space="preserve"> Please see attached file. Thanks!</t>
  </si>
  <si>
    <t xml:space="preserve"> concrete pavement 1 km LM</t>
  </si>
  <si>
    <t xml:space="preserve"> Item No. 	Item Description					QTY.	Unit	Unit Price	Total Price 1	Communicaiton Equipment					11	units</t>
  </si>
  <si>
    <t xml:space="preserve"> Republic of the Philippines          City of Dumaguete Bids and Awards Committee INVITATION TO BID FOR THE JOB ORDER: SUPPLY AND PLANTING OF BERMUDA GRASS, ETC. 	The City of Dumaguete thru its BIDS AND AWARDS COMMITTEE (BAC), invites all interested manufa</t>
  </si>
  <si>
    <t xml:space="preserve"> Development of additional existing water system at New Poblacion and Bilis by tapping water from Ribsuan River</t>
  </si>
  <si>
    <t xml:space="preserve"> Republic of the Philippines Province of Cotabato Municipality of Aleosan Invitation to Bid  SUPPLY AND DELIVERY OF DEVICES AND EQUIPMENTS FOR MUNICIPAL BIRTHING HOME, ALEOSAN, COTABATO                                                                       </t>
  </si>
  <si>
    <t xml:space="preserve"> Republic of the Philippines Province of Batangas CITY OF TANAUAN INVITATION TO BID Description 1)	The City Government of Tanauan, through the    General Fund intends to apply the sum of PHP  10,034,000.00 per month for (5 Months)   being the Approved Budg</t>
  </si>
  <si>
    <t xml:space="preserve"> Republic of the Philippines Department of Public Works and Highways SULTAN KUDARAT 1st DISTRICT ENGINEERING OFFICE REGIONAL OFFICE  Isulan, Sultan Kudarat REQUEST FOR EXPRESSION OF INTEREST (REOI) Contract I.D No.	: 20CF0002 Contract Name	Geotechnical Sur</t>
  </si>
  <si>
    <t xml:space="preserve"> Republic of the Philippines Province of Nueva Vizcaya BIDS AND AWARDS COMMITTEE (BAC-GOODS) BAC OFFICE, Provincial Capitol, Bayombong, Nueva Vizcaya Tel. No. (078) 392-2650 	 2ND INVITATION TO BID FOR THE SUPPLY AND DELIVERY OF HOSPITAL EQUIPMENT FOR THE </t>
  </si>
  <si>
    <t xml:space="preserve"> (see bidding document in the associated component for further project details)</t>
  </si>
  <si>
    <t xml:space="preserve"> Please see attached File Thank you</t>
  </si>
  <si>
    <t xml:space="preserve"> National Power Corporation INVITATION TO BID PUBLIC BIDDING 2020-0128 1.	The NATIONAL POWER CORPORATION (NPC), through       its        approved       Corporate Budget of CY 2020 intends to apply   the   sum   of (Please see schedule below) being the Appr</t>
  </si>
  <si>
    <t xml:space="preserve"> 3 Storey Multipurpose Building with Function Hall</t>
  </si>
  <si>
    <t xml:space="preserve"> CENTRAL OFFICE BIDS AND AWARDS COMMITTEE (COBAC) Invitation to Bid PROCUREMENT OF VARIOUS VACCINES COBAC IB NO. 003 (G) S. 2020 The Department of the Interior and Local Government (DILG), through the General Appropriations Act FY 2020 intends to apply the</t>
  </si>
  <si>
    <t xml:space="preserve"> Department of Education Region VI-Western Visayas Division of Cadiz City Alimatoc Elementay School SMALL VALUE PROCUREMENT FOR THE PROVISION OF FREE SCHOOL SUPPLIES FOR 2020 1.	The Alimatoc Elementay School of Cadiz City, through the Schools MOOE Fund CY </t>
  </si>
  <si>
    <t xml:space="preserve"> CY 2020 Basic Educational Facilities Fund (BEFF) - Construction of 4 Storey, 8 Classrooms, San Vicente Elementary School, Camp 8, San Vicente, Baguio City Contract Location :	Baguio City Approved Budget for the Contract :	Php23,441,250.00 Scope of  work  </t>
  </si>
  <si>
    <t xml:space="preserve"> INVITATION TO BID The National Irrigation Administration through CY 2020 Projects intends to apply the sum of Four Million One Hundred Fifty Five Thousand Five Hundred Thirty Three Pesos and 38/100 Centavos Only  (P4,155,533.38) being the total Approved B</t>
  </si>
  <si>
    <t xml:space="preserve"> Republic of the Philippines DEPARTMENT OF PUBLIC WORKS AND HIGHWAYS Region VII            South Road Properties (SRP), Cebu City                                        Contract ID	 : 20H00064 Contract Name   : Construction/Repair/Rehabilitation/Improvemen</t>
  </si>
  <si>
    <t xml:space="preserve"> I N V I T A T I O N   T O   B I D 2020 - 109 June 17, 2020 1.	The Provincial Government of Tarlac through the PGO - Capital Outlay - ICT Equipment; PGO - Other MOE intends to apply the sum of Three Million Thirty-Seven Thousand Three Hundred Eighty-Six Pe</t>
  </si>
  <si>
    <t xml:space="preserve"> PARTICULAR		"APPROVED BUDGET FOR THE CONTRACT (ABC)  PH"	SOURCE OF FUND FOR 2020 NO.	ITEM DESCRIPTION		 1	Data Storage	 750,000.00 	GAA 2	Desktop Computer	 2,125,000.00 	 3	Notebook Computer	 1,600,000.00 	 4	Microsoft Office Pro 2019 	 500,000.00 	 5	Des</t>
  </si>
  <si>
    <t xml:space="preserve"> I N V I T A T I O N   T O   B I D 2020 - 108 June 17, 2020 1.	The Provincial Government of Tarlac through the Trust Fund intends to apply the sum of Three Million Six Hundred Fifty-Three Thousand Seven Hundred Fifty-Six Pesos Only (PhP 3,653,756.00) being</t>
  </si>
  <si>
    <t xml:space="preserve"> INVITATION TO BID The Iligan City Government Bids and Awards Committee (BAC), through General Fund 2020, intends to apply the sum of P 1,499,425.00 being the Approved Budget for the Contract (ABC) to payments under the Contract for Procurement of Medical </t>
  </si>
  <si>
    <t xml:space="preserve"> DP 160 - 3a, 50.0 LPS @ 84. mts, 6" dia NPT, SS316 submersible pump, coupled to 75.0 Hp, 460V, phase, 3 wires, 6" dia submersible motor 3C - 50mm2/#1.0 AWG submersible wire VFD motor controller Please see attached bidding documents for the details of the </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</si>
  <si>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</si>
  <si>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I N V I T A T I O N   T O   B I D 2020 - 107 June 17, 2020 1.	The Provincial Government of Tarlac, intends to apply the sum tabulated herein being the Approved Budget for the Contract (ABC) to payments under the contract of Procurement of Drugs and Medici</t>
  </si>
  <si>
    <t xml:space="preserve"> I N V I T A T I O N   T O   B I D 2020 - 106 June 17, 2020 1.	The Provincial Government of Tarlac through the Trust Fund intends to apply the sum of Four Million Two Hundred Fifty-Two Thousand Four Hundred Six Pesos Only (PhP 4,252,406.00) being the Appro</t>
  </si>
  <si>
    <t xml:space="preserve"> CONTRACT ID: 19GL00111; P.R. No. 2020-06-061 DATED 06/04/2020 CONTRACT LOCATION: EQUIPMENT MANAGEMENT DIVISION, DPWH R.O. XI, PANACAN, DAVAO CITY CONTRACT DESCRIPTION: PROCUREMENT OF VARIOUS TIRES, FOR USE IN THE CORRECTIVE &amp; PREVENTIVE MAINTENANCE OF VAR</t>
  </si>
  <si>
    <t xml:space="preserve"> INVITATION TO BID FOR Upgrading of BiPSU Electrical System (Main Campus &amp; Biliran Campus) 1.	The BILIRAN PROVINCE STATE UNIVERSITY (BiPSU), through the General Appropriations Act (GAA) 2020 intends to apply the sum of Nine Million Six Hundred Sixty Thousa</t>
  </si>
  <si>
    <t xml:space="preserve"> See attached Terms of Reference</t>
  </si>
  <si>
    <t xml:space="preserve"> Invitation to bid SUPPLY AND DELIVERY OF IT EQUIPMENT: LARGE FORMAT SCANNER ITB No. R4B-20-06-07 1.	The NIA MIMAROPA Regional Office, through the General Appropriations Act of 2018 intends to apply the sum of ONE MILLION TWO HUNDRED THIRTY FIVE THOUSAND &amp;</t>
  </si>
  <si>
    <t xml:space="preserve"> I N V I T A T I O N   T O   B I D 2020 - 111 June 17, 2020 1.	The Provincial Government of Tarlac through the Non Office - Repair and Maintenance - Infrastructure Projects intends to apply the sum of Five Million Two Hundred Ninety-Seven Thousand Pesos On</t>
  </si>
  <si>
    <t xml:space="preserve"> 125 KVA, 460, 3 phase, generator set, water colled, turbo diesel engine, open- type skid base mounted Please see attached bidding documents for the details of the project to be bid.</t>
  </si>
  <si>
    <t xml:space="preserve"> Contract ID No. 20OH0152 Contract Name :  Local Program - Local   Infrastructure  Program - Buildings  and  other  Structures - Multi-Purpose/Facilities-Construction/Rehabilitation of Various Multi-purpose Building, Baseco Port Area, Manila Contract Locat</t>
  </si>
  <si>
    <t xml:space="preserve"> 10,000 Food Packs 	*3 kilograms rice (good quality) 	*3 cans sardines (155g) 	*1/2 kilogram pancit (pre-packed) 	*2 cans corned-beef (175g)</t>
  </si>
  <si>
    <t xml:space="preserve"> Description   The MINISTRY OF SOCIAL SERVICES AND DEVELOPMENT BARMM, intends to apply the sum of FOURTEEN MILLION AND THREE HUNDRED EIGHTY THOUSAND (P14,380,000.00) / PB-2020-001-1 being the Approved Budget for the Contract (ABC) to payments under the con</t>
  </si>
  <si>
    <t xml:space="preserve"> I N V I T A T I O N   T O   B I D 2020 - 112 June 17, 2020 1.	The Provincial Government of Tarlac through the Non Office - Repair and Maintenance - Infrastructure Projects intends to apply the sum of One Million Six Hundred Seventy-Seven Thousand Five Hun</t>
  </si>
  <si>
    <t xml:space="preserve"> INVITATION TO BID                                                                   ITB NO. 20-08 	The Lung Center of the Philippines (LCP), through its Bids and Awards Committee (BAC), invites eligible bidders to bid for the : “PROCUREMENT OF VARIOUS MED</t>
  </si>
  <si>
    <t xml:space="preserve"> ITEM NO.	UNIT		QTY		DESCRIPTION		 							 1	 l.m 		 248.00 		Layout &amp; Staking		 2	 cu.m 		 954.78 		 Earth Works 		 3	 cu.m 		 99.80 		 Reinforcing Concrete 		 4	 lot 		 1.00 		 Reinforcing Steel 		 5	 sq.m 		 1,612.47 		 Masonry Works 		 6	 l.m 		 248.00</t>
  </si>
  <si>
    <t xml:space="preserve"> ITEM NO.	UNIT		QTY		DESCRIPTION		 							 1	 ltrs 		45010		Diesel 		 2	 gals 		152		 Oil #10 		 3	 gals 		75		 Oil #40 		 INVITATION TO BID The Municipality of Sablayan through its Bids and Awards Committee (BAC) invites all interested contractors to appl</t>
  </si>
  <si>
    <t xml:space="preserve"> ITEM NO.	UNIT		QTY		DESCRIPTION		 							 1	 unit 		22		Siren		 					 Specs: 		 					 Requires: 220V AC power source 		 					 Specifications of JDW188 Electric Mechanical  		 					 Omnidirectional Warning Alarm Siren 		 					 SKU: 371948935_PH-843166671 	</t>
  </si>
  <si>
    <t xml:space="preserve"> I N V I T A T I O N   T O   B I D 2020 - 110 June 17, 2020 1.	The Provincial Government of Tarlac through the Trust Fund intends to apply the sum of One Million One Hundred Eighty-Six Thousand Eight Pesos and 12/100 (PhP 1,186,008.12) being the Approved B</t>
  </si>
  <si>
    <t xml:space="preserve"> I N V I T A T I O N   T O   B I D 2020 - 105 June 17, 2020 1.	The Provincial Government of Tarlac through the Trust Fund intends to apply the sum of Seventeen Million Six Hundred Thirty-Eight Thousand One Hundred Sixty-Four Pesos and 50/100 (Php 17,638,16</t>
  </si>
  <si>
    <t xml:space="preserve"> ITEM NO.	UNIT		QTY		DESCRIPTION		 							 1	 serve 		500		Snacks set A (sandwich and water)		 2	 serve 		500		 Snacks set B (sandwich, noodles and water) 		 3	 serve 		350		 Meals set A (rice, meat and water) 		 4	 serve 		500		 Meals set B (meat,veg. fru</t>
  </si>
  <si>
    <t xml:space="preserve"> I N V I T A T I O N   T O   B I D 2020 - 117 June 17, 2020 1.	The Provincial Government of Tarlac through the SEF - Special Programs (Essential Health Care Program and Kits for Kids) intends to apply the sum of Two Million Seven Hundred Thousand Pesos Onl</t>
  </si>
  <si>
    <t xml:space="preserve"> Consulting Services for Cabacanan Small Reservoir Irrigation Project-Detailed Engineering</t>
  </si>
  <si>
    <t xml:space="preserve"> ALBAY 3RD DISTRICT ENGINEERING OFFICE																											 Paulog, Ligao City																											 																											 INVITATION TO BID																											 																											 The Department of Public Works and Highways</t>
  </si>
  <si>
    <t xml:space="preserve"> Republic of the Philippines Province of Nueva Vizcaya BIDS AND AWARDS COMMITTEE (BAC-Goods) BAC OFFICE, Provincial Capitol, Bayombong, Nueva Vizcaya Tel. No. 078-392-2062 	 INVITATION TO BID FOR THE SUPPLY &amp; DELIVERY OF DESKTOP COMPUTERS, LAPTOP, NETWORK </t>
  </si>
  <si>
    <t xml:space="preserve"> DP 160 - 3a, 50.0 LPS @ 67.6 mts, 6" dia NPT, SS316 submersible pump, coupled to 75.0 Hp, 460V, phase, 3 wires, 6" dia submersible motor 82-A3 splicing kit 3C - 50mm2/#1.0 AWG submersible wire VFD motor controller Please see attached bidding documents for</t>
  </si>
  <si>
    <t xml:space="preserve"> I N V I T A T I O N   T O   B I D 2020 - 115 June 17, 2020 1.	The Provincial Government of Tarlac through the Non Office - Office Supplies Expenses intends to apply the sum of Four Million Four Hundred Eighty-Two Thousand One Hundred Eighty-Three Pesos On</t>
  </si>
  <si>
    <t xml:space="preserve"> The Ipil NHS wants to hire 2 Agency Security Guards with an ABC of 240,000.00 in a year.</t>
  </si>
  <si>
    <t xml:space="preserve"> This project is own and govern by Barangay Bogo Calabat, Josefina, Zamboanga del Sur which they implement this rehab road from Duntolan to Barangay Nopulan and Purok 5 Crossing Boundary to Barangay Pitianan Misamis Occidental and has a distance of more th</t>
  </si>
  <si>
    <t xml:space="preserve"> I N V I T A T I O N   T O   B I D 2020 - 113 June 17, 2020 1.	The Provincial Government of Tarlac through the Trust Fund intends to apply the sum of Four Million Eight Hundred Thirty-Six Thousand Three Hundred Nine Pesos and 52/100 (PhP 4,836,309.52) bein</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</si>
  <si>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</si>
  <si>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Procurement of Male Condom</t>
  </si>
  <si>
    <t xml:space="preserve"> I N V I T A T I O N   T O   B I D 2020 - 116 June 17, 2020 1.	The Provincial Government of Tarlac through the SEF - Library on Wheels intends to apply the sum of Two Million Eight Hundred Eighty-Seven Thousand Two Hundred Pesos Only (PhP 2,887,200.00) bei</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</si>
  <si>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</si>
  <si>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</si>
  <si>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66.0 LPS @ 65m TDH SS-316 submersible pump 4.0 LPS LPS @ 85m TDH pump, SS316 3.3 LPS @ 77m TDH  Please see attached bidding documents for the details of the project to be bid.</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</si>
  <si>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</si>
  <si>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</si>
  <si>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I N V I T A T I O N   T O   B I D 2020 - 114 June 17, 2020 1.	The Provincial Government of Tarlac through the TPH - Drugs and Medicines Expenses intends to apply the sum of Two Million Four Hundred Eighteen Thousand Seven Hundred Fifty Pesos Only (PhP 2,4</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</si>
  <si>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</si>
  <si>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</si>
  <si>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</si>
  <si>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</si>
  <si>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</si>
  <si>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I N V I T A T I O N   T O   B I D 2020 - 118 June 17, 2020 1.	The Provincial Government of Tarlac, intends to apply the sum tabulated herein being the Approved Budget for the Contract (ABC) to payments under the contract of Implementation of Essential Hea</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</si>
  <si>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</si>
  <si>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One (1) Job Contract Furnishing Materials, Labor &amp; Equipment for Construction of Evacuation Center Phase 4</t>
  </si>
  <si>
    <t xml:space="preserve"> Procurement of Medical Supplies Lot 1</t>
  </si>
  <si>
    <t xml:space="preserve"> Procurement of Lynestrenol</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</si>
  <si>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</si>
  <si>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</si>
  <si>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</si>
  <si>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</si>
  <si>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</si>
  <si>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GEOTECHNICAL AND GEOLOGICAL SURVEY/ INVESTIGATIONS.</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</si>
  <si>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</si>
  <si>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</si>
  <si>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</si>
  <si>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</si>
  <si>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</si>
  <si>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</si>
  <si>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</si>
  <si>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</si>
  <si>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</si>
  <si>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</si>
  <si>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</si>
  <si>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</si>
  <si>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</si>
  <si>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</si>
  <si>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</si>
  <si>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</si>
  <si>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</si>
  <si>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</si>
  <si>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</si>
  <si>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</si>
  <si>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</si>
  <si>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Request for Quotation RFQ No.		SVP-010-2020 MR No.		11596 Requisition No. 	TSE-2020-037 Posting Date:         	June 16, 2020 Deadline for Submission:		June 22, 2020 at 9:00 AM Opening Date:	June 22, 2020, 2020 at 10:00 AM TO:	Name of Supplier:____________</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</si>
  <si>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</si>
  <si>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</si>
  <si>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Republic of the Philippines PROVINCE OF SOUTHERN LEYTE Maasin City Invitation to Bid for the Procurement of Catering Services                                           Contract ID # 2020-07-07-351PG 1.	The Provincial Government of Southern Leyte through t</t>
  </si>
  <si>
    <t xml:space="preserve"> Republic of the Philippines PROVINCE OF SOUTHERN LEYTE Maasin City Invitation to Bid for the Procurement of Greenhouse-Materials &amp; Installation  with complete Accessories &amp; Irrigation Facilities                                           Contract ID # 2020</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</si>
  <si>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</si>
  <si>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</si>
  <si>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</si>
  <si>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</si>
  <si>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Concreting of 58.50 linear meter barangay road.</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</si>
  <si>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</si>
  <si>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</si>
  <si>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3,875 sacks of  RICE at 25 kgs. per sack</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</si>
  <si>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</si>
  <si>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Invitation to Bid for  SUPPLY &amp; DELIVERY OF CONSTRUCTION MATERIALS FOR THE CONSTRUCTION OF SLAUGHTER HOUSE BLDG. @ BRGY. PILINTANGAN, WAO, LANAO DEL SUR ------------------------------------------------------------------------------------------------------</t>
  </si>
  <si>
    <t xml:space="preserve"> Purchase and installation of 149 units sanitary toilets</t>
  </si>
  <si>
    <t xml:space="preserve"> Uniform and Accesories for BSF and Traffic Enforcers.</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</si>
  <si>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</si>
  <si>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</si>
  <si>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</si>
  <si>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Invitation to ReBid for  PROCUREMENT OF BACKHOE FOR MENRO/SLF OPERATION ---------------------------------------------------------------------------------------------------------------- ITB NO. 2020I_18 1.The Office of the Municipal Environment &amp; Natural R</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</si>
  <si>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</si>
  <si>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</si>
  <si>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Materials to be used for construction and re painting of offices.</t>
  </si>
  <si>
    <t xml:space="preserve"> 365 sacks Noodles (BIHON) at 24 pack/sack 365 cases of Instant Noodles at 72 pieces per case 265 cases SARDINES (100 pcs./ case) 200 packs ECOBAG (size LARGE)</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</si>
  <si>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</si>
  <si>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Construction Project of Drainage Canal along Diosdado Macapagal St.,at East Pob., Rizal, Zamboanga del Norte Phase II</t>
  </si>
  <si>
    <t xml:space="preserve"> L=5.5LM;  W=7M, FLOORING EMBANKMENT=1M COL. SIZE= 10"X10"</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</si>
  <si>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</si>
  <si>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LGU-ALLEN, NORTHERN SAMAR                                               MUNICIPAL BIDS AND AWARDS COMMITTEE                                                                INVITATION TO BID 	The Municipal Government of Allen Northern Samar through its Bids</t>
  </si>
  <si>
    <t xml:space="preserve"> Construction of Slope Protection</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</si>
  <si>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</si>
  <si>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STP at slaugther House</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</si>
  <si>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</si>
  <si>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Construction Project of Drainage Canal along Diosdado Macapagal St.,at East Pob., Rizal, Zamboanga del Norte Phase I</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</si>
  <si>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</si>
  <si>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</si>
  <si>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</si>
  <si>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B.9	Mobilization/Demobiliazation	lot	all	18,854.00 103(1)a	Structure Excavation (CommonSoil)	5.30	cu.m.	1,780.80 105(1)	Subgrade Preparation (Common Material)	312	sq.m.	5,460.00 201	Aggregate Base Coarse (100mm thk.)	31.20	cu.m.	38,073.36 311(1)a	PCC Pave</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</si>
  <si>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</si>
  <si>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</si>
  <si>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2,201 pieces 4" X 8" x 16" Concrete Hollow Block 97 CU.M. washed GRAVEL 78 CU.M. washed SAND</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</si>
  <si>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</si>
  <si>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IMPROVEMENT OF MUNICIPAL IP HALL GROUND</t>
  </si>
  <si>
    <t xml:space="preserve"> See attached Documents</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</si>
  <si>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</si>
  <si>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</si>
  <si>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Please see attached Program of Works for Specification</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</si>
  <si>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</si>
  <si>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</si>
  <si>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Construction Project of Pres. Elpidio Quirino Street</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</si>
  <si>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</si>
  <si>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Invitation to Bid for  SUPPLY &amp; DELIVERY OF CONSTRUCTION MATERIALS FOR THE COMPLETION OF SECOND FLOOR OF WAO MUNICIPAL HALL, MUNICIPAL SITE, BRGY. WESTERN, WAO, LANAO DEL SUR --------------------------------------------------------------------------------</t>
  </si>
  <si>
    <t xml:space="preserve"> Construction Project of Floating Seaweed Dryer II</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</si>
  <si>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</si>
  <si>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</si>
  <si>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</si>
  <si>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</si>
  <si>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</si>
  <si>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</si>
  <si>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</si>
  <si>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</si>
  <si>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</si>
  <si>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PB NO. 2020-037		 			 1.	14	persons	Janitorial Service for July 2020 to December 2020 			14 Utility Worker x 17,325.03 x 6 months for 8 hrs. 			 	Deadline for Submission of Bids: July 7, 2020 10:00 am</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</si>
  <si>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</si>
  <si>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</si>
  <si>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Construction of Niches</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</si>
  <si>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</si>
  <si>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1 storey building - 88m</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</si>
  <si>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</si>
  <si>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Solar Generator Set 6000 watts with (6) 370 watts panel          - Solar Panel: 370W 36V mono solar panel *6 pcs          - DC Combiner: 4 in 1 out          - Controler: PWM 60A48V          - Inverter: 6000W 48V Pure sine wave          - Battery: 200Ah12V</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</si>
  <si>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</si>
  <si>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</si>
  <si>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</si>
  <si>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</si>
  <si>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</si>
  <si>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SEE ATTACHED BID DOCS</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</si>
  <si>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</si>
  <si>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A=14m x 18m</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</si>
  <si>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</si>
  <si>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</si>
  <si>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</si>
  <si>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</si>
  <si>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See attached file.....</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</si>
  <si>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</si>
  <si>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Procurement of supply and delivery of food fr the conduct of DA Program Assessment &amp; Forum of City/Municipal Agricvulturists at Conference Room, OPA, Roxas City, Capiz (50 pax/Batch)	 300	pax	 July 15, 2020 August 19, 2020 September 16, 2020 October  21, </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</si>
  <si>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</si>
  <si>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</si>
  <si>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VARIOUS MEDICAL SUPPLIES</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</si>
  <si>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</si>
  <si>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</si>
  <si>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INVITATION TO APPLY FOR ELIGIBILITY AND BID								 								 The  Municipality  of  Maasin,  Iloilo,  through  its  Bids  and  Awards  Committee (BAC),  invites  suppliers/								 distributors/ contractors to apply for eligibility and to bid for the here</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</si>
  <si>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</si>
  <si>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</si>
  <si>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12 sets HOSPITAL BED MANUAL (3 CRANKS) complete accessories with Bedside Table</t>
  </si>
  <si>
    <t xml:space="preserve"> B.9	Mobilization/Demobiliazation	lot	all	13,211.60 103(1)a	Structure Excavation (Common Soil)	9.30	cu.m.	2,966.70 105(1)	Subgrade Preparation (Common Material)	260	sq.m.	4,563.00 201	Aggregate Base Coarse (100mm thk.)	26	cu.m.	48,360.00 311(1)a	PCC Paveme</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</si>
  <si>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</si>
  <si>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</si>
  <si>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</si>
  <si>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Construction Project (Construction/Improvement of Main MRF Building</t>
  </si>
  <si>
    <t xml:space="preserve"> Please see attached Program of Works for Specifications</t>
  </si>
  <si>
    <t xml:space="preserve"> CONSTRUCTION OF SIKLING FOOTBRIDGE BARANGAY LATANG</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</si>
  <si>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</si>
  <si>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</si>
  <si>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</si>
  <si>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</si>
  <si>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Republic of the Philippines Province of Camarines Norte MUNICIPALITY OF VINZONS BIDS AND AWARDS COMMITTEE (BAC) (Tel. # 446-63-09) INVITATION TO BID 	 Invitation to Bid for: REHABILITATION OF PUBLIC MARKET – POBLACION I, VINZONS, CAM. NORTE  1.	The Local </t>
  </si>
  <si>
    <t xml:space="preserve"> I. SUBBASE @ BASE COURSE II. CONCRETE WORKS III. FORMWORKS</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</si>
  <si>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</si>
  <si>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Republic of the Philippines Province of Camarines Norte MUNICIPALITY OF VINZONS BIDS AND AWARDS COMMITTEE (BAC) (Tel. # 446-63-09) INVITATION TO BID 	 Invitation to Bid for: REHABILITATION OF BREAKWATER PHASE I (SABANG)  1.	The Local Government Unit of Vi</t>
  </si>
  <si>
    <t xml:space="preserve"> CONSTRUCTION OF PROPER KALEO DRAINAGE</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</si>
  <si>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</si>
  <si>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</si>
  <si>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REFER TO ATTACHED ITB NO. 011 OF 2020</t>
  </si>
  <si>
    <t xml:space="preserve"> REFER TO ATTACHED ITB NO. 010 OF 2020</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</si>
  <si>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</si>
  <si>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</si>
  <si>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REFER TO ATTACHED ITB NO. 012 OF 2020</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</si>
  <si>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</si>
  <si>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1 unit 	Water bath/holding tank with thermometer and heater	 	  -Rectangular shape, L1M x W0.6M x H0.5M	 	  -made of stainless steel 304 materials , 3mm thick	 	  -removable inner platform, made of perforated sheet	 	  -hinge cover with gasket	 	  -electr</t>
  </si>
  <si>
    <t xml:space="preserve"> One (1) Job Contract Furnishing Materials</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</si>
  <si>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</si>
  <si>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</si>
  <si>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</si>
  <si>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</si>
  <si>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</si>
  <si>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</si>
  <si>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</si>
  <si>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</si>
  <si>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Republic of the Philippines Province of Camarines Norte MUNICIPALITY OF VINZONS BIDS AND AWARDS COMMITTEE (BAC) (Tel. # 446-63-09) 	 INVITATION TO BID FOR: PURCHASE/DELIVERY OF 1 UNIT BACKHOE 1.	The Local Government Unit of Vinzons through the MDRRMF – CA</t>
  </si>
  <si>
    <t xml:space="preserve"> Shopping . . . .</t>
  </si>
  <si>
    <t xml:space="preserve"> Construction of Fence</t>
  </si>
  <si>
    <t xml:space="preserve"> 65 Hectares Comprehensive Site Development under the Enhanced National Greening Program Cacao Component located at Brgy. Balaoi, Pagudpud, Ilocos Norte</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</si>
  <si>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</si>
  <si>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39 unit 	Small smoke house - Height: 1 meter, Diameter 37.5 cm with 5 	 	     stainless steel trays and 4 tray holders, With glass view window,	 	     With thermostat; Stainless body, With stainless sliding firebed and	 	     firebed holder heat source, C</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</si>
  <si>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</si>
  <si>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QUANTITY	UNIT	ARTICLES				 150	pcs	Longspan Rib Type 20'				 17	pcs	Ridgeroll				 30	pcs	Wall Flashing				 17	pcs	Gutter				 350	pcs	Gutter Rivets				 290	pcs	Plywood, 3/4 				 290	pcs	Plywood, 1/2 				 300	bd. ft.	Coco Lumber (form &amp; scaffolding)				 8	k</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</si>
  <si>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</si>
  <si>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Construction of Mini-Library</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</si>
  <si>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</si>
  <si>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REPAIR &amp; MAINTENANCE OF FISHPORT FACILITIES (A. PERIMETER FENCE) REPAIR &amp; MAINTENANCE OF FISHPORT FACILITIES (B. OLD PUBLIC MARKET BLDG.) EXPANSION OF MAGSAYSAY BOULEBARD</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</si>
  <si>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</si>
  <si>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</si>
  <si>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CONSUMABLE</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</si>
  <si>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</si>
  <si>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</si>
  <si>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assorted drugs &amp; medicines</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</si>
  <si>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</si>
  <si>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</si>
  <si>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</si>
  <si>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14	unit 	Chest type freezer/chiller - Chest type, Two door, 18 cu ft, Inverter 1	unit 	Ice cream machine - 304 stainless steel blade with adjustable scrapers,  		     ABS Housing, Air cooled,  304 stainless steel inner bowl, Large opening:  		     Allows </t>
  </si>
  <si>
    <t xml:space="preserve"> Republic of the Philippines						 City Government of Davao						 						 INVITATION TO BID						 for Infrastructure Projects B13-2020						 						 The City Government of Davao now invites bidders for the project/s under B13-2020 as listed below.   The pros</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</si>
  <si>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</si>
  <si>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Republic of the Philippines                   Department of Health	       CENTRAL OFFICE BIDS AND AWARDS COMMITTEE  PROCUREMENT OF TROCLOSENE SODIUM IB No. 2020- 176 1.	The Department of Health (DOH), through the General Appropriations Act of 2020 intends</t>
  </si>
  <si>
    <t xml:space="preserve"> The detailed Bill of Materials is attached to the Bid Forms.</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</si>
  <si>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</si>
  <si>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CONSTRUCTION OF DEEP WELL, CONCRETE FLOORING AND COVER, INSTALLATION OF ELECTRIC PUMP &amp; PIPPINGS AND INSTALLATION OF 750.00 LINEAR METERS PIPELINES.</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</si>
  <si>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</si>
  <si>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</si>
  <si>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Item No.	Quantity	Unit of Issue	Item Description 803 (1)	  7.01  	Cu.m.	                Structural Excavation 804	         33.04	Cu.m.	                Embankment 404     	301.28	Kgs.	                Reinforcing Steel Bars 405 (1)	3.11	        Cu.m.	      </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</si>
  <si>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</si>
  <si>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Republic of the Philippines                   Department of Health	       CENTRAL OFFICE BIDS AND AWARDS COMMITTEE  PROCUREMENT OF RED EVACUATED TUBE IB No. 2020- 189 1.	The Department of Health (DOH), through the General Appropriations Act of 2020 intend</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</si>
  <si>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</si>
  <si>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</si>
  <si>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</si>
  <si>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</si>
  <si>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</si>
  <si>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Construction of Bridge ( Phase I &amp; Phase II) at Antipolo Old, Nabua, Camarines Sur</t>
  </si>
  <si>
    <t xml:space="preserve"> Item No.	Quantity	Unit of Issue	Item Description SLP-1	         19.72	Cu.m.	               Excavation SLP-11	 4.788	Cu.m.  	       Concrete Post 704	         102.0	Sq. m.	       Masonry</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</si>
  <si>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</si>
  <si>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</si>
  <si>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</si>
  <si>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</si>
  <si>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</si>
  <si>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Item No.	Quantity	Unit of Issue	Item Description 1032 (1)	834.4	            Sq. m.	Metal Painting  B.5 H 	2	            Each	Project Billboard B.7	       L.S.	            L.S	Occupational Safety and Health</t>
  </si>
  <si>
    <t xml:space="preserve"> Completion of Concreting of Local  Road, Inapatan to Angustia, Nabua, Camarines Sur</t>
  </si>
  <si>
    <t xml:space="preserve"> Clearing and grubbing, Common excavation manual, Masonry works, Plastering, Installation of paving blocks,     Sub-grade preparation, Aggregate sub-base course, PCCP, COSH</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</si>
  <si>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</si>
  <si>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Item No.	Quantity	Unit of Issue	Item Description 1	24	Pcs.	10mm dia x 6m RSB Std. Def. Bar 2	26	Pcs.	12mm dia x 6m RSB Std. Def. Bar 3	6	Kgs.	#16 G.I. Wire  4	8	Pcs.	Hacksaw Blade 5	66	Bags 	40 kg. Portland Cement 6	4.5	Cu.m.	Washed Sand 7	7	Cu.m.	Washed </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</si>
  <si>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</si>
  <si>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Clearing and grubbing, Structure Excavation, Safety and Health</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</si>
  <si>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</si>
  <si>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</si>
  <si>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</si>
  <si>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1 unit 	UV-Vis spectrophotometer - Benchtop type, double-beam, Compact  	 	     (space saver), Wavelength range of 190nm-1100nm, Path length must	 	     be 1 cm, and/or changeable with 1-10cm path, must include at least 2 	 	     cuvettes and all necessar</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</si>
  <si>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</si>
  <si>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</si>
  <si>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</si>
  <si>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</si>
  <si>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</si>
  <si>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1 Set	Water Retort Chamber with Accessories 	 	(steam boiler and cooling tower)	 		 	A. Counter Pressure Retort ,2 - baskets capacity	 	  -  Horizontal type, Stainless Steel T304 type materials	 	  -  Dimensions: L220mm x Diameter 1200mm	 	  -  2" thick r</t>
  </si>
  <si>
    <t xml:space="preserve"> 1 unit 	Dual-powered solar dryer</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</si>
  <si>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</si>
  <si>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</si>
  <si>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</si>
  <si>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</si>
  <si>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</si>
  <si>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</si>
  <si>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</si>
  <si>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</si>
  <si>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</si>
  <si>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</si>
  <si>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</si>
  <si>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</si>
  <si>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</si>
  <si>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</si>
  <si>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</si>
  <si>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National Power Corporation INVITATION TO BID PUBLIC BIDDING 2020-0126 1.	The NATIONAL POWER CORPORATION (NPC), through       its        approved       Corporate Budget of CY 2020 intends to apply   the   sum   of (Please see schedule below) being the Appr</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</si>
  <si>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</si>
  <si>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</si>
  <si>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Plastic monobloc chairs with backrest (beige color)</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</si>
  <si>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</si>
  <si>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ROAD CONSTRUCTION WITH DRAINAGE CANAL AT PUROK 8A, BACACA, BARANGAY 19-B, POBLACION DISTRICT, DAVAO CITY ABC: 3,000,000.00 Location: Barangay 19-B, Davao City Fund Source: SARO-OSEC-19-0014429 Physical Target: Roads and Drainage</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</si>
  <si>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</si>
  <si>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Item No.	Quantity	Unit of Issue	Item Description 1	             1		                         Construction of Reservoir</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</si>
  <si>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</si>
  <si>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Clearing and grubbing, Excavation, RSB, Structural concrete, Construction Safety and Health</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</si>
  <si>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</si>
  <si>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</si>
  <si>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</si>
  <si>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Please download attached documents or visit our website @www.prc.gov.ph for more details.</t>
  </si>
  <si>
    <t xml:space="preserve"> Clearing &amp; grubbing, Structure excavation, Stone masonry, Embankment fill, Removal of existing concrete pavement, Sub-grade preparation, Aggregate sub-base course, PCCP, RSB, Structural concrete, Construction Safety and Health</t>
  </si>
  <si>
    <t xml:space="preserve"> Removal of structure and obstruction, Structure excavation, Reinforcing steel bar, Structural concrete works, Masonry works w/ plastering, Electrical works, Roofing works, Installation of ACP</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</si>
  <si>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</si>
  <si>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</si>
  <si>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</si>
  <si>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</si>
  <si>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SOURCE DEVELOPMENT; PROVISION OF PUMP AND ITS ACCESSORIES; CONSTRUCTION OF POWER HOUSE</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</si>
  <si>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</si>
  <si>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</si>
  <si>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</si>
  <si>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</si>
  <si>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</si>
  <si>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</si>
  <si>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Republic of the Philippines Pangasinan State University Lingayen, Pangasinan INVITATION TO BID FOR THE MODERNIZATION OF INFORMATION TECHNOLOGY AND NETWORK COMMUNICATION LABORATORY FACILITY OF COLLEGE OF COMPUTING SCIENCES 1.	The Pangasinan State Universit</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</si>
  <si>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</si>
  <si>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</si>
  <si>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LGU Patnanungan, Quezon						Ref.		See other bid docs                                                                                            	 Name of Project	As shown                                                                                    </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</si>
  <si>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</si>
  <si>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</si>
  <si>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RCDG BRIDGE</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</si>
  <si>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</si>
  <si>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</si>
  <si>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</si>
  <si>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</si>
  <si>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</si>
  <si>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CONSTRUCTION/IMPROVEMENT/REHABILITATION</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</si>
  <si>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</si>
  <si>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</si>
  <si>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</si>
  <si>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</si>
  <si>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NAME OF PROJECTS: CONSTRUCTION OF MULTIPURPOSE HALL LOCATION: TALOY SUR, TUBA, BENGUET SCOPE OF WORK: INSTALLATION OF SIGNBOARD, STRUCTURAL EXCAVATION, CONSTRUCTION OF TIE BEAM NO. OF WORKING DAYS TO COMPLETE WORK: 9</t>
  </si>
  <si>
    <t xml:space="preserve"> Flue curing barn: Excavation works, Masonry works, Roofing works, Hangers, Door ventilation, Flue system, Construction safety and health</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</si>
  <si>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</si>
  <si>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National Power Corporation INVITATION TO BID PUBLIC BIDDING 2020-0125 1.	The NATIONAL POWER CORPORATION (NPC), through       its        approved       Corporate Budget of CY 2020 intends to apply   the   sum   of (Please see schedule below) being the Appr</t>
  </si>
  <si>
    <t xml:space="preserve"> Riprapping</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</si>
  <si>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</si>
  <si>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</si>
  <si>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</si>
  <si>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</si>
  <si>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</si>
  <si>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</si>
  <si>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Concreting of 71.0m x 5.0m. local access road (thickness=0.20m). Concrete curb and gutter and concrete canal with reinforced canal cover on both sides of the road including 1.0m. (1.0m x1.0m. x5.0m.) RCBC</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</si>
  <si>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</si>
  <si>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</si>
  <si>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Department of Education Region VI-Western Visayas Cadiz City Alimatoc Elementary School Invitation to Bid for the Repair and Maintenance of Faulty Electrical Wiring of Alimatoc Elementary School 1.	The Alimatoc Elementary School, through the School’s MOOE</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</si>
  <si>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</si>
  <si>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</si>
  <si>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</si>
  <si>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</si>
  <si>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</si>
  <si>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</si>
  <si>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</si>
  <si>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</si>
  <si>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</si>
  <si>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</si>
  <si>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Department of Education Region VI-Western Visayas Division of Cadiz City Alimatoc Elementary School SMALL VALUE PROCUREMENT OF 2 SETS 18X20 CANOPY  1.	The Alimatoc Elementary School of Cadiz City, through the Schools MOOE Fund CY 2020  intends to apply th</t>
  </si>
  <si>
    <t xml:space="preserve"> CONSTRUCTION OF SAFIANGON-CHALLOS FOOTBRIDGE</t>
  </si>
  <si>
    <t xml:space="preserve"> CONSTRUCTION OF PESKONG DRAINAGE</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</si>
  <si>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</si>
  <si>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CONSTRUCTION OF SA-ONG COVERED DRAINAGE</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</si>
  <si>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</si>
  <si>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</si>
  <si>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Department of Education Region VI-Western Visayas Division of Cadiz City Alimatoc Elementary School SMALL VALUE PROCUREMENT OF HEAVY DUTY  PRINTER  WITH SCANNER 2019 1.	The Alimatoc Elementary School of Cadiz City, through the Schools MOOE Fund CY 2019  i</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</si>
  <si>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</si>
  <si>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</si>
  <si>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</si>
  <si>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Invitation to Bid for Purchase of Two (2) units Rescue Vehicle for the use of Emergency response Source of Fund: Trust Fund (5% MDRRMF) Nonrefundable fee for bidding douments: 10,000.00</t>
  </si>
  <si>
    <t xml:space="preserve"> Please see attached Bill of Quantities and Invitation to Bid in the Philippine Bidding Documents</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</si>
  <si>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</si>
  <si>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</si>
  <si>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</si>
  <si>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</si>
  <si>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PB NO. 2020-034		 			 1.	100	UNITS	LAPTOP 			SPECIFICATIONS: 			ASUS TUF GAMING FX 505DT-AL182T 			SAND BLASTED FINISH-GUN METAL 			(COLOR/MAKE NAME: GOLD STEEL) 			DIMENSION: 36.0 X 26.2 X 2.50 2.60 CM 			14.17 X 10.31 X 0.98 1.02 INCHES 			PROCESSOR: AM</t>
  </si>
  <si>
    <t xml:space="preserve"> PB NO. 2020-035		 			 1.	1	lot	Proposed Asphalt overlay at Brgy. Sta. Ana, San Pablo City. 			By: Contract 			 	Deadline for Submission of Bids: July 6, 2020 1:00 pm</t>
  </si>
  <si>
    <t xml:space="preserve"> CONCRETING &amp; RIPRAPPING</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</si>
  <si>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</si>
  <si>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</si>
  <si>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</si>
  <si>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</si>
  <si>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Invitation to Bid for  Purchase of One (1) unit Ambulance for MDRRM use Source of Fund: Trust Fund (5% MDRRMF) Nonrefundable Fee for Bidding Documents: 5,000.00</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</si>
  <si>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</si>
  <si>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</si>
  <si>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Straight Contract</t>
  </si>
  <si>
    <t xml:space="preserve"> 165 m.t. Bituminous Concrete Surface Course (FD-Sandmix) 416 m.t. Bituminous Concrete Surface Course (FD) x-x-x-x-xx-x-x-x-x-x-x-x-x-x-x-x-xxxxxxxxxxxxxxxxxx</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</si>
  <si>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</si>
  <si>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Republic of the Philippines Municipality of Taytay Taytay, Palawan NOTICE TO BIDDERS Item # Qty Unit Description Amount 1. 400 meters Local Access Roads, So. Lake Danao, Bgy. Poblacion                      Width = 6.1M                      Thickness = 20m</t>
  </si>
  <si>
    <t xml:space="preserve"> 1,400 bags Thermoplastic Paint (White) 25kg. 200 bags Thermoplastic Paint (Yellow) 25kg. x-x-xx-x-x-x-x-x-x-x-x-xx-x-xxxxxxxxxxxxxxxxx</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</si>
  <si>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</si>
  <si>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</si>
  <si>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</si>
  <si>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</si>
  <si>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</si>
  <si>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</si>
  <si>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</si>
  <si>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</si>
  <si>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</si>
  <si>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</si>
  <si>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</si>
  <si>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CONTRACT NO.: BNLSL-LCB-31A-2020 LOCATION: Bahay SIP, San Miguel, Leyte SCOPE OF WORK: Construction of Canal, Farm Level, Drainage and Road System (Package II) APPROVED BUDGET FOR CONTRACT: Php 4,128,455.38 CONTRACT DURATION: 120 calendar days Bidding wil</t>
  </si>
  <si>
    <t xml:space="preserve"> CONTRACT NO.: BNLSL-LCB-31-2020 LOCATION: Bahay SIP, San Miguel, Leyte SCOPE OF WORK: Construction of Pump Works (Package I) APPROVED BUDGET FOR CONTRACT: Php 16,119,108.75 CONTRACT DURATION: 360 calendar days Bidding will be conducted in accordance with </t>
  </si>
  <si>
    <t xml:space="preserve"> CONTRACT NO.: BNLSL-LCB-30-2020 LOCATION: Buli SIP, Bato, Leyte SCOPE OF WORK: Construction of Diversion Works, Canal, Farm Level and Drainage System APPROVED BUDGET FOR CONTRACT: Php 28,252,433.41 CONTRACT DURATION: 360 calendar days Bidding will be cond</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</si>
  <si>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</si>
  <si>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</si>
  <si>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</si>
  <si>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Republic of the Philippines										 BIDS AND AWARDS COMMITTEE										 Baguio City										 (074) 300-6537/ (074)442-8795										 BID FORM										 CP No. 2020-38 Bidding										June 11, 2020 Circular Proposal No.										Date Prepared The City </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</si>
  <si>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</si>
  <si>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Republic of the Philippines										 BIDS AND AWARDS COMMITTEE										 Baguio City										 (074) 300-6537/ (074)442-8795										 BID FORM										 CP No. 2020-37 Bidding										June 11, 2020 Circular Proposal No.										Date Prepared The City </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</si>
  <si>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</si>
  <si>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</si>
  <si>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</si>
  <si>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</si>
  <si>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INVITATION TO APPLY FOR ELIGIBILITY AND TO BID THE BIDS AND AWARD COMMITTEE OF THE MUNICIPALITY OF CAIBIRAN, BILIRAN IS INVITING ALL INTERESTED BIDDERS ON ITS FORTH COMING PUBLIC BIDDING FOR:   Project Title	: Drainage Construction along General Luna St. </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</si>
  <si>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</si>
  <si>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</si>
  <si>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</si>
  <si>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</si>
  <si>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</si>
  <si>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</si>
  <si>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</si>
  <si>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</si>
  <si>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</si>
  <si>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</si>
  <si>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</si>
  <si>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</si>
  <si>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</si>
  <si>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</si>
  <si>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</si>
  <si>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</si>
  <si>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</si>
  <si>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</si>
  <si>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</si>
  <si>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</si>
  <si>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</si>
  <si>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</si>
  <si>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</si>
  <si>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</si>
  <si>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</si>
  <si>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</si>
  <si>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</si>
  <si>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</si>
  <si>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</si>
  <si>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</si>
  <si>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INVITATION TO BID FOR (GOODS &amp; SERVICES) 	     20GJC0193 – 8 units Desktop Computer etc. To be used in Planning and Design Section.                          (PR # 20-05-181) 1. 	      The DPWH, 2nd District Engineering Office,Labason,Zamboanga del Norte, </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</si>
  <si>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</si>
  <si>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</si>
  <si>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</si>
  <si>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</si>
  <si>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</si>
  <si>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</si>
  <si>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CONSTRUCTION OF 55 METERS CONCRETE CANAL AT PUROK SEGUIDILLA, BRGY. MAYPANGDAN, BORONGAN CITY, EASTERN SAMAR</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</si>
  <si>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</si>
  <si>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</si>
  <si>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Portland Cement Gravel Gravel Rough Lumber 2x4x12 CWN Assorted Mixing Water</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</si>
  <si>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</si>
  <si>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</si>
  <si>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</si>
  <si>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</si>
  <si>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</si>
  <si>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</si>
  <si>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</si>
  <si>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</si>
  <si>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</si>
  <si>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</si>
  <si>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</si>
  <si>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</si>
  <si>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</si>
  <si>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Supply and Delivery of 10pcs Water Resistant 2-way Radio with extra 2 pcs battery</t>
  </si>
  <si>
    <t xml:space="preserve"> Procurement of various materials with installation of CCTV Fiber Optic</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</si>
  <si>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</si>
  <si>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</si>
  <si>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</si>
  <si>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</si>
  <si>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</si>
  <si>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</si>
  <si>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</si>
  <si>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</si>
  <si>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</si>
  <si>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</si>
  <si>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</si>
  <si>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</si>
  <si>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</si>
  <si>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</si>
  <si>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</si>
  <si>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</si>
  <si>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</si>
  <si>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</si>
  <si>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</si>
  <si>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</si>
  <si>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</si>
  <si>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</si>
  <si>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</si>
  <si>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</si>
  <si>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</si>
  <si>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</si>
  <si>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</si>
  <si>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</si>
  <si>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</si>
  <si>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</si>
  <si>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</si>
  <si>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</si>
  <si>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</si>
  <si>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</si>
  <si>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</si>
  <si>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</si>
  <si>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</si>
  <si>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</si>
  <si>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.13 mo. CS and HP 133.50 sq.m. clearing and grubbing 106.80 cu.m. excavation 189.13 cu.m. stone masonry</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</si>
  <si>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</si>
  <si>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</si>
  <si>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</si>
  <si>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</si>
  <si>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</si>
  <si>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</si>
  <si>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</si>
  <si>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</si>
  <si>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</si>
  <si>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</si>
  <si>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</si>
  <si>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</si>
  <si>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</si>
  <si>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</si>
  <si>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</si>
  <si>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</si>
  <si>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</si>
  <si>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PURCHASE OF OFFICES SUPPLIES FOR THE REPRODUCTION OF IM'S IN PREPARATION FOR THE OPENING OF SCHOOL YEAR ON AUGUST 24, 2020, IN WHICH FACE-FACE INSTRUCTION IS WAIVED DUE TO COVID-19 PANDEMIC (BONDPAPER, STAPLER, STAPLE WIRE, INK)</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</si>
  <si>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</si>
  <si>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</si>
  <si>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</si>
  <si>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</si>
  <si>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</si>
  <si>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</si>
  <si>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</si>
  <si>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</si>
  <si>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</si>
  <si>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</si>
  <si>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1 mo. CS and HP 101.17 sq.m. unglazed/glazed tiles (stainless letter) 58.76 sq.m. ceiling works 125.70 sq.m. structural steel (sidings cover and frame) 60 sq.m. painting works )metal surfaces/steel trusses)</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</si>
  <si>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</si>
  <si>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</si>
  <si>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</si>
  <si>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</si>
  <si>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</si>
  <si>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Polycarbonate Roof: Transparent 12ft Chlorine Granules: 50kg Powder Soap: 10kg Formaldehyde: - Steel Wall: - Flexible Hose: 1/2 PVC Tee: 1.5" Alcohol: 70% 500 ml Plankton net: 46 microns Air Stone: - Spatula: 6" Foot Brush: -</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</si>
  <si>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</si>
  <si>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</si>
  <si>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</si>
  <si>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</si>
  <si>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Palay Seeds: (Certified) 40kg/bag Seeds: (Registered) 20kg/bag</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</si>
  <si>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</si>
  <si>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</si>
  <si>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Finishing Wokrs of Brgy. Imbalbalatong Multi-Purpose Hall</t>
  </si>
  <si>
    <t xml:space="preserve"> Republic of the Philippines								 Province of Negros Occidental								 Municipality of La Castellana								 Bids and Awards Committee								 								 INVITATION TO APPLY FOR ELIGIBILITY AND TO BID								 								 Name of Project: 		PROPOSED WATER TA</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</si>
  <si>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</si>
  <si>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</si>
  <si>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DETAILED ESTIMATES ITEM I DEMOLITION AND REMOVAL OF EXISTING STRUCTURES ITEM II CONCRETE WORKS ITEM III FORMS AND SCAFFOLDINGS ITEM IV ROOFING AND ROOF FRAMING</t>
  </si>
  <si>
    <t xml:space="preserve"> DETAILED ESTIMATES: ITEM I EXCAVATION ITEM II CONCRETE WORKS ITEM III FORM WORKS</t>
  </si>
  <si>
    <t xml:space="preserve"> 2028 bags 21-0-0 (ammonia)</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</si>
  <si>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</si>
  <si>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</si>
  <si>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Republic of the Philippines Province of Eastern Samar Municipality of Mercedes INVITATION TO BID FOR THE PROCUREMENT OF GOODS PROCUREMENT OF LDRRM IT EQUIPMENT  (1 LOT CCTV SUPPLY AND INSTALLATION) ITB NO. GOODS-2020-02-003  1.	The LOCAL GOVERNMENT  UNIT </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</si>
  <si>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</si>
  <si>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Lot No.  Unit Item  Description/Particular   Quantity             No. Of Pax                  Unit Cost      Total Cost Lot No. 1 PSA-RSSO IX - Zamboanga City-Procurement                      Live-in participants-    2,500/pax    Php 645,000.00 of Caterin</t>
  </si>
  <si>
    <t xml:space="preserve"> Construction / Rehabilitation of Water Supply</t>
  </si>
  <si>
    <t xml:space="preserve"> ITEM NO.	UNIT		QTY		DESCRIPTION		 							 1	 ltrs 		46020		Diesel		 2	 gals 		104		 Oil #10 		 3	 gals 		52		 Oil #40 		 4	 ltrs 		92		 ATF 		 INVITATION TO BID The Municipality of Sablayan through its Bids and Awards Committee (BAC) invites all intereste</t>
  </si>
  <si>
    <t xml:space="preserve"> 1.	The National Irrigation Administration – Pangasinan IMO, through the General Appropriation Act of 2020 intends to apply the sum of TWELVE MILLION ONE HUNDRED SIXTY TWO THOUSAND ONE HUNDRED TWENTY SEVEN &amp; 67/100 PESOS (12,162,127.68) being the Approved </t>
  </si>
  <si>
    <t xml:space="preserve"> INVITATION TO BID REPUBLIC OF THE PHILIPPINES CITY OF GOVERNMENT OF NAVOTAS BARANGAY SAN RAFAEL VILLAGE   BIDS AND AWARDS COMMITTEE 1.The Sangguniang BaraNGAY San Rafael Village, through its Bids and Awards Committee intends to  apply the sun of  Ninety-E</t>
  </si>
  <si>
    <t xml:space="preserve"> ITEM NO.	UNIT		QTY		DESCRIPTION		 							 1	 ltrs 		46270		Diesel		 2	 gal 		88		 Oil #10 		 3	 gal 		56		 Oil #40 		 4	 ltrs 		84		 ATF 		 INVITATION TO BID The Municipality of Sablayan through its Bids and Awards Committee (BAC) invites all interested c</t>
  </si>
  <si>
    <t xml:space="preserve"> ITEM NO.	UNIT		QTY		DESCRIPTION		 							 1	 clip 		6		Nylon String		 2	 kgs. 		17		 CWN Assorted 		 3	 bd. Ft. 		375		 Form Lumber 		 4	 cu.m 		66		 Aggregates 		 5	 pcs. 		10		 Pinolic Board 1/2" 		 6	 bags 		220		 Cement 		 7	 cu.m 		34		 Mixed Aggrega</t>
  </si>
  <si>
    <t xml:space="preserve"> INVITATION TO BID REPUBLIC OF THE PHILIPPINES CITY OF GOVERNMENT OF NAVOTAS BARANGAY SAN RAFAEL VILLAGE   BIDS AND AWARDS COMMITTEE 1.The Sangguniang BaraNGAY San Rafael Village, through its Bids and Awards Committee intends to  apply the sun of Eighty Th</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</si>
  <si>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</si>
  <si>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INVITATION TO BID REPUBLIC OF THE PHILIPPINES CITY OF GOVERNMENT OF NAVOTAS BARANGAY SAN RAFAEL VILLAGE  BIDS AND AWARDS COMMITTEE 1.The Sangguniang Barangay San Rafael, through its Bids and Awards Committee intends to  apply the sun of One Hundred Five T</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</si>
  <si>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</si>
  <si>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INVITATION TO BID REPUBLIC OF THE PHILIPPINES CITY OF GOVERNMENT OF NAVOTAS BARANGAY SAN RAFAEL VILLAGE   BIDS AND AWARDS COMMITTEE 1.The Sangguniang BaraNGAY San Rafael Village, through its Bids and Awards Committee intends to  apply the sun of Two Hundr</t>
  </si>
  <si>
    <t xml:space="preserve"> ITEM NO.	UNIT		QTY		DESCRIPTION		 							 1	 bags 		381		Portland Cement (Type I)		 2	 cu.m 		42		 Gravel  		 3	 cu.m 		21		 Sand 		 4	 kgs 		8		 Asphalt Filter 		 5	 cu.m 		37		 Mixed Aggregates 		 INVITATION TO BID The Municipality of Sablayan through i</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</si>
  <si>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</si>
  <si>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</si>
  <si>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Construction of Slope Protection- Stone Masonry and Retaining Wall</t>
  </si>
  <si>
    <t xml:space="preserve"> Rehabilitation/ Reconstruction of Roads with Slips, Slope Collapse, and Landslide – Quezon Hill Rd #1 – K0308+153 – K0308+175, K0308+428 – K0308+447 Contract Location :	Baguio City Approved Budget for the Contract :	Php8,330,000.00 Scope of  work  :	Rehab</t>
  </si>
  <si>
    <t xml:space="preserve"> Contract Package 7: Preventive Maintenance: a. Abanao Ext. – Chainage 008 – Chainage 111 (SO5052LZ) b. Major Mane Rd. – Chainage 057 – Chainage 112 (SO0489LZ) c. Quezon Hill Drive – Chainage 000 – Chainage 075 (SO0503LZ) d. Quirino H-Way (Baguio-Bauang) –</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</si>
  <si>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</si>
  <si>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</si>
  <si>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</si>
  <si>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20 sets Solar Lamp 60w 38mm dia GI s40 Bracket 50mm dia GI s40 Column With Anchorae Bar Stiffener And Concrete Footing Padestal @0.60m depth Labor included</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</si>
  <si>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</si>
  <si>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INVITATION TO BID  for  Construction of Covered Court at Gayusan Integrated School at Brgy. Gayusan, Agno, Pangasinan Solicitation No. PANG-2020-0780 1.	The Provincial Government of Pangasinan, through the School Board (PR#2020-02-1859) intends to apply t</t>
  </si>
  <si>
    <t xml:space="preserve"> INVITATION TO BID  for  Repair of One (1) unit, Three (3) Classroom School Building at Mangatarem II Central E/S, Mangatarem, Pangasinan Solicitation No. PANG-2020-0779 1.	The Provincial Government of Pangasinan, through the School Board (PR#2020-02-1849)</t>
  </si>
  <si>
    <t xml:space="preserve"> Contract ID #					 :    20II0061 Contract Name				         :    Repair and Maintenance of Road Safety Facilities (Supply, Delivery and Installation of Danger, Hazard, Warning, Regulatory and Informative Signages) along Catarman Laoang Road, Laoang –Catubi</t>
  </si>
  <si>
    <t xml:space="preserve"> A Republic of the Philippines BIDS AND AWARDS COMMITTEE Dagupan City Invitation to Bid   for PROPOSED IMPROVEMENT/REHABILITATION OF THE CITY PEOPLE’S ASTRODOME (INTERIOR AND INCLUDING FAÇADE) AT BARANGAY TAPUAC, DAGUPAN CITY 1.	The City Government of Dagu</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</si>
  <si>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</si>
  <si>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</si>
  <si>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INVITATION TO BID  for  Supply and Delivery of 160 MT Asphalt Pre-Mix and 8 drums Emulsified Asphalt at PGO, Lingayen, Pangasinan (for use in the Asphalting of School Ground at Libsong E/S and PSAT, Lingayen, Pangasinan) Solicitation No. PANG-2020-0783 1.</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</si>
  <si>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</si>
  <si>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</si>
  <si>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INVITATION TO BID  for  Supply and Delivery of 577 MT Asphalt Pre-Mix at PGO, Lingayen, Pangasinan (for use in the Repair/Maintenance of Various Provincial Roads and Bridges within the Province) Solicitation No. PANG-2020-0784 1.	The Provincial Government</t>
  </si>
  <si>
    <t xml:space="preserve"> The Government of the Philippines (GOP) has received a loan from World Bank towards the cost of Philippine Rural Development Project, and it intends to apply part of the proceeds of this Loan to payments for the procurement of PRDP Vehicle Tires intended </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</si>
  <si>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</si>
  <si>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INVITATION TO BID  for  Supply and Delivery of Pre-Mix Asphalt and Emulsified Asphalt Solicitation No. PANG-2020-0782 1.	The Provincial Government of Pangasinan, through the Construction, Repair &amp; Maintenance of Various Roads and Bridges intends to apply </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</si>
  <si>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</si>
  <si>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INVITATION TO BID					 					 Purchase and Delivery of Medical, Dental and Laboratory Supplies					 ITB 2020-06-034(GOODS)					 					 1. The Municipality of Tuba, through the Budget for the contract approved by the Sangguniang Bayan for CY 2020 intends to </t>
  </si>
  <si>
    <t xml:space="preserve"> Supply and Delivery of Construction Supplies and Materials needed for the Improvement of Barangay Health Station at Bulala with an ABC of Php300,488.25 LOT 1. Billboard = 1,900.00 LOT 2. Miscellaneous Materials = 257,500.25 LOT 3. Electrical Supplies = 21</t>
  </si>
  <si>
    <t xml:space="preserve"> INVITATION TO BID  for  Roofing of Existing Bleachers at Longos E/S, Calasiao, Pangasinan Solicitation No. PANG-2020-0778 1.	The Provincial Government of Pangasinan, through the School Board (PR#2020-02-1851) intends to apply the sum of One Million Five H</t>
  </si>
  <si>
    <t xml:space="preserve"> Republic of the Philippines                                                                   PROVINCE OF SAMAR                                                                   2nd  INVITATION TO BID                                                       </t>
  </si>
  <si>
    <t xml:space="preserve"> Republic of the Philippines                                                                   PROVINCE OF SAMAR                                                                    INVITATION TO BID                                                           </t>
  </si>
  <si>
    <t xml:space="preserve"> INVITATION TO BID  for  Construction of Breakwater for Storm Surge Mitigation at Lingayen, Pangasinan Solicitation No. PANG-2020-0318 1.	The Provincial Government of Pangasinan, through the Local Disaster Risk Reduction Management Fund (PR#2020-02-1858) i</t>
  </si>
  <si>
    <t xml:space="preserve"> TO : ALL BIDDERS WHAT : Schedule for the bid; WHEN : July 2, 2020 @ 9:00 A.M. WHERE : Multi-Purpose Hall, 2nd Floor, Left Wing, Bogo City Hall, Cayang, Bogo City, Cebu Attention: All Bidders 1) You are required to bring Universal Serial Bus (USB) Flash Dr</t>
  </si>
  <si>
    <t xml:space="preserve"> Supply and Delivery of Construction Supplies and Materials needed for the Improvement of Barangay Health Station at Belance with an ABC of Php320,812.29 LOT 1. Billboard = 1,900.00 LOT 2. Miscellaneous Materials = 277,112.29 LOT 3. Electrical Supplies = 2</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</si>
  <si>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</si>
  <si>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Invitation to Bid for the Completion of Damilag Public Market (Construction of Waste Water Treatment Facilty) 1.	The Local Government Unit of Manolo Fortich, through the 20% Local Development Fund intends to apply the sum of FOUR MILLION FIVE HUNDRED THOU</t>
  </si>
  <si>
    <t xml:space="preserve"> Supply and Delivery of Construction Supplies and Materials needed for the Improvement of Barangay Health Station at New Gumiad with an ABC of Php339,158.66 LOT 1. Billboard = 1,900.00 LOT 2. Miscellaneous Materials = 320,758.66 LOT 3. Hauling of Materials</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</si>
  <si>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</si>
  <si>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</si>
  <si>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</si>
  <si>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</si>
  <si>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Supply and Delivery of Construction Supplies and Materials for the Improvement of Barangay Health Station at Mabasa with an ABC of Php282,745.00 LOT 1. Billboard = 1,900.00 LOT 2. Miscellaneous Materials = 275,345.00 LOT 3. Equipment Rental = 5,500.00 For</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</si>
  <si>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</si>
  <si>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</si>
  <si>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</si>
  <si>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The Barangay Government of Barangay Tagpopongan  through the 20% Devt Funds  intends to apply the sum of Four Hundred Twenty Two Thousand Five Hundred Forty Two Pesos Only (PhP422,542.00) for the Supply and Delivery of Materials for the Improvement of Wat</t>
  </si>
  <si>
    <t xml:space="preserve"> Service Vehicle				1	unit &gt; Brand New					 &gt; Sports Utility Vehicle					 &gt; Engine Displacement : 1898cc (minimum)					 &gt; Engine Type : 4-cylinder, Diesel-fed, with turbo intercooler					 &gt; Power : 150 PS 					 &gt; Torque : 350 N-m					 &gt; Fuel System : CRDI	</t>
  </si>
  <si>
    <t xml:space="preserve"> UNIT	  DESCRIPTION		QUANTITY SPL-1	INSTALLATION OF HOSPITAL LIFT ELEVATOR		 	Qty. = 1.00 lot		 I.	Materials		 lot	Hospital Lift Elevator 2 tons Capacity with		1 	75KW motor incl. mechanical and electrical		 	installation incl. accessories &amp; fittings		 II.</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</si>
  <si>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</si>
  <si>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</si>
  <si>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</si>
  <si>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</si>
  <si>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</si>
  <si>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MOBILIZATION/ DEMOBILIZATION											 OCCUPATIONAL SAFETY &amp; HEALTH PROGRAM											 SCALDING TANK , FURNACE AND CHIMNEY											 BLOOD COLLECTING SINK/ TROUGH											 HOG RESTRAINER											 ELECTRIC HOG STUNNER											 CLEARING OF UNNECESSA</t>
  </si>
  <si>
    <t xml:space="preserve"> Four Wheel Drive 2.0 L BI Turbo Diesel 1,996 to 2,000 Engine Displacement 10 Speed Automatic Transmission Customized Equipment: Rain Gutter	 Hood Guard	 Head Light Cover	 Tail Guard Cover	 Hard Deck Cover Automatic	 Tow Hitch with Pin, Clip and Tow Ball	 </t>
  </si>
  <si>
    <t xml:space="preserve"> Republic of the Philippines Province of Oriental Mindoro MUNICIPALITY OF NAUJAN BIDS &amp; AWARDS COMMITTEE INVITATION TO BID CONSTRUCTION OF MULTI- PURPOSE HALL AT BARANGAY SANTIAGO, NAUJAN, ORIENTAL MINDORO 1.	The Municipal Government of Naujan – Bids and A</t>
  </si>
  <si>
    <t xml:space="preserve"> PURCHASE OF ONE(1) UNIT MINI-DUMP TRUCK SURPLUS ABC 850,000.00</t>
  </si>
  <si>
    <t xml:space="preserve"> Supply, Delivery, Testing, Integration, Training and  Commissioning of News Production Editing System with  Complete Accessories for the Mindanao Media Hub of the  People’s Television Network, Inc. (PTNI)  (Negotiated Procurement: Two Failed Biddings)</t>
  </si>
  <si>
    <t xml:space="preserve"> Republic of the Philippines Dagupan City BIDS AND AWARDS COMMITTEE INVITATION TO BID For the Procurement of Three (3) Units Brand New Motorcycle (PR no.: 2020-00784-024) 1.	The City Government of Dagupan, through the 2017 Approved CONTINUING APPROPRIATION</t>
  </si>
  <si>
    <t xml:space="preserve"> Please download PDF @ associated components for information</t>
  </si>
  <si>
    <t xml:space="preserve"> Construction of Stockroom for ballot boxes</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</si>
  <si>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</si>
  <si>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</si>
  <si>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CONSTRUCTION OF CORE HOUSING UNITS FOR BATO RESETTLEMENT PROJECT (PHASE 1) AT MASOLI, BATO, CAM. SUR</t>
  </si>
  <si>
    <t xml:space="preserve"> POROPOSED CONSTRUCTION OF CANAL AT BRGY II-B, SAN PABLO CITY</t>
  </si>
  <si>
    <t xml:space="preserve"> Please download PDF @ associated components for more information</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</si>
  <si>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</si>
  <si>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</si>
  <si>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Security Services    CSC Regional Office, San Gabriel, Tug. City                      3 Security Guards, 3 shifts, 7 days a week, Monday to Sunday                                Cagayan/Batanes Field Office , Carig Sur, Tuguegarao City                    </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</si>
  <si>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</si>
  <si>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</si>
  <si>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Const. of 4 lane km. concrete road including 3,280 linear meter of lined canal</t>
  </si>
  <si>
    <t xml:space="preserve"> The Government of the Philippines (GOP) has received a loan from World Bank towards the cost of Philippine Rural Development Project, and it intends to apply part of the proceeds of this Loan to payments for the procurement of labor, materials and spare p</t>
  </si>
  <si>
    <t xml:space="preserve"> Republic of the Philippines Dagupan City BIDS AND AWARDS COMMITTEE INVITATION TO BID For the Procurement of One (1) Unit Brand New Vacuum Excavation Truck (PR no.: 2020-00729-051) 1.	The City Government of Dagupan, through the 2017 &amp; 2019 Approved CONTINU</t>
  </si>
  <si>
    <t xml:space="preserve"> Republic of the Philippines PROVINCE OF DINAGAT ISLANDS Municipality of Basilisa -oOo- Invitation to Bid EMBANKMENT/EARTFILLING OF SITE FOR NATIONAL LINE AGENCY BUILDING The Municipality of Basilisa, through the 20 % Municipal Development Fund (MDF) 2013 </t>
  </si>
  <si>
    <t xml:space="preserve"> Republic of the Philippines Province of Cagayan Municipality of Camalaniugan Barangay Minanga June 11, 2020 INVITATION TO BID  FOR THE FURNISHING &amp; DELIVERY OF VARIOUS  MATERIALS FOR THE CONCRETING OF BARANGAY ROAD AT MINANGA, CAMALANIUGAN, CAGAYAN - 1ST </t>
  </si>
  <si>
    <t xml:space="preserve"> Const. of 1.12 lane km. concrete road including 590 linear meter of lined canal</t>
  </si>
  <si>
    <t xml:space="preserve"> Section I. Invitation to Bid INVITATION TO BID  DA8-Goods-2020-40 (PR No. RICE 20-05-12-0686) 1.	The Department of Agriculture-Regional Field Office No. 8, through the RICE 2020 intends to apply the sum of One Million Six Hundred Thousand Pesos Only (P1,6</t>
  </si>
  <si>
    <t xml:space="preserve"> ITB No. 2020-12-EFS June 12, 2020 Republic of the Philippines Province of Davao Oriental CITY OF MATI INVITATION TO BID CONSTRUCTION / IMPROVEMENT OF GOVERNMENT BUILDINGS: Repair/Rehab &amp; Improvement of Government Building Name of Project 1.	The City Gover</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</si>
  <si>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</si>
  <si>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Republic of the Philippines DEPARTMENT OF PUBLIC WORKS AND HIGHWAYS LAGUNA II DISTRICT ENGINEERING OFFICE REGIONAL OFFICE IV-A Brgy. Bambang, Los Baños, Laguna Invitation to Bid No. 2020 - 09 The Department of Public Works and Highways- Laguna II District</t>
  </si>
  <si>
    <t xml:space="preserve"> Republic of the Philippines Dagupan City BIDS AND AWARDS COMMITTEE INVITATION TO BID For the Procurement of One (1) Unit Brand New 6-Wheeler Water Truck (PR no.: 2020-00730-051) 1.	The City Government of Dagupan, through the 2019 Approved CONTINUING APPRO</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</si>
  <si>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</si>
  <si>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Republic of the Philippines Province of Agusan del Norte Municipality of Remedios T. Romualdez Invitation to Bid SUPPLY AND DELIVERY OF DRUGS AND MEDICINES 1. The Municipality of Remedios T. Romualdez, Agusan del Norte, through the General Funds/PFPR inte</t>
  </si>
  <si>
    <t xml:space="preserve"> STRUCTURE EXCAVATION (COMMON SOIL) STRUCTURAL CONCRETE FOR FOOTING TIE BEAM, COLUMN, SUSPENDED SLAB, GIRDER/BEAM (CLASS A) I BEAM STRUCTURAL STEEL PURLINS PREPAINTED METAL SHEET(RIB TYPE, SHORT/LONG SPAN, BELOW 0.47/ABOVE 0.47 THK) REINFORCING STEEL OF RE</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</si>
  <si>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</si>
  <si>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</si>
  <si>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INFRASTRUCTURE WORKS FOR THE CONSTRUCTION OF LINE CANAL AT BARANGAY CALANGO, ZAMBOANGUITA, NEGROS ORIENTAL</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</si>
  <si>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</si>
  <si>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Materials (Hardware/ Construction)</t>
  </si>
  <si>
    <t xml:space="preserve"> Various Office Supplies for Offices Items are indicated in the Bid Docs</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</si>
  <si>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</si>
  <si>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Laboratory Equipment for the Rehabilitation of BSA/BTVTE Building at BPSU Abucay Campus. See attached bidding documents.</t>
  </si>
  <si>
    <t xml:space="preserve"> Section I. Invitation to Bid INVITATION TO BID  DA8-Goods-2020-41 (PR No. HVCDP 20-04-28-0551) 1.	The Department of Agriculture-Regional Field Office No. 8, through the HVCDP-2020 intends to apply the sum of Four Million Five Hundred Twenty-Two Thousand E</t>
  </si>
  <si>
    <t xml:space="preserve"> DESIGN AND BUILD FOR THE CONSTRUCTION OF 2-STOREY PASSENGER TERMINAL BUILDING AT MALATAPAY, BARANGAY MALUAY, ZAMBOANGUITA, NEGROS ORIENTAL</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</si>
  <si>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</si>
  <si>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Purchase of IT Equipment for Various Offices Items to Bid are included on the Bid Docs</t>
  </si>
  <si>
    <t xml:space="preserve"> Purchase of Furniture’s and Fixtures for Various Offices Items to Bid are indicated on the Bid Docs</t>
  </si>
  <si>
    <t xml:space="preserve"> PAINTING WORKS (MASONRY PAINTING) PAINTING WORKS (METAL PAINTING) ELECTRICAL ROUGHING-IN, WIRING AND ACCESSORIES FORM WORKS AND FALSE WORK OCCUPATIONAL SAFETY AND HEALTH PROGRAM</t>
  </si>
  <si>
    <t xml:space="preserve"> 184 LI</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</si>
  <si>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</si>
  <si>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</si>
  <si>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Package I	 Abra        1. Bucay BHS	              1,980,000.00        2. San Miguel BHS	      500,000.00        3. Talogtog BHS	              500,000.00  Package II	 Abra       1. Luba RHU	                       1,000,000.00       2. Manabo RHU	          </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</si>
  <si>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</si>
  <si>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1. The [Local Government Unit of Inopacan, Leyte], through the [Installation of Budgeting and Accounting System, IT Equipment and Software under Capital Outlay of the Municipal Budget Office and Municipal Accounting Office in the 2020 General Fund Supplem</t>
  </si>
  <si>
    <t xml:space="preserve"> INSTALLATION OF RCPC AT CONTROLLED DUMPSITE LOCATED AT AGOS, BATO, CAM. SUR</t>
  </si>
  <si>
    <t xml:space="preserve"> Please refer to the attached Bid Documents for more details.</t>
  </si>
  <si>
    <t xml:space="preserve"> Section I. Invitation to Bid INVITATION TO BID  DA8-Goods-2020-42 (PR No. CORN 20-05-29-0164) 1.	The Department of Agriculture-Regional Field Office No. 8, through the CORN 2020-C.O intends to apply the sum of Three Million Five Hundred thousand Pesos Onl</t>
  </si>
  <si>
    <t xml:space="preserve"> Supply and Delivery of Office Equipment &amp; I.T. Equipment.</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</si>
  <si>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</si>
  <si>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</si>
  <si>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</si>
  <si>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</si>
  <si>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</si>
  <si>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</si>
  <si>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Construction of 1 unit Rainwater Collector System</t>
  </si>
  <si>
    <t xml:space="preserve"> 1.	The Municipality of Impasugong, through the 20% DF – Rehabilitation of Multi-Purpose Halls – Capitan Bayong – Barangay Proper Phase 2 intends to apply the sum of Two Million Five Hundred Thousand Pesos (PhP 2,500,000.00) being the Approved Budget for t</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</si>
  <si>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</si>
  <si>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</si>
  <si>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Procurement of 1 Lot Military Supplies (Ammunition) for the 3rd Quarter of 2020</t>
  </si>
  <si>
    <t xml:space="preserve"> Procurement of 1 Lot Various Drugs and Medicines for the 3rd Quarter of 2020</t>
  </si>
  <si>
    <t xml:space="preserve"> Republic of the Philippines Province of Ilocos Sur Municipality of San Juan Barangay Sunggiam OFFICE OF THE BIDS AND AWARDS COMMITTEE INVITATION TO APPLY FOR ELIGIBILITY AND TO BID The Barangay Sunggiam,Sa Juan,Ilocos Sur through the Bids And Awards Commi</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</si>
  <si>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</si>
  <si>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Procurement of 1 Lot Printing and Publication for the 3rd Quarter of 2020</t>
  </si>
  <si>
    <t xml:space="preserve"> 20E00084 - LIP - Construction of Odiongan By-pass Road (Phase 4), Odiongan, Romblon</t>
  </si>
  <si>
    <t xml:space="preserve"> Procurement of 1 Lot Various Office Supplies for the 3rd Quarter of 2020</t>
  </si>
  <si>
    <t xml:space="preserve"> Procurement of 1 Lot Fuel, Oil and Lubricant Expenses for the 3rd Quarter of 2020</t>
  </si>
  <si>
    <t xml:space="preserve"> Procurement of 1 Lot Rehabilitation Supplies for the 3rd Quarter of 2020</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</si>
  <si>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</si>
  <si>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Development of spring source, Construction of Intake Box, Construction of 250 cu.m. Concrete ground reservoir (2-ea) and Pipeline Distribution</t>
  </si>
  <si>
    <t xml:space="preserve"> Invitation to Bid for Upgrading of Electrical Installation at Talaba Elementary School (Repost) 1.	The City Government of Bacoor, Cavite, through the SPP 2018(S)-LSB-01 (SEF 2018) intends to apply the sum of ONE MILLION TWO HUNDRED THOUSAND PESOS AND ZERO</t>
  </si>
  <si>
    <t xml:space="preserve"> Invitation to Bid for the Poblacion – Dicklum Water System – Phase I 1.	The Local Government Unit of Manolo Fortich, through the Special Trust Fund intends to apply the sum of TWELVE MILLION NINETY THREE THOUSAND FIVE HUNDRED NINETY SIX PESOS (PhP 12,093,</t>
  </si>
  <si>
    <t xml:space="preserve"> Invitation to Bid for Construction of Dome Shape Gymnasium for Senior High School - at San Nicolas 3 (Greenvalley) City of Bacoor (Repost) 1.	The City Government of Bacoor, Cavite, through the SPP 2019 (S) - LSB -02 SEF Supplemental #2 intends to apply th</t>
  </si>
  <si>
    <t xml:space="preserve"> Invitation to Bid for Construction of School Building Digman Elementary School at Digman Bacoor City, Cavite (Repost) 1.	The City Government of Bacoor, Cavite, through the APP 2019 - Annex C (LSB 2019) intends to apply the sum of SIX MILLION EIGHT HUNDRED</t>
  </si>
  <si>
    <t xml:space="preserve"> Scope of Work: A. STAIR RAILING, WOODEN STEPS, TABLES &amp; CHAIRS   I. Steel Works   II. Carpentry and Joinery Works   III. Electrical Fixtures B. GENERAL REQUIREMENTS</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</si>
  <si>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</si>
  <si>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</si>
  <si>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</si>
  <si>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</si>
  <si>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20M00181 - Construction/Completion/Rehabilitation of MPB</t>
  </si>
  <si>
    <t xml:space="preserve"> 20M00179 - Completion/Rehabilitation of MPB</t>
  </si>
  <si>
    <t xml:space="preserve"> Scope of Work: A. AMPHITHEATER CLEACHER   I. Steel Works   II. Carpentry Works B. PWD RAMP OF MUNICIPAL BUILDING   I. Earth Works   II. Concrete Works (Footing, Column, Beam, Slab)   III. Form Works   IV. Steel Works C. TRANSFORMER PEDESTAL PAD   I. Earth</t>
  </si>
  <si>
    <t xml:space="preserve"> Republic of the Philippines City of Cagayan de Oro BIDS AND AWARDS COMMITTEE  INVITATION TO BID  FOR  Supply and Delivery of One (1) Unit Dropside Truck; PR No. 20-1367 dated 01 April 2020; SN 127 - 2020 1.	The City Government of Cagayan de Oro, through G</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</si>
  <si>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</si>
  <si>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</si>
  <si>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Supply and Delivery of Second Quarter Various Office Supplies with an ABC of Php307,341.95 arranged in three (3) lots: LOT 1. Common Office Supplies/Consumables LOT 2. Computer Supplies LOT 3. Janitorial/Electrical/Housekeeping Supplies For further detail</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</si>
  <si>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</si>
  <si>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</si>
  <si>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INVITATION TO APPLY FOR ELIGIBILITY AND TO BID The Local Government Unit-Barangay Salog, Sorsogon City throught its Bids and Awards Committee (BAC), invites suppliers registered with and classified by the Department of Trade and Industry(DTI), to bid for </t>
  </si>
  <si>
    <t xml:space="preserve"> 20M00180 - Construction of Tulunan Public Cemetery</t>
  </si>
  <si>
    <t xml:space="preserve"> Republic of the Philippines City of Cagayan de Oro BIDS AND AWARDS COMMITTEE Invitation to Bid  for Completion of City Hospital - Lumbia (Phase II); SN 128 - 2020 ` 1.	The City Government of Cagayan de Oro, through the Current Appropriation, Annual Budget</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</si>
  <si>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</si>
  <si>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Invitation to Bid  For the Construction of Two (2) Storey Eight (8) Classrooms Building at N.J. Elementary School, Lapaz, Iloilo City 1.	The City of Iloilo, through the SEF Capital Outlay, CY2019 intends to apply the sum of Nineteen Million Pesos (Php 19,</t>
  </si>
  <si>
    <t xml:space="preserve"> Invitation to Bid  For the Completion of Two (2) Storey Building Six (6) Classrooms at Uswag San Isidro Elementary School, Jaro, Iloilo City 1.	The City of Iloilo, through the SEF Capital Outlay SB No. 1, CY2018 intends to apply the sum of Four Million Fi</t>
  </si>
  <si>
    <t xml:space="preserve"> Invitation to Bid  For the Construction/Rehabilitation/Repair/Widening of Roads at Brgy. Tabuc Suba (Urban Poor Village Petals Ville) Jaro, Iloilo City 1.	The City of Iloilo, through the 20% Development Fund, CY2020 intends to apply the sum of Three Milli</t>
  </si>
  <si>
    <t xml:space="preserve"> Supply and Delivery of IT Equipments</t>
  </si>
  <si>
    <t xml:space="preserve"> Invitation to Bid  For the Construction/Rehabilitation/Repair/Widening of Roads at Brgy. Claudio Castilla, EL-98, Jaro, Iloilo City 1.	The City of Iloilo, through the 20% Development Fund, CY2020 intends to apply the sum of Two Million Seven Hundred Sixty</t>
  </si>
  <si>
    <t xml:space="preserve"> Invitation to Bid  For the Construction/Rehabilitation/Repair/Widening of Roads at ICAG Road, Molo, Iloilo City 1.	The City of Iloilo, through the 20% Development Fund, CY2020 intends to apply the sum of Two Million Pesos (Php 2,000,000.00) being the Appr</t>
  </si>
  <si>
    <t xml:space="preserve"> Invitation to Bid  For the Construction/Rehabilitation of Existing Drainage System at Brgy. Tabuc Suba, Jaro, Iloilo City 1.	The City of Iloilo, through the 20% ADF, CY2019 intends to apply the sum of Two Million Five Hundred Thousand Pesos (Php 2,500,000</t>
  </si>
  <si>
    <t xml:space="preserve"> Invitation to Bid  For the Repair of Classrooms at Sambag Elementary School, Jaro, Iloilo City 1.	The City of Iloilo, through the SEF Capital Outlay SB No. 1, CY2018 intends to apply the sum of Three Million Four Hundred Thousand Pesos (Php 3,400,000.00) </t>
  </si>
  <si>
    <t xml:space="preserve"> Invitation to Bid  For the Construction of Three (3) Storey 6 Classroom with Demolition at A. Mirasol Elementary School, mandurriao, Iloilo City 1.	The City of Iloilo, through the 20% Development Fund, CY2019 intends to apply the sum of Twenty One Million</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</si>
  <si>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</si>
  <si>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Republic of the Philippines Pangasinan State University Lingayen, Pangasinan INVITATION TO BID FOR THE ONE (1) YEAR SUBSCRIPTION OF ELECTRONIC BOOKS FOR THE UNIVERSITY 1.	The Pangasinan State University, through the Fund 164 (Income) intends to apply the </t>
  </si>
  <si>
    <t xml:space="preserve"> Republic of the Philippines Pangasinan State University Lingayen, Pangasinan INVITATION TO BID FOR THE PROCUREMENT AND INSTALLATION OF VARIOUS AIRCONDITION UNITS FOR THE DIFFERENT CAMPUSES OF THE UNIVERSITY 1.	The Pangasinan State University, through the </t>
  </si>
  <si>
    <t xml:space="preserve"> Subgrade Preparation, Aggregate Sub-base Course, PCCP Concrete Class ‘A’, Reinforcing Steel Bar, Forms and Scaffoldings Excavation for Structure</t>
  </si>
  <si>
    <t xml:space="preserve"> Consolidated I.T. Consumables</t>
  </si>
  <si>
    <t xml:space="preserve"> Republic of the Philippines Province of South Cotabato BIDS AND AWARDS COMMITTEE City of Koronadal  INF-ITB 20-029 INVITATION TO BID  1.	The Provincial Government of South Cotabato, through the PEO-8751 20% LDF (8.5.1) intends to apply the sum of         </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</si>
  <si>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</si>
  <si>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Invitation to Bid  For the Construction/Rehabilitation of Existing Drainage System at Brgy. San Isidro, Lapaz, Iloilo City 1.	The City of Iloilo, through the 20% Development Fund, CY2019 intends to apply the sum of One Million Pesos (Php 1,000,000.00) bei</t>
  </si>
  <si>
    <t xml:space="preserve"> Invitation to Bid  For the Rehabilitation of All Gabaldon Building at Iloilo Central Elementary School, City Proper, Iloilo City 1.	The City of Iloilo, through the SEF Capital Outlay SB No. 2, CY2019 intends to apply the sum of Seven Million Pesos (Php 7,</t>
  </si>
  <si>
    <t xml:space="preserve"> Sub grade Preparation, Aggregate Sub-base Course</t>
  </si>
  <si>
    <t xml:space="preserve"> Specifications: Engine: 4D32 No. of Cylinders: 4 Tire Size: 7.00x16 Battery Size: 2 pcs. 2SM Load Capacity: 5 Cubic Meters (more or less)</t>
  </si>
  <si>
    <t xml:space="preserve"> Purchase of 20 units seafood stall.</t>
  </si>
  <si>
    <t xml:space="preserve"> Purchase of 165 pails paint and 1,000 sacks cement.</t>
  </si>
  <si>
    <t xml:space="preserve"> Construction of 200 sq. meters solar dryer, 10 meters x 20 meters with a thickness of 0.15 meters class "A" concrete mixture semi smoothed finished dryer.</t>
  </si>
  <si>
    <t xml:space="preserve"> Republic of the Philippines Province of South Cotabato BIDS AND AWARDS COMMITTEE City of Koronadal  INF-ITB 20-028 INVITATION TO BID  1.	The Provincial Government of South Cotabato, through the PEO-8751 CA-2020-78-GF intends to apply the sum of          ₱</t>
  </si>
  <si>
    <t xml:space="preserve"> Specifications: Engine: F6A No. of Cylinders: 3 No. of CC: 660CC Tire Size: 12" Battery Size: NS40</t>
  </si>
  <si>
    <t xml:space="preserve"> Concreting of 320 meters length; 5 meters in width; 0.20 meters in thickness with one (1) line 910 mm dia. RCPC class "A" concrete mixtures.</t>
  </si>
  <si>
    <t xml:space="preserve"> SOIL/ GEOTECHNICAL INVESTIGATION FOR THE PROPOSED CONSTRUCTION OF VARIOUS FLOOD CONTROL PROJECTS AND PROPOSED CONSTRUCTION OF BUILDING PROJECT WITHIN 5TH AND 6TH DISTRICT OF PANGASINAN</t>
  </si>
  <si>
    <t xml:space="preserve"> Republic of the Philippines Pangasinan State University Lingayen, Pangasinan INVITATION TO BID FOR THE PROCUREMENT AND INSTALLATION OF RADIO STATION EQUIPMENT 1.	The Pangasinan State University, through the Fund 164 (Income) intends to apply the sum of Th</t>
  </si>
  <si>
    <t xml:space="preserve"> Available upon request xxxxxxxxxxxxxxxxxxxxx</t>
  </si>
  <si>
    <t xml:space="preserve"> Repair of embankment stoned masonry protection and re-construction of reinforced concrete slab.</t>
  </si>
  <si>
    <t xml:space="preserve"> Invitation to Bid for the   CONSTRUCTION OF DRAINAGE CANAL along Panes-Laud Street The MUNICIPALITY OF ISULAN, through the MDRRM Fund 2020  intends to apply the sum of ONE MILLION FOUR HUNDRED TWENTY THOUSAND SIX HUNDRED EIGHTY-SIX PESOS AND 77/100 ONLY (</t>
  </si>
  <si>
    <t xml:space="preserve"> Title:Supply and Delivery for the City Disaster Risk Reduction and Management Office (CDRRMO) under P.R.No. 0693-2020-Subject to Ordering Agreement Arrangement Total ABC: Php 699,660.00</t>
  </si>
  <si>
    <t xml:space="preserve"> INVITATION TO BID (CW-06-2020-018) The Department of Public Works and Highways (DPWH)-Batangas IV District Engineering Office, Marawoy, Lipa City, Batangas, through its Bids and Awards Committee (BAC), invites contractors to bid for the contract listed be</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</si>
  <si>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</si>
  <si>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Concreting of 250 meters length; 3.6 meters in width; 0.15 meters in thickness class "A" concrete mixtures.</t>
  </si>
  <si>
    <t xml:space="preserve"> Republic of the Philippines Province of Masbate MUNICIPALITY OF CATAINGAN BARANGAY CHIMENEA   			                                                                                               June 11, 2020 INVITATION TO APPLY FOR ELIGIBILITY AND TO BID Th</t>
  </si>
  <si>
    <t xml:space="preserve"> Republika ng Pilipinas PAMAHALAANG LUNGSOD NG TACLOBAN (City Government of Tacloban) Kanhuraw Hill, Tacloban City 6500 BIDS AND AWARDS COMMITTEE INVITATION TO BID  REF #040-06-2020 (JUNE 11, 2020) PR# 2020-181 DATED 02-10-2020 7038486 The Procuring Entity</t>
  </si>
  <si>
    <t xml:space="preserve"> Republic of the Philippines Province of Masbate MUNICIPALITY OF CATAINGAN BARANGAY DIVISORIA   			                                                                                              JUNE  11, 2020 INVITATION TO APPLY FOR ELIGIBILITY AND TO BID T</t>
  </si>
  <si>
    <t xml:space="preserve"> Brgy. Trabugan Maripipi, Biliran Vertical project</t>
  </si>
  <si>
    <t xml:space="preserve"> Concreting of 210 meters length; 5 meters in width; 0.15 meters in thickness class "A" concrete mixtures.</t>
  </si>
  <si>
    <t xml:space="preserve"> Brgy. Calbani Maripipi Biliran Vertical Project</t>
  </si>
  <si>
    <t xml:space="preserve"> Concreting of 130 meters length; 2 meters in width; 0.15 meters in thickness class "A" concrete mixtures.</t>
  </si>
  <si>
    <t xml:space="preserve"> Republic of the Philippines Province of South Cotabato BIDS AND AWARDS COMMITTEE City of Koronadal  INF-ITB 20-030 INVITATION TO BID  1.	The Provincial Government of South Cotabato, through the 1011-PGO Staff-P/P 1-07-04-990-8.D.1-M/BDP-Brgy Facilities, C</t>
  </si>
  <si>
    <t xml:space="preserve"> REQUEST FOR QUOTATION 				 							Date:        June 1, 2020 							RFQ No.    DGPD20-003 							PR NO.      PD2003-12-084     To All Eligible Suppliers  Please quote your lowest price inclusive of VAT on the item/s listed below, subject to the Terms and C</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</si>
  <si>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</si>
  <si>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CONSTRUCTION OF 4 UNITS COLUMNS WITH FOOTING COMPLETE ROOF FRAMING AND ROOFING SYSTEM INIDICATED IN THE PLAN WITH FASCIA BOARD.</t>
  </si>
  <si>
    <t xml:space="preserve"> Invitation to Bid for the   CONSTRUCTION OF DRAINAGE CANAL along Magbanua Street The MUNICIPALITY OF ISULAN, through the MDRRM Fund 2020  intends to apply the sum of ONE MILLION FIVE HUNDRED NINE THOUSAND ONE HUNDRED FIFTY-FOUR PESOS AND 91/100 ONLY (PHP </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</si>
  <si>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</si>
  <si>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303	cases	Powdered Milk 700kg x 12 125	bags.	Biscuit Cracker 24g x 15 3622	kls.	Brown Sugar (1/2 kl)</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</si>
  <si>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</si>
  <si>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Concreting of 160 meters length; 5 meters in width; 0.20 meters in thickness class "A" concrete mixtures.</t>
  </si>
  <si>
    <t xml:space="preserve"> IMPROVEMENT OF WATER SYSTEM 1.   The Barangay Council of Libertad, Nabas, Aklan through its local budget approved by the Sanggunian, intends to apply the sum of One Hundred Ten Thousand Pesos and 00/100 only (P 110,000.00), being the Approved Budget for t</t>
  </si>
  <si>
    <t xml:space="preserve"> Poblacion Maripipi, Biliran Horizontal Project</t>
  </si>
  <si>
    <t xml:space="preserve"> Kindly see and download attachments</t>
  </si>
  <si>
    <t xml:space="preserve"> Supply and Delivery of Medical, Laboratory and Birthing Facility Supplies for the 1st and 2nd Quarter 2020 with an ABC of Php350,000.00 arranged in five (5) lots: LOT 1. Medicines (MOOE) = Php196,852.00 LOT 2. Laboratory Supplies (MOOE) = Php100,317.50 LO</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</si>
  <si>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</si>
  <si>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Specifications can be viewed online by clicking the "Associated Components" section on this ITB. The Local Government Unit-Municipality of Malinao, Aklan through the Bids and Awards Committee, intends to apply the sum of Two Hundred Ninety Eight Thousand </t>
  </si>
  <si>
    <t xml:space="preserve"> Subgrade Preparation, Aggregate Sub-base Course Portland Cement Concrete Pavement (PCCP) Embankment</t>
  </si>
  <si>
    <t xml:space="preserve"> Purchase of Medicine</t>
  </si>
  <si>
    <t xml:space="preserve"> Specifications can be viewed online by clicking the "Associated Components" section on this ITB. The Local Government Unit-Municipality of Malinao, Aklan through the Bids and Awards Committee, intends to apply the sum of Six Hundred Ninety Four Thousand F</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</si>
  <si>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</si>
  <si>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</si>
  <si>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</si>
  <si>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Interested bidders are requested to be pre-qualified to bid fr the supply of materials to be delivered onsite.</t>
  </si>
  <si>
    <t xml:space="preserve"> Purchase of 1 unit Solvent recovery unit, 10 l/h. 230 V, 50-60 Hz, 2 units Heavy duty universal core drilling machine, three speeds motor 230 zv, 50-60 Hz, 6 pcs Coring 100mmx200mm Bit, 6 pcs Coring Bit 100mmx400mm, 1 unit Vibration hammer for soil and as</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</si>
  <si>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</si>
  <si>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</si>
  <si>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1	LOT	Supply, delivery and installation of equipment, instruments and software for the research project entitled “Improving Productivity of Philippine Carabao Mango through Introduction of Smart Farming Technologies in Plant Water Relation Manipulation”		</t>
  </si>
  <si>
    <t xml:space="preserve"> Brgy. Ermita Maripipi Biliran VERTICAL PROJECT</t>
  </si>
  <si>
    <t xml:space="preserve"> Purchase of Medical Equipment Maripipi, Biliran</t>
  </si>
  <si>
    <t xml:space="preserve"> Title:Procurement of 3 unit Computer Desktop,etc. under P.R.No. 2173-2020-5% City Disaster Risk Reduction and Management Fund(Continuing). Total ABC: Php 2,100,000.00 For representative/s of interested bidders who wish to attend the Pre-Bidding Conference</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</si>
  <si>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</si>
  <si>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Concreting of 200 meters length and 370 meters concrete pathway, 2 meters in width, 0.15 meter in thickness "class A".</t>
  </si>
  <si>
    <t xml:space="preserve"> 20CSHN09 -Appraisal Services for Road-Right-of-Way Acquisition – Road Widening - Secondary Roads - Consolacion-Tayud-Liloan  Road - Chainage 1920 - Chainage 2823, Consolacion, Cebu Scope of Work		:	Appraisal Services</t>
  </si>
  <si>
    <t xml:space="preserve"> 1.	The OFFICE OF CIVIL DEFENSE, through the OCD Quick Response Fund 2019 – Capital Outlay (Continuing Appropriation), intends to apply the sum of Twenty Three Million, One Hundred Seventy Four Thousand, Thirty Three and 92/100 Pesos (PHP23,174,033.92), be</t>
  </si>
  <si>
    <t xml:space="preserve"> Republic of the Philippines Department of Health Cagayan Valley Center for Health Development BATANES GENERAL HOSPITAL Basco, Batanes E-mail Address: bataneshospital@gmail.com INVITATION TO BID ITB NO. 2020-06 Supply &amp; Delivery of Various Medicines 1. The</t>
  </si>
  <si>
    <t xml:space="preserve"> Procurement of Services and Provision of One Hundred Twenty-Five (125) Units Brand New Multi-Function Printers (MFP) for the Printing and Photocopying Requirements of Various OP Offices for FY 2020</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</si>
  <si>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</si>
  <si>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Construction of Flood Control Structures along Zapote River and its Tributaries</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</si>
  <si>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</si>
  <si>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1.	The Local Government Unit (LGU) of Aroroy, through its Supplemental Budget No. 05 - 2020 to apply the sum of Php 2,000,000.00 being the Approved Budget for the Contract (ABC) to payments under the contract for Supply and Delivery of Supplies/Materials </t>
  </si>
  <si>
    <t xml:space="preserve"> CONSTRUCTION OF SLOPE PROTECTION</t>
  </si>
  <si>
    <t xml:space="preserve"> Kindly see attached documents</t>
  </si>
  <si>
    <t xml:space="preserve"> Supply and Delivery of 70 bags Okra Seeds- 1 kilo, 70 bags Sitao Seeds- 1 kilo, 45 bags Pechay seeds- 1 kilo, 45 bags Radish Seeds- 1 kilo, 70 cans Eggplant Seeds- 50 grams, 115 bag Complete Fertilizer, etc.....</t>
  </si>
  <si>
    <t xml:space="preserve"> Purchase of Food Assistance !5 Barangay's Maripipi, Biliran</t>
  </si>
  <si>
    <t xml:space="preserve"> Supply of Labor and Materials for Rehabilitation / Restoration of Kalayaan Hall Exterior</t>
  </si>
  <si>
    <t xml:space="preserve"> as per BSP Technical Specifications</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</si>
  <si>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</si>
  <si>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</si>
  <si>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</si>
  <si>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INVITATION TO BID (GOODS) The Municipality of Sibonga, through the Trust Fund intends to apply the sum of Four hundred ninety-nine thousand nine hundred pesos only (499,900.00) being the Approved Budget for the Contract (ABC) to payment under the contract</t>
  </si>
  <si>
    <t xml:space="preserve"> Supply and Delivery of 47,900 pcs. Composition Notebook (80 leaves) 46 gsm, 155,000 pcs.  Spiral Notebook (80 leaves 46 GSM), 42,750 pcs.  Writing Pad 80 leaves, 68,500 Inter.  Writing Pad 80 leaves,  13,600 pcs. Bond Paper (Short) 80 GMS 50pcs/ sheets, 8</t>
  </si>
  <si>
    <t xml:space="preserve"> Republic of the Philippines Cordillera Administrative Region Provincial Local Government Unit of Ifugao BIDS AND AWARDS COMMITTEE 2nd Floor COA Bldg., Capitol Compound Lagawe, Ifugao Email Ad.: bacgoodsifugao13@gmail.com INVITATION TO BID Two (2) units Br</t>
  </si>
  <si>
    <t xml:space="preserve"> Republic of the Philippines Cordillera Administrative Region Provincial Local Government Unit of Ifugao BIDS AND AWARDS COMMITTEE 2nd Floor COA Bldg., Capitol Compound Lagawe, Ifugao Email Ad.: bacgoodsifugao13@gmail.com INVITATION TO BID IT EQUIPMENT Pub</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</si>
  <si>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</si>
  <si>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Supply and Delivery of 4,550 pcs. Small Bag- Back Pack Color:  Orange bag with side pocket net and logo, 9,050 pcs.  Medium Bag- Back Pack, Color:  Blue bag with side pocket net and logo, 8,650 pcs. Large bag-  Back Pack Color:  Mint Green with front pock</t>
  </si>
  <si>
    <t xml:space="preserve"> National Power Corporation INVITATION TO BID PUBLIC BIDDING 2020-0114 1.	The NATIONAL POWER CORPORATION (NPC), through       its        approved       Corporate Budget of CY 2020 intends to apply   the   sum   of (Please see schedule below) being the Appr</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</si>
  <si>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</si>
  <si>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</si>
  <si>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Supply and Delivery of 8,650 pcs. Plastic Protractor 10cm 180, 21,200 pcs. ID Lace and Holder (Personalized), 54,800 pcs. Plastic Envelope Long, 27,400 pcs. Colored Plastic Expanded Envelope, 2,400 pcs. Calculator, 22,250 pcs. Plastic Pencil Sharpener 2 -</t>
  </si>
  <si>
    <t xml:space="preserve"> Republic of the Philippines Cordillera Administrative Region Provincial Local Government Unit of Ifugao BIDS AND AWARDS COMMITTEE 2nd Floor COA Bldg., Capitol Compound Lagawe, Ifugao Email Ad.: bacgoodsifugao13@gmail.com INVITATION TO BID OFFICE EQUIPMENT</t>
  </si>
  <si>
    <t xml:space="preserve"> Republic of the Philippines Cordillera Administrative Region Provincial Local Government Unit of Ifugao BIDS AND AWARDS COMMITTEE 2nd Floor COA Bldg., Capitol Compound Lagawe, Ifugao Email Ad.: bacgoodsifugao13@gmail.com INVITATION TO BID HEAVY EQUIPMENTS</t>
  </si>
  <si>
    <t xml:space="preserve"> Construction of single storey 8.00 x 18.00 m. (144.00 sq.m.) Barangay Multi purpose building with amenities</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</si>
  <si>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</si>
  <si>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Supply and Delivery of 5,600 pcs. Jumbo Yellow Pencil with Eraser, 97,250 pcs. Yellow Pencil with Eraser, 93,000 pcs. Ballpen 1.0mm, 27,400 pcs. Pentel pen Black, and 13,600 pcs. Colored Paper 20's assorted</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</si>
  <si>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</si>
  <si>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NAME OF THE PROJECT: Installation of Street Lights  LOCATION OF THE PROJECT: Donsol Community College to Tres Marias, Donsol, Sorsogon  PROJECT REFERENCE NO.:  INFRA-PB-2020-014  Approved Budget for the Contract: ₱2,800,000.00  Source of Fund: MCDF 2019 B</t>
  </si>
  <si>
    <t xml:space="preserve"> Project Billboard/Signboard; Occupational Safety and Health Program; Mobilization/Demobilization; Structure Excavation (Common Soil); Gravel Fill; Structural Concrete (Footings and Slab on Fill) Class A, 28 days; Structural Concrete (Columns) Class A, 28 </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</si>
  <si>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</si>
  <si>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</si>
  <si>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NAME OF THE PROJECT: Improvement of New Public Building  LOCATION OF THE PROJECT: Market Site, Donsol, Sorsogon  PROJECT REFERENCE NO.:  INFRA-PB-2020-013  Approved Budget for the Contract: ₱2,000,000.00  Source of Fund: A.O. No. 07, s-2020 BRIEF DESCRIPT</t>
  </si>
  <si>
    <t xml:space="preserve"> NAME OF THE PROJECT: Improvement of Tourism Building (Governor’s Guest House)  LOCATION OF THE PROJECT:  Tourism Compound, Dancalan, Donsol, Sorsogon  PROJECT REFERENCE NO.:  INFRA-PB-2020-011  Approved Budget for the Contract: ₱1,000,000.00  Source of Fu</t>
  </si>
  <si>
    <t xml:space="preserve"> INVITATION TO BID (GOODS) The Municipality of Sibonga, through the General Fund intends to apply the sum of Six hundred seventy-seven thousand eight hundred seventy-five pesos only (677,875.00) being the Approved Budget for the Contract (ABC) to payment u</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</si>
  <si>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</si>
  <si>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Republic of the Philippines                   Department of Health	       CENTRAL OFFICE BIDS AND AWARDS COMMITTEE  INVITATION TO BID FOR THE  PROCUREMENT OF EXTERNAL HARD DISK IB NO. 2020-206 1.	The Department of Health (DOH), through the General Appropr</t>
  </si>
  <si>
    <t xml:space="preserve"> Provision of Field Office for the Engineer (Rental Basis); Permits and Clearances; Project Billboard/Signboard; Occupational Safety and Health Program; Mobilization/Demobilization; Clearing and Grubbing; Structure Excavation (Common Soil); Embankment from</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</si>
  <si>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</si>
  <si>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</si>
  <si>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The Department of Agriculture-RFO 3, invites interested suppliers/ bidders to submit bid proposal(s) for the hereunder requirement, to wit: QUANTITY UNIT Item No. Description 1 lot I Permits &amp; Clearance 177 cu.m II Earth Works &amp; Dismantling 1 ls III Tools</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</si>
  <si>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</si>
  <si>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</si>
  <si>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NAME OF THE PROJECT: Construction of Perimeter Fence  LOCATION OF THE PROJECT: Donsol Community College- Tres Marias, Donsol, Sorsogon  PROJECT REFERENCE NO.:  INFRA-PB-2020-012  Approved Budget for the Contract: ₱1,500,000.00  Source of Fund: 20%  MCDF 2</t>
  </si>
  <si>
    <t xml:space="preserve"> Provision of Field Office for the Engineer (Rental Basis); Permits and Clearances; Project Billboard/Signboard; Occupational Safety and Health Program; Mobilization/Demobilization; Structure Excavation (Common Soil) – Catch Basin); Structural Concrete, Co</t>
  </si>
  <si>
    <t xml:space="preserve"> NAME OF THE PROJECT: Improvement of Visitor’s Center- (Ogod)  LOCATION OF THE PROJECT:  Ogod, Donsol, Sorsogon  PROJECT REFERENCE NO.:  INFRA-PB-2020-010  Approved Budget for the Contract: ₱1,000,000.00  Source of Fund: A.O. No. 6, s-2020 BRIEF DESCRIPTIO</t>
  </si>
  <si>
    <t xml:space="preserve"> Road Opening at Ikog Buaya, Sitio Nonocan, Barangay Dapnan Phase III, Baganga, Davao Oriental</t>
  </si>
  <si>
    <t xml:space="preserve"> Rehabilitation of Barangay Road from Sitio Cabanbanan, Barangay Dapnan to Sitio Lapaz &amp; Sitio Calinaban, Barangay San Isidro, Baganga, Davao Oriental</t>
  </si>
  <si>
    <t xml:space="preserve"> Provision of Field Office for the Engineer (Rental Basis); Permits and Clearances; Project Billboard/Signboard; Occupational Safety and Health Program; Mobilization/Demobilization; Removal of Structures and Obstruction; Structure Excavation (Common Soil);</t>
  </si>
  <si>
    <t xml:space="preserve"> Construction of 2 units Single Detached Commercial Hometel at Sunrise Boulevard, Barangay Dapnan, Baganga, Davao Oriental.</t>
  </si>
  <si>
    <t xml:space="preserve"> A) REQUEST FOR QUOTATION 1. 560 pcs Ceramic floor tiles, 30 x 60cm 2. 330 pcs Wall tiles (polish) 30 x 60cm 3. 2 pcs Shower hose stainless 4. 1 bag Portland Cement, 40 kg/bag 5.3 pcs Tile cutting wheel / disc 4”Ø 6. 2 bags Tile grout gray, 2 kg/bag 7. 2 b</t>
  </si>
  <si>
    <t xml:space="preserve"> Rehabilitation of Barangay Road from Proper San Victor to Sitio Heni, Barangay San Victor, Baganga, Davao Oriental</t>
  </si>
  <si>
    <t xml:space="preserve"> Republic of the Philippines						 Province of Negros Occidental						 Municipality of La Castellana						 Bids and Awards Committee						 						 INVITATION TO APPLY FOR ELIGIBILITY AND TO BID						 						 Name of Project: 		WIDENING OF MUNICIPAL STREETS 	</t>
  </si>
  <si>
    <t xml:space="preserve"> Installation of Solar LED Street Light at Barangay Salingcomot, Baganga, Davao Oriental.</t>
  </si>
  <si>
    <t xml:space="preserve"> Installation of Solar LED Street Light at Barangay San Isidro, Baganga, Davao Oriental.</t>
  </si>
  <si>
    <t xml:space="preserve"> Republic of the Philippines                                                       Province of Zamboanga del Norte                                                          MUNICIPALITY OF MANUKAN 	                                                           </t>
  </si>
  <si>
    <t xml:space="preserve"> Rehabilitation of Barangay Road from Diversion Road to Sitio Paopagon, Barangay Salingcomot, Baganga, Davao Oriental.</t>
  </si>
  <si>
    <t xml:space="preserve"> Republic of the Philippines Cordillera Administrative Region Provincial Local Government Unit of Ifugao BIDS AND AWARDS COMMITTEE 2nd Floor COA Bldg., Capitol Compound Lagawe, Ifugao Email Ad.: bacgoodsifugao13@gmail.com INVITATION TO BID COMPUTER SERVER </t>
  </si>
  <si>
    <t xml:space="preserve"> Construction of PDAO Office Extension Building at Municipal Complex, Baganga, Davao Oriental.</t>
  </si>
  <si>
    <t xml:space="preserve"> ITEM NO.                DESCRIPTION                              QUANTITY           UNIT 100                         CLEARING AND GRUBBING             180                 SQ.M 105                         SUB-GRADE PREPARATION             900              </t>
  </si>
  <si>
    <t xml:space="preserve"> INVITATION TO BID June 8, 2020 The Eastern Visayas Regional Medical Center, through its Bids and Awards Committee (BAC A) invites suppliers/manufacturers/distributors to bid for the hereunder project:  Item/Description	Approved Budget for the Contract (AB</t>
  </si>
  <si>
    <t xml:space="preserve"> Specifications Item No.	Description	Quantity	Unit 	ROAD COMPONENTS		 	PART A – OTHER GENERAL REQUIREMENTS		 A.1.4(1)	Provision of Progress Photograps	610.00	each B.5	Project Billboard/Signboard	2.00	each B.7	Occupational Safety &amp; Health Program	all	l.s. B</t>
  </si>
  <si>
    <t xml:space="preserve"> Section I. Invitation to Bid   INVITATION TO BID FOR  Supply and Delivery of 6x6 Saddam Truck Rescue Vehicle (Surplus) 1.	The Local Government Unit of Lambayong, through the MDRRM Expenses Fund intends to apply the sum of Two Million Four Hundred Fifty Th</t>
  </si>
  <si>
    <t xml:space="preserve"> A) REQUEST FOR QUOTATION 1. 1 unit DSLR CAMERA with 18-105mm Kit Lens Specifications: Sensor: 24.2MP APS-C CMOS 4, 23.5 x 15.6mm Image Processor: EXPEED 4 AF points: 11-point AF, 1 cross-type ISO range: 100 to 25,600 Max image size: 6,000 x 4,000px Meteri</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</si>
  <si>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</si>
  <si>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</si>
  <si>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The Local Government Unit – Quinapondan, Eastern Samar, through its Bids &amp; Awards Committee (BAC ), intends to apply the sum of On Hundred Sixty six Thousand One Hundred Sixty five Pesos and 12/100 (Php166,165.12) under the approved Appropriation Ordinanc</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</si>
  <si>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</si>
  <si>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DEMOLITION OF UNNECESSARY STRUCTURES, CONCRETE AND MASONRY WORKS, FORM WORKS AND SCAFFOLDING WORKS, TILES, METAL AND ROOFING WORKS, SANITARY AND PLUMBING WORKS, CEILING AND CARPENTRY WORKS, DOORS AND WINDOWS, ELECTRICAL AND PAINTING WORKS.</t>
  </si>
  <si>
    <t xml:space="preserve"> Invitation to Bid The National Housing Authority (NHA), through the Corporate Budget approved by the NHA Board for CY 2020 intends to apply the sum of the Approved Budget for the Contract (ABC) to payments for the following contract: Ref. No. 2020-010	 PR</t>
  </si>
  <si>
    <t xml:space="preserve"> Local Government of Valencia Catarata Street, Poblacion, Valencia City,  Bukidnon, Philippines Philippine access (088) 828-5430 Contract Reference No. 2020-09 RE-BID 06/09/2020 INVITATION TO BID FOR THE SUPPLY AND DELIVERY OF 2 UNITS BRANDNEW UTILITY VAN </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</si>
  <si>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</si>
  <si>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Local Government of Valencia Catarata Street, Poblacion, Valencia City,  Bukidnon, Philippines Philippine access (088) 828-5430 Contract Reference No. 10-2020 06/09/2020 INVITATION TO BID FOR THE PROPOSED CONSTRUCTION OF MULTI-PURPOSE BUILDING PHASE I AT </t>
  </si>
  <si>
    <t xml:space="preserve"> 1. The Provincial Government of Davao Del Norte, through 20% DF CY 2020 and Trust Fund (NHA), intends to apply the sum of Forty Four Million Six Hundred Twenty Four Thousand One Hundred Thirty Two and 95/100 Pesos (Php 44,624,132.95) and being the Approve</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</si>
  <si>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</si>
  <si>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Installation of Solar LED Street Light at Barangay Dapnan, Baganga, Davao Oriental</t>
  </si>
  <si>
    <t xml:space="preserve"> Please see Request for Quotation/Bid form attached to Associated Components.</t>
  </si>
  <si>
    <t xml:space="preserve"> SEE ATTACHED FORM TO BID</t>
  </si>
  <si>
    <t xml:space="preserve"> ITEM NO.                DESCRIPTION                            QUANTITY           UNIT 100                        CLEARING  AND GRUBBING            180                  SQ.M 105                        SUB-GRADE PREPARATION             900                 </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</si>
  <si>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</si>
  <si>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Republic of the Philippines Province of South Cotabato BIDS AND AWARDS COMMITTEE Salada Street, Poblacion Tupi, South Cotabato Tel. Fax No.: (083) 226-1045 INVITATION TO BID FOR THE SUPPLY AND DELIVERY OF ONE (1) UNIT UTILITY VEHICLE (PICK UP) 1.	The Muni</t>
  </si>
  <si>
    <t xml:space="preserve"> Equipment for Banana Tissue Culture Laboratory Kindly see attached file. Thank you!</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</si>
  <si>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</si>
  <si>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Provision of Combined Field Office, Laboratory and Living Quarters Building for the Engineer (Rental Basis); Miscellaneous Survey and Staking; Project Billboard / Signboard; Occupational Safety and Health Program; Traffic Management; Mobilization/Demobili</t>
  </si>
  <si>
    <t xml:space="preserve"> Construction of 1 unit Multi-Purpose Pavement (0.10 x 17 x 28 M) at Sitio Obian 2, Barangay San Victor, Baganga, Davao Oriental.</t>
  </si>
  <si>
    <t xml:space="preserve"> 1	12	Sheets	1/4" thick Marine Plywood 2	150	Bd.Ft.	 2" x 2" x 12' Good lumber 3	160	Bd.Ft.	 2" x 2" x 10' Good lumber 4	55	Bd.Ft.	 2" x 2" x 8' Good lumber 5	10	kgs	  #2 1/2" CWN 6	3	kgs	  #1" CWN 7	12	bd.ft.	1'' x 3'' x 6' good lumber 8	12	bd.ft.	1'' x 3</t>
  </si>
  <si>
    <t xml:space="preserve"> Barangay Road Opening:  - From NHJ Sitio Tuajon, Barangay Dapnan to Sitio Kasukan, Barangay San Victor  - From Barangay Site Saoquigue to Diversion Road.  - From Proposed Cemetery, Barangay Salingcomot  - At Ikog Buaya, Sitio Nonocan, Barangay Dapnan Phas</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</si>
  <si>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</si>
  <si>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</si>
  <si>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</si>
  <si>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Rehabilitation of of Sunrise Boulevard, Barangay Dapnan, Baganga, Davao Oriental</t>
  </si>
  <si>
    <t xml:space="preserve"> Contract Name: 20GKF0040-Purchase of Materials for Regravelling of Shoulders along Linamon-Zamboanga Road K1576+000-K1579+000. Contract Location: Lanao del Norte Brief Description of Goods to be Procured: Aggregate Base Course = 414 cu.m. Approved Budget </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</si>
  <si>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</si>
  <si>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Contract Name: 20GKF0037-Purchase of Materials for Regravelling of Shoulders along Linamon-Zamboanga Road K1585+000-K1588+000. Contract Location: Lanao del Norte Brief Description of Goods to be Procured: Aggregate Base Course = 414 cu.m. Approved Budget </t>
  </si>
  <si>
    <t xml:space="preserve"> Contract Name: 20GKF0036-Purchase of Materials for Regravelling of Shoulders along Linamon-Zamboanga Road K1590+000-K1593+000. Contract Location: Lanao del Norte Brief Description of Goods to be Procured: Aggregate Base Course = 414 cu.m. Approved Budget </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</si>
  <si>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</si>
  <si>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SEE ATTACHED INVITATION TO BID, CHECKLISTS, BIDDING DOCUMENTS, STANDARD BIDDING FORMS AND PLANS</t>
  </si>
  <si>
    <t xml:space="preserve"> Republic of the Philippines Province of Batangas MUNICIPALITY OF LOBO Invitation to Bid for the PURCHASE OF GENERATOR SET TO BE INSTALLED AT NEW PUBLIC MARKET, BARANGAY POBLACION, LOBO, BATANGAS Contract ID No. 3-01-001-20-076 			 1.The Municipal Governme</t>
  </si>
  <si>
    <t xml:space="preserve"> Concrete Paving along River Park 100LM NOTE:To all bidders bid documents and BAC Resolution 2020-029 are available at BAC Office and LGU website.</t>
  </si>
  <si>
    <t xml:space="preserve"> Contract Name: 20GKF0039-Purchase of Materials for Regravelling of Road Shoulders along Tubod-Ganassi Road K1605+000-K1610+000. Contract Location: Lanao del Norte Brief Description of Goods to be Procured: Aggregate Base Course = 333 cu.m. Approved Budget</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</si>
  <si>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</si>
  <si>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Contract Name: 20GKF0038-Purchase of Materials for Regravelling of Road Shoulders along Tubod-Ganassi Road K1605+000-K1610+000. Contract Location: Lanao del Norte Brief Description of Goods to be Procured: Aggregate Base Course = 333 cu.m. Approved Budget</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</si>
  <si>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</si>
  <si>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Republic of the Philippines Region XII Province of Cotabato CITY OF KIDAPAWAN BIDS AND AWARDS COMMITTEE Invitation to Bid 						  		             Date: June 09, 2020 1.	The City Government of Kidapawan, through the Local Disaster Risk Reduction Management </t>
  </si>
  <si>
    <t xml:space="preserve"> Portland Cement Coco Lumber 2x4x12 Sand Gravel Common Nails #3</t>
  </si>
  <si>
    <t xml:space="preserve"> Reshaping &amp; compaction, including trimming of road side slopes of Katipunan Barangay Road networks.</t>
  </si>
  <si>
    <t xml:space="preserve"> Republic of the Philippines Province of Negros Oriental MUNICIPALITY OF BACONG Barangay Tubod INVITATION TO BID Improvement of Multi-purpose Hall,  Tubod Bacong, Negros Oriental RFQ 2020-01 1.	The Barangay Tubod through the Brgy Fund  intends to apply the</t>
  </si>
  <si>
    <t xml:space="preserve"> Republic of the Philippines MUNICIPALITY OF KAPALONG Province of Davao del Norte 	o0o	 INVITATION TO BID 	 Supply &amp; Delivery of Materials for Proposed Closure and Rehabilitation of Open Dumpsite at Banate Capungagan, Kapalong, Davao del Norte 1.	The Local</t>
  </si>
  <si>
    <t xml:space="preserve"> Request for Quotation RFQ No.	SVP-008-2020 MR No.	10904 Requisition No.	ADM# 03-012020 Posting Date:	June 9, 2020 Deadline for Submission:	June 16, 2020 at 9:00 AM Opening Date:	June 16, 2020 at 10:00 AM TO:	Name of Supplier:  	 Address:  	 Contact No.:  </t>
  </si>
  <si>
    <t xml:space="preserve"> Republic of the Philippines Region XII Province of Cotabato CITY OF KIDAPAWAN BIDS AND AWARDS COMMITTEE Invitation to Bid 						  		            Date: June 09, 2020 1.	The City Government of Kidapawan, through the Local Disaster Risk Reduction Management F</t>
  </si>
  <si>
    <t xml:space="preserve"> Republic of the Philippines MUNICIPALITY OF KAPALONG Province of Davao del Norte 	o0o	 INVITATION TO BID 	 Supply &amp; Delivery One (1) unit Mini Hydraulic Excavator 1.	The Local Government Unit of Kapalong, through the MDRRM Fund   intends to apply the sum </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</si>
  <si>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</si>
  <si>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</si>
  <si>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Republic of the Philippines Province of Cebu Municipality of Cordova BIDS AND AWARDS COMMITTEE (BAC) (032-236-6171) INVITATION TO BID  The Municipality of Cordova, through its Bids and Awards Committee (BAC) intends to apply  the sum of Eighty Million Sev</t>
  </si>
  <si>
    <t xml:space="preserve"> Republic of the Philippines Region XII Province of Cotabato CITY OF KIDAPAWAN BIDS AND AWARDS COMMITTEE Invitation to Bid 						  		             Date: June 9, 2020 1.	The City Government of Kidapawan, through the Trust Fund (Department of Agriculture Acco</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</si>
  <si>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</si>
  <si>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Republic of the Philippines Region XII Province of Cotabato CITY OF KIDAPAWAN BIDS AND AWARDS COMMITTEE Invitation to Bid 						  		          Date: June 09, 2020 1.	The City Government of Kidapawan, through the 20% EDF CY 2020 Appropriation Ordinance 20-0</t>
  </si>
  <si>
    <t xml:space="preserve"> Name of Project: Provision of Sixteen (16) Sets Solar Streetlight Location: Brgy Estipona, Pura, Tarlac ABC: Php 787,500.50 Specification: 16 sets LED Solar Light 150 V SMD, Warm White Model: SSL 150W-WW Specification: Light Output: 150W Solar Panel:250W </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</si>
  <si>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</si>
  <si>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Supply and Delivery of 60 heads Female Carabao: Specifications: 1 Must not be younger than 18 month not older than 200 kilograms 2. Must be apparently healthy and free from physical deformities 3. Vaccinated against hemosep and have been dewormed 4.Subjec</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</si>
  <si>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</si>
  <si>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Diesel Fuel etc. NOTE:To all suppliers bid documents and BAC Resolution 2020-029 are available at  BAC Office and LGU website.</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</si>
  <si>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</si>
  <si>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Construction of 160.00 meters concrete road</t>
  </si>
  <si>
    <t xml:space="preserve"> Republic of the Philippines Region XII Province of Cotabato CITY OF KIDAPAWAN BIDS AND AWARDS COMMITTEE Invitation to Bid 						  		             Date: June 09, 2020 1.	The City Government of Kidapawan, through the 20% EDF CY 2020 Appropriation Ordinance 2</t>
  </si>
  <si>
    <t xml:space="preserve"> Invitation to Bid for the CONSTRUCTION OF JIABONG FIRE STATION  1.	The Bureau of Fire Protection Region 8, through the Special Accounts in the General Fund SAGF 2020 intends to apply the sum of Seven Million Three Hundred Twenty Thousand Nine Hundred Sixt</t>
  </si>
  <si>
    <t xml:space="preserve"> qcctv   1 set</t>
  </si>
  <si>
    <t xml:space="preserve"> Construction of 3,077 ln.m. Water Supply System</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</si>
  <si>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</si>
  <si>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Construction of 179.52 meters concrete road</t>
  </si>
  <si>
    <t xml:space="preserve"> ITEM NO                     DESCRIPTION                            QUANTITY        UNIT 105 (1)                       SUB-GRADE PREPARATION          900                SQ.M 201                             AGGREGATE BASE COURSE         157.5             CU</t>
  </si>
  <si>
    <t xml:space="preserve"> qspillway riprap  18.50m x 3.00m     55.50m2</t>
  </si>
  <si>
    <t xml:space="preserve"> q   30 sq.m</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</si>
  <si>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</si>
  <si>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Item No.	Scope of Work	Quantity	Unit	Total Estimated Cost I	Excavation and Lay Out	1 lot	 II	Forms and Scaffolding	480	Bd.ft.	 III	Concrete and Masonry Works	170	Bags	 IV	Steel/Roofing Works	84	pcs	 				657,018.63</t>
  </si>
  <si>
    <t xml:space="preserve"> 1.	The Municipality of Impasugong, through the 20% Rubber Plantation Project/Oil Palm Project intends to apply the sum Two Million Five Hundred Thousand Pesos (PhP 2,500,000.00) being the Approved Budget for the Contract (ABC) to payments under the contra</t>
  </si>
  <si>
    <t xml:space="preserve"> Invitation to Bid for the CONSTRUCTION OF PINABACDAO FIRE STATION 1. The Bureau of Fire Protection Region 8, through the Special Accounts in the General Fund SAGF 2020 intends to apply the sum of Seven Million Three Hundred Twenty Thousand Nine Hundred Si</t>
  </si>
  <si>
    <t xml:space="preserve"> Invitation to Bid for the CONSTRUCTION OF PADRE BURGOS FIRE STATION  1.	The Bureau of Fire Protection Region 8, through the Special Accounts in the General Fund SAGF 2020 intends to apply the sum of Seven Million Three Hundred Twenty Thousand Nine Hundred</t>
  </si>
  <si>
    <t xml:space="preserve"> Procurement of supply and delivery of Agricultural Supplies and Materials 16	pcs	Plastic drums w/ lid (200 liters) 32	roll	Nylon string 48	pcs	Seedling tray (104 holes) 16	roll	Mulching Polyethylene 16	unit	Garden hose (100 meter/unit) A2 PR# 2020-924</t>
  </si>
  <si>
    <t xml:space="preserve"> Item No.	Scope of Work	Quantity	Unit	Total Estimated Cost 1	Steel and Welding Works	8.00	units	 				 				 				 				211,945.77</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</si>
  <si>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</si>
  <si>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</si>
  <si>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Procurement of supply and delivery of native pig 		Native Pig Predominantly black or dark brown in color showing the phenotypic characteristics of a native chicken 4	heads	Male 13	heads	Female 		*Not less than 3 months but not more than 8 months of age *N</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</si>
  <si>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</si>
  <si>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Republic of the Philippines PROVINCE OF BUKDINON Malaybalay City OFFICE OF THE PROVINCIAL GOVERNOR Bids and Awards Committee INVITATION TO BID FOR THE “SUPPLY AND DELIVERY OF ONE LOT HOUSEKEEPING SUPPLIES” ITB No. 2020-149 June 9, 2020 1.	The Provincial G</t>
  </si>
  <si>
    <t xml:space="preserve"> Procurement of supply and delivery of Assorted Vegetable Seeds 100	packets	Pechay Black Behi Type 2g/pack 100	packets	Raddish Hybrid Long, Smooth type 16g/pack 100	packets	Eggplant Hybrid, Long purple type 1g/pack 100	packets	Tomato 1g/pack 100	packets	Am</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</si>
  <si>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</si>
  <si>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PR # 178 -020 INVITATION TO BID (INFRA) The Municipality of Sibonga through the General Fund intends to apply the sum of Eight hundred forty-three thousand ninety-nine &amp; 4/100 pesos only (843,099.04) being the Approved Budget for the Contract (ABC) to pay</t>
  </si>
  <si>
    <t xml:space="preserve"> Project Billboard/Sign Board; Occupational Safety and Health Program; Mobilization/Demobilization; Subgrade Preparation (Common Material); Aggregate Subbase Course (0.15m thick); Portland Cement Concrete Pavement (Unreinforced), (0.20m thick, 14 days).</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</si>
  <si>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</si>
  <si>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Provision of Field Office for the Engineer (Rental Basis); Project Billboard/Sign Board; Occupational Safety &amp; Health Program; Mobilization/Demobilization; Clearing &amp; Grubbing; Surplus Common Excavation; Structure Excavation, Soft Rock; Embankment from Bo</t>
  </si>
  <si>
    <t xml:space="preserve"> Provision of Combined Field Office, Laboratory and Living Quarters Building for the Engineer (Rental Basis); Project Billboard/Signboard; Occupational Safety and Health Program; Traffic Management; Mobilization/Demobilization; Clearing and Grubbing (w/ st</t>
  </si>
  <si>
    <t xml:space="preserve"> PR # 085 -020 INVITATION TO BID (INFRA) The Municipality of Sibonga through the Trust Fund intends to apply the sum of Two hundred ninety-six thousand eight hundred sixty-four &amp; 68/100 pesos only (296,864.68) being the Approved Budget for the Contract (AB</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</si>
  <si>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</si>
  <si>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Republic of the Philippines Province of Kalinga TABUK CITY OHS COMMITTEE ON BIDS AND AWARDS INVITATION TO BID FOR THE PROCUREMENT OF O.B. KITS 1. The PROVINCIAL GOVERNMENT OF KALINGA, through the General Fund Annual Budget 2020 Intends to apply the sum of</t>
  </si>
  <si>
    <t xml:space="preserve"> Procurement of supply and delivery of Native Chicken 20	heads	Rooster 100	heads	Hen 		Specification:  *Not less than 1kg (1000 grams)  *Not less than 4 months old but not more than 12 months old *No physical defects *Vaccinated against New Castle Disease </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</si>
  <si>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</si>
  <si>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</si>
  <si>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Title:Procurement of 1,000 Vial Rabies Vaccine(10 Dose/Vial),etc. under P.R.No. 1408-2020-Office of the City Veterinarian-2nd Bidding Total ABC: Php 1,595,798.00 For representative/s of interested bidders who wish to attend the Pre-Bidding Conference, ple</t>
  </si>
  <si>
    <t xml:space="preserve"> Republic of the Philippines                                                     PROVINCE OF SAMAR                                                        2nd INVITATION TO BID                                               Supply of Electrical Equipment 1) </t>
  </si>
  <si>
    <t xml:space="preserve"> REQUEST FOR EXPRESSION OF INTEREST (REI) Consulting Services for the Conduct of Sub-surface Soil Exploration and Geotechnical Investigation for the Construction of various Buildings and Other Structures in Tarlac. 1.	The Department of Public Works and Hig</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</si>
  <si>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</si>
  <si>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ITB NO. 2020-0012 Design, Supply, Fabrication of Mounting Brackets and Installation and Testing of Antenna Panels for the Zamboanga Transmitter Station of the People’s Television Network Inc. (PTNI)</t>
  </si>
  <si>
    <t xml:space="preserve"> Republic of the Philippines Province of Surigao del Sur Municipality of Tago ----oo0oo---- Invitation to Bid Supply and Delivery of Various Brand New Heavy Equipments and Brand New Six (6) Wheelers Dump truck Project ID No. TAG-SDS-051-2020 The Local Gove</t>
  </si>
  <si>
    <t xml:space="preserve"> Invitation to Bid Design and Build of Single - storey Administration Building for Dipaculao Water District, Dipaculao, Aurora 1.	The Dipaculao Water District intends to apply the sum of Seven Hundred Eighty-Nine Thousand Pesos (P789,000.00) being the tota</t>
  </si>
  <si>
    <t xml:space="preserve"> Republic of the Philippines PROVINCIAL GOVERNMENT OF EASTERN SAMAR Capitol Building, Borongan, Eastern Samar, 6800 Tel No. (055)-560-8312 E-mail Address: esamar.bac@gmail.com BIDS AND AWARDS COMMITTEE (BAC) INVITATION TO BID FOR CONSTRUCTION OF BRGY. ROAD</t>
  </si>
  <si>
    <t xml:space="preserve"> Republic of the Philippines PROVINCIAL GOVERNMENT OF EASTERN SAMAR Capitol Building, Borongan, Eastern Samar, 6800 Tel No. (055)-560-8312 E-mail Address: esamar.bac@gmail.com BIDS AND AWARDS COMMITTEE (BAC) INVITATION TO BID FOR CONCRETING OF HOLLYWOOD TO</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</si>
  <si>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</si>
  <si>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Republic of the Philippines                                                     PROVINCE OF SAMAR                                                         INVITATION TO BID                                                       Supply of Fishing Gears 1) Th</t>
  </si>
  <si>
    <t xml:space="preserve"> Invitation to Bid The National Housing Authority (NHA), through the Corporate Budget approved by the NHA Board for CY 2020 intends to apply the sum of the Approved Budget for the Contract (ABC) to payments for the following contract: Ref. No. 2020-S002	 P</t>
  </si>
  <si>
    <t xml:space="preserve"> Invitation to Bid The National Housing Authority (NHA), through the Corporate Budget approved by the NHA Board for CY 2020 intends to apply the sum of the Approved Budget for the Contract (ABC) to payments for the following contract: Ref. No. 2020-S001	 P</t>
  </si>
  <si>
    <t xml:space="preserve"> Pre-bid Conference @ BAC Conference Room, GSO, 1st floor, New Capitol Blg, Pigcarangan, Tubod,LDN on June 18, 2020 @ 10:00 AM Deadline for Submission of Eligibility requirements and bidding documents for bid opening (all bids must be placed in a sealed en</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</si>
  <si>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</si>
  <si>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20 W Solar Panel 5w LED Buld 10A Solar Charge Controller, Weatherproof, Dush Till Dawn 16ah Solar Battery  2"Post with Padestal 6" AMCO Globe</t>
  </si>
  <si>
    <t xml:space="preserve"> SEE ATTACHED BIDDING DOCS, PLANS AND CHECKLIST</t>
  </si>
  <si>
    <t xml:space="preserve"> Concreting of Alley RoadC</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</si>
  <si>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</si>
  <si>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</si>
  <si>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</si>
  <si>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ITB NO. 2020-0011 Provision of Security  Services of People’s Television Network, Inc. Manila Office and its Provincial Station</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</si>
  <si>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</si>
  <si>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</si>
  <si>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Republic of the Philippines Province of Surigao del Sur Municipality of Tago ---ooo0ooo--- Invitation to Bid REHABILITAITON OF TAGO TOWN HALL Project ID No. TAG-SDS-053-2020 The Local Government Unit of Tago, Surigao del Sur invites sealed Bids from eligi</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</si>
  <si>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</si>
  <si>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Piglets Hog Starter Hog Grower Hog Finisher Dewormer (Injectable Ivermection, 10 ml/bottle -3 ml/cycle for 2 heads (.3 bottle/cycle Vitamin B. Complaex (Injectable BEXAN SP20 ml/bottle)-8 ml/cycle for 2 heads (08 bottle/cycle)</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</si>
  <si>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</si>
  <si>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</si>
  <si>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</si>
  <si>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</si>
  <si>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</si>
  <si>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</si>
  <si>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Excavation Gravel Fill Structural Concrete Masonry Roofing Plumbing Doors And Windows Tiles Painting Hardware Materials</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</si>
  <si>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</si>
  <si>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Issuance of Bid Documents Starts: June 3, 2020 Cost of Bid Document: Php 1,000.00 Venue of Dropping and Opening Bids: BAC Conference Room, Leyte SMED Center, Provincial Capitol Grounds, Tacloban City</t>
  </si>
  <si>
    <t xml:space="preserve"> see attached Invitation to Bid &amp; Bid Documents</t>
  </si>
  <si>
    <t xml:space="preserve"> 20F00113 - Local Program – Construction/Repair/Rehabilitation/Improvement of Various Infrastructure including Local Projects – Local Roads and Bridges – Local Roads – Construction of Pasacao-Balatan Coastal Road, Brgy. Pinamasagan, San Fernando, Camarines</t>
  </si>
  <si>
    <t xml:space="preserve"> 20F00110 - Local Program – Construction/Repair/Rehabilitation/Improvement of Various Infrastructure including Local Projects – Local Roads and Bridges – Local Roads – Construction of Pasacao-Balatan Coastal Road, Brgy. Cotmo, San Fernando, Camarines Sur (</t>
  </si>
  <si>
    <t xml:space="preserve"> 20F00059 - OO1: Ensure Safe and Reliable National Road System – Network Development Program – Road Widening – Secondary Roads, Masbate-Cataingan-Placer Road, Cataingan, Masbate (3rd Legislative District)</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</si>
  <si>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</si>
  <si>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</si>
  <si>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</si>
  <si>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tables and chairs, secretary at session hall</t>
  </si>
  <si>
    <t xml:space="preserve"> Republic of the Philippines Department of Health Cagayan Valley Center for Health Development BATANES GENERAL HOSPITAL Basco, Batanes E-mail Address: bataneshospital@gmail.com REQUEST FOR PROPOSAL RFP NO. 2020-03 Supply &amp; Delivery of Various Medicines 1.	</t>
  </si>
  <si>
    <t xml:space="preserve"> 20F00123 - OO1: Ensure Safe and Reliable National Road System – Bridge Program – Widening of Permanent Bridges – Pili Airport Br. (B00418LZ) along Pili Airport Road, Pili, Camarines Sur 3rd Legislative District</t>
  </si>
  <si>
    <t xml:space="preserve"> Republic of the Philippines PROVINCE OF ZAMBOANGA SIBUGAY Municipality of Mabuhay OFFICE OF THE BAC CHAIRMAN                         INVITATION TO BID FOR THE COMPLETION OF SERGIO OSMEÑA ST. (GOING MABUHAY CENTRAL ELEMENTARY SCHOOL) Identification No. LGU</t>
  </si>
  <si>
    <t xml:space="preserve"> Concreting of Alley Road</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</si>
  <si>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</si>
  <si>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INVITATION FOR NEGOTIATED PROCUREMENT  Petroleum, Oil and Lubricants 1.	In view of two (2) failed public biddings, the Department of Budget and Management-Bids and Awards Committee (DBM-BAC) invites interested bidders to participate in the negotiation for</t>
  </si>
  <si>
    <t xml:space="preserve"> 74568 - Procurement of Various Hardware Materials for Construction of Modular Concrete Blocks Posting Date: June 3, 2020 Closing Date: June 16, 2020</t>
  </si>
  <si>
    <t xml:space="preserve"> 100 BAGS - GLUTINOUS CORN SEEDS @ 18KG/BAG Please see attached RFQ # 20-1000-1 Submit your Sign and Sealed Quotation together with your UPDATED ELIGIBILITY Requirements at 3/F ATI Building Department of Agriculture Region IV-MiMaRoPa, Property&amp;Supply Unit</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</si>
  <si>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</si>
  <si>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74462 - Procurement of Airconditioning Check-up and Cleaning Services Posting Date: June 3, 2020 Closing Date: June 16, 2020</t>
  </si>
  <si>
    <t xml:space="preserve"> A) REQUEST FOR QUOTATION 1. 24 gals Red Oxide Primer 2. 6 gals Paint Thinner 3. 50 pails Roofpaint, Red 4. 12 pcs Paint Brush 4” 5. 5 pcs Paint Roller 7” 6. 10 pcs Paint Brush 3” 7. 10 kg Waste Cloth Note: Delivery Period: Fifteen (15) Calendar days B) US</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</si>
  <si>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</si>
  <si>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LOT 2: 100 BAGS - UREA (50KG/BAG) 100 BAGS - COMPLETE (50KG/BAG) 100 BAGS - MOP 0-0-60 (50KG/BAG) 1,000 BAGS - ORGANIC FERTILIZER (20KG/BAG) Please see attached RFQ # 20-1000-2 Submit your Sign and Sealed Quotation together with your UPDATED ELIGIBILITY R</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</si>
  <si>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</si>
  <si>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ITB No. 2020-07 (SHORT OF AWARD) 1.	The SUGAR REGULATORY ADMINISTRATION, through the SRA Corporate Operating Budget 2020 intends to apply the sum of Thirteen Million Nine Hundred Thousand Pesos (₱13,900,000.00) being the total Approved Budget for the Cont</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</si>
  <si>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</si>
  <si>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</si>
  <si>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</si>
  <si>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</si>
  <si>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</si>
  <si>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74514 - Procurement of Various Hardware &amp; Construction Materials Posting Date: June 3, 2020 Closing Date: June 16, 2020</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</si>
  <si>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</si>
  <si>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INVITATION TO BID PAITAN SWIP 1.	The National Irrigation Administration – Bulacan-Aurora-Nueva Ecija Irrigation Management Office, Tambubong, San Rafael, Bulacan, through GAA 2020 intends to apply the sum of Nine Million Two Hundred Twenty-Four Thousand F</t>
  </si>
  <si>
    <t xml:space="preserve"> A) REQUEST FOR QUOTATION 1. 2 ltr Termiticide, water base 2. 28 bag Cement 3. 3 cu. m Gravel 4. 2 cu. m Sand 5. 31 pc Deformed bar, 10mmØ 6. 165 pc CHB, 4" 7. 2 kg GI wire, #16 8. 152 pc Ceramic floor tiles, 0.40 x 0.40m, verify design and color 9. 5 bag </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</si>
  <si>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</si>
  <si>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Invitation for Negotiated Procurement Drilling of One (1) Production Well at Kat-Bayani Pumping Station  1. In view of the two (2) failed competitive public biddings, the Tanay Water District, through its Bids and Awards Committee (BAC), invites intereste</t>
  </si>
  <si>
    <t xml:space="preserve"> The SANGGUNIANG BARANGAY OF BARANGAY PANTAY BATA, TANAUAN CITY, BATANGAS, through the Barangay Operating Budget 2020 intends to apply the sum of Fifty Thousand  Pesos Only (Php 50,000.00) being the Approved Budget of the Contract (ABC) to payment under th</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</si>
  <si>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</si>
  <si>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UPS TECHNICAL SPECIFICATIONS: POWER RATING: 3000 VA/ 2700W INPUT AC PARAMETERS: INPUT SOCKET: IEC 320-C20 OUTPUT SOCKET: (6) IEC 320-C13; (1) IEC320-C19 BATTERY PARAMETERS: QUANTITY X VOLTAGE X RATING (Ahr): 6 X 12 V X 9.0 ENVIRONMENTAL: AUDIBLE NOISE (Db</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</si>
  <si>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</si>
  <si>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</si>
  <si>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20F00114 - OO1: Ensure Safe and Reliable National Road System – Network Development Program – Construction of By-Pass and Diversion Roads – Palanas – San Isidro Road, Jovellar, Albay, Albay 3rd Legislative District</t>
  </si>
  <si>
    <t xml:space="preserve"> Please see attached RFQ # 20-978. Submit your Sign and Sealed Quotation together with your UPDATED ELIGIBILITY Requirements at 3/F ATI Building Department of Agriculture Region IV-MiMaRoPa, Property&amp;Supply Unit/BAC Secretariat Elliptical Road, Diliman, Qu</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</si>
  <si>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</si>
  <si>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</si>
  <si>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</si>
  <si>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Republic of the Philippines                   Department of Health	       CENTRAL OFFICE BIDS AND AWARDS COMMITTEE  INVITATION TO BID FOR THE  PROCUREMENT OF DELTAMETHRIN – REBID  IB NO. 2020-172-A 1.	The Department of Health (DOH), through the General Ap</t>
  </si>
  <si>
    <t xml:space="preserve"> INVITATION TO BID SIMIMBAAN SWIP 1.	The National Irrigation Administration – Bulacan-Aurora-Nueva Ecija Irrigation Management Office, Tambubong, San Rafael, Bulacan, through GAA 2020 intends to apply the sum of Nine Million Two Hundred Eighty-One Thousand</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</si>
  <si>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</si>
  <si>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</si>
  <si>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</si>
  <si>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Procurement of supply and delivery of Laboratory Supplies 98	box	Facemask, cotton, good quality, 50’s 50	box	Syringe, disposable, good quality, 3 ml, 100’s 50	box	Syringe, disposable, good quality, 5 ml, 100’s 50	box	Syringe, disposable, good quality, 10 </t>
  </si>
  <si>
    <t xml:space="preserve"> To be used in the collection of Local Revenues. Delivery Term: 30-45 days after receipt of PO.</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</si>
  <si>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</si>
  <si>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Request for Proposal  The Bureau of Fisheries and Aquatic Resources Regional Office No. 5 (BFAR RO 5), Fabrica, Bula, Camarines Sur is requesting from prospective suppliers to submit written proposal for the Supply and Delivery of Seaweed Propagules/Seedl</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</si>
  <si>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</si>
  <si>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Handheld Radios</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</si>
  <si>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</si>
  <si>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see attached bid docs</t>
  </si>
  <si>
    <t xml:space="preserve"> OTHER MACHINERY AND EQUIPMENT 2	ass	1.  Pump Coupled with MOTOR: Submersible pump 		Capacity of at least 60m3 per day at the following conditions: 		a. Operating condition: TDH=25-35m (operating head); Flow rate (7-10cmh) 		b. Pump Efficieny;  50% (minimu</t>
  </si>
  <si>
    <t xml:space="preserve"> Lot 1: One (1) Lot Application of Polyurethane Foam on all BSP Buildings of BSP Cebu RO (see attached Scope of Work and Specifications)                                                                Lot 2: One (1) Lot Application of Polyurethane Foam Insu</t>
  </si>
  <si>
    <t xml:space="preserve"> 1	lot	Professional Services (Highly Technical) to provide for Engineering Plans for the following: 		1.  Generator Set System of BSWM 		2. Fume Hood Ducting System of Laboratory 		3. Architectural Plan of BSWM 		4. Site Development Plan of BSWM 		Delivera</t>
  </si>
  <si>
    <t xml:space="preserve"> Please see attached RFQ # 20-786 Submit your Sign and Sealed Quotation together with your UPDATED ELIGIBILITY Requirements at 3/F ATI Building Department of Agriculture Region IV-MiMaRoPa, Property&amp;Supply Unit/BAC Secretariat Elliptical Road, Diliman, Que</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</si>
  <si>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</si>
  <si>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Request for Proposal  The Bureau of Fisheries and Aquatic Resources Regional Office No. 5 (BFAR RO 5), Fabrica, Bula, Camarines Sur is requesting from prospective suppliers to submit written proposal for the Supply and Delivery of Bangus Fry at BFAR-MAP, </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</si>
  <si>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</si>
  <si>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</si>
  <si>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</si>
  <si>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</si>
  <si>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</si>
  <si>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</si>
  <si>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</si>
  <si>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</si>
  <si>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Request for Quotation The Bureau of Fisheries and Aquatic Resources, Regional Office No. 5, Fabrica, Bula, Camarines Sur is requesting from prospective suppliers to submit quotation for the Supply and Delivery of Six (6) Units of Cellphone.   Quantity	Uni</t>
  </si>
  <si>
    <t xml:space="preserve"> The DPWH-Ilocos Sur 1st District Engineering Office, through its Bids and Awards Committee (BAC), invites contractors to submit bids for the following Contract:   Contract ID: 20AC0083   Contract Name: Construction of Flood Control Structure Along Mestizo</t>
  </si>
  <si>
    <t xml:space="preserve"> Construction of Multi-Purpose Building includes Civil, Mechanical, Electrical, and Sanitary/Plumbing Works; Earthwork; Plain and Reinforced Concrete Work; and Finishings and Other Civil Works; Electrical; Mechanical</t>
  </si>
  <si>
    <t xml:space="preserve"> The DPWH-Ilocos Sur 1st District Engineering Office, through its Bids and Awards Committee (BAC), invites contractors to submit bids for the following Contract:   Contract ID: 20AC0091   Contract Name: Construction of Multi-Purpose Building, Brgy. San Vic</t>
  </si>
  <si>
    <t xml:space="preserve"> The DPWH-Ilocos Sur 1st District Engineering Office, through its Bids and Awards Committee (BAC), invites contractors to submit bids for the following Contract:   Contract ID: 20AC0087   Contract Name: Rehabilitation of Tamorong Road with Slope Protection</t>
  </si>
  <si>
    <t xml:space="preserve"> Request for Quotation The Bureau of Fisheries and Aquatic Resources, Regional Office No. 5, Fabrica, Bula, Camarines Sur is requesting from prospective suppliers to submit quotation for the Supply and Delivery of Office Supplies.   Quantity	Unit	Item Desc</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</si>
  <si>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</si>
  <si>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The DPWH-Ilocos Sur 1st District Engineering Office, through its Bids and Awards Committee (BAC), invites contractors to submit bids for the following Contract:   Contract ID: 20AC0090   Contract Name: Constructionof Multi-Purpose Building, Magsingal, Ilo</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</si>
  <si>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</si>
  <si>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PLEASE ATTACHED TOR</t>
  </si>
  <si>
    <t xml:space="preserve"> The DPWH-Ilocos Sur 1st District Engineering Office, through its Bids and Awards Committee (BAC), invites contractors to submit bids for the following Contract:   Contract ID: 20AC0089   Contract Name: Construction / Rehabilitation of Multi-Purpose Buildi</t>
  </si>
  <si>
    <t xml:space="preserve"> Request for Quotation The Bureau of Fisheries and Aquatic Resources, Regional Office No. 5, Fabrica, Bula, Camarines Sur is requesting from prospective suppliers to submit quotation for the Supply and Delivery of Hardware Materials intended for the Operat</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</si>
  <si>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</si>
  <si>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</si>
  <si>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5	pieces	Scoopula spatula with flat end and spoon end, 9 inches length 20	packs	Paper towel, Interfolded Paper Towel, 195x205mm 6	pieces	Laboratory gown, Acid proof (L) 11	pieces	Carbouy Carbouy, black, with cover, 20-L capacity, with handle 5	pieces	Forc</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</si>
  <si>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</si>
  <si>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The DPWH-Ilocos Sur 1st District Engineering Office, through its Bids and Awards Committee (BAC), invites contractors to submit bids for the following Contract:   Contract ID: 20AC0088   Contract Name: Construction of Multi-Purpose Building, Brgy. Bungro,</t>
  </si>
  <si>
    <t xml:space="preserve"> Conctract ID No.:	:	20K00347 Conctract Name:	:	Construction of By-Pass and Diversion Road Jct. CDO-Talakag Road/ Macapagal Drive-Upper Carmen-Patag-Jct. BCIR/Kauswagan, Cagayan de Oro City Conctract Location:	:	Cagayan de Oro City Scope of Work:	:	Constru</t>
  </si>
  <si>
    <t xml:space="preserve"> CLARK DEVELOPMENT CORPORATION Clark Freeport Zone, Philippines INVITATION TO BID The Clark Development Corporation (CDC), through its Bids and Awards Committee (BAC), invites contractors registered with and classified by the Philippine Contractors Accredi</t>
  </si>
  <si>
    <t xml:space="preserve"> 20F00109 - Local Program – Construction/Repair/Rehabilitation/Improvement of Various Infrastructure Including Local Projects – Local Roads and Bridges – Local Roads – Construction of Pasacao-Balatan Coastal Road, Brgy. Balogo, Pasacao, Camarines Sur (2nd </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</si>
  <si>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</si>
  <si>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Contract ID: 20CSIO09 Contract Name: Consultancy Services for the Conduct of Feasibility Study of the Proposed Construction of Tacloban – Palo Diversion Road (Brgy. 89 San Jose, Brgy. 82, Marasbaras and Brgy. Calanipawan/Caibaan, Tacloban City – Brgy. Can</t>
  </si>
  <si>
    <t xml:space="preserve"> 20F00111 - Local Program – Construction/Repair/Rehabilitation/Improvement of Various Infrastructure Including Local Projects – Local Roads and Bridges – Local Roads – Construction of Pasacao-Balatan Coastal Road, Brgy. Gñaran, San Fernando, Camarines Sur </t>
  </si>
  <si>
    <t xml:space="preserve"> Contract ID: 20CSIO13 Contract Name: Consultancy Services for the Feasibility Study of the Proposed Calbayog Coastal Diversion Road, Calbayog City, Western Samar	 Contract Location: Calbayog City, Samar Approved Budget for the Contract (ABC) = ₱ 19,578,99</t>
  </si>
  <si>
    <t xml:space="preserve"> Contract ID: 20CSIO08 Contract Name: 	Consultancy Services for the Conduct of Feasibility Study of the Proposed Construction of Bypasses/Diversion Roads along Brgy. Kilim – Sitio Tipay Road Junction Ormoc – Baybay – Southern Leyte Bdry. Road to Buenavista</t>
  </si>
  <si>
    <t xml:space="preserve"> Republic of the Philippines City of Dapitan BIDS AND AWARDS COMMITTEE 						March 23, 2020 NOTICE FOR NEGOTIATED - SMALL VALUE PROCUREMENT 	The City Government of Dapitan through the Bids and Awards Committee (BAC) would like to inform PhilGEPS registered</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</si>
  <si>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</si>
  <si>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Sea Ambulance with 2 Stroke Double Engine 75 HP, 25 Passenger Capacity, GPS big 14 inches, Big Oxygen Tank and with Medical Kit</t>
  </si>
  <si>
    <t xml:space="preserve"> The DPWH-Ilocos Sur 1st District Engineering Office, through its Bids and Awards Committee (BAC), invites contractors to submit bids for the following Contract:   Contract ID: 20AC0081   Contract Name: Rehabilitation of Rivero Street, Including Constructi</t>
  </si>
  <si>
    <t xml:space="preserve"> Pls. see attached documents</t>
  </si>
  <si>
    <t xml:space="preserve"> The DPWH-Ilocos Sur 1st District Engineering Office, through its Bids and Awards Committee (BAC), invites contractors to submit bids for the following Contract:   Contract ID: 20AC0084   Contract Name: Construction of River Control Along Bical River, San </t>
  </si>
  <si>
    <t xml:space="preserve"> Contract ID: 20CSIO11 Contract Name: Consultancy Services for the Conduct of Feasibility study of the Proposed Tanauan Bypass Road, San Miguel – Santol – Tunga Road, Tolosa – San Victor – Tabontabon Road and Dapdap – Alangalang – Santa Cruz Road Contract </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</si>
  <si>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</si>
  <si>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100	pcs	LongRun P3 Module  64 x 64 (Indoor LED Display) 6	unit	Uninterruptible Power Supply; Capacity 1500VA; INPUT: 230VAC; OUTPUT: ± 10% BATTERY 12 V/10 Ah x 2; Real Panel: 1. AC Input  2. Backup Output 3. Bypass Output  4.  USB Port  5.  RJ11 6.  Cooli</t>
  </si>
  <si>
    <t xml:space="preserve"> PROVISION OF WATCHMAN SERVICES FROM MARCH 1-DECEMBER 31, 2020</t>
  </si>
  <si>
    <t xml:space="preserve"> 1 	lot	Strong Motion Accelerograph	 		23 pcs Strong Motion Accelerograph	 		-1x Fully tested 3-axis MEMS accelerograph	 		circuit board	 		-1x Vertical Earth motion monitoring sensor	 		("geophone", 4.5 Hz)	 		-1x Raspberry Pi single-board computer	 		-1x</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</si>
  <si>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</si>
  <si>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The DPWH-Ilocos Sur 1st District Engineering Office, through its Bids and Awards Committee (BAC), invites contractors to submit bids for the following Contract:   Contract ID: 20AC0078   Contract Name: Construction of Multi-Purpose Building (Covered Court</t>
  </si>
  <si>
    <t xml:space="preserve"> The DPWH-Ilocos Sur 1st District Engineering Office, through its Bids and Awards Committee (BAC), invites contractors to submit bids for the following Contract:   Contract ID: 20AC0076   Contract Name: Construction of Multi-Purpose Building (Covered Court</t>
  </si>
  <si>
    <t xml:space="preserve"> The San Francisco Water District through its Bids and Award committee will invites you to quote;</t>
  </si>
  <si>
    <t xml:space="preserve"> The BAC shall draw up the short list of consultants from those who have submitted Expressions of Interest and Eligibility Documents and have been determined as eligible in accordance with the provisions of Republic Act (RA) No. 9184, otherwise known as th</t>
  </si>
  <si>
    <t xml:space="preserve"> Procurement of supply and delivery of ICT Supplies  7	unit	Digital Capturing Device (bezel-less phone, Android 9.0 (pie): one UI OS version, dual standby sim, Octacore CPU, 128 GB storage, 6 GB RAM, microSd external storage, non-removable Li-Po 6000mAh ba</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</si>
  <si>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</si>
  <si>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Republic of the Philippines				 				                   Office of the Municipal Mayor				 					       BIDS AND AWARDS COMMITTEE				 					            Sta. Barbara, Pangasinan				 									 					               Invitation to Bid 				 					                    </t>
  </si>
  <si>
    <t xml:space="preserve"> Invitation to Bid for IMPROVEMENT OF SITE ORNAMENTAL CROPS NURSERY, LUZ ONATE ST., UPLB CAMPUS 1.	The U.P. LOS BAÑOS, through the GOP through UPLB-UGTFI (Trust Fund) intends to apply the sum of ₱9,149,048.61 being the Approved Budget for the Contract (ABC</t>
  </si>
  <si>
    <t xml:space="preserve"> The DPWH Nueva Ecija 1st DEO, through its Bids and Awards Committee (BAC), invites contractors to submit bids for the following contract:			 				 	20CE0202: Construction of Multi-Purpose Building (Gymnasium), Talavera National High School, Talavera, Nueva</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</si>
  <si>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</si>
  <si>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The DPWH-Ilocos Sur 1st District Engineering Office, through its Bids and Awards Committee (BAC), invites contractors to submit bids for the following Contract:   Contract ID: 20AC0077   Contract Name: Construction of Multi-Purpose Building (Covered Court</t>
  </si>
  <si>
    <t xml:space="preserve"> Invitation to Bid for Procurement of Gate Valves, Combi Flange w/ Sealing and STC w/Brass Tensile Ring 1.	The Norzagaray Water District (Nor-WD) through its Corporate Budget for the contract approved by the governing Boards intends to apply the sum of One</t>
  </si>
  <si>
    <t xml:space="preserve"> Contract ID: 20CSIO10 Contract Name: Consultancy Services for the Conduct of Feasibility Study of the Proposed Road Opening/Construction of Junction Himay-angan – Silago – Abuyog Boundary Road (Bagacay – Tib-o), Abuyog, Leyte Contract Location: Abuyog, Le</t>
  </si>
  <si>
    <t xml:space="preserve"> The DPWH-Ilocos Sur 1st District Engineering Office, through its Bids and Awards Committee (BAC), invites contractors to submit bids for the following Contract:   Contract ID: 20AC0079   Contract Name: Construction of Don Dimas – Don Alejandro Road, Caoay</t>
  </si>
  <si>
    <t xml:space="preserve"> Request for Quotation The Bureau of Fisheries and Aquatic Resources, Regional Office No. 5, Fabrica, Bula, Camarines Sur is requesting from prospective suppliers to submit quotation for the Supply and Delivery of Ink and Printer.   Quantity	Unit	Item Desc</t>
  </si>
  <si>
    <t xml:space="preserve"> Republic of the Philippines National Kidney and Transplant Institute Bids and Awards Committee East Avenue, Quezon City 1100 981-0300 / 981-0400 local 1157 http://www.nkti.gov.ph/	 INVITATION TO BID for the ITB No. 20-049 ONE (1) LOT SUPPLY AND DELIVERY O</t>
  </si>
  <si>
    <t xml:space="preserve"> The DPWH-Ilocos Sur 1st District Engineering Office, through its Bids and Awards Committee (BAC), invites contractors to submit bids for the following Contract:   Contract ID: 20AC0082   Contract Name: Construction of Box Culvert and Improvement of Draina</t>
  </si>
  <si>
    <t xml:space="preserve"> Request for Quotation The Bureau of Fisheries and Aquatic Resources, Regional Office No. 5, Fabrica, Bula, Camarines Sur is requesting from prospective suppliers to submit quotation for the Supply and Delivery of Office Equipment.   Quantity	Unit	Item Des</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</si>
  <si>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</si>
  <si>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1. 30 units Solar Street Lamp.</t>
  </si>
  <si>
    <t xml:space="preserve"> Contract ID: 20-DO-0075 Contract Name: LOCAL PROGRAM - Local Infrastructure Program - Building and Other Structures - Multipurpose/Facilities - Construction of Multi-Purpose Building at Gen. Luna St. Brgy. Dulong Bayan 1, San Mateo, Rizal Contract Locatio</t>
  </si>
  <si>
    <t xml:space="preserve"> The DPWH-Ilocos Sur 1st District Engineering Office, through its Bids and Awards Committee (BAC), invites contractors to submit bids for the following Contract:   Contract ID: 20AC0075   Contract Name: Construction of Multi-Purpose Building, Brgy. Fuerte,</t>
  </si>
  <si>
    <t xml:space="preserve"> Section I. Invitation to Bid FOR THE UPLB-RES-030-04-20  SUPPLY AND DELIVERY OF BRANDED AND BRAND NEW LABORATORY AND SCIENTIFIC EQUIPMENT FOR BIOTECH AND IPB 1.	The UNIVERSITY OF THE PHILIPPINES LOS BAÑOS (UPLB), through the GOP (LB03023001-C0001921-N8193</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</si>
  <si>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</si>
  <si>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The DPWH-Ilocos Sur 1st District Engineering Office, through its Bids and Awards Committee (BAC), invites contractors to submit bids for the following Contract:   Contract ID: 20AC0074   Contract Name: Construction of Multi-Purpose Building (Covered Court</t>
  </si>
  <si>
    <t xml:space="preserve"> Section I. Invitation to Bid FOR THE UPLB-RES-031-04-20  SUPPLY AND DELIVERY OF BRANDED AND BRAND NEW CHEMICALS AND CHEMICAL PRODUCTS FOR BIOTECH &amp; IPB 1.	The UNIVERSITY OF THE PHILIPPINES LOS BAÑOS (UPLB), through the GOP (LB03023001-C002482-N826947; and</t>
  </si>
  <si>
    <t xml:space="preserve"> The DPWH Nueva Ecija 1st DEO, through its Bids and Awards Committee (BAC), invites contractors to submit bids for the following contract:			 				 	20CE0203: Construction of Multi-Purpose Buildings (Covered Court), Talavera National High School, Talavera, </t>
  </si>
  <si>
    <t xml:space="preserve"> 1. The Department of Transportation (DOTr) through the 2020 GAA Locally Funded Projects intends to apply the sum of Seven Hundred Fifty-Nine Million Eighty Thousand Three Hundred Sixty-Seven Pesos and Thirteen Centavos (Php 759,080,367.13) being the Appro</t>
  </si>
  <si>
    <t xml:space="preserve"> In need of transportation and touring service for the 2020 Subic, Zambales Student Tour</t>
  </si>
  <si>
    <t xml:space="preserve"> The DPWH-Ilocos Sur 1st District Engineering Office, through its Bids and Awards Committee (BAC), invites contractors to submit bids for the following Contract:   Contract ID: 20AC0062   Contract Name: Construction of Multi-Purpose Building (Covered Court</t>
  </si>
  <si>
    <t xml:space="preserve"> Section I. Invitation to Bid FOR THE UPLB-RES-029-04-20  PROCUREMENT OF DIAGNOSTIC AND LABORATORY SERVICES FOR IPB AND IBS 1.	The UNIVERSITY OF THE PHILIPPINES LOS BAÑOS (UPLB), through the GOP (LB04011001-C0002421-N919721 AND LB03039001-C0002075- N9A5423</t>
  </si>
  <si>
    <t xml:space="preserve"> Section I. Invitation to Bid FOR THE UPLB-RES-027-04-20  SUPPLY AND DELIVERY OF BRANDED AND BRAND NEW INFORMATION TECHNOLOGY FOR ICS 1.	The UNIVERSITY OF THE PHILIPPINES LOS BAÑOS (UPLB), through the GOP (LB03041001-C0002467-N920123) intends to apply the </t>
  </si>
  <si>
    <t xml:space="preserve"> The DPWH-Ilocos Sur 1st District Engineering Office, through its Bids and Awards Committee (BAC), invites contractors to submit bids for the following Contract:   Contract ID: 20AC0061   Contract Name: Construction of Seawall, Sitio Mindanao, Barangay Par</t>
  </si>
  <si>
    <t xml:space="preserve"> Contract Name: Construction and / or Repair / Rehabilitation of Multi – Purpose Building Brgy. 72, Zone 6, Tondo Manila       Contract Location: Tondo, Manila       Brief Description: Construction/ Repair/ Rehabilitation of Multi – Purpose Building       </t>
  </si>
  <si>
    <t xml:space="preserve"> CLARK DEVELOPMENT CORPORATION Clark Freeport Zone, Philippines NOTICE TO CONDUCT NEGOTIATED PROCUREMENT ASPHALT OVERLAY AT CLARK MUSEUM AREA  The Clark Development Corporation (CDC), through the CDC Corporate Budget for CY 2020, intends to apply the sum o</t>
  </si>
  <si>
    <t xml:space="preserve"> The DPWH-Ilocos Sur 1st District Engineering Office, through its Bids and Awards Committee (BAC), invites contractors to submit bids for the following Contract:   Contract ID: 20AC0060   Contract Name: Construction of Seawall at Paratong-Subec, Sta. Catal</t>
  </si>
  <si>
    <t xml:space="preserve"> The DPWH-Ilocos Sur 1st District Engineering Office, through its Bids and Awards Committee (BAC), invites contractors to submit bids for the following Contract:   Contract ID: 20AC0058   Contract Name: Construction of Seawall at Paratong Sitio Mindanao, S</t>
  </si>
  <si>
    <t xml:space="preserve"> The DPWH-Ilocos Sur 1st District Engineering Office, through its Bids and Awards Committee (BAC), invites contractors to submit bids for the following Contract:   Contract ID: 20AC0069   Contract Name: Construction of Multi-Purpose Building (Covered Court</t>
  </si>
  <si>
    <t xml:space="preserve"> 1 Lot Establishment of Video Wall Project for Security Operation Center (Physical and Cybersecurity) and Network Operation Center Please email us at opbacsec@malacanang.gov.ph to view the Actual Bidding Documents. Thank you.</t>
  </si>
  <si>
    <t xml:space="preserve"> The DPWH-Ilocos Sur 1st District Engineering Office, through its Bids and Awards Committee (BAC), invites contractors to submit bids for the following Contract:   Contract ID: 20AC0067   Contract Name: Construction of Seawall, Brgy. Solot-solot, San Juan,</t>
  </si>
  <si>
    <t xml:space="preserve"> see line item</t>
  </si>
  <si>
    <t xml:space="preserve"> 1 unit Submersible Motor 100HP see attached complete specifications</t>
  </si>
  <si>
    <t xml:space="preserve"> The DPWH-Ilocos Sur 1st District Engineering Office, through its Bids and Awards Committee (BAC), invites contractors to submit bids for the following Contract:   Contract ID: 20AC0080   Contract Name: Construction of Drainage Canal Along Sta. Elena Creek</t>
  </si>
  <si>
    <t xml:space="preserve"> The DPWH-Ilocos Sur 1st District Engineering Office, through its Bids and Awards Committee (BAC), invites contractors to submit bids for the following Contract:   Contract ID: 20AC0065   Contract Name: Construction of Flood Control Brgy. Nagsabaran Bical </t>
  </si>
  <si>
    <t xml:space="preserve"> The DPWH-Ilocos Sur 1st District Engineering Office, through its Bids and Awards Committee (BAC), invites contractors to submit bids for the following Contract:   Contract ID: 20AC0057   Contract Name: Construction of Seawal at Paratong, Sta. Catalina, Il</t>
  </si>
  <si>
    <t xml:space="preserve"> The DPWH-Ilocos Sur 1st District Engineering Office, through its Bids and Awards Committee (BAC), invites contractors to submit bids for the following Contract:   Contract ID: 20AC0073   Contract Name: Construction of Flood Control Structure Along Mestizo</t>
  </si>
  <si>
    <t xml:space="preserve"> Construction of Multi-Purpose Building Covered Court - 16.00m x 30.00m; 6-5.00m per span; with floor area- 480 sq.m; 0.40m elevation from NGL; with PWD Ramp and Railings (Painted Finish); Painted Plaster Finish at Columns and beams; with gutter, with chlo</t>
  </si>
  <si>
    <t xml:space="preserve"> 1.The Bureau of Quarantine, through the General Appropriations Act intends to apply the sum of Six Million Forty-Eight Thousand One Pesos (Php 6,048,000.00) being the Approved Budget for the Contract (ABC) to payments under the contract for Procurement of</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</si>
  <si>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</si>
  <si>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The DPWH-Ilocos Sur 1st District Engineering Office, through its Bids and Awards Committee (BAC), invites contractors to submit bids for the following Contract:   Contract ID: 20AC0066   Contract Name: Construction of Revetment Wall, Cadanglaan, Sinait, I</t>
  </si>
  <si>
    <t xml:space="preserve"> The DPWH-Ilocos Sur 1st District Engineering Office, through its Bids and Awards Committee (BAC), invites contractors to submit bids for the following Contract:   Contract ID: 20AC0064   Contract Name: Construction of River Control Along Parsua River, Mag</t>
  </si>
  <si>
    <t xml:space="preserve"> Supply of Labor and Materials  Concreting Works  v = 6.19 cu.m. Masonry Works Rebarworks Roofing Works Doors and Windows Electrical Works</t>
  </si>
  <si>
    <t xml:space="preserve"> Please download attached BSP Invitation for Negotiation, Terms of References, Forms and Annexes</t>
  </si>
  <si>
    <t xml:space="preserve"> National Power Corporation INVITATION TO BID PUBLIC BIDDING 2020-0085 1.	The NATIONAL POWER CORPORATION (NPC), through       its        approved       Corporate Budget of CY 2020 intends to apply   the   sum   of (Please see schedule below) being the Appr</t>
  </si>
  <si>
    <t xml:space="preserve"> The DPWH-Ilocos Sur 1st District Engineering Office, through its Bids and Awards Committee (BAC), invites contractors to submit bids for the following Contract:   Contract ID: 20AC0059   Contract Name: Construction of Multi-Purpose Building, Bahet, San Il</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</si>
  <si>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</si>
  <si>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</si>
  <si>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The DPWH-Ilocos Sur 1st District Engineering Office, through its Bids and Awards Committee (BAC), invites contractors to submit bids for the following Contract:   Contract ID: 20AC0072   Contract Name: Construction of Multi-Purpose Building (Covered Court</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</si>
  <si>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</si>
  <si>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</si>
  <si>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Supply of Labor and Materials Rebar works Masonry Works A = 100.80 sq.m. Concreting works V = 20.47 cu.m. Electrical Works Roofing Works Perimeter Fence L = 33.00 m (rebarworks, masonry works, concreting works, steelworks) Sdewalk (rebarworks, masonry wor</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</si>
  <si>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</si>
  <si>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</si>
  <si>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National Power Corporation INVITATION TO BID PUBLIC BIDDING 2020-0078 1.	The NATIONAL POWER CORPORATION (NPC), through       its        approved       Corporate Budget of CY 2020 intends to apply   the   sum   of (Please see schedule below) being the Appr</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</si>
  <si>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</si>
  <si>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</si>
  <si>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The DPWH-Ilocos Sur 1st District Engineering Office, through its Bids and Awards Committee (BAC), invites contractors to submit bids for the following Contract:   Contract ID: 20AC0068   Contract Name: Construction of Flood Control of Catabeng Brook Along</t>
  </si>
  <si>
    <t xml:space="preserve"> Informing the public that the 74122- 1 UNIT SINGLE STAGE VERTICAL IN-LINE CENTRIFUGAL PUMP 15 LPS per PR. No. 74122 with a Total Approved Budget of the Contract (ABC) P250,000.00 Will be done through Shopping Mode of Procurement. The said undertaking is i</t>
  </si>
  <si>
    <t xml:space="preserve"> Contract Name: Installation of Pumping Station (Mini Pump) at Barangay 598 Zone 59, Manila City       Contract Location: Manila City       Brief Description: Installation of Mini Pump       Approved Budget for the Contract (ABC):  Php 53,074,892.40       </t>
  </si>
  <si>
    <t xml:space="preserve"> Construction/Rehabilitation of Various District Engineering Office including construction of Multi-Purpose Gym, Renovation of Old DPWH Office, Multipurpose Hall at roofdeck including CCTV, Paging System and Air-Conditioning</t>
  </si>
  <si>
    <t xml:space="preserve"> INVITATION TO BID FOR SUPPLY OF SECURITY PERSONNEL FOR NORZAGARAY WATER DISTRICT 1.	The Norzagaray Water District (NorWD) through its Corporate Budget for the contract approved by the governing Boards intends to apply the sum of One Million Two  Hundred  </t>
  </si>
  <si>
    <t xml:space="preserve"> National Power Corporation INVITATION TO BID PUBLIC BIDDING 2020-0081 1.	The NATIONAL POWER CORPORATION (NPC), through       its        approved       Corporate Budget of CY 2020 intends to apply   the   sum   of (Please see schedule below) being the Appr</t>
  </si>
  <si>
    <t xml:space="preserve"> Procurement of Office Supplies and Consumables</t>
  </si>
  <si>
    <t xml:space="preserve"> Supply of Labor and Materials Concreting Works v = 2.00cu.m. Masonry Works (Wall/Septic Tank) Roofing works Doors and Windows Plumbing works Electrical works Tileworks Ceiling works</t>
  </si>
  <si>
    <t xml:space="preserve"> Supply of Labor and Materials Masonry Works Concreting Works V =5.21 cu.m. Doors and windows Roofing Works Plumbing works</t>
  </si>
  <si>
    <t xml:space="preserve"> Supply of Labor and Materials Roofing Works Electrical Works Painting Works</t>
  </si>
  <si>
    <t xml:space="preserve"> Supply of Labor and Materials  L=156.00m;  w = 4.00m; t = 0.20m 105 Subgrade Preparation A = 780.00sq.m. 201 Aggregate Base Coarse V = 93.60 cu.m. compacted volume/ v= 112.32 cu.m. loose volume 311 Portland Cement Concrete Pavement V124.80 cu.m. / A = 624</t>
  </si>
  <si>
    <t xml:space="preserve"> Supply of Labor and Materials Culvert Installation 83 pcs RCCP # 36 Sidewalk/Curbs and Gutter V = 29.50 cu.m. Masonry works Manhole Cover</t>
  </si>
  <si>
    <t xml:space="preserve"> Supply of Labor and Materials  Retaining Wall V = 432.48 cu.m. Culvert Installation 80pcs RCCP #36 / RCCP #42 Concreting Works V= 103.43 cu.m. Manhole/Manhole Cover</t>
  </si>
  <si>
    <t xml:space="preserve"> REQUEST FOR QUOTATION Date: March 3, 2019	  RFQ No. MCPD20-005 PR NO. PD2002-26-046 To All Eligible Suppliers Please quote your lowest price inclusive of VAT on the item/s listed below, subject to the Terms and Conditions of this RFQ, for more information</t>
  </si>
  <si>
    <t xml:space="preserve"> Supply of Labor and Materials Transmission and Distribution Line Valves and Hydrant (3 units gate valve 20 mm) Service Connection (30 sets new service connection) Pavement demolition and restoration</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</si>
  <si>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</si>
  <si>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</si>
  <si>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</si>
  <si>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Supply of Labor and Materials  Backfilling works Culvert Installation 48 pcs RCCP #24 Concreting works V = 10.80 cu.m. Masonry works Manhole cover</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</si>
  <si>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</si>
  <si>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1. The APO Production Unit, Inc., through the Approved Annual Procurement Plan (APP) for CY 2020 intends to apply the sum of Thirty Million Pesos (Php 30,000,000.00) being the Approved Budget for the Contract (ABC) to payments under the contract for the L</t>
  </si>
  <si>
    <t xml:space="preserve"> 1. The Bureau of Fire Protection Region 8, through the General Appropriations Act CY 2020 intends to apply the sum of Three Million One Hundred Seventy-Eight Thousand Nine Hundred Thirty-Eight Pesos and Thirteen Centavos (₱3,178,938.13) being the Approved</t>
  </si>
  <si>
    <t xml:space="preserve"> 1. The APO Production Unit, Inc., through the Approved Annual Procurement Plan (APP) for CY 2020 intends to apply the sum of One Million Eight Hundred Thousand Pesos (PhP 1,800,000.00) being the Approved Budget for the Contract (ABC) to payments under the</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</si>
  <si>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</si>
  <si>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1.	The DENR-Environmental Management Bureau Region 2, through the Air Quality Monitoring Fund (Fund 155) CY 2019 and Environmental Revolving Fund (ERF) CY 2020	intends to apply the sum of One Million Three Hundred Thousand Pesos (P1,300,000.00) the contra</t>
  </si>
  <si>
    <t xml:space="preserve"> CLARK DEVELOPMENT CORPORATION Clark Freeport Zone, Philippines  NOTICE TO CONDUCT NEGOTIATED PROCUREMENT WIDENING OF J. ABAD SANTOS EXTENSION  The Clark Development Corporation (CDC), through the CDC Corporate Budget for CY 2020, intends to apply the sum </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</si>
  <si>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</si>
  <si>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</si>
  <si>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CLARK DEVELOPMENT CORPORATION Clark Freeport Zone, Philippines NOTICE TO CONDUCT NEGOTIATED PROCUREMENT IMPROVEMENT OF MULTI-PURPOSE BUILDING  The Clark Development Corporation (CDC), through the CDC Corporate Budget for CY 2020, intends to apply the sum </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</si>
  <si>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</si>
  <si>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CLARK DEVELOPMENT CORPORATION Clark Freeport Zone, Philippines NOTICE TO CONDUCT NEGOTIATED PROCUREMENT CONTINUATION OF THE TERMINATED RENOVATION OF FORMER CYBER CITY BLDGS. PHASE II (PACKAGE IV) The Clark Development Corporation (CDC), through the CDC Co</t>
  </si>
  <si>
    <t xml:space="preserve"> The DPWH-Ilocos Sur 1st District Engineering Office, through its Bids and Awards Committee (BAC), invites contractors to submit bids for the following Contract:   Contract ID: 20AC0063   Contract Name: Concreting of Roads, Brgy. Baclig-Margaay-Salapasap, </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</si>
  <si>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</si>
  <si>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</si>
  <si>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CLARK DEVELOPMENT CORPORATION Clark Freeport Zone, Philippines INVITATION TO BID The Clark Development Corporation, through its Bids and Awards Committee (BAC), invites contractors registered with and classified by the Philippine Contractors Accreditation</t>
  </si>
  <si>
    <t xml:space="preserve"> 1.	The Bureau of Fire Protection Region 8, through the General Appropriations Act CY 2020 intends to apply the sum of One Million Seven Hundred Forty-One Thousand Nine Hundred Thirty-Six Pesos and Forty-Three Centavos (₱1,741,936.43) being the Approved Bu</t>
  </si>
  <si>
    <t xml:space="preserve"> National Power Corporation INVITATION TO BID PUBLIC BIDDING 2020-0079 1.	The NATIONAL POWER CORPORATION (NPC), through       its        approved       Corporate Budget of CY 2020 intends to apply   the   sum   of (Please see schedule below) being the Appr</t>
  </si>
  <si>
    <t xml:space="preserve"> see attached.</t>
  </si>
  <si>
    <t xml:space="preserve"> Procurement and Delivery of ICT Equipment</t>
  </si>
  <si>
    <t xml:space="preserve"> Contract ID: 20-DO-0068 Contract Name: LOCAL PROGRAM - Local Infrastructure Program – Buildings and Other Structures – Multipurpose/Facilities – Construction of Multi-Purpose Building (Barangay Health Center), Dela Costa Homes Barangay Burgos, Rodriguez, </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</si>
  <si>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</si>
  <si>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</si>
  <si>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</si>
  <si>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REQUEST FOR EXPRESSION OF INTEREST  CONSULTING SERVICES FOR THE IMPLEMENTATION OF PHILIPPINE FINANCIAL REPORTING STANDARD (PFRS 9) – FINANCIAL INSTRUMENTS The Pag-IBIG Fund, through its Special Bids and Awards Committee - Consulting Services (SBAC - CS), </t>
  </si>
  <si>
    <t xml:space="preserve"> pulvurizer, shredder ect...</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</si>
  <si>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</si>
  <si>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</si>
  <si>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The DPWH Nueva Ecija 1st DEO, through its Bids and Awards Committee (BAC), invites contractors to submit bids for the following contract:			 				 	20CE0199: Rehabilitation of Municipal Health Center, Lupao, Nueva Ecija			 				 				 	CONTRACT DURATION: ___</t>
  </si>
  <si>
    <t xml:space="preserve"> Republic of the Philippines DEPARTMENT OF HEALTH TALISAY DISTRICT HOSPITAL        (DR. JACINTO VELEZ SR. MEMORIAL HOSPITAL) San Isidro, Talisay City, Cebu (032)273-8785  (032) 273-8785 talisaydistricthospital@gmail.com http://www.tdh.doh.gov.ph INVITAT</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</si>
  <si>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</si>
  <si>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INVITATION TO BID FOR THE SUPPLY, DELIVERY AND INSTALLATION OF ATTENDANCE CAPTURING MACHINES under ITB No. PB20-01-017COR The Philippine Amusement and Gaming Corporation (PAGCOR) is inviting all interested bidders in its forthcoming public bidding for the</t>
  </si>
  <si>
    <t xml:space="preserve"> Republic of the Philippines DEPARTMENT OF HEALTH TALISAY DISTRICT HOSPITAL        (DR. JACINTO VELEZ SR. MEMORIAL HOSPITAL) San Isidro, Talisay City, Cebu (032)273-3226  (032) 273-3226 talisaydistricthospital@gmail.com http://www.tdh.doh.gov.ph INVITAT</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</si>
  <si>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</si>
  <si>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</si>
  <si>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Contract ID: 			20GO0038 Contract 	Name: 			 Widening/Improvement/Upgrading of Honorata Manalo  (Buri Road), Brgy. Mandalagan, Bacolod City Contract 	Location: 		 Brgy. Mandalagan, Bacolod City, Negros Occidental Brief Description:                   Widen</t>
  </si>
  <si>
    <t xml:space="preserve"> REQUEST FOR EXPRESSION OF INTEREST FOR DETAILED ARCHITECTURAL AND ENGINEERING DESIGN (DAED) OF THE PROPOSED CONSTRUCTION OF THE ELECTRICAL ENGINEERING BUILDING PHASE 2 1.	The UP Los Baños, through the GOP intends to apply the sum of Three Million Five Hun</t>
  </si>
  <si>
    <t xml:space="preserve"> REQUEST FOR EXPRESSION OF INTEREST FOR DETAILED ARCHITECTURAL AND ENGINEERING DESIGN (DAED) OF THE PROPOSED PILOT PLANT AND SCREENHOUSES FOR BIOFERTILIZERS, BIOSTIMULANTS AND BIOPESTICIDES AT BIOTECH-UPLB 1.	The UP Los Baños, through the GOP intends to ap</t>
  </si>
  <si>
    <t xml:space="preserve"> Contract Name: Continuation of Multi – Purpose Building, Brgy. 259, Tondo, Manila Contract Location: Manila City      Brief Description: Rehabilitation of Multi – Purpose Building      Approved Budget for the Contract (ABC):  Php 14,849,659.73      Source</t>
  </si>
  <si>
    <t xml:space="preserve"> Republic of the Philippines DEPARTMENT OF PUBLIC WORKS AND HIGHWAYS CAMARINES NORTE  DISTRICT ENGINEERING OFFICE REGIONAL OFFICE V Daet, Camarines Norte REQUEST FOR EXPRESSION OF INTEREST (REI) Contract ID		: 19CSFC03 Contract Name	: CONDUCT OF GEOTECHNIC</t>
  </si>
  <si>
    <t xml:space="preserve"> REQUEST FOR QUOTATION Date: February 07, 2019	  RFQ No. MCPD20-002 PR NO. PD2001-20-005 To All Eligible Suppliers Please quote your lowest price inclusive of VAT on the item/s listed below, subject to the Terms and Conditions of this RFQ, for more informa</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</si>
  <si>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</si>
  <si>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Contract Name: Construction of Multi – Purpose Buildings ( Daycare Centers), Manila City Contract Location: Manila City      Brief Description: Construction of Multi – Purpose Buildings      Approved Budget for the Contract (ABC):  Php 97,998,833.48      </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</si>
  <si>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</si>
  <si>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Contract Name: Rehabilitation of Multi – Purpose Building (Bacood Health Center), Manila Contract Location: Manila City      Brief Description: Rehabilitation of Multi – Purpose Building       Approved Budget for the Contract (ABC):  Php 9,799,932.60     </t>
  </si>
  <si>
    <t xml:space="preserve"> The Supreme Court intends to apply, through the General Appropriations Act for F.Y. 2020 (R.A. No. 11465), the sum of Seventeen Million Four Hundred Thousand Pesos (₱17,400,000.00), inclusive of Value-Added Tax, being the Approved Budget for the Contract </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</si>
  <si>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</si>
  <si>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Invitation to Bid LANDBANK Marawi (Lanao del Sur) Building Construction 1.	The LAND BANK OF THE PHILIPPINES, through its Corporate Budget for the contract approved by the Board of Directors for 2020 intends to apply the sum of Nineteen Million Eight Hundr</t>
  </si>
  <si>
    <t xml:space="preserve"> A. Clearing. Layout and false works B. Excavation C. Concrete Line Canal with Concrete Cover and Concrete Shoulder D. Concrete Line Canal</t>
  </si>
  <si>
    <t xml:space="preserve"> Fabrication and Installation of Aluminum Cabinet etc..</t>
  </si>
  <si>
    <t xml:space="preserve"> Contract Name: Rehabilitation of Multi – Purpose Building, Brgy 636, Sta. Mesa, Manila Contract Location: Manila City      Brief Description: Rehabilitation of Multi – Purpose Building       Approved Budget for the Contract (ABC):  Php 9,899,596.36      S</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</si>
  <si>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</si>
  <si>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Contract Name: Improvement of Multi – Purpose Facilities, Brgy. 617, Manila City Contract Location: Manila City      Brief Description: Improvement of Multi – Purpose Building      Approved Budget for the Contract (ABC):  Php 48,999,996.39      Source of </t>
  </si>
  <si>
    <t xml:space="preserve"> Invitation to Bid LANDBANK Baguio Corporate Center Building Construction 1.	The LAND BANK OF THE PHILIPPINES, through its Corporate Budget for the contract approved by the Board of Directors for 2019 intends to apply the sum of Seventy Nine Million Nine H</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</si>
  <si>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</si>
  <si>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</si>
  <si>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</si>
  <si>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</si>
  <si>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INVITATION TO BID The __DPWH-2nd District Engineering Office, Labason, Zamboanga del Norte  , through its Bids and Awards Committee (BAC), invites contractors to submit bids for the following Contract:      Contract ID: 20JC0063       Contract Name: Const</t>
  </si>
  <si>
    <t xml:space="preserve"> UPGRADING OF ELECTRICAL SYSTEM AND SUBMETERING OF THE MAIN BUILDING OF THE DEPARTMENT OF ENVIRONMENT AND NATURAL RESOURCES-CENTRAL OFFICE (DENR-CO) Bid Ref. No. DENR-CO-2020-002 REBID Approved Budget for the Contract:P30,000,000.00 1.	The   Department of </t>
  </si>
  <si>
    <t xml:space="preserve"> CLARK DEVELOPMENT CORPORATION Clark Freeport Zone, Philippines REQUEST FOR EXPRESSION OF INTEREST The Clark Development Corporation (CDC), through its Bids and Awards Committee (BAC), invites consultants to apply for eligibility and short-listing and if f</t>
  </si>
  <si>
    <t xml:space="preserve"> CLARK DEVELOPMENT CORPORATION Clark Freeport Zone, Philippines INVITATION TO BID The Clark Development Corporation (CDC), through its Bids and Awards Committee (BAC), invites life insurance companies to bid for the hereunder project: Name of Project	:	CDC</t>
  </si>
  <si>
    <t xml:space="preserve"> Name of Requirement/Brief Description: One (1) Lot Structural Engineering Consultancy Services for the Proposed Structural Audit and Retrofitting Design of the Buildings in BSP Cebu and Davao Regional Offices, as per BSP Terms of Reference Approved Budget</t>
  </si>
  <si>
    <t xml:space="preserve"> Conctract ID No.:	:	20K00282 Conctract Name:	:	Construction of Multi-Purpose Building, Barangay Gadongan, Marawi City, Lanao del Sur Conctract Location:	:	Lanao del Sur Scope of Work:	:	Construction of Multi-Purpose Building Appropriation:	:	PHP 3,000,000</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</si>
  <si>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</si>
  <si>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CLARK DEVELOPMENT CORPORATION  Clark Freeport Zone, Philippines REQUEST FOR EXPRESSION OF INTEREST The Clark Development Corporation (CDC), through its Bids and Awards Committee (BAC), invites consultants to apply for eligibility and short-listing and if </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</si>
  <si>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</si>
  <si>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Please quote hereunder your lowest possible price for the IT EQUIPMENT (EXPO DUBAI). For more specifications and for the sample please see attached Request for Quotation form and sample. Original Request for Quotation form will be available for pick-up or</t>
  </si>
  <si>
    <t xml:space="preserve"> Conctract ID No.:	:	20K00270 Conctract Name:	:	Construction of Multi-Purpose Building (Public Market) Butig, Lanao del Sur Conctract Location:	:	Lanao del Sur Scope of Work:	:	Construction of Multi-Purpose Building Appropriation:	:	PHP 2,000,000.00  ABC:	</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</si>
  <si>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</si>
  <si>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</si>
  <si>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INVITATION TO BID The DPWH Regional Office IX, Veterans Avenue Extension, Tetuan, Zamboanga City, through its Bids and Awards Committee (BAC), invites contractors to submit bids for the following Contract: Contract ID	:	20J00091 Contract Name	:	Replacemen</t>
  </si>
  <si>
    <t xml:space="preserve"> INVITATION TO BID The DPWH Regional Office IX, Veterans Avenue Extension, Tetuan, Zamboanga City, through its Bids and Awards Committee (BAC), invites contractors to submit bids for the following Contract: Contract ID	:	20J00090 Contract Name	:	Replacemen</t>
  </si>
  <si>
    <t xml:space="preserve"> INVITATION TO BID The DPWH Regional Office IX, Veterans Avenue Extension, Tetuan, Zamboanga City, through its Bids and Awards Committee (BAC), invites contractors to submit bids for the following Contract: Contract ID	:	20J00089 Contract Name	:	Replacemen</t>
  </si>
  <si>
    <t xml:space="preserve"> Procurement of supply and delivery of Laboratory supplies 10	Pack	Pipette tips -10 ml, 100pieces/pack; wetted material, polypropylene -hydrophobic surface provides low binding and minimal retention -must be compatible with the existing pipettes in the lab</t>
  </si>
  <si>
    <t xml:space="preserve"> Please download the ATTACHED ASSOCIATED COMPONENTS for details/schedules.</t>
  </si>
  <si>
    <t xml:space="preserve"> INVITATION TO BID The __DPWH-2nd District Engineering Office, Labason, Zamboanga del Norte  , through its Bids and Awards Committee (BAC), invites contractors to submit bids for the following Contract:      Contract ID: 20JC0055       Contract Name: Const</t>
  </si>
  <si>
    <t xml:space="preserve"> INVITATION TO BID FOR CIVIL WORKS December 05, 2019 1.	The Department of Public Works and Highways (DPWH), Bukidnon Second District Engineering Office, Pinamaloy, Don Carlos, Bukidnon through its Bids and Awards Committee BAC, invites contractors to submi</t>
  </si>
  <si>
    <t xml:space="preserve"> 1 TB SAS 7.2K for DELL PowerEdge T330</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</si>
  <si>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</si>
  <si>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Conctract ID No.:	:	20K00275 Conctract Name:	:	Construction of Multi-Purpose Building, Katogonan, Buadiposo Buntong, Lanao del Sur Conctract Location:	:	Lanao del Sur Scope of Work:	:	Construction of Multi-Purpose Building Appropriation:	:	PHP 3,500,000.0</t>
  </si>
  <si>
    <t xml:space="preserve"> INVITATION TO BID The DPWH Regional Office IX, Veterans Avenue Extension, Tetuan, Zamboanga City, through its Bids and Awards Committee (BAC), invites contractors to submit bids for the following Contract: Contract ID	:	20J00092 Contract Name	:	Replacemen</t>
  </si>
  <si>
    <t xml:space="preserve"> Conctract ID No.:	:	20K00285 Conctract Name:	:	Construction of Multi-Purpose Building, Brgy. Ranao-Baning, Amai Manabilang, Lanao del Sur Conctract Location:	:	Lanao del Sur Scope of Work:	:	Construction of Multi-Purpose Building Appropriation:	:	PHP 5,00</t>
  </si>
  <si>
    <t xml:space="preserve"> CLARK DEVELOPMENT CORPORATION Clark Freeport Zone, Philippines INVITATION TO BID The Clark Development Corporation (CDC), through its Bids and Awards Committee (BAC), invites suppliers to bid for: Name of Project	:	Supply and Delivery of Brand New Three (</t>
  </si>
  <si>
    <t xml:space="preserve"> CLARK DEVELOPMENT CORPORATION Clark Freeport Zone, Philippines INVITATION TO BID The Clark Development Corporation (CDC), through its Bids and Awards Committee (BAC), invites suppliers to bid for: Name of Project	:	Supply and Delivery of Brand New Thirtee</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</si>
  <si>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</si>
  <si>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</si>
  <si>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</si>
  <si>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CLARK DEVELOPMENT CORPORATION Clark Freeport Zone, Philippines NOTICE TO CONDUCT NEGOTIATED PROCUREMENT SLOPE PROTECTION OF DRAINAGE AT THE BACK OF MSK/NAYONG PILIPINO The Clark Development Corporation (CDC), through the CDC Corporate Budget for CY 2020, </t>
  </si>
  <si>
    <t xml:space="preserve"> Republic of the Philippines Department of Public Works and Highways REGIONAL OFFICE VIII Baras, Palo, Leyte INVITATION TO BID February 26, 2020 1.	The DPWH Regional Office VIII, Baras, Palo, Leyte through its Bids and Awards Committee (BAC), invites contr</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</si>
  <si>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</si>
  <si>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</si>
  <si>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</si>
  <si>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The DPWH-Ilocos Sur 1st District Engineering Office, through its Bids and Awards Committee (BAC), invites contractors to submit bids for the following Contract:   Contract ID: 20AC0071   Contract Name: Construction of Drainage Canal Along Barangay Road Go</t>
  </si>
  <si>
    <t xml:space="preserve"> ICT Spareparts 4	pc	RAM (8GB) 2	pc	Video Card (RTX 2080 8GB) 2	pc	Processor (i9-7900) 2	pc	Motherboard (X299LGa2066 Motherboard) 4	pc	Internal SSD (500GB) 4	pc	Power Supply 4	pc	Casing (full tower) 		 *********** End user: 	GSITD																		 Deadlin</t>
  </si>
  <si>
    <t xml:space="preserve"> Medical Materials for the BSWM Clinic 6	btls	Dexamethasone 1 mg neomycin sulfate 3,500 iu, polymycin B sulfates 6,000 u (maxitrol eye drop 5ml) 6	btls	Antipyrine 54mg., benzocaline 14mg oxyquinoline sulfate 375mg (auralgan 10ml) 6	btls	Loratadine + Betame</t>
  </si>
  <si>
    <t xml:space="preserve"> National Power Corporation INVITATION TO BID PUBLIC BIDDING 2020-0065 1.	The NATIONAL POWER CORPORATION (NPC), through       its        approved       Corporate Budget of CY 2020 intends to apply   the   sum   of (Please see schedule below) being the Appr</t>
  </si>
  <si>
    <t xml:space="preserve"> CLARK DEVELOPMENT CORPORATION Clark Freeport Zone, Philippines NOTICE TO CONDUCT NEGOTIATED PROCUREMENT PROVISION OF SIDEWALK AND DRAINAGE ALONG IE-5 SERVICE ROAD  The Clark Development Corporation (CDC), through the CDC Corporate Budget for CY 2020, inte</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</si>
  <si>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</si>
  <si>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PR # 2020-02-1005 4	units	LAPTOP 		Processor : Intel Core i5 		Display: 14' to 15.6" 		Display: Resolution: up to 1080p 		RAM: 4GB to 8GB 		Storage: 1Tb 		Video: Dedicated 2GB 		Operating System: Windows 1064bit 1	unit	LAPTOP 		Processor : Intel Core i7 	</t>
  </si>
  <si>
    <t xml:space="preserve"> Technical and Scientific Equipment 3	pc	Scientific Calculator 		Specs: 		fx50f Plus 406 functions Dual Power Programable 406 function; 12 digits 2 line display; dot matrix 4 program areas; Two Way power 615	btl	Water Sampling Collection Plastic Bottle 		S</t>
  </si>
  <si>
    <t xml:space="preserve"> Item/	                                                                                ABC Qty	Unit	Description	                                                                        Unit Cost 1	Lot	Water Quality Analysis	                                 </t>
  </si>
  <si>
    <t xml:space="preserve"> Republic of the Philippines DEPARTMENT OF PUBLIC WORKS AND HIGHWAYS CENTRAL OFFICE Manila Roads Management Cluster 1 (Bilateral), Unified Project Management Office 2nd Street, Port Area, Manila -------------------------------------------------------------</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</si>
  <si>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</si>
  <si>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</si>
  <si>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LOT 1 - MEALS AND SNACKS VENUE: SAN JOSE, OCCIDENTAL MINDORO BRGY. SITES: 30 PAX - CAMBURAY - AUGUST 3, 2020 30 PAX - BATASAN - AUGUST 4, 2020 30 PAX - MONTE CLARO - AUGUST 5, 2020 30 PAX - BATASAN - AUGUST 6, 2020 30 PAX - MURTHA - AUGUST 7, 2020 PURPOSE</t>
  </si>
  <si>
    <t xml:space="preserve"> Armchairs	450 pcs  			 		Technical Specifications:	 		                                    Dimensions	 		Seat:	 		Width                                                                 450mm	 		 Length                                                        </t>
  </si>
  <si>
    <t xml:space="preserve"> Invitation to Bid for the Procurement of Various Equipment, Instruments and Furnitures for TANJAY WATER DISTRICT</t>
  </si>
  <si>
    <t xml:space="preserve"> 20F00089 - OO2: Protect Lives and Properties Against Major Floods – Flood Management Program – Construction/Maintenance of Flood Mitigation Structures and Drainage Systems - Legazpi City Coastal Road (Yawa Bridge 2), Albay, Legazpi City, Albay 2nd Legisla</t>
  </si>
  <si>
    <t xml:space="preserve"> A) REQUEST FOR QUOTATION Aircon Repair of H.G Starex  1. 1 pc Control Switch Assembly 2. 1 pc Expansion Valve (Front) 3. 1 pc Expansion Valve (Rear) Delivery Period: Five (5) Working Days B) USE COMPANY LETTERHEAD FOR YOUR QUOTATION &amp; ADDRESS TO: DIR. JAM</t>
  </si>
  <si>
    <t xml:space="preserve"> 74424 - Procurement of Various Measuring Equipment Posting Date: May 28, 2020 Closing Date: June 11, 2020</t>
  </si>
  <si>
    <t xml:space="preserve"> Cadiz City SF-GOOD-60 Standard Form Title: Request for Quotation 										_______________ 									             ______________________ ______________________ 	Please quote your lowest price on the items listed below, subject to the General Conditions on </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</si>
  <si>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</si>
  <si>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</si>
  <si>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</si>
  <si>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Lot 1 - Construction Materials and Supplies--65,325.00</t>
  </si>
  <si>
    <t xml:space="preserve"> 2nd INVITATION TO APPLY FOR ELIGIBILITY AND TO BID (IAEB)   The Municipality of Molave, Zamboanga del Sur, through its Bids and Awards Committee, invites suppliers/distributors to apply for eligibility and to bid for the rebidding of the hereunder project</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</si>
  <si>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</si>
  <si>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I N V I T A T I O N  T O  B I D The Manila International Airport Authority, through its Bids and Awards Committee (BAC), invites interested parties to apply for eligibility and to bid for the hereunder service contract: 	 Name of Contract       :  	Replac</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</si>
  <si>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</si>
  <si>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QUARTERLY PREVENTIVE MAINTENANCE OF 194 MOTORVEHICLES 1.	The Bureau of Fire Protection Region 8, through the General Appropriations Act CY 2020 intends to apply the sum of One Million Nine Hundred Forty Thousand Pesos (₱1,940,000.00) being the Approved Bu</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</si>
  <si>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</si>
  <si>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</si>
  <si>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</si>
  <si>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</si>
  <si>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SUPPLY, DELIVERY AND INSTALLATION OF ICT EQUIPMENT FOR MONITORING OF PROJECT MITHI (20-03-142) 1.	Department of Science and Technology – MIMAROPA (DOST-MIMAROPA), through its Bids and Awards Committee (BAC) invites all prospective bidders to bid for the p</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</si>
  <si>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</si>
  <si>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Republic of the Philippines Province of Kalinga TABUK CITY OHS COMMITTEE ON BIDS AND AWARDS INVITATION TO BID FOR THE PROCUREMENT OF PHARMACY SUPPLIES 1. The PROVINCIAL GOVERNMENT OF KALINGA, through the General Fund Annual Budget 2020 Intends to apply th</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</si>
  <si>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</si>
  <si>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</si>
  <si>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</si>
  <si>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BID TENDER							</t>
  </si>
  <si>
    <t xml:space="preserve"> Republic of the Philippines</t>
  </si>
  <si>
    <t xml:space="preserve"> Check associated components.</t>
  </si>
  <si>
    <t xml:space="preserve"> Please see attached file for quotation</t>
  </si>
  <si>
    <t xml:space="preserve"> Issuance of bid documents - July 1-21, 2020</t>
  </si>
  <si>
    <t xml:space="preserve"> Please send your RFQ to Tuguegarao Airport</t>
  </si>
  <si>
    <t xml:space="preserve"> Please see the attached in the associated components</t>
  </si>
  <si>
    <t xml:space="preserve"> Please forward RFQ at Tuguegarao Airport</t>
  </si>
  <si>
    <t xml:space="preserve"> Pneumococcal Vaccine single dose vial conjugate	593	Vial</t>
  </si>
  <si>
    <t xml:space="preserve"> Diluent 20 Liters	9	Box</t>
  </si>
  <si>
    <t xml:space="preserve"> Delivery of materials and other scope of the project.</t>
  </si>
  <si>
    <t xml:space="preserve"> Stock	Unit	Item Description	Qty.</t>
  </si>
  <si>
    <t xml:space="preserve"> Stock	Unit		Item Description				Qty.</t>
  </si>
  <si>
    <t xml:space="preserve"> BIDDERS MUST DOWNLOAD THE DOCUMENTS IN THE ASSOCIATED COMPONENT</t>
  </si>
  <si>
    <t xml:space="preserve"> The Municipal Government of Liliw, Laguna reserves the right to reject any or all bids, to declare the bidding a failure or waive any or all information and to award such bids to the supplier whose bid is considered most advantageous to the government.</t>
  </si>
  <si>
    <t xml:space="preserve"> The BAC has the sole responsibility to accept and reject incomplete bids. The cost of Bid Documents is P1,000.00 which is non-refundable.</t>
  </si>
  <si>
    <t xml:space="preserve"> The BAC has the sole responsibility to accept and reject incomplete bids. The cost of Bid Documents is P500.00 which is non-refundable.</t>
  </si>
  <si>
    <t xml:space="preserve"> The BAC has the sole responsibility to accept and reject incomplete bids. The cost of Bid Documents is P5,000.00 which is non-refundable.</t>
  </si>
  <si>
    <t xml:space="preserve"> Financial Bid Opening will be schedule on July 28, 2020</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</si>
  <si>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Office, 3rd Floor, Provincial Capitol Building, Bontoc, Mountain Province.</t>
  </si>
  <si>
    <t xml:space="preserve"> Click order link of the associated components</t>
  </si>
  <si>
    <t xml:space="preserve"> THE BIDDER MUST DOWNLOAD THE ASSOCIATED COMPONENT/S.</t>
  </si>
  <si>
    <t xml:space="preserve"> Financial Proposal will be opened on July 28,2020</t>
  </si>
  <si>
    <t xml:space="preserve"> THE BIDDER MUST DOWNLOAD THE ASSOCIATED COMPOENT/S.</t>
  </si>
  <si>
    <t xml:space="preserve"> Please send your quotations to jc.mudlong@philrice.gov.ph or jonathanmudlong@gmail.com</t>
  </si>
  <si>
    <t xml:space="preserve"> Please see attached PDF file for more information.</t>
  </si>
  <si>
    <t xml:space="preserve"> Bidding document amount is Php500.00</t>
  </si>
  <si>
    <t xml:space="preserve"> Also available at DPWH website.</t>
  </si>
  <si>
    <t xml:space="preserve"> Republic of the Philippines </t>
  </si>
  <si>
    <t xml:space="preserve"> YOU MAY DOWNLOAD THE ITB FROM THE ASSOCIATED COMPONENTS</t>
  </si>
  <si>
    <t xml:space="preserve"> https://drive.google.com/file/d/1JyYwjaM8FzgZKncknVsKcl_q9PNDZyBK/view?usp=drivesdk</t>
  </si>
  <si>
    <t xml:space="preserve"> oOption to reserve the stock for the VMMC: seven (3) working days after the opening of this canvass</t>
  </si>
  <si>
    <t xml:space="preserve"> Source of Fund : 20% Development Fund</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</si>
  <si>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</si>
  <si>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Source of Fund : General Fund Supplemental Budget No. 01</t>
  </si>
  <si>
    <t xml:space="preserve"> james03repita@gmail.com</t>
  </si>
  <si>
    <t xml:space="preserve"> NOTE: Please copy the link below and paste to the web browser to download the attached RFQ form.</t>
  </si>
  <si>
    <t xml:space="preserve"> Source of Fund: 20% Development Fund/General Fund Supplemental Budget #1</t>
  </si>
  <si>
    <t xml:space="preserve"> CONTACT PERSON:</t>
  </si>
  <si>
    <t xml:space="preserve"> ***Note: Please copy the link below and paste to the web browser to download the attached RFQ form.</t>
  </si>
  <si>
    <t xml:space="preserve"> REQUIREMENTS:</t>
  </si>
  <si>
    <t xml:space="preserve"> For the use of 74IB, 2ID, PA</t>
  </si>
  <si>
    <t xml:space="preserve"> For the use of 21DRC, 2ID, PA</t>
  </si>
  <si>
    <t xml:space="preserve"> Note:</t>
  </si>
  <si>
    <t xml:space="preserve"> Please download the Bid Document in the Associated Component.</t>
  </si>
  <si>
    <t xml:space="preserve"> For the use of 1IB, 2ID, PA</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</si>
  <si>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</si>
  <si>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A.  Please submit your quotation in a sealed envelope, addressed to:</t>
  </si>
  <si>
    <t xml:space="preserve"> THE FOLLOWING REQUIRE SHALL BE SUBMITTED UPON SUBMISSION OF OFFERS 1) MAYOR'S PERMIT 2) PHILGEPS REG. NUMBER 3) INCOME TAX RETURN 4) COR</t>
  </si>
  <si>
    <t xml:space="preserve"> PLEASE SEE ATTACHED ASSOCIATED COMPONENTS.</t>
  </si>
  <si>
    <t xml:space="preserve"> For more details, please copy the link below and paste it on the URL to see the Bidding Documents:</t>
  </si>
  <si>
    <t xml:space="preserve"> For the use of 23DRC, 2ID, PA</t>
  </si>
  <si>
    <t xml:space="preserve"> The deadline of Submission and opening of the RFQ are as follows:	</t>
  </si>
  <si>
    <t xml:space="preserve"> For the use 22DRC, 2ID, PA</t>
  </si>
  <si>
    <t xml:space="preserve"> NOTE: The email address leonilyn_noche@yahoo.com is no longer in use. Please send your quotation to the email address procurementsection16@yahoo.com</t>
  </si>
  <si>
    <t xml:space="preserve"> Note: Please copy the link below and paste to the web browser for the attached RFQ Form.</t>
  </si>
  <si>
    <t xml:space="preserve"> For suppliers who want to send their quotation, you can also email at dost7supply@gmail.com or fax at fax no. (032) 256-3345.</t>
  </si>
  <si>
    <t xml:space="preserve"> Qualifications:</t>
  </si>
  <si>
    <t xml:space="preserve"> Quotation must be submitted with company’s letter head. Stating Specification, unit cost and total amount offer.</t>
  </si>
  <si>
    <t xml:space="preserve"> INTERESTED BIDDER MAY SUBMIT QUOTATION AT</t>
  </si>
  <si>
    <t xml:space="preserve"> Canvass - https://drive.google.com/file/d/1jfEPuR-sxA-NY_RdiYPnaZMqZhStZtvc/view</t>
  </si>
  <si>
    <t xml:space="preserve"> the others documents is also available in Barangay Hall office.</t>
  </si>
  <si>
    <t xml:space="preserve"> Download RFQ and Memo at the associated components and submit both documents.</t>
  </si>
  <si>
    <t xml:space="preserve"> -VAT Inclusive</t>
  </si>
  <si>
    <t xml:space="preserve"> For inquiries, please call:</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</si>
  <si>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</si>
  <si>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fax or email your quotation</t>
  </si>
  <si>
    <t xml:space="preserve"> SUPPLIER OR BIDDER MUST DOWNLOAD THE ATTACHED DOCUMENT IN THE ASSOCIATED COMPONENT SECTION.</t>
  </si>
  <si>
    <t xml:space="preserve"> See Associated Components</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</si>
  <si>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</si>
  <si>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The Schedule of BAC Activities is as follows:</t>
  </si>
  <si>
    <t xml:space="preserve"> . The National Irrigation Administration (NIA), Regional Irrigation Office No.7, through the Small Irrigation Project 2020 intends to apply the sum of Four Million Six Hundred Thirty-Three Thousand Two Hundred Nine Pesos &amp; 52/100 (P 4,633,209.52) being the Approved Budget for Contract (ABC) to payment under contract for CALASGAAN SIP, Bais City, Negros Oriental with Contract No. NOSO-LMC-SIP-21-2020. Bids received in excess of the ABC shall be automatically rejected at bid opening.</t>
  </si>
  <si>
    <t xml:space="preserve"> Please look Mr. FREDERICK VILLAS and Ms. Rowena Rodriguez for other information.</t>
  </si>
  <si>
    <t xml:space="preserve"> Kindly download bid docs on the associated component.</t>
  </si>
  <si>
    <t xml:space="preserve"> Purchase Order: July 8, 2020</t>
  </si>
  <si>
    <t xml:space="preserve"> 	Option to reserve the stock for the VMMC: seven (7) working days after the opening of this canvass</t>
  </si>
  <si>
    <t xml:space="preserve"> Activity	Date and Time	Venue</t>
  </si>
  <si>
    <t xml:space="preserve"> None</t>
  </si>
  <si>
    <t xml:space="preserve"> REQUIREMENT FOR COMMUNITY PARTICIPATION:</t>
  </si>
  <si>
    <t xml:space="preserve"> https://drive.google.com/file/d/1Y814598DZFtm3N8FSRj_3rx-om6R4UIf/view?usp=drivesdk</t>
  </si>
  <si>
    <t xml:space="preserve"> Please secure bidding documents for full information including Term of References</t>
  </si>
  <si>
    <t xml:space="preserve"> See Associated COmponents</t>
  </si>
  <si>
    <t xml:space="preserve"> Suppliers are required to submit their quotation/written proposal with the following documents on or before JULY 08, 2020 9:00 AM at BAC Office, this LGU, to wit:</t>
  </si>
  <si>
    <t xml:space="preserve"> For clarifications, just contact the BAC Secretariat of DOH CHD-NM (White House) at telephone # (088) 858-7123 local 227 in JV Seriña St., Carmen, Cagayan de Oro City from Monday until Friday (8:00 am to 5:00 pm). Just look for Ms. Marilou A. Gecosala, the Head of Procurement Unit</t>
  </si>
  <si>
    <t xml:space="preserve"> Activities	Schedule</t>
  </si>
  <si>
    <t xml:space="preserve"> https://drive.google.com/file/d/1_wLlSYWA8jXU9jZm8PvLUVUur9Sd0k-h/view?usp=drivesdk</t>
  </si>
  <si>
    <t xml:space="preserve"> Pub: July 01-05, 2020</t>
  </si>
  <si>
    <t xml:space="preserve"> Please download RFQ in the Associated Components for Quotation.</t>
  </si>
  <si>
    <t xml:space="preserve"> Pre-Bid : July 8,2020 - 10:00am</t>
  </si>
  <si>
    <t xml:space="preserve"> For further information, please refer to:</t>
  </si>
  <si>
    <t xml:space="preserve"> NONE</t>
  </si>
  <si>
    <t xml:space="preserve"> ***Please see attached Request for Quotation...</t>
  </si>
  <si>
    <t xml:space="preserve"> Deadline of Submission of Bid Documents JULY 21 2020 10:00AM</t>
  </si>
  <si>
    <t xml:space="preserve"> PLS. SUBMIT MANUALLY IN SEALED ENVELOPE OR THROUGH EMAIL THE ABOVEMENTIONED REQUIREMENTS</t>
  </si>
  <si>
    <t xml:space="preserve"> 4. Interested Bidders may obtain further information from The National Irrigation Administration (NIA), Regional Irrigation Office No.7 and inspect Bidding Documents at the address given below from 8:00 AM to 5:00 PM.</t>
  </si>
  <si>
    <t xml:space="preserve"> Terms and Conditions:</t>
  </si>
  <si>
    <t xml:space="preserve"> Please download the Price Quotation Form and Omnibus Sworn Statement using the links below:</t>
  </si>
  <si>
    <t xml:space="preserve"> Please see attached associated components for the complete and detailed specifications.</t>
  </si>
  <si>
    <t xml:space="preserve"> Please see attached ITB and Bid Documents</t>
  </si>
  <si>
    <t xml:space="preserve"> Please submit your quotations to the General Services Office of the Local Government Unit of Dupax del Norte.</t>
  </si>
  <si>
    <t xml:space="preserve"> please send Request for Quotation  - msbslh14@gmail.com</t>
  </si>
  <si>
    <t xml:space="preserve"> https://drive.google.com/file/d/1QULJ2CF1Hyf7M4Qt0-xIsc93un4iTIQZ/view?usp=drivesdk</t>
  </si>
  <si>
    <t xml:space="preserve"> Pre-Bid Conference 2:00 P.M. July 07, 2020 DPWH Pampanga 2nd DEO BAC-Office</t>
  </si>
  <si>
    <t xml:space="preserve"> BIDDERS MUST DOWNLOAD THE ATTACHED DOCUMENTS IN THE ASSOCIATED COMPONENTS SECTIONS</t>
  </si>
  <si>
    <t xml:space="preserve"> For other information and queries, visit us at Headquarters 113th Contracting Office, AFPPS, Camp O'Donnell, Brgy Sta Lucia, Capas Tarlac and look for Chief 113th CO, AFPPS. Submission of Request for Quotation must reach to this Office not later than 061000H July 2020 for the opening of Canvass at 113th CO conference room.</t>
  </si>
  <si>
    <t xml:space="preserve"> Kindly see attachment for specifications.</t>
  </si>
  <si>
    <t xml:space="preserve"> A. Additional documents to be submitted</t>
  </si>
  <si>
    <t xml:space="preserve"> The National Irrigation Administration (NIA), Regional Irrigation Office No.7, through the Small Irrigation Project 2020 intends to apply the sum of Four Million Five Hundred Eighty-Five Thousand Seven Hundred Pesos &amp; 60/100 (P 4,585,700.60) being the Approved Budget for Contract (ABC) to payment under contract for CAMBAGUIO SIP, Bais City, Negros Oriental with Contract No. NOSO-LMC-SIP-22-2020. Bids received in excess of the ABC shall be automatically rejected at bid opening.</t>
  </si>
  <si>
    <t xml:space="preserve"> Fund: 101</t>
  </si>
  <si>
    <t xml:space="preserve"> Deadline for submission of price quotation will be on July 6, 2020 at 10:00 a.m.</t>
  </si>
  <si>
    <t xml:space="preserve"> BAC ACTIVITY DATES:</t>
  </si>
  <si>
    <t xml:space="preserve"> Please send your quotation at rd.badua@philrice.gov.ph or richardbadua29@gmail.com</t>
  </si>
  <si>
    <t xml:space="preserve"> Bidding is on July 9, 2020 at ten o'clock at the Municipal Conference Hall</t>
  </si>
  <si>
    <t xml:space="preserve"> Fund:101</t>
  </si>
  <si>
    <t xml:space="preserve"> JAYSON B. RECOPELACION</t>
  </si>
  <si>
    <t xml:space="preserve"> Bidders must download documents in the associated components section.</t>
  </si>
  <si>
    <t xml:space="preserve"> see attached associated components.</t>
  </si>
  <si>
    <t xml:space="preserve"> Submission of Bids before 10 a.m. of July 21, 2020</t>
  </si>
  <si>
    <t xml:space="preserve"> Fund: External</t>
  </si>
  <si>
    <t xml:space="preserve"> Bidders must download the attached main document in the associated component section.</t>
  </si>
  <si>
    <t xml:space="preserve"> The BAC is conducting the public bidding for this Contract in accordance with Republic Act No. 9184 and its Implementing Rules and Regulations (IRR).</t>
  </si>
  <si>
    <t xml:space="preserve"> 1.	Advertisement /Posting of Invitation to Bid/Request for Express of interest	July 1, 2020 - July 8, 2020	PhilGeps, GSO</t>
  </si>
  <si>
    <t xml:space="preserve"> https://drive.google.com/file/d/1bRk0OZHvYSjs1DaVNdu8qWaxQ2sFGTFj/view?usp=drivesdk</t>
  </si>
  <si>
    <t xml:space="preserve"> Bidders must download the attached main document in the associate component section.</t>
  </si>
  <si>
    <t xml:space="preserve"> Blue Guard Services - August to Dec. 2020</t>
  </si>
  <si>
    <t xml:space="preserve"> 1) CALIBRATION OF THE LABORATORY EQUIPMENT: ATTACHED LIST OF EQUIPMENT. - 1 LOT  = PHP 75,000.00</t>
  </si>
  <si>
    <t xml:space="preserve"> Refer to:</t>
  </si>
  <si>
    <t xml:space="preserve"> REQUEST FOR QUOTATION FORM WILL BE AVAILABLE AT GINGOOG CITY WATER DISTRICT OFFICE</t>
  </si>
  <si>
    <t xml:space="preserve"> All quotation must be submitted in a sealed envelope directly to LPGH&amp;STC, address to Ms. Cecille P. Manipon, BAC Chairman or email, together with the following requirements;</t>
  </si>
  <si>
    <t xml:space="preserve"> BOC-BAC Secretariat</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</si>
  <si>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3rd floor Provincial Capitol, poblacion Bontoc, Mountain Province.</t>
  </si>
  <si>
    <t xml:space="preserve"> Prospective bidder may seek further information through BAC Office @ 469-9056.</t>
  </si>
  <si>
    <t xml:space="preserve"> Bidders/Suppliers Must Download the Attached Document in the Associated Component Section </t>
  </si>
  <si>
    <t xml:space="preserve"> - other information may be discussed during pre-bid conference.</t>
  </si>
  <si>
    <t xml:space="preserve"> https://drive.google.com/file/d/1nUtm6yYj5wIcoasEs7_T9dVzpH0Ikw9E/view?usp=drivesdk</t>
  </si>
  <si>
    <t xml:space="preserve"> https://drive.google.com/file/d/19XkioDSQ2yk6RI9LH-nFjr6aSVh6Hg_O/view?usp=drivesdk</t>
  </si>
  <si>
    <t xml:space="preserve"> pls. download RFQ in the associated component.</t>
  </si>
  <si>
    <t xml:space="preserve"> kindly look for MS. Rhea Retaga for other information at Brgy Hall of Brgy. Niugan City of Cabuyao, Laguna</t>
  </si>
  <si>
    <t xml:space="preserve"> Please Quote your lowest price on the item/s listed above, subject to the General Conditions, stating the shortest time of delivery and submit your quotation duly signed by your representative not later than July 6, 2020 (9:00 AM) at the Bids and Awards Committee 3rd floor Provincial Capitol, Poblacion, Bontoc, Mountain Province.</t>
  </si>
  <si>
    <t xml:space="preserve"> Please look Ms. Mhelet Benales and Ms. Rowena Rodriguez for other information.</t>
  </si>
  <si>
    <t xml:space="preserve"> https://drive.google.com/file/d/1aYIHP_JsD829Vz9G0R_Ux7FbHzY1MGSl/view?usp=drivesdk</t>
  </si>
  <si>
    <t xml:space="preserve"> https://drive.google.com/file/d/1yhZ_VT6Hj-24NWNfj_BEgw5NAFJVhLmV/view?usp=drivesdk</t>
  </si>
  <si>
    <t xml:space="preserve"> Note: All entries must be typewritten in your company letterhead.</t>
  </si>
  <si>
    <t xml:space="preserve"> Please visit the links below to download the FLOOR PLAN/LAY-OUT:</t>
  </si>
  <si>
    <t xml:space="preserve"> https://drive.google.com/file/d/1G09I0nJmnBdxqMrTIZMiyIhWV79CV8Gs/view?usp=drivesdk</t>
  </si>
  <si>
    <t xml:space="preserve"> https://drive.google.com/file/d/1CSLYG5I5-ZpruUXAlSg0X-n_gztfKVPn/view?usp=drivesdk</t>
  </si>
  <si>
    <t xml:space="preserve"> Opening of quotation will be on July 6, 2020 - 9:30 in the morning at 3rd Floor Conference Room, BFP Building General Macario Peralta Jr., Drive, Iloilo City</t>
  </si>
  <si>
    <t xml:space="preserve"> For interested suppliers, you can also email your quotation at dost7supply@gmail.com or fax at fax no. (032) 256-3345.</t>
  </si>
  <si>
    <t xml:space="preserve"> https://drive.google.com/file/d/1D8l5Rvd8R2zOTdbWBf2lK1zItzWlV-nm/view?usp=drivesdk</t>
  </si>
  <si>
    <t xml:space="preserve"> https://drive.google.com/file/d/1XQx_Tu94TFaa2RbB24PkUvlwAfFLPMBP/view?usp=drivesdk</t>
  </si>
  <si>
    <t xml:space="preserve"> Please download "associated components" in the link, fill-up completely, place in a sealed envelop and sent to BAC</t>
  </si>
  <si>
    <t xml:space="preserve"> Area of Delivery: Quezon City</t>
  </si>
  <si>
    <t xml:space="preserve"> https://drive.google.com/file/d/1FxN58I7XKhMnyM-2AilF6SHS1Qo2BjSz/view?usp=drivesdk</t>
  </si>
  <si>
    <t xml:space="preserve"> https://drive.google.com/file/d/1zqQH2JlUOzmmpG4gwoycHCA1XHcP7ddV/view?usp=drivesdk</t>
  </si>
  <si>
    <t xml:space="preserve"> Pre bid Conference: June 26, 2020 2:00 P.M.</t>
  </si>
  <si>
    <t xml:space="preserve"> INVITATION TO BID</t>
  </si>
  <si>
    <t xml:space="preserve"> https://drive.google.com/file/d/17Kwx-LYjl6ryOsOp4G_QJYyUjjtjfJlj/view?usp=drivesdk</t>
  </si>
  <si>
    <t xml:space="preserve"> "                                                                     GENERAL CONDITIONS</t>
  </si>
  <si>
    <t xml:space="preserve"> BIDDER MUST DOWNLOAD THE ATTACHED DOCUMENT IN THE ASSOCIATED COMPONENT SECTION.</t>
  </si>
  <si>
    <t xml:space="preserve"> Please see attached PR and submit sealed quotations with the following eligibility requirements:</t>
  </si>
  <si>
    <t xml:space="preserve"> https://drive.google.com/file/d/18XiC9GqCqpGdFs9BR2UhEJEFICWZSl3c/view?usp=drivesdk</t>
  </si>
  <si>
    <t xml:space="preserve"> Please download the Bidding Requirements using the links below:</t>
  </si>
  <si>
    <t xml:space="preserve"> https://drive.google.com/file/d/18GpJUlb48e62yYkrQfBBwHK7Xb2bDVqs/view?usp=drivesdk</t>
  </si>
  <si>
    <t xml:space="preserve"> https://drive.google.com/file/d/1sE0YLnS-AWbcaSSOUNSQ2r9AhheR9Vpz/view?usp=drivesdk</t>
  </si>
  <si>
    <t xml:space="preserve"> Kindly submit your quotations to on or before July 7, 2020</t>
  </si>
  <si>
    <t xml:space="preserve"> Please look BAC Secretary/TWG for bidding documents/clarification,failure of submitting necessary documents will be subjected to disqualification.</t>
  </si>
  <si>
    <t xml:space="preserve"> https://drive.google.com/file/d/19ts5fp-V3hWuCUSEIgE1iCOy-7pSe9Qf/view?usp=drivesdk</t>
  </si>
  <si>
    <t xml:space="preserve"> kindly look for Ms. Rhea Retaga for more information at Brgy. Hall of Brgy Niugan City of Cabuyao, Laguna</t>
  </si>
  <si>
    <t xml:space="preserve"> Note:								</t>
  </si>
  <si>
    <t xml:space="preserve"> Bidders must download the attached document in the associated component section.</t>
  </si>
  <si>
    <t xml:space="preserve"> Please visit MPDO/BAC Office for details</t>
  </si>
  <si>
    <t xml:space="preserve"> EMERGENCY PURCHASE</t>
  </si>
  <si>
    <t xml:space="preserve"> Please download RFQ thru the Associated Component under the Bid Notice Abstract</t>
  </si>
  <si>
    <t xml:space="preserve"> For further information please see attached RFQ or contact BAC Secretariat.</t>
  </si>
  <si>
    <t xml:space="preserve"> Other Information</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</si>
  <si>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</si>
  <si>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RFQ# 109CO – 06 – 2020 – 104 is ready and available at 109th CO, AFPPS, Camp Elias Angeles, San Jose, Pili, Camarines Sur</t>
  </si>
  <si>
    <t xml:space="preserve"> You may download bidding documents using the link below:</t>
  </si>
  <si>
    <t xml:space="preserve"> LABOR REQUIREMENT:</t>
  </si>
  <si>
    <t xml:space="preserve"> The LGU-IGaCoS reserves the right to accept or reject any bid, to annul the bidding process, and to reject all bids at any time prior to contract award, without thereby incurring any liability to the affected bidder or bidders. </t>
  </si>
  <si>
    <t xml:space="preserve"> For any clarifications/Inquiries you may contact Engr. Zenaida M. Cabiles, Regional Manager, RO XI, through Cellphone Number (0998) 9687961.</t>
  </si>
  <si>
    <t xml:space="preserve"> Date of Bidding: July 8, 2020</t>
  </si>
  <si>
    <t xml:space="preserve"> SAID REQUEST IS PER LOT.</t>
  </si>
  <si>
    <t xml:space="preserve"> for queries, pls. contact MS. LUBELLE LUMABAS, tel no. 8-405-7233 to 34; email address: landbank2290@gmail.com</t>
  </si>
  <si>
    <t xml:space="preserve"> Other Information:</t>
  </si>
  <si>
    <t xml:space="preserve"> https://drive.google.com/file/d/1lIr_7DTY1RAhkQvktaxHztIA-rA3EAbf/view?usp=drivesdk</t>
  </si>
  <si>
    <t xml:space="preserve"> 1.       288      bd.ft.        24 pcs, 2' x 6' x 12'   Cocolumber</t>
  </si>
  <si>
    <t xml:space="preserve"> DETAILS/COST ESTIMATES/FLOOR PLAN AND OTHER DOCUMENTS SUCH AS REQUEST FOR QUOTATION (RFQ) AVAILABLE AT LAND BANK OF THE PHILIPPINES, SARA BRANCH, SARA ILOILO C/O ROLIEN DELEGENCIA AT TELEPHONE No. (033) 392-0251 OR (033) 392-0255.</t>
  </si>
  <si>
    <t xml:space="preserve"> https://drive.google.com/file/d/1IUa5ezNUjDIJpeoopHhKKpOH_kVKtzKT/view?usp=drivesdk</t>
  </si>
  <si>
    <t xml:space="preserve"> PLEASE SEE ATTACHED FILE</t>
  </si>
  <si>
    <t xml:space="preserve"> For further information please see attached RFQ or contact BAC Secretariat</t>
  </si>
  <si>
    <t xml:space="preserve"> https://drive.google.com/file/d/1pzXpgvkRDNYJGG2O2ShYDYn2YDU0oJDc/view?usp=drivesdk</t>
  </si>
  <si>
    <t xml:space="preserve"> 1.Suppliers/Bidders must download the attached Document/RFQ in the associated component section.</t>
  </si>
  <si>
    <t xml:space="preserve"> Quotations submitted thru mail/fax will not be accepted.</t>
  </si>
  <si>
    <t xml:space="preserve"> CHECKLIST FOR BIDDING OF GOODS</t>
  </si>
  <si>
    <t xml:space="preserve"> WITH LABOR REQUIREMENT:</t>
  </si>
  <si>
    <t xml:space="preserve"> BIDDING DATE: JULY 20, 2020 @ 9:00 A.M.</t>
  </si>
  <si>
    <t xml:space="preserve"> Please download Associated Components</t>
  </si>
  <si>
    <t xml:space="preserve"> https://drive.google.com/file/d/1dDbQXo_E4PVlqcBJhdOsggCEjry-G3Ww/view?usp=drivesdk</t>
  </si>
  <si>
    <t xml:space="preserve"> https://drive.google.com/file/d/1rookyPd-TfwZ0BaLF_rdipBl-ZBDXW55/view?usp=drivesdk</t>
  </si>
  <si>
    <t xml:space="preserve"> https://drive.google.com/file/d/1T8tFbc_qY1ZQ47IsjuNlux2SG7dc5w0B/view?usp=drivesdk</t>
  </si>
  <si>
    <t xml:space="preserve"> KINDLY SEE ATTACHED DOCUMENT FOR YOUR REFERENCE.</t>
  </si>
  <si>
    <t xml:space="preserve"> Opening of bid will be on 21 July 2020, 09:30 A.M. at 3rd Flr. Conference Room, General Macario Peralta Jr. Drive, Iloilo City.</t>
  </si>
  <si>
    <t xml:space="preserve"> LEVI C. EDMA</t>
  </si>
  <si>
    <t xml:space="preserve"> BID DOCUMENT IS AVAILABLE AT ENGINEERING OFFICE, BAC SECRETARIAT</t>
  </si>
  <si>
    <t xml:space="preserve"> https://drive.google.com/file/d/1MuRv5uRbAg--C3kqxTaX7RTwh5M_l2bn/view?usp=drivesdk</t>
  </si>
  <si>
    <t xml:space="preserve"> 1	Bidders are required to read the instructions  and fill ALL the blanks in typewritten form or written legibly in permanent ink.						</t>
  </si>
  <si>
    <t xml:space="preserve"> https://drive.google.com/file/d/1VIBekMcX9U7C3YYCu4ZrAkEbmAt4vknw/view?usp=drivesdk</t>
  </si>
  <si>
    <t xml:space="preserve"> https://drive.google.com/file/d/1b-AwI_DwRdJPujfoRWN77jrL3F5YKLHQ/view?usp=drivesdk</t>
  </si>
  <si>
    <t xml:space="preserve"> https://drive.google.com/file/d/1akD2F0uot14nRSa8bROA4soc0zixNUbj/view?usp=drivesdk</t>
  </si>
  <si>
    <t xml:space="preserve"> KINDLY SEE ATTACHED FILE FOR YOUR REFERENCE</t>
  </si>
  <si>
    <t xml:space="preserve"> RFQ# 109CO – 06 – 2020 – 105 is ready and available at 109th CO, AFPPS, Camp Elias Angeles, San Jose, Pili, Camarines Sur</t>
  </si>
  <si>
    <t xml:space="preserve"> Bidders are required to read the instructions and fill ALL the blanks in typewritten form or written legibly in permanent ink.</t>
  </si>
  <si>
    <t xml:space="preserve"> Opening of bid will be on July 21, 2020, 09:30 A.M. at 3rd Flr. Conference Room, General Macario Peralta Jr. Drive, Iloilo City.</t>
  </si>
  <si>
    <t xml:space="preserve"> https://drive.google.com/file/d/11RsMjTot6af6UUJk_ZV65rCLwwkPyD-q/view?usp=drivesdk</t>
  </si>
  <si>
    <t xml:space="preserve"> The BAC will use NON-DISCRETIONARY PASS/FAIL CRITERIA in the Eligibility Check/Screening as well as the Preliminary Examination of Bids.  The BAC will conduct post-qualification of the lowest calculated bid.</t>
  </si>
  <si>
    <t xml:space="preserve"> Certification: This is to certify that item(s) requested are/is included in approved Project Procurement Management Plan (PPMP) for CY 2020 with BAC Resolution No. 2020-07, as that, the procurement is under SMALL VALUE.</t>
  </si>
  <si>
    <t xml:space="preserve"> Opening of bid will be on July 21, 2020, 09:30 A.M.  at 3rd Flr. Conference Room, General Macario Peralta Jr. Drive, Iloilo City.</t>
  </si>
  <si>
    <t xml:space="preserve"> https://drive.google.com/file/d/1e7fAsOMaH_MtAIpSJxbM2jN4zSHeFpYs/view?usp=drivesdk</t>
  </si>
  <si>
    <t xml:space="preserve"> https://drive.google.com/file/d/1uhgg_YD3JcSW9pH1-JLepeWRyG8SPtfv/view?usp=drivesdk</t>
  </si>
  <si>
    <t xml:space="preserve"> Mr. RUEL C. DE LOYOLA</t>
  </si>
  <si>
    <t xml:space="preserve"> Please send your Quotations thru sealed bid addressed to the Regional Bids and Awards Committee Area IV-B c/o RBAC Secretariat, Landbank San Pablo Branch (2nd floor), Colago Avenue Brgy. I-A San Pablo City, Laguna</t>
  </si>
  <si>
    <t xml:space="preserve"> Note: </t>
  </si>
  <si>
    <t xml:space="preserve"> Instruction for Suppliers on how to View/Download the document just go to the link below:</t>
  </si>
  <si>
    <t xml:space="preserve"> Bidding documents shall be made available to prospective bidders or its duly authorized representative only at the Office of the Bids &amp; Awards Committee, Procurement Division, Rizal Provincial Government, Ynares Center Complex Antipolo City.</t>
  </si>
  <si>
    <t xml:space="preserve"> MYLA D. ABAYON</t>
  </si>
  <si>
    <t xml:space="preserve"> 1.  Please see associated components to download Request for Quotation Form</t>
  </si>
  <si>
    <t xml:space="preserve"> RFQ# 109CO – 06 – 2020 – 106 is ready and available at 109th CO, AFPPS, Camp Elias Angeles, San Jose, Pili, Camarines Sur</t>
  </si>
  <si>
    <t xml:space="preserve"> PLEASE DOWNLOAD AND BID DOCUMENT FOR OTHER INFORMATION</t>
  </si>
  <si>
    <t xml:space="preserve"> Bidding Documents:</t>
  </si>
  <si>
    <t xml:space="preserve"> Delivery Site:</t>
  </si>
  <si>
    <t xml:space="preserve"> Please submit your Price Quotation together with the ff:</t>
  </si>
  <si>
    <t xml:space="preserve"> Deadline for the submission of bid is on July 9, 2020 at 2:00 PM and opening of bids to follow immediately.Please submit your sealed bid/quotation at BAC Office, New Civil Aviation Authority of the Philippines Bldg., Mactan-Cebu Int'l. Airport, Lapu-lapu City , Cebu and look for Hannah. </t>
  </si>
  <si>
    <t xml:space="preserve"> Please submit the following: </t>
  </si>
  <si>
    <t xml:space="preserve"> 20% EDF CY 2020 Projects</t>
  </si>
  <si>
    <t xml:space="preserve"> Interested bidder/supplier/contractor must be able to log-in in the Philippine Government Electronic Procurement System (PhilGeps) wherein the name of the company will be reflected in the Document Request List (DRL) of this Bid Notice Abstract. Kindly bring a printed-out copy of the Bid Notice Abstract and the Document Request List (DRL) before securing Order of Payment for Bid Documents/Forms.</t>
  </si>
  <si>
    <t xml:space="preserve"> https://drive.google.com/file/d/1GtSHGGJwxGazXxWC0tS-F7_YJyyZN8lA/view?usp=drivesdk</t>
  </si>
  <si>
    <t xml:space="preserve"> "Prospective supplier must be registered at the Philippine Government Electronic Procurement System (PhilGEPS). You may visit the PhilGEPS website at www. philgeps.gov.ph to register". The Notice for Negotiated Procurement can also be downloaded from www.fo4b.dswd.gov.ph</t>
  </si>
  <si>
    <t xml:space="preserve"> Tel No. : 8983-93-21</t>
  </si>
  <si>
    <t xml:space="preserve"> INVITATION TO BID FOR </t>
  </si>
  <si>
    <t xml:space="preserve"> Kindly download the attached file in the associated component section</t>
  </si>
  <si>
    <t xml:space="preserve"> Tel. No.: 8983-93-21</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</si>
  <si>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</si>
  <si>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</si>
  <si>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10.	For further information, please refer to:</t>
  </si>
  <si>
    <t xml:space="preserve"> 20CE0234: Construction of Multi-Purpose Building with Covered Court, Zaragoza, Nueva Ecija; Invitation to Bid including Plans and other Supporting Docs</t>
  </si>
  <si>
    <t xml:space="preserve"> 20CE0236: Replacement of Permanent Weak Bridges Amawinan Br. (B01981LZ) along Daang Maharlika (LZ); Invitation to Bid including Plans and other Supporting Docs</t>
  </si>
  <si>
    <t xml:space="preserve"> 20CE0235: Widening of Permanent Bridges Manicla Br. (B01968LZ) along Daang Maharlika (LZ); Invitation to Bid including Plans and other Supporting Docs</t>
  </si>
  <si>
    <t xml:space="preserve"> Name of Project - Supply and delivery of DRRM Rescue Vehicles</t>
  </si>
  <si>
    <t xml:space="preserve"> Downloads available at the Associated Components/Bid Supplements pages.</t>
  </si>
  <si>
    <t xml:space="preserve"> Bidders are required to read the instructions:</t>
  </si>
  <si>
    <t xml:space="preserve"> Opening of RFQs will be on July 7, 2020 at 10;00 am at Cogon NHS, Brgy.Cogon, Babak District, IGACOS</t>
  </si>
  <si>
    <t xml:space="preserve"> For inquiries Please contact Ms. Anabel Alis Basas @09500981535 or email @anabel.basas@deped.gov.ph</t>
  </si>
  <si>
    <t xml:space="preserve"> Furnish and Delivery of Item 104 Material for RTC Branch 27 and IBP - Cotabato Building</t>
  </si>
  <si>
    <t xml:space="preserve"> Please submit the following:</t>
  </si>
  <si>
    <t xml:space="preserve"> EMERGENCY PURCHASE FOR FRONLINERS (BAYANIHAN FUND)</t>
  </si>
  <si>
    <t xml:space="preserve"> Opening of RFQs will be on July 7, 2020 at 10:00 am at the Division Office,Penaplata, Samal District, IGACOS</t>
  </si>
  <si>
    <t xml:space="preserve"> 9.	For further information, please refer to:</t>
  </si>
  <si>
    <t xml:space="preserve"> Open to suppliers in Abra ONLY.</t>
  </si>
  <si>
    <t xml:space="preserve"> 1	unit	FIRE TRUCK Double Cab	1</t>
  </si>
  <si>
    <t xml:space="preserve"> AIDA P. BOBONG</t>
  </si>
  <si>
    <t xml:space="preserve"> NORMA V. MASAYON</t>
  </si>
  <si>
    <t xml:space="preserve"> The Department of Public Works and Highways - Mountain Province First District Engineering Office, through the PRE-DETAILED ENGINEERING (PDE) intends to apply the sum of Php3,682,655.14,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</si>
  <si>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https://drive.google.com/file/d/1uLJS8hJ7455PzxgOVDbkPJ95f7Th3pvI/view?usp=drivesdk</t>
  </si>
  <si>
    <t xml:space="preserve"> Bidders must download the attached document in the associated component</t>
  </si>
  <si>
    <t xml:space="preserve"> The Department of Public Works and Highways - Mountain Province First District Engineering Office, through the PRE-DETAILED ENGINEERING (PDE) intends to apply the sum of Php2,331,606.86,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</si>
  <si>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Bidding will set by BAC upon submission of COA Request</t>
  </si>
  <si>
    <t xml:space="preserve"> Since the Barangay has no PhilGEPS account with the Municipal BAC consent we were able to post this notice.</t>
  </si>
  <si>
    <t xml:space="preserve"> Opening of RFQs will be on July 7, 2020 at 10:00 am at Limao NHS, Brgy. Limao, Samal District, IGACOS</t>
  </si>
  <si>
    <t xml:space="preserve"> It will be appreciated if you can submit your OPEN QUOTATION in the NEWBORN SCREENING REFERENCE CENTER not later than 12:00 pm on 6 July 2020. Please fax your quotation at tel no. (+632) 8-247-6002 or email at sctulinao@up.edu.ph attention to Sahara C. Tulinao. Thank you.</t>
  </si>
  <si>
    <t xml:space="preserve"> 20CE0233: Construction of Multi-Purpose Building (Phase 1), Brgy. Saint John, Guimba, Nueva Ecija; Invitation to Bid including Plans and other Supporting Docs</t>
  </si>
  <si>
    <t xml:space="preserve"> https://drive.google.com/file/d/1M97inp73sq5trQVTuMSnUDxxFTPW8zDc/view?usp=drivesdk</t>
  </si>
  <si>
    <t xml:space="preserve"> Interested suppliers are required to submit their valid and current Mayor’s Permit, and PhilGEPS Registration/Organization No.</t>
  </si>
  <si>
    <t xml:space="preserve"> PLEASE SE/READ AND AGREE TO THE ATTACHED TERMS OF REFERENCES.</t>
  </si>
  <si>
    <t xml:space="preserve"> https://drive.google.com/file/d/1N35NOeF8byb32IJf-nSe-ZY_cWhxUrHz/view?usp=drivesdk</t>
  </si>
  <si>
    <t xml:space="preserve"> For further inquiries, suppliers may contact telephone nos. 8-736-1192 and 8-736-1116 c/o Ms. Rosalie T. Morales.  The Quotation may be submitted through e-mail at rtmorales@pllo.gov.ph or delivered to the address below:</t>
  </si>
  <si>
    <t xml:space="preserve"> https://drive.google.com/file/d/1A7wHrc8o5kdMWVPiTTfamo15ebO32oM8/view?usp=drivesdk</t>
  </si>
  <si>
    <t xml:space="preserve"> Bidders must download the attached documents in the associated component section.</t>
  </si>
  <si>
    <t xml:space="preserve"> IV Cannula G18	1600	Piece</t>
  </si>
  <si>
    <t xml:space="preserve"> NOTE: WEAR FACE MASK AND OBSERVED SOCIAL DISTANCING DURING THE OPENING OF BIDS.</t>
  </si>
  <si>
    <t xml:space="preserve"> NOTE: THIS IS A REBIDDING FOR ALL ITEMS IN THIS PURCHASE REQUEST.</t>
  </si>
  <si>
    <t xml:space="preserve"> NOTE: THIS IS A REBIDDING FOR THE SAID ITEM IN THIS PURCHASE REQUEST.</t>
  </si>
  <si>
    <t xml:space="preserve"> NOTE: THIS IS A REBIDDING FOR THE SAID ITEM IN THIS PURCHASE REQUEST..</t>
  </si>
  <si>
    <t xml:space="preserve"> All suppliers must submit their quotation together with the following:</t>
  </si>
  <si>
    <t xml:space="preserve"> NOTE: THIS IS A REBIDDING FOR THE SAID SERVICES IN THIS PURCHASE REQUEST.</t>
  </si>
  <si>
    <t xml:space="preserve"> for more information just contact barangay secretariat of Barangay Pamul-ogan, Cabatuan, Iloilo</t>
  </si>
  <si>
    <t xml:space="preserve"> for more information just contact barangay secretariat of Barangay Namocon Tigbauan, Iloilo</t>
  </si>
  <si>
    <t xml:space="preserve"> To be delivered in PENRO-Quezon, Iyam, Lucena City</t>
  </si>
  <si>
    <t xml:space="preserve"> Description: </t>
  </si>
  <si>
    <t xml:space="preserve"> for more information just contact barangay secretariat of Barangay Barroc Tigbauan, Iloilo</t>
  </si>
  <si>
    <t xml:space="preserve"> 20CE0230: Network Development – Construction of By-Pass and Diversion Roads - San Roque – Bacayao Road, Guimba By-Pass, Package 2, Nueva Ecija; Invitation to Bid including Plans and other Supporting Docs</t>
  </si>
  <si>
    <t xml:space="preserve"> To Our Supplier, Bid Documents are Available at BAC Secretariat</t>
  </si>
  <si>
    <t xml:space="preserve"> Please download Associated Components “Request for Quotation” at www.philgeps.gov.ph or www.cagayandeoro.da.gov.ph &amp; send your sealed quotation with signature by fastest means or drop your sealed quotation with signature reflecting PR Number at the quotation box provided by BAC</t>
  </si>
  <si>
    <t xml:space="preserve"> 20CE0231: Asset Preservation – Preventive Maintenance – Secondary Roads - Bongabon – Rizal – Aurora Rd K0153+819 – K0153+1000; Invitation to Bid including Plans and other Supporting Docs</t>
  </si>
  <si>
    <t xml:space="preserve"> https://drive.google.com/file/d/1ibR6yUQJQNiCuXTvbIfZmpINRILFSOQk/view?usp=drivesdk</t>
  </si>
  <si>
    <t xml:space="preserve"> 20CE0232: Asset Preservation – Rehabilitation/Reconstruction/Upgrading of Damaged Paved Roads – Primary Roads - Sn Jose – Lupao Rd - K0172+192 – K0172+259; Invitation to Bid including Plans and other Supporting Docs</t>
  </si>
  <si>
    <t xml:space="preserve"> CREATED BY BAC CHAIRMAN</t>
  </si>
  <si>
    <t xml:space="preserve"> For more details you may call/visit BAC Secretariat @ LGU POLANCO, Polanco, Z. N.</t>
  </si>
  <si>
    <t xml:space="preserve"> RFQ is available at the associated components page.</t>
  </si>
  <si>
    <t xml:space="preserve"> Please see attached RFQ for your immediate reference.</t>
  </si>
  <si>
    <t xml:space="preserve"> Bidder's must download the attached document in the associated component section.</t>
  </si>
  <si>
    <t xml:space="preserve"> MOTOR VEHICLE</t>
  </si>
  <si>
    <t xml:space="preserve"> CABIAO WATER DISTRICT</t>
  </si>
  <si>
    <t xml:space="preserve"> Mini Dump Truck</t>
  </si>
  <si>
    <t xml:space="preserve"> Please specify brands</t>
  </si>
  <si>
    <t xml:space="preserve"> ITB -  BEAUTIFICATION OF BOULEVARD ROAD (PLANT BOX AND LANDSCAPING)</t>
  </si>
  <si>
    <t xml:space="preserve"> 20% EDF CY 2020</t>
  </si>
  <si>
    <t xml:space="preserve"> PLEASE DOWNLOAD AND BID DOCUMENT FOR OTHER INFORMATION.</t>
  </si>
  <si>
    <t xml:space="preserve"> Please contact at the Barangay Hall Sta.Filomena</t>
  </si>
  <si>
    <t xml:space="preserve"> Bidding Documents will be available to prospective bidders who purchase the bidding documents from the office of the Municipal Treasurer of the Local Government Unit of Magpet.</t>
  </si>
  <si>
    <t xml:space="preserve"> All quotations must be in the prescribed canvass form and suppliers or its duly authorized representative shall personally submit the same to the City Procurement Office, City Government of Antipolo.</t>
  </si>
  <si>
    <t xml:space="preserve"> Please see the attached files.</t>
  </si>
  <si>
    <t xml:space="preserve"> PROSPER L. DAYO</t>
  </si>
  <si>
    <t xml:space="preserve"> ITB -  CONSTRUCTION REHABILITATION OF CONCRETE ROAD</t>
  </si>
  <si>
    <t xml:space="preserve"> https://drive.google.com/file/d/1BJyyg4gBTVncTEHR786V-OqmPJvMozGj/view?usp=drivesdk</t>
  </si>
  <si>
    <t xml:space="preserve"> Submit your quotation together with your PhilGEPS Cert</t>
  </si>
  <si>
    <t xml:space="preserve"> Suppliers are required to submit their quotation/written proposal with the following documents on or before JULY 03, 2020 9:00 AM at BAC Office, this LGU, to wit:</t>
  </si>
  <si>
    <t xml:space="preserve"> ITB -  REHABILITATION OF LINED CANAL AND DRAINAGE (PARTIAL)</t>
  </si>
  <si>
    <t xml:space="preserve"> TERMS OF PAYMENT = 30 DAYS</t>
  </si>
  <si>
    <t xml:space="preserve"> For more information, please see or contact the BAC Members of Brgy. Behia, Magallanes, Sorsogon.</t>
  </si>
  <si>
    <t xml:space="preserve"> FE A. LUCHANA</t>
  </si>
  <si>
    <t xml:space="preserve"> Include Brand, Model, Quality and Warranty</t>
  </si>
  <si>
    <t xml:space="preserve"> ***NOTE: Please copy the link below and paste to the web browser for the attached set of Bidding Documents.</t>
  </si>
  <si>
    <t xml:space="preserve"> https://drive.google.com/file/d/17aNrcBR5qH1hqgXo_SsMqtPGYpKEXLrB/view?usp=drivesdk</t>
  </si>
  <si>
    <t xml:space="preserve"> Contact person: Phebe Gayle M. Angellano</t>
  </si>
  <si>
    <t xml:space="preserve"> Visit BAC Office and Bring the following requirements when acquiring prescribe Quotation Form and other inquiries:</t>
  </si>
  <si>
    <t xml:space="preserve"> https://drive.google.com/file/d/1WAHpmFe6tTfuEHOQ-ch8QDNZsv6O489n/view?usp=drivesdk</t>
  </si>
  <si>
    <t xml:space="preserve"> Construction supplies to be used of CPSH repair &amp; Maintenance</t>
  </si>
  <si>
    <t xml:space="preserve"> 1. Bidders are required to read the instructions and fill ALL the blanks in typewritten form or written legibly in permanent ink. </t>
  </si>
  <si>
    <t xml:space="preserve"> NOTE: Please copy the link below and paste to the web browser to download the complete set of bidding documents.</t>
  </si>
  <si>
    <t xml:space="preserve"> REQUEST FOR QUOTATION (RFQ) AVAILABLE AT LANDBANK KABANKALAN C/O DULCE JOY J. GAYAT, JOMABO BLDG, TAN LORENZO COR GUANZON ST, CITY OF KABANKALAN, NEGROS OCCIDENTAL. TEL # (034) 471-2315, 471- 2415</t>
  </si>
  <si>
    <t xml:space="preserve"> contact person: Phebe Gayle M. Angellano</t>
  </si>
  <si>
    <t xml:space="preserve"> You may email your quotation to jbramos9184@nbdb.gov.ph, or call 0933-995-9479 for clarifications/ queries.</t>
  </si>
  <si>
    <t xml:space="preserve"> The Above-listed documents (including the MS Word file for RFP) can also be downloaded at the DPWH website:</t>
  </si>
  <si>
    <t xml:space="preserve"> for info you may contact details</t>
  </si>
  <si>
    <t xml:space="preserve"> Delivery and Supply of Construction Supplies &amp; Materials for the Establishment of MRF  and One (1) unit Plastic and Glass Bottle Shredder/Pulverizer-Grinder</t>
  </si>
  <si>
    <t xml:space="preserve"> It may also be downloaded free of charge from the website of the Philippine Ports Authority at www.ppa.com.ph</t>
  </si>
  <si>
    <t xml:space="preserve"> BAC ACTIVITIES</t>
  </si>
  <si>
    <t xml:space="preserve"> Please visit BAC office</t>
  </si>
  <si>
    <t xml:space="preserve"> Interested Bidders may download attached documents located in the Associated Components Section.</t>
  </si>
  <si>
    <t xml:space="preserve"> https://drive.google.com/file/d/1eo1VJQpAj6Spm-uggjTHA6p1chIBOtk9/view?usp=drivesdk</t>
  </si>
  <si>
    <t xml:space="preserve"> Kindly submit your Price Quotation together with the ff. reqs:</t>
  </si>
  <si>
    <t xml:space="preserve"> MHO: use in Rural Health Unit Birthing Clinic maternity supplies thru GAD Fund</t>
  </si>
  <si>
    <t xml:space="preserve"> MHO: Mental Health Medicines used in RHU thru GAD fund mental Health</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</si>
  <si>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3rd Floor, Provincial Capitol Building, Bontoc, Mountain Province.</t>
  </si>
  <si>
    <t xml:space="preserve"> https://drive.google.com/file/d/1J99fupQrSM1HluJWgDAwhtExSytRw5sW/view?usp=drivesdk</t>
  </si>
  <si>
    <t xml:space="preserve"> MDRRMO: Office equipment and accessories to be used in the DRR-EWS Information Relay Station (FM Radio Station)</t>
  </si>
  <si>
    <t xml:space="preserve"> https://drive.google.com/file/d/1Fm6y37jiLNRCA78J1ZTTx52VL-5pI57j/view?usp=drivesdk</t>
  </si>
  <si>
    <t xml:space="preserve"> For More Info. Please Contact:</t>
  </si>
  <si>
    <t xml:space="preserve"> please call To: 0998-247-0239  &amp;  0906-256-9238  for other details . . .</t>
  </si>
  <si>
    <t xml:space="preserve"> please call To: 0998-247-0239  &amp; 0906-256-9238  for other details . . .</t>
  </si>
  <si>
    <t xml:space="preserve"> SUPPLIERS/BIDDERS MUST DOWNLOAD THE ATTACHED DOCUMENT IN THE ASSOCIATED COMPONENT SECTION.</t>
  </si>
  <si>
    <t xml:space="preserve"> The closing date shall be on the 3rd day after the date published in the Philgeps website</t>
  </si>
  <si>
    <t xml:space="preserve"> MEO: materials to be used on Improvement/Enclosure of Isolation Building (Bancal Elem Sch, Carles Central Sch and Cawayan NHS)</t>
  </si>
  <si>
    <t xml:space="preserve"> Deadline of submission of quotation is on July 3, 2020 at 8:00 AM.</t>
  </si>
  <si>
    <t xml:space="preserve"> 6. The National Irrigation Administration (NIA), Regional Irrigation Office No.7, will hold a Pre-Bid Conference on July 8, 2020, 10:00 AM at NIA Regional Office 7 Conference Room, Dao District, Tagbilaran City, which shall be open to prospective bidders.</t>
  </si>
  <si>
    <t xml:space="preserve"> This office resorts to the Alternative Method of Procurement provided for under 52.1.b, IRR, RA 9184 which is Shopping, and thus, we request for the submission of price quotations for ordinary or regular office supplies and equipment not available in the Procurement Service involving an amount not exceeding P500, 000.00 (as prescribed in Annex "H" of IRR, RA 9184) to be procured directly from suppliers of known qualifications. </t>
  </si>
  <si>
    <t xml:space="preserve"> For official use of Quezon Protected Landscape under CENRO Tayabas City</t>
  </si>
  <si>
    <t xml:space="preserve"> https://drive.google.com/file/d/1IYSmpRhw9E8AreJutcGh-PdUyA5WBv5G/view?usp=drivesdk</t>
  </si>
  <si>
    <t xml:space="preserve"> SUPPLY AND DELIVERY FOR USE IN THE PLANNING &amp; DESIGN SECTION</t>
  </si>
  <si>
    <t xml:space="preserve"> 1. Submission of canvass on or before July 13, 2020 @ 2:00 P.M.</t>
  </si>
  <si>
    <t xml:space="preserve"> Bidders must download the attached documents in the associated component</t>
  </si>
  <si>
    <t xml:space="preserve"> CONTACT BRGY. SECRETARY </t>
  </si>
  <si>
    <t xml:space="preserve"> For inquiries, please contact Mr. Geomar R. Ogoy at tel no. 8293-3683.</t>
  </si>
  <si>
    <t xml:space="preserve"> Instruction for Suppliers on How to View/Download the document:</t>
  </si>
  <si>
    <t xml:space="preserve"> Please address the said quotation to:</t>
  </si>
  <si>
    <t xml:space="preserve"> https://drive.google.com/file/d/1Iw4jZdjgAGJSSe0iHtMO7RXwadixhPMa/view?usp=drivesdk</t>
  </si>
  <si>
    <t xml:space="preserve"> Pre-Bid Conference</t>
  </si>
  <si>
    <t xml:space="preserve"> FOR USE IN THE REPAIR/REPLACEMENT OF 1 UNIT VOLVO BACKHOE EW145-B ASSIGNED IN THE 3RD ENGINEERING DISTRICT - MAINTENANCE SECTION</t>
  </si>
  <si>
    <t xml:space="preserve"> Request for Quotation (RFQ) Documents Alternative download link:</t>
  </si>
  <si>
    <t xml:space="preserve"> BAC Schedule of Activities;</t>
  </si>
  <si>
    <t xml:space="preserve"> https://drive.google.com/file/d/156wwMi_fCYIF2yNaKDQ3H6iUGnXScC40/view?usp=drivesdk</t>
  </si>
  <si>
    <t xml:space="preserve"> https://drive.google.com/file/d/1LUutvae3LesXIetTXNGJjr9pjlMHQnoC/view?usp=drivesdk</t>
  </si>
  <si>
    <t xml:space="preserve"> Quantity		Unit 		Item Description	</t>
  </si>
  <si>
    <t xml:space="preserve"> Please see attached at Associated Components</t>
  </si>
  <si>
    <t xml:space="preserve"> - other information may be discussed during pre-bid conference</t>
  </si>
  <si>
    <t xml:space="preserve"> 1	SELF-LOADING PRIME MOVER (SURPLUS)        1 UNIT</t>
  </si>
  <si>
    <t xml:space="preserve"> MDRRMO: materials to be used for the Construction of PNP Outpost Phase 2 in Brgy. Bancal, Carles, Iloilo</t>
  </si>
  <si>
    <t xml:space="preserve"> SUBMIT LETTER OF INTENT ON OR BEFORE JULY 7, 2020.</t>
  </si>
  <si>
    <t xml:space="preserve"> INSTRUCTIONS/TERMS AND CONDITIONS:								</t>
  </si>
  <si>
    <t xml:space="preserve"> LEA C. MENGULLO</t>
  </si>
  <si>
    <t xml:space="preserve"> 1	Portland cement	170	Bag</t>
  </si>
  <si>
    <t xml:space="preserve"> INVITATION TO BID FOR THE PRODUCTION, SUPPLY, AND DELIVERY OF TOURIST PHILCARE KIT</t>
  </si>
  <si>
    <t xml:space="preserve"> 1	4.5x3mx6mm glass wall partition w/ powdered coated 1 aluminum frame	13.5	Sqm</t>
  </si>
  <si>
    <t xml:space="preserve"> Second Time Bidding</t>
  </si>
  <si>
    <t xml:space="preserve"> Please see attached RFQ in the initiated components</t>
  </si>
  <si>
    <t xml:space="preserve"> 1	Portland Cement	385 	Bags</t>
  </si>
  <si>
    <t xml:space="preserve"> Bidding Documents may be purchased by the Interested Bidders on July 3, 2020 from 8:00 A.M to 5:00 P.M. and upon payment of non - refundable fee of One Thousand Pesos (Php 1,000.00).</t>
  </si>
  <si>
    <t xml:space="preserve"> SEE ATTACHED SUPPORTING DOCUMENTS</t>
  </si>
  <si>
    <t xml:space="preserve"> Please contact et.malong@philrice.gov.ph or emilymalong95@gmail.com</t>
  </si>
  <si>
    <t xml:space="preserve"> MEO: materials to be used for the Repair of Water System/Electrification of Isolation Building (Abong Elem Sch, Guinticgan Elem Sch, Cabilao Pequeño Elem Sch, Tarong Elem Sch and Carles Central Sch)</t>
  </si>
  <si>
    <t xml:space="preserve"> Bidding Documents may be purchased by the Interested Bidders on July 3, 2020 from 8:00 A.M to 5:00 P.M. and upon payment of non - refundable fee of Five Hundred Pesos (Php 500.00).</t>
  </si>
  <si>
    <t xml:space="preserve"> See attached file for specification.</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</si>
  <si>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</si>
  <si>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bidders must download the attached document in the associated components section.</t>
  </si>
  <si>
    <t xml:space="preserve"> 1	5mm x 4"x8" plain steel plate	6	Sht		</t>
  </si>
  <si>
    <t xml:space="preserve"> 1	Omni safety breaker Reg. 2P 30A	5	Pcs</t>
  </si>
  <si>
    <t xml:space="preserve"> Bidding Documents may be purchased by the Interested Bidders on July 3, 2020 from 8:00 A.M to 5:00 P.M. and upon payment of non - refundable fee of One Thousand Five Hundred Pesos (Php 1,500.00).</t>
  </si>
  <si>
    <t xml:space="preserve"> CONTACT BRGY. SECRETARY</t>
  </si>
  <si>
    <t xml:space="preserve"> BID OPENING: JULY 7, 2020   1:00 PM  BAC OFFICE, MUNICIPAL HALL, STA. MARCELA, APAYAO</t>
  </si>
  <si>
    <t xml:space="preserve"> Submit your proposal to BAC Secretariat, Office of the Procurement Services, EARIST or email pjacorn@yahoo.com together with your legal documents philgeps, mayors  permit, omnibus sworn statement , income/business tax clearance, secretary’s certificate in case of corporation</t>
  </si>
  <si>
    <t xml:space="preserve"> Bidding is on July 8, 2020 at ten o'clock in the morning at the 3rd Floor, RHU, Siniloan, Laguna</t>
  </si>
  <si>
    <t xml:space="preserve"> This is subject to the availability of supplies at the PS-DBM.</t>
  </si>
  <si>
    <t xml:space="preserve"> See attached for reference.</t>
  </si>
  <si>
    <t xml:space="preserve"> Annual Budget CY 2020</t>
  </si>
  <si>
    <t xml:space="preserve"> you can also email to jocelyn.saplala.afab@gmail.com</t>
  </si>
  <si>
    <t xml:space="preserve"> You may download the complete bidding documents using the link below: </t>
  </si>
  <si>
    <t xml:space="preserve"> https://drive.google.com/file/d/1aEbADPmTHor8OfQ1mwasb1D0q5h_q46B/view?usp=drivesdk</t>
  </si>
  <si>
    <t xml:space="preserve"> MOOE 2020</t>
  </si>
  <si>
    <t xml:space="preserve"> RFQ# 109CO – 06 – 2020 – 102 is ready and available at 109th CO, AFPPS, Camp Elias Angeles, San Jose, Pili, Camarines Sur</t>
  </si>
  <si>
    <t xml:space="preserve"> Annual Budget (LCPC) CY 2020</t>
  </si>
  <si>
    <t xml:space="preserve"> Bidding Documents may be secured from the BAC Secretariat, Office of the Municipal Treasurer – Supply Section upon payment to the MTO Cashier of a non-refundable amount of ₱ 500.00. </t>
  </si>
  <si>
    <t xml:space="preserve"> Complete Bidding document can be downloaded using the link below:</t>
  </si>
  <si>
    <t xml:space="preserve"> https://drive.google.com/file/d/1gyQvdYBOo8twcBRsLoAItSZhZ_UAsa7G/view?usp=drivesdk</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</si>
  <si>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</si>
  <si>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ALL BIDDERS MUST CONDUCT AN OCULAR INSPECTION BEFORE SUBMISSION OF BID.  </t>
  </si>
  <si>
    <t xml:space="preserve"> You may download complete bidding documents using the links below:</t>
  </si>
  <si>
    <t xml:space="preserve"> Deadline of Submission of Bid Documents JULY 3 2020 10:00AM</t>
  </si>
  <si>
    <t xml:space="preserve"> BID DOCUMENT IS AVAILABLE AT ENGINEERING OFFICE, BAC SECRETARIAT.</t>
  </si>
  <si>
    <t xml:space="preserve"> The Local Government Unit of Island Garden City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</si>
  <si>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Date of Bid Opening: July 7, 2020; 10:00 a.m.</t>
  </si>
  <si>
    <t xml:space="preserve"> https://drive.google.com/file/d/1SjQqCqG2beB3fgjrUIEx0mM9wwAf2Or8/view?usp=drivesdk</t>
  </si>
  <si>
    <t xml:space="preserve"> BIDDING DOCUMENTS MAY BE INITIALLY SENT ELECTRONICALLY THROUGH OUR OFFICIAL EMAIL ADDRESS. HARD COPIES SHALL FOLLOW.</t>
  </si>
  <si>
    <t xml:space="preserve"> Please contact us for further details.</t>
  </si>
  <si>
    <t xml:space="preserve"> EMERGENCY PURCHASE/COVID 19 PROJECT RELATED</t>
  </si>
  <si>
    <t xml:space="preserve"> https://drive.google.com/file/d/1fog4TBtIsOXLV5j4CCExjxIBmirtG9bQ/view?usp=drivesdk</t>
  </si>
  <si>
    <t xml:space="preserve"> For more information please visit or contact the BAC Secretariat at Brgy Diolen Mutia Z.N</t>
  </si>
  <si>
    <t xml:space="preserve"> Please Call BAC for your inquiry at tel # (056) 333-6310</t>
  </si>
  <si>
    <t xml:space="preserve"> 1.	Interested supplier/bidder/services should submit their quotation in an official Request for Quotation Form. ( forms are available at Taysan NHS Property Officer)</t>
  </si>
  <si>
    <t xml:space="preserve"> For inquiries, please contact Mr. Allan de Vera at tel no. 8293-3683.</t>
  </si>
  <si>
    <t xml:space="preserve"> https://drive.google.com/file/d/1qtt7078TC6ibrw4CA_1-YgJlXPKKXz8U/view?usp=drivesdk</t>
  </si>
  <si>
    <t xml:space="preserve"> Note: Each item number is considered as one lot, an absence of any item/s in the lot shall be considered as non-responsive.</t>
  </si>
  <si>
    <t xml:space="preserve"> ATTACHED POW</t>
  </si>
  <si>
    <t xml:space="preserve"> Bidders may download attached documents located in the Associated Component Section.</t>
  </si>
  <si>
    <t xml:space="preserve"> Item Number	Description	Quantity	Unit</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</si>
  <si>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SSS Victorias   Branch at Tel Nos. (034)399 2953/399 2954</t>
  </si>
  <si>
    <t xml:space="preserve"> RFQ# 109CO – 06 – 2020 – 103 is ready and available at 109th CO, AFPPS, Camp Elias Angeles, San Jose, Pili, Camarines Sur</t>
  </si>
  <si>
    <t xml:space="preserve"> Interested bidders must download the bidding documents in the following links:</t>
  </si>
  <si>
    <t xml:space="preserve"> FOB Destination</t>
  </si>
  <si>
    <t xml:space="preserve"> FOR INFORMATION PURPOSES ONLY</t>
  </si>
  <si>
    <t xml:space="preserve"> Please download the RFQ in the Associated Component.</t>
  </si>
  <si>
    <t xml:space="preserve"> For more information, please see or contact the BAC Membersw of Brgy. Magsaysay, Magallanes, Sorsogon.</t>
  </si>
  <si>
    <t xml:space="preserve"> -All interested PCAB Licensed Contractors are advised to inquire at the Municipal Engineering Office for verification of plans, specifications, items of work and other matters pertaining to this procurement.</t>
  </si>
  <si>
    <t xml:space="preserve"> For inquiries and submission of quotation, please contact Leonilyn Noche of the Procurement Section at (02)8724 0656 loc. 215. Thank You!</t>
  </si>
  <si>
    <t xml:space="preserve"> click link https://drive.google.com/file/d/1evRH8xmkXocr7CLPyAPhUMfKPPMjWHHR/view?usp=drivesdk for the plan</t>
  </si>
  <si>
    <t xml:space="preserve"> Interested bidders may download attached documents located in the Associated Component Section.</t>
  </si>
  <si>
    <t xml:space="preserve"> Item No.	UNIT	 ITEM DESCRIPTION 	QUANTITY</t>
  </si>
  <si>
    <t xml:space="preserve"> For inquiry, you may contact us at Telefax no. 527-9757 or email us at bacsecretariat@customs.gov.ph.</t>
  </si>
  <si>
    <t xml:space="preserve"> Deadline of submission of quotation is on July 3, 2020 at 10:00 AM.</t>
  </si>
  <si>
    <t xml:space="preserve"> contact BAC Secretariat for specs &amp; requirements</t>
  </si>
  <si>
    <t xml:space="preserve"> LOT I – VARIOUS FILTERS (ABC – P465,415.00)</t>
  </si>
  <si>
    <t xml:space="preserve"> Pay Item No.	Description	Unit	Quantity</t>
  </si>
  <si>
    <t xml:space="preserve"> Brand names of all items must be indicated in the bid.</t>
  </si>
  <si>
    <t xml:space="preserve"> Assorted Used Clothing (Class A)	3	Bundle</t>
  </si>
  <si>
    <t xml:space="preserve"> Diesel	1200	liters</t>
  </si>
  <si>
    <t xml:space="preserve"> For further information, please refer to :</t>
  </si>
  <si>
    <t xml:space="preserve"> Brand name of item must be indicated in the bid.</t>
  </si>
  <si>
    <t xml:space="preserve"> Cell Cards (300)	100	pcs</t>
  </si>
  <si>
    <t xml:space="preserve"> Checklist for Alternative Mode of Procurement</t>
  </si>
  <si>
    <t xml:space="preserve"> Bidder must be download the attached document in the associated component</t>
  </si>
  <si>
    <t xml:space="preserve"> 1.)	2	bxs	Polypropylene 6-0 with Needle Cutting Edge x 12’s (31mm Round Bodied; 75cm, sterile, packed individually)</t>
  </si>
  <si>
    <t xml:space="preserve"> 20CSCE006 - CONSULTING SERVICES FOR THE CONDUCT OF SOIL/GEOTECHNICAL INVESTIGATION FOR THE PROPOSED CONSTRUCTION/REHABILITATION/REPLACEMENT OF VARIOUS BRIDGES PROJECTS</t>
  </si>
  <si>
    <t xml:space="preserve"> SUBMIT QUOTATION ON OR BEFORE JULY 3, 2020 - 10:00AM AT BAC OFFICE</t>
  </si>
  <si>
    <t xml:space="preserve"> Bukag	5	pcs</t>
  </si>
  <si>
    <t xml:space="preserve"> - All interested PCAB Licensed Contractors are advised to inquire at the Municipal Engineering Office for verification of plans, specifications, items of work and other matters pertaining to this procurement.</t>
  </si>
  <si>
    <t xml:space="preserve"> Please download and print the complete set of bidding document using the link below:</t>
  </si>
  <si>
    <t xml:space="preserve"> Disposable Plastic Gloves	5	dozen</t>
  </si>
  <si>
    <t xml:space="preserve"> For more details, please contact the Municipal Engineer Jopson D. Baones with his Mobile No. 09399029802.</t>
  </si>
  <si>
    <t xml:space="preserve"> AREA 1.  Barangay Pasta, SFADS (along National Highway crossing going to Tribal)</t>
  </si>
  <si>
    <t xml:space="preserve"> Please contact BAC secretariat for complete information of the unit.</t>
  </si>
  <si>
    <t xml:space="preserve"> Please contact the BAC secretariat for further information.</t>
  </si>
  <si>
    <t xml:space="preserve"> Please download and print the complete set of bidding documents using the link below:</t>
  </si>
  <si>
    <t xml:space="preserve"> Rehabilitation of seawall - P 71,602.00</t>
  </si>
  <si>
    <t xml:space="preserve"> (LOT 1)				</t>
  </si>
  <si>
    <t xml:space="preserve"> DETAILS/COST ESTIMATES/FLOOR PLAN AND OTHER DOCUMENTS SUCH AS REQUEST FOR QUOTATION (RFQ) AVAILABLE AT LAND BANK OF THE PHILIPPINES, SARA BRANCH, SARA ILOILO C/O ROLIEN DELEGENCIA AT TELEPHONE No. (033) 392-0251, 392-0255</t>
  </si>
  <si>
    <t xml:space="preserve"> 1. All prospective suppliers must first submit photocopies of Class “A” Documents, and other</t>
  </si>
  <si>
    <t xml:space="preserve"> Bidding Documents Link:</t>
  </si>
  <si>
    <t xml:space="preserve"> The Vicente Sotto Memorial Medical Center reserves the right to accept or reject any bid, to annul the bidding process, and to reject all bids at any time prior to contract award, without thereby incurring any liability to the affected bidder or bidders.</t>
  </si>
  <si>
    <t xml:space="preserve"> Please refer to the attached “Annexes A1” for the list of items and allotted budget per line.</t>
  </si>
  <si>
    <t xml:space="preserve"> 2.	https://drive.google.com/file/d/1idHJ8D1pmUXgEU8-TWy_VILC8id1Gidv/view?usp=drivesdk</t>
  </si>
  <si>
    <t xml:space="preserve"> 1.	https://drive.google.com/file/d/1XcYKoqf4_Y3iI8tWRsXUizGpzvRJk8Hr/view?usp=drivesdk</t>
  </si>
  <si>
    <t xml:space="preserve"> Please submit your quotation and legal documents  not later than  08 July 2020, 5:00 P.M.  thru email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</si>
  <si>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Please see attached file for specifications.</t>
  </si>
  <si>
    <t xml:space="preserve"> FOR BID DOCS:</t>
  </si>
  <si>
    <t xml:space="preserve"> Visit our school for your bidding estimation.</t>
  </si>
  <si>
    <t xml:space="preserve"> Bidder/s must download the attached document/s in the Associated Components section of this Notice.</t>
  </si>
  <si>
    <t xml:space="preserve"> In view of the existing GENERAL COMMUNITY QUARANTINE over Metro Manila we are follwoing health protocols and new normal operations. </t>
  </si>
  <si>
    <t xml:space="preserve"> For more information, please call the BAC Secretariat Section Office at telephone nos. 8522-7252 / 5335-1777 or 87 loc. 397.</t>
  </si>
  <si>
    <t xml:space="preserve"> Quotations may be submitted through email at rodelserrano77@yahoo.com or delivered to the address indicated below:  </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</si>
  <si>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</si>
  <si>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Please download the attached Request for Quotation form to be included in the Document Request List &amp; Bidders List...</t>
  </si>
  <si>
    <t xml:space="preserve"> Please see the attached RFQ for more details.</t>
  </si>
  <si>
    <t xml:space="preserve"> Please indicate Project Address in the sealed bidding envelope.</t>
  </si>
  <si>
    <t xml:space="preserve"> Submission of Quotation until July 6, 2020 @ 10:00 A.M.</t>
  </si>
  <si>
    <t xml:space="preserve"> Pre-Bid will be on July 8, 2020 @ 10:00 A.M. @ Bids and Awards Committee Office</t>
  </si>
  <si>
    <t xml:space="preserve"> https://drive.google.com/file/d/1BRnGu0l23v8Frh8NZmezUgrackQiJT9R/view?usp=drivesdk</t>
  </si>
  <si>
    <t xml:space="preserve"> The Vicente Sotto Memorial Medical Center reserves the right to accept or reject any bid, to annul the bidding process, and to reject all bids at any time prior to contract award, without thereby incurring any liability to the affected bidder or bidders</t>
  </si>
  <si>
    <t xml:space="preserve"> Please indicate Project Address in your sealed bidding envelope.</t>
  </si>
  <si>
    <t xml:space="preserve"> • Similar Contracts: Supply and delivery of Diesel Generating Sets or Mechanical and/or Electrical Parts / Components / Equipment for Diesel Generating Sets</t>
  </si>
  <si>
    <t xml:space="preserve"> GENERAL INSTRUCTIONS TO BIDDERS:</t>
  </si>
  <si>
    <t xml:space="preserve"> • Similar Contracts: Construction / renovation of commercial of industrial building</t>
  </si>
  <si>
    <t xml:space="preserve"> https://drive.google.com/file/d/1MnRkFC41hyKQX09Taz3-MgkMYcwD9UwY/view?usp=drivesdk</t>
  </si>
  <si>
    <t xml:space="preserve"> https://drive.google.com/file/d/1xLaBZ9pQOwd1rr_VvurquMaWlnFPCW8s/view?usp=drivesdk</t>
  </si>
  <si>
    <t xml:space="preserve"> Bidder-supplier must see and download the attached main document (Request for Quotation) file.</t>
  </si>
  <si>
    <t xml:space="preserve"> 1. BIDDERS ARE STRICTLY REQUIRED TO SUBMIT LETTER OF INTENT WHEN BUYING BID DOCUMENTS AT THE BAC SECRETARIAT.</t>
  </si>
  <si>
    <t xml:space="preserve"> Submission of Quotation until July 6, 2020 @ 10:30 A.M.</t>
  </si>
  <si>
    <t xml:space="preserve"> Please refer to the attached RFQ</t>
  </si>
  <si>
    <t xml:space="preserve"> For any Information, please call Mr. Fidel G. Zaragoza or Sally Sharon M. Madariaga at +63-8826-2095</t>
  </si>
  <si>
    <t xml:space="preserve"> Please submit your quotation and legal documents until 3 JULY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</si>
  <si>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Please submit your quotation and legal documents until 6 JULY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</si>
  <si>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PRE BID CONFERENCE:</t>
  </si>
  <si>
    <t xml:space="preserve"> NOTE:</t>
  </si>
  <si>
    <t xml:space="preserve"> Purpose: Training Equipment for the Completed Three (3) Storey Building of the ZSCMST Regional Maritime Training Center for Basic Training (Formerly SOLAS).</t>
  </si>
  <si>
    <t xml:space="preserve"> NERIA D. MONJE</t>
  </si>
  <si>
    <t xml:space="preserve"> Bring Letter of Intent- 3 Copies</t>
  </si>
  <si>
    <t xml:space="preserve"> https://drive.google.com/file/d/19SPcT2YzhkrUI1c_lU1skY4ZSPsxMKFV/view?usp=drivesdk</t>
  </si>
  <si>
    <t xml:space="preserve"> The BAC will issue to prospective bidders Eligibility Forms and Bid Documents at the Office of the BAC Secretariat, LGU Gattaran, Cagayan, upon their submission of a LOI, and upon their payment of a non-refundable amount of Php 5,000.00 to the Municipal Treasurer of the local Government Unit of Gattaran.</t>
  </si>
  <si>
    <t xml:space="preserve"> https://drive.google.com/file/d/1AXHiuIdbUP2FBo7GaUqcZrRjmEnibO3i/view?usp=drivesdk</t>
  </si>
  <si>
    <t xml:space="preserve"> 1.  The Barangay Council of Barangay Agbago, intends to apply the sum above-stated being the Approved Budget for the Contract (ABC) to payments under the contract for the above-mentioned contract.  Bids received in excess of the ABC shall automatically rejected, the bid opening.</t>
  </si>
  <si>
    <t xml:space="preserve"> SUPPLIER MUST SUBMIT LOCAL BUSINESS PERMIT AT ILIGAN CITY</t>
  </si>
  <si>
    <t xml:space="preserve"> https://drive.google.com/file/d/1FZDRkREnxm5MTGIurb8ExJOvCmjdg-Mw/view?usp=drivesdk</t>
  </si>
  <si>
    <t xml:space="preserve"> 1	2020-0719	Radio Plugging of Emerging Re-emerging Infectious Diseases (EREID) Program, Thrusts &amp; Iniatiatives in One (1) Loacal AM Stations with coverage in Panay Island 	285 Spots				 997,500.00 	 2020 Health Promotion Fund  	DR.M.A. STA LUCIA</t>
  </si>
  <si>
    <t xml:space="preserve"> 1	2020-0617	ENDPOINT SECURITY Enterprise Suite Integrated Enterprise Security and Unified Endpoint Management Console. 	100	PCS					 315,000.00 	 2019 CONAP PHM 	MR. A.ZAFRA</t>
  </si>
  <si>
    <t xml:space="preserve"> 1	2020-0634	Collapsible Water Drinking Container	1000	pcs				 250,000.00 	 2019 HEMS CoNap HEPR 	MS. F.GALLARDO</t>
  </si>
  <si>
    <t xml:space="preserve"> 1	2020-0654	Airing of TV advertisement for Violence and Injury Prevention Program	44				 440,000.00 	 ConAp SAA 2019-08-1625 	DR. R. M. LAMIREZ</t>
  </si>
  <si>
    <t xml:space="preserve"> 1	2020-0703	Purchase of Bond Paper Long Size (8.5 x 13")	1200						 300,000.00 	 PHM Polled funds for COVID 	DR.J.AGUILING</t>
  </si>
  <si>
    <t xml:space="preserve"> 1	2020-0433	Photography and Videography Services for the 2020 Regional Awarding DOH-RO VI partners and stakeholders in November 27,2020 in Iloilo City	1					 40,000.00 	 2020 Health Promotion Fund 	DR. M. A. STA. LUCIA</t>
  </si>
  <si>
    <t xml:space="preserve"> 1	2020-0423	Branded Laptop	22	 Unit 					 660,000.00 	  (HFEP INFRA CY 2009) 	DR. R. NACANAYNAY</t>
  </si>
  <si>
    <t xml:space="preserve"> https://drive.google.com/file/d/1vYcrcqguOT7LWetysMameL25_M_YF5Wm/view?usp=drivesdk</t>
  </si>
  <si>
    <t xml:space="preserve"> 1	2020-0687	Freight and Handling/Distribution Services of Routine Immunization Logistics for 2nd Quarter Needs in Western Visayas					 480,000.00 	 SAA 2019-07-0899 	DR. MA.MATILLANO</t>
  </si>
  <si>
    <t xml:space="preserve"> 2020-0503	LED Wall and Audio System Rental and Services for the 2020 Regional Recognition of DOH CHD WV Partners and Stakeholders						 100,000.00 	 2020 Health Promotion Fund 	DR. MA.STA LUCIA</t>
  </si>
  <si>
    <t xml:space="preserve"> CONTACT BAC SECRETARIAT</t>
  </si>
  <si>
    <t xml:space="preserve"> 1	2020-0689	SUPPLY, DELIVERY &amp; INSTALLATION OF THREE (3) UNITS, 333KVA DISTRIBUTION TRANSFORMERS, 7620/13200Y, 120/240V, SILICON DOUBLE BUSHING WITH TERMINAL LUGS, LONG BARREL, 2-HOLES FOR 250mm2 WIRES, AND COMPLETE WITH THE FOLLOWING ACCESSORIES TO WIT;							 1,850,000.00 	 2019 PHM ConAp 	ENGR.A.CELESTINO</t>
  </si>
  <si>
    <t xml:space="preserve"> 2020 20% DF</t>
  </si>
  <si>
    <t xml:space="preserve"> 1	2020-0653	Procurement of Emergency Newborn Kits	1,000	pcs				 500,000.00 	 CONAP 2019 PHM 	DR. MA. MATILLANO</t>
  </si>
  <si>
    <t xml:space="preserve"> 1	2020-0724	Purchase of Toner Genuine (Samsung):	20						 60,000.00 	 PHM 	DR.J.AGUILING</t>
  </si>
  <si>
    <t xml:space="preserve"> 1	2020-0718	Oil Proof Performance Sprayer	80	Unit					 1,200,000.00 	 PHM 	DR. M.J.R. JUANICO</t>
  </si>
  <si>
    <t xml:space="preserve"> Pre-bid Conference is open to all interested bidders.</t>
  </si>
  <si>
    <t xml:space="preserve"> 1. Bidders are required to read the instruction.</t>
  </si>
  <si>
    <t xml:space="preserve"> DOWNLOAD RFQ &amp; MEMO @ THE ASSOCIATED COMPONENTS. SUBMIT BOTH DOCS</t>
  </si>
  <si>
    <t xml:space="preserve"> Pub: June 29 - July 01, 2020</t>
  </si>
  <si>
    <t xml:space="preserve"> MR. MOHAMADSUAIB  B. ESMAEL, BAC-B, Chairperson</t>
  </si>
  <si>
    <t xml:space="preserve"> 1) Water Meter 1'': ABC: 80,000.00 - 20 pcs</t>
  </si>
  <si>
    <t xml:space="preserve"> 1) Plastic PE St. Coupler 3/4'': ABC - Php 55,000.00 - 1,000 pcs</t>
  </si>
  <si>
    <t xml:space="preserve"> 1) Meter Seal 100pcs/bag: ABC - Php 120,000.00 - 6,000pcs</t>
  </si>
  <si>
    <t xml:space="preserve"> BAC ACTIVITIES	DATE	VENUE</t>
  </si>
  <si>
    <t xml:space="preserve"> COPY AND PASTE IN THE BROWSER THE LINK BELOW TO VIEW RFQ: </t>
  </si>
  <si>
    <t xml:space="preserve"> The Works consists of Provision of 21 rolls 63mmøx60m HDPE Pipe, sdr 17 (1260 Ln.m) and 2 units Plastic Tank (2cu.m. capacity) w/ 6 distribution lines each tank using (32mmøx100m HDPE pipe, sdr 17).</t>
  </si>
  <si>
    <t xml:space="preserve"> 1) PE PIPE 1'' SDR 11 ISO: ABC - Php 141,000.00 - 3,000 mtrs</t>
  </si>
  <si>
    <t xml:space="preserve"> 1) DIGITAL WEIGHT SCALE (PLEASE SEE ATTACHED SPECIFICATIONS) - ABC Php 160,000.00 - 2 units</t>
  </si>
  <si>
    <t xml:space="preserve"> COPY AND PASTE IN THE BROWSER THE LINK BELOW TO VIEW RFQ:</t>
  </si>
  <si>
    <t xml:space="preserve"> The Works consists of Provision of 38.896 ln. m. stone masonry slope protection structure.</t>
  </si>
  <si>
    <t xml:space="preserve"> For the use of OG2, 2ID, PA</t>
  </si>
  <si>
    <t xml:space="preserve"> The Works consists of Provision of 20.00l.m. stone masonry slope protection structure.</t>
  </si>
  <si>
    <t xml:space="preserve"> The Works consists of Provision of 29.30 l.m. (198.15 cu.m.) stone masonry slope protection structure and 29.30 l.m. concrete shoulder.</t>
  </si>
  <si>
    <t xml:space="preserve"> For more inquiries pls call 87230401 loc 4579</t>
  </si>
  <si>
    <t xml:space="preserve"> The Works consists of Provision of 26.5 l.m. (46.38 cu.m.) rubble concrete structure, 26.5 l.m. (84.05 cu.m.) Groutd riprap and 25.901 l.m. (19.88 sq.m. x 0.15m thk) concrete shoulder.</t>
  </si>
  <si>
    <t xml:space="preserve"> The Works consists of Construction of 210.00 ln.m. 4” THK CHB (3 layers and 2 layers) canal lining with concrete stiffener and column space at every 5.00m with 1 unit concrete crossing.</t>
  </si>
  <si>
    <t xml:space="preserve"> The Works consists of Construction of Drainage Canal (0.60m x 0.60m x 26.0m) w/ floor slab and top slab from Dietary Building tom Street Canal and Syphoning of 15 cu.m. Septic Vault between OR Bdlg. And Laundry Bldg.</t>
  </si>
  <si>
    <t xml:space="preserve"> The Works consists of Provision of 15.8l.m. (74.96 cu.m.) stone masonry slope protection structure.</t>
  </si>
  <si>
    <t xml:space="preserve"> https://drive.google.com/file/d/1qPsCTkHdWYXHbSxien54s5iq5TWhcy4t/view?usp=drivesdk</t>
  </si>
  <si>
    <t xml:space="preserve"> DOWNLOAD RFQ @ MEMO @ THE ASSOCIATED COMPONENTS. SUBMIT BOTH DOCS.</t>
  </si>
  <si>
    <t xml:space="preserve"> You may download and check the bidding documents using the link below:</t>
  </si>
  <si>
    <t xml:space="preserve"> https://drive.google.com/file/d/1wr10iE09r6gtoAXBMJwZY7vZuqqbg4O_/view?usp=drivesdk</t>
  </si>
  <si>
    <t xml:space="preserve"> For more inquiries pls call 87230401 loc4579</t>
  </si>
  <si>
    <t xml:space="preserve"> DOWNLOAD RFQ &amp; MEMO @ THE ASSOCIATED COMPONENTS. SUBMIT BOTH DOCUMENTS</t>
  </si>
  <si>
    <t xml:space="preserve"> Please visit LGU-San Mateo offices for actual measurements</t>
  </si>
  <si>
    <t xml:space="preserve"> The Works consists of Provision of 11 pcs.-24” ø RCPC cross drain with 21.50 ln.m. (30.70 cu.m.) Stone Masonry Headwall with 2 unit catch basin; Concreting of 56.00m long x 4.00m wide x 0.15m thick PCCP Plain.</t>
  </si>
  <si>
    <t xml:space="preserve"> for inquiries, you may call us at tel. no. 8 364-8242 and look for Mr. Arenas</t>
  </si>
  <si>
    <t xml:space="preserve"> Deliver at Talaban Elementary School.</t>
  </si>
  <si>
    <t xml:space="preserve"> 20CSCE005  - CONSULTING SERVICES FOR THE CONDUCT OF a.) PARCELLARY SURVEY b.) DETAILED ENGINEERING SURVEY c.) STRUCTURAL/UTILITY/FACILITIES SURVEY d.) MONUMENTING e.) RESEARCH WORKS for the CONSTRUCTION OF RIZAL BY-PASS, NUEVA ECIJA 2nd LEGISLATIVE DISTRICT"</t>
  </si>
  <si>
    <t xml:space="preserve"> INVITATION TO BID FOR THE PRODUCTION, SUPPLY, AND DELIVERY OF TEN (10) THOUSAND PIECES CORPORATE TOTE BAG WITH SEVEN (7) DIFFERENT WEAVE CLOTH DESIGN</t>
  </si>
  <si>
    <t xml:space="preserve"> Inclusive of delivery</t>
  </si>
  <si>
    <t xml:space="preserve"> The Works consists of Provision of 61.00 l.m (174.39 cu.m.) stone masonry slope protection and 36.00 l.m. concrete shoulder.</t>
  </si>
  <si>
    <t xml:space="preserve"> For information only.</t>
  </si>
  <si>
    <t xml:space="preserve"> 1	Bidders are required to read the instructions  and fill ALL the blanks in typewritten form or written legibly in </t>
  </si>
  <si>
    <t xml:space="preserve"> Location of training: Koronadal City</t>
  </si>
  <si>
    <t xml:space="preserve"> contact person</t>
  </si>
  <si>
    <t xml:space="preserve"> Please be informed that the bid documents cannot be downloaded from the website. It is non – electronic. </t>
  </si>
  <si>
    <t xml:space="preserve"> For more information and details, please contact the BAC Secretariat</t>
  </si>
  <si>
    <t xml:space="preserve"> BAC Documents are available at the Office of the Punong Barangay</t>
  </si>
  <si>
    <t xml:space="preserve"> For additional information please dial (8) 711-42-76 local 224/240 (Ms. Lucille/Cristy/ Mr. Dom)</t>
  </si>
  <si>
    <t xml:space="preserve"> Rosalia Aglay Ayag Elementary School located at Brgy. Tawantawan, Baguio District, Davao City</t>
  </si>
  <si>
    <t xml:space="preserve"> All prices must be VAT inclusive.</t>
  </si>
  <si>
    <t xml:space="preserve"> INTERESTED BIDDERS ARE ADVISED TO DOWNLOAD THE ATTACHED DOCUMENTS LOCATED IN ASSOCIATED COMPONENT SECTION FOR GUIDANCE.</t>
  </si>
  <si>
    <t xml:space="preserve"> COPY AND PASTE IN THE BROWSER THE LINK BELOW TO VIEW BIDDING DOCUMENTS: </t>
  </si>
  <si>
    <t xml:space="preserve"> Source of Funds: Annual Budget CY 2020 20% Development Fund</t>
  </si>
  <si>
    <t xml:space="preserve"> Bidders must download the attached document in the associated components section.</t>
  </si>
  <si>
    <t xml:space="preserve"> Note: Please see the uploaded file at associated components.</t>
  </si>
  <si>
    <t xml:space="preserve"> 3.	Bidding will be conducted through open competitive bidding procedures using a non-discretionary “pass/fail” criterion as specified in the 2016 Revised Implementing Rules and Regulations (IRR) of Republic Act (RA) 9184, otherwise known as the “Government Procurement Reform Act”.					</t>
  </si>
  <si>
    <t xml:space="preserve"> You may see the MDRRMO, Municipality of Caibiran</t>
  </si>
  <si>
    <t xml:space="preserve"> INTERESTED BIDDERS ARE ADVISED TO DOWNLOAD THE ATTACHED DOCUMENTS LOCATED AT THE ASSOCIATED COMPONENT SECTION FOR GUIDANCE.</t>
  </si>
  <si>
    <t xml:space="preserve"> (Please Refer to the attached Instructions to Bidders for the Technical Specifications).</t>
  </si>
  <si>
    <t xml:space="preserve"> funded under BDF 2020</t>
  </si>
  <si>
    <t xml:space="preserve"> The Partido Development Administration, through the PDA Corporate Operating Budget of 2020 intends to apply the sum of TWO MILLION SIX HUNDRED EIGHT THOUSAND TWO HUNDRED PESOS ONLY (P 2,608,200.00) being the Approved Budget for the Contract (ABC) to payments under the contract for the Supply and Delivery of 1,620 Pails Aluminum Sulfate (PDA 2020-003). Bids received in excess of the ABC shall be automatically rejected at bid opening. </t>
  </si>
  <si>
    <t xml:space="preserve"> https://drive.google.com/file/d/1cCLfbsLMYbm41CUeh1YcYC6FtbuX_L7D/view?usp=drivesdk</t>
  </si>
  <si>
    <t xml:space="preserve"> https://drive.google.com/file/d/10m5aWHTOwFjpEfe-jwQgoKGwisBSC90M/view?usp=drivesdk</t>
  </si>
  <si>
    <t xml:space="preserve"> MINI DUMP TRUCK, (Brand new) 4 Cylinders inline, water cooling,CDRI,15” Tire, inclusive of GSIS Insurance and LTO Registration</t>
  </si>
  <si>
    <t xml:space="preserve"> https://drive.google.com/file/d/1LqQys6-aTqeT_r3VFgO0mEYUPkJc-pFd/view?usp=drivesdk</t>
  </si>
  <si>
    <t xml:space="preserve"> BID FORM</t>
  </si>
  <si>
    <t xml:space="preserve"> Please see attached Bidding Documents for more information.</t>
  </si>
  <si>
    <t xml:space="preserve"> Item no.3 has new specifications</t>
  </si>
  <si>
    <t xml:space="preserve"> Schedule of Delivery: Every Monday</t>
  </si>
  <si>
    <t xml:space="preserve"> GENERAL INSTRUCTIONS TO BIDDERS:							</t>
  </si>
  <si>
    <t xml:space="preserve"> BILL OF QUANTITIES</t>
  </si>
  <si>
    <t xml:space="preserve"> Annex “A”</t>
  </si>
  <si>
    <t xml:space="preserve"> Deadline of Submission of BIDs : July 10, 2020;  2:00 PM</t>
  </si>
  <si>
    <t xml:space="preserve"> Deadline of Submission of BIDs : July 10, 2020; 02:00 PM</t>
  </si>
  <si>
    <t xml:space="preserve"> https://drive.google.com/file/d/13C9yPHeb-iDdaEXhaUToklb5-GsTGXgV/view?usp=drivesdk</t>
  </si>
  <si>
    <t xml:space="preserve"> INTERESTED BIDDERS ARE ADVISED TO DOWNLOAD THE ATTACHED DOCUMENTS LOCATED AT THE ASSOCIATED COMPONENT SECTION FOR GUIDANCE</t>
  </si>
  <si>
    <t xml:space="preserve"> You may see the Supply Officer, Municipality of Caibiran</t>
  </si>
  <si>
    <t xml:space="preserve"> Deadline of Submission of BIDs: July 10, 2020; 02:00 PM</t>
  </si>
  <si>
    <t xml:space="preserve"> Please download the attached Request for Quotation in the associated component.</t>
  </si>
  <si>
    <t xml:space="preserve"> Requirements:</t>
  </si>
  <si>
    <t xml:space="preserve"> The participating agency is preferably within Quezon Province</t>
  </si>
  <si>
    <t xml:space="preserve"> Please download the attached Invitation to bid, Bidding Documents, Terms of Reference and Eligibility Checklist in the associated Component.</t>
  </si>
  <si>
    <t xml:space="preserve"> Please Contact Jaren D. Ducay, BAC Secretariat at 09956498330</t>
  </si>
  <si>
    <t xml:space="preserve"> Please download the attached Invitation to Bid, Bidding Documents, Terms of Reference and Eligibility Checklist in the associated component.</t>
  </si>
  <si>
    <t xml:space="preserve"> Please see attached RFQ in the associated component</t>
  </si>
  <si>
    <t xml:space="preserve"> Mr. ROLANDO GRAGASIN</t>
  </si>
  <si>
    <t xml:space="preserve"> Please contact:</t>
  </si>
  <si>
    <t xml:space="preserve"> Please copy the link below and paste it on new tab:</t>
  </si>
  <si>
    <t xml:space="preserve"> Procurement of Anti-flu vaccines for the youth of Barangay Magallanes for Calendar Year 2020:</t>
  </si>
  <si>
    <t xml:space="preserve"> Interested bidders  must be included in the registry of manufacturers/ suppliers/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</si>
  <si>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Criteria: Pass or Fail </t>
  </si>
  <si>
    <t xml:space="preserve"> Inquire at the Office of IPHO-Technical Services Division for details.</t>
  </si>
  <si>
    <t xml:space="preserve"> Inquire at the Office of Magsaysay Memorial District Hospital for details.</t>
  </si>
  <si>
    <t xml:space="preserve"> Inquire at the Office of the Provincial Vice Governor for details.</t>
  </si>
  <si>
    <t xml:space="preserve"> Inquire at the Office of the Provincial Agriculturist for details.</t>
  </si>
  <si>
    <t xml:space="preserve"> Sealed quotations must be submitted at the Office of the BAC Secretariat, LGU- Donsol, Sorsogon on or before July 3, 2020  at  9:00 o’clock in the morning.</t>
  </si>
  <si>
    <t xml:space="preserve"> Please Contact:</t>
  </si>
  <si>
    <t xml:space="preserve"> Bid Docs Available</t>
  </si>
  <si>
    <t xml:space="preserve"> Please contact BAC Secretariat or Technical Working Group for more details.</t>
  </si>
  <si>
    <t xml:space="preserve"> Supplies must be within the CHICKS Area. (Cauayan,Hinobaan, Ilog, Candoni, Kabnakalan, Sipalay Area)</t>
  </si>
  <si>
    <t xml:space="preserve"> PLEASE SEE ATTACHED DOCUMENTS IN THE ASSOCIATED COMPONENTS</t>
  </si>
  <si>
    <t xml:space="preserve"> ONLY COMPLETE DOCUMENTS ARE ALLOWED TO JOIN THE BIDDING.</t>
  </si>
  <si>
    <t xml:space="preserve"> for further information, please refer to:</t>
  </si>
  <si>
    <t xml:space="preserve"> Reminder:</t>
  </si>
  <si>
    <t xml:space="preserve"> already Purchased- Emergency Procurement under RA 11469 (Bayanihan to Heal as One Act)</t>
  </si>
  <si>
    <t xml:space="preserve"> The glass panels and glass door that will be used in improvement of the admission area will be provided by the Procuring Entity</t>
  </si>
  <si>
    <t xml:space="preserve"> Description:</t>
  </si>
  <si>
    <t xml:space="preserve"> https://drive.google.com/file/d/172_4XoB9MbMkpgq4aGgiKbntA4Y5wLzf/view?usp=drivesdk</t>
  </si>
  <si>
    <t xml:space="preserve"> must be engrave w/PRO 11</t>
  </si>
  <si>
    <t xml:space="preserve"> https://drive.google.com/file/d/1NEWa6pgH4CRlLJeybtj4K7fd9rFFjzCK/view?usp=drivesdk</t>
  </si>
  <si>
    <t xml:space="preserve"> Bid Docs Available.</t>
  </si>
  <si>
    <t xml:space="preserve"> https://drive.google.com/file/d/1TgCgKRjm5M6dvcpqRXJ5S1cRpPRzvjQ2/view?usp=drivesdk</t>
  </si>
  <si>
    <t xml:space="preserve"> Please see accompanying document attached.</t>
  </si>
  <si>
    <t xml:space="preserve"> Buyer: A.S. Dizon</t>
  </si>
  <si>
    <t xml:space="preserve"> Delivery Point: SPUG-MOD Warehouse, Zamboanga City</t>
  </si>
  <si>
    <t xml:space="preserve"> Buyer: J.S. Medina</t>
  </si>
  <si>
    <t xml:space="preserve"> Delivery Point: Plantsite / JOLO DPP, Sulu Province</t>
  </si>
  <si>
    <t xml:space="preserve"> Buyer: N.B. Camama</t>
  </si>
  <si>
    <t xml:space="preserve"> Delivery Point: Plantsite / Power Barge 119, Isabela City, Basilan</t>
  </si>
  <si>
    <t xml:space="preserve"> see DESCRIPTION for the Technical Specifications</t>
  </si>
  <si>
    <t xml:space="preserve"> Quote your best offer for the items/described  therein,</t>
  </si>
  <si>
    <t xml:space="preserve"> Schedule of Activities</t>
  </si>
  <si>
    <t xml:space="preserve"> OPENING OF PRICE QUOTATION ON JULY 3, 2020 2:00P.M. AT DENR-PENR OFFICE, SAN VICTORIES ST. BRGY. 9, MALAYBALAY CITY</t>
  </si>
  <si>
    <t xml:space="preserve"> Please see attached RFQ No. 20-0587 NP-SV for complete Item Description and Annexes.</t>
  </si>
  <si>
    <t xml:space="preserve"> see DESCRIPTION for the Technical Specification</t>
  </si>
  <si>
    <t xml:space="preserve"> Warranty : 6 months from receipt of materials</t>
  </si>
  <si>
    <t xml:space="preserve"> issuance of bidding documents - June 27-July 16, 2020</t>
  </si>
  <si>
    <t xml:space="preserve"> Line Item Awarding</t>
  </si>
  <si>
    <t xml:space="preserve"> see Description for a the Technical Specifications</t>
  </si>
  <si>
    <t xml:space="preserve"> The Works consists of Provision of 26 rolls 63mmøx60m HDPE Pipe, Sdr 17 (1560ln.m.) and 1 unit Plastic Tank (2 cu.m. capacity) w/ 2x2 m concrete platform w/ 6 distribution lines using (32mmøx100m HDPE pipe, sdr 17).</t>
  </si>
  <si>
    <t xml:space="preserve"> All interested bidders must purchase bid document at Municipal Treasury Office together with the letter of intent before going to the BAC Office, 3rd floor, Municipal Bldg. Abatan, Buguias, Benguet from June 30, 2020 starting 2:00 PM - 4:00 PM.</t>
  </si>
  <si>
    <t xml:space="preserve"> Bidders must download the attached document in the Associated Component Section.</t>
  </si>
  <si>
    <t xml:space="preserve"> PLEASE SEE/READ AND AGREE TO THE ATTACHED TERMS OF REFERENCES.</t>
  </si>
  <si>
    <t xml:space="preserve"> DELIVERY OF MINI-DUMPTRUCK BARANGAY HALL OF BARANGAY MANUAL, KIBLAWAN, DAVAO DEL SUR</t>
  </si>
  <si>
    <t xml:space="preserve"> https://drive.google.com/file/d/1xlZtTNpwzRUgf51cmRmseMrpgFHolhEy/view?usp=drivesdk</t>
  </si>
  <si>
    <t xml:space="preserve"> For more information, please see pr contact the BAC Members of Brgy. Biga, Magallanes, Sorsogon.</t>
  </si>
  <si>
    <t xml:space="preserve"> Instruction for Suppliers on how to View/Download the document;</t>
  </si>
  <si>
    <t xml:space="preserve"> https://drive.google.com/file/d/17rbw0FKbFpPNoRiszsQzf6dLeUU5EtcY/view?usp=drivesdk</t>
  </si>
  <si>
    <t xml:space="preserve"> For more information, please see or contact the BAC Members of Brgy. Biga, Magallanes, Sorsogon.</t>
  </si>
  <si>
    <t xml:space="preserve"> SUPPLIERS MUST DOWNLOAD THE ATTACHED DOCUMENT IN THE ASSOCIATED COMPONENT</t>
  </si>
  <si>
    <t xml:space="preserve"> Please send your quotation at psa.rizal58@gmail.com and you may also contact Ms. Roxanne P. Villanueva, Supply Officer/ Administrative Officer I (0943-027-5799) or 02 8 696-6366 and Mr. John Carlo M. Ulic-ulic, SC Admin Asst. 0918-661-8861.</t>
  </si>
  <si>
    <t xml:space="preserve"> For interested suppliers, please also submit the following documents along with the accomplished RFQ:</t>
  </si>
  <si>
    <t xml:space="preserve"> You may see the Brgy. Chairman of Brgy. Uson Municipality of Caibiran</t>
  </si>
  <si>
    <t xml:space="preserve"> You may see the Brgy. Chiarman of Brgy. Uson, Muicipality of Caibiran</t>
  </si>
  <si>
    <t xml:space="preserve"> INQUIRE AT BAC OFFICE</t>
  </si>
  <si>
    <t xml:space="preserve"> You may see the Brgy. Chairman of Brgy. Uson, Municipality of Caibiran</t>
  </si>
  <si>
    <t xml:space="preserve"> https://drive.google.com/file/d/12FQvlWyuYNwVK-TCtNKLjHRsYx0nsWux/view?usp=drivesdk</t>
  </si>
  <si>
    <t xml:space="preserve"> https://drive.google.com/file/d/1WQTpdk0ciZCQA7C2IWYCjWOW6gPwK9Yt/view?usp=drivesdk</t>
  </si>
  <si>
    <t xml:space="preserve"> SOF - 20% MUNICIPAL DEVELOPMENT FUND 2020 (20% MDF 2020)</t>
  </si>
  <si>
    <t xml:space="preserve"> Suppliers/bidders must download the attached documents in the associated component section.</t>
  </si>
  <si>
    <t xml:space="preserve"> BAC Secretariat</t>
  </si>
  <si>
    <t xml:space="preserve"> Please submit the letter of intent on or before July 6, 2020 at the Pre-Bid Conference.</t>
  </si>
  <si>
    <t xml:space="preserve"> 1. Request for Quotation (RFQ) form can be obtained at 110th Contracting Office, AFPPS Canvass Contracting Committee Secretariat,53rd Engineer Brigade, PA, Camp Lapulapu, Cebu City. Submissions of Sealed price Quotation will be at designated price quotation box located on same address and will be opened on date/time as indicated.</t>
  </si>
  <si>
    <t xml:space="preserve"> BAC Activities / Schedule</t>
  </si>
  <si>
    <t xml:space="preserve"> The Region II Trauma and Medical Center will be conducting the Negotiation on     July 6, 2020 at 2:00 PM at the 4th Floor Trauma Conference Room, R2TMC Trauma Building, R2TMC, Bayombong, Nueva Vizcaya.</t>
  </si>
  <si>
    <t xml:space="preserve"> https://drive.google.com/file/d/1WT8ACyTd8pUEv8Aj-aEXk2mIH9WT53Zm/view?usp=drivesdk</t>
  </si>
  <si>
    <t xml:space="preserve"> You may see the Brgy. Chairman of Brgy. Palanay, Municipality of Caibiran</t>
  </si>
  <si>
    <t xml:space="preserve"> SOF - 20% MUNICIPAL DEVELOPMENT FUND 2020 (20% MDF 2020</t>
  </si>
  <si>
    <t xml:space="preserve"> When and where to send applications:</t>
  </si>
  <si>
    <t xml:space="preserve"> The Municipal Government of Dauin, Negros Oriental, through Trust GAD,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</si>
  <si>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1 unit Service Vehicle (Barangay Patrol)</t>
  </si>
  <si>
    <t xml:space="preserve"> This is a Family Approach Contracting and focuses in the upland areas of Guihulngan City, Negros Oriental.</t>
  </si>
  <si>
    <t xml:space="preserve"> Fund Source 20% EDF</t>
  </si>
  <si>
    <t xml:space="preserve"> Issuance of bidding documents at BAC Office on June 29, 2020 to July 6, 2020 at 10:00 a.m.</t>
  </si>
  <si>
    <t xml:space="preserve"> 1.	Issuance of bid documents is on June 29, 2020 until 9:00 am of July 7, 2020 (working days only).</t>
  </si>
  <si>
    <t xml:space="preserve"> Created By: Amor Luisa Flores</t>
  </si>
  <si>
    <t xml:space="preserve"> SOURCE OF FUND:ANNUAL BUDGET 2020</t>
  </si>
  <si>
    <t xml:space="preserve"> Also available at DPWh website.</t>
  </si>
  <si>
    <t xml:space="preserve"> CO-Mayor's Office</t>
  </si>
  <si>
    <t xml:space="preserve"> Subject to the submission of the following requirements:</t>
  </si>
  <si>
    <t xml:space="preserve"> Also available at DPWH website</t>
  </si>
  <si>
    <t xml:space="preserve"> SOURCE OF FUND: AB-2020</t>
  </si>
  <si>
    <t xml:space="preserve"> PR0033-20 – TOURISM ANNEX (Lights Enhancement Phase III)</t>
  </si>
  <si>
    <t xml:space="preserve"> BID DOCUMENT IS AVAILABLE ATE ENGINEERING OFFICE , BAC SECRETARIAT.</t>
  </si>
  <si>
    <t xml:space="preserve"> Availability of Bid Documents: June 27 - July 16, 2020; 8:00 AM-5:00 PM; Monday through Friday</t>
  </si>
  <si>
    <t xml:space="preserve"> Terms of Delivery: FOB Zamboanga City-WMSU</t>
  </si>
  <si>
    <t xml:space="preserve"> PLEASE SEE READ AND AGREE TO THE ATTACHED TERMS OF REFERENCES.</t>
  </si>
  <si>
    <t xml:space="preserve"> 1</t>
  </si>
  <si>
    <t xml:space="preserve"> Please see attached RFQ for complete specifications, terms and conditions.</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</si>
  <si>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</si>
  <si>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https://drive.google.com/file/d/1gk1jsn947aWVinpuOKAataMYuThL2Pdu/view?usp=drivesdk</t>
  </si>
  <si>
    <t xml:space="preserve"> terms of Delivery: FOB Zamboanga City-WMSU</t>
  </si>
  <si>
    <t xml:space="preserve"> https://drive.google.com/file/d/1iZNXbvZKvaF5heoIm9hgpn36euddknuE/view?usp=drivesdk</t>
  </si>
  <si>
    <t xml:space="preserve"> https://drive.google.com/file/d/1dvkkiB04Ay-a9h6vIfiyMAPKJlZMxwjy/view?usp=drivesdk</t>
  </si>
  <si>
    <t xml:space="preserve"> https://drive.google.com/file/d/1136t9F0nP8l5OPI3rOs-FVcwh90mhrXT/view?usp=drivesdk</t>
  </si>
  <si>
    <t xml:space="preserve"> https://drive.google.com/file/d/1mDI6oyHdgu_LlpNeUAqmxx3tQj9J6cGg/view?usp=drivesdk</t>
  </si>
  <si>
    <t xml:space="preserve"> https://drive.google.com/file/d/1IjK_nvus7os-Qj5WF7g5XUCPOtmb_6Bm/view?usp=drivesdk</t>
  </si>
  <si>
    <t xml:space="preserve"> https://drive.google.com/file/d/1cAr0XW-FGGh_UXjHyZDbt6jKEZ4IEmEC/view?usp=drivesdk</t>
  </si>
  <si>
    <t xml:space="preserve"> https://drive.google.com/file/d/1anmfLiRQcWz0t1unPdxavKENbbmSZMNj/view?usp=drivesdk</t>
  </si>
  <si>
    <t xml:space="preserve"> https://drive.google.com/file/d/1WWRqqXSSJ4x33z8wBM52P5Lq6MatOWAT/view?usp=drivesdk</t>
  </si>
  <si>
    <t xml:space="preserve"> none</t>
  </si>
  <si>
    <t xml:space="preserve"> SB - 7 UNITS LAPTOP</t>
  </si>
  <si>
    <t xml:space="preserve"> CO Mayor's Office</t>
  </si>
  <si>
    <t xml:space="preserve"> Posted at three conspicuous places.</t>
  </si>
  <si>
    <t xml:space="preserve"> Prospective Bidders are encouraged to attend the pre-bid conference as scheduled.</t>
  </si>
  <si>
    <t xml:space="preserve"> The procurement project shall cover supply and delivery of goods (maintenance supplies) only.</t>
  </si>
  <si>
    <t xml:space="preserve"> SOURCE OF FUND: 5% DISASTER PREPAREDNESS QUICK RESPONSE FUND</t>
  </si>
  <si>
    <t xml:space="preserve"> Opening of bids shall be done 48 hours after the deadline of submission of bid or on July 6, 2020 (MONDAY), 2:00p.m  at the BAC/Budget Office , 3rd floor , Municipal Building, Brgy. Timugan, Los Banos, Laguna. This is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(Noted: July 5, 2020 falls on Sunday). </t>
  </si>
  <si>
    <t xml:space="preserve"> https://drive.google.com/file/d/1XY2g_VS9oxny-nKrddVRQvslWqI4qrjh/view?usp=drivesdk</t>
  </si>
  <si>
    <t xml:space="preserve"> BAC Activities                                                         Date                                        Venue</t>
  </si>
  <si>
    <t xml:space="preserve"> Name of Procuring Entity</t>
  </si>
  <si>
    <t xml:space="preserve"> 2.	https://drive.google.com/file/d/1VgjGpAk9eZ5ptUQeoLMhroPkDL402YCO/view?usp=drivesdk</t>
  </si>
  <si>
    <t xml:space="preserve"> 3.	https://drive.google.com/file/d/1mum5J17d8yHisGAbEHJeNpQ9nSIRKmB4/view?usp=drivesdk</t>
  </si>
  <si>
    <t xml:space="preserve"> The Works consists of Provision of 30.9l.m. grouted riprap, 30.9 l.m. rubble concrete and 30.9 sq.m. concrete shoulder.</t>
  </si>
  <si>
    <t xml:space="preserve"> https://drive.google.com/file/d/1ex_-aP3wOS6Qm3Ps4K6oGJXUM4Zbo-E5/view?usp=drivesdk</t>
  </si>
  <si>
    <t xml:space="preserve"> https://drive.google.com/file/d/1LJTRmYbY4dUqe1EiLGTffymTPVcnU-p-/view?usp=drivesdk</t>
  </si>
  <si>
    <t xml:space="preserve"> https://drive.google.com/file/d/1x7OPivf3mOb5L7PLAQS6YHMQ342ists9/view?usp=drivesdk</t>
  </si>
  <si>
    <t xml:space="preserve"> 20CE0226: Repair/Maintenance of DPWH Building Covered Court, Nueva Ecija I District Engineering Office, La Torre, Talavera, Nueva Ecija; Invitation to Bid including Plans and other Supporting Docs</t>
  </si>
  <si>
    <t xml:space="preserve"> 20CE0225: Repair/Maintenance of River Bank Protection along Rio Chico River, Brgy. Mapangpang, Lupao, Nueva Ecija; Invitation to Bid including Plans and other Supporting Docs</t>
  </si>
  <si>
    <t xml:space="preserve"> 20CE0223: Construction of 1STY2CL, Camanggahan ES, Carranglan, Nueva Ecija; Invitation to Bid including Plans and other Supporting Docs</t>
  </si>
  <si>
    <t xml:space="preserve"> 20CE0222: Construction of 1STY2CL, Salvacion 2nd ES, Lupao, Nueva Ecija; Invitation to Bid including Plans and other Supporting Docs</t>
  </si>
  <si>
    <t xml:space="preserve"> 20CE0218: Construction of 2STY6CL, Doroteo R. Jose Elementary School, Cuyapo, Nueva Ecija; Invitation to Bid including Plans and other Supporting Docs</t>
  </si>
  <si>
    <t xml:space="preserve"> 20CE0224: Repair/Maintenance of Collapsed Slope Protection, Cadaclan Bridge 2, along Pantabangan - Canili - Basal - Baler Road, K0181+600, Brgy. Cadaclan, Pantabangan, Nueva Ecija; Invitation to Bid including Plans and other Supporting Docs</t>
  </si>
  <si>
    <t xml:space="preserve"> 20CE0216: Construction of 2STY4CL, Cabaruan ES, Guimba, Nueva Ecija; Invitation to Bid including Plans and other Supporting Docs</t>
  </si>
  <si>
    <t xml:space="preserve"> 20CE0213: Construction of 2STY6CL, Collado ES, Talavera, Nueva Ecija; Invitation to Bid including Plans and other Supporting Docs</t>
  </si>
  <si>
    <t xml:space="preserve"> 20CE0219: Construction of 3STY15CL, Cuyapo CS, Cuyapo, Nueva Ecija; Invitation to Bid including Plans and other Supporting Docs</t>
  </si>
  <si>
    <t xml:space="preserve"> 20CE0221: Construction of 1STY2CL, Maragol IS, Science City of Muñoz, Nueva Ecija; Invitation to Bid including Plans and other Supporting Docs</t>
  </si>
  <si>
    <t xml:space="preserve"> 20CE0211: Construction of 2STY6CL, Homestead I ES, Talavera, Nueva Ecija; Invitation to Bid including Plans and other Supporting Docs</t>
  </si>
  <si>
    <t xml:space="preserve"> 20CE0217: Construction of 2STY8CL, Guimba West CS, Guimba, Nueva Ecija; Invitation to Bid including Plans and other Supporting Docs</t>
  </si>
  <si>
    <t xml:space="preserve"> 20CE0212: Construction of 2STY8CL, Minabuyok ES, Talavera, Nueva Ecija; Invitation to Bid including Plans and other Supporting Docs</t>
  </si>
  <si>
    <t xml:space="preserve"> 20CE0214: Construction of 2STY6CL, Don Emiliano Soriano ES, Aliaga, Nueva Ecija; Invitation to Bid including Plans and other Supporting Docs</t>
  </si>
  <si>
    <t xml:space="preserve"> The ROAD CONCRETING @ PALANCA VILLAGE has already been awarded to CJEP BUILDERS AND ENGINEERING SERVICES for a bid of Php 449,814.44 as the LOWEST CALCULATED RESPONSIVE BID during on November 13, 2019 bid opening. This instrument is a re-posting of the process.</t>
  </si>
  <si>
    <t xml:space="preserve"> 20CE0229: Repair /Maintenance of DILG Building, Lupao Fire Station Building, Lupao, Nueva Ecija; Notice to Bidders including Plans and other Supporting Docs</t>
  </si>
  <si>
    <t xml:space="preserve"> 20CE0228: Repair /Maintenance of DILG Building Bureau of Fire Protection – Rizal Fire Station, Rizal, Nueva Ecija; Notice to Bidders including Plans and other Supporting Docs</t>
  </si>
  <si>
    <t xml:space="preserve"> 20CE0227: Repair /Maintenance of DILG Building Bureau of Fire Protection – Talavera Fire Station Building, Brgy. Sampaloc, Talavera, Nueva Ecija; Notice to Bidders including Plans and other Supporting Docs</t>
  </si>
  <si>
    <t xml:space="preserve"> 20CE0210: Construction of 2STY6CL, Mamandil PS, Talavera, Nueva Ecija; Invitation to Bid including Plans and other Supporting Docs</t>
  </si>
  <si>
    <t xml:space="preserve"> 20CE0220: Construction of 2STY4CL, Muñoz National High School (Annex), Science City of Muñoz, Nueva Ecija; Invitation to Bid including Plans and other Supporting Docs</t>
  </si>
  <si>
    <t xml:space="preserve"> For transportation assistance of our Indigent Constituents</t>
  </si>
  <si>
    <t xml:space="preserve"> Interested bidders may obtain further information from BAC Secretariat, BAC Office, City Hall Compound, Peñaplata, IGaCoS and inspect the Bidding Documents at the address given below from 9:00 AM – 5:00 PM.</t>
  </si>
  <si>
    <t xml:space="preserve"> You may fax or email your quotation with delivery, validity, payment, brochure with complete technical specifications at 8840-1619 or email at rcbartolome@pnoc-ec.com.ph on or before July 2, 2020. PNOC EC prefers a 30-days payment terms ARPO or upon delivery. PNOC EC reserves the right to accept or reject any bid, to annul the bidding process, and to reject all bids at any time prior to contract award, without thereby incurring any liability to the affected bidder or bidders. For inquiries, call us at 8479-9413</t>
  </si>
  <si>
    <t xml:space="preserve"> https://drive.google.com/file/d/13-XYkoWu3Giwifu_ZkCxpXAG63cT4uQM/view?usp=drivesdk</t>
  </si>
  <si>
    <t xml:space="preserve"> Interested bidders may obtain further information from BAC Secretariat, BAC Office, City Hall Compound, Peñaplata, IGaCoS and inspect the Bidding Documents at the address given below from 8:00 AM - 5:00PM.</t>
  </si>
  <si>
    <t xml:space="preserve"> Submission of sealed envelopes and opening of bids: July 15, 2020/ 10:00 A.M./ Alimodian Municipal Conference Room</t>
  </si>
  <si>
    <t xml:space="preserve"> NOTE TO PROSPECTIVE BIDDERS</t>
  </si>
  <si>
    <t xml:space="preserve"> 20CE0215: Construction of 2STY6CL, Concepcion ES, Santo Domingo, Nueva Ecija; Invitation to Bid including Plans and other Supporting Docs</t>
  </si>
  <si>
    <t xml:space="preserve"> Interested bidders may obtain further information from Local Government Unit of the Island Garden City of Samal and inspect the Bidding Documents at the address given below during 8:00 A.M. to 5:00 P.M.</t>
  </si>
  <si>
    <t xml:space="preserve"> https://drive.google.com/file/d/1ChhdE7IYoNTP6dAYdxt-hrU3YamTWI0W/view?usp=drivesdk</t>
  </si>
  <si>
    <t xml:space="preserve"> For use Rural Health Unit</t>
  </si>
  <si>
    <t xml:space="preserve"> Bidder must download the attached document in the associated component section</t>
  </si>
  <si>
    <t xml:space="preserve"> BID OPENING: JULY 16, 2020 AT 1:00 PM  BAC OFFICE, MUNICIPAL HALL, STA. MARCELA, APAYAO </t>
  </si>
  <si>
    <t xml:space="preserve"> https://drive.google.com/file/d/1kDXzejfWKJagl50HDoYIRfFH7aZxsW8o/view?usp=drivesdk</t>
  </si>
  <si>
    <t xml:space="preserve"> BID OPENING: JULY 17, 2020 AT 2:30 PM   BAC OFFICE, MUNICIPAL HALL, STA. MARCELA, APAYAO</t>
  </si>
  <si>
    <t xml:space="preserve"> https://drive.google.com/file/d/1M7GoUxWpNH-Hc2UL68DuRY9b7Ub4u2uw/view?usp=drivesdk</t>
  </si>
  <si>
    <t xml:space="preserve"> For more information, please see or contact the BAC Members of LGU-Magallanes, Sorsogon.</t>
  </si>
  <si>
    <t xml:space="preserve"> BID OPENING JULY 10, 2020 - 10:00AM AT LUMBANG, PILAR, SORSOGON</t>
  </si>
  <si>
    <t xml:space="preserve"> 1.)	1	Unit	Sliding Windows 50”x58.5”</t>
  </si>
  <si>
    <t xml:space="preserve"> https://drive.google.com/file/d/1nyy4YyCGaNWHGEQ1KfHA96Le9P9uGDLU/view?usp=drivesdk</t>
  </si>
  <si>
    <t xml:space="preserve"> 1.)	4	Pcs	Tire No. 205/70 R15</t>
  </si>
  <si>
    <t xml:space="preserve"> A complete set of Bidding Documents may be acquired by interested Bidders or his duly authorized representative from the BAC Secretariat for the period June 26, 2020 to July 6, 2020 upon payment of a nonrefundable fee for the Bidding Documents, pursuant to the latest Guidelines issued by the GPPB, in the amount stated above to the Barangay Treasurer. The method of payment shall be in CASH. Bidding documents shall be received personally by the prospective Bidder or his duly authorized representative.</t>
  </si>
  <si>
    <t xml:space="preserve"> 1.	https://drive.google.com/file/d/1T9PE46WZY8k2QnVsvUxUn8U6-AiluXhL/view?usp=drivesdk</t>
  </si>
  <si>
    <t xml:space="preserve"> The LGU-IGACOS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</si>
  <si>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NOTE: To all Suppliers,</t>
  </si>
  <si>
    <t xml:space="preserve"> this posting is done in behalf of unregistered PHILGEPS PE BRGY.  Tagugpo.</t>
  </si>
  <si>
    <t xml:space="preserve"> BID DOCS PhP: 500.00</t>
  </si>
  <si>
    <t xml:space="preserve"> *40 watts solar LED streetlamp with </t>
  </si>
  <si>
    <t xml:space="preserve"> Virtual In-Service Training</t>
  </si>
  <si>
    <t xml:space="preserve"> Deadline of submission is on or before July 6,2020 @ 1:00pm</t>
  </si>
  <si>
    <t xml:space="preserve"> Bidders must download the documents on the link provided:</t>
  </si>
  <si>
    <t xml:space="preserve"> - other information may be discussed during pre-bid cnference.</t>
  </si>
  <si>
    <t xml:space="preserve"> Any requests for additional information concerning this bidding shall be directed to the following:</t>
  </si>
  <si>
    <t xml:space="preserve"> For clarifications, you may contact:</t>
  </si>
  <si>
    <t xml:space="preserve"> BID DOCS PhP 500.00</t>
  </si>
  <si>
    <t xml:space="preserve"> Call BAC Secretariat at (056) 333-6310</t>
  </si>
  <si>
    <t xml:space="preserve"> PCAB License</t>
  </si>
  <si>
    <t xml:space="preserve"> Bid Opening: July 17, 2020, 9:00 AM.</t>
  </si>
  <si>
    <t xml:space="preserve"> Warranty Period : 6 months from receipt of materials</t>
  </si>
  <si>
    <t xml:space="preserve"> BID DOCUMENT IS AVAILABLE AT THE BAC OFFICE DURING OFFICE HOUR.</t>
  </si>
  <si>
    <t xml:space="preserve"> 1.Receipt from the Bidder of Letter of Intent-June 29 to July 2,2020 @ 8:00 to 5:00 pm</t>
  </si>
  <si>
    <t xml:space="preserve"> SUPPLIERS/ BIDDERS MUST DOWNLOAD THE ATTACHED DOCUMENT IN ASSOCIATED COMPONENT SECTION.</t>
  </si>
  <si>
    <t xml:space="preserve"> Interested bidders may obtain further information from Bids and Awards Committee Secretariat and inspect the Bidding Documents at the address given below from 9:00am to 5:00pm.</t>
  </si>
  <si>
    <t xml:space="preserve"> You may see the Municipal Health Officer, RHU, Municipality of Caibiran</t>
  </si>
  <si>
    <t xml:space="preserve"> for documents</t>
  </si>
  <si>
    <t xml:space="preserve"> The Works consists of Provision of 65 rolls 63mmøx60m HDPE Pipe, sdr 17 (3900ln.m.) w/ 100ln.m. Cable Gi Wire, #8.</t>
  </si>
  <si>
    <t xml:space="preserve"> Please download the attached file</t>
  </si>
  <si>
    <t xml:space="preserve"> 1	3200	liters	Diesel fuel</t>
  </si>
  <si>
    <t xml:space="preserve"> https://drive.google.com/file/d/1WF_g8oVeJszuWwclzEDLsjf_cAqu0wSb/view?usp=drivesdk</t>
  </si>
  <si>
    <t xml:space="preserve"> The Works consists of Construction of 8.0ln.m Rubble Masonry Protection Wall;, Construction of 176.0 ln.m. concrete ditch canal with column spaced at every 5.00m and concreting of 135.00m long x 2.50m wide x 0.15m thick PCCP FTMR.</t>
  </si>
  <si>
    <t xml:space="preserve"> The Works consists of Concreting of 200.00m long x 3.0m wide x0.15m thick PCCP Plain.</t>
  </si>
  <si>
    <t xml:space="preserve"> The Works consists of Construction of 7.0ln.m x 4m. wide Overflow Bridge with 5-ROW 24” ø RCPC, Rubble masonry Base &amp; Concrete Apron, Const. of Rubble Masonry wing wall and 8.0ln.m. x 4m wide x 0.15thk PCCP Plain.</t>
  </si>
  <si>
    <t xml:space="preserve"> The Works consists of Concreting of 509.5 m long x 6.10m wide x 0.20 thick PCCP Provincial Road, Provision of 14.00m (30.41 cu.m.) stone masonry headwall &amp; slope protection structure and laying of 10.00 l.m. 910mmø RCPC.</t>
  </si>
  <si>
    <t xml:space="preserve"> The Works consists of Concreting of 253.5 m long x 6.10m wide x 0.20 thick PCCP Provincial Road, and Provision of 214.00m (237.52 cu.m.) stone masonry structure and 5 pcs. – 610mmø RCPC.</t>
  </si>
  <si>
    <t xml:space="preserve"> https://tinyurl.com/yce8hcwy</t>
  </si>
  <si>
    <t xml:space="preserve"> CONTACT BAC 4354619</t>
  </si>
  <si>
    <t xml:space="preserve"> The Works consists of Concreting of 437.6 m long x 5.00m wide x 0.20 thick PCCP Provincial Road, and Provision of 22.00m stone masonry structure and headwall 14.00l.m. 910mmø RCPC.</t>
  </si>
  <si>
    <t xml:space="preserve"> The Works consists of Concreting of 219.07 m long x 6.10m wide x 0.20m thick plain PCCP and provision of 56.2 l.m. l.m. stone masonry slope protection structure.</t>
  </si>
  <si>
    <t xml:space="preserve"> https://drive.google.com/file/d/1dboRQA-qgq6OZwNiIuDkwfdJ-eF1sEqa/view?usp=drivesdk</t>
  </si>
  <si>
    <t xml:space="preserve"> The Works consists of Concreting of 164.00m long x 6.10m wide x 0.20m thick Plain PCCP Provincial Road; Provision of 15.00 l.m. (6.09 cu.m.) stone masonry headwall and 13.65 cu.m. catch basin and 11.00 l.m. 910mmøRCPC.</t>
  </si>
  <si>
    <t xml:space="preserve"> The Works consists of Provision of 93.70l.m. stone masonry protection structure, 3.00l.m. stone masonry headwall &amp; 1.00 unit catch basin, 16.20l.m. rubble concrete shoulder, reblocking of one lane x 12.00m long PCCP and 2.00 l.m. 910mmø RCPC.</t>
  </si>
  <si>
    <t xml:space="preserve"> Note: Kindly submit your updated PhilGEPS documents, Tax Clearance, Mayor’s permit, SEC Certificate/DTI permit, and brochures if any.</t>
  </si>
  <si>
    <t xml:space="preserve"> Bid opening shall be on July 16, 2020 at 9:00 A.M. at the Municipal Hall, Poblacion, Santa Fe, Romblon</t>
  </si>
  <si>
    <t xml:space="preserve"> Please use and submit the attached prescribed Request for Quotation Form (RFQ).</t>
  </si>
  <si>
    <t xml:space="preserve"> Reference: PR No: 20-06-005</t>
  </si>
  <si>
    <t xml:space="preserve"> Bid Opening shall be on July 16, 2020 at 9:00A.M. at the Municipal Hall, Poblacion, Santa Fe, Romblon</t>
  </si>
  <si>
    <t xml:space="preserve"> Section III. Bid Data Sheet</t>
  </si>
  <si>
    <t xml:space="preserve"> The Works consists of Concreting of 262.00m long x 2.50m wide x 0.15m thick PCCP FTMR.</t>
  </si>
  <si>
    <t xml:space="preserve"> Bid Opening shall be on July 16, 2020 at 9:00 A.M. at the Municipal Hall, Poblacion, Santa Fe, Romblon</t>
  </si>
  <si>
    <t xml:space="preserve"> Reference: PR No: 20-06-004</t>
  </si>
  <si>
    <t xml:space="preserve"> Please see attached files @ Other Information</t>
  </si>
  <si>
    <t xml:space="preserve"> Please use and submit the attached prescribed Request for Quotation form</t>
  </si>
  <si>
    <t xml:space="preserve"> Please refer to the attached Request for Quotation (RFQ) for complete and detailed specifications. For queries, please call at 317-1768 local 778 and look for Ms. Susan C. Paulete.</t>
  </si>
  <si>
    <t xml:space="preserve"> For copies of the bidding documents and technical specifications, kindly click the associated components.</t>
  </si>
  <si>
    <t xml:space="preserve"> For copies of the bidding documents, scope of works and bill of quantities, kindly click the associated components.</t>
  </si>
  <si>
    <t xml:space="preserve"> FOR OTHER INFORMATION PLEASE CONTACT</t>
  </si>
  <si>
    <t xml:space="preserve"> BID DOCUMENTS IS AVAILABLE ONLY TO PROSPECTIVE BIDDER UPON PAYMENT OF NON-REFUNDABLE FEE IN THE AMOUNT OF 1,000.00 TO THE MUNICIPAL TREASURY OFFICE.</t>
  </si>
  <si>
    <t xml:space="preserve"> Transformer w/ Installation and Metering</t>
  </si>
  <si>
    <t xml:space="preserve"> BAC Activity Schedule:</t>
  </si>
  <si>
    <t xml:space="preserve"> PLEASE SEE ATTACHED RFQ # 20-1166</t>
  </si>
  <si>
    <t xml:space="preserve"> https://drive.google.com/file/d/1ZwhmrhJ-ngJ2XM8OAoYwhlUpSv9mxU4E/view?usp=drivesdk</t>
  </si>
  <si>
    <t xml:space="preserve"> Pls. submit qoutation at SARRAT WATER DISTRICT office</t>
  </si>
  <si>
    <t xml:space="preserve"> For more information, please see or contact the BAC Members of Brgy. Biton, Magallanes, Sorsogon.</t>
  </si>
  <si>
    <t xml:space="preserve"> I.	Earthworks		</t>
  </si>
  <si>
    <t xml:space="preserve"> Please contact BAC Secretariat for complete list of materials, labor and rental of equipments.</t>
  </si>
  <si>
    <t xml:space="preserve"> PHILIPPINE BIDDING DOCUMENTS</t>
  </si>
  <si>
    <t xml:space="preserve"> for more information, please contact 88389265</t>
  </si>
  <si>
    <t xml:space="preserve"> https://drive.google.com/file/d/17G1_f_k4QO-i0Nj42w1i4vDnVodV2uNd/view?usp=drivesdk</t>
  </si>
  <si>
    <t xml:space="preserve"> https://drive.google.com/file/d/1qhjrltBqvtk0qxwyP45q-iE45TgC3o_n/view?usp=drivesdk</t>
  </si>
  <si>
    <t xml:space="preserve"> Please submit sealed quotation</t>
  </si>
  <si>
    <t xml:space="preserve"> The schedule of key procurement activities for this Contract are shown below:</t>
  </si>
  <si>
    <t xml:space="preserve"> ELIGIBILITY CHECK REQUIREMENTS FOR THE PROCUREMENT OF GOODS</t>
  </si>
  <si>
    <t xml:space="preserve"> https://drive.google.com/file/d/18U7X94TZXO1aGjw3IGdO_ygLxNa5f5pB/view?usp=drivesdk</t>
  </si>
  <si>
    <t xml:space="preserve"> BAC ACTIVITIES AND SCHEDULE</t>
  </si>
  <si>
    <t xml:space="preserve"> 20% LDF CY 2020</t>
  </si>
  <si>
    <t xml:space="preserve"> BIDDERS MUST DOWNLOAD ELECTRONIC COPY OF BIDDING DOCUMENTS IN THE LINK BELOW:</t>
  </si>
  <si>
    <t xml:space="preserve"> https://drive.google.com/file/d/1mMOxs_geT_HPB_IgANiYsZnL7AX8op06/view?usp=drivesdk</t>
  </si>
  <si>
    <t xml:space="preserve"> Other information</t>
  </si>
  <si>
    <t xml:space="preserve"> Bidding documents will be available at BAC secretariat office on June 26, 2020 from 8:00 AM-5:00 PM</t>
  </si>
  <si>
    <t xml:space="preserve"> The deadline of submission is on the closing date.</t>
  </si>
  <si>
    <t xml:space="preserve"> https://drive.google.com/file/d/1-uxAM4zsMaY6gYqI3rZwdzNplg6VXWnA/view?usp=drivesdk</t>
  </si>
  <si>
    <t xml:space="preserve"> Deadline of submission is on the closing date.</t>
  </si>
  <si>
    <t xml:space="preserve"> https://drive.google.com/file/d/1wsk-XpitvKs93JC5tSFJlxbnUhOEdhiq/view?usp=drivesdk</t>
  </si>
  <si>
    <t xml:space="preserve"> https://drive.google.com/file/d/1mQBAqUyINj8zFOmurzgqRW28MtiMIDJC/view?usp=drivesdk</t>
  </si>
  <si>
    <t xml:space="preserve"> https://drive.google.com/file/d/1-IYuXsnJCWvLh80qwiROzl1LH0pMtCCQ/view?usp=drivesdk</t>
  </si>
  <si>
    <t xml:space="preserve"> Project Title: Supply and Installation of Blinds at the Office of the President, PNOC Building 6</t>
  </si>
  <si>
    <t xml:space="preserve"> https://drive.google.com/file/d/1O4Mh91Mq7hsK-PW9dMJYamMLQwd99CXB/view?usp=drivesdk</t>
  </si>
  <si>
    <t xml:space="preserve"> OPENING OF BIDS IS ON JULY 15, 2020 (09:00 AM) AT THE CONFERENCE ROOM, ADMIN. BUILDING</t>
  </si>
  <si>
    <t xml:space="preserve"> https://drive.google.com/file/d/1keFXkDqA9e6TMLOSdV13kYdoTbRNYGrG/view?usp=drivesdk</t>
  </si>
  <si>
    <t xml:space="preserve"> https://drive.google.com/file/d/1WR4iO01PGCk2ke8W7WE-Va5ROxj7Qru9/view?usp=drivesdk</t>
  </si>
  <si>
    <t xml:space="preserve"> OPENING OF BIDS IS ON JULY 16, 2020 (09:00 AM) AT THE CONFERENCE ROOM, ADMIN. BUILDING</t>
  </si>
  <si>
    <t xml:space="preserve"> https://drive.google.com/file/d/1GyCxgP0AWALvRh_2_RdVA_yBBvi_g2fU/view?usp=drivesdk</t>
  </si>
  <si>
    <t xml:space="preserve"> Bids received in excess of the ABC shall be automatically rejected at the opening of the Financial Proposals.</t>
  </si>
  <si>
    <t xml:space="preserve"> Bid Documents are also downloadable in the DPWH Website</t>
  </si>
  <si>
    <t xml:space="preserve"> Terms of Delivery:b FOB Zamboanga City-WMSU</t>
  </si>
  <si>
    <t xml:space="preserve"> BID DOCUMENT IS AVAILABLE AT MPDC OFFICE</t>
  </si>
  <si>
    <t xml:space="preserve"> Also available at the DPWH Website.</t>
  </si>
  <si>
    <t xml:space="preserve"> 1. All entries must be printed or type written					</t>
  </si>
  <si>
    <t xml:space="preserve"> Mazda Bongo XTD</t>
  </si>
  <si>
    <t xml:space="preserve"> https://drive.google.com/file/d/1lH9HQ_F6t5heE8ZjNaKIAfCqXkDZ54gz/view?usp=drivesdk</t>
  </si>
  <si>
    <t xml:space="preserve"> https://drive.google.com/file/d/15i3DiuhKEVHjs0pkM80ypze-pDqnIVps/view?usp=drivesdk</t>
  </si>
  <si>
    <t xml:space="preserve"> https://drive.google.com/file/d/17Ax7XN5ZFFzL9ONgbQCdZPyYEA5FcTS_/view?usp=drivesdk</t>
  </si>
  <si>
    <t xml:space="preserve"> https://drive.google.com/file/d/1Jid32240KGlF_qNwjvoRqeOXHYcpBzjw/view?usp=drivesdk</t>
  </si>
  <si>
    <t xml:space="preserve"> https://drive.google.com/file/d/1W95gF6DqbGw-ZLTKIw43GfdOUa5L2p4h/view?usp=drivesdk</t>
  </si>
  <si>
    <t xml:space="preserve"> https://drive.google.com/file/d/1V1ZFl6us22EzJfDm2FhI6gmfnlwA9vp8/view?usp=drivesdk</t>
  </si>
  <si>
    <t xml:space="preserve"> Please see attached Specifications</t>
  </si>
  <si>
    <t xml:space="preserve"> https://drive.google.com/file/d/1mnYOu4BfMeT5zdQb0AuBdvaDnsOmDfAK/view?usp=drivesdk</t>
  </si>
  <si>
    <t xml:space="preserve"> The  schedule of activities is listed, as follows:							</t>
  </si>
  <si>
    <t xml:space="preserve"> NO</t>
  </si>
  <si>
    <t xml:space="preserve"> https://drive.google.com/file/d/1t9EJ6OTBWcwR1gp5LQJirKd-scNzHO2p/view?usp=drivesdk</t>
  </si>
  <si>
    <t xml:space="preserve"> EMERGENCY TRANSPORT MOTOR VEHICLE</t>
  </si>
  <si>
    <t xml:space="preserve"> Please download the document at the associated components.</t>
  </si>
  <si>
    <t xml:space="preserve"> Republic of the Philippines										</t>
  </si>
  <si>
    <t xml:space="preserve"> please call To: 0998-247-0239  &amp;  0906-256-9238  for other details. .</t>
  </si>
  <si>
    <t xml:space="preserve"> https://drive.google.com/file/d/1wryrsz7M4MR2due6Pz6mlvuYFzSU0aIa/view?usp=drivesdk</t>
  </si>
  <si>
    <t xml:space="preserve"> Specifications:</t>
  </si>
  <si>
    <t xml:space="preserve"> NOTICE TO PROSPECTIVE BIDDERS</t>
  </si>
  <si>
    <t xml:space="preserve"> CONSTRUCTION OF WASH AREA AND FABRICATION OF ACRYLIC SNEEZE GUARDS	FOR THE PUPILS AND TEACHERS OF CHFES-MAIN</t>
  </si>
  <si>
    <t xml:space="preserve"> ENGR. LUKE C. CADOYAS</t>
  </si>
  <si>
    <t xml:space="preserve"> https://drive.google.com/file/d/1BwSSTulHH8CGtc_u-6hnBtCgqD7LU8DD/view?usp=drivesdk</t>
  </si>
  <si>
    <t xml:space="preserve"> For Information only.</t>
  </si>
  <si>
    <t xml:space="preserve"> Pre-Bid Conference 2:00 P.M. July 01, 2020 DPWH Pampanga 2nd DEO BAC-Office</t>
  </si>
  <si>
    <t xml:space="preserve"> A complete set of Bidding Documents may be acquired by interested Bidders on October 30, 2018 from the address below and upon payment of the applicable fee for the Bidding Documents, pursuant to the latest Guidelines issued by the GPPB, in the amount of One Thousand Pesos (Php500.00).</t>
  </si>
  <si>
    <t xml:space="preserve"> BID DOCUMENTS IS AVAILABLE ONLY TO PROSPECTIVE BIDDER UPON PAYMENT OF NON-REFUNDABLE FEE IN THE AMOUNT OF 5,000.00 TO THE MUNICIPAL TREASURY OFFICE. BIDDING DOCUMENTS WILL STILL BE AVAILABLE BEFORE THE OPENING OF BIDS.</t>
  </si>
  <si>
    <t xml:space="preserve"> PLEASE SEE ASSOCIATED COMPONENTS FOR THE COMPLETE SET OF BIDDING DOCUMENTS</t>
  </si>
  <si>
    <t xml:space="preserve"> https://drive.google.com/file/d/1e6DXb35HM97E8BhE3hIbHZg7T1qnxfbe/view?usp=drivesdk</t>
  </si>
  <si>
    <t xml:space="preserve"> FOR COMPLETE LIST OF ITEMS PLEASE SEE ATTACHED REQUEST FOR QUOTATION</t>
  </si>
  <si>
    <t xml:space="preserve"> Bidders must download the attached document in the associated component section and can also be downloaded at www.ilocossur.gov.ph.</t>
  </si>
  <si>
    <t xml:space="preserve"> BID DOCUMENT SECTION 1-7 IS AVAILABLE</t>
  </si>
  <si>
    <t xml:space="preserve"> Item I	EARTHWORKS		</t>
  </si>
  <si>
    <t xml:space="preserve"> Deadline of submission is on or before July 3, 2020 @ 1:00pm</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</si>
  <si>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</si>
  <si>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7.	For further information, please refer to:</t>
  </si>
  <si>
    <t xml:space="preserve"> Re-post</t>
  </si>
  <si>
    <t xml:space="preserve"> Source of Fund: Capital Outlay</t>
  </si>
  <si>
    <t xml:space="preserve"> OPENING OF PRICE QUOTATION ON JULY 3, 2020 2:00 PM AT  DENR-PENR OFFICE, SAN VICTORIES ST. BRGY 9, MALAYBALAY CITY</t>
  </si>
  <si>
    <t xml:space="preserve"> For more information, you may contact the BAC Chairman or the BAC Secretary's contact number 09954552660.</t>
  </si>
  <si>
    <t xml:space="preserve"> The BAC shall issue bidding documents upon payment of Five Hundred Pesos Only (Php 500.00)  to the disbursing/collecting officer of the LGU.</t>
  </si>
  <si>
    <t xml:space="preserve"> https://drive.google.com/file/d/1eC0r0t4WF5os-HhdVo4CuufGg2CPev_S/view?usp=drivesdk</t>
  </si>
  <si>
    <t xml:space="preserve"> Deadline for submission of bids will be on JULY 07, 2020, 10:00 A.M. at the Supply Office, Town Hall, Poblacion, Kibungan, Benguet.</t>
  </si>
  <si>
    <t xml:space="preserve"> https://drive.google.com/file/d/1hhdw1mVorjiccaWOhfssegxPMBSITzVP/view?usp=drivesdk</t>
  </si>
  <si>
    <t xml:space="preserve"> Pls. see Municipal Engineer"s Office for details.</t>
  </si>
  <si>
    <t xml:space="preserve"> FOR INQUIRY PLEASE PROCEED TO BRGY. MAPULO</t>
  </si>
  <si>
    <t xml:space="preserve"> Link:</t>
  </si>
  <si>
    <t xml:space="preserve"> https://drive.google.com/file/d/11Ndq6BJBL-_60i9PfAQygbZG_msDn524/view?usp=drivesdk</t>
  </si>
  <si>
    <t xml:space="preserve"> https://drive.google.com/file/d/1qeGQ9vzCunB-s9WskI0z8W6Yc94DMUbD/view?usp=drivesdk PLAN 20CN0154 PART 1</t>
  </si>
  <si>
    <t xml:space="preserve"> https://drive.google.com/file/d/1IZkKaTErVXW_llnsHula0Lk7XFhd5700/view?usp=drivesdk PLAN 20CN0153 PART 1</t>
  </si>
  <si>
    <t xml:space="preserve"> Deadline for submission of bids will be on JULY 14, 2020, 10:00 A.M. at the Supply Office, Town Hall, Poblacion, Kibungan, Benguet.</t>
  </si>
  <si>
    <t xml:space="preserve"> All items must be delivered at Bohol Island State University- Calape Campus, Calape, Bohol</t>
  </si>
  <si>
    <t xml:space="preserve"> Deadline for submission of bid, 2pm, July 2, 2020.</t>
  </si>
  <si>
    <t xml:space="preserve"> Kindly download the attached bidding documents for the requirements and technical specifications.</t>
  </si>
  <si>
    <t xml:space="preserve"> Deadline for submission of bids will be on JULY 02, 2020, 10:00 A.M. at the Supply Office, Town Hall, Poblacion, Kibungan, Benguet.</t>
  </si>
  <si>
    <t xml:space="preserve"> Please quote your price on the items in the herewith attached Request for Quotation (RFQ), subject to the specifications, terms and conditions and submit your quotation at the Procurement Office, Philippine Science High School-Bicol Region Campus, Tagongtong, Goa, Camarines Sur not later than 8:00AM of July 3, 2020.</t>
  </si>
  <si>
    <t xml:space="preserve"> please click this link to download bidding documents </t>
  </si>
  <si>
    <t xml:space="preserve"> NOTICE TO PROSPECTIVE BIDDER</t>
  </si>
  <si>
    <t xml:space="preserve"> bid document cost is Php500.00</t>
  </si>
  <si>
    <t xml:space="preserve"> Please deliver at San Agustin Integrated School, St. Jude Village, City of San Fernando, Pampanga</t>
  </si>
  <si>
    <t xml:space="preserve"> 1.	All items must be delivered on site (Bohol Island State University- Calape Campus, Calape, Bohol).</t>
  </si>
  <si>
    <t xml:space="preserve"> The complete schedule of activities is listed, as follows:</t>
  </si>
  <si>
    <t xml:space="preserve"> please click this link to download bidding documents</t>
  </si>
  <si>
    <t xml:space="preserve"> Buyer: N.R. Abarquez</t>
  </si>
  <si>
    <t xml:space="preserve"> https://drive.google.com/file/d/1xLoqfeOnyaQGHpGKLDqTjAYNEcoYWOnU/view?usp=drivesdk PLAN 20CN0101 PART 1</t>
  </si>
  <si>
    <t xml:space="preserve"> Buyer: J.F. Ramos</t>
  </si>
  <si>
    <t xml:space="preserve"> he Schedule of BAC Activities is as follows:</t>
  </si>
  <si>
    <t xml:space="preserve"> https://drive.google.com/file/d/1GxCurdWHFP5_Xt__QX3DiNfSDMU3YxPO/view?usp=drivesdk</t>
  </si>
  <si>
    <t xml:space="preserve"> Deadline for submission, 2pm, July 2, 2020.</t>
  </si>
  <si>
    <t xml:space="preserve"> https://drive.google.com/file/d/1kD1qcnx3Y11vUw3kgem6YBq60-OAC-WI/view?usp=drivesdk</t>
  </si>
  <si>
    <t xml:space="preserve"> BIDDING DATE: JULY 14, 2020 @ 9:00 A.M.</t>
  </si>
  <si>
    <t xml:space="preserve"> contact school BAC and school Head</t>
  </si>
  <si>
    <t xml:space="preserve"> Please download attached quotation (RFQ) form / TOR, completely fill-out and submit quotation through or any of the following:</t>
  </si>
  <si>
    <t xml:space="preserve"> BIDDING DATE: JULY 14, 2020 @ 10:00 A.M.</t>
  </si>
  <si>
    <t xml:space="preserve"> 902	Reinforcing Steel 				16.88%	pc/s </t>
  </si>
  <si>
    <t xml:space="preserve"> BIDDING DATE: JULY 14, 2020 @ 11:00 A.M.</t>
  </si>
  <si>
    <t xml:space="preserve"> Bid Opening</t>
  </si>
  <si>
    <t xml:space="preserve"> https://drive.google.com/file/d/1y7aj_hNCdro8pIieY9shQy1ist8Za75Y/view?usp=drivesdk</t>
  </si>
  <si>
    <t xml:space="preserve"> 1.		Amlodipine 10 mg Tablet	60,000	Tablets	44,400.00	</t>
  </si>
  <si>
    <t xml:space="preserve"> ELIGIBILITY CHECK REQUIREMENTS FOR THE PROCUREMENT OF INFRASTRUCTURE PROJECT</t>
  </si>
  <si>
    <t xml:space="preserve"> 1.	NAAT – LAMP Reagents and Consumables	37	Packages	2,035,000.00	Within 30 Calendar Days from receipt of the NTP	DOH – WV CHD</t>
  </si>
  <si>
    <t xml:space="preserve"> Bidding Documents may be secured from the BAC Secretariat, Office of the Municipal Treasurer – Supply Section upon payment to the MTO Cashier of a non-refundable amount of ₱ 5,000.00. </t>
  </si>
  <si>
    <t xml:space="preserve"> For more information, please see or contact the BAC Members of Brgy.Binisitahan Norte, Magallanes, Sorsogon.</t>
  </si>
  <si>
    <t xml:space="preserve"> BID DOCUMENTS IS AVAILABLE ONLY TO PROSPECTIVE BIDDER UPON PAYMENT OF NON-REFUNDABLE FEE IN THE AMOUNT OF 500.00 TO BARANGAY TREASURER.</t>
  </si>
  <si>
    <t xml:space="preserve"> https://drive.google.com/file/d/1kpFv84I6SX3Z4y5zXDnTWJmGgd5-rmBb/view?usp=drivesdk</t>
  </si>
  <si>
    <t xml:space="preserve"> NOTE: ALL DOCUMENTS LISTED IN THE CHECKLIST SHOULD BE SUBMITTED REGARDLESS IF APPLICABLE OR NOT APPLICABLE.</t>
  </si>
  <si>
    <t xml:space="preserve"> Item No.	Description	Qty	Unit	ABC	Delivered	Delivery Site</t>
  </si>
  <si>
    <t xml:space="preserve"> https://drive.google.com/file/d/1NGgSBjYSAjVjHvGXnQV-OQkT7iCNLajk/view?usp=drivesdk</t>
  </si>
  <si>
    <t xml:space="preserve"> Terms of Delivery: FOB for the following Delivery Hub/Location</t>
  </si>
  <si>
    <t xml:space="preserve"> https://drive.google.com/file/d/1utsLwDAM7fY6Wo2KJ3kb9AuAEHEHaFAO/view?usp=drivesdk</t>
  </si>
  <si>
    <t xml:space="preserve"> https://drive.google.com/file/d/12t0RccWPft6PPezw305z4yWToICCCDSi/view?usp=drivesdk</t>
  </si>
  <si>
    <t xml:space="preserve"> https://drive.google.com/file/d/1GIrH9MjU6PwBfOl2QTU6167fxrqg9CUT/view?usp=drivesdk</t>
  </si>
  <si>
    <t xml:space="preserve"> Bid Docs Fee P/5,000.00</t>
  </si>
  <si>
    <t xml:space="preserve"> The BAC shall issue bidding documents upon payment of Five Thousand Pesos Only (Php5,000.00) to the disbursing/collecting officer of the LGU.</t>
  </si>
  <si>
    <t xml:space="preserve"> Deadline of submission is on or before July 3,2020 @ 1:00pm</t>
  </si>
  <si>
    <t xml:space="preserve"> Schedule of Bidding Activities: </t>
  </si>
  <si>
    <t xml:space="preserve"> 1. Letter of Intent of Contractor must be signed original with PhilGEPS Certificate of Registration (Platinum Category) and Valid PCAB License and Registration.</t>
  </si>
  <si>
    <t xml:space="preserve"> https://drive.google.com/file/d/1fuoLjFBwrV8_xOBwJew0SJOzxYJ6x7Mj/view?usp=drivesdk</t>
  </si>
  <si>
    <t xml:space="preserve"> https://drive.google.com/file/d/14splrRYzgMoIwoPKEvfkvSxQnSdBSNDX/view?usp=drivesd</t>
  </si>
  <si>
    <t xml:space="preserve"> Delivery Point: Plantsite / SIASI DPP, Sulu Province</t>
  </si>
  <si>
    <t xml:space="preserve"> PLEASE SEE ATTACHED INVITATION TO BID.</t>
  </si>
  <si>
    <t xml:space="preserve"> 1 set CCTV Camera</t>
  </si>
  <si>
    <t xml:space="preserve"> For complete set/copy of Bidding Documents, please visit the BSP Website. Complete set of documents were not uploaded to this website due to file size restriction.</t>
  </si>
  <si>
    <t xml:space="preserve"> Created By: Elrene C. Villar</t>
  </si>
  <si>
    <t xml:space="preserve"> https://drive.google.com/file/d/1fG0ROx1KVNsqWyIV-6qUVVgIblsYVbib/view?usp=drivesdk</t>
  </si>
  <si>
    <t xml:space="preserve"> https://drive.google.com/file/d/175gXfkJnVPr3tW2jV3ujGV_tfN_K14WV/view?usp=drivesdk</t>
  </si>
  <si>
    <t xml:space="preserve"> https://drive.google.com/file/d/12WCBbtkIkSYNYgSvCmliGAf29R_LC-Ay/view?usp=drivesdk</t>
  </si>
  <si>
    <t xml:space="preserve"> Downloadables are available in the Associated Component / Supplemental Page</t>
  </si>
  <si>
    <t xml:space="preserve"> BID TENDER														</t>
  </si>
  <si>
    <t xml:space="preserve"> 2	unit	Brand New Dump Truck</t>
  </si>
  <si>
    <t xml:space="preserve"> BAC Schedule of Activities</t>
  </si>
  <si>
    <t xml:space="preserve"> Only the Project Manager will attend the Pre - Bid Conference.</t>
  </si>
  <si>
    <t xml:space="preserve"> https://drive.google.com/file/d/1C2RhrfeugkB5KkKNX9BXbtJ0bUeJwLav/view?usp=drivesdk</t>
  </si>
  <si>
    <t xml:space="preserve"> Kindly download the attached documents for the requirements and technical specifications.</t>
  </si>
  <si>
    <t xml:space="preserve"> SOURCE OF FUND: 20% DF 2018-2019</t>
  </si>
  <si>
    <t xml:space="preserve"> Please download canvass (RFQ) form/TOR, completely fill-out and submit either through any  of the following:</t>
  </si>
  <si>
    <t xml:space="preserve"> Bid Documents must be secured from the BAC Secretariat, Leyte SMED Center, Provincial Capitol Grounds, Tacloban City</t>
  </si>
  <si>
    <t xml:space="preserve"> https://drive.google.com/file/d/1pf4GRO6pii5WH6tZihG-vpj7sKz75Bij/view?usp=drivesdk</t>
  </si>
  <si>
    <t xml:space="preserve"> A complete set of bidding document may be purchased by interested bidders on June 24, 2020 to July 13, 2020 from the address below upon payment of a non-refundable fee for the bidding documents in the amount of P500.00</t>
  </si>
  <si>
    <t xml:space="preserve"> GEO-TAGGING INFORMATION</t>
  </si>
  <si>
    <t xml:space="preserve"> You can also download the items and specifications at our official website: www.cebucity.gov.ph under For</t>
  </si>
  <si>
    <t xml:space="preserve"> INQUIRE AT BAC OFFICE, MUNICIPAL HALL, TAMBULIG, ZAMBOANGA DEL SUR</t>
  </si>
  <si>
    <t xml:space="preserve"> https://drive.google.com/file/d/1h13dJ3YLNR4dO1Z_N0AJiqenSSfwS1-j/view?usp=drivesdk</t>
  </si>
  <si>
    <t xml:space="preserve"> https://drive.google.com/file/d/1ImxXzPDs1Oy7eNvrzlg5lFb65TvlZvui/view?usp=drivesdk</t>
  </si>
  <si>
    <t xml:space="preserve"> Bid Documents will be available only to prospective bidders upon payment of a non-refundable amount of Five Hundred Pesos (PhP. 500.00) to the Office of the Barangay Treasurer Cashier.</t>
  </si>
  <si>
    <t xml:space="preserve"> Bidding Documents are available to prospective bidders who purchase the bidding documents at the office of the Municipal Treasurer office of the Local Government Unit of magpet.</t>
  </si>
  <si>
    <t xml:space="preserve"> https://drive.google.com/file/d/1k-lANZ_TdLNe4vslV8fLoPUEMrp0Psvm/view?usp=drivesdk</t>
  </si>
  <si>
    <t xml:space="preserve"> RFQ - Available @ Lungsodaan Brgy.  Hall</t>
  </si>
  <si>
    <t xml:space="preserve"> https://drive.google.com/file/d/1FgxFXO2fKac2rDZlz4ST5QLROrrtvwqk/view?usp=drivesdk</t>
  </si>
  <si>
    <t xml:space="preserve"> [Republic of the Philippines]</t>
  </si>
  <si>
    <t xml:space="preserve"> General requirements - 1 lot</t>
  </si>
  <si>
    <t xml:space="preserve"> The complete schedule of BAC activities is listed as follows:</t>
  </si>
  <si>
    <t xml:space="preserve"> https://drive.google.com/file/d/19lp6w8j2QJTlPUZOOCLQEsAt296DPd_R/view?usp=drivesdk</t>
  </si>
  <si>
    <t xml:space="preserve"> https://drive.google.com/file/d/1VVKXHVDODXRw3ObMhGIvJkwQDfBFO0i4/view?usp=drivesdk</t>
  </si>
  <si>
    <t xml:space="preserve"> https://drive.google.com/file/d/1rWvummZrOVami-x2dlQkxrmQaLVERnBU/view?usp=drivesdk</t>
  </si>
  <si>
    <t xml:space="preserve"> https://drive.google.com/file/d/1kfijS5JprkC8ih6vNf-F5wN29UJJQExd/view?usp=drivesdk</t>
  </si>
  <si>
    <t xml:space="preserve"> https://drive.google.com/file/d/1njlDjaXrTd7IRk8VoG-tThAF3eJcG_s4/view?usp=drivesdk</t>
  </si>
  <si>
    <t xml:space="preserve"> June 24, 2020 to July 13, 2020</t>
  </si>
  <si>
    <t xml:space="preserve"> https://drive.google.com/file/d/1BLzW9kq3CQC1wOpc5Jbqpbj_6g7PQyFB/view?usp=drivesdk PLAN 20CN0073</t>
  </si>
  <si>
    <t xml:space="preserve"> Contact BAC Sec, Laua-an, Antique</t>
  </si>
  <si>
    <t xml:space="preserve"> Bidding date July 9,2020 @ 10:00am at HRMO Office</t>
  </si>
  <si>
    <t xml:space="preserve"> https://drive.google.com/file/d/1NceBnVCJsGEz3-vPWoT9_9LMAwI4QArf/view?usp=drivesdk</t>
  </si>
  <si>
    <t xml:space="preserve"> Cost of Bid Docs: Php 500.00</t>
  </si>
  <si>
    <t xml:space="preserve"> Please see attached files</t>
  </si>
  <si>
    <t xml:space="preserve"> https://drive.google.com/file/d/1ADWCCOsllwidSECrNwV2ifJO6aGwP_op/view?usp=drivesdk</t>
  </si>
  <si>
    <t xml:space="preserve"> https://drive.google.com/file/d/1A1twUukyNq00Aj8vg_dFrswrop264mw7/view?usp=drivesdk</t>
  </si>
  <si>
    <t xml:space="preserve"> 1. Must provide a Free 3 Years LTO Registration</t>
  </si>
  <si>
    <t xml:space="preserve"> June 26, 2020 - Issuance of Bidding Documents</t>
  </si>
  <si>
    <t xml:space="preserve"> 1.    26  units Duplicating Machine </t>
  </si>
  <si>
    <t xml:space="preserve"> THIS POSTING IS DONE IN BEHALF OF BARANGAY TAMBONGON, PANTUKAN, DAVA DE ORO</t>
  </si>
  <si>
    <t xml:space="preserve"> For more information kindly contact:</t>
  </si>
  <si>
    <t xml:space="preserve"> Please submit your proposals to Engr. Charles Bronson B. Olea through his e-mail at charlesolea@laguna-water.com</t>
  </si>
  <si>
    <t xml:space="preserve"> Health and Accident Insurance (BPATs)</t>
  </si>
  <si>
    <t xml:space="preserve"> Please download ITB &amp; Biddocs in the Associated Components for reference.</t>
  </si>
  <si>
    <t xml:space="preserve"> Contact BAC Secretariat, Laua-an, Antique</t>
  </si>
  <si>
    <t xml:space="preserve"> 1.	All interested bidders/suppliers may now submit Eligibility Documents and other documents.</t>
  </si>
  <si>
    <t xml:space="preserve"> https://drive.google.com/file/d/1wWEoxOGxH5xBWezKVSrW2O8EF9fX91Rw/view?usp=drivesdk</t>
  </si>
  <si>
    <t xml:space="preserve"> I.	DEMOLITION WORKS	1	LOT</t>
  </si>
  <si>
    <t xml:space="preserve"> Deadline of Submission of Bidding Documents JULY 16, 2020 10:00AM</t>
  </si>
  <si>
    <t xml:space="preserve"> https://drive.google.com/file/d/1DEMe5Cci6h6wFnQ7hYDyTOQ2_-yzBPu3/view?usp=drivesdk</t>
  </si>
  <si>
    <t xml:space="preserve"> https://drive.google.com/file/d/182Gs21Kbgh_2LCR9SetxnIk47OlqQ3ZI/view?usp=drivesdk</t>
  </si>
  <si>
    <t xml:space="preserve"> PLEASE SEE ATTACHED INVITATION TO BID AND TECHNICAL SPECIFICATIONS.</t>
  </si>
  <si>
    <t xml:space="preserve"> https://drive.google.com/file/d/1xWpasuCw5Ijgj4DnhBjS6o5hcC9kEyzq/view?usp=drivesdk</t>
  </si>
  <si>
    <t xml:space="preserve"> CONTACT: MRS. RHODORA A. SEGARANG AT ENGINEERING OFFICE</t>
  </si>
  <si>
    <t xml:space="preserve"> JULLIAN KYLE GONZAGA SAN MATEO</t>
  </si>
  <si>
    <t xml:space="preserve"> BAC  Schedule of Activities		</t>
  </si>
  <si>
    <t xml:space="preserve"> Call BAC Secretariat for inquiries at tel # (056) 333-6310</t>
  </si>
  <si>
    <t xml:space="preserve"> BAC Activities	Schedule	</t>
  </si>
  <si>
    <t xml:space="preserve"> 1	Lanzones	4,000	pcs</t>
  </si>
  <si>
    <t xml:space="preserve"> Interested bidders may obtain further information and inspect the Bidding Documents during office hours at 8:00 AM to 5:00 PM on June 24, 2020 to July 13, 2020 from the RBAC Secretariat, c/o Miriam D. Mapatac, Philippine Statistics Authority – Regional Statistical Services Office XIII, Freeman Building, J. C. Aquino Avenue, Butuan City with telephone numbers (085) 225-5219 or (085) 815-2878.</t>
  </si>
  <si>
    <t xml:space="preserve"> 1	Mobile Corn Mill	1	unit</t>
  </si>
  <si>
    <t xml:space="preserve"> https://drive.google.com/file/d/15UjV0kLCLW6PEUUbYGdRX6ksFIgN_rfr/view?usp=drivesdk</t>
  </si>
  <si>
    <t xml:space="preserve"> 1	Mobile Rice Mill	1	unit</t>
  </si>
  <si>
    <t xml:space="preserve"> https://drive.google.com/file/d/14u_s5cdjsT-0oFeOw-o-afkLUEOL73Cv/view?usp=drivesdk</t>
  </si>
  <si>
    <t xml:space="preserve"> Very Important Instruction:</t>
  </si>
  <si>
    <t xml:space="preserve"> associated components</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</si>
  <si>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</si>
  <si>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Please see attached Bidding Documents for more details</t>
  </si>
  <si>
    <t xml:space="preserve"> 1. Procurement is done by Lot.</t>
  </si>
  <si>
    <t xml:space="preserve"> Prospective bidders should possess a valid PCAB License applicable to the contract, have completed a similar contract with a value of at least 50% of the ABC, and have key personnel and equipment (listed in the Eligibility Forms) available for the prosecution of the contract. The BAC will use non-discretionary pass/fail criteria in the Eligibility Check/Screening as well as the Preliminary Examination of Bids. The BAC will conduct post-qualification of the lowest calculated bid.</t>
  </si>
  <si>
    <t xml:space="preserve"> Deadline for the submission of bid is on July 2, 2020 at 2:00 PM and opening of bids to follow immediately.Please submit your sealed bid/quotation at BAC Office, New Civil Aviation Authority of the Philippines Bldg., Mactan-Cebu Int'l. Airport, Lapu-lapu City , Cebu and look for Hannah. </t>
  </si>
  <si>
    <t xml:space="preserve"> LINKS to download the Terms of Reference</t>
  </si>
  <si>
    <t xml:space="preserve"> Submission &amp; Opening of Bid Quotation: </t>
  </si>
  <si>
    <t xml:space="preserve"> For Particulars: Inquire at BAC Secretariat of Barangay Zone IV Poblacion, Atimonan, Quezon</t>
  </si>
  <si>
    <t xml:space="preserve"> Submission &amp; Opening of Bids: </t>
  </si>
  <si>
    <t xml:space="preserve"> Please see bidding documents for details</t>
  </si>
  <si>
    <t xml:space="preserve"> Upon Purchase of Bidding Documents, please submit the following documents:</t>
  </si>
  <si>
    <t xml:space="preserve"> Created By: Aireen T. Dizon</t>
  </si>
  <si>
    <t xml:space="preserve"> The Supplier must copy the link below and paste it on the "URL Tab":</t>
  </si>
  <si>
    <t xml:space="preserve"> APPLE BRAND</t>
  </si>
  <si>
    <t xml:space="preserve"> Supplier must copy the link below and paste it on URL tab:</t>
  </si>
  <si>
    <t xml:space="preserve"> Created By: Madel Arquillo</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</si>
  <si>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</si>
  <si>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please see attached documents</t>
  </si>
  <si>
    <t xml:space="preserve"> https://drive.google.com/file/d/18gdKDTCFnfb44H_RYV_RE_OqQXnhYVb9/view?usp=drivesdk</t>
  </si>
  <si>
    <t xml:space="preserve"> https://drive.google.com/file/d/1zrp1afFeuG68utHQzMRQmEEQZrzOhTvP/view?usp=drivesdk</t>
  </si>
  <si>
    <t xml:space="preserve"> To be assigned at Maritime Industry Authority, Regional Office No. V located at Regional Center Site, Rawis, Legazpi City</t>
  </si>
  <si>
    <t xml:space="preserve"> Service Vehicle (Pick up)</t>
  </si>
  <si>
    <t xml:space="preserve"> Double Cab Truck w/ Customized Casket Compartment</t>
  </si>
  <si>
    <t xml:space="preserve"> BLUE GUARD SECURITY</t>
  </si>
  <si>
    <t xml:space="preserve"> Kindly download the attached bidding documents for details of requirements and specifications.</t>
  </si>
  <si>
    <t xml:space="preserve"> A complete set of Bidding Documents may be acquired by interested June 22, 2020 to July 10, 2020 from the address below.</t>
  </si>
  <si>
    <t xml:space="preserve"> Kindly download the attached bidding documents for the requirements and specifications.</t>
  </si>
  <si>
    <t xml:space="preserve"> BILL OF MATERIALS</t>
  </si>
  <si>
    <t xml:space="preserve"> 2 Units Floor Mounted Aircon 4.0 HP</t>
  </si>
  <si>
    <t xml:space="preserve"> 1.)	65	boxes	Syringe w/ Needle 5ml Disposable G.23x1”x100’s (sterile, packed individually, non-toxic, non-pyrogenic) air tight plunger</t>
  </si>
  <si>
    <t xml:space="preserve"> FOR INQUIRY PLEASE PROCEED TO BAC OFFICE</t>
  </si>
  <si>
    <t xml:space="preserve"> Buyer: K.C. Lacatan</t>
  </si>
  <si>
    <t xml:space="preserve"> Note: Please see attached Invitation To Bid (ITB) and Bidding Documents</t>
  </si>
  <si>
    <t xml:space="preserve"> DATE OF PUBLIC BIDDING: JULY 02 , 2020 @ 10:00 A.M </t>
  </si>
  <si>
    <t xml:space="preserve"> Bid Opening: July 13, 2020 @ 09:00 a.m. at BAC Office, Dap-ay di Tubo, Poblacion, Tubo, Abra</t>
  </si>
  <si>
    <t xml:space="preserve"> Prospective bidders should have experience in undertaking a similar project within the last (2) two years with an 				</t>
  </si>
  <si>
    <t xml:space="preserve"> PLEASE SEE BAC SECRETARIAT</t>
  </si>
  <si>
    <t xml:space="preserve"> PLEASE SEE ASSOCIATED COMPONENTS</t>
  </si>
  <si>
    <t xml:space="preserve"> All interested bidders shall pay 5,000 for the bid docs</t>
  </si>
  <si>
    <t xml:space="preserve"> Lot A 	3,115,922.75		</t>
  </si>
  <si>
    <t xml:space="preserve"> Deadline of Submission of Bid Documents JULY 16 2020 10:00AM</t>
  </si>
  <si>
    <t xml:space="preserve"> For inquiry, pls. call at 09989747713</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</si>
  <si>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</si>
  <si>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sEE aSSOCIATED COMPONENTS</t>
  </si>
  <si>
    <t xml:space="preserve"> for Documents</t>
  </si>
  <si>
    <t xml:space="preserve"> https://drive.google.com/file/d/1aewgzS7m_BpJ_0tU22M6zehXwKf-AJIH/view?usp=drivesdk</t>
  </si>
  <si>
    <t xml:space="preserve"> 1.   A complete set of Bidding Documents may be purchased by interested Bidders from the address below starting on June 23, 2020 and upon payment of a nonrefundable fee for the Bidding Documents in the amount of Five Hundred Pesos (P500.00) at the Municipal Treasury Office, Amdalao, Guinaang, Pasil, Kalinga.   					</t>
  </si>
  <si>
    <t xml:space="preserve"> Please see attached Program of Work</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</si>
  <si>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</si>
  <si>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88	pax	Venue Rental</t>
  </si>
  <si>
    <t xml:space="preserve"> Pls contact Bac Secretariat at 09750779875</t>
  </si>
  <si>
    <t xml:space="preserve"> https://drive.google.com/file/d/1T9hNS9BkMy9uw5-8jE3jmnKkLHR5G4P8/view?usp=drivesdk</t>
  </si>
  <si>
    <t xml:space="preserve"> https://drive.google.com/file/d/11_UCrb3yyW5N-__uGVfTNhbHmHtcuFOm/view?usp=drivesdk</t>
  </si>
  <si>
    <t xml:space="preserve"> https://drive.google.com/file/d/1TaEhUv6c4G5uao3Q6_TOF8_9F7CPs8pa/view?usp=drivesdk</t>
  </si>
  <si>
    <t xml:space="preserve"> Please download bid documents at:</t>
  </si>
  <si>
    <t xml:space="preserve"> 1. Pre-bid Conference - July 2, 2020 @ 10:00AM at ASSCAT Conference Room</t>
  </si>
  <si>
    <t xml:space="preserve"> Procurement is done by Lot.</t>
  </si>
  <si>
    <t xml:space="preserve"> Name of Project: Construction of Two Public Restroom and Urinals in Support to Sanitation Program</t>
  </si>
  <si>
    <t xml:space="preserve"> 16	bxs	AMLODIPINE 5MG				</t>
  </si>
  <si>
    <t xml:space="preserve"> https://drive.google.com/file/d/1sjQcZX4Wa9Hw9DRH8cgMpLpaO4JQWWyZ/view?usp=drivesdk</t>
  </si>
  <si>
    <t xml:space="preserve"> ADDITIONAL INSTRUCTION TO BIDDERS:</t>
  </si>
  <si>
    <t xml:space="preserve"> NO GIFT ALLOWED. Pursuant to RA 6713, otherwise known as the Code of Conduct and Ethical Standards for Public Officials and Employees. The DSWD reserves the right to reject any or all offers at no costs, waive any therein and accept the offer most advantageous to the government.</t>
  </si>
  <si>
    <t xml:space="preserve"> For the additional requirements (Eligibility, Technical and Financial list of required documents) you may send an email to pgss.embregion3@gmail.com</t>
  </si>
  <si>
    <t xml:space="preserve"> https://drive.google.com/file/d/11EKfoINESiUX9FSb48IUsXIvlrNGVPQa/view?usp=drivesdk</t>
  </si>
  <si>
    <t xml:space="preserve"> https://drive.google.com/file/d/1zmjJdPl3pRQds6gVBRrKihX6IxV61HoS/view?usp=drivesdk</t>
  </si>
  <si>
    <t xml:space="preserve"> https://drive.google.com/file/d/1iqy7hJY-Pl-PXMHh_-89lBekOlUW8ikN/view?usp=drivesdk</t>
  </si>
  <si>
    <t xml:space="preserve"> https://drive.google.com/file/d/1k7bfe1ezGdY0c74rbuplkpkPBKAXvmvr/view?usp=drivesdk</t>
  </si>
  <si>
    <t xml:space="preserve"> 1.  Issuance of Bid Documents	June 23, 2020</t>
  </si>
  <si>
    <t xml:space="preserve"> Please see attached bidding documents for details.</t>
  </si>
  <si>
    <t xml:space="preserve"> For Inquiries Please contact Ms. Anabel Alis Basas BAC Secretariat @09500981535</t>
  </si>
  <si>
    <t xml:space="preserve"> Only Authorized personnel are allowed to purchase bidding documents. Please bring authorization letter from the company/contractor/supplier, valid ID or company ID</t>
  </si>
  <si>
    <t xml:space="preserve"> Prospective bidders are encouraged to attend the prebid conference as scheduled.</t>
  </si>
  <si>
    <t xml:space="preserve"> 2019-LGSF-AM</t>
  </si>
  <si>
    <t xml:space="preserve"> Construction Project is for Barangay Dawa, Josefina, ZDS</t>
  </si>
  <si>
    <t xml:space="preserve"> Issuance of bid documents - June 22, 2020- July 14, 2020</t>
  </si>
  <si>
    <t xml:space="preserve"> https://drive.google.com/file/d/1e8CLQyIyyKO-cT_fLi6gEQ2FPvt-QFmn/view?usp=drivesdk</t>
  </si>
  <si>
    <t xml:space="preserve"> ALL INTERESTED BIDDERS ARE REQUIRED TO SUBMIT THEIR COMPLETE ELIGIBILITY REQUIREMENTS TO THE BAC FOR EVALUATION DURING THE PRE-BID CONFERENCE ON JUNE 29, 2020 9:00A.M. AT THE BAC SECRETARIAT OFFICE, 2ND FLOOR, CITY HALL OF DASMARIÑAS, CAVITE. BIDDERS WHO SHALL FAIL TO ATTEND THE PRE-BID SHALL NOT BE ALLOWED TO JOIN THE BIDDING FOR THE AFORESAID PROJECT. </t>
  </si>
  <si>
    <t xml:space="preserve"> Plans:</t>
  </si>
  <si>
    <t xml:space="preserve"> The BAC will issue to prospective bidders Eligibility Forms and Bid Documents at the Office of the BAC Secretariat, LGU Gattaran, Cagayan, upon their submission of a LOI, and upon their payment of a non-refundable amount of Php 10,000.00 to the Municipal Treasurer of the local Government Unit of Gattaran.</t>
  </si>
  <si>
    <t xml:space="preserve"> https://drive.google.com/file/d/1g1EltkLI4xpC6vl2UIczibrpA6XuWU8G/view?usp=drivesdk</t>
  </si>
  <si>
    <t xml:space="preserve"> 1. Please Download ITB and bidding documents in the associated component</t>
  </si>
  <si>
    <t xml:space="preserve"> Bidder / Supplier must download the attached documents in Associated Components.</t>
  </si>
  <si>
    <t xml:space="preserve"> For UOM of Lots 4 to 9:</t>
  </si>
  <si>
    <t xml:space="preserve"> Budget: 20,000.00</t>
  </si>
  <si>
    <t xml:space="preserve"> ACTIVITIES SCHEDULE:</t>
  </si>
  <si>
    <t xml:space="preserve"> The approved estimated budget was 30,000.00 for the purchases of the following items</t>
  </si>
  <si>
    <t xml:space="preserve"> Bid opening on July 15, 2020 at 9:00A.M at the Municipal Hall.</t>
  </si>
  <si>
    <t xml:space="preserve"> It may also be downloaded free of charge from the website of the Bangko Sentral ng Pilipinas (www.bsp.gov.ph) provided that bidders shall pay the applicable fee for the Bidding Documents not later than the submission of their bids.</t>
  </si>
  <si>
    <t xml:space="preserve"> Below is the link of the bidding document for this Project.</t>
  </si>
  <si>
    <t xml:space="preserve"> PLEASE SUBMIT YOUR LETTER ON INTENT ON OR BEFORE THE PRE-BID CONFERENCE AT THE BRK OFFICE.</t>
  </si>
  <si>
    <t xml:space="preserve"> Please copy the LINK below for the PLAN</t>
  </si>
  <si>
    <t xml:space="preserve"> bidders/supplier must download the attached file in the associated section.</t>
  </si>
  <si>
    <t xml:space="preserve"> Procurement of Office Supplies for Barangay Magallanes use :</t>
  </si>
  <si>
    <t xml:space="preserve"> PLEASE SEE SIMILAR INFORMATION POSTED AT THE WEBSITE OF THE PROCURING ENTITY</t>
  </si>
  <si>
    <t xml:space="preserve"> The schedule of key procurement activities for this Contract is shown below:  </t>
  </si>
  <si>
    <t xml:space="preserve"> Cost of Bid Docs: Php 5,000.00</t>
  </si>
  <si>
    <t xml:space="preserve"> PROCUREMENT ACTIVITIES	DATE	TIME (BFAR8 2nd floor Biometric Clock)	VENUE</t>
  </si>
  <si>
    <t xml:space="preserve"> invitation to bid</t>
  </si>
  <si>
    <t xml:space="preserve"> Pre-Bid Conference will be held at the BAC Office, DPWH Masbate 1st District Engineering Office, San Fernando, Masbate on June 30, 2020 at 10:00 a.m.</t>
  </si>
  <si>
    <t xml:space="preserve"> Please see attached Part I of the Bidding Documents</t>
  </si>
  <si>
    <t xml:space="preserve"> ITB20-06-027B</t>
  </si>
  <si>
    <t xml:space="preserve"> Pre-bid Conference is on 01 July 2020 12:00PM Katapatan Conference Room (Boardroom), 4th Floor, DSWD Central Office, IBP Road, Constitution Hills, Quezon City</t>
  </si>
  <si>
    <t xml:space="preserve"> ITB20-06-027A</t>
  </si>
  <si>
    <t xml:space="preserve"> ITB20-06-027C</t>
  </si>
  <si>
    <t xml:space="preserve"> ITB20-06-027D</t>
  </si>
  <si>
    <t xml:space="preserve"> Also available at the DPWH Website</t>
  </si>
  <si>
    <t xml:space="preserve"> Issuance of Bid Documents  : 8:00AM - 5:00PM June 20, 2020 to 8:00AM - 10:00AM, July 14, 2020</t>
  </si>
  <si>
    <t xml:space="preserve"> For more information, please contact barangay treasurer - 09432418991</t>
  </si>
  <si>
    <t xml:space="preserve"> To View the bidding Document Please Click</t>
  </si>
  <si>
    <t xml:space="preserve"> - kindly submit the 4 basic documents as such: (1) DTI, SEC, CDA Registration; (2) Tax Clearance; (3) Philgeps Registration; and (4) Mayor's Permit with bid proposal</t>
  </si>
  <si>
    <t xml:space="preserve"> To view the Bid Docs Click: </t>
  </si>
  <si>
    <t xml:space="preserve"> https://drive.google.com/file/d/1GBnCKlFUU7WJFmurh7jhovYgTzJRsK3o/view?usp=drivesdk</t>
  </si>
  <si>
    <t xml:space="preserve"> https://drive.google.com/file/d/1uQqXD516dNKnvDd6UWB5LkvygVnoGM3K/view?usp=drivesdk</t>
  </si>
  <si>
    <t xml:space="preserve"> https://drive.google.com/file/d/1wJVT4G7yWGZFl5iUNHBhypmMMO_0jq_g/view?usp=drivesdk</t>
  </si>
  <si>
    <t xml:space="preserve"> - kindly submit the basic documents, as such (1) DTI/SEC/CDA Registration; (2) Tax Clearance; (3) PhilGeps Registration; and (4) Mayor's Permit</t>
  </si>
  <si>
    <t xml:space="preserve"> to view the bidding document please click</t>
  </si>
  <si>
    <t xml:space="preserve"> to view the bidding documents click: https://drive.google.com/file/d/1w18odiMeWWvy7umz_0ndFUjLrsu9WsDN/view?usp=drivesdk</t>
  </si>
  <si>
    <t xml:space="preserve"> To View the Bidding Document Please Click</t>
  </si>
  <si>
    <t xml:space="preserve"> To view the bidding document, please click https://drive.google.com/file/d/1jkO_l-ddDaGVjvKY7uCOw9w4vlc04RTs/view?usp=drivesdk</t>
  </si>
  <si>
    <t xml:space="preserve"> To view the bidding document, please click https://drive.google.com/file/d/1fNJxMdJsSxRdXdz8U2bWL_JG4CHEhqVg/view?usp=drivesdk</t>
  </si>
  <si>
    <t xml:space="preserve"> 1 unit	Hanging Cabinet</t>
  </si>
  <si>
    <t xml:space="preserve"> 2nd Publication</t>
  </si>
  <si>
    <t xml:space="preserve"> MTO:</t>
  </si>
  <si>
    <t xml:space="preserve"> BIDDERS MUST DOWNLOAD THE ATTACHED DOCUMENT IN THE ASSOCIATED COMPONENT SECTION.</t>
  </si>
  <si>
    <t xml:space="preserve"> 2. https://drive.google.com/file/d/1uZAEbQi9aJpffSA7HPOaiMPc28hPNqtR/view?usp=drivesdk</t>
  </si>
  <si>
    <t xml:space="preserve"> to view the bidding documents click https://drive.google.com/file/d/1w5vdyBqRDlr9fQA_hxPBnN9GgXlirp_V/view?usp=drivesdk</t>
  </si>
  <si>
    <t xml:space="preserve"> 4. https://drive.google.com/file/d/1QvTYXPAnIMcgu61iz8h4Yo2NAtXD04Gj/view?usp=drivesdk</t>
  </si>
  <si>
    <t xml:space="preserve"> 3. https://drive.google.com/file/d/1sH0MJGvJzGWCuaKj_TH7ROGOsvGRHu0v/view?usp=drivesdk</t>
  </si>
  <si>
    <t xml:space="preserve"> 9. https://drive.google.com/file/d/1VTOy7rFzWlJCUBQXchcxTtQTRN-EYeGE/view?usp=drivesdk</t>
  </si>
  <si>
    <t xml:space="preserve"> 1. https://drive.google.com/file/d/13ev0UFkHXGWa4F9yFXDdUUQupLVZZs3y/view?usp=drivesdk</t>
  </si>
  <si>
    <t xml:space="preserve"> 8. https://drive.google.com/file/d/1gobUix9EeYU1X_itrMojR7zXL2LsULNy/view?usp=drivesdk</t>
  </si>
  <si>
    <t xml:space="preserve"> 7. https://drive.google.com/file/d/19Pqc9hBi10E2A9rx8v2zQDb6fcV20xZN/view?usp=drivesdk</t>
  </si>
  <si>
    <t xml:space="preserve"> 6. https://drive.google.com/file/d/13ISk4cm87N-gW_QwvP1dS3AWj0FQ2boN/view?usp=drivesdk</t>
  </si>
  <si>
    <t xml:space="preserve"> 10. https://drive.google.com/file/d/1YZld1GY_lxhwfm9lIwPrTIAygmS-l8rT/view?usp=drivesdk</t>
  </si>
  <si>
    <t xml:space="preserve"> 5. https://drive.google.com/file/d/1AZ3I3xwvpydi48yZEpmd24xiEvDXVx69/view?usp=drivesdk</t>
  </si>
  <si>
    <t xml:space="preserve"> to view the bidding documents;https://drive.google.com/file/d/1SWOd9A2dVxC75dCkWxtdDtaVFfpGp-SX/view?usp=drivesdk</t>
  </si>
  <si>
    <t xml:space="preserve"> 11. https://drive.google.com/file/d/1FTiU1xBJpBMXfz_AfshyqMIN13flTXfG/view?usp=drivesdk</t>
  </si>
  <si>
    <t xml:space="preserve"> 18. https://drive.google.com/file/d/1ZvCoRYyw5APrP5kxWwas799eqKwFCofX/view?usp=drivesdk</t>
  </si>
  <si>
    <t xml:space="preserve"> 17. https://drive.google.com/file/d/1bn6Oc1NeuCkWgKiKqQqBHaMwoWMKiMJ2/view?usp=drivesdk</t>
  </si>
  <si>
    <t xml:space="preserve"> 16. https://drive.google.com/file/d/1wSFZDfWu2jaQePzJ3_oaLHGMhk5Hv8aO/view?usp=drivesdk</t>
  </si>
  <si>
    <t xml:space="preserve"> https://drive.google.com/file/d/1pBqou3gob9Y36d4KbKTcO5A7SWTevPTM/view?usp=drivesdk</t>
  </si>
  <si>
    <t xml:space="preserve"> to view the bidding documents;https://drive.google.com/file/d/1FG5-KnZ4qKhgUyMSbxwU22Umr9_euwMy/view?usp=drivesdk</t>
  </si>
  <si>
    <t xml:space="preserve"> 14. https://drive.google.com/file/d/1H8QpXmEvfUxRUiu_F__JomOtFGWzN_rI/view?usp=drivesdk</t>
  </si>
  <si>
    <t xml:space="preserve"> 21. https://drive.google.com/file/d/1oZZRv2k5qxVy8A2Ml9ggqWsipET4j5nw/view?usp=drivesdk</t>
  </si>
  <si>
    <t xml:space="preserve"> 20. https://drive.google.com/file/d/1bP7N-O9p6A8aRRYFxmaLLwACQ3_DC6ly/view?usp=drivesdk</t>
  </si>
  <si>
    <t xml:space="preserve"> 13. https://drive.google.com/file/d/1vR9XN4ymdCD3X63gRfSkiZOkPPWPJgHx/view?usp=drivesdk</t>
  </si>
  <si>
    <t xml:space="preserve"> to view the bidding documents;https://drive.google.com/file/d/1NpOGGmLElD0yQJP2gNJ1L5rRGq0zauPu/view?usp=drivesdk</t>
  </si>
  <si>
    <t xml:space="preserve"> to view the bidding documents;https://drive.google.com/file/d/1Wh61m2KjMNDSHw1NLV7J46YHQiTPKAQS/view?usp=drivesdk</t>
  </si>
  <si>
    <t xml:space="preserve"> 12.  https://drive.google.com/file/d/138NiCCcoPcwewCvhkFJM4x6X_rGZNz1H/view?usp=drivesdk</t>
  </si>
  <si>
    <t xml:space="preserve"> 19. https://drive.google.com/file/d/1yLj6B7-XMX3weFLgrvc_qSdyzy11Y1mo/view?usp=drivesdk</t>
  </si>
  <si>
    <t xml:space="preserve"> 15. https://drive.google.com/file/d/1RoOk8GzttOXbuvehYn_FYJaGdyOiA7rw/view?usp=drivesdk</t>
  </si>
  <si>
    <t xml:space="preserve"> 28. https://drive.google.com/file/d/1zbx_-T51ntcXh_zgz_QUYquMbF-ET06o/view?usp=drivesdk</t>
  </si>
  <si>
    <t xml:space="preserve"> 27. https://drive.google.com/file/d/103f9_gphXSOV62ETU_vgrmwXC_ZWjEXs/view?usp=drivesdk</t>
  </si>
  <si>
    <t xml:space="preserve"> 26. https://drive.google.com/file/d/1Em876bz8t6q2NZ3CgavxqN5TXB2VkC6G/view?usp=drivesdk</t>
  </si>
  <si>
    <t xml:space="preserve"> 23. https://drive.google.com/file/d/1e9fm3VQUtKu6VMkS9VqLzdbfJTVJyRhS/view?usp=drivesdk</t>
  </si>
  <si>
    <t xml:space="preserve"> 25. https://drive.google.com/file/d/1VenIsOBbysq38uejNA7jd5WieVYfjbaT/view?usp=drivesdk</t>
  </si>
  <si>
    <t xml:space="preserve"> 24. https://drive.google.com/file/d/15BBL9xmbxQeZ4cenUhhxkrldcLbNaUFP/view?usp=drivesdk</t>
  </si>
  <si>
    <t xml:space="preserve"> Bidders must download the attached documents associated in the component section.</t>
  </si>
  <si>
    <t xml:space="preserve"> 29. https://drive.google.com/file/d/1GFriRcqf1BbldME0Mq_ACwq8qywhCQ-D/view?usp=drivesdk</t>
  </si>
  <si>
    <t xml:space="preserve"> 22. https://drive.google.com/file/d/1R0kN0yJy9hrAZPzkgbyONhENiYdQbbYL/view?usp=drivesdk</t>
  </si>
  <si>
    <t xml:space="preserve"> 30. https://drive.google.com/file/d/1JbE1bDgdPlkjVgnoKcxCn6LzY3oEpjVa/view?usp=drivesdk</t>
  </si>
  <si>
    <t xml:space="preserve"> The BAC is conducting the public bidding for this Contract in accordance with Republic Act NO. 9184 and its implementing Rules and Regulations (IRR).</t>
  </si>
  <si>
    <t xml:space="preserve"> 33. https://drive.google.com/file/d/1nBqg_TBjL9zy4N1bBPHgZeNxq6pgy7KG/view?usp=drivesdk</t>
  </si>
  <si>
    <t xml:space="preserve"> 32. https://drive.google.com/file/d/1YZeSY2QmQ26gvjZ_3VM4Wsp52_cjAkPz/view?usp=drivesdk</t>
  </si>
  <si>
    <t xml:space="preserve"> 31. https://drive.google.com/file/d/1mxaJ8S-SirvgCMV3QKkAMBlQTnfaejEW/view?usp=drivesdk</t>
  </si>
  <si>
    <t xml:space="preserve"> The Municipal Government of Dauin, Negros Oriental, through MO,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</si>
  <si>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35. https://drive.google.com/file/d/10Bs61ZYnoxw_k5IcjG3tG5PGmkOgdbS-/view?usp=drivesdk</t>
  </si>
  <si>
    <t xml:space="preserve"> 36. https://drive.google.com/file/d/1YVHC2JLzkpHy1TndhyqOEBVF2KMYcsHZ/view?usp=drivesdk</t>
  </si>
  <si>
    <t xml:space="preserve"> 34. https://drive.google.com/file/d/1Ebl4qYNeWRV0NN1Sft_ykifNDE9DnhI4/view?usp=drivesdk</t>
  </si>
  <si>
    <t xml:space="preserve"> INSTRUCTION:</t>
  </si>
  <si>
    <t xml:space="preserve"> 38. https://drive.google.com/file/d/1EqfeyuTWxDs-j0y9DzNQVW2c70akqimQ/view?usp=drivesdk</t>
  </si>
  <si>
    <t xml:space="preserve"> 41. https://drive.google.com/file/d/14o6fPtf74_OOAo10mu5ox4LxX4SDZ0i7/view?usp=drivesdk</t>
  </si>
  <si>
    <t xml:space="preserve"> 43. https://drive.google.com/file/d/10BCfuDjHLObebu2Dc_kRio-kdw51_kGC/view?usp=drivesdk</t>
  </si>
  <si>
    <t xml:space="preserve"> 40. https://drive.google.com/file/d/1GJFoODUr7yCdjw399PBI8Rs3eOf9i6_U/view?usp=drivesdk</t>
  </si>
  <si>
    <t xml:space="preserve"> 1. ISSUANCE OF BID DOCUMENTS - JUNE 19, 2020 - JULY 8, 2020</t>
  </si>
  <si>
    <t xml:space="preserve"> 42. https://drive.google.com/file/d/1RSwZwZLAMtCfHWvFXgZGLO_OY3UBX_12/view?usp=drivesdk</t>
  </si>
  <si>
    <t xml:space="preserve"> 1. ISSUANCE OF BID DOCUMENTS - JUNE 19, 2000 - JULY 8, 2000</t>
  </si>
  <si>
    <t xml:space="preserve"> RHU Use, preparedness and response to COVID19</t>
  </si>
  <si>
    <t xml:space="preserve"> 1 set Biodegradable Heavy Duty Shredder with Trailer</t>
  </si>
  <si>
    <t xml:space="preserve"> Prospective bidders should have the experience in undertaking a similar contract within the last five (5) years. Bidding will be conducted through open competitive bidding procedures using a non – discretionary “Pass/Fail” criterion as specified under Implementing Rules and Regulation of R.A 9184 otherwise known as the “Government Procurement Reform Act”</t>
  </si>
  <si>
    <t xml:space="preserve"> https://drive.google.com/file/d/199ZxFOU5he6Cdoj7-uN7BD9fviofAQDB/view?usp=drivesdk</t>
  </si>
  <si>
    <t xml:space="preserve"> 39. https://drive.google.com/file/d/1K6DFrc30g6nvF37E-qm-CaPj95i38Tml/view?usp=drivesdk</t>
  </si>
  <si>
    <t xml:space="preserve"> 37. https://drive.google.com/file/d/1one7NeL7s9dnLnZuVdWfY2Gr5d9jBI8C/view?usp=drivesdk</t>
  </si>
  <si>
    <t xml:space="preserve"> https://drive.google.com/file/d/1Jwq7DIc8jhatD84LmUXUiUTlLn8XClbn/view?usp=drivesdk</t>
  </si>
  <si>
    <t xml:space="preserve"> https://drive.google.com/file/d/1cyvXay_Qjyjd0quDVYidk_dIsFxTcRfr/view?usp=sharing</t>
  </si>
  <si>
    <t xml:space="preserve"> https://drive.google.com/file/d/1uhCL24oTGi3QPGIub_vtbQygUgkq5ylO/view?usp=sharing</t>
  </si>
  <si>
    <t xml:space="preserve"> https://drive.google.com/file/d/1GCtDHNh1YjaCLkYYSv_MiEALq6q6MIhV/view?usp=sharing</t>
  </si>
  <si>
    <t xml:space="preserve"> https://drive.google.com/file/d/1tEPf2v14hKUD0Ci-9BGemRJSpo9kFoj2/view?usp=sharing</t>
  </si>
  <si>
    <t xml:space="preserve"> Please be informed that the Bid Documents can’t be downloaded from the website. Prospective bidders are requested to acquire the documents directly and personally from the BAC Secretariat upon payment at the Barangay Treasurer a corresponding fee of Php500.00 for the said project.</t>
  </si>
  <si>
    <t xml:space="preserve"> https://drive.google.com/file/d/1E6FzbCyeTt3tpjyJoFU5UILWfuY01YwF/view?usp=drivesdk</t>
  </si>
  <si>
    <t xml:space="preserve"> https://drive.google.com/file/d/1c3lBxtkMXgk8re2ajgyjKtE7XnlH42p1/view?usp=drivesdk</t>
  </si>
  <si>
    <t xml:space="preserve"> LCRB</t>
  </si>
  <si>
    <t xml:space="preserve"> https://drive.google.com/file/d/1sMECckpmOlfhdWAf2UXB9gEW6nOwaPu2/view?usp=sharing</t>
  </si>
  <si>
    <t xml:space="preserve"> for RHU use, medical supplies and equipment for COVID 19</t>
  </si>
  <si>
    <t xml:space="preserve"> Submission of Letter of Intent						June 18-20,2020		</t>
  </si>
  <si>
    <t xml:space="preserve"> BAC ACTIVITIES	SCHEDULE</t>
  </si>
  <si>
    <t xml:space="preserve"> BID TENDER								</t>
  </si>
  <si>
    <t xml:space="preserve"> 667	persons		Life Insurance</t>
  </si>
  <si>
    <t xml:space="preserve"> You may email publicbidding.dohchd5@gmail.com, for a copy of the bidding documents</t>
  </si>
  <si>
    <t xml:space="preserve"> to view the bidding documents, please click</t>
  </si>
  <si>
    <t xml:space="preserve"> Approved Budget for the Contract - Php 1,088,200.00</t>
  </si>
  <si>
    <t xml:space="preserve"> https://drive.google.com/file/d/15WgbD9r9mGknLYKA88Cqrr7KRkx74-5f/view?usp=drivesdk</t>
  </si>
  <si>
    <t xml:space="preserve"> to view the bidding documents please click</t>
  </si>
  <si>
    <t xml:space="preserve"> Pre-bid conference will be on June 26, 2020, 2:00 pm at MPDO, Municipal Hall, Sibulan, Negros Oriental and Opening of bids will be on July 8, 2020, 2:00 pm at the same venue.</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</si>
  <si>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</si>
  <si>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Bid Documents are available at the Office of the Punong Barangay</t>
  </si>
  <si>
    <t xml:space="preserve"> To View The Bidding document, pleas Click</t>
  </si>
  <si>
    <t xml:space="preserve"> To View The Bidding DOcument Please Click</t>
  </si>
  <si>
    <t xml:space="preserve"> To view the bidding documents click: https://drive.google.com/file/d/1oGT9VScQB4wVly4poJVwMWQddbLdN8KE/view?usp=drivesdk</t>
  </si>
  <si>
    <t xml:space="preserve"> Schedule of Activities:</t>
  </si>
  <si>
    <t xml:space="preserve"> Issuance of Bidding Documents starts June 19, 2020 until 1:00 PM of July 10, 2020</t>
  </si>
  <si>
    <t xml:space="preserve"> Prospective bidders in need for the further information may forward their inquiry to:</t>
  </si>
  <si>
    <t xml:space="preserve"> CONTACT 09460493915</t>
  </si>
  <si>
    <t xml:space="preserve"> https://drive.google.com/file/d/1CKHVB8l5t6ToHsV3vU0q9A6Ly_XyVa-Z/view?usp=drivesdk</t>
  </si>
  <si>
    <t xml:space="preserve"> Contact 09460493915</t>
  </si>
  <si>
    <t xml:space="preserve"> https://drive.google.com/file/d/1zTdqxupiH63cVNV_5BTCO7IqxFXlWdfS/view?usp=drivesdk</t>
  </si>
  <si>
    <t xml:space="preserve"> https://drive.google.com/file/d/16AY2o7TWjfIcU9vEGpM2sP6ThdGFUtnO/view?usp=drivesdk</t>
  </si>
  <si>
    <t xml:space="preserve"> Issuance of Bidding Documents starts June 19, 2020 until 1:00 PM of July 10,2020</t>
  </si>
  <si>
    <t xml:space="preserve"> https://drive.google.com/file/d/1cxQq67r4NP-pZZP6-OveA_8yCW2vFu1p/view?usp=drivesdk</t>
  </si>
  <si>
    <t xml:space="preserve"> Also available in DPWH Website</t>
  </si>
  <si>
    <t xml:space="preserve"> at brgy Nonok Norte, Maasin City, Southern Leyte</t>
  </si>
  <si>
    <t xml:space="preserve"> THE CHAIRMAN</t>
  </si>
  <si>
    <t xml:space="preserve"> 7300 tank Medical Oxygen, 50lbs.</t>
  </si>
  <si>
    <t xml:space="preserve"> at brgy Sta. Cruz, Maasin City, Southern Leyte</t>
  </si>
  <si>
    <t xml:space="preserve"> To view the bidding document, please click https://drive.google.com/file/d/1peBoCUM9Li8pqHCHdLWoJBuXucZEFG6Z/view?usp=drivesdk</t>
  </si>
  <si>
    <t xml:space="preserve"> https://drive.google.com/file/d/1voToBdmMNtiUrQpSqwnFkcnagrGiS1PE/view?usp=drivesdk</t>
  </si>
  <si>
    <t xml:space="preserve"> at brgy Bato I, Maasin City, Southern Leyte</t>
  </si>
  <si>
    <t xml:space="preserve"> To view the bidding document, please click </t>
  </si>
  <si>
    <t xml:space="preserve"> https://drive.google.com/file/d/1j91SFdQHtebmWXUCcdZU_txECvXHy_aZ/view?usp=drivesdk</t>
  </si>
  <si>
    <t xml:space="preserve"> at brgy Tam-is (Upper), Maasin City, Southern Leyte</t>
  </si>
  <si>
    <t xml:space="preserve"> at brgy Tam-is (Lower), Maasin City, Southern Leyte</t>
  </si>
  <si>
    <t xml:space="preserve"> Please see attached bidding document in associated component</t>
  </si>
  <si>
    <t xml:space="preserve"> at DANAO, brgy Malapoc Norte, Maasin City, Southern Leyte</t>
  </si>
  <si>
    <t xml:space="preserve"> at brgy Mambajao, Maasin City, Southern Leyte</t>
  </si>
  <si>
    <t xml:space="preserve"> CONTANT 09460493915</t>
  </si>
  <si>
    <t xml:space="preserve"> Bid Documents are available at the office of the Punong Barangay</t>
  </si>
  <si>
    <t xml:space="preserve"> Cost of Bid Docs: Php 1,000.00</t>
  </si>
  <si>
    <t xml:space="preserve"> https://drive.google.com/file/d/1odri7x4MrX46g7qm1mOXqqYu4UIRF9jG/view?usp=drivesdk</t>
  </si>
  <si>
    <t xml:space="preserve"> at brgy Tunga-tunga, Maasin City, Southern Leyte</t>
  </si>
  <si>
    <t xml:space="preserve"> Please Download the Associated Components</t>
  </si>
  <si>
    <t xml:space="preserve"> quotation shall be submitted via email (lbphobac@mail.landbank.com) not later than July 8,2020, 3:00PM</t>
  </si>
  <si>
    <t xml:space="preserve"> Bid Documents</t>
  </si>
  <si>
    <t xml:space="preserve"> ITB20-06-026B</t>
  </si>
  <si>
    <t xml:space="preserve"> THE SUPPLIER MUST DOWNLOAD THE ATTACHED DOCUMENTS IN THE ASSOCIATED COMPONENTS.</t>
  </si>
  <si>
    <t xml:space="preserve"> uploaded docs are also available in DPWH website</t>
  </si>
  <si>
    <t xml:space="preserve"> https://drive.google.com/file/d/1W4I-xRSFGBBR1xVfWoSWemkd-ktbO9kk/view?usp=drivesdk</t>
  </si>
  <si>
    <t xml:space="preserve"> The BAC is conducting the public bidding for this Contract in accordance with RA 9184 and its Implementing Rules and Regulations.</t>
  </si>
  <si>
    <t xml:space="preserve"> https://drive.google.com/file/d/1q_H3Gby0V2RhQMCPg6VML7gZjXibwc7h/view?usp=drivesdk</t>
  </si>
  <si>
    <t xml:space="preserve"> Bidders must download the attached document in the associated component.</t>
  </si>
  <si>
    <t xml:space="preserve"> https://drive.google.com/file/d/14X7lI0lhEXQgWx6ObnrjILgs4fA7guIs/view?usp=drivesdk</t>
  </si>
  <si>
    <t xml:space="preserve"> quotation shall be submitted via email (lbphobac@mail.landbank.com) not later than June 23,2020, 3:00PM</t>
  </si>
  <si>
    <t xml:space="preserve"> https://drive.google.com/file/d/1h9J8A7fULSmscmKIXodtbthUk_fjRK4c/view?usp=drivesdk</t>
  </si>
  <si>
    <t xml:space="preserve"> SOURCE OF FUND: 20% Municipal Development Fund (MDF) CY 2020</t>
  </si>
  <si>
    <t xml:space="preserve"> ITB20-06-026A</t>
  </si>
  <si>
    <t xml:space="preserve"> to view the Bidding Documents Click: </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</si>
  <si>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t>
  </si>
  <si>
    <t xml:space="preserve"> https://drive.google.com/file/d/1mnGRVBqsCwu69iqhrTZkVvKPCHGe6umI/view?usp=drivesdk</t>
  </si>
  <si>
    <t xml:space="preserve"> a.	Concreting/Reblocking of San Juan Bag-o-Abad Santos-	    900,000.00</t>
  </si>
  <si>
    <t xml:space="preserve"> Project Description	: Construction</t>
  </si>
  <si>
    <t xml:space="preserve"> https://drive.google.com/file/d/1dPrTzrctwxSNnncodJ5g2kQ3g1vsspPX/view?usp=drivesdk</t>
  </si>
  <si>
    <t xml:space="preserve"> https://drive.google.com/file/d/1vCgALvJYyOicDj3sbjGk2KcJxnTrYnMT/view?usp=drivesdk</t>
  </si>
  <si>
    <t xml:space="preserve"> https://drive.google.com/file/d/1DP8ZT1jk-xQ918ghkEoEwKIz0tjgTaop/view?usp=drivesdk</t>
  </si>
  <si>
    <t xml:space="preserve"> Please see attached Bidding Document</t>
  </si>
  <si>
    <t xml:space="preserve"> a.	Improvt. of Donsol District Hospital Grounds (Landscaping)	650,000.00</t>
  </si>
  <si>
    <t xml:space="preserve"> Item	Qty	Unit of 	Item Description 	</t>
  </si>
  <si>
    <t xml:space="preserve"> The Above-listed documents can de downloaded at the DPWH website: </t>
  </si>
  <si>
    <t xml:space="preserve"> Pre-bid conference will be on June 25, 2020 &amp; competitive bidding will be on July 7, 2020</t>
  </si>
  <si>
    <t xml:space="preserve"> pre-bid conference will be on June 25, 2020 &amp; competitive bidding is on July 7, 2020</t>
  </si>
  <si>
    <t xml:space="preserve"> Bureau of Fire Memorandum Circular 2020-016.</t>
  </si>
  <si>
    <t xml:space="preserve"> ELIGIBILITY REQUIREMENTS:</t>
  </si>
  <si>
    <t xml:space="preserve"> Pre-Bid conference will be on June 25, 2020 and Competitive Bidding will be on July 7, 2020</t>
  </si>
  <si>
    <t xml:space="preserve"> Pre bid conference will be on June 25, 2020 and competitive bidding is on July 7, 2020</t>
  </si>
  <si>
    <t xml:space="preserve"> Pre-Bid conference will be on June 25, 2020 &amp; Competitive bidding is on July 7, 2020</t>
  </si>
  <si>
    <t xml:space="preserve"> Pre-Bid conference will be on June 25, 2020 and Competitive Bidding is on July 7, 2020</t>
  </si>
  <si>
    <t xml:space="preserve"> please see attachment for more info.</t>
  </si>
  <si>
    <t xml:space="preserve"> for queries, you may email MS. ANJ EMETERIO at mqemeterio@gmail.com</t>
  </si>
  <si>
    <t xml:space="preserve"> for queries, you may email MS. JAM FABELLA at jamfabella@gmail.com</t>
  </si>
  <si>
    <t xml:space="preserve"> for queries, you may email MR. RUEL MARCA at ruelmarca@yahoo.com</t>
  </si>
  <si>
    <t xml:space="preserve"> Please refer attached documents.</t>
  </si>
  <si>
    <t xml:space="preserve"> Pre-bid conference will be on June 25, 2020 &amp; Competitive Bidding is on July 7, 2020.</t>
  </si>
  <si>
    <t xml:space="preserve"> for queries, you may email MS. NADIA ILETO at iletonadia25@gmail.com</t>
  </si>
  <si>
    <t xml:space="preserve"> To ensure the functionality of the SK Council for the continuous delivery of service on youth development and to conduct regular meeting and special meetings of SK Council members.</t>
  </si>
  <si>
    <t xml:space="preserve"> https://drive.google.com/file/d/10rDbTbga7K7zUx_6Mb9RFyi4pMWQvfiA/view?usp=drivesdk</t>
  </si>
  <si>
    <t xml:space="preserve"> https://drive.google.com/file/d/1m3gKWhy_4l3BWBpYAvFVSWCP0fJ8UNaM/view?usp=drivesdk</t>
  </si>
  <si>
    <t xml:space="preserve"> 1.	Bidders should have completed a contract similar to the Project. The description of an eligible bidder is contained in the Bidding Documents, particularly, in Section 2. Instructions to Bidders.</t>
  </si>
  <si>
    <t xml:space="preserve"> 1. Pre-Bid Conference: June 29, 2020, 2:00PM at the Municipal Conference Hall, Galimuyod, Ilocos Sur</t>
  </si>
  <si>
    <t xml:space="preserve"> https://drive.google.com/file/d/1MHcVeihWdIDOI4jf8MZYDflF1PLGBRhy/view?usp=drivesdk</t>
  </si>
  <si>
    <t xml:space="preserve"> opening of Bids: July 08, 2020 at 2:00 pm. at BAC office, Dap-ay di Tubo, Poblacion, Tubo, Abra</t>
  </si>
  <si>
    <t xml:space="preserve"> ITEM NO.	ITEM &amp; DESCRIPTION	UNIT	QTY</t>
  </si>
  <si>
    <t xml:space="preserve"> Please see attached documents for other information</t>
  </si>
  <si>
    <t xml:space="preserve"> ARPA-RADAR Simulator  (Full Mission Ship Bridge Simulator) with complete accessories (1 Instructor Station and 6 Students Station) including installation and training orientation.</t>
  </si>
  <si>
    <t xml:space="preserve"> Please see personally the head of the BAC Secretariat for the availability of the bid document upon payment of the non-refundable amount of P 5,000.00 to the cashier.</t>
  </si>
  <si>
    <t xml:space="preserve"> Please see personally the head of the BAC secretariat for the availability of the bid document upon payment of the non-refundable amount of P 5,000.00 to the cashierl</t>
  </si>
  <si>
    <t xml:space="preserve"> A complete set of Bidding Documents may be acquired by interested bidders on JUNE 18, 2020 to JULY 7,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</si>
  <si>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https://drive.google.com/file/d/1Owhv0OZct8pX33hCp_Y88_8AULI1J1C4/view?usp=drivesdk</t>
  </si>
  <si>
    <t xml:space="preserve"> Issuance of Bid Documents: June 22-July 2, 2020</t>
  </si>
  <si>
    <t xml:space="preserve"> to View the Bidding Documents Pls. Click: </t>
  </si>
  <si>
    <t xml:space="preserve"> To view the bidding document pls click: </t>
  </si>
  <si>
    <t xml:space="preserve"> To view the Bidding Document pls click https://drive.google.com/file/d/1Zut-DwBX48jyPtzFyErCC24GIK3TBwl1/view?usp=drivesdk</t>
  </si>
  <si>
    <t xml:space="preserve"> to view to bidding documents please click</t>
  </si>
  <si>
    <t xml:space="preserve"> To view the bidding documents, please click https://drive.google.com/file/d/1aZNVflVAjiJ7Clt5s0hG5e-3tuWoHSm-/view?usp=drivesdk</t>
  </si>
  <si>
    <t xml:space="preserve"> To view the bidding document, please click https://drive.google.com/file/d/1LBKbjvkUWr4bnEh6xXKE5jPl5UziuzFd/view?usp=drivesdk</t>
  </si>
  <si>
    <t xml:space="preserve"> Cost of Bid Documents: Php5,000.00</t>
  </si>
  <si>
    <t xml:space="preserve"> Cost of Bid Documents: Php1,000.00</t>
  </si>
  <si>
    <t xml:space="preserve"> To view the bidding document, please click https://drive.google.com/file/d/1GUEBzrumEurgLCVf3y5k_aqzs2d_p-OC/view?usp=drivesdk</t>
  </si>
  <si>
    <t xml:space="preserve"> please Download the complete bidding documents using the links below</t>
  </si>
  <si>
    <t xml:space="preserve"> Bid opening shall be on July 6, 2020; 09:30 A.M at the Conference Room,  Office of the Mayor, 2/f building, Municipal Compound, Brgy. Poblacion, Calintaan, Occ. Mindoro.</t>
  </si>
  <si>
    <t xml:space="preserve"> To view the bidding document, please click https://drive.google.com/file/d/1WU5Pxp6xjJKS4xN4tDT9sE_0UfEpgNBx/view?usp=drivesdk</t>
  </si>
  <si>
    <t xml:space="preserve"> To view the bidding document, please click https://drive.google.com/file/d/1O-UHBuo7KJpm6HV8C7ZApe_kJklE1eBI/view?usp=drivesdk</t>
  </si>
  <si>
    <t xml:space="preserve"> https://drive.google.com/file/d/1ji6BK00bwU68tOJoVrFeINcTKGM9wifO/view?usp=drivesdk</t>
  </si>
  <si>
    <t xml:space="preserve"> https://drive.google.com/file/d/1WX0rGrMs6L_0AYwyVyc1PP4b0u8RVgCG/view?usp=drivesdk</t>
  </si>
  <si>
    <t xml:space="preserve"> The Works consists of Concreting of 1951.08 meter long x 6.10m wide x 0.23 m thick Plain PCCP provincial Road; provision of 2025.93l.m. stone masonry slope protection structure, 18l.m. stone masonry headwall, and 29pcs. 910mm RCPC; provision of Danger/Warning Signs, Chevron Signs, and Reflectorized Thermoplastic Pavement Markings (White).</t>
  </si>
  <si>
    <t xml:space="preserve"> https://drive.google.com/file/d/1bjMD36nkIXPX5tG4jcUmhFEbigaxk89e/view?usp=drivesdk</t>
  </si>
  <si>
    <t xml:space="preserve"> contact the BAC Chairman, Engr. Noel Salvatierra</t>
  </si>
  <si>
    <t xml:space="preserve"> The Works consists of Concreting of 1647.01m long x 6.10m wide x 0.23m thick PCCP provincial road; provision of 106l.m. ø910mm RCPC, 163.75 l.m. stone masonry headwall and protection structure, 39.10 l.m. stone msonry catch basin’ and provision of metal guardrail, Danger/Warning Signs, Chevron Signs, and Reflectorized Thermoplastic Pavement Markings (White and Yellow).</t>
  </si>
  <si>
    <t xml:space="preserve"> For the copy of ITB please follow this link; </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</si>
  <si>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</si>
  <si>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The Works consists of Concreting of 95.45m long x 6.10m wide x 0.20m thk plain PCCP, 82.7.00m long x 5.00m wide x 0.20m thk plain PCCP, 36.30m long x 1.05m wide concrete road expansion at both existing PCCP and 131.75l.m. curb &amp; gutter.</t>
  </si>
  <si>
    <t xml:space="preserve"> The Works consists of Concreting of 257.20m long x 6.10m wide x 0.20m thk provincial road; provision of 186.00l.m. (244.67cu.m.) stone masonry slope protection structure.</t>
  </si>
  <si>
    <t xml:space="preserve"> https://drive.google.com/file/d/1kuEiSQzsfl-lNaYOqc1whGLejNRba09B/view?usp=drivesdk</t>
  </si>
  <si>
    <t xml:space="preserve"> For the copy of ITB, please follow this link: </t>
  </si>
  <si>
    <t xml:space="preserve"> https://drive.google.com/file/d/1mW_j0TXEbOFxvU2gAPkGvSXnc_5LhjjB/view?usp=drivesdk</t>
  </si>
  <si>
    <t xml:space="preserve"> The Works consists of 60 lm. Drilling and installation of Submersible pump – 840. Installation of transmission pipe – 4.25m x 7.50m construction of Reservoir and Pump house.</t>
  </si>
  <si>
    <t xml:space="preserve"> The Works consists of Concreting of 171.00m long x 5.00m wide x 0.20thk PCCP provincial road and provision of 20 l.m. (33.32 cu.m.) stone masonry protection structure.</t>
  </si>
  <si>
    <t xml:space="preserve"> https://drive.google.com/file/d/1oRSpiWcMTZ6GRm6XMEjV-w0SyjSqHH-P/view?usp=drivesdk</t>
  </si>
  <si>
    <t xml:space="preserve"> https://drive.google.com/file/d/1zJOgufhI068GBvgBMttap6_VQ94zOcIX/view?usp=drivesdk</t>
  </si>
  <si>
    <t xml:space="preserve"> Bidding requirements/bid forms may be obtained, beginning June 22, 2020 from C.A. General Service upon payment of a non-refundable fee of P5,000.00.  Interested parties may get in touch with Ms. Weng Mirhan, BAC Secretariat at telephone no. 8834-2708.</t>
  </si>
  <si>
    <t xml:space="preserve"> Please see Associated Component attached.</t>
  </si>
  <si>
    <t xml:space="preserve"> https://drive.google.com/file/d/1O5SyJj0l8iB14UFTIw_hnYELZOvTS3cM/view?usp=drivesdk</t>
  </si>
  <si>
    <t xml:space="preserve"> 1.  Issuance of Bid Documents	June 18, 2020	</t>
  </si>
  <si>
    <t xml:space="preserve"> Pleas see attached associated components.</t>
  </si>
  <si>
    <t xml:space="preserve"> BAC Schedule of Activity:</t>
  </si>
  <si>
    <t xml:space="preserve"> https://drive.google.com/file/d/1UwNvNB9bvxymZunlw81mZeHxzBoRatDE/view?usp=drivesdk</t>
  </si>
  <si>
    <t xml:space="preserve"> https://drive.google.com/file/d/1FdAmgEspLfdtdm8Y6Bj1vE_TXkP_wxxr/view?usp=drivesdk</t>
  </si>
  <si>
    <t xml:space="preserve"> https://drive.google.com/file/d/1UlHwZ0XsF4TQn4Abcxavj1yOBspRSAxx/view?usp=drivesdk</t>
  </si>
  <si>
    <t xml:space="preserve"> Bid Docs Fee P/5,000.00 available at BAC Office</t>
  </si>
  <si>
    <t xml:space="preserve"> FOR 2ND BIDDING</t>
  </si>
  <si>
    <t xml:space="preserve"> Availability of Bid Documents: June 18 - July 07, 2020; 8:00 AM-5:00 PM; Monday through Friday</t>
  </si>
  <si>
    <t xml:space="preserve"> https://drive.google.com/file/d/1RfLjM4sDXSh5o6IHig3dJbWbVVrgwuYK/view?usp=drivesdk</t>
  </si>
  <si>
    <t xml:space="preserve"> Interested bidder/s are requested to submit three (3) sets of the following documents on or before June 26, 2020 not later than 9:30 A.M. Late bids shall not be ACCEPTED.</t>
  </si>
  <si>
    <t xml:space="preserve"> The Schedule of BAC activities are as follows:						</t>
  </si>
  <si>
    <t xml:space="preserve"> Bid Documents and Plans are also downloadable in the DPWH Website</t>
  </si>
  <si>
    <t xml:space="preserve"> Bid Docs available at BAC Office</t>
  </si>
  <si>
    <t xml:space="preserve"> https://drive.google.com/file/d/1I0IgQ5KDIXKxFHOyomcQJ6YHxXhkAzPF/view?usp=drivesdk</t>
  </si>
  <si>
    <t xml:space="preserve"> Bid Opening is on July 7, 2020 at the Mun. Session Hall, Mun. Bldg., Pagsanghan, Samar</t>
  </si>
  <si>
    <t xml:space="preserve"> Bid Documents and Plans are also dwnloadable in the DPWH Website</t>
  </si>
  <si>
    <t xml:space="preserve"> https://drive.google.com/file/d/1ZMHGepnCHpQ87ZaJgc67pD4DGWliyHqG/view?usp=drivesdk</t>
  </si>
  <si>
    <t xml:space="preserve"> https://drive.google.com/file/d/19qdWZw_mVuzsK32QmjjezP75qHb4-tM2/view?usp=drivesdk</t>
  </si>
  <si>
    <t xml:space="preserve"> https://drive.google.com/file/d/1QhYBGqOB3dkSY3J7iGOh01m1OwLtDCUV/view?usp=drivesdk</t>
  </si>
  <si>
    <t xml:space="preserve"> https://drive.google.com/file/d/1LA2-1oTSX-fFKgKWZIhKHuxBb6BbKuz9/view?usp=drivesdk</t>
  </si>
  <si>
    <t xml:space="preserve"> 1.  Submission of Letter of Intent and Application of Eligibility					June 18, 2020	-	June 25, 2020</t>
  </si>
  <si>
    <t xml:space="preserve"> https://drive.google.com/file/d/1GRr_3D0_xvS0J3oxJu4wE6KMe_JJhrwU/view?usp=drivesdk</t>
  </si>
  <si>
    <t xml:space="preserve"> Please see attached E-file for further Information</t>
  </si>
  <si>
    <t xml:space="preserve"> https://drive.google.com/file/d/1cHjm0H2ViWRRLo8ebn60C5wgpuijfvY1/view?usp=drivesdk</t>
  </si>
  <si>
    <t xml:space="preserve"> https://drive.google.com/file/d/1H1KFpKxY4FMFw1CIoPYwbkZq4Zm2rN4e/view?usp=drivesdk</t>
  </si>
  <si>
    <t xml:space="preserve"> https://drive.google.com/file/d/11SUCDecrZLlmcHphyFU-N4naRcEPYot7/view?usp=drivesdk</t>
  </si>
  <si>
    <t xml:space="preserve"> ALL INTERESTED BIDDERS ARE REQUIRED TO SUBMIT THEIR COMPLETE ELIGIBILITY REQUIREMENTS TO THE BAC FOR EVALUATION DURING THE PRE-BID CONFERENCE ON JUNE 24, 2020 9:00A.M. AT THE BAC SECRETARIAT OFFICE, 2ND FLOOR, CITY HALL OF DASMARIÑAS, CAVITE. BIDDERS WHO SHALL FAIL TO ATTEND THE PRE-BID SHALL NOT BE ALLOWED TO JOIN THE BIDDING FOR THE AFORESAID PROJECT. </t>
  </si>
  <si>
    <t xml:space="preserve"> https://drive.google.com/file/d/1ZZhgeIl_tRI9WHqBAI5oq-nJxSksijEK/view?usp=drivesdk</t>
  </si>
  <si>
    <t xml:space="preserve"> Pre-Bid Conference: June 24, 2020 @ 2:00 PM</t>
  </si>
  <si>
    <t xml:space="preserve"> BID TENDER											</t>
  </si>
  <si>
    <t xml:space="preserve"> Please see file on associated component</t>
  </si>
  <si>
    <t xml:space="preserve"> Contact Person: Jerry Donato</t>
  </si>
  <si>
    <t xml:space="preserve"> Unit	Item Description	Qty.</t>
  </si>
  <si>
    <t xml:space="preserve"> Please download P.B.D. in the associated components.</t>
  </si>
  <si>
    <t xml:space="preserve"> Please click the Associated Components for the Checklist of Requirements. Thank you.</t>
  </si>
  <si>
    <t xml:space="preserve"> The BAC shall issue bidding documents upon payment of Five Hundred Pesos Only (Php500.00) to the disbursing/collecting officer of the LGU.</t>
  </si>
  <si>
    <t xml:space="preserve"> The deadline of submission is on or before July 7, 2020 at 1:30 in the afternoon, 2nd floor, BAC Office, Municipal Hall of Don Carlos, Don Carlos, Bukidnon.</t>
  </si>
  <si>
    <t xml:space="preserve"> Qualified bidder/ supplier is required to attend the pre-bid conference as scheduled. Submit letter of intent and pre qualification documents on or before pre-bid conference. Location of bidder/ supplier is preferably within the Province of Capiz.</t>
  </si>
  <si>
    <t xml:space="preserve"> 1.BIDDERS ARE ADVISED TO DOWNLOAD ALL ASSOCIATED COMPONENTS FOR GUIDANCE AND REFERENCE.</t>
  </si>
  <si>
    <t xml:space="preserve"> The deadline of submission is on or before July 7, 2020 at 1:30 in the afternoon, 2nd floor, BAC Office, Municipal Hall of Don Carlos, Don Carlos, Bukidnon</t>
  </si>
  <si>
    <t xml:space="preserve"> 1	Diesoline	 30,260   Liters</t>
  </si>
  <si>
    <t xml:space="preserve"> 1	Portland cement	240	Bags</t>
  </si>
  <si>
    <t xml:space="preserve"> You may see the PISO Manager. Municipality of Caibiran</t>
  </si>
  <si>
    <t xml:space="preserve"> Download Bidding Document at:</t>
  </si>
  <si>
    <t xml:space="preserve"> Project Description:</t>
  </si>
  <si>
    <t xml:space="preserve"> https://drive.google.com/file/d/1JSPYiZDYF70sQ798yb7DMcmpdBn3ncz_/view?usp=drivesdk</t>
  </si>
  <si>
    <t xml:space="preserve"> Please DOWNLOAD attached file/s for Specifications.</t>
  </si>
  <si>
    <t xml:space="preserve"> Please refer to https://www.pnu.edu.ph/bidding-opportunities/ for the Drawings.</t>
  </si>
  <si>
    <t xml:space="preserve"> https://drive.google.com/file/d/1H8IjkLL_KkDrRvndDYhYatH2wyloX_VX/view?usp=drivesdk</t>
  </si>
  <si>
    <t xml:space="preserve"> BID DOCS PhP 5,000.00</t>
  </si>
  <si>
    <t xml:space="preserve"> Pls. download bid documents @ https://drive.google.com/file/d/1v9vsnI7H5s6TrUpjGOct3NEA4pPsLpoj/view?usp=drivesdk</t>
  </si>
  <si>
    <t xml:space="preserve"> https://drive.google.com/file/d/1M6IadHoPvQXC7QFfZptV6v5wnW99TQa2/view?usp=drivesdk</t>
  </si>
  <si>
    <t xml:space="preserve"> quotation shall be submitted via email (lbphobac@mail.landbank.com) not later than June 24,2020, 3:00PM</t>
  </si>
  <si>
    <t xml:space="preserve"> see attached BQ (specifications) for details</t>
  </si>
  <si>
    <t xml:space="preserve"> Download Bidding Documents @ https://drive.google.com/file/d/1v9vsnI7H5s6TrUpjGOct3NEA4pPsLpoj/view?usp=drivesdk</t>
  </si>
  <si>
    <t xml:space="preserve"> BID OPENING: JULY 6 2020    2:30PM   BAC OFFICE, MUNICIPAL HALL, STA. MARCELA, APAYAO</t>
  </si>
  <si>
    <t xml:space="preserve"> Interested Bidders may secure bidding documents at the Bids and Awards Committee, Dapitan City Water District or may call 065-213-6406.</t>
  </si>
  <si>
    <t xml:space="preserve"> https://drive.google.com/file/d/1tARHVUtwEr4AHH7lmSLi1kdLwz7QEqDB/view?usp=drivesdk</t>
  </si>
  <si>
    <t xml:space="preserve"> 1. 3 rolls 1/2" dia. P.E Pipe, 300 mtrs SDR 11, ISO</t>
  </si>
  <si>
    <t xml:space="preserve"> BID OPENING: JULY 6 2020    1:00PM BAC OFFICE, MUNICIPAL HALL, STA. MARCELA, APAYAO</t>
  </si>
  <si>
    <t xml:space="preserve"> Please click link below to download Plan.</t>
  </si>
  <si>
    <t xml:space="preserve"> see attached Bill of Quantities for reference.</t>
  </si>
  <si>
    <t xml:space="preserve"> For more information and clarification, please feel free to contact our BAC Secretariat.</t>
  </si>
  <si>
    <t xml:space="preserve"> https://drive.google.com/file/d/1v-hpFtPzz90-tLOOncAyu0n9hvZ9h8hE/view?usp=drivesdk</t>
  </si>
  <si>
    <t xml:space="preserve"> https://tinyurl.com/y874pclj</t>
  </si>
  <si>
    <t xml:space="preserve"> BAC Activities	Schedule</t>
  </si>
  <si>
    <t xml:space="preserve"> FIRST ENVELOPE (ELIGIBILITY &amp; TECHNICAL COMPONENTS) </t>
  </si>
  <si>
    <t xml:space="preserve"> Specs:</t>
  </si>
  <si>
    <t xml:space="preserve"> Schedule of Bidding Activities:</t>
  </si>
  <si>
    <t xml:space="preserve"> https://drive.google.com/file/d/13Wz23TeTMpg6Cm2M9i58r-nUZaErcepp/view?usp=drivesdk</t>
  </si>
  <si>
    <t xml:space="preserve"> https://drive.google.com/file/d/13L_cg_VRH00l-d0ij7S8USzuDljNeHcK/view?usp=drivesdk</t>
  </si>
  <si>
    <t xml:space="preserve"> https://drive.google.com/file/d/1FIn0ACYZUbS9ALWOaCSAiwCBev5EN6r1/view?usp=drivesdk</t>
  </si>
  <si>
    <t xml:space="preserve"> DPWH Laguna 2nd District Engineering Office Conference Room, Brgy. Bambang Los Baños, Laguna</t>
  </si>
  <si>
    <t xml:space="preserve"> https://drive.google.com/file/d/15w_xwnMIh0bgwD-WCVi0e_wJflBkxNJZ/view?usp=drivesdk</t>
  </si>
  <si>
    <t xml:space="preserve"> Availability of Bid Documents: June 17 – July 06, 2020; 8:00 AM-5:00 PM; Monday through Friday</t>
  </si>
  <si>
    <t xml:space="preserve"> June 17, 2020 to July 6, 2020</t>
  </si>
  <si>
    <t xml:space="preserve"> https://drive.google.com/file/d/154Vu4trVTFT-ge6jCF-u9oKthOOz9523/view?usp=drivesdk</t>
  </si>
  <si>
    <t xml:space="preserve"> https://drive.google.com/file/d/1It5wZBHAMktqn4E2kZ6cb-V6d0oN3yYb/view?usp=drivesdk</t>
  </si>
  <si>
    <t xml:space="preserve"> see Bill of Quantities for reference</t>
  </si>
  <si>
    <t xml:space="preserve"> • Similar Contracts: Provision, configuration and testing of messaging and collaboration platform for at least 2300 users</t>
  </si>
  <si>
    <t xml:space="preserve"> https://drive.google.com/file/d/1CEgGGG1g56M3v64dfkA1YR5tDLOjCK1i/view?usp=drivesdk</t>
  </si>
  <si>
    <t xml:space="preserve"> • Similar Contracts: Supply, delivery, installation, configuration and testing of CPU Hyper-Converged Integrated System (HCIS) Server</t>
  </si>
  <si>
    <t xml:space="preserve"> https://drive.google.com/file/d/1_uizNyXFOweEiQzKGj40-hZrloJSyHLB/view?usp=drivesdk</t>
  </si>
  <si>
    <t xml:space="preserve"> Upgrading of BiPSU Electrical System Main Campus and Biliran Campus</t>
  </si>
  <si>
    <t xml:space="preserve"> FOR MORE DETAILED INFORMATION, PLEASE CONTACT THE BIDS AND AWARDS COMMITTEE.</t>
  </si>
  <si>
    <t xml:space="preserve"> Please give us a call at 924-6101 local 1063/1067</t>
  </si>
  <si>
    <t xml:space="preserve"> For more info, please notify Mrs Rebecca Taboñiag, Barangay Secretary of Brgy Bogo Calabat, Josefina, Zamboanga del Sur with contact number 09514893412.</t>
  </si>
  <si>
    <t xml:space="preserve"> https://drive.google.com/file/d/1YgPwD_L2G1JTBLN1equXfy0qg69Ednwr/view</t>
  </si>
  <si>
    <t xml:space="preserve"> Bid documents will be available to prospective bidders who  purchase the bidding documents  from the office of the Municipal Treasurer of the Local Government Unit of Mapet</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</si>
  <si>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</si>
  <si>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Total Book  Titles= 123</t>
  </si>
  <si>
    <t xml:space="preserve"> Medicine and Medical Supplies Rack, 1st bay double side, 7 levels, H1.8mx W 6.870m x L900mm, Wire Mesh racking, Beige Color, Powder Coated, 100Kg Load capacity per level	9	unit</t>
  </si>
  <si>
    <t xml:space="preserve"> You may see the Municipal Engineer, Municipality of Caibiran</t>
  </si>
  <si>
    <t xml:space="preserve"> For further information, please contact Ms. JOCELYN A.</t>
  </si>
  <si>
    <t xml:space="preserve"> KINDLY DOWNLOAD BID DOCUMENTS ON THE ASSOCIATED COMPONENT.</t>
  </si>
  <si>
    <t xml:space="preserve"> Kindly download bid documents on the associated component.</t>
  </si>
  <si>
    <t xml:space="preserve"> COPY AND PASTE IN THE BROWSER THE LINK BELOW TO VIEW BIDDING DOCUMENTS; </t>
  </si>
  <si>
    <t xml:space="preserve"> https://drive.google.com/file/d/1ohktBYBTai9oJUKwWwBm3g56Iet9u4oa/view?usp=drivesdk</t>
  </si>
  <si>
    <t xml:space="preserve"> 1.  Submission of Letter of Intent and Application of Eligibility				June 16, 2020 - June 23, 2020		</t>
  </si>
  <si>
    <t xml:space="preserve"> The National Forensic Science Training Institute (NFSTI) is a Constitutive Unit (CU) of the PPSC located in Camp Vicente Lim Brgy. Mayapa Canlubang Laguna.</t>
  </si>
  <si>
    <t xml:space="preserve"> Travelling Rice Mill</t>
  </si>
  <si>
    <t xml:space="preserve"> 1.		DIESOLINE		1	Lot</t>
  </si>
  <si>
    <t xml:space="preserve"> https://drive.google.com/file/d/19IxS2V13Afb_GQ_3ONVkajUc1ryw34X2/view?usp=drivesdk</t>
  </si>
  <si>
    <t xml:space="preserve"> 1. Issuance of Bidding Documents	:	June 16, 2020 to July 07, 2020</t>
  </si>
  <si>
    <t xml:space="preserve"> https://drive.google.com/file/d/1ZpmEg1-w_OX2xGCe0KeseWNoFBg9bQmk/view?usp=drivesdk</t>
  </si>
  <si>
    <t xml:space="preserve"> SEE ASSOCIATED COMPONENTS</t>
  </si>
  <si>
    <t xml:space="preserve"> https://drive.google.com/file/d/1dAjSpCezvEkmCXnpMcHYLKSt5-yDYjqe/view?usp=drivesdk</t>
  </si>
  <si>
    <t xml:space="preserve"> https://drive.google.com/file/d/1ECC1x9E53mC3EuwZNpFyJGyj2dScAqnJ/view?usp=drivesdk</t>
  </si>
  <si>
    <t xml:space="preserve"> https://drive.google.com/file/d/1kQt4ro205WQ4i_pSQZQcgWFm0diL2N89/view?usp=drivesdk</t>
  </si>
  <si>
    <t xml:space="preserve"> Pre-bid Conference will be done through teleconference. Any interested bidder you could contact the Head BAC Secretariat or email us.</t>
  </si>
  <si>
    <t xml:space="preserve"> https://drive.google.com/file/d/1x7SOPF9QcpNCipvjqhH459nUGq6EkWsC/view?usp=drivesdk</t>
  </si>
  <si>
    <t xml:space="preserve"> please call To: 0998-247-0239  &amp;  0906-256-9238  for other details</t>
  </si>
  <si>
    <t xml:space="preserve"> https://drive.google.com/file/d/1Se4C4Dn_JWsx8kTY-PbAv7Fy41U_LC5l/view?usp=drivesdk</t>
  </si>
  <si>
    <t xml:space="preserve"> https://drive.google.com/file/d/1ES3gMDHG4BaII6JGhFiyH99HWH2VIU3C/view?usp=drivesdk</t>
  </si>
  <si>
    <t xml:space="preserve"> BID DOCS PhP 10,000.00</t>
  </si>
  <si>
    <t xml:space="preserve"> INQUIRE AT BAC OFFICE, TAMBULIG, MUNICIPAL HALL, TAMBULIG, ZAMBOANGA DLE SUR</t>
  </si>
  <si>
    <t xml:space="preserve"> Please copy the link below and print for a copy of Bidding Document.</t>
  </si>
  <si>
    <t xml:space="preserve"> Please download the complete Bidding Documents using the link below:</t>
  </si>
  <si>
    <t xml:space="preserve"> Please see attached bidding documents for more details.</t>
  </si>
  <si>
    <t xml:space="preserve"> Please download the complete bidding documents using the link below:</t>
  </si>
  <si>
    <t xml:space="preserve"> 1. BIDDERS ARE ADVISED TO DOWNLOAD ALL ASSOCIATED COMPONENTS</t>
  </si>
  <si>
    <t xml:space="preserve"> Please download the complete bidding documents using he link below:</t>
  </si>
  <si>
    <t xml:space="preserve"> https://drive.google.com/file/d/1GkLTa0K0iU2O6aoP1WuAqJahuVHrUKMq/view?usp=drivesdk</t>
  </si>
  <si>
    <t xml:space="preserve"> https://drive.google.com/file/d/1x93sa1W8kByeJXmqtPS1qHBql1_J2v2I/view?usp=drivesdk</t>
  </si>
  <si>
    <t xml:space="preserve"> https://drive.google.com/file/d/1Jw2ZuWkmwUF_SWnYQr43J12iboPh1IZ0/view?usp=drivesdk</t>
  </si>
  <si>
    <t xml:space="preserve"> • Similar Contracts: Supply and delivery of various Personnel Protective Equipment (PPE) and/or any two (2) similar items under this contract</t>
  </si>
  <si>
    <t xml:space="preserve"> • Similar Contracts: On-site overhauling / rebuilding / repair works of diesel engines for diesel power plants</t>
  </si>
  <si>
    <t xml:space="preserve"> https://drive.google.com/file/d/11pOgrjSN9vx66UVLHeBCFgw14stR7TyS/view?usp=drivesdk</t>
  </si>
  <si>
    <t xml:space="preserve"> https://drive.google.com/file/d/1Bxk0GmdiYY1lZOjG2wOrTR2W_FqKGWR4/view?usp=drivesdk</t>
  </si>
  <si>
    <t xml:space="preserve"> https://drive.google.com/file/d/1N8xk1GpL3fuS3teIClj2RFRLWaP7R_Hn/view?usp=drivesdk</t>
  </si>
  <si>
    <t xml:space="preserve"> https://drive.google.com/file/d/1LpN7m14i915AqJLNSjx--RfwuCohZek3/view?usp=drivesdk</t>
  </si>
  <si>
    <t xml:space="preserve"> https://drive.google.com/file/d/1kMLEozAXgkW1orBOSvNNjdbnKL_7mAPz/view?usp=drivesdk</t>
  </si>
  <si>
    <t xml:space="preserve"> ABC is Two Million Five Hundred Thousand Pesos Only (Php.2,500,000.00).</t>
  </si>
  <si>
    <t xml:space="preserve"> Please inquire at the Office of the BAC Secretariat for more details</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</si>
  <si>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</si>
  <si>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https://drive.google.com/file/d/1RfNwpgZ4nKhWLJ_7F-T1c_T5kgX7xDRQ/view?usp=drivesdk</t>
  </si>
  <si>
    <t xml:space="preserve"> BID DOCS PhP. 5,000.00</t>
  </si>
  <si>
    <t xml:space="preserve"> COPY AND PASTE IN THE BROWSER THE LINK BELOW TO VIEW THE BIDDING DOCUMENTS; </t>
  </si>
  <si>
    <t xml:space="preserve"> Activity	Date &amp; Time	Venue</t>
  </si>
  <si>
    <t xml:space="preserve"> You may see the LCE, Municipality of Caibiran, Biliran</t>
  </si>
  <si>
    <t xml:space="preserve"> Inquire at the Office of the Provincial Engineer for details.</t>
  </si>
  <si>
    <t xml:space="preserve"> Copy and paste the link below in the URL to download Bidding documents attached.</t>
  </si>
  <si>
    <t xml:space="preserve"> Please see attached PDF files for more information.</t>
  </si>
  <si>
    <t xml:space="preserve"> Please see attached PDF for more information.</t>
  </si>
  <si>
    <t xml:space="preserve"> Instruction for Suppliers on how to View/Download the document:</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</si>
  <si>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</si>
  <si>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</si>
  <si>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10. For further information, please refer to:</t>
  </si>
  <si>
    <t xml:space="preserve"> ttps://drive.google.com/file/d/1Hk98lTI3c7OfiiupxKhsnVQ5lG-MJQyL/view?usp=drivesdk</t>
  </si>
  <si>
    <t xml:space="preserve"> For further information, please contact</t>
  </si>
  <si>
    <t xml:space="preserve"> https://drive.google.com/file/d/1EO_yu8YXQXYAXaPcECLPZIxmoiyKxY-5/view?usp=drivesdk</t>
  </si>
  <si>
    <t xml:space="preserve"> please go to link https://drive.google.com/file/d/1NLo-qSzuKBpH9VMgq9x7Y-GJq5jHG9nY/view?usp=drivesdk for a copy of the Bidding Documents</t>
  </si>
  <si>
    <t xml:space="preserve"> https://drive.google.com/file/d/1FKr_18uFlfP0x51-_LmnnF4ETNrzKEIb/view?usp=drivesdk</t>
  </si>
  <si>
    <t xml:space="preserve"> https://drive.google.com/file/d/1MEsNk8flqs8vDqk8GA2Eoft7mQjOh6sO/view?usp=drivesdk</t>
  </si>
  <si>
    <t xml:space="preserve"> https://drive.google.com/file/d/16S9zQkvbzpL6YDQSLmIHaZFS8GnQoIuK/view?usp=drivesdk</t>
  </si>
  <si>
    <t xml:space="preserve"> https://drive.google.com/file/d/1Pq5d7vAi_EzFsPKs3HS4YhqajZAScNWm/view?usp=drivesdk</t>
  </si>
  <si>
    <t xml:space="preserve"> https://drive.google.com/file/d/1eJqRrgxhlI1if8_K-b_FwtO5ZuQK0mpS/view?usp=drivesdk</t>
  </si>
  <si>
    <t xml:space="preserve"> https://drive.google.com/file/d/151M_JuA6ROuJUobYPJp3qqG_ypt1N54i/view?usp=drivesdk</t>
  </si>
  <si>
    <t xml:space="preserve"> https://drive.google.com/file/d/1xOAzBaSofinmytC1ZBrVN-42ks4Ut6ws/view?usp=drivesdk </t>
  </si>
  <si>
    <t xml:space="preserve"> For inquiries you may contact the BAC Secretariat at (082) 227-4073/2463 local 1142 or 0923-7216533/0917-3156929/0999-8878095(call only) local 1142</t>
  </si>
  <si>
    <t xml:space="preserve"> https://drive.google.com/file/d/1iHh2YA4ElsX1RNutOeTO76No7063l9UW/view?usp=drivesdk</t>
  </si>
  <si>
    <t xml:space="preserve"> There will be no pre-bid conference</t>
  </si>
  <si>
    <t xml:space="preserve"> https://drive.google.com/file/d/1PkaNyMy5EDTKNbSGscYObHDnuycUOAfg/view?usp=drivesdk</t>
  </si>
  <si>
    <t xml:space="preserve"> Interested bidders may obtain further information from Barangay Government of Barangay Tagpopongan through the Bids and Awards Committee Secretariat and inspect the Bidding Documents at the address given below during office hours.</t>
  </si>
  <si>
    <t xml:space="preserve"> Bidding document 500.00 Non-refundable</t>
  </si>
  <si>
    <t xml:space="preserve"> BIDDERS MUST DOWNLOAD THE ATTACHED DOCUMENT IN THE ASSOCIATED COMPONENT SECTION</t>
  </si>
  <si>
    <t xml:space="preserve"> Fund 164</t>
  </si>
  <si>
    <t xml:space="preserve"> Date of Advertisement:  June 12-19, 2020</t>
  </si>
  <si>
    <t xml:space="preserve"> Fund 101</t>
  </si>
  <si>
    <t xml:space="preserve"> https://drive.google.com/file/d/1rtF9SIXSwzP0YsAaGEKkv1--lvEgWll3/view?usp=drivesdk</t>
  </si>
  <si>
    <t xml:space="preserve"> Also  available in DPWH Website</t>
  </si>
  <si>
    <t xml:space="preserve"> https://www.philgeps.gov.ph/GEPSNONPILOT/Tender/CreateNoticeStep2UI.aspx?RefID=7042331</t>
  </si>
  <si>
    <t xml:space="preserve"> https://www.philgeps.gov.ph/GEPSNONPILOT/Tender/CreateNoticeStep2UI.aspx?RefID=7042289</t>
  </si>
  <si>
    <t xml:space="preserve"> Interested bidders may obtain further information from Palawan 2nd District Engineering Office (BAC Secretariat) and inspect the Bidding Documents at the address given below during 8:00am to 5:00pm.</t>
  </si>
  <si>
    <t xml:space="preserve"> The BAC is conducting the public bidding for this contract in accordance with RA 9184 and its Implementing Rules and Regulations (IRR).</t>
  </si>
  <si>
    <t xml:space="preserve"> I	EARTHWORKS		</t>
  </si>
  <si>
    <t xml:space="preserve"> Please download complete Bid Documents for your reference.</t>
  </si>
  <si>
    <t xml:space="preserve"> https://www.philgeps.gov.ph/GEPSNONPILOT/Tender/CreateNoticeStep2UI.aspx?RefID=7043100</t>
  </si>
  <si>
    <t xml:space="preserve"> https://www.philgeps.gov.ph/GEPSNONPILOT/Tender/CreateNoticeStep2UI.aspx?RefID=7043105</t>
  </si>
  <si>
    <t xml:space="preserve"> The BAC shall issue bidding documents upon payment of Five Thousand Pesos Only (Php5,000.00) to the disbursing/ collecting officer of the LGU.</t>
  </si>
  <si>
    <t xml:space="preserve"> CONSTRUCTION SUPPLIES</t>
  </si>
  <si>
    <t xml:space="preserve"> To download the bidding document, please visit this link - https://drive.google.com/file/d/10o__TqAyBh90YUFZd4LLTEcYomyYE-Vj/view?usp=drivesdk</t>
  </si>
  <si>
    <t xml:space="preserve"> https://www.philgeps.gov.ph/GEPSNONPILOT/Tender/CreateNoticeStep2UI.aspx?RefID=7043090</t>
  </si>
  <si>
    <t xml:space="preserve"> It may also be downloaded free of charge for the website of the Philippine Ports Authority at www.ppa.com.ph</t>
  </si>
  <si>
    <t xml:space="preserve"> Submission of Bids June 11, 2020 until July 8, 2020 @12noon</t>
  </si>
  <si>
    <t xml:space="preserve"> 1.	Request for Expression of Interest	:	June 11, 2020 to June 18, 2020</t>
  </si>
  <si>
    <t xml:space="preserve"> Department of Public Works and Highways (DPWH)</t>
  </si>
  <si>
    <t xml:space="preserve"> https://drive.google.com/file/d/1S6AMxFSt3QsXNHdNXda-dolkWuFZ3IkS/view?usp=drivesdk</t>
  </si>
  <si>
    <t xml:space="preserve"> https://drive.google.com/file/d/1nb6vK_XpIbFLjZ0sPR_RoHGLfwhqMLdZ/view?usp=drivesdk</t>
  </si>
  <si>
    <t xml:space="preserve"> • Similar Contracts: Dry docking and Ship repair</t>
  </si>
  <si>
    <t xml:space="preserve"> https://drive.google.com/file/d/1DxYmysjvVmF2bRdJ-Mff4_KKzTU97TmU/view?usp=drivesdk</t>
  </si>
  <si>
    <t xml:space="preserve"> https://drive.google.com/file/d/19WOIURr1s2YQB2aL2GnZtntXEGwbre0S/view?usp=drivesdk</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</si>
  <si>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</si>
  <si>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The significant times and deadlines of procurement activities are shown below:</t>
  </si>
  <si>
    <t xml:space="preserve"> https://drive.google.com/file/d/1J3S1xwpjJ2DndBVmJyKlKpzzdIg1UBX7/view?usp=drivesdk</t>
  </si>
  <si>
    <t xml:space="preserve"> PHILIPPINE BIDDING DOCUMENT</t>
  </si>
  <si>
    <t xml:space="preserve"> https://drive.google.com/file/d/1ZHHAbRTyg10HwBBhYLTCc7sTSK5VhI9O/view?usp=drivesdk</t>
  </si>
  <si>
    <t xml:space="preserve"> https://drive.google.com/file/d/1fjI6SwKQAp5cnWbFQuD83AgleZJujMnS/view?usp=drivesdk</t>
  </si>
  <si>
    <t xml:space="preserve"> 1. Date of First Publication: JUNE 10, 2020</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</si>
  <si>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</si>
  <si>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This procurement is done by lot.</t>
  </si>
  <si>
    <t xml:space="preserve"> https://drive.google.com/file/d/1Op9CkAkOnfzy89C13fTlKPO9NV_ZeUft/view?usp=drivesdk</t>
  </si>
  <si>
    <t xml:space="preserve"> ITB, Bidding Documents and RFQ can be download in the Associated Components.</t>
  </si>
  <si>
    <t xml:space="preserve"> Buyer: K.F. Andal</t>
  </si>
  <si>
    <t xml:space="preserve"> All bidders must download the attached document in the associated component section.</t>
  </si>
  <si>
    <t xml:space="preserve"> Contact Person</t>
  </si>
  <si>
    <t xml:space="preserve"> 1	Complete Fertilizer	1,000	sacks</t>
  </si>
  <si>
    <t xml:space="preserve"> (i)   Allow full inspection by the Fund of all bid documentation and related records;  </t>
  </si>
  <si>
    <t xml:space="preserve"> Concreting of Alley  Road</t>
  </si>
  <si>
    <t xml:space="preserve"> Contact Person:</t>
  </si>
  <si>
    <t xml:space="preserve"> Stock 	Unit	Item Description			QTY.</t>
  </si>
  <si>
    <t xml:space="preserve"> for queries, you may contact MS. LUBELLE LUMABAS AT TEL NO. 84057233 TO 34</t>
  </si>
  <si>
    <t xml:space="preserve"> for queries, you may email MS. KIM STO. TOMAS  at kimjoyangeles@yahoo.com</t>
  </si>
  <si>
    <t xml:space="preserve"> AS PER INVITATION TO BID</t>
  </si>
  <si>
    <t xml:space="preserve"> for queries, you may email Ms. Anj Emeterio at mqemeterio@gmail.com</t>
  </si>
  <si>
    <t xml:space="preserve"> You can also download the items and specifications at our official website: www.cebucity.gov.ph under For </t>
  </si>
  <si>
    <t xml:space="preserve"> REGIONAL BIDS AND AWARDS COMMITTEE – CEBU REGIONAL OFFICE</t>
  </si>
  <si>
    <t xml:space="preserve"> for inquiries, pls contact MS. ARVIE ESTRELLA at tel no. 8-405-7233 to 34, 8-5512200 locals 2452, 2453, 2731, 2609, 2979 &amp; 2290</t>
  </si>
  <si>
    <t xml:space="preserve"> for queries, pls. contact MS. NADZ ILETO at tel no. 85512200 locals 2979, 2290, 2609; 8405-7233 to 34</t>
  </si>
  <si>
    <t xml:space="preserve"> for queries, pls. contact MR. CHARM FLORIDO at tel nos. 85512200 locals 2452, 2453; 84057233 to 34</t>
  </si>
  <si>
    <t xml:space="preserve"> for queries, pls. contact MS. ANJ EMETERIO at vtel nos. 8-4057234, 8-4057233, 8-5512200 locals 2452, 2453, 2290, 2979</t>
  </si>
  <si>
    <t xml:space="preserve"> Scope of Works:</t>
  </si>
  <si>
    <t xml:space="preserve"> https://drive.google.com/file/d/1zNSuEZiSloL5kuWUnOp-YljNaI9pVKCo/view?usp=drivesdk</t>
  </si>
  <si>
    <t xml:space="preserve"> 20CE0202: Construction of Multi-Purpose Building (Gymnasium), Talavera National High School, Talavera, Nueva Ecija; Invitation to Bid including Plans and other Supporting Docs</t>
  </si>
  <si>
    <t xml:space="preserve"> https://drive.google.com/file/d/1AaNPLShVUb8a0PaJwU9vo5R7eV2VoOAN/view?usp=drivesdk</t>
  </si>
  <si>
    <t xml:space="preserve"> KINDLY DOWNLOAD THE ATTACHED PHILIPPINE BIDDING DOCUMENTS (PBD) WITH TECH SPECS AND PRICE AND CHECKLIST OF ELIGIBILITY REQUIREMENTS IN THE ASSOCIATED COMPONENTS.</t>
  </si>
  <si>
    <t xml:space="preserve"> for queries, pls. contact MS. JENKIN DY at tel no. 085512200 locals 2290, 2979, 4169, 2609</t>
  </si>
  <si>
    <t xml:space="preserve"> 20CE0203: Construction of Multi-Purpose Buildings (Covered Court), Talavera National High School, Talavera, Nueva Ecija; Invitation to Bid including Plans and other Supporting Docs</t>
  </si>
  <si>
    <t xml:space="preserve"> Please see Associated Components attached</t>
  </si>
  <si>
    <t xml:space="preserve"> Bidding Documents Link: https://drive.google.com/file/d/1MMtmI7ZQcgL7YXOp9dm19H2LRjPKHTwG/view?usp=drivesdk</t>
  </si>
  <si>
    <t xml:space="preserve"> Source of Fund: 20% Development Fund-Current</t>
  </si>
  <si>
    <t xml:space="preserve"> • Similar Contracts: Supply, delivery, installation, configuration and testing of Data Analytics License and/or enterprise application software</t>
  </si>
  <si>
    <t xml:space="preserve"> Source of Fund: Continuing Appropriation - GAD</t>
  </si>
  <si>
    <t xml:space="preserve"> • Similar Contracts: Supply, Delivery, Test and Commissioning of Diesel Power Generations Systems with aggregate output capacity of at least 5.0 MW e.</t>
  </si>
  <si>
    <t xml:space="preserve"> For query,  pls. contact MR. JENKIN DY at tel no. 8-5512200 locals 2290, 2979, 2609, 4169</t>
  </si>
  <si>
    <t xml:space="preserve"> https://drive.google.com/file/d/1vHUImqTUEA8sxppcI-jrA8Qu2iHXODms/view?usp=drivesdk</t>
  </si>
  <si>
    <t xml:space="preserve"> • Similar Contracts: Dry docking and ship repair</t>
  </si>
  <si>
    <t xml:space="preserve"> Source of Fund: 20% Development Fund</t>
  </si>
  <si>
    <t xml:space="preserve"> Source of Fund: 20% Development FUnd</t>
  </si>
  <si>
    <t xml:space="preserve"> Source of Fund: MDRRMF</t>
  </si>
  <si>
    <t xml:space="preserve"> Source of Fund: SEF - Continuing Appropriations</t>
  </si>
  <si>
    <t xml:space="preserve"> For query,  pls. contact MS. ANJ EMETERIO at tel no. 8-4057234, 8-4057233, 8-5512200 LOCALS 2452, 2453, 2731</t>
  </si>
  <si>
    <t xml:space="preserve"> For query,  pls. contact MS. NADZ ILETO at tel no. 8-5512200 locals 2290, 2979, 2609, 4169</t>
  </si>
  <si>
    <t xml:space="preserve"> Pls download attached file</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</si>
  <si>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</si>
  <si>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https://drive.google.com/file/d/15dxq8qcQWGpyxnIZ83ZRyLP9JP8VGoiA/view?usp=drivesdk</t>
  </si>
  <si>
    <t xml:space="preserve"> For copies of the Drawings and Technical Specifications, kindly refer to the LINKS below.</t>
  </si>
  <si>
    <t xml:space="preserve"> please download associated documents</t>
  </si>
  <si>
    <t xml:space="preserve"> 20CE0199: Rehabilitation of Municipal Health Center, Lupao, Nueva Ecija; Invitation to Bid including Plans and other Supporting Docs</t>
  </si>
  <si>
    <t xml:space="preserve"> BIDDING DOCUMENTS:</t>
  </si>
  <si>
    <t xml:space="preserve"> https://drive.google.com/file/d/1lyHKapyEa3Y2QlSPcwGMStQkyj2cvxXI/view?usp=drivesdk</t>
  </si>
  <si>
    <t xml:space="preserve"> Also available at DPWH Website.</t>
  </si>
  <si>
    <t xml:space="preserve"> Details and other information will be discuss during pre-bid conference.</t>
  </si>
  <si>
    <t xml:space="preserve"> https://drive.google.com/file/d/1765yUIL_TplU609gdIOkLy_Oogjdkofn/view?usp=drivesdk</t>
  </si>
  <si>
    <t xml:space="preserve"> COPY AND PASTE IN THE BROWSER THE LINK BELOW TO VIEW PLANS:</t>
  </si>
  <si>
    <t xml:space="preserve"> • Complete Project Title: Supply, Delivery, Installation, Test and Commissioning of Eight (8) Units of 50kW Modular Diesel Gensets, Associated Electrical Equipment and Balance of Plant for Dipla, Maytegued, Batas and Debangan DPP under the Electrification of New Areas in Palawan (Package 8)</t>
  </si>
  <si>
    <t xml:space="preserve"> IMPORTANT NOTE:  					</t>
  </si>
  <si>
    <t xml:space="preserve"> 1 time delivery</t>
  </si>
  <si>
    <t xml:space="preserve"> QTY/UNIT/ITEM DESCRIPTION</t>
  </si>
  <si>
    <t xml:space="preserve"> https://drive.google.com/file/d/1ly1QOiTBUkLiSFtnpMt5vikObDPQZlRa/view?usp=drivesdk</t>
  </si>
  <si>
    <t xml:space="preserve"> https://drive.google.com/file/d/1FRFXTNpricv_CKsGrRCZVSNCSqUEW5U2/view?usp=drivesdk</t>
  </si>
  <si>
    <t>Mark Andrew Abas Dilay</t>
  </si>
  <si>
    <t>Loel Bacatan Fajardo</t>
  </si>
  <si>
    <t>Aries Ramos Alahan</t>
  </si>
  <si>
    <t>M.A Cueva</t>
  </si>
  <si>
    <t>Jennylyn Fernando Macapagal</t>
  </si>
  <si>
    <t>Korina Sibulo Tronqued</t>
  </si>
  <si>
    <t>Harold C. Duremdes</t>
  </si>
  <si>
    <t>CLARKSON KEE NAVARRO</t>
  </si>
  <si>
    <t>Rosemarie B. Rivera</t>
  </si>
  <si>
    <t>DELIZA M CUTARA</t>
  </si>
  <si>
    <t>Michael, Jr. N Quizon</t>
  </si>
  <si>
    <t>Jovellen G. Diaz</t>
  </si>
  <si>
    <t>ALODIA U MAPANAO</t>
  </si>
  <si>
    <t>Lea Marie  P.  Gulloy</t>
  </si>
  <si>
    <t>Mark J. Arceo</t>
  </si>
  <si>
    <t>Abelaine Batutay Esmeralda</t>
  </si>
  <si>
    <t>Rosevie Tallera Bartolome</t>
  </si>
  <si>
    <t>Castor Gracilla Verdeblanco</t>
  </si>
  <si>
    <t>Jevic Gadon Daguno</t>
  </si>
  <si>
    <t>Normalyn M. Florin</t>
  </si>
  <si>
    <t>Frenzel Ray Kitan Tomas</t>
  </si>
  <si>
    <t>Ma. Felicidad Rebong Payba</t>
  </si>
  <si>
    <t>ROMMEL G. GRAGASIN</t>
  </si>
  <si>
    <t>April  Ponce  Espino</t>
  </si>
  <si>
    <t>Fatnuhalda Abarrondo Samparani</t>
  </si>
  <si>
    <t>ELIZABETH S. FERNANDEZ</t>
  </si>
  <si>
    <t>Nathaniel G Echano</t>
  </si>
  <si>
    <t>Lealoraine A. Gomez</t>
  </si>
  <si>
    <t>Roy C Gonzales</t>
  </si>
  <si>
    <t>Genevieve Nuñez</t>
  </si>
  <si>
    <t>Joel R Perez</t>
  </si>
  <si>
    <t>Pinky Miriam D Canlas</t>
  </si>
  <si>
    <t>Liza C Dorado</t>
  </si>
  <si>
    <t>Eduardo D. Fernandez</t>
  </si>
  <si>
    <t>Esmeralda Bareng Antonio</t>
  </si>
  <si>
    <t>Lawrence Nacpil Carlos</t>
  </si>
  <si>
    <t>Elmera Zabate Ebrada</t>
  </si>
  <si>
    <t>Reynante B. Quiros</t>
  </si>
  <si>
    <t>Jomar Feliciano Doncillo</t>
  </si>
  <si>
    <t>Bazil Nacman Cabria</t>
  </si>
  <si>
    <t>Marife Aglosolos</t>
  </si>
  <si>
    <t>Manny Maturan Da-ang</t>
  </si>
  <si>
    <t>Engimer A. Ludovice</t>
  </si>
  <si>
    <t>ALLEN JOY M. ESCALONA</t>
  </si>
  <si>
    <t>RONALD S LANGBAN</t>
  </si>
  <si>
    <t>Brian D. Lumague</t>
  </si>
  <si>
    <t>Nerichelle R Bobis</t>
  </si>
  <si>
    <t>Ronelio N Hernandez</t>
  </si>
  <si>
    <t>Kelly Sajo</t>
  </si>
  <si>
    <t>Fe P Sagre</t>
  </si>
  <si>
    <t>JAZERA DINOPOL OYAO</t>
  </si>
  <si>
    <t>Buenaventura Zaldivar Flandez</t>
  </si>
  <si>
    <t>Allen G Candaliza</t>
  </si>
  <si>
    <t>Tarhata Salendab Kido</t>
  </si>
  <si>
    <t>Ellen M Reyes</t>
  </si>
  <si>
    <t>Gemma Pugong Luglug</t>
  </si>
  <si>
    <t>Roxanne C. Pimentel</t>
  </si>
  <si>
    <t>John Carlo V Alegre</t>
  </si>
  <si>
    <t>Vivian Enriquez Villanueva</t>
  </si>
  <si>
    <t>Arnel Correa Sabuco</t>
  </si>
  <si>
    <t>Christian Ian Caligagan Villarin</t>
  </si>
  <si>
    <t>Ryan Saguyod Apolonio</t>
  </si>
  <si>
    <t>Michael Angelo J. Paras</t>
  </si>
  <si>
    <t>Joseph R. Sermonia</t>
  </si>
  <si>
    <t>Roderick D Domasig</t>
  </si>
  <si>
    <t>Mary Fatima Marilao</t>
  </si>
  <si>
    <t>Richard San Juan Miguel</t>
  </si>
  <si>
    <t>Lindy C. Llona</t>
  </si>
  <si>
    <t>Natalio De Lara Rodriguez</t>
  </si>
  <si>
    <t>Alan Lawas</t>
  </si>
  <si>
    <t>Rodelio Jr. Abordo Vera</t>
  </si>
  <si>
    <t>Angelika A. Paladan</t>
  </si>
  <si>
    <t>EDUARDO SANTILLAN DIONISIO</t>
  </si>
  <si>
    <t>Manuel Jesus Dufourt Roxas III</t>
  </si>
  <si>
    <t>Marino E Martinquilla</t>
  </si>
  <si>
    <t>Bernadette Baua</t>
  </si>
  <si>
    <t>Kristine Alonzo Gealan</t>
  </si>
  <si>
    <t>VILMA F. FORBES</t>
  </si>
  <si>
    <t>Eleonor Subrado</t>
  </si>
  <si>
    <t>Ramer B. Panes</t>
  </si>
  <si>
    <t>Maylen Asuncion</t>
  </si>
  <si>
    <t>KAREN DAMPIL SUNGA</t>
  </si>
  <si>
    <t>ALFREDO DANDO DELOS SANTOS</t>
  </si>
  <si>
    <t>Victor Jimenez Sotelo</t>
  </si>
  <si>
    <t>ANECITA A. SESPEÑE</t>
  </si>
  <si>
    <t>dipolog water bac</t>
  </si>
  <si>
    <t>Irma Danganan Lugue</t>
  </si>
  <si>
    <t>Dionesia B. Lagas</t>
  </si>
  <si>
    <t>Sheila Marie S Chua</t>
  </si>
  <si>
    <t>Marlone Dagle Alejado</t>
  </si>
  <si>
    <t>Rommel T Reamico</t>
  </si>
  <si>
    <t>Gemma Bandoy Espadero</t>
  </si>
  <si>
    <t>Melchor Talosig Halog</t>
  </si>
  <si>
    <t>Veronica CV Esguerra</t>
  </si>
  <si>
    <t>Edmundo Jr M Abueg</t>
  </si>
  <si>
    <t>Jhea E Ebal</t>
  </si>
  <si>
    <t>Roland Dayuno Morales</t>
  </si>
  <si>
    <t>Roch Jerome L Capistrano</t>
  </si>
  <si>
    <t>Marilou Seno Villanueva</t>
  </si>
  <si>
    <t>RANDY R MALIWAT</t>
  </si>
  <si>
    <t>Daisy Acero Umbina</t>
  </si>
  <si>
    <t>Rowena De la Vida Prado</t>
  </si>
  <si>
    <t>Aurelia Araoarao Bongcac</t>
  </si>
  <si>
    <t>Grace Delos Reyes Dumadag</t>
  </si>
  <si>
    <t>TECHIE SAYAG MANARANG</t>
  </si>
  <si>
    <t>Socorro Brenda Acuna</t>
  </si>
  <si>
    <t>Glory Vi A. Mesina</t>
  </si>
  <si>
    <t>Alerry Layog</t>
  </si>
  <si>
    <t>Jovelyn Pasinag Perez</t>
  </si>
  <si>
    <t>SALMA QUIBAYEN PADILLA</t>
  </si>
  <si>
    <t>Joseph Cañas Hernani</t>
  </si>
  <si>
    <t>Kris Kringle Tamayo Lopez</t>
  </si>
  <si>
    <t>Noel C. Salvacruz</t>
  </si>
  <si>
    <t>Rommel Oroceo Subaldo</t>
  </si>
  <si>
    <t>SALVADOR J MALANUM</t>
  </si>
  <si>
    <t>Brett Andrew Surell</t>
  </si>
  <si>
    <t>REYSHA  T.  QUIMADO</t>
  </si>
  <si>
    <t>Rosario Fe Quizon Arevalo</t>
  </si>
  <si>
    <t>BIENVENIDA PAMAN DULCERO</t>
  </si>
  <si>
    <t>RAFAEL LACBAYO SANTIAGO</t>
  </si>
  <si>
    <t>ROEL B CADAGAT</t>
  </si>
  <si>
    <t>Roxanne Padilla</t>
  </si>
  <si>
    <t>GRIFFRINEO C. FLORES</t>
  </si>
  <si>
    <t>Ramon Jr. Paras Dela Cruz</t>
  </si>
  <si>
    <t>Vanezza Blanche F Agbayani</t>
  </si>
  <si>
    <t>Juanito Biadnes Acorin</t>
  </si>
  <si>
    <t>Michael Rey Villaluz Biado</t>
  </si>
  <si>
    <t>Olive V Ferreras</t>
  </si>
  <si>
    <t>Joseph Rommel A Bascar</t>
  </si>
  <si>
    <t>Orlando Batalla</t>
  </si>
  <si>
    <t>Generoso Jr. Projillo Maghopoy</t>
  </si>
  <si>
    <t>VALERIE VERBO SAGIBO</t>
  </si>
  <si>
    <t>Zosimo B. Coloma</t>
  </si>
  <si>
    <t>Patria Pailan Guizano</t>
  </si>
  <si>
    <t>Penarando Surquia</t>
  </si>
  <si>
    <t>Zandro A. Samarista</t>
  </si>
  <si>
    <t>MARY ANNE C LADO</t>
  </si>
  <si>
    <t>Katherine V Veracruz</t>
  </si>
  <si>
    <t>Jed D Panes</t>
  </si>
  <si>
    <t>Cyrene T Palparan</t>
  </si>
  <si>
    <t>Leonor F.  Santos</t>
  </si>
  <si>
    <t>Kristine Joy Fernandez Dacasin</t>
  </si>
  <si>
    <t>SAUDI AGUANTA ARABE</t>
  </si>
  <si>
    <t>Gilbert C Mondroy</t>
  </si>
  <si>
    <t>10/11/2019</t>
  </si>
  <si>
    <t>11/04/2020</t>
  </si>
  <si>
    <t>02/03/2020</t>
  </si>
  <si>
    <t>02/01/2020</t>
  </si>
  <si>
    <t>15/09/2019</t>
  </si>
  <si>
    <t>11/05/2020</t>
  </si>
  <si>
    <t>20/11/2019</t>
  </si>
  <si>
    <t>22/03/2020</t>
  </si>
  <si>
    <t>04/01/2019</t>
  </si>
  <si>
    <t>23/04/2020</t>
  </si>
  <si>
    <t>18/05/2020</t>
  </si>
  <si>
    <t>19/05/2020</t>
  </si>
  <si>
    <t>25/04/2020</t>
  </si>
  <si>
    <t>24/05/2020</t>
  </si>
  <si>
    <t>29/04/2020</t>
  </si>
  <si>
    <t>04/04/2020</t>
  </si>
  <si>
    <t>16/04/2020</t>
  </si>
  <si>
    <t>23/03/2020</t>
  </si>
  <si>
    <t>29/03/2020</t>
  </si>
  <si>
    <t>15/03/2020</t>
  </si>
  <si>
    <t>19/04/2020</t>
  </si>
  <si>
    <t>23/02/2020</t>
  </si>
  <si>
    <t>13/02/2020</t>
  </si>
  <si>
    <t>04/02/2020</t>
  </si>
  <si>
    <t>05/11/2019</t>
  </si>
  <si>
    <t>22/08/2019</t>
  </si>
  <si>
    <t>30/10/2019</t>
  </si>
  <si>
    <t>19/12/2019</t>
  </si>
  <si>
    <t>06/01/2020</t>
  </si>
  <si>
    <t>15/01/2020</t>
  </si>
  <si>
    <t>17/01/2020</t>
  </si>
  <si>
    <t>05/12/2019</t>
  </si>
  <si>
    <t>28/01/2020</t>
  </si>
  <si>
    <t>05/05/2020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</si>
</sst>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791"/>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HYPERLINK("https://www.philgeps.gov.ph/GEPSNONPILOT/Tender/SplashBidNoticeAbstractUI.aspx?menuIndex=3&amp;refID=6637649&amp;Result=3","6637649")</f>
        <v>0</v>
      </c>
      <c r="B2" t="s">
        <v>24</v>
      </c>
      <c r="C2" t="s">
        <v>3375</v>
      </c>
      <c r="D2" t="s">
        <v>16607</v>
      </c>
      <c r="E2" t="s">
        <v>16707</v>
      </c>
      <c r="F2" t="s">
        <v>28669</v>
      </c>
      <c r="G2" t="s">
        <v>28675</v>
      </c>
      <c r="H2" t="s">
        <v>9998</v>
      </c>
      <c r="I2" t="s">
        <v>7352</v>
      </c>
      <c r="J2" t="s">
        <v>28822</v>
      </c>
      <c r="K2" t="s">
        <v>37204</v>
      </c>
      <c r="M2" t="s">
        <v>37499</v>
      </c>
      <c r="N2" t="s">
        <v>41249</v>
      </c>
      <c r="O2" t="s">
        <v>41250</v>
      </c>
      <c r="P2">
        <v>0</v>
      </c>
      <c r="Q2">
        <v>1</v>
      </c>
      <c r="R2" t="s">
        <v>41251</v>
      </c>
      <c r="S2" t="s">
        <v>41369</v>
      </c>
      <c r="T2" t="s">
        <v>42658</v>
      </c>
      <c r="U2" t="s">
        <v>43189</v>
      </c>
      <c r="W2" t="s">
        <v>37499</v>
      </c>
      <c r="X2" t="s">
        <v>56040</v>
      </c>
    </row>
    <row r="3" spans="1:24">
      <c r="A3">
        <f>HYPERLINK("https://www.philgeps.gov.ph/GEPSNONPILOT/Tender/SplashBidNoticeAbstractUI.aspx?menuIndex=3&amp;refID=7040951&amp;Result=3","7040951")</f>
        <v>0</v>
      </c>
      <c r="B3" t="s">
        <v>25</v>
      </c>
      <c r="C3" t="s">
        <v>3376</v>
      </c>
      <c r="D3" t="s">
        <v>16608</v>
      </c>
      <c r="E3" t="s">
        <v>16708</v>
      </c>
      <c r="F3" t="s">
        <v>28669</v>
      </c>
      <c r="G3" t="s">
        <v>28675</v>
      </c>
      <c r="H3" t="s">
        <v>28684</v>
      </c>
      <c r="I3" t="s">
        <v>28687</v>
      </c>
      <c r="J3" t="s">
        <v>28823</v>
      </c>
      <c r="K3" t="s">
        <v>37205</v>
      </c>
      <c r="M3" t="s">
        <v>37500</v>
      </c>
      <c r="N3" t="s">
        <v>41249</v>
      </c>
      <c r="O3" t="s">
        <v>41250</v>
      </c>
      <c r="P3">
        <v>0</v>
      </c>
      <c r="Q3">
        <v>3</v>
      </c>
      <c r="R3" t="s">
        <v>41251</v>
      </c>
      <c r="S3" t="s">
        <v>41369</v>
      </c>
      <c r="T3" t="s">
        <v>42659</v>
      </c>
      <c r="U3" t="s">
        <v>43190</v>
      </c>
      <c r="W3" t="s">
        <v>37500</v>
      </c>
      <c r="X3" t="s">
        <v>41273</v>
      </c>
    </row>
    <row r="4" spans="1:24">
      <c r="A4">
        <f>HYPERLINK("https://www.philgeps.gov.ph/GEPSNONPILOT/Tender/SplashBidNoticeAbstractUI.aspx?menuIndex=3&amp;refID=7040943&amp;Result=3","7040943")</f>
        <v>0</v>
      </c>
      <c r="B4" t="s">
        <v>25</v>
      </c>
      <c r="C4" t="s">
        <v>3377</v>
      </c>
      <c r="D4" t="s">
        <v>16608</v>
      </c>
      <c r="E4" t="s">
        <v>16709</v>
      </c>
      <c r="F4" t="s">
        <v>28669</v>
      </c>
      <c r="G4" t="s">
        <v>28675</v>
      </c>
      <c r="H4" t="s">
        <v>28684</v>
      </c>
      <c r="I4" t="s">
        <v>28688</v>
      </c>
      <c r="J4" t="s">
        <v>28824</v>
      </c>
      <c r="K4" t="s">
        <v>37205</v>
      </c>
      <c r="M4" t="s">
        <v>37500</v>
      </c>
      <c r="N4" t="s">
        <v>41249</v>
      </c>
      <c r="O4" t="s">
        <v>41250</v>
      </c>
      <c r="P4">
        <v>0</v>
      </c>
      <c r="Q4">
        <v>0</v>
      </c>
      <c r="R4" t="s">
        <v>41251</v>
      </c>
      <c r="S4" t="s">
        <v>41369</v>
      </c>
      <c r="T4" t="s">
        <v>42660</v>
      </c>
      <c r="U4" t="s">
        <v>43191</v>
      </c>
      <c r="W4" t="s">
        <v>37500</v>
      </c>
      <c r="X4" t="s">
        <v>41273</v>
      </c>
    </row>
    <row r="5" spans="1:24">
      <c r="A5">
        <f>HYPERLINK("https://www.philgeps.gov.ph/GEPSNONPILOT/Tender/SplashBidNoticeAbstractUI.aspx?menuIndex=3&amp;refID=7031382-2&amp;Result=3","7031382-2")</f>
        <v>0</v>
      </c>
      <c r="B5" t="s">
        <v>26</v>
      </c>
      <c r="C5" t="s">
        <v>3378</v>
      </c>
      <c r="D5" t="s">
        <v>16609</v>
      </c>
      <c r="E5" t="s">
        <v>16710</v>
      </c>
      <c r="F5" t="s">
        <v>28669</v>
      </c>
      <c r="G5" t="s">
        <v>28675</v>
      </c>
      <c r="H5" t="s">
        <v>28685</v>
      </c>
      <c r="I5" t="s">
        <v>28685</v>
      </c>
      <c r="J5" t="s">
        <v>28825</v>
      </c>
      <c r="K5" t="s">
        <v>37204</v>
      </c>
      <c r="M5" t="s">
        <v>37501</v>
      </c>
      <c r="N5" t="s">
        <v>41249</v>
      </c>
      <c r="O5" t="s">
        <v>41250</v>
      </c>
      <c r="P5">
        <v>0</v>
      </c>
      <c r="Q5">
        <v>1</v>
      </c>
      <c r="R5" t="s">
        <v>41251</v>
      </c>
      <c r="S5" t="s">
        <v>41369</v>
      </c>
      <c r="T5" t="s">
        <v>42661</v>
      </c>
      <c r="U5" t="s">
        <v>43192</v>
      </c>
      <c r="W5" t="s">
        <v>37501</v>
      </c>
      <c r="X5" t="s">
        <v>41252</v>
      </c>
    </row>
    <row r="6" spans="1:24">
      <c r="A6">
        <f>HYPERLINK("https://www.philgeps.gov.ph/GEPSNONPILOT/Tender/SplashBidNoticeAbstractUI.aspx?menuIndex=3&amp;refID=7058713&amp;Result=3","7058713")</f>
        <v>0</v>
      </c>
      <c r="B6" t="s">
        <v>27</v>
      </c>
      <c r="C6" t="s">
        <v>3379</v>
      </c>
      <c r="E6" t="s">
        <v>16711</v>
      </c>
      <c r="F6" t="s">
        <v>28669</v>
      </c>
      <c r="G6" t="s">
        <v>28675</v>
      </c>
      <c r="H6" t="s">
        <v>28686</v>
      </c>
      <c r="I6" t="s">
        <v>28689</v>
      </c>
      <c r="J6" t="s">
        <v>28826</v>
      </c>
      <c r="K6" t="s">
        <v>37206</v>
      </c>
      <c r="M6" t="s">
        <v>37502</v>
      </c>
      <c r="N6" t="s">
        <v>41249</v>
      </c>
      <c r="O6" t="s">
        <v>41250</v>
      </c>
      <c r="P6">
        <v>0</v>
      </c>
      <c r="Q6">
        <v>0</v>
      </c>
      <c r="R6" t="s">
        <v>41251</v>
      </c>
      <c r="S6" t="s">
        <v>41369</v>
      </c>
      <c r="T6" t="s">
        <v>42662</v>
      </c>
      <c r="U6" t="s">
        <v>43193</v>
      </c>
      <c r="W6" t="s">
        <v>37502</v>
      </c>
      <c r="X6" t="s">
        <v>41262</v>
      </c>
    </row>
    <row r="7" spans="1:24">
      <c r="A7">
        <f>HYPERLINK("https://www.philgeps.gov.ph/GEPSNONPILOT/Tender/SplashBidNoticeAbstractUI.aspx?menuIndex=3&amp;refID=7031348-2&amp;Result=3","7031348-2")</f>
        <v>0</v>
      </c>
      <c r="B7" t="s">
        <v>26</v>
      </c>
      <c r="C7" t="s">
        <v>3380</v>
      </c>
      <c r="D7" t="s">
        <v>16609</v>
      </c>
      <c r="E7" t="s">
        <v>16712</v>
      </c>
      <c r="F7" t="s">
        <v>28669</v>
      </c>
      <c r="G7" t="s">
        <v>28675</v>
      </c>
      <c r="H7" t="s">
        <v>28685</v>
      </c>
      <c r="I7" t="s">
        <v>28685</v>
      </c>
      <c r="J7" t="s">
        <v>28827</v>
      </c>
      <c r="K7" t="s">
        <v>37207</v>
      </c>
      <c r="M7" t="s">
        <v>37501</v>
      </c>
      <c r="N7" t="s">
        <v>41249</v>
      </c>
      <c r="O7" t="s">
        <v>41250</v>
      </c>
      <c r="P7">
        <v>0</v>
      </c>
      <c r="Q7">
        <v>1</v>
      </c>
      <c r="R7" t="s">
        <v>41251</v>
      </c>
      <c r="S7" t="s">
        <v>41369</v>
      </c>
      <c r="T7" t="s">
        <v>42661</v>
      </c>
      <c r="U7" t="s">
        <v>43192</v>
      </c>
      <c r="W7" t="s">
        <v>37501</v>
      </c>
      <c r="X7" t="s">
        <v>41252</v>
      </c>
    </row>
    <row r="8" spans="1:24">
      <c r="A8">
        <f>HYPERLINK("https://www.philgeps.gov.ph/GEPSNONPILOT/Tender/SplashBidNoticeAbstractUI.aspx?menuIndex=3&amp;refID=7027990&amp;Result=3","7027990")</f>
        <v>0</v>
      </c>
      <c r="B8" t="s">
        <v>28</v>
      </c>
      <c r="C8" t="s">
        <v>3381</v>
      </c>
      <c r="D8" t="s">
        <v>16610</v>
      </c>
      <c r="E8" t="s">
        <v>16713</v>
      </c>
      <c r="F8" t="s">
        <v>28669</v>
      </c>
      <c r="G8" t="s">
        <v>28676</v>
      </c>
      <c r="H8" t="s">
        <v>9998</v>
      </c>
      <c r="I8" t="s">
        <v>28690</v>
      </c>
      <c r="J8" t="s">
        <v>28828</v>
      </c>
      <c r="K8" t="s">
        <v>37208</v>
      </c>
      <c r="L8" t="s">
        <v>28</v>
      </c>
      <c r="M8" t="s">
        <v>37503</v>
      </c>
      <c r="N8" t="s">
        <v>41249</v>
      </c>
      <c r="O8" t="s">
        <v>41250</v>
      </c>
      <c r="P8">
        <v>0</v>
      </c>
      <c r="Q8">
        <v>0</v>
      </c>
      <c r="R8" t="s">
        <v>41251</v>
      </c>
      <c r="S8" t="s">
        <v>41369</v>
      </c>
      <c r="T8" t="s">
        <v>42663</v>
      </c>
      <c r="U8" t="s">
        <v>43194</v>
      </c>
      <c r="W8" t="s">
        <v>37503</v>
      </c>
      <c r="X8" t="s">
        <v>41279</v>
      </c>
    </row>
    <row r="9" spans="1:24">
      <c r="A9">
        <f>HYPERLINK("https://www.philgeps.gov.ph/GEPSNONPILOT/Tender/SplashBidNoticeAbstractUI.aspx?menuIndex=3&amp;refID=6963762&amp;Result=3","6963762")</f>
        <v>0</v>
      </c>
      <c r="B9" t="s">
        <v>29</v>
      </c>
      <c r="C9" t="s">
        <v>3382</v>
      </c>
      <c r="D9" t="s">
        <v>16611</v>
      </c>
      <c r="E9" t="s">
        <v>16714</v>
      </c>
      <c r="F9" t="s">
        <v>28669</v>
      </c>
      <c r="G9" t="s">
        <v>28677</v>
      </c>
      <c r="H9" t="s">
        <v>9998</v>
      </c>
      <c r="I9" t="s">
        <v>28688</v>
      </c>
      <c r="J9" t="s">
        <v>28829</v>
      </c>
      <c r="K9" t="s">
        <v>37209</v>
      </c>
      <c r="M9" t="s">
        <v>37504</v>
      </c>
      <c r="N9" t="s">
        <v>41249</v>
      </c>
      <c r="O9" t="s">
        <v>41250</v>
      </c>
      <c r="P9">
        <v>0</v>
      </c>
      <c r="Q9">
        <v>0</v>
      </c>
      <c r="R9" t="s">
        <v>41251</v>
      </c>
      <c r="S9" t="s">
        <v>41369</v>
      </c>
      <c r="T9" t="s">
        <v>42664</v>
      </c>
      <c r="U9" t="s">
        <v>43195</v>
      </c>
      <c r="W9" t="s">
        <v>37504</v>
      </c>
      <c r="X9" t="s">
        <v>56041</v>
      </c>
    </row>
    <row r="10" spans="1:24">
      <c r="A10">
        <f>HYPERLINK("https://www.philgeps.gov.ph/GEPSNONPILOT/Tender/SplashBidNoticeAbstractUI.aspx?menuIndex=3&amp;refID=6879440&amp;Result=3","6879440")</f>
        <v>0</v>
      </c>
      <c r="B10" t="s">
        <v>30</v>
      </c>
      <c r="C10" t="s">
        <v>3383</v>
      </c>
      <c r="D10" t="s">
        <v>16612</v>
      </c>
      <c r="E10" t="s">
        <v>16715</v>
      </c>
      <c r="F10" t="s">
        <v>28669</v>
      </c>
      <c r="G10" t="s">
        <v>28677</v>
      </c>
      <c r="H10" t="s">
        <v>9998</v>
      </c>
      <c r="I10" t="s">
        <v>15140</v>
      </c>
      <c r="J10" t="s">
        <v>28830</v>
      </c>
      <c r="K10" t="s">
        <v>37210</v>
      </c>
      <c r="M10" t="s">
        <v>37505</v>
      </c>
      <c r="N10" t="s">
        <v>41249</v>
      </c>
      <c r="O10" t="s">
        <v>41250</v>
      </c>
      <c r="P10">
        <v>0</v>
      </c>
      <c r="Q10">
        <v>0</v>
      </c>
      <c r="R10" t="s">
        <v>41251</v>
      </c>
      <c r="S10" t="s">
        <v>41369</v>
      </c>
      <c r="T10" t="s">
        <v>42665</v>
      </c>
      <c r="U10" t="s">
        <v>43196</v>
      </c>
      <c r="W10" t="s">
        <v>37505</v>
      </c>
      <c r="X10" t="s">
        <v>41334</v>
      </c>
    </row>
    <row r="11" spans="1:24">
      <c r="A11">
        <f>HYPERLINK("https://www.philgeps.gov.ph/GEPSNONPILOT/Tender/SplashBidNoticeAbstractUI.aspx?menuIndex=3&amp;refID=7060376&amp;Result=3","7060376")</f>
        <v>0</v>
      </c>
      <c r="B11" t="s">
        <v>31</v>
      </c>
      <c r="C11" t="s">
        <v>3384</v>
      </c>
      <c r="D11" t="s">
        <v>16613</v>
      </c>
      <c r="E11" t="s">
        <v>16716</v>
      </c>
      <c r="F11" t="s">
        <v>28669</v>
      </c>
      <c r="G11" t="s">
        <v>28675</v>
      </c>
      <c r="H11" t="s">
        <v>28686</v>
      </c>
      <c r="I11" t="s">
        <v>28689</v>
      </c>
      <c r="J11" t="s">
        <v>28831</v>
      </c>
      <c r="K11" t="s">
        <v>37211</v>
      </c>
      <c r="M11" t="s">
        <v>37506</v>
      </c>
      <c r="N11" t="s">
        <v>41249</v>
      </c>
      <c r="O11" t="s">
        <v>41250</v>
      </c>
      <c r="P11">
        <v>0</v>
      </c>
      <c r="Q11">
        <v>2</v>
      </c>
      <c r="R11" t="s">
        <v>41251</v>
      </c>
      <c r="S11" t="s">
        <v>41369</v>
      </c>
      <c r="T11" t="s">
        <v>42666</v>
      </c>
      <c r="U11" t="s">
        <v>43197</v>
      </c>
      <c r="W11" t="s">
        <v>37506</v>
      </c>
      <c r="X11" t="s">
        <v>41261</v>
      </c>
    </row>
    <row r="12" spans="1:24">
      <c r="A12">
        <f>HYPERLINK("https://www.philgeps.gov.ph/GEPSNONPILOT/Tender/SplashBidNoticeAbstractUI.aspx?menuIndex=3&amp;refID=7060328&amp;Result=3","7060328")</f>
        <v>0</v>
      </c>
      <c r="B12" t="s">
        <v>31</v>
      </c>
      <c r="C12" t="s">
        <v>3385</v>
      </c>
      <c r="E12" t="s">
        <v>16717</v>
      </c>
      <c r="F12" t="s">
        <v>28669</v>
      </c>
      <c r="G12" t="s">
        <v>28675</v>
      </c>
      <c r="H12" t="s">
        <v>28686</v>
      </c>
      <c r="I12" t="s">
        <v>28689</v>
      </c>
      <c r="J12" t="s">
        <v>28832</v>
      </c>
      <c r="K12" t="s">
        <v>37212</v>
      </c>
      <c r="M12" t="s">
        <v>37506</v>
      </c>
      <c r="N12" t="s">
        <v>41249</v>
      </c>
      <c r="O12" t="s">
        <v>41250</v>
      </c>
      <c r="P12">
        <v>0</v>
      </c>
      <c r="Q12">
        <v>4</v>
      </c>
      <c r="R12" t="s">
        <v>41251</v>
      </c>
      <c r="S12" t="s">
        <v>41369</v>
      </c>
      <c r="T12" t="s">
        <v>42667</v>
      </c>
      <c r="U12" t="s">
        <v>43198</v>
      </c>
      <c r="W12" t="s">
        <v>37506</v>
      </c>
      <c r="X12" t="s">
        <v>41261</v>
      </c>
    </row>
    <row r="13" spans="1:24">
      <c r="A13">
        <f>HYPERLINK("https://www.philgeps.gov.ph/GEPSNONPILOT/Tender/SplashBidNoticeAbstractUI.aspx?menuIndex=3&amp;refID=7059432&amp;Result=3","7059432")</f>
        <v>0</v>
      </c>
      <c r="B13" t="s">
        <v>32</v>
      </c>
      <c r="C13" t="s">
        <v>3386</v>
      </c>
      <c r="D13" t="s">
        <v>16614</v>
      </c>
      <c r="E13" t="s">
        <v>16718</v>
      </c>
      <c r="F13" t="s">
        <v>28669</v>
      </c>
      <c r="G13" t="s">
        <v>28675</v>
      </c>
      <c r="H13" t="s">
        <v>9998</v>
      </c>
      <c r="I13" t="s">
        <v>28687</v>
      </c>
      <c r="J13" t="s">
        <v>28833</v>
      </c>
      <c r="K13" t="s">
        <v>37213</v>
      </c>
      <c r="M13" t="s">
        <v>37507</v>
      </c>
      <c r="N13" t="s">
        <v>41249</v>
      </c>
      <c r="O13" t="s">
        <v>41250</v>
      </c>
      <c r="P13">
        <v>0</v>
      </c>
      <c r="Q13">
        <v>3</v>
      </c>
      <c r="R13" t="s">
        <v>41251</v>
      </c>
      <c r="S13" t="s">
        <v>41369</v>
      </c>
      <c r="T13" t="s">
        <v>42668</v>
      </c>
      <c r="U13" t="s">
        <v>43199</v>
      </c>
      <c r="W13" t="s">
        <v>37507</v>
      </c>
      <c r="X13" t="s">
        <v>41261</v>
      </c>
    </row>
    <row r="14" spans="1:24">
      <c r="A14">
        <f>HYPERLINK("https://www.philgeps.gov.ph/GEPSNONPILOT/Tender/SplashBidNoticeAbstractUI.aspx?menuIndex=3&amp;refID=7058721&amp;Result=3","7058721")</f>
        <v>0</v>
      </c>
      <c r="B14" t="s">
        <v>27</v>
      </c>
      <c r="C14" t="s">
        <v>3387</v>
      </c>
      <c r="D14" t="s">
        <v>16615</v>
      </c>
      <c r="E14" t="s">
        <v>16719</v>
      </c>
      <c r="F14" t="s">
        <v>28669</v>
      </c>
      <c r="G14" t="s">
        <v>28675</v>
      </c>
      <c r="H14" t="s">
        <v>28686</v>
      </c>
      <c r="I14" t="s">
        <v>28689</v>
      </c>
      <c r="J14" t="s">
        <v>28834</v>
      </c>
      <c r="K14" t="s">
        <v>37206</v>
      </c>
      <c r="M14" t="s">
        <v>37502</v>
      </c>
      <c r="N14" t="s">
        <v>41249</v>
      </c>
      <c r="O14" t="s">
        <v>41250</v>
      </c>
      <c r="P14">
        <v>0</v>
      </c>
      <c r="Q14">
        <v>0</v>
      </c>
      <c r="R14" t="s">
        <v>41251</v>
      </c>
      <c r="S14" t="s">
        <v>41369</v>
      </c>
      <c r="T14" t="s">
        <v>42662</v>
      </c>
      <c r="U14" t="s">
        <v>43200</v>
      </c>
      <c r="W14" t="s">
        <v>37502</v>
      </c>
      <c r="X14" t="s">
        <v>41262</v>
      </c>
    </row>
    <row r="15" spans="1:24">
      <c r="A15">
        <f>HYPERLINK("https://www.philgeps.gov.ph/GEPSNONPILOT/Tender/SplashBidNoticeAbstractUI.aspx?menuIndex=3&amp;refID=7061738&amp;Result=3","7061738")</f>
        <v>0</v>
      </c>
      <c r="B15" t="s">
        <v>33</v>
      </c>
      <c r="C15" t="s">
        <v>3388</v>
      </c>
      <c r="D15" t="s">
        <v>16616</v>
      </c>
      <c r="E15" t="s">
        <v>3388</v>
      </c>
      <c r="F15" t="s">
        <v>28669</v>
      </c>
      <c r="G15" t="s">
        <v>28675</v>
      </c>
      <c r="H15" t="s">
        <v>9998</v>
      </c>
      <c r="I15" t="s">
        <v>3718</v>
      </c>
      <c r="J15" t="s">
        <v>28835</v>
      </c>
      <c r="K15" t="s">
        <v>37204</v>
      </c>
      <c r="M15" t="s">
        <v>37508</v>
      </c>
      <c r="N15" t="s">
        <v>41249</v>
      </c>
      <c r="O15" t="s">
        <v>41250</v>
      </c>
      <c r="P15">
        <v>0</v>
      </c>
      <c r="Q15">
        <v>2</v>
      </c>
      <c r="R15" t="s">
        <v>41251</v>
      </c>
      <c r="S15" t="s">
        <v>41369</v>
      </c>
      <c r="T15" t="s">
        <v>42669</v>
      </c>
      <c r="U15" t="s">
        <v>43201</v>
      </c>
      <c r="V15" t="s">
        <v>54251</v>
      </c>
      <c r="W15" t="s">
        <v>37508</v>
      </c>
      <c r="X15" t="s">
        <v>41260</v>
      </c>
    </row>
    <row r="16" spans="1:24">
      <c r="A16">
        <f>HYPERLINK("https://www.philgeps.gov.ph/GEPSNONPILOT/Tender/SplashBidNoticeAbstractUI.aspx?menuIndex=3&amp;refID=7059625&amp;Result=3","7059625")</f>
        <v>0</v>
      </c>
      <c r="B16" t="s">
        <v>32</v>
      </c>
      <c r="C16" t="s">
        <v>3389</v>
      </c>
      <c r="D16" t="s">
        <v>16614</v>
      </c>
      <c r="E16" t="s">
        <v>16720</v>
      </c>
      <c r="F16" t="s">
        <v>28669</v>
      </c>
      <c r="G16" t="s">
        <v>28675</v>
      </c>
      <c r="H16" t="s">
        <v>9998</v>
      </c>
      <c r="I16" t="s">
        <v>28691</v>
      </c>
      <c r="J16" t="s">
        <v>28836</v>
      </c>
      <c r="K16" t="s">
        <v>37214</v>
      </c>
      <c r="M16" t="s">
        <v>37507</v>
      </c>
      <c r="N16" t="s">
        <v>41249</v>
      </c>
      <c r="O16" t="s">
        <v>41250</v>
      </c>
      <c r="P16">
        <v>0</v>
      </c>
      <c r="Q16">
        <v>0</v>
      </c>
      <c r="R16" t="s">
        <v>41251</v>
      </c>
      <c r="S16" t="s">
        <v>41369</v>
      </c>
      <c r="T16" t="s">
        <v>42668</v>
      </c>
      <c r="U16" t="s">
        <v>43202</v>
      </c>
      <c r="W16" t="s">
        <v>37507</v>
      </c>
      <c r="X16" t="s">
        <v>41261</v>
      </c>
    </row>
    <row r="17" spans="1:24">
      <c r="A17">
        <f>HYPERLINK("https://www.philgeps.gov.ph/GEPSNONPILOT/Tender/SplashBidNoticeAbstractUI.aspx?menuIndex=3&amp;refID=7060460&amp;Result=3","7060460")</f>
        <v>0</v>
      </c>
      <c r="B17" t="s">
        <v>31</v>
      </c>
      <c r="C17" t="s">
        <v>3390</v>
      </c>
      <c r="E17" t="s">
        <v>16721</v>
      </c>
      <c r="F17" t="s">
        <v>28669</v>
      </c>
      <c r="G17" t="s">
        <v>28675</v>
      </c>
      <c r="H17" t="s">
        <v>28686</v>
      </c>
      <c r="I17" t="s">
        <v>28689</v>
      </c>
      <c r="J17" t="s">
        <v>28837</v>
      </c>
      <c r="K17" t="s">
        <v>37211</v>
      </c>
      <c r="M17" t="s">
        <v>37506</v>
      </c>
      <c r="N17" t="s">
        <v>41249</v>
      </c>
      <c r="O17" t="s">
        <v>41250</v>
      </c>
      <c r="P17">
        <v>0</v>
      </c>
      <c r="Q17">
        <v>5</v>
      </c>
      <c r="R17" t="s">
        <v>41251</v>
      </c>
      <c r="S17" t="s">
        <v>41369</v>
      </c>
      <c r="T17" t="s">
        <v>42667</v>
      </c>
      <c r="U17" t="s">
        <v>43203</v>
      </c>
      <c r="W17" t="s">
        <v>37506</v>
      </c>
      <c r="X17" t="s">
        <v>41261</v>
      </c>
    </row>
    <row r="18" spans="1:24">
      <c r="A18">
        <f>HYPERLINK("https://www.philgeps.gov.ph/GEPSNONPILOT/Tender/SplashBidNoticeAbstractUI.aspx?menuIndex=3&amp;refID=7058708&amp;Result=3","7058708")</f>
        <v>0</v>
      </c>
      <c r="B18" t="s">
        <v>27</v>
      </c>
      <c r="C18" t="s">
        <v>3391</v>
      </c>
      <c r="D18" t="s">
        <v>16615</v>
      </c>
      <c r="E18" t="s">
        <v>16722</v>
      </c>
      <c r="F18" t="s">
        <v>28669</v>
      </c>
      <c r="G18" t="s">
        <v>28675</v>
      </c>
      <c r="H18" t="s">
        <v>28686</v>
      </c>
      <c r="I18" t="s">
        <v>28689</v>
      </c>
      <c r="J18" t="s">
        <v>28838</v>
      </c>
      <c r="K18" t="s">
        <v>37206</v>
      </c>
      <c r="M18" t="s">
        <v>37502</v>
      </c>
      <c r="N18" t="s">
        <v>41249</v>
      </c>
      <c r="O18" t="s">
        <v>41250</v>
      </c>
      <c r="P18">
        <v>0</v>
      </c>
      <c r="Q18">
        <v>0</v>
      </c>
      <c r="R18" t="s">
        <v>41251</v>
      </c>
      <c r="S18" t="s">
        <v>41369</v>
      </c>
      <c r="T18" t="s">
        <v>42662</v>
      </c>
      <c r="U18" t="s">
        <v>43204</v>
      </c>
      <c r="W18" t="s">
        <v>37502</v>
      </c>
      <c r="X18" t="s">
        <v>41262</v>
      </c>
    </row>
    <row r="19" spans="1:24">
      <c r="A19">
        <f>HYPERLINK("https://www.philgeps.gov.ph/GEPSNONPILOT/Tender/SplashBidNoticeAbstractUI.aspx?menuIndex=3&amp;refID=7060417&amp;Result=3","7060417")</f>
        <v>0</v>
      </c>
      <c r="B19" t="s">
        <v>31</v>
      </c>
      <c r="C19" t="s">
        <v>3392</v>
      </c>
      <c r="E19" t="s">
        <v>16723</v>
      </c>
      <c r="F19" t="s">
        <v>28669</v>
      </c>
      <c r="G19" t="s">
        <v>28675</v>
      </c>
      <c r="H19" t="s">
        <v>28686</v>
      </c>
      <c r="I19" t="s">
        <v>28689</v>
      </c>
      <c r="J19" t="s">
        <v>28839</v>
      </c>
      <c r="K19" t="s">
        <v>37215</v>
      </c>
      <c r="M19" t="s">
        <v>37506</v>
      </c>
      <c r="N19" t="s">
        <v>41249</v>
      </c>
      <c r="O19" t="s">
        <v>41250</v>
      </c>
      <c r="P19">
        <v>0</v>
      </c>
      <c r="Q19">
        <v>5</v>
      </c>
      <c r="R19" t="s">
        <v>41251</v>
      </c>
      <c r="S19" t="s">
        <v>41369</v>
      </c>
      <c r="T19" t="s">
        <v>42667</v>
      </c>
      <c r="U19" t="s">
        <v>43205</v>
      </c>
      <c r="W19" t="s">
        <v>37506</v>
      </c>
      <c r="X19" t="s">
        <v>41261</v>
      </c>
    </row>
    <row r="20" spans="1:24">
      <c r="A20">
        <f>HYPERLINK("https://www.philgeps.gov.ph/GEPSNONPILOT/Tender/SplashBidNoticeAbstractUI.aspx?menuIndex=3&amp;refID=7067929&amp;Result=3","7067929")</f>
        <v>0</v>
      </c>
      <c r="B20" t="s">
        <v>33</v>
      </c>
      <c r="C20" t="s">
        <v>3393</v>
      </c>
      <c r="D20" t="s">
        <v>16616</v>
      </c>
      <c r="E20" t="s">
        <v>16724</v>
      </c>
      <c r="F20" t="s">
        <v>28669</v>
      </c>
      <c r="G20" t="s">
        <v>28675</v>
      </c>
      <c r="H20" t="s">
        <v>9998</v>
      </c>
      <c r="I20" t="s">
        <v>6458</v>
      </c>
      <c r="J20" t="s">
        <v>28840</v>
      </c>
      <c r="K20" t="s">
        <v>37216</v>
      </c>
      <c r="M20" t="s">
        <v>37508</v>
      </c>
      <c r="N20" t="s">
        <v>41249</v>
      </c>
      <c r="O20" t="s">
        <v>41250</v>
      </c>
      <c r="P20">
        <v>0</v>
      </c>
      <c r="Q20">
        <v>0</v>
      </c>
      <c r="R20" t="s">
        <v>41251</v>
      </c>
      <c r="S20" t="s">
        <v>41369</v>
      </c>
      <c r="T20" t="s">
        <v>42670</v>
      </c>
      <c r="U20" t="s">
        <v>43206</v>
      </c>
      <c r="V20" t="s">
        <v>54252</v>
      </c>
      <c r="W20" t="s">
        <v>37508</v>
      </c>
      <c r="X20" t="s">
        <v>41258</v>
      </c>
    </row>
    <row r="21" spans="1:24">
      <c r="A21">
        <f>HYPERLINK("https://www.philgeps.gov.ph/GEPSNONPILOT/Tender/SplashBidNoticeAbstractUI.aspx?menuIndex=3&amp;refID=7066251&amp;Result=3","7066251")</f>
        <v>0</v>
      </c>
      <c r="B21" t="s">
        <v>34</v>
      </c>
      <c r="C21" t="s">
        <v>3394</v>
      </c>
      <c r="D21" t="s">
        <v>16617</v>
      </c>
      <c r="E21" t="s">
        <v>16725</v>
      </c>
      <c r="F21" t="s">
        <v>28669</v>
      </c>
      <c r="G21" t="s">
        <v>28675</v>
      </c>
      <c r="H21" t="s">
        <v>9998</v>
      </c>
      <c r="I21" t="s">
        <v>28692</v>
      </c>
      <c r="J21" t="s">
        <v>28841</v>
      </c>
      <c r="K21" t="s">
        <v>37209</v>
      </c>
      <c r="M21" t="s">
        <v>37509</v>
      </c>
      <c r="N21" t="s">
        <v>41249</v>
      </c>
      <c r="O21" t="s">
        <v>41250</v>
      </c>
      <c r="P21">
        <v>0</v>
      </c>
      <c r="Q21">
        <v>2</v>
      </c>
      <c r="R21" t="s">
        <v>41251</v>
      </c>
      <c r="S21" t="s">
        <v>41369</v>
      </c>
      <c r="T21" t="s">
        <v>42671</v>
      </c>
      <c r="U21" t="s">
        <v>43207</v>
      </c>
      <c r="W21" t="s">
        <v>37509</v>
      </c>
      <c r="X21" t="s">
        <v>41259</v>
      </c>
    </row>
    <row r="22" spans="1:24">
      <c r="A22">
        <f>HYPERLINK("https://www.philgeps.gov.ph/GEPSNONPILOT/Tender/SplashBidNoticeAbstractUI.aspx?menuIndex=3&amp;refID=7066213&amp;Result=3","7066213")</f>
        <v>0</v>
      </c>
      <c r="B22" t="s">
        <v>34</v>
      </c>
      <c r="C22" t="s">
        <v>3395</v>
      </c>
      <c r="D22" t="s">
        <v>16617</v>
      </c>
      <c r="E22" t="s">
        <v>16726</v>
      </c>
      <c r="F22" t="s">
        <v>28669</v>
      </c>
      <c r="G22" t="s">
        <v>28675</v>
      </c>
      <c r="H22" t="s">
        <v>9998</v>
      </c>
      <c r="I22" t="s">
        <v>5286</v>
      </c>
      <c r="J22" t="s">
        <v>28842</v>
      </c>
      <c r="K22" t="s">
        <v>37209</v>
      </c>
      <c r="M22" t="s">
        <v>37509</v>
      </c>
      <c r="N22" t="s">
        <v>41249</v>
      </c>
      <c r="O22" t="s">
        <v>41250</v>
      </c>
      <c r="P22">
        <v>0</v>
      </c>
      <c r="Q22">
        <v>6</v>
      </c>
      <c r="R22" t="s">
        <v>41251</v>
      </c>
      <c r="S22" t="s">
        <v>41369</v>
      </c>
      <c r="T22" t="s">
        <v>42672</v>
      </c>
      <c r="U22" t="s">
        <v>43208</v>
      </c>
      <c r="W22" t="s">
        <v>37509</v>
      </c>
      <c r="X22" t="s">
        <v>41259</v>
      </c>
    </row>
    <row r="23" spans="1:24">
      <c r="A23">
        <f>HYPERLINK("https://www.philgeps.gov.ph/GEPSNONPILOT/Tender/SplashBidNoticeAbstractUI.aspx?menuIndex=3&amp;refID=7049312&amp;Result=3","7049312")</f>
        <v>0</v>
      </c>
      <c r="B23" t="s">
        <v>35</v>
      </c>
      <c r="C23" t="s">
        <v>3396</v>
      </c>
      <c r="D23" t="s">
        <v>16618</v>
      </c>
      <c r="E23" t="s">
        <v>16727</v>
      </c>
      <c r="F23" t="s">
        <v>28669</v>
      </c>
      <c r="G23" t="s">
        <v>28676</v>
      </c>
      <c r="H23" t="s">
        <v>9998</v>
      </c>
      <c r="I23" t="s">
        <v>7352</v>
      </c>
      <c r="J23" t="s">
        <v>28843</v>
      </c>
      <c r="K23" t="s">
        <v>37206</v>
      </c>
      <c r="M23" t="s">
        <v>37510</v>
      </c>
      <c r="N23" t="s">
        <v>41249</v>
      </c>
      <c r="O23" t="s">
        <v>41250</v>
      </c>
      <c r="P23">
        <v>0</v>
      </c>
      <c r="Q23">
        <v>0</v>
      </c>
      <c r="R23" t="s">
        <v>41251</v>
      </c>
      <c r="S23" t="s">
        <v>41369</v>
      </c>
      <c r="T23" t="s">
        <v>42673</v>
      </c>
      <c r="U23" t="s">
        <v>43209</v>
      </c>
      <c r="W23" t="s">
        <v>37510</v>
      </c>
      <c r="X23" t="s">
        <v>41267</v>
      </c>
    </row>
    <row r="24" spans="1:24">
      <c r="A24">
        <f>HYPERLINK("https://www.philgeps.gov.ph/GEPSNONPILOT/Tender/SplashBidNoticeAbstractUI.aspx?menuIndex=3&amp;refID=7068126&amp;Result=3","7068126")</f>
        <v>0</v>
      </c>
      <c r="B24" t="s">
        <v>36</v>
      </c>
      <c r="C24" t="s">
        <v>3397</v>
      </c>
      <c r="D24" t="s">
        <v>16619</v>
      </c>
      <c r="E24" t="s">
        <v>16728</v>
      </c>
      <c r="F24" t="s">
        <v>28669</v>
      </c>
      <c r="G24" t="s">
        <v>28676</v>
      </c>
      <c r="H24" t="s">
        <v>9998</v>
      </c>
      <c r="I24" t="s">
        <v>15140</v>
      </c>
      <c r="J24" t="s">
        <v>28844</v>
      </c>
      <c r="K24" t="s">
        <v>37210</v>
      </c>
      <c r="M24" t="s">
        <v>37511</v>
      </c>
      <c r="N24" t="s">
        <v>41249</v>
      </c>
      <c r="O24" t="s">
        <v>41250</v>
      </c>
      <c r="P24">
        <v>0</v>
      </c>
      <c r="Q24">
        <v>0</v>
      </c>
      <c r="R24" t="s">
        <v>41251</v>
      </c>
      <c r="S24" t="s">
        <v>41369</v>
      </c>
      <c r="T24" t="s">
        <v>42674</v>
      </c>
      <c r="U24" t="s">
        <v>43210</v>
      </c>
      <c r="V24" t="s">
        <v>54253</v>
      </c>
      <c r="W24" t="s">
        <v>37511</v>
      </c>
      <c r="X24" t="s">
        <v>41258</v>
      </c>
    </row>
    <row r="25" spans="1:24">
      <c r="A25">
        <f>HYPERLINK("https://www.philgeps.gov.ph/GEPSNONPILOT/Tender/SplashBidNoticeAbstractUI.aspx?menuIndex=3&amp;refID=7065708&amp;Result=3","7065708")</f>
        <v>0</v>
      </c>
      <c r="B25" t="s">
        <v>37</v>
      </c>
      <c r="C25" t="s">
        <v>3398</v>
      </c>
      <c r="D25" t="s">
        <v>16620</v>
      </c>
      <c r="E25" t="s">
        <v>16729</v>
      </c>
      <c r="F25" t="s">
        <v>28669</v>
      </c>
      <c r="G25" t="s">
        <v>28675</v>
      </c>
      <c r="H25" t="s">
        <v>28686</v>
      </c>
      <c r="I25" t="s">
        <v>28689</v>
      </c>
      <c r="J25" t="s">
        <v>28845</v>
      </c>
      <c r="K25" t="s">
        <v>37206</v>
      </c>
      <c r="M25" t="s">
        <v>37512</v>
      </c>
      <c r="N25" t="s">
        <v>41249</v>
      </c>
      <c r="O25" t="s">
        <v>41250</v>
      </c>
      <c r="P25">
        <v>0</v>
      </c>
      <c r="Q25">
        <v>0</v>
      </c>
      <c r="R25" t="s">
        <v>41251</v>
      </c>
      <c r="S25" t="s">
        <v>41369</v>
      </c>
      <c r="T25" t="s">
        <v>42672</v>
      </c>
      <c r="U25" t="s">
        <v>43211</v>
      </c>
      <c r="W25" t="s">
        <v>37512</v>
      </c>
      <c r="X25" t="s">
        <v>41259</v>
      </c>
    </row>
    <row r="26" spans="1:24">
      <c r="A26">
        <f>HYPERLINK("https://www.philgeps.gov.ph/GEPSNONPILOT/Tender/SplashBidNoticeAbstractUI.aspx?menuIndex=3&amp;refID=7065667&amp;Result=3","7065667")</f>
        <v>0</v>
      </c>
      <c r="B26" t="s">
        <v>37</v>
      </c>
      <c r="C26" t="s">
        <v>3399</v>
      </c>
      <c r="D26" t="s">
        <v>16620</v>
      </c>
      <c r="E26" t="s">
        <v>16730</v>
      </c>
      <c r="F26" t="s">
        <v>28669</v>
      </c>
      <c r="G26" t="s">
        <v>28675</v>
      </c>
      <c r="H26" t="s">
        <v>28686</v>
      </c>
      <c r="I26" t="s">
        <v>28689</v>
      </c>
      <c r="J26" t="s">
        <v>28846</v>
      </c>
      <c r="K26" t="s">
        <v>37213</v>
      </c>
      <c r="M26" t="s">
        <v>37512</v>
      </c>
      <c r="N26" t="s">
        <v>41249</v>
      </c>
      <c r="O26" t="s">
        <v>41250</v>
      </c>
      <c r="P26">
        <v>0</v>
      </c>
      <c r="Q26">
        <v>0</v>
      </c>
      <c r="R26" t="s">
        <v>41251</v>
      </c>
      <c r="S26" t="s">
        <v>41369</v>
      </c>
      <c r="T26" t="s">
        <v>42672</v>
      </c>
      <c r="U26" t="s">
        <v>43212</v>
      </c>
      <c r="W26" t="s">
        <v>37512</v>
      </c>
      <c r="X26" t="s">
        <v>41259</v>
      </c>
    </row>
    <row r="27" spans="1:24">
      <c r="A27">
        <f>HYPERLINK("https://www.philgeps.gov.ph/GEPSNONPILOT/Tender/SplashBidNoticeAbstractUI.aspx?menuIndex=3&amp;refID=7065623&amp;Result=3","7065623")</f>
        <v>0</v>
      </c>
      <c r="B27" t="s">
        <v>37</v>
      </c>
      <c r="C27" t="s">
        <v>3400</v>
      </c>
      <c r="D27" t="s">
        <v>16620</v>
      </c>
      <c r="E27" t="s">
        <v>16731</v>
      </c>
      <c r="F27" t="s">
        <v>28669</v>
      </c>
      <c r="G27" t="s">
        <v>28675</v>
      </c>
      <c r="H27" t="s">
        <v>28686</v>
      </c>
      <c r="I27" t="s">
        <v>28689</v>
      </c>
      <c r="J27" t="s">
        <v>28847</v>
      </c>
      <c r="K27" t="s">
        <v>37217</v>
      </c>
      <c r="M27" t="s">
        <v>37512</v>
      </c>
      <c r="N27" t="s">
        <v>41249</v>
      </c>
      <c r="O27" t="s">
        <v>41250</v>
      </c>
      <c r="P27">
        <v>0</v>
      </c>
      <c r="Q27">
        <v>0</v>
      </c>
      <c r="R27" t="s">
        <v>41251</v>
      </c>
      <c r="S27" t="s">
        <v>41369</v>
      </c>
      <c r="T27" t="s">
        <v>42672</v>
      </c>
      <c r="U27" t="s">
        <v>43213</v>
      </c>
      <c r="W27" t="s">
        <v>37512</v>
      </c>
      <c r="X27" t="s">
        <v>41259</v>
      </c>
    </row>
    <row r="28" spans="1:24">
      <c r="A28">
        <f>HYPERLINK("https://www.philgeps.gov.ph/GEPSNONPILOT/Tender/SplashBidNoticeAbstractUI.aspx?menuIndex=3&amp;refID=7065485&amp;Result=3","7065485")</f>
        <v>0</v>
      </c>
      <c r="B28" t="s">
        <v>38</v>
      </c>
      <c r="C28" t="s">
        <v>3401</v>
      </c>
      <c r="D28" t="s">
        <v>16621</v>
      </c>
      <c r="E28" t="s">
        <v>16732</v>
      </c>
      <c r="F28" t="s">
        <v>28669</v>
      </c>
      <c r="G28" t="s">
        <v>28676</v>
      </c>
      <c r="H28" t="s">
        <v>9998</v>
      </c>
      <c r="I28" t="s">
        <v>11142</v>
      </c>
      <c r="J28" t="s">
        <v>28848</v>
      </c>
      <c r="K28" t="s">
        <v>37208</v>
      </c>
      <c r="M28" t="s">
        <v>37513</v>
      </c>
      <c r="N28" t="s">
        <v>41249</v>
      </c>
      <c r="O28" t="s">
        <v>41250</v>
      </c>
      <c r="P28">
        <v>0</v>
      </c>
      <c r="Q28">
        <v>2</v>
      </c>
      <c r="R28" t="s">
        <v>41251</v>
      </c>
      <c r="S28" t="s">
        <v>41369</v>
      </c>
      <c r="T28" t="s">
        <v>42675</v>
      </c>
      <c r="U28" t="s">
        <v>43214</v>
      </c>
      <c r="V28" t="s">
        <v>54254</v>
      </c>
      <c r="W28" t="s">
        <v>37513</v>
      </c>
      <c r="X28" t="s">
        <v>41259</v>
      </c>
    </row>
    <row r="29" spans="1:24">
      <c r="A29">
        <f>HYPERLINK("https://www.philgeps.gov.ph/GEPSNONPILOT/Tender/SplashBidNoticeAbstractUI.aspx?menuIndex=3&amp;refID=7060506&amp;Result=3","7060506")</f>
        <v>0</v>
      </c>
      <c r="B29" t="s">
        <v>31</v>
      </c>
      <c r="C29" t="s">
        <v>3402</v>
      </c>
      <c r="E29" t="s">
        <v>16733</v>
      </c>
      <c r="F29" t="s">
        <v>28669</v>
      </c>
      <c r="G29" t="s">
        <v>28675</v>
      </c>
      <c r="H29" t="s">
        <v>28686</v>
      </c>
      <c r="I29" t="s">
        <v>28689</v>
      </c>
      <c r="J29" t="s">
        <v>28849</v>
      </c>
      <c r="K29" t="s">
        <v>37218</v>
      </c>
      <c r="M29" t="s">
        <v>37506</v>
      </c>
      <c r="N29" t="s">
        <v>41249</v>
      </c>
      <c r="O29" t="s">
        <v>41250</v>
      </c>
      <c r="P29">
        <v>0</v>
      </c>
      <c r="Q29">
        <v>6</v>
      </c>
      <c r="R29" t="s">
        <v>41251</v>
      </c>
      <c r="S29" t="s">
        <v>41369</v>
      </c>
      <c r="T29" t="s">
        <v>42667</v>
      </c>
      <c r="U29" t="s">
        <v>43215</v>
      </c>
      <c r="W29" t="s">
        <v>37506</v>
      </c>
      <c r="X29" t="s">
        <v>41261</v>
      </c>
    </row>
    <row r="30" spans="1:24">
      <c r="A30">
        <f>HYPERLINK("https://www.philgeps.gov.ph/GEPSNONPILOT/Tender/SplashBidNoticeAbstractUI.aspx?menuIndex=3&amp;refID=7065582&amp;Result=3","7065582")</f>
        <v>0</v>
      </c>
      <c r="B30" t="s">
        <v>37</v>
      </c>
      <c r="C30" t="s">
        <v>3403</v>
      </c>
      <c r="D30" t="s">
        <v>16620</v>
      </c>
      <c r="E30" t="s">
        <v>16734</v>
      </c>
      <c r="F30" t="s">
        <v>28669</v>
      </c>
      <c r="G30" t="s">
        <v>28675</v>
      </c>
      <c r="H30" t="s">
        <v>28686</v>
      </c>
      <c r="I30" t="s">
        <v>28689</v>
      </c>
      <c r="J30" t="s">
        <v>28850</v>
      </c>
      <c r="K30" t="s">
        <v>37219</v>
      </c>
      <c r="M30" t="s">
        <v>37512</v>
      </c>
      <c r="N30" t="s">
        <v>41249</v>
      </c>
      <c r="O30" t="s">
        <v>41250</v>
      </c>
      <c r="P30">
        <v>0</v>
      </c>
      <c r="Q30">
        <v>2</v>
      </c>
      <c r="R30" t="s">
        <v>41251</v>
      </c>
      <c r="S30" t="s">
        <v>41369</v>
      </c>
      <c r="T30" t="s">
        <v>42672</v>
      </c>
      <c r="U30" t="s">
        <v>43216</v>
      </c>
      <c r="W30" t="s">
        <v>37512</v>
      </c>
      <c r="X30" t="s">
        <v>41259</v>
      </c>
    </row>
    <row r="31" spans="1:24">
      <c r="A31">
        <f>HYPERLINK("https://www.philgeps.gov.ph/GEPSNONPILOT/Tender/SplashBidNoticeAbstractUI.aspx?menuIndex=3&amp;refID=7063122&amp;Result=3","7063122")</f>
        <v>0</v>
      </c>
      <c r="B31" t="s">
        <v>39</v>
      </c>
      <c r="C31" t="s">
        <v>3404</v>
      </c>
      <c r="E31" t="s">
        <v>16735</v>
      </c>
      <c r="F31" t="s">
        <v>28669</v>
      </c>
      <c r="G31" t="s">
        <v>28675</v>
      </c>
      <c r="H31" t="s">
        <v>28686</v>
      </c>
      <c r="I31" t="s">
        <v>28689</v>
      </c>
      <c r="J31" t="s">
        <v>28851</v>
      </c>
      <c r="K31" t="s">
        <v>37209</v>
      </c>
      <c r="M31" t="s">
        <v>37514</v>
      </c>
      <c r="N31" t="s">
        <v>41249</v>
      </c>
      <c r="O31" t="s">
        <v>41250</v>
      </c>
      <c r="P31">
        <v>0</v>
      </c>
      <c r="Q31">
        <v>0</v>
      </c>
      <c r="R31" t="s">
        <v>41251</v>
      </c>
      <c r="S31" t="s">
        <v>41369</v>
      </c>
      <c r="T31" t="s">
        <v>42676</v>
      </c>
      <c r="U31" t="s">
        <v>43217</v>
      </c>
      <c r="W31" t="s">
        <v>37514</v>
      </c>
      <c r="X31" t="s">
        <v>41260</v>
      </c>
    </row>
    <row r="32" spans="1:24">
      <c r="A32">
        <f>HYPERLINK("https://www.philgeps.gov.ph/GEPSNONPILOT/Tender/SplashBidNoticeAbstractUI.aspx?menuIndex=3&amp;refID=7065286&amp;Result=3","7065286")</f>
        <v>0</v>
      </c>
      <c r="B32" t="s">
        <v>40</v>
      </c>
      <c r="C32" t="s">
        <v>3405</v>
      </c>
      <c r="D32" t="s">
        <v>16616</v>
      </c>
      <c r="E32" t="s">
        <v>16736</v>
      </c>
      <c r="F32" t="s">
        <v>28669</v>
      </c>
      <c r="G32" t="s">
        <v>28675</v>
      </c>
      <c r="H32" t="s">
        <v>9998</v>
      </c>
      <c r="I32" t="s">
        <v>3718</v>
      </c>
      <c r="J32" t="s">
        <v>28852</v>
      </c>
      <c r="K32" t="s">
        <v>37204</v>
      </c>
      <c r="M32" t="s">
        <v>37515</v>
      </c>
      <c r="N32" t="s">
        <v>41249</v>
      </c>
      <c r="O32" t="s">
        <v>41250</v>
      </c>
      <c r="P32">
        <v>0</v>
      </c>
      <c r="Q32">
        <v>0</v>
      </c>
      <c r="R32" t="s">
        <v>41251</v>
      </c>
      <c r="S32" t="s">
        <v>41369</v>
      </c>
      <c r="T32" t="s">
        <v>42677</v>
      </c>
      <c r="U32" t="s">
        <v>43218</v>
      </c>
      <c r="V32" t="s">
        <v>54255</v>
      </c>
      <c r="W32" t="s">
        <v>37515</v>
      </c>
      <c r="X32" t="s">
        <v>41259</v>
      </c>
    </row>
    <row r="33" spans="1:24">
      <c r="A33">
        <f>HYPERLINK("https://www.philgeps.gov.ph/GEPSNONPILOT/Tender/SplashBidNoticeAbstractUI.aspx?menuIndex=3&amp;refID=7061967&amp;Result=3","7061967")</f>
        <v>0</v>
      </c>
      <c r="B33" t="s">
        <v>41</v>
      </c>
      <c r="C33" t="s">
        <v>3406</v>
      </c>
      <c r="D33" t="s">
        <v>16622</v>
      </c>
      <c r="E33" t="s">
        <v>16737</v>
      </c>
      <c r="F33" t="s">
        <v>28669</v>
      </c>
      <c r="G33" t="s">
        <v>28676</v>
      </c>
      <c r="H33" t="s">
        <v>9998</v>
      </c>
      <c r="I33" t="s">
        <v>6458</v>
      </c>
      <c r="J33" t="s">
        <v>28853</v>
      </c>
      <c r="K33" t="s">
        <v>37216</v>
      </c>
      <c r="M33" t="s">
        <v>37516</v>
      </c>
      <c r="N33" t="s">
        <v>41249</v>
      </c>
      <c r="O33" t="s">
        <v>41250</v>
      </c>
      <c r="P33">
        <v>0</v>
      </c>
      <c r="Q33">
        <v>2</v>
      </c>
      <c r="R33" t="s">
        <v>41251</v>
      </c>
      <c r="S33" t="s">
        <v>41369</v>
      </c>
      <c r="T33" t="s">
        <v>42673</v>
      </c>
      <c r="U33" t="s">
        <v>43219</v>
      </c>
      <c r="V33" t="s">
        <v>54256</v>
      </c>
      <c r="W33" t="s">
        <v>37516</v>
      </c>
      <c r="X33" t="s">
        <v>41260</v>
      </c>
    </row>
    <row r="34" spans="1:24">
      <c r="A34">
        <f>HYPERLINK("https://www.philgeps.gov.ph/GEPSNONPILOT/Tender/SplashBidNoticeAbstractUI.aspx?menuIndex=3&amp;refID=7070430&amp;Result=3","7070430")</f>
        <v>0</v>
      </c>
      <c r="B34" t="s">
        <v>42</v>
      </c>
      <c r="C34" t="s">
        <v>3407</v>
      </c>
      <c r="D34" t="s">
        <v>16623</v>
      </c>
      <c r="E34" t="s">
        <v>16738</v>
      </c>
      <c r="F34" t="s">
        <v>28669</v>
      </c>
      <c r="G34" t="s">
        <v>28675</v>
      </c>
      <c r="H34" t="s">
        <v>9998</v>
      </c>
      <c r="I34" t="s">
        <v>28693</v>
      </c>
      <c r="J34" t="s">
        <v>28854</v>
      </c>
      <c r="K34" t="s">
        <v>37210</v>
      </c>
      <c r="M34" t="s">
        <v>37517</v>
      </c>
      <c r="N34" t="s">
        <v>41249</v>
      </c>
      <c r="O34" t="s">
        <v>41250</v>
      </c>
      <c r="P34">
        <v>0</v>
      </c>
      <c r="Q34">
        <v>8</v>
      </c>
      <c r="R34" t="s">
        <v>41251</v>
      </c>
      <c r="S34" t="s">
        <v>41369</v>
      </c>
      <c r="T34" t="s">
        <v>42678</v>
      </c>
      <c r="U34" t="s">
        <v>43220</v>
      </c>
      <c r="W34" t="s">
        <v>37517</v>
      </c>
      <c r="X34" t="s">
        <v>41257</v>
      </c>
    </row>
    <row r="35" spans="1:24">
      <c r="A35">
        <f>HYPERLINK("https://www.philgeps.gov.ph/GEPSNONPILOT/Tender/SplashBidNoticeAbstractUI.aspx?menuIndex=3&amp;refID=7063147&amp;Result=3","7063147")</f>
        <v>0</v>
      </c>
      <c r="B35" t="s">
        <v>39</v>
      </c>
      <c r="C35" t="s">
        <v>3408</v>
      </c>
      <c r="E35" t="s">
        <v>16739</v>
      </c>
      <c r="F35" t="s">
        <v>28669</v>
      </c>
      <c r="G35" t="s">
        <v>28675</v>
      </c>
      <c r="H35" t="s">
        <v>28686</v>
      </c>
      <c r="I35" t="s">
        <v>28689</v>
      </c>
      <c r="J35" t="s">
        <v>28855</v>
      </c>
      <c r="K35" t="s">
        <v>37209</v>
      </c>
      <c r="M35" t="s">
        <v>37514</v>
      </c>
      <c r="N35" t="s">
        <v>41249</v>
      </c>
      <c r="O35" t="s">
        <v>41250</v>
      </c>
      <c r="P35">
        <v>0</v>
      </c>
      <c r="Q35">
        <v>0</v>
      </c>
      <c r="R35" t="s">
        <v>41251</v>
      </c>
      <c r="S35" t="s">
        <v>41369</v>
      </c>
      <c r="T35" t="s">
        <v>42676</v>
      </c>
      <c r="U35" t="s">
        <v>43221</v>
      </c>
      <c r="W35" t="s">
        <v>37514</v>
      </c>
      <c r="X35" t="s">
        <v>41260</v>
      </c>
    </row>
    <row r="36" spans="1:24">
      <c r="A36">
        <f>HYPERLINK("https://www.philgeps.gov.ph/GEPSNONPILOT/Tender/SplashBidNoticeAbstractUI.aspx?menuIndex=3&amp;refID=7070403&amp;Result=3","7070403")</f>
        <v>0</v>
      </c>
      <c r="B36" t="s">
        <v>43</v>
      </c>
      <c r="C36" t="s">
        <v>3409</v>
      </c>
      <c r="D36" t="s">
        <v>16624</v>
      </c>
      <c r="E36" t="s">
        <v>16740</v>
      </c>
      <c r="F36" t="s">
        <v>28669</v>
      </c>
      <c r="G36" t="s">
        <v>28676</v>
      </c>
      <c r="H36" t="s">
        <v>28686</v>
      </c>
      <c r="I36" t="s">
        <v>28689</v>
      </c>
      <c r="J36" t="s">
        <v>28856</v>
      </c>
      <c r="K36" t="s">
        <v>37206</v>
      </c>
      <c r="M36" t="s">
        <v>37518</v>
      </c>
      <c r="N36" t="s">
        <v>41249</v>
      </c>
      <c r="O36" t="s">
        <v>41250</v>
      </c>
      <c r="Q36">
        <v>0</v>
      </c>
      <c r="R36" t="s">
        <v>41251</v>
      </c>
      <c r="S36" t="s">
        <v>41370</v>
      </c>
      <c r="T36" t="s">
        <v>42679</v>
      </c>
      <c r="U36" t="s">
        <v>43222</v>
      </c>
      <c r="W36" t="s">
        <v>37518</v>
      </c>
      <c r="X36" t="s">
        <v>41257</v>
      </c>
    </row>
    <row r="37" spans="1:24">
      <c r="A37">
        <f>HYPERLINK("https://www.philgeps.gov.ph/GEPSNONPILOT/Tender/SplashBidNoticeAbstractUI.aspx?menuIndex=3&amp;refID=7070396&amp;Result=3","7070396")</f>
        <v>0</v>
      </c>
      <c r="B37" t="s">
        <v>44</v>
      </c>
      <c r="C37" t="s">
        <v>3410</v>
      </c>
      <c r="D37" t="s">
        <v>16625</v>
      </c>
      <c r="E37" t="s">
        <v>16741</v>
      </c>
      <c r="F37" t="s">
        <v>28669</v>
      </c>
      <c r="G37" t="s">
        <v>28675</v>
      </c>
      <c r="H37" t="s">
        <v>28686</v>
      </c>
      <c r="I37" t="s">
        <v>28689</v>
      </c>
      <c r="J37" t="s">
        <v>28857</v>
      </c>
      <c r="K37" t="s">
        <v>37214</v>
      </c>
      <c r="M37" t="s">
        <v>37519</v>
      </c>
      <c r="N37" t="s">
        <v>41249</v>
      </c>
      <c r="O37" t="s">
        <v>41250</v>
      </c>
      <c r="P37">
        <v>0</v>
      </c>
      <c r="Q37">
        <v>0</v>
      </c>
      <c r="R37" t="s">
        <v>41251</v>
      </c>
      <c r="S37" t="s">
        <v>41369</v>
      </c>
      <c r="T37" t="s">
        <v>42680</v>
      </c>
      <c r="U37" t="s">
        <v>43223</v>
      </c>
      <c r="V37" t="s">
        <v>54257</v>
      </c>
      <c r="W37" t="s">
        <v>37519</v>
      </c>
      <c r="X37" t="s">
        <v>41257</v>
      </c>
    </row>
    <row r="38" spans="1:24">
      <c r="A38">
        <f>HYPERLINK("https://www.philgeps.gov.ph/GEPSNONPILOT/Tender/SplashBidNoticeAbstractUI.aspx?menuIndex=3&amp;refID=7062192&amp;Result=3","7062192")</f>
        <v>0</v>
      </c>
      <c r="B38" t="s">
        <v>41</v>
      </c>
      <c r="C38" t="s">
        <v>3411</v>
      </c>
      <c r="D38" t="s">
        <v>16622</v>
      </c>
      <c r="E38" t="s">
        <v>16742</v>
      </c>
      <c r="F38" t="s">
        <v>28669</v>
      </c>
      <c r="G38" t="s">
        <v>28676</v>
      </c>
      <c r="H38" t="s">
        <v>9998</v>
      </c>
      <c r="I38" t="s">
        <v>6128</v>
      </c>
      <c r="J38" t="s">
        <v>28858</v>
      </c>
      <c r="K38" t="s">
        <v>37216</v>
      </c>
      <c r="M38" t="s">
        <v>37516</v>
      </c>
      <c r="N38" t="s">
        <v>41249</v>
      </c>
      <c r="O38" t="s">
        <v>41250</v>
      </c>
      <c r="P38">
        <v>0</v>
      </c>
      <c r="Q38">
        <v>2</v>
      </c>
      <c r="R38" t="s">
        <v>41251</v>
      </c>
      <c r="S38" t="s">
        <v>41369</v>
      </c>
      <c r="T38" t="s">
        <v>42681</v>
      </c>
      <c r="U38" t="s">
        <v>43219</v>
      </c>
      <c r="V38" t="s">
        <v>54258</v>
      </c>
      <c r="W38" t="s">
        <v>37516</v>
      </c>
      <c r="X38" t="s">
        <v>41260</v>
      </c>
    </row>
    <row r="39" spans="1:24">
      <c r="A39">
        <f>HYPERLINK("https://www.philgeps.gov.ph/GEPSNONPILOT/Tender/SplashBidNoticeAbstractUI.aspx?menuIndex=3&amp;refID=7068455&amp;Result=3","7068455")</f>
        <v>0</v>
      </c>
      <c r="B39" t="s">
        <v>45</v>
      </c>
      <c r="C39" t="s">
        <v>3412</v>
      </c>
      <c r="D39" t="s">
        <v>16626</v>
      </c>
      <c r="E39" t="s">
        <v>16743</v>
      </c>
      <c r="F39" t="s">
        <v>28669</v>
      </c>
      <c r="G39" t="s">
        <v>28676</v>
      </c>
      <c r="H39" t="s">
        <v>9998</v>
      </c>
      <c r="I39" t="s">
        <v>3718</v>
      </c>
      <c r="J39" t="s">
        <v>28859</v>
      </c>
      <c r="K39" t="s">
        <v>37206</v>
      </c>
      <c r="M39" t="s">
        <v>37520</v>
      </c>
      <c r="N39" t="s">
        <v>41249</v>
      </c>
      <c r="O39" t="s">
        <v>41250</v>
      </c>
      <c r="P39">
        <v>0</v>
      </c>
      <c r="Q39">
        <v>3</v>
      </c>
      <c r="R39" t="s">
        <v>41251</v>
      </c>
      <c r="S39" t="s">
        <v>41369</v>
      </c>
      <c r="T39" t="s">
        <v>42682</v>
      </c>
      <c r="U39" t="s">
        <v>43224</v>
      </c>
      <c r="W39" t="s">
        <v>37520</v>
      </c>
      <c r="X39" t="s">
        <v>41258</v>
      </c>
    </row>
    <row r="40" spans="1:24">
      <c r="A40">
        <f>HYPERLINK("https://www.philgeps.gov.ph/GEPSNONPILOT/Tender/SplashBidNoticeAbstractUI.aspx?menuIndex=3&amp;refID=7069970&amp;Result=3","7069970")</f>
        <v>0</v>
      </c>
      <c r="B40" t="s">
        <v>46</v>
      </c>
      <c r="C40" t="s">
        <v>3413</v>
      </c>
      <c r="D40" t="s">
        <v>16627</v>
      </c>
      <c r="E40" t="s">
        <v>16744</v>
      </c>
      <c r="F40" t="s">
        <v>28669</v>
      </c>
      <c r="G40" t="s">
        <v>28675</v>
      </c>
      <c r="H40" t="s">
        <v>9998</v>
      </c>
      <c r="I40" t="s">
        <v>7352</v>
      </c>
      <c r="J40" t="s">
        <v>28860</v>
      </c>
      <c r="K40" t="s">
        <v>37209</v>
      </c>
      <c r="M40" t="s">
        <v>37521</v>
      </c>
      <c r="N40" t="s">
        <v>41249</v>
      </c>
      <c r="O40" t="s">
        <v>41250</v>
      </c>
      <c r="P40">
        <v>0</v>
      </c>
      <c r="Q40">
        <v>0</v>
      </c>
      <c r="R40" t="s">
        <v>41251</v>
      </c>
      <c r="S40" t="s">
        <v>41369</v>
      </c>
      <c r="T40" t="s">
        <v>42676</v>
      </c>
      <c r="U40" t="s">
        <v>43225</v>
      </c>
      <c r="W40" t="s">
        <v>37521</v>
      </c>
      <c r="X40" t="s">
        <v>41258</v>
      </c>
    </row>
    <row r="41" spans="1:24">
      <c r="A41">
        <f>HYPERLINK("https://www.philgeps.gov.ph/GEPSNONPILOT/Tender/SplashBidNoticeAbstractUI.aspx?menuIndex=3&amp;refID=7069963&amp;Result=3","7069963")</f>
        <v>0</v>
      </c>
      <c r="B41" t="s">
        <v>47</v>
      </c>
      <c r="C41" t="s">
        <v>3414</v>
      </c>
      <c r="D41" t="s">
        <v>16611</v>
      </c>
      <c r="E41" t="s">
        <v>16745</v>
      </c>
      <c r="F41" t="s">
        <v>28669</v>
      </c>
      <c r="G41" t="s">
        <v>28675</v>
      </c>
      <c r="H41" t="s">
        <v>28686</v>
      </c>
      <c r="I41" t="s">
        <v>28689</v>
      </c>
      <c r="J41" t="s">
        <v>28861</v>
      </c>
      <c r="K41" t="s">
        <v>37220</v>
      </c>
      <c r="M41" t="s">
        <v>37522</v>
      </c>
      <c r="N41" t="s">
        <v>41249</v>
      </c>
      <c r="O41" t="s">
        <v>41250</v>
      </c>
      <c r="P41">
        <v>0</v>
      </c>
      <c r="Q41">
        <v>0</v>
      </c>
      <c r="R41" t="s">
        <v>41251</v>
      </c>
      <c r="S41" t="s">
        <v>41369</v>
      </c>
      <c r="T41" t="s">
        <v>42683</v>
      </c>
      <c r="U41" t="s">
        <v>43226</v>
      </c>
      <c r="W41" t="s">
        <v>37522</v>
      </c>
      <c r="X41" t="s">
        <v>41258</v>
      </c>
    </row>
    <row r="42" spans="1:24">
      <c r="A42">
        <f>HYPERLINK("https://www.philgeps.gov.ph/GEPSNONPILOT/Tender/SplashBidNoticeAbstractUI.aspx?menuIndex=3&amp;refID=7070361&amp;Result=3","7070361")</f>
        <v>0</v>
      </c>
      <c r="B42" t="s">
        <v>48</v>
      </c>
      <c r="C42" t="s">
        <v>3415</v>
      </c>
      <c r="D42" t="s">
        <v>16628</v>
      </c>
      <c r="E42" t="s">
        <v>16746</v>
      </c>
      <c r="F42" t="s">
        <v>28669</v>
      </c>
      <c r="G42" t="s">
        <v>28675</v>
      </c>
      <c r="H42" t="s">
        <v>9998</v>
      </c>
      <c r="I42" t="s">
        <v>28694</v>
      </c>
      <c r="J42" t="s">
        <v>28862</v>
      </c>
      <c r="K42" t="s">
        <v>37221</v>
      </c>
      <c r="M42" t="s">
        <v>37523</v>
      </c>
      <c r="N42" t="s">
        <v>41249</v>
      </c>
      <c r="O42" t="s">
        <v>41250</v>
      </c>
      <c r="P42">
        <v>0</v>
      </c>
      <c r="Q42">
        <v>0</v>
      </c>
      <c r="R42" t="s">
        <v>41251</v>
      </c>
      <c r="S42" t="s">
        <v>41369</v>
      </c>
      <c r="T42" t="s">
        <v>42684</v>
      </c>
      <c r="U42" t="s">
        <v>43227</v>
      </c>
      <c r="W42" t="s">
        <v>37523</v>
      </c>
      <c r="X42" t="s">
        <v>41257</v>
      </c>
    </row>
    <row r="43" spans="1:24">
      <c r="A43">
        <f>HYPERLINK("https://www.philgeps.gov.ph/GEPSNONPILOT/Tender/SplashBidNoticeAbstractUI.aspx?menuIndex=3&amp;refID=7069586&amp;Result=3","7069586")</f>
        <v>0</v>
      </c>
      <c r="B43" t="s">
        <v>49</v>
      </c>
      <c r="C43" t="s">
        <v>3416</v>
      </c>
      <c r="D43" t="s">
        <v>16629</v>
      </c>
      <c r="E43" t="s">
        <v>16747</v>
      </c>
      <c r="F43" t="s">
        <v>28669</v>
      </c>
      <c r="G43" t="s">
        <v>28675</v>
      </c>
      <c r="H43" t="s">
        <v>28686</v>
      </c>
      <c r="I43" t="s">
        <v>28689</v>
      </c>
      <c r="J43" t="s">
        <v>28863</v>
      </c>
      <c r="K43" t="s">
        <v>37205</v>
      </c>
      <c r="M43" t="s">
        <v>37524</v>
      </c>
      <c r="N43" t="s">
        <v>41249</v>
      </c>
      <c r="O43" t="s">
        <v>41250</v>
      </c>
      <c r="P43">
        <v>0</v>
      </c>
      <c r="Q43">
        <v>0</v>
      </c>
      <c r="R43" t="s">
        <v>41251</v>
      </c>
      <c r="S43" t="s">
        <v>41369</v>
      </c>
      <c r="T43" t="s">
        <v>42685</v>
      </c>
      <c r="U43" t="s">
        <v>43228</v>
      </c>
      <c r="W43" t="s">
        <v>37524</v>
      </c>
      <c r="X43" t="s">
        <v>41258</v>
      </c>
    </row>
    <row r="44" spans="1:24">
      <c r="A44">
        <f>HYPERLINK("https://www.philgeps.gov.ph/GEPSNONPILOT/Tender/SplashBidNoticeAbstractUI.aspx?menuIndex=3&amp;refID=7070297&amp;Result=3","7070297")</f>
        <v>0</v>
      </c>
      <c r="B44" t="s">
        <v>50</v>
      </c>
      <c r="C44" t="s">
        <v>3417</v>
      </c>
      <c r="D44" t="s">
        <v>16630</v>
      </c>
      <c r="E44" t="s">
        <v>16748</v>
      </c>
      <c r="F44" t="s">
        <v>28669</v>
      </c>
      <c r="G44" t="s">
        <v>28676</v>
      </c>
      <c r="H44" t="s">
        <v>9998</v>
      </c>
      <c r="I44" t="s">
        <v>5213</v>
      </c>
      <c r="J44" t="s">
        <v>28864</v>
      </c>
      <c r="K44" t="s">
        <v>37206</v>
      </c>
      <c r="M44" t="s">
        <v>37525</v>
      </c>
      <c r="N44" t="s">
        <v>41249</v>
      </c>
      <c r="O44" t="s">
        <v>41250</v>
      </c>
      <c r="P44">
        <v>0</v>
      </c>
      <c r="Q44">
        <v>5</v>
      </c>
      <c r="R44" t="s">
        <v>41251</v>
      </c>
      <c r="S44" t="s">
        <v>41369</v>
      </c>
      <c r="T44" t="s">
        <v>42686</v>
      </c>
      <c r="U44" t="s">
        <v>43229</v>
      </c>
      <c r="W44" t="s">
        <v>55896</v>
      </c>
      <c r="X44" t="s">
        <v>41257</v>
      </c>
    </row>
    <row r="45" spans="1:24">
      <c r="A45">
        <f>HYPERLINK("https://www.philgeps.gov.ph/GEPSNONPILOT/Tender/SplashBidNoticeAbstractUI.aspx?menuIndex=3&amp;refID=7071546&amp;Result=3","7071546")</f>
        <v>0</v>
      </c>
      <c r="B45" t="s">
        <v>51</v>
      </c>
      <c r="C45" t="s">
        <v>3418</v>
      </c>
      <c r="D45" t="s">
        <v>16631</v>
      </c>
      <c r="E45" t="s">
        <v>16749</v>
      </c>
      <c r="F45" t="s">
        <v>28669</v>
      </c>
      <c r="G45" t="s">
        <v>28675</v>
      </c>
      <c r="H45" t="s">
        <v>9998</v>
      </c>
      <c r="I45" t="s">
        <v>5286</v>
      </c>
      <c r="J45" t="s">
        <v>28865</v>
      </c>
      <c r="K45" t="s">
        <v>37204</v>
      </c>
      <c r="M45" t="s">
        <v>37526</v>
      </c>
      <c r="N45" t="s">
        <v>41249</v>
      </c>
      <c r="O45" t="s">
        <v>41250</v>
      </c>
      <c r="P45">
        <v>0</v>
      </c>
      <c r="Q45">
        <v>0</v>
      </c>
      <c r="R45" t="s">
        <v>41251</v>
      </c>
      <c r="S45" t="s">
        <v>41369</v>
      </c>
      <c r="T45" t="s">
        <v>42687</v>
      </c>
      <c r="U45" t="s">
        <v>43230</v>
      </c>
      <c r="V45" t="s">
        <v>54259</v>
      </c>
      <c r="W45" t="s">
        <v>37526</v>
      </c>
      <c r="X45" t="s">
        <v>41257</v>
      </c>
    </row>
    <row r="46" spans="1:24">
      <c r="A46">
        <f>HYPERLINK("https://www.philgeps.gov.ph/GEPSNONPILOT/Tender/SplashBidNoticeAbstractUI.aspx?menuIndex=3&amp;refID=7071492&amp;Result=3","7071492")</f>
        <v>0</v>
      </c>
      <c r="B46" t="s">
        <v>52</v>
      </c>
      <c r="C46" t="s">
        <v>3419</v>
      </c>
      <c r="D46" t="s">
        <v>16629</v>
      </c>
      <c r="E46" t="s">
        <v>16750</v>
      </c>
      <c r="F46" t="s">
        <v>28670</v>
      </c>
      <c r="G46" t="s">
        <v>28675</v>
      </c>
      <c r="H46" t="s">
        <v>28686</v>
      </c>
      <c r="I46" t="s">
        <v>28689</v>
      </c>
      <c r="J46" t="s">
        <v>28866</v>
      </c>
      <c r="K46" t="s">
        <v>37206</v>
      </c>
      <c r="M46" t="s">
        <v>37527</v>
      </c>
      <c r="N46" t="s">
        <v>41249</v>
      </c>
      <c r="O46" t="s">
        <v>41250</v>
      </c>
      <c r="P46">
        <v>0</v>
      </c>
      <c r="Q46">
        <v>0</v>
      </c>
      <c r="R46" t="s">
        <v>41251</v>
      </c>
      <c r="S46" t="s">
        <v>41369</v>
      </c>
      <c r="T46" t="s">
        <v>42688</v>
      </c>
      <c r="U46" t="s">
        <v>43231</v>
      </c>
      <c r="W46" t="s">
        <v>37527</v>
      </c>
      <c r="X46" t="s">
        <v>41257</v>
      </c>
    </row>
    <row r="47" spans="1:24">
      <c r="A47">
        <f>HYPERLINK("https://www.philgeps.gov.ph/GEPSNONPILOT/Tender/SplashBidNoticeAbstractUI.aspx?menuIndex=3&amp;refID=7071439&amp;Result=3","7071439")</f>
        <v>0</v>
      </c>
      <c r="B47" t="s">
        <v>52</v>
      </c>
      <c r="C47" t="s">
        <v>3420</v>
      </c>
      <c r="D47" t="s">
        <v>16629</v>
      </c>
      <c r="E47" t="s">
        <v>16751</v>
      </c>
      <c r="F47" t="s">
        <v>28670</v>
      </c>
      <c r="G47" t="s">
        <v>28675</v>
      </c>
      <c r="H47" t="s">
        <v>28686</v>
      </c>
      <c r="I47" t="s">
        <v>28689</v>
      </c>
      <c r="J47" t="s">
        <v>28867</v>
      </c>
      <c r="K47" t="s">
        <v>37221</v>
      </c>
      <c r="M47" t="s">
        <v>37527</v>
      </c>
      <c r="N47" t="s">
        <v>41249</v>
      </c>
      <c r="O47" t="s">
        <v>41250</v>
      </c>
      <c r="P47">
        <v>0</v>
      </c>
      <c r="Q47">
        <v>0</v>
      </c>
      <c r="R47" t="s">
        <v>41251</v>
      </c>
      <c r="S47" t="s">
        <v>41369</v>
      </c>
      <c r="T47" t="s">
        <v>42689</v>
      </c>
      <c r="U47" t="s">
        <v>43232</v>
      </c>
      <c r="W47" t="s">
        <v>37527</v>
      </c>
      <c r="X47" t="s">
        <v>41257</v>
      </c>
    </row>
    <row r="48" spans="1:24">
      <c r="A48">
        <f>HYPERLINK("https://www.philgeps.gov.ph/GEPSNONPILOT/Tender/SplashBidNoticeAbstractUI.aspx?menuIndex=3&amp;refID=7069817&amp;Result=3","7069817")</f>
        <v>0</v>
      </c>
      <c r="B48" t="s">
        <v>53</v>
      </c>
      <c r="C48" t="s">
        <v>3421</v>
      </c>
      <c r="D48" t="s">
        <v>16632</v>
      </c>
      <c r="E48" t="s">
        <v>16752</v>
      </c>
      <c r="F48" t="s">
        <v>28669</v>
      </c>
      <c r="G48" t="s">
        <v>28675</v>
      </c>
      <c r="H48" t="s">
        <v>28686</v>
      </c>
      <c r="I48" t="s">
        <v>28689</v>
      </c>
      <c r="J48" t="s">
        <v>28868</v>
      </c>
      <c r="K48" t="s">
        <v>37222</v>
      </c>
      <c r="M48" t="s">
        <v>37528</v>
      </c>
      <c r="N48" t="s">
        <v>41249</v>
      </c>
      <c r="O48" t="s">
        <v>41250</v>
      </c>
      <c r="P48">
        <v>0</v>
      </c>
      <c r="Q48">
        <v>0</v>
      </c>
      <c r="R48" t="s">
        <v>41251</v>
      </c>
      <c r="S48" t="s">
        <v>41369</v>
      </c>
      <c r="T48" t="s">
        <v>42664</v>
      </c>
      <c r="U48" t="s">
        <v>43233</v>
      </c>
      <c r="W48" t="s">
        <v>37528</v>
      </c>
      <c r="X48" t="s">
        <v>41258</v>
      </c>
    </row>
    <row r="49" spans="1:24">
      <c r="A49">
        <f>HYPERLINK("https://www.philgeps.gov.ph/GEPSNONPILOT/Tender/SplashBidNoticeAbstractUI.aspx?menuIndex=3&amp;refID=7071474&amp;Result=3","7071474")</f>
        <v>0</v>
      </c>
      <c r="B49" t="s">
        <v>51</v>
      </c>
      <c r="C49" t="s">
        <v>3422</v>
      </c>
      <c r="D49" t="s">
        <v>16631</v>
      </c>
      <c r="E49" t="s">
        <v>16753</v>
      </c>
      <c r="F49" t="s">
        <v>28669</v>
      </c>
      <c r="G49" t="s">
        <v>28675</v>
      </c>
      <c r="H49" t="s">
        <v>9998</v>
      </c>
      <c r="I49" t="s">
        <v>28690</v>
      </c>
      <c r="J49" t="s">
        <v>28869</v>
      </c>
      <c r="K49" t="s">
        <v>37204</v>
      </c>
      <c r="M49" t="s">
        <v>37526</v>
      </c>
      <c r="N49" t="s">
        <v>41249</v>
      </c>
      <c r="O49" t="s">
        <v>41250</v>
      </c>
      <c r="P49">
        <v>0</v>
      </c>
      <c r="Q49">
        <v>1</v>
      </c>
      <c r="R49" t="s">
        <v>41251</v>
      </c>
      <c r="S49" t="s">
        <v>41369</v>
      </c>
      <c r="T49" t="s">
        <v>42687</v>
      </c>
      <c r="U49" t="s">
        <v>43234</v>
      </c>
      <c r="V49" t="s">
        <v>54260</v>
      </c>
      <c r="W49" t="s">
        <v>37526</v>
      </c>
      <c r="X49" t="s">
        <v>41257</v>
      </c>
    </row>
    <row r="50" spans="1:24">
      <c r="A50">
        <f>HYPERLINK("https://www.philgeps.gov.ph/GEPSNONPILOT/Tender/SplashBidNoticeAbstractUI.aspx?menuIndex=3&amp;refID=7071341&amp;Result=3","7071341")</f>
        <v>0</v>
      </c>
      <c r="B50" t="s">
        <v>54</v>
      </c>
      <c r="C50" t="s">
        <v>3423</v>
      </c>
      <c r="D50" t="s">
        <v>16627</v>
      </c>
      <c r="E50" t="s">
        <v>16754</v>
      </c>
      <c r="F50" t="s">
        <v>28669</v>
      </c>
      <c r="G50" t="s">
        <v>28675</v>
      </c>
      <c r="H50" t="s">
        <v>9998</v>
      </c>
      <c r="I50" t="s">
        <v>3718</v>
      </c>
      <c r="J50" t="s">
        <v>28870</v>
      </c>
      <c r="K50" t="s">
        <v>37209</v>
      </c>
      <c r="M50" t="s">
        <v>37529</v>
      </c>
      <c r="N50" t="s">
        <v>41249</v>
      </c>
      <c r="O50" t="s">
        <v>41250</v>
      </c>
      <c r="P50">
        <v>0</v>
      </c>
      <c r="Q50">
        <v>1</v>
      </c>
      <c r="R50" t="s">
        <v>41251</v>
      </c>
      <c r="S50" t="s">
        <v>41369</v>
      </c>
      <c r="T50" t="s">
        <v>42684</v>
      </c>
      <c r="U50" t="s">
        <v>43235</v>
      </c>
      <c r="W50" t="s">
        <v>55897</v>
      </c>
      <c r="X50" t="s">
        <v>41257</v>
      </c>
    </row>
    <row r="51" spans="1:24">
      <c r="A51">
        <f>HYPERLINK("https://www.philgeps.gov.ph/GEPSNONPILOT/Tender/SplashBidNoticeAbstractUI.aspx?menuIndex=3&amp;refID=7048500&amp;Result=3","7048500")</f>
        <v>0</v>
      </c>
      <c r="B51" t="s">
        <v>55</v>
      </c>
      <c r="C51" t="s">
        <v>3424</v>
      </c>
      <c r="D51" t="s">
        <v>16633</v>
      </c>
      <c r="E51" t="s">
        <v>16755</v>
      </c>
      <c r="F51" t="s">
        <v>28669</v>
      </c>
      <c r="G51" t="s">
        <v>28676</v>
      </c>
      <c r="H51" t="s">
        <v>9998</v>
      </c>
      <c r="I51" t="s">
        <v>11593</v>
      </c>
      <c r="J51" t="s">
        <v>28871</v>
      </c>
      <c r="K51" t="s">
        <v>37204</v>
      </c>
      <c r="M51" t="s">
        <v>37530</v>
      </c>
      <c r="N51" t="s">
        <v>41249</v>
      </c>
      <c r="O51" t="s">
        <v>41250</v>
      </c>
      <c r="P51">
        <v>0</v>
      </c>
      <c r="Q51">
        <v>0</v>
      </c>
      <c r="R51" t="s">
        <v>41251</v>
      </c>
      <c r="S51" t="s">
        <v>41369</v>
      </c>
      <c r="T51" t="s">
        <v>42690</v>
      </c>
      <c r="U51" t="s">
        <v>43236</v>
      </c>
      <c r="W51" t="s">
        <v>37530</v>
      </c>
      <c r="X51" t="s">
        <v>41267</v>
      </c>
    </row>
    <row r="52" spans="1:24">
      <c r="A52">
        <f>HYPERLINK("https://www.philgeps.gov.ph/GEPSNONPILOT/Tender/SplashBidNoticeAbstractUI.aspx?menuIndex=3&amp;refID=7071298&amp;Result=3","7071298")</f>
        <v>0</v>
      </c>
      <c r="B52" t="s">
        <v>54</v>
      </c>
      <c r="C52" t="s">
        <v>3425</v>
      </c>
      <c r="D52" t="s">
        <v>16627</v>
      </c>
      <c r="E52" t="s">
        <v>16756</v>
      </c>
      <c r="F52" t="s">
        <v>28669</v>
      </c>
      <c r="G52" t="s">
        <v>28675</v>
      </c>
      <c r="H52" t="s">
        <v>9998</v>
      </c>
      <c r="I52" t="s">
        <v>7352</v>
      </c>
      <c r="J52" t="s">
        <v>28872</v>
      </c>
      <c r="K52" t="s">
        <v>37209</v>
      </c>
      <c r="M52" t="s">
        <v>37529</v>
      </c>
      <c r="N52" t="s">
        <v>41249</v>
      </c>
      <c r="O52" t="s">
        <v>41250</v>
      </c>
      <c r="P52">
        <v>0</v>
      </c>
      <c r="Q52">
        <v>0</v>
      </c>
      <c r="R52" t="s">
        <v>41251</v>
      </c>
      <c r="S52" t="s">
        <v>41369</v>
      </c>
      <c r="T52" t="s">
        <v>42684</v>
      </c>
      <c r="U52" t="s">
        <v>43235</v>
      </c>
      <c r="W52" t="s">
        <v>55897</v>
      </c>
      <c r="X52" t="s">
        <v>41257</v>
      </c>
    </row>
    <row r="53" spans="1:24">
      <c r="A53">
        <f>HYPERLINK("https://www.philgeps.gov.ph/GEPSNONPILOT/Tender/SplashBidNoticeAbstractUI.aspx?menuIndex=3&amp;refID=7071342&amp;Result=3","7071342")</f>
        <v>0</v>
      </c>
      <c r="B53" t="s">
        <v>42</v>
      </c>
      <c r="C53" t="s">
        <v>3426</v>
      </c>
      <c r="D53" t="s">
        <v>16623</v>
      </c>
      <c r="E53" t="s">
        <v>16757</v>
      </c>
      <c r="F53" t="s">
        <v>28669</v>
      </c>
      <c r="G53" t="s">
        <v>28675</v>
      </c>
      <c r="H53" t="s">
        <v>9998</v>
      </c>
      <c r="I53" t="s">
        <v>28695</v>
      </c>
      <c r="J53" t="s">
        <v>28873</v>
      </c>
      <c r="K53" t="s">
        <v>37209</v>
      </c>
      <c r="M53" t="s">
        <v>37517</v>
      </c>
      <c r="N53" t="s">
        <v>41249</v>
      </c>
      <c r="O53" t="s">
        <v>41250</v>
      </c>
      <c r="P53">
        <v>0</v>
      </c>
      <c r="Q53">
        <v>0</v>
      </c>
      <c r="R53" t="s">
        <v>41251</v>
      </c>
      <c r="S53" t="s">
        <v>41369</v>
      </c>
      <c r="T53" t="s">
        <v>42678</v>
      </c>
      <c r="U53" t="s">
        <v>43237</v>
      </c>
      <c r="W53" t="s">
        <v>37517</v>
      </c>
      <c r="X53" t="s">
        <v>41257</v>
      </c>
    </row>
    <row r="54" spans="1:24">
      <c r="A54">
        <f>HYPERLINK("https://www.philgeps.gov.ph/GEPSNONPILOT/Tender/SplashBidNoticeAbstractUI.aspx?menuIndex=3&amp;refID=7053810&amp;Result=3","7053810")</f>
        <v>0</v>
      </c>
      <c r="B54" t="s">
        <v>56</v>
      </c>
      <c r="C54" t="s">
        <v>3427</v>
      </c>
      <c r="D54" t="s">
        <v>16622</v>
      </c>
      <c r="E54" t="s">
        <v>16758</v>
      </c>
      <c r="F54" t="s">
        <v>28669</v>
      </c>
      <c r="G54" t="s">
        <v>28675</v>
      </c>
      <c r="H54" t="s">
        <v>28686</v>
      </c>
      <c r="I54" t="s">
        <v>28689</v>
      </c>
      <c r="J54" t="s">
        <v>28874</v>
      </c>
      <c r="K54" t="s">
        <v>37221</v>
      </c>
      <c r="M54" t="s">
        <v>37531</v>
      </c>
      <c r="N54" t="s">
        <v>41249</v>
      </c>
      <c r="O54" t="s">
        <v>41250</v>
      </c>
      <c r="P54">
        <v>0</v>
      </c>
      <c r="Q54">
        <v>0</v>
      </c>
      <c r="R54" t="s">
        <v>41251</v>
      </c>
      <c r="S54" t="s">
        <v>41369</v>
      </c>
      <c r="T54" t="s">
        <v>42691</v>
      </c>
      <c r="U54" t="s">
        <v>43238</v>
      </c>
      <c r="V54" t="s">
        <v>54261</v>
      </c>
      <c r="W54" t="s">
        <v>37531</v>
      </c>
      <c r="X54" t="s">
        <v>41265</v>
      </c>
    </row>
    <row r="55" spans="1:24">
      <c r="A55">
        <f>HYPERLINK("https://www.philgeps.gov.ph/GEPSNONPILOT/Tender/SplashBidNoticeAbstractUI.aspx?menuIndex=3&amp;refID=7071241&amp;Result=3","7071241")</f>
        <v>0</v>
      </c>
      <c r="B55" t="s">
        <v>54</v>
      </c>
      <c r="C55" t="s">
        <v>3428</v>
      </c>
      <c r="D55" t="s">
        <v>16627</v>
      </c>
      <c r="E55" t="s">
        <v>16759</v>
      </c>
      <c r="F55" t="s">
        <v>28669</v>
      </c>
      <c r="G55" t="s">
        <v>28675</v>
      </c>
      <c r="H55" t="s">
        <v>9998</v>
      </c>
      <c r="I55" t="s">
        <v>7352</v>
      </c>
      <c r="J55" t="s">
        <v>28875</v>
      </c>
      <c r="K55" t="s">
        <v>37209</v>
      </c>
      <c r="M55" t="s">
        <v>37529</v>
      </c>
      <c r="N55" t="s">
        <v>41249</v>
      </c>
      <c r="O55" t="s">
        <v>41250</v>
      </c>
      <c r="P55">
        <v>0</v>
      </c>
      <c r="Q55">
        <v>0</v>
      </c>
      <c r="R55" t="s">
        <v>41251</v>
      </c>
      <c r="S55" t="s">
        <v>41369</v>
      </c>
      <c r="T55" t="s">
        <v>42684</v>
      </c>
      <c r="U55" t="s">
        <v>43235</v>
      </c>
      <c r="W55" t="s">
        <v>55897</v>
      </c>
      <c r="X55" t="s">
        <v>41257</v>
      </c>
    </row>
    <row r="56" spans="1:24">
      <c r="A56">
        <f>HYPERLINK("https://www.philgeps.gov.ph/GEPSNONPILOT/Tender/SplashBidNoticeAbstractUI.aspx?menuIndex=3&amp;refID=7071224&amp;Result=3","7071224")</f>
        <v>0</v>
      </c>
      <c r="B56" t="s">
        <v>54</v>
      </c>
      <c r="C56" t="s">
        <v>3429</v>
      </c>
      <c r="D56" t="s">
        <v>16627</v>
      </c>
      <c r="E56" t="s">
        <v>16760</v>
      </c>
      <c r="F56" t="s">
        <v>28669</v>
      </c>
      <c r="G56" t="s">
        <v>28675</v>
      </c>
      <c r="H56" t="s">
        <v>9998</v>
      </c>
      <c r="I56" t="s">
        <v>28696</v>
      </c>
      <c r="J56" t="s">
        <v>28876</v>
      </c>
      <c r="K56" t="s">
        <v>37209</v>
      </c>
      <c r="M56" t="s">
        <v>37529</v>
      </c>
      <c r="N56" t="s">
        <v>41249</v>
      </c>
      <c r="O56" t="s">
        <v>41250</v>
      </c>
      <c r="P56">
        <v>0</v>
      </c>
      <c r="Q56">
        <v>1</v>
      </c>
      <c r="R56" t="s">
        <v>41251</v>
      </c>
      <c r="S56" t="s">
        <v>41369</v>
      </c>
      <c r="T56" t="s">
        <v>42684</v>
      </c>
      <c r="U56" t="s">
        <v>43235</v>
      </c>
      <c r="W56" t="s">
        <v>55897</v>
      </c>
      <c r="X56" t="s">
        <v>41257</v>
      </c>
    </row>
    <row r="57" spans="1:24">
      <c r="A57">
        <f>HYPERLINK("https://www.philgeps.gov.ph/GEPSNONPILOT/Tender/SplashBidNoticeAbstractUI.aspx?menuIndex=3&amp;refID=7072943&amp;Result=3","7072943")</f>
        <v>0</v>
      </c>
      <c r="B57" t="s">
        <v>53</v>
      </c>
      <c r="C57" t="s">
        <v>3430</v>
      </c>
      <c r="D57" t="s">
        <v>16632</v>
      </c>
      <c r="E57" t="s">
        <v>16761</v>
      </c>
      <c r="F57" t="s">
        <v>28669</v>
      </c>
      <c r="G57" t="s">
        <v>28675</v>
      </c>
      <c r="H57" t="s">
        <v>28686</v>
      </c>
      <c r="I57" t="s">
        <v>28689</v>
      </c>
      <c r="J57" t="s">
        <v>28877</v>
      </c>
      <c r="K57" t="s">
        <v>37223</v>
      </c>
      <c r="M57" t="s">
        <v>37528</v>
      </c>
      <c r="N57" t="s">
        <v>41249</v>
      </c>
      <c r="O57" t="s">
        <v>41250</v>
      </c>
      <c r="P57">
        <v>0</v>
      </c>
      <c r="Q57">
        <v>0</v>
      </c>
      <c r="R57" t="s">
        <v>41251</v>
      </c>
      <c r="S57" t="s">
        <v>41369</v>
      </c>
      <c r="T57" t="s">
        <v>42664</v>
      </c>
      <c r="U57" t="s">
        <v>43239</v>
      </c>
      <c r="W57" t="s">
        <v>37528</v>
      </c>
      <c r="X57" t="s">
        <v>41255</v>
      </c>
    </row>
    <row r="58" spans="1:24">
      <c r="A58">
        <f>HYPERLINK("https://www.philgeps.gov.ph/GEPSNONPILOT/Tender/SplashBidNoticeAbstractUI.aspx?menuIndex=3&amp;refID=7072942&amp;Result=3","7072942")</f>
        <v>0</v>
      </c>
      <c r="B58" t="s">
        <v>53</v>
      </c>
      <c r="C58" t="s">
        <v>3431</v>
      </c>
      <c r="D58" t="s">
        <v>16632</v>
      </c>
      <c r="E58" t="s">
        <v>16762</v>
      </c>
      <c r="F58" t="s">
        <v>28669</v>
      </c>
      <c r="G58" t="s">
        <v>28675</v>
      </c>
      <c r="H58" t="s">
        <v>28686</v>
      </c>
      <c r="I58" t="s">
        <v>28689</v>
      </c>
      <c r="J58" t="s">
        <v>28878</v>
      </c>
      <c r="K58" t="s">
        <v>37224</v>
      </c>
      <c r="M58" t="s">
        <v>37528</v>
      </c>
      <c r="N58" t="s">
        <v>41249</v>
      </c>
      <c r="O58" t="s">
        <v>41250</v>
      </c>
      <c r="P58">
        <v>0</v>
      </c>
      <c r="Q58">
        <v>0</v>
      </c>
      <c r="R58" t="s">
        <v>41251</v>
      </c>
      <c r="S58" t="s">
        <v>41369</v>
      </c>
      <c r="T58" t="s">
        <v>42664</v>
      </c>
      <c r="U58" t="s">
        <v>43240</v>
      </c>
      <c r="W58" t="s">
        <v>37528</v>
      </c>
      <c r="X58" t="s">
        <v>41255</v>
      </c>
    </row>
    <row r="59" spans="1:24">
      <c r="A59">
        <f>HYPERLINK("https://www.philgeps.gov.ph/GEPSNONPILOT/Tender/SplashBidNoticeAbstractUI.aspx?menuIndex=3&amp;refID=7072941&amp;Result=3","7072941")</f>
        <v>0</v>
      </c>
      <c r="B59" t="s">
        <v>53</v>
      </c>
      <c r="C59" t="s">
        <v>3432</v>
      </c>
      <c r="D59" t="s">
        <v>16632</v>
      </c>
      <c r="E59" t="s">
        <v>16763</v>
      </c>
      <c r="F59" t="s">
        <v>28669</v>
      </c>
      <c r="G59" t="s">
        <v>28675</v>
      </c>
      <c r="H59" t="s">
        <v>28686</v>
      </c>
      <c r="I59" t="s">
        <v>28689</v>
      </c>
      <c r="J59" t="s">
        <v>28845</v>
      </c>
      <c r="K59" t="s">
        <v>37225</v>
      </c>
      <c r="M59" t="s">
        <v>37528</v>
      </c>
      <c r="N59" t="s">
        <v>41249</v>
      </c>
      <c r="O59" t="s">
        <v>41250</v>
      </c>
      <c r="P59">
        <v>0</v>
      </c>
      <c r="Q59">
        <v>0</v>
      </c>
      <c r="R59" t="s">
        <v>41251</v>
      </c>
      <c r="S59" t="s">
        <v>41369</v>
      </c>
      <c r="T59" t="s">
        <v>42664</v>
      </c>
      <c r="U59" t="s">
        <v>43241</v>
      </c>
      <c r="W59" t="s">
        <v>37528</v>
      </c>
      <c r="X59" t="s">
        <v>41255</v>
      </c>
    </row>
    <row r="60" spans="1:24">
      <c r="A60">
        <f>HYPERLINK("https://www.philgeps.gov.ph/GEPSNONPILOT/Tender/SplashBidNoticeAbstractUI.aspx?menuIndex=3&amp;refID=7072841&amp;Result=3","7072841")</f>
        <v>0</v>
      </c>
      <c r="B60" t="s">
        <v>27</v>
      </c>
      <c r="C60" t="s">
        <v>3433</v>
      </c>
      <c r="D60" t="s">
        <v>16615</v>
      </c>
      <c r="E60" t="s">
        <v>16764</v>
      </c>
      <c r="F60" t="s">
        <v>28669</v>
      </c>
      <c r="G60" t="s">
        <v>28675</v>
      </c>
      <c r="H60" t="s">
        <v>28684</v>
      </c>
      <c r="I60" t="s">
        <v>28687</v>
      </c>
      <c r="J60" t="s">
        <v>28879</v>
      </c>
      <c r="K60" t="s">
        <v>37206</v>
      </c>
      <c r="M60" t="s">
        <v>37502</v>
      </c>
      <c r="N60" t="s">
        <v>41249</v>
      </c>
      <c r="O60" t="s">
        <v>41250</v>
      </c>
      <c r="P60">
        <v>0</v>
      </c>
      <c r="Q60">
        <v>1</v>
      </c>
      <c r="R60" t="s">
        <v>41251</v>
      </c>
      <c r="S60" t="s">
        <v>41369</v>
      </c>
      <c r="T60" t="s">
        <v>42662</v>
      </c>
      <c r="U60" t="s">
        <v>43242</v>
      </c>
      <c r="W60" t="s">
        <v>37502</v>
      </c>
      <c r="X60" t="s">
        <v>41255</v>
      </c>
    </row>
    <row r="61" spans="1:24">
      <c r="A61">
        <f>HYPERLINK("https://www.philgeps.gov.ph/GEPSNONPILOT/Tender/SplashBidNoticeAbstractUI.aspx?menuIndex=3&amp;refID=7072771&amp;Result=3","7072771")</f>
        <v>0</v>
      </c>
      <c r="B61" t="s">
        <v>57</v>
      </c>
      <c r="C61" t="s">
        <v>3434</v>
      </c>
      <c r="D61" t="s">
        <v>16634</v>
      </c>
      <c r="E61" t="s">
        <v>16765</v>
      </c>
      <c r="F61" t="s">
        <v>28669</v>
      </c>
      <c r="G61" t="s">
        <v>28675</v>
      </c>
      <c r="H61" t="s">
        <v>9998</v>
      </c>
      <c r="I61" t="s">
        <v>28697</v>
      </c>
      <c r="J61" t="s">
        <v>28880</v>
      </c>
      <c r="K61" t="s">
        <v>37209</v>
      </c>
      <c r="M61" t="s">
        <v>37532</v>
      </c>
      <c r="N61" t="s">
        <v>41249</v>
      </c>
      <c r="O61" t="s">
        <v>41250</v>
      </c>
      <c r="P61">
        <v>0</v>
      </c>
      <c r="Q61">
        <v>0</v>
      </c>
      <c r="R61" t="s">
        <v>41251</v>
      </c>
      <c r="S61" t="s">
        <v>41369</v>
      </c>
      <c r="T61" t="s">
        <v>42692</v>
      </c>
      <c r="U61" t="s">
        <v>43243</v>
      </c>
      <c r="V61" t="s">
        <v>54262</v>
      </c>
      <c r="W61" t="s">
        <v>37532</v>
      </c>
      <c r="X61" t="s">
        <v>41256</v>
      </c>
    </row>
    <row r="62" spans="1:24">
      <c r="A62">
        <f>HYPERLINK("https://www.philgeps.gov.ph/GEPSNONPILOT/Tender/SplashBidNoticeAbstractUI.aspx?menuIndex=3&amp;refID=7072731&amp;Result=3","7072731")</f>
        <v>0</v>
      </c>
      <c r="B62" t="s">
        <v>57</v>
      </c>
      <c r="C62" t="s">
        <v>3435</v>
      </c>
      <c r="D62" t="s">
        <v>16634</v>
      </c>
      <c r="E62" t="s">
        <v>16766</v>
      </c>
      <c r="F62" t="s">
        <v>28669</v>
      </c>
      <c r="G62" t="s">
        <v>28675</v>
      </c>
      <c r="H62" t="s">
        <v>28686</v>
      </c>
      <c r="I62" t="s">
        <v>28689</v>
      </c>
      <c r="J62" t="s">
        <v>28881</v>
      </c>
      <c r="K62" t="s">
        <v>37209</v>
      </c>
      <c r="M62" t="s">
        <v>37532</v>
      </c>
      <c r="N62" t="s">
        <v>41249</v>
      </c>
      <c r="O62" t="s">
        <v>41250</v>
      </c>
      <c r="P62">
        <v>0</v>
      </c>
      <c r="Q62">
        <v>0</v>
      </c>
      <c r="R62" t="s">
        <v>41251</v>
      </c>
      <c r="S62" t="s">
        <v>41369</v>
      </c>
      <c r="T62" t="s">
        <v>42692</v>
      </c>
      <c r="U62" t="s">
        <v>43244</v>
      </c>
      <c r="V62" t="s">
        <v>54262</v>
      </c>
      <c r="W62" t="s">
        <v>37532</v>
      </c>
      <c r="X62" t="s">
        <v>41256</v>
      </c>
    </row>
    <row r="63" spans="1:24">
      <c r="A63">
        <f>HYPERLINK("https://www.philgeps.gov.ph/GEPSNONPILOT/Tender/SplashBidNoticeAbstractUI.aspx?menuIndex=3&amp;refID=7071259&amp;Result=3","7071259")</f>
        <v>0</v>
      </c>
      <c r="B63" t="s">
        <v>54</v>
      </c>
      <c r="C63" t="s">
        <v>3436</v>
      </c>
      <c r="D63" t="s">
        <v>16627</v>
      </c>
      <c r="E63" t="s">
        <v>16767</v>
      </c>
      <c r="F63" t="s">
        <v>28669</v>
      </c>
      <c r="G63" t="s">
        <v>28675</v>
      </c>
      <c r="H63" t="s">
        <v>9998</v>
      </c>
      <c r="I63" t="s">
        <v>7352</v>
      </c>
      <c r="J63" t="s">
        <v>28882</v>
      </c>
      <c r="K63" t="s">
        <v>37209</v>
      </c>
      <c r="M63" t="s">
        <v>37529</v>
      </c>
      <c r="N63" t="s">
        <v>41249</v>
      </c>
      <c r="O63" t="s">
        <v>41250</v>
      </c>
      <c r="P63">
        <v>0</v>
      </c>
      <c r="Q63">
        <v>0</v>
      </c>
      <c r="R63" t="s">
        <v>41251</v>
      </c>
      <c r="S63" t="s">
        <v>41369</v>
      </c>
      <c r="T63" t="s">
        <v>42684</v>
      </c>
      <c r="U63" t="s">
        <v>43235</v>
      </c>
      <c r="W63" t="s">
        <v>55897</v>
      </c>
      <c r="X63" t="s">
        <v>41257</v>
      </c>
    </row>
    <row r="64" spans="1:24">
      <c r="A64">
        <f>HYPERLINK("https://www.philgeps.gov.ph/GEPSNONPILOT/Tender/SplashBidNoticeAbstractUI.aspx?menuIndex=3&amp;refID=7072719&amp;Result=3","7072719")</f>
        <v>0</v>
      </c>
      <c r="B64" t="s">
        <v>58</v>
      </c>
      <c r="C64" t="s">
        <v>3437</v>
      </c>
      <c r="D64" t="s">
        <v>16620</v>
      </c>
      <c r="E64" t="s">
        <v>16768</v>
      </c>
      <c r="F64" t="s">
        <v>28669</v>
      </c>
      <c r="G64" t="s">
        <v>28675</v>
      </c>
      <c r="H64" t="s">
        <v>9998</v>
      </c>
      <c r="I64" t="s">
        <v>7352</v>
      </c>
      <c r="J64" t="s">
        <v>28883</v>
      </c>
      <c r="K64" t="s">
        <v>37210</v>
      </c>
      <c r="M64" t="s">
        <v>37533</v>
      </c>
      <c r="N64" t="s">
        <v>41249</v>
      </c>
      <c r="O64" t="s">
        <v>41250</v>
      </c>
      <c r="P64">
        <v>0</v>
      </c>
      <c r="Q64">
        <v>0</v>
      </c>
      <c r="R64" t="s">
        <v>41251</v>
      </c>
      <c r="S64" t="s">
        <v>41369</v>
      </c>
      <c r="T64" t="s">
        <v>42693</v>
      </c>
      <c r="U64" t="s">
        <v>43245</v>
      </c>
      <c r="W64" t="s">
        <v>37533</v>
      </c>
      <c r="X64" t="s">
        <v>41256</v>
      </c>
    </row>
    <row r="65" spans="1:24">
      <c r="A65">
        <f>HYPERLINK("https://www.philgeps.gov.ph/GEPSNONPILOT/Tender/SplashBidNoticeAbstractUI.aspx?menuIndex=3&amp;refID=7072034&amp;Result=3","7072034")</f>
        <v>0</v>
      </c>
      <c r="B65" t="s">
        <v>59</v>
      </c>
      <c r="C65" t="s">
        <v>3438</v>
      </c>
      <c r="D65" t="s">
        <v>16619</v>
      </c>
      <c r="E65" t="s">
        <v>16769</v>
      </c>
      <c r="F65" t="s">
        <v>28669</v>
      </c>
      <c r="G65" t="s">
        <v>28676</v>
      </c>
      <c r="H65" t="s">
        <v>9998</v>
      </c>
      <c r="I65" t="s">
        <v>28698</v>
      </c>
      <c r="J65" t="s">
        <v>28884</v>
      </c>
      <c r="K65" t="s">
        <v>37209</v>
      </c>
      <c r="M65" t="s">
        <v>37534</v>
      </c>
      <c r="N65" t="s">
        <v>41249</v>
      </c>
      <c r="O65" t="s">
        <v>41250</v>
      </c>
      <c r="P65">
        <v>0</v>
      </c>
      <c r="Q65">
        <v>0</v>
      </c>
      <c r="R65" t="s">
        <v>41251</v>
      </c>
      <c r="S65" t="s">
        <v>41369</v>
      </c>
      <c r="T65" t="s">
        <v>42694</v>
      </c>
      <c r="U65" t="s">
        <v>43246</v>
      </c>
      <c r="W65" t="s">
        <v>37534</v>
      </c>
      <c r="X65" t="s">
        <v>41257</v>
      </c>
    </row>
    <row r="66" spans="1:24">
      <c r="A66">
        <f>HYPERLINK("https://www.philgeps.gov.ph/GEPSNONPILOT/Tender/SplashBidNoticeAbstractUI.aspx?menuIndex=3&amp;refID=7071208&amp;Result=3","7071208")</f>
        <v>0</v>
      </c>
      <c r="B66" t="s">
        <v>54</v>
      </c>
      <c r="C66" t="s">
        <v>3439</v>
      </c>
      <c r="D66" t="s">
        <v>16627</v>
      </c>
      <c r="E66" t="s">
        <v>16770</v>
      </c>
      <c r="F66" t="s">
        <v>28669</v>
      </c>
      <c r="G66" t="s">
        <v>28675</v>
      </c>
      <c r="H66" t="s">
        <v>9998</v>
      </c>
      <c r="I66" t="s">
        <v>7352</v>
      </c>
      <c r="J66" t="s">
        <v>28885</v>
      </c>
      <c r="K66" t="s">
        <v>37209</v>
      </c>
      <c r="M66" t="s">
        <v>37529</v>
      </c>
      <c r="N66" t="s">
        <v>41249</v>
      </c>
      <c r="O66" t="s">
        <v>41250</v>
      </c>
      <c r="P66">
        <v>0</v>
      </c>
      <c r="Q66">
        <v>1</v>
      </c>
      <c r="R66" t="s">
        <v>41251</v>
      </c>
      <c r="S66" t="s">
        <v>41369</v>
      </c>
      <c r="T66" t="s">
        <v>42684</v>
      </c>
      <c r="U66" t="s">
        <v>43235</v>
      </c>
      <c r="W66" t="s">
        <v>55897</v>
      </c>
      <c r="X66" t="s">
        <v>41257</v>
      </c>
    </row>
    <row r="67" spans="1:24">
      <c r="A67">
        <f>HYPERLINK("https://www.philgeps.gov.ph/GEPSNONPILOT/Tender/SplashBidNoticeAbstractUI.aspx?menuIndex=3&amp;refID=7072759&amp;Result=3","7072759")</f>
        <v>0</v>
      </c>
      <c r="B67" t="s">
        <v>57</v>
      </c>
      <c r="C67" t="s">
        <v>3440</v>
      </c>
      <c r="D67" t="s">
        <v>16634</v>
      </c>
      <c r="E67" t="s">
        <v>16771</v>
      </c>
      <c r="F67" t="s">
        <v>28669</v>
      </c>
      <c r="G67" t="s">
        <v>28675</v>
      </c>
      <c r="H67" t="s">
        <v>28686</v>
      </c>
      <c r="I67" t="s">
        <v>28689</v>
      </c>
      <c r="J67" t="s">
        <v>28881</v>
      </c>
      <c r="K67" t="s">
        <v>37209</v>
      </c>
      <c r="M67" t="s">
        <v>37532</v>
      </c>
      <c r="N67" t="s">
        <v>41249</v>
      </c>
      <c r="O67" t="s">
        <v>41250</v>
      </c>
      <c r="P67">
        <v>0</v>
      </c>
      <c r="Q67">
        <v>0</v>
      </c>
      <c r="R67" t="s">
        <v>41251</v>
      </c>
      <c r="S67" t="s">
        <v>41369</v>
      </c>
      <c r="T67" t="s">
        <v>42692</v>
      </c>
      <c r="U67" t="s">
        <v>43247</v>
      </c>
      <c r="V67" t="s">
        <v>54263</v>
      </c>
      <c r="W67" t="s">
        <v>37532</v>
      </c>
      <c r="X67" t="s">
        <v>41256</v>
      </c>
    </row>
    <row r="68" spans="1:24">
      <c r="A68">
        <f>HYPERLINK("https://www.philgeps.gov.ph/GEPSNONPILOT/Tender/SplashBidNoticeAbstractUI.aspx?menuIndex=3&amp;refID=7072724&amp;Result=3","7072724")</f>
        <v>0</v>
      </c>
      <c r="B68" t="s">
        <v>58</v>
      </c>
      <c r="C68" t="s">
        <v>3441</v>
      </c>
      <c r="D68" t="s">
        <v>16620</v>
      </c>
      <c r="E68" t="s">
        <v>16772</v>
      </c>
      <c r="F68" t="s">
        <v>28669</v>
      </c>
      <c r="G68" t="s">
        <v>28675</v>
      </c>
      <c r="H68" t="s">
        <v>28686</v>
      </c>
      <c r="I68" t="s">
        <v>7352</v>
      </c>
      <c r="J68" t="s">
        <v>28886</v>
      </c>
      <c r="K68" t="s">
        <v>37210</v>
      </c>
      <c r="M68" t="s">
        <v>37533</v>
      </c>
      <c r="N68" t="s">
        <v>41249</v>
      </c>
      <c r="O68" t="s">
        <v>41250</v>
      </c>
      <c r="P68">
        <v>0</v>
      </c>
      <c r="Q68">
        <v>0</v>
      </c>
      <c r="R68" t="s">
        <v>41251</v>
      </c>
      <c r="S68" t="s">
        <v>41369</v>
      </c>
      <c r="T68" t="s">
        <v>42693</v>
      </c>
      <c r="U68" t="s">
        <v>43248</v>
      </c>
      <c r="W68" t="s">
        <v>37533</v>
      </c>
      <c r="X68" t="s">
        <v>41256</v>
      </c>
    </row>
    <row r="69" spans="1:24">
      <c r="A69">
        <f>HYPERLINK("https://www.philgeps.gov.ph/GEPSNONPILOT/Tender/SplashBidNoticeAbstractUI.aspx?menuIndex=3&amp;refID=7072965&amp;Result=3","7072965")</f>
        <v>0</v>
      </c>
      <c r="B69" t="s">
        <v>53</v>
      </c>
      <c r="C69" t="s">
        <v>3442</v>
      </c>
      <c r="D69" t="s">
        <v>16632</v>
      </c>
      <c r="E69" t="s">
        <v>16773</v>
      </c>
      <c r="F69" t="s">
        <v>28669</v>
      </c>
      <c r="G69" t="s">
        <v>28675</v>
      </c>
      <c r="H69" t="s">
        <v>9998</v>
      </c>
      <c r="I69" t="s">
        <v>7352</v>
      </c>
      <c r="J69" t="s">
        <v>28887</v>
      </c>
      <c r="K69" t="s">
        <v>37206</v>
      </c>
      <c r="M69" t="s">
        <v>37528</v>
      </c>
      <c r="N69" t="s">
        <v>41249</v>
      </c>
      <c r="O69" t="s">
        <v>41250</v>
      </c>
      <c r="P69">
        <v>0</v>
      </c>
      <c r="Q69">
        <v>0</v>
      </c>
      <c r="R69" t="s">
        <v>41251</v>
      </c>
      <c r="S69" t="s">
        <v>41369</v>
      </c>
      <c r="T69" t="s">
        <v>42664</v>
      </c>
      <c r="U69" t="s">
        <v>43249</v>
      </c>
      <c r="W69" t="s">
        <v>37528</v>
      </c>
      <c r="X69" t="s">
        <v>41255</v>
      </c>
    </row>
    <row r="70" spans="1:24">
      <c r="A70">
        <f>HYPERLINK("https://www.philgeps.gov.ph/GEPSNONPILOT/Tender/SplashBidNoticeAbstractUI.aspx?menuIndex=3&amp;refID=7073900&amp;Result=3","7073900")</f>
        <v>0</v>
      </c>
      <c r="B70" t="s">
        <v>60</v>
      </c>
      <c r="C70" t="s">
        <v>3443</v>
      </c>
      <c r="E70" t="s">
        <v>16774</v>
      </c>
      <c r="F70" t="s">
        <v>28669</v>
      </c>
      <c r="G70" t="s">
        <v>28676</v>
      </c>
      <c r="H70" t="s">
        <v>28686</v>
      </c>
      <c r="I70" t="s">
        <v>28689</v>
      </c>
      <c r="J70" t="s">
        <v>28888</v>
      </c>
      <c r="K70" t="s">
        <v>37209</v>
      </c>
      <c r="M70" t="s">
        <v>37535</v>
      </c>
      <c r="N70" t="s">
        <v>41249</v>
      </c>
      <c r="O70" t="s">
        <v>41250</v>
      </c>
      <c r="P70">
        <v>0</v>
      </c>
      <c r="Q70">
        <v>1</v>
      </c>
      <c r="R70" t="s">
        <v>41251</v>
      </c>
      <c r="S70" t="s">
        <v>41369</v>
      </c>
      <c r="T70" t="s">
        <v>42695</v>
      </c>
      <c r="U70" t="s">
        <v>43250</v>
      </c>
      <c r="W70" t="s">
        <v>37535</v>
      </c>
      <c r="X70" t="s">
        <v>41254</v>
      </c>
    </row>
    <row r="71" spans="1:24">
      <c r="A71">
        <f>HYPERLINK("https://www.philgeps.gov.ph/GEPSNONPILOT/Tender/SplashBidNoticeAbstractUI.aspx?menuIndex=3&amp;refID=7072004&amp;Result=3","7072004")</f>
        <v>0</v>
      </c>
      <c r="B71" t="s">
        <v>59</v>
      </c>
      <c r="C71" t="s">
        <v>3438</v>
      </c>
      <c r="D71" t="s">
        <v>16635</v>
      </c>
      <c r="E71" t="s">
        <v>16775</v>
      </c>
      <c r="F71" t="s">
        <v>28669</v>
      </c>
      <c r="G71" t="s">
        <v>28676</v>
      </c>
      <c r="H71" t="s">
        <v>9998</v>
      </c>
      <c r="I71" t="s">
        <v>28698</v>
      </c>
      <c r="J71" t="s">
        <v>28884</v>
      </c>
      <c r="K71" t="s">
        <v>37209</v>
      </c>
      <c r="M71" t="s">
        <v>37534</v>
      </c>
      <c r="N71" t="s">
        <v>41249</v>
      </c>
      <c r="O71" t="s">
        <v>41250</v>
      </c>
      <c r="P71">
        <v>0</v>
      </c>
      <c r="Q71">
        <v>0</v>
      </c>
      <c r="R71" t="s">
        <v>41251</v>
      </c>
      <c r="S71" t="s">
        <v>41369</v>
      </c>
      <c r="T71" t="s">
        <v>42694</v>
      </c>
      <c r="U71" t="s">
        <v>43246</v>
      </c>
      <c r="W71" t="s">
        <v>37534</v>
      </c>
      <c r="X71" t="s">
        <v>41257</v>
      </c>
    </row>
    <row r="72" spans="1:24">
      <c r="A72">
        <f>HYPERLINK("https://www.philgeps.gov.ph/GEPSNONPILOT/Tender/SplashBidNoticeAbstractUI.aspx?menuIndex=3&amp;refID=7071969&amp;Result=3","7071969")</f>
        <v>0</v>
      </c>
      <c r="B72" t="s">
        <v>59</v>
      </c>
      <c r="C72" t="s">
        <v>3438</v>
      </c>
      <c r="D72" t="s">
        <v>16636</v>
      </c>
      <c r="E72" t="s">
        <v>16776</v>
      </c>
      <c r="F72" t="s">
        <v>28669</v>
      </c>
      <c r="G72" t="s">
        <v>28676</v>
      </c>
      <c r="H72" t="s">
        <v>9998</v>
      </c>
      <c r="I72" t="s">
        <v>28698</v>
      </c>
      <c r="J72" t="s">
        <v>28884</v>
      </c>
      <c r="K72" t="s">
        <v>37209</v>
      </c>
      <c r="M72" t="s">
        <v>37534</v>
      </c>
      <c r="N72" t="s">
        <v>41249</v>
      </c>
      <c r="O72" t="s">
        <v>41250</v>
      </c>
      <c r="P72">
        <v>0</v>
      </c>
      <c r="Q72">
        <v>0</v>
      </c>
      <c r="R72" t="s">
        <v>41251</v>
      </c>
      <c r="S72" t="s">
        <v>41369</v>
      </c>
      <c r="T72" t="s">
        <v>42694</v>
      </c>
      <c r="U72" t="s">
        <v>43246</v>
      </c>
      <c r="W72" t="s">
        <v>37534</v>
      </c>
      <c r="X72" t="s">
        <v>41257</v>
      </c>
    </row>
    <row r="73" spans="1:24">
      <c r="A73">
        <f>HYPERLINK("https://www.philgeps.gov.ph/GEPSNONPILOT/Tender/SplashBidNoticeAbstractUI.aspx?menuIndex=3&amp;refID=7073868&amp;Result=3","7073868")</f>
        <v>0</v>
      </c>
      <c r="B73" t="s">
        <v>61</v>
      </c>
      <c r="C73" t="s">
        <v>3444</v>
      </c>
      <c r="D73" t="s">
        <v>16621</v>
      </c>
      <c r="E73" t="s">
        <v>16777</v>
      </c>
      <c r="F73" t="s">
        <v>28669</v>
      </c>
      <c r="G73" t="s">
        <v>28676</v>
      </c>
      <c r="H73" t="s">
        <v>9998</v>
      </c>
      <c r="I73" t="s">
        <v>28690</v>
      </c>
      <c r="J73" t="s">
        <v>28834</v>
      </c>
      <c r="K73" t="s">
        <v>37206</v>
      </c>
      <c r="M73" t="s">
        <v>37536</v>
      </c>
      <c r="N73" t="s">
        <v>41249</v>
      </c>
      <c r="O73" t="s">
        <v>41250</v>
      </c>
      <c r="P73">
        <v>0</v>
      </c>
      <c r="Q73">
        <v>2</v>
      </c>
      <c r="R73" t="s">
        <v>41251</v>
      </c>
      <c r="S73" t="s">
        <v>41369</v>
      </c>
      <c r="T73" t="s">
        <v>42679</v>
      </c>
      <c r="U73" t="s">
        <v>43251</v>
      </c>
      <c r="W73" t="s">
        <v>37536</v>
      </c>
      <c r="X73" t="s">
        <v>41254</v>
      </c>
    </row>
    <row r="74" spans="1:24">
      <c r="A74">
        <f>HYPERLINK("https://www.philgeps.gov.ph/GEPSNONPILOT/Tender/SplashBidNoticeAbstractUI.aspx?menuIndex=3&amp;refID=7073816&amp;Result=3","7073816")</f>
        <v>0</v>
      </c>
      <c r="B74" t="s">
        <v>62</v>
      </c>
      <c r="C74" t="s">
        <v>3445</v>
      </c>
      <c r="D74" t="s">
        <v>16608</v>
      </c>
      <c r="E74" t="s">
        <v>16778</v>
      </c>
      <c r="F74" t="s">
        <v>28669</v>
      </c>
      <c r="G74" t="s">
        <v>28675</v>
      </c>
      <c r="H74" t="s">
        <v>9998</v>
      </c>
      <c r="I74" t="s">
        <v>28688</v>
      </c>
      <c r="J74" t="s">
        <v>28889</v>
      </c>
      <c r="K74" t="s">
        <v>37206</v>
      </c>
      <c r="M74" t="s">
        <v>37537</v>
      </c>
      <c r="N74" t="s">
        <v>41249</v>
      </c>
      <c r="O74" t="s">
        <v>41250</v>
      </c>
      <c r="P74">
        <v>0</v>
      </c>
      <c r="Q74">
        <v>1</v>
      </c>
      <c r="R74" t="s">
        <v>41251</v>
      </c>
      <c r="S74" t="s">
        <v>41369</v>
      </c>
      <c r="T74" t="s">
        <v>42696</v>
      </c>
      <c r="U74" t="s">
        <v>43252</v>
      </c>
      <c r="W74" t="s">
        <v>37537</v>
      </c>
      <c r="X74" t="s">
        <v>41254</v>
      </c>
    </row>
    <row r="75" spans="1:24">
      <c r="A75">
        <f>HYPERLINK("https://www.philgeps.gov.ph/GEPSNONPILOT/Tender/SplashBidNoticeAbstractUI.aspx?menuIndex=3&amp;refID=7073815&amp;Result=3","7073815")</f>
        <v>0</v>
      </c>
      <c r="B75" t="s">
        <v>61</v>
      </c>
      <c r="C75" t="s">
        <v>3446</v>
      </c>
      <c r="D75" t="s">
        <v>16621</v>
      </c>
      <c r="E75" t="s">
        <v>16779</v>
      </c>
      <c r="F75" t="s">
        <v>28669</v>
      </c>
      <c r="G75" t="s">
        <v>28676</v>
      </c>
      <c r="H75" t="s">
        <v>9998</v>
      </c>
      <c r="I75" t="s">
        <v>28690</v>
      </c>
      <c r="J75" t="s">
        <v>28826</v>
      </c>
      <c r="K75" t="s">
        <v>37206</v>
      </c>
      <c r="M75" t="s">
        <v>37536</v>
      </c>
      <c r="N75" t="s">
        <v>41249</v>
      </c>
      <c r="O75" t="s">
        <v>41250</v>
      </c>
      <c r="P75">
        <v>0</v>
      </c>
      <c r="Q75">
        <v>7</v>
      </c>
      <c r="R75" t="s">
        <v>41251</v>
      </c>
      <c r="S75" t="s">
        <v>41369</v>
      </c>
      <c r="T75" t="s">
        <v>42679</v>
      </c>
      <c r="U75" t="s">
        <v>43253</v>
      </c>
      <c r="W75" t="s">
        <v>37536</v>
      </c>
      <c r="X75" t="s">
        <v>41254</v>
      </c>
    </row>
    <row r="76" spans="1:24">
      <c r="A76">
        <f>HYPERLINK("https://www.philgeps.gov.ph/GEPSNONPILOT/Tender/SplashBidNoticeAbstractUI.aspx?menuIndex=3&amp;refID=7073778&amp;Result=3","7073778")</f>
        <v>0</v>
      </c>
      <c r="B76" t="s">
        <v>63</v>
      </c>
      <c r="C76" t="s">
        <v>3447</v>
      </c>
      <c r="D76" t="s">
        <v>16637</v>
      </c>
      <c r="E76" t="s">
        <v>16780</v>
      </c>
      <c r="F76" t="s">
        <v>28669</v>
      </c>
      <c r="G76" t="s">
        <v>28675</v>
      </c>
      <c r="H76" t="s">
        <v>9998</v>
      </c>
      <c r="I76" t="s">
        <v>7352</v>
      </c>
      <c r="J76" t="s">
        <v>28826</v>
      </c>
      <c r="K76" t="s">
        <v>37209</v>
      </c>
      <c r="M76" t="s">
        <v>37538</v>
      </c>
      <c r="N76" t="s">
        <v>41249</v>
      </c>
      <c r="O76" t="s">
        <v>41250</v>
      </c>
      <c r="P76">
        <v>0</v>
      </c>
      <c r="Q76">
        <v>0</v>
      </c>
      <c r="R76" t="s">
        <v>41251</v>
      </c>
      <c r="S76" t="s">
        <v>41369</v>
      </c>
      <c r="T76" t="s">
        <v>42690</v>
      </c>
      <c r="U76" t="s">
        <v>43254</v>
      </c>
      <c r="W76" t="s">
        <v>37538</v>
      </c>
      <c r="X76" t="s">
        <v>41254</v>
      </c>
    </row>
    <row r="77" spans="1:24">
      <c r="A77">
        <f>HYPERLINK("https://www.philgeps.gov.ph/GEPSNONPILOT/Tender/SplashBidNoticeAbstractUI.aspx?menuIndex=3&amp;refID=7073884&amp;Result=3","7073884")</f>
        <v>0</v>
      </c>
      <c r="B77" t="s">
        <v>42</v>
      </c>
      <c r="C77" t="s">
        <v>3448</v>
      </c>
      <c r="D77" t="s">
        <v>16623</v>
      </c>
      <c r="E77" t="s">
        <v>16781</v>
      </c>
      <c r="F77" t="s">
        <v>28669</v>
      </c>
      <c r="G77" t="s">
        <v>28675</v>
      </c>
      <c r="H77" t="s">
        <v>9998</v>
      </c>
      <c r="I77" t="s">
        <v>3718</v>
      </c>
      <c r="J77" t="s">
        <v>28890</v>
      </c>
      <c r="K77" t="s">
        <v>37210</v>
      </c>
      <c r="M77" t="s">
        <v>37517</v>
      </c>
      <c r="N77" t="s">
        <v>41249</v>
      </c>
      <c r="O77" t="s">
        <v>41250</v>
      </c>
      <c r="P77">
        <v>0</v>
      </c>
      <c r="Q77">
        <v>1</v>
      </c>
      <c r="R77" t="s">
        <v>41251</v>
      </c>
      <c r="S77" t="s">
        <v>41369</v>
      </c>
      <c r="T77" t="s">
        <v>42678</v>
      </c>
      <c r="U77" t="s">
        <v>43255</v>
      </c>
      <c r="W77" t="s">
        <v>37517</v>
      </c>
      <c r="X77" t="s">
        <v>41254</v>
      </c>
    </row>
    <row r="78" spans="1:24">
      <c r="A78">
        <f>HYPERLINK("https://www.philgeps.gov.ph/GEPSNONPILOT/Tender/SplashBidNoticeAbstractUI.aspx?menuIndex=3&amp;refID=7073847&amp;Result=3","7073847")</f>
        <v>0</v>
      </c>
      <c r="B78" t="s">
        <v>64</v>
      </c>
      <c r="C78" t="s">
        <v>3449</v>
      </c>
      <c r="D78" t="s">
        <v>16638</v>
      </c>
      <c r="E78" t="s">
        <v>16782</v>
      </c>
      <c r="F78" t="s">
        <v>28669</v>
      </c>
      <c r="G78" t="s">
        <v>28675</v>
      </c>
      <c r="H78" t="s">
        <v>28686</v>
      </c>
      <c r="I78" t="s">
        <v>28689</v>
      </c>
      <c r="J78" t="s">
        <v>28891</v>
      </c>
      <c r="K78" t="s">
        <v>37213</v>
      </c>
      <c r="M78" t="s">
        <v>37539</v>
      </c>
      <c r="N78" t="s">
        <v>41249</v>
      </c>
      <c r="O78" t="s">
        <v>41250</v>
      </c>
      <c r="P78">
        <v>0</v>
      </c>
      <c r="Q78">
        <v>0</v>
      </c>
      <c r="R78" t="s">
        <v>41251</v>
      </c>
      <c r="S78" t="s">
        <v>41369</v>
      </c>
      <c r="T78" t="s">
        <v>42688</v>
      </c>
      <c r="U78" t="s">
        <v>43256</v>
      </c>
      <c r="V78" t="s">
        <v>54264</v>
      </c>
      <c r="W78" t="s">
        <v>55898</v>
      </c>
      <c r="X78" t="s">
        <v>41254</v>
      </c>
    </row>
    <row r="79" spans="1:24">
      <c r="A79">
        <f>HYPERLINK("https://www.philgeps.gov.ph/GEPSNONPILOT/Tender/SplashBidNoticeAbstractUI.aspx?menuIndex=3&amp;refID=7071385&amp;Result=3","7071385")</f>
        <v>0</v>
      </c>
      <c r="B79" t="s">
        <v>59</v>
      </c>
      <c r="C79" t="s">
        <v>3438</v>
      </c>
      <c r="D79" t="s">
        <v>16639</v>
      </c>
      <c r="E79" t="s">
        <v>16783</v>
      </c>
      <c r="F79" t="s">
        <v>28669</v>
      </c>
      <c r="G79" t="s">
        <v>28676</v>
      </c>
      <c r="H79" t="s">
        <v>9998</v>
      </c>
      <c r="I79" t="s">
        <v>28698</v>
      </c>
      <c r="J79" t="s">
        <v>28892</v>
      </c>
      <c r="K79" t="s">
        <v>37209</v>
      </c>
      <c r="M79" t="s">
        <v>37534</v>
      </c>
      <c r="N79" t="s">
        <v>41249</v>
      </c>
      <c r="O79" t="s">
        <v>41250</v>
      </c>
      <c r="P79">
        <v>0</v>
      </c>
      <c r="Q79">
        <v>0</v>
      </c>
      <c r="R79" t="s">
        <v>41251</v>
      </c>
      <c r="S79" t="s">
        <v>41369</v>
      </c>
      <c r="T79" t="s">
        <v>42694</v>
      </c>
      <c r="U79" t="s">
        <v>43257</v>
      </c>
      <c r="W79" t="s">
        <v>37534</v>
      </c>
      <c r="X79" t="s">
        <v>41257</v>
      </c>
    </row>
    <row r="80" spans="1:24">
      <c r="A80">
        <f>HYPERLINK("https://www.philgeps.gov.ph/GEPSNONPILOT/Tender/SplashBidNoticeAbstractUI.aspx?menuIndex=3&amp;refID=7073591&amp;Result=3","7073591")</f>
        <v>0</v>
      </c>
      <c r="B80" t="s">
        <v>53</v>
      </c>
      <c r="C80" t="s">
        <v>3450</v>
      </c>
      <c r="D80" t="s">
        <v>16632</v>
      </c>
      <c r="E80" t="s">
        <v>16784</v>
      </c>
      <c r="F80" t="s">
        <v>28669</v>
      </c>
      <c r="G80" t="s">
        <v>28675</v>
      </c>
      <c r="H80" t="s">
        <v>28686</v>
      </c>
      <c r="I80" t="s">
        <v>28689</v>
      </c>
      <c r="J80" t="s">
        <v>28893</v>
      </c>
      <c r="K80" t="s">
        <v>37226</v>
      </c>
      <c r="M80" t="s">
        <v>37528</v>
      </c>
      <c r="N80" t="s">
        <v>41249</v>
      </c>
      <c r="O80" t="s">
        <v>41250</v>
      </c>
      <c r="P80">
        <v>0</v>
      </c>
      <c r="Q80">
        <v>0</v>
      </c>
      <c r="R80" t="s">
        <v>41251</v>
      </c>
      <c r="S80" t="s">
        <v>41369</v>
      </c>
      <c r="T80" t="s">
        <v>42664</v>
      </c>
      <c r="U80" t="s">
        <v>43258</v>
      </c>
      <c r="W80" t="s">
        <v>37528</v>
      </c>
      <c r="X80" t="s">
        <v>41254</v>
      </c>
    </row>
    <row r="81" spans="1:24">
      <c r="A81">
        <f>HYPERLINK("https://www.philgeps.gov.ph/GEPSNONPILOT/Tender/SplashBidNoticeAbstractUI.aspx?menuIndex=3&amp;refID=7073632&amp;Result=3","7073632")</f>
        <v>0</v>
      </c>
      <c r="B81" t="s">
        <v>65</v>
      </c>
      <c r="C81" t="s">
        <v>3451</v>
      </c>
      <c r="D81" t="s">
        <v>16626</v>
      </c>
      <c r="E81" t="s">
        <v>16785</v>
      </c>
      <c r="F81" t="s">
        <v>28669</v>
      </c>
      <c r="G81" t="s">
        <v>28678</v>
      </c>
      <c r="H81" t="s">
        <v>9998</v>
      </c>
      <c r="I81" t="s">
        <v>28699</v>
      </c>
      <c r="J81" t="s">
        <v>28894</v>
      </c>
      <c r="K81" t="s">
        <v>37227</v>
      </c>
      <c r="M81" t="s">
        <v>37540</v>
      </c>
      <c r="N81" t="s">
        <v>41249</v>
      </c>
      <c r="O81" t="s">
        <v>41250</v>
      </c>
      <c r="P81">
        <v>0</v>
      </c>
      <c r="Q81">
        <v>0</v>
      </c>
      <c r="R81" t="s">
        <v>41251</v>
      </c>
      <c r="S81" t="s">
        <v>41369</v>
      </c>
      <c r="T81" t="s">
        <v>42697</v>
      </c>
      <c r="U81" t="s">
        <v>43259</v>
      </c>
      <c r="W81" t="s">
        <v>55899</v>
      </c>
      <c r="X81" t="s">
        <v>41254</v>
      </c>
    </row>
    <row r="82" spans="1:24">
      <c r="A82">
        <f>HYPERLINK("https://www.philgeps.gov.ph/GEPSNONPILOT/Tender/SplashBidNoticeAbstractUI.aspx?menuIndex=3&amp;refID=7073720&amp;Result=3","7073720")</f>
        <v>0</v>
      </c>
      <c r="B82" t="s">
        <v>66</v>
      </c>
      <c r="C82" t="s">
        <v>3452</v>
      </c>
      <c r="D82" t="s">
        <v>16640</v>
      </c>
      <c r="E82" t="s">
        <v>16786</v>
      </c>
      <c r="F82" t="s">
        <v>28669</v>
      </c>
      <c r="G82" t="s">
        <v>28675</v>
      </c>
      <c r="H82" t="s">
        <v>9998</v>
      </c>
      <c r="I82" t="s">
        <v>28688</v>
      </c>
      <c r="J82" t="s">
        <v>28895</v>
      </c>
      <c r="K82" t="s">
        <v>37204</v>
      </c>
      <c r="M82" t="s">
        <v>37541</v>
      </c>
      <c r="N82" t="s">
        <v>41249</v>
      </c>
      <c r="O82" t="s">
        <v>41250</v>
      </c>
      <c r="P82">
        <v>0</v>
      </c>
      <c r="Q82">
        <v>0</v>
      </c>
      <c r="R82" t="s">
        <v>41251</v>
      </c>
      <c r="S82" t="s">
        <v>41369</v>
      </c>
      <c r="T82" t="s">
        <v>42690</v>
      </c>
      <c r="U82" t="s">
        <v>43260</v>
      </c>
      <c r="V82" t="s">
        <v>54265</v>
      </c>
      <c r="W82" t="s">
        <v>37541</v>
      </c>
      <c r="X82" t="s">
        <v>41254</v>
      </c>
    </row>
    <row r="83" spans="1:24">
      <c r="A83">
        <f>HYPERLINK("https://www.philgeps.gov.ph/GEPSNONPILOT/Tender/SplashBidNoticeAbstractUI.aspx?menuIndex=3&amp;refID=7074388&amp;Result=3","7074388")</f>
        <v>0</v>
      </c>
      <c r="B83" t="s">
        <v>67</v>
      </c>
      <c r="C83" t="s">
        <v>3453</v>
      </c>
      <c r="D83" t="s">
        <v>16625</v>
      </c>
      <c r="E83" t="s">
        <v>16787</v>
      </c>
      <c r="F83" t="s">
        <v>28669</v>
      </c>
      <c r="G83" t="s">
        <v>28677</v>
      </c>
      <c r="H83" t="s">
        <v>9998</v>
      </c>
      <c r="I83" t="s">
        <v>28697</v>
      </c>
      <c r="J83" t="s">
        <v>28854</v>
      </c>
      <c r="K83" t="s">
        <v>37206</v>
      </c>
      <c r="M83" t="s">
        <v>37542</v>
      </c>
      <c r="N83" t="s">
        <v>41249</v>
      </c>
      <c r="O83" t="s">
        <v>41250</v>
      </c>
      <c r="P83">
        <v>0</v>
      </c>
      <c r="Q83">
        <v>6</v>
      </c>
      <c r="R83" t="s">
        <v>41251</v>
      </c>
      <c r="S83" t="s">
        <v>41369</v>
      </c>
      <c r="T83" t="s">
        <v>42679</v>
      </c>
      <c r="U83" t="s">
        <v>43261</v>
      </c>
      <c r="W83" t="s">
        <v>37542</v>
      </c>
      <c r="X83" t="s">
        <v>41254</v>
      </c>
    </row>
    <row r="84" spans="1:24">
      <c r="A84">
        <f>HYPERLINK("https://www.philgeps.gov.ph/GEPSNONPILOT/Tender/SplashBidNoticeAbstractUI.aspx?menuIndex=3&amp;refID=7072059&amp;Result=3","7072059")</f>
        <v>0</v>
      </c>
      <c r="B84" t="s">
        <v>59</v>
      </c>
      <c r="C84" t="s">
        <v>3438</v>
      </c>
      <c r="D84" t="s">
        <v>16639</v>
      </c>
      <c r="E84" t="s">
        <v>16788</v>
      </c>
      <c r="F84" t="s">
        <v>28669</v>
      </c>
      <c r="G84" t="s">
        <v>28676</v>
      </c>
      <c r="H84" t="s">
        <v>9998</v>
      </c>
      <c r="I84" t="s">
        <v>28698</v>
      </c>
      <c r="J84" t="s">
        <v>28896</v>
      </c>
      <c r="K84" t="s">
        <v>37209</v>
      </c>
      <c r="M84" t="s">
        <v>37534</v>
      </c>
      <c r="N84" t="s">
        <v>41249</v>
      </c>
      <c r="O84" t="s">
        <v>41250</v>
      </c>
      <c r="P84">
        <v>0</v>
      </c>
      <c r="Q84">
        <v>0</v>
      </c>
      <c r="R84" t="s">
        <v>41251</v>
      </c>
      <c r="S84" t="s">
        <v>41369</v>
      </c>
      <c r="T84" t="s">
        <v>42694</v>
      </c>
      <c r="U84" t="s">
        <v>43262</v>
      </c>
      <c r="W84" t="s">
        <v>37534</v>
      </c>
      <c r="X84" t="s">
        <v>41257</v>
      </c>
    </row>
    <row r="85" spans="1:24">
      <c r="A85">
        <f>HYPERLINK("https://www.philgeps.gov.ph/GEPSNONPILOT/Tender/SplashBidNoticeAbstractUI.aspx?menuIndex=3&amp;refID=7074355&amp;Result=3","7074355")</f>
        <v>0</v>
      </c>
      <c r="B85" t="s">
        <v>68</v>
      </c>
      <c r="C85" t="s">
        <v>3454</v>
      </c>
      <c r="D85" t="s">
        <v>16641</v>
      </c>
      <c r="E85" t="s">
        <v>16789</v>
      </c>
      <c r="F85" t="s">
        <v>28669</v>
      </c>
      <c r="G85" t="s">
        <v>28675</v>
      </c>
      <c r="H85" t="s">
        <v>28686</v>
      </c>
      <c r="I85" t="s">
        <v>28689</v>
      </c>
      <c r="J85" t="s">
        <v>28897</v>
      </c>
      <c r="K85" t="s">
        <v>37220</v>
      </c>
      <c r="M85" t="s">
        <v>37543</v>
      </c>
      <c r="N85" t="s">
        <v>41249</v>
      </c>
      <c r="O85" t="s">
        <v>41250</v>
      </c>
      <c r="P85">
        <v>0</v>
      </c>
      <c r="Q85">
        <v>0</v>
      </c>
      <c r="R85" t="s">
        <v>41251</v>
      </c>
      <c r="S85" t="s">
        <v>41369</v>
      </c>
      <c r="T85" t="s">
        <v>42698</v>
      </c>
      <c r="U85" t="s">
        <v>43263</v>
      </c>
      <c r="V85" t="s">
        <v>54266</v>
      </c>
      <c r="W85" t="s">
        <v>37543</v>
      </c>
      <c r="X85" t="s">
        <v>41254</v>
      </c>
    </row>
    <row r="86" spans="1:24">
      <c r="A86">
        <f>HYPERLINK("https://www.philgeps.gov.ph/GEPSNONPILOT/Tender/SplashBidNoticeAbstractUI.aspx?menuIndex=3&amp;refID=7073547&amp;Result=3","7073547")</f>
        <v>0</v>
      </c>
      <c r="B86" t="s">
        <v>69</v>
      </c>
      <c r="C86" t="s">
        <v>3455</v>
      </c>
      <c r="D86" t="s">
        <v>16642</v>
      </c>
      <c r="E86" t="s">
        <v>16790</v>
      </c>
      <c r="F86" t="s">
        <v>28669</v>
      </c>
      <c r="G86" t="s">
        <v>28675</v>
      </c>
      <c r="H86" t="s">
        <v>9998</v>
      </c>
      <c r="I86" t="s">
        <v>28700</v>
      </c>
      <c r="J86" t="s">
        <v>28898</v>
      </c>
      <c r="K86" t="s">
        <v>37220</v>
      </c>
      <c r="M86" t="s">
        <v>37544</v>
      </c>
      <c r="N86" t="s">
        <v>41249</v>
      </c>
      <c r="O86" t="s">
        <v>41250</v>
      </c>
      <c r="P86">
        <v>0</v>
      </c>
      <c r="Q86">
        <v>7</v>
      </c>
      <c r="R86" t="s">
        <v>41251</v>
      </c>
      <c r="S86" t="s">
        <v>41369</v>
      </c>
      <c r="T86" t="s">
        <v>42688</v>
      </c>
      <c r="U86" t="s">
        <v>43264</v>
      </c>
      <c r="W86" t="s">
        <v>37544</v>
      </c>
      <c r="X86" t="s">
        <v>41254</v>
      </c>
    </row>
    <row r="87" spans="1:24">
      <c r="A87">
        <f>HYPERLINK("https://www.philgeps.gov.ph/GEPSNONPILOT/Tender/SplashBidNoticeAbstractUI.aspx?menuIndex=3&amp;refID=7073544&amp;Result=3","7073544")</f>
        <v>0</v>
      </c>
      <c r="B87" t="s">
        <v>65</v>
      </c>
      <c r="C87" t="s">
        <v>3456</v>
      </c>
      <c r="D87" t="s">
        <v>16626</v>
      </c>
      <c r="E87" t="s">
        <v>16791</v>
      </c>
      <c r="F87" t="s">
        <v>28669</v>
      </c>
      <c r="G87" t="s">
        <v>28676</v>
      </c>
      <c r="H87" t="s">
        <v>9998</v>
      </c>
      <c r="I87" t="s">
        <v>3679</v>
      </c>
      <c r="J87" t="s">
        <v>28899</v>
      </c>
      <c r="K87" t="s">
        <v>37227</v>
      </c>
      <c r="M87" t="s">
        <v>37540</v>
      </c>
      <c r="N87" t="s">
        <v>41249</v>
      </c>
      <c r="O87" t="s">
        <v>41250</v>
      </c>
      <c r="P87">
        <v>0</v>
      </c>
      <c r="Q87">
        <v>0</v>
      </c>
      <c r="R87" t="s">
        <v>41251</v>
      </c>
      <c r="S87" t="s">
        <v>41369</v>
      </c>
      <c r="T87" t="s">
        <v>42697</v>
      </c>
      <c r="U87" t="s">
        <v>43259</v>
      </c>
      <c r="W87" t="s">
        <v>55899</v>
      </c>
      <c r="X87" t="s">
        <v>41254</v>
      </c>
    </row>
    <row r="88" spans="1:24">
      <c r="A88">
        <f>HYPERLINK("https://www.philgeps.gov.ph/GEPSNONPILOT/Tender/SplashBidNoticeAbstractUI.aspx?menuIndex=3&amp;refID=7074285&amp;Result=3","7074285")</f>
        <v>0</v>
      </c>
      <c r="B88" t="s">
        <v>68</v>
      </c>
      <c r="C88" t="s">
        <v>3457</v>
      </c>
      <c r="D88" t="s">
        <v>16641</v>
      </c>
      <c r="E88" t="s">
        <v>16792</v>
      </c>
      <c r="F88" t="s">
        <v>28669</v>
      </c>
      <c r="G88" t="s">
        <v>28675</v>
      </c>
      <c r="H88" t="s">
        <v>28686</v>
      </c>
      <c r="I88" t="s">
        <v>28689</v>
      </c>
      <c r="J88" t="s">
        <v>28900</v>
      </c>
      <c r="K88" t="s">
        <v>37220</v>
      </c>
      <c r="M88" t="s">
        <v>37543</v>
      </c>
      <c r="N88" t="s">
        <v>41249</v>
      </c>
      <c r="O88" t="s">
        <v>41250</v>
      </c>
      <c r="P88">
        <v>0</v>
      </c>
      <c r="Q88">
        <v>0</v>
      </c>
      <c r="R88" t="s">
        <v>41251</v>
      </c>
      <c r="S88" t="s">
        <v>41369</v>
      </c>
      <c r="T88" t="s">
        <v>42698</v>
      </c>
      <c r="U88" t="s">
        <v>43265</v>
      </c>
      <c r="V88" t="s">
        <v>54267</v>
      </c>
      <c r="W88" t="s">
        <v>37543</v>
      </c>
      <c r="X88" t="s">
        <v>41254</v>
      </c>
    </row>
    <row r="89" spans="1:24">
      <c r="A89">
        <f>HYPERLINK("https://www.philgeps.gov.ph/GEPSNONPILOT/Tender/SplashBidNoticeAbstractUI.aspx?menuIndex=3&amp;refID=7073600&amp;Result=3","7073600")</f>
        <v>0</v>
      </c>
      <c r="B89" t="s">
        <v>65</v>
      </c>
      <c r="C89" t="s">
        <v>3458</v>
      </c>
      <c r="D89" t="s">
        <v>16626</v>
      </c>
      <c r="E89" t="s">
        <v>16793</v>
      </c>
      <c r="F89" t="s">
        <v>28669</v>
      </c>
      <c r="G89" t="s">
        <v>28676</v>
      </c>
      <c r="H89" t="s">
        <v>9998</v>
      </c>
      <c r="I89" t="s">
        <v>3679</v>
      </c>
      <c r="J89" t="s">
        <v>28901</v>
      </c>
      <c r="K89" t="s">
        <v>37227</v>
      </c>
      <c r="M89" t="s">
        <v>37540</v>
      </c>
      <c r="N89" t="s">
        <v>41249</v>
      </c>
      <c r="O89" t="s">
        <v>41250</v>
      </c>
      <c r="P89">
        <v>0</v>
      </c>
      <c r="Q89">
        <v>0</v>
      </c>
      <c r="R89" t="s">
        <v>41251</v>
      </c>
      <c r="S89" t="s">
        <v>41369</v>
      </c>
      <c r="T89" t="s">
        <v>42697</v>
      </c>
      <c r="U89" t="s">
        <v>43259</v>
      </c>
      <c r="W89" t="s">
        <v>55899</v>
      </c>
      <c r="X89" t="s">
        <v>41254</v>
      </c>
    </row>
    <row r="90" spans="1:24">
      <c r="A90">
        <f>HYPERLINK("https://www.philgeps.gov.ph/GEPSNONPILOT/Tender/SplashBidNoticeAbstractUI.aspx?menuIndex=3&amp;refID=7074273&amp;Result=3","7074273")</f>
        <v>0</v>
      </c>
      <c r="B90" t="s">
        <v>67</v>
      </c>
      <c r="C90" t="s">
        <v>3459</v>
      </c>
      <c r="D90" t="s">
        <v>16625</v>
      </c>
      <c r="E90" t="s">
        <v>16794</v>
      </c>
      <c r="F90" t="s">
        <v>28669</v>
      </c>
      <c r="G90" t="s">
        <v>28675</v>
      </c>
      <c r="H90" t="s">
        <v>9998</v>
      </c>
      <c r="I90" t="s">
        <v>28697</v>
      </c>
      <c r="J90" t="s">
        <v>28902</v>
      </c>
      <c r="K90" t="s">
        <v>37206</v>
      </c>
      <c r="M90" t="s">
        <v>37542</v>
      </c>
      <c r="N90" t="s">
        <v>41249</v>
      </c>
      <c r="O90" t="s">
        <v>41250</v>
      </c>
      <c r="P90">
        <v>0</v>
      </c>
      <c r="Q90">
        <v>4</v>
      </c>
      <c r="R90" t="s">
        <v>41251</v>
      </c>
      <c r="S90" t="s">
        <v>41369</v>
      </c>
      <c r="T90" t="s">
        <v>42692</v>
      </c>
      <c r="U90" t="s">
        <v>43266</v>
      </c>
      <c r="W90" t="s">
        <v>37542</v>
      </c>
      <c r="X90" t="s">
        <v>41254</v>
      </c>
    </row>
    <row r="91" spans="1:24">
      <c r="A91">
        <f>HYPERLINK("https://www.philgeps.gov.ph/GEPSNONPILOT/Tender/SplashBidNoticeAbstractUI.aspx?menuIndex=3&amp;refID=7074249&amp;Result=3","7074249")</f>
        <v>0</v>
      </c>
      <c r="B91" t="s">
        <v>68</v>
      </c>
      <c r="C91" t="s">
        <v>3460</v>
      </c>
      <c r="D91" t="s">
        <v>16641</v>
      </c>
      <c r="E91" t="s">
        <v>16795</v>
      </c>
      <c r="F91" t="s">
        <v>28669</v>
      </c>
      <c r="G91" t="s">
        <v>28675</v>
      </c>
      <c r="H91" t="s">
        <v>28686</v>
      </c>
      <c r="I91" t="s">
        <v>28689</v>
      </c>
      <c r="J91" t="s">
        <v>28903</v>
      </c>
      <c r="K91" t="s">
        <v>37220</v>
      </c>
      <c r="M91" t="s">
        <v>37543</v>
      </c>
      <c r="N91" t="s">
        <v>41249</v>
      </c>
      <c r="O91" t="s">
        <v>41250</v>
      </c>
      <c r="P91">
        <v>0</v>
      </c>
      <c r="Q91">
        <v>0</v>
      </c>
      <c r="R91" t="s">
        <v>41251</v>
      </c>
      <c r="S91" t="s">
        <v>41369</v>
      </c>
      <c r="T91" t="s">
        <v>42698</v>
      </c>
      <c r="U91" t="s">
        <v>43267</v>
      </c>
      <c r="V91" t="s">
        <v>54267</v>
      </c>
      <c r="W91" t="s">
        <v>37543</v>
      </c>
      <c r="X91" t="s">
        <v>41254</v>
      </c>
    </row>
    <row r="92" spans="1:24">
      <c r="A92">
        <f>HYPERLINK("https://www.philgeps.gov.ph/GEPSNONPILOT/Tender/SplashBidNoticeAbstractUI.aspx?menuIndex=3&amp;refID=7074308&amp;Result=3","7074308")</f>
        <v>0</v>
      </c>
      <c r="B92" t="s">
        <v>68</v>
      </c>
      <c r="C92" t="s">
        <v>3461</v>
      </c>
      <c r="D92" t="s">
        <v>16641</v>
      </c>
      <c r="E92" t="s">
        <v>16796</v>
      </c>
      <c r="F92" t="s">
        <v>28669</v>
      </c>
      <c r="G92" t="s">
        <v>28675</v>
      </c>
      <c r="H92" t="s">
        <v>28686</v>
      </c>
      <c r="I92" t="s">
        <v>28689</v>
      </c>
      <c r="J92" t="s">
        <v>28897</v>
      </c>
      <c r="K92" t="s">
        <v>37220</v>
      </c>
      <c r="M92" t="s">
        <v>37543</v>
      </c>
      <c r="N92" t="s">
        <v>41249</v>
      </c>
      <c r="O92" t="s">
        <v>41250</v>
      </c>
      <c r="P92">
        <v>0</v>
      </c>
      <c r="Q92">
        <v>0</v>
      </c>
      <c r="R92" t="s">
        <v>41251</v>
      </c>
      <c r="S92" t="s">
        <v>41369</v>
      </c>
      <c r="T92" t="s">
        <v>42698</v>
      </c>
      <c r="U92" t="s">
        <v>43268</v>
      </c>
      <c r="V92" t="s">
        <v>54266</v>
      </c>
      <c r="W92" t="s">
        <v>37543</v>
      </c>
      <c r="X92" t="s">
        <v>41254</v>
      </c>
    </row>
    <row r="93" spans="1:24">
      <c r="A93">
        <f>HYPERLINK("https://www.philgeps.gov.ph/GEPSNONPILOT/Tender/SplashBidNoticeAbstractUI.aspx?menuIndex=3&amp;refID=7074262&amp;Result=3","7074262")</f>
        <v>0</v>
      </c>
      <c r="B93" t="s">
        <v>68</v>
      </c>
      <c r="C93" t="s">
        <v>3462</v>
      </c>
      <c r="D93" t="s">
        <v>16641</v>
      </c>
      <c r="E93" t="s">
        <v>16797</v>
      </c>
      <c r="F93" t="s">
        <v>28669</v>
      </c>
      <c r="G93" t="s">
        <v>28675</v>
      </c>
      <c r="H93" t="s">
        <v>28686</v>
      </c>
      <c r="I93" t="s">
        <v>28689</v>
      </c>
      <c r="J93" t="s">
        <v>28904</v>
      </c>
      <c r="K93" t="s">
        <v>37220</v>
      </c>
      <c r="M93" t="s">
        <v>37543</v>
      </c>
      <c r="N93" t="s">
        <v>41249</v>
      </c>
      <c r="O93" t="s">
        <v>41250</v>
      </c>
      <c r="P93">
        <v>0</v>
      </c>
      <c r="Q93">
        <v>0</v>
      </c>
      <c r="R93" t="s">
        <v>41251</v>
      </c>
      <c r="S93" t="s">
        <v>41369</v>
      </c>
      <c r="T93" t="s">
        <v>42698</v>
      </c>
      <c r="U93" t="s">
        <v>43269</v>
      </c>
      <c r="V93" t="s">
        <v>54266</v>
      </c>
      <c r="W93" t="s">
        <v>37543</v>
      </c>
      <c r="X93" t="s">
        <v>41254</v>
      </c>
    </row>
    <row r="94" spans="1:24">
      <c r="A94">
        <f>HYPERLINK("https://www.philgeps.gov.ph/GEPSNONPILOT/Tender/SplashBidNoticeAbstractUI.aspx?menuIndex=3&amp;refID=7047380&amp;Result=3","7047380")</f>
        <v>0</v>
      </c>
      <c r="B94" t="s">
        <v>42</v>
      </c>
      <c r="C94" t="s">
        <v>3463</v>
      </c>
      <c r="D94" t="s">
        <v>16623</v>
      </c>
      <c r="E94" t="s">
        <v>16798</v>
      </c>
      <c r="F94" t="s">
        <v>28669</v>
      </c>
      <c r="G94" t="s">
        <v>28675</v>
      </c>
      <c r="H94" t="s">
        <v>9998</v>
      </c>
      <c r="I94" t="s">
        <v>3718</v>
      </c>
      <c r="J94" t="s">
        <v>28905</v>
      </c>
      <c r="K94" t="s">
        <v>37210</v>
      </c>
      <c r="M94" t="s">
        <v>37517</v>
      </c>
      <c r="N94" t="s">
        <v>41249</v>
      </c>
      <c r="O94" t="s">
        <v>41250</v>
      </c>
      <c r="P94">
        <v>0</v>
      </c>
      <c r="Q94">
        <v>4</v>
      </c>
      <c r="R94" t="s">
        <v>41251</v>
      </c>
      <c r="S94" t="s">
        <v>41369</v>
      </c>
      <c r="T94" t="s">
        <v>42678</v>
      </c>
      <c r="U94" t="s">
        <v>43270</v>
      </c>
      <c r="W94" t="s">
        <v>37517</v>
      </c>
      <c r="X94" t="s">
        <v>41267</v>
      </c>
    </row>
    <row r="95" spans="1:24">
      <c r="A95">
        <f>HYPERLINK("https://www.philgeps.gov.ph/GEPSNONPILOT/Tender/SplashBidNoticeAbstractUI.aspx?menuIndex=3&amp;refID=7074235&amp;Result=3","7074235")</f>
        <v>0</v>
      </c>
      <c r="B95" t="s">
        <v>25</v>
      </c>
      <c r="C95" t="s">
        <v>3464</v>
      </c>
      <c r="D95" t="s">
        <v>16608</v>
      </c>
      <c r="E95" t="s">
        <v>16799</v>
      </c>
      <c r="F95" t="s">
        <v>28669</v>
      </c>
      <c r="G95" t="s">
        <v>28675</v>
      </c>
      <c r="H95" t="s">
        <v>28684</v>
      </c>
      <c r="I95" t="s">
        <v>5213</v>
      </c>
      <c r="J95" t="s">
        <v>28906</v>
      </c>
      <c r="K95" t="s">
        <v>37205</v>
      </c>
      <c r="M95" t="s">
        <v>37500</v>
      </c>
      <c r="N95" t="s">
        <v>41249</v>
      </c>
      <c r="O95" t="s">
        <v>41250</v>
      </c>
      <c r="P95">
        <v>0</v>
      </c>
      <c r="Q95">
        <v>0</v>
      </c>
      <c r="R95" t="s">
        <v>41251</v>
      </c>
      <c r="S95" t="s">
        <v>41369</v>
      </c>
      <c r="T95" t="s">
        <v>42660</v>
      </c>
      <c r="U95" t="s">
        <v>43271</v>
      </c>
      <c r="W95" t="s">
        <v>37500</v>
      </c>
      <c r="X95" t="s">
        <v>41254</v>
      </c>
    </row>
    <row r="96" spans="1:24">
      <c r="A96">
        <f>HYPERLINK("https://www.philgeps.gov.ph/GEPSNONPILOT/Tender/SplashBidNoticeAbstractUI.aspx?menuIndex=3&amp;refID=7074169&amp;Result=3","7074169")</f>
        <v>0</v>
      </c>
      <c r="B96" t="s">
        <v>68</v>
      </c>
      <c r="C96" t="s">
        <v>3465</v>
      </c>
      <c r="D96" t="s">
        <v>16641</v>
      </c>
      <c r="E96" t="s">
        <v>16800</v>
      </c>
      <c r="F96" t="s">
        <v>28669</v>
      </c>
      <c r="G96" t="s">
        <v>28675</v>
      </c>
      <c r="H96" t="s">
        <v>28686</v>
      </c>
      <c r="I96" t="s">
        <v>28689</v>
      </c>
      <c r="J96" t="s">
        <v>28907</v>
      </c>
      <c r="K96" t="s">
        <v>37220</v>
      </c>
      <c r="M96" t="s">
        <v>37543</v>
      </c>
      <c r="N96" t="s">
        <v>41249</v>
      </c>
      <c r="O96" t="s">
        <v>41250</v>
      </c>
      <c r="P96">
        <v>0</v>
      </c>
      <c r="Q96">
        <v>0</v>
      </c>
      <c r="R96" t="s">
        <v>41251</v>
      </c>
      <c r="S96" t="s">
        <v>41369</v>
      </c>
      <c r="T96" t="s">
        <v>42698</v>
      </c>
      <c r="U96" t="s">
        <v>43272</v>
      </c>
      <c r="V96" t="s">
        <v>54267</v>
      </c>
      <c r="W96" t="s">
        <v>37543</v>
      </c>
      <c r="X96" t="s">
        <v>41254</v>
      </c>
    </row>
    <row r="97" spans="1:24">
      <c r="A97">
        <f>HYPERLINK("https://www.philgeps.gov.ph/GEPSNONPILOT/Tender/SplashBidNoticeAbstractUI.aspx?menuIndex=3&amp;refID=7074140&amp;Result=3","7074140")</f>
        <v>0</v>
      </c>
      <c r="B97" t="s">
        <v>68</v>
      </c>
      <c r="C97" t="s">
        <v>3466</v>
      </c>
      <c r="D97" t="s">
        <v>16641</v>
      </c>
      <c r="E97" t="s">
        <v>16801</v>
      </c>
      <c r="F97" t="s">
        <v>28669</v>
      </c>
      <c r="G97" t="s">
        <v>28675</v>
      </c>
      <c r="H97" t="s">
        <v>28686</v>
      </c>
      <c r="I97" t="s">
        <v>28689</v>
      </c>
      <c r="J97" t="s">
        <v>28908</v>
      </c>
      <c r="K97" t="s">
        <v>37220</v>
      </c>
      <c r="M97" t="s">
        <v>37543</v>
      </c>
      <c r="N97" t="s">
        <v>41249</v>
      </c>
      <c r="O97" t="s">
        <v>41250</v>
      </c>
      <c r="P97">
        <v>0</v>
      </c>
      <c r="Q97">
        <v>0</v>
      </c>
      <c r="R97" t="s">
        <v>41251</v>
      </c>
      <c r="S97" t="s">
        <v>41369</v>
      </c>
      <c r="T97" t="s">
        <v>42698</v>
      </c>
      <c r="U97" t="s">
        <v>43273</v>
      </c>
      <c r="V97" t="s">
        <v>54268</v>
      </c>
      <c r="W97" t="s">
        <v>37543</v>
      </c>
      <c r="X97" t="s">
        <v>41254</v>
      </c>
    </row>
    <row r="98" spans="1:24">
      <c r="A98">
        <f>HYPERLINK("https://www.philgeps.gov.ph/GEPSNONPILOT/Tender/SplashBidNoticeAbstractUI.aspx?menuIndex=3&amp;refID=7074178&amp;Result=3","7074178")</f>
        <v>0</v>
      </c>
      <c r="B98" t="s">
        <v>68</v>
      </c>
      <c r="C98" t="s">
        <v>3467</v>
      </c>
      <c r="D98" t="s">
        <v>16641</v>
      </c>
      <c r="E98" t="s">
        <v>16802</v>
      </c>
      <c r="F98" t="s">
        <v>28669</v>
      </c>
      <c r="G98" t="s">
        <v>28675</v>
      </c>
      <c r="H98" t="s">
        <v>28686</v>
      </c>
      <c r="I98" t="s">
        <v>28689</v>
      </c>
      <c r="J98" t="s">
        <v>28909</v>
      </c>
      <c r="K98" t="s">
        <v>37215</v>
      </c>
      <c r="M98" t="s">
        <v>37543</v>
      </c>
      <c r="N98" t="s">
        <v>41249</v>
      </c>
      <c r="O98" t="s">
        <v>41250</v>
      </c>
      <c r="P98">
        <v>0</v>
      </c>
      <c r="Q98">
        <v>0</v>
      </c>
      <c r="R98" t="s">
        <v>41251</v>
      </c>
      <c r="S98" t="s">
        <v>41369</v>
      </c>
      <c r="T98" t="s">
        <v>42698</v>
      </c>
      <c r="U98" t="s">
        <v>43274</v>
      </c>
      <c r="V98" t="s">
        <v>54266</v>
      </c>
      <c r="W98" t="s">
        <v>37543</v>
      </c>
      <c r="X98" t="s">
        <v>41254</v>
      </c>
    </row>
    <row r="99" spans="1:24">
      <c r="A99">
        <f>HYPERLINK("https://www.philgeps.gov.ph/GEPSNONPILOT/Tender/SplashBidNoticeAbstractUI.aspx?menuIndex=3&amp;refID=7040955&amp;Result=3","7040955")</f>
        <v>0</v>
      </c>
      <c r="B99" t="s">
        <v>25</v>
      </c>
      <c r="C99" t="s">
        <v>3468</v>
      </c>
      <c r="D99" t="s">
        <v>16608</v>
      </c>
      <c r="E99" t="s">
        <v>16803</v>
      </c>
      <c r="F99" t="s">
        <v>28669</v>
      </c>
      <c r="G99" t="s">
        <v>28675</v>
      </c>
      <c r="H99" t="s">
        <v>28684</v>
      </c>
      <c r="I99" t="s">
        <v>3718</v>
      </c>
      <c r="J99" t="s">
        <v>28910</v>
      </c>
      <c r="K99" t="s">
        <v>37205</v>
      </c>
      <c r="M99" t="s">
        <v>37500</v>
      </c>
      <c r="N99" t="s">
        <v>41249</v>
      </c>
      <c r="O99" t="s">
        <v>41250</v>
      </c>
      <c r="P99">
        <v>0</v>
      </c>
      <c r="Q99">
        <v>0</v>
      </c>
      <c r="R99" t="s">
        <v>41251</v>
      </c>
      <c r="S99" t="s">
        <v>41369</v>
      </c>
      <c r="T99" t="s">
        <v>42670</v>
      </c>
      <c r="U99" t="s">
        <v>43275</v>
      </c>
      <c r="W99" t="s">
        <v>37500</v>
      </c>
      <c r="X99" t="s">
        <v>41273</v>
      </c>
    </row>
    <row r="100" spans="1:24">
      <c r="A100">
        <f>HYPERLINK("https://www.philgeps.gov.ph/GEPSNONPILOT/Tender/SplashBidNoticeAbstractUI.aspx?menuIndex=3&amp;refID=7074055&amp;Result=3","7074055")</f>
        <v>0</v>
      </c>
      <c r="B100" t="s">
        <v>70</v>
      </c>
      <c r="C100" t="s">
        <v>3469</v>
      </c>
      <c r="D100" t="s">
        <v>16643</v>
      </c>
      <c r="E100" t="s">
        <v>16803</v>
      </c>
      <c r="F100" t="s">
        <v>28669</v>
      </c>
      <c r="G100" t="s">
        <v>28675</v>
      </c>
      <c r="H100" t="s">
        <v>9998</v>
      </c>
      <c r="I100" t="s">
        <v>28687</v>
      </c>
      <c r="J100" t="s">
        <v>28911</v>
      </c>
      <c r="K100" t="s">
        <v>37213</v>
      </c>
      <c r="M100" t="s">
        <v>37545</v>
      </c>
      <c r="N100" t="s">
        <v>41249</v>
      </c>
      <c r="O100" t="s">
        <v>41250</v>
      </c>
      <c r="P100">
        <v>0</v>
      </c>
      <c r="Q100">
        <v>4</v>
      </c>
      <c r="R100" t="s">
        <v>41251</v>
      </c>
      <c r="S100" t="s">
        <v>41369</v>
      </c>
      <c r="T100" t="s">
        <v>42668</v>
      </c>
      <c r="U100" t="s">
        <v>43276</v>
      </c>
      <c r="W100" t="s">
        <v>37545</v>
      </c>
      <c r="X100" t="s">
        <v>41254</v>
      </c>
    </row>
    <row r="101" spans="1:24">
      <c r="A101">
        <f>HYPERLINK("https://www.philgeps.gov.ph/GEPSNONPILOT/Tender/SplashBidNoticeAbstractUI.aspx?menuIndex=3&amp;refID=7074176&amp;Result=3","7074176")</f>
        <v>0</v>
      </c>
      <c r="B101" t="s">
        <v>71</v>
      </c>
      <c r="C101" t="s">
        <v>3470</v>
      </c>
      <c r="D101" t="s">
        <v>16639</v>
      </c>
      <c r="E101" t="s">
        <v>16804</v>
      </c>
      <c r="F101" t="s">
        <v>28669</v>
      </c>
      <c r="G101" t="s">
        <v>28676</v>
      </c>
      <c r="H101" t="s">
        <v>9998</v>
      </c>
      <c r="I101" t="s">
        <v>3718</v>
      </c>
      <c r="J101" t="s">
        <v>28912</v>
      </c>
      <c r="K101" t="s">
        <v>37206</v>
      </c>
      <c r="M101" t="s">
        <v>37546</v>
      </c>
      <c r="N101" t="s">
        <v>41249</v>
      </c>
      <c r="O101" t="s">
        <v>41250</v>
      </c>
      <c r="P101">
        <v>0</v>
      </c>
      <c r="Q101">
        <v>5</v>
      </c>
      <c r="R101" t="s">
        <v>41251</v>
      </c>
      <c r="S101" t="s">
        <v>41369</v>
      </c>
      <c r="T101" t="s">
        <v>42699</v>
      </c>
      <c r="U101" t="s">
        <v>43277</v>
      </c>
      <c r="W101" t="s">
        <v>37546</v>
      </c>
      <c r="X101" t="s">
        <v>41254</v>
      </c>
    </row>
    <row r="102" spans="1:24">
      <c r="A102">
        <f>HYPERLINK("https://www.philgeps.gov.ph/GEPSNONPILOT/Tender/SplashBidNoticeAbstractUI.aspx?menuIndex=3&amp;refID=7073960&amp;Result=3","7073960")</f>
        <v>0</v>
      </c>
      <c r="B102" t="s">
        <v>72</v>
      </c>
      <c r="C102" t="s">
        <v>3471</v>
      </c>
      <c r="D102" t="s">
        <v>16644</v>
      </c>
      <c r="E102" t="s">
        <v>16805</v>
      </c>
      <c r="F102" t="s">
        <v>28669</v>
      </c>
      <c r="G102" t="s">
        <v>28675</v>
      </c>
      <c r="H102" t="s">
        <v>9998</v>
      </c>
      <c r="I102" t="s">
        <v>28701</v>
      </c>
      <c r="J102" t="s">
        <v>28913</v>
      </c>
      <c r="K102" t="s">
        <v>37228</v>
      </c>
      <c r="M102" t="s">
        <v>37547</v>
      </c>
      <c r="N102" t="s">
        <v>41249</v>
      </c>
      <c r="O102" t="s">
        <v>41250</v>
      </c>
      <c r="P102">
        <v>0</v>
      </c>
      <c r="Q102">
        <v>3</v>
      </c>
      <c r="R102" t="s">
        <v>41251</v>
      </c>
      <c r="S102" t="s">
        <v>41369</v>
      </c>
      <c r="T102" t="s">
        <v>42688</v>
      </c>
      <c r="U102" t="s">
        <v>43278</v>
      </c>
      <c r="W102" t="s">
        <v>55900</v>
      </c>
      <c r="X102" t="s">
        <v>41254</v>
      </c>
    </row>
    <row r="103" spans="1:24">
      <c r="A103">
        <f>HYPERLINK("https://www.philgeps.gov.ph/GEPSNONPILOT/Tender/SplashBidNoticeAbstractUI.aspx?menuIndex=3&amp;refID=7074233&amp;Result=3","7074233")</f>
        <v>0</v>
      </c>
      <c r="B103" t="s">
        <v>73</v>
      </c>
      <c r="C103" t="s">
        <v>3472</v>
      </c>
      <c r="D103" t="s">
        <v>16645</v>
      </c>
      <c r="E103" t="s">
        <v>16806</v>
      </c>
      <c r="F103" t="s">
        <v>28669</v>
      </c>
      <c r="G103" t="s">
        <v>28675</v>
      </c>
      <c r="H103" t="s">
        <v>28686</v>
      </c>
      <c r="I103" t="s">
        <v>28702</v>
      </c>
      <c r="J103" t="s">
        <v>28914</v>
      </c>
      <c r="K103" t="s">
        <v>37229</v>
      </c>
      <c r="M103" t="s">
        <v>37548</v>
      </c>
      <c r="N103" t="s">
        <v>41249</v>
      </c>
      <c r="O103" t="s">
        <v>41250</v>
      </c>
      <c r="P103">
        <v>0</v>
      </c>
      <c r="Q103">
        <v>4</v>
      </c>
      <c r="R103" t="s">
        <v>41251</v>
      </c>
      <c r="S103" t="s">
        <v>41369</v>
      </c>
      <c r="T103" t="s">
        <v>42700</v>
      </c>
      <c r="U103" t="s">
        <v>43279</v>
      </c>
      <c r="W103" t="s">
        <v>37548</v>
      </c>
      <c r="X103" t="s">
        <v>41254</v>
      </c>
    </row>
    <row r="104" spans="1:24">
      <c r="A104">
        <f>HYPERLINK("https://www.philgeps.gov.ph/GEPSNONPILOT/Tender/SplashBidNoticeAbstractUI.aspx?menuIndex=3&amp;refID=7074922&amp;Result=3","7074922")</f>
        <v>0</v>
      </c>
      <c r="B104" t="s">
        <v>74</v>
      </c>
      <c r="C104" t="s">
        <v>3473</v>
      </c>
      <c r="D104" t="s">
        <v>16608</v>
      </c>
      <c r="E104" t="s">
        <v>16807</v>
      </c>
      <c r="F104" t="s">
        <v>28669</v>
      </c>
      <c r="G104" t="s">
        <v>28677</v>
      </c>
      <c r="H104" t="s">
        <v>9998</v>
      </c>
      <c r="I104" t="s">
        <v>28688</v>
      </c>
      <c r="J104" t="s">
        <v>28915</v>
      </c>
      <c r="K104" t="s">
        <v>37204</v>
      </c>
      <c r="M104" t="s">
        <v>37549</v>
      </c>
      <c r="N104" t="s">
        <v>41249</v>
      </c>
      <c r="O104" t="s">
        <v>41250</v>
      </c>
      <c r="P104">
        <v>0</v>
      </c>
      <c r="Q104">
        <v>4</v>
      </c>
      <c r="R104" t="s">
        <v>41251</v>
      </c>
      <c r="S104" t="s">
        <v>41369</v>
      </c>
      <c r="T104" t="s">
        <v>42701</v>
      </c>
      <c r="U104" t="s">
        <v>43280</v>
      </c>
      <c r="W104" t="s">
        <v>37549</v>
      </c>
      <c r="X104" t="s">
        <v>41254</v>
      </c>
    </row>
    <row r="105" spans="1:24">
      <c r="A105">
        <f>HYPERLINK("https://www.philgeps.gov.ph/GEPSNONPILOT/Tender/SplashBidNoticeAbstractUI.aspx?menuIndex=3&amp;refID=7074110&amp;Result=3","7074110")</f>
        <v>0</v>
      </c>
      <c r="B105" t="s">
        <v>68</v>
      </c>
      <c r="C105" t="s">
        <v>3474</v>
      </c>
      <c r="D105" t="s">
        <v>16641</v>
      </c>
      <c r="E105" t="s">
        <v>16808</v>
      </c>
      <c r="F105" t="s">
        <v>28669</v>
      </c>
      <c r="G105" t="s">
        <v>28675</v>
      </c>
      <c r="H105" t="s">
        <v>28686</v>
      </c>
      <c r="I105" t="s">
        <v>28689</v>
      </c>
      <c r="J105" t="s">
        <v>28916</v>
      </c>
      <c r="K105" t="s">
        <v>37220</v>
      </c>
      <c r="M105" t="s">
        <v>37543</v>
      </c>
      <c r="N105" t="s">
        <v>41249</v>
      </c>
      <c r="O105" t="s">
        <v>41250</v>
      </c>
      <c r="P105">
        <v>0</v>
      </c>
      <c r="Q105">
        <v>0</v>
      </c>
      <c r="R105" t="s">
        <v>41251</v>
      </c>
      <c r="S105" t="s">
        <v>41369</v>
      </c>
      <c r="T105" t="s">
        <v>42698</v>
      </c>
      <c r="U105" t="s">
        <v>43281</v>
      </c>
      <c r="V105" t="s">
        <v>54267</v>
      </c>
      <c r="W105" t="s">
        <v>37543</v>
      </c>
      <c r="X105" t="s">
        <v>41254</v>
      </c>
    </row>
    <row r="106" spans="1:24">
      <c r="A106">
        <f>HYPERLINK("https://www.philgeps.gov.ph/GEPSNONPILOT/Tender/SplashBidNoticeAbstractUI.aspx?menuIndex=3&amp;refID=7074217&amp;Result=3","7074217")</f>
        <v>0</v>
      </c>
      <c r="B106" t="s">
        <v>75</v>
      </c>
      <c r="C106" t="s">
        <v>3475</v>
      </c>
      <c r="D106" t="s">
        <v>16621</v>
      </c>
      <c r="E106" t="s">
        <v>16809</v>
      </c>
      <c r="F106" t="s">
        <v>28669</v>
      </c>
      <c r="G106" t="s">
        <v>28676</v>
      </c>
      <c r="H106" t="s">
        <v>9998</v>
      </c>
      <c r="I106" t="s">
        <v>7352</v>
      </c>
      <c r="J106" t="s">
        <v>28917</v>
      </c>
      <c r="K106" t="s">
        <v>37208</v>
      </c>
      <c r="M106" t="s">
        <v>37550</v>
      </c>
      <c r="N106" t="s">
        <v>41249</v>
      </c>
      <c r="O106" t="s">
        <v>41250</v>
      </c>
      <c r="P106">
        <v>0</v>
      </c>
      <c r="Q106">
        <v>0</v>
      </c>
      <c r="R106" t="s">
        <v>41251</v>
      </c>
      <c r="S106" t="s">
        <v>41369</v>
      </c>
      <c r="T106" t="s">
        <v>42702</v>
      </c>
      <c r="U106" t="s">
        <v>43282</v>
      </c>
      <c r="W106" t="s">
        <v>37550</v>
      </c>
      <c r="X106" t="s">
        <v>41254</v>
      </c>
    </row>
    <row r="107" spans="1:24">
      <c r="A107">
        <f>HYPERLINK("https://www.philgeps.gov.ph/GEPSNONPILOT/Tender/SplashBidNoticeAbstractUI.aspx?menuIndex=3&amp;refID=7074819&amp;Result=3","7074819")</f>
        <v>0</v>
      </c>
      <c r="B107" t="s">
        <v>76</v>
      </c>
      <c r="C107" t="s">
        <v>3476</v>
      </c>
      <c r="D107" t="s">
        <v>16646</v>
      </c>
      <c r="E107" t="s">
        <v>16810</v>
      </c>
      <c r="F107" t="s">
        <v>28669</v>
      </c>
      <c r="G107" t="s">
        <v>28676</v>
      </c>
      <c r="H107" t="s">
        <v>28686</v>
      </c>
      <c r="I107" t="s">
        <v>28689</v>
      </c>
      <c r="J107" t="s">
        <v>28918</v>
      </c>
      <c r="K107" t="s">
        <v>37230</v>
      </c>
      <c r="M107" t="s">
        <v>37551</v>
      </c>
      <c r="N107" t="s">
        <v>41249</v>
      </c>
      <c r="O107" t="s">
        <v>41250</v>
      </c>
      <c r="P107">
        <v>0</v>
      </c>
      <c r="Q107">
        <v>0</v>
      </c>
      <c r="R107" t="s">
        <v>41251</v>
      </c>
      <c r="S107" t="s">
        <v>41369</v>
      </c>
      <c r="T107" t="s">
        <v>42675</v>
      </c>
      <c r="U107" t="s">
        <v>43283</v>
      </c>
      <c r="W107" t="s">
        <v>37551</v>
      </c>
      <c r="X107" t="s">
        <v>41254</v>
      </c>
    </row>
    <row r="108" spans="1:24">
      <c r="A108">
        <f>HYPERLINK("https://www.philgeps.gov.ph/GEPSNONPILOT/Tender/SplashBidNoticeAbstractUI.aspx?menuIndex=3&amp;refID=7074813&amp;Result=3","7074813")</f>
        <v>0</v>
      </c>
      <c r="B108" t="s">
        <v>77</v>
      </c>
      <c r="C108" t="s">
        <v>3477</v>
      </c>
      <c r="D108" t="s">
        <v>16647</v>
      </c>
      <c r="E108" t="s">
        <v>16811</v>
      </c>
      <c r="F108" t="s">
        <v>28669</v>
      </c>
      <c r="G108" t="s">
        <v>28676</v>
      </c>
      <c r="H108" t="s">
        <v>9998</v>
      </c>
      <c r="I108" t="s">
        <v>7352</v>
      </c>
      <c r="J108" t="s">
        <v>28894</v>
      </c>
      <c r="K108" t="s">
        <v>37209</v>
      </c>
      <c r="M108" t="s">
        <v>37552</v>
      </c>
      <c r="N108" t="s">
        <v>41249</v>
      </c>
      <c r="O108" t="s">
        <v>41250</v>
      </c>
      <c r="P108">
        <v>0</v>
      </c>
      <c r="Q108">
        <v>0</v>
      </c>
      <c r="R108" t="s">
        <v>41251</v>
      </c>
      <c r="S108" t="s">
        <v>41369</v>
      </c>
      <c r="T108" t="s">
        <v>42703</v>
      </c>
      <c r="U108" t="s">
        <v>43284</v>
      </c>
      <c r="W108" t="s">
        <v>37552</v>
      </c>
      <c r="X108" t="s">
        <v>41254</v>
      </c>
    </row>
    <row r="109" spans="1:24">
      <c r="A109">
        <f>HYPERLINK("https://www.philgeps.gov.ph/GEPSNONPILOT/Tender/SplashBidNoticeAbstractUI.aspx?menuIndex=3&amp;refID=7074806&amp;Result=3","7074806")</f>
        <v>0</v>
      </c>
      <c r="B109" t="s">
        <v>76</v>
      </c>
      <c r="C109" t="s">
        <v>3478</v>
      </c>
      <c r="D109" t="s">
        <v>16646</v>
      </c>
      <c r="E109" t="s">
        <v>16812</v>
      </c>
      <c r="F109" t="s">
        <v>28669</v>
      </c>
      <c r="G109" t="s">
        <v>28676</v>
      </c>
      <c r="H109" t="s">
        <v>28686</v>
      </c>
      <c r="I109" t="s">
        <v>28689</v>
      </c>
      <c r="J109" t="s">
        <v>28919</v>
      </c>
      <c r="K109" t="s">
        <v>37231</v>
      </c>
      <c r="M109" t="s">
        <v>37551</v>
      </c>
      <c r="N109" t="s">
        <v>41249</v>
      </c>
      <c r="O109" t="s">
        <v>41250</v>
      </c>
      <c r="P109">
        <v>0</v>
      </c>
      <c r="Q109">
        <v>0</v>
      </c>
      <c r="R109" t="s">
        <v>41251</v>
      </c>
      <c r="S109" t="s">
        <v>41369</v>
      </c>
      <c r="T109" t="s">
        <v>42675</v>
      </c>
      <c r="U109" t="s">
        <v>43283</v>
      </c>
      <c r="W109" t="s">
        <v>37551</v>
      </c>
      <c r="X109" t="s">
        <v>41254</v>
      </c>
    </row>
    <row r="110" spans="1:24">
      <c r="A110">
        <f>HYPERLINK("https://www.philgeps.gov.ph/GEPSNONPILOT/Tender/SplashBidNoticeAbstractUI.aspx?menuIndex=3&amp;refID=7074833&amp;Result=3","7074833")</f>
        <v>0</v>
      </c>
      <c r="B110" t="s">
        <v>78</v>
      </c>
      <c r="C110" t="s">
        <v>3479</v>
      </c>
      <c r="D110" t="s">
        <v>16648</v>
      </c>
      <c r="E110" t="s">
        <v>16813</v>
      </c>
      <c r="F110" t="s">
        <v>28669</v>
      </c>
      <c r="G110" t="s">
        <v>28675</v>
      </c>
      <c r="H110" t="s">
        <v>28685</v>
      </c>
      <c r="I110" t="s">
        <v>28703</v>
      </c>
      <c r="J110" t="s">
        <v>28920</v>
      </c>
      <c r="K110" t="s">
        <v>37206</v>
      </c>
      <c r="M110" t="s">
        <v>37553</v>
      </c>
      <c r="N110" t="s">
        <v>41249</v>
      </c>
      <c r="O110" t="s">
        <v>41250</v>
      </c>
      <c r="P110">
        <v>0</v>
      </c>
      <c r="Q110">
        <v>5</v>
      </c>
      <c r="R110" t="s">
        <v>41251</v>
      </c>
      <c r="S110" t="s">
        <v>41369</v>
      </c>
      <c r="T110" t="s">
        <v>42704</v>
      </c>
      <c r="U110" t="s">
        <v>43285</v>
      </c>
      <c r="V110" t="s">
        <v>54269</v>
      </c>
      <c r="W110" t="s">
        <v>37553</v>
      </c>
      <c r="X110" t="s">
        <v>41254</v>
      </c>
    </row>
    <row r="111" spans="1:24">
      <c r="A111">
        <f>HYPERLINK("https://www.philgeps.gov.ph/GEPSNONPILOT/Tender/SplashBidNoticeAbstractUI.aspx?menuIndex=3&amp;refID=7074777&amp;Result=3","7074777")</f>
        <v>0</v>
      </c>
      <c r="B111" t="s">
        <v>68</v>
      </c>
      <c r="C111" t="s">
        <v>3480</v>
      </c>
      <c r="D111" t="s">
        <v>16641</v>
      </c>
      <c r="E111" t="s">
        <v>16814</v>
      </c>
      <c r="F111" t="s">
        <v>28669</v>
      </c>
      <c r="G111" t="s">
        <v>28675</v>
      </c>
      <c r="H111" t="s">
        <v>28686</v>
      </c>
      <c r="I111" t="s">
        <v>28689</v>
      </c>
      <c r="J111" t="s">
        <v>28903</v>
      </c>
      <c r="K111" t="s">
        <v>37220</v>
      </c>
      <c r="M111" t="s">
        <v>37543</v>
      </c>
      <c r="N111" t="s">
        <v>41249</v>
      </c>
      <c r="O111" t="s">
        <v>41250</v>
      </c>
      <c r="P111">
        <v>0</v>
      </c>
      <c r="Q111">
        <v>0</v>
      </c>
      <c r="R111" t="s">
        <v>41251</v>
      </c>
      <c r="S111" t="s">
        <v>41369</v>
      </c>
      <c r="T111" t="s">
        <v>42698</v>
      </c>
      <c r="U111" t="s">
        <v>43267</v>
      </c>
      <c r="V111" t="s">
        <v>54267</v>
      </c>
      <c r="W111" t="s">
        <v>37543</v>
      </c>
      <c r="X111" t="s">
        <v>41254</v>
      </c>
    </row>
    <row r="112" spans="1:24">
      <c r="A112">
        <f>HYPERLINK("https://www.philgeps.gov.ph/GEPSNONPILOT/Tender/SplashBidNoticeAbstractUI.aspx?menuIndex=3&amp;refID=7074810&amp;Result=3","7074810")</f>
        <v>0</v>
      </c>
      <c r="B112" t="s">
        <v>79</v>
      </c>
      <c r="C112" t="s">
        <v>3481</v>
      </c>
      <c r="D112" t="s">
        <v>16649</v>
      </c>
      <c r="E112" t="s">
        <v>16815</v>
      </c>
      <c r="F112" t="s">
        <v>28669</v>
      </c>
      <c r="G112" t="s">
        <v>28677</v>
      </c>
      <c r="H112" t="s">
        <v>9998</v>
      </c>
      <c r="I112" t="s">
        <v>5286</v>
      </c>
      <c r="J112" t="s">
        <v>28921</v>
      </c>
      <c r="K112" t="s">
        <v>37209</v>
      </c>
      <c r="M112" t="s">
        <v>37554</v>
      </c>
      <c r="N112" t="s">
        <v>41249</v>
      </c>
      <c r="O112" t="s">
        <v>41250</v>
      </c>
      <c r="P112">
        <v>0</v>
      </c>
      <c r="Q112">
        <v>1</v>
      </c>
      <c r="R112" t="s">
        <v>41251</v>
      </c>
      <c r="S112" t="s">
        <v>41369</v>
      </c>
      <c r="T112" t="s">
        <v>42705</v>
      </c>
      <c r="U112" t="s">
        <v>43286</v>
      </c>
      <c r="V112" t="s">
        <v>54270</v>
      </c>
      <c r="W112" t="s">
        <v>37554</v>
      </c>
      <c r="X112" t="s">
        <v>41254</v>
      </c>
    </row>
    <row r="113" spans="1:24">
      <c r="A113">
        <f>HYPERLINK("https://www.philgeps.gov.ph/GEPSNONPILOT/Tender/SplashBidNoticeAbstractUI.aspx?menuIndex=3&amp;refID=7073997&amp;Result=3","7073997")</f>
        <v>0</v>
      </c>
      <c r="B113" t="s">
        <v>42</v>
      </c>
      <c r="C113" t="s">
        <v>3482</v>
      </c>
      <c r="D113" t="s">
        <v>16623</v>
      </c>
      <c r="E113" t="s">
        <v>16816</v>
      </c>
      <c r="F113" t="s">
        <v>28669</v>
      </c>
      <c r="G113" t="s">
        <v>28675</v>
      </c>
      <c r="H113" t="s">
        <v>9998</v>
      </c>
      <c r="I113" t="s">
        <v>5286</v>
      </c>
      <c r="J113" t="s">
        <v>28922</v>
      </c>
      <c r="K113" t="s">
        <v>37210</v>
      </c>
      <c r="M113" t="s">
        <v>37517</v>
      </c>
      <c r="N113" t="s">
        <v>41249</v>
      </c>
      <c r="O113" t="s">
        <v>41250</v>
      </c>
      <c r="P113">
        <v>0</v>
      </c>
      <c r="Q113">
        <v>1</v>
      </c>
      <c r="R113" t="s">
        <v>41251</v>
      </c>
      <c r="S113" t="s">
        <v>41369</v>
      </c>
      <c r="T113" t="s">
        <v>42678</v>
      </c>
      <c r="U113" t="s">
        <v>43287</v>
      </c>
      <c r="W113" t="s">
        <v>37517</v>
      </c>
      <c r="X113" t="s">
        <v>41254</v>
      </c>
    </row>
    <row r="114" spans="1:24">
      <c r="A114">
        <f>HYPERLINK("https://www.philgeps.gov.ph/GEPSNONPILOT/Tender/SplashBidNoticeAbstractUI.aspx?menuIndex=3&amp;refID=7074730&amp;Result=3","7074730")</f>
        <v>0</v>
      </c>
      <c r="B114" t="s">
        <v>80</v>
      </c>
      <c r="C114" t="s">
        <v>3483</v>
      </c>
      <c r="D114" t="s">
        <v>16650</v>
      </c>
      <c r="E114" t="s">
        <v>16817</v>
      </c>
      <c r="F114" t="s">
        <v>28669</v>
      </c>
      <c r="G114" t="s">
        <v>28678</v>
      </c>
      <c r="H114" t="s">
        <v>9998</v>
      </c>
      <c r="I114" t="s">
        <v>28688</v>
      </c>
      <c r="J114" t="s">
        <v>28923</v>
      </c>
      <c r="K114" t="s">
        <v>37209</v>
      </c>
      <c r="M114" t="s">
        <v>37555</v>
      </c>
      <c r="N114" t="s">
        <v>41249</v>
      </c>
      <c r="O114" t="s">
        <v>41250</v>
      </c>
      <c r="P114">
        <v>0</v>
      </c>
      <c r="Q114">
        <v>2</v>
      </c>
      <c r="R114" t="s">
        <v>41251</v>
      </c>
      <c r="S114" t="s">
        <v>41369</v>
      </c>
      <c r="T114" t="s">
        <v>42673</v>
      </c>
      <c r="U114" t="s">
        <v>43288</v>
      </c>
      <c r="W114" t="s">
        <v>37555</v>
      </c>
      <c r="X114" t="s">
        <v>41254</v>
      </c>
    </row>
    <row r="115" spans="1:24">
      <c r="A115">
        <f>HYPERLINK("https://www.philgeps.gov.ph/GEPSNONPILOT/Tender/SplashBidNoticeAbstractUI.aspx?menuIndex=3&amp;refID=7074680&amp;Result=3","7074680")</f>
        <v>0</v>
      </c>
      <c r="B115" t="s">
        <v>68</v>
      </c>
      <c r="C115" t="s">
        <v>3484</v>
      </c>
      <c r="D115" t="s">
        <v>16641</v>
      </c>
      <c r="E115" t="s">
        <v>16818</v>
      </c>
      <c r="F115" t="s">
        <v>28669</v>
      </c>
      <c r="G115" t="s">
        <v>28675</v>
      </c>
      <c r="H115" t="s">
        <v>28686</v>
      </c>
      <c r="I115" t="s">
        <v>28689</v>
      </c>
      <c r="J115" t="s">
        <v>28924</v>
      </c>
      <c r="K115" t="s">
        <v>37215</v>
      </c>
      <c r="M115" t="s">
        <v>37543</v>
      </c>
      <c r="N115" t="s">
        <v>41249</v>
      </c>
      <c r="O115" t="s">
        <v>41250</v>
      </c>
      <c r="P115">
        <v>0</v>
      </c>
      <c r="Q115">
        <v>0</v>
      </c>
      <c r="R115" t="s">
        <v>41251</v>
      </c>
      <c r="S115" t="s">
        <v>41369</v>
      </c>
      <c r="T115" t="s">
        <v>42698</v>
      </c>
      <c r="U115" t="s">
        <v>43289</v>
      </c>
      <c r="V115" t="s">
        <v>54268</v>
      </c>
      <c r="W115" t="s">
        <v>37543</v>
      </c>
      <c r="X115" t="s">
        <v>41254</v>
      </c>
    </row>
    <row r="116" spans="1:24">
      <c r="A116">
        <f>HYPERLINK("https://www.philgeps.gov.ph/GEPSNONPILOT/Tender/SplashBidNoticeAbstractUI.aspx?menuIndex=3&amp;refID=7074772&amp;Result=3","7074772")</f>
        <v>0</v>
      </c>
      <c r="B116" t="s">
        <v>81</v>
      </c>
      <c r="C116" t="s">
        <v>3485</v>
      </c>
      <c r="E116" t="s">
        <v>16819</v>
      </c>
      <c r="F116" t="s">
        <v>28669</v>
      </c>
      <c r="G116" t="s">
        <v>28676</v>
      </c>
      <c r="H116" t="s">
        <v>9998</v>
      </c>
      <c r="I116" t="s">
        <v>6128</v>
      </c>
      <c r="J116" t="s">
        <v>28925</v>
      </c>
      <c r="K116" t="s">
        <v>37209</v>
      </c>
      <c r="M116" t="s">
        <v>37556</v>
      </c>
      <c r="N116" t="s">
        <v>41249</v>
      </c>
      <c r="O116" t="s">
        <v>41250</v>
      </c>
      <c r="P116">
        <v>0</v>
      </c>
      <c r="Q116">
        <v>1</v>
      </c>
      <c r="R116" t="s">
        <v>41251</v>
      </c>
      <c r="S116" t="s">
        <v>41369</v>
      </c>
      <c r="T116" t="s">
        <v>42706</v>
      </c>
      <c r="U116" t="s">
        <v>43290</v>
      </c>
      <c r="W116" t="s">
        <v>37556</v>
      </c>
      <c r="X116" t="s">
        <v>41254</v>
      </c>
    </row>
    <row r="117" spans="1:24">
      <c r="A117">
        <f>HYPERLINK("https://www.philgeps.gov.ph/GEPSNONPILOT/Tender/SplashBidNoticeAbstractUI.aspx?menuIndex=3&amp;refID=7074748&amp;Result=3","7074748")</f>
        <v>0</v>
      </c>
      <c r="B117" t="s">
        <v>82</v>
      </c>
      <c r="C117" t="s">
        <v>3486</v>
      </c>
      <c r="D117" t="s">
        <v>16620</v>
      </c>
      <c r="E117" t="s">
        <v>16820</v>
      </c>
      <c r="F117" t="s">
        <v>28669</v>
      </c>
      <c r="G117" t="s">
        <v>28675</v>
      </c>
      <c r="H117" t="s">
        <v>9998</v>
      </c>
      <c r="I117" t="s">
        <v>28696</v>
      </c>
      <c r="J117" t="s">
        <v>28926</v>
      </c>
      <c r="K117" t="s">
        <v>37206</v>
      </c>
      <c r="M117" t="s">
        <v>37557</v>
      </c>
      <c r="N117" t="s">
        <v>41249</v>
      </c>
      <c r="O117" t="s">
        <v>41250</v>
      </c>
      <c r="P117">
        <v>0</v>
      </c>
      <c r="Q117">
        <v>0</v>
      </c>
      <c r="R117" t="s">
        <v>41251</v>
      </c>
      <c r="S117" t="s">
        <v>41369</v>
      </c>
      <c r="T117" t="s">
        <v>42688</v>
      </c>
      <c r="U117" t="s">
        <v>43291</v>
      </c>
      <c r="V117" t="s">
        <v>54271</v>
      </c>
      <c r="W117" t="s">
        <v>37557</v>
      </c>
      <c r="X117" t="s">
        <v>41254</v>
      </c>
    </row>
    <row r="118" spans="1:24">
      <c r="A118">
        <f>HYPERLINK("https://www.philgeps.gov.ph/GEPSNONPILOT/Tender/SplashBidNoticeAbstractUI.aspx?menuIndex=3&amp;refID=7074670&amp;Result=3","7074670")</f>
        <v>0</v>
      </c>
      <c r="B118" t="s">
        <v>42</v>
      </c>
      <c r="C118" t="s">
        <v>3487</v>
      </c>
      <c r="D118" t="s">
        <v>16623</v>
      </c>
      <c r="E118" t="s">
        <v>16821</v>
      </c>
      <c r="F118" t="s">
        <v>28669</v>
      </c>
      <c r="G118" t="s">
        <v>28675</v>
      </c>
      <c r="H118" t="s">
        <v>9998</v>
      </c>
      <c r="I118" t="s">
        <v>28704</v>
      </c>
      <c r="J118" t="s">
        <v>28927</v>
      </c>
      <c r="K118" t="s">
        <v>37210</v>
      </c>
      <c r="M118" t="s">
        <v>37517</v>
      </c>
      <c r="N118" t="s">
        <v>41249</v>
      </c>
      <c r="O118" t="s">
        <v>41250</v>
      </c>
      <c r="P118">
        <v>0</v>
      </c>
      <c r="Q118">
        <v>0</v>
      </c>
      <c r="R118" t="s">
        <v>41251</v>
      </c>
      <c r="S118" t="s">
        <v>41369</v>
      </c>
      <c r="T118" t="s">
        <v>42678</v>
      </c>
      <c r="U118" t="s">
        <v>43292</v>
      </c>
      <c r="W118" t="s">
        <v>37517</v>
      </c>
      <c r="X118" t="s">
        <v>41254</v>
      </c>
    </row>
    <row r="119" spans="1:24">
      <c r="A119">
        <f>HYPERLINK("https://www.philgeps.gov.ph/GEPSNONPILOT/Tender/SplashBidNoticeAbstractUI.aspx?menuIndex=3&amp;refID=7074617&amp;Result=3","7074617")</f>
        <v>0</v>
      </c>
      <c r="B119" t="s">
        <v>68</v>
      </c>
      <c r="C119" t="s">
        <v>3488</v>
      </c>
      <c r="D119" t="s">
        <v>16641</v>
      </c>
      <c r="E119" t="s">
        <v>16822</v>
      </c>
      <c r="F119" t="s">
        <v>28669</v>
      </c>
      <c r="G119" t="s">
        <v>28675</v>
      </c>
      <c r="H119" t="s">
        <v>28686</v>
      </c>
      <c r="I119" t="s">
        <v>28689</v>
      </c>
      <c r="J119" t="s">
        <v>28928</v>
      </c>
      <c r="K119" t="s">
        <v>37220</v>
      </c>
      <c r="M119" t="s">
        <v>37543</v>
      </c>
      <c r="N119" t="s">
        <v>41249</v>
      </c>
      <c r="O119" t="s">
        <v>41250</v>
      </c>
      <c r="P119">
        <v>0</v>
      </c>
      <c r="Q119">
        <v>0</v>
      </c>
      <c r="R119" t="s">
        <v>41251</v>
      </c>
      <c r="S119" t="s">
        <v>41369</v>
      </c>
      <c r="T119" t="s">
        <v>42698</v>
      </c>
      <c r="U119" t="s">
        <v>43293</v>
      </c>
      <c r="V119" t="s">
        <v>54266</v>
      </c>
      <c r="W119" t="s">
        <v>37543</v>
      </c>
      <c r="X119" t="s">
        <v>41254</v>
      </c>
    </row>
    <row r="120" spans="1:24">
      <c r="A120">
        <f>HYPERLINK("https://www.philgeps.gov.ph/GEPSNONPILOT/Tender/SplashBidNoticeAbstractUI.aspx?menuIndex=3&amp;refID=7074611&amp;Result=3","7074611")</f>
        <v>0</v>
      </c>
      <c r="B120" t="s">
        <v>83</v>
      </c>
      <c r="C120" t="s">
        <v>3489</v>
      </c>
      <c r="D120" t="s">
        <v>16608</v>
      </c>
      <c r="E120" t="s">
        <v>16823</v>
      </c>
      <c r="F120" t="s">
        <v>28669</v>
      </c>
      <c r="G120" t="s">
        <v>28675</v>
      </c>
      <c r="H120" t="s">
        <v>9998</v>
      </c>
      <c r="I120" t="s">
        <v>28705</v>
      </c>
      <c r="J120" t="s">
        <v>28929</v>
      </c>
      <c r="K120" t="s">
        <v>37206</v>
      </c>
      <c r="M120" t="s">
        <v>37558</v>
      </c>
      <c r="N120" t="s">
        <v>41249</v>
      </c>
      <c r="O120" t="s">
        <v>41250</v>
      </c>
      <c r="P120">
        <v>0</v>
      </c>
      <c r="Q120">
        <v>0</v>
      </c>
      <c r="R120" t="s">
        <v>41251</v>
      </c>
      <c r="S120" t="s">
        <v>41369</v>
      </c>
      <c r="T120" t="s">
        <v>42707</v>
      </c>
      <c r="U120" t="s">
        <v>43294</v>
      </c>
      <c r="W120" t="s">
        <v>37558</v>
      </c>
      <c r="X120" t="s">
        <v>41254</v>
      </c>
    </row>
    <row r="121" spans="1:24">
      <c r="A121">
        <f>HYPERLINK("https://www.philgeps.gov.ph/GEPSNONPILOT/Tender/SplashBidNoticeAbstractUI.aspx?menuIndex=3&amp;refID=7074598&amp;Result=3","7074598")</f>
        <v>0</v>
      </c>
      <c r="B121" t="s">
        <v>68</v>
      </c>
      <c r="C121" t="s">
        <v>3490</v>
      </c>
      <c r="D121" t="s">
        <v>16641</v>
      </c>
      <c r="E121" t="s">
        <v>16824</v>
      </c>
      <c r="F121" t="s">
        <v>28669</v>
      </c>
      <c r="G121" t="s">
        <v>28675</v>
      </c>
      <c r="H121" t="s">
        <v>28686</v>
      </c>
      <c r="I121" t="s">
        <v>28689</v>
      </c>
      <c r="J121" t="s">
        <v>28930</v>
      </c>
      <c r="K121" t="s">
        <v>37220</v>
      </c>
      <c r="M121" t="s">
        <v>37543</v>
      </c>
      <c r="N121" t="s">
        <v>41249</v>
      </c>
      <c r="O121" t="s">
        <v>41250</v>
      </c>
      <c r="P121">
        <v>0</v>
      </c>
      <c r="Q121">
        <v>0</v>
      </c>
      <c r="R121" t="s">
        <v>41251</v>
      </c>
      <c r="S121" t="s">
        <v>41369</v>
      </c>
      <c r="T121" t="s">
        <v>42698</v>
      </c>
      <c r="U121" t="s">
        <v>43295</v>
      </c>
      <c r="V121" t="s">
        <v>54266</v>
      </c>
      <c r="W121" t="s">
        <v>37543</v>
      </c>
      <c r="X121" t="s">
        <v>41254</v>
      </c>
    </row>
    <row r="122" spans="1:24">
      <c r="A122">
        <f>HYPERLINK("https://www.philgeps.gov.ph/GEPSNONPILOT/Tender/SplashBidNoticeAbstractUI.aspx?menuIndex=3&amp;refID=7073533&amp;Result=3","7073533")</f>
        <v>0</v>
      </c>
      <c r="B122" t="s">
        <v>84</v>
      </c>
      <c r="C122" t="s">
        <v>3491</v>
      </c>
      <c r="D122" t="s">
        <v>16651</v>
      </c>
      <c r="E122" t="s">
        <v>16825</v>
      </c>
      <c r="F122" t="s">
        <v>28669</v>
      </c>
      <c r="G122" t="s">
        <v>28676</v>
      </c>
      <c r="H122" t="s">
        <v>9998</v>
      </c>
      <c r="I122" t="s">
        <v>28704</v>
      </c>
      <c r="J122" t="s">
        <v>28931</v>
      </c>
      <c r="K122" t="s">
        <v>37209</v>
      </c>
      <c r="M122" t="s">
        <v>37559</v>
      </c>
      <c r="N122" t="s">
        <v>41249</v>
      </c>
      <c r="O122" t="s">
        <v>41250</v>
      </c>
      <c r="P122">
        <v>0</v>
      </c>
      <c r="Q122">
        <v>2</v>
      </c>
      <c r="R122" t="s">
        <v>41251</v>
      </c>
      <c r="S122" t="s">
        <v>41369</v>
      </c>
      <c r="T122" t="s">
        <v>42706</v>
      </c>
      <c r="U122" t="s">
        <v>43296</v>
      </c>
      <c r="W122" t="s">
        <v>37559</v>
      </c>
      <c r="X122" t="s">
        <v>41254</v>
      </c>
    </row>
    <row r="123" spans="1:24">
      <c r="A123">
        <f>HYPERLINK("https://www.philgeps.gov.ph/GEPSNONPILOT/Tender/SplashBidNoticeAbstractUI.aspx?menuIndex=3&amp;refID=7074637&amp;Result=3","7074637")</f>
        <v>0</v>
      </c>
      <c r="B123" t="s">
        <v>77</v>
      </c>
      <c r="C123" t="s">
        <v>3492</v>
      </c>
      <c r="D123" t="s">
        <v>16647</v>
      </c>
      <c r="E123" t="s">
        <v>16826</v>
      </c>
      <c r="F123" t="s">
        <v>28669</v>
      </c>
      <c r="G123" t="s">
        <v>28676</v>
      </c>
      <c r="H123" t="s">
        <v>9998</v>
      </c>
      <c r="I123" t="s">
        <v>28689</v>
      </c>
      <c r="J123" t="s">
        <v>28932</v>
      </c>
      <c r="K123" t="s">
        <v>37209</v>
      </c>
      <c r="M123" t="s">
        <v>37552</v>
      </c>
      <c r="N123" t="s">
        <v>41249</v>
      </c>
      <c r="O123" t="s">
        <v>41250</v>
      </c>
      <c r="P123">
        <v>0</v>
      </c>
      <c r="Q123">
        <v>0</v>
      </c>
      <c r="R123" t="s">
        <v>41251</v>
      </c>
      <c r="S123" t="s">
        <v>41369</v>
      </c>
      <c r="T123" t="s">
        <v>42703</v>
      </c>
      <c r="U123" t="s">
        <v>43297</v>
      </c>
      <c r="W123" t="s">
        <v>37552</v>
      </c>
      <c r="X123" t="s">
        <v>41254</v>
      </c>
    </row>
    <row r="124" spans="1:24">
      <c r="A124">
        <f>HYPERLINK("https://www.philgeps.gov.ph/GEPSNONPILOT/Tender/SplashBidNoticeAbstractUI.aspx?menuIndex=3&amp;refID=7073459&amp;Result=3","7073459")</f>
        <v>0</v>
      </c>
      <c r="B124" t="s">
        <v>42</v>
      </c>
      <c r="C124" t="s">
        <v>3493</v>
      </c>
      <c r="D124" t="s">
        <v>16623</v>
      </c>
      <c r="E124" t="s">
        <v>16827</v>
      </c>
      <c r="F124" t="s">
        <v>28669</v>
      </c>
      <c r="G124" t="s">
        <v>28675</v>
      </c>
      <c r="H124" t="s">
        <v>9998</v>
      </c>
      <c r="I124" t="s">
        <v>28698</v>
      </c>
      <c r="J124" t="s">
        <v>28933</v>
      </c>
      <c r="K124" t="s">
        <v>37210</v>
      </c>
      <c r="M124" t="s">
        <v>37517</v>
      </c>
      <c r="N124" t="s">
        <v>41249</v>
      </c>
      <c r="O124" t="s">
        <v>41250</v>
      </c>
      <c r="P124">
        <v>0</v>
      </c>
      <c r="Q124">
        <v>0</v>
      </c>
      <c r="R124" t="s">
        <v>41251</v>
      </c>
      <c r="S124" t="s">
        <v>41369</v>
      </c>
      <c r="T124" t="s">
        <v>42678</v>
      </c>
      <c r="U124" t="s">
        <v>43298</v>
      </c>
      <c r="W124" t="s">
        <v>37517</v>
      </c>
      <c r="X124" t="s">
        <v>41254</v>
      </c>
    </row>
    <row r="125" spans="1:24">
      <c r="A125">
        <f>HYPERLINK("https://www.philgeps.gov.ph/GEPSNONPILOT/Tender/SplashBidNoticeAbstractUI.aspx?menuIndex=3&amp;refID=7073371&amp;Result=3","7073371")</f>
        <v>0</v>
      </c>
      <c r="B125" t="s">
        <v>85</v>
      </c>
      <c r="C125" t="s">
        <v>3494</v>
      </c>
      <c r="D125" t="s">
        <v>16617</v>
      </c>
      <c r="E125" t="s">
        <v>16828</v>
      </c>
      <c r="F125" t="s">
        <v>28669</v>
      </c>
      <c r="G125" t="s">
        <v>28675</v>
      </c>
      <c r="H125" t="s">
        <v>28686</v>
      </c>
      <c r="I125" t="s">
        <v>28689</v>
      </c>
      <c r="J125" t="s">
        <v>28934</v>
      </c>
      <c r="K125" t="s">
        <v>37232</v>
      </c>
      <c r="M125" t="s">
        <v>37560</v>
      </c>
      <c r="N125" t="s">
        <v>41249</v>
      </c>
      <c r="O125" t="s">
        <v>41250</v>
      </c>
      <c r="P125">
        <v>0</v>
      </c>
      <c r="Q125">
        <v>1</v>
      </c>
      <c r="R125" t="s">
        <v>41251</v>
      </c>
      <c r="S125" t="s">
        <v>41369</v>
      </c>
      <c r="T125" t="s">
        <v>42683</v>
      </c>
      <c r="U125" t="s">
        <v>43299</v>
      </c>
      <c r="W125" t="s">
        <v>37560</v>
      </c>
      <c r="X125" t="s">
        <v>41254</v>
      </c>
    </row>
    <row r="126" spans="1:24">
      <c r="A126">
        <f>HYPERLINK("https://www.philgeps.gov.ph/GEPSNONPILOT/Tender/SplashBidNoticeAbstractUI.aspx?menuIndex=3&amp;refID=7074900&amp;Result=3","7074900")</f>
        <v>0</v>
      </c>
      <c r="B126" t="s">
        <v>86</v>
      </c>
      <c r="C126" t="s">
        <v>3495</v>
      </c>
      <c r="D126" t="s">
        <v>16624</v>
      </c>
      <c r="E126" t="s">
        <v>16829</v>
      </c>
      <c r="F126" t="s">
        <v>28669</v>
      </c>
      <c r="G126" t="s">
        <v>28675</v>
      </c>
      <c r="H126" t="s">
        <v>9998</v>
      </c>
      <c r="I126" t="s">
        <v>28706</v>
      </c>
      <c r="J126" t="s">
        <v>28924</v>
      </c>
      <c r="K126" t="s">
        <v>37220</v>
      </c>
      <c r="M126" t="s">
        <v>37561</v>
      </c>
      <c r="N126" t="s">
        <v>41249</v>
      </c>
      <c r="O126" t="s">
        <v>41250</v>
      </c>
      <c r="P126">
        <v>0</v>
      </c>
      <c r="Q126">
        <v>0</v>
      </c>
      <c r="R126" t="s">
        <v>41251</v>
      </c>
      <c r="S126" t="s">
        <v>41369</v>
      </c>
      <c r="T126" t="s">
        <v>42708</v>
      </c>
      <c r="U126" t="s">
        <v>43300</v>
      </c>
      <c r="W126" t="s">
        <v>37561</v>
      </c>
      <c r="X126" t="s">
        <v>41254</v>
      </c>
    </row>
    <row r="127" spans="1:24">
      <c r="A127">
        <f>HYPERLINK("https://www.philgeps.gov.ph/GEPSNONPILOT/Tender/SplashBidNoticeAbstractUI.aspx?menuIndex=3&amp;refID=7074020&amp;Result=3","7074020")</f>
        <v>0</v>
      </c>
      <c r="B127" t="s">
        <v>68</v>
      </c>
      <c r="C127" t="s">
        <v>3496</v>
      </c>
      <c r="D127" t="s">
        <v>16641</v>
      </c>
      <c r="E127" t="s">
        <v>16830</v>
      </c>
      <c r="F127" t="s">
        <v>28669</v>
      </c>
      <c r="G127" t="s">
        <v>28675</v>
      </c>
      <c r="H127" t="s">
        <v>28686</v>
      </c>
      <c r="I127" t="s">
        <v>28689</v>
      </c>
      <c r="J127" t="s">
        <v>28907</v>
      </c>
      <c r="K127" t="s">
        <v>37220</v>
      </c>
      <c r="M127" t="s">
        <v>37543</v>
      </c>
      <c r="N127" t="s">
        <v>41249</v>
      </c>
      <c r="O127" t="s">
        <v>41250</v>
      </c>
      <c r="P127">
        <v>0</v>
      </c>
      <c r="Q127">
        <v>0</v>
      </c>
      <c r="R127" t="s">
        <v>41251</v>
      </c>
      <c r="S127" t="s">
        <v>41369</v>
      </c>
      <c r="T127" t="s">
        <v>42698</v>
      </c>
      <c r="U127" t="s">
        <v>43301</v>
      </c>
      <c r="V127" t="s">
        <v>54267</v>
      </c>
      <c r="W127" t="s">
        <v>37543</v>
      </c>
      <c r="X127" t="s">
        <v>41254</v>
      </c>
    </row>
    <row r="128" spans="1:24">
      <c r="A128">
        <f>HYPERLINK("https://www.philgeps.gov.ph/GEPSNONPILOT/Tender/SplashBidNoticeAbstractUI.aspx?menuIndex=3&amp;refID=7072949&amp;Result=3","7072949")</f>
        <v>0</v>
      </c>
      <c r="B128" t="s">
        <v>53</v>
      </c>
      <c r="C128" t="s">
        <v>3497</v>
      </c>
      <c r="D128" t="s">
        <v>16632</v>
      </c>
      <c r="E128" t="s">
        <v>16831</v>
      </c>
      <c r="F128" t="s">
        <v>28669</v>
      </c>
      <c r="G128" t="s">
        <v>28675</v>
      </c>
      <c r="H128" t="s">
        <v>9998</v>
      </c>
      <c r="I128" t="s">
        <v>7352</v>
      </c>
      <c r="J128" t="s">
        <v>28935</v>
      </c>
      <c r="K128" t="s">
        <v>37206</v>
      </c>
      <c r="M128" t="s">
        <v>37528</v>
      </c>
      <c r="N128" t="s">
        <v>41249</v>
      </c>
      <c r="O128" t="s">
        <v>41250</v>
      </c>
      <c r="P128">
        <v>0</v>
      </c>
      <c r="Q128">
        <v>0</v>
      </c>
      <c r="R128" t="s">
        <v>41251</v>
      </c>
      <c r="S128" t="s">
        <v>41369</v>
      </c>
      <c r="T128" t="s">
        <v>42664</v>
      </c>
      <c r="U128" t="s">
        <v>43302</v>
      </c>
      <c r="W128" t="s">
        <v>37528</v>
      </c>
      <c r="X128" t="s">
        <v>41255</v>
      </c>
    </row>
    <row r="129" spans="1:24">
      <c r="A129">
        <f>HYPERLINK("https://www.philgeps.gov.ph/GEPSNONPILOT/Tender/SplashBidNoticeAbstractUI.aspx?menuIndex=3&amp;refID=7074641&amp;Result=3","7074641")</f>
        <v>0</v>
      </c>
      <c r="B129" t="s">
        <v>68</v>
      </c>
      <c r="C129" t="s">
        <v>3498</v>
      </c>
      <c r="D129" t="s">
        <v>16641</v>
      </c>
      <c r="E129" t="s">
        <v>16832</v>
      </c>
      <c r="F129" t="s">
        <v>28669</v>
      </c>
      <c r="G129" t="s">
        <v>28675</v>
      </c>
      <c r="H129" t="s">
        <v>28686</v>
      </c>
      <c r="I129" t="s">
        <v>28689</v>
      </c>
      <c r="J129" t="s">
        <v>28936</v>
      </c>
      <c r="K129" t="s">
        <v>37220</v>
      </c>
      <c r="M129" t="s">
        <v>37543</v>
      </c>
      <c r="N129" t="s">
        <v>41249</v>
      </c>
      <c r="O129" t="s">
        <v>41250</v>
      </c>
      <c r="P129">
        <v>0</v>
      </c>
      <c r="Q129">
        <v>0</v>
      </c>
      <c r="R129" t="s">
        <v>41251</v>
      </c>
      <c r="S129" t="s">
        <v>41369</v>
      </c>
      <c r="T129" t="s">
        <v>42698</v>
      </c>
      <c r="U129" t="s">
        <v>43303</v>
      </c>
      <c r="V129" t="s">
        <v>54268</v>
      </c>
      <c r="W129" t="s">
        <v>37543</v>
      </c>
      <c r="X129" t="s">
        <v>41254</v>
      </c>
    </row>
    <row r="130" spans="1:24">
      <c r="A130">
        <f>HYPERLINK("https://www.philgeps.gov.ph/GEPSNONPILOT/Tender/SplashBidNoticeAbstractUI.aspx?menuIndex=3&amp;refID=7074681&amp;Result=3","7074681")</f>
        <v>0</v>
      </c>
      <c r="B130" t="s">
        <v>87</v>
      </c>
      <c r="C130" t="s">
        <v>3499</v>
      </c>
      <c r="D130" t="s">
        <v>16638</v>
      </c>
      <c r="E130" t="s">
        <v>16833</v>
      </c>
      <c r="F130" t="s">
        <v>28669</v>
      </c>
      <c r="G130" t="s">
        <v>28675</v>
      </c>
      <c r="H130" t="s">
        <v>9998</v>
      </c>
      <c r="I130" t="s">
        <v>28693</v>
      </c>
      <c r="J130" t="s">
        <v>28937</v>
      </c>
      <c r="K130" t="s">
        <v>37205</v>
      </c>
      <c r="M130" t="s">
        <v>37562</v>
      </c>
      <c r="N130" t="s">
        <v>41249</v>
      </c>
      <c r="O130" t="s">
        <v>41250</v>
      </c>
      <c r="P130">
        <v>0</v>
      </c>
      <c r="Q130">
        <v>9</v>
      </c>
      <c r="R130" t="s">
        <v>41251</v>
      </c>
      <c r="S130" t="s">
        <v>41369</v>
      </c>
      <c r="T130" t="s">
        <v>42709</v>
      </c>
      <c r="U130" t="s">
        <v>43304</v>
      </c>
      <c r="W130" t="s">
        <v>37562</v>
      </c>
      <c r="X130" t="s">
        <v>41254</v>
      </c>
    </row>
    <row r="131" spans="1:24">
      <c r="A131">
        <f>HYPERLINK("https://www.philgeps.gov.ph/GEPSNONPILOT/Tender/SplashBidNoticeAbstractUI.aspx?menuIndex=3&amp;refID=7075793&amp;Result=3","7075793")</f>
        <v>0</v>
      </c>
      <c r="B131" t="s">
        <v>88</v>
      </c>
      <c r="C131" t="s">
        <v>3500</v>
      </c>
      <c r="D131" t="s">
        <v>16615</v>
      </c>
      <c r="E131" t="s">
        <v>16834</v>
      </c>
      <c r="F131" t="s">
        <v>28669</v>
      </c>
      <c r="G131" t="s">
        <v>28675</v>
      </c>
      <c r="H131" t="s">
        <v>9998</v>
      </c>
      <c r="I131" t="s">
        <v>7352</v>
      </c>
      <c r="J131" t="s">
        <v>28938</v>
      </c>
      <c r="K131" t="s">
        <v>37206</v>
      </c>
      <c r="M131" t="s">
        <v>37563</v>
      </c>
      <c r="N131" t="s">
        <v>41249</v>
      </c>
      <c r="O131" t="s">
        <v>41250</v>
      </c>
      <c r="P131">
        <v>0</v>
      </c>
      <c r="Q131">
        <v>0</v>
      </c>
      <c r="R131" t="s">
        <v>41251</v>
      </c>
      <c r="S131" t="s">
        <v>41369</v>
      </c>
      <c r="T131" t="s">
        <v>42710</v>
      </c>
      <c r="U131" t="s">
        <v>43305</v>
      </c>
      <c r="W131" t="s">
        <v>37563</v>
      </c>
      <c r="X131" t="s">
        <v>41254</v>
      </c>
    </row>
    <row r="132" spans="1:24">
      <c r="A132">
        <f>HYPERLINK("https://www.philgeps.gov.ph/GEPSNONPILOT/Tender/SplashBidNoticeAbstractUI.aspx?menuIndex=3&amp;refID=7074327&amp;Result=3","7074327")</f>
        <v>0</v>
      </c>
      <c r="B132" t="s">
        <v>68</v>
      </c>
      <c r="C132" t="s">
        <v>3501</v>
      </c>
      <c r="D132" t="s">
        <v>16641</v>
      </c>
      <c r="E132" t="s">
        <v>16835</v>
      </c>
      <c r="F132" t="s">
        <v>28669</v>
      </c>
      <c r="G132" t="s">
        <v>28675</v>
      </c>
      <c r="H132" t="s">
        <v>28686</v>
      </c>
      <c r="I132" t="s">
        <v>28689</v>
      </c>
      <c r="J132" t="s">
        <v>28909</v>
      </c>
      <c r="K132" t="s">
        <v>37215</v>
      </c>
      <c r="M132" t="s">
        <v>37543</v>
      </c>
      <c r="N132" t="s">
        <v>41249</v>
      </c>
      <c r="O132" t="s">
        <v>41250</v>
      </c>
      <c r="P132">
        <v>0</v>
      </c>
      <c r="Q132">
        <v>0</v>
      </c>
      <c r="R132" t="s">
        <v>41251</v>
      </c>
      <c r="S132" t="s">
        <v>41369</v>
      </c>
      <c r="T132" t="s">
        <v>42698</v>
      </c>
      <c r="U132" t="s">
        <v>43306</v>
      </c>
      <c r="V132" t="s">
        <v>54266</v>
      </c>
      <c r="W132" t="s">
        <v>37543</v>
      </c>
      <c r="X132" t="s">
        <v>41254</v>
      </c>
    </row>
    <row r="133" spans="1:24">
      <c r="A133">
        <f>HYPERLINK("https://www.philgeps.gov.ph/GEPSNONPILOT/Tender/SplashBidNoticeAbstractUI.aspx?menuIndex=3&amp;refID=7075660&amp;Result=3","7075660")</f>
        <v>0</v>
      </c>
      <c r="B133" t="s">
        <v>89</v>
      </c>
      <c r="C133" t="s">
        <v>3502</v>
      </c>
      <c r="D133" t="s">
        <v>16637</v>
      </c>
      <c r="E133" t="s">
        <v>16836</v>
      </c>
      <c r="F133" t="s">
        <v>28669</v>
      </c>
      <c r="G133" t="s">
        <v>28676</v>
      </c>
      <c r="H133" t="s">
        <v>9998</v>
      </c>
      <c r="I133" t="s">
        <v>7352</v>
      </c>
      <c r="J133" t="s">
        <v>28939</v>
      </c>
      <c r="K133" t="s">
        <v>37205</v>
      </c>
      <c r="M133" t="s">
        <v>37564</v>
      </c>
      <c r="N133" t="s">
        <v>41249</v>
      </c>
      <c r="O133" t="s">
        <v>41250</v>
      </c>
      <c r="P133">
        <v>0</v>
      </c>
      <c r="Q133">
        <v>1</v>
      </c>
      <c r="R133" t="s">
        <v>41251</v>
      </c>
      <c r="S133" t="s">
        <v>41369</v>
      </c>
      <c r="T133" t="s">
        <v>42706</v>
      </c>
      <c r="U133" t="s">
        <v>43307</v>
      </c>
      <c r="W133" t="s">
        <v>37564</v>
      </c>
      <c r="X133" t="s">
        <v>41254</v>
      </c>
    </row>
    <row r="134" spans="1:24">
      <c r="A134">
        <f>HYPERLINK("https://www.philgeps.gov.ph/GEPSNONPILOT/Tender/SplashBidNoticeAbstractUI.aspx?menuIndex=3&amp;refID=7075635&amp;Result=3","7075635")</f>
        <v>0</v>
      </c>
      <c r="B134" t="s">
        <v>90</v>
      </c>
      <c r="C134" t="s">
        <v>3503</v>
      </c>
      <c r="D134" t="s">
        <v>16652</v>
      </c>
      <c r="E134" t="s">
        <v>16837</v>
      </c>
      <c r="F134" t="s">
        <v>28669</v>
      </c>
      <c r="G134" t="s">
        <v>28676</v>
      </c>
      <c r="H134" t="s">
        <v>9998</v>
      </c>
      <c r="I134" t="s">
        <v>28697</v>
      </c>
      <c r="J134" t="s">
        <v>28940</v>
      </c>
      <c r="K134" t="s">
        <v>37205</v>
      </c>
      <c r="M134" t="s">
        <v>37565</v>
      </c>
      <c r="N134" t="s">
        <v>41249</v>
      </c>
      <c r="O134" t="s">
        <v>41250</v>
      </c>
      <c r="P134">
        <v>0</v>
      </c>
      <c r="Q134">
        <v>1</v>
      </c>
      <c r="R134" t="s">
        <v>41251</v>
      </c>
      <c r="S134" t="s">
        <v>41369</v>
      </c>
      <c r="T134" t="s">
        <v>42711</v>
      </c>
      <c r="U134" t="s">
        <v>43308</v>
      </c>
      <c r="W134" t="s">
        <v>37565</v>
      </c>
      <c r="X134" t="s">
        <v>41254</v>
      </c>
    </row>
    <row r="135" spans="1:24">
      <c r="A135">
        <f>HYPERLINK("https://www.philgeps.gov.ph/GEPSNONPILOT/Tender/SplashBidNoticeAbstractUI.aspx?menuIndex=3&amp;refID=7075607&amp;Result=3","7075607")</f>
        <v>0</v>
      </c>
      <c r="B135" t="s">
        <v>91</v>
      </c>
      <c r="C135" t="s">
        <v>3504</v>
      </c>
      <c r="E135" t="s">
        <v>16838</v>
      </c>
      <c r="F135" t="s">
        <v>28669</v>
      </c>
      <c r="G135" t="s">
        <v>28675</v>
      </c>
      <c r="H135" t="s">
        <v>9998</v>
      </c>
      <c r="I135" t="s">
        <v>28695</v>
      </c>
      <c r="J135" t="s">
        <v>28905</v>
      </c>
      <c r="K135" t="s">
        <v>37209</v>
      </c>
      <c r="M135" t="s">
        <v>37566</v>
      </c>
      <c r="N135" t="s">
        <v>41249</v>
      </c>
      <c r="O135" t="s">
        <v>41250</v>
      </c>
      <c r="P135">
        <v>0</v>
      </c>
      <c r="Q135">
        <v>0</v>
      </c>
      <c r="R135" t="s">
        <v>41251</v>
      </c>
      <c r="S135" t="s">
        <v>41369</v>
      </c>
      <c r="T135" t="s">
        <v>42712</v>
      </c>
      <c r="U135" t="s">
        <v>43309</v>
      </c>
      <c r="W135" t="s">
        <v>37566</v>
      </c>
      <c r="X135" t="s">
        <v>41254</v>
      </c>
    </row>
    <row r="136" spans="1:24">
      <c r="A136">
        <f>HYPERLINK("https://www.philgeps.gov.ph/GEPSNONPILOT/Tender/SplashBidNoticeAbstractUI.aspx?menuIndex=3&amp;refID=7075803&amp;Result=3","7075803")</f>
        <v>0</v>
      </c>
      <c r="B136" t="s">
        <v>88</v>
      </c>
      <c r="C136" t="s">
        <v>3505</v>
      </c>
      <c r="D136" t="s">
        <v>16615</v>
      </c>
      <c r="E136" t="s">
        <v>16839</v>
      </c>
      <c r="F136" t="s">
        <v>28669</v>
      </c>
      <c r="G136" t="s">
        <v>28675</v>
      </c>
      <c r="H136" t="s">
        <v>9998</v>
      </c>
      <c r="I136" t="s">
        <v>7352</v>
      </c>
      <c r="J136" t="s">
        <v>28941</v>
      </c>
      <c r="K136" t="s">
        <v>37206</v>
      </c>
      <c r="M136" t="s">
        <v>37563</v>
      </c>
      <c r="N136" t="s">
        <v>41249</v>
      </c>
      <c r="O136" t="s">
        <v>41250</v>
      </c>
      <c r="P136">
        <v>0</v>
      </c>
      <c r="Q136">
        <v>0</v>
      </c>
      <c r="R136" t="s">
        <v>41251</v>
      </c>
      <c r="S136" t="s">
        <v>41369</v>
      </c>
      <c r="T136" t="s">
        <v>42683</v>
      </c>
      <c r="U136" t="s">
        <v>43310</v>
      </c>
      <c r="W136" t="s">
        <v>37563</v>
      </c>
      <c r="X136" t="s">
        <v>41254</v>
      </c>
    </row>
    <row r="137" spans="1:24">
      <c r="A137">
        <f>HYPERLINK("https://www.philgeps.gov.ph/GEPSNONPILOT/Tender/SplashBidNoticeAbstractUI.aspx?menuIndex=3&amp;refID=7075489&amp;Result=3","7075489")</f>
        <v>0</v>
      </c>
      <c r="B137" t="s">
        <v>92</v>
      </c>
      <c r="C137" t="s">
        <v>3506</v>
      </c>
      <c r="D137" t="s">
        <v>16653</v>
      </c>
      <c r="E137" t="s">
        <v>16840</v>
      </c>
      <c r="F137" t="s">
        <v>28669</v>
      </c>
      <c r="G137" t="s">
        <v>28676</v>
      </c>
      <c r="H137" t="s">
        <v>9998</v>
      </c>
      <c r="I137" t="s">
        <v>5213</v>
      </c>
      <c r="J137" t="s">
        <v>28942</v>
      </c>
      <c r="K137" t="s">
        <v>37205</v>
      </c>
      <c r="L137" t="s">
        <v>92</v>
      </c>
      <c r="M137" t="s">
        <v>37567</v>
      </c>
      <c r="N137" t="s">
        <v>41249</v>
      </c>
      <c r="O137" t="s">
        <v>41250</v>
      </c>
      <c r="P137">
        <v>0</v>
      </c>
      <c r="Q137">
        <v>0</v>
      </c>
      <c r="R137" t="s">
        <v>41251</v>
      </c>
      <c r="S137" t="s">
        <v>41369</v>
      </c>
      <c r="T137" t="s">
        <v>42694</v>
      </c>
      <c r="U137" t="s">
        <v>43311</v>
      </c>
      <c r="W137" t="s">
        <v>37567</v>
      </c>
      <c r="X137" t="s">
        <v>41254</v>
      </c>
    </row>
    <row r="138" spans="1:24">
      <c r="A138">
        <f>HYPERLINK("https://www.philgeps.gov.ph/GEPSNONPILOT/Tender/SplashBidNoticeAbstractUI.aspx?menuIndex=3&amp;refID=7075390&amp;Result=3","7075390")</f>
        <v>0</v>
      </c>
      <c r="B138" t="s">
        <v>93</v>
      </c>
      <c r="C138" t="s">
        <v>3507</v>
      </c>
      <c r="D138" t="s">
        <v>16652</v>
      </c>
      <c r="E138" t="s">
        <v>16841</v>
      </c>
      <c r="F138" t="s">
        <v>28669</v>
      </c>
      <c r="G138" t="s">
        <v>28676</v>
      </c>
      <c r="H138" t="s">
        <v>9998</v>
      </c>
      <c r="I138" t="s">
        <v>28707</v>
      </c>
      <c r="J138" t="s">
        <v>28943</v>
      </c>
      <c r="K138" t="s">
        <v>37206</v>
      </c>
      <c r="M138" t="s">
        <v>37568</v>
      </c>
      <c r="N138" t="s">
        <v>41249</v>
      </c>
      <c r="O138" t="s">
        <v>41250</v>
      </c>
      <c r="P138">
        <v>0</v>
      </c>
      <c r="Q138">
        <v>5</v>
      </c>
      <c r="R138" t="s">
        <v>41251</v>
      </c>
      <c r="S138" t="s">
        <v>41369</v>
      </c>
      <c r="T138" t="s">
        <v>42713</v>
      </c>
      <c r="U138" t="s">
        <v>43312</v>
      </c>
      <c r="W138" t="s">
        <v>37568</v>
      </c>
      <c r="X138" t="s">
        <v>41254</v>
      </c>
    </row>
    <row r="139" spans="1:24">
      <c r="A139">
        <f>HYPERLINK("https://www.philgeps.gov.ph/GEPSNONPILOT/Tender/SplashBidNoticeAbstractUI.aspx?menuIndex=3&amp;refID=7073280&amp;Result=3","7073280")</f>
        <v>0</v>
      </c>
      <c r="B139" t="s">
        <v>32</v>
      </c>
      <c r="C139" t="s">
        <v>3508</v>
      </c>
      <c r="D139" t="s">
        <v>16614</v>
      </c>
      <c r="E139" t="s">
        <v>16842</v>
      </c>
      <c r="F139" t="s">
        <v>28669</v>
      </c>
      <c r="G139" t="s">
        <v>28675</v>
      </c>
      <c r="H139" t="s">
        <v>9998</v>
      </c>
      <c r="I139" t="s">
        <v>7352</v>
      </c>
      <c r="J139" t="s">
        <v>28944</v>
      </c>
      <c r="K139" t="s">
        <v>37221</v>
      </c>
      <c r="M139" t="s">
        <v>37507</v>
      </c>
      <c r="N139" t="s">
        <v>41249</v>
      </c>
      <c r="O139" t="s">
        <v>41250</v>
      </c>
      <c r="P139">
        <v>0</v>
      </c>
      <c r="Q139">
        <v>0</v>
      </c>
      <c r="R139" t="s">
        <v>41251</v>
      </c>
      <c r="S139" t="s">
        <v>41369</v>
      </c>
      <c r="T139" t="s">
        <v>42714</v>
      </c>
      <c r="U139" t="s">
        <v>43313</v>
      </c>
      <c r="W139" t="s">
        <v>37507</v>
      </c>
      <c r="X139" t="s">
        <v>41254</v>
      </c>
    </row>
    <row r="140" spans="1:24">
      <c r="A140">
        <f>HYPERLINK("https://www.philgeps.gov.ph/GEPSNONPILOT/Tender/SplashBidNoticeAbstractUI.aspx?menuIndex=3&amp;refID=7075372&amp;Result=3","7075372")</f>
        <v>0</v>
      </c>
      <c r="B140" t="s">
        <v>94</v>
      </c>
      <c r="C140" t="s">
        <v>3509</v>
      </c>
      <c r="D140" t="s">
        <v>16625</v>
      </c>
      <c r="E140" t="s">
        <v>16843</v>
      </c>
      <c r="F140" t="s">
        <v>28669</v>
      </c>
      <c r="G140" t="s">
        <v>28676</v>
      </c>
      <c r="H140" t="s">
        <v>9998</v>
      </c>
      <c r="I140" t="s">
        <v>7352</v>
      </c>
      <c r="J140" t="s">
        <v>28945</v>
      </c>
      <c r="K140" t="s">
        <v>37205</v>
      </c>
      <c r="M140" t="s">
        <v>37569</v>
      </c>
      <c r="N140" t="s">
        <v>41249</v>
      </c>
      <c r="O140" t="s">
        <v>41250</v>
      </c>
      <c r="P140">
        <v>0</v>
      </c>
      <c r="Q140">
        <v>0</v>
      </c>
      <c r="R140" t="s">
        <v>41251</v>
      </c>
      <c r="S140" t="s">
        <v>41369</v>
      </c>
      <c r="T140" t="s">
        <v>42690</v>
      </c>
      <c r="U140" t="s">
        <v>43314</v>
      </c>
      <c r="V140" t="s">
        <v>54272</v>
      </c>
      <c r="W140" t="s">
        <v>37569</v>
      </c>
      <c r="X140" t="s">
        <v>41254</v>
      </c>
    </row>
    <row r="141" spans="1:24">
      <c r="A141">
        <f>HYPERLINK("https://www.philgeps.gov.ph/GEPSNONPILOT/Tender/SplashBidNoticeAbstractUI.aspx?menuIndex=3&amp;refID=7075345&amp;Result=3","7075345")</f>
        <v>0</v>
      </c>
      <c r="B141" t="s">
        <v>94</v>
      </c>
      <c r="C141" t="s">
        <v>3510</v>
      </c>
      <c r="D141" t="s">
        <v>16625</v>
      </c>
      <c r="E141" t="s">
        <v>16844</v>
      </c>
      <c r="F141" t="s">
        <v>28669</v>
      </c>
      <c r="G141" t="s">
        <v>28676</v>
      </c>
      <c r="H141" t="s">
        <v>9998</v>
      </c>
      <c r="I141" t="s">
        <v>7352</v>
      </c>
      <c r="J141" t="s">
        <v>28946</v>
      </c>
      <c r="K141" t="s">
        <v>37205</v>
      </c>
      <c r="M141" t="s">
        <v>37569</v>
      </c>
      <c r="N141" t="s">
        <v>41249</v>
      </c>
      <c r="O141" t="s">
        <v>41250</v>
      </c>
      <c r="P141">
        <v>0</v>
      </c>
      <c r="Q141">
        <v>0</v>
      </c>
      <c r="R141" t="s">
        <v>41251</v>
      </c>
      <c r="S141" t="s">
        <v>41369</v>
      </c>
      <c r="T141" t="s">
        <v>42690</v>
      </c>
      <c r="U141" t="s">
        <v>43315</v>
      </c>
      <c r="V141" t="s">
        <v>54272</v>
      </c>
      <c r="W141" t="s">
        <v>37569</v>
      </c>
      <c r="X141" t="s">
        <v>41254</v>
      </c>
    </row>
    <row r="142" spans="1:24">
      <c r="A142">
        <f>HYPERLINK("https://www.philgeps.gov.ph/GEPSNONPILOT/Tender/SplashBidNoticeAbstractUI.aspx?menuIndex=3&amp;refID=7075583&amp;Result=3","7075583")</f>
        <v>0</v>
      </c>
      <c r="B142" t="s">
        <v>95</v>
      </c>
      <c r="C142" t="s">
        <v>3511</v>
      </c>
      <c r="D142" t="s">
        <v>16628</v>
      </c>
      <c r="E142" t="s">
        <v>16845</v>
      </c>
      <c r="F142" t="s">
        <v>28669</v>
      </c>
      <c r="G142" t="s">
        <v>28675</v>
      </c>
      <c r="H142" t="s">
        <v>9998</v>
      </c>
      <c r="I142" t="s">
        <v>28689</v>
      </c>
      <c r="J142" t="s">
        <v>28947</v>
      </c>
      <c r="K142" t="s">
        <v>37233</v>
      </c>
      <c r="M142" t="s">
        <v>37570</v>
      </c>
      <c r="N142" t="s">
        <v>41249</v>
      </c>
      <c r="O142" t="s">
        <v>41250</v>
      </c>
      <c r="P142">
        <v>0</v>
      </c>
      <c r="Q142">
        <v>3</v>
      </c>
      <c r="R142" t="s">
        <v>41251</v>
      </c>
      <c r="S142" t="s">
        <v>41369</v>
      </c>
      <c r="T142" t="s">
        <v>42715</v>
      </c>
      <c r="U142" t="s">
        <v>43316</v>
      </c>
      <c r="W142" t="s">
        <v>37570</v>
      </c>
      <c r="X142" t="s">
        <v>41254</v>
      </c>
    </row>
    <row r="143" spans="1:24">
      <c r="A143">
        <f>HYPERLINK("https://www.philgeps.gov.ph/GEPSNONPILOT/Tender/SplashBidNoticeAbstractUI.aspx?menuIndex=3&amp;refID=7075237&amp;Result=3","7075237")</f>
        <v>0</v>
      </c>
      <c r="B143" t="s">
        <v>94</v>
      </c>
      <c r="C143" t="s">
        <v>3512</v>
      </c>
      <c r="D143" t="s">
        <v>16625</v>
      </c>
      <c r="E143" t="s">
        <v>16846</v>
      </c>
      <c r="F143" t="s">
        <v>28669</v>
      </c>
      <c r="G143" t="s">
        <v>28676</v>
      </c>
      <c r="H143" t="s">
        <v>9998</v>
      </c>
      <c r="I143" t="s">
        <v>28695</v>
      </c>
      <c r="J143" t="s">
        <v>28877</v>
      </c>
      <c r="K143" t="s">
        <v>37206</v>
      </c>
      <c r="M143" t="s">
        <v>37569</v>
      </c>
      <c r="N143" t="s">
        <v>41249</v>
      </c>
      <c r="O143" t="s">
        <v>41250</v>
      </c>
      <c r="P143">
        <v>0</v>
      </c>
      <c r="Q143">
        <v>0</v>
      </c>
      <c r="R143" t="s">
        <v>41251</v>
      </c>
      <c r="S143" t="s">
        <v>41369</v>
      </c>
      <c r="T143" t="s">
        <v>42690</v>
      </c>
      <c r="U143" t="s">
        <v>43317</v>
      </c>
      <c r="V143" t="s">
        <v>54272</v>
      </c>
      <c r="W143" t="s">
        <v>37569</v>
      </c>
      <c r="X143" t="s">
        <v>41254</v>
      </c>
    </row>
    <row r="144" spans="1:24">
      <c r="A144">
        <f>HYPERLINK("https://www.philgeps.gov.ph/GEPSNONPILOT/Tender/SplashBidNoticeAbstractUI.aspx?menuIndex=3&amp;refID=7075397&amp;Result=3","7075397")</f>
        <v>0</v>
      </c>
      <c r="B144" t="s">
        <v>94</v>
      </c>
      <c r="C144" t="s">
        <v>3513</v>
      </c>
      <c r="D144" t="s">
        <v>16625</v>
      </c>
      <c r="E144" t="s">
        <v>16847</v>
      </c>
      <c r="F144" t="s">
        <v>28669</v>
      </c>
      <c r="G144" t="s">
        <v>28676</v>
      </c>
      <c r="H144" t="s">
        <v>9998</v>
      </c>
      <c r="I144" t="s">
        <v>28695</v>
      </c>
      <c r="J144" t="s">
        <v>28948</v>
      </c>
      <c r="K144" t="s">
        <v>37213</v>
      </c>
      <c r="M144" t="s">
        <v>37569</v>
      </c>
      <c r="N144" t="s">
        <v>41249</v>
      </c>
      <c r="O144" t="s">
        <v>41250</v>
      </c>
      <c r="P144">
        <v>0</v>
      </c>
      <c r="Q144">
        <v>0</v>
      </c>
      <c r="R144" t="s">
        <v>41251</v>
      </c>
      <c r="S144" t="s">
        <v>41369</v>
      </c>
      <c r="T144" t="s">
        <v>42702</v>
      </c>
      <c r="U144" t="s">
        <v>43318</v>
      </c>
      <c r="V144" t="s">
        <v>54272</v>
      </c>
      <c r="W144" t="s">
        <v>37569</v>
      </c>
      <c r="X144" t="s">
        <v>41254</v>
      </c>
    </row>
    <row r="145" spans="1:24">
      <c r="A145">
        <f>HYPERLINK("https://www.philgeps.gov.ph/GEPSNONPILOT/Tender/SplashBidNoticeAbstractUI.aspx?menuIndex=3&amp;refID=7074537&amp;Result=3","7074537")</f>
        <v>0</v>
      </c>
      <c r="B145" t="s">
        <v>68</v>
      </c>
      <c r="C145" t="s">
        <v>3514</v>
      </c>
      <c r="D145" t="s">
        <v>16641</v>
      </c>
      <c r="E145" t="s">
        <v>16848</v>
      </c>
      <c r="F145" t="s">
        <v>28669</v>
      </c>
      <c r="G145" t="s">
        <v>28675</v>
      </c>
      <c r="H145" t="s">
        <v>28686</v>
      </c>
      <c r="I145" t="s">
        <v>28689</v>
      </c>
      <c r="J145" t="s">
        <v>28949</v>
      </c>
      <c r="K145" t="s">
        <v>37220</v>
      </c>
      <c r="M145" t="s">
        <v>37543</v>
      </c>
      <c r="N145" t="s">
        <v>41249</v>
      </c>
      <c r="O145" t="s">
        <v>41250</v>
      </c>
      <c r="P145">
        <v>0</v>
      </c>
      <c r="Q145">
        <v>0</v>
      </c>
      <c r="R145" t="s">
        <v>41251</v>
      </c>
      <c r="S145" t="s">
        <v>41369</v>
      </c>
      <c r="T145" t="s">
        <v>42698</v>
      </c>
      <c r="U145" t="s">
        <v>43319</v>
      </c>
      <c r="V145" t="s">
        <v>54268</v>
      </c>
      <c r="W145" t="s">
        <v>37543</v>
      </c>
      <c r="X145" t="s">
        <v>41254</v>
      </c>
    </row>
    <row r="146" spans="1:24">
      <c r="A146">
        <f>HYPERLINK("https://www.philgeps.gov.ph/GEPSNONPILOT/Tender/SplashBidNoticeAbstractUI.aspx?menuIndex=3&amp;refID=7075173&amp;Result=3","7075173")</f>
        <v>0</v>
      </c>
      <c r="B146" t="s">
        <v>96</v>
      </c>
      <c r="C146" t="s">
        <v>3515</v>
      </c>
      <c r="D146" t="s">
        <v>16654</v>
      </c>
      <c r="E146" t="s">
        <v>16849</v>
      </c>
      <c r="F146" t="s">
        <v>28669</v>
      </c>
      <c r="G146" t="s">
        <v>28675</v>
      </c>
      <c r="H146" t="s">
        <v>9998</v>
      </c>
      <c r="I146" t="s">
        <v>28708</v>
      </c>
      <c r="J146" t="s">
        <v>28950</v>
      </c>
      <c r="K146" t="s">
        <v>37206</v>
      </c>
      <c r="M146" t="s">
        <v>37571</v>
      </c>
      <c r="N146" t="s">
        <v>41249</v>
      </c>
      <c r="O146" t="s">
        <v>41250</v>
      </c>
      <c r="P146">
        <v>0</v>
      </c>
      <c r="Q146">
        <v>0</v>
      </c>
      <c r="R146" t="s">
        <v>41251</v>
      </c>
      <c r="S146" t="s">
        <v>41369</v>
      </c>
      <c r="T146" t="s">
        <v>42715</v>
      </c>
      <c r="U146" t="s">
        <v>43320</v>
      </c>
      <c r="W146" t="s">
        <v>37571</v>
      </c>
      <c r="X146" t="s">
        <v>41254</v>
      </c>
    </row>
    <row r="147" spans="1:24">
      <c r="A147">
        <f>HYPERLINK("https://www.philgeps.gov.ph/GEPSNONPILOT/Tender/SplashBidNoticeAbstractUI.aspx?menuIndex=3&amp;refID=7074999&amp;Result=3","7074999")</f>
        <v>0</v>
      </c>
      <c r="B147" t="s">
        <v>78</v>
      </c>
      <c r="C147" t="s">
        <v>3516</v>
      </c>
      <c r="D147" t="s">
        <v>16648</v>
      </c>
      <c r="E147" t="s">
        <v>16850</v>
      </c>
      <c r="F147" t="s">
        <v>28669</v>
      </c>
      <c r="G147" t="s">
        <v>28675</v>
      </c>
      <c r="H147" t="s">
        <v>28685</v>
      </c>
      <c r="I147" t="s">
        <v>28685</v>
      </c>
      <c r="J147" t="s">
        <v>28951</v>
      </c>
      <c r="K147" t="s">
        <v>37206</v>
      </c>
      <c r="M147" t="s">
        <v>37553</v>
      </c>
      <c r="N147" t="s">
        <v>41249</v>
      </c>
      <c r="O147" t="s">
        <v>41250</v>
      </c>
      <c r="P147">
        <v>0</v>
      </c>
      <c r="Q147">
        <v>3</v>
      </c>
      <c r="R147" t="s">
        <v>41251</v>
      </c>
      <c r="S147" t="s">
        <v>41369</v>
      </c>
      <c r="T147" t="s">
        <v>42704</v>
      </c>
      <c r="U147" t="s">
        <v>43321</v>
      </c>
      <c r="V147" t="s">
        <v>54273</v>
      </c>
      <c r="W147" t="s">
        <v>37553</v>
      </c>
      <c r="X147" t="s">
        <v>41254</v>
      </c>
    </row>
    <row r="148" spans="1:24">
      <c r="A148">
        <f>HYPERLINK("https://www.philgeps.gov.ph/GEPSNONPILOT/Tender/SplashBidNoticeAbstractUI.aspx?menuIndex=3&amp;refID=7075667&amp;Result=3","7075667")</f>
        <v>0</v>
      </c>
      <c r="B148" t="s">
        <v>97</v>
      </c>
      <c r="C148" t="s">
        <v>3517</v>
      </c>
      <c r="D148" t="s">
        <v>16609</v>
      </c>
      <c r="E148" t="s">
        <v>16851</v>
      </c>
      <c r="F148" t="s">
        <v>28669</v>
      </c>
      <c r="G148" t="s">
        <v>28675</v>
      </c>
      <c r="H148" t="s">
        <v>9998</v>
      </c>
      <c r="I148" t="s">
        <v>28687</v>
      </c>
      <c r="J148" t="s">
        <v>28891</v>
      </c>
      <c r="K148" t="s">
        <v>37206</v>
      </c>
      <c r="M148" t="s">
        <v>37572</v>
      </c>
      <c r="N148" t="s">
        <v>41249</v>
      </c>
      <c r="O148" t="s">
        <v>41250</v>
      </c>
      <c r="P148">
        <v>0</v>
      </c>
      <c r="Q148">
        <v>6</v>
      </c>
      <c r="R148" t="s">
        <v>41251</v>
      </c>
      <c r="S148" t="s">
        <v>41369</v>
      </c>
      <c r="T148" t="s">
        <v>42716</v>
      </c>
      <c r="U148" t="s">
        <v>43322</v>
      </c>
      <c r="W148" t="s">
        <v>37572</v>
      </c>
      <c r="X148" t="s">
        <v>41254</v>
      </c>
    </row>
    <row r="149" spans="1:24">
      <c r="A149">
        <f>HYPERLINK("https://www.philgeps.gov.ph/GEPSNONPILOT/Tender/SplashBidNoticeAbstractUI.aspx?menuIndex=3&amp;refID=7075312&amp;Result=3","7075312")</f>
        <v>0</v>
      </c>
      <c r="B149" t="s">
        <v>94</v>
      </c>
      <c r="C149" t="s">
        <v>3518</v>
      </c>
      <c r="D149" t="s">
        <v>16625</v>
      </c>
      <c r="E149" t="s">
        <v>16852</v>
      </c>
      <c r="F149" t="s">
        <v>28669</v>
      </c>
      <c r="G149" t="s">
        <v>28676</v>
      </c>
      <c r="H149" t="s">
        <v>9998</v>
      </c>
      <c r="I149" t="s">
        <v>7352</v>
      </c>
      <c r="J149" t="s">
        <v>28952</v>
      </c>
      <c r="K149" t="s">
        <v>37205</v>
      </c>
      <c r="M149" t="s">
        <v>37569</v>
      </c>
      <c r="N149" t="s">
        <v>41249</v>
      </c>
      <c r="O149" t="s">
        <v>41250</v>
      </c>
      <c r="P149">
        <v>0</v>
      </c>
      <c r="Q149">
        <v>0</v>
      </c>
      <c r="R149" t="s">
        <v>41251</v>
      </c>
      <c r="S149" t="s">
        <v>41369</v>
      </c>
      <c r="T149" t="s">
        <v>42702</v>
      </c>
      <c r="U149" t="s">
        <v>43323</v>
      </c>
      <c r="V149" t="s">
        <v>54274</v>
      </c>
      <c r="W149" t="s">
        <v>37569</v>
      </c>
      <c r="X149" t="s">
        <v>41254</v>
      </c>
    </row>
    <row r="150" spans="1:24">
      <c r="A150">
        <f>HYPERLINK("https://www.philgeps.gov.ph/GEPSNONPILOT/Tender/SplashBidNoticeAbstractUI.aspx?menuIndex=3&amp;refID=7071958&amp;Result=3","7071958")</f>
        <v>0</v>
      </c>
      <c r="B150" t="s">
        <v>98</v>
      </c>
      <c r="C150" t="s">
        <v>3519</v>
      </c>
      <c r="D150" t="s">
        <v>16654</v>
      </c>
      <c r="E150" t="s">
        <v>16853</v>
      </c>
      <c r="F150" t="s">
        <v>28669</v>
      </c>
      <c r="G150" t="s">
        <v>28676</v>
      </c>
      <c r="H150" t="s">
        <v>9998</v>
      </c>
      <c r="I150" t="s">
        <v>3718</v>
      </c>
      <c r="J150" t="s">
        <v>28953</v>
      </c>
      <c r="K150" t="s">
        <v>37205</v>
      </c>
      <c r="M150" t="s">
        <v>37573</v>
      </c>
      <c r="N150" t="s">
        <v>41249</v>
      </c>
      <c r="O150" t="s">
        <v>41250</v>
      </c>
      <c r="P150">
        <v>0</v>
      </c>
      <c r="Q150">
        <v>0</v>
      </c>
      <c r="R150" t="s">
        <v>41251</v>
      </c>
      <c r="S150" t="s">
        <v>41369</v>
      </c>
      <c r="T150" t="s">
        <v>42717</v>
      </c>
      <c r="U150" t="s">
        <v>43324</v>
      </c>
      <c r="W150" t="s">
        <v>37573</v>
      </c>
      <c r="X150" t="s">
        <v>41257</v>
      </c>
    </row>
    <row r="151" spans="1:24">
      <c r="A151">
        <f>HYPERLINK("https://www.philgeps.gov.ph/GEPSNONPILOT/Tender/SplashBidNoticeAbstractUI.aspx?menuIndex=3&amp;refID=7076099&amp;Result=3","7076099")</f>
        <v>0</v>
      </c>
      <c r="B151" t="s">
        <v>99</v>
      </c>
      <c r="C151" t="s">
        <v>3520</v>
      </c>
      <c r="D151" t="s">
        <v>16655</v>
      </c>
      <c r="E151" t="s">
        <v>16854</v>
      </c>
      <c r="F151" t="s">
        <v>28669</v>
      </c>
      <c r="G151" t="s">
        <v>28677</v>
      </c>
      <c r="H151" t="s">
        <v>9998</v>
      </c>
      <c r="I151" t="s">
        <v>28708</v>
      </c>
      <c r="J151" t="s">
        <v>28954</v>
      </c>
      <c r="K151" t="s">
        <v>37204</v>
      </c>
      <c r="M151" t="s">
        <v>37574</v>
      </c>
      <c r="N151" t="s">
        <v>41249</v>
      </c>
      <c r="O151" t="s">
        <v>41250</v>
      </c>
      <c r="P151">
        <v>0</v>
      </c>
      <c r="Q151">
        <v>4</v>
      </c>
      <c r="R151" t="s">
        <v>41251</v>
      </c>
      <c r="S151" t="s">
        <v>41369</v>
      </c>
      <c r="T151" t="s">
        <v>42670</v>
      </c>
      <c r="U151" t="s">
        <v>43325</v>
      </c>
      <c r="W151" t="s">
        <v>37574</v>
      </c>
      <c r="X151" t="s">
        <v>41252</v>
      </c>
    </row>
    <row r="152" spans="1:24">
      <c r="A152">
        <f>HYPERLINK("https://www.philgeps.gov.ph/GEPSNONPILOT/Tender/SplashBidNoticeAbstractUI.aspx?menuIndex=3&amp;refID=7075050&amp;Result=3","7075050")</f>
        <v>0</v>
      </c>
      <c r="B152" t="s">
        <v>25</v>
      </c>
      <c r="C152" t="s">
        <v>3521</v>
      </c>
      <c r="D152" t="s">
        <v>16608</v>
      </c>
      <c r="E152" t="s">
        <v>16855</v>
      </c>
      <c r="F152" t="s">
        <v>28669</v>
      </c>
      <c r="G152" t="s">
        <v>28675</v>
      </c>
      <c r="H152" t="s">
        <v>28684</v>
      </c>
      <c r="I152" t="s">
        <v>5213</v>
      </c>
      <c r="J152" t="s">
        <v>28955</v>
      </c>
      <c r="K152" t="s">
        <v>37205</v>
      </c>
      <c r="M152" t="s">
        <v>37500</v>
      </c>
      <c r="N152" t="s">
        <v>41249</v>
      </c>
      <c r="O152" t="s">
        <v>41250</v>
      </c>
      <c r="P152">
        <v>0</v>
      </c>
      <c r="Q152">
        <v>0</v>
      </c>
      <c r="R152" t="s">
        <v>41251</v>
      </c>
      <c r="S152" t="s">
        <v>41369</v>
      </c>
      <c r="T152" t="s">
        <v>42702</v>
      </c>
      <c r="U152" t="s">
        <v>43326</v>
      </c>
      <c r="W152" t="s">
        <v>37500</v>
      </c>
      <c r="X152" t="s">
        <v>41254</v>
      </c>
    </row>
    <row r="153" spans="1:24">
      <c r="A153">
        <f>HYPERLINK("https://www.philgeps.gov.ph/GEPSNONPILOT/Tender/SplashBidNoticeAbstractUI.aspx?menuIndex=3&amp;refID=7076098&amp;Result=3","7076098")</f>
        <v>0</v>
      </c>
      <c r="B153" t="s">
        <v>99</v>
      </c>
      <c r="C153" t="s">
        <v>3522</v>
      </c>
      <c r="D153" t="s">
        <v>16655</v>
      </c>
      <c r="E153" t="s">
        <v>16856</v>
      </c>
      <c r="F153" t="s">
        <v>28669</v>
      </c>
      <c r="G153" t="s">
        <v>28675</v>
      </c>
      <c r="H153" t="s">
        <v>28686</v>
      </c>
      <c r="I153" t="s">
        <v>28689</v>
      </c>
      <c r="J153" t="s">
        <v>28956</v>
      </c>
      <c r="K153" t="s">
        <v>37207</v>
      </c>
      <c r="M153" t="s">
        <v>37574</v>
      </c>
      <c r="N153" t="s">
        <v>41249</v>
      </c>
      <c r="O153" t="s">
        <v>41250</v>
      </c>
      <c r="P153">
        <v>0</v>
      </c>
      <c r="Q153">
        <v>0</v>
      </c>
      <c r="R153" t="s">
        <v>41251</v>
      </c>
      <c r="S153" t="s">
        <v>41369</v>
      </c>
      <c r="T153" t="s">
        <v>42690</v>
      </c>
      <c r="U153" t="s">
        <v>43327</v>
      </c>
      <c r="W153" t="s">
        <v>37574</v>
      </c>
      <c r="X153" t="s">
        <v>41252</v>
      </c>
    </row>
    <row r="154" spans="1:24">
      <c r="A154">
        <f>HYPERLINK("https://www.philgeps.gov.ph/GEPSNONPILOT/Tender/SplashBidNoticeAbstractUI.aspx?menuIndex=3&amp;refID=7076095&amp;Result=3","7076095")</f>
        <v>0</v>
      </c>
      <c r="B154" t="s">
        <v>100</v>
      </c>
      <c r="C154" t="s">
        <v>3523</v>
      </c>
      <c r="D154" t="s">
        <v>16608</v>
      </c>
      <c r="E154" t="s">
        <v>16857</v>
      </c>
      <c r="F154" t="s">
        <v>28669</v>
      </c>
      <c r="G154" t="s">
        <v>28676</v>
      </c>
      <c r="H154" t="s">
        <v>9998</v>
      </c>
      <c r="I154" t="s">
        <v>28692</v>
      </c>
      <c r="J154" t="s">
        <v>28957</v>
      </c>
      <c r="K154" t="s">
        <v>37220</v>
      </c>
      <c r="M154" t="s">
        <v>37575</v>
      </c>
      <c r="N154" t="s">
        <v>41249</v>
      </c>
      <c r="O154" t="s">
        <v>41250</v>
      </c>
      <c r="P154">
        <v>0</v>
      </c>
      <c r="Q154">
        <v>7</v>
      </c>
      <c r="R154" t="s">
        <v>41251</v>
      </c>
      <c r="S154" t="s">
        <v>41369</v>
      </c>
      <c r="T154" t="s">
        <v>42706</v>
      </c>
      <c r="U154" t="s">
        <v>43328</v>
      </c>
      <c r="W154" t="s">
        <v>37575</v>
      </c>
      <c r="X154" t="s">
        <v>41252</v>
      </c>
    </row>
    <row r="155" spans="1:24">
      <c r="A155">
        <f>HYPERLINK("https://www.philgeps.gov.ph/GEPSNONPILOT/Tender/SplashBidNoticeAbstractUI.aspx?menuIndex=3&amp;refID=7075321&amp;Result=3","7075321")</f>
        <v>0</v>
      </c>
      <c r="B155" t="s">
        <v>101</v>
      </c>
      <c r="C155" t="s">
        <v>3524</v>
      </c>
      <c r="D155" t="s">
        <v>16644</v>
      </c>
      <c r="E155" t="s">
        <v>16858</v>
      </c>
      <c r="F155" t="s">
        <v>28669</v>
      </c>
      <c r="G155" t="s">
        <v>28676</v>
      </c>
      <c r="H155" t="s">
        <v>9998</v>
      </c>
      <c r="I155" t="s">
        <v>28706</v>
      </c>
      <c r="J155" t="s">
        <v>28958</v>
      </c>
      <c r="K155" t="s">
        <v>37205</v>
      </c>
      <c r="M155" t="s">
        <v>37576</v>
      </c>
      <c r="N155" t="s">
        <v>41249</v>
      </c>
      <c r="O155" t="s">
        <v>41250</v>
      </c>
      <c r="P155">
        <v>0</v>
      </c>
      <c r="Q155">
        <v>3</v>
      </c>
      <c r="R155" t="s">
        <v>41251</v>
      </c>
      <c r="S155" t="s">
        <v>41369</v>
      </c>
      <c r="T155" t="s">
        <v>42694</v>
      </c>
      <c r="U155" t="s">
        <v>43329</v>
      </c>
      <c r="V155" t="s">
        <v>54275</v>
      </c>
      <c r="W155" t="s">
        <v>37576</v>
      </c>
      <c r="X155" t="s">
        <v>41254</v>
      </c>
    </row>
    <row r="156" spans="1:24">
      <c r="A156">
        <f>HYPERLINK("https://www.philgeps.gov.ph/GEPSNONPILOT/Tender/SplashBidNoticeAbstractUI.aspx?menuIndex=3&amp;refID=7076092&amp;Result=3","7076092")</f>
        <v>0</v>
      </c>
      <c r="B156" t="s">
        <v>102</v>
      </c>
      <c r="C156" t="s">
        <v>3525</v>
      </c>
      <c r="D156" t="s">
        <v>16631</v>
      </c>
      <c r="E156" t="s">
        <v>16859</v>
      </c>
      <c r="F156" t="s">
        <v>28669</v>
      </c>
      <c r="G156" t="s">
        <v>28675</v>
      </c>
      <c r="H156" t="s">
        <v>9998</v>
      </c>
      <c r="I156" t="s">
        <v>7352</v>
      </c>
      <c r="J156" t="s">
        <v>28959</v>
      </c>
      <c r="K156" t="s">
        <v>37206</v>
      </c>
      <c r="M156" t="s">
        <v>37577</v>
      </c>
      <c r="N156" t="s">
        <v>41249</v>
      </c>
      <c r="O156" t="s">
        <v>41250</v>
      </c>
      <c r="P156">
        <v>0</v>
      </c>
      <c r="Q156">
        <v>1</v>
      </c>
      <c r="R156" t="s">
        <v>41251</v>
      </c>
      <c r="S156" t="s">
        <v>41369</v>
      </c>
      <c r="T156" t="s">
        <v>42716</v>
      </c>
      <c r="U156" t="s">
        <v>43330</v>
      </c>
      <c r="V156" t="s">
        <v>54252</v>
      </c>
      <c r="W156" t="s">
        <v>37577</v>
      </c>
      <c r="X156" t="s">
        <v>41252</v>
      </c>
    </row>
    <row r="157" spans="1:24">
      <c r="A157">
        <f>HYPERLINK("https://www.philgeps.gov.ph/GEPSNONPILOT/Tender/SplashBidNoticeAbstractUI.aspx?menuIndex=3&amp;refID=7075932&amp;Result=3","7075932")</f>
        <v>0</v>
      </c>
      <c r="B157" t="s">
        <v>103</v>
      </c>
      <c r="C157" t="s">
        <v>3526</v>
      </c>
      <c r="D157" t="s">
        <v>16619</v>
      </c>
      <c r="E157" t="s">
        <v>16860</v>
      </c>
      <c r="F157" t="s">
        <v>28669</v>
      </c>
      <c r="G157" t="s">
        <v>28677</v>
      </c>
      <c r="H157" t="s">
        <v>9998</v>
      </c>
      <c r="I157" t="s">
        <v>28709</v>
      </c>
      <c r="J157" t="s">
        <v>28960</v>
      </c>
      <c r="K157" t="s">
        <v>37234</v>
      </c>
      <c r="M157" t="s">
        <v>37578</v>
      </c>
      <c r="N157" t="s">
        <v>41249</v>
      </c>
      <c r="O157" t="s">
        <v>41250</v>
      </c>
      <c r="P157">
        <v>0</v>
      </c>
      <c r="Q157">
        <v>0</v>
      </c>
      <c r="R157" t="s">
        <v>41251</v>
      </c>
      <c r="S157" t="s">
        <v>41369</v>
      </c>
      <c r="T157" t="s">
        <v>42718</v>
      </c>
      <c r="U157" t="s">
        <v>43331</v>
      </c>
      <c r="W157" t="s">
        <v>37578</v>
      </c>
      <c r="X157" t="s">
        <v>41254</v>
      </c>
    </row>
    <row r="158" spans="1:24">
      <c r="A158">
        <f>HYPERLINK("https://www.philgeps.gov.ph/GEPSNONPILOT/Tender/SplashBidNoticeAbstractUI.aspx?menuIndex=3&amp;refID=7076090&amp;Result=3","7076090")</f>
        <v>0</v>
      </c>
      <c r="B158" t="s">
        <v>104</v>
      </c>
      <c r="C158" t="s">
        <v>3527</v>
      </c>
      <c r="D158" t="s">
        <v>16608</v>
      </c>
      <c r="E158" t="s">
        <v>16861</v>
      </c>
      <c r="F158" t="s">
        <v>28669</v>
      </c>
      <c r="G158" t="s">
        <v>28675</v>
      </c>
      <c r="H158" t="s">
        <v>28684</v>
      </c>
      <c r="I158" t="s">
        <v>28687</v>
      </c>
      <c r="J158" t="s">
        <v>28961</v>
      </c>
      <c r="K158" t="s">
        <v>37210</v>
      </c>
      <c r="M158" t="s">
        <v>37579</v>
      </c>
      <c r="N158" t="s">
        <v>41249</v>
      </c>
      <c r="O158" t="s">
        <v>41250</v>
      </c>
      <c r="P158">
        <v>0</v>
      </c>
      <c r="Q158">
        <v>4</v>
      </c>
      <c r="R158" t="s">
        <v>41251</v>
      </c>
      <c r="S158" t="s">
        <v>41369</v>
      </c>
      <c r="T158" t="s">
        <v>42719</v>
      </c>
      <c r="U158" t="s">
        <v>43332</v>
      </c>
      <c r="W158" t="s">
        <v>37579</v>
      </c>
      <c r="X158" t="s">
        <v>41252</v>
      </c>
    </row>
    <row r="159" spans="1:24">
      <c r="A159">
        <f>HYPERLINK("https://www.philgeps.gov.ph/GEPSNONPILOT/Tender/SplashBidNoticeAbstractUI.aspx?menuIndex=3&amp;refID=7075088&amp;Result=3","7075088")</f>
        <v>0</v>
      </c>
      <c r="B159" t="s">
        <v>100</v>
      </c>
      <c r="C159" t="s">
        <v>3528</v>
      </c>
      <c r="D159" t="s">
        <v>16608</v>
      </c>
      <c r="E159" t="s">
        <v>16862</v>
      </c>
      <c r="F159" t="s">
        <v>28669</v>
      </c>
      <c r="G159" t="s">
        <v>28675</v>
      </c>
      <c r="H159" t="s">
        <v>9998</v>
      </c>
      <c r="I159" t="s">
        <v>11593</v>
      </c>
      <c r="J159" t="s">
        <v>28962</v>
      </c>
      <c r="K159" t="s">
        <v>37235</v>
      </c>
      <c r="M159" t="s">
        <v>37580</v>
      </c>
      <c r="N159" t="s">
        <v>41249</v>
      </c>
      <c r="O159" t="s">
        <v>41250</v>
      </c>
      <c r="P159">
        <v>0</v>
      </c>
      <c r="Q159">
        <v>5</v>
      </c>
      <c r="R159" t="s">
        <v>41251</v>
      </c>
      <c r="S159" t="s">
        <v>41369</v>
      </c>
      <c r="T159" t="s">
        <v>42693</v>
      </c>
      <c r="U159" t="s">
        <v>43333</v>
      </c>
      <c r="V159" t="s">
        <v>54276</v>
      </c>
      <c r="W159" t="s">
        <v>37580</v>
      </c>
      <c r="X159" t="s">
        <v>41254</v>
      </c>
    </row>
    <row r="160" spans="1:24">
      <c r="A160">
        <f>HYPERLINK("https://www.philgeps.gov.ph/GEPSNONPILOT/Tender/SplashBidNoticeAbstractUI.aspx?menuIndex=3&amp;refID=7076088&amp;Result=3","7076088")</f>
        <v>0</v>
      </c>
      <c r="B160" t="s">
        <v>105</v>
      </c>
      <c r="C160" t="s">
        <v>3529</v>
      </c>
      <c r="D160" t="s">
        <v>16656</v>
      </c>
      <c r="E160" t="s">
        <v>16799</v>
      </c>
      <c r="F160" t="s">
        <v>28669</v>
      </c>
      <c r="G160" t="s">
        <v>28675</v>
      </c>
      <c r="H160" t="s">
        <v>28686</v>
      </c>
      <c r="I160" t="s">
        <v>28689</v>
      </c>
      <c r="J160" t="s">
        <v>28963</v>
      </c>
      <c r="K160" t="s">
        <v>37215</v>
      </c>
      <c r="M160" t="s">
        <v>37581</v>
      </c>
      <c r="N160" t="s">
        <v>41249</v>
      </c>
      <c r="O160" t="s">
        <v>41250</v>
      </c>
      <c r="P160">
        <v>0</v>
      </c>
      <c r="Q160">
        <v>0</v>
      </c>
      <c r="R160" t="s">
        <v>41251</v>
      </c>
      <c r="S160" t="s">
        <v>41369</v>
      </c>
      <c r="T160" t="s">
        <v>42720</v>
      </c>
      <c r="U160" t="s">
        <v>43334</v>
      </c>
      <c r="W160" t="s">
        <v>37581</v>
      </c>
      <c r="X160" t="s">
        <v>41252</v>
      </c>
    </row>
    <row r="161" spans="1:24">
      <c r="A161">
        <f>HYPERLINK("https://www.philgeps.gov.ph/GEPSNONPILOT/Tender/SplashBidNoticeAbstractUI.aspx?menuIndex=3&amp;refID=7072944&amp;Result=3","7072944")</f>
        <v>0</v>
      </c>
      <c r="B161" t="s">
        <v>53</v>
      </c>
      <c r="C161" t="s">
        <v>3530</v>
      </c>
      <c r="D161" t="s">
        <v>16632</v>
      </c>
      <c r="E161" t="s">
        <v>16863</v>
      </c>
      <c r="F161" t="s">
        <v>28669</v>
      </c>
      <c r="G161" t="s">
        <v>28675</v>
      </c>
      <c r="H161" t="s">
        <v>28686</v>
      </c>
      <c r="I161" t="s">
        <v>28689</v>
      </c>
      <c r="J161" t="s">
        <v>28878</v>
      </c>
      <c r="K161" t="s">
        <v>37236</v>
      </c>
      <c r="M161" t="s">
        <v>37528</v>
      </c>
      <c r="N161" t="s">
        <v>41249</v>
      </c>
      <c r="O161" t="s">
        <v>41250</v>
      </c>
      <c r="P161">
        <v>0</v>
      </c>
      <c r="Q161">
        <v>0</v>
      </c>
      <c r="R161" t="s">
        <v>41251</v>
      </c>
      <c r="S161" t="s">
        <v>41369</v>
      </c>
      <c r="T161" t="s">
        <v>42664</v>
      </c>
      <c r="U161" t="s">
        <v>43335</v>
      </c>
      <c r="W161" t="s">
        <v>37528</v>
      </c>
      <c r="X161" t="s">
        <v>41255</v>
      </c>
    </row>
    <row r="162" spans="1:24">
      <c r="A162">
        <f>HYPERLINK("https://www.philgeps.gov.ph/GEPSNONPILOT/Tender/SplashBidNoticeAbstractUI.aspx?menuIndex=3&amp;refID=7076094&amp;Result=3","7076094")</f>
        <v>0</v>
      </c>
      <c r="B162" t="s">
        <v>106</v>
      </c>
      <c r="C162" t="s">
        <v>3531</v>
      </c>
      <c r="D162" t="s">
        <v>16612</v>
      </c>
      <c r="E162" t="s">
        <v>16864</v>
      </c>
      <c r="F162" t="s">
        <v>28669</v>
      </c>
      <c r="G162" t="s">
        <v>28675</v>
      </c>
      <c r="H162" t="s">
        <v>9998</v>
      </c>
      <c r="I162" t="s">
        <v>28700</v>
      </c>
      <c r="J162" t="s">
        <v>28964</v>
      </c>
      <c r="K162" t="s">
        <v>37206</v>
      </c>
      <c r="M162" t="s">
        <v>37582</v>
      </c>
      <c r="N162" t="s">
        <v>41249</v>
      </c>
      <c r="O162" t="s">
        <v>41250</v>
      </c>
      <c r="P162">
        <v>0</v>
      </c>
      <c r="Q162">
        <v>2</v>
      </c>
      <c r="R162" t="s">
        <v>41251</v>
      </c>
      <c r="S162" t="s">
        <v>41369</v>
      </c>
      <c r="T162" t="s">
        <v>42714</v>
      </c>
      <c r="U162" t="s">
        <v>43336</v>
      </c>
      <c r="V162" t="s">
        <v>54277</v>
      </c>
      <c r="W162" t="s">
        <v>37582</v>
      </c>
      <c r="X162" t="s">
        <v>41252</v>
      </c>
    </row>
    <row r="163" spans="1:24">
      <c r="A163">
        <f>HYPERLINK("https://www.philgeps.gov.ph/GEPSNONPILOT/Tender/SplashBidNoticeAbstractUI.aspx?menuIndex=3&amp;refID=7076079&amp;Result=3","7076079")</f>
        <v>0</v>
      </c>
      <c r="B163" t="s">
        <v>102</v>
      </c>
      <c r="C163" t="s">
        <v>3532</v>
      </c>
      <c r="D163" t="s">
        <v>16631</v>
      </c>
      <c r="E163" t="s">
        <v>16865</v>
      </c>
      <c r="F163" t="s">
        <v>28669</v>
      </c>
      <c r="G163" t="s">
        <v>28676</v>
      </c>
      <c r="H163" t="s">
        <v>9998</v>
      </c>
      <c r="I163" t="s">
        <v>28710</v>
      </c>
      <c r="J163" t="s">
        <v>28965</v>
      </c>
      <c r="K163" t="s">
        <v>37206</v>
      </c>
      <c r="M163" t="s">
        <v>37577</v>
      </c>
      <c r="N163" t="s">
        <v>41249</v>
      </c>
      <c r="O163" t="s">
        <v>41250</v>
      </c>
      <c r="P163">
        <v>0</v>
      </c>
      <c r="Q163">
        <v>0</v>
      </c>
      <c r="R163" t="s">
        <v>41251</v>
      </c>
      <c r="S163" t="s">
        <v>41369</v>
      </c>
      <c r="T163" t="s">
        <v>42679</v>
      </c>
      <c r="U163" t="s">
        <v>43337</v>
      </c>
      <c r="V163" t="s">
        <v>54252</v>
      </c>
      <c r="W163" t="s">
        <v>37577</v>
      </c>
      <c r="X163" t="s">
        <v>41254</v>
      </c>
    </row>
    <row r="164" spans="1:24">
      <c r="A164">
        <f>HYPERLINK("https://www.philgeps.gov.ph/GEPSNONPILOT/Tender/SplashBidNoticeAbstractUI.aspx?menuIndex=3&amp;refID=7076091&amp;Result=3","7076091")</f>
        <v>0</v>
      </c>
      <c r="B164" t="s">
        <v>107</v>
      </c>
      <c r="C164" t="s">
        <v>3533</v>
      </c>
      <c r="D164" t="s">
        <v>16657</v>
      </c>
      <c r="E164" t="s">
        <v>16866</v>
      </c>
      <c r="F164" t="s">
        <v>28669</v>
      </c>
      <c r="G164" t="s">
        <v>28675</v>
      </c>
      <c r="H164" t="s">
        <v>28686</v>
      </c>
      <c r="I164" t="s">
        <v>28689</v>
      </c>
      <c r="J164" t="s">
        <v>28966</v>
      </c>
      <c r="K164" t="s">
        <v>37237</v>
      </c>
      <c r="M164" t="s">
        <v>37583</v>
      </c>
      <c r="N164" t="s">
        <v>41249</v>
      </c>
      <c r="O164" t="s">
        <v>41250</v>
      </c>
      <c r="P164">
        <v>0</v>
      </c>
      <c r="Q164">
        <v>4</v>
      </c>
      <c r="R164" t="s">
        <v>41251</v>
      </c>
      <c r="S164" t="s">
        <v>41369</v>
      </c>
      <c r="T164" t="s">
        <v>42688</v>
      </c>
      <c r="U164" t="s">
        <v>43338</v>
      </c>
      <c r="V164" t="s">
        <v>54278</v>
      </c>
      <c r="W164" t="s">
        <v>37583</v>
      </c>
      <c r="X164" t="s">
        <v>41252</v>
      </c>
    </row>
    <row r="165" spans="1:24">
      <c r="A165">
        <f>HYPERLINK("https://www.philgeps.gov.ph/GEPSNONPILOT/Tender/SplashBidNoticeAbstractUI.aspx?menuIndex=3&amp;refID=7076076&amp;Result=3","7076076")</f>
        <v>0</v>
      </c>
      <c r="B165" t="s">
        <v>102</v>
      </c>
      <c r="C165" t="s">
        <v>3534</v>
      </c>
      <c r="D165" t="s">
        <v>16631</v>
      </c>
      <c r="E165" t="s">
        <v>16867</v>
      </c>
      <c r="F165" t="s">
        <v>28669</v>
      </c>
      <c r="G165" t="s">
        <v>28676</v>
      </c>
      <c r="H165" t="s">
        <v>9998</v>
      </c>
      <c r="I165" t="s">
        <v>28695</v>
      </c>
      <c r="J165" t="s">
        <v>28967</v>
      </c>
      <c r="K165" t="s">
        <v>37206</v>
      </c>
      <c r="M165" t="s">
        <v>37577</v>
      </c>
      <c r="N165" t="s">
        <v>41249</v>
      </c>
      <c r="O165" t="s">
        <v>41250</v>
      </c>
      <c r="P165">
        <v>0</v>
      </c>
      <c r="Q165">
        <v>0</v>
      </c>
      <c r="R165" t="s">
        <v>41251</v>
      </c>
      <c r="S165" t="s">
        <v>41369</v>
      </c>
      <c r="T165" t="s">
        <v>42679</v>
      </c>
      <c r="U165" t="s">
        <v>43339</v>
      </c>
      <c r="V165" t="s">
        <v>54252</v>
      </c>
      <c r="W165" t="s">
        <v>37577</v>
      </c>
      <c r="X165" t="s">
        <v>41254</v>
      </c>
    </row>
    <row r="166" spans="1:24">
      <c r="A166">
        <f>HYPERLINK("https://www.philgeps.gov.ph/GEPSNONPILOT/Tender/SplashBidNoticeAbstractUI.aspx?menuIndex=3&amp;refID=7076089&amp;Result=3","7076089")</f>
        <v>0</v>
      </c>
      <c r="B166" t="s">
        <v>108</v>
      </c>
      <c r="C166" t="s">
        <v>3535</v>
      </c>
      <c r="D166" t="s">
        <v>16621</v>
      </c>
      <c r="E166" t="s">
        <v>16868</v>
      </c>
      <c r="F166" t="s">
        <v>28669</v>
      </c>
      <c r="G166" t="s">
        <v>28675</v>
      </c>
      <c r="H166" t="s">
        <v>28686</v>
      </c>
      <c r="I166" t="s">
        <v>28689</v>
      </c>
      <c r="J166" t="s">
        <v>28968</v>
      </c>
      <c r="K166" t="s">
        <v>37231</v>
      </c>
      <c r="M166" t="s">
        <v>37584</v>
      </c>
      <c r="N166" t="s">
        <v>41249</v>
      </c>
      <c r="O166" t="s">
        <v>41250</v>
      </c>
      <c r="P166">
        <v>0</v>
      </c>
      <c r="Q166">
        <v>0</v>
      </c>
      <c r="R166" t="s">
        <v>41251</v>
      </c>
      <c r="S166" t="s">
        <v>41369</v>
      </c>
      <c r="T166" t="s">
        <v>42696</v>
      </c>
      <c r="U166" t="s">
        <v>43340</v>
      </c>
      <c r="W166" t="s">
        <v>37584</v>
      </c>
      <c r="X166" t="s">
        <v>41252</v>
      </c>
    </row>
    <row r="167" spans="1:24">
      <c r="A167">
        <f>HYPERLINK("https://www.philgeps.gov.ph/GEPSNONPILOT/Tender/SplashBidNoticeAbstractUI.aspx?menuIndex=3&amp;refID=7074962&amp;Result=3","7074962")</f>
        <v>0</v>
      </c>
      <c r="B167" t="s">
        <v>25</v>
      </c>
      <c r="C167" t="s">
        <v>3536</v>
      </c>
      <c r="D167" t="s">
        <v>16608</v>
      </c>
      <c r="E167" t="s">
        <v>16869</v>
      </c>
      <c r="F167" t="s">
        <v>28669</v>
      </c>
      <c r="G167" t="s">
        <v>28675</v>
      </c>
      <c r="H167" t="s">
        <v>28684</v>
      </c>
      <c r="I167" t="s">
        <v>5213</v>
      </c>
      <c r="J167" t="s">
        <v>28878</v>
      </c>
      <c r="K167" t="s">
        <v>37205</v>
      </c>
      <c r="M167" t="s">
        <v>37500</v>
      </c>
      <c r="N167" t="s">
        <v>41249</v>
      </c>
      <c r="O167" t="s">
        <v>41250</v>
      </c>
      <c r="P167">
        <v>0</v>
      </c>
      <c r="Q167">
        <v>0</v>
      </c>
      <c r="R167" t="s">
        <v>41251</v>
      </c>
      <c r="S167" t="s">
        <v>41369</v>
      </c>
      <c r="T167" t="s">
        <v>42721</v>
      </c>
      <c r="U167" t="s">
        <v>43341</v>
      </c>
      <c r="W167" t="s">
        <v>37500</v>
      </c>
      <c r="X167" t="s">
        <v>41254</v>
      </c>
    </row>
    <row r="168" spans="1:24">
      <c r="A168">
        <f>HYPERLINK("https://www.philgeps.gov.ph/GEPSNONPILOT/Tender/SplashBidNoticeAbstractUI.aspx?menuIndex=3&amp;refID=7076075&amp;Result=3","7076075")</f>
        <v>0</v>
      </c>
      <c r="B168" t="s">
        <v>109</v>
      </c>
      <c r="C168" t="s">
        <v>3537</v>
      </c>
      <c r="D168" t="s">
        <v>16608</v>
      </c>
      <c r="E168" t="s">
        <v>16870</v>
      </c>
      <c r="F168" t="s">
        <v>28669</v>
      </c>
      <c r="G168" t="s">
        <v>28676</v>
      </c>
      <c r="H168" t="s">
        <v>9998</v>
      </c>
      <c r="I168" t="s">
        <v>28711</v>
      </c>
      <c r="J168" t="s">
        <v>28969</v>
      </c>
      <c r="K168" t="s">
        <v>37238</v>
      </c>
      <c r="M168" t="s">
        <v>37585</v>
      </c>
      <c r="N168" t="s">
        <v>41249</v>
      </c>
      <c r="O168" t="s">
        <v>41250</v>
      </c>
      <c r="P168">
        <v>0</v>
      </c>
      <c r="Q168">
        <v>6</v>
      </c>
      <c r="R168" t="s">
        <v>41251</v>
      </c>
      <c r="S168" t="s">
        <v>41369</v>
      </c>
      <c r="T168" t="s">
        <v>42675</v>
      </c>
      <c r="U168" t="s">
        <v>43342</v>
      </c>
      <c r="W168" t="s">
        <v>37585</v>
      </c>
      <c r="X168" t="s">
        <v>41254</v>
      </c>
    </row>
    <row r="169" spans="1:24">
      <c r="A169">
        <f>HYPERLINK("https://www.philgeps.gov.ph/GEPSNONPILOT/Tender/SplashBidNoticeAbstractUI.aspx?menuIndex=3&amp;refID=7076030&amp;Result=3","7076030")</f>
        <v>0</v>
      </c>
      <c r="B169" t="s">
        <v>110</v>
      </c>
      <c r="C169" t="s">
        <v>3538</v>
      </c>
      <c r="D169" t="s">
        <v>16658</v>
      </c>
      <c r="E169" t="s">
        <v>16871</v>
      </c>
      <c r="F169" t="s">
        <v>28669</v>
      </c>
      <c r="G169" t="s">
        <v>28675</v>
      </c>
      <c r="H169" t="s">
        <v>28686</v>
      </c>
      <c r="I169" t="s">
        <v>28689</v>
      </c>
      <c r="J169" t="s">
        <v>28970</v>
      </c>
      <c r="K169" t="s">
        <v>37239</v>
      </c>
      <c r="M169" t="s">
        <v>37586</v>
      </c>
      <c r="N169" t="s">
        <v>41249</v>
      </c>
      <c r="O169" t="s">
        <v>41250</v>
      </c>
      <c r="P169">
        <v>0</v>
      </c>
      <c r="Q169">
        <v>2</v>
      </c>
      <c r="R169" t="s">
        <v>41251</v>
      </c>
      <c r="S169" t="s">
        <v>41369</v>
      </c>
      <c r="T169" t="s">
        <v>42722</v>
      </c>
      <c r="U169" t="s">
        <v>43343</v>
      </c>
      <c r="W169" t="s">
        <v>37586</v>
      </c>
      <c r="X169" t="s">
        <v>41254</v>
      </c>
    </row>
    <row r="170" spans="1:24">
      <c r="A170">
        <f>HYPERLINK("https://www.philgeps.gov.ph/GEPSNONPILOT/Tender/SplashBidNoticeAbstractUI.aspx?menuIndex=3&amp;refID=7076086&amp;Result=3","7076086")</f>
        <v>0</v>
      </c>
      <c r="B170" t="s">
        <v>102</v>
      </c>
      <c r="C170" t="s">
        <v>3539</v>
      </c>
      <c r="D170" t="s">
        <v>16631</v>
      </c>
      <c r="E170" t="s">
        <v>16872</v>
      </c>
      <c r="F170" t="s">
        <v>28669</v>
      </c>
      <c r="G170" t="s">
        <v>28676</v>
      </c>
      <c r="H170" t="s">
        <v>9998</v>
      </c>
      <c r="I170" t="s">
        <v>7352</v>
      </c>
      <c r="J170" t="s">
        <v>28971</v>
      </c>
      <c r="K170" t="s">
        <v>37206</v>
      </c>
      <c r="M170" t="s">
        <v>37577</v>
      </c>
      <c r="N170" t="s">
        <v>41249</v>
      </c>
      <c r="O170" t="s">
        <v>41250</v>
      </c>
      <c r="P170">
        <v>0</v>
      </c>
      <c r="Q170">
        <v>0</v>
      </c>
      <c r="R170" t="s">
        <v>41251</v>
      </c>
      <c r="S170" t="s">
        <v>41369</v>
      </c>
      <c r="T170" t="s">
        <v>42679</v>
      </c>
      <c r="U170" t="s">
        <v>43344</v>
      </c>
      <c r="V170" t="s">
        <v>54279</v>
      </c>
      <c r="W170" t="s">
        <v>37577</v>
      </c>
      <c r="X170" t="s">
        <v>41254</v>
      </c>
    </row>
    <row r="171" spans="1:24">
      <c r="A171">
        <f>HYPERLINK("https://www.philgeps.gov.ph/GEPSNONPILOT/Tender/SplashBidNoticeAbstractUI.aspx?menuIndex=3&amp;refID=7076029&amp;Result=3","7076029")</f>
        <v>0</v>
      </c>
      <c r="B171" t="s">
        <v>111</v>
      </c>
      <c r="C171" t="s">
        <v>3540</v>
      </c>
      <c r="D171" t="s">
        <v>16619</v>
      </c>
      <c r="E171" t="s">
        <v>16873</v>
      </c>
      <c r="F171" t="s">
        <v>28669</v>
      </c>
      <c r="G171" t="s">
        <v>28675</v>
      </c>
      <c r="H171" t="s">
        <v>9998</v>
      </c>
      <c r="I171" t="s">
        <v>3718</v>
      </c>
      <c r="J171" t="s">
        <v>28972</v>
      </c>
      <c r="K171" t="s">
        <v>37206</v>
      </c>
      <c r="M171" t="s">
        <v>37587</v>
      </c>
      <c r="N171" t="s">
        <v>41249</v>
      </c>
      <c r="O171" t="s">
        <v>41250</v>
      </c>
      <c r="P171">
        <v>0</v>
      </c>
      <c r="Q171">
        <v>1</v>
      </c>
      <c r="R171" t="s">
        <v>41251</v>
      </c>
      <c r="S171" t="s">
        <v>41369</v>
      </c>
      <c r="T171" t="s">
        <v>42723</v>
      </c>
      <c r="U171" t="s">
        <v>43345</v>
      </c>
      <c r="V171" t="s">
        <v>54280</v>
      </c>
      <c r="W171" t="s">
        <v>37587</v>
      </c>
      <c r="X171" t="s">
        <v>41254</v>
      </c>
    </row>
    <row r="172" spans="1:24">
      <c r="A172">
        <f>HYPERLINK("https://www.philgeps.gov.ph/GEPSNONPILOT/Tender/SplashBidNoticeAbstractUI.aspx?menuIndex=3&amp;refID=7076084&amp;Result=3","7076084")</f>
        <v>0</v>
      </c>
      <c r="B172" t="s">
        <v>102</v>
      </c>
      <c r="C172" t="s">
        <v>3541</v>
      </c>
      <c r="D172" t="s">
        <v>16631</v>
      </c>
      <c r="E172" t="s">
        <v>16874</v>
      </c>
      <c r="F172" t="s">
        <v>28669</v>
      </c>
      <c r="G172" t="s">
        <v>28676</v>
      </c>
      <c r="H172" t="s">
        <v>9998</v>
      </c>
      <c r="I172" t="s">
        <v>7352</v>
      </c>
      <c r="J172" t="s">
        <v>28973</v>
      </c>
      <c r="K172" t="s">
        <v>37206</v>
      </c>
      <c r="M172" t="s">
        <v>37577</v>
      </c>
      <c r="N172" t="s">
        <v>41249</v>
      </c>
      <c r="O172" t="s">
        <v>41250</v>
      </c>
      <c r="P172">
        <v>0</v>
      </c>
      <c r="Q172">
        <v>0</v>
      </c>
      <c r="R172" t="s">
        <v>41251</v>
      </c>
      <c r="S172" t="s">
        <v>41369</v>
      </c>
      <c r="T172" t="s">
        <v>42679</v>
      </c>
      <c r="U172" t="s">
        <v>43346</v>
      </c>
      <c r="V172" t="s">
        <v>54279</v>
      </c>
      <c r="W172" t="s">
        <v>37577</v>
      </c>
      <c r="X172" t="s">
        <v>41254</v>
      </c>
    </row>
    <row r="173" spans="1:24">
      <c r="A173">
        <f>HYPERLINK("https://www.philgeps.gov.ph/GEPSNONPILOT/Tender/SplashBidNoticeAbstractUI.aspx?menuIndex=3&amp;refID=7071640&amp;Result=3","7071640")</f>
        <v>0</v>
      </c>
      <c r="B173" t="s">
        <v>42</v>
      </c>
      <c r="C173" t="s">
        <v>3426</v>
      </c>
      <c r="D173" t="s">
        <v>16623</v>
      </c>
      <c r="E173" t="s">
        <v>16875</v>
      </c>
      <c r="F173" t="s">
        <v>28669</v>
      </c>
      <c r="G173" t="s">
        <v>28675</v>
      </c>
      <c r="H173" t="s">
        <v>9998</v>
      </c>
      <c r="I173" t="s">
        <v>28695</v>
      </c>
      <c r="J173" t="s">
        <v>28974</v>
      </c>
      <c r="K173" t="s">
        <v>37210</v>
      </c>
      <c r="M173" t="s">
        <v>37517</v>
      </c>
      <c r="N173" t="s">
        <v>41249</v>
      </c>
      <c r="O173" t="s">
        <v>41250</v>
      </c>
      <c r="P173">
        <v>0</v>
      </c>
      <c r="Q173">
        <v>0</v>
      </c>
      <c r="R173" t="s">
        <v>41251</v>
      </c>
      <c r="S173" t="s">
        <v>41369</v>
      </c>
      <c r="T173" t="s">
        <v>42678</v>
      </c>
      <c r="U173" t="s">
        <v>43347</v>
      </c>
      <c r="W173" t="s">
        <v>37517</v>
      </c>
      <c r="X173" t="s">
        <v>41257</v>
      </c>
    </row>
    <row r="174" spans="1:24">
      <c r="A174">
        <f>HYPERLINK("https://www.philgeps.gov.ph/GEPSNONPILOT/Tender/SplashBidNoticeAbstractUI.aspx?menuIndex=3&amp;refID=7071565&amp;Result=3","7071565")</f>
        <v>0</v>
      </c>
      <c r="B174" t="s">
        <v>51</v>
      </c>
      <c r="C174" t="s">
        <v>3542</v>
      </c>
      <c r="D174" t="s">
        <v>16631</v>
      </c>
      <c r="E174" t="s">
        <v>16876</v>
      </c>
      <c r="F174" t="s">
        <v>28669</v>
      </c>
      <c r="G174" t="s">
        <v>28679</v>
      </c>
      <c r="H174" t="s">
        <v>9998</v>
      </c>
      <c r="I174" t="s">
        <v>28687</v>
      </c>
      <c r="J174" t="s">
        <v>28975</v>
      </c>
      <c r="K174" t="s">
        <v>37206</v>
      </c>
      <c r="M174" t="s">
        <v>37526</v>
      </c>
      <c r="N174" t="s">
        <v>41249</v>
      </c>
      <c r="O174" t="s">
        <v>41250</v>
      </c>
      <c r="P174">
        <v>0</v>
      </c>
      <c r="Q174">
        <v>2</v>
      </c>
      <c r="R174" t="s">
        <v>41251</v>
      </c>
      <c r="S174" t="s">
        <v>41369</v>
      </c>
      <c r="T174" t="s">
        <v>42687</v>
      </c>
      <c r="U174" t="s">
        <v>43348</v>
      </c>
      <c r="W174" t="s">
        <v>37526</v>
      </c>
      <c r="X174" t="s">
        <v>41257</v>
      </c>
    </row>
    <row r="175" spans="1:24">
      <c r="A175">
        <f>HYPERLINK("https://www.philgeps.gov.ph/GEPSNONPILOT/Tender/SplashBidNoticeAbstractUI.aspx?menuIndex=3&amp;refID=7071174&amp;Result=3","7071174")</f>
        <v>0</v>
      </c>
      <c r="B175" t="s">
        <v>112</v>
      </c>
      <c r="C175" t="s">
        <v>3543</v>
      </c>
      <c r="D175" t="s">
        <v>16625</v>
      </c>
      <c r="E175" t="s">
        <v>16877</v>
      </c>
      <c r="F175" t="s">
        <v>28671</v>
      </c>
      <c r="G175" t="s">
        <v>28675</v>
      </c>
      <c r="H175" t="s">
        <v>9998</v>
      </c>
      <c r="I175" t="s">
        <v>28695</v>
      </c>
      <c r="J175" t="s">
        <v>28905</v>
      </c>
      <c r="K175" t="s">
        <v>37209</v>
      </c>
      <c r="M175" t="s">
        <v>37588</v>
      </c>
      <c r="N175" t="s">
        <v>41249</v>
      </c>
      <c r="O175" t="s">
        <v>41250</v>
      </c>
      <c r="P175">
        <v>0</v>
      </c>
      <c r="Q175">
        <v>0</v>
      </c>
      <c r="R175" t="s">
        <v>41251</v>
      </c>
      <c r="S175" t="s">
        <v>41369</v>
      </c>
      <c r="T175" t="s">
        <v>42724</v>
      </c>
      <c r="U175" t="s">
        <v>43349</v>
      </c>
      <c r="V175" t="s">
        <v>54281</v>
      </c>
      <c r="W175" t="s">
        <v>37588</v>
      </c>
      <c r="X175" t="s">
        <v>41257</v>
      </c>
    </row>
    <row r="176" spans="1:24">
      <c r="A176">
        <f>HYPERLINK("https://www.philgeps.gov.ph/GEPSNONPILOT/Tender/SplashBidNoticeAbstractUI.aspx?menuIndex=3&amp;refID=7071698&amp;Result=3","7071698")</f>
        <v>0</v>
      </c>
      <c r="B176" t="s">
        <v>42</v>
      </c>
      <c r="C176" t="s">
        <v>3544</v>
      </c>
      <c r="D176" t="s">
        <v>16623</v>
      </c>
      <c r="E176" t="s">
        <v>16878</v>
      </c>
      <c r="F176" t="s">
        <v>28669</v>
      </c>
      <c r="G176" t="s">
        <v>28675</v>
      </c>
      <c r="H176" t="s">
        <v>9998</v>
      </c>
      <c r="I176" t="s">
        <v>28695</v>
      </c>
      <c r="J176" t="s">
        <v>28976</v>
      </c>
      <c r="K176" t="s">
        <v>37210</v>
      </c>
      <c r="M176" t="s">
        <v>37517</v>
      </c>
      <c r="N176" t="s">
        <v>41249</v>
      </c>
      <c r="O176" t="s">
        <v>41250</v>
      </c>
      <c r="P176">
        <v>0</v>
      </c>
      <c r="Q176">
        <v>0</v>
      </c>
      <c r="R176" t="s">
        <v>41251</v>
      </c>
      <c r="S176" t="s">
        <v>41369</v>
      </c>
      <c r="T176" t="s">
        <v>42678</v>
      </c>
      <c r="U176" t="s">
        <v>43350</v>
      </c>
      <c r="W176" t="s">
        <v>37517</v>
      </c>
      <c r="X176" t="s">
        <v>41257</v>
      </c>
    </row>
    <row r="177" spans="1:24">
      <c r="A177">
        <f>HYPERLINK("https://www.philgeps.gov.ph/GEPSNONPILOT/Tender/SplashBidNoticeAbstractUI.aspx?menuIndex=3&amp;refID=7071097&amp;Result=3","7071097")</f>
        <v>0</v>
      </c>
      <c r="B177" t="s">
        <v>113</v>
      </c>
      <c r="C177" t="s">
        <v>3545</v>
      </c>
      <c r="D177" t="s">
        <v>16615</v>
      </c>
      <c r="E177" t="s">
        <v>16879</v>
      </c>
      <c r="F177" t="s">
        <v>28669</v>
      </c>
      <c r="G177" t="s">
        <v>28677</v>
      </c>
      <c r="H177" t="s">
        <v>9998</v>
      </c>
      <c r="I177" t="s">
        <v>6458</v>
      </c>
      <c r="J177" t="s">
        <v>28977</v>
      </c>
      <c r="K177" t="s">
        <v>37206</v>
      </c>
      <c r="M177" t="s">
        <v>37589</v>
      </c>
      <c r="N177" t="s">
        <v>41249</v>
      </c>
      <c r="O177" t="s">
        <v>41250</v>
      </c>
      <c r="P177">
        <v>0</v>
      </c>
      <c r="Q177">
        <v>0</v>
      </c>
      <c r="R177" t="s">
        <v>41251</v>
      </c>
      <c r="S177" t="s">
        <v>41369</v>
      </c>
      <c r="T177" t="s">
        <v>42694</v>
      </c>
      <c r="U177" t="s">
        <v>43351</v>
      </c>
      <c r="W177" t="s">
        <v>37589</v>
      </c>
      <c r="X177" t="s">
        <v>41257</v>
      </c>
    </row>
    <row r="178" spans="1:24">
      <c r="A178">
        <f>HYPERLINK("https://www.philgeps.gov.ph/GEPSNONPILOT/Tender/SplashBidNoticeAbstractUI.aspx?menuIndex=3&amp;refID=7076069&amp;Result=3","7076069")</f>
        <v>0</v>
      </c>
      <c r="B178" t="s">
        <v>102</v>
      </c>
      <c r="C178" t="s">
        <v>3546</v>
      </c>
      <c r="D178" t="s">
        <v>16631</v>
      </c>
      <c r="E178" t="s">
        <v>16880</v>
      </c>
      <c r="F178" t="s">
        <v>28669</v>
      </c>
      <c r="G178" t="s">
        <v>28676</v>
      </c>
      <c r="H178" t="s">
        <v>9998</v>
      </c>
      <c r="I178" t="s">
        <v>6128</v>
      </c>
      <c r="J178" t="s">
        <v>28978</v>
      </c>
      <c r="K178" t="s">
        <v>37206</v>
      </c>
      <c r="M178" t="s">
        <v>37577</v>
      </c>
      <c r="N178" t="s">
        <v>41249</v>
      </c>
      <c r="O178" t="s">
        <v>41250</v>
      </c>
      <c r="P178">
        <v>0</v>
      </c>
      <c r="Q178">
        <v>0</v>
      </c>
      <c r="R178" t="s">
        <v>41251</v>
      </c>
      <c r="S178" t="s">
        <v>41369</v>
      </c>
      <c r="T178" t="s">
        <v>42679</v>
      </c>
      <c r="U178" t="s">
        <v>43352</v>
      </c>
      <c r="V178" t="s">
        <v>54252</v>
      </c>
      <c r="W178" t="s">
        <v>37577</v>
      </c>
      <c r="X178" t="s">
        <v>41254</v>
      </c>
    </row>
    <row r="179" spans="1:24">
      <c r="A179">
        <f>HYPERLINK("https://www.philgeps.gov.ph/GEPSNONPILOT/Tender/SplashBidNoticeAbstractUI.aspx?menuIndex=3&amp;refID=7071020&amp;Result=3","7071020")</f>
        <v>0</v>
      </c>
      <c r="B179" t="s">
        <v>54</v>
      </c>
      <c r="C179" t="s">
        <v>3547</v>
      </c>
      <c r="D179" t="s">
        <v>16627</v>
      </c>
      <c r="E179" t="s">
        <v>16881</v>
      </c>
      <c r="F179" t="s">
        <v>28669</v>
      </c>
      <c r="G179" t="s">
        <v>28675</v>
      </c>
      <c r="H179" t="s">
        <v>9998</v>
      </c>
      <c r="I179" t="s">
        <v>28687</v>
      </c>
      <c r="J179" t="s">
        <v>28877</v>
      </c>
      <c r="K179" t="s">
        <v>37209</v>
      </c>
      <c r="M179" t="s">
        <v>37529</v>
      </c>
      <c r="N179" t="s">
        <v>41249</v>
      </c>
      <c r="O179" t="s">
        <v>41250</v>
      </c>
      <c r="P179">
        <v>0</v>
      </c>
      <c r="Q179">
        <v>1</v>
      </c>
      <c r="R179" t="s">
        <v>41251</v>
      </c>
      <c r="S179" t="s">
        <v>41369</v>
      </c>
      <c r="T179" t="s">
        <v>42684</v>
      </c>
      <c r="U179" t="s">
        <v>43235</v>
      </c>
      <c r="W179" t="s">
        <v>55897</v>
      </c>
      <c r="X179" t="s">
        <v>41257</v>
      </c>
    </row>
    <row r="180" spans="1:24">
      <c r="A180">
        <f>HYPERLINK("https://www.philgeps.gov.ph/GEPSNONPILOT/Tender/SplashBidNoticeAbstractUI.aspx?menuIndex=3&amp;refID=7071806&amp;Result=3","7071806")</f>
        <v>0</v>
      </c>
      <c r="B180" t="s">
        <v>59</v>
      </c>
      <c r="C180" t="s">
        <v>3438</v>
      </c>
      <c r="D180" t="s">
        <v>16639</v>
      </c>
      <c r="E180" t="s">
        <v>16882</v>
      </c>
      <c r="F180" t="s">
        <v>28669</v>
      </c>
      <c r="G180" t="s">
        <v>28676</v>
      </c>
      <c r="H180" t="s">
        <v>9998</v>
      </c>
      <c r="I180" t="s">
        <v>28698</v>
      </c>
      <c r="J180" t="s">
        <v>28884</v>
      </c>
      <c r="K180" t="s">
        <v>37209</v>
      </c>
      <c r="M180" t="s">
        <v>37534</v>
      </c>
      <c r="N180" t="s">
        <v>41249</v>
      </c>
      <c r="O180" t="s">
        <v>41250</v>
      </c>
      <c r="P180">
        <v>0</v>
      </c>
      <c r="Q180">
        <v>0</v>
      </c>
      <c r="R180" t="s">
        <v>41251</v>
      </c>
      <c r="S180" t="s">
        <v>41369</v>
      </c>
      <c r="T180" t="s">
        <v>42694</v>
      </c>
      <c r="U180" t="s">
        <v>43246</v>
      </c>
      <c r="W180" t="s">
        <v>37534</v>
      </c>
      <c r="X180" t="s">
        <v>41257</v>
      </c>
    </row>
    <row r="181" spans="1:24">
      <c r="A181">
        <f>HYPERLINK("https://www.philgeps.gov.ph/GEPSNONPILOT/Tender/SplashBidNoticeAbstractUI.aspx?menuIndex=3&amp;refID=7070852&amp;Result=3","7070852")</f>
        <v>0</v>
      </c>
      <c r="B181" t="s">
        <v>59</v>
      </c>
      <c r="C181" t="s">
        <v>3548</v>
      </c>
      <c r="D181" t="s">
        <v>16639</v>
      </c>
      <c r="E181" t="s">
        <v>16883</v>
      </c>
      <c r="F181" t="s">
        <v>28669</v>
      </c>
      <c r="G181" t="s">
        <v>28676</v>
      </c>
      <c r="H181" t="s">
        <v>9998</v>
      </c>
      <c r="I181" t="s">
        <v>28712</v>
      </c>
      <c r="J181" t="s">
        <v>28879</v>
      </c>
      <c r="K181" t="s">
        <v>37209</v>
      </c>
      <c r="M181" t="s">
        <v>37534</v>
      </c>
      <c r="N181" t="s">
        <v>41249</v>
      </c>
      <c r="O181" t="s">
        <v>41250</v>
      </c>
      <c r="P181">
        <v>0</v>
      </c>
      <c r="Q181">
        <v>1</v>
      </c>
      <c r="R181" t="s">
        <v>41251</v>
      </c>
      <c r="S181" t="s">
        <v>41369</v>
      </c>
      <c r="T181" t="s">
        <v>42694</v>
      </c>
      <c r="U181" t="s">
        <v>43353</v>
      </c>
      <c r="W181" t="s">
        <v>37534</v>
      </c>
      <c r="X181" t="s">
        <v>41257</v>
      </c>
    </row>
    <row r="182" spans="1:24">
      <c r="A182">
        <f>HYPERLINK("https://www.philgeps.gov.ph/GEPSNONPILOT/Tender/SplashBidNoticeAbstractUI.aspx?menuIndex=3&amp;refID=7070556&amp;Result=3","7070556")</f>
        <v>0</v>
      </c>
      <c r="B182" t="s">
        <v>42</v>
      </c>
      <c r="C182" t="s">
        <v>3549</v>
      </c>
      <c r="D182" t="s">
        <v>16623</v>
      </c>
      <c r="E182" t="s">
        <v>16884</v>
      </c>
      <c r="F182" t="s">
        <v>28669</v>
      </c>
      <c r="G182" t="s">
        <v>28675</v>
      </c>
      <c r="H182" t="s">
        <v>9998</v>
      </c>
      <c r="I182" t="s">
        <v>28713</v>
      </c>
      <c r="J182" t="s">
        <v>28979</v>
      </c>
      <c r="K182" t="s">
        <v>37210</v>
      </c>
      <c r="M182" t="s">
        <v>37517</v>
      </c>
      <c r="N182" t="s">
        <v>41249</v>
      </c>
      <c r="O182" t="s">
        <v>41250</v>
      </c>
      <c r="P182">
        <v>0</v>
      </c>
      <c r="Q182">
        <v>2</v>
      </c>
      <c r="R182" t="s">
        <v>41251</v>
      </c>
      <c r="S182" t="s">
        <v>41369</v>
      </c>
      <c r="T182" t="s">
        <v>42678</v>
      </c>
      <c r="U182" t="s">
        <v>43354</v>
      </c>
      <c r="W182" t="s">
        <v>37517</v>
      </c>
      <c r="X182" t="s">
        <v>41257</v>
      </c>
    </row>
    <row r="183" spans="1:24">
      <c r="A183">
        <f>HYPERLINK("https://www.philgeps.gov.ph/GEPSNONPILOT/Tender/SplashBidNoticeAbstractUI.aspx?menuIndex=3&amp;refID=7071074&amp;Result=3","7071074")</f>
        <v>0</v>
      </c>
      <c r="B183" t="s">
        <v>54</v>
      </c>
      <c r="C183" t="s">
        <v>3550</v>
      </c>
      <c r="D183" t="s">
        <v>16627</v>
      </c>
      <c r="E183" t="s">
        <v>16885</v>
      </c>
      <c r="F183" t="s">
        <v>28669</v>
      </c>
      <c r="G183" t="s">
        <v>28675</v>
      </c>
      <c r="H183" t="s">
        <v>9998</v>
      </c>
      <c r="I183" t="s">
        <v>5033</v>
      </c>
      <c r="J183" t="s">
        <v>28980</v>
      </c>
      <c r="K183" t="s">
        <v>37209</v>
      </c>
      <c r="M183" t="s">
        <v>37529</v>
      </c>
      <c r="N183" t="s">
        <v>41249</v>
      </c>
      <c r="O183" t="s">
        <v>41250</v>
      </c>
      <c r="P183">
        <v>0</v>
      </c>
      <c r="Q183">
        <v>4</v>
      </c>
      <c r="R183" t="s">
        <v>41251</v>
      </c>
      <c r="S183" t="s">
        <v>41369</v>
      </c>
      <c r="T183" t="s">
        <v>42684</v>
      </c>
      <c r="U183" t="s">
        <v>43235</v>
      </c>
      <c r="W183" t="s">
        <v>55897</v>
      </c>
      <c r="X183" t="s">
        <v>41257</v>
      </c>
    </row>
    <row r="184" spans="1:24">
      <c r="A184">
        <f>HYPERLINK("https://www.philgeps.gov.ph/GEPSNONPILOT/Tender/SplashBidNoticeAbstractUI.aspx?menuIndex=3&amp;refID=7071557&amp;Result=3","7071557")</f>
        <v>0</v>
      </c>
      <c r="B184" t="s">
        <v>42</v>
      </c>
      <c r="C184" t="s">
        <v>3551</v>
      </c>
      <c r="D184" t="s">
        <v>16623</v>
      </c>
      <c r="E184" t="s">
        <v>16886</v>
      </c>
      <c r="F184" t="s">
        <v>28669</v>
      </c>
      <c r="G184" t="s">
        <v>28675</v>
      </c>
      <c r="H184" t="s">
        <v>9998</v>
      </c>
      <c r="I184" t="s">
        <v>28695</v>
      </c>
      <c r="J184" t="s">
        <v>28981</v>
      </c>
      <c r="K184" t="s">
        <v>37210</v>
      </c>
      <c r="M184" t="s">
        <v>37517</v>
      </c>
      <c r="N184" t="s">
        <v>41249</v>
      </c>
      <c r="O184" t="s">
        <v>41250</v>
      </c>
      <c r="P184">
        <v>0</v>
      </c>
      <c r="Q184">
        <v>0</v>
      </c>
      <c r="R184" t="s">
        <v>41251</v>
      </c>
      <c r="S184" t="s">
        <v>41369</v>
      </c>
      <c r="T184" t="s">
        <v>42678</v>
      </c>
      <c r="U184" t="s">
        <v>43355</v>
      </c>
      <c r="W184" t="s">
        <v>37517</v>
      </c>
      <c r="X184" t="s">
        <v>41257</v>
      </c>
    </row>
    <row r="185" spans="1:24">
      <c r="A185">
        <f>HYPERLINK("https://www.philgeps.gov.ph/GEPSNONPILOT/Tender/SplashBidNoticeAbstractUI.aspx?menuIndex=3&amp;refID=7076121&amp;Result=3","7076121")</f>
        <v>0</v>
      </c>
      <c r="B185" t="s">
        <v>114</v>
      </c>
      <c r="C185" t="s">
        <v>3552</v>
      </c>
      <c r="D185" t="s">
        <v>16608</v>
      </c>
      <c r="E185" t="s">
        <v>16887</v>
      </c>
      <c r="F185" t="s">
        <v>28669</v>
      </c>
      <c r="G185" t="s">
        <v>28676</v>
      </c>
      <c r="H185" t="s">
        <v>9998</v>
      </c>
      <c r="I185" t="s">
        <v>28714</v>
      </c>
      <c r="J185" t="s">
        <v>28982</v>
      </c>
      <c r="K185" t="s">
        <v>37210</v>
      </c>
      <c r="M185" t="s">
        <v>37590</v>
      </c>
      <c r="N185" t="s">
        <v>41249</v>
      </c>
      <c r="O185" t="s">
        <v>41250</v>
      </c>
      <c r="P185">
        <v>0</v>
      </c>
      <c r="Q185">
        <v>2</v>
      </c>
      <c r="R185" t="s">
        <v>41251</v>
      </c>
      <c r="S185" t="s">
        <v>41369</v>
      </c>
      <c r="T185" t="s">
        <v>42725</v>
      </c>
      <c r="U185" t="s">
        <v>43356</v>
      </c>
      <c r="V185" t="s">
        <v>54282</v>
      </c>
      <c r="W185" t="s">
        <v>37590</v>
      </c>
      <c r="X185" t="s">
        <v>41252</v>
      </c>
    </row>
    <row r="186" spans="1:24">
      <c r="A186">
        <f>HYPERLINK("https://www.philgeps.gov.ph/GEPSNONPILOT/Tender/SplashBidNoticeAbstractUI.aspx?menuIndex=3&amp;refID=7070698&amp;Result=3","7070698")</f>
        <v>0</v>
      </c>
      <c r="B186" t="s">
        <v>115</v>
      </c>
      <c r="C186" t="s">
        <v>3553</v>
      </c>
      <c r="D186" t="s">
        <v>16654</v>
      </c>
      <c r="E186" t="s">
        <v>16888</v>
      </c>
      <c r="F186" t="s">
        <v>28669</v>
      </c>
      <c r="G186" t="s">
        <v>28676</v>
      </c>
      <c r="H186" t="s">
        <v>9998</v>
      </c>
      <c r="I186" t="s">
        <v>5213</v>
      </c>
      <c r="J186" t="s">
        <v>28983</v>
      </c>
      <c r="K186" t="s">
        <v>37240</v>
      </c>
      <c r="M186" t="s">
        <v>37591</v>
      </c>
      <c r="N186" t="s">
        <v>41249</v>
      </c>
      <c r="O186" t="s">
        <v>41250</v>
      </c>
      <c r="P186">
        <v>0</v>
      </c>
      <c r="Q186">
        <v>1</v>
      </c>
      <c r="R186" t="s">
        <v>41251</v>
      </c>
      <c r="S186" t="s">
        <v>41369</v>
      </c>
      <c r="T186" t="s">
        <v>42694</v>
      </c>
      <c r="U186" t="s">
        <v>43357</v>
      </c>
      <c r="W186" t="s">
        <v>37591</v>
      </c>
      <c r="X186" t="s">
        <v>41257</v>
      </c>
    </row>
    <row r="187" spans="1:24">
      <c r="A187">
        <f>HYPERLINK("https://www.philgeps.gov.ph/GEPSNONPILOT/Tender/SplashBidNoticeAbstractUI.aspx?menuIndex=3&amp;refID=7070489&amp;Result=3","7070489")</f>
        <v>0</v>
      </c>
      <c r="B187" t="s">
        <v>42</v>
      </c>
      <c r="C187" t="s">
        <v>3554</v>
      </c>
      <c r="D187" t="s">
        <v>16623</v>
      </c>
      <c r="E187" t="s">
        <v>16889</v>
      </c>
      <c r="F187" t="s">
        <v>28669</v>
      </c>
      <c r="G187" t="s">
        <v>28675</v>
      </c>
      <c r="H187" t="s">
        <v>9998</v>
      </c>
      <c r="I187" t="s">
        <v>5286</v>
      </c>
      <c r="J187" t="s">
        <v>28984</v>
      </c>
      <c r="K187" t="s">
        <v>37210</v>
      </c>
      <c r="M187" t="s">
        <v>37517</v>
      </c>
      <c r="N187" t="s">
        <v>41249</v>
      </c>
      <c r="O187" t="s">
        <v>41250</v>
      </c>
      <c r="P187">
        <v>0</v>
      </c>
      <c r="Q187">
        <v>3</v>
      </c>
      <c r="R187" t="s">
        <v>41251</v>
      </c>
      <c r="S187" t="s">
        <v>41369</v>
      </c>
      <c r="T187" t="s">
        <v>42678</v>
      </c>
      <c r="U187" t="s">
        <v>43358</v>
      </c>
      <c r="W187" t="s">
        <v>37517</v>
      </c>
      <c r="X187" t="s">
        <v>41257</v>
      </c>
    </row>
    <row r="188" spans="1:24">
      <c r="A188">
        <f>HYPERLINK("https://www.philgeps.gov.ph/GEPSNONPILOT/Tender/SplashBidNoticeAbstractUI.aspx?menuIndex=3&amp;refID=7076117&amp;Result=3","7076117")</f>
        <v>0</v>
      </c>
      <c r="B188" t="s">
        <v>116</v>
      </c>
      <c r="C188" t="s">
        <v>3555</v>
      </c>
      <c r="D188" t="s">
        <v>16618</v>
      </c>
      <c r="E188" t="s">
        <v>16890</v>
      </c>
      <c r="F188" t="s">
        <v>28669</v>
      </c>
      <c r="G188" t="s">
        <v>28675</v>
      </c>
      <c r="H188" t="s">
        <v>28686</v>
      </c>
      <c r="I188" t="s">
        <v>28689</v>
      </c>
      <c r="J188" t="s">
        <v>28985</v>
      </c>
      <c r="K188" t="s">
        <v>37220</v>
      </c>
      <c r="M188" t="s">
        <v>37592</v>
      </c>
      <c r="N188" t="s">
        <v>41249</v>
      </c>
      <c r="O188" t="s">
        <v>41250</v>
      </c>
      <c r="P188">
        <v>0</v>
      </c>
      <c r="Q188">
        <v>0</v>
      </c>
      <c r="R188" t="s">
        <v>41251</v>
      </c>
      <c r="S188" t="s">
        <v>41369</v>
      </c>
      <c r="T188" t="s">
        <v>42726</v>
      </c>
      <c r="U188" t="s">
        <v>43359</v>
      </c>
      <c r="W188" t="s">
        <v>37592</v>
      </c>
      <c r="X188" t="s">
        <v>41252</v>
      </c>
    </row>
    <row r="189" spans="1:24">
      <c r="A189">
        <f>HYPERLINK("https://www.philgeps.gov.ph/GEPSNONPILOT/Tender/SplashBidNoticeAbstractUI.aspx?menuIndex=3&amp;refID=7076116&amp;Result=3","7076116")</f>
        <v>0</v>
      </c>
      <c r="B189" t="s">
        <v>114</v>
      </c>
      <c r="C189" t="s">
        <v>3556</v>
      </c>
      <c r="D189" t="s">
        <v>16608</v>
      </c>
      <c r="E189" t="s">
        <v>16891</v>
      </c>
      <c r="F189" t="s">
        <v>28669</v>
      </c>
      <c r="G189" t="s">
        <v>28676</v>
      </c>
      <c r="H189" t="s">
        <v>9998</v>
      </c>
      <c r="I189" t="s">
        <v>3718</v>
      </c>
      <c r="J189" t="s">
        <v>28986</v>
      </c>
      <c r="K189" t="s">
        <v>37210</v>
      </c>
      <c r="M189" t="s">
        <v>37590</v>
      </c>
      <c r="N189" t="s">
        <v>41249</v>
      </c>
      <c r="O189" t="s">
        <v>41250</v>
      </c>
      <c r="P189">
        <v>0</v>
      </c>
      <c r="Q189">
        <v>9</v>
      </c>
      <c r="R189" t="s">
        <v>41251</v>
      </c>
      <c r="S189" t="s">
        <v>41369</v>
      </c>
      <c r="T189" t="s">
        <v>42725</v>
      </c>
      <c r="U189" t="s">
        <v>43360</v>
      </c>
      <c r="V189" t="s">
        <v>54282</v>
      </c>
      <c r="W189" t="s">
        <v>37590</v>
      </c>
      <c r="X189" t="s">
        <v>41252</v>
      </c>
    </row>
    <row r="190" spans="1:24">
      <c r="A190">
        <f>HYPERLINK("https://www.philgeps.gov.ph/GEPSNONPILOT/Tender/SplashBidNoticeAbstractUI.aspx?menuIndex=3&amp;refID=7071913&amp;Result=3","7071913")</f>
        <v>0</v>
      </c>
      <c r="B190" t="s">
        <v>59</v>
      </c>
      <c r="C190" t="s">
        <v>3438</v>
      </c>
      <c r="D190" t="s">
        <v>16639</v>
      </c>
      <c r="E190" t="s">
        <v>16892</v>
      </c>
      <c r="F190" t="s">
        <v>28669</v>
      </c>
      <c r="G190" t="s">
        <v>28676</v>
      </c>
      <c r="H190" t="s">
        <v>9998</v>
      </c>
      <c r="I190" t="s">
        <v>28698</v>
      </c>
      <c r="J190" t="s">
        <v>28884</v>
      </c>
      <c r="K190" t="s">
        <v>37209</v>
      </c>
      <c r="M190" t="s">
        <v>37534</v>
      </c>
      <c r="N190" t="s">
        <v>41249</v>
      </c>
      <c r="O190" t="s">
        <v>41250</v>
      </c>
      <c r="P190">
        <v>0</v>
      </c>
      <c r="Q190">
        <v>0</v>
      </c>
      <c r="R190" t="s">
        <v>41251</v>
      </c>
      <c r="S190" t="s">
        <v>41369</v>
      </c>
      <c r="T190" t="s">
        <v>42694</v>
      </c>
      <c r="U190" t="s">
        <v>43246</v>
      </c>
      <c r="W190" t="s">
        <v>37534</v>
      </c>
      <c r="X190" t="s">
        <v>41257</v>
      </c>
    </row>
    <row r="191" spans="1:24">
      <c r="A191">
        <f>HYPERLINK("https://www.philgeps.gov.ph/GEPSNONPILOT/Tender/SplashBidNoticeAbstractUI.aspx?menuIndex=3&amp;refID=7076114&amp;Result=3","7076114")</f>
        <v>0</v>
      </c>
      <c r="B191" t="s">
        <v>114</v>
      </c>
      <c r="C191" t="s">
        <v>3557</v>
      </c>
      <c r="D191" t="s">
        <v>16608</v>
      </c>
      <c r="E191" t="s">
        <v>16893</v>
      </c>
      <c r="F191" t="s">
        <v>28669</v>
      </c>
      <c r="G191" t="s">
        <v>28676</v>
      </c>
      <c r="H191" t="s">
        <v>9998</v>
      </c>
      <c r="I191" t="s">
        <v>28715</v>
      </c>
      <c r="J191" t="s">
        <v>28987</v>
      </c>
      <c r="K191" t="s">
        <v>37210</v>
      </c>
      <c r="M191" t="s">
        <v>37590</v>
      </c>
      <c r="N191" t="s">
        <v>41249</v>
      </c>
      <c r="O191" t="s">
        <v>41250</v>
      </c>
      <c r="P191">
        <v>0</v>
      </c>
      <c r="Q191">
        <v>2</v>
      </c>
      <c r="R191" t="s">
        <v>41251</v>
      </c>
      <c r="S191" t="s">
        <v>41369</v>
      </c>
      <c r="T191" t="s">
        <v>42725</v>
      </c>
      <c r="U191" t="s">
        <v>43361</v>
      </c>
      <c r="V191" t="s">
        <v>54282</v>
      </c>
      <c r="W191" t="s">
        <v>37590</v>
      </c>
      <c r="X191" t="s">
        <v>41252</v>
      </c>
    </row>
    <row r="192" spans="1:24">
      <c r="A192">
        <f>HYPERLINK("https://www.philgeps.gov.ph/GEPSNONPILOT/Tender/SplashBidNoticeAbstractUI.aspx?menuIndex=3&amp;refID=7076122&amp;Result=3","7076122")</f>
        <v>0</v>
      </c>
      <c r="B192" t="s">
        <v>114</v>
      </c>
      <c r="C192" t="s">
        <v>3558</v>
      </c>
      <c r="D192" t="s">
        <v>16608</v>
      </c>
      <c r="E192" t="s">
        <v>16894</v>
      </c>
      <c r="F192" t="s">
        <v>28669</v>
      </c>
      <c r="G192" t="s">
        <v>28676</v>
      </c>
      <c r="H192" t="s">
        <v>9998</v>
      </c>
      <c r="I192" t="s">
        <v>28716</v>
      </c>
      <c r="J192" t="s">
        <v>28988</v>
      </c>
      <c r="K192" t="s">
        <v>37210</v>
      </c>
      <c r="M192" t="s">
        <v>37590</v>
      </c>
      <c r="N192" t="s">
        <v>41249</v>
      </c>
      <c r="O192" t="s">
        <v>41250</v>
      </c>
      <c r="P192">
        <v>0</v>
      </c>
      <c r="Q192">
        <v>2</v>
      </c>
      <c r="R192" t="s">
        <v>41251</v>
      </c>
      <c r="S192" t="s">
        <v>41369</v>
      </c>
      <c r="T192" t="s">
        <v>42725</v>
      </c>
      <c r="U192" t="s">
        <v>43362</v>
      </c>
      <c r="V192" t="s">
        <v>54282</v>
      </c>
      <c r="W192" t="s">
        <v>37590</v>
      </c>
      <c r="X192" t="s">
        <v>41252</v>
      </c>
    </row>
    <row r="193" spans="1:24">
      <c r="A193">
        <f>HYPERLINK("https://www.philgeps.gov.ph/GEPSNONPILOT/Tender/SplashBidNoticeAbstractUI.aspx?menuIndex=3&amp;refID=7076120&amp;Result=3","7076120")</f>
        <v>0</v>
      </c>
      <c r="B193" t="s">
        <v>117</v>
      </c>
      <c r="C193" t="s">
        <v>3559</v>
      </c>
      <c r="D193" t="s">
        <v>16618</v>
      </c>
      <c r="E193" t="s">
        <v>16895</v>
      </c>
      <c r="F193" t="s">
        <v>28669</v>
      </c>
      <c r="G193" t="s">
        <v>28675</v>
      </c>
      <c r="H193" t="s">
        <v>28684</v>
      </c>
      <c r="I193" t="s">
        <v>3679</v>
      </c>
      <c r="J193" t="s">
        <v>28912</v>
      </c>
      <c r="K193" t="s">
        <v>37205</v>
      </c>
      <c r="M193" t="s">
        <v>37593</v>
      </c>
      <c r="N193" t="s">
        <v>41249</v>
      </c>
      <c r="O193" t="s">
        <v>41250</v>
      </c>
      <c r="P193">
        <v>0</v>
      </c>
      <c r="Q193">
        <v>0</v>
      </c>
      <c r="R193" t="s">
        <v>41251</v>
      </c>
      <c r="S193" t="s">
        <v>41369</v>
      </c>
      <c r="T193" t="s">
        <v>42682</v>
      </c>
      <c r="U193" t="s">
        <v>43363</v>
      </c>
      <c r="W193" t="s">
        <v>37593</v>
      </c>
      <c r="X193" t="s">
        <v>41252</v>
      </c>
    </row>
    <row r="194" spans="1:24">
      <c r="A194">
        <f>HYPERLINK("https://www.philgeps.gov.ph/GEPSNONPILOT/Tender/SplashBidNoticeAbstractUI.aspx?menuIndex=3&amp;refID=7076112&amp;Result=3","7076112")</f>
        <v>0</v>
      </c>
      <c r="B194" t="s">
        <v>114</v>
      </c>
      <c r="C194" t="s">
        <v>3560</v>
      </c>
      <c r="D194" t="s">
        <v>16608</v>
      </c>
      <c r="E194" t="s">
        <v>16896</v>
      </c>
      <c r="F194" t="s">
        <v>28669</v>
      </c>
      <c r="G194" t="s">
        <v>28676</v>
      </c>
      <c r="H194" t="s">
        <v>9998</v>
      </c>
      <c r="I194" t="s">
        <v>28717</v>
      </c>
      <c r="J194" t="s">
        <v>28989</v>
      </c>
      <c r="K194" t="s">
        <v>37210</v>
      </c>
      <c r="M194" t="s">
        <v>37590</v>
      </c>
      <c r="N194" t="s">
        <v>41249</v>
      </c>
      <c r="O194" t="s">
        <v>41250</v>
      </c>
      <c r="P194">
        <v>0</v>
      </c>
      <c r="Q194">
        <v>12</v>
      </c>
      <c r="R194" t="s">
        <v>41251</v>
      </c>
      <c r="S194" t="s">
        <v>41369</v>
      </c>
      <c r="T194" t="s">
        <v>42725</v>
      </c>
      <c r="U194" t="s">
        <v>43364</v>
      </c>
      <c r="V194" t="s">
        <v>54282</v>
      </c>
      <c r="W194" t="s">
        <v>37590</v>
      </c>
      <c r="X194" t="s">
        <v>41252</v>
      </c>
    </row>
    <row r="195" spans="1:24">
      <c r="A195">
        <f>HYPERLINK("https://www.philgeps.gov.ph/GEPSNONPILOT/Tender/SplashBidNoticeAbstractUI.aspx?menuIndex=3&amp;refID=7076110&amp;Result=3","7076110")</f>
        <v>0</v>
      </c>
      <c r="B195" t="s">
        <v>118</v>
      </c>
      <c r="C195" t="s">
        <v>3561</v>
      </c>
      <c r="D195" t="s">
        <v>16611</v>
      </c>
      <c r="E195" t="s">
        <v>16897</v>
      </c>
      <c r="F195" t="s">
        <v>28669</v>
      </c>
      <c r="G195" t="s">
        <v>28677</v>
      </c>
      <c r="H195" t="s">
        <v>9998</v>
      </c>
      <c r="I195" t="s">
        <v>28688</v>
      </c>
      <c r="J195" t="s">
        <v>28990</v>
      </c>
      <c r="K195" t="s">
        <v>37209</v>
      </c>
      <c r="M195" t="s">
        <v>37594</v>
      </c>
      <c r="N195" t="s">
        <v>41249</v>
      </c>
      <c r="O195" t="s">
        <v>41250</v>
      </c>
      <c r="P195">
        <v>0</v>
      </c>
      <c r="Q195">
        <v>0</v>
      </c>
      <c r="R195" t="s">
        <v>41251</v>
      </c>
      <c r="S195" t="s">
        <v>41369</v>
      </c>
      <c r="T195" t="s">
        <v>42727</v>
      </c>
      <c r="U195" t="s">
        <v>43365</v>
      </c>
      <c r="W195" t="s">
        <v>37594</v>
      </c>
      <c r="X195" t="s">
        <v>41252</v>
      </c>
    </row>
    <row r="196" spans="1:24">
      <c r="A196">
        <f>HYPERLINK("https://www.philgeps.gov.ph/GEPSNONPILOT/Tender/SplashBidNoticeAbstractUI.aspx?menuIndex=3&amp;refID=7076108&amp;Result=3","7076108")</f>
        <v>0</v>
      </c>
      <c r="B196" t="s">
        <v>118</v>
      </c>
      <c r="C196" t="s">
        <v>3562</v>
      </c>
      <c r="D196" t="s">
        <v>16611</v>
      </c>
      <c r="E196" t="s">
        <v>16898</v>
      </c>
      <c r="F196" t="s">
        <v>28669</v>
      </c>
      <c r="G196" t="s">
        <v>28677</v>
      </c>
      <c r="H196" t="s">
        <v>9998</v>
      </c>
      <c r="I196" t="s">
        <v>28688</v>
      </c>
      <c r="J196" t="s">
        <v>28991</v>
      </c>
      <c r="K196" t="s">
        <v>37209</v>
      </c>
      <c r="M196" t="s">
        <v>37594</v>
      </c>
      <c r="N196" t="s">
        <v>41249</v>
      </c>
      <c r="O196" t="s">
        <v>41250</v>
      </c>
      <c r="P196">
        <v>0</v>
      </c>
      <c r="Q196">
        <v>0</v>
      </c>
      <c r="R196" t="s">
        <v>41251</v>
      </c>
      <c r="S196" t="s">
        <v>41369</v>
      </c>
      <c r="T196" t="s">
        <v>42728</v>
      </c>
      <c r="U196" t="s">
        <v>43366</v>
      </c>
      <c r="W196" t="s">
        <v>37594</v>
      </c>
      <c r="X196" t="s">
        <v>41252</v>
      </c>
    </row>
    <row r="197" spans="1:24">
      <c r="A197">
        <f>HYPERLINK("https://www.philgeps.gov.ph/GEPSNONPILOT/Tender/SplashBidNoticeAbstractUI.aspx?menuIndex=3&amp;refID=7076115&amp;Result=3","7076115")</f>
        <v>0</v>
      </c>
      <c r="B197" t="s">
        <v>119</v>
      </c>
      <c r="C197" t="s">
        <v>3559</v>
      </c>
      <c r="D197" t="s">
        <v>16618</v>
      </c>
      <c r="E197" t="s">
        <v>16895</v>
      </c>
      <c r="F197" t="s">
        <v>28669</v>
      </c>
      <c r="G197" t="s">
        <v>28675</v>
      </c>
      <c r="H197" t="s">
        <v>28684</v>
      </c>
      <c r="I197" t="s">
        <v>3679</v>
      </c>
      <c r="J197" t="s">
        <v>28826</v>
      </c>
      <c r="K197" t="s">
        <v>37205</v>
      </c>
      <c r="M197" t="s">
        <v>37595</v>
      </c>
      <c r="N197" t="s">
        <v>41249</v>
      </c>
      <c r="O197" t="s">
        <v>41250</v>
      </c>
      <c r="P197">
        <v>0</v>
      </c>
      <c r="Q197">
        <v>0</v>
      </c>
      <c r="R197" t="s">
        <v>41251</v>
      </c>
      <c r="S197" t="s">
        <v>41369</v>
      </c>
      <c r="T197" t="s">
        <v>42682</v>
      </c>
      <c r="U197" t="s">
        <v>43363</v>
      </c>
      <c r="W197" t="s">
        <v>37595</v>
      </c>
      <c r="X197" t="s">
        <v>41252</v>
      </c>
    </row>
    <row r="198" spans="1:24">
      <c r="A198">
        <f>HYPERLINK("https://www.philgeps.gov.ph/GEPSNONPILOT/Tender/SplashBidNoticeAbstractUI.aspx?menuIndex=3&amp;refID=7076151&amp;Result=3","7076151")</f>
        <v>0</v>
      </c>
      <c r="B198" t="s">
        <v>120</v>
      </c>
      <c r="C198" t="s">
        <v>3563</v>
      </c>
      <c r="D198" t="s">
        <v>16640</v>
      </c>
      <c r="E198" t="s">
        <v>16899</v>
      </c>
      <c r="F198" t="s">
        <v>28669</v>
      </c>
      <c r="G198" t="s">
        <v>28677</v>
      </c>
      <c r="H198" t="s">
        <v>9998</v>
      </c>
      <c r="I198" t="s">
        <v>28718</v>
      </c>
      <c r="J198" t="s">
        <v>28992</v>
      </c>
      <c r="K198" t="s">
        <v>37206</v>
      </c>
      <c r="M198" t="s">
        <v>37596</v>
      </c>
      <c r="N198" t="s">
        <v>41249</v>
      </c>
      <c r="O198" t="s">
        <v>41250</v>
      </c>
      <c r="P198">
        <v>0</v>
      </c>
      <c r="Q198">
        <v>2</v>
      </c>
      <c r="R198" t="s">
        <v>41251</v>
      </c>
      <c r="S198" t="s">
        <v>41369</v>
      </c>
      <c r="T198" t="s">
        <v>42729</v>
      </c>
      <c r="U198" t="s">
        <v>43367</v>
      </c>
      <c r="W198" t="s">
        <v>37596</v>
      </c>
      <c r="X198" t="s">
        <v>41252</v>
      </c>
    </row>
    <row r="199" spans="1:24">
      <c r="A199">
        <f>HYPERLINK("https://www.philgeps.gov.ph/GEPSNONPILOT/Tender/SplashBidNoticeAbstractUI.aspx?menuIndex=3&amp;refID=7076150&amp;Result=3","7076150")</f>
        <v>0</v>
      </c>
      <c r="B199" t="s">
        <v>121</v>
      </c>
      <c r="C199" t="s">
        <v>3564</v>
      </c>
      <c r="D199" t="s">
        <v>16608</v>
      </c>
      <c r="E199" t="s">
        <v>16900</v>
      </c>
      <c r="F199" t="s">
        <v>28669</v>
      </c>
      <c r="G199" t="s">
        <v>28676</v>
      </c>
      <c r="H199" t="s">
        <v>9998</v>
      </c>
      <c r="I199" t="s">
        <v>28719</v>
      </c>
      <c r="J199" t="s">
        <v>28993</v>
      </c>
      <c r="K199" t="s">
        <v>37204</v>
      </c>
      <c r="M199" t="s">
        <v>37597</v>
      </c>
      <c r="N199" t="s">
        <v>41249</v>
      </c>
      <c r="O199" t="s">
        <v>41250</v>
      </c>
      <c r="P199">
        <v>0</v>
      </c>
      <c r="Q199">
        <v>2</v>
      </c>
      <c r="R199" t="s">
        <v>41251</v>
      </c>
      <c r="S199" t="s">
        <v>41369</v>
      </c>
      <c r="T199" t="s">
        <v>42694</v>
      </c>
      <c r="U199" t="s">
        <v>43368</v>
      </c>
      <c r="W199" t="s">
        <v>37597</v>
      </c>
      <c r="X199" t="s">
        <v>41252</v>
      </c>
    </row>
    <row r="200" spans="1:24">
      <c r="A200">
        <f>HYPERLINK("https://www.philgeps.gov.ph/GEPSNONPILOT/Tender/SplashBidNoticeAbstractUI.aspx?menuIndex=3&amp;refID=7076147&amp;Result=3","7076147")</f>
        <v>0</v>
      </c>
      <c r="B200" t="s">
        <v>122</v>
      </c>
      <c r="C200" t="s">
        <v>3565</v>
      </c>
      <c r="D200" t="s">
        <v>16659</v>
      </c>
      <c r="E200" t="s">
        <v>16901</v>
      </c>
      <c r="F200" t="s">
        <v>28669</v>
      </c>
      <c r="G200" t="s">
        <v>28678</v>
      </c>
      <c r="H200" t="s">
        <v>9998</v>
      </c>
      <c r="I200" t="s">
        <v>28693</v>
      </c>
      <c r="J200" t="s">
        <v>28994</v>
      </c>
      <c r="K200" t="s">
        <v>37206</v>
      </c>
      <c r="M200" t="s">
        <v>37598</v>
      </c>
      <c r="N200" t="s">
        <v>41249</v>
      </c>
      <c r="O200" t="s">
        <v>41250</v>
      </c>
      <c r="P200">
        <v>0</v>
      </c>
      <c r="Q200">
        <v>2</v>
      </c>
      <c r="R200" t="s">
        <v>41251</v>
      </c>
      <c r="S200" t="s">
        <v>41369</v>
      </c>
      <c r="T200" t="s">
        <v>42673</v>
      </c>
      <c r="U200" t="s">
        <v>43369</v>
      </c>
      <c r="W200" t="s">
        <v>37598</v>
      </c>
      <c r="X200" t="s">
        <v>41252</v>
      </c>
    </row>
    <row r="201" spans="1:24">
      <c r="A201">
        <f>HYPERLINK("https://www.philgeps.gov.ph/GEPSNONPILOT/Tender/SplashBidNoticeAbstractUI.aspx?menuIndex=3&amp;refID=7076118&amp;Result=3","7076118")</f>
        <v>0</v>
      </c>
      <c r="B201" t="s">
        <v>116</v>
      </c>
      <c r="C201" t="s">
        <v>3566</v>
      </c>
      <c r="D201" t="s">
        <v>16618</v>
      </c>
      <c r="E201" t="s">
        <v>16902</v>
      </c>
      <c r="F201" t="s">
        <v>28669</v>
      </c>
      <c r="G201" t="s">
        <v>28675</v>
      </c>
      <c r="H201" t="s">
        <v>28686</v>
      </c>
      <c r="I201" t="s">
        <v>28689</v>
      </c>
      <c r="J201" t="s">
        <v>28889</v>
      </c>
      <c r="K201" t="s">
        <v>37220</v>
      </c>
      <c r="M201" t="s">
        <v>37592</v>
      </c>
      <c r="N201" t="s">
        <v>41249</v>
      </c>
      <c r="O201" t="s">
        <v>41250</v>
      </c>
      <c r="P201">
        <v>0</v>
      </c>
      <c r="Q201">
        <v>0</v>
      </c>
      <c r="R201" t="s">
        <v>41251</v>
      </c>
      <c r="S201" t="s">
        <v>41369</v>
      </c>
      <c r="T201" t="s">
        <v>42726</v>
      </c>
      <c r="U201" t="s">
        <v>43359</v>
      </c>
      <c r="W201" t="s">
        <v>37592</v>
      </c>
      <c r="X201" t="s">
        <v>41252</v>
      </c>
    </row>
    <row r="202" spans="1:24">
      <c r="A202">
        <f>HYPERLINK("https://www.philgeps.gov.ph/GEPSNONPILOT/Tender/SplashBidNoticeAbstractUI.aspx?menuIndex=3&amp;refID=7076087&amp;Result=3","7076087")</f>
        <v>0</v>
      </c>
      <c r="B202" t="s">
        <v>102</v>
      </c>
      <c r="C202" t="s">
        <v>3567</v>
      </c>
      <c r="D202" t="s">
        <v>16631</v>
      </c>
      <c r="E202" t="s">
        <v>16903</v>
      </c>
      <c r="F202" t="s">
        <v>28669</v>
      </c>
      <c r="G202" t="s">
        <v>28676</v>
      </c>
      <c r="H202" t="s">
        <v>9998</v>
      </c>
      <c r="I202" t="s">
        <v>28704</v>
      </c>
      <c r="J202" t="s">
        <v>28995</v>
      </c>
      <c r="K202" t="s">
        <v>37206</v>
      </c>
      <c r="M202" t="s">
        <v>37577</v>
      </c>
      <c r="N202" t="s">
        <v>41249</v>
      </c>
      <c r="O202" t="s">
        <v>41250</v>
      </c>
      <c r="P202">
        <v>0</v>
      </c>
      <c r="Q202">
        <v>1</v>
      </c>
      <c r="R202" t="s">
        <v>41251</v>
      </c>
      <c r="S202" t="s">
        <v>41369</v>
      </c>
      <c r="T202" t="s">
        <v>42679</v>
      </c>
      <c r="U202" t="s">
        <v>43370</v>
      </c>
      <c r="V202" t="s">
        <v>54279</v>
      </c>
      <c r="W202" t="s">
        <v>37577</v>
      </c>
      <c r="X202" t="s">
        <v>41252</v>
      </c>
    </row>
    <row r="203" spans="1:24">
      <c r="A203">
        <f>HYPERLINK("https://www.philgeps.gov.ph/GEPSNONPILOT/Tender/SplashBidNoticeAbstractUI.aspx?menuIndex=3&amp;refID=7076152&amp;Result=3","7076152")</f>
        <v>0</v>
      </c>
      <c r="B203" t="s">
        <v>123</v>
      </c>
      <c r="C203" t="s">
        <v>3568</v>
      </c>
      <c r="D203" t="s">
        <v>16608</v>
      </c>
      <c r="E203" t="s">
        <v>16904</v>
      </c>
      <c r="F203" t="s">
        <v>28669</v>
      </c>
      <c r="G203" t="s">
        <v>28676</v>
      </c>
      <c r="H203" t="s">
        <v>9998</v>
      </c>
      <c r="I203" t="s">
        <v>28690</v>
      </c>
      <c r="J203" t="s">
        <v>28996</v>
      </c>
      <c r="K203" t="s">
        <v>37206</v>
      </c>
      <c r="M203" t="s">
        <v>37599</v>
      </c>
      <c r="N203" t="s">
        <v>41249</v>
      </c>
      <c r="O203" t="s">
        <v>41250</v>
      </c>
      <c r="P203">
        <v>0</v>
      </c>
      <c r="Q203">
        <v>2</v>
      </c>
      <c r="R203" t="s">
        <v>41251</v>
      </c>
      <c r="S203" t="s">
        <v>41369</v>
      </c>
      <c r="T203" t="s">
        <v>42694</v>
      </c>
      <c r="U203" t="s">
        <v>43371</v>
      </c>
      <c r="W203" t="s">
        <v>37599</v>
      </c>
      <c r="X203" t="s">
        <v>41252</v>
      </c>
    </row>
    <row r="204" spans="1:24">
      <c r="A204">
        <f>HYPERLINK("https://www.philgeps.gov.ph/GEPSNONPILOT/Tender/SplashBidNoticeAbstractUI.aspx?menuIndex=3&amp;refID=7076145&amp;Result=3","7076145")</f>
        <v>0</v>
      </c>
      <c r="B204" t="s">
        <v>124</v>
      </c>
      <c r="C204" t="s">
        <v>3569</v>
      </c>
      <c r="D204" t="s">
        <v>16633</v>
      </c>
      <c r="E204" t="s">
        <v>16905</v>
      </c>
      <c r="F204" t="s">
        <v>28669</v>
      </c>
      <c r="G204" t="s">
        <v>28676</v>
      </c>
      <c r="H204" t="s">
        <v>9998</v>
      </c>
      <c r="I204" t="s">
        <v>3679</v>
      </c>
      <c r="J204" t="s">
        <v>28997</v>
      </c>
      <c r="K204" t="s">
        <v>37206</v>
      </c>
      <c r="M204" t="s">
        <v>37600</v>
      </c>
      <c r="N204" t="s">
        <v>41249</v>
      </c>
      <c r="O204" t="s">
        <v>41250</v>
      </c>
      <c r="P204">
        <v>0</v>
      </c>
      <c r="Q204">
        <v>0</v>
      </c>
      <c r="R204" t="s">
        <v>41251</v>
      </c>
      <c r="S204" t="s">
        <v>41369</v>
      </c>
      <c r="T204" t="s">
        <v>42730</v>
      </c>
      <c r="U204" t="s">
        <v>43372</v>
      </c>
      <c r="W204" t="s">
        <v>37600</v>
      </c>
      <c r="X204" t="s">
        <v>41252</v>
      </c>
    </row>
    <row r="205" spans="1:24">
      <c r="A205">
        <f>HYPERLINK("https://www.philgeps.gov.ph/GEPSNONPILOT/Tender/SplashBidNoticeAbstractUI.aspx?menuIndex=3&amp;refID=7075958&amp;Result=3","7075958")</f>
        <v>0</v>
      </c>
      <c r="B205" t="s">
        <v>125</v>
      </c>
      <c r="C205" t="s">
        <v>3570</v>
      </c>
      <c r="D205" t="s">
        <v>16660</v>
      </c>
      <c r="E205" t="s">
        <v>16906</v>
      </c>
      <c r="F205" t="s">
        <v>28669</v>
      </c>
      <c r="G205" t="s">
        <v>28678</v>
      </c>
      <c r="H205" t="s">
        <v>9998</v>
      </c>
      <c r="I205" t="s">
        <v>28688</v>
      </c>
      <c r="J205" t="s">
        <v>28998</v>
      </c>
      <c r="K205" t="s">
        <v>37210</v>
      </c>
      <c r="M205" t="s">
        <v>37601</v>
      </c>
      <c r="N205" t="s">
        <v>41249</v>
      </c>
      <c r="O205" t="s">
        <v>41250</v>
      </c>
      <c r="P205">
        <v>0</v>
      </c>
      <c r="Q205">
        <v>1</v>
      </c>
      <c r="R205" t="s">
        <v>41251</v>
      </c>
      <c r="S205" t="s">
        <v>41369</v>
      </c>
      <c r="T205" t="s">
        <v>42711</v>
      </c>
      <c r="U205" t="s">
        <v>43373</v>
      </c>
      <c r="W205" t="s">
        <v>37601</v>
      </c>
      <c r="X205" t="s">
        <v>41254</v>
      </c>
    </row>
    <row r="206" spans="1:24">
      <c r="A206">
        <f>HYPERLINK("https://www.philgeps.gov.ph/GEPSNONPILOT/Tender/SplashBidNoticeAbstractUI.aspx?menuIndex=3&amp;refID=7076144&amp;Result=3","7076144")</f>
        <v>0</v>
      </c>
      <c r="B206" t="s">
        <v>123</v>
      </c>
      <c r="C206" t="s">
        <v>3571</v>
      </c>
      <c r="D206" t="s">
        <v>16608</v>
      </c>
      <c r="E206" t="s">
        <v>16758</v>
      </c>
      <c r="F206" t="s">
        <v>28669</v>
      </c>
      <c r="G206" t="s">
        <v>28676</v>
      </c>
      <c r="H206" t="s">
        <v>9998</v>
      </c>
      <c r="I206" t="s">
        <v>11593</v>
      </c>
      <c r="J206" t="s">
        <v>28999</v>
      </c>
      <c r="K206" t="s">
        <v>37206</v>
      </c>
      <c r="M206" t="s">
        <v>37599</v>
      </c>
      <c r="N206" t="s">
        <v>41249</v>
      </c>
      <c r="O206" t="s">
        <v>41250</v>
      </c>
      <c r="P206">
        <v>0</v>
      </c>
      <c r="Q206">
        <v>16</v>
      </c>
      <c r="R206" t="s">
        <v>41251</v>
      </c>
      <c r="S206" t="s">
        <v>41369</v>
      </c>
      <c r="T206" t="s">
        <v>42675</v>
      </c>
      <c r="U206" t="s">
        <v>43374</v>
      </c>
      <c r="W206" t="s">
        <v>37599</v>
      </c>
      <c r="X206" t="s">
        <v>41252</v>
      </c>
    </row>
    <row r="207" spans="1:24">
      <c r="A207">
        <f>HYPERLINK("https://www.philgeps.gov.ph/GEPSNONPILOT/Tender/SplashBidNoticeAbstractUI.aspx?menuIndex=3&amp;refID=7076143&amp;Result=3","7076143")</f>
        <v>0</v>
      </c>
      <c r="B207" t="s">
        <v>120</v>
      </c>
      <c r="C207" t="s">
        <v>3572</v>
      </c>
      <c r="D207" t="s">
        <v>16640</v>
      </c>
      <c r="E207" t="s">
        <v>16907</v>
      </c>
      <c r="F207" t="s">
        <v>28669</v>
      </c>
      <c r="G207" t="s">
        <v>28675</v>
      </c>
      <c r="H207" t="s">
        <v>9998</v>
      </c>
      <c r="I207" t="s">
        <v>28687</v>
      </c>
      <c r="J207" t="s">
        <v>29000</v>
      </c>
      <c r="K207" t="s">
        <v>37204</v>
      </c>
      <c r="M207" t="s">
        <v>37596</v>
      </c>
      <c r="N207" t="s">
        <v>41249</v>
      </c>
      <c r="O207" t="s">
        <v>41250</v>
      </c>
      <c r="Q207">
        <v>3</v>
      </c>
      <c r="R207" t="s">
        <v>41251</v>
      </c>
      <c r="S207" t="s">
        <v>41371</v>
      </c>
      <c r="T207" t="s">
        <v>42731</v>
      </c>
      <c r="U207" t="s">
        <v>43375</v>
      </c>
      <c r="W207" t="s">
        <v>37596</v>
      </c>
      <c r="X207" t="s">
        <v>41252</v>
      </c>
    </row>
    <row r="208" spans="1:24">
      <c r="A208">
        <f>HYPERLINK("https://www.philgeps.gov.ph/GEPSNONPILOT/Tender/SplashBidNoticeAbstractUI.aspx?menuIndex=3&amp;refID=7076140&amp;Result=3","7076140")</f>
        <v>0</v>
      </c>
      <c r="B208" t="s">
        <v>126</v>
      </c>
      <c r="C208" t="s">
        <v>3573</v>
      </c>
      <c r="D208" t="s">
        <v>16608</v>
      </c>
      <c r="E208" t="s">
        <v>16908</v>
      </c>
      <c r="F208" t="s">
        <v>28669</v>
      </c>
      <c r="G208" t="s">
        <v>28676</v>
      </c>
      <c r="H208" t="s">
        <v>9998</v>
      </c>
      <c r="I208" t="s">
        <v>28717</v>
      </c>
      <c r="J208" t="s">
        <v>29001</v>
      </c>
      <c r="K208" t="s">
        <v>37209</v>
      </c>
      <c r="M208" t="s">
        <v>37602</v>
      </c>
      <c r="N208" t="s">
        <v>41249</v>
      </c>
      <c r="O208" t="s">
        <v>41250</v>
      </c>
      <c r="P208">
        <v>0</v>
      </c>
      <c r="Q208">
        <v>8</v>
      </c>
      <c r="R208" t="s">
        <v>41251</v>
      </c>
      <c r="S208" t="s">
        <v>41369</v>
      </c>
      <c r="T208" t="s">
        <v>42675</v>
      </c>
      <c r="U208" t="s">
        <v>43376</v>
      </c>
      <c r="W208" t="s">
        <v>37602</v>
      </c>
      <c r="X208" t="s">
        <v>41252</v>
      </c>
    </row>
    <row r="209" spans="1:24">
      <c r="A209">
        <f>HYPERLINK("https://www.philgeps.gov.ph/GEPSNONPILOT/Tender/SplashBidNoticeAbstractUI.aspx?menuIndex=3&amp;refID=7076139&amp;Result=3","7076139")</f>
        <v>0</v>
      </c>
      <c r="B209" t="s">
        <v>127</v>
      </c>
      <c r="C209" t="s">
        <v>3574</v>
      </c>
      <c r="D209" t="s">
        <v>16618</v>
      </c>
      <c r="E209" t="s">
        <v>16909</v>
      </c>
      <c r="F209" t="s">
        <v>28669</v>
      </c>
      <c r="G209" t="s">
        <v>28675</v>
      </c>
      <c r="H209" t="s">
        <v>28686</v>
      </c>
      <c r="I209" t="s">
        <v>28689</v>
      </c>
      <c r="J209" t="s">
        <v>29002</v>
      </c>
      <c r="K209" t="s">
        <v>37214</v>
      </c>
      <c r="M209" t="s">
        <v>37603</v>
      </c>
      <c r="N209" t="s">
        <v>41249</v>
      </c>
      <c r="O209" t="s">
        <v>41250</v>
      </c>
      <c r="P209">
        <v>0</v>
      </c>
      <c r="Q209">
        <v>1</v>
      </c>
      <c r="R209" t="s">
        <v>41251</v>
      </c>
      <c r="S209" t="s">
        <v>41369</v>
      </c>
      <c r="T209" t="s">
        <v>42702</v>
      </c>
      <c r="U209" t="s">
        <v>43377</v>
      </c>
      <c r="V209" t="s">
        <v>54283</v>
      </c>
      <c r="W209" t="s">
        <v>37603</v>
      </c>
      <c r="X209" t="s">
        <v>41252</v>
      </c>
    </row>
    <row r="210" spans="1:24">
      <c r="A210">
        <f>HYPERLINK("https://www.philgeps.gov.ph/GEPSNONPILOT/Tender/SplashBidNoticeAbstractUI.aspx?menuIndex=3&amp;refID=7076138&amp;Result=3","7076138")</f>
        <v>0</v>
      </c>
      <c r="B210" t="s">
        <v>128</v>
      </c>
      <c r="C210" t="s">
        <v>3575</v>
      </c>
      <c r="D210" t="s">
        <v>16642</v>
      </c>
      <c r="E210" t="s">
        <v>16910</v>
      </c>
      <c r="F210" t="s">
        <v>28669</v>
      </c>
      <c r="G210" t="s">
        <v>28675</v>
      </c>
      <c r="H210" t="s">
        <v>28686</v>
      </c>
      <c r="I210" t="s">
        <v>28689</v>
      </c>
      <c r="J210" t="s">
        <v>29003</v>
      </c>
      <c r="K210" t="s">
        <v>37241</v>
      </c>
      <c r="M210" t="s">
        <v>37604</v>
      </c>
      <c r="N210" t="s">
        <v>41249</v>
      </c>
      <c r="O210" t="s">
        <v>41250</v>
      </c>
      <c r="P210">
        <v>0</v>
      </c>
      <c r="Q210">
        <v>0</v>
      </c>
      <c r="R210" t="s">
        <v>41251</v>
      </c>
      <c r="S210" t="s">
        <v>41369</v>
      </c>
      <c r="T210" t="s">
        <v>42690</v>
      </c>
      <c r="U210" t="s">
        <v>43378</v>
      </c>
      <c r="W210" t="s">
        <v>37604</v>
      </c>
      <c r="X210" t="s">
        <v>41252</v>
      </c>
    </row>
    <row r="211" spans="1:24">
      <c r="A211">
        <f>HYPERLINK("https://www.philgeps.gov.ph/GEPSNONPILOT/Tender/SplashBidNoticeAbstractUI.aspx?menuIndex=3&amp;refID=7076137&amp;Result=3","7076137")</f>
        <v>0</v>
      </c>
      <c r="B211" t="s">
        <v>126</v>
      </c>
      <c r="C211" t="s">
        <v>3576</v>
      </c>
      <c r="D211" t="s">
        <v>16608</v>
      </c>
      <c r="E211" t="s">
        <v>16911</v>
      </c>
      <c r="F211" t="s">
        <v>28669</v>
      </c>
      <c r="G211" t="s">
        <v>28676</v>
      </c>
      <c r="H211" t="s">
        <v>9998</v>
      </c>
      <c r="I211" t="s">
        <v>28720</v>
      </c>
      <c r="J211" t="s">
        <v>29004</v>
      </c>
      <c r="K211" t="s">
        <v>37209</v>
      </c>
      <c r="M211" t="s">
        <v>37602</v>
      </c>
      <c r="N211" t="s">
        <v>41249</v>
      </c>
      <c r="O211" t="s">
        <v>41250</v>
      </c>
      <c r="P211">
        <v>0</v>
      </c>
      <c r="Q211">
        <v>9</v>
      </c>
      <c r="R211" t="s">
        <v>41251</v>
      </c>
      <c r="S211" t="s">
        <v>41369</v>
      </c>
      <c r="T211" t="s">
        <v>42675</v>
      </c>
      <c r="U211" t="s">
        <v>43379</v>
      </c>
      <c r="W211" t="s">
        <v>37602</v>
      </c>
      <c r="X211" t="s">
        <v>41252</v>
      </c>
    </row>
    <row r="212" spans="1:24">
      <c r="A212">
        <f>HYPERLINK("https://www.philgeps.gov.ph/GEPSNONPILOT/Tender/SplashBidNoticeAbstractUI.aspx?menuIndex=3&amp;refID=7076179&amp;Result=3","7076179")</f>
        <v>0</v>
      </c>
      <c r="B212" t="s">
        <v>129</v>
      </c>
      <c r="C212" t="s">
        <v>3559</v>
      </c>
      <c r="D212" t="s">
        <v>16618</v>
      </c>
      <c r="E212" t="s">
        <v>16912</v>
      </c>
      <c r="F212" t="s">
        <v>28669</v>
      </c>
      <c r="G212" t="s">
        <v>28676</v>
      </c>
      <c r="H212" t="s">
        <v>28684</v>
      </c>
      <c r="I212" t="s">
        <v>3679</v>
      </c>
      <c r="J212" t="s">
        <v>28894</v>
      </c>
      <c r="K212" t="s">
        <v>37205</v>
      </c>
      <c r="M212" t="s">
        <v>37605</v>
      </c>
      <c r="N212" t="s">
        <v>41249</v>
      </c>
      <c r="O212" t="s">
        <v>41250</v>
      </c>
      <c r="P212">
        <v>0</v>
      </c>
      <c r="Q212">
        <v>0</v>
      </c>
      <c r="R212" t="s">
        <v>41251</v>
      </c>
      <c r="S212" t="s">
        <v>41369</v>
      </c>
      <c r="T212" t="s">
        <v>42682</v>
      </c>
      <c r="U212" t="s">
        <v>43363</v>
      </c>
      <c r="W212" t="s">
        <v>37605</v>
      </c>
      <c r="X212" t="s">
        <v>41252</v>
      </c>
    </row>
    <row r="213" spans="1:24">
      <c r="A213">
        <f>HYPERLINK("https://www.philgeps.gov.ph/GEPSNONPILOT/Tender/SplashBidNoticeAbstractUI.aspx?menuIndex=3&amp;refID=7076178&amp;Result=3","7076178")</f>
        <v>0</v>
      </c>
      <c r="B213" t="s">
        <v>130</v>
      </c>
      <c r="C213" t="s">
        <v>3577</v>
      </c>
      <c r="E213" t="s">
        <v>16913</v>
      </c>
      <c r="F213" t="s">
        <v>28669</v>
      </c>
      <c r="G213" t="s">
        <v>28675</v>
      </c>
      <c r="H213" t="s">
        <v>28686</v>
      </c>
      <c r="I213" t="s">
        <v>28689</v>
      </c>
      <c r="J213" t="s">
        <v>28850</v>
      </c>
      <c r="K213" t="s">
        <v>37242</v>
      </c>
      <c r="M213" t="s">
        <v>37606</v>
      </c>
      <c r="N213" t="s">
        <v>41249</v>
      </c>
      <c r="O213" t="s">
        <v>41250</v>
      </c>
      <c r="P213">
        <v>0</v>
      </c>
      <c r="Q213">
        <v>0</v>
      </c>
      <c r="R213" t="s">
        <v>41251</v>
      </c>
      <c r="S213" t="s">
        <v>41369</v>
      </c>
      <c r="T213" t="s">
        <v>42732</v>
      </c>
      <c r="U213" t="s">
        <v>43380</v>
      </c>
      <c r="W213" t="s">
        <v>37606</v>
      </c>
      <c r="X213" t="s">
        <v>41252</v>
      </c>
    </row>
    <row r="214" spans="1:24">
      <c r="A214">
        <f>HYPERLINK("https://www.philgeps.gov.ph/GEPSNONPILOT/Tender/SplashBidNoticeAbstractUI.aspx?menuIndex=3&amp;refID=7076173&amp;Result=3","7076173")</f>
        <v>0</v>
      </c>
      <c r="B214" t="s">
        <v>131</v>
      </c>
      <c r="C214" t="s">
        <v>3578</v>
      </c>
      <c r="D214" t="s">
        <v>16624</v>
      </c>
      <c r="E214" t="s">
        <v>16914</v>
      </c>
      <c r="F214" t="s">
        <v>28669</v>
      </c>
      <c r="G214" t="s">
        <v>28675</v>
      </c>
      <c r="H214" t="s">
        <v>9998</v>
      </c>
      <c r="I214" t="s">
        <v>7352</v>
      </c>
      <c r="J214" t="s">
        <v>29005</v>
      </c>
      <c r="K214" t="s">
        <v>37205</v>
      </c>
      <c r="M214" t="s">
        <v>37607</v>
      </c>
      <c r="N214" t="s">
        <v>41249</v>
      </c>
      <c r="O214" t="s">
        <v>41250</v>
      </c>
      <c r="P214">
        <v>0</v>
      </c>
      <c r="Q214">
        <v>0</v>
      </c>
      <c r="R214" t="s">
        <v>41251</v>
      </c>
      <c r="S214" t="s">
        <v>41369</v>
      </c>
      <c r="T214" t="s">
        <v>42692</v>
      </c>
      <c r="U214" t="s">
        <v>43381</v>
      </c>
      <c r="W214" t="s">
        <v>37607</v>
      </c>
      <c r="X214" t="s">
        <v>41252</v>
      </c>
    </row>
    <row r="215" spans="1:24">
      <c r="A215">
        <f>HYPERLINK("https://www.philgeps.gov.ph/GEPSNONPILOT/Tender/SplashBidNoticeAbstractUI.aspx?menuIndex=3&amp;refID=7076113&amp;Result=3","7076113")</f>
        <v>0</v>
      </c>
      <c r="B215" t="s">
        <v>118</v>
      </c>
      <c r="C215" t="s">
        <v>3579</v>
      </c>
      <c r="D215" t="s">
        <v>16611</v>
      </c>
      <c r="E215" t="s">
        <v>16915</v>
      </c>
      <c r="F215" t="s">
        <v>28669</v>
      </c>
      <c r="G215" t="s">
        <v>28677</v>
      </c>
      <c r="H215" t="s">
        <v>9998</v>
      </c>
      <c r="I215" t="s">
        <v>28688</v>
      </c>
      <c r="J215" t="s">
        <v>29006</v>
      </c>
      <c r="K215" t="s">
        <v>37209</v>
      </c>
      <c r="M215" t="s">
        <v>37594</v>
      </c>
      <c r="N215" t="s">
        <v>41249</v>
      </c>
      <c r="O215" t="s">
        <v>41250</v>
      </c>
      <c r="P215">
        <v>0</v>
      </c>
      <c r="Q215">
        <v>0</v>
      </c>
      <c r="R215" t="s">
        <v>41251</v>
      </c>
      <c r="S215" t="s">
        <v>41369</v>
      </c>
      <c r="T215" t="s">
        <v>42728</v>
      </c>
      <c r="U215" t="s">
        <v>43382</v>
      </c>
      <c r="W215" t="s">
        <v>37594</v>
      </c>
      <c r="X215" t="s">
        <v>41252</v>
      </c>
    </row>
    <row r="216" spans="1:24">
      <c r="A216">
        <f>HYPERLINK("https://www.philgeps.gov.ph/GEPSNONPILOT/Tender/SplashBidNoticeAbstractUI.aspx?menuIndex=3&amp;refID=7076149&amp;Result=3","7076149")</f>
        <v>0</v>
      </c>
      <c r="B216" t="s">
        <v>124</v>
      </c>
      <c r="C216" t="s">
        <v>3580</v>
      </c>
      <c r="D216" t="s">
        <v>16633</v>
      </c>
      <c r="E216" t="s">
        <v>16916</v>
      </c>
      <c r="F216" t="s">
        <v>28669</v>
      </c>
      <c r="G216" t="s">
        <v>28676</v>
      </c>
      <c r="H216" t="s">
        <v>9998</v>
      </c>
      <c r="I216" t="s">
        <v>28688</v>
      </c>
      <c r="J216" t="s">
        <v>29007</v>
      </c>
      <c r="K216" t="s">
        <v>37206</v>
      </c>
      <c r="M216" t="s">
        <v>37600</v>
      </c>
      <c r="N216" t="s">
        <v>41249</v>
      </c>
      <c r="O216" t="s">
        <v>41250</v>
      </c>
      <c r="P216">
        <v>0</v>
      </c>
      <c r="Q216">
        <v>5</v>
      </c>
      <c r="R216" t="s">
        <v>41251</v>
      </c>
      <c r="S216" t="s">
        <v>41369</v>
      </c>
      <c r="T216" t="s">
        <v>42730</v>
      </c>
      <c r="U216" t="s">
        <v>43372</v>
      </c>
      <c r="W216" t="s">
        <v>37600</v>
      </c>
      <c r="X216" t="s">
        <v>41252</v>
      </c>
    </row>
    <row r="217" spans="1:24">
      <c r="A217">
        <f>HYPERLINK("https://www.philgeps.gov.ph/GEPSNONPILOT/Tender/SplashBidNoticeAbstractUI.aspx?menuIndex=3&amp;refID=7076168&amp;Result=3","7076168")</f>
        <v>0</v>
      </c>
      <c r="B217" t="s">
        <v>132</v>
      </c>
      <c r="C217" t="s">
        <v>3581</v>
      </c>
      <c r="D217" t="s">
        <v>16639</v>
      </c>
      <c r="E217" t="s">
        <v>16917</v>
      </c>
      <c r="F217" t="s">
        <v>28669</v>
      </c>
      <c r="G217" t="s">
        <v>28676</v>
      </c>
      <c r="H217" t="s">
        <v>9998</v>
      </c>
      <c r="I217" t="s">
        <v>11593</v>
      </c>
      <c r="J217" t="s">
        <v>29008</v>
      </c>
      <c r="K217" t="s">
        <v>37204</v>
      </c>
      <c r="M217" t="s">
        <v>37608</v>
      </c>
      <c r="N217" t="s">
        <v>41249</v>
      </c>
      <c r="O217" t="s">
        <v>41250</v>
      </c>
      <c r="P217">
        <v>0</v>
      </c>
      <c r="Q217">
        <v>2</v>
      </c>
      <c r="R217" t="s">
        <v>41251</v>
      </c>
      <c r="S217" t="s">
        <v>41369</v>
      </c>
      <c r="T217" t="s">
        <v>42686</v>
      </c>
      <c r="U217" t="s">
        <v>43383</v>
      </c>
      <c r="W217" t="s">
        <v>37608</v>
      </c>
      <c r="X217" t="s">
        <v>41252</v>
      </c>
    </row>
    <row r="218" spans="1:24">
      <c r="A218">
        <f>HYPERLINK("https://www.philgeps.gov.ph/GEPSNONPILOT/Tender/SplashBidNoticeAbstractUI.aspx?menuIndex=3&amp;refID=7076167&amp;Result=3","7076167")</f>
        <v>0</v>
      </c>
      <c r="B218" t="s">
        <v>107</v>
      </c>
      <c r="C218" t="s">
        <v>3582</v>
      </c>
      <c r="E218" t="s">
        <v>16918</v>
      </c>
      <c r="F218" t="s">
        <v>28669</v>
      </c>
      <c r="G218" t="s">
        <v>28675</v>
      </c>
      <c r="H218" t="s">
        <v>9998</v>
      </c>
      <c r="I218" t="s">
        <v>7352</v>
      </c>
      <c r="J218" t="s">
        <v>29009</v>
      </c>
      <c r="K218" t="s">
        <v>37205</v>
      </c>
      <c r="M218" t="s">
        <v>37609</v>
      </c>
      <c r="N218" t="s">
        <v>41249</v>
      </c>
      <c r="O218" t="s">
        <v>41250</v>
      </c>
      <c r="P218">
        <v>0</v>
      </c>
      <c r="Q218">
        <v>2</v>
      </c>
      <c r="R218" t="s">
        <v>41251</v>
      </c>
      <c r="S218" t="s">
        <v>41369</v>
      </c>
      <c r="T218" t="s">
        <v>42668</v>
      </c>
      <c r="U218" t="s">
        <v>43384</v>
      </c>
      <c r="W218" t="s">
        <v>37609</v>
      </c>
      <c r="X218" t="s">
        <v>41252</v>
      </c>
    </row>
    <row r="219" spans="1:24">
      <c r="A219">
        <f>HYPERLINK("https://www.philgeps.gov.ph/GEPSNONPILOT/Tender/SplashBidNoticeAbstractUI.aspx?menuIndex=3&amp;refID=7076166&amp;Result=3","7076166")</f>
        <v>0</v>
      </c>
      <c r="B219" t="s">
        <v>133</v>
      </c>
      <c r="C219" t="s">
        <v>3583</v>
      </c>
      <c r="D219" t="s">
        <v>16661</v>
      </c>
      <c r="E219" t="s">
        <v>16919</v>
      </c>
      <c r="F219" t="s">
        <v>28669</v>
      </c>
      <c r="G219" t="s">
        <v>28676</v>
      </c>
      <c r="H219" t="s">
        <v>9998</v>
      </c>
      <c r="I219" t="s">
        <v>28697</v>
      </c>
      <c r="J219" t="s">
        <v>29010</v>
      </c>
      <c r="K219" t="s">
        <v>37204</v>
      </c>
      <c r="M219" t="s">
        <v>37610</v>
      </c>
      <c r="N219" t="s">
        <v>41249</v>
      </c>
      <c r="O219" t="s">
        <v>41250</v>
      </c>
      <c r="P219">
        <v>0</v>
      </c>
      <c r="Q219">
        <v>1</v>
      </c>
      <c r="R219" t="s">
        <v>41251</v>
      </c>
      <c r="S219" t="s">
        <v>41369</v>
      </c>
      <c r="T219" t="s">
        <v>42733</v>
      </c>
      <c r="U219" t="s">
        <v>43385</v>
      </c>
      <c r="V219" t="s">
        <v>54284</v>
      </c>
      <c r="W219" t="s">
        <v>37610</v>
      </c>
      <c r="X219" t="s">
        <v>41252</v>
      </c>
    </row>
    <row r="220" spans="1:24">
      <c r="A220">
        <f>HYPERLINK("https://www.philgeps.gov.ph/GEPSNONPILOT/Tender/SplashBidNoticeAbstractUI.aspx?menuIndex=3&amp;refID=7076164&amp;Result=3","7076164")</f>
        <v>0</v>
      </c>
      <c r="B220" t="s">
        <v>134</v>
      </c>
      <c r="C220" t="s">
        <v>3584</v>
      </c>
      <c r="D220" t="s">
        <v>16608</v>
      </c>
      <c r="E220" t="s">
        <v>16920</v>
      </c>
      <c r="F220" t="s">
        <v>28669</v>
      </c>
      <c r="G220" t="s">
        <v>28677</v>
      </c>
      <c r="H220" t="s">
        <v>9998</v>
      </c>
      <c r="I220" t="s">
        <v>3718</v>
      </c>
      <c r="J220" t="s">
        <v>29011</v>
      </c>
      <c r="K220" t="s">
        <v>37208</v>
      </c>
      <c r="M220" t="s">
        <v>37611</v>
      </c>
      <c r="N220" t="s">
        <v>41249</v>
      </c>
      <c r="O220" t="s">
        <v>41250</v>
      </c>
      <c r="P220">
        <v>0</v>
      </c>
      <c r="Q220">
        <v>5</v>
      </c>
      <c r="R220" t="s">
        <v>41251</v>
      </c>
      <c r="S220" t="s">
        <v>41369</v>
      </c>
      <c r="T220" t="s">
        <v>42694</v>
      </c>
      <c r="U220" t="s">
        <v>43386</v>
      </c>
      <c r="W220" t="s">
        <v>37611</v>
      </c>
      <c r="X220" t="s">
        <v>41252</v>
      </c>
    </row>
    <row r="221" spans="1:24">
      <c r="A221">
        <f>HYPERLINK("https://www.philgeps.gov.ph/GEPSNONPILOT/Tender/SplashBidNoticeAbstractUI.aspx?menuIndex=3&amp;refID=7076170&amp;Result=3","7076170")</f>
        <v>0</v>
      </c>
      <c r="B221" t="s">
        <v>128</v>
      </c>
      <c r="C221" t="s">
        <v>3585</v>
      </c>
      <c r="D221" t="s">
        <v>16642</v>
      </c>
      <c r="E221" t="s">
        <v>16921</v>
      </c>
      <c r="F221" t="s">
        <v>28669</v>
      </c>
      <c r="G221" t="s">
        <v>28675</v>
      </c>
      <c r="H221" t="s">
        <v>28686</v>
      </c>
      <c r="I221" t="s">
        <v>28689</v>
      </c>
      <c r="J221" t="s">
        <v>29003</v>
      </c>
      <c r="K221" t="s">
        <v>37221</v>
      </c>
      <c r="M221" t="s">
        <v>37604</v>
      </c>
      <c r="N221" t="s">
        <v>41249</v>
      </c>
      <c r="O221" t="s">
        <v>41250</v>
      </c>
      <c r="P221">
        <v>0</v>
      </c>
      <c r="Q221">
        <v>0</v>
      </c>
      <c r="R221" t="s">
        <v>41251</v>
      </c>
      <c r="S221" t="s">
        <v>41369</v>
      </c>
      <c r="T221" t="s">
        <v>42690</v>
      </c>
      <c r="U221" t="s">
        <v>43387</v>
      </c>
      <c r="W221" t="s">
        <v>37604</v>
      </c>
      <c r="X221" t="s">
        <v>41252</v>
      </c>
    </row>
    <row r="222" spans="1:24">
      <c r="A222">
        <f>HYPERLINK("https://www.philgeps.gov.ph/GEPSNONPILOT/Tender/SplashBidNoticeAbstractUI.aspx?menuIndex=3&amp;refID=7076176&amp;Result=3","7076176")</f>
        <v>0</v>
      </c>
      <c r="B222" t="s">
        <v>133</v>
      </c>
      <c r="C222" t="s">
        <v>3586</v>
      </c>
      <c r="E222" t="s">
        <v>16922</v>
      </c>
      <c r="F222" t="s">
        <v>28669</v>
      </c>
      <c r="G222" t="s">
        <v>28676</v>
      </c>
      <c r="H222" t="s">
        <v>28686</v>
      </c>
      <c r="I222" t="s">
        <v>28689</v>
      </c>
      <c r="J222" t="s">
        <v>29012</v>
      </c>
      <c r="K222" t="s">
        <v>37204</v>
      </c>
      <c r="M222" t="s">
        <v>37610</v>
      </c>
      <c r="N222" t="s">
        <v>41249</v>
      </c>
      <c r="O222" t="s">
        <v>41250</v>
      </c>
      <c r="P222">
        <v>0</v>
      </c>
      <c r="Q222">
        <v>0</v>
      </c>
      <c r="R222" t="s">
        <v>41251</v>
      </c>
      <c r="S222" t="s">
        <v>41369</v>
      </c>
      <c r="T222" t="s">
        <v>42733</v>
      </c>
      <c r="U222" t="s">
        <v>43388</v>
      </c>
      <c r="V222" t="s">
        <v>54284</v>
      </c>
      <c r="W222" t="s">
        <v>37610</v>
      </c>
      <c r="X222" t="s">
        <v>41252</v>
      </c>
    </row>
    <row r="223" spans="1:24">
      <c r="A223">
        <f>HYPERLINK("https://www.philgeps.gov.ph/GEPSNONPILOT/Tender/SplashBidNoticeAbstractUI.aspx?menuIndex=3&amp;refID=7076162&amp;Result=3","7076162")</f>
        <v>0</v>
      </c>
      <c r="B223" t="s">
        <v>135</v>
      </c>
      <c r="C223" t="s">
        <v>3587</v>
      </c>
      <c r="D223" t="s">
        <v>16622</v>
      </c>
      <c r="E223" t="s">
        <v>16923</v>
      </c>
      <c r="F223" t="s">
        <v>28669</v>
      </c>
      <c r="G223" t="s">
        <v>28676</v>
      </c>
      <c r="H223" t="s">
        <v>9998</v>
      </c>
      <c r="I223" t="s">
        <v>6128</v>
      </c>
      <c r="J223" t="s">
        <v>29013</v>
      </c>
      <c r="K223" t="s">
        <v>37227</v>
      </c>
      <c r="M223" t="s">
        <v>37612</v>
      </c>
      <c r="N223" t="s">
        <v>41249</v>
      </c>
      <c r="O223" t="s">
        <v>41250</v>
      </c>
      <c r="P223">
        <v>0</v>
      </c>
      <c r="Q223">
        <v>0</v>
      </c>
      <c r="R223" t="s">
        <v>41251</v>
      </c>
      <c r="S223" t="s">
        <v>41369</v>
      </c>
      <c r="T223" t="s">
        <v>42734</v>
      </c>
      <c r="U223" t="s">
        <v>43389</v>
      </c>
      <c r="W223" t="s">
        <v>37612</v>
      </c>
      <c r="X223" t="s">
        <v>41252</v>
      </c>
    </row>
    <row r="224" spans="1:24">
      <c r="A224">
        <f>HYPERLINK("https://www.philgeps.gov.ph/GEPSNONPILOT/Tender/SplashBidNoticeAbstractUI.aspx?menuIndex=3&amp;refID=7076169&amp;Result=3","7076169")</f>
        <v>0</v>
      </c>
      <c r="B224" t="s">
        <v>127</v>
      </c>
      <c r="C224" t="s">
        <v>3588</v>
      </c>
      <c r="D224" t="s">
        <v>16618</v>
      </c>
      <c r="E224" t="s">
        <v>16924</v>
      </c>
      <c r="F224" t="s">
        <v>28669</v>
      </c>
      <c r="G224" t="s">
        <v>28677</v>
      </c>
      <c r="H224" t="s">
        <v>28686</v>
      </c>
      <c r="I224" t="s">
        <v>28689</v>
      </c>
      <c r="J224" t="s">
        <v>29014</v>
      </c>
      <c r="K224" t="s">
        <v>37206</v>
      </c>
      <c r="M224" t="s">
        <v>37603</v>
      </c>
      <c r="N224" t="s">
        <v>41249</v>
      </c>
      <c r="O224" t="s">
        <v>41250</v>
      </c>
      <c r="P224">
        <v>0</v>
      </c>
      <c r="Q224">
        <v>1</v>
      </c>
      <c r="R224" t="s">
        <v>41251</v>
      </c>
      <c r="S224" t="s">
        <v>41369</v>
      </c>
      <c r="T224" t="s">
        <v>42717</v>
      </c>
      <c r="U224" t="s">
        <v>43390</v>
      </c>
      <c r="V224" t="s">
        <v>54285</v>
      </c>
      <c r="W224" t="s">
        <v>37603</v>
      </c>
      <c r="X224" t="s">
        <v>41252</v>
      </c>
    </row>
    <row r="225" spans="1:24">
      <c r="A225">
        <f>HYPERLINK("https://www.philgeps.gov.ph/GEPSNONPILOT/Tender/SplashBidNoticeAbstractUI.aspx?menuIndex=3&amp;refID=7076161&amp;Result=3","7076161")</f>
        <v>0</v>
      </c>
      <c r="B225" t="s">
        <v>132</v>
      </c>
      <c r="C225" t="s">
        <v>3589</v>
      </c>
      <c r="D225" t="s">
        <v>16639</v>
      </c>
      <c r="E225" t="s">
        <v>16925</v>
      </c>
      <c r="F225" t="s">
        <v>28669</v>
      </c>
      <c r="G225" t="s">
        <v>28676</v>
      </c>
      <c r="H225" t="s">
        <v>9998</v>
      </c>
      <c r="I225" t="s">
        <v>28695</v>
      </c>
      <c r="J225" t="s">
        <v>29015</v>
      </c>
      <c r="K225" t="s">
        <v>37204</v>
      </c>
      <c r="M225" t="s">
        <v>37608</v>
      </c>
      <c r="N225" t="s">
        <v>41249</v>
      </c>
      <c r="O225" t="s">
        <v>41250</v>
      </c>
      <c r="P225">
        <v>0</v>
      </c>
      <c r="Q225">
        <v>1</v>
      </c>
      <c r="R225" t="s">
        <v>41251</v>
      </c>
      <c r="S225" t="s">
        <v>41369</v>
      </c>
      <c r="T225" t="s">
        <v>42686</v>
      </c>
      <c r="U225" t="s">
        <v>43391</v>
      </c>
      <c r="W225" t="s">
        <v>37608</v>
      </c>
      <c r="X225" t="s">
        <v>41252</v>
      </c>
    </row>
    <row r="226" spans="1:24">
      <c r="A226">
        <f>HYPERLINK("https://www.philgeps.gov.ph/GEPSNONPILOT/Tender/SplashBidNoticeAbstractUI.aspx?menuIndex=3&amp;refID=7076159&amp;Result=3","7076159")</f>
        <v>0</v>
      </c>
      <c r="B226" t="s">
        <v>92</v>
      </c>
      <c r="C226" t="s">
        <v>3590</v>
      </c>
      <c r="D226" t="s">
        <v>16653</v>
      </c>
      <c r="E226" t="s">
        <v>3590</v>
      </c>
      <c r="F226" t="s">
        <v>28669</v>
      </c>
      <c r="G226" t="s">
        <v>28676</v>
      </c>
      <c r="H226" t="s">
        <v>9998</v>
      </c>
      <c r="I226" t="s">
        <v>8667</v>
      </c>
      <c r="J226" t="s">
        <v>29016</v>
      </c>
      <c r="K226" t="s">
        <v>37205</v>
      </c>
      <c r="L226" t="s">
        <v>92</v>
      </c>
      <c r="M226" t="s">
        <v>37567</v>
      </c>
      <c r="N226" t="s">
        <v>41249</v>
      </c>
      <c r="O226" t="s">
        <v>41250</v>
      </c>
      <c r="P226">
        <v>0</v>
      </c>
      <c r="Q226">
        <v>0</v>
      </c>
      <c r="R226" t="s">
        <v>41251</v>
      </c>
      <c r="S226" t="s">
        <v>41369</v>
      </c>
      <c r="T226" t="s">
        <v>42694</v>
      </c>
      <c r="U226" t="s">
        <v>43392</v>
      </c>
      <c r="W226" t="s">
        <v>37567</v>
      </c>
      <c r="X226" t="s">
        <v>41252</v>
      </c>
    </row>
    <row r="227" spans="1:24">
      <c r="A227">
        <f>HYPERLINK("https://www.philgeps.gov.ph/GEPSNONPILOT/Tender/SplashBidNoticeAbstractUI.aspx?menuIndex=3&amp;refID=7076155&amp;Result=3","7076155")</f>
        <v>0</v>
      </c>
      <c r="B227" t="s">
        <v>136</v>
      </c>
      <c r="C227" t="s">
        <v>3591</v>
      </c>
      <c r="E227" t="s">
        <v>16926</v>
      </c>
      <c r="F227" t="s">
        <v>28669</v>
      </c>
      <c r="G227" t="s">
        <v>28679</v>
      </c>
      <c r="H227" t="s">
        <v>9998</v>
      </c>
      <c r="I227" t="s">
        <v>28687</v>
      </c>
      <c r="J227" t="s">
        <v>29002</v>
      </c>
      <c r="K227" t="s">
        <v>37221</v>
      </c>
      <c r="M227" t="s">
        <v>37613</v>
      </c>
      <c r="N227" t="s">
        <v>41249</v>
      </c>
      <c r="O227" t="s">
        <v>41250</v>
      </c>
      <c r="P227">
        <v>0</v>
      </c>
      <c r="Q227">
        <v>3</v>
      </c>
      <c r="R227" t="s">
        <v>41251</v>
      </c>
      <c r="S227" t="s">
        <v>41369</v>
      </c>
      <c r="T227" t="s">
        <v>42735</v>
      </c>
      <c r="U227" t="s">
        <v>43393</v>
      </c>
      <c r="W227" t="s">
        <v>38557</v>
      </c>
      <c r="X227" t="s">
        <v>41252</v>
      </c>
    </row>
    <row r="228" spans="1:24">
      <c r="A228">
        <f>HYPERLINK("https://www.philgeps.gov.ph/GEPSNONPILOT/Tender/SplashBidNoticeAbstractUI.aspx?menuIndex=3&amp;refID=7076181&amp;Result=3","7076181")</f>
        <v>0</v>
      </c>
      <c r="B228" t="s">
        <v>137</v>
      </c>
      <c r="C228" t="s">
        <v>3592</v>
      </c>
      <c r="D228" t="s">
        <v>16657</v>
      </c>
      <c r="E228" t="s">
        <v>16927</v>
      </c>
      <c r="F228" t="s">
        <v>28669</v>
      </c>
      <c r="G228" t="s">
        <v>28676</v>
      </c>
      <c r="H228" t="s">
        <v>9998</v>
      </c>
      <c r="I228" t="s">
        <v>28690</v>
      </c>
      <c r="J228" t="s">
        <v>29017</v>
      </c>
      <c r="K228" t="s">
        <v>37209</v>
      </c>
      <c r="M228" t="s">
        <v>37614</v>
      </c>
      <c r="N228" t="s">
        <v>41249</v>
      </c>
      <c r="O228" t="s">
        <v>41250</v>
      </c>
      <c r="P228">
        <v>0</v>
      </c>
      <c r="Q228">
        <v>4</v>
      </c>
      <c r="R228" t="s">
        <v>41251</v>
      </c>
      <c r="S228" t="s">
        <v>41369</v>
      </c>
      <c r="T228" t="s">
        <v>42673</v>
      </c>
      <c r="U228" t="s">
        <v>43394</v>
      </c>
      <c r="W228" t="s">
        <v>37614</v>
      </c>
      <c r="X228" t="s">
        <v>41252</v>
      </c>
    </row>
    <row r="229" spans="1:24">
      <c r="A229">
        <f>HYPERLINK("https://www.philgeps.gov.ph/GEPSNONPILOT/Tender/SplashBidNoticeAbstractUI.aspx?menuIndex=3&amp;refID=7076165&amp;Result=3","7076165")</f>
        <v>0</v>
      </c>
      <c r="B229" t="s">
        <v>138</v>
      </c>
      <c r="C229" t="s">
        <v>3593</v>
      </c>
      <c r="D229" t="s">
        <v>16626</v>
      </c>
      <c r="E229" t="s">
        <v>16928</v>
      </c>
      <c r="F229" t="s">
        <v>28669</v>
      </c>
      <c r="G229" t="s">
        <v>28675</v>
      </c>
      <c r="H229" t="s">
        <v>9998</v>
      </c>
      <c r="I229" t="s">
        <v>7352</v>
      </c>
      <c r="J229" t="s">
        <v>29018</v>
      </c>
      <c r="K229" t="s">
        <v>37227</v>
      </c>
      <c r="M229" t="s">
        <v>37615</v>
      </c>
      <c r="N229" t="s">
        <v>41249</v>
      </c>
      <c r="O229" t="s">
        <v>41250</v>
      </c>
      <c r="P229">
        <v>0</v>
      </c>
      <c r="Q229">
        <v>0</v>
      </c>
      <c r="R229" t="s">
        <v>41251</v>
      </c>
      <c r="S229" t="s">
        <v>41369</v>
      </c>
      <c r="T229" t="s">
        <v>42690</v>
      </c>
      <c r="U229" t="s">
        <v>43395</v>
      </c>
      <c r="W229" t="s">
        <v>37615</v>
      </c>
      <c r="X229" t="s">
        <v>41252</v>
      </c>
    </row>
    <row r="230" spans="1:24">
      <c r="A230">
        <f>HYPERLINK("https://www.philgeps.gov.ph/GEPSNONPILOT/Tender/SplashBidNoticeAbstractUI.aspx?menuIndex=3&amp;refID=7076205&amp;Result=3","7076205")</f>
        <v>0</v>
      </c>
      <c r="B230" t="s">
        <v>139</v>
      </c>
      <c r="C230" t="s">
        <v>3594</v>
      </c>
      <c r="D230" t="s">
        <v>16654</v>
      </c>
      <c r="E230" t="s">
        <v>16929</v>
      </c>
      <c r="F230" t="s">
        <v>28669</v>
      </c>
      <c r="G230" t="s">
        <v>28677</v>
      </c>
      <c r="H230" t="s">
        <v>9998</v>
      </c>
      <c r="I230" t="s">
        <v>15140</v>
      </c>
      <c r="J230" t="s">
        <v>29019</v>
      </c>
      <c r="K230" t="s">
        <v>37209</v>
      </c>
      <c r="M230" t="s">
        <v>37616</v>
      </c>
      <c r="N230" t="s">
        <v>41249</v>
      </c>
      <c r="O230" t="s">
        <v>41250</v>
      </c>
      <c r="P230">
        <v>0</v>
      </c>
      <c r="Q230">
        <v>0</v>
      </c>
      <c r="R230" t="s">
        <v>41251</v>
      </c>
      <c r="S230" t="s">
        <v>41369</v>
      </c>
      <c r="T230" t="s">
        <v>42736</v>
      </c>
      <c r="U230" t="s">
        <v>43396</v>
      </c>
      <c r="W230" t="s">
        <v>37616</v>
      </c>
      <c r="X230" t="s">
        <v>41252</v>
      </c>
    </row>
    <row r="231" spans="1:24">
      <c r="A231">
        <f>HYPERLINK("https://www.philgeps.gov.ph/GEPSNONPILOT/Tender/SplashBidNoticeAbstractUI.aspx?menuIndex=3&amp;refID=7076203&amp;Result=3","7076203")</f>
        <v>0</v>
      </c>
      <c r="B231" t="s">
        <v>140</v>
      </c>
      <c r="C231" t="s">
        <v>3595</v>
      </c>
      <c r="D231" t="s">
        <v>16652</v>
      </c>
      <c r="E231" t="s">
        <v>16930</v>
      </c>
      <c r="F231" t="s">
        <v>28669</v>
      </c>
      <c r="G231" t="s">
        <v>28675</v>
      </c>
      <c r="H231" t="s">
        <v>9998</v>
      </c>
      <c r="I231" t="s">
        <v>28694</v>
      </c>
      <c r="J231" t="s">
        <v>29020</v>
      </c>
      <c r="K231" t="s">
        <v>37229</v>
      </c>
      <c r="M231" t="s">
        <v>37617</v>
      </c>
      <c r="N231" t="s">
        <v>41249</v>
      </c>
      <c r="O231" t="s">
        <v>41250</v>
      </c>
      <c r="P231">
        <v>0</v>
      </c>
      <c r="Q231">
        <v>0</v>
      </c>
      <c r="R231" t="s">
        <v>41251</v>
      </c>
      <c r="S231" t="s">
        <v>41369</v>
      </c>
      <c r="T231" t="s">
        <v>42737</v>
      </c>
      <c r="U231" t="s">
        <v>43397</v>
      </c>
      <c r="W231" t="s">
        <v>37617</v>
      </c>
      <c r="X231" t="s">
        <v>41252</v>
      </c>
    </row>
    <row r="232" spans="1:24">
      <c r="A232">
        <f>HYPERLINK("https://www.philgeps.gov.ph/GEPSNONPILOT/Tender/SplashBidNoticeAbstractUI.aspx?menuIndex=3&amp;refID=7076202&amp;Result=3","7076202")</f>
        <v>0</v>
      </c>
      <c r="B232" t="s">
        <v>141</v>
      </c>
      <c r="C232" t="s">
        <v>3596</v>
      </c>
      <c r="D232" t="s">
        <v>16624</v>
      </c>
      <c r="E232" t="s">
        <v>16931</v>
      </c>
      <c r="F232" t="s">
        <v>28669</v>
      </c>
      <c r="G232" t="s">
        <v>28677</v>
      </c>
      <c r="H232" t="s">
        <v>9998</v>
      </c>
      <c r="I232" t="s">
        <v>11593</v>
      </c>
      <c r="J232" t="s">
        <v>29021</v>
      </c>
      <c r="K232" t="s">
        <v>37204</v>
      </c>
      <c r="M232" t="s">
        <v>37618</v>
      </c>
      <c r="N232" t="s">
        <v>41249</v>
      </c>
      <c r="O232" t="s">
        <v>41250</v>
      </c>
      <c r="P232">
        <v>0</v>
      </c>
      <c r="Q232">
        <v>1</v>
      </c>
      <c r="R232" t="s">
        <v>41251</v>
      </c>
      <c r="S232" t="s">
        <v>41369</v>
      </c>
      <c r="T232" t="s">
        <v>42701</v>
      </c>
      <c r="U232" t="s">
        <v>43398</v>
      </c>
      <c r="W232" t="s">
        <v>37618</v>
      </c>
      <c r="X232" t="s">
        <v>41252</v>
      </c>
    </row>
    <row r="233" spans="1:24">
      <c r="A233">
        <f>HYPERLINK("https://www.philgeps.gov.ph/GEPSNONPILOT/Tender/SplashBidNoticeAbstractUI.aspx?menuIndex=3&amp;refID=7076200&amp;Result=3","7076200")</f>
        <v>0</v>
      </c>
      <c r="B233" t="s">
        <v>142</v>
      </c>
      <c r="C233" t="s">
        <v>3597</v>
      </c>
      <c r="E233" t="s">
        <v>16932</v>
      </c>
      <c r="F233" t="s">
        <v>28669</v>
      </c>
      <c r="G233" t="s">
        <v>28677</v>
      </c>
      <c r="H233" t="s">
        <v>9998</v>
      </c>
      <c r="I233" t="s">
        <v>28688</v>
      </c>
      <c r="J233" t="s">
        <v>29022</v>
      </c>
      <c r="K233" t="s">
        <v>37209</v>
      </c>
      <c r="M233" t="s">
        <v>37619</v>
      </c>
      <c r="N233" t="s">
        <v>41249</v>
      </c>
      <c r="O233" t="s">
        <v>41250</v>
      </c>
      <c r="P233">
        <v>0</v>
      </c>
      <c r="Q233">
        <v>19</v>
      </c>
      <c r="R233" t="s">
        <v>41251</v>
      </c>
      <c r="S233" t="s">
        <v>41369</v>
      </c>
      <c r="T233" t="s">
        <v>42738</v>
      </c>
      <c r="U233" t="s">
        <v>43399</v>
      </c>
      <c r="W233" t="s">
        <v>37619</v>
      </c>
      <c r="X233" t="s">
        <v>41252</v>
      </c>
    </row>
    <row r="234" spans="1:24">
      <c r="A234">
        <f>HYPERLINK("https://www.philgeps.gov.ph/GEPSNONPILOT/Tender/SplashBidNoticeAbstractUI.aspx?menuIndex=3&amp;refID=7076199&amp;Result=3","7076199")</f>
        <v>0</v>
      </c>
      <c r="B234" t="s">
        <v>143</v>
      </c>
      <c r="C234" t="s">
        <v>3598</v>
      </c>
      <c r="D234" t="s">
        <v>16640</v>
      </c>
      <c r="E234" t="s">
        <v>16933</v>
      </c>
      <c r="F234" t="s">
        <v>28669</v>
      </c>
      <c r="G234" t="s">
        <v>28676</v>
      </c>
      <c r="H234" t="s">
        <v>9998</v>
      </c>
      <c r="I234" t="s">
        <v>5213</v>
      </c>
      <c r="J234" t="s">
        <v>28990</v>
      </c>
      <c r="K234" t="s">
        <v>37220</v>
      </c>
      <c r="M234" t="s">
        <v>37620</v>
      </c>
      <c r="N234" t="s">
        <v>41249</v>
      </c>
      <c r="O234" t="s">
        <v>41250</v>
      </c>
      <c r="P234">
        <v>0</v>
      </c>
      <c r="Q234">
        <v>0</v>
      </c>
      <c r="R234" t="s">
        <v>41251</v>
      </c>
      <c r="S234" t="s">
        <v>41369</v>
      </c>
      <c r="T234" t="s">
        <v>42675</v>
      </c>
      <c r="U234" t="s">
        <v>43400</v>
      </c>
      <c r="W234" t="s">
        <v>55901</v>
      </c>
      <c r="X234" t="s">
        <v>41252</v>
      </c>
    </row>
    <row r="235" spans="1:24">
      <c r="A235">
        <f>HYPERLINK("https://www.philgeps.gov.ph/GEPSNONPILOT/Tender/SplashBidNoticeAbstractUI.aspx?menuIndex=3&amp;refID=7076197&amp;Result=3","7076197")</f>
        <v>0</v>
      </c>
      <c r="B235" t="s">
        <v>122</v>
      </c>
      <c r="C235" t="s">
        <v>3599</v>
      </c>
      <c r="D235" t="s">
        <v>16659</v>
      </c>
      <c r="E235" t="s">
        <v>16934</v>
      </c>
      <c r="F235" t="s">
        <v>28669</v>
      </c>
      <c r="G235" t="s">
        <v>28678</v>
      </c>
      <c r="H235" t="s">
        <v>9998</v>
      </c>
      <c r="I235" t="s">
        <v>5286</v>
      </c>
      <c r="J235" t="s">
        <v>29023</v>
      </c>
      <c r="K235" t="s">
        <v>37206</v>
      </c>
      <c r="M235" t="s">
        <v>37598</v>
      </c>
      <c r="N235" t="s">
        <v>41249</v>
      </c>
      <c r="O235" t="s">
        <v>41250</v>
      </c>
      <c r="P235">
        <v>0</v>
      </c>
      <c r="Q235">
        <v>1</v>
      </c>
      <c r="R235" t="s">
        <v>41251</v>
      </c>
      <c r="S235" t="s">
        <v>41369</v>
      </c>
      <c r="T235" t="s">
        <v>42673</v>
      </c>
      <c r="U235" t="s">
        <v>43401</v>
      </c>
      <c r="W235" t="s">
        <v>37598</v>
      </c>
      <c r="X235" t="s">
        <v>41252</v>
      </c>
    </row>
    <row r="236" spans="1:24">
      <c r="A236">
        <f>HYPERLINK("https://www.philgeps.gov.ph/GEPSNONPILOT/Tender/SplashBidNoticeAbstractUI.aspx?menuIndex=3&amp;refID=7076171&amp;Result=3","7076171")</f>
        <v>0</v>
      </c>
      <c r="B236" t="s">
        <v>144</v>
      </c>
      <c r="C236" t="s">
        <v>3600</v>
      </c>
      <c r="D236" t="s">
        <v>16633</v>
      </c>
      <c r="E236" t="s">
        <v>16935</v>
      </c>
      <c r="F236" t="s">
        <v>28669</v>
      </c>
      <c r="G236" t="s">
        <v>28675</v>
      </c>
      <c r="H236" t="s">
        <v>9998</v>
      </c>
      <c r="I236" t="s">
        <v>7352</v>
      </c>
      <c r="J236" t="s">
        <v>29024</v>
      </c>
      <c r="K236" t="s">
        <v>37205</v>
      </c>
      <c r="M236" t="s">
        <v>37621</v>
      </c>
      <c r="N236" t="s">
        <v>41249</v>
      </c>
      <c r="O236" t="s">
        <v>41250</v>
      </c>
      <c r="P236">
        <v>0</v>
      </c>
      <c r="Q236">
        <v>0</v>
      </c>
      <c r="R236" t="s">
        <v>41251</v>
      </c>
      <c r="S236" t="s">
        <v>41369</v>
      </c>
      <c r="T236" t="s">
        <v>42690</v>
      </c>
      <c r="U236" t="s">
        <v>43402</v>
      </c>
      <c r="W236" t="s">
        <v>37621</v>
      </c>
      <c r="X236" t="s">
        <v>41252</v>
      </c>
    </row>
    <row r="237" spans="1:24">
      <c r="A237">
        <f>HYPERLINK("https://www.philgeps.gov.ph/GEPSNONPILOT/Tender/SplashBidNoticeAbstractUI.aspx?menuIndex=3&amp;refID=7076174&amp;Result=3","7076174")</f>
        <v>0</v>
      </c>
      <c r="B237" t="s">
        <v>137</v>
      </c>
      <c r="C237" t="s">
        <v>3601</v>
      </c>
      <c r="D237" t="s">
        <v>16657</v>
      </c>
      <c r="E237" t="s">
        <v>16936</v>
      </c>
      <c r="F237" t="s">
        <v>28669</v>
      </c>
      <c r="G237" t="s">
        <v>28676</v>
      </c>
      <c r="H237" t="s">
        <v>9998</v>
      </c>
      <c r="I237" t="s">
        <v>28692</v>
      </c>
      <c r="J237" t="s">
        <v>29025</v>
      </c>
      <c r="K237" t="s">
        <v>37209</v>
      </c>
      <c r="M237" t="s">
        <v>37614</v>
      </c>
      <c r="N237" t="s">
        <v>41249</v>
      </c>
      <c r="O237" t="s">
        <v>41250</v>
      </c>
      <c r="P237">
        <v>0</v>
      </c>
      <c r="Q237">
        <v>2</v>
      </c>
      <c r="R237" t="s">
        <v>41251</v>
      </c>
      <c r="S237" t="s">
        <v>41369</v>
      </c>
      <c r="T237" t="s">
        <v>42673</v>
      </c>
      <c r="U237" t="s">
        <v>43403</v>
      </c>
      <c r="W237" t="s">
        <v>37614</v>
      </c>
      <c r="X237" t="s">
        <v>41252</v>
      </c>
    </row>
    <row r="238" spans="1:24">
      <c r="A238">
        <f>HYPERLINK("https://www.philgeps.gov.ph/GEPSNONPILOT/Tender/SplashBidNoticeAbstractUI.aspx?menuIndex=3&amp;refID=7076196&amp;Result=3","7076196")</f>
        <v>0</v>
      </c>
      <c r="B238" t="s">
        <v>137</v>
      </c>
      <c r="C238" t="s">
        <v>3602</v>
      </c>
      <c r="D238" t="s">
        <v>16657</v>
      </c>
      <c r="E238" t="s">
        <v>16937</v>
      </c>
      <c r="F238" t="s">
        <v>28669</v>
      </c>
      <c r="G238" t="s">
        <v>28676</v>
      </c>
      <c r="H238" t="s">
        <v>9998</v>
      </c>
      <c r="I238" t="s">
        <v>28708</v>
      </c>
      <c r="J238" t="s">
        <v>28912</v>
      </c>
      <c r="K238" t="s">
        <v>37209</v>
      </c>
      <c r="M238" t="s">
        <v>37614</v>
      </c>
      <c r="N238" t="s">
        <v>41249</v>
      </c>
      <c r="O238" t="s">
        <v>41250</v>
      </c>
      <c r="P238">
        <v>0</v>
      </c>
      <c r="Q238">
        <v>1</v>
      </c>
      <c r="R238" t="s">
        <v>41251</v>
      </c>
      <c r="S238" t="s">
        <v>41369</v>
      </c>
      <c r="T238" t="s">
        <v>42673</v>
      </c>
      <c r="U238" t="s">
        <v>43404</v>
      </c>
      <c r="W238" t="s">
        <v>37614</v>
      </c>
      <c r="X238" t="s">
        <v>41252</v>
      </c>
    </row>
    <row r="239" spans="1:24">
      <c r="A239">
        <f>HYPERLINK("https://www.philgeps.gov.ph/GEPSNONPILOT/Tender/SplashBidNoticeAbstractUI.aspx?menuIndex=3&amp;refID=7076192&amp;Result=3","7076192")</f>
        <v>0</v>
      </c>
      <c r="B239" t="s">
        <v>145</v>
      </c>
      <c r="C239" t="s">
        <v>3603</v>
      </c>
      <c r="D239" t="s">
        <v>16619</v>
      </c>
      <c r="E239" t="s">
        <v>16938</v>
      </c>
      <c r="F239" t="s">
        <v>28669</v>
      </c>
      <c r="G239" t="s">
        <v>28676</v>
      </c>
      <c r="H239" t="s">
        <v>9998</v>
      </c>
      <c r="I239" t="s">
        <v>6606</v>
      </c>
      <c r="J239" t="s">
        <v>29026</v>
      </c>
      <c r="K239" t="s">
        <v>37210</v>
      </c>
      <c r="M239" t="s">
        <v>37622</v>
      </c>
      <c r="N239" t="s">
        <v>41249</v>
      </c>
      <c r="O239" t="s">
        <v>41250</v>
      </c>
      <c r="P239">
        <v>0</v>
      </c>
      <c r="Q239">
        <v>0</v>
      </c>
      <c r="R239" t="s">
        <v>41251</v>
      </c>
      <c r="S239" t="s">
        <v>41369</v>
      </c>
      <c r="T239" t="s">
        <v>42717</v>
      </c>
      <c r="U239" t="s">
        <v>43405</v>
      </c>
      <c r="V239" t="s">
        <v>54286</v>
      </c>
      <c r="W239" t="s">
        <v>37622</v>
      </c>
      <c r="X239" t="s">
        <v>41252</v>
      </c>
    </row>
    <row r="240" spans="1:24">
      <c r="A240">
        <f>HYPERLINK("https://www.philgeps.gov.ph/GEPSNONPILOT/Tender/SplashBidNoticeAbstractUI.aspx?menuIndex=3&amp;refID=7076157&amp;Result=3","7076157")</f>
        <v>0</v>
      </c>
      <c r="B240" t="s">
        <v>146</v>
      </c>
      <c r="C240" t="s">
        <v>3604</v>
      </c>
      <c r="D240" t="s">
        <v>16662</v>
      </c>
      <c r="E240" t="s">
        <v>16939</v>
      </c>
      <c r="F240" t="s">
        <v>28669</v>
      </c>
      <c r="G240" t="s">
        <v>28675</v>
      </c>
      <c r="H240" t="s">
        <v>9998</v>
      </c>
      <c r="I240" t="s">
        <v>28697</v>
      </c>
      <c r="J240" t="s">
        <v>29027</v>
      </c>
      <c r="K240" t="s">
        <v>37210</v>
      </c>
      <c r="L240" t="s">
        <v>146</v>
      </c>
      <c r="M240" t="s">
        <v>37623</v>
      </c>
      <c r="N240" t="s">
        <v>41249</v>
      </c>
      <c r="O240" t="s">
        <v>41250</v>
      </c>
      <c r="P240">
        <v>0</v>
      </c>
      <c r="Q240">
        <v>0</v>
      </c>
      <c r="R240" t="s">
        <v>41251</v>
      </c>
      <c r="S240" t="s">
        <v>41369</v>
      </c>
      <c r="T240" t="s">
        <v>42661</v>
      </c>
      <c r="U240" t="s">
        <v>43406</v>
      </c>
      <c r="W240" t="s">
        <v>37623</v>
      </c>
      <c r="X240" t="s">
        <v>41252</v>
      </c>
    </row>
    <row r="241" spans="1:24">
      <c r="A241">
        <f>HYPERLINK("https://www.philgeps.gov.ph/GEPSNONPILOT/Tender/SplashBidNoticeAbstractUI.aspx?menuIndex=3&amp;refID=7076189&amp;Result=3","7076189")</f>
        <v>0</v>
      </c>
      <c r="B241" t="s">
        <v>133</v>
      </c>
      <c r="C241" t="s">
        <v>3605</v>
      </c>
      <c r="D241" t="s">
        <v>16661</v>
      </c>
      <c r="E241" t="s">
        <v>16940</v>
      </c>
      <c r="F241" t="s">
        <v>28669</v>
      </c>
      <c r="G241" t="s">
        <v>28676</v>
      </c>
      <c r="H241" t="s">
        <v>28686</v>
      </c>
      <c r="I241" t="s">
        <v>28689</v>
      </c>
      <c r="J241" t="s">
        <v>29028</v>
      </c>
      <c r="K241" t="s">
        <v>37221</v>
      </c>
      <c r="M241" t="s">
        <v>37610</v>
      </c>
      <c r="N241" t="s">
        <v>41249</v>
      </c>
      <c r="O241" t="s">
        <v>41250</v>
      </c>
      <c r="P241">
        <v>0</v>
      </c>
      <c r="Q241">
        <v>0</v>
      </c>
      <c r="R241" t="s">
        <v>41251</v>
      </c>
      <c r="S241" t="s">
        <v>41369</v>
      </c>
      <c r="T241" t="s">
        <v>42733</v>
      </c>
      <c r="U241" t="s">
        <v>43407</v>
      </c>
      <c r="V241" t="s">
        <v>54284</v>
      </c>
      <c r="W241" t="s">
        <v>37610</v>
      </c>
      <c r="X241" t="s">
        <v>41252</v>
      </c>
    </row>
    <row r="242" spans="1:24">
      <c r="A242">
        <f>HYPERLINK("https://www.philgeps.gov.ph/GEPSNONPILOT/Tender/SplashBidNoticeAbstractUI.aspx?menuIndex=3&amp;refID=7076198&amp;Result=3","7076198")</f>
        <v>0</v>
      </c>
      <c r="B242" t="s">
        <v>132</v>
      </c>
      <c r="C242" t="s">
        <v>3606</v>
      </c>
      <c r="D242" t="s">
        <v>16639</v>
      </c>
      <c r="E242" t="s">
        <v>16941</v>
      </c>
      <c r="F242" t="s">
        <v>28669</v>
      </c>
      <c r="G242" t="s">
        <v>28676</v>
      </c>
      <c r="H242" t="s">
        <v>9998</v>
      </c>
      <c r="I242" t="s">
        <v>7352</v>
      </c>
      <c r="J242" t="s">
        <v>29029</v>
      </c>
      <c r="K242" t="s">
        <v>37204</v>
      </c>
      <c r="M242" t="s">
        <v>37608</v>
      </c>
      <c r="N242" t="s">
        <v>41249</v>
      </c>
      <c r="O242" t="s">
        <v>41250</v>
      </c>
      <c r="P242">
        <v>0</v>
      </c>
      <c r="Q242">
        <v>0</v>
      </c>
      <c r="R242" t="s">
        <v>41251</v>
      </c>
      <c r="S242" t="s">
        <v>41369</v>
      </c>
      <c r="T242" t="s">
        <v>42686</v>
      </c>
      <c r="U242" t="s">
        <v>43408</v>
      </c>
      <c r="W242" t="s">
        <v>37608</v>
      </c>
      <c r="X242" t="s">
        <v>41252</v>
      </c>
    </row>
    <row r="243" spans="1:24">
      <c r="A243">
        <f>HYPERLINK("https://www.philgeps.gov.ph/GEPSNONPILOT/Tender/SplashBidNoticeAbstractUI.aspx?menuIndex=3&amp;refID=7076188&amp;Result=3","7076188")</f>
        <v>0</v>
      </c>
      <c r="B243" t="s">
        <v>147</v>
      </c>
      <c r="C243" t="s">
        <v>3607</v>
      </c>
      <c r="D243" t="s">
        <v>16631</v>
      </c>
      <c r="E243" t="s">
        <v>16942</v>
      </c>
      <c r="F243" t="s">
        <v>28669</v>
      </c>
      <c r="G243" t="s">
        <v>28676</v>
      </c>
      <c r="H243" t="s">
        <v>9998</v>
      </c>
      <c r="I243" t="s">
        <v>28695</v>
      </c>
      <c r="J243" t="s">
        <v>28905</v>
      </c>
      <c r="K243" t="s">
        <v>37212</v>
      </c>
      <c r="M243" t="s">
        <v>37624</v>
      </c>
      <c r="N243" t="s">
        <v>41249</v>
      </c>
      <c r="O243" t="s">
        <v>41250</v>
      </c>
      <c r="P243">
        <v>0</v>
      </c>
      <c r="Q243">
        <v>0</v>
      </c>
      <c r="R243" t="s">
        <v>41251</v>
      </c>
      <c r="S243" t="s">
        <v>41369</v>
      </c>
      <c r="T243" t="s">
        <v>42714</v>
      </c>
      <c r="U243" t="s">
        <v>43409</v>
      </c>
      <c r="W243" t="s">
        <v>37624</v>
      </c>
      <c r="X243" t="s">
        <v>41252</v>
      </c>
    </row>
    <row r="244" spans="1:24">
      <c r="A244">
        <f>HYPERLINK("https://www.philgeps.gov.ph/GEPSNONPILOT/Tender/SplashBidNoticeAbstractUI.aspx?menuIndex=3&amp;refID=7076186&amp;Result=3","7076186")</f>
        <v>0</v>
      </c>
      <c r="B244" t="s">
        <v>148</v>
      </c>
      <c r="C244" t="s">
        <v>3608</v>
      </c>
      <c r="D244" t="s">
        <v>16620</v>
      </c>
      <c r="E244" t="s">
        <v>16943</v>
      </c>
      <c r="F244" t="s">
        <v>28669</v>
      </c>
      <c r="G244" t="s">
        <v>28676</v>
      </c>
      <c r="H244" t="s">
        <v>9998</v>
      </c>
      <c r="I244" t="s">
        <v>11593</v>
      </c>
      <c r="J244" t="s">
        <v>28990</v>
      </c>
      <c r="K244" t="s">
        <v>37206</v>
      </c>
      <c r="L244" t="s">
        <v>148</v>
      </c>
      <c r="M244" t="s">
        <v>37625</v>
      </c>
      <c r="N244" t="s">
        <v>41249</v>
      </c>
      <c r="O244" t="s">
        <v>41250</v>
      </c>
      <c r="P244">
        <v>0</v>
      </c>
      <c r="Q244">
        <v>0</v>
      </c>
      <c r="R244" t="s">
        <v>41251</v>
      </c>
      <c r="S244" t="s">
        <v>41369</v>
      </c>
      <c r="T244" t="s">
        <v>42730</v>
      </c>
      <c r="U244" t="s">
        <v>43410</v>
      </c>
      <c r="V244" t="s">
        <v>54287</v>
      </c>
      <c r="W244" t="s">
        <v>37625</v>
      </c>
      <c r="X244" t="s">
        <v>41252</v>
      </c>
    </row>
    <row r="245" spans="1:24">
      <c r="A245">
        <f>HYPERLINK("https://www.philgeps.gov.ph/GEPSNONPILOT/Tender/SplashBidNoticeAbstractUI.aspx?menuIndex=3&amp;refID=7076184&amp;Result=3","7076184")</f>
        <v>0</v>
      </c>
      <c r="B245" t="s">
        <v>133</v>
      </c>
      <c r="C245" t="s">
        <v>3609</v>
      </c>
      <c r="D245" t="s">
        <v>16661</v>
      </c>
      <c r="E245" t="s">
        <v>16944</v>
      </c>
      <c r="F245" t="s">
        <v>28669</v>
      </c>
      <c r="G245" t="s">
        <v>28676</v>
      </c>
      <c r="H245" t="s">
        <v>28686</v>
      </c>
      <c r="I245" t="s">
        <v>28689</v>
      </c>
      <c r="J245" t="s">
        <v>29030</v>
      </c>
      <c r="K245" t="s">
        <v>37206</v>
      </c>
      <c r="M245" t="s">
        <v>37610</v>
      </c>
      <c r="N245" t="s">
        <v>41249</v>
      </c>
      <c r="O245" t="s">
        <v>41250</v>
      </c>
      <c r="P245">
        <v>0</v>
      </c>
      <c r="Q245">
        <v>0</v>
      </c>
      <c r="R245" t="s">
        <v>41251</v>
      </c>
      <c r="S245" t="s">
        <v>41369</v>
      </c>
      <c r="T245" t="s">
        <v>42733</v>
      </c>
      <c r="U245" t="s">
        <v>43411</v>
      </c>
      <c r="V245" t="s">
        <v>54284</v>
      </c>
      <c r="W245" t="s">
        <v>37610</v>
      </c>
      <c r="X245" t="s">
        <v>41252</v>
      </c>
    </row>
    <row r="246" spans="1:24">
      <c r="A246">
        <f>HYPERLINK("https://www.philgeps.gov.ph/GEPSNONPILOT/Tender/SplashBidNoticeAbstractUI.aspx?menuIndex=3&amp;refID=7076182&amp;Result=3","7076182")</f>
        <v>0</v>
      </c>
      <c r="B246" t="s">
        <v>92</v>
      </c>
      <c r="C246" t="s">
        <v>3610</v>
      </c>
      <c r="D246" t="s">
        <v>16653</v>
      </c>
      <c r="E246" t="s">
        <v>3610</v>
      </c>
      <c r="F246" t="s">
        <v>28669</v>
      </c>
      <c r="G246" t="s">
        <v>28676</v>
      </c>
      <c r="H246" t="s">
        <v>9998</v>
      </c>
      <c r="I246" t="s">
        <v>28690</v>
      </c>
      <c r="J246" t="s">
        <v>29031</v>
      </c>
      <c r="K246" t="s">
        <v>37205</v>
      </c>
      <c r="L246" t="s">
        <v>92</v>
      </c>
      <c r="M246" t="s">
        <v>37567</v>
      </c>
      <c r="N246" t="s">
        <v>41249</v>
      </c>
      <c r="O246" t="s">
        <v>41250</v>
      </c>
      <c r="P246">
        <v>0</v>
      </c>
      <c r="Q246">
        <v>1</v>
      </c>
      <c r="R246" t="s">
        <v>41251</v>
      </c>
      <c r="S246" t="s">
        <v>41369</v>
      </c>
      <c r="T246" t="s">
        <v>42694</v>
      </c>
      <c r="U246" t="s">
        <v>43412</v>
      </c>
      <c r="W246" t="s">
        <v>37567</v>
      </c>
      <c r="X246" t="s">
        <v>41252</v>
      </c>
    </row>
    <row r="247" spans="1:24">
      <c r="A247">
        <f>HYPERLINK("https://www.philgeps.gov.ph/GEPSNONPILOT/Tender/SplashBidNoticeAbstractUI.aspx?menuIndex=3&amp;refID=7076180&amp;Result=3","7076180")</f>
        <v>0</v>
      </c>
      <c r="B247" t="s">
        <v>149</v>
      </c>
      <c r="C247" t="s">
        <v>3611</v>
      </c>
      <c r="D247" t="s">
        <v>16616</v>
      </c>
      <c r="E247" t="s">
        <v>16945</v>
      </c>
      <c r="F247" t="s">
        <v>28669</v>
      </c>
      <c r="G247" t="s">
        <v>28675</v>
      </c>
      <c r="H247" t="s">
        <v>28686</v>
      </c>
      <c r="I247" t="s">
        <v>28702</v>
      </c>
      <c r="J247" t="s">
        <v>29032</v>
      </c>
      <c r="K247" t="s">
        <v>37213</v>
      </c>
      <c r="M247" t="s">
        <v>37626</v>
      </c>
      <c r="N247" t="s">
        <v>41249</v>
      </c>
      <c r="O247" t="s">
        <v>41250</v>
      </c>
      <c r="P247">
        <v>0</v>
      </c>
      <c r="Q247">
        <v>0</v>
      </c>
      <c r="R247" t="s">
        <v>41251</v>
      </c>
      <c r="S247" t="s">
        <v>41369</v>
      </c>
      <c r="T247" t="s">
        <v>42739</v>
      </c>
      <c r="U247" t="s">
        <v>43413</v>
      </c>
      <c r="W247" t="s">
        <v>37626</v>
      </c>
      <c r="X247" t="s">
        <v>41252</v>
      </c>
    </row>
    <row r="248" spans="1:24">
      <c r="A248">
        <f>HYPERLINK("https://www.philgeps.gov.ph/GEPSNONPILOT/Tender/SplashBidNoticeAbstractUI.aspx?menuIndex=3&amp;refID=7076153&amp;Result=3","7076153")</f>
        <v>0</v>
      </c>
      <c r="B248" t="s">
        <v>128</v>
      </c>
      <c r="C248" t="s">
        <v>3612</v>
      </c>
      <c r="D248" t="s">
        <v>16642</v>
      </c>
      <c r="E248" t="s">
        <v>16946</v>
      </c>
      <c r="F248" t="s">
        <v>28669</v>
      </c>
      <c r="G248" t="s">
        <v>28675</v>
      </c>
      <c r="H248" t="s">
        <v>28686</v>
      </c>
      <c r="I248" t="s">
        <v>28689</v>
      </c>
      <c r="J248" t="s">
        <v>28905</v>
      </c>
      <c r="K248" t="s">
        <v>37221</v>
      </c>
      <c r="M248" t="s">
        <v>37604</v>
      </c>
      <c r="N248" t="s">
        <v>41249</v>
      </c>
      <c r="O248" t="s">
        <v>41250</v>
      </c>
      <c r="P248">
        <v>0</v>
      </c>
      <c r="Q248">
        <v>0</v>
      </c>
      <c r="R248" t="s">
        <v>41251</v>
      </c>
      <c r="S248" t="s">
        <v>41369</v>
      </c>
      <c r="T248" t="s">
        <v>42690</v>
      </c>
      <c r="U248" t="s">
        <v>43414</v>
      </c>
      <c r="W248" t="s">
        <v>37604</v>
      </c>
      <c r="X248" t="s">
        <v>41252</v>
      </c>
    </row>
    <row r="249" spans="1:24">
      <c r="A249">
        <f>HYPERLINK("https://www.philgeps.gov.ph/GEPSNONPILOT/Tender/SplashBidNoticeAbstractUI.aspx?menuIndex=3&amp;refID=7076158&amp;Result=3","7076158")</f>
        <v>0</v>
      </c>
      <c r="B249" t="s">
        <v>132</v>
      </c>
      <c r="C249" t="s">
        <v>3613</v>
      </c>
      <c r="D249" t="s">
        <v>16639</v>
      </c>
      <c r="E249" t="s">
        <v>16947</v>
      </c>
      <c r="F249" t="s">
        <v>28669</v>
      </c>
      <c r="G249" t="s">
        <v>28676</v>
      </c>
      <c r="H249" t="s">
        <v>9998</v>
      </c>
      <c r="I249" t="s">
        <v>28687</v>
      </c>
      <c r="J249" t="s">
        <v>28826</v>
      </c>
      <c r="K249" t="s">
        <v>37204</v>
      </c>
      <c r="M249" t="s">
        <v>37608</v>
      </c>
      <c r="N249" t="s">
        <v>41249</v>
      </c>
      <c r="O249" t="s">
        <v>41250</v>
      </c>
      <c r="P249">
        <v>0</v>
      </c>
      <c r="Q249">
        <v>0</v>
      </c>
      <c r="R249" t="s">
        <v>41251</v>
      </c>
      <c r="S249" t="s">
        <v>41369</v>
      </c>
      <c r="T249" t="s">
        <v>42686</v>
      </c>
      <c r="U249" t="s">
        <v>43415</v>
      </c>
      <c r="W249" t="s">
        <v>37608</v>
      </c>
      <c r="X249" t="s">
        <v>41252</v>
      </c>
    </row>
    <row r="250" spans="1:24">
      <c r="A250">
        <f>HYPERLINK("https://www.philgeps.gov.ph/GEPSNONPILOT/Tender/SplashBidNoticeAbstractUI.aspx?menuIndex=3&amp;refID=7076136&amp;Result=3","7076136")</f>
        <v>0</v>
      </c>
      <c r="B250" t="s">
        <v>127</v>
      </c>
      <c r="C250" t="s">
        <v>3614</v>
      </c>
      <c r="D250" t="s">
        <v>16618</v>
      </c>
      <c r="E250" t="s">
        <v>16948</v>
      </c>
      <c r="F250" t="s">
        <v>28669</v>
      </c>
      <c r="G250" t="s">
        <v>28675</v>
      </c>
      <c r="H250" t="s">
        <v>28686</v>
      </c>
      <c r="I250" t="s">
        <v>28689</v>
      </c>
      <c r="J250" t="s">
        <v>29033</v>
      </c>
      <c r="K250" t="s">
        <v>37214</v>
      </c>
      <c r="M250" t="s">
        <v>37603</v>
      </c>
      <c r="N250" t="s">
        <v>41249</v>
      </c>
      <c r="O250" t="s">
        <v>41250</v>
      </c>
      <c r="P250">
        <v>0</v>
      </c>
      <c r="Q250">
        <v>1</v>
      </c>
      <c r="R250" t="s">
        <v>41251</v>
      </c>
      <c r="S250" t="s">
        <v>41369</v>
      </c>
      <c r="T250" t="s">
        <v>42702</v>
      </c>
      <c r="U250" t="s">
        <v>43416</v>
      </c>
      <c r="V250" t="s">
        <v>54288</v>
      </c>
      <c r="W250" t="s">
        <v>37603</v>
      </c>
      <c r="X250" t="s">
        <v>41252</v>
      </c>
    </row>
    <row r="251" spans="1:24">
      <c r="A251">
        <f>HYPERLINK("https://www.philgeps.gov.ph/GEPSNONPILOT/Tender/SplashBidNoticeAbstractUI.aspx?menuIndex=3&amp;refID=7076135&amp;Result=3","7076135")</f>
        <v>0</v>
      </c>
      <c r="B251" t="s">
        <v>150</v>
      </c>
      <c r="C251" t="s">
        <v>3615</v>
      </c>
      <c r="D251" t="s">
        <v>16617</v>
      </c>
      <c r="E251" t="s">
        <v>16949</v>
      </c>
      <c r="F251" t="s">
        <v>28669</v>
      </c>
      <c r="G251" t="s">
        <v>28676</v>
      </c>
      <c r="H251" t="s">
        <v>9998</v>
      </c>
      <c r="I251" t="s">
        <v>5213</v>
      </c>
      <c r="J251" t="s">
        <v>29034</v>
      </c>
      <c r="K251" t="s">
        <v>37206</v>
      </c>
      <c r="M251" t="s">
        <v>37627</v>
      </c>
      <c r="N251" t="s">
        <v>41249</v>
      </c>
      <c r="O251" t="s">
        <v>41250</v>
      </c>
      <c r="P251">
        <v>0</v>
      </c>
      <c r="Q251">
        <v>0</v>
      </c>
      <c r="R251" t="s">
        <v>41251</v>
      </c>
      <c r="S251" t="s">
        <v>41369</v>
      </c>
      <c r="T251" t="s">
        <v>42738</v>
      </c>
      <c r="U251" t="s">
        <v>43417</v>
      </c>
      <c r="W251" t="s">
        <v>37627</v>
      </c>
      <c r="X251" t="s">
        <v>41252</v>
      </c>
    </row>
    <row r="252" spans="1:24">
      <c r="A252">
        <f>HYPERLINK("https://www.philgeps.gov.ph/GEPSNONPILOT/Tender/SplashBidNoticeAbstractUI.aspx?menuIndex=3&amp;refID=7076233&amp;Result=3","7076233")</f>
        <v>0</v>
      </c>
      <c r="B252" t="s">
        <v>151</v>
      </c>
      <c r="C252" t="s">
        <v>3616</v>
      </c>
      <c r="D252" t="s">
        <v>16632</v>
      </c>
      <c r="E252" t="s">
        <v>16950</v>
      </c>
      <c r="F252" t="s">
        <v>28669</v>
      </c>
      <c r="G252" t="s">
        <v>28675</v>
      </c>
      <c r="H252" t="s">
        <v>9998</v>
      </c>
      <c r="I252" t="s">
        <v>28687</v>
      </c>
      <c r="J252" t="s">
        <v>29035</v>
      </c>
      <c r="K252" t="s">
        <v>37215</v>
      </c>
      <c r="M252" t="s">
        <v>37628</v>
      </c>
      <c r="N252" t="s">
        <v>41249</v>
      </c>
      <c r="O252" t="s">
        <v>41250</v>
      </c>
      <c r="P252">
        <v>0</v>
      </c>
      <c r="Q252">
        <v>3</v>
      </c>
      <c r="R252" t="s">
        <v>41251</v>
      </c>
      <c r="S252" t="s">
        <v>41369</v>
      </c>
      <c r="T252" t="s">
        <v>42740</v>
      </c>
      <c r="U252" t="s">
        <v>43418</v>
      </c>
      <c r="W252" t="s">
        <v>55902</v>
      </c>
      <c r="X252" t="s">
        <v>41252</v>
      </c>
    </row>
    <row r="253" spans="1:24">
      <c r="A253">
        <f>HYPERLINK("https://www.philgeps.gov.ph/GEPSNONPILOT/Tender/SplashBidNoticeAbstractUI.aspx?menuIndex=3&amp;refID=7076111&amp;Result=3","7076111")</f>
        <v>0</v>
      </c>
      <c r="B253" t="s">
        <v>114</v>
      </c>
      <c r="C253" t="s">
        <v>3617</v>
      </c>
      <c r="D253" t="s">
        <v>16608</v>
      </c>
      <c r="E253" t="s">
        <v>16951</v>
      </c>
      <c r="F253" t="s">
        <v>28669</v>
      </c>
      <c r="G253" t="s">
        <v>28677</v>
      </c>
      <c r="H253" t="s">
        <v>9998</v>
      </c>
      <c r="I253" t="s">
        <v>28721</v>
      </c>
      <c r="J253" t="s">
        <v>29036</v>
      </c>
      <c r="K253" t="s">
        <v>37210</v>
      </c>
      <c r="M253" t="s">
        <v>37590</v>
      </c>
      <c r="N253" t="s">
        <v>41249</v>
      </c>
      <c r="O253" t="s">
        <v>41250</v>
      </c>
      <c r="P253">
        <v>0</v>
      </c>
      <c r="Q253">
        <v>1</v>
      </c>
      <c r="R253" t="s">
        <v>41251</v>
      </c>
      <c r="S253" t="s">
        <v>41369</v>
      </c>
      <c r="T253" t="s">
        <v>42741</v>
      </c>
      <c r="U253" t="s">
        <v>43419</v>
      </c>
      <c r="V253" t="s">
        <v>54282</v>
      </c>
      <c r="W253" t="s">
        <v>37590</v>
      </c>
      <c r="X253" t="s">
        <v>41252</v>
      </c>
    </row>
    <row r="254" spans="1:24">
      <c r="A254">
        <f>HYPERLINK("https://www.philgeps.gov.ph/GEPSNONPILOT/Tender/SplashBidNoticeAbstractUI.aspx?menuIndex=3&amp;refID=7076187&amp;Result=3","7076187")</f>
        <v>0</v>
      </c>
      <c r="B254" t="s">
        <v>152</v>
      </c>
      <c r="C254" t="s">
        <v>3618</v>
      </c>
      <c r="D254" t="s">
        <v>16641</v>
      </c>
      <c r="E254" t="s">
        <v>16952</v>
      </c>
      <c r="F254" t="s">
        <v>28669</v>
      </c>
      <c r="G254" t="s">
        <v>28676</v>
      </c>
      <c r="H254" t="s">
        <v>9998</v>
      </c>
      <c r="I254" t="s">
        <v>28722</v>
      </c>
      <c r="J254" t="s">
        <v>29037</v>
      </c>
      <c r="K254" t="s">
        <v>37206</v>
      </c>
      <c r="M254" t="s">
        <v>37629</v>
      </c>
      <c r="N254" t="s">
        <v>41249</v>
      </c>
      <c r="O254" t="s">
        <v>41250</v>
      </c>
      <c r="P254">
        <v>0</v>
      </c>
      <c r="Q254">
        <v>2</v>
      </c>
      <c r="R254" t="s">
        <v>41251</v>
      </c>
      <c r="S254" t="s">
        <v>41369</v>
      </c>
      <c r="T254" t="s">
        <v>42683</v>
      </c>
      <c r="U254" t="s">
        <v>43420</v>
      </c>
      <c r="W254" t="s">
        <v>37629</v>
      </c>
      <c r="X254" t="s">
        <v>41252</v>
      </c>
    </row>
    <row r="255" spans="1:24">
      <c r="A255">
        <f>HYPERLINK("https://www.philgeps.gov.ph/GEPSNONPILOT/Tender/SplashBidNoticeAbstractUI.aspx?menuIndex=3&amp;refID=7076232&amp;Result=3","7076232")</f>
        <v>0</v>
      </c>
      <c r="B255" t="s">
        <v>43</v>
      </c>
      <c r="C255" t="s">
        <v>3619</v>
      </c>
      <c r="D255" t="s">
        <v>16624</v>
      </c>
      <c r="E255" t="s">
        <v>16953</v>
      </c>
      <c r="F255" t="s">
        <v>28669</v>
      </c>
      <c r="G255" t="s">
        <v>28677</v>
      </c>
      <c r="H255" t="s">
        <v>9998</v>
      </c>
      <c r="I255" t="s">
        <v>7352</v>
      </c>
      <c r="J255" t="s">
        <v>29038</v>
      </c>
      <c r="K255" t="s">
        <v>37205</v>
      </c>
      <c r="M255" t="s">
        <v>37518</v>
      </c>
      <c r="N255" t="s">
        <v>41249</v>
      </c>
      <c r="O255" t="s">
        <v>41250</v>
      </c>
      <c r="P255">
        <v>0</v>
      </c>
      <c r="Q255">
        <v>0</v>
      </c>
      <c r="R255" t="s">
        <v>41251</v>
      </c>
      <c r="S255" t="s">
        <v>41369</v>
      </c>
      <c r="T255" t="s">
        <v>42736</v>
      </c>
      <c r="U255" t="s">
        <v>43421</v>
      </c>
      <c r="W255" t="s">
        <v>37518</v>
      </c>
      <c r="X255" t="s">
        <v>41252</v>
      </c>
    </row>
    <row r="256" spans="1:24">
      <c r="A256">
        <f>HYPERLINK("https://www.philgeps.gov.ph/GEPSNONPILOT/Tender/SplashBidNoticeAbstractUI.aspx?menuIndex=3&amp;refID=7076230&amp;Result=3","7076230")</f>
        <v>0</v>
      </c>
      <c r="B256" t="s">
        <v>153</v>
      </c>
      <c r="C256" t="s">
        <v>3620</v>
      </c>
      <c r="D256" t="s">
        <v>16657</v>
      </c>
      <c r="E256" t="s">
        <v>16954</v>
      </c>
      <c r="F256" t="s">
        <v>28669</v>
      </c>
      <c r="G256" t="s">
        <v>28676</v>
      </c>
      <c r="H256" t="s">
        <v>9998</v>
      </c>
      <c r="I256" t="s">
        <v>3718</v>
      </c>
      <c r="J256" t="s">
        <v>29039</v>
      </c>
      <c r="K256" t="s">
        <v>37209</v>
      </c>
      <c r="M256" t="s">
        <v>37630</v>
      </c>
      <c r="N256" t="s">
        <v>41249</v>
      </c>
      <c r="O256" t="s">
        <v>41250</v>
      </c>
      <c r="P256">
        <v>0</v>
      </c>
      <c r="Q256">
        <v>1</v>
      </c>
      <c r="R256" t="s">
        <v>41251</v>
      </c>
      <c r="S256" t="s">
        <v>41369</v>
      </c>
      <c r="T256" t="s">
        <v>42742</v>
      </c>
      <c r="U256" t="s">
        <v>43422</v>
      </c>
      <c r="W256" t="s">
        <v>37630</v>
      </c>
      <c r="X256" t="s">
        <v>41252</v>
      </c>
    </row>
    <row r="257" spans="1:24">
      <c r="A257">
        <f>HYPERLINK("https://www.philgeps.gov.ph/GEPSNONPILOT/Tender/SplashBidNoticeAbstractUI.aspx?menuIndex=3&amp;refID=7076185&amp;Result=3","7076185")</f>
        <v>0</v>
      </c>
      <c r="B257" t="s">
        <v>132</v>
      </c>
      <c r="C257" t="s">
        <v>3621</v>
      </c>
      <c r="D257" t="s">
        <v>16639</v>
      </c>
      <c r="E257" t="s">
        <v>16955</v>
      </c>
      <c r="F257" t="s">
        <v>28669</v>
      </c>
      <c r="G257" t="s">
        <v>28676</v>
      </c>
      <c r="H257" t="s">
        <v>9998</v>
      </c>
      <c r="I257" t="s">
        <v>6128</v>
      </c>
      <c r="J257" t="s">
        <v>29040</v>
      </c>
      <c r="K257" t="s">
        <v>37204</v>
      </c>
      <c r="M257" t="s">
        <v>37608</v>
      </c>
      <c r="N257" t="s">
        <v>41249</v>
      </c>
      <c r="O257" t="s">
        <v>41250</v>
      </c>
      <c r="P257">
        <v>0</v>
      </c>
      <c r="Q257">
        <v>4</v>
      </c>
      <c r="R257" t="s">
        <v>41251</v>
      </c>
      <c r="S257" t="s">
        <v>41369</v>
      </c>
      <c r="T257" t="s">
        <v>42686</v>
      </c>
      <c r="U257" t="s">
        <v>43423</v>
      </c>
      <c r="W257" t="s">
        <v>37608</v>
      </c>
      <c r="X257" t="s">
        <v>41252</v>
      </c>
    </row>
    <row r="258" spans="1:24">
      <c r="A258">
        <f>HYPERLINK("https://www.philgeps.gov.ph/GEPSNONPILOT/Tender/SplashBidNoticeAbstractUI.aspx?menuIndex=3&amp;refID=7076229&amp;Result=3","7076229")</f>
        <v>0</v>
      </c>
      <c r="B258" t="s">
        <v>154</v>
      </c>
      <c r="C258" t="s">
        <v>3622</v>
      </c>
      <c r="D258" t="s">
        <v>16621</v>
      </c>
      <c r="E258" t="s">
        <v>16956</v>
      </c>
      <c r="F258" t="s">
        <v>28669</v>
      </c>
      <c r="G258" t="s">
        <v>28675</v>
      </c>
      <c r="H258" t="s">
        <v>28686</v>
      </c>
      <c r="I258" t="s">
        <v>28689</v>
      </c>
      <c r="J258" t="s">
        <v>28845</v>
      </c>
      <c r="K258" t="s">
        <v>37206</v>
      </c>
      <c r="M258" t="s">
        <v>37631</v>
      </c>
      <c r="N258" t="s">
        <v>41249</v>
      </c>
      <c r="O258" t="s">
        <v>41250</v>
      </c>
      <c r="P258">
        <v>0</v>
      </c>
      <c r="Q258">
        <v>0</v>
      </c>
      <c r="R258" t="s">
        <v>41251</v>
      </c>
      <c r="S258" t="s">
        <v>41369</v>
      </c>
      <c r="T258" t="s">
        <v>42672</v>
      </c>
      <c r="U258" t="s">
        <v>43424</v>
      </c>
      <c r="W258" t="s">
        <v>37631</v>
      </c>
      <c r="X258" t="s">
        <v>41252</v>
      </c>
    </row>
    <row r="259" spans="1:24">
      <c r="A259">
        <f>HYPERLINK("https://www.philgeps.gov.ph/GEPSNONPILOT/Tender/SplashBidNoticeAbstractUI.aspx?menuIndex=3&amp;refID=7076225&amp;Result=3","7076225")</f>
        <v>0</v>
      </c>
      <c r="B259" t="s">
        <v>155</v>
      </c>
      <c r="C259" t="s">
        <v>3623</v>
      </c>
      <c r="D259" t="s">
        <v>16627</v>
      </c>
      <c r="E259" t="s">
        <v>16957</v>
      </c>
      <c r="F259" t="s">
        <v>28669</v>
      </c>
      <c r="G259" t="s">
        <v>28677</v>
      </c>
      <c r="H259" t="s">
        <v>9998</v>
      </c>
      <c r="I259" t="s">
        <v>6128</v>
      </c>
      <c r="J259" t="s">
        <v>29041</v>
      </c>
      <c r="K259" t="s">
        <v>37209</v>
      </c>
      <c r="M259" t="s">
        <v>37632</v>
      </c>
      <c r="N259" t="s">
        <v>41249</v>
      </c>
      <c r="O259" t="s">
        <v>41250</v>
      </c>
      <c r="P259">
        <v>0</v>
      </c>
      <c r="Q259">
        <v>0</v>
      </c>
      <c r="R259" t="s">
        <v>41251</v>
      </c>
      <c r="S259" t="s">
        <v>41369</v>
      </c>
      <c r="T259" t="s">
        <v>42743</v>
      </c>
      <c r="U259" t="s">
        <v>43425</v>
      </c>
      <c r="W259" t="s">
        <v>37632</v>
      </c>
      <c r="X259" t="s">
        <v>41252</v>
      </c>
    </row>
    <row r="260" spans="1:24">
      <c r="A260">
        <f>HYPERLINK("https://www.philgeps.gov.ph/GEPSNONPILOT/Tender/SplashBidNoticeAbstractUI.aspx?menuIndex=3&amp;refID=7076221&amp;Result=3","7076221")</f>
        <v>0</v>
      </c>
      <c r="B260" t="s">
        <v>156</v>
      </c>
      <c r="C260" t="s">
        <v>3624</v>
      </c>
      <c r="D260" t="s">
        <v>16663</v>
      </c>
      <c r="E260" t="s">
        <v>16958</v>
      </c>
      <c r="F260" t="s">
        <v>28669</v>
      </c>
      <c r="G260" t="s">
        <v>28676</v>
      </c>
      <c r="H260" t="s">
        <v>9998</v>
      </c>
      <c r="I260" t="s">
        <v>7352</v>
      </c>
      <c r="J260" t="s">
        <v>29042</v>
      </c>
      <c r="K260" t="s">
        <v>37209</v>
      </c>
      <c r="M260" t="s">
        <v>37633</v>
      </c>
      <c r="N260" t="s">
        <v>41249</v>
      </c>
      <c r="O260" t="s">
        <v>41250</v>
      </c>
      <c r="P260">
        <v>0</v>
      </c>
      <c r="Q260">
        <v>0</v>
      </c>
      <c r="R260" t="s">
        <v>41251</v>
      </c>
      <c r="S260" t="s">
        <v>41369</v>
      </c>
      <c r="T260" t="s">
        <v>42711</v>
      </c>
      <c r="U260" t="s">
        <v>43426</v>
      </c>
      <c r="V260" t="s">
        <v>54289</v>
      </c>
      <c r="W260" t="s">
        <v>37633</v>
      </c>
      <c r="X260" t="s">
        <v>41252</v>
      </c>
    </row>
    <row r="261" spans="1:24">
      <c r="A261">
        <f>HYPERLINK("https://www.philgeps.gov.ph/GEPSNONPILOT/Tender/SplashBidNoticeAbstractUI.aspx?menuIndex=3&amp;refID=7076220&amp;Result=3","7076220")</f>
        <v>0</v>
      </c>
      <c r="B261" t="s">
        <v>157</v>
      </c>
      <c r="C261" t="s">
        <v>3625</v>
      </c>
      <c r="D261" t="s">
        <v>16664</v>
      </c>
      <c r="E261" t="s">
        <v>16959</v>
      </c>
      <c r="F261" t="s">
        <v>28669</v>
      </c>
      <c r="G261" t="s">
        <v>28675</v>
      </c>
      <c r="H261" t="s">
        <v>9998</v>
      </c>
      <c r="I261" t="s">
        <v>28723</v>
      </c>
      <c r="J261" t="s">
        <v>29043</v>
      </c>
      <c r="K261" t="s">
        <v>37220</v>
      </c>
      <c r="M261" t="s">
        <v>37634</v>
      </c>
      <c r="N261" t="s">
        <v>41249</v>
      </c>
      <c r="O261" t="s">
        <v>41250</v>
      </c>
      <c r="P261">
        <v>0</v>
      </c>
      <c r="Q261">
        <v>0</v>
      </c>
      <c r="R261" t="s">
        <v>41251</v>
      </c>
      <c r="S261" t="s">
        <v>41369</v>
      </c>
      <c r="T261" t="s">
        <v>42744</v>
      </c>
      <c r="U261" t="s">
        <v>43427</v>
      </c>
      <c r="W261" t="s">
        <v>37634</v>
      </c>
      <c r="X261" t="s">
        <v>41252</v>
      </c>
    </row>
    <row r="262" spans="1:24">
      <c r="A262">
        <f>HYPERLINK("https://www.philgeps.gov.ph/GEPSNONPILOT/Tender/SplashBidNoticeAbstractUI.aspx?menuIndex=3&amp;refID=7076219&amp;Result=3","7076219")</f>
        <v>0</v>
      </c>
      <c r="B262" t="s">
        <v>148</v>
      </c>
      <c r="C262" t="s">
        <v>3608</v>
      </c>
      <c r="D262" t="s">
        <v>16620</v>
      </c>
      <c r="E262" t="s">
        <v>16960</v>
      </c>
      <c r="F262" t="s">
        <v>28669</v>
      </c>
      <c r="G262" t="s">
        <v>28676</v>
      </c>
      <c r="H262" t="s">
        <v>9998</v>
      </c>
      <c r="I262" t="s">
        <v>11593</v>
      </c>
      <c r="J262" t="s">
        <v>29044</v>
      </c>
      <c r="K262" t="s">
        <v>37206</v>
      </c>
      <c r="L262" t="s">
        <v>148</v>
      </c>
      <c r="M262" t="s">
        <v>37625</v>
      </c>
      <c r="N262" t="s">
        <v>41249</v>
      </c>
      <c r="O262" t="s">
        <v>41250</v>
      </c>
      <c r="P262">
        <v>0</v>
      </c>
      <c r="Q262">
        <v>0</v>
      </c>
      <c r="R262" t="s">
        <v>41251</v>
      </c>
      <c r="S262" t="s">
        <v>41369</v>
      </c>
      <c r="T262" t="s">
        <v>42730</v>
      </c>
      <c r="U262" t="s">
        <v>43410</v>
      </c>
      <c r="V262" t="s">
        <v>54290</v>
      </c>
      <c r="W262" t="s">
        <v>37625</v>
      </c>
      <c r="X262" t="s">
        <v>41252</v>
      </c>
    </row>
    <row r="263" spans="1:24">
      <c r="A263">
        <f>HYPERLINK("https://www.philgeps.gov.ph/GEPSNONPILOT/Tender/SplashBidNoticeAbstractUI.aspx?menuIndex=3&amp;refID=7076218&amp;Result=3","7076218")</f>
        <v>0</v>
      </c>
      <c r="B263" t="s">
        <v>126</v>
      </c>
      <c r="C263" t="s">
        <v>3626</v>
      </c>
      <c r="D263" t="s">
        <v>16608</v>
      </c>
      <c r="E263" t="s">
        <v>16961</v>
      </c>
      <c r="F263" t="s">
        <v>28669</v>
      </c>
      <c r="G263" t="s">
        <v>28676</v>
      </c>
      <c r="H263" t="s">
        <v>9998</v>
      </c>
      <c r="I263" t="s">
        <v>6128</v>
      </c>
      <c r="J263" t="s">
        <v>29045</v>
      </c>
      <c r="K263" t="s">
        <v>37209</v>
      </c>
      <c r="M263" t="s">
        <v>37602</v>
      </c>
      <c r="N263" t="s">
        <v>41249</v>
      </c>
      <c r="O263" t="s">
        <v>41250</v>
      </c>
      <c r="P263">
        <v>0</v>
      </c>
      <c r="Q263">
        <v>2</v>
      </c>
      <c r="R263" t="s">
        <v>41251</v>
      </c>
      <c r="S263" t="s">
        <v>41369</v>
      </c>
      <c r="T263" t="s">
        <v>42675</v>
      </c>
      <c r="U263" t="s">
        <v>43428</v>
      </c>
      <c r="W263" t="s">
        <v>37602</v>
      </c>
      <c r="X263" t="s">
        <v>41252</v>
      </c>
    </row>
    <row r="264" spans="1:24">
      <c r="A264">
        <f>HYPERLINK("https://www.philgeps.gov.ph/GEPSNONPILOT/Tender/SplashBidNoticeAbstractUI.aspx?menuIndex=3&amp;refID=7076216&amp;Result=3","7076216")</f>
        <v>0</v>
      </c>
      <c r="B264" t="s">
        <v>158</v>
      </c>
      <c r="C264" t="s">
        <v>3627</v>
      </c>
      <c r="D264" t="s">
        <v>16608</v>
      </c>
      <c r="E264" t="s">
        <v>16962</v>
      </c>
      <c r="F264" t="s">
        <v>28669</v>
      </c>
      <c r="G264" t="s">
        <v>28676</v>
      </c>
      <c r="H264" t="s">
        <v>9998</v>
      </c>
      <c r="I264" t="s">
        <v>28690</v>
      </c>
      <c r="J264" t="s">
        <v>29046</v>
      </c>
      <c r="K264" t="s">
        <v>37209</v>
      </c>
      <c r="M264" t="s">
        <v>37635</v>
      </c>
      <c r="N264" t="s">
        <v>41249</v>
      </c>
      <c r="O264" t="s">
        <v>41250</v>
      </c>
      <c r="P264">
        <v>0</v>
      </c>
      <c r="Q264">
        <v>1</v>
      </c>
      <c r="R264" t="s">
        <v>41251</v>
      </c>
      <c r="S264" t="s">
        <v>41369</v>
      </c>
      <c r="T264" t="s">
        <v>42675</v>
      </c>
      <c r="U264" t="s">
        <v>43429</v>
      </c>
      <c r="V264" t="s">
        <v>54291</v>
      </c>
      <c r="W264" t="s">
        <v>37635</v>
      </c>
      <c r="X264" t="s">
        <v>41252</v>
      </c>
    </row>
    <row r="265" spans="1:24">
      <c r="A265">
        <f>HYPERLINK("https://www.philgeps.gov.ph/GEPSNONPILOT/Tender/SplashBidNoticeAbstractUI.aspx?menuIndex=3&amp;refID=7076231&amp;Result=3","7076231")</f>
        <v>0</v>
      </c>
      <c r="B265" t="s">
        <v>159</v>
      </c>
      <c r="C265" t="s">
        <v>3628</v>
      </c>
      <c r="D265" t="s">
        <v>16621</v>
      </c>
      <c r="E265" t="s">
        <v>16963</v>
      </c>
      <c r="F265" t="s">
        <v>28669</v>
      </c>
      <c r="G265" t="s">
        <v>28675</v>
      </c>
      <c r="H265" t="s">
        <v>28686</v>
      </c>
      <c r="I265" t="s">
        <v>28689</v>
      </c>
      <c r="J265" t="s">
        <v>29047</v>
      </c>
      <c r="K265" t="s">
        <v>37213</v>
      </c>
      <c r="L265" t="s">
        <v>159</v>
      </c>
      <c r="M265" t="s">
        <v>37636</v>
      </c>
      <c r="N265" t="s">
        <v>41249</v>
      </c>
      <c r="O265" t="s">
        <v>41250</v>
      </c>
      <c r="P265">
        <v>0</v>
      </c>
      <c r="Q265">
        <v>2</v>
      </c>
      <c r="R265" t="s">
        <v>41251</v>
      </c>
      <c r="S265" t="s">
        <v>41369</v>
      </c>
      <c r="T265" t="s">
        <v>42720</v>
      </c>
      <c r="U265" t="s">
        <v>43430</v>
      </c>
      <c r="W265" t="s">
        <v>37636</v>
      </c>
      <c r="X265" t="s">
        <v>41252</v>
      </c>
    </row>
    <row r="266" spans="1:24">
      <c r="A266">
        <f>HYPERLINK("https://www.philgeps.gov.ph/GEPSNONPILOT/Tender/SplashBidNoticeAbstractUI.aspx?menuIndex=3&amp;refID=7076191&amp;Result=3","7076191")</f>
        <v>0</v>
      </c>
      <c r="B266" t="s">
        <v>153</v>
      </c>
      <c r="C266" t="s">
        <v>3620</v>
      </c>
      <c r="D266" t="s">
        <v>16657</v>
      </c>
      <c r="E266" t="s">
        <v>16964</v>
      </c>
      <c r="F266" t="s">
        <v>28669</v>
      </c>
      <c r="G266" t="s">
        <v>28676</v>
      </c>
      <c r="H266" t="s">
        <v>9998</v>
      </c>
      <c r="I266" t="s">
        <v>3718</v>
      </c>
      <c r="J266" t="s">
        <v>29048</v>
      </c>
      <c r="K266" t="s">
        <v>37209</v>
      </c>
      <c r="M266" t="s">
        <v>37630</v>
      </c>
      <c r="N266" t="s">
        <v>41249</v>
      </c>
      <c r="O266" t="s">
        <v>41250</v>
      </c>
      <c r="P266">
        <v>0</v>
      </c>
      <c r="Q266">
        <v>2</v>
      </c>
      <c r="R266" t="s">
        <v>41251</v>
      </c>
      <c r="S266" t="s">
        <v>41369</v>
      </c>
      <c r="T266" t="s">
        <v>42742</v>
      </c>
      <c r="U266" t="s">
        <v>43431</v>
      </c>
      <c r="W266" t="s">
        <v>37630</v>
      </c>
      <c r="X266" t="s">
        <v>41252</v>
      </c>
    </row>
    <row r="267" spans="1:24">
      <c r="A267">
        <f>HYPERLINK("https://www.philgeps.gov.ph/GEPSNONPILOT/Tender/SplashBidNoticeAbstractUI.aspx?menuIndex=3&amp;refID=7076222&amp;Result=3","7076222")</f>
        <v>0</v>
      </c>
      <c r="B267" t="s">
        <v>160</v>
      </c>
      <c r="C267" t="s">
        <v>3629</v>
      </c>
      <c r="D267" t="s">
        <v>16615</v>
      </c>
      <c r="E267" t="s">
        <v>16965</v>
      </c>
      <c r="F267" t="s">
        <v>28669</v>
      </c>
      <c r="G267" t="s">
        <v>28676</v>
      </c>
      <c r="H267" t="s">
        <v>9998</v>
      </c>
      <c r="I267" t="s">
        <v>28724</v>
      </c>
      <c r="J267" t="s">
        <v>28889</v>
      </c>
      <c r="K267" t="s">
        <v>37205</v>
      </c>
      <c r="M267" t="s">
        <v>37637</v>
      </c>
      <c r="N267" t="s">
        <v>41249</v>
      </c>
      <c r="O267" t="s">
        <v>41250</v>
      </c>
      <c r="P267">
        <v>0</v>
      </c>
      <c r="Q267">
        <v>2</v>
      </c>
      <c r="R267" t="s">
        <v>41251</v>
      </c>
      <c r="S267" t="s">
        <v>41369</v>
      </c>
      <c r="T267" t="s">
        <v>42675</v>
      </c>
      <c r="U267" t="s">
        <v>43432</v>
      </c>
      <c r="W267" t="s">
        <v>37637</v>
      </c>
      <c r="X267" t="s">
        <v>41252</v>
      </c>
    </row>
    <row r="268" spans="1:24">
      <c r="A268">
        <f>HYPERLINK("https://www.philgeps.gov.ph/GEPSNONPILOT/Tender/SplashBidNoticeAbstractUI.aspx?menuIndex=3&amp;refID=7076212&amp;Result=3","7076212")</f>
        <v>0</v>
      </c>
      <c r="B268" t="s">
        <v>161</v>
      </c>
      <c r="C268" t="s">
        <v>3630</v>
      </c>
      <c r="D268" t="s">
        <v>16665</v>
      </c>
      <c r="E268" t="s">
        <v>16966</v>
      </c>
      <c r="F268" t="s">
        <v>28669</v>
      </c>
      <c r="G268" t="s">
        <v>28677</v>
      </c>
      <c r="H268" t="s">
        <v>9998</v>
      </c>
      <c r="I268" t="s">
        <v>28725</v>
      </c>
      <c r="J268" t="s">
        <v>29049</v>
      </c>
      <c r="K268" t="s">
        <v>37210</v>
      </c>
      <c r="M268" t="s">
        <v>37638</v>
      </c>
      <c r="N268" t="s">
        <v>41249</v>
      </c>
      <c r="O268" t="s">
        <v>41250</v>
      </c>
      <c r="P268">
        <v>0</v>
      </c>
      <c r="Q268">
        <v>0</v>
      </c>
      <c r="R268" t="s">
        <v>41251</v>
      </c>
      <c r="S268" t="s">
        <v>41369</v>
      </c>
      <c r="T268" t="s">
        <v>42727</v>
      </c>
      <c r="U268" t="s">
        <v>43433</v>
      </c>
      <c r="W268" t="s">
        <v>37638</v>
      </c>
      <c r="X268" t="s">
        <v>41252</v>
      </c>
    </row>
    <row r="269" spans="1:24">
      <c r="A269">
        <f>HYPERLINK("https://www.philgeps.gov.ph/GEPSNONPILOT/Tender/SplashBidNoticeAbstractUI.aspx?menuIndex=3&amp;refID=7076208&amp;Result=3","7076208")</f>
        <v>0</v>
      </c>
      <c r="B269" t="s">
        <v>162</v>
      </c>
      <c r="C269" t="s">
        <v>3631</v>
      </c>
      <c r="D269" t="s">
        <v>16666</v>
      </c>
      <c r="E269" t="s">
        <v>16967</v>
      </c>
      <c r="F269" t="s">
        <v>28669</v>
      </c>
      <c r="G269" t="s">
        <v>28676</v>
      </c>
      <c r="H269" t="s">
        <v>28686</v>
      </c>
      <c r="I269" t="s">
        <v>28702</v>
      </c>
      <c r="J269" t="s">
        <v>29050</v>
      </c>
      <c r="K269" t="s">
        <v>37240</v>
      </c>
      <c r="M269" t="s">
        <v>37639</v>
      </c>
      <c r="N269" t="s">
        <v>41249</v>
      </c>
      <c r="O269" t="s">
        <v>41250</v>
      </c>
      <c r="P269">
        <v>0</v>
      </c>
      <c r="Q269">
        <v>0</v>
      </c>
      <c r="R269" t="s">
        <v>41251</v>
      </c>
      <c r="S269" t="s">
        <v>41369</v>
      </c>
      <c r="T269" t="s">
        <v>42745</v>
      </c>
      <c r="U269" t="s">
        <v>43434</v>
      </c>
      <c r="W269" t="s">
        <v>37639</v>
      </c>
      <c r="X269" t="s">
        <v>41252</v>
      </c>
    </row>
    <row r="270" spans="1:24">
      <c r="A270">
        <f>HYPERLINK("https://www.philgeps.gov.ph/GEPSNONPILOT/Tender/SplashBidNoticeAbstractUI.aspx?menuIndex=3&amp;refID=7076217&amp;Result=3","7076217")</f>
        <v>0</v>
      </c>
      <c r="B270" t="s">
        <v>163</v>
      </c>
      <c r="C270" t="s">
        <v>3632</v>
      </c>
      <c r="D270" t="s">
        <v>16665</v>
      </c>
      <c r="E270" t="s">
        <v>16968</v>
      </c>
      <c r="F270" t="s">
        <v>28669</v>
      </c>
      <c r="G270" t="s">
        <v>28675</v>
      </c>
      <c r="H270" t="s">
        <v>28686</v>
      </c>
      <c r="I270" t="s">
        <v>28689</v>
      </c>
      <c r="J270" t="s">
        <v>28850</v>
      </c>
      <c r="K270" t="s">
        <v>37215</v>
      </c>
      <c r="M270" t="s">
        <v>37640</v>
      </c>
      <c r="N270" t="s">
        <v>41249</v>
      </c>
      <c r="O270" t="s">
        <v>41250</v>
      </c>
      <c r="P270">
        <v>0</v>
      </c>
      <c r="Q270">
        <v>0</v>
      </c>
      <c r="R270" t="s">
        <v>41251</v>
      </c>
      <c r="S270" t="s">
        <v>41369</v>
      </c>
      <c r="T270" t="s">
        <v>42746</v>
      </c>
      <c r="U270" t="s">
        <v>43435</v>
      </c>
      <c r="W270" t="s">
        <v>37640</v>
      </c>
      <c r="X270" t="s">
        <v>41252</v>
      </c>
    </row>
    <row r="271" spans="1:24">
      <c r="A271">
        <f>HYPERLINK("https://www.philgeps.gov.ph/GEPSNONPILOT/Tender/SplashBidNoticeAbstractUI.aspx?menuIndex=3&amp;refID=7076133&amp;Result=3","7076133")</f>
        <v>0</v>
      </c>
      <c r="B271" t="s">
        <v>150</v>
      </c>
      <c r="C271" t="s">
        <v>3633</v>
      </c>
      <c r="D271" t="s">
        <v>16617</v>
      </c>
      <c r="E271" t="s">
        <v>16969</v>
      </c>
      <c r="F271" t="s">
        <v>28669</v>
      </c>
      <c r="G271" t="s">
        <v>28676</v>
      </c>
      <c r="H271" t="s">
        <v>9998</v>
      </c>
      <c r="I271" t="s">
        <v>28726</v>
      </c>
      <c r="J271" t="s">
        <v>29051</v>
      </c>
      <c r="K271" t="s">
        <v>37206</v>
      </c>
      <c r="M271" t="s">
        <v>37627</v>
      </c>
      <c r="N271" t="s">
        <v>41249</v>
      </c>
      <c r="O271" t="s">
        <v>41250</v>
      </c>
      <c r="P271">
        <v>0</v>
      </c>
      <c r="Q271">
        <v>0</v>
      </c>
      <c r="R271" t="s">
        <v>41251</v>
      </c>
      <c r="S271" t="s">
        <v>41369</v>
      </c>
      <c r="T271" t="s">
        <v>42738</v>
      </c>
      <c r="U271" t="s">
        <v>43436</v>
      </c>
      <c r="W271" t="s">
        <v>37627</v>
      </c>
      <c r="X271" t="s">
        <v>41252</v>
      </c>
    </row>
    <row r="272" spans="1:24">
      <c r="A272">
        <f>HYPERLINK("https://www.philgeps.gov.ph/GEPSNONPILOT/Tender/SplashBidNoticeAbstractUI.aspx?menuIndex=3&amp;refID=7076132&amp;Result=3","7076132")</f>
        <v>0</v>
      </c>
      <c r="B272" t="s">
        <v>150</v>
      </c>
      <c r="C272" t="s">
        <v>3634</v>
      </c>
      <c r="D272" t="s">
        <v>16617</v>
      </c>
      <c r="E272" t="s">
        <v>16970</v>
      </c>
      <c r="F272" t="s">
        <v>28669</v>
      </c>
      <c r="G272" t="s">
        <v>28676</v>
      </c>
      <c r="H272" t="s">
        <v>9998</v>
      </c>
      <c r="I272" t="s">
        <v>28726</v>
      </c>
      <c r="J272" t="s">
        <v>29051</v>
      </c>
      <c r="K272" t="s">
        <v>37206</v>
      </c>
      <c r="M272" t="s">
        <v>37627</v>
      </c>
      <c r="N272" t="s">
        <v>41249</v>
      </c>
      <c r="O272" t="s">
        <v>41250</v>
      </c>
      <c r="P272">
        <v>0</v>
      </c>
      <c r="Q272">
        <v>1</v>
      </c>
      <c r="R272" t="s">
        <v>41251</v>
      </c>
      <c r="S272" t="s">
        <v>41369</v>
      </c>
      <c r="T272" t="s">
        <v>42738</v>
      </c>
      <c r="U272" t="s">
        <v>43437</v>
      </c>
      <c r="W272" t="s">
        <v>37627</v>
      </c>
      <c r="X272" t="s">
        <v>41252</v>
      </c>
    </row>
    <row r="273" spans="1:24">
      <c r="A273">
        <f>HYPERLINK("https://www.philgeps.gov.ph/GEPSNONPILOT/Tender/SplashBidNoticeAbstractUI.aspx?menuIndex=3&amp;refID=7076226&amp;Result=3","7076226")</f>
        <v>0</v>
      </c>
      <c r="B273" t="s">
        <v>164</v>
      </c>
      <c r="C273" t="s">
        <v>3635</v>
      </c>
      <c r="D273" t="s">
        <v>16624</v>
      </c>
      <c r="E273" t="s">
        <v>16971</v>
      </c>
      <c r="F273" t="s">
        <v>28669</v>
      </c>
      <c r="G273" t="s">
        <v>28677</v>
      </c>
      <c r="H273" t="s">
        <v>9998</v>
      </c>
      <c r="I273" t="s">
        <v>28690</v>
      </c>
      <c r="J273" t="s">
        <v>29052</v>
      </c>
      <c r="K273" t="s">
        <v>37243</v>
      </c>
      <c r="M273" t="s">
        <v>37641</v>
      </c>
      <c r="N273" t="s">
        <v>41249</v>
      </c>
      <c r="O273" t="s">
        <v>41250</v>
      </c>
      <c r="P273">
        <v>0</v>
      </c>
      <c r="Q273">
        <v>1</v>
      </c>
      <c r="R273" t="s">
        <v>41251</v>
      </c>
      <c r="S273" t="s">
        <v>41369</v>
      </c>
      <c r="T273" t="s">
        <v>42726</v>
      </c>
      <c r="U273" t="s">
        <v>43438</v>
      </c>
      <c r="W273" t="s">
        <v>37641</v>
      </c>
      <c r="X273" t="s">
        <v>41252</v>
      </c>
    </row>
    <row r="274" spans="1:24">
      <c r="A274">
        <f>HYPERLINK("https://www.philgeps.gov.ph/GEPSNONPILOT/Tender/SplashBidNoticeAbstractUI.aspx?menuIndex=3&amp;refID=7076127&amp;Result=3","7076127")</f>
        <v>0</v>
      </c>
      <c r="B274" t="s">
        <v>165</v>
      </c>
      <c r="C274" t="s">
        <v>3636</v>
      </c>
      <c r="D274" t="s">
        <v>16611</v>
      </c>
      <c r="E274" t="s">
        <v>16972</v>
      </c>
      <c r="F274" t="s">
        <v>28669</v>
      </c>
      <c r="G274" t="s">
        <v>28676</v>
      </c>
      <c r="H274" t="s">
        <v>9998</v>
      </c>
      <c r="I274" t="s">
        <v>15140</v>
      </c>
      <c r="J274" t="s">
        <v>28912</v>
      </c>
      <c r="K274" t="s">
        <v>37205</v>
      </c>
      <c r="M274" t="s">
        <v>37642</v>
      </c>
      <c r="N274" t="s">
        <v>41249</v>
      </c>
      <c r="O274" t="s">
        <v>41250</v>
      </c>
      <c r="P274">
        <v>0</v>
      </c>
      <c r="Q274">
        <v>0</v>
      </c>
      <c r="R274" t="s">
        <v>41251</v>
      </c>
      <c r="S274" t="s">
        <v>41369</v>
      </c>
      <c r="T274" t="s">
        <v>42673</v>
      </c>
      <c r="U274" t="s">
        <v>43439</v>
      </c>
      <c r="V274" t="s">
        <v>54292</v>
      </c>
      <c r="W274" t="s">
        <v>37642</v>
      </c>
      <c r="X274" t="s">
        <v>41252</v>
      </c>
    </row>
    <row r="275" spans="1:24">
      <c r="A275">
        <f>HYPERLINK("https://www.philgeps.gov.ph/GEPSNONPILOT/Tender/SplashBidNoticeAbstractUI.aspx?menuIndex=3&amp;refID=7076125&amp;Result=3","7076125")</f>
        <v>0</v>
      </c>
      <c r="B275" t="s">
        <v>166</v>
      </c>
      <c r="C275" t="s">
        <v>3637</v>
      </c>
      <c r="D275" t="s">
        <v>16667</v>
      </c>
      <c r="E275" t="s">
        <v>16973</v>
      </c>
      <c r="F275" t="s">
        <v>28669</v>
      </c>
      <c r="G275" t="s">
        <v>28675</v>
      </c>
      <c r="H275" t="s">
        <v>9998</v>
      </c>
      <c r="I275" t="s">
        <v>28710</v>
      </c>
      <c r="J275" t="s">
        <v>29053</v>
      </c>
      <c r="K275" t="s">
        <v>37206</v>
      </c>
      <c r="M275" t="s">
        <v>37643</v>
      </c>
      <c r="N275" t="s">
        <v>41249</v>
      </c>
      <c r="O275" t="s">
        <v>41250</v>
      </c>
      <c r="P275">
        <v>0</v>
      </c>
      <c r="Q275">
        <v>0</v>
      </c>
      <c r="R275" t="s">
        <v>41251</v>
      </c>
      <c r="S275" t="s">
        <v>41369</v>
      </c>
      <c r="T275" t="s">
        <v>42704</v>
      </c>
      <c r="U275" t="s">
        <v>43440</v>
      </c>
      <c r="W275" t="s">
        <v>37643</v>
      </c>
      <c r="X275" t="s">
        <v>41252</v>
      </c>
    </row>
    <row r="276" spans="1:24">
      <c r="A276">
        <f>HYPERLINK("https://www.philgeps.gov.ph/GEPSNONPILOT/Tender/SplashBidNoticeAbstractUI.aspx?menuIndex=3&amp;refID=7076209&amp;Result=3","7076209")</f>
        <v>0</v>
      </c>
      <c r="B276" t="s">
        <v>158</v>
      </c>
      <c r="C276" t="s">
        <v>3638</v>
      </c>
      <c r="D276" t="s">
        <v>16608</v>
      </c>
      <c r="E276" t="s">
        <v>16974</v>
      </c>
      <c r="F276" t="s">
        <v>28669</v>
      </c>
      <c r="G276" t="s">
        <v>28676</v>
      </c>
      <c r="H276" t="s">
        <v>9998</v>
      </c>
      <c r="I276" t="s">
        <v>28690</v>
      </c>
      <c r="J276" t="s">
        <v>29054</v>
      </c>
      <c r="K276" t="s">
        <v>37209</v>
      </c>
      <c r="M276" t="s">
        <v>37635</v>
      </c>
      <c r="N276" t="s">
        <v>41249</v>
      </c>
      <c r="O276" t="s">
        <v>41250</v>
      </c>
      <c r="P276">
        <v>0</v>
      </c>
      <c r="Q276">
        <v>2</v>
      </c>
      <c r="R276" t="s">
        <v>41251</v>
      </c>
      <c r="S276" t="s">
        <v>41369</v>
      </c>
      <c r="T276" t="s">
        <v>42675</v>
      </c>
      <c r="U276" t="s">
        <v>43429</v>
      </c>
      <c r="V276" t="s">
        <v>54291</v>
      </c>
      <c r="W276" t="s">
        <v>37635</v>
      </c>
      <c r="X276" t="s">
        <v>41252</v>
      </c>
    </row>
    <row r="277" spans="1:24">
      <c r="A277">
        <f>HYPERLINK("https://www.philgeps.gov.ph/GEPSNONPILOT/Tender/SplashBidNoticeAbstractUI.aspx?menuIndex=3&amp;refID=7076207&amp;Result=3","7076207")</f>
        <v>0</v>
      </c>
      <c r="B277" t="s">
        <v>137</v>
      </c>
      <c r="C277" t="s">
        <v>3639</v>
      </c>
      <c r="D277" t="s">
        <v>16657</v>
      </c>
      <c r="E277" t="s">
        <v>16975</v>
      </c>
      <c r="F277" t="s">
        <v>28669</v>
      </c>
      <c r="G277" t="s">
        <v>28676</v>
      </c>
      <c r="H277" t="s">
        <v>9998</v>
      </c>
      <c r="I277" t="s">
        <v>28708</v>
      </c>
      <c r="J277" t="s">
        <v>29055</v>
      </c>
      <c r="K277" t="s">
        <v>37209</v>
      </c>
      <c r="M277" t="s">
        <v>37614</v>
      </c>
      <c r="N277" t="s">
        <v>41249</v>
      </c>
      <c r="O277" t="s">
        <v>41250</v>
      </c>
      <c r="P277">
        <v>0</v>
      </c>
      <c r="Q277">
        <v>2</v>
      </c>
      <c r="R277" t="s">
        <v>41251</v>
      </c>
      <c r="S277" t="s">
        <v>41369</v>
      </c>
      <c r="T277" t="s">
        <v>42673</v>
      </c>
      <c r="U277" t="s">
        <v>43441</v>
      </c>
      <c r="W277" t="s">
        <v>37614</v>
      </c>
      <c r="X277" t="s">
        <v>41252</v>
      </c>
    </row>
    <row r="278" spans="1:24">
      <c r="A278">
        <f>HYPERLINK("https://www.philgeps.gov.ph/GEPSNONPILOT/Tender/SplashBidNoticeAbstractUI.aspx?menuIndex=3&amp;refID=7076213&amp;Result=3","7076213")</f>
        <v>0</v>
      </c>
      <c r="B278" t="s">
        <v>167</v>
      </c>
      <c r="C278" t="s">
        <v>3640</v>
      </c>
      <c r="D278" t="s">
        <v>16658</v>
      </c>
      <c r="E278" t="s">
        <v>16976</v>
      </c>
      <c r="F278" t="s">
        <v>28669</v>
      </c>
      <c r="G278" t="s">
        <v>28675</v>
      </c>
      <c r="H278" t="s">
        <v>9998</v>
      </c>
      <c r="I278" t="s">
        <v>3718</v>
      </c>
      <c r="J278" t="s">
        <v>29056</v>
      </c>
      <c r="K278" t="s">
        <v>37209</v>
      </c>
      <c r="M278" t="s">
        <v>37644</v>
      </c>
      <c r="N278" t="s">
        <v>41249</v>
      </c>
      <c r="O278" t="s">
        <v>41250</v>
      </c>
      <c r="P278">
        <v>0</v>
      </c>
      <c r="Q278">
        <v>0</v>
      </c>
      <c r="R278" t="s">
        <v>41251</v>
      </c>
      <c r="S278" t="s">
        <v>41369</v>
      </c>
      <c r="T278" t="s">
        <v>42678</v>
      </c>
      <c r="U278" t="s">
        <v>43442</v>
      </c>
      <c r="V278" t="s">
        <v>54252</v>
      </c>
      <c r="W278" t="s">
        <v>37644</v>
      </c>
      <c r="X278" t="s">
        <v>41252</v>
      </c>
    </row>
    <row r="279" spans="1:24">
      <c r="A279">
        <f>HYPERLINK("https://www.philgeps.gov.ph/GEPSNONPILOT/Tender/SplashBidNoticeAbstractUI.aspx?menuIndex=3&amp;refID=7076258&amp;Result=3","7076258")</f>
        <v>0</v>
      </c>
      <c r="B279" t="s">
        <v>30</v>
      </c>
      <c r="C279" t="s">
        <v>3641</v>
      </c>
      <c r="D279" t="s">
        <v>16612</v>
      </c>
      <c r="E279" t="s">
        <v>16977</v>
      </c>
      <c r="F279" t="s">
        <v>28669</v>
      </c>
      <c r="G279" t="s">
        <v>28677</v>
      </c>
      <c r="H279" t="s">
        <v>9998</v>
      </c>
      <c r="I279" t="s">
        <v>6606</v>
      </c>
      <c r="J279" t="s">
        <v>29057</v>
      </c>
      <c r="K279" t="s">
        <v>37210</v>
      </c>
      <c r="M279" t="s">
        <v>37505</v>
      </c>
      <c r="N279" t="s">
        <v>41249</v>
      </c>
      <c r="O279" t="s">
        <v>41250</v>
      </c>
      <c r="P279">
        <v>0</v>
      </c>
      <c r="Q279">
        <v>0</v>
      </c>
      <c r="R279" t="s">
        <v>41251</v>
      </c>
      <c r="S279" t="s">
        <v>41369</v>
      </c>
      <c r="T279" t="s">
        <v>42665</v>
      </c>
      <c r="U279" t="s">
        <v>43443</v>
      </c>
      <c r="W279" t="s">
        <v>37505</v>
      </c>
      <c r="X279" t="s">
        <v>41252</v>
      </c>
    </row>
    <row r="280" spans="1:24">
      <c r="A280">
        <f>HYPERLINK("https://www.philgeps.gov.ph/GEPSNONPILOT/Tender/SplashBidNoticeAbstractUI.aspx?menuIndex=3&amp;refID=7076194&amp;Result=3","7076194")</f>
        <v>0</v>
      </c>
      <c r="B280" t="s">
        <v>165</v>
      </c>
      <c r="C280" t="s">
        <v>3636</v>
      </c>
      <c r="D280" t="s">
        <v>16658</v>
      </c>
      <c r="E280" t="s">
        <v>16978</v>
      </c>
      <c r="F280" t="s">
        <v>28669</v>
      </c>
      <c r="G280" t="s">
        <v>28676</v>
      </c>
      <c r="H280" t="s">
        <v>9998</v>
      </c>
      <c r="I280" t="s">
        <v>15140</v>
      </c>
      <c r="J280" t="s">
        <v>28834</v>
      </c>
      <c r="K280" t="s">
        <v>37205</v>
      </c>
      <c r="M280" t="s">
        <v>37642</v>
      </c>
      <c r="N280" t="s">
        <v>41249</v>
      </c>
      <c r="O280" t="s">
        <v>41250</v>
      </c>
      <c r="P280">
        <v>0</v>
      </c>
      <c r="Q280">
        <v>0</v>
      </c>
      <c r="R280" t="s">
        <v>41251</v>
      </c>
      <c r="S280" t="s">
        <v>41369</v>
      </c>
      <c r="T280" t="s">
        <v>42673</v>
      </c>
      <c r="U280" t="s">
        <v>43444</v>
      </c>
      <c r="V280" t="s">
        <v>54293</v>
      </c>
      <c r="W280" t="s">
        <v>37642</v>
      </c>
      <c r="X280" t="s">
        <v>41252</v>
      </c>
    </row>
    <row r="281" spans="1:24">
      <c r="A281">
        <f>HYPERLINK("https://www.philgeps.gov.ph/GEPSNONPILOT/Tender/SplashBidNoticeAbstractUI.aspx?menuIndex=3&amp;refID=7076262&amp;Result=3","7076262")</f>
        <v>0</v>
      </c>
      <c r="B281" t="s">
        <v>168</v>
      </c>
      <c r="C281" t="s">
        <v>3642</v>
      </c>
      <c r="E281" t="s">
        <v>16758</v>
      </c>
      <c r="F281" t="s">
        <v>28671</v>
      </c>
      <c r="G281" t="s">
        <v>28675</v>
      </c>
      <c r="H281" t="s">
        <v>28686</v>
      </c>
      <c r="I281" t="s">
        <v>28689</v>
      </c>
      <c r="J281" t="s">
        <v>29058</v>
      </c>
      <c r="K281" t="s">
        <v>37205</v>
      </c>
      <c r="M281" t="s">
        <v>37645</v>
      </c>
      <c r="N281" t="s">
        <v>41249</v>
      </c>
      <c r="O281" t="s">
        <v>41250</v>
      </c>
      <c r="P281">
        <v>0</v>
      </c>
      <c r="Q281">
        <v>0</v>
      </c>
      <c r="R281" t="s">
        <v>41251</v>
      </c>
      <c r="S281" t="s">
        <v>41369</v>
      </c>
      <c r="T281" t="s">
        <v>42747</v>
      </c>
      <c r="U281" t="s">
        <v>43445</v>
      </c>
      <c r="W281" t="s">
        <v>37645</v>
      </c>
      <c r="X281" t="s">
        <v>41252</v>
      </c>
    </row>
    <row r="282" spans="1:24">
      <c r="A282">
        <f>HYPERLINK("https://www.philgeps.gov.ph/GEPSNONPILOT/Tender/SplashBidNoticeAbstractUI.aspx?menuIndex=3&amp;refID=7076131&amp;Result=3","7076131")</f>
        <v>0</v>
      </c>
      <c r="B282" t="s">
        <v>166</v>
      </c>
      <c r="C282" t="s">
        <v>3643</v>
      </c>
      <c r="D282" t="s">
        <v>16667</v>
      </c>
      <c r="E282" t="s">
        <v>16979</v>
      </c>
      <c r="F282" t="s">
        <v>28669</v>
      </c>
      <c r="G282" t="s">
        <v>28675</v>
      </c>
      <c r="H282" t="s">
        <v>9998</v>
      </c>
      <c r="I282" t="s">
        <v>28710</v>
      </c>
      <c r="J282" t="s">
        <v>29059</v>
      </c>
      <c r="K282" t="s">
        <v>37206</v>
      </c>
      <c r="M282" t="s">
        <v>37643</v>
      </c>
      <c r="N282" t="s">
        <v>41249</v>
      </c>
      <c r="O282" t="s">
        <v>41250</v>
      </c>
      <c r="P282">
        <v>0</v>
      </c>
      <c r="Q282">
        <v>1</v>
      </c>
      <c r="R282" t="s">
        <v>41251</v>
      </c>
      <c r="S282" t="s">
        <v>41369</v>
      </c>
      <c r="T282" t="s">
        <v>42704</v>
      </c>
      <c r="U282" t="s">
        <v>43446</v>
      </c>
      <c r="W282" t="s">
        <v>37643</v>
      </c>
      <c r="X282" t="s">
        <v>41252</v>
      </c>
    </row>
    <row r="283" spans="1:24">
      <c r="A283">
        <f>HYPERLINK("https://www.philgeps.gov.ph/GEPSNONPILOT/Tender/SplashBidNoticeAbstractUI.aspx?menuIndex=3&amp;refID=7076261&amp;Result=3","7076261")</f>
        <v>0</v>
      </c>
      <c r="B283" t="s">
        <v>169</v>
      </c>
      <c r="C283" t="s">
        <v>3644</v>
      </c>
      <c r="D283" t="s">
        <v>16611</v>
      </c>
      <c r="E283" t="s">
        <v>16980</v>
      </c>
      <c r="F283" t="s">
        <v>28669</v>
      </c>
      <c r="G283" t="s">
        <v>28675</v>
      </c>
      <c r="H283" t="s">
        <v>9998</v>
      </c>
      <c r="I283" t="s">
        <v>28687</v>
      </c>
      <c r="J283" t="s">
        <v>29002</v>
      </c>
      <c r="K283" t="s">
        <v>37206</v>
      </c>
      <c r="M283" t="s">
        <v>37646</v>
      </c>
      <c r="N283" t="s">
        <v>41249</v>
      </c>
      <c r="O283" t="s">
        <v>41250</v>
      </c>
      <c r="P283">
        <v>0</v>
      </c>
      <c r="Q283">
        <v>4</v>
      </c>
      <c r="R283" t="s">
        <v>41251</v>
      </c>
      <c r="S283" t="s">
        <v>41369</v>
      </c>
      <c r="T283" t="s">
        <v>42688</v>
      </c>
      <c r="U283" t="s">
        <v>43447</v>
      </c>
      <c r="V283" t="s">
        <v>54294</v>
      </c>
      <c r="W283" t="s">
        <v>37646</v>
      </c>
      <c r="X283" t="s">
        <v>41252</v>
      </c>
    </row>
    <row r="284" spans="1:24">
      <c r="A284">
        <f>HYPERLINK("https://www.philgeps.gov.ph/GEPSNONPILOT/Tender/SplashBidNoticeAbstractUI.aspx?menuIndex=3&amp;refID=7076260&amp;Result=3","7076260")</f>
        <v>0</v>
      </c>
      <c r="B284" t="s">
        <v>170</v>
      </c>
      <c r="C284" t="s">
        <v>3645</v>
      </c>
      <c r="D284" t="s">
        <v>16639</v>
      </c>
      <c r="E284" t="s">
        <v>16981</v>
      </c>
      <c r="F284" t="s">
        <v>28669</v>
      </c>
      <c r="G284" t="s">
        <v>28675</v>
      </c>
      <c r="H284" t="s">
        <v>28686</v>
      </c>
      <c r="I284" t="s">
        <v>28689</v>
      </c>
      <c r="J284" t="s">
        <v>29053</v>
      </c>
      <c r="K284" t="s">
        <v>37244</v>
      </c>
      <c r="M284" t="s">
        <v>37647</v>
      </c>
      <c r="N284" t="s">
        <v>41249</v>
      </c>
      <c r="O284" t="s">
        <v>41250</v>
      </c>
      <c r="P284">
        <v>0</v>
      </c>
      <c r="Q284">
        <v>0</v>
      </c>
      <c r="R284" t="s">
        <v>41251</v>
      </c>
      <c r="S284" t="s">
        <v>41369</v>
      </c>
      <c r="T284" t="s">
        <v>42692</v>
      </c>
      <c r="U284" t="s">
        <v>43448</v>
      </c>
      <c r="V284" t="s">
        <v>54295</v>
      </c>
      <c r="W284" t="s">
        <v>37647</v>
      </c>
      <c r="X284" t="s">
        <v>41252</v>
      </c>
    </row>
    <row r="285" spans="1:24">
      <c r="A285">
        <f>HYPERLINK("https://www.philgeps.gov.ph/GEPSNONPILOT/Tender/SplashBidNoticeAbstractUI.aspx?menuIndex=3&amp;refID=7076107&amp;Result=3","7076107")</f>
        <v>0</v>
      </c>
      <c r="B285" t="s">
        <v>171</v>
      </c>
      <c r="C285" t="s">
        <v>3646</v>
      </c>
      <c r="D285" t="s">
        <v>16621</v>
      </c>
      <c r="E285" t="s">
        <v>16982</v>
      </c>
      <c r="F285" t="s">
        <v>28669</v>
      </c>
      <c r="G285" t="s">
        <v>28680</v>
      </c>
      <c r="H285" t="s">
        <v>9998</v>
      </c>
      <c r="I285" t="s">
        <v>3718</v>
      </c>
      <c r="J285" t="s">
        <v>29060</v>
      </c>
      <c r="K285" t="s">
        <v>37210</v>
      </c>
      <c r="M285" t="s">
        <v>37648</v>
      </c>
      <c r="N285" t="s">
        <v>41249</v>
      </c>
      <c r="O285" t="s">
        <v>41250</v>
      </c>
      <c r="P285">
        <v>0</v>
      </c>
      <c r="Q285">
        <v>0</v>
      </c>
      <c r="R285" t="s">
        <v>41251</v>
      </c>
      <c r="S285" t="s">
        <v>41369</v>
      </c>
      <c r="T285" t="s">
        <v>42686</v>
      </c>
      <c r="U285" t="s">
        <v>43449</v>
      </c>
      <c r="W285" t="s">
        <v>37648</v>
      </c>
      <c r="X285" t="s">
        <v>41252</v>
      </c>
    </row>
    <row r="286" spans="1:24">
      <c r="A286">
        <f>HYPERLINK("https://www.philgeps.gov.ph/GEPSNONPILOT/Tender/SplashBidNoticeAbstractUI.aspx?menuIndex=3&amp;refID=7076124&amp;Result=3","7076124")</f>
        <v>0</v>
      </c>
      <c r="B286" t="s">
        <v>165</v>
      </c>
      <c r="C286" t="s">
        <v>3636</v>
      </c>
      <c r="D286" t="s">
        <v>16658</v>
      </c>
      <c r="E286" t="s">
        <v>16983</v>
      </c>
      <c r="F286" t="s">
        <v>28669</v>
      </c>
      <c r="G286" t="s">
        <v>28676</v>
      </c>
      <c r="H286" t="s">
        <v>9998</v>
      </c>
      <c r="I286" t="s">
        <v>15140</v>
      </c>
      <c r="J286" t="s">
        <v>28912</v>
      </c>
      <c r="K286" t="s">
        <v>37205</v>
      </c>
      <c r="M286" t="s">
        <v>37642</v>
      </c>
      <c r="N286" t="s">
        <v>41249</v>
      </c>
      <c r="O286" t="s">
        <v>41250</v>
      </c>
      <c r="P286">
        <v>0</v>
      </c>
      <c r="Q286">
        <v>0</v>
      </c>
      <c r="R286" t="s">
        <v>41251</v>
      </c>
      <c r="S286" t="s">
        <v>41369</v>
      </c>
      <c r="T286" t="s">
        <v>42673</v>
      </c>
      <c r="U286" t="s">
        <v>43450</v>
      </c>
      <c r="V286" t="s">
        <v>54296</v>
      </c>
      <c r="W286" t="s">
        <v>37642</v>
      </c>
      <c r="X286" t="s">
        <v>41252</v>
      </c>
    </row>
    <row r="287" spans="1:24">
      <c r="A287">
        <f>HYPERLINK("https://www.philgeps.gov.ph/GEPSNONPILOT/Tender/SplashBidNoticeAbstractUI.aspx?menuIndex=3&amp;refID=7076252&amp;Result=3","7076252")</f>
        <v>0</v>
      </c>
      <c r="B287" t="s">
        <v>172</v>
      </c>
      <c r="C287" t="s">
        <v>3647</v>
      </c>
      <c r="D287" t="s">
        <v>16625</v>
      </c>
      <c r="E287" t="s">
        <v>16984</v>
      </c>
      <c r="F287" t="s">
        <v>28669</v>
      </c>
      <c r="G287" t="s">
        <v>28677</v>
      </c>
      <c r="H287" t="s">
        <v>9998</v>
      </c>
      <c r="I287" t="s">
        <v>3718</v>
      </c>
      <c r="J287" t="s">
        <v>29061</v>
      </c>
      <c r="K287" t="s">
        <v>37209</v>
      </c>
      <c r="M287" t="s">
        <v>37649</v>
      </c>
      <c r="N287" t="s">
        <v>41249</v>
      </c>
      <c r="O287" t="s">
        <v>41250</v>
      </c>
      <c r="P287">
        <v>0</v>
      </c>
      <c r="Q287">
        <v>0</v>
      </c>
      <c r="R287" t="s">
        <v>41251</v>
      </c>
      <c r="S287" t="s">
        <v>41369</v>
      </c>
      <c r="T287" t="s">
        <v>42748</v>
      </c>
      <c r="U287" t="s">
        <v>43451</v>
      </c>
      <c r="W287" t="s">
        <v>37649</v>
      </c>
      <c r="X287" t="s">
        <v>41252</v>
      </c>
    </row>
    <row r="288" spans="1:24">
      <c r="A288">
        <f>HYPERLINK("https://www.philgeps.gov.ph/GEPSNONPILOT/Tender/SplashBidNoticeAbstractUI.aspx?menuIndex=3&amp;refID=7076250&amp;Result=3","7076250")</f>
        <v>0</v>
      </c>
      <c r="B288" t="s">
        <v>173</v>
      </c>
      <c r="C288" t="s">
        <v>3648</v>
      </c>
      <c r="D288" t="s">
        <v>16615</v>
      </c>
      <c r="E288" t="s">
        <v>16985</v>
      </c>
      <c r="F288" t="s">
        <v>28669</v>
      </c>
      <c r="G288" t="s">
        <v>28676</v>
      </c>
      <c r="H288" t="s">
        <v>9998</v>
      </c>
      <c r="I288" t="s">
        <v>28697</v>
      </c>
      <c r="J288" t="s">
        <v>29062</v>
      </c>
      <c r="K288" t="s">
        <v>37204</v>
      </c>
      <c r="M288" t="s">
        <v>37650</v>
      </c>
      <c r="N288" t="s">
        <v>41249</v>
      </c>
      <c r="O288" t="s">
        <v>41250</v>
      </c>
      <c r="P288">
        <v>0</v>
      </c>
      <c r="Q288">
        <v>6</v>
      </c>
      <c r="R288" t="s">
        <v>41251</v>
      </c>
      <c r="S288" t="s">
        <v>41369</v>
      </c>
      <c r="T288" t="s">
        <v>42675</v>
      </c>
      <c r="U288" t="s">
        <v>43452</v>
      </c>
      <c r="W288" t="s">
        <v>37650</v>
      </c>
      <c r="X288" t="s">
        <v>41252</v>
      </c>
    </row>
    <row r="289" spans="1:24">
      <c r="A289">
        <f>HYPERLINK("https://www.philgeps.gov.ph/GEPSNONPILOT/Tender/SplashBidNoticeAbstractUI.aspx?menuIndex=3&amp;refID=7076247&amp;Result=3","7076247")</f>
        <v>0</v>
      </c>
      <c r="B289" t="s">
        <v>174</v>
      </c>
      <c r="C289" t="s">
        <v>3649</v>
      </c>
      <c r="D289" t="s">
        <v>16631</v>
      </c>
      <c r="E289" t="s">
        <v>16986</v>
      </c>
      <c r="F289" t="s">
        <v>28669</v>
      </c>
      <c r="G289" t="s">
        <v>28676</v>
      </c>
      <c r="H289" t="s">
        <v>9998</v>
      </c>
      <c r="I289" t="s">
        <v>28727</v>
      </c>
      <c r="J289" t="s">
        <v>29063</v>
      </c>
      <c r="K289" t="s">
        <v>37204</v>
      </c>
      <c r="M289" t="s">
        <v>37651</v>
      </c>
      <c r="N289" t="s">
        <v>41249</v>
      </c>
      <c r="O289" t="s">
        <v>41250</v>
      </c>
      <c r="P289">
        <v>0</v>
      </c>
      <c r="Q289">
        <v>0</v>
      </c>
      <c r="R289" t="s">
        <v>41251</v>
      </c>
      <c r="S289" t="s">
        <v>41369</v>
      </c>
      <c r="T289" t="s">
        <v>42675</v>
      </c>
      <c r="U289" t="s">
        <v>43453</v>
      </c>
      <c r="V289" t="s">
        <v>54297</v>
      </c>
      <c r="W289" t="s">
        <v>37651</v>
      </c>
      <c r="X289" t="s">
        <v>41252</v>
      </c>
    </row>
    <row r="290" spans="1:24">
      <c r="A290">
        <f>HYPERLINK("https://www.philgeps.gov.ph/GEPSNONPILOT/Tender/SplashBidNoticeAbstractUI.aspx?menuIndex=3&amp;refID=7076245&amp;Result=3","7076245")</f>
        <v>0</v>
      </c>
      <c r="B290" t="s">
        <v>175</v>
      </c>
      <c r="C290" t="s">
        <v>3650</v>
      </c>
      <c r="D290" t="s">
        <v>16668</v>
      </c>
      <c r="E290" t="s">
        <v>16987</v>
      </c>
      <c r="F290" t="s">
        <v>28669</v>
      </c>
      <c r="G290" t="s">
        <v>28676</v>
      </c>
      <c r="H290" t="s">
        <v>9998</v>
      </c>
      <c r="I290" t="s">
        <v>28728</v>
      </c>
      <c r="J290" t="s">
        <v>29064</v>
      </c>
      <c r="K290" t="s">
        <v>37209</v>
      </c>
      <c r="M290" t="s">
        <v>37652</v>
      </c>
      <c r="N290" t="s">
        <v>41249</v>
      </c>
      <c r="O290" t="s">
        <v>41250</v>
      </c>
      <c r="P290">
        <v>0</v>
      </c>
      <c r="Q290">
        <v>0</v>
      </c>
      <c r="R290" t="s">
        <v>41251</v>
      </c>
      <c r="S290" t="s">
        <v>41369</v>
      </c>
      <c r="T290" t="s">
        <v>42673</v>
      </c>
      <c r="U290" t="s">
        <v>43454</v>
      </c>
      <c r="V290" t="s">
        <v>54298</v>
      </c>
      <c r="W290" t="s">
        <v>37652</v>
      </c>
      <c r="X290" t="s">
        <v>41252</v>
      </c>
    </row>
    <row r="291" spans="1:24">
      <c r="A291">
        <f>HYPERLINK("https://www.philgeps.gov.ph/GEPSNONPILOT/Tender/SplashBidNoticeAbstractUI.aspx?menuIndex=3&amp;refID=7076242&amp;Result=3","7076242")</f>
        <v>0</v>
      </c>
      <c r="B291" t="s">
        <v>176</v>
      </c>
      <c r="C291" t="s">
        <v>3651</v>
      </c>
      <c r="D291" t="s">
        <v>16655</v>
      </c>
      <c r="E291" t="s">
        <v>16988</v>
      </c>
      <c r="F291" t="s">
        <v>28669</v>
      </c>
      <c r="G291" t="s">
        <v>28675</v>
      </c>
      <c r="H291" t="s">
        <v>28686</v>
      </c>
      <c r="I291" t="s">
        <v>28689</v>
      </c>
      <c r="J291" t="s">
        <v>29065</v>
      </c>
      <c r="K291" t="s">
        <v>37215</v>
      </c>
      <c r="M291" t="s">
        <v>37653</v>
      </c>
      <c r="N291" t="s">
        <v>41249</v>
      </c>
      <c r="O291" t="s">
        <v>41250</v>
      </c>
      <c r="P291">
        <v>0</v>
      </c>
      <c r="Q291">
        <v>0</v>
      </c>
      <c r="R291" t="s">
        <v>41251</v>
      </c>
      <c r="S291" t="s">
        <v>41369</v>
      </c>
      <c r="T291" t="s">
        <v>42749</v>
      </c>
      <c r="U291" t="s">
        <v>43455</v>
      </c>
      <c r="W291" t="s">
        <v>37653</v>
      </c>
      <c r="X291" t="s">
        <v>41252</v>
      </c>
    </row>
    <row r="292" spans="1:24">
      <c r="A292">
        <f>HYPERLINK("https://www.philgeps.gov.ph/GEPSNONPILOT/Tender/SplashBidNoticeAbstractUI.aspx?menuIndex=3&amp;refID=7076255&amp;Result=3","7076255")</f>
        <v>0</v>
      </c>
      <c r="B292" t="s">
        <v>177</v>
      </c>
      <c r="C292" t="s">
        <v>3652</v>
      </c>
      <c r="D292" t="s">
        <v>16633</v>
      </c>
      <c r="E292" t="s">
        <v>16989</v>
      </c>
      <c r="F292" t="s">
        <v>28669</v>
      </c>
      <c r="G292" t="s">
        <v>28676</v>
      </c>
      <c r="H292" t="s">
        <v>9998</v>
      </c>
      <c r="I292" t="s">
        <v>28729</v>
      </c>
      <c r="J292" t="s">
        <v>29066</v>
      </c>
      <c r="K292" t="s">
        <v>37205</v>
      </c>
      <c r="M292" t="s">
        <v>37654</v>
      </c>
      <c r="N292" t="s">
        <v>41249</v>
      </c>
      <c r="O292" t="s">
        <v>41250</v>
      </c>
      <c r="P292">
        <v>0</v>
      </c>
      <c r="Q292">
        <v>0</v>
      </c>
      <c r="R292" t="s">
        <v>41251</v>
      </c>
      <c r="S292" t="s">
        <v>41369</v>
      </c>
      <c r="T292" t="s">
        <v>42711</v>
      </c>
      <c r="U292" t="s">
        <v>43456</v>
      </c>
      <c r="V292" t="s">
        <v>54299</v>
      </c>
      <c r="W292" t="s">
        <v>37654</v>
      </c>
      <c r="X292" t="s">
        <v>41252</v>
      </c>
    </row>
    <row r="293" spans="1:24">
      <c r="A293">
        <f>HYPERLINK("https://www.philgeps.gov.ph/GEPSNONPILOT/Tender/SplashBidNoticeAbstractUI.aspx?menuIndex=3&amp;refID=7076241&amp;Result=3","7076241")</f>
        <v>0</v>
      </c>
      <c r="B293" t="s">
        <v>178</v>
      </c>
      <c r="C293" t="s">
        <v>3653</v>
      </c>
      <c r="D293" t="s">
        <v>16608</v>
      </c>
      <c r="E293" t="s">
        <v>16990</v>
      </c>
      <c r="F293" t="s">
        <v>28669</v>
      </c>
      <c r="G293" t="s">
        <v>28675</v>
      </c>
      <c r="H293" t="s">
        <v>9998</v>
      </c>
      <c r="I293" t="s">
        <v>28724</v>
      </c>
      <c r="J293" t="s">
        <v>29067</v>
      </c>
      <c r="K293" t="s">
        <v>37213</v>
      </c>
      <c r="M293" t="s">
        <v>37655</v>
      </c>
      <c r="N293" t="s">
        <v>41249</v>
      </c>
      <c r="O293" t="s">
        <v>41250</v>
      </c>
      <c r="P293">
        <v>0</v>
      </c>
      <c r="Q293">
        <v>1</v>
      </c>
      <c r="R293" t="s">
        <v>41251</v>
      </c>
      <c r="S293" t="s">
        <v>41369</v>
      </c>
      <c r="T293" t="s">
        <v>42669</v>
      </c>
      <c r="U293" t="s">
        <v>43457</v>
      </c>
      <c r="W293" t="s">
        <v>37655</v>
      </c>
      <c r="X293" t="s">
        <v>41252</v>
      </c>
    </row>
    <row r="294" spans="1:24">
      <c r="A294">
        <f>HYPERLINK("https://www.philgeps.gov.ph/GEPSNONPILOT/Tender/SplashBidNoticeAbstractUI.aspx?menuIndex=3&amp;refID=7076251&amp;Result=3","7076251")</f>
        <v>0</v>
      </c>
      <c r="B294" t="s">
        <v>179</v>
      </c>
      <c r="C294" t="s">
        <v>3654</v>
      </c>
      <c r="D294" t="s">
        <v>16647</v>
      </c>
      <c r="E294" t="s">
        <v>16991</v>
      </c>
      <c r="F294" t="s">
        <v>28669</v>
      </c>
      <c r="G294" t="s">
        <v>28675</v>
      </c>
      <c r="H294" t="s">
        <v>9998</v>
      </c>
      <c r="I294" t="s">
        <v>5033</v>
      </c>
      <c r="J294" t="s">
        <v>29068</v>
      </c>
      <c r="K294" t="s">
        <v>37205</v>
      </c>
      <c r="M294" t="s">
        <v>37656</v>
      </c>
      <c r="N294" t="s">
        <v>41249</v>
      </c>
      <c r="O294" t="s">
        <v>41250</v>
      </c>
      <c r="P294">
        <v>0</v>
      </c>
      <c r="Q294">
        <v>1</v>
      </c>
      <c r="R294" t="s">
        <v>41251</v>
      </c>
      <c r="S294" t="s">
        <v>41369</v>
      </c>
      <c r="T294" t="s">
        <v>42688</v>
      </c>
      <c r="U294" t="s">
        <v>43458</v>
      </c>
      <c r="W294" t="s">
        <v>37656</v>
      </c>
      <c r="X294" t="s">
        <v>41252</v>
      </c>
    </row>
    <row r="295" spans="1:24">
      <c r="A295">
        <f>HYPERLINK("https://www.philgeps.gov.ph/GEPSNONPILOT/Tender/SplashBidNoticeAbstractUI.aspx?menuIndex=3&amp;refID=7076239&amp;Result=3","7076239")</f>
        <v>0</v>
      </c>
      <c r="B295" t="s">
        <v>130</v>
      </c>
      <c r="C295" t="s">
        <v>3655</v>
      </c>
      <c r="E295" t="s">
        <v>16992</v>
      </c>
      <c r="F295" t="s">
        <v>28669</v>
      </c>
      <c r="G295" t="s">
        <v>28675</v>
      </c>
      <c r="H295" t="s">
        <v>9998</v>
      </c>
      <c r="I295" t="s">
        <v>28690</v>
      </c>
      <c r="J295" t="s">
        <v>29069</v>
      </c>
      <c r="K295" t="s">
        <v>37220</v>
      </c>
      <c r="M295" t="s">
        <v>37606</v>
      </c>
      <c r="N295" t="s">
        <v>41249</v>
      </c>
      <c r="O295" t="s">
        <v>41250</v>
      </c>
      <c r="P295">
        <v>0</v>
      </c>
      <c r="Q295">
        <v>7</v>
      </c>
      <c r="R295" t="s">
        <v>41251</v>
      </c>
      <c r="S295" t="s">
        <v>41369</v>
      </c>
      <c r="T295" t="s">
        <v>42688</v>
      </c>
      <c r="U295" t="s">
        <v>43459</v>
      </c>
      <c r="W295" t="s">
        <v>37606</v>
      </c>
      <c r="X295" t="s">
        <v>41252</v>
      </c>
    </row>
    <row r="296" spans="1:24">
      <c r="A296">
        <f>HYPERLINK("https://www.philgeps.gov.ph/GEPSNONPILOT/Tender/SplashBidNoticeAbstractUI.aspx?menuIndex=3&amp;refID=7076284&amp;Result=3","7076284")</f>
        <v>0</v>
      </c>
      <c r="B296" t="s">
        <v>169</v>
      </c>
      <c r="C296" t="s">
        <v>3644</v>
      </c>
      <c r="D296" t="s">
        <v>16611</v>
      </c>
      <c r="E296" t="s">
        <v>16993</v>
      </c>
      <c r="F296" t="s">
        <v>28669</v>
      </c>
      <c r="G296" t="s">
        <v>28675</v>
      </c>
      <c r="H296" t="s">
        <v>9998</v>
      </c>
      <c r="I296" t="s">
        <v>28687</v>
      </c>
      <c r="J296" t="s">
        <v>29002</v>
      </c>
      <c r="K296" t="s">
        <v>37210</v>
      </c>
      <c r="M296" t="s">
        <v>37646</v>
      </c>
      <c r="N296" t="s">
        <v>41249</v>
      </c>
      <c r="O296" t="s">
        <v>41250</v>
      </c>
      <c r="P296">
        <v>0</v>
      </c>
      <c r="Q296">
        <v>4</v>
      </c>
      <c r="R296" t="s">
        <v>41251</v>
      </c>
      <c r="S296" t="s">
        <v>41369</v>
      </c>
      <c r="T296" t="s">
        <v>42688</v>
      </c>
      <c r="U296" t="s">
        <v>43447</v>
      </c>
      <c r="V296" t="s">
        <v>54294</v>
      </c>
      <c r="W296" t="s">
        <v>37646</v>
      </c>
      <c r="X296" t="s">
        <v>41252</v>
      </c>
    </row>
    <row r="297" spans="1:24">
      <c r="A297">
        <f>HYPERLINK("https://www.philgeps.gov.ph/GEPSNONPILOT/Tender/SplashBidNoticeAbstractUI.aspx?menuIndex=3&amp;refID=7076248&amp;Result=3","7076248")</f>
        <v>0</v>
      </c>
      <c r="B297" t="s">
        <v>122</v>
      </c>
      <c r="C297" t="s">
        <v>3656</v>
      </c>
      <c r="D297" t="s">
        <v>16659</v>
      </c>
      <c r="E297" t="s">
        <v>16994</v>
      </c>
      <c r="F297" t="s">
        <v>28669</v>
      </c>
      <c r="G297" t="s">
        <v>28678</v>
      </c>
      <c r="H297" t="s">
        <v>9998</v>
      </c>
      <c r="I297" t="s">
        <v>28693</v>
      </c>
      <c r="J297" t="s">
        <v>29020</v>
      </c>
      <c r="K297" t="s">
        <v>37206</v>
      </c>
      <c r="M297" t="s">
        <v>37598</v>
      </c>
      <c r="N297" t="s">
        <v>41249</v>
      </c>
      <c r="O297" t="s">
        <v>41250</v>
      </c>
      <c r="P297">
        <v>0</v>
      </c>
      <c r="Q297">
        <v>0</v>
      </c>
      <c r="R297" t="s">
        <v>41251</v>
      </c>
      <c r="S297" t="s">
        <v>41369</v>
      </c>
      <c r="T297" t="s">
        <v>42673</v>
      </c>
      <c r="U297" t="s">
        <v>43460</v>
      </c>
      <c r="W297" t="s">
        <v>37598</v>
      </c>
      <c r="X297" t="s">
        <v>41252</v>
      </c>
    </row>
    <row r="298" spans="1:24">
      <c r="A298">
        <f>HYPERLINK("https://www.philgeps.gov.ph/GEPSNONPILOT/Tender/SplashBidNoticeAbstractUI.aspx?menuIndex=3&amp;refID=7076244&amp;Result=3","7076244")</f>
        <v>0</v>
      </c>
      <c r="B298" t="s">
        <v>164</v>
      </c>
      <c r="C298" t="s">
        <v>3635</v>
      </c>
      <c r="D298" t="s">
        <v>16624</v>
      </c>
      <c r="E298" t="s">
        <v>16995</v>
      </c>
      <c r="F298" t="s">
        <v>28669</v>
      </c>
      <c r="G298" t="s">
        <v>28677</v>
      </c>
      <c r="H298" t="s">
        <v>9998</v>
      </c>
      <c r="I298" t="s">
        <v>28690</v>
      </c>
      <c r="J298" t="s">
        <v>28838</v>
      </c>
      <c r="K298" t="s">
        <v>37243</v>
      </c>
      <c r="M298" t="s">
        <v>37641</v>
      </c>
      <c r="N298" t="s">
        <v>41249</v>
      </c>
      <c r="O298" t="s">
        <v>41250</v>
      </c>
      <c r="P298">
        <v>0</v>
      </c>
      <c r="Q298">
        <v>1</v>
      </c>
      <c r="R298" t="s">
        <v>41251</v>
      </c>
      <c r="S298" t="s">
        <v>41369</v>
      </c>
      <c r="T298" t="s">
        <v>42726</v>
      </c>
      <c r="U298" t="s">
        <v>43438</v>
      </c>
      <c r="W298" t="s">
        <v>37641</v>
      </c>
      <c r="X298" t="s">
        <v>41252</v>
      </c>
    </row>
    <row r="299" spans="1:24">
      <c r="A299">
        <f>HYPERLINK("https://www.philgeps.gov.ph/GEPSNONPILOT/Tender/SplashBidNoticeAbstractUI.aspx?menuIndex=3&amp;refID=7076257&amp;Result=3","7076257")</f>
        <v>0</v>
      </c>
      <c r="B299" t="s">
        <v>43</v>
      </c>
      <c r="C299" t="s">
        <v>3657</v>
      </c>
      <c r="D299" t="s">
        <v>16624</v>
      </c>
      <c r="E299" t="s">
        <v>16996</v>
      </c>
      <c r="F299" t="s">
        <v>28669</v>
      </c>
      <c r="G299" t="s">
        <v>28677</v>
      </c>
      <c r="H299" t="s">
        <v>9998</v>
      </c>
      <c r="I299" t="s">
        <v>7352</v>
      </c>
      <c r="J299" t="s">
        <v>29070</v>
      </c>
      <c r="K299" t="s">
        <v>37205</v>
      </c>
      <c r="M299" t="s">
        <v>37518</v>
      </c>
      <c r="N299" t="s">
        <v>41249</v>
      </c>
      <c r="O299" t="s">
        <v>41250</v>
      </c>
      <c r="P299">
        <v>0</v>
      </c>
      <c r="Q299">
        <v>0</v>
      </c>
      <c r="R299" t="s">
        <v>41251</v>
      </c>
      <c r="S299" t="s">
        <v>41369</v>
      </c>
      <c r="T299" t="s">
        <v>42736</v>
      </c>
      <c r="U299" t="s">
        <v>43461</v>
      </c>
      <c r="W299" t="s">
        <v>37518</v>
      </c>
      <c r="X299" t="s">
        <v>41252</v>
      </c>
    </row>
    <row r="300" spans="1:24">
      <c r="A300">
        <f>HYPERLINK("https://www.philgeps.gov.ph/GEPSNONPILOT/Tender/SplashBidNoticeAbstractUI.aspx?menuIndex=3&amp;refID=7076286&amp;Result=3","7076286")</f>
        <v>0</v>
      </c>
      <c r="B300" t="s">
        <v>180</v>
      </c>
      <c r="C300" t="s">
        <v>3658</v>
      </c>
      <c r="D300" t="s">
        <v>16669</v>
      </c>
      <c r="E300" t="s">
        <v>16997</v>
      </c>
      <c r="F300" t="s">
        <v>28669</v>
      </c>
      <c r="G300" t="s">
        <v>28677</v>
      </c>
      <c r="H300" t="s">
        <v>9998</v>
      </c>
      <c r="I300" t="s">
        <v>28726</v>
      </c>
      <c r="J300" t="s">
        <v>29071</v>
      </c>
      <c r="K300" t="s">
        <v>37209</v>
      </c>
      <c r="M300" t="s">
        <v>37657</v>
      </c>
      <c r="N300" t="s">
        <v>41249</v>
      </c>
      <c r="O300" t="s">
        <v>41250</v>
      </c>
      <c r="P300">
        <v>0</v>
      </c>
      <c r="Q300">
        <v>1</v>
      </c>
      <c r="R300" t="s">
        <v>41251</v>
      </c>
      <c r="S300" t="s">
        <v>41369</v>
      </c>
      <c r="T300" t="s">
        <v>42701</v>
      </c>
      <c r="U300" t="s">
        <v>43462</v>
      </c>
      <c r="W300" t="s">
        <v>37657</v>
      </c>
      <c r="X300" t="s">
        <v>41252</v>
      </c>
    </row>
    <row r="301" spans="1:24">
      <c r="A301">
        <f>HYPERLINK("https://www.philgeps.gov.ph/GEPSNONPILOT/Tender/SplashBidNoticeAbstractUI.aspx?menuIndex=3&amp;refID=7076285&amp;Result=3","7076285")</f>
        <v>0</v>
      </c>
      <c r="B301" t="s">
        <v>157</v>
      </c>
      <c r="C301" t="s">
        <v>3659</v>
      </c>
      <c r="D301" t="s">
        <v>16664</v>
      </c>
      <c r="E301" t="s">
        <v>16998</v>
      </c>
      <c r="F301" t="s">
        <v>28669</v>
      </c>
      <c r="G301" t="s">
        <v>28675</v>
      </c>
      <c r="H301" t="s">
        <v>9998</v>
      </c>
      <c r="I301" t="s">
        <v>5286</v>
      </c>
      <c r="J301" t="s">
        <v>29072</v>
      </c>
      <c r="K301" t="s">
        <v>37206</v>
      </c>
      <c r="M301" t="s">
        <v>37634</v>
      </c>
      <c r="N301" t="s">
        <v>41249</v>
      </c>
      <c r="O301" t="s">
        <v>41250</v>
      </c>
      <c r="P301">
        <v>0</v>
      </c>
      <c r="Q301">
        <v>3</v>
      </c>
      <c r="R301" t="s">
        <v>41251</v>
      </c>
      <c r="S301" t="s">
        <v>41369</v>
      </c>
      <c r="T301" t="s">
        <v>42671</v>
      </c>
      <c r="U301" t="s">
        <v>43463</v>
      </c>
      <c r="W301" t="s">
        <v>37634</v>
      </c>
      <c r="X301" t="s">
        <v>41252</v>
      </c>
    </row>
    <row r="302" spans="1:24">
      <c r="A302">
        <f>HYPERLINK("https://www.philgeps.gov.ph/GEPSNONPILOT/Tender/SplashBidNoticeAbstractUI.aspx?menuIndex=3&amp;refID=7076282&amp;Result=3","7076282")</f>
        <v>0</v>
      </c>
      <c r="B302" t="s">
        <v>181</v>
      </c>
      <c r="C302" t="s">
        <v>3660</v>
      </c>
      <c r="D302" t="s">
        <v>16647</v>
      </c>
      <c r="E302" t="s">
        <v>16999</v>
      </c>
      <c r="F302" t="s">
        <v>28669</v>
      </c>
      <c r="G302" t="s">
        <v>28675</v>
      </c>
      <c r="H302" t="s">
        <v>9998</v>
      </c>
      <c r="I302" t="s">
        <v>28730</v>
      </c>
      <c r="J302" t="s">
        <v>28845</v>
      </c>
      <c r="K302" t="s">
        <v>37210</v>
      </c>
      <c r="M302" t="s">
        <v>37658</v>
      </c>
      <c r="N302" t="s">
        <v>41249</v>
      </c>
      <c r="O302" t="s">
        <v>41250</v>
      </c>
      <c r="P302">
        <v>0</v>
      </c>
      <c r="Q302">
        <v>0</v>
      </c>
      <c r="R302" t="s">
        <v>41251</v>
      </c>
      <c r="S302" t="s">
        <v>41369</v>
      </c>
      <c r="T302" t="s">
        <v>42750</v>
      </c>
      <c r="U302" t="s">
        <v>43464</v>
      </c>
      <c r="W302" t="s">
        <v>37658</v>
      </c>
      <c r="X302" t="s">
        <v>41252</v>
      </c>
    </row>
    <row r="303" spans="1:24">
      <c r="A303">
        <f>HYPERLINK("https://www.philgeps.gov.ph/GEPSNONPILOT/Tender/SplashBidNoticeAbstractUI.aspx?menuIndex=3&amp;refID=7076281&amp;Result=3","7076281")</f>
        <v>0</v>
      </c>
      <c r="B303" t="s">
        <v>182</v>
      </c>
      <c r="C303" t="s">
        <v>3661</v>
      </c>
      <c r="D303" t="s">
        <v>16637</v>
      </c>
      <c r="E303" t="s">
        <v>17000</v>
      </c>
      <c r="F303" t="s">
        <v>28669</v>
      </c>
      <c r="G303" t="s">
        <v>28677</v>
      </c>
      <c r="H303" t="s">
        <v>9998</v>
      </c>
      <c r="I303" t="s">
        <v>11593</v>
      </c>
      <c r="J303" t="s">
        <v>29073</v>
      </c>
      <c r="K303" t="s">
        <v>37227</v>
      </c>
      <c r="L303" t="s">
        <v>182</v>
      </c>
      <c r="M303" t="s">
        <v>37659</v>
      </c>
      <c r="N303" t="s">
        <v>41249</v>
      </c>
      <c r="O303" t="s">
        <v>41250</v>
      </c>
      <c r="Q303">
        <v>3</v>
      </c>
      <c r="R303" t="s">
        <v>41251</v>
      </c>
      <c r="S303" t="s">
        <v>41372</v>
      </c>
      <c r="T303" t="s">
        <v>42729</v>
      </c>
      <c r="U303" t="s">
        <v>43465</v>
      </c>
      <c r="W303" t="s">
        <v>37659</v>
      </c>
      <c r="X303" t="s">
        <v>41252</v>
      </c>
    </row>
    <row r="304" spans="1:24">
      <c r="A304">
        <f>HYPERLINK("https://www.philgeps.gov.ph/GEPSNONPILOT/Tender/SplashBidNoticeAbstractUI.aspx?menuIndex=3&amp;refID=7076280&amp;Result=3","7076280")</f>
        <v>0</v>
      </c>
      <c r="B304" t="s">
        <v>183</v>
      </c>
      <c r="C304" t="s">
        <v>3662</v>
      </c>
      <c r="D304" t="s">
        <v>16622</v>
      </c>
      <c r="E304" t="s">
        <v>17001</v>
      </c>
      <c r="F304" t="s">
        <v>28669</v>
      </c>
      <c r="G304" t="s">
        <v>28676</v>
      </c>
      <c r="H304" t="s">
        <v>9998</v>
      </c>
      <c r="I304" t="s">
        <v>11593</v>
      </c>
      <c r="J304" t="s">
        <v>29044</v>
      </c>
      <c r="K304" t="s">
        <v>37210</v>
      </c>
      <c r="M304" t="s">
        <v>37660</v>
      </c>
      <c r="N304" t="s">
        <v>41249</v>
      </c>
      <c r="O304" t="s">
        <v>41250</v>
      </c>
      <c r="P304">
        <v>0</v>
      </c>
      <c r="Q304">
        <v>3</v>
      </c>
      <c r="R304" t="s">
        <v>41251</v>
      </c>
      <c r="S304" t="s">
        <v>41369</v>
      </c>
      <c r="T304" t="s">
        <v>42751</v>
      </c>
      <c r="U304" t="s">
        <v>43466</v>
      </c>
      <c r="W304" t="s">
        <v>37660</v>
      </c>
      <c r="X304" t="s">
        <v>41252</v>
      </c>
    </row>
    <row r="305" spans="1:24">
      <c r="A305">
        <f>HYPERLINK("https://www.philgeps.gov.ph/GEPSNONPILOT/Tender/SplashBidNoticeAbstractUI.aspx?menuIndex=3&amp;refID=7076278&amp;Result=3","7076278")</f>
        <v>0</v>
      </c>
      <c r="B305" t="s">
        <v>184</v>
      </c>
      <c r="C305" t="s">
        <v>3663</v>
      </c>
      <c r="D305" t="s">
        <v>16654</v>
      </c>
      <c r="E305" t="s">
        <v>17002</v>
      </c>
      <c r="F305" t="s">
        <v>28669</v>
      </c>
      <c r="G305" t="s">
        <v>28677</v>
      </c>
      <c r="H305" t="s">
        <v>9998</v>
      </c>
      <c r="I305" t="s">
        <v>7352</v>
      </c>
      <c r="J305" t="s">
        <v>29074</v>
      </c>
      <c r="K305" t="s">
        <v>37204</v>
      </c>
      <c r="M305" t="s">
        <v>37661</v>
      </c>
      <c r="N305" t="s">
        <v>41249</v>
      </c>
      <c r="O305" t="s">
        <v>41250</v>
      </c>
      <c r="P305">
        <v>0</v>
      </c>
      <c r="Q305">
        <v>0</v>
      </c>
      <c r="R305" t="s">
        <v>41251</v>
      </c>
      <c r="S305" t="s">
        <v>41369</v>
      </c>
      <c r="T305" t="s">
        <v>42752</v>
      </c>
      <c r="U305" t="s">
        <v>43467</v>
      </c>
      <c r="W305" t="s">
        <v>37661</v>
      </c>
      <c r="X305" t="s">
        <v>41252</v>
      </c>
    </row>
    <row r="306" spans="1:24">
      <c r="A306">
        <f>HYPERLINK("https://www.philgeps.gov.ph/GEPSNONPILOT/Tender/SplashBidNoticeAbstractUI.aspx?menuIndex=3&amp;refID=7076276&amp;Result=3","7076276")</f>
        <v>0</v>
      </c>
      <c r="B306" t="s">
        <v>185</v>
      </c>
      <c r="C306" t="s">
        <v>3664</v>
      </c>
      <c r="D306" t="s">
        <v>16636</v>
      </c>
      <c r="E306" t="s">
        <v>17003</v>
      </c>
      <c r="F306" t="s">
        <v>28669</v>
      </c>
      <c r="G306" t="s">
        <v>28677</v>
      </c>
      <c r="H306" t="s">
        <v>9998</v>
      </c>
      <c r="I306" t="s">
        <v>28697</v>
      </c>
      <c r="J306" t="s">
        <v>29075</v>
      </c>
      <c r="K306" t="s">
        <v>37210</v>
      </c>
      <c r="M306" t="s">
        <v>37662</v>
      </c>
      <c r="N306" t="s">
        <v>41249</v>
      </c>
      <c r="O306" t="s">
        <v>41250</v>
      </c>
      <c r="P306">
        <v>0</v>
      </c>
      <c r="Q306">
        <v>2</v>
      </c>
      <c r="R306" t="s">
        <v>41251</v>
      </c>
      <c r="S306" t="s">
        <v>41369</v>
      </c>
      <c r="T306" t="s">
        <v>42673</v>
      </c>
      <c r="U306" t="s">
        <v>43468</v>
      </c>
      <c r="V306" t="s">
        <v>54300</v>
      </c>
      <c r="W306" t="s">
        <v>37662</v>
      </c>
      <c r="X306" t="s">
        <v>41252</v>
      </c>
    </row>
    <row r="307" spans="1:24">
      <c r="A307">
        <f>HYPERLINK("https://www.philgeps.gov.ph/GEPSNONPILOT/Tender/SplashBidNoticeAbstractUI.aspx?menuIndex=3&amp;refID=7076283&amp;Result=3","7076283")</f>
        <v>0</v>
      </c>
      <c r="B307" t="s">
        <v>142</v>
      </c>
      <c r="C307" t="s">
        <v>3665</v>
      </c>
      <c r="D307" t="s">
        <v>16608</v>
      </c>
      <c r="E307" t="s">
        <v>17004</v>
      </c>
      <c r="F307" t="s">
        <v>28669</v>
      </c>
      <c r="G307" t="s">
        <v>28675</v>
      </c>
      <c r="H307" t="s">
        <v>9998</v>
      </c>
      <c r="I307" t="s">
        <v>11593</v>
      </c>
      <c r="J307" t="s">
        <v>29076</v>
      </c>
      <c r="K307" t="s">
        <v>37209</v>
      </c>
      <c r="M307" t="s">
        <v>37663</v>
      </c>
      <c r="N307" t="s">
        <v>41249</v>
      </c>
      <c r="O307" t="s">
        <v>41250</v>
      </c>
      <c r="P307">
        <v>0</v>
      </c>
      <c r="Q307">
        <v>12</v>
      </c>
      <c r="R307" t="s">
        <v>41251</v>
      </c>
      <c r="S307" t="s">
        <v>41369</v>
      </c>
      <c r="T307" t="s">
        <v>42669</v>
      </c>
      <c r="U307" t="s">
        <v>43469</v>
      </c>
      <c r="V307" t="s">
        <v>54301</v>
      </c>
      <c r="W307" t="s">
        <v>37663</v>
      </c>
      <c r="X307" t="s">
        <v>41252</v>
      </c>
    </row>
    <row r="308" spans="1:24">
      <c r="A308">
        <f>HYPERLINK("https://www.philgeps.gov.ph/GEPSNONPILOT/Tender/SplashBidNoticeAbstractUI.aspx?menuIndex=3&amp;refID=7076275&amp;Result=3","7076275")</f>
        <v>0</v>
      </c>
      <c r="B308" t="s">
        <v>165</v>
      </c>
      <c r="C308" t="s">
        <v>3636</v>
      </c>
      <c r="D308" t="s">
        <v>16640</v>
      </c>
      <c r="E308" t="s">
        <v>17005</v>
      </c>
      <c r="F308" t="s">
        <v>28669</v>
      </c>
      <c r="G308" t="s">
        <v>28676</v>
      </c>
      <c r="H308" t="s">
        <v>9998</v>
      </c>
      <c r="I308" t="s">
        <v>15140</v>
      </c>
      <c r="J308" t="s">
        <v>28834</v>
      </c>
      <c r="K308" t="s">
        <v>37205</v>
      </c>
      <c r="M308" t="s">
        <v>37642</v>
      </c>
      <c r="N308" t="s">
        <v>41249</v>
      </c>
      <c r="O308" t="s">
        <v>41250</v>
      </c>
      <c r="P308">
        <v>0</v>
      </c>
      <c r="Q308">
        <v>0</v>
      </c>
      <c r="R308" t="s">
        <v>41251</v>
      </c>
      <c r="S308" t="s">
        <v>41369</v>
      </c>
      <c r="T308" t="s">
        <v>42673</v>
      </c>
      <c r="U308" t="s">
        <v>43470</v>
      </c>
      <c r="V308" t="s">
        <v>54302</v>
      </c>
      <c r="W308" t="s">
        <v>37642</v>
      </c>
      <c r="X308" t="s">
        <v>41252</v>
      </c>
    </row>
    <row r="309" spans="1:24">
      <c r="A309">
        <f>HYPERLINK("https://www.philgeps.gov.ph/GEPSNONPILOT/Tender/SplashBidNoticeAbstractUI.aspx?menuIndex=3&amp;refID=7076272&amp;Result=3","7076272")</f>
        <v>0</v>
      </c>
      <c r="B309" t="s">
        <v>130</v>
      </c>
      <c r="C309" t="s">
        <v>3666</v>
      </c>
      <c r="E309" t="s">
        <v>17006</v>
      </c>
      <c r="F309" t="s">
        <v>28669</v>
      </c>
      <c r="G309" t="s">
        <v>28675</v>
      </c>
      <c r="H309" t="s">
        <v>9998</v>
      </c>
      <c r="I309" t="s">
        <v>28689</v>
      </c>
      <c r="J309" t="s">
        <v>29077</v>
      </c>
      <c r="K309" t="s">
        <v>37220</v>
      </c>
      <c r="M309" t="s">
        <v>37606</v>
      </c>
      <c r="N309" t="s">
        <v>41249</v>
      </c>
      <c r="O309" t="s">
        <v>41250</v>
      </c>
      <c r="P309">
        <v>0</v>
      </c>
      <c r="Q309">
        <v>0</v>
      </c>
      <c r="R309" t="s">
        <v>41251</v>
      </c>
      <c r="S309" t="s">
        <v>41369</v>
      </c>
      <c r="T309" t="s">
        <v>42688</v>
      </c>
      <c r="U309" t="s">
        <v>43471</v>
      </c>
      <c r="W309" t="s">
        <v>37606</v>
      </c>
      <c r="X309" t="s">
        <v>41252</v>
      </c>
    </row>
    <row r="310" spans="1:24">
      <c r="A310">
        <f>HYPERLINK("https://www.philgeps.gov.ph/GEPSNONPILOT/Tender/SplashBidNoticeAbstractUI.aspx?menuIndex=3&amp;refID=7076288&amp;Result=3","7076288")</f>
        <v>0</v>
      </c>
      <c r="B310" t="s">
        <v>186</v>
      </c>
      <c r="C310" t="s">
        <v>3667</v>
      </c>
      <c r="D310" t="s">
        <v>16654</v>
      </c>
      <c r="E310" t="s">
        <v>17007</v>
      </c>
      <c r="F310" t="s">
        <v>28669</v>
      </c>
      <c r="G310" t="s">
        <v>28676</v>
      </c>
      <c r="H310" t="s">
        <v>28686</v>
      </c>
      <c r="I310" t="s">
        <v>28689</v>
      </c>
      <c r="J310" t="s">
        <v>29078</v>
      </c>
      <c r="K310" t="s">
        <v>37210</v>
      </c>
      <c r="M310" t="s">
        <v>37664</v>
      </c>
      <c r="N310" t="s">
        <v>41249</v>
      </c>
      <c r="O310" t="s">
        <v>41250</v>
      </c>
      <c r="P310">
        <v>0</v>
      </c>
      <c r="Q310">
        <v>0</v>
      </c>
      <c r="R310" t="s">
        <v>41251</v>
      </c>
      <c r="S310" t="s">
        <v>41369</v>
      </c>
      <c r="T310" t="s">
        <v>42675</v>
      </c>
      <c r="U310" t="s">
        <v>43472</v>
      </c>
      <c r="W310" t="s">
        <v>37664</v>
      </c>
      <c r="X310" t="s">
        <v>41252</v>
      </c>
    </row>
    <row r="311" spans="1:24">
      <c r="A311">
        <f>HYPERLINK("https://www.philgeps.gov.ph/GEPSNONPILOT/Tender/SplashBidNoticeAbstractUI.aspx?menuIndex=3&amp;refID=7076271&amp;Result=3","7076271")</f>
        <v>0</v>
      </c>
      <c r="B311" t="s">
        <v>187</v>
      </c>
      <c r="C311" t="s">
        <v>3668</v>
      </c>
      <c r="D311" t="s">
        <v>16670</v>
      </c>
      <c r="E311" t="s">
        <v>17008</v>
      </c>
      <c r="F311" t="s">
        <v>28669</v>
      </c>
      <c r="G311" t="s">
        <v>28676</v>
      </c>
      <c r="H311" t="s">
        <v>28686</v>
      </c>
      <c r="I311" t="s">
        <v>28689</v>
      </c>
      <c r="J311" t="s">
        <v>29079</v>
      </c>
      <c r="K311" t="s">
        <v>37210</v>
      </c>
      <c r="M311" t="s">
        <v>37665</v>
      </c>
      <c r="N311" t="s">
        <v>41249</v>
      </c>
      <c r="O311" t="s">
        <v>41250</v>
      </c>
      <c r="P311">
        <v>0</v>
      </c>
      <c r="Q311">
        <v>0</v>
      </c>
      <c r="R311" t="s">
        <v>41251</v>
      </c>
      <c r="S311" t="s">
        <v>41369</v>
      </c>
      <c r="T311" t="s">
        <v>42738</v>
      </c>
      <c r="U311" t="s">
        <v>43473</v>
      </c>
      <c r="W311" t="s">
        <v>37665</v>
      </c>
      <c r="X311" t="s">
        <v>41252</v>
      </c>
    </row>
    <row r="312" spans="1:24">
      <c r="A312">
        <f>HYPERLINK("https://www.philgeps.gov.ph/GEPSNONPILOT/Tender/SplashBidNoticeAbstractUI.aspx?menuIndex=3&amp;refID=7076270&amp;Result=3","7076270")</f>
        <v>0</v>
      </c>
      <c r="B312" t="s">
        <v>188</v>
      </c>
      <c r="C312" t="s">
        <v>3669</v>
      </c>
      <c r="D312" t="s">
        <v>16664</v>
      </c>
      <c r="E312" t="s">
        <v>17009</v>
      </c>
      <c r="F312" t="s">
        <v>28669</v>
      </c>
      <c r="G312" t="s">
        <v>28679</v>
      </c>
      <c r="H312" t="s">
        <v>9998</v>
      </c>
      <c r="I312" t="s">
        <v>11593</v>
      </c>
      <c r="J312" t="s">
        <v>29080</v>
      </c>
      <c r="K312" t="s">
        <v>37234</v>
      </c>
      <c r="M312" t="s">
        <v>37666</v>
      </c>
      <c r="N312" t="s">
        <v>41249</v>
      </c>
      <c r="O312" t="s">
        <v>41250</v>
      </c>
      <c r="P312">
        <v>0</v>
      </c>
      <c r="Q312">
        <v>3</v>
      </c>
      <c r="R312" t="s">
        <v>41251</v>
      </c>
      <c r="S312" t="s">
        <v>41369</v>
      </c>
      <c r="T312" t="s">
        <v>42703</v>
      </c>
      <c r="U312" t="s">
        <v>43474</v>
      </c>
      <c r="W312" t="s">
        <v>37666</v>
      </c>
      <c r="X312" t="s">
        <v>41252</v>
      </c>
    </row>
    <row r="313" spans="1:24">
      <c r="A313">
        <f>HYPERLINK("https://www.philgeps.gov.ph/GEPSNONPILOT/Tender/SplashBidNoticeAbstractUI.aspx?menuIndex=3&amp;refID=7076269&amp;Result=3","7076269")</f>
        <v>0</v>
      </c>
      <c r="B313" t="s">
        <v>189</v>
      </c>
      <c r="C313" t="s">
        <v>3670</v>
      </c>
      <c r="D313" t="s">
        <v>16621</v>
      </c>
      <c r="E313" t="s">
        <v>17010</v>
      </c>
      <c r="F313" t="s">
        <v>28669</v>
      </c>
      <c r="G313" t="s">
        <v>28676</v>
      </c>
      <c r="H313" t="s">
        <v>9998</v>
      </c>
      <c r="I313" t="s">
        <v>28731</v>
      </c>
      <c r="J313" t="s">
        <v>29081</v>
      </c>
      <c r="K313" t="s">
        <v>37209</v>
      </c>
      <c r="M313" t="s">
        <v>37667</v>
      </c>
      <c r="N313" t="s">
        <v>41249</v>
      </c>
      <c r="O313" t="s">
        <v>41250</v>
      </c>
      <c r="P313">
        <v>0</v>
      </c>
      <c r="Q313">
        <v>4</v>
      </c>
      <c r="R313" t="s">
        <v>41251</v>
      </c>
      <c r="S313" t="s">
        <v>41369</v>
      </c>
      <c r="T313" t="s">
        <v>42673</v>
      </c>
      <c r="U313" t="s">
        <v>43475</v>
      </c>
      <c r="W313" t="s">
        <v>37667</v>
      </c>
      <c r="X313" t="s">
        <v>41252</v>
      </c>
    </row>
    <row r="314" spans="1:24">
      <c r="A314">
        <f>HYPERLINK("https://www.philgeps.gov.ph/GEPSNONPILOT/Tender/SplashBidNoticeAbstractUI.aspx?menuIndex=3&amp;refID=7076312&amp;Result=3","7076312")</f>
        <v>0</v>
      </c>
      <c r="B314" t="s">
        <v>190</v>
      </c>
      <c r="C314" t="s">
        <v>3671</v>
      </c>
      <c r="D314" t="s">
        <v>16671</v>
      </c>
      <c r="E314" t="s">
        <v>17011</v>
      </c>
      <c r="F314" t="s">
        <v>28669</v>
      </c>
      <c r="G314" t="s">
        <v>28676</v>
      </c>
      <c r="H314" t="s">
        <v>9998</v>
      </c>
      <c r="I314" t="s">
        <v>28694</v>
      </c>
      <c r="J314" t="s">
        <v>29082</v>
      </c>
      <c r="K314" t="s">
        <v>37204</v>
      </c>
      <c r="L314" t="s">
        <v>190</v>
      </c>
      <c r="M314" t="s">
        <v>37668</v>
      </c>
      <c r="N314" t="s">
        <v>41249</v>
      </c>
      <c r="O314" t="s">
        <v>41250</v>
      </c>
      <c r="P314">
        <v>0</v>
      </c>
      <c r="Q314">
        <v>0</v>
      </c>
      <c r="R314" t="s">
        <v>41251</v>
      </c>
      <c r="S314" t="s">
        <v>41369</v>
      </c>
      <c r="T314" t="s">
        <v>42681</v>
      </c>
      <c r="U314" t="s">
        <v>43476</v>
      </c>
      <c r="V314" t="s">
        <v>54303</v>
      </c>
      <c r="W314" t="s">
        <v>37668</v>
      </c>
      <c r="X314" t="s">
        <v>41252</v>
      </c>
    </row>
    <row r="315" spans="1:24">
      <c r="A315">
        <f>HYPERLINK("https://www.philgeps.gov.ph/GEPSNONPILOT/Tender/SplashBidNoticeAbstractUI.aspx?menuIndex=3&amp;refID=7076317&amp;Result=3","7076317")</f>
        <v>0</v>
      </c>
      <c r="B315" t="s">
        <v>191</v>
      </c>
      <c r="C315" t="s">
        <v>3672</v>
      </c>
      <c r="D315" t="s">
        <v>16614</v>
      </c>
      <c r="E315" t="s">
        <v>17012</v>
      </c>
      <c r="F315" t="s">
        <v>28669</v>
      </c>
      <c r="G315" t="s">
        <v>28679</v>
      </c>
      <c r="H315" t="s">
        <v>9998</v>
      </c>
      <c r="I315" t="s">
        <v>28696</v>
      </c>
      <c r="J315" t="s">
        <v>29003</v>
      </c>
      <c r="K315" t="s">
        <v>37220</v>
      </c>
      <c r="M315" t="s">
        <v>37669</v>
      </c>
      <c r="N315" t="s">
        <v>41249</v>
      </c>
      <c r="O315" t="s">
        <v>41250</v>
      </c>
      <c r="P315">
        <v>0</v>
      </c>
      <c r="Q315">
        <v>1</v>
      </c>
      <c r="R315" t="s">
        <v>41251</v>
      </c>
      <c r="S315" t="s">
        <v>41369</v>
      </c>
      <c r="T315" t="s">
        <v>42753</v>
      </c>
      <c r="U315" t="s">
        <v>43477</v>
      </c>
      <c r="W315" t="s">
        <v>37669</v>
      </c>
      <c r="X315" t="s">
        <v>41252</v>
      </c>
    </row>
    <row r="316" spans="1:24">
      <c r="A316">
        <f>HYPERLINK("https://www.philgeps.gov.ph/GEPSNONPILOT/Tender/SplashBidNoticeAbstractUI.aspx?menuIndex=3&amp;refID=7076316&amp;Result=3","7076316")</f>
        <v>0</v>
      </c>
      <c r="B316" t="s">
        <v>182</v>
      </c>
      <c r="C316" t="s">
        <v>3673</v>
      </c>
      <c r="D316" t="s">
        <v>16637</v>
      </c>
      <c r="E316" t="s">
        <v>17013</v>
      </c>
      <c r="F316" t="s">
        <v>28669</v>
      </c>
      <c r="G316" t="s">
        <v>28677</v>
      </c>
      <c r="H316" t="s">
        <v>9998</v>
      </c>
      <c r="I316" t="s">
        <v>28699</v>
      </c>
      <c r="J316" t="s">
        <v>29083</v>
      </c>
      <c r="K316" t="s">
        <v>37205</v>
      </c>
      <c r="L316" t="s">
        <v>182</v>
      </c>
      <c r="M316" t="s">
        <v>37659</v>
      </c>
      <c r="N316" t="s">
        <v>41249</v>
      </c>
      <c r="O316" t="s">
        <v>41250</v>
      </c>
      <c r="Q316">
        <v>0</v>
      </c>
      <c r="R316" t="s">
        <v>41251</v>
      </c>
      <c r="S316" t="s">
        <v>41373</v>
      </c>
      <c r="T316" t="s">
        <v>42729</v>
      </c>
      <c r="U316" t="s">
        <v>43478</v>
      </c>
      <c r="W316" t="s">
        <v>37659</v>
      </c>
      <c r="X316" t="s">
        <v>41252</v>
      </c>
    </row>
    <row r="317" spans="1:24">
      <c r="A317">
        <f>HYPERLINK("https://www.philgeps.gov.ph/GEPSNONPILOT/Tender/SplashBidNoticeAbstractUI.aspx?menuIndex=3&amp;refID=7076315&amp;Result=3","7076315")</f>
        <v>0</v>
      </c>
      <c r="B317" t="s">
        <v>192</v>
      </c>
      <c r="C317" t="s">
        <v>3674</v>
      </c>
      <c r="D317" t="s">
        <v>16609</v>
      </c>
      <c r="E317" t="s">
        <v>17014</v>
      </c>
      <c r="F317" t="s">
        <v>28669</v>
      </c>
      <c r="G317" t="s">
        <v>28675</v>
      </c>
      <c r="H317" t="s">
        <v>28686</v>
      </c>
      <c r="I317" t="s">
        <v>28689</v>
      </c>
      <c r="J317" t="s">
        <v>28851</v>
      </c>
      <c r="K317" t="s">
        <v>37215</v>
      </c>
      <c r="M317" t="s">
        <v>37670</v>
      </c>
      <c r="N317" t="s">
        <v>41249</v>
      </c>
      <c r="O317" t="s">
        <v>41250</v>
      </c>
      <c r="P317">
        <v>0</v>
      </c>
      <c r="Q317">
        <v>0</v>
      </c>
      <c r="R317" t="s">
        <v>41251</v>
      </c>
      <c r="S317" t="s">
        <v>41369</v>
      </c>
      <c r="T317" t="s">
        <v>42670</v>
      </c>
      <c r="U317" t="s">
        <v>43479</v>
      </c>
      <c r="W317" t="s">
        <v>37670</v>
      </c>
      <c r="X317" t="s">
        <v>41252</v>
      </c>
    </row>
    <row r="318" spans="1:24">
      <c r="A318">
        <f>HYPERLINK("https://www.philgeps.gov.ph/GEPSNONPILOT/Tender/SplashBidNoticeAbstractUI.aspx?menuIndex=3&amp;refID=7076311&amp;Result=3","7076311")</f>
        <v>0</v>
      </c>
      <c r="B318" t="s">
        <v>172</v>
      </c>
      <c r="C318" t="s">
        <v>3675</v>
      </c>
      <c r="D318" t="s">
        <v>16625</v>
      </c>
      <c r="E318" t="s">
        <v>17015</v>
      </c>
      <c r="F318" t="s">
        <v>28669</v>
      </c>
      <c r="G318" t="s">
        <v>28675</v>
      </c>
      <c r="H318" t="s">
        <v>28686</v>
      </c>
      <c r="I318" t="s">
        <v>28689</v>
      </c>
      <c r="J318" t="s">
        <v>29059</v>
      </c>
      <c r="K318" t="s">
        <v>37209</v>
      </c>
      <c r="M318" t="s">
        <v>37649</v>
      </c>
      <c r="N318" t="s">
        <v>41249</v>
      </c>
      <c r="O318" t="s">
        <v>41250</v>
      </c>
      <c r="P318">
        <v>0</v>
      </c>
      <c r="Q318">
        <v>0</v>
      </c>
      <c r="R318" t="s">
        <v>41251</v>
      </c>
      <c r="S318" t="s">
        <v>41369</v>
      </c>
      <c r="T318" t="s">
        <v>42689</v>
      </c>
      <c r="U318" t="s">
        <v>43480</v>
      </c>
      <c r="W318" t="s">
        <v>37649</v>
      </c>
      <c r="X318" t="s">
        <v>41252</v>
      </c>
    </row>
    <row r="319" spans="1:24">
      <c r="A319">
        <f>HYPERLINK("https://www.philgeps.gov.ph/GEPSNONPILOT/Tender/SplashBidNoticeAbstractUI.aspx?menuIndex=3&amp;refID=7076310&amp;Result=3","7076310")</f>
        <v>0</v>
      </c>
      <c r="B319" t="s">
        <v>193</v>
      </c>
      <c r="C319" t="s">
        <v>3676</v>
      </c>
      <c r="D319" t="s">
        <v>16658</v>
      </c>
      <c r="E319" t="s">
        <v>17016</v>
      </c>
      <c r="F319" t="s">
        <v>28669</v>
      </c>
      <c r="G319" t="s">
        <v>28676</v>
      </c>
      <c r="H319" t="s">
        <v>9998</v>
      </c>
      <c r="I319" t="s">
        <v>6458</v>
      </c>
      <c r="J319" t="s">
        <v>29084</v>
      </c>
      <c r="K319" t="s">
        <v>37204</v>
      </c>
      <c r="M319" t="s">
        <v>37671</v>
      </c>
      <c r="N319" t="s">
        <v>41249</v>
      </c>
      <c r="O319" t="s">
        <v>41250</v>
      </c>
      <c r="P319">
        <v>0</v>
      </c>
      <c r="Q319">
        <v>0</v>
      </c>
      <c r="R319" t="s">
        <v>41251</v>
      </c>
      <c r="S319" t="s">
        <v>41369</v>
      </c>
      <c r="T319" t="s">
        <v>42673</v>
      </c>
      <c r="U319" t="s">
        <v>43481</v>
      </c>
      <c r="W319" t="s">
        <v>37671</v>
      </c>
      <c r="X319" t="s">
        <v>41252</v>
      </c>
    </row>
    <row r="320" spans="1:24">
      <c r="A320">
        <f>HYPERLINK("https://www.philgeps.gov.ph/GEPSNONPILOT/Tender/SplashBidNoticeAbstractUI.aspx?menuIndex=3&amp;refID=7076309&amp;Result=3","7076309")</f>
        <v>0</v>
      </c>
      <c r="B320" t="s">
        <v>169</v>
      </c>
      <c r="C320" t="s">
        <v>3677</v>
      </c>
      <c r="D320" t="s">
        <v>16611</v>
      </c>
      <c r="E320" t="s">
        <v>17017</v>
      </c>
      <c r="F320" t="s">
        <v>28669</v>
      </c>
      <c r="G320" t="s">
        <v>28675</v>
      </c>
      <c r="H320" t="s">
        <v>9998</v>
      </c>
      <c r="I320" t="s">
        <v>28708</v>
      </c>
      <c r="J320" t="s">
        <v>29085</v>
      </c>
      <c r="K320" t="s">
        <v>37210</v>
      </c>
      <c r="M320" t="s">
        <v>37646</v>
      </c>
      <c r="N320" t="s">
        <v>41249</v>
      </c>
      <c r="O320" t="s">
        <v>41250</v>
      </c>
      <c r="P320">
        <v>0</v>
      </c>
      <c r="Q320">
        <v>3</v>
      </c>
      <c r="R320" t="s">
        <v>41251</v>
      </c>
      <c r="S320" t="s">
        <v>41369</v>
      </c>
      <c r="T320" t="s">
        <v>42688</v>
      </c>
      <c r="U320" t="s">
        <v>43482</v>
      </c>
      <c r="V320" t="s">
        <v>54294</v>
      </c>
      <c r="W320" t="s">
        <v>37646</v>
      </c>
      <c r="X320" t="s">
        <v>41252</v>
      </c>
    </row>
    <row r="321" spans="1:24">
      <c r="A321">
        <f>HYPERLINK("https://www.philgeps.gov.ph/GEPSNONPILOT/Tender/SplashBidNoticeAbstractUI.aspx?menuIndex=3&amp;refID=7076308&amp;Result=3","7076308")</f>
        <v>0</v>
      </c>
      <c r="B321" t="s">
        <v>194</v>
      </c>
      <c r="C321" t="s">
        <v>3678</v>
      </c>
      <c r="D321" t="s">
        <v>16672</v>
      </c>
      <c r="E321" t="s">
        <v>17018</v>
      </c>
      <c r="F321" t="s">
        <v>28669</v>
      </c>
      <c r="G321" t="s">
        <v>28675</v>
      </c>
      <c r="H321" t="s">
        <v>9998</v>
      </c>
      <c r="I321" t="s">
        <v>7352</v>
      </c>
      <c r="J321" t="s">
        <v>29086</v>
      </c>
      <c r="K321" t="s">
        <v>37206</v>
      </c>
      <c r="M321" t="s">
        <v>37672</v>
      </c>
      <c r="N321" t="s">
        <v>41249</v>
      </c>
      <c r="O321" t="s">
        <v>41250</v>
      </c>
      <c r="P321">
        <v>0</v>
      </c>
      <c r="Q321">
        <v>0</v>
      </c>
      <c r="R321" t="s">
        <v>41251</v>
      </c>
      <c r="S321" t="s">
        <v>41369</v>
      </c>
      <c r="T321" t="s">
        <v>42716</v>
      </c>
      <c r="U321" t="s">
        <v>43483</v>
      </c>
      <c r="W321" t="s">
        <v>37672</v>
      </c>
      <c r="X321" t="s">
        <v>41252</v>
      </c>
    </row>
    <row r="322" spans="1:24">
      <c r="A322">
        <f>HYPERLINK("https://www.philgeps.gov.ph/GEPSNONPILOT/Tender/SplashBidNoticeAbstractUI.aspx?menuIndex=3&amp;refID=7076287&amp;Result=3","7076287")</f>
        <v>0</v>
      </c>
      <c r="B322" t="s">
        <v>193</v>
      </c>
      <c r="C322" t="s">
        <v>3679</v>
      </c>
      <c r="D322" t="s">
        <v>16658</v>
      </c>
      <c r="E322" t="s">
        <v>17019</v>
      </c>
      <c r="F322" t="s">
        <v>28669</v>
      </c>
      <c r="G322" t="s">
        <v>28676</v>
      </c>
      <c r="H322" t="s">
        <v>9998</v>
      </c>
      <c r="I322" t="s">
        <v>3679</v>
      </c>
      <c r="J322" t="s">
        <v>29087</v>
      </c>
      <c r="K322" t="s">
        <v>37204</v>
      </c>
      <c r="M322" t="s">
        <v>37671</v>
      </c>
      <c r="N322" t="s">
        <v>41249</v>
      </c>
      <c r="O322" t="s">
        <v>41250</v>
      </c>
      <c r="P322">
        <v>0</v>
      </c>
      <c r="Q322">
        <v>0</v>
      </c>
      <c r="R322" t="s">
        <v>41251</v>
      </c>
      <c r="S322" t="s">
        <v>41369</v>
      </c>
      <c r="T322" t="s">
        <v>42673</v>
      </c>
      <c r="U322" t="s">
        <v>43484</v>
      </c>
      <c r="W322" t="s">
        <v>37671</v>
      </c>
      <c r="X322" t="s">
        <v>41252</v>
      </c>
    </row>
    <row r="323" spans="1:24">
      <c r="A323">
        <f>HYPERLINK("https://www.philgeps.gov.ph/GEPSNONPILOT/Tender/SplashBidNoticeAbstractUI.aspx?menuIndex=3&amp;refID=7076307&amp;Result=3","7076307")</f>
        <v>0</v>
      </c>
      <c r="B323" t="s">
        <v>182</v>
      </c>
      <c r="C323" t="s">
        <v>3680</v>
      </c>
      <c r="D323" t="s">
        <v>16637</v>
      </c>
      <c r="E323" t="s">
        <v>17020</v>
      </c>
      <c r="F323" t="s">
        <v>28669</v>
      </c>
      <c r="G323" t="s">
        <v>28677</v>
      </c>
      <c r="H323" t="s">
        <v>9998</v>
      </c>
      <c r="I323" t="s">
        <v>28732</v>
      </c>
      <c r="J323" t="s">
        <v>29088</v>
      </c>
      <c r="K323" t="s">
        <v>37205</v>
      </c>
      <c r="L323" t="s">
        <v>182</v>
      </c>
      <c r="M323" t="s">
        <v>37659</v>
      </c>
      <c r="N323" t="s">
        <v>41249</v>
      </c>
      <c r="O323" t="s">
        <v>41250</v>
      </c>
      <c r="Q323">
        <v>0</v>
      </c>
      <c r="R323" t="s">
        <v>41251</v>
      </c>
      <c r="S323" t="s">
        <v>41374</v>
      </c>
      <c r="T323" t="s">
        <v>42729</v>
      </c>
      <c r="U323" t="s">
        <v>43485</v>
      </c>
      <c r="W323" t="s">
        <v>37659</v>
      </c>
      <c r="X323" t="s">
        <v>41252</v>
      </c>
    </row>
    <row r="324" spans="1:24">
      <c r="A324">
        <f>HYPERLINK("https://www.philgeps.gov.ph/GEPSNONPILOT/Tender/SplashBidNoticeAbstractUI.aspx?menuIndex=3&amp;refID=7076306&amp;Result=3","7076306")</f>
        <v>0</v>
      </c>
      <c r="B324" t="s">
        <v>145</v>
      </c>
      <c r="C324" t="s">
        <v>3681</v>
      </c>
      <c r="D324" t="s">
        <v>16619</v>
      </c>
      <c r="E324" t="s">
        <v>17021</v>
      </c>
      <c r="F324" t="s">
        <v>28669</v>
      </c>
      <c r="G324" t="s">
        <v>28676</v>
      </c>
      <c r="H324" t="s">
        <v>9998</v>
      </c>
      <c r="I324" t="s">
        <v>3718</v>
      </c>
      <c r="J324" t="s">
        <v>29089</v>
      </c>
      <c r="K324" t="s">
        <v>37210</v>
      </c>
      <c r="M324" t="s">
        <v>37622</v>
      </c>
      <c r="N324" t="s">
        <v>41249</v>
      </c>
      <c r="O324" t="s">
        <v>41250</v>
      </c>
      <c r="P324">
        <v>0</v>
      </c>
      <c r="Q324">
        <v>0</v>
      </c>
      <c r="R324" t="s">
        <v>41251</v>
      </c>
      <c r="S324" t="s">
        <v>41369</v>
      </c>
      <c r="T324" t="s">
        <v>42754</v>
      </c>
      <c r="U324" t="s">
        <v>43486</v>
      </c>
      <c r="V324" t="s">
        <v>54286</v>
      </c>
      <c r="W324" t="s">
        <v>37622</v>
      </c>
      <c r="X324" t="s">
        <v>41252</v>
      </c>
    </row>
    <row r="325" spans="1:24">
      <c r="A325">
        <f>HYPERLINK("https://www.philgeps.gov.ph/GEPSNONPILOT/Tender/SplashBidNoticeAbstractUI.aspx?menuIndex=3&amp;refID=7076303&amp;Result=3","7076303")</f>
        <v>0</v>
      </c>
      <c r="B325" t="s">
        <v>195</v>
      </c>
      <c r="C325" t="s">
        <v>3682</v>
      </c>
      <c r="D325" t="s">
        <v>16636</v>
      </c>
      <c r="E325" t="s">
        <v>17022</v>
      </c>
      <c r="F325" t="s">
        <v>28669</v>
      </c>
      <c r="G325" t="s">
        <v>28679</v>
      </c>
      <c r="H325" t="s">
        <v>9998</v>
      </c>
      <c r="I325" t="s">
        <v>11593</v>
      </c>
      <c r="J325" t="s">
        <v>29090</v>
      </c>
      <c r="K325" t="s">
        <v>37206</v>
      </c>
      <c r="M325" t="s">
        <v>37673</v>
      </c>
      <c r="N325" t="s">
        <v>41249</v>
      </c>
      <c r="O325" t="s">
        <v>41250</v>
      </c>
      <c r="P325">
        <v>0</v>
      </c>
      <c r="Q325">
        <v>0</v>
      </c>
      <c r="R325" t="s">
        <v>41251</v>
      </c>
      <c r="S325" t="s">
        <v>41369</v>
      </c>
      <c r="T325" t="s">
        <v>42754</v>
      </c>
      <c r="U325" t="s">
        <v>43487</v>
      </c>
      <c r="W325" t="s">
        <v>37673</v>
      </c>
      <c r="X325" t="s">
        <v>41252</v>
      </c>
    </row>
    <row r="326" spans="1:24">
      <c r="A326">
        <f>HYPERLINK("https://www.philgeps.gov.ph/GEPSNONPILOT/Tender/SplashBidNoticeAbstractUI.aspx?menuIndex=3&amp;refID=7076215&amp;Result=3","7076215")</f>
        <v>0</v>
      </c>
      <c r="B326" t="s">
        <v>165</v>
      </c>
      <c r="C326" t="s">
        <v>3636</v>
      </c>
      <c r="D326" t="s">
        <v>16640</v>
      </c>
      <c r="E326" t="s">
        <v>17023</v>
      </c>
      <c r="F326" t="s">
        <v>28669</v>
      </c>
      <c r="G326" t="s">
        <v>28676</v>
      </c>
      <c r="H326" t="s">
        <v>9998</v>
      </c>
      <c r="I326" t="s">
        <v>15140</v>
      </c>
      <c r="J326" t="s">
        <v>28834</v>
      </c>
      <c r="K326" t="s">
        <v>37205</v>
      </c>
      <c r="M326" t="s">
        <v>37642</v>
      </c>
      <c r="N326" t="s">
        <v>41249</v>
      </c>
      <c r="O326" t="s">
        <v>41250</v>
      </c>
      <c r="P326">
        <v>0</v>
      </c>
      <c r="Q326">
        <v>0</v>
      </c>
      <c r="R326" t="s">
        <v>41251</v>
      </c>
      <c r="S326" t="s">
        <v>41369</v>
      </c>
      <c r="T326" t="s">
        <v>42673</v>
      </c>
      <c r="U326" t="s">
        <v>43488</v>
      </c>
      <c r="V326" t="s">
        <v>54304</v>
      </c>
      <c r="W326" t="s">
        <v>37642</v>
      </c>
      <c r="X326" t="s">
        <v>41252</v>
      </c>
    </row>
    <row r="327" spans="1:24">
      <c r="A327">
        <f>HYPERLINK("https://www.philgeps.gov.ph/GEPSNONPILOT/Tender/SplashBidNoticeAbstractUI.aspx?menuIndex=3&amp;refID=7076302&amp;Result=3","7076302")</f>
        <v>0</v>
      </c>
      <c r="B327" t="s">
        <v>196</v>
      </c>
      <c r="C327" t="s">
        <v>3683</v>
      </c>
      <c r="D327" t="s">
        <v>16622</v>
      </c>
      <c r="E327" t="s">
        <v>17024</v>
      </c>
      <c r="F327" t="s">
        <v>28669</v>
      </c>
      <c r="G327" t="s">
        <v>28681</v>
      </c>
      <c r="H327" t="s">
        <v>9998</v>
      </c>
      <c r="I327" t="s">
        <v>28711</v>
      </c>
      <c r="J327" t="s">
        <v>29091</v>
      </c>
      <c r="K327" t="s">
        <v>37204</v>
      </c>
      <c r="M327" t="s">
        <v>37674</v>
      </c>
      <c r="N327" t="s">
        <v>41249</v>
      </c>
      <c r="O327" t="s">
        <v>41250</v>
      </c>
      <c r="P327">
        <v>0</v>
      </c>
      <c r="Q327">
        <v>8</v>
      </c>
      <c r="R327" t="s">
        <v>41251</v>
      </c>
      <c r="S327" t="s">
        <v>41369</v>
      </c>
      <c r="T327" t="s">
        <v>42690</v>
      </c>
      <c r="U327" t="s">
        <v>43489</v>
      </c>
      <c r="W327" t="s">
        <v>37674</v>
      </c>
      <c r="X327" t="s">
        <v>41252</v>
      </c>
    </row>
    <row r="328" spans="1:24">
      <c r="A328">
        <f>HYPERLINK("https://www.philgeps.gov.ph/GEPSNONPILOT/Tender/SplashBidNoticeAbstractUI.aspx?menuIndex=3&amp;refID=7076296&amp;Result=3","7076296")</f>
        <v>0</v>
      </c>
      <c r="B328" t="s">
        <v>87</v>
      </c>
      <c r="C328" t="s">
        <v>3684</v>
      </c>
      <c r="D328" t="s">
        <v>16638</v>
      </c>
      <c r="E328" t="s">
        <v>17025</v>
      </c>
      <c r="F328" t="s">
        <v>28669</v>
      </c>
      <c r="G328" t="s">
        <v>28677</v>
      </c>
      <c r="H328" t="s">
        <v>9998</v>
      </c>
      <c r="I328" t="s">
        <v>28690</v>
      </c>
      <c r="J328" t="s">
        <v>29092</v>
      </c>
      <c r="K328" t="s">
        <v>37205</v>
      </c>
      <c r="M328" t="s">
        <v>37562</v>
      </c>
      <c r="N328" t="s">
        <v>41249</v>
      </c>
      <c r="O328" t="s">
        <v>41250</v>
      </c>
      <c r="P328">
        <v>0</v>
      </c>
      <c r="Q328">
        <v>0</v>
      </c>
      <c r="R328" t="s">
        <v>41251</v>
      </c>
      <c r="S328" t="s">
        <v>41369</v>
      </c>
      <c r="T328" t="s">
        <v>42726</v>
      </c>
      <c r="U328" t="s">
        <v>43490</v>
      </c>
      <c r="W328" t="s">
        <v>37562</v>
      </c>
      <c r="X328" t="s">
        <v>41252</v>
      </c>
    </row>
    <row r="329" spans="1:24">
      <c r="A329">
        <f>HYPERLINK("https://www.philgeps.gov.ph/GEPSNONPILOT/Tender/SplashBidNoticeAbstractUI.aspx?menuIndex=3&amp;refID=7076295&amp;Result=3","7076295")</f>
        <v>0</v>
      </c>
      <c r="B329" t="s">
        <v>197</v>
      </c>
      <c r="C329" t="s">
        <v>3685</v>
      </c>
      <c r="D329" t="s">
        <v>16609</v>
      </c>
      <c r="E329" t="s">
        <v>17026</v>
      </c>
      <c r="F329" t="s">
        <v>28669</v>
      </c>
      <c r="G329" t="s">
        <v>28676</v>
      </c>
      <c r="H329" t="s">
        <v>9998</v>
      </c>
      <c r="I329" t="s">
        <v>7352</v>
      </c>
      <c r="J329" t="s">
        <v>29093</v>
      </c>
      <c r="K329" t="s">
        <v>37221</v>
      </c>
      <c r="M329" t="s">
        <v>37675</v>
      </c>
      <c r="N329" t="s">
        <v>41249</v>
      </c>
      <c r="O329" t="s">
        <v>41250</v>
      </c>
      <c r="P329">
        <v>0</v>
      </c>
      <c r="Q329">
        <v>0</v>
      </c>
      <c r="R329" t="s">
        <v>41251</v>
      </c>
      <c r="S329" t="s">
        <v>41369</v>
      </c>
      <c r="T329" t="s">
        <v>42679</v>
      </c>
      <c r="U329" t="s">
        <v>43491</v>
      </c>
      <c r="W329" t="s">
        <v>37675</v>
      </c>
      <c r="X329" t="s">
        <v>41252</v>
      </c>
    </row>
    <row r="330" spans="1:24">
      <c r="A330">
        <f>HYPERLINK("https://www.philgeps.gov.ph/GEPSNONPILOT/Tender/SplashBidNoticeAbstractUI.aspx?menuIndex=3&amp;refID=7076291&amp;Result=3","7076291")</f>
        <v>0</v>
      </c>
      <c r="B330" t="s">
        <v>198</v>
      </c>
      <c r="C330" t="s">
        <v>3686</v>
      </c>
      <c r="D330" t="s">
        <v>16624</v>
      </c>
      <c r="E330" t="s">
        <v>17027</v>
      </c>
      <c r="F330" t="s">
        <v>28669</v>
      </c>
      <c r="G330" t="s">
        <v>28676</v>
      </c>
      <c r="H330" t="s">
        <v>28684</v>
      </c>
      <c r="I330" t="s">
        <v>6458</v>
      </c>
      <c r="J330" t="s">
        <v>29094</v>
      </c>
      <c r="K330" t="s">
        <v>37210</v>
      </c>
      <c r="M330" t="s">
        <v>37676</v>
      </c>
      <c r="N330" t="s">
        <v>41249</v>
      </c>
      <c r="O330" t="s">
        <v>41250</v>
      </c>
      <c r="P330">
        <v>0</v>
      </c>
      <c r="Q330">
        <v>1</v>
      </c>
      <c r="R330" t="s">
        <v>41251</v>
      </c>
      <c r="S330" t="s">
        <v>41369</v>
      </c>
      <c r="T330" t="s">
        <v>42683</v>
      </c>
      <c r="U330" t="s">
        <v>43492</v>
      </c>
      <c r="W330" t="s">
        <v>37676</v>
      </c>
      <c r="X330" t="s">
        <v>41252</v>
      </c>
    </row>
    <row r="331" spans="1:24">
      <c r="A331">
        <f>HYPERLINK("https://www.philgeps.gov.ph/GEPSNONPILOT/Tender/SplashBidNoticeAbstractUI.aspx?menuIndex=3&amp;refID=7076290&amp;Result=3","7076290")</f>
        <v>0</v>
      </c>
      <c r="B331" t="s">
        <v>199</v>
      </c>
      <c r="C331" t="s">
        <v>3687</v>
      </c>
      <c r="D331" t="s">
        <v>16622</v>
      </c>
      <c r="E331" t="s">
        <v>17028</v>
      </c>
      <c r="F331" t="s">
        <v>28669</v>
      </c>
      <c r="G331" t="s">
        <v>28679</v>
      </c>
      <c r="H331" t="s">
        <v>9998</v>
      </c>
      <c r="I331" t="s">
        <v>7352</v>
      </c>
      <c r="J331" t="s">
        <v>29095</v>
      </c>
      <c r="K331" t="s">
        <v>37206</v>
      </c>
      <c r="M331" t="s">
        <v>37677</v>
      </c>
      <c r="N331" t="s">
        <v>41249</v>
      </c>
      <c r="O331" t="s">
        <v>41250</v>
      </c>
      <c r="P331">
        <v>0</v>
      </c>
      <c r="Q331">
        <v>1</v>
      </c>
      <c r="R331" t="s">
        <v>41251</v>
      </c>
      <c r="S331" t="s">
        <v>41369</v>
      </c>
      <c r="T331" t="s">
        <v>42755</v>
      </c>
      <c r="U331" t="s">
        <v>43493</v>
      </c>
      <c r="W331" t="s">
        <v>37677</v>
      </c>
      <c r="X331" t="s">
        <v>41252</v>
      </c>
    </row>
    <row r="332" spans="1:24">
      <c r="A332">
        <f>HYPERLINK("https://www.philgeps.gov.ph/GEPSNONPILOT/Tender/SplashBidNoticeAbstractUI.aspx?menuIndex=3&amp;refID=7076268&amp;Result=3","7076268")</f>
        <v>0</v>
      </c>
      <c r="B332" t="s">
        <v>199</v>
      </c>
      <c r="C332" t="s">
        <v>3688</v>
      </c>
      <c r="D332" t="s">
        <v>16622</v>
      </c>
      <c r="E332" t="s">
        <v>17029</v>
      </c>
      <c r="F332" t="s">
        <v>28669</v>
      </c>
      <c r="G332" t="s">
        <v>28679</v>
      </c>
      <c r="H332" t="s">
        <v>9998</v>
      </c>
      <c r="I332" t="s">
        <v>7352</v>
      </c>
      <c r="J332" t="s">
        <v>29096</v>
      </c>
      <c r="K332" t="s">
        <v>37206</v>
      </c>
      <c r="M332" t="s">
        <v>37677</v>
      </c>
      <c r="N332" t="s">
        <v>41249</v>
      </c>
      <c r="O332" t="s">
        <v>41250</v>
      </c>
      <c r="P332">
        <v>0</v>
      </c>
      <c r="Q332">
        <v>0</v>
      </c>
      <c r="R332" t="s">
        <v>41251</v>
      </c>
      <c r="S332" t="s">
        <v>41369</v>
      </c>
      <c r="T332" t="s">
        <v>42755</v>
      </c>
      <c r="U332" t="s">
        <v>43494</v>
      </c>
      <c r="W332" t="s">
        <v>37677</v>
      </c>
      <c r="X332" t="s">
        <v>41252</v>
      </c>
    </row>
    <row r="333" spans="1:24">
      <c r="A333">
        <f>HYPERLINK("https://www.philgeps.gov.ph/GEPSNONPILOT/Tender/SplashBidNoticeAbstractUI.aspx?menuIndex=3&amp;refID=7076265&amp;Result=3","7076265")</f>
        <v>0</v>
      </c>
      <c r="B333" t="s">
        <v>195</v>
      </c>
      <c r="C333" t="s">
        <v>3689</v>
      </c>
      <c r="D333" t="s">
        <v>16636</v>
      </c>
      <c r="E333" t="s">
        <v>17030</v>
      </c>
      <c r="F333" t="s">
        <v>28669</v>
      </c>
      <c r="G333" t="s">
        <v>28679</v>
      </c>
      <c r="H333" t="s">
        <v>9998</v>
      </c>
      <c r="I333" t="s">
        <v>28733</v>
      </c>
      <c r="J333" t="s">
        <v>29097</v>
      </c>
      <c r="K333" t="s">
        <v>37206</v>
      </c>
      <c r="M333" t="s">
        <v>37673</v>
      </c>
      <c r="N333" t="s">
        <v>41249</v>
      </c>
      <c r="O333" t="s">
        <v>41250</v>
      </c>
      <c r="P333">
        <v>0</v>
      </c>
      <c r="Q333">
        <v>1</v>
      </c>
      <c r="R333" t="s">
        <v>41251</v>
      </c>
      <c r="S333" t="s">
        <v>41369</v>
      </c>
      <c r="T333" t="s">
        <v>42754</v>
      </c>
      <c r="U333" t="s">
        <v>43495</v>
      </c>
      <c r="W333" t="s">
        <v>37673</v>
      </c>
      <c r="X333" t="s">
        <v>41252</v>
      </c>
    </row>
    <row r="334" spans="1:24">
      <c r="A334">
        <f>HYPERLINK("https://www.philgeps.gov.ph/GEPSNONPILOT/Tender/SplashBidNoticeAbstractUI.aspx?menuIndex=3&amp;refID=7076304&amp;Result=3","7076304")</f>
        <v>0</v>
      </c>
      <c r="B334" t="s">
        <v>125</v>
      </c>
      <c r="C334" t="s">
        <v>3690</v>
      </c>
      <c r="D334" t="s">
        <v>16660</v>
      </c>
      <c r="E334" t="s">
        <v>17031</v>
      </c>
      <c r="F334" t="s">
        <v>28669</v>
      </c>
      <c r="G334" t="s">
        <v>28677</v>
      </c>
      <c r="H334" t="s">
        <v>9998</v>
      </c>
      <c r="I334" t="s">
        <v>28694</v>
      </c>
      <c r="J334" t="s">
        <v>29098</v>
      </c>
      <c r="K334" t="s">
        <v>37210</v>
      </c>
      <c r="M334" t="s">
        <v>37601</v>
      </c>
      <c r="N334" t="s">
        <v>41249</v>
      </c>
      <c r="O334" t="s">
        <v>41250</v>
      </c>
      <c r="P334">
        <v>0</v>
      </c>
      <c r="Q334">
        <v>1</v>
      </c>
      <c r="R334" t="s">
        <v>41251</v>
      </c>
      <c r="S334" t="s">
        <v>41369</v>
      </c>
      <c r="T334" t="s">
        <v>42711</v>
      </c>
      <c r="U334" t="s">
        <v>43373</v>
      </c>
      <c r="W334" t="s">
        <v>37601</v>
      </c>
      <c r="X334" t="s">
        <v>41252</v>
      </c>
    </row>
    <row r="335" spans="1:24">
      <c r="A335">
        <f>HYPERLINK("https://www.philgeps.gov.ph/GEPSNONPILOT/Tender/SplashBidNoticeAbstractUI.aspx?menuIndex=3&amp;refID=7076264&amp;Result=3","7076264")</f>
        <v>0</v>
      </c>
      <c r="B335" t="s">
        <v>172</v>
      </c>
      <c r="C335" t="s">
        <v>3691</v>
      </c>
      <c r="D335" t="s">
        <v>16625</v>
      </c>
      <c r="E335" t="s">
        <v>16984</v>
      </c>
      <c r="F335" t="s">
        <v>28669</v>
      </c>
      <c r="G335" t="s">
        <v>28677</v>
      </c>
      <c r="H335" t="s">
        <v>9998</v>
      </c>
      <c r="I335" t="s">
        <v>3718</v>
      </c>
      <c r="J335" t="s">
        <v>28912</v>
      </c>
      <c r="K335" t="s">
        <v>37209</v>
      </c>
      <c r="M335" t="s">
        <v>37649</v>
      </c>
      <c r="N335" t="s">
        <v>41249</v>
      </c>
      <c r="O335" t="s">
        <v>41250</v>
      </c>
      <c r="P335">
        <v>0</v>
      </c>
      <c r="Q335">
        <v>0</v>
      </c>
      <c r="R335" t="s">
        <v>41251</v>
      </c>
      <c r="S335" t="s">
        <v>41369</v>
      </c>
      <c r="T335" t="s">
        <v>42748</v>
      </c>
      <c r="U335" t="s">
        <v>43496</v>
      </c>
      <c r="W335" t="s">
        <v>37649</v>
      </c>
      <c r="X335" t="s">
        <v>41252</v>
      </c>
    </row>
    <row r="336" spans="1:24">
      <c r="A336">
        <f>HYPERLINK("https://www.philgeps.gov.ph/GEPSNONPILOT/Tender/SplashBidNoticeAbstractUI.aspx?menuIndex=3&amp;refID=7076313&amp;Result=3","7076313")</f>
        <v>0</v>
      </c>
      <c r="B336" t="s">
        <v>181</v>
      </c>
      <c r="C336" t="s">
        <v>3692</v>
      </c>
      <c r="D336" t="s">
        <v>16647</v>
      </c>
      <c r="E336" t="s">
        <v>17032</v>
      </c>
      <c r="F336" t="s">
        <v>28669</v>
      </c>
      <c r="G336" t="s">
        <v>28675</v>
      </c>
      <c r="H336" t="s">
        <v>9998</v>
      </c>
      <c r="I336" t="s">
        <v>28708</v>
      </c>
      <c r="J336" t="s">
        <v>29040</v>
      </c>
      <c r="K336" t="s">
        <v>37210</v>
      </c>
      <c r="M336" t="s">
        <v>37658</v>
      </c>
      <c r="N336" t="s">
        <v>41249</v>
      </c>
      <c r="O336" t="s">
        <v>41250</v>
      </c>
      <c r="P336">
        <v>0</v>
      </c>
      <c r="Q336">
        <v>2</v>
      </c>
      <c r="R336" t="s">
        <v>41251</v>
      </c>
      <c r="S336" t="s">
        <v>41369</v>
      </c>
      <c r="T336" t="s">
        <v>42750</v>
      </c>
      <c r="U336" t="s">
        <v>43497</v>
      </c>
      <c r="W336" t="s">
        <v>37658</v>
      </c>
      <c r="X336" t="s">
        <v>41252</v>
      </c>
    </row>
    <row r="337" spans="1:24">
      <c r="A337">
        <f>HYPERLINK("https://www.philgeps.gov.ph/GEPSNONPILOT/Tender/SplashBidNoticeAbstractUI.aspx?menuIndex=3&amp;refID=7076236&amp;Result=3","7076236")</f>
        <v>0</v>
      </c>
      <c r="B337" t="s">
        <v>200</v>
      </c>
      <c r="C337" t="s">
        <v>3693</v>
      </c>
      <c r="E337" t="s">
        <v>17033</v>
      </c>
      <c r="F337" t="s">
        <v>28669</v>
      </c>
      <c r="G337" t="s">
        <v>28676</v>
      </c>
      <c r="H337" t="s">
        <v>9998</v>
      </c>
      <c r="I337" t="s">
        <v>5286</v>
      </c>
      <c r="J337" t="s">
        <v>28879</v>
      </c>
      <c r="K337" t="s">
        <v>37209</v>
      </c>
      <c r="M337" t="s">
        <v>37678</v>
      </c>
      <c r="N337" t="s">
        <v>41249</v>
      </c>
      <c r="O337" t="s">
        <v>41250</v>
      </c>
      <c r="P337">
        <v>0</v>
      </c>
      <c r="Q337">
        <v>5</v>
      </c>
      <c r="R337" t="s">
        <v>41251</v>
      </c>
      <c r="S337" t="s">
        <v>41369</v>
      </c>
      <c r="T337" t="s">
        <v>42717</v>
      </c>
      <c r="U337" t="s">
        <v>43498</v>
      </c>
      <c r="V337" t="s">
        <v>54305</v>
      </c>
      <c r="W337" t="s">
        <v>55903</v>
      </c>
      <c r="X337" t="s">
        <v>41252</v>
      </c>
    </row>
    <row r="338" spans="1:24">
      <c r="A338">
        <f>HYPERLINK("https://www.philgeps.gov.ph/GEPSNONPILOT/Tender/SplashBidNoticeAbstractUI.aspx?menuIndex=3&amp;refID=7076301&amp;Result=3","7076301")</f>
        <v>0</v>
      </c>
      <c r="B338" t="s">
        <v>201</v>
      </c>
      <c r="C338" t="s">
        <v>3694</v>
      </c>
      <c r="E338" t="s">
        <v>17034</v>
      </c>
      <c r="F338" t="s">
        <v>28669</v>
      </c>
      <c r="G338" t="s">
        <v>28676</v>
      </c>
      <c r="H338" t="s">
        <v>9998</v>
      </c>
      <c r="I338" t="s">
        <v>28697</v>
      </c>
      <c r="J338" t="s">
        <v>29099</v>
      </c>
      <c r="K338" t="s">
        <v>37209</v>
      </c>
      <c r="M338" t="s">
        <v>37679</v>
      </c>
      <c r="N338" t="s">
        <v>41249</v>
      </c>
      <c r="O338" t="s">
        <v>41250</v>
      </c>
      <c r="P338">
        <v>0</v>
      </c>
      <c r="Q338">
        <v>2</v>
      </c>
      <c r="R338" t="s">
        <v>41251</v>
      </c>
      <c r="S338" t="s">
        <v>41369</v>
      </c>
      <c r="T338" t="s">
        <v>42711</v>
      </c>
      <c r="U338" t="s">
        <v>43499</v>
      </c>
      <c r="W338" t="s">
        <v>37679</v>
      </c>
      <c r="X338" t="s">
        <v>41252</v>
      </c>
    </row>
    <row r="339" spans="1:24">
      <c r="A339">
        <f>HYPERLINK("https://www.philgeps.gov.ph/GEPSNONPILOT/Tender/SplashBidNoticeAbstractUI.aspx?menuIndex=3&amp;refID=7076106&amp;Result=3","7076106")</f>
        <v>0</v>
      </c>
      <c r="B339" t="s">
        <v>202</v>
      </c>
      <c r="C339" t="s">
        <v>3695</v>
      </c>
      <c r="D339" t="s">
        <v>16629</v>
      </c>
      <c r="E339" t="s">
        <v>17035</v>
      </c>
      <c r="F339" t="s">
        <v>28669</v>
      </c>
      <c r="G339" t="s">
        <v>28675</v>
      </c>
      <c r="H339" t="s">
        <v>9998</v>
      </c>
      <c r="I339" t="s">
        <v>28726</v>
      </c>
      <c r="J339" t="s">
        <v>29100</v>
      </c>
      <c r="K339" t="s">
        <v>37231</v>
      </c>
      <c r="M339" t="s">
        <v>37680</v>
      </c>
      <c r="N339" t="s">
        <v>41249</v>
      </c>
      <c r="O339" t="s">
        <v>41250</v>
      </c>
      <c r="P339">
        <v>0</v>
      </c>
      <c r="Q339">
        <v>0</v>
      </c>
      <c r="R339" t="s">
        <v>41251</v>
      </c>
      <c r="S339" t="s">
        <v>41369</v>
      </c>
      <c r="T339" t="s">
        <v>42690</v>
      </c>
      <c r="U339" t="s">
        <v>43500</v>
      </c>
      <c r="W339" t="s">
        <v>37680</v>
      </c>
      <c r="X339" t="s">
        <v>41252</v>
      </c>
    </row>
    <row r="340" spans="1:24">
      <c r="A340">
        <f>HYPERLINK("https://www.philgeps.gov.ph/GEPSNONPILOT/Tender/SplashBidNoticeAbstractUI.aspx?menuIndex=3&amp;refID=7076256&amp;Result=3","7076256")</f>
        <v>0</v>
      </c>
      <c r="B340" t="s">
        <v>162</v>
      </c>
      <c r="C340" t="s">
        <v>3696</v>
      </c>
      <c r="D340" t="s">
        <v>16666</v>
      </c>
      <c r="E340" t="s">
        <v>16967</v>
      </c>
      <c r="F340" t="s">
        <v>28669</v>
      </c>
      <c r="G340" t="s">
        <v>28675</v>
      </c>
      <c r="H340" t="s">
        <v>28686</v>
      </c>
      <c r="I340" t="s">
        <v>28702</v>
      </c>
      <c r="J340" t="s">
        <v>29040</v>
      </c>
      <c r="K340" t="s">
        <v>37204</v>
      </c>
      <c r="M340" t="s">
        <v>37639</v>
      </c>
      <c r="N340" t="s">
        <v>41249</v>
      </c>
      <c r="O340" t="s">
        <v>41250</v>
      </c>
      <c r="P340">
        <v>0</v>
      </c>
      <c r="Q340">
        <v>0</v>
      </c>
      <c r="R340" t="s">
        <v>41251</v>
      </c>
      <c r="S340" t="s">
        <v>41369</v>
      </c>
      <c r="T340" t="s">
        <v>42745</v>
      </c>
      <c r="U340" t="s">
        <v>43501</v>
      </c>
      <c r="W340" t="s">
        <v>37639</v>
      </c>
      <c r="X340" t="s">
        <v>41252</v>
      </c>
    </row>
    <row r="341" spans="1:24">
      <c r="A341">
        <f>HYPERLINK("https://www.philgeps.gov.ph/GEPSNONPILOT/Tender/SplashBidNoticeAbstractUI.aspx?menuIndex=3&amp;refID=7076105&amp;Result=3","7076105")</f>
        <v>0</v>
      </c>
      <c r="B341" t="s">
        <v>171</v>
      </c>
      <c r="C341" t="s">
        <v>3697</v>
      </c>
      <c r="D341" t="s">
        <v>16621</v>
      </c>
      <c r="E341" t="s">
        <v>17036</v>
      </c>
      <c r="F341" t="s">
        <v>28669</v>
      </c>
      <c r="G341" t="s">
        <v>28680</v>
      </c>
      <c r="H341" t="s">
        <v>9998</v>
      </c>
      <c r="I341" t="s">
        <v>28717</v>
      </c>
      <c r="J341" t="s">
        <v>29101</v>
      </c>
      <c r="K341" t="s">
        <v>37210</v>
      </c>
      <c r="M341" t="s">
        <v>37648</v>
      </c>
      <c r="N341" t="s">
        <v>41249</v>
      </c>
      <c r="O341" t="s">
        <v>41250</v>
      </c>
      <c r="P341">
        <v>0</v>
      </c>
      <c r="Q341">
        <v>1</v>
      </c>
      <c r="R341" t="s">
        <v>41251</v>
      </c>
      <c r="S341" t="s">
        <v>41369</v>
      </c>
      <c r="T341" t="s">
        <v>42686</v>
      </c>
      <c r="U341" t="s">
        <v>43449</v>
      </c>
      <c r="W341" t="s">
        <v>37648</v>
      </c>
      <c r="X341" t="s">
        <v>41252</v>
      </c>
    </row>
    <row r="342" spans="1:24">
      <c r="A342">
        <f>HYPERLINK("https://www.philgeps.gov.ph/GEPSNONPILOT/Tender/SplashBidNoticeAbstractUI.aspx?menuIndex=3&amp;refID=7076104&amp;Result=3","7076104")</f>
        <v>0</v>
      </c>
      <c r="B342" t="s">
        <v>203</v>
      </c>
      <c r="C342" t="s">
        <v>3698</v>
      </c>
      <c r="D342" t="s">
        <v>16673</v>
      </c>
      <c r="E342" t="s">
        <v>17037</v>
      </c>
      <c r="F342" t="s">
        <v>28669</v>
      </c>
      <c r="G342" t="s">
        <v>28675</v>
      </c>
      <c r="H342" t="s">
        <v>28686</v>
      </c>
      <c r="I342" t="s">
        <v>28689</v>
      </c>
      <c r="J342" t="s">
        <v>29102</v>
      </c>
      <c r="K342" t="s">
        <v>37209</v>
      </c>
      <c r="M342" t="s">
        <v>37681</v>
      </c>
      <c r="N342" t="s">
        <v>41249</v>
      </c>
      <c r="O342" t="s">
        <v>41250</v>
      </c>
      <c r="P342">
        <v>0</v>
      </c>
      <c r="Q342">
        <v>0</v>
      </c>
      <c r="R342" t="s">
        <v>41251</v>
      </c>
      <c r="S342" t="s">
        <v>41369</v>
      </c>
      <c r="T342" t="s">
        <v>42726</v>
      </c>
      <c r="U342" t="s">
        <v>43502</v>
      </c>
      <c r="W342" t="s">
        <v>37681</v>
      </c>
      <c r="X342" t="s">
        <v>41252</v>
      </c>
    </row>
    <row r="343" spans="1:24">
      <c r="A343">
        <f>HYPERLINK("https://www.philgeps.gov.ph/GEPSNONPILOT/Tender/SplashBidNoticeAbstractUI.aspx?menuIndex=3&amp;refID=7076342&amp;Result=3","7076342")</f>
        <v>0</v>
      </c>
      <c r="B343" t="s">
        <v>188</v>
      </c>
      <c r="C343" t="s">
        <v>3699</v>
      </c>
      <c r="D343" t="s">
        <v>16664</v>
      </c>
      <c r="E343" t="s">
        <v>17038</v>
      </c>
      <c r="F343" t="s">
        <v>28669</v>
      </c>
      <c r="G343" t="s">
        <v>28679</v>
      </c>
      <c r="H343" t="s">
        <v>9998</v>
      </c>
      <c r="I343" t="s">
        <v>28697</v>
      </c>
      <c r="J343" t="s">
        <v>29103</v>
      </c>
      <c r="K343" t="s">
        <v>37220</v>
      </c>
      <c r="M343" t="s">
        <v>37666</v>
      </c>
      <c r="N343" t="s">
        <v>41249</v>
      </c>
      <c r="O343" t="s">
        <v>41250</v>
      </c>
      <c r="P343">
        <v>0</v>
      </c>
      <c r="Q343">
        <v>0</v>
      </c>
      <c r="R343" t="s">
        <v>41251</v>
      </c>
      <c r="S343" t="s">
        <v>41369</v>
      </c>
      <c r="T343" t="s">
        <v>42703</v>
      </c>
      <c r="U343" t="s">
        <v>43503</v>
      </c>
      <c r="W343" t="s">
        <v>37666</v>
      </c>
      <c r="X343" t="s">
        <v>41252</v>
      </c>
    </row>
    <row r="344" spans="1:24">
      <c r="A344">
        <f>HYPERLINK("https://www.philgeps.gov.ph/GEPSNONPILOT/Tender/SplashBidNoticeAbstractUI.aspx?menuIndex=3&amp;refID=7076340&amp;Result=3","7076340")</f>
        <v>0</v>
      </c>
      <c r="B344" t="s">
        <v>148</v>
      </c>
      <c r="C344" t="s">
        <v>3700</v>
      </c>
      <c r="D344" t="s">
        <v>16620</v>
      </c>
      <c r="E344" t="s">
        <v>17039</v>
      </c>
      <c r="F344" t="s">
        <v>28669</v>
      </c>
      <c r="G344" t="s">
        <v>28676</v>
      </c>
      <c r="H344" t="s">
        <v>9998</v>
      </c>
      <c r="I344" t="s">
        <v>5286</v>
      </c>
      <c r="J344" t="s">
        <v>29104</v>
      </c>
      <c r="K344" t="s">
        <v>37205</v>
      </c>
      <c r="L344" t="s">
        <v>148</v>
      </c>
      <c r="M344" t="s">
        <v>37625</v>
      </c>
      <c r="N344" t="s">
        <v>41249</v>
      </c>
      <c r="O344" t="s">
        <v>41250</v>
      </c>
      <c r="P344">
        <v>0</v>
      </c>
      <c r="Q344">
        <v>2</v>
      </c>
      <c r="R344" t="s">
        <v>41251</v>
      </c>
      <c r="S344" t="s">
        <v>41369</v>
      </c>
      <c r="T344" t="s">
        <v>42730</v>
      </c>
      <c r="U344" t="s">
        <v>43504</v>
      </c>
      <c r="V344" t="s">
        <v>54306</v>
      </c>
      <c r="W344" t="s">
        <v>37625</v>
      </c>
      <c r="X344" t="s">
        <v>41252</v>
      </c>
    </row>
    <row r="345" spans="1:24">
      <c r="A345">
        <f>HYPERLINK("https://www.philgeps.gov.ph/GEPSNONPILOT/Tender/SplashBidNoticeAbstractUI.aspx?menuIndex=3&amp;refID=7076292&amp;Result=3","7076292")</f>
        <v>0</v>
      </c>
      <c r="B345" t="s">
        <v>182</v>
      </c>
      <c r="C345" t="s">
        <v>3701</v>
      </c>
      <c r="D345" t="s">
        <v>16637</v>
      </c>
      <c r="E345" t="s">
        <v>17040</v>
      </c>
      <c r="F345" t="s">
        <v>28669</v>
      </c>
      <c r="G345" t="s">
        <v>28677</v>
      </c>
      <c r="H345" t="s">
        <v>9998</v>
      </c>
      <c r="I345" t="s">
        <v>28695</v>
      </c>
      <c r="J345" t="s">
        <v>29105</v>
      </c>
      <c r="K345" t="s">
        <v>37205</v>
      </c>
      <c r="L345" t="s">
        <v>182</v>
      </c>
      <c r="M345" t="s">
        <v>37659</v>
      </c>
      <c r="N345" t="s">
        <v>41249</v>
      </c>
      <c r="O345" t="s">
        <v>41250</v>
      </c>
      <c r="Q345">
        <v>0</v>
      </c>
      <c r="R345" t="s">
        <v>41251</v>
      </c>
      <c r="S345" t="s">
        <v>41375</v>
      </c>
      <c r="T345" t="s">
        <v>42729</v>
      </c>
      <c r="U345" t="s">
        <v>43505</v>
      </c>
      <c r="W345" t="s">
        <v>37659</v>
      </c>
      <c r="X345" t="s">
        <v>41252</v>
      </c>
    </row>
    <row r="346" spans="1:24">
      <c r="A346">
        <f>HYPERLINK("https://www.philgeps.gov.ph/GEPSNONPILOT/Tender/SplashBidNoticeAbstractUI.aspx?menuIndex=3&amp;refID=7076338&amp;Result=3","7076338")</f>
        <v>0</v>
      </c>
      <c r="B346" t="s">
        <v>169</v>
      </c>
      <c r="C346" t="s">
        <v>3702</v>
      </c>
      <c r="D346" t="s">
        <v>16611</v>
      </c>
      <c r="E346" t="s">
        <v>17041</v>
      </c>
      <c r="F346" t="s">
        <v>28669</v>
      </c>
      <c r="G346" t="s">
        <v>28675</v>
      </c>
      <c r="H346" t="s">
        <v>9998</v>
      </c>
      <c r="I346" t="s">
        <v>28704</v>
      </c>
      <c r="J346" t="s">
        <v>29106</v>
      </c>
      <c r="K346" t="s">
        <v>37227</v>
      </c>
      <c r="M346" t="s">
        <v>37646</v>
      </c>
      <c r="N346" t="s">
        <v>41249</v>
      </c>
      <c r="O346" t="s">
        <v>41250</v>
      </c>
      <c r="P346">
        <v>0</v>
      </c>
      <c r="Q346">
        <v>0</v>
      </c>
      <c r="R346" t="s">
        <v>41251</v>
      </c>
      <c r="S346" t="s">
        <v>41369</v>
      </c>
      <c r="T346" t="s">
        <v>42688</v>
      </c>
      <c r="U346" t="s">
        <v>43506</v>
      </c>
      <c r="V346" t="s">
        <v>54294</v>
      </c>
      <c r="W346" t="s">
        <v>37646</v>
      </c>
      <c r="X346" t="s">
        <v>41252</v>
      </c>
    </row>
    <row r="347" spans="1:24">
      <c r="A347">
        <f>HYPERLINK("https://www.philgeps.gov.ph/GEPSNONPILOT/Tender/SplashBidNoticeAbstractUI.aspx?menuIndex=3&amp;refID=7076238&amp;Result=3","7076238")</f>
        <v>0</v>
      </c>
      <c r="B347" t="s">
        <v>204</v>
      </c>
      <c r="C347" t="s">
        <v>3703</v>
      </c>
      <c r="D347" t="s">
        <v>16627</v>
      </c>
      <c r="E347" t="s">
        <v>17042</v>
      </c>
      <c r="F347" t="s">
        <v>28669</v>
      </c>
      <c r="G347" t="s">
        <v>28676</v>
      </c>
      <c r="H347" t="s">
        <v>9998</v>
      </c>
      <c r="I347" t="s">
        <v>28693</v>
      </c>
      <c r="J347" t="s">
        <v>28854</v>
      </c>
      <c r="K347" t="s">
        <v>37206</v>
      </c>
      <c r="M347" t="s">
        <v>37682</v>
      </c>
      <c r="N347" t="s">
        <v>41249</v>
      </c>
      <c r="O347" t="s">
        <v>41250</v>
      </c>
      <c r="P347">
        <v>0</v>
      </c>
      <c r="Q347">
        <v>12</v>
      </c>
      <c r="R347" t="s">
        <v>41251</v>
      </c>
      <c r="S347" t="s">
        <v>41369</v>
      </c>
      <c r="T347" t="s">
        <v>42738</v>
      </c>
      <c r="U347" t="s">
        <v>43507</v>
      </c>
      <c r="V347" t="s">
        <v>54307</v>
      </c>
      <c r="W347" t="s">
        <v>37682</v>
      </c>
      <c r="X347" t="s">
        <v>41252</v>
      </c>
    </row>
    <row r="348" spans="1:24">
      <c r="A348">
        <f>HYPERLINK("https://www.philgeps.gov.ph/GEPSNONPILOT/Tender/SplashBidNoticeAbstractUI.aspx?menuIndex=3&amp;refID=7076237&amp;Result=3","7076237")</f>
        <v>0</v>
      </c>
      <c r="B348" t="s">
        <v>205</v>
      </c>
      <c r="C348" t="s">
        <v>3704</v>
      </c>
      <c r="D348" t="s">
        <v>16654</v>
      </c>
      <c r="E348" t="s">
        <v>17043</v>
      </c>
      <c r="F348" t="s">
        <v>28669</v>
      </c>
      <c r="G348" t="s">
        <v>28677</v>
      </c>
      <c r="H348" t="s">
        <v>9998</v>
      </c>
      <c r="I348" t="s">
        <v>7352</v>
      </c>
      <c r="J348" t="s">
        <v>29107</v>
      </c>
      <c r="K348" t="s">
        <v>37209</v>
      </c>
      <c r="M348" t="s">
        <v>37683</v>
      </c>
      <c r="N348" t="s">
        <v>41249</v>
      </c>
      <c r="O348" t="s">
        <v>41250</v>
      </c>
      <c r="P348">
        <v>0</v>
      </c>
      <c r="Q348">
        <v>0</v>
      </c>
      <c r="R348" t="s">
        <v>41251</v>
      </c>
      <c r="S348" t="s">
        <v>41369</v>
      </c>
      <c r="T348" t="s">
        <v>42743</v>
      </c>
      <c r="U348" t="s">
        <v>43508</v>
      </c>
      <c r="W348" t="s">
        <v>37683</v>
      </c>
      <c r="X348" t="s">
        <v>41252</v>
      </c>
    </row>
    <row r="349" spans="1:24">
      <c r="A349">
        <f>HYPERLINK("https://www.philgeps.gov.ph/GEPSNONPILOT/Tender/SplashBidNoticeAbstractUI.aspx?menuIndex=3&amp;refID=7076336&amp;Result=3","7076336")</f>
        <v>0</v>
      </c>
      <c r="B349" t="s">
        <v>196</v>
      </c>
      <c r="C349" t="s">
        <v>3705</v>
      </c>
      <c r="D349" t="s">
        <v>16622</v>
      </c>
      <c r="E349" t="s">
        <v>17044</v>
      </c>
      <c r="F349" t="s">
        <v>28669</v>
      </c>
      <c r="G349" t="s">
        <v>28677</v>
      </c>
      <c r="H349" t="s">
        <v>9998</v>
      </c>
      <c r="I349" t="s">
        <v>28704</v>
      </c>
      <c r="J349" t="s">
        <v>29108</v>
      </c>
      <c r="K349" t="s">
        <v>37204</v>
      </c>
      <c r="M349" t="s">
        <v>37674</v>
      </c>
      <c r="N349" t="s">
        <v>41249</v>
      </c>
      <c r="O349" t="s">
        <v>41250</v>
      </c>
      <c r="P349">
        <v>0</v>
      </c>
      <c r="Q349">
        <v>0</v>
      </c>
      <c r="R349" t="s">
        <v>41251</v>
      </c>
      <c r="S349" t="s">
        <v>41369</v>
      </c>
      <c r="T349" t="s">
        <v>42742</v>
      </c>
      <c r="U349" t="s">
        <v>43509</v>
      </c>
      <c r="W349" t="s">
        <v>37674</v>
      </c>
      <c r="X349" t="s">
        <v>41252</v>
      </c>
    </row>
    <row r="350" spans="1:24">
      <c r="A350">
        <f>HYPERLINK("https://www.philgeps.gov.ph/GEPSNONPILOT/Tender/SplashBidNoticeAbstractUI.aspx?menuIndex=3&amp;refID=7076335&amp;Result=3","7076335")</f>
        <v>0</v>
      </c>
      <c r="B350" t="s">
        <v>181</v>
      </c>
      <c r="C350" t="s">
        <v>3706</v>
      </c>
      <c r="D350" t="s">
        <v>16647</v>
      </c>
      <c r="E350" t="s">
        <v>17045</v>
      </c>
      <c r="F350" t="s">
        <v>28669</v>
      </c>
      <c r="G350" t="s">
        <v>28675</v>
      </c>
      <c r="H350" t="s">
        <v>9998</v>
      </c>
      <c r="I350" t="s">
        <v>28708</v>
      </c>
      <c r="J350" t="s">
        <v>29109</v>
      </c>
      <c r="K350" t="s">
        <v>37210</v>
      </c>
      <c r="M350" t="s">
        <v>37658</v>
      </c>
      <c r="N350" t="s">
        <v>41249</v>
      </c>
      <c r="O350" t="s">
        <v>41250</v>
      </c>
      <c r="P350">
        <v>0</v>
      </c>
      <c r="Q350">
        <v>1</v>
      </c>
      <c r="R350" t="s">
        <v>41251</v>
      </c>
      <c r="S350" t="s">
        <v>41369</v>
      </c>
      <c r="T350" t="s">
        <v>42750</v>
      </c>
      <c r="U350" t="s">
        <v>43497</v>
      </c>
      <c r="W350" t="s">
        <v>37658</v>
      </c>
      <c r="X350" t="s">
        <v>41252</v>
      </c>
    </row>
    <row r="351" spans="1:24">
      <c r="A351">
        <f>HYPERLINK("https://www.philgeps.gov.ph/GEPSNONPILOT/Tender/SplashBidNoticeAbstractUI.aspx?menuIndex=3&amp;refID=7076333&amp;Result=3","7076333")</f>
        <v>0</v>
      </c>
      <c r="B351" t="s">
        <v>206</v>
      </c>
      <c r="C351" t="s">
        <v>3707</v>
      </c>
      <c r="D351" t="s">
        <v>16617</v>
      </c>
      <c r="E351" t="s">
        <v>17046</v>
      </c>
      <c r="F351" t="s">
        <v>28669</v>
      </c>
      <c r="G351" t="s">
        <v>28677</v>
      </c>
      <c r="H351" t="s">
        <v>9998</v>
      </c>
      <c r="I351" t="s">
        <v>28688</v>
      </c>
      <c r="J351" t="s">
        <v>29110</v>
      </c>
      <c r="K351" t="s">
        <v>37208</v>
      </c>
      <c r="M351" t="s">
        <v>37684</v>
      </c>
      <c r="N351" t="s">
        <v>41249</v>
      </c>
      <c r="O351" t="s">
        <v>41250</v>
      </c>
      <c r="P351">
        <v>0</v>
      </c>
      <c r="Q351">
        <v>4</v>
      </c>
      <c r="R351" t="s">
        <v>41251</v>
      </c>
      <c r="S351" t="s">
        <v>41369</v>
      </c>
      <c r="T351" t="s">
        <v>42701</v>
      </c>
      <c r="U351" t="s">
        <v>43510</v>
      </c>
      <c r="W351" t="s">
        <v>37684</v>
      </c>
      <c r="X351" t="s">
        <v>41252</v>
      </c>
    </row>
    <row r="352" spans="1:24">
      <c r="A352">
        <f>HYPERLINK("https://www.philgeps.gov.ph/GEPSNONPILOT/Tender/SplashBidNoticeAbstractUI.aspx?menuIndex=3&amp;refID=7076331&amp;Result=3","7076331")</f>
        <v>0</v>
      </c>
      <c r="B352" t="s">
        <v>207</v>
      </c>
      <c r="C352" t="s">
        <v>3708</v>
      </c>
      <c r="D352" t="s">
        <v>16625</v>
      </c>
      <c r="E352" t="s">
        <v>17047</v>
      </c>
      <c r="F352" t="s">
        <v>28669</v>
      </c>
      <c r="G352" t="s">
        <v>28676</v>
      </c>
      <c r="H352" t="s">
        <v>28684</v>
      </c>
      <c r="I352" t="s">
        <v>28728</v>
      </c>
      <c r="J352" t="s">
        <v>29111</v>
      </c>
      <c r="K352" t="s">
        <v>37245</v>
      </c>
      <c r="M352" t="s">
        <v>37685</v>
      </c>
      <c r="N352" t="s">
        <v>41249</v>
      </c>
      <c r="O352" t="s">
        <v>41250</v>
      </c>
      <c r="P352">
        <v>0</v>
      </c>
      <c r="Q352">
        <v>1</v>
      </c>
      <c r="R352" t="s">
        <v>41251</v>
      </c>
      <c r="S352" t="s">
        <v>41369</v>
      </c>
      <c r="T352" t="s">
        <v>42673</v>
      </c>
      <c r="U352" t="s">
        <v>43511</v>
      </c>
      <c r="V352" t="s">
        <v>54308</v>
      </c>
      <c r="W352" t="s">
        <v>37685</v>
      </c>
      <c r="X352" t="s">
        <v>41252</v>
      </c>
    </row>
    <row r="353" spans="1:24">
      <c r="A353">
        <f>HYPERLINK("https://www.philgeps.gov.ph/GEPSNONPILOT/Tender/SplashBidNoticeAbstractUI.aspx?menuIndex=3&amp;refID=7076321&amp;Result=3","7076321")</f>
        <v>0</v>
      </c>
      <c r="B353" t="s">
        <v>169</v>
      </c>
      <c r="C353" t="s">
        <v>3644</v>
      </c>
      <c r="D353" t="s">
        <v>16611</v>
      </c>
      <c r="E353" t="s">
        <v>17048</v>
      </c>
      <c r="F353" t="s">
        <v>28669</v>
      </c>
      <c r="G353" t="s">
        <v>28675</v>
      </c>
      <c r="H353" t="s">
        <v>9998</v>
      </c>
      <c r="I353" t="s">
        <v>28687</v>
      </c>
      <c r="J353" t="s">
        <v>29112</v>
      </c>
      <c r="K353" t="s">
        <v>37206</v>
      </c>
      <c r="M353" t="s">
        <v>37646</v>
      </c>
      <c r="N353" t="s">
        <v>41249</v>
      </c>
      <c r="O353" t="s">
        <v>41250</v>
      </c>
      <c r="P353">
        <v>0</v>
      </c>
      <c r="Q353">
        <v>4</v>
      </c>
      <c r="R353" t="s">
        <v>41251</v>
      </c>
      <c r="S353" t="s">
        <v>41369</v>
      </c>
      <c r="T353" t="s">
        <v>42688</v>
      </c>
      <c r="U353" t="s">
        <v>43512</v>
      </c>
      <c r="V353" t="s">
        <v>54294</v>
      </c>
      <c r="W353" t="s">
        <v>37646</v>
      </c>
      <c r="X353" t="s">
        <v>41252</v>
      </c>
    </row>
    <row r="354" spans="1:24">
      <c r="A354">
        <f>HYPERLINK("https://www.philgeps.gov.ph/GEPSNONPILOT/Tender/SplashBidNoticeAbstractUI.aspx?menuIndex=3&amp;refID=7076328&amp;Result=3","7076328")</f>
        <v>0</v>
      </c>
      <c r="B354" t="s">
        <v>208</v>
      </c>
      <c r="C354" t="s">
        <v>3709</v>
      </c>
      <c r="D354" t="s">
        <v>16674</v>
      </c>
      <c r="E354" t="s">
        <v>17049</v>
      </c>
      <c r="F354" t="s">
        <v>28669</v>
      </c>
      <c r="G354" t="s">
        <v>28675</v>
      </c>
      <c r="H354" t="s">
        <v>28686</v>
      </c>
      <c r="I354" t="s">
        <v>28689</v>
      </c>
      <c r="J354" t="s">
        <v>29113</v>
      </c>
      <c r="K354" t="s">
        <v>37246</v>
      </c>
      <c r="M354" t="s">
        <v>37686</v>
      </c>
      <c r="N354" t="s">
        <v>41249</v>
      </c>
      <c r="O354" t="s">
        <v>41250</v>
      </c>
      <c r="P354">
        <v>0</v>
      </c>
      <c r="Q354">
        <v>0</v>
      </c>
      <c r="R354" t="s">
        <v>41251</v>
      </c>
      <c r="S354" t="s">
        <v>41369</v>
      </c>
      <c r="T354" t="s">
        <v>42756</v>
      </c>
      <c r="U354" t="s">
        <v>43513</v>
      </c>
      <c r="W354" t="s">
        <v>37686</v>
      </c>
      <c r="X354" t="s">
        <v>41252</v>
      </c>
    </row>
    <row r="355" spans="1:24">
      <c r="A355">
        <f>HYPERLINK("https://www.philgeps.gov.ph/GEPSNONPILOT/Tender/SplashBidNoticeAbstractUI.aspx?menuIndex=3&amp;refID=7076323&amp;Result=3","7076323")</f>
        <v>0</v>
      </c>
      <c r="B355" t="s">
        <v>156</v>
      </c>
      <c r="C355" t="s">
        <v>3710</v>
      </c>
      <c r="D355" t="s">
        <v>16663</v>
      </c>
      <c r="E355" t="s">
        <v>17050</v>
      </c>
      <c r="F355" t="s">
        <v>28669</v>
      </c>
      <c r="G355" t="s">
        <v>28676</v>
      </c>
      <c r="H355" t="s">
        <v>9998</v>
      </c>
      <c r="I355" t="s">
        <v>28704</v>
      </c>
      <c r="J355" t="s">
        <v>29114</v>
      </c>
      <c r="K355" t="s">
        <v>37209</v>
      </c>
      <c r="M355" t="s">
        <v>37633</v>
      </c>
      <c r="N355" t="s">
        <v>41249</v>
      </c>
      <c r="O355" t="s">
        <v>41250</v>
      </c>
      <c r="P355">
        <v>0</v>
      </c>
      <c r="Q355">
        <v>0</v>
      </c>
      <c r="R355" t="s">
        <v>41251</v>
      </c>
      <c r="S355" t="s">
        <v>41369</v>
      </c>
      <c r="T355" t="s">
        <v>42711</v>
      </c>
      <c r="U355" t="s">
        <v>43514</v>
      </c>
      <c r="V355" t="s">
        <v>54289</v>
      </c>
      <c r="W355" t="s">
        <v>37633</v>
      </c>
      <c r="X355" t="s">
        <v>41252</v>
      </c>
    </row>
    <row r="356" spans="1:24">
      <c r="A356">
        <f>HYPERLINK("https://www.philgeps.gov.ph/GEPSNONPILOT/Tender/SplashBidNoticeAbstractUI.aspx?menuIndex=3&amp;refID=7076339&amp;Result=3","7076339")</f>
        <v>0</v>
      </c>
      <c r="B356" t="s">
        <v>209</v>
      </c>
      <c r="C356" t="s">
        <v>3711</v>
      </c>
      <c r="D356" t="s">
        <v>16611</v>
      </c>
      <c r="E356" t="s">
        <v>17051</v>
      </c>
      <c r="F356" t="s">
        <v>28669</v>
      </c>
      <c r="G356" t="s">
        <v>28678</v>
      </c>
      <c r="H356" t="s">
        <v>9998</v>
      </c>
      <c r="I356" t="s">
        <v>7352</v>
      </c>
      <c r="J356" t="s">
        <v>29115</v>
      </c>
      <c r="K356" t="s">
        <v>37234</v>
      </c>
      <c r="M356" t="s">
        <v>37687</v>
      </c>
      <c r="N356" t="s">
        <v>41249</v>
      </c>
      <c r="O356" t="s">
        <v>41250</v>
      </c>
      <c r="P356">
        <v>0</v>
      </c>
      <c r="Q356">
        <v>0</v>
      </c>
      <c r="R356" t="s">
        <v>41251</v>
      </c>
      <c r="S356" t="s">
        <v>41369</v>
      </c>
      <c r="T356" t="s">
        <v>42686</v>
      </c>
      <c r="U356" t="s">
        <v>43515</v>
      </c>
      <c r="W356" t="s">
        <v>37687</v>
      </c>
      <c r="X356" t="s">
        <v>41252</v>
      </c>
    </row>
    <row r="357" spans="1:24">
      <c r="A357">
        <f>HYPERLINK("https://www.philgeps.gov.ph/GEPSNONPILOT/Tender/SplashBidNoticeAbstractUI.aspx?menuIndex=3&amp;refID=7076322&amp;Result=3","7076322")</f>
        <v>0</v>
      </c>
      <c r="B357" t="s">
        <v>162</v>
      </c>
      <c r="C357" t="s">
        <v>3712</v>
      </c>
      <c r="D357" t="s">
        <v>16666</v>
      </c>
      <c r="E357" t="s">
        <v>16967</v>
      </c>
      <c r="F357" t="s">
        <v>28669</v>
      </c>
      <c r="G357" t="s">
        <v>28675</v>
      </c>
      <c r="H357" t="s">
        <v>28686</v>
      </c>
      <c r="I357" t="s">
        <v>28702</v>
      </c>
      <c r="J357" t="s">
        <v>28826</v>
      </c>
      <c r="K357" t="s">
        <v>37247</v>
      </c>
      <c r="M357" t="s">
        <v>37639</v>
      </c>
      <c r="N357" t="s">
        <v>41249</v>
      </c>
      <c r="O357" t="s">
        <v>41250</v>
      </c>
      <c r="P357">
        <v>0</v>
      </c>
      <c r="Q357">
        <v>0</v>
      </c>
      <c r="R357" t="s">
        <v>41251</v>
      </c>
      <c r="S357" t="s">
        <v>41369</v>
      </c>
      <c r="T357" t="s">
        <v>42745</v>
      </c>
      <c r="U357" t="s">
        <v>43516</v>
      </c>
      <c r="W357" t="s">
        <v>37639</v>
      </c>
      <c r="X357" t="s">
        <v>41252</v>
      </c>
    </row>
    <row r="358" spans="1:24">
      <c r="A358">
        <f>HYPERLINK("https://www.philgeps.gov.ph/GEPSNONPILOT/Tender/SplashBidNoticeAbstractUI.aspx?menuIndex=3&amp;refID=7076337&amp;Result=3","7076337")</f>
        <v>0</v>
      </c>
      <c r="B358" t="s">
        <v>210</v>
      </c>
      <c r="C358" t="s">
        <v>3713</v>
      </c>
      <c r="D358" t="s">
        <v>16633</v>
      </c>
      <c r="E358" t="s">
        <v>17052</v>
      </c>
      <c r="F358" t="s">
        <v>28669</v>
      </c>
      <c r="G358" t="s">
        <v>28676</v>
      </c>
      <c r="H358" t="s">
        <v>9998</v>
      </c>
      <c r="I358" t="s">
        <v>28695</v>
      </c>
      <c r="J358" t="s">
        <v>29116</v>
      </c>
      <c r="K358" t="s">
        <v>37205</v>
      </c>
      <c r="M358" t="s">
        <v>37688</v>
      </c>
      <c r="N358" t="s">
        <v>41249</v>
      </c>
      <c r="O358" t="s">
        <v>41250</v>
      </c>
      <c r="P358">
        <v>0</v>
      </c>
      <c r="Q358">
        <v>0</v>
      </c>
      <c r="R358" t="s">
        <v>41251</v>
      </c>
      <c r="S358" t="s">
        <v>41369</v>
      </c>
      <c r="T358" t="s">
        <v>42690</v>
      </c>
      <c r="U358" t="s">
        <v>43517</v>
      </c>
      <c r="W358" t="s">
        <v>37688</v>
      </c>
      <c r="X358" t="s">
        <v>41252</v>
      </c>
    </row>
    <row r="359" spans="1:24">
      <c r="A359">
        <f>HYPERLINK("https://www.philgeps.gov.ph/GEPSNONPILOT/Tender/SplashBidNoticeAbstractUI.aspx?menuIndex=3&amp;refID=7076351&amp;Result=3","7076351")</f>
        <v>0</v>
      </c>
      <c r="B359" t="s">
        <v>196</v>
      </c>
      <c r="C359" t="s">
        <v>3714</v>
      </c>
      <c r="D359" t="s">
        <v>16622</v>
      </c>
      <c r="E359" t="s">
        <v>17053</v>
      </c>
      <c r="F359" t="s">
        <v>28669</v>
      </c>
      <c r="G359" t="s">
        <v>28677</v>
      </c>
      <c r="H359" t="s">
        <v>9998</v>
      </c>
      <c r="I359" t="s">
        <v>28695</v>
      </c>
      <c r="J359" t="s">
        <v>29117</v>
      </c>
      <c r="K359" t="s">
        <v>37204</v>
      </c>
      <c r="M359" t="s">
        <v>37674</v>
      </c>
      <c r="N359" t="s">
        <v>41249</v>
      </c>
      <c r="O359" t="s">
        <v>41250</v>
      </c>
      <c r="P359">
        <v>0</v>
      </c>
      <c r="Q359">
        <v>0</v>
      </c>
      <c r="R359" t="s">
        <v>41251</v>
      </c>
      <c r="S359" t="s">
        <v>41369</v>
      </c>
      <c r="T359" t="s">
        <v>42742</v>
      </c>
      <c r="U359" t="s">
        <v>43518</v>
      </c>
      <c r="W359" t="s">
        <v>37674</v>
      </c>
      <c r="X359" t="s">
        <v>41252</v>
      </c>
    </row>
    <row r="360" spans="1:24">
      <c r="A360">
        <f>HYPERLINK("https://www.philgeps.gov.ph/GEPSNONPILOT/Tender/SplashBidNoticeAbstractUI.aspx?menuIndex=3&amp;refID=7076370&amp;Result=3","7076370")</f>
        <v>0</v>
      </c>
      <c r="B360" t="s">
        <v>211</v>
      </c>
      <c r="C360" t="s">
        <v>3715</v>
      </c>
      <c r="D360" t="s">
        <v>16618</v>
      </c>
      <c r="E360" t="s">
        <v>17054</v>
      </c>
      <c r="F360" t="s">
        <v>28669</v>
      </c>
      <c r="G360" t="s">
        <v>28676</v>
      </c>
      <c r="H360" t="s">
        <v>9998</v>
      </c>
      <c r="I360" t="s">
        <v>5213</v>
      </c>
      <c r="J360" t="s">
        <v>29118</v>
      </c>
      <c r="K360" t="s">
        <v>37209</v>
      </c>
      <c r="M360" t="s">
        <v>37689</v>
      </c>
      <c r="N360" t="s">
        <v>41249</v>
      </c>
      <c r="O360" t="s">
        <v>41250</v>
      </c>
      <c r="P360">
        <v>0</v>
      </c>
      <c r="Q360">
        <v>1</v>
      </c>
      <c r="R360" t="s">
        <v>41251</v>
      </c>
      <c r="S360" t="s">
        <v>41369</v>
      </c>
      <c r="T360" t="s">
        <v>42694</v>
      </c>
      <c r="U360" t="s">
        <v>43519</v>
      </c>
      <c r="W360" t="s">
        <v>37689</v>
      </c>
      <c r="X360" t="s">
        <v>41252</v>
      </c>
    </row>
    <row r="361" spans="1:24">
      <c r="A361">
        <f>HYPERLINK("https://www.philgeps.gov.ph/GEPSNONPILOT/Tender/SplashBidNoticeAbstractUI.aspx?menuIndex=3&amp;refID=7076334&amp;Result=3","7076334")</f>
        <v>0</v>
      </c>
      <c r="B361" t="s">
        <v>212</v>
      </c>
      <c r="C361" t="s">
        <v>3716</v>
      </c>
      <c r="D361" t="s">
        <v>16642</v>
      </c>
      <c r="E361" t="s">
        <v>17055</v>
      </c>
      <c r="F361" t="s">
        <v>28669</v>
      </c>
      <c r="G361" t="s">
        <v>28676</v>
      </c>
      <c r="H361" t="s">
        <v>9998</v>
      </c>
      <c r="I361" t="s">
        <v>6458</v>
      </c>
      <c r="J361" t="s">
        <v>29119</v>
      </c>
      <c r="K361" t="s">
        <v>37206</v>
      </c>
      <c r="M361" t="s">
        <v>37690</v>
      </c>
      <c r="N361" t="s">
        <v>41249</v>
      </c>
      <c r="O361" t="s">
        <v>41250</v>
      </c>
      <c r="P361">
        <v>0</v>
      </c>
      <c r="Q361">
        <v>1</v>
      </c>
      <c r="R361" t="s">
        <v>41251</v>
      </c>
      <c r="S361" t="s">
        <v>41369</v>
      </c>
      <c r="T361" t="s">
        <v>42675</v>
      </c>
      <c r="U361" t="s">
        <v>43520</v>
      </c>
      <c r="W361" t="s">
        <v>37690</v>
      </c>
      <c r="X361" t="s">
        <v>41252</v>
      </c>
    </row>
    <row r="362" spans="1:24">
      <c r="A362">
        <f>HYPERLINK("https://www.philgeps.gov.ph/GEPSNONPILOT/Tender/SplashBidNoticeAbstractUI.aspx?menuIndex=3&amp;refID=7076372&amp;Result=3","7076372")</f>
        <v>0</v>
      </c>
      <c r="B362" t="s">
        <v>213</v>
      </c>
      <c r="C362" t="s">
        <v>3717</v>
      </c>
      <c r="D362" t="s">
        <v>16675</v>
      </c>
      <c r="E362" t="s">
        <v>17056</v>
      </c>
      <c r="F362" t="s">
        <v>28669</v>
      </c>
      <c r="G362" t="s">
        <v>28675</v>
      </c>
      <c r="H362" t="s">
        <v>9998</v>
      </c>
      <c r="I362" t="s">
        <v>8667</v>
      </c>
      <c r="J362" t="s">
        <v>29120</v>
      </c>
      <c r="K362" t="s">
        <v>37206</v>
      </c>
      <c r="M362" t="s">
        <v>37691</v>
      </c>
      <c r="N362" t="s">
        <v>41249</v>
      </c>
      <c r="O362" t="s">
        <v>41250</v>
      </c>
      <c r="P362">
        <v>0</v>
      </c>
      <c r="Q362">
        <v>0</v>
      </c>
      <c r="R362" t="s">
        <v>41251</v>
      </c>
      <c r="S362" t="s">
        <v>41369</v>
      </c>
      <c r="T362" t="s">
        <v>42678</v>
      </c>
      <c r="U362" t="s">
        <v>43521</v>
      </c>
      <c r="W362" t="s">
        <v>37691</v>
      </c>
      <c r="X362" t="s">
        <v>41252</v>
      </c>
    </row>
    <row r="363" spans="1:24">
      <c r="A363">
        <f>HYPERLINK("https://www.philgeps.gov.ph/GEPSNONPILOT/Tender/SplashBidNoticeAbstractUI.aspx?menuIndex=3&amp;refID=7076371&amp;Result=3","7076371")</f>
        <v>0</v>
      </c>
      <c r="B363" t="s">
        <v>206</v>
      </c>
      <c r="C363" t="s">
        <v>3718</v>
      </c>
      <c r="D363" t="s">
        <v>16617</v>
      </c>
      <c r="E363" t="s">
        <v>17057</v>
      </c>
      <c r="F363" t="s">
        <v>28669</v>
      </c>
      <c r="G363" t="s">
        <v>28677</v>
      </c>
      <c r="H363" t="s">
        <v>9998</v>
      </c>
      <c r="I363" t="s">
        <v>3718</v>
      </c>
      <c r="J363" t="s">
        <v>28912</v>
      </c>
      <c r="K363" t="s">
        <v>37208</v>
      </c>
      <c r="M363" t="s">
        <v>37684</v>
      </c>
      <c r="N363" t="s">
        <v>41249</v>
      </c>
      <c r="O363" t="s">
        <v>41250</v>
      </c>
      <c r="P363">
        <v>0</v>
      </c>
      <c r="Q363">
        <v>2</v>
      </c>
      <c r="R363" t="s">
        <v>41251</v>
      </c>
      <c r="S363" t="s">
        <v>41369</v>
      </c>
      <c r="T363" t="s">
        <v>42701</v>
      </c>
      <c r="U363" t="s">
        <v>43522</v>
      </c>
      <c r="W363" t="s">
        <v>37684</v>
      </c>
      <c r="X363" t="s">
        <v>41252</v>
      </c>
    </row>
    <row r="364" spans="1:24">
      <c r="A364">
        <f>HYPERLINK("https://www.philgeps.gov.ph/GEPSNONPILOT/Tender/SplashBidNoticeAbstractUI.aspx?menuIndex=3&amp;refID=7076324&amp;Result=3","7076324")</f>
        <v>0</v>
      </c>
      <c r="B364" t="s">
        <v>197</v>
      </c>
      <c r="C364" t="s">
        <v>3719</v>
      </c>
      <c r="D364" t="s">
        <v>16609</v>
      </c>
      <c r="E364" t="s">
        <v>17058</v>
      </c>
      <c r="F364" t="s">
        <v>28669</v>
      </c>
      <c r="G364" t="s">
        <v>28676</v>
      </c>
      <c r="H364" t="s">
        <v>9998</v>
      </c>
      <c r="I364" t="s">
        <v>7352</v>
      </c>
      <c r="J364" t="s">
        <v>29121</v>
      </c>
      <c r="K364" t="s">
        <v>37221</v>
      </c>
      <c r="M364" t="s">
        <v>37675</v>
      </c>
      <c r="N364" t="s">
        <v>41249</v>
      </c>
      <c r="O364" t="s">
        <v>41250</v>
      </c>
      <c r="P364">
        <v>0</v>
      </c>
      <c r="Q364">
        <v>0</v>
      </c>
      <c r="R364" t="s">
        <v>41251</v>
      </c>
      <c r="S364" t="s">
        <v>41369</v>
      </c>
      <c r="T364" t="s">
        <v>42679</v>
      </c>
      <c r="U364" t="s">
        <v>43491</v>
      </c>
      <c r="W364" t="s">
        <v>37675</v>
      </c>
      <c r="X364" t="s">
        <v>41252</v>
      </c>
    </row>
    <row r="365" spans="1:24">
      <c r="A365">
        <f>HYPERLINK("https://www.philgeps.gov.ph/GEPSNONPILOT/Tender/SplashBidNoticeAbstractUI.aspx?menuIndex=3&amp;refID=7076267&amp;Result=3","7076267")</f>
        <v>0</v>
      </c>
      <c r="B365" t="s">
        <v>182</v>
      </c>
      <c r="C365" t="s">
        <v>3720</v>
      </c>
      <c r="D365" t="s">
        <v>16637</v>
      </c>
      <c r="E365" t="s">
        <v>17059</v>
      </c>
      <c r="F365" t="s">
        <v>28669</v>
      </c>
      <c r="G365" t="s">
        <v>28677</v>
      </c>
      <c r="H365" t="s">
        <v>9998</v>
      </c>
      <c r="I365" t="s">
        <v>28710</v>
      </c>
      <c r="J365" t="s">
        <v>29122</v>
      </c>
      <c r="K365" t="s">
        <v>37227</v>
      </c>
      <c r="L365" t="s">
        <v>182</v>
      </c>
      <c r="M365" t="s">
        <v>37659</v>
      </c>
      <c r="N365" t="s">
        <v>41249</v>
      </c>
      <c r="O365" t="s">
        <v>41250</v>
      </c>
      <c r="Q365">
        <v>0</v>
      </c>
      <c r="R365" t="s">
        <v>41251</v>
      </c>
      <c r="S365" t="s">
        <v>41376</v>
      </c>
      <c r="T365" t="s">
        <v>42729</v>
      </c>
      <c r="U365" t="s">
        <v>43523</v>
      </c>
      <c r="W365" t="s">
        <v>37659</v>
      </c>
      <c r="X365" t="s">
        <v>41252</v>
      </c>
    </row>
    <row r="366" spans="1:24">
      <c r="A366">
        <f>HYPERLINK("https://www.philgeps.gov.ph/GEPSNONPILOT/Tender/SplashBidNoticeAbstractUI.aspx?menuIndex=3&amp;refID=7076369&amp;Result=3","7076369")</f>
        <v>0</v>
      </c>
      <c r="B366" t="s">
        <v>208</v>
      </c>
      <c r="C366" t="s">
        <v>3721</v>
      </c>
      <c r="D366" t="s">
        <v>16674</v>
      </c>
      <c r="E366" t="s">
        <v>17060</v>
      </c>
      <c r="F366" t="s">
        <v>28669</v>
      </c>
      <c r="G366" t="s">
        <v>28675</v>
      </c>
      <c r="H366" t="s">
        <v>9998</v>
      </c>
      <c r="I366" t="s">
        <v>7352</v>
      </c>
      <c r="J366" t="s">
        <v>29123</v>
      </c>
      <c r="K366" t="s">
        <v>37206</v>
      </c>
      <c r="M366" t="s">
        <v>37686</v>
      </c>
      <c r="N366" t="s">
        <v>41249</v>
      </c>
      <c r="O366" t="s">
        <v>41250</v>
      </c>
      <c r="P366">
        <v>0</v>
      </c>
      <c r="Q366">
        <v>0</v>
      </c>
      <c r="R366" t="s">
        <v>41251</v>
      </c>
      <c r="S366" t="s">
        <v>41369</v>
      </c>
      <c r="T366" t="s">
        <v>42756</v>
      </c>
      <c r="U366" t="s">
        <v>43513</v>
      </c>
      <c r="W366" t="s">
        <v>37686</v>
      </c>
      <c r="X366" t="s">
        <v>41252</v>
      </c>
    </row>
    <row r="367" spans="1:24">
      <c r="A367">
        <f>HYPERLINK("https://www.philgeps.gov.ph/GEPSNONPILOT/Tender/SplashBidNoticeAbstractUI.aspx?menuIndex=3&amp;refID=7076365&amp;Result=3","7076365")</f>
        <v>0</v>
      </c>
      <c r="B367" t="s">
        <v>196</v>
      </c>
      <c r="C367" t="s">
        <v>3714</v>
      </c>
      <c r="D367" t="s">
        <v>16622</v>
      </c>
      <c r="E367" t="s">
        <v>17061</v>
      </c>
      <c r="F367" t="s">
        <v>28669</v>
      </c>
      <c r="G367" t="s">
        <v>28677</v>
      </c>
      <c r="H367" t="s">
        <v>9998</v>
      </c>
      <c r="I367" t="s">
        <v>28695</v>
      </c>
      <c r="J367" t="s">
        <v>29027</v>
      </c>
      <c r="K367" t="s">
        <v>37204</v>
      </c>
      <c r="M367" t="s">
        <v>37674</v>
      </c>
      <c r="N367" t="s">
        <v>41249</v>
      </c>
      <c r="O367" t="s">
        <v>41250</v>
      </c>
      <c r="P367">
        <v>0</v>
      </c>
      <c r="Q367">
        <v>0</v>
      </c>
      <c r="R367" t="s">
        <v>41251</v>
      </c>
      <c r="S367" t="s">
        <v>41369</v>
      </c>
      <c r="T367" t="s">
        <v>42742</v>
      </c>
      <c r="U367" t="s">
        <v>43518</v>
      </c>
      <c r="W367" t="s">
        <v>37674</v>
      </c>
      <c r="X367" t="s">
        <v>41252</v>
      </c>
    </row>
    <row r="368" spans="1:24">
      <c r="A368">
        <f>HYPERLINK("https://www.philgeps.gov.ph/GEPSNONPILOT/Tender/SplashBidNoticeAbstractUI.aspx?menuIndex=3&amp;refID=7076320&amp;Result=3","7076320")</f>
        <v>0</v>
      </c>
      <c r="B368" t="s">
        <v>196</v>
      </c>
      <c r="C368" t="s">
        <v>3722</v>
      </c>
      <c r="D368" t="s">
        <v>16622</v>
      </c>
      <c r="E368" t="s">
        <v>17062</v>
      </c>
      <c r="F368" t="s">
        <v>28669</v>
      </c>
      <c r="G368" t="s">
        <v>28677</v>
      </c>
      <c r="H368" t="s">
        <v>9998</v>
      </c>
      <c r="I368" t="s">
        <v>28695</v>
      </c>
      <c r="J368" t="s">
        <v>29124</v>
      </c>
      <c r="K368" t="s">
        <v>37204</v>
      </c>
      <c r="M368" t="s">
        <v>37674</v>
      </c>
      <c r="N368" t="s">
        <v>41249</v>
      </c>
      <c r="O368" t="s">
        <v>41250</v>
      </c>
      <c r="P368">
        <v>0</v>
      </c>
      <c r="Q368">
        <v>0</v>
      </c>
      <c r="R368" t="s">
        <v>41251</v>
      </c>
      <c r="S368" t="s">
        <v>41369</v>
      </c>
      <c r="T368" t="s">
        <v>42742</v>
      </c>
      <c r="U368" t="s">
        <v>43524</v>
      </c>
      <c r="W368" t="s">
        <v>37674</v>
      </c>
      <c r="X368" t="s">
        <v>41252</v>
      </c>
    </row>
    <row r="369" spans="1:24">
      <c r="A369">
        <f>HYPERLINK("https://www.philgeps.gov.ph/GEPSNONPILOT/Tender/SplashBidNoticeAbstractUI.aspx?menuIndex=3&amp;refID=7076364&amp;Result=3","7076364")</f>
        <v>0</v>
      </c>
      <c r="B369" t="s">
        <v>214</v>
      </c>
      <c r="C369" t="s">
        <v>3723</v>
      </c>
      <c r="D369" t="s">
        <v>16639</v>
      </c>
      <c r="E369" t="s">
        <v>16968</v>
      </c>
      <c r="F369" t="s">
        <v>28669</v>
      </c>
      <c r="G369" t="s">
        <v>28676</v>
      </c>
      <c r="H369" t="s">
        <v>9998</v>
      </c>
      <c r="I369" t="s">
        <v>28690</v>
      </c>
      <c r="J369" t="s">
        <v>29125</v>
      </c>
      <c r="K369" t="s">
        <v>37209</v>
      </c>
      <c r="M369" t="s">
        <v>37692</v>
      </c>
      <c r="N369" t="s">
        <v>41249</v>
      </c>
      <c r="O369" t="s">
        <v>41250</v>
      </c>
      <c r="P369">
        <v>0</v>
      </c>
      <c r="Q369">
        <v>2</v>
      </c>
      <c r="R369" t="s">
        <v>41251</v>
      </c>
      <c r="S369" t="s">
        <v>41369</v>
      </c>
      <c r="T369" t="s">
        <v>42675</v>
      </c>
      <c r="U369" t="s">
        <v>43525</v>
      </c>
      <c r="W369" t="s">
        <v>37692</v>
      </c>
      <c r="X369" t="s">
        <v>41252</v>
      </c>
    </row>
    <row r="370" spans="1:24">
      <c r="A370">
        <f>HYPERLINK("https://www.philgeps.gov.ph/GEPSNONPILOT/Tender/SplashBidNoticeAbstractUI.aspx?menuIndex=3&amp;refID=7076361&amp;Result=3","7076361")</f>
        <v>0</v>
      </c>
      <c r="B370" t="s">
        <v>122</v>
      </c>
      <c r="C370" t="s">
        <v>3724</v>
      </c>
      <c r="D370" t="s">
        <v>16659</v>
      </c>
      <c r="E370" t="s">
        <v>17063</v>
      </c>
      <c r="F370" t="s">
        <v>28669</v>
      </c>
      <c r="G370" t="s">
        <v>28678</v>
      </c>
      <c r="H370" t="s">
        <v>9998</v>
      </c>
      <c r="I370" t="s">
        <v>28693</v>
      </c>
      <c r="J370" t="s">
        <v>29126</v>
      </c>
      <c r="K370" t="s">
        <v>37206</v>
      </c>
      <c r="M370" t="s">
        <v>37598</v>
      </c>
      <c r="N370" t="s">
        <v>41249</v>
      </c>
      <c r="O370" t="s">
        <v>41250</v>
      </c>
      <c r="P370">
        <v>0</v>
      </c>
      <c r="Q370">
        <v>1</v>
      </c>
      <c r="R370" t="s">
        <v>41251</v>
      </c>
      <c r="S370" t="s">
        <v>41369</v>
      </c>
      <c r="T370" t="s">
        <v>42673</v>
      </c>
      <c r="U370" t="s">
        <v>43526</v>
      </c>
      <c r="W370" t="s">
        <v>37598</v>
      </c>
      <c r="X370" t="s">
        <v>41252</v>
      </c>
    </row>
    <row r="371" spans="1:24">
      <c r="A371">
        <f>HYPERLINK("https://www.philgeps.gov.ph/GEPSNONPILOT/Tender/SplashBidNoticeAbstractUI.aspx?menuIndex=3&amp;refID=7076332&amp;Result=3","7076332")</f>
        <v>0</v>
      </c>
      <c r="B371" t="s">
        <v>179</v>
      </c>
      <c r="C371" t="s">
        <v>3725</v>
      </c>
      <c r="D371" t="s">
        <v>16647</v>
      </c>
      <c r="E371" t="s">
        <v>17064</v>
      </c>
      <c r="F371" t="s">
        <v>28669</v>
      </c>
      <c r="G371" t="s">
        <v>28675</v>
      </c>
      <c r="H371" t="s">
        <v>9998</v>
      </c>
      <c r="I371" t="s">
        <v>5213</v>
      </c>
      <c r="J371" t="s">
        <v>29127</v>
      </c>
      <c r="K371" t="s">
        <v>37205</v>
      </c>
      <c r="M371" t="s">
        <v>37656</v>
      </c>
      <c r="N371" t="s">
        <v>41249</v>
      </c>
      <c r="O371" t="s">
        <v>41250</v>
      </c>
      <c r="P371">
        <v>0</v>
      </c>
      <c r="Q371">
        <v>1</v>
      </c>
      <c r="R371" t="s">
        <v>41251</v>
      </c>
      <c r="S371" t="s">
        <v>41369</v>
      </c>
      <c r="T371" t="s">
        <v>42688</v>
      </c>
      <c r="U371" t="s">
        <v>43527</v>
      </c>
      <c r="W371" t="s">
        <v>37656</v>
      </c>
      <c r="X371" t="s">
        <v>41252</v>
      </c>
    </row>
    <row r="372" spans="1:24">
      <c r="A372">
        <f>HYPERLINK("https://www.philgeps.gov.ph/GEPSNONPILOT/Tender/SplashBidNoticeAbstractUI.aspx?menuIndex=3&amp;refID=7076360&amp;Result=3","7076360")</f>
        <v>0</v>
      </c>
      <c r="B372" t="s">
        <v>215</v>
      </c>
      <c r="C372" t="s">
        <v>3726</v>
      </c>
      <c r="D372" t="s">
        <v>16631</v>
      </c>
      <c r="E372" t="s">
        <v>17065</v>
      </c>
      <c r="F372" t="s">
        <v>28669</v>
      </c>
      <c r="G372" t="s">
        <v>28675</v>
      </c>
      <c r="H372" t="s">
        <v>28686</v>
      </c>
      <c r="I372" t="s">
        <v>28689</v>
      </c>
      <c r="J372" t="s">
        <v>29003</v>
      </c>
      <c r="K372" t="s">
        <v>37213</v>
      </c>
      <c r="M372" t="s">
        <v>37693</v>
      </c>
      <c r="N372" t="s">
        <v>41249</v>
      </c>
      <c r="O372" t="s">
        <v>41250</v>
      </c>
      <c r="P372">
        <v>0</v>
      </c>
      <c r="Q372">
        <v>0</v>
      </c>
      <c r="R372" t="s">
        <v>41251</v>
      </c>
      <c r="S372" t="s">
        <v>41369</v>
      </c>
      <c r="T372" t="s">
        <v>42687</v>
      </c>
      <c r="U372" t="s">
        <v>43528</v>
      </c>
      <c r="W372" t="s">
        <v>37693</v>
      </c>
      <c r="X372" t="s">
        <v>41252</v>
      </c>
    </row>
    <row r="373" spans="1:24">
      <c r="A373">
        <f>HYPERLINK("https://www.philgeps.gov.ph/GEPSNONPILOT/Tender/SplashBidNoticeAbstractUI.aspx?menuIndex=3&amp;refID=7076357&amp;Result=3","7076357")</f>
        <v>0</v>
      </c>
      <c r="B373" t="s">
        <v>216</v>
      </c>
      <c r="C373" t="s">
        <v>3727</v>
      </c>
      <c r="D373" t="s">
        <v>16615</v>
      </c>
      <c r="E373" t="s">
        <v>17066</v>
      </c>
      <c r="F373" t="s">
        <v>28669</v>
      </c>
      <c r="G373" t="s">
        <v>28677</v>
      </c>
      <c r="H373" t="s">
        <v>9998</v>
      </c>
      <c r="I373" t="s">
        <v>7352</v>
      </c>
      <c r="J373" t="s">
        <v>29128</v>
      </c>
      <c r="K373" t="s">
        <v>37206</v>
      </c>
      <c r="M373" t="s">
        <v>37694</v>
      </c>
      <c r="N373" t="s">
        <v>41249</v>
      </c>
      <c r="O373" t="s">
        <v>41250</v>
      </c>
      <c r="P373">
        <v>0</v>
      </c>
      <c r="Q373">
        <v>1</v>
      </c>
      <c r="R373" t="s">
        <v>41251</v>
      </c>
      <c r="S373" t="s">
        <v>41369</v>
      </c>
      <c r="T373" t="s">
        <v>42757</v>
      </c>
      <c r="U373" t="s">
        <v>43529</v>
      </c>
      <c r="W373" t="s">
        <v>37694</v>
      </c>
      <c r="X373" t="s">
        <v>41252</v>
      </c>
    </row>
    <row r="374" spans="1:24">
      <c r="A374">
        <f>HYPERLINK("https://www.philgeps.gov.ph/GEPSNONPILOT/Tender/SplashBidNoticeAbstractUI.aspx?menuIndex=3&amp;refID=7076356&amp;Result=3","7076356")</f>
        <v>0</v>
      </c>
      <c r="B374" t="s">
        <v>217</v>
      </c>
      <c r="C374" t="s">
        <v>3728</v>
      </c>
      <c r="D374" t="s">
        <v>16618</v>
      </c>
      <c r="E374" t="s">
        <v>17067</v>
      </c>
      <c r="F374" t="s">
        <v>28669</v>
      </c>
      <c r="G374" t="s">
        <v>28676</v>
      </c>
      <c r="H374" t="s">
        <v>9998</v>
      </c>
      <c r="I374" t="s">
        <v>5213</v>
      </c>
      <c r="J374" t="s">
        <v>29129</v>
      </c>
      <c r="K374" t="s">
        <v>37206</v>
      </c>
      <c r="M374" t="s">
        <v>37695</v>
      </c>
      <c r="N374" t="s">
        <v>41249</v>
      </c>
      <c r="O374" t="s">
        <v>41250</v>
      </c>
      <c r="P374">
        <v>0</v>
      </c>
      <c r="Q374">
        <v>1</v>
      </c>
      <c r="R374" t="s">
        <v>41251</v>
      </c>
      <c r="S374" t="s">
        <v>41369</v>
      </c>
      <c r="T374" t="s">
        <v>42675</v>
      </c>
      <c r="U374" t="s">
        <v>43530</v>
      </c>
      <c r="W374" t="s">
        <v>37695</v>
      </c>
      <c r="X374" t="s">
        <v>41252</v>
      </c>
    </row>
    <row r="375" spans="1:24">
      <c r="A375">
        <f>HYPERLINK("https://www.philgeps.gov.ph/GEPSNONPILOT/Tender/SplashBidNoticeAbstractUI.aspx?menuIndex=3&amp;refID=7076353&amp;Result=3","7076353")</f>
        <v>0</v>
      </c>
      <c r="B375" t="s">
        <v>191</v>
      </c>
      <c r="C375" t="s">
        <v>3729</v>
      </c>
      <c r="D375" t="s">
        <v>16614</v>
      </c>
      <c r="E375" t="s">
        <v>17068</v>
      </c>
      <c r="F375" t="s">
        <v>28669</v>
      </c>
      <c r="G375" t="s">
        <v>28679</v>
      </c>
      <c r="H375" t="s">
        <v>9998</v>
      </c>
      <c r="I375" t="s">
        <v>6128</v>
      </c>
      <c r="J375" t="s">
        <v>29130</v>
      </c>
      <c r="K375" t="s">
        <v>37220</v>
      </c>
      <c r="M375" t="s">
        <v>37669</v>
      </c>
      <c r="N375" t="s">
        <v>41249</v>
      </c>
      <c r="O375" t="s">
        <v>41250</v>
      </c>
      <c r="P375">
        <v>0</v>
      </c>
      <c r="Q375">
        <v>3</v>
      </c>
      <c r="R375" t="s">
        <v>41251</v>
      </c>
      <c r="S375" t="s">
        <v>41369</v>
      </c>
      <c r="T375" t="s">
        <v>42753</v>
      </c>
      <c r="U375" t="s">
        <v>43531</v>
      </c>
      <c r="W375" t="s">
        <v>37669</v>
      </c>
      <c r="X375" t="s">
        <v>41252</v>
      </c>
    </row>
    <row r="376" spans="1:24">
      <c r="A376">
        <f>HYPERLINK("https://www.philgeps.gov.ph/GEPSNONPILOT/Tender/SplashBidNoticeAbstractUI.aspx?menuIndex=3&amp;refID=7076367&amp;Result=3","7076367")</f>
        <v>0</v>
      </c>
      <c r="B376" t="s">
        <v>190</v>
      </c>
      <c r="C376" t="s">
        <v>3730</v>
      </c>
      <c r="D376" t="s">
        <v>16671</v>
      </c>
      <c r="E376" t="s">
        <v>17069</v>
      </c>
      <c r="F376" t="s">
        <v>28669</v>
      </c>
      <c r="G376" t="s">
        <v>28677</v>
      </c>
      <c r="H376" t="s">
        <v>9998</v>
      </c>
      <c r="I376" t="s">
        <v>28704</v>
      </c>
      <c r="J376" t="s">
        <v>29131</v>
      </c>
      <c r="K376" t="s">
        <v>37204</v>
      </c>
      <c r="L376" t="s">
        <v>190</v>
      </c>
      <c r="M376" t="s">
        <v>37668</v>
      </c>
      <c r="N376" t="s">
        <v>41249</v>
      </c>
      <c r="O376" t="s">
        <v>41250</v>
      </c>
      <c r="P376">
        <v>0</v>
      </c>
      <c r="Q376">
        <v>0</v>
      </c>
      <c r="R376" t="s">
        <v>41251</v>
      </c>
      <c r="S376" t="s">
        <v>41369</v>
      </c>
      <c r="T376" t="s">
        <v>42665</v>
      </c>
      <c r="U376" t="s">
        <v>43532</v>
      </c>
      <c r="V376" t="s">
        <v>54303</v>
      </c>
      <c r="W376" t="s">
        <v>37668</v>
      </c>
      <c r="X376" t="s">
        <v>41252</v>
      </c>
    </row>
    <row r="377" spans="1:24">
      <c r="A377">
        <f>HYPERLINK("https://www.philgeps.gov.ph/GEPSNONPILOT/Tender/SplashBidNoticeAbstractUI.aspx?menuIndex=3&amp;refID=7076350&amp;Result=3","7076350")</f>
        <v>0</v>
      </c>
      <c r="B377" t="s">
        <v>197</v>
      </c>
      <c r="C377" t="s">
        <v>3731</v>
      </c>
      <c r="D377" t="s">
        <v>16609</v>
      </c>
      <c r="E377" t="s">
        <v>17070</v>
      </c>
      <c r="F377" t="s">
        <v>28669</v>
      </c>
      <c r="G377" t="s">
        <v>28676</v>
      </c>
      <c r="H377" t="s">
        <v>9998</v>
      </c>
      <c r="I377" t="s">
        <v>7352</v>
      </c>
      <c r="J377" t="s">
        <v>29132</v>
      </c>
      <c r="K377" t="s">
        <v>37221</v>
      </c>
      <c r="M377" t="s">
        <v>37675</v>
      </c>
      <c r="N377" t="s">
        <v>41249</v>
      </c>
      <c r="O377" t="s">
        <v>41250</v>
      </c>
      <c r="P377">
        <v>0</v>
      </c>
      <c r="Q377">
        <v>0</v>
      </c>
      <c r="R377" t="s">
        <v>41251</v>
      </c>
      <c r="S377" t="s">
        <v>41369</v>
      </c>
      <c r="T377" t="s">
        <v>42679</v>
      </c>
      <c r="U377" t="s">
        <v>43491</v>
      </c>
      <c r="W377" t="s">
        <v>37675</v>
      </c>
      <c r="X377" t="s">
        <v>41252</v>
      </c>
    </row>
    <row r="378" spans="1:24">
      <c r="A378">
        <f>HYPERLINK("https://www.philgeps.gov.ph/GEPSNONPILOT/Tender/SplashBidNoticeAbstractUI.aspx?menuIndex=3&amp;refID=7076348&amp;Result=3","7076348")</f>
        <v>0</v>
      </c>
      <c r="B378" t="s">
        <v>218</v>
      </c>
      <c r="C378" t="s">
        <v>3732</v>
      </c>
      <c r="D378" t="s">
        <v>16648</v>
      </c>
      <c r="E378" t="s">
        <v>17071</v>
      </c>
      <c r="F378" t="s">
        <v>28669</v>
      </c>
      <c r="G378" t="s">
        <v>28677</v>
      </c>
      <c r="H378" t="s">
        <v>28686</v>
      </c>
      <c r="I378" t="s">
        <v>28689</v>
      </c>
      <c r="J378" t="s">
        <v>29133</v>
      </c>
      <c r="K378" t="s">
        <v>37204</v>
      </c>
      <c r="M378" t="s">
        <v>37696</v>
      </c>
      <c r="N378" t="s">
        <v>41249</v>
      </c>
      <c r="O378" t="s">
        <v>41250</v>
      </c>
      <c r="P378">
        <v>0</v>
      </c>
      <c r="Q378">
        <v>0</v>
      </c>
      <c r="R378" t="s">
        <v>41251</v>
      </c>
      <c r="S378" t="s">
        <v>41369</v>
      </c>
      <c r="T378" t="s">
        <v>42736</v>
      </c>
      <c r="U378" t="s">
        <v>43533</v>
      </c>
      <c r="W378" t="s">
        <v>37696</v>
      </c>
      <c r="X378" t="s">
        <v>41252</v>
      </c>
    </row>
    <row r="379" spans="1:24">
      <c r="A379">
        <f>HYPERLINK("https://www.philgeps.gov.ph/GEPSNONPILOT/Tender/SplashBidNoticeAbstractUI.aspx?menuIndex=3&amp;refID=7076319&amp;Result=3","7076319")</f>
        <v>0</v>
      </c>
      <c r="B379" t="s">
        <v>215</v>
      </c>
      <c r="C379" t="s">
        <v>3733</v>
      </c>
      <c r="D379" t="s">
        <v>16631</v>
      </c>
      <c r="E379" t="s">
        <v>17072</v>
      </c>
      <c r="F379" t="s">
        <v>28669</v>
      </c>
      <c r="G379" t="s">
        <v>28675</v>
      </c>
      <c r="H379" t="s">
        <v>28686</v>
      </c>
      <c r="I379" t="s">
        <v>28689</v>
      </c>
      <c r="J379" t="s">
        <v>29003</v>
      </c>
      <c r="K379" t="s">
        <v>37220</v>
      </c>
      <c r="M379" t="s">
        <v>37693</v>
      </c>
      <c r="N379" t="s">
        <v>41249</v>
      </c>
      <c r="O379" t="s">
        <v>41250</v>
      </c>
      <c r="P379">
        <v>0</v>
      </c>
      <c r="Q379">
        <v>0</v>
      </c>
      <c r="R379" t="s">
        <v>41251</v>
      </c>
      <c r="S379" t="s">
        <v>41369</v>
      </c>
      <c r="T379" t="s">
        <v>42670</v>
      </c>
      <c r="U379" t="s">
        <v>43534</v>
      </c>
      <c r="W379" t="s">
        <v>37693</v>
      </c>
      <c r="X379" t="s">
        <v>41252</v>
      </c>
    </row>
    <row r="380" spans="1:24">
      <c r="A380">
        <f>HYPERLINK("https://www.philgeps.gov.ph/GEPSNONPILOT/Tender/SplashBidNoticeAbstractUI.aspx?menuIndex=3&amp;refID=7076363&amp;Result=3","7076363")</f>
        <v>0</v>
      </c>
      <c r="B380" t="s">
        <v>188</v>
      </c>
      <c r="C380" t="s">
        <v>3734</v>
      </c>
      <c r="D380" t="s">
        <v>16664</v>
      </c>
      <c r="E380" t="s">
        <v>17073</v>
      </c>
      <c r="F380" t="s">
        <v>28669</v>
      </c>
      <c r="G380" t="s">
        <v>28679</v>
      </c>
      <c r="H380" t="s">
        <v>9998</v>
      </c>
      <c r="I380" t="s">
        <v>7352</v>
      </c>
      <c r="J380" t="s">
        <v>29134</v>
      </c>
      <c r="K380" t="s">
        <v>37209</v>
      </c>
      <c r="M380" t="s">
        <v>37666</v>
      </c>
      <c r="N380" t="s">
        <v>41249</v>
      </c>
      <c r="O380" t="s">
        <v>41250</v>
      </c>
      <c r="P380">
        <v>0</v>
      </c>
      <c r="Q380">
        <v>0</v>
      </c>
      <c r="R380" t="s">
        <v>41251</v>
      </c>
      <c r="S380" t="s">
        <v>41369</v>
      </c>
      <c r="T380" t="s">
        <v>42703</v>
      </c>
      <c r="U380" t="s">
        <v>43535</v>
      </c>
      <c r="W380" t="s">
        <v>37666</v>
      </c>
      <c r="X380" t="s">
        <v>41252</v>
      </c>
    </row>
    <row r="381" spans="1:24">
      <c r="A381">
        <f>HYPERLINK("https://www.philgeps.gov.ph/GEPSNONPILOT/Tender/SplashBidNoticeAbstractUI.aspx?menuIndex=3&amp;refID=7076318&amp;Result=3","7076318")</f>
        <v>0</v>
      </c>
      <c r="B381" t="s">
        <v>219</v>
      </c>
      <c r="C381" t="s">
        <v>3735</v>
      </c>
      <c r="D381" t="s">
        <v>16658</v>
      </c>
      <c r="E381" t="s">
        <v>17074</v>
      </c>
      <c r="F381" t="s">
        <v>28669</v>
      </c>
      <c r="G381" t="s">
        <v>28677</v>
      </c>
      <c r="H381" t="s">
        <v>9998</v>
      </c>
      <c r="I381" t="s">
        <v>28694</v>
      </c>
      <c r="J381" t="s">
        <v>29135</v>
      </c>
      <c r="K381" t="s">
        <v>37205</v>
      </c>
      <c r="M381" t="s">
        <v>37697</v>
      </c>
      <c r="N381" t="s">
        <v>41249</v>
      </c>
      <c r="O381" t="s">
        <v>41250</v>
      </c>
      <c r="P381">
        <v>0</v>
      </c>
      <c r="Q381">
        <v>2</v>
      </c>
      <c r="R381" t="s">
        <v>41251</v>
      </c>
      <c r="S381" t="s">
        <v>41369</v>
      </c>
      <c r="T381" t="s">
        <v>42758</v>
      </c>
      <c r="U381" t="s">
        <v>43363</v>
      </c>
      <c r="W381" t="s">
        <v>37697</v>
      </c>
      <c r="X381" t="s">
        <v>41252</v>
      </c>
    </row>
    <row r="382" spans="1:24">
      <c r="A382">
        <f>HYPERLINK("https://www.philgeps.gov.ph/GEPSNONPILOT/Tender/SplashBidNoticeAbstractUI.aspx?menuIndex=3&amp;refID=7076325&amp;Result=3","7076325")</f>
        <v>0</v>
      </c>
      <c r="B382" t="s">
        <v>188</v>
      </c>
      <c r="C382" t="s">
        <v>3736</v>
      </c>
      <c r="D382" t="s">
        <v>16664</v>
      </c>
      <c r="E382" t="s">
        <v>17075</v>
      </c>
      <c r="F382" t="s">
        <v>28669</v>
      </c>
      <c r="G382" t="s">
        <v>28679</v>
      </c>
      <c r="H382" t="s">
        <v>9998</v>
      </c>
      <c r="I382" t="s">
        <v>7352</v>
      </c>
      <c r="J382" t="s">
        <v>29051</v>
      </c>
      <c r="K382" t="s">
        <v>37209</v>
      </c>
      <c r="M382" t="s">
        <v>37666</v>
      </c>
      <c r="N382" t="s">
        <v>41249</v>
      </c>
      <c r="O382" t="s">
        <v>41250</v>
      </c>
      <c r="P382">
        <v>0</v>
      </c>
      <c r="Q382">
        <v>0</v>
      </c>
      <c r="R382" t="s">
        <v>41251</v>
      </c>
      <c r="S382" t="s">
        <v>41369</v>
      </c>
      <c r="T382" t="s">
        <v>42703</v>
      </c>
      <c r="U382" t="s">
        <v>43536</v>
      </c>
      <c r="W382" t="s">
        <v>37666</v>
      </c>
      <c r="X382" t="s">
        <v>41252</v>
      </c>
    </row>
    <row r="383" spans="1:24">
      <c r="A383">
        <f>HYPERLINK("https://www.philgeps.gov.ph/GEPSNONPILOT/Tender/SplashBidNoticeAbstractUI.aspx?menuIndex=3&amp;refID=7076355&amp;Result=3","7076355")</f>
        <v>0</v>
      </c>
      <c r="B383" t="s">
        <v>187</v>
      </c>
      <c r="C383" t="s">
        <v>3737</v>
      </c>
      <c r="D383" t="s">
        <v>16670</v>
      </c>
      <c r="E383" t="s">
        <v>17076</v>
      </c>
      <c r="F383" t="s">
        <v>28669</v>
      </c>
      <c r="G383" t="s">
        <v>28676</v>
      </c>
      <c r="H383" t="s">
        <v>28686</v>
      </c>
      <c r="I383" t="s">
        <v>28689</v>
      </c>
      <c r="J383" t="s">
        <v>29136</v>
      </c>
      <c r="K383" t="s">
        <v>37210</v>
      </c>
      <c r="M383" t="s">
        <v>37665</v>
      </c>
      <c r="N383" t="s">
        <v>41249</v>
      </c>
      <c r="O383" t="s">
        <v>41250</v>
      </c>
      <c r="P383">
        <v>0</v>
      </c>
      <c r="Q383">
        <v>1</v>
      </c>
      <c r="R383" t="s">
        <v>41251</v>
      </c>
      <c r="S383" t="s">
        <v>41369</v>
      </c>
      <c r="T383" t="s">
        <v>42738</v>
      </c>
      <c r="U383" t="s">
        <v>43537</v>
      </c>
      <c r="W383" t="s">
        <v>37665</v>
      </c>
      <c r="X383" t="s">
        <v>41252</v>
      </c>
    </row>
    <row r="384" spans="1:24">
      <c r="A384">
        <f>HYPERLINK("https://www.philgeps.gov.ph/GEPSNONPILOT/Tender/SplashBidNoticeAbstractUI.aspx?menuIndex=3&amp;refID=7076352&amp;Result=3","7076352")</f>
        <v>0</v>
      </c>
      <c r="B384" t="s">
        <v>208</v>
      </c>
      <c r="C384" t="s">
        <v>3738</v>
      </c>
      <c r="D384" t="s">
        <v>16674</v>
      </c>
      <c r="E384" t="s">
        <v>17015</v>
      </c>
      <c r="F384" t="s">
        <v>28669</v>
      </c>
      <c r="G384" t="s">
        <v>28675</v>
      </c>
      <c r="H384" t="s">
        <v>28686</v>
      </c>
      <c r="I384" t="s">
        <v>28689</v>
      </c>
      <c r="J384" t="s">
        <v>29137</v>
      </c>
      <c r="K384" t="s">
        <v>37213</v>
      </c>
      <c r="M384" t="s">
        <v>37686</v>
      </c>
      <c r="N384" t="s">
        <v>41249</v>
      </c>
      <c r="O384" t="s">
        <v>41250</v>
      </c>
      <c r="P384">
        <v>0</v>
      </c>
      <c r="Q384">
        <v>1</v>
      </c>
      <c r="R384" t="s">
        <v>41251</v>
      </c>
      <c r="S384" t="s">
        <v>41369</v>
      </c>
      <c r="T384" t="s">
        <v>42756</v>
      </c>
      <c r="U384" t="s">
        <v>43513</v>
      </c>
      <c r="W384" t="s">
        <v>37686</v>
      </c>
      <c r="X384" t="s">
        <v>41252</v>
      </c>
    </row>
    <row r="385" spans="1:24">
      <c r="A385">
        <f>HYPERLINK("https://www.philgeps.gov.ph/GEPSNONPILOT/Tender/SplashBidNoticeAbstractUI.aspx?menuIndex=3&amp;refID=7069367&amp;Result=3","7069367")</f>
        <v>0</v>
      </c>
      <c r="B385" t="s">
        <v>45</v>
      </c>
      <c r="C385" t="s">
        <v>3739</v>
      </c>
      <c r="D385" t="s">
        <v>16626</v>
      </c>
      <c r="E385" t="s">
        <v>17077</v>
      </c>
      <c r="F385" t="s">
        <v>28669</v>
      </c>
      <c r="G385" t="s">
        <v>28676</v>
      </c>
      <c r="H385" t="s">
        <v>28684</v>
      </c>
      <c r="I385" t="s">
        <v>28697</v>
      </c>
      <c r="J385" t="s">
        <v>29061</v>
      </c>
      <c r="K385" t="s">
        <v>37206</v>
      </c>
      <c r="M385" t="s">
        <v>37520</v>
      </c>
      <c r="N385" t="s">
        <v>41249</v>
      </c>
      <c r="O385" t="s">
        <v>41250</v>
      </c>
      <c r="P385">
        <v>0</v>
      </c>
      <c r="Q385">
        <v>1</v>
      </c>
      <c r="R385" t="s">
        <v>41251</v>
      </c>
      <c r="S385" t="s">
        <v>41369</v>
      </c>
      <c r="T385" t="s">
        <v>42682</v>
      </c>
      <c r="U385" t="s">
        <v>43538</v>
      </c>
      <c r="W385" t="s">
        <v>37520</v>
      </c>
      <c r="X385" t="s">
        <v>41258</v>
      </c>
    </row>
    <row r="386" spans="1:24">
      <c r="A386">
        <f>HYPERLINK("https://www.philgeps.gov.ph/GEPSNONPILOT/Tender/SplashBidNoticeAbstractUI.aspx?menuIndex=3&amp;refID=7069342&amp;Result=3","7069342")</f>
        <v>0</v>
      </c>
      <c r="B386" t="s">
        <v>53</v>
      </c>
      <c r="C386" t="s">
        <v>3740</v>
      </c>
      <c r="D386" t="s">
        <v>16632</v>
      </c>
      <c r="E386" t="s">
        <v>17078</v>
      </c>
      <c r="F386" t="s">
        <v>28669</v>
      </c>
      <c r="G386" t="s">
        <v>28675</v>
      </c>
      <c r="H386" t="s">
        <v>28686</v>
      </c>
      <c r="I386" t="s">
        <v>28689</v>
      </c>
      <c r="J386" t="s">
        <v>29138</v>
      </c>
      <c r="K386" t="s">
        <v>37244</v>
      </c>
      <c r="M386" t="s">
        <v>37528</v>
      </c>
      <c r="N386" t="s">
        <v>41249</v>
      </c>
      <c r="O386" t="s">
        <v>41250</v>
      </c>
      <c r="P386">
        <v>0</v>
      </c>
      <c r="Q386">
        <v>0</v>
      </c>
      <c r="R386" t="s">
        <v>41251</v>
      </c>
      <c r="S386" t="s">
        <v>41369</v>
      </c>
      <c r="T386" t="s">
        <v>42664</v>
      </c>
      <c r="U386" t="s">
        <v>43539</v>
      </c>
      <c r="W386" t="s">
        <v>37528</v>
      </c>
      <c r="X386" t="s">
        <v>41258</v>
      </c>
    </row>
    <row r="387" spans="1:24">
      <c r="A387">
        <f>HYPERLINK("https://www.philgeps.gov.ph/GEPSNONPILOT/Tender/SplashBidNoticeAbstractUI.aspx?menuIndex=3&amp;refID=7069319&amp;Result=3","7069319")</f>
        <v>0</v>
      </c>
      <c r="B387" t="s">
        <v>45</v>
      </c>
      <c r="C387" t="s">
        <v>3741</v>
      </c>
      <c r="D387" t="s">
        <v>16626</v>
      </c>
      <c r="E387" t="s">
        <v>17079</v>
      </c>
      <c r="F387" t="s">
        <v>28669</v>
      </c>
      <c r="G387" t="s">
        <v>28676</v>
      </c>
      <c r="H387" t="s">
        <v>28684</v>
      </c>
      <c r="I387" t="s">
        <v>28696</v>
      </c>
      <c r="J387" t="s">
        <v>29139</v>
      </c>
      <c r="K387" t="s">
        <v>37205</v>
      </c>
      <c r="M387" t="s">
        <v>37520</v>
      </c>
      <c r="N387" t="s">
        <v>41249</v>
      </c>
      <c r="O387" t="s">
        <v>41250</v>
      </c>
      <c r="P387">
        <v>0</v>
      </c>
      <c r="Q387">
        <v>1</v>
      </c>
      <c r="R387" t="s">
        <v>41251</v>
      </c>
      <c r="S387" t="s">
        <v>41369</v>
      </c>
      <c r="T387" t="s">
        <v>42682</v>
      </c>
      <c r="U387" t="s">
        <v>43540</v>
      </c>
      <c r="W387" t="s">
        <v>37520</v>
      </c>
      <c r="X387" t="s">
        <v>41258</v>
      </c>
    </row>
    <row r="388" spans="1:24">
      <c r="A388">
        <f>HYPERLINK("https://www.philgeps.gov.ph/GEPSNONPILOT/Tender/SplashBidNoticeAbstractUI.aspx?menuIndex=3&amp;refID=7076376&amp;Result=3","7076376")</f>
        <v>0</v>
      </c>
      <c r="B388" t="s">
        <v>220</v>
      </c>
      <c r="C388" t="s">
        <v>3742</v>
      </c>
      <c r="D388" t="s">
        <v>16627</v>
      </c>
      <c r="E388" t="s">
        <v>17080</v>
      </c>
      <c r="F388" t="s">
        <v>28669</v>
      </c>
      <c r="G388" t="s">
        <v>28676</v>
      </c>
      <c r="H388" t="s">
        <v>9998</v>
      </c>
      <c r="I388" t="s">
        <v>28695</v>
      </c>
      <c r="J388" t="s">
        <v>29140</v>
      </c>
      <c r="K388" t="s">
        <v>37234</v>
      </c>
      <c r="M388" t="s">
        <v>37698</v>
      </c>
      <c r="N388" t="s">
        <v>41249</v>
      </c>
      <c r="O388" t="s">
        <v>41250</v>
      </c>
      <c r="P388">
        <v>0</v>
      </c>
      <c r="Q388">
        <v>0</v>
      </c>
      <c r="R388" t="s">
        <v>41251</v>
      </c>
      <c r="S388" t="s">
        <v>41369</v>
      </c>
      <c r="T388" t="s">
        <v>42681</v>
      </c>
      <c r="U388" t="s">
        <v>43541</v>
      </c>
      <c r="W388" t="s">
        <v>37698</v>
      </c>
      <c r="X388" t="s">
        <v>41252</v>
      </c>
    </row>
    <row r="389" spans="1:24">
      <c r="A389">
        <f>HYPERLINK("https://www.philgeps.gov.ph/GEPSNONPILOT/Tender/SplashBidNoticeAbstractUI.aspx?menuIndex=3&amp;refID=7076401&amp;Result=3","7076401")</f>
        <v>0</v>
      </c>
      <c r="B389" t="s">
        <v>221</v>
      </c>
      <c r="C389" t="s">
        <v>3743</v>
      </c>
      <c r="E389" t="s">
        <v>17081</v>
      </c>
      <c r="F389" t="s">
        <v>28669</v>
      </c>
      <c r="G389" t="s">
        <v>28676</v>
      </c>
      <c r="H389" t="s">
        <v>9998</v>
      </c>
      <c r="I389" t="s">
        <v>28698</v>
      </c>
      <c r="J389" t="s">
        <v>29141</v>
      </c>
      <c r="K389" t="s">
        <v>37209</v>
      </c>
      <c r="M389" t="s">
        <v>37699</v>
      </c>
      <c r="N389" t="s">
        <v>41249</v>
      </c>
      <c r="O389" t="s">
        <v>41250</v>
      </c>
      <c r="P389">
        <v>0</v>
      </c>
      <c r="Q389">
        <v>0</v>
      </c>
      <c r="R389" t="s">
        <v>41251</v>
      </c>
      <c r="S389" t="s">
        <v>41369</v>
      </c>
      <c r="T389" t="s">
        <v>42759</v>
      </c>
      <c r="U389" t="s">
        <v>43542</v>
      </c>
      <c r="W389" t="s">
        <v>37699</v>
      </c>
      <c r="X389" t="s">
        <v>41252</v>
      </c>
    </row>
    <row r="390" spans="1:24">
      <c r="A390">
        <f>HYPERLINK("https://www.philgeps.gov.ph/GEPSNONPILOT/Tender/SplashBidNoticeAbstractUI.aspx?menuIndex=3&amp;refID=7076101&amp;Result=3","7076101")</f>
        <v>0</v>
      </c>
      <c r="B390" t="s">
        <v>99</v>
      </c>
      <c r="C390" t="s">
        <v>3744</v>
      </c>
      <c r="D390" t="s">
        <v>16655</v>
      </c>
      <c r="E390" t="s">
        <v>17082</v>
      </c>
      <c r="F390" t="s">
        <v>28669</v>
      </c>
      <c r="G390" t="s">
        <v>28675</v>
      </c>
      <c r="H390" t="s">
        <v>28686</v>
      </c>
      <c r="I390" t="s">
        <v>28689</v>
      </c>
      <c r="J390" t="s">
        <v>29003</v>
      </c>
      <c r="K390" t="s">
        <v>37206</v>
      </c>
      <c r="M390" t="s">
        <v>37574</v>
      </c>
      <c r="N390" t="s">
        <v>41249</v>
      </c>
      <c r="O390" t="s">
        <v>41250</v>
      </c>
      <c r="P390">
        <v>0</v>
      </c>
      <c r="Q390">
        <v>0</v>
      </c>
      <c r="R390" t="s">
        <v>41251</v>
      </c>
      <c r="S390" t="s">
        <v>41369</v>
      </c>
      <c r="T390" t="s">
        <v>42760</v>
      </c>
      <c r="U390" t="s">
        <v>43543</v>
      </c>
      <c r="W390" t="s">
        <v>37574</v>
      </c>
      <c r="X390" t="s">
        <v>41252</v>
      </c>
    </row>
    <row r="391" spans="1:24">
      <c r="A391">
        <f>HYPERLINK("https://www.philgeps.gov.ph/GEPSNONPILOT/Tender/SplashBidNoticeAbstractUI.aspx?menuIndex=3&amp;refID=7076400&amp;Result=3","7076400")</f>
        <v>0</v>
      </c>
      <c r="B391" t="s">
        <v>207</v>
      </c>
      <c r="C391" t="s">
        <v>3745</v>
      </c>
      <c r="D391" t="s">
        <v>16625</v>
      </c>
      <c r="E391" t="s">
        <v>17083</v>
      </c>
      <c r="F391" t="s">
        <v>28669</v>
      </c>
      <c r="G391" t="s">
        <v>28676</v>
      </c>
      <c r="H391" t="s">
        <v>28684</v>
      </c>
      <c r="I391" t="s">
        <v>28728</v>
      </c>
      <c r="J391" t="s">
        <v>29142</v>
      </c>
      <c r="K391" t="s">
        <v>37248</v>
      </c>
      <c r="M391" t="s">
        <v>37685</v>
      </c>
      <c r="N391" t="s">
        <v>41249</v>
      </c>
      <c r="O391" t="s">
        <v>41250</v>
      </c>
      <c r="P391">
        <v>0</v>
      </c>
      <c r="Q391">
        <v>1</v>
      </c>
      <c r="R391" t="s">
        <v>41251</v>
      </c>
      <c r="S391" t="s">
        <v>41369</v>
      </c>
      <c r="T391" t="s">
        <v>42673</v>
      </c>
      <c r="U391" t="s">
        <v>43544</v>
      </c>
      <c r="V391" t="s">
        <v>54308</v>
      </c>
      <c r="W391" t="s">
        <v>37685</v>
      </c>
      <c r="X391" t="s">
        <v>41252</v>
      </c>
    </row>
    <row r="392" spans="1:24">
      <c r="A392">
        <f>HYPERLINK("https://www.philgeps.gov.ph/GEPSNONPILOT/Tender/SplashBidNoticeAbstractUI.aspx?menuIndex=3&amp;refID=7076343&amp;Result=3","7076343")</f>
        <v>0</v>
      </c>
      <c r="B392" t="s">
        <v>222</v>
      </c>
      <c r="C392" t="s">
        <v>3746</v>
      </c>
      <c r="D392" t="s">
        <v>16611</v>
      </c>
      <c r="E392" t="s">
        <v>17084</v>
      </c>
      <c r="F392" t="s">
        <v>28669</v>
      </c>
      <c r="G392" t="s">
        <v>28676</v>
      </c>
      <c r="H392" t="s">
        <v>9998</v>
      </c>
      <c r="I392" t="s">
        <v>28713</v>
      </c>
      <c r="J392" t="s">
        <v>29143</v>
      </c>
      <c r="K392" t="s">
        <v>37221</v>
      </c>
      <c r="M392" t="s">
        <v>37700</v>
      </c>
      <c r="N392" t="s">
        <v>41249</v>
      </c>
      <c r="O392" t="s">
        <v>41250</v>
      </c>
      <c r="P392">
        <v>0</v>
      </c>
      <c r="Q392">
        <v>3</v>
      </c>
      <c r="R392" t="s">
        <v>41251</v>
      </c>
      <c r="S392" t="s">
        <v>41369</v>
      </c>
      <c r="T392" t="s">
        <v>42681</v>
      </c>
      <c r="U392" t="s">
        <v>43545</v>
      </c>
      <c r="W392" t="s">
        <v>37700</v>
      </c>
      <c r="X392" t="s">
        <v>41252</v>
      </c>
    </row>
    <row r="393" spans="1:24">
      <c r="A393">
        <f>HYPERLINK("https://www.philgeps.gov.ph/GEPSNONPILOT/Tender/SplashBidNoticeAbstractUI.aspx?menuIndex=3&amp;refID=7076102&amp;Result=3","7076102")</f>
        <v>0</v>
      </c>
      <c r="B393" t="s">
        <v>223</v>
      </c>
      <c r="C393" t="s">
        <v>3747</v>
      </c>
      <c r="E393" t="s">
        <v>17085</v>
      </c>
      <c r="F393" t="s">
        <v>28669</v>
      </c>
      <c r="G393" t="s">
        <v>28680</v>
      </c>
      <c r="H393" t="s">
        <v>9998</v>
      </c>
      <c r="I393" t="s">
        <v>6128</v>
      </c>
      <c r="J393" t="s">
        <v>29144</v>
      </c>
      <c r="K393" t="s">
        <v>37210</v>
      </c>
      <c r="M393" t="s">
        <v>37701</v>
      </c>
      <c r="N393" t="s">
        <v>41249</v>
      </c>
      <c r="O393" t="s">
        <v>41250</v>
      </c>
      <c r="P393">
        <v>0</v>
      </c>
      <c r="Q393">
        <v>0</v>
      </c>
      <c r="R393" t="s">
        <v>41251</v>
      </c>
      <c r="S393" t="s">
        <v>41369</v>
      </c>
      <c r="T393" t="s">
        <v>42742</v>
      </c>
      <c r="U393" t="s">
        <v>43546</v>
      </c>
      <c r="W393" t="s">
        <v>37701</v>
      </c>
      <c r="X393" t="s">
        <v>41252</v>
      </c>
    </row>
    <row r="394" spans="1:24">
      <c r="A394">
        <f>HYPERLINK("https://www.philgeps.gov.ph/GEPSNONPILOT/Tender/SplashBidNoticeAbstractUI.aspx?menuIndex=3&amp;refID=7076397&amp;Result=3","7076397")</f>
        <v>0</v>
      </c>
      <c r="B394" t="s">
        <v>224</v>
      </c>
      <c r="C394" t="s">
        <v>3748</v>
      </c>
      <c r="D394" t="s">
        <v>16626</v>
      </c>
      <c r="E394" t="s">
        <v>17086</v>
      </c>
      <c r="F394" t="s">
        <v>28669</v>
      </c>
      <c r="G394" t="s">
        <v>28676</v>
      </c>
      <c r="H394" t="s">
        <v>28684</v>
      </c>
      <c r="I394" t="s">
        <v>3679</v>
      </c>
      <c r="J394" t="s">
        <v>29145</v>
      </c>
      <c r="K394" t="s">
        <v>37243</v>
      </c>
      <c r="M394" t="s">
        <v>37702</v>
      </c>
      <c r="N394" t="s">
        <v>41249</v>
      </c>
      <c r="O394" t="s">
        <v>41250</v>
      </c>
      <c r="P394">
        <v>0</v>
      </c>
      <c r="Q394">
        <v>0</v>
      </c>
      <c r="R394" t="s">
        <v>41251</v>
      </c>
      <c r="S394" t="s">
        <v>41369</v>
      </c>
      <c r="T394" t="s">
        <v>42694</v>
      </c>
      <c r="U394" t="s">
        <v>43547</v>
      </c>
      <c r="W394" t="s">
        <v>37702</v>
      </c>
      <c r="X394" t="s">
        <v>41252</v>
      </c>
    </row>
    <row r="395" spans="1:24">
      <c r="A395">
        <f>HYPERLINK("https://www.philgeps.gov.ph/GEPSNONPILOT/Tender/SplashBidNoticeAbstractUI.aspx?menuIndex=3&amp;refID=7069533&amp;Result=3","7069533")</f>
        <v>0</v>
      </c>
      <c r="B395" t="s">
        <v>53</v>
      </c>
      <c r="C395" t="s">
        <v>3749</v>
      </c>
      <c r="D395" t="s">
        <v>16632</v>
      </c>
      <c r="E395" t="s">
        <v>17087</v>
      </c>
      <c r="F395" t="s">
        <v>28669</v>
      </c>
      <c r="G395" t="s">
        <v>28675</v>
      </c>
      <c r="H395" t="s">
        <v>28686</v>
      </c>
      <c r="I395" t="s">
        <v>28689</v>
      </c>
      <c r="J395" t="s">
        <v>29146</v>
      </c>
      <c r="K395" t="s">
        <v>37249</v>
      </c>
      <c r="M395" t="s">
        <v>37528</v>
      </c>
      <c r="N395" t="s">
        <v>41249</v>
      </c>
      <c r="O395" t="s">
        <v>41250</v>
      </c>
      <c r="P395">
        <v>0</v>
      </c>
      <c r="Q395">
        <v>0</v>
      </c>
      <c r="R395" t="s">
        <v>41251</v>
      </c>
      <c r="S395" t="s">
        <v>41369</v>
      </c>
      <c r="T395" t="s">
        <v>42664</v>
      </c>
      <c r="U395" t="s">
        <v>43548</v>
      </c>
      <c r="W395" t="s">
        <v>37528</v>
      </c>
      <c r="X395" t="s">
        <v>41258</v>
      </c>
    </row>
    <row r="396" spans="1:24">
      <c r="A396">
        <f>HYPERLINK("https://www.philgeps.gov.ph/GEPSNONPILOT/Tender/SplashBidNoticeAbstractUI.aspx?menuIndex=3&amp;refID=7076393&amp;Result=3","7076393")</f>
        <v>0</v>
      </c>
      <c r="B396" t="s">
        <v>225</v>
      </c>
      <c r="C396" t="s">
        <v>3750</v>
      </c>
      <c r="D396" t="s">
        <v>16616</v>
      </c>
      <c r="E396" t="s">
        <v>17088</v>
      </c>
      <c r="F396" t="s">
        <v>28669</v>
      </c>
      <c r="G396" t="s">
        <v>28676</v>
      </c>
      <c r="H396" t="s">
        <v>9998</v>
      </c>
      <c r="I396" t="s">
        <v>28699</v>
      </c>
      <c r="J396" t="s">
        <v>29147</v>
      </c>
      <c r="K396" t="s">
        <v>37204</v>
      </c>
      <c r="M396" t="s">
        <v>37703</v>
      </c>
      <c r="N396" t="s">
        <v>41249</v>
      </c>
      <c r="O396" t="s">
        <v>41250</v>
      </c>
      <c r="P396">
        <v>0</v>
      </c>
      <c r="Q396">
        <v>0</v>
      </c>
      <c r="R396" t="s">
        <v>41251</v>
      </c>
      <c r="S396" t="s">
        <v>41369</v>
      </c>
      <c r="T396" t="s">
        <v>42683</v>
      </c>
      <c r="U396" t="s">
        <v>43549</v>
      </c>
      <c r="W396" t="s">
        <v>37703</v>
      </c>
      <c r="X396" t="s">
        <v>41252</v>
      </c>
    </row>
    <row r="397" spans="1:24">
      <c r="A397">
        <f>HYPERLINK("https://www.philgeps.gov.ph/GEPSNONPILOT/Tender/SplashBidNoticeAbstractUI.aspx?menuIndex=3&amp;refID=7076392&amp;Result=3","7076392")</f>
        <v>0</v>
      </c>
      <c r="B397" t="s">
        <v>215</v>
      </c>
      <c r="C397" t="s">
        <v>3751</v>
      </c>
      <c r="D397" t="s">
        <v>16631</v>
      </c>
      <c r="E397" t="s">
        <v>17089</v>
      </c>
      <c r="F397" t="s">
        <v>28669</v>
      </c>
      <c r="G397" t="s">
        <v>28675</v>
      </c>
      <c r="H397" t="s">
        <v>28686</v>
      </c>
      <c r="I397" t="s">
        <v>28689</v>
      </c>
      <c r="J397" t="s">
        <v>29003</v>
      </c>
      <c r="K397" t="s">
        <v>37213</v>
      </c>
      <c r="M397" t="s">
        <v>37693</v>
      </c>
      <c r="N397" t="s">
        <v>41249</v>
      </c>
      <c r="O397" t="s">
        <v>41250</v>
      </c>
      <c r="P397">
        <v>0</v>
      </c>
      <c r="Q397">
        <v>0</v>
      </c>
      <c r="R397" t="s">
        <v>41251</v>
      </c>
      <c r="S397" t="s">
        <v>41369</v>
      </c>
      <c r="T397" t="s">
        <v>42690</v>
      </c>
      <c r="U397" t="s">
        <v>43528</v>
      </c>
      <c r="W397" t="s">
        <v>37693</v>
      </c>
      <c r="X397" t="s">
        <v>41252</v>
      </c>
    </row>
    <row r="398" spans="1:24">
      <c r="A398">
        <f>HYPERLINK("https://www.philgeps.gov.ph/GEPSNONPILOT/Tender/SplashBidNoticeAbstractUI.aspx?menuIndex=3&amp;refID=7076396&amp;Result=3","7076396")</f>
        <v>0</v>
      </c>
      <c r="B398" t="s">
        <v>226</v>
      </c>
      <c r="C398" t="s">
        <v>3752</v>
      </c>
      <c r="D398" t="s">
        <v>16637</v>
      </c>
      <c r="E398" t="s">
        <v>17090</v>
      </c>
      <c r="F398" t="s">
        <v>28669</v>
      </c>
      <c r="G398" t="s">
        <v>28675</v>
      </c>
      <c r="H398" t="s">
        <v>9998</v>
      </c>
      <c r="I398" t="s">
        <v>7352</v>
      </c>
      <c r="J398" t="s">
        <v>29148</v>
      </c>
      <c r="K398" t="s">
        <v>37210</v>
      </c>
      <c r="M398" t="s">
        <v>37704</v>
      </c>
      <c r="N398" t="s">
        <v>41249</v>
      </c>
      <c r="O398" t="s">
        <v>41250</v>
      </c>
      <c r="P398">
        <v>0</v>
      </c>
      <c r="Q398">
        <v>0</v>
      </c>
      <c r="R398" t="s">
        <v>41251</v>
      </c>
      <c r="S398" t="s">
        <v>41369</v>
      </c>
      <c r="T398" t="s">
        <v>42761</v>
      </c>
      <c r="U398" t="s">
        <v>43550</v>
      </c>
      <c r="W398" t="s">
        <v>37704</v>
      </c>
      <c r="X398" t="s">
        <v>41252</v>
      </c>
    </row>
    <row r="399" spans="1:24">
      <c r="A399">
        <f>HYPERLINK("https://www.philgeps.gov.ph/GEPSNONPILOT/Tender/SplashBidNoticeAbstractUI.aspx?menuIndex=3&amp;refID=7076390&amp;Result=3","7076390")</f>
        <v>0</v>
      </c>
      <c r="B399" t="s">
        <v>227</v>
      </c>
      <c r="C399" t="s">
        <v>3753</v>
      </c>
      <c r="D399" t="s">
        <v>16627</v>
      </c>
      <c r="E399" t="s">
        <v>17091</v>
      </c>
      <c r="F399" t="s">
        <v>28669</v>
      </c>
      <c r="G399" t="s">
        <v>28678</v>
      </c>
      <c r="H399" t="s">
        <v>9998</v>
      </c>
      <c r="I399" t="s">
        <v>7352</v>
      </c>
      <c r="J399" t="s">
        <v>29149</v>
      </c>
      <c r="K399" t="s">
        <v>37206</v>
      </c>
      <c r="M399" t="s">
        <v>37705</v>
      </c>
      <c r="N399" t="s">
        <v>41249</v>
      </c>
      <c r="O399" t="s">
        <v>41250</v>
      </c>
      <c r="P399">
        <v>0</v>
      </c>
      <c r="Q399">
        <v>0</v>
      </c>
      <c r="R399" t="s">
        <v>41251</v>
      </c>
      <c r="S399" t="s">
        <v>41369</v>
      </c>
      <c r="T399" t="s">
        <v>42679</v>
      </c>
      <c r="U399" t="s">
        <v>43551</v>
      </c>
      <c r="W399" t="s">
        <v>37705</v>
      </c>
      <c r="X399" t="s">
        <v>41252</v>
      </c>
    </row>
    <row r="400" spans="1:24">
      <c r="A400">
        <f>HYPERLINK("https://www.philgeps.gov.ph/GEPSNONPILOT/Tender/SplashBidNoticeAbstractUI.aspx?menuIndex=3&amp;refID=7076387&amp;Result=3","7076387")</f>
        <v>0</v>
      </c>
      <c r="B400" t="s">
        <v>228</v>
      </c>
      <c r="C400" t="s">
        <v>3754</v>
      </c>
      <c r="D400" t="s">
        <v>16608</v>
      </c>
      <c r="E400" t="s">
        <v>17092</v>
      </c>
      <c r="F400" t="s">
        <v>28669</v>
      </c>
      <c r="G400" t="s">
        <v>28676</v>
      </c>
      <c r="H400" t="s">
        <v>9998</v>
      </c>
      <c r="I400" t="s">
        <v>28690</v>
      </c>
      <c r="J400" t="s">
        <v>29040</v>
      </c>
      <c r="K400" t="s">
        <v>37205</v>
      </c>
      <c r="M400" t="s">
        <v>37706</v>
      </c>
      <c r="N400" t="s">
        <v>41249</v>
      </c>
      <c r="O400" t="s">
        <v>41250</v>
      </c>
      <c r="P400">
        <v>0</v>
      </c>
      <c r="Q400">
        <v>6</v>
      </c>
      <c r="R400" t="s">
        <v>41251</v>
      </c>
      <c r="S400" t="s">
        <v>41369</v>
      </c>
      <c r="T400" t="s">
        <v>42679</v>
      </c>
      <c r="U400" t="s">
        <v>43552</v>
      </c>
      <c r="V400" t="s">
        <v>54309</v>
      </c>
      <c r="W400" t="s">
        <v>37706</v>
      </c>
      <c r="X400" t="s">
        <v>41252</v>
      </c>
    </row>
    <row r="401" spans="1:24">
      <c r="A401">
        <f>HYPERLINK("https://www.philgeps.gov.ph/GEPSNONPILOT/Tender/SplashBidNoticeAbstractUI.aspx?menuIndex=3&amp;refID=7076384&amp;Result=3","7076384")</f>
        <v>0</v>
      </c>
      <c r="B401" t="s">
        <v>229</v>
      </c>
      <c r="C401" t="s">
        <v>3755</v>
      </c>
      <c r="D401" t="s">
        <v>16653</v>
      </c>
      <c r="E401" t="s">
        <v>17093</v>
      </c>
      <c r="F401" t="s">
        <v>28669</v>
      </c>
      <c r="G401" t="s">
        <v>28676</v>
      </c>
      <c r="H401" t="s">
        <v>28685</v>
      </c>
      <c r="I401" t="s">
        <v>28685</v>
      </c>
      <c r="J401" t="s">
        <v>28836</v>
      </c>
      <c r="K401" t="s">
        <v>37206</v>
      </c>
      <c r="M401" t="s">
        <v>37707</v>
      </c>
      <c r="N401" t="s">
        <v>41249</v>
      </c>
      <c r="O401" t="s">
        <v>41250</v>
      </c>
      <c r="P401">
        <v>0</v>
      </c>
      <c r="Q401">
        <v>5</v>
      </c>
      <c r="R401" t="s">
        <v>41251</v>
      </c>
      <c r="S401" t="s">
        <v>41369</v>
      </c>
      <c r="T401" t="s">
        <v>42706</v>
      </c>
      <c r="U401" t="s">
        <v>43553</v>
      </c>
      <c r="W401" t="s">
        <v>37707</v>
      </c>
      <c r="X401" t="s">
        <v>41252</v>
      </c>
    </row>
    <row r="402" spans="1:24">
      <c r="A402">
        <f>HYPERLINK("https://www.philgeps.gov.ph/GEPSNONPILOT/Tender/SplashBidNoticeAbstractUI.aspx?menuIndex=3&amp;refID=7076383&amp;Result=3","7076383")</f>
        <v>0</v>
      </c>
      <c r="B402" t="s">
        <v>230</v>
      </c>
      <c r="C402" t="s">
        <v>3756</v>
      </c>
      <c r="D402" t="s">
        <v>16639</v>
      </c>
      <c r="E402" t="s">
        <v>16968</v>
      </c>
      <c r="F402" t="s">
        <v>28669</v>
      </c>
      <c r="G402" t="s">
        <v>28676</v>
      </c>
      <c r="H402" t="s">
        <v>9998</v>
      </c>
      <c r="I402" t="s">
        <v>28731</v>
      </c>
      <c r="J402" t="s">
        <v>29150</v>
      </c>
      <c r="K402" t="s">
        <v>37208</v>
      </c>
      <c r="M402" t="s">
        <v>37708</v>
      </c>
      <c r="N402" t="s">
        <v>41249</v>
      </c>
      <c r="O402" t="s">
        <v>41250</v>
      </c>
      <c r="P402">
        <v>0</v>
      </c>
      <c r="Q402">
        <v>0</v>
      </c>
      <c r="R402" t="s">
        <v>41251</v>
      </c>
      <c r="S402" t="s">
        <v>41369</v>
      </c>
      <c r="T402" t="s">
        <v>42694</v>
      </c>
      <c r="U402" t="s">
        <v>43554</v>
      </c>
      <c r="V402" t="s">
        <v>54310</v>
      </c>
      <c r="W402" t="s">
        <v>37708</v>
      </c>
      <c r="X402" t="s">
        <v>41252</v>
      </c>
    </row>
    <row r="403" spans="1:24">
      <c r="A403">
        <f>HYPERLINK("https://www.philgeps.gov.ph/GEPSNONPILOT/Tender/SplashBidNoticeAbstractUI.aspx?menuIndex=3&amp;refID=7076428&amp;Result=3","7076428")</f>
        <v>0</v>
      </c>
      <c r="B403" t="s">
        <v>231</v>
      </c>
      <c r="C403" t="s">
        <v>3757</v>
      </c>
      <c r="D403" t="s">
        <v>16655</v>
      </c>
      <c r="E403" t="s">
        <v>17094</v>
      </c>
      <c r="F403" t="s">
        <v>28669</v>
      </c>
      <c r="G403" t="s">
        <v>28676</v>
      </c>
      <c r="H403" t="s">
        <v>9998</v>
      </c>
      <c r="I403" t="s">
        <v>28695</v>
      </c>
      <c r="J403" t="s">
        <v>29027</v>
      </c>
      <c r="K403" t="s">
        <v>37210</v>
      </c>
      <c r="M403" t="s">
        <v>37709</v>
      </c>
      <c r="N403" t="s">
        <v>41249</v>
      </c>
      <c r="O403" t="s">
        <v>41250</v>
      </c>
      <c r="P403">
        <v>0</v>
      </c>
      <c r="Q403">
        <v>0</v>
      </c>
      <c r="R403" t="s">
        <v>41251</v>
      </c>
      <c r="S403" t="s">
        <v>41369</v>
      </c>
      <c r="T403" t="s">
        <v>42679</v>
      </c>
      <c r="U403" t="s">
        <v>43555</v>
      </c>
      <c r="W403" t="s">
        <v>37709</v>
      </c>
      <c r="X403" t="s">
        <v>41252</v>
      </c>
    </row>
    <row r="404" spans="1:24">
      <c r="A404">
        <f>HYPERLINK("https://www.philgeps.gov.ph/GEPSNONPILOT/Tender/SplashBidNoticeAbstractUI.aspx?menuIndex=3&amp;refID=7076366&amp;Result=3","7076366")</f>
        <v>0</v>
      </c>
      <c r="B404" t="s">
        <v>30</v>
      </c>
      <c r="C404" t="s">
        <v>3758</v>
      </c>
      <c r="D404" t="s">
        <v>16612</v>
      </c>
      <c r="E404" t="s">
        <v>17095</v>
      </c>
      <c r="F404" t="s">
        <v>28669</v>
      </c>
      <c r="G404" t="s">
        <v>28677</v>
      </c>
      <c r="H404" t="s">
        <v>9998</v>
      </c>
      <c r="I404" t="s">
        <v>6128</v>
      </c>
      <c r="J404" t="s">
        <v>29151</v>
      </c>
      <c r="K404" t="s">
        <v>37210</v>
      </c>
      <c r="M404" t="s">
        <v>37505</v>
      </c>
      <c r="N404" t="s">
        <v>41249</v>
      </c>
      <c r="O404" t="s">
        <v>41250</v>
      </c>
      <c r="P404">
        <v>0</v>
      </c>
      <c r="Q404">
        <v>0</v>
      </c>
      <c r="R404" t="s">
        <v>41251</v>
      </c>
      <c r="S404" t="s">
        <v>41369</v>
      </c>
      <c r="T404" t="s">
        <v>42665</v>
      </c>
      <c r="U404" t="s">
        <v>43556</v>
      </c>
      <c r="W404" t="s">
        <v>37505</v>
      </c>
      <c r="X404" t="s">
        <v>41252</v>
      </c>
    </row>
    <row r="405" spans="1:24">
      <c r="A405">
        <f>HYPERLINK("https://www.philgeps.gov.ph/GEPSNONPILOT/Tender/SplashBidNoticeAbstractUI.aspx?menuIndex=3&amp;refID=7076425&amp;Result=3","7076425")</f>
        <v>0</v>
      </c>
      <c r="B405" t="s">
        <v>232</v>
      </c>
      <c r="C405" t="s">
        <v>3759</v>
      </c>
      <c r="D405" t="s">
        <v>16618</v>
      </c>
      <c r="E405" t="s">
        <v>17096</v>
      </c>
      <c r="F405" t="s">
        <v>28669</v>
      </c>
      <c r="G405" t="s">
        <v>28676</v>
      </c>
      <c r="H405" t="s">
        <v>9998</v>
      </c>
      <c r="I405" t="s">
        <v>28694</v>
      </c>
      <c r="J405" t="s">
        <v>29152</v>
      </c>
      <c r="K405" t="s">
        <v>37209</v>
      </c>
      <c r="M405" t="s">
        <v>37710</v>
      </c>
      <c r="N405" t="s">
        <v>41249</v>
      </c>
      <c r="O405" t="s">
        <v>41250</v>
      </c>
      <c r="P405">
        <v>0</v>
      </c>
      <c r="Q405">
        <v>0</v>
      </c>
      <c r="R405" t="s">
        <v>41251</v>
      </c>
      <c r="S405" t="s">
        <v>41369</v>
      </c>
      <c r="T405" t="s">
        <v>42717</v>
      </c>
      <c r="U405" t="s">
        <v>43557</v>
      </c>
      <c r="W405" t="s">
        <v>37710</v>
      </c>
      <c r="X405" t="s">
        <v>41252</v>
      </c>
    </row>
    <row r="406" spans="1:24">
      <c r="A406">
        <f>HYPERLINK("https://www.philgeps.gov.ph/GEPSNONPILOT/Tender/SplashBidNoticeAbstractUI.aspx?menuIndex=3&amp;refID=7076424&amp;Result=3","7076424")</f>
        <v>0</v>
      </c>
      <c r="B406" t="s">
        <v>233</v>
      </c>
      <c r="C406" t="s">
        <v>3760</v>
      </c>
      <c r="D406" t="s">
        <v>16654</v>
      </c>
      <c r="E406" t="s">
        <v>17097</v>
      </c>
      <c r="F406" t="s">
        <v>28669</v>
      </c>
      <c r="G406" t="s">
        <v>28676</v>
      </c>
      <c r="H406" t="s">
        <v>28686</v>
      </c>
      <c r="I406" t="s">
        <v>28689</v>
      </c>
      <c r="J406" t="s">
        <v>29153</v>
      </c>
      <c r="K406" t="s">
        <v>37231</v>
      </c>
      <c r="M406" t="s">
        <v>37711</v>
      </c>
      <c r="N406" t="s">
        <v>41249</v>
      </c>
      <c r="O406" t="s">
        <v>41250</v>
      </c>
      <c r="P406">
        <v>0</v>
      </c>
      <c r="Q406">
        <v>5</v>
      </c>
      <c r="R406" t="s">
        <v>41251</v>
      </c>
      <c r="S406" t="s">
        <v>41369</v>
      </c>
      <c r="T406" t="s">
        <v>42673</v>
      </c>
      <c r="U406" t="s">
        <v>43558</v>
      </c>
      <c r="W406" t="s">
        <v>37711</v>
      </c>
      <c r="X406" t="s">
        <v>41252</v>
      </c>
    </row>
    <row r="407" spans="1:24">
      <c r="A407">
        <f>HYPERLINK("https://www.philgeps.gov.ph/GEPSNONPILOT/Tender/SplashBidNoticeAbstractUI.aspx?menuIndex=3&amp;refID=7076423&amp;Result=3","7076423")</f>
        <v>0</v>
      </c>
      <c r="B407" t="s">
        <v>227</v>
      </c>
      <c r="C407" t="s">
        <v>3761</v>
      </c>
      <c r="D407" t="s">
        <v>16627</v>
      </c>
      <c r="E407" t="s">
        <v>17098</v>
      </c>
      <c r="F407" t="s">
        <v>28669</v>
      </c>
      <c r="G407" t="s">
        <v>28678</v>
      </c>
      <c r="H407" t="s">
        <v>9998</v>
      </c>
      <c r="I407" t="s">
        <v>11142</v>
      </c>
      <c r="J407" t="s">
        <v>29154</v>
      </c>
      <c r="K407" t="s">
        <v>37206</v>
      </c>
      <c r="M407" t="s">
        <v>37705</v>
      </c>
      <c r="N407" t="s">
        <v>41249</v>
      </c>
      <c r="O407" t="s">
        <v>41250</v>
      </c>
      <c r="P407">
        <v>0</v>
      </c>
      <c r="Q407">
        <v>6</v>
      </c>
      <c r="R407" t="s">
        <v>41251</v>
      </c>
      <c r="S407" t="s">
        <v>41369</v>
      </c>
      <c r="T407" t="s">
        <v>42679</v>
      </c>
      <c r="U407" t="s">
        <v>43551</v>
      </c>
      <c r="W407" t="s">
        <v>37705</v>
      </c>
      <c r="X407" t="s">
        <v>41252</v>
      </c>
    </row>
    <row r="408" spans="1:24">
      <c r="A408">
        <f>HYPERLINK("https://www.philgeps.gov.ph/GEPSNONPILOT/Tender/SplashBidNoticeAbstractUI.aspx?menuIndex=3&amp;refID=7076395&amp;Result=3","7076395")</f>
        <v>0</v>
      </c>
      <c r="B408" t="s">
        <v>234</v>
      </c>
      <c r="C408" t="s">
        <v>3762</v>
      </c>
      <c r="D408" t="s">
        <v>16675</v>
      </c>
      <c r="E408" t="s">
        <v>17099</v>
      </c>
      <c r="F408" t="s">
        <v>28669</v>
      </c>
      <c r="G408" t="s">
        <v>28676</v>
      </c>
      <c r="H408" t="s">
        <v>9998</v>
      </c>
      <c r="I408" t="s">
        <v>28694</v>
      </c>
      <c r="J408" t="s">
        <v>28894</v>
      </c>
      <c r="K408" t="s">
        <v>37206</v>
      </c>
      <c r="M408" t="s">
        <v>37712</v>
      </c>
      <c r="N408" t="s">
        <v>41249</v>
      </c>
      <c r="O408" t="s">
        <v>41250</v>
      </c>
      <c r="P408">
        <v>0</v>
      </c>
      <c r="Q408">
        <v>0</v>
      </c>
      <c r="R408" t="s">
        <v>41251</v>
      </c>
      <c r="S408" t="s">
        <v>41369</v>
      </c>
      <c r="T408" t="s">
        <v>42702</v>
      </c>
      <c r="U408" t="s">
        <v>43559</v>
      </c>
      <c r="W408" t="s">
        <v>37712</v>
      </c>
      <c r="X408" t="s">
        <v>41252</v>
      </c>
    </row>
    <row r="409" spans="1:24">
      <c r="A409">
        <f>HYPERLINK("https://www.philgeps.gov.ph/GEPSNONPILOT/Tender/SplashBidNoticeAbstractUI.aspx?menuIndex=3&amp;refID=7076388&amp;Result=3","7076388")</f>
        <v>0</v>
      </c>
      <c r="B409" t="s">
        <v>188</v>
      </c>
      <c r="C409" t="s">
        <v>3763</v>
      </c>
      <c r="D409" t="s">
        <v>16664</v>
      </c>
      <c r="E409" t="s">
        <v>17100</v>
      </c>
      <c r="F409" t="s">
        <v>28669</v>
      </c>
      <c r="G409" t="s">
        <v>28679</v>
      </c>
      <c r="H409" t="s">
        <v>28686</v>
      </c>
      <c r="I409" t="s">
        <v>28689</v>
      </c>
      <c r="J409" t="s">
        <v>29155</v>
      </c>
      <c r="K409" t="s">
        <v>37220</v>
      </c>
      <c r="M409" t="s">
        <v>37666</v>
      </c>
      <c r="N409" t="s">
        <v>41249</v>
      </c>
      <c r="O409" t="s">
        <v>41250</v>
      </c>
      <c r="P409">
        <v>0</v>
      </c>
      <c r="Q409">
        <v>0</v>
      </c>
      <c r="R409" t="s">
        <v>41251</v>
      </c>
      <c r="S409" t="s">
        <v>41369</v>
      </c>
      <c r="T409" t="s">
        <v>42703</v>
      </c>
      <c r="U409" t="s">
        <v>43560</v>
      </c>
      <c r="W409" t="s">
        <v>37666</v>
      </c>
      <c r="X409" t="s">
        <v>41252</v>
      </c>
    </row>
    <row r="410" spans="1:24">
      <c r="A410">
        <f>HYPERLINK("https://www.philgeps.gov.ph/GEPSNONPILOT/Tender/SplashBidNoticeAbstractUI.aspx?menuIndex=3&amp;refID=7076421&amp;Result=3","7076421")</f>
        <v>0</v>
      </c>
      <c r="B410" t="s">
        <v>226</v>
      </c>
      <c r="C410" t="s">
        <v>3764</v>
      </c>
      <c r="D410" t="s">
        <v>16637</v>
      </c>
      <c r="E410" t="s">
        <v>17101</v>
      </c>
      <c r="F410" t="s">
        <v>28669</v>
      </c>
      <c r="G410" t="s">
        <v>28675</v>
      </c>
      <c r="H410" t="s">
        <v>9998</v>
      </c>
      <c r="I410" t="s">
        <v>7352</v>
      </c>
      <c r="J410" t="s">
        <v>29156</v>
      </c>
      <c r="K410" t="s">
        <v>37210</v>
      </c>
      <c r="M410" t="s">
        <v>37704</v>
      </c>
      <c r="N410" t="s">
        <v>41249</v>
      </c>
      <c r="O410" t="s">
        <v>41250</v>
      </c>
      <c r="P410">
        <v>0</v>
      </c>
      <c r="Q410">
        <v>1</v>
      </c>
      <c r="R410" t="s">
        <v>41251</v>
      </c>
      <c r="S410" t="s">
        <v>41369</v>
      </c>
      <c r="T410" t="s">
        <v>42761</v>
      </c>
      <c r="U410" t="s">
        <v>43561</v>
      </c>
      <c r="W410" t="s">
        <v>37704</v>
      </c>
      <c r="X410" t="s">
        <v>41252</v>
      </c>
    </row>
    <row r="411" spans="1:24">
      <c r="A411">
        <f>HYPERLINK("https://www.philgeps.gov.ph/GEPSNONPILOT/Tender/SplashBidNoticeAbstractUI.aspx?menuIndex=3&amp;refID=7076419&amp;Result=3","7076419")</f>
        <v>0</v>
      </c>
      <c r="B411" t="s">
        <v>235</v>
      </c>
      <c r="C411" t="s">
        <v>3765</v>
      </c>
      <c r="D411" t="s">
        <v>16615</v>
      </c>
      <c r="E411" t="s">
        <v>17102</v>
      </c>
      <c r="F411" t="s">
        <v>28669</v>
      </c>
      <c r="G411" t="s">
        <v>28676</v>
      </c>
      <c r="H411" t="s">
        <v>9998</v>
      </c>
      <c r="I411" t="s">
        <v>28734</v>
      </c>
      <c r="J411" t="s">
        <v>29157</v>
      </c>
      <c r="K411" t="s">
        <v>37209</v>
      </c>
      <c r="M411" t="s">
        <v>37713</v>
      </c>
      <c r="N411" t="s">
        <v>41249</v>
      </c>
      <c r="O411" t="s">
        <v>41250</v>
      </c>
      <c r="P411">
        <v>0</v>
      </c>
      <c r="Q411">
        <v>0</v>
      </c>
      <c r="R411" t="s">
        <v>41251</v>
      </c>
      <c r="S411" t="s">
        <v>41369</v>
      </c>
      <c r="T411" t="s">
        <v>42711</v>
      </c>
      <c r="U411" t="s">
        <v>43562</v>
      </c>
      <c r="V411" t="s">
        <v>54311</v>
      </c>
      <c r="W411" t="s">
        <v>55904</v>
      </c>
      <c r="X411" t="s">
        <v>41252</v>
      </c>
    </row>
    <row r="412" spans="1:24">
      <c r="A412">
        <f>HYPERLINK("https://www.philgeps.gov.ph/GEPSNONPILOT/Tender/SplashBidNoticeAbstractUI.aspx?menuIndex=3&amp;refID=7076417&amp;Result=3","7076417")</f>
        <v>0</v>
      </c>
      <c r="B412" t="s">
        <v>236</v>
      </c>
      <c r="C412" t="s">
        <v>3766</v>
      </c>
      <c r="D412" t="s">
        <v>16663</v>
      </c>
      <c r="E412" t="s">
        <v>17103</v>
      </c>
      <c r="F412" t="s">
        <v>28669</v>
      </c>
      <c r="G412" t="s">
        <v>28675</v>
      </c>
      <c r="H412" t="s">
        <v>9998</v>
      </c>
      <c r="I412" t="s">
        <v>28735</v>
      </c>
      <c r="J412" t="s">
        <v>29158</v>
      </c>
      <c r="K412" t="s">
        <v>37206</v>
      </c>
      <c r="M412" t="s">
        <v>37714</v>
      </c>
      <c r="N412" t="s">
        <v>41249</v>
      </c>
      <c r="O412" t="s">
        <v>41250</v>
      </c>
      <c r="P412">
        <v>0</v>
      </c>
      <c r="Q412">
        <v>0</v>
      </c>
      <c r="R412" t="s">
        <v>41251</v>
      </c>
      <c r="S412" t="s">
        <v>41369</v>
      </c>
      <c r="T412" t="s">
        <v>42762</v>
      </c>
      <c r="U412" t="s">
        <v>43563</v>
      </c>
      <c r="W412" t="s">
        <v>37714</v>
      </c>
      <c r="X412" t="s">
        <v>41252</v>
      </c>
    </row>
    <row r="413" spans="1:24">
      <c r="A413">
        <f>HYPERLINK("https://www.philgeps.gov.ph/GEPSNONPILOT/Tender/SplashBidNoticeAbstractUI.aspx?menuIndex=3&amp;refID=7076427&amp;Result=3","7076427")</f>
        <v>0</v>
      </c>
      <c r="B413" t="s">
        <v>237</v>
      </c>
      <c r="C413" t="s">
        <v>3767</v>
      </c>
      <c r="D413" t="s">
        <v>16649</v>
      </c>
      <c r="E413" t="s">
        <v>17104</v>
      </c>
      <c r="F413" t="s">
        <v>28669</v>
      </c>
      <c r="G413" t="s">
        <v>28675</v>
      </c>
      <c r="H413" t="s">
        <v>9998</v>
      </c>
      <c r="I413" t="s">
        <v>28687</v>
      </c>
      <c r="J413" t="s">
        <v>28924</v>
      </c>
      <c r="K413" t="s">
        <v>37231</v>
      </c>
      <c r="M413" t="s">
        <v>37715</v>
      </c>
      <c r="N413" t="s">
        <v>41249</v>
      </c>
      <c r="O413" t="s">
        <v>41250</v>
      </c>
      <c r="P413">
        <v>0</v>
      </c>
      <c r="Q413">
        <v>5</v>
      </c>
      <c r="R413" t="s">
        <v>41251</v>
      </c>
      <c r="S413" t="s">
        <v>41369</v>
      </c>
      <c r="T413" t="s">
        <v>42714</v>
      </c>
      <c r="U413" t="s">
        <v>43564</v>
      </c>
      <c r="W413" t="s">
        <v>37715</v>
      </c>
      <c r="X413" t="s">
        <v>41252</v>
      </c>
    </row>
    <row r="414" spans="1:24">
      <c r="A414">
        <f>HYPERLINK("https://www.philgeps.gov.ph/GEPSNONPILOT/Tender/SplashBidNoticeAbstractUI.aspx?menuIndex=3&amp;refID=7076415&amp;Result=3","7076415")</f>
        <v>0</v>
      </c>
      <c r="B414" t="s">
        <v>238</v>
      </c>
      <c r="C414" t="s">
        <v>3768</v>
      </c>
      <c r="D414" t="s">
        <v>16640</v>
      </c>
      <c r="E414" t="s">
        <v>17105</v>
      </c>
      <c r="F414" t="s">
        <v>28669</v>
      </c>
      <c r="G414" t="s">
        <v>28675</v>
      </c>
      <c r="H414" t="s">
        <v>9998</v>
      </c>
      <c r="I414" t="s">
        <v>28690</v>
      </c>
      <c r="J414" t="s">
        <v>29159</v>
      </c>
      <c r="K414" t="s">
        <v>37209</v>
      </c>
      <c r="M414" t="s">
        <v>37716</v>
      </c>
      <c r="N414" t="s">
        <v>41249</v>
      </c>
      <c r="O414" t="s">
        <v>41250</v>
      </c>
      <c r="P414">
        <v>0</v>
      </c>
      <c r="Q414">
        <v>1</v>
      </c>
      <c r="R414" t="s">
        <v>41251</v>
      </c>
      <c r="S414" t="s">
        <v>41369</v>
      </c>
      <c r="T414" t="s">
        <v>42661</v>
      </c>
      <c r="U414" t="s">
        <v>43565</v>
      </c>
      <c r="W414" t="s">
        <v>37716</v>
      </c>
      <c r="X414" t="s">
        <v>41252</v>
      </c>
    </row>
    <row r="415" spans="1:24">
      <c r="A415">
        <f>HYPERLINK("https://www.philgeps.gov.ph/GEPSNONPILOT/Tender/SplashBidNoticeAbstractUI.aspx?menuIndex=3&amp;refID=7076413&amp;Result=3","7076413")</f>
        <v>0</v>
      </c>
      <c r="B415" t="s">
        <v>142</v>
      </c>
      <c r="C415" t="s">
        <v>3769</v>
      </c>
      <c r="E415" t="s">
        <v>17106</v>
      </c>
      <c r="F415" t="s">
        <v>28669</v>
      </c>
      <c r="G415" t="s">
        <v>28677</v>
      </c>
      <c r="H415" t="s">
        <v>9998</v>
      </c>
      <c r="I415" t="s">
        <v>28688</v>
      </c>
      <c r="J415" t="s">
        <v>29160</v>
      </c>
      <c r="K415" t="s">
        <v>37209</v>
      </c>
      <c r="M415" t="s">
        <v>37619</v>
      </c>
      <c r="N415" t="s">
        <v>41249</v>
      </c>
      <c r="O415" t="s">
        <v>41250</v>
      </c>
      <c r="P415">
        <v>0</v>
      </c>
      <c r="Q415">
        <v>16</v>
      </c>
      <c r="R415" t="s">
        <v>41251</v>
      </c>
      <c r="S415" t="s">
        <v>41369</v>
      </c>
      <c r="T415" t="s">
        <v>42738</v>
      </c>
      <c r="U415" t="s">
        <v>43399</v>
      </c>
      <c r="W415" t="s">
        <v>37619</v>
      </c>
      <c r="X415" t="s">
        <v>41252</v>
      </c>
    </row>
    <row r="416" spans="1:24">
      <c r="A416">
        <f>HYPERLINK("https://www.philgeps.gov.ph/GEPSNONPILOT/Tender/SplashBidNoticeAbstractUI.aspx?menuIndex=3&amp;refID=7076422&amp;Result=3","7076422")</f>
        <v>0</v>
      </c>
      <c r="B416" t="s">
        <v>239</v>
      </c>
      <c r="C416" t="s">
        <v>3770</v>
      </c>
      <c r="D416" t="s">
        <v>16621</v>
      </c>
      <c r="E416" t="s">
        <v>17107</v>
      </c>
      <c r="F416" t="s">
        <v>28669</v>
      </c>
      <c r="G416" t="s">
        <v>28676</v>
      </c>
      <c r="H416" t="s">
        <v>9998</v>
      </c>
      <c r="I416" t="s">
        <v>28722</v>
      </c>
      <c r="J416" t="s">
        <v>29161</v>
      </c>
      <c r="K416" t="s">
        <v>37204</v>
      </c>
      <c r="M416" t="s">
        <v>37717</v>
      </c>
      <c r="N416" t="s">
        <v>41249</v>
      </c>
      <c r="O416" t="s">
        <v>41250</v>
      </c>
      <c r="P416">
        <v>0</v>
      </c>
      <c r="Q416">
        <v>1</v>
      </c>
      <c r="R416" t="s">
        <v>41251</v>
      </c>
      <c r="S416" t="s">
        <v>41369</v>
      </c>
      <c r="T416" t="s">
        <v>42703</v>
      </c>
      <c r="U416" t="s">
        <v>43566</v>
      </c>
      <c r="W416" t="s">
        <v>37717</v>
      </c>
      <c r="X416" t="s">
        <v>41252</v>
      </c>
    </row>
    <row r="417" spans="1:24">
      <c r="A417">
        <f>HYPERLINK("https://www.philgeps.gov.ph/GEPSNONPILOT/Tender/SplashBidNoticeAbstractUI.aspx?menuIndex=3&amp;refID=7076410&amp;Result=3","7076410")</f>
        <v>0</v>
      </c>
      <c r="B417" t="s">
        <v>169</v>
      </c>
      <c r="C417" t="s">
        <v>3771</v>
      </c>
      <c r="D417" t="s">
        <v>16611</v>
      </c>
      <c r="E417" t="s">
        <v>17108</v>
      </c>
      <c r="F417" t="s">
        <v>28669</v>
      </c>
      <c r="G417" t="s">
        <v>28675</v>
      </c>
      <c r="H417" t="s">
        <v>9998</v>
      </c>
      <c r="I417" t="s">
        <v>28695</v>
      </c>
      <c r="J417" t="s">
        <v>29162</v>
      </c>
      <c r="K417" t="s">
        <v>37238</v>
      </c>
      <c r="M417" t="s">
        <v>37646</v>
      </c>
      <c r="N417" t="s">
        <v>41249</v>
      </c>
      <c r="O417" t="s">
        <v>41250</v>
      </c>
      <c r="P417">
        <v>0</v>
      </c>
      <c r="Q417">
        <v>0</v>
      </c>
      <c r="R417" t="s">
        <v>41251</v>
      </c>
      <c r="S417" t="s">
        <v>41369</v>
      </c>
      <c r="T417" t="s">
        <v>42688</v>
      </c>
      <c r="U417" t="s">
        <v>43567</v>
      </c>
      <c r="V417" t="s">
        <v>54294</v>
      </c>
      <c r="W417" t="s">
        <v>37646</v>
      </c>
      <c r="X417" t="s">
        <v>41252</v>
      </c>
    </row>
    <row r="418" spans="1:24">
      <c r="A418">
        <f>HYPERLINK("https://www.philgeps.gov.ph/GEPSNONPILOT/Tender/SplashBidNoticeAbstractUI.aspx?menuIndex=3&amp;refID=7076409&amp;Result=3","7076409")</f>
        <v>0</v>
      </c>
      <c r="B418" t="s">
        <v>186</v>
      </c>
      <c r="C418" t="s">
        <v>3772</v>
      </c>
      <c r="D418" t="s">
        <v>16654</v>
      </c>
      <c r="E418" t="s">
        <v>17109</v>
      </c>
      <c r="F418" t="s">
        <v>28669</v>
      </c>
      <c r="G418" t="s">
        <v>28676</v>
      </c>
      <c r="H418" t="s">
        <v>28686</v>
      </c>
      <c r="I418" t="s">
        <v>28689</v>
      </c>
      <c r="J418" t="s">
        <v>28905</v>
      </c>
      <c r="K418" t="s">
        <v>37205</v>
      </c>
      <c r="M418" t="s">
        <v>37664</v>
      </c>
      <c r="N418" t="s">
        <v>41249</v>
      </c>
      <c r="O418" t="s">
        <v>41250</v>
      </c>
      <c r="P418">
        <v>0</v>
      </c>
      <c r="Q418">
        <v>0</v>
      </c>
      <c r="R418" t="s">
        <v>41251</v>
      </c>
      <c r="S418" t="s">
        <v>41369</v>
      </c>
      <c r="T418" t="s">
        <v>42675</v>
      </c>
      <c r="U418" t="s">
        <v>43568</v>
      </c>
      <c r="W418" t="s">
        <v>37664</v>
      </c>
      <c r="X418" t="s">
        <v>41252</v>
      </c>
    </row>
    <row r="419" spans="1:24">
      <c r="A419">
        <f>HYPERLINK("https://www.philgeps.gov.ph/GEPSNONPILOT/Tender/SplashBidNoticeAbstractUI.aspx?menuIndex=3&amp;refID=7076394&amp;Result=3","7076394")</f>
        <v>0</v>
      </c>
      <c r="B419" t="s">
        <v>221</v>
      </c>
      <c r="C419" t="s">
        <v>3773</v>
      </c>
      <c r="E419" t="s">
        <v>17110</v>
      </c>
      <c r="F419" t="s">
        <v>28669</v>
      </c>
      <c r="G419" t="s">
        <v>28676</v>
      </c>
      <c r="H419" t="s">
        <v>9998</v>
      </c>
      <c r="I419" t="s">
        <v>7352</v>
      </c>
      <c r="J419" t="s">
        <v>29163</v>
      </c>
      <c r="K419" t="s">
        <v>37209</v>
      </c>
      <c r="M419" t="s">
        <v>37699</v>
      </c>
      <c r="N419" t="s">
        <v>41249</v>
      </c>
      <c r="O419" t="s">
        <v>41250</v>
      </c>
      <c r="P419">
        <v>0</v>
      </c>
      <c r="Q419">
        <v>0</v>
      </c>
      <c r="R419" t="s">
        <v>41251</v>
      </c>
      <c r="S419" t="s">
        <v>41369</v>
      </c>
      <c r="T419" t="s">
        <v>42759</v>
      </c>
      <c r="U419" t="s">
        <v>43569</v>
      </c>
      <c r="W419" t="s">
        <v>37699</v>
      </c>
      <c r="X419" t="s">
        <v>41252</v>
      </c>
    </row>
    <row r="420" spans="1:24">
      <c r="A420">
        <f>HYPERLINK("https://www.philgeps.gov.ph/GEPSNONPILOT/Tender/SplashBidNoticeAbstractUI.aspx?menuIndex=3&amp;refID=7076418&amp;Result=3","7076418")</f>
        <v>0</v>
      </c>
      <c r="B420" t="s">
        <v>240</v>
      </c>
      <c r="C420" t="s">
        <v>3774</v>
      </c>
      <c r="D420" t="s">
        <v>16676</v>
      </c>
      <c r="E420" t="s">
        <v>17111</v>
      </c>
      <c r="F420" t="s">
        <v>28669</v>
      </c>
      <c r="G420" t="s">
        <v>28675</v>
      </c>
      <c r="H420" t="s">
        <v>28686</v>
      </c>
      <c r="I420" t="s">
        <v>7352</v>
      </c>
      <c r="J420" t="s">
        <v>29164</v>
      </c>
      <c r="K420" t="s">
        <v>37209</v>
      </c>
      <c r="M420" t="s">
        <v>37718</v>
      </c>
      <c r="N420" t="s">
        <v>41249</v>
      </c>
      <c r="O420" t="s">
        <v>41250</v>
      </c>
      <c r="P420">
        <v>0</v>
      </c>
      <c r="Q420">
        <v>0</v>
      </c>
      <c r="R420" t="s">
        <v>41251</v>
      </c>
      <c r="S420" t="s">
        <v>41369</v>
      </c>
      <c r="T420" t="s">
        <v>42664</v>
      </c>
      <c r="U420" t="s">
        <v>43570</v>
      </c>
      <c r="V420" t="s">
        <v>54312</v>
      </c>
      <c r="W420" t="s">
        <v>37718</v>
      </c>
      <c r="X420" t="s">
        <v>41252</v>
      </c>
    </row>
    <row r="421" spans="1:24">
      <c r="A421">
        <f>HYPERLINK("https://www.philgeps.gov.ph/GEPSNONPILOT/Tender/SplashBidNoticeAbstractUI.aspx?menuIndex=3&amp;refID=7076408&amp;Result=3","7076408")</f>
        <v>0</v>
      </c>
      <c r="B421" t="s">
        <v>215</v>
      </c>
      <c r="C421" t="s">
        <v>3775</v>
      </c>
      <c r="D421" t="s">
        <v>16631</v>
      </c>
      <c r="E421" t="s">
        <v>17112</v>
      </c>
      <c r="F421" t="s">
        <v>28669</v>
      </c>
      <c r="G421" t="s">
        <v>28675</v>
      </c>
      <c r="H421" t="s">
        <v>28686</v>
      </c>
      <c r="I421" t="s">
        <v>28689</v>
      </c>
      <c r="J421" t="s">
        <v>29003</v>
      </c>
      <c r="K421" t="s">
        <v>37220</v>
      </c>
      <c r="M421" t="s">
        <v>37693</v>
      </c>
      <c r="N421" t="s">
        <v>41249</v>
      </c>
      <c r="O421" t="s">
        <v>41250</v>
      </c>
      <c r="P421">
        <v>0</v>
      </c>
      <c r="Q421">
        <v>0</v>
      </c>
      <c r="R421" t="s">
        <v>41251</v>
      </c>
      <c r="S421" t="s">
        <v>41369</v>
      </c>
      <c r="T421" t="s">
        <v>42763</v>
      </c>
      <c r="U421" t="s">
        <v>43528</v>
      </c>
      <c r="W421" t="s">
        <v>37693</v>
      </c>
      <c r="X421" t="s">
        <v>41252</v>
      </c>
    </row>
    <row r="422" spans="1:24">
      <c r="A422">
        <f>HYPERLINK("https://www.philgeps.gov.ph/GEPSNONPILOT/Tender/SplashBidNoticeAbstractUI.aspx?menuIndex=3&amp;refID=7076406&amp;Result=3","7076406")</f>
        <v>0</v>
      </c>
      <c r="B422" t="s">
        <v>241</v>
      </c>
      <c r="C422" t="s">
        <v>3776</v>
      </c>
      <c r="D422" t="s">
        <v>16664</v>
      </c>
      <c r="E422" t="s">
        <v>17113</v>
      </c>
      <c r="F422" t="s">
        <v>28669</v>
      </c>
      <c r="G422" t="s">
        <v>28676</v>
      </c>
      <c r="H422" t="s">
        <v>28684</v>
      </c>
      <c r="I422" t="s">
        <v>7352</v>
      </c>
      <c r="J422" t="s">
        <v>28879</v>
      </c>
      <c r="K422" t="s">
        <v>37205</v>
      </c>
      <c r="M422" t="s">
        <v>37719</v>
      </c>
      <c r="N422" t="s">
        <v>41249</v>
      </c>
      <c r="O422" t="s">
        <v>41250</v>
      </c>
      <c r="P422">
        <v>0</v>
      </c>
      <c r="Q422">
        <v>0</v>
      </c>
      <c r="R422" t="s">
        <v>41251</v>
      </c>
      <c r="S422" t="s">
        <v>41369</v>
      </c>
      <c r="T422" t="s">
        <v>42754</v>
      </c>
      <c r="U422" t="s">
        <v>43571</v>
      </c>
      <c r="W422" t="s">
        <v>37719</v>
      </c>
      <c r="X422" t="s">
        <v>41252</v>
      </c>
    </row>
    <row r="423" spans="1:24">
      <c r="A423">
        <f>HYPERLINK("https://www.philgeps.gov.ph/GEPSNONPILOT/Tender/SplashBidNoticeAbstractUI.aspx?menuIndex=3&amp;refID=7076414&amp;Result=3","7076414")</f>
        <v>0</v>
      </c>
      <c r="B423" t="s">
        <v>242</v>
      </c>
      <c r="C423" t="s">
        <v>3777</v>
      </c>
      <c r="D423" t="s">
        <v>16666</v>
      </c>
      <c r="E423" t="s">
        <v>17114</v>
      </c>
      <c r="F423" t="s">
        <v>28669</v>
      </c>
      <c r="G423" t="s">
        <v>28676</v>
      </c>
      <c r="H423" t="s">
        <v>9998</v>
      </c>
      <c r="I423" t="s">
        <v>28700</v>
      </c>
      <c r="J423" t="s">
        <v>29165</v>
      </c>
      <c r="K423" t="s">
        <v>37204</v>
      </c>
      <c r="M423" t="s">
        <v>37720</v>
      </c>
      <c r="N423" t="s">
        <v>41249</v>
      </c>
      <c r="O423" t="s">
        <v>41250</v>
      </c>
      <c r="P423">
        <v>0</v>
      </c>
      <c r="Q423">
        <v>3</v>
      </c>
      <c r="R423" t="s">
        <v>41251</v>
      </c>
      <c r="S423" t="s">
        <v>41369</v>
      </c>
      <c r="T423" t="s">
        <v>42711</v>
      </c>
      <c r="U423" t="s">
        <v>43572</v>
      </c>
      <c r="W423" t="s">
        <v>37720</v>
      </c>
      <c r="X423" t="s">
        <v>41252</v>
      </c>
    </row>
    <row r="424" spans="1:24">
      <c r="A424">
        <f>HYPERLINK("https://www.philgeps.gov.ph/GEPSNONPILOT/Tender/SplashBidNoticeAbstractUI.aspx?menuIndex=3&amp;refID=7076402&amp;Result=3","7076402")</f>
        <v>0</v>
      </c>
      <c r="B424" t="s">
        <v>243</v>
      </c>
      <c r="C424" t="s">
        <v>3778</v>
      </c>
      <c r="D424" t="s">
        <v>16618</v>
      </c>
      <c r="E424" t="s">
        <v>17115</v>
      </c>
      <c r="F424" t="s">
        <v>28669</v>
      </c>
      <c r="G424" t="s">
        <v>28675</v>
      </c>
      <c r="H424" t="s">
        <v>28686</v>
      </c>
      <c r="I424" t="s">
        <v>28689</v>
      </c>
      <c r="J424" t="s">
        <v>29166</v>
      </c>
      <c r="K424" t="s">
        <v>37220</v>
      </c>
      <c r="M424" t="s">
        <v>37721</v>
      </c>
      <c r="N424" t="s">
        <v>41249</v>
      </c>
      <c r="O424" t="s">
        <v>41250</v>
      </c>
      <c r="P424">
        <v>0</v>
      </c>
      <c r="Q424">
        <v>1</v>
      </c>
      <c r="R424" t="s">
        <v>41251</v>
      </c>
      <c r="S424" t="s">
        <v>41369</v>
      </c>
      <c r="T424" t="s">
        <v>42659</v>
      </c>
      <c r="U424" t="s">
        <v>43573</v>
      </c>
      <c r="W424" t="s">
        <v>37721</v>
      </c>
      <c r="X424" t="s">
        <v>41252</v>
      </c>
    </row>
    <row r="425" spans="1:24">
      <c r="A425">
        <f>HYPERLINK("https://www.philgeps.gov.ph/GEPSNONPILOT/Tender/SplashBidNoticeAbstractUI.aspx?menuIndex=3&amp;refID=7076411&amp;Result=3","7076411")</f>
        <v>0</v>
      </c>
      <c r="B425" t="s">
        <v>244</v>
      </c>
      <c r="C425" t="s">
        <v>3779</v>
      </c>
      <c r="D425" t="s">
        <v>16654</v>
      </c>
      <c r="E425" t="s">
        <v>17116</v>
      </c>
      <c r="F425" t="s">
        <v>28669</v>
      </c>
      <c r="G425" t="s">
        <v>28676</v>
      </c>
      <c r="H425" t="s">
        <v>9998</v>
      </c>
      <c r="I425" t="s">
        <v>6606</v>
      </c>
      <c r="J425" t="s">
        <v>29167</v>
      </c>
      <c r="K425" t="s">
        <v>37204</v>
      </c>
      <c r="M425" t="s">
        <v>37722</v>
      </c>
      <c r="N425" t="s">
        <v>41249</v>
      </c>
      <c r="O425" t="s">
        <v>41250</v>
      </c>
      <c r="P425">
        <v>0</v>
      </c>
      <c r="Q425">
        <v>0</v>
      </c>
      <c r="R425" t="s">
        <v>41251</v>
      </c>
      <c r="S425" t="s">
        <v>41369</v>
      </c>
      <c r="T425" t="s">
        <v>42738</v>
      </c>
      <c r="U425" t="s">
        <v>43574</v>
      </c>
      <c r="W425" t="s">
        <v>37722</v>
      </c>
      <c r="X425" t="s">
        <v>41252</v>
      </c>
    </row>
    <row r="426" spans="1:24">
      <c r="A426">
        <f>HYPERLINK("https://www.philgeps.gov.ph/GEPSNONPILOT/Tender/SplashBidNoticeAbstractUI.aspx?menuIndex=3&amp;refID=7076380&amp;Result=3","7076380")</f>
        <v>0</v>
      </c>
      <c r="B426" t="s">
        <v>136</v>
      </c>
      <c r="C426" t="s">
        <v>3780</v>
      </c>
      <c r="D426" t="s">
        <v>16642</v>
      </c>
      <c r="E426" t="s">
        <v>17117</v>
      </c>
      <c r="F426" t="s">
        <v>28669</v>
      </c>
      <c r="G426" t="s">
        <v>28676</v>
      </c>
      <c r="H426" t="s">
        <v>9998</v>
      </c>
      <c r="I426" t="s">
        <v>28714</v>
      </c>
      <c r="J426" t="s">
        <v>29133</v>
      </c>
      <c r="K426" t="s">
        <v>37206</v>
      </c>
      <c r="M426" t="s">
        <v>37613</v>
      </c>
      <c r="N426" t="s">
        <v>41249</v>
      </c>
      <c r="O426" t="s">
        <v>41250</v>
      </c>
      <c r="P426">
        <v>0</v>
      </c>
      <c r="Q426">
        <v>2</v>
      </c>
      <c r="R426" t="s">
        <v>41251</v>
      </c>
      <c r="S426" t="s">
        <v>41369</v>
      </c>
      <c r="T426" t="s">
        <v>42735</v>
      </c>
      <c r="U426" t="s">
        <v>43575</v>
      </c>
      <c r="V426" t="s">
        <v>54313</v>
      </c>
      <c r="W426" t="s">
        <v>55905</v>
      </c>
      <c r="X426" t="s">
        <v>41252</v>
      </c>
    </row>
    <row r="427" spans="1:24">
      <c r="A427">
        <f>HYPERLINK("https://www.philgeps.gov.ph/GEPSNONPILOT/Tender/SplashBidNoticeAbstractUI.aspx?menuIndex=3&amp;refID=7076379&amp;Result=3","7076379")</f>
        <v>0</v>
      </c>
      <c r="B427" t="s">
        <v>197</v>
      </c>
      <c r="C427" t="s">
        <v>3781</v>
      </c>
      <c r="D427" t="s">
        <v>16609</v>
      </c>
      <c r="E427" t="s">
        <v>17118</v>
      </c>
      <c r="F427" t="s">
        <v>28669</v>
      </c>
      <c r="G427" t="s">
        <v>28676</v>
      </c>
      <c r="H427" t="s">
        <v>9998</v>
      </c>
      <c r="I427" t="s">
        <v>28732</v>
      </c>
      <c r="J427" t="s">
        <v>29168</v>
      </c>
      <c r="K427" t="s">
        <v>37206</v>
      </c>
      <c r="M427" t="s">
        <v>37675</v>
      </c>
      <c r="N427" t="s">
        <v>41249</v>
      </c>
      <c r="O427" t="s">
        <v>41250</v>
      </c>
      <c r="P427">
        <v>0</v>
      </c>
      <c r="Q427">
        <v>1</v>
      </c>
      <c r="R427" t="s">
        <v>41251</v>
      </c>
      <c r="S427" t="s">
        <v>41369</v>
      </c>
      <c r="T427" t="s">
        <v>42679</v>
      </c>
      <c r="U427" t="s">
        <v>43491</v>
      </c>
      <c r="W427" t="s">
        <v>37675</v>
      </c>
      <c r="X427" t="s">
        <v>41252</v>
      </c>
    </row>
    <row r="428" spans="1:24">
      <c r="A428">
        <f>HYPERLINK("https://www.philgeps.gov.ph/GEPSNONPILOT/Tender/SplashBidNoticeAbstractUI.aspx?menuIndex=3&amp;refID=7076375&amp;Result=3","7076375")</f>
        <v>0</v>
      </c>
      <c r="B428" t="s">
        <v>186</v>
      </c>
      <c r="C428" t="s">
        <v>3782</v>
      </c>
      <c r="D428" t="s">
        <v>16654</v>
      </c>
      <c r="E428" t="s">
        <v>17119</v>
      </c>
      <c r="F428" t="s">
        <v>28669</v>
      </c>
      <c r="G428" t="s">
        <v>28676</v>
      </c>
      <c r="H428" t="s">
        <v>28686</v>
      </c>
      <c r="I428" t="s">
        <v>28689</v>
      </c>
      <c r="J428" t="s">
        <v>29169</v>
      </c>
      <c r="K428" t="s">
        <v>37210</v>
      </c>
      <c r="M428" t="s">
        <v>37664</v>
      </c>
      <c r="N428" t="s">
        <v>41249</v>
      </c>
      <c r="O428" t="s">
        <v>41250</v>
      </c>
      <c r="P428">
        <v>0</v>
      </c>
      <c r="Q428">
        <v>0</v>
      </c>
      <c r="R428" t="s">
        <v>41251</v>
      </c>
      <c r="S428" t="s">
        <v>41369</v>
      </c>
      <c r="T428" t="s">
        <v>42675</v>
      </c>
      <c r="U428" t="s">
        <v>43576</v>
      </c>
      <c r="W428" t="s">
        <v>37664</v>
      </c>
      <c r="X428" t="s">
        <v>41252</v>
      </c>
    </row>
    <row r="429" spans="1:24">
      <c r="A429">
        <f>HYPERLINK("https://www.philgeps.gov.ph/GEPSNONPILOT/Tender/SplashBidNoticeAbstractUI.aspx?menuIndex=3&amp;refID=7076374&amp;Result=3","7076374")</f>
        <v>0</v>
      </c>
      <c r="B429" t="s">
        <v>172</v>
      </c>
      <c r="C429" t="s">
        <v>3783</v>
      </c>
      <c r="D429" t="s">
        <v>16625</v>
      </c>
      <c r="E429" t="s">
        <v>17049</v>
      </c>
      <c r="F429" t="s">
        <v>28669</v>
      </c>
      <c r="G429" t="s">
        <v>28679</v>
      </c>
      <c r="H429" t="s">
        <v>9998</v>
      </c>
      <c r="I429" t="s">
        <v>28690</v>
      </c>
      <c r="J429" t="s">
        <v>29170</v>
      </c>
      <c r="K429" t="s">
        <v>37209</v>
      </c>
      <c r="M429" t="s">
        <v>37649</v>
      </c>
      <c r="N429" t="s">
        <v>41249</v>
      </c>
      <c r="O429" t="s">
        <v>41250</v>
      </c>
      <c r="P429">
        <v>0</v>
      </c>
      <c r="Q429">
        <v>1</v>
      </c>
      <c r="R429" t="s">
        <v>41251</v>
      </c>
      <c r="S429" t="s">
        <v>41369</v>
      </c>
      <c r="T429" t="s">
        <v>42717</v>
      </c>
      <c r="U429" t="s">
        <v>43577</v>
      </c>
      <c r="W429" t="s">
        <v>37649</v>
      </c>
      <c r="X429" t="s">
        <v>41252</v>
      </c>
    </row>
    <row r="430" spans="1:24">
      <c r="A430">
        <f>HYPERLINK("https://www.philgeps.gov.ph/GEPSNONPILOT/Tender/SplashBidNoticeAbstractUI.aspx?menuIndex=3&amp;refID=7069232&amp;Result=3","7069232")</f>
        <v>0</v>
      </c>
      <c r="B430" t="s">
        <v>245</v>
      </c>
      <c r="C430" t="s">
        <v>3784</v>
      </c>
      <c r="D430" t="s">
        <v>16616</v>
      </c>
      <c r="E430" t="s">
        <v>17120</v>
      </c>
      <c r="F430" t="s">
        <v>28669</v>
      </c>
      <c r="G430" t="s">
        <v>28675</v>
      </c>
      <c r="H430" t="s">
        <v>28686</v>
      </c>
      <c r="I430" t="s">
        <v>28689</v>
      </c>
      <c r="J430" t="s">
        <v>28826</v>
      </c>
      <c r="K430" t="s">
        <v>37206</v>
      </c>
      <c r="M430" t="s">
        <v>37723</v>
      </c>
      <c r="N430" t="s">
        <v>41249</v>
      </c>
      <c r="O430" t="s">
        <v>41250</v>
      </c>
      <c r="P430">
        <v>0</v>
      </c>
      <c r="Q430">
        <v>0</v>
      </c>
      <c r="R430" t="s">
        <v>41251</v>
      </c>
      <c r="S430" t="s">
        <v>41369</v>
      </c>
      <c r="T430" t="s">
        <v>42667</v>
      </c>
      <c r="U430" t="s">
        <v>43578</v>
      </c>
      <c r="W430" t="s">
        <v>37723</v>
      </c>
      <c r="X430" t="s">
        <v>41258</v>
      </c>
    </row>
    <row r="431" spans="1:24">
      <c r="A431">
        <f>HYPERLINK("https://www.philgeps.gov.ph/GEPSNONPILOT/Tender/SplashBidNoticeAbstractUI.aspx?menuIndex=3&amp;refID=7069181&amp;Result=3","7069181")</f>
        <v>0</v>
      </c>
      <c r="B431" t="s">
        <v>42</v>
      </c>
      <c r="C431" t="s">
        <v>3785</v>
      </c>
      <c r="D431" t="s">
        <v>16623</v>
      </c>
      <c r="E431" t="s">
        <v>17121</v>
      </c>
      <c r="F431" t="s">
        <v>28669</v>
      </c>
      <c r="G431" t="s">
        <v>28675</v>
      </c>
      <c r="H431" t="s">
        <v>9998</v>
      </c>
      <c r="I431" t="s">
        <v>28704</v>
      </c>
      <c r="J431" t="s">
        <v>29171</v>
      </c>
      <c r="K431" t="s">
        <v>37206</v>
      </c>
      <c r="M431" t="s">
        <v>37517</v>
      </c>
      <c r="N431" t="s">
        <v>41249</v>
      </c>
      <c r="O431" t="s">
        <v>41250</v>
      </c>
      <c r="P431">
        <v>0</v>
      </c>
      <c r="Q431">
        <v>0</v>
      </c>
      <c r="R431" t="s">
        <v>41251</v>
      </c>
      <c r="S431" t="s">
        <v>41369</v>
      </c>
      <c r="T431" t="s">
        <v>42678</v>
      </c>
      <c r="U431" t="s">
        <v>43579</v>
      </c>
      <c r="W431" t="s">
        <v>37517</v>
      </c>
      <c r="X431" t="s">
        <v>41258</v>
      </c>
    </row>
    <row r="432" spans="1:24">
      <c r="A432">
        <f>HYPERLINK("https://www.philgeps.gov.ph/GEPSNONPILOT/Tender/SplashBidNoticeAbstractUI.aspx?menuIndex=3&amp;refID=7069087&amp;Result=3","7069087")</f>
        <v>0</v>
      </c>
      <c r="B432" t="s">
        <v>53</v>
      </c>
      <c r="C432" t="s">
        <v>3786</v>
      </c>
      <c r="D432" t="s">
        <v>16632</v>
      </c>
      <c r="E432" t="s">
        <v>17122</v>
      </c>
      <c r="F432" t="s">
        <v>28669</v>
      </c>
      <c r="G432" t="s">
        <v>28675</v>
      </c>
      <c r="H432" t="s">
        <v>28686</v>
      </c>
      <c r="I432" t="s">
        <v>28689</v>
      </c>
      <c r="J432" t="s">
        <v>29172</v>
      </c>
      <c r="K432" t="s">
        <v>37250</v>
      </c>
      <c r="M432" t="s">
        <v>37528</v>
      </c>
      <c r="N432" t="s">
        <v>41249</v>
      </c>
      <c r="O432" t="s">
        <v>41250</v>
      </c>
      <c r="P432">
        <v>0</v>
      </c>
      <c r="Q432">
        <v>0</v>
      </c>
      <c r="R432" t="s">
        <v>41251</v>
      </c>
      <c r="S432" t="s">
        <v>41369</v>
      </c>
      <c r="T432" t="s">
        <v>42664</v>
      </c>
      <c r="U432" t="s">
        <v>43580</v>
      </c>
      <c r="W432" t="s">
        <v>37528</v>
      </c>
      <c r="X432" t="s">
        <v>41258</v>
      </c>
    </row>
    <row r="433" spans="1:24">
      <c r="A433">
        <f>HYPERLINK("https://www.philgeps.gov.ph/GEPSNONPILOT/Tender/SplashBidNoticeAbstractUI.aspx?menuIndex=3&amp;refID=7068722&amp;Result=3","7068722")</f>
        <v>0</v>
      </c>
      <c r="B433" t="s">
        <v>57</v>
      </c>
      <c r="C433" t="s">
        <v>3787</v>
      </c>
      <c r="D433" t="s">
        <v>16634</v>
      </c>
      <c r="E433" t="s">
        <v>17123</v>
      </c>
      <c r="F433" t="s">
        <v>28669</v>
      </c>
      <c r="G433" t="s">
        <v>28675</v>
      </c>
      <c r="H433" t="s">
        <v>9998</v>
      </c>
      <c r="I433" t="s">
        <v>3679</v>
      </c>
      <c r="J433" t="s">
        <v>29173</v>
      </c>
      <c r="K433" t="s">
        <v>37206</v>
      </c>
      <c r="M433" t="s">
        <v>37532</v>
      </c>
      <c r="N433" t="s">
        <v>41249</v>
      </c>
      <c r="O433" t="s">
        <v>41250</v>
      </c>
      <c r="P433">
        <v>0</v>
      </c>
      <c r="Q433">
        <v>0</v>
      </c>
      <c r="R433" t="s">
        <v>41251</v>
      </c>
      <c r="S433" t="s">
        <v>41369</v>
      </c>
      <c r="T433" t="s">
        <v>42692</v>
      </c>
      <c r="U433" t="s">
        <v>43581</v>
      </c>
      <c r="V433" t="s">
        <v>54262</v>
      </c>
      <c r="W433" t="s">
        <v>37532</v>
      </c>
      <c r="X433" t="s">
        <v>41258</v>
      </c>
    </row>
    <row r="434" spans="1:24">
      <c r="A434">
        <f>HYPERLINK("https://www.philgeps.gov.ph/GEPSNONPILOT/Tender/SplashBidNoticeAbstractUI.aspx?menuIndex=3&amp;refID=7068709&amp;Result=3","7068709")</f>
        <v>0</v>
      </c>
      <c r="B434" t="s">
        <v>33</v>
      </c>
      <c r="C434" t="s">
        <v>3788</v>
      </c>
      <c r="D434" t="s">
        <v>16616</v>
      </c>
      <c r="E434" t="s">
        <v>17124</v>
      </c>
      <c r="F434" t="s">
        <v>28669</v>
      </c>
      <c r="G434" t="s">
        <v>28675</v>
      </c>
      <c r="H434" t="s">
        <v>9998</v>
      </c>
      <c r="I434" t="s">
        <v>6128</v>
      </c>
      <c r="J434" t="s">
        <v>29174</v>
      </c>
      <c r="K434" t="s">
        <v>37216</v>
      </c>
      <c r="M434" t="s">
        <v>37508</v>
      </c>
      <c r="N434" t="s">
        <v>41249</v>
      </c>
      <c r="O434" t="s">
        <v>41250</v>
      </c>
      <c r="P434">
        <v>0</v>
      </c>
      <c r="Q434">
        <v>1</v>
      </c>
      <c r="R434" t="s">
        <v>41251</v>
      </c>
      <c r="S434" t="s">
        <v>41369</v>
      </c>
      <c r="T434" t="s">
        <v>42670</v>
      </c>
      <c r="U434" t="s">
        <v>43582</v>
      </c>
      <c r="V434" t="s">
        <v>54252</v>
      </c>
      <c r="W434" t="s">
        <v>37508</v>
      </c>
      <c r="X434" t="s">
        <v>41258</v>
      </c>
    </row>
    <row r="435" spans="1:24">
      <c r="A435">
        <f>HYPERLINK("https://www.philgeps.gov.ph/GEPSNONPILOT/Tender/SplashBidNoticeAbstractUI.aspx?menuIndex=3&amp;refID=7076431&amp;Result=3","7076431")</f>
        <v>0</v>
      </c>
      <c r="B435" t="s">
        <v>246</v>
      </c>
      <c r="C435" t="s">
        <v>3789</v>
      </c>
      <c r="D435" t="s">
        <v>16677</v>
      </c>
      <c r="E435" t="s">
        <v>17125</v>
      </c>
      <c r="F435" t="s">
        <v>28669</v>
      </c>
      <c r="G435" t="s">
        <v>28676</v>
      </c>
      <c r="H435" t="s">
        <v>28684</v>
      </c>
      <c r="I435" t="s">
        <v>28733</v>
      </c>
      <c r="J435" t="s">
        <v>29175</v>
      </c>
      <c r="K435" t="s">
        <v>37206</v>
      </c>
      <c r="M435" t="s">
        <v>37724</v>
      </c>
      <c r="N435" t="s">
        <v>41249</v>
      </c>
      <c r="O435" t="s">
        <v>41250</v>
      </c>
      <c r="P435">
        <v>0</v>
      </c>
      <c r="Q435">
        <v>2</v>
      </c>
      <c r="R435" t="s">
        <v>41251</v>
      </c>
      <c r="S435" t="s">
        <v>41369</v>
      </c>
      <c r="T435" t="s">
        <v>42717</v>
      </c>
      <c r="U435" t="s">
        <v>43583</v>
      </c>
      <c r="W435" t="s">
        <v>37724</v>
      </c>
      <c r="X435" t="s">
        <v>41252</v>
      </c>
    </row>
    <row r="436" spans="1:24">
      <c r="A436">
        <f>HYPERLINK("https://www.philgeps.gov.ph/GEPSNONPILOT/Tender/SplashBidNoticeAbstractUI.aspx?menuIndex=3&amp;refID=7076403&amp;Result=3","7076403")</f>
        <v>0</v>
      </c>
      <c r="B436" t="s">
        <v>247</v>
      </c>
      <c r="C436" t="s">
        <v>3790</v>
      </c>
      <c r="D436" t="s">
        <v>16658</v>
      </c>
      <c r="E436" t="s">
        <v>17126</v>
      </c>
      <c r="F436" t="s">
        <v>28669</v>
      </c>
      <c r="G436" t="s">
        <v>28675</v>
      </c>
      <c r="H436" t="s">
        <v>9998</v>
      </c>
      <c r="I436" t="s">
        <v>7352</v>
      </c>
      <c r="J436" t="s">
        <v>28879</v>
      </c>
      <c r="K436" t="s">
        <v>37204</v>
      </c>
      <c r="M436" t="s">
        <v>37725</v>
      </c>
      <c r="N436" t="s">
        <v>41249</v>
      </c>
      <c r="O436" t="s">
        <v>41250</v>
      </c>
      <c r="P436">
        <v>0</v>
      </c>
      <c r="Q436">
        <v>0</v>
      </c>
      <c r="R436" t="s">
        <v>41251</v>
      </c>
      <c r="S436" t="s">
        <v>41369</v>
      </c>
      <c r="T436" t="s">
        <v>42714</v>
      </c>
      <c r="U436" t="s">
        <v>43584</v>
      </c>
      <c r="W436" t="s">
        <v>37725</v>
      </c>
      <c r="X436" t="s">
        <v>41252</v>
      </c>
    </row>
    <row r="437" spans="1:24">
      <c r="A437">
        <f>HYPERLINK("https://www.philgeps.gov.ph/GEPSNONPILOT/Tender/SplashBidNoticeAbstractUI.aspx?menuIndex=3&amp;refID=7076430&amp;Result=3","7076430")</f>
        <v>0</v>
      </c>
      <c r="B437" t="s">
        <v>221</v>
      </c>
      <c r="C437" t="s">
        <v>3791</v>
      </c>
      <c r="E437" t="s">
        <v>17127</v>
      </c>
      <c r="F437" t="s">
        <v>28669</v>
      </c>
      <c r="G437" t="s">
        <v>28676</v>
      </c>
      <c r="H437" t="s">
        <v>9998</v>
      </c>
      <c r="I437" t="s">
        <v>15140</v>
      </c>
      <c r="J437" t="s">
        <v>28874</v>
      </c>
      <c r="K437" t="s">
        <v>37209</v>
      </c>
      <c r="M437" t="s">
        <v>37699</v>
      </c>
      <c r="N437" t="s">
        <v>41249</v>
      </c>
      <c r="O437" t="s">
        <v>41250</v>
      </c>
      <c r="P437">
        <v>0</v>
      </c>
      <c r="Q437">
        <v>0</v>
      </c>
      <c r="R437" t="s">
        <v>41251</v>
      </c>
      <c r="S437" t="s">
        <v>41369</v>
      </c>
      <c r="T437" t="s">
        <v>42759</v>
      </c>
      <c r="U437" t="s">
        <v>43585</v>
      </c>
      <c r="W437" t="s">
        <v>37699</v>
      </c>
      <c r="X437" t="s">
        <v>41252</v>
      </c>
    </row>
    <row r="438" spans="1:24">
      <c r="A438">
        <f>HYPERLINK("https://www.philgeps.gov.ph/GEPSNONPILOT/Tender/SplashBidNoticeAbstractUI.aspx?menuIndex=3&amp;refID=7076381&amp;Result=3","7076381")</f>
        <v>0</v>
      </c>
      <c r="B438" t="s">
        <v>248</v>
      </c>
      <c r="C438" t="s">
        <v>3792</v>
      </c>
      <c r="D438" t="s">
        <v>16625</v>
      </c>
      <c r="E438" t="s">
        <v>17128</v>
      </c>
      <c r="F438" t="s">
        <v>28669</v>
      </c>
      <c r="G438" t="s">
        <v>28676</v>
      </c>
      <c r="H438" t="s">
        <v>9998</v>
      </c>
      <c r="I438" t="s">
        <v>28736</v>
      </c>
      <c r="J438" t="s">
        <v>29176</v>
      </c>
      <c r="K438" t="s">
        <v>37204</v>
      </c>
      <c r="M438" t="s">
        <v>37726</v>
      </c>
      <c r="N438" t="s">
        <v>41249</v>
      </c>
      <c r="O438" t="s">
        <v>41250</v>
      </c>
      <c r="P438">
        <v>0</v>
      </c>
      <c r="Q438">
        <v>0</v>
      </c>
      <c r="R438" t="s">
        <v>41251</v>
      </c>
      <c r="S438" t="s">
        <v>41369</v>
      </c>
      <c r="T438" t="s">
        <v>42764</v>
      </c>
      <c r="U438" t="s">
        <v>43586</v>
      </c>
      <c r="W438" t="s">
        <v>37726</v>
      </c>
      <c r="X438" t="s">
        <v>41252</v>
      </c>
    </row>
    <row r="439" spans="1:24">
      <c r="A439">
        <f>HYPERLINK("https://www.philgeps.gov.ph/GEPSNONPILOT/Tender/SplashBidNoticeAbstractUI.aspx?menuIndex=3&amp;refID=7076445&amp;Result=3","7076445")</f>
        <v>0</v>
      </c>
      <c r="B439" t="s">
        <v>170</v>
      </c>
      <c r="C439" t="s">
        <v>3793</v>
      </c>
      <c r="D439" t="s">
        <v>16639</v>
      </c>
      <c r="E439" t="s">
        <v>17129</v>
      </c>
      <c r="F439" t="s">
        <v>28669</v>
      </c>
      <c r="G439" t="s">
        <v>28675</v>
      </c>
      <c r="H439" t="s">
        <v>28686</v>
      </c>
      <c r="I439" t="s">
        <v>28689</v>
      </c>
      <c r="J439" t="s">
        <v>29177</v>
      </c>
      <c r="K439" t="s">
        <v>37251</v>
      </c>
      <c r="M439" t="s">
        <v>37647</v>
      </c>
      <c r="N439" t="s">
        <v>41249</v>
      </c>
      <c r="O439" t="s">
        <v>41250</v>
      </c>
      <c r="P439">
        <v>0</v>
      </c>
      <c r="Q439">
        <v>0</v>
      </c>
      <c r="R439" t="s">
        <v>41251</v>
      </c>
      <c r="S439" t="s">
        <v>41369</v>
      </c>
      <c r="T439" t="s">
        <v>42692</v>
      </c>
      <c r="U439" t="s">
        <v>43587</v>
      </c>
      <c r="V439" t="s">
        <v>54295</v>
      </c>
      <c r="W439" t="s">
        <v>37647</v>
      </c>
      <c r="X439" t="s">
        <v>41252</v>
      </c>
    </row>
    <row r="440" spans="1:24">
      <c r="A440">
        <f>HYPERLINK("https://www.philgeps.gov.ph/GEPSNONPILOT/Tender/SplashBidNoticeAbstractUI.aspx?menuIndex=3&amp;refID=7076378&amp;Result=3","7076378")</f>
        <v>0</v>
      </c>
      <c r="B440" t="s">
        <v>201</v>
      </c>
      <c r="C440" t="s">
        <v>3794</v>
      </c>
      <c r="D440" t="s">
        <v>16635</v>
      </c>
      <c r="E440" t="s">
        <v>17130</v>
      </c>
      <c r="F440" t="s">
        <v>28669</v>
      </c>
      <c r="G440" t="s">
        <v>28676</v>
      </c>
      <c r="H440" t="s">
        <v>9998</v>
      </c>
      <c r="I440" t="s">
        <v>28737</v>
      </c>
      <c r="J440" t="s">
        <v>29178</v>
      </c>
      <c r="K440" t="s">
        <v>37209</v>
      </c>
      <c r="M440" t="s">
        <v>37679</v>
      </c>
      <c r="N440" t="s">
        <v>41249</v>
      </c>
      <c r="O440" t="s">
        <v>41250</v>
      </c>
      <c r="P440">
        <v>0</v>
      </c>
      <c r="Q440">
        <v>0</v>
      </c>
      <c r="R440" t="s">
        <v>41251</v>
      </c>
      <c r="S440" t="s">
        <v>41369</v>
      </c>
      <c r="T440" t="s">
        <v>42711</v>
      </c>
      <c r="U440" t="s">
        <v>43499</v>
      </c>
      <c r="W440" t="s">
        <v>37679</v>
      </c>
      <c r="X440" t="s">
        <v>41252</v>
      </c>
    </row>
    <row r="441" spans="1:24">
      <c r="A441">
        <f>HYPERLINK("https://www.philgeps.gov.ph/GEPSNONPILOT/Tender/SplashBidNoticeAbstractUI.aspx?menuIndex=3&amp;refID=7076444&amp;Result=3","7076444")</f>
        <v>0</v>
      </c>
      <c r="B441" t="s">
        <v>249</v>
      </c>
      <c r="C441" t="s">
        <v>3795</v>
      </c>
      <c r="E441" t="s">
        <v>17131</v>
      </c>
      <c r="F441" t="s">
        <v>28669</v>
      </c>
      <c r="G441" t="s">
        <v>28676</v>
      </c>
      <c r="H441" t="s">
        <v>9998</v>
      </c>
      <c r="I441" t="s">
        <v>11142</v>
      </c>
      <c r="J441" t="s">
        <v>28859</v>
      </c>
      <c r="K441" t="s">
        <v>37209</v>
      </c>
      <c r="N441" t="s">
        <v>41249</v>
      </c>
      <c r="O441" t="s">
        <v>41250</v>
      </c>
      <c r="P441">
        <v>0</v>
      </c>
      <c r="Q441">
        <v>2</v>
      </c>
      <c r="R441" t="s">
        <v>41251</v>
      </c>
      <c r="S441" t="s">
        <v>41369</v>
      </c>
      <c r="T441" t="s">
        <v>42754</v>
      </c>
      <c r="U441" t="s">
        <v>43588</v>
      </c>
      <c r="V441" t="s">
        <v>54314</v>
      </c>
      <c r="W441" t="s">
        <v>38009</v>
      </c>
      <c r="X441" t="s">
        <v>41252</v>
      </c>
    </row>
    <row r="442" spans="1:24">
      <c r="A442">
        <f>HYPERLINK("https://www.philgeps.gov.ph/GEPSNONPILOT/Tender/SplashBidNoticeAbstractUI.aspx?menuIndex=3&amp;refID=7061783&amp;Result=3","7061783")</f>
        <v>0</v>
      </c>
      <c r="B442" t="s">
        <v>33</v>
      </c>
      <c r="C442" t="s">
        <v>3796</v>
      </c>
      <c r="E442" t="s">
        <v>17132</v>
      </c>
      <c r="F442" t="s">
        <v>28669</v>
      </c>
      <c r="G442" t="s">
        <v>28675</v>
      </c>
      <c r="H442" t="s">
        <v>9998</v>
      </c>
      <c r="I442" t="s">
        <v>15140</v>
      </c>
      <c r="J442" t="s">
        <v>29179</v>
      </c>
      <c r="K442" t="s">
        <v>37216</v>
      </c>
      <c r="M442" t="s">
        <v>37727</v>
      </c>
      <c r="N442" t="s">
        <v>41249</v>
      </c>
      <c r="O442" t="s">
        <v>41250</v>
      </c>
      <c r="P442">
        <v>0</v>
      </c>
      <c r="Q442">
        <v>2</v>
      </c>
      <c r="R442" t="s">
        <v>41251</v>
      </c>
      <c r="S442" t="s">
        <v>41369</v>
      </c>
      <c r="T442" t="s">
        <v>42696</v>
      </c>
      <c r="U442" t="s">
        <v>43589</v>
      </c>
      <c r="W442" t="s">
        <v>37727</v>
      </c>
      <c r="X442" t="s">
        <v>41260</v>
      </c>
    </row>
    <row r="443" spans="1:24">
      <c r="A443">
        <f>HYPERLINK("https://www.philgeps.gov.ph/GEPSNONPILOT/Tender/SplashBidNoticeAbstractUI.aspx?menuIndex=3&amp;refID=7076442&amp;Result=3","7076442")</f>
        <v>0</v>
      </c>
      <c r="B443" t="s">
        <v>183</v>
      </c>
      <c r="C443" t="s">
        <v>3797</v>
      </c>
      <c r="D443" t="s">
        <v>16622</v>
      </c>
      <c r="E443" t="s">
        <v>17133</v>
      </c>
      <c r="F443" t="s">
        <v>28669</v>
      </c>
      <c r="G443" t="s">
        <v>28676</v>
      </c>
      <c r="H443" t="s">
        <v>9998</v>
      </c>
      <c r="I443" t="s">
        <v>28732</v>
      </c>
      <c r="J443" t="s">
        <v>29044</v>
      </c>
      <c r="K443" t="s">
        <v>37205</v>
      </c>
      <c r="M443" t="s">
        <v>37660</v>
      </c>
      <c r="N443" t="s">
        <v>41249</v>
      </c>
      <c r="O443" t="s">
        <v>41250</v>
      </c>
      <c r="P443">
        <v>0</v>
      </c>
      <c r="Q443">
        <v>1</v>
      </c>
      <c r="R443" t="s">
        <v>41251</v>
      </c>
      <c r="S443" t="s">
        <v>41369</v>
      </c>
      <c r="T443" t="s">
        <v>42751</v>
      </c>
      <c r="U443" t="s">
        <v>43590</v>
      </c>
      <c r="W443" t="s">
        <v>37660</v>
      </c>
      <c r="X443" t="s">
        <v>41252</v>
      </c>
    </row>
    <row r="444" spans="1:24">
      <c r="A444">
        <f>HYPERLINK("https://www.philgeps.gov.ph/GEPSNONPILOT/Tender/SplashBidNoticeAbstractUI.aspx?menuIndex=3&amp;refID=7076441&amp;Result=3","7076441")</f>
        <v>0</v>
      </c>
      <c r="B444" t="s">
        <v>250</v>
      </c>
      <c r="C444" t="s">
        <v>3798</v>
      </c>
      <c r="D444" t="s">
        <v>16621</v>
      </c>
      <c r="E444" t="s">
        <v>17134</v>
      </c>
      <c r="F444" t="s">
        <v>28669</v>
      </c>
      <c r="G444" t="s">
        <v>28676</v>
      </c>
      <c r="H444" t="s">
        <v>9998</v>
      </c>
      <c r="I444" t="s">
        <v>28701</v>
      </c>
      <c r="J444" t="s">
        <v>29180</v>
      </c>
      <c r="K444" t="s">
        <v>37206</v>
      </c>
      <c r="M444" t="s">
        <v>37728</v>
      </c>
      <c r="N444" t="s">
        <v>41249</v>
      </c>
      <c r="O444" t="s">
        <v>41250</v>
      </c>
      <c r="P444">
        <v>0</v>
      </c>
      <c r="Q444">
        <v>0</v>
      </c>
      <c r="R444" t="s">
        <v>41251</v>
      </c>
      <c r="S444" t="s">
        <v>41369</v>
      </c>
      <c r="T444" t="s">
        <v>42675</v>
      </c>
      <c r="U444" t="s">
        <v>43591</v>
      </c>
      <c r="W444" t="s">
        <v>37728</v>
      </c>
      <c r="X444" t="s">
        <v>41252</v>
      </c>
    </row>
    <row r="445" spans="1:24">
      <c r="A445">
        <f>HYPERLINK("https://www.philgeps.gov.ph/GEPSNONPILOT/Tender/SplashBidNoticeAbstractUI.aspx?menuIndex=3&amp;refID=7076450&amp;Result=3","7076450")</f>
        <v>0</v>
      </c>
      <c r="B445" t="s">
        <v>251</v>
      </c>
      <c r="C445" t="s">
        <v>3799</v>
      </c>
      <c r="D445" t="s">
        <v>16621</v>
      </c>
      <c r="E445" t="s">
        <v>17135</v>
      </c>
      <c r="F445" t="s">
        <v>28669</v>
      </c>
      <c r="G445" t="s">
        <v>28676</v>
      </c>
      <c r="H445" t="s">
        <v>9998</v>
      </c>
      <c r="I445" t="s">
        <v>15140</v>
      </c>
      <c r="J445" t="s">
        <v>29068</v>
      </c>
      <c r="K445" t="s">
        <v>37208</v>
      </c>
      <c r="M445" t="s">
        <v>37729</v>
      </c>
      <c r="N445" t="s">
        <v>41249</v>
      </c>
      <c r="O445" t="s">
        <v>41250</v>
      </c>
      <c r="P445">
        <v>0</v>
      </c>
      <c r="Q445">
        <v>0</v>
      </c>
      <c r="R445" t="s">
        <v>41251</v>
      </c>
      <c r="S445" t="s">
        <v>41369</v>
      </c>
      <c r="T445" t="s">
        <v>42717</v>
      </c>
      <c r="U445" t="s">
        <v>43592</v>
      </c>
      <c r="W445" t="s">
        <v>37729</v>
      </c>
      <c r="X445" t="s">
        <v>41252</v>
      </c>
    </row>
    <row r="446" spans="1:24">
      <c r="A446">
        <f>HYPERLINK("https://www.philgeps.gov.ph/GEPSNONPILOT/Tender/SplashBidNoticeAbstractUI.aspx?menuIndex=3&amp;refID=7069056&amp;Result=3","7069056")</f>
        <v>0</v>
      </c>
      <c r="B446" t="s">
        <v>42</v>
      </c>
      <c r="C446" t="s">
        <v>3800</v>
      </c>
      <c r="D446" t="s">
        <v>16623</v>
      </c>
      <c r="E446" t="s">
        <v>17136</v>
      </c>
      <c r="F446" t="s">
        <v>28669</v>
      </c>
      <c r="G446" t="s">
        <v>28675</v>
      </c>
      <c r="H446" t="s">
        <v>9998</v>
      </c>
      <c r="I446" t="s">
        <v>28690</v>
      </c>
      <c r="J446" t="s">
        <v>29181</v>
      </c>
      <c r="K446" t="s">
        <v>37210</v>
      </c>
      <c r="M446" t="s">
        <v>37517</v>
      </c>
      <c r="N446" t="s">
        <v>41249</v>
      </c>
      <c r="O446" t="s">
        <v>41250</v>
      </c>
      <c r="P446">
        <v>0</v>
      </c>
      <c r="Q446">
        <v>7</v>
      </c>
      <c r="R446" t="s">
        <v>41251</v>
      </c>
      <c r="S446" t="s">
        <v>41369</v>
      </c>
      <c r="T446" t="s">
        <v>42678</v>
      </c>
      <c r="U446" t="s">
        <v>43593</v>
      </c>
      <c r="W446" t="s">
        <v>37517</v>
      </c>
      <c r="X446" t="s">
        <v>41258</v>
      </c>
    </row>
    <row r="447" spans="1:24">
      <c r="A447">
        <f>HYPERLINK("https://www.philgeps.gov.ph/GEPSNONPILOT/Tender/SplashBidNoticeAbstractUI.aspx?menuIndex=3&amp;refID=7076446&amp;Result=3","7076446")</f>
        <v>0</v>
      </c>
      <c r="B447" t="s">
        <v>188</v>
      </c>
      <c r="C447" t="s">
        <v>3801</v>
      </c>
      <c r="D447" t="s">
        <v>16664</v>
      </c>
      <c r="E447" t="s">
        <v>17137</v>
      </c>
      <c r="F447" t="s">
        <v>28669</v>
      </c>
      <c r="G447" t="s">
        <v>28675</v>
      </c>
      <c r="H447" t="s">
        <v>28686</v>
      </c>
      <c r="I447" t="s">
        <v>28689</v>
      </c>
      <c r="J447" t="s">
        <v>29182</v>
      </c>
      <c r="K447" t="s">
        <v>37252</v>
      </c>
      <c r="M447" t="s">
        <v>37666</v>
      </c>
      <c r="N447" t="s">
        <v>41249</v>
      </c>
      <c r="O447" t="s">
        <v>41250</v>
      </c>
      <c r="P447">
        <v>0</v>
      </c>
      <c r="Q447">
        <v>0</v>
      </c>
      <c r="R447" t="s">
        <v>41251</v>
      </c>
      <c r="S447" t="s">
        <v>41369</v>
      </c>
      <c r="T447" t="s">
        <v>42765</v>
      </c>
      <c r="U447" t="s">
        <v>43594</v>
      </c>
      <c r="W447" t="s">
        <v>37666</v>
      </c>
      <c r="X447" t="s">
        <v>41252</v>
      </c>
    </row>
    <row r="448" spans="1:24">
      <c r="A448">
        <f>HYPERLINK("https://www.philgeps.gov.ph/GEPSNONPILOT/Tender/SplashBidNoticeAbstractUI.aspx?menuIndex=3&amp;refID=7076449&amp;Result=3","7076449")</f>
        <v>0</v>
      </c>
      <c r="B448" t="s">
        <v>252</v>
      </c>
      <c r="C448" t="s">
        <v>3802</v>
      </c>
      <c r="D448" t="s">
        <v>16629</v>
      </c>
      <c r="E448" t="s">
        <v>17138</v>
      </c>
      <c r="F448" t="s">
        <v>28669</v>
      </c>
      <c r="G448" t="s">
        <v>28676</v>
      </c>
      <c r="H448" t="s">
        <v>9998</v>
      </c>
      <c r="I448" t="s">
        <v>28690</v>
      </c>
      <c r="J448" t="s">
        <v>28879</v>
      </c>
      <c r="K448" t="s">
        <v>37210</v>
      </c>
      <c r="M448" t="s">
        <v>37730</v>
      </c>
      <c r="N448" t="s">
        <v>41249</v>
      </c>
      <c r="O448" t="s">
        <v>41250</v>
      </c>
      <c r="P448">
        <v>0</v>
      </c>
      <c r="Q448">
        <v>3</v>
      </c>
      <c r="R448" t="s">
        <v>41251</v>
      </c>
      <c r="S448" t="s">
        <v>41369</v>
      </c>
      <c r="T448" t="s">
        <v>42673</v>
      </c>
      <c r="U448" t="s">
        <v>43595</v>
      </c>
      <c r="V448" t="s">
        <v>54315</v>
      </c>
      <c r="W448" t="s">
        <v>37730</v>
      </c>
      <c r="X448" t="s">
        <v>41252</v>
      </c>
    </row>
    <row r="449" spans="1:24">
      <c r="A449">
        <f>HYPERLINK("https://www.philgeps.gov.ph/GEPSNONPILOT/Tender/SplashBidNoticeAbstractUI.aspx?menuIndex=3&amp;refID=7076448&amp;Result=3","7076448")</f>
        <v>0</v>
      </c>
      <c r="B449" t="s">
        <v>253</v>
      </c>
      <c r="C449" t="s">
        <v>3803</v>
      </c>
      <c r="D449" t="s">
        <v>16621</v>
      </c>
      <c r="E449" t="s">
        <v>17139</v>
      </c>
      <c r="F449" t="s">
        <v>28669</v>
      </c>
      <c r="G449" t="s">
        <v>28677</v>
      </c>
      <c r="H449" t="s">
        <v>9998</v>
      </c>
      <c r="I449" t="s">
        <v>28693</v>
      </c>
      <c r="J449" t="s">
        <v>29183</v>
      </c>
      <c r="K449" t="s">
        <v>37205</v>
      </c>
      <c r="M449" t="s">
        <v>37731</v>
      </c>
      <c r="N449" t="s">
        <v>41249</v>
      </c>
      <c r="O449" t="s">
        <v>41250</v>
      </c>
      <c r="P449">
        <v>0</v>
      </c>
      <c r="Q449">
        <v>8</v>
      </c>
      <c r="R449" t="s">
        <v>41251</v>
      </c>
      <c r="S449" t="s">
        <v>41369</v>
      </c>
      <c r="T449" t="s">
        <v>42673</v>
      </c>
      <c r="U449" t="s">
        <v>43596</v>
      </c>
      <c r="W449" t="s">
        <v>37731</v>
      </c>
      <c r="X449" t="s">
        <v>41252</v>
      </c>
    </row>
    <row r="450" spans="1:24">
      <c r="A450">
        <f>HYPERLINK("https://www.philgeps.gov.ph/GEPSNONPILOT/Tender/SplashBidNoticeAbstractUI.aspx?menuIndex=3&amp;refID=7076440&amp;Result=3","7076440")</f>
        <v>0</v>
      </c>
      <c r="B450" t="s">
        <v>254</v>
      </c>
      <c r="C450" t="s">
        <v>3804</v>
      </c>
      <c r="D450" t="s">
        <v>16662</v>
      </c>
      <c r="E450" t="s">
        <v>17140</v>
      </c>
      <c r="F450" t="s">
        <v>28669</v>
      </c>
      <c r="G450" t="s">
        <v>28677</v>
      </c>
      <c r="H450" t="s">
        <v>9998</v>
      </c>
      <c r="I450" t="s">
        <v>28688</v>
      </c>
      <c r="J450" t="s">
        <v>29151</v>
      </c>
      <c r="K450" t="s">
        <v>37243</v>
      </c>
      <c r="M450" t="s">
        <v>37732</v>
      </c>
      <c r="N450" t="s">
        <v>41249</v>
      </c>
      <c r="O450" t="s">
        <v>41250</v>
      </c>
      <c r="P450">
        <v>0</v>
      </c>
      <c r="Q450">
        <v>0</v>
      </c>
      <c r="R450" t="s">
        <v>41251</v>
      </c>
      <c r="S450" t="s">
        <v>41369</v>
      </c>
      <c r="T450" t="s">
        <v>42711</v>
      </c>
      <c r="U450" t="s">
        <v>43597</v>
      </c>
      <c r="W450" t="s">
        <v>37732</v>
      </c>
      <c r="X450" t="s">
        <v>41252</v>
      </c>
    </row>
    <row r="451" spans="1:24">
      <c r="A451">
        <f>HYPERLINK("https://www.philgeps.gov.ph/GEPSNONPILOT/Tender/SplashBidNoticeAbstractUI.aspx?menuIndex=3&amp;refID=7076436&amp;Result=3","7076436")</f>
        <v>0</v>
      </c>
      <c r="B451" t="s">
        <v>255</v>
      </c>
      <c r="C451" t="s">
        <v>3805</v>
      </c>
      <c r="E451" t="s">
        <v>17141</v>
      </c>
      <c r="F451" t="s">
        <v>28669</v>
      </c>
      <c r="G451" t="s">
        <v>28677</v>
      </c>
      <c r="H451" t="s">
        <v>9998</v>
      </c>
      <c r="I451" t="s">
        <v>28688</v>
      </c>
      <c r="J451" t="s">
        <v>29184</v>
      </c>
      <c r="K451" t="s">
        <v>37209</v>
      </c>
      <c r="M451" t="s">
        <v>37733</v>
      </c>
      <c r="N451" t="s">
        <v>41249</v>
      </c>
      <c r="O451" t="s">
        <v>41250</v>
      </c>
      <c r="P451">
        <v>0</v>
      </c>
      <c r="Q451">
        <v>2</v>
      </c>
      <c r="R451" t="s">
        <v>41251</v>
      </c>
      <c r="S451" t="s">
        <v>41369</v>
      </c>
      <c r="T451" t="s">
        <v>42766</v>
      </c>
      <c r="U451" t="s">
        <v>43598</v>
      </c>
      <c r="V451" t="s">
        <v>54316</v>
      </c>
      <c r="W451" t="s">
        <v>37733</v>
      </c>
      <c r="X451" t="s">
        <v>41252</v>
      </c>
    </row>
    <row r="452" spans="1:24">
      <c r="A452">
        <f>HYPERLINK("https://www.philgeps.gov.ph/GEPSNONPILOT/Tender/SplashBidNoticeAbstractUI.aspx?menuIndex=3&amp;refID=7076451&amp;Result=3","7076451")</f>
        <v>0</v>
      </c>
      <c r="B452" t="s">
        <v>221</v>
      </c>
      <c r="C452" t="s">
        <v>3707</v>
      </c>
      <c r="E452" t="s">
        <v>17142</v>
      </c>
      <c r="F452" t="s">
        <v>28669</v>
      </c>
      <c r="G452" t="s">
        <v>28677</v>
      </c>
      <c r="H452" t="s">
        <v>9998</v>
      </c>
      <c r="I452" t="s">
        <v>6128</v>
      </c>
      <c r="J452" t="s">
        <v>29185</v>
      </c>
      <c r="K452" t="s">
        <v>37209</v>
      </c>
      <c r="M452" t="s">
        <v>37699</v>
      </c>
      <c r="N452" t="s">
        <v>41249</v>
      </c>
      <c r="O452" t="s">
        <v>41250</v>
      </c>
      <c r="P452">
        <v>0</v>
      </c>
      <c r="Q452">
        <v>0</v>
      </c>
      <c r="R452" t="s">
        <v>41251</v>
      </c>
      <c r="S452" t="s">
        <v>41369</v>
      </c>
      <c r="T452" t="s">
        <v>42767</v>
      </c>
      <c r="U452" t="s">
        <v>43599</v>
      </c>
      <c r="W452" t="s">
        <v>37699</v>
      </c>
      <c r="X452" t="s">
        <v>41252</v>
      </c>
    </row>
    <row r="453" spans="1:24">
      <c r="A453">
        <f>HYPERLINK("https://www.philgeps.gov.ph/GEPSNONPILOT/Tender/SplashBidNoticeAbstractUI.aspx?menuIndex=3&amp;refID=7076434&amp;Result=3","7076434")</f>
        <v>0</v>
      </c>
      <c r="B453" t="s">
        <v>224</v>
      </c>
      <c r="C453" t="s">
        <v>3806</v>
      </c>
      <c r="D453" t="s">
        <v>16626</v>
      </c>
      <c r="E453" t="s">
        <v>17143</v>
      </c>
      <c r="F453" t="s">
        <v>28669</v>
      </c>
      <c r="G453" t="s">
        <v>28676</v>
      </c>
      <c r="H453" t="s">
        <v>9998</v>
      </c>
      <c r="I453" t="s">
        <v>28694</v>
      </c>
      <c r="J453" t="s">
        <v>29186</v>
      </c>
      <c r="K453" t="s">
        <v>37209</v>
      </c>
      <c r="M453" t="s">
        <v>37702</v>
      </c>
      <c r="N453" t="s">
        <v>41249</v>
      </c>
      <c r="O453" t="s">
        <v>41250</v>
      </c>
      <c r="P453">
        <v>0</v>
      </c>
      <c r="Q453">
        <v>0</v>
      </c>
      <c r="R453" t="s">
        <v>41251</v>
      </c>
      <c r="S453" t="s">
        <v>41369</v>
      </c>
      <c r="T453" t="s">
        <v>42694</v>
      </c>
      <c r="U453" t="s">
        <v>43600</v>
      </c>
      <c r="W453" t="s">
        <v>37702</v>
      </c>
      <c r="X453" t="s">
        <v>41252</v>
      </c>
    </row>
    <row r="454" spans="1:24">
      <c r="A454">
        <f>HYPERLINK("https://www.philgeps.gov.ph/GEPSNONPILOT/Tender/SplashBidNoticeAbstractUI.aspx?menuIndex=3&amp;refID=7076433&amp;Result=3","7076433")</f>
        <v>0</v>
      </c>
      <c r="B454" t="s">
        <v>179</v>
      </c>
      <c r="C454" t="s">
        <v>3807</v>
      </c>
      <c r="D454" t="s">
        <v>16647</v>
      </c>
      <c r="E454" t="s">
        <v>17144</v>
      </c>
      <c r="F454" t="s">
        <v>28669</v>
      </c>
      <c r="G454" t="s">
        <v>28675</v>
      </c>
      <c r="H454" t="s">
        <v>9998</v>
      </c>
      <c r="I454" t="s">
        <v>3718</v>
      </c>
      <c r="J454" t="s">
        <v>29187</v>
      </c>
      <c r="K454" t="s">
        <v>37205</v>
      </c>
      <c r="M454" t="s">
        <v>37656</v>
      </c>
      <c r="N454" t="s">
        <v>41249</v>
      </c>
      <c r="O454" t="s">
        <v>41250</v>
      </c>
      <c r="P454">
        <v>0</v>
      </c>
      <c r="Q454">
        <v>0</v>
      </c>
      <c r="R454" t="s">
        <v>41251</v>
      </c>
      <c r="S454" t="s">
        <v>41369</v>
      </c>
      <c r="T454" t="s">
        <v>42688</v>
      </c>
      <c r="U454" t="s">
        <v>43601</v>
      </c>
      <c r="W454" t="s">
        <v>37656</v>
      </c>
      <c r="X454" t="s">
        <v>41252</v>
      </c>
    </row>
    <row r="455" spans="1:24">
      <c r="A455">
        <f>HYPERLINK("https://www.philgeps.gov.ph/GEPSNONPILOT/Tender/SplashBidNoticeAbstractUI.aspx?menuIndex=3&amp;refID=7069283&amp;Result=3","7069283")</f>
        <v>0</v>
      </c>
      <c r="B455" t="s">
        <v>42</v>
      </c>
      <c r="C455" t="s">
        <v>3808</v>
      </c>
      <c r="D455" t="s">
        <v>16623</v>
      </c>
      <c r="E455" t="s">
        <v>17145</v>
      </c>
      <c r="F455" t="s">
        <v>28669</v>
      </c>
      <c r="G455" t="s">
        <v>28675</v>
      </c>
      <c r="H455" t="s">
        <v>9998</v>
      </c>
      <c r="I455" t="s">
        <v>28693</v>
      </c>
      <c r="J455" t="s">
        <v>29188</v>
      </c>
      <c r="K455" t="s">
        <v>37210</v>
      </c>
      <c r="M455" t="s">
        <v>37517</v>
      </c>
      <c r="N455" t="s">
        <v>41249</v>
      </c>
      <c r="O455" t="s">
        <v>41250</v>
      </c>
      <c r="P455">
        <v>0</v>
      </c>
      <c r="Q455">
        <v>12</v>
      </c>
      <c r="R455" t="s">
        <v>41251</v>
      </c>
      <c r="S455" t="s">
        <v>41369</v>
      </c>
      <c r="T455" t="s">
        <v>42678</v>
      </c>
      <c r="U455" t="s">
        <v>43602</v>
      </c>
      <c r="W455" t="s">
        <v>37517</v>
      </c>
      <c r="X455" t="s">
        <v>41258</v>
      </c>
    </row>
    <row r="456" spans="1:24">
      <c r="A456">
        <f>HYPERLINK("https://www.philgeps.gov.ph/GEPSNONPILOT/Tender/SplashBidNoticeAbstractUI.aspx?menuIndex=3&amp;refID=7076432&amp;Result=3","7076432")</f>
        <v>0</v>
      </c>
      <c r="B456" t="s">
        <v>256</v>
      </c>
      <c r="C456" t="s">
        <v>3809</v>
      </c>
      <c r="D456" t="s">
        <v>16664</v>
      </c>
      <c r="E456" t="s">
        <v>17146</v>
      </c>
      <c r="F456" t="s">
        <v>28669</v>
      </c>
      <c r="G456" t="s">
        <v>28676</v>
      </c>
      <c r="H456" t="s">
        <v>9998</v>
      </c>
      <c r="I456" t="s">
        <v>28693</v>
      </c>
      <c r="J456" t="s">
        <v>29189</v>
      </c>
      <c r="K456" t="s">
        <v>37210</v>
      </c>
      <c r="M456" t="s">
        <v>37734</v>
      </c>
      <c r="N456" t="s">
        <v>41249</v>
      </c>
      <c r="O456" t="s">
        <v>41250</v>
      </c>
      <c r="P456">
        <v>0</v>
      </c>
      <c r="Q456">
        <v>5</v>
      </c>
      <c r="R456" t="s">
        <v>41251</v>
      </c>
      <c r="S456" t="s">
        <v>41369</v>
      </c>
      <c r="T456" t="s">
        <v>42751</v>
      </c>
      <c r="U456" t="s">
        <v>43603</v>
      </c>
      <c r="W456" t="s">
        <v>37734</v>
      </c>
      <c r="X456" t="s">
        <v>41252</v>
      </c>
    </row>
    <row r="457" spans="1:24">
      <c r="A457">
        <f>HYPERLINK("https://www.philgeps.gov.ph/GEPSNONPILOT/Tender/SplashBidNoticeAbstractUI.aspx?menuIndex=3&amp;refID=7076454&amp;Result=3","7076454")</f>
        <v>0</v>
      </c>
      <c r="B457" t="s">
        <v>257</v>
      </c>
      <c r="C457" t="s">
        <v>3810</v>
      </c>
      <c r="D457" t="s">
        <v>16663</v>
      </c>
      <c r="E457" t="s">
        <v>17147</v>
      </c>
      <c r="F457" t="s">
        <v>28669</v>
      </c>
      <c r="G457" t="s">
        <v>28676</v>
      </c>
      <c r="H457" t="s">
        <v>9998</v>
      </c>
      <c r="I457" t="s">
        <v>28729</v>
      </c>
      <c r="J457" t="s">
        <v>29190</v>
      </c>
      <c r="K457" t="s">
        <v>37206</v>
      </c>
      <c r="M457" t="s">
        <v>37735</v>
      </c>
      <c r="N457" t="s">
        <v>41249</v>
      </c>
      <c r="O457" t="s">
        <v>41250</v>
      </c>
      <c r="P457">
        <v>0</v>
      </c>
      <c r="Q457">
        <v>3</v>
      </c>
      <c r="R457" t="s">
        <v>41251</v>
      </c>
      <c r="S457" t="s">
        <v>41369</v>
      </c>
      <c r="T457" t="s">
        <v>42698</v>
      </c>
      <c r="U457" t="s">
        <v>43604</v>
      </c>
      <c r="W457" t="s">
        <v>37735</v>
      </c>
      <c r="X457" t="s">
        <v>41252</v>
      </c>
    </row>
    <row r="458" spans="1:24">
      <c r="A458">
        <f>HYPERLINK("https://www.philgeps.gov.ph/GEPSNONPILOT/Tender/SplashBidNoticeAbstractUI.aspx?menuIndex=3&amp;refID=7076473&amp;Result=3","7076473")</f>
        <v>0</v>
      </c>
      <c r="B458" t="s">
        <v>258</v>
      </c>
      <c r="C458" t="s">
        <v>3811</v>
      </c>
      <c r="D458" t="s">
        <v>16673</v>
      </c>
      <c r="E458" t="s">
        <v>17148</v>
      </c>
      <c r="F458" t="s">
        <v>28669</v>
      </c>
      <c r="G458" t="s">
        <v>28676</v>
      </c>
      <c r="H458" t="s">
        <v>9998</v>
      </c>
      <c r="I458" t="s">
        <v>11593</v>
      </c>
      <c r="J458" t="s">
        <v>29040</v>
      </c>
      <c r="K458" t="s">
        <v>37204</v>
      </c>
      <c r="M458" t="s">
        <v>37736</v>
      </c>
      <c r="N458" t="s">
        <v>41249</v>
      </c>
      <c r="O458" t="s">
        <v>41250</v>
      </c>
      <c r="P458">
        <v>0</v>
      </c>
      <c r="Q458">
        <v>3</v>
      </c>
      <c r="R458" t="s">
        <v>41251</v>
      </c>
      <c r="S458" t="s">
        <v>41369</v>
      </c>
      <c r="T458" t="s">
        <v>42679</v>
      </c>
      <c r="U458" t="s">
        <v>43605</v>
      </c>
      <c r="W458" t="s">
        <v>37736</v>
      </c>
      <c r="X458" t="s">
        <v>41252</v>
      </c>
    </row>
    <row r="459" spans="1:24">
      <c r="A459">
        <f>HYPERLINK("https://www.philgeps.gov.ph/GEPSNONPILOT/Tender/SplashBidNoticeAbstractUI.aspx?menuIndex=3&amp;refID=7076435&amp;Result=3","7076435")</f>
        <v>0</v>
      </c>
      <c r="B459" t="s">
        <v>181</v>
      </c>
      <c r="C459" t="s">
        <v>3812</v>
      </c>
      <c r="D459" t="s">
        <v>16647</v>
      </c>
      <c r="E459" t="s">
        <v>17149</v>
      </c>
      <c r="F459" t="s">
        <v>28669</v>
      </c>
      <c r="G459" t="s">
        <v>28675</v>
      </c>
      <c r="H459" t="s">
        <v>28686</v>
      </c>
      <c r="I459" t="s">
        <v>28689</v>
      </c>
      <c r="J459" t="s">
        <v>28826</v>
      </c>
      <c r="K459" t="s">
        <v>37220</v>
      </c>
      <c r="M459" t="s">
        <v>37658</v>
      </c>
      <c r="N459" t="s">
        <v>41249</v>
      </c>
      <c r="O459" t="s">
        <v>41250</v>
      </c>
      <c r="P459">
        <v>0</v>
      </c>
      <c r="Q459">
        <v>1</v>
      </c>
      <c r="R459" t="s">
        <v>41251</v>
      </c>
      <c r="S459" t="s">
        <v>41369</v>
      </c>
      <c r="T459" t="s">
        <v>42768</v>
      </c>
      <c r="U459" t="s">
        <v>43606</v>
      </c>
      <c r="W459" t="s">
        <v>37658</v>
      </c>
      <c r="X459" t="s">
        <v>41252</v>
      </c>
    </row>
    <row r="460" spans="1:24">
      <c r="A460">
        <f>HYPERLINK("https://www.philgeps.gov.ph/GEPSNONPILOT/Tender/SplashBidNoticeAbstractUI.aspx?menuIndex=3&amp;refID=7076471&amp;Result=3","7076471")</f>
        <v>0</v>
      </c>
      <c r="B460" t="s">
        <v>186</v>
      </c>
      <c r="C460" t="s">
        <v>3813</v>
      </c>
      <c r="D460" t="s">
        <v>16654</v>
      </c>
      <c r="E460" t="s">
        <v>17150</v>
      </c>
      <c r="F460" t="s">
        <v>28669</v>
      </c>
      <c r="G460" t="s">
        <v>28676</v>
      </c>
      <c r="H460" t="s">
        <v>28686</v>
      </c>
      <c r="I460" t="s">
        <v>28689</v>
      </c>
      <c r="J460" t="s">
        <v>28905</v>
      </c>
      <c r="K460" t="s">
        <v>37205</v>
      </c>
      <c r="M460" t="s">
        <v>37664</v>
      </c>
      <c r="N460" t="s">
        <v>41249</v>
      </c>
      <c r="O460" t="s">
        <v>41250</v>
      </c>
      <c r="P460">
        <v>0</v>
      </c>
      <c r="Q460">
        <v>0</v>
      </c>
      <c r="R460" t="s">
        <v>41251</v>
      </c>
      <c r="S460" t="s">
        <v>41369</v>
      </c>
      <c r="T460" t="s">
        <v>42675</v>
      </c>
      <c r="U460" t="s">
        <v>43607</v>
      </c>
      <c r="W460" t="s">
        <v>37664</v>
      </c>
      <c r="X460" t="s">
        <v>41252</v>
      </c>
    </row>
    <row r="461" spans="1:24">
      <c r="A461">
        <f>HYPERLINK("https://www.philgeps.gov.ph/GEPSNONPILOT/Tender/SplashBidNoticeAbstractUI.aspx?menuIndex=3&amp;refID=7076469&amp;Result=3","7076469")</f>
        <v>0</v>
      </c>
      <c r="B461" t="s">
        <v>259</v>
      </c>
      <c r="C461" t="s">
        <v>3814</v>
      </c>
      <c r="D461" t="s">
        <v>16615</v>
      </c>
      <c r="E461" t="s">
        <v>17151</v>
      </c>
      <c r="F461" t="s">
        <v>28669</v>
      </c>
      <c r="G461" t="s">
        <v>28676</v>
      </c>
      <c r="H461" t="s">
        <v>9998</v>
      </c>
      <c r="I461" t="s">
        <v>28706</v>
      </c>
      <c r="J461" t="s">
        <v>29191</v>
      </c>
      <c r="K461" t="s">
        <v>37205</v>
      </c>
      <c r="M461" t="s">
        <v>37737</v>
      </c>
      <c r="N461" t="s">
        <v>41249</v>
      </c>
      <c r="O461" t="s">
        <v>41250</v>
      </c>
      <c r="P461">
        <v>0</v>
      </c>
      <c r="Q461">
        <v>0</v>
      </c>
      <c r="R461" t="s">
        <v>41251</v>
      </c>
      <c r="S461" t="s">
        <v>41369</v>
      </c>
      <c r="T461" t="s">
        <v>42702</v>
      </c>
      <c r="U461" t="s">
        <v>43608</v>
      </c>
      <c r="W461" t="s">
        <v>37737</v>
      </c>
      <c r="X461" t="s">
        <v>41252</v>
      </c>
    </row>
    <row r="462" spans="1:24">
      <c r="A462">
        <f>HYPERLINK("https://www.philgeps.gov.ph/GEPSNONPILOT/Tender/SplashBidNoticeAbstractUI.aspx?menuIndex=3&amp;refID=7076467&amp;Result=3","7076467")</f>
        <v>0</v>
      </c>
      <c r="B462" t="s">
        <v>122</v>
      </c>
      <c r="C462" t="s">
        <v>3815</v>
      </c>
      <c r="D462" t="s">
        <v>16659</v>
      </c>
      <c r="E462" t="s">
        <v>17152</v>
      </c>
      <c r="F462" t="s">
        <v>28669</v>
      </c>
      <c r="G462" t="s">
        <v>28678</v>
      </c>
      <c r="H462" t="s">
        <v>9998</v>
      </c>
      <c r="I462" t="s">
        <v>28693</v>
      </c>
      <c r="J462" t="s">
        <v>28953</v>
      </c>
      <c r="K462" t="s">
        <v>37206</v>
      </c>
      <c r="M462" t="s">
        <v>37598</v>
      </c>
      <c r="N462" t="s">
        <v>41249</v>
      </c>
      <c r="O462" t="s">
        <v>41250</v>
      </c>
      <c r="P462">
        <v>0</v>
      </c>
      <c r="Q462">
        <v>1</v>
      </c>
      <c r="R462" t="s">
        <v>41251</v>
      </c>
      <c r="S462" t="s">
        <v>41369</v>
      </c>
      <c r="T462" t="s">
        <v>42673</v>
      </c>
      <c r="U462" t="s">
        <v>43609</v>
      </c>
      <c r="W462" t="s">
        <v>37598</v>
      </c>
      <c r="X462" t="s">
        <v>41252</v>
      </c>
    </row>
    <row r="463" spans="1:24">
      <c r="A463">
        <f>HYPERLINK("https://www.philgeps.gov.ph/GEPSNONPILOT/Tender/SplashBidNoticeAbstractUI.aspx?menuIndex=3&amp;refID=7076438&amp;Result=3","7076438")</f>
        <v>0</v>
      </c>
      <c r="B463" t="s">
        <v>260</v>
      </c>
      <c r="C463" t="s">
        <v>3816</v>
      </c>
      <c r="D463" t="s">
        <v>16646</v>
      </c>
      <c r="E463" t="s">
        <v>17153</v>
      </c>
      <c r="F463" t="s">
        <v>28669</v>
      </c>
      <c r="G463" t="s">
        <v>28675</v>
      </c>
      <c r="H463" t="s">
        <v>28686</v>
      </c>
      <c r="I463" t="s">
        <v>28689</v>
      </c>
      <c r="J463" t="s">
        <v>29192</v>
      </c>
      <c r="K463" t="s">
        <v>37215</v>
      </c>
      <c r="M463" t="s">
        <v>37738</v>
      </c>
      <c r="N463" t="s">
        <v>41249</v>
      </c>
      <c r="O463" t="s">
        <v>41250</v>
      </c>
      <c r="P463">
        <v>0</v>
      </c>
      <c r="Q463">
        <v>0</v>
      </c>
      <c r="R463" t="s">
        <v>41251</v>
      </c>
      <c r="S463" t="s">
        <v>41369</v>
      </c>
      <c r="T463" t="s">
        <v>42769</v>
      </c>
      <c r="U463" t="s">
        <v>43610</v>
      </c>
      <c r="W463" t="s">
        <v>37738</v>
      </c>
      <c r="X463" t="s">
        <v>41252</v>
      </c>
    </row>
    <row r="464" spans="1:24">
      <c r="A464">
        <f>HYPERLINK("https://www.philgeps.gov.ph/GEPSNONPILOT/Tender/SplashBidNoticeAbstractUI.aspx?menuIndex=3&amp;refID=7076466&amp;Result=3","7076466")</f>
        <v>0</v>
      </c>
      <c r="B464" t="s">
        <v>261</v>
      </c>
      <c r="C464" t="s">
        <v>3817</v>
      </c>
      <c r="E464" t="s">
        <v>17154</v>
      </c>
      <c r="F464" t="s">
        <v>28669</v>
      </c>
      <c r="G464" t="s">
        <v>28675</v>
      </c>
      <c r="H464" t="s">
        <v>9998</v>
      </c>
      <c r="I464" t="s">
        <v>28689</v>
      </c>
      <c r="J464" t="s">
        <v>29193</v>
      </c>
      <c r="K464" t="s">
        <v>37209</v>
      </c>
      <c r="M464" t="s">
        <v>37739</v>
      </c>
      <c r="N464" t="s">
        <v>41249</v>
      </c>
      <c r="O464" t="s">
        <v>41250</v>
      </c>
      <c r="P464">
        <v>0</v>
      </c>
      <c r="Q464">
        <v>0</v>
      </c>
      <c r="R464" t="s">
        <v>41251</v>
      </c>
      <c r="S464" t="s">
        <v>41369</v>
      </c>
      <c r="T464" t="s">
        <v>42739</v>
      </c>
      <c r="U464" t="s">
        <v>43611</v>
      </c>
      <c r="W464" t="s">
        <v>37739</v>
      </c>
      <c r="X464" t="s">
        <v>41252</v>
      </c>
    </row>
    <row r="465" spans="1:24">
      <c r="A465">
        <f>HYPERLINK("https://www.philgeps.gov.ph/GEPSNONPILOT/Tender/SplashBidNoticeAbstractUI.aspx?menuIndex=3&amp;refID=7076465&amp;Result=3","7076465")</f>
        <v>0</v>
      </c>
      <c r="B465" t="s">
        <v>262</v>
      </c>
      <c r="C465" t="s">
        <v>3818</v>
      </c>
      <c r="D465" t="s">
        <v>16678</v>
      </c>
      <c r="E465" t="s">
        <v>17155</v>
      </c>
      <c r="F465" t="s">
        <v>28669</v>
      </c>
      <c r="G465" t="s">
        <v>28676</v>
      </c>
      <c r="H465" t="s">
        <v>9998</v>
      </c>
      <c r="I465" t="s">
        <v>3679</v>
      </c>
      <c r="J465" t="s">
        <v>29194</v>
      </c>
      <c r="K465" t="s">
        <v>37204</v>
      </c>
      <c r="M465" t="s">
        <v>37740</v>
      </c>
      <c r="N465" t="s">
        <v>41249</v>
      </c>
      <c r="O465" t="s">
        <v>41250</v>
      </c>
      <c r="P465">
        <v>0</v>
      </c>
      <c r="Q465">
        <v>0</v>
      </c>
      <c r="R465" t="s">
        <v>41251</v>
      </c>
      <c r="S465" t="s">
        <v>41369</v>
      </c>
      <c r="T465" t="s">
        <v>42673</v>
      </c>
      <c r="U465" t="s">
        <v>43612</v>
      </c>
      <c r="W465" t="s">
        <v>37740</v>
      </c>
      <c r="X465" t="s">
        <v>41252</v>
      </c>
    </row>
    <row r="466" spans="1:24">
      <c r="A466">
        <f>HYPERLINK("https://www.philgeps.gov.ph/GEPSNONPILOT/Tender/SplashBidNoticeAbstractUI.aspx?menuIndex=3&amp;refID=7076452&amp;Result=3","7076452")</f>
        <v>0</v>
      </c>
      <c r="B466" t="s">
        <v>235</v>
      </c>
      <c r="C466" t="s">
        <v>3819</v>
      </c>
      <c r="D466" t="s">
        <v>16615</v>
      </c>
      <c r="E466" t="s">
        <v>17156</v>
      </c>
      <c r="F466" t="s">
        <v>28669</v>
      </c>
      <c r="G466" t="s">
        <v>28677</v>
      </c>
      <c r="H466" t="s">
        <v>9998</v>
      </c>
      <c r="I466" t="s">
        <v>28690</v>
      </c>
      <c r="J466" t="s">
        <v>29195</v>
      </c>
      <c r="K466" t="s">
        <v>37209</v>
      </c>
      <c r="M466" t="s">
        <v>37713</v>
      </c>
      <c r="N466" t="s">
        <v>41249</v>
      </c>
      <c r="O466" t="s">
        <v>41250</v>
      </c>
      <c r="P466">
        <v>0</v>
      </c>
      <c r="Q466">
        <v>2</v>
      </c>
      <c r="R466" t="s">
        <v>41251</v>
      </c>
      <c r="S466" t="s">
        <v>41369</v>
      </c>
      <c r="T466" t="s">
        <v>42711</v>
      </c>
      <c r="U466" t="s">
        <v>43613</v>
      </c>
      <c r="W466" t="s">
        <v>55904</v>
      </c>
      <c r="X466" t="s">
        <v>41252</v>
      </c>
    </row>
    <row r="467" spans="1:24">
      <c r="A467">
        <f>HYPERLINK("https://www.philgeps.gov.ph/GEPSNONPILOT/Tender/SplashBidNoticeAbstractUI.aspx?menuIndex=3&amp;refID=7076464&amp;Result=3","7076464")</f>
        <v>0</v>
      </c>
      <c r="B467" t="s">
        <v>255</v>
      </c>
      <c r="C467" t="s">
        <v>3820</v>
      </c>
      <c r="E467" t="s">
        <v>17157</v>
      </c>
      <c r="F467" t="s">
        <v>28669</v>
      </c>
      <c r="G467" t="s">
        <v>28677</v>
      </c>
      <c r="H467" t="s">
        <v>9998</v>
      </c>
      <c r="I467" t="s">
        <v>28688</v>
      </c>
      <c r="J467" t="s">
        <v>29196</v>
      </c>
      <c r="K467" t="s">
        <v>37209</v>
      </c>
      <c r="M467" t="s">
        <v>37733</v>
      </c>
      <c r="N467" t="s">
        <v>41249</v>
      </c>
      <c r="O467" t="s">
        <v>41250</v>
      </c>
      <c r="P467">
        <v>0</v>
      </c>
      <c r="Q467">
        <v>0</v>
      </c>
      <c r="R467" t="s">
        <v>41251</v>
      </c>
      <c r="S467" t="s">
        <v>41369</v>
      </c>
      <c r="T467" t="s">
        <v>42766</v>
      </c>
      <c r="U467" t="s">
        <v>43614</v>
      </c>
      <c r="V467" t="s">
        <v>54316</v>
      </c>
      <c r="W467" t="s">
        <v>37733</v>
      </c>
      <c r="X467" t="s">
        <v>41252</v>
      </c>
    </row>
    <row r="468" spans="1:24">
      <c r="A468">
        <f>HYPERLINK("https://www.philgeps.gov.ph/GEPSNONPILOT/Tender/SplashBidNoticeAbstractUI.aspx?menuIndex=3&amp;refID=7076479&amp;Result=3","7076479")</f>
        <v>0</v>
      </c>
      <c r="B468" t="s">
        <v>263</v>
      </c>
      <c r="C468" t="s">
        <v>3821</v>
      </c>
      <c r="D468" t="s">
        <v>16624</v>
      </c>
      <c r="E468" t="s">
        <v>17158</v>
      </c>
      <c r="F468" t="s">
        <v>28669</v>
      </c>
      <c r="G468" t="s">
        <v>28676</v>
      </c>
      <c r="H468" t="s">
        <v>9998</v>
      </c>
      <c r="I468" t="s">
        <v>11593</v>
      </c>
      <c r="J468" t="s">
        <v>29197</v>
      </c>
      <c r="K468" t="s">
        <v>37227</v>
      </c>
      <c r="M468" t="s">
        <v>37741</v>
      </c>
      <c r="N468" t="s">
        <v>41249</v>
      </c>
      <c r="O468" t="s">
        <v>41250</v>
      </c>
      <c r="P468">
        <v>0</v>
      </c>
      <c r="Q468">
        <v>2</v>
      </c>
      <c r="R468" t="s">
        <v>41251</v>
      </c>
      <c r="S468" t="s">
        <v>41369</v>
      </c>
      <c r="T468" t="s">
        <v>42770</v>
      </c>
      <c r="U468" t="s">
        <v>43615</v>
      </c>
      <c r="W468" t="s">
        <v>37741</v>
      </c>
      <c r="X468" t="s">
        <v>41252</v>
      </c>
    </row>
    <row r="469" spans="1:24">
      <c r="A469">
        <f>HYPERLINK("https://www.philgeps.gov.ph/GEPSNONPILOT/Tender/SplashBidNoticeAbstractUI.aspx?menuIndex=3&amp;refID=7076478&amp;Result=3","7076478")</f>
        <v>0</v>
      </c>
      <c r="B469" t="s">
        <v>250</v>
      </c>
      <c r="C469" t="s">
        <v>3822</v>
      </c>
      <c r="D469" t="s">
        <v>16621</v>
      </c>
      <c r="E469" t="s">
        <v>17159</v>
      </c>
      <c r="F469" t="s">
        <v>28669</v>
      </c>
      <c r="G469" t="s">
        <v>28676</v>
      </c>
      <c r="H469" t="s">
        <v>9998</v>
      </c>
      <c r="I469" t="s">
        <v>3679</v>
      </c>
      <c r="J469" t="s">
        <v>29198</v>
      </c>
      <c r="K469" t="s">
        <v>37210</v>
      </c>
      <c r="M469" t="s">
        <v>37728</v>
      </c>
      <c r="N469" t="s">
        <v>41249</v>
      </c>
      <c r="O469" t="s">
        <v>41250</v>
      </c>
      <c r="P469">
        <v>0</v>
      </c>
      <c r="Q469">
        <v>0</v>
      </c>
      <c r="R469" t="s">
        <v>41251</v>
      </c>
      <c r="S469" t="s">
        <v>41369</v>
      </c>
      <c r="T469" t="s">
        <v>42675</v>
      </c>
      <c r="U469" t="s">
        <v>43616</v>
      </c>
      <c r="W469" t="s">
        <v>37728</v>
      </c>
      <c r="X469" t="s">
        <v>41252</v>
      </c>
    </row>
    <row r="470" spans="1:24">
      <c r="A470">
        <f>HYPERLINK("https://www.philgeps.gov.ph/GEPSNONPILOT/Tender/SplashBidNoticeAbstractUI.aspx?menuIndex=3&amp;refID=7076468&amp;Result=3","7076468")</f>
        <v>0</v>
      </c>
      <c r="B470" t="s">
        <v>264</v>
      </c>
      <c r="C470" t="s">
        <v>3823</v>
      </c>
      <c r="D470" t="s">
        <v>16654</v>
      </c>
      <c r="E470" t="s">
        <v>17160</v>
      </c>
      <c r="F470" t="s">
        <v>28669</v>
      </c>
      <c r="G470" t="s">
        <v>28676</v>
      </c>
      <c r="H470" t="s">
        <v>9998</v>
      </c>
      <c r="I470" t="s">
        <v>28711</v>
      </c>
      <c r="J470" t="s">
        <v>28826</v>
      </c>
      <c r="K470" t="s">
        <v>37243</v>
      </c>
      <c r="M470" t="s">
        <v>37742</v>
      </c>
      <c r="N470" t="s">
        <v>41249</v>
      </c>
      <c r="O470" t="s">
        <v>41250</v>
      </c>
      <c r="P470">
        <v>0</v>
      </c>
      <c r="Q470">
        <v>6</v>
      </c>
      <c r="R470" t="s">
        <v>41251</v>
      </c>
      <c r="S470" t="s">
        <v>41369</v>
      </c>
      <c r="T470" t="s">
        <v>42675</v>
      </c>
      <c r="U470" t="s">
        <v>43617</v>
      </c>
      <c r="W470" t="s">
        <v>37742</v>
      </c>
      <c r="X470" t="s">
        <v>41252</v>
      </c>
    </row>
    <row r="471" spans="1:24">
      <c r="A471">
        <f>HYPERLINK("https://www.philgeps.gov.ph/GEPSNONPILOT/Tender/SplashBidNoticeAbstractUI.aspx?menuIndex=3&amp;refID=7076475&amp;Result=3","7076475")</f>
        <v>0</v>
      </c>
      <c r="B471" t="s">
        <v>242</v>
      </c>
      <c r="C471" t="s">
        <v>3824</v>
      </c>
      <c r="D471" t="s">
        <v>16666</v>
      </c>
      <c r="E471" t="s">
        <v>17161</v>
      </c>
      <c r="F471" t="s">
        <v>28669</v>
      </c>
      <c r="G471" t="s">
        <v>28676</v>
      </c>
      <c r="H471" t="s">
        <v>9998</v>
      </c>
      <c r="I471" t="s">
        <v>28738</v>
      </c>
      <c r="J471" t="s">
        <v>29199</v>
      </c>
      <c r="K471" t="s">
        <v>37204</v>
      </c>
      <c r="M471" t="s">
        <v>37720</v>
      </c>
      <c r="N471" t="s">
        <v>41249</v>
      </c>
      <c r="O471" t="s">
        <v>41250</v>
      </c>
      <c r="P471">
        <v>0</v>
      </c>
      <c r="Q471">
        <v>3</v>
      </c>
      <c r="R471" t="s">
        <v>41251</v>
      </c>
      <c r="S471" t="s">
        <v>41369</v>
      </c>
      <c r="T471" t="s">
        <v>42711</v>
      </c>
      <c r="U471" t="s">
        <v>43618</v>
      </c>
      <c r="W471" t="s">
        <v>37720</v>
      </c>
      <c r="X471" t="s">
        <v>41252</v>
      </c>
    </row>
    <row r="472" spans="1:24">
      <c r="A472">
        <f>HYPERLINK("https://www.philgeps.gov.ph/GEPSNONPILOT/Tender/SplashBidNoticeAbstractUI.aspx?menuIndex=3&amp;refID=7076472&amp;Result=3","7076472")</f>
        <v>0</v>
      </c>
      <c r="B472" t="s">
        <v>265</v>
      </c>
      <c r="C472" t="s">
        <v>3825</v>
      </c>
      <c r="D472" t="s">
        <v>16608</v>
      </c>
      <c r="E472" t="s">
        <v>17162</v>
      </c>
      <c r="F472" t="s">
        <v>28669</v>
      </c>
      <c r="G472" t="s">
        <v>28676</v>
      </c>
      <c r="H472" t="s">
        <v>9998</v>
      </c>
      <c r="I472" t="s">
        <v>28739</v>
      </c>
      <c r="J472" t="s">
        <v>29183</v>
      </c>
      <c r="K472" t="s">
        <v>37209</v>
      </c>
      <c r="M472" t="s">
        <v>37743</v>
      </c>
      <c r="N472" t="s">
        <v>41249</v>
      </c>
      <c r="O472" t="s">
        <v>41250</v>
      </c>
      <c r="P472">
        <v>0</v>
      </c>
      <c r="Q472">
        <v>12</v>
      </c>
      <c r="R472" t="s">
        <v>41251</v>
      </c>
      <c r="S472" t="s">
        <v>41369</v>
      </c>
      <c r="T472" t="s">
        <v>42673</v>
      </c>
      <c r="U472" t="s">
        <v>43619</v>
      </c>
      <c r="V472" t="s">
        <v>54317</v>
      </c>
      <c r="W472" t="s">
        <v>37743</v>
      </c>
      <c r="X472" t="s">
        <v>41252</v>
      </c>
    </row>
    <row r="473" spans="1:24">
      <c r="A473">
        <f>HYPERLINK("https://www.philgeps.gov.ph/GEPSNONPILOT/Tender/SplashBidNoticeAbstractUI.aspx?menuIndex=3&amp;refID=7076458&amp;Result=3","7076458")</f>
        <v>0</v>
      </c>
      <c r="B473" t="s">
        <v>266</v>
      </c>
      <c r="C473" t="s">
        <v>3826</v>
      </c>
      <c r="E473" t="s">
        <v>17163</v>
      </c>
      <c r="F473" t="s">
        <v>28670</v>
      </c>
      <c r="G473" t="s">
        <v>28677</v>
      </c>
      <c r="H473" t="s">
        <v>9998</v>
      </c>
      <c r="I473" t="s">
        <v>28688</v>
      </c>
      <c r="J473" t="s">
        <v>29200</v>
      </c>
      <c r="K473" t="s">
        <v>37209</v>
      </c>
      <c r="M473" t="s">
        <v>37744</v>
      </c>
      <c r="N473" t="s">
        <v>41249</v>
      </c>
      <c r="O473" t="s">
        <v>41250</v>
      </c>
      <c r="P473">
        <v>0</v>
      </c>
      <c r="Q473">
        <v>19</v>
      </c>
      <c r="R473" t="s">
        <v>41251</v>
      </c>
      <c r="S473" t="s">
        <v>41369</v>
      </c>
      <c r="T473" t="s">
        <v>42726</v>
      </c>
      <c r="U473" t="s">
        <v>43620</v>
      </c>
      <c r="W473" t="s">
        <v>37744</v>
      </c>
      <c r="X473" t="s">
        <v>41252</v>
      </c>
    </row>
    <row r="474" spans="1:24">
      <c r="A474">
        <f>HYPERLINK("https://www.philgeps.gov.ph/GEPSNONPILOT/Tender/SplashBidNoticeAbstractUI.aspx?menuIndex=3&amp;refID=7076476&amp;Result=3","7076476")</f>
        <v>0</v>
      </c>
      <c r="B474" t="s">
        <v>267</v>
      </c>
      <c r="C474" t="s">
        <v>3827</v>
      </c>
      <c r="D474" t="s">
        <v>16679</v>
      </c>
      <c r="E474" t="s">
        <v>17164</v>
      </c>
      <c r="F474" t="s">
        <v>28669</v>
      </c>
      <c r="G474" t="s">
        <v>28676</v>
      </c>
      <c r="H474" t="s">
        <v>9998</v>
      </c>
      <c r="I474" t="s">
        <v>28690</v>
      </c>
      <c r="J474" t="s">
        <v>29201</v>
      </c>
      <c r="K474" t="s">
        <v>37206</v>
      </c>
      <c r="M474" t="s">
        <v>37745</v>
      </c>
      <c r="N474" t="s">
        <v>41249</v>
      </c>
      <c r="O474" t="s">
        <v>41250</v>
      </c>
      <c r="P474">
        <v>0</v>
      </c>
      <c r="Q474">
        <v>10</v>
      </c>
      <c r="R474" t="s">
        <v>41251</v>
      </c>
      <c r="S474" t="s">
        <v>41369</v>
      </c>
      <c r="T474" t="s">
        <v>42673</v>
      </c>
      <c r="U474" t="s">
        <v>43621</v>
      </c>
      <c r="V474" t="s">
        <v>54318</v>
      </c>
      <c r="W474" t="s">
        <v>55906</v>
      </c>
      <c r="X474" t="s">
        <v>41252</v>
      </c>
    </row>
    <row r="475" spans="1:24">
      <c r="A475">
        <f>HYPERLINK("https://www.philgeps.gov.ph/GEPSNONPILOT/Tender/SplashBidNoticeAbstractUI.aspx?menuIndex=3&amp;refID=7076439&amp;Result=3","7076439")</f>
        <v>0</v>
      </c>
      <c r="B475" t="s">
        <v>169</v>
      </c>
      <c r="C475" t="s">
        <v>3828</v>
      </c>
      <c r="D475" t="s">
        <v>16611</v>
      </c>
      <c r="E475" t="s">
        <v>17165</v>
      </c>
      <c r="F475" t="s">
        <v>28669</v>
      </c>
      <c r="G475" t="s">
        <v>28675</v>
      </c>
      <c r="H475" t="s">
        <v>9998</v>
      </c>
      <c r="I475" t="s">
        <v>28695</v>
      </c>
      <c r="J475" t="s">
        <v>29202</v>
      </c>
      <c r="K475" t="s">
        <v>37209</v>
      </c>
      <c r="M475" t="s">
        <v>37646</v>
      </c>
      <c r="N475" t="s">
        <v>41249</v>
      </c>
      <c r="O475" t="s">
        <v>41250</v>
      </c>
      <c r="P475">
        <v>0</v>
      </c>
      <c r="Q475">
        <v>0</v>
      </c>
      <c r="R475" t="s">
        <v>41251</v>
      </c>
      <c r="S475" t="s">
        <v>41369</v>
      </c>
      <c r="T475" t="s">
        <v>42688</v>
      </c>
      <c r="U475" t="s">
        <v>43622</v>
      </c>
      <c r="V475" t="s">
        <v>54294</v>
      </c>
      <c r="W475" t="s">
        <v>37646</v>
      </c>
      <c r="X475" t="s">
        <v>41252</v>
      </c>
    </row>
    <row r="476" spans="1:24">
      <c r="A476">
        <f>HYPERLINK("https://www.philgeps.gov.ph/GEPSNONPILOT/Tender/SplashBidNoticeAbstractUI.aspx?menuIndex=3&amp;refID=7076463&amp;Result=3","7076463")</f>
        <v>0</v>
      </c>
      <c r="B476" t="s">
        <v>268</v>
      </c>
      <c r="C476" t="s">
        <v>3829</v>
      </c>
      <c r="D476" t="s">
        <v>16608</v>
      </c>
      <c r="E476" t="s">
        <v>17166</v>
      </c>
      <c r="F476" t="s">
        <v>28669</v>
      </c>
      <c r="G476" t="s">
        <v>28677</v>
      </c>
      <c r="H476" t="s">
        <v>9998</v>
      </c>
      <c r="I476" t="s">
        <v>28695</v>
      </c>
      <c r="J476" t="s">
        <v>29203</v>
      </c>
      <c r="K476" t="s">
        <v>37234</v>
      </c>
      <c r="M476" t="s">
        <v>37746</v>
      </c>
      <c r="N476" t="s">
        <v>41249</v>
      </c>
      <c r="O476" t="s">
        <v>41250</v>
      </c>
      <c r="P476">
        <v>0</v>
      </c>
      <c r="Q476">
        <v>0</v>
      </c>
      <c r="R476" t="s">
        <v>41251</v>
      </c>
      <c r="S476" t="s">
        <v>41369</v>
      </c>
      <c r="T476" t="s">
        <v>42771</v>
      </c>
      <c r="U476" t="s">
        <v>43623</v>
      </c>
      <c r="W476" t="s">
        <v>37746</v>
      </c>
      <c r="X476" t="s">
        <v>41252</v>
      </c>
    </row>
    <row r="477" spans="1:24">
      <c r="A477">
        <f>HYPERLINK("https://www.philgeps.gov.ph/GEPSNONPILOT/Tender/SplashBidNoticeAbstractUI.aspx?menuIndex=3&amp;refID=7076483&amp;Result=3","7076483")</f>
        <v>0</v>
      </c>
      <c r="B477" t="s">
        <v>269</v>
      </c>
      <c r="C477" t="s">
        <v>3830</v>
      </c>
      <c r="D477" t="s">
        <v>16619</v>
      </c>
      <c r="E477" t="s">
        <v>17167</v>
      </c>
      <c r="F477" t="s">
        <v>28669</v>
      </c>
      <c r="G477" t="s">
        <v>28676</v>
      </c>
      <c r="H477" t="s">
        <v>9998</v>
      </c>
      <c r="I477" t="s">
        <v>3718</v>
      </c>
      <c r="J477" t="s">
        <v>29204</v>
      </c>
      <c r="K477" t="s">
        <v>37209</v>
      </c>
      <c r="M477" t="s">
        <v>37747</v>
      </c>
      <c r="N477" t="s">
        <v>41249</v>
      </c>
      <c r="O477" t="s">
        <v>41250</v>
      </c>
      <c r="P477">
        <v>0</v>
      </c>
      <c r="Q477">
        <v>0</v>
      </c>
      <c r="R477" t="s">
        <v>41251</v>
      </c>
      <c r="S477" t="s">
        <v>41369</v>
      </c>
      <c r="T477" t="s">
        <v>42694</v>
      </c>
      <c r="U477" t="s">
        <v>43624</v>
      </c>
      <c r="V477" t="s">
        <v>54319</v>
      </c>
      <c r="W477" t="s">
        <v>37747</v>
      </c>
      <c r="X477" t="s">
        <v>41252</v>
      </c>
    </row>
    <row r="478" spans="1:24">
      <c r="A478">
        <f>HYPERLINK("https://www.philgeps.gov.ph/GEPSNONPILOT/Tender/SplashBidNoticeAbstractUI.aspx?menuIndex=3&amp;refID=7076480&amp;Result=3","7076480")</f>
        <v>0</v>
      </c>
      <c r="B478" t="s">
        <v>270</v>
      </c>
      <c r="C478" t="s">
        <v>3831</v>
      </c>
      <c r="D478" t="s">
        <v>16648</v>
      </c>
      <c r="E478" t="s">
        <v>17168</v>
      </c>
      <c r="F478" t="s">
        <v>28669</v>
      </c>
      <c r="G478" t="s">
        <v>28676</v>
      </c>
      <c r="H478" t="s">
        <v>9998</v>
      </c>
      <c r="I478" t="s">
        <v>3718</v>
      </c>
      <c r="J478" t="s">
        <v>29205</v>
      </c>
      <c r="K478" t="s">
        <v>37243</v>
      </c>
      <c r="M478" t="s">
        <v>37748</v>
      </c>
      <c r="N478" t="s">
        <v>41249</v>
      </c>
      <c r="O478" t="s">
        <v>41250</v>
      </c>
      <c r="P478">
        <v>0</v>
      </c>
      <c r="Q478">
        <v>0</v>
      </c>
      <c r="R478" t="s">
        <v>41251</v>
      </c>
      <c r="S478" t="s">
        <v>41369</v>
      </c>
      <c r="T478" t="s">
        <v>42754</v>
      </c>
      <c r="U478" t="s">
        <v>43625</v>
      </c>
      <c r="W478" t="s">
        <v>37748</v>
      </c>
      <c r="X478" t="s">
        <v>41252</v>
      </c>
    </row>
    <row r="479" spans="1:24">
      <c r="A479">
        <f>HYPERLINK("https://www.philgeps.gov.ph/GEPSNONPILOT/Tender/SplashBidNoticeAbstractUI.aspx?menuIndex=3&amp;refID=7076501&amp;Result=3","7076501")</f>
        <v>0</v>
      </c>
      <c r="B479" t="s">
        <v>271</v>
      </c>
      <c r="C479" t="s">
        <v>3832</v>
      </c>
      <c r="D479" t="s">
        <v>16616</v>
      </c>
      <c r="E479" t="s">
        <v>17169</v>
      </c>
      <c r="F479" t="s">
        <v>28669</v>
      </c>
      <c r="G479" t="s">
        <v>28676</v>
      </c>
      <c r="H479" t="s">
        <v>9998</v>
      </c>
      <c r="I479" t="s">
        <v>3718</v>
      </c>
      <c r="J479" t="s">
        <v>29206</v>
      </c>
      <c r="K479" t="s">
        <v>37227</v>
      </c>
      <c r="M479" t="s">
        <v>37749</v>
      </c>
      <c r="N479" t="s">
        <v>41249</v>
      </c>
      <c r="O479" t="s">
        <v>41250</v>
      </c>
      <c r="P479">
        <v>0</v>
      </c>
      <c r="Q479">
        <v>1</v>
      </c>
      <c r="R479" t="s">
        <v>41251</v>
      </c>
      <c r="S479" t="s">
        <v>41369</v>
      </c>
      <c r="T479" t="s">
        <v>42751</v>
      </c>
      <c r="U479" t="s">
        <v>43626</v>
      </c>
      <c r="W479" t="s">
        <v>37749</v>
      </c>
      <c r="X479" t="s">
        <v>41252</v>
      </c>
    </row>
    <row r="480" spans="1:24">
      <c r="A480">
        <f>HYPERLINK("https://www.philgeps.gov.ph/GEPSNONPILOT/Tender/SplashBidNoticeAbstractUI.aspx?menuIndex=3&amp;refID=7076500&amp;Result=3","7076500")</f>
        <v>0</v>
      </c>
      <c r="B480" t="s">
        <v>272</v>
      </c>
      <c r="C480" t="s">
        <v>3833</v>
      </c>
      <c r="D480" t="s">
        <v>16626</v>
      </c>
      <c r="E480" t="s">
        <v>17170</v>
      </c>
      <c r="F480" t="s">
        <v>28669</v>
      </c>
      <c r="G480" t="s">
        <v>28676</v>
      </c>
      <c r="H480" t="s">
        <v>9998</v>
      </c>
      <c r="I480" t="s">
        <v>6128</v>
      </c>
      <c r="J480" t="s">
        <v>29207</v>
      </c>
      <c r="K480" t="s">
        <v>37234</v>
      </c>
      <c r="M480" t="s">
        <v>37750</v>
      </c>
      <c r="N480" t="s">
        <v>41249</v>
      </c>
      <c r="O480" t="s">
        <v>41250</v>
      </c>
      <c r="P480">
        <v>0</v>
      </c>
      <c r="Q480">
        <v>4</v>
      </c>
      <c r="R480" t="s">
        <v>41251</v>
      </c>
      <c r="S480" t="s">
        <v>41369</v>
      </c>
      <c r="T480" t="s">
        <v>42772</v>
      </c>
      <c r="U480" t="s">
        <v>43627</v>
      </c>
      <c r="W480" t="s">
        <v>37750</v>
      </c>
      <c r="X480" t="s">
        <v>41252</v>
      </c>
    </row>
    <row r="481" spans="1:24">
      <c r="A481">
        <f>HYPERLINK("https://www.philgeps.gov.ph/GEPSNONPILOT/Tender/SplashBidNoticeAbstractUI.aspx?menuIndex=3&amp;refID=7076499&amp;Result=3","7076499")</f>
        <v>0</v>
      </c>
      <c r="B481" t="s">
        <v>273</v>
      </c>
      <c r="C481" t="s">
        <v>3834</v>
      </c>
      <c r="D481" t="s">
        <v>16618</v>
      </c>
      <c r="E481" t="s">
        <v>17171</v>
      </c>
      <c r="F481" t="s">
        <v>28669</v>
      </c>
      <c r="G481" t="s">
        <v>28676</v>
      </c>
      <c r="H481" t="s">
        <v>9998</v>
      </c>
      <c r="I481" t="s">
        <v>28740</v>
      </c>
      <c r="J481" t="s">
        <v>29208</v>
      </c>
      <c r="K481" t="s">
        <v>37208</v>
      </c>
      <c r="M481" t="s">
        <v>37751</v>
      </c>
      <c r="N481" t="s">
        <v>41249</v>
      </c>
      <c r="O481" t="s">
        <v>41250</v>
      </c>
      <c r="P481">
        <v>0</v>
      </c>
      <c r="Q481">
        <v>2</v>
      </c>
      <c r="R481" t="s">
        <v>41251</v>
      </c>
      <c r="S481" t="s">
        <v>41369</v>
      </c>
      <c r="T481" t="s">
        <v>42773</v>
      </c>
      <c r="U481" t="s">
        <v>43628</v>
      </c>
      <c r="W481" t="s">
        <v>37751</v>
      </c>
      <c r="X481" t="s">
        <v>41252</v>
      </c>
    </row>
    <row r="482" spans="1:24">
      <c r="A482">
        <f>HYPERLINK("https://www.philgeps.gov.ph/GEPSNONPILOT/Tender/SplashBidNoticeAbstractUI.aspx?menuIndex=3&amp;refID=7076497&amp;Result=3","7076497")</f>
        <v>0</v>
      </c>
      <c r="B482" t="s">
        <v>256</v>
      </c>
      <c r="C482" t="s">
        <v>3835</v>
      </c>
      <c r="D482" t="s">
        <v>16664</v>
      </c>
      <c r="E482" t="s">
        <v>17172</v>
      </c>
      <c r="F482" t="s">
        <v>28669</v>
      </c>
      <c r="G482" t="s">
        <v>28678</v>
      </c>
      <c r="H482" t="s">
        <v>9998</v>
      </c>
      <c r="I482" t="s">
        <v>6128</v>
      </c>
      <c r="J482" t="s">
        <v>29209</v>
      </c>
      <c r="K482" t="s">
        <v>37205</v>
      </c>
      <c r="M482" t="s">
        <v>37734</v>
      </c>
      <c r="N482" t="s">
        <v>41249</v>
      </c>
      <c r="O482" t="s">
        <v>41250</v>
      </c>
      <c r="P482">
        <v>0</v>
      </c>
      <c r="Q482">
        <v>0</v>
      </c>
      <c r="R482" t="s">
        <v>41251</v>
      </c>
      <c r="S482" t="s">
        <v>41369</v>
      </c>
      <c r="T482" t="s">
        <v>42751</v>
      </c>
      <c r="U482" t="s">
        <v>43629</v>
      </c>
      <c r="W482" t="s">
        <v>37734</v>
      </c>
      <c r="X482" t="s">
        <v>41252</v>
      </c>
    </row>
    <row r="483" spans="1:24">
      <c r="A483">
        <f>HYPERLINK("https://www.philgeps.gov.ph/GEPSNONPILOT/Tender/SplashBidNoticeAbstractUI.aspx?menuIndex=3&amp;refID=7076455&amp;Result=3","7076455")</f>
        <v>0</v>
      </c>
      <c r="B483" t="s">
        <v>274</v>
      </c>
      <c r="C483" t="s">
        <v>3836</v>
      </c>
      <c r="D483" t="s">
        <v>16680</v>
      </c>
      <c r="E483" t="s">
        <v>17173</v>
      </c>
      <c r="F483" t="s">
        <v>28669</v>
      </c>
      <c r="G483" t="s">
        <v>28676</v>
      </c>
      <c r="H483" t="s">
        <v>9998</v>
      </c>
      <c r="I483" t="s">
        <v>6606</v>
      </c>
      <c r="J483" t="s">
        <v>29204</v>
      </c>
      <c r="K483" t="s">
        <v>37210</v>
      </c>
      <c r="M483" t="s">
        <v>37752</v>
      </c>
      <c r="N483" t="s">
        <v>41249</v>
      </c>
      <c r="O483" t="s">
        <v>41250</v>
      </c>
      <c r="P483">
        <v>0</v>
      </c>
      <c r="Q483">
        <v>0</v>
      </c>
      <c r="R483" t="s">
        <v>41251</v>
      </c>
      <c r="S483" t="s">
        <v>41369</v>
      </c>
      <c r="T483" t="s">
        <v>42681</v>
      </c>
      <c r="U483" t="s">
        <v>43630</v>
      </c>
      <c r="W483" t="s">
        <v>37752</v>
      </c>
      <c r="X483" t="s">
        <v>41252</v>
      </c>
    </row>
    <row r="484" spans="1:24">
      <c r="A484">
        <f>HYPERLINK("https://www.philgeps.gov.ph/GEPSNONPILOT/Tender/SplashBidNoticeAbstractUI.aspx?menuIndex=3&amp;refID=7076506&amp;Result=3","7076506")</f>
        <v>0</v>
      </c>
      <c r="B484" t="s">
        <v>259</v>
      </c>
      <c r="C484" t="s">
        <v>3837</v>
      </c>
      <c r="D484" t="s">
        <v>16615</v>
      </c>
      <c r="E484" t="s">
        <v>17174</v>
      </c>
      <c r="F484" t="s">
        <v>28669</v>
      </c>
      <c r="G484" t="s">
        <v>28676</v>
      </c>
      <c r="H484" t="s">
        <v>9998</v>
      </c>
      <c r="I484" t="s">
        <v>28706</v>
      </c>
      <c r="J484" t="s">
        <v>28826</v>
      </c>
      <c r="K484" t="s">
        <v>37205</v>
      </c>
      <c r="M484" t="s">
        <v>37737</v>
      </c>
      <c r="N484" t="s">
        <v>41249</v>
      </c>
      <c r="O484" t="s">
        <v>41250</v>
      </c>
      <c r="P484">
        <v>0</v>
      </c>
      <c r="Q484">
        <v>0</v>
      </c>
      <c r="R484" t="s">
        <v>41251</v>
      </c>
      <c r="S484" t="s">
        <v>41369</v>
      </c>
      <c r="T484" t="s">
        <v>42702</v>
      </c>
      <c r="U484" t="s">
        <v>43631</v>
      </c>
      <c r="W484" t="s">
        <v>37737</v>
      </c>
      <c r="X484" t="s">
        <v>41252</v>
      </c>
    </row>
    <row r="485" spans="1:24">
      <c r="A485">
        <f>HYPERLINK("https://www.philgeps.gov.ph/GEPSNONPILOT/Tender/SplashBidNoticeAbstractUI.aspx?menuIndex=3&amp;refID=7076505&amp;Result=3","7076505")</f>
        <v>0</v>
      </c>
      <c r="B485" t="s">
        <v>275</v>
      </c>
      <c r="C485" t="s">
        <v>3838</v>
      </c>
      <c r="D485" t="s">
        <v>16642</v>
      </c>
      <c r="E485" t="s">
        <v>17175</v>
      </c>
      <c r="F485" t="s">
        <v>28669</v>
      </c>
      <c r="G485" t="s">
        <v>28677</v>
      </c>
      <c r="H485" t="s">
        <v>9998</v>
      </c>
      <c r="I485" t="s">
        <v>7352</v>
      </c>
      <c r="J485" t="s">
        <v>29210</v>
      </c>
      <c r="K485" t="s">
        <v>37208</v>
      </c>
      <c r="M485" t="s">
        <v>37753</v>
      </c>
      <c r="N485" t="s">
        <v>41249</v>
      </c>
      <c r="O485" t="s">
        <v>41250</v>
      </c>
      <c r="P485">
        <v>0</v>
      </c>
      <c r="Q485">
        <v>1</v>
      </c>
      <c r="R485" t="s">
        <v>41251</v>
      </c>
      <c r="S485" t="s">
        <v>41369</v>
      </c>
      <c r="T485" t="s">
        <v>42774</v>
      </c>
      <c r="U485" t="s">
        <v>43632</v>
      </c>
      <c r="W485" t="s">
        <v>37753</v>
      </c>
      <c r="X485" t="s">
        <v>41252</v>
      </c>
    </row>
    <row r="486" spans="1:24">
      <c r="A486">
        <f>HYPERLINK("https://www.philgeps.gov.ph/GEPSNONPILOT/Tender/SplashBidNoticeAbstractUI.aspx?menuIndex=3&amp;refID=7076503&amp;Result=3","7076503")</f>
        <v>0</v>
      </c>
      <c r="B486" t="s">
        <v>250</v>
      </c>
      <c r="C486" t="s">
        <v>3839</v>
      </c>
      <c r="D486" t="s">
        <v>16621</v>
      </c>
      <c r="E486" t="s">
        <v>17176</v>
      </c>
      <c r="F486" t="s">
        <v>28669</v>
      </c>
      <c r="G486" t="s">
        <v>28676</v>
      </c>
      <c r="H486" t="s">
        <v>9998</v>
      </c>
      <c r="I486" t="s">
        <v>28694</v>
      </c>
      <c r="J486" t="s">
        <v>29211</v>
      </c>
      <c r="K486" t="s">
        <v>37227</v>
      </c>
      <c r="M486" t="s">
        <v>37728</v>
      </c>
      <c r="N486" t="s">
        <v>41249</v>
      </c>
      <c r="O486" t="s">
        <v>41250</v>
      </c>
      <c r="P486">
        <v>0</v>
      </c>
      <c r="Q486">
        <v>0</v>
      </c>
      <c r="R486" t="s">
        <v>41251</v>
      </c>
      <c r="S486" t="s">
        <v>41369</v>
      </c>
      <c r="T486" t="s">
        <v>42675</v>
      </c>
      <c r="U486" t="s">
        <v>43633</v>
      </c>
      <c r="W486" t="s">
        <v>37728</v>
      </c>
      <c r="X486" t="s">
        <v>41252</v>
      </c>
    </row>
    <row r="487" spans="1:24">
      <c r="A487">
        <f>HYPERLINK("https://www.philgeps.gov.ph/GEPSNONPILOT/Tender/SplashBidNoticeAbstractUI.aspx?menuIndex=3&amp;refID=7076495&amp;Result=3","7076495")</f>
        <v>0</v>
      </c>
      <c r="B487" t="s">
        <v>276</v>
      </c>
      <c r="C487" t="s">
        <v>3840</v>
      </c>
      <c r="D487" t="s">
        <v>16627</v>
      </c>
      <c r="E487" t="s">
        <v>17177</v>
      </c>
      <c r="F487" t="s">
        <v>28669</v>
      </c>
      <c r="G487" t="s">
        <v>28677</v>
      </c>
      <c r="H487" t="s">
        <v>9998</v>
      </c>
      <c r="I487" t="s">
        <v>28713</v>
      </c>
      <c r="J487" t="s">
        <v>29015</v>
      </c>
      <c r="K487" t="s">
        <v>37209</v>
      </c>
      <c r="M487" t="s">
        <v>37754</v>
      </c>
      <c r="N487" t="s">
        <v>41249</v>
      </c>
      <c r="O487" t="s">
        <v>41250</v>
      </c>
      <c r="P487">
        <v>0</v>
      </c>
      <c r="Q487">
        <v>3</v>
      </c>
      <c r="R487" t="s">
        <v>41251</v>
      </c>
      <c r="S487" t="s">
        <v>41369</v>
      </c>
      <c r="T487" t="s">
        <v>42774</v>
      </c>
      <c r="U487" t="s">
        <v>43634</v>
      </c>
      <c r="V487" t="s">
        <v>54320</v>
      </c>
      <c r="W487" t="s">
        <v>37754</v>
      </c>
      <c r="X487" t="s">
        <v>41252</v>
      </c>
    </row>
    <row r="488" spans="1:24">
      <c r="A488">
        <f>HYPERLINK("https://www.philgeps.gov.ph/GEPSNONPILOT/Tender/SplashBidNoticeAbstractUI.aspx?menuIndex=3&amp;refID=7076494&amp;Result=3","7076494")</f>
        <v>0</v>
      </c>
      <c r="B488" t="s">
        <v>277</v>
      </c>
      <c r="C488" t="s">
        <v>3841</v>
      </c>
      <c r="D488" t="s">
        <v>16613</v>
      </c>
      <c r="E488" t="s">
        <v>17178</v>
      </c>
      <c r="F488" t="s">
        <v>28669</v>
      </c>
      <c r="G488" t="s">
        <v>28675</v>
      </c>
      <c r="H488" t="s">
        <v>28686</v>
      </c>
      <c r="I488" t="s">
        <v>28689</v>
      </c>
      <c r="J488" t="s">
        <v>29212</v>
      </c>
      <c r="K488" t="s">
        <v>37209</v>
      </c>
      <c r="M488" t="s">
        <v>37755</v>
      </c>
      <c r="N488" t="s">
        <v>41249</v>
      </c>
      <c r="O488" t="s">
        <v>41250</v>
      </c>
      <c r="P488">
        <v>0</v>
      </c>
      <c r="Q488">
        <v>0</v>
      </c>
      <c r="R488" t="s">
        <v>41251</v>
      </c>
      <c r="S488" t="s">
        <v>41369</v>
      </c>
      <c r="T488" t="s">
        <v>42671</v>
      </c>
      <c r="U488" t="s">
        <v>43635</v>
      </c>
      <c r="W488" t="s">
        <v>55907</v>
      </c>
      <c r="X488" t="s">
        <v>41252</v>
      </c>
    </row>
    <row r="489" spans="1:24">
      <c r="A489">
        <f>HYPERLINK("https://www.philgeps.gov.ph/GEPSNONPILOT/Tender/SplashBidNoticeAbstractUI.aspx?menuIndex=3&amp;refID=7076507&amp;Result=3","7076507")</f>
        <v>0</v>
      </c>
      <c r="B489" t="s">
        <v>278</v>
      </c>
      <c r="C489" t="s">
        <v>3842</v>
      </c>
      <c r="D489" t="s">
        <v>16608</v>
      </c>
      <c r="E489" t="s">
        <v>17179</v>
      </c>
      <c r="F489" t="s">
        <v>28669</v>
      </c>
      <c r="G489" t="s">
        <v>28676</v>
      </c>
      <c r="H489" t="s">
        <v>9998</v>
      </c>
      <c r="I489" t="s">
        <v>28694</v>
      </c>
      <c r="J489" t="s">
        <v>29213</v>
      </c>
      <c r="K489" t="s">
        <v>37205</v>
      </c>
      <c r="M489" t="s">
        <v>37756</v>
      </c>
      <c r="N489" t="s">
        <v>41249</v>
      </c>
      <c r="O489" t="s">
        <v>41250</v>
      </c>
      <c r="P489">
        <v>0</v>
      </c>
      <c r="Q489">
        <v>6</v>
      </c>
      <c r="R489" t="s">
        <v>41251</v>
      </c>
      <c r="S489" t="s">
        <v>41369</v>
      </c>
      <c r="T489" t="s">
        <v>42734</v>
      </c>
      <c r="U489" t="s">
        <v>43636</v>
      </c>
      <c r="W489" t="s">
        <v>37756</v>
      </c>
      <c r="X489" t="s">
        <v>41252</v>
      </c>
    </row>
    <row r="490" spans="1:24">
      <c r="A490">
        <f>HYPERLINK("https://www.philgeps.gov.ph/GEPSNONPILOT/Tender/SplashBidNoticeAbstractUI.aspx?menuIndex=3&amp;refID=7076490&amp;Result=3","7076490")</f>
        <v>0</v>
      </c>
      <c r="B490" t="s">
        <v>279</v>
      </c>
      <c r="C490" t="s">
        <v>3843</v>
      </c>
      <c r="D490" t="s">
        <v>16666</v>
      </c>
      <c r="E490" t="s">
        <v>17180</v>
      </c>
      <c r="F490" t="s">
        <v>28669</v>
      </c>
      <c r="G490" t="s">
        <v>28675</v>
      </c>
      <c r="H490" t="s">
        <v>9998</v>
      </c>
      <c r="I490" t="s">
        <v>11593</v>
      </c>
      <c r="J490" t="s">
        <v>29214</v>
      </c>
      <c r="K490" t="s">
        <v>37229</v>
      </c>
      <c r="M490" t="s">
        <v>37757</v>
      </c>
      <c r="N490" t="s">
        <v>41249</v>
      </c>
      <c r="O490" t="s">
        <v>41250</v>
      </c>
      <c r="P490">
        <v>0</v>
      </c>
      <c r="Q490">
        <v>10</v>
      </c>
      <c r="R490" t="s">
        <v>41251</v>
      </c>
      <c r="S490" t="s">
        <v>41369</v>
      </c>
      <c r="T490" t="s">
        <v>42775</v>
      </c>
      <c r="U490" t="s">
        <v>43637</v>
      </c>
      <c r="W490" t="s">
        <v>37757</v>
      </c>
      <c r="X490" t="s">
        <v>41252</v>
      </c>
    </row>
    <row r="491" spans="1:24">
      <c r="A491">
        <f>HYPERLINK("https://www.philgeps.gov.ph/GEPSNONPILOT/Tender/SplashBidNoticeAbstractUI.aspx?menuIndex=3&amp;refID=7076489&amp;Result=3","7076489")</f>
        <v>0</v>
      </c>
      <c r="B491" t="s">
        <v>280</v>
      </c>
      <c r="C491" t="s">
        <v>3844</v>
      </c>
      <c r="D491" t="s">
        <v>16611</v>
      </c>
      <c r="E491" t="s">
        <v>17181</v>
      </c>
      <c r="F491" t="s">
        <v>28669</v>
      </c>
      <c r="G491" t="s">
        <v>28676</v>
      </c>
      <c r="H491" t="s">
        <v>9998</v>
      </c>
      <c r="I491" t="s">
        <v>6128</v>
      </c>
      <c r="J491" t="s">
        <v>28826</v>
      </c>
      <c r="K491" t="s">
        <v>37204</v>
      </c>
      <c r="M491" t="s">
        <v>37758</v>
      </c>
      <c r="N491" t="s">
        <v>41249</v>
      </c>
      <c r="O491" t="s">
        <v>41250</v>
      </c>
      <c r="P491">
        <v>0</v>
      </c>
      <c r="Q491">
        <v>0</v>
      </c>
      <c r="R491" t="s">
        <v>41251</v>
      </c>
      <c r="S491" t="s">
        <v>41369</v>
      </c>
      <c r="T491" t="s">
        <v>42690</v>
      </c>
      <c r="U491" t="s">
        <v>43638</v>
      </c>
      <c r="W491" t="s">
        <v>37758</v>
      </c>
      <c r="X491" t="s">
        <v>41252</v>
      </c>
    </row>
    <row r="492" spans="1:24">
      <c r="A492">
        <f>HYPERLINK("https://www.philgeps.gov.ph/GEPSNONPILOT/Tender/SplashBidNoticeAbstractUI.aspx?menuIndex=3&amp;refID=7076486&amp;Result=3","7076486")</f>
        <v>0</v>
      </c>
      <c r="B492" t="s">
        <v>188</v>
      </c>
      <c r="C492" t="s">
        <v>3845</v>
      </c>
      <c r="D492" t="s">
        <v>16664</v>
      </c>
      <c r="E492" t="s">
        <v>17182</v>
      </c>
      <c r="F492" t="s">
        <v>28669</v>
      </c>
      <c r="G492" t="s">
        <v>28675</v>
      </c>
      <c r="H492" t="s">
        <v>9998</v>
      </c>
      <c r="I492" t="s">
        <v>28717</v>
      </c>
      <c r="J492" t="s">
        <v>29215</v>
      </c>
      <c r="K492" t="s">
        <v>37220</v>
      </c>
      <c r="M492" t="s">
        <v>37666</v>
      </c>
      <c r="N492" t="s">
        <v>41249</v>
      </c>
      <c r="O492" t="s">
        <v>41250</v>
      </c>
      <c r="P492">
        <v>0</v>
      </c>
      <c r="Q492">
        <v>9</v>
      </c>
      <c r="R492" t="s">
        <v>41251</v>
      </c>
      <c r="S492" t="s">
        <v>41369</v>
      </c>
      <c r="T492" t="s">
        <v>42765</v>
      </c>
      <c r="U492" t="s">
        <v>43639</v>
      </c>
      <c r="W492" t="s">
        <v>37666</v>
      </c>
      <c r="X492" t="s">
        <v>41252</v>
      </c>
    </row>
    <row r="493" spans="1:24">
      <c r="A493">
        <f>HYPERLINK("https://www.philgeps.gov.ph/GEPSNONPILOT/Tender/SplashBidNoticeAbstractUI.aspx?menuIndex=3&amp;refID=7076485&amp;Result=3","7076485")</f>
        <v>0</v>
      </c>
      <c r="B493" t="s">
        <v>179</v>
      </c>
      <c r="C493" t="s">
        <v>3846</v>
      </c>
      <c r="D493" t="s">
        <v>16647</v>
      </c>
      <c r="E493" t="s">
        <v>17183</v>
      </c>
      <c r="F493" t="s">
        <v>28669</v>
      </c>
      <c r="G493" t="s">
        <v>28675</v>
      </c>
      <c r="H493" t="s">
        <v>28686</v>
      </c>
      <c r="I493" t="s">
        <v>28689</v>
      </c>
      <c r="J493" t="s">
        <v>29216</v>
      </c>
      <c r="K493" t="s">
        <v>37205</v>
      </c>
      <c r="M493" t="s">
        <v>37656</v>
      </c>
      <c r="N493" t="s">
        <v>41249</v>
      </c>
      <c r="O493" t="s">
        <v>41250</v>
      </c>
      <c r="P493">
        <v>0</v>
      </c>
      <c r="Q493">
        <v>2</v>
      </c>
      <c r="R493" t="s">
        <v>41251</v>
      </c>
      <c r="S493" t="s">
        <v>41369</v>
      </c>
      <c r="T493" t="s">
        <v>42688</v>
      </c>
      <c r="U493" t="s">
        <v>43640</v>
      </c>
      <c r="W493" t="s">
        <v>37656</v>
      </c>
      <c r="X493" t="s">
        <v>41252</v>
      </c>
    </row>
    <row r="494" spans="1:24">
      <c r="A494">
        <f>HYPERLINK("https://www.philgeps.gov.ph/GEPSNONPILOT/Tender/SplashBidNoticeAbstractUI.aspx?menuIndex=3&amp;refID=7076491&amp;Result=3","7076491")</f>
        <v>0</v>
      </c>
      <c r="B494" t="s">
        <v>186</v>
      </c>
      <c r="C494" t="s">
        <v>3847</v>
      </c>
      <c r="D494" t="s">
        <v>16654</v>
      </c>
      <c r="E494" t="s">
        <v>17184</v>
      </c>
      <c r="F494" t="s">
        <v>28669</v>
      </c>
      <c r="G494" t="s">
        <v>28676</v>
      </c>
      <c r="H494" t="s">
        <v>28686</v>
      </c>
      <c r="I494" t="s">
        <v>28689</v>
      </c>
      <c r="J494" t="s">
        <v>28826</v>
      </c>
      <c r="K494" t="s">
        <v>37210</v>
      </c>
      <c r="M494" t="s">
        <v>37664</v>
      </c>
      <c r="N494" t="s">
        <v>41249</v>
      </c>
      <c r="O494" t="s">
        <v>41250</v>
      </c>
      <c r="P494">
        <v>0</v>
      </c>
      <c r="Q494">
        <v>0</v>
      </c>
      <c r="R494" t="s">
        <v>41251</v>
      </c>
      <c r="S494" t="s">
        <v>41369</v>
      </c>
      <c r="T494" t="s">
        <v>42675</v>
      </c>
      <c r="U494" t="s">
        <v>43641</v>
      </c>
      <c r="W494" t="s">
        <v>37664</v>
      </c>
      <c r="X494" t="s">
        <v>41252</v>
      </c>
    </row>
    <row r="495" spans="1:24">
      <c r="A495">
        <f>HYPERLINK("https://www.philgeps.gov.ph/GEPSNONPILOT/Tender/SplashBidNoticeAbstractUI.aspx?menuIndex=3&amp;refID=7076484&amp;Result=3","7076484")</f>
        <v>0</v>
      </c>
      <c r="B495" t="s">
        <v>238</v>
      </c>
      <c r="C495" t="s">
        <v>3848</v>
      </c>
      <c r="D495" t="s">
        <v>16640</v>
      </c>
      <c r="E495" t="s">
        <v>17185</v>
      </c>
      <c r="F495" t="s">
        <v>28669</v>
      </c>
      <c r="G495" t="s">
        <v>28675</v>
      </c>
      <c r="H495" t="s">
        <v>28686</v>
      </c>
      <c r="I495" t="s">
        <v>28689</v>
      </c>
      <c r="J495" t="s">
        <v>28836</v>
      </c>
      <c r="K495" t="s">
        <v>37241</v>
      </c>
      <c r="M495" t="s">
        <v>37716</v>
      </c>
      <c r="N495" t="s">
        <v>41249</v>
      </c>
      <c r="O495" t="s">
        <v>41250</v>
      </c>
      <c r="P495">
        <v>0</v>
      </c>
      <c r="Q495">
        <v>1</v>
      </c>
      <c r="R495" t="s">
        <v>41251</v>
      </c>
      <c r="S495" t="s">
        <v>41369</v>
      </c>
      <c r="T495" t="s">
        <v>42720</v>
      </c>
      <c r="U495" t="s">
        <v>43642</v>
      </c>
      <c r="W495" t="s">
        <v>37716</v>
      </c>
      <c r="X495" t="s">
        <v>41252</v>
      </c>
    </row>
    <row r="496" spans="1:24">
      <c r="A496">
        <f>HYPERLINK("https://www.philgeps.gov.ph/GEPSNONPILOT/Tender/SplashBidNoticeAbstractUI.aspx?menuIndex=3&amp;refID=7076487&amp;Result=3","7076487")</f>
        <v>0</v>
      </c>
      <c r="B496" t="s">
        <v>59</v>
      </c>
      <c r="C496" t="s">
        <v>3849</v>
      </c>
      <c r="D496" t="s">
        <v>16639</v>
      </c>
      <c r="E496" t="s">
        <v>17186</v>
      </c>
      <c r="F496" t="s">
        <v>28669</v>
      </c>
      <c r="G496" t="s">
        <v>28676</v>
      </c>
      <c r="H496" t="s">
        <v>9998</v>
      </c>
      <c r="I496" t="s">
        <v>6606</v>
      </c>
      <c r="J496" t="s">
        <v>29217</v>
      </c>
      <c r="K496" t="s">
        <v>37209</v>
      </c>
      <c r="M496" t="s">
        <v>37534</v>
      </c>
      <c r="N496" t="s">
        <v>41249</v>
      </c>
      <c r="O496" t="s">
        <v>41250</v>
      </c>
      <c r="P496">
        <v>0</v>
      </c>
      <c r="Q496">
        <v>1</v>
      </c>
      <c r="R496" t="s">
        <v>41251</v>
      </c>
      <c r="S496" t="s">
        <v>41369</v>
      </c>
      <c r="T496" t="s">
        <v>42694</v>
      </c>
      <c r="U496" t="s">
        <v>43643</v>
      </c>
      <c r="W496" t="s">
        <v>37534</v>
      </c>
      <c r="X496" t="s">
        <v>41252</v>
      </c>
    </row>
    <row r="497" spans="1:24">
      <c r="A497">
        <f>HYPERLINK("https://www.philgeps.gov.ph/GEPSNONPILOT/Tender/SplashBidNoticeAbstractUI.aspx?menuIndex=3&amp;refID=7076531&amp;Result=3","7076531")</f>
        <v>0</v>
      </c>
      <c r="B497" t="s">
        <v>272</v>
      </c>
      <c r="C497" t="s">
        <v>3850</v>
      </c>
      <c r="D497" t="s">
        <v>16626</v>
      </c>
      <c r="E497" t="s">
        <v>17187</v>
      </c>
      <c r="F497" t="s">
        <v>28669</v>
      </c>
      <c r="G497" t="s">
        <v>28676</v>
      </c>
      <c r="H497" t="s">
        <v>9998</v>
      </c>
      <c r="I497" t="s">
        <v>6128</v>
      </c>
      <c r="J497" t="s">
        <v>29218</v>
      </c>
      <c r="K497" t="s">
        <v>37234</v>
      </c>
      <c r="M497" t="s">
        <v>37750</v>
      </c>
      <c r="N497" t="s">
        <v>41249</v>
      </c>
      <c r="O497" t="s">
        <v>41250</v>
      </c>
      <c r="P497">
        <v>0</v>
      </c>
      <c r="Q497">
        <v>4</v>
      </c>
      <c r="R497" t="s">
        <v>41251</v>
      </c>
      <c r="S497" t="s">
        <v>41369</v>
      </c>
      <c r="T497" t="s">
        <v>42711</v>
      </c>
      <c r="U497" t="s">
        <v>43644</v>
      </c>
      <c r="W497" t="s">
        <v>37750</v>
      </c>
      <c r="X497" t="s">
        <v>41252</v>
      </c>
    </row>
    <row r="498" spans="1:24">
      <c r="A498">
        <f>HYPERLINK("https://www.philgeps.gov.ph/GEPSNONPILOT/Tender/SplashBidNoticeAbstractUI.aspx?menuIndex=3&amp;refID=7076530&amp;Result=3","7076530")</f>
        <v>0</v>
      </c>
      <c r="B498" t="s">
        <v>281</v>
      </c>
      <c r="C498" t="s">
        <v>3851</v>
      </c>
      <c r="D498" t="s">
        <v>16652</v>
      </c>
      <c r="E498" t="s">
        <v>17188</v>
      </c>
      <c r="F498" t="s">
        <v>28669</v>
      </c>
      <c r="G498" t="s">
        <v>28675</v>
      </c>
      <c r="H498" t="s">
        <v>28686</v>
      </c>
      <c r="I498" t="s">
        <v>28689</v>
      </c>
      <c r="J498" t="s">
        <v>29120</v>
      </c>
      <c r="K498" t="s">
        <v>37219</v>
      </c>
      <c r="M498" t="s">
        <v>37759</v>
      </c>
      <c r="N498" t="s">
        <v>41249</v>
      </c>
      <c r="O498" t="s">
        <v>41250</v>
      </c>
      <c r="P498">
        <v>0</v>
      </c>
      <c r="Q498">
        <v>1</v>
      </c>
      <c r="R498" t="s">
        <v>41251</v>
      </c>
      <c r="S498" t="s">
        <v>41369</v>
      </c>
      <c r="T498" t="s">
        <v>42688</v>
      </c>
      <c r="U498" t="s">
        <v>43645</v>
      </c>
      <c r="W498" t="s">
        <v>37759</v>
      </c>
      <c r="X498" t="s">
        <v>41252</v>
      </c>
    </row>
    <row r="499" spans="1:24">
      <c r="A499">
        <f>HYPERLINK("https://www.philgeps.gov.ph/GEPSNONPILOT/Tender/SplashBidNoticeAbstractUI.aspx?menuIndex=3&amp;refID=7076529&amp;Result=3","7076529")</f>
        <v>0</v>
      </c>
      <c r="B499" t="s">
        <v>282</v>
      </c>
      <c r="C499" t="s">
        <v>3852</v>
      </c>
      <c r="D499" t="s">
        <v>16641</v>
      </c>
      <c r="E499" t="s">
        <v>17189</v>
      </c>
      <c r="F499" t="s">
        <v>28669</v>
      </c>
      <c r="G499" t="s">
        <v>28675</v>
      </c>
      <c r="H499" t="s">
        <v>9998</v>
      </c>
      <c r="I499" t="s">
        <v>28694</v>
      </c>
      <c r="J499" t="s">
        <v>29219</v>
      </c>
      <c r="K499" t="s">
        <v>37209</v>
      </c>
      <c r="M499" t="s">
        <v>37760</v>
      </c>
      <c r="N499" t="s">
        <v>41249</v>
      </c>
      <c r="O499" t="s">
        <v>41250</v>
      </c>
      <c r="P499">
        <v>0</v>
      </c>
      <c r="Q499">
        <v>1</v>
      </c>
      <c r="R499" t="s">
        <v>41251</v>
      </c>
      <c r="S499" t="s">
        <v>41369</v>
      </c>
      <c r="T499" t="s">
        <v>42688</v>
      </c>
      <c r="U499" t="s">
        <v>43646</v>
      </c>
      <c r="W499" t="s">
        <v>37760</v>
      </c>
      <c r="X499" t="s">
        <v>41252</v>
      </c>
    </row>
    <row r="500" spans="1:24">
      <c r="A500">
        <f>HYPERLINK("https://www.philgeps.gov.ph/GEPSNONPILOT/Tender/SplashBidNoticeAbstractUI.aspx?menuIndex=3&amp;refID=7076532&amp;Result=3","7076532")</f>
        <v>0</v>
      </c>
      <c r="B500" t="s">
        <v>283</v>
      </c>
      <c r="C500" t="s">
        <v>3853</v>
      </c>
      <c r="E500" t="s">
        <v>17190</v>
      </c>
      <c r="F500" t="s">
        <v>28669</v>
      </c>
      <c r="G500" t="s">
        <v>28678</v>
      </c>
      <c r="H500" t="s">
        <v>9998</v>
      </c>
      <c r="I500" t="s">
        <v>28741</v>
      </c>
      <c r="J500" t="s">
        <v>29220</v>
      </c>
      <c r="K500" t="s">
        <v>37210</v>
      </c>
      <c r="M500" t="s">
        <v>37761</v>
      </c>
      <c r="N500" t="s">
        <v>41249</v>
      </c>
      <c r="O500" t="s">
        <v>41250</v>
      </c>
      <c r="P500">
        <v>0</v>
      </c>
      <c r="Q500">
        <v>3</v>
      </c>
      <c r="R500" t="s">
        <v>41251</v>
      </c>
      <c r="S500" t="s">
        <v>41369</v>
      </c>
      <c r="T500" t="s">
        <v>42776</v>
      </c>
      <c r="U500" t="s">
        <v>43647</v>
      </c>
      <c r="W500" t="s">
        <v>37761</v>
      </c>
      <c r="X500" t="s">
        <v>41252</v>
      </c>
    </row>
    <row r="501" spans="1:24">
      <c r="A501">
        <f>HYPERLINK("https://www.philgeps.gov.ph/GEPSNONPILOT/Tender/SplashBidNoticeAbstractUI.aspx?menuIndex=3&amp;refID=7076528&amp;Result=3","7076528")</f>
        <v>0</v>
      </c>
      <c r="B501" t="s">
        <v>284</v>
      </c>
      <c r="C501" t="s">
        <v>3854</v>
      </c>
      <c r="E501" t="s">
        <v>17191</v>
      </c>
      <c r="F501" t="s">
        <v>28669</v>
      </c>
      <c r="G501" t="s">
        <v>28676</v>
      </c>
      <c r="H501" t="s">
        <v>9998</v>
      </c>
      <c r="I501" t="s">
        <v>28700</v>
      </c>
      <c r="J501" t="s">
        <v>29221</v>
      </c>
      <c r="K501" t="s">
        <v>37209</v>
      </c>
      <c r="M501" t="s">
        <v>37762</v>
      </c>
      <c r="N501" t="s">
        <v>41249</v>
      </c>
      <c r="O501" t="s">
        <v>41250</v>
      </c>
      <c r="P501">
        <v>0</v>
      </c>
      <c r="Q501">
        <v>4</v>
      </c>
      <c r="R501" t="s">
        <v>41251</v>
      </c>
      <c r="S501" t="s">
        <v>41369</v>
      </c>
      <c r="T501" t="s">
        <v>42673</v>
      </c>
      <c r="U501" t="s">
        <v>43648</v>
      </c>
      <c r="W501" t="s">
        <v>37762</v>
      </c>
      <c r="X501" t="s">
        <v>41252</v>
      </c>
    </row>
    <row r="502" spans="1:24">
      <c r="A502">
        <f>HYPERLINK("https://www.philgeps.gov.ph/GEPSNONPILOT/Tender/SplashBidNoticeAbstractUI.aspx?menuIndex=3&amp;refID=7076527&amp;Result=3","7076527")</f>
        <v>0</v>
      </c>
      <c r="B502" t="s">
        <v>285</v>
      </c>
      <c r="C502" t="s">
        <v>3855</v>
      </c>
      <c r="D502" t="s">
        <v>16624</v>
      </c>
      <c r="E502" t="s">
        <v>17192</v>
      </c>
      <c r="F502" t="s">
        <v>28669</v>
      </c>
      <c r="G502" t="s">
        <v>28675</v>
      </c>
      <c r="H502" t="s">
        <v>9998</v>
      </c>
      <c r="I502" t="s">
        <v>5213</v>
      </c>
      <c r="J502" t="s">
        <v>29222</v>
      </c>
      <c r="K502" t="s">
        <v>37205</v>
      </c>
      <c r="M502" t="s">
        <v>37763</v>
      </c>
      <c r="N502" t="s">
        <v>41249</v>
      </c>
      <c r="O502" t="s">
        <v>41250</v>
      </c>
      <c r="P502">
        <v>0</v>
      </c>
      <c r="Q502">
        <v>0</v>
      </c>
      <c r="R502" t="s">
        <v>41251</v>
      </c>
      <c r="S502" t="s">
        <v>41369</v>
      </c>
      <c r="T502" t="s">
        <v>42688</v>
      </c>
      <c r="U502" t="s">
        <v>43649</v>
      </c>
      <c r="W502" t="s">
        <v>37763</v>
      </c>
      <c r="X502" t="s">
        <v>41252</v>
      </c>
    </row>
    <row r="503" spans="1:24">
      <c r="A503">
        <f>HYPERLINK("https://www.philgeps.gov.ph/GEPSNONPILOT/Tender/SplashBidNoticeAbstractUI.aspx?menuIndex=3&amp;refID=7076526&amp;Result=3","7076526")</f>
        <v>0</v>
      </c>
      <c r="B503" t="s">
        <v>286</v>
      </c>
      <c r="C503" t="s">
        <v>3856</v>
      </c>
      <c r="D503" t="s">
        <v>16676</v>
      </c>
      <c r="E503" t="s">
        <v>17193</v>
      </c>
      <c r="F503" t="s">
        <v>28669</v>
      </c>
      <c r="G503" t="s">
        <v>28676</v>
      </c>
      <c r="H503" t="s">
        <v>9998</v>
      </c>
      <c r="I503" t="s">
        <v>28709</v>
      </c>
      <c r="J503" t="s">
        <v>29223</v>
      </c>
      <c r="K503" t="s">
        <v>37204</v>
      </c>
      <c r="M503" t="s">
        <v>37764</v>
      </c>
      <c r="N503" t="s">
        <v>41249</v>
      </c>
      <c r="O503" t="s">
        <v>41250</v>
      </c>
      <c r="P503">
        <v>0</v>
      </c>
      <c r="Q503">
        <v>0</v>
      </c>
      <c r="R503" t="s">
        <v>41251</v>
      </c>
      <c r="S503" t="s">
        <v>41369</v>
      </c>
      <c r="T503" t="s">
        <v>42707</v>
      </c>
      <c r="U503" t="s">
        <v>43650</v>
      </c>
      <c r="V503" t="s">
        <v>54321</v>
      </c>
      <c r="W503" t="s">
        <v>37764</v>
      </c>
      <c r="X503" t="s">
        <v>41252</v>
      </c>
    </row>
    <row r="504" spans="1:24">
      <c r="A504">
        <f>HYPERLINK("https://www.philgeps.gov.ph/GEPSNONPILOT/Tender/SplashBidNoticeAbstractUI.aspx?menuIndex=3&amp;refID=7076524&amp;Result=3","7076524")</f>
        <v>0</v>
      </c>
      <c r="B504" t="s">
        <v>207</v>
      </c>
      <c r="C504" t="s">
        <v>3857</v>
      </c>
      <c r="D504" t="s">
        <v>16625</v>
      </c>
      <c r="E504" t="s">
        <v>17194</v>
      </c>
      <c r="F504" t="s">
        <v>28669</v>
      </c>
      <c r="G504" t="s">
        <v>28677</v>
      </c>
      <c r="H504" t="s">
        <v>9998</v>
      </c>
      <c r="I504" t="s">
        <v>3679</v>
      </c>
      <c r="J504" t="s">
        <v>29224</v>
      </c>
      <c r="K504" t="s">
        <v>37204</v>
      </c>
      <c r="M504" t="s">
        <v>37765</v>
      </c>
      <c r="N504" t="s">
        <v>41249</v>
      </c>
      <c r="O504" t="s">
        <v>41250</v>
      </c>
      <c r="P504">
        <v>0</v>
      </c>
      <c r="Q504">
        <v>0</v>
      </c>
      <c r="R504" t="s">
        <v>41251</v>
      </c>
      <c r="S504" t="s">
        <v>41369</v>
      </c>
      <c r="T504" t="s">
        <v>42673</v>
      </c>
      <c r="U504" t="s">
        <v>43651</v>
      </c>
      <c r="W504" t="s">
        <v>55908</v>
      </c>
      <c r="X504" t="s">
        <v>41252</v>
      </c>
    </row>
    <row r="505" spans="1:24">
      <c r="A505">
        <f>HYPERLINK("https://www.philgeps.gov.ph/GEPSNONPILOT/Tender/SplashBidNoticeAbstractUI.aspx?menuIndex=3&amp;refID=7076522&amp;Result=3","7076522")</f>
        <v>0</v>
      </c>
      <c r="B505" t="s">
        <v>256</v>
      </c>
      <c r="C505" t="s">
        <v>3858</v>
      </c>
      <c r="D505" t="s">
        <v>16664</v>
      </c>
      <c r="E505" t="s">
        <v>17195</v>
      </c>
      <c r="F505" t="s">
        <v>28669</v>
      </c>
      <c r="G505" t="s">
        <v>28676</v>
      </c>
      <c r="H505" t="s">
        <v>9998</v>
      </c>
      <c r="I505" t="s">
        <v>28690</v>
      </c>
      <c r="J505" t="s">
        <v>28889</v>
      </c>
      <c r="K505" t="s">
        <v>37210</v>
      </c>
      <c r="M505" t="s">
        <v>37734</v>
      </c>
      <c r="N505" t="s">
        <v>41249</v>
      </c>
      <c r="O505" t="s">
        <v>41250</v>
      </c>
      <c r="P505">
        <v>0</v>
      </c>
      <c r="Q505">
        <v>9</v>
      </c>
      <c r="R505" t="s">
        <v>41251</v>
      </c>
      <c r="S505" t="s">
        <v>41369</v>
      </c>
      <c r="T505" t="s">
        <v>42751</v>
      </c>
      <c r="U505" t="s">
        <v>43652</v>
      </c>
      <c r="W505" t="s">
        <v>37734</v>
      </c>
      <c r="X505" t="s">
        <v>41252</v>
      </c>
    </row>
    <row r="506" spans="1:24">
      <c r="A506">
        <f>HYPERLINK("https://www.philgeps.gov.ph/GEPSNONPILOT/Tender/SplashBidNoticeAbstractUI.aspx?menuIndex=3&amp;refID=7076511&amp;Result=3","7076511")</f>
        <v>0</v>
      </c>
      <c r="B506" t="s">
        <v>30</v>
      </c>
      <c r="C506" t="s">
        <v>3859</v>
      </c>
      <c r="D506" t="s">
        <v>16612</v>
      </c>
      <c r="E506" t="s">
        <v>17196</v>
      </c>
      <c r="F506" t="s">
        <v>28669</v>
      </c>
      <c r="G506" t="s">
        <v>28677</v>
      </c>
      <c r="H506" t="s">
        <v>9998</v>
      </c>
      <c r="I506" t="s">
        <v>6128</v>
      </c>
      <c r="J506" t="s">
        <v>29225</v>
      </c>
      <c r="K506" t="s">
        <v>37210</v>
      </c>
      <c r="M506" t="s">
        <v>37505</v>
      </c>
      <c r="N506" t="s">
        <v>41249</v>
      </c>
      <c r="O506" t="s">
        <v>41250</v>
      </c>
      <c r="P506">
        <v>0</v>
      </c>
      <c r="Q506">
        <v>0</v>
      </c>
      <c r="R506" t="s">
        <v>41251</v>
      </c>
      <c r="S506" t="s">
        <v>41369</v>
      </c>
      <c r="T506" t="s">
        <v>42665</v>
      </c>
      <c r="U506" t="s">
        <v>43653</v>
      </c>
      <c r="W506" t="s">
        <v>37505</v>
      </c>
      <c r="X506" t="s">
        <v>41252</v>
      </c>
    </row>
    <row r="507" spans="1:24">
      <c r="A507">
        <f>HYPERLINK("https://www.philgeps.gov.ph/GEPSNONPILOT/Tender/SplashBidNoticeAbstractUI.aspx?menuIndex=3&amp;refID=7076533&amp;Result=3","7076533")</f>
        <v>0</v>
      </c>
      <c r="B507" t="s">
        <v>178</v>
      </c>
      <c r="C507" t="s">
        <v>3860</v>
      </c>
      <c r="D507" t="s">
        <v>16608</v>
      </c>
      <c r="E507" t="s">
        <v>17197</v>
      </c>
      <c r="F507" t="s">
        <v>28669</v>
      </c>
      <c r="G507" t="s">
        <v>28675</v>
      </c>
      <c r="H507" t="s">
        <v>9998</v>
      </c>
      <c r="I507" t="s">
        <v>28739</v>
      </c>
      <c r="J507" t="s">
        <v>29226</v>
      </c>
      <c r="K507" t="s">
        <v>37221</v>
      </c>
      <c r="M507" t="s">
        <v>37655</v>
      </c>
      <c r="N507" t="s">
        <v>41249</v>
      </c>
      <c r="O507" t="s">
        <v>41250</v>
      </c>
      <c r="P507">
        <v>0</v>
      </c>
      <c r="Q507">
        <v>6</v>
      </c>
      <c r="R507" t="s">
        <v>41251</v>
      </c>
      <c r="S507" t="s">
        <v>41369</v>
      </c>
      <c r="T507" t="s">
        <v>42669</v>
      </c>
      <c r="U507" t="s">
        <v>43654</v>
      </c>
      <c r="W507" t="s">
        <v>37655</v>
      </c>
      <c r="X507" t="s">
        <v>41252</v>
      </c>
    </row>
    <row r="508" spans="1:24">
      <c r="A508">
        <f>HYPERLINK("https://www.philgeps.gov.ph/GEPSNONPILOT/Tender/SplashBidNoticeAbstractUI.aspx?menuIndex=3&amp;refID=7076560&amp;Result=3","7076560")</f>
        <v>0</v>
      </c>
      <c r="B508" t="s">
        <v>287</v>
      </c>
      <c r="C508" t="s">
        <v>3861</v>
      </c>
      <c r="D508" t="s">
        <v>16611</v>
      </c>
      <c r="E508" t="s">
        <v>17198</v>
      </c>
      <c r="F508" t="s">
        <v>28669</v>
      </c>
      <c r="G508" t="s">
        <v>28675</v>
      </c>
      <c r="H508" t="s">
        <v>9998</v>
      </c>
      <c r="I508" t="s">
        <v>28699</v>
      </c>
      <c r="J508" t="s">
        <v>29227</v>
      </c>
      <c r="K508" t="s">
        <v>37243</v>
      </c>
      <c r="M508" t="s">
        <v>37766</v>
      </c>
      <c r="N508" t="s">
        <v>41249</v>
      </c>
      <c r="O508" t="s">
        <v>41250</v>
      </c>
      <c r="P508">
        <v>0</v>
      </c>
      <c r="Q508">
        <v>1</v>
      </c>
      <c r="R508" t="s">
        <v>41251</v>
      </c>
      <c r="S508" t="s">
        <v>41369</v>
      </c>
      <c r="T508" t="s">
        <v>42764</v>
      </c>
      <c r="U508" t="s">
        <v>43655</v>
      </c>
      <c r="W508" t="s">
        <v>37766</v>
      </c>
      <c r="X508" t="s">
        <v>41252</v>
      </c>
    </row>
    <row r="509" spans="1:24">
      <c r="A509">
        <f>HYPERLINK("https://www.philgeps.gov.ph/GEPSNONPILOT/Tender/SplashBidNoticeAbstractUI.aspx?menuIndex=3&amp;refID=7076559&amp;Result=3","7076559")</f>
        <v>0</v>
      </c>
      <c r="B509" t="s">
        <v>288</v>
      </c>
      <c r="C509" t="s">
        <v>3862</v>
      </c>
      <c r="D509" t="s">
        <v>16608</v>
      </c>
      <c r="E509" t="s">
        <v>17199</v>
      </c>
      <c r="F509" t="s">
        <v>28669</v>
      </c>
      <c r="G509" t="s">
        <v>28676</v>
      </c>
      <c r="H509" t="s">
        <v>28684</v>
      </c>
      <c r="I509" t="s">
        <v>28725</v>
      </c>
      <c r="J509" t="s">
        <v>29060</v>
      </c>
      <c r="K509" t="s">
        <v>37204</v>
      </c>
      <c r="M509" t="s">
        <v>37767</v>
      </c>
      <c r="N509" t="s">
        <v>41249</v>
      </c>
      <c r="O509" t="s">
        <v>41250</v>
      </c>
      <c r="P509">
        <v>0</v>
      </c>
      <c r="Q509">
        <v>0</v>
      </c>
      <c r="R509" t="s">
        <v>41251</v>
      </c>
      <c r="S509" t="s">
        <v>41369</v>
      </c>
      <c r="T509" t="s">
        <v>42673</v>
      </c>
      <c r="U509" t="s">
        <v>43656</v>
      </c>
      <c r="W509" t="s">
        <v>37767</v>
      </c>
      <c r="X509" t="s">
        <v>41252</v>
      </c>
    </row>
    <row r="510" spans="1:24">
      <c r="A510">
        <f>HYPERLINK("https://www.philgeps.gov.ph/GEPSNONPILOT/Tender/SplashBidNoticeAbstractUI.aspx?menuIndex=3&amp;refID=7076523&amp;Result=3","7076523")</f>
        <v>0</v>
      </c>
      <c r="B510" t="s">
        <v>289</v>
      </c>
      <c r="C510" t="s">
        <v>3863</v>
      </c>
      <c r="E510" t="s">
        <v>17200</v>
      </c>
      <c r="F510" t="s">
        <v>28671</v>
      </c>
      <c r="G510" t="s">
        <v>28676</v>
      </c>
      <c r="H510" t="s">
        <v>9998</v>
      </c>
      <c r="I510" t="s">
        <v>5213</v>
      </c>
      <c r="J510" t="s">
        <v>28889</v>
      </c>
      <c r="K510" t="s">
        <v>37209</v>
      </c>
      <c r="M510" t="s">
        <v>37768</v>
      </c>
      <c r="N510" t="s">
        <v>41249</v>
      </c>
      <c r="O510" t="s">
        <v>41250</v>
      </c>
      <c r="P510">
        <v>0</v>
      </c>
      <c r="Q510">
        <v>1</v>
      </c>
      <c r="R510" t="s">
        <v>41251</v>
      </c>
      <c r="S510" t="s">
        <v>41369</v>
      </c>
      <c r="T510" t="s">
        <v>42682</v>
      </c>
      <c r="U510" t="s">
        <v>43657</v>
      </c>
      <c r="W510" t="s">
        <v>37768</v>
      </c>
      <c r="X510" t="s">
        <v>41252</v>
      </c>
    </row>
    <row r="511" spans="1:24">
      <c r="A511">
        <f>HYPERLINK("https://www.philgeps.gov.ph/GEPSNONPILOT/Tender/SplashBidNoticeAbstractUI.aspx?menuIndex=3&amp;refID=7076558&amp;Result=3","7076558")</f>
        <v>0</v>
      </c>
      <c r="B511" t="s">
        <v>279</v>
      </c>
      <c r="C511" t="s">
        <v>3864</v>
      </c>
      <c r="D511" t="s">
        <v>16666</v>
      </c>
      <c r="E511" t="s">
        <v>17201</v>
      </c>
      <c r="F511" t="s">
        <v>28669</v>
      </c>
      <c r="G511" t="s">
        <v>28675</v>
      </c>
      <c r="H511" t="s">
        <v>9998</v>
      </c>
      <c r="I511" t="s">
        <v>28699</v>
      </c>
      <c r="J511" t="s">
        <v>29228</v>
      </c>
      <c r="K511" t="s">
        <v>37229</v>
      </c>
      <c r="M511" t="s">
        <v>37757</v>
      </c>
      <c r="N511" t="s">
        <v>41249</v>
      </c>
      <c r="O511" t="s">
        <v>41250</v>
      </c>
      <c r="P511">
        <v>0</v>
      </c>
      <c r="Q511">
        <v>2</v>
      </c>
      <c r="R511" t="s">
        <v>41251</v>
      </c>
      <c r="S511" t="s">
        <v>41369</v>
      </c>
      <c r="T511" t="s">
        <v>42676</v>
      </c>
      <c r="U511" t="s">
        <v>43658</v>
      </c>
      <c r="W511" t="s">
        <v>37757</v>
      </c>
      <c r="X511" t="s">
        <v>41252</v>
      </c>
    </row>
    <row r="512" spans="1:24">
      <c r="A512">
        <f>HYPERLINK("https://www.philgeps.gov.ph/GEPSNONPILOT/Tender/SplashBidNoticeAbstractUI.aspx?menuIndex=3&amp;refID=7076555&amp;Result=3","7076555")</f>
        <v>0</v>
      </c>
      <c r="B512" t="s">
        <v>290</v>
      </c>
      <c r="C512" t="s">
        <v>3865</v>
      </c>
      <c r="D512" t="s">
        <v>16646</v>
      </c>
      <c r="E512" t="s">
        <v>6569</v>
      </c>
      <c r="F512" t="s">
        <v>28671</v>
      </c>
      <c r="G512" t="s">
        <v>28677</v>
      </c>
      <c r="H512" t="s">
        <v>9998</v>
      </c>
      <c r="I512" t="s">
        <v>6128</v>
      </c>
      <c r="J512" t="s">
        <v>29229</v>
      </c>
      <c r="K512" t="s">
        <v>37216</v>
      </c>
      <c r="M512" t="s">
        <v>37769</v>
      </c>
      <c r="N512" t="s">
        <v>41249</v>
      </c>
      <c r="O512" t="s">
        <v>41250</v>
      </c>
      <c r="P512">
        <v>0</v>
      </c>
      <c r="Q512">
        <v>3</v>
      </c>
      <c r="R512" t="s">
        <v>41251</v>
      </c>
      <c r="S512" t="s">
        <v>41369</v>
      </c>
      <c r="T512" t="s">
        <v>42758</v>
      </c>
      <c r="U512" t="s">
        <v>43659</v>
      </c>
      <c r="W512" t="s">
        <v>37769</v>
      </c>
      <c r="X512" t="s">
        <v>41252</v>
      </c>
    </row>
    <row r="513" spans="1:24">
      <c r="A513">
        <f>HYPERLINK("https://www.philgeps.gov.ph/GEPSNONPILOT/Tender/SplashBidNoticeAbstractUI.aspx?menuIndex=3&amp;refID=7076553&amp;Result=3","7076553")</f>
        <v>0</v>
      </c>
      <c r="B513" t="s">
        <v>291</v>
      </c>
      <c r="C513" t="s">
        <v>3866</v>
      </c>
      <c r="D513" t="s">
        <v>16658</v>
      </c>
      <c r="E513" t="s">
        <v>17202</v>
      </c>
      <c r="F513" t="s">
        <v>28669</v>
      </c>
      <c r="G513" t="s">
        <v>28677</v>
      </c>
      <c r="H513" t="s">
        <v>9998</v>
      </c>
      <c r="I513" t="s">
        <v>11593</v>
      </c>
      <c r="J513" t="s">
        <v>28834</v>
      </c>
      <c r="K513" t="s">
        <v>37205</v>
      </c>
      <c r="M513" t="s">
        <v>37770</v>
      </c>
      <c r="N513" t="s">
        <v>41249</v>
      </c>
      <c r="O513" t="s">
        <v>41250</v>
      </c>
      <c r="P513">
        <v>0</v>
      </c>
      <c r="Q513">
        <v>0</v>
      </c>
      <c r="R513" t="s">
        <v>41251</v>
      </c>
      <c r="S513" t="s">
        <v>41369</v>
      </c>
      <c r="T513" t="s">
        <v>42748</v>
      </c>
      <c r="U513" t="s">
        <v>43660</v>
      </c>
      <c r="W513" t="s">
        <v>37770</v>
      </c>
      <c r="X513" t="s">
        <v>41252</v>
      </c>
    </row>
    <row r="514" spans="1:24">
      <c r="A514">
        <f>HYPERLINK("https://www.philgeps.gov.ph/GEPSNONPILOT/Tender/SplashBidNoticeAbstractUI.aspx?menuIndex=3&amp;refID=7076552&amp;Result=3","7076552")</f>
        <v>0</v>
      </c>
      <c r="B514" t="s">
        <v>253</v>
      </c>
      <c r="C514" t="s">
        <v>3867</v>
      </c>
      <c r="D514" t="s">
        <v>16621</v>
      </c>
      <c r="E514" t="s">
        <v>17203</v>
      </c>
      <c r="F514" t="s">
        <v>28669</v>
      </c>
      <c r="G514" t="s">
        <v>28677</v>
      </c>
      <c r="H514" t="s">
        <v>28686</v>
      </c>
      <c r="I514" t="s">
        <v>28710</v>
      </c>
      <c r="J514" t="s">
        <v>29230</v>
      </c>
      <c r="K514" t="s">
        <v>37204</v>
      </c>
      <c r="M514" t="s">
        <v>37731</v>
      </c>
      <c r="N514" t="s">
        <v>41249</v>
      </c>
      <c r="O514" t="s">
        <v>41250</v>
      </c>
      <c r="P514">
        <v>0</v>
      </c>
      <c r="Q514">
        <v>0</v>
      </c>
      <c r="R514" t="s">
        <v>41251</v>
      </c>
      <c r="S514" t="s">
        <v>41369</v>
      </c>
      <c r="T514" t="s">
        <v>42679</v>
      </c>
      <c r="U514" t="s">
        <v>43661</v>
      </c>
      <c r="W514" t="s">
        <v>37731</v>
      </c>
      <c r="X514" t="s">
        <v>41252</v>
      </c>
    </row>
    <row r="515" spans="1:24">
      <c r="A515">
        <f>HYPERLINK("https://www.philgeps.gov.ph/GEPSNONPILOT/Tender/SplashBidNoticeAbstractUI.aspx?menuIndex=3&amp;refID=7076548&amp;Result=3","7076548")</f>
        <v>0</v>
      </c>
      <c r="B515" t="s">
        <v>292</v>
      </c>
      <c r="C515" t="s">
        <v>3868</v>
      </c>
      <c r="D515" t="s">
        <v>16678</v>
      </c>
      <c r="E515" t="s">
        <v>17204</v>
      </c>
      <c r="F515" t="s">
        <v>28669</v>
      </c>
      <c r="G515" t="s">
        <v>28676</v>
      </c>
      <c r="H515" t="s">
        <v>28686</v>
      </c>
      <c r="I515" t="s">
        <v>28694</v>
      </c>
      <c r="J515" t="s">
        <v>29231</v>
      </c>
      <c r="K515" t="s">
        <v>37204</v>
      </c>
      <c r="M515" t="s">
        <v>37771</v>
      </c>
      <c r="N515" t="s">
        <v>41249</v>
      </c>
      <c r="O515" t="s">
        <v>41250</v>
      </c>
      <c r="P515">
        <v>0</v>
      </c>
      <c r="Q515">
        <v>0</v>
      </c>
      <c r="R515" t="s">
        <v>41251</v>
      </c>
      <c r="S515" t="s">
        <v>41369</v>
      </c>
      <c r="T515" t="s">
        <v>42686</v>
      </c>
      <c r="U515" t="s">
        <v>43662</v>
      </c>
      <c r="W515" t="s">
        <v>37771</v>
      </c>
      <c r="X515" t="s">
        <v>41252</v>
      </c>
    </row>
    <row r="516" spans="1:24">
      <c r="A516">
        <f>HYPERLINK("https://www.philgeps.gov.ph/GEPSNONPILOT/Tender/SplashBidNoticeAbstractUI.aspx?menuIndex=3&amp;refID=7076504&amp;Result=3","7076504")</f>
        <v>0</v>
      </c>
      <c r="B516" t="s">
        <v>29</v>
      </c>
      <c r="C516" t="s">
        <v>3869</v>
      </c>
      <c r="D516" t="s">
        <v>16611</v>
      </c>
      <c r="E516" t="s">
        <v>17205</v>
      </c>
      <c r="F516" t="s">
        <v>28669</v>
      </c>
      <c r="G516" t="s">
        <v>28675</v>
      </c>
      <c r="H516" t="s">
        <v>28686</v>
      </c>
      <c r="I516" t="s">
        <v>28689</v>
      </c>
      <c r="J516" t="s">
        <v>29232</v>
      </c>
      <c r="K516" t="s">
        <v>37209</v>
      </c>
      <c r="M516" t="s">
        <v>37504</v>
      </c>
      <c r="N516" t="s">
        <v>41249</v>
      </c>
      <c r="O516" t="s">
        <v>41250</v>
      </c>
      <c r="P516">
        <v>0</v>
      </c>
      <c r="Q516">
        <v>4</v>
      </c>
      <c r="R516" t="s">
        <v>41251</v>
      </c>
      <c r="S516" t="s">
        <v>41369</v>
      </c>
      <c r="T516" t="s">
        <v>42777</v>
      </c>
      <c r="U516" t="s">
        <v>43663</v>
      </c>
      <c r="W516" t="s">
        <v>37504</v>
      </c>
      <c r="X516" t="s">
        <v>41252</v>
      </c>
    </row>
    <row r="517" spans="1:24">
      <c r="A517">
        <f>HYPERLINK("https://www.philgeps.gov.ph/GEPSNONPILOT/Tender/SplashBidNoticeAbstractUI.aspx?menuIndex=3&amp;refID=7076557&amp;Result=3","7076557")</f>
        <v>0</v>
      </c>
      <c r="B517" t="s">
        <v>293</v>
      </c>
      <c r="C517" t="s">
        <v>3870</v>
      </c>
      <c r="D517" t="s">
        <v>16668</v>
      </c>
      <c r="E517" t="s">
        <v>17206</v>
      </c>
      <c r="F517" t="s">
        <v>28669</v>
      </c>
      <c r="G517" t="s">
        <v>28675</v>
      </c>
      <c r="H517" t="s">
        <v>28686</v>
      </c>
      <c r="I517" t="s">
        <v>28689</v>
      </c>
      <c r="J517" t="s">
        <v>29233</v>
      </c>
      <c r="K517" t="s">
        <v>37215</v>
      </c>
      <c r="M517" t="s">
        <v>37772</v>
      </c>
      <c r="N517" t="s">
        <v>41249</v>
      </c>
      <c r="O517" t="s">
        <v>41250</v>
      </c>
      <c r="P517">
        <v>0</v>
      </c>
      <c r="Q517">
        <v>0</v>
      </c>
      <c r="R517" t="s">
        <v>41251</v>
      </c>
      <c r="S517" t="s">
        <v>41369</v>
      </c>
      <c r="T517" t="s">
        <v>42712</v>
      </c>
      <c r="U517" t="s">
        <v>43664</v>
      </c>
      <c r="W517" t="s">
        <v>37772</v>
      </c>
      <c r="X517" t="s">
        <v>41252</v>
      </c>
    </row>
    <row r="518" spans="1:24">
      <c r="A518">
        <f>HYPERLINK("https://www.philgeps.gov.ph/GEPSNONPILOT/Tender/SplashBidNoticeAbstractUI.aspx?menuIndex=3&amp;refID=7076546&amp;Result=3","7076546")</f>
        <v>0</v>
      </c>
      <c r="B518" t="s">
        <v>294</v>
      </c>
      <c r="C518" t="s">
        <v>3871</v>
      </c>
      <c r="D518" t="s">
        <v>16640</v>
      </c>
      <c r="E518" t="s">
        <v>17207</v>
      </c>
      <c r="F518" t="s">
        <v>28669</v>
      </c>
      <c r="G518" t="s">
        <v>28677</v>
      </c>
      <c r="H518" t="s">
        <v>9998</v>
      </c>
      <c r="I518" t="s">
        <v>28688</v>
      </c>
      <c r="J518" t="s">
        <v>29234</v>
      </c>
      <c r="K518" t="s">
        <v>37206</v>
      </c>
      <c r="M518" t="s">
        <v>37773</v>
      </c>
      <c r="N518" t="s">
        <v>41249</v>
      </c>
      <c r="O518" t="s">
        <v>41250</v>
      </c>
      <c r="P518">
        <v>0</v>
      </c>
      <c r="Q518">
        <v>7</v>
      </c>
      <c r="R518" t="s">
        <v>41251</v>
      </c>
      <c r="S518" t="s">
        <v>41369</v>
      </c>
      <c r="T518" t="s">
        <v>42759</v>
      </c>
      <c r="U518" t="s">
        <v>43665</v>
      </c>
      <c r="W518" t="s">
        <v>37773</v>
      </c>
      <c r="X518" t="s">
        <v>41252</v>
      </c>
    </row>
    <row r="519" spans="1:24">
      <c r="A519">
        <f>HYPERLINK("https://www.philgeps.gov.ph/GEPSNONPILOT/Tender/SplashBidNoticeAbstractUI.aspx?menuIndex=3&amp;refID=7076551&amp;Result=3","7076551")</f>
        <v>0</v>
      </c>
      <c r="B519" t="s">
        <v>295</v>
      </c>
      <c r="C519" t="s">
        <v>3872</v>
      </c>
      <c r="D519" t="s">
        <v>16648</v>
      </c>
      <c r="E519" t="s">
        <v>17208</v>
      </c>
      <c r="F519" t="s">
        <v>28669</v>
      </c>
      <c r="G519" t="s">
        <v>28675</v>
      </c>
      <c r="H519" t="s">
        <v>28686</v>
      </c>
      <c r="I519" t="s">
        <v>28689</v>
      </c>
      <c r="J519" t="s">
        <v>29235</v>
      </c>
      <c r="K519" t="s">
        <v>37212</v>
      </c>
      <c r="L519" t="s">
        <v>295</v>
      </c>
      <c r="M519" t="s">
        <v>37774</v>
      </c>
      <c r="N519" t="s">
        <v>41249</v>
      </c>
      <c r="O519" t="s">
        <v>41250</v>
      </c>
      <c r="P519">
        <v>0</v>
      </c>
      <c r="Q519">
        <v>0</v>
      </c>
      <c r="R519" t="s">
        <v>41251</v>
      </c>
      <c r="S519" t="s">
        <v>41369</v>
      </c>
      <c r="T519" t="s">
        <v>42692</v>
      </c>
      <c r="U519" t="s">
        <v>43666</v>
      </c>
      <c r="V519" t="s">
        <v>54322</v>
      </c>
      <c r="W519" t="s">
        <v>37774</v>
      </c>
      <c r="X519" t="s">
        <v>41252</v>
      </c>
    </row>
    <row r="520" spans="1:24">
      <c r="A520">
        <f>HYPERLINK("https://www.philgeps.gov.ph/GEPSNONPILOT/Tender/SplashBidNoticeAbstractUI.aspx?menuIndex=3&amp;refID=7076543&amp;Result=3","7076543")</f>
        <v>0</v>
      </c>
      <c r="B520" t="s">
        <v>169</v>
      </c>
      <c r="C520" t="s">
        <v>3873</v>
      </c>
      <c r="D520" t="s">
        <v>16611</v>
      </c>
      <c r="E520" t="s">
        <v>17209</v>
      </c>
      <c r="F520" t="s">
        <v>28669</v>
      </c>
      <c r="G520" t="s">
        <v>28675</v>
      </c>
      <c r="H520" t="s">
        <v>9998</v>
      </c>
      <c r="I520" t="s">
        <v>28696</v>
      </c>
      <c r="J520" t="s">
        <v>29236</v>
      </c>
      <c r="K520" t="s">
        <v>37210</v>
      </c>
      <c r="M520" t="s">
        <v>37646</v>
      </c>
      <c r="N520" t="s">
        <v>41249</v>
      </c>
      <c r="O520" t="s">
        <v>41250</v>
      </c>
      <c r="P520">
        <v>0</v>
      </c>
      <c r="Q520">
        <v>0</v>
      </c>
      <c r="R520" t="s">
        <v>41251</v>
      </c>
      <c r="S520" t="s">
        <v>41369</v>
      </c>
      <c r="T520" t="s">
        <v>42688</v>
      </c>
      <c r="U520" t="s">
        <v>43667</v>
      </c>
      <c r="V520" t="s">
        <v>54294</v>
      </c>
      <c r="W520" t="s">
        <v>37646</v>
      </c>
      <c r="X520" t="s">
        <v>41252</v>
      </c>
    </row>
    <row r="521" spans="1:24">
      <c r="A521">
        <f>HYPERLINK("https://www.philgeps.gov.ph/GEPSNONPILOT/Tender/SplashBidNoticeAbstractUI.aspx?menuIndex=3&amp;refID=7076459&amp;Result=3","7076459")</f>
        <v>0</v>
      </c>
      <c r="B521" t="s">
        <v>179</v>
      </c>
      <c r="C521" t="s">
        <v>3874</v>
      </c>
      <c r="D521" t="s">
        <v>16647</v>
      </c>
      <c r="E521" t="s">
        <v>17210</v>
      </c>
      <c r="F521" t="s">
        <v>28669</v>
      </c>
      <c r="G521" t="s">
        <v>28675</v>
      </c>
      <c r="H521" t="s">
        <v>9998</v>
      </c>
      <c r="I521" t="s">
        <v>28709</v>
      </c>
      <c r="J521" t="s">
        <v>28878</v>
      </c>
      <c r="K521" t="s">
        <v>37205</v>
      </c>
      <c r="M521" t="s">
        <v>37656</v>
      </c>
      <c r="N521" t="s">
        <v>41249</v>
      </c>
      <c r="O521" t="s">
        <v>41250</v>
      </c>
      <c r="P521">
        <v>0</v>
      </c>
      <c r="Q521">
        <v>0</v>
      </c>
      <c r="R521" t="s">
        <v>41251</v>
      </c>
      <c r="S521" t="s">
        <v>41369</v>
      </c>
      <c r="T521" t="s">
        <v>42688</v>
      </c>
      <c r="U521" t="s">
        <v>43668</v>
      </c>
      <c r="W521" t="s">
        <v>37656</v>
      </c>
      <c r="X521" t="s">
        <v>41252</v>
      </c>
    </row>
    <row r="522" spans="1:24">
      <c r="A522">
        <f>HYPERLINK("https://www.philgeps.gov.ph/GEPSNONPILOT/Tender/SplashBidNoticeAbstractUI.aspx?menuIndex=3&amp;refID=7076547&amp;Result=3","7076547")</f>
        <v>0</v>
      </c>
      <c r="B522" t="s">
        <v>196</v>
      </c>
      <c r="C522" t="s">
        <v>3875</v>
      </c>
      <c r="D522" t="s">
        <v>16622</v>
      </c>
      <c r="E522" t="s">
        <v>17211</v>
      </c>
      <c r="F522" t="s">
        <v>28669</v>
      </c>
      <c r="G522" t="s">
        <v>28677</v>
      </c>
      <c r="H522" t="s">
        <v>9998</v>
      </c>
      <c r="I522" t="s">
        <v>28742</v>
      </c>
      <c r="J522" t="s">
        <v>29237</v>
      </c>
      <c r="K522" t="s">
        <v>37204</v>
      </c>
      <c r="M522" t="s">
        <v>37674</v>
      </c>
      <c r="N522" t="s">
        <v>41249</v>
      </c>
      <c r="O522" t="s">
        <v>41250</v>
      </c>
      <c r="P522">
        <v>0</v>
      </c>
      <c r="Q522">
        <v>8</v>
      </c>
      <c r="R522" t="s">
        <v>41251</v>
      </c>
      <c r="S522" t="s">
        <v>41369</v>
      </c>
      <c r="T522" t="s">
        <v>42742</v>
      </c>
      <c r="U522" t="s">
        <v>43669</v>
      </c>
      <c r="W522" t="s">
        <v>37674</v>
      </c>
      <c r="X522" t="s">
        <v>41252</v>
      </c>
    </row>
    <row r="523" spans="1:24">
      <c r="A523">
        <f>HYPERLINK("https://www.philgeps.gov.ph/GEPSNONPILOT/Tender/SplashBidNoticeAbstractUI.aspx?menuIndex=3&amp;refID=7076587&amp;Result=3","7076587")</f>
        <v>0</v>
      </c>
      <c r="B523" t="s">
        <v>296</v>
      </c>
      <c r="C523" t="s">
        <v>3876</v>
      </c>
      <c r="D523" t="s">
        <v>16658</v>
      </c>
      <c r="E523" t="s">
        <v>17212</v>
      </c>
      <c r="F523" t="s">
        <v>28669</v>
      </c>
      <c r="G523" t="s">
        <v>28676</v>
      </c>
      <c r="H523" t="s">
        <v>9998</v>
      </c>
      <c r="I523" t="s">
        <v>28713</v>
      </c>
      <c r="J523" t="s">
        <v>28894</v>
      </c>
      <c r="K523" t="s">
        <v>37205</v>
      </c>
      <c r="M523" t="s">
        <v>37775</v>
      </c>
      <c r="N523" t="s">
        <v>41249</v>
      </c>
      <c r="O523" t="s">
        <v>41250</v>
      </c>
      <c r="P523">
        <v>0</v>
      </c>
      <c r="Q523">
        <v>1</v>
      </c>
      <c r="R523" t="s">
        <v>41251</v>
      </c>
      <c r="S523" t="s">
        <v>41369</v>
      </c>
      <c r="T523" t="s">
        <v>42673</v>
      </c>
      <c r="U523" t="s">
        <v>43670</v>
      </c>
      <c r="W523" t="s">
        <v>37775</v>
      </c>
      <c r="X523" t="s">
        <v>41252</v>
      </c>
    </row>
    <row r="524" spans="1:24">
      <c r="A524">
        <f>HYPERLINK("https://www.philgeps.gov.ph/GEPSNONPILOT/Tender/SplashBidNoticeAbstractUI.aspx?menuIndex=3&amp;refID=7076585&amp;Result=3","7076585")</f>
        <v>0</v>
      </c>
      <c r="B524" t="s">
        <v>297</v>
      </c>
      <c r="C524" t="s">
        <v>3877</v>
      </c>
      <c r="D524" t="s">
        <v>16624</v>
      </c>
      <c r="E524" t="s">
        <v>17213</v>
      </c>
      <c r="F524" t="s">
        <v>28669</v>
      </c>
      <c r="G524" t="s">
        <v>28677</v>
      </c>
      <c r="H524" t="s">
        <v>9998</v>
      </c>
      <c r="I524" t="s">
        <v>3718</v>
      </c>
      <c r="J524" t="s">
        <v>29238</v>
      </c>
      <c r="K524" t="s">
        <v>37206</v>
      </c>
      <c r="M524" t="s">
        <v>37776</v>
      </c>
      <c r="N524" t="s">
        <v>41249</v>
      </c>
      <c r="O524" t="s">
        <v>41250</v>
      </c>
      <c r="P524">
        <v>0</v>
      </c>
      <c r="Q524">
        <v>2</v>
      </c>
      <c r="R524" t="s">
        <v>41251</v>
      </c>
      <c r="S524" t="s">
        <v>41369</v>
      </c>
      <c r="T524" t="s">
        <v>42690</v>
      </c>
      <c r="U524" t="s">
        <v>43671</v>
      </c>
      <c r="W524" t="s">
        <v>37776</v>
      </c>
      <c r="X524" t="s">
        <v>41252</v>
      </c>
    </row>
    <row r="525" spans="1:24">
      <c r="A525">
        <f>HYPERLINK("https://www.philgeps.gov.ph/GEPSNONPILOT/Tender/SplashBidNoticeAbstractUI.aspx?menuIndex=3&amp;refID=7076584&amp;Result=3","7076584")</f>
        <v>0</v>
      </c>
      <c r="B525" t="s">
        <v>298</v>
      </c>
      <c r="C525" t="s">
        <v>3878</v>
      </c>
      <c r="D525" t="s">
        <v>16608</v>
      </c>
      <c r="E525" t="s">
        <v>17214</v>
      </c>
      <c r="F525" t="s">
        <v>28669</v>
      </c>
      <c r="G525" t="s">
        <v>28676</v>
      </c>
      <c r="H525" t="s">
        <v>9998</v>
      </c>
      <c r="I525" t="s">
        <v>28722</v>
      </c>
      <c r="J525" t="s">
        <v>29239</v>
      </c>
      <c r="K525" t="s">
        <v>37205</v>
      </c>
      <c r="M525" t="s">
        <v>37777</v>
      </c>
      <c r="N525" t="s">
        <v>41249</v>
      </c>
      <c r="O525" t="s">
        <v>41250</v>
      </c>
      <c r="P525">
        <v>0</v>
      </c>
      <c r="Q525">
        <v>2</v>
      </c>
      <c r="R525" t="s">
        <v>41251</v>
      </c>
      <c r="S525" t="s">
        <v>41369</v>
      </c>
      <c r="T525" t="s">
        <v>42778</v>
      </c>
      <c r="U525" t="s">
        <v>43672</v>
      </c>
      <c r="W525" t="s">
        <v>37777</v>
      </c>
      <c r="X525" t="s">
        <v>41252</v>
      </c>
    </row>
    <row r="526" spans="1:24">
      <c r="A526">
        <f>HYPERLINK("https://www.philgeps.gov.ph/GEPSNONPILOT/Tender/SplashBidNoticeAbstractUI.aspx?menuIndex=3&amp;refID=7076583&amp;Result=3","7076583")</f>
        <v>0</v>
      </c>
      <c r="B526" t="s">
        <v>283</v>
      </c>
      <c r="C526" t="s">
        <v>3879</v>
      </c>
      <c r="E526" t="s">
        <v>17215</v>
      </c>
      <c r="F526" t="s">
        <v>28669</v>
      </c>
      <c r="G526" t="s">
        <v>28676</v>
      </c>
      <c r="H526" t="s">
        <v>9998</v>
      </c>
      <c r="I526" t="s">
        <v>3718</v>
      </c>
      <c r="J526" t="s">
        <v>29240</v>
      </c>
      <c r="K526" t="s">
        <v>37210</v>
      </c>
      <c r="M526" t="s">
        <v>37761</v>
      </c>
      <c r="N526" t="s">
        <v>41249</v>
      </c>
      <c r="O526" t="s">
        <v>41250</v>
      </c>
      <c r="P526">
        <v>0</v>
      </c>
      <c r="Q526">
        <v>10</v>
      </c>
      <c r="R526" t="s">
        <v>41251</v>
      </c>
      <c r="S526" t="s">
        <v>41369</v>
      </c>
      <c r="T526" t="s">
        <v>42776</v>
      </c>
      <c r="U526" t="s">
        <v>43673</v>
      </c>
      <c r="W526" t="s">
        <v>37761</v>
      </c>
      <c r="X526" t="s">
        <v>41252</v>
      </c>
    </row>
    <row r="527" spans="1:24">
      <c r="A527">
        <f>HYPERLINK("https://www.philgeps.gov.ph/GEPSNONPILOT/Tender/SplashBidNoticeAbstractUI.aspx?menuIndex=3&amp;refID=7076580&amp;Result=3","7076580")</f>
        <v>0</v>
      </c>
      <c r="B527" t="s">
        <v>299</v>
      </c>
      <c r="C527" t="s">
        <v>3880</v>
      </c>
      <c r="D527" t="s">
        <v>16639</v>
      </c>
      <c r="E527" t="s">
        <v>17216</v>
      </c>
      <c r="F527" t="s">
        <v>28669</v>
      </c>
      <c r="G527" t="s">
        <v>28676</v>
      </c>
      <c r="H527" t="s">
        <v>9998</v>
      </c>
      <c r="I527" t="s">
        <v>28722</v>
      </c>
      <c r="J527" t="s">
        <v>29241</v>
      </c>
      <c r="K527" t="s">
        <v>37205</v>
      </c>
      <c r="M527" t="s">
        <v>37778</v>
      </c>
      <c r="N527" t="s">
        <v>41249</v>
      </c>
      <c r="O527" t="s">
        <v>41250</v>
      </c>
      <c r="P527">
        <v>0</v>
      </c>
      <c r="Q527">
        <v>1</v>
      </c>
      <c r="R527" t="s">
        <v>41251</v>
      </c>
      <c r="S527" t="s">
        <v>41369</v>
      </c>
      <c r="T527" t="s">
        <v>42730</v>
      </c>
      <c r="U527" t="s">
        <v>43674</v>
      </c>
      <c r="W527" t="s">
        <v>37778</v>
      </c>
      <c r="X527" t="s">
        <v>41252</v>
      </c>
    </row>
    <row r="528" spans="1:24">
      <c r="A528">
        <f>HYPERLINK("https://www.philgeps.gov.ph/GEPSNONPILOT/Tender/SplashBidNoticeAbstractUI.aspx?menuIndex=3&amp;refID=7076565&amp;Result=3","7076565")</f>
        <v>0</v>
      </c>
      <c r="B528" t="s">
        <v>228</v>
      </c>
      <c r="C528" t="s">
        <v>3881</v>
      </c>
      <c r="D528" t="s">
        <v>16608</v>
      </c>
      <c r="E528" t="s">
        <v>17217</v>
      </c>
      <c r="F528" t="s">
        <v>28669</v>
      </c>
      <c r="G528" t="s">
        <v>28678</v>
      </c>
      <c r="H528" t="s">
        <v>9998</v>
      </c>
      <c r="I528" t="s">
        <v>6128</v>
      </c>
      <c r="J528" t="s">
        <v>29242</v>
      </c>
      <c r="K528" t="s">
        <v>37205</v>
      </c>
      <c r="M528" t="s">
        <v>37706</v>
      </c>
      <c r="N528" t="s">
        <v>41249</v>
      </c>
      <c r="O528" t="s">
        <v>41250</v>
      </c>
      <c r="P528">
        <v>0</v>
      </c>
      <c r="Q528">
        <v>8</v>
      </c>
      <c r="R528" t="s">
        <v>41251</v>
      </c>
      <c r="S528" t="s">
        <v>41369</v>
      </c>
      <c r="T528" t="s">
        <v>42690</v>
      </c>
      <c r="U528" t="s">
        <v>43675</v>
      </c>
      <c r="V528" t="s">
        <v>54323</v>
      </c>
      <c r="W528" t="s">
        <v>37706</v>
      </c>
      <c r="X528" t="s">
        <v>41252</v>
      </c>
    </row>
    <row r="529" spans="1:24">
      <c r="A529">
        <f>HYPERLINK("https://www.philgeps.gov.ph/GEPSNONPILOT/Tender/SplashBidNoticeAbstractUI.aspx?menuIndex=3&amp;refID=7076578&amp;Result=3","7076578")</f>
        <v>0</v>
      </c>
      <c r="B529" t="s">
        <v>300</v>
      </c>
      <c r="C529" t="s">
        <v>3882</v>
      </c>
      <c r="E529" t="s">
        <v>17218</v>
      </c>
      <c r="F529" t="s">
        <v>28669</v>
      </c>
      <c r="G529" t="s">
        <v>28676</v>
      </c>
      <c r="H529" t="s">
        <v>9998</v>
      </c>
      <c r="I529" t="s">
        <v>28709</v>
      </c>
      <c r="J529" t="s">
        <v>29243</v>
      </c>
      <c r="K529" t="s">
        <v>37209</v>
      </c>
      <c r="M529" t="s">
        <v>37779</v>
      </c>
      <c r="N529" t="s">
        <v>41249</v>
      </c>
      <c r="O529" t="s">
        <v>41250</v>
      </c>
      <c r="P529">
        <v>0</v>
      </c>
      <c r="Q529">
        <v>1</v>
      </c>
      <c r="R529" t="s">
        <v>41251</v>
      </c>
      <c r="S529" t="s">
        <v>41369</v>
      </c>
      <c r="T529" t="s">
        <v>42662</v>
      </c>
      <c r="U529" t="s">
        <v>43676</v>
      </c>
      <c r="W529" t="s">
        <v>37779</v>
      </c>
      <c r="X529" t="s">
        <v>41252</v>
      </c>
    </row>
    <row r="530" spans="1:24">
      <c r="A530">
        <f>HYPERLINK("https://www.philgeps.gov.ph/GEPSNONPILOT/Tender/SplashBidNoticeAbstractUI.aspx?menuIndex=3&amp;refID=7076571&amp;Result=3","7076571")</f>
        <v>0</v>
      </c>
      <c r="B530" t="s">
        <v>301</v>
      </c>
      <c r="C530" t="s">
        <v>3883</v>
      </c>
      <c r="D530" t="s">
        <v>16624</v>
      </c>
      <c r="E530" t="s">
        <v>17219</v>
      </c>
      <c r="F530" t="s">
        <v>28669</v>
      </c>
      <c r="G530" t="s">
        <v>28675</v>
      </c>
      <c r="H530" t="s">
        <v>9998</v>
      </c>
      <c r="I530" t="s">
        <v>28743</v>
      </c>
      <c r="J530" t="s">
        <v>29244</v>
      </c>
      <c r="K530" t="s">
        <v>37206</v>
      </c>
      <c r="M530" t="s">
        <v>37780</v>
      </c>
      <c r="N530" t="s">
        <v>41249</v>
      </c>
      <c r="O530" t="s">
        <v>41250</v>
      </c>
      <c r="P530">
        <v>0</v>
      </c>
      <c r="Q530">
        <v>0</v>
      </c>
      <c r="R530" t="s">
        <v>41251</v>
      </c>
      <c r="S530" t="s">
        <v>41369</v>
      </c>
      <c r="T530" t="s">
        <v>42779</v>
      </c>
      <c r="U530" t="s">
        <v>43677</v>
      </c>
      <c r="W530" t="s">
        <v>37780</v>
      </c>
      <c r="X530" t="s">
        <v>41252</v>
      </c>
    </row>
    <row r="531" spans="1:24">
      <c r="A531">
        <f>HYPERLINK("https://www.philgeps.gov.ph/GEPSNONPILOT/Tender/SplashBidNoticeAbstractUI.aspx?menuIndex=3&amp;refID=7076586&amp;Result=3","7076586")</f>
        <v>0</v>
      </c>
      <c r="B531" t="s">
        <v>302</v>
      </c>
      <c r="C531" t="s">
        <v>3884</v>
      </c>
      <c r="D531" t="s">
        <v>16627</v>
      </c>
      <c r="E531" t="s">
        <v>17220</v>
      </c>
      <c r="F531" t="s">
        <v>28669</v>
      </c>
      <c r="G531" t="s">
        <v>28675</v>
      </c>
      <c r="H531" t="s">
        <v>9998</v>
      </c>
      <c r="I531" t="s">
        <v>7352</v>
      </c>
      <c r="J531" t="s">
        <v>29245</v>
      </c>
      <c r="K531" t="s">
        <v>37204</v>
      </c>
      <c r="M531" t="s">
        <v>37781</v>
      </c>
      <c r="N531" t="s">
        <v>41249</v>
      </c>
      <c r="O531" t="s">
        <v>41250</v>
      </c>
      <c r="P531">
        <v>0</v>
      </c>
      <c r="Q531">
        <v>0</v>
      </c>
      <c r="R531" t="s">
        <v>41251</v>
      </c>
      <c r="S531" t="s">
        <v>41369</v>
      </c>
      <c r="T531" t="s">
        <v>42683</v>
      </c>
      <c r="U531" t="s">
        <v>43678</v>
      </c>
      <c r="W531" t="s">
        <v>37781</v>
      </c>
      <c r="X531" t="s">
        <v>41252</v>
      </c>
    </row>
    <row r="532" spans="1:24">
      <c r="A532">
        <f>HYPERLINK("https://www.philgeps.gov.ph/GEPSNONPILOT/Tender/SplashBidNoticeAbstractUI.aspx?menuIndex=3&amp;refID=7076570&amp;Result=3","7076570")</f>
        <v>0</v>
      </c>
      <c r="B532" t="s">
        <v>303</v>
      </c>
      <c r="C532" t="s">
        <v>3885</v>
      </c>
      <c r="E532" t="s">
        <v>17221</v>
      </c>
      <c r="F532" t="s">
        <v>28669</v>
      </c>
      <c r="G532" t="s">
        <v>28675</v>
      </c>
      <c r="H532" t="s">
        <v>9998</v>
      </c>
      <c r="I532" t="s">
        <v>7352</v>
      </c>
      <c r="J532" t="s">
        <v>29246</v>
      </c>
      <c r="K532" t="s">
        <v>37205</v>
      </c>
      <c r="M532" t="s">
        <v>37782</v>
      </c>
      <c r="N532" t="s">
        <v>41249</v>
      </c>
      <c r="O532" t="s">
        <v>41250</v>
      </c>
      <c r="P532">
        <v>0</v>
      </c>
      <c r="Q532">
        <v>0</v>
      </c>
      <c r="R532" t="s">
        <v>41251</v>
      </c>
      <c r="S532" t="s">
        <v>41369</v>
      </c>
      <c r="T532" t="s">
        <v>42672</v>
      </c>
      <c r="U532" t="s">
        <v>43679</v>
      </c>
      <c r="V532" t="s">
        <v>54324</v>
      </c>
      <c r="W532" t="s">
        <v>37782</v>
      </c>
      <c r="X532" t="s">
        <v>41252</v>
      </c>
    </row>
    <row r="533" spans="1:24">
      <c r="A533">
        <f>HYPERLINK("https://www.philgeps.gov.ph/GEPSNONPILOT/Tender/SplashBidNoticeAbstractUI.aspx?menuIndex=3&amp;refID=7076581&amp;Result=3","7076581")</f>
        <v>0</v>
      </c>
      <c r="B533" t="s">
        <v>179</v>
      </c>
      <c r="C533" t="s">
        <v>3886</v>
      </c>
      <c r="D533" t="s">
        <v>16647</v>
      </c>
      <c r="E533" t="s">
        <v>17222</v>
      </c>
      <c r="F533" t="s">
        <v>28669</v>
      </c>
      <c r="G533" t="s">
        <v>28675</v>
      </c>
      <c r="H533" t="s">
        <v>28686</v>
      </c>
      <c r="I533" t="s">
        <v>28689</v>
      </c>
      <c r="J533" t="s">
        <v>29247</v>
      </c>
      <c r="K533" t="s">
        <v>37205</v>
      </c>
      <c r="M533" t="s">
        <v>37656</v>
      </c>
      <c r="N533" t="s">
        <v>41249</v>
      </c>
      <c r="O533" t="s">
        <v>41250</v>
      </c>
      <c r="P533">
        <v>0</v>
      </c>
      <c r="Q533">
        <v>0</v>
      </c>
      <c r="R533" t="s">
        <v>41251</v>
      </c>
      <c r="S533" t="s">
        <v>41369</v>
      </c>
      <c r="T533" t="s">
        <v>42688</v>
      </c>
      <c r="U533" t="s">
        <v>43680</v>
      </c>
      <c r="W533" t="s">
        <v>37656</v>
      </c>
      <c r="X533" t="s">
        <v>41252</v>
      </c>
    </row>
    <row r="534" spans="1:24">
      <c r="A534">
        <f>HYPERLINK("https://www.philgeps.gov.ph/GEPSNONPILOT/Tender/SplashBidNoticeAbstractUI.aspx?menuIndex=3&amp;refID=7076569&amp;Result=3","7076569")</f>
        <v>0</v>
      </c>
      <c r="B534" t="s">
        <v>304</v>
      </c>
      <c r="C534" t="s">
        <v>3887</v>
      </c>
      <c r="D534" t="s">
        <v>16628</v>
      </c>
      <c r="E534" t="s">
        <v>17223</v>
      </c>
      <c r="F534" t="s">
        <v>28669</v>
      </c>
      <c r="G534" t="s">
        <v>28676</v>
      </c>
      <c r="H534" t="s">
        <v>9998</v>
      </c>
      <c r="I534" t="s">
        <v>6128</v>
      </c>
      <c r="J534" t="s">
        <v>29248</v>
      </c>
      <c r="K534" t="s">
        <v>37204</v>
      </c>
      <c r="M534" t="s">
        <v>37783</v>
      </c>
      <c r="N534" t="s">
        <v>41249</v>
      </c>
      <c r="O534" t="s">
        <v>41250</v>
      </c>
      <c r="P534">
        <v>0</v>
      </c>
      <c r="Q534">
        <v>2</v>
      </c>
      <c r="R534" t="s">
        <v>41251</v>
      </c>
      <c r="S534" t="s">
        <v>41369</v>
      </c>
      <c r="T534" t="s">
        <v>42726</v>
      </c>
      <c r="U534" t="s">
        <v>43681</v>
      </c>
      <c r="W534" t="s">
        <v>37783</v>
      </c>
      <c r="X534" t="s">
        <v>41252</v>
      </c>
    </row>
    <row r="535" spans="1:24">
      <c r="A535">
        <f>HYPERLINK("https://www.philgeps.gov.ph/GEPSNONPILOT/Tender/SplashBidNoticeAbstractUI.aspx?menuIndex=3&amp;refID=7076572&amp;Result=3","7076572")</f>
        <v>0</v>
      </c>
      <c r="B535" t="s">
        <v>305</v>
      </c>
      <c r="C535" t="s">
        <v>3888</v>
      </c>
      <c r="D535" t="s">
        <v>16664</v>
      </c>
      <c r="E535" t="s">
        <v>17224</v>
      </c>
      <c r="F535" t="s">
        <v>28669</v>
      </c>
      <c r="G535" t="s">
        <v>28675</v>
      </c>
      <c r="H535" t="s">
        <v>9998</v>
      </c>
      <c r="I535" t="s">
        <v>28722</v>
      </c>
      <c r="J535" t="s">
        <v>29249</v>
      </c>
      <c r="K535" t="s">
        <v>37206</v>
      </c>
      <c r="M535" t="s">
        <v>37784</v>
      </c>
      <c r="N535" t="s">
        <v>41249</v>
      </c>
      <c r="O535" t="s">
        <v>41250</v>
      </c>
      <c r="P535">
        <v>0</v>
      </c>
      <c r="Q535">
        <v>1</v>
      </c>
      <c r="R535" t="s">
        <v>41251</v>
      </c>
      <c r="S535" t="s">
        <v>41369</v>
      </c>
      <c r="T535" t="s">
        <v>42714</v>
      </c>
      <c r="U535" t="s">
        <v>43682</v>
      </c>
      <c r="W535" t="s">
        <v>37784</v>
      </c>
      <c r="X535" t="s">
        <v>41252</v>
      </c>
    </row>
    <row r="536" spans="1:24">
      <c r="A536">
        <f>HYPERLINK("https://www.philgeps.gov.ph/GEPSNONPILOT/Tender/SplashBidNoticeAbstractUI.aspx?menuIndex=3&amp;refID=7076609&amp;Result=3","7076609")</f>
        <v>0</v>
      </c>
      <c r="B536" t="s">
        <v>188</v>
      </c>
      <c r="C536" t="s">
        <v>3889</v>
      </c>
      <c r="D536" t="s">
        <v>16664</v>
      </c>
      <c r="E536" t="s">
        <v>17225</v>
      </c>
      <c r="F536" t="s">
        <v>28669</v>
      </c>
      <c r="G536" t="s">
        <v>28676</v>
      </c>
      <c r="H536" t="s">
        <v>9998</v>
      </c>
      <c r="I536" t="s">
        <v>6606</v>
      </c>
      <c r="J536" t="s">
        <v>29250</v>
      </c>
      <c r="K536" t="s">
        <v>37209</v>
      </c>
      <c r="M536" t="s">
        <v>37666</v>
      </c>
      <c r="N536" t="s">
        <v>41249</v>
      </c>
      <c r="O536" t="s">
        <v>41250</v>
      </c>
      <c r="P536">
        <v>0</v>
      </c>
      <c r="Q536">
        <v>0</v>
      </c>
      <c r="R536" t="s">
        <v>41251</v>
      </c>
      <c r="S536" t="s">
        <v>41369</v>
      </c>
      <c r="T536" t="s">
        <v>42703</v>
      </c>
      <c r="U536" t="s">
        <v>43683</v>
      </c>
      <c r="W536" t="s">
        <v>37666</v>
      </c>
      <c r="X536" t="s">
        <v>41252</v>
      </c>
    </row>
    <row r="537" spans="1:24">
      <c r="A537">
        <f>HYPERLINK("https://www.philgeps.gov.ph/GEPSNONPILOT/Tender/SplashBidNoticeAbstractUI.aspx?menuIndex=3&amp;refID=7076544&amp;Result=3","7076544")</f>
        <v>0</v>
      </c>
      <c r="B537" t="s">
        <v>306</v>
      </c>
      <c r="C537" t="s">
        <v>3890</v>
      </c>
      <c r="D537" t="s">
        <v>16641</v>
      </c>
      <c r="E537" t="s">
        <v>17226</v>
      </c>
      <c r="F537" t="s">
        <v>28669</v>
      </c>
      <c r="G537" t="s">
        <v>28675</v>
      </c>
      <c r="H537" t="s">
        <v>28685</v>
      </c>
      <c r="I537" t="s">
        <v>28703</v>
      </c>
      <c r="J537" t="s">
        <v>29251</v>
      </c>
      <c r="K537" t="s">
        <v>37213</v>
      </c>
      <c r="M537" t="s">
        <v>37785</v>
      </c>
      <c r="N537" t="s">
        <v>41249</v>
      </c>
      <c r="O537" t="s">
        <v>41250</v>
      </c>
      <c r="P537">
        <v>0</v>
      </c>
      <c r="Q537">
        <v>1</v>
      </c>
      <c r="R537" t="s">
        <v>41251</v>
      </c>
      <c r="S537" t="s">
        <v>41369</v>
      </c>
      <c r="T537" t="s">
        <v>42780</v>
      </c>
      <c r="U537" t="s">
        <v>43684</v>
      </c>
      <c r="W537" t="s">
        <v>55909</v>
      </c>
      <c r="X537" t="s">
        <v>41252</v>
      </c>
    </row>
    <row r="538" spans="1:24">
      <c r="A538">
        <f>HYPERLINK("https://www.philgeps.gov.ph/GEPSNONPILOT/Tender/SplashBidNoticeAbstractUI.aspx?menuIndex=3&amp;refID=7076606&amp;Result=3","7076606")</f>
        <v>0</v>
      </c>
      <c r="B538" t="s">
        <v>279</v>
      </c>
      <c r="C538" t="s">
        <v>3891</v>
      </c>
      <c r="D538" t="s">
        <v>16666</v>
      </c>
      <c r="E538" t="s">
        <v>17227</v>
      </c>
      <c r="F538" t="s">
        <v>28669</v>
      </c>
      <c r="G538" t="s">
        <v>28675</v>
      </c>
      <c r="H538" t="s">
        <v>9998</v>
      </c>
      <c r="I538" t="s">
        <v>3718</v>
      </c>
      <c r="J538" t="s">
        <v>28834</v>
      </c>
      <c r="K538" t="s">
        <v>37229</v>
      </c>
      <c r="M538" t="s">
        <v>37757</v>
      </c>
      <c r="N538" t="s">
        <v>41249</v>
      </c>
      <c r="O538" t="s">
        <v>41250</v>
      </c>
      <c r="P538">
        <v>0</v>
      </c>
      <c r="Q538">
        <v>3</v>
      </c>
      <c r="R538" t="s">
        <v>41251</v>
      </c>
      <c r="S538" t="s">
        <v>41369</v>
      </c>
      <c r="T538" t="s">
        <v>42676</v>
      </c>
      <c r="U538" t="s">
        <v>43685</v>
      </c>
      <c r="W538" t="s">
        <v>37757</v>
      </c>
      <c r="X538" t="s">
        <v>41252</v>
      </c>
    </row>
    <row r="539" spans="1:24">
      <c r="A539">
        <f>HYPERLINK("https://www.philgeps.gov.ph/GEPSNONPILOT/Tender/SplashBidNoticeAbstractUI.aspx?menuIndex=3&amp;refID=7076460&amp;Result=3","7076460")</f>
        <v>0</v>
      </c>
      <c r="B539" t="s">
        <v>256</v>
      </c>
      <c r="C539" t="s">
        <v>3892</v>
      </c>
      <c r="E539" t="s">
        <v>17228</v>
      </c>
      <c r="F539" t="s">
        <v>28669</v>
      </c>
      <c r="G539" t="s">
        <v>28676</v>
      </c>
      <c r="H539" t="s">
        <v>9998</v>
      </c>
      <c r="I539" t="s">
        <v>28691</v>
      </c>
      <c r="J539" t="s">
        <v>29252</v>
      </c>
      <c r="K539" t="s">
        <v>37206</v>
      </c>
      <c r="M539" t="s">
        <v>37734</v>
      </c>
      <c r="N539" t="s">
        <v>41249</v>
      </c>
      <c r="O539" t="s">
        <v>41250</v>
      </c>
      <c r="P539">
        <v>0</v>
      </c>
      <c r="Q539">
        <v>0</v>
      </c>
      <c r="R539" t="s">
        <v>41251</v>
      </c>
      <c r="S539" t="s">
        <v>41369</v>
      </c>
      <c r="T539" t="s">
        <v>42751</v>
      </c>
      <c r="U539" t="s">
        <v>43686</v>
      </c>
      <c r="W539" t="s">
        <v>37734</v>
      </c>
      <c r="X539" t="s">
        <v>41252</v>
      </c>
    </row>
    <row r="540" spans="1:24">
      <c r="A540">
        <f>HYPERLINK("https://www.philgeps.gov.ph/GEPSNONPILOT/Tender/SplashBidNoticeAbstractUI.aspx?menuIndex=3&amp;refID=7076605&amp;Result=3","7076605")</f>
        <v>0</v>
      </c>
      <c r="B540" t="s">
        <v>307</v>
      </c>
      <c r="C540" t="s">
        <v>3893</v>
      </c>
      <c r="D540" t="s">
        <v>16628</v>
      </c>
      <c r="E540" t="s">
        <v>17229</v>
      </c>
      <c r="F540" t="s">
        <v>28672</v>
      </c>
      <c r="G540" t="s">
        <v>28677</v>
      </c>
      <c r="H540" t="s">
        <v>9998</v>
      </c>
      <c r="I540" t="s">
        <v>28688</v>
      </c>
      <c r="J540" t="s">
        <v>29253</v>
      </c>
      <c r="K540" t="s">
        <v>37204</v>
      </c>
      <c r="M540" t="s">
        <v>37786</v>
      </c>
      <c r="N540" t="s">
        <v>41249</v>
      </c>
      <c r="O540" t="s">
        <v>41250</v>
      </c>
      <c r="P540">
        <v>0</v>
      </c>
      <c r="Q540">
        <v>0</v>
      </c>
      <c r="R540" t="s">
        <v>41251</v>
      </c>
      <c r="S540" t="s">
        <v>41369</v>
      </c>
      <c r="T540" t="s">
        <v>42682</v>
      </c>
      <c r="U540" t="s">
        <v>43687</v>
      </c>
      <c r="W540" t="s">
        <v>37786</v>
      </c>
      <c r="X540" t="s">
        <v>41252</v>
      </c>
    </row>
    <row r="541" spans="1:24">
      <c r="A541">
        <f>HYPERLINK("https://www.philgeps.gov.ph/GEPSNONPILOT/Tender/SplashBidNoticeAbstractUI.aspx?menuIndex=3&amp;refID=7076603&amp;Result=3","7076603")</f>
        <v>0</v>
      </c>
      <c r="B541" t="s">
        <v>304</v>
      </c>
      <c r="C541" t="s">
        <v>3894</v>
      </c>
      <c r="D541" t="s">
        <v>16628</v>
      </c>
      <c r="E541" t="s">
        <v>17230</v>
      </c>
      <c r="F541" t="s">
        <v>28669</v>
      </c>
      <c r="G541" t="s">
        <v>28676</v>
      </c>
      <c r="H541" t="s">
        <v>9998</v>
      </c>
      <c r="I541" t="s">
        <v>3718</v>
      </c>
      <c r="J541" t="s">
        <v>29254</v>
      </c>
      <c r="K541" t="s">
        <v>37204</v>
      </c>
      <c r="M541" t="s">
        <v>37783</v>
      </c>
      <c r="N541" t="s">
        <v>41249</v>
      </c>
      <c r="O541" t="s">
        <v>41250</v>
      </c>
      <c r="P541">
        <v>0</v>
      </c>
      <c r="Q541">
        <v>0</v>
      </c>
      <c r="R541" t="s">
        <v>41251</v>
      </c>
      <c r="S541" t="s">
        <v>41369</v>
      </c>
      <c r="T541" t="s">
        <v>42726</v>
      </c>
      <c r="U541" t="s">
        <v>43681</v>
      </c>
      <c r="W541" t="s">
        <v>37783</v>
      </c>
      <c r="X541" t="s">
        <v>41252</v>
      </c>
    </row>
    <row r="542" spans="1:24">
      <c r="A542">
        <f>HYPERLINK("https://www.philgeps.gov.ph/GEPSNONPILOT/Tender/SplashBidNoticeAbstractUI.aspx?menuIndex=3&amp;refID=7076601&amp;Result=3","7076601")</f>
        <v>0</v>
      </c>
      <c r="B542" t="s">
        <v>308</v>
      </c>
      <c r="C542" t="s">
        <v>3895</v>
      </c>
      <c r="D542" t="s">
        <v>16647</v>
      </c>
      <c r="E542" t="s">
        <v>17231</v>
      </c>
      <c r="F542" t="s">
        <v>28669</v>
      </c>
      <c r="G542" t="s">
        <v>28676</v>
      </c>
      <c r="H542" t="s">
        <v>9998</v>
      </c>
      <c r="I542" t="s">
        <v>7352</v>
      </c>
      <c r="J542" t="s">
        <v>29255</v>
      </c>
      <c r="K542" t="s">
        <v>37227</v>
      </c>
      <c r="M542" t="s">
        <v>37787</v>
      </c>
      <c r="N542" t="s">
        <v>41249</v>
      </c>
      <c r="O542" t="s">
        <v>41250</v>
      </c>
      <c r="P542">
        <v>0</v>
      </c>
      <c r="Q542">
        <v>0</v>
      </c>
      <c r="R542" t="s">
        <v>41251</v>
      </c>
      <c r="S542" t="s">
        <v>41369</v>
      </c>
      <c r="T542" t="s">
        <v>42754</v>
      </c>
      <c r="U542" t="s">
        <v>43688</v>
      </c>
      <c r="W542" t="s">
        <v>37787</v>
      </c>
      <c r="X542" t="s">
        <v>41252</v>
      </c>
    </row>
    <row r="543" spans="1:24">
      <c r="A543">
        <f>HYPERLINK("https://www.philgeps.gov.ph/GEPSNONPILOT/Tender/SplashBidNoticeAbstractUI.aspx?menuIndex=3&amp;refID=7076611&amp;Result=3","7076611")</f>
        <v>0</v>
      </c>
      <c r="B543" t="s">
        <v>253</v>
      </c>
      <c r="C543" t="s">
        <v>3896</v>
      </c>
      <c r="D543" t="s">
        <v>16621</v>
      </c>
      <c r="E543" t="s">
        <v>17232</v>
      </c>
      <c r="F543" t="s">
        <v>28669</v>
      </c>
      <c r="G543" t="s">
        <v>28677</v>
      </c>
      <c r="H543" t="s">
        <v>28686</v>
      </c>
      <c r="I543" t="s">
        <v>7352</v>
      </c>
      <c r="J543" t="s">
        <v>29256</v>
      </c>
      <c r="K543" t="s">
        <v>37204</v>
      </c>
      <c r="M543" t="s">
        <v>37731</v>
      </c>
      <c r="N543" t="s">
        <v>41249</v>
      </c>
      <c r="O543" t="s">
        <v>41250</v>
      </c>
      <c r="P543">
        <v>0</v>
      </c>
      <c r="Q543">
        <v>0</v>
      </c>
      <c r="R543" t="s">
        <v>41251</v>
      </c>
      <c r="S543" t="s">
        <v>41369</v>
      </c>
      <c r="T543" t="s">
        <v>42686</v>
      </c>
      <c r="U543" t="s">
        <v>43689</v>
      </c>
      <c r="W543" t="s">
        <v>37731</v>
      </c>
      <c r="X543" t="s">
        <v>41252</v>
      </c>
    </row>
    <row r="544" spans="1:24">
      <c r="A544">
        <f>HYPERLINK("https://www.philgeps.gov.ph/GEPSNONPILOT/Tender/SplashBidNoticeAbstractUI.aspx?menuIndex=3&amp;refID=7076600&amp;Result=3","7076600")</f>
        <v>0</v>
      </c>
      <c r="B544" t="s">
        <v>309</v>
      </c>
      <c r="C544" t="s">
        <v>3897</v>
      </c>
      <c r="D544" t="s">
        <v>16626</v>
      </c>
      <c r="E544" t="s">
        <v>17233</v>
      </c>
      <c r="F544" t="s">
        <v>28669</v>
      </c>
      <c r="G544" t="s">
        <v>28676</v>
      </c>
      <c r="H544" t="s">
        <v>9998</v>
      </c>
      <c r="I544" t="s">
        <v>3718</v>
      </c>
      <c r="J544" t="s">
        <v>28834</v>
      </c>
      <c r="K544" t="s">
        <v>37209</v>
      </c>
      <c r="M544" t="s">
        <v>37788</v>
      </c>
      <c r="N544" t="s">
        <v>41249</v>
      </c>
      <c r="O544" t="s">
        <v>41250</v>
      </c>
      <c r="P544">
        <v>0</v>
      </c>
      <c r="Q544">
        <v>0</v>
      </c>
      <c r="R544" t="s">
        <v>41251</v>
      </c>
      <c r="S544" t="s">
        <v>41369</v>
      </c>
      <c r="T544" t="s">
        <v>42694</v>
      </c>
      <c r="U544" t="s">
        <v>43690</v>
      </c>
      <c r="W544" t="s">
        <v>37788</v>
      </c>
      <c r="X544" t="s">
        <v>41252</v>
      </c>
    </row>
    <row r="545" spans="1:24">
      <c r="A545">
        <f>HYPERLINK("https://www.philgeps.gov.ph/GEPSNONPILOT/Tender/SplashBidNoticeAbstractUI.aspx?menuIndex=3&amp;refID=7076599&amp;Result=3","7076599")</f>
        <v>0</v>
      </c>
      <c r="B545" t="s">
        <v>310</v>
      </c>
      <c r="C545" t="s">
        <v>3898</v>
      </c>
      <c r="D545" t="s">
        <v>16635</v>
      </c>
      <c r="E545" t="s">
        <v>17234</v>
      </c>
      <c r="F545" t="s">
        <v>28669</v>
      </c>
      <c r="G545" t="s">
        <v>28676</v>
      </c>
      <c r="H545" t="s">
        <v>9998</v>
      </c>
      <c r="I545" t="s">
        <v>28704</v>
      </c>
      <c r="J545" t="s">
        <v>29104</v>
      </c>
      <c r="K545" t="s">
        <v>37209</v>
      </c>
      <c r="M545" t="s">
        <v>37789</v>
      </c>
      <c r="N545" t="s">
        <v>41249</v>
      </c>
      <c r="O545" t="s">
        <v>41250</v>
      </c>
      <c r="P545">
        <v>0</v>
      </c>
      <c r="Q545">
        <v>0</v>
      </c>
      <c r="R545" t="s">
        <v>41251</v>
      </c>
      <c r="S545" t="s">
        <v>41369</v>
      </c>
      <c r="T545" t="s">
        <v>42686</v>
      </c>
      <c r="U545" t="s">
        <v>43691</v>
      </c>
      <c r="W545" t="s">
        <v>37789</v>
      </c>
      <c r="X545" t="s">
        <v>41252</v>
      </c>
    </row>
    <row r="546" spans="1:24">
      <c r="A546">
        <f>HYPERLINK("https://www.philgeps.gov.ph/GEPSNONPILOT/Tender/SplashBidNoticeAbstractUI.aspx?menuIndex=3&amp;refID=7076608&amp;Result=3","7076608")</f>
        <v>0</v>
      </c>
      <c r="B546" t="s">
        <v>311</v>
      </c>
      <c r="C546" t="s">
        <v>3899</v>
      </c>
      <c r="D546" t="s">
        <v>16627</v>
      </c>
      <c r="E546" t="s">
        <v>17235</v>
      </c>
      <c r="F546" t="s">
        <v>28669</v>
      </c>
      <c r="G546" t="s">
        <v>28677</v>
      </c>
      <c r="H546" t="s">
        <v>9998</v>
      </c>
      <c r="I546" t="s">
        <v>28694</v>
      </c>
      <c r="J546" t="s">
        <v>29257</v>
      </c>
      <c r="K546" t="s">
        <v>37209</v>
      </c>
      <c r="M546" t="s">
        <v>37790</v>
      </c>
      <c r="N546" t="s">
        <v>41249</v>
      </c>
      <c r="O546" t="s">
        <v>41250</v>
      </c>
      <c r="P546">
        <v>0</v>
      </c>
      <c r="Q546">
        <v>1</v>
      </c>
      <c r="R546" t="s">
        <v>41251</v>
      </c>
      <c r="S546" t="s">
        <v>41369</v>
      </c>
      <c r="T546" t="s">
        <v>42694</v>
      </c>
      <c r="U546" t="s">
        <v>43692</v>
      </c>
      <c r="W546" t="s">
        <v>37790</v>
      </c>
      <c r="X546" t="s">
        <v>41252</v>
      </c>
    </row>
    <row r="547" spans="1:24">
      <c r="A547">
        <f>HYPERLINK("https://www.philgeps.gov.ph/GEPSNONPILOT/Tender/SplashBidNoticeAbstractUI.aspx?menuIndex=3&amp;refID=7076597&amp;Result=3","7076597")</f>
        <v>0</v>
      </c>
      <c r="B547" t="s">
        <v>264</v>
      </c>
      <c r="C547" t="s">
        <v>3900</v>
      </c>
      <c r="D547" t="s">
        <v>16654</v>
      </c>
      <c r="E547" t="s">
        <v>17236</v>
      </c>
      <c r="F547" t="s">
        <v>28669</v>
      </c>
      <c r="G547" t="s">
        <v>28676</v>
      </c>
      <c r="H547" t="s">
        <v>9998</v>
      </c>
      <c r="I547" t="s">
        <v>28687</v>
      </c>
      <c r="J547" t="s">
        <v>29104</v>
      </c>
      <c r="K547" t="s">
        <v>37204</v>
      </c>
      <c r="M547" t="s">
        <v>37742</v>
      </c>
      <c r="N547" t="s">
        <v>41249</v>
      </c>
      <c r="O547" t="s">
        <v>41250</v>
      </c>
      <c r="P547">
        <v>0</v>
      </c>
      <c r="Q547">
        <v>4</v>
      </c>
      <c r="R547" t="s">
        <v>41251</v>
      </c>
      <c r="S547" t="s">
        <v>41369</v>
      </c>
      <c r="T547" t="s">
        <v>42675</v>
      </c>
      <c r="U547" t="s">
        <v>43693</v>
      </c>
      <c r="W547" t="s">
        <v>37742</v>
      </c>
      <c r="X547" t="s">
        <v>41252</v>
      </c>
    </row>
    <row r="548" spans="1:24">
      <c r="A548">
        <f>HYPERLINK("https://www.philgeps.gov.ph/GEPSNONPILOT/Tender/SplashBidNoticeAbstractUI.aspx?menuIndex=3&amp;refID=7076595&amp;Result=3","7076595")</f>
        <v>0</v>
      </c>
      <c r="B548" t="s">
        <v>312</v>
      </c>
      <c r="C548" t="s">
        <v>3901</v>
      </c>
      <c r="D548" t="s">
        <v>16611</v>
      </c>
      <c r="E548" t="s">
        <v>17237</v>
      </c>
      <c r="F548" t="s">
        <v>28669</v>
      </c>
      <c r="G548" t="s">
        <v>28676</v>
      </c>
      <c r="H548" t="s">
        <v>9998</v>
      </c>
      <c r="I548" t="s">
        <v>28722</v>
      </c>
      <c r="J548" t="s">
        <v>29258</v>
      </c>
      <c r="K548" t="s">
        <v>37204</v>
      </c>
      <c r="M548" t="s">
        <v>37791</v>
      </c>
      <c r="N548" t="s">
        <v>41249</v>
      </c>
      <c r="O548" t="s">
        <v>41250</v>
      </c>
      <c r="P548">
        <v>0</v>
      </c>
      <c r="Q548">
        <v>0</v>
      </c>
      <c r="R548" t="s">
        <v>41251</v>
      </c>
      <c r="S548" t="s">
        <v>41369</v>
      </c>
      <c r="T548" t="s">
        <v>42759</v>
      </c>
      <c r="U548" t="s">
        <v>43694</v>
      </c>
      <c r="V548" t="s">
        <v>54325</v>
      </c>
      <c r="W548" t="s">
        <v>37791</v>
      </c>
      <c r="X548" t="s">
        <v>41252</v>
      </c>
    </row>
    <row r="549" spans="1:24">
      <c r="A549">
        <f>HYPERLINK("https://www.philgeps.gov.ph/GEPSNONPILOT/Tender/SplashBidNoticeAbstractUI.aspx?menuIndex=3&amp;refID=7076593&amp;Result=3","7076593")</f>
        <v>0</v>
      </c>
      <c r="B549" t="s">
        <v>169</v>
      </c>
      <c r="C549" t="s">
        <v>3902</v>
      </c>
      <c r="D549" t="s">
        <v>16611</v>
      </c>
      <c r="E549" t="s">
        <v>17238</v>
      </c>
      <c r="F549" t="s">
        <v>28669</v>
      </c>
      <c r="G549" t="s">
        <v>28675</v>
      </c>
      <c r="H549" t="s">
        <v>9998</v>
      </c>
      <c r="I549" t="s">
        <v>11593</v>
      </c>
      <c r="J549" t="s">
        <v>29259</v>
      </c>
      <c r="K549" t="s">
        <v>37227</v>
      </c>
      <c r="M549" t="s">
        <v>37646</v>
      </c>
      <c r="N549" t="s">
        <v>41249</v>
      </c>
      <c r="O549" t="s">
        <v>41250</v>
      </c>
      <c r="P549">
        <v>0</v>
      </c>
      <c r="Q549">
        <v>7</v>
      </c>
      <c r="R549" t="s">
        <v>41251</v>
      </c>
      <c r="S549" t="s">
        <v>41369</v>
      </c>
      <c r="T549" t="s">
        <v>42688</v>
      </c>
      <c r="U549" t="s">
        <v>43695</v>
      </c>
      <c r="V549" t="s">
        <v>54294</v>
      </c>
      <c r="W549" t="s">
        <v>37646</v>
      </c>
      <c r="X549" t="s">
        <v>41252</v>
      </c>
    </row>
    <row r="550" spans="1:24">
      <c r="A550">
        <f>HYPERLINK("https://www.philgeps.gov.ph/GEPSNONPILOT/Tender/SplashBidNoticeAbstractUI.aspx?menuIndex=3&amp;refID=7076429&amp;Result=3","7076429")</f>
        <v>0</v>
      </c>
      <c r="B550" t="s">
        <v>186</v>
      </c>
      <c r="C550" t="s">
        <v>3903</v>
      </c>
      <c r="D550" t="s">
        <v>16654</v>
      </c>
      <c r="E550" t="s">
        <v>17150</v>
      </c>
      <c r="F550" t="s">
        <v>28669</v>
      </c>
      <c r="G550" t="s">
        <v>28676</v>
      </c>
      <c r="H550" t="s">
        <v>28686</v>
      </c>
      <c r="I550" t="s">
        <v>28689</v>
      </c>
      <c r="J550" t="s">
        <v>28905</v>
      </c>
      <c r="K550" t="s">
        <v>37205</v>
      </c>
      <c r="M550" t="s">
        <v>37664</v>
      </c>
      <c r="N550" t="s">
        <v>41249</v>
      </c>
      <c r="O550" t="s">
        <v>41250</v>
      </c>
      <c r="P550">
        <v>0</v>
      </c>
      <c r="Q550">
        <v>0</v>
      </c>
      <c r="R550" t="s">
        <v>41251</v>
      </c>
      <c r="S550" t="s">
        <v>41369</v>
      </c>
      <c r="T550" t="s">
        <v>42675</v>
      </c>
      <c r="U550" t="s">
        <v>43696</v>
      </c>
      <c r="W550" t="s">
        <v>37664</v>
      </c>
      <c r="X550" t="s">
        <v>41252</v>
      </c>
    </row>
    <row r="551" spans="1:24">
      <c r="A551">
        <f>HYPERLINK("https://www.philgeps.gov.ph/GEPSNONPILOT/Tender/SplashBidNoticeAbstractUI.aspx?menuIndex=3&amp;refID=7076613&amp;Result=3","7076613")</f>
        <v>0</v>
      </c>
      <c r="B551" t="s">
        <v>313</v>
      </c>
      <c r="C551" t="s">
        <v>3904</v>
      </c>
      <c r="D551" t="s">
        <v>16642</v>
      </c>
      <c r="E551" t="s">
        <v>17239</v>
      </c>
      <c r="F551" t="s">
        <v>28669</v>
      </c>
      <c r="G551" t="s">
        <v>28676</v>
      </c>
      <c r="H551" t="s">
        <v>9998</v>
      </c>
      <c r="I551" t="s">
        <v>11593</v>
      </c>
      <c r="J551" t="s">
        <v>29260</v>
      </c>
      <c r="K551" t="s">
        <v>37204</v>
      </c>
      <c r="M551" t="s">
        <v>37792</v>
      </c>
      <c r="N551" t="s">
        <v>41249</v>
      </c>
      <c r="O551" t="s">
        <v>41250</v>
      </c>
      <c r="P551">
        <v>0</v>
      </c>
      <c r="Q551">
        <v>3</v>
      </c>
      <c r="R551" t="s">
        <v>41251</v>
      </c>
      <c r="S551" t="s">
        <v>41369</v>
      </c>
      <c r="T551" t="s">
        <v>42754</v>
      </c>
      <c r="U551" t="s">
        <v>43697</v>
      </c>
      <c r="W551" t="s">
        <v>37792</v>
      </c>
      <c r="X551" t="s">
        <v>41252</v>
      </c>
    </row>
    <row r="552" spans="1:24">
      <c r="A552">
        <f>HYPERLINK("https://www.philgeps.gov.ph/GEPSNONPILOT/Tender/SplashBidNoticeAbstractUI.aspx?menuIndex=3&amp;refID=7076636&amp;Result=3","7076636")</f>
        <v>0</v>
      </c>
      <c r="B552" t="s">
        <v>114</v>
      </c>
      <c r="C552" t="s">
        <v>3905</v>
      </c>
      <c r="D552" t="s">
        <v>16608</v>
      </c>
      <c r="E552" t="s">
        <v>17240</v>
      </c>
      <c r="F552" t="s">
        <v>28669</v>
      </c>
      <c r="G552" t="s">
        <v>28677</v>
      </c>
      <c r="H552" t="s">
        <v>9998</v>
      </c>
      <c r="I552" t="s">
        <v>5286</v>
      </c>
      <c r="J552" t="s">
        <v>29027</v>
      </c>
      <c r="K552" t="s">
        <v>37210</v>
      </c>
      <c r="M552" t="s">
        <v>37793</v>
      </c>
      <c r="N552" t="s">
        <v>41249</v>
      </c>
      <c r="O552" t="s">
        <v>41250</v>
      </c>
      <c r="P552">
        <v>0</v>
      </c>
      <c r="Q552">
        <v>2</v>
      </c>
      <c r="R552" t="s">
        <v>41251</v>
      </c>
      <c r="S552" t="s">
        <v>41369</v>
      </c>
      <c r="T552" t="s">
        <v>42741</v>
      </c>
      <c r="U552" t="s">
        <v>43698</v>
      </c>
      <c r="V552" t="s">
        <v>54326</v>
      </c>
      <c r="W552" t="s">
        <v>37793</v>
      </c>
      <c r="X552" t="s">
        <v>41252</v>
      </c>
    </row>
    <row r="553" spans="1:24">
      <c r="A553">
        <f>HYPERLINK("https://www.philgeps.gov.ph/GEPSNONPILOT/Tender/SplashBidNoticeAbstractUI.aspx?menuIndex=3&amp;refID=7076602&amp;Result=3","7076602")</f>
        <v>0</v>
      </c>
      <c r="B553" t="s">
        <v>314</v>
      </c>
      <c r="C553" t="s">
        <v>3906</v>
      </c>
      <c r="D553" t="s">
        <v>16672</v>
      </c>
      <c r="E553" t="s">
        <v>17241</v>
      </c>
      <c r="F553" t="s">
        <v>28669</v>
      </c>
      <c r="G553" t="s">
        <v>28676</v>
      </c>
      <c r="H553" t="s">
        <v>9998</v>
      </c>
      <c r="I553" t="s">
        <v>28698</v>
      </c>
      <c r="J553" t="s">
        <v>29261</v>
      </c>
      <c r="K553" t="s">
        <v>37204</v>
      </c>
      <c r="M553" t="s">
        <v>37794</v>
      </c>
      <c r="N553" t="s">
        <v>41249</v>
      </c>
      <c r="O553" t="s">
        <v>41250</v>
      </c>
      <c r="P553">
        <v>0</v>
      </c>
      <c r="Q553">
        <v>0</v>
      </c>
      <c r="R553" t="s">
        <v>41251</v>
      </c>
      <c r="S553" t="s">
        <v>41369</v>
      </c>
      <c r="T553" t="s">
        <v>42781</v>
      </c>
      <c r="U553" t="s">
        <v>43699</v>
      </c>
      <c r="W553" t="s">
        <v>37794</v>
      </c>
      <c r="X553" t="s">
        <v>41252</v>
      </c>
    </row>
    <row r="554" spans="1:24">
      <c r="A554">
        <f>HYPERLINK("https://www.philgeps.gov.ph/GEPSNONPILOT/Tender/SplashBidNoticeAbstractUI.aspx?menuIndex=3&amp;refID=7076633&amp;Result=3","7076633")</f>
        <v>0</v>
      </c>
      <c r="B554" t="s">
        <v>315</v>
      </c>
      <c r="C554" t="s">
        <v>3907</v>
      </c>
      <c r="D554" t="s">
        <v>16676</v>
      </c>
      <c r="E554" t="s">
        <v>17242</v>
      </c>
      <c r="F554" t="s">
        <v>28669</v>
      </c>
      <c r="G554" t="s">
        <v>28676</v>
      </c>
      <c r="H554" t="s">
        <v>9998</v>
      </c>
      <c r="I554" t="s">
        <v>7352</v>
      </c>
      <c r="J554" t="s">
        <v>29262</v>
      </c>
      <c r="K554" t="s">
        <v>37205</v>
      </c>
      <c r="M554" t="s">
        <v>37795</v>
      </c>
      <c r="N554" t="s">
        <v>41249</v>
      </c>
      <c r="O554" t="s">
        <v>41250</v>
      </c>
      <c r="P554">
        <v>0</v>
      </c>
      <c r="Q554">
        <v>0</v>
      </c>
      <c r="R554" t="s">
        <v>41251</v>
      </c>
      <c r="S554" t="s">
        <v>41369</v>
      </c>
      <c r="T554" t="s">
        <v>42682</v>
      </c>
      <c r="U554" t="s">
        <v>43700</v>
      </c>
      <c r="V554" t="s">
        <v>54327</v>
      </c>
      <c r="W554" t="s">
        <v>37795</v>
      </c>
      <c r="X554" t="s">
        <v>41252</v>
      </c>
    </row>
    <row r="555" spans="1:24">
      <c r="A555">
        <f>HYPERLINK("https://www.philgeps.gov.ph/GEPSNONPILOT/Tender/SplashBidNoticeAbstractUI.aspx?menuIndex=3&amp;refID=7076630&amp;Result=3","7076630")</f>
        <v>0</v>
      </c>
      <c r="B555" t="s">
        <v>304</v>
      </c>
      <c r="C555" t="s">
        <v>3908</v>
      </c>
      <c r="D555" t="s">
        <v>16628</v>
      </c>
      <c r="E555" t="s">
        <v>17243</v>
      </c>
      <c r="F555" t="s">
        <v>28669</v>
      </c>
      <c r="G555" t="s">
        <v>28676</v>
      </c>
      <c r="H555" t="s">
        <v>9998</v>
      </c>
      <c r="I555" t="s">
        <v>28728</v>
      </c>
      <c r="J555" t="s">
        <v>29263</v>
      </c>
      <c r="K555" t="s">
        <v>37204</v>
      </c>
      <c r="M555" t="s">
        <v>37783</v>
      </c>
      <c r="N555" t="s">
        <v>41249</v>
      </c>
      <c r="O555" t="s">
        <v>41250</v>
      </c>
      <c r="P555">
        <v>0</v>
      </c>
      <c r="Q555">
        <v>1</v>
      </c>
      <c r="R555" t="s">
        <v>41251</v>
      </c>
      <c r="S555" t="s">
        <v>41369</v>
      </c>
      <c r="T555" t="s">
        <v>42726</v>
      </c>
      <c r="U555" t="s">
        <v>43681</v>
      </c>
      <c r="W555" t="s">
        <v>37783</v>
      </c>
      <c r="X555" t="s">
        <v>41252</v>
      </c>
    </row>
    <row r="556" spans="1:24">
      <c r="A556">
        <f>HYPERLINK("https://www.philgeps.gov.ph/GEPSNONPILOT/Tender/SplashBidNoticeAbstractUI.aspx?menuIndex=3&amp;refID=7076596&amp;Result=3","7076596")</f>
        <v>0</v>
      </c>
      <c r="B556" t="s">
        <v>316</v>
      </c>
      <c r="C556" t="s">
        <v>3909</v>
      </c>
      <c r="D556" t="s">
        <v>16657</v>
      </c>
      <c r="E556" t="s">
        <v>17244</v>
      </c>
      <c r="F556" t="s">
        <v>28669</v>
      </c>
      <c r="G556" t="s">
        <v>28675</v>
      </c>
      <c r="H556" t="s">
        <v>9998</v>
      </c>
      <c r="I556" t="s">
        <v>7352</v>
      </c>
      <c r="J556" t="s">
        <v>28826</v>
      </c>
      <c r="K556" t="s">
        <v>37210</v>
      </c>
      <c r="L556" t="s">
        <v>316</v>
      </c>
      <c r="M556" t="s">
        <v>37796</v>
      </c>
      <c r="N556" t="s">
        <v>41249</v>
      </c>
      <c r="O556" t="s">
        <v>41250</v>
      </c>
      <c r="P556">
        <v>0</v>
      </c>
      <c r="Q556">
        <v>3</v>
      </c>
      <c r="R556" t="s">
        <v>41251</v>
      </c>
      <c r="S556" t="s">
        <v>41369</v>
      </c>
      <c r="T556" t="s">
        <v>42671</v>
      </c>
      <c r="U556" t="s">
        <v>43701</v>
      </c>
      <c r="W556" t="s">
        <v>37796</v>
      </c>
      <c r="X556" t="s">
        <v>41252</v>
      </c>
    </row>
    <row r="557" spans="1:24">
      <c r="A557">
        <f>HYPERLINK("https://www.philgeps.gov.ph/GEPSNONPILOT/Tender/SplashBidNoticeAbstractUI.aspx?menuIndex=3&amp;refID=7076590&amp;Result=3","7076590")</f>
        <v>0</v>
      </c>
      <c r="B557" t="s">
        <v>317</v>
      </c>
      <c r="C557" t="s">
        <v>3910</v>
      </c>
      <c r="D557" t="s">
        <v>16608</v>
      </c>
      <c r="E557" t="s">
        <v>17245</v>
      </c>
      <c r="F557" t="s">
        <v>28669</v>
      </c>
      <c r="G557" t="s">
        <v>28676</v>
      </c>
      <c r="H557" t="s">
        <v>9998</v>
      </c>
      <c r="I557" t="s">
        <v>15140</v>
      </c>
      <c r="J557" t="s">
        <v>28894</v>
      </c>
      <c r="K557" t="s">
        <v>37204</v>
      </c>
      <c r="M557" t="s">
        <v>37797</v>
      </c>
      <c r="N557" t="s">
        <v>41249</v>
      </c>
      <c r="O557" t="s">
        <v>41250</v>
      </c>
      <c r="P557">
        <v>0</v>
      </c>
      <c r="Q557">
        <v>0</v>
      </c>
      <c r="R557" t="s">
        <v>41251</v>
      </c>
      <c r="S557" t="s">
        <v>41369</v>
      </c>
      <c r="T557" t="s">
        <v>42679</v>
      </c>
      <c r="U557" t="s">
        <v>43702</v>
      </c>
      <c r="W557" t="s">
        <v>37797</v>
      </c>
      <c r="X557" t="s">
        <v>41252</v>
      </c>
    </row>
    <row r="558" spans="1:24">
      <c r="A558">
        <f>HYPERLINK("https://www.philgeps.gov.ph/GEPSNONPILOT/Tender/SplashBidNoticeAbstractUI.aspx?menuIndex=3&amp;refID=7076629&amp;Result=3","7076629")</f>
        <v>0</v>
      </c>
      <c r="B558" t="s">
        <v>318</v>
      </c>
      <c r="C558" t="s">
        <v>3911</v>
      </c>
      <c r="D558" t="s">
        <v>16619</v>
      </c>
      <c r="E558" t="s">
        <v>17140</v>
      </c>
      <c r="F558" t="s">
        <v>28669</v>
      </c>
      <c r="G558" t="s">
        <v>28675</v>
      </c>
      <c r="H558" t="s">
        <v>9998</v>
      </c>
      <c r="I558" t="s">
        <v>7352</v>
      </c>
      <c r="J558" t="s">
        <v>29264</v>
      </c>
      <c r="K558" t="s">
        <v>37210</v>
      </c>
      <c r="M558" t="s">
        <v>37798</v>
      </c>
      <c r="N558" t="s">
        <v>41249</v>
      </c>
      <c r="O558" t="s">
        <v>41250</v>
      </c>
      <c r="P558">
        <v>0</v>
      </c>
      <c r="Q558">
        <v>0</v>
      </c>
      <c r="R558" t="s">
        <v>41251</v>
      </c>
      <c r="S558" t="s">
        <v>41369</v>
      </c>
      <c r="T558" t="s">
        <v>42696</v>
      </c>
      <c r="U558" t="s">
        <v>43703</v>
      </c>
      <c r="W558" t="s">
        <v>37798</v>
      </c>
      <c r="X558" t="s">
        <v>41252</v>
      </c>
    </row>
    <row r="559" spans="1:24">
      <c r="A559">
        <f>HYPERLINK("https://www.philgeps.gov.ph/GEPSNONPILOT/Tender/SplashBidNoticeAbstractUI.aspx?menuIndex=3&amp;refID=7076622&amp;Result=3","7076622")</f>
        <v>0</v>
      </c>
      <c r="B559" t="s">
        <v>319</v>
      </c>
      <c r="C559" t="s">
        <v>3912</v>
      </c>
      <c r="D559" t="s">
        <v>16664</v>
      </c>
      <c r="E559" t="s">
        <v>17246</v>
      </c>
      <c r="F559" t="s">
        <v>28671</v>
      </c>
      <c r="G559" t="s">
        <v>28677</v>
      </c>
      <c r="H559" t="s">
        <v>9998</v>
      </c>
      <c r="I559" t="s">
        <v>15140</v>
      </c>
      <c r="J559" t="s">
        <v>29265</v>
      </c>
      <c r="K559" t="s">
        <v>37210</v>
      </c>
      <c r="M559" t="s">
        <v>37799</v>
      </c>
      <c r="N559" t="s">
        <v>41249</v>
      </c>
      <c r="O559" t="s">
        <v>41250</v>
      </c>
      <c r="P559">
        <v>0</v>
      </c>
      <c r="Q559">
        <v>0</v>
      </c>
      <c r="R559" t="s">
        <v>41251</v>
      </c>
      <c r="S559" t="s">
        <v>41369</v>
      </c>
      <c r="T559" t="s">
        <v>42782</v>
      </c>
      <c r="U559" t="s">
        <v>43704</v>
      </c>
      <c r="W559" t="s">
        <v>37799</v>
      </c>
      <c r="X559" t="s">
        <v>41252</v>
      </c>
    </row>
    <row r="560" spans="1:24">
      <c r="A560">
        <f>HYPERLINK("https://www.philgeps.gov.ph/GEPSNONPILOT/Tender/SplashBidNoticeAbstractUI.aspx?menuIndex=3&amp;refID=7076634&amp;Result=3","7076634")</f>
        <v>0</v>
      </c>
      <c r="B560" t="s">
        <v>169</v>
      </c>
      <c r="C560" t="s">
        <v>3913</v>
      </c>
      <c r="D560" t="s">
        <v>16611</v>
      </c>
      <c r="E560" t="s">
        <v>17247</v>
      </c>
      <c r="F560" t="s">
        <v>28669</v>
      </c>
      <c r="G560" t="s">
        <v>28675</v>
      </c>
      <c r="H560" t="s">
        <v>9998</v>
      </c>
      <c r="I560" t="s">
        <v>28713</v>
      </c>
      <c r="J560" t="s">
        <v>29266</v>
      </c>
      <c r="K560" t="s">
        <v>37210</v>
      </c>
      <c r="M560" t="s">
        <v>37646</v>
      </c>
      <c r="N560" t="s">
        <v>41249</v>
      </c>
      <c r="O560" t="s">
        <v>41250</v>
      </c>
      <c r="P560">
        <v>0</v>
      </c>
      <c r="Q560">
        <v>2</v>
      </c>
      <c r="R560" t="s">
        <v>41251</v>
      </c>
      <c r="S560" t="s">
        <v>41369</v>
      </c>
      <c r="T560" t="s">
        <v>42688</v>
      </c>
      <c r="U560" t="s">
        <v>43705</v>
      </c>
      <c r="V560" t="s">
        <v>54294</v>
      </c>
      <c r="W560" t="s">
        <v>37646</v>
      </c>
      <c r="X560" t="s">
        <v>41252</v>
      </c>
    </row>
    <row r="561" spans="1:24">
      <c r="A561">
        <f>HYPERLINK("https://www.philgeps.gov.ph/GEPSNONPILOT/Tender/SplashBidNoticeAbstractUI.aspx?menuIndex=3&amp;refID=7076621&amp;Result=3","7076621")</f>
        <v>0</v>
      </c>
      <c r="B561" t="s">
        <v>320</v>
      </c>
      <c r="C561" t="s">
        <v>3914</v>
      </c>
      <c r="D561" t="s">
        <v>16681</v>
      </c>
      <c r="E561" t="s">
        <v>17248</v>
      </c>
      <c r="F561" t="s">
        <v>28669</v>
      </c>
      <c r="G561" t="s">
        <v>28675</v>
      </c>
      <c r="H561" t="s">
        <v>9998</v>
      </c>
      <c r="I561" t="s">
        <v>7352</v>
      </c>
      <c r="J561" t="s">
        <v>29267</v>
      </c>
      <c r="K561" t="s">
        <v>37207</v>
      </c>
      <c r="M561" t="s">
        <v>37800</v>
      </c>
      <c r="N561" t="s">
        <v>41249</v>
      </c>
      <c r="O561" t="s">
        <v>41250</v>
      </c>
      <c r="P561">
        <v>0</v>
      </c>
      <c r="Q561">
        <v>0</v>
      </c>
      <c r="R561" t="s">
        <v>41251</v>
      </c>
      <c r="S561" t="s">
        <v>41369</v>
      </c>
      <c r="T561" t="s">
        <v>42690</v>
      </c>
      <c r="U561" t="s">
        <v>43706</v>
      </c>
      <c r="W561" t="s">
        <v>37800</v>
      </c>
      <c r="X561" t="s">
        <v>41252</v>
      </c>
    </row>
    <row r="562" spans="1:24">
      <c r="A562">
        <f>HYPERLINK("https://www.philgeps.gov.ph/GEPSNONPILOT/Tender/SplashBidNoticeAbstractUI.aspx?menuIndex=3&amp;refID=7076631&amp;Result=3","7076631")</f>
        <v>0</v>
      </c>
      <c r="B562" t="s">
        <v>321</v>
      </c>
      <c r="C562" t="s">
        <v>3915</v>
      </c>
      <c r="D562" t="s">
        <v>16665</v>
      </c>
      <c r="E562" t="s">
        <v>17249</v>
      </c>
      <c r="F562" t="s">
        <v>28669</v>
      </c>
      <c r="G562" t="s">
        <v>28677</v>
      </c>
      <c r="H562" t="s">
        <v>9998</v>
      </c>
      <c r="I562" t="s">
        <v>28690</v>
      </c>
      <c r="J562" t="s">
        <v>29268</v>
      </c>
      <c r="K562" t="s">
        <v>37206</v>
      </c>
      <c r="M562" t="s">
        <v>37801</v>
      </c>
      <c r="N562" t="s">
        <v>41249</v>
      </c>
      <c r="O562" t="s">
        <v>41250</v>
      </c>
      <c r="P562">
        <v>0</v>
      </c>
      <c r="Q562">
        <v>2</v>
      </c>
      <c r="R562" t="s">
        <v>41251</v>
      </c>
      <c r="S562" t="s">
        <v>41369</v>
      </c>
      <c r="T562" t="s">
        <v>42711</v>
      </c>
      <c r="U562" t="s">
        <v>43707</v>
      </c>
      <c r="W562" t="s">
        <v>37801</v>
      </c>
      <c r="X562" t="s">
        <v>41252</v>
      </c>
    </row>
    <row r="563" spans="1:24">
      <c r="A563">
        <f>HYPERLINK("https://www.philgeps.gov.ph/GEPSNONPILOT/Tender/SplashBidNoticeAbstractUI.aspx?menuIndex=3&amp;refID=7076619&amp;Result=3","7076619")</f>
        <v>0</v>
      </c>
      <c r="B563" t="s">
        <v>304</v>
      </c>
      <c r="C563" t="s">
        <v>3916</v>
      </c>
      <c r="D563" t="s">
        <v>16628</v>
      </c>
      <c r="E563" t="s">
        <v>17250</v>
      </c>
      <c r="F563" t="s">
        <v>28669</v>
      </c>
      <c r="G563" t="s">
        <v>28676</v>
      </c>
      <c r="H563" t="s">
        <v>9998</v>
      </c>
      <c r="I563" t="s">
        <v>5213</v>
      </c>
      <c r="J563" t="s">
        <v>29269</v>
      </c>
      <c r="K563" t="s">
        <v>37204</v>
      </c>
      <c r="M563" t="s">
        <v>37783</v>
      </c>
      <c r="N563" t="s">
        <v>41249</v>
      </c>
      <c r="O563" t="s">
        <v>41250</v>
      </c>
      <c r="P563">
        <v>0</v>
      </c>
      <c r="Q563">
        <v>0</v>
      </c>
      <c r="R563" t="s">
        <v>41251</v>
      </c>
      <c r="S563" t="s">
        <v>41369</v>
      </c>
      <c r="T563" t="s">
        <v>42726</v>
      </c>
      <c r="U563" t="s">
        <v>43681</v>
      </c>
      <c r="W563" t="s">
        <v>37783</v>
      </c>
      <c r="X563" t="s">
        <v>41252</v>
      </c>
    </row>
    <row r="564" spans="1:24">
      <c r="A564">
        <f>HYPERLINK("https://www.philgeps.gov.ph/GEPSNONPILOT/Tender/SplashBidNoticeAbstractUI.aspx?menuIndex=3&amp;refID=7076594&amp;Result=3","7076594")</f>
        <v>0</v>
      </c>
      <c r="B564" t="s">
        <v>181</v>
      </c>
      <c r="C564" t="s">
        <v>3917</v>
      </c>
      <c r="D564" t="s">
        <v>16647</v>
      </c>
      <c r="E564" t="s">
        <v>17251</v>
      </c>
      <c r="F564" t="s">
        <v>28669</v>
      </c>
      <c r="G564" t="s">
        <v>28675</v>
      </c>
      <c r="H564" t="s">
        <v>28686</v>
      </c>
      <c r="I564" t="s">
        <v>28689</v>
      </c>
      <c r="J564" t="s">
        <v>28826</v>
      </c>
      <c r="K564" t="s">
        <v>37220</v>
      </c>
      <c r="M564" t="s">
        <v>37658</v>
      </c>
      <c r="N564" t="s">
        <v>41249</v>
      </c>
      <c r="O564" t="s">
        <v>41250</v>
      </c>
      <c r="P564">
        <v>0</v>
      </c>
      <c r="Q564">
        <v>1</v>
      </c>
      <c r="R564" t="s">
        <v>41251</v>
      </c>
      <c r="S564" t="s">
        <v>41369</v>
      </c>
      <c r="T564" t="s">
        <v>42768</v>
      </c>
      <c r="U564" t="s">
        <v>43708</v>
      </c>
      <c r="W564" t="s">
        <v>37658</v>
      </c>
      <c r="X564" t="s">
        <v>41252</v>
      </c>
    </row>
    <row r="565" spans="1:24">
      <c r="A565">
        <f>HYPERLINK("https://www.philgeps.gov.ph/GEPSNONPILOT/Tender/SplashBidNoticeAbstractUI.aspx?menuIndex=3&amp;refID=7076625&amp;Result=3","7076625")</f>
        <v>0</v>
      </c>
      <c r="B565" t="s">
        <v>309</v>
      </c>
      <c r="C565" t="s">
        <v>3918</v>
      </c>
      <c r="D565" t="s">
        <v>16626</v>
      </c>
      <c r="E565" t="s">
        <v>17252</v>
      </c>
      <c r="F565" t="s">
        <v>28669</v>
      </c>
      <c r="G565" t="s">
        <v>28676</v>
      </c>
      <c r="H565" t="s">
        <v>9998</v>
      </c>
      <c r="I565" t="s">
        <v>15140</v>
      </c>
      <c r="J565" t="s">
        <v>29270</v>
      </c>
      <c r="K565" t="s">
        <v>37209</v>
      </c>
      <c r="M565" t="s">
        <v>37788</v>
      </c>
      <c r="N565" t="s">
        <v>41249</v>
      </c>
      <c r="O565" t="s">
        <v>41250</v>
      </c>
      <c r="P565">
        <v>0</v>
      </c>
      <c r="Q565">
        <v>0</v>
      </c>
      <c r="R565" t="s">
        <v>41251</v>
      </c>
      <c r="S565" t="s">
        <v>41369</v>
      </c>
      <c r="T565" t="s">
        <v>42694</v>
      </c>
      <c r="U565" t="s">
        <v>43709</v>
      </c>
      <c r="W565" t="s">
        <v>37788</v>
      </c>
      <c r="X565" t="s">
        <v>41252</v>
      </c>
    </row>
    <row r="566" spans="1:24">
      <c r="A566">
        <f>HYPERLINK("https://www.philgeps.gov.ph/GEPSNONPILOT/Tender/SplashBidNoticeAbstractUI.aspx?menuIndex=3&amp;refID=7076661&amp;Result=3","7076661")</f>
        <v>0</v>
      </c>
      <c r="B566" t="s">
        <v>322</v>
      </c>
      <c r="C566" t="s">
        <v>3919</v>
      </c>
      <c r="D566" t="s">
        <v>16655</v>
      </c>
      <c r="E566" t="s">
        <v>17253</v>
      </c>
      <c r="F566" t="s">
        <v>28669</v>
      </c>
      <c r="G566" t="s">
        <v>28675</v>
      </c>
      <c r="H566" t="s">
        <v>28686</v>
      </c>
      <c r="I566" t="s">
        <v>28689</v>
      </c>
      <c r="J566" t="s">
        <v>28914</v>
      </c>
      <c r="K566" t="s">
        <v>37221</v>
      </c>
      <c r="M566" t="s">
        <v>37802</v>
      </c>
      <c r="N566" t="s">
        <v>41249</v>
      </c>
      <c r="O566" t="s">
        <v>41250</v>
      </c>
      <c r="P566">
        <v>0</v>
      </c>
      <c r="Q566">
        <v>0</v>
      </c>
      <c r="R566" t="s">
        <v>41251</v>
      </c>
      <c r="S566" t="s">
        <v>41369</v>
      </c>
      <c r="T566" t="s">
        <v>42669</v>
      </c>
      <c r="U566" t="s">
        <v>43710</v>
      </c>
      <c r="W566" t="s">
        <v>37802</v>
      </c>
      <c r="X566" t="s">
        <v>41252</v>
      </c>
    </row>
    <row r="567" spans="1:24">
      <c r="A567">
        <f>HYPERLINK("https://www.philgeps.gov.ph/GEPSNONPILOT/Tender/SplashBidNoticeAbstractUI.aspx?menuIndex=3&amp;refID=7076624&amp;Result=3","7076624")</f>
        <v>0</v>
      </c>
      <c r="B567" t="s">
        <v>323</v>
      </c>
      <c r="C567" t="s">
        <v>3920</v>
      </c>
      <c r="D567" t="s">
        <v>16608</v>
      </c>
      <c r="E567" t="s">
        <v>17254</v>
      </c>
      <c r="F567" t="s">
        <v>28669</v>
      </c>
      <c r="G567" t="s">
        <v>28676</v>
      </c>
      <c r="H567" t="s">
        <v>9998</v>
      </c>
      <c r="I567" t="s">
        <v>28716</v>
      </c>
      <c r="J567" t="s">
        <v>28889</v>
      </c>
      <c r="K567" t="s">
        <v>37204</v>
      </c>
      <c r="M567" t="s">
        <v>37803</v>
      </c>
      <c r="N567" t="s">
        <v>41249</v>
      </c>
      <c r="O567" t="s">
        <v>41250</v>
      </c>
      <c r="P567">
        <v>0</v>
      </c>
      <c r="Q567">
        <v>12</v>
      </c>
      <c r="R567" t="s">
        <v>41251</v>
      </c>
      <c r="S567" t="s">
        <v>41369</v>
      </c>
      <c r="T567" t="s">
        <v>42713</v>
      </c>
      <c r="U567" t="s">
        <v>43711</v>
      </c>
      <c r="W567" t="s">
        <v>37803</v>
      </c>
      <c r="X567" t="s">
        <v>41252</v>
      </c>
    </row>
    <row r="568" spans="1:24">
      <c r="A568">
        <f>HYPERLINK("https://www.philgeps.gov.ph/GEPSNONPILOT/Tender/SplashBidNoticeAbstractUI.aspx?menuIndex=3&amp;refID=7076620&amp;Result=3","7076620")</f>
        <v>0</v>
      </c>
      <c r="B568" t="s">
        <v>30</v>
      </c>
      <c r="C568" t="s">
        <v>3921</v>
      </c>
      <c r="D568" t="s">
        <v>16612</v>
      </c>
      <c r="E568" t="s">
        <v>17255</v>
      </c>
      <c r="F568" t="s">
        <v>28669</v>
      </c>
      <c r="G568" t="s">
        <v>28677</v>
      </c>
      <c r="H568" t="s">
        <v>9998</v>
      </c>
      <c r="I568" t="s">
        <v>28695</v>
      </c>
      <c r="J568" t="s">
        <v>29271</v>
      </c>
      <c r="K568" t="s">
        <v>37210</v>
      </c>
      <c r="M568" t="s">
        <v>37505</v>
      </c>
      <c r="N568" t="s">
        <v>41249</v>
      </c>
      <c r="O568" t="s">
        <v>41250</v>
      </c>
      <c r="P568">
        <v>0</v>
      </c>
      <c r="Q568">
        <v>0</v>
      </c>
      <c r="R568" t="s">
        <v>41251</v>
      </c>
      <c r="S568" t="s">
        <v>41369</v>
      </c>
      <c r="T568" t="s">
        <v>42665</v>
      </c>
      <c r="U568" t="s">
        <v>43712</v>
      </c>
      <c r="W568" t="s">
        <v>37505</v>
      </c>
      <c r="X568" t="s">
        <v>41252</v>
      </c>
    </row>
    <row r="569" spans="1:24">
      <c r="A569">
        <f>HYPERLINK("https://www.philgeps.gov.ph/GEPSNONPILOT/Tender/SplashBidNoticeAbstractUI.aspx?menuIndex=3&amp;refID=7076658&amp;Result=3","7076658")</f>
        <v>0</v>
      </c>
      <c r="B569" t="s">
        <v>324</v>
      </c>
      <c r="C569" t="s">
        <v>3922</v>
      </c>
      <c r="D569" t="s">
        <v>16658</v>
      </c>
      <c r="E569" t="s">
        <v>17256</v>
      </c>
      <c r="F569" t="s">
        <v>28669</v>
      </c>
      <c r="G569" t="s">
        <v>28675</v>
      </c>
      <c r="H569" t="s">
        <v>28686</v>
      </c>
      <c r="I569" t="s">
        <v>28689</v>
      </c>
      <c r="J569" t="s">
        <v>29272</v>
      </c>
      <c r="K569" t="s">
        <v>37227</v>
      </c>
      <c r="M569" t="s">
        <v>37804</v>
      </c>
      <c r="N569" t="s">
        <v>41249</v>
      </c>
      <c r="O569" t="s">
        <v>41250</v>
      </c>
      <c r="P569">
        <v>0</v>
      </c>
      <c r="Q569">
        <v>0</v>
      </c>
      <c r="R569" t="s">
        <v>41251</v>
      </c>
      <c r="S569" t="s">
        <v>41369</v>
      </c>
      <c r="T569" t="s">
        <v>42697</v>
      </c>
      <c r="U569" t="s">
        <v>43713</v>
      </c>
      <c r="W569" t="s">
        <v>37804</v>
      </c>
      <c r="X569" t="s">
        <v>41252</v>
      </c>
    </row>
    <row r="570" spans="1:24">
      <c r="A570">
        <f>HYPERLINK("https://www.philgeps.gov.ph/GEPSNONPILOT/Tender/SplashBidNoticeAbstractUI.aspx?menuIndex=3&amp;refID=7076657&amp;Result=3","7076657")</f>
        <v>0</v>
      </c>
      <c r="B570" t="s">
        <v>269</v>
      </c>
      <c r="C570" t="s">
        <v>3923</v>
      </c>
      <c r="D570" t="s">
        <v>16619</v>
      </c>
      <c r="E570" t="s">
        <v>17257</v>
      </c>
      <c r="F570" t="s">
        <v>28669</v>
      </c>
      <c r="G570" t="s">
        <v>28676</v>
      </c>
      <c r="H570" t="s">
        <v>9998</v>
      </c>
      <c r="I570" t="s">
        <v>6606</v>
      </c>
      <c r="J570" t="s">
        <v>29273</v>
      </c>
      <c r="K570" t="s">
        <v>37209</v>
      </c>
      <c r="M570" t="s">
        <v>37747</v>
      </c>
      <c r="N570" t="s">
        <v>41249</v>
      </c>
      <c r="O570" t="s">
        <v>41250</v>
      </c>
      <c r="P570">
        <v>0</v>
      </c>
      <c r="Q570">
        <v>0</v>
      </c>
      <c r="R570" t="s">
        <v>41251</v>
      </c>
      <c r="S570" t="s">
        <v>41369</v>
      </c>
      <c r="T570" t="s">
        <v>42694</v>
      </c>
      <c r="U570" t="s">
        <v>43714</v>
      </c>
      <c r="V570" t="s">
        <v>54319</v>
      </c>
      <c r="W570" t="s">
        <v>37747</v>
      </c>
      <c r="X570" t="s">
        <v>41252</v>
      </c>
    </row>
    <row r="571" spans="1:24">
      <c r="A571">
        <f>HYPERLINK("https://www.philgeps.gov.ph/GEPSNONPILOT/Tender/SplashBidNoticeAbstractUI.aspx?menuIndex=3&amp;refID=7076655&amp;Result=3","7076655")</f>
        <v>0</v>
      </c>
      <c r="B571" t="s">
        <v>322</v>
      </c>
      <c r="C571" t="s">
        <v>3924</v>
      </c>
      <c r="D571" t="s">
        <v>16655</v>
      </c>
      <c r="E571" t="s">
        <v>17258</v>
      </c>
      <c r="F571" t="s">
        <v>28669</v>
      </c>
      <c r="G571" t="s">
        <v>28675</v>
      </c>
      <c r="H571" t="s">
        <v>28686</v>
      </c>
      <c r="I571" t="s">
        <v>28689</v>
      </c>
      <c r="J571" t="s">
        <v>28905</v>
      </c>
      <c r="K571" t="s">
        <v>37206</v>
      </c>
      <c r="M571" t="s">
        <v>37802</v>
      </c>
      <c r="N571" t="s">
        <v>41249</v>
      </c>
      <c r="O571" t="s">
        <v>41250</v>
      </c>
      <c r="P571">
        <v>0</v>
      </c>
      <c r="Q571">
        <v>0</v>
      </c>
      <c r="R571" t="s">
        <v>41251</v>
      </c>
      <c r="S571" t="s">
        <v>41369</v>
      </c>
      <c r="T571" t="s">
        <v>42669</v>
      </c>
      <c r="U571" t="s">
        <v>43710</v>
      </c>
      <c r="W571" t="s">
        <v>37802</v>
      </c>
      <c r="X571" t="s">
        <v>41252</v>
      </c>
    </row>
    <row r="572" spans="1:24">
      <c r="A572">
        <f>HYPERLINK("https://www.philgeps.gov.ph/GEPSNONPILOT/Tender/SplashBidNoticeAbstractUI.aspx?menuIndex=3&amp;refID=7076618&amp;Result=3","7076618")</f>
        <v>0</v>
      </c>
      <c r="B572" t="s">
        <v>325</v>
      </c>
      <c r="C572" t="s">
        <v>3925</v>
      </c>
      <c r="D572" t="s">
        <v>16661</v>
      </c>
      <c r="E572" t="s">
        <v>17259</v>
      </c>
      <c r="F572" t="s">
        <v>28669</v>
      </c>
      <c r="G572" t="s">
        <v>28676</v>
      </c>
      <c r="H572" t="s">
        <v>9998</v>
      </c>
      <c r="I572" t="s">
        <v>28694</v>
      </c>
      <c r="J572" t="s">
        <v>29274</v>
      </c>
      <c r="K572" t="s">
        <v>37204</v>
      </c>
      <c r="M572" t="s">
        <v>37805</v>
      </c>
      <c r="N572" t="s">
        <v>41249</v>
      </c>
      <c r="O572" t="s">
        <v>41250</v>
      </c>
      <c r="P572">
        <v>0</v>
      </c>
      <c r="Q572">
        <v>0</v>
      </c>
      <c r="R572" t="s">
        <v>41251</v>
      </c>
      <c r="S572" t="s">
        <v>41369</v>
      </c>
      <c r="T572" t="s">
        <v>42717</v>
      </c>
      <c r="U572" t="s">
        <v>43715</v>
      </c>
      <c r="W572" t="s">
        <v>37805</v>
      </c>
      <c r="X572" t="s">
        <v>41252</v>
      </c>
    </row>
    <row r="573" spans="1:24">
      <c r="A573">
        <f>HYPERLINK("https://www.philgeps.gov.ph/GEPSNONPILOT/Tender/SplashBidNoticeAbstractUI.aspx?menuIndex=3&amp;refID=7076653&amp;Result=3","7076653")</f>
        <v>0</v>
      </c>
      <c r="B573" t="s">
        <v>30</v>
      </c>
      <c r="C573" t="s">
        <v>3926</v>
      </c>
      <c r="D573" t="s">
        <v>16612</v>
      </c>
      <c r="E573" t="s">
        <v>17260</v>
      </c>
      <c r="F573" t="s">
        <v>28669</v>
      </c>
      <c r="G573" t="s">
        <v>28677</v>
      </c>
      <c r="H573" t="s">
        <v>9998</v>
      </c>
      <c r="I573" t="s">
        <v>15140</v>
      </c>
      <c r="J573" t="s">
        <v>28877</v>
      </c>
      <c r="K573" t="s">
        <v>37210</v>
      </c>
      <c r="M573" t="s">
        <v>37505</v>
      </c>
      <c r="N573" t="s">
        <v>41249</v>
      </c>
      <c r="O573" t="s">
        <v>41250</v>
      </c>
      <c r="P573">
        <v>0</v>
      </c>
      <c r="Q573">
        <v>0</v>
      </c>
      <c r="R573" t="s">
        <v>41251</v>
      </c>
      <c r="S573" t="s">
        <v>41369</v>
      </c>
      <c r="T573" t="s">
        <v>42665</v>
      </c>
      <c r="U573" t="s">
        <v>43716</v>
      </c>
      <c r="W573" t="s">
        <v>37505</v>
      </c>
      <c r="X573" t="s">
        <v>41252</v>
      </c>
    </row>
    <row r="574" spans="1:24">
      <c r="A574">
        <f>HYPERLINK("https://www.philgeps.gov.ph/GEPSNONPILOT/Tender/SplashBidNoticeAbstractUI.aspx?menuIndex=3&amp;refID=7076652&amp;Result=3","7076652")</f>
        <v>0</v>
      </c>
      <c r="B574" t="s">
        <v>326</v>
      </c>
      <c r="C574" t="s">
        <v>3927</v>
      </c>
      <c r="D574" t="s">
        <v>16665</v>
      </c>
      <c r="E574" t="s">
        <v>17261</v>
      </c>
      <c r="F574" t="s">
        <v>28669</v>
      </c>
      <c r="G574" t="s">
        <v>28678</v>
      </c>
      <c r="H574" t="s">
        <v>9998</v>
      </c>
      <c r="I574" t="s">
        <v>3718</v>
      </c>
      <c r="J574" t="s">
        <v>29040</v>
      </c>
      <c r="K574" t="s">
        <v>37205</v>
      </c>
      <c r="M574" t="s">
        <v>37806</v>
      </c>
      <c r="N574" t="s">
        <v>41249</v>
      </c>
      <c r="O574" t="s">
        <v>41250</v>
      </c>
      <c r="P574">
        <v>0</v>
      </c>
      <c r="Q574">
        <v>7</v>
      </c>
      <c r="R574" t="s">
        <v>41251</v>
      </c>
      <c r="S574" t="s">
        <v>41369</v>
      </c>
      <c r="T574" t="s">
        <v>42754</v>
      </c>
      <c r="U574" t="s">
        <v>43717</v>
      </c>
      <c r="W574" t="s">
        <v>37806</v>
      </c>
      <c r="X574" t="s">
        <v>41252</v>
      </c>
    </row>
    <row r="575" spans="1:24">
      <c r="A575">
        <f>HYPERLINK("https://www.philgeps.gov.ph/GEPSNONPILOT/Tender/SplashBidNoticeAbstractUI.aspx?menuIndex=3&amp;refID=7076650&amp;Result=3","7076650")</f>
        <v>0</v>
      </c>
      <c r="B575" t="s">
        <v>308</v>
      </c>
      <c r="C575" t="s">
        <v>3928</v>
      </c>
      <c r="D575" t="s">
        <v>16647</v>
      </c>
      <c r="E575" t="s">
        <v>17262</v>
      </c>
      <c r="F575" t="s">
        <v>28669</v>
      </c>
      <c r="G575" t="s">
        <v>28676</v>
      </c>
      <c r="H575" t="s">
        <v>9998</v>
      </c>
      <c r="I575" t="s">
        <v>28704</v>
      </c>
      <c r="J575" t="s">
        <v>29275</v>
      </c>
      <c r="K575" t="s">
        <v>37227</v>
      </c>
      <c r="M575" t="s">
        <v>37787</v>
      </c>
      <c r="N575" t="s">
        <v>41249</v>
      </c>
      <c r="O575" t="s">
        <v>41250</v>
      </c>
      <c r="P575">
        <v>0</v>
      </c>
      <c r="Q575">
        <v>0</v>
      </c>
      <c r="R575" t="s">
        <v>41251</v>
      </c>
      <c r="S575" t="s">
        <v>41369</v>
      </c>
      <c r="T575" t="s">
        <v>42754</v>
      </c>
      <c r="U575" t="s">
        <v>43718</v>
      </c>
      <c r="W575" t="s">
        <v>37787</v>
      </c>
      <c r="X575" t="s">
        <v>41252</v>
      </c>
    </row>
    <row r="576" spans="1:24">
      <c r="A576">
        <f>HYPERLINK("https://www.philgeps.gov.ph/GEPSNONPILOT/Tender/SplashBidNoticeAbstractUI.aspx?menuIndex=3&amp;refID=7076648&amp;Result=3","7076648")</f>
        <v>0</v>
      </c>
      <c r="B576" t="s">
        <v>310</v>
      </c>
      <c r="C576" t="s">
        <v>3929</v>
      </c>
      <c r="D576" t="s">
        <v>16635</v>
      </c>
      <c r="E576" t="s">
        <v>17263</v>
      </c>
      <c r="F576" t="s">
        <v>28669</v>
      </c>
      <c r="G576" t="s">
        <v>28678</v>
      </c>
      <c r="H576" t="s">
        <v>9998</v>
      </c>
      <c r="I576" t="s">
        <v>28688</v>
      </c>
      <c r="J576" t="s">
        <v>29276</v>
      </c>
      <c r="K576" t="s">
        <v>37209</v>
      </c>
      <c r="M576" t="s">
        <v>37789</v>
      </c>
      <c r="N576" t="s">
        <v>41249</v>
      </c>
      <c r="O576" t="s">
        <v>41250</v>
      </c>
      <c r="P576">
        <v>0</v>
      </c>
      <c r="Q576">
        <v>4</v>
      </c>
      <c r="R576" t="s">
        <v>41251</v>
      </c>
      <c r="S576" t="s">
        <v>41369</v>
      </c>
      <c r="T576" t="s">
        <v>42686</v>
      </c>
      <c r="U576" t="s">
        <v>43719</v>
      </c>
      <c r="W576" t="s">
        <v>37789</v>
      </c>
      <c r="X576" t="s">
        <v>41252</v>
      </c>
    </row>
    <row r="577" spans="1:24">
      <c r="A577">
        <f>HYPERLINK("https://www.philgeps.gov.ph/GEPSNONPILOT/Tender/SplashBidNoticeAbstractUI.aspx?menuIndex=3&amp;refID=7076646&amp;Result=3","7076646")</f>
        <v>0</v>
      </c>
      <c r="B577" t="s">
        <v>327</v>
      </c>
      <c r="C577" t="s">
        <v>3482</v>
      </c>
      <c r="D577" t="s">
        <v>16682</v>
      </c>
      <c r="E577" t="s">
        <v>17264</v>
      </c>
      <c r="F577" t="s">
        <v>28669</v>
      </c>
      <c r="G577" t="s">
        <v>28676</v>
      </c>
      <c r="H577" t="s">
        <v>9998</v>
      </c>
      <c r="I577" t="s">
        <v>28695</v>
      </c>
      <c r="J577" t="s">
        <v>29277</v>
      </c>
      <c r="K577" t="s">
        <v>37206</v>
      </c>
      <c r="M577" t="s">
        <v>37807</v>
      </c>
      <c r="N577" t="s">
        <v>41249</v>
      </c>
      <c r="O577" t="s">
        <v>41250</v>
      </c>
      <c r="P577">
        <v>0</v>
      </c>
      <c r="Q577">
        <v>0</v>
      </c>
      <c r="R577" t="s">
        <v>41251</v>
      </c>
      <c r="S577" t="s">
        <v>41369</v>
      </c>
      <c r="T577" t="s">
        <v>42754</v>
      </c>
      <c r="U577" t="s">
        <v>43720</v>
      </c>
      <c r="V577" t="s">
        <v>54328</v>
      </c>
      <c r="W577" t="s">
        <v>37807</v>
      </c>
      <c r="X577" t="s">
        <v>41252</v>
      </c>
    </row>
    <row r="578" spans="1:24">
      <c r="A578">
        <f>HYPERLINK("https://www.philgeps.gov.ph/GEPSNONPILOT/Tender/SplashBidNoticeAbstractUI.aspx?menuIndex=3&amp;refID=7076645&amp;Result=3","7076645")</f>
        <v>0</v>
      </c>
      <c r="B578" t="s">
        <v>328</v>
      </c>
      <c r="C578" t="s">
        <v>3930</v>
      </c>
      <c r="D578" t="s">
        <v>16620</v>
      </c>
      <c r="E578" t="s">
        <v>17265</v>
      </c>
      <c r="F578" t="s">
        <v>28669</v>
      </c>
      <c r="G578" t="s">
        <v>28676</v>
      </c>
      <c r="H578" t="s">
        <v>9998</v>
      </c>
      <c r="I578" t="s">
        <v>5213</v>
      </c>
      <c r="J578" t="s">
        <v>29278</v>
      </c>
      <c r="K578" t="s">
        <v>37243</v>
      </c>
      <c r="M578" t="s">
        <v>37808</v>
      </c>
      <c r="N578" t="s">
        <v>41249</v>
      </c>
      <c r="O578" t="s">
        <v>41250</v>
      </c>
      <c r="P578">
        <v>0</v>
      </c>
      <c r="Q578">
        <v>3</v>
      </c>
      <c r="R578" t="s">
        <v>41251</v>
      </c>
      <c r="S578" t="s">
        <v>41369</v>
      </c>
      <c r="T578" t="s">
        <v>42738</v>
      </c>
      <c r="U578" t="s">
        <v>43721</v>
      </c>
      <c r="W578" t="s">
        <v>37808</v>
      </c>
      <c r="X578" t="s">
        <v>41252</v>
      </c>
    </row>
    <row r="579" spans="1:24">
      <c r="A579">
        <f>HYPERLINK("https://www.philgeps.gov.ph/GEPSNONPILOT/Tender/SplashBidNoticeAbstractUI.aspx?menuIndex=3&amp;refID=7076644&amp;Result=3","7076644")</f>
        <v>0</v>
      </c>
      <c r="B579" t="s">
        <v>329</v>
      </c>
      <c r="C579" t="s">
        <v>3931</v>
      </c>
      <c r="D579" t="s">
        <v>16643</v>
      </c>
      <c r="E579" t="s">
        <v>17266</v>
      </c>
      <c r="F579" t="s">
        <v>28669</v>
      </c>
      <c r="G579" t="s">
        <v>28676</v>
      </c>
      <c r="H579" t="s">
        <v>9998</v>
      </c>
      <c r="I579" t="s">
        <v>6128</v>
      </c>
      <c r="J579" t="s">
        <v>28985</v>
      </c>
      <c r="K579" t="s">
        <v>37206</v>
      </c>
      <c r="M579" t="s">
        <v>37809</v>
      </c>
      <c r="N579" t="s">
        <v>41249</v>
      </c>
      <c r="O579" t="s">
        <v>41250</v>
      </c>
      <c r="P579">
        <v>0</v>
      </c>
      <c r="Q579">
        <v>4</v>
      </c>
      <c r="R579" t="s">
        <v>41251</v>
      </c>
      <c r="S579" t="s">
        <v>41369</v>
      </c>
      <c r="T579" t="s">
        <v>42694</v>
      </c>
      <c r="U579" t="s">
        <v>43722</v>
      </c>
      <c r="W579" t="s">
        <v>37809</v>
      </c>
      <c r="X579" t="s">
        <v>41252</v>
      </c>
    </row>
    <row r="580" spans="1:24">
      <c r="A580">
        <f>HYPERLINK("https://www.philgeps.gov.ph/GEPSNONPILOT/Tender/SplashBidNoticeAbstractUI.aspx?menuIndex=3&amp;refID=7076103&amp;Result=3","7076103")</f>
        <v>0</v>
      </c>
      <c r="B580" t="s">
        <v>330</v>
      </c>
      <c r="C580" t="s">
        <v>3932</v>
      </c>
      <c r="D580" t="s">
        <v>16643</v>
      </c>
      <c r="E580" t="s">
        <v>17029</v>
      </c>
      <c r="F580" t="s">
        <v>28669</v>
      </c>
      <c r="G580" t="s">
        <v>28677</v>
      </c>
      <c r="H580" t="s">
        <v>9998</v>
      </c>
      <c r="I580" t="s">
        <v>28709</v>
      </c>
      <c r="J580" t="s">
        <v>29279</v>
      </c>
      <c r="K580" t="s">
        <v>37204</v>
      </c>
      <c r="M580" t="s">
        <v>37810</v>
      </c>
      <c r="N580" t="s">
        <v>41249</v>
      </c>
      <c r="O580" t="s">
        <v>41250</v>
      </c>
      <c r="P580">
        <v>0</v>
      </c>
      <c r="Q580">
        <v>0</v>
      </c>
      <c r="R580" t="s">
        <v>41251</v>
      </c>
      <c r="S580" t="s">
        <v>41369</v>
      </c>
      <c r="T580" t="s">
        <v>42682</v>
      </c>
      <c r="U580" t="s">
        <v>43454</v>
      </c>
      <c r="W580" t="s">
        <v>37810</v>
      </c>
      <c r="X580" t="s">
        <v>41252</v>
      </c>
    </row>
    <row r="581" spans="1:24">
      <c r="A581">
        <f>HYPERLINK("https://www.philgeps.gov.ph/GEPSNONPILOT/Tender/SplashBidNoticeAbstractUI.aspx?menuIndex=3&amp;refID=7076666&amp;Result=3","7076666")</f>
        <v>0</v>
      </c>
      <c r="B581" t="s">
        <v>42</v>
      </c>
      <c r="C581" t="s">
        <v>3933</v>
      </c>
      <c r="D581" t="s">
        <v>16623</v>
      </c>
      <c r="E581" t="s">
        <v>17267</v>
      </c>
      <c r="F581" t="s">
        <v>28669</v>
      </c>
      <c r="G581" t="s">
        <v>28675</v>
      </c>
      <c r="H581" t="s">
        <v>9998</v>
      </c>
      <c r="I581" t="s">
        <v>3718</v>
      </c>
      <c r="J581" t="s">
        <v>29280</v>
      </c>
      <c r="K581" t="s">
        <v>37210</v>
      </c>
      <c r="M581" t="s">
        <v>37517</v>
      </c>
      <c r="N581" t="s">
        <v>41249</v>
      </c>
      <c r="O581" t="s">
        <v>41250</v>
      </c>
      <c r="P581">
        <v>0</v>
      </c>
      <c r="Q581">
        <v>2</v>
      </c>
      <c r="R581" t="s">
        <v>41251</v>
      </c>
      <c r="S581" t="s">
        <v>41369</v>
      </c>
      <c r="T581" t="s">
        <v>42678</v>
      </c>
      <c r="U581" t="s">
        <v>43723</v>
      </c>
      <c r="W581" t="s">
        <v>37517</v>
      </c>
      <c r="X581" t="s">
        <v>41252</v>
      </c>
    </row>
    <row r="582" spans="1:24">
      <c r="A582">
        <f>HYPERLINK("https://www.philgeps.gov.ph/GEPSNONPILOT/Tender/SplashBidNoticeAbstractUI.aspx?menuIndex=3&amp;refID=7076654&amp;Result=3","7076654")</f>
        <v>0</v>
      </c>
      <c r="B582" t="s">
        <v>225</v>
      </c>
      <c r="C582" t="s">
        <v>3934</v>
      </c>
      <c r="D582" t="s">
        <v>16616</v>
      </c>
      <c r="E582" t="s">
        <v>17268</v>
      </c>
      <c r="F582" t="s">
        <v>28669</v>
      </c>
      <c r="G582" t="s">
        <v>28676</v>
      </c>
      <c r="H582" t="s">
        <v>9998</v>
      </c>
      <c r="I582" t="s">
        <v>11593</v>
      </c>
      <c r="J582" t="s">
        <v>29281</v>
      </c>
      <c r="K582" t="s">
        <v>37204</v>
      </c>
      <c r="M582" t="s">
        <v>37703</v>
      </c>
      <c r="N582" t="s">
        <v>41249</v>
      </c>
      <c r="O582" t="s">
        <v>41250</v>
      </c>
      <c r="P582">
        <v>0</v>
      </c>
      <c r="Q582">
        <v>1</v>
      </c>
      <c r="R582" t="s">
        <v>41251</v>
      </c>
      <c r="S582" t="s">
        <v>41369</v>
      </c>
      <c r="T582" t="s">
        <v>42683</v>
      </c>
      <c r="U582" t="s">
        <v>43549</v>
      </c>
      <c r="W582" t="s">
        <v>37703</v>
      </c>
      <c r="X582" t="s">
        <v>41252</v>
      </c>
    </row>
    <row r="583" spans="1:24">
      <c r="A583">
        <f>HYPERLINK("https://www.philgeps.gov.ph/GEPSNONPILOT/Tender/SplashBidNoticeAbstractUI.aspx?menuIndex=3&amp;refID=7076690&amp;Result=3","7076690")</f>
        <v>0</v>
      </c>
      <c r="B583" t="s">
        <v>322</v>
      </c>
      <c r="C583" t="s">
        <v>3935</v>
      </c>
      <c r="D583" t="s">
        <v>16655</v>
      </c>
      <c r="E583" t="s">
        <v>17269</v>
      </c>
      <c r="F583" t="s">
        <v>28669</v>
      </c>
      <c r="G583" t="s">
        <v>28675</v>
      </c>
      <c r="H583" t="s">
        <v>28686</v>
      </c>
      <c r="I583" t="s">
        <v>28689</v>
      </c>
      <c r="J583" t="s">
        <v>28905</v>
      </c>
      <c r="K583" t="s">
        <v>37206</v>
      </c>
      <c r="M583" t="s">
        <v>37802</v>
      </c>
      <c r="N583" t="s">
        <v>41249</v>
      </c>
      <c r="O583" t="s">
        <v>41250</v>
      </c>
      <c r="P583">
        <v>0</v>
      </c>
      <c r="Q583">
        <v>0</v>
      </c>
      <c r="R583" t="s">
        <v>41251</v>
      </c>
      <c r="S583" t="s">
        <v>41369</v>
      </c>
      <c r="T583" t="s">
        <v>42669</v>
      </c>
      <c r="U583" t="s">
        <v>43710</v>
      </c>
      <c r="W583" t="s">
        <v>37802</v>
      </c>
      <c r="X583" t="s">
        <v>41252</v>
      </c>
    </row>
    <row r="584" spans="1:24">
      <c r="A584">
        <f>HYPERLINK("https://www.philgeps.gov.ph/GEPSNONPILOT/Tender/SplashBidNoticeAbstractUI.aspx?menuIndex=3&amp;refID=7076688&amp;Result=3","7076688")</f>
        <v>0</v>
      </c>
      <c r="B584" t="s">
        <v>331</v>
      </c>
      <c r="C584" t="s">
        <v>3936</v>
      </c>
      <c r="D584" t="s">
        <v>16611</v>
      </c>
      <c r="E584" t="s">
        <v>17270</v>
      </c>
      <c r="F584" t="s">
        <v>28671</v>
      </c>
      <c r="G584" t="s">
        <v>28676</v>
      </c>
      <c r="H584" t="s">
        <v>9998</v>
      </c>
      <c r="I584" t="s">
        <v>28704</v>
      </c>
      <c r="J584" t="s">
        <v>29282</v>
      </c>
      <c r="K584" t="s">
        <v>37206</v>
      </c>
      <c r="M584" t="s">
        <v>37811</v>
      </c>
      <c r="N584" t="s">
        <v>41249</v>
      </c>
      <c r="O584" t="s">
        <v>41250</v>
      </c>
      <c r="P584">
        <v>0</v>
      </c>
      <c r="Q584">
        <v>0</v>
      </c>
      <c r="R584" t="s">
        <v>41251</v>
      </c>
      <c r="S584" t="s">
        <v>41369</v>
      </c>
      <c r="T584" t="s">
        <v>42783</v>
      </c>
      <c r="U584" t="s">
        <v>43724</v>
      </c>
      <c r="W584" t="s">
        <v>37811</v>
      </c>
      <c r="X584" t="s">
        <v>41252</v>
      </c>
    </row>
    <row r="585" spans="1:24">
      <c r="A585">
        <f>HYPERLINK("https://www.philgeps.gov.ph/GEPSNONPILOT/Tender/SplashBidNoticeAbstractUI.aspx?menuIndex=3&amp;refID=7076687&amp;Result=3","7076687")</f>
        <v>0</v>
      </c>
      <c r="B585" t="s">
        <v>332</v>
      </c>
      <c r="C585" t="s">
        <v>3937</v>
      </c>
      <c r="D585" t="s">
        <v>16615</v>
      </c>
      <c r="E585" t="s">
        <v>17271</v>
      </c>
      <c r="F585" t="s">
        <v>28669</v>
      </c>
      <c r="G585" t="s">
        <v>28676</v>
      </c>
      <c r="H585" t="s">
        <v>9998</v>
      </c>
      <c r="I585" t="s">
        <v>28726</v>
      </c>
      <c r="J585" t="s">
        <v>29283</v>
      </c>
      <c r="K585" t="s">
        <v>37205</v>
      </c>
      <c r="M585" t="s">
        <v>37812</v>
      </c>
      <c r="N585" t="s">
        <v>41249</v>
      </c>
      <c r="O585" t="s">
        <v>41250</v>
      </c>
      <c r="P585">
        <v>0</v>
      </c>
      <c r="Q585">
        <v>2</v>
      </c>
      <c r="R585" t="s">
        <v>41251</v>
      </c>
      <c r="S585" t="s">
        <v>41369</v>
      </c>
      <c r="T585" t="s">
        <v>42717</v>
      </c>
      <c r="U585" t="s">
        <v>43725</v>
      </c>
      <c r="W585" t="s">
        <v>37812</v>
      </c>
      <c r="X585" t="s">
        <v>41252</v>
      </c>
    </row>
    <row r="586" spans="1:24">
      <c r="A586">
        <f>HYPERLINK("https://www.philgeps.gov.ph/GEPSNONPILOT/Tender/SplashBidNoticeAbstractUI.aspx?menuIndex=3&amp;refID=7076651&amp;Result=3","7076651")</f>
        <v>0</v>
      </c>
      <c r="B586" t="s">
        <v>221</v>
      </c>
      <c r="C586" t="s">
        <v>3938</v>
      </c>
      <c r="E586" t="s">
        <v>17272</v>
      </c>
      <c r="F586" t="s">
        <v>28669</v>
      </c>
      <c r="G586" t="s">
        <v>28675</v>
      </c>
      <c r="H586" t="s">
        <v>28686</v>
      </c>
      <c r="I586" t="s">
        <v>28689</v>
      </c>
      <c r="J586" t="s">
        <v>29284</v>
      </c>
      <c r="K586" t="s">
        <v>37209</v>
      </c>
      <c r="M586" t="s">
        <v>37699</v>
      </c>
      <c r="N586" t="s">
        <v>41249</v>
      </c>
      <c r="O586" t="s">
        <v>41250</v>
      </c>
      <c r="P586">
        <v>0</v>
      </c>
      <c r="Q586">
        <v>0</v>
      </c>
      <c r="R586" t="s">
        <v>41251</v>
      </c>
      <c r="S586" t="s">
        <v>41369</v>
      </c>
      <c r="T586" t="s">
        <v>42672</v>
      </c>
      <c r="U586" t="s">
        <v>43726</v>
      </c>
      <c r="W586" t="s">
        <v>37699</v>
      </c>
      <c r="X586" t="s">
        <v>41252</v>
      </c>
    </row>
    <row r="587" spans="1:24">
      <c r="A587">
        <f>HYPERLINK("https://www.philgeps.gov.ph/GEPSNONPILOT/Tender/SplashBidNoticeAbstractUI.aspx?menuIndex=3&amp;refID=7076686&amp;Result=3","7076686")</f>
        <v>0</v>
      </c>
      <c r="B587" t="s">
        <v>333</v>
      </c>
      <c r="C587" t="s">
        <v>3939</v>
      </c>
      <c r="D587" t="s">
        <v>16666</v>
      </c>
      <c r="E587" t="s">
        <v>16967</v>
      </c>
      <c r="F587" t="s">
        <v>28669</v>
      </c>
      <c r="G587" t="s">
        <v>28675</v>
      </c>
      <c r="H587" t="s">
        <v>28686</v>
      </c>
      <c r="I587" t="s">
        <v>28702</v>
      </c>
      <c r="J587" t="s">
        <v>29285</v>
      </c>
      <c r="K587" t="s">
        <v>37206</v>
      </c>
      <c r="M587" t="s">
        <v>37813</v>
      </c>
      <c r="N587" t="s">
        <v>41249</v>
      </c>
      <c r="O587" t="s">
        <v>41250</v>
      </c>
      <c r="P587">
        <v>0</v>
      </c>
      <c r="Q587">
        <v>0</v>
      </c>
      <c r="R587" t="s">
        <v>41251</v>
      </c>
      <c r="S587" t="s">
        <v>41369</v>
      </c>
      <c r="T587" t="s">
        <v>42745</v>
      </c>
      <c r="U587" t="s">
        <v>43727</v>
      </c>
      <c r="W587" t="s">
        <v>37813</v>
      </c>
      <c r="X587" t="s">
        <v>41252</v>
      </c>
    </row>
    <row r="588" spans="1:24">
      <c r="A588">
        <f>HYPERLINK("https://www.philgeps.gov.ph/GEPSNONPILOT/Tender/SplashBidNoticeAbstractUI.aspx?menuIndex=3&amp;refID=7076632&amp;Result=3","7076632")</f>
        <v>0</v>
      </c>
      <c r="B588" t="s">
        <v>334</v>
      </c>
      <c r="C588" t="s">
        <v>3940</v>
      </c>
      <c r="D588" t="s">
        <v>16637</v>
      </c>
      <c r="E588" t="s">
        <v>17273</v>
      </c>
      <c r="F588" t="s">
        <v>28669</v>
      </c>
      <c r="G588" t="s">
        <v>28676</v>
      </c>
      <c r="H588" t="s">
        <v>9998</v>
      </c>
      <c r="I588" t="s">
        <v>28687</v>
      </c>
      <c r="J588" t="s">
        <v>29133</v>
      </c>
      <c r="K588" t="s">
        <v>37206</v>
      </c>
      <c r="M588" t="s">
        <v>37814</v>
      </c>
      <c r="N588" t="s">
        <v>41249</v>
      </c>
      <c r="O588" t="s">
        <v>41250</v>
      </c>
      <c r="P588">
        <v>0</v>
      </c>
      <c r="Q588">
        <v>1</v>
      </c>
      <c r="R588" t="s">
        <v>41251</v>
      </c>
      <c r="S588" t="s">
        <v>41369</v>
      </c>
      <c r="T588" t="s">
        <v>42673</v>
      </c>
      <c r="U588" t="s">
        <v>43728</v>
      </c>
      <c r="W588" t="s">
        <v>37814</v>
      </c>
      <c r="X588" t="s">
        <v>41252</v>
      </c>
    </row>
    <row r="589" spans="1:24">
      <c r="A589">
        <f>HYPERLINK("https://www.philgeps.gov.ph/GEPSNONPILOT/Tender/SplashBidNoticeAbstractUI.aspx?menuIndex=3&amp;refID=7076681&amp;Result=3","7076681")</f>
        <v>0</v>
      </c>
      <c r="B589" t="s">
        <v>322</v>
      </c>
      <c r="C589" t="s">
        <v>3941</v>
      </c>
      <c r="D589" t="s">
        <v>16655</v>
      </c>
      <c r="E589" t="s">
        <v>17274</v>
      </c>
      <c r="F589" t="s">
        <v>28669</v>
      </c>
      <c r="G589" t="s">
        <v>28675</v>
      </c>
      <c r="H589" t="s">
        <v>28686</v>
      </c>
      <c r="I589" t="s">
        <v>28689</v>
      </c>
      <c r="J589" t="s">
        <v>28889</v>
      </c>
      <c r="K589" t="s">
        <v>37220</v>
      </c>
      <c r="M589" t="s">
        <v>37802</v>
      </c>
      <c r="N589" t="s">
        <v>41249</v>
      </c>
      <c r="O589" t="s">
        <v>41250</v>
      </c>
      <c r="P589">
        <v>0</v>
      </c>
      <c r="Q589">
        <v>0</v>
      </c>
      <c r="R589" t="s">
        <v>41251</v>
      </c>
      <c r="S589" t="s">
        <v>41369</v>
      </c>
      <c r="T589" t="s">
        <v>42669</v>
      </c>
      <c r="U589" t="s">
        <v>43710</v>
      </c>
      <c r="W589" t="s">
        <v>37802</v>
      </c>
      <c r="X589" t="s">
        <v>41252</v>
      </c>
    </row>
    <row r="590" spans="1:24">
      <c r="A590">
        <f>HYPERLINK("https://www.philgeps.gov.ph/GEPSNONPILOT/Tender/SplashBidNoticeAbstractUI.aspx?menuIndex=3&amp;refID=7076679&amp;Result=3","7076679")</f>
        <v>0</v>
      </c>
      <c r="B590" t="s">
        <v>225</v>
      </c>
      <c r="C590" t="s">
        <v>3942</v>
      </c>
      <c r="D590" t="s">
        <v>16616</v>
      </c>
      <c r="E590" t="s">
        <v>17275</v>
      </c>
      <c r="F590" t="s">
        <v>28669</v>
      </c>
      <c r="G590" t="s">
        <v>28676</v>
      </c>
      <c r="H590" t="s">
        <v>28684</v>
      </c>
      <c r="I590" t="s">
        <v>28744</v>
      </c>
      <c r="J590" t="s">
        <v>29286</v>
      </c>
      <c r="K590" t="s">
        <v>37204</v>
      </c>
      <c r="M590" t="s">
        <v>37703</v>
      </c>
      <c r="N590" t="s">
        <v>41249</v>
      </c>
      <c r="O590" t="s">
        <v>41250</v>
      </c>
      <c r="P590">
        <v>0</v>
      </c>
      <c r="Q590">
        <v>0</v>
      </c>
      <c r="R590" t="s">
        <v>41251</v>
      </c>
      <c r="S590" t="s">
        <v>41369</v>
      </c>
      <c r="T590" t="s">
        <v>42683</v>
      </c>
      <c r="U590" t="s">
        <v>43729</v>
      </c>
      <c r="W590" t="s">
        <v>37703</v>
      </c>
      <c r="X590" t="s">
        <v>41252</v>
      </c>
    </row>
    <row r="591" spans="1:24">
      <c r="A591">
        <f>HYPERLINK("https://www.philgeps.gov.ph/GEPSNONPILOT/Tender/SplashBidNoticeAbstractUI.aspx?menuIndex=3&amp;refID=7076677&amp;Result=3","7076677")</f>
        <v>0</v>
      </c>
      <c r="B591" t="s">
        <v>335</v>
      </c>
      <c r="C591" t="s">
        <v>3943</v>
      </c>
      <c r="D591" t="s">
        <v>16636</v>
      </c>
      <c r="E591" t="s">
        <v>17276</v>
      </c>
      <c r="F591" t="s">
        <v>28669</v>
      </c>
      <c r="G591" t="s">
        <v>28677</v>
      </c>
      <c r="H591" t="s">
        <v>9998</v>
      </c>
      <c r="I591" t="s">
        <v>28743</v>
      </c>
      <c r="J591" t="s">
        <v>29287</v>
      </c>
      <c r="K591" t="s">
        <v>37206</v>
      </c>
      <c r="M591" t="s">
        <v>37815</v>
      </c>
      <c r="N591" t="s">
        <v>41249</v>
      </c>
      <c r="O591" t="s">
        <v>41250</v>
      </c>
      <c r="P591">
        <v>0</v>
      </c>
      <c r="Q591">
        <v>0</v>
      </c>
      <c r="R591" t="s">
        <v>41251</v>
      </c>
      <c r="S591" t="s">
        <v>41369</v>
      </c>
      <c r="T591" t="s">
        <v>42701</v>
      </c>
      <c r="U591" t="s">
        <v>43730</v>
      </c>
      <c r="V591" t="s">
        <v>54329</v>
      </c>
      <c r="W591" t="s">
        <v>37815</v>
      </c>
      <c r="X591" t="s">
        <v>41252</v>
      </c>
    </row>
    <row r="592" spans="1:24">
      <c r="A592">
        <f>HYPERLINK("https://www.philgeps.gov.ph/GEPSNONPILOT/Tender/SplashBidNoticeAbstractUI.aspx?menuIndex=3&amp;refID=7076674&amp;Result=3","7076674")</f>
        <v>0</v>
      </c>
      <c r="B592" t="s">
        <v>322</v>
      </c>
      <c r="C592" t="s">
        <v>3944</v>
      </c>
      <c r="D592" t="s">
        <v>16655</v>
      </c>
      <c r="E592" t="s">
        <v>17277</v>
      </c>
      <c r="F592" t="s">
        <v>28669</v>
      </c>
      <c r="G592" t="s">
        <v>28675</v>
      </c>
      <c r="H592" t="s">
        <v>28686</v>
      </c>
      <c r="I592" t="s">
        <v>28689</v>
      </c>
      <c r="J592" t="s">
        <v>28878</v>
      </c>
      <c r="K592" t="s">
        <v>37206</v>
      </c>
      <c r="M592" t="s">
        <v>37802</v>
      </c>
      <c r="N592" t="s">
        <v>41249</v>
      </c>
      <c r="O592" t="s">
        <v>41250</v>
      </c>
      <c r="P592">
        <v>0</v>
      </c>
      <c r="Q592">
        <v>0</v>
      </c>
      <c r="R592" t="s">
        <v>41251</v>
      </c>
      <c r="S592" t="s">
        <v>41369</v>
      </c>
      <c r="T592" t="s">
        <v>42669</v>
      </c>
      <c r="U592" t="s">
        <v>43710</v>
      </c>
      <c r="W592" t="s">
        <v>37802</v>
      </c>
      <c r="X592" t="s">
        <v>41252</v>
      </c>
    </row>
    <row r="593" spans="1:24">
      <c r="A593">
        <f>HYPERLINK("https://www.philgeps.gov.ph/GEPSNONPILOT/Tender/SplashBidNoticeAbstractUI.aspx?menuIndex=3&amp;refID=7076659&amp;Result=3","7076659")</f>
        <v>0</v>
      </c>
      <c r="B593" t="s">
        <v>207</v>
      </c>
      <c r="C593" t="s">
        <v>3945</v>
      </c>
      <c r="D593" t="s">
        <v>16625</v>
      </c>
      <c r="E593" t="s">
        <v>17278</v>
      </c>
      <c r="F593" t="s">
        <v>28669</v>
      </c>
      <c r="G593" t="s">
        <v>28676</v>
      </c>
      <c r="H593" t="s">
        <v>9998</v>
      </c>
      <c r="I593" t="s">
        <v>28745</v>
      </c>
      <c r="J593" t="s">
        <v>29288</v>
      </c>
      <c r="K593" t="s">
        <v>37205</v>
      </c>
      <c r="M593" t="s">
        <v>37765</v>
      </c>
      <c r="N593" t="s">
        <v>41249</v>
      </c>
      <c r="O593" t="s">
        <v>41250</v>
      </c>
      <c r="P593">
        <v>0</v>
      </c>
      <c r="Q593">
        <v>1</v>
      </c>
      <c r="R593" t="s">
        <v>41251</v>
      </c>
      <c r="S593" t="s">
        <v>41369</v>
      </c>
      <c r="T593" t="s">
        <v>42673</v>
      </c>
      <c r="U593" t="s">
        <v>43731</v>
      </c>
      <c r="W593" t="s">
        <v>55908</v>
      </c>
      <c r="X593" t="s">
        <v>41252</v>
      </c>
    </row>
    <row r="594" spans="1:24">
      <c r="A594">
        <f>HYPERLINK("https://www.philgeps.gov.ph/GEPSNONPILOT/Tender/SplashBidNoticeAbstractUI.aspx?menuIndex=3&amp;refID=7076670&amp;Result=3","7076670")</f>
        <v>0</v>
      </c>
      <c r="B594" t="s">
        <v>336</v>
      </c>
      <c r="C594" t="s">
        <v>3946</v>
      </c>
      <c r="D594" t="s">
        <v>16622</v>
      </c>
      <c r="E594" t="s">
        <v>17279</v>
      </c>
      <c r="F594" t="s">
        <v>28669</v>
      </c>
      <c r="G594" t="s">
        <v>28676</v>
      </c>
      <c r="H594" t="s">
        <v>9998</v>
      </c>
      <c r="I594" t="s">
        <v>28693</v>
      </c>
      <c r="J594" t="s">
        <v>29289</v>
      </c>
      <c r="K594" t="s">
        <v>37206</v>
      </c>
      <c r="M594" t="s">
        <v>37816</v>
      </c>
      <c r="N594" t="s">
        <v>41249</v>
      </c>
      <c r="O594" t="s">
        <v>41250</v>
      </c>
      <c r="P594">
        <v>0</v>
      </c>
      <c r="Q594">
        <v>10</v>
      </c>
      <c r="R594" t="s">
        <v>41251</v>
      </c>
      <c r="S594" t="s">
        <v>41369</v>
      </c>
      <c r="T594" t="s">
        <v>42711</v>
      </c>
      <c r="U594" t="s">
        <v>43732</v>
      </c>
      <c r="W594" t="s">
        <v>37816</v>
      </c>
      <c r="X594" t="s">
        <v>41252</v>
      </c>
    </row>
    <row r="595" spans="1:24">
      <c r="A595">
        <f>HYPERLINK("https://www.philgeps.gov.ph/GEPSNONPILOT/Tender/SplashBidNoticeAbstractUI.aspx?menuIndex=3&amp;refID=7076683&amp;Result=3","7076683")</f>
        <v>0</v>
      </c>
      <c r="B595" t="s">
        <v>298</v>
      </c>
      <c r="C595" t="s">
        <v>3947</v>
      </c>
      <c r="D595" t="s">
        <v>16608</v>
      </c>
      <c r="E595" t="s">
        <v>17280</v>
      </c>
      <c r="F595" t="s">
        <v>28669</v>
      </c>
      <c r="G595" t="s">
        <v>28676</v>
      </c>
      <c r="H595" t="s">
        <v>9998</v>
      </c>
      <c r="I595" t="s">
        <v>28728</v>
      </c>
      <c r="J595" t="s">
        <v>29040</v>
      </c>
      <c r="K595" t="s">
        <v>37205</v>
      </c>
      <c r="M595" t="s">
        <v>37777</v>
      </c>
      <c r="N595" t="s">
        <v>41249</v>
      </c>
      <c r="O595" t="s">
        <v>41250</v>
      </c>
      <c r="P595">
        <v>0</v>
      </c>
      <c r="Q595">
        <v>0</v>
      </c>
      <c r="R595" t="s">
        <v>41251</v>
      </c>
      <c r="S595" t="s">
        <v>41369</v>
      </c>
      <c r="T595" t="s">
        <v>42778</v>
      </c>
      <c r="U595" t="s">
        <v>43733</v>
      </c>
      <c r="W595" t="s">
        <v>37777</v>
      </c>
      <c r="X595" t="s">
        <v>41252</v>
      </c>
    </row>
    <row r="596" spans="1:24">
      <c r="A596">
        <f>HYPERLINK("https://www.philgeps.gov.ph/GEPSNONPILOT/Tender/SplashBidNoticeAbstractUI.aspx?menuIndex=3&amp;refID=7076678&amp;Result=3","7076678")</f>
        <v>0</v>
      </c>
      <c r="B596" t="s">
        <v>337</v>
      </c>
      <c r="C596" t="s">
        <v>3948</v>
      </c>
      <c r="D596" t="s">
        <v>16675</v>
      </c>
      <c r="E596" t="s">
        <v>17281</v>
      </c>
      <c r="F596" t="s">
        <v>28669</v>
      </c>
      <c r="G596" t="s">
        <v>28677</v>
      </c>
      <c r="H596" t="s">
        <v>9998</v>
      </c>
      <c r="I596" t="s">
        <v>28689</v>
      </c>
      <c r="J596" t="s">
        <v>29290</v>
      </c>
      <c r="K596" t="s">
        <v>37206</v>
      </c>
      <c r="M596" t="s">
        <v>37817</v>
      </c>
      <c r="N596" t="s">
        <v>41249</v>
      </c>
      <c r="O596" t="s">
        <v>41250</v>
      </c>
      <c r="P596">
        <v>0</v>
      </c>
      <c r="Q596">
        <v>0</v>
      </c>
      <c r="R596" t="s">
        <v>41251</v>
      </c>
      <c r="S596" t="s">
        <v>41369</v>
      </c>
      <c r="T596" t="s">
        <v>42774</v>
      </c>
      <c r="U596" t="s">
        <v>43734</v>
      </c>
      <c r="W596" t="s">
        <v>37817</v>
      </c>
      <c r="X596" t="s">
        <v>41252</v>
      </c>
    </row>
    <row r="597" spans="1:24">
      <c r="A597">
        <f>HYPERLINK("https://www.philgeps.gov.ph/GEPSNONPILOT/Tender/SplashBidNoticeAbstractUI.aspx?menuIndex=3&amp;refID=7076669&amp;Result=3","7076669")</f>
        <v>0</v>
      </c>
      <c r="B597" t="s">
        <v>338</v>
      </c>
      <c r="C597" t="s">
        <v>3949</v>
      </c>
      <c r="D597" t="s">
        <v>16671</v>
      </c>
      <c r="E597" t="s">
        <v>17282</v>
      </c>
      <c r="F597" t="s">
        <v>28669</v>
      </c>
      <c r="G597" t="s">
        <v>28676</v>
      </c>
      <c r="H597" t="s">
        <v>9998</v>
      </c>
      <c r="I597" t="s">
        <v>6606</v>
      </c>
      <c r="J597" t="s">
        <v>28990</v>
      </c>
      <c r="K597" t="s">
        <v>37243</v>
      </c>
      <c r="M597" t="s">
        <v>37818</v>
      </c>
      <c r="N597" t="s">
        <v>41249</v>
      </c>
      <c r="O597" t="s">
        <v>41250</v>
      </c>
      <c r="P597">
        <v>0</v>
      </c>
      <c r="Q597">
        <v>0</v>
      </c>
      <c r="R597" t="s">
        <v>41251</v>
      </c>
      <c r="S597" t="s">
        <v>41369</v>
      </c>
      <c r="T597" t="s">
        <v>42671</v>
      </c>
      <c r="U597" t="s">
        <v>43735</v>
      </c>
      <c r="W597" t="s">
        <v>37818</v>
      </c>
      <c r="X597" t="s">
        <v>41252</v>
      </c>
    </row>
    <row r="598" spans="1:24">
      <c r="A598">
        <f>HYPERLINK("https://www.philgeps.gov.ph/GEPSNONPILOT/Tender/SplashBidNoticeAbstractUI.aspx?menuIndex=3&amp;refID=7076665&amp;Result=3","7076665")</f>
        <v>0</v>
      </c>
      <c r="B598" t="s">
        <v>329</v>
      </c>
      <c r="C598" t="s">
        <v>3931</v>
      </c>
      <c r="D598" t="s">
        <v>16643</v>
      </c>
      <c r="E598" t="s">
        <v>17283</v>
      </c>
      <c r="F598" t="s">
        <v>28669</v>
      </c>
      <c r="G598" t="s">
        <v>28676</v>
      </c>
      <c r="H598" t="s">
        <v>9998</v>
      </c>
      <c r="I598" t="s">
        <v>28688</v>
      </c>
      <c r="J598" t="s">
        <v>29250</v>
      </c>
      <c r="K598" t="s">
        <v>37206</v>
      </c>
      <c r="M598" t="s">
        <v>37809</v>
      </c>
      <c r="N598" t="s">
        <v>41249</v>
      </c>
      <c r="O598" t="s">
        <v>41250</v>
      </c>
      <c r="P598">
        <v>0</v>
      </c>
      <c r="Q598">
        <v>4</v>
      </c>
      <c r="R598" t="s">
        <v>41251</v>
      </c>
      <c r="S598" t="s">
        <v>41369</v>
      </c>
      <c r="T598" t="s">
        <v>42694</v>
      </c>
      <c r="U598" t="s">
        <v>43722</v>
      </c>
      <c r="W598" t="s">
        <v>37809</v>
      </c>
      <c r="X598" t="s">
        <v>41252</v>
      </c>
    </row>
    <row r="599" spans="1:24">
      <c r="A599">
        <f>HYPERLINK("https://www.philgeps.gov.ph/GEPSNONPILOT/Tender/SplashBidNoticeAbstractUI.aspx?menuIndex=3&amp;refID=7076660&amp;Result=3","7076660")</f>
        <v>0</v>
      </c>
      <c r="B599" t="s">
        <v>339</v>
      </c>
      <c r="C599" t="s">
        <v>3950</v>
      </c>
      <c r="D599" t="s">
        <v>16613</v>
      </c>
      <c r="E599" t="s">
        <v>17284</v>
      </c>
      <c r="F599" t="s">
        <v>28669</v>
      </c>
      <c r="G599" t="s">
        <v>28681</v>
      </c>
      <c r="H599" t="s">
        <v>28685</v>
      </c>
      <c r="I599" t="s">
        <v>28685</v>
      </c>
      <c r="J599" t="s">
        <v>29291</v>
      </c>
      <c r="K599" t="s">
        <v>37220</v>
      </c>
      <c r="M599" t="s">
        <v>37819</v>
      </c>
      <c r="N599" t="s">
        <v>41249</v>
      </c>
      <c r="O599" t="s">
        <v>41250</v>
      </c>
      <c r="P599">
        <v>0</v>
      </c>
      <c r="Q599">
        <v>4</v>
      </c>
      <c r="R599" t="s">
        <v>41251</v>
      </c>
      <c r="S599" t="s">
        <v>41369</v>
      </c>
      <c r="T599" t="s">
        <v>42690</v>
      </c>
      <c r="U599" t="s">
        <v>43736</v>
      </c>
      <c r="V599" t="s">
        <v>54330</v>
      </c>
      <c r="W599" t="s">
        <v>37819</v>
      </c>
      <c r="X599" t="s">
        <v>41252</v>
      </c>
    </row>
    <row r="600" spans="1:24">
      <c r="A600">
        <f>HYPERLINK("https://www.philgeps.gov.ph/GEPSNONPILOT/Tender/SplashBidNoticeAbstractUI.aspx?menuIndex=3&amp;refID=7076642&amp;Result=3","7076642")</f>
        <v>0</v>
      </c>
      <c r="B600" t="s">
        <v>298</v>
      </c>
      <c r="C600" t="s">
        <v>3951</v>
      </c>
      <c r="D600" t="s">
        <v>16608</v>
      </c>
      <c r="E600" t="s">
        <v>17285</v>
      </c>
      <c r="F600" t="s">
        <v>28669</v>
      </c>
      <c r="G600" t="s">
        <v>28677</v>
      </c>
      <c r="H600" t="s">
        <v>9998</v>
      </c>
      <c r="I600" t="s">
        <v>6128</v>
      </c>
      <c r="J600" t="s">
        <v>28990</v>
      </c>
      <c r="K600" t="s">
        <v>37205</v>
      </c>
      <c r="M600" t="s">
        <v>37777</v>
      </c>
      <c r="N600" t="s">
        <v>41249</v>
      </c>
      <c r="O600" t="s">
        <v>41250</v>
      </c>
      <c r="P600">
        <v>0</v>
      </c>
      <c r="Q600">
        <v>1</v>
      </c>
      <c r="R600" t="s">
        <v>41251</v>
      </c>
      <c r="S600" t="s">
        <v>41369</v>
      </c>
      <c r="T600" t="s">
        <v>42682</v>
      </c>
      <c r="U600" t="s">
        <v>43737</v>
      </c>
      <c r="W600" t="s">
        <v>37777</v>
      </c>
      <c r="X600" t="s">
        <v>41252</v>
      </c>
    </row>
    <row r="601" spans="1:24">
      <c r="A601">
        <f>HYPERLINK("https://www.philgeps.gov.ph/GEPSNONPILOT/Tender/SplashBidNoticeAbstractUI.aspx?menuIndex=3&amp;refID=7076641&amp;Result=3","7076641")</f>
        <v>0</v>
      </c>
      <c r="B601" t="s">
        <v>210</v>
      </c>
      <c r="C601" t="s">
        <v>3952</v>
      </c>
      <c r="D601" t="s">
        <v>16633</v>
      </c>
      <c r="E601" t="s">
        <v>17286</v>
      </c>
      <c r="F601" t="s">
        <v>28669</v>
      </c>
      <c r="G601" t="s">
        <v>28675</v>
      </c>
      <c r="H601" t="s">
        <v>28685</v>
      </c>
      <c r="I601" t="s">
        <v>28685</v>
      </c>
      <c r="J601" t="s">
        <v>29292</v>
      </c>
      <c r="K601" t="s">
        <v>37215</v>
      </c>
      <c r="M601" t="s">
        <v>37688</v>
      </c>
      <c r="N601" t="s">
        <v>41249</v>
      </c>
      <c r="O601" t="s">
        <v>41250</v>
      </c>
      <c r="P601">
        <v>0</v>
      </c>
      <c r="Q601">
        <v>2</v>
      </c>
      <c r="R601" t="s">
        <v>41251</v>
      </c>
      <c r="S601" t="s">
        <v>41369</v>
      </c>
      <c r="T601" t="s">
        <v>42690</v>
      </c>
      <c r="U601" t="s">
        <v>43738</v>
      </c>
      <c r="W601" t="s">
        <v>37688</v>
      </c>
      <c r="X601" t="s">
        <v>41252</v>
      </c>
    </row>
    <row r="602" spans="1:24">
      <c r="A602">
        <f>HYPERLINK("https://www.philgeps.gov.ph/GEPSNONPILOT/Tender/SplashBidNoticeAbstractUI.aspx?menuIndex=3&amp;refID=7076639&amp;Result=3","7076639")</f>
        <v>0</v>
      </c>
      <c r="B602" t="s">
        <v>109</v>
      </c>
      <c r="C602" t="s">
        <v>3953</v>
      </c>
      <c r="D602" t="s">
        <v>16608</v>
      </c>
      <c r="E602" t="s">
        <v>16870</v>
      </c>
      <c r="F602" t="s">
        <v>28669</v>
      </c>
      <c r="G602" t="s">
        <v>28676</v>
      </c>
      <c r="H602" t="s">
        <v>9998</v>
      </c>
      <c r="I602" t="s">
        <v>28688</v>
      </c>
      <c r="J602" t="s">
        <v>29293</v>
      </c>
      <c r="K602" t="s">
        <v>37204</v>
      </c>
      <c r="M602" t="s">
        <v>37585</v>
      </c>
      <c r="N602" t="s">
        <v>41249</v>
      </c>
      <c r="O602" t="s">
        <v>41250</v>
      </c>
      <c r="P602">
        <v>0</v>
      </c>
      <c r="Q602">
        <v>8</v>
      </c>
      <c r="R602" t="s">
        <v>41251</v>
      </c>
      <c r="S602" t="s">
        <v>41369</v>
      </c>
      <c r="T602" t="s">
        <v>42675</v>
      </c>
      <c r="U602" t="s">
        <v>43739</v>
      </c>
      <c r="W602" t="s">
        <v>37585</v>
      </c>
      <c r="X602" t="s">
        <v>41252</v>
      </c>
    </row>
    <row r="603" spans="1:24">
      <c r="A603">
        <f>HYPERLINK("https://www.philgeps.gov.ph/GEPSNONPILOT/Tender/SplashBidNoticeAbstractUI.aspx?menuIndex=3&amp;refID=7076676&amp;Result=3","7076676")</f>
        <v>0</v>
      </c>
      <c r="B603" t="s">
        <v>304</v>
      </c>
      <c r="C603" t="s">
        <v>3954</v>
      </c>
      <c r="D603" t="s">
        <v>16628</v>
      </c>
      <c r="E603" t="s">
        <v>17287</v>
      </c>
      <c r="F603" t="s">
        <v>28669</v>
      </c>
      <c r="G603" t="s">
        <v>28676</v>
      </c>
      <c r="H603" t="s">
        <v>9998</v>
      </c>
      <c r="I603" t="s">
        <v>28735</v>
      </c>
      <c r="J603" t="s">
        <v>29294</v>
      </c>
      <c r="K603" t="s">
        <v>37204</v>
      </c>
      <c r="M603" t="s">
        <v>37783</v>
      </c>
      <c r="N603" t="s">
        <v>41249</v>
      </c>
      <c r="O603" t="s">
        <v>41250</v>
      </c>
      <c r="P603">
        <v>0</v>
      </c>
      <c r="Q603">
        <v>0</v>
      </c>
      <c r="R603" t="s">
        <v>41251</v>
      </c>
      <c r="S603" t="s">
        <v>41369</v>
      </c>
      <c r="T603" t="s">
        <v>42726</v>
      </c>
      <c r="U603" t="s">
        <v>43681</v>
      </c>
      <c r="W603" t="s">
        <v>37783</v>
      </c>
      <c r="X603" t="s">
        <v>41252</v>
      </c>
    </row>
    <row r="604" spans="1:24">
      <c r="A604">
        <f>HYPERLINK("https://www.philgeps.gov.ph/GEPSNONPILOT/Tender/SplashBidNoticeAbstractUI.aspx?menuIndex=3&amp;refID=7076664&amp;Result=3","7076664")</f>
        <v>0</v>
      </c>
      <c r="B604" t="s">
        <v>299</v>
      </c>
      <c r="C604" t="s">
        <v>3955</v>
      </c>
      <c r="D604" t="s">
        <v>16639</v>
      </c>
      <c r="E604" t="s">
        <v>17288</v>
      </c>
      <c r="F604" t="s">
        <v>28669</v>
      </c>
      <c r="G604" t="s">
        <v>28676</v>
      </c>
      <c r="H604" t="s">
        <v>9998</v>
      </c>
      <c r="I604" t="s">
        <v>28721</v>
      </c>
      <c r="J604" t="s">
        <v>29295</v>
      </c>
      <c r="K604" t="s">
        <v>37205</v>
      </c>
      <c r="M604" t="s">
        <v>37778</v>
      </c>
      <c r="N604" t="s">
        <v>41249</v>
      </c>
      <c r="O604" t="s">
        <v>41250</v>
      </c>
      <c r="P604">
        <v>0</v>
      </c>
      <c r="Q604">
        <v>1</v>
      </c>
      <c r="R604" t="s">
        <v>41251</v>
      </c>
      <c r="S604" t="s">
        <v>41369</v>
      </c>
      <c r="T604" t="s">
        <v>42784</v>
      </c>
      <c r="U604" t="s">
        <v>43740</v>
      </c>
      <c r="W604" t="s">
        <v>37778</v>
      </c>
      <c r="X604" t="s">
        <v>41252</v>
      </c>
    </row>
    <row r="605" spans="1:24">
      <c r="A605">
        <f>HYPERLINK("https://www.philgeps.gov.ph/GEPSNONPILOT/Tender/SplashBidNoticeAbstractUI.aspx?menuIndex=3&amp;refID=7076716&amp;Result=3","7076716")</f>
        <v>0</v>
      </c>
      <c r="B605" t="s">
        <v>340</v>
      </c>
      <c r="C605" t="s">
        <v>3956</v>
      </c>
      <c r="D605" t="s">
        <v>16654</v>
      </c>
      <c r="E605" t="s">
        <v>17289</v>
      </c>
      <c r="F605" t="s">
        <v>28669</v>
      </c>
      <c r="G605" t="s">
        <v>28676</v>
      </c>
      <c r="H605" t="s">
        <v>28684</v>
      </c>
      <c r="I605" t="s">
        <v>28746</v>
      </c>
      <c r="J605" t="s">
        <v>29135</v>
      </c>
      <c r="K605" t="s">
        <v>37205</v>
      </c>
      <c r="L605" t="s">
        <v>340</v>
      </c>
      <c r="M605" t="s">
        <v>37820</v>
      </c>
      <c r="N605" t="s">
        <v>41249</v>
      </c>
      <c r="O605" t="s">
        <v>41250</v>
      </c>
      <c r="P605">
        <v>0</v>
      </c>
      <c r="Q605">
        <v>2</v>
      </c>
      <c r="R605" t="s">
        <v>41251</v>
      </c>
      <c r="S605" t="s">
        <v>41369</v>
      </c>
      <c r="T605" t="s">
        <v>42751</v>
      </c>
      <c r="U605" t="s">
        <v>43741</v>
      </c>
      <c r="W605" t="s">
        <v>37820</v>
      </c>
      <c r="X605" t="s">
        <v>41252</v>
      </c>
    </row>
    <row r="606" spans="1:24">
      <c r="A606">
        <f>HYPERLINK("https://www.philgeps.gov.ph/GEPSNONPILOT/Tender/SplashBidNoticeAbstractUI.aspx?menuIndex=3&amp;refID=7076689&amp;Result=3","7076689")</f>
        <v>0</v>
      </c>
      <c r="B606" t="s">
        <v>311</v>
      </c>
      <c r="C606" t="s">
        <v>3957</v>
      </c>
      <c r="D606" t="s">
        <v>16627</v>
      </c>
      <c r="E606" t="s">
        <v>17290</v>
      </c>
      <c r="F606" t="s">
        <v>28669</v>
      </c>
      <c r="G606" t="s">
        <v>28677</v>
      </c>
      <c r="H606" t="s">
        <v>9998</v>
      </c>
      <c r="I606" t="s">
        <v>28694</v>
      </c>
      <c r="J606" t="s">
        <v>28859</v>
      </c>
      <c r="K606" t="s">
        <v>37209</v>
      </c>
      <c r="M606" t="s">
        <v>37790</v>
      </c>
      <c r="N606" t="s">
        <v>41249</v>
      </c>
      <c r="O606" t="s">
        <v>41250</v>
      </c>
      <c r="P606">
        <v>0</v>
      </c>
      <c r="Q606">
        <v>1</v>
      </c>
      <c r="R606" t="s">
        <v>41251</v>
      </c>
      <c r="S606" t="s">
        <v>41369</v>
      </c>
      <c r="T606" t="s">
        <v>42673</v>
      </c>
      <c r="U606" t="s">
        <v>43742</v>
      </c>
      <c r="W606" t="s">
        <v>37790</v>
      </c>
      <c r="X606" t="s">
        <v>41252</v>
      </c>
    </row>
    <row r="607" spans="1:24">
      <c r="A607">
        <f>HYPERLINK("https://www.philgeps.gov.ph/GEPSNONPILOT/Tender/SplashBidNoticeAbstractUI.aspx?menuIndex=3&amp;refID=7076713&amp;Result=3","7076713")</f>
        <v>0</v>
      </c>
      <c r="B607" t="s">
        <v>225</v>
      </c>
      <c r="C607" t="s">
        <v>3958</v>
      </c>
      <c r="D607" t="s">
        <v>16616</v>
      </c>
      <c r="E607" t="s">
        <v>17291</v>
      </c>
      <c r="F607" t="s">
        <v>28669</v>
      </c>
      <c r="G607" t="s">
        <v>28676</v>
      </c>
      <c r="H607" t="s">
        <v>9998</v>
      </c>
      <c r="I607" t="s">
        <v>11593</v>
      </c>
      <c r="J607" t="s">
        <v>28854</v>
      </c>
      <c r="K607" t="s">
        <v>37204</v>
      </c>
      <c r="M607" t="s">
        <v>37703</v>
      </c>
      <c r="N607" t="s">
        <v>41249</v>
      </c>
      <c r="O607" t="s">
        <v>41250</v>
      </c>
      <c r="P607">
        <v>0</v>
      </c>
      <c r="Q607">
        <v>0</v>
      </c>
      <c r="R607" t="s">
        <v>41251</v>
      </c>
      <c r="S607" t="s">
        <v>41369</v>
      </c>
      <c r="T607" t="s">
        <v>42683</v>
      </c>
      <c r="U607" t="s">
        <v>43549</v>
      </c>
      <c r="W607" t="s">
        <v>37703</v>
      </c>
      <c r="X607" t="s">
        <v>41252</v>
      </c>
    </row>
    <row r="608" spans="1:24">
      <c r="A608">
        <f>HYPERLINK("https://www.philgeps.gov.ph/GEPSNONPILOT/Tender/SplashBidNoticeAbstractUI.aspx?menuIndex=3&amp;refID=7076709&amp;Result=3","7076709")</f>
        <v>0</v>
      </c>
      <c r="B608" t="s">
        <v>341</v>
      </c>
      <c r="C608" t="s">
        <v>3959</v>
      </c>
      <c r="D608" t="s">
        <v>16652</v>
      </c>
      <c r="E608" t="s">
        <v>17292</v>
      </c>
      <c r="F608" t="s">
        <v>28669</v>
      </c>
      <c r="G608" t="s">
        <v>28676</v>
      </c>
      <c r="H608" t="s">
        <v>9998</v>
      </c>
      <c r="I608" t="s">
        <v>28695</v>
      </c>
      <c r="J608" t="s">
        <v>29187</v>
      </c>
      <c r="K608" t="s">
        <v>37243</v>
      </c>
      <c r="M608" t="s">
        <v>37821</v>
      </c>
      <c r="N608" t="s">
        <v>41249</v>
      </c>
      <c r="O608" t="s">
        <v>41250</v>
      </c>
      <c r="P608">
        <v>0</v>
      </c>
      <c r="Q608">
        <v>0</v>
      </c>
      <c r="R608" t="s">
        <v>41251</v>
      </c>
      <c r="S608" t="s">
        <v>41369</v>
      </c>
      <c r="T608" t="s">
        <v>42711</v>
      </c>
      <c r="U608" t="s">
        <v>43743</v>
      </c>
      <c r="W608" t="s">
        <v>37821</v>
      </c>
      <c r="X608" t="s">
        <v>41252</v>
      </c>
    </row>
    <row r="609" spans="1:24">
      <c r="A609">
        <f>HYPERLINK("https://www.philgeps.gov.ph/GEPSNONPILOT/Tender/SplashBidNoticeAbstractUI.aspx?menuIndex=3&amp;refID=7076708&amp;Result=3","7076708")</f>
        <v>0</v>
      </c>
      <c r="B609" t="s">
        <v>321</v>
      </c>
      <c r="C609" t="s">
        <v>3960</v>
      </c>
      <c r="D609" t="s">
        <v>16665</v>
      </c>
      <c r="E609" t="s">
        <v>17293</v>
      </c>
      <c r="F609" t="s">
        <v>28669</v>
      </c>
      <c r="G609" t="s">
        <v>28677</v>
      </c>
      <c r="H609" t="s">
        <v>9998</v>
      </c>
      <c r="I609" t="s">
        <v>28693</v>
      </c>
      <c r="J609" t="s">
        <v>28845</v>
      </c>
      <c r="K609" t="s">
        <v>37206</v>
      </c>
      <c r="M609" t="s">
        <v>37801</v>
      </c>
      <c r="N609" t="s">
        <v>41249</v>
      </c>
      <c r="O609" t="s">
        <v>41250</v>
      </c>
      <c r="P609">
        <v>0</v>
      </c>
      <c r="Q609">
        <v>6</v>
      </c>
      <c r="R609" t="s">
        <v>41251</v>
      </c>
      <c r="S609" t="s">
        <v>41369</v>
      </c>
      <c r="T609" t="s">
        <v>42711</v>
      </c>
      <c r="U609" t="s">
        <v>43744</v>
      </c>
      <c r="W609" t="s">
        <v>37801</v>
      </c>
      <c r="X609" t="s">
        <v>41252</v>
      </c>
    </row>
    <row r="610" spans="1:24">
      <c r="A610">
        <f>HYPERLINK("https://www.philgeps.gov.ph/GEPSNONPILOT/Tender/SplashBidNoticeAbstractUI.aspx?menuIndex=3&amp;refID=7076667&amp;Result=3","7076667")</f>
        <v>0</v>
      </c>
      <c r="B610" t="s">
        <v>322</v>
      </c>
      <c r="C610" t="s">
        <v>3961</v>
      </c>
      <c r="D610" t="s">
        <v>16655</v>
      </c>
      <c r="E610" t="s">
        <v>17294</v>
      </c>
      <c r="F610" t="s">
        <v>28669</v>
      </c>
      <c r="G610" t="s">
        <v>28675</v>
      </c>
      <c r="H610" t="s">
        <v>28686</v>
      </c>
      <c r="I610" t="s">
        <v>28689</v>
      </c>
      <c r="J610" t="s">
        <v>28905</v>
      </c>
      <c r="K610" t="s">
        <v>37206</v>
      </c>
      <c r="M610" t="s">
        <v>37802</v>
      </c>
      <c r="N610" t="s">
        <v>41249</v>
      </c>
      <c r="O610" t="s">
        <v>41250</v>
      </c>
      <c r="P610">
        <v>0</v>
      </c>
      <c r="Q610">
        <v>0</v>
      </c>
      <c r="R610" t="s">
        <v>41251</v>
      </c>
      <c r="S610" t="s">
        <v>41369</v>
      </c>
      <c r="T610" t="s">
        <v>42669</v>
      </c>
      <c r="U610" t="s">
        <v>43710</v>
      </c>
      <c r="W610" t="s">
        <v>37802</v>
      </c>
      <c r="X610" t="s">
        <v>41252</v>
      </c>
    </row>
    <row r="611" spans="1:24">
      <c r="A611">
        <f>HYPERLINK("https://www.philgeps.gov.ph/GEPSNONPILOT/Tender/SplashBidNoticeAbstractUI.aspx?menuIndex=3&amp;refID=7076705&amp;Result=3","7076705")</f>
        <v>0</v>
      </c>
      <c r="B611" t="s">
        <v>342</v>
      </c>
      <c r="C611" t="s">
        <v>3962</v>
      </c>
      <c r="D611" t="s">
        <v>16642</v>
      </c>
      <c r="E611" t="s">
        <v>17295</v>
      </c>
      <c r="F611" t="s">
        <v>28669</v>
      </c>
      <c r="G611" t="s">
        <v>28678</v>
      </c>
      <c r="H611" t="s">
        <v>9998</v>
      </c>
      <c r="I611" t="s">
        <v>28716</v>
      </c>
      <c r="J611" t="s">
        <v>29296</v>
      </c>
      <c r="K611" t="s">
        <v>37204</v>
      </c>
      <c r="M611" t="s">
        <v>37822</v>
      </c>
      <c r="N611" t="s">
        <v>41249</v>
      </c>
      <c r="O611" t="s">
        <v>41250</v>
      </c>
      <c r="P611">
        <v>0</v>
      </c>
      <c r="Q611">
        <v>1</v>
      </c>
      <c r="R611" t="s">
        <v>41251</v>
      </c>
      <c r="S611" t="s">
        <v>41369</v>
      </c>
      <c r="T611" t="s">
        <v>42754</v>
      </c>
      <c r="U611" t="s">
        <v>43745</v>
      </c>
      <c r="W611" t="s">
        <v>55910</v>
      </c>
      <c r="X611" t="s">
        <v>41252</v>
      </c>
    </row>
    <row r="612" spans="1:24">
      <c r="A612">
        <f>HYPERLINK("https://www.philgeps.gov.ph/GEPSNONPILOT/Tender/SplashBidNoticeAbstractUI.aspx?menuIndex=3&amp;refID=7076703&amp;Result=3","7076703")</f>
        <v>0</v>
      </c>
      <c r="B612" t="s">
        <v>343</v>
      </c>
      <c r="C612" t="s">
        <v>3963</v>
      </c>
      <c r="D612" t="s">
        <v>16662</v>
      </c>
      <c r="E612" t="s">
        <v>17296</v>
      </c>
      <c r="F612" t="s">
        <v>28669</v>
      </c>
      <c r="G612" t="s">
        <v>28675</v>
      </c>
      <c r="H612" t="s">
        <v>9998</v>
      </c>
      <c r="I612" t="s">
        <v>28687</v>
      </c>
      <c r="J612" t="s">
        <v>28989</v>
      </c>
      <c r="K612" t="s">
        <v>37209</v>
      </c>
      <c r="M612" t="s">
        <v>37823</v>
      </c>
      <c r="N612" t="s">
        <v>41249</v>
      </c>
      <c r="O612" t="s">
        <v>41250</v>
      </c>
      <c r="P612">
        <v>0</v>
      </c>
      <c r="Q612">
        <v>0</v>
      </c>
      <c r="R612" t="s">
        <v>41251</v>
      </c>
      <c r="S612" t="s">
        <v>41369</v>
      </c>
      <c r="T612" t="s">
        <v>42683</v>
      </c>
      <c r="U612" t="s">
        <v>43746</v>
      </c>
      <c r="W612" t="s">
        <v>37823</v>
      </c>
      <c r="X612" t="s">
        <v>41252</v>
      </c>
    </row>
    <row r="613" spans="1:24">
      <c r="A613">
        <f>HYPERLINK("https://www.philgeps.gov.ph/GEPSNONPILOT/Tender/SplashBidNoticeAbstractUI.aspx?menuIndex=3&amp;refID=7076640&amp;Result=3","7076640")</f>
        <v>0</v>
      </c>
      <c r="B613" t="s">
        <v>344</v>
      </c>
      <c r="C613" t="s">
        <v>3964</v>
      </c>
      <c r="D613" t="s">
        <v>16608</v>
      </c>
      <c r="E613" t="s">
        <v>17297</v>
      </c>
      <c r="F613" t="s">
        <v>28669</v>
      </c>
      <c r="G613" t="s">
        <v>28676</v>
      </c>
      <c r="H613" t="s">
        <v>9998</v>
      </c>
      <c r="I613" t="s">
        <v>28725</v>
      </c>
      <c r="J613" t="s">
        <v>28889</v>
      </c>
      <c r="K613" t="s">
        <v>37206</v>
      </c>
      <c r="M613" t="s">
        <v>37824</v>
      </c>
      <c r="N613" t="s">
        <v>41249</v>
      </c>
      <c r="O613" t="s">
        <v>41250</v>
      </c>
      <c r="P613">
        <v>0</v>
      </c>
      <c r="Q613">
        <v>4</v>
      </c>
      <c r="R613" t="s">
        <v>41251</v>
      </c>
      <c r="S613" t="s">
        <v>41369</v>
      </c>
      <c r="T613" t="s">
        <v>42706</v>
      </c>
      <c r="U613" t="s">
        <v>43747</v>
      </c>
      <c r="W613" t="s">
        <v>37824</v>
      </c>
      <c r="X613" t="s">
        <v>41252</v>
      </c>
    </row>
    <row r="614" spans="1:24">
      <c r="A614">
        <f>HYPERLINK("https://www.philgeps.gov.ph/GEPSNONPILOT/Tender/SplashBidNoticeAbstractUI.aspx?menuIndex=3&amp;refID=7076707&amp;Result=3","7076707")</f>
        <v>0</v>
      </c>
      <c r="B614" t="s">
        <v>345</v>
      </c>
      <c r="C614" t="s">
        <v>3965</v>
      </c>
      <c r="D614" t="s">
        <v>16666</v>
      </c>
      <c r="E614" t="s">
        <v>17298</v>
      </c>
      <c r="F614" t="s">
        <v>28669</v>
      </c>
      <c r="G614" t="s">
        <v>28678</v>
      </c>
      <c r="H614" t="s">
        <v>9998</v>
      </c>
      <c r="I614" t="s">
        <v>28711</v>
      </c>
      <c r="J614" t="s">
        <v>29297</v>
      </c>
      <c r="K614" t="s">
        <v>37209</v>
      </c>
      <c r="M614" t="s">
        <v>37825</v>
      </c>
      <c r="N614" t="s">
        <v>41249</v>
      </c>
      <c r="O614" t="s">
        <v>41250</v>
      </c>
      <c r="P614">
        <v>0</v>
      </c>
      <c r="Q614">
        <v>4</v>
      </c>
      <c r="R614" t="s">
        <v>41251</v>
      </c>
      <c r="S614" t="s">
        <v>41369</v>
      </c>
      <c r="T614" t="s">
        <v>42711</v>
      </c>
      <c r="U614" t="s">
        <v>43748</v>
      </c>
      <c r="W614" t="s">
        <v>37825</v>
      </c>
      <c r="X614" t="s">
        <v>41252</v>
      </c>
    </row>
    <row r="615" spans="1:24">
      <c r="A615">
        <f>HYPERLINK("https://www.philgeps.gov.ph/GEPSNONPILOT/Tender/SplashBidNoticeAbstractUI.aspx?menuIndex=3&amp;refID=7076701&amp;Result=3","7076701")</f>
        <v>0</v>
      </c>
      <c r="B615" t="s">
        <v>346</v>
      </c>
      <c r="C615" t="s">
        <v>3966</v>
      </c>
      <c r="D615" t="s">
        <v>16658</v>
      </c>
      <c r="E615" t="s">
        <v>17299</v>
      </c>
      <c r="F615" t="s">
        <v>28669</v>
      </c>
      <c r="G615" t="s">
        <v>28675</v>
      </c>
      <c r="H615" t="s">
        <v>28686</v>
      </c>
      <c r="I615" t="s">
        <v>28689</v>
      </c>
      <c r="J615" t="s">
        <v>29298</v>
      </c>
      <c r="K615" t="s">
        <v>37213</v>
      </c>
      <c r="M615" t="s">
        <v>37826</v>
      </c>
      <c r="N615" t="s">
        <v>41249</v>
      </c>
      <c r="O615" t="s">
        <v>41250</v>
      </c>
      <c r="P615">
        <v>0</v>
      </c>
      <c r="Q615">
        <v>0</v>
      </c>
      <c r="R615" t="s">
        <v>41251</v>
      </c>
      <c r="S615" t="s">
        <v>41369</v>
      </c>
      <c r="T615" t="s">
        <v>42716</v>
      </c>
      <c r="U615" t="s">
        <v>43749</v>
      </c>
      <c r="W615" t="s">
        <v>37826</v>
      </c>
      <c r="X615" t="s">
        <v>41252</v>
      </c>
    </row>
    <row r="616" spans="1:24">
      <c r="A616">
        <f>HYPERLINK("https://www.philgeps.gov.ph/GEPSNONPILOT/Tender/SplashBidNoticeAbstractUI.aspx?menuIndex=3&amp;refID=7076699&amp;Result=3","7076699")</f>
        <v>0</v>
      </c>
      <c r="B616" t="s">
        <v>30</v>
      </c>
      <c r="C616" t="s">
        <v>3967</v>
      </c>
      <c r="D616" t="s">
        <v>16612</v>
      </c>
      <c r="E616" t="s">
        <v>17300</v>
      </c>
      <c r="F616" t="s">
        <v>28669</v>
      </c>
      <c r="G616" t="s">
        <v>28677</v>
      </c>
      <c r="H616" t="s">
        <v>9998</v>
      </c>
      <c r="I616" t="s">
        <v>6606</v>
      </c>
      <c r="J616" t="s">
        <v>29299</v>
      </c>
      <c r="K616" t="s">
        <v>37210</v>
      </c>
      <c r="M616" t="s">
        <v>37505</v>
      </c>
      <c r="N616" t="s">
        <v>41249</v>
      </c>
      <c r="O616" t="s">
        <v>41250</v>
      </c>
      <c r="P616">
        <v>0</v>
      </c>
      <c r="Q616">
        <v>0</v>
      </c>
      <c r="R616" t="s">
        <v>41251</v>
      </c>
      <c r="S616" t="s">
        <v>41369</v>
      </c>
      <c r="T616" t="s">
        <v>42665</v>
      </c>
      <c r="U616" t="s">
        <v>43750</v>
      </c>
      <c r="W616" t="s">
        <v>37505</v>
      </c>
      <c r="X616" t="s">
        <v>41252</v>
      </c>
    </row>
    <row r="617" spans="1:24">
      <c r="A617">
        <f>HYPERLINK("https://www.philgeps.gov.ph/GEPSNONPILOT/Tender/SplashBidNoticeAbstractUI.aspx?menuIndex=3&amp;refID=7076697&amp;Result=3","7076697")</f>
        <v>0</v>
      </c>
      <c r="B617" t="s">
        <v>347</v>
      </c>
      <c r="C617" t="s">
        <v>3968</v>
      </c>
      <c r="D617" t="s">
        <v>16662</v>
      </c>
      <c r="E617" t="s">
        <v>17301</v>
      </c>
      <c r="F617" t="s">
        <v>28669</v>
      </c>
      <c r="G617" t="s">
        <v>28675</v>
      </c>
      <c r="H617" t="s">
        <v>28686</v>
      </c>
      <c r="I617" t="s">
        <v>28689</v>
      </c>
      <c r="J617" t="s">
        <v>29027</v>
      </c>
      <c r="K617" t="s">
        <v>37206</v>
      </c>
      <c r="L617" t="s">
        <v>347</v>
      </c>
      <c r="M617" t="s">
        <v>37827</v>
      </c>
      <c r="N617" t="s">
        <v>41249</v>
      </c>
      <c r="O617" t="s">
        <v>41250</v>
      </c>
      <c r="P617">
        <v>0</v>
      </c>
      <c r="Q617">
        <v>0</v>
      </c>
      <c r="R617" t="s">
        <v>41251</v>
      </c>
      <c r="S617" t="s">
        <v>41369</v>
      </c>
      <c r="T617" t="s">
        <v>42670</v>
      </c>
      <c r="U617" t="s">
        <v>43751</v>
      </c>
      <c r="W617" t="s">
        <v>37827</v>
      </c>
      <c r="X617" t="s">
        <v>41252</v>
      </c>
    </row>
    <row r="618" spans="1:24">
      <c r="A618">
        <f>HYPERLINK("https://www.philgeps.gov.ph/GEPSNONPILOT/Tender/SplashBidNoticeAbstractUI.aspx?menuIndex=3&amp;refID=7076696&amp;Result=3","7076696")</f>
        <v>0</v>
      </c>
      <c r="B618" t="s">
        <v>81</v>
      </c>
      <c r="C618" t="s">
        <v>3969</v>
      </c>
      <c r="E618" t="s">
        <v>17302</v>
      </c>
      <c r="F618" t="s">
        <v>28669</v>
      </c>
      <c r="G618" t="s">
        <v>28676</v>
      </c>
      <c r="H618" t="s">
        <v>9998</v>
      </c>
      <c r="I618" t="s">
        <v>28706</v>
      </c>
      <c r="J618" t="s">
        <v>29056</v>
      </c>
      <c r="K618" t="s">
        <v>37209</v>
      </c>
      <c r="M618" t="s">
        <v>37556</v>
      </c>
      <c r="N618" t="s">
        <v>41249</v>
      </c>
      <c r="O618" t="s">
        <v>41250</v>
      </c>
      <c r="P618">
        <v>0</v>
      </c>
      <c r="Q618">
        <v>6</v>
      </c>
      <c r="R618" t="s">
        <v>41251</v>
      </c>
      <c r="S618" t="s">
        <v>41369</v>
      </c>
      <c r="T618" t="s">
        <v>42706</v>
      </c>
      <c r="U618" t="s">
        <v>43752</v>
      </c>
      <c r="W618" t="s">
        <v>37556</v>
      </c>
      <c r="X618" t="s">
        <v>41252</v>
      </c>
    </row>
    <row r="619" spans="1:24">
      <c r="A619">
        <f>HYPERLINK("https://www.philgeps.gov.ph/GEPSNONPILOT/Tender/SplashBidNoticeAbstractUI.aspx?menuIndex=3&amp;refID=7076695&amp;Result=3","7076695")</f>
        <v>0</v>
      </c>
      <c r="B619" t="s">
        <v>111</v>
      </c>
      <c r="C619" t="s">
        <v>3970</v>
      </c>
      <c r="D619" t="s">
        <v>16619</v>
      </c>
      <c r="E619" t="s">
        <v>17303</v>
      </c>
      <c r="F619" t="s">
        <v>28669</v>
      </c>
      <c r="G619" t="s">
        <v>28675</v>
      </c>
      <c r="H619" t="s">
        <v>9998</v>
      </c>
      <c r="I619" t="s">
        <v>28687</v>
      </c>
      <c r="J619" t="s">
        <v>29300</v>
      </c>
      <c r="K619" t="s">
        <v>37206</v>
      </c>
      <c r="M619" t="s">
        <v>37587</v>
      </c>
      <c r="N619" t="s">
        <v>41249</v>
      </c>
      <c r="O619" t="s">
        <v>41250</v>
      </c>
      <c r="P619">
        <v>0</v>
      </c>
      <c r="Q619">
        <v>0</v>
      </c>
      <c r="R619" t="s">
        <v>41251</v>
      </c>
      <c r="S619" t="s">
        <v>41369</v>
      </c>
      <c r="T619" t="s">
        <v>42723</v>
      </c>
      <c r="U619" t="s">
        <v>43753</v>
      </c>
      <c r="V619" t="s">
        <v>54280</v>
      </c>
      <c r="W619" t="s">
        <v>37587</v>
      </c>
      <c r="X619" t="s">
        <v>41252</v>
      </c>
    </row>
    <row r="620" spans="1:24">
      <c r="A620">
        <f>HYPERLINK("https://www.philgeps.gov.ph/GEPSNONPILOT/Tender/SplashBidNoticeAbstractUI.aspx?menuIndex=3&amp;refID=7076704&amp;Result=3","7076704")</f>
        <v>0</v>
      </c>
      <c r="B620" t="s">
        <v>348</v>
      </c>
      <c r="C620" t="s">
        <v>3971</v>
      </c>
      <c r="D620" t="s">
        <v>16657</v>
      </c>
      <c r="E620" t="s">
        <v>17304</v>
      </c>
      <c r="F620" t="s">
        <v>28669</v>
      </c>
      <c r="G620" t="s">
        <v>28675</v>
      </c>
      <c r="H620" t="s">
        <v>28685</v>
      </c>
      <c r="I620" t="s">
        <v>28703</v>
      </c>
      <c r="J620" t="s">
        <v>29301</v>
      </c>
      <c r="K620" t="s">
        <v>37213</v>
      </c>
      <c r="M620" t="s">
        <v>37828</v>
      </c>
      <c r="N620" t="s">
        <v>41249</v>
      </c>
      <c r="O620" t="s">
        <v>41250</v>
      </c>
      <c r="P620">
        <v>0</v>
      </c>
      <c r="Q620">
        <v>1</v>
      </c>
      <c r="R620" t="s">
        <v>41251</v>
      </c>
      <c r="S620" t="s">
        <v>41369</v>
      </c>
      <c r="T620" t="s">
        <v>42785</v>
      </c>
      <c r="U620" t="s">
        <v>43754</v>
      </c>
      <c r="V620" t="s">
        <v>54331</v>
      </c>
      <c r="W620" t="s">
        <v>37828</v>
      </c>
      <c r="X620" t="s">
        <v>41252</v>
      </c>
    </row>
    <row r="621" spans="1:24">
      <c r="A621">
        <f>HYPERLINK("https://www.philgeps.gov.ph/GEPSNONPILOT/Tender/SplashBidNoticeAbstractUI.aspx?menuIndex=3&amp;refID=7076740&amp;Result=3","7076740")</f>
        <v>0</v>
      </c>
      <c r="B621" t="s">
        <v>322</v>
      </c>
      <c r="C621" t="s">
        <v>3972</v>
      </c>
      <c r="D621" t="s">
        <v>16655</v>
      </c>
      <c r="E621" t="s">
        <v>17305</v>
      </c>
      <c r="F621" t="s">
        <v>28669</v>
      </c>
      <c r="G621" t="s">
        <v>28675</v>
      </c>
      <c r="H621" t="s">
        <v>28686</v>
      </c>
      <c r="I621" t="s">
        <v>28689</v>
      </c>
      <c r="J621" t="s">
        <v>28914</v>
      </c>
      <c r="K621" t="s">
        <v>37206</v>
      </c>
      <c r="M621" t="s">
        <v>37802</v>
      </c>
      <c r="N621" t="s">
        <v>41249</v>
      </c>
      <c r="O621" t="s">
        <v>41250</v>
      </c>
      <c r="P621">
        <v>0</v>
      </c>
      <c r="Q621">
        <v>0</v>
      </c>
      <c r="R621" t="s">
        <v>41251</v>
      </c>
      <c r="S621" t="s">
        <v>41369</v>
      </c>
      <c r="T621" t="s">
        <v>42669</v>
      </c>
      <c r="U621" t="s">
        <v>43710</v>
      </c>
      <c r="W621" t="s">
        <v>37802</v>
      </c>
      <c r="X621" t="s">
        <v>41252</v>
      </c>
    </row>
    <row r="622" spans="1:24">
      <c r="A622">
        <f>HYPERLINK("https://www.philgeps.gov.ph/GEPSNONPILOT/Tender/SplashBidNoticeAbstractUI.aspx?menuIndex=3&amp;refID=7076702&amp;Result=3","7076702")</f>
        <v>0</v>
      </c>
      <c r="B622" t="s">
        <v>269</v>
      </c>
      <c r="C622" t="s">
        <v>3973</v>
      </c>
      <c r="D622" t="s">
        <v>16619</v>
      </c>
      <c r="E622" t="s">
        <v>17306</v>
      </c>
      <c r="F622" t="s">
        <v>28669</v>
      </c>
      <c r="G622" t="s">
        <v>28676</v>
      </c>
      <c r="H622" t="s">
        <v>9998</v>
      </c>
      <c r="I622" t="s">
        <v>15140</v>
      </c>
      <c r="J622" t="s">
        <v>29302</v>
      </c>
      <c r="K622" t="s">
        <v>37209</v>
      </c>
      <c r="M622" t="s">
        <v>37747</v>
      </c>
      <c r="N622" t="s">
        <v>41249</v>
      </c>
      <c r="O622" t="s">
        <v>41250</v>
      </c>
      <c r="P622">
        <v>0</v>
      </c>
      <c r="Q622">
        <v>0</v>
      </c>
      <c r="R622" t="s">
        <v>41251</v>
      </c>
      <c r="S622" t="s">
        <v>41369</v>
      </c>
      <c r="T622" t="s">
        <v>42694</v>
      </c>
      <c r="U622" t="s">
        <v>43755</v>
      </c>
      <c r="V622" t="s">
        <v>54332</v>
      </c>
      <c r="W622" t="s">
        <v>37747</v>
      </c>
      <c r="X622" t="s">
        <v>41252</v>
      </c>
    </row>
    <row r="623" spans="1:24">
      <c r="A623">
        <f>HYPERLINK("https://www.philgeps.gov.ph/GEPSNONPILOT/Tender/SplashBidNoticeAbstractUI.aspx?menuIndex=3&amp;refID=7076711&amp;Result=3","7076711")</f>
        <v>0</v>
      </c>
      <c r="B623" t="s">
        <v>322</v>
      </c>
      <c r="C623" t="s">
        <v>3974</v>
      </c>
      <c r="D623" t="s">
        <v>16655</v>
      </c>
      <c r="E623" t="s">
        <v>17307</v>
      </c>
      <c r="F623" t="s">
        <v>28669</v>
      </c>
      <c r="G623" t="s">
        <v>28675</v>
      </c>
      <c r="H623" t="s">
        <v>28686</v>
      </c>
      <c r="I623" t="s">
        <v>28689</v>
      </c>
      <c r="J623" t="s">
        <v>28905</v>
      </c>
      <c r="K623" t="s">
        <v>37206</v>
      </c>
      <c r="M623" t="s">
        <v>37802</v>
      </c>
      <c r="N623" t="s">
        <v>41249</v>
      </c>
      <c r="O623" t="s">
        <v>41250</v>
      </c>
      <c r="P623">
        <v>0</v>
      </c>
      <c r="Q623">
        <v>0</v>
      </c>
      <c r="R623" t="s">
        <v>41251</v>
      </c>
      <c r="S623" t="s">
        <v>41369</v>
      </c>
      <c r="T623" t="s">
        <v>42669</v>
      </c>
      <c r="U623" t="s">
        <v>43710</v>
      </c>
      <c r="W623" t="s">
        <v>37802</v>
      </c>
      <c r="X623" t="s">
        <v>41252</v>
      </c>
    </row>
    <row r="624" spans="1:24">
      <c r="A624">
        <f>HYPERLINK("https://www.philgeps.gov.ph/GEPSNONPILOT/Tender/SplashBidNoticeAbstractUI.aspx?menuIndex=3&amp;refID=7076738&amp;Result=3","7076738")</f>
        <v>0</v>
      </c>
      <c r="B624" t="s">
        <v>304</v>
      </c>
      <c r="C624" t="s">
        <v>3975</v>
      </c>
      <c r="D624" t="s">
        <v>16628</v>
      </c>
      <c r="E624" t="s">
        <v>17308</v>
      </c>
      <c r="F624" t="s">
        <v>28669</v>
      </c>
      <c r="G624" t="s">
        <v>28676</v>
      </c>
      <c r="H624" t="s">
        <v>9998</v>
      </c>
      <c r="I624" t="s">
        <v>28694</v>
      </c>
      <c r="J624" t="s">
        <v>29303</v>
      </c>
      <c r="K624" t="s">
        <v>37204</v>
      </c>
      <c r="M624" t="s">
        <v>37783</v>
      </c>
      <c r="N624" t="s">
        <v>41249</v>
      </c>
      <c r="O624" t="s">
        <v>41250</v>
      </c>
      <c r="P624">
        <v>0</v>
      </c>
      <c r="Q624">
        <v>0</v>
      </c>
      <c r="R624" t="s">
        <v>41251</v>
      </c>
      <c r="S624" t="s">
        <v>41369</v>
      </c>
      <c r="T624" t="s">
        <v>42726</v>
      </c>
      <c r="U624" t="s">
        <v>43681</v>
      </c>
      <c r="W624" t="s">
        <v>37783</v>
      </c>
      <c r="X624" t="s">
        <v>41252</v>
      </c>
    </row>
    <row r="625" spans="1:24">
      <c r="A625">
        <f>HYPERLINK("https://www.philgeps.gov.ph/GEPSNONPILOT/Tender/SplashBidNoticeAbstractUI.aspx?menuIndex=3&amp;refID=7076735&amp;Result=3","7076735")</f>
        <v>0</v>
      </c>
      <c r="B625" t="s">
        <v>47</v>
      </c>
      <c r="C625" t="s">
        <v>3976</v>
      </c>
      <c r="D625" t="s">
        <v>16611</v>
      </c>
      <c r="E625" t="s">
        <v>17309</v>
      </c>
      <c r="F625" t="s">
        <v>28669</v>
      </c>
      <c r="G625" t="s">
        <v>28676</v>
      </c>
      <c r="H625" t="s">
        <v>9998</v>
      </c>
      <c r="I625" t="s">
        <v>28747</v>
      </c>
      <c r="J625" t="s">
        <v>29304</v>
      </c>
      <c r="K625" t="s">
        <v>37209</v>
      </c>
      <c r="M625" t="s">
        <v>37522</v>
      </c>
      <c r="N625" t="s">
        <v>41249</v>
      </c>
      <c r="O625" t="s">
        <v>41250</v>
      </c>
      <c r="P625">
        <v>0</v>
      </c>
      <c r="Q625">
        <v>1</v>
      </c>
      <c r="R625" t="s">
        <v>41251</v>
      </c>
      <c r="S625" t="s">
        <v>41369</v>
      </c>
      <c r="T625" t="s">
        <v>42694</v>
      </c>
      <c r="U625" t="s">
        <v>43756</v>
      </c>
      <c r="W625" t="s">
        <v>37522</v>
      </c>
      <c r="X625" t="s">
        <v>41252</v>
      </c>
    </row>
    <row r="626" spans="1:24">
      <c r="A626">
        <f>HYPERLINK("https://www.philgeps.gov.ph/GEPSNONPILOT/Tender/SplashBidNoticeAbstractUI.aspx?menuIndex=3&amp;refID=7076734&amp;Result=3","7076734")</f>
        <v>0</v>
      </c>
      <c r="B626" t="s">
        <v>81</v>
      </c>
      <c r="C626" t="s">
        <v>3977</v>
      </c>
      <c r="E626" t="s">
        <v>17310</v>
      </c>
      <c r="F626" t="s">
        <v>28669</v>
      </c>
      <c r="G626" t="s">
        <v>28676</v>
      </c>
      <c r="H626" t="s">
        <v>9998</v>
      </c>
      <c r="I626" t="s">
        <v>28722</v>
      </c>
      <c r="J626" t="s">
        <v>28878</v>
      </c>
      <c r="K626" t="s">
        <v>37209</v>
      </c>
      <c r="M626" t="s">
        <v>37556</v>
      </c>
      <c r="N626" t="s">
        <v>41249</v>
      </c>
      <c r="O626" t="s">
        <v>41250</v>
      </c>
      <c r="P626">
        <v>0</v>
      </c>
      <c r="Q626">
        <v>2</v>
      </c>
      <c r="R626" t="s">
        <v>41251</v>
      </c>
      <c r="S626" t="s">
        <v>41369</v>
      </c>
      <c r="T626" t="s">
        <v>42706</v>
      </c>
      <c r="U626" t="s">
        <v>43757</v>
      </c>
      <c r="W626" t="s">
        <v>37556</v>
      </c>
      <c r="X626" t="s">
        <v>41252</v>
      </c>
    </row>
    <row r="627" spans="1:24">
      <c r="A627">
        <f>HYPERLINK("https://www.philgeps.gov.ph/GEPSNONPILOT/Tender/SplashBidNoticeAbstractUI.aspx?menuIndex=3&amp;refID=7076733&amp;Result=3","7076733")</f>
        <v>0</v>
      </c>
      <c r="B627" t="s">
        <v>349</v>
      </c>
      <c r="C627" t="s">
        <v>3978</v>
      </c>
      <c r="D627" t="s">
        <v>16675</v>
      </c>
      <c r="E627" t="s">
        <v>17311</v>
      </c>
      <c r="F627" t="s">
        <v>28669</v>
      </c>
      <c r="G627" t="s">
        <v>28676</v>
      </c>
      <c r="H627" t="s">
        <v>9998</v>
      </c>
      <c r="I627" t="s">
        <v>28728</v>
      </c>
      <c r="J627" t="s">
        <v>28826</v>
      </c>
      <c r="K627" t="s">
        <v>37221</v>
      </c>
      <c r="M627" t="s">
        <v>37829</v>
      </c>
      <c r="N627" t="s">
        <v>41249</v>
      </c>
      <c r="O627" t="s">
        <v>41250</v>
      </c>
      <c r="P627">
        <v>0</v>
      </c>
      <c r="Q627">
        <v>2</v>
      </c>
      <c r="R627" t="s">
        <v>41251</v>
      </c>
      <c r="S627" t="s">
        <v>41369</v>
      </c>
      <c r="T627" t="s">
        <v>42786</v>
      </c>
      <c r="U627" t="s">
        <v>43758</v>
      </c>
      <c r="W627" t="s">
        <v>37829</v>
      </c>
      <c r="X627" t="s">
        <v>41252</v>
      </c>
    </row>
    <row r="628" spans="1:24">
      <c r="A628">
        <f>HYPERLINK("https://www.philgeps.gov.ph/GEPSNONPILOT/Tender/SplashBidNoticeAbstractUI.aspx?menuIndex=3&amp;refID=7076729&amp;Result=3","7076729")</f>
        <v>0</v>
      </c>
      <c r="B628" t="s">
        <v>263</v>
      </c>
      <c r="C628" t="s">
        <v>3979</v>
      </c>
      <c r="D628" t="s">
        <v>16624</v>
      </c>
      <c r="E628" t="s">
        <v>17312</v>
      </c>
      <c r="F628" t="s">
        <v>28669</v>
      </c>
      <c r="G628" t="s">
        <v>28676</v>
      </c>
      <c r="H628" t="s">
        <v>9998</v>
      </c>
      <c r="I628" t="s">
        <v>28708</v>
      </c>
      <c r="J628" t="s">
        <v>29305</v>
      </c>
      <c r="K628" t="s">
        <v>37227</v>
      </c>
      <c r="M628" t="s">
        <v>37741</v>
      </c>
      <c r="N628" t="s">
        <v>41249</v>
      </c>
      <c r="O628" t="s">
        <v>41250</v>
      </c>
      <c r="P628">
        <v>0</v>
      </c>
      <c r="Q628">
        <v>1</v>
      </c>
      <c r="R628" t="s">
        <v>41251</v>
      </c>
      <c r="S628" t="s">
        <v>41369</v>
      </c>
      <c r="T628" t="s">
        <v>42702</v>
      </c>
      <c r="U628" t="s">
        <v>43615</v>
      </c>
      <c r="W628" t="s">
        <v>37741</v>
      </c>
      <c r="X628" t="s">
        <v>41252</v>
      </c>
    </row>
    <row r="629" spans="1:24">
      <c r="A629">
        <f>HYPERLINK("https://www.philgeps.gov.ph/GEPSNONPILOT/Tender/SplashBidNoticeAbstractUI.aspx?menuIndex=3&amp;refID=7076672&amp;Result=3","7076672")</f>
        <v>0</v>
      </c>
      <c r="B629" t="s">
        <v>323</v>
      </c>
      <c r="C629" t="s">
        <v>3980</v>
      </c>
      <c r="D629" t="s">
        <v>16608</v>
      </c>
      <c r="E629" t="s">
        <v>17313</v>
      </c>
      <c r="F629" t="s">
        <v>28669</v>
      </c>
      <c r="G629" t="s">
        <v>28676</v>
      </c>
      <c r="H629" t="s">
        <v>9998</v>
      </c>
      <c r="I629" t="s">
        <v>28714</v>
      </c>
      <c r="J629" t="s">
        <v>29306</v>
      </c>
      <c r="K629" t="s">
        <v>37204</v>
      </c>
      <c r="M629" t="s">
        <v>37803</v>
      </c>
      <c r="N629" t="s">
        <v>41249</v>
      </c>
      <c r="O629" t="s">
        <v>41250</v>
      </c>
      <c r="P629">
        <v>0</v>
      </c>
      <c r="Q629">
        <v>4</v>
      </c>
      <c r="R629" t="s">
        <v>41251</v>
      </c>
      <c r="S629" t="s">
        <v>41369</v>
      </c>
      <c r="T629" t="s">
        <v>42713</v>
      </c>
      <c r="U629" t="s">
        <v>43759</v>
      </c>
      <c r="W629" t="s">
        <v>37803</v>
      </c>
      <c r="X629" t="s">
        <v>41252</v>
      </c>
    </row>
    <row r="630" spans="1:24">
      <c r="A630">
        <f>HYPERLINK("https://www.philgeps.gov.ph/GEPSNONPILOT/Tender/SplashBidNoticeAbstractUI.aspx?menuIndex=3&amp;refID=7076728&amp;Result=3","7076728")</f>
        <v>0</v>
      </c>
      <c r="B630" t="s">
        <v>322</v>
      </c>
      <c r="C630" t="s">
        <v>3981</v>
      </c>
      <c r="D630" t="s">
        <v>16655</v>
      </c>
      <c r="E630" t="s">
        <v>17314</v>
      </c>
      <c r="F630" t="s">
        <v>28669</v>
      </c>
      <c r="G630" t="s">
        <v>28675</v>
      </c>
      <c r="H630" t="s">
        <v>28686</v>
      </c>
      <c r="I630" t="s">
        <v>28689</v>
      </c>
      <c r="J630" t="s">
        <v>28905</v>
      </c>
      <c r="K630" t="s">
        <v>37206</v>
      </c>
      <c r="M630" t="s">
        <v>37802</v>
      </c>
      <c r="N630" t="s">
        <v>41249</v>
      </c>
      <c r="O630" t="s">
        <v>41250</v>
      </c>
      <c r="P630">
        <v>0</v>
      </c>
      <c r="Q630">
        <v>0</v>
      </c>
      <c r="R630" t="s">
        <v>41251</v>
      </c>
      <c r="S630" t="s">
        <v>41369</v>
      </c>
      <c r="T630" t="s">
        <v>42669</v>
      </c>
      <c r="U630" t="s">
        <v>43710</v>
      </c>
      <c r="W630" t="s">
        <v>37802</v>
      </c>
      <c r="X630" t="s">
        <v>41252</v>
      </c>
    </row>
    <row r="631" spans="1:24">
      <c r="A631">
        <f>HYPERLINK("https://www.philgeps.gov.ph/GEPSNONPILOT/Tender/SplashBidNoticeAbstractUI.aspx?menuIndex=3&amp;refID=7076706&amp;Result=3","7076706")</f>
        <v>0</v>
      </c>
      <c r="B631" t="s">
        <v>122</v>
      </c>
      <c r="C631" t="s">
        <v>3982</v>
      </c>
      <c r="D631" t="s">
        <v>16659</v>
      </c>
      <c r="E631" t="s">
        <v>17315</v>
      </c>
      <c r="F631" t="s">
        <v>28669</v>
      </c>
      <c r="G631" t="s">
        <v>28677</v>
      </c>
      <c r="H631" t="s">
        <v>9998</v>
      </c>
      <c r="I631" t="s">
        <v>28690</v>
      </c>
      <c r="J631" t="s">
        <v>29027</v>
      </c>
      <c r="K631" t="s">
        <v>37206</v>
      </c>
      <c r="M631" t="s">
        <v>37598</v>
      </c>
      <c r="N631" t="s">
        <v>41249</v>
      </c>
      <c r="O631" t="s">
        <v>41250</v>
      </c>
      <c r="P631">
        <v>0</v>
      </c>
      <c r="Q631">
        <v>3</v>
      </c>
      <c r="R631" t="s">
        <v>41251</v>
      </c>
      <c r="S631" t="s">
        <v>41369</v>
      </c>
      <c r="T631" t="s">
        <v>42673</v>
      </c>
      <c r="U631" t="s">
        <v>43760</v>
      </c>
      <c r="W631" t="s">
        <v>37598</v>
      </c>
      <c r="X631" t="s">
        <v>41252</v>
      </c>
    </row>
    <row r="632" spans="1:24">
      <c r="A632">
        <f>HYPERLINK("https://www.philgeps.gov.ph/GEPSNONPILOT/Tender/SplashBidNoticeAbstractUI.aspx?menuIndex=3&amp;refID=7076726&amp;Result=3","7076726")</f>
        <v>0</v>
      </c>
      <c r="B632" t="s">
        <v>323</v>
      </c>
      <c r="C632" t="s">
        <v>3983</v>
      </c>
      <c r="D632" t="s">
        <v>16608</v>
      </c>
      <c r="E632" t="s">
        <v>17316</v>
      </c>
      <c r="F632" t="s">
        <v>28669</v>
      </c>
      <c r="G632" t="s">
        <v>28676</v>
      </c>
      <c r="H632" t="s">
        <v>9998</v>
      </c>
      <c r="I632" t="s">
        <v>28714</v>
      </c>
      <c r="J632" t="s">
        <v>29307</v>
      </c>
      <c r="K632" t="s">
        <v>37204</v>
      </c>
      <c r="M632" t="s">
        <v>37803</v>
      </c>
      <c r="N632" t="s">
        <v>41249</v>
      </c>
      <c r="O632" t="s">
        <v>41250</v>
      </c>
      <c r="P632">
        <v>0</v>
      </c>
      <c r="Q632">
        <v>2</v>
      </c>
      <c r="R632" t="s">
        <v>41251</v>
      </c>
      <c r="S632" t="s">
        <v>41369</v>
      </c>
      <c r="T632" t="s">
        <v>42713</v>
      </c>
      <c r="U632" t="s">
        <v>43761</v>
      </c>
      <c r="W632" t="s">
        <v>37803</v>
      </c>
      <c r="X632" t="s">
        <v>41252</v>
      </c>
    </row>
    <row r="633" spans="1:24">
      <c r="A633">
        <f>HYPERLINK("https://www.philgeps.gov.ph/GEPSNONPILOT/Tender/SplashBidNoticeAbstractUI.aspx?menuIndex=3&amp;refID=7076736&amp;Result=3","7076736")</f>
        <v>0</v>
      </c>
      <c r="B633" t="s">
        <v>350</v>
      </c>
      <c r="C633" t="s">
        <v>3984</v>
      </c>
      <c r="D633" t="s">
        <v>16654</v>
      </c>
      <c r="E633" t="s">
        <v>17317</v>
      </c>
      <c r="F633" t="s">
        <v>28669</v>
      </c>
      <c r="G633" t="s">
        <v>28675</v>
      </c>
      <c r="H633" t="s">
        <v>9998</v>
      </c>
      <c r="I633" t="s">
        <v>28687</v>
      </c>
      <c r="J633" t="s">
        <v>28834</v>
      </c>
      <c r="K633" t="s">
        <v>37204</v>
      </c>
      <c r="M633" t="s">
        <v>37830</v>
      </c>
      <c r="N633" t="s">
        <v>41249</v>
      </c>
      <c r="O633" t="s">
        <v>41250</v>
      </c>
      <c r="P633">
        <v>0</v>
      </c>
      <c r="Q633">
        <v>0</v>
      </c>
      <c r="R633" t="s">
        <v>41251</v>
      </c>
      <c r="S633" t="s">
        <v>41369</v>
      </c>
      <c r="T633" t="s">
        <v>42683</v>
      </c>
      <c r="U633" t="s">
        <v>43762</v>
      </c>
      <c r="W633" t="s">
        <v>37830</v>
      </c>
      <c r="X633" t="s">
        <v>41252</v>
      </c>
    </row>
    <row r="634" spans="1:24">
      <c r="A634">
        <f>HYPERLINK("https://www.philgeps.gov.ph/GEPSNONPILOT/Tender/SplashBidNoticeAbstractUI.aspx?menuIndex=3&amp;refID=7076725&amp;Result=3","7076725")</f>
        <v>0</v>
      </c>
      <c r="B634" t="s">
        <v>326</v>
      </c>
      <c r="C634" t="s">
        <v>3985</v>
      </c>
      <c r="D634" t="s">
        <v>16665</v>
      </c>
      <c r="E634" t="s">
        <v>17318</v>
      </c>
      <c r="F634" t="s">
        <v>28669</v>
      </c>
      <c r="G634" t="s">
        <v>28676</v>
      </c>
      <c r="H634" t="s">
        <v>9998</v>
      </c>
      <c r="I634" t="s">
        <v>28696</v>
      </c>
      <c r="J634" t="s">
        <v>29308</v>
      </c>
      <c r="K634" t="s">
        <v>37205</v>
      </c>
      <c r="M634" t="s">
        <v>37806</v>
      </c>
      <c r="N634" t="s">
        <v>41249</v>
      </c>
      <c r="O634" t="s">
        <v>41250</v>
      </c>
      <c r="P634">
        <v>0</v>
      </c>
      <c r="Q634">
        <v>0</v>
      </c>
      <c r="R634" t="s">
        <v>41251</v>
      </c>
      <c r="S634" t="s">
        <v>41369</v>
      </c>
      <c r="T634" t="s">
        <v>42754</v>
      </c>
      <c r="U634" t="s">
        <v>43763</v>
      </c>
      <c r="W634" t="s">
        <v>37806</v>
      </c>
      <c r="X634" t="s">
        <v>41252</v>
      </c>
    </row>
    <row r="635" spans="1:24">
      <c r="A635">
        <f>HYPERLINK("https://www.philgeps.gov.ph/GEPSNONPILOT/Tender/SplashBidNoticeAbstractUI.aspx?menuIndex=3&amp;refID=7076730&amp;Result=3","7076730")</f>
        <v>0</v>
      </c>
      <c r="B635" t="s">
        <v>291</v>
      </c>
      <c r="C635" t="s">
        <v>3986</v>
      </c>
      <c r="D635" t="s">
        <v>16658</v>
      </c>
      <c r="E635" t="s">
        <v>17319</v>
      </c>
      <c r="F635" t="s">
        <v>28669</v>
      </c>
      <c r="G635" t="s">
        <v>28677</v>
      </c>
      <c r="H635" t="s">
        <v>9998</v>
      </c>
      <c r="I635" t="s">
        <v>11593</v>
      </c>
      <c r="J635" t="s">
        <v>29309</v>
      </c>
      <c r="K635" t="s">
        <v>37205</v>
      </c>
      <c r="M635" t="s">
        <v>37770</v>
      </c>
      <c r="N635" t="s">
        <v>41249</v>
      </c>
      <c r="O635" t="s">
        <v>41250</v>
      </c>
      <c r="P635">
        <v>0</v>
      </c>
      <c r="Q635">
        <v>0</v>
      </c>
      <c r="R635" t="s">
        <v>41251</v>
      </c>
      <c r="S635" t="s">
        <v>41369</v>
      </c>
      <c r="T635" t="s">
        <v>42748</v>
      </c>
      <c r="U635" t="s">
        <v>43764</v>
      </c>
      <c r="W635" t="s">
        <v>37770</v>
      </c>
      <c r="X635" t="s">
        <v>41252</v>
      </c>
    </row>
    <row r="636" spans="1:24">
      <c r="A636">
        <f>HYPERLINK("https://www.philgeps.gov.ph/GEPSNONPILOT/Tender/SplashBidNoticeAbstractUI.aspx?menuIndex=3&amp;refID=7076722&amp;Result=3","7076722")</f>
        <v>0</v>
      </c>
      <c r="B636" t="s">
        <v>351</v>
      </c>
      <c r="C636" t="s">
        <v>3987</v>
      </c>
      <c r="D636" t="s">
        <v>16617</v>
      </c>
      <c r="E636" t="s">
        <v>17320</v>
      </c>
      <c r="F636" t="s">
        <v>28669</v>
      </c>
      <c r="G636" t="s">
        <v>28677</v>
      </c>
      <c r="H636" t="s">
        <v>9998</v>
      </c>
      <c r="I636" t="s">
        <v>28697</v>
      </c>
      <c r="J636" t="s">
        <v>29310</v>
      </c>
      <c r="K636" t="s">
        <v>37204</v>
      </c>
      <c r="M636" t="s">
        <v>37831</v>
      </c>
      <c r="N636" t="s">
        <v>41249</v>
      </c>
      <c r="O636" t="s">
        <v>41250</v>
      </c>
      <c r="P636">
        <v>0</v>
      </c>
      <c r="Q636">
        <v>8</v>
      </c>
      <c r="R636" t="s">
        <v>41251</v>
      </c>
      <c r="S636" t="s">
        <v>41369</v>
      </c>
      <c r="T636" t="s">
        <v>42771</v>
      </c>
      <c r="U636" t="s">
        <v>43765</v>
      </c>
      <c r="W636" t="s">
        <v>55911</v>
      </c>
      <c r="X636" t="s">
        <v>41252</v>
      </c>
    </row>
    <row r="637" spans="1:24">
      <c r="A637">
        <f>HYPERLINK("https://www.philgeps.gov.ph/GEPSNONPILOT/Tender/SplashBidNoticeAbstractUI.aspx?menuIndex=3&amp;refID=7076721&amp;Result=3","7076721")</f>
        <v>0</v>
      </c>
      <c r="B637" t="s">
        <v>298</v>
      </c>
      <c r="C637" t="s">
        <v>3878</v>
      </c>
      <c r="D637" t="s">
        <v>16608</v>
      </c>
      <c r="E637" t="s">
        <v>17321</v>
      </c>
      <c r="F637" t="s">
        <v>28669</v>
      </c>
      <c r="G637" t="s">
        <v>28676</v>
      </c>
      <c r="H637" t="s">
        <v>9998</v>
      </c>
      <c r="I637" t="s">
        <v>28722</v>
      </c>
      <c r="J637" t="s">
        <v>29311</v>
      </c>
      <c r="K637" t="s">
        <v>37205</v>
      </c>
      <c r="M637" t="s">
        <v>37777</v>
      </c>
      <c r="N637" t="s">
        <v>41249</v>
      </c>
      <c r="O637" t="s">
        <v>41250</v>
      </c>
      <c r="P637">
        <v>0</v>
      </c>
      <c r="Q637">
        <v>2</v>
      </c>
      <c r="R637" t="s">
        <v>41251</v>
      </c>
      <c r="S637" t="s">
        <v>41369</v>
      </c>
      <c r="T637" t="s">
        <v>42778</v>
      </c>
      <c r="U637" t="s">
        <v>43766</v>
      </c>
      <c r="W637" t="s">
        <v>37777</v>
      </c>
      <c r="X637" t="s">
        <v>41252</v>
      </c>
    </row>
    <row r="638" spans="1:24">
      <c r="A638">
        <f>HYPERLINK("https://www.philgeps.gov.ph/GEPSNONPILOT/Tender/SplashBidNoticeAbstractUI.aspx?menuIndex=3&amp;refID=7076727&amp;Result=3","7076727")</f>
        <v>0</v>
      </c>
      <c r="B638" t="s">
        <v>346</v>
      </c>
      <c r="C638" t="s">
        <v>3988</v>
      </c>
      <c r="D638" t="s">
        <v>16658</v>
      </c>
      <c r="E638" t="s">
        <v>17322</v>
      </c>
      <c r="F638" t="s">
        <v>28669</v>
      </c>
      <c r="G638" t="s">
        <v>28675</v>
      </c>
      <c r="H638" t="s">
        <v>28686</v>
      </c>
      <c r="I638" t="s">
        <v>28689</v>
      </c>
      <c r="J638" t="s">
        <v>29298</v>
      </c>
      <c r="K638" t="s">
        <v>37213</v>
      </c>
      <c r="M638" t="s">
        <v>37826</v>
      </c>
      <c r="N638" t="s">
        <v>41249</v>
      </c>
      <c r="O638" t="s">
        <v>41250</v>
      </c>
      <c r="P638">
        <v>0</v>
      </c>
      <c r="Q638">
        <v>0</v>
      </c>
      <c r="R638" t="s">
        <v>41251</v>
      </c>
      <c r="S638" t="s">
        <v>41369</v>
      </c>
      <c r="T638" t="s">
        <v>42716</v>
      </c>
      <c r="U638" t="s">
        <v>43767</v>
      </c>
      <c r="W638" t="s">
        <v>37826</v>
      </c>
      <c r="X638" t="s">
        <v>41252</v>
      </c>
    </row>
    <row r="639" spans="1:24">
      <c r="A639">
        <f>HYPERLINK("https://www.philgeps.gov.ph/GEPSNONPILOT/Tender/SplashBidNoticeAbstractUI.aspx?menuIndex=3&amp;refID=7076737&amp;Result=3","7076737")</f>
        <v>0</v>
      </c>
      <c r="B639" t="s">
        <v>29</v>
      </c>
      <c r="C639" t="s">
        <v>3989</v>
      </c>
      <c r="D639" t="s">
        <v>16611</v>
      </c>
      <c r="E639" t="s">
        <v>17323</v>
      </c>
      <c r="F639" t="s">
        <v>28669</v>
      </c>
      <c r="G639" t="s">
        <v>28675</v>
      </c>
      <c r="H639" t="s">
        <v>28686</v>
      </c>
      <c r="I639" t="s">
        <v>28689</v>
      </c>
      <c r="J639" t="s">
        <v>29312</v>
      </c>
      <c r="K639" t="s">
        <v>37209</v>
      </c>
      <c r="M639" t="s">
        <v>37504</v>
      </c>
      <c r="N639" t="s">
        <v>41249</v>
      </c>
      <c r="O639" t="s">
        <v>41250</v>
      </c>
      <c r="P639">
        <v>0</v>
      </c>
      <c r="Q639">
        <v>4</v>
      </c>
      <c r="R639" t="s">
        <v>41251</v>
      </c>
      <c r="S639" t="s">
        <v>41369</v>
      </c>
      <c r="T639" t="s">
        <v>42777</v>
      </c>
      <c r="U639" t="s">
        <v>43768</v>
      </c>
      <c r="W639" t="s">
        <v>37504</v>
      </c>
      <c r="X639" t="s">
        <v>41252</v>
      </c>
    </row>
    <row r="640" spans="1:24">
      <c r="A640">
        <f>HYPERLINK("https://www.philgeps.gov.ph/GEPSNONPILOT/Tender/SplashBidNoticeAbstractUI.aspx?menuIndex=3&amp;refID=7076724&amp;Result=3","7076724")</f>
        <v>0</v>
      </c>
      <c r="B640" t="s">
        <v>322</v>
      </c>
      <c r="C640" t="s">
        <v>3990</v>
      </c>
      <c r="D640" t="s">
        <v>16655</v>
      </c>
      <c r="E640" t="s">
        <v>17324</v>
      </c>
      <c r="F640" t="s">
        <v>28669</v>
      </c>
      <c r="G640" t="s">
        <v>28675</v>
      </c>
      <c r="H640" t="s">
        <v>28686</v>
      </c>
      <c r="I640" t="s">
        <v>28689</v>
      </c>
      <c r="J640" t="s">
        <v>29247</v>
      </c>
      <c r="K640" t="s">
        <v>37253</v>
      </c>
      <c r="M640" t="s">
        <v>37802</v>
      </c>
      <c r="N640" t="s">
        <v>41249</v>
      </c>
      <c r="O640" t="s">
        <v>41250</v>
      </c>
      <c r="P640">
        <v>0</v>
      </c>
      <c r="Q640">
        <v>0</v>
      </c>
      <c r="R640" t="s">
        <v>41251</v>
      </c>
      <c r="S640" t="s">
        <v>41369</v>
      </c>
      <c r="T640" t="s">
        <v>42669</v>
      </c>
      <c r="U640" t="s">
        <v>43710</v>
      </c>
      <c r="W640" t="s">
        <v>37802</v>
      </c>
      <c r="X640" t="s">
        <v>41252</v>
      </c>
    </row>
    <row r="641" spans="1:24">
      <c r="A641">
        <f>HYPERLINK("https://www.philgeps.gov.ph/GEPSNONPILOT/Tender/SplashBidNoticeAbstractUI.aspx?menuIndex=3&amp;refID=7076761&amp;Result=3","7076761")</f>
        <v>0</v>
      </c>
      <c r="B641" t="s">
        <v>81</v>
      </c>
      <c r="C641" t="s">
        <v>3991</v>
      </c>
      <c r="E641" t="s">
        <v>17325</v>
      </c>
      <c r="F641" t="s">
        <v>28669</v>
      </c>
      <c r="G641" t="s">
        <v>28676</v>
      </c>
      <c r="H641" t="s">
        <v>9998</v>
      </c>
      <c r="I641" t="s">
        <v>28706</v>
      </c>
      <c r="J641" t="s">
        <v>28894</v>
      </c>
      <c r="K641" t="s">
        <v>37209</v>
      </c>
      <c r="M641" t="s">
        <v>37556</v>
      </c>
      <c r="N641" t="s">
        <v>41249</v>
      </c>
      <c r="O641" t="s">
        <v>41250</v>
      </c>
      <c r="P641">
        <v>0</v>
      </c>
      <c r="Q641">
        <v>1</v>
      </c>
      <c r="R641" t="s">
        <v>41251</v>
      </c>
      <c r="S641" t="s">
        <v>41369</v>
      </c>
      <c r="T641" t="s">
        <v>42706</v>
      </c>
      <c r="U641" t="s">
        <v>43769</v>
      </c>
      <c r="W641" t="s">
        <v>37556</v>
      </c>
      <c r="X641" t="s">
        <v>41252</v>
      </c>
    </row>
    <row r="642" spans="1:24">
      <c r="A642">
        <f>HYPERLINK("https://www.philgeps.gov.ph/GEPSNONPILOT/Tender/SplashBidNoticeAbstractUI.aspx?menuIndex=3&amp;refID=7076758&amp;Result=3","7076758")</f>
        <v>0</v>
      </c>
      <c r="B642" t="s">
        <v>352</v>
      </c>
      <c r="C642" t="s">
        <v>3992</v>
      </c>
      <c r="D642" t="s">
        <v>16608</v>
      </c>
      <c r="E642" t="s">
        <v>17326</v>
      </c>
      <c r="F642" t="s">
        <v>28669</v>
      </c>
      <c r="G642" t="s">
        <v>28676</v>
      </c>
      <c r="H642" t="s">
        <v>9998</v>
      </c>
      <c r="I642" t="s">
        <v>28711</v>
      </c>
      <c r="J642" t="s">
        <v>28826</v>
      </c>
      <c r="K642" t="s">
        <v>37205</v>
      </c>
      <c r="M642" t="s">
        <v>37832</v>
      </c>
      <c r="N642" t="s">
        <v>41249</v>
      </c>
      <c r="O642" t="s">
        <v>41250</v>
      </c>
      <c r="P642">
        <v>0</v>
      </c>
      <c r="Q642">
        <v>2</v>
      </c>
      <c r="R642" t="s">
        <v>41251</v>
      </c>
      <c r="S642" t="s">
        <v>41369</v>
      </c>
      <c r="T642" t="s">
        <v>42757</v>
      </c>
      <c r="U642" t="s">
        <v>43770</v>
      </c>
      <c r="W642" t="s">
        <v>37832</v>
      </c>
      <c r="X642" t="s">
        <v>41252</v>
      </c>
    </row>
    <row r="643" spans="1:24">
      <c r="A643">
        <f>HYPERLINK("https://www.philgeps.gov.ph/GEPSNONPILOT/Tender/SplashBidNoticeAbstractUI.aspx?menuIndex=3&amp;refID=7076762&amp;Result=3","7076762")</f>
        <v>0</v>
      </c>
      <c r="B643" t="s">
        <v>322</v>
      </c>
      <c r="C643" t="s">
        <v>3993</v>
      </c>
      <c r="D643" t="s">
        <v>16655</v>
      </c>
      <c r="E643" t="s">
        <v>17327</v>
      </c>
      <c r="F643" t="s">
        <v>28669</v>
      </c>
      <c r="G643" t="s">
        <v>28675</v>
      </c>
      <c r="H643" t="s">
        <v>28686</v>
      </c>
      <c r="I643" t="s">
        <v>28689</v>
      </c>
      <c r="J643" t="s">
        <v>28878</v>
      </c>
      <c r="K643" t="s">
        <v>37206</v>
      </c>
      <c r="M643" t="s">
        <v>37802</v>
      </c>
      <c r="N643" t="s">
        <v>41249</v>
      </c>
      <c r="O643" t="s">
        <v>41250</v>
      </c>
      <c r="P643">
        <v>0</v>
      </c>
      <c r="Q643">
        <v>0</v>
      </c>
      <c r="R643" t="s">
        <v>41251</v>
      </c>
      <c r="S643" t="s">
        <v>41369</v>
      </c>
      <c r="T643" t="s">
        <v>42669</v>
      </c>
      <c r="U643" t="s">
        <v>43710</v>
      </c>
      <c r="W643" t="s">
        <v>37802</v>
      </c>
      <c r="X643" t="s">
        <v>41252</v>
      </c>
    </row>
    <row r="644" spans="1:24">
      <c r="A644">
        <f>HYPERLINK("https://www.philgeps.gov.ph/GEPSNONPILOT/Tender/SplashBidNoticeAbstractUI.aspx?menuIndex=3&amp;refID=7076756&amp;Result=3","7076756")</f>
        <v>0</v>
      </c>
      <c r="B644" t="s">
        <v>346</v>
      </c>
      <c r="C644" t="s">
        <v>3994</v>
      </c>
      <c r="D644" t="s">
        <v>16658</v>
      </c>
      <c r="E644" t="s">
        <v>17328</v>
      </c>
      <c r="F644" t="s">
        <v>28669</v>
      </c>
      <c r="G644" t="s">
        <v>28675</v>
      </c>
      <c r="H644" t="s">
        <v>28686</v>
      </c>
      <c r="I644" t="s">
        <v>28689</v>
      </c>
      <c r="J644" t="s">
        <v>29313</v>
      </c>
      <c r="K644" t="s">
        <v>37212</v>
      </c>
      <c r="M644" t="s">
        <v>37826</v>
      </c>
      <c r="N644" t="s">
        <v>41249</v>
      </c>
      <c r="O644" t="s">
        <v>41250</v>
      </c>
      <c r="P644">
        <v>0</v>
      </c>
      <c r="Q644">
        <v>0</v>
      </c>
      <c r="R644" t="s">
        <v>41251</v>
      </c>
      <c r="S644" t="s">
        <v>41369</v>
      </c>
      <c r="T644" t="s">
        <v>42716</v>
      </c>
      <c r="U644" t="s">
        <v>43771</v>
      </c>
      <c r="W644" t="s">
        <v>37826</v>
      </c>
      <c r="X644" t="s">
        <v>41252</v>
      </c>
    </row>
    <row r="645" spans="1:24">
      <c r="A645">
        <f>HYPERLINK("https://www.philgeps.gov.ph/GEPSNONPILOT/Tender/SplashBidNoticeAbstractUI.aspx?menuIndex=3&amp;refID=7076763&amp;Result=3","7076763")</f>
        <v>0</v>
      </c>
      <c r="B645" t="s">
        <v>259</v>
      </c>
      <c r="C645" t="s">
        <v>3995</v>
      </c>
      <c r="D645" t="s">
        <v>16615</v>
      </c>
      <c r="E645" t="s">
        <v>17329</v>
      </c>
      <c r="F645" t="s">
        <v>28669</v>
      </c>
      <c r="G645" t="s">
        <v>28676</v>
      </c>
      <c r="H645" t="s">
        <v>9998</v>
      </c>
      <c r="I645" t="s">
        <v>7352</v>
      </c>
      <c r="J645" t="s">
        <v>28894</v>
      </c>
      <c r="K645" t="s">
        <v>37205</v>
      </c>
      <c r="M645" t="s">
        <v>37737</v>
      </c>
      <c r="N645" t="s">
        <v>41249</v>
      </c>
      <c r="O645" t="s">
        <v>41250</v>
      </c>
      <c r="P645">
        <v>0</v>
      </c>
      <c r="Q645">
        <v>0</v>
      </c>
      <c r="R645" t="s">
        <v>41251</v>
      </c>
      <c r="S645" t="s">
        <v>41369</v>
      </c>
      <c r="T645" t="s">
        <v>42702</v>
      </c>
      <c r="U645" t="s">
        <v>43772</v>
      </c>
      <c r="W645" t="s">
        <v>37737</v>
      </c>
      <c r="X645" t="s">
        <v>41252</v>
      </c>
    </row>
    <row r="646" spans="1:24">
      <c r="A646">
        <f>HYPERLINK("https://www.philgeps.gov.ph/GEPSNONPILOT/Tender/SplashBidNoticeAbstractUI.aspx?menuIndex=3&amp;refID=7076753&amp;Result=3","7076753")</f>
        <v>0</v>
      </c>
      <c r="B646" t="s">
        <v>308</v>
      </c>
      <c r="C646" t="s">
        <v>3996</v>
      </c>
      <c r="D646" t="s">
        <v>16647</v>
      </c>
      <c r="E646" t="s">
        <v>17330</v>
      </c>
      <c r="F646" t="s">
        <v>28669</v>
      </c>
      <c r="G646" t="s">
        <v>28675</v>
      </c>
      <c r="H646" t="s">
        <v>28686</v>
      </c>
      <c r="I646" t="s">
        <v>28689</v>
      </c>
      <c r="J646" t="s">
        <v>29314</v>
      </c>
      <c r="K646" t="s">
        <v>37211</v>
      </c>
      <c r="M646" t="s">
        <v>37833</v>
      </c>
      <c r="N646" t="s">
        <v>41249</v>
      </c>
      <c r="O646" t="s">
        <v>41250</v>
      </c>
      <c r="P646">
        <v>0</v>
      </c>
      <c r="Q646">
        <v>1</v>
      </c>
      <c r="R646" t="s">
        <v>41251</v>
      </c>
      <c r="S646" t="s">
        <v>41369</v>
      </c>
      <c r="T646" t="s">
        <v>42716</v>
      </c>
      <c r="U646" t="s">
        <v>43773</v>
      </c>
      <c r="W646" t="s">
        <v>37833</v>
      </c>
      <c r="X646" t="s">
        <v>41252</v>
      </c>
    </row>
    <row r="647" spans="1:24">
      <c r="A647">
        <f>HYPERLINK("https://www.philgeps.gov.ph/GEPSNONPILOT/Tender/SplashBidNoticeAbstractUI.aspx?menuIndex=3&amp;refID=7076723&amp;Result=3","7076723")</f>
        <v>0</v>
      </c>
      <c r="B647" t="s">
        <v>353</v>
      </c>
      <c r="C647" t="s">
        <v>3997</v>
      </c>
      <c r="D647" t="s">
        <v>16677</v>
      </c>
      <c r="E647" t="s">
        <v>17331</v>
      </c>
      <c r="F647" t="s">
        <v>28669</v>
      </c>
      <c r="G647" t="s">
        <v>28675</v>
      </c>
      <c r="H647" t="s">
        <v>9998</v>
      </c>
      <c r="I647" t="s">
        <v>28688</v>
      </c>
      <c r="J647" t="s">
        <v>29315</v>
      </c>
      <c r="K647" t="s">
        <v>37205</v>
      </c>
      <c r="M647" t="s">
        <v>37834</v>
      </c>
      <c r="N647" t="s">
        <v>41249</v>
      </c>
      <c r="O647" t="s">
        <v>41250</v>
      </c>
      <c r="P647">
        <v>0</v>
      </c>
      <c r="Q647">
        <v>4</v>
      </c>
      <c r="R647" t="s">
        <v>41251</v>
      </c>
      <c r="S647" t="s">
        <v>41369</v>
      </c>
      <c r="T647" t="s">
        <v>42778</v>
      </c>
      <c r="U647" t="s">
        <v>43774</v>
      </c>
      <c r="W647" t="s">
        <v>37834</v>
      </c>
      <c r="X647" t="s">
        <v>41252</v>
      </c>
    </row>
    <row r="648" spans="1:24">
      <c r="A648">
        <f>HYPERLINK("https://www.philgeps.gov.ph/GEPSNONPILOT/Tender/SplashBidNoticeAbstractUI.aspx?menuIndex=3&amp;refID=7076752&amp;Result=3","7076752")</f>
        <v>0</v>
      </c>
      <c r="B648" t="s">
        <v>354</v>
      </c>
      <c r="C648" t="s">
        <v>3998</v>
      </c>
      <c r="D648" t="s">
        <v>16607</v>
      </c>
      <c r="E648" t="s">
        <v>17332</v>
      </c>
      <c r="F648" t="s">
        <v>28669</v>
      </c>
      <c r="G648" t="s">
        <v>28676</v>
      </c>
      <c r="H648" t="s">
        <v>9998</v>
      </c>
      <c r="I648" t="s">
        <v>7352</v>
      </c>
      <c r="J648" t="s">
        <v>29040</v>
      </c>
      <c r="K648" t="s">
        <v>37205</v>
      </c>
      <c r="M648" t="s">
        <v>37835</v>
      </c>
      <c r="N648" t="s">
        <v>41249</v>
      </c>
      <c r="O648" t="s">
        <v>41250</v>
      </c>
      <c r="P648">
        <v>0</v>
      </c>
      <c r="Q648">
        <v>1</v>
      </c>
      <c r="R648" t="s">
        <v>41251</v>
      </c>
      <c r="S648" t="s">
        <v>41369</v>
      </c>
      <c r="T648" t="s">
        <v>42670</v>
      </c>
      <c r="U648" t="s">
        <v>43775</v>
      </c>
      <c r="V648" t="s">
        <v>54333</v>
      </c>
      <c r="W648" t="s">
        <v>37835</v>
      </c>
      <c r="X648" t="s">
        <v>41252</v>
      </c>
    </row>
    <row r="649" spans="1:24">
      <c r="A649">
        <f>HYPERLINK("https://www.philgeps.gov.ph/GEPSNONPILOT/Tender/SplashBidNoticeAbstractUI.aspx?menuIndex=3&amp;refID=7076757&amp;Result=3","7076757")</f>
        <v>0</v>
      </c>
      <c r="B649" t="s">
        <v>355</v>
      </c>
      <c r="C649" t="s">
        <v>3999</v>
      </c>
      <c r="D649" t="s">
        <v>16624</v>
      </c>
      <c r="E649" t="s">
        <v>17333</v>
      </c>
      <c r="F649" t="s">
        <v>28669</v>
      </c>
      <c r="G649" t="s">
        <v>28678</v>
      </c>
      <c r="H649" t="s">
        <v>9998</v>
      </c>
      <c r="I649" t="s">
        <v>6128</v>
      </c>
      <c r="J649" t="s">
        <v>29316</v>
      </c>
      <c r="K649" t="s">
        <v>37204</v>
      </c>
      <c r="M649" t="s">
        <v>37836</v>
      </c>
      <c r="N649" t="s">
        <v>41249</v>
      </c>
      <c r="O649" t="s">
        <v>41250</v>
      </c>
      <c r="P649">
        <v>0</v>
      </c>
      <c r="Q649">
        <v>0</v>
      </c>
      <c r="R649" t="s">
        <v>41251</v>
      </c>
      <c r="S649" t="s">
        <v>41369</v>
      </c>
      <c r="T649" t="s">
        <v>42711</v>
      </c>
      <c r="U649" t="s">
        <v>43776</v>
      </c>
      <c r="W649" t="s">
        <v>55912</v>
      </c>
      <c r="X649" t="s">
        <v>41252</v>
      </c>
    </row>
    <row r="650" spans="1:24">
      <c r="A650">
        <f>HYPERLINK("https://www.philgeps.gov.ph/GEPSNONPILOT/Tender/SplashBidNoticeAbstractUI.aspx?menuIndex=3&amp;refID=7076788&amp;Result=3","7076788")</f>
        <v>0</v>
      </c>
      <c r="B650" t="s">
        <v>356</v>
      </c>
      <c r="C650" t="s">
        <v>4000</v>
      </c>
      <c r="D650" t="s">
        <v>16639</v>
      </c>
      <c r="E650" t="s">
        <v>17334</v>
      </c>
      <c r="F650" t="s">
        <v>28669</v>
      </c>
      <c r="G650" t="s">
        <v>28676</v>
      </c>
      <c r="H650" t="s">
        <v>9998</v>
      </c>
      <c r="I650" t="s">
        <v>28748</v>
      </c>
      <c r="J650" t="s">
        <v>29317</v>
      </c>
      <c r="K650" t="s">
        <v>37210</v>
      </c>
      <c r="M650" t="s">
        <v>37837</v>
      </c>
      <c r="N650" t="s">
        <v>41249</v>
      </c>
      <c r="O650" t="s">
        <v>41250</v>
      </c>
      <c r="P650">
        <v>0</v>
      </c>
      <c r="Q650">
        <v>3</v>
      </c>
      <c r="R650" t="s">
        <v>41251</v>
      </c>
      <c r="S650" t="s">
        <v>41369</v>
      </c>
      <c r="T650" t="s">
        <v>42717</v>
      </c>
      <c r="U650" t="s">
        <v>43777</v>
      </c>
      <c r="V650" t="s">
        <v>54334</v>
      </c>
      <c r="W650" t="s">
        <v>37837</v>
      </c>
      <c r="X650" t="s">
        <v>41252</v>
      </c>
    </row>
    <row r="651" spans="1:24">
      <c r="A651">
        <f>HYPERLINK("https://www.philgeps.gov.ph/GEPSNONPILOT/Tender/SplashBidNoticeAbstractUI.aspx?menuIndex=3&amp;refID=7076755&amp;Result=3","7076755")</f>
        <v>0</v>
      </c>
      <c r="B651" t="s">
        <v>357</v>
      </c>
      <c r="C651" t="s">
        <v>4001</v>
      </c>
      <c r="D651" t="s">
        <v>16646</v>
      </c>
      <c r="E651" t="s">
        <v>17335</v>
      </c>
      <c r="F651" t="s">
        <v>28669</v>
      </c>
      <c r="G651" t="s">
        <v>28675</v>
      </c>
      <c r="H651" t="s">
        <v>9998</v>
      </c>
      <c r="I651" t="s">
        <v>28690</v>
      </c>
      <c r="J651" t="s">
        <v>29318</v>
      </c>
      <c r="K651" t="s">
        <v>37210</v>
      </c>
      <c r="M651" t="s">
        <v>37838</v>
      </c>
      <c r="N651" t="s">
        <v>41249</v>
      </c>
      <c r="O651" t="s">
        <v>41250</v>
      </c>
      <c r="P651">
        <v>0</v>
      </c>
      <c r="Q651">
        <v>2</v>
      </c>
      <c r="R651" t="s">
        <v>41251</v>
      </c>
      <c r="S651" t="s">
        <v>41369</v>
      </c>
      <c r="T651" t="s">
        <v>42677</v>
      </c>
      <c r="U651" t="s">
        <v>43778</v>
      </c>
      <c r="W651" t="s">
        <v>37838</v>
      </c>
      <c r="X651" t="s">
        <v>41252</v>
      </c>
    </row>
    <row r="652" spans="1:24">
      <c r="A652">
        <f>HYPERLINK("https://www.philgeps.gov.ph/GEPSNONPILOT/Tender/SplashBidNoticeAbstractUI.aspx?menuIndex=3&amp;refID=7076754&amp;Result=3","7076754")</f>
        <v>0</v>
      </c>
      <c r="B652" t="s">
        <v>358</v>
      </c>
      <c r="C652" t="s">
        <v>4002</v>
      </c>
      <c r="D652" t="s">
        <v>16683</v>
      </c>
      <c r="E652" t="s">
        <v>17336</v>
      </c>
      <c r="F652" t="s">
        <v>28669</v>
      </c>
      <c r="G652" t="s">
        <v>28677</v>
      </c>
      <c r="H652" t="s">
        <v>9998</v>
      </c>
      <c r="I652" t="s">
        <v>15140</v>
      </c>
      <c r="J652" t="s">
        <v>29034</v>
      </c>
      <c r="K652" t="s">
        <v>37209</v>
      </c>
      <c r="M652" t="s">
        <v>37839</v>
      </c>
      <c r="N652" t="s">
        <v>41249</v>
      </c>
      <c r="O652" t="s">
        <v>41250</v>
      </c>
      <c r="P652">
        <v>0</v>
      </c>
      <c r="Q652">
        <v>0</v>
      </c>
      <c r="R652" t="s">
        <v>41251</v>
      </c>
      <c r="S652" t="s">
        <v>41369</v>
      </c>
      <c r="T652" t="s">
        <v>42701</v>
      </c>
      <c r="U652" t="s">
        <v>43779</v>
      </c>
      <c r="W652" t="s">
        <v>37839</v>
      </c>
      <c r="X652" t="s">
        <v>41252</v>
      </c>
    </row>
    <row r="653" spans="1:24">
      <c r="A653">
        <f>HYPERLINK("https://www.philgeps.gov.ph/GEPSNONPILOT/Tender/SplashBidNoticeAbstractUI.aspx?menuIndex=3&amp;refID=7076785&amp;Result=3","7076785")</f>
        <v>0</v>
      </c>
      <c r="B653" t="s">
        <v>322</v>
      </c>
      <c r="C653" t="s">
        <v>4003</v>
      </c>
      <c r="D653" t="s">
        <v>16655</v>
      </c>
      <c r="E653" t="s">
        <v>17337</v>
      </c>
      <c r="F653" t="s">
        <v>28669</v>
      </c>
      <c r="G653" t="s">
        <v>28675</v>
      </c>
      <c r="H653" t="s">
        <v>28686</v>
      </c>
      <c r="I653" t="s">
        <v>28689</v>
      </c>
      <c r="J653" t="s">
        <v>28905</v>
      </c>
      <c r="K653" t="s">
        <v>37206</v>
      </c>
      <c r="M653" t="s">
        <v>37802</v>
      </c>
      <c r="N653" t="s">
        <v>41249</v>
      </c>
      <c r="O653" t="s">
        <v>41250</v>
      </c>
      <c r="P653">
        <v>0</v>
      </c>
      <c r="Q653">
        <v>0</v>
      </c>
      <c r="R653" t="s">
        <v>41251</v>
      </c>
      <c r="S653" t="s">
        <v>41369</v>
      </c>
      <c r="T653" t="s">
        <v>42669</v>
      </c>
      <c r="U653" t="s">
        <v>43710</v>
      </c>
      <c r="W653" t="s">
        <v>37802</v>
      </c>
      <c r="X653" t="s">
        <v>41252</v>
      </c>
    </row>
    <row r="654" spans="1:24">
      <c r="A654">
        <f>HYPERLINK("https://www.philgeps.gov.ph/GEPSNONPILOT/Tender/SplashBidNoticeAbstractUI.aspx?menuIndex=3&amp;refID=7076760&amp;Result=3","7076760")</f>
        <v>0</v>
      </c>
      <c r="B654" t="s">
        <v>342</v>
      </c>
      <c r="C654" t="s">
        <v>4004</v>
      </c>
      <c r="D654" t="s">
        <v>16642</v>
      </c>
      <c r="E654" t="s">
        <v>17338</v>
      </c>
      <c r="F654" t="s">
        <v>28669</v>
      </c>
      <c r="G654" t="s">
        <v>28678</v>
      </c>
      <c r="H654" t="s">
        <v>9998</v>
      </c>
      <c r="I654" t="s">
        <v>28716</v>
      </c>
      <c r="J654" t="s">
        <v>29319</v>
      </c>
      <c r="K654" t="s">
        <v>37204</v>
      </c>
      <c r="M654" t="s">
        <v>37822</v>
      </c>
      <c r="N654" t="s">
        <v>41249</v>
      </c>
      <c r="O654" t="s">
        <v>41250</v>
      </c>
      <c r="P654">
        <v>0</v>
      </c>
      <c r="Q654">
        <v>1</v>
      </c>
      <c r="R654" t="s">
        <v>41251</v>
      </c>
      <c r="S654" t="s">
        <v>41369</v>
      </c>
      <c r="T654" t="s">
        <v>42754</v>
      </c>
      <c r="U654" t="s">
        <v>43780</v>
      </c>
      <c r="W654" t="s">
        <v>55910</v>
      </c>
      <c r="X654" t="s">
        <v>41252</v>
      </c>
    </row>
    <row r="655" spans="1:24">
      <c r="A655">
        <f>HYPERLINK("https://www.philgeps.gov.ph/GEPSNONPILOT/Tender/SplashBidNoticeAbstractUI.aspx?menuIndex=3&amp;refID=7076784&amp;Result=3","7076784")</f>
        <v>0</v>
      </c>
      <c r="B655" t="s">
        <v>359</v>
      </c>
      <c r="C655" t="s">
        <v>4005</v>
      </c>
      <c r="D655" t="s">
        <v>16672</v>
      </c>
      <c r="E655" t="s">
        <v>17339</v>
      </c>
      <c r="F655" t="s">
        <v>28669</v>
      </c>
      <c r="G655" t="s">
        <v>28675</v>
      </c>
      <c r="H655" t="s">
        <v>28686</v>
      </c>
      <c r="I655" t="s">
        <v>28689</v>
      </c>
      <c r="J655" t="s">
        <v>29320</v>
      </c>
      <c r="K655" t="s">
        <v>37220</v>
      </c>
      <c r="M655" t="s">
        <v>37840</v>
      </c>
      <c r="N655" t="s">
        <v>41249</v>
      </c>
      <c r="O655" t="s">
        <v>41250</v>
      </c>
      <c r="P655">
        <v>0</v>
      </c>
      <c r="Q655">
        <v>0</v>
      </c>
      <c r="R655" t="s">
        <v>41251</v>
      </c>
      <c r="S655" t="s">
        <v>41369</v>
      </c>
      <c r="T655" t="s">
        <v>42720</v>
      </c>
      <c r="U655" t="s">
        <v>43781</v>
      </c>
      <c r="W655" t="s">
        <v>37840</v>
      </c>
      <c r="X655" t="s">
        <v>41252</v>
      </c>
    </row>
    <row r="656" spans="1:24">
      <c r="A656">
        <f>HYPERLINK("https://www.philgeps.gov.ph/GEPSNONPILOT/Tender/SplashBidNoticeAbstractUI.aspx?menuIndex=3&amp;refID=7076781&amp;Result=3","7076781")</f>
        <v>0</v>
      </c>
      <c r="B656" t="s">
        <v>360</v>
      </c>
      <c r="C656" t="s">
        <v>4006</v>
      </c>
      <c r="D656" t="s">
        <v>16634</v>
      </c>
      <c r="E656" t="s">
        <v>17340</v>
      </c>
      <c r="F656" t="s">
        <v>28671</v>
      </c>
      <c r="G656" t="s">
        <v>28678</v>
      </c>
      <c r="H656" t="s">
        <v>28684</v>
      </c>
      <c r="I656" t="s">
        <v>28716</v>
      </c>
      <c r="J656" t="s">
        <v>29321</v>
      </c>
      <c r="K656" t="s">
        <v>37204</v>
      </c>
      <c r="M656" t="s">
        <v>37841</v>
      </c>
      <c r="N656" t="s">
        <v>41249</v>
      </c>
      <c r="O656" t="s">
        <v>41250</v>
      </c>
      <c r="P656">
        <v>0</v>
      </c>
      <c r="Q656">
        <v>1</v>
      </c>
      <c r="R656" t="s">
        <v>41251</v>
      </c>
      <c r="S656" t="s">
        <v>41369</v>
      </c>
      <c r="T656" t="s">
        <v>42682</v>
      </c>
      <c r="U656" t="s">
        <v>43782</v>
      </c>
      <c r="W656" t="s">
        <v>37841</v>
      </c>
      <c r="X656" t="s">
        <v>41252</v>
      </c>
    </row>
    <row r="657" spans="1:24">
      <c r="A657">
        <f>HYPERLINK("https://www.philgeps.gov.ph/GEPSNONPILOT/Tender/SplashBidNoticeAbstractUI.aspx?menuIndex=3&amp;refID=7076778&amp;Result=3","7076778")</f>
        <v>0</v>
      </c>
      <c r="B657" t="s">
        <v>140</v>
      </c>
      <c r="C657" t="s">
        <v>4007</v>
      </c>
      <c r="D657" t="s">
        <v>16652</v>
      </c>
      <c r="E657" t="s">
        <v>17341</v>
      </c>
      <c r="F657" t="s">
        <v>28669</v>
      </c>
      <c r="G657" t="s">
        <v>28676</v>
      </c>
      <c r="H657" t="s">
        <v>9998</v>
      </c>
      <c r="I657" t="s">
        <v>6128</v>
      </c>
      <c r="J657" t="s">
        <v>29322</v>
      </c>
      <c r="K657" t="s">
        <v>37234</v>
      </c>
      <c r="M657" t="s">
        <v>37617</v>
      </c>
      <c r="N657" t="s">
        <v>41249</v>
      </c>
      <c r="O657" t="s">
        <v>41250</v>
      </c>
      <c r="P657">
        <v>0</v>
      </c>
      <c r="Q657">
        <v>0</v>
      </c>
      <c r="R657" t="s">
        <v>41251</v>
      </c>
      <c r="S657" t="s">
        <v>41369</v>
      </c>
      <c r="T657" t="s">
        <v>42787</v>
      </c>
      <c r="U657" t="s">
        <v>43783</v>
      </c>
      <c r="W657" t="s">
        <v>37617</v>
      </c>
      <c r="X657" t="s">
        <v>41252</v>
      </c>
    </row>
    <row r="658" spans="1:24">
      <c r="A658">
        <f>HYPERLINK("https://www.philgeps.gov.ph/GEPSNONPILOT/Tender/SplashBidNoticeAbstractUI.aspx?menuIndex=3&amp;refID=7076786&amp;Result=3","7076786")</f>
        <v>0</v>
      </c>
      <c r="B658" t="s">
        <v>250</v>
      </c>
      <c r="C658" t="s">
        <v>4008</v>
      </c>
      <c r="D658" t="s">
        <v>16621</v>
      </c>
      <c r="E658" t="s">
        <v>17342</v>
      </c>
      <c r="F658" t="s">
        <v>28669</v>
      </c>
      <c r="G658" t="s">
        <v>28676</v>
      </c>
      <c r="H658" t="s">
        <v>9998</v>
      </c>
      <c r="I658" t="s">
        <v>28706</v>
      </c>
      <c r="J658" t="s">
        <v>28901</v>
      </c>
      <c r="K658" t="s">
        <v>37223</v>
      </c>
      <c r="M658" t="s">
        <v>37728</v>
      </c>
      <c r="N658" t="s">
        <v>41249</v>
      </c>
      <c r="O658" t="s">
        <v>41250</v>
      </c>
      <c r="P658">
        <v>0</v>
      </c>
      <c r="Q658">
        <v>1</v>
      </c>
      <c r="R658" t="s">
        <v>41251</v>
      </c>
      <c r="S658" t="s">
        <v>41369</v>
      </c>
      <c r="T658" t="s">
        <v>42675</v>
      </c>
      <c r="U658" t="s">
        <v>43784</v>
      </c>
      <c r="W658" t="s">
        <v>37728</v>
      </c>
      <c r="X658" t="s">
        <v>41252</v>
      </c>
    </row>
    <row r="659" spans="1:24">
      <c r="A659">
        <f>HYPERLINK("https://www.philgeps.gov.ph/GEPSNONPILOT/Tender/SplashBidNoticeAbstractUI.aspx?menuIndex=3&amp;refID=7076777&amp;Result=3","7076777")</f>
        <v>0</v>
      </c>
      <c r="B659" t="s">
        <v>30</v>
      </c>
      <c r="C659" t="s">
        <v>4009</v>
      </c>
      <c r="D659" t="s">
        <v>16612</v>
      </c>
      <c r="E659" t="s">
        <v>17343</v>
      </c>
      <c r="F659" t="s">
        <v>28669</v>
      </c>
      <c r="G659" t="s">
        <v>28677</v>
      </c>
      <c r="H659" t="s">
        <v>9998</v>
      </c>
      <c r="I659" t="s">
        <v>15140</v>
      </c>
      <c r="J659" t="s">
        <v>29323</v>
      </c>
      <c r="K659" t="s">
        <v>37210</v>
      </c>
      <c r="M659" t="s">
        <v>37505</v>
      </c>
      <c r="N659" t="s">
        <v>41249</v>
      </c>
      <c r="O659" t="s">
        <v>41250</v>
      </c>
      <c r="P659">
        <v>0</v>
      </c>
      <c r="Q659">
        <v>0</v>
      </c>
      <c r="R659" t="s">
        <v>41251</v>
      </c>
      <c r="S659" t="s">
        <v>41369</v>
      </c>
      <c r="T659" t="s">
        <v>42665</v>
      </c>
      <c r="U659" t="s">
        <v>43785</v>
      </c>
      <c r="W659" t="s">
        <v>37505</v>
      </c>
      <c r="X659" t="s">
        <v>41252</v>
      </c>
    </row>
    <row r="660" spans="1:24">
      <c r="A660">
        <f>HYPERLINK("https://www.philgeps.gov.ph/GEPSNONPILOT/Tender/SplashBidNoticeAbstractUI.aspx?menuIndex=3&amp;refID=7076773&amp;Result=3","7076773")</f>
        <v>0</v>
      </c>
      <c r="B660" t="s">
        <v>361</v>
      </c>
      <c r="C660" t="s">
        <v>4010</v>
      </c>
      <c r="D660" t="s">
        <v>16665</v>
      </c>
      <c r="E660" t="s">
        <v>17344</v>
      </c>
      <c r="F660" t="s">
        <v>28669</v>
      </c>
      <c r="G660" t="s">
        <v>28679</v>
      </c>
      <c r="H660" t="s">
        <v>9998</v>
      </c>
      <c r="I660" t="s">
        <v>28695</v>
      </c>
      <c r="J660" t="s">
        <v>29324</v>
      </c>
      <c r="K660" t="s">
        <v>37243</v>
      </c>
      <c r="M660" t="s">
        <v>37842</v>
      </c>
      <c r="N660" t="s">
        <v>41249</v>
      </c>
      <c r="O660" t="s">
        <v>41250</v>
      </c>
      <c r="P660">
        <v>0</v>
      </c>
      <c r="Q660">
        <v>0</v>
      </c>
      <c r="R660" t="s">
        <v>41251</v>
      </c>
      <c r="S660" t="s">
        <v>41369</v>
      </c>
      <c r="T660" t="s">
        <v>42766</v>
      </c>
      <c r="U660" t="s">
        <v>43786</v>
      </c>
      <c r="W660" t="s">
        <v>37842</v>
      </c>
      <c r="X660" t="s">
        <v>41252</v>
      </c>
    </row>
    <row r="661" spans="1:24">
      <c r="A661">
        <f>HYPERLINK("https://www.philgeps.gov.ph/GEPSNONPILOT/Tender/SplashBidNoticeAbstractUI.aspx?menuIndex=3&amp;refID=7076751&amp;Result=3","7076751")</f>
        <v>0</v>
      </c>
      <c r="B661" t="s">
        <v>362</v>
      </c>
      <c r="C661" t="s">
        <v>4011</v>
      </c>
      <c r="D661" t="s">
        <v>16619</v>
      </c>
      <c r="E661" t="s">
        <v>17345</v>
      </c>
      <c r="F661" t="s">
        <v>28669</v>
      </c>
      <c r="G661" t="s">
        <v>28676</v>
      </c>
      <c r="H661" t="s">
        <v>9998</v>
      </c>
      <c r="I661" t="s">
        <v>7352</v>
      </c>
      <c r="J661" t="s">
        <v>29325</v>
      </c>
      <c r="K661" t="s">
        <v>37210</v>
      </c>
      <c r="M661" t="s">
        <v>37843</v>
      </c>
      <c r="N661" t="s">
        <v>41249</v>
      </c>
      <c r="O661" t="s">
        <v>41250</v>
      </c>
      <c r="P661">
        <v>0</v>
      </c>
      <c r="Q661">
        <v>0</v>
      </c>
      <c r="R661" t="s">
        <v>41251</v>
      </c>
      <c r="S661" t="s">
        <v>41369</v>
      </c>
      <c r="T661" t="s">
        <v>42757</v>
      </c>
      <c r="U661" t="s">
        <v>43787</v>
      </c>
      <c r="W661" t="s">
        <v>37843</v>
      </c>
      <c r="X661" t="s">
        <v>41252</v>
      </c>
    </row>
    <row r="662" spans="1:24">
      <c r="A662">
        <f>HYPERLINK("https://www.philgeps.gov.ph/GEPSNONPILOT/Tender/SplashBidNoticeAbstractUI.aspx?menuIndex=3&amp;refID=7076771&amp;Result=3","7076771")</f>
        <v>0</v>
      </c>
      <c r="B662" t="s">
        <v>179</v>
      </c>
      <c r="C662" t="s">
        <v>4012</v>
      </c>
      <c r="D662" t="s">
        <v>16647</v>
      </c>
      <c r="E662" t="s">
        <v>17346</v>
      </c>
      <c r="F662" t="s">
        <v>28669</v>
      </c>
      <c r="G662" t="s">
        <v>28675</v>
      </c>
      <c r="H662" t="s">
        <v>28686</v>
      </c>
      <c r="I662" t="s">
        <v>28689</v>
      </c>
      <c r="J662" t="s">
        <v>29326</v>
      </c>
      <c r="K662" t="s">
        <v>37205</v>
      </c>
      <c r="M662" t="s">
        <v>37656</v>
      </c>
      <c r="N662" t="s">
        <v>41249</v>
      </c>
      <c r="O662" t="s">
        <v>41250</v>
      </c>
      <c r="P662">
        <v>0</v>
      </c>
      <c r="Q662">
        <v>0</v>
      </c>
      <c r="R662" t="s">
        <v>41251</v>
      </c>
      <c r="S662" t="s">
        <v>41369</v>
      </c>
      <c r="T662" t="s">
        <v>42688</v>
      </c>
      <c r="U662" t="s">
        <v>43788</v>
      </c>
      <c r="W662" t="s">
        <v>37656</v>
      </c>
      <c r="X662" t="s">
        <v>41252</v>
      </c>
    </row>
    <row r="663" spans="1:24">
      <c r="A663">
        <f>HYPERLINK("https://www.philgeps.gov.ph/GEPSNONPILOT/Tender/SplashBidNoticeAbstractUI.aspx?menuIndex=3&amp;refID=7076779&amp;Result=3","7076779")</f>
        <v>0</v>
      </c>
      <c r="B663" t="s">
        <v>298</v>
      </c>
      <c r="C663" t="s">
        <v>4013</v>
      </c>
      <c r="D663" t="s">
        <v>16608</v>
      </c>
      <c r="E663" t="s">
        <v>17347</v>
      </c>
      <c r="F663" t="s">
        <v>28669</v>
      </c>
      <c r="G663" t="s">
        <v>28676</v>
      </c>
      <c r="H663" t="s">
        <v>9998</v>
      </c>
      <c r="I663" t="s">
        <v>28722</v>
      </c>
      <c r="J663" t="s">
        <v>29327</v>
      </c>
      <c r="K663" t="s">
        <v>37205</v>
      </c>
      <c r="M663" t="s">
        <v>37777</v>
      </c>
      <c r="N663" t="s">
        <v>41249</v>
      </c>
      <c r="O663" t="s">
        <v>41250</v>
      </c>
      <c r="P663">
        <v>0</v>
      </c>
      <c r="Q663">
        <v>2</v>
      </c>
      <c r="R663" t="s">
        <v>41251</v>
      </c>
      <c r="S663" t="s">
        <v>41369</v>
      </c>
      <c r="T663" t="s">
        <v>42778</v>
      </c>
      <c r="U663" t="s">
        <v>43789</v>
      </c>
      <c r="W663" t="s">
        <v>37777</v>
      </c>
      <c r="X663" t="s">
        <v>41252</v>
      </c>
    </row>
    <row r="664" spans="1:24">
      <c r="A664">
        <f>HYPERLINK("https://www.philgeps.gov.ph/GEPSNONPILOT/Tender/SplashBidNoticeAbstractUI.aspx?menuIndex=3&amp;refID=7076807&amp;Result=3","7076807")</f>
        <v>0</v>
      </c>
      <c r="B664" t="s">
        <v>363</v>
      </c>
      <c r="C664" t="s">
        <v>4014</v>
      </c>
      <c r="D664" t="s">
        <v>16675</v>
      </c>
      <c r="E664" t="s">
        <v>17348</v>
      </c>
      <c r="F664" t="s">
        <v>28669</v>
      </c>
      <c r="G664" t="s">
        <v>28676</v>
      </c>
      <c r="H664" t="s">
        <v>9998</v>
      </c>
      <c r="I664" t="s">
        <v>28749</v>
      </c>
      <c r="J664" t="s">
        <v>29034</v>
      </c>
      <c r="K664" t="s">
        <v>37209</v>
      </c>
      <c r="M664" t="s">
        <v>37844</v>
      </c>
      <c r="N664" t="s">
        <v>41249</v>
      </c>
      <c r="O664" t="s">
        <v>41250</v>
      </c>
      <c r="P664">
        <v>0</v>
      </c>
      <c r="Q664">
        <v>1</v>
      </c>
      <c r="R664" t="s">
        <v>41251</v>
      </c>
      <c r="S664" t="s">
        <v>41369</v>
      </c>
      <c r="T664" t="s">
        <v>42757</v>
      </c>
      <c r="U664" t="s">
        <v>43790</v>
      </c>
      <c r="W664" t="s">
        <v>37844</v>
      </c>
      <c r="X664" t="s">
        <v>41252</v>
      </c>
    </row>
    <row r="665" spans="1:24">
      <c r="A665">
        <f>HYPERLINK("https://www.philgeps.gov.ph/GEPSNONPILOT/Tender/SplashBidNoticeAbstractUI.aspx?menuIndex=3&amp;refID=7076731&amp;Result=3","7076731")</f>
        <v>0</v>
      </c>
      <c r="B665" t="s">
        <v>364</v>
      </c>
      <c r="C665" t="s">
        <v>4015</v>
      </c>
      <c r="D665" t="s">
        <v>16624</v>
      </c>
      <c r="E665" t="s">
        <v>17349</v>
      </c>
      <c r="F665" t="s">
        <v>28669</v>
      </c>
      <c r="G665" t="s">
        <v>28677</v>
      </c>
      <c r="H665" t="s">
        <v>9998</v>
      </c>
      <c r="I665" t="s">
        <v>3718</v>
      </c>
      <c r="J665" t="s">
        <v>28879</v>
      </c>
      <c r="K665" t="s">
        <v>37205</v>
      </c>
      <c r="M665" t="s">
        <v>37845</v>
      </c>
      <c r="N665" t="s">
        <v>41249</v>
      </c>
      <c r="O665" t="s">
        <v>41250</v>
      </c>
      <c r="P665">
        <v>0</v>
      </c>
      <c r="Q665">
        <v>0</v>
      </c>
      <c r="R665" t="s">
        <v>41251</v>
      </c>
      <c r="S665" t="s">
        <v>41369</v>
      </c>
      <c r="T665" t="s">
        <v>42670</v>
      </c>
      <c r="U665" t="s">
        <v>43791</v>
      </c>
      <c r="W665" t="s">
        <v>37845</v>
      </c>
      <c r="X665" t="s">
        <v>41252</v>
      </c>
    </row>
    <row r="666" spans="1:24">
      <c r="A666">
        <f>HYPERLINK("https://www.philgeps.gov.ph/GEPSNONPILOT/Tender/SplashBidNoticeAbstractUI.aspx?menuIndex=3&amp;refID=7076814&amp;Result=3","7076814")</f>
        <v>0</v>
      </c>
      <c r="B666" t="s">
        <v>365</v>
      </c>
      <c r="C666" t="s">
        <v>4016</v>
      </c>
      <c r="D666" t="s">
        <v>16683</v>
      </c>
      <c r="E666" t="s">
        <v>17350</v>
      </c>
      <c r="F666" t="s">
        <v>28669</v>
      </c>
      <c r="G666" t="s">
        <v>28675</v>
      </c>
      <c r="H666" t="s">
        <v>9998</v>
      </c>
      <c r="I666" t="s">
        <v>3718</v>
      </c>
      <c r="J666" t="s">
        <v>29328</v>
      </c>
      <c r="K666" t="s">
        <v>37209</v>
      </c>
      <c r="L666" t="s">
        <v>365</v>
      </c>
      <c r="M666" t="s">
        <v>37846</v>
      </c>
      <c r="N666" t="s">
        <v>41249</v>
      </c>
      <c r="O666" t="s">
        <v>41250</v>
      </c>
      <c r="P666">
        <v>0</v>
      </c>
      <c r="Q666">
        <v>0</v>
      </c>
      <c r="R666" t="s">
        <v>41251</v>
      </c>
      <c r="S666" t="s">
        <v>41369</v>
      </c>
      <c r="T666" t="s">
        <v>42788</v>
      </c>
      <c r="U666" t="s">
        <v>43792</v>
      </c>
      <c r="W666" t="s">
        <v>37846</v>
      </c>
      <c r="X666" t="s">
        <v>41252</v>
      </c>
    </row>
    <row r="667" spans="1:24">
      <c r="A667">
        <f>HYPERLINK("https://www.philgeps.gov.ph/GEPSNONPILOT/Tender/SplashBidNoticeAbstractUI.aspx?menuIndex=3&amp;refID=7076770&amp;Result=3","7076770")</f>
        <v>0</v>
      </c>
      <c r="B667" t="s">
        <v>366</v>
      </c>
      <c r="C667" t="s">
        <v>4017</v>
      </c>
      <c r="D667" t="s">
        <v>16626</v>
      </c>
      <c r="E667" t="s">
        <v>17351</v>
      </c>
      <c r="F667" t="s">
        <v>28669</v>
      </c>
      <c r="G667" t="s">
        <v>28676</v>
      </c>
      <c r="H667" t="s">
        <v>9998</v>
      </c>
      <c r="I667" t="s">
        <v>6128</v>
      </c>
      <c r="J667" t="s">
        <v>29329</v>
      </c>
      <c r="K667" t="s">
        <v>37208</v>
      </c>
      <c r="M667" t="s">
        <v>37847</v>
      </c>
      <c r="N667" t="s">
        <v>41249</v>
      </c>
      <c r="O667" t="s">
        <v>41250</v>
      </c>
      <c r="P667">
        <v>0</v>
      </c>
      <c r="Q667">
        <v>0</v>
      </c>
      <c r="R667" t="s">
        <v>41251</v>
      </c>
      <c r="S667" t="s">
        <v>41369</v>
      </c>
      <c r="T667" t="s">
        <v>42675</v>
      </c>
      <c r="U667" t="s">
        <v>43793</v>
      </c>
      <c r="W667" t="s">
        <v>37847</v>
      </c>
      <c r="X667" t="s">
        <v>41252</v>
      </c>
    </row>
    <row r="668" spans="1:24">
      <c r="A668">
        <f>HYPERLINK("https://www.philgeps.gov.ph/GEPSNONPILOT/Tender/SplashBidNoticeAbstractUI.aspx?menuIndex=3&amp;refID=7076810&amp;Result=3","7076810")</f>
        <v>0</v>
      </c>
      <c r="B668" t="s">
        <v>304</v>
      </c>
      <c r="C668" t="s">
        <v>4018</v>
      </c>
      <c r="D668" t="s">
        <v>16628</v>
      </c>
      <c r="E668" t="s">
        <v>17352</v>
      </c>
      <c r="F668" t="s">
        <v>28669</v>
      </c>
      <c r="G668" t="s">
        <v>28676</v>
      </c>
      <c r="H668" t="s">
        <v>9998</v>
      </c>
      <c r="I668" t="s">
        <v>28729</v>
      </c>
      <c r="J668" t="s">
        <v>29263</v>
      </c>
      <c r="K668" t="s">
        <v>37204</v>
      </c>
      <c r="M668" t="s">
        <v>37783</v>
      </c>
      <c r="N668" t="s">
        <v>41249</v>
      </c>
      <c r="O668" t="s">
        <v>41250</v>
      </c>
      <c r="P668">
        <v>0</v>
      </c>
      <c r="Q668">
        <v>0</v>
      </c>
      <c r="R668" t="s">
        <v>41251</v>
      </c>
      <c r="S668" t="s">
        <v>41369</v>
      </c>
      <c r="T668" t="s">
        <v>42726</v>
      </c>
      <c r="U668" t="s">
        <v>43681</v>
      </c>
      <c r="W668" t="s">
        <v>37783</v>
      </c>
      <c r="X668" t="s">
        <v>41252</v>
      </c>
    </row>
    <row r="669" spans="1:24">
      <c r="A669">
        <f>HYPERLINK("https://www.philgeps.gov.ph/GEPSNONPILOT/Tender/SplashBidNoticeAbstractUI.aspx?menuIndex=3&amp;refID=7076673&amp;Result=3","7076673")</f>
        <v>0</v>
      </c>
      <c r="B669" t="s">
        <v>321</v>
      </c>
      <c r="C669" t="s">
        <v>4019</v>
      </c>
      <c r="D669" t="s">
        <v>16665</v>
      </c>
      <c r="E669" t="s">
        <v>17353</v>
      </c>
      <c r="F669" t="s">
        <v>28669</v>
      </c>
      <c r="G669" t="s">
        <v>28677</v>
      </c>
      <c r="H669" t="s">
        <v>9998</v>
      </c>
      <c r="I669" t="s">
        <v>28693</v>
      </c>
      <c r="J669" t="s">
        <v>29330</v>
      </c>
      <c r="K669" t="s">
        <v>37206</v>
      </c>
      <c r="M669" t="s">
        <v>37801</v>
      </c>
      <c r="N669" t="s">
        <v>41249</v>
      </c>
      <c r="O669" t="s">
        <v>41250</v>
      </c>
      <c r="P669">
        <v>0</v>
      </c>
      <c r="Q669">
        <v>6</v>
      </c>
      <c r="R669" t="s">
        <v>41251</v>
      </c>
      <c r="S669" t="s">
        <v>41369</v>
      </c>
      <c r="T669" t="s">
        <v>42711</v>
      </c>
      <c r="U669" t="s">
        <v>43794</v>
      </c>
      <c r="W669" t="s">
        <v>37801</v>
      </c>
      <c r="X669" t="s">
        <v>41252</v>
      </c>
    </row>
    <row r="670" spans="1:24">
      <c r="A670">
        <f>HYPERLINK("https://www.philgeps.gov.ph/GEPSNONPILOT/Tender/SplashBidNoticeAbstractUI.aspx?menuIndex=3&amp;refID=7076774&amp;Result=3","7076774")</f>
        <v>0</v>
      </c>
      <c r="B670" t="s">
        <v>322</v>
      </c>
      <c r="C670" t="s">
        <v>4020</v>
      </c>
      <c r="D670" t="s">
        <v>16655</v>
      </c>
      <c r="E670" t="s">
        <v>17354</v>
      </c>
      <c r="F670" t="s">
        <v>28669</v>
      </c>
      <c r="G670" t="s">
        <v>28675</v>
      </c>
      <c r="H670" t="s">
        <v>28686</v>
      </c>
      <c r="I670" t="s">
        <v>28689</v>
      </c>
      <c r="J670" t="s">
        <v>28905</v>
      </c>
      <c r="K670" t="s">
        <v>37206</v>
      </c>
      <c r="M670" t="s">
        <v>37802</v>
      </c>
      <c r="N670" t="s">
        <v>41249</v>
      </c>
      <c r="O670" t="s">
        <v>41250</v>
      </c>
      <c r="P670">
        <v>0</v>
      </c>
      <c r="Q670">
        <v>0</v>
      </c>
      <c r="R670" t="s">
        <v>41251</v>
      </c>
      <c r="S670" t="s">
        <v>41369</v>
      </c>
      <c r="T670" t="s">
        <v>42669</v>
      </c>
      <c r="U670" t="s">
        <v>43710</v>
      </c>
      <c r="W670" t="s">
        <v>37802</v>
      </c>
      <c r="X670" t="s">
        <v>41252</v>
      </c>
    </row>
    <row r="671" spans="1:24">
      <c r="A671">
        <f>HYPERLINK("https://www.philgeps.gov.ph/GEPSNONPILOT/Tender/SplashBidNoticeAbstractUI.aspx?menuIndex=3&amp;refID=7076806&amp;Result=3","7076806")</f>
        <v>0</v>
      </c>
      <c r="B671" t="s">
        <v>322</v>
      </c>
      <c r="C671" t="s">
        <v>4021</v>
      </c>
      <c r="D671" t="s">
        <v>16655</v>
      </c>
      <c r="E671" t="s">
        <v>17355</v>
      </c>
      <c r="F671" t="s">
        <v>28669</v>
      </c>
      <c r="G671" t="s">
        <v>28675</v>
      </c>
      <c r="H671" t="s">
        <v>28686</v>
      </c>
      <c r="I671" t="s">
        <v>28689</v>
      </c>
      <c r="J671" t="s">
        <v>29003</v>
      </c>
      <c r="K671" t="s">
        <v>37206</v>
      </c>
      <c r="M671" t="s">
        <v>37802</v>
      </c>
      <c r="N671" t="s">
        <v>41249</v>
      </c>
      <c r="O671" t="s">
        <v>41250</v>
      </c>
      <c r="P671">
        <v>0</v>
      </c>
      <c r="Q671">
        <v>0</v>
      </c>
      <c r="R671" t="s">
        <v>41251</v>
      </c>
      <c r="S671" t="s">
        <v>41369</v>
      </c>
      <c r="T671" t="s">
        <v>42669</v>
      </c>
      <c r="U671" t="s">
        <v>43710</v>
      </c>
      <c r="W671" t="s">
        <v>37802</v>
      </c>
      <c r="X671" t="s">
        <v>41252</v>
      </c>
    </row>
    <row r="672" spans="1:24">
      <c r="A672">
        <f>HYPERLINK("https://www.philgeps.gov.ph/GEPSNONPILOT/Tender/SplashBidNoticeAbstractUI.aspx?menuIndex=3&amp;refID=7076805&amp;Result=3","7076805")</f>
        <v>0</v>
      </c>
      <c r="B672" t="s">
        <v>341</v>
      </c>
      <c r="C672" t="s">
        <v>4022</v>
      </c>
      <c r="D672" t="s">
        <v>16652</v>
      </c>
      <c r="E672" t="s">
        <v>16884</v>
      </c>
      <c r="F672" t="s">
        <v>28669</v>
      </c>
      <c r="G672" t="s">
        <v>28676</v>
      </c>
      <c r="H672" t="s">
        <v>9998</v>
      </c>
      <c r="I672" t="s">
        <v>5213</v>
      </c>
      <c r="J672" t="s">
        <v>29331</v>
      </c>
      <c r="K672" t="s">
        <v>37204</v>
      </c>
      <c r="M672" t="s">
        <v>37848</v>
      </c>
      <c r="N672" t="s">
        <v>41249</v>
      </c>
      <c r="O672" t="s">
        <v>41250</v>
      </c>
      <c r="P672">
        <v>0</v>
      </c>
      <c r="Q672">
        <v>0</v>
      </c>
      <c r="R672" t="s">
        <v>41251</v>
      </c>
      <c r="S672" t="s">
        <v>41369</v>
      </c>
      <c r="T672" t="s">
        <v>42703</v>
      </c>
      <c r="U672" t="s">
        <v>43795</v>
      </c>
      <c r="W672" t="s">
        <v>37848</v>
      </c>
      <c r="X672" t="s">
        <v>41252</v>
      </c>
    </row>
    <row r="673" spans="1:24">
      <c r="A673">
        <f>HYPERLINK("https://www.philgeps.gov.ph/GEPSNONPILOT/Tender/SplashBidNoticeAbstractUI.aspx?menuIndex=3&amp;refID=7076812&amp;Result=3","7076812")</f>
        <v>0</v>
      </c>
      <c r="B673" t="s">
        <v>367</v>
      </c>
      <c r="C673" t="s">
        <v>4023</v>
      </c>
      <c r="D673" t="s">
        <v>16626</v>
      </c>
      <c r="E673" t="s">
        <v>17356</v>
      </c>
      <c r="F673" t="s">
        <v>28669</v>
      </c>
      <c r="G673" t="s">
        <v>28675</v>
      </c>
      <c r="H673" t="s">
        <v>28684</v>
      </c>
      <c r="I673" t="s">
        <v>28687</v>
      </c>
      <c r="J673" t="s">
        <v>29332</v>
      </c>
      <c r="K673" t="s">
        <v>37206</v>
      </c>
      <c r="M673" t="s">
        <v>37849</v>
      </c>
      <c r="N673" t="s">
        <v>41249</v>
      </c>
      <c r="O673" t="s">
        <v>41250</v>
      </c>
      <c r="P673">
        <v>0</v>
      </c>
      <c r="Q673">
        <v>2</v>
      </c>
      <c r="R673" t="s">
        <v>41251</v>
      </c>
      <c r="S673" t="s">
        <v>41369</v>
      </c>
      <c r="T673" t="s">
        <v>42684</v>
      </c>
      <c r="U673" t="s">
        <v>43796</v>
      </c>
      <c r="W673" t="s">
        <v>37849</v>
      </c>
      <c r="X673" t="s">
        <v>41252</v>
      </c>
    </row>
    <row r="674" spans="1:24">
      <c r="A674">
        <f>HYPERLINK("https://www.philgeps.gov.ph/GEPSNONPILOT/Tender/SplashBidNoticeAbstractUI.aspx?menuIndex=3&amp;refID=7076803&amp;Result=3","7076803")</f>
        <v>0</v>
      </c>
      <c r="B674" t="s">
        <v>179</v>
      </c>
      <c r="C674" t="s">
        <v>4024</v>
      </c>
      <c r="D674" t="s">
        <v>16647</v>
      </c>
      <c r="E674" t="s">
        <v>17357</v>
      </c>
      <c r="F674" t="s">
        <v>28669</v>
      </c>
      <c r="G674" t="s">
        <v>28675</v>
      </c>
      <c r="H674" t="s">
        <v>9998</v>
      </c>
      <c r="I674" t="s">
        <v>28739</v>
      </c>
      <c r="J674" t="s">
        <v>29141</v>
      </c>
      <c r="K674" t="s">
        <v>37205</v>
      </c>
      <c r="M674" t="s">
        <v>37656</v>
      </c>
      <c r="N674" t="s">
        <v>41249</v>
      </c>
      <c r="O674" t="s">
        <v>41250</v>
      </c>
      <c r="P674">
        <v>0</v>
      </c>
      <c r="Q674">
        <v>2</v>
      </c>
      <c r="R674" t="s">
        <v>41251</v>
      </c>
      <c r="S674" t="s">
        <v>41369</v>
      </c>
      <c r="T674" t="s">
        <v>42688</v>
      </c>
      <c r="U674" t="s">
        <v>43797</v>
      </c>
      <c r="W674" t="s">
        <v>37656</v>
      </c>
      <c r="X674" t="s">
        <v>41252</v>
      </c>
    </row>
    <row r="675" spans="1:24">
      <c r="A675">
        <f>HYPERLINK("https://www.philgeps.gov.ph/GEPSNONPILOT/Tender/SplashBidNoticeAbstractUI.aspx?menuIndex=3&amp;refID=7076799&amp;Result=3","7076799")</f>
        <v>0</v>
      </c>
      <c r="B675" t="s">
        <v>322</v>
      </c>
      <c r="C675" t="s">
        <v>4025</v>
      </c>
      <c r="D675" t="s">
        <v>16655</v>
      </c>
      <c r="E675" t="s">
        <v>17358</v>
      </c>
      <c r="F675" t="s">
        <v>28669</v>
      </c>
      <c r="G675" t="s">
        <v>28675</v>
      </c>
      <c r="H675" t="s">
        <v>28686</v>
      </c>
      <c r="I675" t="s">
        <v>28689</v>
      </c>
      <c r="J675" t="s">
        <v>28905</v>
      </c>
      <c r="K675" t="s">
        <v>37206</v>
      </c>
      <c r="M675" t="s">
        <v>37802</v>
      </c>
      <c r="N675" t="s">
        <v>41249</v>
      </c>
      <c r="O675" t="s">
        <v>41250</v>
      </c>
      <c r="P675">
        <v>0</v>
      </c>
      <c r="Q675">
        <v>0</v>
      </c>
      <c r="R675" t="s">
        <v>41251</v>
      </c>
      <c r="S675" t="s">
        <v>41369</v>
      </c>
      <c r="T675" t="s">
        <v>42669</v>
      </c>
      <c r="U675" t="s">
        <v>43710</v>
      </c>
      <c r="W675" t="s">
        <v>37802</v>
      </c>
      <c r="X675" t="s">
        <v>41252</v>
      </c>
    </row>
    <row r="676" spans="1:24">
      <c r="A676">
        <f>HYPERLINK("https://www.philgeps.gov.ph/GEPSNONPILOT/Tender/SplashBidNoticeAbstractUI.aspx?menuIndex=3&amp;refID=7076811&amp;Result=3","7076811")</f>
        <v>0</v>
      </c>
      <c r="B676" t="s">
        <v>368</v>
      </c>
      <c r="C676" t="s">
        <v>4026</v>
      </c>
      <c r="D676" t="s">
        <v>16640</v>
      </c>
      <c r="E676" t="s">
        <v>17359</v>
      </c>
      <c r="F676" t="s">
        <v>28669</v>
      </c>
      <c r="G676" t="s">
        <v>28675</v>
      </c>
      <c r="H676" t="s">
        <v>28686</v>
      </c>
      <c r="I676" t="s">
        <v>28689</v>
      </c>
      <c r="J676" t="s">
        <v>29333</v>
      </c>
      <c r="K676" t="s">
        <v>37220</v>
      </c>
      <c r="M676" t="s">
        <v>37850</v>
      </c>
      <c r="N676" t="s">
        <v>41249</v>
      </c>
      <c r="O676" t="s">
        <v>41250</v>
      </c>
      <c r="P676">
        <v>0</v>
      </c>
      <c r="Q676">
        <v>0</v>
      </c>
      <c r="R676" t="s">
        <v>41251</v>
      </c>
      <c r="S676" t="s">
        <v>41369</v>
      </c>
      <c r="T676" t="s">
        <v>42670</v>
      </c>
      <c r="U676" t="s">
        <v>43798</v>
      </c>
      <c r="W676" t="s">
        <v>37850</v>
      </c>
      <c r="X676" t="s">
        <v>41252</v>
      </c>
    </row>
    <row r="677" spans="1:24">
      <c r="A677">
        <f>HYPERLINK("https://www.philgeps.gov.ph/GEPSNONPILOT/Tender/SplashBidNoticeAbstractUI.aspx?menuIndex=3&amp;refID=7076797&amp;Result=3","7076797")</f>
        <v>0</v>
      </c>
      <c r="B677" t="s">
        <v>369</v>
      </c>
      <c r="C677" t="s">
        <v>4027</v>
      </c>
      <c r="D677" t="s">
        <v>16619</v>
      </c>
      <c r="E677" t="s">
        <v>17360</v>
      </c>
      <c r="F677" t="s">
        <v>28669</v>
      </c>
      <c r="G677" t="s">
        <v>28675</v>
      </c>
      <c r="H677" t="s">
        <v>9998</v>
      </c>
      <c r="I677" t="s">
        <v>11593</v>
      </c>
      <c r="J677" t="s">
        <v>29334</v>
      </c>
      <c r="K677" t="s">
        <v>37206</v>
      </c>
      <c r="M677" t="s">
        <v>37851</v>
      </c>
      <c r="N677" t="s">
        <v>41249</v>
      </c>
      <c r="O677" t="s">
        <v>41250</v>
      </c>
      <c r="P677">
        <v>0</v>
      </c>
      <c r="Q677">
        <v>7</v>
      </c>
      <c r="R677" t="s">
        <v>41251</v>
      </c>
      <c r="S677" t="s">
        <v>41369</v>
      </c>
      <c r="T677" t="s">
        <v>42688</v>
      </c>
      <c r="U677" t="s">
        <v>43799</v>
      </c>
      <c r="W677" t="s">
        <v>37851</v>
      </c>
      <c r="X677" t="s">
        <v>41252</v>
      </c>
    </row>
    <row r="678" spans="1:24">
      <c r="A678">
        <f>HYPERLINK("https://www.philgeps.gov.ph/GEPSNONPILOT/Tender/SplashBidNoticeAbstractUI.aspx?menuIndex=3&amp;refID=7076808&amp;Result=3","7076808")</f>
        <v>0</v>
      </c>
      <c r="B678" t="s">
        <v>370</v>
      </c>
      <c r="C678" t="s">
        <v>4028</v>
      </c>
      <c r="D678" t="s">
        <v>16630</v>
      </c>
      <c r="E678" t="s">
        <v>17361</v>
      </c>
      <c r="F678" t="s">
        <v>28669</v>
      </c>
      <c r="G678" t="s">
        <v>28676</v>
      </c>
      <c r="H678" t="s">
        <v>9998</v>
      </c>
      <c r="I678" t="s">
        <v>7352</v>
      </c>
      <c r="J678" t="s">
        <v>29335</v>
      </c>
      <c r="K678" t="s">
        <v>37206</v>
      </c>
      <c r="M678" t="s">
        <v>37852</v>
      </c>
      <c r="N678" t="s">
        <v>41249</v>
      </c>
      <c r="O678" t="s">
        <v>41250</v>
      </c>
      <c r="P678">
        <v>0</v>
      </c>
      <c r="Q678">
        <v>0</v>
      </c>
      <c r="R678" t="s">
        <v>41251</v>
      </c>
      <c r="S678" t="s">
        <v>41369</v>
      </c>
      <c r="T678" t="s">
        <v>42717</v>
      </c>
      <c r="U678" t="s">
        <v>43800</v>
      </c>
      <c r="W678" t="s">
        <v>37852</v>
      </c>
      <c r="X678" t="s">
        <v>41252</v>
      </c>
    </row>
    <row r="679" spans="1:24">
      <c r="A679">
        <f>HYPERLINK("https://www.philgeps.gov.ph/GEPSNONPILOT/Tender/SplashBidNoticeAbstractUI.aspx?menuIndex=3&amp;refID=7076780&amp;Result=3","7076780")</f>
        <v>0</v>
      </c>
      <c r="B679" t="s">
        <v>322</v>
      </c>
      <c r="C679" t="s">
        <v>4029</v>
      </c>
      <c r="D679" t="s">
        <v>16655</v>
      </c>
      <c r="E679" t="s">
        <v>17362</v>
      </c>
      <c r="F679" t="s">
        <v>28669</v>
      </c>
      <c r="G679" t="s">
        <v>28675</v>
      </c>
      <c r="H679" t="s">
        <v>28686</v>
      </c>
      <c r="I679" t="s">
        <v>28689</v>
      </c>
      <c r="J679" t="s">
        <v>28905</v>
      </c>
      <c r="K679" t="s">
        <v>37206</v>
      </c>
      <c r="M679" t="s">
        <v>37802</v>
      </c>
      <c r="N679" t="s">
        <v>41249</v>
      </c>
      <c r="O679" t="s">
        <v>41250</v>
      </c>
      <c r="P679">
        <v>0</v>
      </c>
      <c r="Q679">
        <v>0</v>
      </c>
      <c r="R679" t="s">
        <v>41251</v>
      </c>
      <c r="S679" t="s">
        <v>41369</v>
      </c>
      <c r="T679" t="s">
        <v>42669</v>
      </c>
      <c r="U679" t="s">
        <v>43710</v>
      </c>
      <c r="W679" t="s">
        <v>37802</v>
      </c>
      <c r="X679" t="s">
        <v>41252</v>
      </c>
    </row>
    <row r="680" spans="1:24">
      <c r="A680">
        <f>HYPERLINK("https://www.philgeps.gov.ph/GEPSNONPILOT/Tender/SplashBidNoticeAbstractUI.aspx?menuIndex=3&amp;refID=7076841&amp;Result=3","7076841")</f>
        <v>0</v>
      </c>
      <c r="B680" t="s">
        <v>371</v>
      </c>
      <c r="C680" t="s">
        <v>4030</v>
      </c>
      <c r="D680" t="s">
        <v>16622</v>
      </c>
      <c r="E680" t="s">
        <v>17074</v>
      </c>
      <c r="F680" t="s">
        <v>28669</v>
      </c>
      <c r="G680" t="s">
        <v>28675</v>
      </c>
      <c r="H680" t="s">
        <v>28686</v>
      </c>
      <c r="I680" t="s">
        <v>28689</v>
      </c>
      <c r="J680" t="s">
        <v>29336</v>
      </c>
      <c r="K680" t="s">
        <v>37220</v>
      </c>
      <c r="M680" t="s">
        <v>37853</v>
      </c>
      <c r="N680" t="s">
        <v>41249</v>
      </c>
      <c r="O680" t="s">
        <v>41250</v>
      </c>
      <c r="P680">
        <v>0</v>
      </c>
      <c r="Q680">
        <v>0</v>
      </c>
      <c r="R680" t="s">
        <v>41251</v>
      </c>
      <c r="S680" t="s">
        <v>41369</v>
      </c>
      <c r="T680" t="s">
        <v>42782</v>
      </c>
      <c r="U680" t="s">
        <v>43801</v>
      </c>
      <c r="W680" t="s">
        <v>37853</v>
      </c>
      <c r="X680" t="s">
        <v>41252</v>
      </c>
    </row>
    <row r="681" spans="1:24">
      <c r="A681">
        <f>HYPERLINK("https://www.philgeps.gov.ph/GEPSNONPILOT/Tender/SplashBidNoticeAbstractUI.aspx?menuIndex=3&amp;refID=7076840&amp;Result=3","7076840")</f>
        <v>0</v>
      </c>
      <c r="B681" t="s">
        <v>363</v>
      </c>
      <c r="C681" t="s">
        <v>4031</v>
      </c>
      <c r="D681" t="s">
        <v>16675</v>
      </c>
      <c r="E681" t="s">
        <v>17363</v>
      </c>
      <c r="F681" t="s">
        <v>28669</v>
      </c>
      <c r="G681" t="s">
        <v>28676</v>
      </c>
      <c r="H681" t="s">
        <v>9998</v>
      </c>
      <c r="I681" t="s">
        <v>7352</v>
      </c>
      <c r="J681" t="s">
        <v>29337</v>
      </c>
      <c r="K681" t="s">
        <v>37209</v>
      </c>
      <c r="M681" t="s">
        <v>37844</v>
      </c>
      <c r="N681" t="s">
        <v>41249</v>
      </c>
      <c r="O681" t="s">
        <v>41250</v>
      </c>
      <c r="P681">
        <v>0</v>
      </c>
      <c r="Q681">
        <v>0</v>
      </c>
      <c r="R681" t="s">
        <v>41251</v>
      </c>
      <c r="S681" t="s">
        <v>41369</v>
      </c>
      <c r="T681" t="s">
        <v>42757</v>
      </c>
      <c r="U681" t="s">
        <v>43802</v>
      </c>
      <c r="W681" t="s">
        <v>37844</v>
      </c>
      <c r="X681" t="s">
        <v>41252</v>
      </c>
    </row>
    <row r="682" spans="1:24">
      <c r="A682">
        <f>HYPERLINK("https://www.philgeps.gov.ph/GEPSNONPILOT/Tender/SplashBidNoticeAbstractUI.aspx?menuIndex=3&amp;refID=7076837&amp;Result=3","7076837")</f>
        <v>0</v>
      </c>
      <c r="B682" t="s">
        <v>372</v>
      </c>
      <c r="C682" t="s">
        <v>4032</v>
      </c>
      <c r="D682" t="s">
        <v>16663</v>
      </c>
      <c r="E682" t="s">
        <v>17364</v>
      </c>
      <c r="F682" t="s">
        <v>28669</v>
      </c>
      <c r="G682" t="s">
        <v>28675</v>
      </c>
      <c r="H682" t="s">
        <v>28686</v>
      </c>
      <c r="I682" t="s">
        <v>28689</v>
      </c>
      <c r="J682" t="s">
        <v>29338</v>
      </c>
      <c r="K682" t="s">
        <v>37254</v>
      </c>
      <c r="M682" t="s">
        <v>37854</v>
      </c>
      <c r="N682" t="s">
        <v>41249</v>
      </c>
      <c r="O682" t="s">
        <v>41250</v>
      </c>
      <c r="P682">
        <v>0</v>
      </c>
      <c r="Q682">
        <v>0</v>
      </c>
      <c r="R682" t="s">
        <v>41251</v>
      </c>
      <c r="S682" t="s">
        <v>41369</v>
      </c>
      <c r="T682" t="s">
        <v>42688</v>
      </c>
      <c r="U682" t="s">
        <v>43803</v>
      </c>
      <c r="W682" t="s">
        <v>37854</v>
      </c>
      <c r="X682" t="s">
        <v>41252</v>
      </c>
    </row>
    <row r="683" spans="1:24">
      <c r="A683">
        <f>HYPERLINK("https://www.philgeps.gov.ph/GEPSNONPILOT/Tender/SplashBidNoticeAbstractUI.aspx?menuIndex=3&amp;refID=7076836&amp;Result=3","7076836")</f>
        <v>0</v>
      </c>
      <c r="B683" t="s">
        <v>373</v>
      </c>
      <c r="C683" t="s">
        <v>4033</v>
      </c>
      <c r="D683" t="s">
        <v>16618</v>
      </c>
      <c r="E683" t="s">
        <v>17365</v>
      </c>
      <c r="F683" t="s">
        <v>28669</v>
      </c>
      <c r="G683" t="s">
        <v>28676</v>
      </c>
      <c r="H683" t="s">
        <v>9998</v>
      </c>
      <c r="I683" t="s">
        <v>28750</v>
      </c>
      <c r="J683" t="s">
        <v>29339</v>
      </c>
      <c r="K683" t="s">
        <v>37209</v>
      </c>
      <c r="M683" t="s">
        <v>37855</v>
      </c>
      <c r="N683" t="s">
        <v>41249</v>
      </c>
      <c r="O683" t="s">
        <v>41250</v>
      </c>
      <c r="P683">
        <v>0</v>
      </c>
      <c r="Q683">
        <v>1</v>
      </c>
      <c r="R683" t="s">
        <v>41251</v>
      </c>
      <c r="S683" t="s">
        <v>41369</v>
      </c>
      <c r="T683" t="s">
        <v>42706</v>
      </c>
      <c r="U683" t="s">
        <v>43804</v>
      </c>
      <c r="W683" t="s">
        <v>37855</v>
      </c>
      <c r="X683" t="s">
        <v>41252</v>
      </c>
    </row>
    <row r="684" spans="1:24">
      <c r="A684">
        <f>HYPERLINK("https://www.philgeps.gov.ph/GEPSNONPILOT/Tender/SplashBidNoticeAbstractUI.aspx?menuIndex=3&amp;refID=7076834&amp;Result=3","7076834")</f>
        <v>0</v>
      </c>
      <c r="B684" t="s">
        <v>298</v>
      </c>
      <c r="C684" t="s">
        <v>4034</v>
      </c>
      <c r="D684" t="s">
        <v>16673</v>
      </c>
      <c r="E684" t="s">
        <v>17366</v>
      </c>
      <c r="F684" t="s">
        <v>28669</v>
      </c>
      <c r="G684" t="s">
        <v>28676</v>
      </c>
      <c r="H684" t="s">
        <v>9998</v>
      </c>
      <c r="I684" t="s">
        <v>28694</v>
      </c>
      <c r="J684" t="s">
        <v>29340</v>
      </c>
      <c r="K684" t="s">
        <v>37205</v>
      </c>
      <c r="M684" t="s">
        <v>37777</v>
      </c>
      <c r="N684" t="s">
        <v>41249</v>
      </c>
      <c r="O684" t="s">
        <v>41250</v>
      </c>
      <c r="P684">
        <v>0</v>
      </c>
      <c r="Q684">
        <v>3</v>
      </c>
      <c r="R684" t="s">
        <v>41251</v>
      </c>
      <c r="S684" t="s">
        <v>41369</v>
      </c>
      <c r="T684" t="s">
        <v>42778</v>
      </c>
      <c r="U684" t="s">
        <v>43805</v>
      </c>
      <c r="W684" t="s">
        <v>37777</v>
      </c>
      <c r="X684" t="s">
        <v>41252</v>
      </c>
    </row>
    <row r="685" spans="1:24">
      <c r="A685">
        <f>HYPERLINK("https://www.philgeps.gov.ph/GEPSNONPILOT/Tender/SplashBidNoticeAbstractUI.aspx?menuIndex=3&amp;refID=7076842&amp;Result=3","7076842")</f>
        <v>0</v>
      </c>
      <c r="B685" t="s">
        <v>374</v>
      </c>
      <c r="C685" t="s">
        <v>4035</v>
      </c>
      <c r="D685" t="s">
        <v>16684</v>
      </c>
      <c r="E685" t="s">
        <v>17149</v>
      </c>
      <c r="F685" t="s">
        <v>28669</v>
      </c>
      <c r="G685" t="s">
        <v>28675</v>
      </c>
      <c r="H685" t="s">
        <v>9998</v>
      </c>
      <c r="I685" t="s">
        <v>7352</v>
      </c>
      <c r="J685" t="s">
        <v>29341</v>
      </c>
      <c r="K685" t="s">
        <v>37210</v>
      </c>
      <c r="M685" t="s">
        <v>37856</v>
      </c>
      <c r="N685" t="s">
        <v>41249</v>
      </c>
      <c r="O685" t="s">
        <v>41250</v>
      </c>
      <c r="P685">
        <v>0</v>
      </c>
      <c r="Q685">
        <v>1</v>
      </c>
      <c r="R685" t="s">
        <v>41251</v>
      </c>
      <c r="S685" t="s">
        <v>41369</v>
      </c>
      <c r="T685" t="s">
        <v>42690</v>
      </c>
      <c r="U685" t="s">
        <v>43806</v>
      </c>
      <c r="W685" t="s">
        <v>37856</v>
      </c>
      <c r="X685" t="s">
        <v>41252</v>
      </c>
    </row>
    <row r="686" spans="1:24">
      <c r="A686">
        <f>HYPERLINK("https://www.philgeps.gov.ph/GEPSNONPILOT/Tender/SplashBidNoticeAbstractUI.aspx?menuIndex=3&amp;refID=7076832&amp;Result=3","7076832")</f>
        <v>0</v>
      </c>
      <c r="B686" t="s">
        <v>375</v>
      </c>
      <c r="C686" t="s">
        <v>4036</v>
      </c>
      <c r="D686" t="s">
        <v>16620</v>
      </c>
      <c r="E686" t="s">
        <v>17367</v>
      </c>
      <c r="F686" t="s">
        <v>28669</v>
      </c>
      <c r="G686" t="s">
        <v>28676</v>
      </c>
      <c r="H686" t="s">
        <v>9998</v>
      </c>
      <c r="I686" t="s">
        <v>28698</v>
      </c>
      <c r="J686" t="s">
        <v>29342</v>
      </c>
      <c r="K686" t="s">
        <v>37207</v>
      </c>
      <c r="M686" t="s">
        <v>37857</v>
      </c>
      <c r="N686" t="s">
        <v>41249</v>
      </c>
      <c r="O686" t="s">
        <v>41250</v>
      </c>
      <c r="P686">
        <v>0</v>
      </c>
      <c r="Q686">
        <v>0</v>
      </c>
      <c r="R686" t="s">
        <v>41251</v>
      </c>
      <c r="S686" t="s">
        <v>41369</v>
      </c>
      <c r="T686" t="s">
        <v>42753</v>
      </c>
      <c r="U686" t="s">
        <v>43807</v>
      </c>
      <c r="W686" t="s">
        <v>37857</v>
      </c>
      <c r="X686" t="s">
        <v>41252</v>
      </c>
    </row>
    <row r="687" spans="1:24">
      <c r="A687">
        <f>HYPERLINK("https://www.philgeps.gov.ph/GEPSNONPILOT/Tender/SplashBidNoticeAbstractUI.aspx?menuIndex=3&amp;refID=7076830&amp;Result=3","7076830")</f>
        <v>0</v>
      </c>
      <c r="B687" t="s">
        <v>376</v>
      </c>
      <c r="C687" t="s">
        <v>4037</v>
      </c>
      <c r="D687" t="s">
        <v>16608</v>
      </c>
      <c r="E687" t="s">
        <v>17368</v>
      </c>
      <c r="F687" t="s">
        <v>28669</v>
      </c>
      <c r="G687" t="s">
        <v>28676</v>
      </c>
      <c r="H687" t="s">
        <v>9998</v>
      </c>
      <c r="I687" t="s">
        <v>28751</v>
      </c>
      <c r="J687" t="s">
        <v>29343</v>
      </c>
      <c r="K687" t="s">
        <v>37206</v>
      </c>
      <c r="M687" t="s">
        <v>37858</v>
      </c>
      <c r="N687" t="s">
        <v>41249</v>
      </c>
      <c r="O687" t="s">
        <v>41250</v>
      </c>
      <c r="P687">
        <v>0</v>
      </c>
      <c r="Q687">
        <v>1</v>
      </c>
      <c r="R687" t="s">
        <v>41251</v>
      </c>
      <c r="S687" t="s">
        <v>41369</v>
      </c>
      <c r="T687" t="s">
        <v>42754</v>
      </c>
      <c r="U687" t="s">
        <v>43808</v>
      </c>
      <c r="W687" t="s">
        <v>37858</v>
      </c>
      <c r="X687" t="s">
        <v>41252</v>
      </c>
    </row>
    <row r="688" spans="1:24">
      <c r="A688">
        <f>HYPERLINK("https://www.philgeps.gov.ph/GEPSNONPILOT/Tender/SplashBidNoticeAbstractUI.aspx?menuIndex=3&amp;refID=7076829&amp;Result=3","7076829")</f>
        <v>0</v>
      </c>
      <c r="B688" t="s">
        <v>377</v>
      </c>
      <c r="C688" t="s">
        <v>4038</v>
      </c>
      <c r="D688" t="s">
        <v>16622</v>
      </c>
      <c r="E688" t="s">
        <v>17369</v>
      </c>
      <c r="F688" t="s">
        <v>28669</v>
      </c>
      <c r="G688" t="s">
        <v>28678</v>
      </c>
      <c r="H688" t="s">
        <v>9998</v>
      </c>
      <c r="I688" t="s">
        <v>28726</v>
      </c>
      <c r="J688" t="s">
        <v>29344</v>
      </c>
      <c r="K688" t="s">
        <v>37209</v>
      </c>
      <c r="M688" t="s">
        <v>37859</v>
      </c>
      <c r="N688" t="s">
        <v>41249</v>
      </c>
      <c r="O688" t="s">
        <v>41250</v>
      </c>
      <c r="P688">
        <v>0</v>
      </c>
      <c r="Q688">
        <v>0</v>
      </c>
      <c r="R688" t="s">
        <v>41251</v>
      </c>
      <c r="S688" t="s">
        <v>41369</v>
      </c>
      <c r="T688" t="s">
        <v>42711</v>
      </c>
      <c r="U688" t="s">
        <v>43809</v>
      </c>
      <c r="W688" t="s">
        <v>37859</v>
      </c>
      <c r="X688" t="s">
        <v>41252</v>
      </c>
    </row>
    <row r="689" spans="1:24">
      <c r="A689">
        <f>HYPERLINK("https://www.philgeps.gov.ph/GEPSNONPILOT/Tender/SplashBidNoticeAbstractUI.aspx?menuIndex=3&amp;refID=7076792&amp;Result=3","7076792")</f>
        <v>0</v>
      </c>
      <c r="B689" t="s">
        <v>259</v>
      </c>
      <c r="C689" t="s">
        <v>4039</v>
      </c>
      <c r="D689" t="s">
        <v>16615</v>
      </c>
      <c r="E689" t="s">
        <v>17370</v>
      </c>
      <c r="F689" t="s">
        <v>28669</v>
      </c>
      <c r="G689" t="s">
        <v>28676</v>
      </c>
      <c r="H689" t="s">
        <v>9998</v>
      </c>
      <c r="I689" t="s">
        <v>6128</v>
      </c>
      <c r="J689" t="s">
        <v>29345</v>
      </c>
      <c r="K689" t="s">
        <v>37205</v>
      </c>
      <c r="M689" t="s">
        <v>37737</v>
      </c>
      <c r="N689" t="s">
        <v>41249</v>
      </c>
      <c r="O689" t="s">
        <v>41250</v>
      </c>
      <c r="P689">
        <v>0</v>
      </c>
      <c r="Q689">
        <v>0</v>
      </c>
      <c r="R689" t="s">
        <v>41251</v>
      </c>
      <c r="S689" t="s">
        <v>41369</v>
      </c>
      <c r="T689" t="s">
        <v>42682</v>
      </c>
      <c r="U689" t="s">
        <v>43810</v>
      </c>
      <c r="W689" t="s">
        <v>37737</v>
      </c>
      <c r="X689" t="s">
        <v>41252</v>
      </c>
    </row>
    <row r="690" spans="1:24">
      <c r="A690">
        <f>HYPERLINK("https://www.philgeps.gov.ph/GEPSNONPILOT/Tender/SplashBidNoticeAbstractUI.aspx?menuIndex=3&amp;refID=7076828&amp;Result=3","7076828")</f>
        <v>0</v>
      </c>
      <c r="B690" t="s">
        <v>372</v>
      </c>
      <c r="C690" t="s">
        <v>4040</v>
      </c>
      <c r="D690" t="s">
        <v>16663</v>
      </c>
      <c r="E690" t="s">
        <v>17371</v>
      </c>
      <c r="F690" t="s">
        <v>28669</v>
      </c>
      <c r="G690" t="s">
        <v>28675</v>
      </c>
      <c r="H690" t="s">
        <v>28686</v>
      </c>
      <c r="I690" t="s">
        <v>28689</v>
      </c>
      <c r="J690" t="s">
        <v>29346</v>
      </c>
      <c r="K690" t="s">
        <v>37255</v>
      </c>
      <c r="M690" t="s">
        <v>37854</v>
      </c>
      <c r="N690" t="s">
        <v>41249</v>
      </c>
      <c r="O690" t="s">
        <v>41250</v>
      </c>
      <c r="P690">
        <v>0</v>
      </c>
      <c r="Q690">
        <v>0</v>
      </c>
      <c r="R690" t="s">
        <v>41251</v>
      </c>
      <c r="S690" t="s">
        <v>41369</v>
      </c>
      <c r="T690" t="s">
        <v>42688</v>
      </c>
      <c r="U690" t="s">
        <v>43803</v>
      </c>
      <c r="W690" t="s">
        <v>37854</v>
      </c>
      <c r="X690" t="s">
        <v>41252</v>
      </c>
    </row>
    <row r="691" spans="1:24">
      <c r="A691">
        <f>HYPERLINK("https://www.philgeps.gov.ph/GEPSNONPILOT/Tender/SplashBidNoticeAbstractUI.aspx?menuIndex=3&amp;refID=7076835&amp;Result=3","7076835")</f>
        <v>0</v>
      </c>
      <c r="B691" t="s">
        <v>356</v>
      </c>
      <c r="C691" t="s">
        <v>4041</v>
      </c>
      <c r="D691" t="s">
        <v>16639</v>
      </c>
      <c r="E691" t="s">
        <v>17372</v>
      </c>
      <c r="F691" t="s">
        <v>28669</v>
      </c>
      <c r="G691" t="s">
        <v>28676</v>
      </c>
      <c r="H691" t="s">
        <v>9998</v>
      </c>
      <c r="I691" t="s">
        <v>28708</v>
      </c>
      <c r="J691" t="s">
        <v>28912</v>
      </c>
      <c r="K691" t="s">
        <v>37210</v>
      </c>
      <c r="M691" t="s">
        <v>37837</v>
      </c>
      <c r="N691" t="s">
        <v>41249</v>
      </c>
      <c r="O691" t="s">
        <v>41250</v>
      </c>
      <c r="P691">
        <v>0</v>
      </c>
      <c r="Q691">
        <v>4</v>
      </c>
      <c r="R691" t="s">
        <v>41251</v>
      </c>
      <c r="S691" t="s">
        <v>41369</v>
      </c>
      <c r="T691" t="s">
        <v>42717</v>
      </c>
      <c r="U691" t="s">
        <v>43777</v>
      </c>
      <c r="V691" t="s">
        <v>54334</v>
      </c>
      <c r="W691" t="s">
        <v>37837</v>
      </c>
      <c r="X691" t="s">
        <v>41252</v>
      </c>
    </row>
    <row r="692" spans="1:24">
      <c r="A692">
        <f>HYPERLINK("https://www.philgeps.gov.ph/GEPSNONPILOT/Tender/SplashBidNoticeAbstractUI.aspx?menuIndex=3&amp;refID=7076821&amp;Result=3","7076821")</f>
        <v>0</v>
      </c>
      <c r="B692" t="s">
        <v>378</v>
      </c>
      <c r="C692" t="s">
        <v>4042</v>
      </c>
      <c r="D692" t="s">
        <v>16648</v>
      </c>
      <c r="E692" t="s">
        <v>17373</v>
      </c>
      <c r="F692" t="s">
        <v>28669</v>
      </c>
      <c r="G692" t="s">
        <v>28675</v>
      </c>
      <c r="H692" t="s">
        <v>9998</v>
      </c>
      <c r="I692" t="s">
        <v>6128</v>
      </c>
      <c r="J692" t="s">
        <v>29347</v>
      </c>
      <c r="K692" t="s">
        <v>37206</v>
      </c>
      <c r="M692" t="s">
        <v>37860</v>
      </c>
      <c r="N692" t="s">
        <v>41249</v>
      </c>
      <c r="O692" t="s">
        <v>41250</v>
      </c>
      <c r="P692">
        <v>0</v>
      </c>
      <c r="Q692">
        <v>1</v>
      </c>
      <c r="R692" t="s">
        <v>41251</v>
      </c>
      <c r="S692" t="s">
        <v>41369</v>
      </c>
      <c r="T692" t="s">
        <v>42789</v>
      </c>
      <c r="U692" t="s">
        <v>43811</v>
      </c>
      <c r="V692" t="s">
        <v>54335</v>
      </c>
      <c r="W692" t="s">
        <v>37860</v>
      </c>
      <c r="X692" t="s">
        <v>41252</v>
      </c>
    </row>
    <row r="693" spans="1:24">
      <c r="A693">
        <f>HYPERLINK("https://www.philgeps.gov.ph/GEPSNONPILOT/Tender/SplashBidNoticeAbstractUI.aspx?menuIndex=3&amp;refID=7076873&amp;Result=3","7076873")</f>
        <v>0</v>
      </c>
      <c r="B693" t="s">
        <v>379</v>
      </c>
      <c r="C693" t="s">
        <v>4043</v>
      </c>
      <c r="D693" t="s">
        <v>16627</v>
      </c>
      <c r="E693" t="s">
        <v>17374</v>
      </c>
      <c r="F693" t="s">
        <v>28669</v>
      </c>
      <c r="G693" t="s">
        <v>28677</v>
      </c>
      <c r="H693" t="s">
        <v>9998</v>
      </c>
      <c r="I693" t="s">
        <v>28711</v>
      </c>
      <c r="J693" t="s">
        <v>29348</v>
      </c>
      <c r="K693" t="s">
        <v>37204</v>
      </c>
      <c r="M693" t="s">
        <v>37861</v>
      </c>
      <c r="N693" t="s">
        <v>41249</v>
      </c>
      <c r="O693" t="s">
        <v>41250</v>
      </c>
      <c r="P693">
        <v>0</v>
      </c>
      <c r="Q693">
        <v>1</v>
      </c>
      <c r="R693" t="s">
        <v>41251</v>
      </c>
      <c r="S693" t="s">
        <v>41369</v>
      </c>
      <c r="T693" t="s">
        <v>42762</v>
      </c>
      <c r="U693" t="s">
        <v>43812</v>
      </c>
      <c r="W693" t="s">
        <v>37861</v>
      </c>
      <c r="X693" t="s">
        <v>41252</v>
      </c>
    </row>
    <row r="694" spans="1:24">
      <c r="A694">
        <f>HYPERLINK("https://www.philgeps.gov.ph/GEPSNONPILOT/Tender/SplashBidNoticeAbstractUI.aspx?menuIndex=3&amp;refID=7076783&amp;Result=3","7076783")</f>
        <v>0</v>
      </c>
      <c r="B694" t="s">
        <v>304</v>
      </c>
      <c r="C694" t="s">
        <v>4044</v>
      </c>
      <c r="D694" t="s">
        <v>16628</v>
      </c>
      <c r="E694" t="s">
        <v>17375</v>
      </c>
      <c r="F694" t="s">
        <v>28669</v>
      </c>
      <c r="G694" t="s">
        <v>28676</v>
      </c>
      <c r="H694" t="s">
        <v>9998</v>
      </c>
      <c r="I694" t="s">
        <v>28692</v>
      </c>
      <c r="J694" t="s">
        <v>29349</v>
      </c>
      <c r="K694" t="s">
        <v>37204</v>
      </c>
      <c r="M694" t="s">
        <v>37783</v>
      </c>
      <c r="N694" t="s">
        <v>41249</v>
      </c>
      <c r="O694" t="s">
        <v>41250</v>
      </c>
      <c r="P694">
        <v>0</v>
      </c>
      <c r="Q694">
        <v>1</v>
      </c>
      <c r="R694" t="s">
        <v>41251</v>
      </c>
      <c r="S694" t="s">
        <v>41369</v>
      </c>
      <c r="T694" t="s">
        <v>42726</v>
      </c>
      <c r="U694" t="s">
        <v>43681</v>
      </c>
      <c r="W694" t="s">
        <v>37783</v>
      </c>
      <c r="X694" t="s">
        <v>41252</v>
      </c>
    </row>
    <row r="695" spans="1:24">
      <c r="A695">
        <f>HYPERLINK("https://www.philgeps.gov.ph/GEPSNONPILOT/Tender/SplashBidNoticeAbstractUI.aspx?menuIndex=3&amp;refID=7076870&amp;Result=3","7076870")</f>
        <v>0</v>
      </c>
      <c r="B695" t="s">
        <v>380</v>
      </c>
      <c r="C695" t="s">
        <v>4045</v>
      </c>
      <c r="D695" t="s">
        <v>16640</v>
      </c>
      <c r="E695" t="s">
        <v>17376</v>
      </c>
      <c r="F695" t="s">
        <v>28669</v>
      </c>
      <c r="G695" t="s">
        <v>28677</v>
      </c>
      <c r="H695" t="s">
        <v>9998</v>
      </c>
      <c r="I695" t="s">
        <v>28688</v>
      </c>
      <c r="J695" t="s">
        <v>29350</v>
      </c>
      <c r="K695" t="s">
        <v>37256</v>
      </c>
      <c r="M695" t="s">
        <v>37862</v>
      </c>
      <c r="N695" t="s">
        <v>41249</v>
      </c>
      <c r="O695" t="s">
        <v>41250</v>
      </c>
      <c r="P695">
        <v>0</v>
      </c>
      <c r="Q695">
        <v>2</v>
      </c>
      <c r="R695" t="s">
        <v>41251</v>
      </c>
      <c r="S695" t="s">
        <v>41369</v>
      </c>
      <c r="T695" t="s">
        <v>42711</v>
      </c>
      <c r="U695" t="s">
        <v>43813</v>
      </c>
      <c r="W695" t="s">
        <v>37862</v>
      </c>
      <c r="X695" t="s">
        <v>41252</v>
      </c>
    </row>
    <row r="696" spans="1:24">
      <c r="A696">
        <f>HYPERLINK("https://www.philgeps.gov.ph/GEPSNONPILOT/Tender/SplashBidNoticeAbstractUI.aspx?menuIndex=3&amp;refID=7076825&amp;Result=3","7076825")</f>
        <v>0</v>
      </c>
      <c r="B696" t="s">
        <v>381</v>
      </c>
      <c r="C696" t="s">
        <v>4046</v>
      </c>
      <c r="D696" t="s">
        <v>16625</v>
      </c>
      <c r="E696" t="s">
        <v>17377</v>
      </c>
      <c r="F696" t="s">
        <v>28669</v>
      </c>
      <c r="G696" t="s">
        <v>28676</v>
      </c>
      <c r="H696" t="s">
        <v>9998</v>
      </c>
      <c r="I696" t="s">
        <v>28695</v>
      </c>
      <c r="J696" t="s">
        <v>29351</v>
      </c>
      <c r="K696" t="s">
        <v>37204</v>
      </c>
      <c r="M696" t="s">
        <v>37863</v>
      </c>
      <c r="N696" t="s">
        <v>41249</v>
      </c>
      <c r="O696" t="s">
        <v>41250</v>
      </c>
      <c r="P696">
        <v>0</v>
      </c>
      <c r="Q696">
        <v>0</v>
      </c>
      <c r="R696" t="s">
        <v>41251</v>
      </c>
      <c r="S696" t="s">
        <v>41369</v>
      </c>
      <c r="T696" t="s">
        <v>42711</v>
      </c>
      <c r="U696" t="s">
        <v>43814</v>
      </c>
      <c r="W696" t="s">
        <v>55913</v>
      </c>
      <c r="X696" t="s">
        <v>41252</v>
      </c>
    </row>
    <row r="697" spans="1:24">
      <c r="A697">
        <f>HYPERLINK("https://www.philgeps.gov.ph/GEPSNONPILOT/Tender/SplashBidNoticeAbstractUI.aspx?menuIndex=3&amp;refID=7076868&amp;Result=3","7076868")</f>
        <v>0</v>
      </c>
      <c r="B697" t="s">
        <v>382</v>
      </c>
      <c r="C697" t="s">
        <v>4047</v>
      </c>
      <c r="D697" t="s">
        <v>16664</v>
      </c>
      <c r="E697" t="s">
        <v>17378</v>
      </c>
      <c r="F697" t="s">
        <v>28669</v>
      </c>
      <c r="G697" t="s">
        <v>28676</v>
      </c>
      <c r="H697" t="s">
        <v>9998</v>
      </c>
      <c r="I697" t="s">
        <v>3679</v>
      </c>
      <c r="J697" t="s">
        <v>29352</v>
      </c>
      <c r="K697" t="s">
        <v>37209</v>
      </c>
      <c r="M697" t="s">
        <v>37864</v>
      </c>
      <c r="N697" t="s">
        <v>41249</v>
      </c>
      <c r="O697" t="s">
        <v>41250</v>
      </c>
      <c r="P697">
        <v>0</v>
      </c>
      <c r="Q697">
        <v>0</v>
      </c>
      <c r="R697" t="s">
        <v>41251</v>
      </c>
      <c r="S697" t="s">
        <v>41369</v>
      </c>
      <c r="T697" t="s">
        <v>42673</v>
      </c>
      <c r="U697" t="s">
        <v>43815</v>
      </c>
      <c r="W697" t="s">
        <v>37864</v>
      </c>
      <c r="X697" t="s">
        <v>41252</v>
      </c>
    </row>
    <row r="698" spans="1:24">
      <c r="A698">
        <f>HYPERLINK("https://www.philgeps.gov.ph/GEPSNONPILOT/Tender/SplashBidNoticeAbstractUI.aspx?menuIndex=3&amp;refID=7076866&amp;Result=3","7076866")</f>
        <v>0</v>
      </c>
      <c r="B698" t="s">
        <v>369</v>
      </c>
      <c r="C698" t="s">
        <v>4048</v>
      </c>
      <c r="D698" t="s">
        <v>16619</v>
      </c>
      <c r="E698" t="s">
        <v>17379</v>
      </c>
      <c r="F698" t="s">
        <v>28669</v>
      </c>
      <c r="G698" t="s">
        <v>28676</v>
      </c>
      <c r="H698" t="s">
        <v>9998</v>
      </c>
      <c r="I698" t="s">
        <v>7352</v>
      </c>
      <c r="J698" t="s">
        <v>29353</v>
      </c>
      <c r="K698" t="s">
        <v>37204</v>
      </c>
      <c r="M698" t="s">
        <v>37865</v>
      </c>
      <c r="N698" t="s">
        <v>41249</v>
      </c>
      <c r="O698" t="s">
        <v>41250</v>
      </c>
      <c r="P698">
        <v>0</v>
      </c>
      <c r="Q698">
        <v>0</v>
      </c>
      <c r="R698" t="s">
        <v>41251</v>
      </c>
      <c r="S698" t="s">
        <v>41369</v>
      </c>
      <c r="T698" t="s">
        <v>42679</v>
      </c>
      <c r="U698" t="s">
        <v>43816</v>
      </c>
      <c r="W698" t="s">
        <v>37865</v>
      </c>
      <c r="X698" t="s">
        <v>41252</v>
      </c>
    </row>
    <row r="699" spans="1:24">
      <c r="A699">
        <f>HYPERLINK("https://www.philgeps.gov.ph/GEPSNONPILOT/Tender/SplashBidNoticeAbstractUI.aspx?menuIndex=3&amp;refID=7076865&amp;Result=3","7076865")</f>
        <v>0</v>
      </c>
      <c r="B699" t="s">
        <v>363</v>
      </c>
      <c r="C699" t="s">
        <v>4049</v>
      </c>
      <c r="D699" t="s">
        <v>16675</v>
      </c>
      <c r="E699" t="s">
        <v>17380</v>
      </c>
      <c r="F699" t="s">
        <v>28669</v>
      </c>
      <c r="G699" t="s">
        <v>28678</v>
      </c>
      <c r="H699" t="s">
        <v>9998</v>
      </c>
      <c r="I699" t="s">
        <v>6128</v>
      </c>
      <c r="J699" t="s">
        <v>29354</v>
      </c>
      <c r="K699" t="s">
        <v>37209</v>
      </c>
      <c r="M699" t="s">
        <v>37844</v>
      </c>
      <c r="N699" t="s">
        <v>41249</v>
      </c>
      <c r="O699" t="s">
        <v>41250</v>
      </c>
      <c r="P699">
        <v>0</v>
      </c>
      <c r="Q699">
        <v>8</v>
      </c>
      <c r="R699" t="s">
        <v>41251</v>
      </c>
      <c r="S699" t="s">
        <v>41369</v>
      </c>
      <c r="T699" t="s">
        <v>42757</v>
      </c>
      <c r="U699" t="s">
        <v>43817</v>
      </c>
      <c r="W699" t="s">
        <v>37844</v>
      </c>
      <c r="X699" t="s">
        <v>41252</v>
      </c>
    </row>
    <row r="700" spans="1:24">
      <c r="A700">
        <f>HYPERLINK("https://www.philgeps.gov.ph/GEPSNONPILOT/Tender/SplashBidNoticeAbstractUI.aspx?menuIndex=3&amp;refID=7076871&amp;Result=3","7076871")</f>
        <v>0</v>
      </c>
      <c r="B700" t="s">
        <v>206</v>
      </c>
      <c r="C700" t="s">
        <v>4050</v>
      </c>
      <c r="D700" t="s">
        <v>16617</v>
      </c>
      <c r="E700" t="s">
        <v>17381</v>
      </c>
      <c r="F700" t="s">
        <v>28669</v>
      </c>
      <c r="G700" t="s">
        <v>28677</v>
      </c>
      <c r="H700" t="s">
        <v>9998</v>
      </c>
      <c r="I700" t="s">
        <v>28709</v>
      </c>
      <c r="J700" t="s">
        <v>29355</v>
      </c>
      <c r="K700" t="s">
        <v>37208</v>
      </c>
      <c r="M700" t="s">
        <v>37866</v>
      </c>
      <c r="N700" t="s">
        <v>41249</v>
      </c>
      <c r="O700" t="s">
        <v>41250</v>
      </c>
      <c r="P700">
        <v>0</v>
      </c>
      <c r="Q700">
        <v>1</v>
      </c>
      <c r="R700" t="s">
        <v>41251</v>
      </c>
      <c r="S700" t="s">
        <v>41369</v>
      </c>
      <c r="T700" t="s">
        <v>42665</v>
      </c>
      <c r="U700" t="s">
        <v>43818</v>
      </c>
      <c r="W700" t="s">
        <v>37866</v>
      </c>
      <c r="X700" t="s">
        <v>41252</v>
      </c>
    </row>
    <row r="701" spans="1:24">
      <c r="A701">
        <f>HYPERLINK("https://www.philgeps.gov.ph/GEPSNONPILOT/Tender/SplashBidNoticeAbstractUI.aspx?menuIndex=3&amp;refID=7076862&amp;Result=3","7076862")</f>
        <v>0</v>
      </c>
      <c r="B701" t="s">
        <v>383</v>
      </c>
      <c r="C701" t="s">
        <v>4051</v>
      </c>
      <c r="D701" t="s">
        <v>16660</v>
      </c>
      <c r="E701" t="s">
        <v>17382</v>
      </c>
      <c r="F701" t="s">
        <v>28669</v>
      </c>
      <c r="G701" t="s">
        <v>28676</v>
      </c>
      <c r="H701" t="s">
        <v>28686</v>
      </c>
      <c r="I701" t="s">
        <v>28689</v>
      </c>
      <c r="J701" t="s">
        <v>29356</v>
      </c>
      <c r="K701" t="s">
        <v>37227</v>
      </c>
      <c r="M701" t="s">
        <v>37867</v>
      </c>
      <c r="N701" t="s">
        <v>41249</v>
      </c>
      <c r="O701" t="s">
        <v>41250</v>
      </c>
      <c r="P701">
        <v>0</v>
      </c>
      <c r="Q701">
        <v>0</v>
      </c>
      <c r="R701" t="s">
        <v>41251</v>
      </c>
      <c r="S701" t="s">
        <v>41369</v>
      </c>
      <c r="T701" t="s">
        <v>42690</v>
      </c>
      <c r="U701" t="s">
        <v>43819</v>
      </c>
      <c r="W701" t="s">
        <v>37867</v>
      </c>
      <c r="X701" t="s">
        <v>41252</v>
      </c>
    </row>
    <row r="702" spans="1:24">
      <c r="A702">
        <f>HYPERLINK("https://www.philgeps.gov.ph/GEPSNONPILOT/Tender/SplashBidNoticeAbstractUI.aspx?menuIndex=3&amp;refID=7076859&amp;Result=3","7076859")</f>
        <v>0</v>
      </c>
      <c r="B702" t="s">
        <v>384</v>
      </c>
      <c r="C702" t="s">
        <v>4052</v>
      </c>
      <c r="D702" t="s">
        <v>16652</v>
      </c>
      <c r="E702" t="s">
        <v>17383</v>
      </c>
      <c r="F702" t="s">
        <v>28669</v>
      </c>
      <c r="G702" t="s">
        <v>28676</v>
      </c>
      <c r="H702" t="s">
        <v>9998</v>
      </c>
      <c r="I702" t="s">
        <v>28698</v>
      </c>
      <c r="J702" t="s">
        <v>29357</v>
      </c>
      <c r="K702" t="s">
        <v>37238</v>
      </c>
      <c r="M702" t="s">
        <v>37868</v>
      </c>
      <c r="N702" t="s">
        <v>41249</v>
      </c>
      <c r="O702" t="s">
        <v>41250</v>
      </c>
      <c r="P702">
        <v>0</v>
      </c>
      <c r="Q702">
        <v>1</v>
      </c>
      <c r="R702" t="s">
        <v>41251</v>
      </c>
      <c r="S702" t="s">
        <v>41369</v>
      </c>
      <c r="T702" t="s">
        <v>42694</v>
      </c>
      <c r="U702" t="s">
        <v>43820</v>
      </c>
      <c r="W702" t="s">
        <v>37868</v>
      </c>
      <c r="X702" t="s">
        <v>41252</v>
      </c>
    </row>
    <row r="703" spans="1:24">
      <c r="A703">
        <f>HYPERLINK("https://www.philgeps.gov.ph/GEPSNONPILOT/Tender/SplashBidNoticeAbstractUI.aspx?menuIndex=3&amp;refID=7076820&amp;Result=3","7076820")</f>
        <v>0</v>
      </c>
      <c r="B703" t="s">
        <v>372</v>
      </c>
      <c r="C703" t="s">
        <v>4053</v>
      </c>
      <c r="D703" t="s">
        <v>16663</v>
      </c>
      <c r="E703" t="s">
        <v>17384</v>
      </c>
      <c r="F703" t="s">
        <v>28669</v>
      </c>
      <c r="G703" t="s">
        <v>28675</v>
      </c>
      <c r="H703" t="s">
        <v>28686</v>
      </c>
      <c r="I703" t="s">
        <v>28689</v>
      </c>
      <c r="J703" t="s">
        <v>29358</v>
      </c>
      <c r="K703" t="s">
        <v>37257</v>
      </c>
      <c r="M703" t="s">
        <v>37854</v>
      </c>
      <c r="N703" t="s">
        <v>41249</v>
      </c>
      <c r="O703" t="s">
        <v>41250</v>
      </c>
      <c r="P703">
        <v>0</v>
      </c>
      <c r="Q703">
        <v>0</v>
      </c>
      <c r="R703" t="s">
        <v>41251</v>
      </c>
      <c r="S703" t="s">
        <v>41369</v>
      </c>
      <c r="T703" t="s">
        <v>42688</v>
      </c>
      <c r="U703" t="s">
        <v>43821</v>
      </c>
      <c r="W703" t="s">
        <v>37854</v>
      </c>
      <c r="X703" t="s">
        <v>41252</v>
      </c>
    </row>
    <row r="704" spans="1:24">
      <c r="A704">
        <f>HYPERLINK("https://www.philgeps.gov.ph/GEPSNONPILOT/Tender/SplashBidNoticeAbstractUI.aspx?menuIndex=3&amp;refID=7076857&amp;Result=3","7076857")</f>
        <v>0</v>
      </c>
      <c r="B704" t="s">
        <v>385</v>
      </c>
      <c r="C704" t="s">
        <v>4054</v>
      </c>
      <c r="E704" t="s">
        <v>6876</v>
      </c>
      <c r="F704" t="s">
        <v>28669</v>
      </c>
      <c r="G704" t="s">
        <v>28675</v>
      </c>
      <c r="H704" t="s">
        <v>28686</v>
      </c>
      <c r="I704" t="s">
        <v>28752</v>
      </c>
      <c r="J704" t="s">
        <v>29359</v>
      </c>
      <c r="K704" t="s">
        <v>37209</v>
      </c>
      <c r="M704" t="s">
        <v>37869</v>
      </c>
      <c r="N704" t="s">
        <v>41249</v>
      </c>
      <c r="O704" t="s">
        <v>41250</v>
      </c>
      <c r="P704">
        <v>0</v>
      </c>
      <c r="Q704">
        <v>0</v>
      </c>
      <c r="R704" t="s">
        <v>41251</v>
      </c>
      <c r="S704" t="s">
        <v>41369</v>
      </c>
      <c r="T704" t="s">
        <v>42690</v>
      </c>
      <c r="U704" t="s">
        <v>43822</v>
      </c>
      <c r="W704" t="s">
        <v>37869</v>
      </c>
      <c r="X704" t="s">
        <v>41252</v>
      </c>
    </row>
    <row r="705" spans="1:24">
      <c r="A705">
        <f>HYPERLINK("https://www.philgeps.gov.ph/GEPSNONPILOT/Tender/SplashBidNoticeAbstractUI.aspx?menuIndex=3&amp;refID=7076854&amp;Result=3","7076854")</f>
        <v>0</v>
      </c>
      <c r="B705" t="s">
        <v>298</v>
      </c>
      <c r="C705" t="s">
        <v>4034</v>
      </c>
      <c r="D705" t="s">
        <v>16673</v>
      </c>
      <c r="E705" t="s">
        <v>17385</v>
      </c>
      <c r="F705" t="s">
        <v>28669</v>
      </c>
      <c r="G705" t="s">
        <v>28676</v>
      </c>
      <c r="H705" t="s">
        <v>9998</v>
      </c>
      <c r="I705" t="s">
        <v>28694</v>
      </c>
      <c r="J705" t="s">
        <v>29360</v>
      </c>
      <c r="K705" t="s">
        <v>37205</v>
      </c>
      <c r="M705" t="s">
        <v>37777</v>
      </c>
      <c r="N705" t="s">
        <v>41249</v>
      </c>
      <c r="O705" t="s">
        <v>41250</v>
      </c>
      <c r="P705">
        <v>0</v>
      </c>
      <c r="Q705">
        <v>1</v>
      </c>
      <c r="R705" t="s">
        <v>41251</v>
      </c>
      <c r="S705" t="s">
        <v>41369</v>
      </c>
      <c r="T705" t="s">
        <v>42778</v>
      </c>
      <c r="U705" t="s">
        <v>43823</v>
      </c>
      <c r="W705" t="s">
        <v>37777</v>
      </c>
      <c r="X705" t="s">
        <v>41252</v>
      </c>
    </row>
    <row r="706" spans="1:24">
      <c r="A706">
        <f>HYPERLINK("https://www.philgeps.gov.ph/GEPSNONPILOT/Tender/SplashBidNoticeAbstractUI.aspx?menuIndex=3&amp;refID=7076864&amp;Result=3","7076864")</f>
        <v>0</v>
      </c>
      <c r="B706" t="s">
        <v>381</v>
      </c>
      <c r="C706" t="s">
        <v>4055</v>
      </c>
      <c r="D706" t="s">
        <v>16625</v>
      </c>
      <c r="E706" t="s">
        <v>17386</v>
      </c>
      <c r="F706" t="s">
        <v>28669</v>
      </c>
      <c r="G706" t="s">
        <v>28676</v>
      </c>
      <c r="H706" t="s">
        <v>9998</v>
      </c>
      <c r="I706" t="s">
        <v>7352</v>
      </c>
      <c r="J706" t="s">
        <v>28838</v>
      </c>
      <c r="K706" t="s">
        <v>37204</v>
      </c>
      <c r="M706" t="s">
        <v>37863</v>
      </c>
      <c r="N706" t="s">
        <v>41249</v>
      </c>
      <c r="O706" t="s">
        <v>41250</v>
      </c>
      <c r="P706">
        <v>0</v>
      </c>
      <c r="Q706">
        <v>0</v>
      </c>
      <c r="R706" t="s">
        <v>41251</v>
      </c>
      <c r="S706" t="s">
        <v>41369</v>
      </c>
      <c r="T706" t="s">
        <v>42711</v>
      </c>
      <c r="U706" t="s">
        <v>43814</v>
      </c>
      <c r="W706" t="s">
        <v>55913</v>
      </c>
      <c r="X706" t="s">
        <v>41252</v>
      </c>
    </row>
    <row r="707" spans="1:24">
      <c r="A707">
        <f>HYPERLINK("https://www.philgeps.gov.ph/GEPSNONPILOT/Tender/SplashBidNoticeAbstractUI.aspx?menuIndex=3&amp;refID=7076853&amp;Result=3","7076853")</f>
        <v>0</v>
      </c>
      <c r="B707" t="s">
        <v>368</v>
      </c>
      <c r="C707" t="s">
        <v>4056</v>
      </c>
      <c r="D707" t="s">
        <v>16640</v>
      </c>
      <c r="E707" t="s">
        <v>17387</v>
      </c>
      <c r="F707" t="s">
        <v>28669</v>
      </c>
      <c r="G707" t="s">
        <v>28675</v>
      </c>
      <c r="H707" t="s">
        <v>9998</v>
      </c>
      <c r="I707" t="s">
        <v>15140</v>
      </c>
      <c r="J707" t="s">
        <v>29361</v>
      </c>
      <c r="K707" t="s">
        <v>37205</v>
      </c>
      <c r="M707" t="s">
        <v>37850</v>
      </c>
      <c r="N707" t="s">
        <v>41249</v>
      </c>
      <c r="O707" t="s">
        <v>41250</v>
      </c>
      <c r="P707">
        <v>0</v>
      </c>
      <c r="Q707">
        <v>0</v>
      </c>
      <c r="R707" t="s">
        <v>41251</v>
      </c>
      <c r="S707" t="s">
        <v>41369</v>
      </c>
      <c r="T707" t="s">
        <v>42670</v>
      </c>
      <c r="U707" t="s">
        <v>43824</v>
      </c>
      <c r="W707" t="s">
        <v>37850</v>
      </c>
      <c r="X707" t="s">
        <v>41252</v>
      </c>
    </row>
    <row r="708" spans="1:24">
      <c r="A708">
        <f>HYPERLINK("https://www.philgeps.gov.ph/GEPSNONPILOT/Tender/SplashBidNoticeAbstractUI.aspx?menuIndex=3&amp;refID=7076852&amp;Result=3","7076852")</f>
        <v>0</v>
      </c>
      <c r="B708" t="s">
        <v>386</v>
      </c>
      <c r="C708" t="s">
        <v>4057</v>
      </c>
      <c r="D708" t="s">
        <v>16615</v>
      </c>
      <c r="E708" t="s">
        <v>17388</v>
      </c>
      <c r="F708" t="s">
        <v>28669</v>
      </c>
      <c r="G708" t="s">
        <v>28676</v>
      </c>
      <c r="H708" t="s">
        <v>9998</v>
      </c>
      <c r="I708" t="s">
        <v>28694</v>
      </c>
      <c r="J708" t="s">
        <v>29362</v>
      </c>
      <c r="K708" t="s">
        <v>37209</v>
      </c>
      <c r="M708" t="s">
        <v>37870</v>
      </c>
      <c r="N708" t="s">
        <v>41249</v>
      </c>
      <c r="O708" t="s">
        <v>41250</v>
      </c>
      <c r="P708">
        <v>0</v>
      </c>
      <c r="Q708">
        <v>0</v>
      </c>
      <c r="R708" t="s">
        <v>41251</v>
      </c>
      <c r="S708" t="s">
        <v>41369</v>
      </c>
      <c r="T708" t="s">
        <v>42675</v>
      </c>
      <c r="U708" t="s">
        <v>43825</v>
      </c>
      <c r="W708" t="s">
        <v>37870</v>
      </c>
      <c r="X708" t="s">
        <v>41252</v>
      </c>
    </row>
    <row r="709" spans="1:24">
      <c r="A709">
        <f>HYPERLINK("https://www.philgeps.gov.ph/GEPSNONPILOT/Tender/SplashBidNoticeAbstractUI.aspx?menuIndex=3&amp;refID=7076851&amp;Result=3","7076851")</f>
        <v>0</v>
      </c>
      <c r="B709" t="s">
        <v>206</v>
      </c>
      <c r="C709" t="s">
        <v>4058</v>
      </c>
      <c r="D709" t="s">
        <v>16617</v>
      </c>
      <c r="E709" t="s">
        <v>17389</v>
      </c>
      <c r="F709" t="s">
        <v>28669</v>
      </c>
      <c r="G709" t="s">
        <v>28677</v>
      </c>
      <c r="H709" t="s">
        <v>9998</v>
      </c>
      <c r="I709" t="s">
        <v>5213</v>
      </c>
      <c r="J709" t="s">
        <v>29304</v>
      </c>
      <c r="K709" t="s">
        <v>37208</v>
      </c>
      <c r="M709" t="s">
        <v>37866</v>
      </c>
      <c r="N709" t="s">
        <v>41249</v>
      </c>
      <c r="O709" t="s">
        <v>41250</v>
      </c>
      <c r="P709">
        <v>0</v>
      </c>
      <c r="Q709">
        <v>4</v>
      </c>
      <c r="R709" t="s">
        <v>41251</v>
      </c>
      <c r="S709" t="s">
        <v>41369</v>
      </c>
      <c r="T709" t="s">
        <v>42665</v>
      </c>
      <c r="U709" t="s">
        <v>43826</v>
      </c>
      <c r="W709" t="s">
        <v>37866</v>
      </c>
      <c r="X709" t="s">
        <v>41252</v>
      </c>
    </row>
    <row r="710" spans="1:24">
      <c r="A710">
        <f>HYPERLINK("https://www.philgeps.gov.ph/GEPSNONPILOT/Tender/SplashBidNoticeAbstractUI.aspx?menuIndex=3&amp;refID=7076845&amp;Result=3","7076845")</f>
        <v>0</v>
      </c>
      <c r="B710" t="s">
        <v>114</v>
      </c>
      <c r="C710" t="s">
        <v>4059</v>
      </c>
      <c r="D710" t="s">
        <v>16608</v>
      </c>
      <c r="E710" t="s">
        <v>17390</v>
      </c>
      <c r="F710" t="s">
        <v>28669</v>
      </c>
      <c r="G710" t="s">
        <v>28677</v>
      </c>
      <c r="H710" t="s">
        <v>9998</v>
      </c>
      <c r="I710" t="s">
        <v>5286</v>
      </c>
      <c r="J710" t="s">
        <v>29363</v>
      </c>
      <c r="K710" t="s">
        <v>37210</v>
      </c>
      <c r="M710" t="s">
        <v>37793</v>
      </c>
      <c r="N710" t="s">
        <v>41249</v>
      </c>
      <c r="O710" t="s">
        <v>41250</v>
      </c>
      <c r="P710">
        <v>0</v>
      </c>
      <c r="Q710">
        <v>2</v>
      </c>
      <c r="R710" t="s">
        <v>41251</v>
      </c>
      <c r="S710" t="s">
        <v>41369</v>
      </c>
      <c r="T710" t="s">
        <v>42741</v>
      </c>
      <c r="U710" t="s">
        <v>43827</v>
      </c>
      <c r="V710" t="s">
        <v>54326</v>
      </c>
      <c r="W710" t="s">
        <v>37793</v>
      </c>
      <c r="X710" t="s">
        <v>41252</v>
      </c>
    </row>
    <row r="711" spans="1:24">
      <c r="A711">
        <f>HYPERLINK("https://www.philgeps.gov.ph/GEPSNONPILOT/Tender/SplashBidNoticeAbstractUI.aspx?menuIndex=3&amp;refID=7076844&amp;Result=3","7076844")</f>
        <v>0</v>
      </c>
      <c r="B711" t="s">
        <v>387</v>
      </c>
      <c r="C711" t="s">
        <v>4060</v>
      </c>
      <c r="D711" t="s">
        <v>16657</v>
      </c>
      <c r="E711" t="s">
        <v>17391</v>
      </c>
      <c r="F711" t="s">
        <v>28669</v>
      </c>
      <c r="G711" t="s">
        <v>28675</v>
      </c>
      <c r="H711" t="s">
        <v>9998</v>
      </c>
      <c r="I711" t="s">
        <v>28699</v>
      </c>
      <c r="J711" t="s">
        <v>29364</v>
      </c>
      <c r="K711" t="s">
        <v>37205</v>
      </c>
      <c r="M711" t="s">
        <v>37871</v>
      </c>
      <c r="N711" t="s">
        <v>41249</v>
      </c>
      <c r="O711" t="s">
        <v>41250</v>
      </c>
      <c r="P711">
        <v>0</v>
      </c>
      <c r="Q711">
        <v>0</v>
      </c>
      <c r="R711" t="s">
        <v>41251</v>
      </c>
      <c r="S711" t="s">
        <v>41369</v>
      </c>
      <c r="T711" t="s">
        <v>42787</v>
      </c>
      <c r="U711" t="s">
        <v>43828</v>
      </c>
      <c r="W711" t="s">
        <v>37871</v>
      </c>
      <c r="X711" t="s">
        <v>41252</v>
      </c>
    </row>
    <row r="712" spans="1:24">
      <c r="A712">
        <f>HYPERLINK("https://www.philgeps.gov.ph/GEPSNONPILOT/Tender/SplashBidNoticeAbstractUI.aspx?menuIndex=3&amp;refID=7076855&amp;Result=3","7076855")</f>
        <v>0</v>
      </c>
      <c r="B712" t="s">
        <v>382</v>
      </c>
      <c r="C712" t="s">
        <v>4061</v>
      </c>
      <c r="D712" t="s">
        <v>16664</v>
      </c>
      <c r="E712" t="s">
        <v>17392</v>
      </c>
      <c r="F712" t="s">
        <v>28669</v>
      </c>
      <c r="G712" t="s">
        <v>28676</v>
      </c>
      <c r="H712" t="s">
        <v>9998</v>
      </c>
      <c r="I712" t="s">
        <v>28706</v>
      </c>
      <c r="J712" t="s">
        <v>28894</v>
      </c>
      <c r="K712" t="s">
        <v>37209</v>
      </c>
      <c r="M712" t="s">
        <v>37864</v>
      </c>
      <c r="N712" t="s">
        <v>41249</v>
      </c>
      <c r="O712" t="s">
        <v>41250</v>
      </c>
      <c r="P712">
        <v>0</v>
      </c>
      <c r="Q712">
        <v>0</v>
      </c>
      <c r="R712" t="s">
        <v>41251</v>
      </c>
      <c r="S712" t="s">
        <v>41369</v>
      </c>
      <c r="T712" t="s">
        <v>42673</v>
      </c>
      <c r="U712" t="s">
        <v>43829</v>
      </c>
      <c r="W712" t="s">
        <v>37864</v>
      </c>
      <c r="X712" t="s">
        <v>41252</v>
      </c>
    </row>
    <row r="713" spans="1:24">
      <c r="A713">
        <f>HYPERLINK("https://www.philgeps.gov.ph/GEPSNONPILOT/Tender/SplashBidNoticeAbstractUI.aspx?menuIndex=3&amp;refID=7076838&amp;Result=3","7076838")</f>
        <v>0</v>
      </c>
      <c r="B713" t="s">
        <v>382</v>
      </c>
      <c r="C713" t="s">
        <v>4062</v>
      </c>
      <c r="D713" t="s">
        <v>16664</v>
      </c>
      <c r="E713" t="s">
        <v>17393</v>
      </c>
      <c r="F713" t="s">
        <v>28669</v>
      </c>
      <c r="G713" t="s">
        <v>28676</v>
      </c>
      <c r="H713" t="s">
        <v>9998</v>
      </c>
      <c r="I713" t="s">
        <v>5213</v>
      </c>
      <c r="J713" t="s">
        <v>29365</v>
      </c>
      <c r="K713" t="s">
        <v>37209</v>
      </c>
      <c r="M713" t="s">
        <v>37864</v>
      </c>
      <c r="N713" t="s">
        <v>41249</v>
      </c>
      <c r="O713" t="s">
        <v>41250</v>
      </c>
      <c r="P713">
        <v>0</v>
      </c>
      <c r="Q713">
        <v>0</v>
      </c>
      <c r="R713" t="s">
        <v>41251</v>
      </c>
      <c r="S713" t="s">
        <v>41369</v>
      </c>
      <c r="T713" t="s">
        <v>42673</v>
      </c>
      <c r="U713" t="s">
        <v>43830</v>
      </c>
      <c r="W713" t="s">
        <v>37864</v>
      </c>
      <c r="X713" t="s">
        <v>41252</v>
      </c>
    </row>
    <row r="714" spans="1:24">
      <c r="A714">
        <f>HYPERLINK("https://www.philgeps.gov.ph/GEPSNONPILOT/Tender/SplashBidNoticeAbstractUI.aspx?menuIndex=3&amp;refID=7076819&amp;Result=3","7076819")</f>
        <v>0</v>
      </c>
      <c r="B714" t="s">
        <v>388</v>
      </c>
      <c r="C714" t="s">
        <v>4063</v>
      </c>
      <c r="D714" t="s">
        <v>16607</v>
      </c>
      <c r="E714" t="s">
        <v>16968</v>
      </c>
      <c r="F714" t="s">
        <v>28669</v>
      </c>
      <c r="G714" t="s">
        <v>28675</v>
      </c>
      <c r="H714" t="s">
        <v>28686</v>
      </c>
      <c r="I714" t="s">
        <v>28689</v>
      </c>
      <c r="J714" t="s">
        <v>29366</v>
      </c>
      <c r="K714" t="s">
        <v>37206</v>
      </c>
      <c r="M714" t="s">
        <v>37872</v>
      </c>
      <c r="N714" t="s">
        <v>41249</v>
      </c>
      <c r="O714" t="s">
        <v>41250</v>
      </c>
      <c r="P714">
        <v>0</v>
      </c>
      <c r="Q714">
        <v>1</v>
      </c>
      <c r="R714" t="s">
        <v>41251</v>
      </c>
      <c r="S714" t="s">
        <v>41369</v>
      </c>
      <c r="T714" t="s">
        <v>42760</v>
      </c>
      <c r="U714" t="s">
        <v>43831</v>
      </c>
      <c r="W714" t="s">
        <v>37872</v>
      </c>
      <c r="X714" t="s">
        <v>41252</v>
      </c>
    </row>
    <row r="715" spans="1:24">
      <c r="A715">
        <f>HYPERLINK("https://www.philgeps.gov.ph/GEPSNONPILOT/Tender/SplashBidNoticeAbstractUI.aspx?menuIndex=3&amp;refID=7076818&amp;Result=3","7076818")</f>
        <v>0</v>
      </c>
      <c r="B715" t="s">
        <v>298</v>
      </c>
      <c r="C715" t="s">
        <v>3951</v>
      </c>
      <c r="D715" t="s">
        <v>16608</v>
      </c>
      <c r="E715" t="s">
        <v>17394</v>
      </c>
      <c r="F715" t="s">
        <v>28669</v>
      </c>
      <c r="G715" t="s">
        <v>28677</v>
      </c>
      <c r="H715" t="s">
        <v>9998</v>
      </c>
      <c r="I715" t="s">
        <v>6128</v>
      </c>
      <c r="J715" t="s">
        <v>29367</v>
      </c>
      <c r="K715" t="s">
        <v>37205</v>
      </c>
      <c r="M715" t="s">
        <v>37777</v>
      </c>
      <c r="N715" t="s">
        <v>41249</v>
      </c>
      <c r="O715" t="s">
        <v>41250</v>
      </c>
      <c r="P715">
        <v>0</v>
      </c>
      <c r="Q715">
        <v>1</v>
      </c>
      <c r="R715" t="s">
        <v>41251</v>
      </c>
      <c r="S715" t="s">
        <v>41369</v>
      </c>
      <c r="T715" t="s">
        <v>42778</v>
      </c>
      <c r="U715" t="s">
        <v>43832</v>
      </c>
      <c r="W715" t="s">
        <v>37777</v>
      </c>
      <c r="X715" t="s">
        <v>41252</v>
      </c>
    </row>
    <row r="716" spans="1:24">
      <c r="A716">
        <f>HYPERLINK("https://www.philgeps.gov.ph/GEPSNONPILOT/Tender/SplashBidNoticeAbstractUI.aspx?menuIndex=3&amp;refID=7076816&amp;Result=3","7076816")</f>
        <v>0</v>
      </c>
      <c r="B716" t="s">
        <v>389</v>
      </c>
      <c r="C716" t="s">
        <v>4064</v>
      </c>
      <c r="D716" t="s">
        <v>16619</v>
      </c>
      <c r="E716" t="s">
        <v>16877</v>
      </c>
      <c r="F716" t="s">
        <v>28669</v>
      </c>
      <c r="G716" t="s">
        <v>28678</v>
      </c>
      <c r="H716" t="s">
        <v>9998</v>
      </c>
      <c r="I716" t="s">
        <v>28709</v>
      </c>
      <c r="J716" t="s">
        <v>29368</v>
      </c>
      <c r="K716" t="s">
        <v>37234</v>
      </c>
      <c r="M716" t="s">
        <v>37873</v>
      </c>
      <c r="N716" t="s">
        <v>41249</v>
      </c>
      <c r="O716" t="s">
        <v>41250</v>
      </c>
      <c r="P716">
        <v>0</v>
      </c>
      <c r="Q716">
        <v>0</v>
      </c>
      <c r="R716" t="s">
        <v>41251</v>
      </c>
      <c r="S716" t="s">
        <v>41369</v>
      </c>
      <c r="T716" t="s">
        <v>42707</v>
      </c>
      <c r="U716" t="s">
        <v>43833</v>
      </c>
      <c r="W716" t="s">
        <v>37873</v>
      </c>
      <c r="X716" t="s">
        <v>41252</v>
      </c>
    </row>
    <row r="717" spans="1:24">
      <c r="A717">
        <f>HYPERLINK("https://www.philgeps.gov.ph/GEPSNONPILOT/Tender/SplashBidNoticeAbstractUI.aspx?menuIndex=3&amp;refID=7076860&amp;Result=3","7076860")</f>
        <v>0</v>
      </c>
      <c r="B717" t="s">
        <v>189</v>
      </c>
      <c r="C717" t="s">
        <v>4065</v>
      </c>
      <c r="D717" t="s">
        <v>16621</v>
      </c>
      <c r="E717" t="s">
        <v>17395</v>
      </c>
      <c r="F717" t="s">
        <v>28669</v>
      </c>
      <c r="G717" t="s">
        <v>28676</v>
      </c>
      <c r="H717" t="s">
        <v>9998</v>
      </c>
      <c r="I717" t="s">
        <v>7352</v>
      </c>
      <c r="J717" t="s">
        <v>29369</v>
      </c>
      <c r="K717" t="s">
        <v>37209</v>
      </c>
      <c r="M717" t="s">
        <v>37667</v>
      </c>
      <c r="N717" t="s">
        <v>41249</v>
      </c>
      <c r="O717" t="s">
        <v>41250</v>
      </c>
      <c r="P717">
        <v>0</v>
      </c>
      <c r="Q717">
        <v>1</v>
      </c>
      <c r="R717" t="s">
        <v>41251</v>
      </c>
      <c r="S717" t="s">
        <v>41369</v>
      </c>
      <c r="T717" t="s">
        <v>42673</v>
      </c>
      <c r="U717" t="s">
        <v>43834</v>
      </c>
      <c r="W717" t="s">
        <v>37667</v>
      </c>
      <c r="X717" t="s">
        <v>41252</v>
      </c>
    </row>
    <row r="718" spans="1:24">
      <c r="A718">
        <f>HYPERLINK("https://www.philgeps.gov.ph/GEPSNONPILOT/Tender/SplashBidNoticeAbstractUI.aspx?menuIndex=3&amp;refID=7076815&amp;Result=3","7076815")</f>
        <v>0</v>
      </c>
      <c r="B718" t="s">
        <v>322</v>
      </c>
      <c r="C718" t="s">
        <v>4066</v>
      </c>
      <c r="D718" t="s">
        <v>16655</v>
      </c>
      <c r="E718" t="s">
        <v>17396</v>
      </c>
      <c r="F718" t="s">
        <v>28669</v>
      </c>
      <c r="G718" t="s">
        <v>28675</v>
      </c>
      <c r="H718" t="s">
        <v>28686</v>
      </c>
      <c r="I718" t="s">
        <v>28689</v>
      </c>
      <c r="J718" t="s">
        <v>29003</v>
      </c>
      <c r="K718" t="s">
        <v>37258</v>
      </c>
      <c r="M718" t="s">
        <v>37802</v>
      </c>
      <c r="N718" t="s">
        <v>41249</v>
      </c>
      <c r="O718" t="s">
        <v>41250</v>
      </c>
      <c r="P718">
        <v>0</v>
      </c>
      <c r="Q718">
        <v>0</v>
      </c>
      <c r="R718" t="s">
        <v>41251</v>
      </c>
      <c r="S718" t="s">
        <v>41369</v>
      </c>
      <c r="T718" t="s">
        <v>42669</v>
      </c>
      <c r="U718" t="s">
        <v>43710</v>
      </c>
      <c r="W718" t="s">
        <v>37802</v>
      </c>
      <c r="X718" t="s">
        <v>41252</v>
      </c>
    </row>
    <row r="719" spans="1:24">
      <c r="A719">
        <f>HYPERLINK("https://www.philgeps.gov.ph/GEPSNONPILOT/Tender/SplashBidNoticeAbstractUI.aspx?menuIndex=3&amp;refID=7076796&amp;Result=3","7076796")</f>
        <v>0</v>
      </c>
      <c r="B719" t="s">
        <v>322</v>
      </c>
      <c r="C719" t="s">
        <v>4067</v>
      </c>
      <c r="D719" t="s">
        <v>16655</v>
      </c>
      <c r="E719" t="s">
        <v>17397</v>
      </c>
      <c r="F719" t="s">
        <v>28669</v>
      </c>
      <c r="G719" t="s">
        <v>28675</v>
      </c>
      <c r="H719" t="s">
        <v>28686</v>
      </c>
      <c r="I719" t="s">
        <v>28689</v>
      </c>
      <c r="J719" t="s">
        <v>29003</v>
      </c>
      <c r="K719" t="s">
        <v>37207</v>
      </c>
      <c r="M719" t="s">
        <v>37802</v>
      </c>
      <c r="N719" t="s">
        <v>41249</v>
      </c>
      <c r="O719" t="s">
        <v>41250</v>
      </c>
      <c r="P719">
        <v>0</v>
      </c>
      <c r="Q719">
        <v>0</v>
      </c>
      <c r="R719" t="s">
        <v>41251</v>
      </c>
      <c r="S719" t="s">
        <v>41369</v>
      </c>
      <c r="T719" t="s">
        <v>42669</v>
      </c>
      <c r="U719" t="s">
        <v>43710</v>
      </c>
      <c r="W719" t="s">
        <v>37802</v>
      </c>
      <c r="X719" t="s">
        <v>41252</v>
      </c>
    </row>
    <row r="720" spans="1:24">
      <c r="A720">
        <f>HYPERLINK("https://www.philgeps.gov.ph/GEPSNONPILOT/Tender/SplashBidNoticeAbstractUI.aspx?menuIndex=3&amp;refID=7076894&amp;Result=3","7076894")</f>
        <v>0</v>
      </c>
      <c r="B720" t="s">
        <v>390</v>
      </c>
      <c r="C720" t="s">
        <v>4068</v>
      </c>
      <c r="D720" t="s">
        <v>16658</v>
      </c>
      <c r="E720" t="s">
        <v>16877</v>
      </c>
      <c r="F720" t="s">
        <v>28669</v>
      </c>
      <c r="G720" t="s">
        <v>28675</v>
      </c>
      <c r="H720" t="s">
        <v>9998</v>
      </c>
      <c r="I720" t="s">
        <v>7352</v>
      </c>
      <c r="J720" t="s">
        <v>29370</v>
      </c>
      <c r="K720" t="s">
        <v>37205</v>
      </c>
      <c r="M720" t="s">
        <v>37874</v>
      </c>
      <c r="N720" t="s">
        <v>41249</v>
      </c>
      <c r="O720" t="s">
        <v>41250</v>
      </c>
      <c r="P720">
        <v>0</v>
      </c>
      <c r="Q720">
        <v>1</v>
      </c>
      <c r="R720" t="s">
        <v>41251</v>
      </c>
      <c r="S720" t="s">
        <v>41369</v>
      </c>
      <c r="T720" t="s">
        <v>42790</v>
      </c>
      <c r="U720" t="s">
        <v>43835</v>
      </c>
      <c r="W720" t="s">
        <v>37874</v>
      </c>
      <c r="X720" t="s">
        <v>41252</v>
      </c>
    </row>
    <row r="721" spans="1:24">
      <c r="A721">
        <f>HYPERLINK("https://www.philgeps.gov.ph/GEPSNONPILOT/Tender/SplashBidNoticeAbstractUI.aspx?menuIndex=3&amp;refID=7076899&amp;Result=3","7076899")</f>
        <v>0</v>
      </c>
      <c r="B721" t="s">
        <v>391</v>
      </c>
      <c r="C721" t="s">
        <v>4069</v>
      </c>
      <c r="D721" t="s">
        <v>16673</v>
      </c>
      <c r="E721" t="s">
        <v>17398</v>
      </c>
      <c r="F721" t="s">
        <v>28669</v>
      </c>
      <c r="G721" t="s">
        <v>28676</v>
      </c>
      <c r="H721" t="s">
        <v>9998</v>
      </c>
      <c r="I721" t="s">
        <v>28711</v>
      </c>
      <c r="J721" t="s">
        <v>29371</v>
      </c>
      <c r="K721" t="s">
        <v>37206</v>
      </c>
      <c r="M721" t="s">
        <v>37875</v>
      </c>
      <c r="N721" t="s">
        <v>41249</v>
      </c>
      <c r="O721" t="s">
        <v>41250</v>
      </c>
      <c r="P721">
        <v>0</v>
      </c>
      <c r="Q721">
        <v>1</v>
      </c>
      <c r="R721" t="s">
        <v>41251</v>
      </c>
      <c r="S721" t="s">
        <v>41369</v>
      </c>
      <c r="T721" t="s">
        <v>42734</v>
      </c>
      <c r="U721" t="s">
        <v>43836</v>
      </c>
      <c r="W721" t="s">
        <v>37875</v>
      </c>
      <c r="X721" t="s">
        <v>41252</v>
      </c>
    </row>
    <row r="722" spans="1:24">
      <c r="A722">
        <f>HYPERLINK("https://www.philgeps.gov.ph/GEPSNONPILOT/Tender/SplashBidNoticeAbstractUI.aspx?menuIndex=3&amp;refID=7076843&amp;Result=3","7076843")</f>
        <v>0</v>
      </c>
      <c r="B722" t="s">
        <v>139</v>
      </c>
      <c r="C722" t="s">
        <v>4070</v>
      </c>
      <c r="D722" t="s">
        <v>16654</v>
      </c>
      <c r="E722" t="s">
        <v>17399</v>
      </c>
      <c r="F722" t="s">
        <v>28669</v>
      </c>
      <c r="G722" t="s">
        <v>28675</v>
      </c>
      <c r="H722" t="s">
        <v>28686</v>
      </c>
      <c r="I722" t="s">
        <v>28689</v>
      </c>
      <c r="J722" t="s">
        <v>29372</v>
      </c>
      <c r="K722" t="s">
        <v>37209</v>
      </c>
      <c r="M722" t="s">
        <v>37616</v>
      </c>
      <c r="N722" t="s">
        <v>41249</v>
      </c>
      <c r="O722" t="s">
        <v>41250</v>
      </c>
      <c r="P722">
        <v>0</v>
      </c>
      <c r="Q722">
        <v>0</v>
      </c>
      <c r="R722" t="s">
        <v>41251</v>
      </c>
      <c r="S722" t="s">
        <v>41369</v>
      </c>
      <c r="T722" t="s">
        <v>42716</v>
      </c>
      <c r="U722" t="s">
        <v>43837</v>
      </c>
      <c r="W722" t="s">
        <v>37616</v>
      </c>
      <c r="X722" t="s">
        <v>41252</v>
      </c>
    </row>
    <row r="723" spans="1:24">
      <c r="A723">
        <f>HYPERLINK("https://www.philgeps.gov.ph/GEPSNONPILOT/Tender/SplashBidNoticeAbstractUI.aspx?menuIndex=3&amp;refID=7076898&amp;Result=3","7076898")</f>
        <v>0</v>
      </c>
      <c r="B723" t="s">
        <v>392</v>
      </c>
      <c r="C723" t="s">
        <v>4071</v>
      </c>
      <c r="D723" t="s">
        <v>16668</v>
      </c>
      <c r="E723" t="s">
        <v>17400</v>
      </c>
      <c r="F723" t="s">
        <v>28669</v>
      </c>
      <c r="G723" t="s">
        <v>28675</v>
      </c>
      <c r="H723" t="s">
        <v>28686</v>
      </c>
      <c r="I723" t="s">
        <v>28689</v>
      </c>
      <c r="J723" t="s">
        <v>29373</v>
      </c>
      <c r="K723" t="s">
        <v>37212</v>
      </c>
      <c r="M723" t="s">
        <v>37876</v>
      </c>
      <c r="N723" t="s">
        <v>41249</v>
      </c>
      <c r="O723" t="s">
        <v>41250</v>
      </c>
      <c r="P723">
        <v>0</v>
      </c>
      <c r="Q723">
        <v>0</v>
      </c>
      <c r="R723" t="s">
        <v>41251</v>
      </c>
      <c r="S723" t="s">
        <v>41369</v>
      </c>
      <c r="T723" t="s">
        <v>42791</v>
      </c>
      <c r="U723" t="s">
        <v>43838</v>
      </c>
      <c r="V723" t="s">
        <v>54336</v>
      </c>
      <c r="W723" t="s">
        <v>37876</v>
      </c>
      <c r="X723" t="s">
        <v>41252</v>
      </c>
    </row>
    <row r="724" spans="1:24">
      <c r="A724">
        <f>HYPERLINK("https://www.philgeps.gov.ph/GEPSNONPILOT/Tender/SplashBidNoticeAbstractUI.aspx?menuIndex=3&amp;refID=7076895&amp;Result=3","7076895")</f>
        <v>0</v>
      </c>
      <c r="B724" t="s">
        <v>393</v>
      </c>
      <c r="C724" t="s">
        <v>4072</v>
      </c>
      <c r="D724" t="s">
        <v>16615</v>
      </c>
      <c r="E724" t="s">
        <v>17401</v>
      </c>
      <c r="F724" t="s">
        <v>28669</v>
      </c>
      <c r="G724" t="s">
        <v>28677</v>
      </c>
      <c r="H724" t="s">
        <v>9998</v>
      </c>
      <c r="I724" t="s">
        <v>6128</v>
      </c>
      <c r="J724" t="s">
        <v>29374</v>
      </c>
      <c r="K724" t="s">
        <v>37205</v>
      </c>
      <c r="M724" t="s">
        <v>37877</v>
      </c>
      <c r="N724" t="s">
        <v>41249</v>
      </c>
      <c r="O724" t="s">
        <v>41250</v>
      </c>
      <c r="P724">
        <v>0</v>
      </c>
      <c r="Q724">
        <v>2</v>
      </c>
      <c r="R724" t="s">
        <v>41251</v>
      </c>
      <c r="S724" t="s">
        <v>41369</v>
      </c>
      <c r="T724" t="s">
        <v>42711</v>
      </c>
      <c r="U724" t="s">
        <v>43839</v>
      </c>
      <c r="V724" t="s">
        <v>54337</v>
      </c>
      <c r="W724" t="s">
        <v>37877</v>
      </c>
      <c r="X724" t="s">
        <v>41252</v>
      </c>
    </row>
    <row r="725" spans="1:24">
      <c r="A725">
        <f>HYPERLINK("https://www.philgeps.gov.ph/GEPSNONPILOT/Tender/SplashBidNoticeAbstractUI.aspx?menuIndex=3&amp;refID=7076891&amp;Result=3","7076891")</f>
        <v>0</v>
      </c>
      <c r="B725" t="s">
        <v>394</v>
      </c>
      <c r="C725" t="s">
        <v>4073</v>
      </c>
      <c r="D725" t="s">
        <v>16675</v>
      </c>
      <c r="E725" t="s">
        <v>17402</v>
      </c>
      <c r="F725" t="s">
        <v>28669</v>
      </c>
      <c r="G725" t="s">
        <v>28676</v>
      </c>
      <c r="H725" t="s">
        <v>9998</v>
      </c>
      <c r="I725" t="s">
        <v>5286</v>
      </c>
      <c r="J725" t="s">
        <v>29375</v>
      </c>
      <c r="K725" t="s">
        <v>37210</v>
      </c>
      <c r="L725" t="s">
        <v>394</v>
      </c>
      <c r="M725" t="s">
        <v>37878</v>
      </c>
      <c r="N725" t="s">
        <v>41249</v>
      </c>
      <c r="O725" t="s">
        <v>41250</v>
      </c>
      <c r="P725">
        <v>0</v>
      </c>
      <c r="Q725">
        <v>0</v>
      </c>
      <c r="R725" t="s">
        <v>41251</v>
      </c>
      <c r="S725" t="s">
        <v>41369</v>
      </c>
      <c r="T725" t="s">
        <v>42717</v>
      </c>
      <c r="U725" t="s">
        <v>43840</v>
      </c>
      <c r="V725" t="s">
        <v>54338</v>
      </c>
      <c r="W725" t="s">
        <v>37878</v>
      </c>
      <c r="X725" t="s">
        <v>41252</v>
      </c>
    </row>
    <row r="726" spans="1:24">
      <c r="A726">
        <f>HYPERLINK("https://www.philgeps.gov.ph/GEPSNONPILOT/Tender/SplashBidNoticeAbstractUI.aspx?menuIndex=3&amp;refID=7076889&amp;Result=3","7076889")</f>
        <v>0</v>
      </c>
      <c r="B726" t="s">
        <v>395</v>
      </c>
      <c r="C726" t="s">
        <v>4074</v>
      </c>
      <c r="D726" t="s">
        <v>16630</v>
      </c>
      <c r="E726" t="s">
        <v>17403</v>
      </c>
      <c r="F726" t="s">
        <v>28669</v>
      </c>
      <c r="G726" t="s">
        <v>28675</v>
      </c>
      <c r="H726" t="s">
        <v>9998</v>
      </c>
      <c r="I726" t="s">
        <v>7352</v>
      </c>
      <c r="J726" t="s">
        <v>28905</v>
      </c>
      <c r="K726" t="s">
        <v>37205</v>
      </c>
      <c r="M726" t="s">
        <v>37879</v>
      </c>
      <c r="N726" t="s">
        <v>41249</v>
      </c>
      <c r="O726" t="s">
        <v>41250</v>
      </c>
      <c r="P726">
        <v>0</v>
      </c>
      <c r="Q726">
        <v>0</v>
      </c>
      <c r="R726" t="s">
        <v>41251</v>
      </c>
      <c r="S726" t="s">
        <v>41369</v>
      </c>
      <c r="T726" t="s">
        <v>42716</v>
      </c>
      <c r="U726" t="s">
        <v>43841</v>
      </c>
      <c r="V726" t="s">
        <v>54339</v>
      </c>
      <c r="W726" t="s">
        <v>55914</v>
      </c>
      <c r="X726" t="s">
        <v>41252</v>
      </c>
    </row>
    <row r="727" spans="1:24">
      <c r="A727">
        <f>HYPERLINK("https://www.philgeps.gov.ph/GEPSNONPILOT/Tender/SplashBidNoticeAbstractUI.aspx?menuIndex=3&amp;refID=7076817&amp;Result=3","7076817")</f>
        <v>0</v>
      </c>
      <c r="B727" t="s">
        <v>396</v>
      </c>
      <c r="C727" t="s">
        <v>4075</v>
      </c>
      <c r="D727" t="s">
        <v>16639</v>
      </c>
      <c r="E727" t="s">
        <v>17404</v>
      </c>
      <c r="F727" t="s">
        <v>28669</v>
      </c>
      <c r="G727" t="s">
        <v>28675</v>
      </c>
      <c r="H727" t="s">
        <v>9998</v>
      </c>
      <c r="I727" t="s">
        <v>28701</v>
      </c>
      <c r="J727" t="s">
        <v>29332</v>
      </c>
      <c r="K727" t="s">
        <v>37209</v>
      </c>
      <c r="M727" t="s">
        <v>37880</v>
      </c>
      <c r="N727" t="s">
        <v>41249</v>
      </c>
      <c r="O727" t="s">
        <v>41250</v>
      </c>
      <c r="P727">
        <v>0</v>
      </c>
      <c r="Q727">
        <v>1</v>
      </c>
      <c r="R727" t="s">
        <v>41251</v>
      </c>
      <c r="S727" t="s">
        <v>41369</v>
      </c>
      <c r="T727" t="s">
        <v>42792</v>
      </c>
      <c r="U727" t="s">
        <v>43842</v>
      </c>
      <c r="V727" t="s">
        <v>54340</v>
      </c>
      <c r="W727" t="s">
        <v>37880</v>
      </c>
      <c r="X727" t="s">
        <v>41252</v>
      </c>
    </row>
    <row r="728" spans="1:24">
      <c r="A728">
        <f>HYPERLINK("https://www.philgeps.gov.ph/GEPSNONPILOT/Tender/SplashBidNoticeAbstractUI.aspx?menuIndex=3&amp;refID=7076888&amp;Result=3","7076888")</f>
        <v>0</v>
      </c>
      <c r="B728" t="s">
        <v>375</v>
      </c>
      <c r="C728" t="s">
        <v>4076</v>
      </c>
      <c r="D728" t="s">
        <v>16620</v>
      </c>
      <c r="E728" t="s">
        <v>17405</v>
      </c>
      <c r="F728" t="s">
        <v>28669</v>
      </c>
      <c r="G728" t="s">
        <v>28676</v>
      </c>
      <c r="H728" t="s">
        <v>9998</v>
      </c>
      <c r="I728" t="s">
        <v>28753</v>
      </c>
      <c r="J728" t="s">
        <v>29376</v>
      </c>
      <c r="K728" t="s">
        <v>37207</v>
      </c>
      <c r="M728" t="s">
        <v>37857</v>
      </c>
      <c r="N728" t="s">
        <v>41249</v>
      </c>
      <c r="O728" t="s">
        <v>41250</v>
      </c>
      <c r="P728">
        <v>0</v>
      </c>
      <c r="Q728">
        <v>0</v>
      </c>
      <c r="R728" t="s">
        <v>41251</v>
      </c>
      <c r="S728" t="s">
        <v>41369</v>
      </c>
      <c r="T728" t="s">
        <v>42753</v>
      </c>
      <c r="U728" t="s">
        <v>43843</v>
      </c>
      <c r="W728" t="s">
        <v>37857</v>
      </c>
      <c r="X728" t="s">
        <v>41252</v>
      </c>
    </row>
    <row r="729" spans="1:24">
      <c r="A729">
        <f>HYPERLINK("https://www.philgeps.gov.ph/GEPSNONPILOT/Tender/SplashBidNoticeAbstractUI.aspx?menuIndex=3&amp;refID=7076887&amp;Result=3","7076887")</f>
        <v>0</v>
      </c>
      <c r="B729" t="s">
        <v>253</v>
      </c>
      <c r="C729" t="s">
        <v>4077</v>
      </c>
      <c r="D729" t="s">
        <v>16621</v>
      </c>
      <c r="E729" t="s">
        <v>17406</v>
      </c>
      <c r="F729" t="s">
        <v>28669</v>
      </c>
      <c r="G729" t="s">
        <v>28677</v>
      </c>
      <c r="H729" t="s">
        <v>9998</v>
      </c>
      <c r="I729" t="s">
        <v>28697</v>
      </c>
      <c r="J729" t="s">
        <v>29377</v>
      </c>
      <c r="K729" t="s">
        <v>37204</v>
      </c>
      <c r="M729" t="s">
        <v>37731</v>
      </c>
      <c r="N729" t="s">
        <v>41249</v>
      </c>
      <c r="O729" t="s">
        <v>41250</v>
      </c>
      <c r="P729">
        <v>0</v>
      </c>
      <c r="Q729">
        <v>0</v>
      </c>
      <c r="R729" t="s">
        <v>41251</v>
      </c>
      <c r="S729" t="s">
        <v>41369</v>
      </c>
      <c r="T729" t="s">
        <v>42690</v>
      </c>
      <c r="U729" t="s">
        <v>43844</v>
      </c>
      <c r="W729" t="s">
        <v>37731</v>
      </c>
      <c r="X729" t="s">
        <v>41252</v>
      </c>
    </row>
    <row r="730" spans="1:24">
      <c r="A730">
        <f>HYPERLINK("https://www.philgeps.gov.ph/GEPSNONPILOT/Tender/SplashBidNoticeAbstractUI.aspx?menuIndex=3&amp;refID=7076886&amp;Result=3","7076886")</f>
        <v>0</v>
      </c>
      <c r="B730" t="s">
        <v>397</v>
      </c>
      <c r="C730" t="s">
        <v>4078</v>
      </c>
      <c r="D730" t="s">
        <v>16608</v>
      </c>
      <c r="E730" t="s">
        <v>17407</v>
      </c>
      <c r="F730" t="s">
        <v>28669</v>
      </c>
      <c r="G730" t="s">
        <v>28676</v>
      </c>
      <c r="H730" t="s">
        <v>9998</v>
      </c>
      <c r="I730" t="s">
        <v>28709</v>
      </c>
      <c r="J730" t="s">
        <v>29378</v>
      </c>
      <c r="K730" t="s">
        <v>37205</v>
      </c>
      <c r="M730" t="s">
        <v>37881</v>
      </c>
      <c r="N730" t="s">
        <v>41249</v>
      </c>
      <c r="O730" t="s">
        <v>41250</v>
      </c>
      <c r="P730">
        <v>0</v>
      </c>
      <c r="Q730">
        <v>4</v>
      </c>
      <c r="R730" t="s">
        <v>41251</v>
      </c>
      <c r="S730" t="s">
        <v>41369</v>
      </c>
      <c r="T730" t="s">
        <v>42673</v>
      </c>
      <c r="U730" t="s">
        <v>43845</v>
      </c>
      <c r="W730" t="s">
        <v>37881</v>
      </c>
      <c r="X730" t="s">
        <v>41252</v>
      </c>
    </row>
    <row r="731" spans="1:24">
      <c r="A731">
        <f>HYPERLINK("https://www.philgeps.gov.ph/GEPSNONPILOT/Tender/SplashBidNoticeAbstractUI.aspx?menuIndex=3&amp;refID=7076847&amp;Result=3","7076847")</f>
        <v>0</v>
      </c>
      <c r="B731" t="s">
        <v>376</v>
      </c>
      <c r="C731" t="s">
        <v>4079</v>
      </c>
      <c r="D731" t="s">
        <v>16608</v>
      </c>
      <c r="E731" t="s">
        <v>17408</v>
      </c>
      <c r="F731" t="s">
        <v>28669</v>
      </c>
      <c r="G731" t="s">
        <v>28676</v>
      </c>
      <c r="H731" t="s">
        <v>9998</v>
      </c>
      <c r="I731" t="s">
        <v>28754</v>
      </c>
      <c r="J731" t="s">
        <v>29379</v>
      </c>
      <c r="K731" t="s">
        <v>37206</v>
      </c>
      <c r="M731" t="s">
        <v>37858</v>
      </c>
      <c r="N731" t="s">
        <v>41249</v>
      </c>
      <c r="O731" t="s">
        <v>41250</v>
      </c>
      <c r="P731">
        <v>0</v>
      </c>
      <c r="Q731">
        <v>2</v>
      </c>
      <c r="R731" t="s">
        <v>41251</v>
      </c>
      <c r="S731" t="s">
        <v>41369</v>
      </c>
      <c r="T731" t="s">
        <v>42754</v>
      </c>
      <c r="U731" t="s">
        <v>43808</v>
      </c>
      <c r="W731" t="s">
        <v>37858</v>
      </c>
      <c r="X731" t="s">
        <v>41252</v>
      </c>
    </row>
    <row r="732" spans="1:24">
      <c r="A732">
        <f>HYPERLINK("https://www.philgeps.gov.ph/GEPSNONPILOT/Tender/SplashBidNoticeAbstractUI.aspx?menuIndex=3&amp;refID=7076884&amp;Result=3","7076884")</f>
        <v>0</v>
      </c>
      <c r="B732" t="s">
        <v>178</v>
      </c>
      <c r="C732" t="s">
        <v>4080</v>
      </c>
      <c r="E732" t="s">
        <v>17409</v>
      </c>
      <c r="F732" t="s">
        <v>28669</v>
      </c>
      <c r="G732" t="s">
        <v>28676</v>
      </c>
      <c r="H732" t="s">
        <v>9998</v>
      </c>
      <c r="I732" t="s">
        <v>28693</v>
      </c>
      <c r="J732" t="s">
        <v>29380</v>
      </c>
      <c r="K732" t="s">
        <v>37209</v>
      </c>
      <c r="M732" t="s">
        <v>37882</v>
      </c>
      <c r="N732" t="s">
        <v>41249</v>
      </c>
      <c r="O732" t="s">
        <v>41250</v>
      </c>
      <c r="P732">
        <v>0</v>
      </c>
      <c r="Q732">
        <v>7</v>
      </c>
      <c r="R732" t="s">
        <v>41251</v>
      </c>
      <c r="S732" t="s">
        <v>41369</v>
      </c>
      <c r="T732" t="s">
        <v>42757</v>
      </c>
      <c r="U732" t="s">
        <v>43846</v>
      </c>
      <c r="W732" t="s">
        <v>37882</v>
      </c>
      <c r="X732" t="s">
        <v>41252</v>
      </c>
    </row>
    <row r="733" spans="1:24">
      <c r="A733">
        <f>HYPERLINK("https://www.philgeps.gov.ph/GEPSNONPILOT/Tender/SplashBidNoticeAbstractUI.aspx?menuIndex=3&amp;refID=7076881&amp;Result=3","7076881")</f>
        <v>0</v>
      </c>
      <c r="B733" t="s">
        <v>398</v>
      </c>
      <c r="C733" t="s">
        <v>4081</v>
      </c>
      <c r="D733" t="s">
        <v>16608</v>
      </c>
      <c r="E733" t="s">
        <v>17410</v>
      </c>
      <c r="F733" t="s">
        <v>28669</v>
      </c>
      <c r="G733" t="s">
        <v>28675</v>
      </c>
      <c r="H733" t="s">
        <v>9998</v>
      </c>
      <c r="I733" t="s">
        <v>5033</v>
      </c>
      <c r="J733" t="s">
        <v>29191</v>
      </c>
      <c r="K733" t="s">
        <v>37204</v>
      </c>
      <c r="M733" t="s">
        <v>37883</v>
      </c>
      <c r="N733" t="s">
        <v>41249</v>
      </c>
      <c r="O733" t="s">
        <v>41250</v>
      </c>
      <c r="P733">
        <v>0</v>
      </c>
      <c r="Q733">
        <v>0</v>
      </c>
      <c r="R733" t="s">
        <v>41251</v>
      </c>
      <c r="S733" t="s">
        <v>41369</v>
      </c>
      <c r="T733" t="s">
        <v>42672</v>
      </c>
      <c r="U733" t="s">
        <v>43847</v>
      </c>
      <c r="W733" t="s">
        <v>37883</v>
      </c>
      <c r="X733" t="s">
        <v>41252</v>
      </c>
    </row>
    <row r="734" spans="1:24">
      <c r="A734">
        <f>HYPERLINK("https://www.philgeps.gov.ph/GEPSNONPILOT/Tender/SplashBidNoticeAbstractUI.aspx?menuIndex=3&amp;refID=7076879&amp;Result=3","7076879")</f>
        <v>0</v>
      </c>
      <c r="B734" t="s">
        <v>365</v>
      </c>
      <c r="C734" t="s">
        <v>4082</v>
      </c>
      <c r="D734" t="s">
        <v>16683</v>
      </c>
      <c r="E734" t="s">
        <v>17411</v>
      </c>
      <c r="F734" t="s">
        <v>28669</v>
      </c>
      <c r="G734" t="s">
        <v>28676</v>
      </c>
      <c r="H734" t="s">
        <v>9998</v>
      </c>
      <c r="I734" t="s">
        <v>7352</v>
      </c>
      <c r="J734" t="s">
        <v>29381</v>
      </c>
      <c r="K734" t="s">
        <v>37209</v>
      </c>
      <c r="L734" t="s">
        <v>365</v>
      </c>
      <c r="M734" t="s">
        <v>37846</v>
      </c>
      <c r="N734" t="s">
        <v>41249</v>
      </c>
      <c r="O734" t="s">
        <v>41250</v>
      </c>
      <c r="P734">
        <v>0</v>
      </c>
      <c r="Q734">
        <v>0</v>
      </c>
      <c r="R734" t="s">
        <v>41251</v>
      </c>
      <c r="S734" t="s">
        <v>41369</v>
      </c>
      <c r="T734" t="s">
        <v>42766</v>
      </c>
      <c r="U734" t="s">
        <v>43848</v>
      </c>
      <c r="W734" t="s">
        <v>37846</v>
      </c>
      <c r="X734" t="s">
        <v>41252</v>
      </c>
    </row>
    <row r="735" spans="1:24">
      <c r="A735">
        <f>HYPERLINK("https://www.philgeps.gov.ph/GEPSNONPILOT/Tender/SplashBidNoticeAbstractUI.aspx?menuIndex=3&amp;refID=7076890&amp;Result=3","7076890")</f>
        <v>0</v>
      </c>
      <c r="B735" t="s">
        <v>399</v>
      </c>
      <c r="C735" t="s">
        <v>4083</v>
      </c>
      <c r="D735" t="s">
        <v>16609</v>
      </c>
      <c r="E735" t="s">
        <v>17412</v>
      </c>
      <c r="F735" t="s">
        <v>28669</v>
      </c>
      <c r="G735" t="s">
        <v>28676</v>
      </c>
      <c r="H735" t="s">
        <v>9998</v>
      </c>
      <c r="I735" t="s">
        <v>28708</v>
      </c>
      <c r="J735" t="s">
        <v>29382</v>
      </c>
      <c r="K735" t="s">
        <v>37206</v>
      </c>
      <c r="M735" t="s">
        <v>37884</v>
      </c>
      <c r="N735" t="s">
        <v>41249</v>
      </c>
      <c r="O735" t="s">
        <v>41250</v>
      </c>
      <c r="P735">
        <v>0</v>
      </c>
      <c r="Q735">
        <v>1</v>
      </c>
      <c r="R735" t="s">
        <v>41251</v>
      </c>
      <c r="S735" t="s">
        <v>41369</v>
      </c>
      <c r="T735" t="s">
        <v>42770</v>
      </c>
      <c r="U735" t="s">
        <v>43849</v>
      </c>
      <c r="W735" t="s">
        <v>37884</v>
      </c>
      <c r="X735" t="s">
        <v>41252</v>
      </c>
    </row>
    <row r="736" spans="1:24">
      <c r="A736">
        <f>HYPERLINK("https://www.philgeps.gov.ph/GEPSNONPILOT/Tender/SplashBidNoticeAbstractUI.aspx?menuIndex=3&amp;refID=7076878&amp;Result=3","7076878")</f>
        <v>0</v>
      </c>
      <c r="B736" t="s">
        <v>391</v>
      </c>
      <c r="C736" t="s">
        <v>4084</v>
      </c>
      <c r="D736" t="s">
        <v>16673</v>
      </c>
      <c r="E736" t="s">
        <v>17413</v>
      </c>
      <c r="F736" t="s">
        <v>28669</v>
      </c>
      <c r="G736" t="s">
        <v>28676</v>
      </c>
      <c r="H736" t="s">
        <v>9998</v>
      </c>
      <c r="I736" t="s">
        <v>28690</v>
      </c>
      <c r="J736" t="s">
        <v>29383</v>
      </c>
      <c r="K736" t="s">
        <v>37206</v>
      </c>
      <c r="M736" t="s">
        <v>37875</v>
      </c>
      <c r="N736" t="s">
        <v>41249</v>
      </c>
      <c r="O736" t="s">
        <v>41250</v>
      </c>
      <c r="P736">
        <v>0</v>
      </c>
      <c r="Q736">
        <v>12</v>
      </c>
      <c r="R736" t="s">
        <v>41251</v>
      </c>
      <c r="S736" t="s">
        <v>41369</v>
      </c>
      <c r="T736" t="s">
        <v>42734</v>
      </c>
      <c r="U736" t="s">
        <v>43850</v>
      </c>
      <c r="W736" t="s">
        <v>37875</v>
      </c>
      <c r="X736" t="s">
        <v>41252</v>
      </c>
    </row>
    <row r="737" spans="1:24">
      <c r="A737">
        <f>HYPERLINK("https://www.philgeps.gov.ph/GEPSNONPILOT/Tender/SplashBidNoticeAbstractUI.aspx?menuIndex=3&amp;refID=7076917&amp;Result=3","7076917")</f>
        <v>0</v>
      </c>
      <c r="B737" t="s">
        <v>400</v>
      </c>
      <c r="C737" t="s">
        <v>4085</v>
      </c>
      <c r="D737" t="s">
        <v>16663</v>
      </c>
      <c r="E737" t="s">
        <v>17407</v>
      </c>
      <c r="F737" t="s">
        <v>28669</v>
      </c>
      <c r="G737" t="s">
        <v>28675</v>
      </c>
      <c r="H737" t="s">
        <v>9998</v>
      </c>
      <c r="I737" t="s">
        <v>7352</v>
      </c>
      <c r="J737" t="s">
        <v>29384</v>
      </c>
      <c r="K737" t="s">
        <v>37227</v>
      </c>
      <c r="M737" t="s">
        <v>37885</v>
      </c>
      <c r="N737" t="s">
        <v>41249</v>
      </c>
      <c r="O737" t="s">
        <v>41250</v>
      </c>
      <c r="P737">
        <v>0</v>
      </c>
      <c r="Q737">
        <v>0</v>
      </c>
      <c r="R737" t="s">
        <v>41251</v>
      </c>
      <c r="S737" t="s">
        <v>41369</v>
      </c>
      <c r="T737" t="s">
        <v>42793</v>
      </c>
      <c r="U737" t="s">
        <v>43851</v>
      </c>
      <c r="V737" t="s">
        <v>54341</v>
      </c>
      <c r="W737" t="s">
        <v>37885</v>
      </c>
      <c r="X737" t="s">
        <v>41252</v>
      </c>
    </row>
    <row r="738" spans="1:24">
      <c r="A738">
        <f>HYPERLINK("https://www.philgeps.gov.ph/GEPSNONPILOT/Tender/SplashBidNoticeAbstractUI.aspx?menuIndex=3&amp;refID=7076795&amp;Result=3","7076795")</f>
        <v>0</v>
      </c>
      <c r="B738" t="s">
        <v>401</v>
      </c>
      <c r="C738" t="s">
        <v>4086</v>
      </c>
      <c r="D738" t="s">
        <v>16630</v>
      </c>
      <c r="E738" t="s">
        <v>17414</v>
      </c>
      <c r="F738" t="s">
        <v>28669</v>
      </c>
      <c r="G738" t="s">
        <v>28677</v>
      </c>
      <c r="H738" t="s">
        <v>9998</v>
      </c>
      <c r="I738" t="s">
        <v>5213</v>
      </c>
      <c r="J738" t="s">
        <v>29385</v>
      </c>
      <c r="K738" t="s">
        <v>37206</v>
      </c>
      <c r="L738" t="s">
        <v>401</v>
      </c>
      <c r="M738" t="s">
        <v>37886</v>
      </c>
      <c r="N738" t="s">
        <v>41249</v>
      </c>
      <c r="O738" t="s">
        <v>41250</v>
      </c>
      <c r="P738">
        <v>0</v>
      </c>
      <c r="Q738">
        <v>2</v>
      </c>
      <c r="R738" t="s">
        <v>41251</v>
      </c>
      <c r="S738" t="s">
        <v>41369</v>
      </c>
      <c r="T738" t="s">
        <v>42774</v>
      </c>
      <c r="U738" t="s">
        <v>43852</v>
      </c>
      <c r="V738" t="s">
        <v>54342</v>
      </c>
      <c r="W738" t="s">
        <v>37886</v>
      </c>
      <c r="X738" t="s">
        <v>41252</v>
      </c>
    </row>
    <row r="739" spans="1:24">
      <c r="A739">
        <f>HYPERLINK("https://www.philgeps.gov.ph/GEPSNONPILOT/Tender/SplashBidNoticeAbstractUI.aspx?menuIndex=3&amp;refID=7076920&amp;Result=3","7076920")</f>
        <v>0</v>
      </c>
      <c r="B739" t="s">
        <v>402</v>
      </c>
      <c r="C739" t="s">
        <v>4087</v>
      </c>
      <c r="D739" t="s">
        <v>16608</v>
      </c>
      <c r="E739" t="s">
        <v>17415</v>
      </c>
      <c r="F739" t="s">
        <v>28669</v>
      </c>
      <c r="G739" t="s">
        <v>28675</v>
      </c>
      <c r="H739" t="s">
        <v>28684</v>
      </c>
      <c r="I739" t="s">
        <v>5213</v>
      </c>
      <c r="J739" t="s">
        <v>29386</v>
      </c>
      <c r="K739" t="s">
        <v>37243</v>
      </c>
      <c r="M739" t="s">
        <v>37887</v>
      </c>
      <c r="N739" t="s">
        <v>41249</v>
      </c>
      <c r="O739" t="s">
        <v>41250</v>
      </c>
      <c r="P739">
        <v>0</v>
      </c>
      <c r="Q739">
        <v>1</v>
      </c>
      <c r="R739" t="s">
        <v>41251</v>
      </c>
      <c r="S739" t="s">
        <v>41369</v>
      </c>
      <c r="T739" t="s">
        <v>42788</v>
      </c>
      <c r="U739" t="s">
        <v>43853</v>
      </c>
      <c r="W739" t="s">
        <v>37887</v>
      </c>
      <c r="X739" t="s">
        <v>41252</v>
      </c>
    </row>
    <row r="740" spans="1:24">
      <c r="A740">
        <f>HYPERLINK("https://www.philgeps.gov.ph/GEPSNONPILOT/Tender/SplashBidNoticeAbstractUI.aspx?menuIndex=3&amp;refID=7076918&amp;Result=3","7076918")</f>
        <v>0</v>
      </c>
      <c r="B740" t="s">
        <v>242</v>
      </c>
      <c r="C740" t="s">
        <v>4088</v>
      </c>
      <c r="D740" t="s">
        <v>16666</v>
      </c>
      <c r="E740" t="s">
        <v>17416</v>
      </c>
      <c r="F740" t="s">
        <v>28669</v>
      </c>
      <c r="G740" t="s">
        <v>28676</v>
      </c>
      <c r="H740" t="s">
        <v>28686</v>
      </c>
      <c r="I740" t="s">
        <v>28689</v>
      </c>
      <c r="J740" t="s">
        <v>29003</v>
      </c>
      <c r="K740" t="s">
        <v>37207</v>
      </c>
      <c r="M740" t="s">
        <v>37720</v>
      </c>
      <c r="N740" t="s">
        <v>41249</v>
      </c>
      <c r="O740" t="s">
        <v>41250</v>
      </c>
      <c r="P740">
        <v>0</v>
      </c>
      <c r="Q740">
        <v>0</v>
      </c>
      <c r="R740" t="s">
        <v>41251</v>
      </c>
      <c r="S740" t="s">
        <v>41369</v>
      </c>
      <c r="T740" t="s">
        <v>42711</v>
      </c>
      <c r="U740" t="s">
        <v>43854</v>
      </c>
      <c r="W740" t="s">
        <v>37720</v>
      </c>
      <c r="X740" t="s">
        <v>41252</v>
      </c>
    </row>
    <row r="741" spans="1:24">
      <c r="A741">
        <f>HYPERLINK("https://www.philgeps.gov.ph/GEPSNONPILOT/Tender/SplashBidNoticeAbstractUI.aspx?menuIndex=3&amp;refID=7076916&amp;Result=3","7076916")</f>
        <v>0</v>
      </c>
      <c r="B741" t="s">
        <v>368</v>
      </c>
      <c r="C741" t="s">
        <v>4089</v>
      </c>
      <c r="D741" t="s">
        <v>16640</v>
      </c>
      <c r="E741" t="s">
        <v>17417</v>
      </c>
      <c r="F741" t="s">
        <v>28669</v>
      </c>
      <c r="G741" t="s">
        <v>28675</v>
      </c>
      <c r="H741" t="s">
        <v>28686</v>
      </c>
      <c r="I741" t="s">
        <v>28689</v>
      </c>
      <c r="J741" t="s">
        <v>28905</v>
      </c>
      <c r="K741" t="s">
        <v>37206</v>
      </c>
      <c r="M741" t="s">
        <v>37850</v>
      </c>
      <c r="N741" t="s">
        <v>41249</v>
      </c>
      <c r="O741" t="s">
        <v>41250</v>
      </c>
      <c r="P741">
        <v>0</v>
      </c>
      <c r="Q741">
        <v>0</v>
      </c>
      <c r="R741" t="s">
        <v>41251</v>
      </c>
      <c r="S741" t="s">
        <v>41369</v>
      </c>
      <c r="T741" t="s">
        <v>42670</v>
      </c>
      <c r="U741" t="s">
        <v>43824</v>
      </c>
      <c r="W741" t="s">
        <v>37850</v>
      </c>
      <c r="X741" t="s">
        <v>41252</v>
      </c>
    </row>
    <row r="742" spans="1:24">
      <c r="A742">
        <f>HYPERLINK("https://www.philgeps.gov.ph/GEPSNONPILOT/Tender/SplashBidNoticeAbstractUI.aspx?menuIndex=3&amp;refID=7076904&amp;Result=3","7076904")</f>
        <v>0</v>
      </c>
      <c r="B742" t="s">
        <v>386</v>
      </c>
      <c r="C742" t="s">
        <v>4090</v>
      </c>
      <c r="D742" t="s">
        <v>16615</v>
      </c>
      <c r="E742" t="s">
        <v>17418</v>
      </c>
      <c r="F742" t="s">
        <v>28669</v>
      </c>
      <c r="G742" t="s">
        <v>28676</v>
      </c>
      <c r="H742" t="s">
        <v>9998</v>
      </c>
      <c r="I742" t="s">
        <v>28694</v>
      </c>
      <c r="J742" t="s">
        <v>29387</v>
      </c>
      <c r="K742" t="s">
        <v>37209</v>
      </c>
      <c r="M742" t="s">
        <v>37870</v>
      </c>
      <c r="N742" t="s">
        <v>41249</v>
      </c>
      <c r="O742" t="s">
        <v>41250</v>
      </c>
      <c r="P742">
        <v>0</v>
      </c>
      <c r="Q742">
        <v>0</v>
      </c>
      <c r="R742" t="s">
        <v>41251</v>
      </c>
      <c r="S742" t="s">
        <v>41369</v>
      </c>
      <c r="T742" t="s">
        <v>42675</v>
      </c>
      <c r="U742" t="s">
        <v>43855</v>
      </c>
      <c r="W742" t="s">
        <v>37870</v>
      </c>
      <c r="X742" t="s">
        <v>41252</v>
      </c>
    </row>
    <row r="743" spans="1:24">
      <c r="A743">
        <f>HYPERLINK("https://www.philgeps.gov.ph/GEPSNONPILOT/Tender/SplashBidNoticeAbstractUI.aspx?menuIndex=3&amp;refID=7076914&amp;Result=3","7076914")</f>
        <v>0</v>
      </c>
      <c r="B743" t="s">
        <v>403</v>
      </c>
      <c r="C743" t="s">
        <v>4091</v>
      </c>
      <c r="D743" t="s">
        <v>16618</v>
      </c>
      <c r="E743" t="s">
        <v>17419</v>
      </c>
      <c r="F743" t="s">
        <v>28669</v>
      </c>
      <c r="G743" t="s">
        <v>28677</v>
      </c>
      <c r="H743" t="s">
        <v>9998</v>
      </c>
      <c r="I743" t="s">
        <v>28725</v>
      </c>
      <c r="J743" t="s">
        <v>29388</v>
      </c>
      <c r="K743" t="s">
        <v>37204</v>
      </c>
      <c r="M743" t="s">
        <v>37888</v>
      </c>
      <c r="N743" t="s">
        <v>41249</v>
      </c>
      <c r="O743" t="s">
        <v>41250</v>
      </c>
      <c r="P743">
        <v>0</v>
      </c>
      <c r="Q743">
        <v>0</v>
      </c>
      <c r="R743" t="s">
        <v>41251</v>
      </c>
      <c r="S743" t="s">
        <v>41369</v>
      </c>
      <c r="T743" t="s">
        <v>42686</v>
      </c>
      <c r="U743" t="s">
        <v>43856</v>
      </c>
      <c r="W743" t="s">
        <v>37888</v>
      </c>
      <c r="X743" t="s">
        <v>41252</v>
      </c>
    </row>
    <row r="744" spans="1:24">
      <c r="A744">
        <f>HYPERLINK("https://www.philgeps.gov.ph/GEPSNONPILOT/Tender/SplashBidNoticeAbstractUI.aspx?menuIndex=3&amp;refID=7076919&amp;Result=3","7076919")</f>
        <v>0</v>
      </c>
      <c r="B744" t="s">
        <v>404</v>
      </c>
      <c r="C744" t="s">
        <v>4092</v>
      </c>
      <c r="D744" t="s">
        <v>16633</v>
      </c>
      <c r="E744" t="s">
        <v>17420</v>
      </c>
      <c r="F744" t="s">
        <v>28669</v>
      </c>
      <c r="G744" t="s">
        <v>28675</v>
      </c>
      <c r="H744" t="s">
        <v>9998</v>
      </c>
      <c r="I744" t="s">
        <v>28700</v>
      </c>
      <c r="J744" t="s">
        <v>29389</v>
      </c>
      <c r="K744" t="s">
        <v>37227</v>
      </c>
      <c r="M744" t="s">
        <v>37889</v>
      </c>
      <c r="N744" t="s">
        <v>41249</v>
      </c>
      <c r="O744" t="s">
        <v>41250</v>
      </c>
      <c r="P744">
        <v>0</v>
      </c>
      <c r="Q744">
        <v>4</v>
      </c>
      <c r="R744" t="s">
        <v>41251</v>
      </c>
      <c r="S744" t="s">
        <v>41369</v>
      </c>
      <c r="T744" t="s">
        <v>42707</v>
      </c>
      <c r="U744" t="s">
        <v>43857</v>
      </c>
      <c r="W744" t="s">
        <v>37889</v>
      </c>
      <c r="X744" t="s">
        <v>41252</v>
      </c>
    </row>
    <row r="745" spans="1:24">
      <c r="A745">
        <f>HYPERLINK("https://www.philgeps.gov.ph/GEPSNONPILOT/Tender/SplashBidNoticeAbstractUI.aspx?menuIndex=3&amp;refID=7076798&amp;Result=3","7076798")</f>
        <v>0</v>
      </c>
      <c r="B745" t="s">
        <v>210</v>
      </c>
      <c r="C745" t="s">
        <v>4093</v>
      </c>
      <c r="D745" t="s">
        <v>16633</v>
      </c>
      <c r="E745" t="s">
        <v>17421</v>
      </c>
      <c r="F745" t="s">
        <v>28669</v>
      </c>
      <c r="G745" t="s">
        <v>28675</v>
      </c>
      <c r="H745" t="s">
        <v>28685</v>
      </c>
      <c r="I745" t="s">
        <v>28685</v>
      </c>
      <c r="J745" t="s">
        <v>29390</v>
      </c>
      <c r="K745" t="s">
        <v>37206</v>
      </c>
      <c r="M745" t="s">
        <v>37688</v>
      </c>
      <c r="N745" t="s">
        <v>41249</v>
      </c>
      <c r="O745" t="s">
        <v>41250</v>
      </c>
      <c r="P745">
        <v>0</v>
      </c>
      <c r="Q745">
        <v>2</v>
      </c>
      <c r="R745" t="s">
        <v>41251</v>
      </c>
      <c r="S745" t="s">
        <v>41369</v>
      </c>
      <c r="T745" t="s">
        <v>42690</v>
      </c>
      <c r="U745" t="s">
        <v>43858</v>
      </c>
      <c r="W745" t="s">
        <v>37688</v>
      </c>
      <c r="X745" t="s">
        <v>41252</v>
      </c>
    </row>
    <row r="746" spans="1:24">
      <c r="A746">
        <f>HYPERLINK("https://www.philgeps.gov.ph/GEPSNONPILOT/Tender/SplashBidNoticeAbstractUI.aspx?menuIndex=3&amp;refID=7076915&amp;Result=3","7076915")</f>
        <v>0</v>
      </c>
      <c r="B746" t="s">
        <v>405</v>
      </c>
      <c r="C746" t="s">
        <v>4094</v>
      </c>
      <c r="D746" t="s">
        <v>16631</v>
      </c>
      <c r="E746" t="s">
        <v>17422</v>
      </c>
      <c r="F746" t="s">
        <v>28669</v>
      </c>
      <c r="G746" t="s">
        <v>28675</v>
      </c>
      <c r="H746" t="s">
        <v>28686</v>
      </c>
      <c r="I746" t="s">
        <v>28689</v>
      </c>
      <c r="J746" t="s">
        <v>29003</v>
      </c>
      <c r="K746" t="s">
        <v>37227</v>
      </c>
      <c r="M746" t="s">
        <v>37890</v>
      </c>
      <c r="N746" t="s">
        <v>41249</v>
      </c>
      <c r="O746" t="s">
        <v>41250</v>
      </c>
      <c r="P746">
        <v>0</v>
      </c>
      <c r="Q746">
        <v>0</v>
      </c>
      <c r="R746" t="s">
        <v>41251</v>
      </c>
      <c r="S746" t="s">
        <v>41369</v>
      </c>
      <c r="T746" t="s">
        <v>42794</v>
      </c>
      <c r="U746" t="s">
        <v>43859</v>
      </c>
      <c r="V746" t="s">
        <v>45818</v>
      </c>
      <c r="W746" t="s">
        <v>37890</v>
      </c>
      <c r="X746" t="s">
        <v>41252</v>
      </c>
    </row>
    <row r="747" spans="1:24">
      <c r="A747">
        <f>HYPERLINK("https://www.philgeps.gov.ph/GEPSNONPILOT/Tender/SplashBidNoticeAbstractUI.aspx?menuIndex=3&amp;refID=7076910&amp;Result=3","7076910")</f>
        <v>0</v>
      </c>
      <c r="B747" t="s">
        <v>406</v>
      </c>
      <c r="C747" t="s">
        <v>4095</v>
      </c>
      <c r="D747" t="s">
        <v>16644</v>
      </c>
      <c r="E747" t="s">
        <v>17423</v>
      </c>
      <c r="F747" t="s">
        <v>28669</v>
      </c>
      <c r="G747" t="s">
        <v>28675</v>
      </c>
      <c r="H747" t="s">
        <v>9998</v>
      </c>
      <c r="I747" t="s">
        <v>7352</v>
      </c>
      <c r="J747" t="s">
        <v>29391</v>
      </c>
      <c r="K747" t="s">
        <v>37220</v>
      </c>
      <c r="M747" t="s">
        <v>37891</v>
      </c>
      <c r="N747" t="s">
        <v>41249</v>
      </c>
      <c r="O747" t="s">
        <v>41250</v>
      </c>
      <c r="P747">
        <v>0</v>
      </c>
      <c r="Q747">
        <v>1</v>
      </c>
      <c r="R747" t="s">
        <v>41251</v>
      </c>
      <c r="S747" t="s">
        <v>41369</v>
      </c>
      <c r="T747" t="s">
        <v>42716</v>
      </c>
      <c r="U747" t="s">
        <v>43860</v>
      </c>
      <c r="W747" t="s">
        <v>37891</v>
      </c>
      <c r="X747" t="s">
        <v>41252</v>
      </c>
    </row>
    <row r="748" spans="1:24">
      <c r="A748">
        <f>HYPERLINK("https://www.philgeps.gov.ph/GEPSNONPILOT/Tender/SplashBidNoticeAbstractUI.aspx?menuIndex=3&amp;refID=7076909&amp;Result=3","7076909")</f>
        <v>0</v>
      </c>
      <c r="B748" t="s">
        <v>206</v>
      </c>
      <c r="C748" t="s">
        <v>4096</v>
      </c>
      <c r="D748" t="s">
        <v>16617</v>
      </c>
      <c r="E748" t="s">
        <v>17424</v>
      </c>
      <c r="F748" t="s">
        <v>28669</v>
      </c>
      <c r="G748" t="s">
        <v>28677</v>
      </c>
      <c r="H748" t="s">
        <v>9998</v>
      </c>
      <c r="I748" t="s">
        <v>28690</v>
      </c>
      <c r="J748" t="s">
        <v>29114</v>
      </c>
      <c r="K748" t="s">
        <v>37208</v>
      </c>
      <c r="M748" t="s">
        <v>37866</v>
      </c>
      <c r="N748" t="s">
        <v>41249</v>
      </c>
      <c r="O748" t="s">
        <v>41250</v>
      </c>
      <c r="P748">
        <v>0</v>
      </c>
      <c r="Q748">
        <v>2</v>
      </c>
      <c r="R748" t="s">
        <v>41251</v>
      </c>
      <c r="S748" t="s">
        <v>41369</v>
      </c>
      <c r="T748" t="s">
        <v>42665</v>
      </c>
      <c r="U748" t="s">
        <v>43861</v>
      </c>
      <c r="W748" t="s">
        <v>37866</v>
      </c>
      <c r="X748" t="s">
        <v>41252</v>
      </c>
    </row>
    <row r="749" spans="1:24">
      <c r="A749">
        <f>HYPERLINK("https://www.philgeps.gov.ph/GEPSNONPILOT/Tender/SplashBidNoticeAbstractUI.aspx?menuIndex=3&amp;refID=7076908&amp;Result=3","7076908")</f>
        <v>0</v>
      </c>
      <c r="B749" t="s">
        <v>407</v>
      </c>
      <c r="C749" t="s">
        <v>4097</v>
      </c>
      <c r="D749" t="s">
        <v>16621</v>
      </c>
      <c r="E749" t="s">
        <v>17425</v>
      </c>
      <c r="F749" t="s">
        <v>28669</v>
      </c>
      <c r="G749" t="s">
        <v>28676</v>
      </c>
      <c r="H749" t="s">
        <v>28686</v>
      </c>
      <c r="I749" t="s">
        <v>28689</v>
      </c>
      <c r="J749" t="s">
        <v>28894</v>
      </c>
      <c r="K749" t="s">
        <v>37216</v>
      </c>
      <c r="M749" t="s">
        <v>37892</v>
      </c>
      <c r="N749" t="s">
        <v>41249</v>
      </c>
      <c r="O749" t="s">
        <v>41250</v>
      </c>
      <c r="P749">
        <v>0</v>
      </c>
      <c r="Q749">
        <v>0</v>
      </c>
      <c r="R749" t="s">
        <v>41251</v>
      </c>
      <c r="S749" t="s">
        <v>41369</v>
      </c>
      <c r="T749" t="s">
        <v>42738</v>
      </c>
      <c r="U749" t="s">
        <v>43862</v>
      </c>
      <c r="W749" t="s">
        <v>37892</v>
      </c>
      <c r="X749" t="s">
        <v>41252</v>
      </c>
    </row>
    <row r="750" spans="1:24">
      <c r="A750">
        <f>HYPERLINK("https://www.philgeps.gov.ph/GEPSNONPILOT/Tender/SplashBidNoticeAbstractUI.aspx?menuIndex=3&amp;refID=7076906&amp;Result=3","7076906")</f>
        <v>0</v>
      </c>
      <c r="B750" t="s">
        <v>408</v>
      </c>
      <c r="C750" t="s">
        <v>4098</v>
      </c>
      <c r="D750" t="s">
        <v>16673</v>
      </c>
      <c r="E750" t="s">
        <v>17426</v>
      </c>
      <c r="F750" t="s">
        <v>28669</v>
      </c>
      <c r="G750" t="s">
        <v>28675</v>
      </c>
      <c r="H750" t="s">
        <v>9998</v>
      </c>
      <c r="I750" t="s">
        <v>3718</v>
      </c>
      <c r="J750" t="s">
        <v>29392</v>
      </c>
      <c r="K750" t="s">
        <v>37209</v>
      </c>
      <c r="M750" t="s">
        <v>37893</v>
      </c>
      <c r="N750" t="s">
        <v>41249</v>
      </c>
      <c r="O750" t="s">
        <v>41250</v>
      </c>
      <c r="P750">
        <v>0</v>
      </c>
      <c r="Q750">
        <v>5</v>
      </c>
      <c r="R750" t="s">
        <v>41251</v>
      </c>
      <c r="S750" t="s">
        <v>41369</v>
      </c>
      <c r="T750" t="s">
        <v>42688</v>
      </c>
      <c r="U750" t="s">
        <v>43863</v>
      </c>
      <c r="V750" t="s">
        <v>54343</v>
      </c>
      <c r="W750" t="s">
        <v>37893</v>
      </c>
      <c r="X750" t="s">
        <v>41252</v>
      </c>
    </row>
    <row r="751" spans="1:24">
      <c r="A751">
        <f>HYPERLINK("https://www.philgeps.gov.ph/GEPSNONPILOT/Tender/SplashBidNoticeAbstractUI.aspx?menuIndex=3&amp;refID=7076802&amp;Result=3","7076802")</f>
        <v>0</v>
      </c>
      <c r="B751" t="s">
        <v>409</v>
      </c>
      <c r="C751" t="s">
        <v>4099</v>
      </c>
      <c r="D751" t="s">
        <v>16682</v>
      </c>
      <c r="E751" t="s">
        <v>17427</v>
      </c>
      <c r="F751" t="s">
        <v>28669</v>
      </c>
      <c r="G751" t="s">
        <v>28676</v>
      </c>
      <c r="H751" t="s">
        <v>9998</v>
      </c>
      <c r="I751" t="s">
        <v>7352</v>
      </c>
      <c r="J751" t="s">
        <v>29393</v>
      </c>
      <c r="K751" t="s">
        <v>37204</v>
      </c>
      <c r="M751" t="s">
        <v>37894</v>
      </c>
      <c r="N751" t="s">
        <v>41249</v>
      </c>
      <c r="O751" t="s">
        <v>41250</v>
      </c>
      <c r="P751">
        <v>0</v>
      </c>
      <c r="Q751">
        <v>0</v>
      </c>
      <c r="R751" t="s">
        <v>41251</v>
      </c>
      <c r="S751" t="s">
        <v>41369</v>
      </c>
      <c r="T751" t="s">
        <v>42694</v>
      </c>
      <c r="U751" t="s">
        <v>43864</v>
      </c>
      <c r="W751" t="s">
        <v>37894</v>
      </c>
      <c r="X751" t="s">
        <v>41252</v>
      </c>
    </row>
    <row r="752" spans="1:24">
      <c r="A752">
        <f>HYPERLINK("https://www.philgeps.gov.ph/GEPSNONPILOT/Tender/SplashBidNoticeAbstractUI.aspx?menuIndex=3&amp;refID=7076913&amp;Result=3","7076913")</f>
        <v>0</v>
      </c>
      <c r="B752" t="s">
        <v>385</v>
      </c>
      <c r="C752" t="s">
        <v>4100</v>
      </c>
      <c r="E752" t="s">
        <v>17428</v>
      </c>
      <c r="F752" t="s">
        <v>28669</v>
      </c>
      <c r="G752" t="s">
        <v>28675</v>
      </c>
      <c r="H752" t="s">
        <v>9998</v>
      </c>
      <c r="I752" t="s">
        <v>6606</v>
      </c>
      <c r="J752" t="s">
        <v>29394</v>
      </c>
      <c r="K752" t="s">
        <v>37209</v>
      </c>
      <c r="M752" t="s">
        <v>37869</v>
      </c>
      <c r="N752" t="s">
        <v>41249</v>
      </c>
      <c r="O752" t="s">
        <v>41250</v>
      </c>
      <c r="P752">
        <v>0</v>
      </c>
      <c r="Q752">
        <v>0</v>
      </c>
      <c r="R752" t="s">
        <v>41251</v>
      </c>
      <c r="S752" t="s">
        <v>41369</v>
      </c>
      <c r="T752" t="s">
        <v>42682</v>
      </c>
      <c r="U752" t="s">
        <v>43865</v>
      </c>
      <c r="W752" t="s">
        <v>37869</v>
      </c>
      <c r="X752" t="s">
        <v>41252</v>
      </c>
    </row>
    <row r="753" spans="1:24">
      <c r="A753">
        <f>HYPERLINK("https://www.philgeps.gov.ph/GEPSNONPILOT/Tender/SplashBidNoticeAbstractUI.aspx?menuIndex=3&amp;refID=7076953&amp;Result=3","7076953")</f>
        <v>0</v>
      </c>
      <c r="B753" t="s">
        <v>366</v>
      </c>
      <c r="C753" t="s">
        <v>4101</v>
      </c>
      <c r="D753" t="s">
        <v>16626</v>
      </c>
      <c r="E753" t="s">
        <v>17429</v>
      </c>
      <c r="F753" t="s">
        <v>28669</v>
      </c>
      <c r="G753" t="s">
        <v>28676</v>
      </c>
      <c r="H753" t="s">
        <v>9998</v>
      </c>
      <c r="I753" t="s">
        <v>6458</v>
      </c>
      <c r="J753" t="s">
        <v>29395</v>
      </c>
      <c r="K753" t="s">
        <v>37208</v>
      </c>
      <c r="M753" t="s">
        <v>37847</v>
      </c>
      <c r="N753" t="s">
        <v>41249</v>
      </c>
      <c r="O753" t="s">
        <v>41250</v>
      </c>
      <c r="P753">
        <v>0</v>
      </c>
      <c r="Q753">
        <v>0</v>
      </c>
      <c r="R753" t="s">
        <v>41251</v>
      </c>
      <c r="S753" t="s">
        <v>41369</v>
      </c>
      <c r="T753" t="s">
        <v>42675</v>
      </c>
      <c r="U753" t="s">
        <v>43866</v>
      </c>
      <c r="W753" t="s">
        <v>37847</v>
      </c>
      <c r="X753" t="s">
        <v>41252</v>
      </c>
    </row>
    <row r="754" spans="1:24">
      <c r="A754">
        <f>HYPERLINK("https://www.philgeps.gov.ph/GEPSNONPILOT/Tender/SplashBidNoticeAbstractUI.aspx?menuIndex=3&amp;refID=7076882&amp;Result=3","7076882")</f>
        <v>0</v>
      </c>
      <c r="B754" t="s">
        <v>410</v>
      </c>
      <c r="C754" t="s">
        <v>4102</v>
      </c>
      <c r="D754" t="s">
        <v>16630</v>
      </c>
      <c r="E754" t="s">
        <v>17430</v>
      </c>
      <c r="F754" t="s">
        <v>28669</v>
      </c>
      <c r="G754" t="s">
        <v>28675</v>
      </c>
      <c r="H754" t="s">
        <v>28686</v>
      </c>
      <c r="I754" t="s">
        <v>28689</v>
      </c>
      <c r="J754" t="s">
        <v>29396</v>
      </c>
      <c r="K754" t="s">
        <v>37259</v>
      </c>
      <c r="M754" t="s">
        <v>37895</v>
      </c>
      <c r="N754" t="s">
        <v>41249</v>
      </c>
      <c r="O754" t="s">
        <v>41250</v>
      </c>
      <c r="P754">
        <v>0</v>
      </c>
      <c r="Q754">
        <v>0</v>
      </c>
      <c r="R754" t="s">
        <v>41251</v>
      </c>
      <c r="S754" t="s">
        <v>41369</v>
      </c>
      <c r="T754" t="s">
        <v>42735</v>
      </c>
      <c r="U754" t="s">
        <v>43867</v>
      </c>
      <c r="W754" t="s">
        <v>37895</v>
      </c>
      <c r="X754" t="s">
        <v>41252</v>
      </c>
    </row>
    <row r="755" spans="1:24">
      <c r="A755">
        <f>HYPERLINK("https://www.philgeps.gov.ph/GEPSNONPILOT/Tender/SplashBidNoticeAbstractUI.aspx?menuIndex=3&amp;refID=7076911&amp;Result=3","7076911")</f>
        <v>0</v>
      </c>
      <c r="B755" t="s">
        <v>394</v>
      </c>
      <c r="C755" t="s">
        <v>4103</v>
      </c>
      <c r="D755" t="s">
        <v>16675</v>
      </c>
      <c r="E755" t="s">
        <v>17431</v>
      </c>
      <c r="F755" t="s">
        <v>28669</v>
      </c>
      <c r="G755" t="s">
        <v>28676</v>
      </c>
      <c r="H755" t="s">
        <v>9998</v>
      </c>
      <c r="I755" t="s">
        <v>28689</v>
      </c>
      <c r="J755" t="s">
        <v>29397</v>
      </c>
      <c r="K755" t="s">
        <v>37210</v>
      </c>
      <c r="L755" t="s">
        <v>394</v>
      </c>
      <c r="M755" t="s">
        <v>37878</v>
      </c>
      <c r="N755" t="s">
        <v>41249</v>
      </c>
      <c r="O755" t="s">
        <v>41250</v>
      </c>
      <c r="P755">
        <v>0</v>
      </c>
      <c r="Q755">
        <v>0</v>
      </c>
      <c r="R755" t="s">
        <v>41251</v>
      </c>
      <c r="S755" t="s">
        <v>41369</v>
      </c>
      <c r="T755" t="s">
        <v>42717</v>
      </c>
      <c r="U755" t="s">
        <v>43868</v>
      </c>
      <c r="V755" t="s">
        <v>54338</v>
      </c>
      <c r="W755" t="s">
        <v>37878</v>
      </c>
      <c r="X755" t="s">
        <v>41252</v>
      </c>
    </row>
    <row r="756" spans="1:24">
      <c r="A756">
        <f>HYPERLINK("https://www.philgeps.gov.ph/GEPSNONPILOT/Tender/SplashBidNoticeAbstractUI.aspx?menuIndex=3&amp;refID=7076950&amp;Result=3","7076950")</f>
        <v>0</v>
      </c>
      <c r="B756" t="s">
        <v>411</v>
      </c>
      <c r="C756" t="s">
        <v>4104</v>
      </c>
      <c r="D756" t="s">
        <v>16685</v>
      </c>
      <c r="E756" t="s">
        <v>17432</v>
      </c>
      <c r="F756" t="s">
        <v>28669</v>
      </c>
      <c r="G756" t="s">
        <v>28675</v>
      </c>
      <c r="H756" t="s">
        <v>9998</v>
      </c>
      <c r="I756" t="s">
        <v>28722</v>
      </c>
      <c r="J756" t="s">
        <v>29398</v>
      </c>
      <c r="K756" t="s">
        <v>37220</v>
      </c>
      <c r="M756" t="s">
        <v>37896</v>
      </c>
      <c r="N756" t="s">
        <v>41249</v>
      </c>
      <c r="O756" t="s">
        <v>41250</v>
      </c>
      <c r="P756">
        <v>0</v>
      </c>
      <c r="Q756">
        <v>2</v>
      </c>
      <c r="R756" t="s">
        <v>41251</v>
      </c>
      <c r="S756" t="s">
        <v>41369</v>
      </c>
      <c r="T756" t="s">
        <v>42720</v>
      </c>
      <c r="U756" t="s">
        <v>43869</v>
      </c>
      <c r="W756" t="s">
        <v>37896</v>
      </c>
      <c r="X756" t="s">
        <v>41252</v>
      </c>
    </row>
    <row r="757" spans="1:24">
      <c r="A757">
        <f>HYPERLINK("https://www.philgeps.gov.ph/GEPSNONPILOT/Tender/SplashBidNoticeAbstractUI.aspx?menuIndex=3&amp;refID=7076948&amp;Result=3","7076948")</f>
        <v>0</v>
      </c>
      <c r="B757" t="s">
        <v>412</v>
      </c>
      <c r="C757" t="s">
        <v>4105</v>
      </c>
      <c r="D757" t="s">
        <v>16608</v>
      </c>
      <c r="E757" t="s">
        <v>17433</v>
      </c>
      <c r="F757" t="s">
        <v>28669</v>
      </c>
      <c r="G757" t="s">
        <v>28678</v>
      </c>
      <c r="H757" t="s">
        <v>9998</v>
      </c>
      <c r="I757" t="s">
        <v>6128</v>
      </c>
      <c r="J757" t="s">
        <v>28845</v>
      </c>
      <c r="K757" t="s">
        <v>37204</v>
      </c>
      <c r="M757" t="s">
        <v>37897</v>
      </c>
      <c r="N757" t="s">
        <v>41249</v>
      </c>
      <c r="O757" t="s">
        <v>41250</v>
      </c>
      <c r="P757">
        <v>0</v>
      </c>
      <c r="Q757">
        <v>3</v>
      </c>
      <c r="R757" t="s">
        <v>41251</v>
      </c>
      <c r="S757" t="s">
        <v>41369</v>
      </c>
      <c r="T757" t="s">
        <v>42717</v>
      </c>
      <c r="U757" t="s">
        <v>43870</v>
      </c>
      <c r="W757" t="s">
        <v>37897</v>
      </c>
      <c r="X757" t="s">
        <v>41252</v>
      </c>
    </row>
    <row r="758" spans="1:24">
      <c r="A758">
        <f>HYPERLINK("https://www.philgeps.gov.ph/GEPSNONPILOT/Tender/SplashBidNoticeAbstractUI.aspx?menuIndex=3&amp;refID=7076912&amp;Result=3","7076912")</f>
        <v>0</v>
      </c>
      <c r="B758" t="s">
        <v>242</v>
      </c>
      <c r="C758" t="s">
        <v>4106</v>
      </c>
      <c r="D758" t="s">
        <v>16666</v>
      </c>
      <c r="E758" t="s">
        <v>17434</v>
      </c>
      <c r="F758" t="s">
        <v>28669</v>
      </c>
      <c r="G758" t="s">
        <v>28676</v>
      </c>
      <c r="H758" t="s">
        <v>28686</v>
      </c>
      <c r="I758" t="s">
        <v>28689</v>
      </c>
      <c r="J758" t="s">
        <v>29399</v>
      </c>
      <c r="K758" t="s">
        <v>37206</v>
      </c>
      <c r="M758" t="s">
        <v>37720</v>
      </c>
      <c r="N758" t="s">
        <v>41249</v>
      </c>
      <c r="O758" t="s">
        <v>41250</v>
      </c>
      <c r="P758">
        <v>0</v>
      </c>
      <c r="Q758">
        <v>0</v>
      </c>
      <c r="R758" t="s">
        <v>41251</v>
      </c>
      <c r="S758" t="s">
        <v>41369</v>
      </c>
      <c r="T758" t="s">
        <v>42718</v>
      </c>
      <c r="U758" t="s">
        <v>43854</v>
      </c>
      <c r="W758" t="s">
        <v>37720</v>
      </c>
      <c r="X758" t="s">
        <v>41252</v>
      </c>
    </row>
    <row r="759" spans="1:24">
      <c r="A759">
        <f>HYPERLINK("https://www.philgeps.gov.ph/GEPSNONPILOT/Tender/SplashBidNoticeAbstractUI.aspx?menuIndex=3&amp;refID=7076883&amp;Result=3","7076883")</f>
        <v>0</v>
      </c>
      <c r="B759" t="s">
        <v>181</v>
      </c>
      <c r="C759" t="s">
        <v>4107</v>
      </c>
      <c r="D759" t="s">
        <v>16647</v>
      </c>
      <c r="E759" t="s">
        <v>17435</v>
      </c>
      <c r="F759" t="s">
        <v>28669</v>
      </c>
      <c r="G759" t="s">
        <v>28675</v>
      </c>
      <c r="H759" t="s">
        <v>28686</v>
      </c>
      <c r="I759" t="s">
        <v>28689</v>
      </c>
      <c r="J759" t="s">
        <v>28826</v>
      </c>
      <c r="K759" t="s">
        <v>37210</v>
      </c>
      <c r="M759" t="s">
        <v>37658</v>
      </c>
      <c r="N759" t="s">
        <v>41249</v>
      </c>
      <c r="O759" t="s">
        <v>41250</v>
      </c>
      <c r="P759">
        <v>0</v>
      </c>
      <c r="Q759">
        <v>1</v>
      </c>
      <c r="R759" t="s">
        <v>41251</v>
      </c>
      <c r="S759" t="s">
        <v>41369</v>
      </c>
      <c r="T759" t="s">
        <v>42768</v>
      </c>
      <c r="U759" t="s">
        <v>43871</v>
      </c>
      <c r="W759" t="s">
        <v>37658</v>
      </c>
      <c r="X759" t="s">
        <v>41252</v>
      </c>
    </row>
    <row r="760" spans="1:24">
      <c r="A760">
        <f>HYPERLINK("https://www.philgeps.gov.ph/GEPSNONPILOT/Tender/SplashBidNoticeAbstractUI.aspx?menuIndex=3&amp;refID=7076940&amp;Result=3","7076940")</f>
        <v>0</v>
      </c>
      <c r="B760" t="s">
        <v>375</v>
      </c>
      <c r="C760" t="s">
        <v>4108</v>
      </c>
      <c r="D760" t="s">
        <v>16620</v>
      </c>
      <c r="E760" t="s">
        <v>17436</v>
      </c>
      <c r="F760" t="s">
        <v>28669</v>
      </c>
      <c r="G760" t="s">
        <v>28676</v>
      </c>
      <c r="H760" t="s">
        <v>9998</v>
      </c>
      <c r="I760" t="s">
        <v>3718</v>
      </c>
      <c r="J760" t="s">
        <v>29191</v>
      </c>
      <c r="K760" t="s">
        <v>37206</v>
      </c>
      <c r="M760" t="s">
        <v>37857</v>
      </c>
      <c r="N760" t="s">
        <v>41249</v>
      </c>
      <c r="O760" t="s">
        <v>41250</v>
      </c>
      <c r="P760">
        <v>0</v>
      </c>
      <c r="Q760">
        <v>1</v>
      </c>
      <c r="R760" t="s">
        <v>41251</v>
      </c>
      <c r="S760" t="s">
        <v>41369</v>
      </c>
      <c r="T760" t="s">
        <v>42753</v>
      </c>
      <c r="U760" t="s">
        <v>43872</v>
      </c>
      <c r="W760" t="s">
        <v>37857</v>
      </c>
      <c r="X760" t="s">
        <v>41252</v>
      </c>
    </row>
    <row r="761" spans="1:24">
      <c r="A761">
        <f>HYPERLINK("https://www.philgeps.gov.ph/GEPSNONPILOT/Tender/SplashBidNoticeAbstractUI.aspx?menuIndex=3&amp;refID=7076952&amp;Result=3","7076952")</f>
        <v>0</v>
      </c>
      <c r="B761" t="s">
        <v>250</v>
      </c>
      <c r="C761" t="s">
        <v>4109</v>
      </c>
      <c r="D761" t="s">
        <v>16621</v>
      </c>
      <c r="E761" t="s">
        <v>17437</v>
      </c>
      <c r="F761" t="s">
        <v>28669</v>
      </c>
      <c r="G761" t="s">
        <v>28678</v>
      </c>
      <c r="H761" t="s">
        <v>9998</v>
      </c>
      <c r="I761" t="s">
        <v>28711</v>
      </c>
      <c r="J761" t="s">
        <v>28826</v>
      </c>
      <c r="K761" t="s">
        <v>37206</v>
      </c>
      <c r="M761" t="s">
        <v>37728</v>
      </c>
      <c r="N761" t="s">
        <v>41249</v>
      </c>
      <c r="O761" t="s">
        <v>41250</v>
      </c>
      <c r="P761">
        <v>0</v>
      </c>
      <c r="Q761">
        <v>1</v>
      </c>
      <c r="R761" t="s">
        <v>41251</v>
      </c>
      <c r="S761" t="s">
        <v>41369</v>
      </c>
      <c r="T761" t="s">
        <v>42675</v>
      </c>
      <c r="U761" t="s">
        <v>43873</v>
      </c>
      <c r="W761" t="s">
        <v>37728</v>
      </c>
      <c r="X761" t="s">
        <v>41252</v>
      </c>
    </row>
    <row r="762" spans="1:24">
      <c r="A762">
        <f>HYPERLINK("https://www.philgeps.gov.ph/GEPSNONPILOT/Tender/SplashBidNoticeAbstractUI.aspx?menuIndex=3&amp;refID=7076938&amp;Result=3","7076938")</f>
        <v>0</v>
      </c>
      <c r="B762" t="s">
        <v>413</v>
      </c>
      <c r="C762" t="s">
        <v>4110</v>
      </c>
      <c r="D762" t="s">
        <v>16608</v>
      </c>
      <c r="E762" t="s">
        <v>17438</v>
      </c>
      <c r="F762" t="s">
        <v>28669</v>
      </c>
      <c r="G762" t="s">
        <v>28676</v>
      </c>
      <c r="H762" t="s">
        <v>9998</v>
      </c>
      <c r="I762" t="s">
        <v>28755</v>
      </c>
      <c r="J762" t="s">
        <v>29400</v>
      </c>
      <c r="K762" t="s">
        <v>37204</v>
      </c>
      <c r="M762" t="s">
        <v>37898</v>
      </c>
      <c r="N762" t="s">
        <v>41249</v>
      </c>
      <c r="O762" t="s">
        <v>41250</v>
      </c>
      <c r="P762">
        <v>0</v>
      </c>
      <c r="Q762">
        <v>0</v>
      </c>
      <c r="R762" t="s">
        <v>41251</v>
      </c>
      <c r="S762" t="s">
        <v>41369</v>
      </c>
      <c r="T762" t="s">
        <v>42699</v>
      </c>
      <c r="U762" t="s">
        <v>43874</v>
      </c>
      <c r="W762" t="s">
        <v>37898</v>
      </c>
      <c r="X762" t="s">
        <v>41252</v>
      </c>
    </row>
    <row r="763" spans="1:24">
      <c r="A763">
        <f>HYPERLINK("https://www.philgeps.gov.ph/GEPSNONPILOT/Tender/SplashBidNoticeAbstractUI.aspx?menuIndex=3&amp;refID=7076946&amp;Result=3","7076946")</f>
        <v>0</v>
      </c>
      <c r="B763" t="s">
        <v>414</v>
      </c>
      <c r="C763" t="s">
        <v>4111</v>
      </c>
      <c r="D763" t="s">
        <v>16608</v>
      </c>
      <c r="E763" t="s">
        <v>17439</v>
      </c>
      <c r="F763" t="s">
        <v>28669</v>
      </c>
      <c r="G763" t="s">
        <v>28676</v>
      </c>
      <c r="H763" t="s">
        <v>9998</v>
      </c>
      <c r="I763" t="s">
        <v>28708</v>
      </c>
      <c r="J763" t="s">
        <v>29401</v>
      </c>
      <c r="K763" t="s">
        <v>37204</v>
      </c>
      <c r="M763" t="s">
        <v>37899</v>
      </c>
      <c r="N763" t="s">
        <v>41249</v>
      </c>
      <c r="O763" t="s">
        <v>41250</v>
      </c>
      <c r="P763">
        <v>0</v>
      </c>
      <c r="Q763">
        <v>0</v>
      </c>
      <c r="R763" t="s">
        <v>41251</v>
      </c>
      <c r="S763" t="s">
        <v>41369</v>
      </c>
      <c r="T763" t="s">
        <v>42686</v>
      </c>
      <c r="U763" t="s">
        <v>43875</v>
      </c>
      <c r="V763" t="s">
        <v>54344</v>
      </c>
      <c r="W763" t="s">
        <v>55915</v>
      </c>
      <c r="X763" t="s">
        <v>41252</v>
      </c>
    </row>
    <row r="764" spans="1:24">
      <c r="A764">
        <f>HYPERLINK("https://www.philgeps.gov.ph/GEPSNONPILOT/Tender/SplashBidNoticeAbstractUI.aspx?menuIndex=3&amp;refID=7076934&amp;Result=3","7076934")</f>
        <v>0</v>
      </c>
      <c r="B764" t="s">
        <v>415</v>
      </c>
      <c r="C764" t="s">
        <v>4112</v>
      </c>
      <c r="D764" t="s">
        <v>16625</v>
      </c>
      <c r="E764" t="s">
        <v>17440</v>
      </c>
      <c r="F764" t="s">
        <v>28669</v>
      </c>
      <c r="G764" t="s">
        <v>28677</v>
      </c>
      <c r="H764" t="s">
        <v>9998</v>
      </c>
      <c r="I764" t="s">
        <v>7352</v>
      </c>
      <c r="J764" t="s">
        <v>28894</v>
      </c>
      <c r="K764" t="s">
        <v>37209</v>
      </c>
      <c r="M764" t="s">
        <v>37900</v>
      </c>
      <c r="N764" t="s">
        <v>41249</v>
      </c>
      <c r="O764" t="s">
        <v>41250</v>
      </c>
      <c r="P764">
        <v>0</v>
      </c>
      <c r="Q764">
        <v>0</v>
      </c>
      <c r="R764" t="s">
        <v>41251</v>
      </c>
      <c r="S764" t="s">
        <v>41369</v>
      </c>
      <c r="T764" t="s">
        <v>42748</v>
      </c>
      <c r="U764" t="s">
        <v>43876</v>
      </c>
      <c r="W764" t="s">
        <v>37900</v>
      </c>
      <c r="X764" t="s">
        <v>41252</v>
      </c>
    </row>
    <row r="765" spans="1:24">
      <c r="A765">
        <f>HYPERLINK("https://www.philgeps.gov.ph/GEPSNONPILOT/Tender/SplashBidNoticeAbstractUI.aspx?menuIndex=3&amp;refID=7076931&amp;Result=3","7076931")</f>
        <v>0</v>
      </c>
      <c r="B765" t="s">
        <v>390</v>
      </c>
      <c r="C765" t="s">
        <v>4113</v>
      </c>
      <c r="D765" t="s">
        <v>16658</v>
      </c>
      <c r="E765" t="s">
        <v>16807</v>
      </c>
      <c r="F765" t="s">
        <v>28669</v>
      </c>
      <c r="G765" t="s">
        <v>28675</v>
      </c>
      <c r="H765" t="s">
        <v>9998</v>
      </c>
      <c r="I765" t="s">
        <v>7352</v>
      </c>
      <c r="J765" t="s">
        <v>29402</v>
      </c>
      <c r="K765" t="s">
        <v>37205</v>
      </c>
      <c r="M765" t="s">
        <v>37874</v>
      </c>
      <c r="N765" t="s">
        <v>41249</v>
      </c>
      <c r="O765" t="s">
        <v>41250</v>
      </c>
      <c r="P765">
        <v>0</v>
      </c>
      <c r="Q765">
        <v>1</v>
      </c>
      <c r="R765" t="s">
        <v>41251</v>
      </c>
      <c r="S765" t="s">
        <v>41369</v>
      </c>
      <c r="T765" t="s">
        <v>42790</v>
      </c>
      <c r="U765" t="s">
        <v>43877</v>
      </c>
      <c r="W765" t="s">
        <v>37874</v>
      </c>
      <c r="X765" t="s">
        <v>41252</v>
      </c>
    </row>
    <row r="766" spans="1:24">
      <c r="A766">
        <f>HYPERLINK("https://www.philgeps.gov.ph/GEPSNONPILOT/Tender/SplashBidNoticeAbstractUI.aspx?menuIndex=3&amp;refID=7076928&amp;Result=3","7076928")</f>
        <v>0</v>
      </c>
      <c r="B766" t="s">
        <v>295</v>
      </c>
      <c r="C766" t="s">
        <v>4114</v>
      </c>
      <c r="D766" t="s">
        <v>16664</v>
      </c>
      <c r="E766" t="s">
        <v>17441</v>
      </c>
      <c r="F766" t="s">
        <v>28669</v>
      </c>
      <c r="G766" t="s">
        <v>28675</v>
      </c>
      <c r="H766" t="s">
        <v>9998</v>
      </c>
      <c r="I766" t="s">
        <v>7352</v>
      </c>
      <c r="J766" t="s">
        <v>29403</v>
      </c>
      <c r="K766" t="s">
        <v>37206</v>
      </c>
      <c r="M766" t="s">
        <v>37774</v>
      </c>
      <c r="N766" t="s">
        <v>41249</v>
      </c>
      <c r="O766" t="s">
        <v>41250</v>
      </c>
      <c r="P766">
        <v>0</v>
      </c>
      <c r="Q766">
        <v>0</v>
      </c>
      <c r="R766" t="s">
        <v>41251</v>
      </c>
      <c r="S766" t="s">
        <v>41369</v>
      </c>
      <c r="T766" t="s">
        <v>42672</v>
      </c>
      <c r="U766" t="s">
        <v>43878</v>
      </c>
      <c r="V766" t="s">
        <v>54345</v>
      </c>
      <c r="W766" t="s">
        <v>37774</v>
      </c>
      <c r="X766" t="s">
        <v>41252</v>
      </c>
    </row>
    <row r="767" spans="1:24">
      <c r="A767">
        <f>HYPERLINK("https://www.philgeps.gov.ph/GEPSNONPILOT/Tender/SplashBidNoticeAbstractUI.aspx?menuIndex=3&amp;refID=7076926&amp;Result=3","7076926")</f>
        <v>0</v>
      </c>
      <c r="B767" t="s">
        <v>416</v>
      </c>
      <c r="C767" t="s">
        <v>4115</v>
      </c>
      <c r="D767" t="s">
        <v>16615</v>
      </c>
      <c r="E767" t="s">
        <v>17442</v>
      </c>
      <c r="F767" t="s">
        <v>28669</v>
      </c>
      <c r="G767" t="s">
        <v>28676</v>
      </c>
      <c r="H767" t="s">
        <v>9998</v>
      </c>
      <c r="I767" t="s">
        <v>5033</v>
      </c>
      <c r="J767" t="s">
        <v>29404</v>
      </c>
      <c r="K767" t="s">
        <v>37205</v>
      </c>
      <c r="M767" t="s">
        <v>37901</v>
      </c>
      <c r="N767" t="s">
        <v>41249</v>
      </c>
      <c r="O767" t="s">
        <v>41250</v>
      </c>
      <c r="P767">
        <v>0</v>
      </c>
      <c r="Q767">
        <v>0</v>
      </c>
      <c r="R767" t="s">
        <v>41251</v>
      </c>
      <c r="S767" t="s">
        <v>41369</v>
      </c>
      <c r="T767" t="s">
        <v>42694</v>
      </c>
      <c r="U767" t="s">
        <v>43879</v>
      </c>
      <c r="W767" t="s">
        <v>37901</v>
      </c>
      <c r="X767" t="s">
        <v>41252</v>
      </c>
    </row>
    <row r="768" spans="1:24">
      <c r="A768">
        <f>HYPERLINK("https://www.philgeps.gov.ph/GEPSNONPILOT/Tender/SplashBidNoticeAbstractUI.aspx?menuIndex=3&amp;refID=7076907&amp;Result=3","7076907")</f>
        <v>0</v>
      </c>
      <c r="B768" t="s">
        <v>417</v>
      </c>
      <c r="C768" t="s">
        <v>3893</v>
      </c>
      <c r="D768" t="s">
        <v>16610</v>
      </c>
      <c r="E768" t="s">
        <v>17443</v>
      </c>
      <c r="F768" t="s">
        <v>28669</v>
      </c>
      <c r="G768" t="s">
        <v>28678</v>
      </c>
      <c r="H768" t="s">
        <v>9998</v>
      </c>
      <c r="I768" t="s">
        <v>6128</v>
      </c>
      <c r="J768" t="s">
        <v>29405</v>
      </c>
      <c r="K768" t="s">
        <v>37205</v>
      </c>
      <c r="M768" t="s">
        <v>37902</v>
      </c>
      <c r="N768" t="s">
        <v>41249</v>
      </c>
      <c r="O768" t="s">
        <v>41250</v>
      </c>
      <c r="P768">
        <v>0</v>
      </c>
      <c r="Q768">
        <v>4</v>
      </c>
      <c r="R768" t="s">
        <v>41251</v>
      </c>
      <c r="S768" t="s">
        <v>41369</v>
      </c>
      <c r="T768" t="s">
        <v>42673</v>
      </c>
      <c r="U768" t="s">
        <v>43880</v>
      </c>
      <c r="W768" t="s">
        <v>37902</v>
      </c>
      <c r="X768" t="s">
        <v>41252</v>
      </c>
    </row>
    <row r="769" spans="1:24">
      <c r="A769">
        <f>HYPERLINK("https://www.philgeps.gov.ph/GEPSNONPILOT/Tender/SplashBidNoticeAbstractUI.aspx?menuIndex=3&amp;refID=7076925&amp;Result=3","7076925")</f>
        <v>0</v>
      </c>
      <c r="B769" t="s">
        <v>317</v>
      </c>
      <c r="C769" t="s">
        <v>4116</v>
      </c>
      <c r="D769" t="s">
        <v>16608</v>
      </c>
      <c r="E769" t="s">
        <v>17444</v>
      </c>
      <c r="F769" t="s">
        <v>28669</v>
      </c>
      <c r="G769" t="s">
        <v>28676</v>
      </c>
      <c r="H769" t="s">
        <v>9998</v>
      </c>
      <c r="I769" t="s">
        <v>28689</v>
      </c>
      <c r="J769" t="s">
        <v>29406</v>
      </c>
      <c r="K769" t="s">
        <v>37206</v>
      </c>
      <c r="M769" t="s">
        <v>37797</v>
      </c>
      <c r="N769" t="s">
        <v>41249</v>
      </c>
      <c r="O769" t="s">
        <v>41250</v>
      </c>
      <c r="P769">
        <v>0</v>
      </c>
      <c r="Q769">
        <v>0</v>
      </c>
      <c r="R769" t="s">
        <v>41251</v>
      </c>
      <c r="S769" t="s">
        <v>41369</v>
      </c>
      <c r="T769" t="s">
        <v>42679</v>
      </c>
      <c r="U769" t="s">
        <v>43881</v>
      </c>
      <c r="W769" t="s">
        <v>37797</v>
      </c>
      <c r="X769" t="s">
        <v>41252</v>
      </c>
    </row>
    <row r="770" spans="1:24">
      <c r="A770">
        <f>HYPERLINK("https://www.philgeps.gov.ph/GEPSNONPILOT/Tender/SplashBidNoticeAbstractUI.aspx?menuIndex=3&amp;refID=7076924&amp;Result=3","7076924")</f>
        <v>0</v>
      </c>
      <c r="B770" t="s">
        <v>181</v>
      </c>
      <c r="C770" t="s">
        <v>4117</v>
      </c>
      <c r="D770" t="s">
        <v>16647</v>
      </c>
      <c r="E770" t="s">
        <v>17445</v>
      </c>
      <c r="F770" t="s">
        <v>28669</v>
      </c>
      <c r="G770" t="s">
        <v>28675</v>
      </c>
      <c r="H770" t="s">
        <v>28686</v>
      </c>
      <c r="I770" t="s">
        <v>28689</v>
      </c>
      <c r="J770" t="s">
        <v>28826</v>
      </c>
      <c r="K770" t="s">
        <v>37210</v>
      </c>
      <c r="M770" t="s">
        <v>37658</v>
      </c>
      <c r="N770" t="s">
        <v>41249</v>
      </c>
      <c r="O770" t="s">
        <v>41250</v>
      </c>
      <c r="P770">
        <v>0</v>
      </c>
      <c r="Q770">
        <v>1</v>
      </c>
      <c r="R770" t="s">
        <v>41251</v>
      </c>
      <c r="S770" t="s">
        <v>41369</v>
      </c>
      <c r="T770" t="s">
        <v>42768</v>
      </c>
      <c r="U770" t="s">
        <v>43882</v>
      </c>
      <c r="W770" t="s">
        <v>37658</v>
      </c>
      <c r="X770" t="s">
        <v>41252</v>
      </c>
    </row>
    <row r="771" spans="1:24">
      <c r="A771">
        <f>HYPERLINK("https://www.philgeps.gov.ph/GEPSNONPILOT/Tender/SplashBidNoticeAbstractUI.aspx?menuIndex=3&amp;refID=7076943&amp;Result=3","7076943")</f>
        <v>0</v>
      </c>
      <c r="B771" t="s">
        <v>415</v>
      </c>
      <c r="C771" t="s">
        <v>4118</v>
      </c>
      <c r="D771" t="s">
        <v>16625</v>
      </c>
      <c r="E771" t="s">
        <v>17446</v>
      </c>
      <c r="F771" t="s">
        <v>28669</v>
      </c>
      <c r="G771" t="s">
        <v>28677</v>
      </c>
      <c r="H771" t="s">
        <v>9998</v>
      </c>
      <c r="I771" t="s">
        <v>7352</v>
      </c>
      <c r="J771" t="s">
        <v>29407</v>
      </c>
      <c r="K771" t="s">
        <v>37209</v>
      </c>
      <c r="M771" t="s">
        <v>37900</v>
      </c>
      <c r="N771" t="s">
        <v>41249</v>
      </c>
      <c r="O771" t="s">
        <v>41250</v>
      </c>
      <c r="P771">
        <v>0</v>
      </c>
      <c r="Q771">
        <v>0</v>
      </c>
      <c r="R771" t="s">
        <v>41251</v>
      </c>
      <c r="S771" t="s">
        <v>41369</v>
      </c>
      <c r="T771" t="s">
        <v>42748</v>
      </c>
      <c r="U771" t="s">
        <v>43883</v>
      </c>
      <c r="W771" t="s">
        <v>37900</v>
      </c>
      <c r="X771" t="s">
        <v>41252</v>
      </c>
    </row>
    <row r="772" spans="1:24">
      <c r="A772">
        <f>HYPERLINK("https://www.philgeps.gov.ph/GEPSNONPILOT/Tender/SplashBidNoticeAbstractUI.aspx?menuIndex=3&amp;refID=7076930&amp;Result=3","7076930")</f>
        <v>0</v>
      </c>
      <c r="B772" t="s">
        <v>412</v>
      </c>
      <c r="C772" t="s">
        <v>4119</v>
      </c>
      <c r="D772" t="s">
        <v>16608</v>
      </c>
      <c r="E772" t="s">
        <v>17447</v>
      </c>
      <c r="F772" t="s">
        <v>28669</v>
      </c>
      <c r="G772" t="s">
        <v>28678</v>
      </c>
      <c r="H772" t="s">
        <v>9998</v>
      </c>
      <c r="I772" t="s">
        <v>3718</v>
      </c>
      <c r="J772" t="s">
        <v>28878</v>
      </c>
      <c r="K772" t="s">
        <v>37204</v>
      </c>
      <c r="M772" t="s">
        <v>37897</v>
      </c>
      <c r="N772" t="s">
        <v>41249</v>
      </c>
      <c r="O772" t="s">
        <v>41250</v>
      </c>
      <c r="P772">
        <v>0</v>
      </c>
      <c r="Q772">
        <v>4</v>
      </c>
      <c r="R772" t="s">
        <v>41251</v>
      </c>
      <c r="S772" t="s">
        <v>41369</v>
      </c>
      <c r="T772" t="s">
        <v>42717</v>
      </c>
      <c r="U772" t="s">
        <v>43884</v>
      </c>
      <c r="W772" t="s">
        <v>37897</v>
      </c>
      <c r="X772" t="s">
        <v>41252</v>
      </c>
    </row>
    <row r="773" spans="1:24">
      <c r="A773">
        <f>HYPERLINK("https://www.philgeps.gov.ph/GEPSNONPILOT/Tender/SplashBidNoticeAbstractUI.aspx?menuIndex=3&amp;refID=7076905&amp;Result=3","7076905")</f>
        <v>0</v>
      </c>
      <c r="B773" t="s">
        <v>317</v>
      </c>
      <c r="C773" t="s">
        <v>4120</v>
      </c>
      <c r="D773" t="s">
        <v>16608</v>
      </c>
      <c r="E773" t="s">
        <v>17448</v>
      </c>
      <c r="F773" t="s">
        <v>28669</v>
      </c>
      <c r="G773" t="s">
        <v>28676</v>
      </c>
      <c r="H773" t="s">
        <v>9998</v>
      </c>
      <c r="I773" t="s">
        <v>28689</v>
      </c>
      <c r="J773" t="s">
        <v>29408</v>
      </c>
      <c r="K773" t="s">
        <v>37206</v>
      </c>
      <c r="M773" t="s">
        <v>37797</v>
      </c>
      <c r="N773" t="s">
        <v>41249</v>
      </c>
      <c r="O773" t="s">
        <v>41250</v>
      </c>
      <c r="P773">
        <v>0</v>
      </c>
      <c r="Q773">
        <v>0</v>
      </c>
      <c r="R773" t="s">
        <v>41251</v>
      </c>
      <c r="S773" t="s">
        <v>41369</v>
      </c>
      <c r="T773" t="s">
        <v>42679</v>
      </c>
      <c r="U773" t="s">
        <v>43881</v>
      </c>
      <c r="W773" t="s">
        <v>37797</v>
      </c>
      <c r="X773" t="s">
        <v>41252</v>
      </c>
    </row>
    <row r="774" spans="1:24">
      <c r="A774">
        <f>HYPERLINK("https://www.philgeps.gov.ph/GEPSNONPILOT/Tender/SplashBidNoticeAbstractUI.aspx?menuIndex=3&amp;refID=7076903&amp;Result=3","7076903")</f>
        <v>0</v>
      </c>
      <c r="B774" t="s">
        <v>370</v>
      </c>
      <c r="C774" t="s">
        <v>4121</v>
      </c>
      <c r="D774" t="s">
        <v>16630</v>
      </c>
      <c r="E774" t="s">
        <v>17449</v>
      </c>
      <c r="F774" t="s">
        <v>28669</v>
      </c>
      <c r="G774" t="s">
        <v>28676</v>
      </c>
      <c r="H774" t="s">
        <v>9998</v>
      </c>
      <c r="I774" t="s">
        <v>7352</v>
      </c>
      <c r="J774" t="s">
        <v>29409</v>
      </c>
      <c r="K774" t="s">
        <v>37206</v>
      </c>
      <c r="M774" t="s">
        <v>37852</v>
      </c>
      <c r="N774" t="s">
        <v>41249</v>
      </c>
      <c r="O774" t="s">
        <v>41250</v>
      </c>
      <c r="P774">
        <v>0</v>
      </c>
      <c r="Q774">
        <v>0</v>
      </c>
      <c r="R774" t="s">
        <v>41251</v>
      </c>
      <c r="S774" t="s">
        <v>41369</v>
      </c>
      <c r="T774" t="s">
        <v>42717</v>
      </c>
      <c r="U774" t="s">
        <v>43885</v>
      </c>
      <c r="W774" t="s">
        <v>37852</v>
      </c>
      <c r="X774" t="s">
        <v>41252</v>
      </c>
    </row>
    <row r="775" spans="1:24">
      <c r="A775">
        <f>HYPERLINK("https://www.philgeps.gov.ph/GEPSNONPILOT/Tender/SplashBidNoticeAbstractUI.aspx?menuIndex=3&amp;refID=7076877&amp;Result=3","7076877")</f>
        <v>0</v>
      </c>
      <c r="B775" t="s">
        <v>385</v>
      </c>
      <c r="C775" t="s">
        <v>4122</v>
      </c>
      <c r="E775" t="s">
        <v>17450</v>
      </c>
      <c r="F775" t="s">
        <v>28669</v>
      </c>
      <c r="G775" t="s">
        <v>28675</v>
      </c>
      <c r="H775" t="s">
        <v>9998</v>
      </c>
      <c r="I775" t="s">
        <v>28721</v>
      </c>
      <c r="J775" t="s">
        <v>28863</v>
      </c>
      <c r="K775" t="s">
        <v>37209</v>
      </c>
      <c r="M775" t="s">
        <v>37869</v>
      </c>
      <c r="N775" t="s">
        <v>41249</v>
      </c>
      <c r="O775" t="s">
        <v>41250</v>
      </c>
      <c r="P775">
        <v>0</v>
      </c>
      <c r="Q775">
        <v>0</v>
      </c>
      <c r="R775" t="s">
        <v>41251</v>
      </c>
      <c r="S775" t="s">
        <v>41369</v>
      </c>
      <c r="T775" t="s">
        <v>42690</v>
      </c>
      <c r="U775" t="s">
        <v>43865</v>
      </c>
      <c r="W775" t="s">
        <v>37869</v>
      </c>
      <c r="X775" t="s">
        <v>41252</v>
      </c>
    </row>
    <row r="776" spans="1:24">
      <c r="A776">
        <f>HYPERLINK("https://www.philgeps.gov.ph/GEPSNONPILOT/Tender/SplashBidNoticeAbstractUI.aspx?menuIndex=3&amp;refID=7076949&amp;Result=3","7076949")</f>
        <v>0</v>
      </c>
      <c r="B776" t="s">
        <v>368</v>
      </c>
      <c r="C776" t="s">
        <v>4123</v>
      </c>
      <c r="D776" t="s">
        <v>16640</v>
      </c>
      <c r="E776" t="s">
        <v>17451</v>
      </c>
      <c r="F776" t="s">
        <v>28669</v>
      </c>
      <c r="G776" t="s">
        <v>28675</v>
      </c>
      <c r="H776" t="s">
        <v>28686</v>
      </c>
      <c r="I776" t="s">
        <v>28689</v>
      </c>
      <c r="J776" t="s">
        <v>28836</v>
      </c>
      <c r="K776" t="s">
        <v>37213</v>
      </c>
      <c r="M776" t="s">
        <v>37850</v>
      </c>
      <c r="N776" t="s">
        <v>41249</v>
      </c>
      <c r="O776" t="s">
        <v>41250</v>
      </c>
      <c r="P776">
        <v>0</v>
      </c>
      <c r="Q776">
        <v>0</v>
      </c>
      <c r="R776" t="s">
        <v>41251</v>
      </c>
      <c r="S776" t="s">
        <v>41369</v>
      </c>
      <c r="T776" t="s">
        <v>42669</v>
      </c>
      <c r="U776" t="s">
        <v>43886</v>
      </c>
      <c r="W776" t="s">
        <v>37850</v>
      </c>
      <c r="X776" t="s">
        <v>41252</v>
      </c>
    </row>
    <row r="777" spans="1:24">
      <c r="A777">
        <f>HYPERLINK("https://www.philgeps.gov.ph/GEPSNONPILOT/Tender/SplashBidNoticeAbstractUI.aspx?menuIndex=3&amp;refID=7076936&amp;Result=3","7076936")</f>
        <v>0</v>
      </c>
      <c r="B777" t="s">
        <v>418</v>
      </c>
      <c r="C777" t="s">
        <v>4124</v>
      </c>
      <c r="D777" t="s">
        <v>16642</v>
      </c>
      <c r="E777" t="s">
        <v>17452</v>
      </c>
      <c r="F777" t="s">
        <v>28669</v>
      </c>
      <c r="G777" t="s">
        <v>28677</v>
      </c>
      <c r="H777" t="s">
        <v>9998</v>
      </c>
      <c r="I777" t="s">
        <v>7352</v>
      </c>
      <c r="J777" t="s">
        <v>29410</v>
      </c>
      <c r="K777" t="s">
        <v>37205</v>
      </c>
      <c r="M777" t="s">
        <v>37903</v>
      </c>
      <c r="N777" t="s">
        <v>41249</v>
      </c>
      <c r="O777" t="s">
        <v>41250</v>
      </c>
      <c r="P777">
        <v>0</v>
      </c>
      <c r="Q777">
        <v>0</v>
      </c>
      <c r="R777" t="s">
        <v>41251</v>
      </c>
      <c r="S777" t="s">
        <v>41369</v>
      </c>
      <c r="T777" t="s">
        <v>42675</v>
      </c>
      <c r="U777" t="s">
        <v>43887</v>
      </c>
      <c r="W777" t="s">
        <v>55916</v>
      </c>
      <c r="X777" t="s">
        <v>41252</v>
      </c>
    </row>
    <row r="778" spans="1:24">
      <c r="A778">
        <f>HYPERLINK("https://www.philgeps.gov.ph/GEPSNONPILOT/Tender/SplashBidNoticeAbstractUI.aspx?menuIndex=3&amp;refID=7076876&amp;Result=3","7076876")</f>
        <v>0</v>
      </c>
      <c r="B778" t="s">
        <v>360</v>
      </c>
      <c r="C778" t="s">
        <v>4125</v>
      </c>
      <c r="D778" t="s">
        <v>16634</v>
      </c>
      <c r="E778" t="s">
        <v>17453</v>
      </c>
      <c r="F778" t="s">
        <v>28671</v>
      </c>
      <c r="G778" t="s">
        <v>28676</v>
      </c>
      <c r="H778" t="s">
        <v>28684</v>
      </c>
      <c r="I778" t="s">
        <v>11593</v>
      </c>
      <c r="J778" t="s">
        <v>28878</v>
      </c>
      <c r="K778" t="s">
        <v>37204</v>
      </c>
      <c r="M778" t="s">
        <v>37841</v>
      </c>
      <c r="N778" t="s">
        <v>41249</v>
      </c>
      <c r="O778" t="s">
        <v>41250</v>
      </c>
      <c r="P778">
        <v>0</v>
      </c>
      <c r="Q778">
        <v>1</v>
      </c>
      <c r="R778" t="s">
        <v>41251</v>
      </c>
      <c r="S778" t="s">
        <v>41369</v>
      </c>
      <c r="T778" t="s">
        <v>42682</v>
      </c>
      <c r="U778" t="s">
        <v>43888</v>
      </c>
      <c r="W778" t="s">
        <v>37841</v>
      </c>
      <c r="X778" t="s">
        <v>41252</v>
      </c>
    </row>
    <row r="779" spans="1:24">
      <c r="A779">
        <f>HYPERLINK("https://www.philgeps.gov.ph/GEPSNONPILOT/Tender/SplashBidNoticeAbstractUI.aspx?menuIndex=3&amp;refID=7076874&amp;Result=3","7076874")</f>
        <v>0</v>
      </c>
      <c r="B779" t="s">
        <v>419</v>
      </c>
      <c r="C779" t="s">
        <v>4126</v>
      </c>
      <c r="D779" t="s">
        <v>16679</v>
      </c>
      <c r="E779" t="s">
        <v>16968</v>
      </c>
      <c r="F779" t="s">
        <v>28669</v>
      </c>
      <c r="G779" t="s">
        <v>28676</v>
      </c>
      <c r="H779" t="s">
        <v>9998</v>
      </c>
      <c r="I779" t="s">
        <v>28725</v>
      </c>
      <c r="J779" t="s">
        <v>28999</v>
      </c>
      <c r="K779" t="s">
        <v>37206</v>
      </c>
      <c r="M779" t="s">
        <v>37904</v>
      </c>
      <c r="N779" t="s">
        <v>41249</v>
      </c>
      <c r="O779" t="s">
        <v>41250</v>
      </c>
      <c r="P779">
        <v>0</v>
      </c>
      <c r="Q779">
        <v>0</v>
      </c>
      <c r="R779" t="s">
        <v>41251</v>
      </c>
      <c r="S779" t="s">
        <v>41369</v>
      </c>
      <c r="T779" t="s">
        <v>42726</v>
      </c>
      <c r="U779" t="s">
        <v>43889</v>
      </c>
      <c r="W779" t="s">
        <v>37904</v>
      </c>
      <c r="X779" t="s">
        <v>41252</v>
      </c>
    </row>
    <row r="780" spans="1:24">
      <c r="A780">
        <f>HYPERLINK("https://www.philgeps.gov.ph/GEPSNONPILOT/Tender/SplashBidNoticeAbstractUI.aspx?menuIndex=3&amp;refID=7076794&amp;Result=3","7076794")</f>
        <v>0</v>
      </c>
      <c r="B780" t="s">
        <v>47</v>
      </c>
      <c r="C780" t="s">
        <v>4127</v>
      </c>
      <c r="D780" t="s">
        <v>16611</v>
      </c>
      <c r="E780" t="s">
        <v>17454</v>
      </c>
      <c r="F780" t="s">
        <v>28669</v>
      </c>
      <c r="G780" t="s">
        <v>28676</v>
      </c>
      <c r="H780" t="s">
        <v>9998</v>
      </c>
      <c r="I780" t="s">
        <v>28719</v>
      </c>
      <c r="J780" t="s">
        <v>29411</v>
      </c>
      <c r="K780" t="s">
        <v>37209</v>
      </c>
      <c r="M780" t="s">
        <v>37522</v>
      </c>
      <c r="N780" t="s">
        <v>41249</v>
      </c>
      <c r="O780" t="s">
        <v>41250</v>
      </c>
      <c r="P780">
        <v>0</v>
      </c>
      <c r="Q780">
        <v>2</v>
      </c>
      <c r="R780" t="s">
        <v>41251</v>
      </c>
      <c r="S780" t="s">
        <v>41369</v>
      </c>
      <c r="T780" t="s">
        <v>42694</v>
      </c>
      <c r="U780" t="s">
        <v>43890</v>
      </c>
      <c r="W780" t="s">
        <v>37522</v>
      </c>
      <c r="X780" t="s">
        <v>41252</v>
      </c>
    </row>
    <row r="781" spans="1:24">
      <c r="A781">
        <f>HYPERLINK("https://www.philgeps.gov.ph/GEPSNONPILOT/Tender/SplashBidNoticeAbstractUI.aspx?menuIndex=3&amp;refID=7076941&amp;Result=3","7076941")</f>
        <v>0</v>
      </c>
      <c r="B781" t="s">
        <v>394</v>
      </c>
      <c r="C781" t="s">
        <v>4128</v>
      </c>
      <c r="D781" t="s">
        <v>16675</v>
      </c>
      <c r="E781" t="s">
        <v>17455</v>
      </c>
      <c r="F781" t="s">
        <v>28669</v>
      </c>
      <c r="G781" t="s">
        <v>28676</v>
      </c>
      <c r="H781" t="s">
        <v>9998</v>
      </c>
      <c r="I781" t="s">
        <v>28690</v>
      </c>
      <c r="J781" t="s">
        <v>29412</v>
      </c>
      <c r="K781" t="s">
        <v>37210</v>
      </c>
      <c r="L781" t="s">
        <v>394</v>
      </c>
      <c r="M781" t="s">
        <v>37878</v>
      </c>
      <c r="N781" t="s">
        <v>41249</v>
      </c>
      <c r="O781" t="s">
        <v>41250</v>
      </c>
      <c r="P781">
        <v>0</v>
      </c>
      <c r="Q781">
        <v>0</v>
      </c>
      <c r="R781" t="s">
        <v>41251</v>
      </c>
      <c r="S781" t="s">
        <v>41369</v>
      </c>
      <c r="T781" t="s">
        <v>42717</v>
      </c>
      <c r="U781" t="s">
        <v>43891</v>
      </c>
      <c r="V781" t="s">
        <v>54338</v>
      </c>
      <c r="W781" t="s">
        <v>37878</v>
      </c>
      <c r="X781" t="s">
        <v>41252</v>
      </c>
    </row>
    <row r="782" spans="1:24">
      <c r="A782">
        <f>HYPERLINK("https://www.philgeps.gov.ph/GEPSNONPILOT/Tender/SplashBidNoticeAbstractUI.aspx?menuIndex=3&amp;refID=7076793&amp;Result=3","7076793")</f>
        <v>0</v>
      </c>
      <c r="B782" t="s">
        <v>420</v>
      </c>
      <c r="C782" t="s">
        <v>4129</v>
      </c>
      <c r="D782" t="s">
        <v>16654</v>
      </c>
      <c r="E782" t="s">
        <v>16888</v>
      </c>
      <c r="F782" t="s">
        <v>28669</v>
      </c>
      <c r="G782" t="s">
        <v>28675</v>
      </c>
      <c r="H782" t="s">
        <v>28686</v>
      </c>
      <c r="I782" t="s">
        <v>7352</v>
      </c>
      <c r="J782" t="s">
        <v>29245</v>
      </c>
      <c r="K782" t="s">
        <v>37205</v>
      </c>
      <c r="M782" t="s">
        <v>37905</v>
      </c>
      <c r="N782" t="s">
        <v>41249</v>
      </c>
      <c r="O782" t="s">
        <v>41250</v>
      </c>
      <c r="P782">
        <v>0</v>
      </c>
      <c r="Q782">
        <v>0</v>
      </c>
      <c r="R782" t="s">
        <v>41251</v>
      </c>
      <c r="S782" t="s">
        <v>41369</v>
      </c>
      <c r="T782" t="s">
        <v>42683</v>
      </c>
      <c r="U782" t="s">
        <v>43892</v>
      </c>
      <c r="W782" t="s">
        <v>37905</v>
      </c>
      <c r="X782" t="s">
        <v>41252</v>
      </c>
    </row>
    <row r="783" spans="1:24">
      <c r="A783">
        <f>HYPERLINK("https://www.philgeps.gov.ph/GEPSNONPILOT/Tender/SplashBidNoticeAbstractUI.aspx?menuIndex=3&amp;refID=7076955&amp;Result=3","7076955")</f>
        <v>0</v>
      </c>
      <c r="B783" t="s">
        <v>386</v>
      </c>
      <c r="C783" t="s">
        <v>4130</v>
      </c>
      <c r="D783" t="s">
        <v>16615</v>
      </c>
      <c r="E783" t="s">
        <v>17456</v>
      </c>
      <c r="F783" t="s">
        <v>28669</v>
      </c>
      <c r="G783" t="s">
        <v>28676</v>
      </c>
      <c r="H783" t="s">
        <v>9998</v>
      </c>
      <c r="I783" t="s">
        <v>28704</v>
      </c>
      <c r="J783" t="s">
        <v>29413</v>
      </c>
      <c r="K783" t="s">
        <v>37209</v>
      </c>
      <c r="M783" t="s">
        <v>37870</v>
      </c>
      <c r="N783" t="s">
        <v>41249</v>
      </c>
      <c r="O783" t="s">
        <v>41250</v>
      </c>
      <c r="P783">
        <v>0</v>
      </c>
      <c r="Q783">
        <v>0</v>
      </c>
      <c r="R783" t="s">
        <v>41251</v>
      </c>
      <c r="S783" t="s">
        <v>41369</v>
      </c>
      <c r="T783" t="s">
        <v>42675</v>
      </c>
      <c r="U783" t="s">
        <v>43893</v>
      </c>
      <c r="W783" t="s">
        <v>37870</v>
      </c>
      <c r="X783" t="s">
        <v>41252</v>
      </c>
    </row>
    <row r="784" spans="1:24">
      <c r="A784">
        <f>HYPERLINK("https://www.philgeps.gov.ph/GEPSNONPILOT/Tender/SplashBidNoticeAbstractUI.aspx?menuIndex=3&amp;refID=7076971&amp;Result=3","7076971")</f>
        <v>0</v>
      </c>
      <c r="B784" t="s">
        <v>421</v>
      </c>
      <c r="C784" t="s">
        <v>4131</v>
      </c>
      <c r="E784" t="s">
        <v>17457</v>
      </c>
      <c r="F784" t="s">
        <v>28669</v>
      </c>
      <c r="G784" t="s">
        <v>28676</v>
      </c>
      <c r="H784" t="s">
        <v>9998</v>
      </c>
      <c r="I784" t="s">
        <v>6606</v>
      </c>
      <c r="J784" t="s">
        <v>29414</v>
      </c>
      <c r="K784" t="s">
        <v>37209</v>
      </c>
      <c r="M784" t="s">
        <v>37906</v>
      </c>
      <c r="N784" t="s">
        <v>41249</v>
      </c>
      <c r="O784" t="s">
        <v>41250</v>
      </c>
      <c r="P784">
        <v>0</v>
      </c>
      <c r="Q784">
        <v>0</v>
      </c>
      <c r="R784" t="s">
        <v>41251</v>
      </c>
      <c r="S784" t="s">
        <v>41369</v>
      </c>
      <c r="T784" t="s">
        <v>42694</v>
      </c>
      <c r="U784" t="s">
        <v>43894</v>
      </c>
      <c r="W784" t="s">
        <v>37906</v>
      </c>
      <c r="X784" t="s">
        <v>41252</v>
      </c>
    </row>
    <row r="785" spans="1:24">
      <c r="A785">
        <f>HYPERLINK("https://www.philgeps.gov.ph/GEPSNONPILOT/Tender/SplashBidNoticeAbstractUI.aspx?menuIndex=3&amp;refID=7076901&amp;Result=3","7076901")</f>
        <v>0</v>
      </c>
      <c r="B785" t="s">
        <v>366</v>
      </c>
      <c r="C785" t="s">
        <v>4132</v>
      </c>
      <c r="D785" t="s">
        <v>16626</v>
      </c>
      <c r="E785" t="s">
        <v>17458</v>
      </c>
      <c r="F785" t="s">
        <v>28669</v>
      </c>
      <c r="G785" t="s">
        <v>28676</v>
      </c>
      <c r="H785" t="s">
        <v>9998</v>
      </c>
      <c r="I785" t="s">
        <v>6128</v>
      </c>
      <c r="J785" t="s">
        <v>29415</v>
      </c>
      <c r="K785" t="s">
        <v>37208</v>
      </c>
      <c r="M785" t="s">
        <v>37847</v>
      </c>
      <c r="N785" t="s">
        <v>41249</v>
      </c>
      <c r="O785" t="s">
        <v>41250</v>
      </c>
      <c r="P785">
        <v>0</v>
      </c>
      <c r="Q785">
        <v>3</v>
      </c>
      <c r="R785" t="s">
        <v>41251</v>
      </c>
      <c r="S785" t="s">
        <v>41369</v>
      </c>
      <c r="T785" t="s">
        <v>42675</v>
      </c>
      <c r="U785" t="s">
        <v>43793</v>
      </c>
      <c r="W785" t="s">
        <v>37847</v>
      </c>
      <c r="X785" t="s">
        <v>41252</v>
      </c>
    </row>
    <row r="786" spans="1:24">
      <c r="A786">
        <f>HYPERLINK("https://www.philgeps.gov.ph/GEPSNONPILOT/Tender/SplashBidNoticeAbstractUI.aspx?menuIndex=3&amp;refID=7076979&amp;Result=3","7076979")</f>
        <v>0</v>
      </c>
      <c r="B786" t="s">
        <v>422</v>
      </c>
      <c r="C786" t="s">
        <v>4133</v>
      </c>
      <c r="D786" t="s">
        <v>16640</v>
      </c>
      <c r="E786" t="s">
        <v>17459</v>
      </c>
      <c r="F786" t="s">
        <v>28669</v>
      </c>
      <c r="G786" t="s">
        <v>28676</v>
      </c>
      <c r="H786" t="s">
        <v>9998</v>
      </c>
      <c r="I786" t="s">
        <v>28704</v>
      </c>
      <c r="J786" t="s">
        <v>29416</v>
      </c>
      <c r="K786" t="s">
        <v>37205</v>
      </c>
      <c r="M786" t="s">
        <v>37907</v>
      </c>
      <c r="N786" t="s">
        <v>41249</v>
      </c>
      <c r="O786" t="s">
        <v>41250</v>
      </c>
      <c r="P786">
        <v>0</v>
      </c>
      <c r="Q786">
        <v>0</v>
      </c>
      <c r="R786" t="s">
        <v>41251</v>
      </c>
      <c r="S786" t="s">
        <v>41369</v>
      </c>
      <c r="T786" t="s">
        <v>42673</v>
      </c>
      <c r="U786" t="s">
        <v>43895</v>
      </c>
      <c r="W786" t="s">
        <v>55917</v>
      </c>
      <c r="X786" t="s">
        <v>41252</v>
      </c>
    </row>
    <row r="787" spans="1:24">
      <c r="A787">
        <f>HYPERLINK("https://www.philgeps.gov.ph/GEPSNONPILOT/Tender/SplashBidNoticeAbstractUI.aspx?menuIndex=3&amp;refID=7076875&amp;Result=3","7076875")</f>
        <v>0</v>
      </c>
      <c r="B787" t="s">
        <v>356</v>
      </c>
      <c r="C787" t="s">
        <v>4134</v>
      </c>
      <c r="D787" t="s">
        <v>16639</v>
      </c>
      <c r="E787" t="s">
        <v>17460</v>
      </c>
      <c r="F787" t="s">
        <v>28669</v>
      </c>
      <c r="G787" t="s">
        <v>28676</v>
      </c>
      <c r="H787" t="s">
        <v>9998</v>
      </c>
      <c r="I787" t="s">
        <v>28756</v>
      </c>
      <c r="J787" t="s">
        <v>29417</v>
      </c>
      <c r="K787" t="s">
        <v>37210</v>
      </c>
      <c r="M787" t="s">
        <v>37837</v>
      </c>
      <c r="N787" t="s">
        <v>41249</v>
      </c>
      <c r="O787" t="s">
        <v>41250</v>
      </c>
      <c r="P787">
        <v>0</v>
      </c>
      <c r="Q787">
        <v>0</v>
      </c>
      <c r="R787" t="s">
        <v>41251</v>
      </c>
      <c r="S787" t="s">
        <v>41369</v>
      </c>
      <c r="T787" t="s">
        <v>42717</v>
      </c>
      <c r="U787" t="s">
        <v>43777</v>
      </c>
      <c r="V787" t="s">
        <v>54334</v>
      </c>
      <c r="W787" t="s">
        <v>37837</v>
      </c>
      <c r="X787" t="s">
        <v>41252</v>
      </c>
    </row>
    <row r="788" spans="1:24">
      <c r="A788">
        <f>HYPERLINK("https://www.philgeps.gov.ph/GEPSNONPILOT/Tender/SplashBidNoticeAbstractUI.aspx?menuIndex=3&amp;refID=7076978&amp;Result=3","7076978")</f>
        <v>0</v>
      </c>
      <c r="B788" t="s">
        <v>250</v>
      </c>
      <c r="C788" t="s">
        <v>4135</v>
      </c>
      <c r="D788" t="s">
        <v>16621</v>
      </c>
      <c r="E788" t="s">
        <v>17461</v>
      </c>
      <c r="F788" t="s">
        <v>28669</v>
      </c>
      <c r="G788" t="s">
        <v>28676</v>
      </c>
      <c r="H788" t="s">
        <v>9998</v>
      </c>
      <c r="I788" t="s">
        <v>6606</v>
      </c>
      <c r="J788" t="s">
        <v>29418</v>
      </c>
      <c r="K788" t="s">
        <v>37205</v>
      </c>
      <c r="M788" t="s">
        <v>37728</v>
      </c>
      <c r="N788" t="s">
        <v>41249</v>
      </c>
      <c r="O788" t="s">
        <v>41250</v>
      </c>
      <c r="P788">
        <v>0</v>
      </c>
      <c r="Q788">
        <v>1</v>
      </c>
      <c r="R788" t="s">
        <v>41251</v>
      </c>
      <c r="S788" t="s">
        <v>41369</v>
      </c>
      <c r="T788" t="s">
        <v>42675</v>
      </c>
      <c r="U788" t="s">
        <v>43896</v>
      </c>
      <c r="W788" t="s">
        <v>37728</v>
      </c>
      <c r="X788" t="s">
        <v>41252</v>
      </c>
    </row>
    <row r="789" spans="1:24">
      <c r="A789">
        <f>HYPERLINK("https://www.philgeps.gov.ph/GEPSNONPILOT/Tender/SplashBidNoticeAbstractUI.aspx?menuIndex=3&amp;refID=7076973&amp;Result=3","7076973")</f>
        <v>0</v>
      </c>
      <c r="B789" t="s">
        <v>346</v>
      </c>
      <c r="C789" t="s">
        <v>4136</v>
      </c>
      <c r="D789" t="s">
        <v>16658</v>
      </c>
      <c r="E789" t="s">
        <v>17462</v>
      </c>
      <c r="F789" t="s">
        <v>28669</v>
      </c>
      <c r="G789" t="s">
        <v>28675</v>
      </c>
      <c r="H789" t="s">
        <v>28686</v>
      </c>
      <c r="I789" t="s">
        <v>28689</v>
      </c>
      <c r="J789" t="s">
        <v>29419</v>
      </c>
      <c r="K789" t="s">
        <v>37211</v>
      </c>
      <c r="M789" t="s">
        <v>37826</v>
      </c>
      <c r="N789" t="s">
        <v>41249</v>
      </c>
      <c r="O789" t="s">
        <v>41250</v>
      </c>
      <c r="P789">
        <v>0</v>
      </c>
      <c r="Q789">
        <v>1</v>
      </c>
      <c r="R789" t="s">
        <v>41251</v>
      </c>
      <c r="S789" t="s">
        <v>41369</v>
      </c>
      <c r="T789" t="s">
        <v>42716</v>
      </c>
      <c r="U789" t="s">
        <v>43897</v>
      </c>
      <c r="W789" t="s">
        <v>37826</v>
      </c>
      <c r="X789" t="s">
        <v>41252</v>
      </c>
    </row>
    <row r="790" spans="1:24">
      <c r="A790">
        <f>HYPERLINK("https://www.philgeps.gov.ph/GEPSNONPILOT/Tender/SplashBidNoticeAbstractUI.aspx?menuIndex=3&amp;refID=7076956&amp;Result=3","7076956")</f>
        <v>0</v>
      </c>
      <c r="B790" t="s">
        <v>250</v>
      </c>
      <c r="C790" t="s">
        <v>4137</v>
      </c>
      <c r="D790" t="s">
        <v>16621</v>
      </c>
      <c r="E790" t="s">
        <v>17463</v>
      </c>
      <c r="F790" t="s">
        <v>28669</v>
      </c>
      <c r="G790" t="s">
        <v>28676</v>
      </c>
      <c r="H790" t="s">
        <v>9998</v>
      </c>
      <c r="I790" t="s">
        <v>6606</v>
      </c>
      <c r="J790" t="s">
        <v>29124</v>
      </c>
      <c r="K790" t="s">
        <v>37205</v>
      </c>
      <c r="M790" t="s">
        <v>37728</v>
      </c>
      <c r="N790" t="s">
        <v>41249</v>
      </c>
      <c r="O790" t="s">
        <v>41250</v>
      </c>
      <c r="P790">
        <v>0</v>
      </c>
      <c r="Q790">
        <v>1</v>
      </c>
      <c r="R790" t="s">
        <v>41251</v>
      </c>
      <c r="S790" t="s">
        <v>41369</v>
      </c>
      <c r="T790" t="s">
        <v>42675</v>
      </c>
      <c r="U790" t="s">
        <v>43898</v>
      </c>
      <c r="W790" t="s">
        <v>37728</v>
      </c>
      <c r="X790" t="s">
        <v>41252</v>
      </c>
    </row>
    <row r="791" spans="1:24">
      <c r="A791">
        <f>HYPERLINK("https://www.philgeps.gov.ph/GEPSNONPILOT/Tender/SplashBidNoticeAbstractUI.aspx?menuIndex=3&amp;refID=7076969&amp;Result=3","7076969")</f>
        <v>0</v>
      </c>
      <c r="B791" t="s">
        <v>368</v>
      </c>
      <c r="C791" t="s">
        <v>4138</v>
      </c>
      <c r="D791" t="s">
        <v>16640</v>
      </c>
      <c r="E791" t="s">
        <v>17464</v>
      </c>
      <c r="F791" t="s">
        <v>28669</v>
      </c>
      <c r="G791" t="s">
        <v>28675</v>
      </c>
      <c r="H791" t="s">
        <v>28686</v>
      </c>
      <c r="I791" t="s">
        <v>28689</v>
      </c>
      <c r="J791" t="s">
        <v>28836</v>
      </c>
      <c r="K791" t="s">
        <v>37213</v>
      </c>
      <c r="M791" t="s">
        <v>37850</v>
      </c>
      <c r="N791" t="s">
        <v>41249</v>
      </c>
      <c r="O791" t="s">
        <v>41250</v>
      </c>
      <c r="P791">
        <v>0</v>
      </c>
      <c r="Q791">
        <v>0</v>
      </c>
      <c r="R791" t="s">
        <v>41251</v>
      </c>
      <c r="S791" t="s">
        <v>41369</v>
      </c>
      <c r="T791" t="s">
        <v>42669</v>
      </c>
      <c r="U791" t="s">
        <v>43886</v>
      </c>
      <c r="W791" t="s">
        <v>37850</v>
      </c>
      <c r="X791" t="s">
        <v>41252</v>
      </c>
    </row>
    <row r="792" spans="1:24">
      <c r="A792">
        <f>HYPERLINK("https://www.philgeps.gov.ph/GEPSNONPILOT/Tender/SplashBidNoticeAbstractUI.aspx?menuIndex=3&amp;refID=7076902&amp;Result=3","7076902")</f>
        <v>0</v>
      </c>
      <c r="B792" t="s">
        <v>140</v>
      </c>
      <c r="C792" t="s">
        <v>4139</v>
      </c>
      <c r="D792" t="s">
        <v>16652</v>
      </c>
      <c r="E792" t="s">
        <v>17465</v>
      </c>
      <c r="F792" t="s">
        <v>28669</v>
      </c>
      <c r="G792" t="s">
        <v>28676</v>
      </c>
      <c r="H792" t="s">
        <v>9998</v>
      </c>
      <c r="I792" t="s">
        <v>6128</v>
      </c>
      <c r="J792" t="s">
        <v>29420</v>
      </c>
      <c r="K792" t="s">
        <v>37234</v>
      </c>
      <c r="M792" t="s">
        <v>37617</v>
      </c>
      <c r="N792" t="s">
        <v>41249</v>
      </c>
      <c r="O792" t="s">
        <v>41250</v>
      </c>
      <c r="P792">
        <v>0</v>
      </c>
      <c r="Q792">
        <v>2</v>
      </c>
      <c r="R792" t="s">
        <v>41251</v>
      </c>
      <c r="S792" t="s">
        <v>41369</v>
      </c>
      <c r="T792" t="s">
        <v>42787</v>
      </c>
      <c r="U792" t="s">
        <v>43783</v>
      </c>
      <c r="W792" t="s">
        <v>37617</v>
      </c>
      <c r="X792" t="s">
        <v>41252</v>
      </c>
    </row>
    <row r="793" spans="1:24">
      <c r="A793">
        <f>HYPERLINK("https://www.philgeps.gov.ph/GEPSNONPILOT/Tender/SplashBidNoticeAbstractUI.aspx?menuIndex=3&amp;refID=7076967&amp;Result=3","7076967")</f>
        <v>0</v>
      </c>
      <c r="B793" t="s">
        <v>423</v>
      </c>
      <c r="C793" t="s">
        <v>4140</v>
      </c>
      <c r="D793" t="s">
        <v>16640</v>
      </c>
      <c r="E793" t="s">
        <v>16707</v>
      </c>
      <c r="F793" t="s">
        <v>28669</v>
      </c>
      <c r="G793" t="s">
        <v>28675</v>
      </c>
      <c r="H793" t="s">
        <v>28686</v>
      </c>
      <c r="I793" t="s">
        <v>28689</v>
      </c>
      <c r="J793" t="s">
        <v>29421</v>
      </c>
      <c r="K793" t="s">
        <v>37206</v>
      </c>
      <c r="M793" t="s">
        <v>37908</v>
      </c>
      <c r="N793" t="s">
        <v>41249</v>
      </c>
      <c r="O793" t="s">
        <v>41250</v>
      </c>
      <c r="P793">
        <v>0</v>
      </c>
      <c r="Q793">
        <v>0</v>
      </c>
      <c r="R793" t="s">
        <v>41251</v>
      </c>
      <c r="S793" t="s">
        <v>41369</v>
      </c>
      <c r="T793" t="s">
        <v>42795</v>
      </c>
      <c r="U793" t="s">
        <v>43899</v>
      </c>
      <c r="W793" t="s">
        <v>37908</v>
      </c>
      <c r="X793" t="s">
        <v>41252</v>
      </c>
    </row>
    <row r="794" spans="1:24">
      <c r="A794">
        <f>HYPERLINK("https://www.philgeps.gov.ph/GEPSNONPILOT/Tender/SplashBidNoticeAbstractUI.aspx?menuIndex=3&amp;refID=7076922&amp;Result=3","7076922")</f>
        <v>0</v>
      </c>
      <c r="B794" t="s">
        <v>373</v>
      </c>
      <c r="C794" t="s">
        <v>4141</v>
      </c>
      <c r="D794" t="s">
        <v>16618</v>
      </c>
      <c r="E794" t="s">
        <v>17466</v>
      </c>
      <c r="F794" t="s">
        <v>28669</v>
      </c>
      <c r="G794" t="s">
        <v>28676</v>
      </c>
      <c r="H794" t="s">
        <v>9998</v>
      </c>
      <c r="I794" t="s">
        <v>28690</v>
      </c>
      <c r="J794" t="s">
        <v>29422</v>
      </c>
      <c r="K794" t="s">
        <v>37209</v>
      </c>
      <c r="M794" t="s">
        <v>37855</v>
      </c>
      <c r="N794" t="s">
        <v>41249</v>
      </c>
      <c r="O794" t="s">
        <v>41250</v>
      </c>
      <c r="P794">
        <v>0</v>
      </c>
      <c r="Q794">
        <v>0</v>
      </c>
      <c r="R794" t="s">
        <v>41251</v>
      </c>
      <c r="S794" t="s">
        <v>41369</v>
      </c>
      <c r="T794" t="s">
        <v>42706</v>
      </c>
      <c r="U794" t="s">
        <v>43900</v>
      </c>
      <c r="W794" t="s">
        <v>37855</v>
      </c>
      <c r="X794" t="s">
        <v>41252</v>
      </c>
    </row>
    <row r="795" spans="1:24">
      <c r="A795">
        <f>HYPERLINK("https://www.philgeps.gov.ph/GEPSNONPILOT/Tender/SplashBidNoticeAbstractUI.aspx?menuIndex=3&amp;refID=7076966&amp;Result=3","7076966")</f>
        <v>0</v>
      </c>
      <c r="B795" t="s">
        <v>424</v>
      </c>
      <c r="C795" t="s">
        <v>4142</v>
      </c>
      <c r="D795" t="s">
        <v>16636</v>
      </c>
      <c r="E795" t="s">
        <v>17467</v>
      </c>
      <c r="F795" t="s">
        <v>28669</v>
      </c>
      <c r="G795" t="s">
        <v>28677</v>
      </c>
      <c r="H795" t="s">
        <v>9998</v>
      </c>
      <c r="I795" t="s">
        <v>28693</v>
      </c>
      <c r="J795" t="s">
        <v>29423</v>
      </c>
      <c r="K795" t="s">
        <v>37234</v>
      </c>
      <c r="L795" t="s">
        <v>424</v>
      </c>
      <c r="M795" t="s">
        <v>37909</v>
      </c>
      <c r="N795" t="s">
        <v>41249</v>
      </c>
      <c r="O795" t="s">
        <v>41250</v>
      </c>
      <c r="P795">
        <v>0</v>
      </c>
      <c r="Q795">
        <v>3</v>
      </c>
      <c r="R795" t="s">
        <v>41251</v>
      </c>
      <c r="S795" t="s">
        <v>41369</v>
      </c>
      <c r="T795" t="s">
        <v>42736</v>
      </c>
      <c r="U795" t="s">
        <v>43901</v>
      </c>
      <c r="W795" t="s">
        <v>37909</v>
      </c>
      <c r="X795" t="s">
        <v>41252</v>
      </c>
    </row>
    <row r="796" spans="1:24">
      <c r="A796">
        <f>HYPERLINK("https://www.philgeps.gov.ph/GEPSNONPILOT/Tender/SplashBidNoticeAbstractUI.aspx?menuIndex=3&amp;refID=7076976&amp;Result=3","7076976")</f>
        <v>0</v>
      </c>
      <c r="B796" t="s">
        <v>425</v>
      </c>
      <c r="C796" t="s">
        <v>4143</v>
      </c>
      <c r="D796" t="s">
        <v>16653</v>
      </c>
      <c r="E796" t="s">
        <v>17468</v>
      </c>
      <c r="F796" t="s">
        <v>28669</v>
      </c>
      <c r="G796" t="s">
        <v>28676</v>
      </c>
      <c r="H796" t="s">
        <v>9998</v>
      </c>
      <c r="I796" t="s">
        <v>28695</v>
      </c>
      <c r="J796" t="s">
        <v>29424</v>
      </c>
      <c r="K796" t="s">
        <v>37208</v>
      </c>
      <c r="M796" t="s">
        <v>37910</v>
      </c>
      <c r="N796" t="s">
        <v>41249</v>
      </c>
      <c r="O796" t="s">
        <v>41250</v>
      </c>
      <c r="P796">
        <v>0</v>
      </c>
      <c r="Q796">
        <v>0</v>
      </c>
      <c r="R796" t="s">
        <v>41251</v>
      </c>
      <c r="S796" t="s">
        <v>41369</v>
      </c>
      <c r="T796" t="s">
        <v>42717</v>
      </c>
      <c r="U796" t="s">
        <v>43902</v>
      </c>
      <c r="W796" t="s">
        <v>37910</v>
      </c>
      <c r="X796" t="s">
        <v>41252</v>
      </c>
    </row>
    <row r="797" spans="1:24">
      <c r="A797">
        <f>HYPERLINK("https://www.philgeps.gov.ph/GEPSNONPILOT/Tender/SplashBidNoticeAbstractUI.aspx?menuIndex=3&amp;refID=7076972&amp;Result=3","7076972")</f>
        <v>0</v>
      </c>
      <c r="B797" t="s">
        <v>399</v>
      </c>
      <c r="C797" t="s">
        <v>4144</v>
      </c>
      <c r="E797" t="s">
        <v>17469</v>
      </c>
      <c r="F797" t="s">
        <v>28669</v>
      </c>
      <c r="G797" t="s">
        <v>28676</v>
      </c>
      <c r="H797" t="s">
        <v>9998</v>
      </c>
      <c r="I797" t="s">
        <v>28695</v>
      </c>
      <c r="J797" t="s">
        <v>29425</v>
      </c>
      <c r="K797" t="s">
        <v>37206</v>
      </c>
      <c r="M797" t="s">
        <v>37884</v>
      </c>
      <c r="N797" t="s">
        <v>41249</v>
      </c>
      <c r="O797" t="s">
        <v>41250</v>
      </c>
      <c r="P797">
        <v>0</v>
      </c>
      <c r="Q797">
        <v>0</v>
      </c>
      <c r="R797" t="s">
        <v>41251</v>
      </c>
      <c r="S797" t="s">
        <v>41369</v>
      </c>
      <c r="T797" t="s">
        <v>42770</v>
      </c>
      <c r="U797" t="s">
        <v>43849</v>
      </c>
      <c r="W797" t="s">
        <v>37884</v>
      </c>
      <c r="X797" t="s">
        <v>41252</v>
      </c>
    </row>
    <row r="798" spans="1:24">
      <c r="A798">
        <f>HYPERLINK("https://www.philgeps.gov.ph/GEPSNONPILOT/Tender/SplashBidNoticeAbstractUI.aspx?menuIndex=3&amp;refID=7076961&amp;Result=3","7076961")</f>
        <v>0</v>
      </c>
      <c r="B798" t="s">
        <v>426</v>
      </c>
      <c r="C798" t="s">
        <v>4145</v>
      </c>
      <c r="D798" t="s">
        <v>16666</v>
      </c>
      <c r="E798" t="s">
        <v>17470</v>
      </c>
      <c r="F798" t="s">
        <v>28669</v>
      </c>
      <c r="G798" t="s">
        <v>28676</v>
      </c>
      <c r="H798" t="s">
        <v>9998</v>
      </c>
      <c r="I798" t="s">
        <v>28717</v>
      </c>
      <c r="J798" t="s">
        <v>29426</v>
      </c>
      <c r="K798" t="s">
        <v>37205</v>
      </c>
      <c r="M798" t="s">
        <v>37911</v>
      </c>
      <c r="N798" t="s">
        <v>41249</v>
      </c>
      <c r="O798" t="s">
        <v>41250</v>
      </c>
      <c r="P798">
        <v>0</v>
      </c>
      <c r="Q798">
        <v>6</v>
      </c>
      <c r="R798" t="s">
        <v>41251</v>
      </c>
      <c r="S798" t="s">
        <v>41369</v>
      </c>
      <c r="T798" t="s">
        <v>42717</v>
      </c>
      <c r="U798" t="s">
        <v>43903</v>
      </c>
      <c r="W798" t="s">
        <v>37911</v>
      </c>
      <c r="X798" t="s">
        <v>41252</v>
      </c>
    </row>
    <row r="799" spans="1:24">
      <c r="A799">
        <f>HYPERLINK("https://www.philgeps.gov.ph/GEPSNONPILOT/Tender/SplashBidNoticeAbstractUI.aspx?menuIndex=3&amp;refID=7076970&amp;Result=3","7076970")</f>
        <v>0</v>
      </c>
      <c r="B799" t="s">
        <v>29</v>
      </c>
      <c r="C799" t="s">
        <v>4146</v>
      </c>
      <c r="D799" t="s">
        <v>16620</v>
      </c>
      <c r="E799" t="s">
        <v>17471</v>
      </c>
      <c r="F799" t="s">
        <v>28669</v>
      </c>
      <c r="G799" t="s">
        <v>28676</v>
      </c>
      <c r="H799" t="s">
        <v>9998</v>
      </c>
      <c r="I799" t="s">
        <v>28756</v>
      </c>
      <c r="J799" t="s">
        <v>29427</v>
      </c>
      <c r="K799" t="s">
        <v>37209</v>
      </c>
      <c r="M799" t="s">
        <v>37504</v>
      </c>
      <c r="N799" t="s">
        <v>41249</v>
      </c>
      <c r="O799" t="s">
        <v>41250</v>
      </c>
      <c r="P799">
        <v>0</v>
      </c>
      <c r="Q799">
        <v>0</v>
      </c>
      <c r="R799" t="s">
        <v>41251</v>
      </c>
      <c r="S799" t="s">
        <v>41369</v>
      </c>
      <c r="T799" t="s">
        <v>42686</v>
      </c>
      <c r="U799" t="s">
        <v>43904</v>
      </c>
      <c r="W799" t="s">
        <v>37504</v>
      </c>
      <c r="X799" t="s">
        <v>41252</v>
      </c>
    </row>
    <row r="800" spans="1:24">
      <c r="A800">
        <f>HYPERLINK("https://www.philgeps.gov.ph/GEPSNONPILOT/Tender/SplashBidNoticeAbstractUI.aspx?menuIndex=3&amp;refID=7077004&amp;Result=3","7077004")</f>
        <v>0</v>
      </c>
      <c r="B800" t="s">
        <v>422</v>
      </c>
      <c r="C800" t="s">
        <v>4147</v>
      </c>
      <c r="D800" t="s">
        <v>16640</v>
      </c>
      <c r="E800" t="s">
        <v>17472</v>
      </c>
      <c r="F800" t="s">
        <v>28669</v>
      </c>
      <c r="G800" t="s">
        <v>28676</v>
      </c>
      <c r="H800" t="s">
        <v>9998</v>
      </c>
      <c r="I800" t="s">
        <v>28704</v>
      </c>
      <c r="J800" t="s">
        <v>29428</v>
      </c>
      <c r="K800" t="s">
        <v>37205</v>
      </c>
      <c r="M800" t="s">
        <v>37907</v>
      </c>
      <c r="N800" t="s">
        <v>41249</v>
      </c>
      <c r="O800" t="s">
        <v>41250</v>
      </c>
      <c r="P800">
        <v>0</v>
      </c>
      <c r="Q800">
        <v>0</v>
      </c>
      <c r="R800" t="s">
        <v>41251</v>
      </c>
      <c r="S800" t="s">
        <v>41369</v>
      </c>
      <c r="T800" t="s">
        <v>42673</v>
      </c>
      <c r="U800" t="s">
        <v>43895</v>
      </c>
      <c r="W800" t="s">
        <v>55917</v>
      </c>
      <c r="X800" t="s">
        <v>41252</v>
      </c>
    </row>
    <row r="801" spans="1:24">
      <c r="A801">
        <f>HYPERLINK("https://www.philgeps.gov.ph/GEPSNONPILOT/Tender/SplashBidNoticeAbstractUI.aspx?menuIndex=3&amp;refID=7076921&amp;Result=3","7076921")</f>
        <v>0</v>
      </c>
      <c r="B801" t="s">
        <v>427</v>
      </c>
      <c r="C801" t="s">
        <v>4148</v>
      </c>
      <c r="D801" t="s">
        <v>16608</v>
      </c>
      <c r="E801" t="s">
        <v>17473</v>
      </c>
      <c r="F801" t="s">
        <v>28669</v>
      </c>
      <c r="G801" t="s">
        <v>28677</v>
      </c>
      <c r="H801" t="s">
        <v>9998</v>
      </c>
      <c r="I801" t="s">
        <v>28749</v>
      </c>
      <c r="J801" t="s">
        <v>29225</v>
      </c>
      <c r="K801" t="s">
        <v>37205</v>
      </c>
      <c r="M801" t="s">
        <v>37912</v>
      </c>
      <c r="N801" t="s">
        <v>41249</v>
      </c>
      <c r="O801" t="s">
        <v>41250</v>
      </c>
      <c r="P801">
        <v>0</v>
      </c>
      <c r="Q801">
        <v>4</v>
      </c>
      <c r="R801" t="s">
        <v>41251</v>
      </c>
      <c r="S801" t="s">
        <v>41369</v>
      </c>
      <c r="T801" t="s">
        <v>42673</v>
      </c>
      <c r="U801" t="s">
        <v>43905</v>
      </c>
      <c r="W801" t="s">
        <v>37912</v>
      </c>
      <c r="X801" t="s">
        <v>41252</v>
      </c>
    </row>
    <row r="802" spans="1:24">
      <c r="A802">
        <f>HYPERLINK("https://www.philgeps.gov.ph/GEPSNONPILOT/Tender/SplashBidNoticeAbstractUI.aspx?menuIndex=3&amp;refID=7076965&amp;Result=3","7076965")</f>
        <v>0</v>
      </c>
      <c r="B802" t="s">
        <v>394</v>
      </c>
      <c r="C802" t="s">
        <v>4149</v>
      </c>
      <c r="D802" t="s">
        <v>16675</v>
      </c>
      <c r="E802" t="s">
        <v>17474</v>
      </c>
      <c r="F802" t="s">
        <v>28669</v>
      </c>
      <c r="G802" t="s">
        <v>28676</v>
      </c>
      <c r="H802" t="s">
        <v>9998</v>
      </c>
      <c r="I802" t="s">
        <v>3718</v>
      </c>
      <c r="J802" t="s">
        <v>29429</v>
      </c>
      <c r="K802" t="s">
        <v>37210</v>
      </c>
      <c r="L802" t="s">
        <v>394</v>
      </c>
      <c r="M802" t="s">
        <v>37878</v>
      </c>
      <c r="N802" t="s">
        <v>41249</v>
      </c>
      <c r="O802" t="s">
        <v>41250</v>
      </c>
      <c r="P802">
        <v>0</v>
      </c>
      <c r="Q802">
        <v>5</v>
      </c>
      <c r="R802" t="s">
        <v>41251</v>
      </c>
      <c r="S802" t="s">
        <v>41369</v>
      </c>
      <c r="T802" t="s">
        <v>42717</v>
      </c>
      <c r="U802" t="s">
        <v>43906</v>
      </c>
      <c r="V802" t="s">
        <v>54338</v>
      </c>
      <c r="W802" t="s">
        <v>37878</v>
      </c>
      <c r="X802" t="s">
        <v>41252</v>
      </c>
    </row>
    <row r="803" spans="1:24">
      <c r="A803">
        <f>HYPERLINK("https://www.philgeps.gov.ph/GEPSNONPILOT/Tender/SplashBidNoticeAbstractUI.aspx?menuIndex=3&amp;refID=7076999&amp;Result=3","7076999")</f>
        <v>0</v>
      </c>
      <c r="B803" t="s">
        <v>346</v>
      </c>
      <c r="C803" t="s">
        <v>4150</v>
      </c>
      <c r="D803" t="s">
        <v>16658</v>
      </c>
      <c r="E803" t="s">
        <v>17475</v>
      </c>
      <c r="F803" t="s">
        <v>28669</v>
      </c>
      <c r="G803" t="s">
        <v>28675</v>
      </c>
      <c r="H803" t="s">
        <v>28686</v>
      </c>
      <c r="I803" t="s">
        <v>28689</v>
      </c>
      <c r="J803" t="s">
        <v>29430</v>
      </c>
      <c r="K803" t="s">
        <v>37211</v>
      </c>
      <c r="M803" t="s">
        <v>37826</v>
      </c>
      <c r="N803" t="s">
        <v>41249</v>
      </c>
      <c r="O803" t="s">
        <v>41250</v>
      </c>
      <c r="P803">
        <v>0</v>
      </c>
      <c r="Q803">
        <v>0</v>
      </c>
      <c r="R803" t="s">
        <v>41251</v>
      </c>
      <c r="S803" t="s">
        <v>41369</v>
      </c>
      <c r="T803" t="s">
        <v>42716</v>
      </c>
      <c r="U803" t="s">
        <v>43907</v>
      </c>
      <c r="W803" t="s">
        <v>37826</v>
      </c>
      <c r="X803" t="s">
        <v>41252</v>
      </c>
    </row>
    <row r="804" spans="1:24">
      <c r="A804">
        <f>HYPERLINK("https://www.philgeps.gov.ph/GEPSNONPILOT/Tender/SplashBidNoticeAbstractUI.aspx?menuIndex=3&amp;refID=7076964&amp;Result=3","7076964")</f>
        <v>0</v>
      </c>
      <c r="B804" t="s">
        <v>250</v>
      </c>
      <c r="C804" t="s">
        <v>4151</v>
      </c>
      <c r="D804" t="s">
        <v>16621</v>
      </c>
      <c r="E804" t="s">
        <v>17476</v>
      </c>
      <c r="F804" t="s">
        <v>28669</v>
      </c>
      <c r="G804" t="s">
        <v>28676</v>
      </c>
      <c r="H804" t="s">
        <v>9998</v>
      </c>
      <c r="I804" t="s">
        <v>28696</v>
      </c>
      <c r="J804" t="s">
        <v>28838</v>
      </c>
      <c r="K804" t="s">
        <v>37205</v>
      </c>
      <c r="M804" t="s">
        <v>37728</v>
      </c>
      <c r="N804" t="s">
        <v>41249</v>
      </c>
      <c r="O804" t="s">
        <v>41250</v>
      </c>
      <c r="P804">
        <v>0</v>
      </c>
      <c r="Q804">
        <v>3</v>
      </c>
      <c r="R804" t="s">
        <v>41251</v>
      </c>
      <c r="S804" t="s">
        <v>41369</v>
      </c>
      <c r="T804" t="s">
        <v>42675</v>
      </c>
      <c r="U804" t="s">
        <v>43908</v>
      </c>
      <c r="W804" t="s">
        <v>37728</v>
      </c>
      <c r="X804" t="s">
        <v>41252</v>
      </c>
    </row>
    <row r="805" spans="1:24">
      <c r="A805">
        <f>HYPERLINK("https://www.philgeps.gov.ph/GEPSNONPILOT/Tender/SplashBidNoticeAbstractUI.aspx?menuIndex=3&amp;refID=7076995&amp;Result=3","7076995")</f>
        <v>0</v>
      </c>
      <c r="B805" t="s">
        <v>422</v>
      </c>
      <c r="C805" t="s">
        <v>4152</v>
      </c>
      <c r="D805" t="s">
        <v>16640</v>
      </c>
      <c r="E805" t="s">
        <v>17477</v>
      </c>
      <c r="F805" t="s">
        <v>28669</v>
      </c>
      <c r="G805" t="s">
        <v>28676</v>
      </c>
      <c r="H805" t="s">
        <v>9998</v>
      </c>
      <c r="I805" t="s">
        <v>28704</v>
      </c>
      <c r="J805" t="s">
        <v>29431</v>
      </c>
      <c r="K805" t="s">
        <v>37205</v>
      </c>
      <c r="M805" t="s">
        <v>37907</v>
      </c>
      <c r="N805" t="s">
        <v>41249</v>
      </c>
      <c r="O805" t="s">
        <v>41250</v>
      </c>
      <c r="P805">
        <v>0</v>
      </c>
      <c r="Q805">
        <v>0</v>
      </c>
      <c r="R805" t="s">
        <v>41251</v>
      </c>
      <c r="S805" t="s">
        <v>41369</v>
      </c>
      <c r="T805" t="s">
        <v>42673</v>
      </c>
      <c r="U805" t="s">
        <v>43895</v>
      </c>
      <c r="W805" t="s">
        <v>55917</v>
      </c>
      <c r="X805" t="s">
        <v>41252</v>
      </c>
    </row>
    <row r="806" spans="1:24">
      <c r="A806">
        <f>HYPERLINK("https://www.philgeps.gov.ph/GEPSNONPILOT/Tender/SplashBidNoticeAbstractUI.aspx?menuIndex=3&amp;refID=7076980&amp;Result=3","7076980")</f>
        <v>0</v>
      </c>
      <c r="B806" t="s">
        <v>366</v>
      </c>
      <c r="C806" t="s">
        <v>4153</v>
      </c>
      <c r="D806" t="s">
        <v>16626</v>
      </c>
      <c r="E806" t="s">
        <v>17478</v>
      </c>
      <c r="F806" t="s">
        <v>28669</v>
      </c>
      <c r="G806" t="s">
        <v>28676</v>
      </c>
      <c r="H806" t="s">
        <v>9998</v>
      </c>
      <c r="I806" t="s">
        <v>5033</v>
      </c>
      <c r="J806" t="s">
        <v>29432</v>
      </c>
      <c r="K806" t="s">
        <v>37208</v>
      </c>
      <c r="M806" t="s">
        <v>37847</v>
      </c>
      <c r="N806" t="s">
        <v>41249</v>
      </c>
      <c r="O806" t="s">
        <v>41250</v>
      </c>
      <c r="P806">
        <v>0</v>
      </c>
      <c r="Q806">
        <v>1</v>
      </c>
      <c r="R806" t="s">
        <v>41251</v>
      </c>
      <c r="S806" t="s">
        <v>41369</v>
      </c>
      <c r="T806" t="s">
        <v>42675</v>
      </c>
      <c r="U806" t="s">
        <v>43909</v>
      </c>
      <c r="W806" t="s">
        <v>37847</v>
      </c>
      <c r="X806" t="s">
        <v>41252</v>
      </c>
    </row>
    <row r="807" spans="1:24">
      <c r="A807">
        <f>HYPERLINK("https://www.philgeps.gov.ph/GEPSNONPILOT/Tender/SplashBidNoticeAbstractUI.aspx?menuIndex=3&amp;refID=7076994&amp;Result=3","7076994")</f>
        <v>0</v>
      </c>
      <c r="B807" t="s">
        <v>394</v>
      </c>
      <c r="C807" t="s">
        <v>4154</v>
      </c>
      <c r="D807" t="s">
        <v>16675</v>
      </c>
      <c r="E807" t="s">
        <v>17479</v>
      </c>
      <c r="F807" t="s">
        <v>28669</v>
      </c>
      <c r="G807" t="s">
        <v>28676</v>
      </c>
      <c r="H807" t="s">
        <v>9998</v>
      </c>
      <c r="I807" t="s">
        <v>28719</v>
      </c>
      <c r="J807" t="s">
        <v>28877</v>
      </c>
      <c r="K807" t="s">
        <v>37210</v>
      </c>
      <c r="L807" t="s">
        <v>394</v>
      </c>
      <c r="M807" t="s">
        <v>37878</v>
      </c>
      <c r="N807" t="s">
        <v>41249</v>
      </c>
      <c r="O807" t="s">
        <v>41250</v>
      </c>
      <c r="P807">
        <v>0</v>
      </c>
      <c r="Q807">
        <v>4</v>
      </c>
      <c r="R807" t="s">
        <v>41251</v>
      </c>
      <c r="S807" t="s">
        <v>41369</v>
      </c>
      <c r="T807" t="s">
        <v>42717</v>
      </c>
      <c r="U807" t="s">
        <v>43906</v>
      </c>
      <c r="V807" t="s">
        <v>54338</v>
      </c>
      <c r="W807" t="s">
        <v>37878</v>
      </c>
      <c r="X807" t="s">
        <v>41252</v>
      </c>
    </row>
    <row r="808" spans="1:24">
      <c r="A808">
        <f>HYPERLINK("https://www.philgeps.gov.ph/GEPSNONPILOT/Tender/SplashBidNoticeAbstractUI.aspx?menuIndex=3&amp;refID=7076990&amp;Result=3","7076990")</f>
        <v>0</v>
      </c>
      <c r="B808" t="s">
        <v>416</v>
      </c>
      <c r="C808" t="s">
        <v>3747</v>
      </c>
      <c r="D808" t="s">
        <v>16615</v>
      </c>
      <c r="E808" t="s">
        <v>17480</v>
      </c>
      <c r="F808" t="s">
        <v>28669</v>
      </c>
      <c r="G808" t="s">
        <v>28676</v>
      </c>
      <c r="H808" t="s">
        <v>9998</v>
      </c>
      <c r="I808" t="s">
        <v>6128</v>
      </c>
      <c r="J808" t="s">
        <v>29110</v>
      </c>
      <c r="K808" t="s">
        <v>37206</v>
      </c>
      <c r="M808" t="s">
        <v>37901</v>
      </c>
      <c r="N808" t="s">
        <v>41249</v>
      </c>
      <c r="O808" t="s">
        <v>41250</v>
      </c>
      <c r="P808">
        <v>0</v>
      </c>
      <c r="Q808">
        <v>0</v>
      </c>
      <c r="R808" t="s">
        <v>41251</v>
      </c>
      <c r="S808" t="s">
        <v>41369</v>
      </c>
      <c r="T808" t="s">
        <v>42694</v>
      </c>
      <c r="U808" t="s">
        <v>43910</v>
      </c>
      <c r="W808" t="s">
        <v>37901</v>
      </c>
      <c r="X808" t="s">
        <v>41252</v>
      </c>
    </row>
    <row r="809" spans="1:24">
      <c r="A809">
        <f>HYPERLINK("https://www.philgeps.gov.ph/GEPSNONPILOT/Tender/SplashBidNoticeAbstractUI.aspx?menuIndex=3&amp;refID=7077003&amp;Result=3","7077003")</f>
        <v>0</v>
      </c>
      <c r="B809" t="s">
        <v>428</v>
      </c>
      <c r="C809" t="s">
        <v>4155</v>
      </c>
      <c r="D809" t="s">
        <v>16644</v>
      </c>
      <c r="E809" t="s">
        <v>17481</v>
      </c>
      <c r="F809" t="s">
        <v>28669</v>
      </c>
      <c r="G809" t="s">
        <v>28676</v>
      </c>
      <c r="H809" t="s">
        <v>9998</v>
      </c>
      <c r="I809" t="s">
        <v>6606</v>
      </c>
      <c r="J809" t="s">
        <v>29433</v>
      </c>
      <c r="K809" t="s">
        <v>37209</v>
      </c>
      <c r="M809" t="s">
        <v>37913</v>
      </c>
      <c r="N809" t="s">
        <v>41249</v>
      </c>
      <c r="O809" t="s">
        <v>41250</v>
      </c>
      <c r="P809">
        <v>0</v>
      </c>
      <c r="Q809">
        <v>1</v>
      </c>
      <c r="R809" t="s">
        <v>41251</v>
      </c>
      <c r="S809" t="s">
        <v>41369</v>
      </c>
      <c r="T809" t="s">
        <v>42738</v>
      </c>
      <c r="U809" t="s">
        <v>43911</v>
      </c>
      <c r="W809" t="s">
        <v>37913</v>
      </c>
      <c r="X809" t="s">
        <v>41252</v>
      </c>
    </row>
    <row r="810" spans="1:24">
      <c r="A810">
        <f>HYPERLINK("https://www.philgeps.gov.ph/GEPSNONPILOT/Tender/SplashBidNoticeAbstractUI.aspx?menuIndex=3&amp;refID=7076989&amp;Result=3","7076989")</f>
        <v>0</v>
      </c>
      <c r="B810" t="s">
        <v>422</v>
      </c>
      <c r="C810" t="s">
        <v>4156</v>
      </c>
      <c r="D810" t="s">
        <v>16640</v>
      </c>
      <c r="E810" t="s">
        <v>17482</v>
      </c>
      <c r="F810" t="s">
        <v>28669</v>
      </c>
      <c r="G810" t="s">
        <v>28676</v>
      </c>
      <c r="H810" t="s">
        <v>9998</v>
      </c>
      <c r="I810" t="s">
        <v>28704</v>
      </c>
      <c r="J810" t="s">
        <v>29434</v>
      </c>
      <c r="K810" t="s">
        <v>37205</v>
      </c>
      <c r="M810" t="s">
        <v>37907</v>
      </c>
      <c r="N810" t="s">
        <v>41249</v>
      </c>
      <c r="O810" t="s">
        <v>41250</v>
      </c>
      <c r="P810">
        <v>0</v>
      </c>
      <c r="Q810">
        <v>0</v>
      </c>
      <c r="R810" t="s">
        <v>41251</v>
      </c>
      <c r="S810" t="s">
        <v>41369</v>
      </c>
      <c r="T810" t="s">
        <v>42673</v>
      </c>
      <c r="U810" t="s">
        <v>43895</v>
      </c>
      <c r="W810" t="s">
        <v>55917</v>
      </c>
      <c r="X810" t="s">
        <v>41252</v>
      </c>
    </row>
    <row r="811" spans="1:24">
      <c r="A811">
        <f>HYPERLINK("https://www.philgeps.gov.ph/GEPSNONPILOT/Tender/SplashBidNoticeAbstractUI.aspx?menuIndex=3&amp;refID=7077001&amp;Result=3","7077001")</f>
        <v>0</v>
      </c>
      <c r="B811" t="s">
        <v>429</v>
      </c>
      <c r="C811" t="s">
        <v>4157</v>
      </c>
      <c r="D811" t="s">
        <v>16616</v>
      </c>
      <c r="E811" t="s">
        <v>17483</v>
      </c>
      <c r="F811" t="s">
        <v>28669</v>
      </c>
      <c r="G811" t="s">
        <v>28676</v>
      </c>
      <c r="H811" t="s">
        <v>28686</v>
      </c>
      <c r="I811" t="s">
        <v>28697</v>
      </c>
      <c r="J811" t="s">
        <v>28826</v>
      </c>
      <c r="K811" t="s">
        <v>37206</v>
      </c>
      <c r="M811" t="s">
        <v>37914</v>
      </c>
      <c r="N811" t="s">
        <v>41249</v>
      </c>
      <c r="O811" t="s">
        <v>41250</v>
      </c>
      <c r="P811">
        <v>0</v>
      </c>
      <c r="Q811">
        <v>0</v>
      </c>
      <c r="R811" t="s">
        <v>41251</v>
      </c>
      <c r="S811" t="s">
        <v>41369</v>
      </c>
      <c r="T811" t="s">
        <v>42711</v>
      </c>
      <c r="U811" t="s">
        <v>43912</v>
      </c>
      <c r="W811" t="s">
        <v>37914</v>
      </c>
      <c r="X811" t="s">
        <v>41252</v>
      </c>
    </row>
    <row r="812" spans="1:24">
      <c r="A812">
        <f>HYPERLINK("https://www.philgeps.gov.ph/GEPSNONPILOT/Tender/SplashBidNoticeAbstractUI.aspx?menuIndex=3&amp;refID=7076987&amp;Result=3","7076987")</f>
        <v>0</v>
      </c>
      <c r="B812" t="s">
        <v>430</v>
      </c>
      <c r="C812" t="s">
        <v>4158</v>
      </c>
      <c r="D812" t="s">
        <v>16660</v>
      </c>
      <c r="E812" t="s">
        <v>17484</v>
      </c>
      <c r="F812" t="s">
        <v>28669</v>
      </c>
      <c r="G812" t="s">
        <v>28678</v>
      </c>
      <c r="H812" t="s">
        <v>9998</v>
      </c>
      <c r="I812" t="s">
        <v>7352</v>
      </c>
      <c r="J812" t="s">
        <v>29435</v>
      </c>
      <c r="K812" t="s">
        <v>37204</v>
      </c>
      <c r="M812" t="s">
        <v>37915</v>
      </c>
      <c r="N812" t="s">
        <v>41249</v>
      </c>
      <c r="O812" t="s">
        <v>41250</v>
      </c>
      <c r="P812">
        <v>0</v>
      </c>
      <c r="Q812">
        <v>2</v>
      </c>
      <c r="R812" t="s">
        <v>41251</v>
      </c>
      <c r="S812" t="s">
        <v>41369</v>
      </c>
      <c r="T812" t="s">
        <v>42770</v>
      </c>
      <c r="U812" t="s">
        <v>43913</v>
      </c>
      <c r="W812" t="s">
        <v>37915</v>
      </c>
      <c r="X812" t="s">
        <v>41252</v>
      </c>
    </row>
    <row r="813" spans="1:24">
      <c r="A813">
        <f>HYPERLINK("https://www.philgeps.gov.ph/GEPSNONPILOT/Tender/SplashBidNoticeAbstractUI.aspx?menuIndex=3&amp;refID=7076968&amp;Result=3","7076968")</f>
        <v>0</v>
      </c>
      <c r="B813" t="s">
        <v>431</v>
      </c>
      <c r="C813" t="s">
        <v>4159</v>
      </c>
      <c r="D813" t="s">
        <v>16607</v>
      </c>
      <c r="E813" t="s">
        <v>17485</v>
      </c>
      <c r="F813" t="s">
        <v>28669</v>
      </c>
      <c r="G813" t="s">
        <v>28676</v>
      </c>
      <c r="H813" t="s">
        <v>9998</v>
      </c>
      <c r="I813" t="s">
        <v>6606</v>
      </c>
      <c r="J813" t="s">
        <v>29436</v>
      </c>
      <c r="K813" t="s">
        <v>37210</v>
      </c>
      <c r="M813" t="s">
        <v>37916</v>
      </c>
      <c r="N813" t="s">
        <v>41249</v>
      </c>
      <c r="O813" t="s">
        <v>41250</v>
      </c>
      <c r="P813">
        <v>0</v>
      </c>
      <c r="Q813">
        <v>0</v>
      </c>
      <c r="R813" t="s">
        <v>41251</v>
      </c>
      <c r="S813" t="s">
        <v>41369</v>
      </c>
      <c r="T813" t="s">
        <v>42717</v>
      </c>
      <c r="U813" t="s">
        <v>43914</v>
      </c>
      <c r="W813" t="s">
        <v>37916</v>
      </c>
      <c r="X813" t="s">
        <v>41252</v>
      </c>
    </row>
    <row r="814" spans="1:24">
      <c r="A814">
        <f>HYPERLINK("https://www.philgeps.gov.ph/GEPSNONPILOT/Tender/SplashBidNoticeAbstractUI.aspx?menuIndex=3&amp;refID=7076991&amp;Result=3","7076991")</f>
        <v>0</v>
      </c>
      <c r="B814" t="s">
        <v>432</v>
      </c>
      <c r="C814" t="s">
        <v>4160</v>
      </c>
      <c r="D814" t="s">
        <v>16686</v>
      </c>
      <c r="E814" t="s">
        <v>17486</v>
      </c>
      <c r="F814" t="s">
        <v>28669</v>
      </c>
      <c r="G814" t="s">
        <v>28675</v>
      </c>
      <c r="H814" t="s">
        <v>9998</v>
      </c>
      <c r="I814" t="s">
        <v>28697</v>
      </c>
      <c r="J814" t="s">
        <v>28838</v>
      </c>
      <c r="K814" t="s">
        <v>37205</v>
      </c>
      <c r="M814" t="s">
        <v>37917</v>
      </c>
      <c r="N814" t="s">
        <v>41249</v>
      </c>
      <c r="O814" t="s">
        <v>41250</v>
      </c>
      <c r="P814">
        <v>0</v>
      </c>
      <c r="Q814">
        <v>1</v>
      </c>
      <c r="R814" t="s">
        <v>41251</v>
      </c>
      <c r="S814" t="s">
        <v>41369</v>
      </c>
      <c r="T814" t="s">
        <v>42714</v>
      </c>
      <c r="U814" t="s">
        <v>43915</v>
      </c>
      <c r="W814" t="s">
        <v>37917</v>
      </c>
      <c r="X814" t="s">
        <v>41252</v>
      </c>
    </row>
    <row r="815" spans="1:24">
      <c r="A815">
        <f>HYPERLINK("https://www.philgeps.gov.ph/GEPSNONPILOT/Tender/SplashBidNoticeAbstractUI.aspx?menuIndex=3&amp;refID=7077028&amp;Result=3","7077028")</f>
        <v>0</v>
      </c>
      <c r="B815" t="s">
        <v>433</v>
      </c>
      <c r="C815" t="s">
        <v>4161</v>
      </c>
      <c r="D815" t="s">
        <v>16626</v>
      </c>
      <c r="E815" t="s">
        <v>17487</v>
      </c>
      <c r="F815" t="s">
        <v>28669</v>
      </c>
      <c r="G815" t="s">
        <v>28675</v>
      </c>
      <c r="H815" t="s">
        <v>9998</v>
      </c>
      <c r="I815" t="s">
        <v>28688</v>
      </c>
      <c r="J815" t="s">
        <v>29437</v>
      </c>
      <c r="K815" t="s">
        <v>37205</v>
      </c>
      <c r="M815" t="s">
        <v>37918</v>
      </c>
      <c r="N815" t="s">
        <v>41249</v>
      </c>
      <c r="O815" t="s">
        <v>41250</v>
      </c>
      <c r="P815">
        <v>0</v>
      </c>
      <c r="Q815">
        <v>2</v>
      </c>
      <c r="R815" t="s">
        <v>41251</v>
      </c>
      <c r="S815" t="s">
        <v>41369</v>
      </c>
      <c r="T815" t="s">
        <v>42796</v>
      </c>
      <c r="U815" t="s">
        <v>43916</v>
      </c>
      <c r="W815" t="s">
        <v>37918</v>
      </c>
      <c r="X815" t="s">
        <v>41252</v>
      </c>
    </row>
    <row r="816" spans="1:24">
      <c r="A816">
        <f>HYPERLINK("https://www.philgeps.gov.ph/GEPSNONPILOT/Tender/SplashBidNoticeAbstractUI.aspx?menuIndex=3&amp;refID=7077026&amp;Result=3","7077026")</f>
        <v>0</v>
      </c>
      <c r="B816" t="s">
        <v>430</v>
      </c>
      <c r="C816" t="s">
        <v>4158</v>
      </c>
      <c r="D816" t="s">
        <v>16660</v>
      </c>
      <c r="E816" t="s">
        <v>17488</v>
      </c>
      <c r="F816" t="s">
        <v>28669</v>
      </c>
      <c r="G816" t="s">
        <v>28678</v>
      </c>
      <c r="H816" t="s">
        <v>9998</v>
      </c>
      <c r="I816" t="s">
        <v>28688</v>
      </c>
      <c r="J816" t="s">
        <v>29438</v>
      </c>
      <c r="K816" t="s">
        <v>37204</v>
      </c>
      <c r="M816" t="s">
        <v>37915</v>
      </c>
      <c r="N816" t="s">
        <v>41249</v>
      </c>
      <c r="O816" t="s">
        <v>41250</v>
      </c>
      <c r="P816">
        <v>0</v>
      </c>
      <c r="Q816">
        <v>2</v>
      </c>
      <c r="R816" t="s">
        <v>41251</v>
      </c>
      <c r="S816" t="s">
        <v>41369</v>
      </c>
      <c r="T816" t="s">
        <v>42742</v>
      </c>
      <c r="U816" t="s">
        <v>43913</v>
      </c>
      <c r="W816" t="s">
        <v>37915</v>
      </c>
      <c r="X816" t="s">
        <v>41252</v>
      </c>
    </row>
    <row r="817" spans="1:24">
      <c r="A817">
        <f>HYPERLINK("https://www.philgeps.gov.ph/GEPSNONPILOT/Tender/SplashBidNoticeAbstractUI.aspx?menuIndex=3&amp;refID=7077025&amp;Result=3","7077025")</f>
        <v>0</v>
      </c>
      <c r="B817" t="s">
        <v>434</v>
      </c>
      <c r="C817" t="s">
        <v>4162</v>
      </c>
      <c r="D817" t="s">
        <v>16678</v>
      </c>
      <c r="E817" t="s">
        <v>17489</v>
      </c>
      <c r="F817" t="s">
        <v>28669</v>
      </c>
      <c r="G817" t="s">
        <v>28675</v>
      </c>
      <c r="H817" t="s">
        <v>9998</v>
      </c>
      <c r="I817" t="s">
        <v>7352</v>
      </c>
      <c r="J817" t="s">
        <v>29439</v>
      </c>
      <c r="K817" t="s">
        <v>37209</v>
      </c>
      <c r="M817" t="s">
        <v>37919</v>
      </c>
      <c r="N817" t="s">
        <v>41249</v>
      </c>
      <c r="O817" t="s">
        <v>41250</v>
      </c>
      <c r="P817">
        <v>0</v>
      </c>
      <c r="Q817">
        <v>0</v>
      </c>
      <c r="R817" t="s">
        <v>41251</v>
      </c>
      <c r="S817" t="s">
        <v>41369</v>
      </c>
      <c r="T817" t="s">
        <v>42797</v>
      </c>
      <c r="U817" t="s">
        <v>43917</v>
      </c>
      <c r="W817" t="s">
        <v>37919</v>
      </c>
      <c r="X817" t="s">
        <v>41252</v>
      </c>
    </row>
    <row r="818" spans="1:24">
      <c r="A818">
        <f>HYPERLINK("https://www.philgeps.gov.ph/GEPSNONPILOT/Tender/SplashBidNoticeAbstractUI.aspx?menuIndex=3&amp;refID=7077024&amp;Result=3","7077024")</f>
        <v>0</v>
      </c>
      <c r="B818" t="s">
        <v>435</v>
      </c>
      <c r="C818" t="s">
        <v>4163</v>
      </c>
      <c r="D818" t="s">
        <v>16608</v>
      </c>
      <c r="E818" t="s">
        <v>17490</v>
      </c>
      <c r="F818" t="s">
        <v>28669</v>
      </c>
      <c r="G818" t="s">
        <v>28676</v>
      </c>
      <c r="H818" t="s">
        <v>9998</v>
      </c>
      <c r="I818" t="s">
        <v>28751</v>
      </c>
      <c r="J818" t="s">
        <v>29440</v>
      </c>
      <c r="K818" t="s">
        <v>37238</v>
      </c>
      <c r="M818" t="s">
        <v>37920</v>
      </c>
      <c r="N818" t="s">
        <v>41249</v>
      </c>
      <c r="O818" t="s">
        <v>41250</v>
      </c>
      <c r="P818">
        <v>0</v>
      </c>
      <c r="Q818">
        <v>0</v>
      </c>
      <c r="R818" t="s">
        <v>41251</v>
      </c>
      <c r="S818" t="s">
        <v>41369</v>
      </c>
      <c r="T818" t="s">
        <v>42675</v>
      </c>
      <c r="U818" t="s">
        <v>43918</v>
      </c>
      <c r="V818" t="s">
        <v>54346</v>
      </c>
      <c r="W818" t="s">
        <v>37920</v>
      </c>
      <c r="X818" t="s">
        <v>41252</v>
      </c>
    </row>
    <row r="819" spans="1:24">
      <c r="A819">
        <f>HYPERLINK("https://www.philgeps.gov.ph/GEPSNONPILOT/Tender/SplashBidNoticeAbstractUI.aspx?menuIndex=3&amp;refID=7076992&amp;Result=3","7076992")</f>
        <v>0</v>
      </c>
      <c r="B819" t="s">
        <v>436</v>
      </c>
      <c r="C819" t="s">
        <v>4164</v>
      </c>
      <c r="D819" t="s">
        <v>16640</v>
      </c>
      <c r="E819" t="s">
        <v>17491</v>
      </c>
      <c r="F819" t="s">
        <v>28669</v>
      </c>
      <c r="G819" t="s">
        <v>28681</v>
      </c>
      <c r="H819" t="s">
        <v>9998</v>
      </c>
      <c r="I819" t="s">
        <v>11142</v>
      </c>
      <c r="J819" t="s">
        <v>29441</v>
      </c>
      <c r="K819" t="s">
        <v>37234</v>
      </c>
      <c r="M819" t="s">
        <v>37921</v>
      </c>
      <c r="N819" t="s">
        <v>41249</v>
      </c>
      <c r="O819" t="s">
        <v>41250</v>
      </c>
      <c r="P819">
        <v>0</v>
      </c>
      <c r="Q819">
        <v>0</v>
      </c>
      <c r="R819" t="s">
        <v>41251</v>
      </c>
      <c r="S819" t="s">
        <v>41369</v>
      </c>
      <c r="T819" t="s">
        <v>42745</v>
      </c>
      <c r="U819" t="s">
        <v>43919</v>
      </c>
      <c r="W819" t="s">
        <v>37921</v>
      </c>
      <c r="X819" t="s">
        <v>41252</v>
      </c>
    </row>
    <row r="820" spans="1:24">
      <c r="A820">
        <f>HYPERLINK("https://www.philgeps.gov.ph/GEPSNONPILOT/Tender/SplashBidNoticeAbstractUI.aspx?menuIndex=3&amp;refID=7077021&amp;Result=3","7077021")</f>
        <v>0</v>
      </c>
      <c r="B820" t="s">
        <v>437</v>
      </c>
      <c r="C820" t="s">
        <v>4165</v>
      </c>
      <c r="D820" t="s">
        <v>16644</v>
      </c>
      <c r="E820" t="s">
        <v>17059</v>
      </c>
      <c r="F820" t="s">
        <v>28669</v>
      </c>
      <c r="G820" t="s">
        <v>28677</v>
      </c>
      <c r="H820" t="s">
        <v>9998</v>
      </c>
      <c r="I820" t="s">
        <v>28697</v>
      </c>
      <c r="J820" t="s">
        <v>28877</v>
      </c>
      <c r="K820" t="s">
        <v>37204</v>
      </c>
      <c r="M820" t="s">
        <v>37922</v>
      </c>
      <c r="N820" t="s">
        <v>41249</v>
      </c>
      <c r="O820" t="s">
        <v>41250</v>
      </c>
      <c r="P820">
        <v>0</v>
      </c>
      <c r="Q820">
        <v>8</v>
      </c>
      <c r="R820" t="s">
        <v>41251</v>
      </c>
      <c r="S820" t="s">
        <v>41369</v>
      </c>
      <c r="T820" t="s">
        <v>42701</v>
      </c>
      <c r="U820" t="s">
        <v>43920</v>
      </c>
      <c r="W820" t="s">
        <v>55918</v>
      </c>
      <c r="X820" t="s">
        <v>41252</v>
      </c>
    </row>
    <row r="821" spans="1:24">
      <c r="A821">
        <f>HYPERLINK("https://www.philgeps.gov.ph/GEPSNONPILOT/Tender/SplashBidNoticeAbstractUI.aspx?menuIndex=3&amp;refID=7077018&amp;Result=3","7077018")</f>
        <v>0</v>
      </c>
      <c r="B821" t="s">
        <v>429</v>
      </c>
      <c r="C821" t="s">
        <v>4166</v>
      </c>
      <c r="D821" t="s">
        <v>16616</v>
      </c>
      <c r="E821" t="s">
        <v>17492</v>
      </c>
      <c r="F821" t="s">
        <v>28669</v>
      </c>
      <c r="G821" t="s">
        <v>28676</v>
      </c>
      <c r="H821" t="s">
        <v>9998</v>
      </c>
      <c r="I821" t="s">
        <v>3718</v>
      </c>
      <c r="J821" t="s">
        <v>28923</v>
      </c>
      <c r="K821" t="s">
        <v>37205</v>
      </c>
      <c r="M821" t="s">
        <v>37914</v>
      </c>
      <c r="N821" t="s">
        <v>41249</v>
      </c>
      <c r="O821" t="s">
        <v>41250</v>
      </c>
      <c r="P821">
        <v>0</v>
      </c>
      <c r="Q821">
        <v>3</v>
      </c>
      <c r="R821" t="s">
        <v>41251</v>
      </c>
      <c r="S821" t="s">
        <v>41369</v>
      </c>
      <c r="T821" t="s">
        <v>42711</v>
      </c>
      <c r="U821" t="s">
        <v>43921</v>
      </c>
      <c r="W821" t="s">
        <v>37914</v>
      </c>
      <c r="X821" t="s">
        <v>41252</v>
      </c>
    </row>
    <row r="822" spans="1:24">
      <c r="A822">
        <f>HYPERLINK("https://www.philgeps.gov.ph/GEPSNONPILOT/Tender/SplashBidNoticeAbstractUI.aspx?menuIndex=3&amp;refID=7077027&amp;Result=3","7077027")</f>
        <v>0</v>
      </c>
      <c r="B822" t="s">
        <v>37</v>
      </c>
      <c r="C822" t="s">
        <v>4167</v>
      </c>
      <c r="D822" t="s">
        <v>16620</v>
      </c>
      <c r="E822" t="s">
        <v>17493</v>
      </c>
      <c r="F822" t="s">
        <v>28669</v>
      </c>
      <c r="G822" t="s">
        <v>28675</v>
      </c>
      <c r="H822" t="s">
        <v>28686</v>
      </c>
      <c r="I822" t="s">
        <v>28689</v>
      </c>
      <c r="J822" t="s">
        <v>28878</v>
      </c>
      <c r="K822" t="s">
        <v>37206</v>
      </c>
      <c r="M822" t="s">
        <v>37512</v>
      </c>
      <c r="N822" t="s">
        <v>41249</v>
      </c>
      <c r="O822" t="s">
        <v>41250</v>
      </c>
      <c r="P822">
        <v>0</v>
      </c>
      <c r="Q822">
        <v>0</v>
      </c>
      <c r="R822" t="s">
        <v>41251</v>
      </c>
      <c r="S822" t="s">
        <v>41369</v>
      </c>
      <c r="T822" t="s">
        <v>42672</v>
      </c>
      <c r="U822" t="s">
        <v>43922</v>
      </c>
      <c r="W822" t="s">
        <v>37512</v>
      </c>
      <c r="X822" t="s">
        <v>41252</v>
      </c>
    </row>
    <row r="823" spans="1:24">
      <c r="A823">
        <f>HYPERLINK("https://www.philgeps.gov.ph/GEPSNONPILOT/Tender/SplashBidNoticeAbstractUI.aspx?menuIndex=3&amp;refID=7077016&amp;Result=3","7077016")</f>
        <v>0</v>
      </c>
      <c r="B823" t="s">
        <v>438</v>
      </c>
      <c r="C823" t="s">
        <v>4168</v>
      </c>
      <c r="D823" t="s">
        <v>16616</v>
      </c>
      <c r="E823" t="s">
        <v>17494</v>
      </c>
      <c r="F823" t="s">
        <v>28669</v>
      </c>
      <c r="G823" t="s">
        <v>28676</v>
      </c>
      <c r="H823" t="s">
        <v>9998</v>
      </c>
      <c r="I823" t="s">
        <v>28757</v>
      </c>
      <c r="J823" t="s">
        <v>29364</v>
      </c>
      <c r="K823" t="s">
        <v>37206</v>
      </c>
      <c r="M823" t="s">
        <v>37923</v>
      </c>
      <c r="N823" t="s">
        <v>41249</v>
      </c>
      <c r="O823" t="s">
        <v>41250</v>
      </c>
      <c r="P823">
        <v>0</v>
      </c>
      <c r="Q823">
        <v>0</v>
      </c>
      <c r="R823" t="s">
        <v>41251</v>
      </c>
      <c r="S823" t="s">
        <v>41369</v>
      </c>
      <c r="T823" t="s">
        <v>42679</v>
      </c>
      <c r="U823" t="s">
        <v>43923</v>
      </c>
      <c r="W823" t="s">
        <v>37923</v>
      </c>
      <c r="X823" t="s">
        <v>41252</v>
      </c>
    </row>
    <row r="824" spans="1:24">
      <c r="A824">
        <f>HYPERLINK("https://www.philgeps.gov.ph/GEPSNONPILOT/Tender/SplashBidNoticeAbstractUI.aspx?menuIndex=3&amp;refID=7077014&amp;Result=3","7077014")</f>
        <v>0</v>
      </c>
      <c r="B824" t="s">
        <v>439</v>
      </c>
      <c r="C824" t="s">
        <v>4169</v>
      </c>
      <c r="D824" t="s">
        <v>16608</v>
      </c>
      <c r="E824" t="s">
        <v>17495</v>
      </c>
      <c r="F824" t="s">
        <v>28669</v>
      </c>
      <c r="G824" t="s">
        <v>28675</v>
      </c>
      <c r="H824" t="s">
        <v>28686</v>
      </c>
      <c r="I824" t="s">
        <v>28689</v>
      </c>
      <c r="J824" t="s">
        <v>29442</v>
      </c>
      <c r="K824" t="s">
        <v>37220</v>
      </c>
      <c r="M824" t="s">
        <v>37924</v>
      </c>
      <c r="N824" t="s">
        <v>41249</v>
      </c>
      <c r="O824" t="s">
        <v>41250</v>
      </c>
      <c r="P824">
        <v>0</v>
      </c>
      <c r="Q824">
        <v>1</v>
      </c>
      <c r="R824" t="s">
        <v>41251</v>
      </c>
      <c r="S824" t="s">
        <v>41369</v>
      </c>
      <c r="T824" t="s">
        <v>42661</v>
      </c>
      <c r="U824" t="s">
        <v>43924</v>
      </c>
      <c r="W824" t="s">
        <v>37924</v>
      </c>
      <c r="X824" t="s">
        <v>41252</v>
      </c>
    </row>
    <row r="825" spans="1:24">
      <c r="A825">
        <f>HYPERLINK("https://www.philgeps.gov.ph/GEPSNONPILOT/Tender/SplashBidNoticeAbstractUI.aspx?menuIndex=3&amp;refID=7077005&amp;Result=3","7077005")</f>
        <v>0</v>
      </c>
      <c r="B825" t="s">
        <v>440</v>
      </c>
      <c r="C825" t="s">
        <v>4170</v>
      </c>
      <c r="D825" t="s">
        <v>16647</v>
      </c>
      <c r="E825" t="s">
        <v>16861</v>
      </c>
      <c r="F825" t="s">
        <v>28671</v>
      </c>
      <c r="G825" t="s">
        <v>28675</v>
      </c>
      <c r="H825" t="s">
        <v>28686</v>
      </c>
      <c r="I825" t="s">
        <v>7352</v>
      </c>
      <c r="J825" t="s">
        <v>28879</v>
      </c>
      <c r="K825" t="s">
        <v>37204</v>
      </c>
      <c r="M825" t="s">
        <v>37925</v>
      </c>
      <c r="N825" t="s">
        <v>41249</v>
      </c>
      <c r="O825" t="s">
        <v>41250</v>
      </c>
      <c r="P825">
        <v>0</v>
      </c>
      <c r="Q825">
        <v>1</v>
      </c>
      <c r="R825" t="s">
        <v>41251</v>
      </c>
      <c r="S825" t="s">
        <v>41369</v>
      </c>
      <c r="T825" t="s">
        <v>42693</v>
      </c>
      <c r="U825" t="s">
        <v>43925</v>
      </c>
      <c r="W825" t="s">
        <v>37925</v>
      </c>
      <c r="X825" t="s">
        <v>41252</v>
      </c>
    </row>
    <row r="826" spans="1:24">
      <c r="A826">
        <f>HYPERLINK("https://www.philgeps.gov.ph/GEPSNONPILOT/Tender/SplashBidNoticeAbstractUI.aspx?menuIndex=3&amp;refID=7077013&amp;Result=3","7077013")</f>
        <v>0</v>
      </c>
      <c r="B826" t="s">
        <v>188</v>
      </c>
      <c r="C826" t="s">
        <v>4171</v>
      </c>
      <c r="D826" t="s">
        <v>16664</v>
      </c>
      <c r="E826" t="s">
        <v>17496</v>
      </c>
      <c r="F826" t="s">
        <v>28669</v>
      </c>
      <c r="G826" t="s">
        <v>28676</v>
      </c>
      <c r="H826" t="s">
        <v>9998</v>
      </c>
      <c r="I826" t="s">
        <v>5286</v>
      </c>
      <c r="J826" t="s">
        <v>29443</v>
      </c>
      <c r="K826" t="s">
        <v>37210</v>
      </c>
      <c r="M826" t="s">
        <v>37666</v>
      </c>
      <c r="N826" t="s">
        <v>41249</v>
      </c>
      <c r="O826" t="s">
        <v>41250</v>
      </c>
      <c r="P826">
        <v>0</v>
      </c>
      <c r="Q826">
        <v>3</v>
      </c>
      <c r="R826" t="s">
        <v>41251</v>
      </c>
      <c r="S826" t="s">
        <v>41369</v>
      </c>
      <c r="T826" t="s">
        <v>42703</v>
      </c>
      <c r="U826" t="s">
        <v>43926</v>
      </c>
      <c r="W826" t="s">
        <v>37666</v>
      </c>
      <c r="X826" t="s">
        <v>41252</v>
      </c>
    </row>
    <row r="827" spans="1:24">
      <c r="A827">
        <f>HYPERLINK("https://www.philgeps.gov.ph/GEPSNONPILOT/Tender/SplashBidNoticeAbstractUI.aspx?menuIndex=3&amp;refID=7077051&amp;Result=3","7077051")</f>
        <v>0</v>
      </c>
      <c r="B827" t="s">
        <v>441</v>
      </c>
      <c r="C827" t="s">
        <v>4172</v>
      </c>
      <c r="D827" t="s">
        <v>16608</v>
      </c>
      <c r="E827" t="s">
        <v>17497</v>
      </c>
      <c r="F827" t="s">
        <v>28669</v>
      </c>
      <c r="G827" t="s">
        <v>28676</v>
      </c>
      <c r="H827" t="s">
        <v>9998</v>
      </c>
      <c r="I827" t="s">
        <v>28739</v>
      </c>
      <c r="J827" t="s">
        <v>28989</v>
      </c>
      <c r="K827" t="s">
        <v>37205</v>
      </c>
      <c r="M827" t="s">
        <v>37926</v>
      </c>
      <c r="N827" t="s">
        <v>41249</v>
      </c>
      <c r="O827" t="s">
        <v>41250</v>
      </c>
      <c r="P827">
        <v>0</v>
      </c>
      <c r="Q827">
        <v>6</v>
      </c>
      <c r="R827" t="s">
        <v>41251</v>
      </c>
      <c r="S827" t="s">
        <v>41369</v>
      </c>
      <c r="T827" t="s">
        <v>42738</v>
      </c>
      <c r="U827" t="s">
        <v>43927</v>
      </c>
      <c r="V827" t="s">
        <v>54347</v>
      </c>
      <c r="W827" t="s">
        <v>37926</v>
      </c>
      <c r="X827" t="s">
        <v>41252</v>
      </c>
    </row>
    <row r="828" spans="1:24">
      <c r="A828">
        <f>HYPERLINK("https://www.philgeps.gov.ph/GEPSNONPILOT/Tender/SplashBidNoticeAbstractUI.aspx?menuIndex=3&amp;refID=7077050&amp;Result=3","7077050")</f>
        <v>0</v>
      </c>
      <c r="B828" t="s">
        <v>442</v>
      </c>
      <c r="C828" t="s">
        <v>4173</v>
      </c>
      <c r="E828" t="s">
        <v>17498</v>
      </c>
      <c r="F828" t="s">
        <v>28669</v>
      </c>
      <c r="G828" t="s">
        <v>28676</v>
      </c>
      <c r="H828" t="s">
        <v>9998</v>
      </c>
      <c r="I828" t="s">
        <v>7352</v>
      </c>
      <c r="J828" t="s">
        <v>29444</v>
      </c>
      <c r="K828" t="s">
        <v>37209</v>
      </c>
      <c r="M828" t="s">
        <v>37927</v>
      </c>
      <c r="N828" t="s">
        <v>41249</v>
      </c>
      <c r="O828" t="s">
        <v>41250</v>
      </c>
      <c r="P828">
        <v>0</v>
      </c>
      <c r="Q828">
        <v>1</v>
      </c>
      <c r="R828" t="s">
        <v>41251</v>
      </c>
      <c r="S828" t="s">
        <v>41369</v>
      </c>
      <c r="T828" t="s">
        <v>42711</v>
      </c>
      <c r="U828" t="s">
        <v>43928</v>
      </c>
      <c r="W828" t="s">
        <v>37927</v>
      </c>
      <c r="X828" t="s">
        <v>41252</v>
      </c>
    </row>
    <row r="829" spans="1:24">
      <c r="A829">
        <f>HYPERLINK("https://www.philgeps.gov.ph/GEPSNONPILOT/Tender/SplashBidNoticeAbstractUI.aspx?menuIndex=3&amp;refID=7077049&amp;Result=3","7077049")</f>
        <v>0</v>
      </c>
      <c r="B829" t="s">
        <v>443</v>
      </c>
      <c r="C829" t="s">
        <v>4174</v>
      </c>
      <c r="E829" t="s">
        <v>17499</v>
      </c>
      <c r="F829" t="s">
        <v>28669</v>
      </c>
      <c r="G829" t="s">
        <v>28676</v>
      </c>
      <c r="H829" t="s">
        <v>9998</v>
      </c>
      <c r="I829" t="s">
        <v>3658</v>
      </c>
      <c r="J829" t="s">
        <v>29445</v>
      </c>
      <c r="K829" t="s">
        <v>37205</v>
      </c>
      <c r="M829" t="s">
        <v>37928</v>
      </c>
      <c r="N829" t="s">
        <v>41249</v>
      </c>
      <c r="O829" t="s">
        <v>41250</v>
      </c>
      <c r="P829">
        <v>0</v>
      </c>
      <c r="Q829">
        <v>2</v>
      </c>
      <c r="R829" t="s">
        <v>41251</v>
      </c>
      <c r="S829" t="s">
        <v>41369</v>
      </c>
      <c r="T829" t="s">
        <v>42694</v>
      </c>
      <c r="U829" t="s">
        <v>43929</v>
      </c>
      <c r="W829" t="s">
        <v>37928</v>
      </c>
      <c r="X829" t="s">
        <v>41252</v>
      </c>
    </row>
    <row r="830" spans="1:24">
      <c r="A830">
        <f>HYPERLINK("https://www.philgeps.gov.ph/GEPSNONPILOT/Tender/SplashBidNoticeAbstractUI.aspx?menuIndex=3&amp;refID=7077048&amp;Result=3","7077048")</f>
        <v>0</v>
      </c>
      <c r="B830" t="s">
        <v>444</v>
      </c>
      <c r="C830" t="s">
        <v>4175</v>
      </c>
      <c r="D830" t="s">
        <v>16617</v>
      </c>
      <c r="E830" t="s">
        <v>16877</v>
      </c>
      <c r="F830" t="s">
        <v>28669</v>
      </c>
      <c r="G830" t="s">
        <v>28676</v>
      </c>
      <c r="H830" t="s">
        <v>9998</v>
      </c>
      <c r="I830" t="s">
        <v>28741</v>
      </c>
      <c r="J830" t="s">
        <v>28826</v>
      </c>
      <c r="K830" t="s">
        <v>37206</v>
      </c>
      <c r="M830" t="s">
        <v>37929</v>
      </c>
      <c r="N830" t="s">
        <v>41249</v>
      </c>
      <c r="O830" t="s">
        <v>41250</v>
      </c>
      <c r="P830">
        <v>0</v>
      </c>
      <c r="Q830">
        <v>1</v>
      </c>
      <c r="R830" t="s">
        <v>41251</v>
      </c>
      <c r="S830" t="s">
        <v>41369</v>
      </c>
      <c r="T830" t="s">
        <v>42694</v>
      </c>
      <c r="U830" t="s">
        <v>43930</v>
      </c>
      <c r="W830" t="s">
        <v>37929</v>
      </c>
      <c r="X830" t="s">
        <v>41252</v>
      </c>
    </row>
    <row r="831" spans="1:24">
      <c r="A831">
        <f>HYPERLINK("https://www.philgeps.gov.ph/GEPSNONPILOT/Tender/SplashBidNoticeAbstractUI.aspx?menuIndex=3&amp;refID=7077019&amp;Result=3","7077019")</f>
        <v>0</v>
      </c>
      <c r="B831" t="s">
        <v>188</v>
      </c>
      <c r="C831" t="s">
        <v>4176</v>
      </c>
      <c r="D831" t="s">
        <v>16664</v>
      </c>
      <c r="E831" t="s">
        <v>17500</v>
      </c>
      <c r="F831" t="s">
        <v>28669</v>
      </c>
      <c r="G831" t="s">
        <v>28677</v>
      </c>
      <c r="H831" t="s">
        <v>9998</v>
      </c>
      <c r="I831" t="s">
        <v>5286</v>
      </c>
      <c r="J831" t="s">
        <v>29446</v>
      </c>
      <c r="K831" t="s">
        <v>37210</v>
      </c>
      <c r="M831" t="s">
        <v>37666</v>
      </c>
      <c r="N831" t="s">
        <v>41249</v>
      </c>
      <c r="O831" t="s">
        <v>41250</v>
      </c>
      <c r="P831">
        <v>0</v>
      </c>
      <c r="Q831">
        <v>1</v>
      </c>
      <c r="R831" t="s">
        <v>41251</v>
      </c>
      <c r="S831" t="s">
        <v>41369</v>
      </c>
      <c r="T831" t="s">
        <v>42703</v>
      </c>
      <c r="U831" t="s">
        <v>43931</v>
      </c>
      <c r="W831" t="s">
        <v>37666</v>
      </c>
      <c r="X831" t="s">
        <v>41252</v>
      </c>
    </row>
    <row r="832" spans="1:24">
      <c r="A832">
        <f>HYPERLINK("https://www.philgeps.gov.ph/GEPSNONPILOT/Tender/SplashBidNoticeAbstractUI.aspx?menuIndex=3&amp;refID=7077047&amp;Result=3","7077047")</f>
        <v>0</v>
      </c>
      <c r="B832" t="s">
        <v>445</v>
      </c>
      <c r="C832" t="s">
        <v>4177</v>
      </c>
      <c r="D832" t="s">
        <v>16687</v>
      </c>
      <c r="E832" t="s">
        <v>17501</v>
      </c>
      <c r="F832" t="s">
        <v>28669</v>
      </c>
      <c r="G832" t="s">
        <v>28676</v>
      </c>
      <c r="H832" t="s">
        <v>9998</v>
      </c>
      <c r="I832" t="s">
        <v>28708</v>
      </c>
      <c r="J832" t="s">
        <v>28953</v>
      </c>
      <c r="K832" t="s">
        <v>37209</v>
      </c>
      <c r="M832" t="s">
        <v>37930</v>
      </c>
      <c r="N832" t="s">
        <v>41249</v>
      </c>
      <c r="O832" t="s">
        <v>41250</v>
      </c>
      <c r="P832">
        <v>0</v>
      </c>
      <c r="Q832">
        <v>0</v>
      </c>
      <c r="R832" t="s">
        <v>41251</v>
      </c>
      <c r="S832" t="s">
        <v>41369</v>
      </c>
      <c r="T832" t="s">
        <v>42681</v>
      </c>
      <c r="U832" t="s">
        <v>43932</v>
      </c>
      <c r="W832" t="s">
        <v>37930</v>
      </c>
      <c r="X832" t="s">
        <v>41252</v>
      </c>
    </row>
    <row r="833" spans="1:24">
      <c r="A833">
        <f>HYPERLINK("https://www.philgeps.gov.ph/GEPSNONPILOT/Tender/SplashBidNoticeAbstractUI.aspx?menuIndex=3&amp;refID=7077046&amp;Result=3","7077046")</f>
        <v>0</v>
      </c>
      <c r="B833" t="s">
        <v>441</v>
      </c>
      <c r="C833" t="s">
        <v>4178</v>
      </c>
      <c r="D833" t="s">
        <v>16608</v>
      </c>
      <c r="E833" t="s">
        <v>17502</v>
      </c>
      <c r="F833" t="s">
        <v>28669</v>
      </c>
      <c r="G833" t="s">
        <v>28676</v>
      </c>
      <c r="H833" t="s">
        <v>9998</v>
      </c>
      <c r="I833" t="s">
        <v>3718</v>
      </c>
      <c r="J833" t="s">
        <v>29447</v>
      </c>
      <c r="K833" t="s">
        <v>37205</v>
      </c>
      <c r="M833" t="s">
        <v>37926</v>
      </c>
      <c r="N833" t="s">
        <v>41249</v>
      </c>
      <c r="O833" t="s">
        <v>41250</v>
      </c>
      <c r="P833">
        <v>0</v>
      </c>
      <c r="Q833">
        <v>13</v>
      </c>
      <c r="R833" t="s">
        <v>41251</v>
      </c>
      <c r="S833" t="s">
        <v>41369</v>
      </c>
      <c r="T833" t="s">
        <v>42738</v>
      </c>
      <c r="U833" t="s">
        <v>43933</v>
      </c>
      <c r="V833" t="s">
        <v>54347</v>
      </c>
      <c r="W833" t="s">
        <v>37926</v>
      </c>
      <c r="X833" t="s">
        <v>41252</v>
      </c>
    </row>
    <row r="834" spans="1:24">
      <c r="A834">
        <f>HYPERLINK("https://www.philgeps.gov.ph/GEPSNONPILOT/Tender/SplashBidNoticeAbstractUI.aspx?menuIndex=3&amp;refID=7077044&amp;Result=3","7077044")</f>
        <v>0</v>
      </c>
      <c r="B834" t="s">
        <v>29</v>
      </c>
      <c r="C834" t="s">
        <v>4179</v>
      </c>
      <c r="D834" t="s">
        <v>16611</v>
      </c>
      <c r="E834" t="s">
        <v>17503</v>
      </c>
      <c r="F834" t="s">
        <v>28669</v>
      </c>
      <c r="G834" t="s">
        <v>28677</v>
      </c>
      <c r="H834" t="s">
        <v>9998</v>
      </c>
      <c r="I834" t="s">
        <v>28704</v>
      </c>
      <c r="J834" t="s">
        <v>29448</v>
      </c>
      <c r="K834" t="s">
        <v>37209</v>
      </c>
      <c r="M834" t="s">
        <v>37931</v>
      </c>
      <c r="N834" t="s">
        <v>41249</v>
      </c>
      <c r="O834" t="s">
        <v>41250</v>
      </c>
      <c r="P834">
        <v>0</v>
      </c>
      <c r="Q834">
        <v>2</v>
      </c>
      <c r="R834" t="s">
        <v>41251</v>
      </c>
      <c r="S834" t="s">
        <v>41369</v>
      </c>
      <c r="T834" t="s">
        <v>42686</v>
      </c>
      <c r="U834" t="s">
        <v>43934</v>
      </c>
      <c r="W834" t="s">
        <v>37931</v>
      </c>
      <c r="X834" t="s">
        <v>41252</v>
      </c>
    </row>
    <row r="835" spans="1:24">
      <c r="A835">
        <f>HYPERLINK("https://www.philgeps.gov.ph/GEPSNONPILOT/Tender/SplashBidNoticeAbstractUI.aspx?menuIndex=3&amp;refID=7076996&amp;Result=3","7076996")</f>
        <v>0</v>
      </c>
      <c r="B835" t="s">
        <v>250</v>
      </c>
      <c r="C835" t="s">
        <v>4180</v>
      </c>
      <c r="D835" t="s">
        <v>16621</v>
      </c>
      <c r="E835" t="s">
        <v>17504</v>
      </c>
      <c r="F835" t="s">
        <v>28669</v>
      </c>
      <c r="G835" t="s">
        <v>28676</v>
      </c>
      <c r="H835" t="s">
        <v>9998</v>
      </c>
      <c r="I835" t="s">
        <v>28729</v>
      </c>
      <c r="J835" t="s">
        <v>29133</v>
      </c>
      <c r="K835" t="s">
        <v>37227</v>
      </c>
      <c r="M835" t="s">
        <v>37728</v>
      </c>
      <c r="N835" t="s">
        <v>41249</v>
      </c>
      <c r="O835" t="s">
        <v>41250</v>
      </c>
      <c r="P835">
        <v>0</v>
      </c>
      <c r="Q835">
        <v>1</v>
      </c>
      <c r="R835" t="s">
        <v>41251</v>
      </c>
      <c r="S835" t="s">
        <v>41369</v>
      </c>
      <c r="T835" t="s">
        <v>42675</v>
      </c>
      <c r="U835" t="s">
        <v>43935</v>
      </c>
      <c r="W835" t="s">
        <v>37728</v>
      </c>
      <c r="X835" t="s">
        <v>41252</v>
      </c>
    </row>
    <row r="836" spans="1:24">
      <c r="A836">
        <f>HYPERLINK("https://www.philgeps.gov.ph/GEPSNONPILOT/Tender/SplashBidNoticeAbstractUI.aspx?menuIndex=3&amp;refID=7077043&amp;Result=3","7077043")</f>
        <v>0</v>
      </c>
      <c r="B836" t="s">
        <v>430</v>
      </c>
      <c r="C836" t="s">
        <v>4158</v>
      </c>
      <c r="D836" t="s">
        <v>16660</v>
      </c>
      <c r="E836" t="s">
        <v>17488</v>
      </c>
      <c r="F836" t="s">
        <v>28669</v>
      </c>
      <c r="G836" t="s">
        <v>28678</v>
      </c>
      <c r="H836" t="s">
        <v>9998</v>
      </c>
      <c r="I836" t="s">
        <v>28715</v>
      </c>
      <c r="J836" t="s">
        <v>29449</v>
      </c>
      <c r="K836" t="s">
        <v>37204</v>
      </c>
      <c r="M836" t="s">
        <v>37915</v>
      </c>
      <c r="N836" t="s">
        <v>41249</v>
      </c>
      <c r="O836" t="s">
        <v>41250</v>
      </c>
      <c r="P836">
        <v>0</v>
      </c>
      <c r="Q836">
        <v>3</v>
      </c>
      <c r="R836" t="s">
        <v>41251</v>
      </c>
      <c r="S836" t="s">
        <v>41369</v>
      </c>
      <c r="T836" t="s">
        <v>42770</v>
      </c>
      <c r="U836" t="s">
        <v>43936</v>
      </c>
      <c r="W836" t="s">
        <v>37915</v>
      </c>
      <c r="X836" t="s">
        <v>41252</v>
      </c>
    </row>
    <row r="837" spans="1:24">
      <c r="A837">
        <f>HYPERLINK("https://www.philgeps.gov.ph/GEPSNONPILOT/Tender/SplashBidNoticeAbstractUI.aspx?menuIndex=3&amp;refID=7077042&amp;Result=3","7077042")</f>
        <v>0</v>
      </c>
      <c r="B837" t="s">
        <v>446</v>
      </c>
      <c r="C837" t="s">
        <v>4181</v>
      </c>
      <c r="D837" t="s">
        <v>16678</v>
      </c>
      <c r="E837" t="s">
        <v>16968</v>
      </c>
      <c r="F837" t="s">
        <v>28669</v>
      </c>
      <c r="G837" t="s">
        <v>28675</v>
      </c>
      <c r="H837" t="s">
        <v>9998</v>
      </c>
      <c r="I837" t="s">
        <v>28694</v>
      </c>
      <c r="J837" t="s">
        <v>29450</v>
      </c>
      <c r="K837" t="s">
        <v>37205</v>
      </c>
      <c r="M837" t="s">
        <v>37932</v>
      </c>
      <c r="N837" t="s">
        <v>41249</v>
      </c>
      <c r="O837" t="s">
        <v>41250</v>
      </c>
      <c r="P837">
        <v>0</v>
      </c>
      <c r="Q837">
        <v>0</v>
      </c>
      <c r="R837" t="s">
        <v>41251</v>
      </c>
      <c r="S837" t="s">
        <v>41369</v>
      </c>
      <c r="T837" t="s">
        <v>42755</v>
      </c>
      <c r="U837" t="s">
        <v>43937</v>
      </c>
      <c r="W837" t="s">
        <v>37932</v>
      </c>
      <c r="X837" t="s">
        <v>41252</v>
      </c>
    </row>
    <row r="838" spans="1:24">
      <c r="A838">
        <f>HYPERLINK("https://www.philgeps.gov.ph/GEPSNONPILOT/Tender/SplashBidNoticeAbstractUI.aspx?menuIndex=3&amp;refID=7077040&amp;Result=3","7077040")</f>
        <v>0</v>
      </c>
      <c r="B838" t="s">
        <v>441</v>
      </c>
      <c r="C838" t="s">
        <v>4182</v>
      </c>
      <c r="D838" t="s">
        <v>16608</v>
      </c>
      <c r="E838" t="s">
        <v>17505</v>
      </c>
      <c r="F838" t="s">
        <v>28669</v>
      </c>
      <c r="G838" t="s">
        <v>28676</v>
      </c>
      <c r="H838" t="s">
        <v>9998</v>
      </c>
      <c r="I838" t="s">
        <v>28717</v>
      </c>
      <c r="J838" t="s">
        <v>28912</v>
      </c>
      <c r="K838" t="s">
        <v>37210</v>
      </c>
      <c r="M838" t="s">
        <v>37926</v>
      </c>
      <c r="N838" t="s">
        <v>41249</v>
      </c>
      <c r="O838" t="s">
        <v>41250</v>
      </c>
      <c r="P838">
        <v>0</v>
      </c>
      <c r="Q838">
        <v>5</v>
      </c>
      <c r="R838" t="s">
        <v>41251</v>
      </c>
      <c r="S838" t="s">
        <v>41369</v>
      </c>
      <c r="T838" t="s">
        <v>42738</v>
      </c>
      <c r="U838" t="s">
        <v>43938</v>
      </c>
      <c r="V838" t="s">
        <v>54347</v>
      </c>
      <c r="W838" t="s">
        <v>37926</v>
      </c>
      <c r="X838" t="s">
        <v>41252</v>
      </c>
    </row>
    <row r="839" spans="1:24">
      <c r="A839">
        <f>HYPERLINK("https://www.philgeps.gov.ph/GEPSNONPILOT/Tender/SplashBidNoticeAbstractUI.aspx?menuIndex=3&amp;refID=7077038&amp;Result=3","7077038")</f>
        <v>0</v>
      </c>
      <c r="B839" t="s">
        <v>447</v>
      </c>
      <c r="C839" t="s">
        <v>4183</v>
      </c>
      <c r="E839" t="s">
        <v>17506</v>
      </c>
      <c r="F839" t="s">
        <v>28669</v>
      </c>
      <c r="G839" t="s">
        <v>28677</v>
      </c>
      <c r="H839" t="s">
        <v>9998</v>
      </c>
      <c r="I839" t="s">
        <v>6128</v>
      </c>
      <c r="J839" t="s">
        <v>29451</v>
      </c>
      <c r="K839" t="s">
        <v>37209</v>
      </c>
      <c r="M839" t="s">
        <v>37933</v>
      </c>
      <c r="N839" t="s">
        <v>41249</v>
      </c>
      <c r="O839" t="s">
        <v>41250</v>
      </c>
      <c r="P839">
        <v>0</v>
      </c>
      <c r="Q839">
        <v>1</v>
      </c>
      <c r="R839" t="s">
        <v>41251</v>
      </c>
      <c r="S839" t="s">
        <v>41369</v>
      </c>
      <c r="T839" t="s">
        <v>42670</v>
      </c>
      <c r="U839" t="s">
        <v>43939</v>
      </c>
      <c r="W839" t="s">
        <v>37933</v>
      </c>
      <c r="X839" t="s">
        <v>41252</v>
      </c>
    </row>
    <row r="840" spans="1:24">
      <c r="A840">
        <f>HYPERLINK("https://www.philgeps.gov.ph/GEPSNONPILOT/Tender/SplashBidNoticeAbstractUI.aspx?menuIndex=3&amp;refID=7077036&amp;Result=3","7077036")</f>
        <v>0</v>
      </c>
      <c r="B840" t="s">
        <v>448</v>
      </c>
      <c r="C840" t="s">
        <v>4184</v>
      </c>
      <c r="D840" t="s">
        <v>16632</v>
      </c>
      <c r="E840" t="s">
        <v>17507</v>
      </c>
      <c r="F840" t="s">
        <v>28669</v>
      </c>
      <c r="G840" t="s">
        <v>28675</v>
      </c>
      <c r="H840" t="s">
        <v>28686</v>
      </c>
      <c r="I840" t="s">
        <v>28689</v>
      </c>
      <c r="J840" t="s">
        <v>28850</v>
      </c>
      <c r="K840" t="s">
        <v>37215</v>
      </c>
      <c r="M840" t="s">
        <v>37934</v>
      </c>
      <c r="N840" t="s">
        <v>41249</v>
      </c>
      <c r="O840" t="s">
        <v>41250</v>
      </c>
      <c r="P840">
        <v>0</v>
      </c>
      <c r="Q840">
        <v>0</v>
      </c>
      <c r="R840" t="s">
        <v>41251</v>
      </c>
      <c r="S840" t="s">
        <v>41369</v>
      </c>
      <c r="T840" t="s">
        <v>42688</v>
      </c>
      <c r="U840" t="s">
        <v>43940</v>
      </c>
      <c r="W840" t="s">
        <v>37934</v>
      </c>
      <c r="X840" t="s">
        <v>41252</v>
      </c>
    </row>
    <row r="841" spans="1:24">
      <c r="A841">
        <f>HYPERLINK("https://www.philgeps.gov.ph/GEPSNONPILOT/Tender/SplashBidNoticeAbstractUI.aspx?menuIndex=3&amp;refID=7077034&amp;Result=3","7077034")</f>
        <v>0</v>
      </c>
      <c r="B841" t="s">
        <v>449</v>
      </c>
      <c r="C841" t="s">
        <v>4185</v>
      </c>
      <c r="D841" t="s">
        <v>16679</v>
      </c>
      <c r="E841" t="s">
        <v>17508</v>
      </c>
      <c r="F841" t="s">
        <v>28669</v>
      </c>
      <c r="G841" t="s">
        <v>28678</v>
      </c>
      <c r="H841" t="s">
        <v>9998</v>
      </c>
      <c r="I841" t="s">
        <v>6128</v>
      </c>
      <c r="J841" t="s">
        <v>29452</v>
      </c>
      <c r="K841" t="s">
        <v>37209</v>
      </c>
      <c r="M841" t="s">
        <v>37935</v>
      </c>
      <c r="N841" t="s">
        <v>41249</v>
      </c>
      <c r="O841" t="s">
        <v>41250</v>
      </c>
      <c r="P841">
        <v>0</v>
      </c>
      <c r="Q841">
        <v>4</v>
      </c>
      <c r="R841" t="s">
        <v>41251</v>
      </c>
      <c r="S841" t="s">
        <v>41369</v>
      </c>
      <c r="T841" t="s">
        <v>42694</v>
      </c>
      <c r="U841" t="s">
        <v>43941</v>
      </c>
      <c r="W841" t="s">
        <v>37935</v>
      </c>
      <c r="X841" t="s">
        <v>41252</v>
      </c>
    </row>
    <row r="842" spans="1:24">
      <c r="A842">
        <f>HYPERLINK("https://www.philgeps.gov.ph/GEPSNONPILOT/Tender/SplashBidNoticeAbstractUI.aspx?menuIndex=3&amp;refID=7077032&amp;Result=3","7077032")</f>
        <v>0</v>
      </c>
      <c r="B842" t="s">
        <v>141</v>
      </c>
      <c r="C842" t="s">
        <v>4186</v>
      </c>
      <c r="D842" t="s">
        <v>16624</v>
      </c>
      <c r="E842" t="s">
        <v>17509</v>
      </c>
      <c r="F842" t="s">
        <v>28669</v>
      </c>
      <c r="G842" t="s">
        <v>28677</v>
      </c>
      <c r="H842" t="s">
        <v>9998</v>
      </c>
      <c r="I842" t="s">
        <v>5213</v>
      </c>
      <c r="J842" t="s">
        <v>29453</v>
      </c>
      <c r="K842" t="s">
        <v>37204</v>
      </c>
      <c r="M842" t="s">
        <v>37618</v>
      </c>
      <c r="N842" t="s">
        <v>41249</v>
      </c>
      <c r="O842" t="s">
        <v>41250</v>
      </c>
      <c r="P842">
        <v>0</v>
      </c>
      <c r="Q842">
        <v>0</v>
      </c>
      <c r="R842" t="s">
        <v>41251</v>
      </c>
      <c r="S842" t="s">
        <v>41369</v>
      </c>
      <c r="T842" t="s">
        <v>42798</v>
      </c>
      <c r="U842" t="s">
        <v>43942</v>
      </c>
      <c r="W842" t="s">
        <v>37618</v>
      </c>
      <c r="X842" t="s">
        <v>41252</v>
      </c>
    </row>
    <row r="843" spans="1:24">
      <c r="A843">
        <f>HYPERLINK("https://www.philgeps.gov.ph/GEPSNONPILOT/Tender/SplashBidNoticeAbstractUI.aspx?menuIndex=3&amp;refID=7077045&amp;Result=3","7077045")</f>
        <v>0</v>
      </c>
      <c r="B843" t="s">
        <v>169</v>
      </c>
      <c r="C843" t="s">
        <v>4187</v>
      </c>
      <c r="D843" t="s">
        <v>16611</v>
      </c>
      <c r="E843" t="s">
        <v>17510</v>
      </c>
      <c r="F843" t="s">
        <v>28669</v>
      </c>
      <c r="G843" t="s">
        <v>28675</v>
      </c>
      <c r="H843" t="s">
        <v>28686</v>
      </c>
      <c r="I843" t="s">
        <v>28689</v>
      </c>
      <c r="J843" t="s">
        <v>29112</v>
      </c>
      <c r="K843" t="s">
        <v>37260</v>
      </c>
      <c r="M843" t="s">
        <v>37936</v>
      </c>
      <c r="N843" t="s">
        <v>41249</v>
      </c>
      <c r="O843" t="s">
        <v>41250</v>
      </c>
      <c r="P843">
        <v>0</v>
      </c>
      <c r="Q843">
        <v>2</v>
      </c>
      <c r="R843" t="s">
        <v>41251</v>
      </c>
      <c r="S843" t="s">
        <v>41369</v>
      </c>
      <c r="T843" t="s">
        <v>42688</v>
      </c>
      <c r="U843" t="s">
        <v>43943</v>
      </c>
      <c r="W843" t="s">
        <v>37936</v>
      </c>
      <c r="X843" t="s">
        <v>41252</v>
      </c>
    </row>
    <row r="844" spans="1:24">
      <c r="A844">
        <f>HYPERLINK("https://www.philgeps.gov.ph/GEPSNONPILOT/Tender/SplashBidNoticeAbstractUI.aspx?menuIndex=3&amp;refID=7077035&amp;Result=3","7077035")</f>
        <v>0</v>
      </c>
      <c r="B844" t="s">
        <v>366</v>
      </c>
      <c r="C844" t="s">
        <v>4188</v>
      </c>
      <c r="D844" t="s">
        <v>16626</v>
      </c>
      <c r="E844" t="s">
        <v>17511</v>
      </c>
      <c r="F844" t="s">
        <v>28669</v>
      </c>
      <c r="G844" t="s">
        <v>28676</v>
      </c>
      <c r="H844" t="s">
        <v>9998</v>
      </c>
      <c r="I844" t="s">
        <v>28728</v>
      </c>
      <c r="J844" t="s">
        <v>29454</v>
      </c>
      <c r="K844" t="s">
        <v>37208</v>
      </c>
      <c r="M844" t="s">
        <v>37847</v>
      </c>
      <c r="N844" t="s">
        <v>41249</v>
      </c>
      <c r="O844" t="s">
        <v>41250</v>
      </c>
      <c r="P844">
        <v>0</v>
      </c>
      <c r="Q844">
        <v>1</v>
      </c>
      <c r="R844" t="s">
        <v>41251</v>
      </c>
      <c r="S844" t="s">
        <v>41369</v>
      </c>
      <c r="T844" t="s">
        <v>42675</v>
      </c>
      <c r="U844" t="s">
        <v>43944</v>
      </c>
      <c r="W844" t="s">
        <v>37847</v>
      </c>
      <c r="X844" t="s">
        <v>41252</v>
      </c>
    </row>
    <row r="845" spans="1:24">
      <c r="A845">
        <f>HYPERLINK("https://www.philgeps.gov.ph/GEPSNONPILOT/Tender/SplashBidNoticeAbstractUI.aspx?menuIndex=3&amp;refID=7077031&amp;Result=3","7077031")</f>
        <v>0</v>
      </c>
      <c r="B845" t="s">
        <v>450</v>
      </c>
      <c r="C845" t="s">
        <v>4189</v>
      </c>
      <c r="D845" t="s">
        <v>16621</v>
      </c>
      <c r="E845" t="s">
        <v>17512</v>
      </c>
      <c r="F845" t="s">
        <v>28669</v>
      </c>
      <c r="G845" t="s">
        <v>28675</v>
      </c>
      <c r="H845" t="s">
        <v>28686</v>
      </c>
      <c r="I845" t="s">
        <v>28689</v>
      </c>
      <c r="J845" t="s">
        <v>28851</v>
      </c>
      <c r="K845" t="s">
        <v>37261</v>
      </c>
      <c r="M845" t="s">
        <v>37937</v>
      </c>
      <c r="N845" t="s">
        <v>41249</v>
      </c>
      <c r="O845" t="s">
        <v>41250</v>
      </c>
      <c r="P845">
        <v>0</v>
      </c>
      <c r="Q845">
        <v>0</v>
      </c>
      <c r="R845" t="s">
        <v>41251</v>
      </c>
      <c r="S845" t="s">
        <v>41369</v>
      </c>
      <c r="T845" t="s">
        <v>42690</v>
      </c>
      <c r="U845" t="s">
        <v>43945</v>
      </c>
      <c r="W845" t="s">
        <v>37937</v>
      </c>
      <c r="X845" t="s">
        <v>41252</v>
      </c>
    </row>
    <row r="846" spans="1:24">
      <c r="A846">
        <f>HYPERLINK("https://www.philgeps.gov.ph/GEPSNONPILOT/Tender/SplashBidNoticeAbstractUI.aspx?menuIndex=3&amp;refID=7077022&amp;Result=3","7077022")</f>
        <v>0</v>
      </c>
      <c r="B846" t="s">
        <v>289</v>
      </c>
      <c r="C846" t="s">
        <v>4190</v>
      </c>
      <c r="D846" t="s">
        <v>16608</v>
      </c>
      <c r="E846" t="s">
        <v>17513</v>
      </c>
      <c r="F846" t="s">
        <v>28669</v>
      </c>
      <c r="G846" t="s">
        <v>28676</v>
      </c>
      <c r="H846" t="s">
        <v>9998</v>
      </c>
      <c r="I846" t="s">
        <v>28758</v>
      </c>
      <c r="J846" t="s">
        <v>29455</v>
      </c>
      <c r="K846" t="s">
        <v>37209</v>
      </c>
      <c r="M846" t="s">
        <v>37938</v>
      </c>
      <c r="N846" t="s">
        <v>41249</v>
      </c>
      <c r="O846" t="s">
        <v>41250</v>
      </c>
      <c r="P846">
        <v>0</v>
      </c>
      <c r="Q846">
        <v>0</v>
      </c>
      <c r="R846" t="s">
        <v>41251</v>
      </c>
      <c r="S846" t="s">
        <v>41369</v>
      </c>
      <c r="T846" t="s">
        <v>42682</v>
      </c>
      <c r="U846" t="s">
        <v>43946</v>
      </c>
      <c r="W846" t="s">
        <v>37938</v>
      </c>
      <c r="X846" t="s">
        <v>41252</v>
      </c>
    </row>
    <row r="847" spans="1:24">
      <c r="A847">
        <f>HYPERLINK("https://www.philgeps.gov.ph/GEPSNONPILOT/Tender/SplashBidNoticeAbstractUI.aspx?menuIndex=3&amp;refID=7077011&amp;Result=3","7077011")</f>
        <v>0</v>
      </c>
      <c r="B847" t="s">
        <v>451</v>
      </c>
      <c r="C847" t="s">
        <v>4191</v>
      </c>
      <c r="D847" t="s">
        <v>16647</v>
      </c>
      <c r="E847" t="s">
        <v>17514</v>
      </c>
      <c r="F847" t="s">
        <v>28669</v>
      </c>
      <c r="G847" t="s">
        <v>28678</v>
      </c>
      <c r="H847" t="s">
        <v>9998</v>
      </c>
      <c r="I847" t="s">
        <v>28688</v>
      </c>
      <c r="J847" t="s">
        <v>29456</v>
      </c>
      <c r="K847" t="s">
        <v>37206</v>
      </c>
      <c r="M847" t="s">
        <v>37939</v>
      </c>
      <c r="N847" t="s">
        <v>41249</v>
      </c>
      <c r="O847" t="s">
        <v>41250</v>
      </c>
      <c r="P847">
        <v>0</v>
      </c>
      <c r="Q847">
        <v>3</v>
      </c>
      <c r="R847" t="s">
        <v>41251</v>
      </c>
      <c r="S847" t="s">
        <v>41369</v>
      </c>
      <c r="T847" t="s">
        <v>42717</v>
      </c>
      <c r="U847" t="s">
        <v>43947</v>
      </c>
      <c r="W847" t="s">
        <v>37939</v>
      </c>
      <c r="X847" t="s">
        <v>41252</v>
      </c>
    </row>
    <row r="848" spans="1:24">
      <c r="A848">
        <f>HYPERLINK("https://www.philgeps.gov.ph/GEPSNONPILOT/Tender/SplashBidNoticeAbstractUI.aspx?menuIndex=3&amp;refID=7076988&amp;Result=3","7076988")</f>
        <v>0</v>
      </c>
      <c r="B848" t="s">
        <v>452</v>
      </c>
      <c r="C848" t="s">
        <v>4192</v>
      </c>
      <c r="D848" t="s">
        <v>16608</v>
      </c>
      <c r="E848" t="s">
        <v>17515</v>
      </c>
      <c r="F848" t="s">
        <v>28669</v>
      </c>
      <c r="G848" t="s">
        <v>28679</v>
      </c>
      <c r="H848" t="s">
        <v>9998</v>
      </c>
      <c r="I848" t="s">
        <v>28759</v>
      </c>
      <c r="J848" t="s">
        <v>29457</v>
      </c>
      <c r="K848" t="s">
        <v>37206</v>
      </c>
      <c r="M848" t="s">
        <v>37940</v>
      </c>
      <c r="N848" t="s">
        <v>41249</v>
      </c>
      <c r="O848" t="s">
        <v>41250</v>
      </c>
      <c r="P848">
        <v>0</v>
      </c>
      <c r="Q848">
        <v>7</v>
      </c>
      <c r="R848" t="s">
        <v>41251</v>
      </c>
      <c r="S848" t="s">
        <v>41369</v>
      </c>
      <c r="T848" t="s">
        <v>42683</v>
      </c>
      <c r="U848" t="s">
        <v>43948</v>
      </c>
      <c r="W848" t="s">
        <v>37940</v>
      </c>
      <c r="X848" t="s">
        <v>41252</v>
      </c>
    </row>
    <row r="849" spans="1:24">
      <c r="A849">
        <f>HYPERLINK("https://www.philgeps.gov.ph/GEPSNONPILOT/Tender/SplashBidNoticeAbstractUI.aspx?menuIndex=3&amp;refID=7077010&amp;Result=3","7077010")</f>
        <v>0</v>
      </c>
      <c r="B849" t="s">
        <v>453</v>
      </c>
      <c r="C849" t="s">
        <v>4193</v>
      </c>
      <c r="D849" t="s">
        <v>16633</v>
      </c>
      <c r="E849" t="s">
        <v>17516</v>
      </c>
      <c r="F849" t="s">
        <v>28669</v>
      </c>
      <c r="G849" t="s">
        <v>28676</v>
      </c>
      <c r="H849" t="s">
        <v>9998</v>
      </c>
      <c r="I849" t="s">
        <v>7352</v>
      </c>
      <c r="J849" t="s">
        <v>29458</v>
      </c>
      <c r="K849" t="s">
        <v>37216</v>
      </c>
      <c r="M849" t="s">
        <v>37941</v>
      </c>
      <c r="N849" t="s">
        <v>41249</v>
      </c>
      <c r="O849" t="s">
        <v>41250</v>
      </c>
      <c r="P849">
        <v>0</v>
      </c>
      <c r="Q849">
        <v>0</v>
      </c>
      <c r="R849" t="s">
        <v>41251</v>
      </c>
      <c r="S849" t="s">
        <v>41369</v>
      </c>
      <c r="T849" t="s">
        <v>42717</v>
      </c>
      <c r="U849" t="s">
        <v>43949</v>
      </c>
      <c r="W849" t="s">
        <v>37941</v>
      </c>
      <c r="X849" t="s">
        <v>41252</v>
      </c>
    </row>
    <row r="850" spans="1:24">
      <c r="A850">
        <f>HYPERLINK("https://www.philgeps.gov.ph/GEPSNONPILOT/Tender/SplashBidNoticeAbstractUI.aspx?menuIndex=3&amp;refID=7077033&amp;Result=3","7077033")</f>
        <v>0</v>
      </c>
      <c r="B850" t="s">
        <v>454</v>
      </c>
      <c r="C850" t="s">
        <v>4194</v>
      </c>
      <c r="D850" t="s">
        <v>16661</v>
      </c>
      <c r="E850" t="s">
        <v>17517</v>
      </c>
      <c r="F850" t="s">
        <v>28669</v>
      </c>
      <c r="G850" t="s">
        <v>28676</v>
      </c>
      <c r="H850" t="s">
        <v>9998</v>
      </c>
      <c r="I850" t="s">
        <v>6606</v>
      </c>
      <c r="J850" t="s">
        <v>29459</v>
      </c>
      <c r="K850" t="s">
        <v>37209</v>
      </c>
      <c r="M850" t="s">
        <v>37942</v>
      </c>
      <c r="N850" t="s">
        <v>41249</v>
      </c>
      <c r="O850" t="s">
        <v>41250</v>
      </c>
      <c r="P850">
        <v>0</v>
      </c>
      <c r="Q850">
        <v>0</v>
      </c>
      <c r="R850" t="s">
        <v>41251</v>
      </c>
      <c r="S850" t="s">
        <v>41369</v>
      </c>
      <c r="T850" t="s">
        <v>42799</v>
      </c>
      <c r="U850" t="s">
        <v>43950</v>
      </c>
      <c r="W850" t="s">
        <v>37942</v>
      </c>
      <c r="X850" t="s">
        <v>41252</v>
      </c>
    </row>
    <row r="851" spans="1:24">
      <c r="A851">
        <f>HYPERLINK("https://www.philgeps.gov.ph/GEPSNONPILOT/Tender/SplashBidNoticeAbstractUI.aspx?menuIndex=3&amp;refID=7077009&amp;Result=3","7077009")</f>
        <v>0</v>
      </c>
      <c r="B851" t="s">
        <v>430</v>
      </c>
      <c r="C851" t="s">
        <v>4158</v>
      </c>
      <c r="D851" t="s">
        <v>16660</v>
      </c>
      <c r="E851" t="s">
        <v>17518</v>
      </c>
      <c r="F851" t="s">
        <v>28669</v>
      </c>
      <c r="G851" t="s">
        <v>28678</v>
      </c>
      <c r="H851" t="s">
        <v>9998</v>
      </c>
      <c r="I851" t="s">
        <v>7352</v>
      </c>
      <c r="J851" t="s">
        <v>29460</v>
      </c>
      <c r="K851" t="s">
        <v>37204</v>
      </c>
      <c r="M851" t="s">
        <v>37915</v>
      </c>
      <c r="N851" t="s">
        <v>41249</v>
      </c>
      <c r="O851" t="s">
        <v>41250</v>
      </c>
      <c r="P851">
        <v>0</v>
      </c>
      <c r="Q851">
        <v>2</v>
      </c>
      <c r="R851" t="s">
        <v>41251</v>
      </c>
      <c r="S851" t="s">
        <v>41369</v>
      </c>
      <c r="T851" t="s">
        <v>42770</v>
      </c>
      <c r="U851" t="s">
        <v>43913</v>
      </c>
      <c r="W851" t="s">
        <v>37915</v>
      </c>
      <c r="X851" t="s">
        <v>41252</v>
      </c>
    </row>
    <row r="852" spans="1:24">
      <c r="A852">
        <f>HYPERLINK("https://www.philgeps.gov.ph/GEPSNONPILOT/Tender/SplashBidNoticeAbstractUI.aspx?menuIndex=3&amp;refID=7077008&amp;Result=3","7077008")</f>
        <v>0</v>
      </c>
      <c r="B852" t="s">
        <v>188</v>
      </c>
      <c r="C852" t="s">
        <v>4195</v>
      </c>
      <c r="D852" t="s">
        <v>16664</v>
      </c>
      <c r="E852" t="s">
        <v>17519</v>
      </c>
      <c r="F852" t="s">
        <v>28669</v>
      </c>
      <c r="G852" t="s">
        <v>28677</v>
      </c>
      <c r="H852" t="s">
        <v>9998</v>
      </c>
      <c r="I852" t="s">
        <v>28690</v>
      </c>
      <c r="J852" t="s">
        <v>29461</v>
      </c>
      <c r="K852" t="s">
        <v>37210</v>
      </c>
      <c r="M852" t="s">
        <v>37666</v>
      </c>
      <c r="N852" t="s">
        <v>41249</v>
      </c>
      <c r="O852" t="s">
        <v>41250</v>
      </c>
      <c r="P852">
        <v>0</v>
      </c>
      <c r="Q852">
        <v>1</v>
      </c>
      <c r="R852" t="s">
        <v>41251</v>
      </c>
      <c r="S852" t="s">
        <v>41369</v>
      </c>
      <c r="T852" t="s">
        <v>42703</v>
      </c>
      <c r="U852" t="s">
        <v>43951</v>
      </c>
      <c r="W852" t="s">
        <v>37666</v>
      </c>
      <c r="X852" t="s">
        <v>41252</v>
      </c>
    </row>
    <row r="853" spans="1:24">
      <c r="A853">
        <f>HYPERLINK("https://www.philgeps.gov.ph/GEPSNONPILOT/Tender/SplashBidNoticeAbstractUI.aspx?menuIndex=3&amp;refID=7077002&amp;Result=3","7077002")</f>
        <v>0</v>
      </c>
      <c r="B853" t="s">
        <v>188</v>
      </c>
      <c r="C853" t="s">
        <v>4196</v>
      </c>
      <c r="D853" t="s">
        <v>16664</v>
      </c>
      <c r="E853" t="s">
        <v>17520</v>
      </c>
      <c r="F853" t="s">
        <v>28669</v>
      </c>
      <c r="G853" t="s">
        <v>28677</v>
      </c>
      <c r="H853" t="s">
        <v>9998</v>
      </c>
      <c r="I853" t="s">
        <v>28690</v>
      </c>
      <c r="J853" t="s">
        <v>29462</v>
      </c>
      <c r="K853" t="s">
        <v>37210</v>
      </c>
      <c r="M853" t="s">
        <v>37666</v>
      </c>
      <c r="N853" t="s">
        <v>41249</v>
      </c>
      <c r="O853" t="s">
        <v>41250</v>
      </c>
      <c r="P853">
        <v>0</v>
      </c>
      <c r="Q853">
        <v>2</v>
      </c>
      <c r="R853" t="s">
        <v>41251</v>
      </c>
      <c r="S853" t="s">
        <v>41369</v>
      </c>
      <c r="T853" t="s">
        <v>42703</v>
      </c>
      <c r="U853" t="s">
        <v>43952</v>
      </c>
      <c r="W853" t="s">
        <v>37666</v>
      </c>
      <c r="X853" t="s">
        <v>41252</v>
      </c>
    </row>
    <row r="854" spans="1:24">
      <c r="A854">
        <f>HYPERLINK("https://www.philgeps.gov.ph/GEPSNONPILOT/Tender/SplashBidNoticeAbstractUI.aspx?menuIndex=3&amp;refID=7076985&amp;Result=3","7076985")</f>
        <v>0</v>
      </c>
      <c r="B854" t="s">
        <v>455</v>
      </c>
      <c r="C854" t="s">
        <v>4197</v>
      </c>
      <c r="E854" t="s">
        <v>17521</v>
      </c>
      <c r="F854" t="s">
        <v>28669</v>
      </c>
      <c r="G854" t="s">
        <v>28675</v>
      </c>
      <c r="H854" t="s">
        <v>28686</v>
      </c>
      <c r="I854" t="s">
        <v>28689</v>
      </c>
      <c r="J854" t="s">
        <v>28826</v>
      </c>
      <c r="K854" t="s">
        <v>37209</v>
      </c>
      <c r="M854" t="s">
        <v>37943</v>
      </c>
      <c r="N854" t="s">
        <v>41249</v>
      </c>
      <c r="O854" t="s">
        <v>41250</v>
      </c>
      <c r="P854">
        <v>0</v>
      </c>
      <c r="Q854">
        <v>0</v>
      </c>
      <c r="R854" t="s">
        <v>41251</v>
      </c>
      <c r="S854" t="s">
        <v>41369</v>
      </c>
      <c r="T854" t="s">
        <v>42800</v>
      </c>
      <c r="U854" t="s">
        <v>43953</v>
      </c>
      <c r="W854" t="s">
        <v>37943</v>
      </c>
      <c r="X854" t="s">
        <v>41252</v>
      </c>
    </row>
    <row r="855" spans="1:24">
      <c r="A855">
        <f>HYPERLINK("https://www.philgeps.gov.ph/GEPSNONPILOT/Tender/SplashBidNoticeAbstractUI.aspx?menuIndex=3&amp;refID=7077030&amp;Result=3","7077030")</f>
        <v>0</v>
      </c>
      <c r="B855" t="s">
        <v>441</v>
      </c>
      <c r="C855" t="s">
        <v>4198</v>
      </c>
      <c r="D855" t="s">
        <v>16608</v>
      </c>
      <c r="E855" t="s">
        <v>17522</v>
      </c>
      <c r="F855" t="s">
        <v>28669</v>
      </c>
      <c r="G855" t="s">
        <v>28676</v>
      </c>
      <c r="H855" t="s">
        <v>9998</v>
      </c>
      <c r="I855" t="s">
        <v>3679</v>
      </c>
      <c r="J855" t="s">
        <v>29463</v>
      </c>
      <c r="K855" t="s">
        <v>37205</v>
      </c>
      <c r="M855" t="s">
        <v>37926</v>
      </c>
      <c r="N855" t="s">
        <v>41249</v>
      </c>
      <c r="O855" t="s">
        <v>41250</v>
      </c>
      <c r="P855">
        <v>0</v>
      </c>
      <c r="Q855">
        <v>2</v>
      </c>
      <c r="R855" t="s">
        <v>41251</v>
      </c>
      <c r="S855" t="s">
        <v>41369</v>
      </c>
      <c r="T855" t="s">
        <v>42738</v>
      </c>
      <c r="U855" t="s">
        <v>43954</v>
      </c>
      <c r="V855" t="s">
        <v>54347</v>
      </c>
      <c r="W855" t="s">
        <v>37926</v>
      </c>
      <c r="X855" t="s">
        <v>41252</v>
      </c>
    </row>
    <row r="856" spans="1:24">
      <c r="A856">
        <f>HYPERLINK("https://www.philgeps.gov.ph/GEPSNONPILOT/Tender/SplashBidNoticeAbstractUI.aspx?menuIndex=3&amp;refID=7076983&amp;Result=3","7076983")</f>
        <v>0</v>
      </c>
      <c r="B856" t="s">
        <v>456</v>
      </c>
      <c r="C856" t="s">
        <v>4199</v>
      </c>
      <c r="E856" t="s">
        <v>17523</v>
      </c>
      <c r="F856" t="s">
        <v>28669</v>
      </c>
      <c r="G856" t="s">
        <v>28676</v>
      </c>
      <c r="H856" t="s">
        <v>9998</v>
      </c>
      <c r="I856" t="s">
        <v>28697</v>
      </c>
      <c r="J856" t="s">
        <v>29464</v>
      </c>
      <c r="K856" t="s">
        <v>37262</v>
      </c>
      <c r="M856" t="s">
        <v>37944</v>
      </c>
      <c r="N856" t="s">
        <v>41249</v>
      </c>
      <c r="O856" t="s">
        <v>41250</v>
      </c>
      <c r="P856">
        <v>0</v>
      </c>
      <c r="Q856">
        <v>5</v>
      </c>
      <c r="R856" t="s">
        <v>41251</v>
      </c>
      <c r="S856" t="s">
        <v>41369</v>
      </c>
      <c r="T856" t="s">
        <v>42694</v>
      </c>
      <c r="U856" t="s">
        <v>43955</v>
      </c>
      <c r="W856" t="s">
        <v>37944</v>
      </c>
      <c r="X856" t="s">
        <v>41252</v>
      </c>
    </row>
    <row r="857" spans="1:24">
      <c r="A857">
        <f>HYPERLINK("https://www.philgeps.gov.ph/GEPSNONPILOT/Tender/SplashBidNoticeAbstractUI.aspx?menuIndex=3&amp;refID=7077029&amp;Result=3","7077029")</f>
        <v>0</v>
      </c>
      <c r="B857" t="s">
        <v>188</v>
      </c>
      <c r="C857" t="s">
        <v>4200</v>
      </c>
      <c r="D857" t="s">
        <v>16664</v>
      </c>
      <c r="E857" t="s">
        <v>17524</v>
      </c>
      <c r="F857" t="s">
        <v>28669</v>
      </c>
      <c r="G857" t="s">
        <v>28676</v>
      </c>
      <c r="H857" t="s">
        <v>9998</v>
      </c>
      <c r="I857" t="s">
        <v>6128</v>
      </c>
      <c r="J857" t="s">
        <v>29465</v>
      </c>
      <c r="K857" t="s">
        <v>37243</v>
      </c>
      <c r="M857" t="s">
        <v>37666</v>
      </c>
      <c r="N857" t="s">
        <v>41249</v>
      </c>
      <c r="O857" t="s">
        <v>41250</v>
      </c>
      <c r="P857">
        <v>0</v>
      </c>
      <c r="Q857">
        <v>1</v>
      </c>
      <c r="R857" t="s">
        <v>41251</v>
      </c>
      <c r="S857" t="s">
        <v>41369</v>
      </c>
      <c r="T857" t="s">
        <v>42703</v>
      </c>
      <c r="U857" t="s">
        <v>43956</v>
      </c>
      <c r="W857" t="s">
        <v>37666</v>
      </c>
      <c r="X857" t="s">
        <v>41252</v>
      </c>
    </row>
    <row r="858" spans="1:24">
      <c r="A858">
        <f>HYPERLINK("https://www.philgeps.gov.ph/GEPSNONPILOT/Tender/SplashBidNoticeAbstractUI.aspx?menuIndex=3&amp;refID=7076982&amp;Result=3","7076982")</f>
        <v>0</v>
      </c>
      <c r="B858" t="s">
        <v>457</v>
      </c>
      <c r="C858" t="s">
        <v>4201</v>
      </c>
      <c r="D858" t="s">
        <v>16675</v>
      </c>
      <c r="E858" t="s">
        <v>17525</v>
      </c>
      <c r="F858" t="s">
        <v>28669</v>
      </c>
      <c r="G858" t="s">
        <v>28677</v>
      </c>
      <c r="H858" t="s">
        <v>9998</v>
      </c>
      <c r="I858" t="s">
        <v>28704</v>
      </c>
      <c r="J858" t="s">
        <v>29466</v>
      </c>
      <c r="K858" t="s">
        <v>37206</v>
      </c>
      <c r="M858" t="s">
        <v>37945</v>
      </c>
      <c r="N858" t="s">
        <v>41249</v>
      </c>
      <c r="O858" t="s">
        <v>41250</v>
      </c>
      <c r="P858">
        <v>0</v>
      </c>
      <c r="Q858">
        <v>1</v>
      </c>
      <c r="R858" t="s">
        <v>41251</v>
      </c>
      <c r="S858" t="s">
        <v>41369</v>
      </c>
      <c r="T858" t="s">
        <v>42736</v>
      </c>
      <c r="U858" t="s">
        <v>43957</v>
      </c>
      <c r="W858" t="s">
        <v>37945</v>
      </c>
      <c r="X858" t="s">
        <v>41252</v>
      </c>
    </row>
    <row r="859" spans="1:24">
      <c r="A859">
        <f>HYPERLINK("https://www.philgeps.gov.ph/GEPSNONPILOT/Tender/SplashBidNoticeAbstractUI.aspx?menuIndex=3&amp;refID=7076959&amp;Result=3","7076959")</f>
        <v>0</v>
      </c>
      <c r="B859" t="s">
        <v>458</v>
      </c>
      <c r="C859" t="s">
        <v>4202</v>
      </c>
      <c r="D859" t="s">
        <v>16618</v>
      </c>
      <c r="E859" t="s">
        <v>17526</v>
      </c>
      <c r="F859" t="s">
        <v>28669</v>
      </c>
      <c r="G859" t="s">
        <v>28676</v>
      </c>
      <c r="H859" t="s">
        <v>28686</v>
      </c>
      <c r="I859" t="s">
        <v>28689</v>
      </c>
      <c r="J859" t="s">
        <v>29467</v>
      </c>
      <c r="K859" t="s">
        <v>37221</v>
      </c>
      <c r="M859" t="s">
        <v>37946</v>
      </c>
      <c r="N859" t="s">
        <v>41249</v>
      </c>
      <c r="O859" t="s">
        <v>41250</v>
      </c>
      <c r="P859">
        <v>0</v>
      </c>
      <c r="Q859">
        <v>0</v>
      </c>
      <c r="R859" t="s">
        <v>41251</v>
      </c>
      <c r="S859" t="s">
        <v>41369</v>
      </c>
      <c r="T859" t="s">
        <v>42711</v>
      </c>
      <c r="U859" t="s">
        <v>43958</v>
      </c>
      <c r="W859" t="s">
        <v>37946</v>
      </c>
      <c r="X859" t="s">
        <v>41252</v>
      </c>
    </row>
    <row r="860" spans="1:24">
      <c r="A860">
        <f>HYPERLINK("https://www.philgeps.gov.ph/GEPSNONPILOT/Tender/SplashBidNoticeAbstractUI.aspx?menuIndex=3&amp;refID=7076958&amp;Result=3","7076958")</f>
        <v>0</v>
      </c>
      <c r="B860" t="s">
        <v>394</v>
      </c>
      <c r="C860" t="s">
        <v>4203</v>
      </c>
      <c r="D860" t="s">
        <v>16675</v>
      </c>
      <c r="E860" t="s">
        <v>17527</v>
      </c>
      <c r="F860" t="s">
        <v>28669</v>
      </c>
      <c r="G860" t="s">
        <v>28676</v>
      </c>
      <c r="H860" t="s">
        <v>9998</v>
      </c>
      <c r="I860" t="s">
        <v>28698</v>
      </c>
      <c r="J860" t="s">
        <v>29468</v>
      </c>
      <c r="K860" t="s">
        <v>37210</v>
      </c>
      <c r="L860" t="s">
        <v>394</v>
      </c>
      <c r="M860" t="s">
        <v>37878</v>
      </c>
      <c r="N860" t="s">
        <v>41249</v>
      </c>
      <c r="O860" t="s">
        <v>41250</v>
      </c>
      <c r="P860">
        <v>0</v>
      </c>
      <c r="Q860">
        <v>0</v>
      </c>
      <c r="R860" t="s">
        <v>41251</v>
      </c>
      <c r="S860" t="s">
        <v>41369</v>
      </c>
      <c r="T860" t="s">
        <v>42717</v>
      </c>
      <c r="U860" t="s">
        <v>43959</v>
      </c>
      <c r="V860" t="s">
        <v>54338</v>
      </c>
      <c r="W860" t="s">
        <v>37878</v>
      </c>
      <c r="X860" t="s">
        <v>41252</v>
      </c>
    </row>
    <row r="861" spans="1:24">
      <c r="A861">
        <f>HYPERLINK("https://www.philgeps.gov.ph/GEPSNONPILOT/Tender/SplashBidNoticeAbstractUI.aspx?menuIndex=3&amp;refID=7076791&amp;Result=3","7076791")</f>
        <v>0</v>
      </c>
      <c r="B861" t="s">
        <v>141</v>
      </c>
      <c r="C861" t="s">
        <v>4204</v>
      </c>
      <c r="D861" t="s">
        <v>16624</v>
      </c>
      <c r="E861" t="s">
        <v>17528</v>
      </c>
      <c r="F861" t="s">
        <v>28669</v>
      </c>
      <c r="G861" t="s">
        <v>28677</v>
      </c>
      <c r="H861" t="s">
        <v>9998</v>
      </c>
      <c r="I861" t="s">
        <v>6128</v>
      </c>
      <c r="J861" t="s">
        <v>29469</v>
      </c>
      <c r="K861" t="s">
        <v>37204</v>
      </c>
      <c r="M861" t="s">
        <v>37618</v>
      </c>
      <c r="N861" t="s">
        <v>41249</v>
      </c>
      <c r="O861" t="s">
        <v>41250</v>
      </c>
      <c r="P861">
        <v>0</v>
      </c>
      <c r="Q861">
        <v>1</v>
      </c>
      <c r="R861" t="s">
        <v>41251</v>
      </c>
      <c r="S861" t="s">
        <v>41369</v>
      </c>
      <c r="T861" t="s">
        <v>42701</v>
      </c>
      <c r="U861" t="s">
        <v>43960</v>
      </c>
      <c r="W861" t="s">
        <v>37618</v>
      </c>
      <c r="X861" t="s">
        <v>41252</v>
      </c>
    </row>
    <row r="862" spans="1:24">
      <c r="A862">
        <f>HYPERLINK("https://www.philgeps.gov.ph/GEPSNONPILOT/Tender/SplashBidNoticeAbstractUI.aspx?menuIndex=3&amp;refID=7077007&amp;Result=3","7077007")</f>
        <v>0</v>
      </c>
      <c r="B862" t="s">
        <v>422</v>
      </c>
      <c r="C862" t="s">
        <v>4205</v>
      </c>
      <c r="D862" t="s">
        <v>16640</v>
      </c>
      <c r="E862" t="s">
        <v>17529</v>
      </c>
      <c r="F862" t="s">
        <v>28669</v>
      </c>
      <c r="G862" t="s">
        <v>28676</v>
      </c>
      <c r="H862" t="s">
        <v>9998</v>
      </c>
      <c r="I862" t="s">
        <v>28704</v>
      </c>
      <c r="J862" t="s">
        <v>29470</v>
      </c>
      <c r="K862" t="s">
        <v>37205</v>
      </c>
      <c r="M862" t="s">
        <v>37907</v>
      </c>
      <c r="N862" t="s">
        <v>41249</v>
      </c>
      <c r="O862" t="s">
        <v>41250</v>
      </c>
      <c r="P862">
        <v>0</v>
      </c>
      <c r="Q862">
        <v>0</v>
      </c>
      <c r="R862" t="s">
        <v>41251</v>
      </c>
      <c r="S862" t="s">
        <v>41369</v>
      </c>
      <c r="T862" t="s">
        <v>42673</v>
      </c>
      <c r="U862" t="s">
        <v>43895</v>
      </c>
      <c r="W862" t="s">
        <v>55917</v>
      </c>
      <c r="X862" t="s">
        <v>41252</v>
      </c>
    </row>
    <row r="863" spans="1:24">
      <c r="A863">
        <f>HYPERLINK("https://www.philgeps.gov.ph/GEPSNONPILOT/Tender/SplashBidNoticeAbstractUI.aspx?menuIndex=3&amp;refID=7077006&amp;Result=3","7077006")</f>
        <v>0</v>
      </c>
      <c r="B863" t="s">
        <v>459</v>
      </c>
      <c r="C863" t="s">
        <v>4206</v>
      </c>
      <c r="D863" t="s">
        <v>16616</v>
      </c>
      <c r="E863" t="s">
        <v>17530</v>
      </c>
      <c r="F863" t="s">
        <v>28669</v>
      </c>
      <c r="G863" t="s">
        <v>28675</v>
      </c>
      <c r="H863" t="s">
        <v>9998</v>
      </c>
      <c r="I863" t="s">
        <v>28706</v>
      </c>
      <c r="J863" t="s">
        <v>28878</v>
      </c>
      <c r="K863" t="s">
        <v>37206</v>
      </c>
      <c r="M863" t="s">
        <v>37947</v>
      </c>
      <c r="N863" t="s">
        <v>41249</v>
      </c>
      <c r="O863" t="s">
        <v>41250</v>
      </c>
      <c r="P863">
        <v>0</v>
      </c>
      <c r="Q863">
        <v>3</v>
      </c>
      <c r="R863" t="s">
        <v>41251</v>
      </c>
      <c r="S863" t="s">
        <v>41369</v>
      </c>
      <c r="T863" t="s">
        <v>42714</v>
      </c>
      <c r="U863" t="s">
        <v>43961</v>
      </c>
      <c r="W863" t="s">
        <v>37947</v>
      </c>
      <c r="X863" t="s">
        <v>41252</v>
      </c>
    </row>
    <row r="864" spans="1:24">
      <c r="A864">
        <f>HYPERLINK("https://www.philgeps.gov.ph/GEPSNONPILOT/Tender/SplashBidNoticeAbstractUI.aspx?menuIndex=3&amp;refID=7077076&amp;Result=3","7077076")</f>
        <v>0</v>
      </c>
      <c r="B864" t="s">
        <v>140</v>
      </c>
      <c r="C864" t="s">
        <v>4207</v>
      </c>
      <c r="D864" t="s">
        <v>16652</v>
      </c>
      <c r="E864" t="s">
        <v>17531</v>
      </c>
      <c r="F864" t="s">
        <v>28669</v>
      </c>
      <c r="G864" t="s">
        <v>28676</v>
      </c>
      <c r="H864" t="s">
        <v>9998</v>
      </c>
      <c r="I864" t="s">
        <v>28708</v>
      </c>
      <c r="J864" t="s">
        <v>28894</v>
      </c>
      <c r="K864" t="s">
        <v>37234</v>
      </c>
      <c r="M864" t="s">
        <v>37617</v>
      </c>
      <c r="N864" t="s">
        <v>41249</v>
      </c>
      <c r="O864" t="s">
        <v>41250</v>
      </c>
      <c r="P864">
        <v>0</v>
      </c>
      <c r="Q864">
        <v>0</v>
      </c>
      <c r="R864" t="s">
        <v>41251</v>
      </c>
      <c r="S864" t="s">
        <v>41369</v>
      </c>
      <c r="T864" t="s">
        <v>42787</v>
      </c>
      <c r="U864" t="s">
        <v>43962</v>
      </c>
      <c r="W864" t="s">
        <v>37617</v>
      </c>
      <c r="X864" t="s">
        <v>41252</v>
      </c>
    </row>
    <row r="865" spans="1:24">
      <c r="A865">
        <f>HYPERLINK("https://www.philgeps.gov.ph/GEPSNONPILOT/Tender/SplashBidNoticeAbstractUI.aspx?menuIndex=3&amp;refID=7076984&amp;Result=3","7076984")</f>
        <v>0</v>
      </c>
      <c r="B865" t="s">
        <v>460</v>
      </c>
      <c r="C865" t="s">
        <v>4208</v>
      </c>
      <c r="D865" t="s">
        <v>16627</v>
      </c>
      <c r="E865" t="s">
        <v>17532</v>
      </c>
      <c r="F865" t="s">
        <v>28669</v>
      </c>
      <c r="G865" t="s">
        <v>28675</v>
      </c>
      <c r="H865" t="s">
        <v>9998</v>
      </c>
      <c r="I865" t="s">
        <v>28687</v>
      </c>
      <c r="J865" t="s">
        <v>28881</v>
      </c>
      <c r="K865" t="s">
        <v>37221</v>
      </c>
      <c r="M865" t="s">
        <v>37948</v>
      </c>
      <c r="N865" t="s">
        <v>41249</v>
      </c>
      <c r="O865" t="s">
        <v>41250</v>
      </c>
      <c r="P865">
        <v>0</v>
      </c>
      <c r="Q865">
        <v>3</v>
      </c>
      <c r="R865" t="s">
        <v>41251</v>
      </c>
      <c r="S865" t="s">
        <v>41369</v>
      </c>
      <c r="T865" t="s">
        <v>42688</v>
      </c>
      <c r="U865" t="s">
        <v>43963</v>
      </c>
      <c r="V865" t="s">
        <v>54348</v>
      </c>
      <c r="W865" t="s">
        <v>37948</v>
      </c>
      <c r="X865" t="s">
        <v>41252</v>
      </c>
    </row>
    <row r="866" spans="1:24">
      <c r="A866">
        <f>HYPERLINK("https://www.philgeps.gov.ph/GEPSNONPILOT/Tender/SplashBidNoticeAbstractUI.aspx?menuIndex=3&amp;refID=7076981&amp;Result=3","7076981")</f>
        <v>0</v>
      </c>
      <c r="B866" t="s">
        <v>461</v>
      </c>
      <c r="C866" t="s">
        <v>4164</v>
      </c>
      <c r="D866" t="s">
        <v>16640</v>
      </c>
      <c r="E866" t="s">
        <v>17491</v>
      </c>
      <c r="F866" t="s">
        <v>28669</v>
      </c>
      <c r="G866" t="s">
        <v>28677</v>
      </c>
      <c r="H866" t="s">
        <v>9998</v>
      </c>
      <c r="I866" t="s">
        <v>11142</v>
      </c>
      <c r="J866" t="s">
        <v>29471</v>
      </c>
      <c r="K866" t="s">
        <v>37234</v>
      </c>
      <c r="M866" t="s">
        <v>37949</v>
      </c>
      <c r="N866" t="s">
        <v>41249</v>
      </c>
      <c r="O866" t="s">
        <v>41250</v>
      </c>
      <c r="P866">
        <v>0</v>
      </c>
      <c r="Q866">
        <v>0</v>
      </c>
      <c r="R866" t="s">
        <v>41251</v>
      </c>
      <c r="S866" t="s">
        <v>41369</v>
      </c>
      <c r="T866" t="s">
        <v>42771</v>
      </c>
      <c r="U866" t="s">
        <v>43919</v>
      </c>
      <c r="W866" t="s">
        <v>37949</v>
      </c>
      <c r="X866" t="s">
        <v>41252</v>
      </c>
    </row>
    <row r="867" spans="1:24">
      <c r="A867">
        <f>HYPERLINK("https://www.philgeps.gov.ph/GEPSNONPILOT/Tender/SplashBidNoticeAbstractUI.aspx?menuIndex=3&amp;refID=7077073&amp;Result=3","7077073")</f>
        <v>0</v>
      </c>
      <c r="B867" t="s">
        <v>434</v>
      </c>
      <c r="C867" t="s">
        <v>4209</v>
      </c>
      <c r="D867" t="s">
        <v>16678</v>
      </c>
      <c r="E867" t="s">
        <v>17533</v>
      </c>
      <c r="F867" t="s">
        <v>28669</v>
      </c>
      <c r="G867" t="s">
        <v>28675</v>
      </c>
      <c r="H867" t="s">
        <v>9998</v>
      </c>
      <c r="I867" t="s">
        <v>7352</v>
      </c>
      <c r="J867" t="s">
        <v>29472</v>
      </c>
      <c r="K867" t="s">
        <v>37209</v>
      </c>
      <c r="M867" t="s">
        <v>37919</v>
      </c>
      <c r="N867" t="s">
        <v>41249</v>
      </c>
      <c r="O867" t="s">
        <v>41250</v>
      </c>
      <c r="P867">
        <v>0</v>
      </c>
      <c r="Q867">
        <v>0</v>
      </c>
      <c r="R867" t="s">
        <v>41251</v>
      </c>
      <c r="S867" t="s">
        <v>41369</v>
      </c>
      <c r="T867" t="s">
        <v>42801</v>
      </c>
      <c r="U867" t="s">
        <v>43964</v>
      </c>
      <c r="W867" t="s">
        <v>37919</v>
      </c>
      <c r="X867" t="s">
        <v>41252</v>
      </c>
    </row>
    <row r="868" spans="1:24">
      <c r="A868">
        <f>HYPERLINK("https://www.philgeps.gov.ph/GEPSNONPILOT/Tender/SplashBidNoticeAbstractUI.aspx?menuIndex=3&amp;refID=7077072&amp;Result=3","7077072")</f>
        <v>0</v>
      </c>
      <c r="B868" t="s">
        <v>38</v>
      </c>
      <c r="C868" t="s">
        <v>4210</v>
      </c>
      <c r="D868" t="s">
        <v>16621</v>
      </c>
      <c r="E868" t="s">
        <v>17534</v>
      </c>
      <c r="F868" t="s">
        <v>28669</v>
      </c>
      <c r="G868" t="s">
        <v>28675</v>
      </c>
      <c r="H868" t="s">
        <v>28686</v>
      </c>
      <c r="I868" t="s">
        <v>28689</v>
      </c>
      <c r="J868" t="s">
        <v>29473</v>
      </c>
      <c r="K868" t="s">
        <v>37215</v>
      </c>
      <c r="M868" t="s">
        <v>37513</v>
      </c>
      <c r="N868" t="s">
        <v>41249</v>
      </c>
      <c r="O868" t="s">
        <v>41250</v>
      </c>
      <c r="P868">
        <v>0</v>
      </c>
      <c r="Q868">
        <v>6</v>
      </c>
      <c r="R868" t="s">
        <v>41251</v>
      </c>
      <c r="S868" t="s">
        <v>41369</v>
      </c>
      <c r="T868" t="s">
        <v>42716</v>
      </c>
      <c r="U868" t="s">
        <v>43965</v>
      </c>
      <c r="V868" t="s">
        <v>54349</v>
      </c>
      <c r="W868" t="s">
        <v>37513</v>
      </c>
      <c r="X868" t="s">
        <v>41252</v>
      </c>
    </row>
    <row r="869" spans="1:24">
      <c r="A869">
        <f>HYPERLINK("https://www.philgeps.gov.ph/GEPSNONPILOT/Tender/SplashBidNoticeAbstractUI.aspx?menuIndex=3&amp;refID=7076954&amp;Result=3","7076954")</f>
        <v>0</v>
      </c>
      <c r="B869" t="s">
        <v>394</v>
      </c>
      <c r="C869" t="s">
        <v>4211</v>
      </c>
      <c r="D869" t="s">
        <v>16675</v>
      </c>
      <c r="E869" t="s">
        <v>17535</v>
      </c>
      <c r="F869" t="s">
        <v>28669</v>
      </c>
      <c r="G869" t="s">
        <v>28676</v>
      </c>
      <c r="H869" t="s">
        <v>9998</v>
      </c>
      <c r="I869" t="s">
        <v>15140</v>
      </c>
      <c r="J869" t="s">
        <v>29474</v>
      </c>
      <c r="K869" t="s">
        <v>37210</v>
      </c>
      <c r="L869" t="s">
        <v>394</v>
      </c>
      <c r="M869" t="s">
        <v>37878</v>
      </c>
      <c r="N869" t="s">
        <v>41249</v>
      </c>
      <c r="O869" t="s">
        <v>41250</v>
      </c>
      <c r="P869">
        <v>0</v>
      </c>
      <c r="Q869">
        <v>0</v>
      </c>
      <c r="R869" t="s">
        <v>41251</v>
      </c>
      <c r="S869" t="s">
        <v>41369</v>
      </c>
      <c r="T869" t="s">
        <v>42717</v>
      </c>
      <c r="U869" t="s">
        <v>43966</v>
      </c>
      <c r="V869" t="s">
        <v>54338</v>
      </c>
      <c r="W869" t="s">
        <v>37878</v>
      </c>
      <c r="X869" t="s">
        <v>41252</v>
      </c>
    </row>
    <row r="870" spans="1:24">
      <c r="A870">
        <f>HYPERLINK("https://www.philgeps.gov.ph/GEPSNONPILOT/Tender/SplashBidNoticeAbstractUI.aspx?menuIndex=3&amp;refID=7077012&amp;Result=3","7077012")</f>
        <v>0</v>
      </c>
      <c r="B870" t="s">
        <v>422</v>
      </c>
      <c r="C870" t="s">
        <v>4212</v>
      </c>
      <c r="D870" t="s">
        <v>16640</v>
      </c>
      <c r="E870" t="s">
        <v>17536</v>
      </c>
      <c r="F870" t="s">
        <v>28669</v>
      </c>
      <c r="G870" t="s">
        <v>28676</v>
      </c>
      <c r="H870" t="s">
        <v>9998</v>
      </c>
      <c r="I870" t="s">
        <v>28704</v>
      </c>
      <c r="J870" t="s">
        <v>29475</v>
      </c>
      <c r="K870" t="s">
        <v>37205</v>
      </c>
      <c r="M870" t="s">
        <v>37907</v>
      </c>
      <c r="N870" t="s">
        <v>41249</v>
      </c>
      <c r="O870" t="s">
        <v>41250</v>
      </c>
      <c r="P870">
        <v>0</v>
      </c>
      <c r="Q870">
        <v>0</v>
      </c>
      <c r="R870" t="s">
        <v>41251</v>
      </c>
      <c r="S870" t="s">
        <v>41369</v>
      </c>
      <c r="T870" t="s">
        <v>42673</v>
      </c>
      <c r="U870" t="s">
        <v>43895</v>
      </c>
      <c r="W870" t="s">
        <v>55917</v>
      </c>
      <c r="X870" t="s">
        <v>41252</v>
      </c>
    </row>
    <row r="871" spans="1:24">
      <c r="A871">
        <f>HYPERLINK("https://www.philgeps.gov.ph/GEPSNONPILOT/Tender/SplashBidNoticeAbstractUI.aspx?menuIndex=3&amp;refID=7077075&amp;Result=3","7077075")</f>
        <v>0</v>
      </c>
      <c r="B871" t="s">
        <v>391</v>
      </c>
      <c r="C871" t="s">
        <v>4213</v>
      </c>
      <c r="D871" t="s">
        <v>16673</v>
      </c>
      <c r="E871" t="s">
        <v>17537</v>
      </c>
      <c r="F871" t="s">
        <v>28669</v>
      </c>
      <c r="G871" t="s">
        <v>28675</v>
      </c>
      <c r="H871" t="s">
        <v>9998</v>
      </c>
      <c r="I871" t="s">
        <v>5213</v>
      </c>
      <c r="J871" t="s">
        <v>29476</v>
      </c>
      <c r="K871" t="s">
        <v>37206</v>
      </c>
      <c r="M871" t="s">
        <v>37875</v>
      </c>
      <c r="N871" t="s">
        <v>41249</v>
      </c>
      <c r="O871" t="s">
        <v>41250</v>
      </c>
      <c r="P871">
        <v>0</v>
      </c>
      <c r="Q871">
        <v>2</v>
      </c>
      <c r="R871" t="s">
        <v>41251</v>
      </c>
      <c r="S871" t="s">
        <v>41369</v>
      </c>
      <c r="T871" t="s">
        <v>42709</v>
      </c>
      <c r="U871" t="s">
        <v>43967</v>
      </c>
      <c r="W871" t="s">
        <v>37875</v>
      </c>
      <c r="X871" t="s">
        <v>41252</v>
      </c>
    </row>
    <row r="872" spans="1:24">
      <c r="A872">
        <f>HYPERLINK("https://www.philgeps.gov.ph/GEPSNONPILOT/Tender/SplashBidNoticeAbstractUI.aspx?menuIndex=3&amp;refID=7077068&amp;Result=3","7077068")</f>
        <v>0</v>
      </c>
      <c r="B872" t="s">
        <v>462</v>
      </c>
      <c r="C872" t="s">
        <v>4214</v>
      </c>
      <c r="E872" t="s">
        <v>17538</v>
      </c>
      <c r="F872" t="s">
        <v>28669</v>
      </c>
      <c r="G872" t="s">
        <v>28677</v>
      </c>
      <c r="H872" t="s">
        <v>9998</v>
      </c>
      <c r="I872" t="s">
        <v>28729</v>
      </c>
      <c r="J872" t="s">
        <v>29477</v>
      </c>
      <c r="K872" t="s">
        <v>37209</v>
      </c>
      <c r="M872" t="s">
        <v>37950</v>
      </c>
      <c r="N872" t="s">
        <v>41249</v>
      </c>
      <c r="O872" t="s">
        <v>41250</v>
      </c>
      <c r="P872">
        <v>0</v>
      </c>
      <c r="Q872">
        <v>6</v>
      </c>
      <c r="R872" t="s">
        <v>41251</v>
      </c>
      <c r="S872" t="s">
        <v>41369</v>
      </c>
      <c r="T872" t="s">
        <v>42694</v>
      </c>
      <c r="U872" t="s">
        <v>43968</v>
      </c>
      <c r="W872" t="s">
        <v>37950</v>
      </c>
      <c r="X872" t="s">
        <v>41252</v>
      </c>
    </row>
    <row r="873" spans="1:24">
      <c r="A873">
        <f>HYPERLINK("https://www.philgeps.gov.ph/GEPSNONPILOT/Tender/SplashBidNoticeAbstractUI.aspx?menuIndex=3&amp;refID=7077067&amp;Result=3","7077067")</f>
        <v>0</v>
      </c>
      <c r="B873" t="s">
        <v>394</v>
      </c>
      <c r="C873" t="s">
        <v>4215</v>
      </c>
      <c r="D873" t="s">
        <v>16675</v>
      </c>
      <c r="E873" t="s">
        <v>17539</v>
      </c>
      <c r="F873" t="s">
        <v>28669</v>
      </c>
      <c r="G873" t="s">
        <v>28676</v>
      </c>
      <c r="H873" t="s">
        <v>9998</v>
      </c>
      <c r="I873" t="s">
        <v>28695</v>
      </c>
      <c r="J873" t="s">
        <v>29478</v>
      </c>
      <c r="K873" t="s">
        <v>37210</v>
      </c>
      <c r="L873" t="s">
        <v>394</v>
      </c>
      <c r="M873" t="s">
        <v>37878</v>
      </c>
      <c r="N873" t="s">
        <v>41249</v>
      </c>
      <c r="O873" t="s">
        <v>41250</v>
      </c>
      <c r="P873">
        <v>0</v>
      </c>
      <c r="Q873">
        <v>0</v>
      </c>
      <c r="R873" t="s">
        <v>41251</v>
      </c>
      <c r="S873" t="s">
        <v>41369</v>
      </c>
      <c r="T873" t="s">
        <v>42717</v>
      </c>
      <c r="U873" t="s">
        <v>43969</v>
      </c>
      <c r="V873" t="s">
        <v>54338</v>
      </c>
      <c r="W873" t="s">
        <v>37878</v>
      </c>
      <c r="X873" t="s">
        <v>41252</v>
      </c>
    </row>
    <row r="874" spans="1:24">
      <c r="A874">
        <f>HYPERLINK("https://www.philgeps.gov.ph/GEPSNONPILOT/Tender/SplashBidNoticeAbstractUI.aspx?menuIndex=3&amp;refID=7077066&amp;Result=3","7077066")</f>
        <v>0</v>
      </c>
      <c r="B874" t="s">
        <v>463</v>
      </c>
      <c r="C874" t="s">
        <v>4216</v>
      </c>
      <c r="D874" t="s">
        <v>16621</v>
      </c>
      <c r="E874" t="s">
        <v>17540</v>
      </c>
      <c r="F874" t="s">
        <v>28672</v>
      </c>
      <c r="G874" t="s">
        <v>28676</v>
      </c>
      <c r="H874" t="s">
        <v>9998</v>
      </c>
      <c r="I874" t="s">
        <v>7352</v>
      </c>
      <c r="J874" t="s">
        <v>29479</v>
      </c>
      <c r="K874" t="s">
        <v>37204</v>
      </c>
      <c r="M874" t="s">
        <v>37951</v>
      </c>
      <c r="N874" t="s">
        <v>41249</v>
      </c>
      <c r="O874" t="s">
        <v>41250</v>
      </c>
      <c r="P874">
        <v>0</v>
      </c>
      <c r="Q874">
        <v>1</v>
      </c>
      <c r="R874" t="s">
        <v>41251</v>
      </c>
      <c r="S874" t="s">
        <v>41369</v>
      </c>
      <c r="T874" t="s">
        <v>42696</v>
      </c>
      <c r="U874" t="s">
        <v>43970</v>
      </c>
      <c r="W874" t="s">
        <v>37951</v>
      </c>
      <c r="X874" t="s">
        <v>41252</v>
      </c>
    </row>
    <row r="875" spans="1:24">
      <c r="A875">
        <f>HYPERLINK("https://www.philgeps.gov.ph/GEPSNONPILOT/Tender/SplashBidNoticeAbstractUI.aspx?menuIndex=3&amp;refID=7077065&amp;Result=3","7077065")</f>
        <v>0</v>
      </c>
      <c r="B875" t="s">
        <v>464</v>
      </c>
      <c r="C875" t="s">
        <v>4217</v>
      </c>
      <c r="D875" t="s">
        <v>16629</v>
      </c>
      <c r="E875" t="s">
        <v>17541</v>
      </c>
      <c r="F875" t="s">
        <v>28669</v>
      </c>
      <c r="G875" t="s">
        <v>28676</v>
      </c>
      <c r="H875" t="s">
        <v>9998</v>
      </c>
      <c r="I875" t="s">
        <v>28714</v>
      </c>
      <c r="J875" t="s">
        <v>28863</v>
      </c>
      <c r="K875" t="s">
        <v>37208</v>
      </c>
      <c r="M875" t="s">
        <v>37952</v>
      </c>
      <c r="N875" t="s">
        <v>41249</v>
      </c>
      <c r="O875" t="s">
        <v>41250</v>
      </c>
      <c r="P875">
        <v>0</v>
      </c>
      <c r="Q875">
        <v>3</v>
      </c>
      <c r="R875" t="s">
        <v>41251</v>
      </c>
      <c r="S875" t="s">
        <v>41369</v>
      </c>
      <c r="T875" t="s">
        <v>42738</v>
      </c>
      <c r="U875" t="s">
        <v>43971</v>
      </c>
      <c r="V875" t="s">
        <v>54350</v>
      </c>
      <c r="W875" t="s">
        <v>37952</v>
      </c>
      <c r="X875" t="s">
        <v>41252</v>
      </c>
    </row>
    <row r="876" spans="1:24">
      <c r="A876">
        <f>HYPERLINK("https://www.philgeps.gov.ph/GEPSNONPILOT/Tender/SplashBidNoticeAbstractUI.aspx?menuIndex=3&amp;refID=7077063&amp;Result=3","7077063")</f>
        <v>0</v>
      </c>
      <c r="B876" t="s">
        <v>465</v>
      </c>
      <c r="C876" t="s">
        <v>4218</v>
      </c>
      <c r="D876" t="s">
        <v>16660</v>
      </c>
      <c r="E876" t="s">
        <v>17542</v>
      </c>
      <c r="F876" t="s">
        <v>28669</v>
      </c>
      <c r="G876" t="s">
        <v>28677</v>
      </c>
      <c r="H876" t="s">
        <v>9998</v>
      </c>
      <c r="I876" t="s">
        <v>28694</v>
      </c>
      <c r="J876" t="s">
        <v>29480</v>
      </c>
      <c r="K876" t="s">
        <v>37210</v>
      </c>
      <c r="M876" t="s">
        <v>37953</v>
      </c>
      <c r="N876" t="s">
        <v>41249</v>
      </c>
      <c r="O876" t="s">
        <v>41250</v>
      </c>
      <c r="P876">
        <v>0</v>
      </c>
      <c r="Q876">
        <v>1</v>
      </c>
      <c r="R876" t="s">
        <v>41251</v>
      </c>
      <c r="S876" t="s">
        <v>41369</v>
      </c>
      <c r="T876" t="s">
        <v>42729</v>
      </c>
      <c r="U876" t="s">
        <v>43972</v>
      </c>
      <c r="W876" t="s">
        <v>37953</v>
      </c>
      <c r="X876" t="s">
        <v>41252</v>
      </c>
    </row>
    <row r="877" spans="1:24">
      <c r="A877">
        <f>HYPERLINK("https://www.philgeps.gov.ph/GEPSNONPILOT/Tender/SplashBidNoticeAbstractUI.aspx?menuIndex=3&amp;refID=7077071&amp;Result=3","7077071")</f>
        <v>0</v>
      </c>
      <c r="B877" t="s">
        <v>169</v>
      </c>
      <c r="C877" t="s">
        <v>4219</v>
      </c>
      <c r="D877" t="s">
        <v>16611</v>
      </c>
      <c r="E877" t="s">
        <v>17543</v>
      </c>
      <c r="F877" t="s">
        <v>28669</v>
      </c>
      <c r="G877" t="s">
        <v>28675</v>
      </c>
      <c r="H877" t="s">
        <v>28686</v>
      </c>
      <c r="I877" t="s">
        <v>28689</v>
      </c>
      <c r="J877" t="s">
        <v>29481</v>
      </c>
      <c r="K877" t="s">
        <v>37263</v>
      </c>
      <c r="M877" t="s">
        <v>37936</v>
      </c>
      <c r="N877" t="s">
        <v>41249</v>
      </c>
      <c r="O877" t="s">
        <v>41250</v>
      </c>
      <c r="P877">
        <v>0</v>
      </c>
      <c r="Q877">
        <v>2</v>
      </c>
      <c r="R877" t="s">
        <v>41251</v>
      </c>
      <c r="S877" t="s">
        <v>41369</v>
      </c>
      <c r="T877" t="s">
        <v>42688</v>
      </c>
      <c r="U877" t="s">
        <v>43973</v>
      </c>
      <c r="W877" t="s">
        <v>37936</v>
      </c>
      <c r="X877" t="s">
        <v>41252</v>
      </c>
    </row>
    <row r="878" spans="1:24">
      <c r="A878">
        <f>HYPERLINK("https://www.philgeps.gov.ph/GEPSNONPILOT/Tender/SplashBidNoticeAbstractUI.aspx?menuIndex=3&amp;refID=7077062&amp;Result=3","7077062")</f>
        <v>0</v>
      </c>
      <c r="B878" t="s">
        <v>454</v>
      </c>
      <c r="C878" t="s">
        <v>4220</v>
      </c>
      <c r="D878" t="s">
        <v>16661</v>
      </c>
      <c r="E878" t="s">
        <v>17544</v>
      </c>
      <c r="F878" t="s">
        <v>28669</v>
      </c>
      <c r="G878" t="s">
        <v>28676</v>
      </c>
      <c r="H878" t="s">
        <v>9998</v>
      </c>
      <c r="I878" t="s">
        <v>6606</v>
      </c>
      <c r="J878" t="s">
        <v>29482</v>
      </c>
      <c r="K878" t="s">
        <v>37209</v>
      </c>
      <c r="M878" t="s">
        <v>37942</v>
      </c>
      <c r="N878" t="s">
        <v>41249</v>
      </c>
      <c r="O878" t="s">
        <v>41250</v>
      </c>
      <c r="P878">
        <v>0</v>
      </c>
      <c r="Q878">
        <v>0</v>
      </c>
      <c r="R878" t="s">
        <v>41251</v>
      </c>
      <c r="S878" t="s">
        <v>41369</v>
      </c>
      <c r="T878" t="s">
        <v>42799</v>
      </c>
      <c r="U878" t="s">
        <v>43974</v>
      </c>
      <c r="W878" t="s">
        <v>37942</v>
      </c>
      <c r="X878" t="s">
        <v>41252</v>
      </c>
    </row>
    <row r="879" spans="1:24">
      <c r="A879">
        <f>HYPERLINK("https://www.philgeps.gov.ph/GEPSNONPILOT/Tender/SplashBidNoticeAbstractUI.aspx?menuIndex=3&amp;refID=7077059&amp;Result=3","7077059")</f>
        <v>0</v>
      </c>
      <c r="B879" t="s">
        <v>394</v>
      </c>
      <c r="C879" t="s">
        <v>4221</v>
      </c>
      <c r="D879" t="s">
        <v>16675</v>
      </c>
      <c r="E879" t="s">
        <v>17545</v>
      </c>
      <c r="F879" t="s">
        <v>28669</v>
      </c>
      <c r="G879" t="s">
        <v>28676</v>
      </c>
      <c r="H879" t="s">
        <v>9998</v>
      </c>
      <c r="I879" t="s">
        <v>11593</v>
      </c>
      <c r="J879" t="s">
        <v>29044</v>
      </c>
      <c r="K879" t="s">
        <v>37210</v>
      </c>
      <c r="L879" t="s">
        <v>394</v>
      </c>
      <c r="M879" t="s">
        <v>37878</v>
      </c>
      <c r="N879" t="s">
        <v>41249</v>
      </c>
      <c r="O879" t="s">
        <v>41250</v>
      </c>
      <c r="P879">
        <v>0</v>
      </c>
      <c r="Q879">
        <v>3</v>
      </c>
      <c r="R879" t="s">
        <v>41251</v>
      </c>
      <c r="S879" t="s">
        <v>41369</v>
      </c>
      <c r="T879" t="s">
        <v>42717</v>
      </c>
      <c r="U879" t="s">
        <v>43975</v>
      </c>
      <c r="V879" t="s">
        <v>54338</v>
      </c>
      <c r="W879" t="s">
        <v>37878</v>
      </c>
      <c r="X879" t="s">
        <v>41252</v>
      </c>
    </row>
    <row r="880" spans="1:24">
      <c r="A880">
        <f>HYPERLINK("https://www.philgeps.gov.ph/GEPSNONPILOT/Tender/SplashBidNoticeAbstractUI.aspx?menuIndex=3&amp;refID=7077069&amp;Result=3","7077069")</f>
        <v>0</v>
      </c>
      <c r="B880" t="s">
        <v>430</v>
      </c>
      <c r="C880" t="s">
        <v>4158</v>
      </c>
      <c r="D880" t="s">
        <v>16660</v>
      </c>
      <c r="E880" t="s">
        <v>17546</v>
      </c>
      <c r="F880" t="s">
        <v>28669</v>
      </c>
      <c r="G880" t="s">
        <v>28678</v>
      </c>
      <c r="H880" t="s">
        <v>9998</v>
      </c>
      <c r="I880" t="s">
        <v>28688</v>
      </c>
      <c r="J880" t="s">
        <v>29483</v>
      </c>
      <c r="K880" t="s">
        <v>37204</v>
      </c>
      <c r="M880" t="s">
        <v>37915</v>
      </c>
      <c r="N880" t="s">
        <v>41249</v>
      </c>
      <c r="O880" t="s">
        <v>41250</v>
      </c>
      <c r="P880">
        <v>0</v>
      </c>
      <c r="Q880">
        <v>2</v>
      </c>
      <c r="R880" t="s">
        <v>41251</v>
      </c>
      <c r="S880" t="s">
        <v>41369</v>
      </c>
      <c r="T880" t="s">
        <v>42770</v>
      </c>
      <c r="U880" t="s">
        <v>43936</v>
      </c>
      <c r="W880" t="s">
        <v>37915</v>
      </c>
      <c r="X880" t="s">
        <v>41252</v>
      </c>
    </row>
    <row r="881" spans="1:24">
      <c r="A881">
        <f>HYPERLINK("https://www.philgeps.gov.ph/GEPSNONPILOT/Tender/SplashBidNoticeAbstractUI.aspx?menuIndex=3&amp;refID=7077057&amp;Result=3","7077057")</f>
        <v>0</v>
      </c>
      <c r="B881" t="s">
        <v>169</v>
      </c>
      <c r="C881" t="s">
        <v>4222</v>
      </c>
      <c r="D881" t="s">
        <v>16611</v>
      </c>
      <c r="E881" t="s">
        <v>17547</v>
      </c>
      <c r="F881" t="s">
        <v>28669</v>
      </c>
      <c r="G881" t="s">
        <v>28675</v>
      </c>
      <c r="H881" t="s">
        <v>28686</v>
      </c>
      <c r="I881" t="s">
        <v>28689</v>
      </c>
      <c r="J881" t="s">
        <v>29484</v>
      </c>
      <c r="K881" t="s">
        <v>37264</v>
      </c>
      <c r="M881" t="s">
        <v>37936</v>
      </c>
      <c r="N881" t="s">
        <v>41249</v>
      </c>
      <c r="O881" t="s">
        <v>41250</v>
      </c>
      <c r="P881">
        <v>0</v>
      </c>
      <c r="Q881">
        <v>1</v>
      </c>
      <c r="R881" t="s">
        <v>41251</v>
      </c>
      <c r="S881" t="s">
        <v>41369</v>
      </c>
      <c r="T881" t="s">
        <v>42688</v>
      </c>
      <c r="U881" t="s">
        <v>43976</v>
      </c>
      <c r="W881" t="s">
        <v>37936</v>
      </c>
      <c r="X881" t="s">
        <v>41252</v>
      </c>
    </row>
    <row r="882" spans="1:24">
      <c r="A882">
        <f>HYPERLINK("https://www.philgeps.gov.ph/GEPSNONPILOT/Tender/SplashBidNoticeAbstractUI.aspx?menuIndex=3&amp;refID=7077053&amp;Result=3","7077053")</f>
        <v>0</v>
      </c>
      <c r="B882" t="s">
        <v>141</v>
      </c>
      <c r="C882" t="s">
        <v>4223</v>
      </c>
      <c r="D882" t="s">
        <v>16624</v>
      </c>
      <c r="E882" t="s">
        <v>17548</v>
      </c>
      <c r="F882" t="s">
        <v>28669</v>
      </c>
      <c r="G882" t="s">
        <v>28677</v>
      </c>
      <c r="H882" t="s">
        <v>9998</v>
      </c>
      <c r="I882" t="s">
        <v>6458</v>
      </c>
      <c r="J882" t="s">
        <v>29485</v>
      </c>
      <c r="K882" t="s">
        <v>37204</v>
      </c>
      <c r="M882" t="s">
        <v>37618</v>
      </c>
      <c r="N882" t="s">
        <v>41249</v>
      </c>
      <c r="O882" t="s">
        <v>41250</v>
      </c>
      <c r="P882">
        <v>0</v>
      </c>
      <c r="Q882">
        <v>0</v>
      </c>
      <c r="R882" t="s">
        <v>41251</v>
      </c>
      <c r="S882" t="s">
        <v>41369</v>
      </c>
      <c r="T882" t="s">
        <v>42701</v>
      </c>
      <c r="U882" t="s">
        <v>43977</v>
      </c>
      <c r="W882" t="s">
        <v>37618</v>
      </c>
      <c r="X882" t="s">
        <v>41252</v>
      </c>
    </row>
    <row r="883" spans="1:24">
      <c r="A883">
        <f>HYPERLINK("https://www.philgeps.gov.ph/GEPSNONPILOT/Tender/SplashBidNoticeAbstractUI.aspx?menuIndex=3&amp;refID=7076986&amp;Result=3","7076986")</f>
        <v>0</v>
      </c>
      <c r="B883" t="s">
        <v>431</v>
      </c>
      <c r="C883" t="s">
        <v>4224</v>
      </c>
      <c r="D883" t="s">
        <v>16607</v>
      </c>
      <c r="E883" t="s">
        <v>17549</v>
      </c>
      <c r="F883" t="s">
        <v>28669</v>
      </c>
      <c r="G883" t="s">
        <v>28676</v>
      </c>
      <c r="H883" t="s">
        <v>9998</v>
      </c>
      <c r="I883" t="s">
        <v>6606</v>
      </c>
      <c r="J883" t="s">
        <v>28979</v>
      </c>
      <c r="K883" t="s">
        <v>37208</v>
      </c>
      <c r="M883" t="s">
        <v>37916</v>
      </c>
      <c r="N883" t="s">
        <v>41249</v>
      </c>
      <c r="O883" t="s">
        <v>41250</v>
      </c>
      <c r="P883">
        <v>0</v>
      </c>
      <c r="Q883">
        <v>0</v>
      </c>
      <c r="R883" t="s">
        <v>41251</v>
      </c>
      <c r="S883" t="s">
        <v>41369</v>
      </c>
      <c r="T883" t="s">
        <v>42717</v>
      </c>
      <c r="U883" t="s">
        <v>43978</v>
      </c>
      <c r="W883" t="s">
        <v>37916</v>
      </c>
      <c r="X883" t="s">
        <v>41252</v>
      </c>
    </row>
    <row r="884" spans="1:24">
      <c r="A884">
        <f>HYPERLINK("https://www.philgeps.gov.ph/GEPSNONPILOT/Tender/SplashBidNoticeAbstractUI.aspx?menuIndex=3&amp;refID=7076768&amp;Result=3","7076768")</f>
        <v>0</v>
      </c>
      <c r="B884" t="s">
        <v>111</v>
      </c>
      <c r="C884" t="s">
        <v>4225</v>
      </c>
      <c r="D884" t="s">
        <v>16619</v>
      </c>
      <c r="E884" t="s">
        <v>17550</v>
      </c>
      <c r="F884" t="s">
        <v>28669</v>
      </c>
      <c r="G884" t="s">
        <v>28675</v>
      </c>
      <c r="H884" t="s">
        <v>9998</v>
      </c>
      <c r="I884" t="s">
        <v>28694</v>
      </c>
      <c r="J884" t="s">
        <v>29486</v>
      </c>
      <c r="K884" t="s">
        <v>37227</v>
      </c>
      <c r="M884" t="s">
        <v>37587</v>
      </c>
      <c r="N884" t="s">
        <v>41249</v>
      </c>
      <c r="O884" t="s">
        <v>41250</v>
      </c>
      <c r="P884">
        <v>0</v>
      </c>
      <c r="Q884">
        <v>0</v>
      </c>
      <c r="R884" t="s">
        <v>41251</v>
      </c>
      <c r="S884" t="s">
        <v>41369</v>
      </c>
      <c r="T884" t="s">
        <v>42723</v>
      </c>
      <c r="U884" t="s">
        <v>43979</v>
      </c>
      <c r="V884" t="s">
        <v>54280</v>
      </c>
      <c r="W884" t="s">
        <v>37587</v>
      </c>
      <c r="X884" t="s">
        <v>41252</v>
      </c>
    </row>
    <row r="885" spans="1:24">
      <c r="A885">
        <f>HYPERLINK("https://www.philgeps.gov.ph/GEPSNONPILOT/Tender/SplashBidNoticeAbstractUI.aspx?menuIndex=3&amp;refID=7077070&amp;Result=3","7077070")</f>
        <v>0</v>
      </c>
      <c r="B885" t="s">
        <v>141</v>
      </c>
      <c r="C885" t="s">
        <v>4226</v>
      </c>
      <c r="D885" t="s">
        <v>16624</v>
      </c>
      <c r="E885" t="s">
        <v>17551</v>
      </c>
      <c r="F885" t="s">
        <v>28669</v>
      </c>
      <c r="G885" t="s">
        <v>28677</v>
      </c>
      <c r="H885" t="s">
        <v>9998</v>
      </c>
      <c r="I885" t="s">
        <v>6128</v>
      </c>
      <c r="J885" t="s">
        <v>29487</v>
      </c>
      <c r="K885" t="s">
        <v>37204</v>
      </c>
      <c r="M885" t="s">
        <v>37618</v>
      </c>
      <c r="N885" t="s">
        <v>41249</v>
      </c>
      <c r="O885" t="s">
        <v>41250</v>
      </c>
      <c r="P885">
        <v>0</v>
      </c>
      <c r="Q885">
        <v>1</v>
      </c>
      <c r="R885" t="s">
        <v>41251</v>
      </c>
      <c r="S885" t="s">
        <v>41369</v>
      </c>
      <c r="T885" t="s">
        <v>42802</v>
      </c>
      <c r="U885" t="s">
        <v>43980</v>
      </c>
      <c r="W885" t="s">
        <v>37618</v>
      </c>
      <c r="X885" t="s">
        <v>41252</v>
      </c>
    </row>
    <row r="886" spans="1:24">
      <c r="A886">
        <f>HYPERLINK("https://www.philgeps.gov.ph/GEPSNONPILOT/Tender/SplashBidNoticeAbstractUI.aspx?menuIndex=3&amp;refID=7076767&amp;Result=3","7076767")</f>
        <v>0</v>
      </c>
      <c r="B886" t="s">
        <v>466</v>
      </c>
      <c r="C886" t="s">
        <v>4227</v>
      </c>
      <c r="D886" t="s">
        <v>16637</v>
      </c>
      <c r="E886" t="s">
        <v>17552</v>
      </c>
      <c r="F886" t="s">
        <v>28669</v>
      </c>
      <c r="G886" t="s">
        <v>28677</v>
      </c>
      <c r="H886" t="s">
        <v>9998</v>
      </c>
      <c r="I886" t="s">
        <v>28688</v>
      </c>
      <c r="J886" t="s">
        <v>29203</v>
      </c>
      <c r="K886" t="s">
        <v>37208</v>
      </c>
      <c r="M886" t="s">
        <v>37954</v>
      </c>
      <c r="N886" t="s">
        <v>41249</v>
      </c>
      <c r="O886" t="s">
        <v>41250</v>
      </c>
      <c r="P886">
        <v>0</v>
      </c>
      <c r="Q886">
        <v>6</v>
      </c>
      <c r="R886" t="s">
        <v>41251</v>
      </c>
      <c r="S886" t="s">
        <v>41369</v>
      </c>
      <c r="T886" t="s">
        <v>42711</v>
      </c>
      <c r="U886" t="s">
        <v>43981</v>
      </c>
      <c r="W886" t="s">
        <v>37954</v>
      </c>
      <c r="X886" t="s">
        <v>41252</v>
      </c>
    </row>
    <row r="887" spans="1:24">
      <c r="A887">
        <f>HYPERLINK("https://www.philgeps.gov.ph/GEPSNONPILOT/Tender/SplashBidNoticeAbstractUI.aspx?menuIndex=3&amp;refID=7077060&amp;Result=3","7077060")</f>
        <v>0</v>
      </c>
      <c r="B887" t="s">
        <v>467</v>
      </c>
      <c r="C887" t="s">
        <v>4228</v>
      </c>
      <c r="D887" t="s">
        <v>16616</v>
      </c>
      <c r="E887" t="s">
        <v>17553</v>
      </c>
      <c r="F887" t="s">
        <v>28669</v>
      </c>
      <c r="G887" t="s">
        <v>28675</v>
      </c>
      <c r="H887" t="s">
        <v>9998</v>
      </c>
      <c r="I887" t="s">
        <v>7352</v>
      </c>
      <c r="J887" t="s">
        <v>29488</v>
      </c>
      <c r="K887" t="s">
        <v>37210</v>
      </c>
      <c r="M887" t="s">
        <v>37955</v>
      </c>
      <c r="N887" t="s">
        <v>41249</v>
      </c>
      <c r="O887" t="s">
        <v>41250</v>
      </c>
      <c r="P887">
        <v>0</v>
      </c>
      <c r="Q887">
        <v>0</v>
      </c>
      <c r="R887" t="s">
        <v>41251</v>
      </c>
      <c r="S887" t="s">
        <v>41369</v>
      </c>
      <c r="T887" t="s">
        <v>42803</v>
      </c>
      <c r="U887" t="s">
        <v>43982</v>
      </c>
      <c r="W887" t="s">
        <v>37955</v>
      </c>
      <c r="X887" t="s">
        <v>41252</v>
      </c>
    </row>
    <row r="888" spans="1:24">
      <c r="A888">
        <f>HYPERLINK("https://www.philgeps.gov.ph/GEPSNONPILOT/Tender/SplashBidNoticeAbstractUI.aspx?menuIndex=3&amp;refID=7077074&amp;Result=3","7077074")</f>
        <v>0</v>
      </c>
      <c r="B888" t="s">
        <v>468</v>
      </c>
      <c r="C888" t="s">
        <v>4229</v>
      </c>
      <c r="D888" t="s">
        <v>16615</v>
      </c>
      <c r="E888" t="s">
        <v>17554</v>
      </c>
      <c r="F888" t="s">
        <v>28669</v>
      </c>
      <c r="G888" t="s">
        <v>28675</v>
      </c>
      <c r="H888" t="s">
        <v>28685</v>
      </c>
      <c r="I888" t="s">
        <v>28685</v>
      </c>
      <c r="J888" t="s">
        <v>28826</v>
      </c>
      <c r="K888" t="s">
        <v>37205</v>
      </c>
      <c r="M888" t="s">
        <v>37956</v>
      </c>
      <c r="N888" t="s">
        <v>41249</v>
      </c>
      <c r="O888" t="s">
        <v>41250</v>
      </c>
      <c r="P888">
        <v>0</v>
      </c>
      <c r="Q888">
        <v>0</v>
      </c>
      <c r="R888" t="s">
        <v>41251</v>
      </c>
      <c r="S888" t="s">
        <v>41369</v>
      </c>
      <c r="T888" t="s">
        <v>42678</v>
      </c>
      <c r="U888" t="s">
        <v>43983</v>
      </c>
      <c r="W888" t="s">
        <v>37956</v>
      </c>
      <c r="X888" t="s">
        <v>41252</v>
      </c>
    </row>
    <row r="889" spans="1:24">
      <c r="A889">
        <f>HYPERLINK("https://www.philgeps.gov.ph/GEPSNONPILOT/Tender/SplashBidNoticeAbstractUI.aspx?menuIndex=3&amp;refID=7077056&amp;Result=3","7077056")</f>
        <v>0</v>
      </c>
      <c r="B889" t="s">
        <v>46</v>
      </c>
      <c r="C889" t="s">
        <v>4230</v>
      </c>
      <c r="D889" t="s">
        <v>16627</v>
      </c>
      <c r="E889" t="s">
        <v>17555</v>
      </c>
      <c r="F889" t="s">
        <v>28669</v>
      </c>
      <c r="G889" t="s">
        <v>28675</v>
      </c>
      <c r="H889" t="s">
        <v>9998</v>
      </c>
      <c r="I889" t="s">
        <v>7352</v>
      </c>
      <c r="J889" t="s">
        <v>29489</v>
      </c>
      <c r="K889" t="s">
        <v>37209</v>
      </c>
      <c r="M889" t="s">
        <v>37521</v>
      </c>
      <c r="N889" t="s">
        <v>41249</v>
      </c>
      <c r="O889" t="s">
        <v>41250</v>
      </c>
      <c r="P889">
        <v>0</v>
      </c>
      <c r="Q889">
        <v>0</v>
      </c>
      <c r="R889" t="s">
        <v>41251</v>
      </c>
      <c r="S889" t="s">
        <v>41369</v>
      </c>
      <c r="T889" t="s">
        <v>42676</v>
      </c>
      <c r="U889" t="s">
        <v>43984</v>
      </c>
      <c r="W889" t="s">
        <v>37521</v>
      </c>
      <c r="X889" t="s">
        <v>41252</v>
      </c>
    </row>
    <row r="890" spans="1:24">
      <c r="A890">
        <f>HYPERLINK("https://www.philgeps.gov.ph/GEPSNONPILOT/Tender/SplashBidNoticeAbstractUI.aspx?menuIndex=3&amp;refID=7076765&amp;Result=3","7076765")</f>
        <v>0</v>
      </c>
      <c r="B890" t="s">
        <v>304</v>
      </c>
      <c r="C890" t="s">
        <v>4231</v>
      </c>
      <c r="D890" t="s">
        <v>16628</v>
      </c>
      <c r="E890" t="s">
        <v>17556</v>
      </c>
      <c r="F890" t="s">
        <v>28669</v>
      </c>
      <c r="G890" t="s">
        <v>28676</v>
      </c>
      <c r="H890" t="s">
        <v>9998</v>
      </c>
      <c r="I890" t="s">
        <v>5213</v>
      </c>
      <c r="J890" t="s">
        <v>29490</v>
      </c>
      <c r="K890" t="s">
        <v>37204</v>
      </c>
      <c r="M890" t="s">
        <v>37783</v>
      </c>
      <c r="N890" t="s">
        <v>41249</v>
      </c>
      <c r="O890" t="s">
        <v>41250</v>
      </c>
      <c r="P890">
        <v>0</v>
      </c>
      <c r="Q890">
        <v>0</v>
      </c>
      <c r="R890" t="s">
        <v>41251</v>
      </c>
      <c r="S890" t="s">
        <v>41369</v>
      </c>
      <c r="T890" t="s">
        <v>42726</v>
      </c>
      <c r="U890" t="s">
        <v>43681</v>
      </c>
      <c r="W890" t="s">
        <v>37783</v>
      </c>
      <c r="X890" t="s">
        <v>41252</v>
      </c>
    </row>
    <row r="891" spans="1:24">
      <c r="A891">
        <f>HYPERLINK("https://www.philgeps.gov.ph/GEPSNONPILOT/Tender/SplashBidNoticeAbstractUI.aspx?menuIndex=3&amp;refID=7076764&amp;Result=3","7076764")</f>
        <v>0</v>
      </c>
      <c r="B891" t="s">
        <v>178</v>
      </c>
      <c r="C891" t="s">
        <v>4232</v>
      </c>
      <c r="E891" t="s">
        <v>17557</v>
      </c>
      <c r="F891" t="s">
        <v>28669</v>
      </c>
      <c r="G891" t="s">
        <v>28676</v>
      </c>
      <c r="H891" t="s">
        <v>9998</v>
      </c>
      <c r="I891" t="s">
        <v>28693</v>
      </c>
      <c r="J891" t="s">
        <v>29491</v>
      </c>
      <c r="K891" t="s">
        <v>37209</v>
      </c>
      <c r="M891" t="s">
        <v>37882</v>
      </c>
      <c r="N891" t="s">
        <v>41249</v>
      </c>
      <c r="O891" t="s">
        <v>41250</v>
      </c>
      <c r="P891">
        <v>0</v>
      </c>
      <c r="Q891">
        <v>5</v>
      </c>
      <c r="R891" t="s">
        <v>41251</v>
      </c>
      <c r="S891" t="s">
        <v>41369</v>
      </c>
      <c r="T891" t="s">
        <v>42757</v>
      </c>
      <c r="U891" t="s">
        <v>43846</v>
      </c>
      <c r="W891" t="s">
        <v>37882</v>
      </c>
      <c r="X891" t="s">
        <v>41252</v>
      </c>
    </row>
    <row r="892" spans="1:24">
      <c r="A892">
        <f>HYPERLINK("https://www.philgeps.gov.ph/GEPSNONPILOT/Tender/SplashBidNoticeAbstractUI.aspx?menuIndex=3&amp;refID=7076769&amp;Result=3","7076769")</f>
        <v>0</v>
      </c>
      <c r="B892" t="s">
        <v>469</v>
      </c>
      <c r="C892" t="s">
        <v>4233</v>
      </c>
      <c r="D892" t="s">
        <v>16687</v>
      </c>
      <c r="E892" t="s">
        <v>17558</v>
      </c>
      <c r="F892" t="s">
        <v>28669</v>
      </c>
      <c r="G892" t="s">
        <v>28676</v>
      </c>
      <c r="H892" t="s">
        <v>9998</v>
      </c>
      <c r="I892" t="s">
        <v>7352</v>
      </c>
      <c r="J892" t="s">
        <v>29492</v>
      </c>
      <c r="K892" t="s">
        <v>37204</v>
      </c>
      <c r="M892" t="s">
        <v>37957</v>
      </c>
      <c r="N892" t="s">
        <v>41249</v>
      </c>
      <c r="O892" t="s">
        <v>41250</v>
      </c>
      <c r="P892">
        <v>0</v>
      </c>
      <c r="Q892">
        <v>0</v>
      </c>
      <c r="R892" t="s">
        <v>41251</v>
      </c>
      <c r="S892" t="s">
        <v>41369</v>
      </c>
      <c r="T892" t="s">
        <v>42683</v>
      </c>
      <c r="U892" t="s">
        <v>43985</v>
      </c>
      <c r="W892" t="s">
        <v>37957</v>
      </c>
      <c r="X892" t="s">
        <v>41252</v>
      </c>
    </row>
    <row r="893" spans="1:24">
      <c r="A893">
        <f>HYPERLINK("https://www.philgeps.gov.ph/GEPSNONPILOT/Tender/SplashBidNoticeAbstractUI.aspx?menuIndex=3&amp;refID=7076750&amp;Result=3","7076750")</f>
        <v>0</v>
      </c>
      <c r="B893" t="s">
        <v>356</v>
      </c>
      <c r="C893" t="s">
        <v>4234</v>
      </c>
      <c r="D893" t="s">
        <v>16639</v>
      </c>
      <c r="E893" t="s">
        <v>17559</v>
      </c>
      <c r="F893" t="s">
        <v>28669</v>
      </c>
      <c r="G893" t="s">
        <v>28676</v>
      </c>
      <c r="H893" t="s">
        <v>9998</v>
      </c>
      <c r="I893" t="s">
        <v>28756</v>
      </c>
      <c r="J893" t="s">
        <v>29088</v>
      </c>
      <c r="K893" t="s">
        <v>37210</v>
      </c>
      <c r="M893" t="s">
        <v>37837</v>
      </c>
      <c r="N893" t="s">
        <v>41249</v>
      </c>
      <c r="O893" t="s">
        <v>41250</v>
      </c>
      <c r="P893">
        <v>0</v>
      </c>
      <c r="Q893">
        <v>1</v>
      </c>
      <c r="R893" t="s">
        <v>41251</v>
      </c>
      <c r="S893" t="s">
        <v>41369</v>
      </c>
      <c r="T893" t="s">
        <v>42717</v>
      </c>
      <c r="U893" t="s">
        <v>43777</v>
      </c>
      <c r="V893" t="s">
        <v>54334</v>
      </c>
      <c r="W893" t="s">
        <v>37837</v>
      </c>
      <c r="X893" t="s">
        <v>41252</v>
      </c>
    </row>
    <row r="894" spans="1:24">
      <c r="A894">
        <f>HYPERLINK("https://www.philgeps.gov.ph/GEPSNONPILOT/Tender/SplashBidNoticeAbstractUI.aspx?menuIndex=3&amp;refID=7076747&amp;Result=3","7076747")</f>
        <v>0</v>
      </c>
      <c r="B894" t="s">
        <v>420</v>
      </c>
      <c r="C894" t="s">
        <v>4235</v>
      </c>
      <c r="D894" t="s">
        <v>16654</v>
      </c>
      <c r="E894" t="s">
        <v>17560</v>
      </c>
      <c r="F894" t="s">
        <v>28669</v>
      </c>
      <c r="G894" t="s">
        <v>28675</v>
      </c>
      <c r="H894" t="s">
        <v>28686</v>
      </c>
      <c r="I894" t="s">
        <v>7352</v>
      </c>
      <c r="J894" t="s">
        <v>28826</v>
      </c>
      <c r="K894" t="s">
        <v>37204</v>
      </c>
      <c r="M894" t="s">
        <v>37905</v>
      </c>
      <c r="N894" t="s">
        <v>41249</v>
      </c>
      <c r="O894" t="s">
        <v>41250</v>
      </c>
      <c r="P894">
        <v>0</v>
      </c>
      <c r="Q894">
        <v>0</v>
      </c>
      <c r="R894" t="s">
        <v>41251</v>
      </c>
      <c r="S894" t="s">
        <v>41369</v>
      </c>
      <c r="T894" t="s">
        <v>42683</v>
      </c>
      <c r="U894" t="s">
        <v>43986</v>
      </c>
      <c r="W894" t="s">
        <v>37905</v>
      </c>
      <c r="X894" t="s">
        <v>41252</v>
      </c>
    </row>
    <row r="895" spans="1:24">
      <c r="A895">
        <f>HYPERLINK("https://www.philgeps.gov.ph/GEPSNONPILOT/Tender/SplashBidNoticeAbstractUI.aspx?menuIndex=3&amp;refID=7077104&amp;Result=3","7077104")</f>
        <v>0</v>
      </c>
      <c r="B895" t="s">
        <v>470</v>
      </c>
      <c r="C895" t="s">
        <v>4236</v>
      </c>
      <c r="D895" t="s">
        <v>16639</v>
      </c>
      <c r="E895" t="s">
        <v>17561</v>
      </c>
      <c r="F895" t="s">
        <v>28669</v>
      </c>
      <c r="G895" t="s">
        <v>28676</v>
      </c>
      <c r="H895" t="s">
        <v>9998</v>
      </c>
      <c r="I895" t="s">
        <v>28717</v>
      </c>
      <c r="J895" t="s">
        <v>29493</v>
      </c>
      <c r="K895" t="s">
        <v>37205</v>
      </c>
      <c r="M895" t="s">
        <v>37958</v>
      </c>
      <c r="N895" t="s">
        <v>41249</v>
      </c>
      <c r="O895" t="s">
        <v>41250</v>
      </c>
      <c r="P895">
        <v>0</v>
      </c>
      <c r="Q895">
        <v>2</v>
      </c>
      <c r="R895" t="s">
        <v>41251</v>
      </c>
      <c r="S895" t="s">
        <v>41369</v>
      </c>
      <c r="T895" t="s">
        <v>42673</v>
      </c>
      <c r="U895" t="s">
        <v>43987</v>
      </c>
      <c r="W895" t="s">
        <v>37958</v>
      </c>
      <c r="X895" t="s">
        <v>41252</v>
      </c>
    </row>
    <row r="896" spans="1:24">
      <c r="A896">
        <f>HYPERLINK("https://www.philgeps.gov.ph/GEPSNONPILOT/Tender/SplashBidNoticeAbstractUI.aspx?menuIndex=3&amp;refID=7077061&amp;Result=3","7077061")</f>
        <v>0</v>
      </c>
      <c r="B896" t="s">
        <v>441</v>
      </c>
      <c r="C896" t="s">
        <v>4237</v>
      </c>
      <c r="D896" t="s">
        <v>16608</v>
      </c>
      <c r="E896" t="s">
        <v>17562</v>
      </c>
      <c r="F896" t="s">
        <v>28669</v>
      </c>
      <c r="G896" t="s">
        <v>28676</v>
      </c>
      <c r="H896" t="s">
        <v>9998</v>
      </c>
      <c r="I896" t="s">
        <v>28729</v>
      </c>
      <c r="J896" t="s">
        <v>29494</v>
      </c>
      <c r="K896" t="s">
        <v>37205</v>
      </c>
      <c r="M896" t="s">
        <v>37926</v>
      </c>
      <c r="N896" t="s">
        <v>41249</v>
      </c>
      <c r="O896" t="s">
        <v>41250</v>
      </c>
      <c r="P896">
        <v>0</v>
      </c>
      <c r="Q896">
        <v>3</v>
      </c>
      <c r="R896" t="s">
        <v>41251</v>
      </c>
      <c r="S896" t="s">
        <v>41369</v>
      </c>
      <c r="T896" t="s">
        <v>42738</v>
      </c>
      <c r="U896" t="s">
        <v>43988</v>
      </c>
      <c r="V896" t="s">
        <v>54347</v>
      </c>
      <c r="W896" t="s">
        <v>37926</v>
      </c>
      <c r="X896" t="s">
        <v>41252</v>
      </c>
    </row>
    <row r="897" spans="1:24">
      <c r="A897">
        <f>HYPERLINK("https://www.philgeps.gov.ph/GEPSNONPILOT/Tender/SplashBidNoticeAbstractUI.aspx?menuIndex=3&amp;refID=7076766&amp;Result=3","7076766")</f>
        <v>0</v>
      </c>
      <c r="B897" t="s">
        <v>471</v>
      </c>
      <c r="C897" t="s">
        <v>4238</v>
      </c>
      <c r="D897" t="s">
        <v>16611</v>
      </c>
      <c r="E897" t="s">
        <v>4238</v>
      </c>
      <c r="F897" t="s">
        <v>28669</v>
      </c>
      <c r="G897" t="s">
        <v>28678</v>
      </c>
      <c r="H897" t="s">
        <v>9998</v>
      </c>
      <c r="I897" t="s">
        <v>28688</v>
      </c>
      <c r="J897" t="s">
        <v>28894</v>
      </c>
      <c r="K897" t="s">
        <v>37234</v>
      </c>
      <c r="M897" t="s">
        <v>37959</v>
      </c>
      <c r="N897" t="s">
        <v>41249</v>
      </c>
      <c r="O897" t="s">
        <v>41250</v>
      </c>
      <c r="P897">
        <v>0</v>
      </c>
      <c r="Q897">
        <v>1</v>
      </c>
      <c r="R897" t="s">
        <v>41251</v>
      </c>
      <c r="S897" t="s">
        <v>41369</v>
      </c>
      <c r="T897" t="s">
        <v>42694</v>
      </c>
      <c r="U897" t="s">
        <v>43989</v>
      </c>
      <c r="W897" t="s">
        <v>37959</v>
      </c>
      <c r="X897" t="s">
        <v>41252</v>
      </c>
    </row>
    <row r="898" spans="1:24">
      <c r="A898">
        <f>HYPERLINK("https://www.philgeps.gov.ph/GEPSNONPILOT/Tender/SplashBidNoticeAbstractUI.aspx?menuIndex=3&amp;refID=7077102&amp;Result=3","7077102")</f>
        <v>0</v>
      </c>
      <c r="B898" t="s">
        <v>430</v>
      </c>
      <c r="C898" t="s">
        <v>4158</v>
      </c>
      <c r="D898" t="s">
        <v>16660</v>
      </c>
      <c r="E898" t="s">
        <v>17546</v>
      </c>
      <c r="F898" t="s">
        <v>28669</v>
      </c>
      <c r="G898" t="s">
        <v>28678</v>
      </c>
      <c r="H898" t="s">
        <v>9998</v>
      </c>
      <c r="I898" t="s">
        <v>28709</v>
      </c>
      <c r="J898" t="s">
        <v>29495</v>
      </c>
      <c r="K898" t="s">
        <v>37204</v>
      </c>
      <c r="M898" t="s">
        <v>37915</v>
      </c>
      <c r="N898" t="s">
        <v>41249</v>
      </c>
      <c r="O898" t="s">
        <v>41250</v>
      </c>
      <c r="P898">
        <v>0</v>
      </c>
      <c r="Q898">
        <v>2</v>
      </c>
      <c r="R898" t="s">
        <v>41251</v>
      </c>
      <c r="S898" t="s">
        <v>41369</v>
      </c>
      <c r="T898" t="s">
        <v>42770</v>
      </c>
      <c r="U898" t="s">
        <v>43936</v>
      </c>
      <c r="W898" t="s">
        <v>37915</v>
      </c>
      <c r="X898" t="s">
        <v>41252</v>
      </c>
    </row>
    <row r="899" spans="1:24">
      <c r="A899">
        <f>HYPERLINK("https://www.philgeps.gov.ph/GEPSNONPILOT/Tender/SplashBidNoticeAbstractUI.aspx?menuIndex=3&amp;refID=7077105&amp;Result=3","7077105")</f>
        <v>0</v>
      </c>
      <c r="B899" t="s">
        <v>472</v>
      </c>
      <c r="C899" t="s">
        <v>4239</v>
      </c>
      <c r="D899" t="s">
        <v>16639</v>
      </c>
      <c r="E899" t="s">
        <v>17563</v>
      </c>
      <c r="F899" t="s">
        <v>28669</v>
      </c>
      <c r="G899" t="s">
        <v>28676</v>
      </c>
      <c r="H899" t="s">
        <v>9998</v>
      </c>
      <c r="I899" t="s">
        <v>3718</v>
      </c>
      <c r="J899" t="s">
        <v>29496</v>
      </c>
      <c r="K899" t="s">
        <v>37209</v>
      </c>
      <c r="M899" t="s">
        <v>37960</v>
      </c>
      <c r="N899" t="s">
        <v>41249</v>
      </c>
      <c r="O899" t="s">
        <v>41250</v>
      </c>
      <c r="P899">
        <v>0</v>
      </c>
      <c r="Q899">
        <v>8</v>
      </c>
      <c r="R899" t="s">
        <v>41251</v>
      </c>
      <c r="S899" t="s">
        <v>41369</v>
      </c>
      <c r="T899" t="s">
        <v>42673</v>
      </c>
      <c r="U899" t="s">
        <v>43990</v>
      </c>
      <c r="W899" t="s">
        <v>37960</v>
      </c>
      <c r="X899" t="s">
        <v>41252</v>
      </c>
    </row>
    <row r="900" spans="1:24">
      <c r="A900">
        <f>HYPERLINK("https://www.philgeps.gov.ph/GEPSNONPILOT/Tender/SplashBidNoticeAbstractUI.aspx?menuIndex=3&amp;refID=7077101&amp;Result=3","7077101")</f>
        <v>0</v>
      </c>
      <c r="B900" t="s">
        <v>445</v>
      </c>
      <c r="C900" t="s">
        <v>4240</v>
      </c>
      <c r="D900" t="s">
        <v>16687</v>
      </c>
      <c r="E900" t="s">
        <v>17564</v>
      </c>
      <c r="F900" t="s">
        <v>28669</v>
      </c>
      <c r="G900" t="s">
        <v>28676</v>
      </c>
      <c r="H900" t="s">
        <v>9998</v>
      </c>
      <c r="I900" t="s">
        <v>3718</v>
      </c>
      <c r="J900" t="s">
        <v>29497</v>
      </c>
      <c r="K900" t="s">
        <v>37209</v>
      </c>
      <c r="M900" t="s">
        <v>37930</v>
      </c>
      <c r="N900" t="s">
        <v>41249</v>
      </c>
      <c r="O900" t="s">
        <v>41250</v>
      </c>
      <c r="P900">
        <v>0</v>
      </c>
      <c r="Q900">
        <v>3</v>
      </c>
      <c r="R900" t="s">
        <v>41251</v>
      </c>
      <c r="S900" t="s">
        <v>41369</v>
      </c>
      <c r="T900" t="s">
        <v>42681</v>
      </c>
      <c r="U900" t="s">
        <v>43991</v>
      </c>
      <c r="W900" t="s">
        <v>37930</v>
      </c>
      <c r="X900" t="s">
        <v>41252</v>
      </c>
    </row>
    <row r="901" spans="1:24">
      <c r="A901">
        <f>HYPERLINK("https://www.philgeps.gov.ph/GEPSNONPILOT/Tender/SplashBidNoticeAbstractUI.aspx?menuIndex=3&amp;refID=7077097&amp;Result=3","7077097")</f>
        <v>0</v>
      </c>
      <c r="B901" t="s">
        <v>246</v>
      </c>
      <c r="C901" t="s">
        <v>4241</v>
      </c>
      <c r="D901" t="s">
        <v>16677</v>
      </c>
      <c r="E901" t="s">
        <v>17565</v>
      </c>
      <c r="F901" t="s">
        <v>28669</v>
      </c>
      <c r="G901" t="s">
        <v>28676</v>
      </c>
      <c r="H901" t="s">
        <v>28684</v>
      </c>
      <c r="I901" t="s">
        <v>3679</v>
      </c>
      <c r="J901" t="s">
        <v>29498</v>
      </c>
      <c r="K901" t="s">
        <v>37206</v>
      </c>
      <c r="M901" t="s">
        <v>37724</v>
      </c>
      <c r="N901" t="s">
        <v>41249</v>
      </c>
      <c r="O901" t="s">
        <v>41250</v>
      </c>
      <c r="P901">
        <v>0</v>
      </c>
      <c r="Q901">
        <v>1</v>
      </c>
      <c r="R901" t="s">
        <v>41251</v>
      </c>
      <c r="S901" t="s">
        <v>41369</v>
      </c>
      <c r="T901" t="s">
        <v>42717</v>
      </c>
      <c r="U901" t="s">
        <v>43992</v>
      </c>
      <c r="W901" t="s">
        <v>37724</v>
      </c>
      <c r="X901" t="s">
        <v>41252</v>
      </c>
    </row>
    <row r="902" spans="1:24">
      <c r="A902">
        <f>HYPERLINK("https://www.philgeps.gov.ph/GEPSNONPILOT/Tender/SplashBidNoticeAbstractUI.aspx?menuIndex=3&amp;refID=7077092&amp;Result=3","7077092")</f>
        <v>0</v>
      </c>
      <c r="B902" t="s">
        <v>169</v>
      </c>
      <c r="C902" t="s">
        <v>4242</v>
      </c>
      <c r="D902" t="s">
        <v>16611</v>
      </c>
      <c r="E902" t="s">
        <v>17566</v>
      </c>
      <c r="F902" t="s">
        <v>28669</v>
      </c>
      <c r="G902" t="s">
        <v>28675</v>
      </c>
      <c r="H902" t="s">
        <v>28686</v>
      </c>
      <c r="I902" t="s">
        <v>28689</v>
      </c>
      <c r="J902" t="s">
        <v>29499</v>
      </c>
      <c r="K902" t="s">
        <v>37220</v>
      </c>
      <c r="M902" t="s">
        <v>37936</v>
      </c>
      <c r="N902" t="s">
        <v>41249</v>
      </c>
      <c r="O902" t="s">
        <v>41250</v>
      </c>
      <c r="P902">
        <v>0</v>
      </c>
      <c r="Q902">
        <v>1</v>
      </c>
      <c r="R902" t="s">
        <v>41251</v>
      </c>
      <c r="S902" t="s">
        <v>41369</v>
      </c>
      <c r="T902" t="s">
        <v>42688</v>
      </c>
      <c r="U902" t="s">
        <v>43993</v>
      </c>
      <c r="W902" t="s">
        <v>37936</v>
      </c>
      <c r="X902" t="s">
        <v>41252</v>
      </c>
    </row>
    <row r="903" spans="1:24">
      <c r="A903">
        <f>HYPERLINK("https://www.philgeps.gov.ph/GEPSNONPILOT/Tender/SplashBidNoticeAbstractUI.aspx?menuIndex=3&amp;refID=7077091&amp;Result=3","7077091")</f>
        <v>0</v>
      </c>
      <c r="B903" t="s">
        <v>46</v>
      </c>
      <c r="C903" t="s">
        <v>4243</v>
      </c>
      <c r="D903" t="s">
        <v>16627</v>
      </c>
      <c r="E903" t="s">
        <v>17567</v>
      </c>
      <c r="F903" t="s">
        <v>28669</v>
      </c>
      <c r="G903" t="s">
        <v>28675</v>
      </c>
      <c r="H903" t="s">
        <v>28686</v>
      </c>
      <c r="I903" t="s">
        <v>28689</v>
      </c>
      <c r="J903" t="s">
        <v>28879</v>
      </c>
      <c r="K903" t="s">
        <v>37209</v>
      </c>
      <c r="M903" t="s">
        <v>37521</v>
      </c>
      <c r="N903" t="s">
        <v>41249</v>
      </c>
      <c r="O903" t="s">
        <v>41250</v>
      </c>
      <c r="P903">
        <v>0</v>
      </c>
      <c r="Q903">
        <v>0</v>
      </c>
      <c r="R903" t="s">
        <v>41251</v>
      </c>
      <c r="S903" t="s">
        <v>41369</v>
      </c>
      <c r="T903" t="s">
        <v>42695</v>
      </c>
      <c r="U903" t="s">
        <v>43994</v>
      </c>
      <c r="W903" t="s">
        <v>37521</v>
      </c>
      <c r="X903" t="s">
        <v>41252</v>
      </c>
    </row>
    <row r="904" spans="1:24">
      <c r="A904">
        <f>HYPERLINK("https://www.philgeps.gov.ph/GEPSNONPILOT/Tender/SplashBidNoticeAbstractUI.aspx?menuIndex=3&amp;refID=7077089&amp;Result=3","7077089")</f>
        <v>0</v>
      </c>
      <c r="B904" t="s">
        <v>473</v>
      </c>
      <c r="C904" t="s">
        <v>4244</v>
      </c>
      <c r="D904" t="s">
        <v>16647</v>
      </c>
      <c r="E904" t="s">
        <v>17568</v>
      </c>
      <c r="F904" t="s">
        <v>28669</v>
      </c>
      <c r="G904" t="s">
        <v>28675</v>
      </c>
      <c r="H904" t="s">
        <v>9998</v>
      </c>
      <c r="I904" t="s">
        <v>28695</v>
      </c>
      <c r="J904" t="s">
        <v>29500</v>
      </c>
      <c r="K904" t="s">
        <v>37213</v>
      </c>
      <c r="M904" t="s">
        <v>37961</v>
      </c>
      <c r="N904" t="s">
        <v>41249</v>
      </c>
      <c r="O904" t="s">
        <v>41250</v>
      </c>
      <c r="P904">
        <v>0</v>
      </c>
      <c r="Q904">
        <v>0</v>
      </c>
      <c r="R904" t="s">
        <v>41251</v>
      </c>
      <c r="S904" t="s">
        <v>41369</v>
      </c>
      <c r="T904" t="s">
        <v>42690</v>
      </c>
      <c r="U904" t="s">
        <v>43995</v>
      </c>
      <c r="W904" t="s">
        <v>37961</v>
      </c>
      <c r="X904" t="s">
        <v>41252</v>
      </c>
    </row>
    <row r="905" spans="1:24">
      <c r="A905">
        <f>HYPERLINK("https://www.philgeps.gov.ph/GEPSNONPILOT/Tender/SplashBidNoticeAbstractUI.aspx?menuIndex=3&amp;refID=7077103&amp;Result=3","7077103")</f>
        <v>0</v>
      </c>
      <c r="B905" t="s">
        <v>228</v>
      </c>
      <c r="C905" t="s">
        <v>4245</v>
      </c>
      <c r="D905" t="s">
        <v>16608</v>
      </c>
      <c r="E905" t="s">
        <v>17569</v>
      </c>
      <c r="F905" t="s">
        <v>28669</v>
      </c>
      <c r="G905" t="s">
        <v>28678</v>
      </c>
      <c r="H905" t="s">
        <v>9998</v>
      </c>
      <c r="I905" t="s">
        <v>28688</v>
      </c>
      <c r="J905" t="s">
        <v>28879</v>
      </c>
      <c r="K905" t="s">
        <v>37205</v>
      </c>
      <c r="M905" t="s">
        <v>37706</v>
      </c>
      <c r="N905" t="s">
        <v>41249</v>
      </c>
      <c r="O905" t="s">
        <v>41250</v>
      </c>
      <c r="P905">
        <v>0</v>
      </c>
      <c r="Q905">
        <v>11</v>
      </c>
      <c r="R905" t="s">
        <v>41251</v>
      </c>
      <c r="S905" t="s">
        <v>41369</v>
      </c>
      <c r="T905" t="s">
        <v>42690</v>
      </c>
      <c r="U905" t="s">
        <v>43996</v>
      </c>
      <c r="V905" t="s">
        <v>54351</v>
      </c>
      <c r="W905" t="s">
        <v>37706</v>
      </c>
      <c r="X905" t="s">
        <v>41252</v>
      </c>
    </row>
    <row r="906" spans="1:24">
      <c r="A906">
        <f>HYPERLINK("https://www.philgeps.gov.ph/GEPSNONPILOT/Tender/SplashBidNoticeAbstractUI.aspx?menuIndex=3&amp;refID=7077086&amp;Result=3","7077086")</f>
        <v>0</v>
      </c>
      <c r="B906" t="s">
        <v>474</v>
      </c>
      <c r="C906" t="s">
        <v>4246</v>
      </c>
      <c r="D906" t="s">
        <v>16668</v>
      </c>
      <c r="E906" t="s">
        <v>17570</v>
      </c>
      <c r="F906" t="s">
        <v>28669</v>
      </c>
      <c r="G906" t="s">
        <v>28676</v>
      </c>
      <c r="H906" t="s">
        <v>9998</v>
      </c>
      <c r="I906" t="s">
        <v>3679</v>
      </c>
      <c r="J906" t="s">
        <v>29501</v>
      </c>
      <c r="K906" t="s">
        <v>37209</v>
      </c>
      <c r="L906" t="s">
        <v>474</v>
      </c>
      <c r="M906" t="s">
        <v>37962</v>
      </c>
      <c r="N906" t="s">
        <v>41249</v>
      </c>
      <c r="O906" t="s">
        <v>41250</v>
      </c>
      <c r="P906">
        <v>0</v>
      </c>
      <c r="Q906">
        <v>1</v>
      </c>
      <c r="R906" t="s">
        <v>41251</v>
      </c>
      <c r="S906" t="s">
        <v>41369</v>
      </c>
      <c r="T906" t="s">
        <v>42703</v>
      </c>
      <c r="U906" t="s">
        <v>43997</v>
      </c>
      <c r="W906" t="s">
        <v>37962</v>
      </c>
      <c r="X906" t="s">
        <v>41252</v>
      </c>
    </row>
    <row r="907" spans="1:24">
      <c r="A907">
        <f>HYPERLINK("https://www.philgeps.gov.ph/GEPSNONPILOT/Tender/SplashBidNoticeAbstractUI.aspx?menuIndex=3&amp;refID=7077084&amp;Result=3","7077084")</f>
        <v>0</v>
      </c>
      <c r="B907" t="s">
        <v>465</v>
      </c>
      <c r="C907" t="s">
        <v>4218</v>
      </c>
      <c r="D907" t="s">
        <v>16660</v>
      </c>
      <c r="E907" t="s">
        <v>17571</v>
      </c>
      <c r="F907" t="s">
        <v>28669</v>
      </c>
      <c r="G907" t="s">
        <v>28677</v>
      </c>
      <c r="H907" t="s">
        <v>9998</v>
      </c>
      <c r="I907" t="s">
        <v>28694</v>
      </c>
      <c r="J907" t="s">
        <v>29502</v>
      </c>
      <c r="K907" t="s">
        <v>37210</v>
      </c>
      <c r="M907" t="s">
        <v>37953</v>
      </c>
      <c r="N907" t="s">
        <v>41249</v>
      </c>
      <c r="O907" t="s">
        <v>41250</v>
      </c>
      <c r="P907">
        <v>0</v>
      </c>
      <c r="Q907">
        <v>1</v>
      </c>
      <c r="R907" t="s">
        <v>41251</v>
      </c>
      <c r="S907" t="s">
        <v>41369</v>
      </c>
      <c r="T907" t="s">
        <v>42748</v>
      </c>
      <c r="U907" t="s">
        <v>43972</v>
      </c>
      <c r="W907" t="s">
        <v>37953</v>
      </c>
      <c r="X907" t="s">
        <v>41252</v>
      </c>
    </row>
    <row r="908" spans="1:24">
      <c r="A908">
        <f>HYPERLINK("https://www.philgeps.gov.ph/GEPSNONPILOT/Tender/SplashBidNoticeAbstractUI.aspx?menuIndex=3&amp;refID=7077100&amp;Result=3","7077100")</f>
        <v>0</v>
      </c>
      <c r="B908" t="s">
        <v>465</v>
      </c>
      <c r="C908" t="s">
        <v>4247</v>
      </c>
      <c r="D908" t="s">
        <v>16660</v>
      </c>
      <c r="E908" t="s">
        <v>17572</v>
      </c>
      <c r="F908" t="s">
        <v>28669</v>
      </c>
      <c r="G908" t="s">
        <v>28677</v>
      </c>
      <c r="H908" t="s">
        <v>9998</v>
      </c>
      <c r="I908" t="s">
        <v>28688</v>
      </c>
      <c r="J908" t="s">
        <v>29503</v>
      </c>
      <c r="K908" t="s">
        <v>37210</v>
      </c>
      <c r="M908" t="s">
        <v>37953</v>
      </c>
      <c r="N908" t="s">
        <v>41249</v>
      </c>
      <c r="O908" t="s">
        <v>41250</v>
      </c>
      <c r="P908">
        <v>0</v>
      </c>
      <c r="Q908">
        <v>1</v>
      </c>
      <c r="R908" t="s">
        <v>41251</v>
      </c>
      <c r="S908" t="s">
        <v>41369</v>
      </c>
      <c r="T908" t="s">
        <v>42748</v>
      </c>
      <c r="U908" t="s">
        <v>43998</v>
      </c>
      <c r="W908" t="s">
        <v>37953</v>
      </c>
      <c r="X908" t="s">
        <v>41252</v>
      </c>
    </row>
    <row r="909" spans="1:24">
      <c r="A909">
        <f>HYPERLINK("https://www.philgeps.gov.ph/GEPSNONPILOT/Tender/SplashBidNoticeAbstractUI.aspx?menuIndex=3&amp;refID=7077083&amp;Result=3","7077083")</f>
        <v>0</v>
      </c>
      <c r="B909" t="s">
        <v>454</v>
      </c>
      <c r="C909" t="s">
        <v>4248</v>
      </c>
      <c r="D909" t="s">
        <v>16661</v>
      </c>
      <c r="E909" t="s">
        <v>17573</v>
      </c>
      <c r="F909" t="s">
        <v>28669</v>
      </c>
      <c r="G909" t="s">
        <v>28676</v>
      </c>
      <c r="H909" t="s">
        <v>9998</v>
      </c>
      <c r="I909" t="s">
        <v>6606</v>
      </c>
      <c r="J909" t="s">
        <v>29504</v>
      </c>
      <c r="K909" t="s">
        <v>37209</v>
      </c>
      <c r="M909" t="s">
        <v>37942</v>
      </c>
      <c r="N909" t="s">
        <v>41249</v>
      </c>
      <c r="O909" t="s">
        <v>41250</v>
      </c>
      <c r="P909">
        <v>0</v>
      </c>
      <c r="Q909">
        <v>0</v>
      </c>
      <c r="R909" t="s">
        <v>41251</v>
      </c>
      <c r="S909" t="s">
        <v>41369</v>
      </c>
      <c r="T909" t="s">
        <v>42799</v>
      </c>
      <c r="U909" t="s">
        <v>43999</v>
      </c>
      <c r="W909" t="s">
        <v>37942</v>
      </c>
      <c r="X909" t="s">
        <v>41252</v>
      </c>
    </row>
    <row r="910" spans="1:24">
      <c r="A910">
        <f>HYPERLINK("https://www.philgeps.gov.ph/GEPSNONPILOT/Tender/SplashBidNoticeAbstractUI.aspx?menuIndex=3&amp;refID=7077093&amp;Result=3","7077093")</f>
        <v>0</v>
      </c>
      <c r="B910" t="s">
        <v>475</v>
      </c>
      <c r="C910" t="s">
        <v>4249</v>
      </c>
      <c r="E910" t="s">
        <v>17574</v>
      </c>
      <c r="F910" t="s">
        <v>28669</v>
      </c>
      <c r="G910" t="s">
        <v>28676</v>
      </c>
      <c r="H910" t="s">
        <v>9998</v>
      </c>
      <c r="I910" t="s">
        <v>28760</v>
      </c>
      <c r="J910" t="s">
        <v>29505</v>
      </c>
      <c r="K910" t="s">
        <v>37209</v>
      </c>
      <c r="M910" t="s">
        <v>37963</v>
      </c>
      <c r="N910" t="s">
        <v>41249</v>
      </c>
      <c r="O910" t="s">
        <v>41250</v>
      </c>
      <c r="P910">
        <v>0</v>
      </c>
      <c r="Q910">
        <v>0</v>
      </c>
      <c r="R910" t="s">
        <v>41251</v>
      </c>
      <c r="S910" t="s">
        <v>41369</v>
      </c>
      <c r="T910" t="s">
        <v>42751</v>
      </c>
      <c r="U910" t="s">
        <v>43651</v>
      </c>
      <c r="W910" t="s">
        <v>37963</v>
      </c>
      <c r="X910" t="s">
        <v>41252</v>
      </c>
    </row>
    <row r="911" spans="1:24">
      <c r="A911">
        <f>HYPERLINK("https://www.philgeps.gov.ph/GEPSNONPILOT/Tender/SplashBidNoticeAbstractUI.aspx?menuIndex=3&amp;refID=7076789&amp;Result=3","7076789")</f>
        <v>0</v>
      </c>
      <c r="B911" t="s">
        <v>329</v>
      </c>
      <c r="C911" t="s">
        <v>4250</v>
      </c>
      <c r="D911" t="s">
        <v>16643</v>
      </c>
      <c r="E911" t="s">
        <v>17575</v>
      </c>
      <c r="F911" t="s">
        <v>28669</v>
      </c>
      <c r="G911" t="s">
        <v>28676</v>
      </c>
      <c r="H911" t="s">
        <v>28685</v>
      </c>
      <c r="I911" t="s">
        <v>28752</v>
      </c>
      <c r="J911" t="s">
        <v>28889</v>
      </c>
      <c r="K911" t="s">
        <v>37206</v>
      </c>
      <c r="M911" t="s">
        <v>37809</v>
      </c>
      <c r="N911" t="s">
        <v>41249</v>
      </c>
      <c r="O911" t="s">
        <v>41250</v>
      </c>
      <c r="P911">
        <v>0</v>
      </c>
      <c r="Q911">
        <v>1</v>
      </c>
      <c r="R911" t="s">
        <v>41251</v>
      </c>
      <c r="S911" t="s">
        <v>41369</v>
      </c>
      <c r="T911" t="s">
        <v>42694</v>
      </c>
      <c r="U911" t="s">
        <v>44000</v>
      </c>
      <c r="W911" t="s">
        <v>37809</v>
      </c>
      <c r="X911" t="s">
        <v>41252</v>
      </c>
    </row>
    <row r="912" spans="1:24">
      <c r="A912">
        <f>HYPERLINK("https://www.philgeps.gov.ph/GEPSNONPILOT/Tender/SplashBidNoticeAbstractUI.aspx?menuIndex=3&amp;refID=7077128&amp;Result=3","7077128")</f>
        <v>0</v>
      </c>
      <c r="B912" t="s">
        <v>476</v>
      </c>
      <c r="C912" t="s">
        <v>4251</v>
      </c>
      <c r="D912" t="s">
        <v>16615</v>
      </c>
      <c r="E912" t="s">
        <v>17576</v>
      </c>
      <c r="F912" t="s">
        <v>28669</v>
      </c>
      <c r="G912" t="s">
        <v>28681</v>
      </c>
      <c r="H912" t="s">
        <v>28685</v>
      </c>
      <c r="I912" t="s">
        <v>28685</v>
      </c>
      <c r="J912" t="s">
        <v>29506</v>
      </c>
      <c r="K912" t="s">
        <v>37213</v>
      </c>
      <c r="M912" t="s">
        <v>37964</v>
      </c>
      <c r="N912" t="s">
        <v>41249</v>
      </c>
      <c r="O912" t="s">
        <v>41250</v>
      </c>
      <c r="P912">
        <v>0</v>
      </c>
      <c r="Q912">
        <v>6</v>
      </c>
      <c r="R912" t="s">
        <v>41251</v>
      </c>
      <c r="S912" t="s">
        <v>41369</v>
      </c>
      <c r="T912" t="s">
        <v>42682</v>
      </c>
      <c r="U912" t="s">
        <v>44001</v>
      </c>
      <c r="W912" t="s">
        <v>37964</v>
      </c>
      <c r="X912" t="s">
        <v>41252</v>
      </c>
    </row>
    <row r="913" spans="1:24">
      <c r="A913">
        <f>HYPERLINK("https://www.philgeps.gov.ph/GEPSNONPILOT/Tender/SplashBidNoticeAbstractUI.aspx?menuIndex=3&amp;refID=7077087&amp;Result=3","7077087")</f>
        <v>0</v>
      </c>
      <c r="B913" t="s">
        <v>477</v>
      </c>
      <c r="C913" t="s">
        <v>4252</v>
      </c>
      <c r="E913" t="s">
        <v>16888</v>
      </c>
      <c r="F913" t="s">
        <v>28671</v>
      </c>
      <c r="G913" t="s">
        <v>28675</v>
      </c>
      <c r="H913" t="s">
        <v>9998</v>
      </c>
      <c r="I913" t="s">
        <v>28709</v>
      </c>
      <c r="J913" t="s">
        <v>29507</v>
      </c>
      <c r="K913" t="s">
        <v>37234</v>
      </c>
      <c r="M913" t="s">
        <v>37965</v>
      </c>
      <c r="N913" t="s">
        <v>41249</v>
      </c>
      <c r="O913" t="s">
        <v>41250</v>
      </c>
      <c r="P913">
        <v>0</v>
      </c>
      <c r="Q913">
        <v>2</v>
      </c>
      <c r="R913" t="s">
        <v>41251</v>
      </c>
      <c r="S913" t="s">
        <v>41369</v>
      </c>
      <c r="T913" t="s">
        <v>42747</v>
      </c>
      <c r="U913" t="s">
        <v>44002</v>
      </c>
      <c r="W913" t="s">
        <v>37965</v>
      </c>
      <c r="X913" t="s">
        <v>41252</v>
      </c>
    </row>
    <row r="914" spans="1:24">
      <c r="A914">
        <f>HYPERLINK("https://www.philgeps.gov.ph/GEPSNONPILOT/Tender/SplashBidNoticeAbstractUI.aspx?menuIndex=3&amp;refID=7077127&amp;Result=3","7077127")</f>
        <v>0</v>
      </c>
      <c r="B914" t="s">
        <v>478</v>
      </c>
      <c r="C914" t="s">
        <v>4253</v>
      </c>
      <c r="D914" t="s">
        <v>16625</v>
      </c>
      <c r="E914" t="s">
        <v>17577</v>
      </c>
      <c r="F914" t="s">
        <v>28669</v>
      </c>
      <c r="G914" t="s">
        <v>28676</v>
      </c>
      <c r="H914" t="s">
        <v>9998</v>
      </c>
      <c r="I914" t="s">
        <v>7352</v>
      </c>
      <c r="J914" t="s">
        <v>29508</v>
      </c>
      <c r="K914" t="s">
        <v>37205</v>
      </c>
      <c r="M914" t="s">
        <v>37966</v>
      </c>
      <c r="N914" t="s">
        <v>41249</v>
      </c>
      <c r="O914" t="s">
        <v>41250</v>
      </c>
      <c r="P914">
        <v>0</v>
      </c>
      <c r="Q914">
        <v>0</v>
      </c>
      <c r="R914" t="s">
        <v>41251</v>
      </c>
      <c r="S914" t="s">
        <v>41369</v>
      </c>
      <c r="T914" t="s">
        <v>42717</v>
      </c>
      <c r="U914" t="s">
        <v>44003</v>
      </c>
      <c r="W914" t="s">
        <v>37966</v>
      </c>
      <c r="X914" t="s">
        <v>41252</v>
      </c>
    </row>
    <row r="915" spans="1:24">
      <c r="A915">
        <f>HYPERLINK("https://www.philgeps.gov.ph/GEPSNONPILOT/Tender/SplashBidNoticeAbstractUI.aspx?menuIndex=3&amp;refID=7077126&amp;Result=3","7077126")</f>
        <v>0</v>
      </c>
      <c r="B915" t="s">
        <v>224</v>
      </c>
      <c r="C915" t="s">
        <v>4254</v>
      </c>
      <c r="D915" t="s">
        <v>16626</v>
      </c>
      <c r="E915" t="s">
        <v>17578</v>
      </c>
      <c r="F915" t="s">
        <v>28669</v>
      </c>
      <c r="G915" t="s">
        <v>28676</v>
      </c>
      <c r="H915" t="s">
        <v>28684</v>
      </c>
      <c r="I915" t="s">
        <v>28726</v>
      </c>
      <c r="J915" t="s">
        <v>28879</v>
      </c>
      <c r="K915" t="s">
        <v>37206</v>
      </c>
      <c r="M915" t="s">
        <v>37702</v>
      </c>
      <c r="N915" t="s">
        <v>41249</v>
      </c>
      <c r="O915" t="s">
        <v>41250</v>
      </c>
      <c r="P915">
        <v>0</v>
      </c>
      <c r="Q915">
        <v>1</v>
      </c>
      <c r="R915" t="s">
        <v>41251</v>
      </c>
      <c r="S915" t="s">
        <v>41369</v>
      </c>
      <c r="T915" t="s">
        <v>42694</v>
      </c>
      <c r="U915" t="s">
        <v>44004</v>
      </c>
      <c r="W915" t="s">
        <v>37702</v>
      </c>
      <c r="X915" t="s">
        <v>41252</v>
      </c>
    </row>
    <row r="916" spans="1:24">
      <c r="A916">
        <f>HYPERLINK("https://www.philgeps.gov.ph/GEPSNONPILOT/Tender/SplashBidNoticeAbstractUI.aspx?menuIndex=3&amp;refID=7077125&amp;Result=3","7077125")</f>
        <v>0</v>
      </c>
      <c r="B916" t="s">
        <v>479</v>
      </c>
      <c r="C916" t="s">
        <v>4255</v>
      </c>
      <c r="D916" t="s">
        <v>16608</v>
      </c>
      <c r="E916" t="s">
        <v>17579</v>
      </c>
      <c r="F916" t="s">
        <v>28669</v>
      </c>
      <c r="G916" t="s">
        <v>28676</v>
      </c>
      <c r="H916" t="s">
        <v>9998</v>
      </c>
      <c r="I916" t="s">
        <v>28761</v>
      </c>
      <c r="J916" t="s">
        <v>28834</v>
      </c>
      <c r="K916" t="s">
        <v>37209</v>
      </c>
      <c r="M916" t="s">
        <v>37967</v>
      </c>
      <c r="N916" t="s">
        <v>41249</v>
      </c>
      <c r="O916" t="s">
        <v>41250</v>
      </c>
      <c r="P916">
        <v>0</v>
      </c>
      <c r="Q916">
        <v>3</v>
      </c>
      <c r="R916" t="s">
        <v>41251</v>
      </c>
      <c r="S916" t="s">
        <v>41369</v>
      </c>
      <c r="T916" t="s">
        <v>42673</v>
      </c>
      <c r="U916" t="s">
        <v>44005</v>
      </c>
      <c r="W916" t="s">
        <v>37967</v>
      </c>
      <c r="X916" t="s">
        <v>41252</v>
      </c>
    </row>
    <row r="917" spans="1:24">
      <c r="A917">
        <f>HYPERLINK("https://www.philgeps.gov.ph/GEPSNONPILOT/Tender/SplashBidNoticeAbstractUI.aspx?menuIndex=3&amp;refID=7077085&amp;Result=3","7077085")</f>
        <v>0</v>
      </c>
      <c r="B917" t="s">
        <v>480</v>
      </c>
      <c r="C917" t="s">
        <v>4256</v>
      </c>
      <c r="D917" t="s">
        <v>16617</v>
      </c>
      <c r="E917" t="s">
        <v>17580</v>
      </c>
      <c r="F917" t="s">
        <v>28669</v>
      </c>
      <c r="G917" t="s">
        <v>28676</v>
      </c>
      <c r="H917" t="s">
        <v>28686</v>
      </c>
      <c r="I917" t="s">
        <v>28689</v>
      </c>
      <c r="J917" t="s">
        <v>29124</v>
      </c>
      <c r="K917" t="s">
        <v>37221</v>
      </c>
      <c r="M917" t="s">
        <v>37968</v>
      </c>
      <c r="N917" t="s">
        <v>41249</v>
      </c>
      <c r="O917" t="s">
        <v>41250</v>
      </c>
      <c r="P917">
        <v>0</v>
      </c>
      <c r="Q917">
        <v>1</v>
      </c>
      <c r="R917" t="s">
        <v>41251</v>
      </c>
      <c r="S917" t="s">
        <v>41369</v>
      </c>
      <c r="T917" t="s">
        <v>42804</v>
      </c>
      <c r="U917" t="s">
        <v>44006</v>
      </c>
      <c r="W917" t="s">
        <v>37968</v>
      </c>
      <c r="X917" t="s">
        <v>41252</v>
      </c>
    </row>
    <row r="918" spans="1:24">
      <c r="A918">
        <f>HYPERLINK("https://www.philgeps.gov.ph/GEPSNONPILOT/Tender/SplashBidNoticeAbstractUI.aspx?menuIndex=3&amp;refID=7077124&amp;Result=3","7077124")</f>
        <v>0</v>
      </c>
      <c r="B918" t="s">
        <v>436</v>
      </c>
      <c r="C918" t="s">
        <v>4257</v>
      </c>
      <c r="D918" t="s">
        <v>16640</v>
      </c>
      <c r="E918" t="s">
        <v>17491</v>
      </c>
      <c r="F918" t="s">
        <v>28669</v>
      </c>
      <c r="G918" t="s">
        <v>28677</v>
      </c>
      <c r="H918" t="s">
        <v>9998</v>
      </c>
      <c r="I918" t="s">
        <v>28733</v>
      </c>
      <c r="J918" t="s">
        <v>29225</v>
      </c>
      <c r="K918" t="s">
        <v>37234</v>
      </c>
      <c r="M918" t="s">
        <v>37921</v>
      </c>
      <c r="N918" t="s">
        <v>41249</v>
      </c>
      <c r="O918" t="s">
        <v>41250</v>
      </c>
      <c r="P918">
        <v>0</v>
      </c>
      <c r="Q918">
        <v>0</v>
      </c>
      <c r="R918" t="s">
        <v>41251</v>
      </c>
      <c r="S918" t="s">
        <v>41369</v>
      </c>
      <c r="T918" t="s">
        <v>42771</v>
      </c>
      <c r="U918" t="s">
        <v>44007</v>
      </c>
      <c r="W918" t="s">
        <v>37921</v>
      </c>
      <c r="X918" t="s">
        <v>41252</v>
      </c>
    </row>
    <row r="919" spans="1:24">
      <c r="A919">
        <f>HYPERLINK("https://www.philgeps.gov.ph/GEPSNONPILOT/Tender/SplashBidNoticeAbstractUI.aspx?menuIndex=3&amp;refID=7077122&amp;Result=3","7077122")</f>
        <v>0</v>
      </c>
      <c r="B919" t="s">
        <v>392</v>
      </c>
      <c r="C919" t="s">
        <v>4258</v>
      </c>
      <c r="D919" t="s">
        <v>16668</v>
      </c>
      <c r="E919" t="s">
        <v>17581</v>
      </c>
      <c r="F919" t="s">
        <v>28669</v>
      </c>
      <c r="G919" t="s">
        <v>28675</v>
      </c>
      <c r="H919" t="s">
        <v>28686</v>
      </c>
      <c r="I919" t="s">
        <v>28689</v>
      </c>
      <c r="J919" t="s">
        <v>29003</v>
      </c>
      <c r="K919" t="s">
        <v>37206</v>
      </c>
      <c r="M919" t="s">
        <v>37876</v>
      </c>
      <c r="N919" t="s">
        <v>41249</v>
      </c>
      <c r="O919" t="s">
        <v>41250</v>
      </c>
      <c r="P919">
        <v>0</v>
      </c>
      <c r="Q919">
        <v>0</v>
      </c>
      <c r="R919" t="s">
        <v>41251</v>
      </c>
      <c r="S919" t="s">
        <v>41369</v>
      </c>
      <c r="T919" t="s">
        <v>42791</v>
      </c>
      <c r="U919" t="s">
        <v>44008</v>
      </c>
      <c r="V919" t="s">
        <v>54352</v>
      </c>
      <c r="W919" t="s">
        <v>37876</v>
      </c>
      <c r="X919" t="s">
        <v>41252</v>
      </c>
    </row>
    <row r="920" spans="1:24">
      <c r="A920">
        <f>HYPERLINK("https://www.philgeps.gov.ph/GEPSNONPILOT/Tender/SplashBidNoticeAbstractUI.aspx?menuIndex=3&amp;refID=7077082&amp;Result=3","7077082")</f>
        <v>0</v>
      </c>
      <c r="B920" t="s">
        <v>169</v>
      </c>
      <c r="C920" t="s">
        <v>4259</v>
      </c>
      <c r="D920" t="s">
        <v>16611</v>
      </c>
      <c r="E920" t="s">
        <v>17582</v>
      </c>
      <c r="F920" t="s">
        <v>28669</v>
      </c>
      <c r="G920" t="s">
        <v>28675</v>
      </c>
      <c r="H920" t="s">
        <v>28686</v>
      </c>
      <c r="I920" t="s">
        <v>28689</v>
      </c>
      <c r="J920" t="s">
        <v>28881</v>
      </c>
      <c r="K920" t="s">
        <v>37265</v>
      </c>
      <c r="M920" t="s">
        <v>37936</v>
      </c>
      <c r="N920" t="s">
        <v>41249</v>
      </c>
      <c r="O920" t="s">
        <v>41250</v>
      </c>
      <c r="P920">
        <v>0</v>
      </c>
      <c r="Q920">
        <v>1</v>
      </c>
      <c r="R920" t="s">
        <v>41251</v>
      </c>
      <c r="S920" t="s">
        <v>41369</v>
      </c>
      <c r="T920" t="s">
        <v>42688</v>
      </c>
      <c r="U920" t="s">
        <v>44009</v>
      </c>
      <c r="W920" t="s">
        <v>37936</v>
      </c>
      <c r="X920" t="s">
        <v>41252</v>
      </c>
    </row>
    <row r="921" spans="1:24">
      <c r="A921">
        <f>HYPERLINK("https://www.philgeps.gov.ph/GEPSNONPILOT/Tender/SplashBidNoticeAbstractUI.aspx?menuIndex=3&amp;refID=7077108&amp;Result=3","7077108")</f>
        <v>0</v>
      </c>
      <c r="B921" t="s">
        <v>434</v>
      </c>
      <c r="C921" t="s">
        <v>4260</v>
      </c>
      <c r="D921" t="s">
        <v>16678</v>
      </c>
      <c r="E921" t="s">
        <v>17583</v>
      </c>
      <c r="F921" t="s">
        <v>28669</v>
      </c>
      <c r="G921" t="s">
        <v>28675</v>
      </c>
      <c r="H921" t="s">
        <v>9998</v>
      </c>
      <c r="I921" t="s">
        <v>7352</v>
      </c>
      <c r="J921" t="s">
        <v>29509</v>
      </c>
      <c r="K921" t="s">
        <v>37209</v>
      </c>
      <c r="M921" t="s">
        <v>37919</v>
      </c>
      <c r="N921" t="s">
        <v>41249</v>
      </c>
      <c r="O921" t="s">
        <v>41250</v>
      </c>
      <c r="P921">
        <v>0</v>
      </c>
      <c r="Q921">
        <v>0</v>
      </c>
      <c r="R921" t="s">
        <v>41251</v>
      </c>
      <c r="S921" t="s">
        <v>41369</v>
      </c>
      <c r="T921" t="s">
        <v>42805</v>
      </c>
      <c r="U921" t="s">
        <v>44010</v>
      </c>
      <c r="W921" t="s">
        <v>37919</v>
      </c>
      <c r="X921" t="s">
        <v>41252</v>
      </c>
    </row>
    <row r="922" spans="1:24">
      <c r="A922">
        <f>HYPERLINK("https://www.philgeps.gov.ph/GEPSNONPILOT/Tender/SplashBidNoticeAbstractUI.aspx?menuIndex=3&amp;refID=7077119&amp;Result=3","7077119")</f>
        <v>0</v>
      </c>
      <c r="B922" t="s">
        <v>283</v>
      </c>
      <c r="C922" t="s">
        <v>4261</v>
      </c>
      <c r="E922" t="s">
        <v>17584</v>
      </c>
      <c r="F922" t="s">
        <v>28669</v>
      </c>
      <c r="G922" t="s">
        <v>28676</v>
      </c>
      <c r="H922" t="s">
        <v>9998</v>
      </c>
      <c r="I922" t="s">
        <v>28717</v>
      </c>
      <c r="J922" t="s">
        <v>29510</v>
      </c>
      <c r="K922" t="s">
        <v>37210</v>
      </c>
      <c r="M922" t="s">
        <v>37761</v>
      </c>
      <c r="N922" t="s">
        <v>41249</v>
      </c>
      <c r="O922" t="s">
        <v>41250</v>
      </c>
      <c r="P922">
        <v>0</v>
      </c>
      <c r="Q922">
        <v>9</v>
      </c>
      <c r="R922" t="s">
        <v>41251</v>
      </c>
      <c r="S922" t="s">
        <v>41369</v>
      </c>
      <c r="T922" t="s">
        <v>42776</v>
      </c>
      <c r="U922" t="s">
        <v>44011</v>
      </c>
      <c r="W922" t="s">
        <v>37761</v>
      </c>
      <c r="X922" t="s">
        <v>41252</v>
      </c>
    </row>
    <row r="923" spans="1:24">
      <c r="A923">
        <f>HYPERLINK("https://www.philgeps.gov.ph/GEPSNONPILOT/Tender/SplashBidNoticeAbstractUI.aspx?menuIndex=3&amp;refID=7077123&amp;Result=3","7077123")</f>
        <v>0</v>
      </c>
      <c r="B923" t="s">
        <v>481</v>
      </c>
      <c r="C923" t="s">
        <v>4262</v>
      </c>
      <c r="D923" t="s">
        <v>16611</v>
      </c>
      <c r="E923" t="s">
        <v>17585</v>
      </c>
      <c r="F923" t="s">
        <v>28669</v>
      </c>
      <c r="G923" t="s">
        <v>28677</v>
      </c>
      <c r="H923" t="s">
        <v>9998</v>
      </c>
      <c r="I923" t="s">
        <v>28709</v>
      </c>
      <c r="J923" t="s">
        <v>29511</v>
      </c>
      <c r="K923" t="s">
        <v>37266</v>
      </c>
      <c r="M923" t="s">
        <v>37969</v>
      </c>
      <c r="N923" t="s">
        <v>41249</v>
      </c>
      <c r="O923" t="s">
        <v>41250</v>
      </c>
      <c r="P923">
        <v>0</v>
      </c>
      <c r="Q923">
        <v>1</v>
      </c>
      <c r="R923" t="s">
        <v>41251</v>
      </c>
      <c r="S923" t="s">
        <v>41369</v>
      </c>
      <c r="T923" t="s">
        <v>42748</v>
      </c>
      <c r="U923" t="s">
        <v>44012</v>
      </c>
      <c r="W923" t="s">
        <v>37969</v>
      </c>
      <c r="X923" t="s">
        <v>41252</v>
      </c>
    </row>
    <row r="924" spans="1:24">
      <c r="A924">
        <f>HYPERLINK("https://www.philgeps.gov.ph/GEPSNONPILOT/Tender/SplashBidNoticeAbstractUI.aspx?menuIndex=3&amp;refID=7077114&amp;Result=3","7077114")</f>
        <v>0</v>
      </c>
      <c r="B924" t="s">
        <v>465</v>
      </c>
      <c r="C924" t="s">
        <v>4247</v>
      </c>
      <c r="D924" t="s">
        <v>16660</v>
      </c>
      <c r="E924" t="s">
        <v>17586</v>
      </c>
      <c r="F924" t="s">
        <v>28669</v>
      </c>
      <c r="G924" t="s">
        <v>28677</v>
      </c>
      <c r="H924" t="s">
        <v>9998</v>
      </c>
      <c r="I924" t="s">
        <v>28688</v>
      </c>
      <c r="J924" t="s">
        <v>29503</v>
      </c>
      <c r="K924" t="s">
        <v>37210</v>
      </c>
      <c r="M924" t="s">
        <v>37953</v>
      </c>
      <c r="N924" t="s">
        <v>41249</v>
      </c>
      <c r="O924" t="s">
        <v>41250</v>
      </c>
      <c r="P924">
        <v>0</v>
      </c>
      <c r="Q924">
        <v>0</v>
      </c>
      <c r="R924" t="s">
        <v>41251</v>
      </c>
      <c r="S924" t="s">
        <v>41369</v>
      </c>
      <c r="T924" t="s">
        <v>42758</v>
      </c>
      <c r="U924" t="s">
        <v>43998</v>
      </c>
      <c r="W924" t="s">
        <v>37953</v>
      </c>
      <c r="X924" t="s">
        <v>41252</v>
      </c>
    </row>
    <row r="925" spans="1:24">
      <c r="A925">
        <f>HYPERLINK("https://www.philgeps.gov.ph/GEPSNONPILOT/Tender/SplashBidNoticeAbstractUI.aspx?menuIndex=3&amp;refID=7077113&amp;Result=3","7077113")</f>
        <v>0</v>
      </c>
      <c r="B925" t="s">
        <v>482</v>
      </c>
      <c r="C925" t="s">
        <v>4263</v>
      </c>
      <c r="D925" t="s">
        <v>16654</v>
      </c>
      <c r="E925" t="s">
        <v>17587</v>
      </c>
      <c r="F925" t="s">
        <v>28669</v>
      </c>
      <c r="G925" t="s">
        <v>28675</v>
      </c>
      <c r="H925" t="s">
        <v>9998</v>
      </c>
      <c r="I925" t="s">
        <v>28753</v>
      </c>
      <c r="J925" t="s">
        <v>29512</v>
      </c>
      <c r="K925" t="s">
        <v>37204</v>
      </c>
      <c r="M925" t="s">
        <v>37970</v>
      </c>
      <c r="N925" t="s">
        <v>41249</v>
      </c>
      <c r="O925" t="s">
        <v>41250</v>
      </c>
      <c r="P925">
        <v>0</v>
      </c>
      <c r="Q925">
        <v>1</v>
      </c>
      <c r="R925" t="s">
        <v>41251</v>
      </c>
      <c r="S925" t="s">
        <v>41369</v>
      </c>
      <c r="T925" t="s">
        <v>42670</v>
      </c>
      <c r="U925" t="s">
        <v>44013</v>
      </c>
      <c r="W925" t="s">
        <v>37970</v>
      </c>
      <c r="X925" t="s">
        <v>41252</v>
      </c>
    </row>
    <row r="926" spans="1:24">
      <c r="A926">
        <f>HYPERLINK("https://www.philgeps.gov.ph/GEPSNONPILOT/Tender/SplashBidNoticeAbstractUI.aspx?menuIndex=3&amp;refID=7077121&amp;Result=3","7077121")</f>
        <v>0</v>
      </c>
      <c r="B926" t="s">
        <v>391</v>
      </c>
      <c r="C926" t="s">
        <v>4264</v>
      </c>
      <c r="D926" t="s">
        <v>16673</v>
      </c>
      <c r="E926" t="s">
        <v>17588</v>
      </c>
      <c r="F926" t="s">
        <v>28669</v>
      </c>
      <c r="G926" t="s">
        <v>28675</v>
      </c>
      <c r="H926" t="s">
        <v>9998</v>
      </c>
      <c r="I926" t="s">
        <v>28687</v>
      </c>
      <c r="J926" t="s">
        <v>28850</v>
      </c>
      <c r="K926" t="s">
        <v>37206</v>
      </c>
      <c r="M926" t="s">
        <v>37875</v>
      </c>
      <c r="N926" t="s">
        <v>41249</v>
      </c>
      <c r="O926" t="s">
        <v>41250</v>
      </c>
      <c r="P926">
        <v>0</v>
      </c>
      <c r="Q926">
        <v>6</v>
      </c>
      <c r="R926" t="s">
        <v>41251</v>
      </c>
      <c r="S926" t="s">
        <v>41369</v>
      </c>
      <c r="T926" t="s">
        <v>42709</v>
      </c>
      <c r="U926" t="s">
        <v>44014</v>
      </c>
      <c r="W926" t="s">
        <v>37875</v>
      </c>
      <c r="X926" t="s">
        <v>41252</v>
      </c>
    </row>
    <row r="927" spans="1:24">
      <c r="A927">
        <f>HYPERLINK("https://www.philgeps.gov.ph/GEPSNONPILOT/Tender/SplashBidNoticeAbstractUI.aspx?menuIndex=3&amp;refID=7077111&amp;Result=3","7077111")</f>
        <v>0</v>
      </c>
      <c r="B927" t="s">
        <v>483</v>
      </c>
      <c r="C927" t="s">
        <v>4265</v>
      </c>
      <c r="D927" t="s">
        <v>16676</v>
      </c>
      <c r="E927" t="s">
        <v>17589</v>
      </c>
      <c r="F927" t="s">
        <v>28669</v>
      </c>
      <c r="G927" t="s">
        <v>28678</v>
      </c>
      <c r="H927" t="s">
        <v>9998</v>
      </c>
      <c r="I927" t="s">
        <v>5213</v>
      </c>
      <c r="J927" t="s">
        <v>29513</v>
      </c>
      <c r="K927" t="s">
        <v>37206</v>
      </c>
      <c r="M927" t="s">
        <v>37971</v>
      </c>
      <c r="N927" t="s">
        <v>41249</v>
      </c>
      <c r="O927" t="s">
        <v>41250</v>
      </c>
      <c r="P927">
        <v>0</v>
      </c>
      <c r="Q927">
        <v>0</v>
      </c>
      <c r="R927" t="s">
        <v>41251</v>
      </c>
      <c r="S927" t="s">
        <v>41369</v>
      </c>
      <c r="T927" t="s">
        <v>42754</v>
      </c>
      <c r="U927" t="s">
        <v>44015</v>
      </c>
      <c r="W927" t="s">
        <v>37971</v>
      </c>
      <c r="X927" t="s">
        <v>41252</v>
      </c>
    </row>
    <row r="928" spans="1:24">
      <c r="A928">
        <f>HYPERLINK("https://www.philgeps.gov.ph/GEPSNONPILOT/Tender/SplashBidNoticeAbstractUI.aspx?menuIndex=3&amp;refID=7077110&amp;Result=3","7077110")</f>
        <v>0</v>
      </c>
      <c r="B928" t="s">
        <v>454</v>
      </c>
      <c r="C928" t="s">
        <v>4266</v>
      </c>
      <c r="D928" t="s">
        <v>16661</v>
      </c>
      <c r="E928" t="s">
        <v>17590</v>
      </c>
      <c r="F928" t="s">
        <v>28669</v>
      </c>
      <c r="G928" t="s">
        <v>28676</v>
      </c>
      <c r="H928" t="s">
        <v>9998</v>
      </c>
      <c r="I928" t="s">
        <v>6606</v>
      </c>
      <c r="J928" t="s">
        <v>29514</v>
      </c>
      <c r="K928" t="s">
        <v>37209</v>
      </c>
      <c r="M928" t="s">
        <v>37942</v>
      </c>
      <c r="N928" t="s">
        <v>41249</v>
      </c>
      <c r="O928" t="s">
        <v>41250</v>
      </c>
      <c r="P928">
        <v>0</v>
      </c>
      <c r="Q928">
        <v>0</v>
      </c>
      <c r="R928" t="s">
        <v>41251</v>
      </c>
      <c r="S928" t="s">
        <v>41369</v>
      </c>
      <c r="T928" t="s">
        <v>42799</v>
      </c>
      <c r="U928" t="s">
        <v>44016</v>
      </c>
      <c r="W928" t="s">
        <v>37942</v>
      </c>
      <c r="X928" t="s">
        <v>41252</v>
      </c>
    </row>
    <row r="929" spans="1:24">
      <c r="A929">
        <f>HYPERLINK("https://www.philgeps.gov.ph/GEPSNONPILOT/Tender/SplashBidNoticeAbstractUI.aspx?menuIndex=3&amp;refID=7077107&amp;Result=3","7077107")</f>
        <v>0</v>
      </c>
      <c r="B929" t="s">
        <v>484</v>
      </c>
      <c r="C929" t="s">
        <v>4267</v>
      </c>
      <c r="E929" t="s">
        <v>17591</v>
      </c>
      <c r="F929" t="s">
        <v>28669</v>
      </c>
      <c r="G929" t="s">
        <v>28675</v>
      </c>
      <c r="H929" t="s">
        <v>28686</v>
      </c>
      <c r="I929" t="s">
        <v>28689</v>
      </c>
      <c r="J929" t="s">
        <v>29515</v>
      </c>
      <c r="K929" t="s">
        <v>37209</v>
      </c>
      <c r="M929" t="s">
        <v>37972</v>
      </c>
      <c r="N929" t="s">
        <v>41249</v>
      </c>
      <c r="O929" t="s">
        <v>41250</v>
      </c>
      <c r="P929">
        <v>0</v>
      </c>
      <c r="Q929">
        <v>2</v>
      </c>
      <c r="R929" t="s">
        <v>41251</v>
      </c>
      <c r="S929" t="s">
        <v>41369</v>
      </c>
      <c r="T929" t="s">
        <v>42689</v>
      </c>
      <c r="U929" t="s">
        <v>44017</v>
      </c>
      <c r="V929" t="s">
        <v>54353</v>
      </c>
      <c r="W929" t="s">
        <v>37972</v>
      </c>
      <c r="X929" t="s">
        <v>41252</v>
      </c>
    </row>
    <row r="930" spans="1:24">
      <c r="A930">
        <f>HYPERLINK("https://www.philgeps.gov.ph/GEPSNONPILOT/Tender/SplashBidNoticeAbstractUI.aspx?menuIndex=3&amp;refID=7077106&amp;Result=3","7077106")</f>
        <v>0</v>
      </c>
      <c r="B930" t="s">
        <v>169</v>
      </c>
      <c r="C930" t="s">
        <v>4268</v>
      </c>
      <c r="D930" t="s">
        <v>16611</v>
      </c>
      <c r="E930" t="s">
        <v>17592</v>
      </c>
      <c r="F930" t="s">
        <v>28669</v>
      </c>
      <c r="G930" t="s">
        <v>28675</v>
      </c>
      <c r="H930" t="s">
        <v>28686</v>
      </c>
      <c r="I930" t="s">
        <v>28689</v>
      </c>
      <c r="J930" t="s">
        <v>28924</v>
      </c>
      <c r="K930" t="s">
        <v>37267</v>
      </c>
      <c r="M930" t="s">
        <v>37936</v>
      </c>
      <c r="N930" t="s">
        <v>41249</v>
      </c>
      <c r="O930" t="s">
        <v>41250</v>
      </c>
      <c r="P930">
        <v>0</v>
      </c>
      <c r="Q930">
        <v>1</v>
      </c>
      <c r="R930" t="s">
        <v>41251</v>
      </c>
      <c r="S930" t="s">
        <v>41369</v>
      </c>
      <c r="T930" t="s">
        <v>42688</v>
      </c>
      <c r="U930" t="s">
        <v>44018</v>
      </c>
      <c r="W930" t="s">
        <v>37936</v>
      </c>
      <c r="X930" t="s">
        <v>41252</v>
      </c>
    </row>
    <row r="931" spans="1:24">
      <c r="A931">
        <f>HYPERLINK("https://www.philgeps.gov.ph/GEPSNONPILOT/Tender/SplashBidNoticeAbstractUI.aspx?menuIndex=3&amp;refID=7077116&amp;Result=3","7077116")</f>
        <v>0</v>
      </c>
      <c r="B931" t="s">
        <v>485</v>
      </c>
      <c r="C931" t="s">
        <v>4269</v>
      </c>
      <c r="D931" t="s">
        <v>16677</v>
      </c>
      <c r="E931" t="s">
        <v>17593</v>
      </c>
      <c r="F931" t="s">
        <v>28669</v>
      </c>
      <c r="G931" t="s">
        <v>28677</v>
      </c>
      <c r="H931" t="s">
        <v>28684</v>
      </c>
      <c r="I931" t="s">
        <v>7352</v>
      </c>
      <c r="J931" t="s">
        <v>29516</v>
      </c>
      <c r="K931" t="s">
        <v>37204</v>
      </c>
      <c r="M931" t="s">
        <v>37973</v>
      </c>
      <c r="N931" t="s">
        <v>41249</v>
      </c>
      <c r="O931" t="s">
        <v>41250</v>
      </c>
      <c r="P931">
        <v>0</v>
      </c>
      <c r="Q931">
        <v>0</v>
      </c>
      <c r="R931" t="s">
        <v>41251</v>
      </c>
      <c r="S931" t="s">
        <v>41369</v>
      </c>
      <c r="T931" t="s">
        <v>42673</v>
      </c>
      <c r="U931" t="s">
        <v>44019</v>
      </c>
      <c r="W931" t="s">
        <v>37973</v>
      </c>
      <c r="X931" t="s">
        <v>41252</v>
      </c>
    </row>
    <row r="932" spans="1:24">
      <c r="A932">
        <f>HYPERLINK("https://www.philgeps.gov.ph/GEPSNONPILOT/Tender/SplashBidNoticeAbstractUI.aspx?menuIndex=3&amp;refID=7077118&amp;Result=3","7077118")</f>
        <v>0</v>
      </c>
      <c r="B932" t="s">
        <v>486</v>
      </c>
      <c r="C932" t="s">
        <v>4270</v>
      </c>
      <c r="D932" t="s">
        <v>16612</v>
      </c>
      <c r="E932" t="s">
        <v>17594</v>
      </c>
      <c r="F932" t="s">
        <v>28669</v>
      </c>
      <c r="G932" t="s">
        <v>28676</v>
      </c>
      <c r="H932" t="s">
        <v>9998</v>
      </c>
      <c r="I932" t="s">
        <v>11593</v>
      </c>
      <c r="J932" t="s">
        <v>29517</v>
      </c>
      <c r="K932" t="s">
        <v>37205</v>
      </c>
      <c r="M932" t="s">
        <v>37974</v>
      </c>
      <c r="N932" t="s">
        <v>41249</v>
      </c>
      <c r="O932" t="s">
        <v>41250</v>
      </c>
      <c r="P932">
        <v>0</v>
      </c>
      <c r="Q932">
        <v>3</v>
      </c>
      <c r="R932" t="s">
        <v>41251</v>
      </c>
      <c r="S932" t="s">
        <v>41369</v>
      </c>
      <c r="T932" t="s">
        <v>42757</v>
      </c>
      <c r="U932" t="s">
        <v>44020</v>
      </c>
      <c r="W932" t="s">
        <v>37974</v>
      </c>
      <c r="X932" t="s">
        <v>41252</v>
      </c>
    </row>
    <row r="933" spans="1:24">
      <c r="A933">
        <f>HYPERLINK("https://www.philgeps.gov.ph/GEPSNONPILOT/Tender/SplashBidNoticeAbstractUI.aspx?menuIndex=3&amp;refID=7077080&amp;Result=3","7077080")</f>
        <v>0</v>
      </c>
      <c r="B933" t="s">
        <v>394</v>
      </c>
      <c r="C933" t="s">
        <v>4271</v>
      </c>
      <c r="D933" t="s">
        <v>16675</v>
      </c>
      <c r="E933" t="s">
        <v>17595</v>
      </c>
      <c r="F933" t="s">
        <v>28669</v>
      </c>
      <c r="G933" t="s">
        <v>28676</v>
      </c>
      <c r="H933" t="s">
        <v>9998</v>
      </c>
      <c r="I933" t="s">
        <v>28693</v>
      </c>
      <c r="J933" t="s">
        <v>29518</v>
      </c>
      <c r="K933" t="s">
        <v>37210</v>
      </c>
      <c r="L933" t="s">
        <v>394</v>
      </c>
      <c r="M933" t="s">
        <v>37878</v>
      </c>
      <c r="N933" t="s">
        <v>41249</v>
      </c>
      <c r="O933" t="s">
        <v>41250</v>
      </c>
      <c r="P933">
        <v>0</v>
      </c>
      <c r="Q933">
        <v>10</v>
      </c>
      <c r="R933" t="s">
        <v>41251</v>
      </c>
      <c r="S933" t="s">
        <v>41369</v>
      </c>
      <c r="T933" t="s">
        <v>42717</v>
      </c>
      <c r="U933" t="s">
        <v>43891</v>
      </c>
      <c r="V933" t="s">
        <v>54338</v>
      </c>
      <c r="W933" t="s">
        <v>37878</v>
      </c>
      <c r="X933" t="s">
        <v>41252</v>
      </c>
    </row>
    <row r="934" spans="1:24">
      <c r="A934">
        <f>HYPERLINK("https://www.philgeps.gov.ph/GEPSNONPILOT/Tender/SplashBidNoticeAbstractUI.aspx?menuIndex=3&amp;refID=7077078&amp;Result=3","7077078")</f>
        <v>0</v>
      </c>
      <c r="B934" t="s">
        <v>465</v>
      </c>
      <c r="C934" t="s">
        <v>4247</v>
      </c>
      <c r="D934" t="s">
        <v>16660</v>
      </c>
      <c r="E934" t="s">
        <v>17596</v>
      </c>
      <c r="F934" t="s">
        <v>28669</v>
      </c>
      <c r="G934" t="s">
        <v>28677</v>
      </c>
      <c r="H934" t="s">
        <v>9998</v>
      </c>
      <c r="I934" t="s">
        <v>6128</v>
      </c>
      <c r="J934" t="s">
        <v>29263</v>
      </c>
      <c r="K934" t="s">
        <v>37210</v>
      </c>
      <c r="M934" t="s">
        <v>37953</v>
      </c>
      <c r="N934" t="s">
        <v>41249</v>
      </c>
      <c r="O934" t="s">
        <v>41250</v>
      </c>
      <c r="P934">
        <v>0</v>
      </c>
      <c r="Q934">
        <v>0</v>
      </c>
      <c r="R934" t="s">
        <v>41251</v>
      </c>
      <c r="S934" t="s">
        <v>41369</v>
      </c>
      <c r="T934" t="s">
        <v>42748</v>
      </c>
      <c r="U934" t="s">
        <v>43998</v>
      </c>
      <c r="W934" t="s">
        <v>37953</v>
      </c>
      <c r="X934" t="s">
        <v>41252</v>
      </c>
    </row>
    <row r="935" spans="1:24">
      <c r="A935">
        <f>HYPERLINK("https://www.philgeps.gov.ph/GEPSNONPILOT/Tender/SplashBidNoticeAbstractUI.aspx?menuIndex=3&amp;refID=7077077&amp;Result=3","7077077")</f>
        <v>0</v>
      </c>
      <c r="B935" t="s">
        <v>474</v>
      </c>
      <c r="C935" t="s">
        <v>4272</v>
      </c>
      <c r="D935" t="s">
        <v>16668</v>
      </c>
      <c r="E935" t="s">
        <v>17597</v>
      </c>
      <c r="F935" t="s">
        <v>28669</v>
      </c>
      <c r="G935" t="s">
        <v>28676</v>
      </c>
      <c r="H935" t="s">
        <v>9998</v>
      </c>
      <c r="I935" t="s">
        <v>5213</v>
      </c>
      <c r="J935" t="s">
        <v>29519</v>
      </c>
      <c r="K935" t="s">
        <v>37209</v>
      </c>
      <c r="L935" t="s">
        <v>474</v>
      </c>
      <c r="M935" t="s">
        <v>37962</v>
      </c>
      <c r="N935" t="s">
        <v>41249</v>
      </c>
      <c r="O935" t="s">
        <v>41250</v>
      </c>
      <c r="P935">
        <v>0</v>
      </c>
      <c r="Q935">
        <v>4</v>
      </c>
      <c r="R935" t="s">
        <v>41251</v>
      </c>
      <c r="S935" t="s">
        <v>41369</v>
      </c>
      <c r="T935" t="s">
        <v>42703</v>
      </c>
      <c r="U935" t="s">
        <v>43997</v>
      </c>
      <c r="W935" t="s">
        <v>37962</v>
      </c>
      <c r="X935" t="s">
        <v>41252</v>
      </c>
    </row>
    <row r="936" spans="1:24">
      <c r="A936">
        <f>HYPERLINK("https://www.philgeps.gov.ph/GEPSNONPILOT/Tender/SplashBidNoticeAbstractUI.aspx?menuIndex=3&amp;refID=7076744&amp;Result=3","7076744")</f>
        <v>0</v>
      </c>
      <c r="B936" t="s">
        <v>210</v>
      </c>
      <c r="C936" t="s">
        <v>4273</v>
      </c>
      <c r="D936" t="s">
        <v>16633</v>
      </c>
      <c r="E936" t="s">
        <v>17598</v>
      </c>
      <c r="F936" t="s">
        <v>28669</v>
      </c>
      <c r="G936" t="s">
        <v>28675</v>
      </c>
      <c r="H936" t="s">
        <v>28685</v>
      </c>
      <c r="I936" t="s">
        <v>28685</v>
      </c>
      <c r="J936" t="s">
        <v>29520</v>
      </c>
      <c r="K936" t="s">
        <v>37258</v>
      </c>
      <c r="M936" t="s">
        <v>37688</v>
      </c>
      <c r="N936" t="s">
        <v>41249</v>
      </c>
      <c r="O936" t="s">
        <v>41250</v>
      </c>
      <c r="P936">
        <v>0</v>
      </c>
      <c r="Q936">
        <v>2</v>
      </c>
      <c r="R936" t="s">
        <v>41251</v>
      </c>
      <c r="S936" t="s">
        <v>41369</v>
      </c>
      <c r="T936" t="s">
        <v>42690</v>
      </c>
      <c r="U936" t="s">
        <v>44021</v>
      </c>
      <c r="W936" t="s">
        <v>37688</v>
      </c>
      <c r="X936" t="s">
        <v>41252</v>
      </c>
    </row>
    <row r="937" spans="1:24">
      <c r="A937">
        <f>HYPERLINK("https://www.philgeps.gov.ph/GEPSNONPILOT/Tender/SplashBidNoticeAbstractUI.aspx?menuIndex=3&amp;refID=7076743&amp;Result=3","7076743")</f>
        <v>0</v>
      </c>
      <c r="B937" t="s">
        <v>353</v>
      </c>
      <c r="C937" t="s">
        <v>4274</v>
      </c>
      <c r="D937" t="s">
        <v>16677</v>
      </c>
      <c r="E937" t="s">
        <v>17599</v>
      </c>
      <c r="F937" t="s">
        <v>28669</v>
      </c>
      <c r="G937" t="s">
        <v>28675</v>
      </c>
      <c r="H937" t="s">
        <v>9998</v>
      </c>
      <c r="I937" t="s">
        <v>6128</v>
      </c>
      <c r="J937" t="s">
        <v>29521</v>
      </c>
      <c r="K937" t="s">
        <v>37205</v>
      </c>
      <c r="M937" t="s">
        <v>37834</v>
      </c>
      <c r="N937" t="s">
        <v>41249</v>
      </c>
      <c r="O937" t="s">
        <v>41250</v>
      </c>
      <c r="P937">
        <v>0</v>
      </c>
      <c r="Q937">
        <v>2</v>
      </c>
      <c r="R937" t="s">
        <v>41251</v>
      </c>
      <c r="S937" t="s">
        <v>41369</v>
      </c>
      <c r="T937" t="s">
        <v>42778</v>
      </c>
      <c r="U937" t="s">
        <v>44022</v>
      </c>
      <c r="W937" t="s">
        <v>37834</v>
      </c>
      <c r="X937" t="s">
        <v>41252</v>
      </c>
    </row>
    <row r="938" spans="1:24">
      <c r="A938">
        <f>HYPERLINK("https://www.philgeps.gov.ph/GEPSNONPILOT/Tender/SplashBidNoticeAbstractUI.aspx?menuIndex=3&amp;refID=7077134&amp;Result=3","7077134")</f>
        <v>0</v>
      </c>
      <c r="B938" t="s">
        <v>487</v>
      </c>
      <c r="C938" t="s">
        <v>4275</v>
      </c>
      <c r="D938" t="s">
        <v>16630</v>
      </c>
      <c r="E938" t="s">
        <v>17600</v>
      </c>
      <c r="F938" t="s">
        <v>28669</v>
      </c>
      <c r="G938" t="s">
        <v>28676</v>
      </c>
      <c r="H938" t="s">
        <v>9998</v>
      </c>
      <c r="I938" t="s">
        <v>28708</v>
      </c>
      <c r="J938" t="s">
        <v>29522</v>
      </c>
      <c r="K938" t="s">
        <v>37206</v>
      </c>
      <c r="M938" t="s">
        <v>37975</v>
      </c>
      <c r="N938" t="s">
        <v>41249</v>
      </c>
      <c r="O938" t="s">
        <v>41250</v>
      </c>
      <c r="P938">
        <v>0</v>
      </c>
      <c r="Q938">
        <v>3</v>
      </c>
      <c r="R938" t="s">
        <v>41251</v>
      </c>
      <c r="S938" t="s">
        <v>41369</v>
      </c>
      <c r="T938" t="s">
        <v>42757</v>
      </c>
      <c r="U938" t="s">
        <v>44023</v>
      </c>
      <c r="W938" t="s">
        <v>37975</v>
      </c>
      <c r="X938" t="s">
        <v>41252</v>
      </c>
    </row>
    <row r="939" spans="1:24">
      <c r="A939">
        <f>HYPERLINK("https://www.philgeps.gov.ph/GEPSNONPILOT/Tender/SplashBidNoticeAbstractUI.aspx?menuIndex=3&amp;refID=7077157&amp;Result=3","7077157")</f>
        <v>0</v>
      </c>
      <c r="B939" t="s">
        <v>488</v>
      </c>
      <c r="C939" t="s">
        <v>4276</v>
      </c>
      <c r="D939" t="s">
        <v>16608</v>
      </c>
      <c r="E939" t="s">
        <v>17601</v>
      </c>
      <c r="F939" t="s">
        <v>28669</v>
      </c>
      <c r="G939" t="s">
        <v>28677</v>
      </c>
      <c r="H939" t="s">
        <v>9998</v>
      </c>
      <c r="I939" t="s">
        <v>3679</v>
      </c>
      <c r="J939" t="s">
        <v>29523</v>
      </c>
      <c r="K939" t="s">
        <v>37243</v>
      </c>
      <c r="M939" t="s">
        <v>37976</v>
      </c>
      <c r="N939" t="s">
        <v>41249</v>
      </c>
      <c r="O939" t="s">
        <v>41250</v>
      </c>
      <c r="P939">
        <v>0</v>
      </c>
      <c r="Q939">
        <v>1</v>
      </c>
      <c r="R939" t="s">
        <v>41251</v>
      </c>
      <c r="S939" t="s">
        <v>41369</v>
      </c>
      <c r="T939" t="s">
        <v>42752</v>
      </c>
      <c r="U939" t="s">
        <v>44024</v>
      </c>
      <c r="W939" t="s">
        <v>37976</v>
      </c>
      <c r="X939" t="s">
        <v>41252</v>
      </c>
    </row>
    <row r="940" spans="1:24">
      <c r="A940">
        <f>HYPERLINK("https://www.philgeps.gov.ph/GEPSNONPILOT/Tender/SplashBidNoticeAbstractUI.aspx?menuIndex=3&amp;refID=7077109&amp;Result=3","7077109")</f>
        <v>0</v>
      </c>
      <c r="B940" t="s">
        <v>489</v>
      </c>
      <c r="C940" t="s">
        <v>4277</v>
      </c>
      <c r="D940" t="s">
        <v>16608</v>
      </c>
      <c r="E940" t="s">
        <v>17602</v>
      </c>
      <c r="F940" t="s">
        <v>28669</v>
      </c>
      <c r="G940" t="s">
        <v>28676</v>
      </c>
      <c r="H940" t="s">
        <v>9998</v>
      </c>
      <c r="I940" t="s">
        <v>28728</v>
      </c>
      <c r="J940" t="s">
        <v>29134</v>
      </c>
      <c r="K940" t="s">
        <v>37209</v>
      </c>
      <c r="M940" t="s">
        <v>37977</v>
      </c>
      <c r="N940" t="s">
        <v>41249</v>
      </c>
      <c r="O940" t="s">
        <v>41250</v>
      </c>
      <c r="P940">
        <v>0</v>
      </c>
      <c r="Q940">
        <v>0</v>
      </c>
      <c r="R940" t="s">
        <v>41251</v>
      </c>
      <c r="S940" t="s">
        <v>41369</v>
      </c>
      <c r="T940" t="s">
        <v>42675</v>
      </c>
      <c r="U940" t="s">
        <v>44025</v>
      </c>
      <c r="W940" t="s">
        <v>37977</v>
      </c>
      <c r="X940" t="s">
        <v>41252</v>
      </c>
    </row>
    <row r="941" spans="1:24">
      <c r="A941">
        <f>HYPERLINK("https://www.philgeps.gov.ph/GEPSNONPILOT/Tender/SplashBidNoticeAbstractUI.aspx?menuIndex=3&amp;refID=7077154&amp;Result=3","7077154")</f>
        <v>0</v>
      </c>
      <c r="B941" t="s">
        <v>356</v>
      </c>
      <c r="C941" t="s">
        <v>4278</v>
      </c>
      <c r="D941" t="s">
        <v>16639</v>
      </c>
      <c r="E941" t="s">
        <v>17603</v>
      </c>
      <c r="F941" t="s">
        <v>28669</v>
      </c>
      <c r="G941" t="s">
        <v>28676</v>
      </c>
      <c r="H941" t="s">
        <v>9998</v>
      </c>
      <c r="I941" t="s">
        <v>28762</v>
      </c>
      <c r="J941" t="s">
        <v>29524</v>
      </c>
      <c r="K941" t="s">
        <v>37210</v>
      </c>
      <c r="M941" t="s">
        <v>37837</v>
      </c>
      <c r="N941" t="s">
        <v>41249</v>
      </c>
      <c r="O941" t="s">
        <v>41250</v>
      </c>
      <c r="P941">
        <v>0</v>
      </c>
      <c r="Q941">
        <v>5</v>
      </c>
      <c r="R941" t="s">
        <v>41251</v>
      </c>
      <c r="S941" t="s">
        <v>41369</v>
      </c>
      <c r="T941" t="s">
        <v>42694</v>
      </c>
      <c r="U941" t="s">
        <v>43777</v>
      </c>
      <c r="V941" t="s">
        <v>54334</v>
      </c>
      <c r="W941" t="s">
        <v>37837</v>
      </c>
      <c r="X941" t="s">
        <v>41252</v>
      </c>
    </row>
    <row r="942" spans="1:24">
      <c r="A942">
        <f>HYPERLINK("https://www.philgeps.gov.ph/GEPSNONPILOT/Tender/SplashBidNoticeAbstractUI.aspx?menuIndex=3&amp;refID=7077153&amp;Result=3","7077153")</f>
        <v>0</v>
      </c>
      <c r="B942" t="s">
        <v>454</v>
      </c>
      <c r="C942" t="s">
        <v>4279</v>
      </c>
      <c r="D942" t="s">
        <v>16661</v>
      </c>
      <c r="E942" t="s">
        <v>17604</v>
      </c>
      <c r="F942" t="s">
        <v>28669</v>
      </c>
      <c r="G942" t="s">
        <v>28676</v>
      </c>
      <c r="H942" t="s">
        <v>9998</v>
      </c>
      <c r="I942" t="s">
        <v>6606</v>
      </c>
      <c r="J942" t="s">
        <v>29525</v>
      </c>
      <c r="K942" t="s">
        <v>37209</v>
      </c>
      <c r="M942" t="s">
        <v>37942</v>
      </c>
      <c r="N942" t="s">
        <v>41249</v>
      </c>
      <c r="O942" t="s">
        <v>41250</v>
      </c>
      <c r="P942">
        <v>0</v>
      </c>
      <c r="Q942">
        <v>0</v>
      </c>
      <c r="R942" t="s">
        <v>41251</v>
      </c>
      <c r="S942" t="s">
        <v>41369</v>
      </c>
      <c r="T942" t="s">
        <v>42712</v>
      </c>
      <c r="U942" t="s">
        <v>44026</v>
      </c>
      <c r="W942" t="s">
        <v>37942</v>
      </c>
      <c r="X942" t="s">
        <v>41252</v>
      </c>
    </row>
    <row r="943" spans="1:24">
      <c r="A943">
        <f>HYPERLINK("https://www.philgeps.gov.ph/GEPSNONPILOT/Tender/SplashBidNoticeAbstractUI.aspx?menuIndex=3&amp;refID=7077117&amp;Result=3","7077117")</f>
        <v>0</v>
      </c>
      <c r="B943" t="s">
        <v>169</v>
      </c>
      <c r="C943" t="s">
        <v>4280</v>
      </c>
      <c r="D943" t="s">
        <v>16611</v>
      </c>
      <c r="E943" t="s">
        <v>17605</v>
      </c>
      <c r="F943" t="s">
        <v>28669</v>
      </c>
      <c r="G943" t="s">
        <v>28675</v>
      </c>
      <c r="H943" t="s">
        <v>28686</v>
      </c>
      <c r="I943" t="s">
        <v>28689</v>
      </c>
      <c r="J943" t="s">
        <v>29526</v>
      </c>
      <c r="K943" t="s">
        <v>37268</v>
      </c>
      <c r="M943" t="s">
        <v>37936</v>
      </c>
      <c r="N943" t="s">
        <v>41249</v>
      </c>
      <c r="O943" t="s">
        <v>41250</v>
      </c>
      <c r="P943">
        <v>0</v>
      </c>
      <c r="Q943">
        <v>2</v>
      </c>
      <c r="R943" t="s">
        <v>41251</v>
      </c>
      <c r="S943" t="s">
        <v>41369</v>
      </c>
      <c r="T943" t="s">
        <v>42688</v>
      </c>
      <c r="U943" t="s">
        <v>44027</v>
      </c>
      <c r="W943" t="s">
        <v>37936</v>
      </c>
      <c r="X943" t="s">
        <v>41252</v>
      </c>
    </row>
    <row r="944" spans="1:24">
      <c r="A944">
        <f>HYPERLINK("https://www.philgeps.gov.ph/GEPSNONPILOT/Tender/SplashBidNoticeAbstractUI.aspx?menuIndex=3&amp;refID=7077152&amp;Result=3","7077152")</f>
        <v>0</v>
      </c>
      <c r="B944" t="s">
        <v>425</v>
      </c>
      <c r="C944" t="s">
        <v>4281</v>
      </c>
      <c r="D944" t="s">
        <v>16653</v>
      </c>
      <c r="E944" t="s">
        <v>17606</v>
      </c>
      <c r="F944" t="s">
        <v>28669</v>
      </c>
      <c r="G944" t="s">
        <v>28675</v>
      </c>
      <c r="H944" t="s">
        <v>9998</v>
      </c>
      <c r="I944" t="s">
        <v>28713</v>
      </c>
      <c r="J944" t="s">
        <v>29527</v>
      </c>
      <c r="K944" t="s">
        <v>37206</v>
      </c>
      <c r="M944" t="s">
        <v>37910</v>
      </c>
      <c r="N944" t="s">
        <v>41249</v>
      </c>
      <c r="O944" t="s">
        <v>41250</v>
      </c>
      <c r="P944">
        <v>0</v>
      </c>
      <c r="Q944">
        <v>9</v>
      </c>
      <c r="R944" t="s">
        <v>41251</v>
      </c>
      <c r="S944" t="s">
        <v>41369</v>
      </c>
      <c r="T944" t="s">
        <v>42732</v>
      </c>
      <c r="U944" t="s">
        <v>44028</v>
      </c>
      <c r="W944" t="s">
        <v>37910</v>
      </c>
      <c r="X944" t="s">
        <v>41252</v>
      </c>
    </row>
    <row r="945" spans="1:24">
      <c r="A945">
        <f>HYPERLINK("https://www.philgeps.gov.ph/GEPSNONPILOT/Tender/SplashBidNoticeAbstractUI.aspx?menuIndex=3&amp;refID=7077149&amp;Result=3","7077149")</f>
        <v>0</v>
      </c>
      <c r="B945" t="s">
        <v>478</v>
      </c>
      <c r="C945" t="s">
        <v>4282</v>
      </c>
      <c r="D945" t="s">
        <v>16625</v>
      </c>
      <c r="E945" t="s">
        <v>17607</v>
      </c>
      <c r="F945" t="s">
        <v>28669</v>
      </c>
      <c r="G945" t="s">
        <v>28676</v>
      </c>
      <c r="H945" t="s">
        <v>9998</v>
      </c>
      <c r="I945" t="s">
        <v>7352</v>
      </c>
      <c r="J945" t="s">
        <v>29528</v>
      </c>
      <c r="K945" t="s">
        <v>37205</v>
      </c>
      <c r="M945" t="s">
        <v>37966</v>
      </c>
      <c r="N945" t="s">
        <v>41249</v>
      </c>
      <c r="O945" t="s">
        <v>41250</v>
      </c>
      <c r="P945">
        <v>0</v>
      </c>
      <c r="Q945">
        <v>0</v>
      </c>
      <c r="R945" t="s">
        <v>41251</v>
      </c>
      <c r="S945" t="s">
        <v>41369</v>
      </c>
      <c r="T945" t="s">
        <v>42717</v>
      </c>
      <c r="U945" t="s">
        <v>44003</v>
      </c>
      <c r="W945" t="s">
        <v>37966</v>
      </c>
      <c r="X945" t="s">
        <v>41252</v>
      </c>
    </row>
    <row r="946" spans="1:24">
      <c r="A946">
        <f>HYPERLINK("https://www.philgeps.gov.ph/GEPSNONPILOT/Tender/SplashBidNoticeAbstractUI.aspx?menuIndex=3&amp;refID=7076746&amp;Result=3","7076746")</f>
        <v>0</v>
      </c>
      <c r="B946" t="s">
        <v>311</v>
      </c>
      <c r="C946" t="s">
        <v>4283</v>
      </c>
      <c r="D946" t="s">
        <v>16627</v>
      </c>
      <c r="E946" t="s">
        <v>17608</v>
      </c>
      <c r="F946" t="s">
        <v>28669</v>
      </c>
      <c r="G946" t="s">
        <v>28677</v>
      </c>
      <c r="H946" t="s">
        <v>9998</v>
      </c>
      <c r="I946" t="s">
        <v>28694</v>
      </c>
      <c r="J946" t="s">
        <v>29529</v>
      </c>
      <c r="K946" t="s">
        <v>37209</v>
      </c>
      <c r="M946" t="s">
        <v>37790</v>
      </c>
      <c r="N946" t="s">
        <v>41249</v>
      </c>
      <c r="O946" t="s">
        <v>41250</v>
      </c>
      <c r="P946">
        <v>0</v>
      </c>
      <c r="Q946">
        <v>0</v>
      </c>
      <c r="R946" t="s">
        <v>41251</v>
      </c>
      <c r="S946" t="s">
        <v>41369</v>
      </c>
      <c r="T946" t="s">
        <v>42673</v>
      </c>
      <c r="U946" t="s">
        <v>44029</v>
      </c>
      <c r="W946" t="s">
        <v>37790</v>
      </c>
      <c r="X946" t="s">
        <v>41252</v>
      </c>
    </row>
    <row r="947" spans="1:24">
      <c r="A947">
        <f>HYPERLINK("https://www.philgeps.gov.ph/GEPSNONPILOT/Tender/SplashBidNoticeAbstractUI.aspx?menuIndex=3&amp;refID=7077146&amp;Result=3","7077146")</f>
        <v>0</v>
      </c>
      <c r="B947" t="s">
        <v>139</v>
      </c>
      <c r="C947" t="s">
        <v>4284</v>
      </c>
      <c r="D947" t="s">
        <v>16654</v>
      </c>
      <c r="E947" t="s">
        <v>17609</v>
      </c>
      <c r="F947" t="s">
        <v>28669</v>
      </c>
      <c r="G947" t="s">
        <v>28676</v>
      </c>
      <c r="H947" t="s">
        <v>28686</v>
      </c>
      <c r="I947" t="s">
        <v>28696</v>
      </c>
      <c r="J947" t="s">
        <v>29530</v>
      </c>
      <c r="K947" t="s">
        <v>37209</v>
      </c>
      <c r="M947" t="s">
        <v>37616</v>
      </c>
      <c r="N947" t="s">
        <v>41249</v>
      </c>
      <c r="O947" t="s">
        <v>41250</v>
      </c>
      <c r="P947">
        <v>0</v>
      </c>
      <c r="Q947">
        <v>0</v>
      </c>
      <c r="R947" t="s">
        <v>41251</v>
      </c>
      <c r="S947" t="s">
        <v>41369</v>
      </c>
      <c r="T947" t="s">
        <v>42716</v>
      </c>
      <c r="U947" t="s">
        <v>44030</v>
      </c>
      <c r="W947" t="s">
        <v>37616</v>
      </c>
      <c r="X947" t="s">
        <v>41252</v>
      </c>
    </row>
    <row r="948" spans="1:24">
      <c r="A948">
        <f>HYPERLINK("https://www.philgeps.gov.ph/GEPSNONPILOT/Tender/SplashBidNoticeAbstractUI.aspx?menuIndex=3&amp;refID=7077155&amp;Result=3","7077155")</f>
        <v>0</v>
      </c>
      <c r="B948" t="s">
        <v>445</v>
      </c>
      <c r="C948" t="s">
        <v>4285</v>
      </c>
      <c r="D948" t="s">
        <v>16687</v>
      </c>
      <c r="E948" t="s">
        <v>17610</v>
      </c>
      <c r="F948" t="s">
        <v>28669</v>
      </c>
      <c r="G948" t="s">
        <v>28676</v>
      </c>
      <c r="H948" t="s">
        <v>9998</v>
      </c>
      <c r="I948" t="s">
        <v>6458</v>
      </c>
      <c r="J948" t="s">
        <v>29531</v>
      </c>
      <c r="K948" t="s">
        <v>37209</v>
      </c>
      <c r="M948" t="s">
        <v>37930</v>
      </c>
      <c r="N948" t="s">
        <v>41249</v>
      </c>
      <c r="O948" t="s">
        <v>41250</v>
      </c>
      <c r="P948">
        <v>0</v>
      </c>
      <c r="Q948">
        <v>0</v>
      </c>
      <c r="R948" t="s">
        <v>41251</v>
      </c>
      <c r="S948" t="s">
        <v>41369</v>
      </c>
      <c r="T948" t="s">
        <v>42681</v>
      </c>
      <c r="U948" t="s">
        <v>44031</v>
      </c>
      <c r="W948" t="s">
        <v>37930</v>
      </c>
      <c r="X948" t="s">
        <v>41252</v>
      </c>
    </row>
    <row r="949" spans="1:24">
      <c r="A949">
        <f>HYPERLINK("https://www.philgeps.gov.ph/GEPSNONPILOT/Tender/SplashBidNoticeAbstractUI.aspx?menuIndex=3&amp;refID=7077143&amp;Result=3","7077143")</f>
        <v>0</v>
      </c>
      <c r="B949" t="s">
        <v>490</v>
      </c>
      <c r="C949" t="s">
        <v>4286</v>
      </c>
      <c r="D949" t="s">
        <v>16611</v>
      </c>
      <c r="E949" t="s">
        <v>17611</v>
      </c>
      <c r="F949" t="s">
        <v>28669</v>
      </c>
      <c r="G949" t="s">
        <v>28677</v>
      </c>
      <c r="H949" t="s">
        <v>9998</v>
      </c>
      <c r="I949" t="s">
        <v>28713</v>
      </c>
      <c r="J949" t="s">
        <v>29532</v>
      </c>
      <c r="K949" t="s">
        <v>37206</v>
      </c>
      <c r="M949" t="s">
        <v>37978</v>
      </c>
      <c r="N949" t="s">
        <v>41249</v>
      </c>
      <c r="O949" t="s">
        <v>41250</v>
      </c>
      <c r="P949">
        <v>0</v>
      </c>
      <c r="Q949">
        <v>1</v>
      </c>
      <c r="R949" t="s">
        <v>41251</v>
      </c>
      <c r="S949" t="s">
        <v>41369</v>
      </c>
      <c r="T949" t="s">
        <v>42711</v>
      </c>
      <c r="U949" t="s">
        <v>44032</v>
      </c>
      <c r="W949" t="s">
        <v>37978</v>
      </c>
      <c r="X949" t="s">
        <v>41252</v>
      </c>
    </row>
    <row r="950" spans="1:24">
      <c r="A950">
        <f>HYPERLINK("https://www.philgeps.gov.ph/GEPSNONPILOT/Tender/SplashBidNoticeAbstractUI.aspx?menuIndex=3&amp;refID=7076749&amp;Result=3","7076749")</f>
        <v>0</v>
      </c>
      <c r="B950" t="s">
        <v>322</v>
      </c>
      <c r="C950" t="s">
        <v>4287</v>
      </c>
      <c r="D950" t="s">
        <v>16655</v>
      </c>
      <c r="E950" t="s">
        <v>17612</v>
      </c>
      <c r="F950" t="s">
        <v>28669</v>
      </c>
      <c r="G950" t="s">
        <v>28675</v>
      </c>
      <c r="H950" t="s">
        <v>28686</v>
      </c>
      <c r="I950" t="s">
        <v>28689</v>
      </c>
      <c r="J950" t="s">
        <v>28905</v>
      </c>
      <c r="K950" t="s">
        <v>37206</v>
      </c>
      <c r="M950" t="s">
        <v>37802</v>
      </c>
      <c r="N950" t="s">
        <v>41249</v>
      </c>
      <c r="O950" t="s">
        <v>41250</v>
      </c>
      <c r="P950">
        <v>0</v>
      </c>
      <c r="Q950">
        <v>0</v>
      </c>
      <c r="R950" t="s">
        <v>41251</v>
      </c>
      <c r="S950" t="s">
        <v>41369</v>
      </c>
      <c r="T950" t="s">
        <v>42669</v>
      </c>
      <c r="U950" t="s">
        <v>43710</v>
      </c>
      <c r="W950" t="s">
        <v>37802</v>
      </c>
      <c r="X950" t="s">
        <v>41252</v>
      </c>
    </row>
    <row r="951" spans="1:24">
      <c r="A951">
        <f>HYPERLINK("https://www.philgeps.gov.ph/GEPSNONPILOT/Tender/SplashBidNoticeAbstractUI.aspx?menuIndex=3&amp;refID=7077141&amp;Result=3","7077141")</f>
        <v>0</v>
      </c>
      <c r="B951" t="s">
        <v>169</v>
      </c>
      <c r="C951" t="s">
        <v>4288</v>
      </c>
      <c r="D951" t="s">
        <v>16611</v>
      </c>
      <c r="E951" t="s">
        <v>17613</v>
      </c>
      <c r="F951" t="s">
        <v>28669</v>
      </c>
      <c r="G951" t="s">
        <v>28675</v>
      </c>
      <c r="H951" t="s">
        <v>28686</v>
      </c>
      <c r="I951" t="s">
        <v>28689</v>
      </c>
      <c r="J951" t="s">
        <v>29533</v>
      </c>
      <c r="K951" t="s">
        <v>37237</v>
      </c>
      <c r="M951" t="s">
        <v>37936</v>
      </c>
      <c r="N951" t="s">
        <v>41249</v>
      </c>
      <c r="O951" t="s">
        <v>41250</v>
      </c>
      <c r="P951">
        <v>0</v>
      </c>
      <c r="Q951">
        <v>2</v>
      </c>
      <c r="R951" t="s">
        <v>41251</v>
      </c>
      <c r="S951" t="s">
        <v>41369</v>
      </c>
      <c r="T951" t="s">
        <v>42688</v>
      </c>
      <c r="U951" t="s">
        <v>44033</v>
      </c>
      <c r="W951" t="s">
        <v>37936</v>
      </c>
      <c r="X951" t="s">
        <v>41252</v>
      </c>
    </row>
    <row r="952" spans="1:24">
      <c r="A952">
        <f>HYPERLINK("https://www.philgeps.gov.ph/GEPSNONPILOT/Tender/SplashBidNoticeAbstractUI.aspx?menuIndex=3&amp;refID=7077150&amp;Result=3","7077150")</f>
        <v>0</v>
      </c>
      <c r="B952" t="s">
        <v>491</v>
      </c>
      <c r="C952" t="s">
        <v>4289</v>
      </c>
      <c r="D952" t="s">
        <v>16654</v>
      </c>
      <c r="E952" t="s">
        <v>17614</v>
      </c>
      <c r="F952" t="s">
        <v>28669</v>
      </c>
      <c r="G952" t="s">
        <v>28675</v>
      </c>
      <c r="H952" t="s">
        <v>9998</v>
      </c>
      <c r="I952" t="s">
        <v>3658</v>
      </c>
      <c r="J952" t="s">
        <v>29534</v>
      </c>
      <c r="K952" t="s">
        <v>37206</v>
      </c>
      <c r="M952" t="s">
        <v>37979</v>
      </c>
      <c r="N952" t="s">
        <v>41249</v>
      </c>
      <c r="O952" t="s">
        <v>41250</v>
      </c>
      <c r="P952">
        <v>0</v>
      </c>
      <c r="Q952">
        <v>1</v>
      </c>
      <c r="R952" t="s">
        <v>41251</v>
      </c>
      <c r="S952" t="s">
        <v>41369</v>
      </c>
      <c r="T952" t="s">
        <v>42692</v>
      </c>
      <c r="U952" t="s">
        <v>44034</v>
      </c>
      <c r="V952" t="s">
        <v>54354</v>
      </c>
      <c r="W952" t="s">
        <v>37979</v>
      </c>
      <c r="X952" t="s">
        <v>41252</v>
      </c>
    </row>
    <row r="953" spans="1:24">
      <c r="A953">
        <f>HYPERLINK("https://www.philgeps.gov.ph/GEPSNONPILOT/Tender/SplashBidNoticeAbstractUI.aspx?menuIndex=3&amp;refID=7077137&amp;Result=3","7077137")</f>
        <v>0</v>
      </c>
      <c r="B953" t="s">
        <v>467</v>
      </c>
      <c r="C953" t="s">
        <v>4290</v>
      </c>
      <c r="D953" t="s">
        <v>16616</v>
      </c>
      <c r="E953" t="s">
        <v>17615</v>
      </c>
      <c r="F953" t="s">
        <v>28669</v>
      </c>
      <c r="G953" t="s">
        <v>28675</v>
      </c>
      <c r="H953" t="s">
        <v>9998</v>
      </c>
      <c r="I953" t="s">
        <v>7352</v>
      </c>
      <c r="J953" t="s">
        <v>29535</v>
      </c>
      <c r="K953" t="s">
        <v>37210</v>
      </c>
      <c r="M953" t="s">
        <v>37955</v>
      </c>
      <c r="N953" t="s">
        <v>41249</v>
      </c>
      <c r="O953" t="s">
        <v>41250</v>
      </c>
      <c r="P953">
        <v>0</v>
      </c>
      <c r="Q953">
        <v>0</v>
      </c>
      <c r="R953" t="s">
        <v>41251</v>
      </c>
      <c r="S953" t="s">
        <v>41369</v>
      </c>
      <c r="T953" t="s">
        <v>42803</v>
      </c>
      <c r="U953" t="s">
        <v>44035</v>
      </c>
      <c r="W953" t="s">
        <v>37955</v>
      </c>
      <c r="X953" t="s">
        <v>41252</v>
      </c>
    </row>
    <row r="954" spans="1:24">
      <c r="A954">
        <f>HYPERLINK("https://www.philgeps.gov.ph/GEPSNONPILOT/Tender/SplashBidNoticeAbstractUI.aspx?menuIndex=3&amp;refID=7077135&amp;Result=3","7077135")</f>
        <v>0</v>
      </c>
      <c r="B954" t="s">
        <v>310</v>
      </c>
      <c r="C954" t="s">
        <v>4291</v>
      </c>
      <c r="D954" t="s">
        <v>16635</v>
      </c>
      <c r="E954" t="s">
        <v>17616</v>
      </c>
      <c r="F954" t="s">
        <v>28669</v>
      </c>
      <c r="G954" t="s">
        <v>28676</v>
      </c>
      <c r="H954" t="s">
        <v>9998</v>
      </c>
      <c r="I954" t="s">
        <v>3658</v>
      </c>
      <c r="J954" t="s">
        <v>29183</v>
      </c>
      <c r="K954" t="s">
        <v>37210</v>
      </c>
      <c r="M954" t="s">
        <v>37980</v>
      </c>
      <c r="N954" t="s">
        <v>41249</v>
      </c>
      <c r="O954" t="s">
        <v>41250</v>
      </c>
      <c r="P954">
        <v>0</v>
      </c>
      <c r="Q954">
        <v>0</v>
      </c>
      <c r="R954" t="s">
        <v>41251</v>
      </c>
      <c r="S954" t="s">
        <v>41369</v>
      </c>
      <c r="T954" t="s">
        <v>42738</v>
      </c>
      <c r="U954" t="s">
        <v>44036</v>
      </c>
      <c r="W954" t="s">
        <v>37980</v>
      </c>
      <c r="X954" t="s">
        <v>41252</v>
      </c>
    </row>
    <row r="955" spans="1:24">
      <c r="A955">
        <f>HYPERLINK("https://www.philgeps.gov.ph/GEPSNONPILOT/Tender/SplashBidNoticeAbstractUI.aspx?menuIndex=3&amp;refID=7077144&amp;Result=3","7077144")</f>
        <v>0</v>
      </c>
      <c r="B955" t="s">
        <v>485</v>
      </c>
      <c r="C955" t="s">
        <v>4292</v>
      </c>
      <c r="D955" t="s">
        <v>16677</v>
      </c>
      <c r="E955" t="s">
        <v>17617</v>
      </c>
      <c r="F955" t="s">
        <v>28669</v>
      </c>
      <c r="G955" t="s">
        <v>28677</v>
      </c>
      <c r="H955" t="s">
        <v>28684</v>
      </c>
      <c r="I955" t="s">
        <v>7352</v>
      </c>
      <c r="J955" t="s">
        <v>29536</v>
      </c>
      <c r="K955" t="s">
        <v>37204</v>
      </c>
      <c r="M955" t="s">
        <v>37973</v>
      </c>
      <c r="N955" t="s">
        <v>41249</v>
      </c>
      <c r="O955" t="s">
        <v>41250</v>
      </c>
      <c r="P955">
        <v>0</v>
      </c>
      <c r="Q955">
        <v>0</v>
      </c>
      <c r="R955" t="s">
        <v>41251</v>
      </c>
      <c r="S955" t="s">
        <v>41369</v>
      </c>
      <c r="T955" t="s">
        <v>42673</v>
      </c>
      <c r="U955" t="s">
        <v>44019</v>
      </c>
      <c r="W955" t="s">
        <v>37973</v>
      </c>
      <c r="X955" t="s">
        <v>41252</v>
      </c>
    </row>
    <row r="956" spans="1:24">
      <c r="A956">
        <f>HYPERLINK("https://www.philgeps.gov.ph/GEPSNONPILOT/Tender/SplashBidNoticeAbstractUI.aspx?menuIndex=3&amp;refID=7077131&amp;Result=3","7077131")</f>
        <v>0</v>
      </c>
      <c r="B956" t="s">
        <v>470</v>
      </c>
      <c r="C956" t="s">
        <v>4293</v>
      </c>
      <c r="D956" t="s">
        <v>16639</v>
      </c>
      <c r="E956" t="s">
        <v>17618</v>
      </c>
      <c r="F956" t="s">
        <v>28669</v>
      </c>
      <c r="G956" t="s">
        <v>28676</v>
      </c>
      <c r="H956" t="s">
        <v>9998</v>
      </c>
      <c r="I956" t="s">
        <v>3718</v>
      </c>
      <c r="J956" t="s">
        <v>29537</v>
      </c>
      <c r="K956" t="s">
        <v>37205</v>
      </c>
      <c r="M956" t="s">
        <v>37958</v>
      </c>
      <c r="N956" t="s">
        <v>41249</v>
      </c>
      <c r="O956" t="s">
        <v>41250</v>
      </c>
      <c r="P956">
        <v>0</v>
      </c>
      <c r="Q956">
        <v>2</v>
      </c>
      <c r="R956" t="s">
        <v>41251</v>
      </c>
      <c r="S956" t="s">
        <v>41369</v>
      </c>
      <c r="T956" t="s">
        <v>42673</v>
      </c>
      <c r="U956" t="s">
        <v>44037</v>
      </c>
      <c r="W956" t="s">
        <v>37958</v>
      </c>
      <c r="X956" t="s">
        <v>41252</v>
      </c>
    </row>
    <row r="957" spans="1:24">
      <c r="A957">
        <f>HYPERLINK("https://www.philgeps.gov.ph/GEPSNONPILOT/Tender/SplashBidNoticeAbstractUI.aspx?menuIndex=3&amp;refID=7077140&amp;Result=3","7077140")</f>
        <v>0</v>
      </c>
      <c r="B957" t="s">
        <v>492</v>
      </c>
      <c r="C957" t="s">
        <v>4294</v>
      </c>
      <c r="D957" t="s">
        <v>16621</v>
      </c>
      <c r="E957" t="s">
        <v>17619</v>
      </c>
      <c r="F957" t="s">
        <v>28669</v>
      </c>
      <c r="G957" t="s">
        <v>28675</v>
      </c>
      <c r="H957" t="s">
        <v>9998</v>
      </c>
      <c r="I957" t="s">
        <v>28716</v>
      </c>
      <c r="J957" t="s">
        <v>29538</v>
      </c>
      <c r="K957" t="s">
        <v>37231</v>
      </c>
      <c r="M957" t="s">
        <v>37981</v>
      </c>
      <c r="N957" t="s">
        <v>41249</v>
      </c>
      <c r="O957" t="s">
        <v>41250</v>
      </c>
      <c r="P957">
        <v>0</v>
      </c>
      <c r="Q957">
        <v>1</v>
      </c>
      <c r="R957" t="s">
        <v>41251</v>
      </c>
      <c r="S957" t="s">
        <v>41369</v>
      </c>
      <c r="T957" t="s">
        <v>42672</v>
      </c>
      <c r="U957" t="s">
        <v>44038</v>
      </c>
      <c r="W957" t="s">
        <v>37981</v>
      </c>
      <c r="X957" t="s">
        <v>41252</v>
      </c>
    </row>
    <row r="958" spans="1:24">
      <c r="A958">
        <f>HYPERLINK("https://www.philgeps.gov.ph/GEPSNONPILOT/Tender/SplashBidNoticeAbstractUI.aspx?menuIndex=3&amp;refID=7077147&amp;Result=3","7077147")</f>
        <v>0</v>
      </c>
      <c r="B958" t="s">
        <v>179</v>
      </c>
      <c r="C958" t="s">
        <v>4295</v>
      </c>
      <c r="D958" t="s">
        <v>16647</v>
      </c>
      <c r="E958" t="s">
        <v>17620</v>
      </c>
      <c r="F958" t="s">
        <v>28669</v>
      </c>
      <c r="G958" t="s">
        <v>28675</v>
      </c>
      <c r="H958" t="s">
        <v>28686</v>
      </c>
      <c r="I958" t="s">
        <v>28689</v>
      </c>
      <c r="J958" t="s">
        <v>28845</v>
      </c>
      <c r="K958" t="s">
        <v>37205</v>
      </c>
      <c r="M958" t="s">
        <v>37656</v>
      </c>
      <c r="N958" t="s">
        <v>41249</v>
      </c>
      <c r="O958" t="s">
        <v>41250</v>
      </c>
      <c r="P958">
        <v>0</v>
      </c>
      <c r="Q958">
        <v>1</v>
      </c>
      <c r="R958" t="s">
        <v>41251</v>
      </c>
      <c r="S958" t="s">
        <v>41369</v>
      </c>
      <c r="T958" t="s">
        <v>42688</v>
      </c>
      <c r="U958" t="s">
        <v>44039</v>
      </c>
      <c r="W958" t="s">
        <v>37656</v>
      </c>
      <c r="X958" t="s">
        <v>41252</v>
      </c>
    </row>
    <row r="959" spans="1:24">
      <c r="A959">
        <f>HYPERLINK("https://www.philgeps.gov.ph/GEPSNONPILOT/Tender/SplashBidNoticeAbstractUI.aspx?menuIndex=3&amp;refID=7076720&amp;Result=3","7076720")</f>
        <v>0</v>
      </c>
      <c r="B959" t="s">
        <v>304</v>
      </c>
      <c r="C959" t="s">
        <v>4296</v>
      </c>
      <c r="D959" t="s">
        <v>16628</v>
      </c>
      <c r="E959" t="s">
        <v>17621</v>
      </c>
      <c r="F959" t="s">
        <v>28669</v>
      </c>
      <c r="G959" t="s">
        <v>28676</v>
      </c>
      <c r="H959" t="s">
        <v>9998</v>
      </c>
      <c r="I959" t="s">
        <v>5213</v>
      </c>
      <c r="J959" t="s">
        <v>29539</v>
      </c>
      <c r="K959" t="s">
        <v>37204</v>
      </c>
      <c r="M959" t="s">
        <v>37783</v>
      </c>
      <c r="N959" t="s">
        <v>41249</v>
      </c>
      <c r="O959" t="s">
        <v>41250</v>
      </c>
      <c r="P959">
        <v>0</v>
      </c>
      <c r="Q959">
        <v>2</v>
      </c>
      <c r="R959" t="s">
        <v>41251</v>
      </c>
      <c r="S959" t="s">
        <v>41369</v>
      </c>
      <c r="T959" t="s">
        <v>42726</v>
      </c>
      <c r="U959" t="s">
        <v>43681</v>
      </c>
      <c r="W959" t="s">
        <v>37783</v>
      </c>
      <c r="X959" t="s">
        <v>41252</v>
      </c>
    </row>
    <row r="960" spans="1:24">
      <c r="A960">
        <f>HYPERLINK("https://www.philgeps.gov.ph/GEPSNONPILOT/Tender/SplashBidNoticeAbstractUI.aspx?menuIndex=3&amp;refID=7076718&amp;Result=3","7076718")</f>
        <v>0</v>
      </c>
      <c r="B960" t="s">
        <v>493</v>
      </c>
      <c r="C960" t="s">
        <v>4297</v>
      </c>
      <c r="D960" t="s">
        <v>16641</v>
      </c>
      <c r="E960" t="s">
        <v>17622</v>
      </c>
      <c r="F960" t="s">
        <v>28669</v>
      </c>
      <c r="G960" t="s">
        <v>28676</v>
      </c>
      <c r="H960" t="s">
        <v>9998</v>
      </c>
      <c r="I960" t="s">
        <v>28689</v>
      </c>
      <c r="J960" t="s">
        <v>29540</v>
      </c>
      <c r="K960" t="s">
        <v>37220</v>
      </c>
      <c r="M960" t="s">
        <v>37982</v>
      </c>
      <c r="N960" t="s">
        <v>41249</v>
      </c>
      <c r="O960" t="s">
        <v>41250</v>
      </c>
      <c r="P960">
        <v>0</v>
      </c>
      <c r="Q960">
        <v>0</v>
      </c>
      <c r="R960" t="s">
        <v>41251</v>
      </c>
      <c r="S960" t="s">
        <v>41369</v>
      </c>
      <c r="T960" t="s">
        <v>42673</v>
      </c>
      <c r="U960" t="s">
        <v>44040</v>
      </c>
      <c r="V960" t="s">
        <v>54355</v>
      </c>
      <c r="W960" t="s">
        <v>37982</v>
      </c>
      <c r="X960" t="s">
        <v>41252</v>
      </c>
    </row>
    <row r="961" spans="1:24">
      <c r="A961">
        <f>HYPERLINK("https://www.philgeps.gov.ph/GEPSNONPILOT/Tender/SplashBidNoticeAbstractUI.aspx?menuIndex=3&amp;refID=7077133&amp;Result=3","7077133")</f>
        <v>0</v>
      </c>
      <c r="B961" t="s">
        <v>494</v>
      </c>
      <c r="C961" t="s">
        <v>4298</v>
      </c>
      <c r="E961" t="s">
        <v>17623</v>
      </c>
      <c r="F961" t="s">
        <v>28669</v>
      </c>
      <c r="G961" t="s">
        <v>28676</v>
      </c>
      <c r="H961" t="s">
        <v>9998</v>
      </c>
      <c r="I961" t="s">
        <v>11593</v>
      </c>
      <c r="J961" t="s">
        <v>28838</v>
      </c>
      <c r="K961" t="s">
        <v>37209</v>
      </c>
      <c r="M961" t="s">
        <v>37983</v>
      </c>
      <c r="N961" t="s">
        <v>41249</v>
      </c>
      <c r="O961" t="s">
        <v>41250</v>
      </c>
      <c r="P961">
        <v>0</v>
      </c>
      <c r="Q961">
        <v>8</v>
      </c>
      <c r="R961" t="s">
        <v>41251</v>
      </c>
      <c r="S961" t="s">
        <v>41369</v>
      </c>
      <c r="T961" t="s">
        <v>42673</v>
      </c>
      <c r="U961" t="s">
        <v>44041</v>
      </c>
      <c r="W961" t="s">
        <v>37983</v>
      </c>
      <c r="X961" t="s">
        <v>41252</v>
      </c>
    </row>
    <row r="962" spans="1:24">
      <c r="A962">
        <f>HYPERLINK("https://www.philgeps.gov.ph/GEPSNONPILOT/Tender/SplashBidNoticeAbstractUI.aspx?menuIndex=3&amp;refID=7076694&amp;Result=3","7076694")</f>
        <v>0</v>
      </c>
      <c r="B962" t="s">
        <v>495</v>
      </c>
      <c r="C962" t="s">
        <v>4299</v>
      </c>
      <c r="D962" t="s">
        <v>16632</v>
      </c>
      <c r="E962" t="s">
        <v>17306</v>
      </c>
      <c r="F962" t="s">
        <v>28669</v>
      </c>
      <c r="G962" t="s">
        <v>28676</v>
      </c>
      <c r="H962" t="s">
        <v>9998</v>
      </c>
      <c r="I962" t="s">
        <v>28695</v>
      </c>
      <c r="J962" t="s">
        <v>29541</v>
      </c>
      <c r="K962" t="s">
        <v>37205</v>
      </c>
      <c r="M962" t="s">
        <v>37984</v>
      </c>
      <c r="N962" t="s">
        <v>41249</v>
      </c>
      <c r="O962" t="s">
        <v>41250</v>
      </c>
      <c r="P962">
        <v>0</v>
      </c>
      <c r="Q962">
        <v>0</v>
      </c>
      <c r="R962" t="s">
        <v>41251</v>
      </c>
      <c r="S962" t="s">
        <v>41369</v>
      </c>
      <c r="T962" t="s">
        <v>42694</v>
      </c>
      <c r="U962" t="s">
        <v>44042</v>
      </c>
      <c r="W962" t="s">
        <v>37984</v>
      </c>
      <c r="X962" t="s">
        <v>41252</v>
      </c>
    </row>
    <row r="963" spans="1:24">
      <c r="A963">
        <f>HYPERLINK("https://www.philgeps.gov.ph/GEPSNONPILOT/Tender/SplashBidNoticeAbstractUI.aspx?menuIndex=3&amp;refID=7076693&amp;Result=3","7076693")</f>
        <v>0</v>
      </c>
      <c r="B963" t="s">
        <v>322</v>
      </c>
      <c r="C963" t="s">
        <v>4300</v>
      </c>
      <c r="D963" t="s">
        <v>16655</v>
      </c>
      <c r="E963" t="s">
        <v>17624</v>
      </c>
      <c r="F963" t="s">
        <v>28669</v>
      </c>
      <c r="G963" t="s">
        <v>28675</v>
      </c>
      <c r="H963" t="s">
        <v>28686</v>
      </c>
      <c r="I963" t="s">
        <v>28689</v>
      </c>
      <c r="J963" t="s">
        <v>28905</v>
      </c>
      <c r="K963" t="s">
        <v>37206</v>
      </c>
      <c r="M963" t="s">
        <v>37802</v>
      </c>
      <c r="N963" t="s">
        <v>41249</v>
      </c>
      <c r="O963" t="s">
        <v>41250</v>
      </c>
      <c r="P963">
        <v>0</v>
      </c>
      <c r="Q963">
        <v>0</v>
      </c>
      <c r="R963" t="s">
        <v>41251</v>
      </c>
      <c r="S963" t="s">
        <v>41369</v>
      </c>
      <c r="T963" t="s">
        <v>42669</v>
      </c>
      <c r="U963" t="s">
        <v>43710</v>
      </c>
      <c r="W963" t="s">
        <v>37802</v>
      </c>
      <c r="X963" t="s">
        <v>41252</v>
      </c>
    </row>
    <row r="964" spans="1:24">
      <c r="A964">
        <f>HYPERLINK("https://www.philgeps.gov.ph/GEPSNONPILOT/Tender/SplashBidNoticeAbstractUI.aspx?menuIndex=3&amp;refID=7076691&amp;Result=3","7076691")</f>
        <v>0</v>
      </c>
      <c r="B964" t="s">
        <v>210</v>
      </c>
      <c r="C964" t="s">
        <v>4301</v>
      </c>
      <c r="D964" t="s">
        <v>16633</v>
      </c>
      <c r="E964" t="s">
        <v>17625</v>
      </c>
      <c r="F964" t="s">
        <v>28669</v>
      </c>
      <c r="G964" t="s">
        <v>28675</v>
      </c>
      <c r="H964" t="s">
        <v>28685</v>
      </c>
      <c r="I964" t="s">
        <v>28685</v>
      </c>
      <c r="J964" t="s">
        <v>29542</v>
      </c>
      <c r="K964" t="s">
        <v>37269</v>
      </c>
      <c r="M964" t="s">
        <v>37688</v>
      </c>
      <c r="N964" t="s">
        <v>41249</v>
      </c>
      <c r="O964" t="s">
        <v>41250</v>
      </c>
      <c r="P964">
        <v>0</v>
      </c>
      <c r="Q964">
        <v>2</v>
      </c>
      <c r="R964" t="s">
        <v>41251</v>
      </c>
      <c r="S964" t="s">
        <v>41369</v>
      </c>
      <c r="T964" t="s">
        <v>42690</v>
      </c>
      <c r="U964" t="s">
        <v>44043</v>
      </c>
      <c r="W964" t="s">
        <v>37688</v>
      </c>
      <c r="X964" t="s">
        <v>41252</v>
      </c>
    </row>
    <row r="965" spans="1:24">
      <c r="A965">
        <f>HYPERLINK("https://www.philgeps.gov.ph/GEPSNONPILOT/Tender/SplashBidNoticeAbstractUI.aspx?menuIndex=3&amp;refID=7077130&amp;Result=3","7077130")</f>
        <v>0</v>
      </c>
      <c r="B965" t="s">
        <v>473</v>
      </c>
      <c r="C965" t="s">
        <v>4302</v>
      </c>
      <c r="D965" t="s">
        <v>16647</v>
      </c>
      <c r="E965" t="s">
        <v>17626</v>
      </c>
      <c r="F965" t="s">
        <v>28669</v>
      </c>
      <c r="G965" t="s">
        <v>28675</v>
      </c>
      <c r="H965" t="s">
        <v>9998</v>
      </c>
      <c r="I965" t="s">
        <v>28695</v>
      </c>
      <c r="J965" t="s">
        <v>29543</v>
      </c>
      <c r="K965" t="s">
        <v>37213</v>
      </c>
      <c r="M965" t="s">
        <v>37961</v>
      </c>
      <c r="N965" t="s">
        <v>41249</v>
      </c>
      <c r="O965" t="s">
        <v>41250</v>
      </c>
      <c r="P965">
        <v>0</v>
      </c>
      <c r="Q965">
        <v>0</v>
      </c>
      <c r="R965" t="s">
        <v>41251</v>
      </c>
      <c r="S965" t="s">
        <v>41369</v>
      </c>
      <c r="T965" t="s">
        <v>42690</v>
      </c>
      <c r="U965" t="s">
        <v>44044</v>
      </c>
      <c r="W965" t="s">
        <v>37961</v>
      </c>
      <c r="X965" t="s">
        <v>41252</v>
      </c>
    </row>
    <row r="966" spans="1:24">
      <c r="A966">
        <f>HYPERLINK("https://www.philgeps.gov.ph/GEPSNONPILOT/Tender/SplashBidNoticeAbstractUI.aspx?menuIndex=3&amp;refID=7076637&amp;Result=3","7076637")</f>
        <v>0</v>
      </c>
      <c r="B966" t="s">
        <v>207</v>
      </c>
      <c r="C966" t="s">
        <v>4303</v>
      </c>
      <c r="D966" t="s">
        <v>16625</v>
      </c>
      <c r="E966" t="s">
        <v>17627</v>
      </c>
      <c r="F966" t="s">
        <v>28669</v>
      </c>
      <c r="G966" t="s">
        <v>28676</v>
      </c>
      <c r="H966" t="s">
        <v>9998</v>
      </c>
      <c r="I966" t="s">
        <v>28745</v>
      </c>
      <c r="J966" t="s">
        <v>29544</v>
      </c>
      <c r="K966" t="s">
        <v>37205</v>
      </c>
      <c r="M966" t="s">
        <v>37765</v>
      </c>
      <c r="N966" t="s">
        <v>41249</v>
      </c>
      <c r="O966" t="s">
        <v>41250</v>
      </c>
      <c r="P966">
        <v>0</v>
      </c>
      <c r="Q966">
        <v>1</v>
      </c>
      <c r="R966" t="s">
        <v>41251</v>
      </c>
      <c r="S966" t="s">
        <v>41369</v>
      </c>
      <c r="T966" t="s">
        <v>42673</v>
      </c>
      <c r="U966" t="s">
        <v>44045</v>
      </c>
      <c r="W966" t="s">
        <v>55908</v>
      </c>
      <c r="X966" t="s">
        <v>41252</v>
      </c>
    </row>
    <row r="967" spans="1:24">
      <c r="A967">
        <f>HYPERLINK("https://www.philgeps.gov.ph/GEPSNONPILOT/Tender/SplashBidNoticeAbstractUI.aspx?menuIndex=3&amp;refID=7076617&amp;Result=3","7076617")</f>
        <v>0</v>
      </c>
      <c r="B967" t="s">
        <v>125</v>
      </c>
      <c r="C967" t="s">
        <v>4304</v>
      </c>
      <c r="D967" t="s">
        <v>16660</v>
      </c>
      <c r="E967" t="s">
        <v>17628</v>
      </c>
      <c r="F967" t="s">
        <v>28669</v>
      </c>
      <c r="G967" t="s">
        <v>28678</v>
      </c>
      <c r="H967" t="s">
        <v>9998</v>
      </c>
      <c r="I967" t="s">
        <v>6128</v>
      </c>
      <c r="J967" t="s">
        <v>29404</v>
      </c>
      <c r="K967" t="s">
        <v>37210</v>
      </c>
      <c r="M967" t="s">
        <v>37601</v>
      </c>
      <c r="N967" t="s">
        <v>41249</v>
      </c>
      <c r="O967" t="s">
        <v>41250</v>
      </c>
      <c r="P967">
        <v>0</v>
      </c>
      <c r="Q967">
        <v>1</v>
      </c>
      <c r="R967" t="s">
        <v>41251</v>
      </c>
      <c r="S967" t="s">
        <v>41369</v>
      </c>
      <c r="T967" t="s">
        <v>42711</v>
      </c>
      <c r="U967" t="s">
        <v>43373</v>
      </c>
      <c r="W967" t="s">
        <v>37601</v>
      </c>
      <c r="X967" t="s">
        <v>41252</v>
      </c>
    </row>
    <row r="968" spans="1:24">
      <c r="A968">
        <f>HYPERLINK("https://www.philgeps.gov.ph/GEPSNONPILOT/Tender/SplashBidNoticeAbstractUI.aspx?menuIndex=3&amp;refID=7076616&amp;Result=3","7076616")</f>
        <v>0</v>
      </c>
      <c r="B968" t="s">
        <v>496</v>
      </c>
      <c r="C968" t="s">
        <v>4305</v>
      </c>
      <c r="D968" t="s">
        <v>16671</v>
      </c>
      <c r="E968" t="s">
        <v>17629</v>
      </c>
      <c r="F968" t="s">
        <v>28669</v>
      </c>
      <c r="G968" t="s">
        <v>28675</v>
      </c>
      <c r="H968" t="s">
        <v>9998</v>
      </c>
      <c r="I968" t="s">
        <v>7352</v>
      </c>
      <c r="J968" t="s">
        <v>29071</v>
      </c>
      <c r="K968" t="s">
        <v>37205</v>
      </c>
      <c r="M968" t="s">
        <v>37985</v>
      </c>
      <c r="N968" t="s">
        <v>41249</v>
      </c>
      <c r="O968" t="s">
        <v>41250</v>
      </c>
      <c r="P968">
        <v>0</v>
      </c>
      <c r="Q968">
        <v>0</v>
      </c>
      <c r="R968" t="s">
        <v>41251</v>
      </c>
      <c r="S968" t="s">
        <v>41369</v>
      </c>
      <c r="T968" t="s">
        <v>42714</v>
      </c>
      <c r="U968" t="s">
        <v>44046</v>
      </c>
      <c r="W968" t="s">
        <v>37985</v>
      </c>
      <c r="X968" t="s">
        <v>41252</v>
      </c>
    </row>
    <row r="969" spans="1:24">
      <c r="A969">
        <f>HYPERLINK("https://www.philgeps.gov.ph/GEPSNONPILOT/Tender/SplashBidNoticeAbstractUI.aspx?menuIndex=3&amp;refID=7076748&amp;Result=3","7076748")</f>
        <v>0</v>
      </c>
      <c r="B969" t="s">
        <v>497</v>
      </c>
      <c r="C969" t="s">
        <v>4306</v>
      </c>
      <c r="D969" t="s">
        <v>16608</v>
      </c>
      <c r="E969" t="s">
        <v>17630</v>
      </c>
      <c r="F969" t="s">
        <v>28669</v>
      </c>
      <c r="G969" t="s">
        <v>28677</v>
      </c>
      <c r="H969" t="s">
        <v>9998</v>
      </c>
      <c r="I969" t="s">
        <v>11593</v>
      </c>
      <c r="J969" t="s">
        <v>28905</v>
      </c>
      <c r="K969" t="s">
        <v>37209</v>
      </c>
      <c r="M969" t="s">
        <v>37986</v>
      </c>
      <c r="N969" t="s">
        <v>41249</v>
      </c>
      <c r="O969" t="s">
        <v>41250</v>
      </c>
      <c r="P969">
        <v>0</v>
      </c>
      <c r="Q969">
        <v>13</v>
      </c>
      <c r="R969" t="s">
        <v>41251</v>
      </c>
      <c r="S969" t="s">
        <v>41369</v>
      </c>
      <c r="T969" t="s">
        <v>42736</v>
      </c>
      <c r="U969" t="s">
        <v>44047</v>
      </c>
      <c r="V969" t="s">
        <v>54356</v>
      </c>
      <c r="W969" t="s">
        <v>55919</v>
      </c>
      <c r="X969" t="s">
        <v>41252</v>
      </c>
    </row>
    <row r="970" spans="1:24">
      <c r="A970">
        <f>HYPERLINK("https://www.philgeps.gov.ph/GEPSNONPILOT/Tender/SplashBidNoticeAbstractUI.aspx?menuIndex=3&amp;refID=7076612&amp;Result=3","7076612")</f>
        <v>0</v>
      </c>
      <c r="B970" t="s">
        <v>304</v>
      </c>
      <c r="C970" t="s">
        <v>4307</v>
      </c>
      <c r="D970" t="s">
        <v>16628</v>
      </c>
      <c r="E970" t="s">
        <v>17631</v>
      </c>
      <c r="F970" t="s">
        <v>28669</v>
      </c>
      <c r="G970" t="s">
        <v>28676</v>
      </c>
      <c r="H970" t="s">
        <v>9998</v>
      </c>
      <c r="I970" t="s">
        <v>28721</v>
      </c>
      <c r="J970" t="s">
        <v>29545</v>
      </c>
      <c r="K970" t="s">
        <v>37204</v>
      </c>
      <c r="M970" t="s">
        <v>37783</v>
      </c>
      <c r="N970" t="s">
        <v>41249</v>
      </c>
      <c r="O970" t="s">
        <v>41250</v>
      </c>
      <c r="P970">
        <v>0</v>
      </c>
      <c r="Q970">
        <v>0</v>
      </c>
      <c r="R970" t="s">
        <v>41251</v>
      </c>
      <c r="S970" t="s">
        <v>41369</v>
      </c>
      <c r="T970" t="s">
        <v>42726</v>
      </c>
      <c r="U970" t="s">
        <v>43681</v>
      </c>
      <c r="W970" t="s">
        <v>37783</v>
      </c>
      <c r="X970" t="s">
        <v>41252</v>
      </c>
    </row>
    <row r="971" spans="1:24">
      <c r="A971">
        <f>HYPERLINK("https://www.philgeps.gov.ph/GEPSNONPILOT/Tender/SplashBidNoticeAbstractUI.aspx?menuIndex=3&amp;refID=7076692&amp;Result=3","7076692")</f>
        <v>0</v>
      </c>
      <c r="B971" t="s">
        <v>345</v>
      </c>
      <c r="C971" t="s">
        <v>4308</v>
      </c>
      <c r="D971" t="s">
        <v>16666</v>
      </c>
      <c r="E971" t="s">
        <v>17632</v>
      </c>
      <c r="F971" t="s">
        <v>28669</v>
      </c>
      <c r="G971" t="s">
        <v>28678</v>
      </c>
      <c r="H971" t="s">
        <v>9998</v>
      </c>
      <c r="I971" t="s">
        <v>3718</v>
      </c>
      <c r="J971" t="s">
        <v>29546</v>
      </c>
      <c r="K971" t="s">
        <v>37209</v>
      </c>
      <c r="M971" t="s">
        <v>37825</v>
      </c>
      <c r="N971" t="s">
        <v>41249</v>
      </c>
      <c r="O971" t="s">
        <v>41250</v>
      </c>
      <c r="P971">
        <v>0</v>
      </c>
      <c r="Q971">
        <v>4</v>
      </c>
      <c r="R971" t="s">
        <v>41251</v>
      </c>
      <c r="S971" t="s">
        <v>41369</v>
      </c>
      <c r="T971" t="s">
        <v>42711</v>
      </c>
      <c r="U971" t="s">
        <v>43748</v>
      </c>
      <c r="W971" t="s">
        <v>37825</v>
      </c>
      <c r="X971" t="s">
        <v>41252</v>
      </c>
    </row>
    <row r="972" spans="1:24">
      <c r="A972">
        <f>HYPERLINK("https://www.philgeps.gov.ph/GEPSNONPILOT/Tender/SplashBidNoticeAbstractUI.aspx?menuIndex=3&amp;refID=7076741&amp;Result=3","7076741")</f>
        <v>0</v>
      </c>
      <c r="B972" t="s">
        <v>498</v>
      </c>
      <c r="C972" t="s">
        <v>4309</v>
      </c>
      <c r="D972" t="s">
        <v>16666</v>
      </c>
      <c r="E972" t="s">
        <v>17633</v>
      </c>
      <c r="F972" t="s">
        <v>28669</v>
      </c>
      <c r="G972" t="s">
        <v>28677</v>
      </c>
      <c r="H972" t="s">
        <v>9998</v>
      </c>
      <c r="I972" t="s">
        <v>28704</v>
      </c>
      <c r="J972" t="s">
        <v>29547</v>
      </c>
      <c r="K972" t="s">
        <v>37208</v>
      </c>
      <c r="M972" t="s">
        <v>37987</v>
      </c>
      <c r="N972" t="s">
        <v>41249</v>
      </c>
      <c r="O972" t="s">
        <v>41250</v>
      </c>
      <c r="P972">
        <v>0</v>
      </c>
      <c r="Q972">
        <v>0</v>
      </c>
      <c r="R972" t="s">
        <v>41251</v>
      </c>
      <c r="S972" t="s">
        <v>41369</v>
      </c>
      <c r="T972" t="s">
        <v>42736</v>
      </c>
      <c r="U972" t="s">
        <v>44048</v>
      </c>
      <c r="W972" t="s">
        <v>37987</v>
      </c>
      <c r="X972" t="s">
        <v>41252</v>
      </c>
    </row>
    <row r="973" spans="1:24">
      <c r="A973">
        <f>HYPERLINK("https://www.philgeps.gov.ph/GEPSNONPILOT/Tender/SplashBidNoticeAbstractUI.aspx?menuIndex=3&amp;refID=7076589&amp;Result=3","7076589")</f>
        <v>0</v>
      </c>
      <c r="B973" t="s">
        <v>304</v>
      </c>
      <c r="C973" t="s">
        <v>4310</v>
      </c>
      <c r="D973" t="s">
        <v>16628</v>
      </c>
      <c r="E973" t="s">
        <v>17634</v>
      </c>
      <c r="F973" t="s">
        <v>28669</v>
      </c>
      <c r="G973" t="s">
        <v>28676</v>
      </c>
      <c r="H973" t="s">
        <v>9998</v>
      </c>
      <c r="I973" t="s">
        <v>6606</v>
      </c>
      <c r="J973" t="s">
        <v>29548</v>
      </c>
      <c r="K973" t="s">
        <v>37204</v>
      </c>
      <c r="M973" t="s">
        <v>37783</v>
      </c>
      <c r="N973" t="s">
        <v>41249</v>
      </c>
      <c r="O973" t="s">
        <v>41250</v>
      </c>
      <c r="P973">
        <v>0</v>
      </c>
      <c r="Q973">
        <v>0</v>
      </c>
      <c r="R973" t="s">
        <v>41251</v>
      </c>
      <c r="S973" t="s">
        <v>41369</v>
      </c>
      <c r="T973" t="s">
        <v>42726</v>
      </c>
      <c r="U973" t="s">
        <v>43681</v>
      </c>
      <c r="W973" t="s">
        <v>37783</v>
      </c>
      <c r="X973" t="s">
        <v>41252</v>
      </c>
    </row>
    <row r="974" spans="1:24">
      <c r="A974">
        <f>HYPERLINK("https://www.philgeps.gov.ph/GEPSNONPILOT/Tender/SplashBidNoticeAbstractUI.aspx?menuIndex=3&amp;refID=7076567&amp;Result=3","7076567")</f>
        <v>0</v>
      </c>
      <c r="B974" t="s">
        <v>81</v>
      </c>
      <c r="C974" t="s">
        <v>4311</v>
      </c>
      <c r="E974" t="s">
        <v>17635</v>
      </c>
      <c r="F974" t="s">
        <v>28669</v>
      </c>
      <c r="G974" t="s">
        <v>28676</v>
      </c>
      <c r="H974" t="s">
        <v>9998</v>
      </c>
      <c r="I974" t="s">
        <v>28706</v>
      </c>
      <c r="J974" t="s">
        <v>28905</v>
      </c>
      <c r="K974" t="s">
        <v>37209</v>
      </c>
      <c r="M974" t="s">
        <v>37556</v>
      </c>
      <c r="N974" t="s">
        <v>41249</v>
      </c>
      <c r="O974" t="s">
        <v>41250</v>
      </c>
      <c r="P974">
        <v>0</v>
      </c>
      <c r="Q974">
        <v>5</v>
      </c>
      <c r="R974" t="s">
        <v>41251</v>
      </c>
      <c r="S974" t="s">
        <v>41369</v>
      </c>
      <c r="T974" t="s">
        <v>42706</v>
      </c>
      <c r="U974" t="s">
        <v>44049</v>
      </c>
      <c r="W974" t="s">
        <v>37556</v>
      </c>
      <c r="X974" t="s">
        <v>41252</v>
      </c>
    </row>
    <row r="975" spans="1:24">
      <c r="A975">
        <f>HYPERLINK("https://www.philgeps.gov.ph/GEPSNONPILOT/Tender/SplashBidNoticeAbstractUI.aspx?menuIndex=3&amp;refID=7076615&amp;Result=3","7076615")</f>
        <v>0</v>
      </c>
      <c r="B975" t="s">
        <v>136</v>
      </c>
      <c r="C975" t="s">
        <v>4312</v>
      </c>
      <c r="D975" t="s">
        <v>16642</v>
      </c>
      <c r="E975" t="s">
        <v>17636</v>
      </c>
      <c r="F975" t="s">
        <v>28669</v>
      </c>
      <c r="G975" t="s">
        <v>28676</v>
      </c>
      <c r="H975" t="s">
        <v>9998</v>
      </c>
      <c r="I975" t="s">
        <v>28704</v>
      </c>
      <c r="J975" t="s">
        <v>29549</v>
      </c>
      <c r="K975" t="s">
        <v>37216</v>
      </c>
      <c r="M975" t="s">
        <v>37613</v>
      </c>
      <c r="N975" t="s">
        <v>41249</v>
      </c>
      <c r="O975" t="s">
        <v>41250</v>
      </c>
      <c r="P975">
        <v>0</v>
      </c>
      <c r="Q975">
        <v>2</v>
      </c>
      <c r="R975" t="s">
        <v>41251</v>
      </c>
      <c r="S975" t="s">
        <v>41369</v>
      </c>
      <c r="T975" t="s">
        <v>42766</v>
      </c>
      <c r="U975" t="s">
        <v>44050</v>
      </c>
      <c r="V975" t="s">
        <v>54313</v>
      </c>
      <c r="W975" t="s">
        <v>55905</v>
      </c>
      <c r="X975" t="s">
        <v>41252</v>
      </c>
    </row>
    <row r="976" spans="1:24">
      <c r="A976">
        <f>HYPERLINK("https://www.philgeps.gov.ph/GEPSNONPILOT/Tender/SplashBidNoticeAbstractUI.aspx?menuIndex=3&amp;refID=7076564&amp;Result=3","7076564")</f>
        <v>0</v>
      </c>
      <c r="B976" t="s">
        <v>59</v>
      </c>
      <c r="C976" t="s">
        <v>4313</v>
      </c>
      <c r="D976" t="s">
        <v>16639</v>
      </c>
      <c r="E976" t="s">
        <v>17637</v>
      </c>
      <c r="F976" t="s">
        <v>28669</v>
      </c>
      <c r="G976" t="s">
        <v>28676</v>
      </c>
      <c r="H976" t="s">
        <v>9998</v>
      </c>
      <c r="I976" t="s">
        <v>6606</v>
      </c>
      <c r="J976" t="s">
        <v>29217</v>
      </c>
      <c r="K976" t="s">
        <v>37209</v>
      </c>
      <c r="M976" t="s">
        <v>37534</v>
      </c>
      <c r="N976" t="s">
        <v>41249</v>
      </c>
      <c r="O976" t="s">
        <v>41250</v>
      </c>
      <c r="P976">
        <v>0</v>
      </c>
      <c r="Q976">
        <v>1</v>
      </c>
      <c r="R976" t="s">
        <v>41251</v>
      </c>
      <c r="S976" t="s">
        <v>41369</v>
      </c>
      <c r="T976" t="s">
        <v>42694</v>
      </c>
      <c r="U976" t="s">
        <v>43643</v>
      </c>
      <c r="W976" t="s">
        <v>37534</v>
      </c>
      <c r="X976" t="s">
        <v>41252</v>
      </c>
    </row>
    <row r="977" spans="1:24">
      <c r="A977">
        <f>HYPERLINK("https://www.philgeps.gov.ph/GEPSNONPILOT/Tender/SplashBidNoticeAbstractUI.aspx?menuIndex=3&amp;refID=7076591&amp;Result=3","7076591")</f>
        <v>0</v>
      </c>
      <c r="B977" t="s">
        <v>293</v>
      </c>
      <c r="C977" t="s">
        <v>4314</v>
      </c>
      <c r="D977" t="s">
        <v>16668</v>
      </c>
      <c r="E977" t="s">
        <v>17638</v>
      </c>
      <c r="F977" t="s">
        <v>28669</v>
      </c>
      <c r="G977" t="s">
        <v>28675</v>
      </c>
      <c r="H977" t="s">
        <v>28685</v>
      </c>
      <c r="I977" t="s">
        <v>28689</v>
      </c>
      <c r="J977" t="s">
        <v>29550</v>
      </c>
      <c r="K977" t="s">
        <v>37215</v>
      </c>
      <c r="M977" t="s">
        <v>37772</v>
      </c>
      <c r="N977" t="s">
        <v>41249</v>
      </c>
      <c r="O977" t="s">
        <v>41250</v>
      </c>
      <c r="P977">
        <v>0</v>
      </c>
      <c r="Q977">
        <v>0</v>
      </c>
      <c r="R977" t="s">
        <v>41251</v>
      </c>
      <c r="S977" t="s">
        <v>41369</v>
      </c>
      <c r="T977" t="s">
        <v>42712</v>
      </c>
      <c r="U977" t="s">
        <v>44051</v>
      </c>
      <c r="W977" t="s">
        <v>37772</v>
      </c>
      <c r="X977" t="s">
        <v>41252</v>
      </c>
    </row>
    <row r="978" spans="1:24">
      <c r="A978">
        <f>HYPERLINK("https://www.philgeps.gov.ph/GEPSNONPILOT/Tender/SplashBidNoticeAbstractUI.aspx?menuIndex=3&amp;refID=7077142&amp;Result=3","7077142")</f>
        <v>0</v>
      </c>
      <c r="B978" t="s">
        <v>499</v>
      </c>
      <c r="C978" t="s">
        <v>4315</v>
      </c>
      <c r="D978" t="s">
        <v>16655</v>
      </c>
      <c r="E978" t="s">
        <v>17639</v>
      </c>
      <c r="F978" t="s">
        <v>28669</v>
      </c>
      <c r="G978" t="s">
        <v>28676</v>
      </c>
      <c r="H978" t="s">
        <v>9998</v>
      </c>
      <c r="I978" t="s">
        <v>28706</v>
      </c>
      <c r="J978" t="s">
        <v>28905</v>
      </c>
      <c r="K978" t="s">
        <v>37234</v>
      </c>
      <c r="M978" t="s">
        <v>37988</v>
      </c>
      <c r="N978" t="s">
        <v>41249</v>
      </c>
      <c r="O978" t="s">
        <v>41250</v>
      </c>
      <c r="P978">
        <v>0</v>
      </c>
      <c r="Q978">
        <v>1</v>
      </c>
      <c r="R978" t="s">
        <v>41251</v>
      </c>
      <c r="S978" t="s">
        <v>41369</v>
      </c>
      <c r="T978" t="s">
        <v>42717</v>
      </c>
      <c r="U978" t="s">
        <v>44052</v>
      </c>
      <c r="V978" t="s">
        <v>54357</v>
      </c>
      <c r="W978" t="s">
        <v>37988</v>
      </c>
      <c r="X978" t="s">
        <v>41252</v>
      </c>
    </row>
    <row r="979" spans="1:24">
      <c r="A979">
        <f>HYPERLINK("https://www.philgeps.gov.ph/GEPSNONPILOT/Tender/SplashBidNoticeAbstractUI.aspx?menuIndex=3&amp;refID=7076588&amp;Result=3","7076588")</f>
        <v>0</v>
      </c>
      <c r="B979" t="s">
        <v>500</v>
      </c>
      <c r="C979" t="s">
        <v>4316</v>
      </c>
      <c r="D979" t="s">
        <v>16657</v>
      </c>
      <c r="E979" t="s">
        <v>17640</v>
      </c>
      <c r="F979" t="s">
        <v>28669</v>
      </c>
      <c r="G979" t="s">
        <v>28675</v>
      </c>
      <c r="H979" t="s">
        <v>9998</v>
      </c>
      <c r="I979" t="s">
        <v>7352</v>
      </c>
      <c r="J979" t="s">
        <v>29551</v>
      </c>
      <c r="K979" t="s">
        <v>37216</v>
      </c>
      <c r="M979" t="s">
        <v>37989</v>
      </c>
      <c r="N979" t="s">
        <v>41249</v>
      </c>
      <c r="O979" t="s">
        <v>41250</v>
      </c>
      <c r="P979">
        <v>0</v>
      </c>
      <c r="Q979">
        <v>2</v>
      </c>
      <c r="R979" t="s">
        <v>41251</v>
      </c>
      <c r="S979" t="s">
        <v>41369</v>
      </c>
      <c r="T979" t="s">
        <v>42682</v>
      </c>
      <c r="U979" t="s">
        <v>44053</v>
      </c>
      <c r="W979" t="s">
        <v>37989</v>
      </c>
      <c r="X979" t="s">
        <v>41252</v>
      </c>
    </row>
    <row r="980" spans="1:24">
      <c r="A980">
        <f>HYPERLINK("https://www.philgeps.gov.ph/GEPSNONPILOT/Tender/SplashBidNoticeAbstractUI.aspx?menuIndex=3&amp;refID=7076568&amp;Result=3","7076568")</f>
        <v>0</v>
      </c>
      <c r="B980" t="s">
        <v>309</v>
      </c>
      <c r="C980" t="s">
        <v>4317</v>
      </c>
      <c r="D980" t="s">
        <v>16626</v>
      </c>
      <c r="E980" t="s">
        <v>17641</v>
      </c>
      <c r="F980" t="s">
        <v>28669</v>
      </c>
      <c r="G980" t="s">
        <v>28676</v>
      </c>
      <c r="H980" t="s">
        <v>9998</v>
      </c>
      <c r="I980" t="s">
        <v>28688</v>
      </c>
      <c r="J980" t="s">
        <v>29552</v>
      </c>
      <c r="K980" t="s">
        <v>37209</v>
      </c>
      <c r="M980" t="s">
        <v>37788</v>
      </c>
      <c r="N980" t="s">
        <v>41249</v>
      </c>
      <c r="O980" t="s">
        <v>41250</v>
      </c>
      <c r="P980">
        <v>0</v>
      </c>
      <c r="Q980">
        <v>3</v>
      </c>
      <c r="R980" t="s">
        <v>41251</v>
      </c>
      <c r="S980" t="s">
        <v>41369</v>
      </c>
      <c r="T980" t="s">
        <v>42694</v>
      </c>
      <c r="U980" t="s">
        <v>44054</v>
      </c>
      <c r="W980" t="s">
        <v>37788</v>
      </c>
      <c r="X980" t="s">
        <v>41252</v>
      </c>
    </row>
    <row r="981" spans="1:24">
      <c r="A981">
        <f>HYPERLINK("https://www.philgeps.gov.ph/GEPSNONPILOT/Tender/SplashBidNoticeAbstractUI.aspx?menuIndex=3&amp;refID=7076542&amp;Result=3","7076542")</f>
        <v>0</v>
      </c>
      <c r="B981" t="s">
        <v>179</v>
      </c>
      <c r="C981" t="s">
        <v>4318</v>
      </c>
      <c r="D981" t="s">
        <v>16647</v>
      </c>
      <c r="E981" t="s">
        <v>17642</v>
      </c>
      <c r="F981" t="s">
        <v>28669</v>
      </c>
      <c r="G981" t="s">
        <v>28675</v>
      </c>
      <c r="H981" t="s">
        <v>28686</v>
      </c>
      <c r="I981" t="s">
        <v>28689</v>
      </c>
      <c r="J981" t="s">
        <v>28836</v>
      </c>
      <c r="K981" t="s">
        <v>37205</v>
      </c>
      <c r="M981" t="s">
        <v>37656</v>
      </c>
      <c r="N981" t="s">
        <v>41249</v>
      </c>
      <c r="O981" t="s">
        <v>41250</v>
      </c>
      <c r="P981">
        <v>0</v>
      </c>
      <c r="Q981">
        <v>2</v>
      </c>
      <c r="R981" t="s">
        <v>41251</v>
      </c>
      <c r="S981" t="s">
        <v>41369</v>
      </c>
      <c r="T981" t="s">
        <v>42688</v>
      </c>
      <c r="U981" t="s">
        <v>44055</v>
      </c>
      <c r="W981" t="s">
        <v>37656</v>
      </c>
      <c r="X981" t="s">
        <v>41252</v>
      </c>
    </row>
    <row r="982" spans="1:24">
      <c r="A982">
        <f>HYPERLINK("https://www.philgeps.gov.ph/GEPSNONPILOT/Tender/SplashBidNoticeAbstractUI.aspx?menuIndex=3&amp;refID=7076541&amp;Result=3","7076541")</f>
        <v>0</v>
      </c>
      <c r="B982" t="s">
        <v>81</v>
      </c>
      <c r="C982" t="s">
        <v>4319</v>
      </c>
      <c r="E982" t="s">
        <v>17643</v>
      </c>
      <c r="F982" t="s">
        <v>28669</v>
      </c>
      <c r="G982" t="s">
        <v>28676</v>
      </c>
      <c r="H982" t="s">
        <v>9998</v>
      </c>
      <c r="I982" t="s">
        <v>28706</v>
      </c>
      <c r="J982" t="s">
        <v>29364</v>
      </c>
      <c r="K982" t="s">
        <v>37209</v>
      </c>
      <c r="M982" t="s">
        <v>37556</v>
      </c>
      <c r="N982" t="s">
        <v>41249</v>
      </c>
      <c r="O982" t="s">
        <v>41250</v>
      </c>
      <c r="P982">
        <v>0</v>
      </c>
      <c r="Q982">
        <v>3</v>
      </c>
      <c r="R982" t="s">
        <v>41251</v>
      </c>
      <c r="S982" t="s">
        <v>41369</v>
      </c>
      <c r="T982" t="s">
        <v>42706</v>
      </c>
      <c r="U982" t="s">
        <v>44056</v>
      </c>
      <c r="W982" t="s">
        <v>37556</v>
      </c>
      <c r="X982" t="s">
        <v>41252</v>
      </c>
    </row>
    <row r="983" spans="1:24">
      <c r="A983">
        <f>HYPERLINK("https://www.philgeps.gov.ph/GEPSNONPILOT/Tender/SplashBidNoticeAbstractUI.aspx?menuIndex=3&amp;refID=7076614&amp;Result=3","7076614")</f>
        <v>0</v>
      </c>
      <c r="B983" t="s">
        <v>295</v>
      </c>
      <c r="C983" t="s">
        <v>4320</v>
      </c>
      <c r="D983" t="s">
        <v>16648</v>
      </c>
      <c r="E983" t="s">
        <v>17644</v>
      </c>
      <c r="F983" t="s">
        <v>28669</v>
      </c>
      <c r="G983" t="s">
        <v>28675</v>
      </c>
      <c r="H983" t="s">
        <v>28686</v>
      </c>
      <c r="I983" t="s">
        <v>28689</v>
      </c>
      <c r="J983" t="s">
        <v>29553</v>
      </c>
      <c r="K983" t="s">
        <v>37212</v>
      </c>
      <c r="L983" t="s">
        <v>295</v>
      </c>
      <c r="M983" t="s">
        <v>37774</v>
      </c>
      <c r="N983" t="s">
        <v>41249</v>
      </c>
      <c r="O983" t="s">
        <v>41250</v>
      </c>
      <c r="P983">
        <v>0</v>
      </c>
      <c r="Q983">
        <v>0</v>
      </c>
      <c r="R983" t="s">
        <v>41251</v>
      </c>
      <c r="S983" t="s">
        <v>41369</v>
      </c>
      <c r="T983" t="s">
        <v>42692</v>
      </c>
      <c r="U983" t="s">
        <v>44057</v>
      </c>
      <c r="V983" t="s">
        <v>54358</v>
      </c>
      <c r="W983" t="s">
        <v>37774</v>
      </c>
      <c r="X983" t="s">
        <v>41252</v>
      </c>
    </row>
    <row r="984" spans="1:24">
      <c r="A984">
        <f>HYPERLINK("https://www.philgeps.gov.ph/GEPSNONPILOT/Tender/SplashBidNoticeAbstractUI.aspx?menuIndex=3&amp;refID=7076563&amp;Result=3","7076563")</f>
        <v>0</v>
      </c>
      <c r="B984" t="s">
        <v>259</v>
      </c>
      <c r="C984" t="s">
        <v>4039</v>
      </c>
      <c r="D984" t="s">
        <v>16615</v>
      </c>
      <c r="E984" t="s">
        <v>17645</v>
      </c>
      <c r="F984" t="s">
        <v>28669</v>
      </c>
      <c r="G984" t="s">
        <v>28676</v>
      </c>
      <c r="H984" t="s">
        <v>9998</v>
      </c>
      <c r="I984" t="s">
        <v>6128</v>
      </c>
      <c r="J984" t="s">
        <v>29554</v>
      </c>
      <c r="K984" t="s">
        <v>37205</v>
      </c>
      <c r="M984" t="s">
        <v>37737</v>
      </c>
      <c r="N984" t="s">
        <v>41249</v>
      </c>
      <c r="O984" t="s">
        <v>41250</v>
      </c>
      <c r="P984">
        <v>0</v>
      </c>
      <c r="Q984">
        <v>0</v>
      </c>
      <c r="R984" t="s">
        <v>41251</v>
      </c>
      <c r="S984" t="s">
        <v>41369</v>
      </c>
      <c r="T984" t="s">
        <v>42682</v>
      </c>
      <c r="U984" t="s">
        <v>44058</v>
      </c>
      <c r="W984" t="s">
        <v>37737</v>
      </c>
      <c r="X984" t="s">
        <v>41252</v>
      </c>
    </row>
    <row r="985" spans="1:24">
      <c r="A985">
        <f>HYPERLINK("https://www.philgeps.gov.ph/GEPSNONPILOT/Tender/SplashBidNoticeAbstractUI.aspx?menuIndex=3&amp;refID=7076592&amp;Result=3","7076592")</f>
        <v>0</v>
      </c>
      <c r="B985" t="s">
        <v>501</v>
      </c>
      <c r="C985" t="s">
        <v>3788</v>
      </c>
      <c r="D985" t="s">
        <v>16621</v>
      </c>
      <c r="E985" t="s">
        <v>17646</v>
      </c>
      <c r="F985" t="s">
        <v>28669</v>
      </c>
      <c r="G985" t="s">
        <v>28678</v>
      </c>
      <c r="H985" t="s">
        <v>9998</v>
      </c>
      <c r="I985" t="s">
        <v>6128</v>
      </c>
      <c r="J985" t="s">
        <v>29555</v>
      </c>
      <c r="K985" t="s">
        <v>37210</v>
      </c>
      <c r="M985" t="s">
        <v>37990</v>
      </c>
      <c r="N985" t="s">
        <v>41249</v>
      </c>
      <c r="O985" t="s">
        <v>41250</v>
      </c>
      <c r="P985">
        <v>0</v>
      </c>
      <c r="Q985">
        <v>3</v>
      </c>
      <c r="R985" t="s">
        <v>41251</v>
      </c>
      <c r="S985" t="s">
        <v>41369</v>
      </c>
      <c r="T985" t="s">
        <v>42673</v>
      </c>
      <c r="U985" t="s">
        <v>44059</v>
      </c>
      <c r="W985" t="s">
        <v>37990</v>
      </c>
      <c r="X985" t="s">
        <v>41252</v>
      </c>
    </row>
    <row r="986" spans="1:24">
      <c r="A986">
        <f>HYPERLINK("https://www.philgeps.gov.ph/GEPSNONPILOT/Tender/SplashBidNoticeAbstractUI.aspx?menuIndex=3&amp;refID=7077194&amp;Result=3","7077194")</f>
        <v>0</v>
      </c>
      <c r="B986" t="s">
        <v>391</v>
      </c>
      <c r="C986" t="s">
        <v>4321</v>
      </c>
      <c r="D986" t="s">
        <v>16673</v>
      </c>
      <c r="E986" t="s">
        <v>17647</v>
      </c>
      <c r="F986" t="s">
        <v>28669</v>
      </c>
      <c r="G986" t="s">
        <v>28675</v>
      </c>
      <c r="H986" t="s">
        <v>9998</v>
      </c>
      <c r="I986" t="s">
        <v>5213</v>
      </c>
      <c r="J986" t="s">
        <v>29556</v>
      </c>
      <c r="K986" t="s">
        <v>37206</v>
      </c>
      <c r="M986" t="s">
        <v>37875</v>
      </c>
      <c r="N986" t="s">
        <v>41249</v>
      </c>
      <c r="O986" t="s">
        <v>41250</v>
      </c>
      <c r="P986">
        <v>0</v>
      </c>
      <c r="Q986">
        <v>1</v>
      </c>
      <c r="R986" t="s">
        <v>41251</v>
      </c>
      <c r="S986" t="s">
        <v>41369</v>
      </c>
      <c r="T986" t="s">
        <v>42709</v>
      </c>
      <c r="U986" t="s">
        <v>44060</v>
      </c>
      <c r="W986" t="s">
        <v>37875</v>
      </c>
      <c r="X986" t="s">
        <v>41252</v>
      </c>
    </row>
    <row r="987" spans="1:24">
      <c r="A987">
        <f>HYPERLINK("https://www.philgeps.gov.ph/GEPSNONPILOT/Tender/SplashBidNoticeAbstractUI.aspx?menuIndex=3&amp;refID=7076562&amp;Result=3","7076562")</f>
        <v>0</v>
      </c>
      <c r="B987" t="s">
        <v>264</v>
      </c>
      <c r="C987" t="s">
        <v>4322</v>
      </c>
      <c r="D987" t="s">
        <v>16654</v>
      </c>
      <c r="E987" t="s">
        <v>17648</v>
      </c>
      <c r="F987" t="s">
        <v>28669</v>
      </c>
      <c r="G987" t="s">
        <v>28676</v>
      </c>
      <c r="H987" t="s">
        <v>9998</v>
      </c>
      <c r="I987" t="s">
        <v>5213</v>
      </c>
      <c r="J987" t="s">
        <v>29557</v>
      </c>
      <c r="K987" t="s">
        <v>37270</v>
      </c>
      <c r="M987" t="s">
        <v>37742</v>
      </c>
      <c r="N987" t="s">
        <v>41249</v>
      </c>
      <c r="O987" t="s">
        <v>41250</v>
      </c>
      <c r="P987">
        <v>0</v>
      </c>
      <c r="Q987">
        <v>4</v>
      </c>
      <c r="R987" t="s">
        <v>41251</v>
      </c>
      <c r="S987" t="s">
        <v>41369</v>
      </c>
      <c r="T987" t="s">
        <v>42675</v>
      </c>
      <c r="U987" t="s">
        <v>44061</v>
      </c>
      <c r="W987" t="s">
        <v>37742</v>
      </c>
      <c r="X987" t="s">
        <v>41252</v>
      </c>
    </row>
    <row r="988" spans="1:24">
      <c r="A988">
        <f>HYPERLINK("https://www.philgeps.gov.ph/GEPSNONPILOT/Tender/SplashBidNoticeAbstractUI.aspx?menuIndex=3&amp;refID=7077192&amp;Result=3","7077192")</f>
        <v>0</v>
      </c>
      <c r="B988" t="s">
        <v>301</v>
      </c>
      <c r="C988" t="s">
        <v>4323</v>
      </c>
      <c r="D988" t="s">
        <v>16624</v>
      </c>
      <c r="E988" t="s">
        <v>17649</v>
      </c>
      <c r="F988" t="s">
        <v>28669</v>
      </c>
      <c r="G988" t="s">
        <v>28676</v>
      </c>
      <c r="H988" t="s">
        <v>9998</v>
      </c>
      <c r="I988" t="s">
        <v>7352</v>
      </c>
      <c r="J988" t="s">
        <v>29558</v>
      </c>
      <c r="K988" t="s">
        <v>37206</v>
      </c>
      <c r="M988" t="s">
        <v>37780</v>
      </c>
      <c r="N988" t="s">
        <v>41249</v>
      </c>
      <c r="O988" t="s">
        <v>41250</v>
      </c>
      <c r="P988">
        <v>0</v>
      </c>
      <c r="Q988">
        <v>0</v>
      </c>
      <c r="R988" t="s">
        <v>41251</v>
      </c>
      <c r="S988" t="s">
        <v>41369</v>
      </c>
      <c r="T988" t="s">
        <v>42675</v>
      </c>
      <c r="U988" t="s">
        <v>44062</v>
      </c>
      <c r="W988" t="s">
        <v>37780</v>
      </c>
      <c r="X988" t="s">
        <v>41252</v>
      </c>
    </row>
    <row r="989" spans="1:24">
      <c r="A989">
        <f>HYPERLINK("https://www.philgeps.gov.ph/GEPSNONPILOT/Tender/SplashBidNoticeAbstractUI.aspx?menuIndex=3&amp;refID=7076561&amp;Result=3","7076561")</f>
        <v>0</v>
      </c>
      <c r="B989" t="s">
        <v>125</v>
      </c>
      <c r="C989" t="s">
        <v>4324</v>
      </c>
      <c r="D989" t="s">
        <v>16660</v>
      </c>
      <c r="E989" t="s">
        <v>17650</v>
      </c>
      <c r="F989" t="s">
        <v>28669</v>
      </c>
      <c r="G989" t="s">
        <v>28677</v>
      </c>
      <c r="H989" t="s">
        <v>9998</v>
      </c>
      <c r="I989" t="s">
        <v>6458</v>
      </c>
      <c r="J989" t="s">
        <v>29559</v>
      </c>
      <c r="K989" t="s">
        <v>37210</v>
      </c>
      <c r="M989" t="s">
        <v>37601</v>
      </c>
      <c r="N989" t="s">
        <v>41249</v>
      </c>
      <c r="O989" t="s">
        <v>41250</v>
      </c>
      <c r="P989">
        <v>0</v>
      </c>
      <c r="Q989">
        <v>1</v>
      </c>
      <c r="R989" t="s">
        <v>41251</v>
      </c>
      <c r="S989" t="s">
        <v>41369</v>
      </c>
      <c r="T989" t="s">
        <v>42694</v>
      </c>
      <c r="U989" t="s">
        <v>43373</v>
      </c>
      <c r="W989" t="s">
        <v>37601</v>
      </c>
      <c r="X989" t="s">
        <v>41252</v>
      </c>
    </row>
    <row r="990" spans="1:24">
      <c r="A990">
        <f>HYPERLINK("https://www.philgeps.gov.ph/GEPSNONPILOT/Tender/SplashBidNoticeAbstractUI.aspx?menuIndex=3&amp;refID=7077185&amp;Result=3","7077185")</f>
        <v>0</v>
      </c>
      <c r="B990" t="s">
        <v>454</v>
      </c>
      <c r="C990" t="s">
        <v>4325</v>
      </c>
      <c r="D990" t="s">
        <v>16661</v>
      </c>
      <c r="E990" t="s">
        <v>17651</v>
      </c>
      <c r="F990" t="s">
        <v>28669</v>
      </c>
      <c r="G990" t="s">
        <v>28676</v>
      </c>
      <c r="H990" t="s">
        <v>9998</v>
      </c>
      <c r="I990" t="s">
        <v>6606</v>
      </c>
      <c r="J990" t="s">
        <v>29560</v>
      </c>
      <c r="K990" t="s">
        <v>37209</v>
      </c>
      <c r="M990" t="s">
        <v>37942</v>
      </c>
      <c r="N990" t="s">
        <v>41249</v>
      </c>
      <c r="O990" t="s">
        <v>41250</v>
      </c>
      <c r="P990">
        <v>0</v>
      </c>
      <c r="Q990">
        <v>0</v>
      </c>
      <c r="R990" t="s">
        <v>41251</v>
      </c>
      <c r="S990" t="s">
        <v>41369</v>
      </c>
      <c r="T990" t="s">
        <v>42799</v>
      </c>
      <c r="U990" t="s">
        <v>44063</v>
      </c>
      <c r="W990" t="s">
        <v>37942</v>
      </c>
      <c r="X990" t="s">
        <v>41252</v>
      </c>
    </row>
    <row r="991" spans="1:24">
      <c r="A991">
        <f>HYPERLINK("https://www.philgeps.gov.ph/GEPSNONPILOT/Tender/SplashBidNoticeAbstractUI.aspx?menuIndex=3&amp;refID=7077183&amp;Result=3","7077183")</f>
        <v>0</v>
      </c>
      <c r="B991" t="s">
        <v>391</v>
      </c>
      <c r="C991" t="s">
        <v>4326</v>
      </c>
      <c r="D991" t="s">
        <v>16673</v>
      </c>
      <c r="E991" t="s">
        <v>17652</v>
      </c>
      <c r="F991" t="s">
        <v>28669</v>
      </c>
      <c r="G991" t="s">
        <v>28675</v>
      </c>
      <c r="H991" t="s">
        <v>9998</v>
      </c>
      <c r="I991" t="s">
        <v>28690</v>
      </c>
      <c r="J991" t="s">
        <v>29561</v>
      </c>
      <c r="K991" t="s">
        <v>37206</v>
      </c>
      <c r="M991" t="s">
        <v>37875</v>
      </c>
      <c r="N991" t="s">
        <v>41249</v>
      </c>
      <c r="O991" t="s">
        <v>41250</v>
      </c>
      <c r="P991">
        <v>0</v>
      </c>
      <c r="Q991">
        <v>4</v>
      </c>
      <c r="R991" t="s">
        <v>41251</v>
      </c>
      <c r="S991" t="s">
        <v>41369</v>
      </c>
      <c r="T991" t="s">
        <v>42709</v>
      </c>
      <c r="U991" t="s">
        <v>44064</v>
      </c>
      <c r="W991" t="s">
        <v>37875</v>
      </c>
      <c r="X991" t="s">
        <v>41252</v>
      </c>
    </row>
    <row r="992" spans="1:24">
      <c r="A992">
        <f>HYPERLINK("https://www.philgeps.gov.ph/GEPSNONPILOT/Tender/SplashBidNoticeAbstractUI.aspx?menuIndex=3&amp;refID=7077182&amp;Result=3","7077182")</f>
        <v>0</v>
      </c>
      <c r="B992" t="s">
        <v>262</v>
      </c>
      <c r="C992" t="s">
        <v>4327</v>
      </c>
      <c r="D992" t="s">
        <v>16678</v>
      </c>
      <c r="E992" t="s">
        <v>17653</v>
      </c>
      <c r="F992" t="s">
        <v>28669</v>
      </c>
      <c r="G992" t="s">
        <v>28676</v>
      </c>
      <c r="H992" t="s">
        <v>9998</v>
      </c>
      <c r="I992" t="s">
        <v>28751</v>
      </c>
      <c r="J992" t="s">
        <v>29135</v>
      </c>
      <c r="K992" t="s">
        <v>37204</v>
      </c>
      <c r="M992" t="s">
        <v>37740</v>
      </c>
      <c r="N992" t="s">
        <v>41249</v>
      </c>
      <c r="O992" t="s">
        <v>41250</v>
      </c>
      <c r="P992">
        <v>0</v>
      </c>
      <c r="Q992">
        <v>1</v>
      </c>
      <c r="R992" t="s">
        <v>41251</v>
      </c>
      <c r="S992" t="s">
        <v>41369</v>
      </c>
      <c r="T992" t="s">
        <v>42673</v>
      </c>
      <c r="U992" t="s">
        <v>44065</v>
      </c>
      <c r="W992" t="s">
        <v>37740</v>
      </c>
      <c r="X992" t="s">
        <v>41252</v>
      </c>
    </row>
    <row r="993" spans="1:24">
      <c r="A993">
        <f>HYPERLINK("https://www.philgeps.gov.ph/GEPSNONPILOT/Tender/SplashBidNoticeAbstractUI.aspx?menuIndex=3&amp;refID=7077178&amp;Result=3","7077178")</f>
        <v>0</v>
      </c>
      <c r="B993" t="s">
        <v>474</v>
      </c>
      <c r="C993" t="s">
        <v>4328</v>
      </c>
      <c r="D993" t="s">
        <v>16668</v>
      </c>
      <c r="E993" t="s">
        <v>17654</v>
      </c>
      <c r="F993" t="s">
        <v>28669</v>
      </c>
      <c r="G993" t="s">
        <v>28676</v>
      </c>
      <c r="H993" t="s">
        <v>9998</v>
      </c>
      <c r="I993" t="s">
        <v>3679</v>
      </c>
      <c r="J993" t="s">
        <v>29562</v>
      </c>
      <c r="K993" t="s">
        <v>37209</v>
      </c>
      <c r="L993" t="s">
        <v>474</v>
      </c>
      <c r="M993" t="s">
        <v>37962</v>
      </c>
      <c r="N993" t="s">
        <v>41249</v>
      </c>
      <c r="O993" t="s">
        <v>41250</v>
      </c>
      <c r="P993">
        <v>0</v>
      </c>
      <c r="Q993">
        <v>1</v>
      </c>
      <c r="R993" t="s">
        <v>41251</v>
      </c>
      <c r="S993" t="s">
        <v>41369</v>
      </c>
      <c r="T993" t="s">
        <v>42703</v>
      </c>
      <c r="U993" t="s">
        <v>43997</v>
      </c>
      <c r="W993" t="s">
        <v>37962</v>
      </c>
      <c r="X993" t="s">
        <v>41252</v>
      </c>
    </row>
    <row r="994" spans="1:24">
      <c r="A994">
        <f>HYPERLINK("https://www.philgeps.gov.ph/GEPSNONPILOT/Tender/SplashBidNoticeAbstractUI.aspx?menuIndex=3&amp;refID=7076540&amp;Result=3","7076540")</f>
        <v>0</v>
      </c>
      <c r="B994" t="s">
        <v>502</v>
      </c>
      <c r="C994" t="s">
        <v>4329</v>
      </c>
      <c r="D994" t="s">
        <v>16646</v>
      </c>
      <c r="E994" t="s">
        <v>17655</v>
      </c>
      <c r="F994" t="s">
        <v>28669</v>
      </c>
      <c r="G994" t="s">
        <v>28676</v>
      </c>
      <c r="H994" t="s">
        <v>9998</v>
      </c>
      <c r="I994" t="s">
        <v>28739</v>
      </c>
      <c r="J994" t="s">
        <v>28863</v>
      </c>
      <c r="K994" t="s">
        <v>37204</v>
      </c>
      <c r="M994" t="s">
        <v>37991</v>
      </c>
      <c r="N994" t="s">
        <v>41249</v>
      </c>
      <c r="O994" t="s">
        <v>41250</v>
      </c>
      <c r="P994">
        <v>0</v>
      </c>
      <c r="Q994">
        <v>2</v>
      </c>
      <c r="R994" t="s">
        <v>41251</v>
      </c>
      <c r="S994" t="s">
        <v>41369</v>
      </c>
      <c r="T994" t="s">
        <v>42717</v>
      </c>
      <c r="U994" t="s">
        <v>44066</v>
      </c>
      <c r="W994" t="s">
        <v>37991</v>
      </c>
      <c r="X994" t="s">
        <v>41252</v>
      </c>
    </row>
    <row r="995" spans="1:24">
      <c r="A995">
        <f>HYPERLINK("https://www.philgeps.gov.ph/GEPSNONPILOT/Tender/SplashBidNoticeAbstractUI.aspx?menuIndex=3&amp;refID=7077176&amp;Result=3","7077176")</f>
        <v>0</v>
      </c>
      <c r="B995" t="s">
        <v>114</v>
      </c>
      <c r="C995" t="s">
        <v>4330</v>
      </c>
      <c r="D995" t="s">
        <v>16608</v>
      </c>
      <c r="E995" t="s">
        <v>17656</v>
      </c>
      <c r="F995" t="s">
        <v>28669</v>
      </c>
      <c r="G995" t="s">
        <v>28677</v>
      </c>
      <c r="H995" t="s">
        <v>9998</v>
      </c>
      <c r="I995" t="s">
        <v>5286</v>
      </c>
      <c r="J995" t="s">
        <v>29563</v>
      </c>
      <c r="K995" t="s">
        <v>37210</v>
      </c>
      <c r="M995" t="s">
        <v>37793</v>
      </c>
      <c r="N995" t="s">
        <v>41249</v>
      </c>
      <c r="O995" t="s">
        <v>41250</v>
      </c>
      <c r="P995">
        <v>0</v>
      </c>
      <c r="Q995">
        <v>2</v>
      </c>
      <c r="R995" t="s">
        <v>41251</v>
      </c>
      <c r="S995" t="s">
        <v>41369</v>
      </c>
      <c r="T995" t="s">
        <v>42741</v>
      </c>
      <c r="U995" t="s">
        <v>44067</v>
      </c>
      <c r="V995" t="s">
        <v>54326</v>
      </c>
      <c r="W995" t="s">
        <v>37793</v>
      </c>
      <c r="X995" t="s">
        <v>41252</v>
      </c>
    </row>
    <row r="996" spans="1:24">
      <c r="A996">
        <f>HYPERLINK("https://www.philgeps.gov.ph/GEPSNONPILOT/Tender/SplashBidNoticeAbstractUI.aspx?menuIndex=3&amp;refID=7077174&amp;Result=3","7077174")</f>
        <v>0</v>
      </c>
      <c r="B996" t="s">
        <v>503</v>
      </c>
      <c r="C996" t="s">
        <v>4331</v>
      </c>
      <c r="D996" t="s">
        <v>16639</v>
      </c>
      <c r="E996" t="s">
        <v>17657</v>
      </c>
      <c r="F996" t="s">
        <v>28669</v>
      </c>
      <c r="G996" t="s">
        <v>28676</v>
      </c>
      <c r="H996" t="s">
        <v>9998</v>
      </c>
      <c r="I996" t="s">
        <v>3718</v>
      </c>
      <c r="J996" t="s">
        <v>29191</v>
      </c>
      <c r="K996" t="s">
        <v>37204</v>
      </c>
      <c r="M996" t="s">
        <v>37992</v>
      </c>
      <c r="N996" t="s">
        <v>41249</v>
      </c>
      <c r="O996" t="s">
        <v>41250</v>
      </c>
      <c r="P996">
        <v>0</v>
      </c>
      <c r="Q996">
        <v>1</v>
      </c>
      <c r="R996" t="s">
        <v>41251</v>
      </c>
      <c r="S996" t="s">
        <v>41369</v>
      </c>
      <c r="T996" t="s">
        <v>42711</v>
      </c>
      <c r="U996" t="s">
        <v>44068</v>
      </c>
      <c r="W996" t="s">
        <v>37992</v>
      </c>
      <c r="X996" t="s">
        <v>41252</v>
      </c>
    </row>
    <row r="997" spans="1:24">
      <c r="A997">
        <f>HYPERLINK("https://www.philgeps.gov.ph/GEPSNONPILOT/Tender/SplashBidNoticeAbstractUI.aspx?menuIndex=3&amp;refID=7077172&amp;Result=3","7077172")</f>
        <v>0</v>
      </c>
      <c r="B997" t="s">
        <v>504</v>
      </c>
      <c r="C997" t="s">
        <v>4332</v>
      </c>
      <c r="D997" t="s">
        <v>16639</v>
      </c>
      <c r="E997" t="s">
        <v>17658</v>
      </c>
      <c r="F997" t="s">
        <v>28669</v>
      </c>
      <c r="G997" t="s">
        <v>28677</v>
      </c>
      <c r="H997" t="s">
        <v>9998</v>
      </c>
      <c r="I997" t="s">
        <v>3718</v>
      </c>
      <c r="J997" t="s">
        <v>29564</v>
      </c>
      <c r="K997" t="s">
        <v>37204</v>
      </c>
      <c r="M997" t="s">
        <v>37993</v>
      </c>
      <c r="N997" t="s">
        <v>41249</v>
      </c>
      <c r="O997" t="s">
        <v>41250</v>
      </c>
      <c r="P997">
        <v>0</v>
      </c>
      <c r="Q997">
        <v>1</v>
      </c>
      <c r="R997" t="s">
        <v>41251</v>
      </c>
      <c r="S997" t="s">
        <v>41369</v>
      </c>
      <c r="T997" t="s">
        <v>42758</v>
      </c>
      <c r="U997" t="s">
        <v>44069</v>
      </c>
      <c r="W997" t="s">
        <v>37993</v>
      </c>
      <c r="X997" t="s">
        <v>41252</v>
      </c>
    </row>
    <row r="998" spans="1:24">
      <c r="A998">
        <f>HYPERLINK("https://www.philgeps.gov.ph/GEPSNONPILOT/Tender/SplashBidNoticeAbstractUI.aspx?menuIndex=3&amp;refID=7077190&amp;Result=3","7077190")</f>
        <v>0</v>
      </c>
      <c r="B998" t="s">
        <v>29</v>
      </c>
      <c r="C998" t="s">
        <v>4333</v>
      </c>
      <c r="D998" t="s">
        <v>16611</v>
      </c>
      <c r="E998" t="s">
        <v>17659</v>
      </c>
      <c r="F998" t="s">
        <v>28669</v>
      </c>
      <c r="G998" t="s">
        <v>28675</v>
      </c>
      <c r="H998" t="s">
        <v>28686</v>
      </c>
      <c r="I998" t="s">
        <v>28689</v>
      </c>
      <c r="J998" t="s">
        <v>29565</v>
      </c>
      <c r="K998" t="s">
        <v>37209</v>
      </c>
      <c r="M998" t="s">
        <v>37504</v>
      </c>
      <c r="N998" t="s">
        <v>41249</v>
      </c>
      <c r="O998" t="s">
        <v>41250</v>
      </c>
      <c r="P998">
        <v>0</v>
      </c>
      <c r="Q998">
        <v>4</v>
      </c>
      <c r="R998" t="s">
        <v>41251</v>
      </c>
      <c r="S998" t="s">
        <v>41369</v>
      </c>
      <c r="T998" t="s">
        <v>42777</v>
      </c>
      <c r="U998" t="s">
        <v>44070</v>
      </c>
      <c r="W998" t="s">
        <v>37504</v>
      </c>
      <c r="X998" t="s">
        <v>41252</v>
      </c>
    </row>
    <row r="999" spans="1:24">
      <c r="A999">
        <f>HYPERLINK("https://www.philgeps.gov.ph/GEPSNONPILOT/Tender/SplashBidNoticeAbstractUI.aspx?menuIndex=3&amp;refID=7077171&amp;Result=3","7077171")</f>
        <v>0</v>
      </c>
      <c r="B999" t="s">
        <v>505</v>
      </c>
      <c r="C999" t="s">
        <v>4334</v>
      </c>
      <c r="D999" t="s">
        <v>16662</v>
      </c>
      <c r="E999" t="s">
        <v>17660</v>
      </c>
      <c r="F999" t="s">
        <v>28669</v>
      </c>
      <c r="G999" t="s">
        <v>28675</v>
      </c>
      <c r="H999" t="s">
        <v>28686</v>
      </c>
      <c r="I999" t="s">
        <v>28689</v>
      </c>
      <c r="J999" t="s">
        <v>29332</v>
      </c>
      <c r="K999" t="s">
        <v>37271</v>
      </c>
      <c r="M999" t="s">
        <v>37994</v>
      </c>
      <c r="N999" t="s">
        <v>41249</v>
      </c>
      <c r="O999" t="s">
        <v>41250</v>
      </c>
      <c r="P999">
        <v>0</v>
      </c>
      <c r="Q999">
        <v>2</v>
      </c>
      <c r="R999" t="s">
        <v>41251</v>
      </c>
      <c r="S999" t="s">
        <v>41369</v>
      </c>
      <c r="T999" t="s">
        <v>42688</v>
      </c>
      <c r="U999" t="s">
        <v>44071</v>
      </c>
      <c r="V999" t="s">
        <v>54252</v>
      </c>
      <c r="W999" t="s">
        <v>37994</v>
      </c>
      <c r="X999" t="s">
        <v>41252</v>
      </c>
    </row>
    <row r="1000" spans="1:24">
      <c r="A1000">
        <f>HYPERLINK("https://www.philgeps.gov.ph/GEPSNONPILOT/Tender/SplashBidNoticeAbstractUI.aspx?menuIndex=3&amp;refID=7077163&amp;Result=3","7077163")</f>
        <v>0</v>
      </c>
      <c r="B1000" t="s">
        <v>482</v>
      </c>
      <c r="C1000" t="s">
        <v>4335</v>
      </c>
      <c r="D1000" t="s">
        <v>16654</v>
      </c>
      <c r="E1000" t="s">
        <v>17587</v>
      </c>
      <c r="F1000" t="s">
        <v>28669</v>
      </c>
      <c r="G1000" t="s">
        <v>28675</v>
      </c>
      <c r="H1000" t="s">
        <v>9998</v>
      </c>
      <c r="I1000" t="s">
        <v>3718</v>
      </c>
      <c r="J1000" t="s">
        <v>29479</v>
      </c>
      <c r="K1000" t="s">
        <v>37204</v>
      </c>
      <c r="M1000" t="s">
        <v>37970</v>
      </c>
      <c r="N1000" t="s">
        <v>41249</v>
      </c>
      <c r="O1000" t="s">
        <v>41250</v>
      </c>
      <c r="P1000">
        <v>0</v>
      </c>
      <c r="Q1000">
        <v>1</v>
      </c>
      <c r="R1000" t="s">
        <v>41251</v>
      </c>
      <c r="S1000" t="s">
        <v>41369</v>
      </c>
      <c r="T1000" t="s">
        <v>42670</v>
      </c>
      <c r="U1000" t="s">
        <v>44072</v>
      </c>
      <c r="W1000" t="s">
        <v>37970</v>
      </c>
      <c r="X1000" t="s">
        <v>41252</v>
      </c>
    </row>
    <row r="1001" spans="1:24">
      <c r="A1001">
        <f>HYPERLINK("https://www.philgeps.gov.ph/GEPSNONPILOT/Tender/SplashBidNoticeAbstractUI.aspx?menuIndex=3&amp;refID=7076566&amp;Result=3","7076566")</f>
        <v>0</v>
      </c>
      <c r="B1001" t="s">
        <v>169</v>
      </c>
      <c r="C1001" t="s">
        <v>4336</v>
      </c>
      <c r="D1001" t="s">
        <v>16611</v>
      </c>
      <c r="E1001" t="s">
        <v>17661</v>
      </c>
      <c r="F1001" t="s">
        <v>28669</v>
      </c>
      <c r="G1001" t="s">
        <v>28675</v>
      </c>
      <c r="H1001" t="s">
        <v>9998</v>
      </c>
      <c r="I1001" t="s">
        <v>28708</v>
      </c>
      <c r="J1001" t="s">
        <v>29566</v>
      </c>
      <c r="K1001" t="s">
        <v>37227</v>
      </c>
      <c r="M1001" t="s">
        <v>37646</v>
      </c>
      <c r="N1001" t="s">
        <v>41249</v>
      </c>
      <c r="O1001" t="s">
        <v>41250</v>
      </c>
      <c r="P1001">
        <v>0</v>
      </c>
      <c r="Q1001">
        <v>3</v>
      </c>
      <c r="R1001" t="s">
        <v>41251</v>
      </c>
      <c r="S1001" t="s">
        <v>41369</v>
      </c>
      <c r="T1001" t="s">
        <v>42688</v>
      </c>
      <c r="U1001" t="s">
        <v>44073</v>
      </c>
      <c r="V1001" t="s">
        <v>54294</v>
      </c>
      <c r="W1001" t="s">
        <v>37646</v>
      </c>
      <c r="X1001" t="s">
        <v>41252</v>
      </c>
    </row>
    <row r="1002" spans="1:24">
      <c r="A1002">
        <f>HYPERLINK("https://www.philgeps.gov.ph/GEPSNONPILOT/Tender/SplashBidNoticeAbstractUI.aspx?menuIndex=3&amp;refID=7077162&amp;Result=3","7077162")</f>
        <v>0</v>
      </c>
      <c r="B1002" t="s">
        <v>207</v>
      </c>
      <c r="C1002" t="s">
        <v>4337</v>
      </c>
      <c r="D1002" t="s">
        <v>16625</v>
      </c>
      <c r="E1002" t="s">
        <v>17662</v>
      </c>
      <c r="F1002" t="s">
        <v>28669</v>
      </c>
      <c r="G1002" t="s">
        <v>28675</v>
      </c>
      <c r="H1002" t="s">
        <v>9998</v>
      </c>
      <c r="I1002" t="s">
        <v>28717</v>
      </c>
      <c r="J1002" t="s">
        <v>29567</v>
      </c>
      <c r="K1002" t="s">
        <v>37220</v>
      </c>
      <c r="M1002" t="s">
        <v>37995</v>
      </c>
      <c r="N1002" t="s">
        <v>41249</v>
      </c>
      <c r="O1002" t="s">
        <v>41250</v>
      </c>
      <c r="P1002">
        <v>0</v>
      </c>
      <c r="Q1002">
        <v>9</v>
      </c>
      <c r="R1002" t="s">
        <v>41251</v>
      </c>
      <c r="S1002" t="s">
        <v>41369</v>
      </c>
      <c r="T1002" t="s">
        <v>42693</v>
      </c>
      <c r="U1002" t="s">
        <v>44074</v>
      </c>
      <c r="V1002" t="s">
        <v>54359</v>
      </c>
      <c r="W1002" t="s">
        <v>37995</v>
      </c>
      <c r="X1002" t="s">
        <v>41252</v>
      </c>
    </row>
    <row r="1003" spans="1:24">
      <c r="A1003">
        <f>HYPERLINK("https://www.philgeps.gov.ph/GEPSNONPILOT/Tender/SplashBidNoticeAbstractUI.aspx?menuIndex=3&amp;refID=7077161&amp;Result=3","7077161")</f>
        <v>0</v>
      </c>
      <c r="B1003" t="s">
        <v>506</v>
      </c>
      <c r="C1003" t="s">
        <v>4338</v>
      </c>
      <c r="D1003" t="s">
        <v>16623</v>
      </c>
      <c r="E1003" t="s">
        <v>17663</v>
      </c>
      <c r="F1003" t="s">
        <v>28669</v>
      </c>
      <c r="G1003" t="s">
        <v>28677</v>
      </c>
      <c r="H1003" t="s">
        <v>9998</v>
      </c>
      <c r="I1003" t="s">
        <v>5213</v>
      </c>
      <c r="J1003" t="s">
        <v>29568</v>
      </c>
      <c r="K1003" t="s">
        <v>37209</v>
      </c>
      <c r="M1003" t="s">
        <v>37996</v>
      </c>
      <c r="N1003" t="s">
        <v>41249</v>
      </c>
      <c r="O1003" t="s">
        <v>41250</v>
      </c>
      <c r="P1003">
        <v>0</v>
      </c>
      <c r="Q1003">
        <v>1</v>
      </c>
      <c r="R1003" t="s">
        <v>41251</v>
      </c>
      <c r="S1003" t="s">
        <v>41369</v>
      </c>
      <c r="T1003" t="s">
        <v>42673</v>
      </c>
      <c r="U1003" t="s">
        <v>44075</v>
      </c>
      <c r="V1003" t="s">
        <v>54360</v>
      </c>
      <c r="W1003" t="s">
        <v>37996</v>
      </c>
      <c r="X1003" t="s">
        <v>41252</v>
      </c>
    </row>
    <row r="1004" spans="1:24">
      <c r="A1004">
        <f>HYPERLINK("https://www.philgeps.gov.ph/GEPSNONPILOT/Tender/SplashBidNoticeAbstractUI.aspx?menuIndex=3&amp;refID=7077175&amp;Result=3","7077175")</f>
        <v>0</v>
      </c>
      <c r="B1004" t="s">
        <v>507</v>
      </c>
      <c r="C1004" t="s">
        <v>4339</v>
      </c>
      <c r="D1004" t="s">
        <v>16608</v>
      </c>
      <c r="E1004" t="s">
        <v>17664</v>
      </c>
      <c r="F1004" t="s">
        <v>28669</v>
      </c>
      <c r="G1004" t="s">
        <v>28676</v>
      </c>
      <c r="H1004" t="s">
        <v>9998</v>
      </c>
      <c r="I1004" t="s">
        <v>11593</v>
      </c>
      <c r="J1004" t="s">
        <v>29569</v>
      </c>
      <c r="K1004" t="s">
        <v>37206</v>
      </c>
      <c r="M1004" t="s">
        <v>37997</v>
      </c>
      <c r="N1004" t="s">
        <v>41249</v>
      </c>
      <c r="O1004" t="s">
        <v>41250</v>
      </c>
      <c r="P1004">
        <v>0</v>
      </c>
      <c r="Q1004">
        <v>3</v>
      </c>
      <c r="R1004" t="s">
        <v>41251</v>
      </c>
      <c r="S1004" t="s">
        <v>41369</v>
      </c>
      <c r="T1004" t="s">
        <v>42706</v>
      </c>
      <c r="U1004" t="s">
        <v>44076</v>
      </c>
      <c r="W1004" t="s">
        <v>37997</v>
      </c>
      <c r="X1004" t="s">
        <v>41252</v>
      </c>
    </row>
    <row r="1005" spans="1:24">
      <c r="A1005">
        <f>HYPERLINK("https://www.philgeps.gov.ph/GEPSNONPILOT/Tender/SplashBidNoticeAbstractUI.aspx?menuIndex=3&amp;refID=7076537&amp;Result=3","7076537")</f>
        <v>0</v>
      </c>
      <c r="B1005" t="s">
        <v>284</v>
      </c>
      <c r="C1005" t="s">
        <v>4340</v>
      </c>
      <c r="E1005" t="s">
        <v>17665</v>
      </c>
      <c r="F1005" t="s">
        <v>28669</v>
      </c>
      <c r="G1005" t="s">
        <v>28676</v>
      </c>
      <c r="H1005" t="s">
        <v>9998</v>
      </c>
      <c r="I1005" t="s">
        <v>28700</v>
      </c>
      <c r="J1005" t="s">
        <v>29570</v>
      </c>
      <c r="K1005" t="s">
        <v>37209</v>
      </c>
      <c r="M1005" t="s">
        <v>37762</v>
      </c>
      <c r="N1005" t="s">
        <v>41249</v>
      </c>
      <c r="O1005" t="s">
        <v>41250</v>
      </c>
      <c r="P1005">
        <v>0</v>
      </c>
      <c r="Q1005">
        <v>4</v>
      </c>
      <c r="R1005" t="s">
        <v>41251</v>
      </c>
      <c r="S1005" t="s">
        <v>41369</v>
      </c>
      <c r="T1005" t="s">
        <v>42673</v>
      </c>
      <c r="U1005" t="s">
        <v>43648</v>
      </c>
      <c r="W1005" t="s">
        <v>37762</v>
      </c>
      <c r="X1005" t="s">
        <v>41252</v>
      </c>
    </row>
    <row r="1006" spans="1:24">
      <c r="A1006">
        <f>HYPERLINK("https://www.philgeps.gov.ph/GEPSNONPILOT/Tender/SplashBidNoticeAbstractUI.aspx?menuIndex=3&amp;refID=7077173&amp;Result=3","7077173")</f>
        <v>0</v>
      </c>
      <c r="B1006" t="s">
        <v>169</v>
      </c>
      <c r="C1006" t="s">
        <v>4341</v>
      </c>
      <c r="D1006" t="s">
        <v>16611</v>
      </c>
      <c r="E1006" t="s">
        <v>17666</v>
      </c>
      <c r="F1006" t="s">
        <v>28669</v>
      </c>
      <c r="G1006" t="s">
        <v>28676</v>
      </c>
      <c r="H1006" t="s">
        <v>28686</v>
      </c>
      <c r="I1006" t="s">
        <v>28689</v>
      </c>
      <c r="J1006" t="s">
        <v>29571</v>
      </c>
      <c r="K1006" t="s">
        <v>37225</v>
      </c>
      <c r="M1006" t="s">
        <v>37936</v>
      </c>
      <c r="N1006" t="s">
        <v>41249</v>
      </c>
      <c r="O1006" t="s">
        <v>41250</v>
      </c>
      <c r="P1006">
        <v>0</v>
      </c>
      <c r="Q1006">
        <v>0</v>
      </c>
      <c r="R1006" t="s">
        <v>41251</v>
      </c>
      <c r="S1006" t="s">
        <v>41369</v>
      </c>
      <c r="T1006" t="s">
        <v>42764</v>
      </c>
      <c r="U1006" t="s">
        <v>44077</v>
      </c>
      <c r="W1006" t="s">
        <v>37936</v>
      </c>
      <c r="X1006" t="s">
        <v>41252</v>
      </c>
    </row>
    <row r="1007" spans="1:24">
      <c r="A1007">
        <f>HYPERLINK("https://www.philgeps.gov.ph/GEPSNONPILOT/Tender/SplashBidNoticeAbstractUI.aspx?menuIndex=3&amp;refID=7076535&amp;Result=3","7076535")</f>
        <v>0</v>
      </c>
      <c r="B1007" t="s">
        <v>508</v>
      </c>
      <c r="C1007" t="s">
        <v>4342</v>
      </c>
      <c r="D1007" t="s">
        <v>16610</v>
      </c>
      <c r="E1007" t="s">
        <v>17667</v>
      </c>
      <c r="F1007" t="s">
        <v>28669</v>
      </c>
      <c r="G1007" t="s">
        <v>28675</v>
      </c>
      <c r="H1007" t="s">
        <v>9998</v>
      </c>
      <c r="I1007" t="s">
        <v>28688</v>
      </c>
      <c r="J1007" t="s">
        <v>29572</v>
      </c>
      <c r="K1007" t="s">
        <v>37221</v>
      </c>
      <c r="M1007" t="s">
        <v>37998</v>
      </c>
      <c r="N1007" t="s">
        <v>41249</v>
      </c>
      <c r="O1007" t="s">
        <v>41250</v>
      </c>
      <c r="P1007">
        <v>0</v>
      </c>
      <c r="Q1007">
        <v>5</v>
      </c>
      <c r="R1007" t="s">
        <v>41251</v>
      </c>
      <c r="S1007" t="s">
        <v>41369</v>
      </c>
      <c r="T1007" t="s">
        <v>42684</v>
      </c>
      <c r="U1007" t="s">
        <v>44078</v>
      </c>
      <c r="W1007" t="s">
        <v>37998</v>
      </c>
      <c r="X1007" t="s">
        <v>41252</v>
      </c>
    </row>
    <row r="1008" spans="1:24">
      <c r="A1008">
        <f>HYPERLINK("https://www.philgeps.gov.ph/GEPSNONPILOT/Tender/SplashBidNoticeAbstractUI.aspx?menuIndex=3&amp;refID=7076521&amp;Result=3","7076521")</f>
        <v>0</v>
      </c>
      <c r="B1008" t="s">
        <v>269</v>
      </c>
      <c r="C1008" t="s">
        <v>4343</v>
      </c>
      <c r="D1008" t="s">
        <v>16619</v>
      </c>
      <c r="E1008" t="s">
        <v>17668</v>
      </c>
      <c r="F1008" t="s">
        <v>28669</v>
      </c>
      <c r="G1008" t="s">
        <v>28676</v>
      </c>
      <c r="H1008" t="s">
        <v>9998</v>
      </c>
      <c r="I1008" t="s">
        <v>28695</v>
      </c>
      <c r="J1008" t="s">
        <v>28863</v>
      </c>
      <c r="K1008" t="s">
        <v>37209</v>
      </c>
      <c r="M1008" t="s">
        <v>37747</v>
      </c>
      <c r="N1008" t="s">
        <v>41249</v>
      </c>
      <c r="O1008" t="s">
        <v>41250</v>
      </c>
      <c r="P1008">
        <v>0</v>
      </c>
      <c r="Q1008">
        <v>0</v>
      </c>
      <c r="R1008" t="s">
        <v>41251</v>
      </c>
      <c r="S1008" t="s">
        <v>41369</v>
      </c>
      <c r="T1008" t="s">
        <v>42694</v>
      </c>
      <c r="U1008" t="s">
        <v>44079</v>
      </c>
      <c r="V1008" t="s">
        <v>54319</v>
      </c>
      <c r="W1008" t="s">
        <v>37747</v>
      </c>
      <c r="X1008" t="s">
        <v>41252</v>
      </c>
    </row>
    <row r="1009" spans="1:24">
      <c r="A1009">
        <f>HYPERLINK("https://www.philgeps.gov.ph/GEPSNONPILOT/Tender/SplashBidNoticeAbstractUI.aspx?menuIndex=3&amp;refID=7076520&amp;Result=3","7076520")</f>
        <v>0</v>
      </c>
      <c r="B1009" t="s">
        <v>509</v>
      </c>
      <c r="C1009" t="s">
        <v>4344</v>
      </c>
      <c r="D1009" t="s">
        <v>16646</v>
      </c>
      <c r="E1009" t="s">
        <v>17669</v>
      </c>
      <c r="F1009" t="s">
        <v>28669</v>
      </c>
      <c r="G1009" t="s">
        <v>28677</v>
      </c>
      <c r="H1009" t="s">
        <v>9998</v>
      </c>
      <c r="I1009" t="s">
        <v>28700</v>
      </c>
      <c r="J1009" t="s">
        <v>28863</v>
      </c>
      <c r="K1009" t="s">
        <v>37208</v>
      </c>
      <c r="M1009" t="s">
        <v>37999</v>
      </c>
      <c r="N1009" t="s">
        <v>41249</v>
      </c>
      <c r="O1009" t="s">
        <v>41250</v>
      </c>
      <c r="P1009">
        <v>0</v>
      </c>
      <c r="Q1009">
        <v>1</v>
      </c>
      <c r="R1009" t="s">
        <v>41251</v>
      </c>
      <c r="S1009" t="s">
        <v>41369</v>
      </c>
      <c r="T1009" t="s">
        <v>42690</v>
      </c>
      <c r="U1009" t="s">
        <v>44080</v>
      </c>
      <c r="W1009" t="s">
        <v>37999</v>
      </c>
      <c r="X1009" t="s">
        <v>41252</v>
      </c>
    </row>
    <row r="1010" spans="1:24">
      <c r="A1010">
        <f>HYPERLINK("https://www.philgeps.gov.ph/GEPSNONPILOT/Tender/SplashBidNoticeAbstractUI.aspx?menuIndex=3&amp;refID=7077164&amp;Result=3","7077164")</f>
        <v>0</v>
      </c>
      <c r="B1010" t="s">
        <v>510</v>
      </c>
      <c r="C1010" t="s">
        <v>4345</v>
      </c>
      <c r="D1010" t="s">
        <v>16608</v>
      </c>
      <c r="E1010" t="s">
        <v>17670</v>
      </c>
      <c r="F1010" t="s">
        <v>28669</v>
      </c>
      <c r="G1010" t="s">
        <v>28677</v>
      </c>
      <c r="H1010" t="s">
        <v>9998</v>
      </c>
      <c r="I1010" t="s">
        <v>28763</v>
      </c>
      <c r="J1010" t="s">
        <v>29573</v>
      </c>
      <c r="K1010" t="s">
        <v>37204</v>
      </c>
      <c r="M1010" t="s">
        <v>38000</v>
      </c>
      <c r="N1010" t="s">
        <v>41249</v>
      </c>
      <c r="O1010" t="s">
        <v>41250</v>
      </c>
      <c r="P1010">
        <v>0</v>
      </c>
      <c r="Q1010">
        <v>3</v>
      </c>
      <c r="R1010" t="s">
        <v>41251</v>
      </c>
      <c r="S1010" t="s">
        <v>41369</v>
      </c>
      <c r="T1010" t="s">
        <v>42738</v>
      </c>
      <c r="U1010" t="s">
        <v>44081</v>
      </c>
      <c r="W1010" t="s">
        <v>38000</v>
      </c>
      <c r="X1010" t="s">
        <v>41252</v>
      </c>
    </row>
    <row r="1011" spans="1:24">
      <c r="A1011">
        <f>HYPERLINK("https://www.philgeps.gov.ph/GEPSNONPILOT/Tender/SplashBidNoticeAbstractUI.aspx?menuIndex=3&amp;refID=7077219&amp;Result=3","7077219")</f>
        <v>0</v>
      </c>
      <c r="B1011" t="s">
        <v>511</v>
      </c>
      <c r="C1011" t="s">
        <v>4346</v>
      </c>
      <c r="D1011" t="s">
        <v>16659</v>
      </c>
      <c r="E1011" t="s">
        <v>17671</v>
      </c>
      <c r="F1011" t="s">
        <v>28669</v>
      </c>
      <c r="G1011" t="s">
        <v>28677</v>
      </c>
      <c r="H1011" t="s">
        <v>9998</v>
      </c>
      <c r="I1011" t="s">
        <v>3718</v>
      </c>
      <c r="J1011" t="s">
        <v>29493</v>
      </c>
      <c r="K1011" t="s">
        <v>37209</v>
      </c>
      <c r="M1011" t="s">
        <v>38001</v>
      </c>
      <c r="N1011" t="s">
        <v>41249</v>
      </c>
      <c r="O1011" t="s">
        <v>41250</v>
      </c>
      <c r="P1011">
        <v>0</v>
      </c>
      <c r="Q1011">
        <v>0</v>
      </c>
      <c r="R1011" t="s">
        <v>41251</v>
      </c>
      <c r="S1011" t="s">
        <v>41369</v>
      </c>
      <c r="T1011" t="s">
        <v>42770</v>
      </c>
      <c r="U1011" t="s">
        <v>44082</v>
      </c>
      <c r="W1011" t="s">
        <v>38001</v>
      </c>
      <c r="X1011" t="s">
        <v>41252</v>
      </c>
    </row>
    <row r="1012" spans="1:24">
      <c r="A1012">
        <f>HYPERLINK("https://www.philgeps.gov.ph/GEPSNONPILOT/Tender/SplashBidNoticeAbstractUI.aspx?menuIndex=3&amp;refID=7077217&amp;Result=3","7077217")</f>
        <v>0</v>
      </c>
      <c r="B1012" t="s">
        <v>512</v>
      </c>
      <c r="C1012" t="s">
        <v>4347</v>
      </c>
      <c r="D1012" t="s">
        <v>16608</v>
      </c>
      <c r="E1012" t="s">
        <v>17672</v>
      </c>
      <c r="F1012" t="s">
        <v>28669</v>
      </c>
      <c r="G1012" t="s">
        <v>28676</v>
      </c>
      <c r="H1012" t="s">
        <v>28684</v>
      </c>
      <c r="I1012" t="s">
        <v>28757</v>
      </c>
      <c r="J1012" t="s">
        <v>28914</v>
      </c>
      <c r="K1012" t="s">
        <v>37272</v>
      </c>
      <c r="M1012" t="s">
        <v>38002</v>
      </c>
      <c r="N1012" t="s">
        <v>41249</v>
      </c>
      <c r="O1012" t="s">
        <v>41250</v>
      </c>
      <c r="P1012">
        <v>0</v>
      </c>
      <c r="Q1012">
        <v>1</v>
      </c>
      <c r="R1012" t="s">
        <v>41251</v>
      </c>
      <c r="S1012" t="s">
        <v>41369</v>
      </c>
      <c r="T1012" t="s">
        <v>42706</v>
      </c>
      <c r="U1012" t="s">
        <v>44083</v>
      </c>
      <c r="W1012" t="s">
        <v>38002</v>
      </c>
      <c r="X1012" t="s">
        <v>41252</v>
      </c>
    </row>
    <row r="1013" spans="1:24">
      <c r="A1013">
        <f>HYPERLINK("https://www.philgeps.gov.ph/GEPSNONPILOT/Tender/SplashBidNoticeAbstractUI.aspx?menuIndex=3&amp;refID=7076536&amp;Result=3","7076536")</f>
        <v>0</v>
      </c>
      <c r="B1013" t="s">
        <v>513</v>
      </c>
      <c r="C1013" t="s">
        <v>4348</v>
      </c>
      <c r="D1013" t="s">
        <v>16637</v>
      </c>
      <c r="E1013" t="s">
        <v>17673</v>
      </c>
      <c r="F1013" t="s">
        <v>28669</v>
      </c>
      <c r="G1013" t="s">
        <v>28675</v>
      </c>
      <c r="H1013" t="s">
        <v>9998</v>
      </c>
      <c r="I1013" t="s">
        <v>7352</v>
      </c>
      <c r="J1013" t="s">
        <v>29574</v>
      </c>
      <c r="K1013" t="s">
        <v>37206</v>
      </c>
      <c r="M1013" t="s">
        <v>38003</v>
      </c>
      <c r="N1013" t="s">
        <v>41249</v>
      </c>
      <c r="O1013" t="s">
        <v>41250</v>
      </c>
      <c r="P1013">
        <v>0</v>
      </c>
      <c r="Q1013">
        <v>0</v>
      </c>
      <c r="R1013" t="s">
        <v>41251</v>
      </c>
      <c r="S1013" t="s">
        <v>41369</v>
      </c>
      <c r="T1013" t="s">
        <v>42726</v>
      </c>
      <c r="U1013" t="s">
        <v>44084</v>
      </c>
      <c r="V1013" t="s">
        <v>54361</v>
      </c>
      <c r="W1013" t="s">
        <v>38003</v>
      </c>
      <c r="X1013" t="s">
        <v>41252</v>
      </c>
    </row>
    <row r="1014" spans="1:24">
      <c r="A1014">
        <f>HYPERLINK("https://www.philgeps.gov.ph/GEPSNONPILOT/Tender/SplashBidNoticeAbstractUI.aspx?menuIndex=3&amp;refID=7077215&amp;Result=3","7077215")</f>
        <v>0</v>
      </c>
      <c r="B1014" t="s">
        <v>514</v>
      </c>
      <c r="C1014" t="s">
        <v>4349</v>
      </c>
      <c r="D1014" t="s">
        <v>16618</v>
      </c>
      <c r="E1014" t="s">
        <v>17674</v>
      </c>
      <c r="F1014" t="s">
        <v>28669</v>
      </c>
      <c r="G1014" t="s">
        <v>28676</v>
      </c>
      <c r="H1014" t="s">
        <v>9998</v>
      </c>
      <c r="I1014" t="s">
        <v>7352</v>
      </c>
      <c r="J1014" t="s">
        <v>29575</v>
      </c>
      <c r="K1014" t="s">
        <v>37205</v>
      </c>
      <c r="M1014" t="s">
        <v>38004</v>
      </c>
      <c r="N1014" t="s">
        <v>41249</v>
      </c>
      <c r="O1014" t="s">
        <v>41250</v>
      </c>
      <c r="P1014">
        <v>0</v>
      </c>
      <c r="Q1014">
        <v>0</v>
      </c>
      <c r="R1014" t="s">
        <v>41251</v>
      </c>
      <c r="S1014" t="s">
        <v>41369</v>
      </c>
      <c r="T1014" t="s">
        <v>42751</v>
      </c>
      <c r="U1014" t="s">
        <v>44085</v>
      </c>
      <c r="W1014" t="s">
        <v>38004</v>
      </c>
      <c r="X1014" t="s">
        <v>41252</v>
      </c>
    </row>
    <row r="1015" spans="1:24">
      <c r="A1015">
        <f>HYPERLINK("https://www.philgeps.gov.ph/GEPSNONPILOT/Tender/SplashBidNoticeAbstractUI.aspx?menuIndex=3&amp;refID=7077214&amp;Result=3","7077214")</f>
        <v>0</v>
      </c>
      <c r="B1015" t="s">
        <v>123</v>
      </c>
      <c r="C1015" t="s">
        <v>4350</v>
      </c>
      <c r="D1015" t="s">
        <v>16608</v>
      </c>
      <c r="E1015" t="s">
        <v>17296</v>
      </c>
      <c r="F1015" t="s">
        <v>28669</v>
      </c>
      <c r="G1015" t="s">
        <v>28676</v>
      </c>
      <c r="H1015" t="s">
        <v>9998</v>
      </c>
      <c r="I1015" t="s">
        <v>28690</v>
      </c>
      <c r="J1015" t="s">
        <v>29576</v>
      </c>
      <c r="K1015" t="s">
        <v>37206</v>
      </c>
      <c r="M1015" t="s">
        <v>37599</v>
      </c>
      <c r="N1015" t="s">
        <v>41249</v>
      </c>
      <c r="O1015" t="s">
        <v>41250</v>
      </c>
      <c r="P1015">
        <v>0</v>
      </c>
      <c r="Q1015">
        <v>7</v>
      </c>
      <c r="R1015" t="s">
        <v>41251</v>
      </c>
      <c r="S1015" t="s">
        <v>41369</v>
      </c>
      <c r="T1015" t="s">
        <v>42675</v>
      </c>
      <c r="U1015" t="s">
        <v>44086</v>
      </c>
      <c r="W1015" t="s">
        <v>37599</v>
      </c>
      <c r="X1015" t="s">
        <v>41252</v>
      </c>
    </row>
    <row r="1016" spans="1:24">
      <c r="A1016">
        <f>HYPERLINK("https://www.philgeps.gov.ph/GEPSNONPILOT/Tender/SplashBidNoticeAbstractUI.aspx?menuIndex=3&amp;refID=7077213&amp;Result=3","7077213")</f>
        <v>0</v>
      </c>
      <c r="B1016" t="s">
        <v>515</v>
      </c>
      <c r="C1016" t="s">
        <v>4351</v>
      </c>
      <c r="D1016" t="s">
        <v>16636</v>
      </c>
      <c r="E1016" t="s">
        <v>17675</v>
      </c>
      <c r="F1016" t="s">
        <v>28669</v>
      </c>
      <c r="G1016" t="s">
        <v>28676</v>
      </c>
      <c r="H1016" t="s">
        <v>9998</v>
      </c>
      <c r="I1016" t="s">
        <v>5286</v>
      </c>
      <c r="J1016" t="s">
        <v>28826</v>
      </c>
      <c r="K1016" t="s">
        <v>37221</v>
      </c>
      <c r="M1016" t="s">
        <v>38005</v>
      </c>
      <c r="N1016" t="s">
        <v>41249</v>
      </c>
      <c r="O1016" t="s">
        <v>41250</v>
      </c>
      <c r="P1016">
        <v>0</v>
      </c>
      <c r="Q1016">
        <v>0</v>
      </c>
      <c r="R1016" t="s">
        <v>41251</v>
      </c>
      <c r="S1016" t="s">
        <v>41369</v>
      </c>
      <c r="T1016" t="s">
        <v>42673</v>
      </c>
      <c r="U1016" t="s">
        <v>44087</v>
      </c>
      <c r="W1016" t="s">
        <v>38005</v>
      </c>
      <c r="X1016" t="s">
        <v>41252</v>
      </c>
    </row>
    <row r="1017" spans="1:24">
      <c r="A1017">
        <f>HYPERLINK("https://www.philgeps.gov.ph/GEPSNONPILOT/Tender/SplashBidNoticeAbstractUI.aspx?menuIndex=3&amp;refID=7077180&amp;Result=3","7077180")</f>
        <v>0</v>
      </c>
      <c r="B1017" t="s">
        <v>516</v>
      </c>
      <c r="C1017" t="s">
        <v>4352</v>
      </c>
      <c r="D1017" t="s">
        <v>16625</v>
      </c>
      <c r="E1017" t="s">
        <v>17676</v>
      </c>
      <c r="F1017" t="s">
        <v>28669</v>
      </c>
      <c r="G1017" t="s">
        <v>28677</v>
      </c>
      <c r="H1017" t="s">
        <v>9998</v>
      </c>
      <c r="I1017" t="s">
        <v>6128</v>
      </c>
      <c r="J1017" t="s">
        <v>29114</v>
      </c>
      <c r="K1017" t="s">
        <v>37208</v>
      </c>
      <c r="M1017" t="s">
        <v>38006</v>
      </c>
      <c r="N1017" t="s">
        <v>41249</v>
      </c>
      <c r="O1017" t="s">
        <v>41250</v>
      </c>
      <c r="P1017">
        <v>0</v>
      </c>
      <c r="Q1017">
        <v>0</v>
      </c>
      <c r="R1017" t="s">
        <v>41251</v>
      </c>
      <c r="S1017" t="s">
        <v>41369</v>
      </c>
      <c r="T1017" t="s">
        <v>42767</v>
      </c>
      <c r="U1017" t="s">
        <v>44088</v>
      </c>
      <c r="W1017" t="s">
        <v>38006</v>
      </c>
      <c r="X1017" t="s">
        <v>41252</v>
      </c>
    </row>
    <row r="1018" spans="1:24">
      <c r="A1018">
        <f>HYPERLINK("https://www.philgeps.gov.ph/GEPSNONPILOT/Tender/SplashBidNoticeAbstractUI.aspx?menuIndex=3&amp;refID=7077209&amp;Result=3","7077209")</f>
        <v>0</v>
      </c>
      <c r="B1018" t="s">
        <v>433</v>
      </c>
      <c r="C1018" t="s">
        <v>4353</v>
      </c>
      <c r="D1018" t="s">
        <v>16626</v>
      </c>
      <c r="E1018" t="s">
        <v>17677</v>
      </c>
      <c r="F1018" t="s">
        <v>28669</v>
      </c>
      <c r="G1018" t="s">
        <v>28676</v>
      </c>
      <c r="H1018" t="s">
        <v>9998</v>
      </c>
      <c r="I1018" t="s">
        <v>11142</v>
      </c>
      <c r="J1018" t="s">
        <v>29577</v>
      </c>
      <c r="K1018" t="s">
        <v>37227</v>
      </c>
      <c r="M1018" t="s">
        <v>37918</v>
      </c>
      <c r="N1018" t="s">
        <v>41249</v>
      </c>
      <c r="O1018" t="s">
        <v>41250</v>
      </c>
      <c r="P1018">
        <v>0</v>
      </c>
      <c r="Q1018">
        <v>1</v>
      </c>
      <c r="R1018" t="s">
        <v>41251</v>
      </c>
      <c r="S1018" t="s">
        <v>41369</v>
      </c>
      <c r="T1018" t="s">
        <v>42726</v>
      </c>
      <c r="U1018" t="s">
        <v>44089</v>
      </c>
      <c r="W1018" t="s">
        <v>37918</v>
      </c>
      <c r="X1018" t="s">
        <v>41252</v>
      </c>
    </row>
    <row r="1019" spans="1:24">
      <c r="A1019">
        <f>HYPERLINK("https://www.philgeps.gov.ph/GEPSNONPILOT/Tender/SplashBidNoticeAbstractUI.aspx?menuIndex=3&amp;refID=7077218&amp;Result=3","7077218")</f>
        <v>0</v>
      </c>
      <c r="B1019" t="s">
        <v>391</v>
      </c>
      <c r="C1019" t="s">
        <v>4354</v>
      </c>
      <c r="D1019" t="s">
        <v>16673</v>
      </c>
      <c r="E1019" t="s">
        <v>17678</v>
      </c>
      <c r="F1019" t="s">
        <v>28669</v>
      </c>
      <c r="G1019" t="s">
        <v>28675</v>
      </c>
      <c r="H1019" t="s">
        <v>28686</v>
      </c>
      <c r="I1019" t="s">
        <v>28689</v>
      </c>
      <c r="J1019" t="s">
        <v>28891</v>
      </c>
      <c r="K1019" t="s">
        <v>37273</v>
      </c>
      <c r="M1019" t="s">
        <v>37875</v>
      </c>
      <c r="N1019" t="s">
        <v>41249</v>
      </c>
      <c r="O1019" t="s">
        <v>41250</v>
      </c>
      <c r="P1019">
        <v>0</v>
      </c>
      <c r="Q1019">
        <v>0</v>
      </c>
      <c r="R1019" t="s">
        <v>41251</v>
      </c>
      <c r="S1019" t="s">
        <v>41369</v>
      </c>
      <c r="T1019" t="s">
        <v>42709</v>
      </c>
      <c r="U1019" t="s">
        <v>44090</v>
      </c>
      <c r="W1019" t="s">
        <v>37875</v>
      </c>
      <c r="X1019" t="s">
        <v>41252</v>
      </c>
    </row>
    <row r="1020" spans="1:24">
      <c r="A1020">
        <f>HYPERLINK("https://www.philgeps.gov.ph/GEPSNONPILOT/Tender/SplashBidNoticeAbstractUI.aspx?menuIndex=3&amp;refID=7077207&amp;Result=3","7077207")</f>
        <v>0</v>
      </c>
      <c r="B1020" t="s">
        <v>454</v>
      </c>
      <c r="C1020" t="s">
        <v>4355</v>
      </c>
      <c r="D1020" t="s">
        <v>16661</v>
      </c>
      <c r="E1020" t="s">
        <v>17679</v>
      </c>
      <c r="F1020" t="s">
        <v>28669</v>
      </c>
      <c r="G1020" t="s">
        <v>28676</v>
      </c>
      <c r="H1020" t="s">
        <v>9998</v>
      </c>
      <c r="I1020" t="s">
        <v>6606</v>
      </c>
      <c r="J1020" t="s">
        <v>29197</v>
      </c>
      <c r="K1020" t="s">
        <v>37209</v>
      </c>
      <c r="M1020" t="s">
        <v>37942</v>
      </c>
      <c r="N1020" t="s">
        <v>41249</v>
      </c>
      <c r="O1020" t="s">
        <v>41250</v>
      </c>
      <c r="P1020">
        <v>0</v>
      </c>
      <c r="Q1020">
        <v>0</v>
      </c>
      <c r="R1020" t="s">
        <v>41251</v>
      </c>
      <c r="S1020" t="s">
        <v>41369</v>
      </c>
      <c r="T1020" t="s">
        <v>42799</v>
      </c>
      <c r="U1020" t="s">
        <v>44091</v>
      </c>
      <c r="W1020" t="s">
        <v>37942</v>
      </c>
      <c r="X1020" t="s">
        <v>41252</v>
      </c>
    </row>
    <row r="1021" spans="1:24">
      <c r="A1021">
        <f>HYPERLINK("https://www.philgeps.gov.ph/GEPSNONPILOT/Tender/SplashBidNoticeAbstractUI.aspx?menuIndex=3&amp;refID=7077216&amp;Result=3","7077216")</f>
        <v>0</v>
      </c>
      <c r="B1021" t="s">
        <v>517</v>
      </c>
      <c r="C1021" t="s">
        <v>4356</v>
      </c>
      <c r="D1021" t="s">
        <v>16647</v>
      </c>
      <c r="E1021" t="s">
        <v>17680</v>
      </c>
      <c r="F1021" t="s">
        <v>28669</v>
      </c>
      <c r="G1021" t="s">
        <v>28675</v>
      </c>
      <c r="H1021" t="s">
        <v>28686</v>
      </c>
      <c r="I1021" t="s">
        <v>28689</v>
      </c>
      <c r="J1021" t="s">
        <v>28905</v>
      </c>
      <c r="K1021" t="s">
        <v>37221</v>
      </c>
      <c r="L1021" t="s">
        <v>517</v>
      </c>
      <c r="M1021" t="s">
        <v>38007</v>
      </c>
      <c r="N1021" t="s">
        <v>41249</v>
      </c>
      <c r="O1021" t="s">
        <v>41250</v>
      </c>
      <c r="P1021">
        <v>0</v>
      </c>
      <c r="Q1021">
        <v>1</v>
      </c>
      <c r="R1021" t="s">
        <v>41251</v>
      </c>
      <c r="S1021" t="s">
        <v>41369</v>
      </c>
      <c r="T1021" t="s">
        <v>42682</v>
      </c>
      <c r="U1021" t="s">
        <v>44092</v>
      </c>
      <c r="W1021" t="s">
        <v>38007</v>
      </c>
      <c r="X1021" t="s">
        <v>41252</v>
      </c>
    </row>
    <row r="1022" spans="1:24">
      <c r="A1022">
        <f>HYPERLINK("https://www.philgeps.gov.ph/GEPSNONPILOT/Tender/SplashBidNoticeAbstractUI.aspx?menuIndex=3&amp;refID=7077205&amp;Result=3","7077205")</f>
        <v>0</v>
      </c>
      <c r="B1022" t="s">
        <v>467</v>
      </c>
      <c r="C1022" t="s">
        <v>4357</v>
      </c>
      <c r="D1022" t="s">
        <v>16616</v>
      </c>
      <c r="E1022" t="s">
        <v>17615</v>
      </c>
      <c r="F1022" t="s">
        <v>28669</v>
      </c>
      <c r="G1022" t="s">
        <v>28675</v>
      </c>
      <c r="H1022" t="s">
        <v>9998</v>
      </c>
      <c r="I1022" t="s">
        <v>7352</v>
      </c>
      <c r="J1022" t="s">
        <v>29578</v>
      </c>
      <c r="K1022" t="s">
        <v>37210</v>
      </c>
      <c r="M1022" t="s">
        <v>37955</v>
      </c>
      <c r="N1022" t="s">
        <v>41249</v>
      </c>
      <c r="O1022" t="s">
        <v>41250</v>
      </c>
      <c r="P1022">
        <v>0</v>
      </c>
      <c r="Q1022">
        <v>0</v>
      </c>
      <c r="R1022" t="s">
        <v>41251</v>
      </c>
      <c r="S1022" t="s">
        <v>41369</v>
      </c>
      <c r="T1022" t="s">
        <v>42806</v>
      </c>
      <c r="U1022" t="s">
        <v>44093</v>
      </c>
      <c r="W1022" t="s">
        <v>37955</v>
      </c>
      <c r="X1022" t="s">
        <v>41252</v>
      </c>
    </row>
    <row r="1023" spans="1:24">
      <c r="A1023">
        <f>HYPERLINK("https://www.philgeps.gov.ph/GEPSNONPILOT/Tender/SplashBidNoticeAbstractUI.aspx?menuIndex=3&amp;refID=7077186&amp;Result=3","7077186")</f>
        <v>0</v>
      </c>
      <c r="B1023" t="s">
        <v>478</v>
      </c>
      <c r="C1023" t="s">
        <v>4358</v>
      </c>
      <c r="D1023" t="s">
        <v>16625</v>
      </c>
      <c r="E1023" t="s">
        <v>17681</v>
      </c>
      <c r="F1023" t="s">
        <v>28669</v>
      </c>
      <c r="G1023" t="s">
        <v>28678</v>
      </c>
      <c r="H1023" t="s">
        <v>9998</v>
      </c>
      <c r="I1023" t="s">
        <v>6128</v>
      </c>
      <c r="J1023" t="s">
        <v>29579</v>
      </c>
      <c r="K1023" t="s">
        <v>37205</v>
      </c>
      <c r="M1023" t="s">
        <v>37966</v>
      </c>
      <c r="N1023" t="s">
        <v>41249</v>
      </c>
      <c r="O1023" t="s">
        <v>41250</v>
      </c>
      <c r="P1023">
        <v>0</v>
      </c>
      <c r="Q1023">
        <v>2</v>
      </c>
      <c r="R1023" t="s">
        <v>41251</v>
      </c>
      <c r="S1023" t="s">
        <v>41369</v>
      </c>
      <c r="T1023" t="s">
        <v>42717</v>
      </c>
      <c r="U1023" t="s">
        <v>44003</v>
      </c>
      <c r="W1023" t="s">
        <v>37966</v>
      </c>
      <c r="X1023" t="s">
        <v>41252</v>
      </c>
    </row>
    <row r="1024" spans="1:24">
      <c r="A1024">
        <f>HYPERLINK("https://www.philgeps.gov.ph/GEPSNONPILOT/Tender/SplashBidNoticeAbstractUI.aspx?menuIndex=3&amp;refID=7077203&amp;Result=3","7077203")</f>
        <v>0</v>
      </c>
      <c r="B1024" t="s">
        <v>463</v>
      </c>
      <c r="C1024" t="s">
        <v>4359</v>
      </c>
      <c r="D1024" t="s">
        <v>16621</v>
      </c>
      <c r="E1024" t="s">
        <v>17682</v>
      </c>
      <c r="F1024" t="s">
        <v>28672</v>
      </c>
      <c r="G1024" t="s">
        <v>28676</v>
      </c>
      <c r="H1024" t="s">
        <v>9998</v>
      </c>
      <c r="I1024" t="s">
        <v>3718</v>
      </c>
      <c r="J1024" t="s">
        <v>29580</v>
      </c>
      <c r="K1024" t="s">
        <v>37204</v>
      </c>
      <c r="M1024" t="s">
        <v>37951</v>
      </c>
      <c r="N1024" t="s">
        <v>41249</v>
      </c>
      <c r="O1024" t="s">
        <v>41250</v>
      </c>
      <c r="P1024">
        <v>0</v>
      </c>
      <c r="Q1024">
        <v>0</v>
      </c>
      <c r="R1024" t="s">
        <v>41251</v>
      </c>
      <c r="S1024" t="s">
        <v>41369</v>
      </c>
      <c r="T1024" t="s">
        <v>42696</v>
      </c>
      <c r="U1024" t="s">
        <v>44094</v>
      </c>
      <c r="W1024" t="s">
        <v>37951</v>
      </c>
      <c r="X1024" t="s">
        <v>41252</v>
      </c>
    </row>
    <row r="1025" spans="1:24">
      <c r="A1025">
        <f>HYPERLINK("https://www.philgeps.gov.ph/GEPSNONPILOT/Tender/SplashBidNoticeAbstractUI.aspx?menuIndex=3&amp;refID=7077202&amp;Result=3","7077202")</f>
        <v>0</v>
      </c>
      <c r="B1025" t="s">
        <v>518</v>
      </c>
      <c r="C1025" t="s">
        <v>4360</v>
      </c>
      <c r="D1025" t="s">
        <v>16675</v>
      </c>
      <c r="E1025" t="s">
        <v>16820</v>
      </c>
      <c r="F1025" t="s">
        <v>28669</v>
      </c>
      <c r="G1025" t="s">
        <v>28676</v>
      </c>
      <c r="H1025" t="s">
        <v>9998</v>
      </c>
      <c r="I1025" t="s">
        <v>28708</v>
      </c>
      <c r="J1025" t="s">
        <v>29581</v>
      </c>
      <c r="K1025" t="s">
        <v>37243</v>
      </c>
      <c r="M1025" t="s">
        <v>38008</v>
      </c>
      <c r="N1025" t="s">
        <v>41249</v>
      </c>
      <c r="O1025" t="s">
        <v>41250</v>
      </c>
      <c r="P1025">
        <v>0</v>
      </c>
      <c r="Q1025">
        <v>0</v>
      </c>
      <c r="R1025" t="s">
        <v>41251</v>
      </c>
      <c r="S1025" t="s">
        <v>41369</v>
      </c>
      <c r="T1025" t="s">
        <v>42664</v>
      </c>
      <c r="U1025" t="s">
        <v>44095</v>
      </c>
      <c r="W1025" t="s">
        <v>38008</v>
      </c>
      <c r="X1025" t="s">
        <v>41252</v>
      </c>
    </row>
    <row r="1026" spans="1:24">
      <c r="A1026">
        <f>HYPERLINK("https://www.philgeps.gov.ph/GEPSNONPILOT/Tender/SplashBidNoticeAbstractUI.aspx?menuIndex=3&amp;refID=7077201&amp;Result=3","7077201")</f>
        <v>0</v>
      </c>
      <c r="B1026" t="s">
        <v>506</v>
      </c>
      <c r="C1026" t="s">
        <v>4361</v>
      </c>
      <c r="D1026" t="s">
        <v>16623</v>
      </c>
      <c r="E1026" t="s">
        <v>17683</v>
      </c>
      <c r="F1026" t="s">
        <v>28669</v>
      </c>
      <c r="G1026" t="s">
        <v>28677</v>
      </c>
      <c r="H1026" t="s">
        <v>9998</v>
      </c>
      <c r="I1026" t="s">
        <v>28704</v>
      </c>
      <c r="J1026" t="s">
        <v>29582</v>
      </c>
      <c r="K1026" t="s">
        <v>37209</v>
      </c>
      <c r="M1026" t="s">
        <v>37996</v>
      </c>
      <c r="N1026" t="s">
        <v>41249</v>
      </c>
      <c r="O1026" t="s">
        <v>41250</v>
      </c>
      <c r="P1026">
        <v>0</v>
      </c>
      <c r="Q1026">
        <v>0</v>
      </c>
      <c r="R1026" t="s">
        <v>41251</v>
      </c>
      <c r="S1026" t="s">
        <v>41369</v>
      </c>
      <c r="T1026" t="s">
        <v>42673</v>
      </c>
      <c r="U1026" t="s">
        <v>44075</v>
      </c>
      <c r="V1026" t="s">
        <v>54360</v>
      </c>
      <c r="W1026" t="s">
        <v>37996</v>
      </c>
      <c r="X1026" t="s">
        <v>41252</v>
      </c>
    </row>
    <row r="1027" spans="1:24">
      <c r="A1027">
        <f>HYPERLINK("https://www.philgeps.gov.ph/GEPSNONPILOT/Tender/SplashBidNoticeAbstractUI.aspx?menuIndex=3&amp;refID=7077199&amp;Result=3","7077199")</f>
        <v>0</v>
      </c>
      <c r="B1027" t="s">
        <v>445</v>
      </c>
      <c r="C1027" t="s">
        <v>4362</v>
      </c>
      <c r="D1027" t="s">
        <v>16687</v>
      </c>
      <c r="E1027" t="s">
        <v>17684</v>
      </c>
      <c r="F1027" t="s">
        <v>28669</v>
      </c>
      <c r="G1027" t="s">
        <v>28676</v>
      </c>
      <c r="H1027" t="s">
        <v>9998</v>
      </c>
      <c r="I1027" t="s">
        <v>28697</v>
      </c>
      <c r="J1027" t="s">
        <v>29208</v>
      </c>
      <c r="K1027" t="s">
        <v>37209</v>
      </c>
      <c r="M1027" t="s">
        <v>37930</v>
      </c>
      <c r="N1027" t="s">
        <v>41249</v>
      </c>
      <c r="O1027" t="s">
        <v>41250</v>
      </c>
      <c r="P1027">
        <v>0</v>
      </c>
      <c r="Q1027">
        <v>0</v>
      </c>
      <c r="R1027" t="s">
        <v>41251</v>
      </c>
      <c r="S1027" t="s">
        <v>41369</v>
      </c>
      <c r="T1027" t="s">
        <v>42681</v>
      </c>
      <c r="U1027" t="s">
        <v>44096</v>
      </c>
      <c r="W1027" t="s">
        <v>37930</v>
      </c>
      <c r="X1027" t="s">
        <v>41252</v>
      </c>
    </row>
    <row r="1028" spans="1:24">
      <c r="A1028">
        <f>HYPERLINK("https://www.philgeps.gov.ph/GEPSNONPILOT/Tender/SplashBidNoticeAbstractUI.aspx?menuIndex=3&amp;refID=7077198&amp;Result=3","7077198")</f>
        <v>0</v>
      </c>
      <c r="B1028" t="s">
        <v>514</v>
      </c>
      <c r="C1028" t="s">
        <v>4363</v>
      </c>
      <c r="D1028" t="s">
        <v>16618</v>
      </c>
      <c r="E1028" t="s">
        <v>17685</v>
      </c>
      <c r="F1028" t="s">
        <v>28669</v>
      </c>
      <c r="G1028" t="s">
        <v>28676</v>
      </c>
      <c r="H1028" t="s">
        <v>9998</v>
      </c>
      <c r="I1028" t="s">
        <v>28716</v>
      </c>
      <c r="J1028" t="s">
        <v>29583</v>
      </c>
      <c r="K1028" t="s">
        <v>37205</v>
      </c>
      <c r="M1028" t="s">
        <v>38004</v>
      </c>
      <c r="N1028" t="s">
        <v>41249</v>
      </c>
      <c r="O1028" t="s">
        <v>41250</v>
      </c>
      <c r="P1028">
        <v>0</v>
      </c>
      <c r="Q1028">
        <v>6</v>
      </c>
      <c r="R1028" t="s">
        <v>41251</v>
      </c>
      <c r="S1028" t="s">
        <v>41369</v>
      </c>
      <c r="T1028" t="s">
        <v>42751</v>
      </c>
      <c r="U1028" t="s">
        <v>44097</v>
      </c>
      <c r="W1028" t="s">
        <v>38004</v>
      </c>
      <c r="X1028" t="s">
        <v>41252</v>
      </c>
    </row>
    <row r="1029" spans="1:24">
      <c r="A1029">
        <f>HYPERLINK("https://www.philgeps.gov.ph/GEPSNONPILOT/Tender/SplashBidNoticeAbstractUI.aspx?menuIndex=3&amp;refID=7077196&amp;Result=3","7077196")</f>
        <v>0</v>
      </c>
      <c r="B1029" t="s">
        <v>101</v>
      </c>
      <c r="C1029" t="s">
        <v>4364</v>
      </c>
      <c r="D1029" t="s">
        <v>16644</v>
      </c>
      <c r="E1029" t="s">
        <v>17686</v>
      </c>
      <c r="F1029" t="s">
        <v>28669</v>
      </c>
      <c r="G1029" t="s">
        <v>28676</v>
      </c>
      <c r="H1029" t="s">
        <v>9998</v>
      </c>
      <c r="I1029" t="s">
        <v>28732</v>
      </c>
      <c r="J1029" t="s">
        <v>29088</v>
      </c>
      <c r="K1029" t="s">
        <v>37206</v>
      </c>
      <c r="M1029" t="s">
        <v>37576</v>
      </c>
      <c r="N1029" t="s">
        <v>41249</v>
      </c>
      <c r="O1029" t="s">
        <v>41250</v>
      </c>
      <c r="P1029">
        <v>0</v>
      </c>
      <c r="Q1029">
        <v>3</v>
      </c>
      <c r="R1029" t="s">
        <v>41251</v>
      </c>
      <c r="S1029" t="s">
        <v>41369</v>
      </c>
      <c r="T1029" t="s">
        <v>42675</v>
      </c>
      <c r="U1029" t="s">
        <v>44098</v>
      </c>
      <c r="V1029" t="s">
        <v>54362</v>
      </c>
      <c r="W1029" t="s">
        <v>37576</v>
      </c>
      <c r="X1029" t="s">
        <v>41252</v>
      </c>
    </row>
    <row r="1030" spans="1:24">
      <c r="A1030">
        <f>HYPERLINK("https://www.philgeps.gov.ph/GEPSNONPILOT/Tender/SplashBidNoticeAbstractUI.aspx?menuIndex=3&amp;refID=7076519&amp;Result=3","7076519")</f>
        <v>0</v>
      </c>
      <c r="B1030" t="s">
        <v>249</v>
      </c>
      <c r="C1030" t="s">
        <v>4365</v>
      </c>
      <c r="E1030" t="s">
        <v>17131</v>
      </c>
      <c r="F1030" t="s">
        <v>28669</v>
      </c>
      <c r="G1030" t="s">
        <v>28676</v>
      </c>
      <c r="H1030" t="s">
        <v>9998</v>
      </c>
      <c r="I1030" t="s">
        <v>28728</v>
      </c>
      <c r="J1030" t="s">
        <v>28859</v>
      </c>
      <c r="K1030" t="s">
        <v>37209</v>
      </c>
      <c r="M1030" t="s">
        <v>38009</v>
      </c>
      <c r="N1030" t="s">
        <v>41249</v>
      </c>
      <c r="O1030" t="s">
        <v>41250</v>
      </c>
      <c r="P1030">
        <v>0</v>
      </c>
      <c r="Q1030">
        <v>0</v>
      </c>
      <c r="R1030" t="s">
        <v>41251</v>
      </c>
      <c r="S1030" t="s">
        <v>41369</v>
      </c>
      <c r="T1030" t="s">
        <v>42754</v>
      </c>
      <c r="U1030" t="s">
        <v>44099</v>
      </c>
      <c r="V1030" t="s">
        <v>54314</v>
      </c>
      <c r="W1030" t="s">
        <v>38009</v>
      </c>
      <c r="X1030" t="s">
        <v>41252</v>
      </c>
    </row>
    <row r="1031" spans="1:24">
      <c r="A1031">
        <f>HYPERLINK("https://www.philgeps.gov.ph/GEPSNONPILOT/Tender/SplashBidNoticeAbstractUI.aspx?menuIndex=3&amp;refID=7076518&amp;Result=3","7076518")</f>
        <v>0</v>
      </c>
      <c r="B1031" t="s">
        <v>519</v>
      </c>
      <c r="C1031" t="s">
        <v>4366</v>
      </c>
      <c r="D1031" t="s">
        <v>16608</v>
      </c>
      <c r="E1031" t="s">
        <v>17687</v>
      </c>
      <c r="F1031" t="s">
        <v>28669</v>
      </c>
      <c r="G1031" t="s">
        <v>28676</v>
      </c>
      <c r="H1031" t="s">
        <v>9998</v>
      </c>
      <c r="I1031" t="s">
        <v>28728</v>
      </c>
      <c r="J1031" t="s">
        <v>29584</v>
      </c>
      <c r="K1031" t="s">
        <v>37209</v>
      </c>
      <c r="M1031" t="s">
        <v>38010</v>
      </c>
      <c r="N1031" t="s">
        <v>41249</v>
      </c>
      <c r="O1031" t="s">
        <v>41250</v>
      </c>
      <c r="P1031">
        <v>0</v>
      </c>
      <c r="Q1031">
        <v>0</v>
      </c>
      <c r="R1031" t="s">
        <v>41251</v>
      </c>
      <c r="S1031" t="s">
        <v>41369</v>
      </c>
      <c r="T1031" t="s">
        <v>42730</v>
      </c>
      <c r="U1031" t="s">
        <v>44100</v>
      </c>
      <c r="W1031" t="s">
        <v>38010</v>
      </c>
      <c r="X1031" t="s">
        <v>41252</v>
      </c>
    </row>
    <row r="1032" spans="1:24">
      <c r="A1032">
        <f>HYPERLINK("https://www.philgeps.gov.ph/GEPSNONPILOT/Tender/SplashBidNoticeAbstractUI.aspx?menuIndex=3&amp;refID=7077206&amp;Result=3","7077206")</f>
        <v>0</v>
      </c>
      <c r="B1032" t="s">
        <v>391</v>
      </c>
      <c r="C1032" t="s">
        <v>4367</v>
      </c>
      <c r="D1032" t="s">
        <v>16673</v>
      </c>
      <c r="E1032" t="s">
        <v>17688</v>
      </c>
      <c r="F1032" t="s">
        <v>28669</v>
      </c>
      <c r="G1032" t="s">
        <v>28675</v>
      </c>
      <c r="H1032" t="s">
        <v>28686</v>
      </c>
      <c r="I1032" t="s">
        <v>28689</v>
      </c>
      <c r="J1032" t="s">
        <v>28891</v>
      </c>
      <c r="K1032" t="s">
        <v>37273</v>
      </c>
      <c r="M1032" t="s">
        <v>37875</v>
      </c>
      <c r="N1032" t="s">
        <v>41249</v>
      </c>
      <c r="O1032" t="s">
        <v>41250</v>
      </c>
      <c r="P1032">
        <v>0</v>
      </c>
      <c r="Q1032">
        <v>0</v>
      </c>
      <c r="R1032" t="s">
        <v>41251</v>
      </c>
      <c r="S1032" t="s">
        <v>41369</v>
      </c>
      <c r="T1032" t="s">
        <v>42709</v>
      </c>
      <c r="U1032" t="s">
        <v>44101</v>
      </c>
      <c r="W1032" t="s">
        <v>37875</v>
      </c>
      <c r="X1032" t="s">
        <v>41252</v>
      </c>
    </row>
    <row r="1033" spans="1:24">
      <c r="A1033">
        <f>HYPERLINK("https://www.philgeps.gov.ph/GEPSNONPILOT/Tender/SplashBidNoticeAbstractUI.aspx?menuIndex=3&amp;refID=7076514&amp;Result=3","7076514")</f>
        <v>0</v>
      </c>
      <c r="B1033" t="s">
        <v>520</v>
      </c>
      <c r="C1033" t="s">
        <v>4368</v>
      </c>
      <c r="E1033" t="s">
        <v>17689</v>
      </c>
      <c r="F1033" t="s">
        <v>28669</v>
      </c>
      <c r="G1033" t="s">
        <v>28675</v>
      </c>
      <c r="H1033" t="s">
        <v>9998</v>
      </c>
      <c r="I1033" t="s">
        <v>3718</v>
      </c>
      <c r="J1033" t="s">
        <v>29585</v>
      </c>
      <c r="K1033" t="s">
        <v>37209</v>
      </c>
      <c r="M1033" t="s">
        <v>38011</v>
      </c>
      <c r="N1033" t="s">
        <v>41249</v>
      </c>
      <c r="O1033" t="s">
        <v>41250</v>
      </c>
      <c r="P1033">
        <v>0</v>
      </c>
      <c r="Q1033">
        <v>0</v>
      </c>
      <c r="R1033" t="s">
        <v>41251</v>
      </c>
      <c r="S1033" t="s">
        <v>41369</v>
      </c>
      <c r="T1033" t="s">
        <v>42764</v>
      </c>
      <c r="U1033" t="s">
        <v>44102</v>
      </c>
      <c r="V1033" t="s">
        <v>54363</v>
      </c>
      <c r="W1033" t="s">
        <v>38011</v>
      </c>
      <c r="X1033" t="s">
        <v>41252</v>
      </c>
    </row>
    <row r="1034" spans="1:24">
      <c r="A1034">
        <f>HYPERLINK("https://www.philgeps.gov.ph/GEPSNONPILOT/Tender/SplashBidNoticeAbstractUI.aspx?menuIndex=3&amp;refID=7076510&amp;Result=3","7076510")</f>
        <v>0</v>
      </c>
      <c r="B1034" t="s">
        <v>169</v>
      </c>
      <c r="C1034" t="s">
        <v>4369</v>
      </c>
      <c r="D1034" t="s">
        <v>16611</v>
      </c>
      <c r="E1034" t="s">
        <v>17690</v>
      </c>
      <c r="F1034" t="s">
        <v>28669</v>
      </c>
      <c r="G1034" t="s">
        <v>28675</v>
      </c>
      <c r="H1034" t="s">
        <v>9998</v>
      </c>
      <c r="I1034" t="s">
        <v>5286</v>
      </c>
      <c r="J1034" t="s">
        <v>29586</v>
      </c>
      <c r="K1034" t="s">
        <v>37227</v>
      </c>
      <c r="M1034" t="s">
        <v>37646</v>
      </c>
      <c r="N1034" t="s">
        <v>41249</v>
      </c>
      <c r="O1034" t="s">
        <v>41250</v>
      </c>
      <c r="P1034">
        <v>0</v>
      </c>
      <c r="Q1034">
        <v>4</v>
      </c>
      <c r="R1034" t="s">
        <v>41251</v>
      </c>
      <c r="S1034" t="s">
        <v>41369</v>
      </c>
      <c r="T1034" t="s">
        <v>42732</v>
      </c>
      <c r="U1034" t="s">
        <v>44103</v>
      </c>
      <c r="V1034" t="s">
        <v>54294</v>
      </c>
      <c r="W1034" t="s">
        <v>37646</v>
      </c>
      <c r="X1034" t="s">
        <v>41252</v>
      </c>
    </row>
    <row r="1035" spans="1:24">
      <c r="A1035">
        <f>HYPERLINK("https://www.philgeps.gov.ph/GEPSNONPILOT/Tender/SplashBidNoticeAbstractUI.aspx?menuIndex=3&amp;refID=7077210&amp;Result=3","7077210")</f>
        <v>0</v>
      </c>
      <c r="B1035" t="s">
        <v>470</v>
      </c>
      <c r="C1035" t="s">
        <v>4370</v>
      </c>
      <c r="D1035" t="s">
        <v>16639</v>
      </c>
      <c r="E1035" t="s">
        <v>17691</v>
      </c>
      <c r="F1035" t="s">
        <v>28669</v>
      </c>
      <c r="G1035" t="s">
        <v>28676</v>
      </c>
      <c r="H1035" t="s">
        <v>9998</v>
      </c>
      <c r="I1035" t="s">
        <v>28696</v>
      </c>
      <c r="J1035" t="s">
        <v>28905</v>
      </c>
      <c r="K1035" t="s">
        <v>37205</v>
      </c>
      <c r="M1035" t="s">
        <v>37958</v>
      </c>
      <c r="N1035" t="s">
        <v>41249</v>
      </c>
      <c r="O1035" t="s">
        <v>41250</v>
      </c>
      <c r="P1035">
        <v>0</v>
      </c>
      <c r="Q1035">
        <v>0</v>
      </c>
      <c r="R1035" t="s">
        <v>41251</v>
      </c>
      <c r="S1035" t="s">
        <v>41369</v>
      </c>
      <c r="T1035" t="s">
        <v>42673</v>
      </c>
      <c r="U1035" t="s">
        <v>44104</v>
      </c>
      <c r="W1035" t="s">
        <v>37958</v>
      </c>
      <c r="X1035" t="s">
        <v>41252</v>
      </c>
    </row>
    <row r="1036" spans="1:24">
      <c r="A1036">
        <f>HYPERLINK("https://www.philgeps.gov.ph/GEPSNONPILOT/Tender/SplashBidNoticeAbstractUI.aspx?menuIndex=3&amp;refID=7077197&amp;Result=3","7077197")</f>
        <v>0</v>
      </c>
      <c r="B1036" t="s">
        <v>521</v>
      </c>
      <c r="C1036" t="s">
        <v>4247</v>
      </c>
      <c r="D1036" t="s">
        <v>16660</v>
      </c>
      <c r="E1036" t="s">
        <v>16708</v>
      </c>
      <c r="F1036" t="s">
        <v>28669</v>
      </c>
      <c r="G1036" t="s">
        <v>28677</v>
      </c>
      <c r="H1036" t="s">
        <v>9998</v>
      </c>
      <c r="I1036" t="s">
        <v>28688</v>
      </c>
      <c r="J1036" t="s">
        <v>29587</v>
      </c>
      <c r="K1036" t="s">
        <v>37210</v>
      </c>
      <c r="M1036" t="s">
        <v>38012</v>
      </c>
      <c r="N1036" t="s">
        <v>41249</v>
      </c>
      <c r="O1036" t="s">
        <v>41250</v>
      </c>
      <c r="P1036">
        <v>0</v>
      </c>
      <c r="Q1036">
        <v>0</v>
      </c>
      <c r="R1036" t="s">
        <v>41251</v>
      </c>
      <c r="S1036" t="s">
        <v>41369</v>
      </c>
      <c r="T1036" t="s">
        <v>42748</v>
      </c>
      <c r="U1036" t="s">
        <v>43998</v>
      </c>
      <c r="W1036" t="s">
        <v>38012</v>
      </c>
      <c r="X1036" t="s">
        <v>41252</v>
      </c>
    </row>
    <row r="1037" spans="1:24">
      <c r="A1037">
        <f>HYPERLINK("https://www.philgeps.gov.ph/GEPSNONPILOT/Tender/SplashBidNoticeAbstractUI.aspx?menuIndex=3&amp;refID=7076508&amp;Result=3","7076508")</f>
        <v>0</v>
      </c>
      <c r="B1037" t="s">
        <v>181</v>
      </c>
      <c r="C1037" t="s">
        <v>4371</v>
      </c>
      <c r="D1037" t="s">
        <v>16647</v>
      </c>
      <c r="E1037" t="s">
        <v>17692</v>
      </c>
      <c r="F1037" t="s">
        <v>28669</v>
      </c>
      <c r="G1037" t="s">
        <v>28675</v>
      </c>
      <c r="H1037" t="s">
        <v>28686</v>
      </c>
      <c r="I1037" t="s">
        <v>28689</v>
      </c>
      <c r="J1037" t="s">
        <v>28826</v>
      </c>
      <c r="K1037" t="s">
        <v>37220</v>
      </c>
      <c r="M1037" t="s">
        <v>37658</v>
      </c>
      <c r="N1037" t="s">
        <v>41249</v>
      </c>
      <c r="O1037" t="s">
        <v>41250</v>
      </c>
      <c r="P1037">
        <v>0</v>
      </c>
      <c r="Q1037">
        <v>1</v>
      </c>
      <c r="R1037" t="s">
        <v>41251</v>
      </c>
      <c r="S1037" t="s">
        <v>41369</v>
      </c>
      <c r="T1037" t="s">
        <v>42768</v>
      </c>
      <c r="U1037" t="s">
        <v>44105</v>
      </c>
      <c r="W1037" t="s">
        <v>37658</v>
      </c>
      <c r="X1037" t="s">
        <v>41252</v>
      </c>
    </row>
    <row r="1038" spans="1:24">
      <c r="A1038">
        <f>HYPERLINK("https://www.philgeps.gov.ph/GEPSNONPILOT/Tender/SplashBidNoticeAbstractUI.aspx?menuIndex=3&amp;refID=7077204&amp;Result=3","7077204")</f>
        <v>0</v>
      </c>
      <c r="B1038" t="s">
        <v>207</v>
      </c>
      <c r="C1038" t="s">
        <v>4372</v>
      </c>
      <c r="D1038" t="s">
        <v>16625</v>
      </c>
      <c r="E1038" t="s">
        <v>17693</v>
      </c>
      <c r="F1038" t="s">
        <v>28669</v>
      </c>
      <c r="G1038" t="s">
        <v>28675</v>
      </c>
      <c r="H1038" t="s">
        <v>9998</v>
      </c>
      <c r="I1038" t="s">
        <v>28693</v>
      </c>
      <c r="J1038" t="s">
        <v>29588</v>
      </c>
      <c r="K1038" t="s">
        <v>37220</v>
      </c>
      <c r="M1038" t="s">
        <v>37995</v>
      </c>
      <c r="N1038" t="s">
        <v>41249</v>
      </c>
      <c r="O1038" t="s">
        <v>41250</v>
      </c>
      <c r="P1038">
        <v>0</v>
      </c>
      <c r="Q1038">
        <v>25</v>
      </c>
      <c r="R1038" t="s">
        <v>41251</v>
      </c>
      <c r="S1038" t="s">
        <v>41369</v>
      </c>
      <c r="T1038" t="s">
        <v>42693</v>
      </c>
      <c r="U1038" t="s">
        <v>44106</v>
      </c>
      <c r="V1038" t="s">
        <v>54364</v>
      </c>
      <c r="W1038" t="s">
        <v>37995</v>
      </c>
      <c r="X1038" t="s">
        <v>41252</v>
      </c>
    </row>
    <row r="1039" spans="1:24">
      <c r="A1039">
        <f>HYPERLINK("https://www.philgeps.gov.ph/GEPSNONPILOT/Tender/SplashBidNoticeAbstractUI.aspx?menuIndex=3&amp;refID=7076516&amp;Result=3","7076516")</f>
        <v>0</v>
      </c>
      <c r="B1039" t="s">
        <v>522</v>
      </c>
      <c r="C1039" t="s">
        <v>4373</v>
      </c>
      <c r="D1039" t="s">
        <v>16643</v>
      </c>
      <c r="E1039" t="s">
        <v>17694</v>
      </c>
      <c r="F1039" t="s">
        <v>28669</v>
      </c>
      <c r="G1039" t="s">
        <v>28675</v>
      </c>
      <c r="H1039" t="s">
        <v>9998</v>
      </c>
      <c r="I1039" t="s">
        <v>28687</v>
      </c>
      <c r="J1039" t="s">
        <v>29589</v>
      </c>
      <c r="K1039" t="s">
        <v>37206</v>
      </c>
      <c r="M1039" t="s">
        <v>38013</v>
      </c>
      <c r="N1039" t="s">
        <v>41249</v>
      </c>
      <c r="O1039" t="s">
        <v>41250</v>
      </c>
      <c r="P1039">
        <v>0</v>
      </c>
      <c r="Q1039">
        <v>0</v>
      </c>
      <c r="R1039" t="s">
        <v>41251</v>
      </c>
      <c r="S1039" t="s">
        <v>41369</v>
      </c>
      <c r="T1039" t="s">
        <v>42714</v>
      </c>
      <c r="U1039" t="s">
        <v>44107</v>
      </c>
      <c r="V1039" t="s">
        <v>54365</v>
      </c>
      <c r="W1039" t="s">
        <v>38013</v>
      </c>
      <c r="X1039" t="s">
        <v>41252</v>
      </c>
    </row>
    <row r="1040" spans="1:24">
      <c r="A1040">
        <f>HYPERLINK("https://www.philgeps.gov.ph/GEPSNONPILOT/Tender/SplashBidNoticeAbstractUI.aspx?menuIndex=3&amp;refID=7076513&amp;Result=3","7076513")</f>
        <v>0</v>
      </c>
      <c r="B1040" t="s">
        <v>523</v>
      </c>
      <c r="C1040" t="s">
        <v>3799</v>
      </c>
      <c r="D1040" t="s">
        <v>16621</v>
      </c>
      <c r="E1040" t="s">
        <v>17695</v>
      </c>
      <c r="F1040" t="s">
        <v>28669</v>
      </c>
      <c r="G1040" t="s">
        <v>28676</v>
      </c>
      <c r="H1040" t="s">
        <v>9998</v>
      </c>
      <c r="I1040" t="s">
        <v>15140</v>
      </c>
      <c r="J1040" t="s">
        <v>29590</v>
      </c>
      <c r="K1040" t="s">
        <v>37208</v>
      </c>
      <c r="M1040" t="s">
        <v>38014</v>
      </c>
      <c r="N1040" t="s">
        <v>41249</v>
      </c>
      <c r="O1040" t="s">
        <v>41250</v>
      </c>
      <c r="P1040">
        <v>0</v>
      </c>
      <c r="Q1040">
        <v>0</v>
      </c>
      <c r="R1040" t="s">
        <v>41251</v>
      </c>
      <c r="S1040" t="s">
        <v>41369</v>
      </c>
      <c r="T1040" t="s">
        <v>42717</v>
      </c>
      <c r="U1040" t="s">
        <v>43592</v>
      </c>
      <c r="W1040" t="s">
        <v>38014</v>
      </c>
      <c r="X1040" t="s">
        <v>41252</v>
      </c>
    </row>
    <row r="1041" spans="1:24">
      <c r="A1041">
        <f>HYPERLINK("https://www.philgeps.gov.ph/GEPSNONPILOT/Tender/SplashBidNoticeAbstractUI.aspx?menuIndex=3&amp;refID=7077234&amp;Result=3","7077234")</f>
        <v>0</v>
      </c>
      <c r="B1041" t="s">
        <v>524</v>
      </c>
      <c r="C1041" t="s">
        <v>4374</v>
      </c>
      <c r="D1041" t="s">
        <v>16654</v>
      </c>
      <c r="E1041" t="s">
        <v>17696</v>
      </c>
      <c r="F1041" t="s">
        <v>28669</v>
      </c>
      <c r="G1041" t="s">
        <v>28675</v>
      </c>
      <c r="H1041" t="s">
        <v>28686</v>
      </c>
      <c r="I1041" t="s">
        <v>28689</v>
      </c>
      <c r="J1041" t="s">
        <v>29134</v>
      </c>
      <c r="K1041" t="s">
        <v>37221</v>
      </c>
      <c r="M1041" t="s">
        <v>38015</v>
      </c>
      <c r="N1041" t="s">
        <v>41249</v>
      </c>
      <c r="O1041" t="s">
        <v>41250</v>
      </c>
      <c r="P1041">
        <v>0</v>
      </c>
      <c r="Q1041">
        <v>0</v>
      </c>
      <c r="R1041" t="s">
        <v>41251</v>
      </c>
      <c r="S1041" t="s">
        <v>41369</v>
      </c>
      <c r="T1041" t="s">
        <v>42755</v>
      </c>
      <c r="U1041" t="s">
        <v>44108</v>
      </c>
      <c r="W1041" t="s">
        <v>38015</v>
      </c>
      <c r="X1041" t="s">
        <v>41252</v>
      </c>
    </row>
    <row r="1042" spans="1:24">
      <c r="A1042">
        <f>HYPERLINK("https://www.philgeps.gov.ph/GEPSNONPILOT/Tender/SplashBidNoticeAbstractUI.aspx?menuIndex=3&amp;refID=7077222&amp;Result=3","7077222")</f>
        <v>0</v>
      </c>
      <c r="B1042" t="s">
        <v>525</v>
      </c>
      <c r="C1042" t="s">
        <v>4375</v>
      </c>
      <c r="D1042" t="s">
        <v>16608</v>
      </c>
      <c r="E1042" t="s">
        <v>17697</v>
      </c>
      <c r="F1042" t="s">
        <v>28669</v>
      </c>
      <c r="G1042" t="s">
        <v>28676</v>
      </c>
      <c r="H1042" t="s">
        <v>9998</v>
      </c>
      <c r="I1042" t="s">
        <v>3718</v>
      </c>
      <c r="J1042" t="s">
        <v>29591</v>
      </c>
      <c r="K1042" t="s">
        <v>37209</v>
      </c>
      <c r="M1042" t="s">
        <v>38016</v>
      </c>
      <c r="N1042" t="s">
        <v>41249</v>
      </c>
      <c r="O1042" t="s">
        <v>41250</v>
      </c>
      <c r="P1042">
        <v>0</v>
      </c>
      <c r="Q1042">
        <v>8</v>
      </c>
      <c r="R1042" t="s">
        <v>41251</v>
      </c>
      <c r="S1042" t="s">
        <v>41369</v>
      </c>
      <c r="T1042" t="s">
        <v>42675</v>
      </c>
      <c r="U1042" t="s">
        <v>44109</v>
      </c>
      <c r="V1042" t="s">
        <v>54366</v>
      </c>
      <c r="W1042" t="s">
        <v>55920</v>
      </c>
      <c r="X1042" t="s">
        <v>41252</v>
      </c>
    </row>
    <row r="1043" spans="1:24">
      <c r="A1043">
        <f>HYPERLINK("https://www.philgeps.gov.ph/GEPSNONPILOT/Tender/SplashBidNoticeAbstractUI.aspx?menuIndex=3&amp;refID=7077232&amp;Result=3","7077232")</f>
        <v>0</v>
      </c>
      <c r="B1043" t="s">
        <v>514</v>
      </c>
      <c r="C1043" t="s">
        <v>4376</v>
      </c>
      <c r="D1043" t="s">
        <v>16618</v>
      </c>
      <c r="E1043" t="s">
        <v>17698</v>
      </c>
      <c r="F1043" t="s">
        <v>28669</v>
      </c>
      <c r="G1043" t="s">
        <v>28676</v>
      </c>
      <c r="H1043" t="s">
        <v>9998</v>
      </c>
      <c r="I1043" t="s">
        <v>7352</v>
      </c>
      <c r="J1043" t="s">
        <v>29592</v>
      </c>
      <c r="K1043" t="s">
        <v>37210</v>
      </c>
      <c r="M1043" t="s">
        <v>38004</v>
      </c>
      <c r="N1043" t="s">
        <v>41249</v>
      </c>
      <c r="O1043" t="s">
        <v>41250</v>
      </c>
      <c r="P1043">
        <v>0</v>
      </c>
      <c r="Q1043">
        <v>1</v>
      </c>
      <c r="R1043" t="s">
        <v>41251</v>
      </c>
      <c r="S1043" t="s">
        <v>41369</v>
      </c>
      <c r="T1043" t="s">
        <v>42751</v>
      </c>
      <c r="U1043" t="s">
        <v>44110</v>
      </c>
      <c r="W1043" t="s">
        <v>38004</v>
      </c>
      <c r="X1043" t="s">
        <v>41252</v>
      </c>
    </row>
    <row r="1044" spans="1:24">
      <c r="A1044">
        <f>HYPERLINK("https://www.philgeps.gov.ph/GEPSNONPILOT/Tender/SplashBidNoticeAbstractUI.aspx?menuIndex=3&amp;refID=7077231&amp;Result=3","7077231")</f>
        <v>0</v>
      </c>
      <c r="B1044" t="s">
        <v>391</v>
      </c>
      <c r="C1044" t="s">
        <v>4377</v>
      </c>
      <c r="D1044" t="s">
        <v>16673</v>
      </c>
      <c r="E1044" t="s">
        <v>17699</v>
      </c>
      <c r="F1044" t="s">
        <v>28669</v>
      </c>
      <c r="G1044" t="s">
        <v>28675</v>
      </c>
      <c r="H1044" t="s">
        <v>9998</v>
      </c>
      <c r="I1044" t="s">
        <v>28687</v>
      </c>
      <c r="J1044" t="s">
        <v>29059</v>
      </c>
      <c r="K1044" t="s">
        <v>37206</v>
      </c>
      <c r="M1044" t="s">
        <v>37875</v>
      </c>
      <c r="N1044" t="s">
        <v>41249</v>
      </c>
      <c r="O1044" t="s">
        <v>41250</v>
      </c>
      <c r="P1044">
        <v>0</v>
      </c>
      <c r="Q1044">
        <v>6</v>
      </c>
      <c r="R1044" t="s">
        <v>41251</v>
      </c>
      <c r="S1044" t="s">
        <v>41369</v>
      </c>
      <c r="T1044" t="s">
        <v>42709</v>
      </c>
      <c r="U1044" t="s">
        <v>44111</v>
      </c>
      <c r="W1044" t="s">
        <v>37875</v>
      </c>
      <c r="X1044" t="s">
        <v>41252</v>
      </c>
    </row>
    <row r="1045" spans="1:24">
      <c r="A1045">
        <f>HYPERLINK("https://www.philgeps.gov.ph/GEPSNONPILOT/Tender/SplashBidNoticeAbstractUI.aspx?menuIndex=3&amp;refID=7077230&amp;Result=3","7077230")</f>
        <v>0</v>
      </c>
      <c r="B1045" t="s">
        <v>526</v>
      </c>
      <c r="C1045" t="s">
        <v>4378</v>
      </c>
      <c r="D1045" t="s">
        <v>16680</v>
      </c>
      <c r="E1045" t="s">
        <v>17700</v>
      </c>
      <c r="F1045" t="s">
        <v>28669</v>
      </c>
      <c r="G1045" t="s">
        <v>28676</v>
      </c>
      <c r="H1045" t="s">
        <v>9998</v>
      </c>
      <c r="I1045" t="s">
        <v>28693</v>
      </c>
      <c r="J1045" t="s">
        <v>29593</v>
      </c>
      <c r="K1045" t="s">
        <v>37210</v>
      </c>
      <c r="M1045" t="s">
        <v>38017</v>
      </c>
      <c r="N1045" t="s">
        <v>41249</v>
      </c>
      <c r="O1045" t="s">
        <v>41250</v>
      </c>
      <c r="P1045">
        <v>0</v>
      </c>
      <c r="Q1045">
        <v>3</v>
      </c>
      <c r="R1045" t="s">
        <v>41251</v>
      </c>
      <c r="S1045" t="s">
        <v>41369</v>
      </c>
      <c r="T1045" t="s">
        <v>42681</v>
      </c>
      <c r="U1045" t="s">
        <v>44112</v>
      </c>
      <c r="W1045" t="s">
        <v>38017</v>
      </c>
      <c r="X1045" t="s">
        <v>41252</v>
      </c>
    </row>
    <row r="1046" spans="1:24">
      <c r="A1046">
        <f>HYPERLINK("https://www.philgeps.gov.ph/GEPSNONPILOT/Tender/SplashBidNoticeAbstractUI.aspx?menuIndex=3&amp;refID=7077228&amp;Result=3","7077228")</f>
        <v>0</v>
      </c>
      <c r="B1046" t="s">
        <v>527</v>
      </c>
      <c r="C1046" t="s">
        <v>4379</v>
      </c>
      <c r="D1046" t="s">
        <v>16627</v>
      </c>
      <c r="E1046" t="s">
        <v>17701</v>
      </c>
      <c r="F1046" t="s">
        <v>28669</v>
      </c>
      <c r="G1046" t="s">
        <v>28675</v>
      </c>
      <c r="H1046" t="s">
        <v>9998</v>
      </c>
      <c r="I1046" t="s">
        <v>28713</v>
      </c>
      <c r="J1046" t="s">
        <v>28986</v>
      </c>
      <c r="K1046" t="s">
        <v>37204</v>
      </c>
      <c r="M1046" t="s">
        <v>38018</v>
      </c>
      <c r="N1046" t="s">
        <v>41249</v>
      </c>
      <c r="O1046" t="s">
        <v>41250</v>
      </c>
      <c r="P1046">
        <v>0</v>
      </c>
      <c r="Q1046">
        <v>3</v>
      </c>
      <c r="R1046" t="s">
        <v>41251</v>
      </c>
      <c r="S1046" t="s">
        <v>41369</v>
      </c>
      <c r="T1046" t="s">
        <v>42683</v>
      </c>
      <c r="U1046" t="s">
        <v>44113</v>
      </c>
      <c r="W1046" t="s">
        <v>38018</v>
      </c>
      <c r="X1046" t="s">
        <v>41252</v>
      </c>
    </row>
    <row r="1047" spans="1:24">
      <c r="A1047">
        <f>HYPERLINK("https://www.philgeps.gov.ph/GEPSNONPILOT/Tender/SplashBidNoticeAbstractUI.aspx?menuIndex=3&amp;refID=7077235&amp;Result=3","7077235")</f>
        <v>0</v>
      </c>
      <c r="B1047" t="s">
        <v>482</v>
      </c>
      <c r="C1047" t="s">
        <v>4380</v>
      </c>
      <c r="D1047" t="s">
        <v>16654</v>
      </c>
      <c r="E1047" t="s">
        <v>17587</v>
      </c>
      <c r="F1047" t="s">
        <v>28669</v>
      </c>
      <c r="G1047" t="s">
        <v>28675</v>
      </c>
      <c r="H1047" t="s">
        <v>9998</v>
      </c>
      <c r="I1047" t="s">
        <v>28696</v>
      </c>
      <c r="J1047" t="s">
        <v>29594</v>
      </c>
      <c r="K1047" t="s">
        <v>37206</v>
      </c>
      <c r="M1047" t="s">
        <v>37970</v>
      </c>
      <c r="N1047" t="s">
        <v>41249</v>
      </c>
      <c r="O1047" t="s">
        <v>41250</v>
      </c>
      <c r="P1047">
        <v>0</v>
      </c>
      <c r="Q1047">
        <v>0</v>
      </c>
      <c r="R1047" t="s">
        <v>41251</v>
      </c>
      <c r="S1047" t="s">
        <v>41369</v>
      </c>
      <c r="T1047" t="s">
        <v>42714</v>
      </c>
      <c r="U1047" t="s">
        <v>44114</v>
      </c>
      <c r="W1047" t="s">
        <v>37970</v>
      </c>
      <c r="X1047" t="s">
        <v>41252</v>
      </c>
    </row>
    <row r="1048" spans="1:24">
      <c r="A1048">
        <f>HYPERLINK("https://www.philgeps.gov.ph/GEPSNONPILOT/Tender/SplashBidNoticeAbstractUI.aspx?menuIndex=3&amp;refID=7077225&amp;Result=3","7077225")</f>
        <v>0</v>
      </c>
      <c r="B1048" t="s">
        <v>506</v>
      </c>
      <c r="C1048" t="s">
        <v>4381</v>
      </c>
      <c r="D1048" t="s">
        <v>16623</v>
      </c>
      <c r="E1048" t="s">
        <v>17702</v>
      </c>
      <c r="F1048" t="s">
        <v>28669</v>
      </c>
      <c r="G1048" t="s">
        <v>28677</v>
      </c>
      <c r="H1048" t="s">
        <v>9998</v>
      </c>
      <c r="I1048" t="s">
        <v>28695</v>
      </c>
      <c r="J1048" t="s">
        <v>29060</v>
      </c>
      <c r="K1048" t="s">
        <v>37209</v>
      </c>
      <c r="M1048" t="s">
        <v>37996</v>
      </c>
      <c r="N1048" t="s">
        <v>41249</v>
      </c>
      <c r="O1048" t="s">
        <v>41250</v>
      </c>
      <c r="P1048">
        <v>0</v>
      </c>
      <c r="Q1048">
        <v>0</v>
      </c>
      <c r="R1048" t="s">
        <v>41251</v>
      </c>
      <c r="S1048" t="s">
        <v>41369</v>
      </c>
      <c r="T1048" t="s">
        <v>42673</v>
      </c>
      <c r="U1048" t="s">
        <v>44115</v>
      </c>
      <c r="V1048" t="s">
        <v>54360</v>
      </c>
      <c r="W1048" t="s">
        <v>37996</v>
      </c>
      <c r="X1048" t="s">
        <v>41252</v>
      </c>
    </row>
    <row r="1049" spans="1:24">
      <c r="A1049">
        <f>HYPERLINK("https://www.philgeps.gov.ph/GEPSNONPILOT/Tender/SplashBidNoticeAbstractUI.aspx?menuIndex=3&amp;refID=7077221&amp;Result=3","7077221")</f>
        <v>0</v>
      </c>
      <c r="B1049" t="s">
        <v>169</v>
      </c>
      <c r="C1049" t="s">
        <v>4382</v>
      </c>
      <c r="D1049" t="s">
        <v>16611</v>
      </c>
      <c r="E1049" t="s">
        <v>17703</v>
      </c>
      <c r="F1049" t="s">
        <v>28669</v>
      </c>
      <c r="G1049" t="s">
        <v>28676</v>
      </c>
      <c r="H1049" t="s">
        <v>28686</v>
      </c>
      <c r="I1049" t="s">
        <v>28689</v>
      </c>
      <c r="J1049" t="s">
        <v>28836</v>
      </c>
      <c r="K1049" t="s">
        <v>37274</v>
      </c>
      <c r="M1049" t="s">
        <v>37936</v>
      </c>
      <c r="N1049" t="s">
        <v>41249</v>
      </c>
      <c r="O1049" t="s">
        <v>41250</v>
      </c>
      <c r="P1049">
        <v>0</v>
      </c>
      <c r="Q1049">
        <v>0</v>
      </c>
      <c r="R1049" t="s">
        <v>41251</v>
      </c>
      <c r="S1049" t="s">
        <v>41369</v>
      </c>
      <c r="T1049" t="s">
        <v>42764</v>
      </c>
      <c r="U1049" t="s">
        <v>44116</v>
      </c>
      <c r="W1049" t="s">
        <v>37936</v>
      </c>
      <c r="X1049" t="s">
        <v>41252</v>
      </c>
    </row>
    <row r="1050" spans="1:24">
      <c r="A1050">
        <f>HYPERLINK("https://www.philgeps.gov.ph/GEPSNONPILOT/Tender/SplashBidNoticeAbstractUI.aspx?menuIndex=3&amp;refID=7077226&amp;Result=3","7077226")</f>
        <v>0</v>
      </c>
      <c r="B1050" t="s">
        <v>454</v>
      </c>
      <c r="C1050" t="s">
        <v>4383</v>
      </c>
      <c r="D1050" t="s">
        <v>16661</v>
      </c>
      <c r="E1050" t="s">
        <v>17704</v>
      </c>
      <c r="F1050" t="s">
        <v>28669</v>
      </c>
      <c r="G1050" t="s">
        <v>28676</v>
      </c>
      <c r="H1050" t="s">
        <v>9998</v>
      </c>
      <c r="I1050" t="s">
        <v>6606</v>
      </c>
      <c r="J1050" t="s">
        <v>29595</v>
      </c>
      <c r="K1050" t="s">
        <v>37209</v>
      </c>
      <c r="M1050" t="s">
        <v>37942</v>
      </c>
      <c r="N1050" t="s">
        <v>41249</v>
      </c>
      <c r="O1050" t="s">
        <v>41250</v>
      </c>
      <c r="P1050">
        <v>0</v>
      </c>
      <c r="Q1050">
        <v>0</v>
      </c>
      <c r="R1050" t="s">
        <v>41251</v>
      </c>
      <c r="S1050" t="s">
        <v>41369</v>
      </c>
      <c r="T1050" t="s">
        <v>42799</v>
      </c>
      <c r="U1050" t="s">
        <v>44117</v>
      </c>
      <c r="W1050" t="s">
        <v>37942</v>
      </c>
      <c r="X1050" t="s">
        <v>41252</v>
      </c>
    </row>
    <row r="1051" spans="1:24">
      <c r="A1051">
        <f>HYPERLINK("https://www.philgeps.gov.ph/GEPSNONPILOT/Tender/SplashBidNoticeAbstractUI.aspx?menuIndex=3&amp;refID=7077243&amp;Result=3","7077243")</f>
        <v>0</v>
      </c>
      <c r="B1051" t="s">
        <v>470</v>
      </c>
      <c r="C1051" t="s">
        <v>4384</v>
      </c>
      <c r="D1051" t="s">
        <v>16639</v>
      </c>
      <c r="E1051" t="s">
        <v>17705</v>
      </c>
      <c r="F1051" t="s">
        <v>28669</v>
      </c>
      <c r="G1051" t="s">
        <v>28676</v>
      </c>
      <c r="H1051" t="s">
        <v>9998</v>
      </c>
      <c r="I1051" t="s">
        <v>28696</v>
      </c>
      <c r="J1051" t="s">
        <v>29003</v>
      </c>
      <c r="K1051" t="s">
        <v>37205</v>
      </c>
      <c r="M1051" t="s">
        <v>37958</v>
      </c>
      <c r="N1051" t="s">
        <v>41249</v>
      </c>
      <c r="O1051" t="s">
        <v>41250</v>
      </c>
      <c r="P1051">
        <v>0</v>
      </c>
      <c r="Q1051">
        <v>0</v>
      </c>
      <c r="R1051" t="s">
        <v>41251</v>
      </c>
      <c r="S1051" t="s">
        <v>41369</v>
      </c>
      <c r="T1051" t="s">
        <v>42673</v>
      </c>
      <c r="U1051" t="s">
        <v>44118</v>
      </c>
      <c r="W1051" t="s">
        <v>37958</v>
      </c>
      <c r="X1051" t="s">
        <v>41252</v>
      </c>
    </row>
    <row r="1052" spans="1:24">
      <c r="A1052">
        <f>HYPERLINK("https://www.philgeps.gov.ph/GEPSNONPILOT/Tender/SplashBidNoticeAbstractUI.aspx?menuIndex=3&amp;refID=7077229&amp;Result=3","7077229")</f>
        <v>0</v>
      </c>
      <c r="B1052" t="s">
        <v>224</v>
      </c>
      <c r="C1052" t="s">
        <v>4385</v>
      </c>
      <c r="D1052" t="s">
        <v>16626</v>
      </c>
      <c r="E1052" t="s">
        <v>17706</v>
      </c>
      <c r="F1052" t="s">
        <v>28669</v>
      </c>
      <c r="G1052" t="s">
        <v>28676</v>
      </c>
      <c r="H1052" t="s">
        <v>9998</v>
      </c>
      <c r="I1052" t="s">
        <v>7352</v>
      </c>
      <c r="J1052" t="s">
        <v>29596</v>
      </c>
      <c r="K1052" t="s">
        <v>37209</v>
      </c>
      <c r="M1052" t="s">
        <v>37702</v>
      </c>
      <c r="N1052" t="s">
        <v>41249</v>
      </c>
      <c r="O1052" t="s">
        <v>41250</v>
      </c>
      <c r="P1052">
        <v>0</v>
      </c>
      <c r="Q1052">
        <v>0</v>
      </c>
      <c r="R1052" t="s">
        <v>41251</v>
      </c>
      <c r="S1052" t="s">
        <v>41369</v>
      </c>
      <c r="T1052" t="s">
        <v>42694</v>
      </c>
      <c r="U1052" t="s">
        <v>44119</v>
      </c>
      <c r="W1052" t="s">
        <v>37702</v>
      </c>
      <c r="X1052" t="s">
        <v>41252</v>
      </c>
    </row>
    <row r="1053" spans="1:24">
      <c r="A1053">
        <f>HYPERLINK("https://www.philgeps.gov.ph/GEPSNONPILOT/Tender/SplashBidNoticeAbstractUI.aspx?menuIndex=3&amp;refID=7077224&amp;Result=3","7077224")</f>
        <v>0</v>
      </c>
      <c r="B1053" t="s">
        <v>516</v>
      </c>
      <c r="C1053" t="s">
        <v>4386</v>
      </c>
      <c r="D1053" t="s">
        <v>16625</v>
      </c>
      <c r="E1053" t="s">
        <v>17707</v>
      </c>
      <c r="F1053" t="s">
        <v>28669</v>
      </c>
      <c r="G1053" t="s">
        <v>28677</v>
      </c>
      <c r="H1053" t="s">
        <v>9998</v>
      </c>
      <c r="I1053" t="s">
        <v>15140</v>
      </c>
      <c r="J1053" t="s">
        <v>28834</v>
      </c>
      <c r="K1053" t="s">
        <v>37234</v>
      </c>
      <c r="M1053" t="s">
        <v>38006</v>
      </c>
      <c r="N1053" t="s">
        <v>41249</v>
      </c>
      <c r="O1053" t="s">
        <v>41250</v>
      </c>
      <c r="P1053">
        <v>0</v>
      </c>
      <c r="Q1053">
        <v>0</v>
      </c>
      <c r="R1053" t="s">
        <v>41251</v>
      </c>
      <c r="S1053" t="s">
        <v>41369</v>
      </c>
      <c r="T1053" t="s">
        <v>42767</v>
      </c>
      <c r="U1053" t="s">
        <v>44120</v>
      </c>
      <c r="W1053" t="s">
        <v>38006</v>
      </c>
      <c r="X1053" t="s">
        <v>41252</v>
      </c>
    </row>
    <row r="1054" spans="1:24">
      <c r="A1054">
        <f>HYPERLINK("https://www.philgeps.gov.ph/GEPSNONPILOT/Tender/SplashBidNoticeAbstractUI.aspx?menuIndex=3&amp;refID=7077239&amp;Result=3","7077239")</f>
        <v>0</v>
      </c>
      <c r="B1054" t="s">
        <v>528</v>
      </c>
      <c r="C1054" t="s">
        <v>4387</v>
      </c>
      <c r="D1054" t="s">
        <v>16608</v>
      </c>
      <c r="E1054" t="s">
        <v>17708</v>
      </c>
      <c r="F1054" t="s">
        <v>28669</v>
      </c>
      <c r="G1054" t="s">
        <v>28675</v>
      </c>
      <c r="H1054" t="s">
        <v>9998</v>
      </c>
      <c r="I1054" t="s">
        <v>5213</v>
      </c>
      <c r="J1054" t="s">
        <v>29597</v>
      </c>
      <c r="K1054" t="s">
        <v>37204</v>
      </c>
      <c r="M1054" t="s">
        <v>38019</v>
      </c>
      <c r="N1054" t="s">
        <v>41249</v>
      </c>
      <c r="O1054" t="s">
        <v>41250</v>
      </c>
      <c r="P1054">
        <v>0</v>
      </c>
      <c r="Q1054">
        <v>0</v>
      </c>
      <c r="R1054" t="s">
        <v>41251</v>
      </c>
      <c r="S1054" t="s">
        <v>41369</v>
      </c>
      <c r="T1054" t="s">
        <v>42714</v>
      </c>
      <c r="U1054" t="s">
        <v>44121</v>
      </c>
      <c r="W1054" t="s">
        <v>38019</v>
      </c>
      <c r="X1054" t="s">
        <v>41252</v>
      </c>
    </row>
    <row r="1055" spans="1:24">
      <c r="A1055">
        <f>HYPERLINK("https://www.philgeps.gov.ph/GEPSNONPILOT/Tender/SplashBidNoticeAbstractUI.aspx?menuIndex=3&amp;refID=7077233&amp;Result=3","7077233")</f>
        <v>0</v>
      </c>
      <c r="B1055" t="s">
        <v>160</v>
      </c>
      <c r="C1055" t="s">
        <v>4388</v>
      </c>
      <c r="D1055" t="s">
        <v>16615</v>
      </c>
      <c r="E1055" t="s">
        <v>17709</v>
      </c>
      <c r="F1055" t="s">
        <v>28669</v>
      </c>
      <c r="G1055" t="s">
        <v>28676</v>
      </c>
      <c r="H1055" t="s">
        <v>28686</v>
      </c>
      <c r="I1055" t="s">
        <v>28689</v>
      </c>
      <c r="J1055" t="s">
        <v>29598</v>
      </c>
      <c r="K1055" t="s">
        <v>37206</v>
      </c>
      <c r="M1055" t="s">
        <v>37637</v>
      </c>
      <c r="N1055" t="s">
        <v>41249</v>
      </c>
      <c r="O1055" t="s">
        <v>41250</v>
      </c>
      <c r="P1055">
        <v>0</v>
      </c>
      <c r="Q1055">
        <v>0</v>
      </c>
      <c r="R1055" t="s">
        <v>41251</v>
      </c>
      <c r="S1055" t="s">
        <v>41369</v>
      </c>
      <c r="T1055" t="s">
        <v>42675</v>
      </c>
      <c r="U1055" t="s">
        <v>44122</v>
      </c>
      <c r="V1055" t="s">
        <v>54367</v>
      </c>
      <c r="W1055" t="s">
        <v>37637</v>
      </c>
      <c r="X1055" t="s">
        <v>41252</v>
      </c>
    </row>
    <row r="1056" spans="1:24">
      <c r="A1056">
        <f>HYPERLINK("https://www.philgeps.gov.ph/GEPSNONPILOT/Tender/SplashBidNoticeAbstractUI.aspx?menuIndex=3&amp;refID=7077223&amp;Result=3","7077223")</f>
        <v>0</v>
      </c>
      <c r="B1056" t="s">
        <v>242</v>
      </c>
      <c r="C1056" t="s">
        <v>3824</v>
      </c>
      <c r="D1056" t="s">
        <v>16666</v>
      </c>
      <c r="E1056" t="s">
        <v>17710</v>
      </c>
      <c r="F1056" t="s">
        <v>28669</v>
      </c>
      <c r="G1056" t="s">
        <v>28676</v>
      </c>
      <c r="H1056" t="s">
        <v>9998</v>
      </c>
      <c r="I1056" t="s">
        <v>28738</v>
      </c>
      <c r="J1056" t="s">
        <v>29599</v>
      </c>
      <c r="K1056" t="s">
        <v>37204</v>
      </c>
      <c r="M1056" t="s">
        <v>37720</v>
      </c>
      <c r="N1056" t="s">
        <v>41249</v>
      </c>
      <c r="O1056" t="s">
        <v>41250</v>
      </c>
      <c r="P1056">
        <v>0</v>
      </c>
      <c r="Q1056">
        <v>2</v>
      </c>
      <c r="R1056" t="s">
        <v>41251</v>
      </c>
      <c r="S1056" t="s">
        <v>41369</v>
      </c>
      <c r="T1056" t="s">
        <v>42711</v>
      </c>
      <c r="U1056" t="s">
        <v>44123</v>
      </c>
      <c r="W1056" t="s">
        <v>37720</v>
      </c>
      <c r="X1056" t="s">
        <v>41252</v>
      </c>
    </row>
    <row r="1057" spans="1:24">
      <c r="A1057">
        <f>HYPERLINK("https://www.philgeps.gov.ph/GEPSNONPILOT/Tender/SplashBidNoticeAbstractUI.aspx?menuIndex=3&amp;refID=7077247&amp;Result=3","7077247")</f>
        <v>0</v>
      </c>
      <c r="B1057" t="s">
        <v>123</v>
      </c>
      <c r="C1057" t="s">
        <v>4389</v>
      </c>
      <c r="D1057" t="s">
        <v>16608</v>
      </c>
      <c r="E1057" t="s">
        <v>17273</v>
      </c>
      <c r="F1057" t="s">
        <v>28669</v>
      </c>
      <c r="G1057" t="s">
        <v>28676</v>
      </c>
      <c r="H1057" t="s">
        <v>9998</v>
      </c>
      <c r="I1057" t="s">
        <v>8667</v>
      </c>
      <c r="J1057" t="s">
        <v>29600</v>
      </c>
      <c r="K1057" t="s">
        <v>37206</v>
      </c>
      <c r="M1057" t="s">
        <v>37599</v>
      </c>
      <c r="N1057" t="s">
        <v>41249</v>
      </c>
      <c r="O1057" t="s">
        <v>41250</v>
      </c>
      <c r="P1057">
        <v>0</v>
      </c>
      <c r="Q1057">
        <v>2</v>
      </c>
      <c r="R1057" t="s">
        <v>41251</v>
      </c>
      <c r="S1057" t="s">
        <v>41369</v>
      </c>
      <c r="T1057" t="s">
        <v>42675</v>
      </c>
      <c r="U1057" t="s">
        <v>44124</v>
      </c>
      <c r="W1057" t="s">
        <v>37599</v>
      </c>
      <c r="X1057" t="s">
        <v>41252</v>
      </c>
    </row>
    <row r="1058" spans="1:24">
      <c r="A1058">
        <f>HYPERLINK("https://www.philgeps.gov.ph/GEPSNONPILOT/Tender/SplashBidNoticeAbstractUI.aspx?menuIndex=3&amp;refID=7077244&amp;Result=3","7077244")</f>
        <v>0</v>
      </c>
      <c r="B1058" t="s">
        <v>454</v>
      </c>
      <c r="C1058" t="s">
        <v>4390</v>
      </c>
      <c r="D1058" t="s">
        <v>16661</v>
      </c>
      <c r="E1058" t="s">
        <v>17711</v>
      </c>
      <c r="F1058" t="s">
        <v>28669</v>
      </c>
      <c r="G1058" t="s">
        <v>28676</v>
      </c>
      <c r="H1058" t="s">
        <v>9998</v>
      </c>
      <c r="I1058" t="s">
        <v>6606</v>
      </c>
      <c r="J1058" t="s">
        <v>29601</v>
      </c>
      <c r="K1058" t="s">
        <v>37209</v>
      </c>
      <c r="M1058" t="s">
        <v>37942</v>
      </c>
      <c r="N1058" t="s">
        <v>41249</v>
      </c>
      <c r="O1058" t="s">
        <v>41250</v>
      </c>
      <c r="P1058">
        <v>0</v>
      </c>
      <c r="Q1058">
        <v>0</v>
      </c>
      <c r="R1058" t="s">
        <v>41251</v>
      </c>
      <c r="S1058" t="s">
        <v>41369</v>
      </c>
      <c r="T1058" t="s">
        <v>42799</v>
      </c>
      <c r="U1058" t="s">
        <v>44125</v>
      </c>
      <c r="W1058" t="s">
        <v>37942</v>
      </c>
      <c r="X1058" t="s">
        <v>41252</v>
      </c>
    </row>
    <row r="1059" spans="1:24">
      <c r="A1059">
        <f>HYPERLINK("https://www.philgeps.gov.ph/GEPSNONPILOT/Tender/SplashBidNoticeAbstractUI.aspx?menuIndex=3&amp;refID=7077246&amp;Result=3","7077246")</f>
        <v>0</v>
      </c>
      <c r="B1059" t="s">
        <v>425</v>
      </c>
      <c r="C1059" t="s">
        <v>4391</v>
      </c>
      <c r="D1059" t="s">
        <v>16653</v>
      </c>
      <c r="E1059" t="s">
        <v>17468</v>
      </c>
      <c r="F1059" t="s">
        <v>28669</v>
      </c>
      <c r="G1059" t="s">
        <v>28675</v>
      </c>
      <c r="H1059" t="s">
        <v>9998</v>
      </c>
      <c r="I1059" t="s">
        <v>28713</v>
      </c>
      <c r="J1059" t="s">
        <v>29602</v>
      </c>
      <c r="K1059" t="s">
        <v>37206</v>
      </c>
      <c r="M1059" t="s">
        <v>37910</v>
      </c>
      <c r="N1059" t="s">
        <v>41249</v>
      </c>
      <c r="O1059" t="s">
        <v>41250</v>
      </c>
      <c r="P1059">
        <v>0</v>
      </c>
      <c r="Q1059">
        <v>8</v>
      </c>
      <c r="R1059" t="s">
        <v>41251</v>
      </c>
      <c r="S1059" t="s">
        <v>41369</v>
      </c>
      <c r="T1059" t="s">
        <v>42732</v>
      </c>
      <c r="U1059" t="s">
        <v>44126</v>
      </c>
      <c r="W1059" t="s">
        <v>37910</v>
      </c>
      <c r="X1059" t="s">
        <v>41252</v>
      </c>
    </row>
    <row r="1060" spans="1:24">
      <c r="A1060">
        <f>HYPERLINK("https://www.philgeps.gov.ph/GEPSNONPILOT/Tender/SplashBidNoticeAbstractUI.aspx?menuIndex=3&amp;refID=7077242&amp;Result=3","7077242")</f>
        <v>0</v>
      </c>
      <c r="B1060" t="s">
        <v>529</v>
      </c>
      <c r="C1060" t="s">
        <v>4392</v>
      </c>
      <c r="D1060" t="s">
        <v>16626</v>
      </c>
      <c r="E1060" t="s">
        <v>17712</v>
      </c>
      <c r="F1060" t="s">
        <v>28669</v>
      </c>
      <c r="G1060" t="s">
        <v>28677</v>
      </c>
      <c r="H1060" t="s">
        <v>9998</v>
      </c>
      <c r="I1060" t="s">
        <v>6128</v>
      </c>
      <c r="J1060" t="s">
        <v>29603</v>
      </c>
      <c r="K1060" t="s">
        <v>37205</v>
      </c>
      <c r="M1060" t="s">
        <v>38020</v>
      </c>
      <c r="N1060" t="s">
        <v>41249</v>
      </c>
      <c r="O1060" t="s">
        <v>41250</v>
      </c>
      <c r="P1060">
        <v>0</v>
      </c>
      <c r="Q1060">
        <v>0</v>
      </c>
      <c r="R1060" t="s">
        <v>41251</v>
      </c>
      <c r="S1060" t="s">
        <v>41369</v>
      </c>
      <c r="T1060" t="s">
        <v>42673</v>
      </c>
      <c r="U1060" t="s">
        <v>44127</v>
      </c>
      <c r="W1060" t="s">
        <v>38020</v>
      </c>
      <c r="X1060" t="s">
        <v>41252</v>
      </c>
    </row>
    <row r="1061" spans="1:24">
      <c r="A1061">
        <f>HYPERLINK("https://www.philgeps.gov.ph/GEPSNONPILOT/Tender/SplashBidNoticeAbstractUI.aspx?menuIndex=3&amp;refID=7077264&amp;Result=3","7077264")</f>
        <v>0</v>
      </c>
      <c r="B1061" t="s">
        <v>530</v>
      </c>
      <c r="C1061" t="s">
        <v>4393</v>
      </c>
      <c r="D1061" t="s">
        <v>16679</v>
      </c>
      <c r="E1061" t="s">
        <v>17713</v>
      </c>
      <c r="F1061" t="s">
        <v>28669</v>
      </c>
      <c r="G1061" t="s">
        <v>28675</v>
      </c>
      <c r="H1061" t="s">
        <v>9998</v>
      </c>
      <c r="I1061" t="s">
        <v>5286</v>
      </c>
      <c r="J1061" t="s">
        <v>29604</v>
      </c>
      <c r="K1061" t="s">
        <v>37210</v>
      </c>
      <c r="M1061" t="s">
        <v>38021</v>
      </c>
      <c r="N1061" t="s">
        <v>41249</v>
      </c>
      <c r="O1061" t="s">
        <v>41250</v>
      </c>
      <c r="P1061">
        <v>0</v>
      </c>
      <c r="Q1061">
        <v>5</v>
      </c>
      <c r="R1061" t="s">
        <v>41251</v>
      </c>
      <c r="S1061" t="s">
        <v>41369</v>
      </c>
      <c r="T1061" t="s">
        <v>42688</v>
      </c>
      <c r="U1061" t="s">
        <v>44128</v>
      </c>
      <c r="V1061" t="s">
        <v>54368</v>
      </c>
      <c r="W1061" t="s">
        <v>38021</v>
      </c>
      <c r="X1061" t="s">
        <v>41252</v>
      </c>
    </row>
    <row r="1062" spans="1:24">
      <c r="A1062">
        <f>HYPERLINK("https://www.philgeps.gov.ph/GEPSNONPILOT/Tender/SplashBidNoticeAbstractUI.aspx?menuIndex=3&amp;refID=7077263&amp;Result=3","7077263")</f>
        <v>0</v>
      </c>
      <c r="B1062" t="s">
        <v>510</v>
      </c>
      <c r="C1062" t="s">
        <v>4394</v>
      </c>
      <c r="D1062" t="s">
        <v>16608</v>
      </c>
      <c r="E1062" t="s">
        <v>17714</v>
      </c>
      <c r="F1062" t="s">
        <v>28669</v>
      </c>
      <c r="G1062" t="s">
        <v>28677</v>
      </c>
      <c r="H1062" t="s">
        <v>9998</v>
      </c>
      <c r="I1062" t="s">
        <v>28711</v>
      </c>
      <c r="J1062" t="s">
        <v>29605</v>
      </c>
      <c r="K1062" t="s">
        <v>37243</v>
      </c>
      <c r="M1062" t="s">
        <v>38000</v>
      </c>
      <c r="N1062" t="s">
        <v>41249</v>
      </c>
      <c r="O1062" t="s">
        <v>41250</v>
      </c>
      <c r="P1062">
        <v>0</v>
      </c>
      <c r="Q1062">
        <v>3</v>
      </c>
      <c r="R1062" t="s">
        <v>41251</v>
      </c>
      <c r="S1062" t="s">
        <v>41369</v>
      </c>
      <c r="T1062" t="s">
        <v>42738</v>
      </c>
      <c r="U1062" t="s">
        <v>44129</v>
      </c>
      <c r="W1062" t="s">
        <v>38000</v>
      </c>
      <c r="X1062" t="s">
        <v>41252</v>
      </c>
    </row>
    <row r="1063" spans="1:24">
      <c r="A1063">
        <f>HYPERLINK("https://www.philgeps.gov.ph/GEPSNONPILOT/Tender/SplashBidNoticeAbstractUI.aspx?menuIndex=3&amp;refID=7077220&amp;Result=3","7077220")</f>
        <v>0</v>
      </c>
      <c r="B1063" t="s">
        <v>215</v>
      </c>
      <c r="C1063" t="s">
        <v>4395</v>
      </c>
      <c r="D1063" t="s">
        <v>16631</v>
      </c>
      <c r="E1063" t="s">
        <v>17715</v>
      </c>
      <c r="F1063" t="s">
        <v>28669</v>
      </c>
      <c r="G1063" t="s">
        <v>28677</v>
      </c>
      <c r="H1063" t="s">
        <v>9998</v>
      </c>
      <c r="I1063" t="s">
        <v>11593</v>
      </c>
      <c r="J1063" t="s">
        <v>28826</v>
      </c>
      <c r="K1063" t="s">
        <v>37205</v>
      </c>
      <c r="M1063" t="s">
        <v>37693</v>
      </c>
      <c r="N1063" t="s">
        <v>41249</v>
      </c>
      <c r="O1063" t="s">
        <v>41250</v>
      </c>
      <c r="P1063">
        <v>0</v>
      </c>
      <c r="Q1063">
        <v>1</v>
      </c>
      <c r="R1063" t="s">
        <v>41251</v>
      </c>
      <c r="S1063" t="s">
        <v>41369</v>
      </c>
      <c r="T1063" t="s">
        <v>42673</v>
      </c>
      <c r="U1063" t="s">
        <v>44130</v>
      </c>
      <c r="W1063" t="s">
        <v>37693</v>
      </c>
      <c r="X1063" t="s">
        <v>41252</v>
      </c>
    </row>
    <row r="1064" spans="1:24">
      <c r="A1064">
        <f>HYPERLINK("https://www.philgeps.gov.ph/GEPSNONPILOT/Tender/SplashBidNoticeAbstractUI.aspx?menuIndex=3&amp;refID=7077262&amp;Result=3","7077262")</f>
        <v>0</v>
      </c>
      <c r="B1064" t="s">
        <v>207</v>
      </c>
      <c r="C1064" t="s">
        <v>4396</v>
      </c>
      <c r="D1064" t="s">
        <v>16625</v>
      </c>
      <c r="E1064" t="s">
        <v>17716</v>
      </c>
      <c r="F1064" t="s">
        <v>28669</v>
      </c>
      <c r="G1064" t="s">
        <v>28675</v>
      </c>
      <c r="H1064" t="s">
        <v>9998</v>
      </c>
      <c r="I1064" t="s">
        <v>11593</v>
      </c>
      <c r="J1064" t="s">
        <v>28847</v>
      </c>
      <c r="K1064" t="s">
        <v>37206</v>
      </c>
      <c r="M1064" t="s">
        <v>37995</v>
      </c>
      <c r="N1064" t="s">
        <v>41249</v>
      </c>
      <c r="O1064" t="s">
        <v>41250</v>
      </c>
      <c r="P1064">
        <v>0</v>
      </c>
      <c r="Q1064">
        <v>6</v>
      </c>
      <c r="R1064" t="s">
        <v>41251</v>
      </c>
      <c r="S1064" t="s">
        <v>41369</v>
      </c>
      <c r="T1064" t="s">
        <v>42693</v>
      </c>
      <c r="U1064" t="s">
        <v>44074</v>
      </c>
      <c r="V1064" t="s">
        <v>54369</v>
      </c>
      <c r="W1064" t="s">
        <v>37995</v>
      </c>
      <c r="X1064" t="s">
        <v>41252</v>
      </c>
    </row>
    <row r="1065" spans="1:24">
      <c r="A1065">
        <f>HYPERLINK("https://www.philgeps.gov.ph/GEPSNONPILOT/Tender/SplashBidNoticeAbstractUI.aspx?menuIndex=3&amp;refID=7077261&amp;Result=3","7077261")</f>
        <v>0</v>
      </c>
      <c r="B1065" t="s">
        <v>531</v>
      </c>
      <c r="C1065" t="s">
        <v>4397</v>
      </c>
      <c r="D1065" t="s">
        <v>16611</v>
      </c>
      <c r="E1065" t="s">
        <v>17717</v>
      </c>
      <c r="F1065" t="s">
        <v>28669</v>
      </c>
      <c r="G1065" t="s">
        <v>28677</v>
      </c>
      <c r="H1065" t="s">
        <v>9998</v>
      </c>
      <c r="I1065" t="s">
        <v>15140</v>
      </c>
      <c r="J1065" t="s">
        <v>29606</v>
      </c>
      <c r="K1065" t="s">
        <v>37210</v>
      </c>
      <c r="M1065" t="s">
        <v>38022</v>
      </c>
      <c r="N1065" t="s">
        <v>41249</v>
      </c>
      <c r="O1065" t="s">
        <v>41250</v>
      </c>
      <c r="P1065">
        <v>0</v>
      </c>
      <c r="Q1065">
        <v>0</v>
      </c>
      <c r="R1065" t="s">
        <v>41251</v>
      </c>
      <c r="S1065" t="s">
        <v>41369</v>
      </c>
      <c r="T1065" t="s">
        <v>42679</v>
      </c>
      <c r="U1065" t="s">
        <v>44131</v>
      </c>
      <c r="W1065" t="s">
        <v>38022</v>
      </c>
      <c r="X1065" t="s">
        <v>41252</v>
      </c>
    </row>
    <row r="1066" spans="1:24">
      <c r="A1066">
        <f>HYPERLINK("https://www.philgeps.gov.ph/GEPSNONPILOT/Tender/SplashBidNoticeAbstractUI.aspx?menuIndex=3&amp;refID=7077268&amp;Result=3","7077268")</f>
        <v>0</v>
      </c>
      <c r="B1066" t="s">
        <v>356</v>
      </c>
      <c r="C1066" t="s">
        <v>4398</v>
      </c>
      <c r="D1066" t="s">
        <v>16639</v>
      </c>
      <c r="E1066" t="s">
        <v>17718</v>
      </c>
      <c r="F1066" t="s">
        <v>28669</v>
      </c>
      <c r="G1066" t="s">
        <v>28676</v>
      </c>
      <c r="H1066" t="s">
        <v>9998</v>
      </c>
      <c r="I1066" t="s">
        <v>28726</v>
      </c>
      <c r="J1066" t="s">
        <v>29359</v>
      </c>
      <c r="K1066" t="s">
        <v>37210</v>
      </c>
      <c r="M1066" t="s">
        <v>37837</v>
      </c>
      <c r="N1066" t="s">
        <v>41249</v>
      </c>
      <c r="O1066" t="s">
        <v>41250</v>
      </c>
      <c r="P1066">
        <v>0</v>
      </c>
      <c r="Q1066">
        <v>0</v>
      </c>
      <c r="R1066" t="s">
        <v>41251</v>
      </c>
      <c r="S1066" t="s">
        <v>41369</v>
      </c>
      <c r="T1066" t="s">
        <v>42717</v>
      </c>
      <c r="U1066" t="s">
        <v>43777</v>
      </c>
      <c r="V1066" t="s">
        <v>54334</v>
      </c>
      <c r="W1066" t="s">
        <v>37837</v>
      </c>
      <c r="X1066" t="s">
        <v>41252</v>
      </c>
    </row>
    <row r="1067" spans="1:24">
      <c r="A1067">
        <f>HYPERLINK("https://www.philgeps.gov.ph/GEPSNONPILOT/Tender/SplashBidNoticeAbstractUI.aspx?menuIndex=3&amp;refID=7077245&amp;Result=3","7077245")</f>
        <v>0</v>
      </c>
      <c r="B1067" t="s">
        <v>169</v>
      </c>
      <c r="C1067" t="s">
        <v>4399</v>
      </c>
      <c r="D1067" t="s">
        <v>16611</v>
      </c>
      <c r="E1067" t="s">
        <v>17719</v>
      </c>
      <c r="F1067" t="s">
        <v>28669</v>
      </c>
      <c r="G1067" t="s">
        <v>28676</v>
      </c>
      <c r="H1067" t="s">
        <v>28686</v>
      </c>
      <c r="I1067" t="s">
        <v>28689</v>
      </c>
      <c r="J1067" t="s">
        <v>28889</v>
      </c>
      <c r="K1067" t="s">
        <v>37275</v>
      </c>
      <c r="M1067" t="s">
        <v>37936</v>
      </c>
      <c r="N1067" t="s">
        <v>41249</v>
      </c>
      <c r="O1067" t="s">
        <v>41250</v>
      </c>
      <c r="P1067">
        <v>0</v>
      </c>
      <c r="Q1067">
        <v>0</v>
      </c>
      <c r="R1067" t="s">
        <v>41251</v>
      </c>
      <c r="S1067" t="s">
        <v>41369</v>
      </c>
      <c r="T1067" t="s">
        <v>42764</v>
      </c>
      <c r="U1067" t="s">
        <v>44132</v>
      </c>
      <c r="W1067" t="s">
        <v>37936</v>
      </c>
      <c r="X1067" t="s">
        <v>41252</v>
      </c>
    </row>
    <row r="1068" spans="1:24">
      <c r="A1068">
        <f>HYPERLINK("https://www.philgeps.gov.ph/GEPSNONPILOT/Tender/SplashBidNoticeAbstractUI.aspx?menuIndex=3&amp;refID=7077260&amp;Result=3","7077260")</f>
        <v>0</v>
      </c>
      <c r="B1068" t="s">
        <v>532</v>
      </c>
      <c r="C1068" t="s">
        <v>4400</v>
      </c>
      <c r="D1068" t="s">
        <v>16675</v>
      </c>
      <c r="E1068" t="s">
        <v>17720</v>
      </c>
      <c r="F1068" t="s">
        <v>28669</v>
      </c>
      <c r="G1068" t="s">
        <v>28675</v>
      </c>
      <c r="H1068" t="s">
        <v>9998</v>
      </c>
      <c r="I1068" t="s">
        <v>28695</v>
      </c>
      <c r="J1068" t="s">
        <v>29607</v>
      </c>
      <c r="K1068" t="s">
        <v>37205</v>
      </c>
      <c r="M1068" t="s">
        <v>38023</v>
      </c>
      <c r="N1068" t="s">
        <v>41249</v>
      </c>
      <c r="O1068" t="s">
        <v>41250</v>
      </c>
      <c r="P1068">
        <v>0</v>
      </c>
      <c r="Q1068">
        <v>0</v>
      </c>
      <c r="R1068" t="s">
        <v>41251</v>
      </c>
      <c r="S1068" t="s">
        <v>41369</v>
      </c>
      <c r="T1068" t="s">
        <v>42714</v>
      </c>
      <c r="U1068" t="s">
        <v>44133</v>
      </c>
      <c r="W1068" t="s">
        <v>38023</v>
      </c>
      <c r="X1068" t="s">
        <v>41252</v>
      </c>
    </row>
    <row r="1069" spans="1:24">
      <c r="A1069">
        <f>HYPERLINK("https://www.philgeps.gov.ph/GEPSNONPILOT/Tender/SplashBidNoticeAbstractUI.aspx?menuIndex=3&amp;refID=7077257&amp;Result=3","7077257")</f>
        <v>0</v>
      </c>
      <c r="B1069" t="s">
        <v>533</v>
      </c>
      <c r="C1069" t="s">
        <v>4401</v>
      </c>
      <c r="D1069" t="s">
        <v>16641</v>
      </c>
      <c r="E1069" t="s">
        <v>17721</v>
      </c>
      <c r="F1069" t="s">
        <v>28669</v>
      </c>
      <c r="G1069" t="s">
        <v>28676</v>
      </c>
      <c r="H1069" t="s">
        <v>28686</v>
      </c>
      <c r="I1069" t="s">
        <v>28689</v>
      </c>
      <c r="J1069" t="s">
        <v>29608</v>
      </c>
      <c r="K1069" t="s">
        <v>37210</v>
      </c>
      <c r="M1069" t="s">
        <v>38024</v>
      </c>
      <c r="N1069" t="s">
        <v>41249</v>
      </c>
      <c r="O1069" t="s">
        <v>41250</v>
      </c>
      <c r="P1069">
        <v>0</v>
      </c>
      <c r="Q1069">
        <v>0</v>
      </c>
      <c r="R1069" t="s">
        <v>41251</v>
      </c>
      <c r="S1069" t="s">
        <v>41369</v>
      </c>
      <c r="T1069" t="s">
        <v>42673</v>
      </c>
      <c r="U1069" t="s">
        <v>44134</v>
      </c>
      <c r="W1069" t="s">
        <v>38024</v>
      </c>
      <c r="X1069" t="s">
        <v>41252</v>
      </c>
    </row>
    <row r="1070" spans="1:24">
      <c r="A1070">
        <f>HYPERLINK("https://www.philgeps.gov.ph/GEPSNONPILOT/Tender/SplashBidNoticeAbstractUI.aspx?menuIndex=3&amp;refID=7077265&amp;Result=3","7077265")</f>
        <v>0</v>
      </c>
      <c r="B1070" t="s">
        <v>391</v>
      </c>
      <c r="C1070" t="s">
        <v>4402</v>
      </c>
      <c r="D1070" t="s">
        <v>16673</v>
      </c>
      <c r="E1070" t="s">
        <v>17722</v>
      </c>
      <c r="F1070" t="s">
        <v>28669</v>
      </c>
      <c r="G1070" t="s">
        <v>28675</v>
      </c>
      <c r="H1070" t="s">
        <v>9998</v>
      </c>
      <c r="I1070" t="s">
        <v>28693</v>
      </c>
      <c r="J1070" t="s">
        <v>29609</v>
      </c>
      <c r="K1070" t="s">
        <v>37206</v>
      </c>
      <c r="M1070" t="s">
        <v>37875</v>
      </c>
      <c r="N1070" t="s">
        <v>41249</v>
      </c>
      <c r="O1070" t="s">
        <v>41250</v>
      </c>
      <c r="P1070">
        <v>0</v>
      </c>
      <c r="Q1070">
        <v>9</v>
      </c>
      <c r="R1070" t="s">
        <v>41251</v>
      </c>
      <c r="S1070" t="s">
        <v>41369</v>
      </c>
      <c r="T1070" t="s">
        <v>42709</v>
      </c>
      <c r="U1070" t="s">
        <v>44135</v>
      </c>
      <c r="W1070" t="s">
        <v>37875</v>
      </c>
      <c r="X1070" t="s">
        <v>41252</v>
      </c>
    </row>
    <row r="1071" spans="1:24">
      <c r="A1071">
        <f>HYPERLINK("https://www.philgeps.gov.ph/GEPSNONPILOT/Tender/SplashBidNoticeAbstractUI.aspx?menuIndex=3&amp;refID=7077237&amp;Result=3","7077237")</f>
        <v>0</v>
      </c>
      <c r="B1071" t="s">
        <v>207</v>
      </c>
      <c r="C1071" t="s">
        <v>4403</v>
      </c>
      <c r="D1071" t="s">
        <v>16625</v>
      </c>
      <c r="E1071" t="s">
        <v>17723</v>
      </c>
      <c r="F1071" t="s">
        <v>28669</v>
      </c>
      <c r="G1071" t="s">
        <v>28675</v>
      </c>
      <c r="H1071" t="s">
        <v>28684</v>
      </c>
      <c r="I1071" t="s">
        <v>28717</v>
      </c>
      <c r="J1071" t="s">
        <v>29610</v>
      </c>
      <c r="K1071" t="s">
        <v>37213</v>
      </c>
      <c r="M1071" t="s">
        <v>37995</v>
      </c>
      <c r="N1071" t="s">
        <v>41249</v>
      </c>
      <c r="O1071" t="s">
        <v>41250</v>
      </c>
      <c r="P1071">
        <v>0</v>
      </c>
      <c r="Q1071">
        <v>6</v>
      </c>
      <c r="R1071" t="s">
        <v>41251</v>
      </c>
      <c r="S1071" t="s">
        <v>41369</v>
      </c>
      <c r="T1071" t="s">
        <v>42693</v>
      </c>
      <c r="U1071" t="s">
        <v>44074</v>
      </c>
      <c r="V1071" t="s">
        <v>54369</v>
      </c>
      <c r="W1071" t="s">
        <v>37995</v>
      </c>
      <c r="X1071" t="s">
        <v>41252</v>
      </c>
    </row>
    <row r="1072" spans="1:24">
      <c r="A1072">
        <f>HYPERLINK("https://www.philgeps.gov.ph/GEPSNONPILOT/Tender/SplashBidNoticeAbstractUI.aspx?menuIndex=3&amp;refID=7077255&amp;Result=3","7077255")</f>
        <v>0</v>
      </c>
      <c r="B1072" t="s">
        <v>534</v>
      </c>
      <c r="C1072" t="s">
        <v>4404</v>
      </c>
      <c r="D1072" t="s">
        <v>16630</v>
      </c>
      <c r="E1072" t="s">
        <v>17724</v>
      </c>
      <c r="F1072" t="s">
        <v>28669</v>
      </c>
      <c r="G1072" t="s">
        <v>28676</v>
      </c>
      <c r="H1072" t="s">
        <v>9998</v>
      </c>
      <c r="I1072" t="s">
        <v>28753</v>
      </c>
      <c r="J1072" t="s">
        <v>29611</v>
      </c>
      <c r="K1072" t="s">
        <v>37206</v>
      </c>
      <c r="M1072" t="s">
        <v>38025</v>
      </c>
      <c r="N1072" t="s">
        <v>41249</v>
      </c>
      <c r="O1072" t="s">
        <v>41250</v>
      </c>
      <c r="P1072">
        <v>0</v>
      </c>
      <c r="Q1072">
        <v>0</v>
      </c>
      <c r="R1072" t="s">
        <v>41251</v>
      </c>
      <c r="S1072" t="s">
        <v>41369</v>
      </c>
      <c r="T1072" t="s">
        <v>42694</v>
      </c>
      <c r="U1072" t="s">
        <v>44136</v>
      </c>
      <c r="W1072" t="s">
        <v>38025</v>
      </c>
      <c r="X1072" t="s">
        <v>41252</v>
      </c>
    </row>
    <row r="1073" spans="1:24">
      <c r="A1073">
        <f>HYPERLINK("https://www.philgeps.gov.ph/GEPSNONPILOT/Tender/SplashBidNoticeAbstractUI.aspx?menuIndex=3&amp;refID=7077254&amp;Result=3","7077254")</f>
        <v>0</v>
      </c>
      <c r="B1073" t="s">
        <v>535</v>
      </c>
      <c r="C1073" t="s">
        <v>4405</v>
      </c>
      <c r="D1073" t="s">
        <v>16631</v>
      </c>
      <c r="E1073" t="s">
        <v>17725</v>
      </c>
      <c r="F1073" t="s">
        <v>28669</v>
      </c>
      <c r="G1073" t="s">
        <v>28676</v>
      </c>
      <c r="H1073" t="s">
        <v>9998</v>
      </c>
      <c r="I1073" t="s">
        <v>11593</v>
      </c>
      <c r="J1073" t="s">
        <v>29612</v>
      </c>
      <c r="K1073" t="s">
        <v>37227</v>
      </c>
      <c r="M1073" t="s">
        <v>38026</v>
      </c>
      <c r="N1073" t="s">
        <v>41249</v>
      </c>
      <c r="O1073" t="s">
        <v>41250</v>
      </c>
      <c r="P1073">
        <v>0</v>
      </c>
      <c r="Q1073">
        <v>1</v>
      </c>
      <c r="R1073" t="s">
        <v>41251</v>
      </c>
      <c r="S1073" t="s">
        <v>41369</v>
      </c>
      <c r="T1073" t="s">
        <v>42713</v>
      </c>
      <c r="U1073" t="s">
        <v>44137</v>
      </c>
      <c r="W1073" t="s">
        <v>38026</v>
      </c>
      <c r="X1073" t="s">
        <v>41252</v>
      </c>
    </row>
    <row r="1074" spans="1:24">
      <c r="A1074">
        <f>HYPERLINK("https://www.philgeps.gov.ph/GEPSNONPILOT/Tender/SplashBidNoticeAbstractUI.aspx?menuIndex=3&amp;refID=7077267&amp;Result=3","7077267")</f>
        <v>0</v>
      </c>
      <c r="B1074" t="s">
        <v>470</v>
      </c>
      <c r="C1074" t="s">
        <v>4406</v>
      </c>
      <c r="D1074" t="s">
        <v>16639</v>
      </c>
      <c r="E1074" t="s">
        <v>17726</v>
      </c>
      <c r="F1074" t="s">
        <v>28669</v>
      </c>
      <c r="G1074" t="s">
        <v>28676</v>
      </c>
      <c r="H1074" t="s">
        <v>9998</v>
      </c>
      <c r="I1074" t="s">
        <v>28696</v>
      </c>
      <c r="J1074" t="s">
        <v>29003</v>
      </c>
      <c r="K1074" t="s">
        <v>37205</v>
      </c>
      <c r="M1074" t="s">
        <v>37958</v>
      </c>
      <c r="N1074" t="s">
        <v>41249</v>
      </c>
      <c r="O1074" t="s">
        <v>41250</v>
      </c>
      <c r="P1074">
        <v>0</v>
      </c>
      <c r="Q1074">
        <v>0</v>
      </c>
      <c r="R1074" t="s">
        <v>41251</v>
      </c>
      <c r="S1074" t="s">
        <v>41369</v>
      </c>
      <c r="T1074" t="s">
        <v>42673</v>
      </c>
      <c r="U1074" t="s">
        <v>44118</v>
      </c>
      <c r="W1074" t="s">
        <v>37958</v>
      </c>
      <c r="X1074" t="s">
        <v>41252</v>
      </c>
    </row>
    <row r="1075" spans="1:24">
      <c r="A1075">
        <f>HYPERLINK("https://www.philgeps.gov.ph/GEPSNONPILOT/Tender/SplashBidNoticeAbstractUI.aspx?menuIndex=3&amp;refID=7077158&amp;Result=3","7077158")</f>
        <v>0</v>
      </c>
      <c r="B1075" t="s">
        <v>474</v>
      </c>
      <c r="C1075" t="s">
        <v>4407</v>
      </c>
      <c r="D1075" t="s">
        <v>16668</v>
      </c>
      <c r="E1075" t="s">
        <v>17727</v>
      </c>
      <c r="F1075" t="s">
        <v>28669</v>
      </c>
      <c r="G1075" t="s">
        <v>28676</v>
      </c>
      <c r="H1075" t="s">
        <v>9998</v>
      </c>
      <c r="I1075" t="s">
        <v>3679</v>
      </c>
      <c r="J1075" t="s">
        <v>29613</v>
      </c>
      <c r="K1075" t="s">
        <v>37209</v>
      </c>
      <c r="L1075" t="s">
        <v>474</v>
      </c>
      <c r="M1075" t="s">
        <v>37962</v>
      </c>
      <c r="N1075" t="s">
        <v>41249</v>
      </c>
      <c r="O1075" t="s">
        <v>41250</v>
      </c>
      <c r="P1075">
        <v>0</v>
      </c>
      <c r="Q1075">
        <v>1</v>
      </c>
      <c r="R1075" t="s">
        <v>41251</v>
      </c>
      <c r="S1075" t="s">
        <v>41369</v>
      </c>
      <c r="T1075" t="s">
        <v>42703</v>
      </c>
      <c r="U1075" t="s">
        <v>43997</v>
      </c>
      <c r="W1075" t="s">
        <v>37962</v>
      </c>
      <c r="X1075" t="s">
        <v>41252</v>
      </c>
    </row>
    <row r="1076" spans="1:24">
      <c r="A1076">
        <f>HYPERLINK("https://www.philgeps.gov.ph/GEPSNONPILOT/Tender/SplashBidNoticeAbstractUI.aspx?menuIndex=3&amp;refID=7077259&amp;Result=3","7077259")</f>
        <v>0</v>
      </c>
      <c r="B1076" t="s">
        <v>536</v>
      </c>
      <c r="C1076" t="s">
        <v>4408</v>
      </c>
      <c r="D1076" t="s">
        <v>16684</v>
      </c>
      <c r="E1076" t="s">
        <v>17728</v>
      </c>
      <c r="F1076" t="s">
        <v>28669</v>
      </c>
      <c r="G1076" t="s">
        <v>28675</v>
      </c>
      <c r="H1076" t="s">
        <v>9998</v>
      </c>
      <c r="I1076" t="s">
        <v>28719</v>
      </c>
      <c r="J1076" t="s">
        <v>29614</v>
      </c>
      <c r="K1076" t="s">
        <v>37204</v>
      </c>
      <c r="M1076" t="s">
        <v>38027</v>
      </c>
      <c r="N1076" t="s">
        <v>41249</v>
      </c>
      <c r="O1076" t="s">
        <v>41250</v>
      </c>
      <c r="P1076">
        <v>0</v>
      </c>
      <c r="Q1076">
        <v>2</v>
      </c>
      <c r="R1076" t="s">
        <v>41251</v>
      </c>
      <c r="S1076" t="s">
        <v>41369</v>
      </c>
      <c r="T1076" t="s">
        <v>42750</v>
      </c>
      <c r="U1076" t="s">
        <v>44138</v>
      </c>
      <c r="W1076" t="s">
        <v>38027</v>
      </c>
      <c r="X1076" t="s">
        <v>41252</v>
      </c>
    </row>
    <row r="1077" spans="1:24">
      <c r="A1077">
        <f>HYPERLINK("https://www.philgeps.gov.ph/GEPSNONPILOT/Tender/SplashBidNoticeAbstractUI.aspx?menuIndex=3&amp;refID=7077236&amp;Result=3","7077236")</f>
        <v>0</v>
      </c>
      <c r="B1077" t="s">
        <v>537</v>
      </c>
      <c r="C1077" t="s">
        <v>4409</v>
      </c>
      <c r="D1077" t="s">
        <v>16658</v>
      </c>
      <c r="E1077" t="s">
        <v>17729</v>
      </c>
      <c r="F1077" t="s">
        <v>28669</v>
      </c>
      <c r="G1077" t="s">
        <v>28675</v>
      </c>
      <c r="H1077" t="s">
        <v>28686</v>
      </c>
      <c r="I1077" t="s">
        <v>28702</v>
      </c>
      <c r="J1077" t="s">
        <v>29615</v>
      </c>
      <c r="K1077" t="s">
        <v>37276</v>
      </c>
      <c r="M1077" t="s">
        <v>38028</v>
      </c>
      <c r="N1077" t="s">
        <v>41249</v>
      </c>
      <c r="O1077" t="s">
        <v>41250</v>
      </c>
      <c r="Q1077">
        <v>2</v>
      </c>
      <c r="R1077" t="s">
        <v>41251</v>
      </c>
      <c r="S1077" t="s">
        <v>41377</v>
      </c>
      <c r="T1077" t="s">
        <v>42684</v>
      </c>
      <c r="U1077" t="s">
        <v>44139</v>
      </c>
      <c r="V1077" t="s">
        <v>54370</v>
      </c>
      <c r="W1077" t="s">
        <v>38028</v>
      </c>
      <c r="X1077" t="s">
        <v>41252</v>
      </c>
    </row>
    <row r="1078" spans="1:24">
      <c r="A1078">
        <f>HYPERLINK("https://www.philgeps.gov.ph/GEPSNONPILOT/Tender/SplashBidNoticeAbstractUI.aspx?menuIndex=3&amp;refID=7077256&amp;Result=3","7077256")</f>
        <v>0</v>
      </c>
      <c r="B1078" t="s">
        <v>250</v>
      </c>
      <c r="C1078" t="s">
        <v>4410</v>
      </c>
      <c r="D1078" t="s">
        <v>16621</v>
      </c>
      <c r="E1078" t="s">
        <v>17730</v>
      </c>
      <c r="F1078" t="s">
        <v>28669</v>
      </c>
      <c r="G1078" t="s">
        <v>28676</v>
      </c>
      <c r="H1078" t="s">
        <v>9998</v>
      </c>
      <c r="I1078" t="s">
        <v>28708</v>
      </c>
      <c r="J1078" t="s">
        <v>29616</v>
      </c>
      <c r="K1078" t="s">
        <v>37221</v>
      </c>
      <c r="M1078" t="s">
        <v>37728</v>
      </c>
      <c r="N1078" t="s">
        <v>41249</v>
      </c>
      <c r="O1078" t="s">
        <v>41250</v>
      </c>
      <c r="P1078">
        <v>0</v>
      </c>
      <c r="Q1078">
        <v>0</v>
      </c>
      <c r="R1078" t="s">
        <v>41251</v>
      </c>
      <c r="S1078" t="s">
        <v>41369</v>
      </c>
      <c r="T1078" t="s">
        <v>42675</v>
      </c>
      <c r="U1078" t="s">
        <v>44140</v>
      </c>
      <c r="W1078" t="s">
        <v>37728</v>
      </c>
      <c r="X1078" t="s">
        <v>41252</v>
      </c>
    </row>
    <row r="1079" spans="1:24">
      <c r="A1079">
        <f>HYPERLINK("https://www.philgeps.gov.ph/GEPSNONPILOT/Tender/SplashBidNoticeAbstractUI.aspx?menuIndex=3&amp;refID=7077253&amp;Result=3","7077253")</f>
        <v>0</v>
      </c>
      <c r="B1079" t="s">
        <v>538</v>
      </c>
      <c r="C1079" t="s">
        <v>4411</v>
      </c>
      <c r="E1079" t="s">
        <v>17731</v>
      </c>
      <c r="F1079" t="s">
        <v>28669</v>
      </c>
      <c r="G1079" t="s">
        <v>28675</v>
      </c>
      <c r="H1079" t="s">
        <v>28686</v>
      </c>
      <c r="I1079" t="s">
        <v>28689</v>
      </c>
      <c r="J1079" t="s">
        <v>29617</v>
      </c>
      <c r="K1079" t="s">
        <v>37277</v>
      </c>
      <c r="M1079" t="s">
        <v>38029</v>
      </c>
      <c r="N1079" t="s">
        <v>41249</v>
      </c>
      <c r="O1079" t="s">
        <v>41250</v>
      </c>
      <c r="P1079">
        <v>0</v>
      </c>
      <c r="Q1079">
        <v>6</v>
      </c>
      <c r="R1079" t="s">
        <v>41251</v>
      </c>
      <c r="S1079" t="s">
        <v>41369</v>
      </c>
      <c r="T1079" t="s">
        <v>42722</v>
      </c>
      <c r="U1079" t="s">
        <v>44141</v>
      </c>
      <c r="V1079" t="s">
        <v>54371</v>
      </c>
      <c r="W1079" t="s">
        <v>38029</v>
      </c>
      <c r="X1079" t="s">
        <v>41252</v>
      </c>
    </row>
    <row r="1080" spans="1:24">
      <c r="A1080">
        <f>HYPERLINK("https://www.philgeps.gov.ph/GEPSNONPILOT/Tender/SplashBidNoticeAbstractUI.aspx?menuIndex=3&amp;refID=7077269&amp;Result=3","7077269")</f>
        <v>0</v>
      </c>
      <c r="B1080" t="s">
        <v>376</v>
      </c>
      <c r="C1080" t="s">
        <v>4412</v>
      </c>
      <c r="D1080" t="s">
        <v>16608</v>
      </c>
      <c r="E1080" t="s">
        <v>17732</v>
      </c>
      <c r="F1080" t="s">
        <v>28669</v>
      </c>
      <c r="G1080" t="s">
        <v>28676</v>
      </c>
      <c r="H1080" t="s">
        <v>9998</v>
      </c>
      <c r="I1080" t="s">
        <v>28696</v>
      </c>
      <c r="J1080" t="s">
        <v>29618</v>
      </c>
      <c r="K1080" t="s">
        <v>37206</v>
      </c>
      <c r="M1080" t="s">
        <v>38030</v>
      </c>
      <c r="N1080" t="s">
        <v>41249</v>
      </c>
      <c r="O1080" t="s">
        <v>41250</v>
      </c>
      <c r="P1080">
        <v>0</v>
      </c>
      <c r="Q1080">
        <v>3</v>
      </c>
      <c r="R1080" t="s">
        <v>41251</v>
      </c>
      <c r="S1080" t="s">
        <v>41369</v>
      </c>
      <c r="T1080" t="s">
        <v>42754</v>
      </c>
      <c r="U1080" t="s">
        <v>44142</v>
      </c>
      <c r="W1080" t="s">
        <v>38030</v>
      </c>
      <c r="X1080" t="s">
        <v>41252</v>
      </c>
    </row>
    <row r="1081" spans="1:24">
      <c r="A1081">
        <f>HYPERLINK("https://www.philgeps.gov.ph/GEPSNONPILOT/Tender/SplashBidNoticeAbstractUI.aspx?menuIndex=3&amp;refID=7077290&amp;Result=3","7077290")</f>
        <v>0</v>
      </c>
      <c r="B1081" t="s">
        <v>206</v>
      </c>
      <c r="C1081" t="s">
        <v>4039</v>
      </c>
      <c r="D1081" t="s">
        <v>16617</v>
      </c>
      <c r="E1081" t="s">
        <v>17733</v>
      </c>
      <c r="F1081" t="s">
        <v>28669</v>
      </c>
      <c r="G1081" t="s">
        <v>28677</v>
      </c>
      <c r="H1081" t="s">
        <v>9998</v>
      </c>
      <c r="I1081" t="s">
        <v>6128</v>
      </c>
      <c r="J1081" t="s">
        <v>29404</v>
      </c>
      <c r="K1081" t="s">
        <v>37204</v>
      </c>
      <c r="M1081" t="s">
        <v>38031</v>
      </c>
      <c r="N1081" t="s">
        <v>41249</v>
      </c>
      <c r="O1081" t="s">
        <v>41250</v>
      </c>
      <c r="P1081">
        <v>0</v>
      </c>
      <c r="Q1081">
        <v>0</v>
      </c>
      <c r="R1081" t="s">
        <v>41251</v>
      </c>
      <c r="S1081" t="s">
        <v>41369</v>
      </c>
      <c r="T1081" t="s">
        <v>42736</v>
      </c>
      <c r="U1081" t="s">
        <v>44143</v>
      </c>
      <c r="W1081" t="s">
        <v>38031</v>
      </c>
      <c r="X1081" t="s">
        <v>41252</v>
      </c>
    </row>
    <row r="1082" spans="1:24">
      <c r="A1082">
        <f>HYPERLINK("https://www.philgeps.gov.ph/GEPSNONPILOT/Tender/SplashBidNoticeAbstractUI.aspx?menuIndex=3&amp;refID=7077287&amp;Result=3","7077287")</f>
        <v>0</v>
      </c>
      <c r="B1082" t="s">
        <v>470</v>
      </c>
      <c r="C1082" t="s">
        <v>4413</v>
      </c>
      <c r="D1082" t="s">
        <v>16639</v>
      </c>
      <c r="E1082" t="s">
        <v>17734</v>
      </c>
      <c r="F1082" t="s">
        <v>28669</v>
      </c>
      <c r="G1082" t="s">
        <v>28676</v>
      </c>
      <c r="H1082" t="s">
        <v>9998</v>
      </c>
      <c r="I1082" t="s">
        <v>28696</v>
      </c>
      <c r="J1082" t="s">
        <v>29003</v>
      </c>
      <c r="K1082" t="s">
        <v>37205</v>
      </c>
      <c r="M1082" t="s">
        <v>37958</v>
      </c>
      <c r="N1082" t="s">
        <v>41249</v>
      </c>
      <c r="O1082" t="s">
        <v>41250</v>
      </c>
      <c r="P1082">
        <v>0</v>
      </c>
      <c r="Q1082">
        <v>1</v>
      </c>
      <c r="R1082" t="s">
        <v>41251</v>
      </c>
      <c r="S1082" t="s">
        <v>41369</v>
      </c>
      <c r="T1082" t="s">
        <v>42673</v>
      </c>
      <c r="U1082" t="s">
        <v>44118</v>
      </c>
      <c r="W1082" t="s">
        <v>37958</v>
      </c>
      <c r="X1082" t="s">
        <v>41252</v>
      </c>
    </row>
    <row r="1083" spans="1:24">
      <c r="A1083">
        <f>HYPERLINK("https://www.philgeps.gov.ph/GEPSNONPILOT/Tender/SplashBidNoticeAbstractUI.aspx?menuIndex=3&amp;refID=7077251&amp;Result=3","7077251")</f>
        <v>0</v>
      </c>
      <c r="B1083" t="s">
        <v>59</v>
      </c>
      <c r="C1083" t="s">
        <v>3849</v>
      </c>
      <c r="D1083" t="s">
        <v>16619</v>
      </c>
      <c r="E1083" t="s">
        <v>17735</v>
      </c>
      <c r="F1083" t="s">
        <v>28669</v>
      </c>
      <c r="G1083" t="s">
        <v>28676</v>
      </c>
      <c r="H1083" t="s">
        <v>9998</v>
      </c>
      <c r="I1083" t="s">
        <v>6606</v>
      </c>
      <c r="J1083" t="s">
        <v>29619</v>
      </c>
      <c r="K1083" t="s">
        <v>37209</v>
      </c>
      <c r="M1083" t="s">
        <v>37534</v>
      </c>
      <c r="N1083" t="s">
        <v>41249</v>
      </c>
      <c r="O1083" t="s">
        <v>41250</v>
      </c>
      <c r="P1083">
        <v>0</v>
      </c>
      <c r="Q1083">
        <v>0</v>
      </c>
      <c r="R1083" t="s">
        <v>41251</v>
      </c>
      <c r="S1083" t="s">
        <v>41369</v>
      </c>
      <c r="T1083" t="s">
        <v>42694</v>
      </c>
      <c r="U1083" t="s">
        <v>44144</v>
      </c>
      <c r="W1083" t="s">
        <v>37534</v>
      </c>
      <c r="X1083" t="s">
        <v>41252</v>
      </c>
    </row>
    <row r="1084" spans="1:24">
      <c r="A1084">
        <f>HYPERLINK("https://www.philgeps.gov.ph/GEPSNONPILOT/Tender/SplashBidNoticeAbstractUI.aspx?menuIndex=3&amp;refID=7077285&amp;Result=3","7077285")</f>
        <v>0</v>
      </c>
      <c r="B1084" t="s">
        <v>535</v>
      </c>
      <c r="C1084" t="s">
        <v>4414</v>
      </c>
      <c r="D1084" t="s">
        <v>16631</v>
      </c>
      <c r="E1084" t="s">
        <v>17736</v>
      </c>
      <c r="F1084" t="s">
        <v>28669</v>
      </c>
      <c r="G1084" t="s">
        <v>28676</v>
      </c>
      <c r="H1084" t="s">
        <v>9998</v>
      </c>
      <c r="I1084" t="s">
        <v>6458</v>
      </c>
      <c r="J1084" t="s">
        <v>29620</v>
      </c>
      <c r="K1084" t="s">
        <v>37227</v>
      </c>
      <c r="M1084" t="s">
        <v>38026</v>
      </c>
      <c r="N1084" t="s">
        <v>41249</v>
      </c>
      <c r="O1084" t="s">
        <v>41250</v>
      </c>
      <c r="P1084">
        <v>0</v>
      </c>
      <c r="Q1084">
        <v>1</v>
      </c>
      <c r="R1084" t="s">
        <v>41251</v>
      </c>
      <c r="S1084" t="s">
        <v>41369</v>
      </c>
      <c r="T1084" t="s">
        <v>42713</v>
      </c>
      <c r="U1084" t="s">
        <v>44137</v>
      </c>
      <c r="W1084" t="s">
        <v>38026</v>
      </c>
      <c r="X1084" t="s">
        <v>41252</v>
      </c>
    </row>
    <row r="1085" spans="1:24">
      <c r="A1085">
        <f>HYPERLINK("https://www.philgeps.gov.ph/GEPSNONPILOT/Tender/SplashBidNoticeAbstractUI.aspx?menuIndex=3&amp;refID=7077281&amp;Result=3","7077281")</f>
        <v>0</v>
      </c>
      <c r="B1085" t="s">
        <v>391</v>
      </c>
      <c r="C1085" t="s">
        <v>4415</v>
      </c>
      <c r="D1085" t="s">
        <v>16673</v>
      </c>
      <c r="E1085" t="s">
        <v>17737</v>
      </c>
      <c r="F1085" t="s">
        <v>28669</v>
      </c>
      <c r="G1085" t="s">
        <v>28675</v>
      </c>
      <c r="H1085" t="s">
        <v>9998</v>
      </c>
      <c r="I1085" t="s">
        <v>28690</v>
      </c>
      <c r="J1085" t="s">
        <v>29621</v>
      </c>
      <c r="K1085" t="s">
        <v>37206</v>
      </c>
      <c r="M1085" t="s">
        <v>37875</v>
      </c>
      <c r="N1085" t="s">
        <v>41249</v>
      </c>
      <c r="O1085" t="s">
        <v>41250</v>
      </c>
      <c r="P1085">
        <v>0</v>
      </c>
      <c r="Q1085">
        <v>1</v>
      </c>
      <c r="R1085" t="s">
        <v>41251</v>
      </c>
      <c r="S1085" t="s">
        <v>41369</v>
      </c>
      <c r="T1085" t="s">
        <v>42709</v>
      </c>
      <c r="U1085" t="s">
        <v>44145</v>
      </c>
      <c r="W1085" t="s">
        <v>37875</v>
      </c>
      <c r="X1085" t="s">
        <v>41252</v>
      </c>
    </row>
    <row r="1086" spans="1:24">
      <c r="A1086">
        <f>HYPERLINK("https://www.philgeps.gov.ph/GEPSNONPILOT/Tender/SplashBidNoticeAbstractUI.aspx?menuIndex=3&amp;refID=7077279&amp;Result=3","7077279")</f>
        <v>0</v>
      </c>
      <c r="B1086" t="s">
        <v>524</v>
      </c>
      <c r="C1086" t="s">
        <v>4416</v>
      </c>
      <c r="D1086" t="s">
        <v>16654</v>
      </c>
      <c r="E1086" t="s">
        <v>17738</v>
      </c>
      <c r="F1086" t="s">
        <v>28669</v>
      </c>
      <c r="G1086" t="s">
        <v>28675</v>
      </c>
      <c r="H1086" t="s">
        <v>9998</v>
      </c>
      <c r="I1086" t="s">
        <v>28689</v>
      </c>
      <c r="J1086" t="s">
        <v>28838</v>
      </c>
      <c r="K1086" t="s">
        <v>37221</v>
      </c>
      <c r="M1086" t="s">
        <v>38015</v>
      </c>
      <c r="N1086" t="s">
        <v>41249</v>
      </c>
      <c r="O1086" t="s">
        <v>41250</v>
      </c>
      <c r="P1086">
        <v>0</v>
      </c>
      <c r="Q1086">
        <v>0</v>
      </c>
      <c r="R1086" t="s">
        <v>41251</v>
      </c>
      <c r="S1086" t="s">
        <v>41369</v>
      </c>
      <c r="T1086" t="s">
        <v>42719</v>
      </c>
      <c r="U1086" t="s">
        <v>44146</v>
      </c>
      <c r="W1086" t="s">
        <v>38015</v>
      </c>
      <c r="X1086" t="s">
        <v>41252</v>
      </c>
    </row>
    <row r="1087" spans="1:24">
      <c r="A1087">
        <f>HYPERLINK("https://www.philgeps.gov.ph/GEPSNONPILOT/Tender/SplashBidNoticeAbstractUI.aspx?menuIndex=3&amp;refID=7077270&amp;Result=3","7077270")</f>
        <v>0</v>
      </c>
      <c r="B1087" t="s">
        <v>539</v>
      </c>
      <c r="C1087" t="s">
        <v>4417</v>
      </c>
      <c r="D1087" t="s">
        <v>16665</v>
      </c>
      <c r="E1087" t="s">
        <v>17739</v>
      </c>
      <c r="F1087" t="s">
        <v>28669</v>
      </c>
      <c r="G1087" t="s">
        <v>28675</v>
      </c>
      <c r="H1087" t="s">
        <v>28686</v>
      </c>
      <c r="I1087" t="s">
        <v>28689</v>
      </c>
      <c r="J1087" t="s">
        <v>29622</v>
      </c>
      <c r="K1087" t="s">
        <v>37278</v>
      </c>
      <c r="M1087" t="s">
        <v>38032</v>
      </c>
      <c r="N1087" t="s">
        <v>41249</v>
      </c>
      <c r="O1087" t="s">
        <v>41250</v>
      </c>
      <c r="P1087">
        <v>0</v>
      </c>
      <c r="Q1087">
        <v>1</v>
      </c>
      <c r="R1087" t="s">
        <v>41251</v>
      </c>
      <c r="S1087" t="s">
        <v>41369</v>
      </c>
      <c r="T1087" t="s">
        <v>42707</v>
      </c>
      <c r="U1087" t="s">
        <v>44147</v>
      </c>
      <c r="V1087" t="s">
        <v>54372</v>
      </c>
      <c r="W1087" t="s">
        <v>38032</v>
      </c>
      <c r="X1087" t="s">
        <v>41252</v>
      </c>
    </row>
    <row r="1088" spans="1:24">
      <c r="A1088">
        <f>HYPERLINK("https://www.philgeps.gov.ph/GEPSNONPILOT/Tender/SplashBidNoticeAbstractUI.aspx?menuIndex=3&amp;refID=7077252&amp;Result=3","7077252")</f>
        <v>0</v>
      </c>
      <c r="B1088" t="s">
        <v>391</v>
      </c>
      <c r="C1088" t="s">
        <v>4418</v>
      </c>
      <c r="D1088" t="s">
        <v>16673</v>
      </c>
      <c r="E1088" t="s">
        <v>17740</v>
      </c>
      <c r="F1088" t="s">
        <v>28669</v>
      </c>
      <c r="G1088" t="s">
        <v>28675</v>
      </c>
      <c r="H1088" t="s">
        <v>9998</v>
      </c>
      <c r="I1088" t="s">
        <v>28690</v>
      </c>
      <c r="J1088" t="s">
        <v>29120</v>
      </c>
      <c r="K1088" t="s">
        <v>37206</v>
      </c>
      <c r="M1088" t="s">
        <v>37875</v>
      </c>
      <c r="N1088" t="s">
        <v>41249</v>
      </c>
      <c r="O1088" t="s">
        <v>41250</v>
      </c>
      <c r="P1088">
        <v>0</v>
      </c>
      <c r="Q1088">
        <v>3</v>
      </c>
      <c r="R1088" t="s">
        <v>41251</v>
      </c>
      <c r="S1088" t="s">
        <v>41369</v>
      </c>
      <c r="T1088" t="s">
        <v>42709</v>
      </c>
      <c r="U1088" t="s">
        <v>44148</v>
      </c>
      <c r="W1088" t="s">
        <v>37875</v>
      </c>
      <c r="X1088" t="s">
        <v>41252</v>
      </c>
    </row>
    <row r="1089" spans="1:24">
      <c r="A1089">
        <f>HYPERLINK("https://www.philgeps.gov.ph/GEPSNONPILOT/Tender/SplashBidNoticeAbstractUI.aspx?menuIndex=3&amp;refID=7077278&amp;Result=3","7077278")</f>
        <v>0</v>
      </c>
      <c r="B1089" t="s">
        <v>540</v>
      </c>
      <c r="C1089" t="s">
        <v>4419</v>
      </c>
      <c r="D1089" t="s">
        <v>16624</v>
      </c>
      <c r="E1089" t="s">
        <v>16853</v>
      </c>
      <c r="F1089" t="s">
        <v>28669</v>
      </c>
      <c r="G1089" t="s">
        <v>28675</v>
      </c>
      <c r="H1089" t="s">
        <v>9998</v>
      </c>
      <c r="I1089" t="s">
        <v>6128</v>
      </c>
      <c r="J1089" t="s">
        <v>29623</v>
      </c>
      <c r="K1089" t="s">
        <v>37206</v>
      </c>
      <c r="M1089" t="s">
        <v>38033</v>
      </c>
      <c r="N1089" t="s">
        <v>41249</v>
      </c>
      <c r="O1089" t="s">
        <v>41250</v>
      </c>
      <c r="P1089">
        <v>0</v>
      </c>
      <c r="Q1089">
        <v>2</v>
      </c>
      <c r="R1089" t="s">
        <v>41251</v>
      </c>
      <c r="S1089" t="s">
        <v>41369</v>
      </c>
      <c r="T1089" t="s">
        <v>42714</v>
      </c>
      <c r="U1089" t="s">
        <v>44149</v>
      </c>
      <c r="W1089" t="s">
        <v>38033</v>
      </c>
      <c r="X1089" t="s">
        <v>41252</v>
      </c>
    </row>
    <row r="1090" spans="1:24">
      <c r="A1090">
        <f>HYPERLINK("https://www.philgeps.gov.ph/GEPSNONPILOT/Tender/SplashBidNoticeAbstractUI.aspx?menuIndex=3&amp;refID=7077286&amp;Result=3","7077286")</f>
        <v>0</v>
      </c>
      <c r="B1090" t="s">
        <v>250</v>
      </c>
      <c r="C1090" t="s">
        <v>4420</v>
      </c>
      <c r="D1090" t="s">
        <v>16621</v>
      </c>
      <c r="E1090" t="s">
        <v>17741</v>
      </c>
      <c r="F1090" t="s">
        <v>28669</v>
      </c>
      <c r="G1090" t="s">
        <v>28676</v>
      </c>
      <c r="H1090" t="s">
        <v>9998</v>
      </c>
      <c r="I1090" t="s">
        <v>6606</v>
      </c>
      <c r="J1090" t="s">
        <v>29624</v>
      </c>
      <c r="K1090" t="s">
        <v>37205</v>
      </c>
      <c r="M1090" t="s">
        <v>37728</v>
      </c>
      <c r="N1090" t="s">
        <v>41249</v>
      </c>
      <c r="O1090" t="s">
        <v>41250</v>
      </c>
      <c r="P1090">
        <v>0</v>
      </c>
      <c r="Q1090">
        <v>1</v>
      </c>
      <c r="R1090" t="s">
        <v>41251</v>
      </c>
      <c r="S1090" t="s">
        <v>41369</v>
      </c>
      <c r="T1090" t="s">
        <v>42675</v>
      </c>
      <c r="U1090" t="s">
        <v>44150</v>
      </c>
      <c r="W1090" t="s">
        <v>37728</v>
      </c>
      <c r="X1090" t="s">
        <v>41252</v>
      </c>
    </row>
    <row r="1091" spans="1:24">
      <c r="A1091">
        <f>HYPERLINK("https://www.philgeps.gov.ph/GEPSNONPILOT/Tender/SplashBidNoticeAbstractUI.aspx?menuIndex=3&amp;refID=7077292&amp;Result=3","7077292")</f>
        <v>0</v>
      </c>
      <c r="B1091" t="s">
        <v>541</v>
      </c>
      <c r="C1091" t="s">
        <v>4421</v>
      </c>
      <c r="D1091" t="s">
        <v>16639</v>
      </c>
      <c r="E1091" t="s">
        <v>17742</v>
      </c>
      <c r="F1091" t="s">
        <v>28669</v>
      </c>
      <c r="G1091" t="s">
        <v>28675</v>
      </c>
      <c r="H1091" t="s">
        <v>28686</v>
      </c>
      <c r="I1091" t="s">
        <v>28689</v>
      </c>
      <c r="J1091" t="s">
        <v>29625</v>
      </c>
      <c r="K1091" t="s">
        <v>37221</v>
      </c>
      <c r="M1091" t="s">
        <v>38034</v>
      </c>
      <c r="N1091" t="s">
        <v>41249</v>
      </c>
      <c r="O1091" t="s">
        <v>41250</v>
      </c>
      <c r="P1091">
        <v>0</v>
      </c>
      <c r="Q1091">
        <v>0</v>
      </c>
      <c r="R1091" t="s">
        <v>41251</v>
      </c>
      <c r="S1091" t="s">
        <v>41369</v>
      </c>
      <c r="T1091" t="s">
        <v>42672</v>
      </c>
      <c r="U1091" t="s">
        <v>44151</v>
      </c>
      <c r="W1091" t="s">
        <v>38034</v>
      </c>
      <c r="X1091" t="s">
        <v>41252</v>
      </c>
    </row>
    <row r="1092" spans="1:24">
      <c r="A1092">
        <f>HYPERLINK("https://www.philgeps.gov.ph/GEPSNONPILOT/Tender/SplashBidNoticeAbstractUI.aspx?menuIndex=3&amp;refID=7077282&amp;Result=3","7077282")</f>
        <v>0</v>
      </c>
      <c r="B1092" t="s">
        <v>542</v>
      </c>
      <c r="C1092" t="s">
        <v>4422</v>
      </c>
      <c r="D1092" t="s">
        <v>16616</v>
      </c>
      <c r="E1092" t="s">
        <v>17743</v>
      </c>
      <c r="F1092" t="s">
        <v>28669</v>
      </c>
      <c r="G1092" t="s">
        <v>28677</v>
      </c>
      <c r="H1092" t="s">
        <v>9998</v>
      </c>
      <c r="I1092" t="s">
        <v>5286</v>
      </c>
      <c r="J1092" t="s">
        <v>29626</v>
      </c>
      <c r="K1092" t="s">
        <v>37204</v>
      </c>
      <c r="M1092" t="s">
        <v>38035</v>
      </c>
      <c r="N1092" t="s">
        <v>41249</v>
      </c>
      <c r="O1092" t="s">
        <v>41250</v>
      </c>
      <c r="P1092">
        <v>0</v>
      </c>
      <c r="Q1092">
        <v>0</v>
      </c>
      <c r="R1092" t="s">
        <v>41251</v>
      </c>
      <c r="S1092" t="s">
        <v>41369</v>
      </c>
      <c r="T1092" t="s">
        <v>42734</v>
      </c>
      <c r="U1092" t="s">
        <v>44152</v>
      </c>
      <c r="W1092" t="s">
        <v>38035</v>
      </c>
      <c r="X1092" t="s">
        <v>41252</v>
      </c>
    </row>
    <row r="1093" spans="1:24">
      <c r="A1093">
        <f>HYPERLINK("https://www.philgeps.gov.ph/GEPSNONPILOT/Tender/SplashBidNoticeAbstractUI.aspx?menuIndex=3&amp;refID=7077275&amp;Result=3","7077275")</f>
        <v>0</v>
      </c>
      <c r="B1093" t="s">
        <v>454</v>
      </c>
      <c r="C1093" t="s">
        <v>4423</v>
      </c>
      <c r="D1093" t="s">
        <v>16661</v>
      </c>
      <c r="E1093" t="s">
        <v>17744</v>
      </c>
      <c r="F1093" t="s">
        <v>28669</v>
      </c>
      <c r="G1093" t="s">
        <v>28676</v>
      </c>
      <c r="H1093" t="s">
        <v>9998</v>
      </c>
      <c r="I1093" t="s">
        <v>6606</v>
      </c>
      <c r="J1093" t="s">
        <v>29627</v>
      </c>
      <c r="K1093" t="s">
        <v>37209</v>
      </c>
      <c r="M1093" t="s">
        <v>37942</v>
      </c>
      <c r="N1093" t="s">
        <v>41249</v>
      </c>
      <c r="O1093" t="s">
        <v>41250</v>
      </c>
      <c r="P1093">
        <v>0</v>
      </c>
      <c r="Q1093">
        <v>0</v>
      </c>
      <c r="R1093" t="s">
        <v>41251</v>
      </c>
      <c r="S1093" t="s">
        <v>41369</v>
      </c>
      <c r="T1093" t="s">
        <v>42799</v>
      </c>
      <c r="U1093" t="s">
        <v>44153</v>
      </c>
      <c r="W1093" t="s">
        <v>37942</v>
      </c>
      <c r="X1093" t="s">
        <v>41252</v>
      </c>
    </row>
    <row r="1094" spans="1:24">
      <c r="A1094">
        <f>HYPERLINK("https://www.philgeps.gov.ph/GEPSNONPILOT/Tender/SplashBidNoticeAbstractUI.aspx?menuIndex=3&amp;refID=7077271&amp;Result=3","7077271")</f>
        <v>0</v>
      </c>
      <c r="B1094" t="s">
        <v>492</v>
      </c>
      <c r="C1094" t="s">
        <v>4424</v>
      </c>
      <c r="D1094" t="s">
        <v>16621</v>
      </c>
      <c r="E1094" t="s">
        <v>17745</v>
      </c>
      <c r="F1094" t="s">
        <v>28669</v>
      </c>
      <c r="G1094" t="s">
        <v>28675</v>
      </c>
      <c r="H1094" t="s">
        <v>9998</v>
      </c>
      <c r="I1094" t="s">
        <v>3718</v>
      </c>
      <c r="J1094" t="s">
        <v>29060</v>
      </c>
      <c r="K1094" t="s">
        <v>37210</v>
      </c>
      <c r="M1094" t="s">
        <v>37981</v>
      </c>
      <c r="N1094" t="s">
        <v>41249</v>
      </c>
      <c r="O1094" t="s">
        <v>41250</v>
      </c>
      <c r="P1094">
        <v>0</v>
      </c>
      <c r="Q1094">
        <v>0</v>
      </c>
      <c r="R1094" t="s">
        <v>41251</v>
      </c>
      <c r="S1094" t="s">
        <v>41369</v>
      </c>
      <c r="T1094" t="s">
        <v>42672</v>
      </c>
      <c r="U1094" t="s">
        <v>44154</v>
      </c>
      <c r="W1094" t="s">
        <v>37981</v>
      </c>
      <c r="X1094" t="s">
        <v>41252</v>
      </c>
    </row>
    <row r="1095" spans="1:24">
      <c r="A1095">
        <f>HYPERLINK("https://www.philgeps.gov.ph/GEPSNONPILOT/Tender/SplashBidNoticeAbstractUI.aspx?menuIndex=3&amp;refID=7077289&amp;Result=3","7077289")</f>
        <v>0</v>
      </c>
      <c r="B1095" t="s">
        <v>543</v>
      </c>
      <c r="C1095" t="s">
        <v>4425</v>
      </c>
      <c r="D1095" t="s">
        <v>16654</v>
      </c>
      <c r="E1095" t="s">
        <v>17746</v>
      </c>
      <c r="F1095" t="s">
        <v>28669</v>
      </c>
      <c r="G1095" t="s">
        <v>28676</v>
      </c>
      <c r="H1095" t="s">
        <v>9998</v>
      </c>
      <c r="I1095" t="s">
        <v>28713</v>
      </c>
      <c r="J1095" t="s">
        <v>29317</v>
      </c>
      <c r="K1095" t="s">
        <v>37209</v>
      </c>
      <c r="M1095" t="s">
        <v>38036</v>
      </c>
      <c r="N1095" t="s">
        <v>41249</v>
      </c>
      <c r="O1095" t="s">
        <v>41250</v>
      </c>
      <c r="P1095">
        <v>0</v>
      </c>
      <c r="Q1095">
        <v>10</v>
      </c>
      <c r="R1095" t="s">
        <v>41251</v>
      </c>
      <c r="S1095" t="s">
        <v>41369</v>
      </c>
      <c r="T1095" t="s">
        <v>42690</v>
      </c>
      <c r="U1095" t="s">
        <v>44155</v>
      </c>
      <c r="W1095" t="s">
        <v>38036</v>
      </c>
      <c r="X1095" t="s">
        <v>41252</v>
      </c>
    </row>
    <row r="1096" spans="1:24">
      <c r="A1096">
        <f>HYPERLINK("https://www.philgeps.gov.ph/GEPSNONPILOT/Tender/SplashBidNoticeAbstractUI.aspx?menuIndex=3&amp;refID=7077288&amp;Result=3","7077288")</f>
        <v>0</v>
      </c>
      <c r="B1096" t="s">
        <v>207</v>
      </c>
      <c r="C1096" t="s">
        <v>4426</v>
      </c>
      <c r="D1096" t="s">
        <v>16625</v>
      </c>
      <c r="E1096" t="s">
        <v>17747</v>
      </c>
      <c r="F1096" t="s">
        <v>28669</v>
      </c>
      <c r="G1096" t="s">
        <v>28675</v>
      </c>
      <c r="H1096" t="s">
        <v>9998</v>
      </c>
      <c r="I1096" t="s">
        <v>3718</v>
      </c>
      <c r="J1096" t="s">
        <v>29628</v>
      </c>
      <c r="K1096" t="s">
        <v>37220</v>
      </c>
      <c r="M1096" t="s">
        <v>37995</v>
      </c>
      <c r="N1096" t="s">
        <v>41249</v>
      </c>
      <c r="O1096" t="s">
        <v>41250</v>
      </c>
      <c r="P1096">
        <v>0</v>
      </c>
      <c r="Q1096">
        <v>6</v>
      </c>
      <c r="R1096" t="s">
        <v>41251</v>
      </c>
      <c r="S1096" t="s">
        <v>41369</v>
      </c>
      <c r="T1096" t="s">
        <v>42693</v>
      </c>
      <c r="U1096" t="s">
        <v>44074</v>
      </c>
      <c r="V1096" t="s">
        <v>54364</v>
      </c>
      <c r="W1096" t="s">
        <v>37995</v>
      </c>
      <c r="X1096" t="s">
        <v>41252</v>
      </c>
    </row>
    <row r="1097" spans="1:24">
      <c r="A1097">
        <f>HYPERLINK("https://www.philgeps.gov.ph/GEPSNONPILOT/Tender/SplashBidNoticeAbstractUI.aspx?menuIndex=3&amp;refID=7077273&amp;Result=3","7077273")</f>
        <v>0</v>
      </c>
      <c r="B1097" t="s">
        <v>544</v>
      </c>
      <c r="C1097" t="s">
        <v>4427</v>
      </c>
      <c r="D1097" t="s">
        <v>16643</v>
      </c>
      <c r="E1097" t="s">
        <v>17029</v>
      </c>
      <c r="F1097" t="s">
        <v>28669</v>
      </c>
      <c r="G1097" t="s">
        <v>28677</v>
      </c>
      <c r="H1097" t="s">
        <v>9998</v>
      </c>
      <c r="I1097" t="s">
        <v>6128</v>
      </c>
      <c r="J1097" t="s">
        <v>29629</v>
      </c>
      <c r="K1097" t="s">
        <v>37208</v>
      </c>
      <c r="M1097" t="s">
        <v>38037</v>
      </c>
      <c r="N1097" t="s">
        <v>41249</v>
      </c>
      <c r="O1097" t="s">
        <v>41250</v>
      </c>
      <c r="P1097">
        <v>0</v>
      </c>
      <c r="Q1097">
        <v>0</v>
      </c>
      <c r="R1097" t="s">
        <v>41251</v>
      </c>
      <c r="S1097" t="s">
        <v>41369</v>
      </c>
      <c r="T1097" t="s">
        <v>42726</v>
      </c>
      <c r="U1097" t="s">
        <v>44156</v>
      </c>
      <c r="W1097" t="s">
        <v>38037</v>
      </c>
      <c r="X1097" t="s">
        <v>41252</v>
      </c>
    </row>
    <row r="1098" spans="1:24">
      <c r="A1098">
        <f>HYPERLINK("https://www.philgeps.gov.ph/GEPSNONPILOT/Tender/SplashBidNoticeAbstractUI.aspx?menuIndex=3&amp;refID=7077296&amp;Result=3","7077296")</f>
        <v>0</v>
      </c>
      <c r="B1098" t="s">
        <v>169</v>
      </c>
      <c r="C1098" t="s">
        <v>4428</v>
      </c>
      <c r="D1098" t="s">
        <v>16611</v>
      </c>
      <c r="E1098" t="s">
        <v>17748</v>
      </c>
      <c r="F1098" t="s">
        <v>28669</v>
      </c>
      <c r="G1098" t="s">
        <v>28676</v>
      </c>
      <c r="H1098" t="s">
        <v>28686</v>
      </c>
      <c r="I1098" t="s">
        <v>28689</v>
      </c>
      <c r="J1098" t="s">
        <v>29630</v>
      </c>
      <c r="K1098" t="s">
        <v>37244</v>
      </c>
      <c r="M1098" t="s">
        <v>37936</v>
      </c>
      <c r="N1098" t="s">
        <v>41249</v>
      </c>
      <c r="O1098" t="s">
        <v>41250</v>
      </c>
      <c r="P1098">
        <v>0</v>
      </c>
      <c r="Q1098">
        <v>0</v>
      </c>
      <c r="R1098" t="s">
        <v>41251</v>
      </c>
      <c r="S1098" t="s">
        <v>41369</v>
      </c>
      <c r="T1098" t="s">
        <v>42764</v>
      </c>
      <c r="U1098" t="s">
        <v>44157</v>
      </c>
      <c r="W1098" t="s">
        <v>37936</v>
      </c>
      <c r="X1098" t="s">
        <v>41252</v>
      </c>
    </row>
    <row r="1099" spans="1:24">
      <c r="A1099">
        <f>HYPERLINK("https://www.philgeps.gov.ph/GEPSNONPILOT/Tender/SplashBidNoticeAbstractUI.aspx?menuIndex=3&amp;refID=7077293&amp;Result=3","7077293")</f>
        <v>0</v>
      </c>
      <c r="B1099" t="s">
        <v>425</v>
      </c>
      <c r="C1099" t="s">
        <v>4429</v>
      </c>
      <c r="D1099" t="s">
        <v>16653</v>
      </c>
      <c r="E1099" t="s">
        <v>17749</v>
      </c>
      <c r="F1099" t="s">
        <v>28669</v>
      </c>
      <c r="G1099" t="s">
        <v>28675</v>
      </c>
      <c r="H1099" t="s">
        <v>9998</v>
      </c>
      <c r="I1099" t="s">
        <v>28713</v>
      </c>
      <c r="J1099" t="s">
        <v>29631</v>
      </c>
      <c r="K1099" t="s">
        <v>37206</v>
      </c>
      <c r="M1099" t="s">
        <v>37910</v>
      </c>
      <c r="N1099" t="s">
        <v>41249</v>
      </c>
      <c r="O1099" t="s">
        <v>41250</v>
      </c>
      <c r="P1099">
        <v>0</v>
      </c>
      <c r="Q1099">
        <v>7</v>
      </c>
      <c r="R1099" t="s">
        <v>41251</v>
      </c>
      <c r="S1099" t="s">
        <v>41369</v>
      </c>
      <c r="T1099" t="s">
        <v>42732</v>
      </c>
      <c r="U1099" t="s">
        <v>44158</v>
      </c>
      <c r="W1099" t="s">
        <v>37910</v>
      </c>
      <c r="X1099" t="s">
        <v>41252</v>
      </c>
    </row>
    <row r="1100" spans="1:24">
      <c r="A1100">
        <f>HYPERLINK("https://www.philgeps.gov.ph/GEPSNONPILOT/Tender/SplashBidNoticeAbstractUI.aspx?menuIndex=3&amp;refID=7077315&amp;Result=3","7077315")</f>
        <v>0</v>
      </c>
      <c r="B1100" t="s">
        <v>207</v>
      </c>
      <c r="C1100" t="s">
        <v>4430</v>
      </c>
      <c r="D1100" t="s">
        <v>16625</v>
      </c>
      <c r="E1100" t="s">
        <v>17750</v>
      </c>
      <c r="F1100" t="s">
        <v>28669</v>
      </c>
      <c r="G1100" t="s">
        <v>28675</v>
      </c>
      <c r="H1100" t="s">
        <v>9998</v>
      </c>
      <c r="I1100" t="s">
        <v>28693</v>
      </c>
      <c r="J1100" t="s">
        <v>29632</v>
      </c>
      <c r="K1100" t="s">
        <v>37220</v>
      </c>
      <c r="M1100" t="s">
        <v>37995</v>
      </c>
      <c r="N1100" t="s">
        <v>41249</v>
      </c>
      <c r="O1100" t="s">
        <v>41250</v>
      </c>
      <c r="P1100">
        <v>0</v>
      </c>
      <c r="Q1100">
        <v>25</v>
      </c>
      <c r="R1100" t="s">
        <v>41251</v>
      </c>
      <c r="S1100" t="s">
        <v>41369</v>
      </c>
      <c r="T1100" t="s">
        <v>42693</v>
      </c>
      <c r="U1100" t="s">
        <v>44159</v>
      </c>
      <c r="V1100" t="s">
        <v>54364</v>
      </c>
      <c r="W1100" t="s">
        <v>37995</v>
      </c>
      <c r="X1100" t="s">
        <v>41252</v>
      </c>
    </row>
    <row r="1101" spans="1:24">
      <c r="A1101">
        <f>HYPERLINK("https://www.philgeps.gov.ph/GEPSNONPILOT/Tender/SplashBidNoticeAbstractUI.aspx?menuIndex=3&amp;refID=7077314&amp;Result=3","7077314")</f>
        <v>0</v>
      </c>
      <c r="B1101" t="s">
        <v>519</v>
      </c>
      <c r="C1101" t="s">
        <v>4431</v>
      </c>
      <c r="D1101" t="s">
        <v>16608</v>
      </c>
      <c r="E1101" t="s">
        <v>17751</v>
      </c>
      <c r="F1101" t="s">
        <v>28669</v>
      </c>
      <c r="G1101" t="s">
        <v>28676</v>
      </c>
      <c r="H1101" t="s">
        <v>9998</v>
      </c>
      <c r="I1101" t="s">
        <v>28728</v>
      </c>
      <c r="J1101" t="s">
        <v>29088</v>
      </c>
      <c r="K1101" t="s">
        <v>37209</v>
      </c>
      <c r="M1101" t="s">
        <v>38010</v>
      </c>
      <c r="N1101" t="s">
        <v>41249</v>
      </c>
      <c r="O1101" t="s">
        <v>41250</v>
      </c>
      <c r="P1101">
        <v>0</v>
      </c>
      <c r="Q1101">
        <v>1</v>
      </c>
      <c r="R1101" t="s">
        <v>41251</v>
      </c>
      <c r="S1101" t="s">
        <v>41369</v>
      </c>
      <c r="T1101" t="s">
        <v>42730</v>
      </c>
      <c r="U1101" t="s">
        <v>44160</v>
      </c>
      <c r="W1101" t="s">
        <v>38010</v>
      </c>
      <c r="X1101" t="s">
        <v>41252</v>
      </c>
    </row>
    <row r="1102" spans="1:24">
      <c r="A1102">
        <f>HYPERLINK("https://www.philgeps.gov.ph/GEPSNONPILOT/Tender/SplashBidNoticeAbstractUI.aspx?menuIndex=3&amp;refID=7077312&amp;Result=3","7077312")</f>
        <v>0</v>
      </c>
      <c r="B1102" t="s">
        <v>470</v>
      </c>
      <c r="C1102" t="s">
        <v>4432</v>
      </c>
      <c r="D1102" t="s">
        <v>16639</v>
      </c>
      <c r="E1102" t="s">
        <v>17752</v>
      </c>
      <c r="F1102" t="s">
        <v>28669</v>
      </c>
      <c r="G1102" t="s">
        <v>28676</v>
      </c>
      <c r="H1102" t="s">
        <v>9998</v>
      </c>
      <c r="I1102" t="s">
        <v>28696</v>
      </c>
      <c r="J1102" t="s">
        <v>29003</v>
      </c>
      <c r="K1102" t="s">
        <v>37205</v>
      </c>
      <c r="M1102" t="s">
        <v>37958</v>
      </c>
      <c r="N1102" t="s">
        <v>41249</v>
      </c>
      <c r="O1102" t="s">
        <v>41250</v>
      </c>
      <c r="P1102">
        <v>0</v>
      </c>
      <c r="Q1102">
        <v>2</v>
      </c>
      <c r="R1102" t="s">
        <v>41251</v>
      </c>
      <c r="S1102" t="s">
        <v>41369</v>
      </c>
      <c r="T1102" t="s">
        <v>42673</v>
      </c>
      <c r="U1102" t="s">
        <v>44118</v>
      </c>
      <c r="W1102" t="s">
        <v>37958</v>
      </c>
      <c r="X1102" t="s">
        <v>41252</v>
      </c>
    </row>
    <row r="1103" spans="1:24">
      <c r="A1103">
        <f>HYPERLINK("https://www.philgeps.gov.ph/GEPSNONPILOT/Tender/SplashBidNoticeAbstractUI.aspx?menuIndex=3&amp;refID=7077310&amp;Result=3","7077310")</f>
        <v>0</v>
      </c>
      <c r="B1103" t="s">
        <v>545</v>
      </c>
      <c r="C1103" t="s">
        <v>4433</v>
      </c>
      <c r="D1103" t="s">
        <v>16676</v>
      </c>
      <c r="E1103" t="s">
        <v>17753</v>
      </c>
      <c r="F1103" t="s">
        <v>28669</v>
      </c>
      <c r="G1103" t="s">
        <v>28677</v>
      </c>
      <c r="H1103" t="s">
        <v>9998</v>
      </c>
      <c r="I1103" t="s">
        <v>7352</v>
      </c>
      <c r="J1103" t="s">
        <v>29633</v>
      </c>
      <c r="K1103" t="s">
        <v>37210</v>
      </c>
      <c r="M1103" t="s">
        <v>38038</v>
      </c>
      <c r="N1103" t="s">
        <v>41249</v>
      </c>
      <c r="O1103" t="s">
        <v>41250</v>
      </c>
      <c r="P1103">
        <v>0</v>
      </c>
      <c r="Q1103">
        <v>0</v>
      </c>
      <c r="R1103" t="s">
        <v>41251</v>
      </c>
      <c r="S1103" t="s">
        <v>41369</v>
      </c>
      <c r="T1103" t="s">
        <v>42802</v>
      </c>
      <c r="U1103" t="s">
        <v>44161</v>
      </c>
      <c r="V1103" t="s">
        <v>54373</v>
      </c>
      <c r="W1103" t="s">
        <v>38038</v>
      </c>
      <c r="X1103" t="s">
        <v>41252</v>
      </c>
    </row>
    <row r="1104" spans="1:24">
      <c r="A1104">
        <f>HYPERLINK("https://www.philgeps.gov.ph/GEPSNONPILOT/Tender/SplashBidNoticeAbstractUI.aspx?menuIndex=3&amp;refID=7077308&amp;Result=3","7077308")</f>
        <v>0</v>
      </c>
      <c r="B1104" t="s">
        <v>546</v>
      </c>
      <c r="C1104" t="s">
        <v>4434</v>
      </c>
      <c r="D1104" t="s">
        <v>16629</v>
      </c>
      <c r="E1104" t="s">
        <v>17754</v>
      </c>
      <c r="F1104" t="s">
        <v>28669</v>
      </c>
      <c r="G1104" t="s">
        <v>28675</v>
      </c>
      <c r="H1104" t="s">
        <v>9998</v>
      </c>
      <c r="I1104" t="s">
        <v>7352</v>
      </c>
      <c r="J1104" t="s">
        <v>29634</v>
      </c>
      <c r="K1104" t="s">
        <v>37227</v>
      </c>
      <c r="M1104" t="s">
        <v>38039</v>
      </c>
      <c r="N1104" t="s">
        <v>41249</v>
      </c>
      <c r="O1104" t="s">
        <v>41250</v>
      </c>
      <c r="P1104">
        <v>0</v>
      </c>
      <c r="Q1104">
        <v>0</v>
      </c>
      <c r="R1104" t="s">
        <v>41251</v>
      </c>
      <c r="S1104" t="s">
        <v>41369</v>
      </c>
      <c r="T1104" t="s">
        <v>42761</v>
      </c>
      <c r="U1104" t="s">
        <v>44162</v>
      </c>
      <c r="W1104" t="s">
        <v>38039</v>
      </c>
      <c r="X1104" t="s">
        <v>41252</v>
      </c>
    </row>
    <row r="1105" spans="1:24">
      <c r="A1105">
        <f>HYPERLINK("https://www.philgeps.gov.ph/GEPSNONPILOT/Tender/SplashBidNoticeAbstractUI.aspx?menuIndex=3&amp;refID=7077307&amp;Result=3","7077307")</f>
        <v>0</v>
      </c>
      <c r="B1105" t="s">
        <v>547</v>
      </c>
      <c r="C1105" t="s">
        <v>4435</v>
      </c>
      <c r="D1105" t="s">
        <v>16627</v>
      </c>
      <c r="E1105" t="s">
        <v>17755</v>
      </c>
      <c r="F1105" t="s">
        <v>28669</v>
      </c>
      <c r="G1105" t="s">
        <v>28676</v>
      </c>
      <c r="H1105" t="s">
        <v>9998</v>
      </c>
      <c r="I1105" t="s">
        <v>6606</v>
      </c>
      <c r="J1105" t="s">
        <v>29635</v>
      </c>
      <c r="K1105" t="s">
        <v>37243</v>
      </c>
      <c r="M1105" t="s">
        <v>38040</v>
      </c>
      <c r="N1105" t="s">
        <v>41249</v>
      </c>
      <c r="O1105" t="s">
        <v>41250</v>
      </c>
      <c r="P1105">
        <v>0</v>
      </c>
      <c r="Q1105">
        <v>0</v>
      </c>
      <c r="R1105" t="s">
        <v>41251</v>
      </c>
      <c r="S1105" t="s">
        <v>41369</v>
      </c>
      <c r="T1105" t="s">
        <v>42764</v>
      </c>
      <c r="U1105" t="s">
        <v>44163</v>
      </c>
      <c r="W1105" t="s">
        <v>38040</v>
      </c>
      <c r="X1105" t="s">
        <v>41252</v>
      </c>
    </row>
    <row r="1106" spans="1:24">
      <c r="A1106">
        <f>HYPERLINK("https://www.philgeps.gov.ph/GEPSNONPILOT/Tender/SplashBidNoticeAbstractUI.aspx?menuIndex=3&amp;refID=7077274&amp;Result=3","7077274")</f>
        <v>0</v>
      </c>
      <c r="B1106" t="s">
        <v>537</v>
      </c>
      <c r="C1106" t="s">
        <v>4436</v>
      </c>
      <c r="D1106" t="s">
        <v>16658</v>
      </c>
      <c r="E1106" t="s">
        <v>17756</v>
      </c>
      <c r="F1106" t="s">
        <v>28669</v>
      </c>
      <c r="G1106" t="s">
        <v>28675</v>
      </c>
      <c r="H1106" t="s">
        <v>28686</v>
      </c>
      <c r="I1106" t="s">
        <v>28702</v>
      </c>
      <c r="J1106" t="s">
        <v>29636</v>
      </c>
      <c r="K1106" t="s">
        <v>37218</v>
      </c>
      <c r="M1106" t="s">
        <v>38028</v>
      </c>
      <c r="N1106" t="s">
        <v>41249</v>
      </c>
      <c r="O1106" t="s">
        <v>41250</v>
      </c>
      <c r="Q1106">
        <v>3</v>
      </c>
      <c r="R1106" t="s">
        <v>41251</v>
      </c>
      <c r="S1106" t="s">
        <v>41378</v>
      </c>
      <c r="T1106" t="s">
        <v>42807</v>
      </c>
      <c r="U1106" t="s">
        <v>44139</v>
      </c>
      <c r="V1106" t="s">
        <v>54374</v>
      </c>
      <c r="W1106" t="s">
        <v>38028</v>
      </c>
      <c r="X1106" t="s">
        <v>41252</v>
      </c>
    </row>
    <row r="1107" spans="1:24">
      <c r="A1107">
        <f>HYPERLINK("https://www.philgeps.gov.ph/GEPSNONPILOT/Tender/SplashBidNoticeAbstractUI.aspx?menuIndex=3&amp;refID=7077304&amp;Result=3","7077304")</f>
        <v>0</v>
      </c>
      <c r="B1107" t="s">
        <v>548</v>
      </c>
      <c r="C1107" t="s">
        <v>4437</v>
      </c>
      <c r="D1107" t="s">
        <v>16679</v>
      </c>
      <c r="E1107" t="s">
        <v>17757</v>
      </c>
      <c r="F1107" t="s">
        <v>28669</v>
      </c>
      <c r="G1107" t="s">
        <v>28677</v>
      </c>
      <c r="H1107" t="s">
        <v>9998</v>
      </c>
      <c r="I1107" t="s">
        <v>28708</v>
      </c>
      <c r="J1107" t="s">
        <v>29637</v>
      </c>
      <c r="K1107" t="s">
        <v>37209</v>
      </c>
      <c r="M1107" t="s">
        <v>38041</v>
      </c>
      <c r="N1107" t="s">
        <v>41249</v>
      </c>
      <c r="O1107" t="s">
        <v>41250</v>
      </c>
      <c r="P1107">
        <v>0</v>
      </c>
      <c r="Q1107">
        <v>9</v>
      </c>
      <c r="R1107" t="s">
        <v>41251</v>
      </c>
      <c r="S1107" t="s">
        <v>41369</v>
      </c>
      <c r="T1107" t="s">
        <v>42711</v>
      </c>
      <c r="U1107" t="s">
        <v>44164</v>
      </c>
      <c r="W1107" t="s">
        <v>55921</v>
      </c>
      <c r="X1107" t="s">
        <v>41252</v>
      </c>
    </row>
    <row r="1108" spans="1:24">
      <c r="A1108">
        <f>HYPERLINK("https://www.philgeps.gov.ph/GEPSNONPILOT/Tender/SplashBidNoticeAbstractUI.aspx?menuIndex=3&amp;refID=7077303&amp;Result=3","7077303")</f>
        <v>0</v>
      </c>
      <c r="B1108" t="s">
        <v>549</v>
      </c>
      <c r="C1108" t="s">
        <v>4438</v>
      </c>
      <c r="D1108" t="s">
        <v>16646</v>
      </c>
      <c r="E1108" t="s">
        <v>17758</v>
      </c>
      <c r="F1108" t="s">
        <v>28669</v>
      </c>
      <c r="G1108" t="s">
        <v>28675</v>
      </c>
      <c r="H1108" t="s">
        <v>9998</v>
      </c>
      <c r="I1108" t="s">
        <v>28701</v>
      </c>
      <c r="J1108" t="s">
        <v>29638</v>
      </c>
      <c r="K1108" t="s">
        <v>37279</v>
      </c>
      <c r="M1108" t="s">
        <v>38042</v>
      </c>
      <c r="N1108" t="s">
        <v>41249</v>
      </c>
      <c r="O1108" t="s">
        <v>41250</v>
      </c>
      <c r="P1108">
        <v>0</v>
      </c>
      <c r="Q1108">
        <v>0</v>
      </c>
      <c r="R1108" t="s">
        <v>41251</v>
      </c>
      <c r="S1108" t="s">
        <v>41369</v>
      </c>
      <c r="T1108" t="s">
        <v>42808</v>
      </c>
      <c r="U1108" t="s">
        <v>44165</v>
      </c>
      <c r="V1108" t="s">
        <v>54375</v>
      </c>
      <c r="W1108" t="s">
        <v>38042</v>
      </c>
      <c r="X1108" t="s">
        <v>41252</v>
      </c>
    </row>
    <row r="1109" spans="1:24">
      <c r="A1109">
        <f>HYPERLINK("https://www.philgeps.gov.ph/GEPSNONPILOT/Tender/SplashBidNoticeAbstractUI.aspx?menuIndex=3&amp;refID=7077294&amp;Result=3","7077294")</f>
        <v>0</v>
      </c>
      <c r="B1109" t="s">
        <v>550</v>
      </c>
      <c r="C1109" t="s">
        <v>4439</v>
      </c>
      <c r="D1109" t="s">
        <v>16663</v>
      </c>
      <c r="E1109" t="s">
        <v>4439</v>
      </c>
      <c r="F1109" t="s">
        <v>28669</v>
      </c>
      <c r="G1109" t="s">
        <v>28676</v>
      </c>
      <c r="H1109" t="s">
        <v>9998</v>
      </c>
      <c r="I1109" t="s">
        <v>28693</v>
      </c>
      <c r="J1109" t="s">
        <v>29088</v>
      </c>
      <c r="K1109" t="s">
        <v>37209</v>
      </c>
      <c r="M1109" t="s">
        <v>38043</v>
      </c>
      <c r="N1109" t="s">
        <v>41249</v>
      </c>
      <c r="O1109" t="s">
        <v>41250</v>
      </c>
      <c r="P1109">
        <v>0</v>
      </c>
      <c r="Q1109">
        <v>9</v>
      </c>
      <c r="R1109" t="s">
        <v>41251</v>
      </c>
      <c r="S1109" t="s">
        <v>41369</v>
      </c>
      <c r="T1109" t="s">
        <v>42675</v>
      </c>
      <c r="U1109" t="s">
        <v>44166</v>
      </c>
      <c r="V1109" t="s">
        <v>54376</v>
      </c>
      <c r="W1109" t="s">
        <v>38043</v>
      </c>
      <c r="X1109" t="s">
        <v>41252</v>
      </c>
    </row>
    <row r="1110" spans="1:24">
      <c r="A1110">
        <f>HYPERLINK("https://www.philgeps.gov.ph/GEPSNONPILOT/Tender/SplashBidNoticeAbstractUI.aspx?menuIndex=3&amp;refID=7077320&amp;Result=3","7077320")</f>
        <v>0</v>
      </c>
      <c r="B1110" t="s">
        <v>454</v>
      </c>
      <c r="C1110" t="s">
        <v>4440</v>
      </c>
      <c r="D1110" t="s">
        <v>16661</v>
      </c>
      <c r="E1110" t="s">
        <v>17759</v>
      </c>
      <c r="F1110" t="s">
        <v>28669</v>
      </c>
      <c r="G1110" t="s">
        <v>28676</v>
      </c>
      <c r="H1110" t="s">
        <v>9998</v>
      </c>
      <c r="I1110" t="s">
        <v>6606</v>
      </c>
      <c r="J1110" t="s">
        <v>29639</v>
      </c>
      <c r="K1110" t="s">
        <v>37209</v>
      </c>
      <c r="M1110" t="s">
        <v>37942</v>
      </c>
      <c r="N1110" t="s">
        <v>41249</v>
      </c>
      <c r="O1110" t="s">
        <v>41250</v>
      </c>
      <c r="P1110">
        <v>0</v>
      </c>
      <c r="Q1110">
        <v>0</v>
      </c>
      <c r="R1110" t="s">
        <v>41251</v>
      </c>
      <c r="S1110" t="s">
        <v>41369</v>
      </c>
      <c r="T1110" t="s">
        <v>42799</v>
      </c>
      <c r="U1110" t="s">
        <v>44167</v>
      </c>
      <c r="W1110" t="s">
        <v>37942</v>
      </c>
      <c r="X1110" t="s">
        <v>41252</v>
      </c>
    </row>
    <row r="1111" spans="1:24">
      <c r="A1111">
        <f>HYPERLINK("https://www.philgeps.gov.ph/GEPSNONPILOT/Tender/SplashBidNoticeAbstractUI.aspx?menuIndex=3&amp;refID=7077318&amp;Result=3","7077318")</f>
        <v>0</v>
      </c>
      <c r="B1111" t="s">
        <v>551</v>
      </c>
      <c r="C1111" t="s">
        <v>4441</v>
      </c>
      <c r="D1111" t="s">
        <v>16671</v>
      </c>
      <c r="E1111" t="s">
        <v>17760</v>
      </c>
      <c r="F1111" t="s">
        <v>28669</v>
      </c>
      <c r="G1111" t="s">
        <v>28676</v>
      </c>
      <c r="H1111" t="s">
        <v>9998</v>
      </c>
      <c r="I1111" t="s">
        <v>28697</v>
      </c>
      <c r="J1111" t="s">
        <v>29640</v>
      </c>
      <c r="K1111" t="s">
        <v>37205</v>
      </c>
      <c r="M1111" t="s">
        <v>38044</v>
      </c>
      <c r="N1111" t="s">
        <v>41249</v>
      </c>
      <c r="O1111" t="s">
        <v>41250</v>
      </c>
      <c r="P1111">
        <v>0</v>
      </c>
      <c r="Q1111">
        <v>5</v>
      </c>
      <c r="R1111" t="s">
        <v>41251</v>
      </c>
      <c r="S1111" t="s">
        <v>41369</v>
      </c>
      <c r="T1111" t="s">
        <v>42757</v>
      </c>
      <c r="U1111" t="s">
        <v>44168</v>
      </c>
      <c r="V1111" t="s">
        <v>54377</v>
      </c>
      <c r="W1111" t="s">
        <v>38044</v>
      </c>
      <c r="X1111" t="s">
        <v>41252</v>
      </c>
    </row>
    <row r="1112" spans="1:24">
      <c r="A1112">
        <f>HYPERLINK("https://www.philgeps.gov.ph/GEPSNONPILOT/Tender/SplashBidNoticeAbstractUI.aspx?menuIndex=3&amp;refID=7077316&amp;Result=3","7077316")</f>
        <v>0</v>
      </c>
      <c r="B1112" t="s">
        <v>447</v>
      </c>
      <c r="C1112" t="s">
        <v>4442</v>
      </c>
      <c r="D1112" t="s">
        <v>16608</v>
      </c>
      <c r="E1112" t="s">
        <v>17761</v>
      </c>
      <c r="F1112" t="s">
        <v>28669</v>
      </c>
      <c r="G1112" t="s">
        <v>28676</v>
      </c>
      <c r="H1112" t="s">
        <v>9998</v>
      </c>
      <c r="I1112" t="s">
        <v>3718</v>
      </c>
      <c r="J1112" t="s">
        <v>29641</v>
      </c>
      <c r="K1112" t="s">
        <v>37209</v>
      </c>
      <c r="M1112" t="s">
        <v>37933</v>
      </c>
      <c r="N1112" t="s">
        <v>41249</v>
      </c>
      <c r="O1112" t="s">
        <v>41250</v>
      </c>
      <c r="P1112">
        <v>0</v>
      </c>
      <c r="Q1112">
        <v>2</v>
      </c>
      <c r="R1112" t="s">
        <v>41251</v>
      </c>
      <c r="S1112" t="s">
        <v>41369</v>
      </c>
      <c r="T1112" t="s">
        <v>42670</v>
      </c>
      <c r="U1112" t="s">
        <v>44169</v>
      </c>
      <c r="W1112" t="s">
        <v>37933</v>
      </c>
      <c r="X1112" t="s">
        <v>41252</v>
      </c>
    </row>
    <row r="1113" spans="1:24">
      <c r="A1113">
        <f>HYPERLINK("https://www.philgeps.gov.ph/GEPSNONPILOT/Tender/SplashBidNoticeAbstractUI.aspx?menuIndex=3&amp;refID=7077291&amp;Result=3","7077291")</f>
        <v>0</v>
      </c>
      <c r="B1113" t="s">
        <v>516</v>
      </c>
      <c r="C1113" t="s">
        <v>4443</v>
      </c>
      <c r="D1113" t="s">
        <v>16625</v>
      </c>
      <c r="E1113" t="s">
        <v>17762</v>
      </c>
      <c r="F1113" t="s">
        <v>28669</v>
      </c>
      <c r="G1113" t="s">
        <v>28677</v>
      </c>
      <c r="H1113" t="s">
        <v>9998</v>
      </c>
      <c r="I1113" t="s">
        <v>28725</v>
      </c>
      <c r="J1113" t="s">
        <v>29642</v>
      </c>
      <c r="K1113" t="s">
        <v>37208</v>
      </c>
      <c r="M1113" t="s">
        <v>38006</v>
      </c>
      <c r="N1113" t="s">
        <v>41249</v>
      </c>
      <c r="O1113" t="s">
        <v>41250</v>
      </c>
      <c r="P1113">
        <v>0</v>
      </c>
      <c r="Q1113">
        <v>0</v>
      </c>
      <c r="R1113" t="s">
        <v>41251</v>
      </c>
      <c r="S1113" t="s">
        <v>41369</v>
      </c>
      <c r="T1113" t="s">
        <v>42767</v>
      </c>
      <c r="U1113" t="s">
        <v>44170</v>
      </c>
      <c r="W1113" t="s">
        <v>38006</v>
      </c>
      <c r="X1113" t="s">
        <v>41252</v>
      </c>
    </row>
    <row r="1114" spans="1:24">
      <c r="A1114">
        <f>HYPERLINK("https://www.philgeps.gov.ph/GEPSNONPILOT/Tender/SplashBidNoticeAbstractUI.aspx?menuIndex=3&amp;refID=7077302&amp;Result=3","7077302")</f>
        <v>0</v>
      </c>
      <c r="B1114" t="s">
        <v>46</v>
      </c>
      <c r="C1114" t="s">
        <v>4444</v>
      </c>
      <c r="D1114" t="s">
        <v>16627</v>
      </c>
      <c r="E1114" t="s">
        <v>17763</v>
      </c>
      <c r="F1114" t="s">
        <v>28669</v>
      </c>
      <c r="G1114" t="s">
        <v>28675</v>
      </c>
      <c r="H1114" t="s">
        <v>28686</v>
      </c>
      <c r="I1114" t="s">
        <v>28689</v>
      </c>
      <c r="J1114" t="s">
        <v>28879</v>
      </c>
      <c r="K1114" t="s">
        <v>37209</v>
      </c>
      <c r="M1114" t="s">
        <v>37521</v>
      </c>
      <c r="N1114" t="s">
        <v>41249</v>
      </c>
      <c r="O1114" t="s">
        <v>41250</v>
      </c>
      <c r="P1114">
        <v>0</v>
      </c>
      <c r="Q1114">
        <v>0</v>
      </c>
      <c r="R1114" t="s">
        <v>41251</v>
      </c>
      <c r="S1114" t="s">
        <v>41369</v>
      </c>
      <c r="T1114" t="s">
        <v>42695</v>
      </c>
      <c r="U1114" t="s">
        <v>44171</v>
      </c>
      <c r="W1114" t="s">
        <v>37521</v>
      </c>
      <c r="X1114" t="s">
        <v>41252</v>
      </c>
    </row>
    <row r="1115" spans="1:24">
      <c r="A1115">
        <f>HYPERLINK("https://www.philgeps.gov.ph/GEPSNONPILOT/Tender/SplashBidNoticeAbstractUI.aspx?menuIndex=3&amp;refID=7077299&amp;Result=3","7077299")</f>
        <v>0</v>
      </c>
      <c r="B1115" t="s">
        <v>417</v>
      </c>
      <c r="C1115" t="s">
        <v>4445</v>
      </c>
      <c r="D1115" t="s">
        <v>16610</v>
      </c>
      <c r="E1115" t="s">
        <v>17764</v>
      </c>
      <c r="F1115" t="s">
        <v>28669</v>
      </c>
      <c r="G1115" t="s">
        <v>28676</v>
      </c>
      <c r="H1115" t="s">
        <v>9998</v>
      </c>
      <c r="I1115" t="s">
        <v>28695</v>
      </c>
      <c r="J1115" t="s">
        <v>28912</v>
      </c>
      <c r="K1115" t="s">
        <v>37205</v>
      </c>
      <c r="M1115" t="s">
        <v>37902</v>
      </c>
      <c r="N1115" t="s">
        <v>41249</v>
      </c>
      <c r="O1115" t="s">
        <v>41250</v>
      </c>
      <c r="P1115">
        <v>0</v>
      </c>
      <c r="Q1115">
        <v>0</v>
      </c>
      <c r="R1115" t="s">
        <v>41251</v>
      </c>
      <c r="S1115" t="s">
        <v>41369</v>
      </c>
      <c r="T1115" t="s">
        <v>42673</v>
      </c>
      <c r="U1115" t="s">
        <v>44172</v>
      </c>
      <c r="W1115" t="s">
        <v>37902</v>
      </c>
      <c r="X1115" t="s">
        <v>41252</v>
      </c>
    </row>
    <row r="1116" spans="1:24">
      <c r="A1116">
        <f>HYPERLINK("https://www.philgeps.gov.ph/GEPSNONPILOT/Tender/SplashBidNoticeAbstractUI.aspx?menuIndex=3&amp;refID=7077297&amp;Result=3","7077297")</f>
        <v>0</v>
      </c>
      <c r="B1116" t="s">
        <v>391</v>
      </c>
      <c r="C1116" t="s">
        <v>4446</v>
      </c>
      <c r="D1116" t="s">
        <v>16673</v>
      </c>
      <c r="E1116" t="s">
        <v>17765</v>
      </c>
      <c r="F1116" t="s">
        <v>28669</v>
      </c>
      <c r="G1116" t="s">
        <v>28675</v>
      </c>
      <c r="H1116" t="s">
        <v>9998</v>
      </c>
      <c r="I1116" t="s">
        <v>5286</v>
      </c>
      <c r="J1116" t="s">
        <v>29643</v>
      </c>
      <c r="K1116" t="s">
        <v>37206</v>
      </c>
      <c r="M1116" t="s">
        <v>37875</v>
      </c>
      <c r="N1116" t="s">
        <v>41249</v>
      </c>
      <c r="O1116" t="s">
        <v>41250</v>
      </c>
      <c r="P1116">
        <v>0</v>
      </c>
      <c r="Q1116">
        <v>5</v>
      </c>
      <c r="R1116" t="s">
        <v>41251</v>
      </c>
      <c r="S1116" t="s">
        <v>41369</v>
      </c>
      <c r="T1116" t="s">
        <v>42709</v>
      </c>
      <c r="U1116" t="s">
        <v>44173</v>
      </c>
      <c r="W1116" t="s">
        <v>37875</v>
      </c>
      <c r="X1116" t="s">
        <v>41252</v>
      </c>
    </row>
    <row r="1117" spans="1:24">
      <c r="A1117">
        <f>HYPERLINK("https://www.philgeps.gov.ph/GEPSNONPILOT/Tender/SplashBidNoticeAbstractUI.aspx?menuIndex=3&amp;refID=7077319&amp;Result=3","7077319")</f>
        <v>0</v>
      </c>
      <c r="B1117" t="s">
        <v>552</v>
      </c>
      <c r="C1117" t="s">
        <v>4447</v>
      </c>
      <c r="D1117" t="s">
        <v>16618</v>
      </c>
      <c r="E1117" t="s">
        <v>17766</v>
      </c>
      <c r="F1117" t="s">
        <v>28669</v>
      </c>
      <c r="G1117" t="s">
        <v>28675</v>
      </c>
      <c r="H1117" t="s">
        <v>9998</v>
      </c>
      <c r="I1117" t="s">
        <v>5286</v>
      </c>
      <c r="J1117" t="s">
        <v>29644</v>
      </c>
      <c r="K1117" t="s">
        <v>37210</v>
      </c>
      <c r="M1117" t="s">
        <v>38045</v>
      </c>
      <c r="N1117" t="s">
        <v>41249</v>
      </c>
      <c r="O1117" t="s">
        <v>41250</v>
      </c>
      <c r="P1117">
        <v>0</v>
      </c>
      <c r="Q1117">
        <v>0</v>
      </c>
      <c r="R1117" t="s">
        <v>41251</v>
      </c>
      <c r="S1117" t="s">
        <v>41369</v>
      </c>
      <c r="T1117" t="s">
        <v>42714</v>
      </c>
      <c r="U1117" t="s">
        <v>44174</v>
      </c>
      <c r="W1117" t="s">
        <v>38045</v>
      </c>
      <c r="X1117" t="s">
        <v>41252</v>
      </c>
    </row>
    <row r="1118" spans="1:24">
      <c r="A1118">
        <f>HYPERLINK("https://www.philgeps.gov.ph/GEPSNONPILOT/Tender/SplashBidNoticeAbstractUI.aspx?menuIndex=3&amp;refID=7077300&amp;Result=3","7077300")</f>
        <v>0</v>
      </c>
      <c r="B1118" t="s">
        <v>224</v>
      </c>
      <c r="C1118" t="s">
        <v>4448</v>
      </c>
      <c r="D1118" t="s">
        <v>16626</v>
      </c>
      <c r="E1118" t="s">
        <v>17767</v>
      </c>
      <c r="F1118" t="s">
        <v>28669</v>
      </c>
      <c r="G1118" t="s">
        <v>28676</v>
      </c>
      <c r="H1118" t="s">
        <v>9998</v>
      </c>
      <c r="I1118" t="s">
        <v>28739</v>
      </c>
      <c r="J1118" t="s">
        <v>29186</v>
      </c>
      <c r="K1118" t="s">
        <v>37209</v>
      </c>
      <c r="M1118" t="s">
        <v>37702</v>
      </c>
      <c r="N1118" t="s">
        <v>41249</v>
      </c>
      <c r="O1118" t="s">
        <v>41250</v>
      </c>
      <c r="P1118">
        <v>0</v>
      </c>
      <c r="Q1118">
        <v>1</v>
      </c>
      <c r="R1118" t="s">
        <v>41251</v>
      </c>
      <c r="S1118" t="s">
        <v>41369</v>
      </c>
      <c r="T1118" t="s">
        <v>42694</v>
      </c>
      <c r="U1118" t="s">
        <v>44175</v>
      </c>
      <c r="W1118" t="s">
        <v>37702</v>
      </c>
      <c r="X1118" t="s">
        <v>41252</v>
      </c>
    </row>
    <row r="1119" spans="1:24">
      <c r="A1119">
        <f>HYPERLINK("https://www.philgeps.gov.ph/GEPSNONPILOT/Tender/SplashBidNoticeAbstractUI.aspx?menuIndex=3&amp;refID=7077298&amp;Result=3","7077298")</f>
        <v>0</v>
      </c>
      <c r="B1119" t="s">
        <v>553</v>
      </c>
      <c r="C1119" t="s">
        <v>4449</v>
      </c>
      <c r="D1119" t="s">
        <v>16666</v>
      </c>
      <c r="E1119" t="s">
        <v>17768</v>
      </c>
      <c r="F1119" t="s">
        <v>28669</v>
      </c>
      <c r="G1119" t="s">
        <v>28676</v>
      </c>
      <c r="H1119" t="s">
        <v>9998</v>
      </c>
      <c r="I1119" t="s">
        <v>28719</v>
      </c>
      <c r="J1119" t="s">
        <v>29645</v>
      </c>
      <c r="K1119" t="s">
        <v>37208</v>
      </c>
      <c r="M1119" t="s">
        <v>38046</v>
      </c>
      <c r="N1119" t="s">
        <v>41249</v>
      </c>
      <c r="O1119" t="s">
        <v>41250</v>
      </c>
      <c r="P1119">
        <v>0</v>
      </c>
      <c r="Q1119">
        <v>0</v>
      </c>
      <c r="R1119" t="s">
        <v>41251</v>
      </c>
      <c r="S1119" t="s">
        <v>41369</v>
      </c>
      <c r="T1119" t="s">
        <v>42742</v>
      </c>
      <c r="U1119" t="s">
        <v>44176</v>
      </c>
      <c r="W1119" t="s">
        <v>38046</v>
      </c>
      <c r="X1119" t="s">
        <v>41252</v>
      </c>
    </row>
    <row r="1120" spans="1:24">
      <c r="A1120">
        <f>HYPERLINK("https://www.philgeps.gov.ph/GEPSNONPILOT/Tender/SplashBidNoticeAbstractUI.aspx?menuIndex=3&amp;refID=7077301&amp;Result=3","7077301")</f>
        <v>0</v>
      </c>
      <c r="B1120" t="s">
        <v>532</v>
      </c>
      <c r="C1120" t="s">
        <v>4450</v>
      </c>
      <c r="D1120" t="s">
        <v>16675</v>
      </c>
      <c r="E1120" t="s">
        <v>17769</v>
      </c>
      <c r="F1120" t="s">
        <v>28669</v>
      </c>
      <c r="G1120" t="s">
        <v>28675</v>
      </c>
      <c r="H1120" t="s">
        <v>9998</v>
      </c>
      <c r="I1120" t="s">
        <v>28722</v>
      </c>
      <c r="J1120" t="s">
        <v>29646</v>
      </c>
      <c r="K1120" t="s">
        <v>37205</v>
      </c>
      <c r="M1120" t="s">
        <v>38023</v>
      </c>
      <c r="N1120" t="s">
        <v>41249</v>
      </c>
      <c r="O1120" t="s">
        <v>41250</v>
      </c>
      <c r="P1120">
        <v>0</v>
      </c>
      <c r="Q1120">
        <v>3</v>
      </c>
      <c r="R1120" t="s">
        <v>41251</v>
      </c>
      <c r="S1120" t="s">
        <v>41369</v>
      </c>
      <c r="T1120" t="s">
        <v>42809</v>
      </c>
      <c r="U1120" t="s">
        <v>44177</v>
      </c>
      <c r="W1120" t="s">
        <v>38023</v>
      </c>
      <c r="X1120" t="s">
        <v>41252</v>
      </c>
    </row>
    <row r="1121" spans="1:24">
      <c r="A1121">
        <f>HYPERLINK("https://www.philgeps.gov.ph/GEPSNONPILOT/Tender/SplashBidNoticeAbstractUI.aspx?menuIndex=3&amp;refID=7077341&amp;Result=3","7077341")</f>
        <v>0</v>
      </c>
      <c r="B1121" t="s">
        <v>463</v>
      </c>
      <c r="C1121" t="s">
        <v>4451</v>
      </c>
      <c r="D1121" t="s">
        <v>16621</v>
      </c>
      <c r="E1121" t="s">
        <v>17770</v>
      </c>
      <c r="F1121" t="s">
        <v>28672</v>
      </c>
      <c r="G1121" t="s">
        <v>28676</v>
      </c>
      <c r="H1121" t="s">
        <v>9998</v>
      </c>
      <c r="I1121" t="s">
        <v>28716</v>
      </c>
      <c r="J1121" t="s">
        <v>29647</v>
      </c>
      <c r="K1121" t="s">
        <v>37204</v>
      </c>
      <c r="M1121" t="s">
        <v>37951</v>
      </c>
      <c r="N1121" t="s">
        <v>41249</v>
      </c>
      <c r="O1121" t="s">
        <v>41250</v>
      </c>
      <c r="P1121">
        <v>0</v>
      </c>
      <c r="Q1121">
        <v>0</v>
      </c>
      <c r="R1121" t="s">
        <v>41251</v>
      </c>
      <c r="S1121" t="s">
        <v>41369</v>
      </c>
      <c r="T1121" t="s">
        <v>42696</v>
      </c>
      <c r="U1121" t="s">
        <v>44178</v>
      </c>
      <c r="W1121" t="s">
        <v>37951</v>
      </c>
      <c r="X1121" t="s">
        <v>41252</v>
      </c>
    </row>
    <row r="1122" spans="1:24">
      <c r="A1122">
        <f>HYPERLINK("https://www.philgeps.gov.ph/GEPSNONPILOT/Tender/SplashBidNoticeAbstractUI.aspx?menuIndex=3&amp;refID=7077311&amp;Result=3","7077311")</f>
        <v>0</v>
      </c>
      <c r="B1122" t="s">
        <v>554</v>
      </c>
      <c r="C1122" t="s">
        <v>4452</v>
      </c>
      <c r="D1122" t="s">
        <v>16639</v>
      </c>
      <c r="E1122" t="s">
        <v>17771</v>
      </c>
      <c r="F1122" t="s">
        <v>28669</v>
      </c>
      <c r="G1122" t="s">
        <v>28676</v>
      </c>
      <c r="H1122" t="s">
        <v>9998</v>
      </c>
      <c r="I1122" t="s">
        <v>28697</v>
      </c>
      <c r="J1122" t="s">
        <v>29648</v>
      </c>
      <c r="K1122" t="s">
        <v>37205</v>
      </c>
      <c r="M1122" t="s">
        <v>38047</v>
      </c>
      <c r="N1122" t="s">
        <v>41249</v>
      </c>
      <c r="O1122" t="s">
        <v>41250</v>
      </c>
      <c r="P1122">
        <v>0</v>
      </c>
      <c r="Q1122">
        <v>4</v>
      </c>
      <c r="R1122" t="s">
        <v>41251</v>
      </c>
      <c r="S1122" t="s">
        <v>41369</v>
      </c>
      <c r="T1122" t="s">
        <v>42757</v>
      </c>
      <c r="U1122" t="s">
        <v>44179</v>
      </c>
      <c r="V1122" t="s">
        <v>54378</v>
      </c>
      <c r="W1122" t="s">
        <v>38047</v>
      </c>
      <c r="X1122" t="s">
        <v>41252</v>
      </c>
    </row>
    <row r="1123" spans="1:24">
      <c r="A1123">
        <f>HYPERLINK("https://www.philgeps.gov.ph/GEPSNONPILOT/Tender/SplashBidNoticeAbstractUI.aspx?menuIndex=3&amp;refID=7077339&amp;Result=3","7077339")</f>
        <v>0</v>
      </c>
      <c r="B1123" t="s">
        <v>470</v>
      </c>
      <c r="C1123" t="s">
        <v>4453</v>
      </c>
      <c r="D1123" t="s">
        <v>16639</v>
      </c>
      <c r="E1123" t="s">
        <v>17772</v>
      </c>
      <c r="F1123" t="s">
        <v>28669</v>
      </c>
      <c r="G1123" t="s">
        <v>28676</v>
      </c>
      <c r="H1123" t="s">
        <v>9998</v>
      </c>
      <c r="I1123" t="s">
        <v>28696</v>
      </c>
      <c r="J1123" t="s">
        <v>28905</v>
      </c>
      <c r="K1123" t="s">
        <v>37205</v>
      </c>
      <c r="M1123" t="s">
        <v>37958</v>
      </c>
      <c r="N1123" t="s">
        <v>41249</v>
      </c>
      <c r="O1123" t="s">
        <v>41250</v>
      </c>
      <c r="P1123">
        <v>0</v>
      </c>
      <c r="Q1123">
        <v>1</v>
      </c>
      <c r="R1123" t="s">
        <v>41251</v>
      </c>
      <c r="S1123" t="s">
        <v>41369</v>
      </c>
      <c r="T1123" t="s">
        <v>42673</v>
      </c>
      <c r="U1123" t="s">
        <v>44104</v>
      </c>
      <c r="W1123" t="s">
        <v>37958</v>
      </c>
      <c r="X1123" t="s">
        <v>41252</v>
      </c>
    </row>
    <row r="1124" spans="1:24">
      <c r="A1124">
        <f>HYPERLINK("https://www.philgeps.gov.ph/GEPSNONPILOT/Tender/SplashBidNoticeAbstractUI.aspx?menuIndex=3&amp;refID=7077338&amp;Result=3","7077338")</f>
        <v>0</v>
      </c>
      <c r="B1124" t="s">
        <v>555</v>
      </c>
      <c r="C1124" t="s">
        <v>4454</v>
      </c>
      <c r="D1124" t="s">
        <v>16666</v>
      </c>
      <c r="E1124" t="s">
        <v>17768</v>
      </c>
      <c r="F1124" t="s">
        <v>28669</v>
      </c>
      <c r="G1124" t="s">
        <v>28676</v>
      </c>
      <c r="H1124" t="s">
        <v>9998</v>
      </c>
      <c r="I1124" t="s">
        <v>28699</v>
      </c>
      <c r="J1124" t="s">
        <v>29225</v>
      </c>
      <c r="K1124" t="s">
        <v>37240</v>
      </c>
      <c r="M1124" t="s">
        <v>38048</v>
      </c>
      <c r="N1124" t="s">
        <v>41249</v>
      </c>
      <c r="O1124" t="s">
        <v>41250</v>
      </c>
      <c r="P1124">
        <v>0</v>
      </c>
      <c r="Q1124">
        <v>0</v>
      </c>
      <c r="R1124" t="s">
        <v>41251</v>
      </c>
      <c r="S1124" t="s">
        <v>41369</v>
      </c>
      <c r="T1124" t="s">
        <v>42742</v>
      </c>
      <c r="U1124" t="s">
        <v>44180</v>
      </c>
      <c r="W1124" t="s">
        <v>38048</v>
      </c>
      <c r="X1124" t="s">
        <v>41252</v>
      </c>
    </row>
    <row r="1125" spans="1:24">
      <c r="A1125">
        <f>HYPERLINK("https://www.philgeps.gov.ph/GEPSNONPILOT/Tender/SplashBidNoticeAbstractUI.aspx?menuIndex=3&amp;refID=7077337&amp;Result=3","7077337")</f>
        <v>0</v>
      </c>
      <c r="B1125" t="s">
        <v>169</v>
      </c>
      <c r="C1125" t="s">
        <v>4455</v>
      </c>
      <c r="D1125" t="s">
        <v>16611</v>
      </c>
      <c r="E1125" t="s">
        <v>17773</v>
      </c>
      <c r="F1125" t="s">
        <v>28669</v>
      </c>
      <c r="G1125" t="s">
        <v>28676</v>
      </c>
      <c r="H1125" t="s">
        <v>28686</v>
      </c>
      <c r="I1125" t="s">
        <v>28689</v>
      </c>
      <c r="J1125" t="s">
        <v>28836</v>
      </c>
      <c r="K1125" t="s">
        <v>37280</v>
      </c>
      <c r="M1125" t="s">
        <v>37936</v>
      </c>
      <c r="N1125" t="s">
        <v>41249</v>
      </c>
      <c r="O1125" t="s">
        <v>41250</v>
      </c>
      <c r="P1125">
        <v>0</v>
      </c>
      <c r="Q1125">
        <v>1</v>
      </c>
      <c r="R1125" t="s">
        <v>41251</v>
      </c>
      <c r="S1125" t="s">
        <v>41369</v>
      </c>
      <c r="T1125" t="s">
        <v>42764</v>
      </c>
      <c r="U1125" t="s">
        <v>44181</v>
      </c>
      <c r="W1125" t="s">
        <v>37936</v>
      </c>
      <c r="X1125" t="s">
        <v>41252</v>
      </c>
    </row>
    <row r="1126" spans="1:24">
      <c r="A1126">
        <f>HYPERLINK("https://www.philgeps.gov.ph/GEPSNONPILOT/Tender/SplashBidNoticeAbstractUI.aspx?menuIndex=3&amp;refID=7077335&amp;Result=3","7077335")</f>
        <v>0</v>
      </c>
      <c r="B1126" t="s">
        <v>556</v>
      </c>
      <c r="C1126" t="s">
        <v>4456</v>
      </c>
      <c r="D1126" t="s">
        <v>16626</v>
      </c>
      <c r="E1126" t="s">
        <v>17774</v>
      </c>
      <c r="F1126" t="s">
        <v>28669</v>
      </c>
      <c r="G1126" t="s">
        <v>28676</v>
      </c>
      <c r="H1126" t="s">
        <v>9998</v>
      </c>
      <c r="I1126" t="s">
        <v>7352</v>
      </c>
      <c r="J1126" t="s">
        <v>29649</v>
      </c>
      <c r="K1126" t="s">
        <v>37204</v>
      </c>
      <c r="M1126" t="s">
        <v>38049</v>
      </c>
      <c r="N1126" t="s">
        <v>41249</v>
      </c>
      <c r="O1126" t="s">
        <v>41250</v>
      </c>
      <c r="P1126">
        <v>0</v>
      </c>
      <c r="Q1126">
        <v>0</v>
      </c>
      <c r="R1126" t="s">
        <v>41251</v>
      </c>
      <c r="S1126" t="s">
        <v>41369</v>
      </c>
      <c r="T1126" t="s">
        <v>42686</v>
      </c>
      <c r="U1126" t="s">
        <v>44182</v>
      </c>
      <c r="W1126" t="s">
        <v>38049</v>
      </c>
      <c r="X1126" t="s">
        <v>41252</v>
      </c>
    </row>
    <row r="1127" spans="1:24">
      <c r="A1127">
        <f>HYPERLINK("https://www.philgeps.gov.ph/GEPSNONPILOT/Tender/SplashBidNoticeAbstractUI.aspx?menuIndex=3&amp;refID=7077334&amp;Result=3","7077334")</f>
        <v>0</v>
      </c>
      <c r="B1127" t="s">
        <v>533</v>
      </c>
      <c r="C1127" t="s">
        <v>4457</v>
      </c>
      <c r="D1127" t="s">
        <v>16641</v>
      </c>
      <c r="E1127" t="s">
        <v>17775</v>
      </c>
      <c r="F1127" t="s">
        <v>28669</v>
      </c>
      <c r="G1127" t="s">
        <v>28676</v>
      </c>
      <c r="H1127" t="s">
        <v>9998</v>
      </c>
      <c r="I1127" t="s">
        <v>5213</v>
      </c>
      <c r="J1127" t="s">
        <v>29650</v>
      </c>
      <c r="K1127" t="s">
        <v>37210</v>
      </c>
      <c r="M1127" t="s">
        <v>38024</v>
      </c>
      <c r="N1127" t="s">
        <v>41249</v>
      </c>
      <c r="O1127" t="s">
        <v>41250</v>
      </c>
      <c r="P1127">
        <v>0</v>
      </c>
      <c r="Q1127">
        <v>0</v>
      </c>
      <c r="R1127" t="s">
        <v>41251</v>
      </c>
      <c r="S1127" t="s">
        <v>41369</v>
      </c>
      <c r="T1127" t="s">
        <v>42673</v>
      </c>
      <c r="U1127" t="s">
        <v>44183</v>
      </c>
      <c r="W1127" t="s">
        <v>38024</v>
      </c>
      <c r="X1127" t="s">
        <v>41252</v>
      </c>
    </row>
    <row r="1128" spans="1:24">
      <c r="A1128">
        <f>HYPERLINK("https://www.philgeps.gov.ph/GEPSNONPILOT/Tender/SplashBidNoticeAbstractUI.aspx?menuIndex=3&amp;refID=7077333&amp;Result=3","7077333")</f>
        <v>0</v>
      </c>
      <c r="B1128" t="s">
        <v>557</v>
      </c>
      <c r="C1128" t="s">
        <v>4458</v>
      </c>
      <c r="D1128" t="s">
        <v>16608</v>
      </c>
      <c r="E1128" t="s">
        <v>17776</v>
      </c>
      <c r="F1128" t="s">
        <v>28669</v>
      </c>
      <c r="G1128" t="s">
        <v>28676</v>
      </c>
      <c r="H1128" t="s">
        <v>9998</v>
      </c>
      <c r="I1128" t="s">
        <v>28690</v>
      </c>
      <c r="J1128" t="s">
        <v>29651</v>
      </c>
      <c r="K1128" t="s">
        <v>37204</v>
      </c>
      <c r="M1128" t="s">
        <v>38050</v>
      </c>
      <c r="N1128" t="s">
        <v>41249</v>
      </c>
      <c r="O1128" t="s">
        <v>41250</v>
      </c>
      <c r="P1128">
        <v>0</v>
      </c>
      <c r="Q1128">
        <v>1</v>
      </c>
      <c r="R1128" t="s">
        <v>41251</v>
      </c>
      <c r="S1128" t="s">
        <v>41369</v>
      </c>
      <c r="T1128" t="s">
        <v>42742</v>
      </c>
      <c r="U1128" t="s">
        <v>44184</v>
      </c>
      <c r="V1128" t="s">
        <v>54379</v>
      </c>
      <c r="W1128" t="s">
        <v>38050</v>
      </c>
      <c r="X1128" t="s">
        <v>41252</v>
      </c>
    </row>
    <row r="1129" spans="1:24">
      <c r="A1129">
        <f>HYPERLINK("https://www.philgeps.gov.ph/GEPSNONPILOT/Tender/SplashBidNoticeAbstractUI.aspx?menuIndex=3&amp;refID=7077331&amp;Result=3","7077331")</f>
        <v>0</v>
      </c>
      <c r="B1129" t="s">
        <v>543</v>
      </c>
      <c r="C1129" t="s">
        <v>4459</v>
      </c>
      <c r="D1129" t="s">
        <v>16654</v>
      </c>
      <c r="E1129" t="s">
        <v>17777</v>
      </c>
      <c r="F1129" t="s">
        <v>28669</v>
      </c>
      <c r="G1129" t="s">
        <v>28676</v>
      </c>
      <c r="H1129" t="s">
        <v>9998</v>
      </c>
      <c r="I1129" t="s">
        <v>28706</v>
      </c>
      <c r="J1129" t="s">
        <v>29600</v>
      </c>
      <c r="K1129" t="s">
        <v>37209</v>
      </c>
      <c r="M1129" t="s">
        <v>38036</v>
      </c>
      <c r="N1129" t="s">
        <v>41249</v>
      </c>
      <c r="O1129" t="s">
        <v>41250</v>
      </c>
      <c r="P1129">
        <v>0</v>
      </c>
      <c r="Q1129">
        <v>1</v>
      </c>
      <c r="R1129" t="s">
        <v>41251</v>
      </c>
      <c r="S1129" t="s">
        <v>41369</v>
      </c>
      <c r="T1129" t="s">
        <v>42690</v>
      </c>
      <c r="U1129" t="s">
        <v>44185</v>
      </c>
      <c r="W1129" t="s">
        <v>38036</v>
      </c>
      <c r="X1129" t="s">
        <v>41252</v>
      </c>
    </row>
    <row r="1130" spans="1:24">
      <c r="A1130">
        <f>HYPERLINK("https://www.philgeps.gov.ph/GEPSNONPILOT/Tender/SplashBidNoticeAbstractUI.aspx?menuIndex=3&amp;refID=7077321&amp;Result=3","7077321")</f>
        <v>0</v>
      </c>
      <c r="B1130" t="s">
        <v>391</v>
      </c>
      <c r="C1130" t="s">
        <v>4460</v>
      </c>
      <c r="D1130" t="s">
        <v>16673</v>
      </c>
      <c r="E1130" t="s">
        <v>17778</v>
      </c>
      <c r="F1130" t="s">
        <v>28669</v>
      </c>
      <c r="G1130" t="s">
        <v>28675</v>
      </c>
      <c r="H1130" t="s">
        <v>9998</v>
      </c>
      <c r="I1130" t="s">
        <v>5286</v>
      </c>
      <c r="J1130" t="s">
        <v>29652</v>
      </c>
      <c r="K1130" t="s">
        <v>37206</v>
      </c>
      <c r="M1130" t="s">
        <v>37875</v>
      </c>
      <c r="N1130" t="s">
        <v>41249</v>
      </c>
      <c r="O1130" t="s">
        <v>41250</v>
      </c>
      <c r="P1130">
        <v>0</v>
      </c>
      <c r="Q1130">
        <v>7</v>
      </c>
      <c r="R1130" t="s">
        <v>41251</v>
      </c>
      <c r="S1130" t="s">
        <v>41369</v>
      </c>
      <c r="T1130" t="s">
        <v>42709</v>
      </c>
      <c r="U1130" t="s">
        <v>44186</v>
      </c>
      <c r="W1130" t="s">
        <v>37875</v>
      </c>
      <c r="X1130" t="s">
        <v>41252</v>
      </c>
    </row>
    <row r="1131" spans="1:24">
      <c r="A1131">
        <f>HYPERLINK("https://www.philgeps.gov.ph/GEPSNONPILOT/Tender/SplashBidNoticeAbstractUI.aspx?menuIndex=3&amp;refID=7077345&amp;Result=3","7077345")</f>
        <v>0</v>
      </c>
      <c r="B1131" t="s">
        <v>532</v>
      </c>
      <c r="C1131" t="s">
        <v>4461</v>
      </c>
      <c r="D1131" t="s">
        <v>16675</v>
      </c>
      <c r="E1131" t="s">
        <v>17779</v>
      </c>
      <c r="F1131" t="s">
        <v>28669</v>
      </c>
      <c r="G1131" t="s">
        <v>28675</v>
      </c>
      <c r="H1131" t="s">
        <v>9998</v>
      </c>
      <c r="I1131" t="s">
        <v>28704</v>
      </c>
      <c r="J1131" t="s">
        <v>28923</v>
      </c>
      <c r="K1131" t="s">
        <v>37205</v>
      </c>
      <c r="M1131" t="s">
        <v>38023</v>
      </c>
      <c r="N1131" t="s">
        <v>41249</v>
      </c>
      <c r="O1131" t="s">
        <v>41250</v>
      </c>
      <c r="P1131">
        <v>0</v>
      </c>
      <c r="Q1131">
        <v>0</v>
      </c>
      <c r="R1131" t="s">
        <v>41251</v>
      </c>
      <c r="S1131" t="s">
        <v>41369</v>
      </c>
      <c r="T1131" t="s">
        <v>42809</v>
      </c>
      <c r="U1131" t="s">
        <v>44187</v>
      </c>
      <c r="W1131" t="s">
        <v>38023</v>
      </c>
      <c r="X1131" t="s">
        <v>41252</v>
      </c>
    </row>
    <row r="1132" spans="1:24">
      <c r="A1132">
        <f>HYPERLINK("https://www.philgeps.gov.ph/GEPSNONPILOT/Tender/SplashBidNoticeAbstractUI.aspx?menuIndex=3&amp;refID=7077330&amp;Result=3","7077330")</f>
        <v>0</v>
      </c>
      <c r="B1132" t="s">
        <v>250</v>
      </c>
      <c r="C1132" t="s">
        <v>4462</v>
      </c>
      <c r="D1132" t="s">
        <v>16621</v>
      </c>
      <c r="E1132" t="s">
        <v>17780</v>
      </c>
      <c r="F1132" t="s">
        <v>28669</v>
      </c>
      <c r="G1132" t="s">
        <v>28676</v>
      </c>
      <c r="H1132" t="s">
        <v>9998</v>
      </c>
      <c r="I1132" t="s">
        <v>28695</v>
      </c>
      <c r="J1132" t="s">
        <v>29653</v>
      </c>
      <c r="K1132" t="s">
        <v>37227</v>
      </c>
      <c r="M1132" t="s">
        <v>37728</v>
      </c>
      <c r="N1132" t="s">
        <v>41249</v>
      </c>
      <c r="O1132" t="s">
        <v>41250</v>
      </c>
      <c r="P1132">
        <v>0</v>
      </c>
      <c r="Q1132">
        <v>0</v>
      </c>
      <c r="R1132" t="s">
        <v>41251</v>
      </c>
      <c r="S1132" t="s">
        <v>41369</v>
      </c>
      <c r="T1132" t="s">
        <v>42675</v>
      </c>
      <c r="U1132" t="s">
        <v>44188</v>
      </c>
      <c r="W1132" t="s">
        <v>37728</v>
      </c>
      <c r="X1132" t="s">
        <v>41252</v>
      </c>
    </row>
    <row r="1133" spans="1:24">
      <c r="A1133">
        <f>HYPERLINK("https://www.philgeps.gov.ph/GEPSNONPILOT/Tender/SplashBidNoticeAbstractUI.aspx?menuIndex=3&amp;refID=7077322&amp;Result=3","7077322")</f>
        <v>0</v>
      </c>
      <c r="B1133" t="s">
        <v>376</v>
      </c>
      <c r="C1133" t="s">
        <v>4463</v>
      </c>
      <c r="D1133" t="s">
        <v>16608</v>
      </c>
      <c r="E1133" t="s">
        <v>17781</v>
      </c>
      <c r="F1133" t="s">
        <v>28669</v>
      </c>
      <c r="G1133" t="s">
        <v>28676</v>
      </c>
      <c r="H1133" t="s">
        <v>9998</v>
      </c>
      <c r="I1133" t="s">
        <v>28754</v>
      </c>
      <c r="J1133" t="s">
        <v>29654</v>
      </c>
      <c r="K1133" t="s">
        <v>37204</v>
      </c>
      <c r="M1133" t="s">
        <v>38030</v>
      </c>
      <c r="N1133" t="s">
        <v>41249</v>
      </c>
      <c r="O1133" t="s">
        <v>41250</v>
      </c>
      <c r="P1133">
        <v>0</v>
      </c>
      <c r="Q1133">
        <v>3</v>
      </c>
      <c r="R1133" t="s">
        <v>41251</v>
      </c>
      <c r="S1133" t="s">
        <v>41369</v>
      </c>
      <c r="T1133" t="s">
        <v>42754</v>
      </c>
      <c r="U1133" t="s">
        <v>44189</v>
      </c>
      <c r="W1133" t="s">
        <v>38030</v>
      </c>
      <c r="X1133" t="s">
        <v>41252</v>
      </c>
    </row>
    <row r="1134" spans="1:24">
      <c r="A1134">
        <f>HYPERLINK("https://www.philgeps.gov.ph/GEPSNONPILOT/Tender/SplashBidNoticeAbstractUI.aspx?menuIndex=3&amp;refID=7077328&amp;Result=3","7077328")</f>
        <v>0</v>
      </c>
      <c r="B1134" t="s">
        <v>558</v>
      </c>
      <c r="C1134" t="s">
        <v>4464</v>
      </c>
      <c r="E1134" t="s">
        <v>17782</v>
      </c>
      <c r="F1134" t="s">
        <v>28669</v>
      </c>
      <c r="G1134" t="s">
        <v>28677</v>
      </c>
      <c r="H1134" t="s">
        <v>9998</v>
      </c>
      <c r="I1134" t="s">
        <v>28690</v>
      </c>
      <c r="J1134" t="s">
        <v>29600</v>
      </c>
      <c r="K1134" t="s">
        <v>37209</v>
      </c>
      <c r="M1134" t="s">
        <v>38051</v>
      </c>
      <c r="N1134" t="s">
        <v>41249</v>
      </c>
      <c r="O1134" t="s">
        <v>41250</v>
      </c>
      <c r="P1134">
        <v>0</v>
      </c>
      <c r="Q1134">
        <v>2</v>
      </c>
      <c r="R1134" t="s">
        <v>41251</v>
      </c>
      <c r="S1134" t="s">
        <v>41369</v>
      </c>
      <c r="T1134" t="s">
        <v>42770</v>
      </c>
      <c r="U1134" t="s">
        <v>44190</v>
      </c>
      <c r="W1134" t="s">
        <v>38051</v>
      </c>
      <c r="X1134" t="s">
        <v>41252</v>
      </c>
    </row>
    <row r="1135" spans="1:24">
      <c r="A1135">
        <f>HYPERLINK("https://www.philgeps.gov.ph/GEPSNONPILOT/Tender/SplashBidNoticeAbstractUI.aspx?menuIndex=3&amp;refID=7077327&amp;Result=3","7077327")</f>
        <v>0</v>
      </c>
      <c r="B1135" t="s">
        <v>472</v>
      </c>
      <c r="C1135" t="s">
        <v>4465</v>
      </c>
      <c r="D1135" t="s">
        <v>16639</v>
      </c>
      <c r="E1135" t="s">
        <v>17783</v>
      </c>
      <c r="F1135" t="s">
        <v>28669</v>
      </c>
      <c r="G1135" t="s">
        <v>28676</v>
      </c>
      <c r="H1135" t="s">
        <v>9998</v>
      </c>
      <c r="I1135" t="s">
        <v>28690</v>
      </c>
      <c r="J1135" t="s">
        <v>28974</v>
      </c>
      <c r="K1135" t="s">
        <v>37209</v>
      </c>
      <c r="M1135" t="s">
        <v>37960</v>
      </c>
      <c r="N1135" t="s">
        <v>41249</v>
      </c>
      <c r="O1135" t="s">
        <v>41250</v>
      </c>
      <c r="P1135">
        <v>0</v>
      </c>
      <c r="Q1135">
        <v>3</v>
      </c>
      <c r="R1135" t="s">
        <v>41251</v>
      </c>
      <c r="S1135" t="s">
        <v>41369</v>
      </c>
      <c r="T1135" t="s">
        <v>42673</v>
      </c>
      <c r="U1135" t="s">
        <v>44191</v>
      </c>
      <c r="W1135" t="s">
        <v>37960</v>
      </c>
      <c r="X1135" t="s">
        <v>41252</v>
      </c>
    </row>
    <row r="1136" spans="1:24">
      <c r="A1136">
        <f>HYPERLINK("https://www.philgeps.gov.ph/GEPSNONPILOT/Tender/SplashBidNoticeAbstractUI.aspx?menuIndex=3&amp;refID=7077347&amp;Result=3","7077347")</f>
        <v>0</v>
      </c>
      <c r="B1136" t="s">
        <v>559</v>
      </c>
      <c r="C1136" t="s">
        <v>4466</v>
      </c>
      <c r="D1136" t="s">
        <v>16644</v>
      </c>
      <c r="E1136" t="s">
        <v>17784</v>
      </c>
      <c r="F1136" t="s">
        <v>28669</v>
      </c>
      <c r="G1136" t="s">
        <v>28676</v>
      </c>
      <c r="H1136" t="s">
        <v>9998</v>
      </c>
      <c r="I1136" t="s">
        <v>11593</v>
      </c>
      <c r="J1136" t="s">
        <v>29297</v>
      </c>
      <c r="K1136" t="s">
        <v>37206</v>
      </c>
      <c r="M1136" t="s">
        <v>38052</v>
      </c>
      <c r="N1136" t="s">
        <v>41249</v>
      </c>
      <c r="O1136" t="s">
        <v>41250</v>
      </c>
      <c r="P1136">
        <v>0</v>
      </c>
      <c r="Q1136">
        <v>2</v>
      </c>
      <c r="R1136" t="s">
        <v>41251</v>
      </c>
      <c r="S1136" t="s">
        <v>41369</v>
      </c>
      <c r="T1136" t="s">
        <v>42738</v>
      </c>
      <c r="U1136" t="s">
        <v>44192</v>
      </c>
      <c r="W1136" t="s">
        <v>38052</v>
      </c>
      <c r="X1136" t="s">
        <v>41252</v>
      </c>
    </row>
    <row r="1137" spans="1:24">
      <c r="A1137">
        <f>HYPERLINK("https://www.philgeps.gov.ph/GEPSNONPILOT/Tender/SplashBidNoticeAbstractUI.aspx?menuIndex=3&amp;refID=7077343&amp;Result=3","7077343")</f>
        <v>0</v>
      </c>
      <c r="B1137" t="s">
        <v>560</v>
      </c>
      <c r="C1137" t="s">
        <v>4467</v>
      </c>
      <c r="E1137" t="s">
        <v>17785</v>
      </c>
      <c r="F1137" t="s">
        <v>28669</v>
      </c>
      <c r="G1137" t="s">
        <v>28675</v>
      </c>
      <c r="H1137" t="s">
        <v>9998</v>
      </c>
      <c r="I1137" t="s">
        <v>28717</v>
      </c>
      <c r="J1137" t="s">
        <v>29655</v>
      </c>
      <c r="K1137" t="s">
        <v>37209</v>
      </c>
      <c r="M1137" t="s">
        <v>38053</v>
      </c>
      <c r="N1137" t="s">
        <v>41249</v>
      </c>
      <c r="O1137" t="s">
        <v>41250</v>
      </c>
      <c r="P1137">
        <v>0</v>
      </c>
      <c r="Q1137">
        <v>16</v>
      </c>
      <c r="R1137" t="s">
        <v>41251</v>
      </c>
      <c r="S1137" t="s">
        <v>41369</v>
      </c>
      <c r="T1137" t="s">
        <v>42690</v>
      </c>
      <c r="U1137" t="s">
        <v>44193</v>
      </c>
      <c r="V1137" t="s">
        <v>54380</v>
      </c>
      <c r="W1137" t="s">
        <v>38053</v>
      </c>
      <c r="X1137" t="s">
        <v>41252</v>
      </c>
    </row>
    <row r="1138" spans="1:24">
      <c r="A1138">
        <f>HYPERLINK("https://www.philgeps.gov.ph/GEPSNONPILOT/Tender/SplashBidNoticeAbstractUI.aspx?menuIndex=3&amp;refID=7077360&amp;Result=3","7077360")</f>
        <v>0</v>
      </c>
      <c r="B1138" t="s">
        <v>79</v>
      </c>
      <c r="C1138" t="s">
        <v>4468</v>
      </c>
      <c r="D1138" t="s">
        <v>16649</v>
      </c>
      <c r="E1138" t="s">
        <v>16815</v>
      </c>
      <c r="F1138" t="s">
        <v>28669</v>
      </c>
      <c r="G1138" t="s">
        <v>28677</v>
      </c>
      <c r="H1138" t="s">
        <v>9998</v>
      </c>
      <c r="I1138" t="s">
        <v>3718</v>
      </c>
      <c r="J1138" t="s">
        <v>29656</v>
      </c>
      <c r="K1138" t="s">
        <v>37209</v>
      </c>
      <c r="M1138" t="s">
        <v>37554</v>
      </c>
      <c r="N1138" t="s">
        <v>41249</v>
      </c>
      <c r="O1138" t="s">
        <v>41250</v>
      </c>
      <c r="P1138">
        <v>0</v>
      </c>
      <c r="Q1138">
        <v>0</v>
      </c>
      <c r="R1138" t="s">
        <v>41251</v>
      </c>
      <c r="S1138" t="s">
        <v>41369</v>
      </c>
      <c r="T1138" t="s">
        <v>42705</v>
      </c>
      <c r="U1138" t="s">
        <v>44194</v>
      </c>
      <c r="V1138" t="s">
        <v>54381</v>
      </c>
      <c r="W1138" t="s">
        <v>37554</v>
      </c>
      <c r="X1138" t="s">
        <v>41252</v>
      </c>
    </row>
    <row r="1139" spans="1:24">
      <c r="A1139">
        <f>HYPERLINK("https://www.philgeps.gov.ph/GEPSNONPILOT/Tender/SplashBidNoticeAbstractUI.aspx?menuIndex=3&amp;refID=7077358&amp;Result=3","7077358")</f>
        <v>0</v>
      </c>
      <c r="B1139" t="s">
        <v>250</v>
      </c>
      <c r="C1139" t="s">
        <v>4469</v>
      </c>
      <c r="D1139" t="s">
        <v>16621</v>
      </c>
      <c r="E1139" t="s">
        <v>17786</v>
      </c>
      <c r="F1139" t="s">
        <v>28669</v>
      </c>
      <c r="G1139" t="s">
        <v>28676</v>
      </c>
      <c r="H1139" t="s">
        <v>9998</v>
      </c>
      <c r="I1139" t="s">
        <v>28706</v>
      </c>
      <c r="J1139" t="s">
        <v>29657</v>
      </c>
      <c r="K1139" t="s">
        <v>37223</v>
      </c>
      <c r="M1139" t="s">
        <v>37728</v>
      </c>
      <c r="N1139" t="s">
        <v>41249</v>
      </c>
      <c r="O1139" t="s">
        <v>41250</v>
      </c>
      <c r="P1139">
        <v>0</v>
      </c>
      <c r="Q1139">
        <v>4</v>
      </c>
      <c r="R1139" t="s">
        <v>41251</v>
      </c>
      <c r="S1139" t="s">
        <v>41369</v>
      </c>
      <c r="T1139" t="s">
        <v>42675</v>
      </c>
      <c r="U1139" t="s">
        <v>44195</v>
      </c>
      <c r="W1139" t="s">
        <v>37728</v>
      </c>
      <c r="X1139" t="s">
        <v>41252</v>
      </c>
    </row>
    <row r="1140" spans="1:24">
      <c r="A1140">
        <f>HYPERLINK("https://www.philgeps.gov.ph/GEPSNONPILOT/Tender/SplashBidNoticeAbstractUI.aspx?menuIndex=3&amp;refID=7077332&amp;Result=3","7077332")</f>
        <v>0</v>
      </c>
      <c r="B1140" t="s">
        <v>334</v>
      </c>
      <c r="C1140" t="s">
        <v>4470</v>
      </c>
      <c r="D1140" t="s">
        <v>16637</v>
      </c>
      <c r="E1140" t="s">
        <v>17787</v>
      </c>
      <c r="F1140" t="s">
        <v>28669</v>
      </c>
      <c r="G1140" t="s">
        <v>28676</v>
      </c>
      <c r="H1140" t="s">
        <v>9998</v>
      </c>
      <c r="I1140" t="s">
        <v>28692</v>
      </c>
      <c r="J1140" t="s">
        <v>28854</v>
      </c>
      <c r="K1140" t="s">
        <v>37206</v>
      </c>
      <c r="M1140" t="s">
        <v>37814</v>
      </c>
      <c r="N1140" t="s">
        <v>41249</v>
      </c>
      <c r="O1140" t="s">
        <v>41250</v>
      </c>
      <c r="P1140">
        <v>0</v>
      </c>
      <c r="Q1140">
        <v>1</v>
      </c>
      <c r="R1140" t="s">
        <v>41251</v>
      </c>
      <c r="S1140" t="s">
        <v>41369</v>
      </c>
      <c r="T1140" t="s">
        <v>42673</v>
      </c>
      <c r="U1140" t="s">
        <v>44196</v>
      </c>
      <c r="W1140" t="s">
        <v>37814</v>
      </c>
      <c r="X1140" t="s">
        <v>41252</v>
      </c>
    </row>
    <row r="1141" spans="1:24">
      <c r="A1141">
        <f>HYPERLINK("https://www.philgeps.gov.ph/GEPSNONPILOT/Tender/SplashBidNoticeAbstractUI.aspx?menuIndex=3&amp;refID=7077356&amp;Result=3","7077356")</f>
        <v>0</v>
      </c>
      <c r="B1141" t="s">
        <v>451</v>
      </c>
      <c r="C1141" t="s">
        <v>4471</v>
      </c>
      <c r="D1141" t="s">
        <v>16647</v>
      </c>
      <c r="E1141" t="s">
        <v>17788</v>
      </c>
      <c r="F1141" t="s">
        <v>28669</v>
      </c>
      <c r="G1141" t="s">
        <v>28678</v>
      </c>
      <c r="H1141" t="s">
        <v>9998</v>
      </c>
      <c r="I1141" t="s">
        <v>28688</v>
      </c>
      <c r="J1141" t="s">
        <v>29658</v>
      </c>
      <c r="K1141" t="s">
        <v>37206</v>
      </c>
      <c r="M1141" t="s">
        <v>37939</v>
      </c>
      <c r="N1141" t="s">
        <v>41249</v>
      </c>
      <c r="O1141" t="s">
        <v>41250</v>
      </c>
      <c r="P1141">
        <v>0</v>
      </c>
      <c r="Q1141">
        <v>2</v>
      </c>
      <c r="R1141" t="s">
        <v>41251</v>
      </c>
      <c r="S1141" t="s">
        <v>41369</v>
      </c>
      <c r="T1141" t="s">
        <v>42717</v>
      </c>
      <c r="U1141" t="s">
        <v>44197</v>
      </c>
      <c r="W1141" t="s">
        <v>37939</v>
      </c>
      <c r="X1141" t="s">
        <v>41252</v>
      </c>
    </row>
    <row r="1142" spans="1:24">
      <c r="A1142">
        <f>HYPERLINK("https://www.philgeps.gov.ph/GEPSNONPILOT/Tender/SplashBidNoticeAbstractUI.aspx?menuIndex=3&amp;refID=7077355&amp;Result=3","7077355")</f>
        <v>0</v>
      </c>
      <c r="B1142" t="s">
        <v>561</v>
      </c>
      <c r="C1142" t="s">
        <v>4472</v>
      </c>
      <c r="E1142" t="s">
        <v>17789</v>
      </c>
      <c r="F1142" t="s">
        <v>28669</v>
      </c>
      <c r="G1142" t="s">
        <v>28675</v>
      </c>
      <c r="H1142" t="s">
        <v>9998</v>
      </c>
      <c r="I1142" t="s">
        <v>28690</v>
      </c>
      <c r="J1142" t="s">
        <v>29101</v>
      </c>
      <c r="K1142" t="s">
        <v>37209</v>
      </c>
      <c r="M1142" t="s">
        <v>38054</v>
      </c>
      <c r="N1142" t="s">
        <v>41249</v>
      </c>
      <c r="O1142" t="s">
        <v>41250</v>
      </c>
      <c r="P1142">
        <v>0</v>
      </c>
      <c r="Q1142">
        <v>1</v>
      </c>
      <c r="R1142" t="s">
        <v>41251</v>
      </c>
      <c r="S1142" t="s">
        <v>41369</v>
      </c>
      <c r="T1142" t="s">
        <v>42810</v>
      </c>
      <c r="U1142" t="s">
        <v>44198</v>
      </c>
      <c r="W1142" t="s">
        <v>38054</v>
      </c>
      <c r="X1142" t="s">
        <v>41252</v>
      </c>
    </row>
    <row r="1143" spans="1:24">
      <c r="A1143">
        <f>HYPERLINK("https://www.philgeps.gov.ph/GEPSNONPILOT/Tender/SplashBidNoticeAbstractUI.aspx?menuIndex=3&amp;refID=7077354&amp;Result=3","7077354")</f>
        <v>0</v>
      </c>
      <c r="B1143" t="s">
        <v>417</v>
      </c>
      <c r="C1143" t="s">
        <v>3893</v>
      </c>
      <c r="D1143" t="s">
        <v>16610</v>
      </c>
      <c r="E1143" t="s">
        <v>17790</v>
      </c>
      <c r="F1143" t="s">
        <v>28669</v>
      </c>
      <c r="G1143" t="s">
        <v>28678</v>
      </c>
      <c r="H1143" t="s">
        <v>9998</v>
      </c>
      <c r="I1143" t="s">
        <v>6128</v>
      </c>
      <c r="J1143" t="s">
        <v>29659</v>
      </c>
      <c r="K1143" t="s">
        <v>37205</v>
      </c>
      <c r="M1143" t="s">
        <v>37902</v>
      </c>
      <c r="N1143" t="s">
        <v>41249</v>
      </c>
      <c r="O1143" t="s">
        <v>41250</v>
      </c>
      <c r="P1143">
        <v>0</v>
      </c>
      <c r="Q1143">
        <v>4</v>
      </c>
      <c r="R1143" t="s">
        <v>41251</v>
      </c>
      <c r="S1143" t="s">
        <v>41369</v>
      </c>
      <c r="T1143" t="s">
        <v>42711</v>
      </c>
      <c r="U1143" t="s">
        <v>44199</v>
      </c>
      <c r="W1143" t="s">
        <v>37902</v>
      </c>
      <c r="X1143" t="s">
        <v>41252</v>
      </c>
    </row>
    <row r="1144" spans="1:24">
      <c r="A1144">
        <f>HYPERLINK("https://www.philgeps.gov.ph/GEPSNONPILOT/Tender/SplashBidNoticeAbstractUI.aspx?menuIndex=3&amp;refID=7077376&amp;Result=3","7077376")</f>
        <v>0</v>
      </c>
      <c r="B1144" t="s">
        <v>516</v>
      </c>
      <c r="C1144" t="s">
        <v>4473</v>
      </c>
      <c r="D1144" t="s">
        <v>16625</v>
      </c>
      <c r="E1144" t="s">
        <v>17791</v>
      </c>
      <c r="F1144" t="s">
        <v>28669</v>
      </c>
      <c r="G1144" t="s">
        <v>28677</v>
      </c>
      <c r="H1144" t="s">
        <v>9998</v>
      </c>
      <c r="I1144" t="s">
        <v>6128</v>
      </c>
      <c r="J1144" t="s">
        <v>29114</v>
      </c>
      <c r="K1144" t="s">
        <v>37208</v>
      </c>
      <c r="M1144" t="s">
        <v>38006</v>
      </c>
      <c r="N1144" t="s">
        <v>41249</v>
      </c>
      <c r="O1144" t="s">
        <v>41250</v>
      </c>
      <c r="P1144">
        <v>0</v>
      </c>
      <c r="Q1144">
        <v>0</v>
      </c>
      <c r="R1144" t="s">
        <v>41251</v>
      </c>
      <c r="S1144" t="s">
        <v>41369</v>
      </c>
      <c r="T1144" t="s">
        <v>42767</v>
      </c>
      <c r="U1144" t="s">
        <v>44200</v>
      </c>
      <c r="W1144" t="s">
        <v>38006</v>
      </c>
      <c r="X1144" t="s">
        <v>41252</v>
      </c>
    </row>
    <row r="1145" spans="1:24">
      <c r="A1145">
        <f>HYPERLINK("https://www.philgeps.gov.ph/GEPSNONPILOT/Tender/SplashBidNoticeAbstractUI.aspx?menuIndex=3&amp;refID=7077375&amp;Result=3","7077375")</f>
        <v>0</v>
      </c>
      <c r="B1145" t="s">
        <v>305</v>
      </c>
      <c r="C1145" t="s">
        <v>4474</v>
      </c>
      <c r="D1145" t="s">
        <v>16664</v>
      </c>
      <c r="E1145" t="s">
        <v>17792</v>
      </c>
      <c r="F1145" t="s">
        <v>28669</v>
      </c>
      <c r="G1145" t="s">
        <v>28677</v>
      </c>
      <c r="H1145" t="s">
        <v>9998</v>
      </c>
      <c r="I1145" t="s">
        <v>28725</v>
      </c>
      <c r="J1145" t="s">
        <v>29660</v>
      </c>
      <c r="K1145" t="s">
        <v>37227</v>
      </c>
      <c r="M1145" t="s">
        <v>37784</v>
      </c>
      <c r="N1145" t="s">
        <v>41249</v>
      </c>
      <c r="O1145" t="s">
        <v>41250</v>
      </c>
      <c r="P1145">
        <v>0</v>
      </c>
      <c r="Q1145">
        <v>0</v>
      </c>
      <c r="R1145" t="s">
        <v>41251</v>
      </c>
      <c r="S1145" t="s">
        <v>41369</v>
      </c>
      <c r="T1145" t="s">
        <v>42743</v>
      </c>
      <c r="U1145" t="s">
        <v>44201</v>
      </c>
      <c r="W1145" t="s">
        <v>37784</v>
      </c>
      <c r="X1145" t="s">
        <v>41252</v>
      </c>
    </row>
    <row r="1146" spans="1:24">
      <c r="A1146">
        <f>HYPERLINK("https://www.philgeps.gov.ph/GEPSNONPILOT/Tender/SplashBidNoticeAbstractUI.aspx?menuIndex=3&amp;refID=7077374&amp;Result=3","7077374")</f>
        <v>0</v>
      </c>
      <c r="B1146" t="s">
        <v>454</v>
      </c>
      <c r="C1146" t="s">
        <v>4475</v>
      </c>
      <c r="D1146" t="s">
        <v>16661</v>
      </c>
      <c r="E1146" t="s">
        <v>17793</v>
      </c>
      <c r="F1146" t="s">
        <v>28669</v>
      </c>
      <c r="G1146" t="s">
        <v>28676</v>
      </c>
      <c r="H1146" t="s">
        <v>9998</v>
      </c>
      <c r="I1146" t="s">
        <v>6606</v>
      </c>
      <c r="J1146" t="s">
        <v>29661</v>
      </c>
      <c r="K1146" t="s">
        <v>37209</v>
      </c>
      <c r="M1146" t="s">
        <v>37942</v>
      </c>
      <c r="N1146" t="s">
        <v>41249</v>
      </c>
      <c r="O1146" t="s">
        <v>41250</v>
      </c>
      <c r="P1146">
        <v>0</v>
      </c>
      <c r="Q1146">
        <v>0</v>
      </c>
      <c r="R1146" t="s">
        <v>41251</v>
      </c>
      <c r="S1146" t="s">
        <v>41369</v>
      </c>
      <c r="T1146" t="s">
        <v>42799</v>
      </c>
      <c r="U1146" t="s">
        <v>44202</v>
      </c>
      <c r="W1146" t="s">
        <v>37942</v>
      </c>
      <c r="X1146" t="s">
        <v>41252</v>
      </c>
    </row>
    <row r="1147" spans="1:24">
      <c r="A1147">
        <f>HYPERLINK("https://www.philgeps.gov.ph/GEPSNONPILOT/Tender/SplashBidNoticeAbstractUI.aspx?menuIndex=3&amp;refID=7077362&amp;Result=3","7077362")</f>
        <v>0</v>
      </c>
      <c r="B1147" t="s">
        <v>549</v>
      </c>
      <c r="C1147" t="s">
        <v>4476</v>
      </c>
      <c r="D1147" t="s">
        <v>16646</v>
      </c>
      <c r="E1147" t="s">
        <v>17794</v>
      </c>
      <c r="F1147" t="s">
        <v>28669</v>
      </c>
      <c r="G1147" t="s">
        <v>28675</v>
      </c>
      <c r="H1147" t="s">
        <v>9998</v>
      </c>
      <c r="I1147" t="s">
        <v>28701</v>
      </c>
      <c r="J1147" t="s">
        <v>29662</v>
      </c>
      <c r="K1147" t="s">
        <v>37279</v>
      </c>
      <c r="M1147" t="s">
        <v>38042</v>
      </c>
      <c r="N1147" t="s">
        <v>41249</v>
      </c>
      <c r="O1147" t="s">
        <v>41250</v>
      </c>
      <c r="P1147">
        <v>0</v>
      </c>
      <c r="Q1147">
        <v>1</v>
      </c>
      <c r="R1147" t="s">
        <v>41251</v>
      </c>
      <c r="S1147" t="s">
        <v>41369</v>
      </c>
      <c r="T1147" t="s">
        <v>42808</v>
      </c>
      <c r="U1147" t="s">
        <v>44165</v>
      </c>
      <c r="V1147" t="s">
        <v>54375</v>
      </c>
      <c r="W1147" t="s">
        <v>38042</v>
      </c>
      <c r="X1147" t="s">
        <v>41252</v>
      </c>
    </row>
    <row r="1148" spans="1:24">
      <c r="A1148">
        <f>HYPERLINK("https://www.philgeps.gov.ph/GEPSNONPILOT/Tender/SplashBidNoticeAbstractUI.aspx?menuIndex=3&amp;refID=7077342&amp;Result=3","7077342")</f>
        <v>0</v>
      </c>
      <c r="B1148" t="s">
        <v>531</v>
      </c>
      <c r="C1148" t="s">
        <v>4477</v>
      </c>
      <c r="D1148" t="s">
        <v>16611</v>
      </c>
      <c r="E1148" t="s">
        <v>17795</v>
      </c>
      <c r="F1148" t="s">
        <v>28669</v>
      </c>
      <c r="G1148" t="s">
        <v>28677</v>
      </c>
      <c r="H1148" t="s">
        <v>9998</v>
      </c>
      <c r="I1148" t="s">
        <v>11593</v>
      </c>
      <c r="J1148" t="s">
        <v>28834</v>
      </c>
      <c r="K1148" t="s">
        <v>37210</v>
      </c>
      <c r="M1148" t="s">
        <v>38022</v>
      </c>
      <c r="N1148" t="s">
        <v>41249</v>
      </c>
      <c r="O1148" t="s">
        <v>41250</v>
      </c>
      <c r="P1148">
        <v>0</v>
      </c>
      <c r="Q1148">
        <v>1</v>
      </c>
      <c r="R1148" t="s">
        <v>41251</v>
      </c>
      <c r="S1148" t="s">
        <v>41369</v>
      </c>
      <c r="T1148" t="s">
        <v>42679</v>
      </c>
      <c r="U1148" t="s">
        <v>44203</v>
      </c>
      <c r="W1148" t="s">
        <v>38022</v>
      </c>
      <c r="X1148" t="s">
        <v>41252</v>
      </c>
    </row>
    <row r="1149" spans="1:24">
      <c r="A1149">
        <f>HYPERLINK("https://www.philgeps.gov.ph/GEPSNONPILOT/Tender/SplashBidNoticeAbstractUI.aspx?menuIndex=3&amp;refID=7077369&amp;Result=3","7077369")</f>
        <v>0</v>
      </c>
      <c r="B1149" t="s">
        <v>514</v>
      </c>
      <c r="C1149" t="s">
        <v>4478</v>
      </c>
      <c r="D1149" t="s">
        <v>16618</v>
      </c>
      <c r="E1149" t="s">
        <v>17796</v>
      </c>
      <c r="F1149" t="s">
        <v>28669</v>
      </c>
      <c r="G1149" t="s">
        <v>28676</v>
      </c>
      <c r="H1149" t="s">
        <v>9998</v>
      </c>
      <c r="I1149" t="s">
        <v>28700</v>
      </c>
      <c r="J1149" t="s">
        <v>28894</v>
      </c>
      <c r="K1149" t="s">
        <v>37227</v>
      </c>
      <c r="M1149" t="s">
        <v>38004</v>
      </c>
      <c r="N1149" t="s">
        <v>41249</v>
      </c>
      <c r="O1149" t="s">
        <v>41250</v>
      </c>
      <c r="P1149">
        <v>0</v>
      </c>
      <c r="Q1149">
        <v>4</v>
      </c>
      <c r="R1149" t="s">
        <v>41251</v>
      </c>
      <c r="S1149" t="s">
        <v>41369</v>
      </c>
      <c r="T1149" t="s">
        <v>42751</v>
      </c>
      <c r="U1149" t="s">
        <v>44204</v>
      </c>
      <c r="W1149" t="s">
        <v>38004</v>
      </c>
      <c r="X1149" t="s">
        <v>41252</v>
      </c>
    </row>
    <row r="1150" spans="1:24">
      <c r="A1150">
        <f>HYPERLINK("https://www.philgeps.gov.ph/GEPSNONPILOT/Tender/SplashBidNoticeAbstractUI.aspx?menuIndex=3&amp;refID=7077367&amp;Result=3","7077367")</f>
        <v>0</v>
      </c>
      <c r="B1150" t="s">
        <v>561</v>
      </c>
      <c r="C1150" t="s">
        <v>4479</v>
      </c>
      <c r="E1150" t="s">
        <v>17797</v>
      </c>
      <c r="F1150" t="s">
        <v>28669</v>
      </c>
      <c r="G1150" t="s">
        <v>28675</v>
      </c>
      <c r="H1150" t="s">
        <v>9998</v>
      </c>
      <c r="I1150" t="s">
        <v>28693</v>
      </c>
      <c r="J1150" t="s">
        <v>29663</v>
      </c>
      <c r="K1150" t="s">
        <v>37209</v>
      </c>
      <c r="M1150" t="s">
        <v>38054</v>
      </c>
      <c r="N1150" t="s">
        <v>41249</v>
      </c>
      <c r="O1150" t="s">
        <v>41250</v>
      </c>
      <c r="P1150">
        <v>0</v>
      </c>
      <c r="Q1150">
        <v>5</v>
      </c>
      <c r="R1150" t="s">
        <v>41251</v>
      </c>
      <c r="S1150" t="s">
        <v>41369</v>
      </c>
      <c r="T1150" t="s">
        <v>42810</v>
      </c>
      <c r="U1150" t="s">
        <v>44205</v>
      </c>
      <c r="W1150" t="s">
        <v>38054</v>
      </c>
      <c r="X1150" t="s">
        <v>41252</v>
      </c>
    </row>
    <row r="1151" spans="1:24">
      <c r="A1151">
        <f>HYPERLINK("https://www.philgeps.gov.ph/GEPSNONPILOT/Tender/SplashBidNoticeAbstractUI.aspx?menuIndex=3&amp;refID=7077366&amp;Result=3","7077366")</f>
        <v>0</v>
      </c>
      <c r="B1151" t="s">
        <v>555</v>
      </c>
      <c r="C1151" t="s">
        <v>4480</v>
      </c>
      <c r="D1151" t="s">
        <v>16666</v>
      </c>
      <c r="E1151" t="s">
        <v>17768</v>
      </c>
      <c r="F1151" t="s">
        <v>28669</v>
      </c>
      <c r="G1151" t="s">
        <v>28676</v>
      </c>
      <c r="H1151" t="s">
        <v>9998</v>
      </c>
      <c r="I1151" t="s">
        <v>3718</v>
      </c>
      <c r="J1151" t="s">
        <v>29664</v>
      </c>
      <c r="K1151" t="s">
        <v>37208</v>
      </c>
      <c r="M1151" t="s">
        <v>38048</v>
      </c>
      <c r="N1151" t="s">
        <v>41249</v>
      </c>
      <c r="O1151" t="s">
        <v>41250</v>
      </c>
      <c r="P1151">
        <v>0</v>
      </c>
      <c r="Q1151">
        <v>1</v>
      </c>
      <c r="R1151" t="s">
        <v>41251</v>
      </c>
      <c r="S1151" t="s">
        <v>41369</v>
      </c>
      <c r="T1151" t="s">
        <v>42742</v>
      </c>
      <c r="U1151" t="s">
        <v>44206</v>
      </c>
      <c r="W1151" t="s">
        <v>38048</v>
      </c>
      <c r="X1151" t="s">
        <v>41252</v>
      </c>
    </row>
    <row r="1152" spans="1:24">
      <c r="A1152">
        <f>HYPERLINK("https://www.philgeps.gov.ph/GEPSNONPILOT/Tender/SplashBidNoticeAbstractUI.aspx?menuIndex=3&amp;refID=7077365&amp;Result=3","7077365")</f>
        <v>0</v>
      </c>
      <c r="B1152" t="s">
        <v>391</v>
      </c>
      <c r="C1152" t="s">
        <v>4481</v>
      </c>
      <c r="D1152" t="s">
        <v>16673</v>
      </c>
      <c r="E1152" t="s">
        <v>17798</v>
      </c>
      <c r="F1152" t="s">
        <v>28669</v>
      </c>
      <c r="G1152" t="s">
        <v>28675</v>
      </c>
      <c r="H1152" t="s">
        <v>9998</v>
      </c>
      <c r="I1152" t="s">
        <v>28687</v>
      </c>
      <c r="J1152" t="s">
        <v>29665</v>
      </c>
      <c r="K1152" t="s">
        <v>37206</v>
      </c>
      <c r="M1152" t="s">
        <v>37875</v>
      </c>
      <c r="N1152" t="s">
        <v>41249</v>
      </c>
      <c r="O1152" t="s">
        <v>41250</v>
      </c>
      <c r="P1152">
        <v>0</v>
      </c>
      <c r="Q1152">
        <v>6</v>
      </c>
      <c r="R1152" t="s">
        <v>41251</v>
      </c>
      <c r="S1152" t="s">
        <v>41369</v>
      </c>
      <c r="T1152" t="s">
        <v>42709</v>
      </c>
      <c r="U1152" t="s">
        <v>44207</v>
      </c>
      <c r="W1152" t="s">
        <v>37875</v>
      </c>
      <c r="X1152" t="s">
        <v>41252</v>
      </c>
    </row>
    <row r="1153" spans="1:24">
      <c r="A1153">
        <f>HYPERLINK("https://www.philgeps.gov.ph/GEPSNONPILOT/Tender/SplashBidNoticeAbstractUI.aspx?menuIndex=3&amp;refID=7077352&amp;Result=3","7077352")</f>
        <v>0</v>
      </c>
      <c r="B1153" t="s">
        <v>405</v>
      </c>
      <c r="C1153" t="s">
        <v>4482</v>
      </c>
      <c r="D1153" t="s">
        <v>16631</v>
      </c>
      <c r="E1153" t="s">
        <v>17799</v>
      </c>
      <c r="F1153" t="s">
        <v>28669</v>
      </c>
      <c r="G1153" t="s">
        <v>28677</v>
      </c>
      <c r="H1153" t="s">
        <v>9998</v>
      </c>
      <c r="I1153" t="s">
        <v>28695</v>
      </c>
      <c r="J1153" t="s">
        <v>29128</v>
      </c>
      <c r="K1153" t="s">
        <v>37208</v>
      </c>
      <c r="M1153" t="s">
        <v>38055</v>
      </c>
      <c r="N1153" t="s">
        <v>41249</v>
      </c>
      <c r="O1153" t="s">
        <v>41250</v>
      </c>
      <c r="P1153">
        <v>0</v>
      </c>
      <c r="Q1153">
        <v>0</v>
      </c>
      <c r="R1153" t="s">
        <v>41251</v>
      </c>
      <c r="S1153" t="s">
        <v>41369</v>
      </c>
      <c r="T1153" t="s">
        <v>42811</v>
      </c>
      <c r="U1153" t="s">
        <v>44208</v>
      </c>
      <c r="V1153" t="s">
        <v>44679</v>
      </c>
      <c r="W1153" t="s">
        <v>38055</v>
      </c>
      <c r="X1153" t="s">
        <v>41252</v>
      </c>
    </row>
    <row r="1154" spans="1:24">
      <c r="A1154">
        <f>HYPERLINK("https://www.philgeps.gov.ph/GEPSNONPILOT/Tender/SplashBidNoticeAbstractUI.aspx?menuIndex=3&amp;refID=7077351&amp;Result=3","7077351")</f>
        <v>0</v>
      </c>
      <c r="B1154" t="s">
        <v>547</v>
      </c>
      <c r="C1154" t="s">
        <v>4483</v>
      </c>
      <c r="D1154" t="s">
        <v>16627</v>
      </c>
      <c r="E1154" t="s">
        <v>17800</v>
      </c>
      <c r="F1154" t="s">
        <v>28669</v>
      </c>
      <c r="G1154" t="s">
        <v>28675</v>
      </c>
      <c r="H1154" t="s">
        <v>9998</v>
      </c>
      <c r="I1154" t="s">
        <v>28690</v>
      </c>
      <c r="J1154" t="s">
        <v>28826</v>
      </c>
      <c r="K1154" t="s">
        <v>37204</v>
      </c>
      <c r="M1154" t="s">
        <v>38040</v>
      </c>
      <c r="N1154" t="s">
        <v>41249</v>
      </c>
      <c r="O1154" t="s">
        <v>41250</v>
      </c>
      <c r="P1154">
        <v>0</v>
      </c>
      <c r="Q1154">
        <v>3</v>
      </c>
      <c r="R1154" t="s">
        <v>41251</v>
      </c>
      <c r="S1154" t="s">
        <v>41369</v>
      </c>
      <c r="T1154" t="s">
        <v>42760</v>
      </c>
      <c r="U1154" t="s">
        <v>44209</v>
      </c>
      <c r="W1154" t="s">
        <v>38040</v>
      </c>
      <c r="X1154" t="s">
        <v>41252</v>
      </c>
    </row>
    <row r="1155" spans="1:24">
      <c r="A1155">
        <f>HYPERLINK("https://www.philgeps.gov.ph/GEPSNONPILOT/Tender/SplashBidNoticeAbstractUI.aspx?menuIndex=3&amp;refID=7077324&amp;Result=3","7077324")</f>
        <v>0</v>
      </c>
      <c r="B1155" t="s">
        <v>460</v>
      </c>
      <c r="C1155" t="s">
        <v>4484</v>
      </c>
      <c r="D1155" t="s">
        <v>16627</v>
      </c>
      <c r="E1155" t="s">
        <v>17801</v>
      </c>
      <c r="F1155" t="s">
        <v>28669</v>
      </c>
      <c r="G1155" t="s">
        <v>28675</v>
      </c>
      <c r="H1155" t="s">
        <v>9998</v>
      </c>
      <c r="I1155" t="s">
        <v>28704</v>
      </c>
      <c r="J1155" t="s">
        <v>29666</v>
      </c>
      <c r="K1155" t="s">
        <v>37206</v>
      </c>
      <c r="M1155" t="s">
        <v>37948</v>
      </c>
      <c r="N1155" t="s">
        <v>41249</v>
      </c>
      <c r="O1155" t="s">
        <v>41250</v>
      </c>
      <c r="P1155">
        <v>0</v>
      </c>
      <c r="Q1155">
        <v>0</v>
      </c>
      <c r="R1155" t="s">
        <v>41251</v>
      </c>
      <c r="S1155" t="s">
        <v>41369</v>
      </c>
      <c r="T1155" t="s">
        <v>42764</v>
      </c>
      <c r="U1155" t="s">
        <v>44210</v>
      </c>
      <c r="V1155" t="s">
        <v>54382</v>
      </c>
      <c r="W1155" t="s">
        <v>37948</v>
      </c>
      <c r="X1155" t="s">
        <v>41252</v>
      </c>
    </row>
    <row r="1156" spans="1:24">
      <c r="A1156">
        <f>HYPERLINK("https://www.philgeps.gov.ph/GEPSNONPILOT/Tender/SplashBidNoticeAbstractUI.aspx?menuIndex=3&amp;refID=7077349&amp;Result=3","7077349")</f>
        <v>0</v>
      </c>
      <c r="B1156" t="s">
        <v>454</v>
      </c>
      <c r="C1156" t="s">
        <v>4485</v>
      </c>
      <c r="D1156" t="s">
        <v>16661</v>
      </c>
      <c r="E1156" t="s">
        <v>17759</v>
      </c>
      <c r="F1156" t="s">
        <v>28669</v>
      </c>
      <c r="G1156" t="s">
        <v>28676</v>
      </c>
      <c r="H1156" t="s">
        <v>9998</v>
      </c>
      <c r="I1156" t="s">
        <v>6606</v>
      </c>
      <c r="J1156" t="s">
        <v>29667</v>
      </c>
      <c r="K1156" t="s">
        <v>37209</v>
      </c>
      <c r="M1156" t="s">
        <v>37942</v>
      </c>
      <c r="N1156" t="s">
        <v>41249</v>
      </c>
      <c r="O1156" t="s">
        <v>41250</v>
      </c>
      <c r="P1156">
        <v>0</v>
      </c>
      <c r="Q1156">
        <v>0</v>
      </c>
      <c r="R1156" t="s">
        <v>41251</v>
      </c>
      <c r="S1156" t="s">
        <v>41369</v>
      </c>
      <c r="T1156" t="s">
        <v>42799</v>
      </c>
      <c r="U1156" t="s">
        <v>44211</v>
      </c>
      <c r="W1156" t="s">
        <v>37942</v>
      </c>
      <c r="X1156" t="s">
        <v>41252</v>
      </c>
    </row>
    <row r="1157" spans="1:24">
      <c r="A1157">
        <f>HYPERLINK("https://www.philgeps.gov.ph/GEPSNONPILOT/Tender/SplashBidNoticeAbstractUI.aspx?menuIndex=3&amp;refID=7077364&amp;Result=3","7077364")</f>
        <v>0</v>
      </c>
      <c r="B1157" t="s">
        <v>46</v>
      </c>
      <c r="C1157" t="s">
        <v>4486</v>
      </c>
      <c r="D1157" t="s">
        <v>16627</v>
      </c>
      <c r="E1157" t="s">
        <v>17802</v>
      </c>
      <c r="F1157" t="s">
        <v>28669</v>
      </c>
      <c r="G1157" t="s">
        <v>28675</v>
      </c>
      <c r="H1157" t="s">
        <v>28686</v>
      </c>
      <c r="I1157" t="s">
        <v>28689</v>
      </c>
      <c r="J1157" t="s">
        <v>28879</v>
      </c>
      <c r="K1157" t="s">
        <v>37209</v>
      </c>
      <c r="M1157" t="s">
        <v>37521</v>
      </c>
      <c r="N1157" t="s">
        <v>41249</v>
      </c>
      <c r="O1157" t="s">
        <v>41250</v>
      </c>
      <c r="P1157">
        <v>0</v>
      </c>
      <c r="Q1157">
        <v>0</v>
      </c>
      <c r="R1157" t="s">
        <v>41251</v>
      </c>
      <c r="S1157" t="s">
        <v>41369</v>
      </c>
      <c r="T1157" t="s">
        <v>42695</v>
      </c>
      <c r="U1157" t="s">
        <v>44212</v>
      </c>
      <c r="W1157" t="s">
        <v>37521</v>
      </c>
      <c r="X1157" t="s">
        <v>41252</v>
      </c>
    </row>
    <row r="1158" spans="1:24">
      <c r="A1158">
        <f>HYPERLINK("https://www.philgeps.gov.ph/GEPSNONPILOT/Tender/SplashBidNoticeAbstractUI.aspx?menuIndex=3&amp;refID=7077370&amp;Result=3","7077370")</f>
        <v>0</v>
      </c>
      <c r="B1158" t="s">
        <v>470</v>
      </c>
      <c r="C1158" t="s">
        <v>4487</v>
      </c>
      <c r="D1158" t="s">
        <v>16639</v>
      </c>
      <c r="E1158" t="s">
        <v>17803</v>
      </c>
      <c r="F1158" t="s">
        <v>28669</v>
      </c>
      <c r="G1158" t="s">
        <v>28676</v>
      </c>
      <c r="H1158" t="s">
        <v>9998</v>
      </c>
      <c r="I1158" t="s">
        <v>28696</v>
      </c>
      <c r="J1158" t="s">
        <v>29134</v>
      </c>
      <c r="K1158" t="s">
        <v>37205</v>
      </c>
      <c r="M1158" t="s">
        <v>37958</v>
      </c>
      <c r="N1158" t="s">
        <v>41249</v>
      </c>
      <c r="O1158" t="s">
        <v>41250</v>
      </c>
      <c r="P1158">
        <v>0</v>
      </c>
      <c r="Q1158">
        <v>2</v>
      </c>
      <c r="R1158" t="s">
        <v>41251</v>
      </c>
      <c r="S1158" t="s">
        <v>41369</v>
      </c>
      <c r="T1158" t="s">
        <v>42673</v>
      </c>
      <c r="U1158" t="s">
        <v>44213</v>
      </c>
      <c r="W1158" t="s">
        <v>37958</v>
      </c>
      <c r="X1158" t="s">
        <v>41252</v>
      </c>
    </row>
    <row r="1159" spans="1:24">
      <c r="A1159">
        <f>HYPERLINK("https://www.philgeps.gov.ph/GEPSNONPILOT/Tender/SplashBidNoticeAbstractUI.aspx?menuIndex=3&amp;refID=7077326&amp;Result=3","7077326")</f>
        <v>0</v>
      </c>
      <c r="B1159" t="s">
        <v>538</v>
      </c>
      <c r="C1159" t="s">
        <v>4488</v>
      </c>
      <c r="E1159" t="s">
        <v>17804</v>
      </c>
      <c r="F1159" t="s">
        <v>28669</v>
      </c>
      <c r="G1159" t="s">
        <v>28675</v>
      </c>
      <c r="H1159" t="s">
        <v>28686</v>
      </c>
      <c r="I1159" t="s">
        <v>28689</v>
      </c>
      <c r="J1159" t="s">
        <v>29668</v>
      </c>
      <c r="K1159" t="s">
        <v>37277</v>
      </c>
      <c r="M1159" t="s">
        <v>38029</v>
      </c>
      <c r="N1159" t="s">
        <v>41249</v>
      </c>
      <c r="O1159" t="s">
        <v>41250</v>
      </c>
      <c r="P1159">
        <v>0</v>
      </c>
      <c r="Q1159">
        <v>7</v>
      </c>
      <c r="R1159" t="s">
        <v>41251</v>
      </c>
      <c r="S1159" t="s">
        <v>41369</v>
      </c>
      <c r="T1159" t="s">
        <v>42722</v>
      </c>
      <c r="U1159" t="s">
        <v>44141</v>
      </c>
      <c r="V1159" t="s">
        <v>54371</v>
      </c>
      <c r="W1159" t="s">
        <v>38029</v>
      </c>
      <c r="X1159" t="s">
        <v>41252</v>
      </c>
    </row>
    <row r="1160" spans="1:24">
      <c r="A1160">
        <f>HYPERLINK("https://www.philgeps.gov.ph/GEPSNONPILOT/Tender/SplashBidNoticeAbstractUI.aspx?menuIndex=3&amp;refID=7077368&amp;Result=3","7077368")</f>
        <v>0</v>
      </c>
      <c r="B1160" t="s">
        <v>359</v>
      </c>
      <c r="C1160" t="s">
        <v>4489</v>
      </c>
      <c r="D1160" t="s">
        <v>16672</v>
      </c>
      <c r="E1160" t="s">
        <v>17805</v>
      </c>
      <c r="F1160" t="s">
        <v>28669</v>
      </c>
      <c r="G1160" t="s">
        <v>28675</v>
      </c>
      <c r="H1160" t="s">
        <v>28686</v>
      </c>
      <c r="I1160" t="s">
        <v>28689</v>
      </c>
      <c r="J1160" t="s">
        <v>29669</v>
      </c>
      <c r="K1160" t="s">
        <v>37215</v>
      </c>
      <c r="M1160" t="s">
        <v>37840</v>
      </c>
      <c r="N1160" t="s">
        <v>41249</v>
      </c>
      <c r="O1160" t="s">
        <v>41250</v>
      </c>
      <c r="P1160">
        <v>0</v>
      </c>
      <c r="Q1160">
        <v>0</v>
      </c>
      <c r="R1160" t="s">
        <v>41251</v>
      </c>
      <c r="S1160" t="s">
        <v>41369</v>
      </c>
      <c r="T1160" t="s">
        <v>42720</v>
      </c>
      <c r="U1160" t="s">
        <v>44214</v>
      </c>
      <c r="W1160" t="s">
        <v>37840</v>
      </c>
      <c r="X1160" t="s">
        <v>41252</v>
      </c>
    </row>
    <row r="1161" spans="1:24">
      <c r="A1161">
        <f>HYPERLINK("https://www.philgeps.gov.ph/GEPSNONPILOT/Tender/SplashBidNoticeAbstractUI.aspx?menuIndex=3&amp;refID=7077397&amp;Result=3","7077397")</f>
        <v>0</v>
      </c>
      <c r="B1161" t="s">
        <v>528</v>
      </c>
      <c r="C1161" t="s">
        <v>4490</v>
      </c>
      <c r="D1161" t="s">
        <v>16608</v>
      </c>
      <c r="E1161" t="s">
        <v>17806</v>
      </c>
      <c r="F1161" t="s">
        <v>28669</v>
      </c>
      <c r="G1161" t="s">
        <v>28675</v>
      </c>
      <c r="H1161" t="s">
        <v>9998</v>
      </c>
      <c r="I1161" t="s">
        <v>6128</v>
      </c>
      <c r="J1161" t="s">
        <v>29670</v>
      </c>
      <c r="K1161" t="s">
        <v>37204</v>
      </c>
      <c r="M1161" t="s">
        <v>38019</v>
      </c>
      <c r="N1161" t="s">
        <v>41249</v>
      </c>
      <c r="O1161" t="s">
        <v>41250</v>
      </c>
      <c r="P1161">
        <v>0</v>
      </c>
      <c r="Q1161">
        <v>4</v>
      </c>
      <c r="R1161" t="s">
        <v>41251</v>
      </c>
      <c r="S1161" t="s">
        <v>41369</v>
      </c>
      <c r="T1161" t="s">
        <v>42812</v>
      </c>
      <c r="U1161" t="s">
        <v>44121</v>
      </c>
      <c r="W1161" t="s">
        <v>38019</v>
      </c>
      <c r="X1161" t="s">
        <v>41252</v>
      </c>
    </row>
    <row r="1162" spans="1:24">
      <c r="A1162">
        <f>HYPERLINK("https://www.philgeps.gov.ph/GEPSNONPILOT/Tender/SplashBidNoticeAbstractUI.aspx?menuIndex=3&amp;refID=7077379&amp;Result=3","7077379")</f>
        <v>0</v>
      </c>
      <c r="B1162" t="s">
        <v>439</v>
      </c>
      <c r="C1162" t="s">
        <v>4491</v>
      </c>
      <c r="D1162" t="s">
        <v>16608</v>
      </c>
      <c r="E1162" t="s">
        <v>17807</v>
      </c>
      <c r="F1162" t="s">
        <v>28669</v>
      </c>
      <c r="G1162" t="s">
        <v>28676</v>
      </c>
      <c r="H1162" t="s">
        <v>9998</v>
      </c>
      <c r="I1162" t="s">
        <v>7352</v>
      </c>
      <c r="J1162" t="s">
        <v>29671</v>
      </c>
      <c r="K1162" t="s">
        <v>37220</v>
      </c>
      <c r="M1162" t="s">
        <v>37924</v>
      </c>
      <c r="N1162" t="s">
        <v>41249</v>
      </c>
      <c r="O1162" t="s">
        <v>41250</v>
      </c>
      <c r="P1162">
        <v>0</v>
      </c>
      <c r="Q1162">
        <v>0</v>
      </c>
      <c r="R1162" t="s">
        <v>41251</v>
      </c>
      <c r="S1162" t="s">
        <v>41369</v>
      </c>
      <c r="T1162" t="s">
        <v>42690</v>
      </c>
      <c r="U1162" t="s">
        <v>44215</v>
      </c>
      <c r="W1162" t="s">
        <v>37924</v>
      </c>
      <c r="X1162" t="s">
        <v>41252</v>
      </c>
    </row>
    <row r="1163" spans="1:24">
      <c r="A1163">
        <f>HYPERLINK("https://www.philgeps.gov.ph/GEPSNONPILOT/Tender/SplashBidNoticeAbstractUI.aspx?menuIndex=3&amp;refID=7077396&amp;Result=3","7077396")</f>
        <v>0</v>
      </c>
      <c r="B1163" t="s">
        <v>454</v>
      </c>
      <c r="C1163" t="s">
        <v>4492</v>
      </c>
      <c r="D1163" t="s">
        <v>16661</v>
      </c>
      <c r="E1163" t="s">
        <v>17808</v>
      </c>
      <c r="F1163" t="s">
        <v>28669</v>
      </c>
      <c r="G1163" t="s">
        <v>28676</v>
      </c>
      <c r="H1163" t="s">
        <v>9998</v>
      </c>
      <c r="I1163" t="s">
        <v>6606</v>
      </c>
      <c r="J1163" t="s">
        <v>29661</v>
      </c>
      <c r="K1163" t="s">
        <v>37209</v>
      </c>
      <c r="M1163" t="s">
        <v>37942</v>
      </c>
      <c r="N1163" t="s">
        <v>41249</v>
      </c>
      <c r="O1163" t="s">
        <v>41250</v>
      </c>
      <c r="P1163">
        <v>0</v>
      </c>
      <c r="Q1163">
        <v>0</v>
      </c>
      <c r="R1163" t="s">
        <v>41251</v>
      </c>
      <c r="S1163" t="s">
        <v>41369</v>
      </c>
      <c r="T1163" t="s">
        <v>42799</v>
      </c>
      <c r="U1163" t="s">
        <v>44216</v>
      </c>
      <c r="W1163" t="s">
        <v>37942</v>
      </c>
      <c r="X1163" t="s">
        <v>41252</v>
      </c>
    </row>
    <row r="1164" spans="1:24">
      <c r="A1164">
        <f>HYPERLINK("https://www.philgeps.gov.ph/GEPSNONPILOT/Tender/SplashBidNoticeAbstractUI.aspx?menuIndex=3&amp;refID=7077393&amp;Result=3","7077393")</f>
        <v>0</v>
      </c>
      <c r="B1164" t="s">
        <v>81</v>
      </c>
      <c r="C1164" t="s">
        <v>4493</v>
      </c>
      <c r="E1164" t="s">
        <v>17809</v>
      </c>
      <c r="F1164" t="s">
        <v>28669</v>
      </c>
      <c r="G1164" t="s">
        <v>28676</v>
      </c>
      <c r="H1164" t="s">
        <v>9998</v>
      </c>
      <c r="I1164" t="s">
        <v>6128</v>
      </c>
      <c r="J1164" t="s">
        <v>29040</v>
      </c>
      <c r="K1164" t="s">
        <v>37209</v>
      </c>
      <c r="M1164" t="s">
        <v>37556</v>
      </c>
      <c r="N1164" t="s">
        <v>41249</v>
      </c>
      <c r="O1164" t="s">
        <v>41250</v>
      </c>
      <c r="P1164">
        <v>0</v>
      </c>
      <c r="Q1164">
        <v>3</v>
      </c>
      <c r="R1164" t="s">
        <v>41251</v>
      </c>
      <c r="S1164" t="s">
        <v>41369</v>
      </c>
      <c r="T1164" t="s">
        <v>42706</v>
      </c>
      <c r="U1164" t="s">
        <v>44217</v>
      </c>
      <c r="W1164" t="s">
        <v>37556</v>
      </c>
      <c r="X1164" t="s">
        <v>41252</v>
      </c>
    </row>
    <row r="1165" spans="1:24">
      <c r="A1165">
        <f>HYPERLINK("https://www.philgeps.gov.ph/GEPSNONPILOT/Tender/SplashBidNoticeAbstractUI.aspx?menuIndex=3&amp;refID=7077392&amp;Result=3","7077392")</f>
        <v>0</v>
      </c>
      <c r="B1165" t="s">
        <v>336</v>
      </c>
      <c r="C1165" t="s">
        <v>4494</v>
      </c>
      <c r="D1165" t="s">
        <v>16622</v>
      </c>
      <c r="E1165" t="s">
        <v>17810</v>
      </c>
      <c r="F1165" t="s">
        <v>28669</v>
      </c>
      <c r="G1165" t="s">
        <v>28676</v>
      </c>
      <c r="H1165" t="s">
        <v>9998</v>
      </c>
      <c r="I1165" t="s">
        <v>11593</v>
      </c>
      <c r="J1165" t="s">
        <v>29672</v>
      </c>
      <c r="K1165" t="s">
        <v>37210</v>
      </c>
      <c r="M1165" t="s">
        <v>38056</v>
      </c>
      <c r="N1165" t="s">
        <v>41249</v>
      </c>
      <c r="O1165" t="s">
        <v>41250</v>
      </c>
      <c r="P1165">
        <v>0</v>
      </c>
      <c r="Q1165">
        <v>3</v>
      </c>
      <c r="R1165" t="s">
        <v>41251</v>
      </c>
      <c r="S1165" t="s">
        <v>41369</v>
      </c>
      <c r="T1165" t="s">
        <v>42675</v>
      </c>
      <c r="U1165" t="s">
        <v>44218</v>
      </c>
      <c r="W1165" t="s">
        <v>38056</v>
      </c>
      <c r="X1165" t="s">
        <v>41252</v>
      </c>
    </row>
    <row r="1166" spans="1:24">
      <c r="A1166">
        <f>HYPERLINK("https://www.philgeps.gov.ph/GEPSNONPILOT/Tender/SplashBidNoticeAbstractUI.aspx?menuIndex=3&amp;refID=7077390&amp;Result=3","7077390")</f>
        <v>0</v>
      </c>
      <c r="B1166" t="s">
        <v>235</v>
      </c>
      <c r="C1166" t="s">
        <v>4495</v>
      </c>
      <c r="D1166" t="s">
        <v>16646</v>
      </c>
      <c r="E1166" t="s">
        <v>17811</v>
      </c>
      <c r="F1166" t="s">
        <v>28669</v>
      </c>
      <c r="G1166" t="s">
        <v>28676</v>
      </c>
      <c r="H1166" t="s">
        <v>9998</v>
      </c>
      <c r="I1166" t="s">
        <v>5213</v>
      </c>
      <c r="J1166" t="s">
        <v>29673</v>
      </c>
      <c r="K1166" t="s">
        <v>37206</v>
      </c>
      <c r="M1166" t="s">
        <v>38057</v>
      </c>
      <c r="N1166" t="s">
        <v>41249</v>
      </c>
      <c r="O1166" t="s">
        <v>41250</v>
      </c>
      <c r="P1166">
        <v>0</v>
      </c>
      <c r="Q1166">
        <v>2</v>
      </c>
      <c r="R1166" t="s">
        <v>41251</v>
      </c>
      <c r="S1166" t="s">
        <v>41369</v>
      </c>
      <c r="T1166" t="s">
        <v>42673</v>
      </c>
      <c r="U1166" t="s">
        <v>44219</v>
      </c>
      <c r="W1166" t="s">
        <v>38057</v>
      </c>
      <c r="X1166" t="s">
        <v>41252</v>
      </c>
    </row>
    <row r="1167" spans="1:24">
      <c r="A1167">
        <f>HYPERLINK("https://www.philgeps.gov.ph/GEPSNONPILOT/Tender/SplashBidNoticeAbstractUI.aspx?menuIndex=3&amp;refID=7077389&amp;Result=3","7077389")</f>
        <v>0</v>
      </c>
      <c r="B1167" t="s">
        <v>416</v>
      </c>
      <c r="C1167" t="s">
        <v>4496</v>
      </c>
      <c r="D1167" t="s">
        <v>16615</v>
      </c>
      <c r="E1167" t="s">
        <v>17812</v>
      </c>
      <c r="F1167" t="s">
        <v>28669</v>
      </c>
      <c r="G1167" t="s">
        <v>28676</v>
      </c>
      <c r="H1167" t="s">
        <v>9998</v>
      </c>
      <c r="I1167" t="s">
        <v>5033</v>
      </c>
      <c r="J1167" t="s">
        <v>29404</v>
      </c>
      <c r="K1167" t="s">
        <v>37206</v>
      </c>
      <c r="M1167" t="s">
        <v>37901</v>
      </c>
      <c r="N1167" t="s">
        <v>41249</v>
      </c>
      <c r="O1167" t="s">
        <v>41250</v>
      </c>
      <c r="P1167">
        <v>0</v>
      </c>
      <c r="Q1167">
        <v>0</v>
      </c>
      <c r="R1167" t="s">
        <v>41251</v>
      </c>
      <c r="S1167" t="s">
        <v>41369</v>
      </c>
      <c r="T1167" t="s">
        <v>42694</v>
      </c>
      <c r="U1167" t="s">
        <v>44220</v>
      </c>
      <c r="W1167" t="s">
        <v>37901</v>
      </c>
      <c r="X1167" t="s">
        <v>41252</v>
      </c>
    </row>
    <row r="1168" spans="1:24">
      <c r="A1168">
        <f>HYPERLINK("https://www.philgeps.gov.ph/GEPSNONPILOT/Tender/SplashBidNoticeAbstractUI.aspx?menuIndex=3&amp;refID=7077388&amp;Result=3","7077388")</f>
        <v>0</v>
      </c>
      <c r="B1168" t="s">
        <v>147</v>
      </c>
      <c r="C1168" t="s">
        <v>4497</v>
      </c>
      <c r="D1168" t="s">
        <v>16631</v>
      </c>
      <c r="E1168" t="s">
        <v>17813</v>
      </c>
      <c r="F1168" t="s">
        <v>28669</v>
      </c>
      <c r="G1168" t="s">
        <v>28676</v>
      </c>
      <c r="H1168" t="s">
        <v>9998</v>
      </c>
      <c r="I1168" t="s">
        <v>7352</v>
      </c>
      <c r="J1168" t="s">
        <v>29674</v>
      </c>
      <c r="K1168" t="s">
        <v>37205</v>
      </c>
      <c r="M1168" t="s">
        <v>37624</v>
      </c>
      <c r="N1168" t="s">
        <v>41249</v>
      </c>
      <c r="O1168" t="s">
        <v>41250</v>
      </c>
      <c r="P1168">
        <v>0</v>
      </c>
      <c r="Q1168">
        <v>0</v>
      </c>
      <c r="R1168" t="s">
        <v>41251</v>
      </c>
      <c r="S1168" t="s">
        <v>41369</v>
      </c>
      <c r="T1168" t="s">
        <v>42714</v>
      </c>
      <c r="U1168" t="s">
        <v>44221</v>
      </c>
      <c r="W1168" t="s">
        <v>37624</v>
      </c>
      <c r="X1168" t="s">
        <v>41252</v>
      </c>
    </row>
    <row r="1169" spans="1:24">
      <c r="A1169">
        <f>HYPERLINK("https://www.philgeps.gov.ph/GEPSNONPILOT/Tender/SplashBidNoticeAbstractUI.aspx?menuIndex=3&amp;refID=7077398&amp;Result=3","7077398")</f>
        <v>0</v>
      </c>
      <c r="B1169" t="s">
        <v>46</v>
      </c>
      <c r="C1169" t="s">
        <v>4498</v>
      </c>
      <c r="D1169" t="s">
        <v>16627</v>
      </c>
      <c r="E1169" t="s">
        <v>17066</v>
      </c>
      <c r="F1169" t="s">
        <v>28669</v>
      </c>
      <c r="G1169" t="s">
        <v>28675</v>
      </c>
      <c r="H1169" t="s">
        <v>28686</v>
      </c>
      <c r="I1169" t="s">
        <v>28689</v>
      </c>
      <c r="J1169" t="s">
        <v>28879</v>
      </c>
      <c r="K1169" t="s">
        <v>37209</v>
      </c>
      <c r="M1169" t="s">
        <v>37521</v>
      </c>
      <c r="N1169" t="s">
        <v>41249</v>
      </c>
      <c r="O1169" t="s">
        <v>41250</v>
      </c>
      <c r="P1169">
        <v>0</v>
      </c>
      <c r="Q1169">
        <v>0</v>
      </c>
      <c r="R1169" t="s">
        <v>41251</v>
      </c>
      <c r="S1169" t="s">
        <v>41369</v>
      </c>
      <c r="T1169" t="s">
        <v>42695</v>
      </c>
      <c r="U1169" t="s">
        <v>44222</v>
      </c>
      <c r="W1169" t="s">
        <v>37521</v>
      </c>
      <c r="X1169" t="s">
        <v>41252</v>
      </c>
    </row>
    <row r="1170" spans="1:24">
      <c r="A1170">
        <f>HYPERLINK("https://www.philgeps.gov.ph/GEPSNONPILOT/Tender/SplashBidNoticeAbstractUI.aspx?menuIndex=3&amp;refID=7077401&amp;Result=3","7077401")</f>
        <v>0</v>
      </c>
      <c r="B1170" t="s">
        <v>532</v>
      </c>
      <c r="C1170" t="s">
        <v>4499</v>
      </c>
      <c r="D1170" t="s">
        <v>16675</v>
      </c>
      <c r="E1170" t="s">
        <v>17814</v>
      </c>
      <c r="F1170" t="s">
        <v>28669</v>
      </c>
      <c r="G1170" t="s">
        <v>28675</v>
      </c>
      <c r="H1170" t="s">
        <v>9998</v>
      </c>
      <c r="I1170" t="s">
        <v>28699</v>
      </c>
      <c r="J1170" t="s">
        <v>29675</v>
      </c>
      <c r="K1170" t="s">
        <v>37205</v>
      </c>
      <c r="M1170" t="s">
        <v>38023</v>
      </c>
      <c r="N1170" t="s">
        <v>41249</v>
      </c>
      <c r="O1170" t="s">
        <v>41250</v>
      </c>
      <c r="P1170">
        <v>0</v>
      </c>
      <c r="Q1170">
        <v>1</v>
      </c>
      <c r="R1170" t="s">
        <v>41251</v>
      </c>
      <c r="S1170" t="s">
        <v>41369</v>
      </c>
      <c r="T1170" t="s">
        <v>42809</v>
      </c>
      <c r="U1170" t="s">
        <v>44223</v>
      </c>
      <c r="W1170" t="s">
        <v>38023</v>
      </c>
      <c r="X1170" t="s">
        <v>41252</v>
      </c>
    </row>
    <row r="1171" spans="1:24">
      <c r="A1171">
        <f>HYPERLINK("https://www.philgeps.gov.ph/GEPSNONPILOT/Tender/SplashBidNoticeAbstractUI.aspx?menuIndex=3&amp;refID=7077394&amp;Result=3","7077394")</f>
        <v>0</v>
      </c>
      <c r="B1171" t="s">
        <v>562</v>
      </c>
      <c r="C1171" t="s">
        <v>4500</v>
      </c>
      <c r="D1171" t="s">
        <v>16648</v>
      </c>
      <c r="E1171" t="s">
        <v>17815</v>
      </c>
      <c r="F1171" t="s">
        <v>28671</v>
      </c>
      <c r="G1171" t="s">
        <v>28675</v>
      </c>
      <c r="H1171" t="s">
        <v>28686</v>
      </c>
      <c r="I1171" t="s">
        <v>28689</v>
      </c>
      <c r="J1171" t="s">
        <v>28836</v>
      </c>
      <c r="K1171" t="s">
        <v>37221</v>
      </c>
      <c r="M1171" t="s">
        <v>38058</v>
      </c>
      <c r="N1171" t="s">
        <v>41249</v>
      </c>
      <c r="O1171" t="s">
        <v>41250</v>
      </c>
      <c r="P1171">
        <v>0</v>
      </c>
      <c r="Q1171">
        <v>0</v>
      </c>
      <c r="R1171" t="s">
        <v>41251</v>
      </c>
      <c r="S1171" t="s">
        <v>41369</v>
      </c>
      <c r="T1171" t="s">
        <v>42761</v>
      </c>
      <c r="U1171" t="s">
        <v>44224</v>
      </c>
      <c r="W1171" t="s">
        <v>38058</v>
      </c>
      <c r="X1171" t="s">
        <v>41252</v>
      </c>
    </row>
    <row r="1172" spans="1:24">
      <c r="A1172">
        <f>HYPERLINK("https://www.philgeps.gov.ph/GEPSNONPILOT/Tender/SplashBidNoticeAbstractUI.aspx?menuIndex=3&amp;refID=7077387&amp;Result=3","7077387")</f>
        <v>0</v>
      </c>
      <c r="B1172" t="s">
        <v>563</v>
      </c>
      <c r="C1172" t="s">
        <v>4501</v>
      </c>
      <c r="D1172" t="s">
        <v>16616</v>
      </c>
      <c r="E1172" t="s">
        <v>17816</v>
      </c>
      <c r="F1172" t="s">
        <v>28669</v>
      </c>
      <c r="G1172" t="s">
        <v>28676</v>
      </c>
      <c r="H1172" t="s">
        <v>9998</v>
      </c>
      <c r="I1172" t="s">
        <v>3718</v>
      </c>
      <c r="J1172" t="s">
        <v>29068</v>
      </c>
      <c r="K1172" t="s">
        <v>37206</v>
      </c>
      <c r="M1172" t="s">
        <v>38059</v>
      </c>
      <c r="N1172" t="s">
        <v>41249</v>
      </c>
      <c r="O1172" t="s">
        <v>41250</v>
      </c>
      <c r="P1172">
        <v>0</v>
      </c>
      <c r="Q1172">
        <v>4</v>
      </c>
      <c r="R1172" t="s">
        <v>41251</v>
      </c>
      <c r="S1172" t="s">
        <v>41369</v>
      </c>
      <c r="T1172" t="s">
        <v>42813</v>
      </c>
      <c r="U1172" t="s">
        <v>44225</v>
      </c>
      <c r="W1172" t="s">
        <v>38059</v>
      </c>
      <c r="X1172" t="s">
        <v>41252</v>
      </c>
    </row>
    <row r="1173" spans="1:24">
      <c r="A1173">
        <f>HYPERLINK("https://www.philgeps.gov.ph/GEPSNONPILOT/Tender/SplashBidNoticeAbstractUI.aspx?menuIndex=3&amp;refID=7077323&amp;Result=3","7077323")</f>
        <v>0</v>
      </c>
      <c r="B1173" t="s">
        <v>514</v>
      </c>
      <c r="C1173" t="s">
        <v>4502</v>
      </c>
      <c r="D1173" t="s">
        <v>16618</v>
      </c>
      <c r="E1173" t="s">
        <v>17817</v>
      </c>
      <c r="F1173" t="s">
        <v>28669</v>
      </c>
      <c r="G1173" t="s">
        <v>28678</v>
      </c>
      <c r="H1173" t="s">
        <v>9998</v>
      </c>
      <c r="I1173" t="s">
        <v>28754</v>
      </c>
      <c r="J1173" t="s">
        <v>28942</v>
      </c>
      <c r="K1173" t="s">
        <v>37205</v>
      </c>
      <c r="M1173" t="s">
        <v>38004</v>
      </c>
      <c r="N1173" t="s">
        <v>41249</v>
      </c>
      <c r="O1173" t="s">
        <v>41250</v>
      </c>
      <c r="P1173">
        <v>0</v>
      </c>
      <c r="Q1173">
        <v>2</v>
      </c>
      <c r="R1173" t="s">
        <v>41251</v>
      </c>
      <c r="S1173" t="s">
        <v>41369</v>
      </c>
      <c r="T1173" t="s">
        <v>42751</v>
      </c>
      <c r="U1173" t="s">
        <v>44226</v>
      </c>
      <c r="W1173" t="s">
        <v>38004</v>
      </c>
      <c r="X1173" t="s">
        <v>41252</v>
      </c>
    </row>
    <row r="1174" spans="1:24">
      <c r="A1174">
        <f>HYPERLINK("https://www.philgeps.gov.ph/GEPSNONPILOT/Tender/SplashBidNoticeAbstractUI.aspx?menuIndex=3&amp;refID=7077386&amp;Result=3","7077386")</f>
        <v>0</v>
      </c>
      <c r="B1174" t="s">
        <v>561</v>
      </c>
      <c r="C1174" t="s">
        <v>3718</v>
      </c>
      <c r="E1174" t="s">
        <v>17818</v>
      </c>
      <c r="F1174" t="s">
        <v>28669</v>
      </c>
      <c r="G1174" t="s">
        <v>28675</v>
      </c>
      <c r="H1174" t="s">
        <v>9998</v>
      </c>
      <c r="I1174" t="s">
        <v>3718</v>
      </c>
      <c r="J1174" t="s">
        <v>29349</v>
      </c>
      <c r="K1174" t="s">
        <v>37209</v>
      </c>
      <c r="M1174" t="s">
        <v>38054</v>
      </c>
      <c r="N1174" t="s">
        <v>41249</v>
      </c>
      <c r="O1174" t="s">
        <v>41250</v>
      </c>
      <c r="P1174">
        <v>0</v>
      </c>
      <c r="Q1174">
        <v>0</v>
      </c>
      <c r="R1174" t="s">
        <v>41251</v>
      </c>
      <c r="S1174" t="s">
        <v>41369</v>
      </c>
      <c r="T1174" t="s">
        <v>42810</v>
      </c>
      <c r="U1174" t="s">
        <v>44227</v>
      </c>
      <c r="W1174" t="s">
        <v>38054</v>
      </c>
      <c r="X1174" t="s">
        <v>41252</v>
      </c>
    </row>
    <row r="1175" spans="1:24">
      <c r="A1175">
        <f>HYPERLINK("https://www.philgeps.gov.ph/GEPSNONPILOT/Tender/SplashBidNoticeAbstractUI.aspx?menuIndex=3&amp;refID=7077384&amp;Result=3","7077384")</f>
        <v>0</v>
      </c>
      <c r="B1175" t="s">
        <v>169</v>
      </c>
      <c r="C1175" t="s">
        <v>4503</v>
      </c>
      <c r="D1175" t="s">
        <v>16611</v>
      </c>
      <c r="E1175" t="s">
        <v>17819</v>
      </c>
      <c r="F1175" t="s">
        <v>28669</v>
      </c>
      <c r="G1175" t="s">
        <v>28676</v>
      </c>
      <c r="H1175" t="s">
        <v>28686</v>
      </c>
      <c r="I1175" t="s">
        <v>28689</v>
      </c>
      <c r="J1175" t="s">
        <v>28851</v>
      </c>
      <c r="K1175" t="s">
        <v>37269</v>
      </c>
      <c r="M1175" t="s">
        <v>37936</v>
      </c>
      <c r="N1175" t="s">
        <v>41249</v>
      </c>
      <c r="O1175" t="s">
        <v>41250</v>
      </c>
      <c r="P1175">
        <v>0</v>
      </c>
      <c r="Q1175">
        <v>0</v>
      </c>
      <c r="R1175" t="s">
        <v>41251</v>
      </c>
      <c r="S1175" t="s">
        <v>41369</v>
      </c>
      <c r="T1175" t="s">
        <v>42764</v>
      </c>
      <c r="U1175" t="s">
        <v>44228</v>
      </c>
      <c r="W1175" t="s">
        <v>37936</v>
      </c>
      <c r="X1175" t="s">
        <v>41252</v>
      </c>
    </row>
    <row r="1176" spans="1:24">
      <c r="A1176">
        <f>HYPERLINK("https://www.philgeps.gov.ph/GEPSNONPILOT/Tender/SplashBidNoticeAbstractUI.aspx?menuIndex=3&amp;refID=7077382&amp;Result=3","7077382")</f>
        <v>0</v>
      </c>
      <c r="B1176" t="s">
        <v>288</v>
      </c>
      <c r="C1176" t="s">
        <v>4504</v>
      </c>
      <c r="D1176" t="s">
        <v>16608</v>
      </c>
      <c r="E1176" t="s">
        <v>17820</v>
      </c>
      <c r="F1176" t="s">
        <v>28669</v>
      </c>
      <c r="G1176" t="s">
        <v>28676</v>
      </c>
      <c r="H1176" t="s">
        <v>28684</v>
      </c>
      <c r="I1176" t="s">
        <v>28725</v>
      </c>
      <c r="J1176" t="s">
        <v>29404</v>
      </c>
      <c r="K1176" t="s">
        <v>37204</v>
      </c>
      <c r="M1176" t="s">
        <v>37767</v>
      </c>
      <c r="N1176" t="s">
        <v>41249</v>
      </c>
      <c r="O1176" t="s">
        <v>41250</v>
      </c>
      <c r="P1176">
        <v>0</v>
      </c>
      <c r="Q1176">
        <v>0</v>
      </c>
      <c r="R1176" t="s">
        <v>41251</v>
      </c>
      <c r="S1176" t="s">
        <v>41369</v>
      </c>
      <c r="T1176" t="s">
        <v>42673</v>
      </c>
      <c r="U1176" t="s">
        <v>43656</v>
      </c>
      <c r="W1176" t="s">
        <v>37767</v>
      </c>
      <c r="X1176" t="s">
        <v>41252</v>
      </c>
    </row>
    <row r="1177" spans="1:24">
      <c r="A1177">
        <f>HYPERLINK("https://www.philgeps.gov.ph/GEPSNONPILOT/Tender/SplashBidNoticeAbstractUI.aspx?menuIndex=3&amp;refID=7077381&amp;Result=3","7077381")</f>
        <v>0</v>
      </c>
      <c r="B1177" t="s">
        <v>564</v>
      </c>
      <c r="C1177" t="s">
        <v>4505</v>
      </c>
      <c r="D1177" t="s">
        <v>16627</v>
      </c>
      <c r="E1177" t="s">
        <v>17821</v>
      </c>
      <c r="F1177" t="s">
        <v>28669</v>
      </c>
      <c r="G1177" t="s">
        <v>28676</v>
      </c>
      <c r="H1177" t="s">
        <v>9998</v>
      </c>
      <c r="I1177" t="s">
        <v>28695</v>
      </c>
      <c r="J1177" t="s">
        <v>29676</v>
      </c>
      <c r="K1177" t="s">
        <v>37210</v>
      </c>
      <c r="M1177" t="s">
        <v>38060</v>
      </c>
      <c r="N1177" t="s">
        <v>41249</v>
      </c>
      <c r="O1177" t="s">
        <v>41250</v>
      </c>
      <c r="P1177">
        <v>0</v>
      </c>
      <c r="Q1177">
        <v>0</v>
      </c>
      <c r="R1177" t="s">
        <v>41251</v>
      </c>
      <c r="S1177" t="s">
        <v>41369</v>
      </c>
      <c r="T1177" t="s">
        <v>42673</v>
      </c>
      <c r="U1177" t="s">
        <v>44229</v>
      </c>
      <c r="V1177" t="s">
        <v>54383</v>
      </c>
      <c r="W1177" t="s">
        <v>38060</v>
      </c>
      <c r="X1177" t="s">
        <v>41252</v>
      </c>
    </row>
    <row r="1178" spans="1:24">
      <c r="A1178">
        <f>HYPERLINK("https://www.philgeps.gov.ph/GEPSNONPILOT/Tender/SplashBidNoticeAbstractUI.aspx?menuIndex=3&amp;refID=7077404&amp;Result=3","7077404")</f>
        <v>0</v>
      </c>
      <c r="B1178" t="s">
        <v>518</v>
      </c>
      <c r="C1178" t="s">
        <v>4506</v>
      </c>
      <c r="D1178" t="s">
        <v>16675</v>
      </c>
      <c r="E1178" t="s">
        <v>16861</v>
      </c>
      <c r="F1178" t="s">
        <v>28669</v>
      </c>
      <c r="G1178" t="s">
        <v>28676</v>
      </c>
      <c r="H1178" t="s">
        <v>9998</v>
      </c>
      <c r="I1178" t="s">
        <v>28690</v>
      </c>
      <c r="J1178" t="s">
        <v>29677</v>
      </c>
      <c r="K1178" t="s">
        <v>37243</v>
      </c>
      <c r="M1178" t="s">
        <v>38008</v>
      </c>
      <c r="N1178" t="s">
        <v>41249</v>
      </c>
      <c r="O1178" t="s">
        <v>41250</v>
      </c>
      <c r="P1178">
        <v>0</v>
      </c>
      <c r="Q1178">
        <v>1</v>
      </c>
      <c r="R1178" t="s">
        <v>41251</v>
      </c>
      <c r="S1178" t="s">
        <v>41369</v>
      </c>
      <c r="T1178" t="s">
        <v>42664</v>
      </c>
      <c r="U1178" t="s">
        <v>44230</v>
      </c>
      <c r="W1178" t="s">
        <v>38008</v>
      </c>
      <c r="X1178" t="s">
        <v>41252</v>
      </c>
    </row>
    <row r="1179" spans="1:24">
      <c r="A1179">
        <f>HYPERLINK("https://www.philgeps.gov.ph/GEPSNONPILOT/Tender/SplashBidNoticeAbstractUI.aspx?menuIndex=3&amp;refID=7077399&amp;Result=3","7077399")</f>
        <v>0</v>
      </c>
      <c r="B1179" t="s">
        <v>565</v>
      </c>
      <c r="C1179" t="s">
        <v>4507</v>
      </c>
      <c r="D1179" t="s">
        <v>16643</v>
      </c>
      <c r="E1179" t="s">
        <v>17822</v>
      </c>
      <c r="F1179" t="s">
        <v>28670</v>
      </c>
      <c r="G1179" t="s">
        <v>28677</v>
      </c>
      <c r="H1179" t="s">
        <v>28685</v>
      </c>
      <c r="I1179" t="s">
        <v>28728</v>
      </c>
      <c r="J1179" t="s">
        <v>29157</v>
      </c>
      <c r="K1179" t="s">
        <v>37238</v>
      </c>
      <c r="M1179" t="s">
        <v>38061</v>
      </c>
      <c r="N1179" t="s">
        <v>41249</v>
      </c>
      <c r="O1179" t="s">
        <v>41250</v>
      </c>
      <c r="P1179">
        <v>0</v>
      </c>
      <c r="Q1179">
        <v>0</v>
      </c>
      <c r="R1179" t="s">
        <v>41251</v>
      </c>
      <c r="S1179" t="s">
        <v>41369</v>
      </c>
      <c r="T1179" t="s">
        <v>42814</v>
      </c>
      <c r="U1179" t="s">
        <v>44231</v>
      </c>
      <c r="W1179" t="s">
        <v>39536</v>
      </c>
      <c r="X1179" t="s">
        <v>41252</v>
      </c>
    </row>
    <row r="1180" spans="1:24">
      <c r="A1180">
        <f>HYPERLINK("https://www.philgeps.gov.ph/GEPSNONPILOT/Tender/SplashBidNoticeAbstractUI.aspx?menuIndex=3&amp;refID=7077425&amp;Result=3","7077425")</f>
        <v>0</v>
      </c>
      <c r="B1180" t="s">
        <v>566</v>
      </c>
      <c r="C1180" t="s">
        <v>3929</v>
      </c>
      <c r="D1180" t="s">
        <v>16620</v>
      </c>
      <c r="E1180" t="s">
        <v>17823</v>
      </c>
      <c r="F1180" t="s">
        <v>28671</v>
      </c>
      <c r="G1180" t="s">
        <v>28675</v>
      </c>
      <c r="H1180" t="s">
        <v>28684</v>
      </c>
      <c r="I1180" t="s">
        <v>28688</v>
      </c>
      <c r="J1180" t="s">
        <v>29678</v>
      </c>
      <c r="K1180" t="s">
        <v>37205</v>
      </c>
      <c r="M1180" t="s">
        <v>38062</v>
      </c>
      <c r="N1180" t="s">
        <v>41249</v>
      </c>
      <c r="O1180" t="s">
        <v>41250</v>
      </c>
      <c r="P1180">
        <v>0</v>
      </c>
      <c r="Q1180">
        <v>4</v>
      </c>
      <c r="R1180" t="s">
        <v>41251</v>
      </c>
      <c r="S1180" t="s">
        <v>41369</v>
      </c>
      <c r="T1180" t="s">
        <v>42815</v>
      </c>
      <c r="U1180" t="s">
        <v>44232</v>
      </c>
      <c r="V1180" t="s">
        <v>54384</v>
      </c>
      <c r="W1180" t="s">
        <v>38062</v>
      </c>
      <c r="X1180" t="s">
        <v>41252</v>
      </c>
    </row>
    <row r="1181" spans="1:24">
      <c r="A1181">
        <f>HYPERLINK("https://www.philgeps.gov.ph/GEPSNONPILOT/Tender/SplashBidNoticeAbstractUI.aspx?menuIndex=3&amp;refID=7077424&amp;Result=3","7077424")</f>
        <v>0</v>
      </c>
      <c r="B1181" t="s">
        <v>341</v>
      </c>
      <c r="C1181" t="s">
        <v>4508</v>
      </c>
      <c r="D1181" t="s">
        <v>16652</v>
      </c>
      <c r="E1181" t="s">
        <v>17824</v>
      </c>
      <c r="F1181" t="s">
        <v>28669</v>
      </c>
      <c r="G1181" t="s">
        <v>28676</v>
      </c>
      <c r="H1181" t="s">
        <v>9998</v>
      </c>
      <c r="I1181" t="s">
        <v>3718</v>
      </c>
      <c r="J1181" t="s">
        <v>29679</v>
      </c>
      <c r="K1181" t="s">
        <v>37204</v>
      </c>
      <c r="M1181" t="s">
        <v>37848</v>
      </c>
      <c r="N1181" t="s">
        <v>41249</v>
      </c>
      <c r="O1181" t="s">
        <v>41250</v>
      </c>
      <c r="P1181">
        <v>0</v>
      </c>
      <c r="Q1181">
        <v>0</v>
      </c>
      <c r="R1181" t="s">
        <v>41251</v>
      </c>
      <c r="S1181" t="s">
        <v>41369</v>
      </c>
      <c r="T1181" t="s">
        <v>42703</v>
      </c>
      <c r="U1181" t="s">
        <v>44233</v>
      </c>
      <c r="W1181" t="s">
        <v>37848</v>
      </c>
      <c r="X1181" t="s">
        <v>41252</v>
      </c>
    </row>
    <row r="1182" spans="1:24">
      <c r="A1182">
        <f>HYPERLINK("https://www.philgeps.gov.ph/GEPSNONPILOT/Tender/SplashBidNoticeAbstractUI.aspx?menuIndex=3&amp;refID=7077423&amp;Result=3","7077423")</f>
        <v>0</v>
      </c>
      <c r="B1182" t="s">
        <v>567</v>
      </c>
      <c r="C1182" t="s">
        <v>4509</v>
      </c>
      <c r="D1182" t="s">
        <v>16630</v>
      </c>
      <c r="E1182" t="s">
        <v>17825</v>
      </c>
      <c r="F1182" t="s">
        <v>28669</v>
      </c>
      <c r="G1182" t="s">
        <v>28675</v>
      </c>
      <c r="H1182" t="s">
        <v>9998</v>
      </c>
      <c r="I1182" t="s">
        <v>28694</v>
      </c>
      <c r="J1182" t="s">
        <v>29680</v>
      </c>
      <c r="K1182" t="s">
        <v>37206</v>
      </c>
      <c r="M1182" t="s">
        <v>38063</v>
      </c>
      <c r="N1182" t="s">
        <v>41249</v>
      </c>
      <c r="O1182" t="s">
        <v>41250</v>
      </c>
      <c r="P1182">
        <v>0</v>
      </c>
      <c r="Q1182">
        <v>0</v>
      </c>
      <c r="R1182" t="s">
        <v>41251</v>
      </c>
      <c r="S1182" t="s">
        <v>41369</v>
      </c>
      <c r="T1182" t="s">
        <v>42690</v>
      </c>
      <c r="U1182" t="s">
        <v>44234</v>
      </c>
      <c r="W1182" t="s">
        <v>38063</v>
      </c>
      <c r="X1182" t="s">
        <v>41252</v>
      </c>
    </row>
    <row r="1183" spans="1:24">
      <c r="A1183">
        <f>HYPERLINK("https://www.philgeps.gov.ph/GEPSNONPILOT/Tender/SplashBidNoticeAbstractUI.aspx?menuIndex=3&amp;refID=7077430&amp;Result=3","7077430")</f>
        <v>0</v>
      </c>
      <c r="B1183" t="s">
        <v>169</v>
      </c>
      <c r="C1183" t="s">
        <v>4510</v>
      </c>
      <c r="D1183" t="s">
        <v>16611</v>
      </c>
      <c r="E1183" t="s">
        <v>17826</v>
      </c>
      <c r="F1183" t="s">
        <v>28669</v>
      </c>
      <c r="G1183" t="s">
        <v>28676</v>
      </c>
      <c r="H1183" t="s">
        <v>28686</v>
      </c>
      <c r="I1183" t="s">
        <v>28689</v>
      </c>
      <c r="J1183" t="s">
        <v>28836</v>
      </c>
      <c r="K1183" t="s">
        <v>37281</v>
      </c>
      <c r="M1183" t="s">
        <v>37936</v>
      </c>
      <c r="N1183" t="s">
        <v>41249</v>
      </c>
      <c r="O1183" t="s">
        <v>41250</v>
      </c>
      <c r="P1183">
        <v>0</v>
      </c>
      <c r="Q1183">
        <v>0</v>
      </c>
      <c r="R1183" t="s">
        <v>41251</v>
      </c>
      <c r="S1183" t="s">
        <v>41369</v>
      </c>
      <c r="T1183" t="s">
        <v>42764</v>
      </c>
      <c r="U1183" t="s">
        <v>44235</v>
      </c>
      <c r="W1183" t="s">
        <v>37936</v>
      </c>
      <c r="X1183" t="s">
        <v>41252</v>
      </c>
    </row>
    <row r="1184" spans="1:24">
      <c r="A1184">
        <f>HYPERLINK("https://www.philgeps.gov.ph/GEPSNONPILOT/Tender/SplashBidNoticeAbstractUI.aspx?menuIndex=3&amp;refID=7077377&amp;Result=3","7077377")</f>
        <v>0</v>
      </c>
      <c r="B1184" t="s">
        <v>532</v>
      </c>
      <c r="C1184" t="s">
        <v>4511</v>
      </c>
      <c r="D1184" t="s">
        <v>16675</v>
      </c>
      <c r="E1184" t="s">
        <v>17827</v>
      </c>
      <c r="F1184" t="s">
        <v>28669</v>
      </c>
      <c r="G1184" t="s">
        <v>28675</v>
      </c>
      <c r="H1184" t="s">
        <v>9998</v>
      </c>
      <c r="I1184" t="s">
        <v>28708</v>
      </c>
      <c r="J1184" t="s">
        <v>29681</v>
      </c>
      <c r="K1184" t="s">
        <v>37205</v>
      </c>
      <c r="M1184" t="s">
        <v>38023</v>
      </c>
      <c r="N1184" t="s">
        <v>41249</v>
      </c>
      <c r="O1184" t="s">
        <v>41250</v>
      </c>
      <c r="P1184">
        <v>0</v>
      </c>
      <c r="Q1184">
        <v>3</v>
      </c>
      <c r="R1184" t="s">
        <v>41251</v>
      </c>
      <c r="S1184" t="s">
        <v>41369</v>
      </c>
      <c r="T1184" t="s">
        <v>42809</v>
      </c>
      <c r="U1184" t="s">
        <v>44236</v>
      </c>
      <c r="W1184" t="s">
        <v>38023</v>
      </c>
      <c r="X1184" t="s">
        <v>41252</v>
      </c>
    </row>
    <row r="1185" spans="1:24">
      <c r="A1185">
        <f>HYPERLINK("https://www.philgeps.gov.ph/GEPSNONPILOT/Tender/SplashBidNoticeAbstractUI.aspx?menuIndex=3&amp;refID=7077405&amp;Result=3","7077405")</f>
        <v>0</v>
      </c>
      <c r="B1185" t="s">
        <v>568</v>
      </c>
      <c r="C1185" t="s">
        <v>4512</v>
      </c>
      <c r="D1185" t="s">
        <v>16608</v>
      </c>
      <c r="E1185" t="s">
        <v>17828</v>
      </c>
      <c r="F1185" t="s">
        <v>28669</v>
      </c>
      <c r="G1185" t="s">
        <v>28676</v>
      </c>
      <c r="H1185" t="s">
        <v>28684</v>
      </c>
      <c r="I1185" t="s">
        <v>28757</v>
      </c>
      <c r="J1185" t="s">
        <v>29682</v>
      </c>
      <c r="K1185" t="s">
        <v>37205</v>
      </c>
      <c r="M1185" t="s">
        <v>38064</v>
      </c>
      <c r="N1185" t="s">
        <v>41249</v>
      </c>
      <c r="O1185" t="s">
        <v>41250</v>
      </c>
      <c r="P1185">
        <v>0</v>
      </c>
      <c r="Q1185">
        <v>2</v>
      </c>
      <c r="R1185" t="s">
        <v>41251</v>
      </c>
      <c r="S1185" t="s">
        <v>41369</v>
      </c>
      <c r="T1185" t="s">
        <v>42694</v>
      </c>
      <c r="U1185" t="s">
        <v>44237</v>
      </c>
      <c r="W1185" t="s">
        <v>38064</v>
      </c>
      <c r="X1185" t="s">
        <v>41252</v>
      </c>
    </row>
    <row r="1186" spans="1:24">
      <c r="A1186">
        <f>HYPERLINK("https://www.philgeps.gov.ph/GEPSNONPILOT/Tender/SplashBidNoticeAbstractUI.aspx?menuIndex=3&amp;refID=7077428&amp;Result=3","7077428")</f>
        <v>0</v>
      </c>
      <c r="B1186" t="s">
        <v>132</v>
      </c>
      <c r="C1186" t="s">
        <v>4513</v>
      </c>
      <c r="D1186" t="s">
        <v>16639</v>
      </c>
      <c r="E1186" t="s">
        <v>17829</v>
      </c>
      <c r="F1186" t="s">
        <v>28669</v>
      </c>
      <c r="G1186" t="s">
        <v>28676</v>
      </c>
      <c r="H1186" t="s">
        <v>9998</v>
      </c>
      <c r="I1186" t="s">
        <v>28712</v>
      </c>
      <c r="J1186" t="s">
        <v>29364</v>
      </c>
      <c r="K1186" t="s">
        <v>37204</v>
      </c>
      <c r="M1186" t="s">
        <v>37608</v>
      </c>
      <c r="N1186" t="s">
        <v>41249</v>
      </c>
      <c r="O1186" t="s">
        <v>41250</v>
      </c>
      <c r="P1186">
        <v>0</v>
      </c>
      <c r="Q1186">
        <v>1</v>
      </c>
      <c r="R1186" t="s">
        <v>41251</v>
      </c>
      <c r="S1186" t="s">
        <v>41369</v>
      </c>
      <c r="T1186" t="s">
        <v>42686</v>
      </c>
      <c r="U1186" t="s">
        <v>44238</v>
      </c>
      <c r="W1186" t="s">
        <v>37608</v>
      </c>
      <c r="X1186" t="s">
        <v>41252</v>
      </c>
    </row>
    <row r="1187" spans="1:24">
      <c r="A1187">
        <f>HYPERLINK("https://www.philgeps.gov.ph/GEPSNONPILOT/Tender/SplashBidNoticeAbstractUI.aspx?menuIndex=3&amp;refID=7077402&amp;Result=3","7077402")</f>
        <v>0</v>
      </c>
      <c r="B1187" t="s">
        <v>206</v>
      </c>
      <c r="C1187" t="s">
        <v>4514</v>
      </c>
      <c r="D1187" t="s">
        <v>16617</v>
      </c>
      <c r="E1187" t="s">
        <v>17830</v>
      </c>
      <c r="F1187" t="s">
        <v>28669</v>
      </c>
      <c r="G1187" t="s">
        <v>28677</v>
      </c>
      <c r="H1187" t="s">
        <v>9998</v>
      </c>
      <c r="I1187" t="s">
        <v>28688</v>
      </c>
      <c r="J1187" t="s">
        <v>28894</v>
      </c>
      <c r="K1187" t="s">
        <v>37234</v>
      </c>
      <c r="M1187" t="s">
        <v>38065</v>
      </c>
      <c r="N1187" t="s">
        <v>41249</v>
      </c>
      <c r="O1187" t="s">
        <v>41250</v>
      </c>
      <c r="P1187">
        <v>0</v>
      </c>
      <c r="Q1187">
        <v>3</v>
      </c>
      <c r="R1187" t="s">
        <v>41251</v>
      </c>
      <c r="S1187" t="s">
        <v>41369</v>
      </c>
      <c r="T1187" t="s">
        <v>42771</v>
      </c>
      <c r="U1187" t="s">
        <v>44239</v>
      </c>
      <c r="W1187" t="s">
        <v>38065</v>
      </c>
      <c r="X1187" t="s">
        <v>41252</v>
      </c>
    </row>
    <row r="1188" spans="1:24">
      <c r="A1188">
        <f>HYPERLINK("https://www.philgeps.gov.ph/GEPSNONPILOT/Tender/SplashBidNoticeAbstractUI.aspx?menuIndex=3&amp;refID=7077422&amp;Result=3","7077422")</f>
        <v>0</v>
      </c>
      <c r="B1188" t="s">
        <v>289</v>
      </c>
      <c r="C1188" t="s">
        <v>4515</v>
      </c>
      <c r="E1188" t="s">
        <v>17831</v>
      </c>
      <c r="F1188" t="s">
        <v>28669</v>
      </c>
      <c r="G1188" t="s">
        <v>28676</v>
      </c>
      <c r="H1188" t="s">
        <v>9998</v>
      </c>
      <c r="I1188" t="s">
        <v>28728</v>
      </c>
      <c r="J1188" t="s">
        <v>29683</v>
      </c>
      <c r="K1188" t="s">
        <v>37209</v>
      </c>
      <c r="M1188" t="s">
        <v>38066</v>
      </c>
      <c r="N1188" t="s">
        <v>41249</v>
      </c>
      <c r="O1188" t="s">
        <v>41250</v>
      </c>
      <c r="P1188">
        <v>0</v>
      </c>
      <c r="Q1188">
        <v>0</v>
      </c>
      <c r="R1188" t="s">
        <v>41251</v>
      </c>
      <c r="S1188" t="s">
        <v>41369</v>
      </c>
      <c r="T1188" t="s">
        <v>42742</v>
      </c>
      <c r="U1188" t="s">
        <v>44240</v>
      </c>
      <c r="W1188" t="s">
        <v>38066</v>
      </c>
      <c r="X1188" t="s">
        <v>41252</v>
      </c>
    </row>
    <row r="1189" spans="1:24">
      <c r="A1189">
        <f>HYPERLINK("https://www.philgeps.gov.ph/GEPSNONPILOT/Tender/SplashBidNoticeAbstractUI.aspx?menuIndex=3&amp;refID=7077427&amp;Result=3","7077427")</f>
        <v>0</v>
      </c>
      <c r="B1189" t="s">
        <v>386</v>
      </c>
      <c r="C1189" t="s">
        <v>4516</v>
      </c>
      <c r="D1189" t="s">
        <v>16615</v>
      </c>
      <c r="E1189" t="s">
        <v>17832</v>
      </c>
      <c r="F1189" t="s">
        <v>28669</v>
      </c>
      <c r="G1189" t="s">
        <v>28678</v>
      </c>
      <c r="H1189" t="s">
        <v>9998</v>
      </c>
      <c r="I1189" t="s">
        <v>6128</v>
      </c>
      <c r="J1189" t="s">
        <v>29684</v>
      </c>
      <c r="K1189" t="s">
        <v>37209</v>
      </c>
      <c r="M1189" t="s">
        <v>37870</v>
      </c>
      <c r="N1189" t="s">
        <v>41249</v>
      </c>
      <c r="O1189" t="s">
        <v>41250</v>
      </c>
      <c r="P1189">
        <v>0</v>
      </c>
      <c r="Q1189">
        <v>0</v>
      </c>
      <c r="R1189" t="s">
        <v>41251</v>
      </c>
      <c r="S1189" t="s">
        <v>41369</v>
      </c>
      <c r="T1189" t="s">
        <v>42675</v>
      </c>
      <c r="U1189" t="s">
        <v>44241</v>
      </c>
      <c r="W1189" t="s">
        <v>37870</v>
      </c>
      <c r="X1189" t="s">
        <v>41252</v>
      </c>
    </row>
    <row r="1190" spans="1:24">
      <c r="A1190">
        <f>HYPERLINK("https://www.philgeps.gov.ph/GEPSNONPILOT/Tender/SplashBidNoticeAbstractUI.aspx?menuIndex=3&amp;refID=7077420&amp;Result=3","7077420")</f>
        <v>0</v>
      </c>
      <c r="B1190" t="s">
        <v>569</v>
      </c>
      <c r="C1190" t="s">
        <v>4517</v>
      </c>
      <c r="D1190" t="s">
        <v>16634</v>
      </c>
      <c r="E1190" t="s">
        <v>17833</v>
      </c>
      <c r="F1190" t="s">
        <v>28669</v>
      </c>
      <c r="G1190" t="s">
        <v>28675</v>
      </c>
      <c r="H1190" t="s">
        <v>9998</v>
      </c>
      <c r="I1190" t="s">
        <v>28756</v>
      </c>
      <c r="J1190" t="s">
        <v>29685</v>
      </c>
      <c r="K1190" t="s">
        <v>37282</v>
      </c>
      <c r="M1190" t="s">
        <v>38067</v>
      </c>
      <c r="N1190" t="s">
        <v>41249</v>
      </c>
      <c r="O1190" t="s">
        <v>41250</v>
      </c>
      <c r="P1190">
        <v>0</v>
      </c>
      <c r="Q1190">
        <v>0</v>
      </c>
      <c r="R1190" t="s">
        <v>41251</v>
      </c>
      <c r="S1190" t="s">
        <v>41369</v>
      </c>
      <c r="T1190" t="s">
        <v>42690</v>
      </c>
      <c r="U1190" t="s">
        <v>44242</v>
      </c>
      <c r="V1190" t="s">
        <v>54385</v>
      </c>
      <c r="W1190" t="s">
        <v>38067</v>
      </c>
      <c r="X1190" t="s">
        <v>41252</v>
      </c>
    </row>
    <row r="1191" spans="1:24">
      <c r="A1191">
        <f>HYPERLINK("https://www.philgeps.gov.ph/GEPSNONPILOT/Tender/SplashBidNoticeAbstractUI.aspx?menuIndex=3&amp;refID=7077416&amp;Result=3","7077416")</f>
        <v>0</v>
      </c>
      <c r="B1191" t="s">
        <v>549</v>
      </c>
      <c r="C1191" t="s">
        <v>4518</v>
      </c>
      <c r="D1191" t="s">
        <v>16646</v>
      </c>
      <c r="E1191" t="s">
        <v>17834</v>
      </c>
      <c r="F1191" t="s">
        <v>28669</v>
      </c>
      <c r="G1191" t="s">
        <v>28675</v>
      </c>
      <c r="H1191" t="s">
        <v>9998</v>
      </c>
      <c r="I1191" t="s">
        <v>28701</v>
      </c>
      <c r="J1191" t="s">
        <v>29686</v>
      </c>
      <c r="K1191" t="s">
        <v>37279</v>
      </c>
      <c r="M1191" t="s">
        <v>38042</v>
      </c>
      <c r="N1191" t="s">
        <v>41249</v>
      </c>
      <c r="O1191" t="s">
        <v>41250</v>
      </c>
      <c r="P1191">
        <v>0</v>
      </c>
      <c r="Q1191">
        <v>1</v>
      </c>
      <c r="R1191" t="s">
        <v>41251</v>
      </c>
      <c r="S1191" t="s">
        <v>41369</v>
      </c>
      <c r="T1191" t="s">
        <v>42808</v>
      </c>
      <c r="U1191" t="s">
        <v>44165</v>
      </c>
      <c r="V1191" t="s">
        <v>54375</v>
      </c>
      <c r="W1191" t="s">
        <v>38042</v>
      </c>
      <c r="X1191" t="s">
        <v>41252</v>
      </c>
    </row>
    <row r="1192" spans="1:24">
      <c r="A1192">
        <f>HYPERLINK("https://www.philgeps.gov.ph/GEPSNONPILOT/Tender/SplashBidNoticeAbstractUI.aspx?menuIndex=3&amp;refID=7077380&amp;Result=3","7077380")</f>
        <v>0</v>
      </c>
      <c r="B1192" t="s">
        <v>570</v>
      </c>
      <c r="C1192" t="s">
        <v>4519</v>
      </c>
      <c r="D1192" t="s">
        <v>16687</v>
      </c>
      <c r="E1192" t="s">
        <v>17835</v>
      </c>
      <c r="F1192" t="s">
        <v>28669</v>
      </c>
      <c r="G1192" t="s">
        <v>28675</v>
      </c>
      <c r="H1192" t="s">
        <v>28686</v>
      </c>
      <c r="I1192" t="s">
        <v>28689</v>
      </c>
      <c r="J1192" t="s">
        <v>28877</v>
      </c>
      <c r="K1192" t="s">
        <v>37233</v>
      </c>
      <c r="M1192" t="s">
        <v>38068</v>
      </c>
      <c r="N1192" t="s">
        <v>41249</v>
      </c>
      <c r="O1192" t="s">
        <v>41250</v>
      </c>
      <c r="P1192">
        <v>0</v>
      </c>
      <c r="Q1192">
        <v>0</v>
      </c>
      <c r="R1192" t="s">
        <v>41251</v>
      </c>
      <c r="S1192" t="s">
        <v>41369</v>
      </c>
      <c r="T1192" t="s">
        <v>42692</v>
      </c>
      <c r="U1192" t="s">
        <v>44243</v>
      </c>
      <c r="W1192" t="s">
        <v>38068</v>
      </c>
      <c r="X1192" t="s">
        <v>41252</v>
      </c>
    </row>
    <row r="1193" spans="1:24">
      <c r="A1193">
        <f>HYPERLINK("https://www.philgeps.gov.ph/GEPSNONPILOT/Tender/SplashBidNoticeAbstractUI.aspx?menuIndex=3&amp;refID=7077429&amp;Result=3","7077429")</f>
        <v>0</v>
      </c>
      <c r="B1193" t="s">
        <v>288</v>
      </c>
      <c r="C1193" t="s">
        <v>4520</v>
      </c>
      <c r="D1193" t="s">
        <v>16608</v>
      </c>
      <c r="E1193" t="s">
        <v>17168</v>
      </c>
      <c r="F1193" t="s">
        <v>28669</v>
      </c>
      <c r="G1193" t="s">
        <v>28676</v>
      </c>
      <c r="H1193" t="s">
        <v>28684</v>
      </c>
      <c r="I1193" t="s">
        <v>28725</v>
      </c>
      <c r="J1193" t="s">
        <v>29664</v>
      </c>
      <c r="K1193" t="s">
        <v>37204</v>
      </c>
      <c r="M1193" t="s">
        <v>37767</v>
      </c>
      <c r="N1193" t="s">
        <v>41249</v>
      </c>
      <c r="O1193" t="s">
        <v>41250</v>
      </c>
      <c r="P1193">
        <v>0</v>
      </c>
      <c r="Q1193">
        <v>2</v>
      </c>
      <c r="R1193" t="s">
        <v>41251</v>
      </c>
      <c r="S1193" t="s">
        <v>41369</v>
      </c>
      <c r="T1193" t="s">
        <v>42673</v>
      </c>
      <c r="U1193" t="s">
        <v>43656</v>
      </c>
      <c r="W1193" t="s">
        <v>37767</v>
      </c>
      <c r="X1193" t="s">
        <v>41252</v>
      </c>
    </row>
    <row r="1194" spans="1:24">
      <c r="A1194">
        <f>HYPERLINK("https://www.philgeps.gov.ph/GEPSNONPILOT/Tender/SplashBidNoticeAbstractUI.aspx?menuIndex=3&amp;refID=7077409&amp;Result=3","7077409")</f>
        <v>0</v>
      </c>
      <c r="B1194" t="s">
        <v>391</v>
      </c>
      <c r="C1194" t="s">
        <v>4521</v>
      </c>
      <c r="D1194" t="s">
        <v>16673</v>
      </c>
      <c r="E1194" t="s">
        <v>17836</v>
      </c>
      <c r="F1194" t="s">
        <v>28669</v>
      </c>
      <c r="G1194" t="s">
        <v>28675</v>
      </c>
      <c r="H1194" t="s">
        <v>9998</v>
      </c>
      <c r="I1194" t="s">
        <v>5213</v>
      </c>
      <c r="J1194" t="s">
        <v>29687</v>
      </c>
      <c r="K1194" t="s">
        <v>37206</v>
      </c>
      <c r="M1194" t="s">
        <v>37875</v>
      </c>
      <c r="N1194" t="s">
        <v>41249</v>
      </c>
      <c r="O1194" t="s">
        <v>41250</v>
      </c>
      <c r="P1194">
        <v>0</v>
      </c>
      <c r="Q1194">
        <v>0</v>
      </c>
      <c r="R1194" t="s">
        <v>41251</v>
      </c>
      <c r="S1194" t="s">
        <v>41369</v>
      </c>
      <c r="T1194" t="s">
        <v>42709</v>
      </c>
      <c r="U1194" t="s">
        <v>44244</v>
      </c>
      <c r="W1194" t="s">
        <v>37875</v>
      </c>
      <c r="X1194" t="s">
        <v>41252</v>
      </c>
    </row>
    <row r="1195" spans="1:24">
      <c r="A1195">
        <f>HYPERLINK("https://www.philgeps.gov.ph/GEPSNONPILOT/Tender/SplashBidNoticeAbstractUI.aspx?menuIndex=3&amp;refID=7077400&amp;Result=3","7077400")</f>
        <v>0</v>
      </c>
      <c r="B1195" t="s">
        <v>325</v>
      </c>
      <c r="C1195" t="s">
        <v>4522</v>
      </c>
      <c r="D1195" t="s">
        <v>16661</v>
      </c>
      <c r="E1195" t="s">
        <v>17837</v>
      </c>
      <c r="F1195" t="s">
        <v>28669</v>
      </c>
      <c r="G1195" t="s">
        <v>28676</v>
      </c>
      <c r="H1195" t="s">
        <v>9998</v>
      </c>
      <c r="I1195" t="s">
        <v>28706</v>
      </c>
      <c r="J1195" t="s">
        <v>29688</v>
      </c>
      <c r="K1195" t="s">
        <v>37204</v>
      </c>
      <c r="M1195" t="s">
        <v>38069</v>
      </c>
      <c r="N1195" t="s">
        <v>41249</v>
      </c>
      <c r="O1195" t="s">
        <v>41250</v>
      </c>
      <c r="P1195">
        <v>0</v>
      </c>
      <c r="Q1195">
        <v>1</v>
      </c>
      <c r="R1195" t="s">
        <v>41251</v>
      </c>
      <c r="S1195" t="s">
        <v>41369</v>
      </c>
      <c r="T1195" t="s">
        <v>42757</v>
      </c>
      <c r="U1195" t="s">
        <v>44245</v>
      </c>
      <c r="W1195" t="s">
        <v>38069</v>
      </c>
      <c r="X1195" t="s">
        <v>41252</v>
      </c>
    </row>
    <row r="1196" spans="1:24">
      <c r="A1196">
        <f>HYPERLINK("https://www.philgeps.gov.ph/GEPSNONPILOT/Tender/SplashBidNoticeAbstractUI.aspx?menuIndex=3&amp;refID=7077407&amp;Result=3","7077407")</f>
        <v>0</v>
      </c>
      <c r="B1196" t="s">
        <v>571</v>
      </c>
      <c r="C1196" t="s">
        <v>4523</v>
      </c>
      <c r="D1196" t="s">
        <v>16661</v>
      </c>
      <c r="E1196" t="s">
        <v>17838</v>
      </c>
      <c r="F1196" t="s">
        <v>28669</v>
      </c>
      <c r="G1196" t="s">
        <v>28675</v>
      </c>
      <c r="H1196" t="s">
        <v>9998</v>
      </c>
      <c r="I1196" t="s">
        <v>7352</v>
      </c>
      <c r="J1196" t="s">
        <v>29689</v>
      </c>
      <c r="K1196" t="s">
        <v>37204</v>
      </c>
      <c r="M1196" t="s">
        <v>38070</v>
      </c>
      <c r="N1196" t="s">
        <v>41249</v>
      </c>
      <c r="O1196" t="s">
        <v>41250</v>
      </c>
      <c r="P1196">
        <v>0</v>
      </c>
      <c r="Q1196">
        <v>1</v>
      </c>
      <c r="R1196" t="s">
        <v>41251</v>
      </c>
      <c r="S1196" t="s">
        <v>41369</v>
      </c>
      <c r="T1196" t="s">
        <v>42676</v>
      </c>
      <c r="U1196" t="s">
        <v>44246</v>
      </c>
      <c r="W1196" t="s">
        <v>38070</v>
      </c>
      <c r="X1196" t="s">
        <v>41252</v>
      </c>
    </row>
    <row r="1197" spans="1:24">
      <c r="A1197">
        <f>HYPERLINK("https://www.philgeps.gov.ph/GEPSNONPILOT/Tender/SplashBidNoticeAbstractUI.aspx?menuIndex=3&amp;refID=7077434&amp;Result=3","7077434")</f>
        <v>0</v>
      </c>
      <c r="B1197" t="s">
        <v>178</v>
      </c>
      <c r="C1197" t="s">
        <v>4524</v>
      </c>
      <c r="D1197" t="s">
        <v>16608</v>
      </c>
      <c r="E1197" t="s">
        <v>17839</v>
      </c>
      <c r="F1197" t="s">
        <v>28669</v>
      </c>
      <c r="G1197" t="s">
        <v>28675</v>
      </c>
      <c r="H1197" t="s">
        <v>9998</v>
      </c>
      <c r="I1197" t="s">
        <v>28764</v>
      </c>
      <c r="J1197" t="s">
        <v>29690</v>
      </c>
      <c r="K1197" t="s">
        <v>37220</v>
      </c>
      <c r="M1197" t="s">
        <v>37655</v>
      </c>
      <c r="N1197" t="s">
        <v>41249</v>
      </c>
      <c r="O1197" t="s">
        <v>41250</v>
      </c>
      <c r="P1197">
        <v>0</v>
      </c>
      <c r="Q1197">
        <v>3</v>
      </c>
      <c r="R1197" t="s">
        <v>41251</v>
      </c>
      <c r="S1197" t="s">
        <v>41369</v>
      </c>
      <c r="T1197" t="s">
        <v>42669</v>
      </c>
      <c r="U1197" t="s">
        <v>44247</v>
      </c>
      <c r="W1197" t="s">
        <v>37655</v>
      </c>
      <c r="X1197" t="s">
        <v>41252</v>
      </c>
    </row>
    <row r="1198" spans="1:24">
      <c r="A1198">
        <f>HYPERLINK("https://www.philgeps.gov.ph/GEPSNONPILOT/Tender/SplashBidNoticeAbstractUI.aspx?menuIndex=3&amp;refID=7077454&amp;Result=3","7077454")</f>
        <v>0</v>
      </c>
      <c r="B1198" t="s">
        <v>326</v>
      </c>
      <c r="C1198" t="s">
        <v>4525</v>
      </c>
      <c r="D1198" t="s">
        <v>16665</v>
      </c>
      <c r="E1198" t="s">
        <v>17840</v>
      </c>
      <c r="F1198" t="s">
        <v>28669</v>
      </c>
      <c r="G1198" t="s">
        <v>28675</v>
      </c>
      <c r="H1198" t="s">
        <v>28686</v>
      </c>
      <c r="I1198" t="s">
        <v>28689</v>
      </c>
      <c r="J1198" t="s">
        <v>29691</v>
      </c>
      <c r="K1198" t="s">
        <v>37218</v>
      </c>
      <c r="M1198" t="s">
        <v>37806</v>
      </c>
      <c r="N1198" t="s">
        <v>41249</v>
      </c>
      <c r="O1198" t="s">
        <v>41250</v>
      </c>
      <c r="P1198">
        <v>0</v>
      </c>
      <c r="Q1198">
        <v>0</v>
      </c>
      <c r="R1198" t="s">
        <v>41251</v>
      </c>
      <c r="S1198" t="s">
        <v>41369</v>
      </c>
      <c r="T1198" t="s">
        <v>42808</v>
      </c>
      <c r="U1198" t="s">
        <v>44248</v>
      </c>
      <c r="W1198" t="s">
        <v>37806</v>
      </c>
      <c r="X1198" t="s">
        <v>41252</v>
      </c>
    </row>
    <row r="1199" spans="1:24">
      <c r="A1199">
        <f>HYPERLINK("https://www.philgeps.gov.ph/GEPSNONPILOT/Tender/SplashBidNoticeAbstractUI.aspx?menuIndex=3&amp;refID=7077414&amp;Result=3","7077414")</f>
        <v>0</v>
      </c>
      <c r="B1199" t="s">
        <v>132</v>
      </c>
      <c r="C1199" t="s">
        <v>4526</v>
      </c>
      <c r="D1199" t="s">
        <v>16639</v>
      </c>
      <c r="E1199" t="s">
        <v>17841</v>
      </c>
      <c r="F1199" t="s">
        <v>28669</v>
      </c>
      <c r="G1199" t="s">
        <v>28676</v>
      </c>
      <c r="H1199" t="s">
        <v>9998</v>
      </c>
      <c r="I1199" t="s">
        <v>28712</v>
      </c>
      <c r="J1199" t="s">
        <v>29203</v>
      </c>
      <c r="K1199" t="s">
        <v>37204</v>
      </c>
      <c r="M1199" t="s">
        <v>37608</v>
      </c>
      <c r="N1199" t="s">
        <v>41249</v>
      </c>
      <c r="O1199" t="s">
        <v>41250</v>
      </c>
      <c r="P1199">
        <v>0</v>
      </c>
      <c r="Q1199">
        <v>1</v>
      </c>
      <c r="R1199" t="s">
        <v>41251</v>
      </c>
      <c r="S1199" t="s">
        <v>41369</v>
      </c>
      <c r="T1199" t="s">
        <v>42686</v>
      </c>
      <c r="U1199" t="s">
        <v>44249</v>
      </c>
      <c r="W1199" t="s">
        <v>37608</v>
      </c>
      <c r="X1199" t="s">
        <v>41252</v>
      </c>
    </row>
    <row r="1200" spans="1:24">
      <c r="A1200">
        <f>HYPERLINK("https://www.philgeps.gov.ph/GEPSNONPILOT/Tender/SplashBidNoticeAbstractUI.aspx?menuIndex=3&amp;refID=7077458&amp;Result=3","7077458")</f>
        <v>0</v>
      </c>
      <c r="B1200" t="s">
        <v>572</v>
      </c>
      <c r="C1200" t="s">
        <v>4527</v>
      </c>
      <c r="D1200" t="s">
        <v>16622</v>
      </c>
      <c r="E1200" t="s">
        <v>17842</v>
      </c>
      <c r="F1200" t="s">
        <v>28669</v>
      </c>
      <c r="G1200" t="s">
        <v>28675</v>
      </c>
      <c r="H1200" t="s">
        <v>9998</v>
      </c>
      <c r="I1200" t="s">
        <v>28695</v>
      </c>
      <c r="J1200" t="s">
        <v>29692</v>
      </c>
      <c r="K1200" t="s">
        <v>37209</v>
      </c>
      <c r="M1200" t="s">
        <v>38071</v>
      </c>
      <c r="N1200" t="s">
        <v>41249</v>
      </c>
      <c r="O1200" t="s">
        <v>41250</v>
      </c>
      <c r="P1200">
        <v>0</v>
      </c>
      <c r="Q1200">
        <v>0</v>
      </c>
      <c r="R1200" t="s">
        <v>41251</v>
      </c>
      <c r="S1200" t="s">
        <v>41369</v>
      </c>
      <c r="T1200" t="s">
        <v>42816</v>
      </c>
      <c r="U1200" t="s">
        <v>44250</v>
      </c>
      <c r="W1200" t="s">
        <v>38071</v>
      </c>
      <c r="X1200" t="s">
        <v>41252</v>
      </c>
    </row>
    <row r="1201" spans="1:24">
      <c r="A1201">
        <f>HYPERLINK("https://www.philgeps.gov.ph/GEPSNONPILOT/Tender/SplashBidNoticeAbstractUI.aspx?menuIndex=3&amp;refID=7077426&amp;Result=3","7077426")</f>
        <v>0</v>
      </c>
      <c r="B1201" t="s">
        <v>573</v>
      </c>
      <c r="C1201" t="s">
        <v>4528</v>
      </c>
      <c r="D1201" t="s">
        <v>16615</v>
      </c>
      <c r="E1201" t="s">
        <v>17843</v>
      </c>
      <c r="F1201" t="s">
        <v>28669</v>
      </c>
      <c r="G1201" t="s">
        <v>28676</v>
      </c>
      <c r="H1201" t="s">
        <v>9998</v>
      </c>
      <c r="I1201" t="s">
        <v>28699</v>
      </c>
      <c r="J1201" t="s">
        <v>29191</v>
      </c>
      <c r="K1201" t="s">
        <v>37204</v>
      </c>
      <c r="M1201" t="s">
        <v>38072</v>
      </c>
      <c r="N1201" t="s">
        <v>41249</v>
      </c>
      <c r="O1201" t="s">
        <v>41250</v>
      </c>
      <c r="P1201">
        <v>0</v>
      </c>
      <c r="Q1201">
        <v>1</v>
      </c>
      <c r="R1201" t="s">
        <v>41251</v>
      </c>
      <c r="S1201" t="s">
        <v>41369</v>
      </c>
      <c r="T1201" t="s">
        <v>42670</v>
      </c>
      <c r="U1201" t="s">
        <v>44251</v>
      </c>
      <c r="W1201" t="s">
        <v>38072</v>
      </c>
      <c r="X1201" t="s">
        <v>41252</v>
      </c>
    </row>
    <row r="1202" spans="1:24">
      <c r="A1202">
        <f>HYPERLINK("https://www.philgeps.gov.ph/GEPSNONPILOT/Tender/SplashBidNoticeAbstractUI.aspx?menuIndex=3&amp;refID=7077453&amp;Result=3","7077453")</f>
        <v>0</v>
      </c>
      <c r="B1202" t="s">
        <v>569</v>
      </c>
      <c r="C1202" t="s">
        <v>4529</v>
      </c>
      <c r="D1202" t="s">
        <v>16634</v>
      </c>
      <c r="E1202" t="s">
        <v>17844</v>
      </c>
      <c r="F1202" t="s">
        <v>28669</v>
      </c>
      <c r="G1202" t="s">
        <v>28675</v>
      </c>
      <c r="H1202" t="s">
        <v>9998</v>
      </c>
      <c r="I1202" t="s">
        <v>28756</v>
      </c>
      <c r="J1202" t="s">
        <v>29693</v>
      </c>
      <c r="K1202" t="s">
        <v>37283</v>
      </c>
      <c r="M1202" t="s">
        <v>38067</v>
      </c>
      <c r="N1202" t="s">
        <v>41249</v>
      </c>
      <c r="O1202" t="s">
        <v>41250</v>
      </c>
      <c r="P1202">
        <v>0</v>
      </c>
      <c r="Q1202">
        <v>0</v>
      </c>
      <c r="R1202" t="s">
        <v>41251</v>
      </c>
      <c r="S1202" t="s">
        <v>41369</v>
      </c>
      <c r="T1202" t="s">
        <v>42690</v>
      </c>
      <c r="U1202" t="s">
        <v>44242</v>
      </c>
      <c r="V1202" t="s">
        <v>54386</v>
      </c>
      <c r="W1202" t="s">
        <v>38067</v>
      </c>
      <c r="X1202" t="s">
        <v>41252</v>
      </c>
    </row>
    <row r="1203" spans="1:24">
      <c r="A1203">
        <f>HYPERLINK("https://www.philgeps.gov.ph/GEPSNONPILOT/Tender/SplashBidNoticeAbstractUI.aspx?menuIndex=3&amp;refID=7077452&amp;Result=3","7077452")</f>
        <v>0</v>
      </c>
      <c r="B1203" t="s">
        <v>439</v>
      </c>
      <c r="C1203" t="s">
        <v>4530</v>
      </c>
      <c r="D1203" t="s">
        <v>16608</v>
      </c>
      <c r="E1203" t="s">
        <v>17845</v>
      </c>
      <c r="F1203" t="s">
        <v>28669</v>
      </c>
      <c r="G1203" t="s">
        <v>28676</v>
      </c>
      <c r="H1203" t="s">
        <v>9998</v>
      </c>
      <c r="I1203" t="s">
        <v>7352</v>
      </c>
      <c r="J1203" t="s">
        <v>29694</v>
      </c>
      <c r="K1203" t="s">
        <v>37220</v>
      </c>
      <c r="M1203" t="s">
        <v>37924</v>
      </c>
      <c r="N1203" t="s">
        <v>41249</v>
      </c>
      <c r="O1203" t="s">
        <v>41250</v>
      </c>
      <c r="P1203">
        <v>0</v>
      </c>
      <c r="Q1203">
        <v>0</v>
      </c>
      <c r="R1203" t="s">
        <v>41251</v>
      </c>
      <c r="S1203" t="s">
        <v>41369</v>
      </c>
      <c r="T1203" t="s">
        <v>42690</v>
      </c>
      <c r="U1203" t="s">
        <v>44215</v>
      </c>
      <c r="W1203" t="s">
        <v>37924</v>
      </c>
      <c r="X1203" t="s">
        <v>41252</v>
      </c>
    </row>
    <row r="1204" spans="1:24">
      <c r="A1204">
        <f>HYPERLINK("https://www.philgeps.gov.ph/GEPSNONPILOT/Tender/SplashBidNoticeAbstractUI.aspx?menuIndex=3&amp;refID=7077451&amp;Result=3","7077451")</f>
        <v>0</v>
      </c>
      <c r="B1204" t="s">
        <v>561</v>
      </c>
      <c r="C1204" t="s">
        <v>4531</v>
      </c>
      <c r="E1204" t="s">
        <v>17846</v>
      </c>
      <c r="F1204" t="s">
        <v>28669</v>
      </c>
      <c r="G1204" t="s">
        <v>28679</v>
      </c>
      <c r="H1204" t="s">
        <v>9998</v>
      </c>
      <c r="I1204" t="s">
        <v>28697</v>
      </c>
      <c r="J1204" t="s">
        <v>29695</v>
      </c>
      <c r="K1204" t="s">
        <v>37209</v>
      </c>
      <c r="M1204" t="s">
        <v>38054</v>
      </c>
      <c r="N1204" t="s">
        <v>41249</v>
      </c>
      <c r="O1204" t="s">
        <v>41250</v>
      </c>
      <c r="P1204">
        <v>0</v>
      </c>
      <c r="Q1204">
        <v>1</v>
      </c>
      <c r="R1204" t="s">
        <v>41251</v>
      </c>
      <c r="S1204" t="s">
        <v>41369</v>
      </c>
      <c r="T1204" t="s">
        <v>42817</v>
      </c>
      <c r="U1204" t="s">
        <v>44252</v>
      </c>
      <c r="W1204" t="s">
        <v>38054</v>
      </c>
      <c r="X1204" t="s">
        <v>41252</v>
      </c>
    </row>
    <row r="1205" spans="1:24">
      <c r="A1205">
        <f>HYPERLINK("https://www.philgeps.gov.ph/GEPSNONPILOT/Tender/SplashBidNoticeAbstractUI.aspx?menuIndex=3&amp;refID=7077449&amp;Result=3","7077449")</f>
        <v>0</v>
      </c>
      <c r="B1205" t="s">
        <v>170</v>
      </c>
      <c r="C1205" t="s">
        <v>4532</v>
      </c>
      <c r="D1205" t="s">
        <v>16639</v>
      </c>
      <c r="E1205" t="s">
        <v>17847</v>
      </c>
      <c r="F1205" t="s">
        <v>28669</v>
      </c>
      <c r="G1205" t="s">
        <v>28676</v>
      </c>
      <c r="H1205" t="s">
        <v>9998</v>
      </c>
      <c r="I1205" t="s">
        <v>6128</v>
      </c>
      <c r="J1205" t="s">
        <v>29696</v>
      </c>
      <c r="K1205" t="s">
        <v>37206</v>
      </c>
      <c r="M1205" t="s">
        <v>37647</v>
      </c>
      <c r="N1205" t="s">
        <v>41249</v>
      </c>
      <c r="O1205" t="s">
        <v>41250</v>
      </c>
      <c r="P1205">
        <v>0</v>
      </c>
      <c r="Q1205">
        <v>0</v>
      </c>
      <c r="R1205" t="s">
        <v>41251</v>
      </c>
      <c r="S1205" t="s">
        <v>41369</v>
      </c>
      <c r="T1205" t="s">
        <v>42711</v>
      </c>
      <c r="U1205" t="s">
        <v>44253</v>
      </c>
      <c r="V1205" t="s">
        <v>54387</v>
      </c>
      <c r="W1205" t="s">
        <v>37647</v>
      </c>
      <c r="X1205" t="s">
        <v>41252</v>
      </c>
    </row>
    <row r="1206" spans="1:24">
      <c r="A1206">
        <f>HYPERLINK("https://www.philgeps.gov.ph/GEPSNONPILOT/Tender/SplashBidNoticeAbstractUI.aspx?menuIndex=3&amp;refID=7077412&amp;Result=3","7077412")</f>
        <v>0</v>
      </c>
      <c r="B1206" t="s">
        <v>520</v>
      </c>
      <c r="C1206" t="s">
        <v>4533</v>
      </c>
      <c r="E1206" t="s">
        <v>17848</v>
      </c>
      <c r="F1206" t="s">
        <v>28669</v>
      </c>
      <c r="G1206" t="s">
        <v>28675</v>
      </c>
      <c r="H1206" t="s">
        <v>9998</v>
      </c>
      <c r="I1206" t="s">
        <v>3718</v>
      </c>
      <c r="J1206" t="s">
        <v>29134</v>
      </c>
      <c r="K1206" t="s">
        <v>37209</v>
      </c>
      <c r="M1206" t="s">
        <v>38011</v>
      </c>
      <c r="N1206" t="s">
        <v>41249</v>
      </c>
      <c r="O1206" t="s">
        <v>41250</v>
      </c>
      <c r="P1206">
        <v>0</v>
      </c>
      <c r="Q1206">
        <v>3</v>
      </c>
      <c r="R1206" t="s">
        <v>41251</v>
      </c>
      <c r="S1206" t="s">
        <v>41369</v>
      </c>
      <c r="T1206" t="s">
        <v>42698</v>
      </c>
      <c r="U1206" t="s">
        <v>44254</v>
      </c>
      <c r="W1206" t="s">
        <v>38011</v>
      </c>
      <c r="X1206" t="s">
        <v>41252</v>
      </c>
    </row>
    <row r="1207" spans="1:24">
      <c r="A1207">
        <f>HYPERLINK("https://www.philgeps.gov.ph/GEPSNONPILOT/Tender/SplashBidNoticeAbstractUI.aspx?menuIndex=3&amp;refID=7077447&amp;Result=3","7077447")</f>
        <v>0</v>
      </c>
      <c r="B1207" t="s">
        <v>574</v>
      </c>
      <c r="C1207" t="s">
        <v>4534</v>
      </c>
      <c r="D1207" t="s">
        <v>16642</v>
      </c>
      <c r="E1207" t="s">
        <v>17849</v>
      </c>
      <c r="F1207" t="s">
        <v>28669</v>
      </c>
      <c r="G1207" t="s">
        <v>28675</v>
      </c>
      <c r="H1207" t="s">
        <v>9998</v>
      </c>
      <c r="I1207" t="s">
        <v>5213</v>
      </c>
      <c r="J1207" t="s">
        <v>29697</v>
      </c>
      <c r="K1207" t="s">
        <v>37227</v>
      </c>
      <c r="M1207" t="s">
        <v>38073</v>
      </c>
      <c r="N1207" t="s">
        <v>41249</v>
      </c>
      <c r="O1207" t="s">
        <v>41250</v>
      </c>
      <c r="P1207">
        <v>0</v>
      </c>
      <c r="Q1207">
        <v>0</v>
      </c>
      <c r="R1207" t="s">
        <v>41251</v>
      </c>
      <c r="S1207" t="s">
        <v>41369</v>
      </c>
      <c r="T1207" t="s">
        <v>42688</v>
      </c>
      <c r="U1207" t="s">
        <v>44255</v>
      </c>
      <c r="W1207" t="s">
        <v>38073</v>
      </c>
      <c r="X1207" t="s">
        <v>41252</v>
      </c>
    </row>
    <row r="1208" spans="1:24">
      <c r="A1208">
        <f>HYPERLINK("https://www.philgeps.gov.ph/GEPSNONPILOT/Tender/SplashBidNoticeAbstractUI.aspx?menuIndex=3&amp;refID=7077455&amp;Result=3","7077455")</f>
        <v>0</v>
      </c>
      <c r="B1208" t="s">
        <v>575</v>
      </c>
      <c r="C1208" t="s">
        <v>4535</v>
      </c>
      <c r="D1208" t="s">
        <v>16660</v>
      </c>
      <c r="E1208" t="s">
        <v>17850</v>
      </c>
      <c r="F1208" t="s">
        <v>28669</v>
      </c>
      <c r="G1208" t="s">
        <v>28676</v>
      </c>
      <c r="H1208" t="s">
        <v>9998</v>
      </c>
      <c r="I1208" t="s">
        <v>3718</v>
      </c>
      <c r="J1208" t="s">
        <v>28838</v>
      </c>
      <c r="K1208" t="s">
        <v>37209</v>
      </c>
      <c r="M1208" t="s">
        <v>38074</v>
      </c>
      <c r="N1208" t="s">
        <v>41249</v>
      </c>
      <c r="O1208" t="s">
        <v>41250</v>
      </c>
      <c r="P1208">
        <v>0</v>
      </c>
      <c r="Q1208">
        <v>4</v>
      </c>
      <c r="R1208" t="s">
        <v>41251</v>
      </c>
      <c r="S1208" t="s">
        <v>41369</v>
      </c>
      <c r="T1208" t="s">
        <v>42671</v>
      </c>
      <c r="U1208" t="s">
        <v>44256</v>
      </c>
      <c r="W1208" t="s">
        <v>38074</v>
      </c>
      <c r="X1208" t="s">
        <v>41252</v>
      </c>
    </row>
    <row r="1209" spans="1:24">
      <c r="A1209">
        <f>HYPERLINK("https://www.philgeps.gov.ph/GEPSNONPILOT/Tender/SplashBidNoticeAbstractUI.aspx?menuIndex=3&amp;refID=7077445&amp;Result=3","7077445")</f>
        <v>0</v>
      </c>
      <c r="B1209" t="s">
        <v>576</v>
      </c>
      <c r="C1209" t="s">
        <v>4536</v>
      </c>
      <c r="D1209" t="s">
        <v>16639</v>
      </c>
      <c r="E1209" t="s">
        <v>17851</v>
      </c>
      <c r="F1209" t="s">
        <v>28669</v>
      </c>
      <c r="G1209" t="s">
        <v>28677</v>
      </c>
      <c r="H1209" t="s">
        <v>9998</v>
      </c>
      <c r="I1209" t="s">
        <v>6128</v>
      </c>
      <c r="J1209" t="s">
        <v>28838</v>
      </c>
      <c r="K1209" t="s">
        <v>37243</v>
      </c>
      <c r="M1209" t="s">
        <v>38075</v>
      </c>
      <c r="N1209" t="s">
        <v>41249</v>
      </c>
      <c r="O1209" t="s">
        <v>41250</v>
      </c>
      <c r="P1209">
        <v>0</v>
      </c>
      <c r="Q1209">
        <v>0</v>
      </c>
      <c r="R1209" t="s">
        <v>41251</v>
      </c>
      <c r="S1209" t="s">
        <v>41369</v>
      </c>
      <c r="T1209" t="s">
        <v>42694</v>
      </c>
      <c r="U1209" t="s">
        <v>44257</v>
      </c>
      <c r="W1209" t="s">
        <v>38075</v>
      </c>
      <c r="X1209" t="s">
        <v>41252</v>
      </c>
    </row>
    <row r="1210" spans="1:24">
      <c r="A1210">
        <f>HYPERLINK("https://www.philgeps.gov.ph/GEPSNONPILOT/Tender/SplashBidNoticeAbstractUI.aspx?menuIndex=3&amp;refID=7077442&amp;Result=3","7077442")</f>
        <v>0</v>
      </c>
      <c r="B1210" t="s">
        <v>577</v>
      </c>
      <c r="C1210" t="s">
        <v>4537</v>
      </c>
      <c r="D1210" t="s">
        <v>16626</v>
      </c>
      <c r="E1210" t="s">
        <v>17852</v>
      </c>
      <c r="F1210" t="s">
        <v>28669</v>
      </c>
      <c r="G1210" t="s">
        <v>28675</v>
      </c>
      <c r="H1210" t="s">
        <v>9998</v>
      </c>
      <c r="I1210" t="s">
        <v>28688</v>
      </c>
      <c r="J1210" t="s">
        <v>29698</v>
      </c>
      <c r="K1210" t="s">
        <v>37206</v>
      </c>
      <c r="M1210" t="s">
        <v>38076</v>
      </c>
      <c r="N1210" t="s">
        <v>41249</v>
      </c>
      <c r="O1210" t="s">
        <v>41250</v>
      </c>
      <c r="P1210">
        <v>0</v>
      </c>
      <c r="Q1210">
        <v>3</v>
      </c>
      <c r="R1210" t="s">
        <v>41251</v>
      </c>
      <c r="S1210" t="s">
        <v>41369</v>
      </c>
      <c r="T1210" t="s">
        <v>42714</v>
      </c>
      <c r="U1210" t="s">
        <v>44258</v>
      </c>
      <c r="W1210" t="s">
        <v>38076</v>
      </c>
      <c r="X1210" t="s">
        <v>41252</v>
      </c>
    </row>
    <row r="1211" spans="1:24">
      <c r="A1211">
        <f>HYPERLINK("https://www.philgeps.gov.ph/GEPSNONPILOT/Tender/SplashBidNoticeAbstractUI.aspx?menuIndex=3&amp;refID=7077433&amp;Result=3","7077433")</f>
        <v>0</v>
      </c>
      <c r="B1211" t="s">
        <v>578</v>
      </c>
      <c r="C1211" t="s">
        <v>4538</v>
      </c>
      <c r="D1211" t="s">
        <v>16616</v>
      </c>
      <c r="E1211" t="s">
        <v>17853</v>
      </c>
      <c r="F1211" t="s">
        <v>28669</v>
      </c>
      <c r="G1211" t="s">
        <v>28677</v>
      </c>
      <c r="H1211" t="s">
        <v>9998</v>
      </c>
      <c r="I1211" t="s">
        <v>6606</v>
      </c>
      <c r="J1211" t="s">
        <v>29027</v>
      </c>
      <c r="K1211" t="s">
        <v>37208</v>
      </c>
      <c r="M1211" t="s">
        <v>38077</v>
      </c>
      <c r="N1211" t="s">
        <v>41249</v>
      </c>
      <c r="O1211" t="s">
        <v>41250</v>
      </c>
      <c r="P1211">
        <v>0</v>
      </c>
      <c r="Q1211">
        <v>0</v>
      </c>
      <c r="R1211" t="s">
        <v>41251</v>
      </c>
      <c r="S1211" t="s">
        <v>41369</v>
      </c>
      <c r="T1211" t="s">
        <v>42682</v>
      </c>
      <c r="U1211" t="s">
        <v>44259</v>
      </c>
      <c r="W1211" t="s">
        <v>38077</v>
      </c>
      <c r="X1211" t="s">
        <v>41252</v>
      </c>
    </row>
    <row r="1212" spans="1:24">
      <c r="A1212">
        <f>HYPERLINK("https://www.philgeps.gov.ph/GEPSNONPILOT/Tender/SplashBidNoticeAbstractUI.aspx?menuIndex=3&amp;refID=7077440&amp;Result=3","7077440")</f>
        <v>0</v>
      </c>
      <c r="B1212" t="s">
        <v>579</v>
      </c>
      <c r="C1212" t="s">
        <v>4539</v>
      </c>
      <c r="D1212" t="s">
        <v>16630</v>
      </c>
      <c r="E1212" t="s">
        <v>17854</v>
      </c>
      <c r="F1212" t="s">
        <v>28669</v>
      </c>
      <c r="G1212" t="s">
        <v>28675</v>
      </c>
      <c r="H1212" t="s">
        <v>9998</v>
      </c>
      <c r="I1212" t="s">
        <v>28688</v>
      </c>
      <c r="J1212" t="s">
        <v>29699</v>
      </c>
      <c r="K1212" t="s">
        <v>37204</v>
      </c>
      <c r="M1212" t="s">
        <v>38078</v>
      </c>
      <c r="N1212" t="s">
        <v>41249</v>
      </c>
      <c r="O1212" t="s">
        <v>41250</v>
      </c>
      <c r="P1212">
        <v>0</v>
      </c>
      <c r="Q1212">
        <v>4</v>
      </c>
      <c r="R1212" t="s">
        <v>41251</v>
      </c>
      <c r="S1212" t="s">
        <v>41369</v>
      </c>
      <c r="T1212" t="s">
        <v>42697</v>
      </c>
      <c r="U1212" t="s">
        <v>44260</v>
      </c>
      <c r="W1212" t="s">
        <v>38078</v>
      </c>
      <c r="X1212" t="s">
        <v>41252</v>
      </c>
    </row>
    <row r="1213" spans="1:24">
      <c r="A1213">
        <f>HYPERLINK("https://www.philgeps.gov.ph/GEPSNONPILOT/Tender/SplashBidNoticeAbstractUI.aspx?menuIndex=3&amp;refID=7077463&amp;Result=3","7077463")</f>
        <v>0</v>
      </c>
      <c r="B1213" t="s">
        <v>580</v>
      </c>
      <c r="C1213" t="s">
        <v>4540</v>
      </c>
      <c r="D1213" t="s">
        <v>16640</v>
      </c>
      <c r="E1213" t="s">
        <v>17855</v>
      </c>
      <c r="F1213" t="s">
        <v>28669</v>
      </c>
      <c r="G1213" t="s">
        <v>28675</v>
      </c>
      <c r="H1213" t="s">
        <v>28686</v>
      </c>
      <c r="I1213" t="s">
        <v>7352</v>
      </c>
      <c r="J1213" t="s">
        <v>29700</v>
      </c>
      <c r="K1213" t="s">
        <v>37205</v>
      </c>
      <c r="M1213" t="s">
        <v>38079</v>
      </c>
      <c r="N1213" t="s">
        <v>41249</v>
      </c>
      <c r="O1213" t="s">
        <v>41250</v>
      </c>
      <c r="P1213">
        <v>0</v>
      </c>
      <c r="Q1213">
        <v>0</v>
      </c>
      <c r="R1213" t="s">
        <v>41251</v>
      </c>
      <c r="S1213" t="s">
        <v>41369</v>
      </c>
      <c r="T1213" t="s">
        <v>42714</v>
      </c>
      <c r="U1213" t="s">
        <v>44261</v>
      </c>
      <c r="V1213" t="s">
        <v>54388</v>
      </c>
      <c r="W1213" t="s">
        <v>38079</v>
      </c>
      <c r="X1213" t="s">
        <v>41252</v>
      </c>
    </row>
    <row r="1214" spans="1:24">
      <c r="A1214">
        <f>HYPERLINK("https://www.philgeps.gov.ph/GEPSNONPILOT/Tender/SplashBidNoticeAbstractUI.aspx?menuIndex=3&amp;refID=7077418&amp;Result=3","7077418")</f>
        <v>0</v>
      </c>
      <c r="B1214" t="s">
        <v>581</v>
      </c>
      <c r="C1214" t="s">
        <v>4541</v>
      </c>
      <c r="D1214" t="s">
        <v>16608</v>
      </c>
      <c r="E1214" t="s">
        <v>17856</v>
      </c>
      <c r="F1214" t="s">
        <v>28669</v>
      </c>
      <c r="G1214" t="s">
        <v>28675</v>
      </c>
      <c r="H1214" t="s">
        <v>9998</v>
      </c>
      <c r="I1214" t="s">
        <v>11593</v>
      </c>
      <c r="J1214" t="s">
        <v>29701</v>
      </c>
      <c r="K1214" t="s">
        <v>37221</v>
      </c>
      <c r="M1214" t="s">
        <v>38080</v>
      </c>
      <c r="N1214" t="s">
        <v>41249</v>
      </c>
      <c r="O1214" t="s">
        <v>41250</v>
      </c>
      <c r="P1214">
        <v>0</v>
      </c>
      <c r="Q1214">
        <v>14</v>
      </c>
      <c r="R1214" t="s">
        <v>41251</v>
      </c>
      <c r="S1214" t="s">
        <v>41369</v>
      </c>
      <c r="T1214" t="s">
        <v>42818</v>
      </c>
      <c r="U1214" t="s">
        <v>43958</v>
      </c>
      <c r="W1214" t="s">
        <v>38080</v>
      </c>
      <c r="X1214" t="s">
        <v>41252</v>
      </c>
    </row>
    <row r="1215" spans="1:24">
      <c r="A1215">
        <f>HYPERLINK("https://www.philgeps.gov.ph/GEPSNONPILOT/Tender/SplashBidNoticeAbstractUI.aspx?menuIndex=3&amp;refID=7077448&amp;Result=3","7077448")</f>
        <v>0</v>
      </c>
      <c r="B1215" t="s">
        <v>582</v>
      </c>
      <c r="C1215" t="s">
        <v>4542</v>
      </c>
      <c r="D1215" t="s">
        <v>16659</v>
      </c>
      <c r="E1215" t="s">
        <v>17857</v>
      </c>
      <c r="F1215" t="s">
        <v>28669</v>
      </c>
      <c r="G1215" t="s">
        <v>28676</v>
      </c>
      <c r="H1215" t="s">
        <v>9998</v>
      </c>
      <c r="I1215" t="s">
        <v>6458</v>
      </c>
      <c r="J1215" t="s">
        <v>29461</v>
      </c>
      <c r="K1215" t="s">
        <v>37209</v>
      </c>
      <c r="M1215" t="s">
        <v>38081</v>
      </c>
      <c r="N1215" t="s">
        <v>41249</v>
      </c>
      <c r="O1215" t="s">
        <v>41250</v>
      </c>
      <c r="P1215">
        <v>0</v>
      </c>
      <c r="Q1215">
        <v>0</v>
      </c>
      <c r="R1215" t="s">
        <v>41251</v>
      </c>
      <c r="S1215" t="s">
        <v>41369</v>
      </c>
      <c r="T1215" t="s">
        <v>42673</v>
      </c>
      <c r="U1215" t="s">
        <v>44262</v>
      </c>
      <c r="W1215" t="s">
        <v>38081</v>
      </c>
      <c r="X1215" t="s">
        <v>41252</v>
      </c>
    </row>
    <row r="1216" spans="1:24">
      <c r="A1216">
        <f>HYPERLINK("https://www.philgeps.gov.ph/GEPSNONPILOT/Tender/SplashBidNoticeAbstractUI.aspx?menuIndex=3&amp;refID=7077480&amp;Result=3","7077480")</f>
        <v>0</v>
      </c>
      <c r="B1216" t="s">
        <v>81</v>
      </c>
      <c r="C1216" t="s">
        <v>4543</v>
      </c>
      <c r="E1216" t="s">
        <v>17858</v>
      </c>
      <c r="F1216" t="s">
        <v>28669</v>
      </c>
      <c r="G1216" t="s">
        <v>28676</v>
      </c>
      <c r="H1216" t="s">
        <v>9998</v>
      </c>
      <c r="I1216" t="s">
        <v>28722</v>
      </c>
      <c r="J1216" t="s">
        <v>29702</v>
      </c>
      <c r="K1216" t="s">
        <v>37209</v>
      </c>
      <c r="M1216" t="s">
        <v>37556</v>
      </c>
      <c r="N1216" t="s">
        <v>41249</v>
      </c>
      <c r="O1216" t="s">
        <v>41250</v>
      </c>
      <c r="P1216">
        <v>0</v>
      </c>
      <c r="Q1216">
        <v>0</v>
      </c>
      <c r="R1216" t="s">
        <v>41251</v>
      </c>
      <c r="S1216" t="s">
        <v>41369</v>
      </c>
      <c r="T1216" t="s">
        <v>42706</v>
      </c>
      <c r="U1216" t="s">
        <v>44263</v>
      </c>
      <c r="W1216" t="s">
        <v>37556</v>
      </c>
      <c r="X1216" t="s">
        <v>41252</v>
      </c>
    </row>
    <row r="1217" spans="1:24">
      <c r="A1217">
        <f>HYPERLINK("https://www.philgeps.gov.ph/GEPSNONPILOT/Tender/SplashBidNoticeAbstractUI.aspx?menuIndex=3&amp;refID=7077479&amp;Result=3","7077479")</f>
        <v>0</v>
      </c>
      <c r="B1217" t="s">
        <v>583</v>
      </c>
      <c r="C1217" t="s">
        <v>4544</v>
      </c>
      <c r="D1217" t="s">
        <v>16611</v>
      </c>
      <c r="E1217" t="s">
        <v>17859</v>
      </c>
      <c r="F1217" t="s">
        <v>28671</v>
      </c>
      <c r="G1217" t="s">
        <v>28676</v>
      </c>
      <c r="H1217" t="s">
        <v>9998</v>
      </c>
      <c r="I1217" t="s">
        <v>28708</v>
      </c>
      <c r="J1217" t="s">
        <v>29703</v>
      </c>
      <c r="K1217" t="s">
        <v>37209</v>
      </c>
      <c r="M1217" t="s">
        <v>38082</v>
      </c>
      <c r="N1217" t="s">
        <v>41249</v>
      </c>
      <c r="O1217" t="s">
        <v>41250</v>
      </c>
      <c r="P1217">
        <v>0</v>
      </c>
      <c r="Q1217">
        <v>2</v>
      </c>
      <c r="R1217" t="s">
        <v>41251</v>
      </c>
      <c r="S1217" t="s">
        <v>41369</v>
      </c>
      <c r="T1217" t="s">
        <v>42682</v>
      </c>
      <c r="U1217" t="s">
        <v>44264</v>
      </c>
      <c r="W1217" t="s">
        <v>38082</v>
      </c>
      <c r="X1217" t="s">
        <v>41252</v>
      </c>
    </row>
    <row r="1218" spans="1:24">
      <c r="A1218">
        <f>HYPERLINK("https://www.philgeps.gov.ph/GEPSNONPILOT/Tender/SplashBidNoticeAbstractUI.aspx?menuIndex=3&amp;refID=7077477&amp;Result=3","7077477")</f>
        <v>0</v>
      </c>
      <c r="B1218" t="s">
        <v>584</v>
      </c>
      <c r="C1218" t="s">
        <v>4545</v>
      </c>
      <c r="D1218" t="s">
        <v>16621</v>
      </c>
      <c r="E1218" t="s">
        <v>17860</v>
      </c>
      <c r="F1218" t="s">
        <v>28669</v>
      </c>
      <c r="G1218" t="s">
        <v>28676</v>
      </c>
      <c r="H1218" t="s">
        <v>9998</v>
      </c>
      <c r="I1218" t="s">
        <v>6458</v>
      </c>
      <c r="J1218" t="s">
        <v>29704</v>
      </c>
      <c r="K1218" t="s">
        <v>37234</v>
      </c>
      <c r="M1218" t="s">
        <v>38083</v>
      </c>
      <c r="N1218" t="s">
        <v>41249</v>
      </c>
      <c r="O1218" t="s">
        <v>41250</v>
      </c>
      <c r="P1218">
        <v>0</v>
      </c>
      <c r="Q1218">
        <v>0</v>
      </c>
      <c r="R1218" t="s">
        <v>41251</v>
      </c>
      <c r="S1218" t="s">
        <v>41369</v>
      </c>
      <c r="T1218" t="s">
        <v>42694</v>
      </c>
      <c r="U1218" t="s">
        <v>44265</v>
      </c>
      <c r="W1218" t="s">
        <v>38083</v>
      </c>
      <c r="X1218" t="s">
        <v>41252</v>
      </c>
    </row>
    <row r="1219" spans="1:24">
      <c r="A1219">
        <f>HYPERLINK("https://www.philgeps.gov.ph/GEPSNONPILOT/Tender/SplashBidNoticeAbstractUI.aspx?menuIndex=3&amp;refID=7077483&amp;Result=3","7077483")</f>
        <v>0</v>
      </c>
      <c r="B1219" t="s">
        <v>585</v>
      </c>
      <c r="C1219" t="s">
        <v>4546</v>
      </c>
      <c r="D1219" t="s">
        <v>16657</v>
      </c>
      <c r="E1219" t="s">
        <v>17861</v>
      </c>
      <c r="F1219" t="s">
        <v>28669</v>
      </c>
      <c r="G1219" t="s">
        <v>28677</v>
      </c>
      <c r="H1219" t="s">
        <v>9998</v>
      </c>
      <c r="I1219" t="s">
        <v>11142</v>
      </c>
      <c r="J1219" t="s">
        <v>29705</v>
      </c>
      <c r="K1219" t="s">
        <v>37209</v>
      </c>
      <c r="M1219" t="s">
        <v>38084</v>
      </c>
      <c r="N1219" t="s">
        <v>41249</v>
      </c>
      <c r="O1219" t="s">
        <v>41250</v>
      </c>
      <c r="P1219">
        <v>0</v>
      </c>
      <c r="Q1219">
        <v>1</v>
      </c>
      <c r="R1219" t="s">
        <v>41251</v>
      </c>
      <c r="S1219" t="s">
        <v>41369</v>
      </c>
      <c r="T1219" t="s">
        <v>42767</v>
      </c>
      <c r="U1219" t="s">
        <v>44266</v>
      </c>
      <c r="W1219" t="s">
        <v>38084</v>
      </c>
      <c r="X1219" t="s">
        <v>41252</v>
      </c>
    </row>
    <row r="1220" spans="1:24">
      <c r="A1220">
        <f>HYPERLINK("https://www.philgeps.gov.ph/GEPSNONPILOT/Tender/SplashBidNoticeAbstractUI.aspx?menuIndex=3&amp;refID=7077481&amp;Result=3","7077481")</f>
        <v>0</v>
      </c>
      <c r="B1220" t="s">
        <v>79</v>
      </c>
      <c r="C1220" t="s">
        <v>4547</v>
      </c>
      <c r="D1220" t="s">
        <v>16649</v>
      </c>
      <c r="E1220" t="s">
        <v>16815</v>
      </c>
      <c r="F1220" t="s">
        <v>28669</v>
      </c>
      <c r="G1220" t="s">
        <v>28677</v>
      </c>
      <c r="H1220" t="s">
        <v>9998</v>
      </c>
      <c r="I1220" t="s">
        <v>6128</v>
      </c>
      <c r="J1220" t="s">
        <v>29706</v>
      </c>
      <c r="K1220" t="s">
        <v>37209</v>
      </c>
      <c r="M1220" t="s">
        <v>37554</v>
      </c>
      <c r="N1220" t="s">
        <v>41249</v>
      </c>
      <c r="O1220" t="s">
        <v>41250</v>
      </c>
      <c r="P1220">
        <v>0</v>
      </c>
      <c r="Q1220">
        <v>0</v>
      </c>
      <c r="R1220" t="s">
        <v>41251</v>
      </c>
      <c r="S1220" t="s">
        <v>41369</v>
      </c>
      <c r="T1220" t="s">
        <v>42705</v>
      </c>
      <c r="U1220" t="s">
        <v>44267</v>
      </c>
      <c r="V1220" t="s">
        <v>54389</v>
      </c>
      <c r="W1220" t="s">
        <v>37554</v>
      </c>
      <c r="X1220" t="s">
        <v>41252</v>
      </c>
    </row>
    <row r="1221" spans="1:24">
      <c r="A1221">
        <f>HYPERLINK("https://www.philgeps.gov.ph/GEPSNONPILOT/Tender/SplashBidNoticeAbstractUI.aspx?menuIndex=3&amp;refID=7077473&amp;Result=3","7077473")</f>
        <v>0</v>
      </c>
      <c r="B1221" t="s">
        <v>356</v>
      </c>
      <c r="C1221" t="s">
        <v>4548</v>
      </c>
      <c r="D1221" t="s">
        <v>16639</v>
      </c>
      <c r="E1221" t="s">
        <v>17862</v>
      </c>
      <c r="F1221" t="s">
        <v>28669</v>
      </c>
      <c r="G1221" t="s">
        <v>28676</v>
      </c>
      <c r="H1221" t="s">
        <v>9998</v>
      </c>
      <c r="I1221" t="s">
        <v>5213</v>
      </c>
      <c r="J1221" t="s">
        <v>29707</v>
      </c>
      <c r="K1221" t="s">
        <v>37210</v>
      </c>
      <c r="M1221" t="s">
        <v>37837</v>
      </c>
      <c r="N1221" t="s">
        <v>41249</v>
      </c>
      <c r="O1221" t="s">
        <v>41250</v>
      </c>
      <c r="P1221">
        <v>0</v>
      </c>
      <c r="Q1221">
        <v>1</v>
      </c>
      <c r="R1221" t="s">
        <v>41251</v>
      </c>
      <c r="S1221" t="s">
        <v>41369</v>
      </c>
      <c r="T1221" t="s">
        <v>42717</v>
      </c>
      <c r="U1221" t="s">
        <v>43777</v>
      </c>
      <c r="V1221" t="s">
        <v>54334</v>
      </c>
      <c r="W1221" t="s">
        <v>37837</v>
      </c>
      <c r="X1221" t="s">
        <v>41252</v>
      </c>
    </row>
    <row r="1222" spans="1:24">
      <c r="A1222">
        <f>HYPERLINK("https://www.philgeps.gov.ph/GEPSNONPILOT/Tender/SplashBidNoticeAbstractUI.aspx?menuIndex=3&amp;refID=7077472&amp;Result=3","7077472")</f>
        <v>0</v>
      </c>
      <c r="B1222" t="s">
        <v>111</v>
      </c>
      <c r="C1222" t="s">
        <v>4549</v>
      </c>
      <c r="D1222" t="s">
        <v>16619</v>
      </c>
      <c r="E1222" t="s">
        <v>17863</v>
      </c>
      <c r="F1222" t="s">
        <v>28669</v>
      </c>
      <c r="G1222" t="s">
        <v>28676</v>
      </c>
      <c r="H1222" t="s">
        <v>9998</v>
      </c>
      <c r="I1222" t="s">
        <v>7352</v>
      </c>
      <c r="J1222" t="s">
        <v>29708</v>
      </c>
      <c r="K1222" t="s">
        <v>37204</v>
      </c>
      <c r="M1222" t="s">
        <v>37587</v>
      </c>
      <c r="N1222" t="s">
        <v>41249</v>
      </c>
      <c r="O1222" t="s">
        <v>41250</v>
      </c>
      <c r="P1222">
        <v>0</v>
      </c>
      <c r="Q1222">
        <v>0</v>
      </c>
      <c r="R1222" t="s">
        <v>41251</v>
      </c>
      <c r="S1222" t="s">
        <v>41369</v>
      </c>
      <c r="T1222" t="s">
        <v>42675</v>
      </c>
      <c r="U1222" t="s">
        <v>44268</v>
      </c>
      <c r="W1222" t="s">
        <v>37587</v>
      </c>
      <c r="X1222" t="s">
        <v>41252</v>
      </c>
    </row>
    <row r="1223" spans="1:24">
      <c r="A1223">
        <f>HYPERLINK("https://www.philgeps.gov.ph/GEPSNONPILOT/Tender/SplashBidNoticeAbstractUI.aspx?menuIndex=3&amp;refID=7077478&amp;Result=3","7077478")</f>
        <v>0</v>
      </c>
      <c r="B1223" t="s">
        <v>586</v>
      </c>
      <c r="C1223" t="s">
        <v>4550</v>
      </c>
      <c r="D1223" t="s">
        <v>16612</v>
      </c>
      <c r="E1223" t="s">
        <v>17864</v>
      </c>
      <c r="F1223" t="s">
        <v>28669</v>
      </c>
      <c r="G1223" t="s">
        <v>28676</v>
      </c>
      <c r="H1223" t="s">
        <v>9998</v>
      </c>
      <c r="I1223" t="s">
        <v>6458</v>
      </c>
      <c r="J1223" t="s">
        <v>29709</v>
      </c>
      <c r="K1223" t="s">
        <v>37205</v>
      </c>
      <c r="M1223" t="s">
        <v>38085</v>
      </c>
      <c r="N1223" t="s">
        <v>41249</v>
      </c>
      <c r="O1223" t="s">
        <v>41250</v>
      </c>
      <c r="P1223">
        <v>0</v>
      </c>
      <c r="Q1223">
        <v>0</v>
      </c>
      <c r="R1223" t="s">
        <v>41251</v>
      </c>
      <c r="S1223" t="s">
        <v>41369</v>
      </c>
      <c r="T1223" t="s">
        <v>42673</v>
      </c>
      <c r="U1223" t="s">
        <v>44269</v>
      </c>
      <c r="W1223" t="s">
        <v>38085</v>
      </c>
      <c r="X1223" t="s">
        <v>41252</v>
      </c>
    </row>
    <row r="1224" spans="1:24">
      <c r="A1224">
        <f>HYPERLINK("https://www.philgeps.gov.ph/GEPSNONPILOT/Tender/SplashBidNoticeAbstractUI.aspx?menuIndex=3&amp;refID=7077469&amp;Result=3","7077469")</f>
        <v>0</v>
      </c>
      <c r="B1224" t="s">
        <v>587</v>
      </c>
      <c r="C1224" t="s">
        <v>4551</v>
      </c>
      <c r="D1224" t="s">
        <v>16608</v>
      </c>
      <c r="E1224" t="s">
        <v>17865</v>
      </c>
      <c r="F1224" t="s">
        <v>28669</v>
      </c>
      <c r="G1224" t="s">
        <v>28675</v>
      </c>
      <c r="H1224" t="s">
        <v>9998</v>
      </c>
      <c r="I1224" t="s">
        <v>28708</v>
      </c>
      <c r="J1224" t="s">
        <v>29710</v>
      </c>
      <c r="K1224" t="s">
        <v>37221</v>
      </c>
      <c r="M1224" t="s">
        <v>38086</v>
      </c>
      <c r="N1224" t="s">
        <v>41249</v>
      </c>
      <c r="O1224" t="s">
        <v>41250</v>
      </c>
      <c r="P1224">
        <v>0</v>
      </c>
      <c r="Q1224">
        <v>15</v>
      </c>
      <c r="R1224" t="s">
        <v>41251</v>
      </c>
      <c r="S1224" t="s">
        <v>41369</v>
      </c>
      <c r="T1224" t="s">
        <v>42791</v>
      </c>
      <c r="U1224" t="s">
        <v>44270</v>
      </c>
      <c r="W1224" t="s">
        <v>38086</v>
      </c>
      <c r="X1224" t="s">
        <v>41252</v>
      </c>
    </row>
    <row r="1225" spans="1:24">
      <c r="A1225">
        <f>HYPERLINK("https://www.philgeps.gov.ph/GEPSNONPILOT/Tender/SplashBidNoticeAbstractUI.aspx?menuIndex=3&amp;refID=7077467&amp;Result=3","7077467")</f>
        <v>0</v>
      </c>
      <c r="B1225" t="s">
        <v>42</v>
      </c>
      <c r="C1225" t="s">
        <v>4552</v>
      </c>
      <c r="D1225" t="s">
        <v>16623</v>
      </c>
      <c r="E1225" t="s">
        <v>17866</v>
      </c>
      <c r="F1225" t="s">
        <v>28669</v>
      </c>
      <c r="G1225" t="s">
        <v>28675</v>
      </c>
      <c r="H1225" t="s">
        <v>9998</v>
      </c>
      <c r="I1225" t="s">
        <v>6458</v>
      </c>
      <c r="J1225" t="s">
        <v>29711</v>
      </c>
      <c r="K1225" t="s">
        <v>37210</v>
      </c>
      <c r="M1225" t="s">
        <v>37517</v>
      </c>
      <c r="N1225" t="s">
        <v>41249</v>
      </c>
      <c r="O1225" t="s">
        <v>41250</v>
      </c>
      <c r="P1225">
        <v>0</v>
      </c>
      <c r="Q1225">
        <v>0</v>
      </c>
      <c r="R1225" t="s">
        <v>41251</v>
      </c>
      <c r="S1225" t="s">
        <v>41369</v>
      </c>
      <c r="T1225" t="s">
        <v>42678</v>
      </c>
      <c r="U1225" t="s">
        <v>44271</v>
      </c>
      <c r="W1225" t="s">
        <v>37517</v>
      </c>
      <c r="X1225" t="s">
        <v>41252</v>
      </c>
    </row>
    <row r="1226" spans="1:24">
      <c r="A1226">
        <f>HYPERLINK("https://www.philgeps.gov.ph/GEPSNONPILOT/Tender/SplashBidNoticeAbstractUI.aspx?menuIndex=3&amp;refID=7077466&amp;Result=3","7077466")</f>
        <v>0</v>
      </c>
      <c r="B1226" t="s">
        <v>588</v>
      </c>
      <c r="C1226" t="s">
        <v>4553</v>
      </c>
      <c r="D1226" t="s">
        <v>16640</v>
      </c>
      <c r="E1226" t="s">
        <v>17867</v>
      </c>
      <c r="F1226" t="s">
        <v>28669</v>
      </c>
      <c r="G1226" t="s">
        <v>28676</v>
      </c>
      <c r="H1226" t="s">
        <v>9998</v>
      </c>
      <c r="I1226" t="s">
        <v>28693</v>
      </c>
      <c r="J1226" t="s">
        <v>29712</v>
      </c>
      <c r="K1226" t="s">
        <v>37220</v>
      </c>
      <c r="M1226" t="s">
        <v>38087</v>
      </c>
      <c r="N1226" t="s">
        <v>41249</v>
      </c>
      <c r="O1226" t="s">
        <v>41250</v>
      </c>
      <c r="P1226">
        <v>0</v>
      </c>
      <c r="Q1226">
        <v>23</v>
      </c>
      <c r="R1226" t="s">
        <v>41251</v>
      </c>
      <c r="S1226" t="s">
        <v>41369</v>
      </c>
      <c r="T1226" t="s">
        <v>42681</v>
      </c>
      <c r="U1226" t="s">
        <v>44272</v>
      </c>
      <c r="W1226" t="s">
        <v>38087</v>
      </c>
      <c r="X1226" t="s">
        <v>41252</v>
      </c>
    </row>
    <row r="1227" spans="1:24">
      <c r="A1227">
        <f>HYPERLINK("https://www.philgeps.gov.ph/GEPSNONPILOT/Tender/SplashBidNoticeAbstractUI.aspx?menuIndex=3&amp;refID=7077465&amp;Result=3","7077465")</f>
        <v>0</v>
      </c>
      <c r="B1227" t="s">
        <v>589</v>
      </c>
      <c r="C1227" t="s">
        <v>4554</v>
      </c>
      <c r="D1227" t="s">
        <v>16640</v>
      </c>
      <c r="E1227" t="s">
        <v>17491</v>
      </c>
      <c r="F1227" t="s">
        <v>28669</v>
      </c>
      <c r="G1227" t="s">
        <v>28677</v>
      </c>
      <c r="H1227" t="s">
        <v>9998</v>
      </c>
      <c r="I1227" t="s">
        <v>28719</v>
      </c>
      <c r="J1227" t="s">
        <v>29110</v>
      </c>
      <c r="K1227" t="s">
        <v>37234</v>
      </c>
      <c r="M1227" t="s">
        <v>38088</v>
      </c>
      <c r="N1227" t="s">
        <v>41249</v>
      </c>
      <c r="O1227" t="s">
        <v>41250</v>
      </c>
      <c r="P1227">
        <v>0</v>
      </c>
      <c r="Q1227">
        <v>0</v>
      </c>
      <c r="R1227" t="s">
        <v>41251</v>
      </c>
      <c r="S1227" t="s">
        <v>41369</v>
      </c>
      <c r="T1227" t="s">
        <v>42771</v>
      </c>
      <c r="U1227" t="s">
        <v>44273</v>
      </c>
      <c r="W1227" t="s">
        <v>38088</v>
      </c>
      <c r="X1227" t="s">
        <v>41252</v>
      </c>
    </row>
    <row r="1228" spans="1:24">
      <c r="A1228">
        <f>HYPERLINK("https://www.philgeps.gov.ph/GEPSNONPILOT/Tender/SplashBidNoticeAbstractUI.aspx?menuIndex=3&amp;refID=7077482&amp;Result=3","7077482")</f>
        <v>0</v>
      </c>
      <c r="B1228" t="s">
        <v>590</v>
      </c>
      <c r="C1228" t="s">
        <v>4555</v>
      </c>
      <c r="D1228" t="s">
        <v>16631</v>
      </c>
      <c r="E1228" t="s">
        <v>17868</v>
      </c>
      <c r="F1228" t="s">
        <v>28669</v>
      </c>
      <c r="G1228" t="s">
        <v>28676</v>
      </c>
      <c r="H1228" t="s">
        <v>9998</v>
      </c>
      <c r="I1228" t="s">
        <v>28729</v>
      </c>
      <c r="J1228" t="s">
        <v>28878</v>
      </c>
      <c r="K1228" t="s">
        <v>37206</v>
      </c>
      <c r="M1228" t="s">
        <v>38089</v>
      </c>
      <c r="N1228" t="s">
        <v>41249</v>
      </c>
      <c r="O1228" t="s">
        <v>41250</v>
      </c>
      <c r="P1228">
        <v>0</v>
      </c>
      <c r="Q1228">
        <v>5</v>
      </c>
      <c r="R1228" t="s">
        <v>41251</v>
      </c>
      <c r="S1228" t="s">
        <v>41369</v>
      </c>
      <c r="T1228" t="s">
        <v>42675</v>
      </c>
      <c r="U1228" t="s">
        <v>44274</v>
      </c>
      <c r="W1228" t="s">
        <v>38089</v>
      </c>
      <c r="X1228" t="s">
        <v>41252</v>
      </c>
    </row>
    <row r="1229" spans="1:24">
      <c r="A1229">
        <f>HYPERLINK("https://www.philgeps.gov.ph/GEPSNONPILOT/Tender/SplashBidNoticeAbstractUI.aspx?menuIndex=3&amp;refID=7077517&amp;Result=3","7077517")</f>
        <v>0</v>
      </c>
      <c r="B1229" t="s">
        <v>516</v>
      </c>
      <c r="C1229" t="s">
        <v>4556</v>
      </c>
      <c r="D1229" t="s">
        <v>16625</v>
      </c>
      <c r="E1229" t="s">
        <v>17869</v>
      </c>
      <c r="F1229" t="s">
        <v>28669</v>
      </c>
      <c r="G1229" t="s">
        <v>28677</v>
      </c>
      <c r="H1229" t="s">
        <v>9998</v>
      </c>
      <c r="I1229" t="s">
        <v>28712</v>
      </c>
      <c r="J1229" t="s">
        <v>28901</v>
      </c>
      <c r="K1229" t="s">
        <v>37284</v>
      </c>
      <c r="M1229" t="s">
        <v>38006</v>
      </c>
      <c r="N1229" t="s">
        <v>41249</v>
      </c>
      <c r="O1229" t="s">
        <v>41250</v>
      </c>
      <c r="P1229">
        <v>0</v>
      </c>
      <c r="Q1229">
        <v>1</v>
      </c>
      <c r="R1229" t="s">
        <v>41251</v>
      </c>
      <c r="S1229" t="s">
        <v>41369</v>
      </c>
      <c r="T1229" t="s">
        <v>42767</v>
      </c>
      <c r="U1229" t="s">
        <v>44275</v>
      </c>
      <c r="W1229" t="s">
        <v>38006</v>
      </c>
      <c r="X1229" t="s">
        <v>41252</v>
      </c>
    </row>
    <row r="1230" spans="1:24">
      <c r="A1230">
        <f>HYPERLINK("https://www.philgeps.gov.ph/GEPSNONPILOT/Tender/SplashBidNoticeAbstractUI.aspx?menuIndex=3&amp;refID=7077468&amp;Result=3","7077468")</f>
        <v>0</v>
      </c>
      <c r="B1230" t="s">
        <v>46</v>
      </c>
      <c r="C1230" t="s">
        <v>4557</v>
      </c>
      <c r="D1230" t="s">
        <v>16627</v>
      </c>
      <c r="E1230" t="s">
        <v>17870</v>
      </c>
      <c r="F1230" t="s">
        <v>28669</v>
      </c>
      <c r="G1230" t="s">
        <v>28675</v>
      </c>
      <c r="H1230" t="s">
        <v>28686</v>
      </c>
      <c r="I1230" t="s">
        <v>28689</v>
      </c>
      <c r="J1230" t="s">
        <v>28879</v>
      </c>
      <c r="K1230" t="s">
        <v>37209</v>
      </c>
      <c r="M1230" t="s">
        <v>37521</v>
      </c>
      <c r="N1230" t="s">
        <v>41249</v>
      </c>
      <c r="O1230" t="s">
        <v>41250</v>
      </c>
      <c r="P1230">
        <v>0</v>
      </c>
      <c r="Q1230">
        <v>0</v>
      </c>
      <c r="R1230" t="s">
        <v>41251</v>
      </c>
      <c r="S1230" t="s">
        <v>41369</v>
      </c>
      <c r="T1230" t="s">
        <v>42695</v>
      </c>
      <c r="U1230" t="s">
        <v>44212</v>
      </c>
      <c r="W1230" t="s">
        <v>37521</v>
      </c>
      <c r="X1230" t="s">
        <v>41252</v>
      </c>
    </row>
    <row r="1231" spans="1:24">
      <c r="A1231">
        <f>HYPERLINK("https://www.philgeps.gov.ph/GEPSNONPILOT/Tender/SplashBidNoticeAbstractUI.aspx?menuIndex=3&amp;refID=7077508&amp;Result=3","7077508")</f>
        <v>0</v>
      </c>
      <c r="B1231" t="s">
        <v>561</v>
      </c>
      <c r="C1231" t="s">
        <v>4531</v>
      </c>
      <c r="E1231" t="s">
        <v>17871</v>
      </c>
      <c r="F1231" t="s">
        <v>28669</v>
      </c>
      <c r="G1231" t="s">
        <v>28679</v>
      </c>
      <c r="H1231" t="s">
        <v>9998</v>
      </c>
      <c r="I1231" t="s">
        <v>28697</v>
      </c>
      <c r="J1231" t="s">
        <v>29713</v>
      </c>
      <c r="K1231" t="s">
        <v>37209</v>
      </c>
      <c r="M1231" t="s">
        <v>38054</v>
      </c>
      <c r="N1231" t="s">
        <v>41249</v>
      </c>
      <c r="O1231" t="s">
        <v>41250</v>
      </c>
      <c r="P1231">
        <v>0</v>
      </c>
      <c r="Q1231">
        <v>0</v>
      </c>
      <c r="R1231" t="s">
        <v>41251</v>
      </c>
      <c r="S1231" t="s">
        <v>41369</v>
      </c>
      <c r="T1231" t="s">
        <v>42817</v>
      </c>
      <c r="U1231" t="s">
        <v>44276</v>
      </c>
      <c r="W1231" t="s">
        <v>38054</v>
      </c>
      <c r="X1231" t="s">
        <v>41252</v>
      </c>
    </row>
    <row r="1232" spans="1:24">
      <c r="A1232">
        <f>HYPERLINK("https://www.philgeps.gov.ph/GEPSNONPILOT/Tender/SplashBidNoticeAbstractUI.aspx?menuIndex=3&amp;refID=7077474&amp;Result=3","7077474")</f>
        <v>0</v>
      </c>
      <c r="B1232" t="s">
        <v>506</v>
      </c>
      <c r="C1232" t="s">
        <v>4558</v>
      </c>
      <c r="D1232" t="s">
        <v>16623</v>
      </c>
      <c r="E1232" t="s">
        <v>17872</v>
      </c>
      <c r="F1232" t="s">
        <v>28669</v>
      </c>
      <c r="G1232" t="s">
        <v>28677</v>
      </c>
      <c r="H1232" t="s">
        <v>9998</v>
      </c>
      <c r="I1232" t="s">
        <v>28695</v>
      </c>
      <c r="J1232" t="s">
        <v>29060</v>
      </c>
      <c r="K1232" t="s">
        <v>37209</v>
      </c>
      <c r="M1232" t="s">
        <v>37996</v>
      </c>
      <c r="N1232" t="s">
        <v>41249</v>
      </c>
      <c r="O1232" t="s">
        <v>41250</v>
      </c>
      <c r="P1232">
        <v>0</v>
      </c>
      <c r="Q1232">
        <v>0</v>
      </c>
      <c r="R1232" t="s">
        <v>41251</v>
      </c>
      <c r="S1232" t="s">
        <v>41369</v>
      </c>
      <c r="T1232" t="s">
        <v>42673</v>
      </c>
      <c r="U1232" t="s">
        <v>44115</v>
      </c>
      <c r="V1232" t="s">
        <v>54360</v>
      </c>
      <c r="W1232" t="s">
        <v>37996</v>
      </c>
      <c r="X1232" t="s">
        <v>41252</v>
      </c>
    </row>
    <row r="1233" spans="1:24">
      <c r="A1233">
        <f>HYPERLINK("https://www.philgeps.gov.ph/GEPSNONPILOT/Tender/SplashBidNoticeAbstractUI.aspx?menuIndex=3&amp;refID=7077507&amp;Result=3","7077507")</f>
        <v>0</v>
      </c>
      <c r="B1233" t="s">
        <v>537</v>
      </c>
      <c r="C1233" t="s">
        <v>4559</v>
      </c>
      <c r="D1233" t="s">
        <v>16658</v>
      </c>
      <c r="E1233" t="s">
        <v>17873</v>
      </c>
      <c r="F1233" t="s">
        <v>28669</v>
      </c>
      <c r="G1233" t="s">
        <v>28675</v>
      </c>
      <c r="H1233" t="s">
        <v>28686</v>
      </c>
      <c r="I1233" t="s">
        <v>28702</v>
      </c>
      <c r="J1233" t="s">
        <v>29714</v>
      </c>
      <c r="K1233" t="s">
        <v>37285</v>
      </c>
      <c r="M1233" t="s">
        <v>38028</v>
      </c>
      <c r="N1233" t="s">
        <v>41249</v>
      </c>
      <c r="O1233" t="s">
        <v>41250</v>
      </c>
      <c r="Q1233">
        <v>3</v>
      </c>
      <c r="R1233" t="s">
        <v>41251</v>
      </c>
      <c r="S1233" t="s">
        <v>41379</v>
      </c>
      <c r="T1233" t="s">
        <v>42819</v>
      </c>
      <c r="U1233" t="s">
        <v>44139</v>
      </c>
      <c r="V1233" t="s">
        <v>54374</v>
      </c>
      <c r="W1233" t="s">
        <v>38028</v>
      </c>
      <c r="X1233" t="s">
        <v>41252</v>
      </c>
    </row>
    <row r="1234" spans="1:24">
      <c r="A1234">
        <f>HYPERLINK("https://www.philgeps.gov.ph/GEPSNONPILOT/Tender/SplashBidNoticeAbstractUI.aspx?menuIndex=3&amp;refID=7077443&amp;Result=3","7077443")</f>
        <v>0</v>
      </c>
      <c r="B1234" t="s">
        <v>81</v>
      </c>
      <c r="C1234" t="s">
        <v>4560</v>
      </c>
      <c r="E1234" t="s">
        <v>17874</v>
      </c>
      <c r="F1234" t="s">
        <v>28669</v>
      </c>
      <c r="G1234" t="s">
        <v>28676</v>
      </c>
      <c r="H1234" t="s">
        <v>9998</v>
      </c>
      <c r="I1234" t="s">
        <v>28722</v>
      </c>
      <c r="J1234" t="s">
        <v>29715</v>
      </c>
      <c r="K1234" t="s">
        <v>37209</v>
      </c>
      <c r="M1234" t="s">
        <v>37556</v>
      </c>
      <c r="N1234" t="s">
        <v>41249</v>
      </c>
      <c r="O1234" t="s">
        <v>41250</v>
      </c>
      <c r="P1234">
        <v>0</v>
      </c>
      <c r="Q1234">
        <v>0</v>
      </c>
      <c r="R1234" t="s">
        <v>41251</v>
      </c>
      <c r="S1234" t="s">
        <v>41369</v>
      </c>
      <c r="T1234" t="s">
        <v>42706</v>
      </c>
      <c r="U1234" t="s">
        <v>44277</v>
      </c>
      <c r="W1234" t="s">
        <v>37556</v>
      </c>
      <c r="X1234" t="s">
        <v>41252</v>
      </c>
    </row>
    <row r="1235" spans="1:24">
      <c r="A1235">
        <f>HYPERLINK("https://www.philgeps.gov.ph/GEPSNONPILOT/Tender/SplashBidNoticeAbstractUI.aspx?menuIndex=3&amp;refID=7077516&amp;Result=3","7077516")</f>
        <v>0</v>
      </c>
      <c r="B1235" t="s">
        <v>81</v>
      </c>
      <c r="C1235" t="s">
        <v>4561</v>
      </c>
      <c r="E1235" t="s">
        <v>17875</v>
      </c>
      <c r="F1235" t="s">
        <v>28669</v>
      </c>
      <c r="G1235" t="s">
        <v>28676</v>
      </c>
      <c r="H1235" t="s">
        <v>9998</v>
      </c>
      <c r="I1235" t="s">
        <v>11593</v>
      </c>
      <c r="J1235" t="s">
        <v>29716</v>
      </c>
      <c r="K1235" t="s">
        <v>37209</v>
      </c>
      <c r="M1235" t="s">
        <v>37556</v>
      </c>
      <c r="N1235" t="s">
        <v>41249</v>
      </c>
      <c r="O1235" t="s">
        <v>41250</v>
      </c>
      <c r="P1235">
        <v>0</v>
      </c>
      <c r="Q1235">
        <v>2</v>
      </c>
      <c r="R1235" t="s">
        <v>41251</v>
      </c>
      <c r="S1235" t="s">
        <v>41369</v>
      </c>
      <c r="T1235" t="s">
        <v>42706</v>
      </c>
      <c r="U1235" t="s">
        <v>44278</v>
      </c>
      <c r="W1235" t="s">
        <v>37556</v>
      </c>
      <c r="X1235" t="s">
        <v>41252</v>
      </c>
    </row>
    <row r="1236" spans="1:24">
      <c r="A1236">
        <f>HYPERLINK("https://www.philgeps.gov.ph/GEPSNONPILOT/Tender/SplashBidNoticeAbstractUI.aspx?menuIndex=3&amp;refID=7077511&amp;Result=3","7077511")</f>
        <v>0</v>
      </c>
      <c r="B1236" t="s">
        <v>591</v>
      </c>
      <c r="C1236" t="s">
        <v>4562</v>
      </c>
      <c r="D1236" t="s">
        <v>16657</v>
      </c>
      <c r="E1236" t="s">
        <v>17876</v>
      </c>
      <c r="F1236" t="s">
        <v>28669</v>
      </c>
      <c r="G1236" t="s">
        <v>28675</v>
      </c>
      <c r="H1236" t="s">
        <v>9998</v>
      </c>
      <c r="I1236" t="s">
        <v>28714</v>
      </c>
      <c r="J1236" t="s">
        <v>29717</v>
      </c>
      <c r="K1236" t="s">
        <v>37206</v>
      </c>
      <c r="M1236" t="s">
        <v>38090</v>
      </c>
      <c r="N1236" t="s">
        <v>41249</v>
      </c>
      <c r="O1236" t="s">
        <v>41250</v>
      </c>
      <c r="P1236">
        <v>0</v>
      </c>
      <c r="Q1236">
        <v>12</v>
      </c>
      <c r="R1236" t="s">
        <v>41251</v>
      </c>
      <c r="S1236" t="s">
        <v>41369</v>
      </c>
      <c r="T1236" t="s">
        <v>42692</v>
      </c>
      <c r="U1236" t="s">
        <v>44279</v>
      </c>
      <c r="W1236" t="s">
        <v>38090</v>
      </c>
      <c r="X1236" t="s">
        <v>41252</v>
      </c>
    </row>
    <row r="1237" spans="1:24">
      <c r="A1237">
        <f>HYPERLINK("https://www.philgeps.gov.ph/GEPSNONPILOT/Tender/SplashBidNoticeAbstractUI.aspx?menuIndex=3&amp;refID=7077502&amp;Result=3","7077502")</f>
        <v>0</v>
      </c>
      <c r="B1237" t="s">
        <v>228</v>
      </c>
      <c r="C1237" t="s">
        <v>4563</v>
      </c>
      <c r="D1237" t="s">
        <v>16608</v>
      </c>
      <c r="E1237" t="s">
        <v>17877</v>
      </c>
      <c r="F1237" t="s">
        <v>28669</v>
      </c>
      <c r="G1237" t="s">
        <v>28676</v>
      </c>
      <c r="H1237" t="s">
        <v>9998</v>
      </c>
      <c r="I1237" t="s">
        <v>28725</v>
      </c>
      <c r="J1237" t="s">
        <v>29718</v>
      </c>
      <c r="K1237" t="s">
        <v>37205</v>
      </c>
      <c r="M1237" t="s">
        <v>37706</v>
      </c>
      <c r="N1237" t="s">
        <v>41249</v>
      </c>
      <c r="O1237" t="s">
        <v>41250</v>
      </c>
      <c r="P1237">
        <v>0</v>
      </c>
      <c r="Q1237">
        <v>0</v>
      </c>
      <c r="R1237" t="s">
        <v>41251</v>
      </c>
      <c r="S1237" t="s">
        <v>41369</v>
      </c>
      <c r="T1237" t="s">
        <v>42690</v>
      </c>
      <c r="U1237" t="s">
        <v>44280</v>
      </c>
      <c r="V1237" t="s">
        <v>54390</v>
      </c>
      <c r="W1237" t="s">
        <v>37706</v>
      </c>
      <c r="X1237" t="s">
        <v>41252</v>
      </c>
    </row>
    <row r="1238" spans="1:24">
      <c r="A1238">
        <f>HYPERLINK("https://www.philgeps.gov.ph/GEPSNONPILOT/Tender/SplashBidNoticeAbstractUI.aspx?menuIndex=3&amp;refID=7077501&amp;Result=3","7077501")</f>
        <v>0</v>
      </c>
      <c r="B1238" t="s">
        <v>439</v>
      </c>
      <c r="C1238" t="s">
        <v>4564</v>
      </c>
      <c r="D1238" t="s">
        <v>16608</v>
      </c>
      <c r="E1238" t="s">
        <v>17878</v>
      </c>
      <c r="F1238" t="s">
        <v>28669</v>
      </c>
      <c r="G1238" t="s">
        <v>28676</v>
      </c>
      <c r="H1238" t="s">
        <v>9998</v>
      </c>
      <c r="I1238" t="s">
        <v>7352</v>
      </c>
      <c r="J1238" t="s">
        <v>29719</v>
      </c>
      <c r="K1238" t="s">
        <v>37220</v>
      </c>
      <c r="M1238" t="s">
        <v>37924</v>
      </c>
      <c r="N1238" t="s">
        <v>41249</v>
      </c>
      <c r="O1238" t="s">
        <v>41250</v>
      </c>
      <c r="P1238">
        <v>0</v>
      </c>
      <c r="Q1238">
        <v>0</v>
      </c>
      <c r="R1238" t="s">
        <v>41251</v>
      </c>
      <c r="S1238" t="s">
        <v>41369</v>
      </c>
      <c r="T1238" t="s">
        <v>42690</v>
      </c>
      <c r="U1238" t="s">
        <v>44215</v>
      </c>
      <c r="W1238" t="s">
        <v>37924</v>
      </c>
      <c r="X1238" t="s">
        <v>41252</v>
      </c>
    </row>
    <row r="1239" spans="1:24">
      <c r="A1239">
        <f>HYPERLINK("https://www.philgeps.gov.ph/GEPSNONPILOT/Tender/SplashBidNoticeAbstractUI.aspx?menuIndex=3&amp;refID=7077499&amp;Result=3","7077499")</f>
        <v>0</v>
      </c>
      <c r="B1239" t="s">
        <v>52</v>
      </c>
      <c r="C1239" t="s">
        <v>4565</v>
      </c>
      <c r="D1239" t="s">
        <v>16629</v>
      </c>
      <c r="E1239" t="s">
        <v>17879</v>
      </c>
      <c r="F1239" t="s">
        <v>28670</v>
      </c>
      <c r="G1239" t="s">
        <v>28676</v>
      </c>
      <c r="H1239" t="s">
        <v>28686</v>
      </c>
      <c r="I1239" t="s">
        <v>28704</v>
      </c>
      <c r="J1239" t="s">
        <v>29040</v>
      </c>
      <c r="K1239" t="s">
        <v>37204</v>
      </c>
      <c r="M1239" t="s">
        <v>37527</v>
      </c>
      <c r="N1239" t="s">
        <v>41249</v>
      </c>
      <c r="O1239" t="s">
        <v>41250</v>
      </c>
      <c r="P1239">
        <v>0</v>
      </c>
      <c r="Q1239">
        <v>1</v>
      </c>
      <c r="R1239" t="s">
        <v>41251</v>
      </c>
      <c r="S1239" t="s">
        <v>41369</v>
      </c>
      <c r="T1239" t="s">
        <v>42714</v>
      </c>
      <c r="U1239" t="s">
        <v>44281</v>
      </c>
      <c r="W1239" t="s">
        <v>37527</v>
      </c>
      <c r="X1239" t="s">
        <v>41252</v>
      </c>
    </row>
    <row r="1240" spans="1:24">
      <c r="A1240">
        <f>HYPERLINK("https://www.philgeps.gov.ph/GEPSNONPILOT/Tender/SplashBidNoticeAbstractUI.aspx?menuIndex=3&amp;refID=7077496&amp;Result=3","7077496")</f>
        <v>0</v>
      </c>
      <c r="B1240" t="s">
        <v>592</v>
      </c>
      <c r="C1240" t="s">
        <v>4566</v>
      </c>
      <c r="D1240" t="s">
        <v>16608</v>
      </c>
      <c r="E1240" t="s">
        <v>17880</v>
      </c>
      <c r="F1240" t="s">
        <v>28669</v>
      </c>
      <c r="G1240" t="s">
        <v>28676</v>
      </c>
      <c r="H1240" t="s">
        <v>9998</v>
      </c>
      <c r="I1240" t="s">
        <v>3718</v>
      </c>
      <c r="J1240" t="s">
        <v>29493</v>
      </c>
      <c r="K1240" t="s">
        <v>37204</v>
      </c>
      <c r="M1240" t="s">
        <v>38091</v>
      </c>
      <c r="N1240" t="s">
        <v>41249</v>
      </c>
      <c r="O1240" t="s">
        <v>41250</v>
      </c>
      <c r="P1240">
        <v>0</v>
      </c>
      <c r="Q1240">
        <v>4</v>
      </c>
      <c r="R1240" t="s">
        <v>41251</v>
      </c>
      <c r="S1240" t="s">
        <v>41369</v>
      </c>
      <c r="T1240" t="s">
        <v>42711</v>
      </c>
      <c r="U1240" t="s">
        <v>44282</v>
      </c>
      <c r="W1240" t="s">
        <v>38091</v>
      </c>
      <c r="X1240" t="s">
        <v>41252</v>
      </c>
    </row>
    <row r="1241" spans="1:24">
      <c r="A1241">
        <f>HYPERLINK("https://www.philgeps.gov.ph/GEPSNONPILOT/Tender/SplashBidNoticeAbstractUI.aspx?menuIndex=3&amp;refID=7077504&amp;Result=3","7077504")</f>
        <v>0</v>
      </c>
      <c r="B1241" t="s">
        <v>288</v>
      </c>
      <c r="C1241" t="s">
        <v>4520</v>
      </c>
      <c r="D1241" t="s">
        <v>16608</v>
      </c>
      <c r="E1241" t="s">
        <v>17881</v>
      </c>
      <c r="F1241" t="s">
        <v>28669</v>
      </c>
      <c r="G1241" t="s">
        <v>28676</v>
      </c>
      <c r="H1241" t="s">
        <v>28684</v>
      </c>
      <c r="I1241" t="s">
        <v>28725</v>
      </c>
      <c r="J1241" t="s">
        <v>29404</v>
      </c>
      <c r="K1241" t="s">
        <v>37204</v>
      </c>
      <c r="M1241" t="s">
        <v>37767</v>
      </c>
      <c r="N1241" t="s">
        <v>41249</v>
      </c>
      <c r="O1241" t="s">
        <v>41250</v>
      </c>
      <c r="P1241">
        <v>0</v>
      </c>
      <c r="Q1241">
        <v>1</v>
      </c>
      <c r="R1241" t="s">
        <v>41251</v>
      </c>
      <c r="S1241" t="s">
        <v>41369</v>
      </c>
      <c r="T1241" t="s">
        <v>42673</v>
      </c>
      <c r="U1241" t="s">
        <v>43656</v>
      </c>
      <c r="W1241" t="s">
        <v>37767</v>
      </c>
      <c r="X1241" t="s">
        <v>41252</v>
      </c>
    </row>
    <row r="1242" spans="1:24">
      <c r="A1242">
        <f>HYPERLINK("https://www.philgeps.gov.ph/GEPSNONPILOT/Tender/SplashBidNoticeAbstractUI.aspx?menuIndex=3&amp;refID=7077547&amp;Result=3","7077547")</f>
        <v>0</v>
      </c>
      <c r="B1242" t="s">
        <v>581</v>
      </c>
      <c r="C1242" t="s">
        <v>4567</v>
      </c>
      <c r="D1242" t="s">
        <v>16608</v>
      </c>
      <c r="E1242" t="s">
        <v>17882</v>
      </c>
      <c r="F1242" t="s">
        <v>28669</v>
      </c>
      <c r="G1242" t="s">
        <v>28675</v>
      </c>
      <c r="H1242" t="s">
        <v>9998</v>
      </c>
      <c r="I1242" t="s">
        <v>11593</v>
      </c>
      <c r="J1242" t="s">
        <v>29720</v>
      </c>
      <c r="K1242" t="s">
        <v>37221</v>
      </c>
      <c r="M1242" t="s">
        <v>38080</v>
      </c>
      <c r="N1242" t="s">
        <v>41249</v>
      </c>
      <c r="O1242" t="s">
        <v>41250</v>
      </c>
      <c r="P1242">
        <v>0</v>
      </c>
      <c r="Q1242">
        <v>14</v>
      </c>
      <c r="R1242" t="s">
        <v>41251</v>
      </c>
      <c r="S1242" t="s">
        <v>41369</v>
      </c>
      <c r="T1242" t="s">
        <v>42818</v>
      </c>
      <c r="U1242" t="s">
        <v>43958</v>
      </c>
      <c r="W1242" t="s">
        <v>38080</v>
      </c>
      <c r="X1242" t="s">
        <v>41252</v>
      </c>
    </row>
    <row r="1243" spans="1:24">
      <c r="A1243">
        <f>HYPERLINK("https://www.philgeps.gov.ph/GEPSNONPILOT/Tender/SplashBidNoticeAbstractUI.aspx?menuIndex=3&amp;refID=7077545&amp;Result=3","7077545")</f>
        <v>0</v>
      </c>
      <c r="B1243" t="s">
        <v>593</v>
      </c>
      <c r="C1243" t="s">
        <v>4568</v>
      </c>
      <c r="E1243" t="s">
        <v>17883</v>
      </c>
      <c r="F1243" t="s">
        <v>28672</v>
      </c>
      <c r="G1243" t="s">
        <v>28675</v>
      </c>
      <c r="H1243" t="s">
        <v>9998</v>
      </c>
      <c r="I1243" t="s">
        <v>28743</v>
      </c>
      <c r="J1243" t="s">
        <v>29034</v>
      </c>
      <c r="K1243" t="s">
        <v>37209</v>
      </c>
      <c r="M1243" t="s">
        <v>38092</v>
      </c>
      <c r="N1243" t="s">
        <v>41249</v>
      </c>
      <c r="O1243" t="s">
        <v>41250</v>
      </c>
      <c r="P1243">
        <v>0</v>
      </c>
      <c r="Q1243">
        <v>0</v>
      </c>
      <c r="R1243" t="s">
        <v>41251</v>
      </c>
      <c r="S1243" t="s">
        <v>41369</v>
      </c>
      <c r="T1243" t="s">
        <v>42820</v>
      </c>
      <c r="U1243" t="s">
        <v>44283</v>
      </c>
      <c r="W1243" t="s">
        <v>38092</v>
      </c>
      <c r="X1243" t="s">
        <v>41252</v>
      </c>
    </row>
    <row r="1244" spans="1:24">
      <c r="A1244">
        <f>HYPERLINK("https://www.philgeps.gov.ph/GEPSNONPILOT/Tender/SplashBidNoticeAbstractUI.aspx?menuIndex=3&amp;refID=7077543&amp;Result=3","7077543")</f>
        <v>0</v>
      </c>
      <c r="B1244" t="s">
        <v>594</v>
      </c>
      <c r="C1244" t="s">
        <v>4569</v>
      </c>
      <c r="D1244" t="s">
        <v>16673</v>
      </c>
      <c r="E1244" t="s">
        <v>17514</v>
      </c>
      <c r="F1244" t="s">
        <v>28671</v>
      </c>
      <c r="G1244" t="s">
        <v>28677</v>
      </c>
      <c r="H1244" t="s">
        <v>9998</v>
      </c>
      <c r="I1244" t="s">
        <v>28725</v>
      </c>
      <c r="J1244" t="s">
        <v>29721</v>
      </c>
      <c r="K1244" t="s">
        <v>37243</v>
      </c>
      <c r="M1244" t="s">
        <v>38093</v>
      </c>
      <c r="N1244" t="s">
        <v>41249</v>
      </c>
      <c r="O1244" t="s">
        <v>41250</v>
      </c>
      <c r="P1244">
        <v>0</v>
      </c>
      <c r="Q1244">
        <v>2</v>
      </c>
      <c r="R1244" t="s">
        <v>41251</v>
      </c>
      <c r="S1244" t="s">
        <v>41369</v>
      </c>
      <c r="T1244" t="s">
        <v>42742</v>
      </c>
      <c r="U1244" t="s">
        <v>44284</v>
      </c>
      <c r="W1244" t="s">
        <v>38093</v>
      </c>
      <c r="X1244" t="s">
        <v>41252</v>
      </c>
    </row>
    <row r="1245" spans="1:24">
      <c r="A1245">
        <f>HYPERLINK("https://www.philgeps.gov.ph/GEPSNONPILOT/Tender/SplashBidNoticeAbstractUI.aspx?menuIndex=3&amp;refID=7077509&amp;Result=3","7077509")</f>
        <v>0</v>
      </c>
      <c r="B1245" t="s">
        <v>283</v>
      </c>
      <c r="C1245" t="s">
        <v>4570</v>
      </c>
      <c r="E1245" t="s">
        <v>17884</v>
      </c>
      <c r="F1245" t="s">
        <v>28669</v>
      </c>
      <c r="G1245" t="s">
        <v>28676</v>
      </c>
      <c r="H1245" t="s">
        <v>9998</v>
      </c>
      <c r="I1245" t="s">
        <v>28729</v>
      </c>
      <c r="J1245" t="s">
        <v>29722</v>
      </c>
      <c r="K1245" t="s">
        <v>37205</v>
      </c>
      <c r="M1245" t="s">
        <v>37761</v>
      </c>
      <c r="N1245" t="s">
        <v>41249</v>
      </c>
      <c r="O1245" t="s">
        <v>41250</v>
      </c>
      <c r="P1245">
        <v>0</v>
      </c>
      <c r="Q1245">
        <v>13</v>
      </c>
      <c r="R1245" t="s">
        <v>41251</v>
      </c>
      <c r="S1245" t="s">
        <v>41369</v>
      </c>
      <c r="T1245" t="s">
        <v>42776</v>
      </c>
      <c r="U1245" t="s">
        <v>44121</v>
      </c>
      <c r="W1245" t="s">
        <v>37761</v>
      </c>
      <c r="X1245" t="s">
        <v>41252</v>
      </c>
    </row>
    <row r="1246" spans="1:24">
      <c r="A1246">
        <f>HYPERLINK("https://www.philgeps.gov.ph/GEPSNONPILOT/Tender/SplashBidNoticeAbstractUI.aspx?menuIndex=3&amp;refID=7077540&amp;Result=3","7077540")</f>
        <v>0</v>
      </c>
      <c r="B1246" t="s">
        <v>595</v>
      </c>
      <c r="C1246" t="s">
        <v>4571</v>
      </c>
      <c r="D1246" t="s">
        <v>16654</v>
      </c>
      <c r="E1246" t="s">
        <v>17885</v>
      </c>
      <c r="F1246" t="s">
        <v>28669</v>
      </c>
      <c r="G1246" t="s">
        <v>28675</v>
      </c>
      <c r="H1246" t="s">
        <v>28686</v>
      </c>
      <c r="I1246" t="s">
        <v>28689</v>
      </c>
      <c r="J1246" t="s">
        <v>29723</v>
      </c>
      <c r="K1246" t="s">
        <v>37286</v>
      </c>
      <c r="M1246" t="s">
        <v>38094</v>
      </c>
      <c r="N1246" t="s">
        <v>41249</v>
      </c>
      <c r="O1246" t="s">
        <v>41250</v>
      </c>
      <c r="P1246">
        <v>0</v>
      </c>
      <c r="Q1246">
        <v>1</v>
      </c>
      <c r="R1246" t="s">
        <v>41251</v>
      </c>
      <c r="S1246" t="s">
        <v>41369</v>
      </c>
      <c r="T1246" t="s">
        <v>42672</v>
      </c>
      <c r="U1246" t="s">
        <v>44285</v>
      </c>
      <c r="W1246" t="s">
        <v>38094</v>
      </c>
      <c r="X1246" t="s">
        <v>41252</v>
      </c>
    </row>
    <row r="1247" spans="1:24">
      <c r="A1247">
        <f>HYPERLINK("https://www.philgeps.gov.ph/GEPSNONPILOT/Tender/SplashBidNoticeAbstractUI.aspx?menuIndex=3&amp;refID=7077500&amp;Result=3","7077500")</f>
        <v>0</v>
      </c>
      <c r="B1247" t="s">
        <v>596</v>
      </c>
      <c r="C1247" t="s">
        <v>4572</v>
      </c>
      <c r="E1247" t="s">
        <v>17886</v>
      </c>
      <c r="F1247" t="s">
        <v>28669</v>
      </c>
      <c r="G1247" t="s">
        <v>28675</v>
      </c>
      <c r="H1247" t="s">
        <v>9998</v>
      </c>
      <c r="I1247" t="s">
        <v>28695</v>
      </c>
      <c r="J1247" t="s">
        <v>29724</v>
      </c>
      <c r="K1247" t="s">
        <v>37206</v>
      </c>
      <c r="M1247" t="s">
        <v>38095</v>
      </c>
      <c r="N1247" t="s">
        <v>41249</v>
      </c>
      <c r="O1247" t="s">
        <v>41250</v>
      </c>
      <c r="Q1247">
        <v>0</v>
      </c>
      <c r="R1247" t="s">
        <v>41251</v>
      </c>
      <c r="S1247" t="s">
        <v>41380</v>
      </c>
      <c r="T1247" t="s">
        <v>42661</v>
      </c>
      <c r="U1247" t="s">
        <v>44286</v>
      </c>
      <c r="W1247" t="s">
        <v>38095</v>
      </c>
      <c r="X1247" t="s">
        <v>41252</v>
      </c>
    </row>
    <row r="1248" spans="1:24">
      <c r="A1248">
        <f>HYPERLINK("https://www.philgeps.gov.ph/GEPSNONPILOT/Tender/SplashBidNoticeAbstractUI.aspx?menuIndex=3&amp;refID=7077539&amp;Result=3","7077539")</f>
        <v>0</v>
      </c>
      <c r="B1248" t="s">
        <v>569</v>
      </c>
      <c r="C1248" t="s">
        <v>4573</v>
      </c>
      <c r="D1248" t="s">
        <v>16634</v>
      </c>
      <c r="E1248" t="s">
        <v>17887</v>
      </c>
      <c r="F1248" t="s">
        <v>28669</v>
      </c>
      <c r="G1248" t="s">
        <v>28675</v>
      </c>
      <c r="H1248" t="s">
        <v>9998</v>
      </c>
      <c r="I1248" t="s">
        <v>28756</v>
      </c>
      <c r="J1248" t="s">
        <v>29685</v>
      </c>
      <c r="K1248" t="s">
        <v>37282</v>
      </c>
      <c r="M1248" t="s">
        <v>38067</v>
      </c>
      <c r="N1248" t="s">
        <v>41249</v>
      </c>
      <c r="O1248" t="s">
        <v>41250</v>
      </c>
      <c r="P1248">
        <v>0</v>
      </c>
      <c r="Q1248">
        <v>0</v>
      </c>
      <c r="R1248" t="s">
        <v>41251</v>
      </c>
      <c r="S1248" t="s">
        <v>41369</v>
      </c>
      <c r="T1248" t="s">
        <v>42690</v>
      </c>
      <c r="U1248" t="s">
        <v>44242</v>
      </c>
      <c r="V1248" t="s">
        <v>54391</v>
      </c>
      <c r="W1248" t="s">
        <v>38067</v>
      </c>
      <c r="X1248" t="s">
        <v>41252</v>
      </c>
    </row>
    <row r="1249" spans="1:24">
      <c r="A1249">
        <f>HYPERLINK("https://www.philgeps.gov.ph/GEPSNONPILOT/Tender/SplashBidNoticeAbstractUI.aspx?menuIndex=3&amp;refID=7077533&amp;Result=3","7077533")</f>
        <v>0</v>
      </c>
      <c r="B1249" t="s">
        <v>597</v>
      </c>
      <c r="C1249" t="s">
        <v>4574</v>
      </c>
      <c r="D1249" t="s">
        <v>16615</v>
      </c>
      <c r="E1249" t="s">
        <v>17888</v>
      </c>
      <c r="F1249" t="s">
        <v>28669</v>
      </c>
      <c r="G1249" t="s">
        <v>28676</v>
      </c>
      <c r="H1249" t="s">
        <v>9998</v>
      </c>
      <c r="I1249" t="s">
        <v>28694</v>
      </c>
      <c r="J1249" t="s">
        <v>29725</v>
      </c>
      <c r="K1249" t="s">
        <v>37206</v>
      </c>
      <c r="M1249" t="s">
        <v>38096</v>
      </c>
      <c r="N1249" t="s">
        <v>41249</v>
      </c>
      <c r="O1249" t="s">
        <v>41250</v>
      </c>
      <c r="P1249">
        <v>0</v>
      </c>
      <c r="Q1249">
        <v>1</v>
      </c>
      <c r="R1249" t="s">
        <v>41251</v>
      </c>
      <c r="S1249" t="s">
        <v>41369</v>
      </c>
      <c r="T1249" t="s">
        <v>42751</v>
      </c>
      <c r="U1249" t="s">
        <v>44287</v>
      </c>
      <c r="W1249" t="s">
        <v>55922</v>
      </c>
      <c r="X1249" t="s">
        <v>41252</v>
      </c>
    </row>
    <row r="1250" spans="1:24">
      <c r="A1250">
        <f>HYPERLINK("https://www.philgeps.gov.ph/GEPSNONPILOT/Tender/SplashBidNoticeAbstractUI.aspx?menuIndex=3&amp;refID=7077503&amp;Result=3","7077503")</f>
        <v>0</v>
      </c>
      <c r="B1250" t="s">
        <v>598</v>
      </c>
      <c r="C1250" t="s">
        <v>4575</v>
      </c>
      <c r="D1250" t="s">
        <v>16627</v>
      </c>
      <c r="E1250" t="s">
        <v>17140</v>
      </c>
      <c r="F1250" t="s">
        <v>28669</v>
      </c>
      <c r="G1250" t="s">
        <v>28675</v>
      </c>
      <c r="H1250" t="s">
        <v>9998</v>
      </c>
      <c r="I1250" t="s">
        <v>7352</v>
      </c>
      <c r="J1250" t="s">
        <v>29726</v>
      </c>
      <c r="K1250" t="s">
        <v>37206</v>
      </c>
      <c r="M1250" t="s">
        <v>38097</v>
      </c>
      <c r="N1250" t="s">
        <v>41249</v>
      </c>
      <c r="O1250" t="s">
        <v>41250</v>
      </c>
      <c r="P1250">
        <v>0</v>
      </c>
      <c r="Q1250">
        <v>0</v>
      </c>
      <c r="R1250" t="s">
        <v>41251</v>
      </c>
      <c r="S1250" t="s">
        <v>41369</v>
      </c>
      <c r="T1250" t="s">
        <v>42783</v>
      </c>
      <c r="U1250" t="s">
        <v>44288</v>
      </c>
      <c r="W1250" t="s">
        <v>38097</v>
      </c>
      <c r="X1250" t="s">
        <v>41252</v>
      </c>
    </row>
    <row r="1251" spans="1:24">
      <c r="A1251">
        <f>HYPERLINK("https://www.philgeps.gov.ph/GEPSNONPILOT/Tender/SplashBidNoticeAbstractUI.aspx?menuIndex=3&amp;refID=7077532&amp;Result=3","7077532")</f>
        <v>0</v>
      </c>
      <c r="B1251" t="s">
        <v>599</v>
      </c>
      <c r="C1251" t="s">
        <v>4576</v>
      </c>
      <c r="D1251" t="s">
        <v>16617</v>
      </c>
      <c r="E1251" t="s">
        <v>17889</v>
      </c>
      <c r="F1251" t="s">
        <v>28669</v>
      </c>
      <c r="G1251" t="s">
        <v>28675</v>
      </c>
      <c r="H1251" t="s">
        <v>28686</v>
      </c>
      <c r="I1251" t="s">
        <v>28689</v>
      </c>
      <c r="J1251" t="s">
        <v>29727</v>
      </c>
      <c r="K1251" t="s">
        <v>37287</v>
      </c>
      <c r="M1251" t="s">
        <v>38098</v>
      </c>
      <c r="N1251" t="s">
        <v>41249</v>
      </c>
      <c r="O1251" t="s">
        <v>41250</v>
      </c>
      <c r="P1251">
        <v>0</v>
      </c>
      <c r="Q1251">
        <v>5</v>
      </c>
      <c r="R1251" t="s">
        <v>41251</v>
      </c>
      <c r="S1251" t="s">
        <v>41369</v>
      </c>
      <c r="T1251" t="s">
        <v>42688</v>
      </c>
      <c r="U1251" t="s">
        <v>44289</v>
      </c>
      <c r="V1251" t="s">
        <v>54278</v>
      </c>
      <c r="W1251" t="s">
        <v>38098</v>
      </c>
      <c r="X1251" t="s">
        <v>41252</v>
      </c>
    </row>
    <row r="1252" spans="1:24">
      <c r="A1252">
        <f>HYPERLINK("https://www.philgeps.gov.ph/GEPSNONPILOT/Tender/SplashBidNoticeAbstractUI.aspx?menuIndex=3&amp;refID=7077546&amp;Result=3","7077546")</f>
        <v>0</v>
      </c>
      <c r="B1252" t="s">
        <v>267</v>
      </c>
      <c r="C1252" t="s">
        <v>4577</v>
      </c>
      <c r="D1252" t="s">
        <v>16679</v>
      </c>
      <c r="E1252" t="s">
        <v>17890</v>
      </c>
      <c r="F1252" t="s">
        <v>28669</v>
      </c>
      <c r="G1252" t="s">
        <v>28676</v>
      </c>
      <c r="H1252" t="s">
        <v>9998</v>
      </c>
      <c r="I1252" t="s">
        <v>11593</v>
      </c>
      <c r="J1252" t="s">
        <v>29728</v>
      </c>
      <c r="K1252" t="s">
        <v>37205</v>
      </c>
      <c r="M1252" t="s">
        <v>38099</v>
      </c>
      <c r="N1252" t="s">
        <v>41249</v>
      </c>
      <c r="O1252" t="s">
        <v>41250</v>
      </c>
      <c r="P1252">
        <v>0</v>
      </c>
      <c r="Q1252">
        <v>3</v>
      </c>
      <c r="R1252" t="s">
        <v>41251</v>
      </c>
      <c r="S1252" t="s">
        <v>41369</v>
      </c>
      <c r="T1252" t="s">
        <v>42673</v>
      </c>
      <c r="U1252" t="s">
        <v>43621</v>
      </c>
      <c r="V1252" t="s">
        <v>54318</v>
      </c>
      <c r="W1252" t="s">
        <v>55923</v>
      </c>
      <c r="X1252" t="s">
        <v>41252</v>
      </c>
    </row>
    <row r="1253" spans="1:24">
      <c r="A1253">
        <f>HYPERLINK("https://www.philgeps.gov.ph/GEPSNONPILOT/Tender/SplashBidNoticeAbstractUI.aspx?menuIndex=3&amp;refID=7077530&amp;Result=3","7077530")</f>
        <v>0</v>
      </c>
      <c r="B1253" t="s">
        <v>114</v>
      </c>
      <c r="C1253" t="s">
        <v>4578</v>
      </c>
      <c r="D1253" t="s">
        <v>16608</v>
      </c>
      <c r="E1253" t="s">
        <v>17891</v>
      </c>
      <c r="F1253" t="s">
        <v>28669</v>
      </c>
      <c r="G1253" t="s">
        <v>28677</v>
      </c>
      <c r="H1253" t="s">
        <v>9998</v>
      </c>
      <c r="I1253" t="s">
        <v>5286</v>
      </c>
      <c r="J1253" t="s">
        <v>29729</v>
      </c>
      <c r="K1253" t="s">
        <v>37210</v>
      </c>
      <c r="M1253" t="s">
        <v>37793</v>
      </c>
      <c r="N1253" t="s">
        <v>41249</v>
      </c>
      <c r="O1253" t="s">
        <v>41250</v>
      </c>
      <c r="P1253">
        <v>0</v>
      </c>
      <c r="Q1253">
        <v>2</v>
      </c>
      <c r="R1253" t="s">
        <v>41251</v>
      </c>
      <c r="S1253" t="s">
        <v>41369</v>
      </c>
      <c r="T1253" t="s">
        <v>42741</v>
      </c>
      <c r="U1253" t="s">
        <v>44290</v>
      </c>
      <c r="V1253" t="s">
        <v>54326</v>
      </c>
      <c r="W1253" t="s">
        <v>37793</v>
      </c>
      <c r="X1253" t="s">
        <v>41252</v>
      </c>
    </row>
    <row r="1254" spans="1:24">
      <c r="A1254">
        <f>HYPERLINK("https://www.philgeps.gov.ph/GEPSNONPILOT/Tender/SplashBidNoticeAbstractUI.aspx?menuIndex=3&amp;refID=7077544&amp;Result=3","7077544")</f>
        <v>0</v>
      </c>
      <c r="B1254" t="s">
        <v>531</v>
      </c>
      <c r="C1254" t="s">
        <v>4579</v>
      </c>
      <c r="D1254" t="s">
        <v>16611</v>
      </c>
      <c r="E1254" t="s">
        <v>17892</v>
      </c>
      <c r="F1254" t="s">
        <v>28669</v>
      </c>
      <c r="G1254" t="s">
        <v>28677</v>
      </c>
      <c r="H1254" t="s">
        <v>9998</v>
      </c>
      <c r="I1254" t="s">
        <v>28688</v>
      </c>
      <c r="J1254" t="s">
        <v>29730</v>
      </c>
      <c r="K1254" t="s">
        <v>37210</v>
      </c>
      <c r="M1254" t="s">
        <v>38022</v>
      </c>
      <c r="N1254" t="s">
        <v>41249</v>
      </c>
      <c r="O1254" t="s">
        <v>41250</v>
      </c>
      <c r="P1254">
        <v>0</v>
      </c>
      <c r="Q1254">
        <v>0</v>
      </c>
      <c r="R1254" t="s">
        <v>41251</v>
      </c>
      <c r="S1254" t="s">
        <v>41369</v>
      </c>
      <c r="T1254" t="s">
        <v>42679</v>
      </c>
      <c r="U1254" t="s">
        <v>44291</v>
      </c>
      <c r="W1254" t="s">
        <v>38022</v>
      </c>
      <c r="X1254" t="s">
        <v>41252</v>
      </c>
    </row>
    <row r="1255" spans="1:24">
      <c r="A1255">
        <f>HYPERLINK("https://www.philgeps.gov.ph/GEPSNONPILOT/Tender/SplashBidNoticeAbstractUI.aspx?menuIndex=3&amp;refID=7077528&amp;Result=3","7077528")</f>
        <v>0</v>
      </c>
      <c r="B1255" t="s">
        <v>217</v>
      </c>
      <c r="C1255" t="s">
        <v>4580</v>
      </c>
      <c r="D1255" t="s">
        <v>16618</v>
      </c>
      <c r="E1255" t="s">
        <v>17893</v>
      </c>
      <c r="F1255" t="s">
        <v>28669</v>
      </c>
      <c r="G1255" t="s">
        <v>28676</v>
      </c>
      <c r="H1255" t="s">
        <v>9998</v>
      </c>
      <c r="I1255" t="s">
        <v>28717</v>
      </c>
      <c r="J1255" t="s">
        <v>29731</v>
      </c>
      <c r="K1255" t="s">
        <v>37206</v>
      </c>
      <c r="M1255" t="s">
        <v>37695</v>
      </c>
      <c r="N1255" t="s">
        <v>41249</v>
      </c>
      <c r="O1255" t="s">
        <v>41250</v>
      </c>
      <c r="P1255">
        <v>0</v>
      </c>
      <c r="Q1255">
        <v>8</v>
      </c>
      <c r="R1255" t="s">
        <v>41251</v>
      </c>
      <c r="S1255" t="s">
        <v>41369</v>
      </c>
      <c r="T1255" t="s">
        <v>42675</v>
      </c>
      <c r="U1255" t="s">
        <v>44292</v>
      </c>
      <c r="W1255" t="s">
        <v>37695</v>
      </c>
      <c r="X1255" t="s">
        <v>41252</v>
      </c>
    </row>
    <row r="1256" spans="1:24">
      <c r="A1256">
        <f>HYPERLINK("https://www.philgeps.gov.ph/GEPSNONPILOT/Tender/SplashBidNoticeAbstractUI.aspx?menuIndex=3&amp;refID=7077575&amp;Result=3","7077575")</f>
        <v>0</v>
      </c>
      <c r="B1256" t="s">
        <v>569</v>
      </c>
      <c r="C1256" t="s">
        <v>4581</v>
      </c>
      <c r="D1256" t="s">
        <v>16634</v>
      </c>
      <c r="E1256" t="s">
        <v>17894</v>
      </c>
      <c r="F1256" t="s">
        <v>28669</v>
      </c>
      <c r="G1256" t="s">
        <v>28675</v>
      </c>
      <c r="H1256" t="s">
        <v>9998</v>
      </c>
      <c r="I1256" t="s">
        <v>28756</v>
      </c>
      <c r="J1256" t="s">
        <v>29693</v>
      </c>
      <c r="K1256" t="s">
        <v>37283</v>
      </c>
      <c r="M1256" t="s">
        <v>38067</v>
      </c>
      <c r="N1256" t="s">
        <v>41249</v>
      </c>
      <c r="O1256" t="s">
        <v>41250</v>
      </c>
      <c r="P1256">
        <v>0</v>
      </c>
      <c r="Q1256">
        <v>0</v>
      </c>
      <c r="R1256" t="s">
        <v>41251</v>
      </c>
      <c r="S1256" t="s">
        <v>41369</v>
      </c>
      <c r="T1256" t="s">
        <v>42690</v>
      </c>
      <c r="U1256" t="s">
        <v>44242</v>
      </c>
      <c r="V1256" t="s">
        <v>54392</v>
      </c>
      <c r="W1256" t="s">
        <v>38067</v>
      </c>
      <c r="X1256" t="s">
        <v>41252</v>
      </c>
    </row>
    <row r="1257" spans="1:24">
      <c r="A1257">
        <f>HYPERLINK("https://www.philgeps.gov.ph/GEPSNONPILOT/Tender/SplashBidNoticeAbstractUI.aspx?menuIndex=3&amp;refID=7077573&amp;Result=3","7077573")</f>
        <v>0</v>
      </c>
      <c r="B1257" t="s">
        <v>326</v>
      </c>
      <c r="C1257" t="s">
        <v>4582</v>
      </c>
      <c r="D1257" t="s">
        <v>16665</v>
      </c>
      <c r="E1257" t="s">
        <v>17895</v>
      </c>
      <c r="F1257" t="s">
        <v>28669</v>
      </c>
      <c r="G1257" t="s">
        <v>28675</v>
      </c>
      <c r="H1257" t="s">
        <v>28686</v>
      </c>
      <c r="I1257" t="s">
        <v>28689</v>
      </c>
      <c r="J1257" t="s">
        <v>29732</v>
      </c>
      <c r="K1257" t="s">
        <v>37212</v>
      </c>
      <c r="M1257" t="s">
        <v>37806</v>
      </c>
      <c r="N1257" t="s">
        <v>41249</v>
      </c>
      <c r="O1257" t="s">
        <v>41250</v>
      </c>
      <c r="P1257">
        <v>0</v>
      </c>
      <c r="Q1257">
        <v>0</v>
      </c>
      <c r="R1257" t="s">
        <v>41251</v>
      </c>
      <c r="S1257" t="s">
        <v>41369</v>
      </c>
      <c r="T1257" t="s">
        <v>42808</v>
      </c>
      <c r="U1257" t="s">
        <v>44293</v>
      </c>
      <c r="W1257" t="s">
        <v>37806</v>
      </c>
      <c r="X1257" t="s">
        <v>41252</v>
      </c>
    </row>
    <row r="1258" spans="1:24">
      <c r="A1258">
        <f>HYPERLINK("https://www.philgeps.gov.ph/GEPSNONPILOT/Tender/SplashBidNoticeAbstractUI.aspx?menuIndex=3&amp;refID=7077535&amp;Result=3","7077535")</f>
        <v>0</v>
      </c>
      <c r="B1258" t="s">
        <v>586</v>
      </c>
      <c r="C1258" t="s">
        <v>4583</v>
      </c>
      <c r="D1258" t="s">
        <v>16612</v>
      </c>
      <c r="E1258" t="s">
        <v>17896</v>
      </c>
      <c r="F1258" t="s">
        <v>28669</v>
      </c>
      <c r="G1258" t="s">
        <v>28676</v>
      </c>
      <c r="H1258" t="s">
        <v>9998</v>
      </c>
      <c r="I1258" t="s">
        <v>28706</v>
      </c>
      <c r="J1258" t="s">
        <v>29733</v>
      </c>
      <c r="K1258" t="s">
        <v>37205</v>
      </c>
      <c r="M1258" t="s">
        <v>38085</v>
      </c>
      <c r="N1258" t="s">
        <v>41249</v>
      </c>
      <c r="O1258" t="s">
        <v>41250</v>
      </c>
      <c r="P1258">
        <v>0</v>
      </c>
      <c r="Q1258">
        <v>0</v>
      </c>
      <c r="R1258" t="s">
        <v>41251</v>
      </c>
      <c r="S1258" t="s">
        <v>41369</v>
      </c>
      <c r="T1258" t="s">
        <v>42673</v>
      </c>
      <c r="U1258" t="s">
        <v>44294</v>
      </c>
      <c r="W1258" t="s">
        <v>38085</v>
      </c>
      <c r="X1258" t="s">
        <v>41252</v>
      </c>
    </row>
    <row r="1259" spans="1:24">
      <c r="A1259">
        <f>HYPERLINK("https://www.philgeps.gov.ph/GEPSNONPILOT/Tender/SplashBidNoticeAbstractUI.aspx?menuIndex=3&amp;refID=7077571&amp;Result=3","7077571")</f>
        <v>0</v>
      </c>
      <c r="B1259" t="s">
        <v>600</v>
      </c>
      <c r="C1259" t="s">
        <v>4584</v>
      </c>
      <c r="E1259" t="s">
        <v>17897</v>
      </c>
      <c r="F1259" t="s">
        <v>28669</v>
      </c>
      <c r="G1259" t="s">
        <v>28676</v>
      </c>
      <c r="H1259" t="s">
        <v>9998</v>
      </c>
      <c r="I1259" t="s">
        <v>28765</v>
      </c>
      <c r="J1259" t="s">
        <v>28851</v>
      </c>
      <c r="K1259" t="s">
        <v>37209</v>
      </c>
      <c r="M1259" t="s">
        <v>38100</v>
      </c>
      <c r="N1259" t="s">
        <v>41249</v>
      </c>
      <c r="O1259" t="s">
        <v>41250</v>
      </c>
      <c r="P1259">
        <v>0</v>
      </c>
      <c r="Q1259">
        <v>1</v>
      </c>
      <c r="R1259" t="s">
        <v>41251</v>
      </c>
      <c r="S1259" t="s">
        <v>41369</v>
      </c>
      <c r="T1259" t="s">
        <v>42742</v>
      </c>
      <c r="U1259" t="s">
        <v>44295</v>
      </c>
      <c r="V1259" t="s">
        <v>54393</v>
      </c>
      <c r="W1259" t="s">
        <v>38100</v>
      </c>
      <c r="X1259" t="s">
        <v>41252</v>
      </c>
    </row>
    <row r="1260" spans="1:24">
      <c r="A1260">
        <f>HYPERLINK("https://www.philgeps.gov.ph/GEPSNONPILOT/Tender/SplashBidNoticeAbstractUI.aspx?menuIndex=3&amp;refID=7077567&amp;Result=3","7077567")</f>
        <v>0</v>
      </c>
      <c r="B1260" t="s">
        <v>601</v>
      </c>
      <c r="C1260" t="s">
        <v>4585</v>
      </c>
      <c r="D1260" t="s">
        <v>16608</v>
      </c>
      <c r="E1260" t="s">
        <v>17898</v>
      </c>
      <c r="F1260" t="s">
        <v>28669</v>
      </c>
      <c r="G1260" t="s">
        <v>28675</v>
      </c>
      <c r="H1260" t="s">
        <v>28686</v>
      </c>
      <c r="I1260" t="s">
        <v>28689</v>
      </c>
      <c r="J1260" t="s">
        <v>29655</v>
      </c>
      <c r="K1260" t="s">
        <v>37209</v>
      </c>
      <c r="M1260" t="s">
        <v>38101</v>
      </c>
      <c r="N1260" t="s">
        <v>41249</v>
      </c>
      <c r="O1260" t="s">
        <v>41250</v>
      </c>
      <c r="P1260">
        <v>0</v>
      </c>
      <c r="Q1260">
        <v>0</v>
      </c>
      <c r="R1260" t="s">
        <v>41251</v>
      </c>
      <c r="S1260" t="s">
        <v>41369</v>
      </c>
      <c r="T1260" t="s">
        <v>42722</v>
      </c>
      <c r="U1260" t="s">
        <v>44296</v>
      </c>
      <c r="V1260" t="s">
        <v>54394</v>
      </c>
      <c r="W1260" t="s">
        <v>38101</v>
      </c>
      <c r="X1260" t="s">
        <v>41252</v>
      </c>
    </row>
    <row r="1261" spans="1:24">
      <c r="A1261">
        <f>HYPERLINK("https://www.philgeps.gov.ph/GEPSNONPILOT/Tender/SplashBidNoticeAbstractUI.aspx?menuIndex=3&amp;refID=7077531&amp;Result=3","7077531")</f>
        <v>0</v>
      </c>
      <c r="B1261" t="s">
        <v>602</v>
      </c>
      <c r="C1261" t="s">
        <v>4586</v>
      </c>
      <c r="D1261" t="s">
        <v>16661</v>
      </c>
      <c r="E1261" t="s">
        <v>17899</v>
      </c>
      <c r="F1261" t="s">
        <v>28669</v>
      </c>
      <c r="G1261" t="s">
        <v>28677</v>
      </c>
      <c r="H1261" t="s">
        <v>9998</v>
      </c>
      <c r="I1261" t="s">
        <v>5213</v>
      </c>
      <c r="J1261" t="s">
        <v>29734</v>
      </c>
      <c r="K1261" t="s">
        <v>37204</v>
      </c>
      <c r="M1261" t="s">
        <v>38102</v>
      </c>
      <c r="N1261" t="s">
        <v>41249</v>
      </c>
      <c r="O1261" t="s">
        <v>41250</v>
      </c>
      <c r="P1261">
        <v>0</v>
      </c>
      <c r="Q1261">
        <v>0</v>
      </c>
      <c r="R1261" t="s">
        <v>41251</v>
      </c>
      <c r="S1261" t="s">
        <v>41369</v>
      </c>
      <c r="T1261" t="s">
        <v>42673</v>
      </c>
      <c r="U1261" t="s">
        <v>44297</v>
      </c>
      <c r="W1261" t="s">
        <v>38102</v>
      </c>
      <c r="X1261" t="s">
        <v>41252</v>
      </c>
    </row>
    <row r="1262" spans="1:24">
      <c r="A1262">
        <f>HYPERLINK("https://www.philgeps.gov.ph/GEPSNONPILOT/Tender/SplashBidNoticeAbstractUI.aspx?menuIndex=3&amp;refID=7077552&amp;Result=3","7077552")</f>
        <v>0</v>
      </c>
      <c r="B1262" t="s">
        <v>603</v>
      </c>
      <c r="C1262" t="s">
        <v>4587</v>
      </c>
      <c r="D1262" t="s">
        <v>16615</v>
      </c>
      <c r="E1262" t="s">
        <v>17900</v>
      </c>
      <c r="F1262" t="s">
        <v>28669</v>
      </c>
      <c r="G1262" t="s">
        <v>28676</v>
      </c>
      <c r="H1262" t="s">
        <v>9998</v>
      </c>
      <c r="I1262" t="s">
        <v>28715</v>
      </c>
      <c r="J1262" t="s">
        <v>29735</v>
      </c>
      <c r="K1262" t="s">
        <v>37205</v>
      </c>
      <c r="M1262" t="s">
        <v>38103</v>
      </c>
      <c r="N1262" t="s">
        <v>41249</v>
      </c>
      <c r="O1262" t="s">
        <v>41250</v>
      </c>
      <c r="P1262">
        <v>0</v>
      </c>
      <c r="Q1262">
        <v>1</v>
      </c>
      <c r="R1262" t="s">
        <v>41251</v>
      </c>
      <c r="S1262" t="s">
        <v>41369</v>
      </c>
      <c r="T1262" t="s">
        <v>42717</v>
      </c>
      <c r="U1262" t="s">
        <v>44298</v>
      </c>
      <c r="W1262" t="s">
        <v>38103</v>
      </c>
      <c r="X1262" t="s">
        <v>41252</v>
      </c>
    </row>
    <row r="1263" spans="1:24">
      <c r="A1263">
        <f>HYPERLINK("https://www.philgeps.gov.ph/GEPSNONPILOT/Tender/SplashBidNoticeAbstractUI.aspx?menuIndex=3&amp;refID=7077565&amp;Result=3","7077565")</f>
        <v>0</v>
      </c>
      <c r="B1263" t="s">
        <v>569</v>
      </c>
      <c r="C1263" t="s">
        <v>4588</v>
      </c>
      <c r="D1263" t="s">
        <v>16634</v>
      </c>
      <c r="E1263" t="s">
        <v>17901</v>
      </c>
      <c r="F1263" t="s">
        <v>28669</v>
      </c>
      <c r="G1263" t="s">
        <v>28675</v>
      </c>
      <c r="H1263" t="s">
        <v>9998</v>
      </c>
      <c r="I1263" t="s">
        <v>28756</v>
      </c>
      <c r="J1263" t="s">
        <v>29685</v>
      </c>
      <c r="K1263" t="s">
        <v>37282</v>
      </c>
      <c r="M1263" t="s">
        <v>38067</v>
      </c>
      <c r="N1263" t="s">
        <v>41249</v>
      </c>
      <c r="O1263" t="s">
        <v>41250</v>
      </c>
      <c r="P1263">
        <v>0</v>
      </c>
      <c r="Q1263">
        <v>0</v>
      </c>
      <c r="R1263" t="s">
        <v>41251</v>
      </c>
      <c r="S1263" t="s">
        <v>41369</v>
      </c>
      <c r="T1263" t="s">
        <v>42690</v>
      </c>
      <c r="U1263" t="s">
        <v>44242</v>
      </c>
      <c r="V1263" t="s">
        <v>54395</v>
      </c>
      <c r="W1263" t="s">
        <v>38067</v>
      </c>
      <c r="X1263" t="s">
        <v>41252</v>
      </c>
    </row>
    <row r="1264" spans="1:24">
      <c r="A1264">
        <f>HYPERLINK("https://www.philgeps.gov.ph/GEPSNONPILOT/Tender/SplashBidNoticeAbstractUI.aspx?menuIndex=3&amp;refID=7077564&amp;Result=3","7077564")</f>
        <v>0</v>
      </c>
      <c r="B1264" t="s">
        <v>416</v>
      </c>
      <c r="C1264" t="s">
        <v>4589</v>
      </c>
      <c r="D1264" t="s">
        <v>16615</v>
      </c>
      <c r="E1264" t="s">
        <v>17812</v>
      </c>
      <c r="F1264" t="s">
        <v>28669</v>
      </c>
      <c r="G1264" t="s">
        <v>28676</v>
      </c>
      <c r="H1264" t="s">
        <v>9998</v>
      </c>
      <c r="I1264" t="s">
        <v>28731</v>
      </c>
      <c r="J1264" t="s">
        <v>29110</v>
      </c>
      <c r="K1264" t="s">
        <v>37206</v>
      </c>
      <c r="M1264" t="s">
        <v>37901</v>
      </c>
      <c r="N1264" t="s">
        <v>41249</v>
      </c>
      <c r="O1264" t="s">
        <v>41250</v>
      </c>
      <c r="P1264">
        <v>0</v>
      </c>
      <c r="Q1264">
        <v>0</v>
      </c>
      <c r="R1264" t="s">
        <v>41251</v>
      </c>
      <c r="S1264" t="s">
        <v>41369</v>
      </c>
      <c r="T1264" t="s">
        <v>42694</v>
      </c>
      <c r="U1264" t="s">
        <v>44299</v>
      </c>
      <c r="W1264" t="s">
        <v>37901</v>
      </c>
      <c r="X1264" t="s">
        <v>41252</v>
      </c>
    </row>
    <row r="1265" spans="1:24">
      <c r="A1265">
        <f>HYPERLINK("https://www.philgeps.gov.ph/GEPSNONPILOT/Tender/SplashBidNoticeAbstractUI.aspx?menuIndex=3&amp;refID=7077563&amp;Result=3","7077563")</f>
        <v>0</v>
      </c>
      <c r="B1265" t="s">
        <v>42</v>
      </c>
      <c r="C1265" t="s">
        <v>3487</v>
      </c>
      <c r="D1265" t="s">
        <v>16623</v>
      </c>
      <c r="E1265" t="s">
        <v>17902</v>
      </c>
      <c r="F1265" t="s">
        <v>28669</v>
      </c>
      <c r="G1265" t="s">
        <v>28675</v>
      </c>
      <c r="H1265" t="s">
        <v>9998</v>
      </c>
      <c r="I1265" t="s">
        <v>28704</v>
      </c>
      <c r="J1265" t="s">
        <v>29736</v>
      </c>
      <c r="K1265" t="s">
        <v>37210</v>
      </c>
      <c r="M1265" t="s">
        <v>37517</v>
      </c>
      <c r="N1265" t="s">
        <v>41249</v>
      </c>
      <c r="O1265" t="s">
        <v>41250</v>
      </c>
      <c r="P1265">
        <v>0</v>
      </c>
      <c r="Q1265">
        <v>0</v>
      </c>
      <c r="R1265" t="s">
        <v>41251</v>
      </c>
      <c r="S1265" t="s">
        <v>41369</v>
      </c>
      <c r="T1265" t="s">
        <v>42678</v>
      </c>
      <c r="U1265" t="s">
        <v>44300</v>
      </c>
      <c r="W1265" t="s">
        <v>37517</v>
      </c>
      <c r="X1265" t="s">
        <v>41252</v>
      </c>
    </row>
    <row r="1266" spans="1:24">
      <c r="A1266">
        <f>HYPERLINK("https://www.philgeps.gov.ph/GEPSNONPILOT/Tender/SplashBidNoticeAbstractUI.aspx?menuIndex=3&amp;refID=7077559&amp;Result=3","7077559")</f>
        <v>0</v>
      </c>
      <c r="B1266" t="s">
        <v>604</v>
      </c>
      <c r="C1266" t="s">
        <v>4590</v>
      </c>
      <c r="D1266" t="s">
        <v>16626</v>
      </c>
      <c r="E1266" t="s">
        <v>17903</v>
      </c>
      <c r="F1266" t="s">
        <v>28669</v>
      </c>
      <c r="G1266" t="s">
        <v>28675</v>
      </c>
      <c r="H1266" t="s">
        <v>9998</v>
      </c>
      <c r="I1266" t="s">
        <v>28690</v>
      </c>
      <c r="J1266" t="s">
        <v>29737</v>
      </c>
      <c r="K1266" t="s">
        <v>37278</v>
      </c>
      <c r="M1266" t="s">
        <v>38104</v>
      </c>
      <c r="N1266" t="s">
        <v>41249</v>
      </c>
      <c r="O1266" t="s">
        <v>41250</v>
      </c>
      <c r="P1266">
        <v>0</v>
      </c>
      <c r="Q1266">
        <v>4</v>
      </c>
      <c r="R1266" t="s">
        <v>41251</v>
      </c>
      <c r="S1266" t="s">
        <v>41369</v>
      </c>
      <c r="T1266" t="s">
        <v>42763</v>
      </c>
      <c r="U1266" t="s">
        <v>44301</v>
      </c>
      <c r="W1266" t="s">
        <v>38104</v>
      </c>
      <c r="X1266" t="s">
        <v>41252</v>
      </c>
    </row>
    <row r="1267" spans="1:24">
      <c r="A1267">
        <f>HYPERLINK("https://www.philgeps.gov.ph/GEPSNONPILOT/Tender/SplashBidNoticeAbstractUI.aspx?menuIndex=3&amp;refID=7077570&amp;Result=3","7077570")</f>
        <v>0</v>
      </c>
      <c r="B1267" t="s">
        <v>528</v>
      </c>
      <c r="C1267" t="s">
        <v>4591</v>
      </c>
      <c r="D1267" t="s">
        <v>16608</v>
      </c>
      <c r="E1267" t="s">
        <v>17904</v>
      </c>
      <c r="F1267" t="s">
        <v>28669</v>
      </c>
      <c r="G1267" t="s">
        <v>28675</v>
      </c>
      <c r="H1267" t="s">
        <v>9998</v>
      </c>
      <c r="I1267" t="s">
        <v>3718</v>
      </c>
      <c r="J1267" t="s">
        <v>29738</v>
      </c>
      <c r="K1267" t="s">
        <v>37204</v>
      </c>
      <c r="M1267" t="s">
        <v>38019</v>
      </c>
      <c r="N1267" t="s">
        <v>41249</v>
      </c>
      <c r="O1267" t="s">
        <v>41250</v>
      </c>
      <c r="P1267">
        <v>0</v>
      </c>
      <c r="Q1267">
        <v>1</v>
      </c>
      <c r="R1267" t="s">
        <v>41251</v>
      </c>
      <c r="S1267" t="s">
        <v>41369</v>
      </c>
      <c r="T1267" t="s">
        <v>42821</v>
      </c>
      <c r="U1267" t="s">
        <v>44121</v>
      </c>
      <c r="W1267" t="s">
        <v>38019</v>
      </c>
      <c r="X1267" t="s">
        <v>41252</v>
      </c>
    </row>
    <row r="1268" spans="1:24">
      <c r="A1268">
        <f>HYPERLINK("https://www.philgeps.gov.ph/GEPSNONPILOT/Tender/SplashBidNoticeAbstractUI.aspx?menuIndex=3&amp;refID=7077558&amp;Result=3","7077558")</f>
        <v>0</v>
      </c>
      <c r="B1268" t="s">
        <v>605</v>
      </c>
      <c r="C1268" t="s">
        <v>4592</v>
      </c>
      <c r="D1268" t="s">
        <v>16661</v>
      </c>
      <c r="E1268" t="s">
        <v>17905</v>
      </c>
      <c r="F1268" t="s">
        <v>28669</v>
      </c>
      <c r="G1268" t="s">
        <v>28675</v>
      </c>
      <c r="H1268" t="s">
        <v>28686</v>
      </c>
      <c r="I1268" t="s">
        <v>28689</v>
      </c>
      <c r="J1268" t="s">
        <v>28878</v>
      </c>
      <c r="K1268" t="s">
        <v>37220</v>
      </c>
      <c r="M1268" t="s">
        <v>38105</v>
      </c>
      <c r="N1268" t="s">
        <v>41249</v>
      </c>
      <c r="O1268" t="s">
        <v>41250</v>
      </c>
      <c r="P1268">
        <v>0</v>
      </c>
      <c r="Q1268">
        <v>0</v>
      </c>
      <c r="R1268" t="s">
        <v>41251</v>
      </c>
      <c r="S1268" t="s">
        <v>41369</v>
      </c>
      <c r="T1268" t="s">
        <v>42683</v>
      </c>
      <c r="U1268" t="s">
        <v>44302</v>
      </c>
      <c r="W1268" t="s">
        <v>38105</v>
      </c>
      <c r="X1268" t="s">
        <v>41252</v>
      </c>
    </row>
    <row r="1269" spans="1:24">
      <c r="A1269">
        <f>HYPERLINK("https://www.philgeps.gov.ph/GEPSNONPILOT/Tender/SplashBidNoticeAbstractUI.aspx?menuIndex=3&amp;refID=7077557&amp;Result=3","7077557")</f>
        <v>0</v>
      </c>
      <c r="B1269" t="s">
        <v>561</v>
      </c>
      <c r="C1269" t="s">
        <v>4593</v>
      </c>
      <c r="E1269" t="s">
        <v>17906</v>
      </c>
      <c r="F1269" t="s">
        <v>28669</v>
      </c>
      <c r="G1269" t="s">
        <v>28679</v>
      </c>
      <c r="H1269" t="s">
        <v>9998</v>
      </c>
      <c r="I1269" t="s">
        <v>28704</v>
      </c>
      <c r="J1269" t="s">
        <v>29739</v>
      </c>
      <c r="K1269" t="s">
        <v>37209</v>
      </c>
      <c r="M1269" t="s">
        <v>38054</v>
      </c>
      <c r="N1269" t="s">
        <v>41249</v>
      </c>
      <c r="O1269" t="s">
        <v>41250</v>
      </c>
      <c r="P1269">
        <v>0</v>
      </c>
      <c r="Q1269">
        <v>0</v>
      </c>
      <c r="R1269" t="s">
        <v>41251</v>
      </c>
      <c r="S1269" t="s">
        <v>41369</v>
      </c>
      <c r="T1269" t="s">
        <v>42817</v>
      </c>
      <c r="U1269" t="s">
        <v>44303</v>
      </c>
      <c r="W1269" t="s">
        <v>38054</v>
      </c>
      <c r="X1269" t="s">
        <v>41252</v>
      </c>
    </row>
    <row r="1270" spans="1:24">
      <c r="A1270">
        <f>HYPERLINK("https://www.philgeps.gov.ph/GEPSNONPILOT/Tender/SplashBidNoticeAbstractUI.aspx?menuIndex=3&amp;refID=7077457&amp;Result=3","7077457")</f>
        <v>0</v>
      </c>
      <c r="B1270" t="s">
        <v>169</v>
      </c>
      <c r="C1270" t="s">
        <v>4594</v>
      </c>
      <c r="D1270" t="s">
        <v>16611</v>
      </c>
      <c r="E1270" t="s">
        <v>17907</v>
      </c>
      <c r="F1270" t="s">
        <v>28669</v>
      </c>
      <c r="G1270" t="s">
        <v>28676</v>
      </c>
      <c r="H1270" t="s">
        <v>28686</v>
      </c>
      <c r="I1270" t="s">
        <v>28689</v>
      </c>
      <c r="J1270" t="s">
        <v>28836</v>
      </c>
      <c r="K1270" t="s">
        <v>37215</v>
      </c>
      <c r="M1270" t="s">
        <v>37936</v>
      </c>
      <c r="N1270" t="s">
        <v>41249</v>
      </c>
      <c r="O1270" t="s">
        <v>41250</v>
      </c>
      <c r="P1270">
        <v>0</v>
      </c>
      <c r="Q1270">
        <v>0</v>
      </c>
      <c r="R1270" t="s">
        <v>41251</v>
      </c>
      <c r="S1270" t="s">
        <v>41369</v>
      </c>
      <c r="T1270" t="s">
        <v>42764</v>
      </c>
      <c r="U1270" t="s">
        <v>44304</v>
      </c>
      <c r="W1270" t="s">
        <v>37936</v>
      </c>
      <c r="X1270" t="s">
        <v>41252</v>
      </c>
    </row>
    <row r="1271" spans="1:24">
      <c r="A1271">
        <f>HYPERLINK("https://www.philgeps.gov.ph/GEPSNONPILOT/Tender/SplashBidNoticeAbstractUI.aspx?menuIndex=3&amp;refID=7077554&amp;Result=3","7077554")</f>
        <v>0</v>
      </c>
      <c r="B1271" t="s">
        <v>569</v>
      </c>
      <c r="C1271" t="s">
        <v>4595</v>
      </c>
      <c r="D1271" t="s">
        <v>16634</v>
      </c>
      <c r="E1271" t="s">
        <v>17908</v>
      </c>
      <c r="F1271" t="s">
        <v>28669</v>
      </c>
      <c r="G1271" t="s">
        <v>28675</v>
      </c>
      <c r="H1271" t="s">
        <v>9998</v>
      </c>
      <c r="I1271" t="s">
        <v>28756</v>
      </c>
      <c r="J1271" t="s">
        <v>29685</v>
      </c>
      <c r="K1271" t="s">
        <v>37282</v>
      </c>
      <c r="M1271" t="s">
        <v>38067</v>
      </c>
      <c r="N1271" t="s">
        <v>41249</v>
      </c>
      <c r="O1271" t="s">
        <v>41250</v>
      </c>
      <c r="P1271">
        <v>0</v>
      </c>
      <c r="Q1271">
        <v>0</v>
      </c>
      <c r="R1271" t="s">
        <v>41251</v>
      </c>
      <c r="S1271" t="s">
        <v>41369</v>
      </c>
      <c r="T1271" t="s">
        <v>42690</v>
      </c>
      <c r="U1271" t="s">
        <v>44242</v>
      </c>
      <c r="V1271" t="s">
        <v>54396</v>
      </c>
      <c r="W1271" t="s">
        <v>38067</v>
      </c>
      <c r="X1271" t="s">
        <v>41252</v>
      </c>
    </row>
    <row r="1272" spans="1:24">
      <c r="A1272">
        <f>HYPERLINK("https://www.philgeps.gov.ph/GEPSNONPILOT/Tender/SplashBidNoticeAbstractUI.aspx?menuIndex=3&amp;refID=7077572&amp;Result=3","7077572")</f>
        <v>0</v>
      </c>
      <c r="B1272" t="s">
        <v>606</v>
      </c>
      <c r="C1272" t="s">
        <v>4596</v>
      </c>
      <c r="D1272" t="s">
        <v>16616</v>
      </c>
      <c r="E1272" t="s">
        <v>17879</v>
      </c>
      <c r="F1272" t="s">
        <v>28669</v>
      </c>
      <c r="G1272" t="s">
        <v>28676</v>
      </c>
      <c r="H1272" t="s">
        <v>9998</v>
      </c>
      <c r="I1272" t="s">
        <v>28756</v>
      </c>
      <c r="J1272" t="s">
        <v>29740</v>
      </c>
      <c r="K1272" t="s">
        <v>37209</v>
      </c>
      <c r="M1272" t="s">
        <v>38106</v>
      </c>
      <c r="N1272" t="s">
        <v>41249</v>
      </c>
      <c r="O1272" t="s">
        <v>41250</v>
      </c>
      <c r="P1272">
        <v>0</v>
      </c>
      <c r="Q1272">
        <v>0</v>
      </c>
      <c r="R1272" t="s">
        <v>41251</v>
      </c>
      <c r="S1272" t="s">
        <v>41369</v>
      </c>
      <c r="T1272" t="s">
        <v>42711</v>
      </c>
      <c r="U1272" t="s">
        <v>44305</v>
      </c>
      <c r="V1272" t="s">
        <v>54397</v>
      </c>
      <c r="W1272" t="s">
        <v>38106</v>
      </c>
      <c r="X1272" t="s">
        <v>41252</v>
      </c>
    </row>
    <row r="1273" spans="1:24">
      <c r="A1273">
        <f>HYPERLINK("https://www.philgeps.gov.ph/GEPSNONPILOT/Tender/SplashBidNoticeAbstractUI.aspx?menuIndex=3&amp;refID=7077549&amp;Result=3","7077549")</f>
        <v>0</v>
      </c>
      <c r="B1273" t="s">
        <v>204</v>
      </c>
      <c r="C1273" t="s">
        <v>4597</v>
      </c>
      <c r="D1273" t="s">
        <v>16627</v>
      </c>
      <c r="E1273" t="s">
        <v>17909</v>
      </c>
      <c r="F1273" t="s">
        <v>28669</v>
      </c>
      <c r="G1273" t="s">
        <v>28676</v>
      </c>
      <c r="H1273" t="s">
        <v>9998</v>
      </c>
      <c r="I1273" t="s">
        <v>11593</v>
      </c>
      <c r="J1273" t="s">
        <v>29741</v>
      </c>
      <c r="K1273" t="s">
        <v>37205</v>
      </c>
      <c r="M1273" t="s">
        <v>37682</v>
      </c>
      <c r="N1273" t="s">
        <v>41249</v>
      </c>
      <c r="O1273" t="s">
        <v>41250</v>
      </c>
      <c r="P1273">
        <v>0</v>
      </c>
      <c r="Q1273">
        <v>1</v>
      </c>
      <c r="R1273" t="s">
        <v>41251</v>
      </c>
      <c r="S1273" t="s">
        <v>41369</v>
      </c>
      <c r="T1273" t="s">
        <v>42738</v>
      </c>
      <c r="U1273" t="s">
        <v>43507</v>
      </c>
      <c r="V1273" t="s">
        <v>54398</v>
      </c>
      <c r="W1273" t="s">
        <v>37682</v>
      </c>
      <c r="X1273" t="s">
        <v>41252</v>
      </c>
    </row>
    <row r="1274" spans="1:24">
      <c r="A1274">
        <f>HYPERLINK("https://www.philgeps.gov.ph/GEPSNONPILOT/Tender/SplashBidNoticeAbstractUI.aspx?menuIndex=3&amp;refID=7077548&amp;Result=3","7077548")</f>
        <v>0</v>
      </c>
      <c r="B1274" t="s">
        <v>607</v>
      </c>
      <c r="C1274" t="s">
        <v>4598</v>
      </c>
      <c r="D1274" t="s">
        <v>16657</v>
      </c>
      <c r="E1274" t="s">
        <v>17910</v>
      </c>
      <c r="F1274" t="s">
        <v>28669</v>
      </c>
      <c r="G1274" t="s">
        <v>28678</v>
      </c>
      <c r="H1274" t="s">
        <v>9998</v>
      </c>
      <c r="I1274" t="s">
        <v>6128</v>
      </c>
      <c r="J1274" t="s">
        <v>29742</v>
      </c>
      <c r="K1274" t="s">
        <v>37209</v>
      </c>
      <c r="M1274" t="s">
        <v>38107</v>
      </c>
      <c r="N1274" t="s">
        <v>41249</v>
      </c>
      <c r="O1274" t="s">
        <v>41250</v>
      </c>
      <c r="P1274">
        <v>0</v>
      </c>
      <c r="Q1274">
        <v>0</v>
      </c>
      <c r="R1274" t="s">
        <v>41251</v>
      </c>
      <c r="S1274" t="s">
        <v>41369</v>
      </c>
      <c r="T1274" t="s">
        <v>42711</v>
      </c>
      <c r="U1274" t="s">
        <v>44306</v>
      </c>
      <c r="W1274" t="s">
        <v>38107</v>
      </c>
      <c r="X1274" t="s">
        <v>41252</v>
      </c>
    </row>
    <row r="1275" spans="1:24">
      <c r="A1275">
        <f>HYPERLINK("https://www.philgeps.gov.ph/GEPSNONPILOT/Tender/SplashBidNoticeAbstractUI.aspx?menuIndex=3&amp;refID=7077561&amp;Result=3","7077561")</f>
        <v>0</v>
      </c>
      <c r="B1275" t="s">
        <v>608</v>
      </c>
      <c r="C1275" t="s">
        <v>4599</v>
      </c>
      <c r="E1275" t="s">
        <v>17911</v>
      </c>
      <c r="F1275" t="s">
        <v>28669</v>
      </c>
      <c r="G1275" t="s">
        <v>28677</v>
      </c>
      <c r="H1275" t="s">
        <v>9998</v>
      </c>
      <c r="I1275" t="s">
        <v>28734</v>
      </c>
      <c r="J1275" t="s">
        <v>29743</v>
      </c>
      <c r="K1275" t="s">
        <v>37206</v>
      </c>
      <c r="M1275" t="s">
        <v>38108</v>
      </c>
      <c r="N1275" t="s">
        <v>41249</v>
      </c>
      <c r="O1275" t="s">
        <v>41250</v>
      </c>
      <c r="P1275">
        <v>0</v>
      </c>
      <c r="Q1275">
        <v>2</v>
      </c>
      <c r="R1275" t="s">
        <v>41251</v>
      </c>
      <c r="S1275" t="s">
        <v>41369</v>
      </c>
      <c r="T1275" t="s">
        <v>42701</v>
      </c>
      <c r="U1275" t="s">
        <v>44307</v>
      </c>
      <c r="W1275" t="s">
        <v>38108</v>
      </c>
      <c r="X1275" t="s">
        <v>41252</v>
      </c>
    </row>
    <row r="1276" spans="1:24">
      <c r="A1276">
        <f>HYPERLINK("https://www.philgeps.gov.ph/GEPSNONPILOT/Tender/SplashBidNoticeAbstractUI.aspx?menuIndex=3&amp;refID=7077525&amp;Result=3","7077525")</f>
        <v>0</v>
      </c>
      <c r="B1276" t="s">
        <v>156</v>
      </c>
      <c r="C1276" t="s">
        <v>4600</v>
      </c>
      <c r="D1276" t="s">
        <v>16663</v>
      </c>
      <c r="E1276" t="s">
        <v>17912</v>
      </c>
      <c r="F1276" t="s">
        <v>28669</v>
      </c>
      <c r="G1276" t="s">
        <v>28676</v>
      </c>
      <c r="H1276" t="s">
        <v>9998</v>
      </c>
      <c r="I1276" t="s">
        <v>3679</v>
      </c>
      <c r="J1276" t="s">
        <v>29744</v>
      </c>
      <c r="K1276" t="s">
        <v>37209</v>
      </c>
      <c r="M1276" t="s">
        <v>37633</v>
      </c>
      <c r="N1276" t="s">
        <v>41249</v>
      </c>
      <c r="O1276" t="s">
        <v>41250</v>
      </c>
      <c r="P1276">
        <v>0</v>
      </c>
      <c r="Q1276">
        <v>0</v>
      </c>
      <c r="R1276" t="s">
        <v>41251</v>
      </c>
      <c r="S1276" t="s">
        <v>41369</v>
      </c>
      <c r="T1276" t="s">
        <v>42711</v>
      </c>
      <c r="U1276" t="s">
        <v>44308</v>
      </c>
      <c r="V1276" t="s">
        <v>54289</v>
      </c>
      <c r="W1276" t="s">
        <v>37633</v>
      </c>
      <c r="X1276" t="s">
        <v>41252</v>
      </c>
    </row>
    <row r="1277" spans="1:24">
      <c r="A1277">
        <f>HYPERLINK("https://www.philgeps.gov.ph/GEPSNONPILOT/Tender/SplashBidNoticeAbstractUI.aspx?menuIndex=3&amp;refID=7077524&amp;Result=3","7077524")</f>
        <v>0</v>
      </c>
      <c r="B1277" t="s">
        <v>609</v>
      </c>
      <c r="C1277" t="s">
        <v>4601</v>
      </c>
      <c r="D1277" t="s">
        <v>16608</v>
      </c>
      <c r="E1277" t="s">
        <v>4601</v>
      </c>
      <c r="F1277" t="s">
        <v>28669</v>
      </c>
      <c r="G1277" t="s">
        <v>28676</v>
      </c>
      <c r="H1277" t="s">
        <v>9998</v>
      </c>
      <c r="I1277" t="s">
        <v>11142</v>
      </c>
      <c r="J1277" t="s">
        <v>29745</v>
      </c>
      <c r="K1277" t="s">
        <v>37221</v>
      </c>
      <c r="M1277" t="s">
        <v>38109</v>
      </c>
      <c r="N1277" t="s">
        <v>41249</v>
      </c>
      <c r="O1277" t="s">
        <v>41250</v>
      </c>
      <c r="P1277">
        <v>0</v>
      </c>
      <c r="Q1277">
        <v>13</v>
      </c>
      <c r="R1277" t="s">
        <v>41251</v>
      </c>
      <c r="S1277" t="s">
        <v>41369</v>
      </c>
      <c r="T1277" t="s">
        <v>42675</v>
      </c>
      <c r="U1277" t="s">
        <v>44309</v>
      </c>
      <c r="W1277" t="s">
        <v>38109</v>
      </c>
      <c r="X1277" t="s">
        <v>41252</v>
      </c>
    </row>
    <row r="1278" spans="1:24">
      <c r="A1278">
        <f>HYPERLINK("https://www.philgeps.gov.ph/GEPSNONPILOT/Tender/SplashBidNoticeAbstractUI.aspx?menuIndex=3&amp;refID=7077579&amp;Result=3","7077579")</f>
        <v>0</v>
      </c>
      <c r="B1278" t="s">
        <v>610</v>
      </c>
      <c r="C1278" t="s">
        <v>4602</v>
      </c>
      <c r="D1278" t="s">
        <v>16679</v>
      </c>
      <c r="E1278" t="s">
        <v>17913</v>
      </c>
      <c r="F1278" t="s">
        <v>28669</v>
      </c>
      <c r="G1278" t="s">
        <v>28676</v>
      </c>
      <c r="H1278" t="s">
        <v>9998</v>
      </c>
      <c r="I1278" t="s">
        <v>28766</v>
      </c>
      <c r="J1278" t="s">
        <v>29746</v>
      </c>
      <c r="K1278" t="s">
        <v>37206</v>
      </c>
      <c r="M1278" t="s">
        <v>38110</v>
      </c>
      <c r="N1278" t="s">
        <v>41249</v>
      </c>
      <c r="O1278" t="s">
        <v>41250</v>
      </c>
      <c r="P1278">
        <v>0</v>
      </c>
      <c r="Q1278">
        <v>7</v>
      </c>
      <c r="R1278" t="s">
        <v>41251</v>
      </c>
      <c r="S1278" t="s">
        <v>41369</v>
      </c>
      <c r="T1278" t="s">
        <v>42817</v>
      </c>
      <c r="U1278" t="s">
        <v>44310</v>
      </c>
      <c r="W1278" t="s">
        <v>38110</v>
      </c>
      <c r="X1278" t="s">
        <v>41252</v>
      </c>
    </row>
    <row r="1279" spans="1:24">
      <c r="A1279">
        <f>HYPERLINK("https://www.philgeps.gov.ph/GEPSNONPILOT/Tender/SplashBidNoticeAbstractUI.aspx?menuIndex=3&amp;refID=7077602&amp;Result=3","7077602")</f>
        <v>0</v>
      </c>
      <c r="B1279" t="s">
        <v>561</v>
      </c>
      <c r="C1279" t="s">
        <v>3718</v>
      </c>
      <c r="E1279" t="s">
        <v>17914</v>
      </c>
      <c r="F1279" t="s">
        <v>28669</v>
      </c>
      <c r="G1279" t="s">
        <v>28679</v>
      </c>
      <c r="H1279" t="s">
        <v>9998</v>
      </c>
      <c r="I1279" t="s">
        <v>3718</v>
      </c>
      <c r="J1279" t="s">
        <v>29747</v>
      </c>
      <c r="K1279" t="s">
        <v>37209</v>
      </c>
      <c r="M1279" t="s">
        <v>38054</v>
      </c>
      <c r="N1279" t="s">
        <v>41249</v>
      </c>
      <c r="O1279" t="s">
        <v>41250</v>
      </c>
      <c r="P1279">
        <v>0</v>
      </c>
      <c r="Q1279">
        <v>0</v>
      </c>
      <c r="R1279" t="s">
        <v>41251</v>
      </c>
      <c r="S1279" t="s">
        <v>41369</v>
      </c>
      <c r="T1279" t="s">
        <v>42817</v>
      </c>
      <c r="U1279" t="s">
        <v>44311</v>
      </c>
      <c r="W1279" t="s">
        <v>38054</v>
      </c>
      <c r="X1279" t="s">
        <v>41252</v>
      </c>
    </row>
    <row r="1280" spans="1:24">
      <c r="A1280">
        <f>HYPERLINK("https://www.philgeps.gov.ph/GEPSNONPILOT/Tender/SplashBidNoticeAbstractUI.aspx?menuIndex=3&amp;refID=7077556&amp;Result=3","7077556")</f>
        <v>0</v>
      </c>
      <c r="B1280" t="s">
        <v>169</v>
      </c>
      <c r="C1280" t="s">
        <v>4603</v>
      </c>
      <c r="D1280" t="s">
        <v>16611</v>
      </c>
      <c r="E1280" t="s">
        <v>17915</v>
      </c>
      <c r="F1280" t="s">
        <v>28669</v>
      </c>
      <c r="G1280" t="s">
        <v>28676</v>
      </c>
      <c r="H1280" t="s">
        <v>28686</v>
      </c>
      <c r="I1280" t="s">
        <v>28689</v>
      </c>
      <c r="J1280" t="s">
        <v>28836</v>
      </c>
      <c r="K1280" t="s">
        <v>37288</v>
      </c>
      <c r="M1280" t="s">
        <v>37936</v>
      </c>
      <c r="N1280" t="s">
        <v>41249</v>
      </c>
      <c r="O1280" t="s">
        <v>41250</v>
      </c>
      <c r="P1280">
        <v>0</v>
      </c>
      <c r="Q1280">
        <v>0</v>
      </c>
      <c r="R1280" t="s">
        <v>41251</v>
      </c>
      <c r="S1280" t="s">
        <v>41369</v>
      </c>
      <c r="T1280" t="s">
        <v>42764</v>
      </c>
      <c r="U1280" t="s">
        <v>44312</v>
      </c>
      <c r="W1280" t="s">
        <v>37936</v>
      </c>
      <c r="X1280" t="s">
        <v>41252</v>
      </c>
    </row>
    <row r="1281" spans="1:24">
      <c r="A1281">
        <f>HYPERLINK("https://www.philgeps.gov.ph/GEPSNONPILOT/Tender/SplashBidNoticeAbstractUI.aspx?menuIndex=3&amp;refID=7077553&amp;Result=3","7077553")</f>
        <v>0</v>
      </c>
      <c r="B1281" t="s">
        <v>538</v>
      </c>
      <c r="C1281" t="s">
        <v>4604</v>
      </c>
      <c r="E1281" t="s">
        <v>17916</v>
      </c>
      <c r="F1281" t="s">
        <v>28669</v>
      </c>
      <c r="G1281" t="s">
        <v>28675</v>
      </c>
      <c r="H1281" t="s">
        <v>28686</v>
      </c>
      <c r="I1281" t="s">
        <v>28689</v>
      </c>
      <c r="J1281" t="s">
        <v>29748</v>
      </c>
      <c r="K1281" t="s">
        <v>37277</v>
      </c>
      <c r="M1281" t="s">
        <v>38029</v>
      </c>
      <c r="N1281" t="s">
        <v>41249</v>
      </c>
      <c r="O1281" t="s">
        <v>41250</v>
      </c>
      <c r="P1281">
        <v>0</v>
      </c>
      <c r="Q1281">
        <v>5</v>
      </c>
      <c r="R1281" t="s">
        <v>41251</v>
      </c>
      <c r="S1281" t="s">
        <v>41369</v>
      </c>
      <c r="T1281" t="s">
        <v>42722</v>
      </c>
      <c r="U1281" t="s">
        <v>44141</v>
      </c>
      <c r="V1281" t="s">
        <v>54371</v>
      </c>
      <c r="W1281" t="s">
        <v>38029</v>
      </c>
      <c r="X1281" t="s">
        <v>41252</v>
      </c>
    </row>
    <row r="1282" spans="1:24">
      <c r="A1282">
        <f>HYPERLINK("https://www.philgeps.gov.ph/GEPSNONPILOT/Tender/SplashBidNoticeAbstractUI.aspx?menuIndex=3&amp;refID=7077527&amp;Result=3","7077527")</f>
        <v>0</v>
      </c>
      <c r="B1282" t="s">
        <v>611</v>
      </c>
      <c r="C1282" t="s">
        <v>4605</v>
      </c>
      <c r="D1282" t="s">
        <v>16608</v>
      </c>
      <c r="E1282" t="s">
        <v>17917</v>
      </c>
      <c r="F1282" t="s">
        <v>28669</v>
      </c>
      <c r="G1282" t="s">
        <v>28676</v>
      </c>
      <c r="H1282" t="s">
        <v>9998</v>
      </c>
      <c r="I1282" t="s">
        <v>28767</v>
      </c>
      <c r="J1282" t="s">
        <v>29749</v>
      </c>
      <c r="K1282" t="s">
        <v>37205</v>
      </c>
      <c r="M1282" t="s">
        <v>38111</v>
      </c>
      <c r="N1282" t="s">
        <v>41249</v>
      </c>
      <c r="O1282" t="s">
        <v>41250</v>
      </c>
      <c r="P1282">
        <v>0</v>
      </c>
      <c r="Q1282">
        <v>1</v>
      </c>
      <c r="R1282" t="s">
        <v>41251</v>
      </c>
      <c r="S1282" t="s">
        <v>41369</v>
      </c>
      <c r="T1282" t="s">
        <v>42804</v>
      </c>
      <c r="U1282" t="s">
        <v>44313</v>
      </c>
      <c r="V1282" t="s">
        <v>43651</v>
      </c>
      <c r="W1282" t="s">
        <v>38111</v>
      </c>
      <c r="X1282" t="s">
        <v>41252</v>
      </c>
    </row>
    <row r="1283" spans="1:24">
      <c r="A1283">
        <f>HYPERLINK("https://www.philgeps.gov.ph/GEPSNONPILOT/Tender/SplashBidNoticeAbstractUI.aspx?menuIndex=3&amp;refID=7077599&amp;Result=3","7077599")</f>
        <v>0</v>
      </c>
      <c r="B1283" t="s">
        <v>569</v>
      </c>
      <c r="C1283" t="s">
        <v>4606</v>
      </c>
      <c r="D1283" t="s">
        <v>16634</v>
      </c>
      <c r="E1283" t="s">
        <v>17918</v>
      </c>
      <c r="F1283" t="s">
        <v>28669</v>
      </c>
      <c r="G1283" t="s">
        <v>28675</v>
      </c>
      <c r="H1283" t="s">
        <v>9998</v>
      </c>
      <c r="I1283" t="s">
        <v>28756</v>
      </c>
      <c r="J1283" t="s">
        <v>29750</v>
      </c>
      <c r="K1283" t="s">
        <v>37210</v>
      </c>
      <c r="M1283" t="s">
        <v>38067</v>
      </c>
      <c r="N1283" t="s">
        <v>41249</v>
      </c>
      <c r="O1283" t="s">
        <v>41250</v>
      </c>
      <c r="P1283">
        <v>0</v>
      </c>
      <c r="Q1283">
        <v>0</v>
      </c>
      <c r="R1283" t="s">
        <v>41251</v>
      </c>
      <c r="S1283" t="s">
        <v>41369</v>
      </c>
      <c r="T1283" t="s">
        <v>42690</v>
      </c>
      <c r="U1283" t="s">
        <v>44242</v>
      </c>
      <c r="V1283" t="s">
        <v>54399</v>
      </c>
      <c r="W1283" t="s">
        <v>38067</v>
      </c>
      <c r="X1283" t="s">
        <v>41252</v>
      </c>
    </row>
    <row r="1284" spans="1:24">
      <c r="A1284">
        <f>HYPERLINK("https://www.philgeps.gov.ph/GEPSNONPILOT/Tender/SplashBidNoticeAbstractUI.aspx?menuIndex=3&amp;refID=7077523&amp;Result=3","7077523")</f>
        <v>0</v>
      </c>
      <c r="B1284" t="s">
        <v>612</v>
      </c>
      <c r="C1284" t="s">
        <v>4607</v>
      </c>
      <c r="D1284" t="s">
        <v>16664</v>
      </c>
      <c r="E1284" t="s">
        <v>17919</v>
      </c>
      <c r="F1284" t="s">
        <v>28669</v>
      </c>
      <c r="G1284" t="s">
        <v>28676</v>
      </c>
      <c r="H1284" t="s">
        <v>9998</v>
      </c>
      <c r="I1284" t="s">
        <v>28720</v>
      </c>
      <c r="J1284" t="s">
        <v>28826</v>
      </c>
      <c r="K1284" t="s">
        <v>37209</v>
      </c>
      <c r="M1284" t="s">
        <v>38112</v>
      </c>
      <c r="N1284" t="s">
        <v>41249</v>
      </c>
      <c r="O1284" t="s">
        <v>41250</v>
      </c>
      <c r="P1284">
        <v>0</v>
      </c>
      <c r="Q1284">
        <v>1</v>
      </c>
      <c r="R1284" t="s">
        <v>41251</v>
      </c>
      <c r="S1284" t="s">
        <v>41369</v>
      </c>
      <c r="T1284" t="s">
        <v>42694</v>
      </c>
      <c r="U1284" t="s">
        <v>44314</v>
      </c>
      <c r="W1284" t="s">
        <v>38112</v>
      </c>
      <c r="X1284" t="s">
        <v>41252</v>
      </c>
    </row>
    <row r="1285" spans="1:24">
      <c r="A1285">
        <f>HYPERLINK("https://www.philgeps.gov.ph/GEPSNONPILOT/Tender/SplashBidNoticeAbstractUI.aspx?menuIndex=3&amp;refID=7077593&amp;Result=3","7077593")</f>
        <v>0</v>
      </c>
      <c r="B1285" t="s">
        <v>432</v>
      </c>
      <c r="C1285" t="s">
        <v>4608</v>
      </c>
      <c r="D1285" t="s">
        <v>16686</v>
      </c>
      <c r="E1285" t="s">
        <v>17920</v>
      </c>
      <c r="F1285" t="s">
        <v>28669</v>
      </c>
      <c r="G1285" t="s">
        <v>28675</v>
      </c>
      <c r="H1285" t="s">
        <v>9998</v>
      </c>
      <c r="I1285" t="s">
        <v>28690</v>
      </c>
      <c r="J1285" t="s">
        <v>29040</v>
      </c>
      <c r="K1285" t="s">
        <v>37205</v>
      </c>
      <c r="M1285" t="s">
        <v>37917</v>
      </c>
      <c r="N1285" t="s">
        <v>41249</v>
      </c>
      <c r="O1285" t="s">
        <v>41250</v>
      </c>
      <c r="P1285">
        <v>0</v>
      </c>
      <c r="Q1285">
        <v>0</v>
      </c>
      <c r="R1285" t="s">
        <v>41251</v>
      </c>
      <c r="S1285" t="s">
        <v>41369</v>
      </c>
      <c r="T1285" t="s">
        <v>42821</v>
      </c>
      <c r="U1285" t="s">
        <v>44315</v>
      </c>
      <c r="W1285" t="s">
        <v>37917</v>
      </c>
      <c r="X1285" t="s">
        <v>41252</v>
      </c>
    </row>
    <row r="1286" spans="1:24">
      <c r="A1286">
        <f>HYPERLINK("https://www.philgeps.gov.ph/GEPSNONPILOT/Tender/SplashBidNoticeAbstractUI.aspx?menuIndex=3&amp;refID=7077591&amp;Result=3","7077591")</f>
        <v>0</v>
      </c>
      <c r="B1286" t="s">
        <v>554</v>
      </c>
      <c r="C1286" t="s">
        <v>4609</v>
      </c>
      <c r="D1286" t="s">
        <v>16639</v>
      </c>
      <c r="E1286" t="s">
        <v>17921</v>
      </c>
      <c r="F1286" t="s">
        <v>28669</v>
      </c>
      <c r="G1286" t="s">
        <v>28676</v>
      </c>
      <c r="H1286" t="s">
        <v>9998</v>
      </c>
      <c r="I1286" t="s">
        <v>28734</v>
      </c>
      <c r="J1286" t="s">
        <v>29751</v>
      </c>
      <c r="K1286" t="s">
        <v>37206</v>
      </c>
      <c r="M1286" t="s">
        <v>38047</v>
      </c>
      <c r="N1286" t="s">
        <v>41249</v>
      </c>
      <c r="O1286" t="s">
        <v>41250</v>
      </c>
      <c r="P1286">
        <v>0</v>
      </c>
      <c r="Q1286">
        <v>0</v>
      </c>
      <c r="R1286" t="s">
        <v>41251</v>
      </c>
      <c r="S1286" t="s">
        <v>41369</v>
      </c>
      <c r="T1286" t="s">
        <v>42675</v>
      </c>
      <c r="U1286" t="s">
        <v>44316</v>
      </c>
      <c r="V1286" t="s">
        <v>54378</v>
      </c>
      <c r="W1286" t="s">
        <v>38047</v>
      </c>
      <c r="X1286" t="s">
        <v>41252</v>
      </c>
    </row>
    <row r="1287" spans="1:24">
      <c r="A1287">
        <f>HYPERLINK("https://www.philgeps.gov.ph/GEPSNONPILOT/Tender/SplashBidNoticeAbstractUI.aspx?menuIndex=3&amp;refID=7077589&amp;Result=3","7077589")</f>
        <v>0</v>
      </c>
      <c r="B1287" t="s">
        <v>569</v>
      </c>
      <c r="C1287" t="s">
        <v>4610</v>
      </c>
      <c r="D1287" t="s">
        <v>16634</v>
      </c>
      <c r="E1287" t="s">
        <v>17922</v>
      </c>
      <c r="F1287" t="s">
        <v>28669</v>
      </c>
      <c r="G1287" t="s">
        <v>28675</v>
      </c>
      <c r="H1287" t="s">
        <v>9998</v>
      </c>
      <c r="I1287" t="s">
        <v>28756</v>
      </c>
      <c r="J1287" t="s">
        <v>29750</v>
      </c>
      <c r="K1287" t="s">
        <v>37210</v>
      </c>
      <c r="M1287" t="s">
        <v>38067</v>
      </c>
      <c r="N1287" t="s">
        <v>41249</v>
      </c>
      <c r="O1287" t="s">
        <v>41250</v>
      </c>
      <c r="P1287">
        <v>0</v>
      </c>
      <c r="Q1287">
        <v>0</v>
      </c>
      <c r="R1287" t="s">
        <v>41251</v>
      </c>
      <c r="S1287" t="s">
        <v>41369</v>
      </c>
      <c r="T1287" t="s">
        <v>42690</v>
      </c>
      <c r="U1287" t="s">
        <v>44242</v>
      </c>
      <c r="V1287" t="s">
        <v>54400</v>
      </c>
      <c r="W1287" t="s">
        <v>38067</v>
      </c>
      <c r="X1287" t="s">
        <v>41252</v>
      </c>
    </row>
    <row r="1288" spans="1:24">
      <c r="A1288">
        <f>HYPERLINK("https://www.philgeps.gov.ph/GEPSNONPILOT/Tender/SplashBidNoticeAbstractUI.aspx?menuIndex=3&amp;refID=7077600&amp;Result=3","7077600")</f>
        <v>0</v>
      </c>
      <c r="B1288" t="s">
        <v>613</v>
      </c>
      <c r="C1288" t="s">
        <v>4611</v>
      </c>
      <c r="D1288" t="s">
        <v>16643</v>
      </c>
      <c r="E1288" t="s">
        <v>17923</v>
      </c>
      <c r="F1288" t="s">
        <v>28669</v>
      </c>
      <c r="G1288" t="s">
        <v>28675</v>
      </c>
      <c r="H1288" t="s">
        <v>9998</v>
      </c>
      <c r="I1288" t="s">
        <v>28697</v>
      </c>
      <c r="J1288" t="s">
        <v>28881</v>
      </c>
      <c r="K1288" t="s">
        <v>37221</v>
      </c>
      <c r="M1288" t="s">
        <v>38113</v>
      </c>
      <c r="N1288" t="s">
        <v>41249</v>
      </c>
      <c r="O1288" t="s">
        <v>41250</v>
      </c>
      <c r="P1288">
        <v>0</v>
      </c>
      <c r="Q1288">
        <v>6</v>
      </c>
      <c r="R1288" t="s">
        <v>41251</v>
      </c>
      <c r="S1288" t="s">
        <v>41369</v>
      </c>
      <c r="T1288" t="s">
        <v>42669</v>
      </c>
      <c r="U1288" t="s">
        <v>44317</v>
      </c>
      <c r="W1288" t="s">
        <v>38113</v>
      </c>
      <c r="X1288" t="s">
        <v>41252</v>
      </c>
    </row>
    <row r="1289" spans="1:24">
      <c r="A1289">
        <f>HYPERLINK("https://www.philgeps.gov.ph/GEPSNONPILOT/Tender/SplashBidNoticeAbstractUI.aspx?menuIndex=3&amp;refID=7077597&amp;Result=3","7077597")</f>
        <v>0</v>
      </c>
      <c r="B1289" t="s">
        <v>614</v>
      </c>
      <c r="C1289" t="s">
        <v>4612</v>
      </c>
      <c r="D1289" t="s">
        <v>16648</v>
      </c>
      <c r="E1289" t="s">
        <v>17924</v>
      </c>
      <c r="F1289" t="s">
        <v>28669</v>
      </c>
      <c r="G1289" t="s">
        <v>28677</v>
      </c>
      <c r="H1289" t="s">
        <v>9998</v>
      </c>
      <c r="I1289" t="s">
        <v>15140</v>
      </c>
      <c r="J1289" t="s">
        <v>29752</v>
      </c>
      <c r="K1289" t="s">
        <v>37204</v>
      </c>
      <c r="M1289" t="s">
        <v>38114</v>
      </c>
      <c r="N1289" t="s">
        <v>41249</v>
      </c>
      <c r="O1289" t="s">
        <v>41250</v>
      </c>
      <c r="P1289">
        <v>0</v>
      </c>
      <c r="Q1289">
        <v>0</v>
      </c>
      <c r="R1289" t="s">
        <v>41251</v>
      </c>
      <c r="S1289" t="s">
        <v>41369</v>
      </c>
      <c r="T1289" t="s">
        <v>42679</v>
      </c>
      <c r="U1289" t="s">
        <v>44318</v>
      </c>
      <c r="W1289" t="s">
        <v>38114</v>
      </c>
      <c r="X1289" t="s">
        <v>41252</v>
      </c>
    </row>
    <row r="1290" spans="1:24">
      <c r="A1290">
        <f>HYPERLINK("https://www.philgeps.gov.ph/GEPSNONPILOT/Tender/SplashBidNoticeAbstractUI.aspx?menuIndex=3&amp;refID=7077586&amp;Result=3","7077586")</f>
        <v>0</v>
      </c>
      <c r="B1290" t="s">
        <v>615</v>
      </c>
      <c r="C1290" t="s">
        <v>4613</v>
      </c>
      <c r="D1290" t="s">
        <v>16641</v>
      </c>
      <c r="E1290" t="s">
        <v>17925</v>
      </c>
      <c r="F1290" t="s">
        <v>28669</v>
      </c>
      <c r="G1290" t="s">
        <v>28677</v>
      </c>
      <c r="H1290" t="s">
        <v>9998</v>
      </c>
      <c r="I1290" t="s">
        <v>7352</v>
      </c>
      <c r="J1290" t="s">
        <v>29753</v>
      </c>
      <c r="K1290" t="s">
        <v>37204</v>
      </c>
      <c r="M1290" t="s">
        <v>38115</v>
      </c>
      <c r="N1290" t="s">
        <v>41249</v>
      </c>
      <c r="O1290" t="s">
        <v>41250</v>
      </c>
      <c r="P1290">
        <v>0</v>
      </c>
      <c r="Q1290">
        <v>0</v>
      </c>
      <c r="R1290" t="s">
        <v>41251</v>
      </c>
      <c r="S1290" t="s">
        <v>41369</v>
      </c>
      <c r="T1290" t="s">
        <v>42743</v>
      </c>
      <c r="U1290" t="s">
        <v>44319</v>
      </c>
      <c r="W1290" t="s">
        <v>38115</v>
      </c>
      <c r="X1290" t="s">
        <v>41252</v>
      </c>
    </row>
    <row r="1291" spans="1:24">
      <c r="A1291">
        <f>HYPERLINK("https://www.philgeps.gov.ph/GEPSNONPILOT/Tender/SplashBidNoticeAbstractUI.aspx?menuIndex=3&amp;refID=7077594&amp;Result=3","7077594")</f>
        <v>0</v>
      </c>
      <c r="B1291" t="s">
        <v>447</v>
      </c>
      <c r="C1291" t="s">
        <v>4614</v>
      </c>
      <c r="D1291" t="s">
        <v>16608</v>
      </c>
      <c r="E1291" t="s">
        <v>17926</v>
      </c>
      <c r="F1291" t="s">
        <v>28669</v>
      </c>
      <c r="G1291" t="s">
        <v>28676</v>
      </c>
      <c r="H1291" t="s">
        <v>9998</v>
      </c>
      <c r="I1291" t="s">
        <v>3718</v>
      </c>
      <c r="J1291" t="s">
        <v>29183</v>
      </c>
      <c r="K1291" t="s">
        <v>37209</v>
      </c>
      <c r="M1291" t="s">
        <v>37933</v>
      </c>
      <c r="N1291" t="s">
        <v>41249</v>
      </c>
      <c r="O1291" t="s">
        <v>41250</v>
      </c>
      <c r="P1291">
        <v>0</v>
      </c>
      <c r="Q1291">
        <v>2</v>
      </c>
      <c r="R1291" t="s">
        <v>41251</v>
      </c>
      <c r="S1291" t="s">
        <v>41369</v>
      </c>
      <c r="T1291" t="s">
        <v>42670</v>
      </c>
      <c r="U1291" t="s">
        <v>44320</v>
      </c>
      <c r="W1291" t="s">
        <v>37933</v>
      </c>
      <c r="X1291" t="s">
        <v>41252</v>
      </c>
    </row>
    <row r="1292" spans="1:24">
      <c r="A1292">
        <f>HYPERLINK("https://www.philgeps.gov.ph/GEPSNONPILOT/Tender/SplashBidNoticeAbstractUI.aspx?menuIndex=3&amp;refID=7077585&amp;Result=3","7077585")</f>
        <v>0</v>
      </c>
      <c r="B1292" t="s">
        <v>561</v>
      </c>
      <c r="C1292" t="s">
        <v>4615</v>
      </c>
      <c r="E1292" t="s">
        <v>17927</v>
      </c>
      <c r="F1292" t="s">
        <v>28669</v>
      </c>
      <c r="G1292" t="s">
        <v>28679</v>
      </c>
      <c r="H1292" t="s">
        <v>9998</v>
      </c>
      <c r="I1292" t="s">
        <v>7352</v>
      </c>
      <c r="J1292" t="s">
        <v>29754</v>
      </c>
      <c r="K1292" t="s">
        <v>37209</v>
      </c>
      <c r="M1292" t="s">
        <v>38054</v>
      </c>
      <c r="N1292" t="s">
        <v>41249</v>
      </c>
      <c r="O1292" t="s">
        <v>41250</v>
      </c>
      <c r="P1292">
        <v>0</v>
      </c>
      <c r="Q1292">
        <v>0</v>
      </c>
      <c r="R1292" t="s">
        <v>41251</v>
      </c>
      <c r="S1292" t="s">
        <v>41369</v>
      </c>
      <c r="T1292" t="s">
        <v>42817</v>
      </c>
      <c r="U1292" t="s">
        <v>44321</v>
      </c>
      <c r="W1292" t="s">
        <v>38054</v>
      </c>
      <c r="X1292" t="s">
        <v>41252</v>
      </c>
    </row>
    <row r="1293" spans="1:24">
      <c r="A1293">
        <f>HYPERLINK("https://www.philgeps.gov.ph/GEPSNONPILOT/Tender/SplashBidNoticeAbstractUI.aspx?menuIndex=3&amp;refID=7077590&amp;Result=3","7077590")</f>
        <v>0</v>
      </c>
      <c r="B1293" t="s">
        <v>616</v>
      </c>
      <c r="C1293" t="s">
        <v>4616</v>
      </c>
      <c r="D1293" t="s">
        <v>16621</v>
      </c>
      <c r="E1293" t="s">
        <v>17928</v>
      </c>
      <c r="F1293" t="s">
        <v>28669</v>
      </c>
      <c r="G1293" t="s">
        <v>28676</v>
      </c>
      <c r="H1293" t="s">
        <v>9998</v>
      </c>
      <c r="I1293" t="s">
        <v>28713</v>
      </c>
      <c r="J1293" t="s">
        <v>29167</v>
      </c>
      <c r="K1293" t="s">
        <v>37208</v>
      </c>
      <c r="M1293" t="s">
        <v>38116</v>
      </c>
      <c r="N1293" t="s">
        <v>41249</v>
      </c>
      <c r="O1293" t="s">
        <v>41250</v>
      </c>
      <c r="P1293">
        <v>0</v>
      </c>
      <c r="Q1293">
        <v>11</v>
      </c>
      <c r="R1293" t="s">
        <v>41251</v>
      </c>
      <c r="S1293" t="s">
        <v>41369</v>
      </c>
      <c r="T1293" t="s">
        <v>42717</v>
      </c>
      <c r="U1293" t="s">
        <v>44322</v>
      </c>
      <c r="V1293" t="s">
        <v>54401</v>
      </c>
      <c r="W1293" t="s">
        <v>38116</v>
      </c>
      <c r="X1293" t="s">
        <v>41252</v>
      </c>
    </row>
    <row r="1294" spans="1:24">
      <c r="A1294">
        <f>HYPERLINK("https://www.philgeps.gov.ph/GEPSNONPILOT/Tender/SplashBidNoticeAbstractUI.aspx?menuIndex=3&amp;refID=7077601&amp;Result=3","7077601")</f>
        <v>0</v>
      </c>
      <c r="B1294" t="s">
        <v>617</v>
      </c>
      <c r="C1294" t="s">
        <v>4617</v>
      </c>
      <c r="D1294" t="s">
        <v>16608</v>
      </c>
      <c r="E1294" t="s">
        <v>17929</v>
      </c>
      <c r="F1294" t="s">
        <v>28669</v>
      </c>
      <c r="G1294" t="s">
        <v>28676</v>
      </c>
      <c r="H1294" t="s">
        <v>9998</v>
      </c>
      <c r="I1294" t="s">
        <v>28729</v>
      </c>
      <c r="J1294" t="s">
        <v>29227</v>
      </c>
      <c r="K1294" t="s">
        <v>37256</v>
      </c>
      <c r="M1294" t="s">
        <v>38117</v>
      </c>
      <c r="N1294" t="s">
        <v>41249</v>
      </c>
      <c r="O1294" t="s">
        <v>41250</v>
      </c>
      <c r="P1294">
        <v>0</v>
      </c>
      <c r="Q1294">
        <v>20</v>
      </c>
      <c r="R1294" t="s">
        <v>41251</v>
      </c>
      <c r="S1294" t="s">
        <v>41369</v>
      </c>
      <c r="T1294" t="s">
        <v>42675</v>
      </c>
      <c r="U1294" t="s">
        <v>44323</v>
      </c>
      <c r="V1294" t="s">
        <v>54402</v>
      </c>
      <c r="W1294" t="s">
        <v>38117</v>
      </c>
      <c r="X1294" t="s">
        <v>41252</v>
      </c>
    </row>
    <row r="1295" spans="1:24">
      <c r="A1295">
        <f>HYPERLINK("https://www.philgeps.gov.ph/GEPSNONPILOT/Tender/SplashBidNoticeAbstractUI.aspx?menuIndex=3&amp;refID=7077631&amp;Result=3","7077631")</f>
        <v>0</v>
      </c>
      <c r="B1295" t="s">
        <v>569</v>
      </c>
      <c r="C1295" t="s">
        <v>4618</v>
      </c>
      <c r="D1295" t="s">
        <v>16634</v>
      </c>
      <c r="E1295" t="s">
        <v>17930</v>
      </c>
      <c r="F1295" t="s">
        <v>28669</v>
      </c>
      <c r="G1295" t="s">
        <v>28677</v>
      </c>
      <c r="H1295" t="s">
        <v>9998</v>
      </c>
      <c r="I1295" t="s">
        <v>6458</v>
      </c>
      <c r="J1295" t="s">
        <v>29755</v>
      </c>
      <c r="K1295" t="s">
        <v>37205</v>
      </c>
      <c r="M1295" t="s">
        <v>38067</v>
      </c>
      <c r="N1295" t="s">
        <v>41249</v>
      </c>
      <c r="O1295" t="s">
        <v>41250</v>
      </c>
      <c r="P1295">
        <v>0</v>
      </c>
      <c r="Q1295">
        <v>1</v>
      </c>
      <c r="R1295" t="s">
        <v>41251</v>
      </c>
      <c r="S1295" t="s">
        <v>41369</v>
      </c>
      <c r="T1295" t="s">
        <v>42690</v>
      </c>
      <c r="U1295" t="s">
        <v>44324</v>
      </c>
      <c r="V1295" t="s">
        <v>54403</v>
      </c>
      <c r="W1295" t="s">
        <v>38067</v>
      </c>
      <c r="X1295" t="s">
        <v>41252</v>
      </c>
    </row>
    <row r="1296" spans="1:24">
      <c r="A1296">
        <f>HYPERLINK("https://www.philgeps.gov.ph/GEPSNONPILOT/Tender/SplashBidNoticeAbstractUI.aspx?menuIndex=3&amp;refID=7077630&amp;Result=3","7077630")</f>
        <v>0</v>
      </c>
      <c r="B1296" t="s">
        <v>618</v>
      </c>
      <c r="C1296" t="s">
        <v>4619</v>
      </c>
      <c r="D1296" t="s">
        <v>16654</v>
      </c>
      <c r="E1296" t="s">
        <v>17931</v>
      </c>
      <c r="F1296" t="s">
        <v>28669</v>
      </c>
      <c r="G1296" t="s">
        <v>28676</v>
      </c>
      <c r="H1296" t="s">
        <v>28686</v>
      </c>
      <c r="I1296" t="s">
        <v>28689</v>
      </c>
      <c r="J1296" t="s">
        <v>29756</v>
      </c>
      <c r="K1296" t="s">
        <v>37289</v>
      </c>
      <c r="M1296" t="s">
        <v>38118</v>
      </c>
      <c r="N1296" t="s">
        <v>41249</v>
      </c>
      <c r="O1296" t="s">
        <v>41250</v>
      </c>
      <c r="P1296">
        <v>0</v>
      </c>
      <c r="Q1296">
        <v>0</v>
      </c>
      <c r="R1296" t="s">
        <v>41251</v>
      </c>
      <c r="S1296" t="s">
        <v>41369</v>
      </c>
      <c r="T1296" t="s">
        <v>42675</v>
      </c>
      <c r="U1296" t="s">
        <v>44325</v>
      </c>
      <c r="W1296" t="s">
        <v>38118</v>
      </c>
      <c r="X1296" t="s">
        <v>41252</v>
      </c>
    </row>
    <row r="1297" spans="1:24">
      <c r="A1297">
        <f>HYPERLINK("https://www.philgeps.gov.ph/GEPSNONPILOT/Tender/SplashBidNoticeAbstractUI.aspx?menuIndex=3&amp;refID=7077560&amp;Result=3","7077560")</f>
        <v>0</v>
      </c>
      <c r="B1297" t="s">
        <v>596</v>
      </c>
      <c r="C1297" t="s">
        <v>4620</v>
      </c>
      <c r="E1297" t="s">
        <v>17932</v>
      </c>
      <c r="F1297" t="s">
        <v>28669</v>
      </c>
      <c r="G1297" t="s">
        <v>28675</v>
      </c>
      <c r="H1297" t="s">
        <v>9998</v>
      </c>
      <c r="I1297" t="s">
        <v>28742</v>
      </c>
      <c r="J1297" t="s">
        <v>29757</v>
      </c>
      <c r="K1297" t="s">
        <v>37221</v>
      </c>
      <c r="M1297" t="s">
        <v>38095</v>
      </c>
      <c r="N1297" t="s">
        <v>41249</v>
      </c>
      <c r="O1297" t="s">
        <v>41250</v>
      </c>
      <c r="Q1297">
        <v>6</v>
      </c>
      <c r="R1297" t="s">
        <v>41251</v>
      </c>
      <c r="S1297" t="s">
        <v>41381</v>
      </c>
      <c r="T1297" t="s">
        <v>42661</v>
      </c>
      <c r="U1297" t="s">
        <v>44286</v>
      </c>
      <c r="W1297" t="s">
        <v>38095</v>
      </c>
      <c r="X1297" t="s">
        <v>41252</v>
      </c>
    </row>
    <row r="1298" spans="1:24">
      <c r="A1298">
        <f>HYPERLINK("https://www.philgeps.gov.ph/GEPSNONPILOT/Tender/SplashBidNoticeAbstractUI.aspx?menuIndex=3&amp;refID=7077626&amp;Result=3","7077626")</f>
        <v>0</v>
      </c>
      <c r="B1298" t="s">
        <v>572</v>
      </c>
      <c r="C1298" t="s">
        <v>4621</v>
      </c>
      <c r="D1298" t="s">
        <v>16622</v>
      </c>
      <c r="E1298" t="s">
        <v>17933</v>
      </c>
      <c r="F1298" t="s">
        <v>28669</v>
      </c>
      <c r="G1298" t="s">
        <v>28675</v>
      </c>
      <c r="H1298" t="s">
        <v>28686</v>
      </c>
      <c r="I1298" t="s">
        <v>28689</v>
      </c>
      <c r="J1298" t="s">
        <v>29758</v>
      </c>
      <c r="K1298" t="s">
        <v>37209</v>
      </c>
      <c r="M1298" t="s">
        <v>38071</v>
      </c>
      <c r="N1298" t="s">
        <v>41249</v>
      </c>
      <c r="O1298" t="s">
        <v>41250</v>
      </c>
      <c r="P1298">
        <v>0</v>
      </c>
      <c r="Q1298">
        <v>0</v>
      </c>
      <c r="R1298" t="s">
        <v>41251</v>
      </c>
      <c r="S1298" t="s">
        <v>41369</v>
      </c>
      <c r="T1298" t="s">
        <v>42816</v>
      </c>
      <c r="U1298" t="s">
        <v>44326</v>
      </c>
      <c r="W1298" t="s">
        <v>38071</v>
      </c>
      <c r="X1298" t="s">
        <v>41252</v>
      </c>
    </row>
    <row r="1299" spans="1:24">
      <c r="A1299">
        <f>HYPERLINK("https://www.philgeps.gov.ph/GEPSNONPILOT/Tender/SplashBidNoticeAbstractUI.aspx?menuIndex=3&amp;refID=7077588&amp;Result=3","7077588")</f>
        <v>0</v>
      </c>
      <c r="B1299" t="s">
        <v>619</v>
      </c>
      <c r="C1299" t="s">
        <v>4622</v>
      </c>
      <c r="D1299" t="s">
        <v>16640</v>
      </c>
      <c r="E1299" t="s">
        <v>17934</v>
      </c>
      <c r="F1299" t="s">
        <v>28669</v>
      </c>
      <c r="G1299" t="s">
        <v>28675</v>
      </c>
      <c r="H1299" t="s">
        <v>9998</v>
      </c>
      <c r="I1299" t="s">
        <v>28722</v>
      </c>
      <c r="J1299" t="s">
        <v>28878</v>
      </c>
      <c r="K1299" t="s">
        <v>37204</v>
      </c>
      <c r="M1299" t="s">
        <v>38119</v>
      </c>
      <c r="N1299" t="s">
        <v>41249</v>
      </c>
      <c r="O1299" t="s">
        <v>41250</v>
      </c>
      <c r="P1299">
        <v>0</v>
      </c>
      <c r="Q1299">
        <v>1</v>
      </c>
      <c r="R1299" t="s">
        <v>41251</v>
      </c>
      <c r="S1299" t="s">
        <v>41369</v>
      </c>
      <c r="T1299" t="s">
        <v>42688</v>
      </c>
      <c r="U1299" t="s">
        <v>44327</v>
      </c>
      <c r="W1299" t="s">
        <v>38119</v>
      </c>
      <c r="X1299" t="s">
        <v>41252</v>
      </c>
    </row>
    <row r="1300" spans="1:24">
      <c r="A1300">
        <f>HYPERLINK("https://www.philgeps.gov.ph/GEPSNONPILOT/Tender/SplashBidNoticeAbstractUI.aspx?menuIndex=3&amp;refID=7077624&amp;Result=3","7077624")</f>
        <v>0</v>
      </c>
      <c r="B1300" t="s">
        <v>561</v>
      </c>
      <c r="C1300" t="s">
        <v>4623</v>
      </c>
      <c r="E1300" t="s">
        <v>17935</v>
      </c>
      <c r="F1300" t="s">
        <v>28669</v>
      </c>
      <c r="G1300" t="s">
        <v>28679</v>
      </c>
      <c r="H1300" t="s">
        <v>9998</v>
      </c>
      <c r="I1300" t="s">
        <v>28698</v>
      </c>
      <c r="J1300" t="s">
        <v>29759</v>
      </c>
      <c r="K1300" t="s">
        <v>37209</v>
      </c>
      <c r="M1300" t="s">
        <v>38054</v>
      </c>
      <c r="N1300" t="s">
        <v>41249</v>
      </c>
      <c r="O1300" t="s">
        <v>41250</v>
      </c>
      <c r="P1300">
        <v>0</v>
      </c>
      <c r="Q1300">
        <v>0</v>
      </c>
      <c r="R1300" t="s">
        <v>41251</v>
      </c>
      <c r="S1300" t="s">
        <v>41369</v>
      </c>
      <c r="T1300" t="s">
        <v>42817</v>
      </c>
      <c r="U1300" t="s">
        <v>44328</v>
      </c>
      <c r="W1300" t="s">
        <v>38054</v>
      </c>
      <c r="X1300" t="s">
        <v>41252</v>
      </c>
    </row>
    <row r="1301" spans="1:24">
      <c r="A1301">
        <f>HYPERLINK("https://www.philgeps.gov.ph/GEPSNONPILOT/Tender/SplashBidNoticeAbstractUI.aspx?menuIndex=3&amp;refID=7077623&amp;Result=3","7077623")</f>
        <v>0</v>
      </c>
      <c r="B1301" t="s">
        <v>611</v>
      </c>
      <c r="C1301" t="s">
        <v>4624</v>
      </c>
      <c r="D1301" t="s">
        <v>16608</v>
      </c>
      <c r="E1301" t="s">
        <v>17936</v>
      </c>
      <c r="F1301" t="s">
        <v>28669</v>
      </c>
      <c r="G1301" t="s">
        <v>28676</v>
      </c>
      <c r="H1301" t="s">
        <v>9998</v>
      </c>
      <c r="I1301" t="s">
        <v>6606</v>
      </c>
      <c r="J1301" t="s">
        <v>29760</v>
      </c>
      <c r="K1301" t="s">
        <v>37231</v>
      </c>
      <c r="M1301" t="s">
        <v>38111</v>
      </c>
      <c r="N1301" t="s">
        <v>41249</v>
      </c>
      <c r="O1301" t="s">
        <v>41250</v>
      </c>
      <c r="P1301">
        <v>0</v>
      </c>
      <c r="Q1301">
        <v>1</v>
      </c>
      <c r="R1301" t="s">
        <v>41251</v>
      </c>
      <c r="S1301" t="s">
        <v>41369</v>
      </c>
      <c r="T1301" t="s">
        <v>42734</v>
      </c>
      <c r="U1301" t="s">
        <v>44329</v>
      </c>
      <c r="V1301" t="s">
        <v>43651</v>
      </c>
      <c r="W1301" t="s">
        <v>38111</v>
      </c>
      <c r="X1301" t="s">
        <v>41252</v>
      </c>
    </row>
    <row r="1302" spans="1:24">
      <c r="A1302">
        <f>HYPERLINK("https://www.philgeps.gov.ph/GEPSNONPILOT/Tender/SplashBidNoticeAbstractUI.aspx?menuIndex=3&amp;refID=7077618&amp;Result=3","7077618")</f>
        <v>0</v>
      </c>
      <c r="B1302" t="s">
        <v>169</v>
      </c>
      <c r="C1302" t="s">
        <v>4625</v>
      </c>
      <c r="D1302" t="s">
        <v>16611</v>
      </c>
      <c r="E1302" t="s">
        <v>17937</v>
      </c>
      <c r="F1302" t="s">
        <v>28669</v>
      </c>
      <c r="G1302" t="s">
        <v>28676</v>
      </c>
      <c r="H1302" t="s">
        <v>28686</v>
      </c>
      <c r="I1302" t="s">
        <v>28689</v>
      </c>
      <c r="J1302" t="s">
        <v>28836</v>
      </c>
      <c r="K1302" t="s">
        <v>37280</v>
      </c>
      <c r="M1302" t="s">
        <v>37936</v>
      </c>
      <c r="N1302" t="s">
        <v>41249</v>
      </c>
      <c r="O1302" t="s">
        <v>41250</v>
      </c>
      <c r="P1302">
        <v>0</v>
      </c>
      <c r="Q1302">
        <v>0</v>
      </c>
      <c r="R1302" t="s">
        <v>41251</v>
      </c>
      <c r="S1302" t="s">
        <v>41369</v>
      </c>
      <c r="T1302" t="s">
        <v>42764</v>
      </c>
      <c r="U1302" t="s">
        <v>44330</v>
      </c>
      <c r="W1302" t="s">
        <v>37936</v>
      </c>
      <c r="X1302" t="s">
        <v>41252</v>
      </c>
    </row>
    <row r="1303" spans="1:24">
      <c r="A1303">
        <f>HYPERLINK("https://www.philgeps.gov.ph/GEPSNONPILOT/Tender/SplashBidNoticeAbstractUI.aspx?menuIndex=3&amp;refID=7077617&amp;Result=3","7077617")</f>
        <v>0</v>
      </c>
      <c r="B1303" t="s">
        <v>620</v>
      </c>
      <c r="C1303" t="s">
        <v>4626</v>
      </c>
      <c r="D1303" t="s">
        <v>16621</v>
      </c>
      <c r="E1303" t="s">
        <v>17938</v>
      </c>
      <c r="F1303" t="s">
        <v>28669</v>
      </c>
      <c r="G1303" t="s">
        <v>28680</v>
      </c>
      <c r="H1303" t="s">
        <v>9998</v>
      </c>
      <c r="I1303" t="s">
        <v>28768</v>
      </c>
      <c r="J1303" t="s">
        <v>29003</v>
      </c>
      <c r="K1303" t="s">
        <v>37210</v>
      </c>
      <c r="M1303" t="s">
        <v>38120</v>
      </c>
      <c r="N1303" t="s">
        <v>41249</v>
      </c>
      <c r="O1303" t="s">
        <v>41250</v>
      </c>
      <c r="P1303">
        <v>0</v>
      </c>
      <c r="Q1303">
        <v>0</v>
      </c>
      <c r="R1303" t="s">
        <v>41251</v>
      </c>
      <c r="S1303" t="s">
        <v>41369</v>
      </c>
      <c r="T1303" t="s">
        <v>42726</v>
      </c>
      <c r="U1303" t="s">
        <v>44331</v>
      </c>
      <c r="W1303" t="s">
        <v>38120</v>
      </c>
      <c r="X1303" t="s">
        <v>41252</v>
      </c>
    </row>
    <row r="1304" spans="1:24">
      <c r="A1304">
        <f>HYPERLINK("https://www.philgeps.gov.ph/GEPSNONPILOT/Tender/SplashBidNoticeAbstractUI.aspx?menuIndex=3&amp;refID=7077612&amp;Result=3","7077612")</f>
        <v>0</v>
      </c>
      <c r="B1304" t="s">
        <v>621</v>
      </c>
      <c r="C1304" t="s">
        <v>4627</v>
      </c>
      <c r="D1304" t="s">
        <v>16649</v>
      </c>
      <c r="E1304" t="s">
        <v>17939</v>
      </c>
      <c r="F1304" t="s">
        <v>28669</v>
      </c>
      <c r="G1304" t="s">
        <v>28676</v>
      </c>
      <c r="H1304" t="s">
        <v>9998</v>
      </c>
      <c r="I1304" t="s">
        <v>5286</v>
      </c>
      <c r="J1304" t="s">
        <v>29761</v>
      </c>
      <c r="K1304" t="s">
        <v>37227</v>
      </c>
      <c r="M1304" t="s">
        <v>38121</v>
      </c>
      <c r="N1304" t="s">
        <v>41249</v>
      </c>
      <c r="O1304" t="s">
        <v>41250</v>
      </c>
      <c r="P1304">
        <v>0</v>
      </c>
      <c r="Q1304">
        <v>6</v>
      </c>
      <c r="R1304" t="s">
        <v>41251</v>
      </c>
      <c r="S1304" t="s">
        <v>41369</v>
      </c>
      <c r="T1304" t="s">
        <v>42817</v>
      </c>
      <c r="U1304" t="s">
        <v>44332</v>
      </c>
      <c r="W1304" t="s">
        <v>38121</v>
      </c>
      <c r="X1304" t="s">
        <v>41252</v>
      </c>
    </row>
    <row r="1305" spans="1:24">
      <c r="A1305">
        <f>HYPERLINK("https://www.philgeps.gov.ph/GEPSNONPILOT/Tender/SplashBidNoticeAbstractUI.aspx?menuIndex=3&amp;refID=7077419&amp;Result=3","7077419")</f>
        <v>0</v>
      </c>
      <c r="B1305" t="s">
        <v>568</v>
      </c>
      <c r="C1305" t="s">
        <v>4628</v>
      </c>
      <c r="D1305" t="s">
        <v>16608</v>
      </c>
      <c r="E1305" t="s">
        <v>17940</v>
      </c>
      <c r="F1305" t="s">
        <v>28669</v>
      </c>
      <c r="G1305" t="s">
        <v>28676</v>
      </c>
      <c r="H1305" t="s">
        <v>28684</v>
      </c>
      <c r="I1305" t="s">
        <v>28757</v>
      </c>
      <c r="J1305" t="s">
        <v>29682</v>
      </c>
      <c r="K1305" t="s">
        <v>37205</v>
      </c>
      <c r="M1305" t="s">
        <v>38064</v>
      </c>
      <c r="N1305" t="s">
        <v>41249</v>
      </c>
      <c r="O1305" t="s">
        <v>41250</v>
      </c>
      <c r="P1305">
        <v>0</v>
      </c>
      <c r="Q1305">
        <v>1</v>
      </c>
      <c r="R1305" t="s">
        <v>41251</v>
      </c>
      <c r="S1305" t="s">
        <v>41369</v>
      </c>
      <c r="T1305" t="s">
        <v>42694</v>
      </c>
      <c r="U1305" t="s">
        <v>44237</v>
      </c>
      <c r="W1305" t="s">
        <v>38064</v>
      </c>
      <c r="X1305" t="s">
        <v>41252</v>
      </c>
    </row>
    <row r="1306" spans="1:24">
      <c r="A1306">
        <f>HYPERLINK("https://www.philgeps.gov.ph/GEPSNONPILOT/Tender/SplashBidNoticeAbstractUI.aspx?menuIndex=3&amp;refID=7077610&amp;Result=3","7077610")</f>
        <v>0</v>
      </c>
      <c r="B1306" t="s">
        <v>569</v>
      </c>
      <c r="C1306" t="s">
        <v>4629</v>
      </c>
      <c r="D1306" t="s">
        <v>16634</v>
      </c>
      <c r="E1306" t="s">
        <v>17941</v>
      </c>
      <c r="F1306" t="s">
        <v>28669</v>
      </c>
      <c r="G1306" t="s">
        <v>28675</v>
      </c>
      <c r="H1306" t="s">
        <v>9998</v>
      </c>
      <c r="I1306" t="s">
        <v>28756</v>
      </c>
      <c r="J1306" t="s">
        <v>29693</v>
      </c>
      <c r="K1306" t="s">
        <v>37283</v>
      </c>
      <c r="M1306" t="s">
        <v>38067</v>
      </c>
      <c r="N1306" t="s">
        <v>41249</v>
      </c>
      <c r="O1306" t="s">
        <v>41250</v>
      </c>
      <c r="P1306">
        <v>0</v>
      </c>
      <c r="Q1306">
        <v>0</v>
      </c>
      <c r="R1306" t="s">
        <v>41251</v>
      </c>
      <c r="S1306" t="s">
        <v>41369</v>
      </c>
      <c r="T1306" t="s">
        <v>42690</v>
      </c>
      <c r="U1306" t="s">
        <v>44242</v>
      </c>
      <c r="V1306" t="s">
        <v>54404</v>
      </c>
      <c r="W1306" t="s">
        <v>38067</v>
      </c>
      <c r="X1306" t="s">
        <v>41252</v>
      </c>
    </row>
    <row r="1307" spans="1:24">
      <c r="A1307">
        <f>HYPERLINK("https://www.philgeps.gov.ph/GEPSNONPILOT/Tender/SplashBidNoticeAbstractUI.aspx?menuIndex=3&amp;refID=7077621&amp;Result=3","7077621")</f>
        <v>0</v>
      </c>
      <c r="B1307" t="s">
        <v>619</v>
      </c>
      <c r="C1307" t="s">
        <v>4630</v>
      </c>
      <c r="D1307" t="s">
        <v>16640</v>
      </c>
      <c r="E1307" t="s">
        <v>17942</v>
      </c>
      <c r="F1307" t="s">
        <v>28669</v>
      </c>
      <c r="G1307" t="s">
        <v>28675</v>
      </c>
      <c r="H1307" t="s">
        <v>9998</v>
      </c>
      <c r="I1307" t="s">
        <v>28743</v>
      </c>
      <c r="J1307" t="s">
        <v>29134</v>
      </c>
      <c r="K1307" t="s">
        <v>37204</v>
      </c>
      <c r="M1307" t="s">
        <v>38119</v>
      </c>
      <c r="N1307" t="s">
        <v>41249</v>
      </c>
      <c r="O1307" t="s">
        <v>41250</v>
      </c>
      <c r="P1307">
        <v>0</v>
      </c>
      <c r="Q1307">
        <v>1</v>
      </c>
      <c r="R1307" t="s">
        <v>41251</v>
      </c>
      <c r="S1307" t="s">
        <v>41369</v>
      </c>
      <c r="T1307" t="s">
        <v>42688</v>
      </c>
      <c r="U1307" t="s">
        <v>44333</v>
      </c>
      <c r="W1307" t="s">
        <v>38119</v>
      </c>
      <c r="X1307" t="s">
        <v>41252</v>
      </c>
    </row>
    <row r="1308" spans="1:24">
      <c r="A1308">
        <f>HYPERLINK("https://www.philgeps.gov.ph/GEPSNONPILOT/Tender/SplashBidNoticeAbstractUI.aspx?menuIndex=3&amp;refID=7077619&amp;Result=3","7077619")</f>
        <v>0</v>
      </c>
      <c r="B1308" t="s">
        <v>622</v>
      </c>
      <c r="C1308" t="s">
        <v>4631</v>
      </c>
      <c r="D1308" t="s">
        <v>16658</v>
      </c>
      <c r="E1308" t="s">
        <v>17943</v>
      </c>
      <c r="F1308" t="s">
        <v>28669</v>
      </c>
      <c r="G1308" t="s">
        <v>28675</v>
      </c>
      <c r="H1308" t="s">
        <v>9998</v>
      </c>
      <c r="I1308" t="s">
        <v>28699</v>
      </c>
      <c r="J1308" t="s">
        <v>28826</v>
      </c>
      <c r="K1308" t="s">
        <v>37204</v>
      </c>
      <c r="M1308" t="s">
        <v>38122</v>
      </c>
      <c r="N1308" t="s">
        <v>41249</v>
      </c>
      <c r="O1308" t="s">
        <v>41250</v>
      </c>
      <c r="P1308">
        <v>0</v>
      </c>
      <c r="Q1308">
        <v>0</v>
      </c>
      <c r="R1308" t="s">
        <v>41251</v>
      </c>
      <c r="S1308" t="s">
        <v>41369</v>
      </c>
      <c r="T1308" t="s">
        <v>42714</v>
      </c>
      <c r="U1308" t="s">
        <v>44334</v>
      </c>
      <c r="W1308" t="s">
        <v>38122</v>
      </c>
      <c r="X1308" t="s">
        <v>41252</v>
      </c>
    </row>
    <row r="1309" spans="1:24">
      <c r="A1309">
        <f>HYPERLINK("https://www.philgeps.gov.ph/GEPSNONPILOT/Tender/SplashBidNoticeAbstractUI.aspx?menuIndex=3&amp;refID=7077609&amp;Result=3","7077609")</f>
        <v>0</v>
      </c>
      <c r="B1309" t="s">
        <v>605</v>
      </c>
      <c r="C1309" t="s">
        <v>4632</v>
      </c>
      <c r="D1309" t="s">
        <v>16661</v>
      </c>
      <c r="E1309" t="s">
        <v>17944</v>
      </c>
      <c r="F1309" t="s">
        <v>28669</v>
      </c>
      <c r="G1309" t="s">
        <v>28675</v>
      </c>
      <c r="H1309" t="s">
        <v>28686</v>
      </c>
      <c r="I1309" t="s">
        <v>28689</v>
      </c>
      <c r="J1309" t="s">
        <v>28826</v>
      </c>
      <c r="K1309" t="s">
        <v>37220</v>
      </c>
      <c r="M1309" t="s">
        <v>38105</v>
      </c>
      <c r="N1309" t="s">
        <v>41249</v>
      </c>
      <c r="O1309" t="s">
        <v>41250</v>
      </c>
      <c r="P1309">
        <v>0</v>
      </c>
      <c r="Q1309">
        <v>0</v>
      </c>
      <c r="R1309" t="s">
        <v>41251</v>
      </c>
      <c r="S1309" t="s">
        <v>41369</v>
      </c>
      <c r="T1309" t="s">
        <v>42683</v>
      </c>
      <c r="U1309" t="s">
        <v>44335</v>
      </c>
      <c r="W1309" t="s">
        <v>38105</v>
      </c>
      <c r="X1309" t="s">
        <v>41252</v>
      </c>
    </row>
    <row r="1310" spans="1:24">
      <c r="A1310">
        <f>HYPERLINK("https://www.philgeps.gov.ph/GEPSNONPILOT/Tender/SplashBidNoticeAbstractUI.aspx?menuIndex=3&amp;refID=7077608&amp;Result=3","7077608")</f>
        <v>0</v>
      </c>
      <c r="B1310" t="s">
        <v>594</v>
      </c>
      <c r="C1310" t="s">
        <v>4633</v>
      </c>
      <c r="D1310" t="s">
        <v>16673</v>
      </c>
      <c r="E1310" t="s">
        <v>17514</v>
      </c>
      <c r="F1310" t="s">
        <v>28671</v>
      </c>
      <c r="G1310" t="s">
        <v>28677</v>
      </c>
      <c r="H1310" t="s">
        <v>9998</v>
      </c>
      <c r="I1310" t="s">
        <v>28725</v>
      </c>
      <c r="J1310" t="s">
        <v>29762</v>
      </c>
      <c r="K1310" t="s">
        <v>37243</v>
      </c>
      <c r="M1310" t="s">
        <v>38093</v>
      </c>
      <c r="N1310" t="s">
        <v>41249</v>
      </c>
      <c r="O1310" t="s">
        <v>41250</v>
      </c>
      <c r="P1310">
        <v>0</v>
      </c>
      <c r="Q1310">
        <v>2</v>
      </c>
      <c r="R1310" t="s">
        <v>41251</v>
      </c>
      <c r="S1310" t="s">
        <v>41369</v>
      </c>
      <c r="T1310" t="s">
        <v>42742</v>
      </c>
      <c r="U1310" t="s">
        <v>44336</v>
      </c>
      <c r="W1310" t="s">
        <v>38093</v>
      </c>
      <c r="X1310" t="s">
        <v>41252</v>
      </c>
    </row>
    <row r="1311" spans="1:24">
      <c r="A1311">
        <f>HYPERLINK("https://www.philgeps.gov.ph/GEPSNONPILOT/Tender/SplashBidNoticeAbstractUI.aspx?menuIndex=3&amp;refID=7077661&amp;Result=3","7077661")</f>
        <v>0</v>
      </c>
      <c r="B1311" t="s">
        <v>623</v>
      </c>
      <c r="C1311" t="s">
        <v>4634</v>
      </c>
      <c r="D1311" t="s">
        <v>16658</v>
      </c>
      <c r="E1311" t="s">
        <v>17945</v>
      </c>
      <c r="F1311" t="s">
        <v>28669</v>
      </c>
      <c r="G1311" t="s">
        <v>28675</v>
      </c>
      <c r="H1311" t="s">
        <v>28686</v>
      </c>
      <c r="I1311" t="s">
        <v>7352</v>
      </c>
      <c r="J1311" t="s">
        <v>29763</v>
      </c>
      <c r="K1311" t="s">
        <v>37205</v>
      </c>
      <c r="M1311" t="s">
        <v>38123</v>
      </c>
      <c r="N1311" t="s">
        <v>41249</v>
      </c>
      <c r="O1311" t="s">
        <v>41250</v>
      </c>
      <c r="P1311">
        <v>0</v>
      </c>
      <c r="Q1311">
        <v>0</v>
      </c>
      <c r="R1311" t="s">
        <v>41251</v>
      </c>
      <c r="S1311" t="s">
        <v>41369</v>
      </c>
      <c r="T1311" t="s">
        <v>42668</v>
      </c>
      <c r="U1311" t="s">
        <v>44337</v>
      </c>
      <c r="W1311" t="s">
        <v>38123</v>
      </c>
      <c r="X1311" t="s">
        <v>41252</v>
      </c>
    </row>
    <row r="1312" spans="1:24">
      <c r="A1312">
        <f>HYPERLINK("https://www.philgeps.gov.ph/GEPSNONPILOT/Tender/SplashBidNoticeAbstractUI.aspx?menuIndex=3&amp;refID=7077658&amp;Result=3","7077658")</f>
        <v>0</v>
      </c>
      <c r="B1312" t="s">
        <v>607</v>
      </c>
      <c r="C1312" t="s">
        <v>4635</v>
      </c>
      <c r="D1312" t="s">
        <v>16657</v>
      </c>
      <c r="E1312" t="s">
        <v>17946</v>
      </c>
      <c r="F1312" t="s">
        <v>28669</v>
      </c>
      <c r="G1312" t="s">
        <v>28676</v>
      </c>
      <c r="H1312" t="s">
        <v>9998</v>
      </c>
      <c r="I1312" t="s">
        <v>7352</v>
      </c>
      <c r="J1312" t="s">
        <v>29764</v>
      </c>
      <c r="K1312" t="s">
        <v>37209</v>
      </c>
      <c r="M1312" t="s">
        <v>38107</v>
      </c>
      <c r="N1312" t="s">
        <v>41249</v>
      </c>
      <c r="O1312" t="s">
        <v>41250</v>
      </c>
      <c r="P1312">
        <v>0</v>
      </c>
      <c r="Q1312">
        <v>0</v>
      </c>
      <c r="R1312" t="s">
        <v>41251</v>
      </c>
      <c r="S1312" t="s">
        <v>41369</v>
      </c>
      <c r="T1312" t="s">
        <v>42711</v>
      </c>
      <c r="U1312" t="s">
        <v>44338</v>
      </c>
      <c r="W1312" t="s">
        <v>38107</v>
      </c>
      <c r="X1312" t="s">
        <v>41252</v>
      </c>
    </row>
    <row r="1313" spans="1:24">
      <c r="A1313">
        <f>HYPERLINK("https://www.philgeps.gov.ph/GEPSNONPILOT/Tender/SplashBidNoticeAbstractUI.aspx?menuIndex=3&amp;refID=7077611&amp;Result=3","7077611")</f>
        <v>0</v>
      </c>
      <c r="B1313" t="s">
        <v>570</v>
      </c>
      <c r="C1313" t="s">
        <v>4636</v>
      </c>
      <c r="D1313" t="s">
        <v>16687</v>
      </c>
      <c r="E1313" t="s">
        <v>17947</v>
      </c>
      <c r="F1313" t="s">
        <v>28669</v>
      </c>
      <c r="G1313" t="s">
        <v>28675</v>
      </c>
      <c r="H1313" t="s">
        <v>28686</v>
      </c>
      <c r="I1313" t="s">
        <v>28689</v>
      </c>
      <c r="J1313" t="s">
        <v>29247</v>
      </c>
      <c r="K1313" t="s">
        <v>37220</v>
      </c>
      <c r="M1313" t="s">
        <v>38068</v>
      </c>
      <c r="N1313" t="s">
        <v>41249</v>
      </c>
      <c r="O1313" t="s">
        <v>41250</v>
      </c>
      <c r="P1313">
        <v>0</v>
      </c>
      <c r="Q1313">
        <v>1</v>
      </c>
      <c r="R1313" t="s">
        <v>41251</v>
      </c>
      <c r="S1313" t="s">
        <v>41369</v>
      </c>
      <c r="T1313" t="s">
        <v>42688</v>
      </c>
      <c r="U1313" t="s">
        <v>44339</v>
      </c>
      <c r="W1313" t="s">
        <v>38068</v>
      </c>
      <c r="X1313" t="s">
        <v>41252</v>
      </c>
    </row>
    <row r="1314" spans="1:24">
      <c r="A1314">
        <f>HYPERLINK("https://www.philgeps.gov.ph/GEPSNONPILOT/Tender/SplashBidNoticeAbstractUI.aspx?menuIndex=3&amp;refID=7077584&amp;Result=3","7077584")</f>
        <v>0</v>
      </c>
      <c r="B1314" t="s">
        <v>484</v>
      </c>
      <c r="C1314" t="s">
        <v>4637</v>
      </c>
      <c r="E1314" t="s">
        <v>17948</v>
      </c>
      <c r="F1314" t="s">
        <v>28669</v>
      </c>
      <c r="G1314" t="s">
        <v>28675</v>
      </c>
      <c r="H1314" t="s">
        <v>28686</v>
      </c>
      <c r="I1314" t="s">
        <v>28689</v>
      </c>
      <c r="J1314" t="s">
        <v>29765</v>
      </c>
      <c r="K1314" t="s">
        <v>37209</v>
      </c>
      <c r="M1314" t="s">
        <v>37972</v>
      </c>
      <c r="N1314" t="s">
        <v>41249</v>
      </c>
      <c r="O1314" t="s">
        <v>41250</v>
      </c>
      <c r="P1314">
        <v>0</v>
      </c>
      <c r="Q1314">
        <v>2</v>
      </c>
      <c r="R1314" t="s">
        <v>41251</v>
      </c>
      <c r="S1314" t="s">
        <v>41369</v>
      </c>
      <c r="T1314" t="s">
        <v>42689</v>
      </c>
      <c r="U1314" t="s">
        <v>44340</v>
      </c>
      <c r="V1314" t="s">
        <v>54405</v>
      </c>
      <c r="W1314" t="s">
        <v>37972</v>
      </c>
      <c r="X1314" t="s">
        <v>41252</v>
      </c>
    </row>
    <row r="1315" spans="1:24">
      <c r="A1315">
        <f>HYPERLINK("https://www.philgeps.gov.ph/GEPSNONPILOT/Tender/SplashBidNoticeAbstractUI.aspx?menuIndex=3&amp;refID=7077656&amp;Result=3","7077656")</f>
        <v>0</v>
      </c>
      <c r="B1315" t="s">
        <v>577</v>
      </c>
      <c r="C1315" t="s">
        <v>4638</v>
      </c>
      <c r="D1315" t="s">
        <v>16626</v>
      </c>
      <c r="E1315" t="s">
        <v>17949</v>
      </c>
      <c r="F1315" t="s">
        <v>28669</v>
      </c>
      <c r="G1315" t="s">
        <v>28675</v>
      </c>
      <c r="H1315" t="s">
        <v>9998</v>
      </c>
      <c r="I1315" t="s">
        <v>28708</v>
      </c>
      <c r="J1315" t="s">
        <v>28854</v>
      </c>
      <c r="K1315" t="s">
        <v>37206</v>
      </c>
      <c r="M1315" t="s">
        <v>38076</v>
      </c>
      <c r="N1315" t="s">
        <v>41249</v>
      </c>
      <c r="O1315" t="s">
        <v>41250</v>
      </c>
      <c r="P1315">
        <v>0</v>
      </c>
      <c r="Q1315">
        <v>0</v>
      </c>
      <c r="R1315" t="s">
        <v>41251</v>
      </c>
      <c r="S1315" t="s">
        <v>41369</v>
      </c>
      <c r="T1315" t="s">
        <v>42714</v>
      </c>
      <c r="U1315" t="s">
        <v>44341</v>
      </c>
      <c r="W1315" t="s">
        <v>38076</v>
      </c>
      <c r="X1315" t="s">
        <v>41252</v>
      </c>
    </row>
    <row r="1316" spans="1:24">
      <c r="A1316">
        <f>HYPERLINK("https://www.philgeps.gov.ph/GEPSNONPILOT/Tender/SplashBidNoticeAbstractUI.aspx?menuIndex=3&amp;refID=7077633&amp;Result=3","7077633")</f>
        <v>0</v>
      </c>
      <c r="B1316" t="s">
        <v>624</v>
      </c>
      <c r="C1316" t="s">
        <v>4639</v>
      </c>
      <c r="D1316" t="s">
        <v>16608</v>
      </c>
      <c r="E1316" t="s">
        <v>17950</v>
      </c>
      <c r="F1316" t="s">
        <v>28669</v>
      </c>
      <c r="G1316" t="s">
        <v>28676</v>
      </c>
      <c r="H1316" t="s">
        <v>28685</v>
      </c>
      <c r="I1316" t="s">
        <v>28685</v>
      </c>
      <c r="J1316" t="s">
        <v>29766</v>
      </c>
      <c r="K1316" t="s">
        <v>37209</v>
      </c>
      <c r="M1316" t="s">
        <v>38124</v>
      </c>
      <c r="N1316" t="s">
        <v>41249</v>
      </c>
      <c r="O1316" t="s">
        <v>41250</v>
      </c>
      <c r="P1316">
        <v>0</v>
      </c>
      <c r="Q1316">
        <v>1</v>
      </c>
      <c r="R1316" t="s">
        <v>41251</v>
      </c>
      <c r="S1316" t="s">
        <v>41369</v>
      </c>
      <c r="T1316" t="s">
        <v>42717</v>
      </c>
      <c r="U1316" t="s">
        <v>44342</v>
      </c>
      <c r="W1316" t="s">
        <v>38124</v>
      </c>
      <c r="X1316" t="s">
        <v>41252</v>
      </c>
    </row>
    <row r="1317" spans="1:24">
      <c r="A1317">
        <f>HYPERLINK("https://www.philgeps.gov.ph/GEPSNONPILOT/Tender/SplashBidNoticeAbstractUI.aspx?menuIndex=3&amp;refID=7077651&amp;Result=3","7077651")</f>
        <v>0</v>
      </c>
      <c r="B1317" t="s">
        <v>618</v>
      </c>
      <c r="C1317" t="s">
        <v>4640</v>
      </c>
      <c r="D1317" t="s">
        <v>16654</v>
      </c>
      <c r="E1317" t="s">
        <v>17951</v>
      </c>
      <c r="F1317" t="s">
        <v>28669</v>
      </c>
      <c r="G1317" t="s">
        <v>28676</v>
      </c>
      <c r="H1317" t="s">
        <v>28686</v>
      </c>
      <c r="I1317" t="s">
        <v>28689</v>
      </c>
      <c r="J1317" t="s">
        <v>29767</v>
      </c>
      <c r="K1317" t="s">
        <v>37210</v>
      </c>
      <c r="M1317" t="s">
        <v>38118</v>
      </c>
      <c r="N1317" t="s">
        <v>41249</v>
      </c>
      <c r="O1317" t="s">
        <v>41250</v>
      </c>
      <c r="P1317">
        <v>0</v>
      </c>
      <c r="Q1317">
        <v>0</v>
      </c>
      <c r="R1317" t="s">
        <v>41251</v>
      </c>
      <c r="S1317" t="s">
        <v>41369</v>
      </c>
      <c r="T1317" t="s">
        <v>42675</v>
      </c>
      <c r="U1317" t="s">
        <v>44343</v>
      </c>
      <c r="W1317" t="s">
        <v>38118</v>
      </c>
      <c r="X1317" t="s">
        <v>41252</v>
      </c>
    </row>
    <row r="1318" spans="1:24">
      <c r="A1318">
        <f>HYPERLINK("https://www.philgeps.gov.ph/GEPSNONPILOT/Tender/SplashBidNoticeAbstractUI.aspx?menuIndex=3&amp;refID=7077654&amp;Result=3","7077654")</f>
        <v>0</v>
      </c>
      <c r="B1318" t="s">
        <v>625</v>
      </c>
      <c r="C1318" t="s">
        <v>4641</v>
      </c>
      <c r="D1318" t="s">
        <v>16679</v>
      </c>
      <c r="E1318" t="s">
        <v>17952</v>
      </c>
      <c r="F1318" t="s">
        <v>28669</v>
      </c>
      <c r="G1318" t="s">
        <v>28675</v>
      </c>
      <c r="H1318" t="s">
        <v>9998</v>
      </c>
      <c r="I1318" t="s">
        <v>3718</v>
      </c>
      <c r="J1318" t="s">
        <v>29768</v>
      </c>
      <c r="K1318" t="s">
        <v>37206</v>
      </c>
      <c r="M1318" t="s">
        <v>38125</v>
      </c>
      <c r="N1318" t="s">
        <v>41249</v>
      </c>
      <c r="O1318" t="s">
        <v>41250</v>
      </c>
      <c r="P1318">
        <v>0</v>
      </c>
      <c r="Q1318">
        <v>5</v>
      </c>
      <c r="R1318" t="s">
        <v>41251</v>
      </c>
      <c r="S1318" t="s">
        <v>41369</v>
      </c>
      <c r="T1318" t="s">
        <v>42777</v>
      </c>
      <c r="U1318" t="s">
        <v>44344</v>
      </c>
      <c r="W1318" t="s">
        <v>38125</v>
      </c>
      <c r="X1318" t="s">
        <v>41252</v>
      </c>
    </row>
    <row r="1319" spans="1:24">
      <c r="A1319">
        <f>HYPERLINK("https://www.philgeps.gov.ph/GEPSNONPILOT/Tender/SplashBidNoticeAbstractUI.aspx?menuIndex=3&amp;refID=7077652&amp;Result=3","7077652")</f>
        <v>0</v>
      </c>
      <c r="B1319" t="s">
        <v>169</v>
      </c>
      <c r="C1319" t="s">
        <v>4642</v>
      </c>
      <c r="D1319" t="s">
        <v>16611</v>
      </c>
      <c r="E1319" t="s">
        <v>17953</v>
      </c>
      <c r="F1319" t="s">
        <v>28669</v>
      </c>
      <c r="G1319" t="s">
        <v>28676</v>
      </c>
      <c r="H1319" t="s">
        <v>28686</v>
      </c>
      <c r="I1319" t="s">
        <v>28689</v>
      </c>
      <c r="J1319" t="s">
        <v>28836</v>
      </c>
      <c r="K1319" t="s">
        <v>37254</v>
      </c>
      <c r="M1319" t="s">
        <v>37936</v>
      </c>
      <c r="N1319" t="s">
        <v>41249</v>
      </c>
      <c r="O1319" t="s">
        <v>41250</v>
      </c>
      <c r="P1319">
        <v>0</v>
      </c>
      <c r="Q1319">
        <v>0</v>
      </c>
      <c r="R1319" t="s">
        <v>41251</v>
      </c>
      <c r="S1319" t="s">
        <v>41369</v>
      </c>
      <c r="T1319" t="s">
        <v>42764</v>
      </c>
      <c r="U1319" t="s">
        <v>44345</v>
      </c>
      <c r="W1319" t="s">
        <v>37936</v>
      </c>
      <c r="X1319" t="s">
        <v>41252</v>
      </c>
    </row>
    <row r="1320" spans="1:24">
      <c r="A1320">
        <f>HYPERLINK("https://www.philgeps.gov.ph/GEPSNONPILOT/Tender/SplashBidNoticeAbstractUI.aspx?menuIndex=3&amp;refID=7077650&amp;Result=3","7077650")</f>
        <v>0</v>
      </c>
      <c r="B1320" t="s">
        <v>570</v>
      </c>
      <c r="C1320" t="s">
        <v>4643</v>
      </c>
      <c r="D1320" t="s">
        <v>16687</v>
      </c>
      <c r="E1320" t="s">
        <v>17954</v>
      </c>
      <c r="F1320" t="s">
        <v>28669</v>
      </c>
      <c r="G1320" t="s">
        <v>28675</v>
      </c>
      <c r="H1320" t="s">
        <v>9998</v>
      </c>
      <c r="I1320" t="s">
        <v>28690</v>
      </c>
      <c r="J1320" t="s">
        <v>28877</v>
      </c>
      <c r="K1320" t="s">
        <v>37227</v>
      </c>
      <c r="M1320" t="s">
        <v>38068</v>
      </c>
      <c r="N1320" t="s">
        <v>41249</v>
      </c>
      <c r="O1320" t="s">
        <v>41250</v>
      </c>
      <c r="P1320">
        <v>0</v>
      </c>
      <c r="Q1320">
        <v>0</v>
      </c>
      <c r="R1320" t="s">
        <v>41251</v>
      </c>
      <c r="S1320" t="s">
        <v>41369</v>
      </c>
      <c r="T1320" t="s">
        <v>42677</v>
      </c>
      <c r="U1320" t="s">
        <v>44346</v>
      </c>
      <c r="W1320" t="s">
        <v>38068</v>
      </c>
      <c r="X1320" t="s">
        <v>41252</v>
      </c>
    </row>
    <row r="1321" spans="1:24">
      <c r="A1321">
        <f>HYPERLINK("https://www.philgeps.gov.ph/GEPSNONPILOT/Tender/SplashBidNoticeAbstractUI.aspx?menuIndex=3&amp;refID=7077649&amp;Result=3","7077649")</f>
        <v>0</v>
      </c>
      <c r="B1321" t="s">
        <v>626</v>
      </c>
      <c r="C1321" t="s">
        <v>4644</v>
      </c>
      <c r="D1321" t="s">
        <v>16611</v>
      </c>
      <c r="E1321" t="s">
        <v>17955</v>
      </c>
      <c r="F1321" t="s">
        <v>28669</v>
      </c>
      <c r="G1321" t="s">
        <v>28677</v>
      </c>
      <c r="H1321" t="s">
        <v>9998</v>
      </c>
      <c r="I1321" t="s">
        <v>7352</v>
      </c>
      <c r="J1321" t="s">
        <v>28894</v>
      </c>
      <c r="K1321" t="s">
        <v>37204</v>
      </c>
      <c r="M1321" t="s">
        <v>38126</v>
      </c>
      <c r="N1321" t="s">
        <v>41249</v>
      </c>
      <c r="O1321" t="s">
        <v>41250</v>
      </c>
      <c r="P1321">
        <v>0</v>
      </c>
      <c r="Q1321">
        <v>0</v>
      </c>
      <c r="R1321" t="s">
        <v>41251</v>
      </c>
      <c r="S1321" t="s">
        <v>41369</v>
      </c>
      <c r="T1321" t="s">
        <v>42673</v>
      </c>
      <c r="U1321" t="s">
        <v>44347</v>
      </c>
      <c r="W1321" t="s">
        <v>38126</v>
      </c>
      <c r="X1321" t="s">
        <v>41252</v>
      </c>
    </row>
    <row r="1322" spans="1:24">
      <c r="A1322">
        <f>HYPERLINK("https://www.philgeps.gov.ph/GEPSNONPILOT/Tender/SplashBidNoticeAbstractUI.aspx?menuIndex=3&amp;refID=7077648&amp;Result=3","7077648")</f>
        <v>0</v>
      </c>
      <c r="B1322" t="s">
        <v>627</v>
      </c>
      <c r="C1322" t="s">
        <v>4645</v>
      </c>
      <c r="D1322" t="s">
        <v>16620</v>
      </c>
      <c r="E1322" t="s">
        <v>17956</v>
      </c>
      <c r="F1322" t="s">
        <v>28669</v>
      </c>
      <c r="G1322" t="s">
        <v>28675</v>
      </c>
      <c r="H1322" t="s">
        <v>28686</v>
      </c>
      <c r="I1322" t="s">
        <v>28689</v>
      </c>
      <c r="J1322" t="s">
        <v>28836</v>
      </c>
      <c r="K1322" t="s">
        <v>37213</v>
      </c>
      <c r="M1322" t="s">
        <v>38127</v>
      </c>
      <c r="N1322" t="s">
        <v>41249</v>
      </c>
      <c r="O1322" t="s">
        <v>41250</v>
      </c>
      <c r="P1322">
        <v>0</v>
      </c>
      <c r="Q1322">
        <v>0</v>
      </c>
      <c r="R1322" t="s">
        <v>41251</v>
      </c>
      <c r="S1322" t="s">
        <v>41369</v>
      </c>
      <c r="T1322" t="s">
        <v>42668</v>
      </c>
      <c r="U1322" t="s">
        <v>44348</v>
      </c>
      <c r="W1322" t="s">
        <v>38127</v>
      </c>
      <c r="X1322" t="s">
        <v>41252</v>
      </c>
    </row>
    <row r="1323" spans="1:24">
      <c r="A1323">
        <f>HYPERLINK("https://www.philgeps.gov.ph/GEPSNONPILOT/Tender/SplashBidNoticeAbstractUI.aspx?menuIndex=3&amp;refID=7077647&amp;Result=3","7077647")</f>
        <v>0</v>
      </c>
      <c r="B1323" t="s">
        <v>605</v>
      </c>
      <c r="C1323" t="s">
        <v>4646</v>
      </c>
      <c r="D1323" t="s">
        <v>16661</v>
      </c>
      <c r="E1323" t="s">
        <v>17957</v>
      </c>
      <c r="F1323" t="s">
        <v>28669</v>
      </c>
      <c r="G1323" t="s">
        <v>28675</v>
      </c>
      <c r="H1323" t="s">
        <v>9998</v>
      </c>
      <c r="I1323" t="s">
        <v>7352</v>
      </c>
      <c r="J1323" t="s">
        <v>29328</v>
      </c>
      <c r="K1323" t="s">
        <v>37204</v>
      </c>
      <c r="M1323" t="s">
        <v>38105</v>
      </c>
      <c r="N1323" t="s">
        <v>41249</v>
      </c>
      <c r="O1323" t="s">
        <v>41250</v>
      </c>
      <c r="P1323">
        <v>0</v>
      </c>
      <c r="Q1323">
        <v>1</v>
      </c>
      <c r="R1323" t="s">
        <v>41251</v>
      </c>
      <c r="S1323" t="s">
        <v>41369</v>
      </c>
      <c r="T1323" t="s">
        <v>42683</v>
      </c>
      <c r="U1323" t="s">
        <v>44349</v>
      </c>
      <c r="W1323" t="s">
        <v>38105</v>
      </c>
      <c r="X1323" t="s">
        <v>41252</v>
      </c>
    </row>
    <row r="1324" spans="1:24">
      <c r="A1324">
        <f>HYPERLINK("https://www.philgeps.gov.ph/GEPSNONPILOT/Tender/SplashBidNoticeAbstractUI.aspx?menuIndex=3&amp;refID=7077646&amp;Result=3","7077646")</f>
        <v>0</v>
      </c>
      <c r="B1324" t="s">
        <v>193</v>
      </c>
      <c r="C1324" t="s">
        <v>3747</v>
      </c>
      <c r="D1324" t="s">
        <v>16658</v>
      </c>
      <c r="E1324" t="s">
        <v>17958</v>
      </c>
      <c r="F1324" t="s">
        <v>28669</v>
      </c>
      <c r="G1324" t="s">
        <v>28676</v>
      </c>
      <c r="H1324" t="s">
        <v>9998</v>
      </c>
      <c r="I1324" t="s">
        <v>28690</v>
      </c>
      <c r="J1324" t="s">
        <v>29769</v>
      </c>
      <c r="K1324" t="s">
        <v>37204</v>
      </c>
      <c r="M1324" t="s">
        <v>37671</v>
      </c>
      <c r="N1324" t="s">
        <v>41249</v>
      </c>
      <c r="O1324" t="s">
        <v>41250</v>
      </c>
      <c r="P1324">
        <v>0</v>
      </c>
      <c r="Q1324">
        <v>1</v>
      </c>
      <c r="R1324" t="s">
        <v>41251</v>
      </c>
      <c r="S1324" t="s">
        <v>41369</v>
      </c>
      <c r="T1324" t="s">
        <v>42673</v>
      </c>
      <c r="U1324" t="s">
        <v>44350</v>
      </c>
      <c r="W1324" t="s">
        <v>37671</v>
      </c>
      <c r="X1324" t="s">
        <v>41252</v>
      </c>
    </row>
    <row r="1325" spans="1:24">
      <c r="A1325">
        <f>HYPERLINK("https://www.philgeps.gov.ph/GEPSNONPILOT/Tender/SplashBidNoticeAbstractUI.aspx?menuIndex=3&amp;refID=7077655&amp;Result=3","7077655")</f>
        <v>0</v>
      </c>
      <c r="B1325" t="s">
        <v>531</v>
      </c>
      <c r="C1325" t="s">
        <v>4647</v>
      </c>
      <c r="D1325" t="s">
        <v>16611</v>
      </c>
      <c r="E1325" t="s">
        <v>17959</v>
      </c>
      <c r="F1325" t="s">
        <v>28669</v>
      </c>
      <c r="G1325" t="s">
        <v>28677</v>
      </c>
      <c r="H1325" t="s">
        <v>9998</v>
      </c>
      <c r="I1325" t="s">
        <v>28713</v>
      </c>
      <c r="J1325" t="s">
        <v>28826</v>
      </c>
      <c r="K1325" t="s">
        <v>37210</v>
      </c>
      <c r="M1325" t="s">
        <v>38022</v>
      </c>
      <c r="N1325" t="s">
        <v>41249</v>
      </c>
      <c r="O1325" t="s">
        <v>41250</v>
      </c>
      <c r="P1325">
        <v>0</v>
      </c>
      <c r="Q1325">
        <v>1</v>
      </c>
      <c r="R1325" t="s">
        <v>41251</v>
      </c>
      <c r="S1325" t="s">
        <v>41369</v>
      </c>
      <c r="T1325" t="s">
        <v>42679</v>
      </c>
      <c r="U1325" t="s">
        <v>44351</v>
      </c>
      <c r="W1325" t="s">
        <v>38022</v>
      </c>
      <c r="X1325" t="s">
        <v>41252</v>
      </c>
    </row>
    <row r="1326" spans="1:24">
      <c r="A1326">
        <f>HYPERLINK("https://www.philgeps.gov.ph/GEPSNONPILOT/Tender/SplashBidNoticeAbstractUI.aspx?menuIndex=3&amp;refID=7077642&amp;Result=3","7077642")</f>
        <v>0</v>
      </c>
      <c r="B1326" t="s">
        <v>439</v>
      </c>
      <c r="C1326" t="s">
        <v>4648</v>
      </c>
      <c r="D1326" t="s">
        <v>16608</v>
      </c>
      <c r="E1326" t="s">
        <v>17960</v>
      </c>
      <c r="F1326" t="s">
        <v>28669</v>
      </c>
      <c r="G1326" t="s">
        <v>28676</v>
      </c>
      <c r="H1326" t="s">
        <v>9998</v>
      </c>
      <c r="I1326" t="s">
        <v>7352</v>
      </c>
      <c r="J1326" t="s">
        <v>29770</v>
      </c>
      <c r="K1326" t="s">
        <v>37220</v>
      </c>
      <c r="M1326" t="s">
        <v>37924</v>
      </c>
      <c r="N1326" t="s">
        <v>41249</v>
      </c>
      <c r="O1326" t="s">
        <v>41250</v>
      </c>
      <c r="P1326">
        <v>0</v>
      </c>
      <c r="Q1326">
        <v>0</v>
      </c>
      <c r="R1326" t="s">
        <v>41251</v>
      </c>
      <c r="S1326" t="s">
        <v>41369</v>
      </c>
      <c r="T1326" t="s">
        <v>42690</v>
      </c>
      <c r="U1326" t="s">
        <v>44215</v>
      </c>
      <c r="W1326" t="s">
        <v>37924</v>
      </c>
      <c r="X1326" t="s">
        <v>41252</v>
      </c>
    </row>
    <row r="1327" spans="1:24">
      <c r="A1327">
        <f>HYPERLINK("https://www.philgeps.gov.ph/GEPSNONPILOT/Tender/SplashBidNoticeAbstractUI.aspx?menuIndex=3&amp;refID=7077638&amp;Result=3","7077638")</f>
        <v>0</v>
      </c>
      <c r="B1327" t="s">
        <v>506</v>
      </c>
      <c r="C1327" t="s">
        <v>4649</v>
      </c>
      <c r="D1327" t="s">
        <v>16623</v>
      </c>
      <c r="E1327" t="s">
        <v>17961</v>
      </c>
      <c r="F1327" t="s">
        <v>28669</v>
      </c>
      <c r="G1327" t="s">
        <v>28677</v>
      </c>
      <c r="H1327" t="s">
        <v>9998</v>
      </c>
      <c r="I1327" t="s">
        <v>6606</v>
      </c>
      <c r="J1327" t="s">
        <v>29438</v>
      </c>
      <c r="K1327" t="s">
        <v>37209</v>
      </c>
      <c r="M1327" t="s">
        <v>37996</v>
      </c>
      <c r="N1327" t="s">
        <v>41249</v>
      </c>
      <c r="O1327" t="s">
        <v>41250</v>
      </c>
      <c r="P1327">
        <v>0</v>
      </c>
      <c r="Q1327">
        <v>0</v>
      </c>
      <c r="R1327" t="s">
        <v>41251</v>
      </c>
      <c r="S1327" t="s">
        <v>41369</v>
      </c>
      <c r="T1327" t="s">
        <v>42711</v>
      </c>
      <c r="U1327" t="s">
        <v>44352</v>
      </c>
      <c r="V1327" t="s">
        <v>54360</v>
      </c>
      <c r="W1327" t="s">
        <v>37996</v>
      </c>
      <c r="X1327" t="s">
        <v>41252</v>
      </c>
    </row>
    <row r="1328" spans="1:24">
      <c r="A1328">
        <f>HYPERLINK("https://www.philgeps.gov.ph/GEPSNONPILOT/Tender/SplashBidNoticeAbstractUI.aspx?menuIndex=3&amp;refID=7077653&amp;Result=3","7077653")</f>
        <v>0</v>
      </c>
      <c r="B1328" t="s">
        <v>548</v>
      </c>
      <c r="C1328" t="s">
        <v>4650</v>
      </c>
      <c r="D1328" t="s">
        <v>16679</v>
      </c>
      <c r="E1328" t="s">
        <v>17962</v>
      </c>
      <c r="F1328" t="s">
        <v>28669</v>
      </c>
      <c r="G1328" t="s">
        <v>28676</v>
      </c>
      <c r="H1328" t="s">
        <v>9998</v>
      </c>
      <c r="I1328" t="s">
        <v>28713</v>
      </c>
      <c r="J1328" t="s">
        <v>29771</v>
      </c>
      <c r="K1328" t="s">
        <v>37209</v>
      </c>
      <c r="M1328" t="s">
        <v>38041</v>
      </c>
      <c r="N1328" t="s">
        <v>41249</v>
      </c>
      <c r="O1328" t="s">
        <v>41250</v>
      </c>
      <c r="P1328">
        <v>0</v>
      </c>
      <c r="Q1328">
        <v>3</v>
      </c>
      <c r="R1328" t="s">
        <v>41251</v>
      </c>
      <c r="S1328" t="s">
        <v>41369</v>
      </c>
      <c r="T1328" t="s">
        <v>42738</v>
      </c>
      <c r="U1328" t="s">
        <v>44353</v>
      </c>
      <c r="W1328" t="s">
        <v>55921</v>
      </c>
      <c r="X1328" t="s">
        <v>41252</v>
      </c>
    </row>
    <row r="1329" spans="1:24">
      <c r="A1329">
        <f>HYPERLINK("https://www.philgeps.gov.ph/GEPSNONPILOT/Tender/SplashBidNoticeAbstractUI.aspx?menuIndex=3&amp;refID=7077636&amp;Result=3","7077636")</f>
        <v>0</v>
      </c>
      <c r="B1329" t="s">
        <v>628</v>
      </c>
      <c r="C1329" t="s">
        <v>4651</v>
      </c>
      <c r="D1329" t="s">
        <v>16621</v>
      </c>
      <c r="E1329" t="s">
        <v>17963</v>
      </c>
      <c r="F1329" t="s">
        <v>28669</v>
      </c>
      <c r="G1329" t="s">
        <v>28675</v>
      </c>
      <c r="H1329" t="s">
        <v>9998</v>
      </c>
      <c r="I1329" t="s">
        <v>28690</v>
      </c>
      <c r="J1329" t="s">
        <v>29772</v>
      </c>
      <c r="K1329" t="s">
        <v>37205</v>
      </c>
      <c r="M1329" t="s">
        <v>38128</v>
      </c>
      <c r="N1329" t="s">
        <v>41249</v>
      </c>
      <c r="O1329" t="s">
        <v>41250</v>
      </c>
      <c r="P1329">
        <v>0</v>
      </c>
      <c r="Q1329">
        <v>2</v>
      </c>
      <c r="R1329" t="s">
        <v>41251</v>
      </c>
      <c r="S1329" t="s">
        <v>41369</v>
      </c>
      <c r="T1329" t="s">
        <v>42818</v>
      </c>
      <c r="U1329" t="s">
        <v>44354</v>
      </c>
      <c r="V1329" t="s">
        <v>54406</v>
      </c>
      <c r="W1329" t="s">
        <v>38128</v>
      </c>
      <c r="X1329" t="s">
        <v>41252</v>
      </c>
    </row>
    <row r="1330" spans="1:24">
      <c r="A1330">
        <f>HYPERLINK("https://www.philgeps.gov.ph/GEPSNONPILOT/Tender/SplashBidNoticeAbstractUI.aspx?menuIndex=3&amp;refID=7077643&amp;Result=3","7077643")</f>
        <v>0</v>
      </c>
      <c r="B1330" t="s">
        <v>569</v>
      </c>
      <c r="C1330" t="s">
        <v>4652</v>
      </c>
      <c r="D1330" t="s">
        <v>16634</v>
      </c>
      <c r="E1330" t="s">
        <v>17964</v>
      </c>
      <c r="F1330" t="s">
        <v>28669</v>
      </c>
      <c r="G1330" t="s">
        <v>28677</v>
      </c>
      <c r="H1330" t="s">
        <v>9998</v>
      </c>
      <c r="I1330" t="s">
        <v>28704</v>
      </c>
      <c r="J1330" t="s">
        <v>29773</v>
      </c>
      <c r="K1330" t="s">
        <v>37210</v>
      </c>
      <c r="M1330" t="s">
        <v>38067</v>
      </c>
      <c r="N1330" t="s">
        <v>41249</v>
      </c>
      <c r="O1330" t="s">
        <v>41250</v>
      </c>
      <c r="P1330">
        <v>0</v>
      </c>
      <c r="Q1330">
        <v>0</v>
      </c>
      <c r="R1330" t="s">
        <v>41251</v>
      </c>
      <c r="S1330" t="s">
        <v>41369</v>
      </c>
      <c r="T1330" t="s">
        <v>42690</v>
      </c>
      <c r="U1330" t="s">
        <v>44324</v>
      </c>
      <c r="V1330" t="s">
        <v>54407</v>
      </c>
      <c r="W1330" t="s">
        <v>38067</v>
      </c>
      <c r="X1330" t="s">
        <v>41252</v>
      </c>
    </row>
    <row r="1331" spans="1:24">
      <c r="A1331">
        <f>HYPERLINK("https://www.philgeps.gov.ph/GEPSNONPILOT/Tender/SplashBidNoticeAbstractUI.aspx?menuIndex=3&amp;refID=7077607&amp;Result=3","7077607")</f>
        <v>0</v>
      </c>
      <c r="B1331" t="s">
        <v>629</v>
      </c>
      <c r="C1331" t="s">
        <v>4653</v>
      </c>
      <c r="D1331" t="s">
        <v>16648</v>
      </c>
      <c r="E1331" t="s">
        <v>17965</v>
      </c>
      <c r="F1331" t="s">
        <v>28669</v>
      </c>
      <c r="G1331" t="s">
        <v>28675</v>
      </c>
      <c r="H1331" t="s">
        <v>9998</v>
      </c>
      <c r="I1331" t="s">
        <v>28693</v>
      </c>
      <c r="J1331" t="s">
        <v>29774</v>
      </c>
      <c r="K1331" t="s">
        <v>37209</v>
      </c>
      <c r="M1331" t="s">
        <v>38129</v>
      </c>
      <c r="N1331" t="s">
        <v>41249</v>
      </c>
      <c r="O1331" t="s">
        <v>41250</v>
      </c>
      <c r="P1331">
        <v>0</v>
      </c>
      <c r="Q1331">
        <v>1</v>
      </c>
      <c r="R1331" t="s">
        <v>41251</v>
      </c>
      <c r="S1331" t="s">
        <v>41369</v>
      </c>
      <c r="T1331" t="s">
        <v>42674</v>
      </c>
      <c r="U1331" t="s">
        <v>44355</v>
      </c>
      <c r="W1331" t="s">
        <v>38129</v>
      </c>
      <c r="X1331" t="s">
        <v>41252</v>
      </c>
    </row>
    <row r="1332" spans="1:24">
      <c r="A1332">
        <f>HYPERLINK("https://www.philgeps.gov.ph/GEPSNONPILOT/Tender/SplashBidNoticeAbstractUI.aspx?menuIndex=3&amp;refID=7077606&amp;Result=3","7077606")</f>
        <v>0</v>
      </c>
      <c r="B1332" t="s">
        <v>587</v>
      </c>
      <c r="C1332" t="s">
        <v>4654</v>
      </c>
      <c r="D1332" t="s">
        <v>16608</v>
      </c>
      <c r="E1332" t="s">
        <v>17966</v>
      </c>
      <c r="F1332" t="s">
        <v>28669</v>
      </c>
      <c r="G1332" t="s">
        <v>28675</v>
      </c>
      <c r="H1332" t="s">
        <v>9998</v>
      </c>
      <c r="I1332" t="s">
        <v>11593</v>
      </c>
      <c r="J1332" t="s">
        <v>29112</v>
      </c>
      <c r="K1332" t="s">
        <v>37206</v>
      </c>
      <c r="M1332" t="s">
        <v>38086</v>
      </c>
      <c r="N1332" t="s">
        <v>41249</v>
      </c>
      <c r="O1332" t="s">
        <v>41250</v>
      </c>
      <c r="P1332">
        <v>0</v>
      </c>
      <c r="Q1332">
        <v>12</v>
      </c>
      <c r="R1332" t="s">
        <v>41251</v>
      </c>
      <c r="S1332" t="s">
        <v>41369</v>
      </c>
      <c r="T1332" t="s">
        <v>42661</v>
      </c>
      <c r="U1332" t="s">
        <v>44356</v>
      </c>
      <c r="W1332" t="s">
        <v>38086</v>
      </c>
      <c r="X1332" t="s">
        <v>41252</v>
      </c>
    </row>
    <row r="1333" spans="1:24">
      <c r="A1333">
        <f>HYPERLINK("https://www.philgeps.gov.ph/GEPSNONPILOT/Tender/SplashBidNoticeAbstractUI.aspx?menuIndex=3&amp;refID=7077637&amp;Result=3","7077637")</f>
        <v>0</v>
      </c>
      <c r="B1333" t="s">
        <v>630</v>
      </c>
      <c r="C1333" t="s">
        <v>4655</v>
      </c>
      <c r="D1333" t="s">
        <v>16608</v>
      </c>
      <c r="E1333" t="s">
        <v>17967</v>
      </c>
      <c r="F1333" t="s">
        <v>28669</v>
      </c>
      <c r="G1333" t="s">
        <v>28676</v>
      </c>
      <c r="H1333" t="s">
        <v>9998</v>
      </c>
      <c r="I1333" t="s">
        <v>28708</v>
      </c>
      <c r="J1333" t="s">
        <v>29775</v>
      </c>
      <c r="K1333" t="s">
        <v>37209</v>
      </c>
      <c r="M1333" t="s">
        <v>38130</v>
      </c>
      <c r="N1333" t="s">
        <v>41249</v>
      </c>
      <c r="O1333" t="s">
        <v>41250</v>
      </c>
      <c r="P1333">
        <v>0</v>
      </c>
      <c r="Q1333">
        <v>4</v>
      </c>
      <c r="R1333" t="s">
        <v>41251</v>
      </c>
      <c r="S1333" t="s">
        <v>41369</v>
      </c>
      <c r="T1333" t="s">
        <v>42705</v>
      </c>
      <c r="U1333" t="s">
        <v>44357</v>
      </c>
      <c r="V1333" t="s">
        <v>54408</v>
      </c>
      <c r="W1333" t="s">
        <v>38130</v>
      </c>
      <c r="X1333" t="s">
        <v>41252</v>
      </c>
    </row>
    <row r="1334" spans="1:24">
      <c r="A1334">
        <f>HYPERLINK("https://www.philgeps.gov.ph/GEPSNONPILOT/Tender/SplashBidNoticeAbstractUI.aspx?menuIndex=3&amp;refID=7077583&amp;Result=3","7077583")</f>
        <v>0</v>
      </c>
      <c r="B1334" t="s">
        <v>575</v>
      </c>
      <c r="C1334" t="s">
        <v>4656</v>
      </c>
      <c r="D1334" t="s">
        <v>16660</v>
      </c>
      <c r="E1334" t="s">
        <v>17968</v>
      </c>
      <c r="F1334" t="s">
        <v>28669</v>
      </c>
      <c r="G1334" t="s">
        <v>28676</v>
      </c>
      <c r="H1334" t="s">
        <v>9998</v>
      </c>
      <c r="I1334" t="s">
        <v>28728</v>
      </c>
      <c r="J1334" t="s">
        <v>28894</v>
      </c>
      <c r="K1334" t="s">
        <v>37209</v>
      </c>
      <c r="M1334" t="s">
        <v>38074</v>
      </c>
      <c r="N1334" t="s">
        <v>41249</v>
      </c>
      <c r="O1334" t="s">
        <v>41250</v>
      </c>
      <c r="P1334">
        <v>0</v>
      </c>
      <c r="Q1334">
        <v>0</v>
      </c>
      <c r="R1334" t="s">
        <v>41251</v>
      </c>
      <c r="S1334" t="s">
        <v>41369</v>
      </c>
      <c r="T1334" t="s">
        <v>42671</v>
      </c>
      <c r="U1334" t="s">
        <v>44358</v>
      </c>
      <c r="W1334" t="s">
        <v>38074</v>
      </c>
      <c r="X1334" t="s">
        <v>41252</v>
      </c>
    </row>
    <row r="1335" spans="1:24">
      <c r="A1335">
        <f>HYPERLINK("https://www.philgeps.gov.ph/GEPSNONPILOT/Tender/SplashBidNoticeAbstractUI.aspx?menuIndex=3&amp;refID=7077582&amp;Result=3","7077582")</f>
        <v>0</v>
      </c>
      <c r="B1335" t="s">
        <v>602</v>
      </c>
      <c r="C1335" t="s">
        <v>4657</v>
      </c>
      <c r="E1335" t="s">
        <v>17969</v>
      </c>
      <c r="F1335" t="s">
        <v>28669</v>
      </c>
      <c r="G1335" t="s">
        <v>28677</v>
      </c>
      <c r="H1335" t="s">
        <v>9998</v>
      </c>
      <c r="I1335" t="s">
        <v>11593</v>
      </c>
      <c r="J1335" t="s">
        <v>29040</v>
      </c>
      <c r="K1335" t="s">
        <v>37204</v>
      </c>
      <c r="M1335" t="s">
        <v>38102</v>
      </c>
      <c r="N1335" t="s">
        <v>41249</v>
      </c>
      <c r="O1335" t="s">
        <v>41250</v>
      </c>
      <c r="P1335">
        <v>0</v>
      </c>
      <c r="Q1335">
        <v>3</v>
      </c>
      <c r="R1335" t="s">
        <v>41251</v>
      </c>
      <c r="S1335" t="s">
        <v>41369</v>
      </c>
      <c r="T1335" t="s">
        <v>42673</v>
      </c>
      <c r="U1335" t="s">
        <v>44359</v>
      </c>
      <c r="W1335" t="s">
        <v>38102</v>
      </c>
      <c r="X1335" t="s">
        <v>41252</v>
      </c>
    </row>
    <row r="1336" spans="1:24">
      <c r="A1336">
        <f>HYPERLINK("https://www.philgeps.gov.ph/GEPSNONPILOT/Tender/SplashBidNoticeAbstractUI.aspx?menuIndex=3&amp;refID=7077581&amp;Result=3","7077581")</f>
        <v>0</v>
      </c>
      <c r="B1336" t="s">
        <v>631</v>
      </c>
      <c r="C1336" t="s">
        <v>4658</v>
      </c>
      <c r="D1336" t="s">
        <v>16617</v>
      </c>
      <c r="E1336" t="s">
        <v>17970</v>
      </c>
      <c r="F1336" t="s">
        <v>28669</v>
      </c>
      <c r="G1336" t="s">
        <v>28676</v>
      </c>
      <c r="H1336" t="s">
        <v>9998</v>
      </c>
      <c r="I1336" t="s">
        <v>7352</v>
      </c>
      <c r="J1336" t="s">
        <v>29776</v>
      </c>
      <c r="K1336" t="s">
        <v>37240</v>
      </c>
      <c r="M1336" t="s">
        <v>38131</v>
      </c>
      <c r="N1336" t="s">
        <v>41249</v>
      </c>
      <c r="O1336" t="s">
        <v>41250</v>
      </c>
      <c r="P1336">
        <v>0</v>
      </c>
      <c r="Q1336">
        <v>0</v>
      </c>
      <c r="R1336" t="s">
        <v>41251</v>
      </c>
      <c r="S1336" t="s">
        <v>41369</v>
      </c>
      <c r="T1336" t="s">
        <v>42717</v>
      </c>
      <c r="U1336" t="s">
        <v>44360</v>
      </c>
      <c r="W1336" t="s">
        <v>38131</v>
      </c>
      <c r="X1336" t="s">
        <v>41252</v>
      </c>
    </row>
    <row r="1337" spans="1:24">
      <c r="A1337">
        <f>HYPERLINK("https://www.philgeps.gov.ph/GEPSNONPILOT/Tender/SplashBidNoticeAbstractUI.aspx?menuIndex=3&amp;refID=7077576&amp;Result=3","7077576")</f>
        <v>0</v>
      </c>
      <c r="B1337" t="s">
        <v>52</v>
      </c>
      <c r="C1337" t="s">
        <v>4659</v>
      </c>
      <c r="D1337" t="s">
        <v>16629</v>
      </c>
      <c r="E1337" t="s">
        <v>17971</v>
      </c>
      <c r="F1337" t="s">
        <v>28670</v>
      </c>
      <c r="G1337" t="s">
        <v>28676</v>
      </c>
      <c r="H1337" t="s">
        <v>9998</v>
      </c>
      <c r="I1337" t="s">
        <v>28769</v>
      </c>
      <c r="J1337" t="s">
        <v>28838</v>
      </c>
      <c r="K1337" t="s">
        <v>37204</v>
      </c>
      <c r="M1337" t="s">
        <v>37527</v>
      </c>
      <c r="N1337" t="s">
        <v>41249</v>
      </c>
      <c r="O1337" t="s">
        <v>41250</v>
      </c>
      <c r="P1337">
        <v>0</v>
      </c>
      <c r="Q1337">
        <v>2</v>
      </c>
      <c r="R1337" t="s">
        <v>41251</v>
      </c>
      <c r="S1337" t="s">
        <v>41369</v>
      </c>
      <c r="T1337" t="s">
        <v>42714</v>
      </c>
      <c r="U1337" t="s">
        <v>44361</v>
      </c>
      <c r="W1337" t="s">
        <v>37527</v>
      </c>
      <c r="X1337" t="s">
        <v>41252</v>
      </c>
    </row>
    <row r="1338" spans="1:24">
      <c r="A1338">
        <f>HYPERLINK("https://www.philgeps.gov.ph/GEPSNONPILOT/Tender/SplashBidNoticeAbstractUI.aspx?menuIndex=3&amp;refID=7077645&amp;Result=3","7077645")</f>
        <v>0</v>
      </c>
      <c r="B1338" t="s">
        <v>42</v>
      </c>
      <c r="C1338" t="s">
        <v>4660</v>
      </c>
      <c r="D1338" t="s">
        <v>16623</v>
      </c>
      <c r="E1338" t="s">
        <v>17972</v>
      </c>
      <c r="F1338" t="s">
        <v>28669</v>
      </c>
      <c r="G1338" t="s">
        <v>28675</v>
      </c>
      <c r="H1338" t="s">
        <v>9998</v>
      </c>
      <c r="I1338" t="s">
        <v>5213</v>
      </c>
      <c r="J1338" t="s">
        <v>29777</v>
      </c>
      <c r="K1338" t="s">
        <v>37210</v>
      </c>
      <c r="M1338" t="s">
        <v>37517</v>
      </c>
      <c r="N1338" t="s">
        <v>41249</v>
      </c>
      <c r="O1338" t="s">
        <v>41250</v>
      </c>
      <c r="P1338">
        <v>0</v>
      </c>
      <c r="Q1338">
        <v>0</v>
      </c>
      <c r="R1338" t="s">
        <v>41251</v>
      </c>
      <c r="S1338" t="s">
        <v>41369</v>
      </c>
      <c r="T1338" t="s">
        <v>42678</v>
      </c>
      <c r="U1338" t="s">
        <v>44362</v>
      </c>
      <c r="W1338" t="s">
        <v>37517</v>
      </c>
      <c r="X1338" t="s">
        <v>41252</v>
      </c>
    </row>
    <row r="1339" spans="1:24">
      <c r="A1339">
        <f>HYPERLINK("https://www.philgeps.gov.ph/GEPSNONPILOT/Tender/SplashBidNoticeAbstractUI.aspx?menuIndex=3&amp;refID=7077604&amp;Result=3","7077604")</f>
        <v>0</v>
      </c>
      <c r="B1339" t="s">
        <v>632</v>
      </c>
      <c r="C1339" t="s">
        <v>4661</v>
      </c>
      <c r="E1339" t="s">
        <v>17973</v>
      </c>
      <c r="F1339" t="s">
        <v>28669</v>
      </c>
      <c r="G1339" t="s">
        <v>28677</v>
      </c>
      <c r="H1339" t="s">
        <v>9998</v>
      </c>
      <c r="I1339" t="s">
        <v>28718</v>
      </c>
      <c r="J1339" t="s">
        <v>28894</v>
      </c>
      <c r="K1339" t="s">
        <v>37209</v>
      </c>
      <c r="M1339" t="s">
        <v>38132</v>
      </c>
      <c r="N1339" t="s">
        <v>41249</v>
      </c>
      <c r="O1339" t="s">
        <v>41250</v>
      </c>
      <c r="P1339">
        <v>0</v>
      </c>
      <c r="Q1339">
        <v>0</v>
      </c>
      <c r="R1339" t="s">
        <v>41251</v>
      </c>
      <c r="S1339" t="s">
        <v>41369</v>
      </c>
      <c r="T1339" t="s">
        <v>42682</v>
      </c>
      <c r="U1339" t="s">
        <v>44363</v>
      </c>
      <c r="W1339" t="s">
        <v>38132</v>
      </c>
      <c r="X1339" t="s">
        <v>41252</v>
      </c>
    </row>
    <row r="1340" spans="1:24">
      <c r="A1340">
        <f>HYPERLINK("https://www.philgeps.gov.ph/GEPSNONPILOT/Tender/SplashBidNoticeAbstractUI.aspx?menuIndex=3&amp;refID=7077522&amp;Result=3","7077522")</f>
        <v>0</v>
      </c>
      <c r="B1340" t="s">
        <v>572</v>
      </c>
      <c r="C1340" t="s">
        <v>4662</v>
      </c>
      <c r="D1340" t="s">
        <v>16622</v>
      </c>
      <c r="E1340" t="s">
        <v>17974</v>
      </c>
      <c r="F1340" t="s">
        <v>28669</v>
      </c>
      <c r="G1340" t="s">
        <v>28675</v>
      </c>
      <c r="H1340" t="s">
        <v>9998</v>
      </c>
      <c r="I1340" t="s">
        <v>28690</v>
      </c>
      <c r="J1340" t="s">
        <v>29778</v>
      </c>
      <c r="K1340" t="s">
        <v>37209</v>
      </c>
      <c r="M1340" t="s">
        <v>38071</v>
      </c>
      <c r="N1340" t="s">
        <v>41249</v>
      </c>
      <c r="O1340" t="s">
        <v>41250</v>
      </c>
      <c r="P1340">
        <v>0</v>
      </c>
      <c r="Q1340">
        <v>6</v>
      </c>
      <c r="R1340" t="s">
        <v>41251</v>
      </c>
      <c r="S1340" t="s">
        <v>41369</v>
      </c>
      <c r="T1340" t="s">
        <v>42816</v>
      </c>
      <c r="U1340" t="s">
        <v>44364</v>
      </c>
      <c r="W1340" t="s">
        <v>38071</v>
      </c>
      <c r="X1340" t="s">
        <v>41252</v>
      </c>
    </row>
    <row r="1341" spans="1:24">
      <c r="A1341">
        <f>HYPERLINK("https://www.philgeps.gov.ph/GEPSNONPILOT/Tender/SplashBidNoticeAbstractUI.aspx?menuIndex=3&amp;refID=7077518&amp;Result=3","7077518")</f>
        <v>0</v>
      </c>
      <c r="B1341" t="s">
        <v>253</v>
      </c>
      <c r="C1341" t="s">
        <v>4663</v>
      </c>
      <c r="D1341" t="s">
        <v>16621</v>
      </c>
      <c r="E1341" t="s">
        <v>17975</v>
      </c>
      <c r="F1341" t="s">
        <v>28669</v>
      </c>
      <c r="G1341" t="s">
        <v>28678</v>
      </c>
      <c r="H1341" t="s">
        <v>9998</v>
      </c>
      <c r="I1341" t="s">
        <v>6128</v>
      </c>
      <c r="J1341" t="s">
        <v>28912</v>
      </c>
      <c r="K1341" t="s">
        <v>37204</v>
      </c>
      <c r="M1341" t="s">
        <v>37731</v>
      </c>
      <c r="N1341" t="s">
        <v>41249</v>
      </c>
      <c r="O1341" t="s">
        <v>41250</v>
      </c>
      <c r="P1341">
        <v>0</v>
      </c>
      <c r="Q1341">
        <v>2</v>
      </c>
      <c r="R1341" t="s">
        <v>41251</v>
      </c>
      <c r="S1341" t="s">
        <v>41369</v>
      </c>
      <c r="T1341" t="s">
        <v>42703</v>
      </c>
      <c r="U1341" t="s">
        <v>44365</v>
      </c>
      <c r="W1341" t="s">
        <v>37731</v>
      </c>
      <c r="X1341" t="s">
        <v>41252</v>
      </c>
    </row>
    <row r="1342" spans="1:24">
      <c r="A1342">
        <f>HYPERLINK("https://www.philgeps.gov.ph/GEPSNONPILOT/Tender/SplashBidNoticeAbstractUI.aspx?menuIndex=3&amp;refID=7077494&amp;Result=3","7077494")</f>
        <v>0</v>
      </c>
      <c r="B1342" t="s">
        <v>562</v>
      </c>
      <c r="C1342" t="s">
        <v>4664</v>
      </c>
      <c r="D1342" t="s">
        <v>16648</v>
      </c>
      <c r="E1342" t="s">
        <v>17976</v>
      </c>
      <c r="F1342" t="s">
        <v>28671</v>
      </c>
      <c r="G1342" t="s">
        <v>28675</v>
      </c>
      <c r="H1342" t="s">
        <v>28686</v>
      </c>
      <c r="I1342" t="s">
        <v>28689</v>
      </c>
      <c r="J1342" t="s">
        <v>29003</v>
      </c>
      <c r="K1342" t="s">
        <v>37231</v>
      </c>
      <c r="M1342" t="s">
        <v>38058</v>
      </c>
      <c r="N1342" t="s">
        <v>41249</v>
      </c>
      <c r="O1342" t="s">
        <v>41250</v>
      </c>
      <c r="P1342">
        <v>0</v>
      </c>
      <c r="Q1342">
        <v>0</v>
      </c>
      <c r="R1342" t="s">
        <v>41251</v>
      </c>
      <c r="S1342" t="s">
        <v>41369</v>
      </c>
      <c r="T1342" t="s">
        <v>42782</v>
      </c>
      <c r="U1342" t="s">
        <v>44366</v>
      </c>
      <c r="W1342" t="s">
        <v>38058</v>
      </c>
      <c r="X1342" t="s">
        <v>41252</v>
      </c>
    </row>
    <row r="1343" spans="1:24">
      <c r="A1343">
        <f>HYPERLINK("https://www.philgeps.gov.ph/GEPSNONPILOT/Tender/SplashBidNoticeAbstractUI.aspx?menuIndex=3&amp;refID=7077491&amp;Result=3","7077491")</f>
        <v>0</v>
      </c>
      <c r="B1343" t="s">
        <v>305</v>
      </c>
      <c r="C1343" t="s">
        <v>4665</v>
      </c>
      <c r="D1343" t="s">
        <v>16664</v>
      </c>
      <c r="E1343" t="s">
        <v>17977</v>
      </c>
      <c r="F1343" t="s">
        <v>28669</v>
      </c>
      <c r="G1343" t="s">
        <v>28677</v>
      </c>
      <c r="H1343" t="s">
        <v>9998</v>
      </c>
      <c r="I1343" t="s">
        <v>3718</v>
      </c>
      <c r="J1343" t="s">
        <v>29779</v>
      </c>
      <c r="K1343" t="s">
        <v>37210</v>
      </c>
      <c r="M1343" t="s">
        <v>37784</v>
      </c>
      <c r="N1343" t="s">
        <v>41249</v>
      </c>
      <c r="O1343" t="s">
        <v>41250</v>
      </c>
      <c r="P1343">
        <v>0</v>
      </c>
      <c r="Q1343">
        <v>0</v>
      </c>
      <c r="R1343" t="s">
        <v>41251</v>
      </c>
      <c r="S1343" t="s">
        <v>41369</v>
      </c>
      <c r="T1343" t="s">
        <v>42743</v>
      </c>
      <c r="U1343" t="s">
        <v>44367</v>
      </c>
      <c r="W1343" t="s">
        <v>37784</v>
      </c>
      <c r="X1343" t="s">
        <v>41252</v>
      </c>
    </row>
    <row r="1344" spans="1:24">
      <c r="A1344">
        <f>HYPERLINK("https://www.philgeps.gov.ph/GEPSNONPILOT/Tender/SplashBidNoticeAbstractUI.aspx?menuIndex=3&amp;refID=7077634&amp;Result=3","7077634")</f>
        <v>0</v>
      </c>
      <c r="B1344" t="s">
        <v>267</v>
      </c>
      <c r="C1344" t="s">
        <v>4666</v>
      </c>
      <c r="D1344" t="s">
        <v>16679</v>
      </c>
      <c r="E1344" t="s">
        <v>17978</v>
      </c>
      <c r="F1344" t="s">
        <v>28669</v>
      </c>
      <c r="G1344" t="s">
        <v>28675</v>
      </c>
      <c r="H1344" t="s">
        <v>28686</v>
      </c>
      <c r="I1344" t="s">
        <v>28689</v>
      </c>
      <c r="J1344" t="s">
        <v>29780</v>
      </c>
      <c r="K1344" t="s">
        <v>37220</v>
      </c>
      <c r="M1344" t="s">
        <v>38133</v>
      </c>
      <c r="N1344" t="s">
        <v>41249</v>
      </c>
      <c r="O1344" t="s">
        <v>41250</v>
      </c>
      <c r="P1344">
        <v>0</v>
      </c>
      <c r="Q1344">
        <v>3</v>
      </c>
      <c r="R1344" t="s">
        <v>41251</v>
      </c>
      <c r="S1344" t="s">
        <v>41369</v>
      </c>
      <c r="T1344" t="s">
        <v>42783</v>
      </c>
      <c r="U1344" t="s">
        <v>43621</v>
      </c>
      <c r="V1344" t="s">
        <v>54409</v>
      </c>
      <c r="W1344" t="s">
        <v>55924</v>
      </c>
      <c r="X1344" t="s">
        <v>41252</v>
      </c>
    </row>
    <row r="1345" spans="1:24">
      <c r="A1345">
        <f>HYPERLINK("https://www.philgeps.gov.ph/GEPSNONPILOT/Tender/SplashBidNoticeAbstractUI.aspx?menuIndex=3&amp;refID=7077488&amp;Result=3","7077488")</f>
        <v>0</v>
      </c>
      <c r="B1345" t="s">
        <v>633</v>
      </c>
      <c r="C1345" t="s">
        <v>4667</v>
      </c>
      <c r="D1345" t="s">
        <v>16608</v>
      </c>
      <c r="E1345" t="s">
        <v>17979</v>
      </c>
      <c r="F1345" t="s">
        <v>28669</v>
      </c>
      <c r="G1345" t="s">
        <v>28676</v>
      </c>
      <c r="H1345" t="s">
        <v>28686</v>
      </c>
      <c r="I1345" t="s">
        <v>28689</v>
      </c>
      <c r="J1345" t="s">
        <v>29328</v>
      </c>
      <c r="K1345" t="s">
        <v>37205</v>
      </c>
      <c r="M1345" t="s">
        <v>38134</v>
      </c>
      <c r="N1345" t="s">
        <v>41249</v>
      </c>
      <c r="O1345" t="s">
        <v>41250</v>
      </c>
      <c r="P1345">
        <v>0</v>
      </c>
      <c r="Q1345">
        <v>0</v>
      </c>
      <c r="R1345" t="s">
        <v>41251</v>
      </c>
      <c r="S1345" t="s">
        <v>41369</v>
      </c>
      <c r="T1345" t="s">
        <v>42679</v>
      </c>
      <c r="U1345" t="s">
        <v>44368</v>
      </c>
      <c r="V1345" t="s">
        <v>54410</v>
      </c>
      <c r="W1345" t="s">
        <v>38134</v>
      </c>
      <c r="X1345" t="s">
        <v>41252</v>
      </c>
    </row>
    <row r="1346" spans="1:24">
      <c r="A1346">
        <f>HYPERLINK("https://www.philgeps.gov.ph/GEPSNONPILOT/Tender/SplashBidNoticeAbstractUI.aspx?menuIndex=3&amp;refID=7077486&amp;Result=3","7077486")</f>
        <v>0</v>
      </c>
      <c r="B1346" t="s">
        <v>528</v>
      </c>
      <c r="C1346" t="s">
        <v>4668</v>
      </c>
      <c r="D1346" t="s">
        <v>16608</v>
      </c>
      <c r="E1346" t="s">
        <v>17980</v>
      </c>
      <c r="F1346" t="s">
        <v>28669</v>
      </c>
      <c r="G1346" t="s">
        <v>28676</v>
      </c>
      <c r="H1346" t="s">
        <v>9998</v>
      </c>
      <c r="I1346" t="s">
        <v>5213</v>
      </c>
      <c r="J1346" t="s">
        <v>29781</v>
      </c>
      <c r="K1346" t="s">
        <v>37208</v>
      </c>
      <c r="M1346" t="s">
        <v>38019</v>
      </c>
      <c r="N1346" t="s">
        <v>41249</v>
      </c>
      <c r="O1346" t="s">
        <v>41250</v>
      </c>
      <c r="P1346">
        <v>0</v>
      </c>
      <c r="Q1346">
        <v>1</v>
      </c>
      <c r="R1346" t="s">
        <v>41251</v>
      </c>
      <c r="S1346" t="s">
        <v>41369</v>
      </c>
      <c r="T1346" t="s">
        <v>42702</v>
      </c>
      <c r="U1346" t="s">
        <v>44121</v>
      </c>
      <c r="W1346" t="s">
        <v>38019</v>
      </c>
      <c r="X1346" t="s">
        <v>41252</v>
      </c>
    </row>
    <row r="1347" spans="1:24">
      <c r="A1347">
        <f>HYPERLINK("https://www.philgeps.gov.ph/GEPSNONPILOT/Tender/SplashBidNoticeAbstractUI.aspx?menuIndex=3&amp;refID=7077578&amp;Result=3","7077578")</f>
        <v>0</v>
      </c>
      <c r="B1347" t="s">
        <v>634</v>
      </c>
      <c r="C1347" t="s">
        <v>4669</v>
      </c>
      <c r="D1347" t="s">
        <v>16644</v>
      </c>
      <c r="E1347" t="s">
        <v>17981</v>
      </c>
      <c r="F1347" t="s">
        <v>28669</v>
      </c>
      <c r="G1347" t="s">
        <v>28677</v>
      </c>
      <c r="H1347" t="s">
        <v>9998</v>
      </c>
      <c r="I1347" t="s">
        <v>28694</v>
      </c>
      <c r="J1347" t="s">
        <v>28871</v>
      </c>
      <c r="K1347" t="s">
        <v>37243</v>
      </c>
      <c r="M1347" t="s">
        <v>38135</v>
      </c>
      <c r="N1347" t="s">
        <v>41249</v>
      </c>
      <c r="O1347" t="s">
        <v>41250</v>
      </c>
      <c r="P1347">
        <v>0</v>
      </c>
      <c r="Q1347">
        <v>0</v>
      </c>
      <c r="R1347" t="s">
        <v>41251</v>
      </c>
      <c r="S1347" t="s">
        <v>41369</v>
      </c>
      <c r="T1347" t="s">
        <v>42738</v>
      </c>
      <c r="U1347" t="s">
        <v>44369</v>
      </c>
      <c r="W1347" t="s">
        <v>38135</v>
      </c>
      <c r="X1347" t="s">
        <v>41252</v>
      </c>
    </row>
    <row r="1348" spans="1:24">
      <c r="A1348">
        <f>HYPERLINK("https://www.philgeps.gov.ph/GEPSNONPILOT/Tender/SplashBidNoticeAbstractUI.aspx?menuIndex=3&amp;refID=7077464&amp;Result=3","7077464")</f>
        <v>0</v>
      </c>
      <c r="B1348" t="s">
        <v>635</v>
      </c>
      <c r="C1348" t="s">
        <v>4670</v>
      </c>
      <c r="D1348" t="s">
        <v>16611</v>
      </c>
      <c r="E1348" t="s">
        <v>16888</v>
      </c>
      <c r="F1348" t="s">
        <v>28669</v>
      </c>
      <c r="G1348" t="s">
        <v>28678</v>
      </c>
      <c r="H1348" t="s">
        <v>9998</v>
      </c>
      <c r="I1348" t="s">
        <v>6128</v>
      </c>
      <c r="J1348" t="s">
        <v>29782</v>
      </c>
      <c r="K1348" t="s">
        <v>37204</v>
      </c>
      <c r="M1348" t="s">
        <v>38136</v>
      </c>
      <c r="N1348" t="s">
        <v>41249</v>
      </c>
      <c r="O1348" t="s">
        <v>41250</v>
      </c>
      <c r="P1348">
        <v>0</v>
      </c>
      <c r="Q1348">
        <v>1</v>
      </c>
      <c r="R1348" t="s">
        <v>41251</v>
      </c>
      <c r="S1348" t="s">
        <v>41369</v>
      </c>
      <c r="T1348" t="s">
        <v>42682</v>
      </c>
      <c r="U1348" t="s">
        <v>44370</v>
      </c>
      <c r="W1348" t="s">
        <v>38136</v>
      </c>
      <c r="X1348" t="s">
        <v>41252</v>
      </c>
    </row>
    <row r="1349" spans="1:24">
      <c r="A1349">
        <f>HYPERLINK("https://www.philgeps.gov.ph/GEPSNONPILOT/Tender/SplashBidNoticeAbstractUI.aspx?menuIndex=3&amp;refID=7077613&amp;Result=3","7077613")</f>
        <v>0</v>
      </c>
      <c r="B1349" t="s">
        <v>506</v>
      </c>
      <c r="C1349" t="s">
        <v>4671</v>
      </c>
      <c r="D1349" t="s">
        <v>16623</v>
      </c>
      <c r="E1349" t="s">
        <v>17982</v>
      </c>
      <c r="F1349" t="s">
        <v>28669</v>
      </c>
      <c r="G1349" t="s">
        <v>28678</v>
      </c>
      <c r="H1349" t="s">
        <v>9998</v>
      </c>
      <c r="I1349" t="s">
        <v>6128</v>
      </c>
      <c r="J1349" t="s">
        <v>29438</v>
      </c>
      <c r="K1349" t="s">
        <v>37209</v>
      </c>
      <c r="M1349" t="s">
        <v>37996</v>
      </c>
      <c r="N1349" t="s">
        <v>41249</v>
      </c>
      <c r="O1349" t="s">
        <v>41250</v>
      </c>
      <c r="P1349">
        <v>0</v>
      </c>
      <c r="Q1349">
        <v>2</v>
      </c>
      <c r="R1349" t="s">
        <v>41251</v>
      </c>
      <c r="S1349" t="s">
        <v>41369</v>
      </c>
      <c r="T1349" t="s">
        <v>42673</v>
      </c>
      <c r="U1349" t="s">
        <v>44022</v>
      </c>
      <c r="V1349" t="s">
        <v>54360</v>
      </c>
      <c r="W1349" t="s">
        <v>37996</v>
      </c>
      <c r="X1349" t="s">
        <v>41252</v>
      </c>
    </row>
    <row r="1350" spans="1:24">
      <c r="A1350">
        <f>HYPERLINK("https://www.philgeps.gov.ph/GEPSNONPILOT/Tender/SplashBidNoticeAbstractUI.aspx?menuIndex=3&amp;refID=7077668&amp;Result=3","7077668")</f>
        <v>0</v>
      </c>
      <c r="B1350" t="s">
        <v>587</v>
      </c>
      <c r="C1350" t="s">
        <v>4672</v>
      </c>
      <c r="D1350" t="s">
        <v>16608</v>
      </c>
      <c r="E1350" t="s">
        <v>17983</v>
      </c>
      <c r="F1350" t="s">
        <v>28669</v>
      </c>
      <c r="G1350" t="s">
        <v>28675</v>
      </c>
      <c r="H1350" t="s">
        <v>9998</v>
      </c>
      <c r="I1350" t="s">
        <v>28757</v>
      </c>
      <c r="J1350" t="s">
        <v>29002</v>
      </c>
      <c r="K1350" t="s">
        <v>37272</v>
      </c>
      <c r="M1350" t="s">
        <v>38086</v>
      </c>
      <c r="N1350" t="s">
        <v>41249</v>
      </c>
      <c r="O1350" t="s">
        <v>41250</v>
      </c>
      <c r="P1350">
        <v>0</v>
      </c>
      <c r="Q1350">
        <v>1</v>
      </c>
      <c r="R1350" t="s">
        <v>41251</v>
      </c>
      <c r="S1350" t="s">
        <v>41369</v>
      </c>
      <c r="T1350" t="s">
        <v>42661</v>
      </c>
      <c r="U1350" t="s">
        <v>44371</v>
      </c>
      <c r="W1350" t="s">
        <v>38086</v>
      </c>
      <c r="X1350" t="s">
        <v>41252</v>
      </c>
    </row>
    <row r="1351" spans="1:24">
      <c r="A1351">
        <f>HYPERLINK("https://www.philgeps.gov.ph/GEPSNONPILOT/Tender/SplashBidNoticeAbstractUI.aspx?menuIndex=3&amp;refID=7077687&amp;Result=3","7077687")</f>
        <v>0</v>
      </c>
      <c r="B1351" t="s">
        <v>533</v>
      </c>
      <c r="C1351" t="s">
        <v>4673</v>
      </c>
      <c r="D1351" t="s">
        <v>16641</v>
      </c>
      <c r="E1351" t="s">
        <v>17984</v>
      </c>
      <c r="F1351" t="s">
        <v>28669</v>
      </c>
      <c r="G1351" t="s">
        <v>28676</v>
      </c>
      <c r="H1351" t="s">
        <v>9998</v>
      </c>
      <c r="I1351" t="s">
        <v>28716</v>
      </c>
      <c r="J1351" t="s">
        <v>29187</v>
      </c>
      <c r="K1351" t="s">
        <v>37210</v>
      </c>
      <c r="M1351" t="s">
        <v>38024</v>
      </c>
      <c r="N1351" t="s">
        <v>41249</v>
      </c>
      <c r="O1351" t="s">
        <v>41250</v>
      </c>
      <c r="P1351">
        <v>0</v>
      </c>
      <c r="Q1351">
        <v>3</v>
      </c>
      <c r="R1351" t="s">
        <v>41251</v>
      </c>
      <c r="S1351" t="s">
        <v>41369</v>
      </c>
      <c r="T1351" t="s">
        <v>42673</v>
      </c>
      <c r="U1351" t="s">
        <v>44372</v>
      </c>
      <c r="W1351" t="s">
        <v>38024</v>
      </c>
      <c r="X1351" t="s">
        <v>41252</v>
      </c>
    </row>
    <row r="1352" spans="1:24">
      <c r="A1352">
        <f>HYPERLINK("https://www.philgeps.gov.ph/GEPSNONPILOT/Tender/SplashBidNoticeAbstractUI.aspx?menuIndex=3&amp;refID=7077692&amp;Result=3","7077692")</f>
        <v>0</v>
      </c>
      <c r="B1352" t="s">
        <v>618</v>
      </c>
      <c r="C1352" t="s">
        <v>4674</v>
      </c>
      <c r="D1352" t="s">
        <v>16654</v>
      </c>
      <c r="E1352" t="s">
        <v>17985</v>
      </c>
      <c r="F1352" t="s">
        <v>28669</v>
      </c>
      <c r="G1352" t="s">
        <v>28676</v>
      </c>
      <c r="H1352" t="s">
        <v>9998</v>
      </c>
      <c r="I1352" t="s">
        <v>7352</v>
      </c>
      <c r="J1352" t="s">
        <v>29783</v>
      </c>
      <c r="K1352" t="s">
        <v>37208</v>
      </c>
      <c r="M1352" t="s">
        <v>38118</v>
      </c>
      <c r="N1352" t="s">
        <v>41249</v>
      </c>
      <c r="O1352" t="s">
        <v>41250</v>
      </c>
      <c r="P1352">
        <v>0</v>
      </c>
      <c r="Q1352">
        <v>0</v>
      </c>
      <c r="R1352" t="s">
        <v>41251</v>
      </c>
      <c r="S1352" t="s">
        <v>41369</v>
      </c>
      <c r="T1352" t="s">
        <v>42675</v>
      </c>
      <c r="U1352" t="s">
        <v>44373</v>
      </c>
      <c r="W1352" t="s">
        <v>38118</v>
      </c>
      <c r="X1352" t="s">
        <v>41252</v>
      </c>
    </row>
    <row r="1353" spans="1:24">
      <c r="A1353">
        <f>HYPERLINK("https://www.philgeps.gov.ph/GEPSNONPILOT/Tender/SplashBidNoticeAbstractUI.aspx?menuIndex=3&amp;refID=7077691&amp;Result=3","7077691")</f>
        <v>0</v>
      </c>
      <c r="B1353" t="s">
        <v>613</v>
      </c>
      <c r="C1353" t="s">
        <v>4675</v>
      </c>
      <c r="D1353" t="s">
        <v>16643</v>
      </c>
      <c r="E1353" t="s">
        <v>17986</v>
      </c>
      <c r="F1353" t="s">
        <v>28669</v>
      </c>
      <c r="G1353" t="s">
        <v>28676</v>
      </c>
      <c r="H1353" t="s">
        <v>9998</v>
      </c>
      <c r="I1353" t="s">
        <v>28708</v>
      </c>
      <c r="J1353" t="s">
        <v>29784</v>
      </c>
      <c r="K1353" t="s">
        <v>37221</v>
      </c>
      <c r="M1353" t="s">
        <v>38113</v>
      </c>
      <c r="N1353" t="s">
        <v>41249</v>
      </c>
      <c r="O1353" t="s">
        <v>41250</v>
      </c>
      <c r="P1353">
        <v>0</v>
      </c>
      <c r="Q1353">
        <v>0</v>
      </c>
      <c r="R1353" t="s">
        <v>41251</v>
      </c>
      <c r="S1353" t="s">
        <v>41369</v>
      </c>
      <c r="T1353" t="s">
        <v>42711</v>
      </c>
      <c r="U1353" t="s">
        <v>44374</v>
      </c>
      <c r="W1353" t="s">
        <v>38113</v>
      </c>
      <c r="X1353" t="s">
        <v>41252</v>
      </c>
    </row>
    <row r="1354" spans="1:24">
      <c r="A1354">
        <f>HYPERLINK("https://www.philgeps.gov.ph/GEPSNONPILOT/Tender/SplashBidNoticeAbstractUI.aspx?menuIndex=3&amp;refID=7077690&amp;Result=3","7077690")</f>
        <v>0</v>
      </c>
      <c r="B1354" t="s">
        <v>569</v>
      </c>
      <c r="C1354" t="s">
        <v>4676</v>
      </c>
      <c r="D1354" t="s">
        <v>16634</v>
      </c>
      <c r="E1354" t="s">
        <v>17987</v>
      </c>
      <c r="F1354" t="s">
        <v>28669</v>
      </c>
      <c r="G1354" t="s">
        <v>28676</v>
      </c>
      <c r="H1354" t="s">
        <v>9998</v>
      </c>
      <c r="I1354" t="s">
        <v>28688</v>
      </c>
      <c r="J1354" t="s">
        <v>29785</v>
      </c>
      <c r="K1354" t="s">
        <v>37205</v>
      </c>
      <c r="M1354" t="s">
        <v>38067</v>
      </c>
      <c r="N1354" t="s">
        <v>41249</v>
      </c>
      <c r="O1354" t="s">
        <v>41250</v>
      </c>
      <c r="P1354">
        <v>0</v>
      </c>
      <c r="Q1354">
        <v>2</v>
      </c>
      <c r="R1354" t="s">
        <v>41251</v>
      </c>
      <c r="S1354" t="s">
        <v>41369</v>
      </c>
      <c r="T1354" t="s">
        <v>42690</v>
      </c>
      <c r="U1354" t="s">
        <v>44375</v>
      </c>
      <c r="V1354" t="s">
        <v>54411</v>
      </c>
      <c r="W1354" t="s">
        <v>38067</v>
      </c>
      <c r="X1354" t="s">
        <v>41252</v>
      </c>
    </row>
    <row r="1355" spans="1:24">
      <c r="A1355">
        <f>HYPERLINK("https://www.philgeps.gov.ph/GEPSNONPILOT/Tender/SplashBidNoticeAbstractUI.aspx?menuIndex=3&amp;refID=7077689&amp;Result=3","7077689")</f>
        <v>0</v>
      </c>
      <c r="B1355" t="s">
        <v>636</v>
      </c>
      <c r="C1355" t="s">
        <v>4677</v>
      </c>
      <c r="D1355" t="s">
        <v>16648</v>
      </c>
      <c r="E1355" t="s">
        <v>17988</v>
      </c>
      <c r="F1355" t="s">
        <v>28669</v>
      </c>
      <c r="G1355" t="s">
        <v>28676</v>
      </c>
      <c r="H1355" t="s">
        <v>9998</v>
      </c>
      <c r="I1355" t="s">
        <v>28690</v>
      </c>
      <c r="J1355" t="s">
        <v>29786</v>
      </c>
      <c r="K1355" t="s">
        <v>37210</v>
      </c>
      <c r="M1355" t="s">
        <v>38137</v>
      </c>
      <c r="N1355" t="s">
        <v>41249</v>
      </c>
      <c r="O1355" t="s">
        <v>41250</v>
      </c>
      <c r="P1355">
        <v>0</v>
      </c>
      <c r="Q1355">
        <v>1</v>
      </c>
      <c r="R1355" t="s">
        <v>41251</v>
      </c>
      <c r="S1355" t="s">
        <v>41369</v>
      </c>
      <c r="T1355" t="s">
        <v>42673</v>
      </c>
      <c r="U1355" t="s">
        <v>44376</v>
      </c>
      <c r="W1355" t="s">
        <v>38137</v>
      </c>
      <c r="X1355" t="s">
        <v>41252</v>
      </c>
    </row>
    <row r="1356" spans="1:24">
      <c r="A1356">
        <f>HYPERLINK("https://www.philgeps.gov.ph/GEPSNONPILOT/Tender/SplashBidNoticeAbstractUI.aspx?menuIndex=3&amp;refID=7077686&amp;Result=3","7077686")</f>
        <v>0</v>
      </c>
      <c r="B1356" t="s">
        <v>259</v>
      </c>
      <c r="C1356" t="s">
        <v>4678</v>
      </c>
      <c r="D1356" t="s">
        <v>16615</v>
      </c>
      <c r="E1356" t="s">
        <v>17989</v>
      </c>
      <c r="F1356" t="s">
        <v>28669</v>
      </c>
      <c r="G1356" t="s">
        <v>28676</v>
      </c>
      <c r="H1356" t="s">
        <v>9998</v>
      </c>
      <c r="I1356" t="s">
        <v>3718</v>
      </c>
      <c r="J1356" t="s">
        <v>29787</v>
      </c>
      <c r="K1356" t="s">
        <v>37205</v>
      </c>
      <c r="M1356" t="s">
        <v>37737</v>
      </c>
      <c r="N1356" t="s">
        <v>41249</v>
      </c>
      <c r="O1356" t="s">
        <v>41250</v>
      </c>
      <c r="P1356">
        <v>0</v>
      </c>
      <c r="Q1356">
        <v>0</v>
      </c>
      <c r="R1356" t="s">
        <v>41251</v>
      </c>
      <c r="S1356" t="s">
        <v>41369</v>
      </c>
      <c r="T1356" t="s">
        <v>42702</v>
      </c>
      <c r="U1356" t="s">
        <v>44377</v>
      </c>
      <c r="W1356" t="s">
        <v>37737</v>
      </c>
      <c r="X1356" t="s">
        <v>41252</v>
      </c>
    </row>
    <row r="1357" spans="1:24">
      <c r="A1357">
        <f>HYPERLINK("https://www.philgeps.gov.ph/GEPSNONPILOT/Tender/SplashBidNoticeAbstractUI.aspx?menuIndex=3&amp;refID=7077684&amp;Result=3","7077684")</f>
        <v>0</v>
      </c>
      <c r="B1357" t="s">
        <v>637</v>
      </c>
      <c r="C1357" t="s">
        <v>4679</v>
      </c>
      <c r="D1357" t="s">
        <v>16647</v>
      </c>
      <c r="E1357" t="s">
        <v>17990</v>
      </c>
      <c r="F1357" t="s">
        <v>28669</v>
      </c>
      <c r="G1357" t="s">
        <v>28676</v>
      </c>
      <c r="H1357" t="s">
        <v>9998</v>
      </c>
      <c r="I1357" t="s">
        <v>28721</v>
      </c>
      <c r="J1357" t="s">
        <v>29404</v>
      </c>
      <c r="K1357" t="s">
        <v>37213</v>
      </c>
      <c r="M1357" t="s">
        <v>38138</v>
      </c>
      <c r="N1357" t="s">
        <v>41249</v>
      </c>
      <c r="O1357" t="s">
        <v>41250</v>
      </c>
      <c r="P1357">
        <v>0</v>
      </c>
      <c r="Q1357">
        <v>0</v>
      </c>
      <c r="R1357" t="s">
        <v>41251</v>
      </c>
      <c r="S1357" t="s">
        <v>41369</v>
      </c>
      <c r="T1357" t="s">
        <v>42716</v>
      </c>
      <c r="U1357" t="s">
        <v>44378</v>
      </c>
      <c r="W1357" t="s">
        <v>38138</v>
      </c>
      <c r="X1357" t="s">
        <v>41252</v>
      </c>
    </row>
    <row r="1358" spans="1:24">
      <c r="A1358">
        <f>HYPERLINK("https://www.philgeps.gov.ph/GEPSNONPILOT/Tender/SplashBidNoticeAbstractUI.aspx?menuIndex=3&amp;refID=7077519&amp;Result=3","7077519")</f>
        <v>0</v>
      </c>
      <c r="B1358" t="s">
        <v>512</v>
      </c>
      <c r="C1358" t="s">
        <v>4680</v>
      </c>
      <c r="D1358" t="s">
        <v>16608</v>
      </c>
      <c r="E1358" t="s">
        <v>17991</v>
      </c>
      <c r="F1358" t="s">
        <v>28669</v>
      </c>
      <c r="G1358" t="s">
        <v>28676</v>
      </c>
      <c r="H1358" t="s">
        <v>9998</v>
      </c>
      <c r="I1358" t="s">
        <v>28770</v>
      </c>
      <c r="J1358" t="s">
        <v>28878</v>
      </c>
      <c r="K1358" t="s">
        <v>37209</v>
      </c>
      <c r="M1358" t="s">
        <v>38002</v>
      </c>
      <c r="N1358" t="s">
        <v>41249</v>
      </c>
      <c r="O1358" t="s">
        <v>41250</v>
      </c>
      <c r="P1358">
        <v>0</v>
      </c>
      <c r="Q1358">
        <v>3</v>
      </c>
      <c r="R1358" t="s">
        <v>41251</v>
      </c>
      <c r="S1358" t="s">
        <v>41369</v>
      </c>
      <c r="T1358" t="s">
        <v>42706</v>
      </c>
      <c r="U1358" t="s">
        <v>44379</v>
      </c>
      <c r="W1358" t="s">
        <v>38002</v>
      </c>
      <c r="X1358" t="s">
        <v>41252</v>
      </c>
    </row>
    <row r="1359" spans="1:24">
      <c r="A1359">
        <f>HYPERLINK("https://www.philgeps.gov.ph/GEPSNONPILOT/Tender/SplashBidNoticeAbstractUI.aspx?menuIndex=3&amp;refID=7077680&amp;Result=3","7077680")</f>
        <v>0</v>
      </c>
      <c r="B1359" t="s">
        <v>439</v>
      </c>
      <c r="C1359" t="s">
        <v>4681</v>
      </c>
      <c r="D1359" t="s">
        <v>16608</v>
      </c>
      <c r="E1359" t="s">
        <v>17992</v>
      </c>
      <c r="F1359" t="s">
        <v>28669</v>
      </c>
      <c r="G1359" t="s">
        <v>28676</v>
      </c>
      <c r="H1359" t="s">
        <v>9998</v>
      </c>
      <c r="I1359" t="s">
        <v>7352</v>
      </c>
      <c r="J1359" t="s">
        <v>29788</v>
      </c>
      <c r="K1359" t="s">
        <v>37220</v>
      </c>
      <c r="M1359" t="s">
        <v>37924</v>
      </c>
      <c r="N1359" t="s">
        <v>41249</v>
      </c>
      <c r="O1359" t="s">
        <v>41250</v>
      </c>
      <c r="P1359">
        <v>0</v>
      </c>
      <c r="Q1359">
        <v>0</v>
      </c>
      <c r="R1359" t="s">
        <v>41251</v>
      </c>
      <c r="S1359" t="s">
        <v>41369</v>
      </c>
      <c r="T1359" t="s">
        <v>42690</v>
      </c>
      <c r="U1359" t="s">
        <v>44215</v>
      </c>
      <c r="W1359" t="s">
        <v>37924</v>
      </c>
      <c r="X1359" t="s">
        <v>41252</v>
      </c>
    </row>
    <row r="1360" spans="1:24">
      <c r="A1360">
        <f>HYPERLINK("https://www.philgeps.gov.ph/GEPSNONPILOT/Tender/SplashBidNoticeAbstractUI.aspx?menuIndex=3&amp;refID=7077493&amp;Result=3","7077493")</f>
        <v>0</v>
      </c>
      <c r="B1360" t="s">
        <v>571</v>
      </c>
      <c r="C1360" t="s">
        <v>4682</v>
      </c>
      <c r="D1360" t="s">
        <v>16661</v>
      </c>
      <c r="E1360" t="s">
        <v>17993</v>
      </c>
      <c r="F1360" t="s">
        <v>28669</v>
      </c>
      <c r="G1360" t="s">
        <v>28675</v>
      </c>
      <c r="H1360" t="s">
        <v>9998</v>
      </c>
      <c r="I1360" t="s">
        <v>7352</v>
      </c>
      <c r="J1360" t="s">
        <v>29789</v>
      </c>
      <c r="K1360" t="s">
        <v>37204</v>
      </c>
      <c r="M1360" t="s">
        <v>38070</v>
      </c>
      <c r="N1360" t="s">
        <v>41249</v>
      </c>
      <c r="O1360" t="s">
        <v>41250</v>
      </c>
      <c r="P1360">
        <v>0</v>
      </c>
      <c r="Q1360">
        <v>0</v>
      </c>
      <c r="R1360" t="s">
        <v>41251</v>
      </c>
      <c r="S1360" t="s">
        <v>41369</v>
      </c>
      <c r="T1360" t="s">
        <v>42676</v>
      </c>
      <c r="U1360" t="s">
        <v>44380</v>
      </c>
      <c r="W1360" t="s">
        <v>38070</v>
      </c>
      <c r="X1360" t="s">
        <v>41252</v>
      </c>
    </row>
    <row r="1361" spans="1:24">
      <c r="A1361">
        <f>HYPERLINK("https://www.philgeps.gov.ph/GEPSNONPILOT/Tender/SplashBidNoticeAbstractUI.aspx?menuIndex=3&amp;refID=7077678&amp;Result=3","7077678")</f>
        <v>0</v>
      </c>
      <c r="B1361" t="s">
        <v>636</v>
      </c>
      <c r="C1361" t="s">
        <v>4683</v>
      </c>
      <c r="D1361" t="s">
        <v>16648</v>
      </c>
      <c r="E1361" t="s">
        <v>17994</v>
      </c>
      <c r="F1361" t="s">
        <v>28669</v>
      </c>
      <c r="G1361" t="s">
        <v>28676</v>
      </c>
      <c r="H1361" t="s">
        <v>9998</v>
      </c>
      <c r="I1361" t="s">
        <v>28699</v>
      </c>
      <c r="J1361" t="s">
        <v>29208</v>
      </c>
      <c r="K1361" t="s">
        <v>37210</v>
      </c>
      <c r="M1361" t="s">
        <v>38137</v>
      </c>
      <c r="N1361" t="s">
        <v>41249</v>
      </c>
      <c r="O1361" t="s">
        <v>41250</v>
      </c>
      <c r="P1361">
        <v>0</v>
      </c>
      <c r="Q1361">
        <v>0</v>
      </c>
      <c r="R1361" t="s">
        <v>41251</v>
      </c>
      <c r="S1361" t="s">
        <v>41369</v>
      </c>
      <c r="T1361" t="s">
        <v>42673</v>
      </c>
      <c r="U1361" t="s">
        <v>44381</v>
      </c>
      <c r="W1361" t="s">
        <v>38137</v>
      </c>
      <c r="X1361" t="s">
        <v>41252</v>
      </c>
    </row>
    <row r="1362" spans="1:24">
      <c r="A1362">
        <f>HYPERLINK("https://www.philgeps.gov.ph/GEPSNONPILOT/Tender/SplashBidNoticeAbstractUI.aspx?menuIndex=3&amp;refID=7077679&amp;Result=3","7077679")</f>
        <v>0</v>
      </c>
      <c r="B1362" t="s">
        <v>441</v>
      </c>
      <c r="C1362" t="s">
        <v>4684</v>
      </c>
      <c r="D1362" t="s">
        <v>16608</v>
      </c>
      <c r="E1362" t="s">
        <v>17995</v>
      </c>
      <c r="F1362" t="s">
        <v>28669</v>
      </c>
      <c r="G1362" t="s">
        <v>28675</v>
      </c>
      <c r="H1362" t="s">
        <v>9998</v>
      </c>
      <c r="I1362" t="s">
        <v>11593</v>
      </c>
      <c r="J1362" t="s">
        <v>28924</v>
      </c>
      <c r="K1362" t="s">
        <v>37209</v>
      </c>
      <c r="M1362" t="s">
        <v>37926</v>
      </c>
      <c r="N1362" t="s">
        <v>41249</v>
      </c>
      <c r="O1362" t="s">
        <v>41250</v>
      </c>
      <c r="P1362">
        <v>0</v>
      </c>
      <c r="Q1362">
        <v>9</v>
      </c>
      <c r="R1362" t="s">
        <v>41251</v>
      </c>
      <c r="S1362" t="s">
        <v>41369</v>
      </c>
      <c r="T1362" t="s">
        <v>42672</v>
      </c>
      <c r="U1362" t="s">
        <v>44382</v>
      </c>
      <c r="V1362" t="s">
        <v>54412</v>
      </c>
      <c r="W1362" t="s">
        <v>37926</v>
      </c>
      <c r="X1362" t="s">
        <v>41252</v>
      </c>
    </row>
    <row r="1363" spans="1:24">
      <c r="A1363">
        <f>HYPERLINK("https://www.philgeps.gov.ph/GEPSNONPILOT/Tender/SplashBidNoticeAbstractUI.aspx?menuIndex=3&amp;refID=7077673&amp;Result=3","7077673")</f>
        <v>0</v>
      </c>
      <c r="B1363" t="s">
        <v>638</v>
      </c>
      <c r="C1363" t="s">
        <v>4685</v>
      </c>
      <c r="D1363" t="s">
        <v>16664</v>
      </c>
      <c r="E1363" t="s">
        <v>17996</v>
      </c>
      <c r="F1363" t="s">
        <v>28669</v>
      </c>
      <c r="G1363" t="s">
        <v>28675</v>
      </c>
      <c r="H1363" t="s">
        <v>28686</v>
      </c>
      <c r="I1363" t="s">
        <v>28689</v>
      </c>
      <c r="J1363" t="s">
        <v>29053</v>
      </c>
      <c r="K1363" t="s">
        <v>37215</v>
      </c>
      <c r="M1363" t="s">
        <v>38139</v>
      </c>
      <c r="N1363" t="s">
        <v>41249</v>
      </c>
      <c r="O1363" t="s">
        <v>41250</v>
      </c>
      <c r="P1363">
        <v>0</v>
      </c>
      <c r="Q1363">
        <v>0</v>
      </c>
      <c r="R1363" t="s">
        <v>41251</v>
      </c>
      <c r="S1363" t="s">
        <v>41369</v>
      </c>
      <c r="T1363" t="s">
        <v>42722</v>
      </c>
      <c r="U1363" t="s">
        <v>44383</v>
      </c>
      <c r="W1363" t="s">
        <v>38139</v>
      </c>
      <c r="X1363" t="s">
        <v>41252</v>
      </c>
    </row>
    <row r="1364" spans="1:24">
      <c r="A1364">
        <f>HYPERLINK("https://www.philgeps.gov.ph/GEPSNONPILOT/Tender/SplashBidNoticeAbstractUI.aspx?menuIndex=3&amp;refID=7077685&amp;Result=3","7077685")</f>
        <v>0</v>
      </c>
      <c r="B1364" t="s">
        <v>639</v>
      </c>
      <c r="C1364" t="s">
        <v>4686</v>
      </c>
      <c r="D1364" t="s">
        <v>16618</v>
      </c>
      <c r="E1364" t="s">
        <v>17997</v>
      </c>
      <c r="F1364" t="s">
        <v>28671</v>
      </c>
      <c r="G1364" t="s">
        <v>28677</v>
      </c>
      <c r="H1364" t="s">
        <v>9998</v>
      </c>
      <c r="I1364" t="s">
        <v>28690</v>
      </c>
      <c r="J1364" t="s">
        <v>29790</v>
      </c>
      <c r="K1364" t="s">
        <v>37234</v>
      </c>
      <c r="M1364" t="s">
        <v>38140</v>
      </c>
      <c r="N1364" t="s">
        <v>41249</v>
      </c>
      <c r="O1364" t="s">
        <v>41250</v>
      </c>
      <c r="P1364">
        <v>0</v>
      </c>
      <c r="Q1364">
        <v>0</v>
      </c>
      <c r="R1364" t="s">
        <v>41251</v>
      </c>
      <c r="S1364" t="s">
        <v>41369</v>
      </c>
      <c r="T1364" t="s">
        <v>42694</v>
      </c>
      <c r="U1364" t="s">
        <v>44384</v>
      </c>
      <c r="W1364" t="s">
        <v>38140</v>
      </c>
      <c r="X1364" t="s">
        <v>41252</v>
      </c>
    </row>
    <row r="1365" spans="1:24">
      <c r="A1365">
        <f>HYPERLINK("https://www.philgeps.gov.ph/GEPSNONPILOT/Tender/SplashBidNoticeAbstractUI.aspx?menuIndex=3&amp;refID=7077485&amp;Result=3","7077485")</f>
        <v>0</v>
      </c>
      <c r="B1365" t="s">
        <v>569</v>
      </c>
      <c r="C1365" t="s">
        <v>4687</v>
      </c>
      <c r="D1365" t="s">
        <v>16634</v>
      </c>
      <c r="E1365" t="s">
        <v>17998</v>
      </c>
      <c r="F1365" t="s">
        <v>28669</v>
      </c>
      <c r="G1365" t="s">
        <v>28675</v>
      </c>
      <c r="H1365" t="s">
        <v>9998</v>
      </c>
      <c r="I1365" t="s">
        <v>28756</v>
      </c>
      <c r="J1365" t="s">
        <v>29685</v>
      </c>
      <c r="K1365" t="s">
        <v>37282</v>
      </c>
      <c r="M1365" t="s">
        <v>38067</v>
      </c>
      <c r="N1365" t="s">
        <v>41249</v>
      </c>
      <c r="O1365" t="s">
        <v>41250</v>
      </c>
      <c r="P1365">
        <v>0</v>
      </c>
      <c r="Q1365">
        <v>0</v>
      </c>
      <c r="R1365" t="s">
        <v>41251</v>
      </c>
      <c r="S1365" t="s">
        <v>41369</v>
      </c>
      <c r="T1365" t="s">
        <v>42690</v>
      </c>
      <c r="U1365" t="s">
        <v>44242</v>
      </c>
      <c r="V1365" t="s">
        <v>54413</v>
      </c>
      <c r="W1365" t="s">
        <v>38067</v>
      </c>
      <c r="X1365" t="s">
        <v>41252</v>
      </c>
    </row>
    <row r="1366" spans="1:24">
      <c r="A1366">
        <f>HYPERLINK("https://www.philgeps.gov.ph/GEPSNONPILOT/Tender/SplashBidNoticeAbstractUI.aspx?menuIndex=3&amp;refID=7077671&amp;Result=3","7077671")</f>
        <v>0</v>
      </c>
      <c r="B1366" t="s">
        <v>122</v>
      </c>
      <c r="C1366" t="s">
        <v>4688</v>
      </c>
      <c r="D1366" t="s">
        <v>16659</v>
      </c>
      <c r="E1366" t="s">
        <v>17999</v>
      </c>
      <c r="F1366" t="s">
        <v>28669</v>
      </c>
      <c r="G1366" t="s">
        <v>28676</v>
      </c>
      <c r="H1366" t="s">
        <v>28684</v>
      </c>
      <c r="I1366" t="s">
        <v>6606</v>
      </c>
      <c r="J1366" t="s">
        <v>29791</v>
      </c>
      <c r="K1366" t="s">
        <v>37205</v>
      </c>
      <c r="M1366" t="s">
        <v>37598</v>
      </c>
      <c r="N1366" t="s">
        <v>41249</v>
      </c>
      <c r="O1366" t="s">
        <v>41250</v>
      </c>
      <c r="P1366">
        <v>0</v>
      </c>
      <c r="Q1366">
        <v>0</v>
      </c>
      <c r="R1366" t="s">
        <v>41251</v>
      </c>
      <c r="S1366" t="s">
        <v>41369</v>
      </c>
      <c r="T1366" t="s">
        <v>42717</v>
      </c>
      <c r="U1366" t="s">
        <v>44385</v>
      </c>
      <c r="W1366" t="s">
        <v>37598</v>
      </c>
      <c r="X1366" t="s">
        <v>41252</v>
      </c>
    </row>
    <row r="1367" spans="1:24">
      <c r="A1367">
        <f>HYPERLINK("https://www.philgeps.gov.ph/GEPSNONPILOT/Tender/SplashBidNoticeAbstractUI.aspx?menuIndex=3&amp;refID=7077670&amp;Result=3","7077670")</f>
        <v>0</v>
      </c>
      <c r="B1367" t="s">
        <v>640</v>
      </c>
      <c r="C1367" t="s">
        <v>4689</v>
      </c>
      <c r="D1367" t="s">
        <v>16608</v>
      </c>
      <c r="E1367" t="s">
        <v>18000</v>
      </c>
      <c r="F1367" t="s">
        <v>28669</v>
      </c>
      <c r="G1367" t="s">
        <v>28675</v>
      </c>
      <c r="H1367" t="s">
        <v>9998</v>
      </c>
      <c r="I1367" t="s">
        <v>28713</v>
      </c>
      <c r="J1367" t="s">
        <v>29792</v>
      </c>
      <c r="K1367" t="s">
        <v>37220</v>
      </c>
      <c r="M1367" t="s">
        <v>38141</v>
      </c>
      <c r="N1367" t="s">
        <v>41249</v>
      </c>
      <c r="O1367" t="s">
        <v>41250</v>
      </c>
      <c r="P1367">
        <v>0</v>
      </c>
      <c r="Q1367">
        <v>5</v>
      </c>
      <c r="R1367" t="s">
        <v>41251</v>
      </c>
      <c r="S1367" t="s">
        <v>41369</v>
      </c>
      <c r="T1367" t="s">
        <v>42715</v>
      </c>
      <c r="U1367" t="s">
        <v>44386</v>
      </c>
      <c r="W1367" t="s">
        <v>38141</v>
      </c>
      <c r="X1367" t="s">
        <v>41252</v>
      </c>
    </row>
    <row r="1368" spans="1:24">
      <c r="A1368">
        <f>HYPERLINK("https://www.philgeps.gov.ph/GEPSNONPILOT/Tender/SplashBidNoticeAbstractUI.aspx?menuIndex=3&amp;refID=7077681&amp;Result=3","7077681")</f>
        <v>0</v>
      </c>
      <c r="B1368" t="s">
        <v>193</v>
      </c>
      <c r="C1368" t="s">
        <v>3747</v>
      </c>
      <c r="D1368" t="s">
        <v>16658</v>
      </c>
      <c r="E1368" t="s">
        <v>18001</v>
      </c>
      <c r="F1368" t="s">
        <v>28669</v>
      </c>
      <c r="G1368" t="s">
        <v>28677</v>
      </c>
      <c r="H1368" t="s">
        <v>9998</v>
      </c>
      <c r="I1368" t="s">
        <v>6128</v>
      </c>
      <c r="J1368" t="s">
        <v>29793</v>
      </c>
      <c r="K1368" t="s">
        <v>37204</v>
      </c>
      <c r="M1368" t="s">
        <v>37671</v>
      </c>
      <c r="N1368" t="s">
        <v>41249</v>
      </c>
      <c r="O1368" t="s">
        <v>41250</v>
      </c>
      <c r="P1368">
        <v>0</v>
      </c>
      <c r="Q1368">
        <v>0</v>
      </c>
      <c r="R1368" t="s">
        <v>41251</v>
      </c>
      <c r="S1368" t="s">
        <v>41369</v>
      </c>
      <c r="T1368" t="s">
        <v>42673</v>
      </c>
      <c r="U1368" t="s">
        <v>44387</v>
      </c>
      <c r="W1368" t="s">
        <v>37671</v>
      </c>
      <c r="X1368" t="s">
        <v>41252</v>
      </c>
    </row>
    <row r="1369" spans="1:24">
      <c r="A1369">
        <f>HYPERLINK("https://www.philgeps.gov.ph/GEPSNONPILOT/Tender/SplashBidNoticeAbstractUI.aspx?menuIndex=3&amp;refID=7077709&amp;Result=3","7077709")</f>
        <v>0</v>
      </c>
      <c r="B1369" t="s">
        <v>439</v>
      </c>
      <c r="C1369" t="s">
        <v>4690</v>
      </c>
      <c r="D1369" t="s">
        <v>16608</v>
      </c>
      <c r="E1369" t="s">
        <v>18002</v>
      </c>
      <c r="F1369" t="s">
        <v>28669</v>
      </c>
      <c r="G1369" t="s">
        <v>28676</v>
      </c>
      <c r="H1369" t="s">
        <v>9998</v>
      </c>
      <c r="I1369" t="s">
        <v>7352</v>
      </c>
      <c r="J1369" t="s">
        <v>29794</v>
      </c>
      <c r="K1369" t="s">
        <v>37220</v>
      </c>
      <c r="M1369" t="s">
        <v>37924</v>
      </c>
      <c r="N1369" t="s">
        <v>41249</v>
      </c>
      <c r="O1369" t="s">
        <v>41250</v>
      </c>
      <c r="P1369">
        <v>0</v>
      </c>
      <c r="Q1369">
        <v>0</v>
      </c>
      <c r="R1369" t="s">
        <v>41251</v>
      </c>
      <c r="S1369" t="s">
        <v>41369</v>
      </c>
      <c r="T1369" t="s">
        <v>42690</v>
      </c>
      <c r="U1369" t="s">
        <v>44215</v>
      </c>
      <c r="W1369" t="s">
        <v>37924</v>
      </c>
      <c r="X1369" t="s">
        <v>41252</v>
      </c>
    </row>
    <row r="1370" spans="1:24">
      <c r="A1370">
        <f>HYPERLINK("https://www.philgeps.gov.ph/GEPSNONPILOT/Tender/SplashBidNoticeAbstractUI.aspx?menuIndex=3&amp;refID=7077721&amp;Result=3","7077721")</f>
        <v>0</v>
      </c>
      <c r="B1370" t="s">
        <v>570</v>
      </c>
      <c r="C1370" t="s">
        <v>4691</v>
      </c>
      <c r="D1370" t="s">
        <v>16687</v>
      </c>
      <c r="E1370" t="s">
        <v>18003</v>
      </c>
      <c r="F1370" t="s">
        <v>28669</v>
      </c>
      <c r="G1370" t="s">
        <v>28675</v>
      </c>
      <c r="H1370" t="s">
        <v>9998</v>
      </c>
      <c r="I1370" t="s">
        <v>28726</v>
      </c>
      <c r="J1370" t="s">
        <v>28877</v>
      </c>
      <c r="K1370" t="s">
        <v>37227</v>
      </c>
      <c r="M1370" t="s">
        <v>38068</v>
      </c>
      <c r="N1370" t="s">
        <v>41249</v>
      </c>
      <c r="O1370" t="s">
        <v>41250</v>
      </c>
      <c r="P1370">
        <v>0</v>
      </c>
      <c r="Q1370">
        <v>1</v>
      </c>
      <c r="R1370" t="s">
        <v>41251</v>
      </c>
      <c r="S1370" t="s">
        <v>41369</v>
      </c>
      <c r="T1370" t="s">
        <v>42672</v>
      </c>
      <c r="U1370" t="s">
        <v>44388</v>
      </c>
      <c r="W1370" t="s">
        <v>38068</v>
      </c>
      <c r="X1370" t="s">
        <v>41252</v>
      </c>
    </row>
    <row r="1371" spans="1:24">
      <c r="A1371">
        <f>HYPERLINK("https://www.philgeps.gov.ph/GEPSNONPILOT/Tender/SplashBidNoticeAbstractUI.aspx?menuIndex=3&amp;refID=7077720&amp;Result=3","7077720")</f>
        <v>0</v>
      </c>
      <c r="B1371" t="s">
        <v>193</v>
      </c>
      <c r="C1371" t="s">
        <v>4692</v>
      </c>
      <c r="D1371" t="s">
        <v>16658</v>
      </c>
      <c r="E1371" t="s">
        <v>18004</v>
      </c>
      <c r="F1371" t="s">
        <v>28669</v>
      </c>
      <c r="G1371" t="s">
        <v>28676</v>
      </c>
      <c r="H1371" t="s">
        <v>9998</v>
      </c>
      <c r="I1371" t="s">
        <v>28704</v>
      </c>
      <c r="J1371" t="s">
        <v>28979</v>
      </c>
      <c r="K1371" t="s">
        <v>37204</v>
      </c>
      <c r="M1371" t="s">
        <v>37671</v>
      </c>
      <c r="N1371" t="s">
        <v>41249</v>
      </c>
      <c r="O1371" t="s">
        <v>41250</v>
      </c>
      <c r="P1371">
        <v>0</v>
      </c>
      <c r="Q1371">
        <v>0</v>
      </c>
      <c r="R1371" t="s">
        <v>41251</v>
      </c>
      <c r="S1371" t="s">
        <v>41369</v>
      </c>
      <c r="T1371" t="s">
        <v>42673</v>
      </c>
      <c r="U1371" t="s">
        <v>44389</v>
      </c>
      <c r="W1371" t="s">
        <v>37671</v>
      </c>
      <c r="X1371" t="s">
        <v>41252</v>
      </c>
    </row>
    <row r="1372" spans="1:24">
      <c r="A1372">
        <f>HYPERLINK("https://www.philgeps.gov.ph/GEPSNONPILOT/Tender/SplashBidNoticeAbstractUI.aspx?menuIndex=3&amp;refID=7077719&amp;Result=3","7077719")</f>
        <v>0</v>
      </c>
      <c r="B1372" t="s">
        <v>618</v>
      </c>
      <c r="C1372" t="s">
        <v>4693</v>
      </c>
      <c r="D1372" t="s">
        <v>16654</v>
      </c>
      <c r="E1372" t="s">
        <v>18005</v>
      </c>
      <c r="F1372" t="s">
        <v>28669</v>
      </c>
      <c r="G1372" t="s">
        <v>28676</v>
      </c>
      <c r="H1372" t="s">
        <v>9998</v>
      </c>
      <c r="I1372" t="s">
        <v>7352</v>
      </c>
      <c r="J1372" t="s">
        <v>29795</v>
      </c>
      <c r="K1372" t="s">
        <v>37208</v>
      </c>
      <c r="M1372" t="s">
        <v>38118</v>
      </c>
      <c r="N1372" t="s">
        <v>41249</v>
      </c>
      <c r="O1372" t="s">
        <v>41250</v>
      </c>
      <c r="P1372">
        <v>0</v>
      </c>
      <c r="Q1372">
        <v>0</v>
      </c>
      <c r="R1372" t="s">
        <v>41251</v>
      </c>
      <c r="S1372" t="s">
        <v>41369</v>
      </c>
      <c r="T1372" t="s">
        <v>42675</v>
      </c>
      <c r="U1372" t="s">
        <v>44390</v>
      </c>
      <c r="W1372" t="s">
        <v>38118</v>
      </c>
      <c r="X1372" t="s">
        <v>41252</v>
      </c>
    </row>
    <row r="1373" spans="1:24">
      <c r="A1373">
        <f>HYPERLINK("https://www.philgeps.gov.ph/GEPSNONPILOT/Tender/SplashBidNoticeAbstractUI.aspx?menuIndex=3&amp;refID=7077484&amp;Result=3","7077484")</f>
        <v>0</v>
      </c>
      <c r="B1373" t="s">
        <v>641</v>
      </c>
      <c r="C1373" t="s">
        <v>4694</v>
      </c>
      <c r="D1373" t="s">
        <v>16622</v>
      </c>
      <c r="E1373" t="s">
        <v>18006</v>
      </c>
      <c r="F1373" t="s">
        <v>28669</v>
      </c>
      <c r="G1373" t="s">
        <v>28676</v>
      </c>
      <c r="H1373" t="s">
        <v>9998</v>
      </c>
      <c r="I1373" t="s">
        <v>3718</v>
      </c>
      <c r="J1373" t="s">
        <v>29796</v>
      </c>
      <c r="K1373" t="s">
        <v>37209</v>
      </c>
      <c r="M1373" t="s">
        <v>38142</v>
      </c>
      <c r="N1373" t="s">
        <v>41249</v>
      </c>
      <c r="O1373" t="s">
        <v>41250</v>
      </c>
      <c r="P1373">
        <v>0</v>
      </c>
      <c r="Q1373">
        <v>1</v>
      </c>
      <c r="R1373" t="s">
        <v>41251</v>
      </c>
      <c r="S1373" t="s">
        <v>41369</v>
      </c>
      <c r="T1373" t="s">
        <v>42726</v>
      </c>
      <c r="U1373" t="s">
        <v>44391</v>
      </c>
      <c r="W1373" t="s">
        <v>38142</v>
      </c>
      <c r="X1373" t="s">
        <v>41252</v>
      </c>
    </row>
    <row r="1374" spans="1:24">
      <c r="A1374">
        <f>HYPERLINK("https://www.philgeps.gov.ph/GEPSNONPILOT/Tender/SplashBidNoticeAbstractUI.aspx?menuIndex=3&amp;refID=7077717&amp;Result=3","7077717")</f>
        <v>0</v>
      </c>
      <c r="B1374" t="s">
        <v>639</v>
      </c>
      <c r="C1374" t="s">
        <v>4695</v>
      </c>
      <c r="D1374" t="s">
        <v>16618</v>
      </c>
      <c r="E1374" t="s">
        <v>18007</v>
      </c>
      <c r="F1374" t="s">
        <v>28671</v>
      </c>
      <c r="G1374" t="s">
        <v>28677</v>
      </c>
      <c r="H1374" t="s">
        <v>9998</v>
      </c>
      <c r="I1374" t="s">
        <v>5213</v>
      </c>
      <c r="J1374" t="s">
        <v>29797</v>
      </c>
      <c r="K1374" t="s">
        <v>37234</v>
      </c>
      <c r="M1374" t="s">
        <v>38140</v>
      </c>
      <c r="N1374" t="s">
        <v>41249</v>
      </c>
      <c r="O1374" t="s">
        <v>41250</v>
      </c>
      <c r="P1374">
        <v>0</v>
      </c>
      <c r="Q1374">
        <v>0</v>
      </c>
      <c r="R1374" t="s">
        <v>41251</v>
      </c>
      <c r="S1374" t="s">
        <v>41369</v>
      </c>
      <c r="T1374" t="s">
        <v>42694</v>
      </c>
      <c r="U1374" t="s">
        <v>44392</v>
      </c>
      <c r="W1374" t="s">
        <v>38140</v>
      </c>
      <c r="X1374" t="s">
        <v>41252</v>
      </c>
    </row>
    <row r="1375" spans="1:24">
      <c r="A1375">
        <f>HYPERLINK("https://www.philgeps.gov.ph/GEPSNONPILOT/Tender/SplashBidNoticeAbstractUI.aspx?menuIndex=3&amp;refID=7077672&amp;Result=3","7077672")</f>
        <v>0</v>
      </c>
      <c r="B1375" t="s">
        <v>618</v>
      </c>
      <c r="C1375" t="s">
        <v>4696</v>
      </c>
      <c r="D1375" t="s">
        <v>16654</v>
      </c>
      <c r="E1375" t="s">
        <v>18008</v>
      </c>
      <c r="F1375" t="s">
        <v>28669</v>
      </c>
      <c r="G1375" t="s">
        <v>28676</v>
      </c>
      <c r="H1375" t="s">
        <v>28686</v>
      </c>
      <c r="I1375" t="s">
        <v>28689</v>
      </c>
      <c r="J1375" t="s">
        <v>29798</v>
      </c>
      <c r="K1375" t="s">
        <v>37289</v>
      </c>
      <c r="M1375" t="s">
        <v>38118</v>
      </c>
      <c r="N1375" t="s">
        <v>41249</v>
      </c>
      <c r="O1375" t="s">
        <v>41250</v>
      </c>
      <c r="P1375">
        <v>0</v>
      </c>
      <c r="Q1375">
        <v>0</v>
      </c>
      <c r="R1375" t="s">
        <v>41251</v>
      </c>
      <c r="S1375" t="s">
        <v>41369</v>
      </c>
      <c r="T1375" t="s">
        <v>42675</v>
      </c>
      <c r="U1375" t="s">
        <v>44393</v>
      </c>
      <c r="W1375" t="s">
        <v>38118</v>
      </c>
      <c r="X1375" t="s">
        <v>41252</v>
      </c>
    </row>
    <row r="1376" spans="1:24">
      <c r="A1376">
        <f>HYPERLINK("https://www.philgeps.gov.ph/GEPSNONPILOT/Tender/SplashBidNoticeAbstractUI.aspx?menuIndex=3&amp;refID=7077716&amp;Result=3","7077716")</f>
        <v>0</v>
      </c>
      <c r="B1376" t="s">
        <v>373</v>
      </c>
      <c r="C1376" t="s">
        <v>4697</v>
      </c>
      <c r="D1376" t="s">
        <v>16618</v>
      </c>
      <c r="E1376" t="s">
        <v>18009</v>
      </c>
      <c r="F1376" t="s">
        <v>28669</v>
      </c>
      <c r="G1376" t="s">
        <v>28676</v>
      </c>
      <c r="H1376" t="s">
        <v>9998</v>
      </c>
      <c r="I1376" t="s">
        <v>28693</v>
      </c>
      <c r="J1376" t="s">
        <v>28993</v>
      </c>
      <c r="K1376" t="s">
        <v>37209</v>
      </c>
      <c r="M1376" t="s">
        <v>37855</v>
      </c>
      <c r="N1376" t="s">
        <v>41249</v>
      </c>
      <c r="O1376" t="s">
        <v>41250</v>
      </c>
      <c r="P1376">
        <v>0</v>
      </c>
      <c r="Q1376">
        <v>1</v>
      </c>
      <c r="R1376" t="s">
        <v>41251</v>
      </c>
      <c r="S1376" t="s">
        <v>41369</v>
      </c>
      <c r="T1376" t="s">
        <v>42706</v>
      </c>
      <c r="U1376" t="s">
        <v>44394</v>
      </c>
      <c r="W1376" t="s">
        <v>37855</v>
      </c>
      <c r="X1376" t="s">
        <v>41252</v>
      </c>
    </row>
    <row r="1377" spans="1:24">
      <c r="A1377">
        <f>HYPERLINK("https://www.philgeps.gov.ph/GEPSNONPILOT/Tender/SplashBidNoticeAbstractUI.aspx?menuIndex=3&amp;refID=7077714&amp;Result=3","7077714")</f>
        <v>0</v>
      </c>
      <c r="B1377" t="s">
        <v>569</v>
      </c>
      <c r="C1377" t="s">
        <v>4698</v>
      </c>
      <c r="D1377" t="s">
        <v>16634</v>
      </c>
      <c r="E1377" t="s">
        <v>18010</v>
      </c>
      <c r="F1377" t="s">
        <v>28669</v>
      </c>
      <c r="G1377" t="s">
        <v>28676</v>
      </c>
      <c r="H1377" t="s">
        <v>9998</v>
      </c>
      <c r="I1377" t="s">
        <v>28688</v>
      </c>
      <c r="J1377" t="s">
        <v>29352</v>
      </c>
      <c r="K1377" t="s">
        <v>37210</v>
      </c>
      <c r="M1377" t="s">
        <v>38067</v>
      </c>
      <c r="N1377" t="s">
        <v>41249</v>
      </c>
      <c r="O1377" t="s">
        <v>41250</v>
      </c>
      <c r="P1377">
        <v>0</v>
      </c>
      <c r="Q1377">
        <v>0</v>
      </c>
      <c r="R1377" t="s">
        <v>41251</v>
      </c>
      <c r="S1377" t="s">
        <v>41369</v>
      </c>
      <c r="T1377" t="s">
        <v>42690</v>
      </c>
      <c r="U1377" t="s">
        <v>44375</v>
      </c>
      <c r="V1377" t="s">
        <v>54414</v>
      </c>
      <c r="W1377" t="s">
        <v>38067</v>
      </c>
      <c r="X1377" t="s">
        <v>41252</v>
      </c>
    </row>
    <row r="1378" spans="1:24">
      <c r="A1378">
        <f>HYPERLINK("https://www.philgeps.gov.ph/GEPSNONPILOT/Tender/SplashBidNoticeAbstractUI.aspx?menuIndex=3&amp;refID=7077712&amp;Result=3","7077712")</f>
        <v>0</v>
      </c>
      <c r="B1378" t="s">
        <v>642</v>
      </c>
      <c r="C1378" t="s">
        <v>4699</v>
      </c>
      <c r="D1378" t="s">
        <v>16642</v>
      </c>
      <c r="E1378" t="s">
        <v>18011</v>
      </c>
      <c r="F1378" t="s">
        <v>28669</v>
      </c>
      <c r="G1378" t="s">
        <v>28676</v>
      </c>
      <c r="H1378" t="s">
        <v>9998</v>
      </c>
      <c r="I1378" t="s">
        <v>28743</v>
      </c>
      <c r="J1378" t="s">
        <v>29134</v>
      </c>
      <c r="K1378" t="s">
        <v>37205</v>
      </c>
      <c r="M1378" t="s">
        <v>38143</v>
      </c>
      <c r="N1378" t="s">
        <v>41249</v>
      </c>
      <c r="O1378" t="s">
        <v>41250</v>
      </c>
      <c r="P1378">
        <v>0</v>
      </c>
      <c r="Q1378">
        <v>0</v>
      </c>
      <c r="R1378" t="s">
        <v>41251</v>
      </c>
      <c r="S1378" t="s">
        <v>41369</v>
      </c>
      <c r="T1378" t="s">
        <v>42726</v>
      </c>
      <c r="U1378" t="s">
        <v>44395</v>
      </c>
      <c r="W1378" t="s">
        <v>38143</v>
      </c>
      <c r="X1378" t="s">
        <v>41252</v>
      </c>
    </row>
    <row r="1379" spans="1:24">
      <c r="A1379">
        <f>HYPERLINK("https://www.philgeps.gov.ph/GEPSNONPILOT/Tender/SplashBidNoticeAbstractUI.aspx?menuIndex=3&amp;refID=7077710&amp;Result=3","7077710")</f>
        <v>0</v>
      </c>
      <c r="B1379" t="s">
        <v>416</v>
      </c>
      <c r="C1379" t="s">
        <v>4700</v>
      </c>
      <c r="D1379" t="s">
        <v>16615</v>
      </c>
      <c r="E1379" t="s">
        <v>18012</v>
      </c>
      <c r="F1379" t="s">
        <v>28669</v>
      </c>
      <c r="G1379" t="s">
        <v>28676</v>
      </c>
      <c r="H1379" t="s">
        <v>9998</v>
      </c>
      <c r="I1379" t="s">
        <v>28732</v>
      </c>
      <c r="J1379" t="s">
        <v>29110</v>
      </c>
      <c r="K1379" t="s">
        <v>37206</v>
      </c>
      <c r="M1379" t="s">
        <v>37901</v>
      </c>
      <c r="N1379" t="s">
        <v>41249</v>
      </c>
      <c r="O1379" t="s">
        <v>41250</v>
      </c>
      <c r="P1379">
        <v>0</v>
      </c>
      <c r="Q1379">
        <v>0</v>
      </c>
      <c r="R1379" t="s">
        <v>41251</v>
      </c>
      <c r="S1379" t="s">
        <v>41369</v>
      </c>
      <c r="T1379" t="s">
        <v>42694</v>
      </c>
      <c r="U1379" t="s">
        <v>44396</v>
      </c>
      <c r="W1379" t="s">
        <v>37901</v>
      </c>
      <c r="X1379" t="s">
        <v>41252</v>
      </c>
    </row>
    <row r="1380" spans="1:24">
      <c r="A1380">
        <f>HYPERLINK("https://www.philgeps.gov.ph/GEPSNONPILOT/Tender/SplashBidNoticeAbstractUI.aspx?menuIndex=3&amp;refID=7077707&amp;Result=3","7077707")</f>
        <v>0</v>
      </c>
      <c r="B1380" t="s">
        <v>627</v>
      </c>
      <c r="C1380" t="s">
        <v>4701</v>
      </c>
      <c r="D1380" t="s">
        <v>16620</v>
      </c>
      <c r="E1380" t="s">
        <v>18013</v>
      </c>
      <c r="F1380" t="s">
        <v>28669</v>
      </c>
      <c r="G1380" t="s">
        <v>28675</v>
      </c>
      <c r="H1380" t="s">
        <v>9998</v>
      </c>
      <c r="I1380" t="s">
        <v>28689</v>
      </c>
      <c r="J1380" t="s">
        <v>28924</v>
      </c>
      <c r="K1380" t="s">
        <v>37213</v>
      </c>
      <c r="M1380" t="s">
        <v>38127</v>
      </c>
      <c r="N1380" t="s">
        <v>41249</v>
      </c>
      <c r="O1380" t="s">
        <v>41250</v>
      </c>
      <c r="P1380">
        <v>0</v>
      </c>
      <c r="Q1380">
        <v>0</v>
      </c>
      <c r="R1380" t="s">
        <v>41251</v>
      </c>
      <c r="S1380" t="s">
        <v>41369</v>
      </c>
      <c r="T1380" t="s">
        <v>42668</v>
      </c>
      <c r="U1380" t="s">
        <v>44397</v>
      </c>
      <c r="W1380" t="s">
        <v>38127</v>
      </c>
      <c r="X1380" t="s">
        <v>41252</v>
      </c>
    </row>
    <row r="1381" spans="1:24">
      <c r="A1381">
        <f>HYPERLINK("https://www.philgeps.gov.ph/GEPSNONPILOT/Tender/SplashBidNoticeAbstractUI.aspx?menuIndex=3&amp;refID=7077705&amp;Result=3","7077705")</f>
        <v>0</v>
      </c>
      <c r="B1381" t="s">
        <v>643</v>
      </c>
      <c r="C1381" t="s">
        <v>4702</v>
      </c>
      <c r="D1381" t="s">
        <v>16654</v>
      </c>
      <c r="E1381" t="s">
        <v>18014</v>
      </c>
      <c r="F1381" t="s">
        <v>28669</v>
      </c>
      <c r="G1381" t="s">
        <v>28675</v>
      </c>
      <c r="H1381" t="s">
        <v>28686</v>
      </c>
      <c r="I1381" t="s">
        <v>28689</v>
      </c>
      <c r="J1381" t="s">
        <v>29799</v>
      </c>
      <c r="K1381" t="s">
        <v>37205</v>
      </c>
      <c r="M1381" t="s">
        <v>38144</v>
      </c>
      <c r="N1381" t="s">
        <v>41249</v>
      </c>
      <c r="O1381" t="s">
        <v>41250</v>
      </c>
      <c r="P1381">
        <v>0</v>
      </c>
      <c r="Q1381">
        <v>1</v>
      </c>
      <c r="R1381" t="s">
        <v>41251</v>
      </c>
      <c r="S1381" t="s">
        <v>41369</v>
      </c>
      <c r="T1381" t="s">
        <v>42764</v>
      </c>
      <c r="U1381" t="s">
        <v>44398</v>
      </c>
      <c r="W1381" t="s">
        <v>38144</v>
      </c>
      <c r="X1381" t="s">
        <v>41252</v>
      </c>
    </row>
    <row r="1382" spans="1:24">
      <c r="A1382">
        <f>HYPERLINK("https://www.philgeps.gov.ph/GEPSNONPILOT/Tender/SplashBidNoticeAbstractUI.aspx?menuIndex=3&amp;refID=7077703&amp;Result=3","7077703")</f>
        <v>0</v>
      </c>
      <c r="B1382" t="s">
        <v>644</v>
      </c>
      <c r="C1382" t="s">
        <v>4703</v>
      </c>
      <c r="D1382" t="s">
        <v>16640</v>
      </c>
      <c r="E1382" t="s">
        <v>17491</v>
      </c>
      <c r="F1382" t="s">
        <v>28669</v>
      </c>
      <c r="G1382" t="s">
        <v>28675</v>
      </c>
      <c r="H1382" t="s">
        <v>9998</v>
      </c>
      <c r="I1382" t="s">
        <v>28697</v>
      </c>
      <c r="J1382" t="s">
        <v>29800</v>
      </c>
      <c r="K1382" t="s">
        <v>37208</v>
      </c>
      <c r="M1382" t="s">
        <v>38145</v>
      </c>
      <c r="N1382" t="s">
        <v>41249</v>
      </c>
      <c r="O1382" t="s">
        <v>41250</v>
      </c>
      <c r="P1382">
        <v>0</v>
      </c>
      <c r="Q1382">
        <v>0</v>
      </c>
      <c r="R1382" t="s">
        <v>41251</v>
      </c>
      <c r="S1382" t="s">
        <v>41369</v>
      </c>
      <c r="T1382" t="s">
        <v>42707</v>
      </c>
      <c r="U1382" t="s">
        <v>44399</v>
      </c>
      <c r="W1382" t="s">
        <v>38145</v>
      </c>
      <c r="X1382" t="s">
        <v>41252</v>
      </c>
    </row>
    <row r="1383" spans="1:24">
      <c r="A1383">
        <f>HYPERLINK("https://www.philgeps.gov.ph/GEPSNONPILOT/Tender/SplashBidNoticeAbstractUI.aspx?menuIndex=3&amp;refID=7077701&amp;Result=3","7077701")</f>
        <v>0</v>
      </c>
      <c r="B1383" t="s">
        <v>645</v>
      </c>
      <c r="C1383" t="s">
        <v>4704</v>
      </c>
      <c r="D1383" t="s">
        <v>16624</v>
      </c>
      <c r="E1383" t="s">
        <v>18015</v>
      </c>
      <c r="F1383" t="s">
        <v>28669</v>
      </c>
      <c r="G1383" t="s">
        <v>28675</v>
      </c>
      <c r="H1383" t="s">
        <v>9998</v>
      </c>
      <c r="I1383" t="s">
        <v>3658</v>
      </c>
      <c r="J1383" t="s">
        <v>29003</v>
      </c>
      <c r="K1383" t="s">
        <v>37206</v>
      </c>
      <c r="M1383" t="s">
        <v>38146</v>
      </c>
      <c r="N1383" t="s">
        <v>41249</v>
      </c>
      <c r="O1383" t="s">
        <v>41250</v>
      </c>
      <c r="P1383">
        <v>0</v>
      </c>
      <c r="Q1383">
        <v>0</v>
      </c>
      <c r="R1383" t="s">
        <v>41251</v>
      </c>
      <c r="S1383" t="s">
        <v>41369</v>
      </c>
      <c r="T1383" t="s">
        <v>42822</v>
      </c>
      <c r="U1383" t="s">
        <v>44400</v>
      </c>
      <c r="W1383" t="s">
        <v>38146</v>
      </c>
      <c r="X1383" t="s">
        <v>41252</v>
      </c>
    </row>
    <row r="1384" spans="1:24">
      <c r="A1384">
        <f>HYPERLINK("https://www.philgeps.gov.ph/GEPSNONPILOT/Tender/SplashBidNoticeAbstractUI.aspx?menuIndex=3&amp;refID=7077700&amp;Result=3","7077700")</f>
        <v>0</v>
      </c>
      <c r="B1384" t="s">
        <v>603</v>
      </c>
      <c r="C1384" t="s">
        <v>4705</v>
      </c>
      <c r="D1384" t="s">
        <v>16615</v>
      </c>
      <c r="E1384" t="s">
        <v>18016</v>
      </c>
      <c r="F1384" t="s">
        <v>28669</v>
      </c>
      <c r="G1384" t="s">
        <v>28677</v>
      </c>
      <c r="H1384" t="s">
        <v>9998</v>
      </c>
      <c r="I1384" t="s">
        <v>28690</v>
      </c>
      <c r="J1384" t="s">
        <v>29801</v>
      </c>
      <c r="K1384" t="s">
        <v>37205</v>
      </c>
      <c r="M1384" t="s">
        <v>38103</v>
      </c>
      <c r="N1384" t="s">
        <v>41249</v>
      </c>
      <c r="O1384" t="s">
        <v>41250</v>
      </c>
      <c r="P1384">
        <v>0</v>
      </c>
      <c r="Q1384">
        <v>9</v>
      </c>
      <c r="R1384" t="s">
        <v>41251</v>
      </c>
      <c r="S1384" t="s">
        <v>41369</v>
      </c>
      <c r="T1384" t="s">
        <v>42717</v>
      </c>
      <c r="U1384" t="s">
        <v>44401</v>
      </c>
      <c r="W1384" t="s">
        <v>38103</v>
      </c>
      <c r="X1384" t="s">
        <v>41252</v>
      </c>
    </row>
    <row r="1385" spans="1:24">
      <c r="A1385">
        <f>HYPERLINK("https://www.philgeps.gov.ph/GEPSNONPILOT/Tender/SplashBidNoticeAbstractUI.aspx?menuIndex=3&amp;refID=7077674&amp;Result=3","7077674")</f>
        <v>0</v>
      </c>
      <c r="B1385" t="s">
        <v>612</v>
      </c>
      <c r="C1385" t="s">
        <v>4706</v>
      </c>
      <c r="D1385" t="s">
        <v>16664</v>
      </c>
      <c r="E1385" t="s">
        <v>18017</v>
      </c>
      <c r="F1385" t="s">
        <v>28669</v>
      </c>
      <c r="G1385" t="s">
        <v>28676</v>
      </c>
      <c r="H1385" t="s">
        <v>9998</v>
      </c>
      <c r="I1385" t="s">
        <v>28693</v>
      </c>
      <c r="J1385" t="s">
        <v>28942</v>
      </c>
      <c r="K1385" t="s">
        <v>37209</v>
      </c>
      <c r="M1385" t="s">
        <v>38112</v>
      </c>
      <c r="N1385" t="s">
        <v>41249</v>
      </c>
      <c r="O1385" t="s">
        <v>41250</v>
      </c>
      <c r="P1385">
        <v>0</v>
      </c>
      <c r="Q1385">
        <v>2</v>
      </c>
      <c r="R1385" t="s">
        <v>41251</v>
      </c>
      <c r="S1385" t="s">
        <v>41369</v>
      </c>
      <c r="T1385" t="s">
        <v>42694</v>
      </c>
      <c r="U1385" t="s">
        <v>44402</v>
      </c>
      <c r="W1385" t="s">
        <v>38112</v>
      </c>
      <c r="X1385" t="s">
        <v>41252</v>
      </c>
    </row>
    <row r="1386" spans="1:24">
      <c r="A1386">
        <f>HYPERLINK("https://www.philgeps.gov.ph/GEPSNONPILOT/Tender/SplashBidNoticeAbstractUI.aspx?menuIndex=3&amp;refID=7077698&amp;Result=3","7077698")</f>
        <v>0</v>
      </c>
      <c r="B1386" t="s">
        <v>646</v>
      </c>
      <c r="C1386" t="s">
        <v>4707</v>
      </c>
      <c r="D1386" t="s">
        <v>16608</v>
      </c>
      <c r="E1386" t="s">
        <v>16929</v>
      </c>
      <c r="F1386" t="s">
        <v>28669</v>
      </c>
      <c r="G1386" t="s">
        <v>28676</v>
      </c>
      <c r="H1386" t="s">
        <v>9998</v>
      </c>
      <c r="I1386" t="s">
        <v>28693</v>
      </c>
      <c r="J1386" t="s">
        <v>28826</v>
      </c>
      <c r="K1386" t="s">
        <v>37206</v>
      </c>
      <c r="M1386" t="s">
        <v>38147</v>
      </c>
      <c r="N1386" t="s">
        <v>41249</v>
      </c>
      <c r="O1386" t="s">
        <v>41250</v>
      </c>
      <c r="P1386">
        <v>0</v>
      </c>
      <c r="Q1386">
        <v>3</v>
      </c>
      <c r="R1386" t="s">
        <v>41251</v>
      </c>
      <c r="S1386" t="s">
        <v>41369</v>
      </c>
      <c r="T1386" t="s">
        <v>42694</v>
      </c>
      <c r="U1386" t="s">
        <v>44403</v>
      </c>
      <c r="W1386" t="s">
        <v>38147</v>
      </c>
      <c r="X1386" t="s">
        <v>41252</v>
      </c>
    </row>
    <row r="1387" spans="1:24">
      <c r="A1387">
        <f>HYPERLINK("https://www.philgeps.gov.ph/GEPSNONPILOT/Tender/SplashBidNoticeAbstractUI.aspx?menuIndex=3&amp;refID=7077697&amp;Result=3","7077697")</f>
        <v>0</v>
      </c>
      <c r="B1387" t="s">
        <v>647</v>
      </c>
      <c r="C1387" t="s">
        <v>4708</v>
      </c>
      <c r="D1387" t="s">
        <v>16611</v>
      </c>
      <c r="E1387" t="s">
        <v>18018</v>
      </c>
      <c r="F1387" t="s">
        <v>28669</v>
      </c>
      <c r="G1387" t="s">
        <v>28676</v>
      </c>
      <c r="H1387" t="s">
        <v>9998</v>
      </c>
      <c r="I1387" t="s">
        <v>5213</v>
      </c>
      <c r="J1387" t="s">
        <v>29802</v>
      </c>
      <c r="K1387" t="s">
        <v>37204</v>
      </c>
      <c r="M1387" t="s">
        <v>38148</v>
      </c>
      <c r="N1387" t="s">
        <v>41249</v>
      </c>
      <c r="O1387" t="s">
        <v>41250</v>
      </c>
      <c r="P1387">
        <v>0</v>
      </c>
      <c r="Q1387">
        <v>0</v>
      </c>
      <c r="R1387" t="s">
        <v>41251</v>
      </c>
      <c r="S1387" t="s">
        <v>41369</v>
      </c>
      <c r="T1387" t="s">
        <v>42703</v>
      </c>
      <c r="U1387" t="s">
        <v>44404</v>
      </c>
      <c r="W1387" t="s">
        <v>38148</v>
      </c>
      <c r="X1387" t="s">
        <v>41252</v>
      </c>
    </row>
    <row r="1388" spans="1:24">
      <c r="A1388">
        <f>HYPERLINK("https://www.philgeps.gov.ph/GEPSNONPILOT/Tender/SplashBidNoticeAbstractUI.aspx?menuIndex=3&amp;refID=7077694&amp;Result=3","7077694")</f>
        <v>0</v>
      </c>
      <c r="B1388" t="s">
        <v>648</v>
      </c>
      <c r="C1388" t="s">
        <v>4709</v>
      </c>
      <c r="D1388" t="s">
        <v>16648</v>
      </c>
      <c r="E1388" t="s">
        <v>18019</v>
      </c>
      <c r="F1388" t="s">
        <v>28669</v>
      </c>
      <c r="G1388" t="s">
        <v>28676</v>
      </c>
      <c r="H1388" t="s">
        <v>9998</v>
      </c>
      <c r="I1388" t="s">
        <v>3718</v>
      </c>
      <c r="J1388" t="s">
        <v>29803</v>
      </c>
      <c r="K1388" t="s">
        <v>37204</v>
      </c>
      <c r="M1388" t="s">
        <v>38149</v>
      </c>
      <c r="N1388" t="s">
        <v>41249</v>
      </c>
      <c r="O1388" t="s">
        <v>41250</v>
      </c>
      <c r="P1388">
        <v>0</v>
      </c>
      <c r="Q1388">
        <v>2</v>
      </c>
      <c r="R1388" t="s">
        <v>41251</v>
      </c>
      <c r="S1388" t="s">
        <v>41369</v>
      </c>
      <c r="T1388" t="s">
        <v>42679</v>
      </c>
      <c r="U1388" t="s">
        <v>44405</v>
      </c>
      <c r="W1388" t="s">
        <v>38149</v>
      </c>
      <c r="X1388" t="s">
        <v>41252</v>
      </c>
    </row>
    <row r="1389" spans="1:24">
      <c r="A1389">
        <f>HYPERLINK("https://www.philgeps.gov.ph/GEPSNONPILOT/Tender/SplashBidNoticeAbstractUI.aspx?menuIndex=3&amp;refID=7077663&amp;Result=3","7077663")</f>
        <v>0</v>
      </c>
      <c r="B1389" t="s">
        <v>649</v>
      </c>
      <c r="C1389" t="s">
        <v>4710</v>
      </c>
      <c r="D1389" t="s">
        <v>16675</v>
      </c>
      <c r="E1389" t="s">
        <v>18020</v>
      </c>
      <c r="F1389" t="s">
        <v>28669</v>
      </c>
      <c r="G1389" t="s">
        <v>28676</v>
      </c>
      <c r="H1389" t="s">
        <v>9998</v>
      </c>
      <c r="I1389" t="s">
        <v>28736</v>
      </c>
      <c r="J1389" t="s">
        <v>29804</v>
      </c>
      <c r="K1389" t="s">
        <v>37209</v>
      </c>
      <c r="M1389" t="s">
        <v>38150</v>
      </c>
      <c r="N1389" t="s">
        <v>41249</v>
      </c>
      <c r="O1389" t="s">
        <v>41250</v>
      </c>
      <c r="P1389">
        <v>0</v>
      </c>
      <c r="Q1389">
        <v>0</v>
      </c>
      <c r="R1389" t="s">
        <v>41251</v>
      </c>
      <c r="S1389" t="s">
        <v>41369</v>
      </c>
      <c r="T1389" t="s">
        <v>42706</v>
      </c>
      <c r="U1389" t="s">
        <v>44406</v>
      </c>
      <c r="W1389" t="s">
        <v>38150</v>
      </c>
      <c r="X1389" t="s">
        <v>41252</v>
      </c>
    </row>
    <row r="1390" spans="1:24">
      <c r="A1390">
        <f>HYPERLINK("https://www.philgeps.gov.ph/GEPSNONPILOT/Tender/SplashBidNoticeAbstractUI.aspx?menuIndex=3&amp;refID=7077461&amp;Result=3","7077461")</f>
        <v>0</v>
      </c>
      <c r="B1390" t="s">
        <v>626</v>
      </c>
      <c r="C1390" t="s">
        <v>4644</v>
      </c>
      <c r="D1390" t="s">
        <v>16611</v>
      </c>
      <c r="E1390" t="s">
        <v>16877</v>
      </c>
      <c r="F1390" t="s">
        <v>28669</v>
      </c>
      <c r="G1390" t="s">
        <v>28677</v>
      </c>
      <c r="H1390" t="s">
        <v>9998</v>
      </c>
      <c r="I1390" t="s">
        <v>28688</v>
      </c>
      <c r="J1390" t="s">
        <v>29040</v>
      </c>
      <c r="K1390" t="s">
        <v>37204</v>
      </c>
      <c r="M1390" t="s">
        <v>38126</v>
      </c>
      <c r="N1390" t="s">
        <v>41249</v>
      </c>
      <c r="O1390" t="s">
        <v>41250</v>
      </c>
      <c r="P1390">
        <v>0</v>
      </c>
      <c r="Q1390">
        <v>0</v>
      </c>
      <c r="R1390" t="s">
        <v>41251</v>
      </c>
      <c r="S1390" t="s">
        <v>41369</v>
      </c>
      <c r="T1390" t="s">
        <v>42736</v>
      </c>
      <c r="U1390" t="s">
        <v>44407</v>
      </c>
      <c r="W1390" t="s">
        <v>38126</v>
      </c>
      <c r="X1390" t="s">
        <v>41252</v>
      </c>
    </row>
    <row r="1391" spans="1:24">
      <c r="A1391">
        <f>HYPERLINK("https://www.philgeps.gov.ph/GEPSNONPILOT/Tender/SplashBidNoticeAbstractUI.aspx?menuIndex=3&amp;refID=7077711&amp;Result=3","7077711")</f>
        <v>0</v>
      </c>
      <c r="B1391" t="s">
        <v>650</v>
      </c>
      <c r="C1391" t="s">
        <v>4711</v>
      </c>
      <c r="D1391" t="s">
        <v>16647</v>
      </c>
      <c r="E1391" t="s">
        <v>18021</v>
      </c>
      <c r="F1391" t="s">
        <v>28669</v>
      </c>
      <c r="G1391" t="s">
        <v>28677</v>
      </c>
      <c r="H1391" t="s">
        <v>9998</v>
      </c>
      <c r="I1391" t="s">
        <v>28697</v>
      </c>
      <c r="J1391" t="s">
        <v>29805</v>
      </c>
      <c r="K1391" t="s">
        <v>37205</v>
      </c>
      <c r="M1391" t="s">
        <v>38151</v>
      </c>
      <c r="N1391" t="s">
        <v>41249</v>
      </c>
      <c r="O1391" t="s">
        <v>41250</v>
      </c>
      <c r="P1391">
        <v>0</v>
      </c>
      <c r="Q1391">
        <v>0</v>
      </c>
      <c r="R1391" t="s">
        <v>41251</v>
      </c>
      <c r="S1391" t="s">
        <v>41369</v>
      </c>
      <c r="T1391" t="s">
        <v>42757</v>
      </c>
      <c r="U1391" t="s">
        <v>44408</v>
      </c>
      <c r="V1391" t="s">
        <v>54415</v>
      </c>
      <c r="W1391" t="s">
        <v>38151</v>
      </c>
      <c r="X1391" t="s">
        <v>41252</v>
      </c>
    </row>
    <row r="1392" spans="1:24">
      <c r="A1392">
        <f>HYPERLINK("https://www.philgeps.gov.ph/GEPSNONPILOT/Tender/SplashBidNoticeAbstractUI.aspx?menuIndex=3&amp;refID=7077702&amp;Result=3","7077702")</f>
        <v>0</v>
      </c>
      <c r="B1392" t="s">
        <v>193</v>
      </c>
      <c r="C1392" t="s">
        <v>4712</v>
      </c>
      <c r="D1392" t="s">
        <v>16658</v>
      </c>
      <c r="E1392" t="s">
        <v>18022</v>
      </c>
      <c r="F1392" t="s">
        <v>28669</v>
      </c>
      <c r="G1392" t="s">
        <v>28676</v>
      </c>
      <c r="H1392" t="s">
        <v>28686</v>
      </c>
      <c r="I1392" t="s">
        <v>28689</v>
      </c>
      <c r="J1392" t="s">
        <v>29806</v>
      </c>
      <c r="K1392" t="s">
        <v>37204</v>
      </c>
      <c r="M1392" t="s">
        <v>37671</v>
      </c>
      <c r="N1392" t="s">
        <v>41249</v>
      </c>
      <c r="O1392" t="s">
        <v>41250</v>
      </c>
      <c r="P1392">
        <v>0</v>
      </c>
      <c r="Q1392">
        <v>0</v>
      </c>
      <c r="R1392" t="s">
        <v>41251</v>
      </c>
      <c r="S1392" t="s">
        <v>41369</v>
      </c>
      <c r="T1392" t="s">
        <v>42764</v>
      </c>
      <c r="U1392" t="s">
        <v>44409</v>
      </c>
      <c r="W1392" t="s">
        <v>37671</v>
      </c>
      <c r="X1392" t="s">
        <v>41252</v>
      </c>
    </row>
    <row r="1393" spans="1:24">
      <c r="A1393">
        <f>HYPERLINK("https://www.philgeps.gov.ph/GEPSNONPILOT/Tender/SplashBidNoticeAbstractUI.aspx?menuIndex=3&amp;refID=7077614&amp;Result=3","7077614")</f>
        <v>0</v>
      </c>
      <c r="B1393" t="s">
        <v>640</v>
      </c>
      <c r="C1393" t="s">
        <v>4713</v>
      </c>
      <c r="D1393" t="s">
        <v>16608</v>
      </c>
      <c r="E1393" t="s">
        <v>18023</v>
      </c>
      <c r="F1393" t="s">
        <v>28669</v>
      </c>
      <c r="G1393" t="s">
        <v>28675</v>
      </c>
      <c r="H1393" t="s">
        <v>9998</v>
      </c>
      <c r="I1393" t="s">
        <v>5286</v>
      </c>
      <c r="J1393" t="s">
        <v>29807</v>
      </c>
      <c r="K1393" t="s">
        <v>37220</v>
      </c>
      <c r="M1393" t="s">
        <v>38141</v>
      </c>
      <c r="N1393" t="s">
        <v>41249</v>
      </c>
      <c r="O1393" t="s">
        <v>41250</v>
      </c>
      <c r="P1393">
        <v>0</v>
      </c>
      <c r="Q1393">
        <v>10</v>
      </c>
      <c r="R1393" t="s">
        <v>41251</v>
      </c>
      <c r="S1393" t="s">
        <v>41369</v>
      </c>
      <c r="T1393" t="s">
        <v>42715</v>
      </c>
      <c r="U1393" t="s">
        <v>44410</v>
      </c>
      <c r="W1393" t="s">
        <v>38141</v>
      </c>
      <c r="X1393" t="s">
        <v>41252</v>
      </c>
    </row>
    <row r="1394" spans="1:24">
      <c r="A1394">
        <f>HYPERLINK("https://www.philgeps.gov.ph/GEPSNONPILOT/Tender/SplashBidNoticeAbstractUI.aspx?menuIndex=3&amp;refID=7077436&amp;Result=3","7077436")</f>
        <v>0</v>
      </c>
      <c r="B1394" t="s">
        <v>356</v>
      </c>
      <c r="C1394" t="s">
        <v>4714</v>
      </c>
      <c r="D1394" t="s">
        <v>16639</v>
      </c>
      <c r="E1394" t="s">
        <v>18024</v>
      </c>
      <c r="F1394" t="s">
        <v>28669</v>
      </c>
      <c r="G1394" t="s">
        <v>28676</v>
      </c>
      <c r="H1394" t="s">
        <v>9998</v>
      </c>
      <c r="I1394" t="s">
        <v>5213</v>
      </c>
      <c r="J1394" t="s">
        <v>29204</v>
      </c>
      <c r="K1394" t="s">
        <v>37210</v>
      </c>
      <c r="M1394" t="s">
        <v>37837</v>
      </c>
      <c r="N1394" t="s">
        <v>41249</v>
      </c>
      <c r="O1394" t="s">
        <v>41250</v>
      </c>
      <c r="P1394">
        <v>0</v>
      </c>
      <c r="Q1394">
        <v>0</v>
      </c>
      <c r="R1394" t="s">
        <v>41251</v>
      </c>
      <c r="S1394" t="s">
        <v>41369</v>
      </c>
      <c r="T1394" t="s">
        <v>42717</v>
      </c>
      <c r="U1394" t="s">
        <v>43777</v>
      </c>
      <c r="V1394" t="s">
        <v>54334</v>
      </c>
      <c r="W1394" t="s">
        <v>37837</v>
      </c>
      <c r="X1394" t="s">
        <v>41252</v>
      </c>
    </row>
    <row r="1395" spans="1:24">
      <c r="A1395">
        <f>HYPERLINK("https://www.philgeps.gov.ph/GEPSNONPILOT/Tender/SplashBidNoticeAbstractUI.aspx?menuIndex=3&amp;refID=7077435&amp;Result=3","7077435")</f>
        <v>0</v>
      </c>
      <c r="B1395" t="s">
        <v>616</v>
      </c>
      <c r="C1395" t="s">
        <v>4715</v>
      </c>
      <c r="D1395" t="s">
        <v>16621</v>
      </c>
      <c r="E1395" t="s">
        <v>18025</v>
      </c>
      <c r="F1395" t="s">
        <v>28669</v>
      </c>
      <c r="G1395" t="s">
        <v>28676</v>
      </c>
      <c r="H1395" t="s">
        <v>9998</v>
      </c>
      <c r="I1395" t="s">
        <v>3718</v>
      </c>
      <c r="J1395" t="s">
        <v>29281</v>
      </c>
      <c r="K1395" t="s">
        <v>37234</v>
      </c>
      <c r="M1395" t="s">
        <v>38116</v>
      </c>
      <c r="N1395" t="s">
        <v>41249</v>
      </c>
      <c r="O1395" t="s">
        <v>41250</v>
      </c>
      <c r="P1395">
        <v>0</v>
      </c>
      <c r="Q1395">
        <v>2</v>
      </c>
      <c r="R1395" t="s">
        <v>41251</v>
      </c>
      <c r="S1395" t="s">
        <v>41369</v>
      </c>
      <c r="T1395" t="s">
        <v>42717</v>
      </c>
      <c r="U1395" t="s">
        <v>44411</v>
      </c>
      <c r="V1395" t="s">
        <v>54401</v>
      </c>
      <c r="W1395" t="s">
        <v>38116</v>
      </c>
      <c r="X1395" t="s">
        <v>41252</v>
      </c>
    </row>
    <row r="1396" spans="1:24">
      <c r="A1396">
        <f>HYPERLINK("https://www.philgeps.gov.ph/GEPSNONPILOT/Tender/SplashBidNoticeAbstractUI.aspx?menuIndex=3&amp;refID=7077693&amp;Result=3","7077693")</f>
        <v>0</v>
      </c>
      <c r="B1396" t="s">
        <v>439</v>
      </c>
      <c r="C1396" t="s">
        <v>4716</v>
      </c>
      <c r="D1396" t="s">
        <v>16608</v>
      </c>
      <c r="E1396" t="s">
        <v>18026</v>
      </c>
      <c r="F1396" t="s">
        <v>28669</v>
      </c>
      <c r="G1396" t="s">
        <v>28676</v>
      </c>
      <c r="H1396" t="s">
        <v>9998</v>
      </c>
      <c r="I1396" t="s">
        <v>7352</v>
      </c>
      <c r="J1396" t="s">
        <v>29808</v>
      </c>
      <c r="K1396" t="s">
        <v>37220</v>
      </c>
      <c r="M1396" t="s">
        <v>37924</v>
      </c>
      <c r="N1396" t="s">
        <v>41249</v>
      </c>
      <c r="O1396" t="s">
        <v>41250</v>
      </c>
      <c r="P1396">
        <v>0</v>
      </c>
      <c r="Q1396">
        <v>0</v>
      </c>
      <c r="R1396" t="s">
        <v>41251</v>
      </c>
      <c r="S1396" t="s">
        <v>41369</v>
      </c>
      <c r="T1396" t="s">
        <v>42690</v>
      </c>
      <c r="U1396" t="s">
        <v>44215</v>
      </c>
      <c r="W1396" t="s">
        <v>37924</v>
      </c>
      <c r="X1396" t="s">
        <v>41252</v>
      </c>
    </row>
    <row r="1397" spans="1:24">
      <c r="A1397">
        <f>HYPERLINK("https://www.philgeps.gov.ph/GEPSNONPILOT/Tender/SplashBidNoticeAbstractUI.aspx?menuIndex=3&amp;refID=7077460&amp;Result=3","7077460")</f>
        <v>0</v>
      </c>
      <c r="B1397" t="s">
        <v>573</v>
      </c>
      <c r="C1397" t="s">
        <v>4717</v>
      </c>
      <c r="D1397" t="s">
        <v>16615</v>
      </c>
      <c r="E1397" t="s">
        <v>18027</v>
      </c>
      <c r="F1397" t="s">
        <v>28669</v>
      </c>
      <c r="G1397" t="s">
        <v>28676</v>
      </c>
      <c r="H1397" t="s">
        <v>9998</v>
      </c>
      <c r="I1397" t="s">
        <v>28729</v>
      </c>
      <c r="J1397" t="s">
        <v>29809</v>
      </c>
      <c r="K1397" t="s">
        <v>37204</v>
      </c>
      <c r="M1397" t="s">
        <v>38072</v>
      </c>
      <c r="N1397" t="s">
        <v>41249</v>
      </c>
      <c r="O1397" t="s">
        <v>41250</v>
      </c>
      <c r="P1397">
        <v>0</v>
      </c>
      <c r="Q1397">
        <v>9</v>
      </c>
      <c r="R1397" t="s">
        <v>41251</v>
      </c>
      <c r="S1397" t="s">
        <v>41369</v>
      </c>
      <c r="T1397" t="s">
        <v>42670</v>
      </c>
      <c r="U1397" t="s">
        <v>44412</v>
      </c>
      <c r="W1397" t="s">
        <v>38072</v>
      </c>
      <c r="X1397" t="s">
        <v>41252</v>
      </c>
    </row>
    <row r="1398" spans="1:24">
      <c r="A1398">
        <f>HYPERLINK("https://www.philgeps.gov.ph/GEPSNONPILOT/Tender/SplashBidNoticeAbstractUI.aspx?menuIndex=3&amp;refID=7077739&amp;Result=3","7077739")</f>
        <v>0</v>
      </c>
      <c r="B1398" t="s">
        <v>195</v>
      </c>
      <c r="C1398" t="s">
        <v>4718</v>
      </c>
      <c r="D1398" t="s">
        <v>16636</v>
      </c>
      <c r="E1398" t="s">
        <v>18028</v>
      </c>
      <c r="F1398" t="s">
        <v>28669</v>
      </c>
      <c r="G1398" t="s">
        <v>28677</v>
      </c>
      <c r="H1398" t="s">
        <v>9998</v>
      </c>
      <c r="I1398" t="s">
        <v>11593</v>
      </c>
      <c r="J1398" t="s">
        <v>28894</v>
      </c>
      <c r="K1398" t="s">
        <v>37205</v>
      </c>
      <c r="M1398" t="s">
        <v>37673</v>
      </c>
      <c r="N1398" t="s">
        <v>41249</v>
      </c>
      <c r="O1398" t="s">
        <v>41250</v>
      </c>
      <c r="P1398">
        <v>0</v>
      </c>
      <c r="Q1398">
        <v>0</v>
      </c>
      <c r="R1398" t="s">
        <v>41251</v>
      </c>
      <c r="S1398" t="s">
        <v>41369</v>
      </c>
      <c r="T1398" t="s">
        <v>42754</v>
      </c>
      <c r="U1398" t="s">
        <v>44413</v>
      </c>
      <c r="W1398" t="s">
        <v>37673</v>
      </c>
      <c r="X1398" t="s">
        <v>41252</v>
      </c>
    </row>
    <row r="1399" spans="1:24">
      <c r="A1399">
        <f>HYPERLINK("https://www.philgeps.gov.ph/GEPSNONPILOT/Tender/SplashBidNoticeAbstractUI.aspx?menuIndex=3&amp;refID=7077459&amp;Result=3","7077459")</f>
        <v>0</v>
      </c>
      <c r="B1399" t="s">
        <v>651</v>
      </c>
      <c r="C1399" t="s">
        <v>4719</v>
      </c>
      <c r="D1399" t="s">
        <v>16644</v>
      </c>
      <c r="E1399" t="s">
        <v>18029</v>
      </c>
      <c r="F1399" t="s">
        <v>28669</v>
      </c>
      <c r="G1399" t="s">
        <v>28677</v>
      </c>
      <c r="H1399" t="s">
        <v>9998</v>
      </c>
      <c r="I1399" t="s">
        <v>28704</v>
      </c>
      <c r="J1399" t="s">
        <v>29810</v>
      </c>
      <c r="K1399" t="s">
        <v>37204</v>
      </c>
      <c r="M1399" t="s">
        <v>38152</v>
      </c>
      <c r="N1399" t="s">
        <v>41249</v>
      </c>
      <c r="O1399" t="s">
        <v>41250</v>
      </c>
      <c r="P1399">
        <v>0</v>
      </c>
      <c r="Q1399">
        <v>1</v>
      </c>
      <c r="R1399" t="s">
        <v>41251</v>
      </c>
      <c r="S1399" t="s">
        <v>41369</v>
      </c>
      <c r="T1399" t="s">
        <v>42686</v>
      </c>
      <c r="U1399" t="s">
        <v>44414</v>
      </c>
      <c r="V1399" t="s">
        <v>54416</v>
      </c>
      <c r="W1399" t="s">
        <v>38152</v>
      </c>
      <c r="X1399" t="s">
        <v>41252</v>
      </c>
    </row>
    <row r="1400" spans="1:24">
      <c r="A1400">
        <f>HYPERLINK("https://www.philgeps.gov.ph/GEPSNONPILOT/Tender/SplashBidNoticeAbstractUI.aspx?menuIndex=3&amp;refID=7077437&amp;Result=3","7077437")</f>
        <v>0</v>
      </c>
      <c r="B1400" t="s">
        <v>652</v>
      </c>
      <c r="C1400" t="s">
        <v>4720</v>
      </c>
      <c r="D1400" t="s">
        <v>16664</v>
      </c>
      <c r="E1400" t="s">
        <v>17835</v>
      </c>
      <c r="F1400" t="s">
        <v>28669</v>
      </c>
      <c r="G1400" t="s">
        <v>28676</v>
      </c>
      <c r="H1400" t="s">
        <v>28686</v>
      </c>
      <c r="I1400" t="s">
        <v>28689</v>
      </c>
      <c r="J1400" t="s">
        <v>28826</v>
      </c>
      <c r="K1400" t="s">
        <v>37227</v>
      </c>
      <c r="M1400" t="s">
        <v>38153</v>
      </c>
      <c r="N1400" t="s">
        <v>41249</v>
      </c>
      <c r="O1400" t="s">
        <v>41250</v>
      </c>
      <c r="P1400">
        <v>0</v>
      </c>
      <c r="Q1400">
        <v>0</v>
      </c>
      <c r="R1400" t="s">
        <v>41251</v>
      </c>
      <c r="S1400" t="s">
        <v>41369</v>
      </c>
      <c r="T1400" t="s">
        <v>42690</v>
      </c>
      <c r="U1400" t="s">
        <v>44415</v>
      </c>
      <c r="W1400" t="s">
        <v>38153</v>
      </c>
      <c r="X1400" t="s">
        <v>41252</v>
      </c>
    </row>
    <row r="1401" spans="1:24">
      <c r="A1401">
        <f>HYPERLINK("https://www.philgeps.gov.ph/GEPSNONPILOT/Tender/SplashBidNoticeAbstractUI.aspx?menuIndex=3&amp;refID=7077736&amp;Result=3","7077736")</f>
        <v>0</v>
      </c>
      <c r="B1401" t="s">
        <v>653</v>
      </c>
      <c r="C1401" t="s">
        <v>4721</v>
      </c>
      <c r="D1401" t="s">
        <v>16679</v>
      </c>
      <c r="E1401" t="s">
        <v>18030</v>
      </c>
      <c r="F1401" t="s">
        <v>28669</v>
      </c>
      <c r="G1401" t="s">
        <v>28675</v>
      </c>
      <c r="H1401" t="s">
        <v>28686</v>
      </c>
      <c r="I1401" t="s">
        <v>28689</v>
      </c>
      <c r="J1401" t="s">
        <v>29811</v>
      </c>
      <c r="K1401" t="s">
        <v>37290</v>
      </c>
      <c r="M1401" t="s">
        <v>38154</v>
      </c>
      <c r="N1401" t="s">
        <v>41249</v>
      </c>
      <c r="O1401" t="s">
        <v>41250</v>
      </c>
      <c r="P1401">
        <v>0</v>
      </c>
      <c r="Q1401">
        <v>2</v>
      </c>
      <c r="R1401" t="s">
        <v>41251</v>
      </c>
      <c r="S1401" t="s">
        <v>41369</v>
      </c>
      <c r="T1401" t="s">
        <v>42692</v>
      </c>
      <c r="U1401" t="s">
        <v>44416</v>
      </c>
      <c r="W1401" t="s">
        <v>38154</v>
      </c>
      <c r="X1401" t="s">
        <v>41252</v>
      </c>
    </row>
    <row r="1402" spans="1:24">
      <c r="A1402">
        <f>HYPERLINK("https://www.philgeps.gov.ph/GEPSNONPILOT/Tender/SplashBidNoticeAbstractUI.aspx?menuIndex=3&amp;refID=7077734&amp;Result=3","7077734")</f>
        <v>0</v>
      </c>
      <c r="B1402" t="s">
        <v>654</v>
      </c>
      <c r="C1402" t="s">
        <v>4722</v>
      </c>
      <c r="D1402" t="s">
        <v>16669</v>
      </c>
      <c r="E1402" t="s">
        <v>18031</v>
      </c>
      <c r="F1402" t="s">
        <v>28669</v>
      </c>
      <c r="G1402" t="s">
        <v>28675</v>
      </c>
      <c r="H1402" t="s">
        <v>9998</v>
      </c>
      <c r="I1402" t="s">
        <v>28687</v>
      </c>
      <c r="J1402" t="s">
        <v>29053</v>
      </c>
      <c r="K1402" t="s">
        <v>37209</v>
      </c>
      <c r="M1402" t="s">
        <v>38155</v>
      </c>
      <c r="N1402" t="s">
        <v>41249</v>
      </c>
      <c r="O1402" t="s">
        <v>41250</v>
      </c>
      <c r="P1402">
        <v>0</v>
      </c>
      <c r="Q1402">
        <v>3</v>
      </c>
      <c r="R1402" t="s">
        <v>41251</v>
      </c>
      <c r="S1402" t="s">
        <v>41369</v>
      </c>
      <c r="T1402" t="s">
        <v>42672</v>
      </c>
      <c r="U1402" t="s">
        <v>44417</v>
      </c>
      <c r="W1402" t="s">
        <v>38155</v>
      </c>
      <c r="X1402" t="s">
        <v>41252</v>
      </c>
    </row>
    <row r="1403" spans="1:24">
      <c r="A1403">
        <f>HYPERLINK("https://www.philgeps.gov.ph/GEPSNONPILOT/Tender/SplashBidNoticeAbstractUI.aspx?menuIndex=3&amp;refID=7077731&amp;Result=3","7077731")</f>
        <v>0</v>
      </c>
      <c r="B1403" t="s">
        <v>655</v>
      </c>
      <c r="C1403" t="s">
        <v>4723</v>
      </c>
      <c r="D1403" t="s">
        <v>16624</v>
      </c>
      <c r="E1403" t="s">
        <v>18032</v>
      </c>
      <c r="F1403" t="s">
        <v>28669</v>
      </c>
      <c r="G1403" t="s">
        <v>28676</v>
      </c>
      <c r="H1403" t="s">
        <v>9998</v>
      </c>
      <c r="I1403" t="s">
        <v>28697</v>
      </c>
      <c r="J1403" t="s">
        <v>29812</v>
      </c>
      <c r="K1403" t="s">
        <v>37206</v>
      </c>
      <c r="M1403" t="s">
        <v>38156</v>
      </c>
      <c r="N1403" t="s">
        <v>41249</v>
      </c>
      <c r="O1403" t="s">
        <v>41250</v>
      </c>
      <c r="P1403">
        <v>0</v>
      </c>
      <c r="Q1403">
        <v>2</v>
      </c>
      <c r="R1403" t="s">
        <v>41251</v>
      </c>
      <c r="S1403" t="s">
        <v>41369</v>
      </c>
      <c r="T1403" t="s">
        <v>42675</v>
      </c>
      <c r="U1403" t="s">
        <v>44418</v>
      </c>
      <c r="W1403" t="s">
        <v>38156</v>
      </c>
      <c r="X1403" t="s">
        <v>41252</v>
      </c>
    </row>
    <row r="1404" spans="1:24">
      <c r="A1404">
        <f>HYPERLINK("https://www.philgeps.gov.ph/GEPSNONPILOT/Tender/SplashBidNoticeAbstractUI.aspx?menuIndex=3&amp;refID=7077729&amp;Result=3","7077729")</f>
        <v>0</v>
      </c>
      <c r="B1404" t="s">
        <v>646</v>
      </c>
      <c r="C1404" t="s">
        <v>4724</v>
      </c>
      <c r="D1404" t="s">
        <v>16608</v>
      </c>
      <c r="E1404" t="s">
        <v>17399</v>
      </c>
      <c r="F1404" t="s">
        <v>28669</v>
      </c>
      <c r="G1404" t="s">
        <v>28676</v>
      </c>
      <c r="H1404" t="s">
        <v>9998</v>
      </c>
      <c r="I1404" t="s">
        <v>28693</v>
      </c>
      <c r="J1404" t="s">
        <v>29744</v>
      </c>
      <c r="K1404" t="s">
        <v>37206</v>
      </c>
      <c r="M1404" t="s">
        <v>38147</v>
      </c>
      <c r="N1404" t="s">
        <v>41249</v>
      </c>
      <c r="O1404" t="s">
        <v>41250</v>
      </c>
      <c r="P1404">
        <v>0</v>
      </c>
      <c r="Q1404">
        <v>2</v>
      </c>
      <c r="R1404" t="s">
        <v>41251</v>
      </c>
      <c r="S1404" t="s">
        <v>41369</v>
      </c>
      <c r="T1404" t="s">
        <v>42694</v>
      </c>
      <c r="U1404" t="s">
        <v>44403</v>
      </c>
      <c r="W1404" t="s">
        <v>38147</v>
      </c>
      <c r="X1404" t="s">
        <v>41252</v>
      </c>
    </row>
    <row r="1405" spans="1:24">
      <c r="A1405">
        <f>HYPERLINK("https://www.philgeps.gov.ph/GEPSNONPILOT/Tender/SplashBidNoticeAbstractUI.aspx?menuIndex=3&amp;refID=7077431&amp;Result=3","7077431")</f>
        <v>0</v>
      </c>
      <c r="B1405" t="s">
        <v>569</v>
      </c>
      <c r="C1405" t="s">
        <v>4725</v>
      </c>
      <c r="D1405" t="s">
        <v>16634</v>
      </c>
      <c r="E1405" t="s">
        <v>18033</v>
      </c>
      <c r="F1405" t="s">
        <v>28669</v>
      </c>
      <c r="G1405" t="s">
        <v>28675</v>
      </c>
      <c r="H1405" t="s">
        <v>9998</v>
      </c>
      <c r="I1405" t="s">
        <v>28756</v>
      </c>
      <c r="J1405" t="s">
        <v>29750</v>
      </c>
      <c r="K1405" t="s">
        <v>37210</v>
      </c>
      <c r="M1405" t="s">
        <v>38067</v>
      </c>
      <c r="N1405" t="s">
        <v>41249</v>
      </c>
      <c r="O1405" t="s">
        <v>41250</v>
      </c>
      <c r="P1405">
        <v>0</v>
      </c>
      <c r="Q1405">
        <v>0</v>
      </c>
      <c r="R1405" t="s">
        <v>41251</v>
      </c>
      <c r="S1405" t="s">
        <v>41369</v>
      </c>
      <c r="T1405" t="s">
        <v>42690</v>
      </c>
      <c r="U1405" t="s">
        <v>44242</v>
      </c>
      <c r="V1405" t="s">
        <v>54417</v>
      </c>
      <c r="W1405" t="s">
        <v>38067</v>
      </c>
      <c r="X1405" t="s">
        <v>41252</v>
      </c>
    </row>
    <row r="1406" spans="1:24">
      <c r="A1406">
        <f>HYPERLINK("https://www.philgeps.gov.ph/GEPSNONPILOT/Tender/SplashBidNoticeAbstractUI.aspx?menuIndex=3&amp;refID=7077727&amp;Result=3","7077727")</f>
        <v>0</v>
      </c>
      <c r="B1406" t="s">
        <v>140</v>
      </c>
      <c r="C1406" t="s">
        <v>4726</v>
      </c>
      <c r="D1406" t="s">
        <v>16652</v>
      </c>
      <c r="E1406" t="s">
        <v>18034</v>
      </c>
      <c r="F1406" t="s">
        <v>28669</v>
      </c>
      <c r="G1406" t="s">
        <v>28676</v>
      </c>
      <c r="H1406" t="s">
        <v>9998</v>
      </c>
      <c r="I1406" t="s">
        <v>28728</v>
      </c>
      <c r="J1406" t="s">
        <v>29365</v>
      </c>
      <c r="K1406" t="s">
        <v>37234</v>
      </c>
      <c r="M1406" t="s">
        <v>37617</v>
      </c>
      <c r="N1406" t="s">
        <v>41249</v>
      </c>
      <c r="O1406" t="s">
        <v>41250</v>
      </c>
      <c r="P1406">
        <v>0</v>
      </c>
      <c r="Q1406">
        <v>0</v>
      </c>
      <c r="R1406" t="s">
        <v>41251</v>
      </c>
      <c r="S1406" t="s">
        <v>41369</v>
      </c>
      <c r="T1406" t="s">
        <v>42787</v>
      </c>
      <c r="U1406" t="s">
        <v>44419</v>
      </c>
      <c r="W1406" t="s">
        <v>37617</v>
      </c>
      <c r="X1406" t="s">
        <v>41252</v>
      </c>
    </row>
    <row r="1407" spans="1:24">
      <c r="A1407">
        <f>HYPERLINK("https://www.philgeps.gov.ph/GEPSNONPILOT/Tender/SplashBidNoticeAbstractUI.aspx?menuIndex=3&amp;refID=7077724&amp;Result=3","7077724")</f>
        <v>0</v>
      </c>
      <c r="B1407" t="s">
        <v>656</v>
      </c>
      <c r="C1407" t="s">
        <v>4727</v>
      </c>
      <c r="D1407" t="s">
        <v>16607</v>
      </c>
      <c r="E1407" t="s">
        <v>18035</v>
      </c>
      <c r="F1407" t="s">
        <v>28669</v>
      </c>
      <c r="G1407" t="s">
        <v>28676</v>
      </c>
      <c r="H1407" t="s">
        <v>28686</v>
      </c>
      <c r="I1407" t="s">
        <v>28725</v>
      </c>
      <c r="J1407" t="s">
        <v>29813</v>
      </c>
      <c r="K1407" t="s">
        <v>37291</v>
      </c>
      <c r="M1407" t="s">
        <v>38157</v>
      </c>
      <c r="N1407" t="s">
        <v>41249</v>
      </c>
      <c r="O1407" t="s">
        <v>41250</v>
      </c>
      <c r="P1407">
        <v>0</v>
      </c>
      <c r="Q1407">
        <v>0</v>
      </c>
      <c r="R1407" t="s">
        <v>41251</v>
      </c>
      <c r="S1407" t="s">
        <v>41369</v>
      </c>
      <c r="T1407" t="s">
        <v>42671</v>
      </c>
      <c r="U1407" t="s">
        <v>44420</v>
      </c>
      <c r="W1407" t="s">
        <v>38157</v>
      </c>
      <c r="X1407" t="s">
        <v>41252</v>
      </c>
    </row>
    <row r="1408" spans="1:24">
      <c r="A1408">
        <f>HYPERLINK("https://www.philgeps.gov.ph/GEPSNONPILOT/Tender/SplashBidNoticeAbstractUI.aspx?menuIndex=3&amp;refID=7077738&amp;Result=3","7077738")</f>
        <v>0</v>
      </c>
      <c r="B1408" t="s">
        <v>657</v>
      </c>
      <c r="C1408" t="s">
        <v>4728</v>
      </c>
      <c r="D1408" t="s">
        <v>16616</v>
      </c>
      <c r="E1408" t="s">
        <v>17014</v>
      </c>
      <c r="F1408" t="s">
        <v>28669</v>
      </c>
      <c r="G1408" t="s">
        <v>28675</v>
      </c>
      <c r="H1408" t="s">
        <v>9998</v>
      </c>
      <c r="I1408" t="s">
        <v>7352</v>
      </c>
      <c r="J1408" t="s">
        <v>29814</v>
      </c>
      <c r="K1408" t="s">
        <v>37220</v>
      </c>
      <c r="M1408" t="s">
        <v>38158</v>
      </c>
      <c r="N1408" t="s">
        <v>41249</v>
      </c>
      <c r="O1408" t="s">
        <v>41250</v>
      </c>
      <c r="P1408">
        <v>0</v>
      </c>
      <c r="Q1408">
        <v>0</v>
      </c>
      <c r="R1408" t="s">
        <v>41251</v>
      </c>
      <c r="S1408" t="s">
        <v>41369</v>
      </c>
      <c r="T1408" t="s">
        <v>42726</v>
      </c>
      <c r="U1408" t="s">
        <v>44421</v>
      </c>
      <c r="W1408" t="s">
        <v>38158</v>
      </c>
      <c r="X1408" t="s">
        <v>41252</v>
      </c>
    </row>
    <row r="1409" spans="1:24">
      <c r="A1409">
        <f>HYPERLINK("https://www.philgeps.gov.ph/GEPSNONPILOT/Tender/SplashBidNoticeAbstractUI.aspx?menuIndex=3&amp;refID=7077746&amp;Result=3","7077746")</f>
        <v>0</v>
      </c>
      <c r="B1409" t="s">
        <v>658</v>
      </c>
      <c r="C1409" t="s">
        <v>4729</v>
      </c>
      <c r="D1409" t="s">
        <v>16622</v>
      </c>
      <c r="E1409" t="s">
        <v>18036</v>
      </c>
      <c r="F1409" t="s">
        <v>28669</v>
      </c>
      <c r="G1409" t="s">
        <v>28676</v>
      </c>
      <c r="H1409" t="s">
        <v>9998</v>
      </c>
      <c r="I1409" t="s">
        <v>28766</v>
      </c>
      <c r="J1409" t="s">
        <v>28845</v>
      </c>
      <c r="K1409" t="s">
        <v>37209</v>
      </c>
      <c r="M1409" t="s">
        <v>38159</v>
      </c>
      <c r="N1409" t="s">
        <v>41249</v>
      </c>
      <c r="O1409" t="s">
        <v>41250</v>
      </c>
      <c r="P1409">
        <v>0</v>
      </c>
      <c r="Q1409">
        <v>3</v>
      </c>
      <c r="R1409" t="s">
        <v>41251</v>
      </c>
      <c r="S1409" t="s">
        <v>41369</v>
      </c>
      <c r="T1409" t="s">
        <v>42757</v>
      </c>
      <c r="U1409" t="s">
        <v>44422</v>
      </c>
      <c r="W1409" t="s">
        <v>38159</v>
      </c>
      <c r="X1409" t="s">
        <v>41252</v>
      </c>
    </row>
    <row r="1410" spans="1:24">
      <c r="A1410">
        <f>HYPERLINK("https://www.philgeps.gov.ph/GEPSNONPILOT/Tender/SplashBidNoticeAbstractUI.aspx?menuIndex=3&amp;refID=7077735&amp;Result=3","7077735")</f>
        <v>0</v>
      </c>
      <c r="B1410" t="s">
        <v>603</v>
      </c>
      <c r="C1410" t="s">
        <v>4730</v>
      </c>
      <c r="D1410" t="s">
        <v>16615</v>
      </c>
      <c r="E1410" t="s">
        <v>18037</v>
      </c>
      <c r="F1410" t="s">
        <v>28669</v>
      </c>
      <c r="G1410" t="s">
        <v>28677</v>
      </c>
      <c r="H1410" t="s">
        <v>9998</v>
      </c>
      <c r="I1410" t="s">
        <v>28693</v>
      </c>
      <c r="J1410" t="s">
        <v>29815</v>
      </c>
      <c r="K1410" t="s">
        <v>37205</v>
      </c>
      <c r="M1410" t="s">
        <v>38103</v>
      </c>
      <c r="N1410" t="s">
        <v>41249</v>
      </c>
      <c r="O1410" t="s">
        <v>41250</v>
      </c>
      <c r="P1410">
        <v>0</v>
      </c>
      <c r="Q1410">
        <v>11</v>
      </c>
      <c r="R1410" t="s">
        <v>41251</v>
      </c>
      <c r="S1410" t="s">
        <v>41369</v>
      </c>
      <c r="T1410" t="s">
        <v>42717</v>
      </c>
      <c r="U1410" t="s">
        <v>44423</v>
      </c>
      <c r="W1410" t="s">
        <v>38103</v>
      </c>
      <c r="X1410" t="s">
        <v>41252</v>
      </c>
    </row>
    <row r="1411" spans="1:24">
      <c r="A1411">
        <f>HYPERLINK("https://www.philgeps.gov.ph/GEPSNONPILOT/Tender/SplashBidNoticeAbstractUI.aspx?menuIndex=3&amp;refID=7077745&amp;Result=3","7077745")</f>
        <v>0</v>
      </c>
      <c r="B1411" t="s">
        <v>267</v>
      </c>
      <c r="C1411" t="s">
        <v>4731</v>
      </c>
      <c r="D1411" t="s">
        <v>16679</v>
      </c>
      <c r="E1411" t="s">
        <v>18038</v>
      </c>
      <c r="F1411" t="s">
        <v>28669</v>
      </c>
      <c r="G1411" t="s">
        <v>28675</v>
      </c>
      <c r="H1411" t="s">
        <v>28686</v>
      </c>
      <c r="I1411" t="s">
        <v>28689</v>
      </c>
      <c r="J1411" t="s">
        <v>29780</v>
      </c>
      <c r="K1411" t="s">
        <v>37220</v>
      </c>
      <c r="M1411" t="s">
        <v>38160</v>
      </c>
      <c r="N1411" t="s">
        <v>41249</v>
      </c>
      <c r="O1411" t="s">
        <v>41250</v>
      </c>
      <c r="P1411">
        <v>0</v>
      </c>
      <c r="Q1411">
        <v>3</v>
      </c>
      <c r="R1411" t="s">
        <v>41251</v>
      </c>
      <c r="S1411" t="s">
        <v>41369</v>
      </c>
      <c r="T1411" t="s">
        <v>42783</v>
      </c>
      <c r="U1411" t="s">
        <v>43621</v>
      </c>
      <c r="V1411" t="s">
        <v>54409</v>
      </c>
      <c r="W1411" t="s">
        <v>55924</v>
      </c>
      <c r="X1411" t="s">
        <v>41252</v>
      </c>
    </row>
    <row r="1412" spans="1:24">
      <c r="A1412">
        <f>HYPERLINK("https://www.philgeps.gov.ph/GEPSNONPILOT/Tender/SplashBidNoticeAbstractUI.aspx?menuIndex=3&amp;refID=7077669&amp;Result=3","7077669")</f>
        <v>0</v>
      </c>
      <c r="B1412" t="s">
        <v>659</v>
      </c>
      <c r="C1412" t="s">
        <v>4732</v>
      </c>
      <c r="D1412" t="s">
        <v>16643</v>
      </c>
      <c r="E1412" t="s">
        <v>18039</v>
      </c>
      <c r="F1412" t="s">
        <v>28669</v>
      </c>
      <c r="G1412" t="s">
        <v>28675</v>
      </c>
      <c r="H1412" t="s">
        <v>9998</v>
      </c>
      <c r="I1412" t="s">
        <v>6606</v>
      </c>
      <c r="J1412" t="s">
        <v>29538</v>
      </c>
      <c r="K1412" t="s">
        <v>37204</v>
      </c>
      <c r="M1412" t="s">
        <v>38161</v>
      </c>
      <c r="N1412" t="s">
        <v>41249</v>
      </c>
      <c r="O1412" t="s">
        <v>41250</v>
      </c>
      <c r="P1412">
        <v>0</v>
      </c>
      <c r="Q1412">
        <v>0</v>
      </c>
      <c r="R1412" t="s">
        <v>41251</v>
      </c>
      <c r="S1412" t="s">
        <v>41369</v>
      </c>
      <c r="T1412" t="s">
        <v>42690</v>
      </c>
      <c r="U1412" t="s">
        <v>44424</v>
      </c>
      <c r="W1412" t="s">
        <v>55925</v>
      </c>
      <c r="X1412" t="s">
        <v>41252</v>
      </c>
    </row>
    <row r="1413" spans="1:24">
      <c r="A1413">
        <f>HYPERLINK("https://www.philgeps.gov.ph/GEPSNONPILOT/Tender/SplashBidNoticeAbstractUI.aspx?menuIndex=3&amp;refID=7077728&amp;Result=3","7077728")</f>
        <v>0</v>
      </c>
      <c r="B1413" t="s">
        <v>636</v>
      </c>
      <c r="C1413" t="s">
        <v>4733</v>
      </c>
      <c r="D1413" t="s">
        <v>16648</v>
      </c>
      <c r="E1413" t="s">
        <v>18040</v>
      </c>
      <c r="F1413" t="s">
        <v>28669</v>
      </c>
      <c r="G1413" t="s">
        <v>28676</v>
      </c>
      <c r="H1413" t="s">
        <v>9998</v>
      </c>
      <c r="I1413" t="s">
        <v>7352</v>
      </c>
      <c r="J1413" t="s">
        <v>29816</v>
      </c>
      <c r="K1413" t="s">
        <v>37210</v>
      </c>
      <c r="M1413" t="s">
        <v>38137</v>
      </c>
      <c r="N1413" t="s">
        <v>41249</v>
      </c>
      <c r="O1413" t="s">
        <v>41250</v>
      </c>
      <c r="P1413">
        <v>0</v>
      </c>
      <c r="Q1413">
        <v>0</v>
      </c>
      <c r="R1413" t="s">
        <v>41251</v>
      </c>
      <c r="S1413" t="s">
        <v>41369</v>
      </c>
      <c r="T1413" t="s">
        <v>42673</v>
      </c>
      <c r="U1413" t="s">
        <v>44425</v>
      </c>
      <c r="W1413" t="s">
        <v>38137</v>
      </c>
      <c r="X1413" t="s">
        <v>41252</v>
      </c>
    </row>
    <row r="1414" spans="1:24">
      <c r="A1414">
        <f>HYPERLINK("https://www.philgeps.gov.ph/GEPSNONPILOT/Tender/SplashBidNoticeAbstractUI.aspx?menuIndex=3&amp;refID=7077743&amp;Result=3","7077743")</f>
        <v>0</v>
      </c>
      <c r="B1414" t="s">
        <v>628</v>
      </c>
      <c r="C1414" t="s">
        <v>4734</v>
      </c>
      <c r="D1414" t="s">
        <v>16621</v>
      </c>
      <c r="E1414" t="s">
        <v>18041</v>
      </c>
      <c r="F1414" t="s">
        <v>28669</v>
      </c>
      <c r="G1414" t="s">
        <v>28675</v>
      </c>
      <c r="H1414" t="s">
        <v>9998</v>
      </c>
      <c r="I1414" t="s">
        <v>3718</v>
      </c>
      <c r="J1414" t="s">
        <v>28889</v>
      </c>
      <c r="K1414" t="s">
        <v>37206</v>
      </c>
      <c r="M1414" t="s">
        <v>38128</v>
      </c>
      <c r="N1414" t="s">
        <v>41249</v>
      </c>
      <c r="O1414" t="s">
        <v>41250</v>
      </c>
      <c r="P1414">
        <v>0</v>
      </c>
      <c r="Q1414">
        <v>2</v>
      </c>
      <c r="R1414" t="s">
        <v>41251</v>
      </c>
      <c r="S1414" t="s">
        <v>41369</v>
      </c>
      <c r="T1414" t="s">
        <v>42818</v>
      </c>
      <c r="U1414" t="s">
        <v>44426</v>
      </c>
      <c r="V1414" t="s">
        <v>54406</v>
      </c>
      <c r="W1414" t="s">
        <v>38128</v>
      </c>
      <c r="X1414" t="s">
        <v>41252</v>
      </c>
    </row>
    <row r="1415" spans="1:24">
      <c r="A1415">
        <f>HYPERLINK("https://www.philgeps.gov.ph/GEPSNONPILOT/Tender/SplashBidNoticeAbstractUI.aspx?menuIndex=3&amp;refID=7077725&amp;Result=3","7077725")</f>
        <v>0</v>
      </c>
      <c r="B1415" t="s">
        <v>580</v>
      </c>
      <c r="C1415" t="s">
        <v>4735</v>
      </c>
      <c r="D1415" t="s">
        <v>16640</v>
      </c>
      <c r="E1415" t="s">
        <v>18042</v>
      </c>
      <c r="F1415" t="s">
        <v>28669</v>
      </c>
      <c r="G1415" t="s">
        <v>28675</v>
      </c>
      <c r="H1415" t="s">
        <v>28686</v>
      </c>
      <c r="I1415" t="s">
        <v>7352</v>
      </c>
      <c r="J1415" t="s">
        <v>29817</v>
      </c>
      <c r="K1415" t="s">
        <v>37205</v>
      </c>
      <c r="M1415" t="s">
        <v>38079</v>
      </c>
      <c r="N1415" t="s">
        <v>41249</v>
      </c>
      <c r="O1415" t="s">
        <v>41250</v>
      </c>
      <c r="P1415">
        <v>0</v>
      </c>
      <c r="Q1415">
        <v>0</v>
      </c>
      <c r="R1415" t="s">
        <v>41251</v>
      </c>
      <c r="S1415" t="s">
        <v>41369</v>
      </c>
      <c r="T1415" t="s">
        <v>42714</v>
      </c>
      <c r="U1415" t="s">
        <v>44427</v>
      </c>
      <c r="V1415" t="s">
        <v>54418</v>
      </c>
      <c r="W1415" t="s">
        <v>38079</v>
      </c>
      <c r="X1415" t="s">
        <v>41252</v>
      </c>
    </row>
    <row r="1416" spans="1:24">
      <c r="A1416">
        <f>HYPERLINK("https://www.philgeps.gov.ph/GEPSNONPILOT/Tender/SplashBidNoticeAbstractUI.aspx?menuIndex=3&amp;refID=7077748&amp;Result=3","7077748")</f>
        <v>0</v>
      </c>
      <c r="B1416" t="s">
        <v>564</v>
      </c>
      <c r="C1416" t="s">
        <v>4736</v>
      </c>
      <c r="D1416" t="s">
        <v>16627</v>
      </c>
      <c r="E1416" t="s">
        <v>18043</v>
      </c>
      <c r="F1416" t="s">
        <v>28669</v>
      </c>
      <c r="G1416" t="s">
        <v>28675</v>
      </c>
      <c r="H1416" t="s">
        <v>9998</v>
      </c>
      <c r="I1416" t="s">
        <v>28704</v>
      </c>
      <c r="J1416" t="s">
        <v>29818</v>
      </c>
      <c r="K1416" t="s">
        <v>37206</v>
      </c>
      <c r="M1416" t="s">
        <v>38060</v>
      </c>
      <c r="N1416" t="s">
        <v>41249</v>
      </c>
      <c r="O1416" t="s">
        <v>41250</v>
      </c>
      <c r="P1416">
        <v>0</v>
      </c>
      <c r="Q1416">
        <v>0</v>
      </c>
      <c r="R1416" t="s">
        <v>41251</v>
      </c>
      <c r="S1416" t="s">
        <v>41369</v>
      </c>
      <c r="T1416" t="s">
        <v>42704</v>
      </c>
      <c r="U1416" t="s">
        <v>44428</v>
      </c>
      <c r="V1416" t="s">
        <v>54383</v>
      </c>
      <c r="W1416" t="s">
        <v>38060</v>
      </c>
      <c r="X1416" t="s">
        <v>41252</v>
      </c>
    </row>
    <row r="1417" spans="1:24">
      <c r="A1417">
        <f>HYPERLINK("https://www.philgeps.gov.ph/GEPSNONPILOT/Tender/SplashBidNoticeAbstractUI.aspx?menuIndex=3&amp;refID=7077747&amp;Result=3","7077747")</f>
        <v>0</v>
      </c>
      <c r="B1417" t="s">
        <v>649</v>
      </c>
      <c r="C1417" t="s">
        <v>4737</v>
      </c>
      <c r="D1417" t="s">
        <v>16675</v>
      </c>
      <c r="E1417" t="s">
        <v>18020</v>
      </c>
      <c r="F1417" t="s">
        <v>28669</v>
      </c>
      <c r="G1417" t="s">
        <v>28676</v>
      </c>
      <c r="H1417" t="s">
        <v>9998</v>
      </c>
      <c r="I1417" t="s">
        <v>28761</v>
      </c>
      <c r="J1417" t="s">
        <v>29819</v>
      </c>
      <c r="K1417" t="s">
        <v>37209</v>
      </c>
      <c r="M1417" t="s">
        <v>38150</v>
      </c>
      <c r="N1417" t="s">
        <v>41249</v>
      </c>
      <c r="O1417" t="s">
        <v>41250</v>
      </c>
      <c r="P1417">
        <v>0</v>
      </c>
      <c r="Q1417">
        <v>1</v>
      </c>
      <c r="R1417" t="s">
        <v>41251</v>
      </c>
      <c r="S1417" t="s">
        <v>41369</v>
      </c>
      <c r="T1417" t="s">
        <v>42706</v>
      </c>
      <c r="U1417" t="s">
        <v>44429</v>
      </c>
      <c r="W1417" t="s">
        <v>38150</v>
      </c>
      <c r="X1417" t="s">
        <v>41252</v>
      </c>
    </row>
    <row r="1418" spans="1:24">
      <c r="A1418">
        <f>HYPERLINK("https://www.philgeps.gov.ph/GEPSNONPILOT/Tender/SplashBidNoticeAbstractUI.aspx?menuIndex=3&amp;refID=7077744&amp;Result=3","7077744")</f>
        <v>0</v>
      </c>
      <c r="B1418" t="s">
        <v>660</v>
      </c>
      <c r="C1418" t="s">
        <v>4738</v>
      </c>
      <c r="D1418" t="s">
        <v>16626</v>
      </c>
      <c r="E1418" t="s">
        <v>18044</v>
      </c>
      <c r="F1418" t="s">
        <v>28669</v>
      </c>
      <c r="G1418" t="s">
        <v>28676</v>
      </c>
      <c r="H1418" t="s">
        <v>9998</v>
      </c>
      <c r="I1418" t="s">
        <v>7352</v>
      </c>
      <c r="J1418" t="s">
        <v>29820</v>
      </c>
      <c r="K1418" t="s">
        <v>37206</v>
      </c>
      <c r="M1418" t="s">
        <v>38162</v>
      </c>
      <c r="N1418" t="s">
        <v>41249</v>
      </c>
      <c r="O1418" t="s">
        <v>41250</v>
      </c>
      <c r="P1418">
        <v>0</v>
      </c>
      <c r="Q1418">
        <v>0</v>
      </c>
      <c r="R1418" t="s">
        <v>41251</v>
      </c>
      <c r="S1418" t="s">
        <v>41369</v>
      </c>
      <c r="T1418" t="s">
        <v>42683</v>
      </c>
      <c r="U1418" t="s">
        <v>44430</v>
      </c>
      <c r="V1418" t="s">
        <v>54419</v>
      </c>
      <c r="W1418" t="s">
        <v>38162</v>
      </c>
      <c r="X1418" t="s">
        <v>41252</v>
      </c>
    </row>
    <row r="1419" spans="1:24">
      <c r="A1419">
        <f>HYPERLINK("https://www.philgeps.gov.ph/GEPSNONPILOT/Tender/SplashBidNoticeAbstractUI.aspx?menuIndex=3&amp;refID=7077742&amp;Result=3","7077742")</f>
        <v>0</v>
      </c>
      <c r="B1419" t="s">
        <v>439</v>
      </c>
      <c r="C1419" t="s">
        <v>4739</v>
      </c>
      <c r="D1419" t="s">
        <v>16608</v>
      </c>
      <c r="E1419" t="s">
        <v>18045</v>
      </c>
      <c r="F1419" t="s">
        <v>28669</v>
      </c>
      <c r="G1419" t="s">
        <v>28675</v>
      </c>
      <c r="H1419" t="s">
        <v>9998</v>
      </c>
      <c r="I1419" t="s">
        <v>7352</v>
      </c>
      <c r="J1419" t="s">
        <v>29821</v>
      </c>
      <c r="K1419" t="s">
        <v>37220</v>
      </c>
      <c r="M1419" t="s">
        <v>37924</v>
      </c>
      <c r="N1419" t="s">
        <v>41249</v>
      </c>
      <c r="O1419" t="s">
        <v>41250</v>
      </c>
      <c r="P1419">
        <v>0</v>
      </c>
      <c r="Q1419">
        <v>0</v>
      </c>
      <c r="R1419" t="s">
        <v>41251</v>
      </c>
      <c r="S1419" t="s">
        <v>41369</v>
      </c>
      <c r="T1419" t="s">
        <v>42661</v>
      </c>
      <c r="U1419" t="s">
        <v>44431</v>
      </c>
      <c r="W1419" t="s">
        <v>37924</v>
      </c>
      <c r="X1419" t="s">
        <v>41252</v>
      </c>
    </row>
    <row r="1420" spans="1:24">
      <c r="A1420">
        <f>HYPERLINK("https://www.philgeps.gov.ph/GEPSNONPILOT/Tender/SplashBidNoticeAbstractUI.aspx?menuIndex=3&amp;refID=7077741&amp;Result=3","7077741")</f>
        <v>0</v>
      </c>
      <c r="B1420" t="s">
        <v>636</v>
      </c>
      <c r="C1420" t="s">
        <v>4740</v>
      </c>
      <c r="D1420" t="s">
        <v>16648</v>
      </c>
      <c r="E1420" t="s">
        <v>18046</v>
      </c>
      <c r="F1420" t="s">
        <v>28669</v>
      </c>
      <c r="G1420" t="s">
        <v>28676</v>
      </c>
      <c r="H1420" t="s">
        <v>9998</v>
      </c>
      <c r="I1420" t="s">
        <v>28690</v>
      </c>
      <c r="J1420" t="s">
        <v>29822</v>
      </c>
      <c r="K1420" t="s">
        <v>37210</v>
      </c>
      <c r="M1420" t="s">
        <v>38137</v>
      </c>
      <c r="N1420" t="s">
        <v>41249</v>
      </c>
      <c r="O1420" t="s">
        <v>41250</v>
      </c>
      <c r="P1420">
        <v>0</v>
      </c>
      <c r="Q1420">
        <v>1</v>
      </c>
      <c r="R1420" t="s">
        <v>41251</v>
      </c>
      <c r="S1420" t="s">
        <v>41369</v>
      </c>
      <c r="T1420" t="s">
        <v>42694</v>
      </c>
      <c r="U1420" t="s">
        <v>44432</v>
      </c>
      <c r="W1420" t="s">
        <v>38137</v>
      </c>
      <c r="X1420" t="s">
        <v>41252</v>
      </c>
    </row>
    <row r="1421" spans="1:24">
      <c r="A1421">
        <f>HYPERLINK("https://www.philgeps.gov.ph/GEPSNONPILOT/Tender/SplashBidNoticeAbstractUI.aspx?menuIndex=3&amp;refID=7077726&amp;Result=3","7077726")</f>
        <v>0</v>
      </c>
      <c r="B1421" t="s">
        <v>661</v>
      </c>
      <c r="C1421" t="s">
        <v>4741</v>
      </c>
      <c r="E1421" t="s">
        <v>18047</v>
      </c>
      <c r="F1421" t="s">
        <v>28669</v>
      </c>
      <c r="G1421" t="s">
        <v>28675</v>
      </c>
      <c r="H1421" t="s">
        <v>9998</v>
      </c>
      <c r="I1421" t="s">
        <v>28751</v>
      </c>
      <c r="J1421" t="s">
        <v>29047</v>
      </c>
      <c r="K1421" t="s">
        <v>37209</v>
      </c>
      <c r="M1421" t="s">
        <v>38163</v>
      </c>
      <c r="N1421" t="s">
        <v>41249</v>
      </c>
      <c r="O1421" t="s">
        <v>41250</v>
      </c>
      <c r="P1421">
        <v>0</v>
      </c>
      <c r="Q1421">
        <v>0</v>
      </c>
      <c r="R1421" t="s">
        <v>41251</v>
      </c>
      <c r="S1421" t="s">
        <v>41369</v>
      </c>
      <c r="T1421" t="s">
        <v>42661</v>
      </c>
      <c r="U1421" t="s">
        <v>44433</v>
      </c>
      <c r="V1421" t="s">
        <v>54420</v>
      </c>
      <c r="W1421" t="s">
        <v>38163</v>
      </c>
      <c r="X1421" t="s">
        <v>41252</v>
      </c>
    </row>
    <row r="1422" spans="1:24">
      <c r="A1422">
        <f>HYPERLINK("https://www.philgeps.gov.ph/GEPSNONPILOT/Tender/SplashBidNoticeAbstractUI.aspx?menuIndex=3&amp;refID=7077749&amp;Result=3","7077749")</f>
        <v>0</v>
      </c>
      <c r="B1422" t="s">
        <v>662</v>
      </c>
      <c r="C1422" t="s">
        <v>4742</v>
      </c>
      <c r="D1422" t="s">
        <v>16635</v>
      </c>
      <c r="E1422" t="s">
        <v>18048</v>
      </c>
      <c r="F1422" t="s">
        <v>28669</v>
      </c>
      <c r="G1422" t="s">
        <v>28676</v>
      </c>
      <c r="H1422" t="s">
        <v>9998</v>
      </c>
      <c r="I1422" t="s">
        <v>11593</v>
      </c>
      <c r="J1422" t="s">
        <v>28834</v>
      </c>
      <c r="K1422" t="s">
        <v>37206</v>
      </c>
      <c r="M1422" t="s">
        <v>38164</v>
      </c>
      <c r="N1422" t="s">
        <v>41249</v>
      </c>
      <c r="O1422" t="s">
        <v>41250</v>
      </c>
      <c r="P1422">
        <v>0</v>
      </c>
      <c r="Q1422">
        <v>1</v>
      </c>
      <c r="R1422" t="s">
        <v>41251</v>
      </c>
      <c r="S1422" t="s">
        <v>41369</v>
      </c>
      <c r="T1422" t="s">
        <v>42759</v>
      </c>
      <c r="U1422" t="s">
        <v>44434</v>
      </c>
      <c r="W1422" t="s">
        <v>38164</v>
      </c>
      <c r="X1422" t="s">
        <v>41252</v>
      </c>
    </row>
    <row r="1423" spans="1:24">
      <c r="A1423">
        <f>HYPERLINK("https://www.philgeps.gov.ph/GEPSNONPILOT/Tender/SplashBidNoticeAbstractUI.aspx?menuIndex=3&amp;refID=7077773&amp;Result=3","7077773")</f>
        <v>0</v>
      </c>
      <c r="B1423" t="s">
        <v>212</v>
      </c>
      <c r="C1423" t="s">
        <v>4743</v>
      </c>
      <c r="D1423" t="s">
        <v>16642</v>
      </c>
      <c r="E1423" t="s">
        <v>18049</v>
      </c>
      <c r="F1423" t="s">
        <v>28669</v>
      </c>
      <c r="G1423" t="s">
        <v>28676</v>
      </c>
      <c r="H1423" t="s">
        <v>9998</v>
      </c>
      <c r="I1423" t="s">
        <v>28722</v>
      </c>
      <c r="J1423" t="s">
        <v>29823</v>
      </c>
      <c r="K1423" t="s">
        <v>37205</v>
      </c>
      <c r="M1423" t="s">
        <v>38165</v>
      </c>
      <c r="N1423" t="s">
        <v>41249</v>
      </c>
      <c r="O1423" t="s">
        <v>41250</v>
      </c>
      <c r="P1423">
        <v>0</v>
      </c>
      <c r="Q1423">
        <v>0</v>
      </c>
      <c r="R1423" t="s">
        <v>41251</v>
      </c>
      <c r="S1423" t="s">
        <v>41369</v>
      </c>
      <c r="T1423" t="s">
        <v>42675</v>
      </c>
      <c r="U1423" t="s">
        <v>44435</v>
      </c>
      <c r="W1423" t="s">
        <v>38165</v>
      </c>
      <c r="X1423" t="s">
        <v>41252</v>
      </c>
    </row>
    <row r="1424" spans="1:24">
      <c r="A1424">
        <f>HYPERLINK("https://www.philgeps.gov.ph/GEPSNONPILOT/Tender/SplashBidNoticeAbstractUI.aspx?menuIndex=3&amp;refID=7077779&amp;Result=3","7077779")</f>
        <v>0</v>
      </c>
      <c r="B1424" t="s">
        <v>663</v>
      </c>
      <c r="C1424" t="s">
        <v>4744</v>
      </c>
      <c r="D1424" t="s">
        <v>16615</v>
      </c>
      <c r="E1424" t="s">
        <v>18050</v>
      </c>
      <c r="F1424" t="s">
        <v>28669</v>
      </c>
      <c r="G1424" t="s">
        <v>28675</v>
      </c>
      <c r="H1424" t="s">
        <v>9998</v>
      </c>
      <c r="I1424" t="s">
        <v>7352</v>
      </c>
      <c r="J1424" t="s">
        <v>29824</v>
      </c>
      <c r="K1424" t="s">
        <v>37206</v>
      </c>
      <c r="L1424" t="s">
        <v>663</v>
      </c>
      <c r="M1424" t="s">
        <v>38166</v>
      </c>
      <c r="N1424" t="s">
        <v>41249</v>
      </c>
      <c r="O1424" t="s">
        <v>41250</v>
      </c>
      <c r="P1424">
        <v>0</v>
      </c>
      <c r="Q1424">
        <v>0</v>
      </c>
      <c r="R1424" t="s">
        <v>41251</v>
      </c>
      <c r="S1424" t="s">
        <v>41369</v>
      </c>
      <c r="T1424" t="s">
        <v>42722</v>
      </c>
      <c r="U1424" t="s">
        <v>44436</v>
      </c>
      <c r="W1424" t="s">
        <v>38166</v>
      </c>
      <c r="X1424" t="s">
        <v>41252</v>
      </c>
    </row>
    <row r="1425" spans="1:24">
      <c r="A1425">
        <f>HYPERLINK("https://www.philgeps.gov.ph/GEPSNONPILOT/Tender/SplashBidNoticeAbstractUI.aspx?menuIndex=3&amp;refID=7077771&amp;Result=3","7077771")</f>
        <v>0</v>
      </c>
      <c r="B1425" t="s">
        <v>637</v>
      </c>
      <c r="C1425" t="s">
        <v>4745</v>
      </c>
      <c r="D1425" t="s">
        <v>16647</v>
      </c>
      <c r="E1425" t="s">
        <v>18051</v>
      </c>
      <c r="F1425" t="s">
        <v>28669</v>
      </c>
      <c r="G1425" t="s">
        <v>28676</v>
      </c>
      <c r="H1425" t="s">
        <v>9998</v>
      </c>
      <c r="I1425" t="s">
        <v>6128</v>
      </c>
      <c r="J1425" t="s">
        <v>29825</v>
      </c>
      <c r="K1425" t="s">
        <v>37213</v>
      </c>
      <c r="M1425" t="s">
        <v>38138</v>
      </c>
      <c r="N1425" t="s">
        <v>41249</v>
      </c>
      <c r="O1425" t="s">
        <v>41250</v>
      </c>
      <c r="P1425">
        <v>0</v>
      </c>
      <c r="Q1425">
        <v>0</v>
      </c>
      <c r="R1425" t="s">
        <v>41251</v>
      </c>
      <c r="S1425" t="s">
        <v>41369</v>
      </c>
      <c r="T1425" t="s">
        <v>42716</v>
      </c>
      <c r="U1425" t="s">
        <v>44378</v>
      </c>
      <c r="W1425" t="s">
        <v>38138</v>
      </c>
      <c r="X1425" t="s">
        <v>41252</v>
      </c>
    </row>
    <row r="1426" spans="1:24">
      <c r="A1426">
        <f>HYPERLINK("https://www.philgeps.gov.ph/GEPSNONPILOT/Tender/SplashBidNoticeAbstractUI.aspx?menuIndex=3&amp;refID=7077769&amp;Result=3","7077769")</f>
        <v>0</v>
      </c>
      <c r="B1426" t="s">
        <v>197</v>
      </c>
      <c r="C1426" t="s">
        <v>4746</v>
      </c>
      <c r="D1426" t="s">
        <v>16609</v>
      </c>
      <c r="E1426" t="s">
        <v>18052</v>
      </c>
      <c r="F1426" t="s">
        <v>28669</v>
      </c>
      <c r="G1426" t="s">
        <v>28682</v>
      </c>
      <c r="H1426" t="s">
        <v>28686</v>
      </c>
      <c r="I1426" t="s">
        <v>28689</v>
      </c>
      <c r="J1426" t="s">
        <v>29826</v>
      </c>
      <c r="K1426" t="s">
        <v>37214</v>
      </c>
      <c r="M1426" t="s">
        <v>37675</v>
      </c>
      <c r="N1426" t="s">
        <v>41249</v>
      </c>
      <c r="O1426" t="s">
        <v>41250</v>
      </c>
      <c r="P1426">
        <v>0</v>
      </c>
      <c r="Q1426">
        <v>0</v>
      </c>
      <c r="R1426" t="s">
        <v>41251</v>
      </c>
      <c r="S1426" t="s">
        <v>41369</v>
      </c>
      <c r="T1426" t="s">
        <v>42688</v>
      </c>
      <c r="U1426" t="s">
        <v>44437</v>
      </c>
      <c r="W1426" t="s">
        <v>37675</v>
      </c>
      <c r="X1426" t="s">
        <v>41252</v>
      </c>
    </row>
    <row r="1427" spans="1:24">
      <c r="A1427">
        <f>HYPERLINK("https://www.philgeps.gov.ph/GEPSNONPILOT/Tender/SplashBidNoticeAbstractUI.aspx?menuIndex=3&amp;refID=7077768&amp;Result=3","7077768")</f>
        <v>0</v>
      </c>
      <c r="B1427" t="s">
        <v>193</v>
      </c>
      <c r="C1427" t="s">
        <v>4747</v>
      </c>
      <c r="D1427" t="s">
        <v>16658</v>
      </c>
      <c r="E1427" t="s">
        <v>18053</v>
      </c>
      <c r="F1427" t="s">
        <v>28669</v>
      </c>
      <c r="G1427" t="s">
        <v>28676</v>
      </c>
      <c r="H1427" t="s">
        <v>9998</v>
      </c>
      <c r="I1427" t="s">
        <v>28721</v>
      </c>
      <c r="J1427" t="s">
        <v>29651</v>
      </c>
      <c r="K1427" t="s">
        <v>37204</v>
      </c>
      <c r="M1427" t="s">
        <v>37671</v>
      </c>
      <c r="N1427" t="s">
        <v>41249</v>
      </c>
      <c r="O1427" t="s">
        <v>41250</v>
      </c>
      <c r="P1427">
        <v>0</v>
      </c>
      <c r="Q1427">
        <v>2</v>
      </c>
      <c r="R1427" t="s">
        <v>41251</v>
      </c>
      <c r="S1427" t="s">
        <v>41369</v>
      </c>
      <c r="T1427" t="s">
        <v>42673</v>
      </c>
      <c r="U1427" t="s">
        <v>44438</v>
      </c>
      <c r="W1427" t="s">
        <v>37671</v>
      </c>
      <c r="X1427" t="s">
        <v>41252</v>
      </c>
    </row>
    <row r="1428" spans="1:24">
      <c r="A1428">
        <f>HYPERLINK("https://www.philgeps.gov.ph/GEPSNONPILOT/Tender/SplashBidNoticeAbstractUI.aspx?menuIndex=3&amp;refID=7077778&amp;Result=3","7077778")</f>
        <v>0</v>
      </c>
      <c r="B1428" t="s">
        <v>664</v>
      </c>
      <c r="C1428" t="s">
        <v>4748</v>
      </c>
      <c r="D1428" t="s">
        <v>16671</v>
      </c>
      <c r="E1428" t="s">
        <v>18054</v>
      </c>
      <c r="F1428" t="s">
        <v>28669</v>
      </c>
      <c r="G1428" t="s">
        <v>28677</v>
      </c>
      <c r="H1428" t="s">
        <v>9998</v>
      </c>
      <c r="I1428" t="s">
        <v>28704</v>
      </c>
      <c r="J1428" t="s">
        <v>29827</v>
      </c>
      <c r="K1428" t="s">
        <v>37209</v>
      </c>
      <c r="M1428" t="s">
        <v>38167</v>
      </c>
      <c r="N1428" t="s">
        <v>41249</v>
      </c>
      <c r="O1428" t="s">
        <v>41250</v>
      </c>
      <c r="P1428">
        <v>0</v>
      </c>
      <c r="Q1428">
        <v>2</v>
      </c>
      <c r="R1428" t="s">
        <v>41251</v>
      </c>
      <c r="S1428" t="s">
        <v>41369</v>
      </c>
      <c r="T1428" t="s">
        <v>42701</v>
      </c>
      <c r="U1428" t="s">
        <v>44439</v>
      </c>
      <c r="W1428" t="s">
        <v>38167</v>
      </c>
      <c r="X1428" t="s">
        <v>41252</v>
      </c>
    </row>
    <row r="1429" spans="1:24">
      <c r="A1429">
        <f>HYPERLINK("https://www.philgeps.gov.ph/GEPSNONPILOT/Tender/SplashBidNoticeAbstractUI.aspx?menuIndex=3&amp;refID=7077764&amp;Result=3","7077764")</f>
        <v>0</v>
      </c>
      <c r="B1429" t="s">
        <v>665</v>
      </c>
      <c r="C1429" t="s">
        <v>4749</v>
      </c>
      <c r="D1429" t="s">
        <v>16608</v>
      </c>
      <c r="E1429" t="s">
        <v>18055</v>
      </c>
      <c r="F1429" t="s">
        <v>28669</v>
      </c>
      <c r="G1429" t="s">
        <v>28677</v>
      </c>
      <c r="H1429" t="s">
        <v>9998</v>
      </c>
      <c r="I1429" t="s">
        <v>5033</v>
      </c>
      <c r="J1429" t="s">
        <v>29828</v>
      </c>
      <c r="K1429" t="s">
        <v>37209</v>
      </c>
      <c r="M1429" t="s">
        <v>38168</v>
      </c>
      <c r="N1429" t="s">
        <v>41249</v>
      </c>
      <c r="O1429" t="s">
        <v>41250</v>
      </c>
      <c r="P1429">
        <v>0</v>
      </c>
      <c r="Q1429">
        <v>10</v>
      </c>
      <c r="R1429" t="s">
        <v>41251</v>
      </c>
      <c r="S1429" t="s">
        <v>41369</v>
      </c>
      <c r="T1429" t="s">
        <v>42701</v>
      </c>
      <c r="U1429" t="s">
        <v>44440</v>
      </c>
      <c r="W1429" t="s">
        <v>38168</v>
      </c>
      <c r="X1429" t="s">
        <v>41252</v>
      </c>
    </row>
    <row r="1430" spans="1:24">
      <c r="A1430">
        <f>HYPERLINK("https://www.philgeps.gov.ph/GEPSNONPILOT/Tender/SplashBidNoticeAbstractUI.aspx?menuIndex=3&amp;refID=7077763&amp;Result=3","7077763")</f>
        <v>0</v>
      </c>
      <c r="B1430" t="s">
        <v>666</v>
      </c>
      <c r="C1430" t="s">
        <v>4750</v>
      </c>
      <c r="D1430" t="s">
        <v>16664</v>
      </c>
      <c r="E1430" t="s">
        <v>18056</v>
      </c>
      <c r="F1430" t="s">
        <v>28669</v>
      </c>
      <c r="G1430" t="s">
        <v>28678</v>
      </c>
      <c r="H1430" t="s">
        <v>9998</v>
      </c>
      <c r="I1430" t="s">
        <v>3718</v>
      </c>
      <c r="J1430" t="s">
        <v>29564</v>
      </c>
      <c r="K1430" t="s">
        <v>37216</v>
      </c>
      <c r="L1430" t="s">
        <v>666</v>
      </c>
      <c r="M1430" t="s">
        <v>38169</v>
      </c>
      <c r="N1430" t="s">
        <v>41249</v>
      </c>
      <c r="O1430" t="s">
        <v>41250</v>
      </c>
      <c r="P1430">
        <v>0</v>
      </c>
      <c r="Q1430">
        <v>0</v>
      </c>
      <c r="R1430" t="s">
        <v>41251</v>
      </c>
      <c r="S1430" t="s">
        <v>41369</v>
      </c>
      <c r="T1430" t="s">
        <v>42738</v>
      </c>
      <c r="U1430" t="s">
        <v>44441</v>
      </c>
      <c r="W1430" t="s">
        <v>38169</v>
      </c>
      <c r="X1430" t="s">
        <v>41252</v>
      </c>
    </row>
    <row r="1431" spans="1:24">
      <c r="A1431">
        <f>HYPERLINK("https://www.philgeps.gov.ph/GEPSNONPILOT/Tender/SplashBidNoticeAbstractUI.aspx?menuIndex=3&amp;refID=7077761&amp;Result=3","7077761")</f>
        <v>0</v>
      </c>
      <c r="B1431" t="s">
        <v>169</v>
      </c>
      <c r="C1431" t="s">
        <v>4751</v>
      </c>
      <c r="D1431" t="s">
        <v>16611</v>
      </c>
      <c r="E1431" t="s">
        <v>18057</v>
      </c>
      <c r="F1431" t="s">
        <v>28669</v>
      </c>
      <c r="G1431" t="s">
        <v>28676</v>
      </c>
      <c r="H1431" t="s">
        <v>28686</v>
      </c>
      <c r="I1431" t="s">
        <v>28689</v>
      </c>
      <c r="J1431" t="s">
        <v>29003</v>
      </c>
      <c r="K1431" t="s">
        <v>37220</v>
      </c>
      <c r="M1431" t="s">
        <v>37936</v>
      </c>
      <c r="N1431" t="s">
        <v>41249</v>
      </c>
      <c r="O1431" t="s">
        <v>41250</v>
      </c>
      <c r="P1431">
        <v>0</v>
      </c>
      <c r="Q1431">
        <v>0</v>
      </c>
      <c r="R1431" t="s">
        <v>41251</v>
      </c>
      <c r="S1431" t="s">
        <v>41369</v>
      </c>
      <c r="T1431" t="s">
        <v>42764</v>
      </c>
      <c r="U1431" t="s">
        <v>44442</v>
      </c>
      <c r="W1431" t="s">
        <v>37936</v>
      </c>
      <c r="X1431" t="s">
        <v>41252</v>
      </c>
    </row>
    <row r="1432" spans="1:24">
      <c r="A1432">
        <f>HYPERLINK("https://www.philgeps.gov.ph/GEPSNONPILOT/Tender/SplashBidNoticeAbstractUI.aspx?menuIndex=3&amp;refID=7077772&amp;Result=3","7077772")</f>
        <v>0</v>
      </c>
      <c r="B1432" t="s">
        <v>667</v>
      </c>
      <c r="C1432" t="s">
        <v>4752</v>
      </c>
      <c r="D1432" t="s">
        <v>16630</v>
      </c>
      <c r="E1432" t="s">
        <v>18058</v>
      </c>
      <c r="F1432" t="s">
        <v>28669</v>
      </c>
      <c r="G1432" t="s">
        <v>28676</v>
      </c>
      <c r="H1432" t="s">
        <v>9998</v>
      </c>
      <c r="I1432" t="s">
        <v>5213</v>
      </c>
      <c r="J1432" t="s">
        <v>29512</v>
      </c>
      <c r="K1432" t="s">
        <v>37204</v>
      </c>
      <c r="M1432" t="s">
        <v>38170</v>
      </c>
      <c r="N1432" t="s">
        <v>41249</v>
      </c>
      <c r="O1432" t="s">
        <v>41250</v>
      </c>
      <c r="P1432">
        <v>0</v>
      </c>
      <c r="Q1432">
        <v>6</v>
      </c>
      <c r="R1432" t="s">
        <v>41251</v>
      </c>
      <c r="S1432" t="s">
        <v>41369</v>
      </c>
      <c r="T1432" t="s">
        <v>42742</v>
      </c>
      <c r="U1432" t="s">
        <v>44443</v>
      </c>
      <c r="W1432" t="s">
        <v>38170</v>
      </c>
      <c r="X1432" t="s">
        <v>41252</v>
      </c>
    </row>
    <row r="1433" spans="1:24">
      <c r="A1433">
        <f>HYPERLINK("https://www.philgeps.gov.ph/GEPSNONPILOT/Tender/SplashBidNoticeAbstractUI.aspx?menuIndex=3&amp;refID=7077753&amp;Result=3","7077753")</f>
        <v>0</v>
      </c>
      <c r="B1433" t="s">
        <v>114</v>
      </c>
      <c r="C1433" t="s">
        <v>4753</v>
      </c>
      <c r="D1433" t="s">
        <v>16608</v>
      </c>
      <c r="E1433" t="s">
        <v>18059</v>
      </c>
      <c r="F1433" t="s">
        <v>28669</v>
      </c>
      <c r="G1433" t="s">
        <v>28677</v>
      </c>
      <c r="H1433" t="s">
        <v>9998</v>
      </c>
      <c r="I1433" t="s">
        <v>5286</v>
      </c>
      <c r="J1433" t="s">
        <v>29829</v>
      </c>
      <c r="K1433" t="s">
        <v>37210</v>
      </c>
      <c r="M1433" t="s">
        <v>37793</v>
      </c>
      <c r="N1433" t="s">
        <v>41249</v>
      </c>
      <c r="O1433" t="s">
        <v>41250</v>
      </c>
      <c r="P1433">
        <v>0</v>
      </c>
      <c r="Q1433">
        <v>2</v>
      </c>
      <c r="R1433" t="s">
        <v>41251</v>
      </c>
      <c r="S1433" t="s">
        <v>41369</v>
      </c>
      <c r="T1433" t="s">
        <v>42741</v>
      </c>
      <c r="U1433" t="s">
        <v>44444</v>
      </c>
      <c r="V1433" t="s">
        <v>54326</v>
      </c>
      <c r="W1433" t="s">
        <v>37793</v>
      </c>
      <c r="X1433" t="s">
        <v>41252</v>
      </c>
    </row>
    <row r="1434" spans="1:24">
      <c r="A1434">
        <f>HYPERLINK("https://www.philgeps.gov.ph/GEPSNONPILOT/Tender/SplashBidNoticeAbstractUI.aspx?menuIndex=3&amp;refID=7077775&amp;Result=3","7077775")</f>
        <v>0</v>
      </c>
      <c r="B1434" t="s">
        <v>439</v>
      </c>
      <c r="C1434" t="s">
        <v>4754</v>
      </c>
      <c r="D1434" t="s">
        <v>16608</v>
      </c>
      <c r="E1434" t="s">
        <v>18060</v>
      </c>
      <c r="F1434" t="s">
        <v>28669</v>
      </c>
      <c r="G1434" t="s">
        <v>28675</v>
      </c>
      <c r="H1434" t="s">
        <v>9998</v>
      </c>
      <c r="I1434" t="s">
        <v>7352</v>
      </c>
      <c r="J1434" t="s">
        <v>29830</v>
      </c>
      <c r="K1434" t="s">
        <v>37220</v>
      </c>
      <c r="M1434" t="s">
        <v>37924</v>
      </c>
      <c r="N1434" t="s">
        <v>41249</v>
      </c>
      <c r="O1434" t="s">
        <v>41250</v>
      </c>
      <c r="P1434">
        <v>0</v>
      </c>
      <c r="Q1434">
        <v>1</v>
      </c>
      <c r="R1434" t="s">
        <v>41251</v>
      </c>
      <c r="S1434" t="s">
        <v>41369</v>
      </c>
      <c r="T1434" t="s">
        <v>42661</v>
      </c>
      <c r="U1434" t="s">
        <v>44445</v>
      </c>
      <c r="W1434" t="s">
        <v>37924</v>
      </c>
      <c r="X1434" t="s">
        <v>41252</v>
      </c>
    </row>
    <row r="1435" spans="1:24">
      <c r="A1435">
        <f>HYPERLINK("https://www.philgeps.gov.ph/GEPSNONPILOT/Tender/SplashBidNoticeAbstractUI.aspx?menuIndex=3&amp;refID=7077781&amp;Result=3","7077781")</f>
        <v>0</v>
      </c>
      <c r="B1435" t="s">
        <v>668</v>
      </c>
      <c r="C1435" t="s">
        <v>4755</v>
      </c>
      <c r="D1435" t="s">
        <v>16631</v>
      </c>
      <c r="E1435" t="s">
        <v>16807</v>
      </c>
      <c r="F1435" t="s">
        <v>28669</v>
      </c>
      <c r="G1435" t="s">
        <v>28677</v>
      </c>
      <c r="H1435" t="s">
        <v>9998</v>
      </c>
      <c r="I1435" t="s">
        <v>6128</v>
      </c>
      <c r="J1435" t="s">
        <v>29448</v>
      </c>
      <c r="K1435" t="s">
        <v>37208</v>
      </c>
      <c r="M1435" t="s">
        <v>38171</v>
      </c>
      <c r="N1435" t="s">
        <v>41249</v>
      </c>
      <c r="O1435" t="s">
        <v>41250</v>
      </c>
      <c r="P1435">
        <v>0</v>
      </c>
      <c r="Q1435">
        <v>1</v>
      </c>
      <c r="R1435" t="s">
        <v>41251</v>
      </c>
      <c r="S1435" t="s">
        <v>41369</v>
      </c>
      <c r="T1435" t="s">
        <v>42736</v>
      </c>
      <c r="U1435" t="s">
        <v>44446</v>
      </c>
      <c r="W1435" t="s">
        <v>38171</v>
      </c>
      <c r="X1435" t="s">
        <v>41252</v>
      </c>
    </row>
    <row r="1436" spans="1:24">
      <c r="A1436">
        <f>HYPERLINK("https://www.philgeps.gov.ph/GEPSNONPILOT/Tender/SplashBidNoticeAbstractUI.aspx?menuIndex=3&amp;refID=7077790&amp;Result=3","7077790")</f>
        <v>0</v>
      </c>
      <c r="B1436" t="s">
        <v>669</v>
      </c>
      <c r="C1436" t="s">
        <v>4756</v>
      </c>
      <c r="D1436" t="s">
        <v>16657</v>
      </c>
      <c r="E1436" t="s">
        <v>18061</v>
      </c>
      <c r="F1436" t="s">
        <v>28669</v>
      </c>
      <c r="G1436" t="s">
        <v>28675</v>
      </c>
      <c r="H1436" t="s">
        <v>9998</v>
      </c>
      <c r="I1436" t="s">
        <v>5286</v>
      </c>
      <c r="J1436" t="s">
        <v>29831</v>
      </c>
      <c r="K1436" t="s">
        <v>37205</v>
      </c>
      <c r="M1436" t="s">
        <v>38172</v>
      </c>
      <c r="N1436" t="s">
        <v>41249</v>
      </c>
      <c r="O1436" t="s">
        <v>41250</v>
      </c>
      <c r="P1436">
        <v>0</v>
      </c>
      <c r="Q1436">
        <v>2</v>
      </c>
      <c r="R1436" t="s">
        <v>41251</v>
      </c>
      <c r="S1436" t="s">
        <v>41369</v>
      </c>
      <c r="T1436" t="s">
        <v>42682</v>
      </c>
      <c r="U1436" t="s">
        <v>44447</v>
      </c>
      <c r="V1436" t="s">
        <v>54421</v>
      </c>
      <c r="W1436" t="s">
        <v>38172</v>
      </c>
      <c r="X1436" t="s">
        <v>41252</v>
      </c>
    </row>
    <row r="1437" spans="1:24">
      <c r="A1437">
        <f>HYPERLINK("https://www.philgeps.gov.ph/GEPSNONPILOT/Tender/SplashBidNoticeAbstractUI.aspx?menuIndex=3&amp;refID=7077789&amp;Result=3","7077789")</f>
        <v>0</v>
      </c>
      <c r="B1437" t="s">
        <v>670</v>
      </c>
      <c r="C1437" t="s">
        <v>4757</v>
      </c>
      <c r="D1437" t="s">
        <v>16688</v>
      </c>
      <c r="E1437" t="s">
        <v>18062</v>
      </c>
      <c r="F1437" t="s">
        <v>28669</v>
      </c>
      <c r="G1437" t="s">
        <v>28676</v>
      </c>
      <c r="H1437" t="s">
        <v>9998</v>
      </c>
      <c r="I1437" t="s">
        <v>28709</v>
      </c>
      <c r="J1437" t="s">
        <v>29832</v>
      </c>
      <c r="K1437" t="s">
        <v>37204</v>
      </c>
      <c r="M1437" t="s">
        <v>38173</v>
      </c>
      <c r="N1437" t="s">
        <v>41249</v>
      </c>
      <c r="O1437" t="s">
        <v>41250</v>
      </c>
      <c r="P1437">
        <v>0</v>
      </c>
      <c r="Q1437">
        <v>0</v>
      </c>
      <c r="R1437" t="s">
        <v>41251</v>
      </c>
      <c r="S1437" t="s">
        <v>41369</v>
      </c>
      <c r="T1437" t="s">
        <v>42673</v>
      </c>
      <c r="U1437" t="s">
        <v>44448</v>
      </c>
      <c r="W1437" t="s">
        <v>38173</v>
      </c>
      <c r="X1437" t="s">
        <v>41252</v>
      </c>
    </row>
    <row r="1438" spans="1:24">
      <c r="A1438">
        <f>HYPERLINK("https://www.philgeps.gov.ph/GEPSNONPILOT/Tender/SplashBidNoticeAbstractUI.aspx?menuIndex=3&amp;refID=7077788&amp;Result=3","7077788")</f>
        <v>0</v>
      </c>
      <c r="B1438" t="s">
        <v>671</v>
      </c>
      <c r="C1438" t="s">
        <v>4758</v>
      </c>
      <c r="D1438" t="s">
        <v>16636</v>
      </c>
      <c r="E1438" t="s">
        <v>18063</v>
      </c>
      <c r="F1438" t="s">
        <v>28669</v>
      </c>
      <c r="G1438" t="s">
        <v>28676</v>
      </c>
      <c r="H1438" t="s">
        <v>9998</v>
      </c>
      <c r="I1438" t="s">
        <v>7352</v>
      </c>
      <c r="J1438" t="s">
        <v>29833</v>
      </c>
      <c r="K1438" t="s">
        <v>37204</v>
      </c>
      <c r="M1438" t="s">
        <v>38174</v>
      </c>
      <c r="N1438" t="s">
        <v>41249</v>
      </c>
      <c r="O1438" t="s">
        <v>41250</v>
      </c>
      <c r="P1438">
        <v>0</v>
      </c>
      <c r="Q1438">
        <v>0</v>
      </c>
      <c r="R1438" t="s">
        <v>41251</v>
      </c>
      <c r="S1438" t="s">
        <v>41369</v>
      </c>
      <c r="T1438" t="s">
        <v>42706</v>
      </c>
      <c r="U1438" t="s">
        <v>44449</v>
      </c>
      <c r="W1438" t="s">
        <v>38174</v>
      </c>
      <c r="X1438" t="s">
        <v>41252</v>
      </c>
    </row>
    <row r="1439" spans="1:24">
      <c r="A1439">
        <f>HYPERLINK("https://www.philgeps.gov.ph/GEPSNONPILOT/Tender/SplashBidNoticeAbstractUI.aspx?menuIndex=3&amp;refID=7077784&amp;Result=3","7077784")</f>
        <v>0</v>
      </c>
      <c r="B1439" t="s">
        <v>672</v>
      </c>
      <c r="C1439" t="s">
        <v>4759</v>
      </c>
      <c r="D1439" t="s">
        <v>16641</v>
      </c>
      <c r="E1439" t="s">
        <v>18064</v>
      </c>
      <c r="F1439" t="s">
        <v>28669</v>
      </c>
      <c r="G1439" t="s">
        <v>28675</v>
      </c>
      <c r="H1439" t="s">
        <v>28686</v>
      </c>
      <c r="I1439" t="s">
        <v>28689</v>
      </c>
      <c r="J1439" t="s">
        <v>28924</v>
      </c>
      <c r="K1439" t="s">
        <v>37213</v>
      </c>
      <c r="M1439" t="s">
        <v>38175</v>
      </c>
      <c r="N1439" t="s">
        <v>41249</v>
      </c>
      <c r="O1439" t="s">
        <v>41250</v>
      </c>
      <c r="P1439">
        <v>0</v>
      </c>
      <c r="Q1439">
        <v>0</v>
      </c>
      <c r="R1439" t="s">
        <v>41251</v>
      </c>
      <c r="S1439" t="s">
        <v>41369</v>
      </c>
      <c r="T1439" t="s">
        <v>42808</v>
      </c>
      <c r="U1439" t="s">
        <v>44450</v>
      </c>
      <c r="W1439" t="s">
        <v>38175</v>
      </c>
      <c r="X1439" t="s">
        <v>41252</v>
      </c>
    </row>
    <row r="1440" spans="1:24">
      <c r="A1440">
        <f>HYPERLINK("https://www.philgeps.gov.ph/GEPSNONPILOT/Tender/SplashBidNoticeAbstractUI.aspx?menuIndex=3&amp;refID=7077808&amp;Result=3","7077808")</f>
        <v>0</v>
      </c>
      <c r="B1440" t="s">
        <v>673</v>
      </c>
      <c r="C1440" t="s">
        <v>4760</v>
      </c>
      <c r="D1440" t="s">
        <v>16639</v>
      </c>
      <c r="E1440" t="s">
        <v>18065</v>
      </c>
      <c r="F1440" t="s">
        <v>28669</v>
      </c>
      <c r="G1440" t="s">
        <v>28676</v>
      </c>
      <c r="H1440" t="s">
        <v>28686</v>
      </c>
      <c r="I1440" t="s">
        <v>28725</v>
      </c>
      <c r="J1440" t="s">
        <v>29834</v>
      </c>
      <c r="K1440" t="s">
        <v>37206</v>
      </c>
      <c r="M1440" t="s">
        <v>38176</v>
      </c>
      <c r="N1440" t="s">
        <v>41249</v>
      </c>
      <c r="O1440" t="s">
        <v>41250</v>
      </c>
      <c r="P1440">
        <v>0</v>
      </c>
      <c r="Q1440">
        <v>0</v>
      </c>
      <c r="R1440" t="s">
        <v>41251</v>
      </c>
      <c r="S1440" t="s">
        <v>41369</v>
      </c>
      <c r="T1440" t="s">
        <v>42742</v>
      </c>
      <c r="U1440" t="s">
        <v>44451</v>
      </c>
      <c r="W1440" t="s">
        <v>38176</v>
      </c>
      <c r="X1440" t="s">
        <v>41252</v>
      </c>
    </row>
    <row r="1441" spans="1:24">
      <c r="A1441">
        <f>HYPERLINK("https://www.philgeps.gov.ph/GEPSNONPILOT/Tender/SplashBidNoticeAbstractUI.aspx?menuIndex=3&amp;refID=7077777&amp;Result=3","7077777")</f>
        <v>0</v>
      </c>
      <c r="B1441" t="s">
        <v>250</v>
      </c>
      <c r="C1441" t="s">
        <v>4761</v>
      </c>
      <c r="D1441" t="s">
        <v>16621</v>
      </c>
      <c r="E1441" t="s">
        <v>18066</v>
      </c>
      <c r="F1441" t="s">
        <v>28669</v>
      </c>
      <c r="G1441" t="s">
        <v>28675</v>
      </c>
      <c r="H1441" t="s">
        <v>9998</v>
      </c>
      <c r="I1441" t="s">
        <v>5213</v>
      </c>
      <c r="J1441" t="s">
        <v>29835</v>
      </c>
      <c r="K1441" t="s">
        <v>37205</v>
      </c>
      <c r="M1441" t="s">
        <v>37728</v>
      </c>
      <c r="N1441" t="s">
        <v>41249</v>
      </c>
      <c r="O1441" t="s">
        <v>41250</v>
      </c>
      <c r="P1441">
        <v>0</v>
      </c>
      <c r="Q1441">
        <v>0</v>
      </c>
      <c r="R1441" t="s">
        <v>41251</v>
      </c>
      <c r="S1441" t="s">
        <v>41369</v>
      </c>
      <c r="T1441" t="s">
        <v>42715</v>
      </c>
      <c r="U1441" t="s">
        <v>44452</v>
      </c>
      <c r="W1441" t="s">
        <v>37728</v>
      </c>
      <c r="X1441" t="s">
        <v>41252</v>
      </c>
    </row>
    <row r="1442" spans="1:24">
      <c r="A1442">
        <f>HYPERLINK("https://www.philgeps.gov.ph/GEPSNONPILOT/Tender/SplashBidNoticeAbstractUI.aspx?menuIndex=3&amp;refID=7077760&amp;Result=3","7077760")</f>
        <v>0</v>
      </c>
      <c r="B1442" t="s">
        <v>548</v>
      </c>
      <c r="C1442" t="s">
        <v>4762</v>
      </c>
      <c r="D1442" t="s">
        <v>16679</v>
      </c>
      <c r="E1442" t="s">
        <v>18067</v>
      </c>
      <c r="F1442" t="s">
        <v>28669</v>
      </c>
      <c r="G1442" t="s">
        <v>28676</v>
      </c>
      <c r="H1442" t="s">
        <v>9998</v>
      </c>
      <c r="I1442" t="s">
        <v>11593</v>
      </c>
      <c r="J1442" t="s">
        <v>29836</v>
      </c>
      <c r="K1442" t="s">
        <v>37209</v>
      </c>
      <c r="M1442" t="s">
        <v>38041</v>
      </c>
      <c r="N1442" t="s">
        <v>41249</v>
      </c>
      <c r="O1442" t="s">
        <v>41250</v>
      </c>
      <c r="P1442">
        <v>0</v>
      </c>
      <c r="Q1442">
        <v>2</v>
      </c>
      <c r="R1442" t="s">
        <v>41251</v>
      </c>
      <c r="S1442" t="s">
        <v>41369</v>
      </c>
      <c r="T1442" t="s">
        <v>42694</v>
      </c>
      <c r="U1442" t="s">
        <v>44453</v>
      </c>
      <c r="W1442" t="s">
        <v>55921</v>
      </c>
      <c r="X1442" t="s">
        <v>41252</v>
      </c>
    </row>
    <row r="1443" spans="1:24">
      <c r="A1443">
        <f>HYPERLINK("https://www.philgeps.gov.ph/GEPSNONPILOT/Tender/SplashBidNoticeAbstractUI.aspx?menuIndex=3&amp;refID=7077806&amp;Result=3","7077806")</f>
        <v>0</v>
      </c>
      <c r="B1443" t="s">
        <v>443</v>
      </c>
      <c r="C1443" t="s">
        <v>4763</v>
      </c>
      <c r="E1443" t="s">
        <v>18068</v>
      </c>
      <c r="F1443" t="s">
        <v>28669</v>
      </c>
      <c r="G1443" t="s">
        <v>28676</v>
      </c>
      <c r="H1443" t="s">
        <v>9998</v>
      </c>
      <c r="I1443" t="s">
        <v>6458</v>
      </c>
      <c r="J1443" t="s">
        <v>29837</v>
      </c>
      <c r="K1443" t="s">
        <v>37205</v>
      </c>
      <c r="M1443" t="s">
        <v>37928</v>
      </c>
      <c r="N1443" t="s">
        <v>41249</v>
      </c>
      <c r="O1443" t="s">
        <v>41250</v>
      </c>
      <c r="P1443">
        <v>0</v>
      </c>
      <c r="Q1443">
        <v>1</v>
      </c>
      <c r="R1443" t="s">
        <v>41251</v>
      </c>
      <c r="S1443" t="s">
        <v>41369</v>
      </c>
      <c r="T1443" t="s">
        <v>42694</v>
      </c>
      <c r="U1443" t="s">
        <v>44454</v>
      </c>
      <c r="W1443" t="s">
        <v>37928</v>
      </c>
      <c r="X1443" t="s">
        <v>41252</v>
      </c>
    </row>
    <row r="1444" spans="1:24">
      <c r="A1444">
        <f>HYPERLINK("https://www.philgeps.gov.ph/GEPSNONPILOT/Tender/SplashBidNoticeAbstractUI.aspx?menuIndex=3&amp;refID=7077805&amp;Result=3","7077805")</f>
        <v>0</v>
      </c>
      <c r="B1444" t="s">
        <v>193</v>
      </c>
      <c r="C1444" t="s">
        <v>4764</v>
      </c>
      <c r="D1444" t="s">
        <v>16658</v>
      </c>
      <c r="E1444" t="s">
        <v>18069</v>
      </c>
      <c r="F1444" t="s">
        <v>28669</v>
      </c>
      <c r="G1444" t="s">
        <v>28677</v>
      </c>
      <c r="H1444" t="s">
        <v>9998</v>
      </c>
      <c r="I1444" t="s">
        <v>6128</v>
      </c>
      <c r="J1444" t="s">
        <v>29838</v>
      </c>
      <c r="K1444" t="s">
        <v>37204</v>
      </c>
      <c r="M1444" t="s">
        <v>37671</v>
      </c>
      <c r="N1444" t="s">
        <v>41249</v>
      </c>
      <c r="O1444" t="s">
        <v>41250</v>
      </c>
      <c r="P1444">
        <v>0</v>
      </c>
      <c r="Q1444">
        <v>0</v>
      </c>
      <c r="R1444" t="s">
        <v>41251</v>
      </c>
      <c r="S1444" t="s">
        <v>41369</v>
      </c>
      <c r="T1444" t="s">
        <v>42673</v>
      </c>
      <c r="U1444" t="s">
        <v>44455</v>
      </c>
      <c r="W1444" t="s">
        <v>37671</v>
      </c>
      <c r="X1444" t="s">
        <v>41252</v>
      </c>
    </row>
    <row r="1445" spans="1:24">
      <c r="A1445">
        <f>HYPERLINK("https://www.philgeps.gov.ph/GEPSNONPILOT/Tender/SplashBidNoticeAbstractUI.aspx?menuIndex=3&amp;refID=7077801&amp;Result=3","7077801")</f>
        <v>0</v>
      </c>
      <c r="B1445" t="s">
        <v>674</v>
      </c>
      <c r="C1445" t="s">
        <v>4765</v>
      </c>
      <c r="D1445" t="s">
        <v>16620</v>
      </c>
      <c r="E1445" t="s">
        <v>18070</v>
      </c>
      <c r="F1445" t="s">
        <v>28669</v>
      </c>
      <c r="G1445" t="s">
        <v>28676</v>
      </c>
      <c r="H1445" t="s">
        <v>9998</v>
      </c>
      <c r="I1445" t="s">
        <v>28688</v>
      </c>
      <c r="J1445" t="s">
        <v>29150</v>
      </c>
      <c r="K1445" t="s">
        <v>37206</v>
      </c>
      <c r="M1445" t="s">
        <v>38177</v>
      </c>
      <c r="N1445" t="s">
        <v>41249</v>
      </c>
      <c r="O1445" t="s">
        <v>41250</v>
      </c>
      <c r="P1445">
        <v>0</v>
      </c>
      <c r="Q1445">
        <v>3</v>
      </c>
      <c r="R1445" t="s">
        <v>41251</v>
      </c>
      <c r="S1445" t="s">
        <v>41369</v>
      </c>
      <c r="T1445" t="s">
        <v>42678</v>
      </c>
      <c r="U1445" t="s">
        <v>44456</v>
      </c>
      <c r="W1445" t="s">
        <v>38177</v>
      </c>
      <c r="X1445" t="s">
        <v>41252</v>
      </c>
    </row>
    <row r="1446" spans="1:24">
      <c r="A1446">
        <f>HYPERLINK("https://www.philgeps.gov.ph/GEPSNONPILOT/Tender/SplashBidNoticeAbstractUI.aspx?menuIndex=3&amp;refID=7077750&amp;Result=3","7077750")</f>
        <v>0</v>
      </c>
      <c r="B1446" t="s">
        <v>193</v>
      </c>
      <c r="C1446" t="s">
        <v>3747</v>
      </c>
      <c r="D1446" t="s">
        <v>16658</v>
      </c>
      <c r="E1446" t="s">
        <v>18071</v>
      </c>
      <c r="F1446" t="s">
        <v>28669</v>
      </c>
      <c r="G1446" t="s">
        <v>28676</v>
      </c>
      <c r="H1446" t="s">
        <v>9998</v>
      </c>
      <c r="I1446" t="s">
        <v>6128</v>
      </c>
      <c r="J1446" t="s">
        <v>29839</v>
      </c>
      <c r="K1446" t="s">
        <v>37204</v>
      </c>
      <c r="M1446" t="s">
        <v>37671</v>
      </c>
      <c r="N1446" t="s">
        <v>41249</v>
      </c>
      <c r="O1446" t="s">
        <v>41250</v>
      </c>
      <c r="P1446">
        <v>0</v>
      </c>
      <c r="Q1446">
        <v>0</v>
      </c>
      <c r="R1446" t="s">
        <v>41251</v>
      </c>
      <c r="S1446" t="s">
        <v>41369</v>
      </c>
      <c r="T1446" t="s">
        <v>42673</v>
      </c>
      <c r="U1446" t="s">
        <v>44457</v>
      </c>
      <c r="W1446" t="s">
        <v>37671</v>
      </c>
      <c r="X1446" t="s">
        <v>41252</v>
      </c>
    </row>
    <row r="1447" spans="1:24">
      <c r="A1447">
        <f>HYPERLINK("https://www.philgeps.gov.ph/GEPSNONPILOT/Tender/SplashBidNoticeAbstractUI.aspx?menuIndex=3&amp;refID=7077809&amp;Result=3","7077809")</f>
        <v>0</v>
      </c>
      <c r="B1447" t="s">
        <v>197</v>
      </c>
      <c r="C1447" t="s">
        <v>4766</v>
      </c>
      <c r="D1447" t="s">
        <v>16609</v>
      </c>
      <c r="E1447" t="s">
        <v>18072</v>
      </c>
      <c r="F1447" t="s">
        <v>28669</v>
      </c>
      <c r="G1447" t="s">
        <v>28682</v>
      </c>
      <c r="H1447" t="s">
        <v>28686</v>
      </c>
      <c r="I1447" t="s">
        <v>28689</v>
      </c>
      <c r="J1447" t="s">
        <v>29826</v>
      </c>
      <c r="K1447" t="s">
        <v>37214</v>
      </c>
      <c r="M1447" t="s">
        <v>37675</v>
      </c>
      <c r="N1447" t="s">
        <v>41249</v>
      </c>
      <c r="O1447" t="s">
        <v>41250</v>
      </c>
      <c r="P1447">
        <v>0</v>
      </c>
      <c r="Q1447">
        <v>0</v>
      </c>
      <c r="R1447" t="s">
        <v>41251</v>
      </c>
      <c r="S1447" t="s">
        <v>41369</v>
      </c>
      <c r="T1447" t="s">
        <v>42688</v>
      </c>
      <c r="U1447" t="s">
        <v>44458</v>
      </c>
      <c r="W1447" t="s">
        <v>37675</v>
      </c>
      <c r="X1447" t="s">
        <v>41252</v>
      </c>
    </row>
    <row r="1448" spans="1:24">
      <c r="A1448">
        <f>HYPERLINK("https://www.philgeps.gov.ph/GEPSNONPILOT/Tender/SplashBidNoticeAbstractUI.aspx?menuIndex=3&amp;refID=7077811&amp;Result=3","7077811")</f>
        <v>0</v>
      </c>
      <c r="B1448" t="s">
        <v>675</v>
      </c>
      <c r="C1448" t="s">
        <v>4767</v>
      </c>
      <c r="D1448" t="s">
        <v>16678</v>
      </c>
      <c r="E1448" t="s">
        <v>18073</v>
      </c>
      <c r="F1448" t="s">
        <v>28669</v>
      </c>
      <c r="G1448" t="s">
        <v>28676</v>
      </c>
      <c r="H1448" t="s">
        <v>9998</v>
      </c>
      <c r="I1448" t="s">
        <v>15140</v>
      </c>
      <c r="J1448" t="s">
        <v>29840</v>
      </c>
      <c r="K1448" t="s">
        <v>37243</v>
      </c>
      <c r="M1448" t="s">
        <v>38178</v>
      </c>
      <c r="N1448" t="s">
        <v>41249</v>
      </c>
      <c r="O1448" t="s">
        <v>41250</v>
      </c>
      <c r="P1448">
        <v>0</v>
      </c>
      <c r="Q1448">
        <v>0</v>
      </c>
      <c r="R1448" t="s">
        <v>41251</v>
      </c>
      <c r="S1448" t="s">
        <v>41369</v>
      </c>
      <c r="T1448" t="s">
        <v>42711</v>
      </c>
      <c r="U1448" t="s">
        <v>44459</v>
      </c>
      <c r="V1448" t="s">
        <v>54422</v>
      </c>
      <c r="W1448" t="s">
        <v>38178</v>
      </c>
      <c r="X1448" t="s">
        <v>41252</v>
      </c>
    </row>
    <row r="1449" spans="1:24">
      <c r="A1449">
        <f>HYPERLINK("https://www.philgeps.gov.ph/GEPSNONPILOT/Tender/SplashBidNoticeAbstractUI.aspx?menuIndex=3&amp;refID=7077807&amp;Result=3","7077807")</f>
        <v>0</v>
      </c>
      <c r="B1449" t="s">
        <v>676</v>
      </c>
      <c r="C1449" t="s">
        <v>4768</v>
      </c>
      <c r="D1449" t="s">
        <v>16639</v>
      </c>
      <c r="E1449" t="s">
        <v>18074</v>
      </c>
      <c r="F1449" t="s">
        <v>28669</v>
      </c>
      <c r="G1449" t="s">
        <v>28678</v>
      </c>
      <c r="H1449" t="s">
        <v>9998</v>
      </c>
      <c r="I1449" t="s">
        <v>28708</v>
      </c>
      <c r="J1449" t="s">
        <v>29841</v>
      </c>
      <c r="K1449" t="s">
        <v>37210</v>
      </c>
      <c r="M1449" t="s">
        <v>38179</v>
      </c>
      <c r="N1449" t="s">
        <v>41249</v>
      </c>
      <c r="O1449" t="s">
        <v>41250</v>
      </c>
      <c r="P1449">
        <v>0</v>
      </c>
      <c r="Q1449">
        <v>2</v>
      </c>
      <c r="R1449" t="s">
        <v>41251</v>
      </c>
      <c r="S1449" t="s">
        <v>41369</v>
      </c>
      <c r="T1449" t="s">
        <v>42675</v>
      </c>
      <c r="U1449" t="s">
        <v>44460</v>
      </c>
      <c r="V1449" t="s">
        <v>54423</v>
      </c>
      <c r="W1449" t="s">
        <v>38179</v>
      </c>
      <c r="X1449" t="s">
        <v>41252</v>
      </c>
    </row>
    <row r="1450" spans="1:24">
      <c r="A1450">
        <f>HYPERLINK("https://www.philgeps.gov.ph/GEPSNONPILOT/Tender/SplashBidNoticeAbstractUI.aspx?menuIndex=3&amp;refID=7077810&amp;Result=3","7077810")</f>
        <v>0</v>
      </c>
      <c r="B1450" t="s">
        <v>654</v>
      </c>
      <c r="C1450" t="s">
        <v>4769</v>
      </c>
      <c r="D1450" t="s">
        <v>16669</v>
      </c>
      <c r="E1450" t="s">
        <v>18075</v>
      </c>
      <c r="F1450" t="s">
        <v>28669</v>
      </c>
      <c r="G1450" t="s">
        <v>28675</v>
      </c>
      <c r="H1450" t="s">
        <v>9998</v>
      </c>
      <c r="I1450" t="s">
        <v>28687</v>
      </c>
      <c r="J1450" t="s">
        <v>28924</v>
      </c>
      <c r="K1450" t="s">
        <v>37209</v>
      </c>
      <c r="M1450" t="s">
        <v>38155</v>
      </c>
      <c r="N1450" t="s">
        <v>41249</v>
      </c>
      <c r="O1450" t="s">
        <v>41250</v>
      </c>
      <c r="P1450">
        <v>0</v>
      </c>
      <c r="Q1450">
        <v>2</v>
      </c>
      <c r="R1450" t="s">
        <v>41251</v>
      </c>
      <c r="S1450" t="s">
        <v>41369</v>
      </c>
      <c r="T1450" t="s">
        <v>42684</v>
      </c>
      <c r="U1450" t="s">
        <v>44461</v>
      </c>
      <c r="W1450" t="s">
        <v>38155</v>
      </c>
      <c r="X1450" t="s">
        <v>41252</v>
      </c>
    </row>
    <row r="1451" spans="1:24">
      <c r="A1451">
        <f>HYPERLINK("https://www.philgeps.gov.ph/GEPSNONPILOT/Tender/SplashBidNoticeAbstractUI.aspx?menuIndex=3&amp;refID=7077797&amp;Result=3","7077797")</f>
        <v>0</v>
      </c>
      <c r="B1451" t="s">
        <v>677</v>
      </c>
      <c r="C1451" t="s">
        <v>4770</v>
      </c>
      <c r="D1451" t="s">
        <v>16627</v>
      </c>
      <c r="E1451" t="s">
        <v>18076</v>
      </c>
      <c r="F1451" t="s">
        <v>28669</v>
      </c>
      <c r="G1451" t="s">
        <v>28676</v>
      </c>
      <c r="H1451" t="s">
        <v>9998</v>
      </c>
      <c r="I1451" t="s">
        <v>5286</v>
      </c>
      <c r="J1451" t="s">
        <v>29842</v>
      </c>
      <c r="K1451" t="s">
        <v>37210</v>
      </c>
      <c r="M1451" t="s">
        <v>38180</v>
      </c>
      <c r="N1451" t="s">
        <v>41249</v>
      </c>
      <c r="O1451" t="s">
        <v>41250</v>
      </c>
      <c r="P1451">
        <v>0</v>
      </c>
      <c r="Q1451">
        <v>4</v>
      </c>
      <c r="R1451" t="s">
        <v>41251</v>
      </c>
      <c r="S1451" t="s">
        <v>41369</v>
      </c>
      <c r="T1451" t="s">
        <v>42717</v>
      </c>
      <c r="U1451" t="s">
        <v>44462</v>
      </c>
      <c r="W1451" t="s">
        <v>38180</v>
      </c>
      <c r="X1451" t="s">
        <v>41252</v>
      </c>
    </row>
    <row r="1452" spans="1:24">
      <c r="A1452">
        <f>HYPERLINK("https://www.philgeps.gov.ph/GEPSNONPILOT/Tender/SplashBidNoticeAbstractUI.aspx?menuIndex=3&amp;refID=7077799&amp;Result=3","7077799")</f>
        <v>0</v>
      </c>
      <c r="B1452" t="s">
        <v>662</v>
      </c>
      <c r="C1452" t="s">
        <v>4771</v>
      </c>
      <c r="D1452" t="s">
        <v>16635</v>
      </c>
      <c r="E1452" t="s">
        <v>18077</v>
      </c>
      <c r="F1452" t="s">
        <v>28669</v>
      </c>
      <c r="G1452" t="s">
        <v>28676</v>
      </c>
      <c r="H1452" t="s">
        <v>28685</v>
      </c>
      <c r="I1452" t="s">
        <v>28728</v>
      </c>
      <c r="J1452" t="s">
        <v>29203</v>
      </c>
      <c r="K1452" t="s">
        <v>37220</v>
      </c>
      <c r="M1452" t="s">
        <v>38164</v>
      </c>
      <c r="N1452" t="s">
        <v>41249</v>
      </c>
      <c r="O1452" t="s">
        <v>41250</v>
      </c>
      <c r="P1452">
        <v>0</v>
      </c>
      <c r="Q1452">
        <v>0</v>
      </c>
      <c r="R1452" t="s">
        <v>41251</v>
      </c>
      <c r="S1452" t="s">
        <v>41369</v>
      </c>
      <c r="T1452" t="s">
        <v>42809</v>
      </c>
      <c r="U1452" t="s">
        <v>44463</v>
      </c>
      <c r="W1452" t="s">
        <v>38164</v>
      </c>
      <c r="X1452" t="s">
        <v>41252</v>
      </c>
    </row>
    <row r="1453" spans="1:24">
      <c r="A1453">
        <f>HYPERLINK("https://www.philgeps.gov.ph/GEPSNONPILOT/Tender/SplashBidNoticeAbstractUI.aspx?menuIndex=3&amp;refID=7077795&amp;Result=3","7077795")</f>
        <v>0</v>
      </c>
      <c r="B1453" t="s">
        <v>137</v>
      </c>
      <c r="C1453" t="s">
        <v>4772</v>
      </c>
      <c r="D1453" t="s">
        <v>16657</v>
      </c>
      <c r="E1453" t="s">
        <v>18078</v>
      </c>
      <c r="F1453" t="s">
        <v>28669</v>
      </c>
      <c r="G1453" t="s">
        <v>28675</v>
      </c>
      <c r="H1453" t="s">
        <v>28686</v>
      </c>
      <c r="I1453" t="s">
        <v>28689</v>
      </c>
      <c r="J1453" t="s">
        <v>29843</v>
      </c>
      <c r="K1453" t="s">
        <v>37209</v>
      </c>
      <c r="M1453" t="s">
        <v>37614</v>
      </c>
      <c r="N1453" t="s">
        <v>41249</v>
      </c>
      <c r="O1453" t="s">
        <v>41250</v>
      </c>
      <c r="P1453">
        <v>0</v>
      </c>
      <c r="Q1453">
        <v>34</v>
      </c>
      <c r="R1453" t="s">
        <v>41251</v>
      </c>
      <c r="S1453" t="s">
        <v>41369</v>
      </c>
      <c r="T1453" t="s">
        <v>42698</v>
      </c>
      <c r="U1453" t="s">
        <v>44464</v>
      </c>
      <c r="W1453" t="s">
        <v>37614</v>
      </c>
      <c r="X1453" t="s">
        <v>41252</v>
      </c>
    </row>
    <row r="1454" spans="1:24">
      <c r="A1454">
        <f>HYPERLINK("https://www.philgeps.gov.ph/GEPSNONPILOT/Tender/SplashBidNoticeAbstractUI.aspx?menuIndex=3&amp;refID=7077813&amp;Result=3","7077813")</f>
        <v>0</v>
      </c>
      <c r="B1454" t="s">
        <v>656</v>
      </c>
      <c r="C1454" t="s">
        <v>4773</v>
      </c>
      <c r="D1454" t="s">
        <v>16607</v>
      </c>
      <c r="E1454" t="s">
        <v>18079</v>
      </c>
      <c r="F1454" t="s">
        <v>28669</v>
      </c>
      <c r="G1454" t="s">
        <v>28676</v>
      </c>
      <c r="H1454" t="s">
        <v>28686</v>
      </c>
      <c r="I1454" t="s">
        <v>28725</v>
      </c>
      <c r="J1454" t="s">
        <v>29844</v>
      </c>
      <c r="K1454" t="s">
        <v>37292</v>
      </c>
      <c r="M1454" t="s">
        <v>38157</v>
      </c>
      <c r="N1454" t="s">
        <v>41249</v>
      </c>
      <c r="O1454" t="s">
        <v>41250</v>
      </c>
      <c r="P1454">
        <v>0</v>
      </c>
      <c r="Q1454">
        <v>0</v>
      </c>
      <c r="R1454" t="s">
        <v>41251</v>
      </c>
      <c r="S1454" t="s">
        <v>41369</v>
      </c>
      <c r="T1454" t="s">
        <v>42671</v>
      </c>
      <c r="U1454" t="s">
        <v>44465</v>
      </c>
      <c r="W1454" t="s">
        <v>38157</v>
      </c>
      <c r="X1454" t="s">
        <v>41252</v>
      </c>
    </row>
    <row r="1455" spans="1:24">
      <c r="A1455">
        <f>HYPERLINK("https://www.philgeps.gov.ph/GEPSNONPILOT/Tender/SplashBidNoticeAbstractUI.aspx?menuIndex=3&amp;refID=7077782&amp;Result=3","7077782")</f>
        <v>0</v>
      </c>
      <c r="B1455" t="s">
        <v>194</v>
      </c>
      <c r="C1455" t="s">
        <v>4774</v>
      </c>
      <c r="D1455" t="s">
        <v>16672</v>
      </c>
      <c r="E1455" t="s">
        <v>18080</v>
      </c>
      <c r="F1455" t="s">
        <v>28669</v>
      </c>
      <c r="G1455" t="s">
        <v>28676</v>
      </c>
      <c r="H1455" t="s">
        <v>9998</v>
      </c>
      <c r="I1455" t="s">
        <v>28699</v>
      </c>
      <c r="J1455" t="s">
        <v>29845</v>
      </c>
      <c r="K1455" t="s">
        <v>37206</v>
      </c>
      <c r="M1455" t="s">
        <v>38181</v>
      </c>
      <c r="N1455" t="s">
        <v>41249</v>
      </c>
      <c r="O1455" t="s">
        <v>41250</v>
      </c>
      <c r="P1455">
        <v>0</v>
      </c>
      <c r="Q1455">
        <v>0</v>
      </c>
      <c r="R1455" t="s">
        <v>41251</v>
      </c>
      <c r="S1455" t="s">
        <v>41369</v>
      </c>
      <c r="T1455" t="s">
        <v>42754</v>
      </c>
      <c r="U1455" t="s">
        <v>44466</v>
      </c>
      <c r="W1455" t="s">
        <v>38181</v>
      </c>
      <c r="X1455" t="s">
        <v>41252</v>
      </c>
    </row>
    <row r="1456" spans="1:24">
      <c r="A1456">
        <f>HYPERLINK("https://www.philgeps.gov.ph/GEPSNONPILOT/Tender/SplashBidNoticeAbstractUI.aspx?menuIndex=3&amp;refID=7077792&amp;Result=3","7077792")</f>
        <v>0</v>
      </c>
      <c r="B1456" t="s">
        <v>678</v>
      </c>
      <c r="C1456" t="s">
        <v>4775</v>
      </c>
      <c r="E1456" t="s">
        <v>18081</v>
      </c>
      <c r="F1456" t="s">
        <v>28669</v>
      </c>
      <c r="G1456" t="s">
        <v>28675</v>
      </c>
      <c r="H1456" t="s">
        <v>9998</v>
      </c>
      <c r="I1456" t="s">
        <v>28704</v>
      </c>
      <c r="J1456" t="s">
        <v>29846</v>
      </c>
      <c r="K1456" t="s">
        <v>37209</v>
      </c>
      <c r="M1456" t="s">
        <v>38182</v>
      </c>
      <c r="N1456" t="s">
        <v>41249</v>
      </c>
      <c r="O1456" t="s">
        <v>41250</v>
      </c>
      <c r="P1456">
        <v>0</v>
      </c>
      <c r="Q1456">
        <v>0</v>
      </c>
      <c r="R1456" t="s">
        <v>41251</v>
      </c>
      <c r="S1456" t="s">
        <v>41369</v>
      </c>
      <c r="T1456" t="s">
        <v>42683</v>
      </c>
      <c r="U1456" t="s">
        <v>44467</v>
      </c>
      <c r="W1456" t="s">
        <v>38182</v>
      </c>
      <c r="X1456" t="s">
        <v>41252</v>
      </c>
    </row>
    <row r="1457" spans="1:24">
      <c r="A1457">
        <f>HYPERLINK("https://www.philgeps.gov.ph/GEPSNONPILOT/Tender/SplashBidNoticeAbstractUI.aspx?menuIndex=3&amp;refID=7077793&amp;Result=3","7077793")</f>
        <v>0</v>
      </c>
      <c r="B1457" t="s">
        <v>661</v>
      </c>
      <c r="C1457" t="s">
        <v>4776</v>
      </c>
      <c r="E1457" t="s">
        <v>18082</v>
      </c>
      <c r="F1457" t="s">
        <v>28673</v>
      </c>
      <c r="G1457" t="s">
        <v>28675</v>
      </c>
      <c r="H1457" t="s">
        <v>9998</v>
      </c>
      <c r="I1457" t="s">
        <v>28751</v>
      </c>
      <c r="J1457" t="s">
        <v>29847</v>
      </c>
      <c r="K1457" t="s">
        <v>37209</v>
      </c>
      <c r="M1457" t="s">
        <v>38163</v>
      </c>
      <c r="N1457" t="s">
        <v>41249</v>
      </c>
      <c r="O1457" t="s">
        <v>41250</v>
      </c>
      <c r="P1457">
        <v>0</v>
      </c>
      <c r="Q1457">
        <v>0</v>
      </c>
      <c r="R1457" t="s">
        <v>41251</v>
      </c>
      <c r="S1457" t="s">
        <v>41369</v>
      </c>
      <c r="T1457" t="s">
        <v>42823</v>
      </c>
      <c r="U1457" t="s">
        <v>44468</v>
      </c>
      <c r="V1457" t="s">
        <v>54420</v>
      </c>
      <c r="W1457" t="s">
        <v>38163</v>
      </c>
      <c r="X1457" t="s">
        <v>41252</v>
      </c>
    </row>
    <row r="1458" spans="1:24">
      <c r="A1458">
        <f>HYPERLINK("https://www.philgeps.gov.ph/GEPSNONPILOT/Tender/SplashBidNoticeAbstractUI.aspx?menuIndex=3&amp;refID=7077814&amp;Result=3","7077814")</f>
        <v>0</v>
      </c>
      <c r="B1458" t="s">
        <v>669</v>
      </c>
      <c r="C1458" t="s">
        <v>4777</v>
      </c>
      <c r="D1458" t="s">
        <v>16657</v>
      </c>
      <c r="E1458" t="s">
        <v>18083</v>
      </c>
      <c r="F1458" t="s">
        <v>28669</v>
      </c>
      <c r="G1458" t="s">
        <v>28676</v>
      </c>
      <c r="H1458" t="s">
        <v>9998</v>
      </c>
      <c r="I1458" t="s">
        <v>28690</v>
      </c>
      <c r="J1458" t="s">
        <v>29848</v>
      </c>
      <c r="K1458" t="s">
        <v>37205</v>
      </c>
      <c r="M1458" t="s">
        <v>38172</v>
      </c>
      <c r="N1458" t="s">
        <v>41249</v>
      </c>
      <c r="O1458" t="s">
        <v>41250</v>
      </c>
      <c r="P1458">
        <v>0</v>
      </c>
      <c r="Q1458">
        <v>1</v>
      </c>
      <c r="R1458" t="s">
        <v>41251</v>
      </c>
      <c r="S1458" t="s">
        <v>41369</v>
      </c>
      <c r="T1458" t="s">
        <v>42694</v>
      </c>
      <c r="U1458" t="s">
        <v>44469</v>
      </c>
      <c r="V1458" t="s">
        <v>54421</v>
      </c>
      <c r="W1458" t="s">
        <v>38172</v>
      </c>
      <c r="X1458" t="s">
        <v>41252</v>
      </c>
    </row>
    <row r="1459" spans="1:24">
      <c r="A1459">
        <f>HYPERLINK("https://www.philgeps.gov.ph/GEPSNONPILOT/Tender/SplashBidNoticeAbstractUI.aspx?menuIndex=3&amp;refID=7077816&amp;Result=3","7077816")</f>
        <v>0</v>
      </c>
      <c r="B1459" t="s">
        <v>679</v>
      </c>
      <c r="C1459" t="s">
        <v>4778</v>
      </c>
      <c r="D1459" t="s">
        <v>16634</v>
      </c>
      <c r="E1459" t="s">
        <v>18084</v>
      </c>
      <c r="F1459" t="s">
        <v>28669</v>
      </c>
      <c r="G1459" t="s">
        <v>28675</v>
      </c>
      <c r="H1459" t="s">
        <v>9998</v>
      </c>
      <c r="I1459" t="s">
        <v>28690</v>
      </c>
      <c r="J1459" t="s">
        <v>29849</v>
      </c>
      <c r="K1459" t="s">
        <v>37205</v>
      </c>
      <c r="M1459" t="s">
        <v>38183</v>
      </c>
      <c r="N1459" t="s">
        <v>41249</v>
      </c>
      <c r="O1459" t="s">
        <v>41250</v>
      </c>
      <c r="P1459">
        <v>0</v>
      </c>
      <c r="Q1459">
        <v>2</v>
      </c>
      <c r="R1459" t="s">
        <v>41251</v>
      </c>
      <c r="S1459" t="s">
        <v>41369</v>
      </c>
      <c r="T1459" t="s">
        <v>42692</v>
      </c>
      <c r="U1459" t="s">
        <v>44470</v>
      </c>
      <c r="W1459" t="s">
        <v>38183</v>
      </c>
      <c r="X1459" t="s">
        <v>41252</v>
      </c>
    </row>
    <row r="1460" spans="1:24">
      <c r="A1460">
        <f>HYPERLINK("https://www.philgeps.gov.ph/GEPSNONPILOT/Tender/SplashBidNoticeAbstractUI.aspx?menuIndex=3&amp;refID=7077835&amp;Result=3","7077835")</f>
        <v>0</v>
      </c>
      <c r="B1460" t="s">
        <v>680</v>
      </c>
      <c r="C1460" t="s">
        <v>4779</v>
      </c>
      <c r="D1460" t="s">
        <v>16611</v>
      </c>
      <c r="E1460" t="s">
        <v>18085</v>
      </c>
      <c r="F1460" t="s">
        <v>28669</v>
      </c>
      <c r="G1460" t="s">
        <v>28676</v>
      </c>
      <c r="H1460" t="s">
        <v>9998</v>
      </c>
      <c r="I1460" t="s">
        <v>11142</v>
      </c>
      <c r="J1460" t="s">
        <v>29850</v>
      </c>
      <c r="K1460" t="s">
        <v>37231</v>
      </c>
      <c r="L1460" t="s">
        <v>680</v>
      </c>
      <c r="M1460" t="s">
        <v>38184</v>
      </c>
      <c r="N1460" t="s">
        <v>41249</v>
      </c>
      <c r="O1460" t="s">
        <v>41250</v>
      </c>
      <c r="P1460">
        <v>0</v>
      </c>
      <c r="Q1460">
        <v>0</v>
      </c>
      <c r="R1460" t="s">
        <v>41251</v>
      </c>
      <c r="S1460" t="s">
        <v>41369</v>
      </c>
      <c r="T1460" t="s">
        <v>42663</v>
      </c>
      <c r="U1460" t="s">
        <v>44471</v>
      </c>
      <c r="V1460" t="s">
        <v>54424</v>
      </c>
      <c r="W1460" t="s">
        <v>38184</v>
      </c>
      <c r="X1460" t="s">
        <v>41252</v>
      </c>
    </row>
    <row r="1461" spans="1:24">
      <c r="A1461">
        <f>HYPERLINK("https://www.philgeps.gov.ph/GEPSNONPILOT/Tender/SplashBidNoticeAbstractUI.aspx?menuIndex=3&amp;refID=7077831&amp;Result=3","7077831")</f>
        <v>0</v>
      </c>
      <c r="B1461" t="s">
        <v>681</v>
      </c>
      <c r="C1461" t="s">
        <v>4780</v>
      </c>
      <c r="D1461" t="s">
        <v>16671</v>
      </c>
      <c r="E1461" t="s">
        <v>18086</v>
      </c>
      <c r="F1461" t="s">
        <v>28669</v>
      </c>
      <c r="G1461" t="s">
        <v>28675</v>
      </c>
      <c r="H1461" t="s">
        <v>9998</v>
      </c>
      <c r="I1461" t="s">
        <v>28687</v>
      </c>
      <c r="J1461" t="s">
        <v>29851</v>
      </c>
      <c r="K1461" t="s">
        <v>37206</v>
      </c>
      <c r="M1461" t="s">
        <v>38185</v>
      </c>
      <c r="N1461" t="s">
        <v>41249</v>
      </c>
      <c r="O1461" t="s">
        <v>41250</v>
      </c>
      <c r="P1461">
        <v>0</v>
      </c>
      <c r="Q1461">
        <v>2</v>
      </c>
      <c r="R1461" t="s">
        <v>41251</v>
      </c>
      <c r="S1461" t="s">
        <v>41369</v>
      </c>
      <c r="T1461" t="s">
        <v>42668</v>
      </c>
      <c r="U1461" t="s">
        <v>44472</v>
      </c>
      <c r="W1461" t="s">
        <v>38185</v>
      </c>
      <c r="X1461" t="s">
        <v>41252</v>
      </c>
    </row>
    <row r="1462" spans="1:24">
      <c r="A1462">
        <f>HYPERLINK("https://www.philgeps.gov.ph/GEPSNONPILOT/Tender/SplashBidNoticeAbstractUI.aspx?menuIndex=3&amp;refID=7077796&amp;Result=3","7077796")</f>
        <v>0</v>
      </c>
      <c r="B1462" t="s">
        <v>647</v>
      </c>
      <c r="C1462" t="s">
        <v>4781</v>
      </c>
      <c r="D1462" t="s">
        <v>16611</v>
      </c>
      <c r="E1462" t="s">
        <v>18087</v>
      </c>
      <c r="F1462" t="s">
        <v>28669</v>
      </c>
      <c r="G1462" t="s">
        <v>28676</v>
      </c>
      <c r="H1462" t="s">
        <v>9998</v>
      </c>
      <c r="I1462" t="s">
        <v>5213</v>
      </c>
      <c r="J1462" t="s">
        <v>29852</v>
      </c>
      <c r="K1462" t="s">
        <v>37204</v>
      </c>
      <c r="M1462" t="s">
        <v>38148</v>
      </c>
      <c r="N1462" t="s">
        <v>41249</v>
      </c>
      <c r="O1462" t="s">
        <v>41250</v>
      </c>
      <c r="P1462">
        <v>0</v>
      </c>
      <c r="Q1462">
        <v>0</v>
      </c>
      <c r="R1462" t="s">
        <v>41251</v>
      </c>
      <c r="S1462" t="s">
        <v>41369</v>
      </c>
      <c r="T1462" t="s">
        <v>42703</v>
      </c>
      <c r="U1462" t="s">
        <v>44473</v>
      </c>
      <c r="W1462" t="s">
        <v>38148</v>
      </c>
      <c r="X1462" t="s">
        <v>41252</v>
      </c>
    </row>
    <row r="1463" spans="1:24">
      <c r="A1463">
        <f>HYPERLINK("https://www.philgeps.gov.ph/GEPSNONPILOT/Tender/SplashBidNoticeAbstractUI.aspx?menuIndex=3&amp;refID=7077752&amp;Result=3","7077752")</f>
        <v>0</v>
      </c>
      <c r="B1463" t="s">
        <v>682</v>
      </c>
      <c r="C1463" t="s">
        <v>4782</v>
      </c>
      <c r="D1463" t="s">
        <v>16643</v>
      </c>
      <c r="E1463" t="s">
        <v>18088</v>
      </c>
      <c r="F1463" t="s">
        <v>28669</v>
      </c>
      <c r="G1463" t="s">
        <v>28675</v>
      </c>
      <c r="H1463" t="s">
        <v>28686</v>
      </c>
      <c r="I1463" t="s">
        <v>28689</v>
      </c>
      <c r="J1463" t="s">
        <v>29853</v>
      </c>
      <c r="K1463" t="s">
        <v>37213</v>
      </c>
      <c r="M1463" t="s">
        <v>38186</v>
      </c>
      <c r="N1463" t="s">
        <v>41249</v>
      </c>
      <c r="O1463" t="s">
        <v>41250</v>
      </c>
      <c r="P1463">
        <v>0</v>
      </c>
      <c r="Q1463">
        <v>0</v>
      </c>
      <c r="R1463" t="s">
        <v>41251</v>
      </c>
      <c r="S1463" t="s">
        <v>41369</v>
      </c>
      <c r="T1463" t="s">
        <v>42740</v>
      </c>
      <c r="U1463" t="s">
        <v>44474</v>
      </c>
      <c r="W1463" t="s">
        <v>38186</v>
      </c>
      <c r="X1463" t="s">
        <v>41252</v>
      </c>
    </row>
    <row r="1464" spans="1:24">
      <c r="A1464">
        <f>HYPERLINK("https://www.philgeps.gov.ph/GEPSNONPILOT/Tender/SplashBidNoticeAbstractUI.aspx?menuIndex=3&amp;refID=7077838&amp;Result=3","7077838")</f>
        <v>0</v>
      </c>
      <c r="B1464" t="s">
        <v>669</v>
      </c>
      <c r="C1464" t="s">
        <v>4783</v>
      </c>
      <c r="D1464" t="s">
        <v>16657</v>
      </c>
      <c r="E1464" t="s">
        <v>18089</v>
      </c>
      <c r="F1464" t="s">
        <v>28669</v>
      </c>
      <c r="G1464" t="s">
        <v>28676</v>
      </c>
      <c r="H1464" t="s">
        <v>9998</v>
      </c>
      <c r="I1464" t="s">
        <v>11593</v>
      </c>
      <c r="J1464" t="s">
        <v>29040</v>
      </c>
      <c r="K1464" t="s">
        <v>37204</v>
      </c>
      <c r="M1464" t="s">
        <v>38172</v>
      </c>
      <c r="N1464" t="s">
        <v>41249</v>
      </c>
      <c r="O1464" t="s">
        <v>41250</v>
      </c>
      <c r="P1464">
        <v>0</v>
      </c>
      <c r="Q1464">
        <v>1</v>
      </c>
      <c r="R1464" t="s">
        <v>41251</v>
      </c>
      <c r="S1464" t="s">
        <v>41369</v>
      </c>
      <c r="T1464" t="s">
        <v>42694</v>
      </c>
      <c r="U1464" t="s">
        <v>44475</v>
      </c>
      <c r="V1464" t="s">
        <v>54421</v>
      </c>
      <c r="W1464" t="s">
        <v>38172</v>
      </c>
      <c r="X1464" t="s">
        <v>41252</v>
      </c>
    </row>
    <row r="1465" spans="1:24">
      <c r="A1465">
        <f>HYPERLINK("https://www.philgeps.gov.ph/GEPSNONPILOT/Tender/SplashBidNoticeAbstractUI.aspx?menuIndex=3&amp;refID=7077837&amp;Result=3","7077837")</f>
        <v>0</v>
      </c>
      <c r="B1465" t="s">
        <v>683</v>
      </c>
      <c r="C1465" t="s">
        <v>4784</v>
      </c>
      <c r="D1465" t="s">
        <v>16608</v>
      </c>
      <c r="E1465" t="s">
        <v>18090</v>
      </c>
      <c r="F1465" t="s">
        <v>28669</v>
      </c>
      <c r="G1465" t="s">
        <v>28675</v>
      </c>
      <c r="H1465" t="s">
        <v>28684</v>
      </c>
      <c r="I1465" t="s">
        <v>28701</v>
      </c>
      <c r="J1465" t="s">
        <v>29854</v>
      </c>
      <c r="K1465" t="s">
        <v>37228</v>
      </c>
      <c r="M1465" t="s">
        <v>38187</v>
      </c>
      <c r="N1465" t="s">
        <v>41249</v>
      </c>
      <c r="O1465" t="s">
        <v>41250</v>
      </c>
      <c r="P1465">
        <v>0</v>
      </c>
      <c r="Q1465">
        <v>3</v>
      </c>
      <c r="R1465" t="s">
        <v>41251</v>
      </c>
      <c r="S1465" t="s">
        <v>41369</v>
      </c>
      <c r="T1465" t="s">
        <v>42824</v>
      </c>
      <c r="U1465" t="s">
        <v>44476</v>
      </c>
      <c r="W1465" t="s">
        <v>38187</v>
      </c>
      <c r="X1465" t="s">
        <v>41252</v>
      </c>
    </row>
    <row r="1466" spans="1:24">
      <c r="A1466">
        <f>HYPERLINK("https://www.philgeps.gov.ph/GEPSNONPILOT/Tender/SplashBidNoticeAbstractUI.aspx?menuIndex=3&amp;refID=7077812&amp;Result=3","7077812")</f>
        <v>0</v>
      </c>
      <c r="B1466" t="s">
        <v>671</v>
      </c>
      <c r="C1466" t="s">
        <v>4785</v>
      </c>
      <c r="D1466" t="s">
        <v>16639</v>
      </c>
      <c r="E1466" t="s">
        <v>18091</v>
      </c>
      <c r="F1466" t="s">
        <v>28669</v>
      </c>
      <c r="G1466" t="s">
        <v>28676</v>
      </c>
      <c r="H1466" t="s">
        <v>9998</v>
      </c>
      <c r="I1466" t="s">
        <v>7352</v>
      </c>
      <c r="J1466" t="s">
        <v>28838</v>
      </c>
      <c r="K1466" t="s">
        <v>37204</v>
      </c>
      <c r="M1466" t="s">
        <v>38174</v>
      </c>
      <c r="N1466" t="s">
        <v>41249</v>
      </c>
      <c r="O1466" t="s">
        <v>41250</v>
      </c>
      <c r="P1466">
        <v>0</v>
      </c>
      <c r="Q1466">
        <v>0</v>
      </c>
      <c r="R1466" t="s">
        <v>41251</v>
      </c>
      <c r="S1466" t="s">
        <v>41369</v>
      </c>
      <c r="T1466" t="s">
        <v>42706</v>
      </c>
      <c r="U1466" t="s">
        <v>44449</v>
      </c>
      <c r="W1466" t="s">
        <v>38174</v>
      </c>
      <c r="X1466" t="s">
        <v>41252</v>
      </c>
    </row>
    <row r="1467" spans="1:24">
      <c r="A1467">
        <f>HYPERLINK("https://www.philgeps.gov.ph/GEPSNONPILOT/Tender/SplashBidNoticeAbstractUI.aspx?menuIndex=3&amp;refID=7077830&amp;Result=3","7077830")</f>
        <v>0</v>
      </c>
      <c r="B1467" t="s">
        <v>570</v>
      </c>
      <c r="C1467" t="s">
        <v>4786</v>
      </c>
      <c r="D1467" t="s">
        <v>16687</v>
      </c>
      <c r="E1467" t="s">
        <v>18092</v>
      </c>
      <c r="F1467" t="s">
        <v>28669</v>
      </c>
      <c r="G1467" t="s">
        <v>28675</v>
      </c>
      <c r="H1467" t="s">
        <v>9998</v>
      </c>
      <c r="I1467" t="s">
        <v>28687</v>
      </c>
      <c r="J1467" t="s">
        <v>28975</v>
      </c>
      <c r="K1467" t="s">
        <v>37221</v>
      </c>
      <c r="M1467" t="s">
        <v>38068</v>
      </c>
      <c r="N1467" t="s">
        <v>41249</v>
      </c>
      <c r="O1467" t="s">
        <v>41250</v>
      </c>
      <c r="P1467">
        <v>0</v>
      </c>
      <c r="Q1467">
        <v>4</v>
      </c>
      <c r="R1467" t="s">
        <v>41251</v>
      </c>
      <c r="S1467" t="s">
        <v>41369</v>
      </c>
      <c r="T1467" t="s">
        <v>42825</v>
      </c>
      <c r="U1467" t="s">
        <v>44477</v>
      </c>
      <c r="W1467" t="s">
        <v>38068</v>
      </c>
      <c r="X1467" t="s">
        <v>41252</v>
      </c>
    </row>
    <row r="1468" spans="1:24">
      <c r="A1468">
        <f>HYPERLINK("https://www.philgeps.gov.ph/GEPSNONPILOT/Tender/SplashBidNoticeAbstractUI.aspx?menuIndex=3&amp;refID=7077825&amp;Result=3","7077825")</f>
        <v>0</v>
      </c>
      <c r="B1468" t="s">
        <v>658</v>
      </c>
      <c r="C1468" t="s">
        <v>4787</v>
      </c>
      <c r="D1468" t="s">
        <v>16622</v>
      </c>
      <c r="E1468" t="s">
        <v>18093</v>
      </c>
      <c r="F1468" t="s">
        <v>28669</v>
      </c>
      <c r="G1468" t="s">
        <v>28676</v>
      </c>
      <c r="H1468" t="s">
        <v>9998</v>
      </c>
      <c r="I1468" t="s">
        <v>28716</v>
      </c>
      <c r="J1468" t="s">
        <v>29744</v>
      </c>
      <c r="K1468" t="s">
        <v>37209</v>
      </c>
      <c r="M1468" t="s">
        <v>38159</v>
      </c>
      <c r="N1468" t="s">
        <v>41249</v>
      </c>
      <c r="O1468" t="s">
        <v>41250</v>
      </c>
      <c r="P1468">
        <v>0</v>
      </c>
      <c r="Q1468">
        <v>3</v>
      </c>
      <c r="R1468" t="s">
        <v>41251</v>
      </c>
      <c r="S1468" t="s">
        <v>41369</v>
      </c>
      <c r="T1468" t="s">
        <v>42757</v>
      </c>
      <c r="U1468" t="s">
        <v>44478</v>
      </c>
      <c r="W1468" t="s">
        <v>38159</v>
      </c>
      <c r="X1468" t="s">
        <v>41252</v>
      </c>
    </row>
    <row r="1469" spans="1:24">
      <c r="A1469">
        <f>HYPERLINK("https://www.philgeps.gov.ph/GEPSNONPILOT/Tender/SplashBidNoticeAbstractUI.aspx?menuIndex=3&amp;refID=7077815&amp;Result=3","7077815")</f>
        <v>0</v>
      </c>
      <c r="B1469" t="s">
        <v>137</v>
      </c>
      <c r="C1469" t="s">
        <v>4788</v>
      </c>
      <c r="D1469" t="s">
        <v>16657</v>
      </c>
      <c r="E1469" t="s">
        <v>18094</v>
      </c>
      <c r="F1469" t="s">
        <v>28669</v>
      </c>
      <c r="G1469" t="s">
        <v>28675</v>
      </c>
      <c r="H1469" t="s">
        <v>28686</v>
      </c>
      <c r="I1469" t="s">
        <v>28689</v>
      </c>
      <c r="J1469" t="s">
        <v>29855</v>
      </c>
      <c r="K1469" t="s">
        <v>37209</v>
      </c>
      <c r="M1469" t="s">
        <v>37614</v>
      </c>
      <c r="N1469" t="s">
        <v>41249</v>
      </c>
      <c r="O1469" t="s">
        <v>41250</v>
      </c>
      <c r="P1469">
        <v>0</v>
      </c>
      <c r="Q1469">
        <v>34</v>
      </c>
      <c r="R1469" t="s">
        <v>41251</v>
      </c>
      <c r="S1469" t="s">
        <v>41369</v>
      </c>
      <c r="T1469" t="s">
        <v>42698</v>
      </c>
      <c r="U1469" t="s">
        <v>44479</v>
      </c>
      <c r="W1469" t="s">
        <v>37614</v>
      </c>
      <c r="X1469" t="s">
        <v>41252</v>
      </c>
    </row>
    <row r="1470" spans="1:24">
      <c r="A1470">
        <f>HYPERLINK("https://www.philgeps.gov.ph/GEPSNONPILOT/Tender/SplashBidNoticeAbstractUI.aspx?menuIndex=3&amp;refID=7077824&amp;Result=3","7077824")</f>
        <v>0</v>
      </c>
      <c r="B1470" t="s">
        <v>123</v>
      </c>
      <c r="C1470" t="s">
        <v>4789</v>
      </c>
      <c r="D1470" t="s">
        <v>16608</v>
      </c>
      <c r="E1470" t="s">
        <v>16758</v>
      </c>
      <c r="F1470" t="s">
        <v>28669</v>
      </c>
      <c r="G1470" t="s">
        <v>28676</v>
      </c>
      <c r="H1470" t="s">
        <v>9998</v>
      </c>
      <c r="I1470" t="s">
        <v>28690</v>
      </c>
      <c r="J1470" t="s">
        <v>28985</v>
      </c>
      <c r="K1470" t="s">
        <v>37206</v>
      </c>
      <c r="M1470" t="s">
        <v>37599</v>
      </c>
      <c r="N1470" t="s">
        <v>41249</v>
      </c>
      <c r="O1470" t="s">
        <v>41250</v>
      </c>
      <c r="P1470">
        <v>0</v>
      </c>
      <c r="Q1470">
        <v>2</v>
      </c>
      <c r="R1470" t="s">
        <v>41251</v>
      </c>
      <c r="S1470" t="s">
        <v>41369</v>
      </c>
      <c r="T1470" t="s">
        <v>42675</v>
      </c>
      <c r="U1470" t="s">
        <v>44480</v>
      </c>
      <c r="W1470" t="s">
        <v>37599</v>
      </c>
      <c r="X1470" t="s">
        <v>41252</v>
      </c>
    </row>
    <row r="1471" spans="1:24">
      <c r="A1471">
        <f>HYPERLINK("https://www.philgeps.gov.ph/GEPSNONPILOT/Tender/SplashBidNoticeAbstractUI.aspx?menuIndex=3&amp;refID=7077823&amp;Result=3","7077823")</f>
        <v>0</v>
      </c>
      <c r="B1471" t="s">
        <v>197</v>
      </c>
      <c r="C1471" t="s">
        <v>4790</v>
      </c>
      <c r="D1471" t="s">
        <v>16609</v>
      </c>
      <c r="E1471" t="s">
        <v>18095</v>
      </c>
      <c r="F1471" t="s">
        <v>28669</v>
      </c>
      <c r="G1471" t="s">
        <v>28682</v>
      </c>
      <c r="H1471" t="s">
        <v>28686</v>
      </c>
      <c r="I1471" t="s">
        <v>28689</v>
      </c>
      <c r="J1471" t="s">
        <v>29826</v>
      </c>
      <c r="K1471" t="s">
        <v>37214</v>
      </c>
      <c r="M1471" t="s">
        <v>37675</v>
      </c>
      <c r="N1471" t="s">
        <v>41249</v>
      </c>
      <c r="O1471" t="s">
        <v>41250</v>
      </c>
      <c r="P1471">
        <v>0</v>
      </c>
      <c r="Q1471">
        <v>0</v>
      </c>
      <c r="R1471" t="s">
        <v>41251</v>
      </c>
      <c r="S1471" t="s">
        <v>41369</v>
      </c>
      <c r="T1471" t="s">
        <v>42688</v>
      </c>
      <c r="U1471" t="s">
        <v>44481</v>
      </c>
      <c r="W1471" t="s">
        <v>37675</v>
      </c>
      <c r="X1471" t="s">
        <v>41252</v>
      </c>
    </row>
    <row r="1472" spans="1:24">
      <c r="A1472">
        <f>HYPERLINK("https://www.philgeps.gov.ph/GEPSNONPILOT/Tender/SplashBidNoticeAbstractUI.aspx?menuIndex=3&amp;refID=7077798&amp;Result=3","7077798")</f>
        <v>0</v>
      </c>
      <c r="B1472" t="s">
        <v>640</v>
      </c>
      <c r="C1472" t="s">
        <v>4791</v>
      </c>
      <c r="D1472" t="s">
        <v>16608</v>
      </c>
      <c r="E1472" t="s">
        <v>18096</v>
      </c>
      <c r="F1472" t="s">
        <v>28669</v>
      </c>
      <c r="G1472" t="s">
        <v>28675</v>
      </c>
      <c r="H1472" t="s">
        <v>9998</v>
      </c>
      <c r="I1472" t="s">
        <v>3718</v>
      </c>
      <c r="J1472" t="s">
        <v>29856</v>
      </c>
      <c r="K1472" t="s">
        <v>37220</v>
      </c>
      <c r="M1472" t="s">
        <v>38141</v>
      </c>
      <c r="N1472" t="s">
        <v>41249</v>
      </c>
      <c r="O1472" t="s">
        <v>41250</v>
      </c>
      <c r="P1472">
        <v>0</v>
      </c>
      <c r="Q1472">
        <v>5</v>
      </c>
      <c r="R1472" t="s">
        <v>41251</v>
      </c>
      <c r="S1472" t="s">
        <v>41369</v>
      </c>
      <c r="T1472" t="s">
        <v>42715</v>
      </c>
      <c r="U1472" t="s">
        <v>44482</v>
      </c>
      <c r="W1472" t="s">
        <v>38141</v>
      </c>
      <c r="X1472" t="s">
        <v>41252</v>
      </c>
    </row>
    <row r="1473" spans="1:24">
      <c r="A1473">
        <f>HYPERLINK("https://www.philgeps.gov.ph/GEPSNONPILOT/Tender/SplashBidNoticeAbstractUI.aspx?menuIndex=3&amp;refID=7077821&amp;Result=3","7077821")</f>
        <v>0</v>
      </c>
      <c r="B1473" t="s">
        <v>684</v>
      </c>
      <c r="C1473" t="s">
        <v>4792</v>
      </c>
      <c r="D1473" t="s">
        <v>16627</v>
      </c>
      <c r="E1473" t="s">
        <v>18097</v>
      </c>
      <c r="F1473" t="s">
        <v>28669</v>
      </c>
      <c r="G1473" t="s">
        <v>28676</v>
      </c>
      <c r="H1473" t="s">
        <v>9998</v>
      </c>
      <c r="I1473" t="s">
        <v>28718</v>
      </c>
      <c r="J1473" t="s">
        <v>29857</v>
      </c>
      <c r="K1473" t="s">
        <v>37205</v>
      </c>
      <c r="M1473" t="s">
        <v>38188</v>
      </c>
      <c r="N1473" t="s">
        <v>41249</v>
      </c>
      <c r="O1473" t="s">
        <v>41250</v>
      </c>
      <c r="P1473">
        <v>0</v>
      </c>
      <c r="Q1473">
        <v>3</v>
      </c>
      <c r="R1473" t="s">
        <v>41251</v>
      </c>
      <c r="S1473" t="s">
        <v>41369</v>
      </c>
      <c r="T1473" t="s">
        <v>42675</v>
      </c>
      <c r="U1473" t="s">
        <v>44483</v>
      </c>
      <c r="W1473" t="s">
        <v>38188</v>
      </c>
      <c r="X1473" t="s">
        <v>41252</v>
      </c>
    </row>
    <row r="1474" spans="1:24">
      <c r="A1474">
        <f>HYPERLINK("https://www.philgeps.gov.ph/GEPSNONPILOT/Tender/SplashBidNoticeAbstractUI.aspx?menuIndex=3&amp;refID=7077839&amp;Result=3","7077839")</f>
        <v>0</v>
      </c>
      <c r="B1474" t="s">
        <v>40</v>
      </c>
      <c r="C1474" t="s">
        <v>4793</v>
      </c>
      <c r="D1474" t="s">
        <v>16616</v>
      </c>
      <c r="E1474" t="s">
        <v>18098</v>
      </c>
      <c r="F1474" t="s">
        <v>28669</v>
      </c>
      <c r="G1474" t="s">
        <v>28676</v>
      </c>
      <c r="H1474" t="s">
        <v>9998</v>
      </c>
      <c r="I1474" t="s">
        <v>6128</v>
      </c>
      <c r="J1474" t="s">
        <v>29858</v>
      </c>
      <c r="K1474" t="s">
        <v>37204</v>
      </c>
      <c r="M1474" t="s">
        <v>37515</v>
      </c>
      <c r="N1474" t="s">
        <v>41249</v>
      </c>
      <c r="O1474" t="s">
        <v>41250</v>
      </c>
      <c r="P1474">
        <v>0</v>
      </c>
      <c r="Q1474">
        <v>0</v>
      </c>
      <c r="R1474" t="s">
        <v>41251</v>
      </c>
      <c r="S1474" t="s">
        <v>41369</v>
      </c>
      <c r="T1474" t="s">
        <v>42711</v>
      </c>
      <c r="U1474" t="s">
        <v>44484</v>
      </c>
      <c r="W1474" t="s">
        <v>37515</v>
      </c>
      <c r="X1474" t="s">
        <v>41252</v>
      </c>
    </row>
    <row r="1475" spans="1:24">
      <c r="A1475">
        <f>HYPERLINK("https://www.philgeps.gov.ph/GEPSNONPILOT/Tender/SplashBidNoticeAbstractUI.aspx?menuIndex=3&amp;refID=7077820&amp;Result=3","7077820")</f>
        <v>0</v>
      </c>
      <c r="B1475" t="s">
        <v>685</v>
      </c>
      <c r="C1475" t="s">
        <v>4794</v>
      </c>
      <c r="D1475" t="s">
        <v>16640</v>
      </c>
      <c r="E1475" t="s">
        <v>18099</v>
      </c>
      <c r="F1475" t="s">
        <v>28669</v>
      </c>
      <c r="G1475" t="s">
        <v>28675</v>
      </c>
      <c r="H1475" t="s">
        <v>9998</v>
      </c>
      <c r="I1475" t="s">
        <v>3718</v>
      </c>
      <c r="J1475" t="s">
        <v>29203</v>
      </c>
      <c r="K1475" t="s">
        <v>37205</v>
      </c>
      <c r="M1475" t="s">
        <v>38189</v>
      </c>
      <c r="N1475" t="s">
        <v>41249</v>
      </c>
      <c r="O1475" t="s">
        <v>41250</v>
      </c>
      <c r="P1475">
        <v>0</v>
      </c>
      <c r="Q1475">
        <v>4</v>
      </c>
      <c r="R1475" t="s">
        <v>41251</v>
      </c>
      <c r="S1475" t="s">
        <v>41369</v>
      </c>
      <c r="T1475" t="s">
        <v>42690</v>
      </c>
      <c r="U1475" t="s">
        <v>44485</v>
      </c>
      <c r="W1475" t="s">
        <v>38189</v>
      </c>
      <c r="X1475" t="s">
        <v>41252</v>
      </c>
    </row>
    <row r="1476" spans="1:24">
      <c r="A1476">
        <f>HYPERLINK("https://www.philgeps.gov.ph/GEPSNONPILOT/Tender/SplashBidNoticeAbstractUI.aspx?menuIndex=3&amp;refID=7077817&amp;Result=3","7077817")</f>
        <v>0</v>
      </c>
      <c r="B1476" t="s">
        <v>686</v>
      </c>
      <c r="C1476" t="s">
        <v>4795</v>
      </c>
      <c r="D1476" t="s">
        <v>16643</v>
      </c>
      <c r="E1476" t="s">
        <v>18100</v>
      </c>
      <c r="F1476" t="s">
        <v>28669</v>
      </c>
      <c r="G1476" t="s">
        <v>28677</v>
      </c>
      <c r="H1476" t="s">
        <v>9998</v>
      </c>
      <c r="I1476" t="s">
        <v>28688</v>
      </c>
      <c r="J1476" t="s">
        <v>29859</v>
      </c>
      <c r="K1476" t="s">
        <v>37205</v>
      </c>
      <c r="M1476" t="s">
        <v>38190</v>
      </c>
      <c r="N1476" t="s">
        <v>41249</v>
      </c>
      <c r="O1476" t="s">
        <v>41250</v>
      </c>
      <c r="P1476">
        <v>0</v>
      </c>
      <c r="Q1476">
        <v>1</v>
      </c>
      <c r="R1476" t="s">
        <v>41251</v>
      </c>
      <c r="S1476" t="s">
        <v>41369</v>
      </c>
      <c r="T1476" t="s">
        <v>42679</v>
      </c>
      <c r="U1476" t="s">
        <v>44486</v>
      </c>
      <c r="W1476" t="s">
        <v>38190</v>
      </c>
      <c r="X1476" t="s">
        <v>41252</v>
      </c>
    </row>
    <row r="1477" spans="1:24">
      <c r="A1477">
        <f>HYPERLINK("https://www.philgeps.gov.ph/GEPSNONPILOT/Tender/SplashBidNoticeAbstractUI.aspx?menuIndex=3&amp;refID=7077845&amp;Result=3","7077845")</f>
        <v>0</v>
      </c>
      <c r="B1477" t="s">
        <v>194</v>
      </c>
      <c r="C1477" t="s">
        <v>4796</v>
      </c>
      <c r="D1477" t="s">
        <v>16672</v>
      </c>
      <c r="E1477" t="s">
        <v>18101</v>
      </c>
      <c r="F1477" t="s">
        <v>28669</v>
      </c>
      <c r="G1477" t="s">
        <v>28677</v>
      </c>
      <c r="H1477" t="s">
        <v>9998</v>
      </c>
      <c r="I1477" t="s">
        <v>28688</v>
      </c>
      <c r="J1477" t="s">
        <v>29860</v>
      </c>
      <c r="K1477" t="s">
        <v>37206</v>
      </c>
      <c r="M1477" t="s">
        <v>38181</v>
      </c>
      <c r="N1477" t="s">
        <v>41249</v>
      </c>
      <c r="O1477" t="s">
        <v>41250</v>
      </c>
      <c r="P1477">
        <v>0</v>
      </c>
      <c r="Q1477">
        <v>2</v>
      </c>
      <c r="R1477" t="s">
        <v>41251</v>
      </c>
      <c r="S1477" t="s">
        <v>41369</v>
      </c>
      <c r="T1477" t="s">
        <v>42754</v>
      </c>
      <c r="U1477" t="s">
        <v>44487</v>
      </c>
      <c r="W1477" t="s">
        <v>38181</v>
      </c>
      <c r="X1477" t="s">
        <v>41252</v>
      </c>
    </row>
    <row r="1478" spans="1:24">
      <c r="A1478">
        <f>HYPERLINK("https://www.philgeps.gov.ph/GEPSNONPILOT/Tender/SplashBidNoticeAbstractUI.aspx?menuIndex=3&amp;refID=7077826&amp;Result=3","7077826")</f>
        <v>0</v>
      </c>
      <c r="B1478" t="s">
        <v>667</v>
      </c>
      <c r="C1478" t="s">
        <v>4797</v>
      </c>
      <c r="D1478" t="s">
        <v>16630</v>
      </c>
      <c r="E1478" t="s">
        <v>18102</v>
      </c>
      <c r="F1478" t="s">
        <v>28669</v>
      </c>
      <c r="G1478" t="s">
        <v>28675</v>
      </c>
      <c r="H1478" t="s">
        <v>9998</v>
      </c>
      <c r="I1478" t="s">
        <v>28687</v>
      </c>
      <c r="J1478" t="s">
        <v>29059</v>
      </c>
      <c r="K1478" t="s">
        <v>37213</v>
      </c>
      <c r="M1478" t="s">
        <v>38170</v>
      </c>
      <c r="N1478" t="s">
        <v>41249</v>
      </c>
      <c r="O1478" t="s">
        <v>41250</v>
      </c>
      <c r="P1478">
        <v>0</v>
      </c>
      <c r="Q1478">
        <v>4</v>
      </c>
      <c r="R1478" t="s">
        <v>41251</v>
      </c>
      <c r="S1478" t="s">
        <v>41369</v>
      </c>
      <c r="T1478" t="s">
        <v>42808</v>
      </c>
      <c r="U1478" t="s">
        <v>44488</v>
      </c>
      <c r="W1478" t="s">
        <v>38170</v>
      </c>
      <c r="X1478" t="s">
        <v>41252</v>
      </c>
    </row>
    <row r="1479" spans="1:24">
      <c r="A1479">
        <f>HYPERLINK("https://www.philgeps.gov.ph/GEPSNONPILOT/Tender/SplashBidNoticeAbstractUI.aspx?menuIndex=3&amp;refID=7077870&amp;Result=3","7077870")</f>
        <v>0</v>
      </c>
      <c r="B1479" t="s">
        <v>416</v>
      </c>
      <c r="C1479" t="s">
        <v>4798</v>
      </c>
      <c r="D1479" t="s">
        <v>16615</v>
      </c>
      <c r="E1479" t="s">
        <v>18103</v>
      </c>
      <c r="F1479" t="s">
        <v>28669</v>
      </c>
      <c r="G1479" t="s">
        <v>28676</v>
      </c>
      <c r="H1479" t="s">
        <v>9998</v>
      </c>
      <c r="I1479" t="s">
        <v>3718</v>
      </c>
      <c r="J1479" t="s">
        <v>29404</v>
      </c>
      <c r="K1479" t="s">
        <v>37206</v>
      </c>
      <c r="M1479" t="s">
        <v>37901</v>
      </c>
      <c r="N1479" t="s">
        <v>41249</v>
      </c>
      <c r="O1479" t="s">
        <v>41250</v>
      </c>
      <c r="P1479">
        <v>0</v>
      </c>
      <c r="Q1479">
        <v>0</v>
      </c>
      <c r="R1479" t="s">
        <v>41251</v>
      </c>
      <c r="S1479" t="s">
        <v>41369</v>
      </c>
      <c r="T1479" t="s">
        <v>42694</v>
      </c>
      <c r="U1479" t="s">
        <v>44489</v>
      </c>
      <c r="W1479" t="s">
        <v>37901</v>
      </c>
      <c r="X1479" t="s">
        <v>41252</v>
      </c>
    </row>
    <row r="1480" spans="1:24">
      <c r="A1480">
        <f>HYPERLINK("https://www.philgeps.gov.ph/GEPSNONPILOT/Tender/SplashBidNoticeAbstractUI.aspx?menuIndex=3&amp;refID=7077866&amp;Result=3","7077866")</f>
        <v>0</v>
      </c>
      <c r="B1480" t="s">
        <v>123</v>
      </c>
      <c r="C1480" t="s">
        <v>4799</v>
      </c>
      <c r="D1480" t="s">
        <v>16608</v>
      </c>
      <c r="E1480" t="s">
        <v>16904</v>
      </c>
      <c r="F1480" t="s">
        <v>28669</v>
      </c>
      <c r="G1480" t="s">
        <v>28676</v>
      </c>
      <c r="H1480" t="s">
        <v>9998</v>
      </c>
      <c r="I1480" t="s">
        <v>28690</v>
      </c>
      <c r="J1480" t="s">
        <v>29540</v>
      </c>
      <c r="K1480" t="s">
        <v>37206</v>
      </c>
      <c r="M1480" t="s">
        <v>37599</v>
      </c>
      <c r="N1480" t="s">
        <v>41249</v>
      </c>
      <c r="O1480" t="s">
        <v>41250</v>
      </c>
      <c r="P1480">
        <v>0</v>
      </c>
      <c r="Q1480">
        <v>11</v>
      </c>
      <c r="R1480" t="s">
        <v>41251</v>
      </c>
      <c r="S1480" t="s">
        <v>41369</v>
      </c>
      <c r="T1480" t="s">
        <v>42675</v>
      </c>
      <c r="U1480" t="s">
        <v>44490</v>
      </c>
      <c r="W1480" t="s">
        <v>37599</v>
      </c>
      <c r="X1480" t="s">
        <v>41252</v>
      </c>
    </row>
    <row r="1481" spans="1:24">
      <c r="A1481">
        <f>HYPERLINK("https://www.philgeps.gov.ph/GEPSNONPILOT/Tender/SplashBidNoticeAbstractUI.aspx?menuIndex=3&amp;refID=7077840&amp;Result=3","7077840")</f>
        <v>0</v>
      </c>
      <c r="B1481" t="s">
        <v>671</v>
      </c>
      <c r="C1481" t="s">
        <v>4800</v>
      </c>
      <c r="D1481" t="s">
        <v>16639</v>
      </c>
      <c r="E1481" t="s">
        <v>18104</v>
      </c>
      <c r="F1481" t="s">
        <v>28669</v>
      </c>
      <c r="G1481" t="s">
        <v>28676</v>
      </c>
      <c r="H1481" t="s">
        <v>9998</v>
      </c>
      <c r="I1481" t="s">
        <v>28699</v>
      </c>
      <c r="J1481" t="s">
        <v>29861</v>
      </c>
      <c r="K1481" t="s">
        <v>37204</v>
      </c>
      <c r="M1481" t="s">
        <v>38174</v>
      </c>
      <c r="N1481" t="s">
        <v>41249</v>
      </c>
      <c r="O1481" t="s">
        <v>41250</v>
      </c>
      <c r="P1481">
        <v>0</v>
      </c>
      <c r="Q1481">
        <v>1</v>
      </c>
      <c r="R1481" t="s">
        <v>41251</v>
      </c>
      <c r="S1481" t="s">
        <v>41369</v>
      </c>
      <c r="T1481" t="s">
        <v>42706</v>
      </c>
      <c r="U1481" t="s">
        <v>44449</v>
      </c>
      <c r="W1481" t="s">
        <v>38174</v>
      </c>
      <c r="X1481" t="s">
        <v>41252</v>
      </c>
    </row>
    <row r="1482" spans="1:24">
      <c r="A1482">
        <f>HYPERLINK("https://www.philgeps.gov.ph/GEPSNONPILOT/Tender/SplashBidNoticeAbstractUI.aspx?menuIndex=3&amp;refID=7077859&amp;Result=3","7077859")</f>
        <v>0</v>
      </c>
      <c r="B1482" t="s">
        <v>679</v>
      </c>
      <c r="C1482" t="s">
        <v>4801</v>
      </c>
      <c r="D1482" t="s">
        <v>16634</v>
      </c>
      <c r="E1482" t="s">
        <v>18105</v>
      </c>
      <c r="F1482" t="s">
        <v>28669</v>
      </c>
      <c r="G1482" t="s">
        <v>28675</v>
      </c>
      <c r="H1482" t="s">
        <v>9998</v>
      </c>
      <c r="I1482" t="s">
        <v>28690</v>
      </c>
      <c r="J1482" t="s">
        <v>29862</v>
      </c>
      <c r="K1482" t="s">
        <v>37205</v>
      </c>
      <c r="M1482" t="s">
        <v>38183</v>
      </c>
      <c r="N1482" t="s">
        <v>41249</v>
      </c>
      <c r="O1482" t="s">
        <v>41250</v>
      </c>
      <c r="P1482">
        <v>0</v>
      </c>
      <c r="Q1482">
        <v>3</v>
      </c>
      <c r="R1482" t="s">
        <v>41251</v>
      </c>
      <c r="S1482" t="s">
        <v>41369</v>
      </c>
      <c r="T1482" t="s">
        <v>42692</v>
      </c>
      <c r="U1482" t="s">
        <v>44491</v>
      </c>
      <c r="W1482" t="s">
        <v>38183</v>
      </c>
      <c r="X1482" t="s">
        <v>41252</v>
      </c>
    </row>
    <row r="1483" spans="1:24">
      <c r="A1483">
        <f>HYPERLINK("https://www.philgeps.gov.ph/GEPSNONPILOT/Tender/SplashBidNoticeAbstractUI.aspx?menuIndex=3&amp;refID=7077819&amp;Result=3","7077819")</f>
        <v>0</v>
      </c>
      <c r="B1483" t="s">
        <v>687</v>
      </c>
      <c r="C1483" t="s">
        <v>4802</v>
      </c>
      <c r="D1483" t="s">
        <v>16675</v>
      </c>
      <c r="E1483" t="s">
        <v>18106</v>
      </c>
      <c r="F1483" t="s">
        <v>28669</v>
      </c>
      <c r="G1483" t="s">
        <v>28676</v>
      </c>
      <c r="H1483" t="s">
        <v>9998</v>
      </c>
      <c r="I1483" t="s">
        <v>5213</v>
      </c>
      <c r="J1483" t="s">
        <v>29863</v>
      </c>
      <c r="K1483" t="s">
        <v>37206</v>
      </c>
      <c r="M1483" t="s">
        <v>38191</v>
      </c>
      <c r="N1483" t="s">
        <v>41249</v>
      </c>
      <c r="O1483" t="s">
        <v>41250</v>
      </c>
      <c r="P1483">
        <v>0</v>
      </c>
      <c r="Q1483">
        <v>0</v>
      </c>
      <c r="R1483" t="s">
        <v>41251</v>
      </c>
      <c r="S1483" t="s">
        <v>41369</v>
      </c>
      <c r="T1483" t="s">
        <v>42826</v>
      </c>
      <c r="U1483" t="s">
        <v>44492</v>
      </c>
      <c r="W1483" t="s">
        <v>38191</v>
      </c>
      <c r="X1483" t="s">
        <v>41252</v>
      </c>
    </row>
    <row r="1484" spans="1:24">
      <c r="A1484">
        <f>HYPERLINK("https://www.philgeps.gov.ph/GEPSNONPILOT/Tender/SplashBidNoticeAbstractUI.aspx?menuIndex=3&amp;refID=7077861&amp;Result=3","7077861")</f>
        <v>0</v>
      </c>
      <c r="B1484" t="s">
        <v>581</v>
      </c>
      <c r="C1484" t="s">
        <v>4803</v>
      </c>
      <c r="D1484" t="s">
        <v>16608</v>
      </c>
      <c r="E1484" t="s">
        <v>18107</v>
      </c>
      <c r="F1484" t="s">
        <v>28669</v>
      </c>
      <c r="G1484" t="s">
        <v>28676</v>
      </c>
      <c r="H1484" t="s">
        <v>9998</v>
      </c>
      <c r="I1484" t="s">
        <v>11593</v>
      </c>
      <c r="J1484" t="s">
        <v>29864</v>
      </c>
      <c r="K1484" t="s">
        <v>37221</v>
      </c>
      <c r="M1484" t="s">
        <v>38080</v>
      </c>
      <c r="N1484" t="s">
        <v>41249</v>
      </c>
      <c r="O1484" t="s">
        <v>41250</v>
      </c>
      <c r="P1484">
        <v>0</v>
      </c>
      <c r="Q1484">
        <v>9</v>
      </c>
      <c r="R1484" t="s">
        <v>41251</v>
      </c>
      <c r="S1484" t="s">
        <v>41369</v>
      </c>
      <c r="T1484" t="s">
        <v>42711</v>
      </c>
      <c r="U1484" t="s">
        <v>43958</v>
      </c>
      <c r="W1484" t="s">
        <v>38080</v>
      </c>
      <c r="X1484" t="s">
        <v>41252</v>
      </c>
    </row>
    <row r="1485" spans="1:24">
      <c r="A1485">
        <f>HYPERLINK("https://www.philgeps.gov.ph/GEPSNONPILOT/Tender/SplashBidNoticeAbstractUI.aspx?menuIndex=3&amp;refID=7077856&amp;Result=3","7077856")</f>
        <v>0</v>
      </c>
      <c r="B1485" t="s">
        <v>601</v>
      </c>
      <c r="C1485" t="s">
        <v>4804</v>
      </c>
      <c r="D1485" t="s">
        <v>16608</v>
      </c>
      <c r="E1485" t="s">
        <v>18108</v>
      </c>
      <c r="F1485" t="s">
        <v>28669</v>
      </c>
      <c r="G1485" t="s">
        <v>28676</v>
      </c>
      <c r="H1485" t="s">
        <v>9998</v>
      </c>
      <c r="I1485" t="s">
        <v>5213</v>
      </c>
      <c r="J1485" t="s">
        <v>29576</v>
      </c>
      <c r="K1485" t="s">
        <v>37209</v>
      </c>
      <c r="M1485" t="s">
        <v>38192</v>
      </c>
      <c r="N1485" t="s">
        <v>41249</v>
      </c>
      <c r="O1485" t="s">
        <v>41250</v>
      </c>
      <c r="P1485">
        <v>0</v>
      </c>
      <c r="Q1485">
        <v>7</v>
      </c>
      <c r="R1485" t="s">
        <v>41251</v>
      </c>
      <c r="S1485" t="s">
        <v>41369</v>
      </c>
      <c r="T1485" t="s">
        <v>42705</v>
      </c>
      <c r="U1485" t="s">
        <v>44493</v>
      </c>
      <c r="V1485" t="s">
        <v>54425</v>
      </c>
      <c r="W1485" t="s">
        <v>38192</v>
      </c>
      <c r="X1485" t="s">
        <v>41252</v>
      </c>
    </row>
    <row r="1486" spans="1:24">
      <c r="A1486">
        <f>HYPERLINK("https://www.philgeps.gov.ph/GEPSNONPILOT/Tender/SplashBidNoticeAbstractUI.aspx?menuIndex=3&amp;refID=7077863&amp;Result=3","7077863")</f>
        <v>0</v>
      </c>
      <c r="B1486" t="s">
        <v>667</v>
      </c>
      <c r="C1486" t="s">
        <v>4805</v>
      </c>
      <c r="D1486" t="s">
        <v>16630</v>
      </c>
      <c r="E1486" t="s">
        <v>18109</v>
      </c>
      <c r="F1486" t="s">
        <v>28669</v>
      </c>
      <c r="G1486" t="s">
        <v>28676</v>
      </c>
      <c r="H1486" t="s">
        <v>9998</v>
      </c>
      <c r="I1486" t="s">
        <v>5213</v>
      </c>
      <c r="J1486" t="s">
        <v>29865</v>
      </c>
      <c r="K1486" t="s">
        <v>37204</v>
      </c>
      <c r="M1486" t="s">
        <v>38170</v>
      </c>
      <c r="N1486" t="s">
        <v>41249</v>
      </c>
      <c r="O1486" t="s">
        <v>41250</v>
      </c>
      <c r="P1486">
        <v>0</v>
      </c>
      <c r="Q1486">
        <v>0</v>
      </c>
      <c r="R1486" t="s">
        <v>41251</v>
      </c>
      <c r="S1486" t="s">
        <v>41369</v>
      </c>
      <c r="T1486" t="s">
        <v>42759</v>
      </c>
      <c r="U1486" t="s">
        <v>44494</v>
      </c>
      <c r="W1486" t="s">
        <v>38170</v>
      </c>
      <c r="X1486" t="s">
        <v>41252</v>
      </c>
    </row>
    <row r="1487" spans="1:24">
      <c r="A1487">
        <f>HYPERLINK("https://www.philgeps.gov.ph/GEPSNONPILOT/Tender/SplashBidNoticeAbstractUI.aspx?menuIndex=3&amp;refID=7077822&amp;Result=3","7077822")</f>
        <v>0</v>
      </c>
      <c r="B1487" t="s">
        <v>688</v>
      </c>
      <c r="C1487" t="s">
        <v>4806</v>
      </c>
      <c r="D1487" t="s">
        <v>16619</v>
      </c>
      <c r="E1487" t="s">
        <v>18110</v>
      </c>
      <c r="F1487" t="s">
        <v>28669</v>
      </c>
      <c r="G1487" t="s">
        <v>28676</v>
      </c>
      <c r="H1487" t="s">
        <v>9998</v>
      </c>
      <c r="I1487" t="s">
        <v>28694</v>
      </c>
      <c r="J1487" t="s">
        <v>29866</v>
      </c>
      <c r="K1487" t="s">
        <v>37206</v>
      </c>
      <c r="M1487" t="s">
        <v>38193</v>
      </c>
      <c r="N1487" t="s">
        <v>41249</v>
      </c>
      <c r="O1487" t="s">
        <v>41250</v>
      </c>
      <c r="P1487">
        <v>0</v>
      </c>
      <c r="Q1487">
        <v>3</v>
      </c>
      <c r="R1487" t="s">
        <v>41251</v>
      </c>
      <c r="S1487" t="s">
        <v>41369</v>
      </c>
      <c r="T1487" t="s">
        <v>42679</v>
      </c>
      <c r="U1487" t="s">
        <v>44495</v>
      </c>
      <c r="W1487" t="s">
        <v>38193</v>
      </c>
      <c r="X1487" t="s">
        <v>41252</v>
      </c>
    </row>
    <row r="1488" spans="1:24">
      <c r="A1488">
        <f>HYPERLINK("https://www.philgeps.gov.ph/GEPSNONPILOT/Tender/SplashBidNoticeAbstractUI.aspx?menuIndex=3&amp;refID=7077860&amp;Result=3","7077860")</f>
        <v>0</v>
      </c>
      <c r="B1488" t="s">
        <v>628</v>
      </c>
      <c r="C1488" t="s">
        <v>4807</v>
      </c>
      <c r="D1488" t="s">
        <v>16621</v>
      </c>
      <c r="E1488" t="s">
        <v>18111</v>
      </c>
      <c r="F1488" t="s">
        <v>28669</v>
      </c>
      <c r="G1488" t="s">
        <v>28675</v>
      </c>
      <c r="H1488" t="s">
        <v>9998</v>
      </c>
      <c r="I1488" t="s">
        <v>28722</v>
      </c>
      <c r="J1488" t="s">
        <v>29867</v>
      </c>
      <c r="K1488" t="s">
        <v>37205</v>
      </c>
      <c r="M1488" t="s">
        <v>38128</v>
      </c>
      <c r="N1488" t="s">
        <v>41249</v>
      </c>
      <c r="O1488" t="s">
        <v>41250</v>
      </c>
      <c r="P1488">
        <v>0</v>
      </c>
      <c r="Q1488">
        <v>2</v>
      </c>
      <c r="R1488" t="s">
        <v>41251</v>
      </c>
      <c r="S1488" t="s">
        <v>41369</v>
      </c>
      <c r="T1488" t="s">
        <v>42818</v>
      </c>
      <c r="U1488" t="s">
        <v>44496</v>
      </c>
      <c r="V1488" t="s">
        <v>54406</v>
      </c>
      <c r="W1488" t="s">
        <v>38128</v>
      </c>
      <c r="X1488" t="s">
        <v>41252</v>
      </c>
    </row>
    <row r="1489" spans="1:24">
      <c r="A1489">
        <f>HYPERLINK("https://www.philgeps.gov.ph/GEPSNONPILOT/Tender/SplashBidNoticeAbstractUI.aspx?menuIndex=3&amp;refID=7077849&amp;Result=3","7077849")</f>
        <v>0</v>
      </c>
      <c r="B1489" t="s">
        <v>689</v>
      </c>
      <c r="C1489" t="s">
        <v>4808</v>
      </c>
      <c r="E1489" t="s">
        <v>18112</v>
      </c>
      <c r="F1489" t="s">
        <v>28669</v>
      </c>
      <c r="G1489" t="s">
        <v>28676</v>
      </c>
      <c r="H1489" t="s">
        <v>9998</v>
      </c>
      <c r="I1489" t="s">
        <v>28771</v>
      </c>
      <c r="J1489" t="s">
        <v>28845</v>
      </c>
      <c r="K1489" t="s">
        <v>37209</v>
      </c>
      <c r="M1489" t="s">
        <v>38194</v>
      </c>
      <c r="N1489" t="s">
        <v>41249</v>
      </c>
      <c r="O1489" t="s">
        <v>41250</v>
      </c>
      <c r="P1489">
        <v>0</v>
      </c>
      <c r="Q1489">
        <v>2</v>
      </c>
      <c r="R1489" t="s">
        <v>41251</v>
      </c>
      <c r="S1489" t="s">
        <v>41369</v>
      </c>
      <c r="T1489" t="s">
        <v>42725</v>
      </c>
      <c r="U1489" t="s">
        <v>44497</v>
      </c>
      <c r="W1489" t="s">
        <v>38205</v>
      </c>
      <c r="X1489" t="s">
        <v>41252</v>
      </c>
    </row>
    <row r="1490" spans="1:24">
      <c r="A1490">
        <f>HYPERLINK("https://www.philgeps.gov.ph/GEPSNONPILOT/Tender/SplashBidNoticeAbstractUI.aspx?menuIndex=3&amp;refID=7077853&amp;Result=3","7077853")</f>
        <v>0</v>
      </c>
      <c r="B1490" t="s">
        <v>193</v>
      </c>
      <c r="C1490" t="s">
        <v>4809</v>
      </c>
      <c r="D1490" t="s">
        <v>16658</v>
      </c>
      <c r="E1490" t="s">
        <v>18113</v>
      </c>
      <c r="F1490" t="s">
        <v>28669</v>
      </c>
      <c r="G1490" t="s">
        <v>28675</v>
      </c>
      <c r="H1490" t="s">
        <v>28686</v>
      </c>
      <c r="I1490" t="s">
        <v>28689</v>
      </c>
      <c r="J1490" t="s">
        <v>29868</v>
      </c>
      <c r="K1490" t="s">
        <v>37213</v>
      </c>
      <c r="M1490" t="s">
        <v>37671</v>
      </c>
      <c r="N1490" t="s">
        <v>41249</v>
      </c>
      <c r="O1490" t="s">
        <v>41250</v>
      </c>
      <c r="P1490">
        <v>0</v>
      </c>
      <c r="Q1490">
        <v>0</v>
      </c>
      <c r="R1490" t="s">
        <v>41251</v>
      </c>
      <c r="S1490" t="s">
        <v>41369</v>
      </c>
      <c r="T1490" t="s">
        <v>42688</v>
      </c>
      <c r="U1490" t="s">
        <v>44498</v>
      </c>
      <c r="V1490" t="s">
        <v>54426</v>
      </c>
      <c r="W1490" t="s">
        <v>37671</v>
      </c>
      <c r="X1490" t="s">
        <v>41252</v>
      </c>
    </row>
    <row r="1491" spans="1:24">
      <c r="A1491">
        <f>HYPERLINK("https://www.philgeps.gov.ph/GEPSNONPILOT/Tender/SplashBidNoticeAbstractUI.aspx?menuIndex=3&amp;refID=7077857&amp;Result=3","7077857")</f>
        <v>0</v>
      </c>
      <c r="B1491" t="s">
        <v>690</v>
      </c>
      <c r="C1491" t="s">
        <v>4810</v>
      </c>
      <c r="D1491" t="s">
        <v>16673</v>
      </c>
      <c r="E1491" t="s">
        <v>18114</v>
      </c>
      <c r="F1491" t="s">
        <v>28669</v>
      </c>
      <c r="G1491" t="s">
        <v>28677</v>
      </c>
      <c r="H1491" t="s">
        <v>9998</v>
      </c>
      <c r="I1491" t="s">
        <v>3658</v>
      </c>
      <c r="J1491" t="s">
        <v>29869</v>
      </c>
      <c r="K1491" t="s">
        <v>37204</v>
      </c>
      <c r="M1491" t="s">
        <v>38195</v>
      </c>
      <c r="N1491" t="s">
        <v>41249</v>
      </c>
      <c r="O1491" t="s">
        <v>41250</v>
      </c>
      <c r="P1491">
        <v>0</v>
      </c>
      <c r="Q1491">
        <v>1</v>
      </c>
      <c r="R1491" t="s">
        <v>41251</v>
      </c>
      <c r="S1491" t="s">
        <v>41369</v>
      </c>
      <c r="T1491" t="s">
        <v>42827</v>
      </c>
      <c r="U1491" t="s">
        <v>44499</v>
      </c>
      <c r="W1491" t="s">
        <v>38195</v>
      </c>
      <c r="X1491" t="s">
        <v>41252</v>
      </c>
    </row>
    <row r="1492" spans="1:24">
      <c r="A1492">
        <f>HYPERLINK("https://www.philgeps.gov.ph/GEPSNONPILOT/Tender/SplashBidNoticeAbstractUI.aspx?menuIndex=3&amp;refID=7077852&amp;Result=3","7077852")</f>
        <v>0</v>
      </c>
      <c r="B1492" t="s">
        <v>691</v>
      </c>
      <c r="C1492" t="s">
        <v>4811</v>
      </c>
      <c r="D1492" t="s">
        <v>16647</v>
      </c>
      <c r="E1492" t="s">
        <v>18115</v>
      </c>
      <c r="F1492" t="s">
        <v>28669</v>
      </c>
      <c r="G1492" t="s">
        <v>28676</v>
      </c>
      <c r="H1492" t="s">
        <v>9998</v>
      </c>
      <c r="I1492" t="s">
        <v>28704</v>
      </c>
      <c r="J1492" t="s">
        <v>28912</v>
      </c>
      <c r="K1492" t="s">
        <v>37204</v>
      </c>
      <c r="M1492" t="s">
        <v>38196</v>
      </c>
      <c r="N1492" t="s">
        <v>41249</v>
      </c>
      <c r="O1492" t="s">
        <v>41250</v>
      </c>
      <c r="P1492">
        <v>0</v>
      </c>
      <c r="Q1492">
        <v>0</v>
      </c>
      <c r="R1492" t="s">
        <v>41251</v>
      </c>
      <c r="S1492" t="s">
        <v>41369</v>
      </c>
      <c r="T1492" t="s">
        <v>42670</v>
      </c>
      <c r="U1492" t="s">
        <v>44500</v>
      </c>
      <c r="W1492" t="s">
        <v>38196</v>
      </c>
      <c r="X1492" t="s">
        <v>41252</v>
      </c>
    </row>
    <row r="1493" spans="1:24">
      <c r="A1493">
        <f>HYPERLINK("https://www.philgeps.gov.ph/GEPSNONPILOT/Tender/SplashBidNoticeAbstractUI.aspx?menuIndex=3&amp;refID=7077895&amp;Result=3","7077895")</f>
        <v>0</v>
      </c>
      <c r="B1493" t="s">
        <v>667</v>
      </c>
      <c r="C1493" t="s">
        <v>4812</v>
      </c>
      <c r="D1493" t="s">
        <v>16630</v>
      </c>
      <c r="E1493" t="s">
        <v>18116</v>
      </c>
      <c r="F1493" t="s">
        <v>28669</v>
      </c>
      <c r="G1493" t="s">
        <v>28676</v>
      </c>
      <c r="H1493" t="s">
        <v>9998</v>
      </c>
      <c r="I1493" t="s">
        <v>5286</v>
      </c>
      <c r="J1493" t="s">
        <v>29870</v>
      </c>
      <c r="K1493" t="s">
        <v>37204</v>
      </c>
      <c r="M1493" t="s">
        <v>38170</v>
      </c>
      <c r="N1493" t="s">
        <v>41249</v>
      </c>
      <c r="O1493" t="s">
        <v>41250</v>
      </c>
      <c r="P1493">
        <v>0</v>
      </c>
      <c r="Q1493">
        <v>0</v>
      </c>
      <c r="R1493" t="s">
        <v>41251</v>
      </c>
      <c r="S1493" t="s">
        <v>41369</v>
      </c>
      <c r="T1493" t="s">
        <v>42759</v>
      </c>
      <c r="U1493" t="s">
        <v>44501</v>
      </c>
      <c r="W1493" t="s">
        <v>38170</v>
      </c>
      <c r="X1493" t="s">
        <v>41252</v>
      </c>
    </row>
    <row r="1494" spans="1:24">
      <c r="A1494">
        <f>HYPERLINK("https://www.philgeps.gov.ph/GEPSNONPILOT/Tender/SplashBidNoticeAbstractUI.aspx?menuIndex=3&amp;refID=7077864&amp;Result=3","7077864")</f>
        <v>0</v>
      </c>
      <c r="B1494" t="s">
        <v>692</v>
      </c>
      <c r="C1494" t="s">
        <v>4813</v>
      </c>
      <c r="D1494" t="s">
        <v>16638</v>
      </c>
      <c r="E1494" t="s">
        <v>18117</v>
      </c>
      <c r="F1494" t="s">
        <v>28669</v>
      </c>
      <c r="G1494" t="s">
        <v>28676</v>
      </c>
      <c r="H1494" t="s">
        <v>28684</v>
      </c>
      <c r="I1494" t="s">
        <v>28772</v>
      </c>
      <c r="J1494" t="s">
        <v>29871</v>
      </c>
      <c r="K1494" t="s">
        <v>37238</v>
      </c>
      <c r="M1494" t="s">
        <v>38197</v>
      </c>
      <c r="N1494" t="s">
        <v>41249</v>
      </c>
      <c r="O1494" t="s">
        <v>41250</v>
      </c>
      <c r="P1494">
        <v>0</v>
      </c>
      <c r="Q1494">
        <v>0</v>
      </c>
      <c r="R1494" t="s">
        <v>41251</v>
      </c>
      <c r="S1494" t="s">
        <v>41369</v>
      </c>
      <c r="T1494" t="s">
        <v>42711</v>
      </c>
      <c r="U1494" t="s">
        <v>44502</v>
      </c>
      <c r="W1494" t="s">
        <v>38197</v>
      </c>
      <c r="X1494" t="s">
        <v>41252</v>
      </c>
    </row>
    <row r="1495" spans="1:24">
      <c r="A1495">
        <f>HYPERLINK("https://www.philgeps.gov.ph/GEPSNONPILOT/Tender/SplashBidNoticeAbstractUI.aspx?menuIndex=3&amp;refID=7077850&amp;Result=3","7077850")</f>
        <v>0</v>
      </c>
      <c r="B1495" t="s">
        <v>693</v>
      </c>
      <c r="C1495" t="s">
        <v>4814</v>
      </c>
      <c r="D1495" t="s">
        <v>16615</v>
      </c>
      <c r="E1495" t="s">
        <v>18118</v>
      </c>
      <c r="F1495" t="s">
        <v>28669</v>
      </c>
      <c r="G1495" t="s">
        <v>28676</v>
      </c>
      <c r="H1495" t="s">
        <v>9998</v>
      </c>
      <c r="I1495" t="s">
        <v>7352</v>
      </c>
      <c r="J1495" t="s">
        <v>29872</v>
      </c>
      <c r="K1495" t="s">
        <v>37204</v>
      </c>
      <c r="M1495" t="s">
        <v>38198</v>
      </c>
      <c r="N1495" t="s">
        <v>41249</v>
      </c>
      <c r="O1495" t="s">
        <v>41250</v>
      </c>
      <c r="P1495">
        <v>0</v>
      </c>
      <c r="Q1495">
        <v>0</v>
      </c>
      <c r="R1495" t="s">
        <v>41251</v>
      </c>
      <c r="S1495" t="s">
        <v>41369</v>
      </c>
      <c r="T1495" t="s">
        <v>42711</v>
      </c>
      <c r="U1495" t="s">
        <v>44503</v>
      </c>
      <c r="V1495" t="s">
        <v>54427</v>
      </c>
      <c r="W1495" t="s">
        <v>38198</v>
      </c>
      <c r="X1495" t="s">
        <v>41252</v>
      </c>
    </row>
    <row r="1496" spans="1:24">
      <c r="A1496">
        <f>HYPERLINK("https://www.philgeps.gov.ph/GEPSNONPILOT/Tender/SplashBidNoticeAbstractUI.aspx?menuIndex=3&amp;refID=7077894&amp;Result=3","7077894")</f>
        <v>0</v>
      </c>
      <c r="B1496" t="s">
        <v>250</v>
      </c>
      <c r="C1496" t="s">
        <v>4815</v>
      </c>
      <c r="D1496" t="s">
        <v>16621</v>
      </c>
      <c r="E1496" t="s">
        <v>18119</v>
      </c>
      <c r="F1496" t="s">
        <v>28669</v>
      </c>
      <c r="G1496" t="s">
        <v>28675</v>
      </c>
      <c r="H1496" t="s">
        <v>9998</v>
      </c>
      <c r="I1496" t="s">
        <v>28687</v>
      </c>
      <c r="J1496" t="s">
        <v>29873</v>
      </c>
      <c r="K1496" t="s">
        <v>37207</v>
      </c>
      <c r="M1496" t="s">
        <v>37728</v>
      </c>
      <c r="N1496" t="s">
        <v>41249</v>
      </c>
      <c r="O1496" t="s">
        <v>41250</v>
      </c>
      <c r="P1496">
        <v>0</v>
      </c>
      <c r="Q1496">
        <v>2</v>
      </c>
      <c r="R1496" t="s">
        <v>41251</v>
      </c>
      <c r="S1496" t="s">
        <v>41369</v>
      </c>
      <c r="T1496" t="s">
        <v>42715</v>
      </c>
      <c r="U1496" t="s">
        <v>44452</v>
      </c>
      <c r="W1496" t="s">
        <v>37728</v>
      </c>
      <c r="X1496" t="s">
        <v>41252</v>
      </c>
    </row>
    <row r="1497" spans="1:24">
      <c r="A1497">
        <f>HYPERLINK("https://www.philgeps.gov.ph/GEPSNONPILOT/Tender/SplashBidNoticeAbstractUI.aspx?menuIndex=3&amp;refID=7077891&amp;Result=3","7077891")</f>
        <v>0</v>
      </c>
      <c r="B1497" t="s">
        <v>628</v>
      </c>
      <c r="C1497" t="s">
        <v>4816</v>
      </c>
      <c r="D1497" t="s">
        <v>16621</v>
      </c>
      <c r="E1497" t="s">
        <v>18120</v>
      </c>
      <c r="F1497" t="s">
        <v>28669</v>
      </c>
      <c r="G1497" t="s">
        <v>28675</v>
      </c>
      <c r="H1497" t="s">
        <v>28686</v>
      </c>
      <c r="I1497" t="s">
        <v>28689</v>
      </c>
      <c r="J1497" t="s">
        <v>28836</v>
      </c>
      <c r="K1497" t="s">
        <v>37220</v>
      </c>
      <c r="M1497" t="s">
        <v>38128</v>
      </c>
      <c r="N1497" t="s">
        <v>41249</v>
      </c>
      <c r="O1497" t="s">
        <v>41250</v>
      </c>
      <c r="P1497">
        <v>0</v>
      </c>
      <c r="Q1497">
        <v>2</v>
      </c>
      <c r="R1497" t="s">
        <v>41251</v>
      </c>
      <c r="S1497" t="s">
        <v>41369</v>
      </c>
      <c r="T1497" t="s">
        <v>42818</v>
      </c>
      <c r="U1497" t="s">
        <v>44504</v>
      </c>
      <c r="V1497" t="s">
        <v>54406</v>
      </c>
      <c r="W1497" t="s">
        <v>38128</v>
      </c>
      <c r="X1497" t="s">
        <v>41252</v>
      </c>
    </row>
    <row r="1498" spans="1:24">
      <c r="A1498">
        <f>HYPERLINK("https://www.philgeps.gov.ph/GEPSNONPILOT/Tender/SplashBidNoticeAbstractUI.aspx?menuIndex=3&amp;refID=7077889&amp;Result=3","7077889")</f>
        <v>0</v>
      </c>
      <c r="B1498" t="s">
        <v>694</v>
      </c>
      <c r="C1498" t="s">
        <v>4817</v>
      </c>
      <c r="D1498" t="s">
        <v>16686</v>
      </c>
      <c r="E1498" t="s">
        <v>18121</v>
      </c>
      <c r="F1498" t="s">
        <v>28669</v>
      </c>
      <c r="G1498" t="s">
        <v>28675</v>
      </c>
      <c r="H1498" t="s">
        <v>9998</v>
      </c>
      <c r="I1498" t="s">
        <v>28704</v>
      </c>
      <c r="J1498" t="s">
        <v>29874</v>
      </c>
      <c r="K1498" t="s">
        <v>37210</v>
      </c>
      <c r="M1498" t="s">
        <v>38199</v>
      </c>
      <c r="N1498" t="s">
        <v>41249</v>
      </c>
      <c r="O1498" t="s">
        <v>41250</v>
      </c>
      <c r="P1498">
        <v>0</v>
      </c>
      <c r="Q1498">
        <v>0</v>
      </c>
      <c r="R1498" t="s">
        <v>41251</v>
      </c>
      <c r="S1498" t="s">
        <v>41369</v>
      </c>
      <c r="T1498" t="s">
        <v>42683</v>
      </c>
      <c r="U1498" t="s">
        <v>44505</v>
      </c>
      <c r="V1498" t="s">
        <v>54428</v>
      </c>
      <c r="W1498" t="s">
        <v>38199</v>
      </c>
      <c r="X1498" t="s">
        <v>41252</v>
      </c>
    </row>
    <row r="1499" spans="1:24">
      <c r="A1499">
        <f>HYPERLINK("https://www.philgeps.gov.ph/GEPSNONPILOT/Tender/SplashBidNoticeAbstractUI.aspx?menuIndex=3&amp;refID=7077828&amp;Result=3","7077828")</f>
        <v>0</v>
      </c>
      <c r="B1499" t="s">
        <v>695</v>
      </c>
      <c r="C1499" t="s">
        <v>4818</v>
      </c>
      <c r="D1499" t="s">
        <v>16608</v>
      </c>
      <c r="E1499" t="s">
        <v>18122</v>
      </c>
      <c r="F1499" t="s">
        <v>28669</v>
      </c>
      <c r="G1499" t="s">
        <v>28676</v>
      </c>
      <c r="H1499" t="s">
        <v>9998</v>
      </c>
      <c r="I1499" t="s">
        <v>28699</v>
      </c>
      <c r="J1499" t="s">
        <v>29875</v>
      </c>
      <c r="K1499" t="s">
        <v>37220</v>
      </c>
      <c r="M1499" t="s">
        <v>38200</v>
      </c>
      <c r="N1499" t="s">
        <v>41249</v>
      </c>
      <c r="O1499" t="s">
        <v>41250</v>
      </c>
      <c r="P1499">
        <v>0</v>
      </c>
      <c r="Q1499">
        <v>2</v>
      </c>
      <c r="R1499" t="s">
        <v>41251</v>
      </c>
      <c r="S1499" t="s">
        <v>41369</v>
      </c>
      <c r="T1499" t="s">
        <v>42675</v>
      </c>
      <c r="U1499" t="s">
        <v>44506</v>
      </c>
      <c r="W1499" t="s">
        <v>38200</v>
      </c>
      <c r="X1499" t="s">
        <v>41252</v>
      </c>
    </row>
    <row r="1500" spans="1:24">
      <c r="A1500">
        <f>HYPERLINK("https://www.philgeps.gov.ph/GEPSNONPILOT/Tender/SplashBidNoticeAbstractUI.aspx?menuIndex=3&amp;refID=7077887&amp;Result=3","7077887")</f>
        <v>0</v>
      </c>
      <c r="B1500" t="s">
        <v>650</v>
      </c>
      <c r="C1500" t="s">
        <v>4819</v>
      </c>
      <c r="D1500" t="s">
        <v>16647</v>
      </c>
      <c r="E1500" t="s">
        <v>18123</v>
      </c>
      <c r="F1500" t="s">
        <v>28669</v>
      </c>
      <c r="G1500" t="s">
        <v>28677</v>
      </c>
      <c r="H1500" t="s">
        <v>9998</v>
      </c>
      <c r="I1500" t="s">
        <v>28694</v>
      </c>
      <c r="J1500" t="s">
        <v>29876</v>
      </c>
      <c r="K1500" t="s">
        <v>37205</v>
      </c>
      <c r="M1500" t="s">
        <v>38151</v>
      </c>
      <c r="N1500" t="s">
        <v>41249</v>
      </c>
      <c r="O1500" t="s">
        <v>41250</v>
      </c>
      <c r="P1500">
        <v>0</v>
      </c>
      <c r="Q1500">
        <v>0</v>
      </c>
      <c r="R1500" t="s">
        <v>41251</v>
      </c>
      <c r="S1500" t="s">
        <v>41369</v>
      </c>
      <c r="T1500" t="s">
        <v>42757</v>
      </c>
      <c r="U1500" t="s">
        <v>44408</v>
      </c>
      <c r="V1500" t="s">
        <v>54429</v>
      </c>
      <c r="W1500" t="s">
        <v>38151</v>
      </c>
      <c r="X1500" t="s">
        <v>41252</v>
      </c>
    </row>
    <row r="1501" spans="1:24">
      <c r="A1501">
        <f>HYPERLINK("https://www.philgeps.gov.ph/GEPSNONPILOT/Tender/SplashBidNoticeAbstractUI.aspx?menuIndex=3&amp;refID=7077885&amp;Result=3","7077885")</f>
        <v>0</v>
      </c>
      <c r="B1501" t="s">
        <v>257</v>
      </c>
      <c r="C1501" t="s">
        <v>4820</v>
      </c>
      <c r="D1501" t="s">
        <v>16663</v>
      </c>
      <c r="E1501" t="s">
        <v>18124</v>
      </c>
      <c r="F1501" t="s">
        <v>28669</v>
      </c>
      <c r="G1501" t="s">
        <v>28676</v>
      </c>
      <c r="H1501" t="s">
        <v>28684</v>
      </c>
      <c r="I1501" t="s">
        <v>28701</v>
      </c>
      <c r="J1501" t="s">
        <v>29877</v>
      </c>
      <c r="K1501" t="s">
        <v>37238</v>
      </c>
      <c r="M1501" t="s">
        <v>37735</v>
      </c>
      <c r="N1501" t="s">
        <v>41249</v>
      </c>
      <c r="O1501" t="s">
        <v>41250</v>
      </c>
      <c r="P1501">
        <v>0</v>
      </c>
      <c r="Q1501">
        <v>0</v>
      </c>
      <c r="R1501" t="s">
        <v>41251</v>
      </c>
      <c r="S1501" t="s">
        <v>41369</v>
      </c>
      <c r="T1501" t="s">
        <v>42673</v>
      </c>
      <c r="U1501" t="s">
        <v>44507</v>
      </c>
      <c r="W1501" t="s">
        <v>37735</v>
      </c>
      <c r="X1501" t="s">
        <v>41252</v>
      </c>
    </row>
    <row r="1502" spans="1:24">
      <c r="A1502">
        <f>HYPERLINK("https://www.philgeps.gov.ph/GEPSNONPILOT/Tender/SplashBidNoticeAbstractUI.aspx?menuIndex=3&amp;refID=7077882&amp;Result=3","7077882")</f>
        <v>0</v>
      </c>
      <c r="B1502" t="s">
        <v>667</v>
      </c>
      <c r="C1502" t="s">
        <v>4821</v>
      </c>
      <c r="D1502" t="s">
        <v>16630</v>
      </c>
      <c r="E1502" t="s">
        <v>18125</v>
      </c>
      <c r="F1502" t="s">
        <v>28669</v>
      </c>
      <c r="G1502" t="s">
        <v>28676</v>
      </c>
      <c r="H1502" t="s">
        <v>9998</v>
      </c>
      <c r="I1502" t="s">
        <v>7352</v>
      </c>
      <c r="J1502" t="s">
        <v>29878</v>
      </c>
      <c r="K1502" t="s">
        <v>37204</v>
      </c>
      <c r="M1502" t="s">
        <v>38170</v>
      </c>
      <c r="N1502" t="s">
        <v>41249</v>
      </c>
      <c r="O1502" t="s">
        <v>41250</v>
      </c>
      <c r="P1502">
        <v>0</v>
      </c>
      <c r="Q1502">
        <v>0</v>
      </c>
      <c r="R1502" t="s">
        <v>41251</v>
      </c>
      <c r="S1502" t="s">
        <v>41369</v>
      </c>
      <c r="T1502" t="s">
        <v>42759</v>
      </c>
      <c r="U1502" t="s">
        <v>44508</v>
      </c>
      <c r="W1502" t="s">
        <v>38170</v>
      </c>
      <c r="X1502" t="s">
        <v>41252</v>
      </c>
    </row>
    <row r="1503" spans="1:24">
      <c r="A1503">
        <f>HYPERLINK("https://www.philgeps.gov.ph/GEPSNONPILOT/Tender/SplashBidNoticeAbstractUI.aspx?menuIndex=3&amp;refID=7077881&amp;Result=3","7077881")</f>
        <v>0</v>
      </c>
      <c r="B1503" t="s">
        <v>689</v>
      </c>
      <c r="C1503" t="s">
        <v>4822</v>
      </c>
      <c r="D1503" t="s">
        <v>16608</v>
      </c>
      <c r="E1503" t="s">
        <v>18126</v>
      </c>
      <c r="F1503" t="s">
        <v>28669</v>
      </c>
      <c r="G1503" t="s">
        <v>28676</v>
      </c>
      <c r="H1503" t="s">
        <v>9998</v>
      </c>
      <c r="I1503" t="s">
        <v>28708</v>
      </c>
      <c r="J1503" t="s">
        <v>29879</v>
      </c>
      <c r="K1503" t="s">
        <v>37209</v>
      </c>
      <c r="M1503" t="s">
        <v>38194</v>
      </c>
      <c r="N1503" t="s">
        <v>41249</v>
      </c>
      <c r="O1503" t="s">
        <v>41250</v>
      </c>
      <c r="P1503">
        <v>0</v>
      </c>
      <c r="Q1503">
        <v>13</v>
      </c>
      <c r="R1503" t="s">
        <v>41251</v>
      </c>
      <c r="S1503" t="s">
        <v>41369</v>
      </c>
      <c r="T1503" t="s">
        <v>42725</v>
      </c>
      <c r="U1503" t="s">
        <v>44509</v>
      </c>
      <c r="W1503" t="s">
        <v>38205</v>
      </c>
      <c r="X1503" t="s">
        <v>41252</v>
      </c>
    </row>
    <row r="1504" spans="1:24">
      <c r="A1504">
        <f>HYPERLINK("https://www.philgeps.gov.ph/GEPSNONPILOT/Tender/SplashBidNoticeAbstractUI.aspx?menuIndex=3&amp;refID=7077880&amp;Result=3","7077880")</f>
        <v>0</v>
      </c>
      <c r="B1504" t="s">
        <v>696</v>
      </c>
      <c r="C1504" t="s">
        <v>4823</v>
      </c>
      <c r="D1504" t="s">
        <v>16611</v>
      </c>
      <c r="E1504" t="s">
        <v>18127</v>
      </c>
      <c r="F1504" t="s">
        <v>28669</v>
      </c>
      <c r="G1504" t="s">
        <v>28676</v>
      </c>
      <c r="H1504" t="s">
        <v>9998</v>
      </c>
      <c r="I1504" t="s">
        <v>28693</v>
      </c>
      <c r="J1504" t="s">
        <v>29124</v>
      </c>
      <c r="K1504" t="s">
        <v>37206</v>
      </c>
      <c r="M1504" t="s">
        <v>38201</v>
      </c>
      <c r="N1504" t="s">
        <v>41249</v>
      </c>
      <c r="O1504" t="s">
        <v>41250</v>
      </c>
      <c r="P1504">
        <v>0</v>
      </c>
      <c r="Q1504">
        <v>9</v>
      </c>
      <c r="R1504" t="s">
        <v>41251</v>
      </c>
      <c r="S1504" t="s">
        <v>41369</v>
      </c>
      <c r="T1504" t="s">
        <v>42738</v>
      </c>
      <c r="U1504" t="s">
        <v>44510</v>
      </c>
      <c r="W1504" t="s">
        <v>38201</v>
      </c>
      <c r="X1504" t="s">
        <v>41252</v>
      </c>
    </row>
    <row r="1505" spans="1:24">
      <c r="A1505">
        <f>HYPERLINK("https://www.philgeps.gov.ph/GEPSNONPILOT/Tender/SplashBidNoticeAbstractUI.aspx?menuIndex=3&amp;refID=7077879&amp;Result=3","7077879")</f>
        <v>0</v>
      </c>
      <c r="B1505" t="s">
        <v>193</v>
      </c>
      <c r="C1505" t="s">
        <v>4824</v>
      </c>
      <c r="D1505" t="s">
        <v>16658</v>
      </c>
      <c r="E1505" t="s">
        <v>18128</v>
      </c>
      <c r="F1505" t="s">
        <v>28669</v>
      </c>
      <c r="G1505" t="s">
        <v>28679</v>
      </c>
      <c r="H1505" t="s">
        <v>28686</v>
      </c>
      <c r="I1505" t="s">
        <v>28689</v>
      </c>
      <c r="J1505" t="s">
        <v>29880</v>
      </c>
      <c r="K1505" t="s">
        <v>37204</v>
      </c>
      <c r="M1505" t="s">
        <v>37671</v>
      </c>
      <c r="N1505" t="s">
        <v>41249</v>
      </c>
      <c r="O1505" t="s">
        <v>41250</v>
      </c>
      <c r="P1505">
        <v>0</v>
      </c>
      <c r="Q1505">
        <v>0</v>
      </c>
      <c r="R1505" t="s">
        <v>41251</v>
      </c>
      <c r="S1505" t="s">
        <v>41369</v>
      </c>
      <c r="T1505" t="s">
        <v>42764</v>
      </c>
      <c r="U1505" t="s">
        <v>44511</v>
      </c>
      <c r="W1505" t="s">
        <v>37671</v>
      </c>
      <c r="X1505" t="s">
        <v>41252</v>
      </c>
    </row>
    <row r="1506" spans="1:24">
      <c r="A1506">
        <f>HYPERLINK("https://www.philgeps.gov.ph/GEPSNONPILOT/Tender/SplashBidNoticeAbstractUI.aspx?menuIndex=3&amp;refID=7077878&amp;Result=3","7077878")</f>
        <v>0</v>
      </c>
      <c r="B1506" t="s">
        <v>114</v>
      </c>
      <c r="C1506" t="s">
        <v>4825</v>
      </c>
      <c r="D1506" t="s">
        <v>16608</v>
      </c>
      <c r="E1506" t="s">
        <v>18129</v>
      </c>
      <c r="F1506" t="s">
        <v>28669</v>
      </c>
      <c r="G1506" t="s">
        <v>28677</v>
      </c>
      <c r="H1506" t="s">
        <v>9998</v>
      </c>
      <c r="I1506" t="s">
        <v>5286</v>
      </c>
      <c r="J1506" t="s">
        <v>29881</v>
      </c>
      <c r="K1506" t="s">
        <v>37210</v>
      </c>
      <c r="M1506" t="s">
        <v>37793</v>
      </c>
      <c r="N1506" t="s">
        <v>41249</v>
      </c>
      <c r="O1506" t="s">
        <v>41250</v>
      </c>
      <c r="P1506">
        <v>0</v>
      </c>
      <c r="Q1506">
        <v>3</v>
      </c>
      <c r="R1506" t="s">
        <v>41251</v>
      </c>
      <c r="S1506" t="s">
        <v>41369</v>
      </c>
      <c r="T1506" t="s">
        <v>42741</v>
      </c>
      <c r="U1506" t="s">
        <v>44512</v>
      </c>
      <c r="V1506" t="s">
        <v>54326</v>
      </c>
      <c r="W1506" t="s">
        <v>37793</v>
      </c>
      <c r="X1506" t="s">
        <v>41252</v>
      </c>
    </row>
    <row r="1507" spans="1:24">
      <c r="A1507">
        <f>HYPERLINK("https://www.philgeps.gov.ph/GEPSNONPILOT/Tender/SplashBidNoticeAbstractUI.aspx?menuIndex=3&amp;refID=7077893&amp;Result=3","7077893")</f>
        <v>0</v>
      </c>
      <c r="B1507" t="s">
        <v>123</v>
      </c>
      <c r="C1507" t="s">
        <v>4826</v>
      </c>
      <c r="D1507" t="s">
        <v>16608</v>
      </c>
      <c r="E1507" t="s">
        <v>16758</v>
      </c>
      <c r="F1507" t="s">
        <v>28669</v>
      </c>
      <c r="G1507" t="s">
        <v>28676</v>
      </c>
      <c r="H1507" t="s">
        <v>9998</v>
      </c>
      <c r="I1507" t="s">
        <v>28690</v>
      </c>
      <c r="J1507" t="s">
        <v>29882</v>
      </c>
      <c r="K1507" t="s">
        <v>37206</v>
      </c>
      <c r="M1507" t="s">
        <v>37599</v>
      </c>
      <c r="N1507" t="s">
        <v>41249</v>
      </c>
      <c r="O1507" t="s">
        <v>41250</v>
      </c>
      <c r="P1507">
        <v>0</v>
      </c>
      <c r="Q1507">
        <v>1</v>
      </c>
      <c r="R1507" t="s">
        <v>41251</v>
      </c>
      <c r="S1507" t="s">
        <v>41369</v>
      </c>
      <c r="T1507" t="s">
        <v>42675</v>
      </c>
      <c r="U1507" t="s">
        <v>44513</v>
      </c>
      <c r="W1507" t="s">
        <v>37599</v>
      </c>
      <c r="X1507" t="s">
        <v>41252</v>
      </c>
    </row>
    <row r="1508" spans="1:24">
      <c r="A1508">
        <f>HYPERLINK("https://www.philgeps.gov.ph/GEPSNONPILOT/Tender/SplashBidNoticeAbstractUI.aspx?menuIndex=3&amp;refID=7077875&amp;Result=3","7077875")</f>
        <v>0</v>
      </c>
      <c r="B1508" t="s">
        <v>133</v>
      </c>
      <c r="C1508" t="s">
        <v>4827</v>
      </c>
      <c r="E1508" t="s">
        <v>18130</v>
      </c>
      <c r="F1508" t="s">
        <v>28669</v>
      </c>
      <c r="G1508" t="s">
        <v>28676</v>
      </c>
      <c r="H1508" t="s">
        <v>9998</v>
      </c>
      <c r="I1508" t="s">
        <v>15140</v>
      </c>
      <c r="J1508" t="s">
        <v>29883</v>
      </c>
      <c r="K1508" t="s">
        <v>37209</v>
      </c>
      <c r="M1508" t="s">
        <v>37610</v>
      </c>
      <c r="N1508" t="s">
        <v>41249</v>
      </c>
      <c r="O1508" t="s">
        <v>41250</v>
      </c>
      <c r="P1508">
        <v>0</v>
      </c>
      <c r="Q1508">
        <v>1</v>
      </c>
      <c r="R1508" t="s">
        <v>41251</v>
      </c>
      <c r="S1508" t="s">
        <v>41369</v>
      </c>
      <c r="T1508" t="s">
        <v>42694</v>
      </c>
      <c r="U1508" t="s">
        <v>44514</v>
      </c>
      <c r="V1508" t="s">
        <v>54430</v>
      </c>
      <c r="W1508" t="s">
        <v>37610</v>
      </c>
      <c r="X1508" t="s">
        <v>41252</v>
      </c>
    </row>
    <row r="1509" spans="1:24">
      <c r="A1509">
        <f>HYPERLINK("https://www.philgeps.gov.ph/GEPSNONPILOT/Tender/SplashBidNoticeAbstractUI.aspx?menuIndex=3&amp;refID=7077917&amp;Result=3","7077917")</f>
        <v>0</v>
      </c>
      <c r="B1509" t="s">
        <v>667</v>
      </c>
      <c r="C1509" t="s">
        <v>4828</v>
      </c>
      <c r="D1509" t="s">
        <v>16630</v>
      </c>
      <c r="E1509" t="s">
        <v>18131</v>
      </c>
      <c r="F1509" t="s">
        <v>28669</v>
      </c>
      <c r="G1509" t="s">
        <v>28676</v>
      </c>
      <c r="H1509" t="s">
        <v>9998</v>
      </c>
      <c r="I1509" t="s">
        <v>6458</v>
      </c>
      <c r="J1509" t="s">
        <v>29884</v>
      </c>
      <c r="K1509" t="s">
        <v>37204</v>
      </c>
      <c r="M1509" t="s">
        <v>38170</v>
      </c>
      <c r="N1509" t="s">
        <v>41249</v>
      </c>
      <c r="O1509" t="s">
        <v>41250</v>
      </c>
      <c r="P1509">
        <v>0</v>
      </c>
      <c r="Q1509">
        <v>1</v>
      </c>
      <c r="R1509" t="s">
        <v>41251</v>
      </c>
      <c r="S1509" t="s">
        <v>41369</v>
      </c>
      <c r="T1509" t="s">
        <v>42759</v>
      </c>
      <c r="U1509" t="s">
        <v>44515</v>
      </c>
      <c r="W1509" t="s">
        <v>38170</v>
      </c>
      <c r="X1509" t="s">
        <v>41252</v>
      </c>
    </row>
    <row r="1510" spans="1:24">
      <c r="A1510">
        <f>HYPERLINK("https://www.philgeps.gov.ph/GEPSNONPILOT/Tender/SplashBidNoticeAbstractUI.aspx?menuIndex=3&amp;refID=7077890&amp;Result=3","7077890")</f>
        <v>0</v>
      </c>
      <c r="B1510" t="s">
        <v>674</v>
      </c>
      <c r="C1510" t="s">
        <v>4829</v>
      </c>
      <c r="D1510" t="s">
        <v>16620</v>
      </c>
      <c r="E1510" t="s">
        <v>18132</v>
      </c>
      <c r="F1510" t="s">
        <v>28669</v>
      </c>
      <c r="G1510" t="s">
        <v>28676</v>
      </c>
      <c r="H1510" t="s">
        <v>9998</v>
      </c>
      <c r="I1510" t="s">
        <v>28689</v>
      </c>
      <c r="J1510" t="s">
        <v>29885</v>
      </c>
      <c r="K1510" t="s">
        <v>37205</v>
      </c>
      <c r="M1510" t="s">
        <v>38177</v>
      </c>
      <c r="N1510" t="s">
        <v>41249</v>
      </c>
      <c r="O1510" t="s">
        <v>41250</v>
      </c>
      <c r="P1510">
        <v>0</v>
      </c>
      <c r="Q1510">
        <v>0</v>
      </c>
      <c r="R1510" t="s">
        <v>41251</v>
      </c>
      <c r="S1510" t="s">
        <v>41369</v>
      </c>
      <c r="T1510" t="s">
        <v>42678</v>
      </c>
      <c r="U1510" t="s">
        <v>44516</v>
      </c>
      <c r="W1510" t="s">
        <v>38177</v>
      </c>
      <c r="X1510" t="s">
        <v>41252</v>
      </c>
    </row>
    <row r="1511" spans="1:24">
      <c r="A1511">
        <f>HYPERLINK("https://www.philgeps.gov.ph/GEPSNONPILOT/Tender/SplashBidNoticeAbstractUI.aspx?menuIndex=3&amp;refID=7077892&amp;Result=3","7077892")</f>
        <v>0</v>
      </c>
      <c r="B1511" t="s">
        <v>697</v>
      </c>
      <c r="C1511" t="s">
        <v>4830</v>
      </c>
      <c r="E1511" t="s">
        <v>18133</v>
      </c>
      <c r="F1511" t="s">
        <v>28669</v>
      </c>
      <c r="G1511" t="s">
        <v>28676</v>
      </c>
      <c r="H1511" t="s">
        <v>28685</v>
      </c>
      <c r="I1511" t="s">
        <v>28685</v>
      </c>
      <c r="J1511" t="s">
        <v>28894</v>
      </c>
      <c r="K1511" t="s">
        <v>37205</v>
      </c>
      <c r="M1511" t="s">
        <v>38202</v>
      </c>
      <c r="N1511" t="s">
        <v>41249</v>
      </c>
      <c r="O1511" t="s">
        <v>41250</v>
      </c>
      <c r="P1511">
        <v>0</v>
      </c>
      <c r="Q1511">
        <v>0</v>
      </c>
      <c r="R1511" t="s">
        <v>41251</v>
      </c>
      <c r="S1511" t="s">
        <v>41369</v>
      </c>
      <c r="T1511" t="s">
        <v>42673</v>
      </c>
      <c r="U1511" t="s">
        <v>44517</v>
      </c>
      <c r="V1511" t="s">
        <v>54431</v>
      </c>
      <c r="W1511" t="s">
        <v>38202</v>
      </c>
      <c r="X1511" t="s">
        <v>41252</v>
      </c>
    </row>
    <row r="1512" spans="1:24">
      <c r="A1512">
        <f>HYPERLINK("https://www.philgeps.gov.ph/GEPSNONPILOT/Tender/SplashBidNoticeAbstractUI.aspx?menuIndex=3&amp;refID=7077928&amp;Result=3","7077928")</f>
        <v>0</v>
      </c>
      <c r="B1512" t="s">
        <v>123</v>
      </c>
      <c r="C1512" t="s">
        <v>4831</v>
      </c>
      <c r="D1512" t="s">
        <v>16608</v>
      </c>
      <c r="E1512" t="s">
        <v>17273</v>
      </c>
      <c r="F1512" t="s">
        <v>28669</v>
      </c>
      <c r="G1512" t="s">
        <v>28676</v>
      </c>
      <c r="H1512" t="s">
        <v>9998</v>
      </c>
      <c r="I1512" t="s">
        <v>28690</v>
      </c>
      <c r="J1512" t="s">
        <v>29040</v>
      </c>
      <c r="K1512" t="s">
        <v>37206</v>
      </c>
      <c r="M1512" t="s">
        <v>37599</v>
      </c>
      <c r="N1512" t="s">
        <v>41249</v>
      </c>
      <c r="O1512" t="s">
        <v>41250</v>
      </c>
      <c r="P1512">
        <v>0</v>
      </c>
      <c r="Q1512">
        <v>1</v>
      </c>
      <c r="R1512" t="s">
        <v>41251</v>
      </c>
      <c r="S1512" t="s">
        <v>41369</v>
      </c>
      <c r="T1512" t="s">
        <v>42675</v>
      </c>
      <c r="U1512" t="s">
        <v>44518</v>
      </c>
      <c r="W1512" t="s">
        <v>37599</v>
      </c>
      <c r="X1512" t="s">
        <v>41252</v>
      </c>
    </row>
    <row r="1513" spans="1:24">
      <c r="A1513">
        <f>HYPERLINK("https://www.philgeps.gov.ph/GEPSNONPILOT/Tender/SplashBidNoticeAbstractUI.aspx?menuIndex=3&amp;refID=7077926&amp;Result=3","7077926")</f>
        <v>0</v>
      </c>
      <c r="B1513" t="s">
        <v>250</v>
      </c>
      <c r="C1513" t="s">
        <v>4832</v>
      </c>
      <c r="D1513" t="s">
        <v>16621</v>
      </c>
      <c r="E1513" t="s">
        <v>18134</v>
      </c>
      <c r="F1513" t="s">
        <v>28669</v>
      </c>
      <c r="G1513" t="s">
        <v>28675</v>
      </c>
      <c r="H1513" t="s">
        <v>9998</v>
      </c>
      <c r="I1513" t="s">
        <v>28687</v>
      </c>
      <c r="J1513" t="s">
        <v>29886</v>
      </c>
      <c r="K1513" t="s">
        <v>37206</v>
      </c>
      <c r="M1513" t="s">
        <v>37728</v>
      </c>
      <c r="N1513" t="s">
        <v>41249</v>
      </c>
      <c r="O1513" t="s">
        <v>41250</v>
      </c>
      <c r="P1513">
        <v>0</v>
      </c>
      <c r="Q1513">
        <v>4</v>
      </c>
      <c r="R1513" t="s">
        <v>41251</v>
      </c>
      <c r="S1513" t="s">
        <v>41369</v>
      </c>
      <c r="T1513" t="s">
        <v>42715</v>
      </c>
      <c r="U1513" t="s">
        <v>44452</v>
      </c>
      <c r="W1513" t="s">
        <v>37728</v>
      </c>
      <c r="X1513" t="s">
        <v>41252</v>
      </c>
    </row>
    <row r="1514" spans="1:24">
      <c r="A1514">
        <f>HYPERLINK("https://www.philgeps.gov.ph/GEPSNONPILOT/Tender/SplashBidNoticeAbstractUI.aspx?menuIndex=3&amp;refID=7077919&amp;Result=3","7077919")</f>
        <v>0</v>
      </c>
      <c r="B1514" t="s">
        <v>535</v>
      </c>
      <c r="C1514" t="s">
        <v>4833</v>
      </c>
      <c r="D1514" t="s">
        <v>16631</v>
      </c>
      <c r="E1514" t="s">
        <v>17065</v>
      </c>
      <c r="F1514" t="s">
        <v>28669</v>
      </c>
      <c r="G1514" t="s">
        <v>28676</v>
      </c>
      <c r="H1514" t="s">
        <v>9998</v>
      </c>
      <c r="I1514" t="s">
        <v>28694</v>
      </c>
      <c r="J1514" t="s">
        <v>29887</v>
      </c>
      <c r="K1514" t="s">
        <v>37227</v>
      </c>
      <c r="M1514" t="s">
        <v>38026</v>
      </c>
      <c r="N1514" t="s">
        <v>41249</v>
      </c>
      <c r="O1514" t="s">
        <v>41250</v>
      </c>
      <c r="P1514">
        <v>0</v>
      </c>
      <c r="Q1514">
        <v>0</v>
      </c>
      <c r="R1514" t="s">
        <v>41251</v>
      </c>
      <c r="S1514" t="s">
        <v>41369</v>
      </c>
      <c r="T1514" t="s">
        <v>42713</v>
      </c>
      <c r="U1514" t="s">
        <v>44137</v>
      </c>
      <c r="W1514" t="s">
        <v>38026</v>
      </c>
      <c r="X1514" t="s">
        <v>41252</v>
      </c>
    </row>
    <row r="1515" spans="1:24">
      <c r="A1515">
        <f>HYPERLINK("https://www.philgeps.gov.ph/GEPSNONPILOT/Tender/SplashBidNoticeAbstractUI.aspx?menuIndex=3&amp;refID=7077918&amp;Result=3","7077918")</f>
        <v>0</v>
      </c>
      <c r="B1515" t="s">
        <v>698</v>
      </c>
      <c r="C1515" t="s">
        <v>4834</v>
      </c>
      <c r="D1515" t="s">
        <v>16667</v>
      </c>
      <c r="E1515" t="s">
        <v>18135</v>
      </c>
      <c r="F1515" t="s">
        <v>28669</v>
      </c>
      <c r="G1515" t="s">
        <v>28676</v>
      </c>
      <c r="H1515" t="s">
        <v>9998</v>
      </c>
      <c r="I1515" t="s">
        <v>11593</v>
      </c>
      <c r="J1515" t="s">
        <v>29827</v>
      </c>
      <c r="K1515" t="s">
        <v>37210</v>
      </c>
      <c r="M1515" t="s">
        <v>38203</v>
      </c>
      <c r="N1515" t="s">
        <v>41249</v>
      </c>
      <c r="O1515" t="s">
        <v>41250</v>
      </c>
      <c r="P1515">
        <v>0</v>
      </c>
      <c r="Q1515">
        <v>0</v>
      </c>
      <c r="R1515" t="s">
        <v>41251</v>
      </c>
      <c r="S1515" t="s">
        <v>41369</v>
      </c>
      <c r="T1515" t="s">
        <v>42711</v>
      </c>
      <c r="U1515" t="s">
        <v>44519</v>
      </c>
      <c r="W1515" t="s">
        <v>38203</v>
      </c>
      <c r="X1515" t="s">
        <v>41252</v>
      </c>
    </row>
    <row r="1516" spans="1:24">
      <c r="A1516">
        <f>HYPERLINK("https://www.philgeps.gov.ph/GEPSNONPILOT/Tender/SplashBidNoticeAbstractUI.aspx?menuIndex=3&amp;refID=7077913&amp;Result=3","7077913")</f>
        <v>0</v>
      </c>
      <c r="B1516" t="s">
        <v>194</v>
      </c>
      <c r="C1516" t="s">
        <v>4835</v>
      </c>
      <c r="D1516" t="s">
        <v>16672</v>
      </c>
      <c r="E1516" t="s">
        <v>18136</v>
      </c>
      <c r="F1516" t="s">
        <v>28669</v>
      </c>
      <c r="G1516" t="s">
        <v>28676</v>
      </c>
      <c r="H1516" t="s">
        <v>9998</v>
      </c>
      <c r="I1516" t="s">
        <v>28729</v>
      </c>
      <c r="J1516" t="s">
        <v>29888</v>
      </c>
      <c r="K1516" t="s">
        <v>37206</v>
      </c>
      <c r="M1516" t="s">
        <v>38181</v>
      </c>
      <c r="N1516" t="s">
        <v>41249</v>
      </c>
      <c r="O1516" t="s">
        <v>41250</v>
      </c>
      <c r="P1516">
        <v>0</v>
      </c>
      <c r="Q1516">
        <v>1</v>
      </c>
      <c r="R1516" t="s">
        <v>41251</v>
      </c>
      <c r="S1516" t="s">
        <v>41369</v>
      </c>
      <c r="T1516" t="s">
        <v>42754</v>
      </c>
      <c r="U1516" t="s">
        <v>44520</v>
      </c>
      <c r="W1516" t="s">
        <v>38181</v>
      </c>
      <c r="X1516" t="s">
        <v>41252</v>
      </c>
    </row>
    <row r="1517" spans="1:24">
      <c r="A1517">
        <f>HYPERLINK("https://www.philgeps.gov.ph/GEPSNONPILOT/Tender/SplashBidNoticeAbstractUI.aspx?menuIndex=3&amp;refID=7077877&amp;Result=3","7077877")</f>
        <v>0</v>
      </c>
      <c r="B1517" t="s">
        <v>699</v>
      </c>
      <c r="C1517" t="s">
        <v>4836</v>
      </c>
      <c r="D1517" t="s">
        <v>16622</v>
      </c>
      <c r="E1517" t="s">
        <v>18137</v>
      </c>
      <c r="F1517" t="s">
        <v>28669</v>
      </c>
      <c r="G1517" t="s">
        <v>28676</v>
      </c>
      <c r="H1517" t="s">
        <v>9998</v>
      </c>
      <c r="I1517" t="s">
        <v>28700</v>
      </c>
      <c r="J1517" t="s">
        <v>29889</v>
      </c>
      <c r="K1517" t="s">
        <v>37206</v>
      </c>
      <c r="M1517" t="s">
        <v>38204</v>
      </c>
      <c r="N1517" t="s">
        <v>41249</v>
      </c>
      <c r="O1517" t="s">
        <v>41250</v>
      </c>
      <c r="P1517">
        <v>0</v>
      </c>
      <c r="Q1517">
        <v>4</v>
      </c>
      <c r="R1517" t="s">
        <v>41251</v>
      </c>
      <c r="S1517" t="s">
        <v>41369</v>
      </c>
      <c r="T1517" t="s">
        <v>42663</v>
      </c>
      <c r="U1517" t="s">
        <v>44521</v>
      </c>
      <c r="W1517" t="s">
        <v>38204</v>
      </c>
      <c r="X1517" t="s">
        <v>41252</v>
      </c>
    </row>
    <row r="1518" spans="1:24">
      <c r="A1518">
        <f>HYPERLINK("https://www.philgeps.gov.ph/GEPSNONPILOT/Tender/SplashBidNoticeAbstractUI.aspx?menuIndex=3&amp;refID=7077911&amp;Result=3","7077911")</f>
        <v>0</v>
      </c>
      <c r="B1518" t="s">
        <v>193</v>
      </c>
      <c r="C1518" t="s">
        <v>4837</v>
      </c>
      <c r="D1518" t="s">
        <v>16658</v>
      </c>
      <c r="E1518" t="s">
        <v>18138</v>
      </c>
      <c r="F1518" t="s">
        <v>28669</v>
      </c>
      <c r="G1518" t="s">
        <v>28675</v>
      </c>
      <c r="H1518" t="s">
        <v>9998</v>
      </c>
      <c r="I1518" t="s">
        <v>28687</v>
      </c>
      <c r="J1518" t="s">
        <v>29053</v>
      </c>
      <c r="K1518" t="s">
        <v>37206</v>
      </c>
      <c r="M1518" t="s">
        <v>37671</v>
      </c>
      <c r="N1518" t="s">
        <v>41249</v>
      </c>
      <c r="O1518" t="s">
        <v>41250</v>
      </c>
      <c r="P1518">
        <v>0</v>
      </c>
      <c r="Q1518">
        <v>3</v>
      </c>
      <c r="R1518" t="s">
        <v>41251</v>
      </c>
      <c r="S1518" t="s">
        <v>41369</v>
      </c>
      <c r="T1518" t="s">
        <v>42688</v>
      </c>
      <c r="U1518" t="s">
        <v>44522</v>
      </c>
      <c r="V1518" t="s">
        <v>54426</v>
      </c>
      <c r="W1518" t="s">
        <v>37671</v>
      </c>
      <c r="X1518" t="s">
        <v>41252</v>
      </c>
    </row>
    <row r="1519" spans="1:24">
      <c r="A1519">
        <f>HYPERLINK("https://www.philgeps.gov.ph/GEPSNONPILOT/Tender/SplashBidNoticeAbstractUI.aspx?menuIndex=3&amp;refID=7077910&amp;Result=3","7077910")</f>
        <v>0</v>
      </c>
      <c r="B1519" t="s">
        <v>656</v>
      </c>
      <c r="C1519" t="s">
        <v>4838</v>
      </c>
      <c r="D1519" t="s">
        <v>16657</v>
      </c>
      <c r="E1519" t="s">
        <v>18139</v>
      </c>
      <c r="F1519" t="s">
        <v>28669</v>
      </c>
      <c r="G1519" t="s">
        <v>28676</v>
      </c>
      <c r="H1519" t="s">
        <v>9998</v>
      </c>
      <c r="I1519" t="s">
        <v>28699</v>
      </c>
      <c r="J1519" t="s">
        <v>28979</v>
      </c>
      <c r="K1519" t="s">
        <v>37205</v>
      </c>
      <c r="M1519" t="s">
        <v>38157</v>
      </c>
      <c r="N1519" t="s">
        <v>41249</v>
      </c>
      <c r="O1519" t="s">
        <v>41250</v>
      </c>
      <c r="P1519">
        <v>0</v>
      </c>
      <c r="Q1519">
        <v>1</v>
      </c>
      <c r="R1519" t="s">
        <v>41251</v>
      </c>
      <c r="S1519" t="s">
        <v>41369</v>
      </c>
      <c r="T1519" t="s">
        <v>42671</v>
      </c>
      <c r="U1519" t="s">
        <v>44523</v>
      </c>
      <c r="W1519" t="s">
        <v>38157</v>
      </c>
      <c r="X1519" t="s">
        <v>41252</v>
      </c>
    </row>
    <row r="1520" spans="1:24">
      <c r="A1520">
        <f>HYPERLINK("https://www.philgeps.gov.ph/GEPSNONPILOT/Tender/SplashBidNoticeAbstractUI.aspx?menuIndex=3&amp;refID=7077909&amp;Result=3","7077909")</f>
        <v>0</v>
      </c>
      <c r="B1520" t="s">
        <v>679</v>
      </c>
      <c r="C1520" t="s">
        <v>4839</v>
      </c>
      <c r="D1520" t="s">
        <v>16634</v>
      </c>
      <c r="E1520" t="s">
        <v>18140</v>
      </c>
      <c r="F1520" t="s">
        <v>28669</v>
      </c>
      <c r="G1520" t="s">
        <v>28675</v>
      </c>
      <c r="H1520" t="s">
        <v>9998</v>
      </c>
      <c r="I1520" t="s">
        <v>28687</v>
      </c>
      <c r="J1520" t="s">
        <v>29112</v>
      </c>
      <c r="K1520" t="s">
        <v>37206</v>
      </c>
      <c r="M1520" t="s">
        <v>38183</v>
      </c>
      <c r="N1520" t="s">
        <v>41249</v>
      </c>
      <c r="O1520" t="s">
        <v>41250</v>
      </c>
      <c r="P1520">
        <v>0</v>
      </c>
      <c r="Q1520">
        <v>2</v>
      </c>
      <c r="R1520" t="s">
        <v>41251</v>
      </c>
      <c r="S1520" t="s">
        <v>41369</v>
      </c>
      <c r="T1520" t="s">
        <v>42692</v>
      </c>
      <c r="U1520" t="s">
        <v>44524</v>
      </c>
      <c r="W1520" t="s">
        <v>38183</v>
      </c>
      <c r="X1520" t="s">
        <v>41252</v>
      </c>
    </row>
    <row r="1521" spans="1:24">
      <c r="A1521">
        <f>HYPERLINK("https://www.philgeps.gov.ph/GEPSNONPILOT/Tender/SplashBidNoticeAbstractUI.aspx?menuIndex=3&amp;refID=7077916&amp;Result=3","7077916")</f>
        <v>0</v>
      </c>
      <c r="B1521" t="s">
        <v>642</v>
      </c>
      <c r="C1521" t="s">
        <v>4840</v>
      </c>
      <c r="D1521" t="s">
        <v>16642</v>
      </c>
      <c r="E1521" t="s">
        <v>18141</v>
      </c>
      <c r="F1521" t="s">
        <v>28669</v>
      </c>
      <c r="G1521" t="s">
        <v>28676</v>
      </c>
      <c r="H1521" t="s">
        <v>9998</v>
      </c>
      <c r="I1521" t="s">
        <v>28773</v>
      </c>
      <c r="J1521" t="s">
        <v>29546</v>
      </c>
      <c r="K1521" t="s">
        <v>37205</v>
      </c>
      <c r="M1521" t="s">
        <v>38143</v>
      </c>
      <c r="N1521" t="s">
        <v>41249</v>
      </c>
      <c r="O1521" t="s">
        <v>41250</v>
      </c>
      <c r="P1521">
        <v>0</v>
      </c>
      <c r="Q1521">
        <v>2</v>
      </c>
      <c r="R1521" t="s">
        <v>41251</v>
      </c>
      <c r="S1521" t="s">
        <v>41369</v>
      </c>
      <c r="T1521" t="s">
        <v>42726</v>
      </c>
      <c r="U1521" t="s">
        <v>44525</v>
      </c>
      <c r="W1521" t="s">
        <v>38143</v>
      </c>
      <c r="X1521" t="s">
        <v>41252</v>
      </c>
    </row>
    <row r="1522" spans="1:24">
      <c r="A1522">
        <f>HYPERLINK("https://www.philgeps.gov.ph/GEPSNONPILOT/Tender/SplashBidNoticeAbstractUI.aspx?menuIndex=3&amp;refID=7077876&amp;Result=3","7077876")</f>
        <v>0</v>
      </c>
      <c r="B1522" t="s">
        <v>642</v>
      </c>
      <c r="C1522" t="s">
        <v>4841</v>
      </c>
      <c r="D1522" t="s">
        <v>16642</v>
      </c>
      <c r="E1522" t="s">
        <v>18142</v>
      </c>
      <c r="F1522" t="s">
        <v>28669</v>
      </c>
      <c r="G1522" t="s">
        <v>28676</v>
      </c>
      <c r="H1522" t="s">
        <v>9998</v>
      </c>
      <c r="I1522" t="s">
        <v>28688</v>
      </c>
      <c r="J1522" t="s">
        <v>29890</v>
      </c>
      <c r="K1522" t="s">
        <v>37205</v>
      </c>
      <c r="M1522" t="s">
        <v>38143</v>
      </c>
      <c r="N1522" t="s">
        <v>41249</v>
      </c>
      <c r="O1522" t="s">
        <v>41250</v>
      </c>
      <c r="P1522">
        <v>0</v>
      </c>
      <c r="Q1522">
        <v>3</v>
      </c>
      <c r="R1522" t="s">
        <v>41251</v>
      </c>
      <c r="S1522" t="s">
        <v>41369</v>
      </c>
      <c r="T1522" t="s">
        <v>42726</v>
      </c>
      <c r="U1522" t="s">
        <v>44526</v>
      </c>
      <c r="W1522" t="s">
        <v>38143</v>
      </c>
      <c r="X1522" t="s">
        <v>41252</v>
      </c>
    </row>
    <row r="1523" spans="1:24">
      <c r="A1523">
        <f>HYPERLINK("https://www.philgeps.gov.ph/GEPSNONPILOT/Tender/SplashBidNoticeAbstractUI.aspx?menuIndex=3&amp;refID=7077912&amp;Result=3","7077912")</f>
        <v>0</v>
      </c>
      <c r="B1523" t="s">
        <v>689</v>
      </c>
      <c r="C1523" t="s">
        <v>4842</v>
      </c>
      <c r="D1523" t="s">
        <v>16608</v>
      </c>
      <c r="E1523" t="s">
        <v>18143</v>
      </c>
      <c r="F1523" t="s">
        <v>28669</v>
      </c>
      <c r="G1523" t="s">
        <v>28676</v>
      </c>
      <c r="H1523" t="s">
        <v>9998</v>
      </c>
      <c r="I1523" t="s">
        <v>5286</v>
      </c>
      <c r="J1523" t="s">
        <v>29247</v>
      </c>
      <c r="K1523" t="s">
        <v>37209</v>
      </c>
      <c r="M1523" t="s">
        <v>38205</v>
      </c>
      <c r="N1523" t="s">
        <v>41249</v>
      </c>
      <c r="O1523" t="s">
        <v>41250</v>
      </c>
      <c r="P1523">
        <v>0</v>
      </c>
      <c r="Q1523">
        <v>6</v>
      </c>
      <c r="R1523" t="s">
        <v>41251</v>
      </c>
      <c r="S1523" t="s">
        <v>41369</v>
      </c>
      <c r="T1523" t="s">
        <v>42725</v>
      </c>
      <c r="U1523" t="s">
        <v>44527</v>
      </c>
      <c r="W1523" t="s">
        <v>38205</v>
      </c>
      <c r="X1523" t="s">
        <v>41252</v>
      </c>
    </row>
    <row r="1524" spans="1:24">
      <c r="A1524">
        <f>HYPERLINK("https://www.philgeps.gov.ph/GEPSNONPILOT/Tender/SplashBidNoticeAbstractUI.aspx?menuIndex=3&amp;refID=7077904&amp;Result=3","7077904")</f>
        <v>0</v>
      </c>
      <c r="B1524" t="s">
        <v>634</v>
      </c>
      <c r="C1524" t="s">
        <v>4843</v>
      </c>
      <c r="D1524" t="s">
        <v>16644</v>
      </c>
      <c r="E1524" t="s">
        <v>18144</v>
      </c>
      <c r="F1524" t="s">
        <v>28669</v>
      </c>
      <c r="G1524" t="s">
        <v>28677</v>
      </c>
      <c r="H1524" t="s">
        <v>9998</v>
      </c>
      <c r="I1524" t="s">
        <v>28704</v>
      </c>
      <c r="J1524" t="s">
        <v>29104</v>
      </c>
      <c r="K1524" t="s">
        <v>37243</v>
      </c>
      <c r="M1524" t="s">
        <v>38135</v>
      </c>
      <c r="N1524" t="s">
        <v>41249</v>
      </c>
      <c r="O1524" t="s">
        <v>41250</v>
      </c>
      <c r="P1524">
        <v>0</v>
      </c>
      <c r="Q1524">
        <v>2</v>
      </c>
      <c r="R1524" t="s">
        <v>41251</v>
      </c>
      <c r="S1524" t="s">
        <v>41369</v>
      </c>
      <c r="T1524" t="s">
        <v>42738</v>
      </c>
      <c r="U1524" t="s">
        <v>44528</v>
      </c>
      <c r="W1524" t="s">
        <v>38135</v>
      </c>
      <c r="X1524" t="s">
        <v>41252</v>
      </c>
    </row>
    <row r="1525" spans="1:24">
      <c r="A1525">
        <f>HYPERLINK("https://www.philgeps.gov.ph/GEPSNONPILOT/Tender/SplashBidNoticeAbstractUI.aspx?menuIndex=3&amp;refID=7077924&amp;Result=3","7077924")</f>
        <v>0</v>
      </c>
      <c r="B1525" t="s">
        <v>700</v>
      </c>
      <c r="C1525" t="s">
        <v>4844</v>
      </c>
      <c r="D1525" t="s">
        <v>16620</v>
      </c>
      <c r="E1525" t="s">
        <v>18145</v>
      </c>
      <c r="F1525" t="s">
        <v>28669</v>
      </c>
      <c r="G1525" t="s">
        <v>28676</v>
      </c>
      <c r="H1525" t="s">
        <v>9998</v>
      </c>
      <c r="I1525" t="s">
        <v>28710</v>
      </c>
      <c r="J1525" t="s">
        <v>29891</v>
      </c>
      <c r="K1525" t="s">
        <v>37293</v>
      </c>
      <c r="M1525" t="s">
        <v>38206</v>
      </c>
      <c r="N1525" t="s">
        <v>41249</v>
      </c>
      <c r="O1525" t="s">
        <v>41250</v>
      </c>
      <c r="P1525">
        <v>0</v>
      </c>
      <c r="Q1525">
        <v>0</v>
      </c>
      <c r="R1525" t="s">
        <v>41251</v>
      </c>
      <c r="S1525" t="s">
        <v>41369</v>
      </c>
      <c r="T1525" t="s">
        <v>42759</v>
      </c>
      <c r="U1525" t="s">
        <v>44529</v>
      </c>
      <c r="W1525" t="s">
        <v>38206</v>
      </c>
      <c r="X1525" t="s">
        <v>41252</v>
      </c>
    </row>
    <row r="1526" spans="1:24">
      <c r="A1526">
        <f>HYPERLINK("https://www.philgeps.gov.ph/GEPSNONPILOT/Tender/SplashBidNoticeAbstractUI.aspx?menuIndex=3&amp;refID=7077898&amp;Result=3","7077898")</f>
        <v>0</v>
      </c>
      <c r="B1526" t="s">
        <v>654</v>
      </c>
      <c r="C1526" t="s">
        <v>4845</v>
      </c>
      <c r="D1526" t="s">
        <v>16669</v>
      </c>
      <c r="E1526" t="s">
        <v>18146</v>
      </c>
      <c r="F1526" t="s">
        <v>28669</v>
      </c>
      <c r="G1526" t="s">
        <v>28675</v>
      </c>
      <c r="H1526" t="s">
        <v>28686</v>
      </c>
      <c r="I1526" t="s">
        <v>28689</v>
      </c>
      <c r="J1526" t="s">
        <v>29247</v>
      </c>
      <c r="K1526" t="s">
        <v>37209</v>
      </c>
      <c r="M1526" t="s">
        <v>38155</v>
      </c>
      <c r="N1526" t="s">
        <v>41249</v>
      </c>
      <c r="O1526" t="s">
        <v>41250</v>
      </c>
      <c r="P1526">
        <v>0</v>
      </c>
      <c r="Q1526">
        <v>0</v>
      </c>
      <c r="R1526" t="s">
        <v>41251</v>
      </c>
      <c r="S1526" t="s">
        <v>41369</v>
      </c>
      <c r="T1526" t="s">
        <v>42672</v>
      </c>
      <c r="U1526" t="s">
        <v>44530</v>
      </c>
      <c r="W1526" t="s">
        <v>38155</v>
      </c>
      <c r="X1526" t="s">
        <v>41252</v>
      </c>
    </row>
    <row r="1527" spans="1:24">
      <c r="A1527">
        <f>HYPERLINK("https://www.philgeps.gov.ph/GEPSNONPILOT/Tender/SplashBidNoticeAbstractUI.aspx?menuIndex=3&amp;refID=7077897&amp;Result=3","7077897")</f>
        <v>0</v>
      </c>
      <c r="B1527" t="s">
        <v>659</v>
      </c>
      <c r="C1527" t="s">
        <v>4846</v>
      </c>
      <c r="D1527" t="s">
        <v>16643</v>
      </c>
      <c r="E1527" t="s">
        <v>18147</v>
      </c>
      <c r="F1527" t="s">
        <v>28669</v>
      </c>
      <c r="G1527" t="s">
        <v>28676</v>
      </c>
      <c r="H1527" t="s">
        <v>9998</v>
      </c>
      <c r="I1527" t="s">
        <v>28774</v>
      </c>
      <c r="J1527" t="s">
        <v>29191</v>
      </c>
      <c r="K1527" t="s">
        <v>37204</v>
      </c>
      <c r="M1527" t="s">
        <v>38161</v>
      </c>
      <c r="N1527" t="s">
        <v>41249</v>
      </c>
      <c r="O1527" t="s">
        <v>41250</v>
      </c>
      <c r="P1527">
        <v>0</v>
      </c>
      <c r="Q1527">
        <v>0</v>
      </c>
      <c r="R1527" t="s">
        <v>41251</v>
      </c>
      <c r="S1527" t="s">
        <v>41369</v>
      </c>
      <c r="T1527" t="s">
        <v>42690</v>
      </c>
      <c r="U1527" t="s">
        <v>44531</v>
      </c>
      <c r="W1527" t="s">
        <v>55925</v>
      </c>
      <c r="X1527" t="s">
        <v>41252</v>
      </c>
    </row>
    <row r="1528" spans="1:24">
      <c r="A1528">
        <f>HYPERLINK("https://www.philgeps.gov.ph/GEPSNONPILOT/Tender/SplashBidNoticeAbstractUI.aspx?menuIndex=3&amp;refID=7077907&amp;Result=3","7077907")</f>
        <v>0</v>
      </c>
      <c r="B1528" t="s">
        <v>531</v>
      </c>
      <c r="C1528" t="s">
        <v>4847</v>
      </c>
      <c r="D1528" t="s">
        <v>16611</v>
      </c>
      <c r="E1528" t="s">
        <v>18148</v>
      </c>
      <c r="F1528" t="s">
        <v>28669</v>
      </c>
      <c r="G1528" t="s">
        <v>28677</v>
      </c>
      <c r="H1528" t="s">
        <v>9998</v>
      </c>
      <c r="I1528" t="s">
        <v>28688</v>
      </c>
      <c r="J1528" t="s">
        <v>29040</v>
      </c>
      <c r="K1528" t="s">
        <v>37210</v>
      </c>
      <c r="M1528" t="s">
        <v>38022</v>
      </c>
      <c r="N1528" t="s">
        <v>41249</v>
      </c>
      <c r="O1528" t="s">
        <v>41250</v>
      </c>
      <c r="P1528">
        <v>0</v>
      </c>
      <c r="Q1528">
        <v>0</v>
      </c>
      <c r="R1528" t="s">
        <v>41251</v>
      </c>
      <c r="S1528" t="s">
        <v>41369</v>
      </c>
      <c r="T1528" t="s">
        <v>42679</v>
      </c>
      <c r="U1528" t="s">
        <v>44532</v>
      </c>
      <c r="W1528" t="s">
        <v>38022</v>
      </c>
      <c r="X1528" t="s">
        <v>41252</v>
      </c>
    </row>
    <row r="1529" spans="1:24">
      <c r="A1529">
        <f>HYPERLINK("https://www.philgeps.gov.ph/GEPSNONPILOT/Tender/SplashBidNoticeAbstractUI.aspx?menuIndex=3&amp;refID=7077872&amp;Result=3","7077872")</f>
        <v>0</v>
      </c>
      <c r="B1529" t="s">
        <v>701</v>
      </c>
      <c r="C1529" t="s">
        <v>4848</v>
      </c>
      <c r="D1529" t="s">
        <v>16616</v>
      </c>
      <c r="E1529" t="s">
        <v>18149</v>
      </c>
      <c r="F1529" t="s">
        <v>28669</v>
      </c>
      <c r="G1529" t="s">
        <v>28675</v>
      </c>
      <c r="H1529" t="s">
        <v>9998</v>
      </c>
      <c r="I1529" t="s">
        <v>7352</v>
      </c>
      <c r="J1529" t="s">
        <v>29548</v>
      </c>
      <c r="K1529" t="s">
        <v>37205</v>
      </c>
      <c r="M1529" t="s">
        <v>38207</v>
      </c>
      <c r="N1529" t="s">
        <v>41249</v>
      </c>
      <c r="O1529" t="s">
        <v>41250</v>
      </c>
      <c r="P1529">
        <v>0</v>
      </c>
      <c r="Q1529">
        <v>0</v>
      </c>
      <c r="R1529" t="s">
        <v>41251</v>
      </c>
      <c r="S1529" t="s">
        <v>41369</v>
      </c>
      <c r="T1529" t="s">
        <v>42682</v>
      </c>
      <c r="U1529" t="s">
        <v>44533</v>
      </c>
      <c r="V1529" t="s">
        <v>54432</v>
      </c>
      <c r="W1529" t="s">
        <v>38207</v>
      </c>
      <c r="X1529" t="s">
        <v>41252</v>
      </c>
    </row>
    <row r="1530" spans="1:24">
      <c r="A1530">
        <f>HYPERLINK("https://www.philgeps.gov.ph/GEPSNONPILOT/Tender/SplashBidNoticeAbstractUI.aspx?menuIndex=3&amp;refID=7077847&amp;Result=3","7077847")</f>
        <v>0</v>
      </c>
      <c r="B1530" t="s">
        <v>195</v>
      </c>
      <c r="C1530" t="s">
        <v>4849</v>
      </c>
      <c r="D1530" t="s">
        <v>16636</v>
      </c>
      <c r="E1530" t="s">
        <v>18150</v>
      </c>
      <c r="F1530" t="s">
        <v>28669</v>
      </c>
      <c r="G1530" t="s">
        <v>28677</v>
      </c>
      <c r="H1530" t="s">
        <v>9998</v>
      </c>
      <c r="I1530" t="s">
        <v>11593</v>
      </c>
      <c r="J1530" t="s">
        <v>28894</v>
      </c>
      <c r="K1530" t="s">
        <v>37205</v>
      </c>
      <c r="M1530" t="s">
        <v>37673</v>
      </c>
      <c r="N1530" t="s">
        <v>41249</v>
      </c>
      <c r="O1530" t="s">
        <v>41250</v>
      </c>
      <c r="P1530">
        <v>0</v>
      </c>
      <c r="Q1530">
        <v>0</v>
      </c>
      <c r="R1530" t="s">
        <v>41251</v>
      </c>
      <c r="S1530" t="s">
        <v>41369</v>
      </c>
      <c r="T1530" t="s">
        <v>42754</v>
      </c>
      <c r="U1530" t="s">
        <v>44534</v>
      </c>
      <c r="W1530" t="s">
        <v>37673</v>
      </c>
      <c r="X1530" t="s">
        <v>41252</v>
      </c>
    </row>
    <row r="1531" spans="1:24">
      <c r="A1531">
        <f>HYPERLINK("https://www.philgeps.gov.ph/GEPSNONPILOT/Tender/SplashBidNoticeAbstractUI.aspx?menuIndex=3&amp;refID=7077922&amp;Result=3","7077922")</f>
        <v>0</v>
      </c>
      <c r="B1531" t="s">
        <v>702</v>
      </c>
      <c r="C1531" t="s">
        <v>4850</v>
      </c>
      <c r="E1531" t="s">
        <v>18151</v>
      </c>
      <c r="F1531" t="s">
        <v>28669</v>
      </c>
      <c r="G1531" t="s">
        <v>28676</v>
      </c>
      <c r="H1531" t="s">
        <v>28684</v>
      </c>
      <c r="I1531" t="s">
        <v>28753</v>
      </c>
      <c r="J1531" t="s">
        <v>28826</v>
      </c>
      <c r="K1531" t="s">
        <v>37205</v>
      </c>
      <c r="M1531" t="s">
        <v>38208</v>
      </c>
      <c r="N1531" t="s">
        <v>41249</v>
      </c>
      <c r="O1531" t="s">
        <v>41250</v>
      </c>
      <c r="P1531">
        <v>0</v>
      </c>
      <c r="Q1531">
        <v>0</v>
      </c>
      <c r="R1531" t="s">
        <v>41251</v>
      </c>
      <c r="S1531" t="s">
        <v>41369</v>
      </c>
      <c r="T1531" t="s">
        <v>42694</v>
      </c>
      <c r="U1531" t="s">
        <v>44535</v>
      </c>
      <c r="V1531" t="s">
        <v>54433</v>
      </c>
      <c r="W1531" t="s">
        <v>38208</v>
      </c>
      <c r="X1531" t="s">
        <v>41252</v>
      </c>
    </row>
    <row r="1532" spans="1:24">
      <c r="A1532">
        <f>HYPERLINK("https://www.philgeps.gov.ph/GEPSNONPILOT/Tender/SplashBidNoticeAbstractUI.aspx?menuIndex=3&amp;refID=7077963&amp;Result=3","7077963")</f>
        <v>0</v>
      </c>
      <c r="B1532" t="s">
        <v>703</v>
      </c>
      <c r="C1532" t="s">
        <v>4851</v>
      </c>
      <c r="E1532" t="s">
        <v>18152</v>
      </c>
      <c r="F1532" t="s">
        <v>28669</v>
      </c>
      <c r="G1532" t="s">
        <v>28675</v>
      </c>
      <c r="H1532" t="s">
        <v>9998</v>
      </c>
      <c r="I1532" t="s">
        <v>11593</v>
      </c>
      <c r="J1532" t="s">
        <v>29892</v>
      </c>
      <c r="K1532" t="s">
        <v>37209</v>
      </c>
      <c r="M1532" t="s">
        <v>38209</v>
      </c>
      <c r="N1532" t="s">
        <v>41249</v>
      </c>
      <c r="O1532" t="s">
        <v>41250</v>
      </c>
      <c r="P1532">
        <v>0</v>
      </c>
      <c r="Q1532">
        <v>4</v>
      </c>
      <c r="R1532" t="s">
        <v>41251</v>
      </c>
      <c r="S1532" t="s">
        <v>41369</v>
      </c>
      <c r="T1532" t="s">
        <v>42828</v>
      </c>
      <c r="U1532" t="s">
        <v>44536</v>
      </c>
      <c r="V1532" t="s">
        <v>54434</v>
      </c>
      <c r="W1532" t="s">
        <v>55926</v>
      </c>
      <c r="X1532" t="s">
        <v>41252</v>
      </c>
    </row>
    <row r="1533" spans="1:24">
      <c r="A1533">
        <f>HYPERLINK("https://www.philgeps.gov.ph/GEPSNONPILOT/Tender/SplashBidNoticeAbstractUI.aspx?menuIndex=3&amp;refID=7077962&amp;Result=3","7077962")</f>
        <v>0</v>
      </c>
      <c r="B1533" t="s">
        <v>689</v>
      </c>
      <c r="C1533" t="s">
        <v>4852</v>
      </c>
      <c r="D1533" t="s">
        <v>16608</v>
      </c>
      <c r="E1533" t="s">
        <v>18153</v>
      </c>
      <c r="F1533" t="s">
        <v>28669</v>
      </c>
      <c r="G1533" t="s">
        <v>28676</v>
      </c>
      <c r="H1533" t="s">
        <v>9998</v>
      </c>
      <c r="I1533" t="s">
        <v>28693</v>
      </c>
      <c r="J1533" t="s">
        <v>28826</v>
      </c>
      <c r="K1533" t="s">
        <v>37209</v>
      </c>
      <c r="M1533" t="s">
        <v>38205</v>
      </c>
      <c r="N1533" t="s">
        <v>41249</v>
      </c>
      <c r="O1533" t="s">
        <v>41250</v>
      </c>
      <c r="P1533">
        <v>0</v>
      </c>
      <c r="Q1533">
        <v>11</v>
      </c>
      <c r="R1533" t="s">
        <v>41251</v>
      </c>
      <c r="S1533" t="s">
        <v>41369</v>
      </c>
      <c r="T1533" t="s">
        <v>42725</v>
      </c>
      <c r="U1533" t="s">
        <v>44527</v>
      </c>
      <c r="W1533" t="s">
        <v>38205</v>
      </c>
      <c r="X1533" t="s">
        <v>41252</v>
      </c>
    </row>
    <row r="1534" spans="1:24">
      <c r="A1534">
        <f>HYPERLINK("https://www.philgeps.gov.ph/GEPSNONPILOT/Tender/SplashBidNoticeAbstractUI.aspx?menuIndex=3&amp;refID=7077906&amp;Result=3","7077906")</f>
        <v>0</v>
      </c>
      <c r="B1534" t="s">
        <v>114</v>
      </c>
      <c r="C1534" t="s">
        <v>4853</v>
      </c>
      <c r="D1534" t="s">
        <v>16608</v>
      </c>
      <c r="E1534" t="s">
        <v>18154</v>
      </c>
      <c r="F1534" t="s">
        <v>28669</v>
      </c>
      <c r="G1534" t="s">
        <v>28677</v>
      </c>
      <c r="H1534" t="s">
        <v>9998</v>
      </c>
      <c r="I1534" t="s">
        <v>28695</v>
      </c>
      <c r="J1534" t="s">
        <v>29203</v>
      </c>
      <c r="K1534" t="s">
        <v>37210</v>
      </c>
      <c r="M1534" t="s">
        <v>38210</v>
      </c>
      <c r="N1534" t="s">
        <v>41249</v>
      </c>
      <c r="O1534" t="s">
        <v>41250</v>
      </c>
      <c r="P1534">
        <v>0</v>
      </c>
      <c r="Q1534">
        <v>1</v>
      </c>
      <c r="R1534" t="s">
        <v>41251</v>
      </c>
      <c r="S1534" t="s">
        <v>41369</v>
      </c>
      <c r="T1534" t="s">
        <v>42725</v>
      </c>
      <c r="U1534" t="s">
        <v>44537</v>
      </c>
      <c r="V1534" t="s">
        <v>54435</v>
      </c>
      <c r="W1534" t="s">
        <v>38210</v>
      </c>
      <c r="X1534" t="s">
        <v>41252</v>
      </c>
    </row>
    <row r="1535" spans="1:24">
      <c r="A1535">
        <f>HYPERLINK("https://www.philgeps.gov.ph/GEPSNONPILOT/Tender/SplashBidNoticeAbstractUI.aspx?menuIndex=3&amp;refID=7077900&amp;Result=3","7077900")</f>
        <v>0</v>
      </c>
      <c r="B1535" t="s">
        <v>704</v>
      </c>
      <c r="C1535" t="s">
        <v>4854</v>
      </c>
      <c r="D1535" t="s">
        <v>16668</v>
      </c>
      <c r="E1535" t="s">
        <v>18155</v>
      </c>
      <c r="F1535" t="s">
        <v>28669</v>
      </c>
      <c r="G1535" t="s">
        <v>28676</v>
      </c>
      <c r="H1535" t="s">
        <v>28684</v>
      </c>
      <c r="I1535" t="s">
        <v>28728</v>
      </c>
      <c r="J1535" t="s">
        <v>29612</v>
      </c>
      <c r="K1535" t="s">
        <v>37278</v>
      </c>
      <c r="M1535" t="s">
        <v>38211</v>
      </c>
      <c r="N1535" t="s">
        <v>41249</v>
      </c>
      <c r="O1535" t="s">
        <v>41250</v>
      </c>
      <c r="P1535">
        <v>0</v>
      </c>
      <c r="Q1535">
        <v>0</v>
      </c>
      <c r="R1535" t="s">
        <v>41251</v>
      </c>
      <c r="S1535" t="s">
        <v>41369</v>
      </c>
      <c r="T1535" t="s">
        <v>42711</v>
      </c>
      <c r="U1535" t="s">
        <v>44538</v>
      </c>
      <c r="W1535" t="s">
        <v>38211</v>
      </c>
      <c r="X1535" t="s">
        <v>41252</v>
      </c>
    </row>
    <row r="1536" spans="1:24">
      <c r="A1536">
        <f>HYPERLINK("https://www.philgeps.gov.ph/GEPSNONPILOT/Tender/SplashBidNoticeAbstractUI.aspx?menuIndex=3&amp;refID=7077960&amp;Result=3","7077960")</f>
        <v>0</v>
      </c>
      <c r="B1536" t="s">
        <v>111</v>
      </c>
      <c r="C1536" t="s">
        <v>4855</v>
      </c>
      <c r="D1536" t="s">
        <v>16619</v>
      </c>
      <c r="E1536" t="s">
        <v>18156</v>
      </c>
      <c r="F1536" t="s">
        <v>28669</v>
      </c>
      <c r="G1536" t="s">
        <v>28676</v>
      </c>
      <c r="H1536" t="s">
        <v>9998</v>
      </c>
      <c r="I1536" t="s">
        <v>7352</v>
      </c>
      <c r="J1536" t="s">
        <v>29893</v>
      </c>
      <c r="K1536" t="s">
        <v>37204</v>
      </c>
      <c r="M1536" t="s">
        <v>37587</v>
      </c>
      <c r="N1536" t="s">
        <v>41249</v>
      </c>
      <c r="O1536" t="s">
        <v>41250</v>
      </c>
      <c r="P1536">
        <v>0</v>
      </c>
      <c r="Q1536">
        <v>0</v>
      </c>
      <c r="R1536" t="s">
        <v>41251</v>
      </c>
      <c r="S1536" t="s">
        <v>41369</v>
      </c>
      <c r="T1536" t="s">
        <v>42675</v>
      </c>
      <c r="U1536" t="s">
        <v>44539</v>
      </c>
      <c r="W1536" t="s">
        <v>37587</v>
      </c>
      <c r="X1536" t="s">
        <v>41252</v>
      </c>
    </row>
    <row r="1537" spans="1:24">
      <c r="A1537">
        <f>HYPERLINK("https://www.philgeps.gov.ph/GEPSNONPILOT/Tender/SplashBidNoticeAbstractUI.aspx?menuIndex=3&amp;refID=7077959&amp;Result=3","7077959")</f>
        <v>0</v>
      </c>
      <c r="B1537" t="s">
        <v>210</v>
      </c>
      <c r="C1537" t="s">
        <v>4856</v>
      </c>
      <c r="D1537" t="s">
        <v>16633</v>
      </c>
      <c r="E1537" t="s">
        <v>18157</v>
      </c>
      <c r="F1537" t="s">
        <v>28669</v>
      </c>
      <c r="G1537" t="s">
        <v>28675</v>
      </c>
      <c r="H1537" t="s">
        <v>28686</v>
      </c>
      <c r="I1537" t="s">
        <v>28689</v>
      </c>
      <c r="J1537" t="s">
        <v>29894</v>
      </c>
      <c r="K1537" t="s">
        <v>37215</v>
      </c>
      <c r="M1537" t="s">
        <v>37688</v>
      </c>
      <c r="N1537" t="s">
        <v>41249</v>
      </c>
      <c r="O1537" t="s">
        <v>41250</v>
      </c>
      <c r="P1537">
        <v>0</v>
      </c>
      <c r="Q1537">
        <v>0</v>
      </c>
      <c r="R1537" t="s">
        <v>41251</v>
      </c>
      <c r="S1537" t="s">
        <v>41369</v>
      </c>
      <c r="T1537" t="s">
        <v>42661</v>
      </c>
      <c r="U1537" t="s">
        <v>44540</v>
      </c>
      <c r="V1537" t="s">
        <v>54436</v>
      </c>
      <c r="W1537" t="s">
        <v>37688</v>
      </c>
      <c r="X1537" t="s">
        <v>41252</v>
      </c>
    </row>
    <row r="1538" spans="1:24">
      <c r="A1538">
        <f>HYPERLINK("https://www.philgeps.gov.ph/GEPSNONPILOT/Tender/SplashBidNoticeAbstractUI.aspx?menuIndex=3&amp;refID=7077956&amp;Result=3","7077956")</f>
        <v>0</v>
      </c>
      <c r="B1538" t="s">
        <v>705</v>
      </c>
      <c r="C1538" t="s">
        <v>4857</v>
      </c>
      <c r="D1538" t="s">
        <v>16658</v>
      </c>
      <c r="E1538" t="s">
        <v>16781</v>
      </c>
      <c r="F1538" t="s">
        <v>28669</v>
      </c>
      <c r="G1538" t="s">
        <v>28675</v>
      </c>
      <c r="H1538" t="s">
        <v>9998</v>
      </c>
      <c r="I1538" t="s">
        <v>7352</v>
      </c>
      <c r="J1538" t="s">
        <v>29895</v>
      </c>
      <c r="K1538" t="s">
        <v>37227</v>
      </c>
      <c r="M1538" t="s">
        <v>38212</v>
      </c>
      <c r="N1538" t="s">
        <v>41249</v>
      </c>
      <c r="O1538" t="s">
        <v>41250</v>
      </c>
      <c r="P1538">
        <v>0</v>
      </c>
      <c r="Q1538">
        <v>0</v>
      </c>
      <c r="R1538" t="s">
        <v>41251</v>
      </c>
      <c r="S1538" t="s">
        <v>41369</v>
      </c>
      <c r="T1538" t="s">
        <v>42716</v>
      </c>
      <c r="U1538" t="s">
        <v>44541</v>
      </c>
      <c r="V1538" t="s">
        <v>54437</v>
      </c>
      <c r="W1538" t="s">
        <v>38212</v>
      </c>
      <c r="X1538" t="s">
        <v>41252</v>
      </c>
    </row>
    <row r="1539" spans="1:24">
      <c r="A1539">
        <f>HYPERLINK("https://www.philgeps.gov.ph/GEPSNONPILOT/Tender/SplashBidNoticeAbstractUI.aspx?menuIndex=3&amp;refID=7077954&amp;Result=3","7077954")</f>
        <v>0</v>
      </c>
      <c r="B1539" t="s">
        <v>706</v>
      </c>
      <c r="C1539" t="s">
        <v>4858</v>
      </c>
      <c r="D1539" t="s">
        <v>16608</v>
      </c>
      <c r="E1539" t="s">
        <v>18158</v>
      </c>
      <c r="F1539" t="s">
        <v>28669</v>
      </c>
      <c r="G1539" t="s">
        <v>28675</v>
      </c>
      <c r="H1539" t="s">
        <v>9998</v>
      </c>
      <c r="I1539" t="s">
        <v>3658</v>
      </c>
      <c r="J1539" t="s">
        <v>29896</v>
      </c>
      <c r="K1539" t="s">
        <v>37204</v>
      </c>
      <c r="M1539" t="s">
        <v>38213</v>
      </c>
      <c r="N1539" t="s">
        <v>41249</v>
      </c>
      <c r="O1539" t="s">
        <v>41250</v>
      </c>
      <c r="P1539">
        <v>0</v>
      </c>
      <c r="Q1539">
        <v>0</v>
      </c>
      <c r="R1539" t="s">
        <v>41251</v>
      </c>
      <c r="S1539" t="s">
        <v>41369</v>
      </c>
      <c r="T1539" t="s">
        <v>42682</v>
      </c>
      <c r="U1539" t="s">
        <v>44542</v>
      </c>
      <c r="W1539" t="s">
        <v>38213</v>
      </c>
      <c r="X1539" t="s">
        <v>41252</v>
      </c>
    </row>
    <row r="1540" spans="1:24">
      <c r="A1540">
        <f>HYPERLINK("https://www.philgeps.gov.ph/GEPSNONPILOT/Tender/SplashBidNoticeAbstractUI.aspx?menuIndex=3&amp;refID=7077952&amp;Result=3","7077952")</f>
        <v>0</v>
      </c>
      <c r="B1540" t="s">
        <v>707</v>
      </c>
      <c r="C1540" t="s">
        <v>4859</v>
      </c>
      <c r="D1540" t="s">
        <v>16660</v>
      </c>
      <c r="E1540" t="s">
        <v>18159</v>
      </c>
      <c r="F1540" t="s">
        <v>28669</v>
      </c>
      <c r="G1540" t="s">
        <v>28677</v>
      </c>
      <c r="H1540" t="s">
        <v>9998</v>
      </c>
      <c r="I1540" t="s">
        <v>7352</v>
      </c>
      <c r="J1540" t="s">
        <v>29897</v>
      </c>
      <c r="K1540" t="s">
        <v>37243</v>
      </c>
      <c r="M1540" t="s">
        <v>38214</v>
      </c>
      <c r="N1540" t="s">
        <v>41249</v>
      </c>
      <c r="O1540" t="s">
        <v>41250</v>
      </c>
      <c r="P1540">
        <v>0</v>
      </c>
      <c r="Q1540">
        <v>0</v>
      </c>
      <c r="R1540" t="s">
        <v>41251</v>
      </c>
      <c r="S1540" t="s">
        <v>41369</v>
      </c>
      <c r="T1540" t="s">
        <v>42664</v>
      </c>
      <c r="U1540" t="s">
        <v>44543</v>
      </c>
      <c r="W1540" t="s">
        <v>38214</v>
      </c>
      <c r="X1540" t="s">
        <v>41252</v>
      </c>
    </row>
    <row r="1541" spans="1:24">
      <c r="A1541">
        <f>HYPERLINK("https://www.philgeps.gov.ph/GEPSNONPILOT/Tender/SplashBidNoticeAbstractUI.aspx?menuIndex=3&amp;refID=7077871&amp;Result=3","7077871")</f>
        <v>0</v>
      </c>
      <c r="B1541" t="s">
        <v>708</v>
      </c>
      <c r="C1541" t="s">
        <v>4860</v>
      </c>
      <c r="D1541" t="s">
        <v>16616</v>
      </c>
      <c r="E1541" t="s">
        <v>18160</v>
      </c>
      <c r="F1541" t="s">
        <v>28671</v>
      </c>
      <c r="G1541" t="s">
        <v>28676</v>
      </c>
      <c r="H1541" t="s">
        <v>28686</v>
      </c>
      <c r="I1541" t="s">
        <v>28689</v>
      </c>
      <c r="J1541" t="s">
        <v>29898</v>
      </c>
      <c r="K1541" t="s">
        <v>37206</v>
      </c>
      <c r="M1541" t="s">
        <v>38215</v>
      </c>
      <c r="N1541" t="s">
        <v>41249</v>
      </c>
      <c r="O1541" t="s">
        <v>41250</v>
      </c>
      <c r="P1541">
        <v>0</v>
      </c>
      <c r="Q1541">
        <v>0</v>
      </c>
      <c r="R1541" t="s">
        <v>41251</v>
      </c>
      <c r="S1541" t="s">
        <v>41369</v>
      </c>
      <c r="T1541" t="s">
        <v>42690</v>
      </c>
      <c r="U1541" t="s">
        <v>44544</v>
      </c>
      <c r="V1541" t="s">
        <v>54438</v>
      </c>
      <c r="W1541" t="s">
        <v>38215</v>
      </c>
      <c r="X1541" t="s">
        <v>41252</v>
      </c>
    </row>
    <row r="1542" spans="1:24">
      <c r="A1542">
        <f>HYPERLINK("https://www.philgeps.gov.ph/GEPSNONPILOT/Tender/SplashBidNoticeAbstractUI.aspx?menuIndex=3&amp;refID=7077951&amp;Result=3","7077951")</f>
        <v>0</v>
      </c>
      <c r="B1542" t="s">
        <v>654</v>
      </c>
      <c r="C1542" t="s">
        <v>4861</v>
      </c>
      <c r="D1542" t="s">
        <v>16669</v>
      </c>
      <c r="E1542" t="s">
        <v>18161</v>
      </c>
      <c r="F1542" t="s">
        <v>28669</v>
      </c>
      <c r="G1542" t="s">
        <v>28675</v>
      </c>
      <c r="H1542" t="s">
        <v>28686</v>
      </c>
      <c r="I1542" t="s">
        <v>28689</v>
      </c>
      <c r="J1542" t="s">
        <v>28881</v>
      </c>
      <c r="K1542" t="s">
        <v>37209</v>
      </c>
      <c r="M1542" t="s">
        <v>38155</v>
      </c>
      <c r="N1542" t="s">
        <v>41249</v>
      </c>
      <c r="O1542" t="s">
        <v>41250</v>
      </c>
      <c r="P1542">
        <v>0</v>
      </c>
      <c r="Q1542">
        <v>0</v>
      </c>
      <c r="R1542" t="s">
        <v>41251</v>
      </c>
      <c r="S1542" t="s">
        <v>41369</v>
      </c>
      <c r="T1542" t="s">
        <v>42672</v>
      </c>
      <c r="U1542" t="s">
        <v>44545</v>
      </c>
      <c r="W1542" t="s">
        <v>38155</v>
      </c>
      <c r="X1542" t="s">
        <v>41252</v>
      </c>
    </row>
    <row r="1543" spans="1:24">
      <c r="A1543">
        <f>HYPERLINK("https://www.philgeps.gov.ph/GEPSNONPILOT/Tender/SplashBidNoticeAbstractUI.aspx?menuIndex=3&amp;refID=7077948&amp;Result=3","7077948")</f>
        <v>0</v>
      </c>
      <c r="B1543" t="s">
        <v>709</v>
      </c>
      <c r="C1543" t="s">
        <v>4862</v>
      </c>
      <c r="D1543" t="s">
        <v>16621</v>
      </c>
      <c r="E1543" t="s">
        <v>18162</v>
      </c>
      <c r="F1543" t="s">
        <v>28669</v>
      </c>
      <c r="G1543" t="s">
        <v>28676</v>
      </c>
      <c r="H1543" t="s">
        <v>9998</v>
      </c>
      <c r="I1543" t="s">
        <v>3679</v>
      </c>
      <c r="J1543" t="s">
        <v>29899</v>
      </c>
      <c r="K1543" t="s">
        <v>37208</v>
      </c>
      <c r="M1543" t="s">
        <v>38216</v>
      </c>
      <c r="N1543" t="s">
        <v>41249</v>
      </c>
      <c r="O1543" t="s">
        <v>41250</v>
      </c>
      <c r="P1543">
        <v>0</v>
      </c>
      <c r="Q1543">
        <v>0</v>
      </c>
      <c r="R1543" t="s">
        <v>41251</v>
      </c>
      <c r="S1543" t="s">
        <v>41369</v>
      </c>
      <c r="T1543" t="s">
        <v>42673</v>
      </c>
      <c r="U1543" t="s">
        <v>44546</v>
      </c>
      <c r="W1543" t="s">
        <v>38216</v>
      </c>
      <c r="X1543" t="s">
        <v>41252</v>
      </c>
    </row>
    <row r="1544" spans="1:24">
      <c r="A1544">
        <f>HYPERLINK("https://www.philgeps.gov.ph/GEPSNONPILOT/Tender/SplashBidNoticeAbstractUI.aspx?menuIndex=3&amp;refID=7077944&amp;Result=3","7077944")</f>
        <v>0</v>
      </c>
      <c r="B1544" t="s">
        <v>114</v>
      </c>
      <c r="C1544" t="s">
        <v>4863</v>
      </c>
      <c r="D1544" t="s">
        <v>16608</v>
      </c>
      <c r="E1544" t="s">
        <v>18163</v>
      </c>
      <c r="F1544" t="s">
        <v>28669</v>
      </c>
      <c r="G1544" t="s">
        <v>28677</v>
      </c>
      <c r="H1544" t="s">
        <v>9998</v>
      </c>
      <c r="I1544" t="s">
        <v>28752</v>
      </c>
      <c r="J1544" t="s">
        <v>29460</v>
      </c>
      <c r="K1544" t="s">
        <v>37210</v>
      </c>
      <c r="M1544" t="s">
        <v>38210</v>
      </c>
      <c r="N1544" t="s">
        <v>41249</v>
      </c>
      <c r="O1544" t="s">
        <v>41250</v>
      </c>
      <c r="P1544">
        <v>0</v>
      </c>
      <c r="Q1544">
        <v>2</v>
      </c>
      <c r="R1544" t="s">
        <v>41251</v>
      </c>
      <c r="S1544" t="s">
        <v>41369</v>
      </c>
      <c r="T1544" t="s">
        <v>42725</v>
      </c>
      <c r="U1544" t="s">
        <v>44547</v>
      </c>
      <c r="V1544" t="s">
        <v>54435</v>
      </c>
      <c r="W1544" t="s">
        <v>38210</v>
      </c>
      <c r="X1544" t="s">
        <v>41252</v>
      </c>
    </row>
    <row r="1545" spans="1:24">
      <c r="A1545">
        <f>HYPERLINK("https://www.philgeps.gov.ph/GEPSNONPILOT/Tender/SplashBidNoticeAbstractUI.aspx?menuIndex=3&amp;refID=7077953&amp;Result=3","7077953")</f>
        <v>0</v>
      </c>
      <c r="B1545" t="s">
        <v>698</v>
      </c>
      <c r="C1545" t="s">
        <v>4864</v>
      </c>
      <c r="D1545" t="s">
        <v>16667</v>
      </c>
      <c r="E1545" t="s">
        <v>18164</v>
      </c>
      <c r="F1545" t="s">
        <v>28669</v>
      </c>
      <c r="G1545" t="s">
        <v>28676</v>
      </c>
      <c r="H1545" t="s">
        <v>28686</v>
      </c>
      <c r="I1545" t="s">
        <v>7352</v>
      </c>
      <c r="J1545" t="s">
        <v>28905</v>
      </c>
      <c r="K1545" t="s">
        <v>37210</v>
      </c>
      <c r="M1545" t="s">
        <v>38203</v>
      </c>
      <c r="N1545" t="s">
        <v>41249</v>
      </c>
      <c r="O1545" t="s">
        <v>41250</v>
      </c>
      <c r="P1545">
        <v>0</v>
      </c>
      <c r="Q1545">
        <v>0</v>
      </c>
      <c r="R1545" t="s">
        <v>41251</v>
      </c>
      <c r="S1545" t="s">
        <v>41369</v>
      </c>
      <c r="T1545" t="s">
        <v>42711</v>
      </c>
      <c r="U1545" t="s">
        <v>44548</v>
      </c>
      <c r="W1545" t="s">
        <v>38203</v>
      </c>
      <c r="X1545" t="s">
        <v>41252</v>
      </c>
    </row>
    <row r="1546" spans="1:24">
      <c r="A1546">
        <f>HYPERLINK("https://www.philgeps.gov.ph/GEPSNONPILOT/Tender/SplashBidNoticeAbstractUI.aspx?menuIndex=3&amp;refID=7077958&amp;Result=3","7077958")</f>
        <v>0</v>
      </c>
      <c r="B1546" t="s">
        <v>688</v>
      </c>
      <c r="C1546" t="s">
        <v>4865</v>
      </c>
      <c r="D1546" t="s">
        <v>16619</v>
      </c>
      <c r="E1546" t="s">
        <v>18165</v>
      </c>
      <c r="F1546" t="s">
        <v>28669</v>
      </c>
      <c r="G1546" t="s">
        <v>28676</v>
      </c>
      <c r="H1546" t="s">
        <v>9998</v>
      </c>
      <c r="I1546" t="s">
        <v>28704</v>
      </c>
      <c r="J1546" t="s">
        <v>29900</v>
      </c>
      <c r="K1546" t="s">
        <v>37206</v>
      </c>
      <c r="M1546" t="s">
        <v>38193</v>
      </c>
      <c r="N1546" t="s">
        <v>41249</v>
      </c>
      <c r="O1546" t="s">
        <v>41250</v>
      </c>
      <c r="P1546">
        <v>0</v>
      </c>
      <c r="Q1546">
        <v>0</v>
      </c>
      <c r="R1546" t="s">
        <v>41251</v>
      </c>
      <c r="S1546" t="s">
        <v>41369</v>
      </c>
      <c r="T1546" t="s">
        <v>42679</v>
      </c>
      <c r="U1546" t="s">
        <v>44495</v>
      </c>
      <c r="W1546" t="s">
        <v>38193</v>
      </c>
      <c r="X1546" t="s">
        <v>41252</v>
      </c>
    </row>
    <row r="1547" spans="1:24">
      <c r="A1547">
        <f>HYPERLINK("https://www.philgeps.gov.ph/GEPSNONPILOT/Tender/SplashBidNoticeAbstractUI.aspx?menuIndex=3&amp;refID=7077946&amp;Result=3","7077946")</f>
        <v>0</v>
      </c>
      <c r="B1547" t="s">
        <v>628</v>
      </c>
      <c r="C1547" t="s">
        <v>4866</v>
      </c>
      <c r="D1547" t="s">
        <v>16621</v>
      </c>
      <c r="E1547" t="s">
        <v>18166</v>
      </c>
      <c r="F1547" t="s">
        <v>28669</v>
      </c>
      <c r="G1547" t="s">
        <v>28675</v>
      </c>
      <c r="H1547" t="s">
        <v>9998</v>
      </c>
      <c r="I1547" t="s">
        <v>28687</v>
      </c>
      <c r="J1547" t="s">
        <v>29047</v>
      </c>
      <c r="K1547" t="s">
        <v>37213</v>
      </c>
      <c r="M1547" t="s">
        <v>38128</v>
      </c>
      <c r="N1547" t="s">
        <v>41249</v>
      </c>
      <c r="O1547" t="s">
        <v>41250</v>
      </c>
      <c r="P1547">
        <v>0</v>
      </c>
      <c r="Q1547">
        <v>6</v>
      </c>
      <c r="R1547" t="s">
        <v>41251</v>
      </c>
      <c r="S1547" t="s">
        <v>41369</v>
      </c>
      <c r="T1547" t="s">
        <v>42818</v>
      </c>
      <c r="U1547" t="s">
        <v>44549</v>
      </c>
      <c r="V1547" t="s">
        <v>54406</v>
      </c>
      <c r="W1547" t="s">
        <v>38128</v>
      </c>
      <c r="X1547" t="s">
        <v>41252</v>
      </c>
    </row>
    <row r="1548" spans="1:24">
      <c r="A1548">
        <f>HYPERLINK("https://www.philgeps.gov.ph/GEPSNONPILOT/Tender/SplashBidNoticeAbstractUI.aspx?menuIndex=3&amp;refID=7077938&amp;Result=3","7077938")</f>
        <v>0</v>
      </c>
      <c r="B1548" t="s">
        <v>140</v>
      </c>
      <c r="C1548" t="s">
        <v>4867</v>
      </c>
      <c r="D1548" t="s">
        <v>16652</v>
      </c>
      <c r="E1548" t="s">
        <v>18167</v>
      </c>
      <c r="F1548" t="s">
        <v>28669</v>
      </c>
      <c r="G1548" t="s">
        <v>28675</v>
      </c>
      <c r="H1548" t="s">
        <v>9998</v>
      </c>
      <c r="I1548" t="s">
        <v>28694</v>
      </c>
      <c r="J1548" t="s">
        <v>29901</v>
      </c>
      <c r="K1548" t="s">
        <v>37221</v>
      </c>
      <c r="M1548" t="s">
        <v>37617</v>
      </c>
      <c r="N1548" t="s">
        <v>41249</v>
      </c>
      <c r="O1548" t="s">
        <v>41250</v>
      </c>
      <c r="P1548">
        <v>0</v>
      </c>
      <c r="Q1548">
        <v>0</v>
      </c>
      <c r="R1548" t="s">
        <v>41251</v>
      </c>
      <c r="S1548" t="s">
        <v>41369</v>
      </c>
      <c r="T1548" t="s">
        <v>42737</v>
      </c>
      <c r="U1548" t="s">
        <v>43397</v>
      </c>
      <c r="W1548" t="s">
        <v>37617</v>
      </c>
      <c r="X1548" t="s">
        <v>41252</v>
      </c>
    </row>
    <row r="1549" spans="1:24">
      <c r="A1549">
        <f>HYPERLINK("https://www.philgeps.gov.ph/GEPSNONPILOT/Tender/SplashBidNoticeAbstractUI.aspx?menuIndex=3&amp;refID=7077932&amp;Result=3","7077932")</f>
        <v>0</v>
      </c>
      <c r="B1549" t="s">
        <v>688</v>
      </c>
      <c r="C1549" t="s">
        <v>4868</v>
      </c>
      <c r="D1549" t="s">
        <v>16619</v>
      </c>
      <c r="E1549" t="s">
        <v>18168</v>
      </c>
      <c r="F1549" t="s">
        <v>28669</v>
      </c>
      <c r="G1549" t="s">
        <v>28676</v>
      </c>
      <c r="H1549" t="s">
        <v>9998</v>
      </c>
      <c r="I1549" t="s">
        <v>28688</v>
      </c>
      <c r="J1549" t="s">
        <v>29902</v>
      </c>
      <c r="K1549" t="s">
        <v>37206</v>
      </c>
      <c r="M1549" t="s">
        <v>38193</v>
      </c>
      <c r="N1549" t="s">
        <v>41249</v>
      </c>
      <c r="O1549" t="s">
        <v>41250</v>
      </c>
      <c r="P1549">
        <v>0</v>
      </c>
      <c r="Q1549">
        <v>2</v>
      </c>
      <c r="R1549" t="s">
        <v>41251</v>
      </c>
      <c r="S1549" t="s">
        <v>41369</v>
      </c>
      <c r="T1549" t="s">
        <v>42679</v>
      </c>
      <c r="U1549" t="s">
        <v>44495</v>
      </c>
      <c r="W1549" t="s">
        <v>38193</v>
      </c>
      <c r="X1549" t="s">
        <v>41252</v>
      </c>
    </row>
    <row r="1550" spans="1:24">
      <c r="A1550">
        <f>HYPERLINK("https://www.philgeps.gov.ph/GEPSNONPILOT/Tender/SplashBidNoticeAbstractUI.aspx?menuIndex=3&amp;refID=7077931&amp;Result=3","7077931")</f>
        <v>0</v>
      </c>
      <c r="B1550" t="s">
        <v>114</v>
      </c>
      <c r="C1550" t="s">
        <v>4853</v>
      </c>
      <c r="D1550" t="s">
        <v>16608</v>
      </c>
      <c r="E1550" t="s">
        <v>18169</v>
      </c>
      <c r="F1550" t="s">
        <v>28669</v>
      </c>
      <c r="G1550" t="s">
        <v>28677</v>
      </c>
      <c r="H1550" t="s">
        <v>9998</v>
      </c>
      <c r="I1550" t="s">
        <v>28695</v>
      </c>
      <c r="J1550" t="s">
        <v>29203</v>
      </c>
      <c r="K1550" t="s">
        <v>37210</v>
      </c>
      <c r="M1550" t="s">
        <v>38210</v>
      </c>
      <c r="N1550" t="s">
        <v>41249</v>
      </c>
      <c r="O1550" t="s">
        <v>41250</v>
      </c>
      <c r="P1550">
        <v>0</v>
      </c>
      <c r="Q1550">
        <v>2</v>
      </c>
      <c r="R1550" t="s">
        <v>41251</v>
      </c>
      <c r="S1550" t="s">
        <v>41369</v>
      </c>
      <c r="T1550" t="s">
        <v>42725</v>
      </c>
      <c r="U1550" t="s">
        <v>44550</v>
      </c>
      <c r="V1550" t="s">
        <v>54435</v>
      </c>
      <c r="W1550" t="s">
        <v>38210</v>
      </c>
      <c r="X1550" t="s">
        <v>41252</v>
      </c>
    </row>
    <row r="1551" spans="1:24">
      <c r="A1551">
        <f>HYPERLINK("https://www.philgeps.gov.ph/GEPSNONPILOT/Tender/SplashBidNoticeAbstractUI.aspx?menuIndex=3&amp;refID=7077980&amp;Result=3","7077980")</f>
        <v>0</v>
      </c>
      <c r="B1551" t="s">
        <v>710</v>
      </c>
      <c r="C1551" t="s">
        <v>4869</v>
      </c>
      <c r="D1551" t="s">
        <v>16626</v>
      </c>
      <c r="E1551" t="s">
        <v>18170</v>
      </c>
      <c r="F1551" t="s">
        <v>28669</v>
      </c>
      <c r="G1551" t="s">
        <v>28676</v>
      </c>
      <c r="H1551" t="s">
        <v>28686</v>
      </c>
      <c r="I1551" t="s">
        <v>28689</v>
      </c>
      <c r="J1551" t="s">
        <v>29903</v>
      </c>
      <c r="K1551" t="s">
        <v>37221</v>
      </c>
      <c r="M1551" t="s">
        <v>38217</v>
      </c>
      <c r="N1551" t="s">
        <v>41249</v>
      </c>
      <c r="O1551" t="s">
        <v>41250</v>
      </c>
      <c r="P1551">
        <v>0</v>
      </c>
      <c r="Q1551">
        <v>0</v>
      </c>
      <c r="R1551" t="s">
        <v>41251</v>
      </c>
      <c r="S1551" t="s">
        <v>41369</v>
      </c>
      <c r="T1551" t="s">
        <v>42711</v>
      </c>
      <c r="U1551" t="s">
        <v>44551</v>
      </c>
      <c r="W1551" t="s">
        <v>38217</v>
      </c>
      <c r="X1551" t="s">
        <v>41252</v>
      </c>
    </row>
    <row r="1552" spans="1:24">
      <c r="A1552">
        <f>HYPERLINK("https://www.philgeps.gov.ph/GEPSNONPILOT/Tender/SplashBidNoticeAbstractUI.aspx?menuIndex=3&amp;refID=7077993&amp;Result=3","7077993")</f>
        <v>0</v>
      </c>
      <c r="B1552" t="s">
        <v>194</v>
      </c>
      <c r="C1552" t="s">
        <v>4870</v>
      </c>
      <c r="D1552" t="s">
        <v>16672</v>
      </c>
      <c r="E1552" t="s">
        <v>18171</v>
      </c>
      <c r="F1552" t="s">
        <v>28669</v>
      </c>
      <c r="G1552" t="s">
        <v>28677</v>
      </c>
      <c r="H1552" t="s">
        <v>9998</v>
      </c>
      <c r="I1552" t="s">
        <v>7352</v>
      </c>
      <c r="J1552" t="s">
        <v>29904</v>
      </c>
      <c r="K1552" t="s">
        <v>37206</v>
      </c>
      <c r="M1552" t="s">
        <v>38181</v>
      </c>
      <c r="N1552" t="s">
        <v>41249</v>
      </c>
      <c r="O1552" t="s">
        <v>41250</v>
      </c>
      <c r="P1552">
        <v>0</v>
      </c>
      <c r="Q1552">
        <v>1</v>
      </c>
      <c r="R1552" t="s">
        <v>41251</v>
      </c>
      <c r="S1552" t="s">
        <v>41369</v>
      </c>
      <c r="T1552" t="s">
        <v>42754</v>
      </c>
      <c r="U1552" t="s">
        <v>44552</v>
      </c>
      <c r="W1552" t="s">
        <v>38181</v>
      </c>
      <c r="X1552" t="s">
        <v>41252</v>
      </c>
    </row>
    <row r="1553" spans="1:24">
      <c r="A1553">
        <f>HYPERLINK("https://www.philgeps.gov.ph/GEPSNONPILOT/Tender/SplashBidNoticeAbstractUI.aspx?menuIndex=3&amp;refID=7077940&amp;Result=3","7077940")</f>
        <v>0</v>
      </c>
      <c r="B1553" t="s">
        <v>638</v>
      </c>
      <c r="C1553" t="s">
        <v>4871</v>
      </c>
      <c r="D1553" t="s">
        <v>16664</v>
      </c>
      <c r="E1553" t="s">
        <v>18172</v>
      </c>
      <c r="F1553" t="s">
        <v>28669</v>
      </c>
      <c r="G1553" t="s">
        <v>28675</v>
      </c>
      <c r="H1553" t="s">
        <v>28686</v>
      </c>
      <c r="I1553" t="s">
        <v>28689</v>
      </c>
      <c r="J1553" t="s">
        <v>28985</v>
      </c>
      <c r="K1553" t="s">
        <v>37220</v>
      </c>
      <c r="M1553" t="s">
        <v>38139</v>
      </c>
      <c r="N1553" t="s">
        <v>41249</v>
      </c>
      <c r="O1553" t="s">
        <v>41250</v>
      </c>
      <c r="P1553">
        <v>0</v>
      </c>
      <c r="Q1553">
        <v>0</v>
      </c>
      <c r="R1553" t="s">
        <v>41251</v>
      </c>
      <c r="S1553" t="s">
        <v>41369</v>
      </c>
      <c r="T1553" t="s">
        <v>42761</v>
      </c>
      <c r="U1553" t="s">
        <v>44553</v>
      </c>
      <c r="W1553" t="s">
        <v>38139</v>
      </c>
      <c r="X1553" t="s">
        <v>41252</v>
      </c>
    </row>
    <row r="1554" spans="1:24">
      <c r="A1554">
        <f>HYPERLINK("https://www.philgeps.gov.ph/GEPSNONPILOT/Tender/SplashBidNoticeAbstractUI.aspx?menuIndex=3&amp;refID=7077991&amp;Result=3","7077991")</f>
        <v>0</v>
      </c>
      <c r="B1554" t="s">
        <v>711</v>
      </c>
      <c r="C1554" t="s">
        <v>4872</v>
      </c>
      <c r="D1554" t="s">
        <v>16627</v>
      </c>
      <c r="E1554" t="s">
        <v>18173</v>
      </c>
      <c r="F1554" t="s">
        <v>28669</v>
      </c>
      <c r="G1554" t="s">
        <v>28676</v>
      </c>
      <c r="H1554" t="s">
        <v>9998</v>
      </c>
      <c r="I1554" t="s">
        <v>28690</v>
      </c>
      <c r="J1554" t="s">
        <v>29905</v>
      </c>
      <c r="K1554" t="s">
        <v>37210</v>
      </c>
      <c r="M1554" t="s">
        <v>38218</v>
      </c>
      <c r="N1554" t="s">
        <v>41249</v>
      </c>
      <c r="O1554" t="s">
        <v>41250</v>
      </c>
      <c r="P1554">
        <v>0</v>
      </c>
      <c r="Q1554">
        <v>10</v>
      </c>
      <c r="R1554" t="s">
        <v>41251</v>
      </c>
      <c r="S1554" t="s">
        <v>41369</v>
      </c>
      <c r="T1554" t="s">
        <v>42673</v>
      </c>
      <c r="U1554" t="s">
        <v>44554</v>
      </c>
      <c r="W1554" t="s">
        <v>38218</v>
      </c>
      <c r="X1554" t="s">
        <v>41252</v>
      </c>
    </row>
    <row r="1555" spans="1:24">
      <c r="A1555">
        <f>HYPERLINK("https://www.philgeps.gov.ph/GEPSNONPILOT/Tender/SplashBidNoticeAbstractUI.aspx?menuIndex=3&amp;refID=7077988&amp;Result=3","7077988")</f>
        <v>0</v>
      </c>
      <c r="B1555" t="s">
        <v>667</v>
      </c>
      <c r="C1555" t="s">
        <v>4873</v>
      </c>
      <c r="D1555" t="s">
        <v>16630</v>
      </c>
      <c r="E1555" t="s">
        <v>18174</v>
      </c>
      <c r="F1555" t="s">
        <v>28669</v>
      </c>
      <c r="G1555" t="s">
        <v>28676</v>
      </c>
      <c r="H1555" t="s">
        <v>9998</v>
      </c>
      <c r="I1555" t="s">
        <v>5213</v>
      </c>
      <c r="J1555" t="s">
        <v>28943</v>
      </c>
      <c r="K1555" t="s">
        <v>37204</v>
      </c>
      <c r="M1555" t="s">
        <v>38170</v>
      </c>
      <c r="N1555" t="s">
        <v>41249</v>
      </c>
      <c r="O1555" t="s">
        <v>41250</v>
      </c>
      <c r="P1555">
        <v>0</v>
      </c>
      <c r="Q1555">
        <v>4</v>
      </c>
      <c r="R1555" t="s">
        <v>41251</v>
      </c>
      <c r="S1555" t="s">
        <v>41369</v>
      </c>
      <c r="T1555" t="s">
        <v>42759</v>
      </c>
      <c r="U1555" t="s">
        <v>44555</v>
      </c>
      <c r="W1555" t="s">
        <v>38170</v>
      </c>
      <c r="X1555" t="s">
        <v>41252</v>
      </c>
    </row>
    <row r="1556" spans="1:24">
      <c r="A1556">
        <f>HYPERLINK("https://www.philgeps.gov.ph/GEPSNONPILOT/Tender/SplashBidNoticeAbstractUI.aspx?menuIndex=3&amp;refID=7077987&amp;Result=3","7077987")</f>
        <v>0</v>
      </c>
      <c r="B1556" t="s">
        <v>689</v>
      </c>
      <c r="C1556" t="s">
        <v>4874</v>
      </c>
      <c r="D1556" t="s">
        <v>16608</v>
      </c>
      <c r="E1556" t="s">
        <v>18175</v>
      </c>
      <c r="F1556" t="s">
        <v>28669</v>
      </c>
      <c r="G1556" t="s">
        <v>28676</v>
      </c>
      <c r="H1556" t="s">
        <v>9998</v>
      </c>
      <c r="I1556" t="s">
        <v>28690</v>
      </c>
      <c r="J1556" t="s">
        <v>29135</v>
      </c>
      <c r="K1556" t="s">
        <v>37209</v>
      </c>
      <c r="M1556" t="s">
        <v>38205</v>
      </c>
      <c r="N1556" t="s">
        <v>41249</v>
      </c>
      <c r="O1556" t="s">
        <v>41250</v>
      </c>
      <c r="P1556">
        <v>0</v>
      </c>
      <c r="Q1556">
        <v>8</v>
      </c>
      <c r="R1556" t="s">
        <v>41251</v>
      </c>
      <c r="S1556" t="s">
        <v>41369</v>
      </c>
      <c r="T1556" t="s">
        <v>42725</v>
      </c>
      <c r="U1556" t="s">
        <v>44527</v>
      </c>
      <c r="W1556" t="s">
        <v>38205</v>
      </c>
      <c r="X1556" t="s">
        <v>41252</v>
      </c>
    </row>
    <row r="1557" spans="1:24">
      <c r="A1557">
        <f>HYPERLINK("https://www.philgeps.gov.ph/GEPSNONPILOT/Tender/SplashBidNoticeAbstractUI.aspx?menuIndex=3&amp;refID=7077984&amp;Result=3","7077984")</f>
        <v>0</v>
      </c>
      <c r="B1557" t="s">
        <v>123</v>
      </c>
      <c r="C1557" t="s">
        <v>4875</v>
      </c>
      <c r="D1557" t="s">
        <v>16608</v>
      </c>
      <c r="E1557" t="s">
        <v>18176</v>
      </c>
      <c r="F1557" t="s">
        <v>28669</v>
      </c>
      <c r="G1557" t="s">
        <v>28676</v>
      </c>
      <c r="H1557" t="s">
        <v>9998</v>
      </c>
      <c r="I1557" t="s">
        <v>28690</v>
      </c>
      <c r="J1557" t="s">
        <v>29135</v>
      </c>
      <c r="K1557" t="s">
        <v>37206</v>
      </c>
      <c r="M1557" t="s">
        <v>37599</v>
      </c>
      <c r="N1557" t="s">
        <v>41249</v>
      </c>
      <c r="O1557" t="s">
        <v>41250</v>
      </c>
      <c r="P1557">
        <v>0</v>
      </c>
      <c r="Q1557">
        <v>7</v>
      </c>
      <c r="R1557" t="s">
        <v>41251</v>
      </c>
      <c r="S1557" t="s">
        <v>41369</v>
      </c>
      <c r="T1557" t="s">
        <v>42675</v>
      </c>
      <c r="U1557" t="s">
        <v>44556</v>
      </c>
      <c r="W1557" t="s">
        <v>37599</v>
      </c>
      <c r="X1557" t="s">
        <v>41252</v>
      </c>
    </row>
    <row r="1558" spans="1:24">
      <c r="A1558">
        <f>HYPERLINK("https://www.philgeps.gov.ph/GEPSNONPILOT/Tender/SplashBidNoticeAbstractUI.aspx?menuIndex=3&amp;refID=7077943&amp;Result=3","7077943")</f>
        <v>0</v>
      </c>
      <c r="B1558" t="s">
        <v>363</v>
      </c>
      <c r="C1558" t="s">
        <v>4876</v>
      </c>
      <c r="D1558" t="s">
        <v>16675</v>
      </c>
      <c r="E1558" t="s">
        <v>18177</v>
      </c>
      <c r="F1558" t="s">
        <v>28669</v>
      </c>
      <c r="G1558" t="s">
        <v>28678</v>
      </c>
      <c r="H1558" t="s">
        <v>9998</v>
      </c>
      <c r="I1558" t="s">
        <v>6128</v>
      </c>
      <c r="J1558" t="s">
        <v>29906</v>
      </c>
      <c r="K1558" t="s">
        <v>37209</v>
      </c>
      <c r="M1558" t="s">
        <v>37844</v>
      </c>
      <c r="N1558" t="s">
        <v>41249</v>
      </c>
      <c r="O1558" t="s">
        <v>41250</v>
      </c>
      <c r="P1558">
        <v>0</v>
      </c>
      <c r="Q1558">
        <v>4</v>
      </c>
      <c r="R1558" t="s">
        <v>41251</v>
      </c>
      <c r="S1558" t="s">
        <v>41369</v>
      </c>
      <c r="T1558" t="s">
        <v>42757</v>
      </c>
      <c r="U1558" t="s">
        <v>44557</v>
      </c>
      <c r="W1558" t="s">
        <v>37844</v>
      </c>
      <c r="X1558" t="s">
        <v>41252</v>
      </c>
    </row>
    <row r="1559" spans="1:24">
      <c r="A1559">
        <f>HYPERLINK("https://www.philgeps.gov.ph/GEPSNONPILOT/Tender/SplashBidNoticeAbstractUI.aspx?menuIndex=3&amp;refID=7077949&amp;Result=3","7077949")</f>
        <v>0</v>
      </c>
      <c r="B1559" t="s">
        <v>712</v>
      </c>
      <c r="C1559" t="s">
        <v>4877</v>
      </c>
      <c r="D1559" t="s">
        <v>16608</v>
      </c>
      <c r="E1559" t="s">
        <v>18178</v>
      </c>
      <c r="F1559" t="s">
        <v>28669</v>
      </c>
      <c r="G1559" t="s">
        <v>28675</v>
      </c>
      <c r="H1559" t="s">
        <v>9998</v>
      </c>
      <c r="I1559" t="s">
        <v>28695</v>
      </c>
      <c r="J1559" t="s">
        <v>28924</v>
      </c>
      <c r="K1559" t="s">
        <v>37205</v>
      </c>
      <c r="M1559" t="s">
        <v>38219</v>
      </c>
      <c r="N1559" t="s">
        <v>41249</v>
      </c>
      <c r="O1559" t="s">
        <v>41250</v>
      </c>
      <c r="P1559">
        <v>0</v>
      </c>
      <c r="Q1559">
        <v>1</v>
      </c>
      <c r="R1559" t="s">
        <v>41251</v>
      </c>
      <c r="S1559" t="s">
        <v>41369</v>
      </c>
      <c r="T1559" t="s">
        <v>42704</v>
      </c>
      <c r="U1559" t="s">
        <v>44558</v>
      </c>
      <c r="W1559" t="s">
        <v>38219</v>
      </c>
      <c r="X1559" t="s">
        <v>41252</v>
      </c>
    </row>
    <row r="1560" spans="1:24">
      <c r="A1560">
        <f>HYPERLINK("https://www.philgeps.gov.ph/GEPSNONPILOT/Tender/SplashBidNoticeAbstractUI.aspx?menuIndex=3&amp;refID=7077978&amp;Result=3","7077978")</f>
        <v>0</v>
      </c>
      <c r="B1560" t="s">
        <v>672</v>
      </c>
      <c r="C1560" t="s">
        <v>4878</v>
      </c>
      <c r="D1560" t="s">
        <v>16641</v>
      </c>
      <c r="E1560" t="s">
        <v>18179</v>
      </c>
      <c r="F1560" t="s">
        <v>28669</v>
      </c>
      <c r="G1560" t="s">
        <v>28675</v>
      </c>
      <c r="H1560" t="s">
        <v>28686</v>
      </c>
      <c r="I1560" t="s">
        <v>28689</v>
      </c>
      <c r="J1560" t="s">
        <v>29059</v>
      </c>
      <c r="K1560" t="s">
        <v>37220</v>
      </c>
      <c r="M1560" t="s">
        <v>38175</v>
      </c>
      <c r="N1560" t="s">
        <v>41249</v>
      </c>
      <c r="O1560" t="s">
        <v>41250</v>
      </c>
      <c r="P1560">
        <v>0</v>
      </c>
      <c r="Q1560">
        <v>0</v>
      </c>
      <c r="R1560" t="s">
        <v>41251</v>
      </c>
      <c r="S1560" t="s">
        <v>41369</v>
      </c>
      <c r="T1560" t="s">
        <v>42808</v>
      </c>
      <c r="U1560" t="s">
        <v>44559</v>
      </c>
      <c r="W1560" t="s">
        <v>38175</v>
      </c>
      <c r="X1560" t="s">
        <v>41252</v>
      </c>
    </row>
    <row r="1561" spans="1:24">
      <c r="A1561">
        <f>HYPERLINK("https://www.philgeps.gov.ph/GEPSNONPILOT/Tender/SplashBidNoticeAbstractUI.aspx?menuIndex=3&amp;refID=7077874&amp;Result=3","7077874")</f>
        <v>0</v>
      </c>
      <c r="B1561" t="s">
        <v>713</v>
      </c>
      <c r="C1561" t="s">
        <v>4879</v>
      </c>
      <c r="D1561" t="s">
        <v>16626</v>
      </c>
      <c r="E1561" t="s">
        <v>18180</v>
      </c>
      <c r="F1561" t="s">
        <v>28669</v>
      </c>
      <c r="G1561" t="s">
        <v>28675</v>
      </c>
      <c r="H1561" t="s">
        <v>9998</v>
      </c>
      <c r="I1561" t="s">
        <v>11593</v>
      </c>
      <c r="J1561" t="s">
        <v>29907</v>
      </c>
      <c r="K1561" t="s">
        <v>37234</v>
      </c>
      <c r="M1561" t="s">
        <v>38220</v>
      </c>
      <c r="N1561" t="s">
        <v>41249</v>
      </c>
      <c r="O1561" t="s">
        <v>41250</v>
      </c>
      <c r="P1561">
        <v>0</v>
      </c>
      <c r="Q1561">
        <v>2</v>
      </c>
      <c r="R1561" t="s">
        <v>41251</v>
      </c>
      <c r="S1561" t="s">
        <v>41369</v>
      </c>
      <c r="T1561" t="s">
        <v>42670</v>
      </c>
      <c r="U1561" t="s">
        <v>43595</v>
      </c>
      <c r="W1561" t="s">
        <v>38220</v>
      </c>
      <c r="X1561" t="s">
        <v>41252</v>
      </c>
    </row>
    <row r="1562" spans="1:24">
      <c r="A1562">
        <f>HYPERLINK("https://www.philgeps.gov.ph/GEPSNONPILOT/Tender/SplashBidNoticeAbstractUI.aspx?menuIndex=3&amp;refID=7077975&amp;Result=3","7077975")</f>
        <v>0</v>
      </c>
      <c r="B1562" t="s">
        <v>647</v>
      </c>
      <c r="C1562" t="s">
        <v>4880</v>
      </c>
      <c r="D1562" t="s">
        <v>16611</v>
      </c>
      <c r="E1562" t="s">
        <v>18181</v>
      </c>
      <c r="F1562" t="s">
        <v>28669</v>
      </c>
      <c r="G1562" t="s">
        <v>28676</v>
      </c>
      <c r="H1562" t="s">
        <v>9998</v>
      </c>
      <c r="I1562" t="s">
        <v>28695</v>
      </c>
      <c r="J1562" t="s">
        <v>29908</v>
      </c>
      <c r="K1562" t="s">
        <v>37204</v>
      </c>
      <c r="M1562" t="s">
        <v>38148</v>
      </c>
      <c r="N1562" t="s">
        <v>41249</v>
      </c>
      <c r="O1562" t="s">
        <v>41250</v>
      </c>
      <c r="P1562">
        <v>0</v>
      </c>
      <c r="Q1562">
        <v>0</v>
      </c>
      <c r="R1562" t="s">
        <v>41251</v>
      </c>
      <c r="S1562" t="s">
        <v>41369</v>
      </c>
      <c r="T1562" t="s">
        <v>42703</v>
      </c>
      <c r="U1562" t="s">
        <v>44560</v>
      </c>
      <c r="W1562" t="s">
        <v>38148</v>
      </c>
      <c r="X1562" t="s">
        <v>41252</v>
      </c>
    </row>
    <row r="1563" spans="1:24">
      <c r="A1563">
        <f>HYPERLINK("https://www.philgeps.gov.ph/GEPSNONPILOT/Tender/SplashBidNoticeAbstractUI.aspx?menuIndex=3&amp;refID=7077976&amp;Result=3","7077976")</f>
        <v>0</v>
      </c>
      <c r="B1563" t="s">
        <v>36</v>
      </c>
      <c r="C1563" t="s">
        <v>4881</v>
      </c>
      <c r="D1563" t="s">
        <v>16619</v>
      </c>
      <c r="E1563" t="s">
        <v>18182</v>
      </c>
      <c r="F1563" t="s">
        <v>28669</v>
      </c>
      <c r="G1563" t="s">
        <v>28675</v>
      </c>
      <c r="H1563" t="s">
        <v>9998</v>
      </c>
      <c r="I1563" t="s">
        <v>3718</v>
      </c>
      <c r="J1563" t="s">
        <v>29909</v>
      </c>
      <c r="K1563" t="s">
        <v>37210</v>
      </c>
      <c r="M1563" t="s">
        <v>37511</v>
      </c>
      <c r="N1563" t="s">
        <v>41249</v>
      </c>
      <c r="O1563" t="s">
        <v>41250</v>
      </c>
      <c r="P1563">
        <v>0</v>
      </c>
      <c r="Q1563">
        <v>2</v>
      </c>
      <c r="R1563" t="s">
        <v>41251</v>
      </c>
      <c r="S1563" t="s">
        <v>41369</v>
      </c>
      <c r="T1563" t="s">
        <v>42674</v>
      </c>
      <c r="U1563" t="s">
        <v>44561</v>
      </c>
      <c r="V1563" t="s">
        <v>54253</v>
      </c>
      <c r="W1563" t="s">
        <v>37511</v>
      </c>
      <c r="X1563" t="s">
        <v>41252</v>
      </c>
    </row>
    <row r="1564" spans="1:24">
      <c r="A1564">
        <f>HYPERLINK("https://www.philgeps.gov.ph/GEPSNONPILOT/Tender/SplashBidNoticeAbstractUI.aspx?menuIndex=3&amp;refID=7077971&amp;Result=3","7077971")</f>
        <v>0</v>
      </c>
      <c r="B1564" t="s">
        <v>714</v>
      </c>
      <c r="C1564" t="s">
        <v>4882</v>
      </c>
      <c r="D1564" t="s">
        <v>16608</v>
      </c>
      <c r="E1564" t="s">
        <v>18183</v>
      </c>
      <c r="F1564" t="s">
        <v>28669</v>
      </c>
      <c r="G1564" t="s">
        <v>28676</v>
      </c>
      <c r="H1564" t="s">
        <v>9998</v>
      </c>
      <c r="I1564" t="s">
        <v>28729</v>
      </c>
      <c r="J1564" t="s">
        <v>29910</v>
      </c>
      <c r="K1564" t="s">
        <v>37243</v>
      </c>
      <c r="M1564" t="s">
        <v>38221</v>
      </c>
      <c r="N1564" t="s">
        <v>41249</v>
      </c>
      <c r="O1564" t="s">
        <v>41250</v>
      </c>
      <c r="P1564">
        <v>0</v>
      </c>
      <c r="Q1564">
        <v>11</v>
      </c>
      <c r="R1564" t="s">
        <v>41251</v>
      </c>
      <c r="S1564" t="s">
        <v>41369</v>
      </c>
      <c r="T1564" t="s">
        <v>42673</v>
      </c>
      <c r="U1564" t="s">
        <v>44562</v>
      </c>
      <c r="W1564" t="s">
        <v>38221</v>
      </c>
      <c r="X1564" t="s">
        <v>41252</v>
      </c>
    </row>
    <row r="1565" spans="1:24">
      <c r="A1565">
        <f>HYPERLINK("https://www.philgeps.gov.ph/GEPSNONPILOT/Tender/SplashBidNoticeAbstractUI.aspx?menuIndex=3&amp;refID=7077989&amp;Result=3","7077989")</f>
        <v>0</v>
      </c>
      <c r="B1565" t="s">
        <v>133</v>
      </c>
      <c r="C1565" t="s">
        <v>4883</v>
      </c>
      <c r="E1565" t="s">
        <v>18184</v>
      </c>
      <c r="F1565" t="s">
        <v>28669</v>
      </c>
      <c r="G1565" t="s">
        <v>28676</v>
      </c>
      <c r="H1565" t="s">
        <v>9998</v>
      </c>
      <c r="I1565" t="s">
        <v>11593</v>
      </c>
      <c r="J1565" t="s">
        <v>28838</v>
      </c>
      <c r="K1565" t="s">
        <v>37209</v>
      </c>
      <c r="M1565" t="s">
        <v>37610</v>
      </c>
      <c r="N1565" t="s">
        <v>41249</v>
      </c>
      <c r="O1565" t="s">
        <v>41250</v>
      </c>
      <c r="P1565">
        <v>0</v>
      </c>
      <c r="Q1565">
        <v>1</v>
      </c>
      <c r="R1565" t="s">
        <v>41251</v>
      </c>
      <c r="S1565" t="s">
        <v>41369</v>
      </c>
      <c r="T1565" t="s">
        <v>42707</v>
      </c>
      <c r="U1565" t="s">
        <v>44563</v>
      </c>
      <c r="V1565" t="s">
        <v>54430</v>
      </c>
      <c r="W1565" t="s">
        <v>37610</v>
      </c>
      <c r="X1565" t="s">
        <v>41252</v>
      </c>
    </row>
    <row r="1566" spans="1:24">
      <c r="A1566">
        <f>HYPERLINK("https://www.philgeps.gov.ph/GEPSNONPILOT/Tender/SplashBidNoticeAbstractUI.aspx?menuIndex=3&amp;refID=7077986&amp;Result=3","7077986")</f>
        <v>0</v>
      </c>
      <c r="B1566" t="s">
        <v>688</v>
      </c>
      <c r="C1566" t="s">
        <v>4884</v>
      </c>
      <c r="D1566" t="s">
        <v>16619</v>
      </c>
      <c r="E1566" t="s">
        <v>18185</v>
      </c>
      <c r="F1566" t="s">
        <v>28669</v>
      </c>
      <c r="G1566" t="s">
        <v>28676</v>
      </c>
      <c r="H1566" t="s">
        <v>9998</v>
      </c>
      <c r="I1566" t="s">
        <v>7352</v>
      </c>
      <c r="J1566" t="s">
        <v>29169</v>
      </c>
      <c r="K1566" t="s">
        <v>37206</v>
      </c>
      <c r="M1566" t="s">
        <v>38193</v>
      </c>
      <c r="N1566" t="s">
        <v>41249</v>
      </c>
      <c r="O1566" t="s">
        <v>41250</v>
      </c>
      <c r="P1566">
        <v>0</v>
      </c>
      <c r="Q1566">
        <v>1</v>
      </c>
      <c r="R1566" t="s">
        <v>41251</v>
      </c>
      <c r="S1566" t="s">
        <v>41369</v>
      </c>
      <c r="T1566" t="s">
        <v>42679</v>
      </c>
      <c r="U1566" t="s">
        <v>44495</v>
      </c>
      <c r="W1566" t="s">
        <v>38193</v>
      </c>
      <c r="X1566" t="s">
        <v>41252</v>
      </c>
    </row>
    <row r="1567" spans="1:24">
      <c r="A1567">
        <f>HYPERLINK("https://www.philgeps.gov.ph/GEPSNONPILOT/Tender/SplashBidNoticeAbstractUI.aspx?menuIndex=3&amp;refID=7077994&amp;Result=3","7077994")</f>
        <v>0</v>
      </c>
      <c r="B1567" t="s">
        <v>210</v>
      </c>
      <c r="C1567" t="s">
        <v>4885</v>
      </c>
      <c r="D1567" t="s">
        <v>16633</v>
      </c>
      <c r="E1567" t="s">
        <v>18186</v>
      </c>
      <c r="F1567" t="s">
        <v>28669</v>
      </c>
      <c r="G1567" t="s">
        <v>28675</v>
      </c>
      <c r="H1567" t="s">
        <v>28686</v>
      </c>
      <c r="I1567" t="s">
        <v>28689</v>
      </c>
      <c r="J1567" t="s">
        <v>29911</v>
      </c>
      <c r="K1567" t="s">
        <v>37294</v>
      </c>
      <c r="M1567" t="s">
        <v>37688</v>
      </c>
      <c r="N1567" t="s">
        <v>41249</v>
      </c>
      <c r="O1567" t="s">
        <v>41250</v>
      </c>
      <c r="P1567">
        <v>0</v>
      </c>
      <c r="Q1567">
        <v>0</v>
      </c>
      <c r="R1567" t="s">
        <v>41251</v>
      </c>
      <c r="S1567" t="s">
        <v>41369</v>
      </c>
      <c r="T1567" t="s">
        <v>42661</v>
      </c>
      <c r="U1567" t="s">
        <v>44564</v>
      </c>
      <c r="V1567" t="s">
        <v>54439</v>
      </c>
      <c r="W1567" t="s">
        <v>37688</v>
      </c>
      <c r="X1567" t="s">
        <v>41252</v>
      </c>
    </row>
    <row r="1568" spans="1:24">
      <c r="A1568">
        <f>HYPERLINK("https://www.philgeps.gov.ph/GEPSNONPILOT/Tender/SplashBidNoticeAbstractUI.aspx?menuIndex=3&amp;refID=7078030&amp;Result=3","7078030")</f>
        <v>0</v>
      </c>
      <c r="B1568" t="s">
        <v>715</v>
      </c>
      <c r="C1568" t="s">
        <v>4886</v>
      </c>
      <c r="D1568" t="s">
        <v>16622</v>
      </c>
      <c r="E1568" t="s">
        <v>18187</v>
      </c>
      <c r="F1568" t="s">
        <v>28669</v>
      </c>
      <c r="G1568" t="s">
        <v>28676</v>
      </c>
      <c r="H1568" t="s">
        <v>28684</v>
      </c>
      <c r="I1568" t="s">
        <v>28748</v>
      </c>
      <c r="J1568" t="s">
        <v>29912</v>
      </c>
      <c r="K1568" t="s">
        <v>37206</v>
      </c>
      <c r="M1568" t="s">
        <v>38222</v>
      </c>
      <c r="N1568" t="s">
        <v>41249</v>
      </c>
      <c r="O1568" t="s">
        <v>41250</v>
      </c>
      <c r="P1568">
        <v>0</v>
      </c>
      <c r="Q1568">
        <v>2</v>
      </c>
      <c r="R1568" t="s">
        <v>41251</v>
      </c>
      <c r="S1568" t="s">
        <v>41369</v>
      </c>
      <c r="T1568" t="s">
        <v>42745</v>
      </c>
      <c r="U1568" t="s">
        <v>44565</v>
      </c>
      <c r="V1568" t="s">
        <v>54440</v>
      </c>
      <c r="W1568" t="s">
        <v>38222</v>
      </c>
      <c r="X1568" t="s">
        <v>41252</v>
      </c>
    </row>
    <row r="1569" spans="1:24">
      <c r="A1569">
        <f>HYPERLINK("https://www.philgeps.gov.ph/GEPSNONPILOT/Tender/SplashBidNoticeAbstractUI.aspx?menuIndex=3&amp;refID=7078028&amp;Result=3","7078028")</f>
        <v>0</v>
      </c>
      <c r="B1569" t="s">
        <v>114</v>
      </c>
      <c r="C1569" t="s">
        <v>4887</v>
      </c>
      <c r="D1569" t="s">
        <v>16608</v>
      </c>
      <c r="E1569" t="s">
        <v>18188</v>
      </c>
      <c r="F1569" t="s">
        <v>28669</v>
      </c>
      <c r="G1569" t="s">
        <v>28677</v>
      </c>
      <c r="H1569" t="s">
        <v>9998</v>
      </c>
      <c r="I1569" t="s">
        <v>3679</v>
      </c>
      <c r="J1569" t="s">
        <v>29913</v>
      </c>
      <c r="K1569" t="s">
        <v>37210</v>
      </c>
      <c r="M1569" t="s">
        <v>38210</v>
      </c>
      <c r="N1569" t="s">
        <v>41249</v>
      </c>
      <c r="O1569" t="s">
        <v>41250</v>
      </c>
      <c r="P1569">
        <v>0</v>
      </c>
      <c r="Q1569">
        <v>2</v>
      </c>
      <c r="R1569" t="s">
        <v>41251</v>
      </c>
      <c r="S1569" t="s">
        <v>41369</v>
      </c>
      <c r="T1569" t="s">
        <v>42725</v>
      </c>
      <c r="U1569" t="s">
        <v>44566</v>
      </c>
      <c r="V1569" t="s">
        <v>54435</v>
      </c>
      <c r="W1569" t="s">
        <v>38210</v>
      </c>
      <c r="X1569" t="s">
        <v>41252</v>
      </c>
    </row>
    <row r="1570" spans="1:24">
      <c r="A1570">
        <f>HYPERLINK("https://www.philgeps.gov.ph/GEPSNONPILOT/Tender/SplashBidNoticeAbstractUI.aspx?menuIndex=3&amp;refID=7077977&amp;Result=3","7077977")</f>
        <v>0</v>
      </c>
      <c r="B1570" t="s">
        <v>637</v>
      </c>
      <c r="C1570" t="s">
        <v>4888</v>
      </c>
      <c r="D1570" t="s">
        <v>16647</v>
      </c>
      <c r="E1570" t="s">
        <v>18189</v>
      </c>
      <c r="F1570" t="s">
        <v>28669</v>
      </c>
      <c r="G1570" t="s">
        <v>28676</v>
      </c>
      <c r="H1570" t="s">
        <v>9998</v>
      </c>
      <c r="I1570" t="s">
        <v>6606</v>
      </c>
      <c r="J1570" t="s">
        <v>29897</v>
      </c>
      <c r="K1570" t="s">
        <v>37213</v>
      </c>
      <c r="M1570" t="s">
        <v>38138</v>
      </c>
      <c r="N1570" t="s">
        <v>41249</v>
      </c>
      <c r="O1570" t="s">
        <v>41250</v>
      </c>
      <c r="P1570">
        <v>0</v>
      </c>
      <c r="Q1570">
        <v>0</v>
      </c>
      <c r="R1570" t="s">
        <v>41251</v>
      </c>
      <c r="S1570" t="s">
        <v>41369</v>
      </c>
      <c r="T1570" t="s">
        <v>42698</v>
      </c>
      <c r="U1570" t="s">
        <v>44378</v>
      </c>
      <c r="W1570" t="s">
        <v>38138</v>
      </c>
      <c r="X1570" t="s">
        <v>41252</v>
      </c>
    </row>
    <row r="1571" spans="1:24">
      <c r="A1571">
        <f>HYPERLINK("https://www.philgeps.gov.ph/GEPSNONPILOT/Tender/SplashBidNoticeAbstractUI.aspx?menuIndex=3&amp;refID=7077972&amp;Result=3","7077972")</f>
        <v>0</v>
      </c>
      <c r="B1571" t="s">
        <v>680</v>
      </c>
      <c r="C1571" t="s">
        <v>4889</v>
      </c>
      <c r="D1571" t="s">
        <v>16611</v>
      </c>
      <c r="E1571" t="s">
        <v>18190</v>
      </c>
      <c r="F1571" t="s">
        <v>28669</v>
      </c>
      <c r="G1571" t="s">
        <v>28679</v>
      </c>
      <c r="H1571" t="s">
        <v>9998</v>
      </c>
      <c r="I1571" t="s">
        <v>11593</v>
      </c>
      <c r="J1571" t="s">
        <v>29914</v>
      </c>
      <c r="K1571" t="s">
        <v>37206</v>
      </c>
      <c r="L1571" t="s">
        <v>680</v>
      </c>
      <c r="M1571" t="s">
        <v>38184</v>
      </c>
      <c r="N1571" t="s">
        <v>41249</v>
      </c>
      <c r="O1571" t="s">
        <v>41250</v>
      </c>
      <c r="P1571">
        <v>0</v>
      </c>
      <c r="Q1571">
        <v>2</v>
      </c>
      <c r="R1571" t="s">
        <v>41251</v>
      </c>
      <c r="S1571" t="s">
        <v>41369</v>
      </c>
      <c r="T1571" t="s">
        <v>42663</v>
      </c>
      <c r="U1571" t="s">
        <v>44567</v>
      </c>
      <c r="V1571" t="s">
        <v>54441</v>
      </c>
      <c r="W1571" t="s">
        <v>38184</v>
      </c>
      <c r="X1571" t="s">
        <v>41252</v>
      </c>
    </row>
    <row r="1572" spans="1:24">
      <c r="A1572">
        <f>HYPERLINK("https://www.philgeps.gov.ph/GEPSNONPILOT/Tender/SplashBidNoticeAbstractUI.aspx?menuIndex=3&amp;refID=7078026&amp;Result=3","7078026")</f>
        <v>0</v>
      </c>
      <c r="B1572" t="s">
        <v>308</v>
      </c>
      <c r="C1572" t="s">
        <v>4890</v>
      </c>
      <c r="D1572" t="s">
        <v>16647</v>
      </c>
      <c r="E1572" t="s">
        <v>18191</v>
      </c>
      <c r="F1572" t="s">
        <v>28669</v>
      </c>
      <c r="G1572" t="s">
        <v>28675</v>
      </c>
      <c r="H1572" t="s">
        <v>28686</v>
      </c>
      <c r="I1572" t="s">
        <v>28689</v>
      </c>
      <c r="J1572" t="s">
        <v>29915</v>
      </c>
      <c r="K1572" t="s">
        <v>37218</v>
      </c>
      <c r="M1572" t="s">
        <v>38223</v>
      </c>
      <c r="N1572" t="s">
        <v>41249</v>
      </c>
      <c r="O1572" t="s">
        <v>41250</v>
      </c>
      <c r="P1572">
        <v>0</v>
      </c>
      <c r="Q1572">
        <v>1</v>
      </c>
      <c r="R1572" t="s">
        <v>41251</v>
      </c>
      <c r="S1572" t="s">
        <v>41369</v>
      </c>
      <c r="T1572" t="s">
        <v>42716</v>
      </c>
      <c r="U1572" t="s">
        <v>44568</v>
      </c>
      <c r="W1572" t="s">
        <v>38223</v>
      </c>
      <c r="X1572" t="s">
        <v>41252</v>
      </c>
    </row>
    <row r="1573" spans="1:24">
      <c r="A1573">
        <f>HYPERLINK("https://www.philgeps.gov.ph/GEPSNONPILOT/Tender/SplashBidNoticeAbstractUI.aspx?menuIndex=3&amp;refID=7078024&amp;Result=3","7078024")</f>
        <v>0</v>
      </c>
      <c r="B1573" t="s">
        <v>210</v>
      </c>
      <c r="C1573" t="s">
        <v>4891</v>
      </c>
      <c r="D1573" t="s">
        <v>16633</v>
      </c>
      <c r="E1573" t="s">
        <v>18192</v>
      </c>
      <c r="F1573" t="s">
        <v>28669</v>
      </c>
      <c r="G1573" t="s">
        <v>28675</v>
      </c>
      <c r="H1573" t="s">
        <v>28686</v>
      </c>
      <c r="I1573" t="s">
        <v>28689</v>
      </c>
      <c r="J1573" t="s">
        <v>29338</v>
      </c>
      <c r="K1573" t="s">
        <v>37295</v>
      </c>
      <c r="M1573" t="s">
        <v>37688</v>
      </c>
      <c r="N1573" t="s">
        <v>41249</v>
      </c>
      <c r="O1573" t="s">
        <v>41250</v>
      </c>
      <c r="P1573">
        <v>0</v>
      </c>
      <c r="Q1573">
        <v>0</v>
      </c>
      <c r="R1573" t="s">
        <v>41251</v>
      </c>
      <c r="S1573" t="s">
        <v>41369</v>
      </c>
      <c r="T1573" t="s">
        <v>42661</v>
      </c>
      <c r="U1573" t="s">
        <v>44569</v>
      </c>
      <c r="V1573" t="s">
        <v>54442</v>
      </c>
      <c r="W1573" t="s">
        <v>37688</v>
      </c>
      <c r="X1573" t="s">
        <v>41252</v>
      </c>
    </row>
    <row r="1574" spans="1:24">
      <c r="A1574">
        <f>HYPERLINK("https://www.philgeps.gov.ph/GEPSNONPILOT/Tender/SplashBidNoticeAbstractUI.aspx?menuIndex=3&amp;refID=7078016&amp;Result=3","7078016")</f>
        <v>0</v>
      </c>
      <c r="B1574" t="s">
        <v>688</v>
      </c>
      <c r="C1574" t="s">
        <v>4892</v>
      </c>
      <c r="D1574" t="s">
        <v>16619</v>
      </c>
      <c r="E1574" t="s">
        <v>18193</v>
      </c>
      <c r="F1574" t="s">
        <v>28669</v>
      </c>
      <c r="G1574" t="s">
        <v>28676</v>
      </c>
      <c r="H1574" t="s">
        <v>9998</v>
      </c>
      <c r="I1574" t="s">
        <v>11593</v>
      </c>
      <c r="J1574" t="s">
        <v>29020</v>
      </c>
      <c r="K1574" t="s">
        <v>37206</v>
      </c>
      <c r="M1574" t="s">
        <v>38193</v>
      </c>
      <c r="N1574" t="s">
        <v>41249</v>
      </c>
      <c r="O1574" t="s">
        <v>41250</v>
      </c>
      <c r="P1574">
        <v>0</v>
      </c>
      <c r="Q1574">
        <v>0</v>
      </c>
      <c r="R1574" t="s">
        <v>41251</v>
      </c>
      <c r="S1574" t="s">
        <v>41369</v>
      </c>
      <c r="T1574" t="s">
        <v>42679</v>
      </c>
      <c r="U1574" t="s">
        <v>44495</v>
      </c>
      <c r="W1574" t="s">
        <v>38193</v>
      </c>
      <c r="X1574" t="s">
        <v>41252</v>
      </c>
    </row>
    <row r="1575" spans="1:24">
      <c r="A1575">
        <f>HYPERLINK("https://www.philgeps.gov.ph/GEPSNONPILOT/Tender/SplashBidNoticeAbstractUI.aspx?menuIndex=3&amp;refID=7077973&amp;Result=3","7077973")</f>
        <v>0</v>
      </c>
      <c r="B1575" t="s">
        <v>716</v>
      </c>
      <c r="C1575" t="s">
        <v>4893</v>
      </c>
      <c r="D1575" t="s">
        <v>16633</v>
      </c>
      <c r="E1575" t="s">
        <v>18194</v>
      </c>
      <c r="F1575" t="s">
        <v>28669</v>
      </c>
      <c r="G1575" t="s">
        <v>28676</v>
      </c>
      <c r="H1575" t="s">
        <v>9998</v>
      </c>
      <c r="I1575" t="s">
        <v>28699</v>
      </c>
      <c r="J1575" t="s">
        <v>29040</v>
      </c>
      <c r="K1575" t="s">
        <v>37205</v>
      </c>
      <c r="M1575" t="s">
        <v>38224</v>
      </c>
      <c r="N1575" t="s">
        <v>41249</v>
      </c>
      <c r="O1575" t="s">
        <v>41250</v>
      </c>
      <c r="P1575">
        <v>0</v>
      </c>
      <c r="Q1575">
        <v>2</v>
      </c>
      <c r="R1575" t="s">
        <v>41251</v>
      </c>
      <c r="S1575" t="s">
        <v>41369</v>
      </c>
      <c r="T1575" t="s">
        <v>42817</v>
      </c>
      <c r="U1575" t="s">
        <v>44570</v>
      </c>
      <c r="V1575" t="s">
        <v>54443</v>
      </c>
      <c r="W1575" t="s">
        <v>38224</v>
      </c>
      <c r="X1575" t="s">
        <v>41252</v>
      </c>
    </row>
    <row r="1576" spans="1:24">
      <c r="A1576">
        <f>HYPERLINK("https://www.philgeps.gov.ph/GEPSNONPILOT/Tender/SplashBidNoticeAbstractUI.aspx?menuIndex=3&amp;refID=7078013&amp;Result=3","7078013")</f>
        <v>0</v>
      </c>
      <c r="B1576" t="s">
        <v>339</v>
      </c>
      <c r="C1576" t="s">
        <v>4894</v>
      </c>
      <c r="D1576" t="s">
        <v>16613</v>
      </c>
      <c r="E1576" t="s">
        <v>18195</v>
      </c>
      <c r="F1576" t="s">
        <v>28669</v>
      </c>
      <c r="G1576" t="s">
        <v>28676</v>
      </c>
      <c r="H1576" t="s">
        <v>9998</v>
      </c>
      <c r="I1576" t="s">
        <v>5286</v>
      </c>
      <c r="J1576" t="s">
        <v>29916</v>
      </c>
      <c r="K1576" t="s">
        <v>37209</v>
      </c>
      <c r="M1576" t="s">
        <v>37819</v>
      </c>
      <c r="N1576" t="s">
        <v>41249</v>
      </c>
      <c r="O1576" t="s">
        <v>41250</v>
      </c>
      <c r="P1576">
        <v>0</v>
      </c>
      <c r="Q1576">
        <v>8</v>
      </c>
      <c r="R1576" t="s">
        <v>41251</v>
      </c>
      <c r="S1576" t="s">
        <v>41369</v>
      </c>
      <c r="T1576" t="s">
        <v>42679</v>
      </c>
      <c r="U1576" t="s">
        <v>44571</v>
      </c>
      <c r="V1576" t="s">
        <v>54444</v>
      </c>
      <c r="W1576" t="s">
        <v>37819</v>
      </c>
      <c r="X1576" t="s">
        <v>41252</v>
      </c>
    </row>
    <row r="1577" spans="1:24">
      <c r="A1577">
        <f>HYPERLINK("https://www.philgeps.gov.ph/GEPSNONPILOT/Tender/SplashBidNoticeAbstractUI.aspx?menuIndex=3&amp;refID=7078011&amp;Result=3","7078011")</f>
        <v>0</v>
      </c>
      <c r="B1577" t="s">
        <v>640</v>
      </c>
      <c r="C1577" t="s">
        <v>4895</v>
      </c>
      <c r="D1577" t="s">
        <v>16608</v>
      </c>
      <c r="E1577" t="s">
        <v>18196</v>
      </c>
      <c r="F1577" t="s">
        <v>28669</v>
      </c>
      <c r="G1577" t="s">
        <v>28675</v>
      </c>
      <c r="H1577" t="s">
        <v>9998</v>
      </c>
      <c r="I1577" t="s">
        <v>28688</v>
      </c>
      <c r="J1577" t="s">
        <v>29917</v>
      </c>
      <c r="K1577" t="s">
        <v>37220</v>
      </c>
      <c r="M1577" t="s">
        <v>38141</v>
      </c>
      <c r="N1577" t="s">
        <v>41249</v>
      </c>
      <c r="O1577" t="s">
        <v>41250</v>
      </c>
      <c r="P1577">
        <v>0</v>
      </c>
      <c r="Q1577">
        <v>5</v>
      </c>
      <c r="R1577" t="s">
        <v>41251</v>
      </c>
      <c r="S1577" t="s">
        <v>41369</v>
      </c>
      <c r="T1577" t="s">
        <v>42715</v>
      </c>
      <c r="U1577" t="s">
        <v>44572</v>
      </c>
      <c r="W1577" t="s">
        <v>38141</v>
      </c>
      <c r="X1577" t="s">
        <v>41252</v>
      </c>
    </row>
    <row r="1578" spans="1:24">
      <c r="A1578">
        <f>HYPERLINK("https://www.philgeps.gov.ph/GEPSNONPILOT/Tender/SplashBidNoticeAbstractUI.aspx?menuIndex=3&amp;refID=7078010&amp;Result=3","7078010")</f>
        <v>0</v>
      </c>
      <c r="B1578" t="s">
        <v>717</v>
      </c>
      <c r="C1578" t="s">
        <v>4896</v>
      </c>
      <c r="D1578" t="s">
        <v>16644</v>
      </c>
      <c r="E1578" t="s">
        <v>18197</v>
      </c>
      <c r="F1578" t="s">
        <v>28669</v>
      </c>
      <c r="G1578" t="s">
        <v>28677</v>
      </c>
      <c r="H1578" t="s">
        <v>9998</v>
      </c>
      <c r="I1578" t="s">
        <v>28714</v>
      </c>
      <c r="J1578" t="s">
        <v>28838</v>
      </c>
      <c r="K1578" t="s">
        <v>37210</v>
      </c>
      <c r="M1578" t="s">
        <v>38225</v>
      </c>
      <c r="N1578" t="s">
        <v>41249</v>
      </c>
      <c r="O1578" t="s">
        <v>41250</v>
      </c>
      <c r="P1578">
        <v>0</v>
      </c>
      <c r="Q1578">
        <v>1</v>
      </c>
      <c r="R1578" t="s">
        <v>41251</v>
      </c>
      <c r="S1578" t="s">
        <v>41369</v>
      </c>
      <c r="T1578" t="s">
        <v>42701</v>
      </c>
      <c r="U1578" t="s">
        <v>44573</v>
      </c>
      <c r="W1578" t="s">
        <v>55927</v>
      </c>
      <c r="X1578" t="s">
        <v>41252</v>
      </c>
    </row>
    <row r="1579" spans="1:24">
      <c r="A1579">
        <f>HYPERLINK("https://www.philgeps.gov.ph/GEPSNONPILOT/Tender/SplashBidNoticeAbstractUI.aspx?menuIndex=3&amp;refID=7078008&amp;Result=3","7078008")</f>
        <v>0</v>
      </c>
      <c r="B1579" t="s">
        <v>718</v>
      </c>
      <c r="C1579" t="s">
        <v>4108</v>
      </c>
      <c r="E1579" t="s">
        <v>17435</v>
      </c>
      <c r="F1579" t="s">
        <v>28669</v>
      </c>
      <c r="G1579" t="s">
        <v>28677</v>
      </c>
      <c r="H1579" t="s">
        <v>9998</v>
      </c>
      <c r="I1579" t="s">
        <v>28699</v>
      </c>
      <c r="J1579" t="s">
        <v>29349</v>
      </c>
      <c r="K1579" t="s">
        <v>37209</v>
      </c>
      <c r="M1579" t="s">
        <v>38226</v>
      </c>
      <c r="N1579" t="s">
        <v>41249</v>
      </c>
      <c r="O1579" t="s">
        <v>41250</v>
      </c>
      <c r="P1579">
        <v>0</v>
      </c>
      <c r="Q1579">
        <v>0</v>
      </c>
      <c r="R1579" t="s">
        <v>41251</v>
      </c>
      <c r="S1579" t="s">
        <v>41369</v>
      </c>
      <c r="T1579" t="s">
        <v>42829</v>
      </c>
      <c r="U1579" t="s">
        <v>44574</v>
      </c>
      <c r="W1579" t="s">
        <v>38226</v>
      </c>
      <c r="X1579" t="s">
        <v>41252</v>
      </c>
    </row>
    <row r="1580" spans="1:24">
      <c r="A1580">
        <f>HYPERLINK("https://www.philgeps.gov.ph/GEPSNONPILOT/Tender/SplashBidNoticeAbstractUI.aspx?menuIndex=3&amp;refID=7078029&amp;Result=3","7078029")</f>
        <v>0</v>
      </c>
      <c r="B1580" t="s">
        <v>719</v>
      </c>
      <c r="C1580" t="s">
        <v>4897</v>
      </c>
      <c r="D1580" t="s">
        <v>16634</v>
      </c>
      <c r="E1580" t="s">
        <v>17051</v>
      </c>
      <c r="F1580" t="s">
        <v>28669</v>
      </c>
      <c r="G1580" t="s">
        <v>28675</v>
      </c>
      <c r="H1580" t="s">
        <v>28686</v>
      </c>
      <c r="I1580" t="s">
        <v>28689</v>
      </c>
      <c r="J1580" t="s">
        <v>28905</v>
      </c>
      <c r="K1580" t="s">
        <v>37293</v>
      </c>
      <c r="M1580" t="s">
        <v>38227</v>
      </c>
      <c r="N1580" t="s">
        <v>41249</v>
      </c>
      <c r="O1580" t="s">
        <v>41250</v>
      </c>
      <c r="P1580">
        <v>0</v>
      </c>
      <c r="Q1580">
        <v>1</v>
      </c>
      <c r="R1580" t="s">
        <v>41251</v>
      </c>
      <c r="S1580" t="s">
        <v>41369</v>
      </c>
      <c r="T1580" t="s">
        <v>42662</v>
      </c>
      <c r="U1580" t="s">
        <v>44575</v>
      </c>
      <c r="W1580" t="s">
        <v>38227</v>
      </c>
      <c r="X1580" t="s">
        <v>41252</v>
      </c>
    </row>
    <row r="1581" spans="1:24">
      <c r="A1581">
        <f>HYPERLINK("https://www.philgeps.gov.ph/GEPSNONPILOT/Tender/SplashBidNoticeAbstractUI.aspx?menuIndex=3&amp;refID=7078005&amp;Result=3","7078005")</f>
        <v>0</v>
      </c>
      <c r="B1581" t="s">
        <v>535</v>
      </c>
      <c r="C1581" t="s">
        <v>4898</v>
      </c>
      <c r="D1581" t="s">
        <v>16631</v>
      </c>
      <c r="E1581" t="s">
        <v>17089</v>
      </c>
      <c r="F1581" t="s">
        <v>28669</v>
      </c>
      <c r="G1581" t="s">
        <v>28676</v>
      </c>
      <c r="H1581" t="s">
        <v>9998</v>
      </c>
      <c r="I1581" t="s">
        <v>7352</v>
      </c>
      <c r="J1581" t="s">
        <v>29918</v>
      </c>
      <c r="K1581" t="s">
        <v>37227</v>
      </c>
      <c r="M1581" t="s">
        <v>38026</v>
      </c>
      <c r="N1581" t="s">
        <v>41249</v>
      </c>
      <c r="O1581" t="s">
        <v>41250</v>
      </c>
      <c r="P1581">
        <v>0</v>
      </c>
      <c r="Q1581">
        <v>0</v>
      </c>
      <c r="R1581" t="s">
        <v>41251</v>
      </c>
      <c r="S1581" t="s">
        <v>41369</v>
      </c>
      <c r="T1581" t="s">
        <v>42713</v>
      </c>
      <c r="U1581" t="s">
        <v>44137</v>
      </c>
      <c r="W1581" t="s">
        <v>38026</v>
      </c>
      <c r="X1581" t="s">
        <v>41252</v>
      </c>
    </row>
    <row r="1582" spans="1:24">
      <c r="A1582">
        <f>HYPERLINK("https://www.philgeps.gov.ph/GEPSNONPILOT/Tender/SplashBidNoticeAbstractUI.aspx?menuIndex=3&amp;refID=7078003&amp;Result=3","7078003")</f>
        <v>0</v>
      </c>
      <c r="B1582" t="s">
        <v>621</v>
      </c>
      <c r="C1582" t="s">
        <v>4899</v>
      </c>
      <c r="D1582" t="s">
        <v>16649</v>
      </c>
      <c r="E1582" t="s">
        <v>17639</v>
      </c>
      <c r="F1582" t="s">
        <v>28669</v>
      </c>
      <c r="G1582" t="s">
        <v>28676</v>
      </c>
      <c r="H1582" t="s">
        <v>9998</v>
      </c>
      <c r="I1582" t="s">
        <v>6128</v>
      </c>
      <c r="J1582" t="s">
        <v>29919</v>
      </c>
      <c r="K1582" t="s">
        <v>37227</v>
      </c>
      <c r="M1582" t="s">
        <v>38121</v>
      </c>
      <c r="N1582" t="s">
        <v>41249</v>
      </c>
      <c r="O1582" t="s">
        <v>41250</v>
      </c>
      <c r="P1582">
        <v>0</v>
      </c>
      <c r="Q1582">
        <v>3</v>
      </c>
      <c r="R1582" t="s">
        <v>41251</v>
      </c>
      <c r="S1582" t="s">
        <v>41369</v>
      </c>
      <c r="T1582" t="s">
        <v>42817</v>
      </c>
      <c r="U1582" t="s">
        <v>44576</v>
      </c>
      <c r="W1582" t="s">
        <v>38121</v>
      </c>
      <c r="X1582" t="s">
        <v>41252</v>
      </c>
    </row>
    <row r="1583" spans="1:24">
      <c r="A1583">
        <f>HYPERLINK("https://www.philgeps.gov.ph/GEPSNONPILOT/Tender/SplashBidNoticeAbstractUI.aspx?menuIndex=3&amp;refID=7078027&amp;Result=3","7078027")</f>
        <v>0</v>
      </c>
      <c r="B1583" t="s">
        <v>720</v>
      </c>
      <c r="C1583" t="s">
        <v>4900</v>
      </c>
      <c r="D1583" t="s">
        <v>16640</v>
      </c>
      <c r="E1583" t="s">
        <v>18198</v>
      </c>
      <c r="F1583" t="s">
        <v>28669</v>
      </c>
      <c r="G1583" t="s">
        <v>28677</v>
      </c>
      <c r="H1583" t="s">
        <v>9998</v>
      </c>
      <c r="I1583" t="s">
        <v>28704</v>
      </c>
      <c r="J1583" t="s">
        <v>29920</v>
      </c>
      <c r="K1583" t="s">
        <v>37204</v>
      </c>
      <c r="M1583" t="s">
        <v>38228</v>
      </c>
      <c r="N1583" t="s">
        <v>41249</v>
      </c>
      <c r="O1583" t="s">
        <v>41250</v>
      </c>
      <c r="P1583">
        <v>0</v>
      </c>
      <c r="Q1583">
        <v>0</v>
      </c>
      <c r="R1583" t="s">
        <v>41251</v>
      </c>
      <c r="S1583" t="s">
        <v>41369</v>
      </c>
      <c r="T1583" t="s">
        <v>42664</v>
      </c>
      <c r="U1583" t="s">
        <v>44577</v>
      </c>
      <c r="W1583" t="s">
        <v>55928</v>
      </c>
      <c r="X1583" t="s">
        <v>41252</v>
      </c>
    </row>
    <row r="1584" spans="1:24">
      <c r="A1584">
        <f>HYPERLINK("https://www.philgeps.gov.ph/GEPSNONPILOT/Tender/SplashBidNoticeAbstractUI.aspx?menuIndex=3&amp;refID=7077999&amp;Result=3","7077999")</f>
        <v>0</v>
      </c>
      <c r="B1584" t="s">
        <v>707</v>
      </c>
      <c r="C1584" t="s">
        <v>4901</v>
      </c>
      <c r="D1584" t="s">
        <v>16660</v>
      </c>
      <c r="E1584" t="s">
        <v>18199</v>
      </c>
      <c r="F1584" t="s">
        <v>28669</v>
      </c>
      <c r="G1584" t="s">
        <v>28677</v>
      </c>
      <c r="H1584" t="s">
        <v>9998</v>
      </c>
      <c r="I1584" t="s">
        <v>11142</v>
      </c>
      <c r="J1584" t="s">
        <v>29921</v>
      </c>
      <c r="K1584" t="s">
        <v>37243</v>
      </c>
      <c r="M1584" t="s">
        <v>38214</v>
      </c>
      <c r="N1584" t="s">
        <v>41249</v>
      </c>
      <c r="O1584" t="s">
        <v>41250</v>
      </c>
      <c r="P1584">
        <v>0</v>
      </c>
      <c r="Q1584">
        <v>1</v>
      </c>
      <c r="R1584" t="s">
        <v>41251</v>
      </c>
      <c r="S1584" t="s">
        <v>41369</v>
      </c>
      <c r="T1584" t="s">
        <v>42664</v>
      </c>
      <c r="U1584" t="s">
        <v>44578</v>
      </c>
      <c r="W1584" t="s">
        <v>38214</v>
      </c>
      <c r="X1584" t="s">
        <v>41252</v>
      </c>
    </row>
    <row r="1585" spans="1:24">
      <c r="A1585">
        <f>HYPERLINK("https://www.philgeps.gov.ph/GEPSNONPILOT/Tender/SplashBidNoticeAbstractUI.aspx?menuIndex=3&amp;refID=7077998&amp;Result=3","7077998")</f>
        <v>0</v>
      </c>
      <c r="B1585" t="s">
        <v>700</v>
      </c>
      <c r="C1585" t="s">
        <v>4902</v>
      </c>
      <c r="D1585" t="s">
        <v>16620</v>
      </c>
      <c r="E1585" t="s">
        <v>18200</v>
      </c>
      <c r="F1585" t="s">
        <v>28669</v>
      </c>
      <c r="G1585" t="s">
        <v>28676</v>
      </c>
      <c r="H1585" t="s">
        <v>9998</v>
      </c>
      <c r="I1585" t="s">
        <v>28710</v>
      </c>
      <c r="J1585" t="s">
        <v>29922</v>
      </c>
      <c r="K1585" t="s">
        <v>37256</v>
      </c>
      <c r="M1585" t="s">
        <v>38206</v>
      </c>
      <c r="N1585" t="s">
        <v>41249</v>
      </c>
      <c r="O1585" t="s">
        <v>41250</v>
      </c>
      <c r="P1585">
        <v>0</v>
      </c>
      <c r="Q1585">
        <v>0</v>
      </c>
      <c r="R1585" t="s">
        <v>41251</v>
      </c>
      <c r="S1585" t="s">
        <v>41369</v>
      </c>
      <c r="T1585" t="s">
        <v>42759</v>
      </c>
      <c r="U1585" t="s">
        <v>44579</v>
      </c>
      <c r="W1585" t="s">
        <v>38206</v>
      </c>
      <c r="X1585" t="s">
        <v>41252</v>
      </c>
    </row>
    <row r="1586" spans="1:24">
      <c r="A1586">
        <f>HYPERLINK("https://www.philgeps.gov.ph/GEPSNONPILOT/Tender/SplashBidNoticeAbstractUI.aspx?menuIndex=3&amp;refID=7077997&amp;Result=3","7077997")</f>
        <v>0</v>
      </c>
      <c r="B1586" t="s">
        <v>721</v>
      </c>
      <c r="C1586" t="s">
        <v>4903</v>
      </c>
      <c r="D1586" t="s">
        <v>16680</v>
      </c>
      <c r="E1586" t="s">
        <v>18201</v>
      </c>
      <c r="F1586" t="s">
        <v>28669</v>
      </c>
      <c r="G1586" t="s">
        <v>28676</v>
      </c>
      <c r="H1586" t="s">
        <v>9998</v>
      </c>
      <c r="I1586" t="s">
        <v>28742</v>
      </c>
      <c r="J1586" t="s">
        <v>28990</v>
      </c>
      <c r="K1586" t="s">
        <v>37206</v>
      </c>
      <c r="M1586" t="s">
        <v>38229</v>
      </c>
      <c r="N1586" t="s">
        <v>41249</v>
      </c>
      <c r="O1586" t="s">
        <v>41250</v>
      </c>
      <c r="P1586">
        <v>0</v>
      </c>
      <c r="Q1586">
        <v>2</v>
      </c>
      <c r="R1586" t="s">
        <v>41251</v>
      </c>
      <c r="S1586" t="s">
        <v>41369</v>
      </c>
      <c r="T1586" t="s">
        <v>42673</v>
      </c>
      <c r="U1586" t="s">
        <v>44580</v>
      </c>
      <c r="W1586" t="s">
        <v>38229</v>
      </c>
      <c r="X1586" t="s">
        <v>41252</v>
      </c>
    </row>
    <row r="1587" spans="1:24">
      <c r="A1587">
        <f>HYPERLINK("https://www.philgeps.gov.ph/GEPSNONPILOT/Tender/SplashBidNoticeAbstractUI.aspx?menuIndex=3&amp;refID=7077969&amp;Result=3","7077969")</f>
        <v>0</v>
      </c>
      <c r="B1587" t="s">
        <v>700</v>
      </c>
      <c r="C1587" t="s">
        <v>4904</v>
      </c>
      <c r="D1587" t="s">
        <v>16620</v>
      </c>
      <c r="E1587" t="s">
        <v>18202</v>
      </c>
      <c r="F1587" t="s">
        <v>28669</v>
      </c>
      <c r="G1587" t="s">
        <v>28676</v>
      </c>
      <c r="H1587" t="s">
        <v>9998</v>
      </c>
      <c r="I1587" t="s">
        <v>28710</v>
      </c>
      <c r="J1587" t="s">
        <v>29923</v>
      </c>
      <c r="K1587" t="s">
        <v>37282</v>
      </c>
      <c r="M1587" t="s">
        <v>38206</v>
      </c>
      <c r="N1587" t="s">
        <v>41249</v>
      </c>
      <c r="O1587" t="s">
        <v>41250</v>
      </c>
      <c r="P1587">
        <v>0</v>
      </c>
      <c r="Q1587">
        <v>0</v>
      </c>
      <c r="R1587" t="s">
        <v>41251</v>
      </c>
      <c r="S1587" t="s">
        <v>41369</v>
      </c>
      <c r="T1587" t="s">
        <v>42759</v>
      </c>
      <c r="U1587" t="s">
        <v>44581</v>
      </c>
      <c r="W1587" t="s">
        <v>38206</v>
      </c>
      <c r="X1587" t="s">
        <v>41252</v>
      </c>
    </row>
    <row r="1588" spans="1:24">
      <c r="A1588">
        <f>HYPERLINK("https://www.philgeps.gov.ph/GEPSNONPILOT/Tender/SplashBidNoticeAbstractUI.aspx?menuIndex=3&amp;refID=7077967&amp;Result=3","7077967")</f>
        <v>0</v>
      </c>
      <c r="B1588" t="s">
        <v>114</v>
      </c>
      <c r="C1588" t="s">
        <v>4905</v>
      </c>
      <c r="D1588" t="s">
        <v>16608</v>
      </c>
      <c r="E1588" t="s">
        <v>18203</v>
      </c>
      <c r="F1588" t="s">
        <v>28669</v>
      </c>
      <c r="G1588" t="s">
        <v>28677</v>
      </c>
      <c r="H1588" t="s">
        <v>9998</v>
      </c>
      <c r="I1588" t="s">
        <v>28752</v>
      </c>
      <c r="J1588" t="s">
        <v>29779</v>
      </c>
      <c r="K1588" t="s">
        <v>37210</v>
      </c>
      <c r="M1588" t="s">
        <v>38210</v>
      </c>
      <c r="N1588" t="s">
        <v>41249</v>
      </c>
      <c r="O1588" t="s">
        <v>41250</v>
      </c>
      <c r="P1588">
        <v>0</v>
      </c>
      <c r="Q1588">
        <v>2</v>
      </c>
      <c r="R1588" t="s">
        <v>41251</v>
      </c>
      <c r="S1588" t="s">
        <v>41369</v>
      </c>
      <c r="T1588" t="s">
        <v>42725</v>
      </c>
      <c r="U1588" t="s">
        <v>44582</v>
      </c>
      <c r="V1588" t="s">
        <v>54435</v>
      </c>
      <c r="W1588" t="s">
        <v>38210</v>
      </c>
      <c r="X1588" t="s">
        <v>41252</v>
      </c>
    </row>
    <row r="1589" spans="1:24">
      <c r="A1589">
        <f>HYPERLINK("https://www.philgeps.gov.ph/GEPSNONPILOT/Tender/SplashBidNoticeAbstractUI.aspx?menuIndex=3&amp;refID=7077966&amp;Result=3","7077966")</f>
        <v>0</v>
      </c>
      <c r="B1589" t="s">
        <v>722</v>
      </c>
      <c r="C1589" t="s">
        <v>4906</v>
      </c>
      <c r="D1589" t="s">
        <v>16686</v>
      </c>
      <c r="E1589" t="s">
        <v>18204</v>
      </c>
      <c r="F1589" t="s">
        <v>28669</v>
      </c>
      <c r="G1589" t="s">
        <v>28675</v>
      </c>
      <c r="H1589" t="s">
        <v>9998</v>
      </c>
      <c r="I1589" t="s">
        <v>28689</v>
      </c>
      <c r="J1589" t="s">
        <v>29924</v>
      </c>
      <c r="K1589" t="s">
        <v>37210</v>
      </c>
      <c r="M1589" t="s">
        <v>38230</v>
      </c>
      <c r="N1589" t="s">
        <v>41249</v>
      </c>
      <c r="O1589" t="s">
        <v>41250</v>
      </c>
      <c r="P1589">
        <v>0</v>
      </c>
      <c r="Q1589">
        <v>0</v>
      </c>
      <c r="R1589" t="s">
        <v>41251</v>
      </c>
      <c r="S1589" t="s">
        <v>41369</v>
      </c>
      <c r="T1589" t="s">
        <v>42699</v>
      </c>
      <c r="U1589" t="s">
        <v>44583</v>
      </c>
      <c r="V1589" t="s">
        <v>54445</v>
      </c>
      <c r="W1589" t="s">
        <v>38230</v>
      </c>
      <c r="X1589" t="s">
        <v>41252</v>
      </c>
    </row>
    <row r="1590" spans="1:24">
      <c r="A1590">
        <f>HYPERLINK("https://www.philgeps.gov.ph/GEPSNONPILOT/Tender/SplashBidNoticeAbstractUI.aspx?menuIndex=3&amp;refID=7077965&amp;Result=3","7077965")</f>
        <v>0</v>
      </c>
      <c r="B1590" t="s">
        <v>123</v>
      </c>
      <c r="C1590" t="s">
        <v>4907</v>
      </c>
      <c r="D1590" t="s">
        <v>16608</v>
      </c>
      <c r="E1590" t="s">
        <v>18205</v>
      </c>
      <c r="F1590" t="s">
        <v>28669</v>
      </c>
      <c r="G1590" t="s">
        <v>28676</v>
      </c>
      <c r="H1590" t="s">
        <v>9998</v>
      </c>
      <c r="I1590" t="s">
        <v>28690</v>
      </c>
      <c r="J1590" t="s">
        <v>29925</v>
      </c>
      <c r="K1590" t="s">
        <v>37206</v>
      </c>
      <c r="M1590" t="s">
        <v>37599</v>
      </c>
      <c r="N1590" t="s">
        <v>41249</v>
      </c>
      <c r="O1590" t="s">
        <v>41250</v>
      </c>
      <c r="P1590">
        <v>0</v>
      </c>
      <c r="Q1590">
        <v>3</v>
      </c>
      <c r="R1590" t="s">
        <v>41251</v>
      </c>
      <c r="S1590" t="s">
        <v>41369</v>
      </c>
      <c r="T1590" t="s">
        <v>42675</v>
      </c>
      <c r="U1590" t="s">
        <v>44584</v>
      </c>
      <c r="W1590" t="s">
        <v>37599</v>
      </c>
      <c r="X1590" t="s">
        <v>41252</v>
      </c>
    </row>
    <row r="1591" spans="1:24">
      <c r="A1591">
        <f>HYPERLINK("https://www.philgeps.gov.ph/GEPSNONPILOT/Tender/SplashBidNoticeAbstractUI.aspx?menuIndex=3&amp;refID=7077964&amp;Result=3","7077964")</f>
        <v>0</v>
      </c>
      <c r="B1591" t="s">
        <v>723</v>
      </c>
      <c r="C1591" t="s">
        <v>4908</v>
      </c>
      <c r="E1591" t="s">
        <v>18206</v>
      </c>
      <c r="F1591" t="s">
        <v>28669</v>
      </c>
      <c r="G1591" t="s">
        <v>28676</v>
      </c>
      <c r="H1591" t="s">
        <v>9998</v>
      </c>
      <c r="I1591" t="s">
        <v>28713</v>
      </c>
      <c r="J1591" t="s">
        <v>29003</v>
      </c>
      <c r="K1591" t="s">
        <v>37209</v>
      </c>
      <c r="M1591" t="s">
        <v>38231</v>
      </c>
      <c r="N1591" t="s">
        <v>41249</v>
      </c>
      <c r="O1591" t="s">
        <v>41250</v>
      </c>
      <c r="P1591">
        <v>0</v>
      </c>
      <c r="Q1591">
        <v>2</v>
      </c>
      <c r="R1591" t="s">
        <v>41251</v>
      </c>
      <c r="S1591" t="s">
        <v>41369</v>
      </c>
      <c r="T1591" t="s">
        <v>42673</v>
      </c>
      <c r="U1591" t="s">
        <v>44585</v>
      </c>
      <c r="W1591" t="s">
        <v>38231</v>
      </c>
      <c r="X1591" t="s">
        <v>41252</v>
      </c>
    </row>
    <row r="1592" spans="1:24">
      <c r="A1592">
        <f>HYPERLINK("https://www.philgeps.gov.ph/GEPSNONPILOT/Tender/SplashBidNoticeAbstractUI.aspx?menuIndex=3&amp;refID=7077930&amp;Result=3","7077930")</f>
        <v>0</v>
      </c>
      <c r="B1592" t="s">
        <v>667</v>
      </c>
      <c r="C1592" t="s">
        <v>4909</v>
      </c>
      <c r="D1592" t="s">
        <v>16630</v>
      </c>
      <c r="E1592" t="s">
        <v>18207</v>
      </c>
      <c r="F1592" t="s">
        <v>28669</v>
      </c>
      <c r="G1592" t="s">
        <v>28676</v>
      </c>
      <c r="H1592" t="s">
        <v>9998</v>
      </c>
      <c r="I1592" t="s">
        <v>7352</v>
      </c>
      <c r="J1592" t="s">
        <v>29926</v>
      </c>
      <c r="K1592" t="s">
        <v>37204</v>
      </c>
      <c r="M1592" t="s">
        <v>38170</v>
      </c>
      <c r="N1592" t="s">
        <v>41249</v>
      </c>
      <c r="O1592" t="s">
        <v>41250</v>
      </c>
      <c r="P1592">
        <v>0</v>
      </c>
      <c r="Q1592">
        <v>0</v>
      </c>
      <c r="R1592" t="s">
        <v>41251</v>
      </c>
      <c r="S1592" t="s">
        <v>41369</v>
      </c>
      <c r="T1592" t="s">
        <v>42759</v>
      </c>
      <c r="U1592" t="s">
        <v>44586</v>
      </c>
      <c r="W1592" t="s">
        <v>38170</v>
      </c>
      <c r="X1592" t="s">
        <v>41252</v>
      </c>
    </row>
    <row r="1593" spans="1:24">
      <c r="A1593">
        <f>HYPERLINK("https://www.philgeps.gov.ph/GEPSNONPILOT/Tender/SplashBidNoticeAbstractUI.aspx?menuIndex=3&amp;refID=7078017&amp;Result=3","7078017")</f>
        <v>0</v>
      </c>
      <c r="B1593" t="s">
        <v>654</v>
      </c>
      <c r="C1593" t="s">
        <v>4910</v>
      </c>
      <c r="D1593" t="s">
        <v>16669</v>
      </c>
      <c r="E1593" t="s">
        <v>18208</v>
      </c>
      <c r="F1593" t="s">
        <v>28669</v>
      </c>
      <c r="G1593" t="s">
        <v>28675</v>
      </c>
      <c r="H1593" t="s">
        <v>28686</v>
      </c>
      <c r="I1593" t="s">
        <v>28689</v>
      </c>
      <c r="J1593" t="s">
        <v>29927</v>
      </c>
      <c r="K1593" t="s">
        <v>37209</v>
      </c>
      <c r="M1593" t="s">
        <v>38155</v>
      </c>
      <c r="N1593" t="s">
        <v>41249</v>
      </c>
      <c r="O1593" t="s">
        <v>41250</v>
      </c>
      <c r="P1593">
        <v>0</v>
      </c>
      <c r="Q1593">
        <v>0</v>
      </c>
      <c r="R1593" t="s">
        <v>41251</v>
      </c>
      <c r="S1593" t="s">
        <v>41369</v>
      </c>
      <c r="T1593" t="s">
        <v>42672</v>
      </c>
      <c r="U1593" t="s">
        <v>44587</v>
      </c>
      <c r="W1593" t="s">
        <v>38155</v>
      </c>
      <c r="X1593" t="s">
        <v>41252</v>
      </c>
    </row>
    <row r="1594" spans="1:24">
      <c r="A1594">
        <f>HYPERLINK("https://www.philgeps.gov.ph/GEPSNONPILOT/Tender/SplashBidNoticeAbstractUI.aspx?menuIndex=3&amp;refID=7078007&amp;Result=3","7078007")</f>
        <v>0</v>
      </c>
      <c r="B1594" t="s">
        <v>605</v>
      </c>
      <c r="C1594" t="s">
        <v>4911</v>
      </c>
      <c r="D1594" t="s">
        <v>16661</v>
      </c>
      <c r="E1594" t="s">
        <v>18209</v>
      </c>
      <c r="F1594" t="s">
        <v>28669</v>
      </c>
      <c r="G1594" t="s">
        <v>28675</v>
      </c>
      <c r="H1594" t="s">
        <v>28686</v>
      </c>
      <c r="I1594" t="s">
        <v>28689</v>
      </c>
      <c r="J1594" t="s">
        <v>29928</v>
      </c>
      <c r="K1594" t="s">
        <v>37215</v>
      </c>
      <c r="M1594" t="s">
        <v>38105</v>
      </c>
      <c r="N1594" t="s">
        <v>41249</v>
      </c>
      <c r="O1594" t="s">
        <v>41250</v>
      </c>
      <c r="P1594">
        <v>0</v>
      </c>
      <c r="Q1594">
        <v>0</v>
      </c>
      <c r="R1594" t="s">
        <v>41251</v>
      </c>
      <c r="S1594" t="s">
        <v>41369</v>
      </c>
      <c r="T1594" t="s">
        <v>42683</v>
      </c>
      <c r="U1594" t="s">
        <v>44588</v>
      </c>
      <c r="W1594" t="s">
        <v>38105</v>
      </c>
      <c r="X1594" t="s">
        <v>41252</v>
      </c>
    </row>
    <row r="1595" spans="1:24">
      <c r="A1595">
        <f>HYPERLINK("https://www.philgeps.gov.ph/GEPSNONPILOT/Tender/SplashBidNoticeAbstractUI.aspx?menuIndex=3&amp;refID=7077842&amp;Result=3","7077842")</f>
        <v>0</v>
      </c>
      <c r="B1595" t="s">
        <v>250</v>
      </c>
      <c r="C1595" t="s">
        <v>4912</v>
      </c>
      <c r="D1595" t="s">
        <v>16621</v>
      </c>
      <c r="E1595" t="s">
        <v>18210</v>
      </c>
      <c r="F1595" t="s">
        <v>28669</v>
      </c>
      <c r="G1595" t="s">
        <v>28675</v>
      </c>
      <c r="H1595" t="s">
        <v>9998</v>
      </c>
      <c r="I1595" t="s">
        <v>28689</v>
      </c>
      <c r="J1595" t="s">
        <v>29929</v>
      </c>
      <c r="K1595" t="s">
        <v>37221</v>
      </c>
      <c r="M1595" t="s">
        <v>37728</v>
      </c>
      <c r="N1595" t="s">
        <v>41249</v>
      </c>
      <c r="O1595" t="s">
        <v>41250</v>
      </c>
      <c r="P1595">
        <v>0</v>
      </c>
      <c r="Q1595">
        <v>1</v>
      </c>
      <c r="R1595" t="s">
        <v>41251</v>
      </c>
      <c r="S1595" t="s">
        <v>41369</v>
      </c>
      <c r="T1595" t="s">
        <v>42715</v>
      </c>
      <c r="U1595" t="s">
        <v>44452</v>
      </c>
      <c r="W1595" t="s">
        <v>37728</v>
      </c>
      <c r="X1595" t="s">
        <v>41252</v>
      </c>
    </row>
    <row r="1596" spans="1:24">
      <c r="A1596">
        <f>HYPERLINK("https://www.philgeps.gov.ph/GEPSNONPILOT/Tender/SplashBidNoticeAbstractUI.aspx?menuIndex=3&amp;refID=7077841&amp;Result=3","7077841")</f>
        <v>0</v>
      </c>
      <c r="B1596" t="s">
        <v>724</v>
      </c>
      <c r="C1596" t="s">
        <v>4703</v>
      </c>
      <c r="D1596" t="s">
        <v>16640</v>
      </c>
      <c r="E1596" t="s">
        <v>17491</v>
      </c>
      <c r="F1596" t="s">
        <v>28669</v>
      </c>
      <c r="G1596" t="s">
        <v>28675</v>
      </c>
      <c r="H1596" t="s">
        <v>9998</v>
      </c>
      <c r="I1596" t="s">
        <v>28697</v>
      </c>
      <c r="J1596" t="s">
        <v>29930</v>
      </c>
      <c r="K1596" t="s">
        <v>37208</v>
      </c>
      <c r="M1596" t="s">
        <v>38232</v>
      </c>
      <c r="N1596" t="s">
        <v>41249</v>
      </c>
      <c r="O1596" t="s">
        <v>41250</v>
      </c>
      <c r="P1596">
        <v>0</v>
      </c>
      <c r="Q1596">
        <v>0</v>
      </c>
      <c r="R1596" t="s">
        <v>41251</v>
      </c>
      <c r="S1596" t="s">
        <v>41369</v>
      </c>
      <c r="T1596" t="s">
        <v>42707</v>
      </c>
      <c r="U1596" t="s">
        <v>44399</v>
      </c>
      <c r="W1596" t="s">
        <v>38232</v>
      </c>
      <c r="X1596" t="s">
        <v>41252</v>
      </c>
    </row>
    <row r="1597" spans="1:24">
      <c r="A1597">
        <f>HYPERLINK("https://www.philgeps.gov.ph/GEPSNONPILOT/Tender/SplashBidNoticeAbstractUI.aspx?menuIndex=3&amp;refID=7078001&amp;Result=3","7078001")</f>
        <v>0</v>
      </c>
      <c r="B1597" t="s">
        <v>123</v>
      </c>
      <c r="C1597" t="s">
        <v>4913</v>
      </c>
      <c r="D1597" t="s">
        <v>16608</v>
      </c>
      <c r="E1597" t="s">
        <v>18211</v>
      </c>
      <c r="F1597" t="s">
        <v>28669</v>
      </c>
      <c r="G1597" t="s">
        <v>28676</v>
      </c>
      <c r="H1597" t="s">
        <v>9998</v>
      </c>
      <c r="I1597" t="s">
        <v>28690</v>
      </c>
      <c r="J1597" t="s">
        <v>29931</v>
      </c>
      <c r="K1597" t="s">
        <v>37206</v>
      </c>
      <c r="M1597" t="s">
        <v>37599</v>
      </c>
      <c r="N1597" t="s">
        <v>41249</v>
      </c>
      <c r="O1597" t="s">
        <v>41250</v>
      </c>
      <c r="P1597">
        <v>0</v>
      </c>
      <c r="Q1597">
        <v>1</v>
      </c>
      <c r="R1597" t="s">
        <v>41251</v>
      </c>
      <c r="S1597" t="s">
        <v>41369</v>
      </c>
      <c r="T1597" t="s">
        <v>42675</v>
      </c>
      <c r="U1597" t="s">
        <v>44589</v>
      </c>
      <c r="W1597" t="s">
        <v>37599</v>
      </c>
      <c r="X1597" t="s">
        <v>41252</v>
      </c>
    </row>
    <row r="1598" spans="1:24">
      <c r="A1598">
        <f>HYPERLINK("https://www.philgeps.gov.ph/GEPSNONPILOT/Tender/SplashBidNoticeAbstractUI.aspx?menuIndex=3&amp;refID=7077846&amp;Result=3","7077846")</f>
        <v>0</v>
      </c>
      <c r="B1598" t="s">
        <v>725</v>
      </c>
      <c r="C1598" t="s">
        <v>4914</v>
      </c>
      <c r="D1598" t="s">
        <v>16671</v>
      </c>
      <c r="E1598" t="s">
        <v>18212</v>
      </c>
      <c r="F1598" t="s">
        <v>28669</v>
      </c>
      <c r="G1598" t="s">
        <v>28675</v>
      </c>
      <c r="H1598" t="s">
        <v>28686</v>
      </c>
      <c r="I1598" t="s">
        <v>28689</v>
      </c>
      <c r="J1598" t="s">
        <v>29932</v>
      </c>
      <c r="K1598" t="s">
        <v>37213</v>
      </c>
      <c r="M1598" t="s">
        <v>38233</v>
      </c>
      <c r="N1598" t="s">
        <v>41249</v>
      </c>
      <c r="O1598" t="s">
        <v>41250</v>
      </c>
      <c r="P1598">
        <v>0</v>
      </c>
      <c r="Q1598">
        <v>0</v>
      </c>
      <c r="R1598" t="s">
        <v>41251</v>
      </c>
      <c r="S1598" t="s">
        <v>41369</v>
      </c>
      <c r="T1598" t="s">
        <v>42818</v>
      </c>
      <c r="U1598" t="s">
        <v>44590</v>
      </c>
      <c r="W1598" t="s">
        <v>38233</v>
      </c>
      <c r="X1598" t="s">
        <v>41252</v>
      </c>
    </row>
    <row r="1599" spans="1:24">
      <c r="A1599">
        <f>HYPERLINK("https://www.philgeps.gov.ph/GEPSNONPILOT/Tender/SplashBidNoticeAbstractUI.aspx?menuIndex=3&amp;refID=7077843&amp;Result=3","7077843")</f>
        <v>0</v>
      </c>
      <c r="B1599" t="s">
        <v>114</v>
      </c>
      <c r="C1599" t="s">
        <v>4915</v>
      </c>
      <c r="D1599" t="s">
        <v>16608</v>
      </c>
      <c r="E1599" t="s">
        <v>18213</v>
      </c>
      <c r="F1599" t="s">
        <v>28669</v>
      </c>
      <c r="G1599" t="s">
        <v>28677</v>
      </c>
      <c r="H1599" t="s">
        <v>9998</v>
      </c>
      <c r="I1599" t="s">
        <v>5213</v>
      </c>
      <c r="J1599" t="s">
        <v>29933</v>
      </c>
      <c r="K1599" t="s">
        <v>37210</v>
      </c>
      <c r="M1599" t="s">
        <v>38210</v>
      </c>
      <c r="N1599" t="s">
        <v>41249</v>
      </c>
      <c r="O1599" t="s">
        <v>41250</v>
      </c>
      <c r="P1599">
        <v>0</v>
      </c>
      <c r="Q1599">
        <v>2</v>
      </c>
      <c r="R1599" t="s">
        <v>41251</v>
      </c>
      <c r="S1599" t="s">
        <v>41369</v>
      </c>
      <c r="T1599" t="s">
        <v>42725</v>
      </c>
      <c r="U1599" t="s">
        <v>44591</v>
      </c>
      <c r="V1599" t="s">
        <v>54435</v>
      </c>
      <c r="W1599" t="s">
        <v>38210</v>
      </c>
      <c r="X1599" t="s">
        <v>41252</v>
      </c>
    </row>
    <row r="1600" spans="1:24">
      <c r="A1600">
        <f>HYPERLINK("https://www.philgeps.gov.ph/GEPSNONPILOT/Tender/SplashBidNoticeAbstractUI.aspx?menuIndex=3&amp;refID=7077908&amp;Result=3","7077908")</f>
        <v>0</v>
      </c>
      <c r="B1600" t="s">
        <v>655</v>
      </c>
      <c r="C1600" t="s">
        <v>4916</v>
      </c>
      <c r="D1600" t="s">
        <v>16624</v>
      </c>
      <c r="E1600" t="s">
        <v>18214</v>
      </c>
      <c r="F1600" t="s">
        <v>28669</v>
      </c>
      <c r="G1600" t="s">
        <v>28676</v>
      </c>
      <c r="H1600" t="s">
        <v>9998</v>
      </c>
      <c r="I1600" t="s">
        <v>28697</v>
      </c>
      <c r="J1600" t="s">
        <v>29934</v>
      </c>
      <c r="K1600" t="s">
        <v>37206</v>
      </c>
      <c r="M1600" t="s">
        <v>38156</v>
      </c>
      <c r="N1600" t="s">
        <v>41249</v>
      </c>
      <c r="O1600" t="s">
        <v>41250</v>
      </c>
      <c r="P1600">
        <v>0</v>
      </c>
      <c r="Q1600">
        <v>2</v>
      </c>
      <c r="R1600" t="s">
        <v>41251</v>
      </c>
      <c r="S1600" t="s">
        <v>41369</v>
      </c>
      <c r="T1600" t="s">
        <v>42675</v>
      </c>
      <c r="U1600" t="s">
        <v>44592</v>
      </c>
      <c r="W1600" t="s">
        <v>38156</v>
      </c>
      <c r="X1600" t="s">
        <v>41252</v>
      </c>
    </row>
    <row r="1601" spans="1:24">
      <c r="A1601">
        <f>HYPERLINK("https://www.philgeps.gov.ph/GEPSNONPILOT/Tender/SplashBidNoticeAbstractUI.aspx?menuIndex=3&amp;refID=7078032&amp;Result=3","7078032")</f>
        <v>0</v>
      </c>
      <c r="B1601" t="s">
        <v>655</v>
      </c>
      <c r="C1601" t="s">
        <v>4917</v>
      </c>
      <c r="D1601" t="s">
        <v>16624</v>
      </c>
      <c r="E1601" t="s">
        <v>18215</v>
      </c>
      <c r="F1601" t="s">
        <v>28669</v>
      </c>
      <c r="G1601" t="s">
        <v>28676</v>
      </c>
      <c r="H1601" t="s">
        <v>9998</v>
      </c>
      <c r="I1601" t="s">
        <v>28697</v>
      </c>
      <c r="J1601" t="s">
        <v>28834</v>
      </c>
      <c r="K1601" t="s">
        <v>37206</v>
      </c>
      <c r="M1601" t="s">
        <v>38156</v>
      </c>
      <c r="N1601" t="s">
        <v>41249</v>
      </c>
      <c r="O1601" t="s">
        <v>41250</v>
      </c>
      <c r="P1601">
        <v>0</v>
      </c>
      <c r="Q1601">
        <v>2</v>
      </c>
      <c r="R1601" t="s">
        <v>41251</v>
      </c>
      <c r="S1601" t="s">
        <v>41369</v>
      </c>
      <c r="T1601" t="s">
        <v>42675</v>
      </c>
      <c r="U1601" t="s">
        <v>44593</v>
      </c>
      <c r="W1601" t="s">
        <v>38156</v>
      </c>
      <c r="X1601" t="s">
        <v>41252</v>
      </c>
    </row>
    <row r="1602" spans="1:24">
      <c r="A1602">
        <f>HYPERLINK("https://www.philgeps.gov.ph/GEPSNONPILOT/Tender/SplashBidNoticeAbstractUI.aspx?menuIndex=3&amp;refID=7078042&amp;Result=3","7078042")</f>
        <v>0</v>
      </c>
      <c r="B1602" t="s">
        <v>603</v>
      </c>
      <c r="C1602" t="s">
        <v>4918</v>
      </c>
      <c r="D1602" t="s">
        <v>16615</v>
      </c>
      <c r="E1602" t="s">
        <v>18016</v>
      </c>
      <c r="F1602" t="s">
        <v>28669</v>
      </c>
      <c r="G1602" t="s">
        <v>28676</v>
      </c>
      <c r="H1602" t="s">
        <v>9998</v>
      </c>
      <c r="I1602" t="s">
        <v>28717</v>
      </c>
      <c r="J1602" t="s">
        <v>28889</v>
      </c>
      <c r="K1602" t="s">
        <v>37205</v>
      </c>
      <c r="M1602" t="s">
        <v>38103</v>
      </c>
      <c r="N1602" t="s">
        <v>41249</v>
      </c>
      <c r="O1602" t="s">
        <v>41250</v>
      </c>
      <c r="P1602">
        <v>0</v>
      </c>
      <c r="Q1602">
        <v>3</v>
      </c>
      <c r="R1602" t="s">
        <v>41251</v>
      </c>
      <c r="S1602" t="s">
        <v>41369</v>
      </c>
      <c r="T1602" t="s">
        <v>42694</v>
      </c>
      <c r="U1602" t="s">
        <v>44594</v>
      </c>
      <c r="W1602" t="s">
        <v>38103</v>
      </c>
      <c r="X1602" t="s">
        <v>41252</v>
      </c>
    </row>
    <row r="1603" spans="1:24">
      <c r="A1603">
        <f>HYPERLINK("https://www.philgeps.gov.ph/GEPSNONPILOT/Tender/SplashBidNoticeAbstractUI.aspx?menuIndex=3&amp;refID=7078037&amp;Result=3","7078037")</f>
        <v>0</v>
      </c>
      <c r="B1603" t="s">
        <v>711</v>
      </c>
      <c r="C1603" t="s">
        <v>4919</v>
      </c>
      <c r="D1603" t="s">
        <v>16627</v>
      </c>
      <c r="E1603" t="s">
        <v>18216</v>
      </c>
      <c r="F1603" t="s">
        <v>28669</v>
      </c>
      <c r="G1603" t="s">
        <v>28679</v>
      </c>
      <c r="H1603" t="s">
        <v>9998</v>
      </c>
      <c r="I1603" t="s">
        <v>11142</v>
      </c>
      <c r="J1603" t="s">
        <v>29935</v>
      </c>
      <c r="K1603" t="s">
        <v>37210</v>
      </c>
      <c r="M1603" t="s">
        <v>38218</v>
      </c>
      <c r="N1603" t="s">
        <v>41249</v>
      </c>
      <c r="O1603" t="s">
        <v>41250</v>
      </c>
      <c r="P1603">
        <v>0</v>
      </c>
      <c r="Q1603">
        <v>1</v>
      </c>
      <c r="R1603" t="s">
        <v>41251</v>
      </c>
      <c r="S1603" t="s">
        <v>41369</v>
      </c>
      <c r="T1603" t="s">
        <v>42673</v>
      </c>
      <c r="U1603" t="s">
        <v>44595</v>
      </c>
      <c r="W1603" t="s">
        <v>38218</v>
      </c>
      <c r="X1603" t="s">
        <v>41252</v>
      </c>
    </row>
    <row r="1604" spans="1:24">
      <c r="A1604">
        <f>HYPERLINK("https://www.philgeps.gov.ph/GEPSNONPILOT/Tender/SplashBidNoticeAbstractUI.aspx?menuIndex=3&amp;refID=7078035&amp;Result=3","7078035")</f>
        <v>0</v>
      </c>
      <c r="B1604" t="s">
        <v>726</v>
      </c>
      <c r="C1604" t="s">
        <v>4920</v>
      </c>
      <c r="D1604" t="s">
        <v>16627</v>
      </c>
      <c r="E1604" t="s">
        <v>18217</v>
      </c>
      <c r="F1604" t="s">
        <v>28669</v>
      </c>
      <c r="G1604" t="s">
        <v>28676</v>
      </c>
      <c r="H1604" t="s">
        <v>28686</v>
      </c>
      <c r="I1604" t="s">
        <v>28689</v>
      </c>
      <c r="J1604" t="s">
        <v>29936</v>
      </c>
      <c r="K1604" t="s">
        <v>37206</v>
      </c>
      <c r="M1604" t="s">
        <v>38234</v>
      </c>
      <c r="N1604" t="s">
        <v>41249</v>
      </c>
      <c r="O1604" t="s">
        <v>41250</v>
      </c>
      <c r="P1604">
        <v>0</v>
      </c>
      <c r="Q1604">
        <v>0</v>
      </c>
      <c r="R1604" t="s">
        <v>41251</v>
      </c>
      <c r="S1604" t="s">
        <v>41369</v>
      </c>
      <c r="T1604" t="s">
        <v>42675</v>
      </c>
      <c r="U1604" t="s">
        <v>44596</v>
      </c>
      <c r="W1604" t="s">
        <v>38234</v>
      </c>
      <c r="X1604" t="s">
        <v>41252</v>
      </c>
    </row>
    <row r="1605" spans="1:24">
      <c r="A1605">
        <f>HYPERLINK("https://www.philgeps.gov.ph/GEPSNONPILOT/Tender/SplashBidNoticeAbstractUI.aspx?menuIndex=3&amp;refID=7078034&amp;Result=3","7078034")</f>
        <v>0</v>
      </c>
      <c r="B1605" t="s">
        <v>650</v>
      </c>
      <c r="C1605" t="s">
        <v>4921</v>
      </c>
      <c r="D1605" t="s">
        <v>16611</v>
      </c>
      <c r="E1605" t="s">
        <v>18218</v>
      </c>
      <c r="F1605" t="s">
        <v>28669</v>
      </c>
      <c r="G1605" t="s">
        <v>28677</v>
      </c>
      <c r="H1605" t="s">
        <v>9998</v>
      </c>
      <c r="I1605" t="s">
        <v>28694</v>
      </c>
      <c r="J1605" t="s">
        <v>29937</v>
      </c>
      <c r="K1605" t="s">
        <v>37205</v>
      </c>
      <c r="M1605" t="s">
        <v>38151</v>
      </c>
      <c r="N1605" t="s">
        <v>41249</v>
      </c>
      <c r="O1605" t="s">
        <v>41250</v>
      </c>
      <c r="P1605">
        <v>0</v>
      </c>
      <c r="Q1605">
        <v>0</v>
      </c>
      <c r="R1605" t="s">
        <v>41251</v>
      </c>
      <c r="S1605" t="s">
        <v>41369</v>
      </c>
      <c r="T1605" t="s">
        <v>42830</v>
      </c>
      <c r="U1605" t="s">
        <v>44408</v>
      </c>
      <c r="V1605" t="s">
        <v>54429</v>
      </c>
      <c r="W1605" t="s">
        <v>38151</v>
      </c>
      <c r="X1605" t="s">
        <v>41252</v>
      </c>
    </row>
    <row r="1606" spans="1:24">
      <c r="A1606">
        <f>HYPERLINK("https://www.philgeps.gov.ph/GEPSNONPILOT/Tender/SplashBidNoticeAbstractUI.aspx?menuIndex=3&amp;refID=7077848&amp;Result=3","7077848")</f>
        <v>0</v>
      </c>
      <c r="B1606" t="s">
        <v>667</v>
      </c>
      <c r="C1606" t="s">
        <v>4922</v>
      </c>
      <c r="D1606" t="s">
        <v>16630</v>
      </c>
      <c r="E1606" t="s">
        <v>18219</v>
      </c>
      <c r="F1606" t="s">
        <v>28669</v>
      </c>
      <c r="G1606" t="s">
        <v>28676</v>
      </c>
      <c r="H1606" t="s">
        <v>9998</v>
      </c>
      <c r="I1606" t="s">
        <v>5213</v>
      </c>
      <c r="J1606" t="s">
        <v>29938</v>
      </c>
      <c r="K1606" t="s">
        <v>37204</v>
      </c>
      <c r="M1606" t="s">
        <v>38170</v>
      </c>
      <c r="N1606" t="s">
        <v>41249</v>
      </c>
      <c r="O1606" t="s">
        <v>41250</v>
      </c>
      <c r="P1606">
        <v>0</v>
      </c>
      <c r="Q1606">
        <v>1</v>
      </c>
      <c r="R1606" t="s">
        <v>41251</v>
      </c>
      <c r="S1606" t="s">
        <v>41369</v>
      </c>
      <c r="T1606" t="s">
        <v>42759</v>
      </c>
      <c r="U1606" t="s">
        <v>44597</v>
      </c>
      <c r="W1606" t="s">
        <v>38170</v>
      </c>
      <c r="X1606" t="s">
        <v>41252</v>
      </c>
    </row>
    <row r="1607" spans="1:24">
      <c r="A1607">
        <f>HYPERLINK("https://www.philgeps.gov.ph/GEPSNONPILOT/Tender/SplashBidNoticeAbstractUI.aspx?menuIndex=3&amp;refID=7078038&amp;Result=3","7078038")</f>
        <v>0</v>
      </c>
      <c r="B1607" t="s">
        <v>727</v>
      </c>
      <c r="C1607" t="s">
        <v>4923</v>
      </c>
      <c r="D1607" t="s">
        <v>16661</v>
      </c>
      <c r="E1607" t="s">
        <v>18220</v>
      </c>
      <c r="F1607" t="s">
        <v>28669</v>
      </c>
      <c r="G1607" t="s">
        <v>28676</v>
      </c>
      <c r="H1607" t="s">
        <v>9998</v>
      </c>
      <c r="I1607" t="s">
        <v>5213</v>
      </c>
      <c r="J1607" t="s">
        <v>29939</v>
      </c>
      <c r="K1607" t="s">
        <v>37209</v>
      </c>
      <c r="M1607" t="s">
        <v>38235</v>
      </c>
      <c r="N1607" t="s">
        <v>41249</v>
      </c>
      <c r="O1607" t="s">
        <v>41250</v>
      </c>
      <c r="P1607">
        <v>0</v>
      </c>
      <c r="Q1607">
        <v>0</v>
      </c>
      <c r="R1607" t="s">
        <v>41251</v>
      </c>
      <c r="S1607" t="s">
        <v>41369</v>
      </c>
      <c r="T1607" t="s">
        <v>42759</v>
      </c>
      <c r="U1607" t="s">
        <v>44598</v>
      </c>
      <c r="W1607" t="s">
        <v>38235</v>
      </c>
      <c r="X1607" t="s">
        <v>41252</v>
      </c>
    </row>
    <row r="1608" spans="1:24">
      <c r="A1608">
        <f>HYPERLINK("https://www.philgeps.gov.ph/GEPSNONPILOT/Tender/SplashBidNoticeAbstractUI.aspx?menuIndex=3&amp;refID=7078044&amp;Result=3","7078044")</f>
        <v>0</v>
      </c>
      <c r="B1608" t="s">
        <v>728</v>
      </c>
      <c r="C1608" t="s">
        <v>4924</v>
      </c>
      <c r="D1608" t="s">
        <v>16624</v>
      </c>
      <c r="E1608" t="s">
        <v>18221</v>
      </c>
      <c r="F1608" t="s">
        <v>28669</v>
      </c>
      <c r="G1608" t="s">
        <v>28675</v>
      </c>
      <c r="H1608" t="s">
        <v>9998</v>
      </c>
      <c r="I1608" t="s">
        <v>28710</v>
      </c>
      <c r="J1608" t="s">
        <v>29940</v>
      </c>
      <c r="K1608" t="s">
        <v>37205</v>
      </c>
      <c r="M1608" t="s">
        <v>38236</v>
      </c>
      <c r="N1608" t="s">
        <v>41249</v>
      </c>
      <c r="O1608" t="s">
        <v>41250</v>
      </c>
      <c r="P1608">
        <v>0</v>
      </c>
      <c r="Q1608">
        <v>1</v>
      </c>
      <c r="R1608" t="s">
        <v>41251</v>
      </c>
      <c r="S1608" t="s">
        <v>41369</v>
      </c>
      <c r="T1608" t="s">
        <v>42823</v>
      </c>
      <c r="U1608" t="s">
        <v>44599</v>
      </c>
      <c r="W1608" t="s">
        <v>38236</v>
      </c>
      <c r="X1608" t="s">
        <v>41252</v>
      </c>
    </row>
    <row r="1609" spans="1:24">
      <c r="A1609">
        <f>HYPERLINK("https://www.philgeps.gov.ph/GEPSNONPILOT/Tender/SplashBidNoticeAbstractUI.aspx?menuIndex=3&amp;refID=7078055&amp;Result=3","7078055")</f>
        <v>0</v>
      </c>
      <c r="B1609" t="s">
        <v>650</v>
      </c>
      <c r="C1609" t="s">
        <v>4925</v>
      </c>
      <c r="D1609" t="s">
        <v>16611</v>
      </c>
      <c r="E1609" t="s">
        <v>18222</v>
      </c>
      <c r="F1609" t="s">
        <v>28669</v>
      </c>
      <c r="G1609" t="s">
        <v>28677</v>
      </c>
      <c r="H1609" t="s">
        <v>9998</v>
      </c>
      <c r="I1609" t="s">
        <v>28694</v>
      </c>
      <c r="J1609" t="s">
        <v>29941</v>
      </c>
      <c r="K1609" t="s">
        <v>37205</v>
      </c>
      <c r="M1609" t="s">
        <v>38151</v>
      </c>
      <c r="N1609" t="s">
        <v>41249</v>
      </c>
      <c r="O1609" t="s">
        <v>41250</v>
      </c>
      <c r="P1609">
        <v>0</v>
      </c>
      <c r="Q1609">
        <v>0</v>
      </c>
      <c r="R1609" t="s">
        <v>41251</v>
      </c>
      <c r="S1609" t="s">
        <v>41369</v>
      </c>
      <c r="T1609" t="s">
        <v>42757</v>
      </c>
      <c r="U1609" t="s">
        <v>44408</v>
      </c>
      <c r="V1609" t="s">
        <v>54446</v>
      </c>
      <c r="W1609" t="s">
        <v>38151</v>
      </c>
      <c r="X1609" t="s">
        <v>41252</v>
      </c>
    </row>
    <row r="1610" spans="1:24">
      <c r="A1610">
        <f>HYPERLINK("https://www.philgeps.gov.ph/GEPSNONPILOT/Tender/SplashBidNoticeAbstractUI.aspx?menuIndex=3&amp;refID=7078036&amp;Result=3","7078036")</f>
        <v>0</v>
      </c>
      <c r="B1610" t="s">
        <v>531</v>
      </c>
      <c r="C1610" t="s">
        <v>4926</v>
      </c>
      <c r="D1610" t="s">
        <v>16611</v>
      </c>
      <c r="E1610" t="s">
        <v>18223</v>
      </c>
      <c r="F1610" t="s">
        <v>28669</v>
      </c>
      <c r="G1610" t="s">
        <v>28677</v>
      </c>
      <c r="H1610" t="s">
        <v>9998</v>
      </c>
      <c r="I1610" t="s">
        <v>28729</v>
      </c>
      <c r="J1610" t="s">
        <v>29225</v>
      </c>
      <c r="K1610" t="s">
        <v>37210</v>
      </c>
      <c r="M1610" t="s">
        <v>38022</v>
      </c>
      <c r="N1610" t="s">
        <v>41249</v>
      </c>
      <c r="O1610" t="s">
        <v>41250</v>
      </c>
      <c r="P1610">
        <v>0</v>
      </c>
      <c r="Q1610">
        <v>0</v>
      </c>
      <c r="R1610" t="s">
        <v>41251</v>
      </c>
      <c r="S1610" t="s">
        <v>41369</v>
      </c>
      <c r="T1610" t="s">
        <v>42679</v>
      </c>
      <c r="U1610" t="s">
        <v>44600</v>
      </c>
      <c r="W1610" t="s">
        <v>38022</v>
      </c>
      <c r="X1610" t="s">
        <v>41252</v>
      </c>
    </row>
    <row r="1611" spans="1:24">
      <c r="A1611">
        <f>HYPERLINK("https://www.philgeps.gov.ph/GEPSNONPILOT/Tender/SplashBidNoticeAbstractUI.aspx?menuIndex=3&amp;refID=7078053&amp;Result=3","7078053")</f>
        <v>0</v>
      </c>
      <c r="B1611" t="s">
        <v>114</v>
      </c>
      <c r="C1611" t="s">
        <v>4927</v>
      </c>
      <c r="D1611" t="s">
        <v>16608</v>
      </c>
      <c r="E1611" t="s">
        <v>18224</v>
      </c>
      <c r="F1611" t="s">
        <v>28669</v>
      </c>
      <c r="G1611" t="s">
        <v>28677</v>
      </c>
      <c r="H1611" t="s">
        <v>9998</v>
      </c>
      <c r="I1611" t="s">
        <v>28688</v>
      </c>
      <c r="J1611" t="s">
        <v>29942</v>
      </c>
      <c r="K1611" t="s">
        <v>37210</v>
      </c>
      <c r="M1611" t="s">
        <v>37590</v>
      </c>
      <c r="N1611" t="s">
        <v>41249</v>
      </c>
      <c r="O1611" t="s">
        <v>41250</v>
      </c>
      <c r="P1611">
        <v>0</v>
      </c>
      <c r="Q1611">
        <v>2</v>
      </c>
      <c r="R1611" t="s">
        <v>41251</v>
      </c>
      <c r="S1611" t="s">
        <v>41369</v>
      </c>
      <c r="T1611" t="s">
        <v>42741</v>
      </c>
      <c r="U1611" t="s">
        <v>44601</v>
      </c>
      <c r="V1611" t="s">
        <v>54282</v>
      </c>
      <c r="W1611" t="s">
        <v>37590</v>
      </c>
      <c r="X1611" t="s">
        <v>41252</v>
      </c>
    </row>
    <row r="1612" spans="1:24">
      <c r="A1612">
        <f>HYPERLINK("https://www.philgeps.gov.ph/GEPSNONPILOT/Tender/SplashBidNoticeAbstractUI.aspx?menuIndex=3&amp;refID=7078052&amp;Result=3","7078052")</f>
        <v>0</v>
      </c>
      <c r="B1612" t="s">
        <v>729</v>
      </c>
      <c r="C1612" t="s">
        <v>4928</v>
      </c>
      <c r="D1612" t="s">
        <v>16608</v>
      </c>
      <c r="E1612" t="s">
        <v>18225</v>
      </c>
      <c r="F1612" t="s">
        <v>28669</v>
      </c>
      <c r="G1612" t="s">
        <v>28675</v>
      </c>
      <c r="H1612" t="s">
        <v>9998</v>
      </c>
      <c r="I1612" t="s">
        <v>11593</v>
      </c>
      <c r="J1612" t="s">
        <v>29943</v>
      </c>
      <c r="K1612" t="s">
        <v>37220</v>
      </c>
      <c r="M1612" t="s">
        <v>38237</v>
      </c>
      <c r="N1612" t="s">
        <v>41249</v>
      </c>
      <c r="O1612" t="s">
        <v>41250</v>
      </c>
      <c r="P1612">
        <v>0</v>
      </c>
      <c r="Q1612">
        <v>10</v>
      </c>
      <c r="R1612" t="s">
        <v>41251</v>
      </c>
      <c r="S1612" t="s">
        <v>41369</v>
      </c>
      <c r="T1612" t="s">
        <v>42720</v>
      </c>
      <c r="U1612" t="s">
        <v>44602</v>
      </c>
      <c r="W1612" t="s">
        <v>38237</v>
      </c>
      <c r="X1612" t="s">
        <v>41252</v>
      </c>
    </row>
    <row r="1613" spans="1:24">
      <c r="A1613">
        <f>HYPERLINK("https://www.philgeps.gov.ph/GEPSNONPILOT/Tender/SplashBidNoticeAbstractUI.aspx?menuIndex=3&amp;refID=7078051&amp;Result=3","7078051")</f>
        <v>0</v>
      </c>
      <c r="B1613" t="s">
        <v>535</v>
      </c>
      <c r="C1613" t="s">
        <v>4929</v>
      </c>
      <c r="D1613" t="s">
        <v>16631</v>
      </c>
      <c r="E1613" t="s">
        <v>17112</v>
      </c>
      <c r="F1613" t="s">
        <v>28669</v>
      </c>
      <c r="G1613" t="s">
        <v>28676</v>
      </c>
      <c r="H1613" t="s">
        <v>9998</v>
      </c>
      <c r="I1613" t="s">
        <v>6128</v>
      </c>
      <c r="J1613" t="s">
        <v>29944</v>
      </c>
      <c r="K1613" t="s">
        <v>37227</v>
      </c>
      <c r="M1613" t="s">
        <v>38026</v>
      </c>
      <c r="N1613" t="s">
        <v>41249</v>
      </c>
      <c r="O1613" t="s">
        <v>41250</v>
      </c>
      <c r="P1613">
        <v>0</v>
      </c>
      <c r="Q1613">
        <v>3</v>
      </c>
      <c r="R1613" t="s">
        <v>41251</v>
      </c>
      <c r="S1613" t="s">
        <v>41369</v>
      </c>
      <c r="T1613" t="s">
        <v>42713</v>
      </c>
      <c r="U1613" t="s">
        <v>44137</v>
      </c>
      <c r="W1613" t="s">
        <v>38026</v>
      </c>
      <c r="X1613" t="s">
        <v>41252</v>
      </c>
    </row>
    <row r="1614" spans="1:24">
      <c r="A1614">
        <f>HYPERLINK("https://www.philgeps.gov.ph/GEPSNONPILOT/Tender/SplashBidNoticeAbstractUI.aspx?menuIndex=3&amp;refID=7078050&amp;Result=3","7078050")</f>
        <v>0</v>
      </c>
      <c r="B1614" t="s">
        <v>730</v>
      </c>
      <c r="C1614" t="s">
        <v>4930</v>
      </c>
      <c r="D1614" t="s">
        <v>16626</v>
      </c>
      <c r="E1614" t="s">
        <v>18226</v>
      </c>
      <c r="F1614" t="s">
        <v>28669</v>
      </c>
      <c r="G1614" t="s">
        <v>28675</v>
      </c>
      <c r="H1614" t="s">
        <v>9998</v>
      </c>
      <c r="I1614" t="s">
        <v>28714</v>
      </c>
      <c r="J1614" t="s">
        <v>29899</v>
      </c>
      <c r="K1614" t="s">
        <v>37234</v>
      </c>
      <c r="M1614" t="s">
        <v>38238</v>
      </c>
      <c r="N1614" t="s">
        <v>41249</v>
      </c>
      <c r="O1614" t="s">
        <v>41250</v>
      </c>
      <c r="P1614">
        <v>0</v>
      </c>
      <c r="Q1614">
        <v>3</v>
      </c>
      <c r="R1614" t="s">
        <v>41251</v>
      </c>
      <c r="S1614" t="s">
        <v>41369</v>
      </c>
      <c r="T1614" t="s">
        <v>42777</v>
      </c>
      <c r="U1614" t="s">
        <v>44603</v>
      </c>
      <c r="W1614" t="s">
        <v>38238</v>
      </c>
      <c r="X1614" t="s">
        <v>41252</v>
      </c>
    </row>
    <row r="1615" spans="1:24">
      <c r="A1615">
        <f>HYPERLINK("https://www.philgeps.gov.ph/GEPSNONPILOT/Tender/SplashBidNoticeAbstractUI.aspx?menuIndex=3&amp;refID=7078048&amp;Result=3","7078048")</f>
        <v>0</v>
      </c>
      <c r="B1615" t="s">
        <v>46</v>
      </c>
      <c r="C1615" t="s">
        <v>4931</v>
      </c>
      <c r="D1615" t="s">
        <v>16627</v>
      </c>
      <c r="E1615" t="s">
        <v>18227</v>
      </c>
      <c r="F1615" t="s">
        <v>28669</v>
      </c>
      <c r="G1615" t="s">
        <v>28675</v>
      </c>
      <c r="H1615" t="s">
        <v>28686</v>
      </c>
      <c r="I1615" t="s">
        <v>28689</v>
      </c>
      <c r="J1615" t="s">
        <v>28879</v>
      </c>
      <c r="K1615" t="s">
        <v>37209</v>
      </c>
      <c r="M1615" t="s">
        <v>37521</v>
      </c>
      <c r="N1615" t="s">
        <v>41249</v>
      </c>
      <c r="O1615" t="s">
        <v>41250</v>
      </c>
      <c r="P1615">
        <v>0</v>
      </c>
      <c r="Q1615">
        <v>0</v>
      </c>
      <c r="R1615" t="s">
        <v>41251</v>
      </c>
      <c r="S1615" t="s">
        <v>41369</v>
      </c>
      <c r="T1615" t="s">
        <v>42695</v>
      </c>
      <c r="U1615" t="s">
        <v>44222</v>
      </c>
      <c r="W1615" t="s">
        <v>37521</v>
      </c>
      <c r="X1615" t="s">
        <v>41252</v>
      </c>
    </row>
    <row r="1616" spans="1:24">
      <c r="A1616">
        <f>HYPERLINK("https://www.philgeps.gov.ph/GEPSNONPILOT/Tender/SplashBidNoticeAbstractUI.aspx?menuIndex=3&amp;refID=7078043&amp;Result=3","7078043")</f>
        <v>0</v>
      </c>
      <c r="B1616" t="s">
        <v>731</v>
      </c>
      <c r="C1616" t="s">
        <v>4932</v>
      </c>
      <c r="D1616" t="s">
        <v>16646</v>
      </c>
      <c r="E1616" t="s">
        <v>18228</v>
      </c>
      <c r="F1616" t="s">
        <v>28669</v>
      </c>
      <c r="G1616" t="s">
        <v>28675</v>
      </c>
      <c r="H1616" t="s">
        <v>28686</v>
      </c>
      <c r="I1616" t="s">
        <v>28689</v>
      </c>
      <c r="J1616" t="s">
        <v>28836</v>
      </c>
      <c r="K1616" t="s">
        <v>37227</v>
      </c>
      <c r="M1616" t="s">
        <v>38239</v>
      </c>
      <c r="N1616" t="s">
        <v>41249</v>
      </c>
      <c r="O1616" t="s">
        <v>41250</v>
      </c>
      <c r="P1616">
        <v>0</v>
      </c>
      <c r="Q1616">
        <v>0</v>
      </c>
      <c r="R1616" t="s">
        <v>41251</v>
      </c>
      <c r="S1616" t="s">
        <v>41369</v>
      </c>
      <c r="T1616" t="s">
        <v>42678</v>
      </c>
      <c r="U1616" t="s">
        <v>44604</v>
      </c>
      <c r="V1616" t="s">
        <v>54447</v>
      </c>
      <c r="W1616" t="s">
        <v>38239</v>
      </c>
      <c r="X1616" t="s">
        <v>41252</v>
      </c>
    </row>
    <row r="1617" spans="1:24">
      <c r="A1617">
        <f>HYPERLINK("https://www.philgeps.gov.ph/GEPSNONPILOT/Tender/SplashBidNoticeAbstractUI.aspx?menuIndex=3&amp;refID=7078041&amp;Result=3","7078041")</f>
        <v>0</v>
      </c>
      <c r="B1617" t="s">
        <v>732</v>
      </c>
      <c r="C1617" t="s">
        <v>4933</v>
      </c>
      <c r="D1617" t="s">
        <v>16608</v>
      </c>
      <c r="E1617" t="s">
        <v>18229</v>
      </c>
      <c r="F1617" t="s">
        <v>28669</v>
      </c>
      <c r="G1617" t="s">
        <v>28675</v>
      </c>
      <c r="H1617" t="s">
        <v>9998</v>
      </c>
      <c r="I1617" t="s">
        <v>11593</v>
      </c>
      <c r="J1617" t="s">
        <v>29033</v>
      </c>
      <c r="K1617" t="s">
        <v>37221</v>
      </c>
      <c r="M1617" t="s">
        <v>38240</v>
      </c>
      <c r="N1617" t="s">
        <v>41249</v>
      </c>
      <c r="O1617" t="s">
        <v>41250</v>
      </c>
      <c r="P1617">
        <v>0</v>
      </c>
      <c r="Q1617">
        <v>9</v>
      </c>
      <c r="R1617" t="s">
        <v>41251</v>
      </c>
      <c r="S1617" t="s">
        <v>41369</v>
      </c>
      <c r="T1617" t="s">
        <v>42669</v>
      </c>
      <c r="U1617" t="s">
        <v>44605</v>
      </c>
      <c r="W1617" t="s">
        <v>38240</v>
      </c>
      <c r="X1617" t="s">
        <v>41252</v>
      </c>
    </row>
    <row r="1618" spans="1:24">
      <c r="A1618">
        <f>HYPERLINK("https://www.philgeps.gov.ph/GEPSNONPILOT/Tender/SplashBidNoticeAbstractUI.aspx?menuIndex=3&amp;refID=7078054&amp;Result=3","7078054")</f>
        <v>0</v>
      </c>
      <c r="B1618" t="s">
        <v>733</v>
      </c>
      <c r="C1618" t="s">
        <v>4934</v>
      </c>
      <c r="D1618" t="s">
        <v>16616</v>
      </c>
      <c r="E1618" t="s">
        <v>18230</v>
      </c>
      <c r="F1618" t="s">
        <v>28669</v>
      </c>
      <c r="G1618" t="s">
        <v>28675</v>
      </c>
      <c r="H1618" t="s">
        <v>9998</v>
      </c>
      <c r="I1618" t="s">
        <v>28687</v>
      </c>
      <c r="J1618" t="s">
        <v>28914</v>
      </c>
      <c r="K1618" t="s">
        <v>37205</v>
      </c>
      <c r="M1618" t="s">
        <v>38241</v>
      </c>
      <c r="N1618" t="s">
        <v>41249</v>
      </c>
      <c r="O1618" t="s">
        <v>41250</v>
      </c>
      <c r="P1618">
        <v>0</v>
      </c>
      <c r="Q1618">
        <v>0</v>
      </c>
      <c r="R1618" t="s">
        <v>41251</v>
      </c>
      <c r="S1618" t="s">
        <v>41369</v>
      </c>
      <c r="T1618" t="s">
        <v>42678</v>
      </c>
      <c r="U1618" t="s">
        <v>44606</v>
      </c>
      <c r="W1618" t="s">
        <v>38241</v>
      </c>
      <c r="X1618" t="s">
        <v>41252</v>
      </c>
    </row>
    <row r="1619" spans="1:24">
      <c r="A1619">
        <f>HYPERLINK("https://www.philgeps.gov.ph/GEPSNONPILOT/Tender/SplashBidNoticeAbstractUI.aspx?menuIndex=3&amp;refID=7078059&amp;Result=3","7078059")</f>
        <v>0</v>
      </c>
      <c r="B1619" t="s">
        <v>734</v>
      </c>
      <c r="C1619" t="s">
        <v>4935</v>
      </c>
      <c r="D1619" t="s">
        <v>16641</v>
      </c>
      <c r="E1619" t="s">
        <v>18231</v>
      </c>
      <c r="F1619" t="s">
        <v>28669</v>
      </c>
      <c r="G1619" t="s">
        <v>28676</v>
      </c>
      <c r="H1619" t="s">
        <v>9998</v>
      </c>
      <c r="I1619" t="s">
        <v>5286</v>
      </c>
      <c r="J1619" t="s">
        <v>29945</v>
      </c>
      <c r="K1619" t="s">
        <v>37234</v>
      </c>
      <c r="M1619" t="s">
        <v>38242</v>
      </c>
      <c r="N1619" t="s">
        <v>41249</v>
      </c>
      <c r="O1619" t="s">
        <v>41250</v>
      </c>
      <c r="P1619">
        <v>0</v>
      </c>
      <c r="Q1619">
        <v>1</v>
      </c>
      <c r="R1619" t="s">
        <v>41251</v>
      </c>
      <c r="S1619" t="s">
        <v>41369</v>
      </c>
      <c r="T1619" t="s">
        <v>42754</v>
      </c>
      <c r="U1619" t="s">
        <v>44607</v>
      </c>
      <c r="W1619" t="s">
        <v>41182</v>
      </c>
      <c r="X1619" t="s">
        <v>41252</v>
      </c>
    </row>
    <row r="1620" spans="1:24">
      <c r="A1620">
        <f>HYPERLINK("https://www.philgeps.gov.ph/GEPSNONPILOT/Tender/SplashBidNoticeAbstractUI.aspx?menuIndex=3&amp;refID=7078080&amp;Result=3","7078080")</f>
        <v>0</v>
      </c>
      <c r="B1620" t="s">
        <v>720</v>
      </c>
      <c r="C1620" t="s">
        <v>4936</v>
      </c>
      <c r="D1620" t="s">
        <v>16640</v>
      </c>
      <c r="E1620" t="s">
        <v>18232</v>
      </c>
      <c r="F1620" t="s">
        <v>28669</v>
      </c>
      <c r="G1620" t="s">
        <v>28678</v>
      </c>
      <c r="H1620" t="s">
        <v>9998</v>
      </c>
      <c r="I1620" t="s">
        <v>28704</v>
      </c>
      <c r="J1620" t="s">
        <v>29946</v>
      </c>
      <c r="K1620" t="s">
        <v>37204</v>
      </c>
      <c r="M1620" t="s">
        <v>38228</v>
      </c>
      <c r="N1620" t="s">
        <v>41249</v>
      </c>
      <c r="O1620" t="s">
        <v>41250</v>
      </c>
      <c r="P1620">
        <v>0</v>
      </c>
      <c r="Q1620">
        <v>0</v>
      </c>
      <c r="R1620" t="s">
        <v>41251</v>
      </c>
      <c r="S1620" t="s">
        <v>41369</v>
      </c>
      <c r="T1620" t="s">
        <v>42664</v>
      </c>
      <c r="U1620" t="s">
        <v>44608</v>
      </c>
      <c r="W1620" t="s">
        <v>55928</v>
      </c>
      <c r="X1620" t="s">
        <v>41252</v>
      </c>
    </row>
    <row r="1621" spans="1:24">
      <c r="A1621">
        <f>HYPERLINK("https://www.philgeps.gov.ph/GEPSNONPILOT/Tender/SplashBidNoticeAbstractUI.aspx?menuIndex=3&amp;refID=7078046&amp;Result=3","7078046")</f>
        <v>0</v>
      </c>
      <c r="B1621" t="s">
        <v>720</v>
      </c>
      <c r="C1621" t="s">
        <v>4937</v>
      </c>
      <c r="D1621" t="s">
        <v>16640</v>
      </c>
      <c r="E1621" t="s">
        <v>18233</v>
      </c>
      <c r="F1621" t="s">
        <v>28669</v>
      </c>
      <c r="G1621" t="s">
        <v>28677</v>
      </c>
      <c r="H1621" t="s">
        <v>9998</v>
      </c>
      <c r="I1621" t="s">
        <v>28704</v>
      </c>
      <c r="J1621" t="s">
        <v>29947</v>
      </c>
      <c r="K1621" t="s">
        <v>37204</v>
      </c>
      <c r="M1621" t="s">
        <v>38228</v>
      </c>
      <c r="N1621" t="s">
        <v>41249</v>
      </c>
      <c r="O1621" t="s">
        <v>41250</v>
      </c>
      <c r="P1621">
        <v>0</v>
      </c>
      <c r="Q1621">
        <v>0</v>
      </c>
      <c r="R1621" t="s">
        <v>41251</v>
      </c>
      <c r="S1621" t="s">
        <v>41369</v>
      </c>
      <c r="T1621" t="s">
        <v>42664</v>
      </c>
      <c r="U1621" t="s">
        <v>44608</v>
      </c>
      <c r="W1621" t="s">
        <v>55928</v>
      </c>
      <c r="X1621" t="s">
        <v>41252</v>
      </c>
    </row>
    <row r="1622" spans="1:24">
      <c r="A1622">
        <f>HYPERLINK("https://www.philgeps.gov.ph/GEPSNONPILOT/Tender/SplashBidNoticeAbstractUI.aspx?menuIndex=3&amp;refID=7078074&amp;Result=3","7078074")</f>
        <v>0</v>
      </c>
      <c r="B1622" t="s">
        <v>114</v>
      </c>
      <c r="C1622" t="s">
        <v>4927</v>
      </c>
      <c r="D1622" t="s">
        <v>16608</v>
      </c>
      <c r="E1622" t="s">
        <v>18234</v>
      </c>
      <c r="F1622" t="s">
        <v>28669</v>
      </c>
      <c r="G1622" t="s">
        <v>28677</v>
      </c>
      <c r="H1622" t="s">
        <v>9998</v>
      </c>
      <c r="I1622" t="s">
        <v>28688</v>
      </c>
      <c r="J1622" t="s">
        <v>29948</v>
      </c>
      <c r="K1622" t="s">
        <v>37210</v>
      </c>
      <c r="M1622" t="s">
        <v>37590</v>
      </c>
      <c r="N1622" t="s">
        <v>41249</v>
      </c>
      <c r="O1622" t="s">
        <v>41250</v>
      </c>
      <c r="P1622">
        <v>0</v>
      </c>
      <c r="Q1622">
        <v>0</v>
      </c>
      <c r="R1622" t="s">
        <v>41251</v>
      </c>
      <c r="S1622" t="s">
        <v>41369</v>
      </c>
      <c r="T1622" t="s">
        <v>42741</v>
      </c>
      <c r="U1622" t="s">
        <v>44601</v>
      </c>
      <c r="V1622" t="s">
        <v>54282</v>
      </c>
      <c r="W1622" t="s">
        <v>37590</v>
      </c>
      <c r="X1622" t="s">
        <v>41252</v>
      </c>
    </row>
    <row r="1623" spans="1:24">
      <c r="A1623">
        <f>HYPERLINK("https://www.philgeps.gov.ph/GEPSNONPILOT/Tender/SplashBidNoticeAbstractUI.aspx?menuIndex=3&amp;refID=7078073&amp;Result=3","7078073")</f>
        <v>0</v>
      </c>
      <c r="B1623" t="s">
        <v>735</v>
      </c>
      <c r="C1623" t="s">
        <v>4938</v>
      </c>
      <c r="D1623" t="s">
        <v>16675</v>
      </c>
      <c r="E1623" t="s">
        <v>18235</v>
      </c>
      <c r="F1623" t="s">
        <v>28669</v>
      </c>
      <c r="G1623" t="s">
        <v>28677</v>
      </c>
      <c r="H1623" t="s">
        <v>9998</v>
      </c>
      <c r="I1623" t="s">
        <v>28699</v>
      </c>
      <c r="J1623" t="s">
        <v>29949</v>
      </c>
      <c r="K1623" t="s">
        <v>37210</v>
      </c>
      <c r="M1623" t="s">
        <v>38243</v>
      </c>
      <c r="N1623" t="s">
        <v>41249</v>
      </c>
      <c r="O1623" t="s">
        <v>41250</v>
      </c>
      <c r="P1623">
        <v>0</v>
      </c>
      <c r="Q1623">
        <v>1</v>
      </c>
      <c r="R1623" t="s">
        <v>41251</v>
      </c>
      <c r="S1623" t="s">
        <v>41369</v>
      </c>
      <c r="T1623" t="s">
        <v>42673</v>
      </c>
      <c r="U1623" t="s">
        <v>44609</v>
      </c>
      <c r="V1623" t="s">
        <v>54448</v>
      </c>
      <c r="W1623" t="s">
        <v>38243</v>
      </c>
      <c r="X1623" t="s">
        <v>41252</v>
      </c>
    </row>
    <row r="1624" spans="1:24">
      <c r="A1624">
        <f>HYPERLINK("https://www.philgeps.gov.ph/GEPSNONPILOT/Tender/SplashBidNoticeAbstractUI.aspx?menuIndex=3&amp;refID=7078071&amp;Result=3","7078071")</f>
        <v>0</v>
      </c>
      <c r="B1624" t="s">
        <v>210</v>
      </c>
      <c r="C1624" t="s">
        <v>4939</v>
      </c>
      <c r="D1624" t="s">
        <v>16633</v>
      </c>
      <c r="E1624" t="s">
        <v>18236</v>
      </c>
      <c r="F1624" t="s">
        <v>28669</v>
      </c>
      <c r="G1624" t="s">
        <v>28675</v>
      </c>
      <c r="H1624" t="s">
        <v>28686</v>
      </c>
      <c r="I1624" t="s">
        <v>28689</v>
      </c>
      <c r="J1624" t="s">
        <v>29950</v>
      </c>
      <c r="K1624" t="s">
        <v>37296</v>
      </c>
      <c r="M1624" t="s">
        <v>37688</v>
      </c>
      <c r="N1624" t="s">
        <v>41249</v>
      </c>
      <c r="O1624" t="s">
        <v>41250</v>
      </c>
      <c r="P1624">
        <v>0</v>
      </c>
      <c r="Q1624">
        <v>2</v>
      </c>
      <c r="R1624" t="s">
        <v>41251</v>
      </c>
      <c r="S1624" t="s">
        <v>41369</v>
      </c>
      <c r="T1624" t="s">
        <v>42661</v>
      </c>
      <c r="U1624" t="s">
        <v>44610</v>
      </c>
      <c r="V1624" t="s">
        <v>54449</v>
      </c>
      <c r="W1624" t="s">
        <v>37688</v>
      </c>
      <c r="X1624" t="s">
        <v>41252</v>
      </c>
    </row>
    <row r="1625" spans="1:24">
      <c r="A1625">
        <f>HYPERLINK("https://www.philgeps.gov.ph/GEPSNONPILOT/Tender/SplashBidNoticeAbstractUI.aspx?menuIndex=3&amp;refID=7078065&amp;Result=3","7078065")</f>
        <v>0</v>
      </c>
      <c r="B1625" t="s">
        <v>720</v>
      </c>
      <c r="C1625" t="s">
        <v>4940</v>
      </c>
      <c r="D1625" t="s">
        <v>16640</v>
      </c>
      <c r="E1625" t="s">
        <v>18237</v>
      </c>
      <c r="F1625" t="s">
        <v>28669</v>
      </c>
      <c r="G1625" t="s">
        <v>28677</v>
      </c>
      <c r="H1625" t="s">
        <v>9998</v>
      </c>
      <c r="I1625" t="s">
        <v>28704</v>
      </c>
      <c r="J1625" t="s">
        <v>29951</v>
      </c>
      <c r="K1625" t="s">
        <v>37204</v>
      </c>
      <c r="M1625" t="s">
        <v>38228</v>
      </c>
      <c r="N1625" t="s">
        <v>41249</v>
      </c>
      <c r="O1625" t="s">
        <v>41250</v>
      </c>
      <c r="P1625">
        <v>0</v>
      </c>
      <c r="Q1625">
        <v>0</v>
      </c>
      <c r="R1625" t="s">
        <v>41251</v>
      </c>
      <c r="S1625" t="s">
        <v>41369</v>
      </c>
      <c r="T1625" t="s">
        <v>42664</v>
      </c>
      <c r="U1625" t="s">
        <v>44577</v>
      </c>
      <c r="W1625" t="s">
        <v>55928</v>
      </c>
      <c r="X1625" t="s">
        <v>41252</v>
      </c>
    </row>
    <row r="1626" spans="1:24">
      <c r="A1626">
        <f>HYPERLINK("https://www.philgeps.gov.ph/GEPSNONPILOT/Tender/SplashBidNoticeAbstractUI.aspx?menuIndex=3&amp;refID=7078064&amp;Result=3","7078064")</f>
        <v>0</v>
      </c>
      <c r="B1626" t="s">
        <v>736</v>
      </c>
      <c r="C1626" t="s">
        <v>4941</v>
      </c>
      <c r="E1626" t="s">
        <v>18238</v>
      </c>
      <c r="F1626" t="s">
        <v>28669</v>
      </c>
      <c r="G1626" t="s">
        <v>28676</v>
      </c>
      <c r="H1626" t="s">
        <v>9998</v>
      </c>
      <c r="I1626" t="s">
        <v>28728</v>
      </c>
      <c r="J1626" t="s">
        <v>28985</v>
      </c>
      <c r="K1626" t="s">
        <v>37209</v>
      </c>
      <c r="M1626" t="s">
        <v>38244</v>
      </c>
      <c r="N1626" t="s">
        <v>41249</v>
      </c>
      <c r="O1626" t="s">
        <v>41250</v>
      </c>
      <c r="P1626">
        <v>0</v>
      </c>
      <c r="Q1626">
        <v>1</v>
      </c>
      <c r="R1626" t="s">
        <v>41251</v>
      </c>
      <c r="S1626" t="s">
        <v>41369</v>
      </c>
      <c r="T1626" t="s">
        <v>42717</v>
      </c>
      <c r="U1626" t="s">
        <v>44611</v>
      </c>
      <c r="W1626" t="s">
        <v>38244</v>
      </c>
      <c r="X1626" t="s">
        <v>41252</v>
      </c>
    </row>
    <row r="1627" spans="1:24">
      <c r="A1627">
        <f>HYPERLINK("https://www.philgeps.gov.ph/GEPSNONPILOT/Tender/SplashBidNoticeAbstractUI.aspx?menuIndex=3&amp;refID=7078063&amp;Result=3","7078063")</f>
        <v>0</v>
      </c>
      <c r="B1627" t="s">
        <v>101</v>
      </c>
      <c r="C1627" t="s">
        <v>4942</v>
      </c>
      <c r="D1627" t="s">
        <v>16644</v>
      </c>
      <c r="E1627" t="s">
        <v>18239</v>
      </c>
      <c r="F1627" t="s">
        <v>28669</v>
      </c>
      <c r="G1627" t="s">
        <v>28676</v>
      </c>
      <c r="H1627" t="s">
        <v>9998</v>
      </c>
      <c r="I1627" t="s">
        <v>28717</v>
      </c>
      <c r="J1627" t="s">
        <v>29952</v>
      </c>
      <c r="K1627" t="s">
        <v>37205</v>
      </c>
      <c r="M1627" t="s">
        <v>38245</v>
      </c>
      <c r="N1627" t="s">
        <v>41249</v>
      </c>
      <c r="O1627" t="s">
        <v>41250</v>
      </c>
      <c r="P1627">
        <v>0</v>
      </c>
      <c r="Q1627">
        <v>5</v>
      </c>
      <c r="R1627" t="s">
        <v>41251</v>
      </c>
      <c r="S1627" t="s">
        <v>41369</v>
      </c>
      <c r="T1627" t="s">
        <v>42675</v>
      </c>
      <c r="U1627" t="s">
        <v>44612</v>
      </c>
      <c r="W1627" t="s">
        <v>38245</v>
      </c>
      <c r="X1627" t="s">
        <v>41252</v>
      </c>
    </row>
    <row r="1628" spans="1:24">
      <c r="A1628">
        <f>HYPERLINK("https://www.philgeps.gov.ph/GEPSNONPILOT/Tender/SplashBidNoticeAbstractUI.aspx?menuIndex=3&amp;refID=7078076&amp;Result=3","7078076")</f>
        <v>0</v>
      </c>
      <c r="B1628" t="s">
        <v>699</v>
      </c>
      <c r="C1628" t="s">
        <v>4943</v>
      </c>
      <c r="D1628" t="s">
        <v>16622</v>
      </c>
      <c r="E1628" t="s">
        <v>18240</v>
      </c>
      <c r="F1628" t="s">
        <v>28669</v>
      </c>
      <c r="G1628" t="s">
        <v>28676</v>
      </c>
      <c r="H1628" t="s">
        <v>28686</v>
      </c>
      <c r="I1628" t="s">
        <v>28689</v>
      </c>
      <c r="J1628" t="s">
        <v>29953</v>
      </c>
      <c r="K1628" t="s">
        <v>37221</v>
      </c>
      <c r="M1628" t="s">
        <v>38204</v>
      </c>
      <c r="N1628" t="s">
        <v>41249</v>
      </c>
      <c r="O1628" t="s">
        <v>41250</v>
      </c>
      <c r="P1628">
        <v>0</v>
      </c>
      <c r="Q1628">
        <v>0</v>
      </c>
      <c r="R1628" t="s">
        <v>41251</v>
      </c>
      <c r="S1628" t="s">
        <v>41369</v>
      </c>
      <c r="T1628" t="s">
        <v>42663</v>
      </c>
      <c r="U1628" t="s">
        <v>44613</v>
      </c>
      <c r="W1628" t="s">
        <v>38204</v>
      </c>
      <c r="X1628" t="s">
        <v>41252</v>
      </c>
    </row>
    <row r="1629" spans="1:24">
      <c r="A1629">
        <f>HYPERLINK("https://www.philgeps.gov.ph/GEPSNONPILOT/Tender/SplashBidNoticeAbstractUI.aspx?menuIndex=3&amp;refID=7078062&amp;Result=3","7078062")</f>
        <v>0</v>
      </c>
      <c r="B1629" t="s">
        <v>645</v>
      </c>
      <c r="C1629" t="s">
        <v>4944</v>
      </c>
      <c r="D1629" t="s">
        <v>16624</v>
      </c>
      <c r="E1629" t="s">
        <v>18241</v>
      </c>
      <c r="F1629" t="s">
        <v>28669</v>
      </c>
      <c r="G1629" t="s">
        <v>28675</v>
      </c>
      <c r="H1629" t="s">
        <v>28686</v>
      </c>
      <c r="I1629" t="s">
        <v>28689</v>
      </c>
      <c r="J1629" t="s">
        <v>29954</v>
      </c>
      <c r="K1629" t="s">
        <v>37297</v>
      </c>
      <c r="M1629" t="s">
        <v>38146</v>
      </c>
      <c r="N1629" t="s">
        <v>41249</v>
      </c>
      <c r="O1629" t="s">
        <v>41250</v>
      </c>
      <c r="P1629">
        <v>0</v>
      </c>
      <c r="Q1629">
        <v>0</v>
      </c>
      <c r="R1629" t="s">
        <v>41251</v>
      </c>
      <c r="S1629" t="s">
        <v>41369</v>
      </c>
      <c r="T1629" t="s">
        <v>42831</v>
      </c>
      <c r="U1629" t="s">
        <v>44614</v>
      </c>
      <c r="W1629" t="s">
        <v>38146</v>
      </c>
      <c r="X1629" t="s">
        <v>41252</v>
      </c>
    </row>
    <row r="1630" spans="1:24">
      <c r="A1630">
        <f>HYPERLINK("https://www.philgeps.gov.ph/GEPSNONPILOT/Tender/SplashBidNoticeAbstractUI.aspx?menuIndex=3&amp;refID=7078039&amp;Result=3","7078039")</f>
        <v>0</v>
      </c>
      <c r="B1630" t="s">
        <v>737</v>
      </c>
      <c r="C1630" t="s">
        <v>4945</v>
      </c>
      <c r="D1630" t="s">
        <v>16669</v>
      </c>
      <c r="E1630" t="s">
        <v>18242</v>
      </c>
      <c r="F1630" t="s">
        <v>28669</v>
      </c>
      <c r="G1630" t="s">
        <v>28675</v>
      </c>
      <c r="H1630" t="s">
        <v>9998</v>
      </c>
      <c r="I1630" t="s">
        <v>28704</v>
      </c>
      <c r="J1630" t="s">
        <v>29955</v>
      </c>
      <c r="K1630" t="s">
        <v>37210</v>
      </c>
      <c r="M1630" t="s">
        <v>38246</v>
      </c>
      <c r="N1630" t="s">
        <v>41249</v>
      </c>
      <c r="O1630" t="s">
        <v>41250</v>
      </c>
      <c r="P1630">
        <v>0</v>
      </c>
      <c r="Q1630">
        <v>0</v>
      </c>
      <c r="R1630" t="s">
        <v>41251</v>
      </c>
      <c r="S1630" t="s">
        <v>41369</v>
      </c>
      <c r="T1630" t="s">
        <v>42752</v>
      </c>
      <c r="U1630" t="s">
        <v>44615</v>
      </c>
      <c r="W1630" t="s">
        <v>38246</v>
      </c>
      <c r="X1630" t="s">
        <v>41252</v>
      </c>
    </row>
    <row r="1631" spans="1:24">
      <c r="A1631">
        <f>HYPERLINK("https://www.philgeps.gov.ph/GEPSNONPILOT/Tender/SplashBidNoticeAbstractUI.aspx?menuIndex=3&amp;refID=7078092&amp;Result=3","7078092")</f>
        <v>0</v>
      </c>
      <c r="B1631" t="s">
        <v>46</v>
      </c>
      <c r="C1631" t="s">
        <v>4946</v>
      </c>
      <c r="D1631" t="s">
        <v>16627</v>
      </c>
      <c r="E1631" t="s">
        <v>18243</v>
      </c>
      <c r="F1631" t="s">
        <v>28669</v>
      </c>
      <c r="G1631" t="s">
        <v>28675</v>
      </c>
      <c r="H1631" t="s">
        <v>28686</v>
      </c>
      <c r="I1631" t="s">
        <v>28689</v>
      </c>
      <c r="J1631" t="s">
        <v>28879</v>
      </c>
      <c r="K1631" t="s">
        <v>37209</v>
      </c>
      <c r="M1631" t="s">
        <v>37521</v>
      </c>
      <c r="N1631" t="s">
        <v>41249</v>
      </c>
      <c r="O1631" t="s">
        <v>41250</v>
      </c>
      <c r="P1631">
        <v>0</v>
      </c>
      <c r="Q1631">
        <v>0</v>
      </c>
      <c r="R1631" t="s">
        <v>41251</v>
      </c>
      <c r="S1631" t="s">
        <v>41369</v>
      </c>
      <c r="T1631" t="s">
        <v>42832</v>
      </c>
      <c r="U1631" t="s">
        <v>44616</v>
      </c>
      <c r="W1631" t="s">
        <v>37521</v>
      </c>
      <c r="X1631" t="s">
        <v>41252</v>
      </c>
    </row>
    <row r="1632" spans="1:24">
      <c r="A1632">
        <f>HYPERLINK("https://www.philgeps.gov.ph/GEPSNONPILOT/Tender/SplashBidNoticeAbstractUI.aspx?menuIndex=3&amp;refID=7078045&amp;Result=3","7078045")</f>
        <v>0</v>
      </c>
      <c r="B1632" t="s">
        <v>29</v>
      </c>
      <c r="C1632" t="s">
        <v>4947</v>
      </c>
      <c r="D1632" t="s">
        <v>16611</v>
      </c>
      <c r="E1632" t="s">
        <v>18244</v>
      </c>
      <c r="F1632" t="s">
        <v>28669</v>
      </c>
      <c r="G1632" t="s">
        <v>28677</v>
      </c>
      <c r="H1632" t="s">
        <v>9998</v>
      </c>
      <c r="I1632" t="s">
        <v>28708</v>
      </c>
      <c r="J1632" t="s">
        <v>29956</v>
      </c>
      <c r="K1632" t="s">
        <v>37209</v>
      </c>
      <c r="M1632" t="s">
        <v>37931</v>
      </c>
      <c r="N1632" t="s">
        <v>41249</v>
      </c>
      <c r="O1632" t="s">
        <v>41250</v>
      </c>
      <c r="P1632">
        <v>0</v>
      </c>
      <c r="Q1632">
        <v>2</v>
      </c>
      <c r="R1632" t="s">
        <v>41251</v>
      </c>
      <c r="S1632" t="s">
        <v>41369</v>
      </c>
      <c r="T1632" t="s">
        <v>42686</v>
      </c>
      <c r="U1632" t="s">
        <v>44617</v>
      </c>
      <c r="W1632" t="s">
        <v>37931</v>
      </c>
      <c r="X1632" t="s">
        <v>41252</v>
      </c>
    </row>
    <row r="1633" spans="1:24">
      <c r="A1633">
        <f>HYPERLINK("https://www.philgeps.gov.ph/GEPSNONPILOT/Tender/SplashBidNoticeAbstractUI.aspx?menuIndex=3&amp;refID=7078084&amp;Result=3","7078084")</f>
        <v>0</v>
      </c>
      <c r="B1633" t="s">
        <v>738</v>
      </c>
      <c r="C1633" t="s">
        <v>4948</v>
      </c>
      <c r="D1633" t="s">
        <v>16657</v>
      </c>
      <c r="E1633" t="s">
        <v>17283</v>
      </c>
      <c r="F1633" t="s">
        <v>28669</v>
      </c>
      <c r="G1633" t="s">
        <v>28675</v>
      </c>
      <c r="H1633" t="s">
        <v>9998</v>
      </c>
      <c r="I1633" t="s">
        <v>28694</v>
      </c>
      <c r="J1633" t="s">
        <v>29957</v>
      </c>
      <c r="K1633" t="s">
        <v>37209</v>
      </c>
      <c r="M1633" t="s">
        <v>38247</v>
      </c>
      <c r="N1633" t="s">
        <v>41249</v>
      </c>
      <c r="O1633" t="s">
        <v>41250</v>
      </c>
      <c r="P1633">
        <v>0</v>
      </c>
      <c r="Q1633">
        <v>0</v>
      </c>
      <c r="R1633" t="s">
        <v>41251</v>
      </c>
      <c r="S1633" t="s">
        <v>41369</v>
      </c>
      <c r="T1633" t="s">
        <v>42683</v>
      </c>
      <c r="U1633" t="s">
        <v>44618</v>
      </c>
      <c r="W1633" t="s">
        <v>38247</v>
      </c>
      <c r="X1633" t="s">
        <v>41252</v>
      </c>
    </row>
    <row r="1634" spans="1:24">
      <c r="A1634">
        <f>HYPERLINK("https://www.philgeps.gov.ph/GEPSNONPILOT/Tender/SplashBidNoticeAbstractUI.aspx?menuIndex=3&amp;refID=7078066&amp;Result=3","7078066")</f>
        <v>0</v>
      </c>
      <c r="B1634" t="s">
        <v>739</v>
      </c>
      <c r="C1634" t="s">
        <v>4949</v>
      </c>
      <c r="D1634" t="s">
        <v>16661</v>
      </c>
      <c r="E1634" t="s">
        <v>18245</v>
      </c>
      <c r="F1634" t="s">
        <v>28669</v>
      </c>
      <c r="G1634" t="s">
        <v>28675</v>
      </c>
      <c r="H1634" t="s">
        <v>9998</v>
      </c>
      <c r="I1634" t="s">
        <v>7352</v>
      </c>
      <c r="J1634" t="s">
        <v>29958</v>
      </c>
      <c r="K1634" t="s">
        <v>37205</v>
      </c>
      <c r="M1634" t="s">
        <v>38248</v>
      </c>
      <c r="N1634" t="s">
        <v>41249</v>
      </c>
      <c r="O1634" t="s">
        <v>41250</v>
      </c>
      <c r="P1634">
        <v>0</v>
      </c>
      <c r="Q1634">
        <v>1</v>
      </c>
      <c r="R1634" t="s">
        <v>41251</v>
      </c>
      <c r="S1634" t="s">
        <v>41369</v>
      </c>
      <c r="T1634" t="s">
        <v>42726</v>
      </c>
      <c r="U1634" t="s">
        <v>44619</v>
      </c>
      <c r="V1634" t="s">
        <v>54450</v>
      </c>
      <c r="W1634" t="s">
        <v>38248</v>
      </c>
      <c r="X1634" t="s">
        <v>41252</v>
      </c>
    </row>
    <row r="1635" spans="1:24">
      <c r="A1635">
        <f>HYPERLINK("https://www.philgeps.gov.ph/GEPSNONPILOT/Tender/SplashBidNoticeAbstractUI.aspx?menuIndex=3&amp;refID=7078082&amp;Result=3","7078082")</f>
        <v>0</v>
      </c>
      <c r="B1635" t="s">
        <v>740</v>
      </c>
      <c r="C1635" t="s">
        <v>4950</v>
      </c>
      <c r="D1635" t="s">
        <v>16625</v>
      </c>
      <c r="E1635" t="s">
        <v>18246</v>
      </c>
      <c r="F1635" t="s">
        <v>28669</v>
      </c>
      <c r="G1635" t="s">
        <v>28675</v>
      </c>
      <c r="H1635" t="s">
        <v>28686</v>
      </c>
      <c r="I1635" t="s">
        <v>28689</v>
      </c>
      <c r="J1635" t="s">
        <v>29003</v>
      </c>
      <c r="K1635" t="s">
        <v>37215</v>
      </c>
      <c r="M1635" t="s">
        <v>38249</v>
      </c>
      <c r="N1635" t="s">
        <v>41249</v>
      </c>
      <c r="O1635" t="s">
        <v>41250</v>
      </c>
      <c r="P1635">
        <v>0</v>
      </c>
      <c r="Q1635">
        <v>0</v>
      </c>
      <c r="R1635" t="s">
        <v>41251</v>
      </c>
      <c r="S1635" t="s">
        <v>41369</v>
      </c>
      <c r="T1635" t="s">
        <v>42833</v>
      </c>
      <c r="U1635" t="s">
        <v>44620</v>
      </c>
      <c r="W1635" t="s">
        <v>38249</v>
      </c>
      <c r="X1635" t="s">
        <v>41252</v>
      </c>
    </row>
    <row r="1636" spans="1:24">
      <c r="A1636">
        <f>HYPERLINK("https://www.philgeps.gov.ph/GEPSNONPILOT/Tender/SplashBidNoticeAbstractUI.aspx?menuIndex=3&amp;refID=7078061&amp;Result=3","7078061")</f>
        <v>0</v>
      </c>
      <c r="B1636" t="s">
        <v>602</v>
      </c>
      <c r="C1636" t="s">
        <v>4951</v>
      </c>
      <c r="D1636" t="s">
        <v>16661</v>
      </c>
      <c r="E1636" t="s">
        <v>18247</v>
      </c>
      <c r="F1636" t="s">
        <v>28669</v>
      </c>
      <c r="G1636" t="s">
        <v>28677</v>
      </c>
      <c r="H1636" t="s">
        <v>9998</v>
      </c>
      <c r="I1636" t="s">
        <v>7352</v>
      </c>
      <c r="J1636" t="s">
        <v>29959</v>
      </c>
      <c r="K1636" t="s">
        <v>37204</v>
      </c>
      <c r="M1636" t="s">
        <v>38102</v>
      </c>
      <c r="N1636" t="s">
        <v>41249</v>
      </c>
      <c r="O1636" t="s">
        <v>41250</v>
      </c>
      <c r="P1636">
        <v>0</v>
      </c>
      <c r="Q1636">
        <v>0</v>
      </c>
      <c r="R1636" t="s">
        <v>41251</v>
      </c>
      <c r="S1636" t="s">
        <v>41369</v>
      </c>
      <c r="T1636" t="s">
        <v>42673</v>
      </c>
      <c r="U1636" t="s">
        <v>44621</v>
      </c>
      <c r="W1636" t="s">
        <v>38102</v>
      </c>
      <c r="X1636" t="s">
        <v>41252</v>
      </c>
    </row>
    <row r="1637" spans="1:24">
      <c r="A1637">
        <f>HYPERLINK("https://www.philgeps.gov.ph/GEPSNONPILOT/Tender/SplashBidNoticeAbstractUI.aspx?menuIndex=3&amp;refID=7078078&amp;Result=3","7078078")</f>
        <v>0</v>
      </c>
      <c r="B1637" t="s">
        <v>186</v>
      </c>
      <c r="C1637" t="s">
        <v>4952</v>
      </c>
      <c r="D1637" t="s">
        <v>16654</v>
      </c>
      <c r="E1637" t="s">
        <v>18248</v>
      </c>
      <c r="F1637" t="s">
        <v>28669</v>
      </c>
      <c r="G1637" t="s">
        <v>28676</v>
      </c>
      <c r="H1637" t="s">
        <v>9998</v>
      </c>
      <c r="I1637" t="s">
        <v>28693</v>
      </c>
      <c r="J1637" t="s">
        <v>29522</v>
      </c>
      <c r="K1637" t="s">
        <v>37205</v>
      </c>
      <c r="M1637" t="s">
        <v>37664</v>
      </c>
      <c r="N1637" t="s">
        <v>41249</v>
      </c>
      <c r="O1637" t="s">
        <v>41250</v>
      </c>
      <c r="P1637">
        <v>0</v>
      </c>
      <c r="Q1637">
        <v>11</v>
      </c>
      <c r="R1637" t="s">
        <v>41251</v>
      </c>
      <c r="S1637" t="s">
        <v>41369</v>
      </c>
      <c r="T1637" t="s">
        <v>42675</v>
      </c>
      <c r="U1637" t="s">
        <v>44622</v>
      </c>
      <c r="W1637" t="s">
        <v>37664</v>
      </c>
      <c r="X1637" t="s">
        <v>41252</v>
      </c>
    </row>
    <row r="1638" spans="1:24">
      <c r="A1638">
        <f>HYPERLINK("https://www.philgeps.gov.ph/GEPSNONPILOT/Tender/SplashBidNoticeAbstractUI.aspx?menuIndex=3&amp;refID=7078119&amp;Result=3","7078119")</f>
        <v>0</v>
      </c>
      <c r="B1638" t="s">
        <v>696</v>
      </c>
      <c r="C1638" t="s">
        <v>4953</v>
      </c>
      <c r="D1638" t="s">
        <v>16611</v>
      </c>
      <c r="E1638" t="s">
        <v>18249</v>
      </c>
      <c r="F1638" t="s">
        <v>28669</v>
      </c>
      <c r="G1638" t="s">
        <v>28676</v>
      </c>
      <c r="H1638" t="s">
        <v>9998</v>
      </c>
      <c r="I1638" t="s">
        <v>28773</v>
      </c>
      <c r="J1638" t="s">
        <v>29960</v>
      </c>
      <c r="K1638" t="s">
        <v>37206</v>
      </c>
      <c r="M1638" t="s">
        <v>38201</v>
      </c>
      <c r="N1638" t="s">
        <v>41249</v>
      </c>
      <c r="O1638" t="s">
        <v>41250</v>
      </c>
      <c r="P1638">
        <v>0</v>
      </c>
      <c r="Q1638">
        <v>3</v>
      </c>
      <c r="R1638" t="s">
        <v>41251</v>
      </c>
      <c r="S1638" t="s">
        <v>41369</v>
      </c>
      <c r="T1638" t="s">
        <v>42738</v>
      </c>
      <c r="U1638" t="s">
        <v>44623</v>
      </c>
      <c r="W1638" t="s">
        <v>38201</v>
      </c>
      <c r="X1638" t="s">
        <v>41252</v>
      </c>
    </row>
    <row r="1639" spans="1:24">
      <c r="A1639">
        <f>HYPERLINK("https://www.philgeps.gov.ph/GEPSNONPILOT/Tender/SplashBidNoticeAbstractUI.aspx?menuIndex=3&amp;refID=7078056&amp;Result=3","7078056")</f>
        <v>0</v>
      </c>
      <c r="B1639" t="s">
        <v>696</v>
      </c>
      <c r="C1639" t="s">
        <v>4954</v>
      </c>
      <c r="D1639" t="s">
        <v>16647</v>
      </c>
      <c r="E1639" t="s">
        <v>18250</v>
      </c>
      <c r="F1639" t="s">
        <v>28669</v>
      </c>
      <c r="G1639" t="s">
        <v>28676</v>
      </c>
      <c r="H1639" t="s">
        <v>9998</v>
      </c>
      <c r="I1639" t="s">
        <v>28722</v>
      </c>
      <c r="J1639" t="s">
        <v>28854</v>
      </c>
      <c r="K1639" t="s">
        <v>37206</v>
      </c>
      <c r="M1639" t="s">
        <v>38201</v>
      </c>
      <c r="N1639" t="s">
        <v>41249</v>
      </c>
      <c r="O1639" t="s">
        <v>41250</v>
      </c>
      <c r="P1639">
        <v>0</v>
      </c>
      <c r="Q1639">
        <v>0</v>
      </c>
      <c r="R1639" t="s">
        <v>41251</v>
      </c>
      <c r="S1639" t="s">
        <v>41369</v>
      </c>
      <c r="T1639" t="s">
        <v>42738</v>
      </c>
      <c r="U1639" t="s">
        <v>44624</v>
      </c>
      <c r="W1639" t="s">
        <v>38201</v>
      </c>
      <c r="X1639" t="s">
        <v>41252</v>
      </c>
    </row>
    <row r="1640" spans="1:24">
      <c r="A1640">
        <f>HYPERLINK("https://www.philgeps.gov.ph/GEPSNONPILOT/Tender/SplashBidNoticeAbstractUI.aspx?menuIndex=3&amp;refID=7078115&amp;Result=3","7078115")</f>
        <v>0</v>
      </c>
      <c r="B1640" t="s">
        <v>114</v>
      </c>
      <c r="C1640" t="s">
        <v>4955</v>
      </c>
      <c r="D1640" t="s">
        <v>16608</v>
      </c>
      <c r="E1640" t="s">
        <v>18251</v>
      </c>
      <c r="F1640" t="s">
        <v>28669</v>
      </c>
      <c r="G1640" t="s">
        <v>28677</v>
      </c>
      <c r="H1640" t="s">
        <v>9998</v>
      </c>
      <c r="I1640" t="s">
        <v>5213</v>
      </c>
      <c r="J1640" t="s">
        <v>29263</v>
      </c>
      <c r="K1640" t="s">
        <v>37210</v>
      </c>
      <c r="M1640" t="s">
        <v>38210</v>
      </c>
      <c r="N1640" t="s">
        <v>41249</v>
      </c>
      <c r="O1640" t="s">
        <v>41250</v>
      </c>
      <c r="P1640">
        <v>0</v>
      </c>
      <c r="Q1640">
        <v>1</v>
      </c>
      <c r="R1640" t="s">
        <v>41251</v>
      </c>
      <c r="S1640" t="s">
        <v>41369</v>
      </c>
      <c r="T1640" t="s">
        <v>42725</v>
      </c>
      <c r="U1640" t="s">
        <v>44625</v>
      </c>
      <c r="V1640" t="s">
        <v>54435</v>
      </c>
      <c r="W1640" t="s">
        <v>38210</v>
      </c>
      <c r="X1640" t="s">
        <v>41252</v>
      </c>
    </row>
    <row r="1641" spans="1:24">
      <c r="A1641">
        <f>HYPERLINK("https://www.philgeps.gov.ph/GEPSNONPILOT/Tender/SplashBidNoticeAbstractUI.aspx?menuIndex=3&amp;refID=7078112&amp;Result=3","7078112")</f>
        <v>0</v>
      </c>
      <c r="B1641" t="s">
        <v>656</v>
      </c>
      <c r="C1641" t="s">
        <v>4956</v>
      </c>
      <c r="D1641" t="s">
        <v>16657</v>
      </c>
      <c r="E1641" t="s">
        <v>18252</v>
      </c>
      <c r="F1641" t="s">
        <v>28669</v>
      </c>
      <c r="G1641" t="s">
        <v>28676</v>
      </c>
      <c r="H1641" t="s">
        <v>9998</v>
      </c>
      <c r="I1641" t="s">
        <v>28742</v>
      </c>
      <c r="J1641" t="s">
        <v>29961</v>
      </c>
      <c r="K1641" t="s">
        <v>37223</v>
      </c>
      <c r="M1641" t="s">
        <v>38157</v>
      </c>
      <c r="N1641" t="s">
        <v>41249</v>
      </c>
      <c r="O1641" t="s">
        <v>41250</v>
      </c>
      <c r="P1641">
        <v>0</v>
      </c>
      <c r="Q1641">
        <v>3</v>
      </c>
      <c r="R1641" t="s">
        <v>41251</v>
      </c>
      <c r="S1641" t="s">
        <v>41369</v>
      </c>
      <c r="T1641" t="s">
        <v>42671</v>
      </c>
      <c r="U1641" t="s">
        <v>44626</v>
      </c>
      <c r="W1641" t="s">
        <v>38157</v>
      </c>
      <c r="X1641" t="s">
        <v>41252</v>
      </c>
    </row>
    <row r="1642" spans="1:24">
      <c r="A1642">
        <f>HYPERLINK("https://www.philgeps.gov.ph/GEPSNONPILOT/Tender/SplashBidNoticeAbstractUI.aspx?menuIndex=3&amp;refID=7078108&amp;Result=3","7078108")</f>
        <v>0</v>
      </c>
      <c r="B1642" t="s">
        <v>197</v>
      </c>
      <c r="C1642" t="s">
        <v>4957</v>
      </c>
      <c r="D1642" t="s">
        <v>16609</v>
      </c>
      <c r="E1642" t="s">
        <v>18253</v>
      </c>
      <c r="F1642" t="s">
        <v>28669</v>
      </c>
      <c r="G1642" t="s">
        <v>28682</v>
      </c>
      <c r="H1642" t="s">
        <v>28686</v>
      </c>
      <c r="I1642" t="s">
        <v>28689</v>
      </c>
      <c r="J1642" t="s">
        <v>29826</v>
      </c>
      <c r="K1642" t="s">
        <v>37214</v>
      </c>
      <c r="M1642" t="s">
        <v>37675</v>
      </c>
      <c r="N1642" t="s">
        <v>41249</v>
      </c>
      <c r="O1642" t="s">
        <v>41250</v>
      </c>
      <c r="P1642">
        <v>0</v>
      </c>
      <c r="Q1642">
        <v>0</v>
      </c>
      <c r="R1642" t="s">
        <v>41251</v>
      </c>
      <c r="S1642" t="s">
        <v>41369</v>
      </c>
      <c r="T1642" t="s">
        <v>42688</v>
      </c>
      <c r="U1642" t="s">
        <v>44627</v>
      </c>
      <c r="W1642" t="s">
        <v>37675</v>
      </c>
      <c r="X1642" t="s">
        <v>41252</v>
      </c>
    </row>
    <row r="1643" spans="1:24">
      <c r="A1643">
        <f>HYPERLINK("https://www.philgeps.gov.ph/GEPSNONPILOT/Tender/SplashBidNoticeAbstractUI.aspx?menuIndex=3&amp;refID=7078107&amp;Result=3","7078107")</f>
        <v>0</v>
      </c>
      <c r="B1643" t="s">
        <v>210</v>
      </c>
      <c r="C1643" t="s">
        <v>4958</v>
      </c>
      <c r="D1643" t="s">
        <v>16633</v>
      </c>
      <c r="E1643" t="s">
        <v>18254</v>
      </c>
      <c r="F1643" t="s">
        <v>28669</v>
      </c>
      <c r="G1643" t="s">
        <v>28675</v>
      </c>
      <c r="H1643" t="s">
        <v>28686</v>
      </c>
      <c r="I1643" t="s">
        <v>28689</v>
      </c>
      <c r="J1643" t="s">
        <v>29962</v>
      </c>
      <c r="K1643" t="s">
        <v>37226</v>
      </c>
      <c r="M1643" t="s">
        <v>37688</v>
      </c>
      <c r="N1643" t="s">
        <v>41249</v>
      </c>
      <c r="O1643" t="s">
        <v>41250</v>
      </c>
      <c r="P1643">
        <v>0</v>
      </c>
      <c r="Q1643">
        <v>0</v>
      </c>
      <c r="R1643" t="s">
        <v>41251</v>
      </c>
      <c r="S1643" t="s">
        <v>41369</v>
      </c>
      <c r="T1643" t="s">
        <v>42661</v>
      </c>
      <c r="U1643" t="s">
        <v>44628</v>
      </c>
      <c r="V1643" t="s">
        <v>54451</v>
      </c>
      <c r="W1643" t="s">
        <v>37688</v>
      </c>
      <c r="X1643" t="s">
        <v>41252</v>
      </c>
    </row>
    <row r="1644" spans="1:24">
      <c r="A1644">
        <f>HYPERLINK("https://www.philgeps.gov.ph/GEPSNONPILOT/Tender/SplashBidNoticeAbstractUI.aspx?menuIndex=3&amp;refID=7078090&amp;Result=3","7078090")</f>
        <v>0</v>
      </c>
      <c r="B1644" t="s">
        <v>317</v>
      </c>
      <c r="C1644" t="s">
        <v>4959</v>
      </c>
      <c r="D1644" t="s">
        <v>16608</v>
      </c>
      <c r="E1644" t="s">
        <v>18255</v>
      </c>
      <c r="F1644" t="s">
        <v>28669</v>
      </c>
      <c r="G1644" t="s">
        <v>28676</v>
      </c>
      <c r="H1644" t="s">
        <v>9998</v>
      </c>
      <c r="I1644" t="s">
        <v>28689</v>
      </c>
      <c r="J1644" t="s">
        <v>28894</v>
      </c>
      <c r="K1644" t="s">
        <v>37229</v>
      </c>
      <c r="M1644" t="s">
        <v>38250</v>
      </c>
      <c r="N1644" t="s">
        <v>41249</v>
      </c>
      <c r="O1644" t="s">
        <v>41250</v>
      </c>
      <c r="P1644">
        <v>0</v>
      </c>
      <c r="Q1644">
        <v>0</v>
      </c>
      <c r="R1644" t="s">
        <v>41251</v>
      </c>
      <c r="S1644" t="s">
        <v>41369</v>
      </c>
      <c r="T1644" t="s">
        <v>42679</v>
      </c>
      <c r="U1644" t="s">
        <v>44629</v>
      </c>
      <c r="W1644" t="s">
        <v>38250</v>
      </c>
      <c r="X1644" t="s">
        <v>41252</v>
      </c>
    </row>
    <row r="1645" spans="1:24">
      <c r="A1645">
        <f>HYPERLINK("https://www.philgeps.gov.ph/GEPSNONPILOT/Tender/SplashBidNoticeAbstractUI.aspx?menuIndex=3&amp;refID=7078060&amp;Result=3","7078060")</f>
        <v>0</v>
      </c>
      <c r="B1645" t="s">
        <v>628</v>
      </c>
      <c r="C1645" t="s">
        <v>4960</v>
      </c>
      <c r="D1645" t="s">
        <v>16621</v>
      </c>
      <c r="E1645" t="s">
        <v>18256</v>
      </c>
      <c r="F1645" t="s">
        <v>28669</v>
      </c>
      <c r="G1645" t="s">
        <v>28675</v>
      </c>
      <c r="H1645" t="s">
        <v>9998</v>
      </c>
      <c r="I1645" t="s">
        <v>28704</v>
      </c>
      <c r="J1645" t="s">
        <v>29963</v>
      </c>
      <c r="K1645" t="s">
        <v>37220</v>
      </c>
      <c r="M1645" t="s">
        <v>38128</v>
      </c>
      <c r="N1645" t="s">
        <v>41249</v>
      </c>
      <c r="O1645" t="s">
        <v>41250</v>
      </c>
      <c r="P1645">
        <v>0</v>
      </c>
      <c r="Q1645">
        <v>0</v>
      </c>
      <c r="R1645" t="s">
        <v>41251</v>
      </c>
      <c r="S1645" t="s">
        <v>41369</v>
      </c>
      <c r="T1645" t="s">
        <v>42818</v>
      </c>
      <c r="U1645" t="s">
        <v>44630</v>
      </c>
      <c r="V1645" t="s">
        <v>54406</v>
      </c>
      <c r="W1645" t="s">
        <v>38128</v>
      </c>
      <c r="X1645" t="s">
        <v>41252</v>
      </c>
    </row>
    <row r="1646" spans="1:24">
      <c r="A1646">
        <f>HYPERLINK("https://www.philgeps.gov.ph/GEPSNONPILOT/Tender/SplashBidNoticeAbstractUI.aspx?menuIndex=3&amp;refID=7078106&amp;Result=3","7078106")</f>
        <v>0</v>
      </c>
      <c r="B1646" t="s">
        <v>741</v>
      </c>
      <c r="C1646" t="s">
        <v>4961</v>
      </c>
      <c r="D1646" t="s">
        <v>16668</v>
      </c>
      <c r="E1646" t="s">
        <v>18257</v>
      </c>
      <c r="F1646" t="s">
        <v>28669</v>
      </c>
      <c r="G1646" t="s">
        <v>28676</v>
      </c>
      <c r="H1646" t="s">
        <v>28685</v>
      </c>
      <c r="I1646" t="s">
        <v>28685</v>
      </c>
      <c r="J1646" t="s">
        <v>29952</v>
      </c>
      <c r="K1646" t="s">
        <v>37243</v>
      </c>
      <c r="M1646" t="s">
        <v>38251</v>
      </c>
      <c r="N1646" t="s">
        <v>41249</v>
      </c>
      <c r="O1646" t="s">
        <v>41250</v>
      </c>
      <c r="P1646">
        <v>0</v>
      </c>
      <c r="Q1646">
        <v>0</v>
      </c>
      <c r="R1646" t="s">
        <v>41251</v>
      </c>
      <c r="S1646" t="s">
        <v>41369</v>
      </c>
      <c r="T1646" t="s">
        <v>42673</v>
      </c>
      <c r="U1646" t="s">
        <v>44631</v>
      </c>
      <c r="W1646" t="s">
        <v>55929</v>
      </c>
      <c r="X1646" t="s">
        <v>41252</v>
      </c>
    </row>
    <row r="1647" spans="1:24">
      <c r="A1647">
        <f>HYPERLINK("https://www.philgeps.gov.ph/GEPSNONPILOT/Tender/SplashBidNoticeAbstractUI.aspx?menuIndex=3&amp;refID=7078117&amp;Result=3","7078117")</f>
        <v>0</v>
      </c>
      <c r="B1647" t="s">
        <v>740</v>
      </c>
      <c r="C1647" t="s">
        <v>4962</v>
      </c>
      <c r="D1647" t="s">
        <v>16625</v>
      </c>
      <c r="E1647" t="s">
        <v>17251</v>
      </c>
      <c r="F1647" t="s">
        <v>28669</v>
      </c>
      <c r="G1647" t="s">
        <v>28675</v>
      </c>
      <c r="H1647" t="s">
        <v>28686</v>
      </c>
      <c r="I1647" t="s">
        <v>28689</v>
      </c>
      <c r="J1647" t="s">
        <v>29964</v>
      </c>
      <c r="K1647" t="s">
        <v>37215</v>
      </c>
      <c r="M1647" t="s">
        <v>38249</v>
      </c>
      <c r="N1647" t="s">
        <v>41249</v>
      </c>
      <c r="O1647" t="s">
        <v>41250</v>
      </c>
      <c r="P1647">
        <v>0</v>
      </c>
      <c r="Q1647">
        <v>0</v>
      </c>
      <c r="R1647" t="s">
        <v>41251</v>
      </c>
      <c r="S1647" t="s">
        <v>41369</v>
      </c>
      <c r="T1647" t="s">
        <v>42834</v>
      </c>
      <c r="U1647" t="s">
        <v>44632</v>
      </c>
      <c r="W1647" t="s">
        <v>38249</v>
      </c>
      <c r="X1647" t="s">
        <v>41252</v>
      </c>
    </row>
    <row r="1648" spans="1:24">
      <c r="A1648">
        <f>HYPERLINK("https://www.philgeps.gov.ph/GEPSNONPILOT/Tender/SplashBidNoticeAbstractUI.aspx?menuIndex=3&amp;refID=7078126&amp;Result=3","7078126")</f>
        <v>0</v>
      </c>
      <c r="B1648" t="s">
        <v>732</v>
      </c>
      <c r="C1648" t="s">
        <v>4963</v>
      </c>
      <c r="D1648" t="s">
        <v>16608</v>
      </c>
      <c r="E1648" t="s">
        <v>18258</v>
      </c>
      <c r="F1648" t="s">
        <v>28669</v>
      </c>
      <c r="G1648" t="s">
        <v>28675</v>
      </c>
      <c r="H1648" t="s">
        <v>28684</v>
      </c>
      <c r="I1648" t="s">
        <v>11593</v>
      </c>
      <c r="J1648" t="s">
        <v>29655</v>
      </c>
      <c r="K1648" t="s">
        <v>37213</v>
      </c>
      <c r="M1648" t="s">
        <v>38240</v>
      </c>
      <c r="N1648" t="s">
        <v>41249</v>
      </c>
      <c r="O1648" t="s">
        <v>41250</v>
      </c>
      <c r="P1648">
        <v>0</v>
      </c>
      <c r="Q1648">
        <v>11</v>
      </c>
      <c r="R1648" t="s">
        <v>41251</v>
      </c>
      <c r="S1648" t="s">
        <v>41369</v>
      </c>
      <c r="T1648" t="s">
        <v>42669</v>
      </c>
      <c r="U1648" t="s">
        <v>44633</v>
      </c>
      <c r="W1648" t="s">
        <v>38240</v>
      </c>
      <c r="X1648" t="s">
        <v>41252</v>
      </c>
    </row>
    <row r="1649" spans="1:24">
      <c r="A1649">
        <f>HYPERLINK("https://www.philgeps.gov.ph/GEPSNONPILOT/Tender/SplashBidNoticeAbstractUI.aspx?menuIndex=3&amp;refID=7078095&amp;Result=3","7078095")</f>
        <v>0</v>
      </c>
      <c r="B1649" t="s">
        <v>308</v>
      </c>
      <c r="C1649" t="s">
        <v>4964</v>
      </c>
      <c r="D1649" t="s">
        <v>16647</v>
      </c>
      <c r="E1649" t="s">
        <v>18259</v>
      </c>
      <c r="F1649" t="s">
        <v>28669</v>
      </c>
      <c r="G1649" t="s">
        <v>28675</v>
      </c>
      <c r="H1649" t="s">
        <v>28686</v>
      </c>
      <c r="I1649" t="s">
        <v>28689</v>
      </c>
      <c r="J1649" t="s">
        <v>28881</v>
      </c>
      <c r="K1649" t="s">
        <v>37215</v>
      </c>
      <c r="M1649" t="s">
        <v>38223</v>
      </c>
      <c r="N1649" t="s">
        <v>41249</v>
      </c>
      <c r="O1649" t="s">
        <v>41250</v>
      </c>
      <c r="P1649">
        <v>0</v>
      </c>
      <c r="Q1649">
        <v>1</v>
      </c>
      <c r="R1649" t="s">
        <v>41251</v>
      </c>
      <c r="S1649" t="s">
        <v>41369</v>
      </c>
      <c r="T1649" t="s">
        <v>42716</v>
      </c>
      <c r="U1649" t="s">
        <v>44568</v>
      </c>
      <c r="W1649" t="s">
        <v>38223</v>
      </c>
      <c r="X1649" t="s">
        <v>41252</v>
      </c>
    </row>
    <row r="1650" spans="1:24">
      <c r="A1650">
        <f>HYPERLINK("https://www.philgeps.gov.ph/GEPSNONPILOT/Tender/SplashBidNoticeAbstractUI.aspx?menuIndex=3&amp;refID=7078086&amp;Result=3","7078086")</f>
        <v>0</v>
      </c>
      <c r="B1650" t="s">
        <v>742</v>
      </c>
      <c r="C1650" t="s">
        <v>4965</v>
      </c>
      <c r="D1650" t="s">
        <v>16634</v>
      </c>
      <c r="E1650" t="s">
        <v>6569</v>
      </c>
      <c r="F1650" t="s">
        <v>28669</v>
      </c>
      <c r="G1650" t="s">
        <v>28675</v>
      </c>
      <c r="H1650" t="s">
        <v>28686</v>
      </c>
      <c r="I1650" t="s">
        <v>28689</v>
      </c>
      <c r="J1650" t="s">
        <v>29965</v>
      </c>
      <c r="K1650" t="s">
        <v>37239</v>
      </c>
      <c r="M1650" t="s">
        <v>38252</v>
      </c>
      <c r="N1650" t="s">
        <v>41249</v>
      </c>
      <c r="O1650" t="s">
        <v>41250</v>
      </c>
      <c r="P1650">
        <v>0</v>
      </c>
      <c r="Q1650">
        <v>0</v>
      </c>
      <c r="R1650" t="s">
        <v>41251</v>
      </c>
      <c r="S1650" t="s">
        <v>41369</v>
      </c>
      <c r="T1650" t="s">
        <v>42662</v>
      </c>
      <c r="U1650" t="s">
        <v>44634</v>
      </c>
      <c r="W1650" t="s">
        <v>38252</v>
      </c>
      <c r="X1650" t="s">
        <v>41252</v>
      </c>
    </row>
    <row r="1651" spans="1:24">
      <c r="A1651">
        <f>HYPERLINK("https://www.philgeps.gov.ph/GEPSNONPILOT/Tender/SplashBidNoticeAbstractUI.aspx?menuIndex=3&amp;refID=7078111&amp;Result=3","7078111")</f>
        <v>0</v>
      </c>
      <c r="B1651" t="s">
        <v>743</v>
      </c>
      <c r="C1651" t="s">
        <v>4966</v>
      </c>
      <c r="D1651" t="s">
        <v>16629</v>
      </c>
      <c r="E1651" t="s">
        <v>18260</v>
      </c>
      <c r="F1651" t="s">
        <v>28669</v>
      </c>
      <c r="G1651" t="s">
        <v>28675</v>
      </c>
      <c r="H1651" t="s">
        <v>9998</v>
      </c>
      <c r="I1651" t="s">
        <v>28714</v>
      </c>
      <c r="J1651" t="s">
        <v>29966</v>
      </c>
      <c r="K1651" t="s">
        <v>37220</v>
      </c>
      <c r="M1651" t="s">
        <v>38253</v>
      </c>
      <c r="N1651" t="s">
        <v>41249</v>
      </c>
      <c r="O1651" t="s">
        <v>41250</v>
      </c>
      <c r="P1651">
        <v>0</v>
      </c>
      <c r="Q1651">
        <v>3</v>
      </c>
      <c r="R1651" t="s">
        <v>41251</v>
      </c>
      <c r="S1651" t="s">
        <v>41369</v>
      </c>
      <c r="T1651" t="s">
        <v>42835</v>
      </c>
      <c r="U1651" t="s">
        <v>44635</v>
      </c>
      <c r="V1651" t="s">
        <v>54252</v>
      </c>
      <c r="W1651" t="s">
        <v>38253</v>
      </c>
      <c r="X1651" t="s">
        <v>41252</v>
      </c>
    </row>
    <row r="1652" spans="1:24">
      <c r="A1652">
        <f>HYPERLINK("https://www.philgeps.gov.ph/GEPSNONPILOT/Tender/SplashBidNoticeAbstractUI.aspx?menuIndex=3&amp;refID=7078121&amp;Result=3","7078121")</f>
        <v>0</v>
      </c>
      <c r="B1652" t="s">
        <v>744</v>
      </c>
      <c r="C1652" t="s">
        <v>4967</v>
      </c>
      <c r="D1652" t="s">
        <v>16608</v>
      </c>
      <c r="E1652" t="s">
        <v>18261</v>
      </c>
      <c r="F1652" t="s">
        <v>28669</v>
      </c>
      <c r="G1652" t="s">
        <v>28676</v>
      </c>
      <c r="H1652" t="s">
        <v>9998</v>
      </c>
      <c r="I1652" t="s">
        <v>7352</v>
      </c>
      <c r="J1652" t="s">
        <v>29967</v>
      </c>
      <c r="K1652" t="s">
        <v>37220</v>
      </c>
      <c r="M1652" t="s">
        <v>38254</v>
      </c>
      <c r="N1652" t="s">
        <v>41249</v>
      </c>
      <c r="O1652" t="s">
        <v>41250</v>
      </c>
      <c r="P1652">
        <v>0</v>
      </c>
      <c r="Q1652">
        <v>5</v>
      </c>
      <c r="R1652" t="s">
        <v>41251</v>
      </c>
      <c r="S1652" t="s">
        <v>41369</v>
      </c>
      <c r="T1652" t="s">
        <v>42738</v>
      </c>
      <c r="U1652" t="s">
        <v>44636</v>
      </c>
      <c r="V1652" t="s">
        <v>54452</v>
      </c>
      <c r="W1652" t="s">
        <v>38254</v>
      </c>
      <c r="X1652" t="s">
        <v>41252</v>
      </c>
    </row>
    <row r="1653" spans="1:24">
      <c r="A1653">
        <f>HYPERLINK("https://www.philgeps.gov.ph/GEPSNONPILOT/Tender/SplashBidNoticeAbstractUI.aspx?menuIndex=3&amp;refID=7078098&amp;Result=3","7078098")</f>
        <v>0</v>
      </c>
      <c r="B1653" t="s">
        <v>606</v>
      </c>
      <c r="C1653" t="s">
        <v>4968</v>
      </c>
      <c r="D1653" t="s">
        <v>16616</v>
      </c>
      <c r="E1653" t="s">
        <v>18262</v>
      </c>
      <c r="F1653" t="s">
        <v>28669</v>
      </c>
      <c r="G1653" t="s">
        <v>28675</v>
      </c>
      <c r="H1653" t="s">
        <v>28686</v>
      </c>
      <c r="I1653" t="s">
        <v>28689</v>
      </c>
      <c r="J1653" t="s">
        <v>29968</v>
      </c>
      <c r="K1653" t="s">
        <v>37212</v>
      </c>
      <c r="M1653" t="s">
        <v>38106</v>
      </c>
      <c r="N1653" t="s">
        <v>41249</v>
      </c>
      <c r="O1653" t="s">
        <v>41250</v>
      </c>
      <c r="P1653">
        <v>0</v>
      </c>
      <c r="Q1653">
        <v>2</v>
      </c>
      <c r="R1653" t="s">
        <v>41251</v>
      </c>
      <c r="S1653" t="s">
        <v>41369</v>
      </c>
      <c r="T1653" t="s">
        <v>42692</v>
      </c>
      <c r="U1653" t="s">
        <v>44637</v>
      </c>
      <c r="V1653" t="s">
        <v>54453</v>
      </c>
      <c r="W1653" t="s">
        <v>38106</v>
      </c>
      <c r="X1653" t="s">
        <v>41252</v>
      </c>
    </row>
    <row r="1654" spans="1:24">
      <c r="A1654">
        <f>HYPERLINK("https://www.philgeps.gov.ph/GEPSNONPILOT/Tender/SplashBidNoticeAbstractUI.aspx?menuIndex=3&amp;refID=7078101&amp;Result=3","7078101")</f>
        <v>0</v>
      </c>
      <c r="B1654" t="s">
        <v>745</v>
      </c>
      <c r="C1654" t="s">
        <v>4969</v>
      </c>
      <c r="D1654" t="s">
        <v>16619</v>
      </c>
      <c r="E1654" t="s">
        <v>18263</v>
      </c>
      <c r="F1654" t="s">
        <v>28669</v>
      </c>
      <c r="G1654" t="s">
        <v>28677</v>
      </c>
      <c r="H1654" t="s">
        <v>9998</v>
      </c>
      <c r="I1654" t="s">
        <v>8667</v>
      </c>
      <c r="J1654" t="s">
        <v>29969</v>
      </c>
      <c r="K1654" t="s">
        <v>37208</v>
      </c>
      <c r="M1654" t="s">
        <v>38255</v>
      </c>
      <c r="N1654" t="s">
        <v>41249</v>
      </c>
      <c r="O1654" t="s">
        <v>41250</v>
      </c>
      <c r="P1654">
        <v>0</v>
      </c>
      <c r="Q1654">
        <v>0</v>
      </c>
      <c r="R1654" t="s">
        <v>41251</v>
      </c>
      <c r="S1654" t="s">
        <v>41369</v>
      </c>
      <c r="T1654" t="s">
        <v>42736</v>
      </c>
      <c r="U1654" t="s">
        <v>44638</v>
      </c>
      <c r="V1654" t="s">
        <v>54454</v>
      </c>
      <c r="W1654" t="s">
        <v>38255</v>
      </c>
      <c r="X1654" t="s">
        <v>41252</v>
      </c>
    </row>
    <row r="1655" spans="1:24">
      <c r="A1655">
        <f>HYPERLINK("https://www.philgeps.gov.ph/GEPSNONPILOT/Tender/SplashBidNoticeAbstractUI.aspx?menuIndex=3&amp;refID=7078100&amp;Result=3","7078100")</f>
        <v>0</v>
      </c>
      <c r="B1655" t="s">
        <v>746</v>
      </c>
      <c r="C1655" t="s">
        <v>4970</v>
      </c>
      <c r="D1655" t="s">
        <v>16643</v>
      </c>
      <c r="E1655" t="s">
        <v>18264</v>
      </c>
      <c r="F1655" t="s">
        <v>28669</v>
      </c>
      <c r="G1655" t="s">
        <v>28677</v>
      </c>
      <c r="H1655" t="s">
        <v>9998</v>
      </c>
      <c r="I1655" t="s">
        <v>28697</v>
      </c>
      <c r="J1655" t="s">
        <v>29183</v>
      </c>
      <c r="K1655" t="s">
        <v>37205</v>
      </c>
      <c r="M1655" t="s">
        <v>38256</v>
      </c>
      <c r="N1655" t="s">
        <v>41249</v>
      </c>
      <c r="O1655" t="s">
        <v>41250</v>
      </c>
      <c r="P1655">
        <v>0</v>
      </c>
      <c r="Q1655">
        <v>0</v>
      </c>
      <c r="R1655" t="s">
        <v>41251</v>
      </c>
      <c r="S1655" t="s">
        <v>41369</v>
      </c>
      <c r="T1655" t="s">
        <v>42754</v>
      </c>
      <c r="U1655" t="s">
        <v>44639</v>
      </c>
      <c r="W1655" t="s">
        <v>38256</v>
      </c>
      <c r="X1655" t="s">
        <v>41252</v>
      </c>
    </row>
    <row r="1656" spans="1:24">
      <c r="A1656">
        <f>HYPERLINK("https://www.philgeps.gov.ph/GEPSNONPILOT/Tender/SplashBidNoticeAbstractUI.aspx?menuIndex=3&amp;refID=7078123&amp;Result=3","7078123")</f>
        <v>0</v>
      </c>
      <c r="B1656" t="s">
        <v>232</v>
      </c>
      <c r="C1656" t="s">
        <v>4971</v>
      </c>
      <c r="D1656" t="s">
        <v>16618</v>
      </c>
      <c r="E1656" t="s">
        <v>18265</v>
      </c>
      <c r="F1656" t="s">
        <v>28669</v>
      </c>
      <c r="G1656" t="s">
        <v>28676</v>
      </c>
      <c r="H1656" t="s">
        <v>9998</v>
      </c>
      <c r="I1656" t="s">
        <v>28696</v>
      </c>
      <c r="J1656" t="s">
        <v>29204</v>
      </c>
      <c r="K1656" t="s">
        <v>37209</v>
      </c>
      <c r="M1656" t="s">
        <v>37710</v>
      </c>
      <c r="N1656" t="s">
        <v>41249</v>
      </c>
      <c r="O1656" t="s">
        <v>41250</v>
      </c>
      <c r="P1656">
        <v>0</v>
      </c>
      <c r="Q1656">
        <v>0</v>
      </c>
      <c r="R1656" t="s">
        <v>41251</v>
      </c>
      <c r="S1656" t="s">
        <v>41369</v>
      </c>
      <c r="T1656" t="s">
        <v>42717</v>
      </c>
      <c r="U1656" t="s">
        <v>44640</v>
      </c>
      <c r="W1656" t="s">
        <v>37710</v>
      </c>
      <c r="X1656" t="s">
        <v>41252</v>
      </c>
    </row>
    <row r="1657" spans="1:24">
      <c r="A1657">
        <f>HYPERLINK("https://www.philgeps.gov.ph/GEPSNONPILOT/Tender/SplashBidNoticeAbstractUI.aspx?menuIndex=3&amp;refID=7078129&amp;Result=3","7078129")</f>
        <v>0</v>
      </c>
      <c r="B1657" t="s">
        <v>531</v>
      </c>
      <c r="C1657" t="s">
        <v>4972</v>
      </c>
      <c r="D1657" t="s">
        <v>16611</v>
      </c>
      <c r="E1657" t="s">
        <v>18266</v>
      </c>
      <c r="F1657" t="s">
        <v>28669</v>
      </c>
      <c r="G1657" t="s">
        <v>28677</v>
      </c>
      <c r="H1657" t="s">
        <v>9998</v>
      </c>
      <c r="I1657" t="s">
        <v>28775</v>
      </c>
      <c r="J1657" t="s">
        <v>29970</v>
      </c>
      <c r="K1657" t="s">
        <v>37210</v>
      </c>
      <c r="M1657" t="s">
        <v>38022</v>
      </c>
      <c r="N1657" t="s">
        <v>41249</v>
      </c>
      <c r="O1657" t="s">
        <v>41250</v>
      </c>
      <c r="P1657">
        <v>0</v>
      </c>
      <c r="Q1657">
        <v>0</v>
      </c>
      <c r="R1657" t="s">
        <v>41251</v>
      </c>
      <c r="S1657" t="s">
        <v>41369</v>
      </c>
      <c r="T1657" t="s">
        <v>42679</v>
      </c>
      <c r="U1657" t="s">
        <v>44641</v>
      </c>
      <c r="W1657" t="s">
        <v>38022</v>
      </c>
      <c r="X1657" t="s">
        <v>41252</v>
      </c>
    </row>
    <row r="1658" spans="1:24">
      <c r="A1658">
        <f>HYPERLINK("https://www.philgeps.gov.ph/GEPSNONPILOT/Tender/SplashBidNoticeAbstractUI.aspx?menuIndex=3&amp;refID=7078124&amp;Result=3","7078124")</f>
        <v>0</v>
      </c>
      <c r="B1658" t="s">
        <v>631</v>
      </c>
      <c r="C1658" t="s">
        <v>4973</v>
      </c>
      <c r="D1658" t="s">
        <v>16617</v>
      </c>
      <c r="E1658" t="s">
        <v>18267</v>
      </c>
      <c r="F1658" t="s">
        <v>28669</v>
      </c>
      <c r="G1658" t="s">
        <v>28676</v>
      </c>
      <c r="H1658" t="s">
        <v>9998</v>
      </c>
      <c r="I1658" t="s">
        <v>15140</v>
      </c>
      <c r="J1658" t="s">
        <v>29971</v>
      </c>
      <c r="K1658" t="s">
        <v>37240</v>
      </c>
      <c r="M1658" t="s">
        <v>38131</v>
      </c>
      <c r="N1658" t="s">
        <v>41249</v>
      </c>
      <c r="O1658" t="s">
        <v>41250</v>
      </c>
      <c r="P1658">
        <v>0</v>
      </c>
      <c r="Q1658">
        <v>0</v>
      </c>
      <c r="R1658" t="s">
        <v>41251</v>
      </c>
      <c r="S1658" t="s">
        <v>41369</v>
      </c>
      <c r="T1658" t="s">
        <v>42694</v>
      </c>
      <c r="U1658" t="s">
        <v>44642</v>
      </c>
      <c r="W1658" t="s">
        <v>38131</v>
      </c>
      <c r="X1658" t="s">
        <v>41252</v>
      </c>
    </row>
    <row r="1659" spans="1:24">
      <c r="A1659">
        <f>HYPERLINK("https://www.philgeps.gov.ph/GEPSNONPILOT/Tender/SplashBidNoticeAbstractUI.aspx?menuIndex=3&amp;refID=7078128&amp;Result=3","7078128")</f>
        <v>0</v>
      </c>
      <c r="B1659" t="s">
        <v>747</v>
      </c>
      <c r="C1659" t="s">
        <v>4974</v>
      </c>
      <c r="D1659" t="s">
        <v>16657</v>
      </c>
      <c r="E1659" t="s">
        <v>4974</v>
      </c>
      <c r="F1659" t="s">
        <v>28669</v>
      </c>
      <c r="G1659" t="s">
        <v>28675</v>
      </c>
      <c r="H1659" t="s">
        <v>9998</v>
      </c>
      <c r="I1659" t="s">
        <v>28756</v>
      </c>
      <c r="J1659" t="s">
        <v>28905</v>
      </c>
      <c r="K1659" t="s">
        <v>37243</v>
      </c>
      <c r="M1659" t="s">
        <v>38257</v>
      </c>
      <c r="N1659" t="s">
        <v>41249</v>
      </c>
      <c r="O1659" t="s">
        <v>41250</v>
      </c>
      <c r="P1659">
        <v>0</v>
      </c>
      <c r="Q1659">
        <v>0</v>
      </c>
      <c r="R1659" t="s">
        <v>41251</v>
      </c>
      <c r="S1659" t="s">
        <v>41369</v>
      </c>
      <c r="T1659" t="s">
        <v>42836</v>
      </c>
      <c r="U1659" t="s">
        <v>44643</v>
      </c>
      <c r="W1659" t="s">
        <v>38257</v>
      </c>
      <c r="X1659" t="s">
        <v>41252</v>
      </c>
    </row>
    <row r="1660" spans="1:24">
      <c r="A1660">
        <f>HYPERLINK("https://www.philgeps.gov.ph/GEPSNONPILOT/Tender/SplashBidNoticeAbstractUI.aspx?menuIndex=3&amp;refID=7078148&amp;Result=3","7078148")</f>
        <v>0</v>
      </c>
      <c r="B1660" t="s">
        <v>748</v>
      </c>
      <c r="C1660" t="s">
        <v>4975</v>
      </c>
      <c r="D1660" t="s">
        <v>16629</v>
      </c>
      <c r="E1660" t="s">
        <v>18268</v>
      </c>
      <c r="F1660" t="s">
        <v>28669</v>
      </c>
      <c r="G1660" t="s">
        <v>28676</v>
      </c>
      <c r="H1660" t="s">
        <v>9998</v>
      </c>
      <c r="I1660" t="s">
        <v>28722</v>
      </c>
      <c r="J1660" t="s">
        <v>29034</v>
      </c>
      <c r="K1660" t="s">
        <v>37220</v>
      </c>
      <c r="M1660" t="s">
        <v>38258</v>
      </c>
      <c r="N1660" t="s">
        <v>41249</v>
      </c>
      <c r="O1660" t="s">
        <v>41250</v>
      </c>
      <c r="P1660">
        <v>0</v>
      </c>
      <c r="Q1660">
        <v>2</v>
      </c>
      <c r="R1660" t="s">
        <v>41251</v>
      </c>
      <c r="S1660" t="s">
        <v>41369</v>
      </c>
      <c r="T1660" t="s">
        <v>42754</v>
      </c>
      <c r="U1660" t="s">
        <v>44644</v>
      </c>
      <c r="V1660" t="s">
        <v>54455</v>
      </c>
      <c r="W1660" t="s">
        <v>38258</v>
      </c>
      <c r="X1660" t="s">
        <v>41252</v>
      </c>
    </row>
    <row r="1661" spans="1:24">
      <c r="A1661">
        <f>HYPERLINK("https://www.philgeps.gov.ph/GEPSNONPILOT/Tender/SplashBidNoticeAbstractUI.aspx?menuIndex=3&amp;refID=7078147&amp;Result=3","7078147")</f>
        <v>0</v>
      </c>
      <c r="B1661" t="s">
        <v>749</v>
      </c>
      <c r="C1661" t="s">
        <v>4976</v>
      </c>
      <c r="D1661" t="s">
        <v>16681</v>
      </c>
      <c r="E1661" t="s">
        <v>18269</v>
      </c>
      <c r="F1661" t="s">
        <v>28669</v>
      </c>
      <c r="G1661" t="s">
        <v>28678</v>
      </c>
      <c r="H1661" t="s">
        <v>9998</v>
      </c>
      <c r="I1661" t="s">
        <v>28688</v>
      </c>
      <c r="J1661" t="s">
        <v>29972</v>
      </c>
      <c r="K1661" t="s">
        <v>37209</v>
      </c>
      <c r="M1661" t="s">
        <v>38259</v>
      </c>
      <c r="N1661" t="s">
        <v>41249</v>
      </c>
      <c r="O1661" t="s">
        <v>41250</v>
      </c>
      <c r="P1661">
        <v>0</v>
      </c>
      <c r="Q1661">
        <v>1</v>
      </c>
      <c r="R1661" t="s">
        <v>41251</v>
      </c>
      <c r="S1661" t="s">
        <v>41369</v>
      </c>
      <c r="T1661" t="s">
        <v>42694</v>
      </c>
      <c r="U1661" t="s">
        <v>44645</v>
      </c>
      <c r="W1661" t="s">
        <v>38259</v>
      </c>
      <c r="X1661" t="s">
        <v>41252</v>
      </c>
    </row>
    <row r="1662" spans="1:24">
      <c r="A1662">
        <f>HYPERLINK("https://www.philgeps.gov.ph/GEPSNONPILOT/Tender/SplashBidNoticeAbstractUI.aspx?menuIndex=3&amp;refID=7078146&amp;Result=3","7078146")</f>
        <v>0</v>
      </c>
      <c r="B1662" t="s">
        <v>696</v>
      </c>
      <c r="C1662" t="s">
        <v>4977</v>
      </c>
      <c r="D1662" t="s">
        <v>16611</v>
      </c>
      <c r="E1662" t="s">
        <v>18270</v>
      </c>
      <c r="F1662" t="s">
        <v>28669</v>
      </c>
      <c r="G1662" t="s">
        <v>28676</v>
      </c>
      <c r="H1662" t="s">
        <v>9998</v>
      </c>
      <c r="I1662" t="s">
        <v>5213</v>
      </c>
      <c r="J1662" t="s">
        <v>28912</v>
      </c>
      <c r="K1662" t="s">
        <v>37206</v>
      </c>
      <c r="M1662" t="s">
        <v>38201</v>
      </c>
      <c r="N1662" t="s">
        <v>41249</v>
      </c>
      <c r="O1662" t="s">
        <v>41250</v>
      </c>
      <c r="P1662">
        <v>0</v>
      </c>
      <c r="Q1662">
        <v>1</v>
      </c>
      <c r="R1662" t="s">
        <v>41251</v>
      </c>
      <c r="S1662" t="s">
        <v>41369</v>
      </c>
      <c r="T1662" t="s">
        <v>42738</v>
      </c>
      <c r="U1662" t="s">
        <v>44646</v>
      </c>
      <c r="W1662" t="s">
        <v>38201</v>
      </c>
      <c r="X1662" t="s">
        <v>41252</v>
      </c>
    </row>
    <row r="1663" spans="1:24">
      <c r="A1663">
        <f>HYPERLINK("https://www.philgeps.gov.ph/GEPSNONPILOT/Tender/SplashBidNoticeAbstractUI.aspx?menuIndex=3&amp;refID=7078140&amp;Result=3","7078140")</f>
        <v>0</v>
      </c>
      <c r="B1663" t="s">
        <v>746</v>
      </c>
      <c r="C1663" t="s">
        <v>4978</v>
      </c>
      <c r="D1663" t="s">
        <v>16643</v>
      </c>
      <c r="E1663" t="s">
        <v>18271</v>
      </c>
      <c r="F1663" t="s">
        <v>28669</v>
      </c>
      <c r="G1663" t="s">
        <v>28676</v>
      </c>
      <c r="H1663" t="s">
        <v>9998</v>
      </c>
      <c r="I1663" t="s">
        <v>28695</v>
      </c>
      <c r="J1663" t="s">
        <v>29973</v>
      </c>
      <c r="K1663" t="s">
        <v>37205</v>
      </c>
      <c r="M1663" t="s">
        <v>38256</v>
      </c>
      <c r="N1663" t="s">
        <v>41249</v>
      </c>
      <c r="O1663" t="s">
        <v>41250</v>
      </c>
      <c r="P1663">
        <v>0</v>
      </c>
      <c r="Q1663">
        <v>0</v>
      </c>
      <c r="R1663" t="s">
        <v>41251</v>
      </c>
      <c r="S1663" t="s">
        <v>41369</v>
      </c>
      <c r="T1663" t="s">
        <v>42738</v>
      </c>
      <c r="U1663" t="s">
        <v>44647</v>
      </c>
      <c r="W1663" t="s">
        <v>38256</v>
      </c>
      <c r="X1663" t="s">
        <v>41252</v>
      </c>
    </row>
    <row r="1664" spans="1:24">
      <c r="A1664">
        <f>HYPERLINK("https://www.philgeps.gov.ph/GEPSNONPILOT/Tender/SplashBidNoticeAbstractUI.aspx?menuIndex=3&amp;refID=7078099&amp;Result=3","7078099")</f>
        <v>0</v>
      </c>
      <c r="B1664" t="s">
        <v>750</v>
      </c>
      <c r="C1664" t="s">
        <v>4979</v>
      </c>
      <c r="D1664" t="s">
        <v>16687</v>
      </c>
      <c r="E1664" t="s">
        <v>18272</v>
      </c>
      <c r="F1664" t="s">
        <v>28669</v>
      </c>
      <c r="G1664" t="s">
        <v>28675</v>
      </c>
      <c r="H1664" t="s">
        <v>28686</v>
      </c>
      <c r="I1664" t="s">
        <v>28689</v>
      </c>
      <c r="J1664" t="s">
        <v>29974</v>
      </c>
      <c r="K1664" t="s">
        <v>37221</v>
      </c>
      <c r="M1664" t="s">
        <v>38260</v>
      </c>
      <c r="N1664" t="s">
        <v>41249</v>
      </c>
      <c r="O1664" t="s">
        <v>41250</v>
      </c>
      <c r="P1664">
        <v>0</v>
      </c>
      <c r="Q1664">
        <v>0</v>
      </c>
      <c r="R1664" t="s">
        <v>41251</v>
      </c>
      <c r="S1664" t="s">
        <v>41369</v>
      </c>
      <c r="T1664" t="s">
        <v>42808</v>
      </c>
      <c r="U1664" t="s">
        <v>44648</v>
      </c>
      <c r="V1664" t="s">
        <v>54456</v>
      </c>
      <c r="W1664" t="s">
        <v>38260</v>
      </c>
      <c r="X1664" t="s">
        <v>41252</v>
      </c>
    </row>
    <row r="1665" spans="1:24">
      <c r="A1665">
        <f>HYPERLINK("https://www.philgeps.gov.ph/GEPSNONPILOT/Tender/SplashBidNoticeAbstractUI.aspx?menuIndex=3&amp;refID=7078153&amp;Result=3","7078153")</f>
        <v>0</v>
      </c>
      <c r="B1665" t="s">
        <v>452</v>
      </c>
      <c r="C1665" t="s">
        <v>4980</v>
      </c>
      <c r="D1665" t="s">
        <v>16608</v>
      </c>
      <c r="E1665" t="s">
        <v>18273</v>
      </c>
      <c r="F1665" t="s">
        <v>28669</v>
      </c>
      <c r="G1665" t="s">
        <v>28676</v>
      </c>
      <c r="H1665" t="s">
        <v>9998</v>
      </c>
      <c r="I1665" t="s">
        <v>28728</v>
      </c>
      <c r="J1665" t="s">
        <v>28879</v>
      </c>
      <c r="K1665" t="s">
        <v>37205</v>
      </c>
      <c r="M1665" t="s">
        <v>38261</v>
      </c>
      <c r="N1665" t="s">
        <v>41249</v>
      </c>
      <c r="O1665" t="s">
        <v>41250</v>
      </c>
      <c r="P1665">
        <v>0</v>
      </c>
      <c r="Q1665">
        <v>0</v>
      </c>
      <c r="R1665" t="s">
        <v>41251</v>
      </c>
      <c r="S1665" t="s">
        <v>41369</v>
      </c>
      <c r="T1665" t="s">
        <v>42752</v>
      </c>
      <c r="U1665" t="s">
        <v>44649</v>
      </c>
      <c r="W1665" t="s">
        <v>38261</v>
      </c>
      <c r="X1665" t="s">
        <v>41252</v>
      </c>
    </row>
    <row r="1666" spans="1:24">
      <c r="A1666">
        <f>HYPERLINK("https://www.philgeps.gov.ph/GEPSNONPILOT/Tender/SplashBidNoticeAbstractUI.aspx?menuIndex=3&amp;refID=7078131&amp;Result=3","7078131")</f>
        <v>0</v>
      </c>
      <c r="B1666" t="s">
        <v>751</v>
      </c>
      <c r="C1666" t="s">
        <v>4981</v>
      </c>
      <c r="D1666" t="s">
        <v>16633</v>
      </c>
      <c r="E1666" t="s">
        <v>18274</v>
      </c>
      <c r="F1666" t="s">
        <v>28669</v>
      </c>
      <c r="G1666" t="s">
        <v>28676</v>
      </c>
      <c r="H1666" t="s">
        <v>28686</v>
      </c>
      <c r="I1666" t="s">
        <v>28689</v>
      </c>
      <c r="J1666" t="s">
        <v>29975</v>
      </c>
      <c r="K1666" t="s">
        <v>37205</v>
      </c>
      <c r="M1666" t="s">
        <v>38262</v>
      </c>
      <c r="N1666" t="s">
        <v>41249</v>
      </c>
      <c r="O1666" t="s">
        <v>41250</v>
      </c>
      <c r="P1666">
        <v>0</v>
      </c>
      <c r="Q1666">
        <v>0</v>
      </c>
      <c r="R1666" t="s">
        <v>41251</v>
      </c>
      <c r="S1666" t="s">
        <v>41369</v>
      </c>
      <c r="T1666" t="s">
        <v>42759</v>
      </c>
      <c r="U1666" t="s">
        <v>44650</v>
      </c>
      <c r="W1666" t="s">
        <v>55930</v>
      </c>
      <c r="X1666" t="s">
        <v>41252</v>
      </c>
    </row>
    <row r="1667" spans="1:24">
      <c r="A1667">
        <f>HYPERLINK("https://www.philgeps.gov.ph/GEPSNONPILOT/Tender/SplashBidNoticeAbstractUI.aspx?menuIndex=3&amp;refID=7078122&amp;Result=3","7078122")</f>
        <v>0</v>
      </c>
      <c r="B1667" t="s">
        <v>608</v>
      </c>
      <c r="C1667" t="s">
        <v>4982</v>
      </c>
      <c r="E1667" t="s">
        <v>18275</v>
      </c>
      <c r="F1667" t="s">
        <v>28669</v>
      </c>
      <c r="G1667" t="s">
        <v>28677</v>
      </c>
      <c r="H1667" t="s">
        <v>9998</v>
      </c>
      <c r="I1667" t="s">
        <v>28734</v>
      </c>
      <c r="J1667" t="s">
        <v>29976</v>
      </c>
      <c r="K1667" t="s">
        <v>37206</v>
      </c>
      <c r="M1667" t="s">
        <v>38108</v>
      </c>
      <c r="N1667" t="s">
        <v>41249</v>
      </c>
      <c r="O1667" t="s">
        <v>41250</v>
      </c>
      <c r="P1667">
        <v>0</v>
      </c>
      <c r="Q1667">
        <v>4</v>
      </c>
      <c r="R1667" t="s">
        <v>41251</v>
      </c>
      <c r="S1667" t="s">
        <v>41369</v>
      </c>
      <c r="T1667" t="s">
        <v>42802</v>
      </c>
      <c r="U1667" t="s">
        <v>44651</v>
      </c>
      <c r="W1667" t="s">
        <v>38108</v>
      </c>
      <c r="X1667" t="s">
        <v>41252</v>
      </c>
    </row>
    <row r="1668" spans="1:24">
      <c r="A1668">
        <f>HYPERLINK("https://www.philgeps.gov.ph/GEPSNONPILOT/Tender/SplashBidNoticeAbstractUI.aspx?menuIndex=3&amp;refID=7078151&amp;Result=3","7078151")</f>
        <v>0</v>
      </c>
      <c r="B1668" t="s">
        <v>722</v>
      </c>
      <c r="C1668" t="s">
        <v>4983</v>
      </c>
      <c r="D1668" t="s">
        <v>16686</v>
      </c>
      <c r="E1668" t="s">
        <v>18276</v>
      </c>
      <c r="F1668" t="s">
        <v>28669</v>
      </c>
      <c r="G1668" t="s">
        <v>28675</v>
      </c>
      <c r="H1668" t="s">
        <v>9998</v>
      </c>
      <c r="I1668" t="s">
        <v>28689</v>
      </c>
      <c r="J1668" t="s">
        <v>29977</v>
      </c>
      <c r="K1668" t="s">
        <v>37210</v>
      </c>
      <c r="M1668" t="s">
        <v>38230</v>
      </c>
      <c r="N1668" t="s">
        <v>41249</v>
      </c>
      <c r="O1668" t="s">
        <v>41250</v>
      </c>
      <c r="P1668">
        <v>0</v>
      </c>
      <c r="Q1668">
        <v>0</v>
      </c>
      <c r="R1668" t="s">
        <v>41251</v>
      </c>
      <c r="S1668" t="s">
        <v>41369</v>
      </c>
      <c r="T1668" t="s">
        <v>42682</v>
      </c>
      <c r="U1668" t="s">
        <v>44652</v>
      </c>
      <c r="V1668" t="s">
        <v>54445</v>
      </c>
      <c r="W1668" t="s">
        <v>38230</v>
      </c>
      <c r="X1668" t="s">
        <v>41252</v>
      </c>
    </row>
    <row r="1669" spans="1:24">
      <c r="A1669">
        <f>HYPERLINK("https://www.philgeps.gov.ph/GEPSNONPILOT/Tender/SplashBidNoticeAbstractUI.aspx?menuIndex=3&amp;refID=7078144&amp;Result=3","7078144")</f>
        <v>0</v>
      </c>
      <c r="B1669" t="s">
        <v>201</v>
      </c>
      <c r="C1669" t="s">
        <v>4984</v>
      </c>
      <c r="D1669" t="s">
        <v>16635</v>
      </c>
      <c r="E1669" t="s">
        <v>18277</v>
      </c>
      <c r="F1669" t="s">
        <v>28669</v>
      </c>
      <c r="G1669" t="s">
        <v>28675</v>
      </c>
      <c r="H1669" t="s">
        <v>9998</v>
      </c>
      <c r="I1669" t="s">
        <v>28773</v>
      </c>
      <c r="J1669" t="s">
        <v>29978</v>
      </c>
      <c r="K1669" t="s">
        <v>37209</v>
      </c>
      <c r="M1669" t="s">
        <v>37679</v>
      </c>
      <c r="N1669" t="s">
        <v>41249</v>
      </c>
      <c r="O1669" t="s">
        <v>41250</v>
      </c>
      <c r="P1669">
        <v>0</v>
      </c>
      <c r="Q1669">
        <v>2</v>
      </c>
      <c r="R1669" t="s">
        <v>41251</v>
      </c>
      <c r="S1669" t="s">
        <v>41369</v>
      </c>
      <c r="T1669" t="s">
        <v>42678</v>
      </c>
      <c r="U1669" t="s">
        <v>43499</v>
      </c>
      <c r="W1669" t="s">
        <v>37679</v>
      </c>
      <c r="X1669" t="s">
        <v>41252</v>
      </c>
    </row>
    <row r="1670" spans="1:24">
      <c r="A1670">
        <f>HYPERLINK("https://www.philgeps.gov.ph/GEPSNONPILOT/Tender/SplashBidNoticeAbstractUI.aspx?menuIndex=3&amp;refID=7078138&amp;Result=3","7078138")</f>
        <v>0</v>
      </c>
      <c r="B1670" t="s">
        <v>699</v>
      </c>
      <c r="C1670" t="s">
        <v>4985</v>
      </c>
      <c r="D1670" t="s">
        <v>16622</v>
      </c>
      <c r="E1670" t="s">
        <v>18278</v>
      </c>
      <c r="F1670" t="s">
        <v>28669</v>
      </c>
      <c r="G1670" t="s">
        <v>28676</v>
      </c>
      <c r="H1670" t="s">
        <v>9998</v>
      </c>
      <c r="I1670" t="s">
        <v>28687</v>
      </c>
      <c r="J1670" t="s">
        <v>29003</v>
      </c>
      <c r="K1670" t="s">
        <v>37221</v>
      </c>
      <c r="M1670" t="s">
        <v>38204</v>
      </c>
      <c r="N1670" t="s">
        <v>41249</v>
      </c>
      <c r="O1670" t="s">
        <v>41250</v>
      </c>
      <c r="P1670">
        <v>0</v>
      </c>
      <c r="Q1670">
        <v>1</v>
      </c>
      <c r="R1670" t="s">
        <v>41251</v>
      </c>
      <c r="S1670" t="s">
        <v>41369</v>
      </c>
      <c r="T1670" t="s">
        <v>42663</v>
      </c>
      <c r="U1670" t="s">
        <v>44653</v>
      </c>
      <c r="W1670" t="s">
        <v>38204</v>
      </c>
      <c r="X1670" t="s">
        <v>41252</v>
      </c>
    </row>
    <row r="1671" spans="1:24">
      <c r="A1671">
        <f>HYPERLINK("https://www.philgeps.gov.ph/GEPSNONPILOT/Tender/SplashBidNoticeAbstractUI.aspx?menuIndex=3&amp;refID=7078143&amp;Result=3","7078143")</f>
        <v>0</v>
      </c>
      <c r="B1671" t="s">
        <v>752</v>
      </c>
      <c r="C1671" t="s">
        <v>4986</v>
      </c>
      <c r="D1671" t="s">
        <v>16679</v>
      </c>
      <c r="E1671" t="s">
        <v>18279</v>
      </c>
      <c r="F1671" t="s">
        <v>28669</v>
      </c>
      <c r="G1671" t="s">
        <v>28676</v>
      </c>
      <c r="H1671" t="s">
        <v>9998</v>
      </c>
      <c r="I1671" t="s">
        <v>28693</v>
      </c>
      <c r="J1671" t="s">
        <v>29979</v>
      </c>
      <c r="K1671" t="s">
        <v>37205</v>
      </c>
      <c r="M1671" t="s">
        <v>38263</v>
      </c>
      <c r="N1671" t="s">
        <v>41249</v>
      </c>
      <c r="O1671" t="s">
        <v>41250</v>
      </c>
      <c r="P1671">
        <v>0</v>
      </c>
      <c r="Q1671">
        <v>11</v>
      </c>
      <c r="R1671" t="s">
        <v>41251</v>
      </c>
      <c r="S1671" t="s">
        <v>41369</v>
      </c>
      <c r="T1671" t="s">
        <v>42675</v>
      </c>
      <c r="U1671" t="s">
        <v>44654</v>
      </c>
      <c r="V1671" t="s">
        <v>54457</v>
      </c>
      <c r="W1671" t="s">
        <v>38263</v>
      </c>
      <c r="X1671" t="s">
        <v>41252</v>
      </c>
    </row>
    <row r="1672" spans="1:24">
      <c r="A1672">
        <f>HYPERLINK("https://www.philgeps.gov.ph/GEPSNONPILOT/Tender/SplashBidNoticeAbstractUI.aspx?menuIndex=3&amp;refID=7078137&amp;Result=3","7078137")</f>
        <v>0</v>
      </c>
      <c r="B1672" t="s">
        <v>753</v>
      </c>
      <c r="C1672" t="s">
        <v>4987</v>
      </c>
      <c r="D1672" t="s">
        <v>16626</v>
      </c>
      <c r="E1672" t="s">
        <v>18280</v>
      </c>
      <c r="F1672" t="s">
        <v>28669</v>
      </c>
      <c r="G1672" t="s">
        <v>28675</v>
      </c>
      <c r="H1672" t="s">
        <v>9998</v>
      </c>
      <c r="I1672" t="s">
        <v>28709</v>
      </c>
      <c r="J1672" t="s">
        <v>29980</v>
      </c>
      <c r="K1672" t="s">
        <v>37234</v>
      </c>
      <c r="M1672" t="s">
        <v>38264</v>
      </c>
      <c r="N1672" t="s">
        <v>41249</v>
      </c>
      <c r="O1672" t="s">
        <v>41250</v>
      </c>
      <c r="P1672">
        <v>0</v>
      </c>
      <c r="Q1672">
        <v>0</v>
      </c>
      <c r="R1672" t="s">
        <v>41251</v>
      </c>
      <c r="S1672" t="s">
        <v>41369</v>
      </c>
      <c r="T1672" t="s">
        <v>42777</v>
      </c>
      <c r="U1672" t="s">
        <v>44655</v>
      </c>
      <c r="W1672" t="s">
        <v>38264</v>
      </c>
      <c r="X1672" t="s">
        <v>41252</v>
      </c>
    </row>
    <row r="1673" spans="1:24">
      <c r="A1673">
        <f>HYPERLINK("https://www.philgeps.gov.ph/GEPSNONPILOT/Tender/SplashBidNoticeAbstractUI.aspx?menuIndex=3&amp;refID=7078097&amp;Result=3","7078097")</f>
        <v>0</v>
      </c>
      <c r="B1673" t="s">
        <v>720</v>
      </c>
      <c r="C1673" t="s">
        <v>4988</v>
      </c>
      <c r="D1673" t="s">
        <v>16640</v>
      </c>
      <c r="E1673" t="s">
        <v>18281</v>
      </c>
      <c r="F1673" t="s">
        <v>28669</v>
      </c>
      <c r="G1673" t="s">
        <v>28677</v>
      </c>
      <c r="H1673" t="s">
        <v>9998</v>
      </c>
      <c r="I1673" t="s">
        <v>15140</v>
      </c>
      <c r="J1673" t="s">
        <v>29981</v>
      </c>
      <c r="K1673" t="s">
        <v>37204</v>
      </c>
      <c r="M1673" t="s">
        <v>38228</v>
      </c>
      <c r="N1673" t="s">
        <v>41249</v>
      </c>
      <c r="O1673" t="s">
        <v>41250</v>
      </c>
      <c r="P1673">
        <v>0</v>
      </c>
      <c r="Q1673">
        <v>0</v>
      </c>
      <c r="R1673" t="s">
        <v>41251</v>
      </c>
      <c r="S1673" t="s">
        <v>41369</v>
      </c>
      <c r="T1673" t="s">
        <v>42664</v>
      </c>
      <c r="U1673" t="s">
        <v>44656</v>
      </c>
      <c r="W1673" t="s">
        <v>55928</v>
      </c>
      <c r="X1673" t="s">
        <v>41252</v>
      </c>
    </row>
    <row r="1674" spans="1:24">
      <c r="A1674">
        <f>HYPERLINK("https://www.philgeps.gov.ph/GEPSNONPILOT/Tender/SplashBidNoticeAbstractUI.aspx?menuIndex=3&amp;refID=7078135&amp;Result=3","7078135")</f>
        <v>0</v>
      </c>
      <c r="B1674" t="s">
        <v>754</v>
      </c>
      <c r="C1674" t="s">
        <v>4989</v>
      </c>
      <c r="D1674" t="s">
        <v>16608</v>
      </c>
      <c r="E1674" t="s">
        <v>18282</v>
      </c>
      <c r="F1674" t="s">
        <v>28669</v>
      </c>
      <c r="G1674" t="s">
        <v>28678</v>
      </c>
      <c r="H1674" t="s">
        <v>9998</v>
      </c>
      <c r="I1674" t="s">
        <v>3718</v>
      </c>
      <c r="J1674" t="s">
        <v>29982</v>
      </c>
      <c r="K1674" t="s">
        <v>37204</v>
      </c>
      <c r="M1674" t="s">
        <v>38265</v>
      </c>
      <c r="N1674" t="s">
        <v>41249</v>
      </c>
      <c r="O1674" t="s">
        <v>41250</v>
      </c>
      <c r="P1674">
        <v>0</v>
      </c>
      <c r="Q1674">
        <v>6</v>
      </c>
      <c r="R1674" t="s">
        <v>41251</v>
      </c>
      <c r="S1674" t="s">
        <v>41369</v>
      </c>
      <c r="T1674" t="s">
        <v>42730</v>
      </c>
      <c r="U1674" t="s">
        <v>44657</v>
      </c>
      <c r="W1674" t="s">
        <v>38265</v>
      </c>
      <c r="X1674" t="s">
        <v>41252</v>
      </c>
    </row>
    <row r="1675" spans="1:24">
      <c r="A1675">
        <f>HYPERLINK("https://www.philgeps.gov.ph/GEPSNONPILOT/Tender/SplashBidNoticeAbstractUI.aspx?menuIndex=3&amp;refID=7078132&amp;Result=3","7078132")</f>
        <v>0</v>
      </c>
      <c r="B1675" t="s">
        <v>197</v>
      </c>
      <c r="C1675" t="s">
        <v>4990</v>
      </c>
      <c r="D1675" t="s">
        <v>16609</v>
      </c>
      <c r="E1675" t="s">
        <v>18283</v>
      </c>
      <c r="F1675" t="s">
        <v>28669</v>
      </c>
      <c r="G1675" t="s">
        <v>28682</v>
      </c>
      <c r="H1675" t="s">
        <v>28686</v>
      </c>
      <c r="I1675" t="s">
        <v>28689</v>
      </c>
      <c r="J1675" t="s">
        <v>29826</v>
      </c>
      <c r="K1675" t="s">
        <v>37214</v>
      </c>
      <c r="M1675" t="s">
        <v>37675</v>
      </c>
      <c r="N1675" t="s">
        <v>41249</v>
      </c>
      <c r="O1675" t="s">
        <v>41250</v>
      </c>
      <c r="P1675">
        <v>0</v>
      </c>
      <c r="Q1675">
        <v>0</v>
      </c>
      <c r="R1675" t="s">
        <v>41251</v>
      </c>
      <c r="S1675" t="s">
        <v>41369</v>
      </c>
      <c r="T1675" t="s">
        <v>42688</v>
      </c>
      <c r="U1675" t="s">
        <v>44658</v>
      </c>
      <c r="W1675" t="s">
        <v>37675</v>
      </c>
      <c r="X1675" t="s">
        <v>41252</v>
      </c>
    </row>
    <row r="1676" spans="1:24">
      <c r="A1676">
        <f>HYPERLINK("https://www.philgeps.gov.ph/GEPSNONPILOT/Tender/SplashBidNoticeAbstractUI.aspx?menuIndex=3&amp;refID=7078150&amp;Result=3","7078150")</f>
        <v>0</v>
      </c>
      <c r="B1676" t="s">
        <v>317</v>
      </c>
      <c r="C1676" t="s">
        <v>4991</v>
      </c>
      <c r="D1676" t="s">
        <v>16608</v>
      </c>
      <c r="E1676" t="s">
        <v>18284</v>
      </c>
      <c r="F1676" t="s">
        <v>28669</v>
      </c>
      <c r="G1676" t="s">
        <v>28676</v>
      </c>
      <c r="H1676" t="s">
        <v>9998</v>
      </c>
      <c r="I1676" t="s">
        <v>28726</v>
      </c>
      <c r="J1676" t="s">
        <v>29983</v>
      </c>
      <c r="K1676" t="s">
        <v>37204</v>
      </c>
      <c r="M1676" t="s">
        <v>38250</v>
      </c>
      <c r="N1676" t="s">
        <v>41249</v>
      </c>
      <c r="O1676" t="s">
        <v>41250</v>
      </c>
      <c r="P1676">
        <v>0</v>
      </c>
      <c r="Q1676">
        <v>0</v>
      </c>
      <c r="R1676" t="s">
        <v>41251</v>
      </c>
      <c r="S1676" t="s">
        <v>41369</v>
      </c>
      <c r="T1676" t="s">
        <v>42679</v>
      </c>
      <c r="U1676" t="s">
        <v>44659</v>
      </c>
      <c r="W1676" t="s">
        <v>38250</v>
      </c>
      <c r="X1676" t="s">
        <v>41252</v>
      </c>
    </row>
    <row r="1677" spans="1:24">
      <c r="A1677">
        <f>HYPERLINK("https://www.philgeps.gov.ph/GEPSNONPILOT/Tender/SplashBidNoticeAbstractUI.aspx?menuIndex=3&amp;refID=7078155&amp;Result=3","7078155")</f>
        <v>0</v>
      </c>
      <c r="B1677" t="s">
        <v>232</v>
      </c>
      <c r="C1677" t="s">
        <v>4992</v>
      </c>
      <c r="D1677" t="s">
        <v>16618</v>
      </c>
      <c r="E1677" t="s">
        <v>18285</v>
      </c>
      <c r="F1677" t="s">
        <v>28669</v>
      </c>
      <c r="G1677" t="s">
        <v>28676</v>
      </c>
      <c r="H1677" t="s">
        <v>9998</v>
      </c>
      <c r="I1677" t="s">
        <v>6128</v>
      </c>
      <c r="J1677" t="s">
        <v>29984</v>
      </c>
      <c r="K1677" t="s">
        <v>37209</v>
      </c>
      <c r="M1677" t="s">
        <v>37710</v>
      </c>
      <c r="N1677" t="s">
        <v>41249</v>
      </c>
      <c r="O1677" t="s">
        <v>41250</v>
      </c>
      <c r="P1677">
        <v>0</v>
      </c>
      <c r="Q1677">
        <v>0</v>
      </c>
      <c r="R1677" t="s">
        <v>41251</v>
      </c>
      <c r="S1677" t="s">
        <v>41369</v>
      </c>
      <c r="T1677" t="s">
        <v>42717</v>
      </c>
      <c r="U1677" t="s">
        <v>44660</v>
      </c>
      <c r="W1677" t="s">
        <v>37710</v>
      </c>
      <c r="X1677" t="s">
        <v>41252</v>
      </c>
    </row>
    <row r="1678" spans="1:24">
      <c r="A1678">
        <f>HYPERLINK("https://www.philgeps.gov.ph/GEPSNONPILOT/Tender/SplashBidNoticeAbstractUI.aspx?menuIndex=3&amp;refID=7078139&amp;Result=3","7078139")</f>
        <v>0</v>
      </c>
      <c r="B1678" t="s">
        <v>755</v>
      </c>
      <c r="C1678" t="s">
        <v>4993</v>
      </c>
      <c r="D1678" t="s">
        <v>16640</v>
      </c>
      <c r="E1678" t="s">
        <v>18286</v>
      </c>
      <c r="F1678" t="s">
        <v>28669</v>
      </c>
      <c r="G1678" t="s">
        <v>28676</v>
      </c>
      <c r="H1678" t="s">
        <v>9998</v>
      </c>
      <c r="I1678" t="s">
        <v>28709</v>
      </c>
      <c r="J1678" t="s">
        <v>29985</v>
      </c>
      <c r="K1678" t="s">
        <v>37206</v>
      </c>
      <c r="M1678" t="s">
        <v>38266</v>
      </c>
      <c r="N1678" t="s">
        <v>41249</v>
      </c>
      <c r="O1678" t="s">
        <v>41250</v>
      </c>
      <c r="P1678">
        <v>0</v>
      </c>
      <c r="Q1678">
        <v>0</v>
      </c>
      <c r="R1678" t="s">
        <v>41251</v>
      </c>
      <c r="S1678" t="s">
        <v>41369</v>
      </c>
      <c r="T1678" t="s">
        <v>42694</v>
      </c>
      <c r="U1678" t="s">
        <v>44661</v>
      </c>
      <c r="W1678" t="s">
        <v>38266</v>
      </c>
      <c r="X1678" t="s">
        <v>41252</v>
      </c>
    </row>
    <row r="1679" spans="1:24">
      <c r="A1679">
        <f>HYPERLINK("https://www.philgeps.gov.ph/GEPSNONPILOT/Tender/SplashBidNoticeAbstractUI.aspx?menuIndex=3&amp;refID=7078149&amp;Result=3","7078149")</f>
        <v>0</v>
      </c>
      <c r="B1679" t="s">
        <v>210</v>
      </c>
      <c r="C1679" t="s">
        <v>4994</v>
      </c>
      <c r="D1679" t="s">
        <v>16633</v>
      </c>
      <c r="E1679" t="s">
        <v>18287</v>
      </c>
      <c r="F1679" t="s">
        <v>28669</v>
      </c>
      <c r="G1679" t="s">
        <v>28675</v>
      </c>
      <c r="H1679" t="s">
        <v>28686</v>
      </c>
      <c r="I1679" t="s">
        <v>28689</v>
      </c>
      <c r="J1679" t="s">
        <v>29986</v>
      </c>
      <c r="K1679" t="s">
        <v>37298</v>
      </c>
      <c r="M1679" t="s">
        <v>37688</v>
      </c>
      <c r="N1679" t="s">
        <v>41249</v>
      </c>
      <c r="O1679" t="s">
        <v>41250</v>
      </c>
      <c r="P1679">
        <v>0</v>
      </c>
      <c r="Q1679">
        <v>0</v>
      </c>
      <c r="R1679" t="s">
        <v>41251</v>
      </c>
      <c r="S1679" t="s">
        <v>41369</v>
      </c>
      <c r="T1679" t="s">
        <v>42661</v>
      </c>
      <c r="U1679" t="s">
        <v>44662</v>
      </c>
      <c r="V1679" t="s">
        <v>54458</v>
      </c>
      <c r="W1679" t="s">
        <v>37688</v>
      </c>
      <c r="X1679" t="s">
        <v>41252</v>
      </c>
    </row>
    <row r="1680" spans="1:24">
      <c r="A1680">
        <f>HYPERLINK("https://www.philgeps.gov.ph/GEPSNONPILOT/Tender/SplashBidNoticeAbstractUI.aspx?menuIndex=3&amp;refID=7078154&amp;Result=3","7078154")</f>
        <v>0</v>
      </c>
      <c r="B1680" t="s">
        <v>756</v>
      </c>
      <c r="C1680" t="s">
        <v>4995</v>
      </c>
      <c r="D1680" t="s">
        <v>16622</v>
      </c>
      <c r="E1680" t="s">
        <v>18288</v>
      </c>
      <c r="F1680" t="s">
        <v>28669</v>
      </c>
      <c r="G1680" t="s">
        <v>28675</v>
      </c>
      <c r="H1680" t="s">
        <v>28686</v>
      </c>
      <c r="I1680" t="s">
        <v>28689</v>
      </c>
      <c r="J1680" t="s">
        <v>29034</v>
      </c>
      <c r="K1680" t="s">
        <v>37227</v>
      </c>
      <c r="M1680" t="s">
        <v>38267</v>
      </c>
      <c r="N1680" t="s">
        <v>41249</v>
      </c>
      <c r="O1680" t="s">
        <v>41250</v>
      </c>
      <c r="P1680">
        <v>0</v>
      </c>
      <c r="Q1680">
        <v>0</v>
      </c>
      <c r="R1680" t="s">
        <v>41251</v>
      </c>
      <c r="S1680" t="s">
        <v>41369</v>
      </c>
      <c r="T1680" t="s">
        <v>42761</v>
      </c>
      <c r="U1680" t="s">
        <v>44663</v>
      </c>
      <c r="W1680" t="s">
        <v>38267</v>
      </c>
      <c r="X1680" t="s">
        <v>41252</v>
      </c>
    </row>
    <row r="1681" spans="1:24">
      <c r="A1681">
        <f>HYPERLINK("https://www.philgeps.gov.ph/GEPSNONPILOT/Tender/SplashBidNoticeAbstractUI.aspx?menuIndex=3&amp;refID=7078183&amp;Result=3","7078183")</f>
        <v>0</v>
      </c>
      <c r="B1681" t="s">
        <v>232</v>
      </c>
      <c r="C1681" t="s">
        <v>4996</v>
      </c>
      <c r="D1681" t="s">
        <v>16618</v>
      </c>
      <c r="E1681" t="s">
        <v>18289</v>
      </c>
      <c r="F1681" t="s">
        <v>28669</v>
      </c>
      <c r="G1681" t="s">
        <v>28676</v>
      </c>
      <c r="H1681" t="s">
        <v>9998</v>
      </c>
      <c r="I1681" t="s">
        <v>28694</v>
      </c>
      <c r="J1681" t="s">
        <v>29987</v>
      </c>
      <c r="K1681" t="s">
        <v>37209</v>
      </c>
      <c r="M1681" t="s">
        <v>37710</v>
      </c>
      <c r="N1681" t="s">
        <v>41249</v>
      </c>
      <c r="O1681" t="s">
        <v>41250</v>
      </c>
      <c r="P1681">
        <v>0</v>
      </c>
      <c r="Q1681">
        <v>0</v>
      </c>
      <c r="R1681" t="s">
        <v>41251</v>
      </c>
      <c r="S1681" t="s">
        <v>41369</v>
      </c>
      <c r="T1681" t="s">
        <v>42717</v>
      </c>
      <c r="U1681" t="s">
        <v>44664</v>
      </c>
      <c r="W1681" t="s">
        <v>37710</v>
      </c>
      <c r="X1681" t="s">
        <v>41252</v>
      </c>
    </row>
    <row r="1682" spans="1:24">
      <c r="A1682">
        <f>HYPERLINK("https://www.philgeps.gov.ph/GEPSNONPILOT/Tender/SplashBidNoticeAbstractUI.aspx?menuIndex=3&amp;refID=7078136&amp;Result=3","7078136")</f>
        <v>0</v>
      </c>
      <c r="B1682" t="s">
        <v>757</v>
      </c>
      <c r="C1682" t="s">
        <v>4997</v>
      </c>
      <c r="D1682" t="s">
        <v>16684</v>
      </c>
      <c r="E1682" t="s">
        <v>18290</v>
      </c>
      <c r="F1682" t="s">
        <v>28669</v>
      </c>
      <c r="G1682" t="s">
        <v>28675</v>
      </c>
      <c r="H1682" t="s">
        <v>9998</v>
      </c>
      <c r="I1682" t="s">
        <v>28687</v>
      </c>
      <c r="J1682" t="s">
        <v>29724</v>
      </c>
      <c r="K1682" t="s">
        <v>37205</v>
      </c>
      <c r="M1682" t="s">
        <v>38268</v>
      </c>
      <c r="N1682" t="s">
        <v>41249</v>
      </c>
      <c r="O1682" t="s">
        <v>41250</v>
      </c>
      <c r="P1682">
        <v>0</v>
      </c>
      <c r="Q1682">
        <v>2</v>
      </c>
      <c r="R1682" t="s">
        <v>41251</v>
      </c>
      <c r="S1682" t="s">
        <v>41369</v>
      </c>
      <c r="T1682" t="s">
        <v>42808</v>
      </c>
      <c r="U1682" t="s">
        <v>44665</v>
      </c>
      <c r="V1682" t="s">
        <v>54459</v>
      </c>
      <c r="W1682" t="s">
        <v>38268</v>
      </c>
      <c r="X1682" t="s">
        <v>41252</v>
      </c>
    </row>
    <row r="1683" spans="1:24">
      <c r="A1683">
        <f>HYPERLINK("https://www.philgeps.gov.ph/GEPSNONPILOT/Tender/SplashBidNoticeAbstractUI.aspx?menuIndex=3&amp;refID=7078172&amp;Result=3","7078172")</f>
        <v>0</v>
      </c>
      <c r="B1683" t="s">
        <v>758</v>
      </c>
      <c r="C1683" t="s">
        <v>4998</v>
      </c>
      <c r="D1683" t="s">
        <v>16665</v>
      </c>
      <c r="E1683" t="s">
        <v>4998</v>
      </c>
      <c r="F1683" t="s">
        <v>28669</v>
      </c>
      <c r="G1683" t="s">
        <v>28676</v>
      </c>
      <c r="H1683" t="s">
        <v>9998</v>
      </c>
      <c r="I1683" t="s">
        <v>28688</v>
      </c>
      <c r="J1683" t="s">
        <v>29988</v>
      </c>
      <c r="K1683" t="s">
        <v>37205</v>
      </c>
      <c r="M1683" t="s">
        <v>38269</v>
      </c>
      <c r="N1683" t="s">
        <v>41249</v>
      </c>
      <c r="O1683" t="s">
        <v>41250</v>
      </c>
      <c r="P1683">
        <v>0</v>
      </c>
      <c r="Q1683">
        <v>1</v>
      </c>
      <c r="R1683" t="s">
        <v>41251</v>
      </c>
      <c r="S1683" t="s">
        <v>41369</v>
      </c>
      <c r="T1683" t="s">
        <v>42683</v>
      </c>
      <c r="U1683" t="s">
        <v>44666</v>
      </c>
      <c r="W1683" t="s">
        <v>38269</v>
      </c>
      <c r="X1683" t="s">
        <v>41252</v>
      </c>
    </row>
    <row r="1684" spans="1:24">
      <c r="A1684">
        <f>HYPERLINK("https://www.philgeps.gov.ph/GEPSNONPILOT/Tender/SplashBidNoticeAbstractUI.aspx?menuIndex=3&amp;refID=7078181&amp;Result=3","7078181")</f>
        <v>0</v>
      </c>
      <c r="B1684" t="s">
        <v>745</v>
      </c>
      <c r="C1684" t="s">
        <v>4999</v>
      </c>
      <c r="D1684" t="s">
        <v>16619</v>
      </c>
      <c r="E1684" t="s">
        <v>18291</v>
      </c>
      <c r="F1684" t="s">
        <v>28669</v>
      </c>
      <c r="G1684" t="s">
        <v>28677</v>
      </c>
      <c r="H1684" t="s">
        <v>9998</v>
      </c>
      <c r="I1684" t="s">
        <v>7352</v>
      </c>
      <c r="J1684" t="s">
        <v>29989</v>
      </c>
      <c r="K1684" t="s">
        <v>37209</v>
      </c>
      <c r="M1684" t="s">
        <v>38255</v>
      </c>
      <c r="N1684" t="s">
        <v>41249</v>
      </c>
      <c r="O1684" t="s">
        <v>41250</v>
      </c>
      <c r="P1684">
        <v>0</v>
      </c>
      <c r="Q1684">
        <v>0</v>
      </c>
      <c r="R1684" t="s">
        <v>41251</v>
      </c>
      <c r="S1684" t="s">
        <v>41369</v>
      </c>
      <c r="T1684" t="s">
        <v>42736</v>
      </c>
      <c r="U1684" t="s">
        <v>44667</v>
      </c>
      <c r="V1684" t="s">
        <v>54454</v>
      </c>
      <c r="W1684" t="s">
        <v>38255</v>
      </c>
      <c r="X1684" t="s">
        <v>41252</v>
      </c>
    </row>
    <row r="1685" spans="1:24">
      <c r="A1685">
        <f>HYPERLINK("https://www.philgeps.gov.ph/GEPSNONPILOT/Tender/SplashBidNoticeAbstractUI.aspx?menuIndex=3&amp;refID=7078175&amp;Result=3","7078175")</f>
        <v>0</v>
      </c>
      <c r="B1685" t="s">
        <v>452</v>
      </c>
      <c r="C1685" t="s">
        <v>5000</v>
      </c>
      <c r="D1685" t="s">
        <v>16608</v>
      </c>
      <c r="E1685" t="s">
        <v>18292</v>
      </c>
      <c r="F1685" t="s">
        <v>28669</v>
      </c>
      <c r="G1685" t="s">
        <v>28678</v>
      </c>
      <c r="H1685" t="s">
        <v>9998</v>
      </c>
      <c r="I1685" t="s">
        <v>28716</v>
      </c>
      <c r="J1685" t="s">
        <v>29990</v>
      </c>
      <c r="K1685" t="s">
        <v>37205</v>
      </c>
      <c r="M1685" t="s">
        <v>38261</v>
      </c>
      <c r="N1685" t="s">
        <v>41249</v>
      </c>
      <c r="O1685" t="s">
        <v>41250</v>
      </c>
      <c r="P1685">
        <v>0</v>
      </c>
      <c r="Q1685">
        <v>6</v>
      </c>
      <c r="R1685" t="s">
        <v>41251</v>
      </c>
      <c r="S1685" t="s">
        <v>41369</v>
      </c>
      <c r="T1685" t="s">
        <v>42752</v>
      </c>
      <c r="U1685" t="s">
        <v>44649</v>
      </c>
      <c r="W1685" t="s">
        <v>38261</v>
      </c>
      <c r="X1685" t="s">
        <v>41252</v>
      </c>
    </row>
    <row r="1686" spans="1:24">
      <c r="A1686">
        <f>HYPERLINK("https://www.philgeps.gov.ph/GEPSNONPILOT/Tender/SplashBidNoticeAbstractUI.aspx?menuIndex=3&amp;refID=7078180&amp;Result=3","7078180")</f>
        <v>0</v>
      </c>
      <c r="B1686" t="s">
        <v>696</v>
      </c>
      <c r="C1686" t="s">
        <v>5001</v>
      </c>
      <c r="D1686" t="s">
        <v>16611</v>
      </c>
      <c r="E1686" t="s">
        <v>18293</v>
      </c>
      <c r="F1686" t="s">
        <v>28669</v>
      </c>
      <c r="G1686" t="s">
        <v>28676</v>
      </c>
      <c r="H1686" t="s">
        <v>9998</v>
      </c>
      <c r="I1686" t="s">
        <v>28764</v>
      </c>
      <c r="J1686" t="s">
        <v>28905</v>
      </c>
      <c r="K1686" t="s">
        <v>37221</v>
      </c>
      <c r="M1686" t="s">
        <v>38201</v>
      </c>
      <c r="N1686" t="s">
        <v>41249</v>
      </c>
      <c r="O1686" t="s">
        <v>41250</v>
      </c>
      <c r="P1686">
        <v>0</v>
      </c>
      <c r="Q1686">
        <v>5</v>
      </c>
      <c r="R1686" t="s">
        <v>41251</v>
      </c>
      <c r="S1686" t="s">
        <v>41369</v>
      </c>
      <c r="T1686" t="s">
        <v>42738</v>
      </c>
      <c r="U1686" t="s">
        <v>44668</v>
      </c>
      <c r="W1686" t="s">
        <v>38201</v>
      </c>
      <c r="X1686" t="s">
        <v>41252</v>
      </c>
    </row>
    <row r="1687" spans="1:24">
      <c r="A1687">
        <f>HYPERLINK("https://www.philgeps.gov.ph/GEPSNONPILOT/Tender/SplashBidNoticeAbstractUI.aspx?menuIndex=3&amp;refID=7078173&amp;Result=3","7078173")</f>
        <v>0</v>
      </c>
      <c r="B1687" t="s">
        <v>759</v>
      </c>
      <c r="C1687" t="s">
        <v>5002</v>
      </c>
      <c r="E1687" t="s">
        <v>18294</v>
      </c>
      <c r="F1687" t="s">
        <v>28669</v>
      </c>
      <c r="G1687" t="s">
        <v>28675</v>
      </c>
      <c r="H1687" t="s">
        <v>28686</v>
      </c>
      <c r="I1687" t="s">
        <v>28689</v>
      </c>
      <c r="J1687" t="s">
        <v>29991</v>
      </c>
      <c r="K1687" t="s">
        <v>37209</v>
      </c>
      <c r="M1687" t="s">
        <v>38270</v>
      </c>
      <c r="N1687" t="s">
        <v>41249</v>
      </c>
      <c r="O1687" t="s">
        <v>41250</v>
      </c>
      <c r="P1687">
        <v>0</v>
      </c>
      <c r="Q1687">
        <v>0</v>
      </c>
      <c r="R1687" t="s">
        <v>41251</v>
      </c>
      <c r="S1687" t="s">
        <v>41369</v>
      </c>
      <c r="T1687" t="s">
        <v>42747</v>
      </c>
      <c r="U1687" t="s">
        <v>44398</v>
      </c>
      <c r="W1687" t="s">
        <v>38270</v>
      </c>
      <c r="X1687" t="s">
        <v>41252</v>
      </c>
    </row>
    <row r="1688" spans="1:24">
      <c r="A1688">
        <f>HYPERLINK("https://www.philgeps.gov.ph/GEPSNONPILOT/Tender/SplashBidNoticeAbstractUI.aspx?menuIndex=3&amp;refID=7078168&amp;Result=3","7078168")</f>
        <v>0</v>
      </c>
      <c r="B1688" t="s">
        <v>740</v>
      </c>
      <c r="C1688" t="s">
        <v>5003</v>
      </c>
      <c r="D1688" t="s">
        <v>16625</v>
      </c>
      <c r="E1688" t="s">
        <v>17435</v>
      </c>
      <c r="F1688" t="s">
        <v>28669</v>
      </c>
      <c r="G1688" t="s">
        <v>28675</v>
      </c>
      <c r="H1688" t="s">
        <v>28686</v>
      </c>
      <c r="I1688" t="s">
        <v>28689</v>
      </c>
      <c r="J1688" t="s">
        <v>29992</v>
      </c>
      <c r="K1688" t="s">
        <v>37215</v>
      </c>
      <c r="M1688" t="s">
        <v>38249</v>
      </c>
      <c r="N1688" t="s">
        <v>41249</v>
      </c>
      <c r="O1688" t="s">
        <v>41250</v>
      </c>
      <c r="P1688">
        <v>0</v>
      </c>
      <c r="Q1688">
        <v>0</v>
      </c>
      <c r="R1688" t="s">
        <v>41251</v>
      </c>
      <c r="S1688" t="s">
        <v>41369</v>
      </c>
      <c r="T1688" t="s">
        <v>42834</v>
      </c>
      <c r="U1688" t="s">
        <v>44669</v>
      </c>
      <c r="W1688" t="s">
        <v>38249</v>
      </c>
      <c r="X1688" t="s">
        <v>41252</v>
      </c>
    </row>
    <row r="1689" spans="1:24">
      <c r="A1689">
        <f>HYPERLINK("https://www.philgeps.gov.ph/GEPSNONPILOT/Tender/SplashBidNoticeAbstractUI.aspx?menuIndex=3&amp;refID=7078120&amp;Result=3","7078120")</f>
        <v>0</v>
      </c>
      <c r="B1689" t="s">
        <v>739</v>
      </c>
      <c r="C1689" t="s">
        <v>5004</v>
      </c>
      <c r="D1689" t="s">
        <v>16661</v>
      </c>
      <c r="E1689" t="s">
        <v>18295</v>
      </c>
      <c r="F1689" t="s">
        <v>28669</v>
      </c>
      <c r="G1689" t="s">
        <v>28675</v>
      </c>
      <c r="H1689" t="s">
        <v>9998</v>
      </c>
      <c r="I1689" t="s">
        <v>7352</v>
      </c>
      <c r="J1689" t="s">
        <v>29993</v>
      </c>
      <c r="K1689" t="s">
        <v>37205</v>
      </c>
      <c r="M1689" t="s">
        <v>38248</v>
      </c>
      <c r="N1689" t="s">
        <v>41249</v>
      </c>
      <c r="O1689" t="s">
        <v>41250</v>
      </c>
      <c r="P1689">
        <v>0</v>
      </c>
      <c r="Q1689">
        <v>1</v>
      </c>
      <c r="R1689" t="s">
        <v>41251</v>
      </c>
      <c r="S1689" t="s">
        <v>41369</v>
      </c>
      <c r="T1689" t="s">
        <v>42726</v>
      </c>
      <c r="U1689" t="s">
        <v>44670</v>
      </c>
      <c r="V1689" t="s">
        <v>54460</v>
      </c>
      <c r="W1689" t="s">
        <v>38248</v>
      </c>
      <c r="X1689" t="s">
        <v>41252</v>
      </c>
    </row>
    <row r="1690" spans="1:24">
      <c r="A1690">
        <f>HYPERLINK("https://www.philgeps.gov.ph/GEPSNONPILOT/Tender/SplashBidNoticeAbstractUI.aspx?menuIndex=3&amp;refID=7078134&amp;Result=3","7078134")</f>
        <v>0</v>
      </c>
      <c r="B1690" t="s">
        <v>114</v>
      </c>
      <c r="C1690" t="s">
        <v>5005</v>
      </c>
      <c r="D1690" t="s">
        <v>16608</v>
      </c>
      <c r="E1690" t="s">
        <v>18296</v>
      </c>
      <c r="F1690" t="s">
        <v>28669</v>
      </c>
      <c r="G1690" t="s">
        <v>28676</v>
      </c>
      <c r="H1690" t="s">
        <v>9998</v>
      </c>
      <c r="I1690" t="s">
        <v>28728</v>
      </c>
      <c r="J1690" t="s">
        <v>29994</v>
      </c>
      <c r="K1690" t="s">
        <v>37210</v>
      </c>
      <c r="M1690" t="s">
        <v>38210</v>
      </c>
      <c r="N1690" t="s">
        <v>41249</v>
      </c>
      <c r="O1690" t="s">
        <v>41250</v>
      </c>
      <c r="P1690">
        <v>0</v>
      </c>
      <c r="Q1690">
        <v>1</v>
      </c>
      <c r="R1690" t="s">
        <v>41251</v>
      </c>
      <c r="S1690" t="s">
        <v>41369</v>
      </c>
      <c r="T1690" t="s">
        <v>42725</v>
      </c>
      <c r="U1690" t="s">
        <v>44671</v>
      </c>
      <c r="V1690" t="s">
        <v>54435</v>
      </c>
      <c r="W1690" t="s">
        <v>38210</v>
      </c>
      <c r="X1690" t="s">
        <v>41252</v>
      </c>
    </row>
    <row r="1691" spans="1:24">
      <c r="A1691">
        <f>HYPERLINK("https://www.philgeps.gov.ph/GEPSNONPILOT/Tender/SplashBidNoticeAbstractUI.aspx?menuIndex=3&amp;refID=7078177&amp;Result=3","7078177")</f>
        <v>0</v>
      </c>
      <c r="B1691" t="s">
        <v>130</v>
      </c>
      <c r="C1691" t="s">
        <v>5006</v>
      </c>
      <c r="D1691" t="s">
        <v>16652</v>
      </c>
      <c r="E1691" t="s">
        <v>18297</v>
      </c>
      <c r="F1691" t="s">
        <v>28669</v>
      </c>
      <c r="G1691" t="s">
        <v>28678</v>
      </c>
      <c r="H1691" t="s">
        <v>9998</v>
      </c>
      <c r="I1691" t="s">
        <v>28704</v>
      </c>
      <c r="J1691" t="s">
        <v>29995</v>
      </c>
      <c r="K1691" t="s">
        <v>37204</v>
      </c>
      <c r="M1691" t="s">
        <v>37606</v>
      </c>
      <c r="N1691" t="s">
        <v>41249</v>
      </c>
      <c r="O1691" t="s">
        <v>41250</v>
      </c>
      <c r="P1691">
        <v>0</v>
      </c>
      <c r="Q1691">
        <v>1</v>
      </c>
      <c r="R1691" t="s">
        <v>41251</v>
      </c>
      <c r="S1691" t="s">
        <v>41369</v>
      </c>
      <c r="T1691" t="s">
        <v>42673</v>
      </c>
      <c r="U1691" t="s">
        <v>44672</v>
      </c>
      <c r="W1691" t="s">
        <v>37606</v>
      </c>
      <c r="X1691" t="s">
        <v>41252</v>
      </c>
    </row>
    <row r="1692" spans="1:24">
      <c r="A1692">
        <f>HYPERLINK("https://www.philgeps.gov.ph/GEPSNONPILOT/Tender/SplashBidNoticeAbstractUI.aspx?menuIndex=3&amp;refID=7078162&amp;Result=3","7078162")</f>
        <v>0</v>
      </c>
      <c r="B1692" t="s">
        <v>760</v>
      </c>
      <c r="C1692" t="s">
        <v>5007</v>
      </c>
      <c r="D1692" t="s">
        <v>16654</v>
      </c>
      <c r="E1692" t="s">
        <v>18298</v>
      </c>
      <c r="F1692" t="s">
        <v>28669</v>
      </c>
      <c r="G1692" t="s">
        <v>28675</v>
      </c>
      <c r="H1692" t="s">
        <v>28686</v>
      </c>
      <c r="I1692" t="s">
        <v>28691</v>
      </c>
      <c r="J1692" t="s">
        <v>29996</v>
      </c>
      <c r="K1692" t="s">
        <v>37212</v>
      </c>
      <c r="M1692" t="s">
        <v>38271</v>
      </c>
      <c r="N1692" t="s">
        <v>41249</v>
      </c>
      <c r="O1692" t="s">
        <v>41250</v>
      </c>
      <c r="P1692">
        <v>0</v>
      </c>
      <c r="Q1692">
        <v>0</v>
      </c>
      <c r="R1692" t="s">
        <v>41251</v>
      </c>
      <c r="S1692" t="s">
        <v>41369</v>
      </c>
      <c r="T1692" t="s">
        <v>42761</v>
      </c>
      <c r="U1692" t="s">
        <v>44673</v>
      </c>
      <c r="W1692" t="s">
        <v>38271</v>
      </c>
      <c r="X1692" t="s">
        <v>41252</v>
      </c>
    </row>
    <row r="1693" spans="1:24">
      <c r="A1693">
        <f>HYPERLINK("https://www.philgeps.gov.ph/GEPSNONPILOT/Tender/SplashBidNoticeAbstractUI.aspx?menuIndex=3&amp;refID=7078179&amp;Result=3","7078179")</f>
        <v>0</v>
      </c>
      <c r="B1693" t="s">
        <v>761</v>
      </c>
      <c r="C1693" t="s">
        <v>5008</v>
      </c>
      <c r="D1693" t="s">
        <v>16608</v>
      </c>
      <c r="E1693" t="s">
        <v>18299</v>
      </c>
      <c r="F1693" t="s">
        <v>28669</v>
      </c>
      <c r="G1693" t="s">
        <v>28676</v>
      </c>
      <c r="H1693" t="s">
        <v>9998</v>
      </c>
      <c r="I1693" t="s">
        <v>28762</v>
      </c>
      <c r="J1693" t="s">
        <v>29135</v>
      </c>
      <c r="K1693" t="s">
        <v>37209</v>
      </c>
      <c r="M1693" t="s">
        <v>38272</v>
      </c>
      <c r="N1693" t="s">
        <v>41249</v>
      </c>
      <c r="O1693" t="s">
        <v>41250</v>
      </c>
      <c r="P1693">
        <v>0</v>
      </c>
      <c r="Q1693">
        <v>6</v>
      </c>
      <c r="R1693" t="s">
        <v>41251</v>
      </c>
      <c r="S1693" t="s">
        <v>41369</v>
      </c>
      <c r="T1693" t="s">
        <v>42738</v>
      </c>
      <c r="U1693" t="s">
        <v>44674</v>
      </c>
      <c r="W1693" t="s">
        <v>38272</v>
      </c>
      <c r="X1693" t="s">
        <v>41252</v>
      </c>
    </row>
    <row r="1694" spans="1:24">
      <c r="A1694">
        <f>HYPERLINK("https://www.philgeps.gov.ph/GEPSNONPILOT/Tender/SplashBidNoticeAbstractUI.aspx?menuIndex=3&amp;refID=7078225&amp;Result=3","7078225")</f>
        <v>0</v>
      </c>
      <c r="B1694" t="s">
        <v>393</v>
      </c>
      <c r="C1694" t="s">
        <v>5009</v>
      </c>
      <c r="D1694" t="s">
        <v>16615</v>
      </c>
      <c r="E1694" t="s">
        <v>18300</v>
      </c>
      <c r="F1694" t="s">
        <v>28669</v>
      </c>
      <c r="G1694" t="s">
        <v>28676</v>
      </c>
      <c r="H1694" t="s">
        <v>9998</v>
      </c>
      <c r="I1694" t="s">
        <v>11142</v>
      </c>
      <c r="J1694" t="s">
        <v>28838</v>
      </c>
      <c r="K1694" t="s">
        <v>37205</v>
      </c>
      <c r="M1694" t="s">
        <v>37877</v>
      </c>
      <c r="N1694" t="s">
        <v>41249</v>
      </c>
      <c r="O1694" t="s">
        <v>41250</v>
      </c>
      <c r="P1694">
        <v>0</v>
      </c>
      <c r="Q1694">
        <v>1</v>
      </c>
      <c r="R1694" t="s">
        <v>41251</v>
      </c>
      <c r="S1694" t="s">
        <v>41369</v>
      </c>
      <c r="T1694" t="s">
        <v>42711</v>
      </c>
      <c r="U1694" t="s">
        <v>44675</v>
      </c>
      <c r="V1694" t="s">
        <v>54337</v>
      </c>
      <c r="W1694" t="s">
        <v>37877</v>
      </c>
      <c r="X1694" t="s">
        <v>41252</v>
      </c>
    </row>
    <row r="1695" spans="1:24">
      <c r="A1695">
        <f>HYPERLINK("https://www.philgeps.gov.ph/GEPSNONPILOT/Tender/SplashBidNoticeAbstractUI.aspx?menuIndex=3&amp;refID=7078169&amp;Result=3","7078169")</f>
        <v>0</v>
      </c>
      <c r="B1695" t="s">
        <v>393</v>
      </c>
      <c r="C1695" t="s">
        <v>5010</v>
      </c>
      <c r="D1695" t="s">
        <v>16615</v>
      </c>
      <c r="E1695" t="s">
        <v>18301</v>
      </c>
      <c r="F1695" t="s">
        <v>28669</v>
      </c>
      <c r="G1695" t="s">
        <v>28676</v>
      </c>
      <c r="H1695" t="s">
        <v>9998</v>
      </c>
      <c r="I1695" t="s">
        <v>28694</v>
      </c>
      <c r="J1695" t="s">
        <v>28912</v>
      </c>
      <c r="K1695" t="s">
        <v>37205</v>
      </c>
      <c r="M1695" t="s">
        <v>37877</v>
      </c>
      <c r="N1695" t="s">
        <v>41249</v>
      </c>
      <c r="O1695" t="s">
        <v>41250</v>
      </c>
      <c r="P1695">
        <v>0</v>
      </c>
      <c r="Q1695">
        <v>0</v>
      </c>
      <c r="R1695" t="s">
        <v>41251</v>
      </c>
      <c r="S1695" t="s">
        <v>41369</v>
      </c>
      <c r="T1695" t="s">
        <v>42711</v>
      </c>
      <c r="U1695" t="s">
        <v>44676</v>
      </c>
      <c r="V1695" t="s">
        <v>54337</v>
      </c>
      <c r="W1695" t="s">
        <v>37877</v>
      </c>
      <c r="X1695" t="s">
        <v>41252</v>
      </c>
    </row>
    <row r="1696" spans="1:24">
      <c r="A1696">
        <f>HYPERLINK("https://www.philgeps.gov.ph/GEPSNONPILOT/Tender/SplashBidNoticeAbstractUI.aspx?menuIndex=3&amp;refID=7078220&amp;Result=3","7078220")</f>
        <v>0</v>
      </c>
      <c r="B1696" t="s">
        <v>761</v>
      </c>
      <c r="C1696" t="s">
        <v>5011</v>
      </c>
      <c r="D1696" t="s">
        <v>16608</v>
      </c>
      <c r="E1696" t="s">
        <v>18302</v>
      </c>
      <c r="F1696" t="s">
        <v>28669</v>
      </c>
      <c r="G1696" t="s">
        <v>28676</v>
      </c>
      <c r="H1696" t="s">
        <v>9998</v>
      </c>
      <c r="I1696" t="s">
        <v>28776</v>
      </c>
      <c r="J1696" t="s">
        <v>28914</v>
      </c>
      <c r="K1696" t="s">
        <v>37209</v>
      </c>
      <c r="M1696" t="s">
        <v>38272</v>
      </c>
      <c r="N1696" t="s">
        <v>41249</v>
      </c>
      <c r="O1696" t="s">
        <v>41250</v>
      </c>
      <c r="P1696">
        <v>0</v>
      </c>
      <c r="Q1696">
        <v>7</v>
      </c>
      <c r="R1696" t="s">
        <v>41251</v>
      </c>
      <c r="S1696" t="s">
        <v>41369</v>
      </c>
      <c r="T1696" t="s">
        <v>42738</v>
      </c>
      <c r="U1696" t="s">
        <v>44677</v>
      </c>
      <c r="W1696" t="s">
        <v>38272</v>
      </c>
      <c r="X1696" t="s">
        <v>41252</v>
      </c>
    </row>
    <row r="1697" spans="1:24">
      <c r="A1697">
        <f>HYPERLINK("https://www.philgeps.gov.ph/GEPSNONPILOT/Tender/SplashBidNoticeAbstractUI.aspx?menuIndex=3&amp;refID=7078218&amp;Result=3","7078218")</f>
        <v>0</v>
      </c>
      <c r="B1697" t="s">
        <v>658</v>
      </c>
      <c r="C1697" t="s">
        <v>5012</v>
      </c>
      <c r="D1697" t="s">
        <v>16622</v>
      </c>
      <c r="E1697" t="s">
        <v>18303</v>
      </c>
      <c r="F1697" t="s">
        <v>28669</v>
      </c>
      <c r="G1697" t="s">
        <v>28676</v>
      </c>
      <c r="H1697" t="s">
        <v>9998</v>
      </c>
      <c r="I1697" t="s">
        <v>28716</v>
      </c>
      <c r="J1697" t="s">
        <v>28854</v>
      </c>
      <c r="K1697" t="s">
        <v>37209</v>
      </c>
      <c r="M1697" t="s">
        <v>38159</v>
      </c>
      <c r="N1697" t="s">
        <v>41249</v>
      </c>
      <c r="O1697" t="s">
        <v>41250</v>
      </c>
      <c r="P1697">
        <v>0</v>
      </c>
      <c r="Q1697">
        <v>1</v>
      </c>
      <c r="R1697" t="s">
        <v>41251</v>
      </c>
      <c r="S1697" t="s">
        <v>41369</v>
      </c>
      <c r="T1697" t="s">
        <v>42757</v>
      </c>
      <c r="U1697" t="s">
        <v>44678</v>
      </c>
      <c r="W1697" t="s">
        <v>38159</v>
      </c>
      <c r="X1697" t="s">
        <v>41252</v>
      </c>
    </row>
    <row r="1698" spans="1:24">
      <c r="A1698">
        <f>HYPERLINK("https://www.philgeps.gov.ph/GEPSNONPILOT/Tender/SplashBidNoticeAbstractUI.aspx?menuIndex=3&amp;refID=7078217&amp;Result=3","7078217")</f>
        <v>0</v>
      </c>
      <c r="B1698" t="s">
        <v>762</v>
      </c>
      <c r="C1698" t="s">
        <v>5013</v>
      </c>
      <c r="E1698" t="s">
        <v>18304</v>
      </c>
      <c r="F1698" t="s">
        <v>28669</v>
      </c>
      <c r="G1698" t="s">
        <v>28676</v>
      </c>
      <c r="H1698" t="s">
        <v>9998</v>
      </c>
      <c r="I1698" t="s">
        <v>5213</v>
      </c>
      <c r="J1698" t="s">
        <v>29997</v>
      </c>
      <c r="K1698" t="s">
        <v>37209</v>
      </c>
      <c r="M1698" t="s">
        <v>38273</v>
      </c>
      <c r="N1698" t="s">
        <v>41249</v>
      </c>
      <c r="O1698" t="s">
        <v>41250</v>
      </c>
      <c r="P1698">
        <v>0</v>
      </c>
      <c r="Q1698">
        <v>3</v>
      </c>
      <c r="R1698" t="s">
        <v>41251</v>
      </c>
      <c r="S1698" t="s">
        <v>41369</v>
      </c>
      <c r="T1698" t="s">
        <v>42734</v>
      </c>
      <c r="U1698" t="s">
        <v>44679</v>
      </c>
      <c r="W1698" t="s">
        <v>38273</v>
      </c>
      <c r="X1698" t="s">
        <v>41252</v>
      </c>
    </row>
    <row r="1699" spans="1:24">
      <c r="A1699">
        <f>HYPERLINK("https://www.philgeps.gov.ph/GEPSNONPILOT/Tender/SplashBidNoticeAbstractUI.aspx?menuIndex=3&amp;refID=7078164&amp;Result=3","7078164")</f>
        <v>0</v>
      </c>
      <c r="B1699" t="s">
        <v>744</v>
      </c>
      <c r="C1699" t="s">
        <v>5014</v>
      </c>
      <c r="D1699" t="s">
        <v>16608</v>
      </c>
      <c r="E1699" t="s">
        <v>18305</v>
      </c>
      <c r="F1699" t="s">
        <v>28669</v>
      </c>
      <c r="G1699" t="s">
        <v>28676</v>
      </c>
      <c r="H1699" t="s">
        <v>9998</v>
      </c>
      <c r="I1699" t="s">
        <v>7352</v>
      </c>
      <c r="J1699" t="s">
        <v>29998</v>
      </c>
      <c r="K1699" t="s">
        <v>37220</v>
      </c>
      <c r="M1699" t="s">
        <v>38254</v>
      </c>
      <c r="N1699" t="s">
        <v>41249</v>
      </c>
      <c r="O1699" t="s">
        <v>41250</v>
      </c>
      <c r="P1699">
        <v>0</v>
      </c>
      <c r="Q1699">
        <v>2</v>
      </c>
      <c r="R1699" t="s">
        <v>41251</v>
      </c>
      <c r="S1699" t="s">
        <v>41369</v>
      </c>
      <c r="T1699" t="s">
        <v>42738</v>
      </c>
      <c r="U1699" t="s">
        <v>44680</v>
      </c>
      <c r="V1699" t="s">
        <v>54461</v>
      </c>
      <c r="W1699" t="s">
        <v>38254</v>
      </c>
      <c r="X1699" t="s">
        <v>41252</v>
      </c>
    </row>
    <row r="1700" spans="1:24">
      <c r="A1700">
        <f>HYPERLINK("https://www.philgeps.gov.ph/GEPSNONPILOT/Tender/SplashBidNoticeAbstractUI.aspx?menuIndex=3&amp;refID=7078216&amp;Result=3","7078216")</f>
        <v>0</v>
      </c>
      <c r="B1700" t="s">
        <v>631</v>
      </c>
      <c r="C1700" t="s">
        <v>5015</v>
      </c>
      <c r="D1700" t="s">
        <v>16617</v>
      </c>
      <c r="E1700" t="s">
        <v>18306</v>
      </c>
      <c r="F1700" t="s">
        <v>28669</v>
      </c>
      <c r="G1700" t="s">
        <v>28676</v>
      </c>
      <c r="H1700" t="s">
        <v>9998</v>
      </c>
      <c r="I1700" t="s">
        <v>5213</v>
      </c>
      <c r="J1700" t="s">
        <v>29999</v>
      </c>
      <c r="K1700" t="s">
        <v>37240</v>
      </c>
      <c r="M1700" t="s">
        <v>38131</v>
      </c>
      <c r="N1700" t="s">
        <v>41249</v>
      </c>
      <c r="O1700" t="s">
        <v>41250</v>
      </c>
      <c r="P1700">
        <v>0</v>
      </c>
      <c r="Q1700">
        <v>1</v>
      </c>
      <c r="R1700" t="s">
        <v>41251</v>
      </c>
      <c r="S1700" t="s">
        <v>41369</v>
      </c>
      <c r="T1700" t="s">
        <v>42717</v>
      </c>
      <c r="U1700" t="s">
        <v>44681</v>
      </c>
      <c r="W1700" t="s">
        <v>38131</v>
      </c>
      <c r="X1700" t="s">
        <v>41252</v>
      </c>
    </row>
    <row r="1701" spans="1:24">
      <c r="A1701">
        <f>HYPERLINK("https://www.philgeps.gov.ph/GEPSNONPILOT/Tender/SplashBidNoticeAbstractUI.aspx?menuIndex=3&amp;refID=7078214&amp;Result=3","7078214")</f>
        <v>0</v>
      </c>
      <c r="B1701" t="s">
        <v>763</v>
      </c>
      <c r="C1701" t="s">
        <v>5016</v>
      </c>
      <c r="D1701" t="s">
        <v>16627</v>
      </c>
      <c r="E1701" t="s">
        <v>18307</v>
      </c>
      <c r="F1701" t="s">
        <v>28669</v>
      </c>
      <c r="G1701" t="s">
        <v>28675</v>
      </c>
      <c r="H1701" t="s">
        <v>28686</v>
      </c>
      <c r="I1701" t="s">
        <v>28689</v>
      </c>
      <c r="J1701" t="s">
        <v>29053</v>
      </c>
      <c r="K1701" t="s">
        <v>37215</v>
      </c>
      <c r="M1701" t="s">
        <v>38274</v>
      </c>
      <c r="N1701" t="s">
        <v>41249</v>
      </c>
      <c r="O1701" t="s">
        <v>41250</v>
      </c>
      <c r="P1701">
        <v>0</v>
      </c>
      <c r="Q1701">
        <v>0</v>
      </c>
      <c r="R1701" t="s">
        <v>41251</v>
      </c>
      <c r="S1701" t="s">
        <v>41369</v>
      </c>
      <c r="T1701" t="s">
        <v>42837</v>
      </c>
      <c r="U1701" t="s">
        <v>44682</v>
      </c>
      <c r="W1701" t="s">
        <v>38274</v>
      </c>
      <c r="X1701" t="s">
        <v>41252</v>
      </c>
    </row>
    <row r="1702" spans="1:24">
      <c r="A1702">
        <f>HYPERLINK("https://www.philgeps.gov.ph/GEPSNONPILOT/Tender/SplashBidNoticeAbstractUI.aspx?menuIndex=3&amp;refID=7078178&amp;Result=3","7078178")</f>
        <v>0</v>
      </c>
      <c r="B1702" t="s">
        <v>764</v>
      </c>
      <c r="C1702" t="s">
        <v>5017</v>
      </c>
      <c r="D1702" t="s">
        <v>16675</v>
      </c>
      <c r="E1702" t="s">
        <v>18308</v>
      </c>
      <c r="F1702" t="s">
        <v>28669</v>
      </c>
      <c r="G1702" t="s">
        <v>28676</v>
      </c>
      <c r="H1702" t="s">
        <v>9998</v>
      </c>
      <c r="I1702" t="s">
        <v>11593</v>
      </c>
      <c r="J1702" t="s">
        <v>30000</v>
      </c>
      <c r="K1702" t="s">
        <v>37243</v>
      </c>
      <c r="M1702" t="s">
        <v>38275</v>
      </c>
      <c r="N1702" t="s">
        <v>41249</v>
      </c>
      <c r="O1702" t="s">
        <v>41250</v>
      </c>
      <c r="P1702">
        <v>0</v>
      </c>
      <c r="Q1702">
        <v>0</v>
      </c>
      <c r="R1702" t="s">
        <v>41251</v>
      </c>
      <c r="S1702" t="s">
        <v>41369</v>
      </c>
      <c r="T1702" t="s">
        <v>42738</v>
      </c>
      <c r="U1702" t="s">
        <v>44683</v>
      </c>
      <c r="V1702" t="s">
        <v>54425</v>
      </c>
      <c r="W1702" t="s">
        <v>38275</v>
      </c>
      <c r="X1702" t="s">
        <v>41252</v>
      </c>
    </row>
    <row r="1703" spans="1:24">
      <c r="A1703">
        <f>HYPERLINK("https://www.philgeps.gov.ph/GEPSNONPILOT/Tender/SplashBidNoticeAbstractUI.aspx?menuIndex=3&amp;refID=7078226&amp;Result=3","7078226")</f>
        <v>0</v>
      </c>
      <c r="B1703" t="s">
        <v>693</v>
      </c>
      <c r="C1703" t="s">
        <v>5018</v>
      </c>
      <c r="D1703" t="s">
        <v>16615</v>
      </c>
      <c r="E1703" t="s">
        <v>18309</v>
      </c>
      <c r="F1703" t="s">
        <v>28669</v>
      </c>
      <c r="G1703" t="s">
        <v>28676</v>
      </c>
      <c r="H1703" t="s">
        <v>9998</v>
      </c>
      <c r="I1703" t="s">
        <v>28704</v>
      </c>
      <c r="J1703" t="s">
        <v>30001</v>
      </c>
      <c r="K1703" t="s">
        <v>37204</v>
      </c>
      <c r="M1703" t="s">
        <v>38198</v>
      </c>
      <c r="N1703" t="s">
        <v>41249</v>
      </c>
      <c r="O1703" t="s">
        <v>41250</v>
      </c>
      <c r="P1703">
        <v>0</v>
      </c>
      <c r="Q1703">
        <v>0</v>
      </c>
      <c r="R1703" t="s">
        <v>41251</v>
      </c>
      <c r="S1703" t="s">
        <v>41369</v>
      </c>
      <c r="T1703" t="s">
        <v>42838</v>
      </c>
      <c r="U1703" t="s">
        <v>44684</v>
      </c>
      <c r="V1703" t="s">
        <v>54462</v>
      </c>
      <c r="W1703" t="s">
        <v>38198</v>
      </c>
      <c r="X1703" t="s">
        <v>41252</v>
      </c>
    </row>
    <row r="1704" spans="1:24">
      <c r="A1704">
        <f>HYPERLINK("https://www.philgeps.gov.ph/GEPSNONPILOT/Tender/SplashBidNoticeAbstractUI.aspx?menuIndex=3&amp;refID=7078166&amp;Result=3","7078166")</f>
        <v>0</v>
      </c>
      <c r="B1704" t="s">
        <v>765</v>
      </c>
      <c r="C1704" t="s">
        <v>5019</v>
      </c>
      <c r="D1704" t="s">
        <v>16628</v>
      </c>
      <c r="E1704" t="s">
        <v>17090</v>
      </c>
      <c r="F1704" t="s">
        <v>28669</v>
      </c>
      <c r="G1704" t="s">
        <v>28675</v>
      </c>
      <c r="H1704" t="s">
        <v>9998</v>
      </c>
      <c r="I1704" t="s">
        <v>28687</v>
      </c>
      <c r="J1704" t="s">
        <v>30002</v>
      </c>
      <c r="K1704" t="s">
        <v>37206</v>
      </c>
      <c r="M1704" t="s">
        <v>38276</v>
      </c>
      <c r="N1704" t="s">
        <v>41249</v>
      </c>
      <c r="O1704" t="s">
        <v>41250</v>
      </c>
      <c r="P1704">
        <v>0</v>
      </c>
      <c r="Q1704">
        <v>0</v>
      </c>
      <c r="R1704" t="s">
        <v>41251</v>
      </c>
      <c r="S1704" t="s">
        <v>41369</v>
      </c>
      <c r="T1704" t="s">
        <v>42690</v>
      </c>
      <c r="U1704" t="s">
        <v>44685</v>
      </c>
      <c r="W1704" t="s">
        <v>38276</v>
      </c>
      <c r="X1704" t="s">
        <v>41252</v>
      </c>
    </row>
    <row r="1705" spans="1:24">
      <c r="A1705">
        <f>HYPERLINK("https://www.philgeps.gov.ph/GEPSNONPILOT/Tender/SplashBidNoticeAbstractUI.aspx?menuIndex=3&amp;refID=7078204&amp;Result=3","7078204")</f>
        <v>0</v>
      </c>
      <c r="B1705" t="s">
        <v>766</v>
      </c>
      <c r="C1705" t="s">
        <v>5020</v>
      </c>
      <c r="E1705" t="s">
        <v>18310</v>
      </c>
      <c r="F1705" t="s">
        <v>28669</v>
      </c>
      <c r="G1705" t="s">
        <v>28676</v>
      </c>
      <c r="H1705" t="s">
        <v>9998</v>
      </c>
      <c r="I1705" t="s">
        <v>3679</v>
      </c>
      <c r="J1705" t="s">
        <v>30003</v>
      </c>
      <c r="K1705" t="s">
        <v>37209</v>
      </c>
      <c r="M1705" t="s">
        <v>38277</v>
      </c>
      <c r="N1705" t="s">
        <v>41249</v>
      </c>
      <c r="O1705" t="s">
        <v>41250</v>
      </c>
      <c r="P1705">
        <v>0</v>
      </c>
      <c r="Q1705">
        <v>0</v>
      </c>
      <c r="R1705" t="s">
        <v>41251</v>
      </c>
      <c r="S1705" t="s">
        <v>41369</v>
      </c>
      <c r="T1705" t="s">
        <v>42711</v>
      </c>
      <c r="U1705" t="s">
        <v>44686</v>
      </c>
      <c r="W1705" t="s">
        <v>38277</v>
      </c>
      <c r="X1705" t="s">
        <v>41252</v>
      </c>
    </row>
    <row r="1706" spans="1:24">
      <c r="A1706">
        <f>HYPERLINK("https://www.philgeps.gov.ph/GEPSNONPILOT/Tender/SplashBidNoticeAbstractUI.aspx?menuIndex=3&amp;refID=7078209&amp;Result=3","7078209")</f>
        <v>0</v>
      </c>
      <c r="B1706" t="s">
        <v>232</v>
      </c>
      <c r="C1706" t="s">
        <v>5021</v>
      </c>
      <c r="D1706" t="s">
        <v>16618</v>
      </c>
      <c r="E1706" t="s">
        <v>18311</v>
      </c>
      <c r="F1706" t="s">
        <v>28669</v>
      </c>
      <c r="G1706" t="s">
        <v>28676</v>
      </c>
      <c r="H1706" t="s">
        <v>9998</v>
      </c>
      <c r="I1706" t="s">
        <v>6128</v>
      </c>
      <c r="J1706" t="s">
        <v>28854</v>
      </c>
      <c r="K1706" t="s">
        <v>37209</v>
      </c>
      <c r="M1706" t="s">
        <v>37710</v>
      </c>
      <c r="N1706" t="s">
        <v>41249</v>
      </c>
      <c r="O1706" t="s">
        <v>41250</v>
      </c>
      <c r="P1706">
        <v>0</v>
      </c>
      <c r="Q1706">
        <v>1</v>
      </c>
      <c r="R1706" t="s">
        <v>41251</v>
      </c>
      <c r="S1706" t="s">
        <v>41369</v>
      </c>
      <c r="T1706" t="s">
        <v>42717</v>
      </c>
      <c r="U1706" t="s">
        <v>44687</v>
      </c>
      <c r="W1706" t="s">
        <v>37710</v>
      </c>
      <c r="X1706" t="s">
        <v>41252</v>
      </c>
    </row>
    <row r="1707" spans="1:24">
      <c r="A1707">
        <f>HYPERLINK("https://www.philgeps.gov.ph/GEPSNONPILOT/Tender/SplashBidNoticeAbstractUI.aspx?menuIndex=3&amp;refID=7078202&amp;Result=3","7078202")</f>
        <v>0</v>
      </c>
      <c r="B1707" t="s">
        <v>767</v>
      </c>
      <c r="C1707" t="s">
        <v>5022</v>
      </c>
      <c r="D1707" t="s">
        <v>16681</v>
      </c>
      <c r="E1707" t="s">
        <v>18312</v>
      </c>
      <c r="F1707" t="s">
        <v>28669</v>
      </c>
      <c r="G1707" t="s">
        <v>28675</v>
      </c>
      <c r="H1707" t="s">
        <v>28686</v>
      </c>
      <c r="I1707" t="s">
        <v>28689</v>
      </c>
      <c r="J1707" t="s">
        <v>30004</v>
      </c>
      <c r="K1707" t="s">
        <v>37289</v>
      </c>
      <c r="M1707" t="s">
        <v>38278</v>
      </c>
      <c r="N1707" t="s">
        <v>41249</v>
      </c>
      <c r="O1707" t="s">
        <v>41250</v>
      </c>
      <c r="P1707">
        <v>0</v>
      </c>
      <c r="Q1707">
        <v>0</v>
      </c>
      <c r="R1707" t="s">
        <v>41251</v>
      </c>
      <c r="S1707" t="s">
        <v>41369</v>
      </c>
      <c r="T1707" t="s">
        <v>42722</v>
      </c>
      <c r="U1707" t="s">
        <v>44688</v>
      </c>
      <c r="W1707" t="s">
        <v>38278</v>
      </c>
      <c r="X1707" t="s">
        <v>41252</v>
      </c>
    </row>
    <row r="1708" spans="1:24">
      <c r="A1708">
        <f>HYPERLINK("https://www.philgeps.gov.ph/GEPSNONPILOT/Tender/SplashBidNoticeAbstractUI.aspx?menuIndex=3&amp;refID=7078208&amp;Result=3","7078208")</f>
        <v>0</v>
      </c>
      <c r="B1708" t="s">
        <v>369</v>
      </c>
      <c r="C1708" t="s">
        <v>5023</v>
      </c>
      <c r="D1708" t="s">
        <v>16619</v>
      </c>
      <c r="E1708" t="s">
        <v>18313</v>
      </c>
      <c r="F1708" t="s">
        <v>28669</v>
      </c>
      <c r="G1708" t="s">
        <v>28675</v>
      </c>
      <c r="H1708" t="s">
        <v>9998</v>
      </c>
      <c r="I1708" t="s">
        <v>28724</v>
      </c>
      <c r="J1708" t="s">
        <v>28905</v>
      </c>
      <c r="K1708" t="s">
        <v>37206</v>
      </c>
      <c r="M1708" t="s">
        <v>38279</v>
      </c>
      <c r="N1708" t="s">
        <v>41249</v>
      </c>
      <c r="O1708" t="s">
        <v>41250</v>
      </c>
      <c r="P1708">
        <v>0</v>
      </c>
      <c r="Q1708">
        <v>1</v>
      </c>
      <c r="R1708" t="s">
        <v>41251</v>
      </c>
      <c r="S1708" t="s">
        <v>41369</v>
      </c>
      <c r="T1708" t="s">
        <v>42839</v>
      </c>
      <c r="U1708" t="s">
        <v>44689</v>
      </c>
      <c r="W1708" t="s">
        <v>38279</v>
      </c>
      <c r="X1708" t="s">
        <v>41252</v>
      </c>
    </row>
    <row r="1709" spans="1:24">
      <c r="A1709">
        <f>HYPERLINK("https://www.philgeps.gov.ph/GEPSNONPILOT/Tender/SplashBidNoticeAbstractUI.aspx?menuIndex=3&amp;refID=7078156&amp;Result=3","7078156")</f>
        <v>0</v>
      </c>
      <c r="B1709" t="s">
        <v>747</v>
      </c>
      <c r="C1709" t="s">
        <v>5024</v>
      </c>
      <c r="D1709" t="s">
        <v>16657</v>
      </c>
      <c r="E1709" t="s">
        <v>5024</v>
      </c>
      <c r="F1709" t="s">
        <v>28669</v>
      </c>
      <c r="G1709" t="s">
        <v>28675</v>
      </c>
      <c r="H1709" t="s">
        <v>9998</v>
      </c>
      <c r="I1709" t="s">
        <v>28725</v>
      </c>
      <c r="J1709" t="s">
        <v>28879</v>
      </c>
      <c r="K1709" t="s">
        <v>37299</v>
      </c>
      <c r="M1709" t="s">
        <v>38257</v>
      </c>
      <c r="N1709" t="s">
        <v>41249</v>
      </c>
      <c r="O1709" t="s">
        <v>41250</v>
      </c>
      <c r="P1709">
        <v>0</v>
      </c>
      <c r="Q1709">
        <v>0</v>
      </c>
      <c r="R1709" t="s">
        <v>41251</v>
      </c>
      <c r="S1709" t="s">
        <v>41369</v>
      </c>
      <c r="T1709" t="s">
        <v>42836</v>
      </c>
      <c r="U1709" t="s">
        <v>44643</v>
      </c>
      <c r="W1709" t="s">
        <v>38257</v>
      </c>
      <c r="X1709" t="s">
        <v>41252</v>
      </c>
    </row>
    <row r="1710" spans="1:24">
      <c r="A1710">
        <f>HYPERLINK("https://www.philgeps.gov.ph/GEPSNONPILOT/Tender/SplashBidNoticeAbstractUI.aspx?menuIndex=3&amp;refID=7078198&amp;Result=3","7078198")</f>
        <v>0</v>
      </c>
      <c r="B1710" t="s">
        <v>431</v>
      </c>
      <c r="C1710" t="s">
        <v>5025</v>
      </c>
      <c r="D1710" t="s">
        <v>16607</v>
      </c>
      <c r="E1710" t="s">
        <v>18314</v>
      </c>
      <c r="F1710" t="s">
        <v>28669</v>
      </c>
      <c r="G1710" t="s">
        <v>28676</v>
      </c>
      <c r="H1710" t="s">
        <v>9998</v>
      </c>
      <c r="I1710" t="s">
        <v>6606</v>
      </c>
      <c r="J1710" t="s">
        <v>29020</v>
      </c>
      <c r="K1710" t="s">
        <v>37266</v>
      </c>
      <c r="M1710" t="s">
        <v>37916</v>
      </c>
      <c r="N1710" t="s">
        <v>41249</v>
      </c>
      <c r="O1710" t="s">
        <v>41250</v>
      </c>
      <c r="P1710">
        <v>0</v>
      </c>
      <c r="Q1710">
        <v>0</v>
      </c>
      <c r="R1710" t="s">
        <v>41251</v>
      </c>
      <c r="S1710" t="s">
        <v>41369</v>
      </c>
      <c r="T1710" t="s">
        <v>42770</v>
      </c>
      <c r="U1710" t="s">
        <v>44690</v>
      </c>
      <c r="W1710" t="s">
        <v>37916</v>
      </c>
      <c r="X1710" t="s">
        <v>41252</v>
      </c>
    </row>
    <row r="1711" spans="1:24">
      <c r="A1711">
        <f>HYPERLINK("https://www.philgeps.gov.ph/GEPSNONPILOT/Tender/SplashBidNoticeAbstractUI.aspx?menuIndex=3&amp;refID=7078195&amp;Result=3","7078195")</f>
        <v>0</v>
      </c>
      <c r="B1711" t="s">
        <v>452</v>
      </c>
      <c r="C1711" t="s">
        <v>5026</v>
      </c>
      <c r="D1711" t="s">
        <v>16608</v>
      </c>
      <c r="E1711" t="s">
        <v>18315</v>
      </c>
      <c r="F1711" t="s">
        <v>28669</v>
      </c>
      <c r="G1711" t="s">
        <v>28676</v>
      </c>
      <c r="H1711" t="s">
        <v>9998</v>
      </c>
      <c r="I1711" t="s">
        <v>6128</v>
      </c>
      <c r="J1711" t="s">
        <v>30005</v>
      </c>
      <c r="K1711" t="s">
        <v>37205</v>
      </c>
      <c r="M1711" t="s">
        <v>38261</v>
      </c>
      <c r="N1711" t="s">
        <v>41249</v>
      </c>
      <c r="O1711" t="s">
        <v>41250</v>
      </c>
      <c r="P1711">
        <v>0</v>
      </c>
      <c r="Q1711">
        <v>13</v>
      </c>
      <c r="R1711" t="s">
        <v>41251</v>
      </c>
      <c r="S1711" t="s">
        <v>41369</v>
      </c>
      <c r="T1711" t="s">
        <v>42752</v>
      </c>
      <c r="U1711" t="s">
        <v>44649</v>
      </c>
      <c r="W1711" t="s">
        <v>38261</v>
      </c>
      <c r="X1711" t="s">
        <v>41252</v>
      </c>
    </row>
    <row r="1712" spans="1:24">
      <c r="A1712">
        <f>HYPERLINK("https://www.philgeps.gov.ph/GEPSNONPILOT/Tender/SplashBidNoticeAbstractUI.aspx?menuIndex=3&amp;refID=7078203&amp;Result=3","7078203")</f>
        <v>0</v>
      </c>
      <c r="B1712" t="s">
        <v>752</v>
      </c>
      <c r="C1712" t="s">
        <v>5027</v>
      </c>
      <c r="E1712" t="s">
        <v>18316</v>
      </c>
      <c r="F1712" t="s">
        <v>28669</v>
      </c>
      <c r="G1712" t="s">
        <v>28676</v>
      </c>
      <c r="H1712" t="s">
        <v>9998</v>
      </c>
      <c r="I1712" t="s">
        <v>3718</v>
      </c>
      <c r="J1712" t="s">
        <v>30006</v>
      </c>
      <c r="K1712" t="s">
        <v>37209</v>
      </c>
      <c r="M1712" t="s">
        <v>38280</v>
      </c>
      <c r="N1712" t="s">
        <v>41249</v>
      </c>
      <c r="O1712" t="s">
        <v>41250</v>
      </c>
      <c r="P1712">
        <v>0</v>
      </c>
      <c r="Q1712">
        <v>3</v>
      </c>
      <c r="R1712" t="s">
        <v>41251</v>
      </c>
      <c r="S1712" t="s">
        <v>41369</v>
      </c>
      <c r="T1712" t="s">
        <v>42675</v>
      </c>
      <c r="U1712" t="s">
        <v>44691</v>
      </c>
      <c r="V1712" t="s">
        <v>54463</v>
      </c>
      <c r="W1712" t="s">
        <v>38280</v>
      </c>
      <c r="X1712" t="s">
        <v>41252</v>
      </c>
    </row>
    <row r="1713" spans="1:24">
      <c r="A1713">
        <f>HYPERLINK("https://www.philgeps.gov.ph/GEPSNONPILOT/Tender/SplashBidNoticeAbstractUI.aspx?menuIndex=3&amp;refID=7078185&amp;Result=3","7078185")</f>
        <v>0</v>
      </c>
      <c r="B1713" t="s">
        <v>606</v>
      </c>
      <c r="C1713" t="s">
        <v>5028</v>
      </c>
      <c r="D1713" t="s">
        <v>16684</v>
      </c>
      <c r="E1713" t="s">
        <v>18317</v>
      </c>
      <c r="F1713" t="s">
        <v>28669</v>
      </c>
      <c r="G1713" t="s">
        <v>28675</v>
      </c>
      <c r="H1713" t="s">
        <v>28686</v>
      </c>
      <c r="I1713" t="s">
        <v>28689</v>
      </c>
      <c r="J1713" t="s">
        <v>29968</v>
      </c>
      <c r="K1713" t="s">
        <v>37212</v>
      </c>
      <c r="M1713" t="s">
        <v>38106</v>
      </c>
      <c r="N1713" t="s">
        <v>41249</v>
      </c>
      <c r="O1713" t="s">
        <v>41250</v>
      </c>
      <c r="P1713">
        <v>0</v>
      </c>
      <c r="Q1713">
        <v>1</v>
      </c>
      <c r="R1713" t="s">
        <v>41251</v>
      </c>
      <c r="S1713" t="s">
        <v>41369</v>
      </c>
      <c r="T1713" t="s">
        <v>42692</v>
      </c>
      <c r="U1713" t="s">
        <v>44637</v>
      </c>
      <c r="V1713" t="s">
        <v>54464</v>
      </c>
      <c r="W1713" t="s">
        <v>38106</v>
      </c>
      <c r="X1713" t="s">
        <v>41252</v>
      </c>
    </row>
    <row r="1714" spans="1:24">
      <c r="A1714">
        <f>HYPERLINK("https://www.philgeps.gov.ph/GEPSNONPILOT/Tender/SplashBidNoticeAbstractUI.aspx?menuIndex=3&amp;refID=7078161&amp;Result=3","7078161")</f>
        <v>0</v>
      </c>
      <c r="B1714" t="s">
        <v>768</v>
      </c>
      <c r="C1714" t="s">
        <v>5029</v>
      </c>
      <c r="D1714" t="s">
        <v>16636</v>
      </c>
      <c r="E1714" t="s">
        <v>18318</v>
      </c>
      <c r="F1714" t="s">
        <v>28669</v>
      </c>
      <c r="G1714" t="s">
        <v>28676</v>
      </c>
      <c r="H1714" t="s">
        <v>9998</v>
      </c>
      <c r="I1714" t="s">
        <v>28687</v>
      </c>
      <c r="J1714" t="s">
        <v>28838</v>
      </c>
      <c r="K1714" t="s">
        <v>37209</v>
      </c>
      <c r="M1714" t="s">
        <v>38281</v>
      </c>
      <c r="N1714" t="s">
        <v>41249</v>
      </c>
      <c r="O1714" t="s">
        <v>41250</v>
      </c>
      <c r="P1714">
        <v>0</v>
      </c>
      <c r="Q1714">
        <v>0</v>
      </c>
      <c r="R1714" t="s">
        <v>41251</v>
      </c>
      <c r="S1714" t="s">
        <v>41369</v>
      </c>
      <c r="T1714" t="s">
        <v>42673</v>
      </c>
      <c r="U1714" t="s">
        <v>44692</v>
      </c>
      <c r="W1714" t="s">
        <v>38281</v>
      </c>
      <c r="X1714" t="s">
        <v>41252</v>
      </c>
    </row>
    <row r="1715" spans="1:24">
      <c r="A1715">
        <f>HYPERLINK("https://www.philgeps.gov.ph/GEPSNONPILOT/Tender/SplashBidNoticeAbstractUI.aspx?menuIndex=3&amp;refID=7078207&amp;Result=3","7078207")</f>
        <v>0</v>
      </c>
      <c r="B1715" t="s">
        <v>645</v>
      </c>
      <c r="C1715" t="s">
        <v>5030</v>
      </c>
      <c r="D1715" t="s">
        <v>16624</v>
      </c>
      <c r="E1715" t="s">
        <v>18319</v>
      </c>
      <c r="F1715" t="s">
        <v>28669</v>
      </c>
      <c r="G1715" t="s">
        <v>28675</v>
      </c>
      <c r="H1715" t="s">
        <v>28686</v>
      </c>
      <c r="I1715" t="s">
        <v>28689</v>
      </c>
      <c r="J1715" t="s">
        <v>28847</v>
      </c>
      <c r="K1715" t="s">
        <v>37253</v>
      </c>
      <c r="M1715" t="s">
        <v>38146</v>
      </c>
      <c r="N1715" t="s">
        <v>41249</v>
      </c>
      <c r="O1715" t="s">
        <v>41250</v>
      </c>
      <c r="P1715">
        <v>0</v>
      </c>
      <c r="Q1715">
        <v>0</v>
      </c>
      <c r="R1715" t="s">
        <v>41251</v>
      </c>
      <c r="S1715" t="s">
        <v>41369</v>
      </c>
      <c r="T1715" t="s">
        <v>42840</v>
      </c>
      <c r="U1715" t="s">
        <v>44693</v>
      </c>
      <c r="W1715" t="s">
        <v>38146</v>
      </c>
      <c r="X1715" t="s">
        <v>41252</v>
      </c>
    </row>
    <row r="1716" spans="1:24">
      <c r="A1716">
        <f>HYPERLINK("https://www.philgeps.gov.ph/GEPSNONPILOT/Tender/SplashBidNoticeAbstractUI.aspx?menuIndex=3&amp;refID=7078157&amp;Result=3","7078157")</f>
        <v>0</v>
      </c>
      <c r="B1716" t="s">
        <v>769</v>
      </c>
      <c r="C1716" t="s">
        <v>5031</v>
      </c>
      <c r="D1716" t="s">
        <v>16616</v>
      </c>
      <c r="E1716" t="s">
        <v>18320</v>
      </c>
      <c r="F1716" t="s">
        <v>28669</v>
      </c>
      <c r="G1716" t="s">
        <v>28676</v>
      </c>
      <c r="H1716" t="s">
        <v>9998</v>
      </c>
      <c r="I1716" t="s">
        <v>28698</v>
      </c>
      <c r="J1716" t="s">
        <v>30007</v>
      </c>
      <c r="K1716" t="s">
        <v>37206</v>
      </c>
      <c r="M1716" t="s">
        <v>38282</v>
      </c>
      <c r="N1716" t="s">
        <v>41249</v>
      </c>
      <c r="O1716" t="s">
        <v>41250</v>
      </c>
      <c r="P1716">
        <v>0</v>
      </c>
      <c r="Q1716">
        <v>0</v>
      </c>
      <c r="R1716" t="s">
        <v>41251</v>
      </c>
      <c r="S1716" t="s">
        <v>41369</v>
      </c>
      <c r="T1716" t="s">
        <v>42675</v>
      </c>
      <c r="U1716" t="s">
        <v>44694</v>
      </c>
      <c r="W1716" t="s">
        <v>38282</v>
      </c>
      <c r="X1716" t="s">
        <v>41252</v>
      </c>
    </row>
    <row r="1717" spans="1:24">
      <c r="A1717">
        <f>HYPERLINK("https://www.philgeps.gov.ph/GEPSNONPILOT/Tender/SplashBidNoticeAbstractUI.aspx?menuIndex=3&amp;refID=7078189&amp;Result=3","7078189")</f>
        <v>0</v>
      </c>
      <c r="B1717" t="s">
        <v>210</v>
      </c>
      <c r="C1717" t="s">
        <v>5032</v>
      </c>
      <c r="D1717" t="s">
        <v>16633</v>
      </c>
      <c r="E1717" t="s">
        <v>18321</v>
      </c>
      <c r="F1717" t="s">
        <v>28669</v>
      </c>
      <c r="G1717" t="s">
        <v>28675</v>
      </c>
      <c r="H1717" t="s">
        <v>28686</v>
      </c>
      <c r="I1717" t="s">
        <v>28689</v>
      </c>
      <c r="J1717" t="s">
        <v>29950</v>
      </c>
      <c r="K1717" t="s">
        <v>37217</v>
      </c>
      <c r="M1717" t="s">
        <v>37688</v>
      </c>
      <c r="N1717" t="s">
        <v>41249</v>
      </c>
      <c r="O1717" t="s">
        <v>41250</v>
      </c>
      <c r="P1717">
        <v>0</v>
      </c>
      <c r="Q1717">
        <v>0</v>
      </c>
      <c r="R1717" t="s">
        <v>41251</v>
      </c>
      <c r="S1717" t="s">
        <v>41369</v>
      </c>
      <c r="T1717" t="s">
        <v>42661</v>
      </c>
      <c r="U1717" t="s">
        <v>44695</v>
      </c>
      <c r="V1717" t="s">
        <v>54465</v>
      </c>
      <c r="W1717" t="s">
        <v>37688</v>
      </c>
      <c r="X1717" t="s">
        <v>41252</v>
      </c>
    </row>
    <row r="1718" spans="1:24">
      <c r="A1718">
        <f>HYPERLINK("https://www.philgeps.gov.ph/GEPSNONPILOT/Tender/SplashBidNoticeAbstractUI.aspx?menuIndex=3&amp;refID=7078159&amp;Result=3","7078159")</f>
        <v>0</v>
      </c>
      <c r="B1718" t="s">
        <v>206</v>
      </c>
      <c r="C1718" t="s">
        <v>5033</v>
      </c>
      <c r="D1718" t="s">
        <v>16617</v>
      </c>
      <c r="E1718" t="s">
        <v>18322</v>
      </c>
      <c r="F1718" t="s">
        <v>28669</v>
      </c>
      <c r="G1718" t="s">
        <v>28677</v>
      </c>
      <c r="H1718" t="s">
        <v>9998</v>
      </c>
      <c r="I1718" t="s">
        <v>5033</v>
      </c>
      <c r="J1718" t="s">
        <v>29040</v>
      </c>
      <c r="K1718" t="s">
        <v>37208</v>
      </c>
      <c r="M1718" t="s">
        <v>37684</v>
      </c>
      <c r="N1718" t="s">
        <v>41249</v>
      </c>
      <c r="O1718" t="s">
        <v>41250</v>
      </c>
      <c r="P1718">
        <v>0</v>
      </c>
      <c r="Q1718">
        <v>1</v>
      </c>
      <c r="R1718" t="s">
        <v>41251</v>
      </c>
      <c r="S1718" t="s">
        <v>41369</v>
      </c>
      <c r="T1718" t="s">
        <v>42701</v>
      </c>
      <c r="U1718" t="s">
        <v>44696</v>
      </c>
      <c r="W1718" t="s">
        <v>37684</v>
      </c>
      <c r="X1718" t="s">
        <v>41252</v>
      </c>
    </row>
    <row r="1719" spans="1:24">
      <c r="A1719">
        <f>HYPERLINK("https://www.philgeps.gov.ph/GEPSNONPILOT/Tender/SplashBidNoticeAbstractUI.aspx?menuIndex=3&amp;refID=7078210&amp;Result=3","7078210")</f>
        <v>0</v>
      </c>
      <c r="B1719" t="s">
        <v>727</v>
      </c>
      <c r="C1719" t="s">
        <v>5034</v>
      </c>
      <c r="D1719" t="s">
        <v>16661</v>
      </c>
      <c r="E1719" t="s">
        <v>18323</v>
      </c>
      <c r="F1719" t="s">
        <v>28669</v>
      </c>
      <c r="G1719" t="s">
        <v>28677</v>
      </c>
      <c r="H1719" t="s">
        <v>9998</v>
      </c>
      <c r="I1719" t="s">
        <v>28738</v>
      </c>
      <c r="J1719" t="s">
        <v>30008</v>
      </c>
      <c r="K1719" t="s">
        <v>37209</v>
      </c>
      <c r="M1719" t="s">
        <v>38235</v>
      </c>
      <c r="N1719" t="s">
        <v>41249</v>
      </c>
      <c r="O1719" t="s">
        <v>41250</v>
      </c>
      <c r="P1719">
        <v>0</v>
      </c>
      <c r="Q1719">
        <v>2</v>
      </c>
      <c r="R1719" t="s">
        <v>41251</v>
      </c>
      <c r="S1719" t="s">
        <v>41369</v>
      </c>
      <c r="T1719" t="s">
        <v>42809</v>
      </c>
      <c r="U1719" t="s">
        <v>44697</v>
      </c>
      <c r="W1719" t="s">
        <v>38235</v>
      </c>
      <c r="X1719" t="s">
        <v>41252</v>
      </c>
    </row>
    <row r="1720" spans="1:24">
      <c r="A1720">
        <f>HYPERLINK("https://www.philgeps.gov.ph/GEPSNONPILOT/Tender/SplashBidNoticeAbstractUI.aspx?menuIndex=3&amp;refID=7078193&amp;Result=3","7078193")</f>
        <v>0</v>
      </c>
      <c r="B1720" t="s">
        <v>746</v>
      </c>
      <c r="C1720" t="s">
        <v>5035</v>
      </c>
      <c r="D1720" t="s">
        <v>16643</v>
      </c>
      <c r="E1720" t="s">
        <v>18324</v>
      </c>
      <c r="F1720" t="s">
        <v>28669</v>
      </c>
      <c r="G1720" t="s">
        <v>28676</v>
      </c>
      <c r="H1720" t="s">
        <v>9998</v>
      </c>
      <c r="I1720" t="s">
        <v>28695</v>
      </c>
      <c r="J1720" t="s">
        <v>30009</v>
      </c>
      <c r="K1720" t="s">
        <v>37205</v>
      </c>
      <c r="M1720" t="s">
        <v>38256</v>
      </c>
      <c r="N1720" t="s">
        <v>41249</v>
      </c>
      <c r="O1720" t="s">
        <v>41250</v>
      </c>
      <c r="P1720">
        <v>0</v>
      </c>
      <c r="Q1720">
        <v>0</v>
      </c>
      <c r="R1720" t="s">
        <v>41251</v>
      </c>
      <c r="S1720" t="s">
        <v>41369</v>
      </c>
      <c r="T1720" t="s">
        <v>42754</v>
      </c>
      <c r="U1720" t="s">
        <v>44698</v>
      </c>
      <c r="W1720" t="s">
        <v>38256</v>
      </c>
      <c r="X1720" t="s">
        <v>41252</v>
      </c>
    </row>
    <row r="1721" spans="1:24">
      <c r="A1721">
        <f>HYPERLINK("https://www.philgeps.gov.ph/GEPSNONPILOT/Tender/SplashBidNoticeAbstractUI.aspx?menuIndex=3&amp;refID=7078213&amp;Result=3","7078213")</f>
        <v>0</v>
      </c>
      <c r="B1721" t="s">
        <v>452</v>
      </c>
      <c r="C1721" t="s">
        <v>5036</v>
      </c>
      <c r="D1721" t="s">
        <v>16608</v>
      </c>
      <c r="E1721" t="s">
        <v>18325</v>
      </c>
      <c r="F1721" t="s">
        <v>28669</v>
      </c>
      <c r="G1721" t="s">
        <v>28676</v>
      </c>
      <c r="H1721" t="s">
        <v>9998</v>
      </c>
      <c r="I1721" t="s">
        <v>28717</v>
      </c>
      <c r="J1721" t="s">
        <v>30010</v>
      </c>
      <c r="K1721" t="s">
        <v>37205</v>
      </c>
      <c r="M1721" t="s">
        <v>38261</v>
      </c>
      <c r="N1721" t="s">
        <v>41249</v>
      </c>
      <c r="O1721" t="s">
        <v>41250</v>
      </c>
      <c r="P1721">
        <v>0</v>
      </c>
      <c r="Q1721">
        <v>16</v>
      </c>
      <c r="R1721" t="s">
        <v>41251</v>
      </c>
      <c r="S1721" t="s">
        <v>41369</v>
      </c>
      <c r="T1721" t="s">
        <v>42752</v>
      </c>
      <c r="U1721" t="s">
        <v>44649</v>
      </c>
      <c r="W1721" t="s">
        <v>38261</v>
      </c>
      <c r="X1721" t="s">
        <v>41252</v>
      </c>
    </row>
    <row r="1722" spans="1:24">
      <c r="A1722">
        <f>HYPERLINK("https://www.philgeps.gov.ph/GEPSNONPILOT/Tender/SplashBidNoticeAbstractUI.aspx?menuIndex=3&amp;refID=7078227&amp;Result=3","7078227")</f>
        <v>0</v>
      </c>
      <c r="B1722" t="s">
        <v>209</v>
      </c>
      <c r="C1722" t="s">
        <v>5037</v>
      </c>
      <c r="D1722" t="s">
        <v>16611</v>
      </c>
      <c r="E1722" t="s">
        <v>18326</v>
      </c>
      <c r="F1722" t="s">
        <v>28669</v>
      </c>
      <c r="G1722" t="s">
        <v>28678</v>
      </c>
      <c r="H1722" t="s">
        <v>9998</v>
      </c>
      <c r="I1722" t="s">
        <v>28709</v>
      </c>
      <c r="J1722" t="s">
        <v>30011</v>
      </c>
      <c r="K1722" t="s">
        <v>37234</v>
      </c>
      <c r="M1722" t="s">
        <v>37687</v>
      </c>
      <c r="N1722" t="s">
        <v>41249</v>
      </c>
      <c r="O1722" t="s">
        <v>41250</v>
      </c>
      <c r="P1722">
        <v>0</v>
      </c>
      <c r="Q1722">
        <v>0</v>
      </c>
      <c r="R1722" t="s">
        <v>41251</v>
      </c>
      <c r="S1722" t="s">
        <v>41369</v>
      </c>
      <c r="T1722" t="s">
        <v>42686</v>
      </c>
      <c r="U1722" t="s">
        <v>44699</v>
      </c>
      <c r="W1722" t="s">
        <v>37687</v>
      </c>
      <c r="X1722" t="s">
        <v>41252</v>
      </c>
    </row>
    <row r="1723" spans="1:24">
      <c r="A1723">
        <f>HYPERLINK("https://www.philgeps.gov.ph/GEPSNONPILOT/Tender/SplashBidNoticeAbstractUI.aspx?menuIndex=3&amp;refID=7078246&amp;Result=3","7078246")</f>
        <v>0</v>
      </c>
      <c r="B1723" t="s">
        <v>760</v>
      </c>
      <c r="C1723" t="s">
        <v>5038</v>
      </c>
      <c r="D1723" t="s">
        <v>16654</v>
      </c>
      <c r="E1723" t="s">
        <v>18327</v>
      </c>
      <c r="F1723" t="s">
        <v>28669</v>
      </c>
      <c r="G1723" t="s">
        <v>28675</v>
      </c>
      <c r="H1723" t="s">
        <v>28686</v>
      </c>
      <c r="I1723" t="s">
        <v>28691</v>
      </c>
      <c r="J1723" t="s">
        <v>30012</v>
      </c>
      <c r="K1723" t="s">
        <v>37221</v>
      </c>
      <c r="M1723" t="s">
        <v>38271</v>
      </c>
      <c r="N1723" t="s">
        <v>41249</v>
      </c>
      <c r="O1723" t="s">
        <v>41250</v>
      </c>
      <c r="P1723">
        <v>0</v>
      </c>
      <c r="Q1723">
        <v>0</v>
      </c>
      <c r="R1723" t="s">
        <v>41251</v>
      </c>
      <c r="S1723" t="s">
        <v>41369</v>
      </c>
      <c r="T1723" t="s">
        <v>42761</v>
      </c>
      <c r="U1723" t="s">
        <v>44700</v>
      </c>
      <c r="W1723" t="s">
        <v>38271</v>
      </c>
      <c r="X1723" t="s">
        <v>41252</v>
      </c>
    </row>
    <row r="1724" spans="1:24">
      <c r="A1724">
        <f>HYPERLINK("https://www.philgeps.gov.ph/GEPSNONPILOT/Tender/SplashBidNoticeAbstractUI.aspx?menuIndex=3&amp;refID=7078245&amp;Result=3","7078245")</f>
        <v>0</v>
      </c>
      <c r="B1724" t="s">
        <v>250</v>
      </c>
      <c r="C1724" t="s">
        <v>5039</v>
      </c>
      <c r="D1724" t="s">
        <v>16621</v>
      </c>
      <c r="E1724" t="s">
        <v>18328</v>
      </c>
      <c r="F1724" t="s">
        <v>28669</v>
      </c>
      <c r="G1724" t="s">
        <v>28675</v>
      </c>
      <c r="H1724" t="s">
        <v>9998</v>
      </c>
      <c r="I1724" t="s">
        <v>28689</v>
      </c>
      <c r="J1724" t="s">
        <v>30013</v>
      </c>
      <c r="K1724" t="s">
        <v>37300</v>
      </c>
      <c r="M1724" t="s">
        <v>38283</v>
      </c>
      <c r="N1724" t="s">
        <v>41249</v>
      </c>
      <c r="O1724" t="s">
        <v>41250</v>
      </c>
      <c r="P1724">
        <v>0</v>
      </c>
      <c r="Q1724">
        <v>1</v>
      </c>
      <c r="R1724" t="s">
        <v>41251</v>
      </c>
      <c r="S1724" t="s">
        <v>41369</v>
      </c>
      <c r="T1724" t="s">
        <v>42715</v>
      </c>
      <c r="U1724" t="s">
        <v>44701</v>
      </c>
      <c r="W1724" t="s">
        <v>38283</v>
      </c>
      <c r="X1724" t="s">
        <v>41252</v>
      </c>
    </row>
    <row r="1725" spans="1:24">
      <c r="A1725">
        <f>HYPERLINK("https://www.philgeps.gov.ph/GEPSNONPILOT/Tender/SplashBidNoticeAbstractUI.aspx?menuIndex=3&amp;refID=7078244&amp;Result=3","7078244")</f>
        <v>0</v>
      </c>
      <c r="B1725" t="s">
        <v>770</v>
      </c>
      <c r="C1725" t="s">
        <v>5040</v>
      </c>
      <c r="D1725" t="s">
        <v>16657</v>
      </c>
      <c r="E1725" t="s">
        <v>17575</v>
      </c>
      <c r="F1725" t="s">
        <v>28669</v>
      </c>
      <c r="G1725" t="s">
        <v>28676</v>
      </c>
      <c r="H1725" t="s">
        <v>9998</v>
      </c>
      <c r="I1725" t="s">
        <v>28694</v>
      </c>
      <c r="J1725" t="s">
        <v>28917</v>
      </c>
      <c r="K1725" t="s">
        <v>37209</v>
      </c>
      <c r="M1725" t="s">
        <v>38284</v>
      </c>
      <c r="N1725" t="s">
        <v>41249</v>
      </c>
      <c r="O1725" t="s">
        <v>41250</v>
      </c>
      <c r="P1725">
        <v>0</v>
      </c>
      <c r="Q1725">
        <v>0</v>
      </c>
      <c r="R1725" t="s">
        <v>41251</v>
      </c>
      <c r="S1725" t="s">
        <v>41369</v>
      </c>
      <c r="T1725" t="s">
        <v>42683</v>
      </c>
      <c r="U1725" t="s">
        <v>44702</v>
      </c>
      <c r="W1725" t="s">
        <v>38284</v>
      </c>
      <c r="X1725" t="s">
        <v>41252</v>
      </c>
    </row>
    <row r="1726" spans="1:24">
      <c r="A1726">
        <f>HYPERLINK("https://www.philgeps.gov.ph/GEPSNONPILOT/Tender/SplashBidNoticeAbstractUI.aspx?menuIndex=3&amp;refID=7078250&amp;Result=3","7078250")</f>
        <v>0</v>
      </c>
      <c r="B1726" t="s">
        <v>771</v>
      </c>
      <c r="C1726" t="s">
        <v>5041</v>
      </c>
      <c r="D1726" t="s">
        <v>16608</v>
      </c>
      <c r="E1726" t="s">
        <v>18329</v>
      </c>
      <c r="F1726" t="s">
        <v>28669</v>
      </c>
      <c r="G1726" t="s">
        <v>28675</v>
      </c>
      <c r="H1726" t="s">
        <v>9998</v>
      </c>
      <c r="I1726" t="s">
        <v>28713</v>
      </c>
      <c r="J1726" t="s">
        <v>28889</v>
      </c>
      <c r="K1726" t="s">
        <v>37206</v>
      </c>
      <c r="M1726" t="s">
        <v>38285</v>
      </c>
      <c r="N1726" t="s">
        <v>41249</v>
      </c>
      <c r="O1726" t="s">
        <v>41250</v>
      </c>
      <c r="P1726">
        <v>0</v>
      </c>
      <c r="Q1726">
        <v>2</v>
      </c>
      <c r="R1726" t="s">
        <v>41251</v>
      </c>
      <c r="S1726" t="s">
        <v>41369</v>
      </c>
      <c r="T1726" t="s">
        <v>42841</v>
      </c>
      <c r="U1726" t="s">
        <v>44703</v>
      </c>
      <c r="V1726" t="s">
        <v>54466</v>
      </c>
      <c r="W1726" t="s">
        <v>38285</v>
      </c>
      <c r="X1726" t="s">
        <v>41252</v>
      </c>
    </row>
    <row r="1727" spans="1:24">
      <c r="A1727">
        <f>HYPERLINK("https://www.philgeps.gov.ph/GEPSNONPILOT/Tender/SplashBidNoticeAbstractUI.aspx?menuIndex=3&amp;refID=7078243&amp;Result=3","7078243")</f>
        <v>0</v>
      </c>
      <c r="B1727" t="s">
        <v>772</v>
      </c>
      <c r="C1727" t="s">
        <v>5042</v>
      </c>
      <c r="D1727" t="s">
        <v>16665</v>
      </c>
      <c r="E1727" t="s">
        <v>18330</v>
      </c>
      <c r="F1727" t="s">
        <v>28669</v>
      </c>
      <c r="G1727" t="s">
        <v>28676</v>
      </c>
      <c r="H1727" t="s">
        <v>9998</v>
      </c>
      <c r="I1727" t="s">
        <v>28728</v>
      </c>
      <c r="J1727" t="s">
        <v>28834</v>
      </c>
      <c r="K1727" t="s">
        <v>37301</v>
      </c>
      <c r="M1727" t="s">
        <v>38286</v>
      </c>
      <c r="N1727" t="s">
        <v>41249</v>
      </c>
      <c r="O1727" t="s">
        <v>41250</v>
      </c>
      <c r="P1727">
        <v>0</v>
      </c>
      <c r="Q1727">
        <v>0</v>
      </c>
      <c r="R1727" t="s">
        <v>41251</v>
      </c>
      <c r="S1727" t="s">
        <v>41369</v>
      </c>
      <c r="T1727" t="s">
        <v>42705</v>
      </c>
      <c r="U1727" t="s">
        <v>44704</v>
      </c>
      <c r="V1727" t="s">
        <v>54467</v>
      </c>
      <c r="W1727" t="s">
        <v>38286</v>
      </c>
      <c r="X1727" t="s">
        <v>41252</v>
      </c>
    </row>
    <row r="1728" spans="1:24">
      <c r="A1728">
        <f>HYPERLINK("https://www.philgeps.gov.ph/GEPSNONPILOT/Tender/SplashBidNoticeAbstractUI.aspx?menuIndex=3&amp;refID=7078237&amp;Result=3","7078237")</f>
        <v>0</v>
      </c>
      <c r="B1728" t="s">
        <v>232</v>
      </c>
      <c r="C1728" t="s">
        <v>4992</v>
      </c>
      <c r="D1728" t="s">
        <v>16618</v>
      </c>
      <c r="E1728" t="s">
        <v>18331</v>
      </c>
      <c r="F1728" t="s">
        <v>28669</v>
      </c>
      <c r="G1728" t="s">
        <v>28676</v>
      </c>
      <c r="H1728" t="s">
        <v>9998</v>
      </c>
      <c r="I1728" t="s">
        <v>6128</v>
      </c>
      <c r="J1728" t="s">
        <v>30014</v>
      </c>
      <c r="K1728" t="s">
        <v>37209</v>
      </c>
      <c r="M1728" t="s">
        <v>37710</v>
      </c>
      <c r="N1728" t="s">
        <v>41249</v>
      </c>
      <c r="O1728" t="s">
        <v>41250</v>
      </c>
      <c r="P1728">
        <v>0</v>
      </c>
      <c r="Q1728">
        <v>0</v>
      </c>
      <c r="R1728" t="s">
        <v>41251</v>
      </c>
      <c r="S1728" t="s">
        <v>41369</v>
      </c>
      <c r="T1728" t="s">
        <v>42717</v>
      </c>
      <c r="U1728" t="s">
        <v>44705</v>
      </c>
      <c r="W1728" t="s">
        <v>37710</v>
      </c>
      <c r="X1728" t="s">
        <v>41252</v>
      </c>
    </row>
    <row r="1729" spans="1:24">
      <c r="A1729">
        <f>HYPERLINK("https://www.philgeps.gov.ph/GEPSNONPILOT/Tender/SplashBidNoticeAbstractUI.aspx?menuIndex=3&amp;refID=7078249&amp;Result=3","7078249")</f>
        <v>0</v>
      </c>
      <c r="B1729" t="s">
        <v>606</v>
      </c>
      <c r="C1729" t="s">
        <v>5043</v>
      </c>
      <c r="D1729" t="s">
        <v>16616</v>
      </c>
      <c r="E1729" t="s">
        <v>18332</v>
      </c>
      <c r="F1729" t="s">
        <v>28669</v>
      </c>
      <c r="G1729" t="s">
        <v>28675</v>
      </c>
      <c r="H1729" t="s">
        <v>28686</v>
      </c>
      <c r="I1729" t="s">
        <v>28689</v>
      </c>
      <c r="J1729" t="s">
        <v>29968</v>
      </c>
      <c r="K1729" t="s">
        <v>37212</v>
      </c>
      <c r="M1729" t="s">
        <v>38106</v>
      </c>
      <c r="N1729" t="s">
        <v>41249</v>
      </c>
      <c r="O1729" t="s">
        <v>41250</v>
      </c>
      <c r="P1729">
        <v>0</v>
      </c>
      <c r="Q1729">
        <v>1</v>
      </c>
      <c r="R1729" t="s">
        <v>41251</v>
      </c>
      <c r="S1729" t="s">
        <v>41369</v>
      </c>
      <c r="T1729" t="s">
        <v>42692</v>
      </c>
      <c r="U1729" t="s">
        <v>44637</v>
      </c>
      <c r="V1729" t="s">
        <v>54468</v>
      </c>
      <c r="W1729" t="s">
        <v>38106</v>
      </c>
      <c r="X1729" t="s">
        <v>41252</v>
      </c>
    </row>
    <row r="1730" spans="1:24">
      <c r="A1730">
        <f>HYPERLINK("https://www.philgeps.gov.ph/GEPSNONPILOT/Tender/SplashBidNoticeAbstractUI.aspx?menuIndex=3&amp;refID=7078239&amp;Result=3","7078239")</f>
        <v>0</v>
      </c>
      <c r="B1730" t="s">
        <v>773</v>
      </c>
      <c r="C1730" t="s">
        <v>4276</v>
      </c>
      <c r="D1730" t="s">
        <v>16619</v>
      </c>
      <c r="E1730" t="s">
        <v>16888</v>
      </c>
      <c r="F1730" t="s">
        <v>28672</v>
      </c>
      <c r="G1730" t="s">
        <v>28676</v>
      </c>
      <c r="H1730" t="s">
        <v>9998</v>
      </c>
      <c r="I1730" t="s">
        <v>28709</v>
      </c>
      <c r="J1730" t="s">
        <v>28894</v>
      </c>
      <c r="K1730" t="s">
        <v>37208</v>
      </c>
      <c r="M1730" t="s">
        <v>38287</v>
      </c>
      <c r="N1730" t="s">
        <v>41249</v>
      </c>
      <c r="O1730" t="s">
        <v>41250</v>
      </c>
      <c r="P1730">
        <v>0</v>
      </c>
      <c r="Q1730">
        <v>1</v>
      </c>
      <c r="R1730" t="s">
        <v>41251</v>
      </c>
      <c r="S1730" t="s">
        <v>41369</v>
      </c>
      <c r="T1730" t="s">
        <v>42710</v>
      </c>
      <c r="U1730" t="s">
        <v>44706</v>
      </c>
      <c r="W1730" t="s">
        <v>38287</v>
      </c>
      <c r="X1730" t="s">
        <v>41252</v>
      </c>
    </row>
    <row r="1731" spans="1:24">
      <c r="A1731">
        <f>HYPERLINK("https://www.philgeps.gov.ph/GEPSNONPILOT/Tender/SplashBidNoticeAbstractUI.aspx?menuIndex=3&amp;refID=7078228&amp;Result=3","7078228")</f>
        <v>0</v>
      </c>
      <c r="B1731" t="s">
        <v>774</v>
      </c>
      <c r="C1731" t="s">
        <v>3485</v>
      </c>
      <c r="D1731" t="s">
        <v>16645</v>
      </c>
      <c r="E1731" t="s">
        <v>18333</v>
      </c>
      <c r="F1731" t="s">
        <v>28671</v>
      </c>
      <c r="G1731" t="s">
        <v>28676</v>
      </c>
      <c r="H1731" t="s">
        <v>9998</v>
      </c>
      <c r="I1731" t="s">
        <v>6128</v>
      </c>
      <c r="J1731" t="s">
        <v>28863</v>
      </c>
      <c r="K1731" t="s">
        <v>37243</v>
      </c>
      <c r="M1731" t="s">
        <v>38288</v>
      </c>
      <c r="N1731" t="s">
        <v>41249</v>
      </c>
      <c r="O1731" t="s">
        <v>41250</v>
      </c>
      <c r="P1731">
        <v>0</v>
      </c>
      <c r="Q1731">
        <v>2</v>
      </c>
      <c r="R1731" t="s">
        <v>41251</v>
      </c>
      <c r="S1731" t="s">
        <v>41369</v>
      </c>
      <c r="T1731" t="s">
        <v>42682</v>
      </c>
      <c r="U1731" t="s">
        <v>44707</v>
      </c>
      <c r="W1731" t="s">
        <v>38288</v>
      </c>
      <c r="X1731" t="s">
        <v>41252</v>
      </c>
    </row>
    <row r="1732" spans="1:24">
      <c r="A1732">
        <f>HYPERLINK("https://www.philgeps.gov.ph/GEPSNONPILOT/Tender/SplashBidNoticeAbstractUI.aspx?menuIndex=3&amp;refID=7078248&amp;Result=3","7078248")</f>
        <v>0</v>
      </c>
      <c r="B1732" t="s">
        <v>452</v>
      </c>
      <c r="C1732" t="s">
        <v>5044</v>
      </c>
      <c r="D1732" t="s">
        <v>16608</v>
      </c>
      <c r="E1732" t="s">
        <v>18334</v>
      </c>
      <c r="F1732" t="s">
        <v>28669</v>
      </c>
      <c r="G1732" t="s">
        <v>28676</v>
      </c>
      <c r="H1732" t="s">
        <v>9998</v>
      </c>
      <c r="I1732" t="s">
        <v>28711</v>
      </c>
      <c r="J1732" t="s">
        <v>29650</v>
      </c>
      <c r="K1732" t="s">
        <v>37206</v>
      </c>
      <c r="M1732" t="s">
        <v>38261</v>
      </c>
      <c r="N1732" t="s">
        <v>41249</v>
      </c>
      <c r="O1732" t="s">
        <v>41250</v>
      </c>
      <c r="P1732">
        <v>0</v>
      </c>
      <c r="Q1732">
        <v>19</v>
      </c>
      <c r="R1732" t="s">
        <v>41251</v>
      </c>
      <c r="S1732" t="s">
        <v>41369</v>
      </c>
      <c r="T1732" t="s">
        <v>42752</v>
      </c>
      <c r="U1732" t="s">
        <v>44649</v>
      </c>
      <c r="W1732" t="s">
        <v>38261</v>
      </c>
      <c r="X1732" t="s">
        <v>41252</v>
      </c>
    </row>
    <row r="1733" spans="1:24">
      <c r="A1733">
        <f>HYPERLINK("https://www.philgeps.gov.ph/GEPSNONPILOT/Tender/SplashBidNoticeAbstractUI.aspx?menuIndex=3&amp;refID=7078257&amp;Result=3","7078257")</f>
        <v>0</v>
      </c>
      <c r="B1733" t="s">
        <v>775</v>
      </c>
      <c r="C1733" t="s">
        <v>5045</v>
      </c>
      <c r="E1733" t="s">
        <v>17042</v>
      </c>
      <c r="F1733" t="s">
        <v>28669</v>
      </c>
      <c r="G1733" t="s">
        <v>28676</v>
      </c>
      <c r="H1733" t="s">
        <v>9998</v>
      </c>
      <c r="I1733" t="s">
        <v>28704</v>
      </c>
      <c r="J1733" t="s">
        <v>30015</v>
      </c>
      <c r="K1733" t="s">
        <v>37209</v>
      </c>
      <c r="M1733" t="s">
        <v>38289</v>
      </c>
      <c r="N1733" t="s">
        <v>41249</v>
      </c>
      <c r="O1733" t="s">
        <v>41250</v>
      </c>
      <c r="P1733">
        <v>0</v>
      </c>
      <c r="Q1733">
        <v>0</v>
      </c>
      <c r="R1733" t="s">
        <v>41251</v>
      </c>
      <c r="S1733" t="s">
        <v>41369</v>
      </c>
      <c r="T1733" t="s">
        <v>42679</v>
      </c>
      <c r="U1733" t="s">
        <v>44708</v>
      </c>
      <c r="W1733" t="s">
        <v>55931</v>
      </c>
      <c r="X1733" t="s">
        <v>41252</v>
      </c>
    </row>
    <row r="1734" spans="1:24">
      <c r="A1734">
        <f>HYPERLINK("https://www.philgeps.gov.ph/GEPSNONPILOT/Tender/SplashBidNoticeAbstractUI.aspx?menuIndex=3&amp;refID=7078233&amp;Result=3","7078233")</f>
        <v>0</v>
      </c>
      <c r="B1734" t="s">
        <v>210</v>
      </c>
      <c r="C1734" t="s">
        <v>5046</v>
      </c>
      <c r="D1734" t="s">
        <v>16633</v>
      </c>
      <c r="E1734" t="s">
        <v>18335</v>
      </c>
      <c r="F1734" t="s">
        <v>28669</v>
      </c>
      <c r="G1734" t="s">
        <v>28675</v>
      </c>
      <c r="H1734" t="s">
        <v>28686</v>
      </c>
      <c r="I1734" t="s">
        <v>28689</v>
      </c>
      <c r="J1734" t="s">
        <v>29950</v>
      </c>
      <c r="K1734" t="s">
        <v>37217</v>
      </c>
      <c r="M1734" t="s">
        <v>37688</v>
      </c>
      <c r="N1734" t="s">
        <v>41249</v>
      </c>
      <c r="O1734" t="s">
        <v>41250</v>
      </c>
      <c r="P1734">
        <v>0</v>
      </c>
      <c r="Q1734">
        <v>0</v>
      </c>
      <c r="R1734" t="s">
        <v>41251</v>
      </c>
      <c r="S1734" t="s">
        <v>41369</v>
      </c>
      <c r="T1734" t="s">
        <v>42661</v>
      </c>
      <c r="U1734" t="s">
        <v>44709</v>
      </c>
      <c r="V1734" t="s">
        <v>54469</v>
      </c>
      <c r="W1734" t="s">
        <v>37688</v>
      </c>
      <c r="X1734" t="s">
        <v>41252</v>
      </c>
    </row>
    <row r="1735" spans="1:24">
      <c r="A1735">
        <f>HYPERLINK("https://www.philgeps.gov.ph/GEPSNONPILOT/Tender/SplashBidNoticeAbstractUI.aspx?menuIndex=3&amp;refID=7078254&amp;Result=3","7078254")</f>
        <v>0</v>
      </c>
      <c r="B1735" t="s">
        <v>757</v>
      </c>
      <c r="C1735" t="s">
        <v>5047</v>
      </c>
      <c r="D1735" t="s">
        <v>16684</v>
      </c>
      <c r="E1735" t="s">
        <v>18336</v>
      </c>
      <c r="F1735" t="s">
        <v>28669</v>
      </c>
      <c r="G1735" t="s">
        <v>28677</v>
      </c>
      <c r="H1735" t="s">
        <v>9998</v>
      </c>
      <c r="I1735" t="s">
        <v>28708</v>
      </c>
      <c r="J1735" t="s">
        <v>29114</v>
      </c>
      <c r="K1735" t="s">
        <v>37243</v>
      </c>
      <c r="M1735" t="s">
        <v>38268</v>
      </c>
      <c r="N1735" t="s">
        <v>41249</v>
      </c>
      <c r="O1735" t="s">
        <v>41250</v>
      </c>
      <c r="P1735">
        <v>0</v>
      </c>
      <c r="Q1735">
        <v>1</v>
      </c>
      <c r="R1735" t="s">
        <v>41251</v>
      </c>
      <c r="S1735" t="s">
        <v>41369</v>
      </c>
      <c r="T1735" t="s">
        <v>42714</v>
      </c>
      <c r="U1735" t="s">
        <v>44710</v>
      </c>
      <c r="V1735" t="s">
        <v>54470</v>
      </c>
      <c r="W1735" t="s">
        <v>38268</v>
      </c>
      <c r="X1735" t="s">
        <v>41252</v>
      </c>
    </row>
    <row r="1736" spans="1:24">
      <c r="A1736">
        <f>HYPERLINK("https://www.philgeps.gov.ph/GEPSNONPILOT/Tender/SplashBidNoticeAbstractUI.aspx?menuIndex=3&amp;refID=7078253&amp;Result=3","7078253")</f>
        <v>0</v>
      </c>
      <c r="B1736" t="s">
        <v>776</v>
      </c>
      <c r="C1736" t="s">
        <v>5048</v>
      </c>
      <c r="D1736" t="s">
        <v>16628</v>
      </c>
      <c r="E1736" t="s">
        <v>16707</v>
      </c>
      <c r="F1736" t="s">
        <v>28669</v>
      </c>
      <c r="G1736" t="s">
        <v>28675</v>
      </c>
      <c r="H1736" t="s">
        <v>9998</v>
      </c>
      <c r="I1736" t="s">
        <v>7352</v>
      </c>
      <c r="J1736" t="s">
        <v>28826</v>
      </c>
      <c r="K1736" t="s">
        <v>37206</v>
      </c>
      <c r="M1736" t="s">
        <v>38290</v>
      </c>
      <c r="N1736" t="s">
        <v>41249</v>
      </c>
      <c r="O1736" t="s">
        <v>41250</v>
      </c>
      <c r="P1736">
        <v>0</v>
      </c>
      <c r="Q1736">
        <v>0</v>
      </c>
      <c r="R1736" t="s">
        <v>41251</v>
      </c>
      <c r="S1736" t="s">
        <v>41369</v>
      </c>
      <c r="T1736" t="s">
        <v>42664</v>
      </c>
      <c r="U1736" t="s">
        <v>44711</v>
      </c>
      <c r="W1736" t="s">
        <v>38290</v>
      </c>
      <c r="X1736" t="s">
        <v>41252</v>
      </c>
    </row>
    <row r="1737" spans="1:24">
      <c r="A1737">
        <f>HYPERLINK("https://www.philgeps.gov.ph/GEPSNONPILOT/Tender/SplashBidNoticeAbstractUI.aspx?menuIndex=3&amp;refID=7078231&amp;Result=3","7078231")</f>
        <v>0</v>
      </c>
      <c r="B1737" t="s">
        <v>775</v>
      </c>
      <c r="C1737" t="s">
        <v>5049</v>
      </c>
      <c r="E1737" t="s">
        <v>18337</v>
      </c>
      <c r="F1737" t="s">
        <v>28669</v>
      </c>
      <c r="G1737" t="s">
        <v>28676</v>
      </c>
      <c r="H1737" t="s">
        <v>9998</v>
      </c>
      <c r="I1737" t="s">
        <v>28693</v>
      </c>
      <c r="J1737" t="s">
        <v>29593</v>
      </c>
      <c r="K1737" t="s">
        <v>37209</v>
      </c>
      <c r="M1737" t="s">
        <v>38289</v>
      </c>
      <c r="N1737" t="s">
        <v>41249</v>
      </c>
      <c r="O1737" t="s">
        <v>41250</v>
      </c>
      <c r="P1737">
        <v>0</v>
      </c>
      <c r="Q1737">
        <v>6</v>
      </c>
      <c r="R1737" t="s">
        <v>41251</v>
      </c>
      <c r="S1737" t="s">
        <v>41369</v>
      </c>
      <c r="T1737" t="s">
        <v>42679</v>
      </c>
      <c r="U1737" t="s">
        <v>44712</v>
      </c>
      <c r="W1737" t="s">
        <v>55931</v>
      </c>
      <c r="X1737" t="s">
        <v>41252</v>
      </c>
    </row>
    <row r="1738" spans="1:24">
      <c r="A1738">
        <f>HYPERLINK("https://www.philgeps.gov.ph/GEPSNONPILOT/Tender/SplashBidNoticeAbstractUI.aspx?menuIndex=3&amp;refID=7078229&amp;Result=3","7078229")</f>
        <v>0</v>
      </c>
      <c r="B1738" t="s">
        <v>24</v>
      </c>
      <c r="C1738" t="s">
        <v>5050</v>
      </c>
      <c r="D1738" t="s">
        <v>16607</v>
      </c>
      <c r="E1738" t="s">
        <v>17629</v>
      </c>
      <c r="F1738" t="s">
        <v>28669</v>
      </c>
      <c r="G1738" t="s">
        <v>28675</v>
      </c>
      <c r="H1738" t="s">
        <v>9998</v>
      </c>
      <c r="I1738" t="s">
        <v>7352</v>
      </c>
      <c r="J1738" t="s">
        <v>30016</v>
      </c>
      <c r="K1738" t="s">
        <v>37204</v>
      </c>
      <c r="M1738" t="s">
        <v>37499</v>
      </c>
      <c r="N1738" t="s">
        <v>41249</v>
      </c>
      <c r="O1738" t="s">
        <v>41250</v>
      </c>
      <c r="P1738">
        <v>0</v>
      </c>
      <c r="Q1738">
        <v>1</v>
      </c>
      <c r="R1738" t="s">
        <v>41251</v>
      </c>
      <c r="S1738" t="s">
        <v>41369</v>
      </c>
      <c r="T1738" t="s">
        <v>42658</v>
      </c>
      <c r="U1738" t="s">
        <v>44713</v>
      </c>
      <c r="W1738" t="s">
        <v>37499</v>
      </c>
      <c r="X1738" t="s">
        <v>41252</v>
      </c>
    </row>
    <row r="1739" spans="1:24">
      <c r="A1739">
        <f>HYPERLINK("https://www.philgeps.gov.ph/GEPSNONPILOT/Tender/SplashBidNoticeAbstractUI.aspx?menuIndex=3&amp;refID=7078247&amp;Result=3","7078247")</f>
        <v>0</v>
      </c>
      <c r="B1739" t="s">
        <v>777</v>
      </c>
      <c r="C1739" t="s">
        <v>5051</v>
      </c>
      <c r="D1739" t="s">
        <v>16684</v>
      </c>
      <c r="E1739" t="s">
        <v>18338</v>
      </c>
      <c r="F1739" t="s">
        <v>28669</v>
      </c>
      <c r="G1739" t="s">
        <v>28675</v>
      </c>
      <c r="H1739" t="s">
        <v>9998</v>
      </c>
      <c r="I1739" t="s">
        <v>7352</v>
      </c>
      <c r="J1739" t="s">
        <v>30017</v>
      </c>
      <c r="K1739" t="s">
        <v>37243</v>
      </c>
      <c r="M1739" t="s">
        <v>38291</v>
      </c>
      <c r="N1739" t="s">
        <v>41249</v>
      </c>
      <c r="O1739" t="s">
        <v>41250</v>
      </c>
      <c r="P1739">
        <v>0</v>
      </c>
      <c r="Q1739">
        <v>0</v>
      </c>
      <c r="R1739" t="s">
        <v>41251</v>
      </c>
      <c r="S1739" t="s">
        <v>41369</v>
      </c>
      <c r="T1739" t="s">
        <v>42707</v>
      </c>
      <c r="U1739" t="s">
        <v>44714</v>
      </c>
      <c r="W1739" t="s">
        <v>38291</v>
      </c>
      <c r="X1739" t="s">
        <v>41252</v>
      </c>
    </row>
    <row r="1740" spans="1:24">
      <c r="A1740">
        <f>HYPERLINK("https://www.philgeps.gov.ph/GEPSNONPILOT/Tender/SplashBidNoticeAbstractUI.aspx?menuIndex=3&amp;refID=7078232&amp;Result=3","7078232")</f>
        <v>0</v>
      </c>
      <c r="B1740" t="s">
        <v>746</v>
      </c>
      <c r="C1740" t="s">
        <v>5052</v>
      </c>
      <c r="D1740" t="s">
        <v>16643</v>
      </c>
      <c r="E1740" t="s">
        <v>18339</v>
      </c>
      <c r="F1740" t="s">
        <v>28669</v>
      </c>
      <c r="G1740" t="s">
        <v>28677</v>
      </c>
      <c r="H1740" t="s">
        <v>9998</v>
      </c>
      <c r="I1740" t="s">
        <v>15140</v>
      </c>
      <c r="J1740" t="s">
        <v>30018</v>
      </c>
      <c r="K1740" t="s">
        <v>37205</v>
      </c>
      <c r="M1740" t="s">
        <v>38256</v>
      </c>
      <c r="N1740" t="s">
        <v>41249</v>
      </c>
      <c r="O1740" t="s">
        <v>41250</v>
      </c>
      <c r="P1740">
        <v>0</v>
      </c>
      <c r="Q1740">
        <v>0</v>
      </c>
      <c r="R1740" t="s">
        <v>41251</v>
      </c>
      <c r="S1740" t="s">
        <v>41369</v>
      </c>
      <c r="T1740" t="s">
        <v>42754</v>
      </c>
      <c r="U1740" t="s">
        <v>44715</v>
      </c>
      <c r="W1740" t="s">
        <v>38256</v>
      </c>
      <c r="X1740" t="s">
        <v>41252</v>
      </c>
    </row>
    <row r="1741" spans="1:24">
      <c r="A1741">
        <f>HYPERLINK("https://www.philgeps.gov.ph/GEPSNONPILOT/Tender/SplashBidNoticeAbstractUI.aspx?menuIndex=3&amp;refID=7078258&amp;Result=3","7078258")</f>
        <v>0</v>
      </c>
      <c r="B1741" t="s">
        <v>778</v>
      </c>
      <c r="C1741" t="s">
        <v>5053</v>
      </c>
      <c r="D1741" t="s">
        <v>16675</v>
      </c>
      <c r="E1741" t="s">
        <v>18340</v>
      </c>
      <c r="F1741" t="s">
        <v>28669</v>
      </c>
      <c r="G1741" t="s">
        <v>28676</v>
      </c>
      <c r="H1741" t="s">
        <v>9998</v>
      </c>
      <c r="I1741" t="s">
        <v>5286</v>
      </c>
      <c r="J1741" t="s">
        <v>30019</v>
      </c>
      <c r="K1741" t="s">
        <v>37210</v>
      </c>
      <c r="M1741" t="s">
        <v>38292</v>
      </c>
      <c r="N1741" t="s">
        <v>41249</v>
      </c>
      <c r="O1741" t="s">
        <v>41250</v>
      </c>
      <c r="P1741">
        <v>0</v>
      </c>
      <c r="Q1741">
        <v>0</v>
      </c>
      <c r="R1741" t="s">
        <v>41251</v>
      </c>
      <c r="S1741" t="s">
        <v>41369</v>
      </c>
      <c r="T1741" t="s">
        <v>42711</v>
      </c>
      <c r="U1741" t="s">
        <v>44716</v>
      </c>
      <c r="W1741" t="s">
        <v>38292</v>
      </c>
      <c r="X1741" t="s">
        <v>41252</v>
      </c>
    </row>
    <row r="1742" spans="1:24">
      <c r="A1742">
        <f>HYPERLINK("https://www.philgeps.gov.ph/GEPSNONPILOT/Tender/SplashBidNoticeAbstractUI.aspx?menuIndex=3&amp;refID=7078282&amp;Result=3","7078282")</f>
        <v>0</v>
      </c>
      <c r="B1742" t="s">
        <v>73</v>
      </c>
      <c r="C1742" t="s">
        <v>5054</v>
      </c>
      <c r="D1742" t="s">
        <v>16645</v>
      </c>
      <c r="E1742" t="s">
        <v>18341</v>
      </c>
      <c r="F1742" t="s">
        <v>28669</v>
      </c>
      <c r="G1742" t="s">
        <v>28675</v>
      </c>
      <c r="H1742" t="s">
        <v>28686</v>
      </c>
      <c r="I1742" t="s">
        <v>28702</v>
      </c>
      <c r="J1742" t="s">
        <v>28877</v>
      </c>
      <c r="K1742" t="s">
        <v>37216</v>
      </c>
      <c r="M1742" t="s">
        <v>37548</v>
      </c>
      <c r="N1742" t="s">
        <v>41249</v>
      </c>
      <c r="O1742" t="s">
        <v>41250</v>
      </c>
      <c r="P1742">
        <v>0</v>
      </c>
      <c r="Q1742">
        <v>4</v>
      </c>
      <c r="R1742" t="s">
        <v>41251</v>
      </c>
      <c r="S1742" t="s">
        <v>41369</v>
      </c>
      <c r="T1742" t="s">
        <v>42700</v>
      </c>
      <c r="U1742" t="s">
        <v>44717</v>
      </c>
      <c r="W1742" t="s">
        <v>37548</v>
      </c>
      <c r="X1742" t="s">
        <v>41252</v>
      </c>
    </row>
    <row r="1743" spans="1:24">
      <c r="A1743">
        <f>HYPERLINK("https://www.philgeps.gov.ph/GEPSNONPILOT/Tender/SplashBidNoticeAbstractUI.aspx?menuIndex=3&amp;refID=7078270&amp;Result=3","7078270")</f>
        <v>0</v>
      </c>
      <c r="B1743" t="s">
        <v>779</v>
      </c>
      <c r="C1743" t="s">
        <v>5055</v>
      </c>
      <c r="D1743" t="s">
        <v>16615</v>
      </c>
      <c r="E1743" t="s">
        <v>18342</v>
      </c>
      <c r="F1743" t="s">
        <v>28669</v>
      </c>
      <c r="G1743" t="s">
        <v>28675</v>
      </c>
      <c r="H1743" t="s">
        <v>28686</v>
      </c>
      <c r="I1743" t="s">
        <v>28689</v>
      </c>
      <c r="J1743" t="s">
        <v>29059</v>
      </c>
      <c r="K1743" t="s">
        <v>37211</v>
      </c>
      <c r="M1743" t="s">
        <v>38293</v>
      </c>
      <c r="N1743" t="s">
        <v>41249</v>
      </c>
      <c r="O1743" t="s">
        <v>41250</v>
      </c>
      <c r="P1743">
        <v>0</v>
      </c>
      <c r="Q1743">
        <v>28</v>
      </c>
      <c r="R1743" t="s">
        <v>41251</v>
      </c>
      <c r="S1743" t="s">
        <v>41369</v>
      </c>
      <c r="T1743" t="s">
        <v>42842</v>
      </c>
      <c r="U1743" t="s">
        <v>44718</v>
      </c>
      <c r="V1743" t="s">
        <v>54471</v>
      </c>
      <c r="W1743" t="s">
        <v>38293</v>
      </c>
      <c r="X1743" t="s">
        <v>41252</v>
      </c>
    </row>
    <row r="1744" spans="1:24">
      <c r="A1744">
        <f>HYPERLINK("https://www.philgeps.gov.ph/GEPSNONPILOT/Tender/SplashBidNoticeAbstractUI.aspx?menuIndex=3&amp;refID=7078268&amp;Result=3","7078268")</f>
        <v>0</v>
      </c>
      <c r="B1744" t="s">
        <v>745</v>
      </c>
      <c r="C1744" t="s">
        <v>5056</v>
      </c>
      <c r="D1744" t="s">
        <v>16619</v>
      </c>
      <c r="E1744" t="s">
        <v>18343</v>
      </c>
      <c r="F1744" t="s">
        <v>28669</v>
      </c>
      <c r="G1744" t="s">
        <v>28677</v>
      </c>
      <c r="H1744" t="s">
        <v>9998</v>
      </c>
      <c r="I1744" t="s">
        <v>28690</v>
      </c>
      <c r="J1744" t="s">
        <v>28999</v>
      </c>
      <c r="K1744" t="s">
        <v>37209</v>
      </c>
      <c r="M1744" t="s">
        <v>38255</v>
      </c>
      <c r="N1744" t="s">
        <v>41249</v>
      </c>
      <c r="O1744" t="s">
        <v>41250</v>
      </c>
      <c r="P1744">
        <v>0</v>
      </c>
      <c r="Q1744">
        <v>3</v>
      </c>
      <c r="R1744" t="s">
        <v>41251</v>
      </c>
      <c r="S1744" t="s">
        <v>41369</v>
      </c>
      <c r="T1744" t="s">
        <v>42736</v>
      </c>
      <c r="U1744" t="s">
        <v>44719</v>
      </c>
      <c r="V1744" t="s">
        <v>54454</v>
      </c>
      <c r="W1744" t="s">
        <v>38255</v>
      </c>
      <c r="X1744" t="s">
        <v>41252</v>
      </c>
    </row>
    <row r="1745" spans="1:24">
      <c r="A1745">
        <f>HYPERLINK("https://www.philgeps.gov.ph/GEPSNONPILOT/Tender/SplashBidNoticeAbstractUI.aspx?menuIndex=3&amp;refID=7078265&amp;Result=3","7078265")</f>
        <v>0</v>
      </c>
      <c r="B1745" t="s">
        <v>631</v>
      </c>
      <c r="C1745" t="s">
        <v>5057</v>
      </c>
      <c r="D1745" t="s">
        <v>16617</v>
      </c>
      <c r="E1745" t="s">
        <v>18344</v>
      </c>
      <c r="F1745" t="s">
        <v>28669</v>
      </c>
      <c r="G1745" t="s">
        <v>28680</v>
      </c>
      <c r="H1745" t="s">
        <v>9998</v>
      </c>
      <c r="I1745" t="s">
        <v>5213</v>
      </c>
      <c r="J1745" t="s">
        <v>30020</v>
      </c>
      <c r="K1745" t="s">
        <v>37240</v>
      </c>
      <c r="M1745" t="s">
        <v>38131</v>
      </c>
      <c r="N1745" t="s">
        <v>41249</v>
      </c>
      <c r="O1745" t="s">
        <v>41250</v>
      </c>
      <c r="P1745">
        <v>0</v>
      </c>
      <c r="Q1745">
        <v>0</v>
      </c>
      <c r="R1745" t="s">
        <v>41251</v>
      </c>
      <c r="S1745" t="s">
        <v>41369</v>
      </c>
      <c r="T1745" t="s">
        <v>42717</v>
      </c>
      <c r="U1745" t="s">
        <v>44720</v>
      </c>
      <c r="W1745" t="s">
        <v>38131</v>
      </c>
      <c r="X1745" t="s">
        <v>41252</v>
      </c>
    </row>
    <row r="1746" spans="1:24">
      <c r="A1746">
        <f>HYPERLINK("https://www.philgeps.gov.ph/GEPSNONPILOT/Tender/SplashBidNoticeAbstractUI.aspx?menuIndex=3&amp;refID=7078304&amp;Result=3","7078304")</f>
        <v>0</v>
      </c>
      <c r="B1746" t="s">
        <v>780</v>
      </c>
      <c r="C1746" t="s">
        <v>5058</v>
      </c>
      <c r="D1746" t="s">
        <v>16671</v>
      </c>
      <c r="E1746" t="s">
        <v>18345</v>
      </c>
      <c r="F1746" t="s">
        <v>28669</v>
      </c>
      <c r="G1746" t="s">
        <v>28676</v>
      </c>
      <c r="H1746" t="s">
        <v>9998</v>
      </c>
      <c r="I1746" t="s">
        <v>28692</v>
      </c>
      <c r="J1746" t="s">
        <v>30021</v>
      </c>
      <c r="K1746" t="s">
        <v>37205</v>
      </c>
      <c r="M1746" t="s">
        <v>38294</v>
      </c>
      <c r="N1746" t="s">
        <v>41249</v>
      </c>
      <c r="O1746" t="s">
        <v>41250</v>
      </c>
      <c r="P1746">
        <v>0</v>
      </c>
      <c r="Q1746">
        <v>3</v>
      </c>
      <c r="R1746" t="s">
        <v>41251</v>
      </c>
      <c r="S1746" t="s">
        <v>41369</v>
      </c>
      <c r="T1746" t="s">
        <v>42673</v>
      </c>
      <c r="U1746" t="s">
        <v>44721</v>
      </c>
      <c r="W1746" t="s">
        <v>38294</v>
      </c>
      <c r="X1746" t="s">
        <v>41252</v>
      </c>
    </row>
    <row r="1747" spans="1:24">
      <c r="A1747">
        <f>HYPERLINK("https://www.philgeps.gov.ph/GEPSNONPILOT/Tender/SplashBidNoticeAbstractUI.aspx?menuIndex=3&amp;refID=7078271&amp;Result=3","7078271")</f>
        <v>0</v>
      </c>
      <c r="B1747" t="s">
        <v>781</v>
      </c>
      <c r="C1747" t="s">
        <v>5059</v>
      </c>
      <c r="D1747" t="s">
        <v>16620</v>
      </c>
      <c r="E1747" t="s">
        <v>18346</v>
      </c>
      <c r="F1747" t="s">
        <v>28669</v>
      </c>
      <c r="G1747" t="s">
        <v>28676</v>
      </c>
      <c r="H1747" t="s">
        <v>9998</v>
      </c>
      <c r="I1747" t="s">
        <v>28697</v>
      </c>
      <c r="J1747" t="s">
        <v>30022</v>
      </c>
      <c r="K1747" t="s">
        <v>37208</v>
      </c>
      <c r="M1747" t="s">
        <v>38295</v>
      </c>
      <c r="N1747" t="s">
        <v>41249</v>
      </c>
      <c r="O1747" t="s">
        <v>41250</v>
      </c>
      <c r="P1747">
        <v>0</v>
      </c>
      <c r="Q1747">
        <v>0</v>
      </c>
      <c r="R1747" t="s">
        <v>41251</v>
      </c>
      <c r="S1747" t="s">
        <v>41369</v>
      </c>
      <c r="T1747" t="s">
        <v>42673</v>
      </c>
      <c r="U1747" t="s">
        <v>44722</v>
      </c>
      <c r="W1747" t="s">
        <v>38295</v>
      </c>
      <c r="X1747" t="s">
        <v>41252</v>
      </c>
    </row>
    <row r="1748" spans="1:24">
      <c r="A1748">
        <f>HYPERLINK("https://www.philgeps.gov.ph/GEPSNONPILOT/Tender/SplashBidNoticeAbstractUI.aspx?menuIndex=3&amp;refID=7078303&amp;Result=3","7078303")</f>
        <v>0</v>
      </c>
      <c r="B1748" t="s">
        <v>782</v>
      </c>
      <c r="C1748" t="s">
        <v>5060</v>
      </c>
      <c r="D1748" t="s">
        <v>16658</v>
      </c>
      <c r="E1748" t="s">
        <v>18347</v>
      </c>
      <c r="F1748" t="s">
        <v>28669</v>
      </c>
      <c r="G1748" t="s">
        <v>28675</v>
      </c>
      <c r="H1748" t="s">
        <v>9998</v>
      </c>
      <c r="I1748" t="s">
        <v>7352</v>
      </c>
      <c r="J1748" t="s">
        <v>30023</v>
      </c>
      <c r="K1748" t="s">
        <v>37205</v>
      </c>
      <c r="M1748" t="s">
        <v>38296</v>
      </c>
      <c r="N1748" t="s">
        <v>41249</v>
      </c>
      <c r="O1748" t="s">
        <v>41250</v>
      </c>
      <c r="P1748">
        <v>0</v>
      </c>
      <c r="Q1748">
        <v>0</v>
      </c>
      <c r="R1748" t="s">
        <v>41251</v>
      </c>
      <c r="S1748" t="s">
        <v>41369</v>
      </c>
      <c r="T1748" t="s">
        <v>42836</v>
      </c>
      <c r="U1748" t="s">
        <v>44723</v>
      </c>
      <c r="W1748" t="s">
        <v>38296</v>
      </c>
      <c r="X1748" t="s">
        <v>41252</v>
      </c>
    </row>
    <row r="1749" spans="1:24">
      <c r="A1749">
        <f>HYPERLINK("https://www.philgeps.gov.ph/GEPSNONPILOT/Tender/SplashBidNoticeAbstractUI.aspx?menuIndex=3&amp;refID=7078302&amp;Result=3","7078302")</f>
        <v>0</v>
      </c>
      <c r="B1749" t="s">
        <v>783</v>
      </c>
      <c r="C1749" t="s">
        <v>5061</v>
      </c>
      <c r="D1749" t="s">
        <v>16660</v>
      </c>
      <c r="E1749" t="s">
        <v>18348</v>
      </c>
      <c r="F1749" t="s">
        <v>28669</v>
      </c>
      <c r="G1749" t="s">
        <v>28676</v>
      </c>
      <c r="H1749" t="s">
        <v>28684</v>
      </c>
      <c r="I1749" t="s">
        <v>28700</v>
      </c>
      <c r="J1749" t="s">
        <v>29110</v>
      </c>
      <c r="K1749" t="s">
        <v>37206</v>
      </c>
      <c r="M1749" t="s">
        <v>38297</v>
      </c>
      <c r="N1749" t="s">
        <v>41249</v>
      </c>
      <c r="O1749" t="s">
        <v>41250</v>
      </c>
      <c r="P1749">
        <v>0</v>
      </c>
      <c r="Q1749">
        <v>1</v>
      </c>
      <c r="R1749" t="s">
        <v>41251</v>
      </c>
      <c r="S1749" t="s">
        <v>41369</v>
      </c>
      <c r="T1749" t="s">
        <v>42683</v>
      </c>
      <c r="U1749" t="s">
        <v>44724</v>
      </c>
      <c r="V1749" t="s">
        <v>54472</v>
      </c>
      <c r="W1749" t="s">
        <v>38297</v>
      </c>
      <c r="X1749" t="s">
        <v>41252</v>
      </c>
    </row>
    <row r="1750" spans="1:24">
      <c r="A1750">
        <f>HYPERLINK("https://www.philgeps.gov.ph/GEPSNONPILOT/Tender/SplashBidNoticeAbstractUI.aspx?menuIndex=3&amp;refID=7078293&amp;Result=3","7078293")</f>
        <v>0</v>
      </c>
      <c r="B1750" t="s">
        <v>760</v>
      </c>
      <c r="C1750" t="s">
        <v>5062</v>
      </c>
      <c r="D1750" t="s">
        <v>16654</v>
      </c>
      <c r="E1750" t="s">
        <v>18349</v>
      </c>
      <c r="F1750" t="s">
        <v>28669</v>
      </c>
      <c r="G1750" t="s">
        <v>28676</v>
      </c>
      <c r="H1750" t="s">
        <v>28686</v>
      </c>
      <c r="I1750" t="s">
        <v>28691</v>
      </c>
      <c r="J1750" t="s">
        <v>30024</v>
      </c>
      <c r="K1750" t="s">
        <v>37204</v>
      </c>
      <c r="M1750" t="s">
        <v>38271</v>
      </c>
      <c r="N1750" t="s">
        <v>41249</v>
      </c>
      <c r="O1750" t="s">
        <v>41250</v>
      </c>
      <c r="P1750">
        <v>0</v>
      </c>
      <c r="Q1750">
        <v>0</v>
      </c>
      <c r="R1750" t="s">
        <v>41251</v>
      </c>
      <c r="S1750" t="s">
        <v>41369</v>
      </c>
      <c r="T1750" t="s">
        <v>42670</v>
      </c>
      <c r="U1750" t="s">
        <v>44725</v>
      </c>
      <c r="W1750" t="s">
        <v>38271</v>
      </c>
      <c r="X1750" t="s">
        <v>41252</v>
      </c>
    </row>
    <row r="1751" spans="1:24">
      <c r="A1751">
        <f>HYPERLINK("https://www.philgeps.gov.ph/GEPSNONPILOT/Tender/SplashBidNoticeAbstractUI.aspx?menuIndex=3&amp;refID=7078292&amp;Result=3","7078292")</f>
        <v>0</v>
      </c>
      <c r="B1751" t="s">
        <v>771</v>
      </c>
      <c r="C1751" t="s">
        <v>5063</v>
      </c>
      <c r="D1751" t="s">
        <v>16608</v>
      </c>
      <c r="E1751" t="s">
        <v>18350</v>
      </c>
      <c r="F1751" t="s">
        <v>28669</v>
      </c>
      <c r="G1751" t="s">
        <v>28675</v>
      </c>
      <c r="H1751" t="s">
        <v>9998</v>
      </c>
      <c r="I1751" t="s">
        <v>28711</v>
      </c>
      <c r="J1751" t="s">
        <v>30025</v>
      </c>
      <c r="K1751" t="s">
        <v>37206</v>
      </c>
      <c r="M1751" t="s">
        <v>38285</v>
      </c>
      <c r="N1751" t="s">
        <v>41249</v>
      </c>
      <c r="O1751" t="s">
        <v>41250</v>
      </c>
      <c r="P1751">
        <v>0</v>
      </c>
      <c r="Q1751">
        <v>3</v>
      </c>
      <c r="R1751" t="s">
        <v>41251</v>
      </c>
      <c r="S1751" t="s">
        <v>41369</v>
      </c>
      <c r="T1751" t="s">
        <v>42843</v>
      </c>
      <c r="U1751" t="s">
        <v>44726</v>
      </c>
      <c r="V1751" t="s">
        <v>54466</v>
      </c>
      <c r="W1751" t="s">
        <v>38285</v>
      </c>
      <c r="X1751" t="s">
        <v>41252</v>
      </c>
    </row>
    <row r="1752" spans="1:24">
      <c r="A1752">
        <f>HYPERLINK("https://www.philgeps.gov.ph/GEPSNONPILOT/Tender/SplashBidNoticeAbstractUI.aspx?menuIndex=3&amp;refID=7078235&amp;Result=3","7078235")</f>
        <v>0</v>
      </c>
      <c r="B1752" t="s">
        <v>638</v>
      </c>
      <c r="C1752" t="s">
        <v>5064</v>
      </c>
      <c r="D1752" t="s">
        <v>16664</v>
      </c>
      <c r="E1752" t="s">
        <v>18351</v>
      </c>
      <c r="F1752" t="s">
        <v>28669</v>
      </c>
      <c r="G1752" t="s">
        <v>28675</v>
      </c>
      <c r="H1752" t="s">
        <v>28686</v>
      </c>
      <c r="I1752" t="s">
        <v>28689</v>
      </c>
      <c r="J1752" t="s">
        <v>30026</v>
      </c>
      <c r="K1752" t="s">
        <v>37206</v>
      </c>
      <c r="M1752" t="s">
        <v>38139</v>
      </c>
      <c r="N1752" t="s">
        <v>41249</v>
      </c>
      <c r="O1752" t="s">
        <v>41250</v>
      </c>
      <c r="P1752">
        <v>0</v>
      </c>
      <c r="Q1752">
        <v>0</v>
      </c>
      <c r="R1752" t="s">
        <v>41251</v>
      </c>
      <c r="S1752" t="s">
        <v>41369</v>
      </c>
      <c r="T1752" t="s">
        <v>42761</v>
      </c>
      <c r="U1752" t="s">
        <v>43430</v>
      </c>
      <c r="W1752" t="s">
        <v>38139</v>
      </c>
      <c r="X1752" t="s">
        <v>41252</v>
      </c>
    </row>
    <row r="1753" spans="1:24">
      <c r="A1753">
        <f>HYPERLINK("https://www.philgeps.gov.ph/GEPSNONPILOT/Tender/SplashBidNoticeAbstractUI.aspx?menuIndex=3&amp;refID=7078291&amp;Result=3","7078291")</f>
        <v>0</v>
      </c>
      <c r="B1753" t="s">
        <v>776</v>
      </c>
      <c r="C1753" t="s">
        <v>5065</v>
      </c>
      <c r="D1753" t="s">
        <v>16628</v>
      </c>
      <c r="E1753" t="s">
        <v>17629</v>
      </c>
      <c r="F1753" t="s">
        <v>28669</v>
      </c>
      <c r="G1753" t="s">
        <v>28675</v>
      </c>
      <c r="H1753" t="s">
        <v>9998</v>
      </c>
      <c r="I1753" t="s">
        <v>7352</v>
      </c>
      <c r="J1753" t="s">
        <v>29304</v>
      </c>
      <c r="K1753" t="s">
        <v>37206</v>
      </c>
      <c r="M1753" t="s">
        <v>38290</v>
      </c>
      <c r="N1753" t="s">
        <v>41249</v>
      </c>
      <c r="O1753" t="s">
        <v>41250</v>
      </c>
      <c r="P1753">
        <v>0</v>
      </c>
      <c r="Q1753">
        <v>0</v>
      </c>
      <c r="R1753" t="s">
        <v>41251</v>
      </c>
      <c r="S1753" t="s">
        <v>41369</v>
      </c>
      <c r="T1753" t="s">
        <v>42844</v>
      </c>
      <c r="U1753" t="s">
        <v>44727</v>
      </c>
      <c r="W1753" t="s">
        <v>38290</v>
      </c>
      <c r="X1753" t="s">
        <v>41252</v>
      </c>
    </row>
    <row r="1754" spans="1:24">
      <c r="A1754">
        <f>HYPERLINK("https://www.philgeps.gov.ph/GEPSNONPILOT/Tender/SplashBidNoticeAbstractUI.aspx?menuIndex=3&amp;refID=7078299&amp;Result=3","7078299")</f>
        <v>0</v>
      </c>
      <c r="B1754" t="s">
        <v>784</v>
      </c>
      <c r="C1754" t="s">
        <v>5066</v>
      </c>
      <c r="D1754" t="s">
        <v>16661</v>
      </c>
      <c r="E1754" t="s">
        <v>18352</v>
      </c>
      <c r="F1754" t="s">
        <v>28669</v>
      </c>
      <c r="G1754" t="s">
        <v>28676</v>
      </c>
      <c r="H1754" t="s">
        <v>9998</v>
      </c>
      <c r="I1754" t="s">
        <v>7352</v>
      </c>
      <c r="J1754" t="s">
        <v>30027</v>
      </c>
      <c r="K1754" t="s">
        <v>37208</v>
      </c>
      <c r="M1754" t="s">
        <v>38298</v>
      </c>
      <c r="N1754" t="s">
        <v>41249</v>
      </c>
      <c r="O1754" t="s">
        <v>41250</v>
      </c>
      <c r="P1754">
        <v>0</v>
      </c>
      <c r="Q1754">
        <v>1</v>
      </c>
      <c r="R1754" t="s">
        <v>41251</v>
      </c>
      <c r="S1754" t="s">
        <v>41369</v>
      </c>
      <c r="T1754" t="s">
        <v>42673</v>
      </c>
      <c r="U1754" t="s">
        <v>44728</v>
      </c>
      <c r="W1754" t="s">
        <v>38298</v>
      </c>
      <c r="X1754" t="s">
        <v>41252</v>
      </c>
    </row>
    <row r="1755" spans="1:24">
      <c r="A1755">
        <f>HYPERLINK("https://www.philgeps.gov.ph/GEPSNONPILOT/Tender/SplashBidNoticeAbstractUI.aspx?menuIndex=3&amp;refID=7078283&amp;Result=3","7078283")</f>
        <v>0</v>
      </c>
      <c r="B1755" t="s">
        <v>782</v>
      </c>
      <c r="C1755" t="s">
        <v>5067</v>
      </c>
      <c r="D1755" t="s">
        <v>16658</v>
      </c>
      <c r="E1755" t="s">
        <v>18353</v>
      </c>
      <c r="F1755" t="s">
        <v>28669</v>
      </c>
      <c r="G1755" t="s">
        <v>28675</v>
      </c>
      <c r="H1755" t="s">
        <v>9998</v>
      </c>
      <c r="I1755" t="s">
        <v>7352</v>
      </c>
      <c r="J1755" t="s">
        <v>30028</v>
      </c>
      <c r="K1755" t="s">
        <v>37205</v>
      </c>
      <c r="M1755" t="s">
        <v>38296</v>
      </c>
      <c r="N1755" t="s">
        <v>41249</v>
      </c>
      <c r="O1755" t="s">
        <v>41250</v>
      </c>
      <c r="P1755">
        <v>0</v>
      </c>
      <c r="Q1755">
        <v>0</v>
      </c>
      <c r="R1755" t="s">
        <v>41251</v>
      </c>
      <c r="S1755" t="s">
        <v>41369</v>
      </c>
      <c r="T1755" t="s">
        <v>42836</v>
      </c>
      <c r="U1755" t="s">
        <v>44729</v>
      </c>
      <c r="W1755" t="s">
        <v>38296</v>
      </c>
      <c r="X1755" t="s">
        <v>41252</v>
      </c>
    </row>
    <row r="1756" spans="1:24">
      <c r="A1756">
        <f>HYPERLINK("https://www.philgeps.gov.ph/GEPSNONPILOT/Tender/SplashBidNoticeAbstractUI.aspx?menuIndex=3&amp;refID=7078289&amp;Result=3","7078289")</f>
        <v>0</v>
      </c>
      <c r="B1756" t="s">
        <v>607</v>
      </c>
      <c r="C1756" t="s">
        <v>5068</v>
      </c>
      <c r="D1756" t="s">
        <v>16657</v>
      </c>
      <c r="E1756" t="s">
        <v>18354</v>
      </c>
      <c r="F1756" t="s">
        <v>28669</v>
      </c>
      <c r="G1756" t="s">
        <v>28676</v>
      </c>
      <c r="H1756" t="s">
        <v>9998</v>
      </c>
      <c r="I1756" t="s">
        <v>7352</v>
      </c>
      <c r="J1756" t="s">
        <v>30029</v>
      </c>
      <c r="K1756" t="s">
        <v>37209</v>
      </c>
      <c r="M1756" t="s">
        <v>38107</v>
      </c>
      <c r="N1756" t="s">
        <v>41249</v>
      </c>
      <c r="O1756" t="s">
        <v>41250</v>
      </c>
      <c r="P1756">
        <v>0</v>
      </c>
      <c r="Q1756">
        <v>0</v>
      </c>
      <c r="R1756" t="s">
        <v>41251</v>
      </c>
      <c r="S1756" t="s">
        <v>41369</v>
      </c>
      <c r="T1756" t="s">
        <v>42711</v>
      </c>
      <c r="U1756" t="s">
        <v>44730</v>
      </c>
      <c r="W1756" t="s">
        <v>38107</v>
      </c>
      <c r="X1756" t="s">
        <v>41252</v>
      </c>
    </row>
    <row r="1757" spans="1:24">
      <c r="A1757">
        <f>HYPERLINK("https://www.philgeps.gov.ph/GEPSNONPILOT/Tender/SplashBidNoticeAbstractUI.aspx?menuIndex=3&amp;refID=7078287&amp;Result=3","7078287")</f>
        <v>0</v>
      </c>
      <c r="B1757" t="s">
        <v>597</v>
      </c>
      <c r="C1757" t="s">
        <v>4472</v>
      </c>
      <c r="D1757" t="s">
        <v>16615</v>
      </c>
      <c r="E1757" t="s">
        <v>18355</v>
      </c>
      <c r="F1757" t="s">
        <v>28669</v>
      </c>
      <c r="G1757" t="s">
        <v>28676</v>
      </c>
      <c r="H1757" t="s">
        <v>9998</v>
      </c>
      <c r="I1757" t="s">
        <v>28690</v>
      </c>
      <c r="J1757" t="s">
        <v>30030</v>
      </c>
      <c r="K1757" t="s">
        <v>37206</v>
      </c>
      <c r="M1757" t="s">
        <v>38096</v>
      </c>
      <c r="N1757" t="s">
        <v>41249</v>
      </c>
      <c r="O1757" t="s">
        <v>41250</v>
      </c>
      <c r="P1757">
        <v>0</v>
      </c>
      <c r="Q1757">
        <v>1</v>
      </c>
      <c r="R1757" t="s">
        <v>41251</v>
      </c>
      <c r="S1757" t="s">
        <v>41369</v>
      </c>
      <c r="T1757" t="s">
        <v>42751</v>
      </c>
      <c r="U1757" t="s">
        <v>44287</v>
      </c>
      <c r="W1757" t="s">
        <v>55922</v>
      </c>
      <c r="X1757" t="s">
        <v>41252</v>
      </c>
    </row>
    <row r="1758" spans="1:24">
      <c r="A1758">
        <f>HYPERLINK("https://www.philgeps.gov.ph/GEPSNONPILOT/Tender/SplashBidNoticeAbstractUI.aspx?menuIndex=3&amp;refID=7078285&amp;Result=3","7078285")</f>
        <v>0</v>
      </c>
      <c r="B1758" t="s">
        <v>355</v>
      </c>
      <c r="C1758" t="s">
        <v>5069</v>
      </c>
      <c r="D1758" t="s">
        <v>16624</v>
      </c>
      <c r="E1758" t="s">
        <v>18356</v>
      </c>
      <c r="F1758" t="s">
        <v>28669</v>
      </c>
      <c r="G1758" t="s">
        <v>28676</v>
      </c>
      <c r="H1758" t="s">
        <v>9998</v>
      </c>
      <c r="I1758" t="s">
        <v>28704</v>
      </c>
      <c r="J1758" t="s">
        <v>30031</v>
      </c>
      <c r="K1758" t="s">
        <v>37204</v>
      </c>
      <c r="M1758" t="s">
        <v>37836</v>
      </c>
      <c r="N1758" t="s">
        <v>41249</v>
      </c>
      <c r="O1758" t="s">
        <v>41250</v>
      </c>
      <c r="P1758">
        <v>0</v>
      </c>
      <c r="Q1758">
        <v>2</v>
      </c>
      <c r="R1758" t="s">
        <v>41251</v>
      </c>
      <c r="S1758" t="s">
        <v>41369</v>
      </c>
      <c r="T1758" t="s">
        <v>42711</v>
      </c>
      <c r="U1758" t="s">
        <v>44731</v>
      </c>
      <c r="W1758" t="s">
        <v>55912</v>
      </c>
      <c r="X1758" t="s">
        <v>41252</v>
      </c>
    </row>
    <row r="1759" spans="1:24">
      <c r="A1759">
        <f>HYPERLINK("https://www.philgeps.gov.ph/GEPSNONPILOT/Tender/SplashBidNoticeAbstractUI.aspx?menuIndex=3&amp;refID=7078281&amp;Result=3","7078281")</f>
        <v>0</v>
      </c>
      <c r="B1759" t="s">
        <v>785</v>
      </c>
      <c r="C1759" t="s">
        <v>5070</v>
      </c>
      <c r="D1759" t="s">
        <v>16611</v>
      </c>
      <c r="E1759" t="s">
        <v>18357</v>
      </c>
      <c r="F1759" t="s">
        <v>28669</v>
      </c>
      <c r="G1759" t="s">
        <v>28677</v>
      </c>
      <c r="H1759" t="s">
        <v>9998</v>
      </c>
      <c r="I1759" t="s">
        <v>6128</v>
      </c>
      <c r="J1759" t="s">
        <v>29040</v>
      </c>
      <c r="K1759" t="s">
        <v>37204</v>
      </c>
      <c r="M1759" t="s">
        <v>38299</v>
      </c>
      <c r="N1759" t="s">
        <v>41249</v>
      </c>
      <c r="O1759" t="s">
        <v>41250</v>
      </c>
      <c r="P1759">
        <v>0</v>
      </c>
      <c r="Q1759">
        <v>0</v>
      </c>
      <c r="R1759" t="s">
        <v>41251</v>
      </c>
      <c r="S1759" t="s">
        <v>41369</v>
      </c>
      <c r="T1759" t="s">
        <v>42690</v>
      </c>
      <c r="U1759" t="s">
        <v>44732</v>
      </c>
      <c r="W1759" t="s">
        <v>38299</v>
      </c>
      <c r="X1759" t="s">
        <v>41252</v>
      </c>
    </row>
    <row r="1760" spans="1:24">
      <c r="A1760">
        <f>HYPERLINK("https://www.philgeps.gov.ph/GEPSNONPILOT/Tender/SplashBidNoticeAbstractUI.aspx?menuIndex=3&amp;refID=7078330&amp;Result=3","7078330")</f>
        <v>0</v>
      </c>
      <c r="B1760" t="s">
        <v>786</v>
      </c>
      <c r="C1760" t="s">
        <v>5071</v>
      </c>
      <c r="D1760" t="s">
        <v>16627</v>
      </c>
      <c r="E1760" t="s">
        <v>18358</v>
      </c>
      <c r="F1760" t="s">
        <v>28669</v>
      </c>
      <c r="G1760" t="s">
        <v>28676</v>
      </c>
      <c r="H1760" t="s">
        <v>28684</v>
      </c>
      <c r="I1760" t="s">
        <v>28728</v>
      </c>
      <c r="J1760" t="s">
        <v>30032</v>
      </c>
      <c r="K1760" t="s">
        <v>37238</v>
      </c>
      <c r="M1760" t="s">
        <v>38300</v>
      </c>
      <c r="N1760" t="s">
        <v>41249</v>
      </c>
      <c r="O1760" t="s">
        <v>41250</v>
      </c>
      <c r="P1760">
        <v>0</v>
      </c>
      <c r="Q1760">
        <v>1</v>
      </c>
      <c r="R1760" t="s">
        <v>41251</v>
      </c>
      <c r="S1760" t="s">
        <v>41369</v>
      </c>
      <c r="T1760" t="s">
        <v>42675</v>
      </c>
      <c r="U1760" t="s">
        <v>44733</v>
      </c>
      <c r="W1760" t="s">
        <v>55932</v>
      </c>
      <c r="X1760" t="s">
        <v>41252</v>
      </c>
    </row>
    <row r="1761" spans="1:24">
      <c r="A1761">
        <f>HYPERLINK("https://www.philgeps.gov.ph/GEPSNONPILOT/Tender/SplashBidNoticeAbstractUI.aspx?menuIndex=3&amp;refID=7078326&amp;Result=3","7078326")</f>
        <v>0</v>
      </c>
      <c r="B1761" t="s">
        <v>782</v>
      </c>
      <c r="C1761" t="s">
        <v>5072</v>
      </c>
      <c r="D1761" t="s">
        <v>16658</v>
      </c>
      <c r="E1761" t="s">
        <v>18359</v>
      </c>
      <c r="F1761" t="s">
        <v>28669</v>
      </c>
      <c r="G1761" t="s">
        <v>28675</v>
      </c>
      <c r="H1761" t="s">
        <v>9998</v>
      </c>
      <c r="I1761" t="s">
        <v>7352</v>
      </c>
      <c r="J1761" t="s">
        <v>30033</v>
      </c>
      <c r="K1761" t="s">
        <v>37205</v>
      </c>
      <c r="M1761" t="s">
        <v>38296</v>
      </c>
      <c r="N1761" t="s">
        <v>41249</v>
      </c>
      <c r="O1761" t="s">
        <v>41250</v>
      </c>
      <c r="P1761">
        <v>0</v>
      </c>
      <c r="Q1761">
        <v>0</v>
      </c>
      <c r="R1761" t="s">
        <v>41251</v>
      </c>
      <c r="S1761" t="s">
        <v>41369</v>
      </c>
      <c r="T1761" t="s">
        <v>42836</v>
      </c>
      <c r="U1761" t="s">
        <v>44734</v>
      </c>
      <c r="W1761" t="s">
        <v>38296</v>
      </c>
      <c r="X1761" t="s">
        <v>41252</v>
      </c>
    </row>
    <row r="1762" spans="1:24">
      <c r="A1762">
        <f>HYPERLINK("https://www.philgeps.gov.ph/GEPSNONPILOT/Tender/SplashBidNoticeAbstractUI.aspx?menuIndex=3&amp;refID=7078306&amp;Result=3","7078306")</f>
        <v>0</v>
      </c>
      <c r="B1762" t="s">
        <v>276</v>
      </c>
      <c r="C1762" t="s">
        <v>5073</v>
      </c>
      <c r="D1762" t="s">
        <v>16627</v>
      </c>
      <c r="E1762" t="s">
        <v>18360</v>
      </c>
      <c r="F1762" t="s">
        <v>28669</v>
      </c>
      <c r="G1762" t="s">
        <v>28677</v>
      </c>
      <c r="H1762" t="s">
        <v>9998</v>
      </c>
      <c r="I1762" t="s">
        <v>28690</v>
      </c>
      <c r="J1762" t="s">
        <v>30034</v>
      </c>
      <c r="K1762" t="s">
        <v>37209</v>
      </c>
      <c r="M1762" t="s">
        <v>37754</v>
      </c>
      <c r="N1762" t="s">
        <v>41249</v>
      </c>
      <c r="O1762" t="s">
        <v>41250</v>
      </c>
      <c r="P1762">
        <v>0</v>
      </c>
      <c r="Q1762">
        <v>3</v>
      </c>
      <c r="R1762" t="s">
        <v>41251</v>
      </c>
      <c r="S1762" t="s">
        <v>41369</v>
      </c>
      <c r="T1762" t="s">
        <v>42774</v>
      </c>
      <c r="U1762" t="s">
        <v>43634</v>
      </c>
      <c r="V1762" t="s">
        <v>54320</v>
      </c>
      <c r="W1762" t="s">
        <v>37754</v>
      </c>
      <c r="X1762" t="s">
        <v>41252</v>
      </c>
    </row>
    <row r="1763" spans="1:24">
      <c r="A1763">
        <f>HYPERLINK("https://www.philgeps.gov.ph/GEPSNONPILOT/Tender/SplashBidNoticeAbstractUI.aspx?menuIndex=3&amp;refID=7078322&amp;Result=3","7078322")</f>
        <v>0</v>
      </c>
      <c r="B1763" t="s">
        <v>770</v>
      </c>
      <c r="C1763" t="s">
        <v>5074</v>
      </c>
      <c r="D1763" t="s">
        <v>16657</v>
      </c>
      <c r="E1763" t="s">
        <v>18361</v>
      </c>
      <c r="F1763" t="s">
        <v>28669</v>
      </c>
      <c r="G1763" t="s">
        <v>28675</v>
      </c>
      <c r="H1763" t="s">
        <v>9998</v>
      </c>
      <c r="I1763" t="s">
        <v>28694</v>
      </c>
      <c r="J1763" t="s">
        <v>30035</v>
      </c>
      <c r="K1763" t="s">
        <v>37209</v>
      </c>
      <c r="M1763" t="s">
        <v>38284</v>
      </c>
      <c r="N1763" t="s">
        <v>41249</v>
      </c>
      <c r="O1763" t="s">
        <v>41250</v>
      </c>
      <c r="P1763">
        <v>0</v>
      </c>
      <c r="Q1763">
        <v>0</v>
      </c>
      <c r="R1763" t="s">
        <v>41251</v>
      </c>
      <c r="S1763" t="s">
        <v>41369</v>
      </c>
      <c r="T1763" t="s">
        <v>42683</v>
      </c>
      <c r="U1763" t="s">
        <v>44735</v>
      </c>
      <c r="W1763" t="s">
        <v>38284</v>
      </c>
      <c r="X1763" t="s">
        <v>41252</v>
      </c>
    </row>
    <row r="1764" spans="1:24">
      <c r="A1764">
        <f>HYPERLINK("https://www.philgeps.gov.ph/GEPSNONPILOT/Tender/SplashBidNoticeAbstractUI.aspx?menuIndex=3&amp;refID=7078327&amp;Result=3","7078327")</f>
        <v>0</v>
      </c>
      <c r="B1764" t="s">
        <v>787</v>
      </c>
      <c r="C1764" t="s">
        <v>5075</v>
      </c>
      <c r="D1764" t="s">
        <v>16608</v>
      </c>
      <c r="E1764" t="s">
        <v>18362</v>
      </c>
      <c r="F1764" t="s">
        <v>28669</v>
      </c>
      <c r="G1764" t="s">
        <v>28677</v>
      </c>
      <c r="H1764" t="s">
        <v>28686</v>
      </c>
      <c r="I1764" t="s">
        <v>28689</v>
      </c>
      <c r="J1764" t="s">
        <v>28826</v>
      </c>
      <c r="K1764" t="s">
        <v>37210</v>
      </c>
      <c r="M1764" t="s">
        <v>38301</v>
      </c>
      <c r="N1764" t="s">
        <v>41249</v>
      </c>
      <c r="O1764" t="s">
        <v>41250</v>
      </c>
      <c r="P1764">
        <v>0</v>
      </c>
      <c r="Q1764">
        <v>0</v>
      </c>
      <c r="R1764" t="s">
        <v>41251</v>
      </c>
      <c r="S1764" t="s">
        <v>41369</v>
      </c>
      <c r="T1764" t="s">
        <v>42665</v>
      </c>
      <c r="U1764" t="s">
        <v>44736</v>
      </c>
      <c r="W1764" t="s">
        <v>38301</v>
      </c>
      <c r="X1764" t="s">
        <v>41252</v>
      </c>
    </row>
    <row r="1765" spans="1:24">
      <c r="A1765">
        <f>HYPERLINK("https://www.philgeps.gov.ph/GEPSNONPILOT/Tender/SplashBidNoticeAbstractUI.aspx?menuIndex=3&amp;refID=7078321&amp;Result=3","7078321")</f>
        <v>0</v>
      </c>
      <c r="B1765" t="s">
        <v>788</v>
      </c>
      <c r="C1765" t="s">
        <v>5076</v>
      </c>
      <c r="D1765" t="s">
        <v>16648</v>
      </c>
      <c r="E1765" t="s">
        <v>18363</v>
      </c>
      <c r="F1765" t="s">
        <v>28669</v>
      </c>
      <c r="G1765" t="s">
        <v>28676</v>
      </c>
      <c r="H1765" t="s">
        <v>9998</v>
      </c>
      <c r="I1765" t="s">
        <v>7352</v>
      </c>
      <c r="J1765" t="s">
        <v>28905</v>
      </c>
      <c r="K1765" t="s">
        <v>37206</v>
      </c>
      <c r="M1765" t="s">
        <v>38302</v>
      </c>
      <c r="N1765" t="s">
        <v>41249</v>
      </c>
      <c r="O1765" t="s">
        <v>41250</v>
      </c>
      <c r="P1765">
        <v>0</v>
      </c>
      <c r="Q1765">
        <v>0</v>
      </c>
      <c r="R1765" t="s">
        <v>41251</v>
      </c>
      <c r="S1765" t="s">
        <v>41369</v>
      </c>
      <c r="T1765" t="s">
        <v>42706</v>
      </c>
      <c r="U1765" t="s">
        <v>44737</v>
      </c>
      <c r="W1765" t="s">
        <v>38302</v>
      </c>
      <c r="X1765" t="s">
        <v>41252</v>
      </c>
    </row>
    <row r="1766" spans="1:24">
      <c r="A1766">
        <f>HYPERLINK("https://www.philgeps.gov.ph/GEPSNONPILOT/Tender/SplashBidNoticeAbstractUI.aspx?menuIndex=3&amp;refID=7078324&amp;Result=3","7078324")</f>
        <v>0</v>
      </c>
      <c r="B1766" t="s">
        <v>789</v>
      </c>
      <c r="C1766" t="s">
        <v>5077</v>
      </c>
      <c r="D1766" t="s">
        <v>16608</v>
      </c>
      <c r="E1766" t="s">
        <v>18364</v>
      </c>
      <c r="F1766" t="s">
        <v>28669</v>
      </c>
      <c r="G1766" t="s">
        <v>28676</v>
      </c>
      <c r="H1766" t="s">
        <v>28685</v>
      </c>
      <c r="I1766" t="s">
        <v>28685</v>
      </c>
      <c r="J1766" t="s">
        <v>30036</v>
      </c>
      <c r="K1766" t="s">
        <v>37209</v>
      </c>
      <c r="M1766" t="s">
        <v>38303</v>
      </c>
      <c r="N1766" t="s">
        <v>41249</v>
      </c>
      <c r="O1766" t="s">
        <v>41250</v>
      </c>
      <c r="Q1766">
        <v>0</v>
      </c>
      <c r="R1766" t="s">
        <v>41251</v>
      </c>
      <c r="S1766" t="s">
        <v>41382</v>
      </c>
      <c r="T1766" t="s">
        <v>42694</v>
      </c>
      <c r="U1766" t="s">
        <v>44738</v>
      </c>
      <c r="V1766" t="s">
        <v>54473</v>
      </c>
      <c r="W1766" t="s">
        <v>38303</v>
      </c>
      <c r="X1766" t="s">
        <v>41252</v>
      </c>
    </row>
    <row r="1767" spans="1:24">
      <c r="A1767">
        <f>HYPERLINK("https://www.philgeps.gov.ph/GEPSNONPILOT/Tender/SplashBidNoticeAbstractUI.aspx?menuIndex=3&amp;refID=7078335&amp;Result=3","7078335")</f>
        <v>0</v>
      </c>
      <c r="B1767" t="s">
        <v>645</v>
      </c>
      <c r="C1767" t="s">
        <v>5078</v>
      </c>
      <c r="D1767" t="s">
        <v>16624</v>
      </c>
      <c r="E1767" t="s">
        <v>18365</v>
      </c>
      <c r="F1767" t="s">
        <v>28669</v>
      </c>
      <c r="G1767" t="s">
        <v>28675</v>
      </c>
      <c r="H1767" t="s">
        <v>28686</v>
      </c>
      <c r="I1767" t="s">
        <v>28689</v>
      </c>
      <c r="J1767" t="s">
        <v>29047</v>
      </c>
      <c r="K1767" t="s">
        <v>37302</v>
      </c>
      <c r="M1767" t="s">
        <v>38146</v>
      </c>
      <c r="N1767" t="s">
        <v>41249</v>
      </c>
      <c r="O1767" t="s">
        <v>41250</v>
      </c>
      <c r="P1767">
        <v>0</v>
      </c>
      <c r="Q1767">
        <v>0</v>
      </c>
      <c r="R1767" t="s">
        <v>41251</v>
      </c>
      <c r="S1767" t="s">
        <v>41369</v>
      </c>
      <c r="T1767" t="s">
        <v>42845</v>
      </c>
      <c r="U1767" t="s">
        <v>44739</v>
      </c>
      <c r="W1767" t="s">
        <v>38146</v>
      </c>
      <c r="X1767" t="s">
        <v>41252</v>
      </c>
    </row>
    <row r="1768" spans="1:24">
      <c r="A1768">
        <f>HYPERLINK("https://www.philgeps.gov.ph/GEPSNONPILOT/Tender/SplashBidNoticeAbstractUI.aspx?menuIndex=3&amp;refID=7078320&amp;Result=3","7078320")</f>
        <v>0</v>
      </c>
      <c r="B1768" t="s">
        <v>276</v>
      </c>
      <c r="C1768" t="s">
        <v>5079</v>
      </c>
      <c r="D1768" t="s">
        <v>16627</v>
      </c>
      <c r="E1768" t="s">
        <v>18366</v>
      </c>
      <c r="F1768" t="s">
        <v>28669</v>
      </c>
      <c r="G1768" t="s">
        <v>28677</v>
      </c>
      <c r="H1768" t="s">
        <v>9998</v>
      </c>
      <c r="I1768" t="s">
        <v>28690</v>
      </c>
      <c r="J1768" t="s">
        <v>29088</v>
      </c>
      <c r="K1768" t="s">
        <v>37209</v>
      </c>
      <c r="M1768" t="s">
        <v>37754</v>
      </c>
      <c r="N1768" t="s">
        <v>41249</v>
      </c>
      <c r="O1768" t="s">
        <v>41250</v>
      </c>
      <c r="P1768">
        <v>0</v>
      </c>
      <c r="Q1768">
        <v>4</v>
      </c>
      <c r="R1768" t="s">
        <v>41251</v>
      </c>
      <c r="S1768" t="s">
        <v>41369</v>
      </c>
      <c r="T1768" t="s">
        <v>42774</v>
      </c>
      <c r="U1768" t="s">
        <v>43634</v>
      </c>
      <c r="V1768" t="s">
        <v>54320</v>
      </c>
      <c r="W1768" t="s">
        <v>37754</v>
      </c>
      <c r="X1768" t="s">
        <v>41252</v>
      </c>
    </row>
    <row r="1769" spans="1:24">
      <c r="A1769">
        <f>HYPERLINK("https://www.philgeps.gov.ph/GEPSNONPILOT/Tender/SplashBidNoticeAbstractUI.aspx?menuIndex=3&amp;refID=7078305&amp;Result=3","7078305")</f>
        <v>0</v>
      </c>
      <c r="B1769" t="s">
        <v>790</v>
      </c>
      <c r="C1769" t="s">
        <v>5080</v>
      </c>
      <c r="D1769" t="s">
        <v>16611</v>
      </c>
      <c r="E1769" t="s">
        <v>18205</v>
      </c>
      <c r="F1769" t="s">
        <v>28669</v>
      </c>
      <c r="G1769" t="s">
        <v>28677</v>
      </c>
      <c r="H1769" t="s">
        <v>9998</v>
      </c>
      <c r="I1769" t="s">
        <v>28688</v>
      </c>
      <c r="J1769" t="s">
        <v>30037</v>
      </c>
      <c r="K1769" t="s">
        <v>37208</v>
      </c>
      <c r="M1769" t="s">
        <v>38304</v>
      </c>
      <c r="N1769" t="s">
        <v>41249</v>
      </c>
      <c r="O1769" t="s">
        <v>41250</v>
      </c>
      <c r="P1769">
        <v>0</v>
      </c>
      <c r="Q1769">
        <v>0</v>
      </c>
      <c r="R1769" t="s">
        <v>41251</v>
      </c>
      <c r="S1769" t="s">
        <v>41369</v>
      </c>
      <c r="T1769" t="s">
        <v>42717</v>
      </c>
      <c r="U1769" t="s">
        <v>44740</v>
      </c>
      <c r="W1769" t="s">
        <v>38304</v>
      </c>
      <c r="X1769" t="s">
        <v>41252</v>
      </c>
    </row>
    <row r="1770" spans="1:24">
      <c r="A1770">
        <f>HYPERLINK("https://www.philgeps.gov.ph/GEPSNONPILOT/Tender/SplashBidNoticeAbstractUI.aspx?menuIndex=3&amp;refID=7078317&amp;Result=3","7078317")</f>
        <v>0</v>
      </c>
      <c r="B1770" t="s">
        <v>73</v>
      </c>
      <c r="C1770" t="s">
        <v>5054</v>
      </c>
      <c r="D1770" t="s">
        <v>16645</v>
      </c>
      <c r="E1770" t="s">
        <v>18367</v>
      </c>
      <c r="F1770" t="s">
        <v>28669</v>
      </c>
      <c r="G1770" t="s">
        <v>28675</v>
      </c>
      <c r="H1770" t="s">
        <v>28686</v>
      </c>
      <c r="I1770" t="s">
        <v>28702</v>
      </c>
      <c r="J1770" t="s">
        <v>30038</v>
      </c>
      <c r="K1770" t="s">
        <v>37204</v>
      </c>
      <c r="M1770" t="s">
        <v>37548</v>
      </c>
      <c r="N1770" t="s">
        <v>41249</v>
      </c>
      <c r="O1770" t="s">
        <v>41250</v>
      </c>
      <c r="P1770">
        <v>0</v>
      </c>
      <c r="Q1770">
        <v>4</v>
      </c>
      <c r="R1770" t="s">
        <v>41251</v>
      </c>
      <c r="S1770" t="s">
        <v>41369</v>
      </c>
      <c r="T1770" t="s">
        <v>42700</v>
      </c>
      <c r="U1770" t="s">
        <v>44741</v>
      </c>
      <c r="W1770" t="s">
        <v>37548</v>
      </c>
      <c r="X1770" t="s">
        <v>41252</v>
      </c>
    </row>
    <row r="1771" spans="1:24">
      <c r="A1771">
        <f>HYPERLINK("https://www.philgeps.gov.ph/GEPSNONPILOT/Tender/SplashBidNoticeAbstractUI.aspx?menuIndex=3&amp;refID=7078313&amp;Result=3","7078313")</f>
        <v>0</v>
      </c>
      <c r="B1771" t="s">
        <v>791</v>
      </c>
      <c r="C1771" t="s">
        <v>5081</v>
      </c>
      <c r="D1771" t="s">
        <v>16679</v>
      </c>
      <c r="E1771" t="s">
        <v>18368</v>
      </c>
      <c r="F1771" t="s">
        <v>28669</v>
      </c>
      <c r="G1771" t="s">
        <v>28677</v>
      </c>
      <c r="H1771" t="s">
        <v>28686</v>
      </c>
      <c r="I1771" t="s">
        <v>28689</v>
      </c>
      <c r="J1771" t="s">
        <v>30039</v>
      </c>
      <c r="K1771" t="s">
        <v>37204</v>
      </c>
      <c r="M1771" t="s">
        <v>38305</v>
      </c>
      <c r="N1771" t="s">
        <v>41249</v>
      </c>
      <c r="O1771" t="s">
        <v>41250</v>
      </c>
      <c r="P1771">
        <v>0</v>
      </c>
      <c r="Q1771">
        <v>0</v>
      </c>
      <c r="R1771" t="s">
        <v>41251</v>
      </c>
      <c r="S1771" t="s">
        <v>41369</v>
      </c>
      <c r="T1771" t="s">
        <v>42809</v>
      </c>
      <c r="U1771" t="s">
        <v>44742</v>
      </c>
      <c r="W1771" t="s">
        <v>38305</v>
      </c>
      <c r="X1771" t="s">
        <v>41252</v>
      </c>
    </row>
    <row r="1772" spans="1:24">
      <c r="A1772">
        <f>HYPERLINK("https://www.philgeps.gov.ph/GEPSNONPILOT/Tender/SplashBidNoticeAbstractUI.aspx?menuIndex=3&amp;refID=7078334&amp;Result=3","7078334")</f>
        <v>0</v>
      </c>
      <c r="B1772" t="s">
        <v>638</v>
      </c>
      <c r="C1772" t="s">
        <v>5082</v>
      </c>
      <c r="D1772" t="s">
        <v>16664</v>
      </c>
      <c r="E1772" t="s">
        <v>18369</v>
      </c>
      <c r="F1772" t="s">
        <v>28669</v>
      </c>
      <c r="G1772" t="s">
        <v>28675</v>
      </c>
      <c r="H1772" t="s">
        <v>28686</v>
      </c>
      <c r="I1772" t="s">
        <v>28689</v>
      </c>
      <c r="J1772" t="s">
        <v>28879</v>
      </c>
      <c r="K1772" t="s">
        <v>37227</v>
      </c>
      <c r="M1772" t="s">
        <v>38139</v>
      </c>
      <c r="N1772" t="s">
        <v>41249</v>
      </c>
      <c r="O1772" t="s">
        <v>41250</v>
      </c>
      <c r="P1772">
        <v>0</v>
      </c>
      <c r="Q1772">
        <v>0</v>
      </c>
      <c r="R1772" t="s">
        <v>41251</v>
      </c>
      <c r="S1772" t="s">
        <v>41369</v>
      </c>
      <c r="T1772" t="s">
        <v>42761</v>
      </c>
      <c r="U1772" t="s">
        <v>44743</v>
      </c>
      <c r="W1772" t="s">
        <v>38139</v>
      </c>
      <c r="X1772" t="s">
        <v>41252</v>
      </c>
    </row>
    <row r="1773" spans="1:24">
      <c r="A1773">
        <f>HYPERLINK("https://www.philgeps.gov.ph/GEPSNONPILOT/Tender/SplashBidNoticeAbstractUI.aspx?menuIndex=3&amp;refID=7078310&amp;Result=3","7078310")</f>
        <v>0</v>
      </c>
      <c r="B1773" t="s">
        <v>792</v>
      </c>
      <c r="C1773" t="s">
        <v>5083</v>
      </c>
      <c r="D1773" t="s">
        <v>16640</v>
      </c>
      <c r="E1773" t="s">
        <v>18370</v>
      </c>
      <c r="F1773" t="s">
        <v>28669</v>
      </c>
      <c r="G1773" t="s">
        <v>28676</v>
      </c>
      <c r="H1773" t="s">
        <v>9998</v>
      </c>
      <c r="I1773" t="s">
        <v>28708</v>
      </c>
      <c r="J1773" t="s">
        <v>29191</v>
      </c>
      <c r="K1773" t="s">
        <v>37205</v>
      </c>
      <c r="M1773" t="s">
        <v>38306</v>
      </c>
      <c r="N1773" t="s">
        <v>41249</v>
      </c>
      <c r="O1773" t="s">
        <v>41250</v>
      </c>
      <c r="P1773">
        <v>0</v>
      </c>
      <c r="Q1773">
        <v>1</v>
      </c>
      <c r="R1773" t="s">
        <v>41251</v>
      </c>
      <c r="S1773" t="s">
        <v>41369</v>
      </c>
      <c r="T1773" t="s">
        <v>42817</v>
      </c>
      <c r="U1773" t="s">
        <v>44744</v>
      </c>
      <c r="V1773" t="s">
        <v>54474</v>
      </c>
      <c r="W1773" t="s">
        <v>38306</v>
      </c>
      <c r="X1773" t="s">
        <v>41252</v>
      </c>
    </row>
    <row r="1774" spans="1:24">
      <c r="A1774">
        <f>HYPERLINK("https://www.philgeps.gov.ph/GEPSNONPILOT/Tender/SplashBidNoticeAbstractUI.aspx?menuIndex=3&amp;refID=7078308&amp;Result=3","7078308")</f>
        <v>0</v>
      </c>
      <c r="B1774" t="s">
        <v>772</v>
      </c>
      <c r="C1774" t="s">
        <v>5084</v>
      </c>
      <c r="D1774" t="s">
        <v>16665</v>
      </c>
      <c r="E1774" t="s">
        <v>18330</v>
      </c>
      <c r="F1774" t="s">
        <v>28669</v>
      </c>
      <c r="G1774" t="s">
        <v>28676</v>
      </c>
      <c r="H1774" t="s">
        <v>9998</v>
      </c>
      <c r="I1774" t="s">
        <v>3679</v>
      </c>
      <c r="J1774" t="s">
        <v>29040</v>
      </c>
      <c r="K1774" t="s">
        <v>37301</v>
      </c>
      <c r="M1774" t="s">
        <v>38286</v>
      </c>
      <c r="N1774" t="s">
        <v>41249</v>
      </c>
      <c r="O1774" t="s">
        <v>41250</v>
      </c>
      <c r="P1774">
        <v>0</v>
      </c>
      <c r="Q1774">
        <v>1</v>
      </c>
      <c r="R1774" t="s">
        <v>41251</v>
      </c>
      <c r="S1774" t="s">
        <v>41369</v>
      </c>
      <c r="T1774" t="s">
        <v>42705</v>
      </c>
      <c r="U1774" t="s">
        <v>44745</v>
      </c>
      <c r="V1774" t="s">
        <v>54467</v>
      </c>
      <c r="W1774" t="s">
        <v>38286</v>
      </c>
      <c r="X1774" t="s">
        <v>41252</v>
      </c>
    </row>
    <row r="1775" spans="1:24">
      <c r="A1775">
        <f>HYPERLINK("https://www.philgeps.gov.ph/GEPSNONPILOT/Tender/SplashBidNoticeAbstractUI.aspx?menuIndex=3&amp;refID=7078307&amp;Result=3","7078307")</f>
        <v>0</v>
      </c>
      <c r="B1775" t="s">
        <v>793</v>
      </c>
      <c r="C1775" t="s">
        <v>5085</v>
      </c>
      <c r="D1775" t="s">
        <v>16611</v>
      </c>
      <c r="E1775" t="s">
        <v>17140</v>
      </c>
      <c r="F1775" t="s">
        <v>28669</v>
      </c>
      <c r="G1775" t="s">
        <v>28675</v>
      </c>
      <c r="H1775" t="s">
        <v>28686</v>
      </c>
      <c r="I1775" t="s">
        <v>28689</v>
      </c>
      <c r="J1775" t="s">
        <v>30040</v>
      </c>
      <c r="K1775" t="s">
        <v>37221</v>
      </c>
      <c r="M1775" t="s">
        <v>38307</v>
      </c>
      <c r="N1775" t="s">
        <v>41249</v>
      </c>
      <c r="O1775" t="s">
        <v>41250</v>
      </c>
      <c r="P1775">
        <v>0</v>
      </c>
      <c r="Q1775">
        <v>1</v>
      </c>
      <c r="R1775" t="s">
        <v>41251</v>
      </c>
      <c r="S1775" t="s">
        <v>41369</v>
      </c>
      <c r="T1775" t="s">
        <v>42761</v>
      </c>
      <c r="U1775" t="s">
        <v>44746</v>
      </c>
      <c r="W1775" t="s">
        <v>38307</v>
      </c>
      <c r="X1775" t="s">
        <v>41252</v>
      </c>
    </row>
    <row r="1776" spans="1:24">
      <c r="A1776">
        <f>HYPERLINK("https://www.philgeps.gov.ph/GEPSNONPILOT/Tender/SplashBidNoticeAbstractUI.aspx?menuIndex=3&amp;refID=7078331&amp;Result=3","7078331")</f>
        <v>0</v>
      </c>
      <c r="B1776" t="s">
        <v>794</v>
      </c>
      <c r="C1776" t="s">
        <v>5086</v>
      </c>
      <c r="D1776" t="s">
        <v>16611</v>
      </c>
      <c r="E1776" t="s">
        <v>18371</v>
      </c>
      <c r="F1776" t="s">
        <v>28669</v>
      </c>
      <c r="G1776" t="s">
        <v>28675</v>
      </c>
      <c r="H1776" t="s">
        <v>9998</v>
      </c>
      <c r="I1776" t="s">
        <v>28704</v>
      </c>
      <c r="J1776" t="s">
        <v>29305</v>
      </c>
      <c r="K1776" t="s">
        <v>37220</v>
      </c>
      <c r="M1776" t="s">
        <v>38308</v>
      </c>
      <c r="N1776" t="s">
        <v>41249</v>
      </c>
      <c r="O1776" t="s">
        <v>41250</v>
      </c>
      <c r="P1776">
        <v>0</v>
      </c>
      <c r="Q1776">
        <v>0</v>
      </c>
      <c r="R1776" t="s">
        <v>41251</v>
      </c>
      <c r="S1776" t="s">
        <v>41369</v>
      </c>
      <c r="T1776" t="s">
        <v>42690</v>
      </c>
      <c r="U1776" t="s">
        <v>44747</v>
      </c>
      <c r="W1776" t="s">
        <v>38308</v>
      </c>
      <c r="X1776" t="s">
        <v>41252</v>
      </c>
    </row>
    <row r="1777" spans="1:24">
      <c r="A1777">
        <f>HYPERLINK("https://www.philgeps.gov.ph/GEPSNONPILOT/Tender/SplashBidNoticeAbstractUI.aspx?menuIndex=3&amp;refID=7078336&amp;Result=3","7078336")</f>
        <v>0</v>
      </c>
      <c r="B1777" t="s">
        <v>795</v>
      </c>
      <c r="C1777" t="s">
        <v>5087</v>
      </c>
      <c r="D1777" t="s">
        <v>16619</v>
      </c>
      <c r="E1777" t="s">
        <v>16758</v>
      </c>
      <c r="F1777" t="s">
        <v>28669</v>
      </c>
      <c r="G1777" t="s">
        <v>28678</v>
      </c>
      <c r="H1777" t="s">
        <v>9998</v>
      </c>
      <c r="I1777" t="s">
        <v>28709</v>
      </c>
      <c r="J1777" t="s">
        <v>30041</v>
      </c>
      <c r="K1777" t="s">
        <v>37234</v>
      </c>
      <c r="M1777" t="s">
        <v>38309</v>
      </c>
      <c r="N1777" t="s">
        <v>41249</v>
      </c>
      <c r="O1777" t="s">
        <v>41250</v>
      </c>
      <c r="P1777">
        <v>0</v>
      </c>
      <c r="Q1777">
        <v>0</v>
      </c>
      <c r="R1777" t="s">
        <v>41251</v>
      </c>
      <c r="S1777" t="s">
        <v>41369</v>
      </c>
      <c r="T1777" t="s">
        <v>42776</v>
      </c>
      <c r="U1777" t="s">
        <v>44748</v>
      </c>
      <c r="W1777" t="s">
        <v>38309</v>
      </c>
      <c r="X1777" t="s">
        <v>41252</v>
      </c>
    </row>
    <row r="1778" spans="1:24">
      <c r="A1778">
        <f>HYPERLINK("https://www.philgeps.gov.ph/GEPSNONPILOT/Tender/SplashBidNoticeAbstractUI.aspx?menuIndex=3&amp;refID=7078316&amp;Result=3","7078316")</f>
        <v>0</v>
      </c>
      <c r="B1778" t="s">
        <v>796</v>
      </c>
      <c r="C1778" t="s">
        <v>5088</v>
      </c>
      <c r="D1778" t="s">
        <v>16622</v>
      </c>
      <c r="E1778" t="s">
        <v>18372</v>
      </c>
      <c r="F1778" t="s">
        <v>28669</v>
      </c>
      <c r="G1778" t="s">
        <v>28676</v>
      </c>
      <c r="H1778" t="s">
        <v>9998</v>
      </c>
      <c r="I1778" t="s">
        <v>28729</v>
      </c>
      <c r="J1778" t="s">
        <v>30042</v>
      </c>
      <c r="K1778" t="s">
        <v>37299</v>
      </c>
      <c r="M1778" t="s">
        <v>38310</v>
      </c>
      <c r="N1778" t="s">
        <v>41249</v>
      </c>
      <c r="O1778" t="s">
        <v>41250</v>
      </c>
      <c r="P1778">
        <v>0</v>
      </c>
      <c r="Q1778">
        <v>3</v>
      </c>
      <c r="R1778" t="s">
        <v>41251</v>
      </c>
      <c r="S1778" t="s">
        <v>41369</v>
      </c>
      <c r="T1778" t="s">
        <v>42717</v>
      </c>
      <c r="U1778" t="s">
        <v>44749</v>
      </c>
      <c r="W1778" t="s">
        <v>38310</v>
      </c>
      <c r="X1778" t="s">
        <v>41252</v>
      </c>
    </row>
    <row r="1779" spans="1:24">
      <c r="A1779">
        <f>HYPERLINK("https://www.philgeps.gov.ph/GEPSNONPILOT/Tender/SplashBidNoticeAbstractUI.aspx?menuIndex=3&amp;refID=7078370&amp;Result=3","7078370")</f>
        <v>0</v>
      </c>
      <c r="B1779" t="s">
        <v>73</v>
      </c>
      <c r="C1779" t="s">
        <v>5089</v>
      </c>
      <c r="D1779" t="s">
        <v>16645</v>
      </c>
      <c r="E1779" t="s">
        <v>18373</v>
      </c>
      <c r="F1779" t="s">
        <v>28669</v>
      </c>
      <c r="G1779" t="s">
        <v>28675</v>
      </c>
      <c r="H1779" t="s">
        <v>28686</v>
      </c>
      <c r="I1779" t="s">
        <v>28702</v>
      </c>
      <c r="J1779" t="s">
        <v>28879</v>
      </c>
      <c r="K1779" t="s">
        <v>37216</v>
      </c>
      <c r="M1779" t="s">
        <v>37548</v>
      </c>
      <c r="N1779" t="s">
        <v>41249</v>
      </c>
      <c r="O1779" t="s">
        <v>41250</v>
      </c>
      <c r="P1779">
        <v>0</v>
      </c>
      <c r="Q1779">
        <v>4</v>
      </c>
      <c r="R1779" t="s">
        <v>41251</v>
      </c>
      <c r="S1779" t="s">
        <v>41369</v>
      </c>
      <c r="T1779" t="s">
        <v>42700</v>
      </c>
      <c r="U1779" t="s">
        <v>44750</v>
      </c>
      <c r="W1779" t="s">
        <v>37548</v>
      </c>
      <c r="X1779" t="s">
        <v>41252</v>
      </c>
    </row>
    <row r="1780" spans="1:24">
      <c r="A1780">
        <f>HYPERLINK("https://www.philgeps.gov.ph/GEPSNONPILOT/Tender/SplashBidNoticeAbstractUI.aspx?menuIndex=3&amp;refID=7078309&amp;Result=3","7078309")</f>
        <v>0</v>
      </c>
      <c r="B1780" t="s">
        <v>787</v>
      </c>
      <c r="C1780" t="s">
        <v>5090</v>
      </c>
      <c r="D1780" t="s">
        <v>16608</v>
      </c>
      <c r="E1780" t="s">
        <v>18374</v>
      </c>
      <c r="F1780" t="s">
        <v>28669</v>
      </c>
      <c r="G1780" t="s">
        <v>28677</v>
      </c>
      <c r="H1780" t="s">
        <v>28686</v>
      </c>
      <c r="I1780" t="s">
        <v>28689</v>
      </c>
      <c r="J1780" t="s">
        <v>28826</v>
      </c>
      <c r="K1780" t="s">
        <v>37210</v>
      </c>
      <c r="M1780" t="s">
        <v>38301</v>
      </c>
      <c r="N1780" t="s">
        <v>41249</v>
      </c>
      <c r="O1780" t="s">
        <v>41250</v>
      </c>
      <c r="P1780">
        <v>0</v>
      </c>
      <c r="Q1780">
        <v>0</v>
      </c>
      <c r="R1780" t="s">
        <v>41251</v>
      </c>
      <c r="S1780" t="s">
        <v>41369</v>
      </c>
      <c r="T1780" t="s">
        <v>42665</v>
      </c>
      <c r="U1780" t="s">
        <v>44751</v>
      </c>
      <c r="W1780" t="s">
        <v>38301</v>
      </c>
      <c r="X1780" t="s">
        <v>41252</v>
      </c>
    </row>
    <row r="1781" spans="1:24">
      <c r="A1781">
        <f>HYPERLINK("https://www.philgeps.gov.ph/GEPSNONPILOT/Tender/SplashBidNoticeAbstractUI.aspx?menuIndex=3&amp;refID=7078338&amp;Result=3","7078338")</f>
        <v>0</v>
      </c>
      <c r="B1781" t="s">
        <v>376</v>
      </c>
      <c r="C1781" t="s">
        <v>5091</v>
      </c>
      <c r="D1781" t="s">
        <v>16608</v>
      </c>
      <c r="E1781" t="s">
        <v>18375</v>
      </c>
      <c r="F1781" t="s">
        <v>28669</v>
      </c>
      <c r="G1781" t="s">
        <v>28675</v>
      </c>
      <c r="H1781" t="s">
        <v>28686</v>
      </c>
      <c r="I1781" t="s">
        <v>28752</v>
      </c>
      <c r="J1781" t="s">
        <v>30043</v>
      </c>
      <c r="K1781" t="s">
        <v>37211</v>
      </c>
      <c r="M1781" t="s">
        <v>38311</v>
      </c>
      <c r="N1781" t="s">
        <v>41249</v>
      </c>
      <c r="O1781" t="s">
        <v>41250</v>
      </c>
      <c r="P1781">
        <v>0</v>
      </c>
      <c r="Q1781">
        <v>1</v>
      </c>
      <c r="R1781" t="s">
        <v>41251</v>
      </c>
      <c r="S1781" t="s">
        <v>41369</v>
      </c>
      <c r="T1781" t="s">
        <v>42846</v>
      </c>
      <c r="U1781" t="s">
        <v>44752</v>
      </c>
      <c r="W1781" t="s">
        <v>38311</v>
      </c>
      <c r="X1781" t="s">
        <v>41252</v>
      </c>
    </row>
    <row r="1782" spans="1:24">
      <c r="A1782">
        <f>HYPERLINK("https://www.philgeps.gov.ph/GEPSNONPILOT/Tender/SplashBidNoticeAbstractUI.aspx?menuIndex=3&amp;refID=7078362&amp;Result=3","7078362")</f>
        <v>0</v>
      </c>
      <c r="B1782" t="s">
        <v>137</v>
      </c>
      <c r="C1782" t="s">
        <v>5092</v>
      </c>
      <c r="D1782" t="s">
        <v>16657</v>
      </c>
      <c r="E1782" t="s">
        <v>18376</v>
      </c>
      <c r="F1782" t="s">
        <v>28669</v>
      </c>
      <c r="G1782" t="s">
        <v>28675</v>
      </c>
      <c r="H1782" t="s">
        <v>28686</v>
      </c>
      <c r="I1782" t="s">
        <v>28689</v>
      </c>
      <c r="J1782" t="s">
        <v>30044</v>
      </c>
      <c r="K1782" t="s">
        <v>37209</v>
      </c>
      <c r="M1782" t="s">
        <v>37614</v>
      </c>
      <c r="N1782" t="s">
        <v>41249</v>
      </c>
      <c r="O1782" t="s">
        <v>41250</v>
      </c>
      <c r="P1782">
        <v>0</v>
      </c>
      <c r="Q1782">
        <v>35</v>
      </c>
      <c r="R1782" t="s">
        <v>41251</v>
      </c>
      <c r="S1782" t="s">
        <v>41369</v>
      </c>
      <c r="T1782" t="s">
        <v>42698</v>
      </c>
      <c r="U1782" t="s">
        <v>44753</v>
      </c>
      <c r="W1782" t="s">
        <v>37614</v>
      </c>
      <c r="X1782" t="s">
        <v>41252</v>
      </c>
    </row>
    <row r="1783" spans="1:24">
      <c r="A1783">
        <f>HYPERLINK("https://www.philgeps.gov.ph/GEPSNONPILOT/Tender/SplashBidNoticeAbstractUI.aspx?menuIndex=3&amp;refID=7078372&amp;Result=3","7078372")</f>
        <v>0</v>
      </c>
      <c r="B1783" t="s">
        <v>797</v>
      </c>
      <c r="C1783" t="s">
        <v>5093</v>
      </c>
      <c r="D1783" t="s">
        <v>16677</v>
      </c>
      <c r="E1783" t="s">
        <v>18377</v>
      </c>
      <c r="F1783" t="s">
        <v>28669</v>
      </c>
      <c r="G1783" t="s">
        <v>28675</v>
      </c>
      <c r="H1783" t="s">
        <v>9998</v>
      </c>
      <c r="I1783" t="s">
        <v>28687</v>
      </c>
      <c r="J1783" t="s">
        <v>30045</v>
      </c>
      <c r="K1783" t="s">
        <v>37206</v>
      </c>
      <c r="M1783" t="s">
        <v>38312</v>
      </c>
      <c r="N1783" t="s">
        <v>41249</v>
      </c>
      <c r="O1783" t="s">
        <v>41250</v>
      </c>
      <c r="P1783">
        <v>0</v>
      </c>
      <c r="Q1783">
        <v>3</v>
      </c>
      <c r="R1783" t="s">
        <v>41251</v>
      </c>
      <c r="S1783" t="s">
        <v>41369</v>
      </c>
      <c r="T1783" t="s">
        <v>42787</v>
      </c>
      <c r="U1783" t="s">
        <v>44754</v>
      </c>
      <c r="V1783" t="s">
        <v>54475</v>
      </c>
      <c r="W1783" t="s">
        <v>38312</v>
      </c>
      <c r="X1783" t="s">
        <v>41252</v>
      </c>
    </row>
    <row r="1784" spans="1:24">
      <c r="A1784">
        <f>HYPERLINK("https://www.philgeps.gov.ph/GEPSNONPILOT/Tender/SplashBidNoticeAbstractUI.aspx?menuIndex=3&amp;refID=7078333&amp;Result=3","7078333")</f>
        <v>0</v>
      </c>
      <c r="B1784" t="s">
        <v>798</v>
      </c>
      <c r="C1784" t="s">
        <v>5094</v>
      </c>
      <c r="D1784" t="s">
        <v>16649</v>
      </c>
      <c r="E1784" t="s">
        <v>18378</v>
      </c>
      <c r="F1784" t="s">
        <v>28669</v>
      </c>
      <c r="G1784" t="s">
        <v>28677</v>
      </c>
      <c r="H1784" t="s">
        <v>9998</v>
      </c>
      <c r="I1784" t="s">
        <v>28713</v>
      </c>
      <c r="J1784" t="s">
        <v>28894</v>
      </c>
      <c r="K1784" t="s">
        <v>37209</v>
      </c>
      <c r="M1784" t="s">
        <v>38313</v>
      </c>
      <c r="N1784" t="s">
        <v>41249</v>
      </c>
      <c r="O1784" t="s">
        <v>41250</v>
      </c>
      <c r="P1784">
        <v>0</v>
      </c>
      <c r="Q1784">
        <v>2</v>
      </c>
      <c r="R1784" t="s">
        <v>41251</v>
      </c>
      <c r="S1784" t="s">
        <v>41369</v>
      </c>
      <c r="T1784" t="s">
        <v>42742</v>
      </c>
      <c r="U1784" t="s">
        <v>44755</v>
      </c>
      <c r="W1784" t="s">
        <v>38313</v>
      </c>
      <c r="X1784" t="s">
        <v>41252</v>
      </c>
    </row>
    <row r="1785" spans="1:24">
      <c r="A1785">
        <f>HYPERLINK("https://www.philgeps.gov.ph/GEPSNONPILOT/Tender/SplashBidNoticeAbstractUI.aspx?menuIndex=3&amp;refID=7078361&amp;Result=3","7078361")</f>
        <v>0</v>
      </c>
      <c r="B1785" t="s">
        <v>771</v>
      </c>
      <c r="C1785" t="s">
        <v>5095</v>
      </c>
      <c r="D1785" t="s">
        <v>16608</v>
      </c>
      <c r="E1785" t="s">
        <v>18379</v>
      </c>
      <c r="F1785" t="s">
        <v>28669</v>
      </c>
      <c r="G1785" t="s">
        <v>28675</v>
      </c>
      <c r="H1785" t="s">
        <v>9998</v>
      </c>
      <c r="I1785" t="s">
        <v>28687</v>
      </c>
      <c r="J1785" t="s">
        <v>30046</v>
      </c>
      <c r="K1785" t="s">
        <v>37206</v>
      </c>
      <c r="M1785" t="s">
        <v>38285</v>
      </c>
      <c r="N1785" t="s">
        <v>41249</v>
      </c>
      <c r="O1785" t="s">
        <v>41250</v>
      </c>
      <c r="P1785">
        <v>0</v>
      </c>
      <c r="Q1785">
        <v>0</v>
      </c>
      <c r="R1785" t="s">
        <v>41251</v>
      </c>
      <c r="S1785" t="s">
        <v>41369</v>
      </c>
      <c r="T1785" t="s">
        <v>42803</v>
      </c>
      <c r="U1785" t="s">
        <v>44756</v>
      </c>
      <c r="V1785" t="s">
        <v>54466</v>
      </c>
      <c r="W1785" t="s">
        <v>38285</v>
      </c>
      <c r="X1785" t="s">
        <v>41252</v>
      </c>
    </row>
    <row r="1786" spans="1:24">
      <c r="A1786">
        <f>HYPERLINK("https://www.philgeps.gov.ph/GEPSNONPILOT/Tender/SplashBidNoticeAbstractUI.aspx?menuIndex=3&amp;refID=7078368&amp;Result=3","7078368")</f>
        <v>0</v>
      </c>
      <c r="B1786" t="s">
        <v>799</v>
      </c>
      <c r="C1786" t="s">
        <v>5096</v>
      </c>
      <c r="D1786" t="s">
        <v>16652</v>
      </c>
      <c r="E1786" t="s">
        <v>18380</v>
      </c>
      <c r="F1786" t="s">
        <v>28669</v>
      </c>
      <c r="G1786" t="s">
        <v>28679</v>
      </c>
      <c r="H1786" t="s">
        <v>9998</v>
      </c>
      <c r="I1786" t="s">
        <v>28688</v>
      </c>
      <c r="J1786" t="s">
        <v>30047</v>
      </c>
      <c r="K1786" t="s">
        <v>37210</v>
      </c>
      <c r="M1786" t="s">
        <v>38314</v>
      </c>
      <c r="N1786" t="s">
        <v>41249</v>
      </c>
      <c r="O1786" t="s">
        <v>41250</v>
      </c>
      <c r="P1786">
        <v>0</v>
      </c>
      <c r="Q1786">
        <v>2</v>
      </c>
      <c r="R1786" t="s">
        <v>41251</v>
      </c>
      <c r="S1786" t="s">
        <v>41369</v>
      </c>
      <c r="T1786" t="s">
        <v>42711</v>
      </c>
      <c r="U1786" t="s">
        <v>44757</v>
      </c>
      <c r="W1786" t="s">
        <v>38314</v>
      </c>
      <c r="X1786" t="s">
        <v>41252</v>
      </c>
    </row>
    <row r="1787" spans="1:24">
      <c r="A1787">
        <f>HYPERLINK("https://www.philgeps.gov.ph/GEPSNONPILOT/Tender/SplashBidNoticeAbstractUI.aspx?menuIndex=3&amp;refID=7078365&amp;Result=3","7078365")</f>
        <v>0</v>
      </c>
      <c r="B1787" t="s">
        <v>795</v>
      </c>
      <c r="C1787" t="s">
        <v>5097</v>
      </c>
      <c r="D1787" t="s">
        <v>16619</v>
      </c>
      <c r="E1787" t="s">
        <v>16904</v>
      </c>
      <c r="F1787" t="s">
        <v>28669</v>
      </c>
      <c r="G1787" t="s">
        <v>28678</v>
      </c>
      <c r="H1787" t="s">
        <v>9998</v>
      </c>
      <c r="I1787" t="s">
        <v>7352</v>
      </c>
      <c r="J1787" t="s">
        <v>30041</v>
      </c>
      <c r="K1787" t="s">
        <v>37234</v>
      </c>
      <c r="M1787" t="s">
        <v>38309</v>
      </c>
      <c r="N1787" t="s">
        <v>41249</v>
      </c>
      <c r="O1787" t="s">
        <v>41250</v>
      </c>
      <c r="P1787">
        <v>0</v>
      </c>
      <c r="Q1787">
        <v>0</v>
      </c>
      <c r="R1787" t="s">
        <v>41251</v>
      </c>
      <c r="S1787" t="s">
        <v>41369</v>
      </c>
      <c r="T1787" t="s">
        <v>42847</v>
      </c>
      <c r="U1787" t="s">
        <v>44758</v>
      </c>
      <c r="W1787" t="s">
        <v>38309</v>
      </c>
      <c r="X1787" t="s">
        <v>41252</v>
      </c>
    </row>
    <row r="1788" spans="1:24">
      <c r="A1788">
        <f>HYPERLINK("https://www.philgeps.gov.ph/GEPSNONPILOT/Tender/SplashBidNoticeAbstractUI.aspx?menuIndex=3&amp;refID=7078350&amp;Result=3","7078350")</f>
        <v>0</v>
      </c>
      <c r="B1788" t="s">
        <v>772</v>
      </c>
      <c r="C1788" t="s">
        <v>5098</v>
      </c>
      <c r="D1788" t="s">
        <v>16665</v>
      </c>
      <c r="E1788" t="s">
        <v>18330</v>
      </c>
      <c r="F1788" t="s">
        <v>28669</v>
      </c>
      <c r="G1788" t="s">
        <v>28676</v>
      </c>
      <c r="H1788" t="s">
        <v>9998</v>
      </c>
      <c r="I1788" t="s">
        <v>28685</v>
      </c>
      <c r="J1788" t="s">
        <v>30048</v>
      </c>
      <c r="K1788" t="s">
        <v>37301</v>
      </c>
      <c r="M1788" t="s">
        <v>38286</v>
      </c>
      <c r="N1788" t="s">
        <v>41249</v>
      </c>
      <c r="O1788" t="s">
        <v>41250</v>
      </c>
      <c r="P1788">
        <v>0</v>
      </c>
      <c r="Q1788">
        <v>0</v>
      </c>
      <c r="R1788" t="s">
        <v>41251</v>
      </c>
      <c r="S1788" t="s">
        <v>41369</v>
      </c>
      <c r="T1788" t="s">
        <v>42705</v>
      </c>
      <c r="U1788" t="s">
        <v>44759</v>
      </c>
      <c r="V1788" t="s">
        <v>54467</v>
      </c>
      <c r="W1788" t="s">
        <v>38286</v>
      </c>
      <c r="X1788" t="s">
        <v>41252</v>
      </c>
    </row>
    <row r="1789" spans="1:24">
      <c r="A1789">
        <f>HYPERLINK("https://www.philgeps.gov.ph/GEPSNONPILOT/Tender/SplashBidNoticeAbstractUI.aspx?menuIndex=3&amp;refID=7078355&amp;Result=3","7078355")</f>
        <v>0</v>
      </c>
      <c r="B1789" t="s">
        <v>800</v>
      </c>
      <c r="C1789" t="s">
        <v>5099</v>
      </c>
      <c r="D1789" t="s">
        <v>16681</v>
      </c>
      <c r="E1789" t="s">
        <v>18381</v>
      </c>
      <c r="F1789" t="s">
        <v>28669</v>
      </c>
      <c r="G1789" t="s">
        <v>28675</v>
      </c>
      <c r="H1789" t="s">
        <v>9998</v>
      </c>
      <c r="I1789" t="s">
        <v>28733</v>
      </c>
      <c r="J1789" t="s">
        <v>30049</v>
      </c>
      <c r="K1789" t="s">
        <v>37206</v>
      </c>
      <c r="M1789" t="s">
        <v>38315</v>
      </c>
      <c r="N1789" t="s">
        <v>41249</v>
      </c>
      <c r="O1789" t="s">
        <v>41250</v>
      </c>
      <c r="P1789">
        <v>0</v>
      </c>
      <c r="Q1789">
        <v>4</v>
      </c>
      <c r="R1789" t="s">
        <v>41251</v>
      </c>
      <c r="S1789" t="s">
        <v>41369</v>
      </c>
      <c r="T1789" t="s">
        <v>42690</v>
      </c>
      <c r="U1789" t="s">
        <v>44760</v>
      </c>
      <c r="W1789" t="s">
        <v>38315</v>
      </c>
      <c r="X1789" t="s">
        <v>41252</v>
      </c>
    </row>
    <row r="1790" spans="1:24">
      <c r="A1790">
        <f>HYPERLINK("https://www.philgeps.gov.ph/GEPSNONPILOT/Tender/SplashBidNoticeAbstractUI.aspx?menuIndex=3&amp;refID=7078352&amp;Result=3","7078352")</f>
        <v>0</v>
      </c>
      <c r="B1790" t="s">
        <v>586</v>
      </c>
      <c r="C1790" t="s">
        <v>5100</v>
      </c>
      <c r="D1790" t="s">
        <v>16612</v>
      </c>
      <c r="E1790" t="s">
        <v>18382</v>
      </c>
      <c r="F1790" t="s">
        <v>28669</v>
      </c>
      <c r="G1790" t="s">
        <v>28676</v>
      </c>
      <c r="H1790" t="s">
        <v>9998</v>
      </c>
      <c r="I1790" t="s">
        <v>28695</v>
      </c>
      <c r="J1790" t="s">
        <v>30050</v>
      </c>
      <c r="K1790" t="s">
        <v>37205</v>
      </c>
      <c r="M1790" t="s">
        <v>38085</v>
      </c>
      <c r="N1790" t="s">
        <v>41249</v>
      </c>
      <c r="O1790" t="s">
        <v>41250</v>
      </c>
      <c r="P1790">
        <v>0</v>
      </c>
      <c r="Q1790">
        <v>0</v>
      </c>
      <c r="R1790" t="s">
        <v>41251</v>
      </c>
      <c r="S1790" t="s">
        <v>41369</v>
      </c>
      <c r="T1790" t="s">
        <v>42673</v>
      </c>
      <c r="U1790" t="s">
        <v>44761</v>
      </c>
      <c r="W1790" t="s">
        <v>38085</v>
      </c>
      <c r="X1790" t="s">
        <v>41252</v>
      </c>
    </row>
    <row r="1791" spans="1:24">
      <c r="A1791">
        <f>HYPERLINK("https://www.philgeps.gov.ph/GEPSNONPILOT/Tender/SplashBidNoticeAbstractUI.aspx?menuIndex=3&amp;refID=7078403&amp;Result=3","7078403")</f>
        <v>0</v>
      </c>
      <c r="B1791" t="s">
        <v>801</v>
      </c>
      <c r="C1791" t="s">
        <v>5101</v>
      </c>
      <c r="D1791" t="s">
        <v>16611</v>
      </c>
      <c r="E1791" t="s">
        <v>18383</v>
      </c>
      <c r="F1791" t="s">
        <v>28669</v>
      </c>
      <c r="G1791" t="s">
        <v>28677</v>
      </c>
      <c r="H1791" t="s">
        <v>9998</v>
      </c>
      <c r="I1791" t="s">
        <v>28709</v>
      </c>
      <c r="J1791" t="s">
        <v>28863</v>
      </c>
      <c r="K1791" t="s">
        <v>37208</v>
      </c>
      <c r="M1791" t="s">
        <v>38316</v>
      </c>
      <c r="N1791" t="s">
        <v>41249</v>
      </c>
      <c r="O1791" t="s">
        <v>41250</v>
      </c>
      <c r="P1791">
        <v>0</v>
      </c>
      <c r="Q1791">
        <v>0</v>
      </c>
      <c r="R1791" t="s">
        <v>41251</v>
      </c>
      <c r="S1791" t="s">
        <v>41369</v>
      </c>
      <c r="T1791" t="s">
        <v>42694</v>
      </c>
      <c r="U1791" t="s">
        <v>44762</v>
      </c>
      <c r="V1791" t="s">
        <v>54476</v>
      </c>
      <c r="W1791" t="s">
        <v>38316</v>
      </c>
      <c r="X1791" t="s">
        <v>41252</v>
      </c>
    </row>
    <row r="1792" spans="1:24">
      <c r="A1792">
        <f>HYPERLINK("https://www.philgeps.gov.ph/GEPSNONPILOT/Tender/SplashBidNoticeAbstractUI.aspx?menuIndex=3&amp;refID=7078347&amp;Result=3","7078347")</f>
        <v>0</v>
      </c>
      <c r="B1792" t="s">
        <v>782</v>
      </c>
      <c r="C1792" t="s">
        <v>5102</v>
      </c>
      <c r="D1792" t="s">
        <v>16658</v>
      </c>
      <c r="E1792" t="s">
        <v>18384</v>
      </c>
      <c r="F1792" t="s">
        <v>28669</v>
      </c>
      <c r="G1792" t="s">
        <v>28675</v>
      </c>
      <c r="H1792" t="s">
        <v>9998</v>
      </c>
      <c r="I1792" t="s">
        <v>7352</v>
      </c>
      <c r="J1792" t="s">
        <v>30051</v>
      </c>
      <c r="K1792" t="s">
        <v>37205</v>
      </c>
      <c r="M1792" t="s">
        <v>38296</v>
      </c>
      <c r="N1792" t="s">
        <v>41249</v>
      </c>
      <c r="O1792" t="s">
        <v>41250</v>
      </c>
      <c r="P1792">
        <v>0</v>
      </c>
      <c r="Q1792">
        <v>0</v>
      </c>
      <c r="R1792" t="s">
        <v>41251</v>
      </c>
      <c r="S1792" t="s">
        <v>41369</v>
      </c>
      <c r="T1792" t="s">
        <v>42836</v>
      </c>
      <c r="U1792" t="s">
        <v>44763</v>
      </c>
      <c r="W1792" t="s">
        <v>38296</v>
      </c>
      <c r="X1792" t="s">
        <v>41252</v>
      </c>
    </row>
    <row r="1793" spans="1:24">
      <c r="A1793">
        <f>HYPERLINK("https://www.philgeps.gov.ph/GEPSNONPILOT/Tender/SplashBidNoticeAbstractUI.aspx?menuIndex=3&amp;refID=7078272&amp;Result=3","7078272")</f>
        <v>0</v>
      </c>
      <c r="B1793" t="s">
        <v>771</v>
      </c>
      <c r="C1793" t="s">
        <v>5103</v>
      </c>
      <c r="D1793" t="s">
        <v>16608</v>
      </c>
      <c r="E1793" t="s">
        <v>18385</v>
      </c>
      <c r="F1793" t="s">
        <v>28669</v>
      </c>
      <c r="G1793" t="s">
        <v>28675</v>
      </c>
      <c r="H1793" t="s">
        <v>9998</v>
      </c>
      <c r="I1793" t="s">
        <v>28777</v>
      </c>
      <c r="J1793" t="s">
        <v>30052</v>
      </c>
      <c r="K1793" t="s">
        <v>37206</v>
      </c>
      <c r="M1793" t="s">
        <v>38285</v>
      </c>
      <c r="N1793" t="s">
        <v>41249</v>
      </c>
      <c r="O1793" t="s">
        <v>41250</v>
      </c>
      <c r="P1793">
        <v>0</v>
      </c>
      <c r="Q1793">
        <v>3</v>
      </c>
      <c r="R1793" t="s">
        <v>41251</v>
      </c>
      <c r="S1793" t="s">
        <v>41369</v>
      </c>
      <c r="T1793" t="s">
        <v>42843</v>
      </c>
      <c r="U1793" t="s">
        <v>44756</v>
      </c>
      <c r="V1793" t="s">
        <v>54466</v>
      </c>
      <c r="W1793" t="s">
        <v>38285</v>
      </c>
      <c r="X1793" t="s">
        <v>41252</v>
      </c>
    </row>
    <row r="1794" spans="1:24">
      <c r="A1794">
        <f>HYPERLINK("https://www.philgeps.gov.ph/GEPSNONPILOT/Tender/SplashBidNoticeAbstractUI.aspx?menuIndex=3&amp;refID=7078400&amp;Result=3","7078400")</f>
        <v>0</v>
      </c>
      <c r="B1794" t="s">
        <v>29</v>
      </c>
      <c r="C1794" t="s">
        <v>5104</v>
      </c>
      <c r="D1794" t="s">
        <v>16611</v>
      </c>
      <c r="E1794" t="s">
        <v>18386</v>
      </c>
      <c r="F1794" t="s">
        <v>28669</v>
      </c>
      <c r="G1794" t="s">
        <v>28677</v>
      </c>
      <c r="H1794" t="s">
        <v>9998</v>
      </c>
      <c r="I1794" t="s">
        <v>6128</v>
      </c>
      <c r="J1794" t="s">
        <v>30053</v>
      </c>
      <c r="K1794" t="s">
        <v>37209</v>
      </c>
      <c r="M1794" t="s">
        <v>37931</v>
      </c>
      <c r="N1794" t="s">
        <v>41249</v>
      </c>
      <c r="O1794" t="s">
        <v>41250</v>
      </c>
      <c r="P1794">
        <v>0</v>
      </c>
      <c r="Q1794">
        <v>0</v>
      </c>
      <c r="R1794" t="s">
        <v>41251</v>
      </c>
      <c r="S1794" t="s">
        <v>41369</v>
      </c>
      <c r="T1794" t="s">
        <v>42686</v>
      </c>
      <c r="U1794" t="s">
        <v>44764</v>
      </c>
      <c r="W1794" t="s">
        <v>37931</v>
      </c>
      <c r="X1794" t="s">
        <v>41252</v>
      </c>
    </row>
    <row r="1795" spans="1:24">
      <c r="A1795">
        <f>HYPERLINK("https://www.philgeps.gov.ph/GEPSNONPILOT/Tender/SplashBidNoticeAbstractUI.aspx?menuIndex=3&amp;refID=7078351&amp;Result=3","7078351")</f>
        <v>0</v>
      </c>
      <c r="B1795" t="s">
        <v>802</v>
      </c>
      <c r="C1795" t="s">
        <v>5105</v>
      </c>
      <c r="D1795" t="s">
        <v>16664</v>
      </c>
      <c r="E1795" t="s">
        <v>18387</v>
      </c>
      <c r="F1795" t="s">
        <v>28669</v>
      </c>
      <c r="G1795" t="s">
        <v>28675</v>
      </c>
      <c r="H1795" t="s">
        <v>9998</v>
      </c>
      <c r="I1795" t="s">
        <v>6458</v>
      </c>
      <c r="J1795" t="s">
        <v>30054</v>
      </c>
      <c r="K1795" t="s">
        <v>37206</v>
      </c>
      <c r="M1795" t="s">
        <v>38317</v>
      </c>
      <c r="N1795" t="s">
        <v>41249</v>
      </c>
      <c r="O1795" t="s">
        <v>41250</v>
      </c>
      <c r="P1795">
        <v>0</v>
      </c>
      <c r="Q1795">
        <v>0</v>
      </c>
      <c r="R1795" t="s">
        <v>41251</v>
      </c>
      <c r="S1795" t="s">
        <v>41369</v>
      </c>
      <c r="T1795" t="s">
        <v>42667</v>
      </c>
      <c r="U1795" t="s">
        <v>44765</v>
      </c>
      <c r="V1795" t="s">
        <v>54477</v>
      </c>
      <c r="W1795" t="s">
        <v>38317</v>
      </c>
      <c r="X1795" t="s">
        <v>41252</v>
      </c>
    </row>
    <row r="1796" spans="1:24">
      <c r="A1796">
        <f>HYPERLINK("https://www.philgeps.gov.ph/GEPSNONPILOT/Tender/SplashBidNoticeAbstractUI.aspx?menuIndex=3&amp;refID=7078397&amp;Result=3","7078397")</f>
        <v>0</v>
      </c>
      <c r="B1796" t="s">
        <v>771</v>
      </c>
      <c r="C1796" t="s">
        <v>5106</v>
      </c>
      <c r="D1796" t="s">
        <v>16608</v>
      </c>
      <c r="E1796" t="s">
        <v>18388</v>
      </c>
      <c r="F1796" t="s">
        <v>28669</v>
      </c>
      <c r="G1796" t="s">
        <v>28675</v>
      </c>
      <c r="H1796" t="s">
        <v>9998</v>
      </c>
      <c r="I1796" t="s">
        <v>28693</v>
      </c>
      <c r="J1796" t="s">
        <v>30055</v>
      </c>
      <c r="K1796" t="s">
        <v>37206</v>
      </c>
      <c r="M1796" t="s">
        <v>38285</v>
      </c>
      <c r="N1796" t="s">
        <v>41249</v>
      </c>
      <c r="O1796" t="s">
        <v>41250</v>
      </c>
      <c r="P1796">
        <v>0</v>
      </c>
      <c r="Q1796">
        <v>10</v>
      </c>
      <c r="R1796" t="s">
        <v>41251</v>
      </c>
      <c r="S1796" t="s">
        <v>41369</v>
      </c>
      <c r="T1796" t="s">
        <v>42803</v>
      </c>
      <c r="U1796" t="s">
        <v>44756</v>
      </c>
      <c r="V1796" t="s">
        <v>54466</v>
      </c>
      <c r="W1796" t="s">
        <v>38285</v>
      </c>
      <c r="X1796" t="s">
        <v>41252</v>
      </c>
    </row>
    <row r="1797" spans="1:24">
      <c r="A1797">
        <f>HYPERLINK("https://www.philgeps.gov.ph/GEPSNONPILOT/Tender/SplashBidNoticeAbstractUI.aspx?menuIndex=3&amp;refID=7078396&amp;Result=3","7078396")</f>
        <v>0</v>
      </c>
      <c r="B1797" t="s">
        <v>707</v>
      </c>
      <c r="C1797" t="s">
        <v>4901</v>
      </c>
      <c r="D1797" t="s">
        <v>16660</v>
      </c>
      <c r="E1797" t="s">
        <v>18199</v>
      </c>
      <c r="F1797" t="s">
        <v>28669</v>
      </c>
      <c r="G1797" t="s">
        <v>28677</v>
      </c>
      <c r="H1797" t="s">
        <v>9998</v>
      </c>
      <c r="I1797" t="s">
        <v>3718</v>
      </c>
      <c r="J1797" t="s">
        <v>30056</v>
      </c>
      <c r="K1797" t="s">
        <v>37243</v>
      </c>
      <c r="M1797" t="s">
        <v>38214</v>
      </c>
      <c r="N1797" t="s">
        <v>41249</v>
      </c>
      <c r="O1797" t="s">
        <v>41250</v>
      </c>
      <c r="P1797">
        <v>0</v>
      </c>
      <c r="Q1797">
        <v>1</v>
      </c>
      <c r="R1797" t="s">
        <v>41251</v>
      </c>
      <c r="S1797" t="s">
        <v>41369</v>
      </c>
      <c r="T1797" t="s">
        <v>42664</v>
      </c>
      <c r="U1797" t="s">
        <v>44766</v>
      </c>
      <c r="W1797" t="s">
        <v>38214</v>
      </c>
      <c r="X1797" t="s">
        <v>41252</v>
      </c>
    </row>
    <row r="1798" spans="1:24">
      <c r="A1798">
        <f>HYPERLINK("https://www.philgeps.gov.ph/GEPSNONPILOT/Tender/SplashBidNoticeAbstractUI.aspx?menuIndex=3&amp;refID=7078394&amp;Result=3","7078394")</f>
        <v>0</v>
      </c>
      <c r="B1798" t="s">
        <v>772</v>
      </c>
      <c r="C1798" t="s">
        <v>5107</v>
      </c>
      <c r="D1798" t="s">
        <v>16665</v>
      </c>
      <c r="E1798" t="s">
        <v>18330</v>
      </c>
      <c r="F1798" t="s">
        <v>28669</v>
      </c>
      <c r="G1798" t="s">
        <v>28676</v>
      </c>
      <c r="H1798" t="s">
        <v>9998</v>
      </c>
      <c r="I1798" t="s">
        <v>28685</v>
      </c>
      <c r="J1798" t="s">
        <v>28905</v>
      </c>
      <c r="K1798" t="s">
        <v>37301</v>
      </c>
      <c r="M1798" t="s">
        <v>38286</v>
      </c>
      <c r="N1798" t="s">
        <v>41249</v>
      </c>
      <c r="O1798" t="s">
        <v>41250</v>
      </c>
      <c r="P1798">
        <v>0</v>
      </c>
      <c r="Q1798">
        <v>1</v>
      </c>
      <c r="R1798" t="s">
        <v>41251</v>
      </c>
      <c r="S1798" t="s">
        <v>41369</v>
      </c>
      <c r="T1798" t="s">
        <v>42705</v>
      </c>
      <c r="U1798" t="s">
        <v>44767</v>
      </c>
      <c r="V1798" t="s">
        <v>54467</v>
      </c>
      <c r="W1798" t="s">
        <v>38286</v>
      </c>
      <c r="X1798" t="s">
        <v>41252</v>
      </c>
    </row>
    <row r="1799" spans="1:24">
      <c r="A1799">
        <f>HYPERLINK("https://www.philgeps.gov.ph/GEPSNONPILOT/Tender/SplashBidNoticeAbstractUI.aspx?menuIndex=3&amp;refID=7078363&amp;Result=3","7078363")</f>
        <v>0</v>
      </c>
      <c r="B1799" t="s">
        <v>782</v>
      </c>
      <c r="C1799" t="s">
        <v>5108</v>
      </c>
      <c r="D1799" t="s">
        <v>16658</v>
      </c>
      <c r="E1799" t="s">
        <v>18389</v>
      </c>
      <c r="F1799" t="s">
        <v>28669</v>
      </c>
      <c r="G1799" t="s">
        <v>28675</v>
      </c>
      <c r="H1799" t="s">
        <v>9998</v>
      </c>
      <c r="I1799" t="s">
        <v>7352</v>
      </c>
      <c r="J1799" t="s">
        <v>30057</v>
      </c>
      <c r="K1799" t="s">
        <v>37205</v>
      </c>
      <c r="M1799" t="s">
        <v>38296</v>
      </c>
      <c r="N1799" t="s">
        <v>41249</v>
      </c>
      <c r="O1799" t="s">
        <v>41250</v>
      </c>
      <c r="P1799">
        <v>0</v>
      </c>
      <c r="Q1799">
        <v>0</v>
      </c>
      <c r="R1799" t="s">
        <v>41251</v>
      </c>
      <c r="S1799" t="s">
        <v>41369</v>
      </c>
      <c r="T1799" t="s">
        <v>42836</v>
      </c>
      <c r="U1799" t="s">
        <v>44768</v>
      </c>
      <c r="W1799" t="s">
        <v>38296</v>
      </c>
      <c r="X1799" t="s">
        <v>41252</v>
      </c>
    </row>
    <row r="1800" spans="1:24">
      <c r="A1800">
        <f>HYPERLINK("https://www.philgeps.gov.ph/GEPSNONPILOT/Tender/SplashBidNoticeAbstractUI.aspx?menuIndex=3&amp;refID=7078392&amp;Result=3","7078392")</f>
        <v>0</v>
      </c>
      <c r="B1800" t="s">
        <v>221</v>
      </c>
      <c r="C1800" t="s">
        <v>5109</v>
      </c>
      <c r="E1800" t="s">
        <v>18390</v>
      </c>
      <c r="F1800" t="s">
        <v>28669</v>
      </c>
      <c r="G1800" t="s">
        <v>28675</v>
      </c>
      <c r="H1800" t="s">
        <v>28686</v>
      </c>
      <c r="I1800" t="s">
        <v>28689</v>
      </c>
      <c r="J1800" t="s">
        <v>30058</v>
      </c>
      <c r="K1800" t="s">
        <v>37303</v>
      </c>
      <c r="M1800" t="s">
        <v>37699</v>
      </c>
      <c r="N1800" t="s">
        <v>41249</v>
      </c>
      <c r="O1800" t="s">
        <v>41250</v>
      </c>
      <c r="P1800">
        <v>0</v>
      </c>
      <c r="Q1800">
        <v>0</v>
      </c>
      <c r="R1800" t="s">
        <v>41251</v>
      </c>
      <c r="S1800" t="s">
        <v>41369</v>
      </c>
      <c r="T1800" t="s">
        <v>42672</v>
      </c>
      <c r="U1800" t="s">
        <v>44769</v>
      </c>
      <c r="W1800" t="s">
        <v>37699</v>
      </c>
      <c r="X1800" t="s">
        <v>41252</v>
      </c>
    </row>
    <row r="1801" spans="1:24">
      <c r="A1801">
        <f>HYPERLINK("https://www.philgeps.gov.ph/GEPSNONPILOT/Tender/SplashBidNoticeAbstractUI.aspx?menuIndex=3&amp;refID=7078391&amp;Result=3","7078391")</f>
        <v>0</v>
      </c>
      <c r="B1801" t="s">
        <v>803</v>
      </c>
      <c r="C1801" t="s">
        <v>5110</v>
      </c>
      <c r="D1801" t="s">
        <v>16664</v>
      </c>
      <c r="E1801" t="s">
        <v>18391</v>
      </c>
      <c r="F1801" t="s">
        <v>28669</v>
      </c>
      <c r="G1801" t="s">
        <v>28675</v>
      </c>
      <c r="H1801" t="s">
        <v>9998</v>
      </c>
      <c r="I1801" t="s">
        <v>28698</v>
      </c>
      <c r="J1801" t="s">
        <v>30059</v>
      </c>
      <c r="K1801" t="s">
        <v>37206</v>
      </c>
      <c r="M1801" t="s">
        <v>38318</v>
      </c>
      <c r="N1801" t="s">
        <v>41249</v>
      </c>
      <c r="O1801" t="s">
        <v>41250</v>
      </c>
      <c r="P1801">
        <v>0</v>
      </c>
      <c r="Q1801">
        <v>0</v>
      </c>
      <c r="R1801" t="s">
        <v>41251</v>
      </c>
      <c r="S1801" t="s">
        <v>41369</v>
      </c>
      <c r="T1801" t="s">
        <v>42848</v>
      </c>
      <c r="U1801" t="s">
        <v>44770</v>
      </c>
      <c r="W1801" t="s">
        <v>38318</v>
      </c>
      <c r="X1801" t="s">
        <v>41252</v>
      </c>
    </row>
    <row r="1802" spans="1:24">
      <c r="A1802">
        <f>HYPERLINK("https://www.philgeps.gov.ph/GEPSNONPILOT/Tender/SplashBidNoticeAbstractUI.aspx?menuIndex=3&amp;refID=7078401&amp;Result=3","7078401")</f>
        <v>0</v>
      </c>
      <c r="B1802" t="s">
        <v>791</v>
      </c>
      <c r="C1802" t="s">
        <v>5111</v>
      </c>
      <c r="D1802" t="s">
        <v>16679</v>
      </c>
      <c r="E1802" t="s">
        <v>18392</v>
      </c>
      <c r="F1802" t="s">
        <v>28669</v>
      </c>
      <c r="G1802" t="s">
        <v>28677</v>
      </c>
      <c r="H1802" t="s">
        <v>9998</v>
      </c>
      <c r="I1802" t="s">
        <v>5213</v>
      </c>
      <c r="J1802" t="s">
        <v>30060</v>
      </c>
      <c r="K1802" t="s">
        <v>37204</v>
      </c>
      <c r="M1802" t="s">
        <v>38305</v>
      </c>
      <c r="N1802" t="s">
        <v>41249</v>
      </c>
      <c r="O1802" t="s">
        <v>41250</v>
      </c>
      <c r="P1802">
        <v>0</v>
      </c>
      <c r="Q1802">
        <v>4</v>
      </c>
      <c r="R1802" t="s">
        <v>41251</v>
      </c>
      <c r="S1802" t="s">
        <v>41369</v>
      </c>
      <c r="T1802" t="s">
        <v>42809</v>
      </c>
      <c r="U1802" t="s">
        <v>44771</v>
      </c>
      <c r="W1802" t="s">
        <v>38305</v>
      </c>
      <c r="X1802" t="s">
        <v>41252</v>
      </c>
    </row>
    <row r="1803" spans="1:24">
      <c r="A1803">
        <f>HYPERLINK("https://www.philgeps.gov.ph/GEPSNONPILOT/Tender/SplashBidNoticeAbstractUI.aspx?menuIndex=3&amp;refID=7078388&amp;Result=3","7078388")</f>
        <v>0</v>
      </c>
      <c r="B1803" t="s">
        <v>376</v>
      </c>
      <c r="C1803" t="s">
        <v>5112</v>
      </c>
      <c r="D1803" t="s">
        <v>16608</v>
      </c>
      <c r="E1803" t="s">
        <v>18393</v>
      </c>
      <c r="F1803" t="s">
        <v>28669</v>
      </c>
      <c r="G1803" t="s">
        <v>28675</v>
      </c>
      <c r="H1803" t="s">
        <v>28686</v>
      </c>
      <c r="I1803" t="s">
        <v>28689</v>
      </c>
      <c r="J1803" t="s">
        <v>30061</v>
      </c>
      <c r="K1803" t="s">
        <v>37215</v>
      </c>
      <c r="M1803" t="s">
        <v>38311</v>
      </c>
      <c r="N1803" t="s">
        <v>41249</v>
      </c>
      <c r="O1803" t="s">
        <v>41250</v>
      </c>
      <c r="P1803">
        <v>0</v>
      </c>
      <c r="Q1803">
        <v>2</v>
      </c>
      <c r="R1803" t="s">
        <v>41251</v>
      </c>
      <c r="S1803" t="s">
        <v>41369</v>
      </c>
      <c r="T1803" t="s">
        <v>42846</v>
      </c>
      <c r="U1803" t="s">
        <v>44752</v>
      </c>
      <c r="W1803" t="s">
        <v>38311</v>
      </c>
      <c r="X1803" t="s">
        <v>41252</v>
      </c>
    </row>
    <row r="1804" spans="1:24">
      <c r="A1804">
        <f>HYPERLINK("https://www.philgeps.gov.ph/GEPSNONPILOT/Tender/SplashBidNoticeAbstractUI.aspx?menuIndex=3&amp;refID=7078354&amp;Result=3","7078354")</f>
        <v>0</v>
      </c>
      <c r="B1804" t="s">
        <v>798</v>
      </c>
      <c r="C1804" t="s">
        <v>5113</v>
      </c>
      <c r="D1804" t="s">
        <v>16649</v>
      </c>
      <c r="E1804" t="s">
        <v>18378</v>
      </c>
      <c r="F1804" t="s">
        <v>28669</v>
      </c>
      <c r="G1804" t="s">
        <v>28677</v>
      </c>
      <c r="H1804" t="s">
        <v>9998</v>
      </c>
      <c r="I1804" t="s">
        <v>8667</v>
      </c>
      <c r="J1804" t="s">
        <v>28877</v>
      </c>
      <c r="K1804" t="s">
        <v>37209</v>
      </c>
      <c r="M1804" t="s">
        <v>38313</v>
      </c>
      <c r="N1804" t="s">
        <v>41249</v>
      </c>
      <c r="O1804" t="s">
        <v>41250</v>
      </c>
      <c r="P1804">
        <v>0</v>
      </c>
      <c r="Q1804">
        <v>0</v>
      </c>
      <c r="R1804" t="s">
        <v>41251</v>
      </c>
      <c r="S1804" t="s">
        <v>41369</v>
      </c>
      <c r="T1804" t="s">
        <v>42742</v>
      </c>
      <c r="U1804" t="s">
        <v>44772</v>
      </c>
      <c r="W1804" t="s">
        <v>38313</v>
      </c>
      <c r="X1804" t="s">
        <v>41252</v>
      </c>
    </row>
    <row r="1805" spans="1:24">
      <c r="A1805">
        <f>HYPERLINK("https://www.philgeps.gov.ph/GEPSNONPILOT/Tender/SplashBidNoticeAbstractUI.aspx?menuIndex=3&amp;refID=7078385&amp;Result=3","7078385")</f>
        <v>0</v>
      </c>
      <c r="B1805" t="s">
        <v>783</v>
      </c>
      <c r="C1805" t="s">
        <v>5114</v>
      </c>
      <c r="D1805" t="s">
        <v>16640</v>
      </c>
      <c r="E1805" t="s">
        <v>18394</v>
      </c>
      <c r="F1805" t="s">
        <v>28669</v>
      </c>
      <c r="G1805" t="s">
        <v>28676</v>
      </c>
      <c r="H1805" t="s">
        <v>28686</v>
      </c>
      <c r="I1805" t="s">
        <v>28689</v>
      </c>
      <c r="J1805" t="s">
        <v>29304</v>
      </c>
      <c r="K1805" t="s">
        <v>37206</v>
      </c>
      <c r="M1805" t="s">
        <v>38297</v>
      </c>
      <c r="N1805" t="s">
        <v>41249</v>
      </c>
      <c r="O1805" t="s">
        <v>41250</v>
      </c>
      <c r="P1805">
        <v>0</v>
      </c>
      <c r="Q1805">
        <v>1</v>
      </c>
      <c r="R1805" t="s">
        <v>41251</v>
      </c>
      <c r="S1805" t="s">
        <v>41369</v>
      </c>
      <c r="T1805" t="s">
        <v>42683</v>
      </c>
      <c r="U1805" t="s">
        <v>44773</v>
      </c>
      <c r="V1805" t="s">
        <v>54472</v>
      </c>
      <c r="W1805" t="s">
        <v>38297</v>
      </c>
      <c r="X1805" t="s">
        <v>41252</v>
      </c>
    </row>
    <row r="1806" spans="1:24">
      <c r="A1806">
        <f>HYPERLINK("https://www.philgeps.gov.ph/GEPSNONPILOT/Tender/SplashBidNoticeAbstractUI.aspx?menuIndex=3&amp;refID=7078383&amp;Result=3","7078383")</f>
        <v>0</v>
      </c>
      <c r="B1806" t="s">
        <v>798</v>
      </c>
      <c r="C1806" t="s">
        <v>5115</v>
      </c>
      <c r="D1806" t="s">
        <v>16649</v>
      </c>
      <c r="E1806" t="s">
        <v>18395</v>
      </c>
      <c r="F1806" t="s">
        <v>28669</v>
      </c>
      <c r="G1806" t="s">
        <v>28675</v>
      </c>
      <c r="H1806" t="s">
        <v>9998</v>
      </c>
      <c r="I1806" t="s">
        <v>28687</v>
      </c>
      <c r="J1806" t="s">
        <v>30062</v>
      </c>
      <c r="K1806" t="s">
        <v>37209</v>
      </c>
      <c r="M1806" t="s">
        <v>38313</v>
      </c>
      <c r="N1806" t="s">
        <v>41249</v>
      </c>
      <c r="O1806" t="s">
        <v>41250</v>
      </c>
      <c r="P1806">
        <v>0</v>
      </c>
      <c r="Q1806">
        <v>1</v>
      </c>
      <c r="R1806" t="s">
        <v>41251</v>
      </c>
      <c r="S1806" t="s">
        <v>41369</v>
      </c>
      <c r="T1806" t="s">
        <v>42670</v>
      </c>
      <c r="U1806" t="s">
        <v>44774</v>
      </c>
      <c r="W1806" t="s">
        <v>38313</v>
      </c>
      <c r="X1806" t="s">
        <v>41252</v>
      </c>
    </row>
    <row r="1807" spans="1:24">
      <c r="A1807">
        <f>HYPERLINK("https://www.philgeps.gov.ph/GEPSNONPILOT/Tender/SplashBidNoticeAbstractUI.aspx?menuIndex=3&amp;refID=7078382&amp;Result=3","7078382")</f>
        <v>0</v>
      </c>
      <c r="B1807" t="s">
        <v>693</v>
      </c>
      <c r="C1807" t="s">
        <v>5116</v>
      </c>
      <c r="D1807" t="s">
        <v>16615</v>
      </c>
      <c r="E1807" t="s">
        <v>18396</v>
      </c>
      <c r="F1807" t="s">
        <v>28669</v>
      </c>
      <c r="G1807" t="s">
        <v>28676</v>
      </c>
      <c r="H1807" t="s">
        <v>9998</v>
      </c>
      <c r="I1807" t="s">
        <v>28704</v>
      </c>
      <c r="J1807" t="s">
        <v>30063</v>
      </c>
      <c r="K1807" t="s">
        <v>37204</v>
      </c>
      <c r="M1807" t="s">
        <v>38198</v>
      </c>
      <c r="N1807" t="s">
        <v>41249</v>
      </c>
      <c r="O1807" t="s">
        <v>41250</v>
      </c>
      <c r="P1807">
        <v>0</v>
      </c>
      <c r="Q1807">
        <v>0</v>
      </c>
      <c r="R1807" t="s">
        <v>41251</v>
      </c>
      <c r="S1807" t="s">
        <v>41369</v>
      </c>
      <c r="T1807" t="s">
        <v>42673</v>
      </c>
      <c r="U1807" t="s">
        <v>44775</v>
      </c>
      <c r="V1807" t="s">
        <v>54478</v>
      </c>
      <c r="W1807" t="s">
        <v>38198</v>
      </c>
      <c r="X1807" t="s">
        <v>41252</v>
      </c>
    </row>
    <row r="1808" spans="1:24">
      <c r="A1808">
        <f>HYPERLINK("https://www.philgeps.gov.ph/GEPSNONPILOT/Tender/SplashBidNoticeAbstractUI.aspx?menuIndex=3&amp;refID=7078398&amp;Result=3","7078398")</f>
        <v>0</v>
      </c>
      <c r="B1808" t="s">
        <v>804</v>
      </c>
      <c r="C1808" t="s">
        <v>5117</v>
      </c>
      <c r="D1808" t="s">
        <v>16633</v>
      </c>
      <c r="E1808" t="s">
        <v>18397</v>
      </c>
      <c r="F1808" t="s">
        <v>28669</v>
      </c>
      <c r="G1808" t="s">
        <v>28675</v>
      </c>
      <c r="H1808" t="s">
        <v>28686</v>
      </c>
      <c r="I1808" t="s">
        <v>28689</v>
      </c>
      <c r="J1808" t="s">
        <v>30064</v>
      </c>
      <c r="K1808" t="s">
        <v>37212</v>
      </c>
      <c r="M1808" t="s">
        <v>38319</v>
      </c>
      <c r="N1808" t="s">
        <v>41249</v>
      </c>
      <c r="O1808" t="s">
        <v>41250</v>
      </c>
      <c r="P1808">
        <v>0</v>
      </c>
      <c r="Q1808">
        <v>0</v>
      </c>
      <c r="R1808" t="s">
        <v>41251</v>
      </c>
      <c r="S1808" t="s">
        <v>41369</v>
      </c>
      <c r="T1808" t="s">
        <v>42684</v>
      </c>
      <c r="U1808" t="s">
        <v>44776</v>
      </c>
      <c r="W1808" t="s">
        <v>38319</v>
      </c>
      <c r="X1808" t="s">
        <v>41252</v>
      </c>
    </row>
    <row r="1809" spans="1:24">
      <c r="A1809">
        <f>HYPERLINK("https://www.philgeps.gov.ph/GEPSNONPILOT/Tender/SplashBidNoticeAbstractUI.aspx?menuIndex=3&amp;refID=7078384&amp;Result=3","7078384")</f>
        <v>0</v>
      </c>
      <c r="B1809" t="s">
        <v>805</v>
      </c>
      <c r="C1809" t="s">
        <v>5118</v>
      </c>
      <c r="D1809" t="s">
        <v>16626</v>
      </c>
      <c r="E1809" t="s">
        <v>18398</v>
      </c>
      <c r="F1809" t="s">
        <v>28669</v>
      </c>
      <c r="G1809" t="s">
        <v>28676</v>
      </c>
      <c r="H1809" t="s">
        <v>9998</v>
      </c>
      <c r="I1809" t="s">
        <v>28690</v>
      </c>
      <c r="J1809" t="s">
        <v>30065</v>
      </c>
      <c r="K1809" t="s">
        <v>37234</v>
      </c>
      <c r="M1809" t="s">
        <v>38320</v>
      </c>
      <c r="N1809" t="s">
        <v>41249</v>
      </c>
      <c r="O1809" t="s">
        <v>41250</v>
      </c>
      <c r="P1809">
        <v>0</v>
      </c>
      <c r="Q1809">
        <v>1</v>
      </c>
      <c r="R1809" t="s">
        <v>41251</v>
      </c>
      <c r="S1809" t="s">
        <v>41369</v>
      </c>
      <c r="T1809" t="s">
        <v>42726</v>
      </c>
      <c r="U1809" t="s">
        <v>44777</v>
      </c>
      <c r="W1809" t="s">
        <v>38320</v>
      </c>
      <c r="X1809" t="s">
        <v>41252</v>
      </c>
    </row>
    <row r="1810" spans="1:24">
      <c r="A1810">
        <f>HYPERLINK("https://www.philgeps.gov.ph/GEPSNONPILOT/Tender/SplashBidNoticeAbstractUI.aspx?menuIndex=3&amp;refID=7078399&amp;Result=3","7078399")</f>
        <v>0</v>
      </c>
      <c r="B1810" t="s">
        <v>806</v>
      </c>
      <c r="C1810" t="s">
        <v>3418</v>
      </c>
      <c r="D1810" t="s">
        <v>16654</v>
      </c>
      <c r="E1810" t="s">
        <v>17266</v>
      </c>
      <c r="F1810" t="s">
        <v>28669</v>
      </c>
      <c r="G1810" t="s">
        <v>28676</v>
      </c>
      <c r="H1810" t="s">
        <v>9998</v>
      </c>
      <c r="I1810" t="s">
        <v>5286</v>
      </c>
      <c r="J1810" t="s">
        <v>28905</v>
      </c>
      <c r="K1810" t="s">
        <v>37208</v>
      </c>
      <c r="M1810" t="s">
        <v>38321</v>
      </c>
      <c r="N1810" t="s">
        <v>41249</v>
      </c>
      <c r="O1810" t="s">
        <v>41250</v>
      </c>
      <c r="P1810">
        <v>0</v>
      </c>
      <c r="Q1810">
        <v>1</v>
      </c>
      <c r="R1810" t="s">
        <v>41251</v>
      </c>
      <c r="S1810" t="s">
        <v>41369</v>
      </c>
      <c r="T1810" t="s">
        <v>42675</v>
      </c>
      <c r="U1810" t="s">
        <v>44778</v>
      </c>
      <c r="W1810" t="s">
        <v>55933</v>
      </c>
      <c r="X1810" t="s">
        <v>41252</v>
      </c>
    </row>
    <row r="1811" spans="1:24">
      <c r="A1811">
        <f>HYPERLINK("https://www.philgeps.gov.ph/GEPSNONPILOT/Tender/SplashBidNoticeAbstractUI.aspx?menuIndex=3&amp;refID=7078424&amp;Result=3","7078424")</f>
        <v>0</v>
      </c>
      <c r="B1811" t="s">
        <v>803</v>
      </c>
      <c r="C1811" t="s">
        <v>5119</v>
      </c>
      <c r="D1811" t="s">
        <v>16664</v>
      </c>
      <c r="E1811" t="s">
        <v>18399</v>
      </c>
      <c r="F1811" t="s">
        <v>28669</v>
      </c>
      <c r="G1811" t="s">
        <v>28675</v>
      </c>
      <c r="H1811" t="s">
        <v>9998</v>
      </c>
      <c r="I1811" t="s">
        <v>3718</v>
      </c>
      <c r="J1811" t="s">
        <v>29496</v>
      </c>
      <c r="K1811" t="s">
        <v>37206</v>
      </c>
      <c r="M1811" t="s">
        <v>38318</v>
      </c>
      <c r="N1811" t="s">
        <v>41249</v>
      </c>
      <c r="O1811" t="s">
        <v>41250</v>
      </c>
      <c r="P1811">
        <v>0</v>
      </c>
      <c r="Q1811">
        <v>6</v>
      </c>
      <c r="R1811" t="s">
        <v>41251</v>
      </c>
      <c r="S1811" t="s">
        <v>41369</v>
      </c>
      <c r="T1811" t="s">
        <v>42849</v>
      </c>
      <c r="U1811" t="s">
        <v>44779</v>
      </c>
      <c r="W1811" t="s">
        <v>38318</v>
      </c>
      <c r="X1811" t="s">
        <v>41252</v>
      </c>
    </row>
    <row r="1812" spans="1:24">
      <c r="A1812">
        <f>HYPERLINK("https://www.philgeps.gov.ph/GEPSNONPILOT/Tender/SplashBidNoticeAbstractUI.aspx?menuIndex=3&amp;refID=7078433&amp;Result=3","7078433")</f>
        <v>0</v>
      </c>
      <c r="B1812" t="s">
        <v>807</v>
      </c>
      <c r="C1812" t="s">
        <v>5120</v>
      </c>
      <c r="E1812" t="s">
        <v>18400</v>
      </c>
      <c r="F1812" t="s">
        <v>28669</v>
      </c>
      <c r="G1812" t="s">
        <v>28675</v>
      </c>
      <c r="H1812" t="s">
        <v>9998</v>
      </c>
      <c r="I1812" t="s">
        <v>28693</v>
      </c>
      <c r="J1812" t="s">
        <v>30066</v>
      </c>
      <c r="K1812" t="s">
        <v>37209</v>
      </c>
      <c r="M1812" t="s">
        <v>38322</v>
      </c>
      <c r="N1812" t="s">
        <v>41249</v>
      </c>
      <c r="O1812" t="s">
        <v>41250</v>
      </c>
      <c r="P1812">
        <v>0</v>
      </c>
      <c r="Q1812">
        <v>7</v>
      </c>
      <c r="R1812" t="s">
        <v>41251</v>
      </c>
      <c r="S1812" t="s">
        <v>41369</v>
      </c>
      <c r="T1812" t="s">
        <v>42714</v>
      </c>
      <c r="U1812" t="s">
        <v>44780</v>
      </c>
      <c r="W1812" t="s">
        <v>38322</v>
      </c>
      <c r="X1812" t="s">
        <v>41252</v>
      </c>
    </row>
    <row r="1813" spans="1:24">
      <c r="A1813">
        <f>HYPERLINK("https://www.philgeps.gov.ph/GEPSNONPILOT/Tender/SplashBidNoticeAbstractUI.aspx?menuIndex=3&amp;refID=7078423&amp;Result=3","7078423")</f>
        <v>0</v>
      </c>
      <c r="B1813" t="s">
        <v>808</v>
      </c>
      <c r="C1813" t="s">
        <v>5121</v>
      </c>
      <c r="D1813" t="s">
        <v>16610</v>
      </c>
      <c r="E1813" t="s">
        <v>18401</v>
      </c>
      <c r="F1813" t="s">
        <v>28669</v>
      </c>
      <c r="G1813" t="s">
        <v>28677</v>
      </c>
      <c r="H1813" t="s">
        <v>9998</v>
      </c>
      <c r="I1813" t="s">
        <v>11593</v>
      </c>
      <c r="J1813" t="s">
        <v>30067</v>
      </c>
      <c r="K1813" t="s">
        <v>37205</v>
      </c>
      <c r="M1813" t="s">
        <v>38323</v>
      </c>
      <c r="N1813" t="s">
        <v>41249</v>
      </c>
      <c r="O1813" t="s">
        <v>41250</v>
      </c>
      <c r="P1813">
        <v>0</v>
      </c>
      <c r="Q1813">
        <v>3</v>
      </c>
      <c r="R1813" t="s">
        <v>41251</v>
      </c>
      <c r="S1813" t="s">
        <v>41369</v>
      </c>
      <c r="T1813" t="s">
        <v>42670</v>
      </c>
      <c r="U1813" t="s">
        <v>44781</v>
      </c>
      <c r="W1813" t="s">
        <v>38323</v>
      </c>
      <c r="X1813" t="s">
        <v>41252</v>
      </c>
    </row>
    <row r="1814" spans="1:24">
      <c r="A1814">
        <f>HYPERLINK("https://www.philgeps.gov.ph/GEPSNONPILOT/Tender/SplashBidNoticeAbstractUI.aspx?menuIndex=3&amp;refID=7078390&amp;Result=3","7078390")</f>
        <v>0</v>
      </c>
      <c r="B1814" t="s">
        <v>778</v>
      </c>
      <c r="C1814" t="s">
        <v>5122</v>
      </c>
      <c r="D1814" t="s">
        <v>16675</v>
      </c>
      <c r="E1814" t="s">
        <v>18402</v>
      </c>
      <c r="F1814" t="s">
        <v>28669</v>
      </c>
      <c r="G1814" t="s">
        <v>28676</v>
      </c>
      <c r="H1814" t="s">
        <v>9998</v>
      </c>
      <c r="I1814" t="s">
        <v>28690</v>
      </c>
      <c r="J1814" t="s">
        <v>28914</v>
      </c>
      <c r="K1814" t="s">
        <v>37210</v>
      </c>
      <c r="M1814" t="s">
        <v>38292</v>
      </c>
      <c r="N1814" t="s">
        <v>41249</v>
      </c>
      <c r="O1814" t="s">
        <v>41250</v>
      </c>
      <c r="P1814">
        <v>0</v>
      </c>
      <c r="Q1814">
        <v>1</v>
      </c>
      <c r="R1814" t="s">
        <v>41251</v>
      </c>
      <c r="S1814" t="s">
        <v>41369</v>
      </c>
      <c r="T1814" t="s">
        <v>42711</v>
      </c>
      <c r="U1814" t="s">
        <v>44716</v>
      </c>
      <c r="W1814" t="s">
        <v>38292</v>
      </c>
      <c r="X1814" t="s">
        <v>41252</v>
      </c>
    </row>
    <row r="1815" spans="1:24">
      <c r="A1815">
        <f>HYPERLINK("https://www.philgeps.gov.ph/GEPSNONPILOT/Tender/SplashBidNoticeAbstractUI.aspx?menuIndex=3&amp;refID=7078431&amp;Result=3","7078431")</f>
        <v>0</v>
      </c>
      <c r="B1815" t="s">
        <v>809</v>
      </c>
      <c r="C1815" t="s">
        <v>5123</v>
      </c>
      <c r="D1815" t="s">
        <v>16616</v>
      </c>
      <c r="E1815" t="s">
        <v>18403</v>
      </c>
      <c r="F1815" t="s">
        <v>28669</v>
      </c>
      <c r="G1815" t="s">
        <v>28676</v>
      </c>
      <c r="H1815" t="s">
        <v>9998</v>
      </c>
      <c r="I1815" t="s">
        <v>7352</v>
      </c>
      <c r="J1815" t="s">
        <v>30068</v>
      </c>
      <c r="K1815" t="s">
        <v>37210</v>
      </c>
      <c r="M1815" t="s">
        <v>38324</v>
      </c>
      <c r="N1815" t="s">
        <v>41249</v>
      </c>
      <c r="O1815" t="s">
        <v>41250</v>
      </c>
      <c r="P1815">
        <v>0</v>
      </c>
      <c r="Q1815">
        <v>1</v>
      </c>
      <c r="R1815" t="s">
        <v>41251</v>
      </c>
      <c r="S1815" t="s">
        <v>41369</v>
      </c>
      <c r="T1815" t="s">
        <v>42675</v>
      </c>
      <c r="U1815" t="s">
        <v>44782</v>
      </c>
      <c r="W1815" t="s">
        <v>38324</v>
      </c>
      <c r="X1815" t="s">
        <v>41252</v>
      </c>
    </row>
    <row r="1816" spans="1:24">
      <c r="A1816">
        <f>HYPERLINK("https://www.philgeps.gov.ph/GEPSNONPILOT/Tender/SplashBidNoticeAbstractUI.aspx?menuIndex=3&amp;refID=7078393&amp;Result=3","7078393")</f>
        <v>0</v>
      </c>
      <c r="B1816" t="s">
        <v>810</v>
      </c>
      <c r="C1816" t="s">
        <v>5124</v>
      </c>
      <c r="D1816" t="s">
        <v>16689</v>
      </c>
      <c r="E1816" t="s">
        <v>18404</v>
      </c>
      <c r="F1816" t="s">
        <v>28669</v>
      </c>
      <c r="G1816" t="s">
        <v>28679</v>
      </c>
      <c r="H1816" t="s">
        <v>28684</v>
      </c>
      <c r="I1816" t="s">
        <v>28757</v>
      </c>
      <c r="J1816" t="s">
        <v>30025</v>
      </c>
      <c r="K1816" t="s">
        <v>37206</v>
      </c>
      <c r="M1816" t="s">
        <v>38325</v>
      </c>
      <c r="N1816" t="s">
        <v>41249</v>
      </c>
      <c r="O1816" t="s">
        <v>41250</v>
      </c>
      <c r="P1816">
        <v>0</v>
      </c>
      <c r="Q1816">
        <v>0</v>
      </c>
      <c r="R1816" t="s">
        <v>41251</v>
      </c>
      <c r="S1816" t="s">
        <v>41369</v>
      </c>
      <c r="T1816" t="s">
        <v>42850</v>
      </c>
      <c r="U1816" t="s">
        <v>44783</v>
      </c>
      <c r="W1816" t="s">
        <v>38325</v>
      </c>
      <c r="X1816" t="s">
        <v>41252</v>
      </c>
    </row>
    <row r="1817" spans="1:24">
      <c r="A1817">
        <f>HYPERLINK("https://www.philgeps.gov.ph/GEPSNONPILOT/Tender/SplashBidNoticeAbstractUI.aspx?menuIndex=3&amp;refID=7078418&amp;Result=3","7078418")</f>
        <v>0</v>
      </c>
      <c r="B1817" t="s">
        <v>811</v>
      </c>
      <c r="C1817" t="s">
        <v>5125</v>
      </c>
      <c r="D1817" t="s">
        <v>16615</v>
      </c>
      <c r="E1817" t="s">
        <v>18405</v>
      </c>
      <c r="F1817" t="s">
        <v>28669</v>
      </c>
      <c r="G1817" t="s">
        <v>28675</v>
      </c>
      <c r="H1817" t="s">
        <v>9998</v>
      </c>
      <c r="I1817" t="s">
        <v>7352</v>
      </c>
      <c r="J1817" t="s">
        <v>30069</v>
      </c>
      <c r="K1817" t="s">
        <v>37205</v>
      </c>
      <c r="M1817" t="s">
        <v>38326</v>
      </c>
      <c r="N1817" t="s">
        <v>41249</v>
      </c>
      <c r="O1817" t="s">
        <v>41250</v>
      </c>
      <c r="P1817">
        <v>0</v>
      </c>
      <c r="Q1817">
        <v>1</v>
      </c>
      <c r="R1817" t="s">
        <v>41251</v>
      </c>
      <c r="S1817" t="s">
        <v>41369</v>
      </c>
      <c r="T1817" t="s">
        <v>42851</v>
      </c>
      <c r="U1817" t="s">
        <v>44784</v>
      </c>
      <c r="V1817" t="s">
        <v>54479</v>
      </c>
      <c r="W1817" t="s">
        <v>38326</v>
      </c>
      <c r="X1817" t="s">
        <v>41252</v>
      </c>
    </row>
    <row r="1818" spans="1:24">
      <c r="A1818">
        <f>HYPERLINK("https://www.philgeps.gov.ph/GEPSNONPILOT/Tender/SplashBidNoticeAbstractUI.aspx?menuIndex=3&amp;refID=7078417&amp;Result=3","7078417")</f>
        <v>0</v>
      </c>
      <c r="B1818" t="s">
        <v>707</v>
      </c>
      <c r="C1818" t="s">
        <v>5126</v>
      </c>
      <c r="D1818" t="s">
        <v>16660</v>
      </c>
      <c r="E1818" t="s">
        <v>18406</v>
      </c>
      <c r="F1818" t="s">
        <v>28669</v>
      </c>
      <c r="G1818" t="s">
        <v>28677</v>
      </c>
      <c r="H1818" t="s">
        <v>9998</v>
      </c>
      <c r="I1818" t="s">
        <v>28688</v>
      </c>
      <c r="J1818" t="s">
        <v>29897</v>
      </c>
      <c r="K1818" t="s">
        <v>37243</v>
      </c>
      <c r="M1818" t="s">
        <v>38214</v>
      </c>
      <c r="N1818" t="s">
        <v>41249</v>
      </c>
      <c r="O1818" t="s">
        <v>41250</v>
      </c>
      <c r="P1818">
        <v>0</v>
      </c>
      <c r="Q1818">
        <v>1</v>
      </c>
      <c r="R1818" t="s">
        <v>41251</v>
      </c>
      <c r="S1818" t="s">
        <v>41369</v>
      </c>
      <c r="T1818" t="s">
        <v>42664</v>
      </c>
      <c r="U1818" t="s">
        <v>44785</v>
      </c>
      <c r="W1818" t="s">
        <v>38214</v>
      </c>
      <c r="X1818" t="s">
        <v>41252</v>
      </c>
    </row>
    <row r="1819" spans="1:24">
      <c r="A1819">
        <f>HYPERLINK("https://www.philgeps.gov.ph/GEPSNONPILOT/Tender/SplashBidNoticeAbstractUI.aspx?menuIndex=3&amp;refID=7078280&amp;Result=3","7078280")</f>
        <v>0</v>
      </c>
      <c r="B1819" t="s">
        <v>812</v>
      </c>
      <c r="C1819" t="s">
        <v>5127</v>
      </c>
      <c r="D1819" t="s">
        <v>16658</v>
      </c>
      <c r="E1819" t="s">
        <v>18407</v>
      </c>
      <c r="F1819" t="s">
        <v>28669</v>
      </c>
      <c r="G1819" t="s">
        <v>28676</v>
      </c>
      <c r="H1819" t="s">
        <v>9998</v>
      </c>
      <c r="I1819" t="s">
        <v>5213</v>
      </c>
      <c r="J1819" t="s">
        <v>30070</v>
      </c>
      <c r="K1819" t="s">
        <v>37209</v>
      </c>
      <c r="M1819" t="s">
        <v>38327</v>
      </c>
      <c r="N1819" t="s">
        <v>41249</v>
      </c>
      <c r="O1819" t="s">
        <v>41250</v>
      </c>
      <c r="P1819">
        <v>0</v>
      </c>
      <c r="Q1819">
        <v>0</v>
      </c>
      <c r="R1819" t="s">
        <v>41251</v>
      </c>
      <c r="S1819" t="s">
        <v>41369</v>
      </c>
      <c r="T1819" t="s">
        <v>42773</v>
      </c>
      <c r="U1819" t="s">
        <v>44786</v>
      </c>
      <c r="W1819" t="s">
        <v>38327</v>
      </c>
      <c r="X1819" t="s">
        <v>41252</v>
      </c>
    </row>
    <row r="1820" spans="1:24">
      <c r="A1820">
        <f>HYPERLINK("https://www.philgeps.gov.ph/GEPSNONPILOT/Tender/SplashBidNoticeAbstractUI.aspx?menuIndex=3&amp;refID=7078459&amp;Result=3","7078459")</f>
        <v>0</v>
      </c>
      <c r="B1820" t="s">
        <v>807</v>
      </c>
      <c r="C1820" t="s">
        <v>5128</v>
      </c>
      <c r="E1820" t="s">
        <v>18408</v>
      </c>
      <c r="F1820" t="s">
        <v>28669</v>
      </c>
      <c r="G1820" t="s">
        <v>28675</v>
      </c>
      <c r="H1820" t="s">
        <v>9998</v>
      </c>
      <c r="I1820" t="s">
        <v>28693</v>
      </c>
      <c r="J1820" t="s">
        <v>30071</v>
      </c>
      <c r="K1820" t="s">
        <v>37209</v>
      </c>
      <c r="M1820" t="s">
        <v>38322</v>
      </c>
      <c r="N1820" t="s">
        <v>41249</v>
      </c>
      <c r="O1820" t="s">
        <v>41250</v>
      </c>
      <c r="P1820">
        <v>0</v>
      </c>
      <c r="Q1820">
        <v>4</v>
      </c>
      <c r="R1820" t="s">
        <v>41251</v>
      </c>
      <c r="S1820" t="s">
        <v>41369</v>
      </c>
      <c r="T1820" t="s">
        <v>42821</v>
      </c>
      <c r="U1820" t="s">
        <v>44787</v>
      </c>
      <c r="W1820" t="s">
        <v>38322</v>
      </c>
      <c r="X1820" t="s">
        <v>41252</v>
      </c>
    </row>
    <row r="1821" spans="1:24">
      <c r="A1821">
        <f>HYPERLINK("https://www.philgeps.gov.ph/GEPSNONPILOT/Tender/SplashBidNoticeAbstractUI.aspx?menuIndex=3&amp;refID=7078422&amp;Result=3","7078422")</f>
        <v>0</v>
      </c>
      <c r="B1821" t="s">
        <v>46</v>
      </c>
      <c r="C1821" t="s">
        <v>5129</v>
      </c>
      <c r="D1821" t="s">
        <v>16627</v>
      </c>
      <c r="E1821" t="s">
        <v>18409</v>
      </c>
      <c r="F1821" t="s">
        <v>28669</v>
      </c>
      <c r="G1821" t="s">
        <v>28675</v>
      </c>
      <c r="H1821" t="s">
        <v>28686</v>
      </c>
      <c r="I1821" t="s">
        <v>28689</v>
      </c>
      <c r="J1821" t="s">
        <v>28879</v>
      </c>
      <c r="K1821" t="s">
        <v>37209</v>
      </c>
      <c r="M1821" t="s">
        <v>37521</v>
      </c>
      <c r="N1821" t="s">
        <v>41249</v>
      </c>
      <c r="O1821" t="s">
        <v>41250</v>
      </c>
      <c r="P1821">
        <v>0</v>
      </c>
      <c r="Q1821">
        <v>0</v>
      </c>
      <c r="R1821" t="s">
        <v>41251</v>
      </c>
      <c r="S1821" t="s">
        <v>41369</v>
      </c>
      <c r="T1821" t="s">
        <v>42695</v>
      </c>
      <c r="U1821" t="s">
        <v>44788</v>
      </c>
      <c r="W1821" t="s">
        <v>37521</v>
      </c>
      <c r="X1821" t="s">
        <v>41252</v>
      </c>
    </row>
    <row r="1822" spans="1:24">
      <c r="A1822">
        <f>HYPERLINK("https://www.philgeps.gov.ph/GEPSNONPILOT/Tender/SplashBidNoticeAbstractUI.aspx?menuIndex=3&amp;refID=7078458&amp;Result=3","7078458")</f>
        <v>0</v>
      </c>
      <c r="B1822" t="s">
        <v>124</v>
      </c>
      <c r="C1822" t="s">
        <v>5130</v>
      </c>
      <c r="D1822" t="s">
        <v>16633</v>
      </c>
      <c r="E1822" t="s">
        <v>18410</v>
      </c>
      <c r="F1822" t="s">
        <v>28669</v>
      </c>
      <c r="G1822" t="s">
        <v>28675</v>
      </c>
      <c r="H1822" t="s">
        <v>9998</v>
      </c>
      <c r="I1822" t="s">
        <v>28695</v>
      </c>
      <c r="J1822" t="s">
        <v>30072</v>
      </c>
      <c r="K1822" t="s">
        <v>37210</v>
      </c>
      <c r="M1822" t="s">
        <v>37600</v>
      </c>
      <c r="N1822" t="s">
        <v>41249</v>
      </c>
      <c r="O1822" t="s">
        <v>41250</v>
      </c>
      <c r="P1822">
        <v>0</v>
      </c>
      <c r="Q1822">
        <v>0</v>
      </c>
      <c r="R1822" t="s">
        <v>41251</v>
      </c>
      <c r="S1822" t="s">
        <v>41369</v>
      </c>
      <c r="T1822" t="s">
        <v>42783</v>
      </c>
      <c r="U1822" t="s">
        <v>44789</v>
      </c>
      <c r="V1822" t="s">
        <v>54480</v>
      </c>
      <c r="W1822" t="s">
        <v>37600</v>
      </c>
      <c r="X1822" t="s">
        <v>41252</v>
      </c>
    </row>
    <row r="1823" spans="1:24">
      <c r="A1823">
        <f>HYPERLINK("https://www.philgeps.gov.ph/GEPSNONPILOT/Tender/SplashBidNoticeAbstractUI.aspx?menuIndex=3&amp;refID=7078428&amp;Result=3","7078428")</f>
        <v>0</v>
      </c>
      <c r="B1823" t="s">
        <v>252</v>
      </c>
      <c r="C1823" t="s">
        <v>5131</v>
      </c>
      <c r="D1823" t="s">
        <v>16629</v>
      </c>
      <c r="E1823" t="s">
        <v>18411</v>
      </c>
      <c r="F1823" t="s">
        <v>28669</v>
      </c>
      <c r="G1823" t="s">
        <v>28676</v>
      </c>
      <c r="H1823" t="s">
        <v>9998</v>
      </c>
      <c r="I1823" t="s">
        <v>28714</v>
      </c>
      <c r="J1823" t="s">
        <v>30073</v>
      </c>
      <c r="K1823" t="s">
        <v>37210</v>
      </c>
      <c r="M1823" t="s">
        <v>37730</v>
      </c>
      <c r="N1823" t="s">
        <v>41249</v>
      </c>
      <c r="O1823" t="s">
        <v>41250</v>
      </c>
      <c r="P1823">
        <v>0</v>
      </c>
      <c r="Q1823">
        <v>5</v>
      </c>
      <c r="R1823" t="s">
        <v>41251</v>
      </c>
      <c r="S1823" t="s">
        <v>41369</v>
      </c>
      <c r="T1823" t="s">
        <v>42673</v>
      </c>
      <c r="U1823" t="s">
        <v>44790</v>
      </c>
      <c r="V1823" t="s">
        <v>54315</v>
      </c>
      <c r="W1823" t="s">
        <v>37730</v>
      </c>
      <c r="X1823" t="s">
        <v>41252</v>
      </c>
    </row>
    <row r="1824" spans="1:24">
      <c r="A1824">
        <f>HYPERLINK("https://www.philgeps.gov.ph/GEPSNONPILOT/Tender/SplashBidNoticeAbstractUI.aspx?menuIndex=3&amp;refID=7078419&amp;Result=3","7078419")</f>
        <v>0</v>
      </c>
      <c r="B1824" t="s">
        <v>454</v>
      </c>
      <c r="C1824" t="s">
        <v>5132</v>
      </c>
      <c r="D1824" t="s">
        <v>16643</v>
      </c>
      <c r="E1824" t="s">
        <v>6569</v>
      </c>
      <c r="F1824" t="s">
        <v>28669</v>
      </c>
      <c r="G1824" t="s">
        <v>28676</v>
      </c>
      <c r="H1824" t="s">
        <v>9998</v>
      </c>
      <c r="I1824" t="s">
        <v>28777</v>
      </c>
      <c r="J1824" t="s">
        <v>29114</v>
      </c>
      <c r="K1824" t="s">
        <v>37209</v>
      </c>
      <c r="M1824" t="s">
        <v>37942</v>
      </c>
      <c r="N1824" t="s">
        <v>41249</v>
      </c>
      <c r="O1824" t="s">
        <v>41250</v>
      </c>
      <c r="P1824">
        <v>0</v>
      </c>
      <c r="Q1824">
        <v>0</v>
      </c>
      <c r="R1824" t="s">
        <v>41251</v>
      </c>
      <c r="S1824" t="s">
        <v>41369</v>
      </c>
      <c r="T1824" t="s">
        <v>42738</v>
      </c>
      <c r="U1824" t="s">
        <v>43430</v>
      </c>
      <c r="W1824" t="s">
        <v>37942</v>
      </c>
      <c r="X1824" t="s">
        <v>41252</v>
      </c>
    </row>
    <row r="1825" spans="1:24">
      <c r="A1825">
        <f>HYPERLINK("https://www.philgeps.gov.ph/GEPSNONPILOT/Tender/SplashBidNoticeAbstractUI.aspx?menuIndex=3&amp;refID=7078456&amp;Result=3","7078456")</f>
        <v>0</v>
      </c>
      <c r="B1825" t="s">
        <v>813</v>
      </c>
      <c r="C1825" t="s">
        <v>5133</v>
      </c>
      <c r="D1825" t="s">
        <v>16608</v>
      </c>
      <c r="E1825" t="s">
        <v>18412</v>
      </c>
      <c r="F1825" t="s">
        <v>28669</v>
      </c>
      <c r="G1825" t="s">
        <v>28676</v>
      </c>
      <c r="H1825" t="s">
        <v>9998</v>
      </c>
      <c r="I1825" t="s">
        <v>28778</v>
      </c>
      <c r="J1825" t="s">
        <v>30074</v>
      </c>
      <c r="K1825" t="s">
        <v>37205</v>
      </c>
      <c r="L1825" t="s">
        <v>813</v>
      </c>
      <c r="M1825" t="s">
        <v>38328</v>
      </c>
      <c r="N1825" t="s">
        <v>41249</v>
      </c>
      <c r="O1825" t="s">
        <v>41250</v>
      </c>
      <c r="P1825">
        <v>0</v>
      </c>
      <c r="Q1825">
        <v>6</v>
      </c>
      <c r="R1825" t="s">
        <v>41251</v>
      </c>
      <c r="S1825" t="s">
        <v>41369</v>
      </c>
      <c r="T1825" t="s">
        <v>42675</v>
      </c>
      <c r="U1825" t="s">
        <v>44791</v>
      </c>
      <c r="V1825" t="s">
        <v>54481</v>
      </c>
      <c r="W1825" t="s">
        <v>38328</v>
      </c>
      <c r="X1825" t="s">
        <v>41252</v>
      </c>
    </row>
    <row r="1826" spans="1:24">
      <c r="A1826">
        <f>HYPERLINK("https://www.philgeps.gov.ph/GEPSNONPILOT/Tender/SplashBidNoticeAbstractUI.aspx?menuIndex=3&amp;refID=7078453&amp;Result=3","7078453")</f>
        <v>0</v>
      </c>
      <c r="B1826" t="s">
        <v>814</v>
      </c>
      <c r="C1826" t="s">
        <v>5134</v>
      </c>
      <c r="D1826" t="s">
        <v>16678</v>
      </c>
      <c r="E1826" t="s">
        <v>16877</v>
      </c>
      <c r="F1826" t="s">
        <v>28669</v>
      </c>
      <c r="G1826" t="s">
        <v>28675</v>
      </c>
      <c r="H1826" t="s">
        <v>28686</v>
      </c>
      <c r="I1826" t="s">
        <v>28752</v>
      </c>
      <c r="J1826" t="s">
        <v>30075</v>
      </c>
      <c r="K1826" t="s">
        <v>37213</v>
      </c>
      <c r="M1826" t="s">
        <v>38329</v>
      </c>
      <c r="N1826" t="s">
        <v>41249</v>
      </c>
      <c r="O1826" t="s">
        <v>41250</v>
      </c>
      <c r="P1826">
        <v>0</v>
      </c>
      <c r="Q1826">
        <v>0</v>
      </c>
      <c r="R1826" t="s">
        <v>41251</v>
      </c>
      <c r="S1826" t="s">
        <v>41369</v>
      </c>
      <c r="T1826" t="s">
        <v>42693</v>
      </c>
      <c r="U1826" t="s">
        <v>44792</v>
      </c>
      <c r="W1826" t="s">
        <v>38329</v>
      </c>
      <c r="X1826" t="s">
        <v>41252</v>
      </c>
    </row>
    <row r="1827" spans="1:24">
      <c r="A1827">
        <f>HYPERLINK("https://www.philgeps.gov.ph/GEPSNONPILOT/Tender/SplashBidNoticeAbstractUI.aspx?menuIndex=3&amp;refID=7078427&amp;Result=3","7078427")</f>
        <v>0</v>
      </c>
      <c r="B1827" t="s">
        <v>783</v>
      </c>
      <c r="C1827" t="s">
        <v>5135</v>
      </c>
      <c r="D1827" t="s">
        <v>16658</v>
      </c>
      <c r="E1827" t="s">
        <v>17189</v>
      </c>
      <c r="F1827" t="s">
        <v>28669</v>
      </c>
      <c r="G1827" t="s">
        <v>28676</v>
      </c>
      <c r="H1827" t="s">
        <v>28686</v>
      </c>
      <c r="I1827" t="s">
        <v>28689</v>
      </c>
      <c r="J1827" t="s">
        <v>29433</v>
      </c>
      <c r="K1827" t="s">
        <v>37206</v>
      </c>
      <c r="M1827" t="s">
        <v>38297</v>
      </c>
      <c r="N1827" t="s">
        <v>41249</v>
      </c>
      <c r="O1827" t="s">
        <v>41250</v>
      </c>
      <c r="P1827">
        <v>0</v>
      </c>
      <c r="Q1827">
        <v>2</v>
      </c>
      <c r="R1827" t="s">
        <v>41251</v>
      </c>
      <c r="S1827" t="s">
        <v>41369</v>
      </c>
      <c r="T1827" t="s">
        <v>42683</v>
      </c>
      <c r="U1827" t="s">
        <v>44773</v>
      </c>
      <c r="V1827" t="s">
        <v>54472</v>
      </c>
      <c r="W1827" t="s">
        <v>38297</v>
      </c>
      <c r="X1827" t="s">
        <v>41252</v>
      </c>
    </row>
    <row r="1828" spans="1:24">
      <c r="A1828">
        <f>HYPERLINK("https://www.philgeps.gov.ph/GEPSNONPILOT/Tender/SplashBidNoticeAbstractUI.aspx?menuIndex=3&amp;refID=7078449&amp;Result=3","7078449")</f>
        <v>0</v>
      </c>
      <c r="B1828" t="s">
        <v>317</v>
      </c>
      <c r="C1828" t="s">
        <v>5136</v>
      </c>
      <c r="D1828" t="s">
        <v>16608</v>
      </c>
      <c r="E1828" t="s">
        <v>18413</v>
      </c>
      <c r="F1828" t="s">
        <v>28669</v>
      </c>
      <c r="G1828" t="s">
        <v>28676</v>
      </c>
      <c r="H1828" t="s">
        <v>9998</v>
      </c>
      <c r="I1828" t="s">
        <v>15140</v>
      </c>
      <c r="J1828" t="s">
        <v>30076</v>
      </c>
      <c r="K1828" t="s">
        <v>37204</v>
      </c>
      <c r="M1828" t="s">
        <v>38250</v>
      </c>
      <c r="N1828" t="s">
        <v>41249</v>
      </c>
      <c r="O1828" t="s">
        <v>41250</v>
      </c>
      <c r="P1828">
        <v>0</v>
      </c>
      <c r="Q1828">
        <v>1</v>
      </c>
      <c r="R1828" t="s">
        <v>41251</v>
      </c>
      <c r="S1828" t="s">
        <v>41369</v>
      </c>
      <c r="T1828" t="s">
        <v>42679</v>
      </c>
      <c r="U1828" t="s">
        <v>44793</v>
      </c>
      <c r="W1828" t="s">
        <v>38250</v>
      </c>
      <c r="X1828" t="s">
        <v>41252</v>
      </c>
    </row>
    <row r="1829" spans="1:24">
      <c r="A1829">
        <f>HYPERLINK("https://www.philgeps.gov.ph/GEPSNONPILOT/Tender/SplashBidNoticeAbstractUI.aspx?menuIndex=3&amp;refID=7078457&amp;Result=3","7078457")</f>
        <v>0</v>
      </c>
      <c r="B1829" t="s">
        <v>317</v>
      </c>
      <c r="C1829" t="s">
        <v>5137</v>
      </c>
      <c r="D1829" t="s">
        <v>16608</v>
      </c>
      <c r="E1829" t="s">
        <v>18414</v>
      </c>
      <c r="F1829" t="s">
        <v>28669</v>
      </c>
      <c r="G1829" t="s">
        <v>28676</v>
      </c>
      <c r="H1829" t="s">
        <v>9998</v>
      </c>
      <c r="I1829" t="s">
        <v>28704</v>
      </c>
      <c r="J1829" t="s">
        <v>30077</v>
      </c>
      <c r="K1829" t="s">
        <v>37204</v>
      </c>
      <c r="M1829" t="s">
        <v>38250</v>
      </c>
      <c r="N1829" t="s">
        <v>41249</v>
      </c>
      <c r="O1829" t="s">
        <v>41250</v>
      </c>
      <c r="P1829">
        <v>0</v>
      </c>
      <c r="Q1829">
        <v>0</v>
      </c>
      <c r="R1829" t="s">
        <v>41251</v>
      </c>
      <c r="S1829" t="s">
        <v>41369</v>
      </c>
      <c r="T1829" t="s">
        <v>42679</v>
      </c>
      <c r="U1829" t="s">
        <v>44794</v>
      </c>
      <c r="W1829" t="s">
        <v>38250</v>
      </c>
      <c r="X1829" t="s">
        <v>41252</v>
      </c>
    </row>
    <row r="1830" spans="1:24">
      <c r="A1830">
        <f>HYPERLINK("https://www.philgeps.gov.ph/GEPSNONPILOT/Tender/SplashBidNoticeAbstractUI.aspx?menuIndex=3&amp;refID=7078455&amp;Result=3","7078455")</f>
        <v>0</v>
      </c>
      <c r="B1830" t="s">
        <v>815</v>
      </c>
      <c r="C1830" t="s">
        <v>5138</v>
      </c>
      <c r="D1830" t="s">
        <v>16608</v>
      </c>
      <c r="E1830" t="s">
        <v>18415</v>
      </c>
      <c r="F1830" t="s">
        <v>28669</v>
      </c>
      <c r="G1830" t="s">
        <v>28677</v>
      </c>
      <c r="H1830" t="s">
        <v>28684</v>
      </c>
      <c r="I1830" t="s">
        <v>10128</v>
      </c>
      <c r="J1830" t="s">
        <v>28985</v>
      </c>
      <c r="K1830" t="s">
        <v>37272</v>
      </c>
      <c r="M1830" t="s">
        <v>38330</v>
      </c>
      <c r="N1830" t="s">
        <v>41249</v>
      </c>
      <c r="O1830" t="s">
        <v>41250</v>
      </c>
      <c r="P1830">
        <v>0</v>
      </c>
      <c r="Q1830">
        <v>3</v>
      </c>
      <c r="R1830" t="s">
        <v>41251</v>
      </c>
      <c r="S1830" t="s">
        <v>41369</v>
      </c>
      <c r="T1830" t="s">
        <v>42742</v>
      </c>
      <c r="U1830" t="s">
        <v>44795</v>
      </c>
      <c r="V1830" t="s">
        <v>54482</v>
      </c>
      <c r="W1830" t="s">
        <v>38330</v>
      </c>
      <c r="X1830" t="s">
        <v>41252</v>
      </c>
    </row>
    <row r="1831" spans="1:24">
      <c r="A1831">
        <f>HYPERLINK("https://www.philgeps.gov.ph/GEPSNONPILOT/Tender/SplashBidNoticeAbstractUI.aspx?menuIndex=3&amp;refID=7078446&amp;Result=3","7078446")</f>
        <v>0</v>
      </c>
      <c r="B1831" t="s">
        <v>454</v>
      </c>
      <c r="C1831" t="s">
        <v>5139</v>
      </c>
      <c r="D1831" t="s">
        <v>16643</v>
      </c>
      <c r="E1831" t="s">
        <v>17266</v>
      </c>
      <c r="F1831" t="s">
        <v>28669</v>
      </c>
      <c r="G1831" t="s">
        <v>28678</v>
      </c>
      <c r="H1831" t="s">
        <v>9998</v>
      </c>
      <c r="I1831" t="s">
        <v>6128</v>
      </c>
      <c r="J1831" t="s">
        <v>30078</v>
      </c>
      <c r="K1831" t="s">
        <v>37209</v>
      </c>
      <c r="M1831" t="s">
        <v>37942</v>
      </c>
      <c r="N1831" t="s">
        <v>41249</v>
      </c>
      <c r="O1831" t="s">
        <v>41250</v>
      </c>
      <c r="P1831">
        <v>0</v>
      </c>
      <c r="Q1831">
        <v>3</v>
      </c>
      <c r="R1831" t="s">
        <v>41251</v>
      </c>
      <c r="S1831" t="s">
        <v>41369</v>
      </c>
      <c r="T1831" t="s">
        <v>42679</v>
      </c>
      <c r="U1831" t="s">
        <v>44796</v>
      </c>
      <c r="W1831" t="s">
        <v>37942</v>
      </c>
      <c r="X1831" t="s">
        <v>41252</v>
      </c>
    </row>
    <row r="1832" spans="1:24">
      <c r="A1832">
        <f>HYPERLINK("https://www.philgeps.gov.ph/GEPSNONPILOT/Tender/SplashBidNoticeAbstractUI.aspx?menuIndex=3&amp;refID=7078445&amp;Result=3","7078445")</f>
        <v>0</v>
      </c>
      <c r="B1832" t="s">
        <v>816</v>
      </c>
      <c r="C1832" t="s">
        <v>5140</v>
      </c>
      <c r="D1832" t="s">
        <v>16679</v>
      </c>
      <c r="E1832" t="s">
        <v>17435</v>
      </c>
      <c r="F1832" t="s">
        <v>28669</v>
      </c>
      <c r="G1832" t="s">
        <v>28676</v>
      </c>
      <c r="H1832" t="s">
        <v>28684</v>
      </c>
      <c r="I1832" t="s">
        <v>28725</v>
      </c>
      <c r="J1832" t="s">
        <v>30079</v>
      </c>
      <c r="K1832" t="s">
        <v>37238</v>
      </c>
      <c r="M1832" t="s">
        <v>38331</v>
      </c>
      <c r="N1832" t="s">
        <v>41249</v>
      </c>
      <c r="O1832" t="s">
        <v>41250</v>
      </c>
      <c r="P1832">
        <v>0</v>
      </c>
      <c r="Q1832">
        <v>3</v>
      </c>
      <c r="R1832" t="s">
        <v>41251</v>
      </c>
      <c r="S1832" t="s">
        <v>41369</v>
      </c>
      <c r="T1832" t="s">
        <v>42702</v>
      </c>
      <c r="U1832" t="s">
        <v>44797</v>
      </c>
      <c r="W1832" t="s">
        <v>38331</v>
      </c>
      <c r="X1832" t="s">
        <v>41252</v>
      </c>
    </row>
    <row r="1833" spans="1:24">
      <c r="A1833">
        <f>HYPERLINK("https://www.philgeps.gov.ph/GEPSNONPILOT/Tender/SplashBidNoticeAbstractUI.aspx?menuIndex=3&amp;refID=7078454&amp;Result=3","7078454")</f>
        <v>0</v>
      </c>
      <c r="B1833" t="s">
        <v>91</v>
      </c>
      <c r="C1833" t="s">
        <v>5141</v>
      </c>
      <c r="E1833" t="s">
        <v>16838</v>
      </c>
      <c r="F1833" t="s">
        <v>28669</v>
      </c>
      <c r="G1833" t="s">
        <v>28675</v>
      </c>
      <c r="H1833" t="s">
        <v>9998</v>
      </c>
      <c r="I1833" t="s">
        <v>7352</v>
      </c>
      <c r="J1833" t="s">
        <v>30080</v>
      </c>
      <c r="K1833" t="s">
        <v>37209</v>
      </c>
      <c r="M1833" t="s">
        <v>37566</v>
      </c>
      <c r="N1833" t="s">
        <v>41249</v>
      </c>
      <c r="O1833" t="s">
        <v>41250</v>
      </c>
      <c r="P1833">
        <v>0</v>
      </c>
      <c r="Q1833">
        <v>0</v>
      </c>
      <c r="R1833" t="s">
        <v>41251</v>
      </c>
      <c r="S1833" t="s">
        <v>41369</v>
      </c>
      <c r="T1833" t="s">
        <v>42712</v>
      </c>
      <c r="U1833" t="s">
        <v>44798</v>
      </c>
      <c r="W1833" t="s">
        <v>37566</v>
      </c>
      <c r="X1833" t="s">
        <v>41252</v>
      </c>
    </row>
    <row r="1834" spans="1:24">
      <c r="A1834">
        <f>HYPERLINK("https://www.philgeps.gov.ph/GEPSNONPILOT/Tender/SplashBidNoticeAbstractUI.aspx?menuIndex=3&amp;refID=7078444&amp;Result=3","7078444")</f>
        <v>0</v>
      </c>
      <c r="B1834" t="s">
        <v>91</v>
      </c>
      <c r="C1834" t="s">
        <v>5142</v>
      </c>
      <c r="E1834" t="s">
        <v>16838</v>
      </c>
      <c r="F1834" t="s">
        <v>28669</v>
      </c>
      <c r="G1834" t="s">
        <v>28675</v>
      </c>
      <c r="H1834" t="s">
        <v>9998</v>
      </c>
      <c r="I1834" t="s">
        <v>28690</v>
      </c>
      <c r="J1834" t="s">
        <v>30081</v>
      </c>
      <c r="K1834" t="s">
        <v>37209</v>
      </c>
      <c r="M1834" t="s">
        <v>37566</v>
      </c>
      <c r="N1834" t="s">
        <v>41249</v>
      </c>
      <c r="O1834" t="s">
        <v>41250</v>
      </c>
      <c r="P1834">
        <v>0</v>
      </c>
      <c r="Q1834">
        <v>0</v>
      </c>
      <c r="R1834" t="s">
        <v>41251</v>
      </c>
      <c r="S1834" t="s">
        <v>41369</v>
      </c>
      <c r="T1834" t="s">
        <v>42712</v>
      </c>
      <c r="U1834" t="s">
        <v>44798</v>
      </c>
      <c r="W1834" t="s">
        <v>37566</v>
      </c>
      <c r="X1834" t="s">
        <v>41252</v>
      </c>
    </row>
    <row r="1835" spans="1:24">
      <c r="A1835">
        <f>HYPERLINK("https://www.philgeps.gov.ph/GEPSNONPILOT/Tender/SplashBidNoticeAbstractUI.aspx?menuIndex=3&amp;refID=7078443&amp;Result=3","7078443")</f>
        <v>0</v>
      </c>
      <c r="B1835" t="s">
        <v>707</v>
      </c>
      <c r="C1835" t="s">
        <v>5143</v>
      </c>
      <c r="D1835" t="s">
        <v>16660</v>
      </c>
      <c r="E1835" t="s">
        <v>18416</v>
      </c>
      <c r="F1835" t="s">
        <v>28669</v>
      </c>
      <c r="G1835" t="s">
        <v>28677</v>
      </c>
      <c r="H1835" t="s">
        <v>9998</v>
      </c>
      <c r="I1835" t="s">
        <v>28688</v>
      </c>
      <c r="J1835" t="s">
        <v>29897</v>
      </c>
      <c r="K1835" t="s">
        <v>37243</v>
      </c>
      <c r="M1835" t="s">
        <v>38214</v>
      </c>
      <c r="N1835" t="s">
        <v>41249</v>
      </c>
      <c r="O1835" t="s">
        <v>41250</v>
      </c>
      <c r="P1835">
        <v>0</v>
      </c>
      <c r="Q1835">
        <v>1</v>
      </c>
      <c r="R1835" t="s">
        <v>41251</v>
      </c>
      <c r="S1835" t="s">
        <v>41369</v>
      </c>
      <c r="T1835" t="s">
        <v>42664</v>
      </c>
      <c r="U1835" t="s">
        <v>44799</v>
      </c>
      <c r="W1835" t="s">
        <v>38214</v>
      </c>
      <c r="X1835" t="s">
        <v>41252</v>
      </c>
    </row>
    <row r="1836" spans="1:24">
      <c r="A1836">
        <f>HYPERLINK("https://www.philgeps.gov.ph/GEPSNONPILOT/Tender/SplashBidNoticeAbstractUI.aspx?menuIndex=3&amp;refID=7078448&amp;Result=3","7078448")</f>
        <v>0</v>
      </c>
      <c r="B1836" t="s">
        <v>803</v>
      </c>
      <c r="C1836" t="s">
        <v>5144</v>
      </c>
      <c r="D1836" t="s">
        <v>16664</v>
      </c>
      <c r="E1836" t="s">
        <v>18417</v>
      </c>
      <c r="F1836" t="s">
        <v>28669</v>
      </c>
      <c r="G1836" t="s">
        <v>28675</v>
      </c>
      <c r="H1836" t="s">
        <v>9998</v>
      </c>
      <c r="I1836" t="s">
        <v>3718</v>
      </c>
      <c r="J1836" t="s">
        <v>30082</v>
      </c>
      <c r="K1836" t="s">
        <v>37206</v>
      </c>
      <c r="M1836" t="s">
        <v>38318</v>
      </c>
      <c r="N1836" t="s">
        <v>41249</v>
      </c>
      <c r="O1836" t="s">
        <v>41250</v>
      </c>
      <c r="P1836">
        <v>0</v>
      </c>
      <c r="Q1836">
        <v>1</v>
      </c>
      <c r="R1836" t="s">
        <v>41251</v>
      </c>
      <c r="S1836" t="s">
        <v>41369</v>
      </c>
      <c r="T1836" t="s">
        <v>42852</v>
      </c>
      <c r="U1836" t="s">
        <v>44800</v>
      </c>
      <c r="W1836" t="s">
        <v>38318</v>
      </c>
      <c r="X1836" t="s">
        <v>41252</v>
      </c>
    </row>
    <row r="1837" spans="1:24">
      <c r="A1837">
        <f>HYPERLINK("https://www.philgeps.gov.ph/GEPSNONPILOT/Tender/SplashBidNoticeAbstractUI.aspx?menuIndex=3&amp;refID=7078436&amp;Result=3","7078436")</f>
        <v>0</v>
      </c>
      <c r="B1837" t="s">
        <v>772</v>
      </c>
      <c r="C1837" t="s">
        <v>5145</v>
      </c>
      <c r="D1837" t="s">
        <v>16665</v>
      </c>
      <c r="E1837" t="s">
        <v>18330</v>
      </c>
      <c r="F1837" t="s">
        <v>28669</v>
      </c>
      <c r="G1837" t="s">
        <v>28676</v>
      </c>
      <c r="H1837" t="s">
        <v>9998</v>
      </c>
      <c r="I1837" t="s">
        <v>28757</v>
      </c>
      <c r="J1837" t="s">
        <v>29040</v>
      </c>
      <c r="K1837" t="s">
        <v>37301</v>
      </c>
      <c r="M1837" t="s">
        <v>38286</v>
      </c>
      <c r="N1837" t="s">
        <v>41249</v>
      </c>
      <c r="O1837" t="s">
        <v>41250</v>
      </c>
      <c r="P1837">
        <v>0</v>
      </c>
      <c r="Q1837">
        <v>1</v>
      </c>
      <c r="R1837" t="s">
        <v>41251</v>
      </c>
      <c r="S1837" t="s">
        <v>41369</v>
      </c>
      <c r="T1837" t="s">
        <v>42705</v>
      </c>
      <c r="U1837" t="s">
        <v>44801</v>
      </c>
      <c r="V1837" t="s">
        <v>54467</v>
      </c>
      <c r="W1837" t="s">
        <v>38286</v>
      </c>
      <c r="X1837" t="s">
        <v>41252</v>
      </c>
    </row>
    <row r="1838" spans="1:24">
      <c r="A1838">
        <f>HYPERLINK("https://www.philgeps.gov.ph/GEPSNONPILOT/Tender/SplashBidNoticeAbstractUI.aspx?menuIndex=3&amp;refID=7078435&amp;Result=3","7078435")</f>
        <v>0</v>
      </c>
      <c r="B1838" t="s">
        <v>817</v>
      </c>
      <c r="C1838" t="s">
        <v>5146</v>
      </c>
      <c r="D1838" t="s">
        <v>16627</v>
      </c>
      <c r="E1838" t="s">
        <v>18418</v>
      </c>
      <c r="F1838" t="s">
        <v>28669</v>
      </c>
      <c r="G1838" t="s">
        <v>28675</v>
      </c>
      <c r="H1838" t="s">
        <v>28686</v>
      </c>
      <c r="I1838" t="s">
        <v>28689</v>
      </c>
      <c r="J1838" t="s">
        <v>29053</v>
      </c>
      <c r="K1838" t="s">
        <v>37290</v>
      </c>
      <c r="M1838" t="s">
        <v>38332</v>
      </c>
      <c r="N1838" t="s">
        <v>41249</v>
      </c>
      <c r="O1838" t="s">
        <v>41250</v>
      </c>
      <c r="P1838">
        <v>0</v>
      </c>
      <c r="Q1838">
        <v>0</v>
      </c>
      <c r="R1838" t="s">
        <v>41251</v>
      </c>
      <c r="S1838" t="s">
        <v>41369</v>
      </c>
      <c r="T1838" t="s">
        <v>42661</v>
      </c>
      <c r="U1838" t="s">
        <v>44802</v>
      </c>
      <c r="W1838" t="s">
        <v>38332</v>
      </c>
      <c r="X1838" t="s">
        <v>41252</v>
      </c>
    </row>
    <row r="1839" spans="1:24">
      <c r="A1839">
        <f>HYPERLINK("https://www.philgeps.gov.ph/GEPSNONPILOT/Tender/SplashBidNoticeAbstractUI.aspx?menuIndex=3&amp;refID=7078447&amp;Result=3","7078447")</f>
        <v>0</v>
      </c>
      <c r="B1839" t="s">
        <v>208</v>
      </c>
      <c r="C1839" t="s">
        <v>5147</v>
      </c>
      <c r="D1839" t="s">
        <v>16674</v>
      </c>
      <c r="E1839" t="s">
        <v>18419</v>
      </c>
      <c r="F1839" t="s">
        <v>28669</v>
      </c>
      <c r="G1839" t="s">
        <v>28675</v>
      </c>
      <c r="H1839" t="s">
        <v>9998</v>
      </c>
      <c r="I1839" t="s">
        <v>7352</v>
      </c>
      <c r="J1839" t="s">
        <v>30083</v>
      </c>
      <c r="K1839" t="s">
        <v>37206</v>
      </c>
      <c r="M1839" t="s">
        <v>37686</v>
      </c>
      <c r="N1839" t="s">
        <v>41249</v>
      </c>
      <c r="O1839" t="s">
        <v>41250</v>
      </c>
      <c r="P1839">
        <v>0</v>
      </c>
      <c r="Q1839">
        <v>0</v>
      </c>
      <c r="R1839" t="s">
        <v>41251</v>
      </c>
      <c r="S1839" t="s">
        <v>41369</v>
      </c>
      <c r="T1839" t="s">
        <v>42756</v>
      </c>
      <c r="U1839" t="s">
        <v>43513</v>
      </c>
      <c r="W1839" t="s">
        <v>37686</v>
      </c>
      <c r="X1839" t="s">
        <v>41252</v>
      </c>
    </row>
    <row r="1840" spans="1:24">
      <c r="A1840">
        <f>HYPERLINK("https://www.philgeps.gov.ph/GEPSNONPILOT/Tender/SplashBidNoticeAbstractUI.aspx?menuIndex=3&amp;refID=7078462&amp;Result=3","7078462")</f>
        <v>0</v>
      </c>
      <c r="B1840" t="s">
        <v>91</v>
      </c>
      <c r="C1840" t="s">
        <v>5148</v>
      </c>
      <c r="E1840" t="s">
        <v>16838</v>
      </c>
      <c r="F1840" t="s">
        <v>28669</v>
      </c>
      <c r="G1840" t="s">
        <v>28675</v>
      </c>
      <c r="H1840" t="s">
        <v>9998</v>
      </c>
      <c r="I1840" t="s">
        <v>28695</v>
      </c>
      <c r="J1840" t="s">
        <v>29724</v>
      </c>
      <c r="K1840" t="s">
        <v>37209</v>
      </c>
      <c r="M1840" t="s">
        <v>37566</v>
      </c>
      <c r="N1840" t="s">
        <v>41249</v>
      </c>
      <c r="O1840" t="s">
        <v>41250</v>
      </c>
      <c r="P1840">
        <v>0</v>
      </c>
      <c r="Q1840">
        <v>0</v>
      </c>
      <c r="R1840" t="s">
        <v>41251</v>
      </c>
      <c r="S1840" t="s">
        <v>41369</v>
      </c>
      <c r="T1840" t="s">
        <v>42672</v>
      </c>
      <c r="U1840" t="s">
        <v>44798</v>
      </c>
      <c r="W1840" t="s">
        <v>37566</v>
      </c>
      <c r="X1840" t="s">
        <v>41252</v>
      </c>
    </row>
    <row r="1841" spans="1:24">
      <c r="A1841">
        <f>HYPERLINK("https://www.philgeps.gov.ph/GEPSNONPILOT/Tender/SplashBidNoticeAbstractUI.aspx?menuIndex=3&amp;refID=7078437&amp;Result=3","7078437")</f>
        <v>0</v>
      </c>
      <c r="B1841" t="s">
        <v>92</v>
      </c>
      <c r="C1841" t="s">
        <v>5149</v>
      </c>
      <c r="D1841" t="s">
        <v>16653</v>
      </c>
      <c r="E1841" t="s">
        <v>18420</v>
      </c>
      <c r="F1841" t="s">
        <v>28669</v>
      </c>
      <c r="G1841" t="s">
        <v>28676</v>
      </c>
      <c r="H1841" t="s">
        <v>9998</v>
      </c>
      <c r="I1841" t="s">
        <v>28704</v>
      </c>
      <c r="J1841" t="s">
        <v>30084</v>
      </c>
      <c r="K1841" t="s">
        <v>37205</v>
      </c>
      <c r="L1841" t="s">
        <v>92</v>
      </c>
      <c r="M1841" t="s">
        <v>37567</v>
      </c>
      <c r="N1841" t="s">
        <v>41249</v>
      </c>
      <c r="O1841" t="s">
        <v>41250</v>
      </c>
      <c r="P1841">
        <v>0</v>
      </c>
      <c r="Q1841">
        <v>0</v>
      </c>
      <c r="R1841" t="s">
        <v>41251</v>
      </c>
      <c r="S1841" t="s">
        <v>41369</v>
      </c>
      <c r="T1841" t="s">
        <v>42694</v>
      </c>
      <c r="U1841" t="s">
        <v>44803</v>
      </c>
      <c r="W1841" t="s">
        <v>37567</v>
      </c>
      <c r="X1841" t="s">
        <v>41252</v>
      </c>
    </row>
    <row r="1842" spans="1:24">
      <c r="A1842">
        <f>HYPERLINK("https://www.philgeps.gov.ph/GEPSNONPILOT/Tender/SplashBidNoticeAbstractUI.aspx?menuIndex=3&amp;refID=7078451&amp;Result=3","7078451")</f>
        <v>0</v>
      </c>
      <c r="B1842" t="s">
        <v>747</v>
      </c>
      <c r="C1842" t="s">
        <v>5150</v>
      </c>
      <c r="D1842" t="s">
        <v>16657</v>
      </c>
      <c r="E1842" t="s">
        <v>5150</v>
      </c>
      <c r="F1842" t="s">
        <v>28669</v>
      </c>
      <c r="G1842" t="s">
        <v>28677</v>
      </c>
      <c r="H1842" t="s">
        <v>9998</v>
      </c>
      <c r="I1842" t="s">
        <v>7352</v>
      </c>
      <c r="J1842" t="s">
        <v>30085</v>
      </c>
      <c r="K1842" t="s">
        <v>37243</v>
      </c>
      <c r="M1842" t="s">
        <v>38257</v>
      </c>
      <c r="N1842" t="s">
        <v>41249</v>
      </c>
      <c r="O1842" t="s">
        <v>41250</v>
      </c>
      <c r="P1842">
        <v>0</v>
      </c>
      <c r="Q1842">
        <v>1</v>
      </c>
      <c r="R1842" t="s">
        <v>41251</v>
      </c>
      <c r="S1842" t="s">
        <v>41369</v>
      </c>
      <c r="T1842" t="s">
        <v>42743</v>
      </c>
      <c r="U1842" t="s">
        <v>44804</v>
      </c>
      <c r="W1842" t="s">
        <v>38257</v>
      </c>
      <c r="X1842" t="s">
        <v>41252</v>
      </c>
    </row>
    <row r="1843" spans="1:24">
      <c r="A1843">
        <f>HYPERLINK("https://www.philgeps.gov.ph/GEPSNONPILOT/Tender/SplashBidNoticeAbstractUI.aspx?menuIndex=3&amp;refID=7078421&amp;Result=3","7078421")</f>
        <v>0</v>
      </c>
      <c r="B1843" t="s">
        <v>661</v>
      </c>
      <c r="C1843" t="s">
        <v>4508</v>
      </c>
      <c r="D1843" t="s">
        <v>16608</v>
      </c>
      <c r="E1843" t="s">
        <v>18421</v>
      </c>
      <c r="F1843" t="s">
        <v>28669</v>
      </c>
      <c r="G1843" t="s">
        <v>28678</v>
      </c>
      <c r="H1843" t="s">
        <v>9998</v>
      </c>
      <c r="I1843" t="s">
        <v>3718</v>
      </c>
      <c r="J1843" t="s">
        <v>28826</v>
      </c>
      <c r="K1843" t="s">
        <v>37209</v>
      </c>
      <c r="M1843" t="s">
        <v>38163</v>
      </c>
      <c r="N1843" t="s">
        <v>41249</v>
      </c>
      <c r="O1843" t="s">
        <v>41250</v>
      </c>
      <c r="P1843">
        <v>0</v>
      </c>
      <c r="Q1843">
        <v>8</v>
      </c>
      <c r="R1843" t="s">
        <v>41251</v>
      </c>
      <c r="S1843" t="s">
        <v>41369</v>
      </c>
      <c r="T1843" t="s">
        <v>42675</v>
      </c>
      <c r="U1843" t="s">
        <v>44805</v>
      </c>
      <c r="W1843" t="s">
        <v>38163</v>
      </c>
      <c r="X1843" t="s">
        <v>41252</v>
      </c>
    </row>
    <row r="1844" spans="1:24">
      <c r="A1844">
        <f>HYPERLINK("https://www.philgeps.gov.ph/GEPSNONPILOT/Tender/SplashBidNoticeAbstractUI.aspx?menuIndex=3&amp;refID=7078492&amp;Result=3","7078492")</f>
        <v>0</v>
      </c>
      <c r="B1844" t="s">
        <v>376</v>
      </c>
      <c r="C1844" t="s">
        <v>5151</v>
      </c>
      <c r="D1844" t="s">
        <v>16608</v>
      </c>
      <c r="E1844" t="s">
        <v>18422</v>
      </c>
      <c r="F1844" t="s">
        <v>28669</v>
      </c>
      <c r="G1844" t="s">
        <v>28676</v>
      </c>
      <c r="H1844" t="s">
        <v>9998</v>
      </c>
      <c r="I1844" t="s">
        <v>28702</v>
      </c>
      <c r="J1844" t="s">
        <v>30086</v>
      </c>
      <c r="K1844" t="s">
        <v>37227</v>
      </c>
      <c r="M1844" t="s">
        <v>38333</v>
      </c>
      <c r="N1844" t="s">
        <v>41249</v>
      </c>
      <c r="O1844" t="s">
        <v>41250</v>
      </c>
      <c r="P1844">
        <v>0</v>
      </c>
      <c r="Q1844">
        <v>0</v>
      </c>
      <c r="R1844" t="s">
        <v>41251</v>
      </c>
      <c r="S1844" t="s">
        <v>41369</v>
      </c>
      <c r="T1844" t="s">
        <v>42754</v>
      </c>
      <c r="U1844" t="s">
        <v>44806</v>
      </c>
      <c r="W1844" t="s">
        <v>38333</v>
      </c>
      <c r="X1844" t="s">
        <v>41252</v>
      </c>
    </row>
    <row r="1845" spans="1:24">
      <c r="A1845">
        <f>HYPERLINK("https://www.philgeps.gov.ph/GEPSNONPILOT/Tender/SplashBidNoticeAbstractUI.aspx?menuIndex=3&amp;refID=7078488&amp;Result=3","7078488")</f>
        <v>0</v>
      </c>
      <c r="B1845" t="s">
        <v>818</v>
      </c>
      <c r="C1845" t="s">
        <v>5152</v>
      </c>
      <c r="D1845" t="s">
        <v>16664</v>
      </c>
      <c r="E1845" t="s">
        <v>18423</v>
      </c>
      <c r="F1845" t="s">
        <v>28669</v>
      </c>
      <c r="G1845" t="s">
        <v>28677</v>
      </c>
      <c r="H1845" t="s">
        <v>9998</v>
      </c>
      <c r="I1845" t="s">
        <v>28700</v>
      </c>
      <c r="J1845" t="s">
        <v>28826</v>
      </c>
      <c r="K1845" t="s">
        <v>37243</v>
      </c>
      <c r="M1845" t="s">
        <v>38334</v>
      </c>
      <c r="N1845" t="s">
        <v>41249</v>
      </c>
      <c r="O1845" t="s">
        <v>41250</v>
      </c>
      <c r="P1845">
        <v>0</v>
      </c>
      <c r="Q1845">
        <v>2</v>
      </c>
      <c r="R1845" t="s">
        <v>41251</v>
      </c>
      <c r="S1845" t="s">
        <v>41369</v>
      </c>
      <c r="T1845" t="s">
        <v>42673</v>
      </c>
      <c r="U1845" t="s">
        <v>44807</v>
      </c>
      <c r="W1845" t="s">
        <v>38334</v>
      </c>
      <c r="X1845" t="s">
        <v>41252</v>
      </c>
    </row>
    <row r="1846" spans="1:24">
      <c r="A1846">
        <f>HYPERLINK("https://www.philgeps.gov.ph/GEPSNONPILOT/Tender/SplashBidNoticeAbstractUI.aspx?menuIndex=3&amp;refID=7078487&amp;Result=3","7078487")</f>
        <v>0</v>
      </c>
      <c r="B1846" t="s">
        <v>696</v>
      </c>
      <c r="C1846" t="s">
        <v>5153</v>
      </c>
      <c r="D1846" t="s">
        <v>16611</v>
      </c>
      <c r="E1846" t="s">
        <v>18424</v>
      </c>
      <c r="F1846" t="s">
        <v>28669</v>
      </c>
      <c r="G1846" t="s">
        <v>28676</v>
      </c>
      <c r="H1846" t="s">
        <v>9998</v>
      </c>
      <c r="I1846" t="s">
        <v>28693</v>
      </c>
      <c r="J1846" t="s">
        <v>30087</v>
      </c>
      <c r="K1846" t="s">
        <v>37206</v>
      </c>
      <c r="M1846" t="s">
        <v>38201</v>
      </c>
      <c r="N1846" t="s">
        <v>41249</v>
      </c>
      <c r="O1846" t="s">
        <v>41250</v>
      </c>
      <c r="P1846">
        <v>0</v>
      </c>
      <c r="Q1846">
        <v>20</v>
      </c>
      <c r="R1846" t="s">
        <v>41251</v>
      </c>
      <c r="S1846" t="s">
        <v>41369</v>
      </c>
      <c r="T1846" t="s">
        <v>42738</v>
      </c>
      <c r="U1846" t="s">
        <v>44808</v>
      </c>
      <c r="W1846" t="s">
        <v>38201</v>
      </c>
      <c r="X1846" t="s">
        <v>41252</v>
      </c>
    </row>
    <row r="1847" spans="1:24">
      <c r="A1847">
        <f>HYPERLINK("https://www.philgeps.gov.ph/GEPSNONPILOT/Tender/SplashBidNoticeAbstractUI.aspx?menuIndex=3&amp;refID=7078481&amp;Result=3","7078481")</f>
        <v>0</v>
      </c>
      <c r="B1847" t="s">
        <v>819</v>
      </c>
      <c r="C1847" t="s">
        <v>5154</v>
      </c>
      <c r="D1847" t="s">
        <v>16640</v>
      </c>
      <c r="E1847" t="s">
        <v>18425</v>
      </c>
      <c r="F1847" t="s">
        <v>28669</v>
      </c>
      <c r="G1847" t="s">
        <v>28676</v>
      </c>
      <c r="H1847" t="s">
        <v>9998</v>
      </c>
      <c r="I1847" t="s">
        <v>28690</v>
      </c>
      <c r="J1847" t="s">
        <v>29485</v>
      </c>
      <c r="K1847" t="s">
        <v>37220</v>
      </c>
      <c r="M1847" t="s">
        <v>38335</v>
      </c>
      <c r="N1847" t="s">
        <v>41249</v>
      </c>
      <c r="O1847" t="s">
        <v>41250</v>
      </c>
      <c r="P1847">
        <v>0</v>
      </c>
      <c r="Q1847">
        <v>0</v>
      </c>
      <c r="R1847" t="s">
        <v>41251</v>
      </c>
      <c r="S1847" t="s">
        <v>41369</v>
      </c>
      <c r="T1847" t="s">
        <v>42682</v>
      </c>
      <c r="U1847" t="s">
        <v>44809</v>
      </c>
      <c r="W1847" t="s">
        <v>38335</v>
      </c>
      <c r="X1847" t="s">
        <v>41252</v>
      </c>
    </row>
    <row r="1848" spans="1:24">
      <c r="A1848">
        <f>HYPERLINK("https://www.philgeps.gov.ph/GEPSNONPILOT/Tender/SplashBidNoticeAbstractUI.aspx?menuIndex=3&amp;refID=7078485&amp;Result=3","7078485")</f>
        <v>0</v>
      </c>
      <c r="B1848" t="s">
        <v>820</v>
      </c>
      <c r="C1848" t="s">
        <v>5155</v>
      </c>
      <c r="D1848" t="s">
        <v>16608</v>
      </c>
      <c r="E1848" t="s">
        <v>18426</v>
      </c>
      <c r="F1848" t="s">
        <v>28669</v>
      </c>
      <c r="G1848" t="s">
        <v>28677</v>
      </c>
      <c r="H1848" t="s">
        <v>9998</v>
      </c>
      <c r="I1848" t="s">
        <v>28693</v>
      </c>
      <c r="J1848" t="s">
        <v>28894</v>
      </c>
      <c r="K1848" t="s">
        <v>37205</v>
      </c>
      <c r="M1848" t="s">
        <v>38336</v>
      </c>
      <c r="N1848" t="s">
        <v>41249</v>
      </c>
      <c r="O1848" t="s">
        <v>41250</v>
      </c>
      <c r="P1848">
        <v>0</v>
      </c>
      <c r="Q1848">
        <v>11</v>
      </c>
      <c r="R1848" t="s">
        <v>41251</v>
      </c>
      <c r="S1848" t="s">
        <v>41369</v>
      </c>
      <c r="T1848" t="s">
        <v>42743</v>
      </c>
      <c r="U1848" t="s">
        <v>44810</v>
      </c>
      <c r="W1848" t="s">
        <v>38336</v>
      </c>
      <c r="X1848" t="s">
        <v>41252</v>
      </c>
    </row>
    <row r="1849" spans="1:24">
      <c r="A1849">
        <f>HYPERLINK("https://www.philgeps.gov.ph/GEPSNONPILOT/Tender/SplashBidNoticeAbstractUI.aspx?menuIndex=3&amp;refID=7078414&amp;Result=3","7078414")</f>
        <v>0</v>
      </c>
      <c r="B1849" t="s">
        <v>821</v>
      </c>
      <c r="C1849" t="s">
        <v>5156</v>
      </c>
      <c r="D1849" t="s">
        <v>16672</v>
      </c>
      <c r="E1849" t="s">
        <v>18427</v>
      </c>
      <c r="F1849" t="s">
        <v>28669</v>
      </c>
      <c r="G1849" t="s">
        <v>28676</v>
      </c>
      <c r="H1849" t="s">
        <v>28684</v>
      </c>
      <c r="I1849" t="s">
        <v>28734</v>
      </c>
      <c r="J1849" t="s">
        <v>30088</v>
      </c>
      <c r="K1849" t="s">
        <v>37221</v>
      </c>
      <c r="M1849" t="s">
        <v>38337</v>
      </c>
      <c r="N1849" t="s">
        <v>41249</v>
      </c>
      <c r="O1849" t="s">
        <v>41250</v>
      </c>
      <c r="P1849">
        <v>0</v>
      </c>
      <c r="Q1849">
        <v>1</v>
      </c>
      <c r="R1849" t="s">
        <v>41251</v>
      </c>
      <c r="S1849" t="s">
        <v>41369</v>
      </c>
      <c r="T1849" t="s">
        <v>42703</v>
      </c>
      <c r="U1849" t="s">
        <v>44811</v>
      </c>
      <c r="W1849" t="s">
        <v>38337</v>
      </c>
      <c r="X1849" t="s">
        <v>41252</v>
      </c>
    </row>
    <row r="1850" spans="1:24">
      <c r="A1850">
        <f>HYPERLINK("https://www.philgeps.gov.ph/GEPSNONPILOT/Tender/SplashBidNoticeAbstractUI.aspx?menuIndex=3&amp;refID=7078480&amp;Result=3","7078480")</f>
        <v>0</v>
      </c>
      <c r="B1850" t="s">
        <v>208</v>
      </c>
      <c r="C1850" t="s">
        <v>5157</v>
      </c>
      <c r="D1850" t="s">
        <v>16674</v>
      </c>
      <c r="E1850" t="s">
        <v>18428</v>
      </c>
      <c r="F1850" t="s">
        <v>28669</v>
      </c>
      <c r="G1850" t="s">
        <v>28675</v>
      </c>
      <c r="H1850" t="s">
        <v>9998</v>
      </c>
      <c r="I1850" t="s">
        <v>28687</v>
      </c>
      <c r="J1850" t="s">
        <v>28914</v>
      </c>
      <c r="K1850" t="s">
        <v>37206</v>
      </c>
      <c r="M1850" t="s">
        <v>37686</v>
      </c>
      <c r="N1850" t="s">
        <v>41249</v>
      </c>
      <c r="O1850" t="s">
        <v>41250</v>
      </c>
      <c r="P1850">
        <v>0</v>
      </c>
      <c r="Q1850">
        <v>0</v>
      </c>
      <c r="R1850" t="s">
        <v>41251</v>
      </c>
      <c r="S1850" t="s">
        <v>41369</v>
      </c>
      <c r="T1850" t="s">
        <v>42756</v>
      </c>
      <c r="U1850" t="s">
        <v>43513</v>
      </c>
      <c r="W1850" t="s">
        <v>37686</v>
      </c>
      <c r="X1850" t="s">
        <v>41252</v>
      </c>
    </row>
    <row r="1851" spans="1:24">
      <c r="A1851">
        <f>HYPERLINK("https://www.philgeps.gov.ph/GEPSNONPILOT/Tender/SplashBidNoticeAbstractUI.aspx?menuIndex=3&amp;refID=7078478&amp;Result=3","7078478")</f>
        <v>0</v>
      </c>
      <c r="B1851" t="s">
        <v>822</v>
      </c>
      <c r="C1851" t="s">
        <v>5158</v>
      </c>
      <c r="E1851" t="s">
        <v>18429</v>
      </c>
      <c r="F1851" t="s">
        <v>28669</v>
      </c>
      <c r="G1851" t="s">
        <v>28678</v>
      </c>
      <c r="H1851" t="s">
        <v>9998</v>
      </c>
      <c r="I1851" t="s">
        <v>28690</v>
      </c>
      <c r="J1851" t="s">
        <v>30089</v>
      </c>
      <c r="K1851" t="s">
        <v>37210</v>
      </c>
      <c r="M1851" t="s">
        <v>38338</v>
      </c>
      <c r="N1851" t="s">
        <v>41249</v>
      </c>
      <c r="O1851" t="s">
        <v>41250</v>
      </c>
      <c r="P1851">
        <v>0</v>
      </c>
      <c r="Q1851">
        <v>10</v>
      </c>
      <c r="R1851" t="s">
        <v>41251</v>
      </c>
      <c r="S1851" t="s">
        <v>41369</v>
      </c>
      <c r="T1851" t="s">
        <v>42671</v>
      </c>
      <c r="U1851" t="s">
        <v>44812</v>
      </c>
      <c r="V1851" t="s">
        <v>54483</v>
      </c>
      <c r="W1851" t="s">
        <v>38338</v>
      </c>
      <c r="X1851" t="s">
        <v>41252</v>
      </c>
    </row>
    <row r="1852" spans="1:24">
      <c r="A1852">
        <f>HYPERLINK("https://www.philgeps.gov.ph/GEPSNONPILOT/Tender/SplashBidNoticeAbstractUI.aspx?menuIndex=3&amp;refID=7078476&amp;Result=3","7078476")</f>
        <v>0</v>
      </c>
      <c r="B1852" t="s">
        <v>208</v>
      </c>
      <c r="C1852" t="s">
        <v>5159</v>
      </c>
      <c r="D1852" t="s">
        <v>16674</v>
      </c>
      <c r="E1852" t="s">
        <v>18430</v>
      </c>
      <c r="F1852" t="s">
        <v>28669</v>
      </c>
      <c r="G1852" t="s">
        <v>28675</v>
      </c>
      <c r="H1852" t="s">
        <v>9998</v>
      </c>
      <c r="I1852" t="s">
        <v>28687</v>
      </c>
      <c r="J1852" t="s">
        <v>30090</v>
      </c>
      <c r="K1852" t="s">
        <v>37206</v>
      </c>
      <c r="M1852" t="s">
        <v>37686</v>
      </c>
      <c r="N1852" t="s">
        <v>41249</v>
      </c>
      <c r="O1852" t="s">
        <v>41250</v>
      </c>
      <c r="P1852">
        <v>0</v>
      </c>
      <c r="Q1852">
        <v>0</v>
      </c>
      <c r="R1852" t="s">
        <v>41251</v>
      </c>
      <c r="S1852" t="s">
        <v>41369</v>
      </c>
      <c r="T1852" t="s">
        <v>42756</v>
      </c>
      <c r="U1852" t="s">
        <v>43513</v>
      </c>
      <c r="W1852" t="s">
        <v>37686</v>
      </c>
      <c r="X1852" t="s">
        <v>41252</v>
      </c>
    </row>
    <row r="1853" spans="1:24">
      <c r="A1853">
        <f>HYPERLINK("https://www.philgeps.gov.ph/GEPSNONPILOT/Tender/SplashBidNoticeAbstractUI.aspx?menuIndex=3&amp;refID=7078473&amp;Result=3","7078473")</f>
        <v>0</v>
      </c>
      <c r="B1853" t="s">
        <v>422</v>
      </c>
      <c r="C1853" t="s">
        <v>5160</v>
      </c>
      <c r="D1853" t="s">
        <v>16640</v>
      </c>
      <c r="E1853" t="s">
        <v>18431</v>
      </c>
      <c r="F1853" t="s">
        <v>28669</v>
      </c>
      <c r="G1853" t="s">
        <v>28677</v>
      </c>
      <c r="H1853" t="s">
        <v>9998</v>
      </c>
      <c r="I1853" t="s">
        <v>28690</v>
      </c>
      <c r="J1853" t="s">
        <v>30091</v>
      </c>
      <c r="K1853" t="s">
        <v>37205</v>
      </c>
      <c r="M1853" t="s">
        <v>37907</v>
      </c>
      <c r="N1853" t="s">
        <v>41249</v>
      </c>
      <c r="O1853" t="s">
        <v>41250</v>
      </c>
      <c r="P1853">
        <v>0</v>
      </c>
      <c r="Q1853">
        <v>2</v>
      </c>
      <c r="R1853" t="s">
        <v>41251</v>
      </c>
      <c r="S1853" t="s">
        <v>41369</v>
      </c>
      <c r="T1853" t="s">
        <v>42673</v>
      </c>
      <c r="U1853" t="s">
        <v>44813</v>
      </c>
      <c r="W1853" t="s">
        <v>55917</v>
      </c>
      <c r="X1853" t="s">
        <v>41252</v>
      </c>
    </row>
    <row r="1854" spans="1:24">
      <c r="A1854">
        <f>HYPERLINK("https://www.philgeps.gov.ph/GEPSNONPILOT/Tender/SplashBidNoticeAbstractUI.aspx?menuIndex=3&amp;refID=7078471&amp;Result=3","7078471")</f>
        <v>0</v>
      </c>
      <c r="B1854" t="s">
        <v>823</v>
      </c>
      <c r="C1854" t="s">
        <v>5161</v>
      </c>
      <c r="D1854" t="s">
        <v>16626</v>
      </c>
      <c r="E1854" t="s">
        <v>18432</v>
      </c>
      <c r="F1854" t="s">
        <v>28669</v>
      </c>
      <c r="G1854" t="s">
        <v>28675</v>
      </c>
      <c r="H1854" t="s">
        <v>28684</v>
      </c>
      <c r="I1854" t="s">
        <v>28726</v>
      </c>
      <c r="J1854" t="s">
        <v>30092</v>
      </c>
      <c r="K1854" t="s">
        <v>37234</v>
      </c>
      <c r="M1854" t="s">
        <v>38339</v>
      </c>
      <c r="N1854" t="s">
        <v>41249</v>
      </c>
      <c r="O1854" t="s">
        <v>41250</v>
      </c>
      <c r="P1854">
        <v>0</v>
      </c>
      <c r="Q1854">
        <v>0</v>
      </c>
      <c r="R1854" t="s">
        <v>41251</v>
      </c>
      <c r="S1854" t="s">
        <v>41369</v>
      </c>
      <c r="T1854" t="s">
        <v>42696</v>
      </c>
      <c r="U1854" t="s">
        <v>44814</v>
      </c>
      <c r="W1854" t="s">
        <v>38339</v>
      </c>
      <c r="X1854" t="s">
        <v>41252</v>
      </c>
    </row>
    <row r="1855" spans="1:24">
      <c r="A1855">
        <f>HYPERLINK("https://www.philgeps.gov.ph/GEPSNONPILOT/Tender/SplashBidNoticeAbstractUI.aspx?menuIndex=3&amp;refID=7078470&amp;Result=3","7078470")</f>
        <v>0</v>
      </c>
      <c r="B1855" t="s">
        <v>208</v>
      </c>
      <c r="C1855" t="s">
        <v>5162</v>
      </c>
      <c r="D1855" t="s">
        <v>16674</v>
      </c>
      <c r="E1855" t="s">
        <v>18433</v>
      </c>
      <c r="F1855" t="s">
        <v>28669</v>
      </c>
      <c r="G1855" t="s">
        <v>28675</v>
      </c>
      <c r="H1855" t="s">
        <v>9998</v>
      </c>
      <c r="I1855" t="s">
        <v>28687</v>
      </c>
      <c r="J1855" t="s">
        <v>28924</v>
      </c>
      <c r="K1855" t="s">
        <v>37206</v>
      </c>
      <c r="M1855" t="s">
        <v>37686</v>
      </c>
      <c r="N1855" t="s">
        <v>41249</v>
      </c>
      <c r="O1855" t="s">
        <v>41250</v>
      </c>
      <c r="P1855">
        <v>0</v>
      </c>
      <c r="Q1855">
        <v>3</v>
      </c>
      <c r="R1855" t="s">
        <v>41251</v>
      </c>
      <c r="S1855" t="s">
        <v>41369</v>
      </c>
      <c r="T1855" t="s">
        <v>42756</v>
      </c>
      <c r="U1855" t="s">
        <v>43513</v>
      </c>
      <c r="W1855" t="s">
        <v>37686</v>
      </c>
      <c r="X1855" t="s">
        <v>41252</v>
      </c>
    </row>
    <row r="1856" spans="1:24">
      <c r="A1856">
        <f>HYPERLINK("https://www.philgeps.gov.ph/GEPSNONPILOT/Tender/SplashBidNoticeAbstractUI.aspx?menuIndex=3&amp;refID=7078468&amp;Result=3","7078468")</f>
        <v>0</v>
      </c>
      <c r="B1856" t="s">
        <v>422</v>
      </c>
      <c r="C1856" t="s">
        <v>5163</v>
      </c>
      <c r="D1856" t="s">
        <v>16640</v>
      </c>
      <c r="E1856" t="s">
        <v>18434</v>
      </c>
      <c r="F1856" t="s">
        <v>28669</v>
      </c>
      <c r="G1856" t="s">
        <v>28676</v>
      </c>
      <c r="H1856" t="s">
        <v>9998</v>
      </c>
      <c r="I1856" t="s">
        <v>28694</v>
      </c>
      <c r="J1856" t="s">
        <v>30093</v>
      </c>
      <c r="K1856" t="s">
        <v>37205</v>
      </c>
      <c r="M1856" t="s">
        <v>37907</v>
      </c>
      <c r="N1856" t="s">
        <v>41249</v>
      </c>
      <c r="O1856" t="s">
        <v>41250</v>
      </c>
      <c r="P1856">
        <v>0</v>
      </c>
      <c r="Q1856">
        <v>0</v>
      </c>
      <c r="R1856" t="s">
        <v>41251</v>
      </c>
      <c r="S1856" t="s">
        <v>41369</v>
      </c>
      <c r="T1856" t="s">
        <v>42673</v>
      </c>
      <c r="U1856" t="s">
        <v>43895</v>
      </c>
      <c r="W1856" t="s">
        <v>55917</v>
      </c>
      <c r="X1856" t="s">
        <v>41252</v>
      </c>
    </row>
    <row r="1857" spans="1:24">
      <c r="A1857">
        <f>HYPERLINK("https://www.philgeps.gov.ph/GEPSNONPILOT/Tender/SplashBidNoticeAbstractUI.aspx?menuIndex=3&amp;refID=7078465&amp;Result=3","7078465")</f>
        <v>0</v>
      </c>
      <c r="B1857" t="s">
        <v>409</v>
      </c>
      <c r="C1857" t="s">
        <v>5164</v>
      </c>
      <c r="D1857" t="s">
        <v>16682</v>
      </c>
      <c r="E1857" t="s">
        <v>18435</v>
      </c>
      <c r="F1857" t="s">
        <v>28669</v>
      </c>
      <c r="G1857" t="s">
        <v>28676</v>
      </c>
      <c r="H1857" t="s">
        <v>9998</v>
      </c>
      <c r="I1857" t="s">
        <v>15140</v>
      </c>
      <c r="J1857" t="s">
        <v>30094</v>
      </c>
      <c r="K1857" t="s">
        <v>37209</v>
      </c>
      <c r="M1857" t="s">
        <v>37894</v>
      </c>
      <c r="N1857" t="s">
        <v>41249</v>
      </c>
      <c r="O1857" t="s">
        <v>41250</v>
      </c>
      <c r="P1857">
        <v>0</v>
      </c>
      <c r="Q1857">
        <v>0</v>
      </c>
      <c r="R1857" t="s">
        <v>41251</v>
      </c>
      <c r="S1857" t="s">
        <v>41369</v>
      </c>
      <c r="T1857" t="s">
        <v>42694</v>
      </c>
      <c r="U1857" t="s">
        <v>44815</v>
      </c>
      <c r="W1857" t="s">
        <v>37894</v>
      </c>
      <c r="X1857" t="s">
        <v>41252</v>
      </c>
    </row>
    <row r="1858" spans="1:24">
      <c r="A1858">
        <f>HYPERLINK("https://www.philgeps.gov.ph/GEPSNONPILOT/Tender/SplashBidNoticeAbstractUI.aspx?menuIndex=3&amp;refID=7078438&amp;Result=3","7078438")</f>
        <v>0</v>
      </c>
      <c r="B1858" t="s">
        <v>252</v>
      </c>
      <c r="C1858" t="s">
        <v>5165</v>
      </c>
      <c r="D1858" t="s">
        <v>16629</v>
      </c>
      <c r="E1858" t="s">
        <v>18436</v>
      </c>
      <c r="F1858" t="s">
        <v>28669</v>
      </c>
      <c r="G1858" t="s">
        <v>28676</v>
      </c>
      <c r="H1858" t="s">
        <v>9998</v>
      </c>
      <c r="I1858" t="s">
        <v>28690</v>
      </c>
      <c r="J1858" t="s">
        <v>30095</v>
      </c>
      <c r="K1858" t="s">
        <v>37210</v>
      </c>
      <c r="M1858" t="s">
        <v>37730</v>
      </c>
      <c r="N1858" t="s">
        <v>41249</v>
      </c>
      <c r="O1858" t="s">
        <v>41250</v>
      </c>
      <c r="P1858">
        <v>0</v>
      </c>
      <c r="Q1858">
        <v>2</v>
      </c>
      <c r="R1858" t="s">
        <v>41251</v>
      </c>
      <c r="S1858" t="s">
        <v>41369</v>
      </c>
      <c r="T1858" t="s">
        <v>42673</v>
      </c>
      <c r="U1858" t="s">
        <v>43595</v>
      </c>
      <c r="V1858" t="s">
        <v>54315</v>
      </c>
      <c r="W1858" t="s">
        <v>37730</v>
      </c>
      <c r="X1858" t="s">
        <v>41252</v>
      </c>
    </row>
    <row r="1859" spans="1:24">
      <c r="A1859">
        <f>HYPERLINK("https://www.philgeps.gov.ph/GEPSNONPILOT/Tender/SplashBidNoticeAbstractUI.aspx?menuIndex=3&amp;refID=7078464&amp;Result=3","7078464")</f>
        <v>0</v>
      </c>
      <c r="B1859" t="s">
        <v>824</v>
      </c>
      <c r="C1859" t="s">
        <v>5166</v>
      </c>
      <c r="D1859" t="s">
        <v>16619</v>
      </c>
      <c r="E1859" t="s">
        <v>18437</v>
      </c>
      <c r="F1859" t="s">
        <v>28669</v>
      </c>
      <c r="G1859" t="s">
        <v>28675</v>
      </c>
      <c r="H1859" t="s">
        <v>9998</v>
      </c>
      <c r="I1859" t="s">
        <v>28695</v>
      </c>
      <c r="J1859" t="s">
        <v>30096</v>
      </c>
      <c r="K1859" t="s">
        <v>37209</v>
      </c>
      <c r="M1859" t="s">
        <v>38340</v>
      </c>
      <c r="N1859" t="s">
        <v>41249</v>
      </c>
      <c r="O1859" t="s">
        <v>41250</v>
      </c>
      <c r="P1859">
        <v>0</v>
      </c>
      <c r="Q1859">
        <v>0</v>
      </c>
      <c r="R1859" t="s">
        <v>41251</v>
      </c>
      <c r="S1859" t="s">
        <v>41369</v>
      </c>
      <c r="T1859" t="s">
        <v>42689</v>
      </c>
      <c r="U1859" t="s">
        <v>44816</v>
      </c>
      <c r="W1859" t="s">
        <v>38340</v>
      </c>
      <c r="X1859" t="s">
        <v>41252</v>
      </c>
    </row>
    <row r="1860" spans="1:24">
      <c r="A1860">
        <f>HYPERLINK("https://www.philgeps.gov.ph/GEPSNONPILOT/Tender/SplashBidNoticeAbstractUI.aspx?menuIndex=3&amp;refID=7078479&amp;Result=3","7078479")</f>
        <v>0</v>
      </c>
      <c r="B1860" t="s">
        <v>825</v>
      </c>
      <c r="C1860" t="s">
        <v>5167</v>
      </c>
      <c r="D1860" t="s">
        <v>16639</v>
      </c>
      <c r="E1860" t="s">
        <v>18438</v>
      </c>
      <c r="F1860" t="s">
        <v>28669</v>
      </c>
      <c r="G1860" t="s">
        <v>28676</v>
      </c>
      <c r="H1860" t="s">
        <v>28684</v>
      </c>
      <c r="I1860" t="s">
        <v>28756</v>
      </c>
      <c r="J1860" t="s">
        <v>30097</v>
      </c>
      <c r="K1860" t="s">
        <v>37304</v>
      </c>
      <c r="M1860" t="s">
        <v>38341</v>
      </c>
      <c r="N1860" t="s">
        <v>41249</v>
      </c>
      <c r="O1860" t="s">
        <v>41250</v>
      </c>
      <c r="P1860">
        <v>0</v>
      </c>
      <c r="Q1860">
        <v>0</v>
      </c>
      <c r="R1860" t="s">
        <v>41251</v>
      </c>
      <c r="S1860" t="s">
        <v>41369</v>
      </c>
      <c r="T1860" t="s">
        <v>42675</v>
      </c>
      <c r="U1860" t="s">
        <v>44817</v>
      </c>
      <c r="V1860" t="s">
        <v>54484</v>
      </c>
      <c r="W1860" t="s">
        <v>38341</v>
      </c>
      <c r="X1860" t="s">
        <v>41252</v>
      </c>
    </row>
    <row r="1861" spans="1:24">
      <c r="A1861">
        <f>HYPERLINK("https://www.philgeps.gov.ph/GEPSNONPILOT/Tender/SplashBidNoticeAbstractUI.aspx?menuIndex=3&amp;refID=7078460&amp;Result=3","7078460")</f>
        <v>0</v>
      </c>
      <c r="B1861" t="s">
        <v>422</v>
      </c>
      <c r="C1861" t="s">
        <v>5168</v>
      </c>
      <c r="D1861" t="s">
        <v>16640</v>
      </c>
      <c r="E1861" t="s">
        <v>18439</v>
      </c>
      <c r="F1861" t="s">
        <v>28669</v>
      </c>
      <c r="G1861" t="s">
        <v>28676</v>
      </c>
      <c r="H1861" t="s">
        <v>9998</v>
      </c>
      <c r="I1861" t="s">
        <v>28717</v>
      </c>
      <c r="J1861" t="s">
        <v>30098</v>
      </c>
      <c r="K1861" t="s">
        <v>37205</v>
      </c>
      <c r="M1861" t="s">
        <v>37907</v>
      </c>
      <c r="N1861" t="s">
        <v>41249</v>
      </c>
      <c r="O1861" t="s">
        <v>41250</v>
      </c>
      <c r="P1861">
        <v>0</v>
      </c>
      <c r="Q1861">
        <v>2</v>
      </c>
      <c r="R1861" t="s">
        <v>41251</v>
      </c>
      <c r="S1861" t="s">
        <v>41369</v>
      </c>
      <c r="T1861" t="s">
        <v>42673</v>
      </c>
      <c r="U1861" t="s">
        <v>43895</v>
      </c>
      <c r="W1861" t="s">
        <v>55917</v>
      </c>
      <c r="X1861" t="s">
        <v>41252</v>
      </c>
    </row>
    <row r="1862" spans="1:24">
      <c r="A1862">
        <f>HYPERLINK("https://www.philgeps.gov.ph/GEPSNONPILOT/Tender/SplashBidNoticeAbstractUI.aspx?menuIndex=3&amp;refID=7078412&amp;Result=3","7078412")</f>
        <v>0</v>
      </c>
      <c r="B1862" t="s">
        <v>607</v>
      </c>
      <c r="C1862" t="s">
        <v>5169</v>
      </c>
      <c r="D1862" t="s">
        <v>16657</v>
      </c>
      <c r="E1862" t="s">
        <v>18440</v>
      </c>
      <c r="F1862" t="s">
        <v>28669</v>
      </c>
      <c r="G1862" t="s">
        <v>28678</v>
      </c>
      <c r="H1862" t="s">
        <v>9998</v>
      </c>
      <c r="I1862" t="s">
        <v>28699</v>
      </c>
      <c r="J1862" t="s">
        <v>28863</v>
      </c>
      <c r="K1862" t="s">
        <v>37209</v>
      </c>
      <c r="M1862" t="s">
        <v>38107</v>
      </c>
      <c r="N1862" t="s">
        <v>41249</v>
      </c>
      <c r="O1862" t="s">
        <v>41250</v>
      </c>
      <c r="P1862">
        <v>0</v>
      </c>
      <c r="Q1862">
        <v>0</v>
      </c>
      <c r="R1862" t="s">
        <v>41251</v>
      </c>
      <c r="S1862" t="s">
        <v>41369</v>
      </c>
      <c r="T1862" t="s">
        <v>42711</v>
      </c>
      <c r="U1862" t="s">
        <v>44818</v>
      </c>
      <c r="W1862" t="s">
        <v>38107</v>
      </c>
      <c r="X1862" t="s">
        <v>41252</v>
      </c>
    </row>
    <row r="1863" spans="1:24">
      <c r="A1863">
        <f>HYPERLINK("https://www.philgeps.gov.ph/GEPSNONPILOT/Tender/SplashBidNoticeAbstractUI.aspx?menuIndex=3&amp;refID=7078482&amp;Result=3","7078482")</f>
        <v>0</v>
      </c>
      <c r="B1863" t="s">
        <v>826</v>
      </c>
      <c r="C1863" t="s">
        <v>5170</v>
      </c>
      <c r="D1863" t="s">
        <v>16626</v>
      </c>
      <c r="E1863" t="s">
        <v>18441</v>
      </c>
      <c r="F1863" t="s">
        <v>28669</v>
      </c>
      <c r="G1863" t="s">
        <v>28675</v>
      </c>
      <c r="H1863" t="s">
        <v>28686</v>
      </c>
      <c r="I1863" t="s">
        <v>28689</v>
      </c>
      <c r="J1863" t="s">
        <v>30099</v>
      </c>
      <c r="K1863" t="s">
        <v>37305</v>
      </c>
      <c r="M1863" t="s">
        <v>38342</v>
      </c>
      <c r="N1863" t="s">
        <v>41249</v>
      </c>
      <c r="O1863" t="s">
        <v>41250</v>
      </c>
      <c r="P1863">
        <v>0</v>
      </c>
      <c r="Q1863">
        <v>1</v>
      </c>
      <c r="R1863" t="s">
        <v>41251</v>
      </c>
      <c r="S1863" t="s">
        <v>41369</v>
      </c>
      <c r="T1863" t="s">
        <v>42722</v>
      </c>
      <c r="U1863" t="s">
        <v>44819</v>
      </c>
      <c r="W1863" t="s">
        <v>38342</v>
      </c>
      <c r="X1863" t="s">
        <v>41252</v>
      </c>
    </row>
    <row r="1864" spans="1:24">
      <c r="A1864">
        <f>HYPERLINK("https://www.philgeps.gov.ph/GEPSNONPILOT/Tender/SplashBidNoticeAbstractUI.aspx?menuIndex=3&amp;refID=7078410&amp;Result=3","7078410")</f>
        <v>0</v>
      </c>
      <c r="B1864" t="s">
        <v>778</v>
      </c>
      <c r="C1864" t="s">
        <v>5171</v>
      </c>
      <c r="D1864" t="s">
        <v>16675</v>
      </c>
      <c r="E1864" t="s">
        <v>18442</v>
      </c>
      <c r="F1864" t="s">
        <v>28669</v>
      </c>
      <c r="G1864" t="s">
        <v>28676</v>
      </c>
      <c r="H1864" t="s">
        <v>9998</v>
      </c>
      <c r="I1864" t="s">
        <v>28690</v>
      </c>
      <c r="J1864" t="s">
        <v>28838</v>
      </c>
      <c r="K1864" t="s">
        <v>37210</v>
      </c>
      <c r="M1864" t="s">
        <v>38292</v>
      </c>
      <c r="N1864" t="s">
        <v>41249</v>
      </c>
      <c r="O1864" t="s">
        <v>41250</v>
      </c>
      <c r="P1864">
        <v>0</v>
      </c>
      <c r="Q1864">
        <v>2</v>
      </c>
      <c r="R1864" t="s">
        <v>41251</v>
      </c>
      <c r="S1864" t="s">
        <v>41369</v>
      </c>
      <c r="T1864" t="s">
        <v>42711</v>
      </c>
      <c r="U1864" t="s">
        <v>44820</v>
      </c>
      <c r="W1864" t="s">
        <v>38292</v>
      </c>
      <c r="X1864" t="s">
        <v>41252</v>
      </c>
    </row>
    <row r="1865" spans="1:24">
      <c r="A1865">
        <f>HYPERLINK("https://www.philgeps.gov.ph/GEPSNONPILOT/Tender/SplashBidNoticeAbstractUI.aspx?menuIndex=3&amp;refID=7078463&amp;Result=3","7078463")</f>
        <v>0</v>
      </c>
      <c r="B1865" t="s">
        <v>208</v>
      </c>
      <c r="C1865" t="s">
        <v>5172</v>
      </c>
      <c r="D1865" t="s">
        <v>16674</v>
      </c>
      <c r="E1865" t="s">
        <v>18443</v>
      </c>
      <c r="F1865" t="s">
        <v>28669</v>
      </c>
      <c r="G1865" t="s">
        <v>28675</v>
      </c>
      <c r="H1865" t="s">
        <v>28686</v>
      </c>
      <c r="I1865" t="s">
        <v>28689</v>
      </c>
      <c r="J1865" t="s">
        <v>30100</v>
      </c>
      <c r="K1865" t="s">
        <v>37214</v>
      </c>
      <c r="M1865" t="s">
        <v>37686</v>
      </c>
      <c r="N1865" t="s">
        <v>41249</v>
      </c>
      <c r="O1865" t="s">
        <v>41250</v>
      </c>
      <c r="P1865">
        <v>0</v>
      </c>
      <c r="Q1865">
        <v>0</v>
      </c>
      <c r="R1865" t="s">
        <v>41251</v>
      </c>
      <c r="S1865" t="s">
        <v>41369</v>
      </c>
      <c r="T1865" t="s">
        <v>42756</v>
      </c>
      <c r="U1865" t="s">
        <v>43513</v>
      </c>
      <c r="W1865" t="s">
        <v>37686</v>
      </c>
      <c r="X1865" t="s">
        <v>41252</v>
      </c>
    </row>
    <row r="1866" spans="1:24">
      <c r="A1866">
        <f>HYPERLINK("https://www.philgeps.gov.ph/GEPSNONPILOT/Tender/SplashBidNoticeAbstractUI.aspx?menuIndex=3&amp;refID=7078408&amp;Result=3","7078408")</f>
        <v>0</v>
      </c>
      <c r="B1866" t="s">
        <v>383</v>
      </c>
      <c r="C1866" t="s">
        <v>5173</v>
      </c>
      <c r="D1866" t="s">
        <v>16660</v>
      </c>
      <c r="E1866" t="s">
        <v>18444</v>
      </c>
      <c r="F1866" t="s">
        <v>28669</v>
      </c>
      <c r="G1866" t="s">
        <v>28676</v>
      </c>
      <c r="H1866" t="s">
        <v>28686</v>
      </c>
      <c r="I1866" t="s">
        <v>28689</v>
      </c>
      <c r="J1866" t="s">
        <v>30101</v>
      </c>
      <c r="K1866" t="s">
        <v>37227</v>
      </c>
      <c r="M1866" t="s">
        <v>37867</v>
      </c>
      <c r="N1866" t="s">
        <v>41249</v>
      </c>
      <c r="O1866" t="s">
        <v>41250</v>
      </c>
      <c r="P1866">
        <v>0</v>
      </c>
      <c r="Q1866">
        <v>0</v>
      </c>
      <c r="R1866" t="s">
        <v>41251</v>
      </c>
      <c r="S1866" t="s">
        <v>41369</v>
      </c>
      <c r="T1866" t="s">
        <v>42690</v>
      </c>
      <c r="U1866" t="s">
        <v>44821</v>
      </c>
      <c r="W1866" t="s">
        <v>37867</v>
      </c>
      <c r="X1866" t="s">
        <v>41252</v>
      </c>
    </row>
    <row r="1867" spans="1:24">
      <c r="A1867">
        <f>HYPERLINK("https://www.philgeps.gov.ph/GEPSNONPILOT/Tender/SplashBidNoticeAbstractUI.aspx?menuIndex=3&amp;refID=7078405&amp;Result=3","7078405")</f>
        <v>0</v>
      </c>
      <c r="B1867" t="s">
        <v>147</v>
      </c>
      <c r="C1867" t="s">
        <v>5174</v>
      </c>
      <c r="D1867" t="s">
        <v>16631</v>
      </c>
      <c r="E1867" t="s">
        <v>18445</v>
      </c>
      <c r="F1867" t="s">
        <v>28669</v>
      </c>
      <c r="G1867" t="s">
        <v>28676</v>
      </c>
      <c r="H1867" t="s">
        <v>9998</v>
      </c>
      <c r="I1867" t="s">
        <v>28704</v>
      </c>
      <c r="J1867" t="s">
        <v>28989</v>
      </c>
      <c r="K1867" t="s">
        <v>37205</v>
      </c>
      <c r="M1867" t="s">
        <v>37624</v>
      </c>
      <c r="N1867" t="s">
        <v>41249</v>
      </c>
      <c r="O1867" t="s">
        <v>41250</v>
      </c>
      <c r="P1867">
        <v>0</v>
      </c>
      <c r="Q1867">
        <v>1</v>
      </c>
      <c r="R1867" t="s">
        <v>41251</v>
      </c>
      <c r="S1867" t="s">
        <v>41369</v>
      </c>
      <c r="T1867" t="s">
        <v>42714</v>
      </c>
      <c r="U1867" t="s">
        <v>44822</v>
      </c>
      <c r="W1867" t="s">
        <v>37624</v>
      </c>
      <c r="X1867" t="s">
        <v>41252</v>
      </c>
    </row>
    <row r="1868" spans="1:24">
      <c r="A1868">
        <f>HYPERLINK("https://www.philgeps.gov.ph/GEPSNONPILOT/Tender/SplashBidNoticeAbstractUI.aspx?menuIndex=3&amp;refID=7078378&amp;Result=3","7078378")</f>
        <v>0</v>
      </c>
      <c r="B1868" t="s">
        <v>782</v>
      </c>
      <c r="C1868" t="s">
        <v>5175</v>
      </c>
      <c r="D1868" t="s">
        <v>16658</v>
      </c>
      <c r="E1868" t="s">
        <v>18446</v>
      </c>
      <c r="F1868" t="s">
        <v>28669</v>
      </c>
      <c r="G1868" t="s">
        <v>28675</v>
      </c>
      <c r="H1868" t="s">
        <v>9998</v>
      </c>
      <c r="I1868" t="s">
        <v>7352</v>
      </c>
      <c r="J1868" t="s">
        <v>30102</v>
      </c>
      <c r="K1868" t="s">
        <v>37205</v>
      </c>
      <c r="M1868" t="s">
        <v>38296</v>
      </c>
      <c r="N1868" t="s">
        <v>41249</v>
      </c>
      <c r="O1868" t="s">
        <v>41250</v>
      </c>
      <c r="P1868">
        <v>0</v>
      </c>
      <c r="Q1868">
        <v>0</v>
      </c>
      <c r="R1868" t="s">
        <v>41251</v>
      </c>
      <c r="S1868" t="s">
        <v>41369</v>
      </c>
      <c r="T1868" t="s">
        <v>42836</v>
      </c>
      <c r="U1868" t="s">
        <v>44823</v>
      </c>
      <c r="W1868" t="s">
        <v>38296</v>
      </c>
      <c r="X1868" t="s">
        <v>41252</v>
      </c>
    </row>
    <row r="1869" spans="1:24">
      <c r="A1869">
        <f>HYPERLINK("https://www.philgeps.gov.ph/GEPSNONPILOT/Tender/SplashBidNoticeAbstractUI.aspx?menuIndex=3&amp;refID=7078411&amp;Result=3","7078411")</f>
        <v>0</v>
      </c>
      <c r="B1869" t="s">
        <v>827</v>
      </c>
      <c r="C1869" t="s">
        <v>5176</v>
      </c>
      <c r="D1869" t="s">
        <v>16611</v>
      </c>
      <c r="E1869" t="s">
        <v>18447</v>
      </c>
      <c r="F1869" t="s">
        <v>28669</v>
      </c>
      <c r="G1869" t="s">
        <v>28676</v>
      </c>
      <c r="H1869" t="s">
        <v>9998</v>
      </c>
      <c r="I1869" t="s">
        <v>28693</v>
      </c>
      <c r="J1869" t="s">
        <v>30103</v>
      </c>
      <c r="K1869" t="s">
        <v>37206</v>
      </c>
      <c r="M1869" t="s">
        <v>38343</v>
      </c>
      <c r="N1869" t="s">
        <v>41249</v>
      </c>
      <c r="O1869" t="s">
        <v>41250</v>
      </c>
      <c r="P1869">
        <v>0</v>
      </c>
      <c r="Q1869">
        <v>3</v>
      </c>
      <c r="R1869" t="s">
        <v>41251</v>
      </c>
      <c r="S1869" t="s">
        <v>41369</v>
      </c>
      <c r="T1869" t="s">
        <v>42754</v>
      </c>
      <c r="U1869" t="s">
        <v>44824</v>
      </c>
      <c r="W1869" t="s">
        <v>38343</v>
      </c>
      <c r="X1869" t="s">
        <v>41252</v>
      </c>
    </row>
    <row r="1870" spans="1:24">
      <c r="A1870">
        <f>HYPERLINK("https://www.philgeps.gov.ph/GEPSNONPILOT/Tender/SplashBidNoticeAbstractUI.aspx?menuIndex=3&amp;refID=7078409&amp;Result=3","7078409")</f>
        <v>0</v>
      </c>
      <c r="B1870" t="s">
        <v>46</v>
      </c>
      <c r="C1870" t="s">
        <v>5177</v>
      </c>
      <c r="D1870" t="s">
        <v>16627</v>
      </c>
      <c r="E1870" t="s">
        <v>18448</v>
      </c>
      <c r="F1870" t="s">
        <v>28669</v>
      </c>
      <c r="G1870" t="s">
        <v>28675</v>
      </c>
      <c r="H1870" t="s">
        <v>28686</v>
      </c>
      <c r="I1870" t="s">
        <v>28689</v>
      </c>
      <c r="J1870" t="s">
        <v>28879</v>
      </c>
      <c r="K1870" t="s">
        <v>37209</v>
      </c>
      <c r="M1870" t="s">
        <v>37521</v>
      </c>
      <c r="N1870" t="s">
        <v>41249</v>
      </c>
      <c r="O1870" t="s">
        <v>41250</v>
      </c>
      <c r="P1870">
        <v>0</v>
      </c>
      <c r="Q1870">
        <v>0</v>
      </c>
      <c r="R1870" t="s">
        <v>41251</v>
      </c>
      <c r="S1870" t="s">
        <v>41369</v>
      </c>
      <c r="T1870" t="s">
        <v>42695</v>
      </c>
      <c r="U1870" t="s">
        <v>44825</v>
      </c>
      <c r="W1870" t="s">
        <v>37521</v>
      </c>
      <c r="X1870" t="s">
        <v>41252</v>
      </c>
    </row>
    <row r="1871" spans="1:24">
      <c r="A1871">
        <f>HYPERLINK("https://www.philgeps.gov.ph/GEPSNONPILOT/Tender/SplashBidNoticeAbstractUI.aspx?menuIndex=3&amp;refID=7078346&amp;Result=3","7078346")</f>
        <v>0</v>
      </c>
      <c r="B1871" t="s">
        <v>73</v>
      </c>
      <c r="C1871" t="s">
        <v>5178</v>
      </c>
      <c r="D1871" t="s">
        <v>16645</v>
      </c>
      <c r="E1871" t="s">
        <v>18449</v>
      </c>
      <c r="F1871" t="s">
        <v>28669</v>
      </c>
      <c r="G1871" t="s">
        <v>28675</v>
      </c>
      <c r="H1871" t="s">
        <v>28686</v>
      </c>
      <c r="I1871" t="s">
        <v>28702</v>
      </c>
      <c r="J1871" t="s">
        <v>28914</v>
      </c>
      <c r="K1871" t="s">
        <v>37216</v>
      </c>
      <c r="M1871" t="s">
        <v>37548</v>
      </c>
      <c r="N1871" t="s">
        <v>41249</v>
      </c>
      <c r="O1871" t="s">
        <v>41250</v>
      </c>
      <c r="P1871">
        <v>0</v>
      </c>
      <c r="Q1871">
        <v>4</v>
      </c>
      <c r="R1871" t="s">
        <v>41251</v>
      </c>
      <c r="S1871" t="s">
        <v>41369</v>
      </c>
      <c r="T1871" t="s">
        <v>42700</v>
      </c>
      <c r="U1871" t="s">
        <v>44826</v>
      </c>
      <c r="W1871" t="s">
        <v>37548</v>
      </c>
      <c r="X1871" t="s">
        <v>41252</v>
      </c>
    </row>
    <row r="1872" spans="1:24">
      <c r="A1872">
        <f>HYPERLINK("https://www.philgeps.gov.ph/GEPSNONPILOT/Tender/SplashBidNoticeAbstractUI.aspx?menuIndex=3&amp;refID=7078345&amp;Result=3","7078345")</f>
        <v>0</v>
      </c>
      <c r="B1872" t="s">
        <v>828</v>
      </c>
      <c r="C1872" t="s">
        <v>5179</v>
      </c>
      <c r="D1872" t="s">
        <v>16648</v>
      </c>
      <c r="E1872" t="s">
        <v>16807</v>
      </c>
      <c r="F1872" t="s">
        <v>28672</v>
      </c>
      <c r="G1872" t="s">
        <v>28677</v>
      </c>
      <c r="H1872" t="s">
        <v>9998</v>
      </c>
      <c r="I1872" t="s">
        <v>6606</v>
      </c>
      <c r="J1872" t="s">
        <v>30104</v>
      </c>
      <c r="K1872" t="s">
        <v>37208</v>
      </c>
      <c r="M1872" t="s">
        <v>38344</v>
      </c>
      <c r="N1872" t="s">
        <v>41249</v>
      </c>
      <c r="O1872" t="s">
        <v>41250</v>
      </c>
      <c r="P1872">
        <v>0</v>
      </c>
      <c r="Q1872">
        <v>0</v>
      </c>
      <c r="R1872" t="s">
        <v>41251</v>
      </c>
      <c r="S1872" t="s">
        <v>41369</v>
      </c>
      <c r="T1872" t="s">
        <v>42736</v>
      </c>
      <c r="U1872" t="s">
        <v>44827</v>
      </c>
      <c r="W1872" t="s">
        <v>38344</v>
      </c>
      <c r="X1872" t="s">
        <v>41252</v>
      </c>
    </row>
    <row r="1873" spans="1:24">
      <c r="A1873">
        <f>HYPERLINK("https://www.philgeps.gov.ph/GEPSNONPILOT/Tender/SplashBidNoticeAbstractUI.aspx?menuIndex=3&amp;refID=7078344&amp;Result=3","7078344")</f>
        <v>0</v>
      </c>
      <c r="B1873" t="s">
        <v>787</v>
      </c>
      <c r="C1873" t="s">
        <v>5180</v>
      </c>
      <c r="D1873" t="s">
        <v>16608</v>
      </c>
      <c r="E1873" t="s">
        <v>18450</v>
      </c>
      <c r="F1873" t="s">
        <v>28669</v>
      </c>
      <c r="G1873" t="s">
        <v>28677</v>
      </c>
      <c r="H1873" t="s">
        <v>28686</v>
      </c>
      <c r="I1873" t="s">
        <v>28689</v>
      </c>
      <c r="J1873" t="s">
        <v>28826</v>
      </c>
      <c r="K1873" t="s">
        <v>37210</v>
      </c>
      <c r="M1873" t="s">
        <v>38301</v>
      </c>
      <c r="N1873" t="s">
        <v>41249</v>
      </c>
      <c r="O1873" t="s">
        <v>41250</v>
      </c>
      <c r="P1873">
        <v>0</v>
      </c>
      <c r="Q1873">
        <v>0</v>
      </c>
      <c r="R1873" t="s">
        <v>41251</v>
      </c>
      <c r="S1873" t="s">
        <v>41369</v>
      </c>
      <c r="T1873" t="s">
        <v>42665</v>
      </c>
      <c r="U1873" t="s">
        <v>44828</v>
      </c>
      <c r="W1873" t="s">
        <v>38301</v>
      </c>
      <c r="X1873" t="s">
        <v>41252</v>
      </c>
    </row>
    <row r="1874" spans="1:24">
      <c r="A1874">
        <f>HYPERLINK("https://www.philgeps.gov.ph/GEPSNONPILOT/Tender/SplashBidNoticeAbstractUI.aspx?menuIndex=3&amp;refID=7078523&amp;Result=3","7078523")</f>
        <v>0</v>
      </c>
      <c r="B1874" t="s">
        <v>823</v>
      </c>
      <c r="C1874" t="s">
        <v>5181</v>
      </c>
      <c r="D1874" t="s">
        <v>16626</v>
      </c>
      <c r="E1874" t="s">
        <v>18451</v>
      </c>
      <c r="F1874" t="s">
        <v>28669</v>
      </c>
      <c r="G1874" t="s">
        <v>28675</v>
      </c>
      <c r="H1874" t="s">
        <v>28684</v>
      </c>
      <c r="I1874" t="s">
        <v>28726</v>
      </c>
      <c r="J1874" t="s">
        <v>30092</v>
      </c>
      <c r="K1874" t="s">
        <v>37234</v>
      </c>
      <c r="M1874" t="s">
        <v>38339</v>
      </c>
      <c r="N1874" t="s">
        <v>41249</v>
      </c>
      <c r="O1874" t="s">
        <v>41250</v>
      </c>
      <c r="P1874">
        <v>0</v>
      </c>
      <c r="Q1874">
        <v>0</v>
      </c>
      <c r="R1874" t="s">
        <v>41251</v>
      </c>
      <c r="S1874" t="s">
        <v>41369</v>
      </c>
      <c r="T1874" t="s">
        <v>42696</v>
      </c>
      <c r="U1874" t="s">
        <v>44829</v>
      </c>
      <c r="W1874" t="s">
        <v>38339</v>
      </c>
      <c r="X1874" t="s">
        <v>41252</v>
      </c>
    </row>
    <row r="1875" spans="1:24">
      <c r="A1875">
        <f>HYPERLINK("https://www.philgeps.gov.ph/GEPSNONPILOT/Tender/SplashBidNoticeAbstractUI.aspx?menuIndex=3&amp;refID=7078522&amp;Result=3","7078522")</f>
        <v>0</v>
      </c>
      <c r="B1875" t="s">
        <v>653</v>
      </c>
      <c r="C1875" t="s">
        <v>5182</v>
      </c>
      <c r="D1875" t="s">
        <v>16679</v>
      </c>
      <c r="E1875" t="s">
        <v>18452</v>
      </c>
      <c r="F1875" t="s">
        <v>28669</v>
      </c>
      <c r="G1875" t="s">
        <v>28676</v>
      </c>
      <c r="H1875" t="s">
        <v>9998</v>
      </c>
      <c r="I1875" t="s">
        <v>28693</v>
      </c>
      <c r="J1875" t="s">
        <v>29206</v>
      </c>
      <c r="K1875" t="s">
        <v>37206</v>
      </c>
      <c r="M1875" t="s">
        <v>38154</v>
      </c>
      <c r="N1875" t="s">
        <v>41249</v>
      </c>
      <c r="O1875" t="s">
        <v>41250</v>
      </c>
      <c r="P1875">
        <v>0</v>
      </c>
      <c r="Q1875">
        <v>8</v>
      </c>
      <c r="R1875" t="s">
        <v>41251</v>
      </c>
      <c r="S1875" t="s">
        <v>41369</v>
      </c>
      <c r="T1875" t="s">
        <v>42703</v>
      </c>
      <c r="U1875" t="s">
        <v>44830</v>
      </c>
      <c r="W1875" t="s">
        <v>38154</v>
      </c>
      <c r="X1875" t="s">
        <v>41252</v>
      </c>
    </row>
    <row r="1876" spans="1:24">
      <c r="A1876">
        <f>HYPERLINK("https://www.philgeps.gov.ph/GEPSNONPILOT/Tender/SplashBidNoticeAbstractUI.aspx?menuIndex=3&amp;refID=7078521&amp;Result=3","7078521")</f>
        <v>0</v>
      </c>
      <c r="B1876" t="s">
        <v>829</v>
      </c>
      <c r="C1876" t="s">
        <v>5183</v>
      </c>
      <c r="D1876" t="s">
        <v>16640</v>
      </c>
      <c r="E1876" t="s">
        <v>18453</v>
      </c>
      <c r="F1876" t="s">
        <v>28669</v>
      </c>
      <c r="G1876" t="s">
        <v>28677</v>
      </c>
      <c r="H1876" t="s">
        <v>9998</v>
      </c>
      <c r="I1876" t="s">
        <v>6128</v>
      </c>
      <c r="J1876" t="s">
        <v>30105</v>
      </c>
      <c r="K1876" t="s">
        <v>37206</v>
      </c>
      <c r="L1876" t="s">
        <v>829</v>
      </c>
      <c r="M1876" t="s">
        <v>38345</v>
      </c>
      <c r="N1876" t="s">
        <v>41249</v>
      </c>
      <c r="O1876" t="s">
        <v>41250</v>
      </c>
      <c r="P1876">
        <v>0</v>
      </c>
      <c r="Q1876">
        <v>0</v>
      </c>
      <c r="R1876" t="s">
        <v>41251</v>
      </c>
      <c r="S1876" t="s">
        <v>41369</v>
      </c>
      <c r="T1876" t="s">
        <v>42757</v>
      </c>
      <c r="U1876" t="s">
        <v>44831</v>
      </c>
      <c r="W1876" t="s">
        <v>38345</v>
      </c>
      <c r="X1876" t="s">
        <v>41252</v>
      </c>
    </row>
    <row r="1877" spans="1:24">
      <c r="A1877">
        <f>HYPERLINK("https://www.philgeps.gov.ph/GEPSNONPILOT/Tender/SplashBidNoticeAbstractUI.aspx?menuIndex=3&amp;refID=7078413&amp;Result=3","7078413")</f>
        <v>0</v>
      </c>
      <c r="B1877" t="s">
        <v>655</v>
      </c>
      <c r="C1877" t="s">
        <v>5184</v>
      </c>
      <c r="D1877" t="s">
        <v>16624</v>
      </c>
      <c r="E1877" t="s">
        <v>18454</v>
      </c>
      <c r="F1877" t="s">
        <v>28669</v>
      </c>
      <c r="G1877" t="s">
        <v>28677</v>
      </c>
      <c r="H1877" t="s">
        <v>9998</v>
      </c>
      <c r="I1877" t="s">
        <v>28697</v>
      </c>
      <c r="J1877" t="s">
        <v>30106</v>
      </c>
      <c r="K1877" t="s">
        <v>37221</v>
      </c>
      <c r="M1877" t="s">
        <v>38156</v>
      </c>
      <c r="N1877" t="s">
        <v>41249</v>
      </c>
      <c r="O1877" t="s">
        <v>41250</v>
      </c>
      <c r="P1877">
        <v>0</v>
      </c>
      <c r="Q1877">
        <v>6</v>
      </c>
      <c r="R1877" t="s">
        <v>41251</v>
      </c>
      <c r="S1877" t="s">
        <v>41369</v>
      </c>
      <c r="T1877" t="s">
        <v>42675</v>
      </c>
      <c r="U1877" t="s">
        <v>44832</v>
      </c>
      <c r="W1877" t="s">
        <v>38156</v>
      </c>
      <c r="X1877" t="s">
        <v>41252</v>
      </c>
    </row>
    <row r="1878" spans="1:24">
      <c r="A1878">
        <f>HYPERLINK("https://www.philgeps.gov.ph/GEPSNONPILOT/Tender/SplashBidNoticeAbstractUI.aspx?menuIndex=3&amp;refID=7078516&amp;Result=3","7078516")</f>
        <v>0</v>
      </c>
      <c r="B1878" t="s">
        <v>830</v>
      </c>
      <c r="C1878" t="s">
        <v>5185</v>
      </c>
      <c r="D1878" t="s">
        <v>16617</v>
      </c>
      <c r="E1878" t="s">
        <v>18326</v>
      </c>
      <c r="F1878" t="s">
        <v>28669</v>
      </c>
      <c r="G1878" t="s">
        <v>28676</v>
      </c>
      <c r="H1878" t="s">
        <v>9998</v>
      </c>
      <c r="I1878" t="s">
        <v>28717</v>
      </c>
      <c r="J1878" t="s">
        <v>30107</v>
      </c>
      <c r="K1878" t="s">
        <v>37208</v>
      </c>
      <c r="M1878" t="s">
        <v>38346</v>
      </c>
      <c r="N1878" t="s">
        <v>41249</v>
      </c>
      <c r="O1878" t="s">
        <v>41250</v>
      </c>
      <c r="P1878">
        <v>0</v>
      </c>
      <c r="Q1878">
        <v>1</v>
      </c>
      <c r="R1878" t="s">
        <v>41251</v>
      </c>
      <c r="S1878" t="s">
        <v>41369</v>
      </c>
      <c r="T1878" t="s">
        <v>42717</v>
      </c>
      <c r="U1878" t="s">
        <v>44833</v>
      </c>
      <c r="W1878" t="s">
        <v>38346</v>
      </c>
      <c r="X1878" t="s">
        <v>41252</v>
      </c>
    </row>
    <row r="1879" spans="1:24">
      <c r="A1879">
        <f>HYPERLINK("https://www.philgeps.gov.ph/GEPSNONPILOT/Tender/SplashBidNoticeAbstractUI.aspx?menuIndex=3&amp;refID=7078380&amp;Result=3","7078380")</f>
        <v>0</v>
      </c>
      <c r="B1879" t="s">
        <v>771</v>
      </c>
      <c r="C1879" t="s">
        <v>5186</v>
      </c>
      <c r="D1879" t="s">
        <v>16608</v>
      </c>
      <c r="E1879" t="s">
        <v>18455</v>
      </c>
      <c r="F1879" t="s">
        <v>28669</v>
      </c>
      <c r="G1879" t="s">
        <v>28675</v>
      </c>
      <c r="H1879" t="s">
        <v>9998</v>
      </c>
      <c r="I1879" t="s">
        <v>6128</v>
      </c>
      <c r="J1879" t="s">
        <v>30108</v>
      </c>
      <c r="K1879" t="s">
        <v>37206</v>
      </c>
      <c r="M1879" t="s">
        <v>38285</v>
      </c>
      <c r="N1879" t="s">
        <v>41249</v>
      </c>
      <c r="O1879" t="s">
        <v>41250</v>
      </c>
      <c r="P1879">
        <v>0</v>
      </c>
      <c r="Q1879">
        <v>0</v>
      </c>
      <c r="R1879" t="s">
        <v>41251</v>
      </c>
      <c r="S1879" t="s">
        <v>41369</v>
      </c>
      <c r="T1879" t="s">
        <v>42803</v>
      </c>
      <c r="U1879" t="s">
        <v>44756</v>
      </c>
      <c r="V1879" t="s">
        <v>54466</v>
      </c>
      <c r="W1879" t="s">
        <v>38285</v>
      </c>
      <c r="X1879" t="s">
        <v>41252</v>
      </c>
    </row>
    <row r="1880" spans="1:24">
      <c r="A1880">
        <f>HYPERLINK("https://www.philgeps.gov.ph/GEPSNONPILOT/Tender/SplashBidNoticeAbstractUI.aspx?menuIndex=3&amp;refID=7078513&amp;Result=3","7078513")</f>
        <v>0</v>
      </c>
      <c r="B1880" t="s">
        <v>819</v>
      </c>
      <c r="C1880" t="s">
        <v>5187</v>
      </c>
      <c r="D1880" t="s">
        <v>16640</v>
      </c>
      <c r="E1880" t="s">
        <v>18456</v>
      </c>
      <c r="F1880" t="s">
        <v>28669</v>
      </c>
      <c r="G1880" t="s">
        <v>28676</v>
      </c>
      <c r="H1880" t="s">
        <v>9998</v>
      </c>
      <c r="I1880" t="s">
        <v>28741</v>
      </c>
      <c r="J1880" t="s">
        <v>30109</v>
      </c>
      <c r="K1880" t="s">
        <v>37220</v>
      </c>
      <c r="M1880" t="s">
        <v>38335</v>
      </c>
      <c r="N1880" t="s">
        <v>41249</v>
      </c>
      <c r="O1880" t="s">
        <v>41250</v>
      </c>
      <c r="P1880">
        <v>0</v>
      </c>
      <c r="Q1880">
        <v>1</v>
      </c>
      <c r="R1880" t="s">
        <v>41251</v>
      </c>
      <c r="S1880" t="s">
        <v>41369</v>
      </c>
      <c r="T1880" t="s">
        <v>42682</v>
      </c>
      <c r="U1880" t="s">
        <v>44834</v>
      </c>
      <c r="W1880" t="s">
        <v>38335</v>
      </c>
      <c r="X1880" t="s">
        <v>41252</v>
      </c>
    </row>
    <row r="1881" spans="1:24">
      <c r="A1881">
        <f>HYPERLINK("https://www.philgeps.gov.ph/GEPSNONPILOT/Tender/SplashBidNoticeAbstractUI.aspx?menuIndex=3&amp;refID=7078510&amp;Result=3","7078510")</f>
        <v>0</v>
      </c>
      <c r="B1881" t="s">
        <v>367</v>
      </c>
      <c r="C1881" t="s">
        <v>5188</v>
      </c>
      <c r="D1881" t="s">
        <v>16626</v>
      </c>
      <c r="E1881" t="s">
        <v>18457</v>
      </c>
      <c r="F1881" t="s">
        <v>28669</v>
      </c>
      <c r="G1881" t="s">
        <v>28675</v>
      </c>
      <c r="H1881" t="s">
        <v>9998</v>
      </c>
      <c r="I1881" t="s">
        <v>3679</v>
      </c>
      <c r="J1881" t="s">
        <v>30110</v>
      </c>
      <c r="K1881" t="s">
        <v>37206</v>
      </c>
      <c r="M1881" t="s">
        <v>37849</v>
      </c>
      <c r="N1881" t="s">
        <v>41249</v>
      </c>
      <c r="O1881" t="s">
        <v>41250</v>
      </c>
      <c r="P1881">
        <v>0</v>
      </c>
      <c r="Q1881">
        <v>0</v>
      </c>
      <c r="R1881" t="s">
        <v>41251</v>
      </c>
      <c r="S1881" t="s">
        <v>41369</v>
      </c>
      <c r="T1881" t="s">
        <v>42714</v>
      </c>
      <c r="U1881" t="s">
        <v>44835</v>
      </c>
      <c r="W1881" t="s">
        <v>37849</v>
      </c>
      <c r="X1881" t="s">
        <v>41252</v>
      </c>
    </row>
    <row r="1882" spans="1:24">
      <c r="A1882">
        <f>HYPERLINK("https://www.philgeps.gov.ph/GEPSNONPILOT/Tender/SplashBidNoticeAbstractUI.aspx?menuIndex=3&amp;refID=7078461&amp;Result=3","7078461")</f>
        <v>0</v>
      </c>
      <c r="B1882" t="s">
        <v>454</v>
      </c>
      <c r="C1882" t="s">
        <v>5189</v>
      </c>
      <c r="D1882" t="s">
        <v>16643</v>
      </c>
      <c r="E1882" t="s">
        <v>17283</v>
      </c>
      <c r="F1882" t="s">
        <v>28669</v>
      </c>
      <c r="G1882" t="s">
        <v>28676</v>
      </c>
      <c r="H1882" t="s">
        <v>9998</v>
      </c>
      <c r="I1882" t="s">
        <v>28729</v>
      </c>
      <c r="J1882" t="s">
        <v>30111</v>
      </c>
      <c r="K1882" t="s">
        <v>37209</v>
      </c>
      <c r="M1882" t="s">
        <v>37942</v>
      </c>
      <c r="N1882" t="s">
        <v>41249</v>
      </c>
      <c r="O1882" t="s">
        <v>41250</v>
      </c>
      <c r="P1882">
        <v>0</v>
      </c>
      <c r="Q1882">
        <v>14</v>
      </c>
      <c r="R1882" t="s">
        <v>41251</v>
      </c>
      <c r="S1882" t="s">
        <v>41369</v>
      </c>
      <c r="T1882" t="s">
        <v>42679</v>
      </c>
      <c r="U1882" t="s">
        <v>44836</v>
      </c>
      <c r="W1882" t="s">
        <v>37942</v>
      </c>
      <c r="X1882" t="s">
        <v>41252</v>
      </c>
    </row>
    <row r="1883" spans="1:24">
      <c r="A1883">
        <f>HYPERLINK("https://www.philgeps.gov.ph/GEPSNONPILOT/Tender/SplashBidNoticeAbstractUI.aspx?menuIndex=3&amp;refID=7078520&amp;Result=3","7078520")</f>
        <v>0</v>
      </c>
      <c r="B1883" t="s">
        <v>831</v>
      </c>
      <c r="C1883" t="s">
        <v>5190</v>
      </c>
      <c r="D1883" t="s">
        <v>16622</v>
      </c>
      <c r="E1883" t="s">
        <v>18458</v>
      </c>
      <c r="F1883" t="s">
        <v>28669</v>
      </c>
      <c r="G1883" t="s">
        <v>28676</v>
      </c>
      <c r="H1883" t="s">
        <v>28686</v>
      </c>
      <c r="I1883" t="s">
        <v>28689</v>
      </c>
      <c r="J1883" t="s">
        <v>28905</v>
      </c>
      <c r="K1883" t="s">
        <v>37210</v>
      </c>
      <c r="M1883" t="s">
        <v>38347</v>
      </c>
      <c r="N1883" t="s">
        <v>41249</v>
      </c>
      <c r="O1883" t="s">
        <v>41250</v>
      </c>
      <c r="P1883">
        <v>0</v>
      </c>
      <c r="Q1883">
        <v>0</v>
      </c>
      <c r="R1883" t="s">
        <v>41251</v>
      </c>
      <c r="S1883" t="s">
        <v>41369</v>
      </c>
      <c r="T1883" t="s">
        <v>42745</v>
      </c>
      <c r="U1883" t="s">
        <v>44837</v>
      </c>
      <c r="W1883" t="s">
        <v>38347</v>
      </c>
      <c r="X1883" t="s">
        <v>41252</v>
      </c>
    </row>
    <row r="1884" spans="1:24">
      <c r="A1884">
        <f>HYPERLINK("https://www.philgeps.gov.ph/GEPSNONPILOT/Tender/SplashBidNoticeAbstractUI.aspx?menuIndex=3&amp;refID=7078507&amp;Result=3","7078507")</f>
        <v>0</v>
      </c>
      <c r="B1884" t="s">
        <v>92</v>
      </c>
      <c r="C1884" t="s">
        <v>5191</v>
      </c>
      <c r="D1884" t="s">
        <v>16653</v>
      </c>
      <c r="E1884" t="s">
        <v>5191</v>
      </c>
      <c r="F1884" t="s">
        <v>28669</v>
      </c>
      <c r="G1884" t="s">
        <v>28676</v>
      </c>
      <c r="H1884" t="s">
        <v>9998</v>
      </c>
      <c r="I1884" t="s">
        <v>7352</v>
      </c>
      <c r="J1884" t="s">
        <v>29424</v>
      </c>
      <c r="K1884" t="s">
        <v>37205</v>
      </c>
      <c r="L1884" t="s">
        <v>92</v>
      </c>
      <c r="M1884" t="s">
        <v>37567</v>
      </c>
      <c r="N1884" t="s">
        <v>41249</v>
      </c>
      <c r="O1884" t="s">
        <v>41250</v>
      </c>
      <c r="P1884">
        <v>0</v>
      </c>
      <c r="Q1884">
        <v>0</v>
      </c>
      <c r="R1884" t="s">
        <v>41251</v>
      </c>
      <c r="S1884" t="s">
        <v>41369</v>
      </c>
      <c r="T1884" t="s">
        <v>42694</v>
      </c>
      <c r="U1884" t="s">
        <v>44838</v>
      </c>
      <c r="W1884" t="s">
        <v>37567</v>
      </c>
      <c r="X1884" t="s">
        <v>41252</v>
      </c>
    </row>
    <row r="1885" spans="1:24">
      <c r="A1885">
        <f>HYPERLINK("https://www.philgeps.gov.ph/GEPSNONPILOT/Tender/SplashBidNoticeAbstractUI.aspx?menuIndex=3&amp;refID=7078515&amp;Result=3","7078515")</f>
        <v>0</v>
      </c>
      <c r="B1885" t="s">
        <v>832</v>
      </c>
      <c r="C1885" t="s">
        <v>5192</v>
      </c>
      <c r="D1885" t="s">
        <v>16657</v>
      </c>
      <c r="E1885" t="s">
        <v>18459</v>
      </c>
      <c r="F1885" t="s">
        <v>28669</v>
      </c>
      <c r="G1885" t="s">
        <v>28675</v>
      </c>
      <c r="H1885" t="s">
        <v>28686</v>
      </c>
      <c r="I1885" t="s">
        <v>28689</v>
      </c>
      <c r="J1885" t="s">
        <v>30112</v>
      </c>
      <c r="K1885" t="s">
        <v>37209</v>
      </c>
      <c r="M1885" t="s">
        <v>38348</v>
      </c>
      <c r="N1885" t="s">
        <v>41249</v>
      </c>
      <c r="O1885" t="s">
        <v>41250</v>
      </c>
      <c r="P1885">
        <v>0</v>
      </c>
      <c r="Q1885">
        <v>1</v>
      </c>
      <c r="R1885" t="s">
        <v>41251</v>
      </c>
      <c r="S1885" t="s">
        <v>41369</v>
      </c>
      <c r="T1885" t="s">
        <v>42683</v>
      </c>
      <c r="U1885" t="s">
        <v>44839</v>
      </c>
      <c r="V1885" t="s">
        <v>54485</v>
      </c>
      <c r="W1885" t="s">
        <v>38348</v>
      </c>
      <c r="X1885" t="s">
        <v>41252</v>
      </c>
    </row>
    <row r="1886" spans="1:24">
      <c r="A1886">
        <f>HYPERLINK("https://www.philgeps.gov.ph/GEPSNONPILOT/Tender/SplashBidNoticeAbstractUI.aspx?menuIndex=3&amp;refID=7078526&amp;Result=3","7078526")</f>
        <v>0</v>
      </c>
      <c r="B1886" t="s">
        <v>409</v>
      </c>
      <c r="C1886" t="s">
        <v>5193</v>
      </c>
      <c r="D1886" t="s">
        <v>16682</v>
      </c>
      <c r="E1886" t="s">
        <v>18460</v>
      </c>
      <c r="F1886" t="s">
        <v>28669</v>
      </c>
      <c r="G1886" t="s">
        <v>28676</v>
      </c>
      <c r="H1886" t="s">
        <v>9998</v>
      </c>
      <c r="I1886" t="s">
        <v>28687</v>
      </c>
      <c r="J1886" t="s">
        <v>28912</v>
      </c>
      <c r="K1886" t="s">
        <v>37209</v>
      </c>
      <c r="M1886" t="s">
        <v>37894</v>
      </c>
      <c r="N1886" t="s">
        <v>41249</v>
      </c>
      <c r="O1886" t="s">
        <v>41250</v>
      </c>
      <c r="P1886">
        <v>0</v>
      </c>
      <c r="Q1886">
        <v>0</v>
      </c>
      <c r="R1886" t="s">
        <v>41251</v>
      </c>
      <c r="S1886" t="s">
        <v>41369</v>
      </c>
      <c r="T1886" t="s">
        <v>42694</v>
      </c>
      <c r="U1886" t="s">
        <v>44840</v>
      </c>
      <c r="W1886" t="s">
        <v>37894</v>
      </c>
      <c r="X1886" t="s">
        <v>41252</v>
      </c>
    </row>
    <row r="1887" spans="1:24">
      <c r="A1887">
        <f>HYPERLINK("https://www.philgeps.gov.ph/GEPSNONPILOT/Tender/SplashBidNoticeAbstractUI.aspx?menuIndex=3&amp;refID=7078540&amp;Result=3","7078540")</f>
        <v>0</v>
      </c>
      <c r="B1887" t="s">
        <v>833</v>
      </c>
      <c r="C1887" t="s">
        <v>5194</v>
      </c>
      <c r="D1887" t="s">
        <v>16608</v>
      </c>
      <c r="E1887" t="s">
        <v>18461</v>
      </c>
      <c r="F1887" t="s">
        <v>28669</v>
      </c>
      <c r="G1887" t="s">
        <v>28675</v>
      </c>
      <c r="H1887" t="s">
        <v>28686</v>
      </c>
      <c r="I1887" t="s">
        <v>28689</v>
      </c>
      <c r="J1887" t="s">
        <v>30113</v>
      </c>
      <c r="K1887" t="s">
        <v>37220</v>
      </c>
      <c r="M1887" t="s">
        <v>38349</v>
      </c>
      <c r="N1887" t="s">
        <v>41249</v>
      </c>
      <c r="O1887" t="s">
        <v>41250</v>
      </c>
      <c r="P1887">
        <v>0</v>
      </c>
      <c r="Q1887">
        <v>1</v>
      </c>
      <c r="R1887" t="s">
        <v>41251</v>
      </c>
      <c r="S1887" t="s">
        <v>41369</v>
      </c>
      <c r="T1887" t="s">
        <v>42853</v>
      </c>
      <c r="U1887" t="s">
        <v>44841</v>
      </c>
      <c r="V1887" t="s">
        <v>54486</v>
      </c>
      <c r="W1887" t="s">
        <v>38349</v>
      </c>
      <c r="X1887" t="s">
        <v>41252</v>
      </c>
    </row>
    <row r="1888" spans="1:24">
      <c r="A1888">
        <f>HYPERLINK("https://www.philgeps.gov.ph/GEPSNONPILOT/Tender/SplashBidNoticeAbstractUI.aspx?menuIndex=3&amp;refID=7078509&amp;Result=3","7078509")</f>
        <v>0</v>
      </c>
      <c r="B1888" t="s">
        <v>834</v>
      </c>
      <c r="C1888" t="s">
        <v>5195</v>
      </c>
      <c r="D1888" t="s">
        <v>16645</v>
      </c>
      <c r="E1888" t="s">
        <v>18462</v>
      </c>
      <c r="F1888" t="s">
        <v>28669</v>
      </c>
      <c r="G1888" t="s">
        <v>28675</v>
      </c>
      <c r="H1888" t="s">
        <v>28686</v>
      </c>
      <c r="I1888" t="s">
        <v>28689</v>
      </c>
      <c r="J1888" t="s">
        <v>28847</v>
      </c>
      <c r="K1888" t="s">
        <v>37305</v>
      </c>
      <c r="M1888" t="s">
        <v>38350</v>
      </c>
      <c r="N1888" t="s">
        <v>41249</v>
      </c>
      <c r="O1888" t="s">
        <v>41250</v>
      </c>
      <c r="P1888">
        <v>0</v>
      </c>
      <c r="Q1888">
        <v>0</v>
      </c>
      <c r="R1888" t="s">
        <v>41251</v>
      </c>
      <c r="S1888" t="s">
        <v>41369</v>
      </c>
      <c r="T1888" t="s">
        <v>42688</v>
      </c>
      <c r="U1888" t="s">
        <v>44842</v>
      </c>
      <c r="V1888" t="s">
        <v>54487</v>
      </c>
      <c r="W1888" t="s">
        <v>38350</v>
      </c>
      <c r="X1888" t="s">
        <v>41252</v>
      </c>
    </row>
    <row r="1889" spans="1:24">
      <c r="A1889">
        <f>HYPERLINK("https://www.philgeps.gov.ph/GEPSNONPILOT/Tender/SplashBidNoticeAbstractUI.aspx?menuIndex=3&amp;refID=7078508&amp;Result=3","7078508")</f>
        <v>0</v>
      </c>
      <c r="B1889" t="s">
        <v>835</v>
      </c>
      <c r="C1889" t="s">
        <v>5196</v>
      </c>
      <c r="D1889" t="s">
        <v>16615</v>
      </c>
      <c r="E1889" t="s">
        <v>18463</v>
      </c>
      <c r="F1889" t="s">
        <v>28669</v>
      </c>
      <c r="G1889" t="s">
        <v>28675</v>
      </c>
      <c r="H1889" t="s">
        <v>28686</v>
      </c>
      <c r="I1889" t="s">
        <v>28689</v>
      </c>
      <c r="J1889" t="s">
        <v>28847</v>
      </c>
      <c r="K1889" t="s">
        <v>37209</v>
      </c>
      <c r="M1889" t="s">
        <v>38351</v>
      </c>
      <c r="N1889" t="s">
        <v>41249</v>
      </c>
      <c r="O1889" t="s">
        <v>41250</v>
      </c>
      <c r="P1889">
        <v>0</v>
      </c>
      <c r="Q1889">
        <v>7</v>
      </c>
      <c r="R1889" t="s">
        <v>41251</v>
      </c>
      <c r="S1889" t="s">
        <v>41369</v>
      </c>
      <c r="T1889" t="s">
        <v>42745</v>
      </c>
      <c r="U1889" t="s">
        <v>44843</v>
      </c>
      <c r="W1889" t="s">
        <v>38351</v>
      </c>
      <c r="X1889" t="s">
        <v>41252</v>
      </c>
    </row>
    <row r="1890" spans="1:24">
      <c r="A1890">
        <f>HYPERLINK("https://www.philgeps.gov.ph/GEPSNONPILOT/Tender/SplashBidNoticeAbstractUI.aspx?menuIndex=3&amp;refID=7078547&amp;Result=3","7078547")</f>
        <v>0</v>
      </c>
      <c r="B1890" t="s">
        <v>836</v>
      </c>
      <c r="C1890" t="s">
        <v>5197</v>
      </c>
      <c r="D1890" t="s">
        <v>16636</v>
      </c>
      <c r="E1890" t="s">
        <v>16877</v>
      </c>
      <c r="F1890" t="s">
        <v>28669</v>
      </c>
      <c r="G1890" t="s">
        <v>28675</v>
      </c>
      <c r="H1890" t="s">
        <v>9998</v>
      </c>
      <c r="I1890" t="s">
        <v>7352</v>
      </c>
      <c r="J1890" t="s">
        <v>30114</v>
      </c>
      <c r="K1890" t="s">
        <v>37210</v>
      </c>
      <c r="M1890" t="s">
        <v>38352</v>
      </c>
      <c r="N1890" t="s">
        <v>41249</v>
      </c>
      <c r="O1890" t="s">
        <v>41250</v>
      </c>
      <c r="P1890">
        <v>0</v>
      </c>
      <c r="Q1890">
        <v>1</v>
      </c>
      <c r="R1890" t="s">
        <v>41251</v>
      </c>
      <c r="S1890" t="s">
        <v>41369</v>
      </c>
      <c r="T1890" t="s">
        <v>42678</v>
      </c>
      <c r="U1890" t="s">
        <v>44844</v>
      </c>
      <c r="W1890" t="s">
        <v>38352</v>
      </c>
      <c r="X1890" t="s">
        <v>41252</v>
      </c>
    </row>
    <row r="1891" spans="1:24">
      <c r="A1891">
        <f>HYPERLINK("https://www.philgeps.gov.ph/GEPSNONPILOT/Tender/SplashBidNoticeAbstractUI.aspx?menuIndex=3&amp;refID=7078512&amp;Result=3","7078512")</f>
        <v>0</v>
      </c>
      <c r="B1891" t="s">
        <v>837</v>
      </c>
      <c r="C1891" t="s">
        <v>5198</v>
      </c>
      <c r="D1891" t="s">
        <v>16667</v>
      </c>
      <c r="E1891" t="s">
        <v>18464</v>
      </c>
      <c r="F1891" t="s">
        <v>28669</v>
      </c>
      <c r="G1891" t="s">
        <v>28677</v>
      </c>
      <c r="H1891" t="s">
        <v>28684</v>
      </c>
      <c r="I1891" t="s">
        <v>6606</v>
      </c>
      <c r="J1891" t="s">
        <v>28826</v>
      </c>
      <c r="K1891" t="s">
        <v>37208</v>
      </c>
      <c r="M1891" t="s">
        <v>38353</v>
      </c>
      <c r="N1891" t="s">
        <v>41249</v>
      </c>
      <c r="O1891" t="s">
        <v>41250</v>
      </c>
      <c r="P1891">
        <v>0</v>
      </c>
      <c r="Q1891">
        <v>0</v>
      </c>
      <c r="R1891" t="s">
        <v>41251</v>
      </c>
      <c r="S1891" t="s">
        <v>41369</v>
      </c>
      <c r="T1891" t="s">
        <v>42696</v>
      </c>
      <c r="U1891" t="s">
        <v>44845</v>
      </c>
      <c r="W1891" t="s">
        <v>38353</v>
      </c>
      <c r="X1891" t="s">
        <v>41252</v>
      </c>
    </row>
    <row r="1892" spans="1:24">
      <c r="A1892">
        <f>HYPERLINK("https://www.philgeps.gov.ph/GEPSNONPILOT/Tender/SplashBidNoticeAbstractUI.aspx?menuIndex=3&amp;refID=7078545&amp;Result=3","7078545")</f>
        <v>0</v>
      </c>
      <c r="B1892" t="s">
        <v>718</v>
      </c>
      <c r="C1892" t="s">
        <v>4108</v>
      </c>
      <c r="E1892" t="s">
        <v>17445</v>
      </c>
      <c r="F1892" t="s">
        <v>28669</v>
      </c>
      <c r="G1892" t="s">
        <v>28677</v>
      </c>
      <c r="H1892" t="s">
        <v>9998</v>
      </c>
      <c r="I1892" t="s">
        <v>28699</v>
      </c>
      <c r="J1892" t="s">
        <v>29388</v>
      </c>
      <c r="K1892" t="s">
        <v>37209</v>
      </c>
      <c r="M1892" t="s">
        <v>38226</v>
      </c>
      <c r="N1892" t="s">
        <v>41249</v>
      </c>
      <c r="O1892" t="s">
        <v>41250</v>
      </c>
      <c r="P1892">
        <v>0</v>
      </c>
      <c r="Q1892">
        <v>0</v>
      </c>
      <c r="R1892" t="s">
        <v>41251</v>
      </c>
      <c r="S1892" t="s">
        <v>41369</v>
      </c>
      <c r="T1892" t="s">
        <v>42854</v>
      </c>
      <c r="U1892" t="s">
        <v>44574</v>
      </c>
      <c r="W1892" t="s">
        <v>38226</v>
      </c>
      <c r="X1892" t="s">
        <v>41252</v>
      </c>
    </row>
    <row r="1893" spans="1:24">
      <c r="A1893">
        <f>HYPERLINK("https://www.philgeps.gov.ph/GEPSNONPILOT/Tender/SplashBidNoticeAbstractUI.aspx?menuIndex=3&amp;refID=7078542&amp;Result=3","7078542")</f>
        <v>0</v>
      </c>
      <c r="B1893" t="s">
        <v>838</v>
      </c>
      <c r="C1893" t="s">
        <v>5199</v>
      </c>
      <c r="D1893" t="s">
        <v>16618</v>
      </c>
      <c r="E1893" t="s">
        <v>18465</v>
      </c>
      <c r="F1893" t="s">
        <v>28669</v>
      </c>
      <c r="G1893" t="s">
        <v>28675</v>
      </c>
      <c r="H1893" t="s">
        <v>9998</v>
      </c>
      <c r="I1893" t="s">
        <v>28687</v>
      </c>
      <c r="J1893" t="s">
        <v>28914</v>
      </c>
      <c r="K1893" t="s">
        <v>37204</v>
      </c>
      <c r="M1893" t="s">
        <v>38354</v>
      </c>
      <c r="N1893" t="s">
        <v>41249</v>
      </c>
      <c r="O1893" t="s">
        <v>41250</v>
      </c>
      <c r="P1893">
        <v>0</v>
      </c>
      <c r="Q1893">
        <v>0</v>
      </c>
      <c r="R1893" t="s">
        <v>41251</v>
      </c>
      <c r="S1893" t="s">
        <v>41369</v>
      </c>
      <c r="T1893" t="s">
        <v>42682</v>
      </c>
      <c r="U1893" t="s">
        <v>44846</v>
      </c>
      <c r="W1893" t="s">
        <v>38354</v>
      </c>
      <c r="X1893" t="s">
        <v>41252</v>
      </c>
    </row>
    <row r="1894" spans="1:24">
      <c r="A1894">
        <f>HYPERLINK("https://www.philgeps.gov.ph/GEPSNONPILOT/Tender/SplashBidNoticeAbstractUI.aspx?menuIndex=3&amp;refID=7078541&amp;Result=3","7078541")</f>
        <v>0</v>
      </c>
      <c r="B1894" t="s">
        <v>792</v>
      </c>
      <c r="C1894" t="s">
        <v>5200</v>
      </c>
      <c r="D1894" t="s">
        <v>16640</v>
      </c>
      <c r="E1894" t="s">
        <v>18466</v>
      </c>
      <c r="F1894" t="s">
        <v>28669</v>
      </c>
      <c r="G1894" t="s">
        <v>28676</v>
      </c>
      <c r="H1894" t="s">
        <v>9998</v>
      </c>
      <c r="I1894" t="s">
        <v>28716</v>
      </c>
      <c r="J1894" t="s">
        <v>29309</v>
      </c>
      <c r="K1894" t="s">
        <v>37205</v>
      </c>
      <c r="M1894" t="s">
        <v>38306</v>
      </c>
      <c r="N1894" t="s">
        <v>41249</v>
      </c>
      <c r="O1894" t="s">
        <v>41250</v>
      </c>
      <c r="P1894">
        <v>0</v>
      </c>
      <c r="Q1894">
        <v>2</v>
      </c>
      <c r="R1894" t="s">
        <v>41251</v>
      </c>
      <c r="S1894" t="s">
        <v>41369</v>
      </c>
      <c r="T1894" t="s">
        <v>42817</v>
      </c>
      <c r="U1894" t="s">
        <v>44847</v>
      </c>
      <c r="V1894" t="s">
        <v>54474</v>
      </c>
      <c r="W1894" t="s">
        <v>38306</v>
      </c>
      <c r="X1894" t="s">
        <v>41252</v>
      </c>
    </row>
    <row r="1895" spans="1:24">
      <c r="A1895">
        <f>HYPERLINK("https://www.philgeps.gov.ph/GEPSNONPILOT/Tender/SplashBidNoticeAbstractUI.aspx?menuIndex=3&amp;refID=7078539&amp;Result=3","7078539")</f>
        <v>0</v>
      </c>
      <c r="B1895" t="s">
        <v>838</v>
      </c>
      <c r="C1895" t="s">
        <v>5201</v>
      </c>
      <c r="D1895" t="s">
        <v>16618</v>
      </c>
      <c r="E1895" t="s">
        <v>17154</v>
      </c>
      <c r="F1895" t="s">
        <v>28669</v>
      </c>
      <c r="G1895" t="s">
        <v>28675</v>
      </c>
      <c r="H1895" t="s">
        <v>9998</v>
      </c>
      <c r="I1895" t="s">
        <v>28687</v>
      </c>
      <c r="J1895" t="s">
        <v>29003</v>
      </c>
      <c r="K1895" t="s">
        <v>37204</v>
      </c>
      <c r="M1895" t="s">
        <v>38354</v>
      </c>
      <c r="N1895" t="s">
        <v>41249</v>
      </c>
      <c r="O1895" t="s">
        <v>41250</v>
      </c>
      <c r="P1895">
        <v>0</v>
      </c>
      <c r="Q1895">
        <v>0</v>
      </c>
      <c r="R1895" t="s">
        <v>41251</v>
      </c>
      <c r="S1895" t="s">
        <v>41369</v>
      </c>
      <c r="T1895" t="s">
        <v>42682</v>
      </c>
      <c r="U1895" t="s">
        <v>44848</v>
      </c>
      <c r="W1895" t="s">
        <v>38354</v>
      </c>
      <c r="X1895" t="s">
        <v>41252</v>
      </c>
    </row>
    <row r="1896" spans="1:24">
      <c r="A1896">
        <f>HYPERLINK("https://www.philgeps.gov.ph/GEPSNONPILOT/Tender/SplashBidNoticeAbstractUI.aspx?menuIndex=3&amp;refID=7078537&amp;Result=3","7078537")</f>
        <v>0</v>
      </c>
      <c r="B1896" t="s">
        <v>839</v>
      </c>
      <c r="C1896" t="s">
        <v>5202</v>
      </c>
      <c r="D1896" t="s">
        <v>16670</v>
      </c>
      <c r="E1896" t="s">
        <v>18467</v>
      </c>
      <c r="F1896" t="s">
        <v>28669</v>
      </c>
      <c r="G1896" t="s">
        <v>28675</v>
      </c>
      <c r="H1896" t="s">
        <v>9998</v>
      </c>
      <c r="I1896" t="s">
        <v>28697</v>
      </c>
      <c r="J1896" t="s">
        <v>30115</v>
      </c>
      <c r="K1896" t="s">
        <v>37206</v>
      </c>
      <c r="M1896" t="s">
        <v>38355</v>
      </c>
      <c r="N1896" t="s">
        <v>41249</v>
      </c>
      <c r="O1896" t="s">
        <v>41250</v>
      </c>
      <c r="P1896">
        <v>0</v>
      </c>
      <c r="Q1896">
        <v>1</v>
      </c>
      <c r="R1896" t="s">
        <v>41251</v>
      </c>
      <c r="S1896" t="s">
        <v>41369</v>
      </c>
      <c r="T1896" t="s">
        <v>42699</v>
      </c>
      <c r="U1896" t="s">
        <v>44849</v>
      </c>
      <c r="W1896" t="s">
        <v>38355</v>
      </c>
      <c r="X1896" t="s">
        <v>41252</v>
      </c>
    </row>
    <row r="1897" spans="1:24">
      <c r="A1897">
        <f>HYPERLINK("https://www.philgeps.gov.ph/GEPSNONPILOT/Tender/SplashBidNoticeAbstractUI.aspx?menuIndex=3&amp;refID=7078536&amp;Result=3","7078536")</f>
        <v>0</v>
      </c>
      <c r="B1897" t="s">
        <v>831</v>
      </c>
      <c r="C1897" t="s">
        <v>5203</v>
      </c>
      <c r="D1897" t="s">
        <v>16622</v>
      </c>
      <c r="E1897" t="s">
        <v>18468</v>
      </c>
      <c r="F1897" t="s">
        <v>28669</v>
      </c>
      <c r="G1897" t="s">
        <v>28676</v>
      </c>
      <c r="H1897" t="s">
        <v>28686</v>
      </c>
      <c r="I1897" t="s">
        <v>28689</v>
      </c>
      <c r="J1897" t="s">
        <v>28905</v>
      </c>
      <c r="K1897" t="s">
        <v>37210</v>
      </c>
      <c r="M1897" t="s">
        <v>38347</v>
      </c>
      <c r="N1897" t="s">
        <v>41249</v>
      </c>
      <c r="O1897" t="s">
        <v>41250</v>
      </c>
      <c r="P1897">
        <v>0</v>
      </c>
      <c r="Q1897">
        <v>0</v>
      </c>
      <c r="R1897" t="s">
        <v>41251</v>
      </c>
      <c r="S1897" t="s">
        <v>41369</v>
      </c>
      <c r="T1897" t="s">
        <v>42745</v>
      </c>
      <c r="U1897" t="s">
        <v>44837</v>
      </c>
      <c r="W1897" t="s">
        <v>38347</v>
      </c>
      <c r="X1897" t="s">
        <v>41252</v>
      </c>
    </row>
    <row r="1898" spans="1:24">
      <c r="A1898">
        <f>HYPERLINK("https://www.philgeps.gov.ph/GEPSNONPILOT/Tender/SplashBidNoticeAbstractUI.aspx?menuIndex=3&amp;refID=7078535&amp;Result=3","7078535")</f>
        <v>0</v>
      </c>
      <c r="B1898" t="s">
        <v>624</v>
      </c>
      <c r="C1898" t="s">
        <v>5204</v>
      </c>
      <c r="D1898" t="s">
        <v>16608</v>
      </c>
      <c r="E1898" t="s">
        <v>18469</v>
      </c>
      <c r="F1898" t="s">
        <v>28669</v>
      </c>
      <c r="G1898" t="s">
        <v>28676</v>
      </c>
      <c r="H1898" t="s">
        <v>9998</v>
      </c>
      <c r="I1898" t="s">
        <v>28729</v>
      </c>
      <c r="J1898" t="s">
        <v>30116</v>
      </c>
      <c r="K1898" t="s">
        <v>37209</v>
      </c>
      <c r="M1898" t="s">
        <v>38124</v>
      </c>
      <c r="N1898" t="s">
        <v>41249</v>
      </c>
      <c r="O1898" t="s">
        <v>41250</v>
      </c>
      <c r="P1898">
        <v>0</v>
      </c>
      <c r="Q1898">
        <v>9</v>
      </c>
      <c r="R1898" t="s">
        <v>41251</v>
      </c>
      <c r="S1898" t="s">
        <v>41369</v>
      </c>
      <c r="T1898" t="s">
        <v>42717</v>
      </c>
      <c r="U1898" t="s">
        <v>44850</v>
      </c>
      <c r="W1898" t="s">
        <v>38124</v>
      </c>
      <c r="X1898" t="s">
        <v>41252</v>
      </c>
    </row>
    <row r="1899" spans="1:24">
      <c r="A1899">
        <f>HYPERLINK("https://www.philgeps.gov.ph/GEPSNONPILOT/Tender/SplashBidNoticeAbstractUI.aspx?menuIndex=3&amp;refID=7078532&amp;Result=3","7078532")</f>
        <v>0</v>
      </c>
      <c r="B1899" t="s">
        <v>840</v>
      </c>
      <c r="C1899" t="s">
        <v>5205</v>
      </c>
      <c r="D1899" t="s">
        <v>16639</v>
      </c>
      <c r="E1899" t="s">
        <v>18470</v>
      </c>
      <c r="F1899" t="s">
        <v>28669</v>
      </c>
      <c r="G1899" t="s">
        <v>28676</v>
      </c>
      <c r="H1899" t="s">
        <v>9998</v>
      </c>
      <c r="I1899" t="s">
        <v>28690</v>
      </c>
      <c r="J1899" t="s">
        <v>30117</v>
      </c>
      <c r="K1899" t="s">
        <v>37234</v>
      </c>
      <c r="M1899" t="s">
        <v>38356</v>
      </c>
      <c r="N1899" t="s">
        <v>41249</v>
      </c>
      <c r="O1899" t="s">
        <v>41250</v>
      </c>
      <c r="P1899">
        <v>0</v>
      </c>
      <c r="Q1899">
        <v>2</v>
      </c>
      <c r="R1899" t="s">
        <v>41251</v>
      </c>
      <c r="S1899" t="s">
        <v>41369</v>
      </c>
      <c r="T1899" t="s">
        <v>42694</v>
      </c>
      <c r="U1899" t="s">
        <v>44851</v>
      </c>
      <c r="W1899" t="s">
        <v>38356</v>
      </c>
      <c r="X1899" t="s">
        <v>41252</v>
      </c>
    </row>
    <row r="1900" spans="1:24">
      <c r="A1900">
        <f>HYPERLINK("https://www.philgeps.gov.ph/GEPSNONPILOT/Tender/SplashBidNoticeAbstractUI.aspx?menuIndex=3&amp;refID=7078374&amp;Result=3","7078374")</f>
        <v>0</v>
      </c>
      <c r="B1900" t="s">
        <v>174</v>
      </c>
      <c r="C1900" t="s">
        <v>5206</v>
      </c>
      <c r="D1900" t="s">
        <v>16690</v>
      </c>
      <c r="E1900" t="s">
        <v>18471</v>
      </c>
      <c r="F1900" t="s">
        <v>28669</v>
      </c>
      <c r="G1900" t="s">
        <v>28675</v>
      </c>
      <c r="H1900" t="s">
        <v>9998</v>
      </c>
      <c r="I1900" t="s">
        <v>15140</v>
      </c>
      <c r="J1900" t="s">
        <v>30118</v>
      </c>
      <c r="K1900" t="s">
        <v>37210</v>
      </c>
      <c r="M1900" t="s">
        <v>37651</v>
      </c>
      <c r="N1900" t="s">
        <v>41249</v>
      </c>
      <c r="O1900" t="s">
        <v>41250</v>
      </c>
      <c r="P1900">
        <v>0</v>
      </c>
      <c r="Q1900">
        <v>5</v>
      </c>
      <c r="R1900" t="s">
        <v>41251</v>
      </c>
      <c r="S1900" t="s">
        <v>41369</v>
      </c>
      <c r="T1900" t="s">
        <v>42855</v>
      </c>
      <c r="U1900" t="s">
        <v>44852</v>
      </c>
      <c r="V1900" t="s">
        <v>54488</v>
      </c>
      <c r="W1900" t="s">
        <v>37651</v>
      </c>
      <c r="X1900" t="s">
        <v>41252</v>
      </c>
    </row>
    <row r="1901" spans="1:24">
      <c r="A1901">
        <f>HYPERLINK("https://www.philgeps.gov.ph/GEPSNONPILOT/Tender/SplashBidNoticeAbstractUI.aspx?menuIndex=3&amp;refID=7078531&amp;Result=3","7078531")</f>
        <v>0</v>
      </c>
      <c r="B1901" t="s">
        <v>841</v>
      </c>
      <c r="C1901" t="s">
        <v>5207</v>
      </c>
      <c r="D1901" t="s">
        <v>16630</v>
      </c>
      <c r="E1901" t="s">
        <v>18472</v>
      </c>
      <c r="F1901" t="s">
        <v>28669</v>
      </c>
      <c r="G1901" t="s">
        <v>28675</v>
      </c>
      <c r="H1901" t="s">
        <v>9998</v>
      </c>
      <c r="I1901" t="s">
        <v>28696</v>
      </c>
      <c r="J1901" t="s">
        <v>30119</v>
      </c>
      <c r="K1901" t="s">
        <v>37204</v>
      </c>
      <c r="M1901" t="s">
        <v>38357</v>
      </c>
      <c r="N1901" t="s">
        <v>41249</v>
      </c>
      <c r="O1901" t="s">
        <v>41250</v>
      </c>
      <c r="P1901">
        <v>0</v>
      </c>
      <c r="Q1901">
        <v>0</v>
      </c>
      <c r="R1901" t="s">
        <v>41251</v>
      </c>
      <c r="S1901" t="s">
        <v>41369</v>
      </c>
      <c r="T1901" t="s">
        <v>42690</v>
      </c>
      <c r="U1901" t="s">
        <v>44853</v>
      </c>
      <c r="W1901" t="s">
        <v>38357</v>
      </c>
      <c r="X1901" t="s">
        <v>41252</v>
      </c>
    </row>
    <row r="1902" spans="1:24">
      <c r="A1902">
        <f>HYPERLINK("https://www.philgeps.gov.ph/GEPSNONPILOT/Tender/SplashBidNoticeAbstractUI.aspx?menuIndex=3&amp;refID=7078534&amp;Result=3","7078534")</f>
        <v>0</v>
      </c>
      <c r="B1902" t="s">
        <v>831</v>
      </c>
      <c r="C1902" t="s">
        <v>5208</v>
      </c>
      <c r="D1902" t="s">
        <v>16622</v>
      </c>
      <c r="E1902" t="s">
        <v>18473</v>
      </c>
      <c r="F1902" t="s">
        <v>28669</v>
      </c>
      <c r="G1902" t="s">
        <v>28676</v>
      </c>
      <c r="H1902" t="s">
        <v>28686</v>
      </c>
      <c r="I1902" t="s">
        <v>28689</v>
      </c>
      <c r="J1902" t="s">
        <v>28905</v>
      </c>
      <c r="K1902" t="s">
        <v>37210</v>
      </c>
      <c r="M1902" t="s">
        <v>38347</v>
      </c>
      <c r="N1902" t="s">
        <v>41249</v>
      </c>
      <c r="O1902" t="s">
        <v>41250</v>
      </c>
      <c r="P1902">
        <v>0</v>
      </c>
      <c r="Q1902">
        <v>0</v>
      </c>
      <c r="R1902" t="s">
        <v>41251</v>
      </c>
      <c r="S1902" t="s">
        <v>41369</v>
      </c>
      <c r="T1902" t="s">
        <v>42745</v>
      </c>
      <c r="U1902" t="s">
        <v>44837</v>
      </c>
      <c r="W1902" t="s">
        <v>38347</v>
      </c>
      <c r="X1902" t="s">
        <v>41252</v>
      </c>
    </row>
    <row r="1903" spans="1:24">
      <c r="A1903">
        <f>HYPERLINK("https://www.philgeps.gov.ph/GEPSNONPILOT/Tender/SplashBidNoticeAbstractUI.aspx?menuIndex=3&amp;refID=7078548&amp;Result=3","7078548")</f>
        <v>0</v>
      </c>
      <c r="B1903" t="s">
        <v>838</v>
      </c>
      <c r="C1903" t="s">
        <v>5209</v>
      </c>
      <c r="D1903" t="s">
        <v>16618</v>
      </c>
      <c r="E1903" t="s">
        <v>18474</v>
      </c>
      <c r="F1903" t="s">
        <v>28669</v>
      </c>
      <c r="G1903" t="s">
        <v>28675</v>
      </c>
      <c r="H1903" t="s">
        <v>9998</v>
      </c>
      <c r="I1903" t="s">
        <v>28687</v>
      </c>
      <c r="J1903" t="s">
        <v>28878</v>
      </c>
      <c r="K1903" t="s">
        <v>37204</v>
      </c>
      <c r="M1903" t="s">
        <v>38354</v>
      </c>
      <c r="N1903" t="s">
        <v>41249</v>
      </c>
      <c r="O1903" t="s">
        <v>41250</v>
      </c>
      <c r="P1903">
        <v>0</v>
      </c>
      <c r="Q1903">
        <v>0</v>
      </c>
      <c r="R1903" t="s">
        <v>41251</v>
      </c>
      <c r="S1903" t="s">
        <v>41369</v>
      </c>
      <c r="T1903" t="s">
        <v>42682</v>
      </c>
      <c r="U1903" t="s">
        <v>44854</v>
      </c>
      <c r="W1903" t="s">
        <v>38354</v>
      </c>
      <c r="X1903" t="s">
        <v>41252</v>
      </c>
    </row>
    <row r="1904" spans="1:24">
      <c r="A1904">
        <f>HYPERLINK("https://www.philgeps.gov.ph/GEPSNONPILOT/Tender/SplashBidNoticeAbstractUI.aspx?menuIndex=3&amp;refID=7078570&amp;Result=3","7078570")</f>
        <v>0</v>
      </c>
      <c r="B1904" t="s">
        <v>842</v>
      </c>
      <c r="C1904" t="s">
        <v>5210</v>
      </c>
      <c r="D1904" t="s">
        <v>16658</v>
      </c>
      <c r="E1904" t="s">
        <v>18475</v>
      </c>
      <c r="F1904" t="s">
        <v>28669</v>
      </c>
      <c r="G1904" t="s">
        <v>28677</v>
      </c>
      <c r="H1904" t="s">
        <v>9998</v>
      </c>
      <c r="I1904" t="s">
        <v>28688</v>
      </c>
      <c r="J1904" t="s">
        <v>30120</v>
      </c>
      <c r="K1904" t="s">
        <v>37204</v>
      </c>
      <c r="M1904" t="s">
        <v>38358</v>
      </c>
      <c r="N1904" t="s">
        <v>41249</v>
      </c>
      <c r="O1904" t="s">
        <v>41250</v>
      </c>
      <c r="P1904">
        <v>0</v>
      </c>
      <c r="Q1904">
        <v>0</v>
      </c>
      <c r="R1904" t="s">
        <v>41251</v>
      </c>
      <c r="S1904" t="s">
        <v>41369</v>
      </c>
      <c r="T1904" t="s">
        <v>42671</v>
      </c>
      <c r="U1904" t="s">
        <v>44855</v>
      </c>
      <c r="W1904" t="s">
        <v>38358</v>
      </c>
      <c r="X1904" t="s">
        <v>41252</v>
      </c>
    </row>
    <row r="1905" spans="1:24">
      <c r="A1905">
        <f>HYPERLINK("https://www.philgeps.gov.ph/GEPSNONPILOT/Tender/SplashBidNoticeAbstractUI.aspx?menuIndex=3&amp;refID=7078569&amp;Result=3","7078569")</f>
        <v>0</v>
      </c>
      <c r="B1905" t="s">
        <v>843</v>
      </c>
      <c r="C1905" t="s">
        <v>5211</v>
      </c>
      <c r="D1905" t="s">
        <v>16638</v>
      </c>
      <c r="E1905" t="s">
        <v>18476</v>
      </c>
      <c r="F1905" t="s">
        <v>28669</v>
      </c>
      <c r="G1905" t="s">
        <v>28676</v>
      </c>
      <c r="H1905" t="s">
        <v>9998</v>
      </c>
      <c r="I1905" t="s">
        <v>28694</v>
      </c>
      <c r="J1905" t="s">
        <v>30121</v>
      </c>
      <c r="K1905" t="s">
        <v>37204</v>
      </c>
      <c r="M1905" t="s">
        <v>38359</v>
      </c>
      <c r="N1905" t="s">
        <v>41249</v>
      </c>
      <c r="O1905" t="s">
        <v>41250</v>
      </c>
      <c r="P1905">
        <v>0</v>
      </c>
      <c r="Q1905">
        <v>0</v>
      </c>
      <c r="R1905" t="s">
        <v>41251</v>
      </c>
      <c r="S1905" t="s">
        <v>41369</v>
      </c>
      <c r="T1905" t="s">
        <v>42711</v>
      </c>
      <c r="U1905" t="s">
        <v>44856</v>
      </c>
      <c r="W1905" t="s">
        <v>38359</v>
      </c>
      <c r="X1905" t="s">
        <v>41252</v>
      </c>
    </row>
    <row r="1906" spans="1:24">
      <c r="A1906">
        <f>HYPERLINK("https://www.philgeps.gov.ph/GEPSNONPILOT/Tender/SplashBidNoticeAbstractUI.aspx?menuIndex=3&amp;refID=7078566&amp;Result=3","7078566")</f>
        <v>0</v>
      </c>
      <c r="B1906" t="s">
        <v>844</v>
      </c>
      <c r="C1906" t="s">
        <v>5212</v>
      </c>
      <c r="D1906" t="s">
        <v>16650</v>
      </c>
      <c r="E1906" t="s">
        <v>18477</v>
      </c>
      <c r="F1906" t="s">
        <v>28669</v>
      </c>
      <c r="G1906" t="s">
        <v>28675</v>
      </c>
      <c r="H1906" t="s">
        <v>28686</v>
      </c>
      <c r="I1906" t="s">
        <v>28689</v>
      </c>
      <c r="J1906" t="s">
        <v>30122</v>
      </c>
      <c r="K1906" t="s">
        <v>37212</v>
      </c>
      <c r="M1906" t="s">
        <v>38360</v>
      </c>
      <c r="N1906" t="s">
        <v>41249</v>
      </c>
      <c r="O1906" t="s">
        <v>41250</v>
      </c>
      <c r="P1906">
        <v>0</v>
      </c>
      <c r="Q1906">
        <v>0</v>
      </c>
      <c r="R1906" t="s">
        <v>41251</v>
      </c>
      <c r="S1906" t="s">
        <v>41369</v>
      </c>
      <c r="T1906" t="s">
        <v>42688</v>
      </c>
      <c r="U1906" t="s">
        <v>44857</v>
      </c>
      <c r="W1906" t="s">
        <v>38360</v>
      </c>
      <c r="X1906" t="s">
        <v>41252</v>
      </c>
    </row>
    <row r="1907" spans="1:24">
      <c r="A1907">
        <f>HYPERLINK("https://www.philgeps.gov.ph/GEPSNONPILOT/Tender/SplashBidNoticeAbstractUI.aspx?menuIndex=3&amp;refID=7078568&amp;Result=3","7078568")</f>
        <v>0</v>
      </c>
      <c r="B1907" t="s">
        <v>150</v>
      </c>
      <c r="C1907" t="s">
        <v>5213</v>
      </c>
      <c r="D1907" t="s">
        <v>16617</v>
      </c>
      <c r="E1907" t="s">
        <v>18478</v>
      </c>
      <c r="F1907" t="s">
        <v>28669</v>
      </c>
      <c r="G1907" t="s">
        <v>28677</v>
      </c>
      <c r="H1907" t="s">
        <v>9998</v>
      </c>
      <c r="I1907" t="s">
        <v>5213</v>
      </c>
      <c r="J1907" t="s">
        <v>30123</v>
      </c>
      <c r="K1907" t="s">
        <v>37205</v>
      </c>
      <c r="M1907" t="s">
        <v>37627</v>
      </c>
      <c r="N1907" t="s">
        <v>41249</v>
      </c>
      <c r="O1907" t="s">
        <v>41250</v>
      </c>
      <c r="P1907">
        <v>0</v>
      </c>
      <c r="Q1907">
        <v>0</v>
      </c>
      <c r="R1907" t="s">
        <v>41251</v>
      </c>
      <c r="S1907" t="s">
        <v>41369</v>
      </c>
      <c r="T1907" t="s">
        <v>42754</v>
      </c>
      <c r="U1907" t="s">
        <v>44858</v>
      </c>
      <c r="W1907" t="s">
        <v>37627</v>
      </c>
      <c r="X1907" t="s">
        <v>41252</v>
      </c>
    </row>
    <row r="1908" spans="1:24">
      <c r="A1908">
        <f>HYPERLINK("https://www.philgeps.gov.ph/GEPSNONPILOT/Tender/SplashBidNoticeAbstractUI.aspx?menuIndex=3&amp;refID=7078565&amp;Result=3","7078565")</f>
        <v>0</v>
      </c>
      <c r="B1908" t="s">
        <v>150</v>
      </c>
      <c r="C1908" t="s">
        <v>5213</v>
      </c>
      <c r="D1908" t="s">
        <v>16617</v>
      </c>
      <c r="E1908" t="s">
        <v>18479</v>
      </c>
      <c r="F1908" t="s">
        <v>28669</v>
      </c>
      <c r="G1908" t="s">
        <v>28676</v>
      </c>
      <c r="H1908" t="s">
        <v>9998</v>
      </c>
      <c r="I1908" t="s">
        <v>5213</v>
      </c>
      <c r="J1908" t="s">
        <v>30124</v>
      </c>
      <c r="K1908" t="s">
        <v>37205</v>
      </c>
      <c r="M1908" t="s">
        <v>37627</v>
      </c>
      <c r="N1908" t="s">
        <v>41249</v>
      </c>
      <c r="O1908" t="s">
        <v>41250</v>
      </c>
      <c r="P1908">
        <v>0</v>
      </c>
      <c r="Q1908">
        <v>0</v>
      </c>
      <c r="R1908" t="s">
        <v>41251</v>
      </c>
      <c r="S1908" t="s">
        <v>41369</v>
      </c>
      <c r="T1908" t="s">
        <v>42754</v>
      </c>
      <c r="U1908" t="s">
        <v>44859</v>
      </c>
      <c r="W1908" t="s">
        <v>37627</v>
      </c>
      <c r="X1908" t="s">
        <v>41252</v>
      </c>
    </row>
    <row r="1909" spans="1:24">
      <c r="A1909">
        <f>HYPERLINK("https://www.philgeps.gov.ph/GEPSNONPILOT/Tender/SplashBidNoticeAbstractUI.aspx?menuIndex=3&amp;refID=7078563&amp;Result=3","7078563")</f>
        <v>0</v>
      </c>
      <c r="B1909" t="s">
        <v>150</v>
      </c>
      <c r="C1909" t="s">
        <v>5213</v>
      </c>
      <c r="D1909" t="s">
        <v>16617</v>
      </c>
      <c r="E1909" t="s">
        <v>18480</v>
      </c>
      <c r="F1909" t="s">
        <v>28669</v>
      </c>
      <c r="G1909" t="s">
        <v>28677</v>
      </c>
      <c r="H1909" t="s">
        <v>9998</v>
      </c>
      <c r="I1909" t="s">
        <v>5213</v>
      </c>
      <c r="J1909" t="s">
        <v>30125</v>
      </c>
      <c r="K1909" t="s">
        <v>37205</v>
      </c>
      <c r="M1909" t="s">
        <v>37627</v>
      </c>
      <c r="N1909" t="s">
        <v>41249</v>
      </c>
      <c r="O1909" t="s">
        <v>41250</v>
      </c>
      <c r="P1909">
        <v>0</v>
      </c>
      <c r="Q1909">
        <v>0</v>
      </c>
      <c r="R1909" t="s">
        <v>41251</v>
      </c>
      <c r="S1909" t="s">
        <v>41369</v>
      </c>
      <c r="T1909" t="s">
        <v>42754</v>
      </c>
      <c r="U1909" t="s">
        <v>44860</v>
      </c>
      <c r="W1909" t="s">
        <v>37627</v>
      </c>
      <c r="X1909" t="s">
        <v>41252</v>
      </c>
    </row>
    <row r="1910" spans="1:24">
      <c r="A1910">
        <f>HYPERLINK("https://www.philgeps.gov.ph/GEPSNONPILOT/Tender/SplashBidNoticeAbstractUI.aspx?menuIndex=3&amp;refID=7078562&amp;Result=3","7078562")</f>
        <v>0</v>
      </c>
      <c r="B1910" t="s">
        <v>845</v>
      </c>
      <c r="C1910" t="s">
        <v>5214</v>
      </c>
      <c r="D1910" t="s">
        <v>16608</v>
      </c>
      <c r="E1910" t="s">
        <v>18481</v>
      </c>
      <c r="F1910" t="s">
        <v>28669</v>
      </c>
      <c r="G1910" t="s">
        <v>28676</v>
      </c>
      <c r="H1910" t="s">
        <v>9998</v>
      </c>
      <c r="I1910" t="s">
        <v>28729</v>
      </c>
      <c r="J1910" t="s">
        <v>30126</v>
      </c>
      <c r="K1910" t="s">
        <v>37205</v>
      </c>
      <c r="M1910" t="s">
        <v>38361</v>
      </c>
      <c r="N1910" t="s">
        <v>41249</v>
      </c>
      <c r="O1910" t="s">
        <v>41250</v>
      </c>
      <c r="P1910">
        <v>0</v>
      </c>
      <c r="Q1910">
        <v>9</v>
      </c>
      <c r="R1910" t="s">
        <v>41251</v>
      </c>
      <c r="S1910" t="s">
        <v>41369</v>
      </c>
      <c r="T1910" t="s">
        <v>42673</v>
      </c>
      <c r="U1910" t="s">
        <v>44861</v>
      </c>
      <c r="V1910" t="s">
        <v>54489</v>
      </c>
      <c r="W1910" t="s">
        <v>38361</v>
      </c>
      <c r="X1910" t="s">
        <v>41252</v>
      </c>
    </row>
    <row r="1911" spans="1:24">
      <c r="A1911">
        <f>HYPERLINK("https://www.philgeps.gov.ph/GEPSNONPILOT/Tender/SplashBidNoticeAbstractUI.aspx?menuIndex=3&amp;refID=7078530&amp;Result=3","7078530")</f>
        <v>0</v>
      </c>
      <c r="B1911" t="s">
        <v>843</v>
      </c>
      <c r="C1911" t="s">
        <v>5215</v>
      </c>
      <c r="D1911" t="s">
        <v>16638</v>
      </c>
      <c r="E1911" t="s">
        <v>18482</v>
      </c>
      <c r="F1911" t="s">
        <v>28669</v>
      </c>
      <c r="G1911" t="s">
        <v>28677</v>
      </c>
      <c r="H1911" t="s">
        <v>9998</v>
      </c>
      <c r="I1911" t="s">
        <v>15140</v>
      </c>
      <c r="J1911" t="s">
        <v>30127</v>
      </c>
      <c r="K1911" t="s">
        <v>37204</v>
      </c>
      <c r="M1911" t="s">
        <v>38359</v>
      </c>
      <c r="N1911" t="s">
        <v>41249</v>
      </c>
      <c r="O1911" t="s">
        <v>41250</v>
      </c>
      <c r="P1911">
        <v>0</v>
      </c>
      <c r="Q1911">
        <v>0</v>
      </c>
      <c r="R1911" t="s">
        <v>41251</v>
      </c>
      <c r="S1911" t="s">
        <v>41369</v>
      </c>
      <c r="T1911" t="s">
        <v>42711</v>
      </c>
      <c r="U1911" t="s">
        <v>44856</v>
      </c>
      <c r="W1911" t="s">
        <v>38359</v>
      </c>
      <c r="X1911" t="s">
        <v>41252</v>
      </c>
    </row>
    <row r="1912" spans="1:24">
      <c r="A1912">
        <f>HYPERLINK("https://www.philgeps.gov.ph/GEPSNONPILOT/Tender/SplashBidNoticeAbstractUI.aspx?menuIndex=3&amp;refID=7078559&amp;Result=3","7078559")</f>
        <v>0</v>
      </c>
      <c r="B1912" t="s">
        <v>842</v>
      </c>
      <c r="C1912" t="s">
        <v>5216</v>
      </c>
      <c r="D1912" t="s">
        <v>16658</v>
      </c>
      <c r="E1912" t="s">
        <v>18483</v>
      </c>
      <c r="F1912" t="s">
        <v>28669</v>
      </c>
      <c r="G1912" t="s">
        <v>28677</v>
      </c>
      <c r="H1912" t="s">
        <v>9998</v>
      </c>
      <c r="I1912" t="s">
        <v>5286</v>
      </c>
      <c r="J1912" t="s">
        <v>30128</v>
      </c>
      <c r="K1912" t="s">
        <v>37204</v>
      </c>
      <c r="M1912" t="s">
        <v>38358</v>
      </c>
      <c r="N1912" t="s">
        <v>41249</v>
      </c>
      <c r="O1912" t="s">
        <v>41250</v>
      </c>
      <c r="P1912">
        <v>0</v>
      </c>
      <c r="Q1912">
        <v>0</v>
      </c>
      <c r="R1912" t="s">
        <v>41251</v>
      </c>
      <c r="S1912" t="s">
        <v>41369</v>
      </c>
      <c r="T1912" t="s">
        <v>42671</v>
      </c>
      <c r="U1912" t="s">
        <v>44855</v>
      </c>
      <c r="W1912" t="s">
        <v>38358</v>
      </c>
      <c r="X1912" t="s">
        <v>41252</v>
      </c>
    </row>
    <row r="1913" spans="1:24">
      <c r="A1913">
        <f>HYPERLINK("https://www.philgeps.gov.ph/GEPSNONPILOT/Tender/SplashBidNoticeAbstractUI.aspx?menuIndex=3&amp;refID=7078558&amp;Result=3","7078558")</f>
        <v>0</v>
      </c>
      <c r="B1913" t="s">
        <v>846</v>
      </c>
      <c r="C1913" t="s">
        <v>5217</v>
      </c>
      <c r="D1913" t="s">
        <v>16670</v>
      </c>
      <c r="E1913" t="s">
        <v>18484</v>
      </c>
      <c r="F1913" t="s">
        <v>28669</v>
      </c>
      <c r="G1913" t="s">
        <v>28675</v>
      </c>
      <c r="H1913" t="s">
        <v>9998</v>
      </c>
      <c r="I1913" t="s">
        <v>28697</v>
      </c>
      <c r="J1913" t="s">
        <v>30129</v>
      </c>
      <c r="K1913" t="s">
        <v>37206</v>
      </c>
      <c r="M1913" t="s">
        <v>38362</v>
      </c>
      <c r="N1913" t="s">
        <v>41249</v>
      </c>
      <c r="O1913" t="s">
        <v>41250</v>
      </c>
      <c r="P1913">
        <v>0</v>
      </c>
      <c r="Q1913">
        <v>1</v>
      </c>
      <c r="R1913" t="s">
        <v>41251</v>
      </c>
      <c r="S1913" t="s">
        <v>41369</v>
      </c>
      <c r="T1913" t="s">
        <v>42699</v>
      </c>
      <c r="U1913" t="s">
        <v>44862</v>
      </c>
      <c r="W1913" t="s">
        <v>38362</v>
      </c>
      <c r="X1913" t="s">
        <v>41252</v>
      </c>
    </row>
    <row r="1914" spans="1:24">
      <c r="A1914">
        <f>HYPERLINK("https://www.philgeps.gov.ph/GEPSNONPILOT/Tender/SplashBidNoticeAbstractUI.aspx?menuIndex=3&amp;refID=7078557&amp;Result=3","7078557")</f>
        <v>0</v>
      </c>
      <c r="B1914" t="s">
        <v>847</v>
      </c>
      <c r="C1914" t="s">
        <v>5218</v>
      </c>
      <c r="D1914" t="s">
        <v>16679</v>
      </c>
      <c r="E1914" t="s">
        <v>18485</v>
      </c>
      <c r="F1914" t="s">
        <v>28669</v>
      </c>
      <c r="G1914" t="s">
        <v>28675</v>
      </c>
      <c r="H1914" t="s">
        <v>9998</v>
      </c>
      <c r="I1914" t="s">
        <v>28708</v>
      </c>
      <c r="J1914" t="s">
        <v>30130</v>
      </c>
      <c r="K1914" t="s">
        <v>37214</v>
      </c>
      <c r="M1914" t="s">
        <v>38363</v>
      </c>
      <c r="N1914" t="s">
        <v>41249</v>
      </c>
      <c r="O1914" t="s">
        <v>41250</v>
      </c>
      <c r="P1914">
        <v>0</v>
      </c>
      <c r="Q1914">
        <v>4</v>
      </c>
      <c r="R1914" t="s">
        <v>41251</v>
      </c>
      <c r="S1914" t="s">
        <v>41369</v>
      </c>
      <c r="T1914" t="s">
        <v>42808</v>
      </c>
      <c r="U1914" t="s">
        <v>44863</v>
      </c>
      <c r="V1914" t="s">
        <v>54490</v>
      </c>
      <c r="W1914" t="s">
        <v>38363</v>
      </c>
      <c r="X1914" t="s">
        <v>41252</v>
      </c>
    </row>
    <row r="1915" spans="1:24">
      <c r="A1915">
        <f>HYPERLINK("https://www.philgeps.gov.ph/GEPSNONPILOT/Tender/SplashBidNoticeAbstractUI.aspx?menuIndex=3&amp;refID=7078567&amp;Result=3","7078567")</f>
        <v>0</v>
      </c>
      <c r="B1915" t="s">
        <v>848</v>
      </c>
      <c r="C1915" t="s">
        <v>5219</v>
      </c>
      <c r="D1915" t="s">
        <v>16657</v>
      </c>
      <c r="E1915" t="s">
        <v>18486</v>
      </c>
      <c r="F1915" t="s">
        <v>28669</v>
      </c>
      <c r="G1915" t="s">
        <v>28676</v>
      </c>
      <c r="H1915" t="s">
        <v>9998</v>
      </c>
      <c r="I1915" t="s">
        <v>28709</v>
      </c>
      <c r="J1915" t="s">
        <v>30131</v>
      </c>
      <c r="K1915" t="s">
        <v>37204</v>
      </c>
      <c r="M1915" t="s">
        <v>38364</v>
      </c>
      <c r="N1915" t="s">
        <v>41249</v>
      </c>
      <c r="O1915" t="s">
        <v>41250</v>
      </c>
      <c r="P1915">
        <v>0</v>
      </c>
      <c r="Q1915">
        <v>0</v>
      </c>
      <c r="R1915" t="s">
        <v>41251</v>
      </c>
      <c r="S1915" t="s">
        <v>41369</v>
      </c>
      <c r="T1915" t="s">
        <v>42694</v>
      </c>
      <c r="U1915" t="s">
        <v>44864</v>
      </c>
      <c r="W1915" t="s">
        <v>38364</v>
      </c>
      <c r="X1915" t="s">
        <v>41252</v>
      </c>
    </row>
    <row r="1916" spans="1:24">
      <c r="A1916">
        <f>HYPERLINK("https://www.philgeps.gov.ph/GEPSNONPILOT/Tender/SplashBidNoticeAbstractUI.aspx?menuIndex=3&amp;refID=7078556&amp;Result=3","7078556")</f>
        <v>0</v>
      </c>
      <c r="B1916" t="s">
        <v>849</v>
      </c>
      <c r="C1916" t="s">
        <v>5220</v>
      </c>
      <c r="D1916" t="s">
        <v>16626</v>
      </c>
      <c r="E1916" t="s">
        <v>18487</v>
      </c>
      <c r="F1916" t="s">
        <v>28669</v>
      </c>
      <c r="G1916" t="s">
        <v>28676</v>
      </c>
      <c r="H1916" t="s">
        <v>9998</v>
      </c>
      <c r="I1916" t="s">
        <v>3718</v>
      </c>
      <c r="J1916" t="s">
        <v>28942</v>
      </c>
      <c r="K1916" t="s">
        <v>37209</v>
      </c>
      <c r="M1916" t="s">
        <v>38365</v>
      </c>
      <c r="N1916" t="s">
        <v>41249</v>
      </c>
      <c r="O1916" t="s">
        <v>41250</v>
      </c>
      <c r="P1916">
        <v>0</v>
      </c>
      <c r="Q1916">
        <v>2</v>
      </c>
      <c r="R1916" t="s">
        <v>41251</v>
      </c>
      <c r="S1916" t="s">
        <v>41369</v>
      </c>
      <c r="T1916" t="s">
        <v>42856</v>
      </c>
      <c r="U1916" t="s">
        <v>44865</v>
      </c>
      <c r="W1916" t="s">
        <v>38365</v>
      </c>
      <c r="X1916" t="s">
        <v>41252</v>
      </c>
    </row>
    <row r="1917" spans="1:24">
      <c r="A1917">
        <f>HYPERLINK("https://www.philgeps.gov.ph/GEPSNONPILOT/Tender/SplashBidNoticeAbstractUI.aspx?menuIndex=3&amp;refID=7078564&amp;Result=3","7078564")</f>
        <v>0</v>
      </c>
      <c r="B1917" t="s">
        <v>850</v>
      </c>
      <c r="C1917" t="s">
        <v>5221</v>
      </c>
      <c r="D1917" t="s">
        <v>16686</v>
      </c>
      <c r="E1917" t="s">
        <v>18488</v>
      </c>
      <c r="F1917" t="s">
        <v>28669</v>
      </c>
      <c r="G1917" t="s">
        <v>28676</v>
      </c>
      <c r="H1917" t="s">
        <v>9998</v>
      </c>
      <c r="I1917" t="s">
        <v>28704</v>
      </c>
      <c r="J1917" t="s">
        <v>30132</v>
      </c>
      <c r="K1917" t="s">
        <v>37209</v>
      </c>
      <c r="M1917" t="s">
        <v>38366</v>
      </c>
      <c r="N1917" t="s">
        <v>41249</v>
      </c>
      <c r="O1917" t="s">
        <v>41250</v>
      </c>
      <c r="P1917">
        <v>0</v>
      </c>
      <c r="Q1917">
        <v>0</v>
      </c>
      <c r="R1917" t="s">
        <v>41251</v>
      </c>
      <c r="S1917" t="s">
        <v>41369</v>
      </c>
      <c r="T1917" t="s">
        <v>42711</v>
      </c>
      <c r="U1917" t="s">
        <v>44866</v>
      </c>
      <c r="W1917" t="s">
        <v>38366</v>
      </c>
      <c r="X1917" t="s">
        <v>41252</v>
      </c>
    </row>
    <row r="1918" spans="1:24">
      <c r="A1918">
        <f>HYPERLINK("https://www.philgeps.gov.ph/GEPSNONPILOT/Tender/SplashBidNoticeAbstractUI.aspx?menuIndex=3&amp;refID=7078596&amp;Result=3","7078596")</f>
        <v>0</v>
      </c>
      <c r="B1918" t="s">
        <v>851</v>
      </c>
      <c r="C1918" t="s">
        <v>5222</v>
      </c>
      <c r="D1918" t="s">
        <v>16654</v>
      </c>
      <c r="E1918" t="s">
        <v>18489</v>
      </c>
      <c r="F1918" t="s">
        <v>28669</v>
      </c>
      <c r="G1918" t="s">
        <v>28675</v>
      </c>
      <c r="H1918" t="s">
        <v>9998</v>
      </c>
      <c r="I1918" t="s">
        <v>28688</v>
      </c>
      <c r="J1918" t="s">
        <v>30133</v>
      </c>
      <c r="K1918" t="s">
        <v>37206</v>
      </c>
      <c r="M1918" t="s">
        <v>38367</v>
      </c>
      <c r="N1918" t="s">
        <v>41249</v>
      </c>
      <c r="O1918" t="s">
        <v>41250</v>
      </c>
      <c r="P1918">
        <v>0</v>
      </c>
      <c r="Q1918">
        <v>0</v>
      </c>
      <c r="R1918" t="s">
        <v>41251</v>
      </c>
      <c r="S1918" t="s">
        <v>41369</v>
      </c>
      <c r="T1918" t="s">
        <v>42714</v>
      </c>
      <c r="U1918" t="s">
        <v>44867</v>
      </c>
      <c r="V1918" t="s">
        <v>48842</v>
      </c>
      <c r="W1918" t="s">
        <v>38367</v>
      </c>
      <c r="X1918" t="s">
        <v>41252</v>
      </c>
    </row>
    <row r="1919" spans="1:24">
      <c r="A1919">
        <f>HYPERLINK("https://www.philgeps.gov.ph/GEPSNONPILOT/Tender/SplashBidNoticeAbstractUI.aspx?menuIndex=3&amp;refID=7078593&amp;Result=3","7078593")</f>
        <v>0</v>
      </c>
      <c r="B1919" t="s">
        <v>824</v>
      </c>
      <c r="C1919" t="s">
        <v>5223</v>
      </c>
      <c r="D1919" t="s">
        <v>16619</v>
      </c>
      <c r="E1919" t="s">
        <v>18490</v>
      </c>
      <c r="F1919" t="s">
        <v>28669</v>
      </c>
      <c r="G1919" t="s">
        <v>28675</v>
      </c>
      <c r="H1919" t="s">
        <v>9998</v>
      </c>
      <c r="I1919" t="s">
        <v>28704</v>
      </c>
      <c r="J1919" t="s">
        <v>30134</v>
      </c>
      <c r="K1919" t="s">
        <v>37209</v>
      </c>
      <c r="M1919" t="s">
        <v>38340</v>
      </c>
      <c r="N1919" t="s">
        <v>41249</v>
      </c>
      <c r="O1919" t="s">
        <v>41250</v>
      </c>
      <c r="P1919">
        <v>0</v>
      </c>
      <c r="Q1919">
        <v>0</v>
      </c>
      <c r="R1919" t="s">
        <v>41251</v>
      </c>
      <c r="S1919" t="s">
        <v>41369</v>
      </c>
      <c r="T1919" t="s">
        <v>42688</v>
      </c>
      <c r="U1919" t="s">
        <v>44868</v>
      </c>
      <c r="W1919" t="s">
        <v>38340</v>
      </c>
      <c r="X1919" t="s">
        <v>41252</v>
      </c>
    </row>
    <row r="1920" spans="1:24">
      <c r="A1920">
        <f>HYPERLINK("https://www.philgeps.gov.ph/GEPSNONPILOT/Tender/SplashBidNoticeAbstractUI.aspx?menuIndex=3&amp;refID=7078533&amp;Result=3","7078533")</f>
        <v>0</v>
      </c>
      <c r="B1920" t="s">
        <v>831</v>
      </c>
      <c r="C1920" t="s">
        <v>5224</v>
      </c>
      <c r="D1920" t="s">
        <v>16622</v>
      </c>
      <c r="E1920" t="s">
        <v>18491</v>
      </c>
      <c r="F1920" t="s">
        <v>28669</v>
      </c>
      <c r="G1920" t="s">
        <v>28676</v>
      </c>
      <c r="H1920" t="s">
        <v>28686</v>
      </c>
      <c r="I1920" t="s">
        <v>28689</v>
      </c>
      <c r="J1920" t="s">
        <v>28905</v>
      </c>
      <c r="K1920" t="s">
        <v>37210</v>
      </c>
      <c r="M1920" t="s">
        <v>38347</v>
      </c>
      <c r="N1920" t="s">
        <v>41249</v>
      </c>
      <c r="O1920" t="s">
        <v>41250</v>
      </c>
      <c r="P1920">
        <v>0</v>
      </c>
      <c r="Q1920">
        <v>0</v>
      </c>
      <c r="R1920" t="s">
        <v>41251</v>
      </c>
      <c r="S1920" t="s">
        <v>41369</v>
      </c>
      <c r="T1920" t="s">
        <v>42745</v>
      </c>
      <c r="U1920" t="s">
        <v>44837</v>
      </c>
      <c r="W1920" t="s">
        <v>38347</v>
      </c>
      <c r="X1920" t="s">
        <v>41252</v>
      </c>
    </row>
    <row r="1921" spans="1:24">
      <c r="A1921">
        <f>HYPERLINK("https://www.philgeps.gov.ph/GEPSNONPILOT/Tender/SplashBidNoticeAbstractUI.aspx?menuIndex=3&amp;refID=7078561&amp;Result=3","7078561")</f>
        <v>0</v>
      </c>
      <c r="B1921" t="s">
        <v>150</v>
      </c>
      <c r="C1921" t="s">
        <v>5213</v>
      </c>
      <c r="D1921" t="s">
        <v>16617</v>
      </c>
      <c r="E1921" t="s">
        <v>18492</v>
      </c>
      <c r="F1921" t="s">
        <v>28669</v>
      </c>
      <c r="G1921" t="s">
        <v>28677</v>
      </c>
      <c r="H1921" t="s">
        <v>9998</v>
      </c>
      <c r="I1921" t="s">
        <v>5213</v>
      </c>
      <c r="J1921" t="s">
        <v>29040</v>
      </c>
      <c r="K1921" t="s">
        <v>37205</v>
      </c>
      <c r="M1921" t="s">
        <v>37627</v>
      </c>
      <c r="N1921" t="s">
        <v>41249</v>
      </c>
      <c r="O1921" t="s">
        <v>41250</v>
      </c>
      <c r="P1921">
        <v>0</v>
      </c>
      <c r="Q1921">
        <v>0</v>
      </c>
      <c r="R1921" t="s">
        <v>41251</v>
      </c>
      <c r="S1921" t="s">
        <v>41369</v>
      </c>
      <c r="T1921" t="s">
        <v>42754</v>
      </c>
      <c r="U1921" t="s">
        <v>44869</v>
      </c>
      <c r="W1921" t="s">
        <v>37627</v>
      </c>
      <c r="X1921" t="s">
        <v>41252</v>
      </c>
    </row>
    <row r="1922" spans="1:24">
      <c r="A1922">
        <f>HYPERLINK("https://www.philgeps.gov.ph/GEPSNONPILOT/Tender/SplashBidNoticeAbstractUI.aspx?menuIndex=3&amp;refID=7078589&amp;Result=3","7078589")</f>
        <v>0</v>
      </c>
      <c r="B1922" t="s">
        <v>824</v>
      </c>
      <c r="C1922" t="s">
        <v>5225</v>
      </c>
      <c r="D1922" t="s">
        <v>16619</v>
      </c>
      <c r="E1922" t="s">
        <v>18493</v>
      </c>
      <c r="F1922" t="s">
        <v>28669</v>
      </c>
      <c r="G1922" t="s">
        <v>28675</v>
      </c>
      <c r="H1922" t="s">
        <v>9998</v>
      </c>
      <c r="I1922" t="s">
        <v>7352</v>
      </c>
      <c r="J1922" t="s">
        <v>30135</v>
      </c>
      <c r="K1922" t="s">
        <v>37209</v>
      </c>
      <c r="M1922" t="s">
        <v>38340</v>
      </c>
      <c r="N1922" t="s">
        <v>41249</v>
      </c>
      <c r="O1922" t="s">
        <v>41250</v>
      </c>
      <c r="P1922">
        <v>0</v>
      </c>
      <c r="Q1922">
        <v>0</v>
      </c>
      <c r="R1922" t="s">
        <v>41251</v>
      </c>
      <c r="S1922" t="s">
        <v>41369</v>
      </c>
      <c r="T1922" t="s">
        <v>42692</v>
      </c>
      <c r="U1922" t="s">
        <v>44870</v>
      </c>
      <c r="W1922" t="s">
        <v>38340</v>
      </c>
      <c r="X1922" t="s">
        <v>41252</v>
      </c>
    </row>
    <row r="1923" spans="1:24">
      <c r="A1923">
        <f>HYPERLINK("https://www.philgeps.gov.ph/GEPSNONPILOT/Tender/SplashBidNoticeAbstractUI.aspx?menuIndex=3&amp;refID=7078595&amp;Result=3","7078595")</f>
        <v>0</v>
      </c>
      <c r="B1923" t="s">
        <v>852</v>
      </c>
      <c r="C1923" t="s">
        <v>5226</v>
      </c>
      <c r="D1923" t="s">
        <v>16679</v>
      </c>
      <c r="E1923" t="s">
        <v>18494</v>
      </c>
      <c r="F1923" t="s">
        <v>28669</v>
      </c>
      <c r="G1923" t="s">
        <v>28677</v>
      </c>
      <c r="H1923" t="s">
        <v>9998</v>
      </c>
      <c r="I1923" t="s">
        <v>28693</v>
      </c>
      <c r="J1923" t="s">
        <v>28979</v>
      </c>
      <c r="K1923" t="s">
        <v>37209</v>
      </c>
      <c r="M1923" t="s">
        <v>38368</v>
      </c>
      <c r="N1923" t="s">
        <v>41249</v>
      </c>
      <c r="O1923" t="s">
        <v>41250</v>
      </c>
      <c r="P1923">
        <v>0</v>
      </c>
      <c r="Q1923">
        <v>8</v>
      </c>
      <c r="R1923" t="s">
        <v>41251</v>
      </c>
      <c r="S1923" t="s">
        <v>41369</v>
      </c>
      <c r="T1923" t="s">
        <v>42702</v>
      </c>
      <c r="U1923" t="s">
        <v>44871</v>
      </c>
      <c r="V1923" t="s">
        <v>54491</v>
      </c>
      <c r="W1923" t="s">
        <v>38368</v>
      </c>
      <c r="X1923" t="s">
        <v>41252</v>
      </c>
    </row>
    <row r="1924" spans="1:24">
      <c r="A1924">
        <f>HYPERLINK("https://www.philgeps.gov.ph/GEPSNONPILOT/Tender/SplashBidNoticeAbstractUI.aspx?menuIndex=3&amp;refID=7078592&amp;Result=3","7078592")</f>
        <v>0</v>
      </c>
      <c r="B1924" t="s">
        <v>845</v>
      </c>
      <c r="C1924" t="s">
        <v>5227</v>
      </c>
      <c r="D1924" t="s">
        <v>16608</v>
      </c>
      <c r="E1924" t="s">
        <v>18495</v>
      </c>
      <c r="F1924" t="s">
        <v>28669</v>
      </c>
      <c r="G1924" t="s">
        <v>28676</v>
      </c>
      <c r="H1924" t="s">
        <v>9998</v>
      </c>
      <c r="I1924" t="s">
        <v>28729</v>
      </c>
      <c r="J1924" t="s">
        <v>30136</v>
      </c>
      <c r="K1924" t="s">
        <v>37205</v>
      </c>
      <c r="M1924" t="s">
        <v>38361</v>
      </c>
      <c r="N1924" t="s">
        <v>41249</v>
      </c>
      <c r="O1924" t="s">
        <v>41250</v>
      </c>
      <c r="P1924">
        <v>0</v>
      </c>
      <c r="Q1924">
        <v>7</v>
      </c>
      <c r="R1924" t="s">
        <v>41251</v>
      </c>
      <c r="S1924" t="s">
        <v>41369</v>
      </c>
      <c r="T1924" t="s">
        <v>42673</v>
      </c>
      <c r="U1924" t="s">
        <v>44872</v>
      </c>
      <c r="V1924" t="s">
        <v>54492</v>
      </c>
      <c r="W1924" t="s">
        <v>38361</v>
      </c>
      <c r="X1924" t="s">
        <v>41252</v>
      </c>
    </row>
    <row r="1925" spans="1:24">
      <c r="A1925">
        <f>HYPERLINK("https://www.philgeps.gov.ph/GEPSNONPILOT/Tender/SplashBidNoticeAbstractUI.aspx?menuIndex=3&amp;refID=7078586&amp;Result=3","7078586")</f>
        <v>0</v>
      </c>
      <c r="B1925" t="s">
        <v>27</v>
      </c>
      <c r="C1925" t="s">
        <v>5228</v>
      </c>
      <c r="D1925" t="s">
        <v>16615</v>
      </c>
      <c r="E1925" t="s">
        <v>18496</v>
      </c>
      <c r="F1925" t="s">
        <v>28669</v>
      </c>
      <c r="G1925" t="s">
        <v>28676</v>
      </c>
      <c r="H1925" t="s">
        <v>28684</v>
      </c>
      <c r="I1925" t="s">
        <v>28710</v>
      </c>
      <c r="J1925" t="s">
        <v>30137</v>
      </c>
      <c r="K1925" t="s">
        <v>37205</v>
      </c>
      <c r="M1925" t="s">
        <v>37502</v>
      </c>
      <c r="N1925" t="s">
        <v>41249</v>
      </c>
      <c r="O1925" t="s">
        <v>41250</v>
      </c>
      <c r="P1925">
        <v>0</v>
      </c>
      <c r="Q1925">
        <v>0</v>
      </c>
      <c r="R1925" t="s">
        <v>41251</v>
      </c>
      <c r="S1925" t="s">
        <v>41369</v>
      </c>
      <c r="T1925" t="s">
        <v>42662</v>
      </c>
      <c r="U1925" t="s">
        <v>44873</v>
      </c>
      <c r="W1925" t="s">
        <v>37502</v>
      </c>
      <c r="X1925" t="s">
        <v>41252</v>
      </c>
    </row>
    <row r="1926" spans="1:24">
      <c r="A1926">
        <f>HYPERLINK("https://www.philgeps.gov.ph/GEPSNONPILOT/Tender/SplashBidNoticeAbstractUI.aspx?menuIndex=3&amp;refID=7078585&amp;Result=3","7078585")</f>
        <v>0</v>
      </c>
      <c r="B1926" t="s">
        <v>853</v>
      </c>
      <c r="C1926" t="s">
        <v>5229</v>
      </c>
      <c r="D1926" t="s">
        <v>16617</v>
      </c>
      <c r="E1926" t="s">
        <v>18497</v>
      </c>
      <c r="F1926" t="s">
        <v>28669</v>
      </c>
      <c r="G1926" t="s">
        <v>28675</v>
      </c>
      <c r="H1926" t="s">
        <v>28684</v>
      </c>
      <c r="I1926" t="s">
        <v>28779</v>
      </c>
      <c r="J1926" t="s">
        <v>30138</v>
      </c>
      <c r="K1926" t="s">
        <v>37221</v>
      </c>
      <c r="M1926" t="s">
        <v>38369</v>
      </c>
      <c r="N1926" t="s">
        <v>41249</v>
      </c>
      <c r="O1926" t="s">
        <v>41250</v>
      </c>
      <c r="P1926">
        <v>0</v>
      </c>
      <c r="Q1926">
        <v>3</v>
      </c>
      <c r="R1926" t="s">
        <v>41251</v>
      </c>
      <c r="S1926" t="s">
        <v>41369</v>
      </c>
      <c r="T1926" t="s">
        <v>42692</v>
      </c>
      <c r="U1926" t="s">
        <v>44874</v>
      </c>
      <c r="V1926" t="s">
        <v>54493</v>
      </c>
      <c r="W1926" t="s">
        <v>38369</v>
      </c>
      <c r="X1926" t="s">
        <v>41252</v>
      </c>
    </row>
    <row r="1927" spans="1:24">
      <c r="A1927">
        <f>HYPERLINK("https://www.philgeps.gov.ph/GEPSNONPILOT/Tender/SplashBidNoticeAbstractUI.aspx?menuIndex=3&amp;refID=7078582&amp;Result=3","7078582")</f>
        <v>0</v>
      </c>
      <c r="B1927" t="s">
        <v>854</v>
      </c>
      <c r="C1927" t="s">
        <v>5230</v>
      </c>
      <c r="D1927" t="s">
        <v>16627</v>
      </c>
      <c r="E1927" t="s">
        <v>18498</v>
      </c>
      <c r="F1927" t="s">
        <v>28669</v>
      </c>
      <c r="G1927" t="s">
        <v>28677</v>
      </c>
      <c r="H1927" t="s">
        <v>9998</v>
      </c>
      <c r="I1927" t="s">
        <v>28690</v>
      </c>
      <c r="J1927" t="s">
        <v>30139</v>
      </c>
      <c r="K1927" t="s">
        <v>37205</v>
      </c>
      <c r="M1927" t="s">
        <v>38370</v>
      </c>
      <c r="N1927" t="s">
        <v>41249</v>
      </c>
      <c r="O1927" t="s">
        <v>41250</v>
      </c>
      <c r="P1927">
        <v>0</v>
      </c>
      <c r="Q1927">
        <v>0</v>
      </c>
      <c r="R1927" t="s">
        <v>41251</v>
      </c>
      <c r="S1927" t="s">
        <v>41369</v>
      </c>
      <c r="T1927" t="s">
        <v>42857</v>
      </c>
      <c r="U1927" t="s">
        <v>44875</v>
      </c>
      <c r="W1927" t="s">
        <v>38370</v>
      </c>
      <c r="X1927" t="s">
        <v>41252</v>
      </c>
    </row>
    <row r="1928" spans="1:24">
      <c r="A1928">
        <f>HYPERLINK("https://www.philgeps.gov.ph/GEPSNONPILOT/Tender/SplashBidNoticeAbstractUI.aspx?menuIndex=3&amp;refID=7078581&amp;Result=3","7078581")</f>
        <v>0</v>
      </c>
      <c r="B1928" t="s">
        <v>855</v>
      </c>
      <c r="C1928" t="s">
        <v>5231</v>
      </c>
      <c r="D1928" t="s">
        <v>16684</v>
      </c>
      <c r="E1928" t="s">
        <v>17014</v>
      </c>
      <c r="F1928" t="s">
        <v>28669</v>
      </c>
      <c r="G1928" t="s">
        <v>28675</v>
      </c>
      <c r="H1928" t="s">
        <v>9998</v>
      </c>
      <c r="I1928" t="s">
        <v>28719</v>
      </c>
      <c r="J1928" t="s">
        <v>30140</v>
      </c>
      <c r="K1928" t="s">
        <v>37210</v>
      </c>
      <c r="M1928" t="s">
        <v>38371</v>
      </c>
      <c r="N1928" t="s">
        <v>41249</v>
      </c>
      <c r="O1928" t="s">
        <v>41250</v>
      </c>
      <c r="P1928">
        <v>0</v>
      </c>
      <c r="Q1928">
        <v>2</v>
      </c>
      <c r="R1928" t="s">
        <v>41251</v>
      </c>
      <c r="S1928" t="s">
        <v>41369</v>
      </c>
      <c r="T1928" t="s">
        <v>42750</v>
      </c>
      <c r="U1928" t="s">
        <v>44876</v>
      </c>
      <c r="W1928" t="s">
        <v>38371</v>
      </c>
      <c r="X1928" t="s">
        <v>41252</v>
      </c>
    </row>
    <row r="1929" spans="1:24">
      <c r="A1929">
        <f>HYPERLINK("https://www.philgeps.gov.ph/GEPSNONPILOT/Tender/SplashBidNoticeAbstractUI.aspx?menuIndex=3&amp;refID=7078579&amp;Result=3","7078579")</f>
        <v>0</v>
      </c>
      <c r="B1929" t="s">
        <v>843</v>
      </c>
      <c r="C1929" t="s">
        <v>5215</v>
      </c>
      <c r="D1929" t="s">
        <v>16638</v>
      </c>
      <c r="E1929" t="s">
        <v>18499</v>
      </c>
      <c r="F1929" t="s">
        <v>28669</v>
      </c>
      <c r="G1929" t="s">
        <v>28677</v>
      </c>
      <c r="H1929" t="s">
        <v>9998</v>
      </c>
      <c r="I1929" t="s">
        <v>15140</v>
      </c>
      <c r="J1929" t="s">
        <v>29782</v>
      </c>
      <c r="K1929" t="s">
        <v>37204</v>
      </c>
      <c r="M1929" t="s">
        <v>38359</v>
      </c>
      <c r="N1929" t="s">
        <v>41249</v>
      </c>
      <c r="O1929" t="s">
        <v>41250</v>
      </c>
      <c r="P1929">
        <v>0</v>
      </c>
      <c r="Q1929">
        <v>0</v>
      </c>
      <c r="R1929" t="s">
        <v>41251</v>
      </c>
      <c r="S1929" t="s">
        <v>41369</v>
      </c>
      <c r="T1929" t="s">
        <v>42711</v>
      </c>
      <c r="U1929" t="s">
        <v>44856</v>
      </c>
      <c r="W1929" t="s">
        <v>38359</v>
      </c>
      <c r="X1929" t="s">
        <v>41252</v>
      </c>
    </row>
    <row r="1930" spans="1:24">
      <c r="A1930">
        <f>HYPERLINK("https://www.philgeps.gov.ph/GEPSNONPILOT/Tender/SplashBidNoticeAbstractUI.aspx?menuIndex=3&amp;refID=7078590&amp;Result=3","7078590")</f>
        <v>0</v>
      </c>
      <c r="B1930" t="s">
        <v>843</v>
      </c>
      <c r="C1930" t="s">
        <v>5232</v>
      </c>
      <c r="D1930" t="s">
        <v>16638</v>
      </c>
      <c r="E1930" t="s">
        <v>18500</v>
      </c>
      <c r="F1930" t="s">
        <v>28669</v>
      </c>
      <c r="G1930" t="s">
        <v>28677</v>
      </c>
      <c r="H1930" t="s">
        <v>9998</v>
      </c>
      <c r="I1930" t="s">
        <v>6128</v>
      </c>
      <c r="J1930" t="s">
        <v>30141</v>
      </c>
      <c r="K1930" t="s">
        <v>37204</v>
      </c>
      <c r="M1930" t="s">
        <v>38359</v>
      </c>
      <c r="N1930" t="s">
        <v>41249</v>
      </c>
      <c r="O1930" t="s">
        <v>41250</v>
      </c>
      <c r="P1930">
        <v>0</v>
      </c>
      <c r="Q1930">
        <v>0</v>
      </c>
      <c r="R1930" t="s">
        <v>41251</v>
      </c>
      <c r="S1930" t="s">
        <v>41369</v>
      </c>
      <c r="T1930" t="s">
        <v>42711</v>
      </c>
      <c r="U1930" t="s">
        <v>44856</v>
      </c>
      <c r="W1930" t="s">
        <v>38359</v>
      </c>
      <c r="X1930" t="s">
        <v>41252</v>
      </c>
    </row>
    <row r="1931" spans="1:24">
      <c r="A1931">
        <f>HYPERLINK("https://www.philgeps.gov.ph/GEPSNONPILOT/Tender/SplashBidNoticeAbstractUI.aspx?menuIndex=3&amp;refID=7078580&amp;Result=3","7078580")</f>
        <v>0</v>
      </c>
      <c r="B1931" t="s">
        <v>856</v>
      </c>
      <c r="C1931" t="s">
        <v>5233</v>
      </c>
      <c r="D1931" t="s">
        <v>16675</v>
      </c>
      <c r="E1931" t="s">
        <v>18501</v>
      </c>
      <c r="F1931" t="s">
        <v>28669</v>
      </c>
      <c r="G1931" t="s">
        <v>28676</v>
      </c>
      <c r="H1931" t="s">
        <v>28686</v>
      </c>
      <c r="I1931" t="s">
        <v>28689</v>
      </c>
      <c r="J1931" t="s">
        <v>28836</v>
      </c>
      <c r="K1931" t="s">
        <v>37213</v>
      </c>
      <c r="M1931" t="s">
        <v>38372</v>
      </c>
      <c r="N1931" t="s">
        <v>41249</v>
      </c>
      <c r="O1931" t="s">
        <v>41250</v>
      </c>
      <c r="P1931">
        <v>0</v>
      </c>
      <c r="Q1931">
        <v>0</v>
      </c>
      <c r="R1931" t="s">
        <v>41251</v>
      </c>
      <c r="S1931" t="s">
        <v>41369</v>
      </c>
      <c r="T1931" t="s">
        <v>42673</v>
      </c>
      <c r="U1931" t="s">
        <v>44877</v>
      </c>
      <c r="W1931" t="s">
        <v>38372</v>
      </c>
      <c r="X1931" t="s">
        <v>41252</v>
      </c>
    </row>
    <row r="1932" spans="1:24">
      <c r="A1932">
        <f>HYPERLINK("https://www.philgeps.gov.ph/GEPSNONPILOT/Tender/SplashBidNoticeAbstractUI.aspx?menuIndex=3&amp;refID=7078621&amp;Result=3","7078621")</f>
        <v>0</v>
      </c>
      <c r="B1932" t="s">
        <v>857</v>
      </c>
      <c r="C1932" t="s">
        <v>5234</v>
      </c>
      <c r="D1932" t="s">
        <v>16608</v>
      </c>
      <c r="E1932" t="s">
        <v>18502</v>
      </c>
      <c r="F1932" t="s">
        <v>28669</v>
      </c>
      <c r="G1932" t="s">
        <v>28676</v>
      </c>
      <c r="H1932" t="s">
        <v>9998</v>
      </c>
      <c r="I1932" t="s">
        <v>28690</v>
      </c>
      <c r="J1932" t="s">
        <v>29427</v>
      </c>
      <c r="K1932" t="s">
        <v>37204</v>
      </c>
      <c r="M1932" t="s">
        <v>38373</v>
      </c>
      <c r="N1932" t="s">
        <v>41249</v>
      </c>
      <c r="O1932" t="s">
        <v>41250</v>
      </c>
      <c r="P1932">
        <v>0</v>
      </c>
      <c r="Q1932">
        <v>22</v>
      </c>
      <c r="R1932" t="s">
        <v>41251</v>
      </c>
      <c r="S1932" t="s">
        <v>41369</v>
      </c>
      <c r="T1932" t="s">
        <v>42858</v>
      </c>
      <c r="U1932" t="s">
        <v>44878</v>
      </c>
      <c r="W1932" t="s">
        <v>38373</v>
      </c>
      <c r="X1932" t="s">
        <v>41252</v>
      </c>
    </row>
    <row r="1933" spans="1:24">
      <c r="A1933">
        <f>HYPERLINK("https://www.philgeps.gov.ph/GEPSNONPILOT/Tender/SplashBidNoticeAbstractUI.aspx?menuIndex=3&amp;refID=7078619&amp;Result=3","7078619")</f>
        <v>0</v>
      </c>
      <c r="B1933" t="s">
        <v>853</v>
      </c>
      <c r="C1933" t="s">
        <v>5235</v>
      </c>
      <c r="D1933" t="s">
        <v>16617</v>
      </c>
      <c r="E1933" t="s">
        <v>18503</v>
      </c>
      <c r="F1933" t="s">
        <v>28669</v>
      </c>
      <c r="G1933" t="s">
        <v>28675</v>
      </c>
      <c r="H1933" t="s">
        <v>28684</v>
      </c>
      <c r="I1933" t="s">
        <v>28779</v>
      </c>
      <c r="J1933" t="s">
        <v>30142</v>
      </c>
      <c r="K1933" t="s">
        <v>37215</v>
      </c>
      <c r="M1933" t="s">
        <v>38369</v>
      </c>
      <c r="N1933" t="s">
        <v>41249</v>
      </c>
      <c r="O1933" t="s">
        <v>41250</v>
      </c>
      <c r="P1933">
        <v>0</v>
      </c>
      <c r="Q1933">
        <v>1</v>
      </c>
      <c r="R1933" t="s">
        <v>41251</v>
      </c>
      <c r="S1933" t="s">
        <v>41369</v>
      </c>
      <c r="T1933" t="s">
        <v>42692</v>
      </c>
      <c r="U1933" t="s">
        <v>44874</v>
      </c>
      <c r="V1933" t="s">
        <v>54494</v>
      </c>
      <c r="W1933" t="s">
        <v>38369</v>
      </c>
      <c r="X1933" t="s">
        <v>41252</v>
      </c>
    </row>
    <row r="1934" spans="1:24">
      <c r="A1934">
        <f>HYPERLINK("https://www.philgeps.gov.ph/GEPSNONPILOT/Tender/SplashBidNoticeAbstractUI.aspx?menuIndex=3&amp;refID=7078618&amp;Result=3","7078618")</f>
        <v>0</v>
      </c>
      <c r="B1934" t="s">
        <v>856</v>
      </c>
      <c r="C1934" t="s">
        <v>5236</v>
      </c>
      <c r="D1934" t="s">
        <v>16675</v>
      </c>
      <c r="E1934" t="s">
        <v>18504</v>
      </c>
      <c r="F1934" t="s">
        <v>28669</v>
      </c>
      <c r="G1934" t="s">
        <v>28676</v>
      </c>
      <c r="H1934" t="s">
        <v>28686</v>
      </c>
      <c r="I1934" t="s">
        <v>28689</v>
      </c>
      <c r="J1934" t="s">
        <v>29320</v>
      </c>
      <c r="K1934" t="s">
        <v>37215</v>
      </c>
      <c r="M1934" t="s">
        <v>38372</v>
      </c>
      <c r="N1934" t="s">
        <v>41249</v>
      </c>
      <c r="O1934" t="s">
        <v>41250</v>
      </c>
      <c r="P1934">
        <v>0</v>
      </c>
      <c r="Q1934">
        <v>0</v>
      </c>
      <c r="R1934" t="s">
        <v>41251</v>
      </c>
      <c r="S1934" t="s">
        <v>41369</v>
      </c>
      <c r="T1934" t="s">
        <v>42738</v>
      </c>
      <c r="U1934" t="s">
        <v>44879</v>
      </c>
      <c r="W1934" t="s">
        <v>38372</v>
      </c>
      <c r="X1934" t="s">
        <v>41252</v>
      </c>
    </row>
    <row r="1935" spans="1:24">
      <c r="A1935">
        <f>HYPERLINK("https://www.philgeps.gov.ph/GEPSNONPILOT/Tender/SplashBidNoticeAbstractUI.aspx?menuIndex=3&amp;refID=7078617&amp;Result=3","7078617")</f>
        <v>0</v>
      </c>
      <c r="B1935" t="s">
        <v>858</v>
      </c>
      <c r="C1935" t="s">
        <v>5237</v>
      </c>
      <c r="D1935" t="s">
        <v>16621</v>
      </c>
      <c r="E1935" t="s">
        <v>16707</v>
      </c>
      <c r="F1935" t="s">
        <v>28671</v>
      </c>
      <c r="G1935" t="s">
        <v>28675</v>
      </c>
      <c r="H1935" t="s">
        <v>9998</v>
      </c>
      <c r="I1935" t="s">
        <v>7352</v>
      </c>
      <c r="J1935" t="s">
        <v>30143</v>
      </c>
      <c r="K1935" t="s">
        <v>37210</v>
      </c>
      <c r="M1935" t="s">
        <v>38374</v>
      </c>
      <c r="N1935" t="s">
        <v>41249</v>
      </c>
      <c r="O1935" t="s">
        <v>41250</v>
      </c>
      <c r="P1935">
        <v>0</v>
      </c>
      <c r="Q1935">
        <v>0</v>
      </c>
      <c r="R1935" t="s">
        <v>41251</v>
      </c>
      <c r="S1935" t="s">
        <v>41369</v>
      </c>
      <c r="T1935" t="s">
        <v>42782</v>
      </c>
      <c r="U1935" t="s">
        <v>44880</v>
      </c>
      <c r="W1935" t="s">
        <v>38374</v>
      </c>
      <c r="X1935" t="s">
        <v>41252</v>
      </c>
    </row>
    <row r="1936" spans="1:24">
      <c r="A1936">
        <f>HYPERLINK("https://www.philgeps.gov.ph/GEPSNONPILOT/Tender/SplashBidNoticeAbstractUI.aspx?menuIndex=3&amp;refID=7078616&amp;Result=3","7078616")</f>
        <v>0</v>
      </c>
      <c r="B1936" t="s">
        <v>278</v>
      </c>
      <c r="C1936" t="s">
        <v>5238</v>
      </c>
      <c r="D1936" t="s">
        <v>16608</v>
      </c>
      <c r="E1936" t="s">
        <v>18505</v>
      </c>
      <c r="F1936" t="s">
        <v>28669</v>
      </c>
      <c r="G1936" t="s">
        <v>28675</v>
      </c>
      <c r="H1936" t="s">
        <v>9998</v>
      </c>
      <c r="I1936" t="s">
        <v>28725</v>
      </c>
      <c r="J1936" t="s">
        <v>29540</v>
      </c>
      <c r="K1936" t="s">
        <v>37221</v>
      </c>
      <c r="M1936" t="s">
        <v>38375</v>
      </c>
      <c r="N1936" t="s">
        <v>41249</v>
      </c>
      <c r="O1936" t="s">
        <v>41250</v>
      </c>
      <c r="P1936">
        <v>0</v>
      </c>
      <c r="Q1936">
        <v>5</v>
      </c>
      <c r="R1936" t="s">
        <v>41251</v>
      </c>
      <c r="S1936" t="s">
        <v>41369</v>
      </c>
      <c r="T1936" t="s">
        <v>42661</v>
      </c>
      <c r="U1936" t="s">
        <v>44881</v>
      </c>
      <c r="W1936" t="s">
        <v>38375</v>
      </c>
      <c r="X1936" t="s">
        <v>41252</v>
      </c>
    </row>
    <row r="1937" spans="1:24">
      <c r="A1937">
        <f>HYPERLINK("https://www.philgeps.gov.ph/GEPSNONPILOT/Tender/SplashBidNoticeAbstractUI.aspx?menuIndex=3&amp;refID=7078612&amp;Result=3","7078612")</f>
        <v>0</v>
      </c>
      <c r="B1937" t="s">
        <v>824</v>
      </c>
      <c r="C1937" t="s">
        <v>5239</v>
      </c>
      <c r="D1937" t="s">
        <v>16619</v>
      </c>
      <c r="E1937" t="s">
        <v>18506</v>
      </c>
      <c r="F1937" t="s">
        <v>28669</v>
      </c>
      <c r="G1937" t="s">
        <v>28675</v>
      </c>
      <c r="H1937" t="s">
        <v>9998</v>
      </c>
      <c r="I1937" t="s">
        <v>28707</v>
      </c>
      <c r="J1937" t="s">
        <v>28851</v>
      </c>
      <c r="K1937" t="s">
        <v>37209</v>
      </c>
      <c r="M1937" t="s">
        <v>38340</v>
      </c>
      <c r="N1937" t="s">
        <v>41249</v>
      </c>
      <c r="O1937" t="s">
        <v>41250</v>
      </c>
      <c r="P1937">
        <v>0</v>
      </c>
      <c r="Q1937">
        <v>4</v>
      </c>
      <c r="R1937" t="s">
        <v>41251</v>
      </c>
      <c r="S1937" t="s">
        <v>41369</v>
      </c>
      <c r="T1937" t="s">
        <v>42859</v>
      </c>
      <c r="U1937" t="s">
        <v>44882</v>
      </c>
      <c r="W1937" t="s">
        <v>38340</v>
      </c>
      <c r="X1937" t="s">
        <v>41252</v>
      </c>
    </row>
    <row r="1938" spans="1:24">
      <c r="A1938">
        <f>HYPERLINK("https://www.philgeps.gov.ph/GEPSNONPILOT/Tender/SplashBidNoticeAbstractUI.aspx?menuIndex=3&amp;refID=7078587&amp;Result=3","7078587")</f>
        <v>0</v>
      </c>
      <c r="B1938" t="s">
        <v>859</v>
      </c>
      <c r="C1938" t="s">
        <v>5240</v>
      </c>
      <c r="D1938" t="s">
        <v>16660</v>
      </c>
      <c r="E1938" t="s">
        <v>18507</v>
      </c>
      <c r="F1938" t="s">
        <v>28669</v>
      </c>
      <c r="G1938" t="s">
        <v>28677</v>
      </c>
      <c r="H1938" t="s">
        <v>9998</v>
      </c>
      <c r="I1938" t="s">
        <v>28694</v>
      </c>
      <c r="J1938" t="s">
        <v>30144</v>
      </c>
      <c r="K1938" t="s">
        <v>37209</v>
      </c>
      <c r="M1938" t="s">
        <v>38376</v>
      </c>
      <c r="N1938" t="s">
        <v>41249</v>
      </c>
      <c r="O1938" t="s">
        <v>41250</v>
      </c>
      <c r="P1938">
        <v>0</v>
      </c>
      <c r="Q1938">
        <v>1</v>
      </c>
      <c r="R1938" t="s">
        <v>41251</v>
      </c>
      <c r="S1938" t="s">
        <v>41369</v>
      </c>
      <c r="T1938" t="s">
        <v>42682</v>
      </c>
      <c r="U1938" t="s">
        <v>44883</v>
      </c>
      <c r="W1938" t="s">
        <v>38376</v>
      </c>
      <c r="X1938" t="s">
        <v>41252</v>
      </c>
    </row>
    <row r="1939" spans="1:24">
      <c r="A1939">
        <f>HYPERLINK("https://www.philgeps.gov.ph/GEPSNONPILOT/Tender/SplashBidNoticeAbstractUI.aspx?menuIndex=3&amp;refID=7078588&amp;Result=3","7078588")</f>
        <v>0</v>
      </c>
      <c r="B1939" t="s">
        <v>600</v>
      </c>
      <c r="C1939" t="s">
        <v>5241</v>
      </c>
      <c r="D1939" t="s">
        <v>16608</v>
      </c>
      <c r="E1939" t="s">
        <v>18508</v>
      </c>
      <c r="F1939" t="s">
        <v>28669</v>
      </c>
      <c r="G1939" t="s">
        <v>28675</v>
      </c>
      <c r="H1939" t="s">
        <v>28685</v>
      </c>
      <c r="I1939" t="s">
        <v>28780</v>
      </c>
      <c r="J1939" t="s">
        <v>30145</v>
      </c>
      <c r="K1939" t="s">
        <v>37238</v>
      </c>
      <c r="M1939" t="s">
        <v>38377</v>
      </c>
      <c r="N1939" t="s">
        <v>41249</v>
      </c>
      <c r="O1939" t="s">
        <v>41250</v>
      </c>
      <c r="P1939">
        <v>0</v>
      </c>
      <c r="Q1939">
        <v>7</v>
      </c>
      <c r="R1939" t="s">
        <v>41251</v>
      </c>
      <c r="S1939" t="s">
        <v>41369</v>
      </c>
      <c r="T1939" t="s">
        <v>42860</v>
      </c>
      <c r="U1939" t="s">
        <v>44884</v>
      </c>
      <c r="V1939" t="s">
        <v>54495</v>
      </c>
      <c r="W1939" t="s">
        <v>38377</v>
      </c>
      <c r="X1939" t="s">
        <v>41252</v>
      </c>
    </row>
    <row r="1940" spans="1:24">
      <c r="A1940">
        <f>HYPERLINK("https://www.philgeps.gov.ph/GEPSNONPILOT/Tender/SplashBidNoticeAbstractUI.aspx?menuIndex=3&amp;refID=7078611&amp;Result=3","7078611")</f>
        <v>0</v>
      </c>
      <c r="B1940" t="s">
        <v>857</v>
      </c>
      <c r="C1940" t="s">
        <v>5242</v>
      </c>
      <c r="D1940" t="s">
        <v>16608</v>
      </c>
      <c r="E1940" t="s">
        <v>18509</v>
      </c>
      <c r="F1940" t="s">
        <v>28669</v>
      </c>
      <c r="G1940" t="s">
        <v>28676</v>
      </c>
      <c r="H1940" t="s">
        <v>9998</v>
      </c>
      <c r="I1940" t="s">
        <v>28690</v>
      </c>
      <c r="J1940" t="s">
        <v>29227</v>
      </c>
      <c r="K1940" t="s">
        <v>37204</v>
      </c>
      <c r="M1940" t="s">
        <v>38373</v>
      </c>
      <c r="N1940" t="s">
        <v>41249</v>
      </c>
      <c r="O1940" t="s">
        <v>41250</v>
      </c>
      <c r="P1940">
        <v>0</v>
      </c>
      <c r="Q1940">
        <v>27</v>
      </c>
      <c r="R1940" t="s">
        <v>41251</v>
      </c>
      <c r="S1940" t="s">
        <v>41369</v>
      </c>
      <c r="T1940" t="s">
        <v>42686</v>
      </c>
      <c r="U1940" t="s">
        <v>44885</v>
      </c>
      <c r="W1940" t="s">
        <v>38373</v>
      </c>
      <c r="X1940" t="s">
        <v>41252</v>
      </c>
    </row>
    <row r="1941" spans="1:24">
      <c r="A1941">
        <f>HYPERLINK("https://www.philgeps.gov.ph/GEPSNONPILOT/Tender/SplashBidNoticeAbstractUI.aspx?menuIndex=3&amp;refID=7078609&amp;Result=3","7078609")</f>
        <v>0</v>
      </c>
      <c r="B1941" t="s">
        <v>72</v>
      </c>
      <c r="C1941" t="s">
        <v>5243</v>
      </c>
      <c r="D1941" t="s">
        <v>16644</v>
      </c>
      <c r="E1941" t="s">
        <v>18510</v>
      </c>
      <c r="F1941" t="s">
        <v>28669</v>
      </c>
      <c r="G1941" t="s">
        <v>28675</v>
      </c>
      <c r="H1941" t="s">
        <v>28686</v>
      </c>
      <c r="I1941" t="s">
        <v>28689</v>
      </c>
      <c r="J1941" t="s">
        <v>30146</v>
      </c>
      <c r="K1941" t="s">
        <v>37212</v>
      </c>
      <c r="M1941" t="s">
        <v>37547</v>
      </c>
      <c r="N1941" t="s">
        <v>41249</v>
      </c>
      <c r="O1941" t="s">
        <v>41250</v>
      </c>
      <c r="P1941">
        <v>0</v>
      </c>
      <c r="Q1941">
        <v>2</v>
      </c>
      <c r="R1941" t="s">
        <v>41251</v>
      </c>
      <c r="S1941" t="s">
        <v>41369</v>
      </c>
      <c r="T1941" t="s">
        <v>42716</v>
      </c>
      <c r="U1941" t="s">
        <v>44886</v>
      </c>
      <c r="V1941" t="s">
        <v>54496</v>
      </c>
      <c r="W1941" t="s">
        <v>55934</v>
      </c>
      <c r="X1941" t="s">
        <v>41252</v>
      </c>
    </row>
    <row r="1942" spans="1:24">
      <c r="A1942">
        <f>HYPERLINK("https://www.philgeps.gov.ph/GEPSNONPILOT/Tender/SplashBidNoticeAbstractUI.aspx?menuIndex=3&amp;refID=7078620&amp;Result=3","7078620")</f>
        <v>0</v>
      </c>
      <c r="B1942" t="s">
        <v>860</v>
      </c>
      <c r="C1942" t="s">
        <v>5244</v>
      </c>
      <c r="D1942" t="s">
        <v>16678</v>
      </c>
      <c r="E1942" t="s">
        <v>18511</v>
      </c>
      <c r="F1942" t="s">
        <v>28671</v>
      </c>
      <c r="G1942" t="s">
        <v>28675</v>
      </c>
      <c r="H1942" t="s">
        <v>9998</v>
      </c>
      <c r="I1942" t="s">
        <v>28706</v>
      </c>
      <c r="J1942" t="s">
        <v>29247</v>
      </c>
      <c r="K1942" t="s">
        <v>37206</v>
      </c>
      <c r="L1942" t="s">
        <v>860</v>
      </c>
      <c r="M1942" t="s">
        <v>38378</v>
      </c>
      <c r="N1942" t="s">
        <v>41249</v>
      </c>
      <c r="O1942" t="s">
        <v>41250</v>
      </c>
      <c r="P1942">
        <v>0</v>
      </c>
      <c r="Q1942">
        <v>4</v>
      </c>
      <c r="R1942" t="s">
        <v>41251</v>
      </c>
      <c r="S1942" t="s">
        <v>41369</v>
      </c>
      <c r="T1942" t="s">
        <v>42786</v>
      </c>
      <c r="U1942" t="s">
        <v>44887</v>
      </c>
      <c r="W1942" t="s">
        <v>38378</v>
      </c>
      <c r="X1942" t="s">
        <v>41252</v>
      </c>
    </row>
    <row r="1943" spans="1:24">
      <c r="A1943">
        <f>HYPERLINK("https://www.philgeps.gov.ph/GEPSNONPILOT/Tender/SplashBidNoticeAbstractUI.aspx?menuIndex=3&amp;refID=7078544&amp;Result=3","7078544")</f>
        <v>0</v>
      </c>
      <c r="B1943" t="s">
        <v>861</v>
      </c>
      <c r="C1943" t="s">
        <v>5245</v>
      </c>
      <c r="D1943" t="s">
        <v>16627</v>
      </c>
      <c r="E1943" t="s">
        <v>18512</v>
      </c>
      <c r="F1943" t="s">
        <v>28669</v>
      </c>
      <c r="G1943" t="s">
        <v>28676</v>
      </c>
      <c r="H1943" t="s">
        <v>28684</v>
      </c>
      <c r="I1943" t="s">
        <v>28689</v>
      </c>
      <c r="J1943" t="s">
        <v>28910</v>
      </c>
      <c r="K1943" t="s">
        <v>37213</v>
      </c>
      <c r="M1943" t="s">
        <v>38379</v>
      </c>
      <c r="N1943" t="s">
        <v>41249</v>
      </c>
      <c r="O1943" t="s">
        <v>41250</v>
      </c>
      <c r="P1943">
        <v>0</v>
      </c>
      <c r="Q1943">
        <v>0</v>
      </c>
      <c r="R1943" t="s">
        <v>41251</v>
      </c>
      <c r="S1943" t="s">
        <v>41369</v>
      </c>
      <c r="T1943" t="s">
        <v>42690</v>
      </c>
      <c r="U1943" t="s">
        <v>44888</v>
      </c>
      <c r="W1943" t="s">
        <v>38379</v>
      </c>
      <c r="X1943" t="s">
        <v>41252</v>
      </c>
    </row>
    <row r="1944" spans="1:24">
      <c r="A1944">
        <f>HYPERLINK("https://www.philgeps.gov.ph/GEPSNONPILOT/Tender/SplashBidNoticeAbstractUI.aspx?menuIndex=3&amp;refID=7078647&amp;Result=3","7078647")</f>
        <v>0</v>
      </c>
      <c r="B1944" t="s">
        <v>843</v>
      </c>
      <c r="C1944" t="s">
        <v>3707</v>
      </c>
      <c r="D1944" t="s">
        <v>16638</v>
      </c>
      <c r="E1944" t="s">
        <v>18513</v>
      </c>
      <c r="F1944" t="s">
        <v>28669</v>
      </c>
      <c r="G1944" t="s">
        <v>28676</v>
      </c>
      <c r="H1944" t="s">
        <v>9998</v>
      </c>
      <c r="I1944" t="s">
        <v>6128</v>
      </c>
      <c r="J1944" t="s">
        <v>30147</v>
      </c>
      <c r="K1944" t="s">
        <v>37204</v>
      </c>
      <c r="M1944" t="s">
        <v>38359</v>
      </c>
      <c r="N1944" t="s">
        <v>41249</v>
      </c>
      <c r="O1944" t="s">
        <v>41250</v>
      </c>
      <c r="P1944">
        <v>0</v>
      </c>
      <c r="Q1944">
        <v>0</v>
      </c>
      <c r="R1944" t="s">
        <v>41251</v>
      </c>
      <c r="S1944" t="s">
        <v>41369</v>
      </c>
      <c r="T1944" t="s">
        <v>42711</v>
      </c>
      <c r="U1944" t="s">
        <v>44856</v>
      </c>
      <c r="W1944" t="s">
        <v>38359</v>
      </c>
      <c r="X1944" t="s">
        <v>41252</v>
      </c>
    </row>
    <row r="1945" spans="1:24">
      <c r="A1945">
        <f>HYPERLINK("https://www.philgeps.gov.ph/GEPSNONPILOT/Tender/SplashBidNoticeAbstractUI.aspx?menuIndex=3&amp;refID=7078614&amp;Result=3","7078614")</f>
        <v>0</v>
      </c>
      <c r="B1945" t="s">
        <v>72</v>
      </c>
      <c r="C1945" t="s">
        <v>5246</v>
      </c>
      <c r="D1945" t="s">
        <v>16644</v>
      </c>
      <c r="E1945" t="s">
        <v>18514</v>
      </c>
      <c r="F1945" t="s">
        <v>28669</v>
      </c>
      <c r="G1945" t="s">
        <v>28675</v>
      </c>
      <c r="H1945" t="s">
        <v>28686</v>
      </c>
      <c r="I1945" t="s">
        <v>28689</v>
      </c>
      <c r="J1945" t="s">
        <v>30148</v>
      </c>
      <c r="K1945" t="s">
        <v>37215</v>
      </c>
      <c r="M1945" t="s">
        <v>37547</v>
      </c>
      <c r="N1945" t="s">
        <v>41249</v>
      </c>
      <c r="O1945" t="s">
        <v>41250</v>
      </c>
      <c r="P1945">
        <v>0</v>
      </c>
      <c r="Q1945">
        <v>1</v>
      </c>
      <c r="R1945" t="s">
        <v>41251</v>
      </c>
      <c r="S1945" t="s">
        <v>41369</v>
      </c>
      <c r="T1945" t="s">
        <v>42716</v>
      </c>
      <c r="U1945" t="s">
        <v>44889</v>
      </c>
      <c r="V1945" t="s">
        <v>54497</v>
      </c>
      <c r="W1945" t="s">
        <v>55934</v>
      </c>
      <c r="X1945" t="s">
        <v>41252</v>
      </c>
    </row>
    <row r="1946" spans="1:24">
      <c r="A1946">
        <f>HYPERLINK("https://www.philgeps.gov.ph/GEPSNONPILOT/Tender/SplashBidNoticeAbstractUI.aspx?menuIndex=3&amp;refID=7078610&amp;Result=3","7078610")</f>
        <v>0</v>
      </c>
      <c r="B1946" t="s">
        <v>72</v>
      </c>
      <c r="C1946" t="s">
        <v>5247</v>
      </c>
      <c r="D1946" t="s">
        <v>16644</v>
      </c>
      <c r="E1946" t="s">
        <v>18515</v>
      </c>
      <c r="F1946" t="s">
        <v>28669</v>
      </c>
      <c r="G1946" t="s">
        <v>28675</v>
      </c>
      <c r="H1946" t="s">
        <v>28686</v>
      </c>
      <c r="I1946" t="s">
        <v>28689</v>
      </c>
      <c r="J1946" t="s">
        <v>30149</v>
      </c>
      <c r="K1946" t="s">
        <v>37212</v>
      </c>
      <c r="M1946" t="s">
        <v>37547</v>
      </c>
      <c r="N1946" t="s">
        <v>41249</v>
      </c>
      <c r="O1946" t="s">
        <v>41250</v>
      </c>
      <c r="P1946">
        <v>0</v>
      </c>
      <c r="Q1946">
        <v>1</v>
      </c>
      <c r="R1946" t="s">
        <v>41251</v>
      </c>
      <c r="S1946" t="s">
        <v>41369</v>
      </c>
      <c r="T1946" t="s">
        <v>42716</v>
      </c>
      <c r="U1946" t="s">
        <v>44890</v>
      </c>
      <c r="V1946" t="s">
        <v>54498</v>
      </c>
      <c r="W1946" t="s">
        <v>55934</v>
      </c>
      <c r="X1946" t="s">
        <v>41252</v>
      </c>
    </row>
    <row r="1947" spans="1:24">
      <c r="A1947">
        <f>HYPERLINK("https://www.philgeps.gov.ph/GEPSNONPILOT/Tender/SplashBidNoticeAbstractUI.aspx?menuIndex=3&amp;refID=7078416&amp;Result=3","7078416")</f>
        <v>0</v>
      </c>
      <c r="B1947" t="s">
        <v>805</v>
      </c>
      <c r="C1947" t="s">
        <v>5248</v>
      </c>
      <c r="D1947" t="s">
        <v>16626</v>
      </c>
      <c r="E1947" t="s">
        <v>18516</v>
      </c>
      <c r="F1947" t="s">
        <v>28669</v>
      </c>
      <c r="G1947" t="s">
        <v>28676</v>
      </c>
      <c r="H1947" t="s">
        <v>9998</v>
      </c>
      <c r="I1947" t="s">
        <v>6128</v>
      </c>
      <c r="J1947" t="s">
        <v>30150</v>
      </c>
      <c r="K1947" t="s">
        <v>37234</v>
      </c>
      <c r="M1947" t="s">
        <v>38320</v>
      </c>
      <c r="N1947" t="s">
        <v>41249</v>
      </c>
      <c r="O1947" t="s">
        <v>41250</v>
      </c>
      <c r="P1947">
        <v>0</v>
      </c>
      <c r="Q1947">
        <v>0</v>
      </c>
      <c r="R1947" t="s">
        <v>41251</v>
      </c>
      <c r="S1947" t="s">
        <v>41369</v>
      </c>
      <c r="T1947" t="s">
        <v>42726</v>
      </c>
      <c r="U1947" t="s">
        <v>44777</v>
      </c>
      <c r="W1947" t="s">
        <v>38320</v>
      </c>
      <c r="X1947" t="s">
        <v>41252</v>
      </c>
    </row>
    <row r="1948" spans="1:24">
      <c r="A1948">
        <f>HYPERLINK("https://www.philgeps.gov.ph/GEPSNONPILOT/Tender/SplashBidNoticeAbstractUI.aspx?menuIndex=3&amp;refID=7078638&amp;Result=3","7078638")</f>
        <v>0</v>
      </c>
      <c r="B1948" t="s">
        <v>128</v>
      </c>
      <c r="C1948" t="s">
        <v>5249</v>
      </c>
      <c r="D1948" t="s">
        <v>16642</v>
      </c>
      <c r="E1948" t="s">
        <v>16770</v>
      </c>
      <c r="F1948" t="s">
        <v>28669</v>
      </c>
      <c r="G1948" t="s">
        <v>28679</v>
      </c>
      <c r="H1948" t="s">
        <v>9998</v>
      </c>
      <c r="I1948" t="s">
        <v>28687</v>
      </c>
      <c r="J1948" t="s">
        <v>30151</v>
      </c>
      <c r="K1948" t="s">
        <v>37220</v>
      </c>
      <c r="M1948" t="s">
        <v>37604</v>
      </c>
      <c r="N1948" t="s">
        <v>41249</v>
      </c>
      <c r="O1948" t="s">
        <v>41250</v>
      </c>
      <c r="P1948">
        <v>0</v>
      </c>
      <c r="Q1948">
        <v>3</v>
      </c>
      <c r="R1948" t="s">
        <v>41251</v>
      </c>
      <c r="S1948" t="s">
        <v>41369</v>
      </c>
      <c r="T1948" t="s">
        <v>42726</v>
      </c>
      <c r="U1948" t="s">
        <v>44891</v>
      </c>
      <c r="V1948" t="s">
        <v>54499</v>
      </c>
      <c r="W1948" t="s">
        <v>37604</v>
      </c>
      <c r="X1948" t="s">
        <v>41252</v>
      </c>
    </row>
    <row r="1949" spans="1:24">
      <c r="A1949">
        <f>HYPERLINK("https://www.philgeps.gov.ph/GEPSNONPILOT/Tender/SplashBidNoticeAbstractUI.aspx?menuIndex=3&amp;refID=7078649&amp;Result=3","7078649")</f>
        <v>0</v>
      </c>
      <c r="B1949" t="s">
        <v>862</v>
      </c>
      <c r="C1949" t="s">
        <v>5250</v>
      </c>
      <c r="D1949" t="s">
        <v>16654</v>
      </c>
      <c r="E1949" t="s">
        <v>18517</v>
      </c>
      <c r="F1949" t="s">
        <v>28669</v>
      </c>
      <c r="G1949" t="s">
        <v>28676</v>
      </c>
      <c r="H1949" t="s">
        <v>9998</v>
      </c>
      <c r="I1949" t="s">
        <v>7352</v>
      </c>
      <c r="J1949" t="s">
        <v>30152</v>
      </c>
      <c r="K1949" t="s">
        <v>37208</v>
      </c>
      <c r="M1949" t="s">
        <v>38380</v>
      </c>
      <c r="N1949" t="s">
        <v>41249</v>
      </c>
      <c r="O1949" t="s">
        <v>41250</v>
      </c>
      <c r="P1949">
        <v>0</v>
      </c>
      <c r="Q1949">
        <v>0</v>
      </c>
      <c r="R1949" t="s">
        <v>41251</v>
      </c>
      <c r="S1949" t="s">
        <v>41369</v>
      </c>
      <c r="T1949" t="s">
        <v>42751</v>
      </c>
      <c r="U1949" t="s">
        <v>44892</v>
      </c>
      <c r="W1949" t="s">
        <v>38380</v>
      </c>
      <c r="X1949" t="s">
        <v>41252</v>
      </c>
    </row>
    <row r="1950" spans="1:24">
      <c r="A1950">
        <f>HYPERLINK("https://www.philgeps.gov.ph/GEPSNONPILOT/Tender/SplashBidNoticeAbstractUI.aspx?menuIndex=3&amp;refID=7078653&amp;Result=3","7078653")</f>
        <v>0</v>
      </c>
      <c r="B1950" t="s">
        <v>843</v>
      </c>
      <c r="C1950" t="s">
        <v>5251</v>
      </c>
      <c r="D1950" t="s">
        <v>16638</v>
      </c>
      <c r="E1950" t="s">
        <v>18518</v>
      </c>
      <c r="F1950" t="s">
        <v>28669</v>
      </c>
      <c r="G1950" t="s">
        <v>28676</v>
      </c>
      <c r="H1950" t="s">
        <v>9998</v>
      </c>
      <c r="I1950" t="s">
        <v>28694</v>
      </c>
      <c r="J1950" t="s">
        <v>30153</v>
      </c>
      <c r="K1950" t="s">
        <v>37204</v>
      </c>
      <c r="M1950" t="s">
        <v>38359</v>
      </c>
      <c r="N1950" t="s">
        <v>41249</v>
      </c>
      <c r="O1950" t="s">
        <v>41250</v>
      </c>
      <c r="P1950">
        <v>0</v>
      </c>
      <c r="Q1950">
        <v>0</v>
      </c>
      <c r="R1950" t="s">
        <v>41251</v>
      </c>
      <c r="S1950" t="s">
        <v>41369</v>
      </c>
      <c r="T1950" t="s">
        <v>42711</v>
      </c>
      <c r="U1950" t="s">
        <v>44856</v>
      </c>
      <c r="W1950" t="s">
        <v>38359</v>
      </c>
      <c r="X1950" t="s">
        <v>41252</v>
      </c>
    </row>
    <row r="1951" spans="1:24">
      <c r="A1951">
        <f>HYPERLINK("https://www.philgeps.gov.ph/GEPSNONPILOT/Tender/SplashBidNoticeAbstractUI.aspx?menuIndex=3&amp;refID=7078636&amp;Result=3","7078636")</f>
        <v>0</v>
      </c>
      <c r="B1951" t="s">
        <v>863</v>
      </c>
      <c r="C1951" t="s">
        <v>5252</v>
      </c>
      <c r="D1951" t="s">
        <v>16667</v>
      </c>
      <c r="E1951" t="s">
        <v>16820</v>
      </c>
      <c r="F1951" t="s">
        <v>28669</v>
      </c>
      <c r="G1951" t="s">
        <v>28675</v>
      </c>
      <c r="H1951" t="s">
        <v>28686</v>
      </c>
      <c r="I1951" t="s">
        <v>28689</v>
      </c>
      <c r="J1951" t="s">
        <v>28989</v>
      </c>
      <c r="K1951" t="s">
        <v>37206</v>
      </c>
      <c r="M1951" t="s">
        <v>38381</v>
      </c>
      <c r="N1951" t="s">
        <v>41249</v>
      </c>
      <c r="O1951" t="s">
        <v>41250</v>
      </c>
      <c r="P1951">
        <v>0</v>
      </c>
      <c r="Q1951">
        <v>0</v>
      </c>
      <c r="R1951" t="s">
        <v>41251</v>
      </c>
      <c r="S1951" t="s">
        <v>41369</v>
      </c>
      <c r="T1951" t="s">
        <v>42777</v>
      </c>
      <c r="U1951" t="s">
        <v>44893</v>
      </c>
      <c r="W1951" t="s">
        <v>38381</v>
      </c>
      <c r="X1951" t="s">
        <v>41252</v>
      </c>
    </row>
    <row r="1952" spans="1:24">
      <c r="A1952">
        <f>HYPERLINK("https://www.philgeps.gov.ph/GEPSNONPILOT/Tender/SplashBidNoticeAbstractUI.aspx?menuIndex=3&amp;refID=7078635&amp;Result=3","7078635")</f>
        <v>0</v>
      </c>
      <c r="B1952" t="s">
        <v>864</v>
      </c>
      <c r="C1952" t="s">
        <v>5253</v>
      </c>
      <c r="D1952" t="s">
        <v>16608</v>
      </c>
      <c r="E1952" t="s">
        <v>18519</v>
      </c>
      <c r="F1952" t="s">
        <v>28669</v>
      </c>
      <c r="G1952" t="s">
        <v>28676</v>
      </c>
      <c r="H1952" t="s">
        <v>9998</v>
      </c>
      <c r="I1952" t="s">
        <v>3718</v>
      </c>
      <c r="J1952" t="s">
        <v>28923</v>
      </c>
      <c r="K1952" t="s">
        <v>37206</v>
      </c>
      <c r="M1952" t="s">
        <v>38382</v>
      </c>
      <c r="N1952" t="s">
        <v>41249</v>
      </c>
      <c r="O1952" t="s">
        <v>41250</v>
      </c>
      <c r="P1952">
        <v>0</v>
      </c>
      <c r="Q1952">
        <v>4</v>
      </c>
      <c r="R1952" t="s">
        <v>41251</v>
      </c>
      <c r="S1952" t="s">
        <v>41369</v>
      </c>
      <c r="T1952" t="s">
        <v>42683</v>
      </c>
      <c r="U1952" t="s">
        <v>44894</v>
      </c>
      <c r="W1952" t="s">
        <v>38382</v>
      </c>
      <c r="X1952" t="s">
        <v>41252</v>
      </c>
    </row>
    <row r="1953" spans="1:24">
      <c r="A1953">
        <f>HYPERLINK("https://www.philgeps.gov.ph/GEPSNONPILOT/Tender/SplashBidNoticeAbstractUI.aspx?menuIndex=3&amp;refID=7078634&amp;Result=3","7078634")</f>
        <v>0</v>
      </c>
      <c r="B1953" t="s">
        <v>865</v>
      </c>
      <c r="C1953" t="s">
        <v>5254</v>
      </c>
      <c r="D1953" t="s">
        <v>16643</v>
      </c>
      <c r="E1953" t="s">
        <v>16820</v>
      </c>
      <c r="F1953" t="s">
        <v>28669</v>
      </c>
      <c r="G1953" t="s">
        <v>28675</v>
      </c>
      <c r="H1953" t="s">
        <v>9998</v>
      </c>
      <c r="I1953" t="s">
        <v>28709</v>
      </c>
      <c r="J1953" t="s">
        <v>28877</v>
      </c>
      <c r="K1953" t="s">
        <v>37204</v>
      </c>
      <c r="M1953" t="s">
        <v>38383</v>
      </c>
      <c r="N1953" t="s">
        <v>41249</v>
      </c>
      <c r="O1953" t="s">
        <v>41250</v>
      </c>
      <c r="P1953">
        <v>0</v>
      </c>
      <c r="Q1953">
        <v>0</v>
      </c>
      <c r="R1953" t="s">
        <v>41251</v>
      </c>
      <c r="S1953" t="s">
        <v>41369</v>
      </c>
      <c r="T1953" t="s">
        <v>42698</v>
      </c>
      <c r="U1953" t="s">
        <v>44895</v>
      </c>
      <c r="W1953" t="s">
        <v>38383</v>
      </c>
      <c r="X1953" t="s">
        <v>41252</v>
      </c>
    </row>
    <row r="1954" spans="1:24">
      <c r="A1954">
        <f>HYPERLINK("https://www.philgeps.gov.ph/GEPSNONPILOT/Tender/SplashBidNoticeAbstractUI.aspx?menuIndex=3&amp;refID=7078452&amp;Result=3","7078452")</f>
        <v>0</v>
      </c>
      <c r="B1954" t="s">
        <v>454</v>
      </c>
      <c r="C1954" t="s">
        <v>5255</v>
      </c>
      <c r="D1954" t="s">
        <v>16643</v>
      </c>
      <c r="E1954" t="s">
        <v>18520</v>
      </c>
      <c r="F1954" t="s">
        <v>28669</v>
      </c>
      <c r="G1954" t="s">
        <v>28676</v>
      </c>
      <c r="H1954" t="s">
        <v>9998</v>
      </c>
      <c r="I1954" t="s">
        <v>6128</v>
      </c>
      <c r="J1954" t="s">
        <v>30154</v>
      </c>
      <c r="K1954" t="s">
        <v>37209</v>
      </c>
      <c r="M1954" t="s">
        <v>37942</v>
      </c>
      <c r="N1954" t="s">
        <v>41249</v>
      </c>
      <c r="O1954" t="s">
        <v>41250</v>
      </c>
      <c r="P1954">
        <v>0</v>
      </c>
      <c r="Q1954">
        <v>2</v>
      </c>
      <c r="R1954" t="s">
        <v>41251</v>
      </c>
      <c r="S1954" t="s">
        <v>41369</v>
      </c>
      <c r="T1954" t="s">
        <v>42679</v>
      </c>
      <c r="U1954" t="s">
        <v>44896</v>
      </c>
      <c r="W1954" t="s">
        <v>37942</v>
      </c>
      <c r="X1954" t="s">
        <v>41252</v>
      </c>
    </row>
    <row r="1955" spans="1:24">
      <c r="A1955">
        <f>HYPERLINK("https://www.philgeps.gov.ph/GEPSNONPILOT/Tender/SplashBidNoticeAbstractUI.aspx?menuIndex=3&amp;refID=7078683&amp;Result=3","7078683")</f>
        <v>0</v>
      </c>
      <c r="B1955" t="s">
        <v>866</v>
      </c>
      <c r="C1955" t="s">
        <v>5256</v>
      </c>
      <c r="D1955" t="s">
        <v>16618</v>
      </c>
      <c r="E1955" t="s">
        <v>18521</v>
      </c>
      <c r="F1955" t="s">
        <v>28669</v>
      </c>
      <c r="G1955" t="s">
        <v>28675</v>
      </c>
      <c r="H1955" t="s">
        <v>28686</v>
      </c>
      <c r="I1955" t="s">
        <v>28689</v>
      </c>
      <c r="J1955" t="s">
        <v>28878</v>
      </c>
      <c r="K1955" t="s">
        <v>37205</v>
      </c>
      <c r="M1955" t="s">
        <v>38384</v>
      </c>
      <c r="N1955" t="s">
        <v>41249</v>
      </c>
      <c r="O1955" t="s">
        <v>41250</v>
      </c>
      <c r="P1955">
        <v>0</v>
      </c>
      <c r="Q1955">
        <v>0</v>
      </c>
      <c r="R1955" t="s">
        <v>41251</v>
      </c>
      <c r="S1955" t="s">
        <v>41369</v>
      </c>
      <c r="T1955" t="s">
        <v>42861</v>
      </c>
      <c r="U1955" t="s">
        <v>44897</v>
      </c>
      <c r="W1955" t="s">
        <v>38384</v>
      </c>
      <c r="X1955" t="s">
        <v>41252</v>
      </c>
    </row>
    <row r="1956" spans="1:24">
      <c r="A1956">
        <f>HYPERLINK("https://www.philgeps.gov.ph/GEPSNONPILOT/Tender/SplashBidNoticeAbstractUI.aspx?menuIndex=3&amp;refID=7078682&amp;Result=3","7078682")</f>
        <v>0</v>
      </c>
      <c r="B1956" t="s">
        <v>867</v>
      </c>
      <c r="C1956" t="s">
        <v>5257</v>
      </c>
      <c r="D1956" t="s">
        <v>16618</v>
      </c>
      <c r="E1956" t="s">
        <v>16890</v>
      </c>
      <c r="F1956" t="s">
        <v>28669</v>
      </c>
      <c r="G1956" t="s">
        <v>28675</v>
      </c>
      <c r="H1956" t="s">
        <v>28684</v>
      </c>
      <c r="I1956" t="s">
        <v>28687</v>
      </c>
      <c r="J1956" t="s">
        <v>29035</v>
      </c>
      <c r="K1956" t="s">
        <v>37227</v>
      </c>
      <c r="M1956" t="s">
        <v>38385</v>
      </c>
      <c r="N1956" t="s">
        <v>41249</v>
      </c>
      <c r="O1956" t="s">
        <v>41250</v>
      </c>
      <c r="P1956">
        <v>0</v>
      </c>
      <c r="Q1956">
        <v>1</v>
      </c>
      <c r="R1956" t="s">
        <v>41251</v>
      </c>
      <c r="S1956" t="s">
        <v>41369</v>
      </c>
      <c r="T1956" t="s">
        <v>42796</v>
      </c>
      <c r="U1956" t="s">
        <v>44898</v>
      </c>
      <c r="W1956" t="s">
        <v>38385</v>
      </c>
      <c r="X1956" t="s">
        <v>41252</v>
      </c>
    </row>
    <row r="1957" spans="1:24">
      <c r="A1957">
        <f>HYPERLINK("https://www.philgeps.gov.ph/GEPSNONPILOT/Tender/SplashBidNoticeAbstractUI.aspx?menuIndex=3&amp;refID=7078680&amp;Result=3","7078680")</f>
        <v>0</v>
      </c>
      <c r="B1957" t="s">
        <v>868</v>
      </c>
      <c r="C1957" t="s">
        <v>5258</v>
      </c>
      <c r="D1957" t="s">
        <v>16621</v>
      </c>
      <c r="E1957" t="s">
        <v>18522</v>
      </c>
      <c r="F1957" t="s">
        <v>28669</v>
      </c>
      <c r="G1957" t="s">
        <v>28675</v>
      </c>
      <c r="H1957" t="s">
        <v>28686</v>
      </c>
      <c r="I1957" t="s">
        <v>28689</v>
      </c>
      <c r="J1957" t="s">
        <v>30155</v>
      </c>
      <c r="K1957" t="s">
        <v>37217</v>
      </c>
      <c r="M1957" t="s">
        <v>38386</v>
      </c>
      <c r="N1957" t="s">
        <v>41249</v>
      </c>
      <c r="O1957" t="s">
        <v>41250</v>
      </c>
      <c r="P1957">
        <v>0</v>
      </c>
      <c r="Q1957">
        <v>0</v>
      </c>
      <c r="R1957" t="s">
        <v>41251</v>
      </c>
      <c r="S1957" t="s">
        <v>41369</v>
      </c>
      <c r="T1957" t="s">
        <v>42688</v>
      </c>
      <c r="U1957" t="s">
        <v>44899</v>
      </c>
      <c r="W1957" t="s">
        <v>38386</v>
      </c>
      <c r="X1957" t="s">
        <v>41252</v>
      </c>
    </row>
    <row r="1958" spans="1:24">
      <c r="A1958">
        <f>HYPERLINK("https://www.philgeps.gov.ph/GEPSNONPILOT/Tender/SplashBidNoticeAbstractUI.aspx?menuIndex=3&amp;refID=7078679&amp;Result=3","7078679")</f>
        <v>0</v>
      </c>
      <c r="B1958" t="s">
        <v>869</v>
      </c>
      <c r="C1958" t="s">
        <v>5259</v>
      </c>
      <c r="D1958" t="s">
        <v>16626</v>
      </c>
      <c r="E1958" t="s">
        <v>18523</v>
      </c>
      <c r="F1958" t="s">
        <v>28669</v>
      </c>
      <c r="G1958" t="s">
        <v>28676</v>
      </c>
      <c r="H1958" t="s">
        <v>9998</v>
      </c>
      <c r="I1958" t="s">
        <v>7352</v>
      </c>
      <c r="J1958" t="s">
        <v>30156</v>
      </c>
      <c r="K1958" t="s">
        <v>37208</v>
      </c>
      <c r="M1958" t="s">
        <v>38387</v>
      </c>
      <c r="N1958" t="s">
        <v>41249</v>
      </c>
      <c r="O1958" t="s">
        <v>41250</v>
      </c>
      <c r="P1958">
        <v>0</v>
      </c>
      <c r="Q1958">
        <v>0</v>
      </c>
      <c r="R1958" t="s">
        <v>41251</v>
      </c>
      <c r="S1958" t="s">
        <v>41369</v>
      </c>
      <c r="T1958" t="s">
        <v>42694</v>
      </c>
      <c r="U1958" t="s">
        <v>44900</v>
      </c>
      <c r="W1958" t="s">
        <v>38387</v>
      </c>
      <c r="X1958" t="s">
        <v>41252</v>
      </c>
    </row>
    <row r="1959" spans="1:24">
      <c r="A1959">
        <f>HYPERLINK("https://www.philgeps.gov.ph/GEPSNONPILOT/Tender/SplashBidNoticeAbstractUI.aspx?menuIndex=3&amp;refID=7078637&amp;Result=3","7078637")</f>
        <v>0</v>
      </c>
      <c r="B1959" t="s">
        <v>843</v>
      </c>
      <c r="C1959" t="s">
        <v>5215</v>
      </c>
      <c r="D1959" t="s">
        <v>16638</v>
      </c>
      <c r="E1959" t="s">
        <v>18524</v>
      </c>
      <c r="F1959" t="s">
        <v>28669</v>
      </c>
      <c r="G1959" t="s">
        <v>28677</v>
      </c>
      <c r="H1959" t="s">
        <v>9998</v>
      </c>
      <c r="I1959" t="s">
        <v>5213</v>
      </c>
      <c r="J1959" t="s">
        <v>30157</v>
      </c>
      <c r="K1959" t="s">
        <v>37204</v>
      </c>
      <c r="M1959" t="s">
        <v>38359</v>
      </c>
      <c r="N1959" t="s">
        <v>41249</v>
      </c>
      <c r="O1959" t="s">
        <v>41250</v>
      </c>
      <c r="P1959">
        <v>0</v>
      </c>
      <c r="Q1959">
        <v>0</v>
      </c>
      <c r="R1959" t="s">
        <v>41251</v>
      </c>
      <c r="S1959" t="s">
        <v>41369</v>
      </c>
      <c r="T1959" t="s">
        <v>42694</v>
      </c>
      <c r="U1959" t="s">
        <v>44856</v>
      </c>
      <c r="W1959" t="s">
        <v>38359</v>
      </c>
      <c r="X1959" t="s">
        <v>41252</v>
      </c>
    </row>
    <row r="1960" spans="1:24">
      <c r="A1960">
        <f>HYPERLINK("https://www.philgeps.gov.ph/GEPSNONPILOT/Tender/SplashBidNoticeAbstractUI.aspx?menuIndex=3&amp;refID=7078677&amp;Result=3","7078677")</f>
        <v>0</v>
      </c>
      <c r="B1960" t="s">
        <v>870</v>
      </c>
      <c r="C1960" t="s">
        <v>5260</v>
      </c>
      <c r="E1960" t="s">
        <v>18525</v>
      </c>
      <c r="F1960" t="s">
        <v>28669</v>
      </c>
      <c r="G1960" t="s">
        <v>28681</v>
      </c>
      <c r="H1960" t="s">
        <v>28685</v>
      </c>
      <c r="I1960" t="s">
        <v>28685</v>
      </c>
      <c r="J1960" t="s">
        <v>29035</v>
      </c>
      <c r="K1960" t="s">
        <v>37220</v>
      </c>
      <c r="M1960" t="s">
        <v>38388</v>
      </c>
      <c r="N1960" t="s">
        <v>41249</v>
      </c>
      <c r="O1960" t="s">
        <v>41250</v>
      </c>
      <c r="P1960">
        <v>0</v>
      </c>
      <c r="Q1960">
        <v>3</v>
      </c>
      <c r="R1960" t="s">
        <v>41251</v>
      </c>
      <c r="S1960" t="s">
        <v>41369</v>
      </c>
      <c r="T1960" t="s">
        <v>42862</v>
      </c>
      <c r="U1960" t="s">
        <v>44901</v>
      </c>
      <c r="V1960" t="s">
        <v>54500</v>
      </c>
      <c r="W1960" t="s">
        <v>38388</v>
      </c>
      <c r="X1960" t="s">
        <v>41252</v>
      </c>
    </row>
    <row r="1961" spans="1:24">
      <c r="A1961">
        <f>HYPERLINK("https://www.philgeps.gov.ph/GEPSNONPILOT/Tender/SplashBidNoticeAbstractUI.aspx?menuIndex=3&amp;refID=7078674&amp;Result=3","7078674")</f>
        <v>0</v>
      </c>
      <c r="B1961" t="s">
        <v>753</v>
      </c>
      <c r="C1961" t="s">
        <v>5261</v>
      </c>
      <c r="D1961" t="s">
        <v>16626</v>
      </c>
      <c r="E1961" t="s">
        <v>18526</v>
      </c>
      <c r="F1961" t="s">
        <v>28669</v>
      </c>
      <c r="G1961" t="s">
        <v>28675</v>
      </c>
      <c r="H1961" t="s">
        <v>9998</v>
      </c>
      <c r="I1961" t="s">
        <v>28711</v>
      </c>
      <c r="J1961" t="s">
        <v>29404</v>
      </c>
      <c r="K1961" t="s">
        <v>37234</v>
      </c>
      <c r="M1961" t="s">
        <v>38264</v>
      </c>
      <c r="N1961" t="s">
        <v>41249</v>
      </c>
      <c r="O1961" t="s">
        <v>41250</v>
      </c>
      <c r="P1961">
        <v>0</v>
      </c>
      <c r="Q1961">
        <v>1</v>
      </c>
      <c r="R1961" t="s">
        <v>41251</v>
      </c>
      <c r="S1961" t="s">
        <v>41369</v>
      </c>
      <c r="T1961" t="s">
        <v>42777</v>
      </c>
      <c r="U1961" t="s">
        <v>44902</v>
      </c>
      <c r="W1961" t="s">
        <v>38264</v>
      </c>
      <c r="X1961" t="s">
        <v>41252</v>
      </c>
    </row>
    <row r="1962" spans="1:24">
      <c r="A1962">
        <f>HYPERLINK("https://www.philgeps.gov.ph/GEPSNONPILOT/Tender/SplashBidNoticeAbstractUI.aspx?menuIndex=3&amp;refID=7078643&amp;Result=3","7078643")</f>
        <v>0</v>
      </c>
      <c r="B1962" t="s">
        <v>847</v>
      </c>
      <c r="C1962" t="s">
        <v>5262</v>
      </c>
      <c r="D1962" t="s">
        <v>16679</v>
      </c>
      <c r="E1962" t="s">
        <v>18527</v>
      </c>
      <c r="F1962" t="s">
        <v>28669</v>
      </c>
      <c r="G1962" t="s">
        <v>28676</v>
      </c>
      <c r="H1962" t="s">
        <v>9998</v>
      </c>
      <c r="I1962" t="s">
        <v>6128</v>
      </c>
      <c r="J1962" t="s">
        <v>30158</v>
      </c>
      <c r="K1962" t="s">
        <v>37209</v>
      </c>
      <c r="M1962" t="s">
        <v>38389</v>
      </c>
      <c r="N1962" t="s">
        <v>41249</v>
      </c>
      <c r="O1962" t="s">
        <v>41250</v>
      </c>
      <c r="P1962">
        <v>0</v>
      </c>
      <c r="Q1962">
        <v>4</v>
      </c>
      <c r="R1962" t="s">
        <v>41251</v>
      </c>
      <c r="S1962" t="s">
        <v>41369</v>
      </c>
      <c r="T1962" t="s">
        <v>42754</v>
      </c>
      <c r="U1962" t="s">
        <v>44903</v>
      </c>
      <c r="V1962" t="s">
        <v>54501</v>
      </c>
      <c r="W1962" t="s">
        <v>38389</v>
      </c>
      <c r="X1962" t="s">
        <v>41252</v>
      </c>
    </row>
    <row r="1963" spans="1:24">
      <c r="A1963">
        <f>HYPERLINK("https://www.philgeps.gov.ph/GEPSNONPILOT/Tender/SplashBidNoticeAbstractUI.aspx?menuIndex=3&amp;refID=7078668&amp;Result=3","7078668")</f>
        <v>0</v>
      </c>
      <c r="B1963" t="s">
        <v>753</v>
      </c>
      <c r="C1963" t="s">
        <v>5263</v>
      </c>
      <c r="D1963" t="s">
        <v>16626</v>
      </c>
      <c r="E1963" t="s">
        <v>18528</v>
      </c>
      <c r="F1963" t="s">
        <v>28669</v>
      </c>
      <c r="G1963" t="s">
        <v>28675</v>
      </c>
      <c r="H1963" t="s">
        <v>9998</v>
      </c>
      <c r="I1963" t="s">
        <v>28711</v>
      </c>
      <c r="J1963" t="s">
        <v>29487</v>
      </c>
      <c r="K1963" t="s">
        <v>37234</v>
      </c>
      <c r="M1963" t="s">
        <v>38264</v>
      </c>
      <c r="N1963" t="s">
        <v>41249</v>
      </c>
      <c r="O1963" t="s">
        <v>41250</v>
      </c>
      <c r="P1963">
        <v>0</v>
      </c>
      <c r="Q1963">
        <v>1</v>
      </c>
      <c r="R1963" t="s">
        <v>41251</v>
      </c>
      <c r="S1963" t="s">
        <v>41369</v>
      </c>
      <c r="T1963" t="s">
        <v>42777</v>
      </c>
      <c r="U1963" t="s">
        <v>44904</v>
      </c>
      <c r="W1963" t="s">
        <v>38264</v>
      </c>
      <c r="X1963" t="s">
        <v>41252</v>
      </c>
    </row>
    <row r="1964" spans="1:24">
      <c r="A1964">
        <f>HYPERLINK("https://www.philgeps.gov.ph/GEPSNONPILOT/Tender/SplashBidNoticeAbstractUI.aspx?menuIndex=3&amp;refID=7078654&amp;Result=3","7078654")</f>
        <v>0</v>
      </c>
      <c r="B1964" t="s">
        <v>871</v>
      </c>
      <c r="C1964" t="s">
        <v>5264</v>
      </c>
      <c r="D1964" t="s">
        <v>16618</v>
      </c>
      <c r="E1964" t="s">
        <v>18092</v>
      </c>
      <c r="F1964" t="s">
        <v>28669</v>
      </c>
      <c r="G1964" t="s">
        <v>28675</v>
      </c>
      <c r="H1964" t="s">
        <v>28686</v>
      </c>
      <c r="I1964" t="s">
        <v>28689</v>
      </c>
      <c r="J1964" t="s">
        <v>29134</v>
      </c>
      <c r="K1964" t="s">
        <v>37220</v>
      </c>
      <c r="M1964" t="s">
        <v>38390</v>
      </c>
      <c r="N1964" t="s">
        <v>41249</v>
      </c>
      <c r="O1964" t="s">
        <v>41250</v>
      </c>
      <c r="P1964">
        <v>0</v>
      </c>
      <c r="Q1964">
        <v>0</v>
      </c>
      <c r="R1964" t="s">
        <v>41251</v>
      </c>
      <c r="S1964" t="s">
        <v>41369</v>
      </c>
      <c r="T1964" t="s">
        <v>42726</v>
      </c>
      <c r="U1964" t="s">
        <v>44905</v>
      </c>
      <c r="W1964" t="s">
        <v>38390</v>
      </c>
      <c r="X1964" t="s">
        <v>41252</v>
      </c>
    </row>
    <row r="1965" spans="1:24">
      <c r="A1965">
        <f>HYPERLINK("https://www.philgeps.gov.ph/GEPSNONPILOT/Tender/SplashBidNoticeAbstractUI.aspx?menuIndex=3&amp;refID=7078665&amp;Result=3","7078665")</f>
        <v>0</v>
      </c>
      <c r="B1965" t="s">
        <v>872</v>
      </c>
      <c r="C1965" t="s">
        <v>5265</v>
      </c>
      <c r="D1965" t="s">
        <v>16670</v>
      </c>
      <c r="E1965" t="s">
        <v>18529</v>
      </c>
      <c r="F1965" t="s">
        <v>28669</v>
      </c>
      <c r="G1965" t="s">
        <v>28675</v>
      </c>
      <c r="H1965" t="s">
        <v>28686</v>
      </c>
      <c r="I1965" t="s">
        <v>28689</v>
      </c>
      <c r="J1965" t="s">
        <v>30159</v>
      </c>
      <c r="K1965" t="s">
        <v>37220</v>
      </c>
      <c r="M1965" t="s">
        <v>38391</v>
      </c>
      <c r="N1965" t="s">
        <v>41249</v>
      </c>
      <c r="O1965" t="s">
        <v>41250</v>
      </c>
      <c r="P1965">
        <v>0</v>
      </c>
      <c r="Q1965">
        <v>0</v>
      </c>
      <c r="R1965" t="s">
        <v>41251</v>
      </c>
      <c r="S1965" t="s">
        <v>41369</v>
      </c>
      <c r="T1965" t="s">
        <v>42714</v>
      </c>
      <c r="U1965" t="s">
        <v>44906</v>
      </c>
      <c r="W1965" t="s">
        <v>38391</v>
      </c>
      <c r="X1965" t="s">
        <v>41252</v>
      </c>
    </row>
    <row r="1966" spans="1:24">
      <c r="A1966">
        <f>HYPERLINK("https://www.philgeps.gov.ph/GEPSNONPILOT/Tender/SplashBidNoticeAbstractUI.aspx?menuIndex=3&amp;refID=7078698&amp;Result=3","7078698")</f>
        <v>0</v>
      </c>
      <c r="B1966" t="s">
        <v>873</v>
      </c>
      <c r="C1966" t="s">
        <v>5266</v>
      </c>
      <c r="D1966" t="s">
        <v>16661</v>
      </c>
      <c r="E1966" t="s">
        <v>18530</v>
      </c>
      <c r="F1966" t="s">
        <v>28669</v>
      </c>
      <c r="G1966" t="s">
        <v>28677</v>
      </c>
      <c r="H1966" t="s">
        <v>9998</v>
      </c>
      <c r="I1966" t="s">
        <v>7352</v>
      </c>
      <c r="J1966" t="s">
        <v>30160</v>
      </c>
      <c r="K1966" t="s">
        <v>37206</v>
      </c>
      <c r="M1966" t="s">
        <v>38392</v>
      </c>
      <c r="N1966" t="s">
        <v>41249</v>
      </c>
      <c r="O1966" t="s">
        <v>41250</v>
      </c>
      <c r="P1966">
        <v>0</v>
      </c>
      <c r="Q1966">
        <v>0</v>
      </c>
      <c r="R1966" t="s">
        <v>41251</v>
      </c>
      <c r="S1966" t="s">
        <v>41369</v>
      </c>
      <c r="T1966" t="s">
        <v>42675</v>
      </c>
      <c r="U1966" t="s">
        <v>44907</v>
      </c>
      <c r="V1966" t="s">
        <v>54502</v>
      </c>
      <c r="W1966" t="s">
        <v>38392</v>
      </c>
      <c r="X1966" t="s">
        <v>41252</v>
      </c>
    </row>
    <row r="1967" spans="1:24">
      <c r="A1967">
        <f>HYPERLINK("https://www.philgeps.gov.ph/GEPSNONPILOT/Tender/SplashBidNoticeAbstractUI.aspx?menuIndex=3&amp;refID=7078644&amp;Result=3","7078644")</f>
        <v>0</v>
      </c>
      <c r="B1967" t="s">
        <v>874</v>
      </c>
      <c r="C1967" t="s">
        <v>5267</v>
      </c>
      <c r="D1967" t="s">
        <v>16626</v>
      </c>
      <c r="E1967" t="s">
        <v>18531</v>
      </c>
      <c r="F1967" t="s">
        <v>28669</v>
      </c>
      <c r="G1967" t="s">
        <v>28675</v>
      </c>
      <c r="H1967" t="s">
        <v>9998</v>
      </c>
      <c r="I1967" t="s">
        <v>6128</v>
      </c>
      <c r="J1967" t="s">
        <v>30161</v>
      </c>
      <c r="K1967" t="s">
        <v>37248</v>
      </c>
      <c r="M1967" t="s">
        <v>38393</v>
      </c>
      <c r="N1967" t="s">
        <v>41249</v>
      </c>
      <c r="O1967" t="s">
        <v>41250</v>
      </c>
      <c r="P1967">
        <v>0</v>
      </c>
      <c r="Q1967">
        <v>1</v>
      </c>
      <c r="R1967" t="s">
        <v>41251</v>
      </c>
      <c r="S1967" t="s">
        <v>41369</v>
      </c>
      <c r="T1967" t="s">
        <v>42779</v>
      </c>
      <c r="U1967" t="s">
        <v>44908</v>
      </c>
      <c r="V1967" t="s">
        <v>54503</v>
      </c>
      <c r="W1967" t="s">
        <v>38393</v>
      </c>
      <c r="X1967" t="s">
        <v>41252</v>
      </c>
    </row>
    <row r="1968" spans="1:24">
      <c r="A1968">
        <f>HYPERLINK("https://www.philgeps.gov.ph/GEPSNONPILOT/Tender/SplashBidNoticeAbstractUI.aspx?menuIndex=3&amp;refID=7078672&amp;Result=3","7078672")</f>
        <v>0</v>
      </c>
      <c r="B1968" t="s">
        <v>870</v>
      </c>
      <c r="C1968" t="s">
        <v>5268</v>
      </c>
      <c r="E1968" t="s">
        <v>18532</v>
      </c>
      <c r="F1968" t="s">
        <v>28669</v>
      </c>
      <c r="G1968" t="s">
        <v>28681</v>
      </c>
      <c r="H1968" t="s">
        <v>28685</v>
      </c>
      <c r="I1968" t="s">
        <v>28685</v>
      </c>
      <c r="J1968" t="s">
        <v>30162</v>
      </c>
      <c r="K1968" t="s">
        <v>37215</v>
      </c>
      <c r="M1968" t="s">
        <v>38388</v>
      </c>
      <c r="N1968" t="s">
        <v>41249</v>
      </c>
      <c r="O1968" t="s">
        <v>41250</v>
      </c>
      <c r="P1968">
        <v>0</v>
      </c>
      <c r="Q1968">
        <v>3</v>
      </c>
      <c r="R1968" t="s">
        <v>41251</v>
      </c>
      <c r="S1968" t="s">
        <v>41369</v>
      </c>
      <c r="T1968" t="s">
        <v>42862</v>
      </c>
      <c r="U1968" t="s">
        <v>44909</v>
      </c>
      <c r="V1968" t="s">
        <v>54500</v>
      </c>
      <c r="W1968" t="s">
        <v>38388</v>
      </c>
      <c r="X1968" t="s">
        <v>41252</v>
      </c>
    </row>
    <row r="1969" spans="1:24">
      <c r="A1969">
        <f>HYPERLINK("https://www.philgeps.gov.ph/GEPSNONPILOT/Tender/SplashBidNoticeAbstractUI.aspx?menuIndex=3&amp;refID=7078667&amp;Result=3","7078667")</f>
        <v>0</v>
      </c>
      <c r="B1969" t="s">
        <v>502</v>
      </c>
      <c r="C1969" t="s">
        <v>5269</v>
      </c>
      <c r="D1969" t="s">
        <v>16646</v>
      </c>
      <c r="E1969" t="s">
        <v>18533</v>
      </c>
      <c r="F1969" t="s">
        <v>28669</v>
      </c>
      <c r="G1969" t="s">
        <v>28676</v>
      </c>
      <c r="H1969" t="s">
        <v>9998</v>
      </c>
      <c r="I1969" t="s">
        <v>11142</v>
      </c>
      <c r="J1969" t="s">
        <v>30163</v>
      </c>
      <c r="K1969" t="s">
        <v>37205</v>
      </c>
      <c r="M1969" t="s">
        <v>38394</v>
      </c>
      <c r="N1969" t="s">
        <v>41249</v>
      </c>
      <c r="O1969" t="s">
        <v>41250</v>
      </c>
      <c r="P1969">
        <v>0</v>
      </c>
      <c r="Q1969">
        <v>6</v>
      </c>
      <c r="R1969" t="s">
        <v>41251</v>
      </c>
      <c r="S1969" t="s">
        <v>41369</v>
      </c>
      <c r="T1969" t="s">
        <v>42711</v>
      </c>
      <c r="U1969" t="s">
        <v>44910</v>
      </c>
      <c r="W1969" t="s">
        <v>38394</v>
      </c>
      <c r="X1969" t="s">
        <v>41252</v>
      </c>
    </row>
    <row r="1970" spans="1:24">
      <c r="A1970">
        <f>HYPERLINK("https://www.philgeps.gov.ph/GEPSNONPILOT/Tender/SplashBidNoticeAbstractUI.aspx?menuIndex=3&amp;refID=7078707&amp;Result=3","7078707")</f>
        <v>0</v>
      </c>
      <c r="B1970" t="s">
        <v>875</v>
      </c>
      <c r="C1970" t="s">
        <v>5270</v>
      </c>
      <c r="D1970" t="s">
        <v>16653</v>
      </c>
      <c r="E1970" t="s">
        <v>18534</v>
      </c>
      <c r="F1970" t="s">
        <v>28669</v>
      </c>
      <c r="G1970" t="s">
        <v>28677</v>
      </c>
      <c r="H1970" t="s">
        <v>9998</v>
      </c>
      <c r="I1970" t="s">
        <v>28710</v>
      </c>
      <c r="J1970" t="s">
        <v>30164</v>
      </c>
      <c r="K1970" t="s">
        <v>37204</v>
      </c>
      <c r="M1970" t="s">
        <v>38395</v>
      </c>
      <c r="N1970" t="s">
        <v>41249</v>
      </c>
      <c r="O1970" t="s">
        <v>41250</v>
      </c>
      <c r="P1970">
        <v>0</v>
      </c>
      <c r="Q1970">
        <v>0</v>
      </c>
      <c r="R1970" t="s">
        <v>41251</v>
      </c>
      <c r="S1970" t="s">
        <v>41369</v>
      </c>
      <c r="T1970" t="s">
        <v>42679</v>
      </c>
      <c r="U1970" t="s">
        <v>44911</v>
      </c>
      <c r="V1970" t="s">
        <v>54504</v>
      </c>
      <c r="W1970" t="s">
        <v>38395</v>
      </c>
      <c r="X1970" t="s">
        <v>41252</v>
      </c>
    </row>
    <row r="1971" spans="1:24">
      <c r="A1971">
        <f>HYPERLINK("https://www.philgeps.gov.ph/GEPSNONPILOT/Tender/SplashBidNoticeAbstractUI.aspx?menuIndex=3&amp;refID=7078706&amp;Result=3","7078706")</f>
        <v>0</v>
      </c>
      <c r="B1971" t="s">
        <v>825</v>
      </c>
      <c r="C1971" t="s">
        <v>5271</v>
      </c>
      <c r="D1971" t="s">
        <v>16639</v>
      </c>
      <c r="E1971" t="s">
        <v>18535</v>
      </c>
      <c r="F1971" t="s">
        <v>28669</v>
      </c>
      <c r="G1971" t="s">
        <v>28676</v>
      </c>
      <c r="H1971" t="s">
        <v>9998</v>
      </c>
      <c r="I1971" t="s">
        <v>7352</v>
      </c>
      <c r="J1971" t="s">
        <v>30165</v>
      </c>
      <c r="K1971" t="s">
        <v>37266</v>
      </c>
      <c r="M1971" t="s">
        <v>38341</v>
      </c>
      <c r="N1971" t="s">
        <v>41249</v>
      </c>
      <c r="O1971" t="s">
        <v>41250</v>
      </c>
      <c r="P1971">
        <v>0</v>
      </c>
      <c r="Q1971">
        <v>0</v>
      </c>
      <c r="R1971" t="s">
        <v>41251</v>
      </c>
      <c r="S1971" t="s">
        <v>41369</v>
      </c>
      <c r="T1971" t="s">
        <v>42675</v>
      </c>
      <c r="U1971" t="s">
        <v>44817</v>
      </c>
      <c r="V1971" t="s">
        <v>54505</v>
      </c>
      <c r="W1971" t="s">
        <v>38341</v>
      </c>
      <c r="X1971" t="s">
        <v>41252</v>
      </c>
    </row>
    <row r="1972" spans="1:24">
      <c r="A1972">
        <f>HYPERLINK("https://www.philgeps.gov.ph/GEPSNONPILOT/Tender/SplashBidNoticeAbstractUI.aspx?menuIndex=3&amp;refID=7078701&amp;Result=3","7078701")</f>
        <v>0</v>
      </c>
      <c r="B1972" t="s">
        <v>843</v>
      </c>
      <c r="C1972" t="s">
        <v>5272</v>
      </c>
      <c r="D1972" t="s">
        <v>16638</v>
      </c>
      <c r="E1972" t="s">
        <v>18536</v>
      </c>
      <c r="F1972" t="s">
        <v>28669</v>
      </c>
      <c r="G1972" t="s">
        <v>28676</v>
      </c>
      <c r="H1972" t="s">
        <v>9998</v>
      </c>
      <c r="I1972" t="s">
        <v>28689</v>
      </c>
      <c r="J1972" t="s">
        <v>30166</v>
      </c>
      <c r="K1972" t="s">
        <v>37205</v>
      </c>
      <c r="M1972" t="s">
        <v>38359</v>
      </c>
      <c r="N1972" t="s">
        <v>41249</v>
      </c>
      <c r="O1972" t="s">
        <v>41250</v>
      </c>
      <c r="P1972">
        <v>0</v>
      </c>
      <c r="Q1972">
        <v>0</v>
      </c>
      <c r="R1972" t="s">
        <v>41251</v>
      </c>
      <c r="S1972" t="s">
        <v>41369</v>
      </c>
      <c r="T1972" t="s">
        <v>42711</v>
      </c>
      <c r="U1972" t="s">
        <v>44856</v>
      </c>
      <c r="W1972" t="s">
        <v>38359</v>
      </c>
      <c r="X1972" t="s">
        <v>41252</v>
      </c>
    </row>
    <row r="1973" spans="1:24">
      <c r="A1973">
        <f>HYPERLINK("https://www.philgeps.gov.ph/GEPSNONPILOT/Tender/SplashBidNoticeAbstractUI.aspx?menuIndex=3&amp;refID=7078678&amp;Result=3","7078678")</f>
        <v>0</v>
      </c>
      <c r="B1973" t="s">
        <v>872</v>
      </c>
      <c r="C1973" t="s">
        <v>5273</v>
      </c>
      <c r="D1973" t="s">
        <v>16670</v>
      </c>
      <c r="E1973" t="s">
        <v>18537</v>
      </c>
      <c r="F1973" t="s">
        <v>28669</v>
      </c>
      <c r="G1973" t="s">
        <v>28675</v>
      </c>
      <c r="H1973" t="s">
        <v>9998</v>
      </c>
      <c r="I1973" t="s">
        <v>5286</v>
      </c>
      <c r="J1973" t="s">
        <v>30167</v>
      </c>
      <c r="K1973" t="s">
        <v>37206</v>
      </c>
      <c r="M1973" t="s">
        <v>38391</v>
      </c>
      <c r="N1973" t="s">
        <v>41249</v>
      </c>
      <c r="O1973" t="s">
        <v>41250</v>
      </c>
      <c r="P1973">
        <v>0</v>
      </c>
      <c r="Q1973">
        <v>0</v>
      </c>
      <c r="R1973" t="s">
        <v>41251</v>
      </c>
      <c r="S1973" t="s">
        <v>41369</v>
      </c>
      <c r="T1973" t="s">
        <v>42714</v>
      </c>
      <c r="U1973" t="s">
        <v>44912</v>
      </c>
      <c r="W1973" t="s">
        <v>38391</v>
      </c>
      <c r="X1973" t="s">
        <v>41252</v>
      </c>
    </row>
    <row r="1974" spans="1:24">
      <c r="A1974">
        <f>HYPERLINK("https://www.philgeps.gov.ph/GEPSNONPILOT/Tender/SplashBidNoticeAbstractUI.aspx?menuIndex=3&amp;refID=7078699&amp;Result=3","7078699")</f>
        <v>0</v>
      </c>
      <c r="B1974" t="s">
        <v>876</v>
      </c>
      <c r="C1974" t="s">
        <v>5274</v>
      </c>
      <c r="D1974" t="s">
        <v>16667</v>
      </c>
      <c r="E1974" t="s">
        <v>18538</v>
      </c>
      <c r="F1974" t="s">
        <v>28669</v>
      </c>
      <c r="G1974" t="s">
        <v>28676</v>
      </c>
      <c r="H1974" t="s">
        <v>9998</v>
      </c>
      <c r="I1974" t="s">
        <v>28722</v>
      </c>
      <c r="J1974" t="s">
        <v>30168</v>
      </c>
      <c r="K1974" t="s">
        <v>37231</v>
      </c>
      <c r="M1974" t="s">
        <v>38396</v>
      </c>
      <c r="N1974" t="s">
        <v>41249</v>
      </c>
      <c r="O1974" t="s">
        <v>41250</v>
      </c>
      <c r="P1974">
        <v>0</v>
      </c>
      <c r="Q1974">
        <v>0</v>
      </c>
      <c r="R1974" t="s">
        <v>41251</v>
      </c>
      <c r="S1974" t="s">
        <v>41369</v>
      </c>
      <c r="T1974" t="s">
        <v>42673</v>
      </c>
      <c r="U1974" t="s">
        <v>44913</v>
      </c>
      <c r="W1974" t="s">
        <v>38427</v>
      </c>
      <c r="X1974" t="s">
        <v>41252</v>
      </c>
    </row>
    <row r="1975" spans="1:24">
      <c r="A1975">
        <f>HYPERLINK("https://www.philgeps.gov.ph/GEPSNONPILOT/Tender/SplashBidNoticeAbstractUI.aspx?menuIndex=3&amp;refID=7078709&amp;Result=3","7078709")</f>
        <v>0</v>
      </c>
      <c r="B1975" t="s">
        <v>630</v>
      </c>
      <c r="C1975" t="s">
        <v>5275</v>
      </c>
      <c r="D1975" t="s">
        <v>16608</v>
      </c>
      <c r="E1975" t="s">
        <v>18539</v>
      </c>
      <c r="F1975" t="s">
        <v>28669</v>
      </c>
      <c r="G1975" t="s">
        <v>28676</v>
      </c>
      <c r="H1975" t="s">
        <v>9998</v>
      </c>
      <c r="I1975" t="s">
        <v>5213</v>
      </c>
      <c r="J1975" t="s">
        <v>30169</v>
      </c>
      <c r="K1975" t="s">
        <v>37209</v>
      </c>
      <c r="M1975" t="s">
        <v>38130</v>
      </c>
      <c r="N1975" t="s">
        <v>41249</v>
      </c>
      <c r="O1975" t="s">
        <v>41250</v>
      </c>
      <c r="P1975">
        <v>0</v>
      </c>
      <c r="Q1975">
        <v>8</v>
      </c>
      <c r="R1975" t="s">
        <v>41251</v>
      </c>
      <c r="S1975" t="s">
        <v>41369</v>
      </c>
      <c r="T1975" t="s">
        <v>42705</v>
      </c>
      <c r="U1975" t="s">
        <v>44914</v>
      </c>
      <c r="V1975" t="s">
        <v>54408</v>
      </c>
      <c r="W1975" t="s">
        <v>38130</v>
      </c>
      <c r="X1975" t="s">
        <v>41252</v>
      </c>
    </row>
    <row r="1976" spans="1:24">
      <c r="A1976">
        <f>HYPERLINK("https://www.philgeps.gov.ph/GEPSNONPILOT/Tender/SplashBidNoticeAbstractUI.aspx?menuIndex=3&amp;refID=7078633&amp;Result=3","7078633")</f>
        <v>0</v>
      </c>
      <c r="B1976" t="s">
        <v>28</v>
      </c>
      <c r="C1976" t="s">
        <v>5276</v>
      </c>
      <c r="D1976" t="s">
        <v>16610</v>
      </c>
      <c r="E1976" t="s">
        <v>18540</v>
      </c>
      <c r="F1976" t="s">
        <v>28669</v>
      </c>
      <c r="G1976" t="s">
        <v>28676</v>
      </c>
      <c r="H1976" t="s">
        <v>28684</v>
      </c>
      <c r="I1976" t="s">
        <v>28770</v>
      </c>
      <c r="J1976" t="s">
        <v>28859</v>
      </c>
      <c r="K1976" t="s">
        <v>37204</v>
      </c>
      <c r="L1976" t="s">
        <v>28</v>
      </c>
      <c r="M1976" t="s">
        <v>37503</v>
      </c>
      <c r="N1976" t="s">
        <v>41249</v>
      </c>
      <c r="O1976" t="s">
        <v>41250</v>
      </c>
      <c r="P1976">
        <v>0</v>
      </c>
      <c r="Q1976">
        <v>0</v>
      </c>
      <c r="R1976" t="s">
        <v>41251</v>
      </c>
      <c r="S1976" t="s">
        <v>41369</v>
      </c>
      <c r="T1976" t="s">
        <v>42679</v>
      </c>
      <c r="U1976" t="s">
        <v>44915</v>
      </c>
      <c r="W1976" t="s">
        <v>37503</v>
      </c>
      <c r="X1976" t="s">
        <v>41252</v>
      </c>
    </row>
    <row r="1977" spans="1:24">
      <c r="A1977">
        <f>HYPERLINK("https://www.philgeps.gov.ph/GEPSNONPILOT/Tender/SplashBidNoticeAbstractUI.aspx?menuIndex=3&amp;refID=7078664&amp;Result=3","7078664")</f>
        <v>0</v>
      </c>
      <c r="B1977" t="s">
        <v>877</v>
      </c>
      <c r="C1977" t="s">
        <v>5277</v>
      </c>
      <c r="D1977" t="s">
        <v>16658</v>
      </c>
      <c r="E1977" t="s">
        <v>18541</v>
      </c>
      <c r="F1977" t="s">
        <v>28669</v>
      </c>
      <c r="G1977" t="s">
        <v>28675</v>
      </c>
      <c r="H1977" t="s">
        <v>9998</v>
      </c>
      <c r="I1977" t="s">
        <v>5286</v>
      </c>
      <c r="J1977" t="s">
        <v>28877</v>
      </c>
      <c r="K1977" t="s">
        <v>37227</v>
      </c>
      <c r="M1977" t="s">
        <v>38397</v>
      </c>
      <c r="N1977" t="s">
        <v>41249</v>
      </c>
      <c r="O1977" t="s">
        <v>41250</v>
      </c>
      <c r="P1977">
        <v>0</v>
      </c>
      <c r="Q1977">
        <v>2</v>
      </c>
      <c r="R1977" t="s">
        <v>41251</v>
      </c>
      <c r="S1977" t="s">
        <v>41369</v>
      </c>
      <c r="T1977" t="s">
        <v>42836</v>
      </c>
      <c r="U1977" t="s">
        <v>44916</v>
      </c>
      <c r="W1977" t="s">
        <v>38397</v>
      </c>
      <c r="X1977" t="s">
        <v>41252</v>
      </c>
    </row>
    <row r="1978" spans="1:24">
      <c r="A1978">
        <f>HYPERLINK("https://www.philgeps.gov.ph/GEPSNONPILOT/Tender/SplashBidNoticeAbstractUI.aspx?menuIndex=3&amp;refID=7078704&amp;Result=3","7078704")</f>
        <v>0</v>
      </c>
      <c r="B1978" t="s">
        <v>868</v>
      </c>
      <c r="C1978" t="s">
        <v>5278</v>
      </c>
      <c r="D1978" t="s">
        <v>16621</v>
      </c>
      <c r="E1978" t="s">
        <v>18542</v>
      </c>
      <c r="F1978" t="s">
        <v>28669</v>
      </c>
      <c r="G1978" t="s">
        <v>28675</v>
      </c>
      <c r="H1978" t="s">
        <v>28686</v>
      </c>
      <c r="I1978" t="s">
        <v>28689</v>
      </c>
      <c r="J1978" t="s">
        <v>30170</v>
      </c>
      <c r="K1978" t="s">
        <v>37306</v>
      </c>
      <c r="M1978" t="s">
        <v>38386</v>
      </c>
      <c r="N1978" t="s">
        <v>41249</v>
      </c>
      <c r="O1978" t="s">
        <v>41250</v>
      </c>
      <c r="P1978">
        <v>0</v>
      </c>
      <c r="Q1978">
        <v>0</v>
      </c>
      <c r="R1978" t="s">
        <v>41251</v>
      </c>
      <c r="S1978" t="s">
        <v>41369</v>
      </c>
      <c r="T1978" t="s">
        <v>42688</v>
      </c>
      <c r="U1978" t="s">
        <v>44917</v>
      </c>
      <c r="W1978" t="s">
        <v>38386</v>
      </c>
      <c r="X1978" t="s">
        <v>41252</v>
      </c>
    </row>
    <row r="1979" spans="1:24">
      <c r="A1979">
        <f>HYPERLINK("https://www.philgeps.gov.ph/GEPSNONPILOT/Tender/SplashBidNoticeAbstractUI.aspx?menuIndex=3&amp;refID=7078702&amp;Result=3","7078702")</f>
        <v>0</v>
      </c>
      <c r="B1979" t="s">
        <v>878</v>
      </c>
      <c r="C1979" t="s">
        <v>5279</v>
      </c>
      <c r="D1979" t="s">
        <v>16626</v>
      </c>
      <c r="E1979" t="s">
        <v>18543</v>
      </c>
      <c r="F1979" t="s">
        <v>28669</v>
      </c>
      <c r="G1979" t="s">
        <v>28676</v>
      </c>
      <c r="H1979" t="s">
        <v>9998</v>
      </c>
      <c r="I1979" t="s">
        <v>6128</v>
      </c>
      <c r="J1979" t="s">
        <v>30171</v>
      </c>
      <c r="K1979" t="s">
        <v>37210</v>
      </c>
      <c r="M1979" t="s">
        <v>38398</v>
      </c>
      <c r="N1979" t="s">
        <v>41249</v>
      </c>
      <c r="O1979" t="s">
        <v>41250</v>
      </c>
      <c r="P1979">
        <v>0</v>
      </c>
      <c r="Q1979">
        <v>1</v>
      </c>
      <c r="R1979" t="s">
        <v>41251</v>
      </c>
      <c r="S1979" t="s">
        <v>41369</v>
      </c>
      <c r="T1979" t="s">
        <v>42694</v>
      </c>
      <c r="U1979" t="s">
        <v>44918</v>
      </c>
      <c r="W1979" t="s">
        <v>38398</v>
      </c>
      <c r="X1979" t="s">
        <v>41252</v>
      </c>
    </row>
    <row r="1980" spans="1:24">
      <c r="A1980">
        <f>HYPERLINK("https://www.philgeps.gov.ph/GEPSNONPILOT/Tender/SplashBidNoticeAbstractUI.aspx?menuIndex=3&amp;refID=7078694&amp;Result=3","7078694")</f>
        <v>0</v>
      </c>
      <c r="B1980" t="s">
        <v>879</v>
      </c>
      <c r="C1980" t="s">
        <v>5280</v>
      </c>
      <c r="D1980" t="s">
        <v>16681</v>
      </c>
      <c r="E1980" t="s">
        <v>18544</v>
      </c>
      <c r="F1980" t="s">
        <v>28669</v>
      </c>
      <c r="G1980" t="s">
        <v>28676</v>
      </c>
      <c r="H1980" t="s">
        <v>9998</v>
      </c>
      <c r="I1980" t="s">
        <v>28732</v>
      </c>
      <c r="J1980" t="s">
        <v>28912</v>
      </c>
      <c r="K1980" t="s">
        <v>37209</v>
      </c>
      <c r="M1980" t="s">
        <v>38399</v>
      </c>
      <c r="N1980" t="s">
        <v>41249</v>
      </c>
      <c r="O1980" t="s">
        <v>41250</v>
      </c>
      <c r="P1980">
        <v>0</v>
      </c>
      <c r="Q1980">
        <v>0</v>
      </c>
      <c r="R1980" t="s">
        <v>41251</v>
      </c>
      <c r="S1980" t="s">
        <v>41369</v>
      </c>
      <c r="T1980" t="s">
        <v>42694</v>
      </c>
      <c r="U1980" t="s">
        <v>44919</v>
      </c>
      <c r="W1980" t="s">
        <v>38399</v>
      </c>
      <c r="X1980" t="s">
        <v>41252</v>
      </c>
    </row>
    <row r="1981" spans="1:24">
      <c r="A1981">
        <f>HYPERLINK("https://www.philgeps.gov.ph/GEPSNONPILOT/Tender/SplashBidNoticeAbstractUI.aspx?menuIndex=3&amp;refID=7078693&amp;Result=3","7078693")</f>
        <v>0</v>
      </c>
      <c r="B1981" t="s">
        <v>880</v>
      </c>
      <c r="C1981" t="s">
        <v>5281</v>
      </c>
      <c r="D1981" t="s">
        <v>16626</v>
      </c>
      <c r="E1981" t="s">
        <v>18543</v>
      </c>
      <c r="F1981" t="s">
        <v>28669</v>
      </c>
      <c r="G1981" t="s">
        <v>28676</v>
      </c>
      <c r="H1981" t="s">
        <v>9998</v>
      </c>
      <c r="I1981" t="s">
        <v>6128</v>
      </c>
      <c r="J1981" t="s">
        <v>30172</v>
      </c>
      <c r="K1981" t="s">
        <v>37210</v>
      </c>
      <c r="M1981" t="s">
        <v>38400</v>
      </c>
      <c r="N1981" t="s">
        <v>41249</v>
      </c>
      <c r="O1981" t="s">
        <v>41250</v>
      </c>
      <c r="P1981">
        <v>0</v>
      </c>
      <c r="Q1981">
        <v>1</v>
      </c>
      <c r="R1981" t="s">
        <v>41251</v>
      </c>
      <c r="S1981" t="s">
        <v>41369</v>
      </c>
      <c r="T1981" t="s">
        <v>42694</v>
      </c>
      <c r="U1981" t="s">
        <v>44920</v>
      </c>
      <c r="W1981" t="s">
        <v>38400</v>
      </c>
      <c r="X1981" t="s">
        <v>41252</v>
      </c>
    </row>
    <row r="1982" spans="1:24">
      <c r="A1982">
        <f>HYPERLINK("https://www.philgeps.gov.ph/GEPSNONPILOT/Tender/SplashBidNoticeAbstractUI.aspx?menuIndex=3&amp;refID=7078691&amp;Result=3","7078691")</f>
        <v>0</v>
      </c>
      <c r="B1982" t="s">
        <v>881</v>
      </c>
      <c r="C1982" t="s">
        <v>5282</v>
      </c>
      <c r="D1982" t="s">
        <v>16652</v>
      </c>
      <c r="E1982" t="s">
        <v>18545</v>
      </c>
      <c r="F1982" t="s">
        <v>28669</v>
      </c>
      <c r="G1982" t="s">
        <v>28676</v>
      </c>
      <c r="H1982" t="s">
        <v>9998</v>
      </c>
      <c r="I1982" t="s">
        <v>28690</v>
      </c>
      <c r="J1982" t="s">
        <v>30173</v>
      </c>
      <c r="K1982" t="s">
        <v>37204</v>
      </c>
      <c r="M1982" t="s">
        <v>38401</v>
      </c>
      <c r="N1982" t="s">
        <v>41249</v>
      </c>
      <c r="O1982" t="s">
        <v>41250</v>
      </c>
      <c r="P1982">
        <v>0</v>
      </c>
      <c r="Q1982">
        <v>8</v>
      </c>
      <c r="R1982" t="s">
        <v>41251</v>
      </c>
      <c r="S1982" t="s">
        <v>41369</v>
      </c>
      <c r="T1982" t="s">
        <v>42676</v>
      </c>
      <c r="U1982" t="s">
        <v>44921</v>
      </c>
      <c r="V1982" t="s">
        <v>54506</v>
      </c>
      <c r="W1982" t="s">
        <v>55935</v>
      </c>
      <c r="X1982" t="s">
        <v>41252</v>
      </c>
    </row>
    <row r="1983" spans="1:24">
      <c r="A1983">
        <f>HYPERLINK("https://www.philgeps.gov.ph/GEPSNONPILOT/Tender/SplashBidNoticeAbstractUI.aspx?menuIndex=3&amp;refID=7078729&amp;Result=3","7078729")</f>
        <v>0</v>
      </c>
      <c r="B1983" t="s">
        <v>847</v>
      </c>
      <c r="C1983" t="s">
        <v>5283</v>
      </c>
      <c r="D1983" t="s">
        <v>16644</v>
      </c>
      <c r="E1983" t="s">
        <v>18546</v>
      </c>
      <c r="F1983" t="s">
        <v>28669</v>
      </c>
      <c r="G1983" t="s">
        <v>28676</v>
      </c>
      <c r="H1983" t="s">
        <v>9998</v>
      </c>
      <c r="I1983" t="s">
        <v>5213</v>
      </c>
      <c r="J1983" t="s">
        <v>30174</v>
      </c>
      <c r="K1983" t="s">
        <v>37209</v>
      </c>
      <c r="M1983" t="s">
        <v>38389</v>
      </c>
      <c r="N1983" t="s">
        <v>41249</v>
      </c>
      <c r="O1983" t="s">
        <v>41250</v>
      </c>
      <c r="P1983">
        <v>0</v>
      </c>
      <c r="Q1983">
        <v>0</v>
      </c>
      <c r="R1983" t="s">
        <v>41251</v>
      </c>
      <c r="S1983" t="s">
        <v>41369</v>
      </c>
      <c r="T1983" t="s">
        <v>42754</v>
      </c>
      <c r="U1983" t="s">
        <v>44922</v>
      </c>
      <c r="V1983" t="s">
        <v>54501</v>
      </c>
      <c r="W1983" t="s">
        <v>38389</v>
      </c>
      <c r="X1983" t="s">
        <v>41252</v>
      </c>
    </row>
    <row r="1984" spans="1:24">
      <c r="A1984">
        <f>HYPERLINK("https://www.philgeps.gov.ph/GEPSNONPILOT/Tender/SplashBidNoticeAbstractUI.aspx?menuIndex=3&amp;refID=7078731&amp;Result=3","7078731")</f>
        <v>0</v>
      </c>
      <c r="B1984" t="s">
        <v>843</v>
      </c>
      <c r="C1984" t="s">
        <v>5284</v>
      </c>
      <c r="D1984" t="s">
        <v>16638</v>
      </c>
      <c r="E1984" t="s">
        <v>18547</v>
      </c>
      <c r="F1984" t="s">
        <v>28669</v>
      </c>
      <c r="G1984" t="s">
        <v>28676</v>
      </c>
      <c r="H1984" t="s">
        <v>9998</v>
      </c>
      <c r="I1984" t="s">
        <v>28694</v>
      </c>
      <c r="J1984" t="s">
        <v>30168</v>
      </c>
      <c r="K1984" t="s">
        <v>37204</v>
      </c>
      <c r="M1984" t="s">
        <v>38359</v>
      </c>
      <c r="N1984" t="s">
        <v>41249</v>
      </c>
      <c r="O1984" t="s">
        <v>41250</v>
      </c>
      <c r="P1984">
        <v>0</v>
      </c>
      <c r="Q1984">
        <v>0</v>
      </c>
      <c r="R1984" t="s">
        <v>41251</v>
      </c>
      <c r="S1984" t="s">
        <v>41369</v>
      </c>
      <c r="T1984" t="s">
        <v>42711</v>
      </c>
      <c r="U1984" t="s">
        <v>44856</v>
      </c>
      <c r="W1984" t="s">
        <v>38359</v>
      </c>
      <c r="X1984" t="s">
        <v>41252</v>
      </c>
    </row>
    <row r="1985" spans="1:24">
      <c r="A1985">
        <f>HYPERLINK("https://www.philgeps.gov.ph/GEPSNONPILOT/Tender/SplashBidNoticeAbstractUI.aspx?menuIndex=3&amp;refID=7078728&amp;Result=3","7078728")</f>
        <v>0</v>
      </c>
      <c r="B1985" t="s">
        <v>882</v>
      </c>
      <c r="C1985" t="s">
        <v>5285</v>
      </c>
      <c r="D1985" t="s">
        <v>16622</v>
      </c>
      <c r="E1985" t="s">
        <v>18548</v>
      </c>
      <c r="F1985" t="s">
        <v>28669</v>
      </c>
      <c r="G1985" t="s">
        <v>28675</v>
      </c>
      <c r="H1985" t="s">
        <v>28686</v>
      </c>
      <c r="I1985" t="s">
        <v>28689</v>
      </c>
      <c r="J1985" t="s">
        <v>30175</v>
      </c>
      <c r="K1985" t="s">
        <v>37204</v>
      </c>
      <c r="M1985" t="s">
        <v>38402</v>
      </c>
      <c r="N1985" t="s">
        <v>41249</v>
      </c>
      <c r="O1985" t="s">
        <v>41250</v>
      </c>
      <c r="P1985">
        <v>0</v>
      </c>
      <c r="Q1985">
        <v>0</v>
      </c>
      <c r="R1985" t="s">
        <v>41251</v>
      </c>
      <c r="S1985" t="s">
        <v>41369</v>
      </c>
      <c r="T1985" t="s">
        <v>42690</v>
      </c>
      <c r="U1985" t="s">
        <v>44923</v>
      </c>
      <c r="W1985" t="s">
        <v>38402</v>
      </c>
      <c r="X1985" t="s">
        <v>41252</v>
      </c>
    </row>
    <row r="1986" spans="1:24">
      <c r="A1986">
        <f>HYPERLINK("https://www.philgeps.gov.ph/GEPSNONPILOT/Tender/SplashBidNoticeAbstractUI.aspx?menuIndex=3&amp;refID=7078695&amp;Result=3","7078695")</f>
        <v>0</v>
      </c>
      <c r="B1986" t="s">
        <v>843</v>
      </c>
      <c r="C1986" t="s">
        <v>5286</v>
      </c>
      <c r="D1986" t="s">
        <v>16638</v>
      </c>
      <c r="E1986" t="s">
        <v>18549</v>
      </c>
      <c r="F1986" t="s">
        <v>28669</v>
      </c>
      <c r="G1986" t="s">
        <v>28676</v>
      </c>
      <c r="H1986" t="s">
        <v>9998</v>
      </c>
      <c r="I1986" t="s">
        <v>5286</v>
      </c>
      <c r="J1986" t="s">
        <v>30176</v>
      </c>
      <c r="K1986" t="s">
        <v>37204</v>
      </c>
      <c r="M1986" t="s">
        <v>38359</v>
      </c>
      <c r="N1986" t="s">
        <v>41249</v>
      </c>
      <c r="O1986" t="s">
        <v>41250</v>
      </c>
      <c r="P1986">
        <v>0</v>
      </c>
      <c r="Q1986">
        <v>1</v>
      </c>
      <c r="R1986" t="s">
        <v>41251</v>
      </c>
      <c r="S1986" t="s">
        <v>41369</v>
      </c>
      <c r="T1986" t="s">
        <v>42694</v>
      </c>
      <c r="U1986" t="s">
        <v>44856</v>
      </c>
      <c r="W1986" t="s">
        <v>38359</v>
      </c>
      <c r="X1986" t="s">
        <v>41252</v>
      </c>
    </row>
    <row r="1987" spans="1:24">
      <c r="A1987">
        <f>HYPERLINK("https://www.philgeps.gov.ph/GEPSNONPILOT/Tender/SplashBidNoticeAbstractUI.aspx?menuIndex=3&amp;refID=7078727&amp;Result=3","7078727")</f>
        <v>0</v>
      </c>
      <c r="B1987" t="s">
        <v>883</v>
      </c>
      <c r="C1987" t="s">
        <v>5287</v>
      </c>
      <c r="D1987" t="s">
        <v>16679</v>
      </c>
      <c r="E1987" t="s">
        <v>18550</v>
      </c>
      <c r="F1987" t="s">
        <v>28669</v>
      </c>
      <c r="G1987" t="s">
        <v>28677</v>
      </c>
      <c r="H1987" t="s">
        <v>28684</v>
      </c>
      <c r="I1987" t="s">
        <v>28744</v>
      </c>
      <c r="J1987" t="s">
        <v>30177</v>
      </c>
      <c r="K1987" t="s">
        <v>37210</v>
      </c>
      <c r="M1987" t="s">
        <v>38403</v>
      </c>
      <c r="N1987" t="s">
        <v>41249</v>
      </c>
      <c r="O1987" t="s">
        <v>41250</v>
      </c>
      <c r="P1987">
        <v>0</v>
      </c>
      <c r="Q1987">
        <v>1</v>
      </c>
      <c r="R1987" t="s">
        <v>41251</v>
      </c>
      <c r="S1987" t="s">
        <v>41369</v>
      </c>
      <c r="T1987" t="s">
        <v>42743</v>
      </c>
      <c r="U1987" t="s">
        <v>44924</v>
      </c>
      <c r="W1987" t="s">
        <v>38403</v>
      </c>
      <c r="X1987" t="s">
        <v>41252</v>
      </c>
    </row>
    <row r="1988" spans="1:24">
      <c r="A1988">
        <f>HYPERLINK("https://www.philgeps.gov.ph/GEPSNONPILOT/Tender/SplashBidNoticeAbstractUI.aspx?menuIndex=3&amp;refID=7078726&amp;Result=3","7078726")</f>
        <v>0</v>
      </c>
      <c r="B1988" t="s">
        <v>843</v>
      </c>
      <c r="C1988" t="s">
        <v>5288</v>
      </c>
      <c r="D1988" t="s">
        <v>16638</v>
      </c>
      <c r="E1988" t="s">
        <v>18551</v>
      </c>
      <c r="F1988" t="s">
        <v>28669</v>
      </c>
      <c r="G1988" t="s">
        <v>28676</v>
      </c>
      <c r="H1988" t="s">
        <v>9998</v>
      </c>
      <c r="I1988" t="s">
        <v>28694</v>
      </c>
      <c r="J1988" t="s">
        <v>30178</v>
      </c>
      <c r="K1988" t="s">
        <v>37204</v>
      </c>
      <c r="M1988" t="s">
        <v>38359</v>
      </c>
      <c r="N1988" t="s">
        <v>41249</v>
      </c>
      <c r="O1988" t="s">
        <v>41250</v>
      </c>
      <c r="P1988">
        <v>0</v>
      </c>
      <c r="Q1988">
        <v>0</v>
      </c>
      <c r="R1988" t="s">
        <v>41251</v>
      </c>
      <c r="S1988" t="s">
        <v>41369</v>
      </c>
      <c r="T1988" t="s">
        <v>42711</v>
      </c>
      <c r="U1988" t="s">
        <v>44856</v>
      </c>
      <c r="W1988" t="s">
        <v>38359</v>
      </c>
      <c r="X1988" t="s">
        <v>41252</v>
      </c>
    </row>
    <row r="1989" spans="1:24">
      <c r="A1989">
        <f>HYPERLINK("https://www.philgeps.gov.ph/GEPSNONPILOT/Tender/SplashBidNoticeAbstractUI.aspx?menuIndex=3&amp;refID=7078725&amp;Result=3","7078725")</f>
        <v>0</v>
      </c>
      <c r="B1989" t="s">
        <v>884</v>
      </c>
      <c r="C1989" t="s">
        <v>5289</v>
      </c>
      <c r="D1989" t="s">
        <v>16675</v>
      </c>
      <c r="E1989" t="s">
        <v>18552</v>
      </c>
      <c r="F1989" t="s">
        <v>28669</v>
      </c>
      <c r="G1989" t="s">
        <v>28676</v>
      </c>
      <c r="H1989" t="s">
        <v>9998</v>
      </c>
      <c r="I1989" t="s">
        <v>28729</v>
      </c>
      <c r="J1989" t="s">
        <v>30179</v>
      </c>
      <c r="K1989" t="s">
        <v>37221</v>
      </c>
      <c r="M1989" t="s">
        <v>38404</v>
      </c>
      <c r="N1989" t="s">
        <v>41249</v>
      </c>
      <c r="O1989" t="s">
        <v>41250</v>
      </c>
      <c r="P1989">
        <v>0</v>
      </c>
      <c r="Q1989">
        <v>13</v>
      </c>
      <c r="R1989" t="s">
        <v>41251</v>
      </c>
      <c r="S1989" t="s">
        <v>41369</v>
      </c>
      <c r="T1989" t="s">
        <v>42711</v>
      </c>
      <c r="U1989" t="s">
        <v>44925</v>
      </c>
      <c r="W1989" t="s">
        <v>38404</v>
      </c>
      <c r="X1989" t="s">
        <v>41252</v>
      </c>
    </row>
    <row r="1990" spans="1:24">
      <c r="A1990">
        <f>HYPERLINK("https://www.philgeps.gov.ph/GEPSNONPILOT/Tender/SplashBidNoticeAbstractUI.aspx?menuIndex=3&amp;refID=7078730&amp;Result=3","7078730")</f>
        <v>0</v>
      </c>
      <c r="B1990" t="s">
        <v>859</v>
      </c>
      <c r="C1990" t="s">
        <v>5290</v>
      </c>
      <c r="D1990" t="s">
        <v>16660</v>
      </c>
      <c r="E1990" t="s">
        <v>18553</v>
      </c>
      <c r="F1990" t="s">
        <v>28669</v>
      </c>
      <c r="G1990" t="s">
        <v>28677</v>
      </c>
      <c r="H1990" t="s">
        <v>9998</v>
      </c>
      <c r="I1990" t="s">
        <v>5213</v>
      </c>
      <c r="J1990" t="s">
        <v>30180</v>
      </c>
      <c r="K1990" t="s">
        <v>37209</v>
      </c>
      <c r="M1990" t="s">
        <v>38376</v>
      </c>
      <c r="N1990" t="s">
        <v>41249</v>
      </c>
      <c r="O1990" t="s">
        <v>41250</v>
      </c>
      <c r="P1990">
        <v>0</v>
      </c>
      <c r="Q1990">
        <v>1</v>
      </c>
      <c r="R1990" t="s">
        <v>41251</v>
      </c>
      <c r="S1990" t="s">
        <v>41369</v>
      </c>
      <c r="T1990" t="s">
        <v>42682</v>
      </c>
      <c r="U1990" t="s">
        <v>44926</v>
      </c>
      <c r="W1990" t="s">
        <v>38376</v>
      </c>
      <c r="X1990" t="s">
        <v>41252</v>
      </c>
    </row>
    <row r="1991" spans="1:24">
      <c r="A1991">
        <f>HYPERLINK("https://www.philgeps.gov.ph/GEPSNONPILOT/Tender/SplashBidNoticeAbstractUI.aspx?menuIndex=3&amp;refID=7078723&amp;Result=3","7078723")</f>
        <v>0</v>
      </c>
      <c r="B1991" t="s">
        <v>885</v>
      </c>
      <c r="C1991" t="s">
        <v>5291</v>
      </c>
      <c r="D1991" t="s">
        <v>16660</v>
      </c>
      <c r="E1991" t="s">
        <v>18554</v>
      </c>
      <c r="F1991" t="s">
        <v>28669</v>
      </c>
      <c r="G1991" t="s">
        <v>28677</v>
      </c>
      <c r="H1991" t="s">
        <v>9998</v>
      </c>
      <c r="I1991" t="s">
        <v>28719</v>
      </c>
      <c r="J1991" t="s">
        <v>30181</v>
      </c>
      <c r="K1991" t="s">
        <v>37210</v>
      </c>
      <c r="M1991" t="s">
        <v>38405</v>
      </c>
      <c r="N1991" t="s">
        <v>41249</v>
      </c>
      <c r="O1991" t="s">
        <v>41250</v>
      </c>
      <c r="P1991">
        <v>0</v>
      </c>
      <c r="Q1991">
        <v>1</v>
      </c>
      <c r="R1991" t="s">
        <v>41251</v>
      </c>
      <c r="S1991" t="s">
        <v>41369</v>
      </c>
      <c r="T1991" t="s">
        <v>42694</v>
      </c>
      <c r="U1991" t="s">
        <v>44927</v>
      </c>
      <c r="W1991" t="s">
        <v>38405</v>
      </c>
      <c r="X1991" t="s">
        <v>41252</v>
      </c>
    </row>
    <row r="1992" spans="1:24">
      <c r="A1992">
        <f>HYPERLINK("https://www.philgeps.gov.ph/GEPSNONPILOT/Tender/SplashBidNoticeAbstractUI.aspx?menuIndex=3&amp;refID=7078721&amp;Result=3","7078721")</f>
        <v>0</v>
      </c>
      <c r="B1992" t="s">
        <v>843</v>
      </c>
      <c r="C1992" t="s">
        <v>5292</v>
      </c>
      <c r="D1992" t="s">
        <v>16638</v>
      </c>
      <c r="E1992" t="s">
        <v>18555</v>
      </c>
      <c r="F1992" t="s">
        <v>28669</v>
      </c>
      <c r="G1992" t="s">
        <v>28676</v>
      </c>
      <c r="H1992" t="s">
        <v>9998</v>
      </c>
      <c r="I1992" t="s">
        <v>28694</v>
      </c>
      <c r="J1992" t="s">
        <v>30182</v>
      </c>
      <c r="K1992" t="s">
        <v>37204</v>
      </c>
      <c r="M1992" t="s">
        <v>38359</v>
      </c>
      <c r="N1992" t="s">
        <v>41249</v>
      </c>
      <c r="O1992" t="s">
        <v>41250</v>
      </c>
      <c r="P1992">
        <v>0</v>
      </c>
      <c r="Q1992">
        <v>0</v>
      </c>
      <c r="R1992" t="s">
        <v>41251</v>
      </c>
      <c r="S1992" t="s">
        <v>41369</v>
      </c>
      <c r="T1992" t="s">
        <v>42711</v>
      </c>
      <c r="U1992" t="s">
        <v>44856</v>
      </c>
      <c r="W1992" t="s">
        <v>38359</v>
      </c>
      <c r="X1992" t="s">
        <v>41252</v>
      </c>
    </row>
    <row r="1993" spans="1:24">
      <c r="A1993">
        <f>HYPERLINK("https://www.philgeps.gov.ph/GEPSNONPILOT/Tender/SplashBidNoticeAbstractUI.aspx?menuIndex=3&amp;refID=7078718&amp;Result=3","7078718")</f>
        <v>0</v>
      </c>
      <c r="B1993" t="s">
        <v>843</v>
      </c>
      <c r="C1993" t="s">
        <v>5232</v>
      </c>
      <c r="D1993" t="s">
        <v>16638</v>
      </c>
      <c r="E1993" t="s">
        <v>18556</v>
      </c>
      <c r="F1993" t="s">
        <v>28669</v>
      </c>
      <c r="G1993" t="s">
        <v>28677</v>
      </c>
      <c r="H1993" t="s">
        <v>9998</v>
      </c>
      <c r="I1993" t="s">
        <v>8667</v>
      </c>
      <c r="J1993" t="s">
        <v>30168</v>
      </c>
      <c r="K1993" t="s">
        <v>37204</v>
      </c>
      <c r="M1993" t="s">
        <v>38359</v>
      </c>
      <c r="N1993" t="s">
        <v>41249</v>
      </c>
      <c r="O1993" t="s">
        <v>41250</v>
      </c>
      <c r="P1993">
        <v>0</v>
      </c>
      <c r="Q1993">
        <v>0</v>
      </c>
      <c r="R1993" t="s">
        <v>41251</v>
      </c>
      <c r="S1993" t="s">
        <v>41369</v>
      </c>
      <c r="T1993" t="s">
        <v>42711</v>
      </c>
      <c r="U1993" t="s">
        <v>44856</v>
      </c>
      <c r="W1993" t="s">
        <v>38359</v>
      </c>
      <c r="X1993" t="s">
        <v>41252</v>
      </c>
    </row>
    <row r="1994" spans="1:24">
      <c r="A1994">
        <f>HYPERLINK("https://www.philgeps.gov.ph/GEPSNONPILOT/Tender/SplashBidNoticeAbstractUI.aspx?menuIndex=3&amp;refID=7078692&amp;Result=3","7078692")</f>
        <v>0</v>
      </c>
      <c r="B1994" t="s">
        <v>869</v>
      </c>
      <c r="C1994" t="s">
        <v>5293</v>
      </c>
      <c r="D1994" t="s">
        <v>16626</v>
      </c>
      <c r="E1994" t="s">
        <v>18523</v>
      </c>
      <c r="F1994" t="s">
        <v>28669</v>
      </c>
      <c r="G1994" t="s">
        <v>28676</v>
      </c>
      <c r="H1994" t="s">
        <v>9998</v>
      </c>
      <c r="I1994" t="s">
        <v>5213</v>
      </c>
      <c r="J1994" t="s">
        <v>30183</v>
      </c>
      <c r="K1994" t="s">
        <v>37208</v>
      </c>
      <c r="M1994" t="s">
        <v>38387</v>
      </c>
      <c r="N1994" t="s">
        <v>41249</v>
      </c>
      <c r="O1994" t="s">
        <v>41250</v>
      </c>
      <c r="P1994">
        <v>0</v>
      </c>
      <c r="Q1994">
        <v>1</v>
      </c>
      <c r="R1994" t="s">
        <v>41251</v>
      </c>
      <c r="S1994" t="s">
        <v>41369</v>
      </c>
      <c r="T1994" t="s">
        <v>42694</v>
      </c>
      <c r="U1994" t="s">
        <v>44928</v>
      </c>
      <c r="W1994" t="s">
        <v>38387</v>
      </c>
      <c r="X1994" t="s">
        <v>41252</v>
      </c>
    </row>
    <row r="1995" spans="1:24">
      <c r="A1995">
        <f>HYPERLINK("https://www.philgeps.gov.ph/GEPSNONPILOT/Tender/SplashBidNoticeAbstractUI.aspx?menuIndex=3&amp;refID=7078724&amp;Result=3","7078724")</f>
        <v>0</v>
      </c>
      <c r="B1995" t="s">
        <v>886</v>
      </c>
      <c r="C1995" t="s">
        <v>5294</v>
      </c>
      <c r="D1995" t="s">
        <v>16644</v>
      </c>
      <c r="E1995" t="s">
        <v>18557</v>
      </c>
      <c r="F1995" t="s">
        <v>28669</v>
      </c>
      <c r="G1995" t="s">
        <v>28675</v>
      </c>
      <c r="H1995" t="s">
        <v>28686</v>
      </c>
      <c r="I1995" t="s">
        <v>28689</v>
      </c>
      <c r="J1995" t="s">
        <v>30184</v>
      </c>
      <c r="K1995" t="s">
        <v>37206</v>
      </c>
      <c r="M1995" t="s">
        <v>38406</v>
      </c>
      <c r="N1995" t="s">
        <v>41249</v>
      </c>
      <c r="O1995" t="s">
        <v>41250</v>
      </c>
      <c r="P1995">
        <v>0</v>
      </c>
      <c r="Q1995">
        <v>1</v>
      </c>
      <c r="R1995" t="s">
        <v>41251</v>
      </c>
      <c r="S1995" t="s">
        <v>41369</v>
      </c>
      <c r="T1995" t="s">
        <v>42688</v>
      </c>
      <c r="U1995" t="s">
        <v>44929</v>
      </c>
      <c r="W1995" t="s">
        <v>38406</v>
      </c>
      <c r="X1995" t="s">
        <v>41252</v>
      </c>
    </row>
    <row r="1996" spans="1:24">
      <c r="A1996">
        <f>HYPERLINK("https://www.philgeps.gov.ph/GEPSNONPILOT/Tender/SplashBidNoticeAbstractUI.aspx?menuIndex=3&amp;refID=7078714&amp;Result=3","7078714")</f>
        <v>0</v>
      </c>
      <c r="B1996" t="s">
        <v>843</v>
      </c>
      <c r="C1996" t="s">
        <v>5295</v>
      </c>
      <c r="D1996" t="s">
        <v>16638</v>
      </c>
      <c r="E1996" t="s">
        <v>18558</v>
      </c>
      <c r="F1996" t="s">
        <v>28669</v>
      </c>
      <c r="G1996" t="s">
        <v>28676</v>
      </c>
      <c r="H1996" t="s">
        <v>9998</v>
      </c>
      <c r="I1996" t="s">
        <v>28689</v>
      </c>
      <c r="J1996" t="s">
        <v>29040</v>
      </c>
      <c r="K1996" t="s">
        <v>37205</v>
      </c>
      <c r="M1996" t="s">
        <v>38359</v>
      </c>
      <c r="N1996" t="s">
        <v>41249</v>
      </c>
      <c r="O1996" t="s">
        <v>41250</v>
      </c>
      <c r="P1996">
        <v>0</v>
      </c>
      <c r="Q1996">
        <v>0</v>
      </c>
      <c r="R1996" t="s">
        <v>41251</v>
      </c>
      <c r="S1996" t="s">
        <v>41369</v>
      </c>
      <c r="T1996" t="s">
        <v>42694</v>
      </c>
      <c r="U1996" t="s">
        <v>44856</v>
      </c>
      <c r="W1996" t="s">
        <v>38359</v>
      </c>
      <c r="X1996" t="s">
        <v>41252</v>
      </c>
    </row>
    <row r="1997" spans="1:24">
      <c r="A1997">
        <f>HYPERLINK("https://www.philgeps.gov.ph/GEPSNONPILOT/Tender/SplashBidNoticeAbstractUI.aspx?menuIndex=3&amp;refID=7078720&amp;Result=3","7078720")</f>
        <v>0</v>
      </c>
      <c r="B1997" t="s">
        <v>630</v>
      </c>
      <c r="C1997" t="s">
        <v>5296</v>
      </c>
      <c r="D1997" t="s">
        <v>16608</v>
      </c>
      <c r="E1997" t="s">
        <v>18559</v>
      </c>
      <c r="F1997" t="s">
        <v>28669</v>
      </c>
      <c r="G1997" t="s">
        <v>28676</v>
      </c>
      <c r="H1997" t="s">
        <v>9998</v>
      </c>
      <c r="I1997" t="s">
        <v>11593</v>
      </c>
      <c r="J1997" t="s">
        <v>28863</v>
      </c>
      <c r="K1997" t="s">
        <v>37209</v>
      </c>
      <c r="M1997" t="s">
        <v>38130</v>
      </c>
      <c r="N1997" t="s">
        <v>41249</v>
      </c>
      <c r="O1997" t="s">
        <v>41250</v>
      </c>
      <c r="P1997">
        <v>0</v>
      </c>
      <c r="Q1997">
        <v>10</v>
      </c>
      <c r="R1997" t="s">
        <v>41251</v>
      </c>
      <c r="S1997" t="s">
        <v>41369</v>
      </c>
      <c r="T1997" t="s">
        <v>42705</v>
      </c>
      <c r="U1997" t="s">
        <v>44930</v>
      </c>
      <c r="V1997" t="s">
        <v>54408</v>
      </c>
      <c r="W1997" t="s">
        <v>38130</v>
      </c>
      <c r="X1997" t="s">
        <v>41252</v>
      </c>
    </row>
    <row r="1998" spans="1:24">
      <c r="A1998">
        <f>HYPERLINK("https://www.philgeps.gov.ph/GEPSNONPILOT/Tender/SplashBidNoticeAbstractUI.aspx?menuIndex=3&amp;refID=7078719&amp;Result=3","7078719")</f>
        <v>0</v>
      </c>
      <c r="B1998" t="s">
        <v>859</v>
      </c>
      <c r="C1998" t="s">
        <v>5240</v>
      </c>
      <c r="D1998" t="s">
        <v>16660</v>
      </c>
      <c r="E1998" t="s">
        <v>18507</v>
      </c>
      <c r="F1998" t="s">
        <v>28669</v>
      </c>
      <c r="G1998" t="s">
        <v>28677</v>
      </c>
      <c r="H1998" t="s">
        <v>9998</v>
      </c>
      <c r="I1998" t="s">
        <v>28694</v>
      </c>
      <c r="J1998" t="s">
        <v>30185</v>
      </c>
      <c r="K1998" t="s">
        <v>37209</v>
      </c>
      <c r="M1998" t="s">
        <v>38376</v>
      </c>
      <c r="N1998" t="s">
        <v>41249</v>
      </c>
      <c r="O1998" t="s">
        <v>41250</v>
      </c>
      <c r="P1998">
        <v>0</v>
      </c>
      <c r="Q1998">
        <v>1</v>
      </c>
      <c r="R1998" t="s">
        <v>41251</v>
      </c>
      <c r="S1998" t="s">
        <v>41369</v>
      </c>
      <c r="T1998" t="s">
        <v>42682</v>
      </c>
      <c r="U1998" t="s">
        <v>44931</v>
      </c>
      <c r="W1998" t="s">
        <v>38376</v>
      </c>
      <c r="X1998" t="s">
        <v>41252</v>
      </c>
    </row>
    <row r="1999" spans="1:24">
      <c r="A1999">
        <f>HYPERLINK("https://www.philgeps.gov.ph/GEPSNONPILOT/Tender/SplashBidNoticeAbstractUI.aspx?menuIndex=3&amp;refID=7078713&amp;Result=3","7078713")</f>
        <v>0</v>
      </c>
      <c r="B1999" t="s">
        <v>885</v>
      </c>
      <c r="C1999" t="s">
        <v>5297</v>
      </c>
      <c r="D1999" t="s">
        <v>16660</v>
      </c>
      <c r="E1999" t="s">
        <v>18554</v>
      </c>
      <c r="F1999" t="s">
        <v>28669</v>
      </c>
      <c r="G1999" t="s">
        <v>28677</v>
      </c>
      <c r="H1999" t="s">
        <v>9998</v>
      </c>
      <c r="I1999" t="s">
        <v>6128</v>
      </c>
      <c r="J1999" t="s">
        <v>30186</v>
      </c>
      <c r="K1999" t="s">
        <v>37210</v>
      </c>
      <c r="M1999" t="s">
        <v>38405</v>
      </c>
      <c r="N1999" t="s">
        <v>41249</v>
      </c>
      <c r="O1999" t="s">
        <v>41250</v>
      </c>
      <c r="P1999">
        <v>0</v>
      </c>
      <c r="Q1999">
        <v>1</v>
      </c>
      <c r="R1999" t="s">
        <v>41251</v>
      </c>
      <c r="S1999" t="s">
        <v>41369</v>
      </c>
      <c r="T1999" t="s">
        <v>42694</v>
      </c>
      <c r="U1999" t="s">
        <v>44927</v>
      </c>
      <c r="W1999" t="s">
        <v>38405</v>
      </c>
      <c r="X1999" t="s">
        <v>41252</v>
      </c>
    </row>
    <row r="2000" spans="1:24">
      <c r="A2000">
        <f>HYPERLINK("https://www.philgeps.gov.ph/GEPSNONPILOT/Tender/SplashBidNoticeAbstractUI.aspx?menuIndex=3&amp;refID=7078716&amp;Result=3","7078716")</f>
        <v>0</v>
      </c>
      <c r="B2000" t="s">
        <v>847</v>
      </c>
      <c r="C2000" t="s">
        <v>5298</v>
      </c>
      <c r="D2000" t="s">
        <v>16641</v>
      </c>
      <c r="E2000" t="s">
        <v>18560</v>
      </c>
      <c r="F2000" t="s">
        <v>28669</v>
      </c>
      <c r="G2000" t="s">
        <v>28676</v>
      </c>
      <c r="H2000" t="s">
        <v>9998</v>
      </c>
      <c r="I2000" t="s">
        <v>28736</v>
      </c>
      <c r="J2000" t="s">
        <v>30187</v>
      </c>
      <c r="K2000" t="s">
        <v>37209</v>
      </c>
      <c r="M2000" t="s">
        <v>38389</v>
      </c>
      <c r="N2000" t="s">
        <v>41249</v>
      </c>
      <c r="O2000" t="s">
        <v>41250</v>
      </c>
      <c r="P2000">
        <v>0</v>
      </c>
      <c r="Q2000">
        <v>0</v>
      </c>
      <c r="R2000" t="s">
        <v>41251</v>
      </c>
      <c r="S2000" t="s">
        <v>41369</v>
      </c>
      <c r="T2000" t="s">
        <v>42754</v>
      </c>
      <c r="U2000" t="s">
        <v>44932</v>
      </c>
      <c r="V2000" t="s">
        <v>54501</v>
      </c>
      <c r="W2000" t="s">
        <v>38389</v>
      </c>
      <c r="X2000" t="s">
        <v>41252</v>
      </c>
    </row>
    <row r="2001" spans="1:24">
      <c r="A2001">
        <f>HYPERLINK("https://www.philgeps.gov.ph/GEPSNONPILOT/Tender/SplashBidNoticeAbstractUI.aspx?menuIndex=3&amp;refID=7078690&amp;Result=3","7078690")</f>
        <v>0</v>
      </c>
      <c r="B2001" t="s">
        <v>868</v>
      </c>
      <c r="C2001" t="s">
        <v>5299</v>
      </c>
      <c r="D2001" t="s">
        <v>16621</v>
      </c>
      <c r="E2001" t="s">
        <v>18561</v>
      </c>
      <c r="F2001" t="s">
        <v>28669</v>
      </c>
      <c r="G2001" t="s">
        <v>28675</v>
      </c>
      <c r="H2001" t="s">
        <v>28686</v>
      </c>
      <c r="I2001" t="s">
        <v>28689</v>
      </c>
      <c r="J2001" t="s">
        <v>30188</v>
      </c>
      <c r="K2001" t="s">
        <v>37221</v>
      </c>
      <c r="M2001" t="s">
        <v>38386</v>
      </c>
      <c r="N2001" t="s">
        <v>41249</v>
      </c>
      <c r="O2001" t="s">
        <v>41250</v>
      </c>
      <c r="P2001">
        <v>0</v>
      </c>
      <c r="Q2001">
        <v>0</v>
      </c>
      <c r="R2001" t="s">
        <v>41251</v>
      </c>
      <c r="S2001" t="s">
        <v>41369</v>
      </c>
      <c r="T2001" t="s">
        <v>42688</v>
      </c>
      <c r="U2001" t="s">
        <v>44917</v>
      </c>
      <c r="W2001" t="s">
        <v>38386</v>
      </c>
      <c r="X2001" t="s">
        <v>41252</v>
      </c>
    </row>
    <row r="2002" spans="1:24">
      <c r="A2002">
        <f>HYPERLINK("https://www.philgeps.gov.ph/GEPSNONPILOT/Tender/SplashBidNoticeAbstractUI.aspx?menuIndex=3&amp;refID=7078700&amp;Result=3","7078700")</f>
        <v>0</v>
      </c>
      <c r="B2002" t="s">
        <v>887</v>
      </c>
      <c r="C2002" t="s">
        <v>5300</v>
      </c>
      <c r="D2002" t="s">
        <v>16672</v>
      </c>
      <c r="E2002" t="s">
        <v>18562</v>
      </c>
      <c r="F2002" t="s">
        <v>28669</v>
      </c>
      <c r="G2002" t="s">
        <v>28675</v>
      </c>
      <c r="H2002" t="s">
        <v>9998</v>
      </c>
      <c r="I2002" t="s">
        <v>28689</v>
      </c>
      <c r="J2002" t="s">
        <v>30189</v>
      </c>
      <c r="K2002" t="s">
        <v>37268</v>
      </c>
      <c r="M2002" t="s">
        <v>38407</v>
      </c>
      <c r="N2002" t="s">
        <v>41249</v>
      </c>
      <c r="O2002" t="s">
        <v>41250</v>
      </c>
      <c r="P2002">
        <v>0</v>
      </c>
      <c r="Q2002">
        <v>0</v>
      </c>
      <c r="R2002" t="s">
        <v>41251</v>
      </c>
      <c r="S2002" t="s">
        <v>41369</v>
      </c>
      <c r="T2002" t="s">
        <v>42818</v>
      </c>
      <c r="U2002" t="s">
        <v>44933</v>
      </c>
      <c r="W2002" t="s">
        <v>38407</v>
      </c>
      <c r="X2002" t="s">
        <v>41252</v>
      </c>
    </row>
    <row r="2003" spans="1:24">
      <c r="A2003">
        <f>HYPERLINK("https://www.philgeps.gov.ph/GEPSNONPILOT/Tender/SplashBidNoticeAbstractUI.aspx?menuIndex=3&amp;refID=7078712&amp;Result=3","7078712")</f>
        <v>0</v>
      </c>
      <c r="B2003" t="s">
        <v>873</v>
      </c>
      <c r="C2003" t="s">
        <v>5301</v>
      </c>
      <c r="D2003" t="s">
        <v>16661</v>
      </c>
      <c r="E2003" t="s">
        <v>18563</v>
      </c>
      <c r="F2003" t="s">
        <v>28669</v>
      </c>
      <c r="G2003" t="s">
        <v>28676</v>
      </c>
      <c r="H2003" t="s">
        <v>9998</v>
      </c>
      <c r="I2003" t="s">
        <v>28690</v>
      </c>
      <c r="J2003" t="s">
        <v>30190</v>
      </c>
      <c r="K2003" t="s">
        <v>37210</v>
      </c>
      <c r="M2003" t="s">
        <v>38392</v>
      </c>
      <c r="N2003" t="s">
        <v>41249</v>
      </c>
      <c r="O2003" t="s">
        <v>41250</v>
      </c>
      <c r="P2003">
        <v>0</v>
      </c>
      <c r="Q2003">
        <v>1</v>
      </c>
      <c r="R2003" t="s">
        <v>41251</v>
      </c>
      <c r="S2003" t="s">
        <v>41369</v>
      </c>
      <c r="T2003" t="s">
        <v>42675</v>
      </c>
      <c r="U2003" t="s">
        <v>44934</v>
      </c>
      <c r="V2003" t="s">
        <v>54507</v>
      </c>
      <c r="W2003" t="s">
        <v>38392</v>
      </c>
      <c r="X2003" t="s">
        <v>41252</v>
      </c>
    </row>
    <row r="2004" spans="1:24">
      <c r="A2004">
        <f>HYPERLINK("https://www.philgeps.gov.ph/GEPSNONPILOT/Tender/SplashBidNoticeAbstractUI.aspx?menuIndex=3&amp;refID=7078753&amp;Result=3","7078753")</f>
        <v>0</v>
      </c>
      <c r="B2004" t="s">
        <v>104</v>
      </c>
      <c r="C2004" t="s">
        <v>5302</v>
      </c>
      <c r="D2004" t="s">
        <v>16608</v>
      </c>
      <c r="E2004" t="s">
        <v>18246</v>
      </c>
      <c r="F2004" t="s">
        <v>28671</v>
      </c>
      <c r="G2004" t="s">
        <v>28677</v>
      </c>
      <c r="H2004" t="s">
        <v>28684</v>
      </c>
      <c r="I2004" t="s">
        <v>28699</v>
      </c>
      <c r="J2004" t="s">
        <v>28894</v>
      </c>
      <c r="K2004" t="s">
        <v>37243</v>
      </c>
      <c r="M2004" t="s">
        <v>37579</v>
      </c>
      <c r="N2004" t="s">
        <v>41249</v>
      </c>
      <c r="O2004" t="s">
        <v>41250</v>
      </c>
      <c r="P2004">
        <v>0</v>
      </c>
      <c r="Q2004">
        <v>0</v>
      </c>
      <c r="R2004" t="s">
        <v>41251</v>
      </c>
      <c r="S2004" t="s">
        <v>41369</v>
      </c>
      <c r="T2004" t="s">
        <v>42707</v>
      </c>
      <c r="U2004" t="s">
        <v>44935</v>
      </c>
      <c r="W2004" t="s">
        <v>37579</v>
      </c>
      <c r="X2004" t="s">
        <v>41252</v>
      </c>
    </row>
    <row r="2005" spans="1:24">
      <c r="A2005">
        <f>HYPERLINK("https://www.philgeps.gov.ph/GEPSNONPILOT/Tender/SplashBidNoticeAbstractUI.aspx?menuIndex=3&amp;refID=7078711&amp;Result=3","7078711")</f>
        <v>0</v>
      </c>
      <c r="B2005" t="s">
        <v>887</v>
      </c>
      <c r="C2005" t="s">
        <v>5303</v>
      </c>
      <c r="D2005" t="s">
        <v>16672</v>
      </c>
      <c r="E2005" t="s">
        <v>18564</v>
      </c>
      <c r="F2005" t="s">
        <v>28669</v>
      </c>
      <c r="G2005" t="s">
        <v>28675</v>
      </c>
      <c r="H2005" t="s">
        <v>9998</v>
      </c>
      <c r="I2005" t="s">
        <v>6128</v>
      </c>
      <c r="J2005" t="s">
        <v>30191</v>
      </c>
      <c r="K2005" t="s">
        <v>37206</v>
      </c>
      <c r="M2005" t="s">
        <v>38407</v>
      </c>
      <c r="N2005" t="s">
        <v>41249</v>
      </c>
      <c r="O2005" t="s">
        <v>41250</v>
      </c>
      <c r="P2005">
        <v>0</v>
      </c>
      <c r="Q2005">
        <v>1</v>
      </c>
      <c r="R2005" t="s">
        <v>41251</v>
      </c>
      <c r="S2005" t="s">
        <v>41369</v>
      </c>
      <c r="T2005" t="s">
        <v>42818</v>
      </c>
      <c r="U2005" t="s">
        <v>44936</v>
      </c>
      <c r="W2005" t="s">
        <v>38407</v>
      </c>
      <c r="X2005" t="s">
        <v>41252</v>
      </c>
    </row>
    <row r="2006" spans="1:24">
      <c r="A2006">
        <f>HYPERLINK("https://www.philgeps.gov.ph/GEPSNONPILOT/Tender/SplashBidNoticeAbstractUI.aspx?menuIndex=3&amp;refID=7078752&amp;Result=3","7078752")</f>
        <v>0</v>
      </c>
      <c r="B2006" t="s">
        <v>888</v>
      </c>
      <c r="C2006" t="s">
        <v>5304</v>
      </c>
      <c r="D2006" t="s">
        <v>16664</v>
      </c>
      <c r="E2006" t="s">
        <v>18565</v>
      </c>
      <c r="F2006" t="s">
        <v>28669</v>
      </c>
      <c r="G2006" t="s">
        <v>28675</v>
      </c>
      <c r="H2006" t="s">
        <v>9998</v>
      </c>
      <c r="I2006" t="s">
        <v>28699</v>
      </c>
      <c r="J2006" t="s">
        <v>30192</v>
      </c>
      <c r="K2006" t="s">
        <v>37208</v>
      </c>
      <c r="M2006" t="s">
        <v>38408</v>
      </c>
      <c r="N2006" t="s">
        <v>41249</v>
      </c>
      <c r="O2006" t="s">
        <v>41250</v>
      </c>
      <c r="P2006">
        <v>0</v>
      </c>
      <c r="Q2006">
        <v>0</v>
      </c>
      <c r="R2006" t="s">
        <v>41251</v>
      </c>
      <c r="S2006" t="s">
        <v>41369</v>
      </c>
      <c r="T2006" t="s">
        <v>42690</v>
      </c>
      <c r="U2006" t="s">
        <v>44937</v>
      </c>
      <c r="W2006" t="s">
        <v>38408</v>
      </c>
      <c r="X2006" t="s">
        <v>41252</v>
      </c>
    </row>
    <row r="2007" spans="1:24">
      <c r="A2007">
        <f>HYPERLINK("https://www.philgeps.gov.ph/GEPSNONPILOT/Tender/SplashBidNoticeAbstractUI.aspx?menuIndex=3&amp;refID=7078734&amp;Result=3","7078734")</f>
        <v>0</v>
      </c>
      <c r="B2007" t="s">
        <v>600</v>
      </c>
      <c r="C2007" t="s">
        <v>5305</v>
      </c>
      <c r="D2007" t="s">
        <v>16608</v>
      </c>
      <c r="E2007" t="s">
        <v>18566</v>
      </c>
      <c r="F2007" t="s">
        <v>28669</v>
      </c>
      <c r="G2007" t="s">
        <v>28675</v>
      </c>
      <c r="H2007" t="s">
        <v>9998</v>
      </c>
      <c r="I2007" t="s">
        <v>28701</v>
      </c>
      <c r="J2007" t="s">
        <v>30193</v>
      </c>
      <c r="K2007" t="s">
        <v>37209</v>
      </c>
      <c r="M2007" t="s">
        <v>38409</v>
      </c>
      <c r="N2007" t="s">
        <v>41249</v>
      </c>
      <c r="O2007" t="s">
        <v>41250</v>
      </c>
      <c r="P2007">
        <v>0</v>
      </c>
      <c r="Q2007">
        <v>3</v>
      </c>
      <c r="R2007" t="s">
        <v>41251</v>
      </c>
      <c r="S2007" t="s">
        <v>41369</v>
      </c>
      <c r="T2007" t="s">
        <v>42692</v>
      </c>
      <c r="U2007" t="s">
        <v>44938</v>
      </c>
      <c r="V2007" t="s">
        <v>54508</v>
      </c>
      <c r="W2007" t="s">
        <v>38409</v>
      </c>
      <c r="X2007" t="s">
        <v>41252</v>
      </c>
    </row>
    <row r="2008" spans="1:24">
      <c r="A2008">
        <f>HYPERLINK("https://www.philgeps.gov.ph/GEPSNONPILOT/Tender/SplashBidNoticeAbstractUI.aspx?menuIndex=3&amp;refID=7078747&amp;Result=3","7078747")</f>
        <v>0</v>
      </c>
      <c r="B2008" t="s">
        <v>847</v>
      </c>
      <c r="C2008" t="s">
        <v>5306</v>
      </c>
      <c r="E2008" t="s">
        <v>18567</v>
      </c>
      <c r="F2008" t="s">
        <v>28669</v>
      </c>
      <c r="G2008" t="s">
        <v>28676</v>
      </c>
      <c r="H2008" t="s">
        <v>9998</v>
      </c>
      <c r="I2008" t="s">
        <v>5213</v>
      </c>
      <c r="J2008" t="s">
        <v>30194</v>
      </c>
      <c r="K2008" t="s">
        <v>37209</v>
      </c>
      <c r="M2008" t="s">
        <v>38389</v>
      </c>
      <c r="N2008" t="s">
        <v>41249</v>
      </c>
      <c r="O2008" t="s">
        <v>41250</v>
      </c>
      <c r="P2008">
        <v>0</v>
      </c>
      <c r="Q2008">
        <v>0</v>
      </c>
      <c r="R2008" t="s">
        <v>41251</v>
      </c>
      <c r="S2008" t="s">
        <v>41369</v>
      </c>
      <c r="T2008" t="s">
        <v>42754</v>
      </c>
      <c r="U2008" t="s">
        <v>44939</v>
      </c>
      <c r="V2008" t="s">
        <v>54501</v>
      </c>
      <c r="W2008" t="s">
        <v>38389</v>
      </c>
      <c r="X2008" t="s">
        <v>41252</v>
      </c>
    </row>
    <row r="2009" spans="1:24">
      <c r="A2009">
        <f>HYPERLINK("https://www.philgeps.gov.ph/GEPSNONPILOT/Tender/SplashBidNoticeAbstractUI.aspx?menuIndex=3&amp;refID=7078710&amp;Result=3","7078710")</f>
        <v>0</v>
      </c>
      <c r="B2009" t="s">
        <v>889</v>
      </c>
      <c r="C2009" t="s">
        <v>5307</v>
      </c>
      <c r="D2009" t="s">
        <v>16644</v>
      </c>
      <c r="E2009" t="s">
        <v>18568</v>
      </c>
      <c r="F2009" t="s">
        <v>28669</v>
      </c>
      <c r="G2009" t="s">
        <v>28679</v>
      </c>
      <c r="H2009" t="s">
        <v>28686</v>
      </c>
      <c r="I2009" t="s">
        <v>28689</v>
      </c>
      <c r="J2009" t="s">
        <v>30195</v>
      </c>
      <c r="K2009" t="s">
        <v>37307</v>
      </c>
      <c r="M2009" t="s">
        <v>38410</v>
      </c>
      <c r="N2009" t="s">
        <v>41249</v>
      </c>
      <c r="O2009" t="s">
        <v>41250</v>
      </c>
      <c r="P2009">
        <v>0</v>
      </c>
      <c r="Q2009">
        <v>2</v>
      </c>
      <c r="R2009" t="s">
        <v>41251</v>
      </c>
      <c r="S2009" t="s">
        <v>41369</v>
      </c>
      <c r="T2009" t="s">
        <v>42863</v>
      </c>
      <c r="U2009" t="s">
        <v>44940</v>
      </c>
      <c r="W2009" t="s">
        <v>38410</v>
      </c>
      <c r="X2009" t="s">
        <v>41252</v>
      </c>
    </row>
    <row r="2010" spans="1:24">
      <c r="A2010">
        <f>HYPERLINK("https://www.philgeps.gov.ph/GEPSNONPILOT/Tender/SplashBidNoticeAbstractUI.aspx?menuIndex=3&amp;refID=7078750&amp;Result=3","7078750")</f>
        <v>0</v>
      </c>
      <c r="B2010" t="s">
        <v>425</v>
      </c>
      <c r="C2010" t="s">
        <v>5308</v>
      </c>
      <c r="D2010" t="s">
        <v>16653</v>
      </c>
      <c r="E2010" t="s">
        <v>18569</v>
      </c>
      <c r="F2010" t="s">
        <v>28669</v>
      </c>
      <c r="G2010" t="s">
        <v>28676</v>
      </c>
      <c r="H2010" t="s">
        <v>9998</v>
      </c>
      <c r="I2010" t="s">
        <v>15140</v>
      </c>
      <c r="J2010" t="s">
        <v>30196</v>
      </c>
      <c r="K2010" t="s">
        <v>37208</v>
      </c>
      <c r="M2010" t="s">
        <v>37910</v>
      </c>
      <c r="N2010" t="s">
        <v>41249</v>
      </c>
      <c r="O2010" t="s">
        <v>41250</v>
      </c>
      <c r="P2010">
        <v>0</v>
      </c>
      <c r="Q2010">
        <v>0</v>
      </c>
      <c r="R2010" t="s">
        <v>41251</v>
      </c>
      <c r="S2010" t="s">
        <v>41369</v>
      </c>
      <c r="T2010" t="s">
        <v>42717</v>
      </c>
      <c r="U2010" t="s">
        <v>44941</v>
      </c>
      <c r="W2010" t="s">
        <v>37910</v>
      </c>
      <c r="X2010" t="s">
        <v>41252</v>
      </c>
    </row>
    <row r="2011" spans="1:24">
      <c r="A2011">
        <f>HYPERLINK("https://www.philgeps.gov.ph/GEPSNONPILOT/Tender/SplashBidNoticeAbstractUI.aspx?menuIndex=3&amp;refID=7078681&amp;Result=3","7078681")</f>
        <v>0</v>
      </c>
      <c r="B2011" t="s">
        <v>753</v>
      </c>
      <c r="C2011" t="s">
        <v>5309</v>
      </c>
      <c r="D2011" t="s">
        <v>16626</v>
      </c>
      <c r="E2011" t="s">
        <v>18570</v>
      </c>
      <c r="F2011" t="s">
        <v>28669</v>
      </c>
      <c r="G2011" t="s">
        <v>28675</v>
      </c>
      <c r="H2011" t="s">
        <v>9998</v>
      </c>
      <c r="I2011" t="s">
        <v>28691</v>
      </c>
      <c r="J2011" t="s">
        <v>29365</v>
      </c>
      <c r="K2011" t="s">
        <v>37234</v>
      </c>
      <c r="M2011" t="s">
        <v>38264</v>
      </c>
      <c r="N2011" t="s">
        <v>41249</v>
      </c>
      <c r="O2011" t="s">
        <v>41250</v>
      </c>
      <c r="P2011">
        <v>0</v>
      </c>
      <c r="Q2011">
        <v>0</v>
      </c>
      <c r="R2011" t="s">
        <v>41251</v>
      </c>
      <c r="S2011" t="s">
        <v>41369</v>
      </c>
      <c r="T2011" t="s">
        <v>42777</v>
      </c>
      <c r="U2011" t="s">
        <v>44942</v>
      </c>
      <c r="W2011" t="s">
        <v>38264</v>
      </c>
      <c r="X2011" t="s">
        <v>41252</v>
      </c>
    </row>
    <row r="2012" spans="1:24">
      <c r="A2012">
        <f>HYPERLINK("https://www.philgeps.gov.ph/GEPSNONPILOT/Tender/SplashBidNoticeAbstractUI.aspx?menuIndex=3&amp;refID=7078743&amp;Result=3","7078743")</f>
        <v>0</v>
      </c>
      <c r="B2012" t="s">
        <v>890</v>
      </c>
      <c r="C2012" t="s">
        <v>3707</v>
      </c>
      <c r="D2012" t="s">
        <v>16613</v>
      </c>
      <c r="E2012" t="s">
        <v>6569</v>
      </c>
      <c r="F2012" t="s">
        <v>28669</v>
      </c>
      <c r="G2012" t="s">
        <v>28676</v>
      </c>
      <c r="H2012" t="s">
        <v>9998</v>
      </c>
      <c r="I2012" t="s">
        <v>28688</v>
      </c>
      <c r="J2012" t="s">
        <v>30197</v>
      </c>
      <c r="K2012" t="s">
        <v>37234</v>
      </c>
      <c r="M2012" t="s">
        <v>38411</v>
      </c>
      <c r="N2012" t="s">
        <v>41249</v>
      </c>
      <c r="O2012" t="s">
        <v>41250</v>
      </c>
      <c r="P2012">
        <v>0</v>
      </c>
      <c r="Q2012">
        <v>0</v>
      </c>
      <c r="R2012" t="s">
        <v>41251</v>
      </c>
      <c r="S2012" t="s">
        <v>41369</v>
      </c>
      <c r="T2012" t="s">
        <v>42863</v>
      </c>
      <c r="U2012" t="s">
        <v>44943</v>
      </c>
      <c r="V2012" t="s">
        <v>54509</v>
      </c>
      <c r="W2012" t="s">
        <v>38411</v>
      </c>
      <c r="X2012" t="s">
        <v>41252</v>
      </c>
    </row>
    <row r="2013" spans="1:24">
      <c r="A2013">
        <f>HYPERLINK("https://www.philgeps.gov.ph/GEPSNONPILOT/Tender/SplashBidNoticeAbstractUI.aspx?menuIndex=3&amp;refID=7078749&amp;Result=3","7078749")</f>
        <v>0</v>
      </c>
      <c r="B2013" t="s">
        <v>859</v>
      </c>
      <c r="C2013" t="s">
        <v>5240</v>
      </c>
      <c r="D2013" t="s">
        <v>16660</v>
      </c>
      <c r="E2013" t="s">
        <v>18553</v>
      </c>
      <c r="F2013" t="s">
        <v>28669</v>
      </c>
      <c r="G2013" t="s">
        <v>28677</v>
      </c>
      <c r="H2013" t="s">
        <v>9998</v>
      </c>
      <c r="I2013" t="s">
        <v>28694</v>
      </c>
      <c r="J2013" t="s">
        <v>30198</v>
      </c>
      <c r="K2013" t="s">
        <v>37209</v>
      </c>
      <c r="M2013" t="s">
        <v>38376</v>
      </c>
      <c r="N2013" t="s">
        <v>41249</v>
      </c>
      <c r="O2013" t="s">
        <v>41250</v>
      </c>
      <c r="P2013">
        <v>0</v>
      </c>
      <c r="Q2013">
        <v>1</v>
      </c>
      <c r="R2013" t="s">
        <v>41251</v>
      </c>
      <c r="S2013" t="s">
        <v>41369</v>
      </c>
      <c r="T2013" t="s">
        <v>42682</v>
      </c>
      <c r="U2013" t="s">
        <v>44944</v>
      </c>
      <c r="W2013" t="s">
        <v>38376</v>
      </c>
      <c r="X2013" t="s">
        <v>41252</v>
      </c>
    </row>
    <row r="2014" spans="1:24">
      <c r="A2014">
        <f>HYPERLINK("https://www.philgeps.gov.ph/GEPSNONPILOT/Tender/SplashBidNoticeAbstractUI.aspx?menuIndex=3&amp;refID=7078742&amp;Result=3","7078742")</f>
        <v>0</v>
      </c>
      <c r="B2014" t="s">
        <v>891</v>
      </c>
      <c r="C2014" t="s">
        <v>5310</v>
      </c>
      <c r="D2014" t="s">
        <v>16631</v>
      </c>
      <c r="E2014" t="s">
        <v>18571</v>
      </c>
      <c r="F2014" t="s">
        <v>28669</v>
      </c>
      <c r="G2014" t="s">
        <v>28675</v>
      </c>
      <c r="H2014" t="s">
        <v>28686</v>
      </c>
      <c r="I2014" t="s">
        <v>28689</v>
      </c>
      <c r="J2014" t="s">
        <v>30199</v>
      </c>
      <c r="K2014" t="s">
        <v>37276</v>
      </c>
      <c r="M2014" t="s">
        <v>38412</v>
      </c>
      <c r="N2014" t="s">
        <v>41249</v>
      </c>
      <c r="O2014" t="s">
        <v>41250</v>
      </c>
      <c r="P2014">
        <v>0</v>
      </c>
      <c r="Q2014">
        <v>1</v>
      </c>
      <c r="R2014" t="s">
        <v>41251</v>
      </c>
      <c r="S2014" t="s">
        <v>41369</v>
      </c>
      <c r="T2014" t="s">
        <v>42818</v>
      </c>
      <c r="U2014" t="s">
        <v>44945</v>
      </c>
      <c r="W2014" t="s">
        <v>40528</v>
      </c>
      <c r="X2014" t="s">
        <v>41252</v>
      </c>
    </row>
    <row r="2015" spans="1:24">
      <c r="A2015">
        <f>HYPERLINK("https://www.philgeps.gov.ph/GEPSNONPILOT/Tender/SplashBidNoticeAbstractUI.aspx?menuIndex=3&amp;refID=7078740&amp;Result=3","7078740")</f>
        <v>0</v>
      </c>
      <c r="B2015" t="s">
        <v>892</v>
      </c>
      <c r="C2015" t="s">
        <v>5311</v>
      </c>
      <c r="D2015" t="s">
        <v>16664</v>
      </c>
      <c r="E2015" t="s">
        <v>18572</v>
      </c>
      <c r="F2015" t="s">
        <v>28669</v>
      </c>
      <c r="G2015" t="s">
        <v>28675</v>
      </c>
      <c r="H2015" t="s">
        <v>28686</v>
      </c>
      <c r="I2015" t="s">
        <v>28689</v>
      </c>
      <c r="J2015" t="s">
        <v>30002</v>
      </c>
      <c r="K2015" t="s">
        <v>37206</v>
      </c>
      <c r="M2015" t="s">
        <v>38413</v>
      </c>
      <c r="N2015" t="s">
        <v>41249</v>
      </c>
      <c r="O2015" t="s">
        <v>41250</v>
      </c>
      <c r="P2015">
        <v>0</v>
      </c>
      <c r="Q2015">
        <v>0</v>
      </c>
      <c r="R2015" t="s">
        <v>41251</v>
      </c>
      <c r="S2015" t="s">
        <v>41369</v>
      </c>
      <c r="T2015" t="s">
        <v>42764</v>
      </c>
      <c r="U2015" t="s">
        <v>44946</v>
      </c>
      <c r="W2015" t="s">
        <v>38413</v>
      </c>
      <c r="X2015" t="s">
        <v>41252</v>
      </c>
    </row>
    <row r="2016" spans="1:24">
      <c r="A2016">
        <f>HYPERLINK("https://www.philgeps.gov.ph/GEPSNONPILOT/Tender/SplashBidNoticeAbstractUI.aspx?menuIndex=3&amp;refID=7078745&amp;Result=3","7078745")</f>
        <v>0</v>
      </c>
      <c r="B2016" t="s">
        <v>104</v>
      </c>
      <c r="C2016" t="s">
        <v>5312</v>
      </c>
      <c r="D2016" t="s">
        <v>16608</v>
      </c>
      <c r="E2016" t="s">
        <v>17149</v>
      </c>
      <c r="F2016" t="s">
        <v>28671</v>
      </c>
      <c r="G2016" t="s">
        <v>28677</v>
      </c>
      <c r="H2016" t="s">
        <v>28684</v>
      </c>
      <c r="I2016" t="s">
        <v>28716</v>
      </c>
      <c r="J2016" t="s">
        <v>28894</v>
      </c>
      <c r="K2016" t="s">
        <v>37243</v>
      </c>
      <c r="M2016" t="s">
        <v>37579</v>
      </c>
      <c r="N2016" t="s">
        <v>41249</v>
      </c>
      <c r="O2016" t="s">
        <v>41250</v>
      </c>
      <c r="P2016">
        <v>0</v>
      </c>
      <c r="Q2016">
        <v>1</v>
      </c>
      <c r="R2016" t="s">
        <v>41251</v>
      </c>
      <c r="S2016" t="s">
        <v>41369</v>
      </c>
      <c r="T2016" t="s">
        <v>42664</v>
      </c>
      <c r="U2016" t="s">
        <v>44947</v>
      </c>
      <c r="W2016" t="s">
        <v>37579</v>
      </c>
      <c r="X2016" t="s">
        <v>41252</v>
      </c>
    </row>
    <row r="2017" spans="1:24">
      <c r="A2017">
        <f>HYPERLINK("https://www.philgeps.gov.ph/GEPSNONPILOT/Tender/SplashBidNoticeAbstractUI.aspx?menuIndex=3&amp;refID=7078744&amp;Result=3","7078744")</f>
        <v>0</v>
      </c>
      <c r="B2017" t="s">
        <v>57</v>
      </c>
      <c r="C2017" t="s">
        <v>5313</v>
      </c>
      <c r="D2017" t="s">
        <v>16634</v>
      </c>
      <c r="E2017" t="s">
        <v>18573</v>
      </c>
      <c r="F2017" t="s">
        <v>28669</v>
      </c>
      <c r="G2017" t="s">
        <v>28679</v>
      </c>
      <c r="H2017" t="s">
        <v>9998</v>
      </c>
      <c r="I2017" t="s">
        <v>28687</v>
      </c>
      <c r="J2017" t="s">
        <v>28847</v>
      </c>
      <c r="K2017" t="s">
        <v>37209</v>
      </c>
      <c r="M2017" t="s">
        <v>37532</v>
      </c>
      <c r="N2017" t="s">
        <v>41249</v>
      </c>
      <c r="O2017" t="s">
        <v>41250</v>
      </c>
      <c r="P2017">
        <v>0</v>
      </c>
      <c r="Q2017">
        <v>3</v>
      </c>
      <c r="R2017" t="s">
        <v>41251</v>
      </c>
      <c r="S2017" t="s">
        <v>41369</v>
      </c>
      <c r="T2017" t="s">
        <v>42692</v>
      </c>
      <c r="U2017" t="s">
        <v>44948</v>
      </c>
      <c r="V2017" t="s">
        <v>54510</v>
      </c>
      <c r="W2017" t="s">
        <v>37532</v>
      </c>
      <c r="X2017" t="s">
        <v>41252</v>
      </c>
    </row>
    <row r="2018" spans="1:24">
      <c r="A2018">
        <f>HYPERLINK("https://www.philgeps.gov.ph/GEPSNONPILOT/Tender/SplashBidNoticeAbstractUI.aspx?menuIndex=3&amp;refID=7078715&amp;Result=3","7078715")</f>
        <v>0</v>
      </c>
      <c r="B2018" t="s">
        <v>868</v>
      </c>
      <c r="C2018" t="s">
        <v>5314</v>
      </c>
      <c r="D2018" t="s">
        <v>16621</v>
      </c>
      <c r="E2018" t="s">
        <v>18574</v>
      </c>
      <c r="F2018" t="s">
        <v>28669</v>
      </c>
      <c r="G2018" t="s">
        <v>28675</v>
      </c>
      <c r="H2018" t="s">
        <v>28686</v>
      </c>
      <c r="I2018" t="s">
        <v>28689</v>
      </c>
      <c r="J2018" t="s">
        <v>30200</v>
      </c>
      <c r="K2018" t="s">
        <v>37258</v>
      </c>
      <c r="M2018" t="s">
        <v>38386</v>
      </c>
      <c r="N2018" t="s">
        <v>41249</v>
      </c>
      <c r="O2018" t="s">
        <v>41250</v>
      </c>
      <c r="P2018">
        <v>0</v>
      </c>
      <c r="Q2018">
        <v>0</v>
      </c>
      <c r="R2018" t="s">
        <v>41251</v>
      </c>
      <c r="S2018" t="s">
        <v>41369</v>
      </c>
      <c r="T2018" t="s">
        <v>42688</v>
      </c>
      <c r="U2018" t="s">
        <v>44917</v>
      </c>
      <c r="W2018" t="s">
        <v>38386</v>
      </c>
      <c r="X2018" t="s">
        <v>41252</v>
      </c>
    </row>
    <row r="2019" spans="1:24">
      <c r="A2019">
        <f>HYPERLINK("https://www.philgeps.gov.ph/GEPSNONPILOT/Tender/SplashBidNoticeAbstractUI.aspx?menuIndex=3&amp;refID=7078741&amp;Result=3","7078741")</f>
        <v>0</v>
      </c>
      <c r="B2019" t="s">
        <v>893</v>
      </c>
      <c r="C2019" t="s">
        <v>5315</v>
      </c>
      <c r="D2019" t="s">
        <v>16608</v>
      </c>
      <c r="E2019" t="s">
        <v>18575</v>
      </c>
      <c r="F2019" t="s">
        <v>28669</v>
      </c>
      <c r="G2019" t="s">
        <v>28676</v>
      </c>
      <c r="H2019" t="s">
        <v>9998</v>
      </c>
      <c r="I2019" t="s">
        <v>28703</v>
      </c>
      <c r="J2019" t="s">
        <v>30201</v>
      </c>
      <c r="K2019" t="s">
        <v>37206</v>
      </c>
      <c r="M2019" t="s">
        <v>38414</v>
      </c>
      <c r="N2019" t="s">
        <v>41249</v>
      </c>
      <c r="O2019" t="s">
        <v>41250</v>
      </c>
      <c r="P2019">
        <v>0</v>
      </c>
      <c r="Q2019">
        <v>2</v>
      </c>
      <c r="R2019" t="s">
        <v>41251</v>
      </c>
      <c r="S2019" t="s">
        <v>41369</v>
      </c>
      <c r="T2019" t="s">
        <v>42711</v>
      </c>
      <c r="U2019" t="s">
        <v>44949</v>
      </c>
      <c r="W2019" t="s">
        <v>38414</v>
      </c>
      <c r="X2019" t="s">
        <v>41252</v>
      </c>
    </row>
    <row r="2020" spans="1:24">
      <c r="A2020">
        <f>HYPERLINK("https://www.philgeps.gov.ph/GEPSNONPILOT/Tender/SplashBidNoticeAbstractUI.aspx?menuIndex=3&amp;refID=7078779&amp;Result=3","7078779")</f>
        <v>0</v>
      </c>
      <c r="B2020" t="s">
        <v>425</v>
      </c>
      <c r="C2020" t="s">
        <v>5316</v>
      </c>
      <c r="D2020" t="s">
        <v>16653</v>
      </c>
      <c r="E2020" t="s">
        <v>18576</v>
      </c>
      <c r="F2020" t="s">
        <v>28669</v>
      </c>
      <c r="G2020" t="s">
        <v>28678</v>
      </c>
      <c r="H2020" t="s">
        <v>9998</v>
      </c>
      <c r="I2020" t="s">
        <v>28716</v>
      </c>
      <c r="J2020" t="s">
        <v>30202</v>
      </c>
      <c r="K2020" t="s">
        <v>37208</v>
      </c>
      <c r="M2020" t="s">
        <v>37910</v>
      </c>
      <c r="N2020" t="s">
        <v>41249</v>
      </c>
      <c r="O2020" t="s">
        <v>41250</v>
      </c>
      <c r="P2020">
        <v>0</v>
      </c>
      <c r="Q2020">
        <v>0</v>
      </c>
      <c r="R2020" t="s">
        <v>41251</v>
      </c>
      <c r="S2020" t="s">
        <v>41369</v>
      </c>
      <c r="T2020" t="s">
        <v>42717</v>
      </c>
      <c r="U2020" t="s">
        <v>44941</v>
      </c>
      <c r="W2020" t="s">
        <v>37910</v>
      </c>
      <c r="X2020" t="s">
        <v>41252</v>
      </c>
    </row>
    <row r="2021" spans="1:24">
      <c r="A2021">
        <f>HYPERLINK("https://www.philgeps.gov.ph/GEPSNONPILOT/Tender/SplashBidNoticeAbstractUI.aspx?menuIndex=3&amp;refID=7078776&amp;Result=3","7078776")</f>
        <v>0</v>
      </c>
      <c r="B2021" t="s">
        <v>425</v>
      </c>
      <c r="C2021" t="s">
        <v>5317</v>
      </c>
      <c r="D2021" t="s">
        <v>16653</v>
      </c>
      <c r="E2021" t="s">
        <v>18577</v>
      </c>
      <c r="F2021" t="s">
        <v>28669</v>
      </c>
      <c r="G2021" t="s">
        <v>28676</v>
      </c>
      <c r="H2021" t="s">
        <v>9998</v>
      </c>
      <c r="I2021" t="s">
        <v>15140</v>
      </c>
      <c r="J2021" t="s">
        <v>30203</v>
      </c>
      <c r="K2021" t="s">
        <v>37208</v>
      </c>
      <c r="M2021" t="s">
        <v>37910</v>
      </c>
      <c r="N2021" t="s">
        <v>41249</v>
      </c>
      <c r="O2021" t="s">
        <v>41250</v>
      </c>
      <c r="P2021">
        <v>0</v>
      </c>
      <c r="Q2021">
        <v>0</v>
      </c>
      <c r="R2021" t="s">
        <v>41251</v>
      </c>
      <c r="S2021" t="s">
        <v>41369</v>
      </c>
      <c r="T2021" t="s">
        <v>42694</v>
      </c>
      <c r="U2021" t="s">
        <v>44941</v>
      </c>
      <c r="W2021" t="s">
        <v>37910</v>
      </c>
      <c r="X2021" t="s">
        <v>41252</v>
      </c>
    </row>
    <row r="2022" spans="1:24">
      <c r="A2022">
        <f>HYPERLINK("https://www.philgeps.gov.ph/GEPSNONPILOT/Tender/SplashBidNoticeAbstractUI.aspx?menuIndex=3&amp;refID=7078774&amp;Result=3","7078774")</f>
        <v>0</v>
      </c>
      <c r="B2022" t="s">
        <v>847</v>
      </c>
      <c r="C2022" t="s">
        <v>5318</v>
      </c>
      <c r="D2022" t="s">
        <v>16679</v>
      </c>
      <c r="E2022" t="s">
        <v>18578</v>
      </c>
      <c r="F2022" t="s">
        <v>28669</v>
      </c>
      <c r="G2022" t="s">
        <v>28676</v>
      </c>
      <c r="H2022" t="s">
        <v>9998</v>
      </c>
      <c r="I2022" t="s">
        <v>28721</v>
      </c>
      <c r="J2022" t="s">
        <v>30204</v>
      </c>
      <c r="K2022" t="s">
        <v>37209</v>
      </c>
      <c r="M2022" t="s">
        <v>38389</v>
      </c>
      <c r="N2022" t="s">
        <v>41249</v>
      </c>
      <c r="O2022" t="s">
        <v>41250</v>
      </c>
      <c r="P2022">
        <v>0</v>
      </c>
      <c r="Q2022">
        <v>2</v>
      </c>
      <c r="R2022" t="s">
        <v>41251</v>
      </c>
      <c r="S2022" t="s">
        <v>41369</v>
      </c>
      <c r="T2022" t="s">
        <v>42754</v>
      </c>
      <c r="U2022" t="s">
        <v>44950</v>
      </c>
      <c r="V2022" t="s">
        <v>54501</v>
      </c>
      <c r="W2022" t="s">
        <v>38389</v>
      </c>
      <c r="X2022" t="s">
        <v>41252</v>
      </c>
    </row>
    <row r="2023" spans="1:24">
      <c r="A2023">
        <f>HYPERLINK("https://www.philgeps.gov.ph/GEPSNONPILOT/Tender/SplashBidNoticeAbstractUI.aspx?menuIndex=3&amp;refID=7078696&amp;Result=3","7078696")</f>
        <v>0</v>
      </c>
      <c r="B2023" t="s">
        <v>869</v>
      </c>
      <c r="C2023" t="s">
        <v>5319</v>
      </c>
      <c r="D2023" t="s">
        <v>16626</v>
      </c>
      <c r="E2023" t="s">
        <v>18523</v>
      </c>
      <c r="F2023" t="s">
        <v>28669</v>
      </c>
      <c r="G2023" t="s">
        <v>28676</v>
      </c>
      <c r="H2023" t="s">
        <v>9998</v>
      </c>
      <c r="I2023" t="s">
        <v>28714</v>
      </c>
      <c r="J2023" t="s">
        <v>30205</v>
      </c>
      <c r="K2023" t="s">
        <v>37208</v>
      </c>
      <c r="M2023" t="s">
        <v>38387</v>
      </c>
      <c r="N2023" t="s">
        <v>41249</v>
      </c>
      <c r="O2023" t="s">
        <v>41250</v>
      </c>
      <c r="P2023">
        <v>0</v>
      </c>
      <c r="Q2023">
        <v>4</v>
      </c>
      <c r="R2023" t="s">
        <v>41251</v>
      </c>
      <c r="S2023" t="s">
        <v>41369</v>
      </c>
      <c r="T2023" t="s">
        <v>42694</v>
      </c>
      <c r="U2023" t="s">
        <v>44951</v>
      </c>
      <c r="W2023" t="s">
        <v>38387</v>
      </c>
      <c r="X2023" t="s">
        <v>41252</v>
      </c>
    </row>
    <row r="2024" spans="1:24">
      <c r="A2024">
        <f>HYPERLINK("https://www.philgeps.gov.ph/GEPSNONPILOT/Tender/SplashBidNoticeAbstractUI.aspx?menuIndex=3&amp;refID=7078771&amp;Result=3","7078771")</f>
        <v>0</v>
      </c>
      <c r="B2024" t="s">
        <v>859</v>
      </c>
      <c r="C2024" t="s">
        <v>5320</v>
      </c>
      <c r="D2024" t="s">
        <v>16660</v>
      </c>
      <c r="E2024" t="s">
        <v>18553</v>
      </c>
      <c r="F2024" t="s">
        <v>28669</v>
      </c>
      <c r="G2024" t="s">
        <v>28677</v>
      </c>
      <c r="H2024" t="s">
        <v>9998</v>
      </c>
      <c r="I2024" t="s">
        <v>5213</v>
      </c>
      <c r="J2024" t="s">
        <v>30206</v>
      </c>
      <c r="K2024" t="s">
        <v>37209</v>
      </c>
      <c r="M2024" t="s">
        <v>38376</v>
      </c>
      <c r="N2024" t="s">
        <v>41249</v>
      </c>
      <c r="O2024" t="s">
        <v>41250</v>
      </c>
      <c r="P2024">
        <v>0</v>
      </c>
      <c r="Q2024">
        <v>1</v>
      </c>
      <c r="R2024" t="s">
        <v>41251</v>
      </c>
      <c r="S2024" t="s">
        <v>41369</v>
      </c>
      <c r="T2024" t="s">
        <v>42682</v>
      </c>
      <c r="U2024" t="s">
        <v>44952</v>
      </c>
      <c r="W2024" t="s">
        <v>38376</v>
      </c>
      <c r="X2024" t="s">
        <v>41252</v>
      </c>
    </row>
    <row r="2025" spans="1:24">
      <c r="A2025">
        <f>HYPERLINK("https://www.philgeps.gov.ph/GEPSNONPILOT/Tender/SplashBidNoticeAbstractUI.aspx?menuIndex=3&amp;refID=7078780&amp;Result=3","7078780")</f>
        <v>0</v>
      </c>
      <c r="B2025" t="s">
        <v>891</v>
      </c>
      <c r="C2025" t="s">
        <v>5321</v>
      </c>
      <c r="D2025" t="s">
        <v>16631</v>
      </c>
      <c r="E2025" t="s">
        <v>18579</v>
      </c>
      <c r="F2025" t="s">
        <v>28669</v>
      </c>
      <c r="G2025" t="s">
        <v>28675</v>
      </c>
      <c r="H2025" t="s">
        <v>9998</v>
      </c>
      <c r="I2025" t="s">
        <v>28687</v>
      </c>
      <c r="J2025" t="s">
        <v>28823</v>
      </c>
      <c r="K2025" t="s">
        <v>37213</v>
      </c>
      <c r="M2025" t="s">
        <v>38412</v>
      </c>
      <c r="N2025" t="s">
        <v>41249</v>
      </c>
      <c r="O2025" t="s">
        <v>41250</v>
      </c>
      <c r="P2025">
        <v>0</v>
      </c>
      <c r="Q2025">
        <v>3</v>
      </c>
      <c r="R2025" t="s">
        <v>41251</v>
      </c>
      <c r="S2025" t="s">
        <v>41369</v>
      </c>
      <c r="T2025" t="s">
        <v>42818</v>
      </c>
      <c r="U2025" t="s">
        <v>44953</v>
      </c>
      <c r="W2025" t="s">
        <v>40528</v>
      </c>
      <c r="X2025" t="s">
        <v>41252</v>
      </c>
    </row>
    <row r="2026" spans="1:24">
      <c r="A2026">
        <f>HYPERLINK("https://www.philgeps.gov.ph/GEPSNONPILOT/Tender/SplashBidNoticeAbstractUI.aspx?menuIndex=3&amp;refID=7078778&amp;Result=3","7078778")</f>
        <v>0</v>
      </c>
      <c r="B2026" t="s">
        <v>894</v>
      </c>
      <c r="C2026" t="s">
        <v>5322</v>
      </c>
      <c r="D2026" t="s">
        <v>16630</v>
      </c>
      <c r="E2026" t="s">
        <v>18580</v>
      </c>
      <c r="F2026" t="s">
        <v>28669</v>
      </c>
      <c r="G2026" t="s">
        <v>28677</v>
      </c>
      <c r="H2026" t="s">
        <v>9998</v>
      </c>
      <c r="I2026" t="s">
        <v>28743</v>
      </c>
      <c r="J2026" t="s">
        <v>29552</v>
      </c>
      <c r="K2026" t="s">
        <v>37234</v>
      </c>
      <c r="M2026" t="s">
        <v>38415</v>
      </c>
      <c r="N2026" t="s">
        <v>41249</v>
      </c>
      <c r="O2026" t="s">
        <v>41250</v>
      </c>
      <c r="P2026">
        <v>0</v>
      </c>
      <c r="Q2026">
        <v>0</v>
      </c>
      <c r="R2026" t="s">
        <v>41251</v>
      </c>
      <c r="S2026" t="s">
        <v>41369</v>
      </c>
      <c r="T2026" t="s">
        <v>42729</v>
      </c>
      <c r="U2026" t="s">
        <v>44954</v>
      </c>
      <c r="W2026" t="s">
        <v>38415</v>
      </c>
      <c r="X2026" t="s">
        <v>41252</v>
      </c>
    </row>
    <row r="2027" spans="1:24">
      <c r="A2027">
        <f>HYPERLINK("https://www.philgeps.gov.ph/GEPSNONPILOT/Tender/SplashBidNoticeAbstractUI.aspx?menuIndex=3&amp;refID=7078770&amp;Result=3","7078770")</f>
        <v>0</v>
      </c>
      <c r="B2027" t="s">
        <v>425</v>
      </c>
      <c r="C2027" t="s">
        <v>5323</v>
      </c>
      <c r="D2027" t="s">
        <v>16653</v>
      </c>
      <c r="E2027" t="s">
        <v>18581</v>
      </c>
      <c r="F2027" t="s">
        <v>28669</v>
      </c>
      <c r="G2027" t="s">
        <v>28678</v>
      </c>
      <c r="H2027" t="s">
        <v>9998</v>
      </c>
      <c r="I2027" t="s">
        <v>6128</v>
      </c>
      <c r="J2027" t="s">
        <v>30207</v>
      </c>
      <c r="K2027" t="s">
        <v>37208</v>
      </c>
      <c r="M2027" t="s">
        <v>37910</v>
      </c>
      <c r="N2027" t="s">
        <v>41249</v>
      </c>
      <c r="O2027" t="s">
        <v>41250</v>
      </c>
      <c r="P2027">
        <v>0</v>
      </c>
      <c r="Q2027">
        <v>0</v>
      </c>
      <c r="R2027" t="s">
        <v>41251</v>
      </c>
      <c r="S2027" t="s">
        <v>41369</v>
      </c>
      <c r="T2027" t="s">
        <v>42717</v>
      </c>
      <c r="U2027" t="s">
        <v>44941</v>
      </c>
      <c r="W2027" t="s">
        <v>37910</v>
      </c>
      <c r="X2027" t="s">
        <v>41252</v>
      </c>
    </row>
    <row r="2028" spans="1:24">
      <c r="A2028">
        <f>HYPERLINK("https://www.philgeps.gov.ph/GEPSNONPILOT/Tender/SplashBidNoticeAbstractUI.aspx?menuIndex=3&amp;refID=7078769&amp;Result=3","7078769")</f>
        <v>0</v>
      </c>
      <c r="B2028" t="s">
        <v>425</v>
      </c>
      <c r="C2028" t="s">
        <v>5324</v>
      </c>
      <c r="D2028" t="s">
        <v>16653</v>
      </c>
      <c r="E2028" t="s">
        <v>18582</v>
      </c>
      <c r="F2028" t="s">
        <v>28669</v>
      </c>
      <c r="G2028" t="s">
        <v>28676</v>
      </c>
      <c r="H2028" t="s">
        <v>9998</v>
      </c>
      <c r="I2028" t="s">
        <v>28695</v>
      </c>
      <c r="J2028" t="s">
        <v>30208</v>
      </c>
      <c r="K2028" t="s">
        <v>37208</v>
      </c>
      <c r="M2028" t="s">
        <v>37910</v>
      </c>
      <c r="N2028" t="s">
        <v>41249</v>
      </c>
      <c r="O2028" t="s">
        <v>41250</v>
      </c>
      <c r="P2028">
        <v>0</v>
      </c>
      <c r="Q2028">
        <v>0</v>
      </c>
      <c r="R2028" t="s">
        <v>41251</v>
      </c>
      <c r="S2028" t="s">
        <v>41369</v>
      </c>
      <c r="T2028" t="s">
        <v>42717</v>
      </c>
      <c r="U2028" t="s">
        <v>44941</v>
      </c>
      <c r="W2028" t="s">
        <v>37910</v>
      </c>
      <c r="X2028" t="s">
        <v>41252</v>
      </c>
    </row>
    <row r="2029" spans="1:24">
      <c r="A2029">
        <f>HYPERLINK("https://www.philgeps.gov.ph/GEPSNONPILOT/Tender/SplashBidNoticeAbstractUI.aspx?menuIndex=3&amp;refID=7078768&amp;Result=3","7078768")</f>
        <v>0</v>
      </c>
      <c r="B2029" t="s">
        <v>895</v>
      </c>
      <c r="C2029" t="s">
        <v>5325</v>
      </c>
      <c r="D2029" t="s">
        <v>16611</v>
      </c>
      <c r="E2029" t="s">
        <v>18583</v>
      </c>
      <c r="F2029" t="s">
        <v>28669</v>
      </c>
      <c r="G2029" t="s">
        <v>28677</v>
      </c>
      <c r="H2029" t="s">
        <v>9998</v>
      </c>
      <c r="I2029" t="s">
        <v>28709</v>
      </c>
      <c r="J2029" t="s">
        <v>30209</v>
      </c>
      <c r="K2029" t="s">
        <v>37208</v>
      </c>
      <c r="M2029" t="s">
        <v>38416</v>
      </c>
      <c r="N2029" t="s">
        <v>41249</v>
      </c>
      <c r="O2029" t="s">
        <v>41250</v>
      </c>
      <c r="P2029">
        <v>0</v>
      </c>
      <c r="Q2029">
        <v>0</v>
      </c>
      <c r="R2029" t="s">
        <v>41251</v>
      </c>
      <c r="S2029" t="s">
        <v>41369</v>
      </c>
      <c r="T2029" t="s">
        <v>42748</v>
      </c>
      <c r="U2029" t="s">
        <v>44955</v>
      </c>
      <c r="V2029" t="s">
        <v>54511</v>
      </c>
      <c r="W2029" t="s">
        <v>38416</v>
      </c>
      <c r="X2029" t="s">
        <v>41252</v>
      </c>
    </row>
    <row r="2030" spans="1:24">
      <c r="A2030">
        <f>HYPERLINK("https://www.philgeps.gov.ph/GEPSNONPILOT/Tender/SplashBidNoticeAbstractUI.aspx?menuIndex=3&amp;refID=7078773&amp;Result=3","7078773")</f>
        <v>0</v>
      </c>
      <c r="B2030" t="s">
        <v>425</v>
      </c>
      <c r="C2030" t="s">
        <v>5326</v>
      </c>
      <c r="D2030" t="s">
        <v>16653</v>
      </c>
      <c r="E2030" t="s">
        <v>18584</v>
      </c>
      <c r="F2030" t="s">
        <v>28669</v>
      </c>
      <c r="G2030" t="s">
        <v>28676</v>
      </c>
      <c r="H2030" t="s">
        <v>9998</v>
      </c>
      <c r="I2030" t="s">
        <v>15140</v>
      </c>
      <c r="J2030" t="s">
        <v>29538</v>
      </c>
      <c r="K2030" t="s">
        <v>37208</v>
      </c>
      <c r="M2030" t="s">
        <v>37910</v>
      </c>
      <c r="N2030" t="s">
        <v>41249</v>
      </c>
      <c r="O2030" t="s">
        <v>41250</v>
      </c>
      <c r="P2030">
        <v>0</v>
      </c>
      <c r="Q2030">
        <v>0</v>
      </c>
      <c r="R2030" t="s">
        <v>41251</v>
      </c>
      <c r="S2030" t="s">
        <v>41369</v>
      </c>
      <c r="T2030" t="s">
        <v>42694</v>
      </c>
      <c r="U2030" t="s">
        <v>44941</v>
      </c>
      <c r="W2030" t="s">
        <v>37910</v>
      </c>
      <c r="X2030" t="s">
        <v>41252</v>
      </c>
    </row>
    <row r="2031" spans="1:24">
      <c r="A2031">
        <f>HYPERLINK("https://www.philgeps.gov.ph/GEPSNONPILOT/Tender/SplashBidNoticeAbstractUI.aspx?menuIndex=3&amp;refID=7078781&amp;Result=3","7078781")</f>
        <v>0</v>
      </c>
      <c r="B2031" t="s">
        <v>896</v>
      </c>
      <c r="C2031" t="s">
        <v>5327</v>
      </c>
      <c r="D2031" t="s">
        <v>16626</v>
      </c>
      <c r="E2031" t="s">
        <v>18585</v>
      </c>
      <c r="F2031" t="s">
        <v>28669</v>
      </c>
      <c r="G2031" t="s">
        <v>28676</v>
      </c>
      <c r="H2031" t="s">
        <v>9998</v>
      </c>
      <c r="I2031" t="s">
        <v>28690</v>
      </c>
      <c r="J2031" t="s">
        <v>30210</v>
      </c>
      <c r="K2031" t="s">
        <v>37234</v>
      </c>
      <c r="M2031" t="s">
        <v>38417</v>
      </c>
      <c r="N2031" t="s">
        <v>41249</v>
      </c>
      <c r="O2031" t="s">
        <v>41250</v>
      </c>
      <c r="P2031">
        <v>0</v>
      </c>
      <c r="Q2031">
        <v>4</v>
      </c>
      <c r="R2031" t="s">
        <v>41251</v>
      </c>
      <c r="S2031" t="s">
        <v>41369</v>
      </c>
      <c r="T2031" t="s">
        <v>42703</v>
      </c>
      <c r="U2031" t="s">
        <v>44956</v>
      </c>
      <c r="W2031" t="s">
        <v>38417</v>
      </c>
      <c r="X2031" t="s">
        <v>41252</v>
      </c>
    </row>
    <row r="2032" spans="1:24">
      <c r="A2032">
        <f>HYPERLINK("https://www.philgeps.gov.ph/GEPSNONPILOT/Tender/SplashBidNoticeAbstractUI.aspx?menuIndex=3&amp;refID=7078775&amp;Result=3","7078775")</f>
        <v>0</v>
      </c>
      <c r="B2032" t="s">
        <v>891</v>
      </c>
      <c r="C2032" t="s">
        <v>5328</v>
      </c>
      <c r="D2032" t="s">
        <v>16631</v>
      </c>
      <c r="E2032" t="s">
        <v>18586</v>
      </c>
      <c r="F2032" t="s">
        <v>28669</v>
      </c>
      <c r="G2032" t="s">
        <v>28675</v>
      </c>
      <c r="H2032" t="s">
        <v>9998</v>
      </c>
      <c r="I2032" t="s">
        <v>28687</v>
      </c>
      <c r="J2032" t="s">
        <v>30211</v>
      </c>
      <c r="K2032" t="s">
        <v>37213</v>
      </c>
      <c r="M2032" t="s">
        <v>38412</v>
      </c>
      <c r="N2032" t="s">
        <v>41249</v>
      </c>
      <c r="O2032" t="s">
        <v>41250</v>
      </c>
      <c r="P2032">
        <v>0</v>
      </c>
      <c r="Q2032">
        <v>3</v>
      </c>
      <c r="R2032" t="s">
        <v>41251</v>
      </c>
      <c r="S2032" t="s">
        <v>41369</v>
      </c>
      <c r="T2032" t="s">
        <v>42818</v>
      </c>
      <c r="U2032" t="s">
        <v>44953</v>
      </c>
      <c r="W2032" t="s">
        <v>40528</v>
      </c>
      <c r="X2032" t="s">
        <v>41252</v>
      </c>
    </row>
    <row r="2033" spans="1:24">
      <c r="A2033">
        <f>HYPERLINK("https://www.philgeps.gov.ph/GEPSNONPILOT/Tender/SplashBidNoticeAbstractUI.aspx?menuIndex=3&amp;refID=6968998&amp;Result=3","6968998")</f>
        <v>0</v>
      </c>
      <c r="B2033" t="s">
        <v>29</v>
      </c>
      <c r="C2033" t="s">
        <v>5329</v>
      </c>
      <c r="D2033" t="s">
        <v>16611</v>
      </c>
      <c r="E2033" t="s">
        <v>18587</v>
      </c>
      <c r="F2033" t="s">
        <v>28669</v>
      </c>
      <c r="G2033" t="s">
        <v>28677</v>
      </c>
      <c r="H2033" t="s">
        <v>9998</v>
      </c>
      <c r="I2033" t="s">
        <v>28690</v>
      </c>
      <c r="J2033" t="s">
        <v>30212</v>
      </c>
      <c r="K2033" t="s">
        <v>37209</v>
      </c>
      <c r="M2033" t="s">
        <v>37504</v>
      </c>
      <c r="N2033" t="s">
        <v>41249</v>
      </c>
      <c r="O2033" t="s">
        <v>41250</v>
      </c>
      <c r="P2033">
        <v>0</v>
      </c>
      <c r="Q2033">
        <v>4</v>
      </c>
      <c r="R2033" t="s">
        <v>41252</v>
      </c>
      <c r="S2033" t="s">
        <v>41383</v>
      </c>
      <c r="T2033" t="s">
        <v>42686</v>
      </c>
      <c r="U2033" t="s">
        <v>44957</v>
      </c>
      <c r="W2033" t="s">
        <v>37931</v>
      </c>
      <c r="X2033" t="s">
        <v>41305</v>
      </c>
    </row>
    <row r="2034" spans="1:24">
      <c r="A2034">
        <f>HYPERLINK("https://www.philgeps.gov.ph/GEPSNONPILOT/Tender/SplashBidNoticeAbstractUI.aspx?menuIndex=3&amp;refID=7078767&amp;Result=3","7078767")</f>
        <v>0</v>
      </c>
      <c r="B2034" t="s">
        <v>847</v>
      </c>
      <c r="C2034" t="s">
        <v>5330</v>
      </c>
      <c r="E2034" t="s">
        <v>18588</v>
      </c>
      <c r="F2034" t="s">
        <v>28669</v>
      </c>
      <c r="G2034" t="s">
        <v>28676</v>
      </c>
      <c r="H2034" t="s">
        <v>9998</v>
      </c>
      <c r="I2034" t="s">
        <v>28692</v>
      </c>
      <c r="J2034" t="s">
        <v>30213</v>
      </c>
      <c r="K2034" t="s">
        <v>37209</v>
      </c>
      <c r="M2034" t="s">
        <v>38389</v>
      </c>
      <c r="N2034" t="s">
        <v>41249</v>
      </c>
      <c r="O2034" t="s">
        <v>41250</v>
      </c>
      <c r="P2034">
        <v>0</v>
      </c>
      <c r="Q2034">
        <v>2</v>
      </c>
      <c r="R2034" t="s">
        <v>41251</v>
      </c>
      <c r="S2034" t="s">
        <v>41369</v>
      </c>
      <c r="T2034" t="s">
        <v>42754</v>
      </c>
      <c r="U2034" t="s">
        <v>44958</v>
      </c>
      <c r="V2034" t="s">
        <v>54501</v>
      </c>
      <c r="W2034" t="s">
        <v>38389</v>
      </c>
      <c r="X2034" t="s">
        <v>41252</v>
      </c>
    </row>
    <row r="2035" spans="1:24">
      <c r="A2035">
        <f>HYPERLINK("https://www.philgeps.gov.ph/GEPSNONPILOT/Tender/SplashBidNoticeAbstractUI.aspx?menuIndex=3&amp;refID=7078800&amp;Result=3","7078800")</f>
        <v>0</v>
      </c>
      <c r="B2035" t="s">
        <v>897</v>
      </c>
      <c r="C2035" t="s">
        <v>5331</v>
      </c>
      <c r="D2035" t="s">
        <v>16631</v>
      </c>
      <c r="E2035" t="s">
        <v>18589</v>
      </c>
      <c r="F2035" t="s">
        <v>28669</v>
      </c>
      <c r="G2035" t="s">
        <v>28675</v>
      </c>
      <c r="H2035" t="s">
        <v>9998</v>
      </c>
      <c r="I2035" t="s">
        <v>7352</v>
      </c>
      <c r="J2035" t="s">
        <v>30214</v>
      </c>
      <c r="K2035" t="s">
        <v>37206</v>
      </c>
      <c r="M2035" t="s">
        <v>38418</v>
      </c>
      <c r="N2035" t="s">
        <v>41249</v>
      </c>
      <c r="O2035" t="s">
        <v>41250</v>
      </c>
      <c r="P2035">
        <v>0</v>
      </c>
      <c r="Q2035">
        <v>0</v>
      </c>
      <c r="R2035" t="s">
        <v>41251</v>
      </c>
      <c r="S2035" t="s">
        <v>41369</v>
      </c>
      <c r="T2035" t="s">
        <v>42672</v>
      </c>
      <c r="U2035" t="s">
        <v>44959</v>
      </c>
      <c r="W2035" t="s">
        <v>38418</v>
      </c>
      <c r="X2035" t="s">
        <v>41252</v>
      </c>
    </row>
    <row r="2036" spans="1:24">
      <c r="A2036">
        <f>HYPERLINK("https://www.philgeps.gov.ph/GEPSNONPILOT/Tender/SplashBidNoticeAbstractUI.aspx?menuIndex=3&amp;refID=7078798&amp;Result=3","7078798")</f>
        <v>0</v>
      </c>
      <c r="B2036" t="s">
        <v>894</v>
      </c>
      <c r="C2036" t="s">
        <v>5332</v>
      </c>
      <c r="D2036" t="s">
        <v>16630</v>
      </c>
      <c r="E2036" t="s">
        <v>18590</v>
      </c>
      <c r="F2036" t="s">
        <v>28669</v>
      </c>
      <c r="G2036" t="s">
        <v>28677</v>
      </c>
      <c r="H2036" t="s">
        <v>9998</v>
      </c>
      <c r="I2036" t="s">
        <v>28698</v>
      </c>
      <c r="J2036" t="s">
        <v>30215</v>
      </c>
      <c r="K2036" t="s">
        <v>37234</v>
      </c>
      <c r="M2036" t="s">
        <v>38415</v>
      </c>
      <c r="N2036" t="s">
        <v>41249</v>
      </c>
      <c r="O2036" t="s">
        <v>41250</v>
      </c>
      <c r="P2036">
        <v>0</v>
      </c>
      <c r="Q2036">
        <v>0</v>
      </c>
      <c r="R2036" t="s">
        <v>41251</v>
      </c>
      <c r="S2036" t="s">
        <v>41369</v>
      </c>
      <c r="T2036" t="s">
        <v>42729</v>
      </c>
      <c r="U2036" t="s">
        <v>44960</v>
      </c>
      <c r="W2036" t="s">
        <v>38415</v>
      </c>
      <c r="X2036" t="s">
        <v>41252</v>
      </c>
    </row>
    <row r="2037" spans="1:24">
      <c r="A2037">
        <f>HYPERLINK("https://www.philgeps.gov.ph/GEPSNONPILOT/Tender/SplashBidNoticeAbstractUI.aspx?menuIndex=3&amp;refID=7078748&amp;Result=3","7078748")</f>
        <v>0</v>
      </c>
      <c r="B2037" t="s">
        <v>843</v>
      </c>
      <c r="C2037" t="s">
        <v>5333</v>
      </c>
      <c r="D2037" t="s">
        <v>16638</v>
      </c>
      <c r="E2037" t="s">
        <v>18591</v>
      </c>
      <c r="F2037" t="s">
        <v>28669</v>
      </c>
      <c r="G2037" t="s">
        <v>28676</v>
      </c>
      <c r="H2037" t="s">
        <v>9998</v>
      </c>
      <c r="I2037" t="s">
        <v>28694</v>
      </c>
      <c r="J2037" t="s">
        <v>30216</v>
      </c>
      <c r="K2037" t="s">
        <v>37204</v>
      </c>
      <c r="M2037" t="s">
        <v>38359</v>
      </c>
      <c r="N2037" t="s">
        <v>41249</v>
      </c>
      <c r="O2037" t="s">
        <v>41250</v>
      </c>
      <c r="P2037">
        <v>0</v>
      </c>
      <c r="Q2037">
        <v>0</v>
      </c>
      <c r="R2037" t="s">
        <v>41251</v>
      </c>
      <c r="S2037" t="s">
        <v>41369</v>
      </c>
      <c r="T2037" t="s">
        <v>42711</v>
      </c>
      <c r="U2037" t="s">
        <v>44856</v>
      </c>
      <c r="W2037" t="s">
        <v>38359</v>
      </c>
      <c r="X2037" t="s">
        <v>41252</v>
      </c>
    </row>
    <row r="2038" spans="1:24">
      <c r="A2038">
        <f>HYPERLINK("https://www.philgeps.gov.ph/GEPSNONPILOT/Tender/SplashBidNoticeAbstractUI.aspx?menuIndex=3&amp;refID=7078794&amp;Result=3","7078794")</f>
        <v>0</v>
      </c>
      <c r="B2038" t="s">
        <v>895</v>
      </c>
      <c r="C2038" t="s">
        <v>5334</v>
      </c>
      <c r="D2038" t="s">
        <v>16611</v>
      </c>
      <c r="E2038" t="s">
        <v>18583</v>
      </c>
      <c r="F2038" t="s">
        <v>28669</v>
      </c>
      <c r="G2038" t="s">
        <v>28677</v>
      </c>
      <c r="H2038" t="s">
        <v>9998</v>
      </c>
      <c r="I2038" t="s">
        <v>28709</v>
      </c>
      <c r="J2038" t="s">
        <v>30217</v>
      </c>
      <c r="K2038" t="s">
        <v>37208</v>
      </c>
      <c r="M2038" t="s">
        <v>38416</v>
      </c>
      <c r="N2038" t="s">
        <v>41249</v>
      </c>
      <c r="O2038" t="s">
        <v>41250</v>
      </c>
      <c r="P2038">
        <v>0</v>
      </c>
      <c r="Q2038">
        <v>0</v>
      </c>
      <c r="R2038" t="s">
        <v>41251</v>
      </c>
      <c r="S2038" t="s">
        <v>41369</v>
      </c>
      <c r="T2038" t="s">
        <v>42748</v>
      </c>
      <c r="U2038" t="s">
        <v>44961</v>
      </c>
      <c r="V2038" t="s">
        <v>54512</v>
      </c>
      <c r="W2038" t="s">
        <v>38416</v>
      </c>
      <c r="X2038" t="s">
        <v>41252</v>
      </c>
    </row>
    <row r="2039" spans="1:24">
      <c r="A2039">
        <f>HYPERLINK("https://www.philgeps.gov.ph/GEPSNONPILOT/Tender/SplashBidNoticeAbstractUI.aspx?menuIndex=3&amp;refID=7078764&amp;Result=3","7078764")</f>
        <v>0</v>
      </c>
      <c r="B2039" t="s">
        <v>888</v>
      </c>
      <c r="C2039" t="s">
        <v>5335</v>
      </c>
      <c r="D2039" t="s">
        <v>16664</v>
      </c>
      <c r="E2039" t="s">
        <v>17051</v>
      </c>
      <c r="F2039" t="s">
        <v>28669</v>
      </c>
      <c r="G2039" t="s">
        <v>28675</v>
      </c>
      <c r="H2039" t="s">
        <v>9998</v>
      </c>
      <c r="I2039" t="s">
        <v>3718</v>
      </c>
      <c r="J2039" t="s">
        <v>28894</v>
      </c>
      <c r="K2039" t="s">
        <v>37208</v>
      </c>
      <c r="M2039" t="s">
        <v>38408</v>
      </c>
      <c r="N2039" t="s">
        <v>41249</v>
      </c>
      <c r="O2039" t="s">
        <v>41250</v>
      </c>
      <c r="P2039">
        <v>0</v>
      </c>
      <c r="Q2039">
        <v>5</v>
      </c>
      <c r="R2039" t="s">
        <v>41251</v>
      </c>
      <c r="S2039" t="s">
        <v>41369</v>
      </c>
      <c r="T2039" t="s">
        <v>42690</v>
      </c>
      <c r="U2039" t="s">
        <v>44962</v>
      </c>
      <c r="W2039" t="s">
        <v>38408</v>
      </c>
      <c r="X2039" t="s">
        <v>41252</v>
      </c>
    </row>
    <row r="2040" spans="1:24">
      <c r="A2040">
        <f>HYPERLINK("https://www.philgeps.gov.ph/GEPSNONPILOT/Tender/SplashBidNoticeAbstractUI.aspx?menuIndex=3&amp;refID=7078797&amp;Result=3","7078797")</f>
        <v>0</v>
      </c>
      <c r="B2040" t="s">
        <v>898</v>
      </c>
      <c r="C2040" t="s">
        <v>5336</v>
      </c>
      <c r="D2040" t="s">
        <v>16639</v>
      </c>
      <c r="E2040" t="s">
        <v>16877</v>
      </c>
      <c r="F2040" t="s">
        <v>28669</v>
      </c>
      <c r="G2040" t="s">
        <v>28675</v>
      </c>
      <c r="H2040" t="s">
        <v>9998</v>
      </c>
      <c r="I2040" t="s">
        <v>7352</v>
      </c>
      <c r="J2040" t="s">
        <v>30218</v>
      </c>
      <c r="K2040" t="s">
        <v>37243</v>
      </c>
      <c r="M2040" t="s">
        <v>38419</v>
      </c>
      <c r="N2040" t="s">
        <v>41249</v>
      </c>
      <c r="O2040" t="s">
        <v>41250</v>
      </c>
      <c r="P2040">
        <v>0</v>
      </c>
      <c r="Q2040">
        <v>0</v>
      </c>
      <c r="R2040" t="s">
        <v>41251</v>
      </c>
      <c r="S2040" t="s">
        <v>41369</v>
      </c>
      <c r="T2040" t="s">
        <v>42682</v>
      </c>
      <c r="U2040" t="s">
        <v>44963</v>
      </c>
      <c r="W2040" t="s">
        <v>38419</v>
      </c>
      <c r="X2040" t="s">
        <v>41252</v>
      </c>
    </row>
    <row r="2041" spans="1:24">
      <c r="A2041">
        <f>HYPERLINK("https://www.philgeps.gov.ph/GEPSNONPILOT/Tender/SplashBidNoticeAbstractUI.aspx?menuIndex=3&amp;refID=7078796&amp;Result=3","7078796")</f>
        <v>0</v>
      </c>
      <c r="B2041" t="s">
        <v>859</v>
      </c>
      <c r="C2041" t="s">
        <v>5337</v>
      </c>
      <c r="D2041" t="s">
        <v>16660</v>
      </c>
      <c r="E2041" t="s">
        <v>18553</v>
      </c>
      <c r="F2041" t="s">
        <v>28669</v>
      </c>
      <c r="G2041" t="s">
        <v>28677</v>
      </c>
      <c r="H2041" t="s">
        <v>9998</v>
      </c>
      <c r="I2041" t="s">
        <v>6128</v>
      </c>
      <c r="J2041" t="s">
        <v>30219</v>
      </c>
      <c r="K2041" t="s">
        <v>37209</v>
      </c>
      <c r="M2041" t="s">
        <v>38376</v>
      </c>
      <c r="N2041" t="s">
        <v>41249</v>
      </c>
      <c r="O2041" t="s">
        <v>41250</v>
      </c>
      <c r="P2041">
        <v>0</v>
      </c>
      <c r="Q2041">
        <v>1</v>
      </c>
      <c r="R2041" t="s">
        <v>41251</v>
      </c>
      <c r="S2041" t="s">
        <v>41369</v>
      </c>
      <c r="T2041" t="s">
        <v>42682</v>
      </c>
      <c r="U2041" t="s">
        <v>44964</v>
      </c>
      <c r="W2041" t="s">
        <v>38376</v>
      </c>
      <c r="X2041" t="s">
        <v>41252</v>
      </c>
    </row>
    <row r="2042" spans="1:24">
      <c r="A2042">
        <f>HYPERLINK("https://www.philgeps.gov.ph/GEPSNONPILOT/Tender/SplashBidNoticeAbstractUI.aspx?menuIndex=3&amp;refID=6941401&amp;Result=3","6941401")</f>
        <v>0</v>
      </c>
      <c r="B2042" t="s">
        <v>899</v>
      </c>
      <c r="C2042" t="s">
        <v>5338</v>
      </c>
      <c r="D2042" t="s">
        <v>16641</v>
      </c>
      <c r="E2042" t="s">
        <v>18592</v>
      </c>
      <c r="F2042" t="s">
        <v>28669</v>
      </c>
      <c r="G2042" t="s">
        <v>28677</v>
      </c>
      <c r="H2042" t="s">
        <v>9998</v>
      </c>
      <c r="I2042" t="s">
        <v>28693</v>
      </c>
      <c r="J2042" t="s">
        <v>28826</v>
      </c>
      <c r="K2042" t="s">
        <v>37206</v>
      </c>
      <c r="M2042" t="s">
        <v>38420</v>
      </c>
      <c r="N2042" t="s">
        <v>41249</v>
      </c>
      <c r="O2042" t="s">
        <v>41250</v>
      </c>
      <c r="P2042">
        <v>0</v>
      </c>
      <c r="Q2042">
        <v>25</v>
      </c>
      <c r="R2042" t="s">
        <v>41252</v>
      </c>
      <c r="S2042" t="s">
        <v>41383</v>
      </c>
      <c r="T2042" t="s">
        <v>42679</v>
      </c>
      <c r="U2042" t="s">
        <v>44965</v>
      </c>
      <c r="V2042" t="s">
        <v>54291</v>
      </c>
      <c r="W2042" t="s">
        <v>38420</v>
      </c>
      <c r="X2042" t="s">
        <v>41317</v>
      </c>
    </row>
    <row r="2043" spans="1:24">
      <c r="A2043">
        <f>HYPERLINK("https://www.philgeps.gov.ph/GEPSNONPILOT/Tender/SplashBidNoticeAbstractUI.aspx?menuIndex=3&amp;refID=7039425-2&amp;Result=3","7039425-2")</f>
        <v>0</v>
      </c>
      <c r="B2043" t="s">
        <v>900</v>
      </c>
      <c r="C2043" t="s">
        <v>5339</v>
      </c>
      <c r="D2043" t="s">
        <v>16649</v>
      </c>
      <c r="E2043" t="s">
        <v>18593</v>
      </c>
      <c r="F2043" t="s">
        <v>28669</v>
      </c>
      <c r="G2043" t="s">
        <v>28675</v>
      </c>
      <c r="H2043" t="s">
        <v>28685</v>
      </c>
      <c r="I2043" t="s">
        <v>28685</v>
      </c>
      <c r="J2043" t="s">
        <v>30220</v>
      </c>
      <c r="K2043" t="s">
        <v>37267</v>
      </c>
      <c r="M2043" t="s">
        <v>38421</v>
      </c>
      <c r="N2043" t="s">
        <v>41249</v>
      </c>
      <c r="O2043" t="s">
        <v>41250</v>
      </c>
      <c r="P2043">
        <v>0</v>
      </c>
      <c r="Q2043">
        <v>2</v>
      </c>
      <c r="R2043" t="s">
        <v>41252</v>
      </c>
      <c r="S2043" t="s">
        <v>41383</v>
      </c>
      <c r="T2043" t="s">
        <v>42739</v>
      </c>
      <c r="U2043" t="s">
        <v>44966</v>
      </c>
      <c r="V2043" t="s">
        <v>54513</v>
      </c>
      <c r="W2043" t="s">
        <v>38421</v>
      </c>
      <c r="X2043" t="s">
        <v>41254</v>
      </c>
    </row>
    <row r="2044" spans="1:24">
      <c r="A2044">
        <f>HYPERLINK("https://www.philgeps.gov.ph/GEPSNONPILOT/Tender/SplashBidNoticeAbstractUI.aspx?menuIndex=3&amp;refID=7062193&amp;Result=3","7062193")</f>
        <v>0</v>
      </c>
      <c r="B2044" t="s">
        <v>901</v>
      </c>
      <c r="C2044" t="s">
        <v>5340</v>
      </c>
      <c r="D2044" t="s">
        <v>16611</v>
      </c>
      <c r="E2044" t="s">
        <v>18594</v>
      </c>
      <c r="F2044" t="s">
        <v>28669</v>
      </c>
      <c r="G2044" t="s">
        <v>28675</v>
      </c>
      <c r="H2044" t="s">
        <v>9998</v>
      </c>
      <c r="I2044" t="s">
        <v>28703</v>
      </c>
      <c r="J2044" t="s">
        <v>30221</v>
      </c>
      <c r="K2044" t="s">
        <v>37206</v>
      </c>
      <c r="M2044" t="s">
        <v>38422</v>
      </c>
      <c r="N2044" t="s">
        <v>41249</v>
      </c>
      <c r="O2044" t="s">
        <v>41250</v>
      </c>
      <c r="P2044">
        <v>0</v>
      </c>
      <c r="Q2044">
        <v>2</v>
      </c>
      <c r="R2044" t="s">
        <v>41252</v>
      </c>
      <c r="S2044" t="s">
        <v>41383</v>
      </c>
      <c r="T2044" t="s">
        <v>42690</v>
      </c>
      <c r="U2044" t="s">
        <v>44967</v>
      </c>
      <c r="V2044" t="s">
        <v>54514</v>
      </c>
      <c r="W2044" t="s">
        <v>38422</v>
      </c>
      <c r="X2044" t="s">
        <v>41260</v>
      </c>
    </row>
    <row r="2045" spans="1:24">
      <c r="A2045">
        <f>HYPERLINK("https://www.philgeps.gov.ph/GEPSNONPILOT/Tender/SplashBidNoticeAbstractUI.aspx?menuIndex=3&amp;refID=7064715&amp;Result=3","7064715")</f>
        <v>0</v>
      </c>
      <c r="B2045" t="s">
        <v>666</v>
      </c>
      <c r="C2045" t="s">
        <v>5341</v>
      </c>
      <c r="D2045" t="s">
        <v>16664</v>
      </c>
      <c r="E2045" t="s">
        <v>17030</v>
      </c>
      <c r="F2045" t="s">
        <v>28669</v>
      </c>
      <c r="G2045" t="s">
        <v>28675</v>
      </c>
      <c r="H2045" t="s">
        <v>9998</v>
      </c>
      <c r="I2045" t="s">
        <v>28687</v>
      </c>
      <c r="J2045" t="s">
        <v>29112</v>
      </c>
      <c r="K2045" t="s">
        <v>37206</v>
      </c>
      <c r="L2045" t="s">
        <v>666</v>
      </c>
      <c r="M2045" t="s">
        <v>38169</v>
      </c>
      <c r="N2045" t="s">
        <v>41249</v>
      </c>
      <c r="O2045" t="s">
        <v>41250</v>
      </c>
      <c r="P2045">
        <v>0</v>
      </c>
      <c r="Q2045">
        <v>4</v>
      </c>
      <c r="R2045" t="s">
        <v>41252</v>
      </c>
      <c r="S2045" t="s">
        <v>41383</v>
      </c>
      <c r="T2045" t="s">
        <v>42686</v>
      </c>
      <c r="U2045" t="s">
        <v>44968</v>
      </c>
      <c r="V2045" t="s">
        <v>49864</v>
      </c>
      <c r="W2045" t="s">
        <v>38169</v>
      </c>
      <c r="X2045" t="s">
        <v>41259</v>
      </c>
    </row>
    <row r="2046" spans="1:24">
      <c r="A2046">
        <f>HYPERLINK("https://www.philgeps.gov.ph/GEPSNONPILOT/Tender/SplashBidNoticeAbstractUI.aspx?menuIndex=3&amp;refID=7064173&amp;Result=3","7064173")</f>
        <v>0</v>
      </c>
      <c r="B2046" t="s">
        <v>902</v>
      </c>
      <c r="C2046" t="s">
        <v>5342</v>
      </c>
      <c r="D2046" t="s">
        <v>16608</v>
      </c>
      <c r="E2046" t="s">
        <v>18595</v>
      </c>
      <c r="F2046" t="s">
        <v>28669</v>
      </c>
      <c r="G2046" t="s">
        <v>28676</v>
      </c>
      <c r="H2046" t="s">
        <v>9998</v>
      </c>
      <c r="I2046" t="s">
        <v>28717</v>
      </c>
      <c r="J2046" t="s">
        <v>30222</v>
      </c>
      <c r="K2046" t="s">
        <v>37206</v>
      </c>
      <c r="M2046" t="s">
        <v>38423</v>
      </c>
      <c r="N2046" t="s">
        <v>41249</v>
      </c>
      <c r="O2046" t="s">
        <v>41250</v>
      </c>
      <c r="P2046">
        <v>0</v>
      </c>
      <c r="Q2046">
        <v>13</v>
      </c>
      <c r="R2046" t="s">
        <v>41252</v>
      </c>
      <c r="S2046" t="s">
        <v>41383</v>
      </c>
      <c r="T2046" t="s">
        <v>42673</v>
      </c>
      <c r="U2046" t="s">
        <v>44969</v>
      </c>
      <c r="W2046" t="s">
        <v>38423</v>
      </c>
      <c r="X2046" t="s">
        <v>41260</v>
      </c>
    </row>
    <row r="2047" spans="1:24">
      <c r="A2047">
        <f>HYPERLINK("https://www.philgeps.gov.ph/GEPSNONPILOT/Tender/SplashBidNoticeAbstractUI.aspx?menuIndex=3&amp;refID=7063496&amp;Result=3","7063496")</f>
        <v>0</v>
      </c>
      <c r="B2047" t="s">
        <v>59</v>
      </c>
      <c r="C2047" t="s">
        <v>5343</v>
      </c>
      <c r="E2047" t="s">
        <v>18596</v>
      </c>
      <c r="F2047" t="s">
        <v>28669</v>
      </c>
      <c r="G2047" t="s">
        <v>28676</v>
      </c>
      <c r="H2047" t="s">
        <v>9998</v>
      </c>
      <c r="I2047" t="s">
        <v>6606</v>
      </c>
      <c r="J2047" t="s">
        <v>30223</v>
      </c>
      <c r="K2047" t="s">
        <v>37209</v>
      </c>
      <c r="M2047" t="s">
        <v>37534</v>
      </c>
      <c r="N2047" t="s">
        <v>41249</v>
      </c>
      <c r="O2047" t="s">
        <v>41250</v>
      </c>
      <c r="P2047">
        <v>0</v>
      </c>
      <c r="Q2047">
        <v>0</v>
      </c>
      <c r="R2047" t="s">
        <v>41252</v>
      </c>
      <c r="S2047" t="s">
        <v>41383</v>
      </c>
      <c r="T2047" t="s">
        <v>42758</v>
      </c>
      <c r="U2047" t="s">
        <v>44970</v>
      </c>
      <c r="W2047" t="s">
        <v>37534</v>
      </c>
      <c r="X2047" t="s">
        <v>41260</v>
      </c>
    </row>
    <row r="2048" spans="1:24">
      <c r="A2048">
        <f>HYPERLINK("https://www.philgeps.gov.ph/GEPSNONPILOT/Tender/SplashBidNoticeAbstractUI.aspx?menuIndex=3&amp;refID=7063167&amp;Result=3","7063167")</f>
        <v>0</v>
      </c>
      <c r="B2048" t="s">
        <v>903</v>
      </c>
      <c r="C2048" t="s">
        <v>5344</v>
      </c>
      <c r="D2048" t="s">
        <v>16678</v>
      </c>
      <c r="E2048" t="s">
        <v>18597</v>
      </c>
      <c r="F2048" t="s">
        <v>28669</v>
      </c>
      <c r="G2048" t="s">
        <v>28675</v>
      </c>
      <c r="H2048" t="s">
        <v>28686</v>
      </c>
      <c r="I2048" t="s">
        <v>28689</v>
      </c>
      <c r="J2048" t="s">
        <v>30224</v>
      </c>
      <c r="K2048" t="s">
        <v>37206</v>
      </c>
      <c r="M2048" t="s">
        <v>38424</v>
      </c>
      <c r="N2048" t="s">
        <v>41249</v>
      </c>
      <c r="O2048" t="s">
        <v>41250</v>
      </c>
      <c r="P2048">
        <v>0</v>
      </c>
      <c r="Q2048">
        <v>0</v>
      </c>
      <c r="R2048" t="s">
        <v>41252</v>
      </c>
      <c r="S2048" t="s">
        <v>41383</v>
      </c>
      <c r="T2048" t="s">
        <v>42703</v>
      </c>
      <c r="U2048" t="s">
        <v>44971</v>
      </c>
      <c r="W2048" t="s">
        <v>38424</v>
      </c>
      <c r="X2048" t="s">
        <v>41260</v>
      </c>
    </row>
    <row r="2049" spans="1:24">
      <c r="A2049">
        <f>HYPERLINK("https://www.philgeps.gov.ph/GEPSNONPILOT/Tender/SplashBidNoticeAbstractUI.aspx?menuIndex=3&amp;refID=7062067&amp;Result=3","7062067")</f>
        <v>0</v>
      </c>
      <c r="B2049" t="s">
        <v>59</v>
      </c>
      <c r="C2049" t="s">
        <v>5345</v>
      </c>
      <c r="E2049" t="s">
        <v>18598</v>
      </c>
      <c r="F2049" t="s">
        <v>28669</v>
      </c>
      <c r="G2049" t="s">
        <v>28676</v>
      </c>
      <c r="H2049" t="s">
        <v>9998</v>
      </c>
      <c r="I2049" t="s">
        <v>28729</v>
      </c>
      <c r="J2049" t="s">
        <v>30225</v>
      </c>
      <c r="K2049" t="s">
        <v>37209</v>
      </c>
      <c r="M2049" t="s">
        <v>37534</v>
      </c>
      <c r="N2049" t="s">
        <v>41249</v>
      </c>
      <c r="O2049" t="s">
        <v>41250</v>
      </c>
      <c r="P2049">
        <v>0</v>
      </c>
      <c r="Q2049">
        <v>7</v>
      </c>
      <c r="R2049" t="s">
        <v>41252</v>
      </c>
      <c r="S2049" t="s">
        <v>41383</v>
      </c>
      <c r="T2049" t="s">
        <v>42758</v>
      </c>
      <c r="U2049" t="s">
        <v>44972</v>
      </c>
      <c r="W2049" t="s">
        <v>37534</v>
      </c>
      <c r="X2049" t="s">
        <v>41260</v>
      </c>
    </row>
    <row r="2050" spans="1:24">
      <c r="A2050">
        <f>HYPERLINK("https://www.philgeps.gov.ph/GEPSNONPILOT/Tender/SplashBidNoticeAbstractUI.aspx?menuIndex=3&amp;refID=7061539&amp;Result=3","7061539")</f>
        <v>0</v>
      </c>
      <c r="B2050" t="s">
        <v>904</v>
      </c>
      <c r="C2050" t="s">
        <v>5346</v>
      </c>
      <c r="D2050" t="s">
        <v>16630</v>
      </c>
      <c r="E2050" t="s">
        <v>18599</v>
      </c>
      <c r="F2050" t="s">
        <v>28669</v>
      </c>
      <c r="G2050" t="s">
        <v>28675</v>
      </c>
      <c r="H2050" t="s">
        <v>9998</v>
      </c>
      <c r="I2050" t="s">
        <v>11142</v>
      </c>
      <c r="J2050" t="s">
        <v>30226</v>
      </c>
      <c r="K2050" t="s">
        <v>37208</v>
      </c>
      <c r="M2050" t="s">
        <v>38425</v>
      </c>
      <c r="N2050" t="s">
        <v>41249</v>
      </c>
      <c r="O2050" t="s">
        <v>41250</v>
      </c>
      <c r="P2050">
        <v>0</v>
      </c>
      <c r="Q2050">
        <v>0</v>
      </c>
      <c r="R2050" t="s">
        <v>41252</v>
      </c>
      <c r="S2050" t="s">
        <v>41383</v>
      </c>
      <c r="T2050" t="s">
        <v>42679</v>
      </c>
      <c r="U2050" t="s">
        <v>44973</v>
      </c>
      <c r="W2050" t="s">
        <v>38425</v>
      </c>
      <c r="X2050" t="s">
        <v>41261</v>
      </c>
    </row>
    <row r="2051" spans="1:24">
      <c r="A2051">
        <f>HYPERLINK("https://www.philgeps.gov.ph/GEPSNONPILOT/Tender/SplashBidNoticeAbstractUI.aspx?menuIndex=3&amp;refID=7061065&amp;Result=3","7061065")</f>
        <v>0</v>
      </c>
      <c r="B2051" t="s">
        <v>905</v>
      </c>
      <c r="C2051" t="s">
        <v>5347</v>
      </c>
      <c r="D2051" t="s">
        <v>16691</v>
      </c>
      <c r="E2051" t="s">
        <v>18600</v>
      </c>
      <c r="F2051" t="s">
        <v>28669</v>
      </c>
      <c r="G2051" t="s">
        <v>28675</v>
      </c>
      <c r="H2051" t="s">
        <v>9998</v>
      </c>
      <c r="I2051" t="s">
        <v>28687</v>
      </c>
      <c r="J2051" t="s">
        <v>29059</v>
      </c>
      <c r="K2051" t="s">
        <v>37205</v>
      </c>
      <c r="M2051" t="s">
        <v>38426</v>
      </c>
      <c r="N2051" t="s">
        <v>41249</v>
      </c>
      <c r="O2051" t="s">
        <v>41250</v>
      </c>
      <c r="P2051">
        <v>0</v>
      </c>
      <c r="Q2051">
        <v>3</v>
      </c>
      <c r="R2051" t="s">
        <v>41252</v>
      </c>
      <c r="S2051" t="s">
        <v>41383</v>
      </c>
      <c r="T2051" t="s">
        <v>42688</v>
      </c>
      <c r="U2051" t="s">
        <v>44974</v>
      </c>
      <c r="W2051" t="s">
        <v>38426</v>
      </c>
      <c r="X2051" t="s">
        <v>41261</v>
      </c>
    </row>
    <row r="2052" spans="1:24">
      <c r="A2052">
        <f>HYPERLINK("https://www.philgeps.gov.ph/GEPSNONPILOT/Tender/SplashBidNoticeAbstractUI.aspx?menuIndex=3&amp;refID=7060989&amp;Result=3","7060989")</f>
        <v>0</v>
      </c>
      <c r="B2052" t="s">
        <v>905</v>
      </c>
      <c r="C2052" t="s">
        <v>5348</v>
      </c>
      <c r="D2052" t="s">
        <v>16691</v>
      </c>
      <c r="E2052" t="s">
        <v>18601</v>
      </c>
      <c r="F2052" t="s">
        <v>28669</v>
      </c>
      <c r="G2052" t="s">
        <v>28675</v>
      </c>
      <c r="H2052" t="s">
        <v>9998</v>
      </c>
      <c r="I2052" t="s">
        <v>28687</v>
      </c>
      <c r="J2052" t="s">
        <v>29655</v>
      </c>
      <c r="K2052" t="s">
        <v>37205</v>
      </c>
      <c r="M2052" t="s">
        <v>38426</v>
      </c>
      <c r="N2052" t="s">
        <v>41249</v>
      </c>
      <c r="O2052" t="s">
        <v>41250</v>
      </c>
      <c r="P2052">
        <v>0</v>
      </c>
      <c r="Q2052">
        <v>5</v>
      </c>
      <c r="R2052" t="s">
        <v>41252</v>
      </c>
      <c r="S2052" t="s">
        <v>41383</v>
      </c>
      <c r="T2052" t="s">
        <v>42688</v>
      </c>
      <c r="U2052" t="s">
        <v>44974</v>
      </c>
      <c r="W2052" t="s">
        <v>38426</v>
      </c>
      <c r="X2052" t="s">
        <v>41261</v>
      </c>
    </row>
    <row r="2053" spans="1:24">
      <c r="A2053">
        <f>HYPERLINK("https://www.philgeps.gov.ph/GEPSNONPILOT/Tender/SplashBidNoticeAbstractUI.aspx?menuIndex=3&amp;refID=7078793&amp;Result=3","7078793")</f>
        <v>0</v>
      </c>
      <c r="B2053" t="s">
        <v>876</v>
      </c>
      <c r="C2053" t="s">
        <v>5349</v>
      </c>
      <c r="D2053" t="s">
        <v>16667</v>
      </c>
      <c r="E2053" t="s">
        <v>18602</v>
      </c>
      <c r="F2053" t="s">
        <v>28669</v>
      </c>
      <c r="G2053" t="s">
        <v>28675</v>
      </c>
      <c r="H2053" t="s">
        <v>9998</v>
      </c>
      <c r="I2053" t="s">
        <v>28687</v>
      </c>
      <c r="J2053" t="s">
        <v>30227</v>
      </c>
      <c r="K2053" t="s">
        <v>37231</v>
      </c>
      <c r="M2053" t="s">
        <v>38427</v>
      </c>
      <c r="N2053" t="s">
        <v>41249</v>
      </c>
      <c r="O2053" t="s">
        <v>41250</v>
      </c>
      <c r="P2053">
        <v>0</v>
      </c>
      <c r="Q2053">
        <v>2</v>
      </c>
      <c r="R2053" t="s">
        <v>41251</v>
      </c>
      <c r="S2053" t="s">
        <v>41369</v>
      </c>
      <c r="T2053" t="s">
        <v>42808</v>
      </c>
      <c r="U2053" t="s">
        <v>44975</v>
      </c>
      <c r="W2053" t="s">
        <v>38427</v>
      </c>
      <c r="X2053" t="s">
        <v>41252</v>
      </c>
    </row>
    <row r="2054" spans="1:24">
      <c r="A2054">
        <f>HYPERLINK("https://www.philgeps.gov.ph/GEPSNONPILOT/Tender/SplashBidNoticeAbstractUI.aspx?menuIndex=3&amp;refID=7078792&amp;Result=3","7078792")</f>
        <v>0</v>
      </c>
      <c r="B2054" t="s">
        <v>894</v>
      </c>
      <c r="C2054" t="s">
        <v>5350</v>
      </c>
      <c r="D2054" t="s">
        <v>16630</v>
      </c>
      <c r="E2054" t="s">
        <v>18603</v>
      </c>
      <c r="F2054" t="s">
        <v>28669</v>
      </c>
      <c r="G2054" t="s">
        <v>28677</v>
      </c>
      <c r="H2054" t="s">
        <v>9998</v>
      </c>
      <c r="I2054" t="s">
        <v>28743</v>
      </c>
      <c r="J2054" t="s">
        <v>29104</v>
      </c>
      <c r="K2054" t="s">
        <v>37234</v>
      </c>
      <c r="M2054" t="s">
        <v>38415</v>
      </c>
      <c r="N2054" t="s">
        <v>41249</v>
      </c>
      <c r="O2054" t="s">
        <v>41250</v>
      </c>
      <c r="P2054">
        <v>0</v>
      </c>
      <c r="Q2054">
        <v>0</v>
      </c>
      <c r="R2054" t="s">
        <v>41251</v>
      </c>
      <c r="S2054" t="s">
        <v>41369</v>
      </c>
      <c r="T2054" t="s">
        <v>42729</v>
      </c>
      <c r="U2054" t="s">
        <v>44976</v>
      </c>
      <c r="W2054" t="s">
        <v>38415</v>
      </c>
      <c r="X2054" t="s">
        <v>41252</v>
      </c>
    </row>
    <row r="2055" spans="1:24">
      <c r="A2055">
        <f>HYPERLINK("https://www.philgeps.gov.ph/GEPSNONPILOT/Tender/SplashBidNoticeAbstractUI.aspx?menuIndex=3&amp;refID=7060602&amp;Result=3","7060602")</f>
        <v>0</v>
      </c>
      <c r="B2055" t="s">
        <v>906</v>
      </c>
      <c r="C2055" t="s">
        <v>5351</v>
      </c>
      <c r="D2055" t="s">
        <v>16683</v>
      </c>
      <c r="E2055" t="s">
        <v>18604</v>
      </c>
      <c r="F2055" t="s">
        <v>28669</v>
      </c>
      <c r="G2055" t="s">
        <v>28675</v>
      </c>
      <c r="H2055" t="s">
        <v>9998</v>
      </c>
      <c r="I2055" t="s">
        <v>28687</v>
      </c>
      <c r="J2055" t="s">
        <v>30228</v>
      </c>
      <c r="K2055" t="s">
        <v>37210</v>
      </c>
      <c r="M2055" t="s">
        <v>38428</v>
      </c>
      <c r="N2055" t="s">
        <v>41249</v>
      </c>
      <c r="O2055" t="s">
        <v>41250</v>
      </c>
      <c r="P2055">
        <v>0</v>
      </c>
      <c r="Q2055">
        <v>4</v>
      </c>
      <c r="R2055" t="s">
        <v>41252</v>
      </c>
      <c r="S2055" t="s">
        <v>41383</v>
      </c>
      <c r="T2055" t="s">
        <v>42672</v>
      </c>
      <c r="U2055" t="s">
        <v>44977</v>
      </c>
      <c r="W2055" t="s">
        <v>38428</v>
      </c>
      <c r="X2055" t="s">
        <v>41261</v>
      </c>
    </row>
    <row r="2056" spans="1:24">
      <c r="A2056">
        <f>HYPERLINK("https://www.philgeps.gov.ph/GEPSNONPILOT/Tender/SplashBidNoticeAbstractUI.aspx?menuIndex=3&amp;refID=7061685&amp;Result=3","7061685")</f>
        <v>0</v>
      </c>
      <c r="B2056" t="s">
        <v>810</v>
      </c>
      <c r="C2056" t="s">
        <v>5352</v>
      </c>
      <c r="D2056" t="s">
        <v>16689</v>
      </c>
      <c r="E2056" t="s">
        <v>18605</v>
      </c>
      <c r="F2056" t="s">
        <v>28669</v>
      </c>
      <c r="G2056" t="s">
        <v>28676</v>
      </c>
      <c r="H2056" t="s">
        <v>28686</v>
      </c>
      <c r="I2056" t="s">
        <v>28689</v>
      </c>
      <c r="J2056" t="s">
        <v>30229</v>
      </c>
      <c r="K2056" t="s">
        <v>37221</v>
      </c>
      <c r="M2056" t="s">
        <v>38325</v>
      </c>
      <c r="N2056" t="s">
        <v>41249</v>
      </c>
      <c r="O2056" t="s">
        <v>41250</v>
      </c>
      <c r="P2056">
        <v>0</v>
      </c>
      <c r="Q2056">
        <v>0</v>
      </c>
      <c r="R2056" t="s">
        <v>41252</v>
      </c>
      <c r="S2056" t="s">
        <v>41383</v>
      </c>
      <c r="T2056" t="s">
        <v>42864</v>
      </c>
      <c r="U2056" t="s">
        <v>44978</v>
      </c>
      <c r="W2056" t="s">
        <v>55936</v>
      </c>
      <c r="X2056" t="s">
        <v>41261</v>
      </c>
    </row>
    <row r="2057" spans="1:24">
      <c r="A2057">
        <f>HYPERLINK("https://www.philgeps.gov.ph/GEPSNONPILOT/Tender/SplashBidNoticeAbstractUI.aspx?menuIndex=3&amp;refID=7059597&amp;Result=3","7059597")</f>
        <v>0</v>
      </c>
      <c r="B2057" t="s">
        <v>907</v>
      </c>
      <c r="C2057" t="s">
        <v>5353</v>
      </c>
      <c r="D2057" t="s">
        <v>16643</v>
      </c>
      <c r="E2057" t="s">
        <v>18606</v>
      </c>
      <c r="F2057" t="s">
        <v>28669</v>
      </c>
      <c r="G2057" t="s">
        <v>28676</v>
      </c>
      <c r="H2057" t="s">
        <v>9998</v>
      </c>
      <c r="I2057" t="s">
        <v>28693</v>
      </c>
      <c r="J2057" t="s">
        <v>28879</v>
      </c>
      <c r="K2057" t="s">
        <v>37209</v>
      </c>
      <c r="M2057" t="s">
        <v>38429</v>
      </c>
      <c r="N2057" t="s">
        <v>41249</v>
      </c>
      <c r="O2057" t="s">
        <v>41250</v>
      </c>
      <c r="P2057">
        <v>0</v>
      </c>
      <c r="Q2057">
        <v>21</v>
      </c>
      <c r="R2057" t="s">
        <v>41252</v>
      </c>
      <c r="S2057" t="s">
        <v>41383</v>
      </c>
      <c r="T2057" t="s">
        <v>42675</v>
      </c>
      <c r="U2057" t="s">
        <v>44979</v>
      </c>
      <c r="V2057" t="s">
        <v>54515</v>
      </c>
      <c r="W2057" t="s">
        <v>38429</v>
      </c>
      <c r="X2057" t="s">
        <v>41261</v>
      </c>
    </row>
    <row r="2058" spans="1:24">
      <c r="A2058">
        <f>HYPERLINK("https://www.philgeps.gov.ph/GEPSNONPILOT/Tender/SplashBidNoticeAbstractUI.aspx?menuIndex=3&amp;refID=7078795&amp;Result=3","7078795")</f>
        <v>0</v>
      </c>
      <c r="B2058" t="s">
        <v>894</v>
      </c>
      <c r="C2058" t="s">
        <v>5354</v>
      </c>
      <c r="D2058" t="s">
        <v>16630</v>
      </c>
      <c r="E2058" t="s">
        <v>18607</v>
      </c>
      <c r="F2058" t="s">
        <v>28669</v>
      </c>
      <c r="G2058" t="s">
        <v>28677</v>
      </c>
      <c r="H2058" t="s">
        <v>9998</v>
      </c>
      <c r="I2058" t="s">
        <v>5213</v>
      </c>
      <c r="J2058" t="s">
        <v>29474</v>
      </c>
      <c r="K2058" t="s">
        <v>37234</v>
      </c>
      <c r="M2058" t="s">
        <v>38415</v>
      </c>
      <c r="N2058" t="s">
        <v>41249</v>
      </c>
      <c r="O2058" t="s">
        <v>41250</v>
      </c>
      <c r="P2058">
        <v>0</v>
      </c>
      <c r="Q2058">
        <v>3</v>
      </c>
      <c r="R2058" t="s">
        <v>41251</v>
      </c>
      <c r="S2058" t="s">
        <v>41369</v>
      </c>
      <c r="T2058" t="s">
        <v>42729</v>
      </c>
      <c r="U2058" t="s">
        <v>44980</v>
      </c>
      <c r="W2058" t="s">
        <v>38415</v>
      </c>
      <c r="X2058" t="s">
        <v>41252</v>
      </c>
    </row>
    <row r="2059" spans="1:24">
      <c r="A2059">
        <f>HYPERLINK("https://www.philgeps.gov.ph/GEPSNONPILOT/Tender/SplashBidNoticeAbstractUI.aspx?menuIndex=3&amp;refID=7057507&amp;Result=3","7057507")</f>
        <v>0</v>
      </c>
      <c r="B2059" t="s">
        <v>908</v>
      </c>
      <c r="C2059" t="s">
        <v>5355</v>
      </c>
      <c r="D2059" t="s">
        <v>16626</v>
      </c>
      <c r="E2059" t="s">
        <v>18608</v>
      </c>
      <c r="F2059" t="s">
        <v>28669</v>
      </c>
      <c r="G2059" t="s">
        <v>28676</v>
      </c>
      <c r="H2059" t="s">
        <v>9998</v>
      </c>
      <c r="I2059" t="s">
        <v>28717</v>
      </c>
      <c r="J2059" t="s">
        <v>28912</v>
      </c>
      <c r="K2059" t="s">
        <v>37204</v>
      </c>
      <c r="M2059" t="s">
        <v>38430</v>
      </c>
      <c r="N2059" t="s">
        <v>41249</v>
      </c>
      <c r="O2059" t="s">
        <v>41250</v>
      </c>
      <c r="P2059">
        <v>0</v>
      </c>
      <c r="Q2059">
        <v>2</v>
      </c>
      <c r="R2059" t="s">
        <v>41252</v>
      </c>
      <c r="S2059" t="s">
        <v>41383</v>
      </c>
      <c r="T2059" t="s">
        <v>42865</v>
      </c>
      <c r="U2059" t="s">
        <v>44981</v>
      </c>
      <c r="W2059" t="s">
        <v>38430</v>
      </c>
      <c r="X2059" t="s">
        <v>41264</v>
      </c>
    </row>
    <row r="2060" spans="1:24">
      <c r="A2060">
        <f>HYPERLINK("https://www.philgeps.gov.ph/GEPSNONPILOT/Tender/SplashBidNoticeAbstractUI.aspx?menuIndex=3&amp;refID=7064801&amp;Result=3","7064801")</f>
        <v>0</v>
      </c>
      <c r="B2060" t="s">
        <v>909</v>
      </c>
      <c r="C2060" t="s">
        <v>5356</v>
      </c>
      <c r="D2060" t="s">
        <v>16662</v>
      </c>
      <c r="E2060" t="s">
        <v>18609</v>
      </c>
      <c r="F2060" t="s">
        <v>28669</v>
      </c>
      <c r="G2060" t="s">
        <v>28675</v>
      </c>
      <c r="H2060" t="s">
        <v>28686</v>
      </c>
      <c r="I2060" t="s">
        <v>28689</v>
      </c>
      <c r="J2060" t="s">
        <v>30230</v>
      </c>
      <c r="K2060" t="s">
        <v>37215</v>
      </c>
      <c r="M2060" t="s">
        <v>38431</v>
      </c>
      <c r="N2060" t="s">
        <v>41249</v>
      </c>
      <c r="O2060" t="s">
        <v>41250</v>
      </c>
      <c r="P2060">
        <v>0</v>
      </c>
      <c r="Q2060">
        <v>2</v>
      </c>
      <c r="R2060" t="s">
        <v>41252</v>
      </c>
      <c r="S2060" t="s">
        <v>41383</v>
      </c>
      <c r="T2060" t="s">
        <v>42688</v>
      </c>
      <c r="U2060" t="s">
        <v>44982</v>
      </c>
      <c r="W2060" t="s">
        <v>38431</v>
      </c>
      <c r="X2060" t="s">
        <v>41259</v>
      </c>
    </row>
    <row r="2061" spans="1:24">
      <c r="A2061">
        <f>HYPERLINK("https://www.philgeps.gov.ph/GEPSNONPILOT/Tender/SplashBidNoticeAbstractUI.aspx?menuIndex=3&amp;refID=7066676&amp;Result=3","7066676")</f>
        <v>0</v>
      </c>
      <c r="B2061" t="s">
        <v>910</v>
      </c>
      <c r="C2061" t="s">
        <v>5357</v>
      </c>
      <c r="E2061" t="s">
        <v>18610</v>
      </c>
      <c r="F2061" t="s">
        <v>28669</v>
      </c>
      <c r="G2061" t="s">
        <v>28675</v>
      </c>
      <c r="H2061" t="s">
        <v>9998</v>
      </c>
      <c r="I2061" t="s">
        <v>28781</v>
      </c>
      <c r="J2061" t="s">
        <v>30231</v>
      </c>
      <c r="K2061" t="s">
        <v>37212</v>
      </c>
      <c r="M2061" t="s">
        <v>38432</v>
      </c>
      <c r="N2061" t="s">
        <v>41249</v>
      </c>
      <c r="O2061" t="s">
        <v>41250</v>
      </c>
      <c r="Q2061">
        <v>5</v>
      </c>
      <c r="R2061" t="s">
        <v>41252</v>
      </c>
      <c r="S2061" t="s">
        <v>41384</v>
      </c>
      <c r="T2061" t="s">
        <v>42823</v>
      </c>
      <c r="U2061" t="s">
        <v>44983</v>
      </c>
      <c r="W2061" t="s">
        <v>38432</v>
      </c>
      <c r="X2061" t="s">
        <v>41259</v>
      </c>
    </row>
    <row r="2062" spans="1:24">
      <c r="A2062">
        <f>HYPERLINK("https://www.philgeps.gov.ph/GEPSNONPILOT/Tender/SplashBidNoticeAbstractUI.aspx?menuIndex=3&amp;refID=7066628&amp;Result=3","7066628")</f>
        <v>0</v>
      </c>
      <c r="B2062" t="s">
        <v>910</v>
      </c>
      <c r="C2062" t="s">
        <v>5358</v>
      </c>
      <c r="E2062" t="s">
        <v>18611</v>
      </c>
      <c r="F2062" t="s">
        <v>28669</v>
      </c>
      <c r="G2062" t="s">
        <v>28675</v>
      </c>
      <c r="H2062" t="s">
        <v>9998</v>
      </c>
      <c r="I2062" t="s">
        <v>28781</v>
      </c>
      <c r="J2062" t="s">
        <v>30232</v>
      </c>
      <c r="K2062" t="s">
        <v>37212</v>
      </c>
      <c r="M2062" t="s">
        <v>38432</v>
      </c>
      <c r="N2062" t="s">
        <v>41249</v>
      </c>
      <c r="O2062" t="s">
        <v>41250</v>
      </c>
      <c r="P2062">
        <v>0</v>
      </c>
      <c r="Q2062">
        <v>3</v>
      </c>
      <c r="R2062" t="s">
        <v>41252</v>
      </c>
      <c r="S2062" t="s">
        <v>41383</v>
      </c>
      <c r="T2062" t="s">
        <v>42855</v>
      </c>
      <c r="U2062" t="s">
        <v>44983</v>
      </c>
      <c r="W2062" t="s">
        <v>38432</v>
      </c>
      <c r="X2062" t="s">
        <v>41259</v>
      </c>
    </row>
    <row r="2063" spans="1:24">
      <c r="A2063">
        <f>HYPERLINK("https://www.philgeps.gov.ph/GEPSNONPILOT/Tender/SplashBidNoticeAbstractUI.aspx?menuIndex=3&amp;refID=7078746&amp;Result=3","7078746")</f>
        <v>0</v>
      </c>
      <c r="B2063" t="s">
        <v>911</v>
      </c>
      <c r="C2063" t="s">
        <v>5359</v>
      </c>
      <c r="D2063" t="s">
        <v>16667</v>
      </c>
      <c r="E2063" t="s">
        <v>18612</v>
      </c>
      <c r="F2063" t="s">
        <v>28669</v>
      </c>
      <c r="G2063" t="s">
        <v>28675</v>
      </c>
      <c r="H2063" t="s">
        <v>28686</v>
      </c>
      <c r="I2063" t="s">
        <v>28689</v>
      </c>
      <c r="J2063" t="s">
        <v>30233</v>
      </c>
      <c r="K2063" t="s">
        <v>37308</v>
      </c>
      <c r="M2063" t="s">
        <v>38433</v>
      </c>
      <c r="N2063" t="s">
        <v>41249</v>
      </c>
      <c r="O2063" t="s">
        <v>41250</v>
      </c>
      <c r="P2063">
        <v>0</v>
      </c>
      <c r="Q2063">
        <v>1</v>
      </c>
      <c r="R2063" t="s">
        <v>41251</v>
      </c>
      <c r="S2063" t="s">
        <v>41369</v>
      </c>
      <c r="T2063" t="s">
        <v>42709</v>
      </c>
      <c r="U2063" t="s">
        <v>44984</v>
      </c>
      <c r="W2063" t="s">
        <v>38433</v>
      </c>
      <c r="X2063" t="s">
        <v>41252</v>
      </c>
    </row>
    <row r="2064" spans="1:24">
      <c r="A2064">
        <f>HYPERLINK("https://www.philgeps.gov.ph/GEPSNONPILOT/Tender/SplashBidNoticeAbstractUI.aspx?menuIndex=3&amp;refID=7061894&amp;Result=3","7061894")</f>
        <v>0</v>
      </c>
      <c r="B2064" t="s">
        <v>59</v>
      </c>
      <c r="C2064" t="s">
        <v>5360</v>
      </c>
      <c r="E2064" t="s">
        <v>18613</v>
      </c>
      <c r="F2064" t="s">
        <v>28669</v>
      </c>
      <c r="G2064" t="s">
        <v>28676</v>
      </c>
      <c r="H2064" t="s">
        <v>9998</v>
      </c>
      <c r="I2064" t="s">
        <v>6128</v>
      </c>
      <c r="J2064" t="s">
        <v>30234</v>
      </c>
      <c r="K2064" t="s">
        <v>37209</v>
      </c>
      <c r="M2064" t="s">
        <v>37534</v>
      </c>
      <c r="N2064" t="s">
        <v>41249</v>
      </c>
      <c r="O2064" t="s">
        <v>41250</v>
      </c>
      <c r="P2064">
        <v>0</v>
      </c>
      <c r="Q2064">
        <v>2</v>
      </c>
      <c r="R2064" t="s">
        <v>41252</v>
      </c>
      <c r="S2064" t="s">
        <v>41383</v>
      </c>
      <c r="T2064" t="s">
        <v>42758</v>
      </c>
      <c r="U2064" t="s">
        <v>44985</v>
      </c>
      <c r="W2064" t="s">
        <v>37534</v>
      </c>
      <c r="X2064" t="s">
        <v>41260</v>
      </c>
    </row>
    <row r="2065" spans="1:24">
      <c r="A2065">
        <f>HYPERLINK("https://www.philgeps.gov.ph/GEPSNONPILOT/Tender/SplashBidNoticeAbstractUI.aspx?menuIndex=3&amp;refID=7066156&amp;Result=3","7066156")</f>
        <v>0</v>
      </c>
      <c r="B2065" t="s">
        <v>810</v>
      </c>
      <c r="C2065" t="s">
        <v>5361</v>
      </c>
      <c r="D2065" t="s">
        <v>16689</v>
      </c>
      <c r="E2065" t="s">
        <v>18614</v>
      </c>
      <c r="F2065" t="s">
        <v>28669</v>
      </c>
      <c r="G2065" t="s">
        <v>28676</v>
      </c>
      <c r="H2065" t="s">
        <v>9998</v>
      </c>
      <c r="I2065" t="s">
        <v>28693</v>
      </c>
      <c r="J2065" t="s">
        <v>29364</v>
      </c>
      <c r="K2065" t="s">
        <v>37227</v>
      </c>
      <c r="M2065" t="s">
        <v>38325</v>
      </c>
      <c r="N2065" t="s">
        <v>41249</v>
      </c>
      <c r="O2065" t="s">
        <v>41250</v>
      </c>
      <c r="P2065">
        <v>0</v>
      </c>
      <c r="Q2065">
        <v>5</v>
      </c>
      <c r="R2065" t="s">
        <v>41252</v>
      </c>
      <c r="S2065" t="s">
        <v>41383</v>
      </c>
      <c r="T2065" t="s">
        <v>42866</v>
      </c>
      <c r="U2065" t="s">
        <v>44986</v>
      </c>
      <c r="W2065" t="s">
        <v>55936</v>
      </c>
      <c r="X2065" t="s">
        <v>41259</v>
      </c>
    </row>
    <row r="2066" spans="1:24">
      <c r="A2066">
        <f>HYPERLINK("https://www.philgeps.gov.ph/GEPSNONPILOT/Tender/SplashBidNoticeAbstractUI.aspx?menuIndex=3&amp;refID=7017188-2&amp;Result=3","7017188-2")</f>
        <v>0</v>
      </c>
      <c r="B2066" t="s">
        <v>912</v>
      </c>
      <c r="C2066" t="s">
        <v>5362</v>
      </c>
      <c r="D2066" t="s">
        <v>16664</v>
      </c>
      <c r="E2066" t="s">
        <v>18615</v>
      </c>
      <c r="F2066" t="s">
        <v>28669</v>
      </c>
      <c r="G2066" t="s">
        <v>28675</v>
      </c>
      <c r="H2066" t="s">
        <v>28685</v>
      </c>
      <c r="I2066" t="s">
        <v>28685</v>
      </c>
      <c r="J2066" t="s">
        <v>30162</v>
      </c>
      <c r="K2066" t="s">
        <v>37221</v>
      </c>
      <c r="M2066" t="s">
        <v>38434</v>
      </c>
      <c r="N2066" t="s">
        <v>41249</v>
      </c>
      <c r="O2066" t="s">
        <v>41250</v>
      </c>
      <c r="P2066">
        <v>0</v>
      </c>
      <c r="Q2066">
        <v>1</v>
      </c>
      <c r="R2066" t="s">
        <v>41252</v>
      </c>
      <c r="S2066" t="s">
        <v>41383</v>
      </c>
      <c r="T2066" t="s">
        <v>42814</v>
      </c>
      <c r="U2066" t="s">
        <v>44987</v>
      </c>
      <c r="W2066" t="s">
        <v>38434</v>
      </c>
      <c r="X2066" t="s">
        <v>41254</v>
      </c>
    </row>
    <row r="2067" spans="1:24">
      <c r="A2067">
        <f>HYPERLINK("https://www.philgeps.gov.ph/GEPSNONPILOT/Tender/SplashBidNoticeAbstractUI.aspx?menuIndex=3&amp;refID=7058948&amp;Result=3","7058948")</f>
        <v>0</v>
      </c>
      <c r="B2067" t="s">
        <v>906</v>
      </c>
      <c r="C2067" t="s">
        <v>5363</v>
      </c>
      <c r="D2067" t="s">
        <v>16683</v>
      </c>
      <c r="E2067" t="s">
        <v>18616</v>
      </c>
      <c r="F2067" t="s">
        <v>28669</v>
      </c>
      <c r="G2067" t="s">
        <v>28675</v>
      </c>
      <c r="H2067" t="s">
        <v>9998</v>
      </c>
      <c r="I2067" t="s">
        <v>28687</v>
      </c>
      <c r="J2067" t="s">
        <v>30235</v>
      </c>
      <c r="K2067" t="s">
        <v>37210</v>
      </c>
      <c r="M2067" t="s">
        <v>38428</v>
      </c>
      <c r="N2067" t="s">
        <v>41249</v>
      </c>
      <c r="O2067" t="s">
        <v>41250</v>
      </c>
      <c r="P2067">
        <v>0</v>
      </c>
      <c r="Q2067">
        <v>2</v>
      </c>
      <c r="R2067" t="s">
        <v>41252</v>
      </c>
      <c r="S2067" t="s">
        <v>41383</v>
      </c>
      <c r="T2067" t="s">
        <v>42672</v>
      </c>
      <c r="U2067" t="s">
        <v>44988</v>
      </c>
      <c r="W2067" t="s">
        <v>38428</v>
      </c>
      <c r="X2067" t="s">
        <v>41261</v>
      </c>
    </row>
    <row r="2068" spans="1:24">
      <c r="A2068">
        <f>HYPERLINK("https://www.philgeps.gov.ph/GEPSNONPILOT/Tender/SplashBidNoticeAbstractUI.aspx?menuIndex=3&amp;refID=7065756&amp;Result=3","7065756")</f>
        <v>0</v>
      </c>
      <c r="B2068" t="s">
        <v>59</v>
      </c>
      <c r="C2068" t="s">
        <v>5364</v>
      </c>
      <c r="E2068" t="s">
        <v>18617</v>
      </c>
      <c r="F2068" t="s">
        <v>28669</v>
      </c>
      <c r="G2068" t="s">
        <v>28676</v>
      </c>
      <c r="H2068" t="s">
        <v>9998</v>
      </c>
      <c r="I2068" t="s">
        <v>28775</v>
      </c>
      <c r="J2068" t="s">
        <v>29545</v>
      </c>
      <c r="K2068" t="s">
        <v>37209</v>
      </c>
      <c r="M2068" t="s">
        <v>37534</v>
      </c>
      <c r="N2068" t="s">
        <v>41249</v>
      </c>
      <c r="O2068" t="s">
        <v>41250</v>
      </c>
      <c r="P2068">
        <v>0</v>
      </c>
      <c r="Q2068">
        <v>0</v>
      </c>
      <c r="R2068" t="s">
        <v>41252</v>
      </c>
      <c r="S2068" t="s">
        <v>41383</v>
      </c>
      <c r="T2068" t="s">
        <v>42758</v>
      </c>
      <c r="U2068" t="s">
        <v>44989</v>
      </c>
      <c r="W2068" t="s">
        <v>37534</v>
      </c>
      <c r="X2068" t="s">
        <v>41259</v>
      </c>
    </row>
    <row r="2069" spans="1:24">
      <c r="A2069">
        <f>HYPERLINK("https://www.philgeps.gov.ph/GEPSNONPILOT/Tender/SplashBidNoticeAbstractUI.aspx?menuIndex=3&amp;refID=7057603&amp;Result=3","7057603")</f>
        <v>0</v>
      </c>
      <c r="B2069" t="s">
        <v>908</v>
      </c>
      <c r="C2069" t="s">
        <v>5365</v>
      </c>
      <c r="D2069" t="s">
        <v>16626</v>
      </c>
      <c r="E2069" t="s">
        <v>18618</v>
      </c>
      <c r="F2069" t="s">
        <v>28669</v>
      </c>
      <c r="G2069" t="s">
        <v>28676</v>
      </c>
      <c r="H2069" t="s">
        <v>9998</v>
      </c>
      <c r="I2069" t="s">
        <v>28716</v>
      </c>
      <c r="J2069" t="s">
        <v>28912</v>
      </c>
      <c r="K2069" t="s">
        <v>37204</v>
      </c>
      <c r="M2069" t="s">
        <v>38430</v>
      </c>
      <c r="N2069" t="s">
        <v>41249</v>
      </c>
      <c r="O2069" t="s">
        <v>41250</v>
      </c>
      <c r="P2069">
        <v>0</v>
      </c>
      <c r="Q2069">
        <v>0</v>
      </c>
      <c r="R2069" t="s">
        <v>41252</v>
      </c>
      <c r="S2069" t="s">
        <v>41383</v>
      </c>
      <c r="T2069" t="s">
        <v>42758</v>
      </c>
      <c r="U2069" t="s">
        <v>44990</v>
      </c>
      <c r="W2069" t="s">
        <v>38430</v>
      </c>
      <c r="X2069" t="s">
        <v>41264</v>
      </c>
    </row>
    <row r="2070" spans="1:24">
      <c r="A2070">
        <f>HYPERLINK("https://www.philgeps.gov.ph/GEPSNONPILOT/Tender/SplashBidNoticeAbstractUI.aspx?menuIndex=3&amp;refID=7065400&amp;Result=3","7065400")</f>
        <v>0</v>
      </c>
      <c r="B2070" t="s">
        <v>59</v>
      </c>
      <c r="C2070" t="s">
        <v>5366</v>
      </c>
      <c r="E2070" t="s">
        <v>18619</v>
      </c>
      <c r="F2070" t="s">
        <v>28669</v>
      </c>
      <c r="G2070" t="s">
        <v>28676</v>
      </c>
      <c r="H2070" t="s">
        <v>9998</v>
      </c>
      <c r="I2070" t="s">
        <v>28722</v>
      </c>
      <c r="J2070" t="s">
        <v>30236</v>
      </c>
      <c r="K2070" t="s">
        <v>37209</v>
      </c>
      <c r="M2070" t="s">
        <v>37534</v>
      </c>
      <c r="N2070" t="s">
        <v>41249</v>
      </c>
      <c r="O2070" t="s">
        <v>41250</v>
      </c>
      <c r="P2070">
        <v>0</v>
      </c>
      <c r="Q2070">
        <v>2</v>
      </c>
      <c r="R2070" t="s">
        <v>41252</v>
      </c>
      <c r="S2070" t="s">
        <v>41383</v>
      </c>
      <c r="T2070" t="s">
        <v>42758</v>
      </c>
      <c r="U2070" t="s">
        <v>44991</v>
      </c>
      <c r="W2070" t="s">
        <v>37534</v>
      </c>
      <c r="X2070" t="s">
        <v>41259</v>
      </c>
    </row>
    <row r="2071" spans="1:24">
      <c r="A2071">
        <f>HYPERLINK("https://www.philgeps.gov.ph/GEPSNONPILOT/Tender/SplashBidNoticeAbstractUI.aspx?menuIndex=3&amp;refID=7065056&amp;Result=3","7065056")</f>
        <v>0</v>
      </c>
      <c r="B2071" t="s">
        <v>909</v>
      </c>
      <c r="C2071" t="s">
        <v>5367</v>
      </c>
      <c r="D2071" t="s">
        <v>16662</v>
      </c>
      <c r="E2071" t="s">
        <v>18620</v>
      </c>
      <c r="F2071" t="s">
        <v>28669</v>
      </c>
      <c r="G2071" t="s">
        <v>28675</v>
      </c>
      <c r="H2071" t="s">
        <v>28686</v>
      </c>
      <c r="I2071" t="s">
        <v>28689</v>
      </c>
      <c r="J2071" t="s">
        <v>30237</v>
      </c>
      <c r="K2071" t="s">
        <v>37213</v>
      </c>
      <c r="M2071" t="s">
        <v>38431</v>
      </c>
      <c r="N2071" t="s">
        <v>41249</v>
      </c>
      <c r="O2071" t="s">
        <v>41250</v>
      </c>
      <c r="P2071">
        <v>0</v>
      </c>
      <c r="Q2071">
        <v>1</v>
      </c>
      <c r="R2071" t="s">
        <v>41252</v>
      </c>
      <c r="S2071" t="s">
        <v>41383</v>
      </c>
      <c r="T2071" t="s">
        <v>42688</v>
      </c>
      <c r="U2071" t="s">
        <v>44992</v>
      </c>
      <c r="W2071" t="s">
        <v>38431</v>
      </c>
      <c r="X2071" t="s">
        <v>41259</v>
      </c>
    </row>
    <row r="2072" spans="1:24">
      <c r="A2072">
        <f>HYPERLINK("https://www.philgeps.gov.ph/GEPSNONPILOT/Tender/SplashBidNoticeAbstractUI.aspx?menuIndex=3&amp;refID=7065035&amp;Result=3","7065035")</f>
        <v>0</v>
      </c>
      <c r="B2072" t="s">
        <v>909</v>
      </c>
      <c r="C2072" t="s">
        <v>5368</v>
      </c>
      <c r="D2072" t="s">
        <v>16662</v>
      </c>
      <c r="E2072" t="s">
        <v>18621</v>
      </c>
      <c r="F2072" t="s">
        <v>28669</v>
      </c>
      <c r="G2072" t="s">
        <v>28675</v>
      </c>
      <c r="H2072" t="s">
        <v>28686</v>
      </c>
      <c r="I2072" t="s">
        <v>28689</v>
      </c>
      <c r="J2072" t="s">
        <v>29034</v>
      </c>
      <c r="K2072" t="s">
        <v>37220</v>
      </c>
      <c r="M2072" t="s">
        <v>38431</v>
      </c>
      <c r="N2072" t="s">
        <v>41249</v>
      </c>
      <c r="O2072" t="s">
        <v>41250</v>
      </c>
      <c r="P2072">
        <v>0</v>
      </c>
      <c r="Q2072">
        <v>1</v>
      </c>
      <c r="R2072" t="s">
        <v>41252</v>
      </c>
      <c r="S2072" t="s">
        <v>41383</v>
      </c>
      <c r="T2072" t="s">
        <v>42688</v>
      </c>
      <c r="U2072" t="s">
        <v>44993</v>
      </c>
      <c r="W2072" t="s">
        <v>38431</v>
      </c>
      <c r="X2072" t="s">
        <v>41259</v>
      </c>
    </row>
    <row r="2073" spans="1:24">
      <c r="A2073">
        <f>HYPERLINK("https://www.philgeps.gov.ph/GEPSNONPILOT/Tender/SplashBidNoticeAbstractUI.aspx?menuIndex=3&amp;refID=7065008&amp;Result=3","7065008")</f>
        <v>0</v>
      </c>
      <c r="B2073" t="s">
        <v>909</v>
      </c>
      <c r="C2073" t="s">
        <v>5369</v>
      </c>
      <c r="D2073" t="s">
        <v>16662</v>
      </c>
      <c r="E2073" t="s">
        <v>18622</v>
      </c>
      <c r="F2073" t="s">
        <v>28669</v>
      </c>
      <c r="G2073" t="s">
        <v>28675</v>
      </c>
      <c r="H2073" t="s">
        <v>28686</v>
      </c>
      <c r="I2073" t="s">
        <v>28689</v>
      </c>
      <c r="J2073" t="s">
        <v>30238</v>
      </c>
      <c r="K2073" t="s">
        <v>37220</v>
      </c>
      <c r="M2073" t="s">
        <v>38431</v>
      </c>
      <c r="N2073" t="s">
        <v>41249</v>
      </c>
      <c r="O2073" t="s">
        <v>41250</v>
      </c>
      <c r="P2073">
        <v>0</v>
      </c>
      <c r="Q2073">
        <v>1</v>
      </c>
      <c r="R2073" t="s">
        <v>41252</v>
      </c>
      <c r="S2073" t="s">
        <v>41383</v>
      </c>
      <c r="T2073" t="s">
        <v>42688</v>
      </c>
      <c r="U2073" t="s">
        <v>44994</v>
      </c>
      <c r="W2073" t="s">
        <v>38431</v>
      </c>
      <c r="X2073" t="s">
        <v>41259</v>
      </c>
    </row>
    <row r="2074" spans="1:24">
      <c r="A2074">
        <f>HYPERLINK("https://www.philgeps.gov.ph/GEPSNONPILOT/Tender/SplashBidNoticeAbstractUI.aspx?menuIndex=3&amp;refID=7066574&amp;Result=3","7066574")</f>
        <v>0</v>
      </c>
      <c r="B2074" t="s">
        <v>910</v>
      </c>
      <c r="C2074" t="s">
        <v>5370</v>
      </c>
      <c r="E2074" t="s">
        <v>18623</v>
      </c>
      <c r="F2074" t="s">
        <v>28669</v>
      </c>
      <c r="G2074" t="s">
        <v>28675</v>
      </c>
      <c r="H2074" t="s">
        <v>9998</v>
      </c>
      <c r="I2074" t="s">
        <v>28781</v>
      </c>
      <c r="J2074" t="s">
        <v>30239</v>
      </c>
      <c r="K2074" t="s">
        <v>37212</v>
      </c>
      <c r="M2074" t="s">
        <v>38432</v>
      </c>
      <c r="N2074" t="s">
        <v>41249</v>
      </c>
      <c r="O2074" t="s">
        <v>41250</v>
      </c>
      <c r="P2074">
        <v>0</v>
      </c>
      <c r="Q2074">
        <v>6</v>
      </c>
      <c r="R2074" t="s">
        <v>41252</v>
      </c>
      <c r="S2074" t="s">
        <v>41383</v>
      </c>
      <c r="T2074" t="s">
        <v>42855</v>
      </c>
      <c r="U2074" t="s">
        <v>44983</v>
      </c>
      <c r="W2074" t="s">
        <v>38432</v>
      </c>
      <c r="X2074" t="s">
        <v>41259</v>
      </c>
    </row>
    <row r="2075" spans="1:24">
      <c r="A2075">
        <f>HYPERLINK("https://www.philgeps.gov.ph/GEPSNONPILOT/Tender/SplashBidNoticeAbstractUI.aspx?menuIndex=3&amp;refID=7064966&amp;Result=3","7064966")</f>
        <v>0</v>
      </c>
      <c r="B2075" t="s">
        <v>913</v>
      </c>
      <c r="C2075" t="s">
        <v>5371</v>
      </c>
      <c r="D2075" t="s">
        <v>16627</v>
      </c>
      <c r="E2075" t="s">
        <v>18624</v>
      </c>
      <c r="F2075" t="s">
        <v>28669</v>
      </c>
      <c r="G2075" t="s">
        <v>28678</v>
      </c>
      <c r="H2075" t="s">
        <v>9998</v>
      </c>
      <c r="I2075" t="s">
        <v>28697</v>
      </c>
      <c r="J2075" t="s">
        <v>30240</v>
      </c>
      <c r="K2075" t="s">
        <v>37206</v>
      </c>
      <c r="M2075" t="s">
        <v>38435</v>
      </c>
      <c r="N2075" t="s">
        <v>41249</v>
      </c>
      <c r="O2075" t="s">
        <v>41250</v>
      </c>
      <c r="P2075">
        <v>0</v>
      </c>
      <c r="Q2075">
        <v>1</v>
      </c>
      <c r="R2075" t="s">
        <v>41252</v>
      </c>
      <c r="S2075" t="s">
        <v>41383</v>
      </c>
      <c r="T2075" t="s">
        <v>42665</v>
      </c>
      <c r="U2075" t="s">
        <v>44995</v>
      </c>
      <c r="W2075" t="s">
        <v>38435</v>
      </c>
      <c r="X2075" t="s">
        <v>41259</v>
      </c>
    </row>
    <row r="2076" spans="1:24">
      <c r="A2076">
        <f>HYPERLINK("https://www.philgeps.gov.ph/GEPSNONPILOT/Tender/SplashBidNoticeAbstractUI.aspx?menuIndex=3&amp;refID=7066533&amp;Result=3","7066533")</f>
        <v>0</v>
      </c>
      <c r="B2076" t="s">
        <v>910</v>
      </c>
      <c r="C2076" t="s">
        <v>5372</v>
      </c>
      <c r="E2076" t="s">
        <v>18625</v>
      </c>
      <c r="F2076" t="s">
        <v>28669</v>
      </c>
      <c r="G2076" t="s">
        <v>28675</v>
      </c>
      <c r="H2076" t="s">
        <v>9998</v>
      </c>
      <c r="I2076" t="s">
        <v>28781</v>
      </c>
      <c r="J2076" t="s">
        <v>30241</v>
      </c>
      <c r="K2076" t="s">
        <v>37212</v>
      </c>
      <c r="M2076" t="s">
        <v>38432</v>
      </c>
      <c r="N2076" t="s">
        <v>41249</v>
      </c>
      <c r="O2076" t="s">
        <v>41250</v>
      </c>
      <c r="P2076">
        <v>0</v>
      </c>
      <c r="Q2076">
        <v>6</v>
      </c>
      <c r="R2076" t="s">
        <v>41252</v>
      </c>
      <c r="S2076" t="s">
        <v>41383</v>
      </c>
      <c r="T2076" t="s">
        <v>42855</v>
      </c>
      <c r="U2076" t="s">
        <v>44983</v>
      </c>
      <c r="W2076" t="s">
        <v>38432</v>
      </c>
      <c r="X2076" t="s">
        <v>41259</v>
      </c>
    </row>
    <row r="2077" spans="1:24">
      <c r="A2077">
        <f>HYPERLINK("https://www.philgeps.gov.ph/GEPSNONPILOT/Tender/SplashBidNoticeAbstractUI.aspx?menuIndex=3&amp;refID=7064951&amp;Result=3","7064951")</f>
        <v>0</v>
      </c>
      <c r="B2077" t="s">
        <v>913</v>
      </c>
      <c r="C2077" t="s">
        <v>5373</v>
      </c>
      <c r="D2077" t="s">
        <v>16627</v>
      </c>
      <c r="E2077" t="s">
        <v>18626</v>
      </c>
      <c r="F2077" t="s">
        <v>28669</v>
      </c>
      <c r="G2077" t="s">
        <v>28678</v>
      </c>
      <c r="H2077" t="s">
        <v>9998</v>
      </c>
      <c r="I2077" t="s">
        <v>6128</v>
      </c>
      <c r="J2077" t="s">
        <v>29150</v>
      </c>
      <c r="K2077" t="s">
        <v>37206</v>
      </c>
      <c r="M2077" t="s">
        <v>38435</v>
      </c>
      <c r="N2077" t="s">
        <v>41249</v>
      </c>
      <c r="O2077" t="s">
        <v>41250</v>
      </c>
      <c r="P2077">
        <v>0</v>
      </c>
      <c r="Q2077">
        <v>2</v>
      </c>
      <c r="R2077" t="s">
        <v>41252</v>
      </c>
      <c r="S2077" t="s">
        <v>41383</v>
      </c>
      <c r="T2077" t="s">
        <v>42867</v>
      </c>
      <c r="U2077" t="s">
        <v>44995</v>
      </c>
      <c r="W2077" t="s">
        <v>38435</v>
      </c>
      <c r="X2077" t="s">
        <v>41259</v>
      </c>
    </row>
    <row r="2078" spans="1:24">
      <c r="A2078">
        <f>HYPERLINK("https://www.philgeps.gov.ph/GEPSNONPILOT/Tender/SplashBidNoticeAbstractUI.aspx?menuIndex=3&amp;refID=7065973&amp;Result=3","7065973")</f>
        <v>0</v>
      </c>
      <c r="B2078" t="s">
        <v>59</v>
      </c>
      <c r="C2078" t="s">
        <v>5374</v>
      </c>
      <c r="E2078" t="s">
        <v>18627</v>
      </c>
      <c r="F2078" t="s">
        <v>28669</v>
      </c>
      <c r="G2078" t="s">
        <v>28676</v>
      </c>
      <c r="H2078" t="s">
        <v>9998</v>
      </c>
      <c r="I2078" t="s">
        <v>28716</v>
      </c>
      <c r="J2078" t="s">
        <v>29036</v>
      </c>
      <c r="K2078" t="s">
        <v>37209</v>
      </c>
      <c r="M2078" t="s">
        <v>37534</v>
      </c>
      <c r="N2078" t="s">
        <v>41249</v>
      </c>
      <c r="O2078" t="s">
        <v>41250</v>
      </c>
      <c r="P2078">
        <v>0</v>
      </c>
      <c r="Q2078">
        <v>0</v>
      </c>
      <c r="R2078" t="s">
        <v>41252</v>
      </c>
      <c r="S2078" t="s">
        <v>41383</v>
      </c>
      <c r="T2078" t="s">
        <v>42758</v>
      </c>
      <c r="U2078" t="s">
        <v>44996</v>
      </c>
      <c r="W2078" t="s">
        <v>37534</v>
      </c>
      <c r="X2078" t="s">
        <v>41259</v>
      </c>
    </row>
    <row r="2079" spans="1:24">
      <c r="A2079">
        <f>HYPERLINK("https://www.philgeps.gov.ph/GEPSNONPILOT/Tender/SplashBidNoticeAbstractUI.aspx?menuIndex=3&amp;refID=7064899&amp;Result=3","7064899")</f>
        <v>0</v>
      </c>
      <c r="B2079" t="s">
        <v>59</v>
      </c>
      <c r="C2079" t="s">
        <v>5375</v>
      </c>
      <c r="E2079" t="s">
        <v>18628</v>
      </c>
      <c r="F2079" t="s">
        <v>28669</v>
      </c>
      <c r="G2079" t="s">
        <v>28676</v>
      </c>
      <c r="H2079" t="s">
        <v>9998</v>
      </c>
      <c r="I2079" t="s">
        <v>28729</v>
      </c>
      <c r="J2079" t="s">
        <v>30242</v>
      </c>
      <c r="K2079" t="s">
        <v>37209</v>
      </c>
      <c r="M2079" t="s">
        <v>37534</v>
      </c>
      <c r="N2079" t="s">
        <v>41249</v>
      </c>
      <c r="O2079" t="s">
        <v>41250</v>
      </c>
      <c r="P2079">
        <v>0</v>
      </c>
      <c r="Q2079">
        <v>3</v>
      </c>
      <c r="R2079" t="s">
        <v>41252</v>
      </c>
      <c r="S2079" t="s">
        <v>41383</v>
      </c>
      <c r="T2079" t="s">
        <v>42758</v>
      </c>
      <c r="U2079" t="s">
        <v>44997</v>
      </c>
      <c r="W2079" t="s">
        <v>37534</v>
      </c>
      <c r="X2079" t="s">
        <v>41259</v>
      </c>
    </row>
    <row r="2080" spans="1:24">
      <c r="A2080">
        <f>HYPERLINK("https://www.philgeps.gov.ph/GEPSNONPILOT/Tender/SplashBidNoticeAbstractUI.aspx?menuIndex=3&amp;refID=7050202&amp;Result=3","7050202")</f>
        <v>0</v>
      </c>
      <c r="B2080" t="s">
        <v>914</v>
      </c>
      <c r="C2080" t="s">
        <v>5376</v>
      </c>
      <c r="D2080" t="s">
        <v>16608</v>
      </c>
      <c r="E2080" t="s">
        <v>18629</v>
      </c>
      <c r="F2080" t="s">
        <v>28671</v>
      </c>
      <c r="G2080" t="s">
        <v>28675</v>
      </c>
      <c r="H2080" t="s">
        <v>9998</v>
      </c>
      <c r="I2080" t="s">
        <v>28725</v>
      </c>
      <c r="J2080" t="s">
        <v>30243</v>
      </c>
      <c r="K2080" t="s">
        <v>37216</v>
      </c>
      <c r="M2080" t="s">
        <v>38436</v>
      </c>
      <c r="N2080" t="s">
        <v>41249</v>
      </c>
      <c r="O2080" t="s">
        <v>41250</v>
      </c>
      <c r="P2080">
        <v>0</v>
      </c>
      <c r="Q2080">
        <v>1</v>
      </c>
      <c r="R2080" t="s">
        <v>41252</v>
      </c>
      <c r="S2080" t="s">
        <v>41383</v>
      </c>
      <c r="T2080" t="s">
        <v>42695</v>
      </c>
      <c r="U2080" t="s">
        <v>44998</v>
      </c>
      <c r="W2080" t="s">
        <v>38436</v>
      </c>
      <c r="X2080" t="s">
        <v>41266</v>
      </c>
    </row>
    <row r="2081" spans="1:24">
      <c r="A2081">
        <f>HYPERLINK("https://www.philgeps.gov.ph/GEPSNONPILOT/Tender/SplashBidNoticeAbstractUI.aspx?menuIndex=3&amp;refID=7038288-2&amp;Result=3","7038288-2")</f>
        <v>0</v>
      </c>
      <c r="B2081" t="s">
        <v>900</v>
      </c>
      <c r="C2081" t="s">
        <v>5377</v>
      </c>
      <c r="D2081" t="s">
        <v>16649</v>
      </c>
      <c r="E2081" t="s">
        <v>18630</v>
      </c>
      <c r="F2081" t="s">
        <v>28669</v>
      </c>
      <c r="G2081" t="s">
        <v>28675</v>
      </c>
      <c r="H2081" t="s">
        <v>28685</v>
      </c>
      <c r="I2081" t="s">
        <v>28685</v>
      </c>
      <c r="J2081" t="s">
        <v>30244</v>
      </c>
      <c r="K2081" t="s">
        <v>37220</v>
      </c>
      <c r="M2081" t="s">
        <v>38421</v>
      </c>
      <c r="N2081" t="s">
        <v>41249</v>
      </c>
      <c r="O2081" t="s">
        <v>41250</v>
      </c>
      <c r="P2081">
        <v>0</v>
      </c>
      <c r="Q2081">
        <v>1</v>
      </c>
      <c r="R2081" t="s">
        <v>41252</v>
      </c>
      <c r="S2081" t="s">
        <v>41383</v>
      </c>
      <c r="T2081" t="s">
        <v>42739</v>
      </c>
      <c r="U2081" t="s">
        <v>44999</v>
      </c>
      <c r="V2081" t="s">
        <v>54516</v>
      </c>
      <c r="W2081" t="s">
        <v>38421</v>
      </c>
      <c r="X2081" t="s">
        <v>41254</v>
      </c>
    </row>
    <row r="2082" spans="1:24">
      <c r="A2082">
        <f>HYPERLINK("https://www.philgeps.gov.ph/GEPSNONPILOT/Tender/SplashBidNoticeAbstractUI.aspx?menuIndex=3&amp;refID=7065169&amp;Result=3","7065169")</f>
        <v>0</v>
      </c>
      <c r="B2082" t="s">
        <v>264</v>
      </c>
      <c r="C2082" t="s">
        <v>5378</v>
      </c>
      <c r="D2082" t="s">
        <v>16654</v>
      </c>
      <c r="E2082" t="s">
        <v>18631</v>
      </c>
      <c r="F2082" t="s">
        <v>28669</v>
      </c>
      <c r="G2082" t="s">
        <v>28676</v>
      </c>
      <c r="H2082" t="s">
        <v>9998</v>
      </c>
      <c r="I2082" t="s">
        <v>28733</v>
      </c>
      <c r="J2082" t="s">
        <v>30245</v>
      </c>
      <c r="K2082" t="s">
        <v>37205</v>
      </c>
      <c r="M2082" t="s">
        <v>37742</v>
      </c>
      <c r="N2082" t="s">
        <v>41249</v>
      </c>
      <c r="O2082" t="s">
        <v>41250</v>
      </c>
      <c r="P2082">
        <v>0</v>
      </c>
      <c r="Q2082">
        <v>6</v>
      </c>
      <c r="R2082" t="s">
        <v>41252</v>
      </c>
      <c r="S2082" t="s">
        <v>41383</v>
      </c>
      <c r="T2082" t="s">
        <v>42701</v>
      </c>
      <c r="U2082" t="s">
        <v>45000</v>
      </c>
      <c r="W2082" t="s">
        <v>37742</v>
      </c>
      <c r="X2082" t="s">
        <v>41259</v>
      </c>
    </row>
    <row r="2083" spans="1:24">
      <c r="A2083">
        <f>HYPERLINK("https://www.philgeps.gov.ph/GEPSNONPILOT/Tender/SplashBidNoticeAbstractUI.aspx?menuIndex=3&amp;refID=7025958&amp;Result=3","7025958")</f>
        <v>0</v>
      </c>
      <c r="B2083" t="s">
        <v>908</v>
      </c>
      <c r="C2083" t="s">
        <v>5379</v>
      </c>
      <c r="D2083" t="s">
        <v>16626</v>
      </c>
      <c r="E2083" t="s">
        <v>18618</v>
      </c>
      <c r="F2083" t="s">
        <v>28669</v>
      </c>
      <c r="G2083" t="s">
        <v>28676</v>
      </c>
      <c r="H2083" t="s">
        <v>28686</v>
      </c>
      <c r="I2083" t="s">
        <v>7352</v>
      </c>
      <c r="J2083" t="s">
        <v>29088</v>
      </c>
      <c r="K2083" t="s">
        <v>37204</v>
      </c>
      <c r="M2083" t="s">
        <v>38430</v>
      </c>
      <c r="N2083" t="s">
        <v>41249</v>
      </c>
      <c r="O2083" t="s">
        <v>41250</v>
      </c>
      <c r="P2083">
        <v>0</v>
      </c>
      <c r="Q2083">
        <v>1</v>
      </c>
      <c r="R2083" t="s">
        <v>41252</v>
      </c>
      <c r="S2083" t="s">
        <v>41383</v>
      </c>
      <c r="T2083" t="s">
        <v>42758</v>
      </c>
      <c r="U2083" t="s">
        <v>45001</v>
      </c>
      <c r="W2083" t="s">
        <v>38430</v>
      </c>
      <c r="X2083" t="s">
        <v>41280</v>
      </c>
    </row>
    <row r="2084" spans="1:24">
      <c r="A2084">
        <f>HYPERLINK("https://www.philgeps.gov.ph/GEPSNONPILOT/Tender/SplashBidNoticeAbstractUI.aspx?menuIndex=3&amp;refID=7078791&amp;Result=3","7078791")</f>
        <v>0</v>
      </c>
      <c r="B2084" t="s">
        <v>425</v>
      </c>
      <c r="C2084" t="s">
        <v>5380</v>
      </c>
      <c r="D2084" t="s">
        <v>16653</v>
      </c>
      <c r="E2084" t="s">
        <v>18632</v>
      </c>
      <c r="F2084" t="s">
        <v>28669</v>
      </c>
      <c r="G2084" t="s">
        <v>28676</v>
      </c>
      <c r="H2084" t="s">
        <v>9998</v>
      </c>
      <c r="I2084" t="s">
        <v>28695</v>
      </c>
      <c r="J2084" t="s">
        <v>30246</v>
      </c>
      <c r="K2084" t="s">
        <v>37208</v>
      </c>
      <c r="M2084" t="s">
        <v>37910</v>
      </c>
      <c r="N2084" t="s">
        <v>41249</v>
      </c>
      <c r="O2084" t="s">
        <v>41250</v>
      </c>
      <c r="P2084">
        <v>0</v>
      </c>
      <c r="Q2084">
        <v>0</v>
      </c>
      <c r="R2084" t="s">
        <v>41251</v>
      </c>
      <c r="S2084" t="s">
        <v>41369</v>
      </c>
      <c r="T2084" t="s">
        <v>42717</v>
      </c>
      <c r="U2084" t="s">
        <v>44941</v>
      </c>
      <c r="W2084" t="s">
        <v>37910</v>
      </c>
      <c r="X2084" t="s">
        <v>41252</v>
      </c>
    </row>
    <row r="2085" spans="1:24">
      <c r="A2085">
        <f>HYPERLINK("https://www.philgeps.gov.ph/GEPSNONPILOT/Tender/SplashBidNoticeAbstractUI.aspx?menuIndex=3&amp;refID=7064934&amp;Result=3","7064934")</f>
        <v>0</v>
      </c>
      <c r="B2085" t="s">
        <v>913</v>
      </c>
      <c r="C2085" t="s">
        <v>5381</v>
      </c>
      <c r="D2085" t="s">
        <v>16627</v>
      </c>
      <c r="E2085" t="s">
        <v>18633</v>
      </c>
      <c r="F2085" t="s">
        <v>28669</v>
      </c>
      <c r="G2085" t="s">
        <v>28678</v>
      </c>
      <c r="H2085" t="s">
        <v>9998</v>
      </c>
      <c r="I2085" t="s">
        <v>28734</v>
      </c>
      <c r="J2085" t="s">
        <v>28884</v>
      </c>
      <c r="K2085" t="s">
        <v>37206</v>
      </c>
      <c r="M2085" t="s">
        <v>38435</v>
      </c>
      <c r="N2085" t="s">
        <v>41249</v>
      </c>
      <c r="O2085" t="s">
        <v>41250</v>
      </c>
      <c r="P2085">
        <v>0</v>
      </c>
      <c r="Q2085">
        <v>3</v>
      </c>
      <c r="R2085" t="s">
        <v>41252</v>
      </c>
      <c r="S2085" t="s">
        <v>41383</v>
      </c>
      <c r="T2085" t="s">
        <v>42736</v>
      </c>
      <c r="U2085" t="s">
        <v>44995</v>
      </c>
      <c r="W2085" t="s">
        <v>38435</v>
      </c>
      <c r="X2085" t="s">
        <v>41259</v>
      </c>
    </row>
    <row r="2086" spans="1:24">
      <c r="A2086">
        <f>HYPERLINK("https://www.philgeps.gov.ph/GEPSNONPILOT/Tender/SplashBidNoticeAbstractUI.aspx?menuIndex=3&amp;refID=7078787&amp;Result=3","7078787")</f>
        <v>0</v>
      </c>
      <c r="B2086" t="s">
        <v>915</v>
      </c>
      <c r="C2086" t="s">
        <v>5382</v>
      </c>
      <c r="D2086" t="s">
        <v>16608</v>
      </c>
      <c r="E2086" t="s">
        <v>18634</v>
      </c>
      <c r="F2086" t="s">
        <v>28669</v>
      </c>
      <c r="G2086" t="s">
        <v>28675</v>
      </c>
      <c r="H2086" t="s">
        <v>9998</v>
      </c>
      <c r="I2086" t="s">
        <v>28708</v>
      </c>
      <c r="J2086" t="s">
        <v>28826</v>
      </c>
      <c r="K2086" t="s">
        <v>37205</v>
      </c>
      <c r="M2086" t="s">
        <v>38437</v>
      </c>
      <c r="N2086" t="s">
        <v>41249</v>
      </c>
      <c r="O2086" t="s">
        <v>41250</v>
      </c>
      <c r="P2086">
        <v>0</v>
      </c>
      <c r="Q2086">
        <v>2</v>
      </c>
      <c r="R2086" t="s">
        <v>41251</v>
      </c>
      <c r="S2086" t="s">
        <v>41369</v>
      </c>
      <c r="T2086" t="s">
        <v>42821</v>
      </c>
      <c r="U2086" t="s">
        <v>45002</v>
      </c>
      <c r="W2086" t="s">
        <v>55937</v>
      </c>
      <c r="X2086" t="s">
        <v>41252</v>
      </c>
    </row>
    <row r="2087" spans="1:24">
      <c r="A2087">
        <f>HYPERLINK("https://www.philgeps.gov.ph/GEPSNONPILOT/Tender/SplashBidNoticeAbstractUI.aspx?menuIndex=3&amp;refID=7065989&amp;Result=3","7065989")</f>
        <v>0</v>
      </c>
      <c r="B2087" t="s">
        <v>916</v>
      </c>
      <c r="C2087" t="s">
        <v>5383</v>
      </c>
      <c r="D2087" t="s">
        <v>16664</v>
      </c>
      <c r="E2087" t="s">
        <v>17140</v>
      </c>
      <c r="F2087" t="s">
        <v>28669</v>
      </c>
      <c r="G2087" t="s">
        <v>28677</v>
      </c>
      <c r="H2087" t="s">
        <v>9998</v>
      </c>
      <c r="I2087" t="s">
        <v>3718</v>
      </c>
      <c r="J2087" t="s">
        <v>29083</v>
      </c>
      <c r="K2087" t="s">
        <v>37209</v>
      </c>
      <c r="M2087" t="s">
        <v>38438</v>
      </c>
      <c r="N2087" t="s">
        <v>41249</v>
      </c>
      <c r="O2087" t="s">
        <v>41250</v>
      </c>
      <c r="P2087">
        <v>0</v>
      </c>
      <c r="Q2087">
        <v>3</v>
      </c>
      <c r="R2087" t="s">
        <v>41252</v>
      </c>
      <c r="S2087" t="s">
        <v>41383</v>
      </c>
      <c r="T2087" t="s">
        <v>42868</v>
      </c>
      <c r="U2087" t="s">
        <v>45003</v>
      </c>
      <c r="W2087" t="s">
        <v>38438</v>
      </c>
      <c r="X2087" t="s">
        <v>41259</v>
      </c>
    </row>
    <row r="2088" spans="1:24">
      <c r="A2088">
        <f>HYPERLINK("https://www.philgeps.gov.ph/GEPSNONPILOT/Tender/SplashBidNoticeAbstractUI.aspx?menuIndex=3&amp;refID=7064906&amp;Result=3","7064906")</f>
        <v>0</v>
      </c>
      <c r="B2088" t="s">
        <v>909</v>
      </c>
      <c r="C2088" t="s">
        <v>5384</v>
      </c>
      <c r="D2088" t="s">
        <v>16662</v>
      </c>
      <c r="E2088" t="s">
        <v>18635</v>
      </c>
      <c r="F2088" t="s">
        <v>28669</v>
      </c>
      <c r="G2088" t="s">
        <v>28675</v>
      </c>
      <c r="H2088" t="s">
        <v>28686</v>
      </c>
      <c r="I2088" t="s">
        <v>28689</v>
      </c>
      <c r="J2088" t="s">
        <v>30247</v>
      </c>
      <c r="K2088" t="s">
        <v>37213</v>
      </c>
      <c r="M2088" t="s">
        <v>38431</v>
      </c>
      <c r="N2088" t="s">
        <v>41249</v>
      </c>
      <c r="O2088" t="s">
        <v>41250</v>
      </c>
      <c r="P2088">
        <v>0</v>
      </c>
      <c r="Q2088">
        <v>1</v>
      </c>
      <c r="R2088" t="s">
        <v>41252</v>
      </c>
      <c r="S2088" t="s">
        <v>41383</v>
      </c>
      <c r="T2088" t="s">
        <v>42688</v>
      </c>
      <c r="U2088" t="s">
        <v>45004</v>
      </c>
      <c r="W2088" t="s">
        <v>38431</v>
      </c>
      <c r="X2088" t="s">
        <v>41259</v>
      </c>
    </row>
    <row r="2089" spans="1:24">
      <c r="A2089">
        <f>HYPERLINK("https://www.philgeps.gov.ph/GEPSNONPILOT/Tender/SplashBidNoticeAbstractUI.aspx?menuIndex=3&amp;refID=7078786&amp;Result=3","7078786")</f>
        <v>0</v>
      </c>
      <c r="B2089" t="s">
        <v>847</v>
      </c>
      <c r="C2089" t="s">
        <v>5385</v>
      </c>
      <c r="E2089" t="s">
        <v>18636</v>
      </c>
      <c r="F2089" t="s">
        <v>28669</v>
      </c>
      <c r="G2089" t="s">
        <v>28676</v>
      </c>
      <c r="H2089" t="s">
        <v>9998</v>
      </c>
      <c r="I2089" t="s">
        <v>28698</v>
      </c>
      <c r="J2089" t="s">
        <v>30248</v>
      </c>
      <c r="K2089" t="s">
        <v>37209</v>
      </c>
      <c r="M2089" t="s">
        <v>38389</v>
      </c>
      <c r="N2089" t="s">
        <v>41249</v>
      </c>
      <c r="O2089" t="s">
        <v>41250</v>
      </c>
      <c r="P2089">
        <v>0</v>
      </c>
      <c r="Q2089">
        <v>0</v>
      </c>
      <c r="R2089" t="s">
        <v>41251</v>
      </c>
      <c r="S2089" t="s">
        <v>41369</v>
      </c>
      <c r="T2089" t="s">
        <v>42754</v>
      </c>
      <c r="U2089" t="s">
        <v>45005</v>
      </c>
      <c r="V2089" t="s">
        <v>54501</v>
      </c>
      <c r="W2089" t="s">
        <v>38389</v>
      </c>
      <c r="X2089" t="s">
        <v>41252</v>
      </c>
    </row>
    <row r="2090" spans="1:24">
      <c r="A2090">
        <f>HYPERLINK("https://www.philgeps.gov.ph/GEPSNONPILOT/Tender/SplashBidNoticeAbstractUI.aspx?menuIndex=3&amp;refID=7064867&amp;Result=3","7064867")</f>
        <v>0</v>
      </c>
      <c r="B2090" t="s">
        <v>909</v>
      </c>
      <c r="C2090" t="s">
        <v>5386</v>
      </c>
      <c r="D2090" t="s">
        <v>16662</v>
      </c>
      <c r="E2090" t="s">
        <v>18637</v>
      </c>
      <c r="F2090" t="s">
        <v>28669</v>
      </c>
      <c r="G2090" t="s">
        <v>28675</v>
      </c>
      <c r="H2090" t="s">
        <v>28686</v>
      </c>
      <c r="I2090" t="s">
        <v>28689</v>
      </c>
      <c r="J2090" t="s">
        <v>30249</v>
      </c>
      <c r="K2090" t="s">
        <v>37214</v>
      </c>
      <c r="M2090" t="s">
        <v>38431</v>
      </c>
      <c r="N2090" t="s">
        <v>41249</v>
      </c>
      <c r="O2090" t="s">
        <v>41250</v>
      </c>
      <c r="P2090">
        <v>0</v>
      </c>
      <c r="Q2090">
        <v>1</v>
      </c>
      <c r="R2090" t="s">
        <v>41252</v>
      </c>
      <c r="S2090" t="s">
        <v>41383</v>
      </c>
      <c r="T2090" t="s">
        <v>42688</v>
      </c>
      <c r="U2090" t="s">
        <v>45006</v>
      </c>
      <c r="W2090" t="s">
        <v>38431</v>
      </c>
      <c r="X2090" t="s">
        <v>41259</v>
      </c>
    </row>
    <row r="2091" spans="1:24">
      <c r="A2091">
        <f>HYPERLINK("https://www.philgeps.gov.ph/GEPSNONPILOT/Tender/SplashBidNoticeAbstractUI.aspx?menuIndex=3&amp;refID=7078784&amp;Result=3","7078784")</f>
        <v>0</v>
      </c>
      <c r="B2091" t="s">
        <v>917</v>
      </c>
      <c r="C2091" t="s">
        <v>5387</v>
      </c>
      <c r="D2091" t="s">
        <v>16639</v>
      </c>
      <c r="E2091" t="s">
        <v>16877</v>
      </c>
      <c r="F2091" t="s">
        <v>28669</v>
      </c>
      <c r="G2091" t="s">
        <v>28675</v>
      </c>
      <c r="H2091" t="s">
        <v>9998</v>
      </c>
      <c r="I2091" t="s">
        <v>7352</v>
      </c>
      <c r="J2091" t="s">
        <v>30250</v>
      </c>
      <c r="K2091" t="s">
        <v>37243</v>
      </c>
      <c r="M2091" t="s">
        <v>38439</v>
      </c>
      <c r="N2091" t="s">
        <v>41249</v>
      </c>
      <c r="O2091" t="s">
        <v>41250</v>
      </c>
      <c r="P2091">
        <v>0</v>
      </c>
      <c r="Q2091">
        <v>0</v>
      </c>
      <c r="R2091" t="s">
        <v>41251</v>
      </c>
      <c r="S2091" t="s">
        <v>41369</v>
      </c>
      <c r="T2091" t="s">
        <v>42678</v>
      </c>
      <c r="U2091" t="s">
        <v>45007</v>
      </c>
      <c r="W2091" t="s">
        <v>38439</v>
      </c>
      <c r="X2091" t="s">
        <v>41252</v>
      </c>
    </row>
    <row r="2092" spans="1:24">
      <c r="A2092">
        <f>HYPERLINK("https://www.philgeps.gov.ph/GEPSNONPILOT/Tender/SplashBidNoticeAbstractUI.aspx?menuIndex=3&amp;refID=7078783&amp;Result=3","7078783")</f>
        <v>0</v>
      </c>
      <c r="B2092" t="s">
        <v>891</v>
      </c>
      <c r="C2092" t="s">
        <v>5388</v>
      </c>
      <c r="D2092" t="s">
        <v>16631</v>
      </c>
      <c r="E2092" t="s">
        <v>18638</v>
      </c>
      <c r="F2092" t="s">
        <v>28669</v>
      </c>
      <c r="G2092" t="s">
        <v>28675</v>
      </c>
      <c r="H2092" t="s">
        <v>9998</v>
      </c>
      <c r="I2092" t="s">
        <v>28687</v>
      </c>
      <c r="J2092" t="s">
        <v>30162</v>
      </c>
      <c r="K2092" t="s">
        <v>37213</v>
      </c>
      <c r="M2092" t="s">
        <v>38412</v>
      </c>
      <c r="N2092" t="s">
        <v>41249</v>
      </c>
      <c r="O2092" t="s">
        <v>41250</v>
      </c>
      <c r="P2092">
        <v>0</v>
      </c>
      <c r="Q2092">
        <v>2</v>
      </c>
      <c r="R2092" t="s">
        <v>41251</v>
      </c>
      <c r="S2092" t="s">
        <v>41369</v>
      </c>
      <c r="T2092" t="s">
        <v>42818</v>
      </c>
      <c r="U2092" t="s">
        <v>44953</v>
      </c>
      <c r="W2092" t="s">
        <v>40528</v>
      </c>
      <c r="X2092" t="s">
        <v>41252</v>
      </c>
    </row>
    <row r="2093" spans="1:24">
      <c r="A2093">
        <f>HYPERLINK("https://www.philgeps.gov.ph/GEPSNONPILOT/Tender/SplashBidNoticeAbstractUI.aspx?menuIndex=3&amp;refID=7078789&amp;Result=3","7078789")</f>
        <v>0</v>
      </c>
      <c r="B2093" t="s">
        <v>425</v>
      </c>
      <c r="C2093" t="s">
        <v>5389</v>
      </c>
      <c r="D2093" t="s">
        <v>16653</v>
      </c>
      <c r="E2093" t="s">
        <v>18639</v>
      </c>
      <c r="F2093" t="s">
        <v>28669</v>
      </c>
      <c r="G2093" t="s">
        <v>28676</v>
      </c>
      <c r="H2093" t="s">
        <v>9998</v>
      </c>
      <c r="I2093" t="s">
        <v>28735</v>
      </c>
      <c r="J2093" t="s">
        <v>30251</v>
      </c>
      <c r="K2093" t="s">
        <v>37208</v>
      </c>
      <c r="M2093" t="s">
        <v>37910</v>
      </c>
      <c r="N2093" t="s">
        <v>41249</v>
      </c>
      <c r="O2093" t="s">
        <v>41250</v>
      </c>
      <c r="P2093">
        <v>0</v>
      </c>
      <c r="Q2093">
        <v>0</v>
      </c>
      <c r="R2093" t="s">
        <v>41251</v>
      </c>
      <c r="S2093" t="s">
        <v>41369</v>
      </c>
      <c r="T2093" t="s">
        <v>42717</v>
      </c>
      <c r="U2093" t="s">
        <v>44941</v>
      </c>
      <c r="W2093" t="s">
        <v>37910</v>
      </c>
      <c r="X2093" t="s">
        <v>41252</v>
      </c>
    </row>
    <row r="2094" spans="1:24">
      <c r="A2094">
        <f>HYPERLINK("https://www.philgeps.gov.ph/GEPSNONPILOT/Tender/SplashBidNoticeAbstractUI.aspx?menuIndex=3&amp;refID=7078759&amp;Result=3","7078759")</f>
        <v>0</v>
      </c>
      <c r="B2094" t="s">
        <v>918</v>
      </c>
      <c r="C2094" t="s">
        <v>5390</v>
      </c>
      <c r="D2094" t="s">
        <v>16611</v>
      </c>
      <c r="E2094" t="s">
        <v>18640</v>
      </c>
      <c r="F2094" t="s">
        <v>28669</v>
      </c>
      <c r="G2094" t="s">
        <v>28675</v>
      </c>
      <c r="H2094" t="s">
        <v>28686</v>
      </c>
      <c r="I2094" t="s">
        <v>28689</v>
      </c>
      <c r="J2094" t="s">
        <v>30252</v>
      </c>
      <c r="K2094" t="s">
        <v>37206</v>
      </c>
      <c r="M2094" t="s">
        <v>38440</v>
      </c>
      <c r="N2094" t="s">
        <v>41249</v>
      </c>
      <c r="O2094" t="s">
        <v>41250</v>
      </c>
      <c r="P2094">
        <v>0</v>
      </c>
      <c r="Q2094">
        <v>0</v>
      </c>
      <c r="R2094" t="s">
        <v>41251</v>
      </c>
      <c r="S2094" t="s">
        <v>41369</v>
      </c>
      <c r="T2094" t="s">
        <v>42782</v>
      </c>
      <c r="U2094" t="s">
        <v>45008</v>
      </c>
      <c r="W2094" t="s">
        <v>38440</v>
      </c>
      <c r="X2094" t="s">
        <v>41252</v>
      </c>
    </row>
    <row r="2095" spans="1:24">
      <c r="A2095">
        <f>HYPERLINK("https://www.philgeps.gov.ph/GEPSNONPILOT/Tender/SplashBidNoticeAbstractUI.aspx?menuIndex=3&amp;refID=7078758&amp;Result=3","7078758")</f>
        <v>0</v>
      </c>
      <c r="B2095" t="s">
        <v>425</v>
      </c>
      <c r="C2095" t="s">
        <v>5391</v>
      </c>
      <c r="D2095" t="s">
        <v>16653</v>
      </c>
      <c r="E2095" t="s">
        <v>18641</v>
      </c>
      <c r="F2095" t="s">
        <v>28669</v>
      </c>
      <c r="G2095" t="s">
        <v>28676</v>
      </c>
      <c r="H2095" t="s">
        <v>9998</v>
      </c>
      <c r="I2095" t="s">
        <v>28782</v>
      </c>
      <c r="J2095" t="s">
        <v>30253</v>
      </c>
      <c r="K2095" t="s">
        <v>37208</v>
      </c>
      <c r="M2095" t="s">
        <v>37910</v>
      </c>
      <c r="N2095" t="s">
        <v>41249</v>
      </c>
      <c r="O2095" t="s">
        <v>41250</v>
      </c>
      <c r="P2095">
        <v>0</v>
      </c>
      <c r="Q2095">
        <v>0</v>
      </c>
      <c r="R2095" t="s">
        <v>41251</v>
      </c>
      <c r="S2095" t="s">
        <v>41369</v>
      </c>
      <c r="T2095" t="s">
        <v>42717</v>
      </c>
      <c r="U2095" t="s">
        <v>44941</v>
      </c>
      <c r="W2095" t="s">
        <v>37910</v>
      </c>
      <c r="X2095" t="s">
        <v>41252</v>
      </c>
    </row>
    <row r="2096" spans="1:24">
      <c r="A2096">
        <f>HYPERLINK("https://www.philgeps.gov.ph/GEPSNONPILOT/Tender/SplashBidNoticeAbstractUI.aspx?menuIndex=3&amp;refID=7078788&amp;Result=3","7078788")</f>
        <v>0</v>
      </c>
      <c r="B2096" t="s">
        <v>859</v>
      </c>
      <c r="C2096" t="s">
        <v>5320</v>
      </c>
      <c r="D2096" t="s">
        <v>16660</v>
      </c>
      <c r="E2096" t="s">
        <v>18553</v>
      </c>
      <c r="F2096" t="s">
        <v>28669</v>
      </c>
      <c r="G2096" t="s">
        <v>28677</v>
      </c>
      <c r="H2096" t="s">
        <v>9998</v>
      </c>
      <c r="I2096" t="s">
        <v>5213</v>
      </c>
      <c r="J2096" t="s">
        <v>30254</v>
      </c>
      <c r="K2096" t="s">
        <v>37209</v>
      </c>
      <c r="M2096" t="s">
        <v>38376</v>
      </c>
      <c r="N2096" t="s">
        <v>41249</v>
      </c>
      <c r="O2096" t="s">
        <v>41250</v>
      </c>
      <c r="P2096">
        <v>0</v>
      </c>
      <c r="Q2096">
        <v>1</v>
      </c>
      <c r="R2096" t="s">
        <v>41251</v>
      </c>
      <c r="S2096" t="s">
        <v>41369</v>
      </c>
      <c r="T2096" t="s">
        <v>42682</v>
      </c>
      <c r="U2096" t="s">
        <v>45009</v>
      </c>
      <c r="W2096" t="s">
        <v>38376</v>
      </c>
      <c r="X2096" t="s">
        <v>41252</v>
      </c>
    </row>
    <row r="2097" spans="1:24">
      <c r="A2097">
        <f>HYPERLINK("https://www.philgeps.gov.ph/GEPSNONPILOT/Tender/SplashBidNoticeAbstractUI.aspx?menuIndex=3&amp;refID=7078755&amp;Result=3","7078755")</f>
        <v>0</v>
      </c>
      <c r="B2097" t="s">
        <v>425</v>
      </c>
      <c r="C2097" t="s">
        <v>5392</v>
      </c>
      <c r="D2097" t="s">
        <v>16653</v>
      </c>
      <c r="E2097" t="s">
        <v>18642</v>
      </c>
      <c r="F2097" t="s">
        <v>28669</v>
      </c>
      <c r="G2097" t="s">
        <v>28676</v>
      </c>
      <c r="H2097" t="s">
        <v>9998</v>
      </c>
      <c r="I2097" t="s">
        <v>28782</v>
      </c>
      <c r="J2097" t="s">
        <v>30255</v>
      </c>
      <c r="K2097" t="s">
        <v>37208</v>
      </c>
      <c r="M2097" t="s">
        <v>37910</v>
      </c>
      <c r="N2097" t="s">
        <v>41249</v>
      </c>
      <c r="O2097" t="s">
        <v>41250</v>
      </c>
      <c r="P2097">
        <v>0</v>
      </c>
      <c r="Q2097">
        <v>0</v>
      </c>
      <c r="R2097" t="s">
        <v>41251</v>
      </c>
      <c r="S2097" t="s">
        <v>41369</v>
      </c>
      <c r="T2097" t="s">
        <v>42717</v>
      </c>
      <c r="U2097" t="s">
        <v>45010</v>
      </c>
      <c r="W2097" t="s">
        <v>37910</v>
      </c>
      <c r="X2097" t="s">
        <v>41252</v>
      </c>
    </row>
    <row r="2098" spans="1:24">
      <c r="A2098">
        <f>HYPERLINK("https://www.philgeps.gov.ph/GEPSNONPILOT/Tender/SplashBidNoticeAbstractUI.aspx?menuIndex=3&amp;refID=7078738&amp;Result=3","7078738")</f>
        <v>0</v>
      </c>
      <c r="B2098" t="s">
        <v>888</v>
      </c>
      <c r="C2098" t="s">
        <v>5393</v>
      </c>
      <c r="D2098" t="s">
        <v>16664</v>
      </c>
      <c r="E2098" t="s">
        <v>18643</v>
      </c>
      <c r="F2098" t="s">
        <v>28669</v>
      </c>
      <c r="G2098" t="s">
        <v>28675</v>
      </c>
      <c r="H2098" t="s">
        <v>9998</v>
      </c>
      <c r="I2098" t="s">
        <v>7352</v>
      </c>
      <c r="J2098" t="s">
        <v>30256</v>
      </c>
      <c r="K2098" t="s">
        <v>37243</v>
      </c>
      <c r="M2098" t="s">
        <v>38408</v>
      </c>
      <c r="N2098" t="s">
        <v>41249</v>
      </c>
      <c r="O2098" t="s">
        <v>41250</v>
      </c>
      <c r="P2098">
        <v>0</v>
      </c>
      <c r="Q2098">
        <v>0</v>
      </c>
      <c r="R2098" t="s">
        <v>41251</v>
      </c>
      <c r="S2098" t="s">
        <v>41369</v>
      </c>
      <c r="T2098" t="s">
        <v>42690</v>
      </c>
      <c r="U2098" t="s">
        <v>45011</v>
      </c>
      <c r="W2098" t="s">
        <v>38408</v>
      </c>
      <c r="X2098" t="s">
        <v>41252</v>
      </c>
    </row>
    <row r="2099" spans="1:24">
      <c r="A2099">
        <f>HYPERLINK("https://www.philgeps.gov.ph/GEPSNONPILOT/Tender/SplashBidNoticeAbstractUI.aspx?menuIndex=3&amp;refID=7078785&amp;Result=3","7078785")</f>
        <v>0</v>
      </c>
      <c r="B2099" t="s">
        <v>894</v>
      </c>
      <c r="C2099" t="s">
        <v>5394</v>
      </c>
      <c r="D2099" t="s">
        <v>16630</v>
      </c>
      <c r="E2099" t="s">
        <v>18644</v>
      </c>
      <c r="F2099" t="s">
        <v>28669</v>
      </c>
      <c r="G2099" t="s">
        <v>28677</v>
      </c>
      <c r="H2099" t="s">
        <v>9998</v>
      </c>
      <c r="I2099" t="s">
        <v>28698</v>
      </c>
      <c r="J2099" t="s">
        <v>30257</v>
      </c>
      <c r="K2099" t="s">
        <v>37234</v>
      </c>
      <c r="M2099" t="s">
        <v>38415</v>
      </c>
      <c r="N2099" t="s">
        <v>41249</v>
      </c>
      <c r="O2099" t="s">
        <v>41250</v>
      </c>
      <c r="P2099">
        <v>0</v>
      </c>
      <c r="Q2099">
        <v>0</v>
      </c>
      <c r="R2099" t="s">
        <v>41251</v>
      </c>
      <c r="S2099" t="s">
        <v>41369</v>
      </c>
      <c r="T2099" t="s">
        <v>42758</v>
      </c>
      <c r="U2099" t="s">
        <v>45012</v>
      </c>
      <c r="W2099" t="s">
        <v>38415</v>
      </c>
      <c r="X2099" t="s">
        <v>41252</v>
      </c>
    </row>
    <row r="2100" spans="1:24">
      <c r="A2100">
        <f>HYPERLINK("https://www.philgeps.gov.ph/GEPSNONPILOT/Tender/SplashBidNoticeAbstractUI.aspx?menuIndex=3&amp;refID=7078737&amp;Result=3","7078737")</f>
        <v>0</v>
      </c>
      <c r="B2100" t="s">
        <v>425</v>
      </c>
      <c r="C2100" t="s">
        <v>5395</v>
      </c>
      <c r="D2100" t="s">
        <v>16653</v>
      </c>
      <c r="E2100" t="s">
        <v>18645</v>
      </c>
      <c r="F2100" t="s">
        <v>28669</v>
      </c>
      <c r="G2100" t="s">
        <v>28678</v>
      </c>
      <c r="H2100" t="s">
        <v>9998</v>
      </c>
      <c r="I2100" t="s">
        <v>28708</v>
      </c>
      <c r="J2100" t="s">
        <v>30258</v>
      </c>
      <c r="K2100" t="s">
        <v>37208</v>
      </c>
      <c r="M2100" t="s">
        <v>37910</v>
      </c>
      <c r="N2100" t="s">
        <v>41249</v>
      </c>
      <c r="O2100" t="s">
        <v>41250</v>
      </c>
      <c r="P2100">
        <v>0</v>
      </c>
      <c r="Q2100">
        <v>1</v>
      </c>
      <c r="R2100" t="s">
        <v>41251</v>
      </c>
      <c r="S2100" t="s">
        <v>41369</v>
      </c>
      <c r="T2100" t="s">
        <v>42717</v>
      </c>
      <c r="U2100" t="s">
        <v>44941</v>
      </c>
      <c r="W2100" t="s">
        <v>37910</v>
      </c>
      <c r="X2100" t="s">
        <v>41252</v>
      </c>
    </row>
    <row r="2101" spans="1:24">
      <c r="A2101">
        <f>HYPERLINK("https://www.philgeps.gov.ph/GEPSNONPILOT/Tender/SplashBidNoticeAbstractUI.aspx?menuIndex=3&amp;refID=7078782&amp;Result=3","7078782")</f>
        <v>0</v>
      </c>
      <c r="B2101" t="s">
        <v>893</v>
      </c>
      <c r="C2101" t="s">
        <v>5396</v>
      </c>
      <c r="D2101" t="s">
        <v>16624</v>
      </c>
      <c r="E2101" t="s">
        <v>18646</v>
      </c>
      <c r="F2101" t="s">
        <v>28669</v>
      </c>
      <c r="G2101" t="s">
        <v>28676</v>
      </c>
      <c r="H2101" t="s">
        <v>9998</v>
      </c>
      <c r="I2101" t="s">
        <v>28703</v>
      </c>
      <c r="J2101" t="s">
        <v>30259</v>
      </c>
      <c r="K2101" t="s">
        <v>37206</v>
      </c>
      <c r="M2101" t="s">
        <v>38414</v>
      </c>
      <c r="N2101" t="s">
        <v>41249</v>
      </c>
      <c r="O2101" t="s">
        <v>41250</v>
      </c>
      <c r="P2101">
        <v>0</v>
      </c>
      <c r="Q2101">
        <v>3</v>
      </c>
      <c r="R2101" t="s">
        <v>41251</v>
      </c>
      <c r="S2101" t="s">
        <v>41369</v>
      </c>
      <c r="T2101" t="s">
        <v>42711</v>
      </c>
      <c r="U2101" t="s">
        <v>45013</v>
      </c>
      <c r="W2101" t="s">
        <v>38414</v>
      </c>
      <c r="X2101" t="s">
        <v>41252</v>
      </c>
    </row>
    <row r="2102" spans="1:24">
      <c r="A2102">
        <f>HYPERLINK("https://www.philgeps.gov.ph/GEPSNONPILOT/Tender/SplashBidNoticeAbstractUI.aspx?menuIndex=3&amp;refID=7078736&amp;Result=3","7078736")</f>
        <v>0</v>
      </c>
      <c r="B2102" t="s">
        <v>911</v>
      </c>
      <c r="C2102" t="s">
        <v>5397</v>
      </c>
      <c r="D2102" t="s">
        <v>16667</v>
      </c>
      <c r="E2102" t="s">
        <v>18647</v>
      </c>
      <c r="F2102" t="s">
        <v>28669</v>
      </c>
      <c r="G2102" t="s">
        <v>28675</v>
      </c>
      <c r="H2102" t="s">
        <v>28686</v>
      </c>
      <c r="I2102" t="s">
        <v>28689</v>
      </c>
      <c r="J2102" t="s">
        <v>30260</v>
      </c>
      <c r="K2102" t="s">
        <v>37309</v>
      </c>
      <c r="M2102" t="s">
        <v>38433</v>
      </c>
      <c r="N2102" t="s">
        <v>41249</v>
      </c>
      <c r="O2102" t="s">
        <v>41250</v>
      </c>
      <c r="P2102">
        <v>0</v>
      </c>
      <c r="Q2102">
        <v>1</v>
      </c>
      <c r="R2102" t="s">
        <v>41251</v>
      </c>
      <c r="S2102" t="s">
        <v>41369</v>
      </c>
      <c r="T2102" t="s">
        <v>42777</v>
      </c>
      <c r="U2102" t="s">
        <v>45014</v>
      </c>
      <c r="W2102" t="s">
        <v>38433</v>
      </c>
      <c r="X2102" t="s">
        <v>41252</v>
      </c>
    </row>
    <row r="2103" spans="1:24">
      <c r="A2103">
        <f>HYPERLINK("https://www.philgeps.gov.ph/GEPSNONPILOT/Tender/SplashBidNoticeAbstractUI.aspx?menuIndex=3&amp;refID=7078760&amp;Result=3","7078760")</f>
        <v>0</v>
      </c>
      <c r="B2103" t="s">
        <v>859</v>
      </c>
      <c r="C2103" t="s">
        <v>5398</v>
      </c>
      <c r="D2103" t="s">
        <v>16660</v>
      </c>
      <c r="E2103" t="s">
        <v>18553</v>
      </c>
      <c r="F2103" t="s">
        <v>28669</v>
      </c>
      <c r="G2103" t="s">
        <v>28677</v>
      </c>
      <c r="H2103" t="s">
        <v>9998</v>
      </c>
      <c r="I2103" t="s">
        <v>6128</v>
      </c>
      <c r="J2103" t="s">
        <v>30261</v>
      </c>
      <c r="K2103" t="s">
        <v>37209</v>
      </c>
      <c r="M2103" t="s">
        <v>38376</v>
      </c>
      <c r="N2103" t="s">
        <v>41249</v>
      </c>
      <c r="O2103" t="s">
        <v>41250</v>
      </c>
      <c r="P2103">
        <v>0</v>
      </c>
      <c r="Q2103">
        <v>1</v>
      </c>
      <c r="R2103" t="s">
        <v>41251</v>
      </c>
      <c r="S2103" t="s">
        <v>41369</v>
      </c>
      <c r="T2103" t="s">
        <v>42682</v>
      </c>
      <c r="U2103" t="s">
        <v>45015</v>
      </c>
      <c r="W2103" t="s">
        <v>38376</v>
      </c>
      <c r="X2103" t="s">
        <v>41252</v>
      </c>
    </row>
    <row r="2104" spans="1:24">
      <c r="A2104">
        <f>HYPERLINK("https://www.philgeps.gov.ph/GEPSNONPILOT/Tender/SplashBidNoticeAbstractUI.aspx?menuIndex=3&amp;refID=7078735&amp;Result=3","7078735")</f>
        <v>0</v>
      </c>
      <c r="B2104" t="s">
        <v>889</v>
      </c>
      <c r="C2104" t="s">
        <v>5399</v>
      </c>
      <c r="D2104" t="s">
        <v>16644</v>
      </c>
      <c r="E2104" t="s">
        <v>18648</v>
      </c>
      <c r="F2104" t="s">
        <v>28669</v>
      </c>
      <c r="G2104" t="s">
        <v>28675</v>
      </c>
      <c r="H2104" t="s">
        <v>9998</v>
      </c>
      <c r="I2104" t="s">
        <v>28695</v>
      </c>
      <c r="J2104" t="s">
        <v>30262</v>
      </c>
      <c r="K2104" t="s">
        <v>37215</v>
      </c>
      <c r="M2104" t="s">
        <v>38410</v>
      </c>
      <c r="N2104" t="s">
        <v>41249</v>
      </c>
      <c r="O2104" t="s">
        <v>41250</v>
      </c>
      <c r="P2104">
        <v>0</v>
      </c>
      <c r="Q2104">
        <v>1</v>
      </c>
      <c r="R2104" t="s">
        <v>41251</v>
      </c>
      <c r="S2104" t="s">
        <v>41369</v>
      </c>
      <c r="T2104" t="s">
        <v>42869</v>
      </c>
      <c r="U2104" t="s">
        <v>45016</v>
      </c>
      <c r="W2104" t="s">
        <v>38410</v>
      </c>
      <c r="X2104" t="s">
        <v>41252</v>
      </c>
    </row>
    <row r="2105" spans="1:24">
      <c r="A2105">
        <f>HYPERLINK("https://www.philgeps.gov.ph/GEPSNONPILOT/Tender/SplashBidNoticeAbstractUI.aspx?menuIndex=3&amp;refID=7078689&amp;Result=3","7078689")</f>
        <v>0</v>
      </c>
      <c r="B2105" t="s">
        <v>753</v>
      </c>
      <c r="C2105" t="s">
        <v>5400</v>
      </c>
      <c r="D2105" t="s">
        <v>16626</v>
      </c>
      <c r="E2105" t="s">
        <v>18649</v>
      </c>
      <c r="F2105" t="s">
        <v>28669</v>
      </c>
      <c r="G2105" t="s">
        <v>28675</v>
      </c>
      <c r="H2105" t="s">
        <v>9998</v>
      </c>
      <c r="I2105" t="s">
        <v>28691</v>
      </c>
      <c r="J2105" t="s">
        <v>30263</v>
      </c>
      <c r="K2105" t="s">
        <v>37234</v>
      </c>
      <c r="M2105" t="s">
        <v>38264</v>
      </c>
      <c r="N2105" t="s">
        <v>41249</v>
      </c>
      <c r="O2105" t="s">
        <v>41250</v>
      </c>
      <c r="P2105">
        <v>0</v>
      </c>
      <c r="Q2105">
        <v>0</v>
      </c>
      <c r="R2105" t="s">
        <v>41251</v>
      </c>
      <c r="S2105" t="s">
        <v>41369</v>
      </c>
      <c r="T2105" t="s">
        <v>42777</v>
      </c>
      <c r="U2105" t="s">
        <v>45017</v>
      </c>
      <c r="W2105" t="s">
        <v>38264</v>
      </c>
      <c r="X2105" t="s">
        <v>41252</v>
      </c>
    </row>
    <row r="2106" spans="1:24">
      <c r="A2106">
        <f>HYPERLINK("https://www.philgeps.gov.ph/GEPSNONPILOT/Tender/SplashBidNoticeAbstractUI.aspx?menuIndex=3&amp;refID=7078686&amp;Result=3","7078686")</f>
        <v>0</v>
      </c>
      <c r="B2106" t="s">
        <v>919</v>
      </c>
      <c r="C2106" t="s">
        <v>3485</v>
      </c>
      <c r="D2106" t="s">
        <v>16619</v>
      </c>
      <c r="E2106" t="s">
        <v>17514</v>
      </c>
      <c r="F2106" t="s">
        <v>28669</v>
      </c>
      <c r="G2106" t="s">
        <v>28677</v>
      </c>
      <c r="H2106" t="s">
        <v>9998</v>
      </c>
      <c r="I2106" t="s">
        <v>6128</v>
      </c>
      <c r="J2106" t="s">
        <v>30264</v>
      </c>
      <c r="K2106" t="s">
        <v>37208</v>
      </c>
      <c r="M2106" t="s">
        <v>38441</v>
      </c>
      <c r="N2106" t="s">
        <v>41249</v>
      </c>
      <c r="O2106" t="s">
        <v>41250</v>
      </c>
      <c r="P2106">
        <v>0</v>
      </c>
      <c r="Q2106">
        <v>1</v>
      </c>
      <c r="R2106" t="s">
        <v>41251</v>
      </c>
      <c r="S2106" t="s">
        <v>41369</v>
      </c>
      <c r="T2106" t="s">
        <v>42758</v>
      </c>
      <c r="U2106" t="s">
        <v>45018</v>
      </c>
      <c r="W2106" t="s">
        <v>38441</v>
      </c>
      <c r="X2106" t="s">
        <v>41252</v>
      </c>
    </row>
    <row r="2107" spans="1:24">
      <c r="A2107">
        <f>HYPERLINK("https://www.philgeps.gov.ph/GEPSNONPILOT/Tender/SplashBidNoticeAbstractUI.aspx?menuIndex=3&amp;refID=7078763&amp;Result=3","7078763")</f>
        <v>0</v>
      </c>
      <c r="B2107" t="s">
        <v>425</v>
      </c>
      <c r="C2107" t="s">
        <v>5401</v>
      </c>
      <c r="D2107" t="s">
        <v>16653</v>
      </c>
      <c r="E2107" t="s">
        <v>18650</v>
      </c>
      <c r="F2107" t="s">
        <v>28669</v>
      </c>
      <c r="G2107" t="s">
        <v>28676</v>
      </c>
      <c r="H2107" t="s">
        <v>9998</v>
      </c>
      <c r="I2107" t="s">
        <v>15140</v>
      </c>
      <c r="J2107" t="s">
        <v>30265</v>
      </c>
      <c r="K2107" t="s">
        <v>37208</v>
      </c>
      <c r="M2107" t="s">
        <v>37910</v>
      </c>
      <c r="N2107" t="s">
        <v>41249</v>
      </c>
      <c r="O2107" t="s">
        <v>41250</v>
      </c>
      <c r="P2107">
        <v>0</v>
      </c>
      <c r="Q2107">
        <v>0</v>
      </c>
      <c r="R2107" t="s">
        <v>41251</v>
      </c>
      <c r="S2107" t="s">
        <v>41369</v>
      </c>
      <c r="T2107" t="s">
        <v>42717</v>
      </c>
      <c r="U2107" t="s">
        <v>44941</v>
      </c>
      <c r="W2107" t="s">
        <v>37910</v>
      </c>
      <c r="X2107" t="s">
        <v>41252</v>
      </c>
    </row>
    <row r="2108" spans="1:24">
      <c r="A2108">
        <f>HYPERLINK("https://www.philgeps.gov.ph/GEPSNONPILOT/Tender/SplashBidNoticeAbstractUI.aspx?menuIndex=3&amp;refID=7078662&amp;Result=3","7078662")</f>
        <v>0</v>
      </c>
      <c r="B2108" t="s">
        <v>753</v>
      </c>
      <c r="C2108" t="s">
        <v>4930</v>
      </c>
      <c r="D2108" t="s">
        <v>16626</v>
      </c>
      <c r="E2108" t="s">
        <v>18651</v>
      </c>
      <c r="F2108" t="s">
        <v>28669</v>
      </c>
      <c r="G2108" t="s">
        <v>28675</v>
      </c>
      <c r="H2108" t="s">
        <v>9998</v>
      </c>
      <c r="I2108" t="s">
        <v>28714</v>
      </c>
      <c r="J2108" t="s">
        <v>28993</v>
      </c>
      <c r="K2108" t="s">
        <v>37234</v>
      </c>
      <c r="M2108" t="s">
        <v>38264</v>
      </c>
      <c r="N2108" t="s">
        <v>41249</v>
      </c>
      <c r="O2108" t="s">
        <v>41250</v>
      </c>
      <c r="P2108">
        <v>0</v>
      </c>
      <c r="Q2108">
        <v>2</v>
      </c>
      <c r="R2108" t="s">
        <v>41251</v>
      </c>
      <c r="S2108" t="s">
        <v>41369</v>
      </c>
      <c r="T2108" t="s">
        <v>42777</v>
      </c>
      <c r="U2108" t="s">
        <v>45019</v>
      </c>
      <c r="W2108" t="s">
        <v>38264</v>
      </c>
      <c r="X2108" t="s">
        <v>41252</v>
      </c>
    </row>
    <row r="2109" spans="1:24">
      <c r="A2109">
        <f>HYPERLINK("https://www.philgeps.gov.ph/GEPSNONPILOT/Tender/SplashBidNoticeAbstractUI.aspx?menuIndex=3&amp;refID=7078661&amp;Result=3","7078661")</f>
        <v>0</v>
      </c>
      <c r="B2109" t="s">
        <v>920</v>
      </c>
      <c r="C2109" t="s">
        <v>5402</v>
      </c>
      <c r="D2109" t="s">
        <v>16670</v>
      </c>
      <c r="E2109" t="s">
        <v>18652</v>
      </c>
      <c r="F2109" t="s">
        <v>28669</v>
      </c>
      <c r="G2109" t="s">
        <v>28675</v>
      </c>
      <c r="H2109" t="s">
        <v>9998</v>
      </c>
      <c r="I2109" t="s">
        <v>7352</v>
      </c>
      <c r="J2109" t="s">
        <v>30266</v>
      </c>
      <c r="K2109" t="s">
        <v>37206</v>
      </c>
      <c r="M2109" t="s">
        <v>38442</v>
      </c>
      <c r="N2109" t="s">
        <v>41249</v>
      </c>
      <c r="O2109" t="s">
        <v>41250</v>
      </c>
      <c r="P2109">
        <v>0</v>
      </c>
      <c r="Q2109">
        <v>0</v>
      </c>
      <c r="R2109" t="s">
        <v>41251</v>
      </c>
      <c r="S2109" t="s">
        <v>41369</v>
      </c>
      <c r="T2109" t="s">
        <v>42699</v>
      </c>
      <c r="U2109" t="s">
        <v>45020</v>
      </c>
      <c r="W2109" t="s">
        <v>38442</v>
      </c>
      <c r="X2109" t="s">
        <v>41252</v>
      </c>
    </row>
    <row r="2110" spans="1:24">
      <c r="A2110">
        <f>HYPERLINK("https://www.philgeps.gov.ph/GEPSNONPILOT/Tender/SplashBidNoticeAbstractUI.aspx?menuIndex=3&amp;refID=7078685&amp;Result=3","7078685")</f>
        <v>0</v>
      </c>
      <c r="B2110" t="s">
        <v>921</v>
      </c>
      <c r="C2110" t="s">
        <v>5403</v>
      </c>
      <c r="D2110" t="s">
        <v>16670</v>
      </c>
      <c r="E2110" t="s">
        <v>18652</v>
      </c>
      <c r="F2110" t="s">
        <v>28669</v>
      </c>
      <c r="G2110" t="s">
        <v>28675</v>
      </c>
      <c r="H2110" t="s">
        <v>9998</v>
      </c>
      <c r="I2110" t="s">
        <v>28697</v>
      </c>
      <c r="J2110" t="s">
        <v>30267</v>
      </c>
      <c r="K2110" t="s">
        <v>37206</v>
      </c>
      <c r="M2110" t="s">
        <v>38443</v>
      </c>
      <c r="N2110" t="s">
        <v>41249</v>
      </c>
      <c r="O2110" t="s">
        <v>41250</v>
      </c>
      <c r="P2110">
        <v>0</v>
      </c>
      <c r="Q2110">
        <v>1</v>
      </c>
      <c r="R2110" t="s">
        <v>41251</v>
      </c>
      <c r="S2110" t="s">
        <v>41369</v>
      </c>
      <c r="T2110" t="s">
        <v>42699</v>
      </c>
      <c r="U2110" t="s">
        <v>45021</v>
      </c>
      <c r="W2110" t="s">
        <v>38443</v>
      </c>
      <c r="X2110" t="s">
        <v>41252</v>
      </c>
    </row>
    <row r="2111" spans="1:24">
      <c r="A2111">
        <f>HYPERLINK("https://www.philgeps.gov.ph/GEPSNONPILOT/Tender/SplashBidNoticeAbstractUI.aspx?menuIndex=3&amp;refID=7078660&amp;Result=3","7078660")</f>
        <v>0</v>
      </c>
      <c r="B2111" t="s">
        <v>922</v>
      </c>
      <c r="C2111" t="s">
        <v>5404</v>
      </c>
      <c r="D2111" t="s">
        <v>16657</v>
      </c>
      <c r="E2111" t="s">
        <v>16820</v>
      </c>
      <c r="F2111" t="s">
        <v>28669</v>
      </c>
      <c r="G2111" t="s">
        <v>28675</v>
      </c>
      <c r="H2111" t="s">
        <v>9998</v>
      </c>
      <c r="I2111" t="s">
        <v>11142</v>
      </c>
      <c r="J2111" t="s">
        <v>30268</v>
      </c>
      <c r="K2111" t="s">
        <v>37204</v>
      </c>
      <c r="M2111" t="s">
        <v>38444</v>
      </c>
      <c r="N2111" t="s">
        <v>41249</v>
      </c>
      <c r="O2111" t="s">
        <v>41250</v>
      </c>
      <c r="P2111">
        <v>0</v>
      </c>
      <c r="Q2111">
        <v>1</v>
      </c>
      <c r="R2111" t="s">
        <v>41251</v>
      </c>
      <c r="S2111" t="s">
        <v>41369</v>
      </c>
      <c r="T2111" t="s">
        <v>42682</v>
      </c>
      <c r="U2111" t="s">
        <v>45022</v>
      </c>
      <c r="V2111" t="s">
        <v>54517</v>
      </c>
      <c r="W2111" t="s">
        <v>38444</v>
      </c>
      <c r="X2111" t="s">
        <v>41252</v>
      </c>
    </row>
    <row r="2112" spans="1:24">
      <c r="A2112">
        <f>HYPERLINK("https://www.philgeps.gov.ph/GEPSNONPILOT/Tender/SplashBidNoticeAbstractUI.aspx?menuIndex=3&amp;refID=7078663&amp;Result=3","7078663")</f>
        <v>0</v>
      </c>
      <c r="B2112" t="s">
        <v>843</v>
      </c>
      <c r="C2112" t="s">
        <v>4472</v>
      </c>
      <c r="D2112" t="s">
        <v>16638</v>
      </c>
      <c r="E2112" t="s">
        <v>18653</v>
      </c>
      <c r="F2112" t="s">
        <v>28669</v>
      </c>
      <c r="G2112" t="s">
        <v>28676</v>
      </c>
      <c r="H2112" t="s">
        <v>9998</v>
      </c>
      <c r="I2112" t="s">
        <v>28690</v>
      </c>
      <c r="J2112" t="s">
        <v>29514</v>
      </c>
      <c r="K2112" t="s">
        <v>37204</v>
      </c>
      <c r="M2112" t="s">
        <v>38359</v>
      </c>
      <c r="N2112" t="s">
        <v>41249</v>
      </c>
      <c r="O2112" t="s">
        <v>41250</v>
      </c>
      <c r="P2112">
        <v>0</v>
      </c>
      <c r="Q2112">
        <v>1</v>
      </c>
      <c r="R2112" t="s">
        <v>41251</v>
      </c>
      <c r="S2112" t="s">
        <v>41369</v>
      </c>
      <c r="T2112" t="s">
        <v>42694</v>
      </c>
      <c r="U2112" t="s">
        <v>44856</v>
      </c>
      <c r="W2112" t="s">
        <v>38359</v>
      </c>
      <c r="X2112" t="s">
        <v>41252</v>
      </c>
    </row>
    <row r="2113" spans="1:24">
      <c r="A2113">
        <f>HYPERLINK("https://www.philgeps.gov.ph/GEPSNONPILOT/Tender/SplashBidNoticeAbstractUI.aspx?menuIndex=3&amp;refID=7078659&amp;Result=3","7078659")</f>
        <v>0</v>
      </c>
      <c r="B2113" t="s">
        <v>862</v>
      </c>
      <c r="C2113" t="s">
        <v>4310</v>
      </c>
      <c r="D2113" t="s">
        <v>16654</v>
      </c>
      <c r="E2113" t="s">
        <v>18654</v>
      </c>
      <c r="F2113" t="s">
        <v>28669</v>
      </c>
      <c r="G2113" t="s">
        <v>28676</v>
      </c>
      <c r="H2113" t="s">
        <v>9998</v>
      </c>
      <c r="I2113" t="s">
        <v>15140</v>
      </c>
      <c r="J2113" t="s">
        <v>28894</v>
      </c>
      <c r="K2113" t="s">
        <v>37234</v>
      </c>
      <c r="M2113" t="s">
        <v>38380</v>
      </c>
      <c r="N2113" t="s">
        <v>41249</v>
      </c>
      <c r="O2113" t="s">
        <v>41250</v>
      </c>
      <c r="P2113">
        <v>0</v>
      </c>
      <c r="Q2113">
        <v>0</v>
      </c>
      <c r="R2113" t="s">
        <v>41251</v>
      </c>
      <c r="S2113" t="s">
        <v>41369</v>
      </c>
      <c r="T2113" t="s">
        <v>42751</v>
      </c>
      <c r="U2113" t="s">
        <v>45023</v>
      </c>
      <c r="W2113" t="s">
        <v>38380</v>
      </c>
      <c r="X2113" t="s">
        <v>41252</v>
      </c>
    </row>
    <row r="2114" spans="1:24">
      <c r="A2114">
        <f>HYPERLINK("https://www.philgeps.gov.ph/GEPSNONPILOT/Tender/SplashBidNoticeAbstractUI.aspx?menuIndex=3&amp;refID=7078656&amp;Result=3","7078656")</f>
        <v>0</v>
      </c>
      <c r="B2114" t="s">
        <v>862</v>
      </c>
      <c r="C2114" t="s">
        <v>5250</v>
      </c>
      <c r="D2114" t="s">
        <v>16654</v>
      </c>
      <c r="E2114" t="s">
        <v>18655</v>
      </c>
      <c r="F2114" t="s">
        <v>28669</v>
      </c>
      <c r="G2114" t="s">
        <v>28676</v>
      </c>
      <c r="H2114" t="s">
        <v>9998</v>
      </c>
      <c r="I2114" t="s">
        <v>7352</v>
      </c>
      <c r="J2114" t="s">
        <v>30269</v>
      </c>
      <c r="K2114" t="s">
        <v>37208</v>
      </c>
      <c r="M2114" t="s">
        <v>38380</v>
      </c>
      <c r="N2114" t="s">
        <v>41249</v>
      </c>
      <c r="O2114" t="s">
        <v>41250</v>
      </c>
      <c r="P2114">
        <v>0</v>
      </c>
      <c r="Q2114">
        <v>0</v>
      </c>
      <c r="R2114" t="s">
        <v>41251</v>
      </c>
      <c r="S2114" t="s">
        <v>41369</v>
      </c>
      <c r="T2114" t="s">
        <v>42751</v>
      </c>
      <c r="U2114" t="s">
        <v>44892</v>
      </c>
      <c r="W2114" t="s">
        <v>38380</v>
      </c>
      <c r="X2114" t="s">
        <v>41252</v>
      </c>
    </row>
    <row r="2115" spans="1:24">
      <c r="A2115">
        <f>HYPERLINK("https://www.philgeps.gov.ph/GEPSNONPILOT/Tender/SplashBidNoticeAbstractUI.aspx?menuIndex=3&amp;refID=7078631&amp;Result=3","7078631")</f>
        <v>0</v>
      </c>
      <c r="B2115" t="s">
        <v>57</v>
      </c>
      <c r="C2115" t="s">
        <v>5405</v>
      </c>
      <c r="D2115" t="s">
        <v>16634</v>
      </c>
      <c r="E2115" t="s">
        <v>18656</v>
      </c>
      <c r="F2115" t="s">
        <v>28669</v>
      </c>
      <c r="G2115" t="s">
        <v>28675</v>
      </c>
      <c r="H2115" t="s">
        <v>9998</v>
      </c>
      <c r="I2115" t="s">
        <v>7352</v>
      </c>
      <c r="J2115" t="s">
        <v>30270</v>
      </c>
      <c r="K2115" t="s">
        <v>37209</v>
      </c>
      <c r="M2115" t="s">
        <v>37532</v>
      </c>
      <c r="N2115" t="s">
        <v>41249</v>
      </c>
      <c r="O2115" t="s">
        <v>41250</v>
      </c>
      <c r="P2115">
        <v>0</v>
      </c>
      <c r="Q2115">
        <v>0</v>
      </c>
      <c r="R2115" t="s">
        <v>41251</v>
      </c>
      <c r="S2115" t="s">
        <v>41369</v>
      </c>
      <c r="T2115" t="s">
        <v>42692</v>
      </c>
      <c r="U2115" t="s">
        <v>45024</v>
      </c>
      <c r="V2115" t="s">
        <v>54262</v>
      </c>
      <c r="W2115" t="s">
        <v>37532</v>
      </c>
      <c r="X2115" t="s">
        <v>41252</v>
      </c>
    </row>
    <row r="2116" spans="1:24">
      <c r="A2116">
        <f>HYPERLINK("https://www.philgeps.gov.ph/GEPSNONPILOT/Tender/SplashBidNoticeAbstractUI.aspx?menuIndex=3&amp;refID=7078629&amp;Result=3","7078629")</f>
        <v>0</v>
      </c>
      <c r="B2116" t="s">
        <v>860</v>
      </c>
      <c r="C2116" t="s">
        <v>5406</v>
      </c>
      <c r="D2116" t="s">
        <v>16678</v>
      </c>
      <c r="E2116" t="s">
        <v>18657</v>
      </c>
      <c r="F2116" t="s">
        <v>28671</v>
      </c>
      <c r="G2116" t="s">
        <v>28675</v>
      </c>
      <c r="H2116" t="s">
        <v>9998</v>
      </c>
      <c r="I2116" t="s">
        <v>28736</v>
      </c>
      <c r="J2116" t="s">
        <v>29003</v>
      </c>
      <c r="K2116" t="s">
        <v>37231</v>
      </c>
      <c r="L2116" t="s">
        <v>860</v>
      </c>
      <c r="M2116" t="s">
        <v>38378</v>
      </c>
      <c r="N2116" t="s">
        <v>41249</v>
      </c>
      <c r="O2116" t="s">
        <v>41250</v>
      </c>
      <c r="P2116">
        <v>0</v>
      </c>
      <c r="Q2116">
        <v>0</v>
      </c>
      <c r="R2116" t="s">
        <v>41251</v>
      </c>
      <c r="S2116" t="s">
        <v>41369</v>
      </c>
      <c r="T2116" t="s">
        <v>42786</v>
      </c>
      <c r="U2116" t="s">
        <v>45025</v>
      </c>
      <c r="W2116" t="s">
        <v>38378</v>
      </c>
      <c r="X2116" t="s">
        <v>41252</v>
      </c>
    </row>
    <row r="2117" spans="1:24">
      <c r="A2117">
        <f>HYPERLINK("https://www.philgeps.gov.ph/GEPSNONPILOT/Tender/SplashBidNoticeAbstractUI.aspx?menuIndex=3&amp;refID=7078632&amp;Result=3","7078632")</f>
        <v>0</v>
      </c>
      <c r="B2117" t="s">
        <v>97</v>
      </c>
      <c r="C2117" t="s">
        <v>5407</v>
      </c>
      <c r="D2117" t="s">
        <v>16609</v>
      </c>
      <c r="E2117" t="s">
        <v>18658</v>
      </c>
      <c r="F2117" t="s">
        <v>28669</v>
      </c>
      <c r="G2117" t="s">
        <v>28675</v>
      </c>
      <c r="H2117" t="s">
        <v>9998</v>
      </c>
      <c r="I2117" t="s">
        <v>11593</v>
      </c>
      <c r="J2117" t="s">
        <v>30271</v>
      </c>
      <c r="K2117" t="s">
        <v>37206</v>
      </c>
      <c r="M2117" t="s">
        <v>37572</v>
      </c>
      <c r="N2117" t="s">
        <v>41249</v>
      </c>
      <c r="O2117" t="s">
        <v>41250</v>
      </c>
      <c r="P2117">
        <v>0</v>
      </c>
      <c r="Q2117">
        <v>2</v>
      </c>
      <c r="R2117" t="s">
        <v>41251</v>
      </c>
      <c r="S2117" t="s">
        <v>41369</v>
      </c>
      <c r="T2117" t="s">
        <v>42716</v>
      </c>
      <c r="U2117" t="s">
        <v>45026</v>
      </c>
      <c r="W2117" t="s">
        <v>37572</v>
      </c>
      <c r="X2117" t="s">
        <v>41252</v>
      </c>
    </row>
    <row r="2118" spans="1:24">
      <c r="A2118">
        <f>HYPERLINK("https://www.philgeps.gov.ph/GEPSNONPILOT/Tender/SplashBidNoticeAbstractUI.aspx?menuIndex=3&amp;refID=7078627&amp;Result=3","7078627")</f>
        <v>0</v>
      </c>
      <c r="B2118" t="s">
        <v>923</v>
      </c>
      <c r="C2118" t="s">
        <v>5404</v>
      </c>
      <c r="D2118" t="s">
        <v>16657</v>
      </c>
      <c r="E2118" t="s">
        <v>16861</v>
      </c>
      <c r="F2118" t="s">
        <v>28669</v>
      </c>
      <c r="G2118" t="s">
        <v>28675</v>
      </c>
      <c r="H2118" t="s">
        <v>9998</v>
      </c>
      <c r="I2118" t="s">
        <v>11142</v>
      </c>
      <c r="J2118" t="s">
        <v>30272</v>
      </c>
      <c r="K2118" t="s">
        <v>37204</v>
      </c>
      <c r="M2118" t="s">
        <v>38445</v>
      </c>
      <c r="N2118" t="s">
        <v>41249</v>
      </c>
      <c r="O2118" t="s">
        <v>41250</v>
      </c>
      <c r="P2118">
        <v>0</v>
      </c>
      <c r="Q2118">
        <v>1</v>
      </c>
      <c r="R2118" t="s">
        <v>41251</v>
      </c>
      <c r="S2118" t="s">
        <v>41369</v>
      </c>
      <c r="T2118" t="s">
        <v>42682</v>
      </c>
      <c r="U2118" t="s">
        <v>45027</v>
      </c>
      <c r="V2118" t="s">
        <v>54517</v>
      </c>
      <c r="W2118" t="s">
        <v>38445</v>
      </c>
      <c r="X2118" t="s">
        <v>41252</v>
      </c>
    </row>
    <row r="2119" spans="1:24">
      <c r="A2119">
        <f>HYPERLINK("https://www.philgeps.gov.ph/GEPSNONPILOT/Tender/SplashBidNoticeAbstractUI.aspx?menuIndex=3&amp;refID=7078739&amp;Result=3","7078739")</f>
        <v>0</v>
      </c>
      <c r="B2119" t="s">
        <v>843</v>
      </c>
      <c r="C2119" t="s">
        <v>5408</v>
      </c>
      <c r="D2119" t="s">
        <v>16638</v>
      </c>
      <c r="E2119" t="s">
        <v>18659</v>
      </c>
      <c r="F2119" t="s">
        <v>28669</v>
      </c>
      <c r="G2119" t="s">
        <v>28676</v>
      </c>
      <c r="H2119" t="s">
        <v>9998</v>
      </c>
      <c r="I2119" t="s">
        <v>3718</v>
      </c>
      <c r="J2119" t="s">
        <v>30273</v>
      </c>
      <c r="K2119" t="s">
        <v>37204</v>
      </c>
      <c r="M2119" t="s">
        <v>38359</v>
      </c>
      <c r="N2119" t="s">
        <v>41249</v>
      </c>
      <c r="O2119" t="s">
        <v>41250</v>
      </c>
      <c r="P2119">
        <v>0</v>
      </c>
      <c r="Q2119">
        <v>1</v>
      </c>
      <c r="R2119" t="s">
        <v>41251</v>
      </c>
      <c r="S2119" t="s">
        <v>41369</v>
      </c>
      <c r="T2119" t="s">
        <v>42711</v>
      </c>
      <c r="U2119" t="s">
        <v>44856</v>
      </c>
      <c r="W2119" t="s">
        <v>38359</v>
      </c>
      <c r="X2119" t="s">
        <v>41252</v>
      </c>
    </row>
    <row r="2120" spans="1:24">
      <c r="A2120">
        <f>HYPERLINK("https://www.philgeps.gov.ph/GEPSNONPILOT/Tender/SplashBidNoticeAbstractUI.aspx?menuIndex=3&amp;refID=7078625&amp;Result=3","7078625")</f>
        <v>0</v>
      </c>
      <c r="B2120" t="s">
        <v>859</v>
      </c>
      <c r="C2120" t="s">
        <v>5409</v>
      </c>
      <c r="D2120" t="s">
        <v>16660</v>
      </c>
      <c r="E2120" t="s">
        <v>18507</v>
      </c>
      <c r="F2120" t="s">
        <v>28669</v>
      </c>
      <c r="G2120" t="s">
        <v>28677</v>
      </c>
      <c r="H2120" t="s">
        <v>9998</v>
      </c>
      <c r="I2120" t="s">
        <v>28711</v>
      </c>
      <c r="J2120" t="s">
        <v>29545</v>
      </c>
      <c r="K2120" t="s">
        <v>37209</v>
      </c>
      <c r="M2120" t="s">
        <v>38376</v>
      </c>
      <c r="N2120" t="s">
        <v>41249</v>
      </c>
      <c r="O2120" t="s">
        <v>41250</v>
      </c>
      <c r="P2120">
        <v>0</v>
      </c>
      <c r="Q2120">
        <v>1</v>
      </c>
      <c r="R2120" t="s">
        <v>41251</v>
      </c>
      <c r="S2120" t="s">
        <v>41369</v>
      </c>
      <c r="T2120" t="s">
        <v>42682</v>
      </c>
      <c r="U2120" t="s">
        <v>45028</v>
      </c>
      <c r="W2120" t="s">
        <v>38376</v>
      </c>
      <c r="X2120" t="s">
        <v>41252</v>
      </c>
    </row>
    <row r="2121" spans="1:24">
      <c r="A2121">
        <f>HYPERLINK("https://www.philgeps.gov.ph/GEPSNONPILOT/Tender/SplashBidNoticeAbstractUI.aspx?menuIndex=3&amp;refID=7078657&amp;Result=3","7078657")</f>
        <v>0</v>
      </c>
      <c r="B2121" t="s">
        <v>28</v>
      </c>
      <c r="C2121" t="s">
        <v>5410</v>
      </c>
      <c r="D2121" t="s">
        <v>16610</v>
      </c>
      <c r="E2121" t="s">
        <v>18660</v>
      </c>
      <c r="F2121" t="s">
        <v>28669</v>
      </c>
      <c r="G2121" t="s">
        <v>28676</v>
      </c>
      <c r="H2121" t="s">
        <v>9998</v>
      </c>
      <c r="I2121" t="s">
        <v>28695</v>
      </c>
      <c r="J2121" t="s">
        <v>30274</v>
      </c>
      <c r="K2121" t="s">
        <v>37208</v>
      </c>
      <c r="L2121" t="s">
        <v>28</v>
      </c>
      <c r="M2121" t="s">
        <v>37503</v>
      </c>
      <c r="N2121" t="s">
        <v>41249</v>
      </c>
      <c r="O2121" t="s">
        <v>41250</v>
      </c>
      <c r="P2121">
        <v>0</v>
      </c>
      <c r="Q2121">
        <v>0</v>
      </c>
      <c r="R2121" t="s">
        <v>41251</v>
      </c>
      <c r="S2121" t="s">
        <v>41369</v>
      </c>
      <c r="T2121" t="s">
        <v>42673</v>
      </c>
      <c r="U2121" t="s">
        <v>45029</v>
      </c>
      <c r="W2121" t="s">
        <v>37503</v>
      </c>
      <c r="X2121" t="s">
        <v>41252</v>
      </c>
    </row>
    <row r="2122" spans="1:24">
      <c r="A2122">
        <f>HYPERLINK("https://www.philgeps.gov.ph/GEPSNONPILOT/Tender/SplashBidNoticeAbstractUI.aspx?menuIndex=3&amp;refID=7078608&amp;Result=3","7078608")</f>
        <v>0</v>
      </c>
      <c r="B2122" t="s">
        <v>824</v>
      </c>
      <c r="C2122" t="s">
        <v>5411</v>
      </c>
      <c r="D2122" t="s">
        <v>16619</v>
      </c>
      <c r="E2122" t="s">
        <v>18506</v>
      </c>
      <c r="F2122" t="s">
        <v>28669</v>
      </c>
      <c r="G2122" t="s">
        <v>28675</v>
      </c>
      <c r="H2122" t="s">
        <v>9998</v>
      </c>
      <c r="I2122" t="s">
        <v>28730</v>
      </c>
      <c r="J2122" t="s">
        <v>30275</v>
      </c>
      <c r="K2122" t="s">
        <v>37209</v>
      </c>
      <c r="M2122" t="s">
        <v>38340</v>
      </c>
      <c r="N2122" t="s">
        <v>41249</v>
      </c>
      <c r="O2122" t="s">
        <v>41250</v>
      </c>
      <c r="P2122">
        <v>0</v>
      </c>
      <c r="Q2122">
        <v>0</v>
      </c>
      <c r="R2122" t="s">
        <v>41251</v>
      </c>
      <c r="S2122" t="s">
        <v>41369</v>
      </c>
      <c r="T2122" t="s">
        <v>42825</v>
      </c>
      <c r="U2122" t="s">
        <v>45030</v>
      </c>
      <c r="W2122" t="s">
        <v>38340</v>
      </c>
      <c r="X2122" t="s">
        <v>41252</v>
      </c>
    </row>
    <row r="2123" spans="1:24">
      <c r="A2123">
        <f>HYPERLINK("https://www.philgeps.gov.ph/GEPSNONPILOT/Tender/SplashBidNoticeAbstractUI.aspx?menuIndex=3&amp;refID=7078628&amp;Result=3","7078628")</f>
        <v>0</v>
      </c>
      <c r="B2123" t="s">
        <v>858</v>
      </c>
      <c r="C2123" t="s">
        <v>5412</v>
      </c>
      <c r="D2123" t="s">
        <v>16621</v>
      </c>
      <c r="E2123" t="s">
        <v>16707</v>
      </c>
      <c r="F2123" t="s">
        <v>28671</v>
      </c>
      <c r="G2123" t="s">
        <v>28675</v>
      </c>
      <c r="H2123" t="s">
        <v>9998</v>
      </c>
      <c r="I2123" t="s">
        <v>7352</v>
      </c>
      <c r="J2123" t="s">
        <v>30276</v>
      </c>
      <c r="K2123" t="s">
        <v>37210</v>
      </c>
      <c r="M2123" t="s">
        <v>38374</v>
      </c>
      <c r="N2123" t="s">
        <v>41249</v>
      </c>
      <c r="O2123" t="s">
        <v>41250</v>
      </c>
      <c r="P2123">
        <v>0</v>
      </c>
      <c r="Q2123">
        <v>0</v>
      </c>
      <c r="R2123" t="s">
        <v>41251</v>
      </c>
      <c r="S2123" t="s">
        <v>41369</v>
      </c>
      <c r="T2123" t="s">
        <v>42782</v>
      </c>
      <c r="U2123" t="s">
        <v>45031</v>
      </c>
      <c r="V2123" t="s">
        <v>54518</v>
      </c>
      <c r="W2123" t="s">
        <v>38374</v>
      </c>
      <c r="X2123" t="s">
        <v>41252</v>
      </c>
    </row>
    <row r="2124" spans="1:24">
      <c r="A2124">
        <f>HYPERLINK("https://www.philgeps.gov.ph/GEPSNONPILOT/Tender/SplashBidNoticeAbstractUI.aspx?menuIndex=3&amp;refID=7078688&amp;Result=3","7078688")</f>
        <v>0</v>
      </c>
      <c r="B2124" t="s">
        <v>873</v>
      </c>
      <c r="C2124" t="s">
        <v>5413</v>
      </c>
      <c r="D2124" t="s">
        <v>16661</v>
      </c>
      <c r="E2124" t="s">
        <v>18661</v>
      </c>
      <c r="F2124" t="s">
        <v>28669</v>
      </c>
      <c r="G2124" t="s">
        <v>28677</v>
      </c>
      <c r="H2124" t="s">
        <v>9998</v>
      </c>
      <c r="I2124" t="s">
        <v>6128</v>
      </c>
      <c r="J2124" t="s">
        <v>30277</v>
      </c>
      <c r="K2124" t="s">
        <v>37210</v>
      </c>
      <c r="M2124" t="s">
        <v>38392</v>
      </c>
      <c r="N2124" t="s">
        <v>41249</v>
      </c>
      <c r="O2124" t="s">
        <v>41250</v>
      </c>
      <c r="P2124">
        <v>0</v>
      </c>
      <c r="Q2124">
        <v>0</v>
      </c>
      <c r="R2124" t="s">
        <v>41251</v>
      </c>
      <c r="S2124" t="s">
        <v>41369</v>
      </c>
      <c r="T2124" t="s">
        <v>42675</v>
      </c>
      <c r="U2124" t="s">
        <v>45032</v>
      </c>
      <c r="V2124" t="s">
        <v>54519</v>
      </c>
      <c r="W2124" t="s">
        <v>38392</v>
      </c>
      <c r="X2124" t="s">
        <v>41252</v>
      </c>
    </row>
    <row r="2125" spans="1:24">
      <c r="A2125">
        <f>HYPERLINK("https://www.philgeps.gov.ph/GEPSNONPILOT/Tender/SplashBidNoticeAbstractUI.aspx?menuIndex=3&amp;refID=7078604&amp;Result=3","7078604")</f>
        <v>0</v>
      </c>
      <c r="B2125" t="s">
        <v>856</v>
      </c>
      <c r="C2125" t="s">
        <v>5414</v>
      </c>
      <c r="D2125" t="s">
        <v>16675</v>
      </c>
      <c r="E2125" t="s">
        <v>18662</v>
      </c>
      <c r="F2125" t="s">
        <v>28669</v>
      </c>
      <c r="G2125" t="s">
        <v>28676</v>
      </c>
      <c r="H2125" t="s">
        <v>28686</v>
      </c>
      <c r="I2125" t="s">
        <v>28689</v>
      </c>
      <c r="J2125" t="s">
        <v>30025</v>
      </c>
      <c r="K2125" t="s">
        <v>37310</v>
      </c>
      <c r="M2125" t="s">
        <v>38372</v>
      </c>
      <c r="N2125" t="s">
        <v>41249</v>
      </c>
      <c r="O2125" t="s">
        <v>41250</v>
      </c>
      <c r="P2125">
        <v>0</v>
      </c>
      <c r="Q2125">
        <v>0</v>
      </c>
      <c r="R2125" t="s">
        <v>41251</v>
      </c>
      <c r="S2125" t="s">
        <v>41369</v>
      </c>
      <c r="T2125" t="s">
        <v>42663</v>
      </c>
      <c r="U2125" t="s">
        <v>45033</v>
      </c>
      <c r="W2125" t="s">
        <v>38372</v>
      </c>
      <c r="X2125" t="s">
        <v>41252</v>
      </c>
    </row>
    <row r="2126" spans="1:24">
      <c r="A2126">
        <f>HYPERLINK("https://www.philgeps.gov.ph/GEPSNONPILOT/Tender/SplashBidNoticeAbstractUI.aspx?menuIndex=3&amp;refID=7078754&amp;Result=3","7078754")</f>
        <v>0</v>
      </c>
      <c r="B2126" t="s">
        <v>911</v>
      </c>
      <c r="C2126" t="s">
        <v>5415</v>
      </c>
      <c r="D2126" t="s">
        <v>16667</v>
      </c>
      <c r="E2126" t="s">
        <v>18663</v>
      </c>
      <c r="F2126" t="s">
        <v>28669</v>
      </c>
      <c r="G2126" t="s">
        <v>28675</v>
      </c>
      <c r="H2126" t="s">
        <v>28686</v>
      </c>
      <c r="I2126" t="s">
        <v>28689</v>
      </c>
      <c r="J2126" t="s">
        <v>30278</v>
      </c>
      <c r="K2126" t="s">
        <v>37241</v>
      </c>
      <c r="M2126" t="s">
        <v>38433</v>
      </c>
      <c r="N2126" t="s">
        <v>41249</v>
      </c>
      <c r="O2126" t="s">
        <v>41250</v>
      </c>
      <c r="P2126">
        <v>0</v>
      </c>
      <c r="Q2126">
        <v>0</v>
      </c>
      <c r="R2126" t="s">
        <v>41251</v>
      </c>
      <c r="S2126" t="s">
        <v>41369</v>
      </c>
      <c r="T2126" t="s">
        <v>42693</v>
      </c>
      <c r="U2126" t="s">
        <v>45034</v>
      </c>
      <c r="W2126" t="s">
        <v>38433</v>
      </c>
      <c r="X2126" t="s">
        <v>41252</v>
      </c>
    </row>
    <row r="2127" spans="1:24">
      <c r="A2127">
        <f>HYPERLINK("https://www.philgeps.gov.ph/GEPSNONPILOT/Tender/SplashBidNoticeAbstractUI.aspx?menuIndex=3&amp;refID=7078603&amp;Result=3","7078603")</f>
        <v>0</v>
      </c>
      <c r="B2127" t="s">
        <v>824</v>
      </c>
      <c r="C2127" t="s">
        <v>5416</v>
      </c>
      <c r="D2127" t="s">
        <v>16619</v>
      </c>
      <c r="E2127" t="s">
        <v>18664</v>
      </c>
      <c r="F2127" t="s">
        <v>28669</v>
      </c>
      <c r="G2127" t="s">
        <v>28675</v>
      </c>
      <c r="H2127" t="s">
        <v>9998</v>
      </c>
      <c r="I2127" t="s">
        <v>11593</v>
      </c>
      <c r="J2127" t="s">
        <v>30279</v>
      </c>
      <c r="K2127" t="s">
        <v>37209</v>
      </c>
      <c r="M2127" t="s">
        <v>38340</v>
      </c>
      <c r="N2127" t="s">
        <v>41249</v>
      </c>
      <c r="O2127" t="s">
        <v>41250</v>
      </c>
      <c r="P2127">
        <v>0</v>
      </c>
      <c r="Q2127">
        <v>4</v>
      </c>
      <c r="R2127" t="s">
        <v>41251</v>
      </c>
      <c r="S2127" t="s">
        <v>41369</v>
      </c>
      <c r="T2127" t="s">
        <v>42672</v>
      </c>
      <c r="U2127" t="s">
        <v>45035</v>
      </c>
      <c r="W2127" t="s">
        <v>38340</v>
      </c>
      <c r="X2127" t="s">
        <v>41252</v>
      </c>
    </row>
    <row r="2128" spans="1:24">
      <c r="A2128">
        <f>HYPERLINK("https://www.philgeps.gov.ph/GEPSNONPILOT/Tender/SplashBidNoticeAbstractUI.aspx?menuIndex=3&amp;refID=7078602&amp;Result=3","7078602")</f>
        <v>0</v>
      </c>
      <c r="B2128" t="s">
        <v>924</v>
      </c>
      <c r="C2128" t="s">
        <v>5417</v>
      </c>
      <c r="E2128" t="s">
        <v>18665</v>
      </c>
      <c r="F2128" t="s">
        <v>28669</v>
      </c>
      <c r="G2128" t="s">
        <v>28676</v>
      </c>
      <c r="H2128" t="s">
        <v>28684</v>
      </c>
      <c r="I2128" t="s">
        <v>28777</v>
      </c>
      <c r="J2128" t="s">
        <v>29124</v>
      </c>
      <c r="K2128" t="s">
        <v>37204</v>
      </c>
      <c r="M2128" t="s">
        <v>38446</v>
      </c>
      <c r="N2128" t="s">
        <v>41249</v>
      </c>
      <c r="O2128" t="s">
        <v>41250</v>
      </c>
      <c r="P2128">
        <v>0</v>
      </c>
      <c r="Q2128">
        <v>5</v>
      </c>
      <c r="R2128" t="s">
        <v>41251</v>
      </c>
      <c r="S2128" t="s">
        <v>41369</v>
      </c>
      <c r="T2128" t="s">
        <v>42706</v>
      </c>
      <c r="U2128" t="s">
        <v>45036</v>
      </c>
      <c r="V2128" t="s">
        <v>54520</v>
      </c>
      <c r="W2128" t="s">
        <v>38446</v>
      </c>
      <c r="X2128" t="s">
        <v>41252</v>
      </c>
    </row>
    <row r="2129" spans="1:24">
      <c r="A2129">
        <f>HYPERLINK("https://www.philgeps.gov.ph/GEPSNONPILOT/Tender/SplashBidNoticeAbstractUI.aspx?menuIndex=3&amp;refID=7078622&amp;Result=3","7078622")</f>
        <v>0</v>
      </c>
      <c r="B2129" t="s">
        <v>97</v>
      </c>
      <c r="C2129" t="s">
        <v>5418</v>
      </c>
      <c r="D2129" t="s">
        <v>16609</v>
      </c>
      <c r="E2129" t="s">
        <v>18666</v>
      </c>
      <c r="F2129" t="s">
        <v>28669</v>
      </c>
      <c r="G2129" t="s">
        <v>28675</v>
      </c>
      <c r="H2129" t="s">
        <v>9998</v>
      </c>
      <c r="I2129" t="s">
        <v>28717</v>
      </c>
      <c r="J2129" t="s">
        <v>30280</v>
      </c>
      <c r="K2129" t="s">
        <v>37206</v>
      </c>
      <c r="M2129" t="s">
        <v>37572</v>
      </c>
      <c r="N2129" t="s">
        <v>41249</v>
      </c>
      <c r="O2129" t="s">
        <v>41250</v>
      </c>
      <c r="P2129">
        <v>0</v>
      </c>
      <c r="Q2129">
        <v>7</v>
      </c>
      <c r="R2129" t="s">
        <v>41251</v>
      </c>
      <c r="S2129" t="s">
        <v>41369</v>
      </c>
      <c r="T2129" t="s">
        <v>42716</v>
      </c>
      <c r="U2129" t="s">
        <v>45037</v>
      </c>
      <c r="W2129" t="s">
        <v>37572</v>
      </c>
      <c r="X2129" t="s">
        <v>41252</v>
      </c>
    </row>
    <row r="2130" spans="1:24">
      <c r="A2130">
        <f>HYPERLINK("https://www.philgeps.gov.ph/GEPSNONPILOT/Tender/SplashBidNoticeAbstractUI.aspx?menuIndex=3&amp;refID=7078598&amp;Result=3","7078598")</f>
        <v>0</v>
      </c>
      <c r="B2130" t="s">
        <v>843</v>
      </c>
      <c r="C2130" t="s">
        <v>5215</v>
      </c>
      <c r="D2130" t="s">
        <v>16638</v>
      </c>
      <c r="E2130" t="s">
        <v>18667</v>
      </c>
      <c r="F2130" t="s">
        <v>28669</v>
      </c>
      <c r="G2130" t="s">
        <v>28677</v>
      </c>
      <c r="H2130" t="s">
        <v>9998</v>
      </c>
      <c r="I2130" t="s">
        <v>15140</v>
      </c>
      <c r="J2130" t="s">
        <v>30281</v>
      </c>
      <c r="K2130" t="s">
        <v>37204</v>
      </c>
      <c r="M2130" t="s">
        <v>38359</v>
      </c>
      <c r="N2130" t="s">
        <v>41249</v>
      </c>
      <c r="O2130" t="s">
        <v>41250</v>
      </c>
      <c r="P2130">
        <v>0</v>
      </c>
      <c r="Q2130">
        <v>0</v>
      </c>
      <c r="R2130" t="s">
        <v>41251</v>
      </c>
      <c r="S2130" t="s">
        <v>41369</v>
      </c>
      <c r="T2130" t="s">
        <v>42711</v>
      </c>
      <c r="U2130" t="s">
        <v>44856</v>
      </c>
      <c r="W2130" t="s">
        <v>38359</v>
      </c>
      <c r="X2130" t="s">
        <v>41252</v>
      </c>
    </row>
    <row r="2131" spans="1:24">
      <c r="A2131">
        <f>HYPERLINK("https://www.philgeps.gov.ph/GEPSNONPILOT/Tender/SplashBidNoticeAbstractUI.aspx?menuIndex=3&amp;refID=7078605&amp;Result=3","7078605")</f>
        <v>0</v>
      </c>
      <c r="B2131" t="s">
        <v>925</v>
      </c>
      <c r="C2131" t="s">
        <v>5419</v>
      </c>
      <c r="D2131" t="s">
        <v>16648</v>
      </c>
      <c r="E2131" t="s">
        <v>18668</v>
      </c>
      <c r="F2131" t="s">
        <v>28669</v>
      </c>
      <c r="G2131" t="s">
        <v>28676</v>
      </c>
      <c r="H2131" t="s">
        <v>9998</v>
      </c>
      <c r="I2131" t="s">
        <v>6606</v>
      </c>
      <c r="J2131" t="s">
        <v>30282</v>
      </c>
      <c r="K2131" t="s">
        <v>37209</v>
      </c>
      <c r="M2131" t="s">
        <v>38447</v>
      </c>
      <c r="N2131" t="s">
        <v>41249</v>
      </c>
      <c r="O2131" t="s">
        <v>41250</v>
      </c>
      <c r="P2131">
        <v>0</v>
      </c>
      <c r="Q2131">
        <v>1</v>
      </c>
      <c r="R2131" t="s">
        <v>41251</v>
      </c>
      <c r="S2131" t="s">
        <v>41369</v>
      </c>
      <c r="T2131" t="s">
        <v>42675</v>
      </c>
      <c r="U2131" t="s">
        <v>45038</v>
      </c>
      <c r="W2131" t="s">
        <v>38447</v>
      </c>
      <c r="X2131" t="s">
        <v>41252</v>
      </c>
    </row>
    <row r="2132" spans="1:24">
      <c r="A2132">
        <f>HYPERLINK("https://www.philgeps.gov.ph/GEPSNONPILOT/Tender/SplashBidNoticeAbstractUI.aspx?menuIndex=3&amp;refID=7078624&amp;Result=3","7078624")</f>
        <v>0</v>
      </c>
      <c r="B2132" t="s">
        <v>860</v>
      </c>
      <c r="C2132" t="s">
        <v>5420</v>
      </c>
      <c r="D2132" t="s">
        <v>16678</v>
      </c>
      <c r="E2132" t="s">
        <v>18669</v>
      </c>
      <c r="F2132" t="s">
        <v>28671</v>
      </c>
      <c r="G2132" t="s">
        <v>28675</v>
      </c>
      <c r="H2132" t="s">
        <v>9998</v>
      </c>
      <c r="I2132" t="s">
        <v>28736</v>
      </c>
      <c r="J2132" t="s">
        <v>29003</v>
      </c>
      <c r="K2132" t="s">
        <v>37231</v>
      </c>
      <c r="L2132" t="s">
        <v>860</v>
      </c>
      <c r="M2132" t="s">
        <v>38378</v>
      </c>
      <c r="N2132" t="s">
        <v>41249</v>
      </c>
      <c r="O2132" t="s">
        <v>41250</v>
      </c>
      <c r="P2132">
        <v>0</v>
      </c>
      <c r="Q2132">
        <v>1</v>
      </c>
      <c r="R2132" t="s">
        <v>41251</v>
      </c>
      <c r="S2132" t="s">
        <v>41369</v>
      </c>
      <c r="T2132" t="s">
        <v>42786</v>
      </c>
      <c r="U2132" t="s">
        <v>45039</v>
      </c>
      <c r="W2132" t="s">
        <v>38378</v>
      </c>
      <c r="X2132" t="s">
        <v>41252</v>
      </c>
    </row>
    <row r="2133" spans="1:24">
      <c r="A2133">
        <f>HYPERLINK("https://www.philgeps.gov.ph/GEPSNONPILOT/Tender/SplashBidNoticeAbstractUI.aspx?menuIndex=3&amp;refID=7078733&amp;Result=3","7078733")</f>
        <v>0</v>
      </c>
      <c r="B2133" t="s">
        <v>926</v>
      </c>
      <c r="C2133" t="s">
        <v>5421</v>
      </c>
      <c r="D2133" t="s">
        <v>16625</v>
      </c>
      <c r="E2133" t="s">
        <v>18670</v>
      </c>
      <c r="F2133" t="s">
        <v>28669</v>
      </c>
      <c r="G2133" t="s">
        <v>28675</v>
      </c>
      <c r="H2133" t="s">
        <v>9998</v>
      </c>
      <c r="I2133" t="s">
        <v>28694</v>
      </c>
      <c r="J2133" t="s">
        <v>30283</v>
      </c>
      <c r="K2133" t="s">
        <v>37204</v>
      </c>
      <c r="M2133" t="s">
        <v>38448</v>
      </c>
      <c r="N2133" t="s">
        <v>41249</v>
      </c>
      <c r="O2133" t="s">
        <v>41250</v>
      </c>
      <c r="P2133">
        <v>0</v>
      </c>
      <c r="Q2133">
        <v>0</v>
      </c>
      <c r="R2133" t="s">
        <v>41251</v>
      </c>
      <c r="S2133" t="s">
        <v>41369</v>
      </c>
      <c r="T2133" t="s">
        <v>42870</v>
      </c>
      <c r="U2133" t="s">
        <v>45040</v>
      </c>
      <c r="W2133" t="s">
        <v>38448</v>
      </c>
      <c r="X2133" t="s">
        <v>41252</v>
      </c>
    </row>
    <row r="2134" spans="1:24">
      <c r="A2134">
        <f>HYPERLINK("https://www.philgeps.gov.ph/GEPSNONPILOT/Tender/SplashBidNoticeAbstractUI.aspx?menuIndex=3&amp;refID=7078572&amp;Result=3","7078572")</f>
        <v>0</v>
      </c>
      <c r="B2134" t="s">
        <v>927</v>
      </c>
      <c r="C2134" t="s">
        <v>5422</v>
      </c>
      <c r="D2134" t="s">
        <v>16673</v>
      </c>
      <c r="E2134" t="s">
        <v>18671</v>
      </c>
      <c r="F2134" t="s">
        <v>28669</v>
      </c>
      <c r="G2134" t="s">
        <v>28677</v>
      </c>
      <c r="H2134" t="s">
        <v>9998</v>
      </c>
      <c r="I2134" t="s">
        <v>3718</v>
      </c>
      <c r="J2134" t="s">
        <v>30284</v>
      </c>
      <c r="K2134" t="s">
        <v>37206</v>
      </c>
      <c r="M2134" t="s">
        <v>38449</v>
      </c>
      <c r="N2134" t="s">
        <v>41249</v>
      </c>
      <c r="O2134" t="s">
        <v>41250</v>
      </c>
      <c r="P2134">
        <v>0</v>
      </c>
      <c r="Q2134">
        <v>3</v>
      </c>
      <c r="R2134" t="s">
        <v>41251</v>
      </c>
      <c r="S2134" t="s">
        <v>41369</v>
      </c>
      <c r="T2134" t="s">
        <v>42736</v>
      </c>
      <c r="U2134" t="s">
        <v>45041</v>
      </c>
      <c r="W2134" t="s">
        <v>38449</v>
      </c>
      <c r="X2134" t="s">
        <v>41252</v>
      </c>
    </row>
    <row r="2135" spans="1:24">
      <c r="A2135">
        <f>HYPERLINK("https://www.philgeps.gov.ph/GEPSNONPILOT/Tender/SplashBidNoticeAbstractUI.aspx?menuIndex=3&amp;refID=7078607&amp;Result=3","7078607")</f>
        <v>0</v>
      </c>
      <c r="B2135" t="s">
        <v>72</v>
      </c>
      <c r="C2135" t="s">
        <v>5423</v>
      </c>
      <c r="D2135" t="s">
        <v>16644</v>
      </c>
      <c r="E2135" t="s">
        <v>18672</v>
      </c>
      <c r="F2135" t="s">
        <v>28669</v>
      </c>
      <c r="G2135" t="s">
        <v>28675</v>
      </c>
      <c r="H2135" t="s">
        <v>28686</v>
      </c>
      <c r="I2135" t="s">
        <v>28689</v>
      </c>
      <c r="J2135" t="s">
        <v>30285</v>
      </c>
      <c r="K2135" t="s">
        <v>37212</v>
      </c>
      <c r="M2135" t="s">
        <v>37547</v>
      </c>
      <c r="N2135" t="s">
        <v>41249</v>
      </c>
      <c r="O2135" t="s">
        <v>41250</v>
      </c>
      <c r="P2135">
        <v>0</v>
      </c>
      <c r="Q2135">
        <v>1</v>
      </c>
      <c r="R2135" t="s">
        <v>41251</v>
      </c>
      <c r="S2135" t="s">
        <v>41369</v>
      </c>
      <c r="T2135" t="s">
        <v>42716</v>
      </c>
      <c r="U2135" t="s">
        <v>45042</v>
      </c>
      <c r="V2135" t="s">
        <v>54521</v>
      </c>
      <c r="W2135" t="s">
        <v>55934</v>
      </c>
      <c r="X2135" t="s">
        <v>41252</v>
      </c>
    </row>
    <row r="2136" spans="1:24">
      <c r="A2136">
        <f>HYPERLINK("https://www.philgeps.gov.ph/GEPSNONPILOT/Tender/SplashBidNoticeAbstractUI.aspx?menuIndex=3&amp;refID=7078571&amp;Result=3","7078571")</f>
        <v>0</v>
      </c>
      <c r="B2136" t="s">
        <v>928</v>
      </c>
      <c r="C2136" t="s">
        <v>5424</v>
      </c>
      <c r="D2136" t="s">
        <v>16609</v>
      </c>
      <c r="E2136" t="s">
        <v>18673</v>
      </c>
      <c r="F2136" t="s">
        <v>28669</v>
      </c>
      <c r="G2136" t="s">
        <v>28676</v>
      </c>
      <c r="H2136" t="s">
        <v>9998</v>
      </c>
      <c r="I2136" t="s">
        <v>28690</v>
      </c>
      <c r="J2136" t="s">
        <v>28823</v>
      </c>
      <c r="K2136" t="s">
        <v>37204</v>
      </c>
      <c r="M2136" t="s">
        <v>38450</v>
      </c>
      <c r="N2136" t="s">
        <v>41249</v>
      </c>
      <c r="O2136" t="s">
        <v>41250</v>
      </c>
      <c r="P2136">
        <v>0</v>
      </c>
      <c r="Q2136">
        <v>11</v>
      </c>
      <c r="R2136" t="s">
        <v>41251</v>
      </c>
      <c r="S2136" t="s">
        <v>41369</v>
      </c>
      <c r="T2136" t="s">
        <v>42690</v>
      </c>
      <c r="U2136" t="s">
        <v>45043</v>
      </c>
      <c r="W2136" t="s">
        <v>38450</v>
      </c>
      <c r="X2136" t="s">
        <v>41252</v>
      </c>
    </row>
    <row r="2137" spans="1:24">
      <c r="A2137">
        <f>HYPERLINK("https://www.philgeps.gov.ph/GEPSNONPILOT/Tender/SplashBidNoticeAbstractUI.aspx?menuIndex=3&amp;refID=7078555&amp;Result=3","7078555")</f>
        <v>0</v>
      </c>
      <c r="B2137" t="s">
        <v>150</v>
      </c>
      <c r="C2137" t="s">
        <v>5213</v>
      </c>
      <c r="D2137" t="s">
        <v>16617</v>
      </c>
      <c r="E2137" t="s">
        <v>18674</v>
      </c>
      <c r="F2137" t="s">
        <v>28669</v>
      </c>
      <c r="G2137" t="s">
        <v>28676</v>
      </c>
      <c r="H2137" t="s">
        <v>9998</v>
      </c>
      <c r="I2137" t="s">
        <v>5213</v>
      </c>
      <c r="J2137" t="s">
        <v>29169</v>
      </c>
      <c r="K2137" t="s">
        <v>37206</v>
      </c>
      <c r="M2137" t="s">
        <v>37627</v>
      </c>
      <c r="N2137" t="s">
        <v>41249</v>
      </c>
      <c r="O2137" t="s">
        <v>41250</v>
      </c>
      <c r="P2137">
        <v>0</v>
      </c>
      <c r="Q2137">
        <v>0</v>
      </c>
      <c r="R2137" t="s">
        <v>41251</v>
      </c>
      <c r="S2137" t="s">
        <v>41369</v>
      </c>
      <c r="T2137" t="s">
        <v>42754</v>
      </c>
      <c r="U2137" t="s">
        <v>45044</v>
      </c>
      <c r="W2137" t="s">
        <v>37627</v>
      </c>
      <c r="X2137" t="s">
        <v>41252</v>
      </c>
    </row>
    <row r="2138" spans="1:24">
      <c r="A2138">
        <f>HYPERLINK("https://www.philgeps.gov.ph/GEPSNONPILOT/Tender/SplashBidNoticeAbstractUI.aspx?menuIndex=3&amp;refID=7078577&amp;Result=3","7078577")</f>
        <v>0</v>
      </c>
      <c r="B2138" t="s">
        <v>844</v>
      </c>
      <c r="C2138" t="s">
        <v>5425</v>
      </c>
      <c r="D2138" t="s">
        <v>16650</v>
      </c>
      <c r="E2138" t="s">
        <v>18675</v>
      </c>
      <c r="F2138" t="s">
        <v>28669</v>
      </c>
      <c r="G2138" t="s">
        <v>28675</v>
      </c>
      <c r="H2138" t="s">
        <v>28686</v>
      </c>
      <c r="I2138" t="s">
        <v>28689</v>
      </c>
      <c r="J2138" t="s">
        <v>30286</v>
      </c>
      <c r="K2138" t="s">
        <v>37311</v>
      </c>
      <c r="M2138" t="s">
        <v>38360</v>
      </c>
      <c r="N2138" t="s">
        <v>41249</v>
      </c>
      <c r="O2138" t="s">
        <v>41250</v>
      </c>
      <c r="P2138">
        <v>0</v>
      </c>
      <c r="Q2138">
        <v>0</v>
      </c>
      <c r="R2138" t="s">
        <v>41251</v>
      </c>
      <c r="S2138" t="s">
        <v>41369</v>
      </c>
      <c r="T2138" t="s">
        <v>42688</v>
      </c>
      <c r="U2138" t="s">
        <v>44857</v>
      </c>
      <c r="W2138" t="s">
        <v>38360</v>
      </c>
      <c r="X2138" t="s">
        <v>41252</v>
      </c>
    </row>
    <row r="2139" spans="1:24">
      <c r="A2139">
        <f>HYPERLINK("https://www.philgeps.gov.ph/GEPSNONPILOT/Tender/SplashBidNoticeAbstractUI.aspx?menuIndex=3&amp;refID=7078599&amp;Result=3","7078599")</f>
        <v>0</v>
      </c>
      <c r="B2139" t="s">
        <v>853</v>
      </c>
      <c r="C2139" t="s">
        <v>5426</v>
      </c>
      <c r="D2139" t="s">
        <v>16617</v>
      </c>
      <c r="E2139" t="s">
        <v>18503</v>
      </c>
      <c r="F2139" t="s">
        <v>28669</v>
      </c>
      <c r="G2139" t="s">
        <v>28675</v>
      </c>
      <c r="H2139" t="s">
        <v>28684</v>
      </c>
      <c r="I2139" t="s">
        <v>28779</v>
      </c>
      <c r="J2139" t="s">
        <v>30287</v>
      </c>
      <c r="K2139" t="s">
        <v>37213</v>
      </c>
      <c r="M2139" t="s">
        <v>38369</v>
      </c>
      <c r="N2139" t="s">
        <v>41249</v>
      </c>
      <c r="O2139" t="s">
        <v>41250</v>
      </c>
      <c r="P2139">
        <v>0</v>
      </c>
      <c r="Q2139">
        <v>0</v>
      </c>
      <c r="R2139" t="s">
        <v>41251</v>
      </c>
      <c r="S2139" t="s">
        <v>41369</v>
      </c>
      <c r="T2139" t="s">
        <v>42692</v>
      </c>
      <c r="U2139" t="s">
        <v>44874</v>
      </c>
      <c r="V2139" t="s">
        <v>54494</v>
      </c>
      <c r="W2139" t="s">
        <v>38369</v>
      </c>
      <c r="X2139" t="s">
        <v>41252</v>
      </c>
    </row>
    <row r="2140" spans="1:24">
      <c r="A2140">
        <f>HYPERLINK("https://www.philgeps.gov.ph/GEPSNONPILOT/Tender/SplashBidNoticeAbstractUI.aspx?menuIndex=3&amp;refID=7078553&amp;Result=3","7078553")</f>
        <v>0</v>
      </c>
      <c r="B2140" t="s">
        <v>849</v>
      </c>
      <c r="C2140" t="s">
        <v>4046</v>
      </c>
      <c r="D2140" t="s">
        <v>16626</v>
      </c>
      <c r="E2140" t="s">
        <v>18676</v>
      </c>
      <c r="F2140" t="s">
        <v>28669</v>
      </c>
      <c r="G2140" t="s">
        <v>28676</v>
      </c>
      <c r="H2140" t="s">
        <v>9998</v>
      </c>
      <c r="I2140" t="s">
        <v>28695</v>
      </c>
      <c r="J2140" t="s">
        <v>30288</v>
      </c>
      <c r="K2140" t="s">
        <v>37209</v>
      </c>
      <c r="M2140" t="s">
        <v>38365</v>
      </c>
      <c r="N2140" t="s">
        <v>41249</v>
      </c>
      <c r="O2140" t="s">
        <v>41250</v>
      </c>
      <c r="P2140">
        <v>0</v>
      </c>
      <c r="Q2140">
        <v>0</v>
      </c>
      <c r="R2140" t="s">
        <v>41251</v>
      </c>
      <c r="S2140" t="s">
        <v>41369</v>
      </c>
      <c r="T2140" t="s">
        <v>42679</v>
      </c>
      <c r="U2140" t="s">
        <v>45045</v>
      </c>
      <c r="W2140" t="s">
        <v>38365</v>
      </c>
      <c r="X2140" t="s">
        <v>41252</v>
      </c>
    </row>
    <row r="2141" spans="1:24">
      <c r="A2141">
        <f>HYPERLINK("https://www.philgeps.gov.ph/GEPSNONPILOT/Tender/SplashBidNoticeAbstractUI.aspx?menuIndex=3&amp;refID=7078573&amp;Result=3","7078573")</f>
        <v>0</v>
      </c>
      <c r="B2141" t="s">
        <v>844</v>
      </c>
      <c r="C2141" t="s">
        <v>5427</v>
      </c>
      <c r="D2141" t="s">
        <v>16650</v>
      </c>
      <c r="E2141" t="s">
        <v>18677</v>
      </c>
      <c r="F2141" t="s">
        <v>28669</v>
      </c>
      <c r="G2141" t="s">
        <v>28675</v>
      </c>
      <c r="H2141" t="s">
        <v>28686</v>
      </c>
      <c r="I2141" t="s">
        <v>28689</v>
      </c>
      <c r="J2141" t="s">
        <v>30289</v>
      </c>
      <c r="K2141" t="s">
        <v>37271</v>
      </c>
      <c r="M2141" t="s">
        <v>38360</v>
      </c>
      <c r="N2141" t="s">
        <v>41249</v>
      </c>
      <c r="O2141" t="s">
        <v>41250</v>
      </c>
      <c r="P2141">
        <v>0</v>
      </c>
      <c r="Q2141">
        <v>0</v>
      </c>
      <c r="R2141" t="s">
        <v>41251</v>
      </c>
      <c r="S2141" t="s">
        <v>41369</v>
      </c>
      <c r="T2141" t="s">
        <v>42688</v>
      </c>
      <c r="U2141" t="s">
        <v>44857</v>
      </c>
      <c r="W2141" t="s">
        <v>38360</v>
      </c>
      <c r="X2141" t="s">
        <v>41252</v>
      </c>
    </row>
    <row r="2142" spans="1:24">
      <c r="A2142">
        <f>HYPERLINK("https://www.philgeps.gov.ph/GEPSNONPILOT/Tender/SplashBidNoticeAbstractUI.aspx?menuIndex=3&amp;refID=7078576&amp;Result=3","7078576")</f>
        <v>0</v>
      </c>
      <c r="B2142" t="s">
        <v>929</v>
      </c>
      <c r="C2142" t="s">
        <v>5428</v>
      </c>
      <c r="D2142" t="s">
        <v>16630</v>
      </c>
      <c r="E2142" t="s">
        <v>18678</v>
      </c>
      <c r="F2142" t="s">
        <v>28669</v>
      </c>
      <c r="G2142" t="s">
        <v>28677</v>
      </c>
      <c r="H2142" t="s">
        <v>9998</v>
      </c>
      <c r="I2142" t="s">
        <v>6128</v>
      </c>
      <c r="J2142" t="s">
        <v>30290</v>
      </c>
      <c r="K2142" t="s">
        <v>37205</v>
      </c>
      <c r="M2142" t="s">
        <v>38451</v>
      </c>
      <c r="N2142" t="s">
        <v>41249</v>
      </c>
      <c r="O2142" t="s">
        <v>41250</v>
      </c>
      <c r="P2142">
        <v>0</v>
      </c>
      <c r="Q2142">
        <v>5</v>
      </c>
      <c r="R2142" t="s">
        <v>41251</v>
      </c>
      <c r="S2142" t="s">
        <v>41369</v>
      </c>
      <c r="T2142" t="s">
        <v>42714</v>
      </c>
      <c r="U2142" t="s">
        <v>45046</v>
      </c>
      <c r="V2142" t="s">
        <v>54522</v>
      </c>
      <c r="W2142" t="s">
        <v>38451</v>
      </c>
      <c r="X2142" t="s">
        <v>41252</v>
      </c>
    </row>
    <row r="2143" spans="1:24">
      <c r="A2143">
        <f>HYPERLINK("https://www.philgeps.gov.ph/GEPSNONPILOT/Tender/SplashBidNoticeAbstractUI.aspx?menuIndex=3&amp;refID=7069097&amp;Result=3","7069097")</f>
        <v>0</v>
      </c>
      <c r="B2143" t="s">
        <v>930</v>
      </c>
      <c r="C2143" t="s">
        <v>5429</v>
      </c>
      <c r="D2143" t="s">
        <v>16658</v>
      </c>
      <c r="E2143" t="s">
        <v>18679</v>
      </c>
      <c r="F2143" t="s">
        <v>28669</v>
      </c>
      <c r="G2143" t="s">
        <v>28675</v>
      </c>
      <c r="H2143" t="s">
        <v>28686</v>
      </c>
      <c r="I2143" t="s">
        <v>28689</v>
      </c>
      <c r="J2143" t="s">
        <v>30291</v>
      </c>
      <c r="K2143" t="s">
        <v>37291</v>
      </c>
      <c r="M2143" t="s">
        <v>38452</v>
      </c>
      <c r="N2143" t="s">
        <v>41249</v>
      </c>
      <c r="O2143" t="s">
        <v>41250</v>
      </c>
      <c r="P2143">
        <v>0</v>
      </c>
      <c r="Q2143">
        <v>1</v>
      </c>
      <c r="R2143" t="s">
        <v>41252</v>
      </c>
      <c r="S2143" t="s">
        <v>41383</v>
      </c>
      <c r="T2143" t="s">
        <v>42871</v>
      </c>
      <c r="U2143" t="s">
        <v>45047</v>
      </c>
      <c r="W2143" t="s">
        <v>38452</v>
      </c>
      <c r="X2143" t="s">
        <v>41258</v>
      </c>
    </row>
    <row r="2144" spans="1:24">
      <c r="A2144">
        <f>HYPERLINK("https://www.philgeps.gov.ph/GEPSNONPILOT/Tender/SplashBidNoticeAbstractUI.aspx?menuIndex=3&amp;refID=7069004&amp;Result=3","7069004")</f>
        <v>0</v>
      </c>
      <c r="B2144" t="s">
        <v>930</v>
      </c>
      <c r="C2144" t="s">
        <v>5430</v>
      </c>
      <c r="D2144" t="s">
        <v>16658</v>
      </c>
      <c r="E2144" t="s">
        <v>18680</v>
      </c>
      <c r="F2144" t="s">
        <v>28669</v>
      </c>
      <c r="G2144" t="s">
        <v>28675</v>
      </c>
      <c r="H2144" t="s">
        <v>28686</v>
      </c>
      <c r="I2144" t="s">
        <v>28689</v>
      </c>
      <c r="J2144" t="s">
        <v>30292</v>
      </c>
      <c r="K2144" t="s">
        <v>37206</v>
      </c>
      <c r="M2144" t="s">
        <v>38452</v>
      </c>
      <c r="N2144" t="s">
        <v>41249</v>
      </c>
      <c r="O2144" t="s">
        <v>41250</v>
      </c>
      <c r="P2144">
        <v>0</v>
      </c>
      <c r="Q2144">
        <v>1</v>
      </c>
      <c r="R2144" t="s">
        <v>41252</v>
      </c>
      <c r="S2144" t="s">
        <v>41383</v>
      </c>
      <c r="T2144" t="s">
        <v>42871</v>
      </c>
      <c r="U2144" t="s">
        <v>45048</v>
      </c>
      <c r="W2144" t="s">
        <v>38452</v>
      </c>
      <c r="X2144" t="s">
        <v>41258</v>
      </c>
    </row>
    <row r="2145" spans="1:24">
      <c r="A2145">
        <f>HYPERLINK("https://www.philgeps.gov.ph/GEPSNONPILOT/Tender/SplashBidNoticeAbstractUI.aspx?menuIndex=3&amp;refID=7078551&amp;Result=3","7078551")</f>
        <v>0</v>
      </c>
      <c r="B2145" t="s">
        <v>859</v>
      </c>
      <c r="C2145" t="s">
        <v>5431</v>
      </c>
      <c r="D2145" t="s">
        <v>16660</v>
      </c>
      <c r="E2145" t="s">
        <v>18507</v>
      </c>
      <c r="F2145" t="s">
        <v>28669</v>
      </c>
      <c r="G2145" t="s">
        <v>28677</v>
      </c>
      <c r="H2145" t="s">
        <v>9998</v>
      </c>
      <c r="I2145" t="s">
        <v>5213</v>
      </c>
      <c r="J2145" t="s">
        <v>30293</v>
      </c>
      <c r="K2145" t="s">
        <v>37209</v>
      </c>
      <c r="M2145" t="s">
        <v>38376</v>
      </c>
      <c r="N2145" t="s">
        <v>41249</v>
      </c>
      <c r="O2145" t="s">
        <v>41250</v>
      </c>
      <c r="P2145">
        <v>0</v>
      </c>
      <c r="Q2145">
        <v>1</v>
      </c>
      <c r="R2145" t="s">
        <v>41251</v>
      </c>
      <c r="S2145" t="s">
        <v>41369</v>
      </c>
      <c r="T2145" t="s">
        <v>42682</v>
      </c>
      <c r="U2145" t="s">
        <v>45049</v>
      </c>
      <c r="W2145" t="s">
        <v>38376</v>
      </c>
      <c r="X2145" t="s">
        <v>41252</v>
      </c>
    </row>
    <row r="2146" spans="1:24">
      <c r="A2146">
        <f>HYPERLINK("https://www.philgeps.gov.ph/GEPSNONPILOT/Tender/SplashBidNoticeAbstractUI.aspx?menuIndex=3&amp;refID=7068418&amp;Result=3","7068418")</f>
        <v>0</v>
      </c>
      <c r="B2146" t="s">
        <v>931</v>
      </c>
      <c r="C2146" t="s">
        <v>5432</v>
      </c>
      <c r="D2146" t="s">
        <v>16608</v>
      </c>
      <c r="E2146" t="s">
        <v>18681</v>
      </c>
      <c r="F2146" t="s">
        <v>28669</v>
      </c>
      <c r="G2146" t="s">
        <v>28676</v>
      </c>
      <c r="H2146" t="s">
        <v>9998</v>
      </c>
      <c r="I2146" t="s">
        <v>6128</v>
      </c>
      <c r="J2146" t="s">
        <v>29060</v>
      </c>
      <c r="K2146" t="s">
        <v>37243</v>
      </c>
      <c r="M2146" t="s">
        <v>38453</v>
      </c>
      <c r="N2146" t="s">
        <v>41249</v>
      </c>
      <c r="O2146" t="s">
        <v>41250</v>
      </c>
      <c r="P2146">
        <v>0</v>
      </c>
      <c r="Q2146">
        <v>4</v>
      </c>
      <c r="R2146" t="s">
        <v>41252</v>
      </c>
      <c r="S2146" t="s">
        <v>41383</v>
      </c>
      <c r="T2146" t="s">
        <v>42736</v>
      </c>
      <c r="U2146" t="s">
        <v>45050</v>
      </c>
      <c r="V2146" t="s">
        <v>54523</v>
      </c>
      <c r="W2146" t="s">
        <v>38453</v>
      </c>
      <c r="X2146" t="s">
        <v>41258</v>
      </c>
    </row>
    <row r="2147" spans="1:24">
      <c r="A2147">
        <f>HYPERLINK("https://www.philgeps.gov.ph/GEPSNONPILOT/Tender/SplashBidNoticeAbstractUI.aspx?menuIndex=3&amp;refID=7068346&amp;Result=3","7068346")</f>
        <v>0</v>
      </c>
      <c r="B2147" t="s">
        <v>59</v>
      </c>
      <c r="C2147" t="s">
        <v>5433</v>
      </c>
      <c r="D2147" t="s">
        <v>16636</v>
      </c>
      <c r="E2147" t="s">
        <v>18682</v>
      </c>
      <c r="F2147" t="s">
        <v>28669</v>
      </c>
      <c r="G2147" t="s">
        <v>28676</v>
      </c>
      <c r="H2147" t="s">
        <v>9998</v>
      </c>
      <c r="I2147" t="s">
        <v>28712</v>
      </c>
      <c r="J2147" t="s">
        <v>28894</v>
      </c>
      <c r="K2147" t="s">
        <v>37209</v>
      </c>
      <c r="M2147" t="s">
        <v>37534</v>
      </c>
      <c r="N2147" t="s">
        <v>41249</v>
      </c>
      <c r="O2147" t="s">
        <v>41250</v>
      </c>
      <c r="P2147">
        <v>0</v>
      </c>
      <c r="Q2147">
        <v>2</v>
      </c>
      <c r="R2147" t="s">
        <v>41252</v>
      </c>
      <c r="S2147" t="s">
        <v>41383</v>
      </c>
      <c r="T2147" t="s">
        <v>42758</v>
      </c>
      <c r="U2147" t="s">
        <v>45051</v>
      </c>
      <c r="W2147" t="s">
        <v>37534</v>
      </c>
      <c r="X2147" t="s">
        <v>41258</v>
      </c>
    </row>
    <row r="2148" spans="1:24">
      <c r="A2148">
        <f>HYPERLINK("https://www.philgeps.gov.ph/GEPSNONPILOT/Tender/SplashBidNoticeAbstractUI.aspx?menuIndex=3&amp;refID=7068320&amp;Result=3","7068320")</f>
        <v>0</v>
      </c>
      <c r="B2148" t="s">
        <v>932</v>
      </c>
      <c r="C2148" t="s">
        <v>5434</v>
      </c>
      <c r="D2148" t="s">
        <v>16683</v>
      </c>
      <c r="E2148" t="s">
        <v>16820</v>
      </c>
      <c r="F2148" t="s">
        <v>28669</v>
      </c>
      <c r="G2148" t="s">
        <v>28675</v>
      </c>
      <c r="H2148" t="s">
        <v>28686</v>
      </c>
      <c r="I2148" t="s">
        <v>28689</v>
      </c>
      <c r="J2148" t="s">
        <v>30294</v>
      </c>
      <c r="K2148" t="s">
        <v>37312</v>
      </c>
      <c r="M2148" t="s">
        <v>38454</v>
      </c>
      <c r="N2148" t="s">
        <v>41249</v>
      </c>
      <c r="O2148" t="s">
        <v>41250</v>
      </c>
      <c r="P2148">
        <v>0</v>
      </c>
      <c r="Q2148">
        <v>0</v>
      </c>
      <c r="R2148" t="s">
        <v>41252</v>
      </c>
      <c r="S2148" t="s">
        <v>41383</v>
      </c>
      <c r="T2148" t="s">
        <v>42686</v>
      </c>
      <c r="U2148" t="s">
        <v>45052</v>
      </c>
      <c r="W2148" t="s">
        <v>38454</v>
      </c>
      <c r="X2148" t="s">
        <v>41258</v>
      </c>
    </row>
    <row r="2149" spans="1:24">
      <c r="A2149">
        <f>HYPERLINK("https://www.philgeps.gov.ph/GEPSNONPILOT/Tender/SplashBidNoticeAbstractUI.aspx?menuIndex=3&amp;refID=7068215&amp;Result=3","7068215")</f>
        <v>0</v>
      </c>
      <c r="B2149" t="s">
        <v>933</v>
      </c>
      <c r="C2149" t="s">
        <v>5435</v>
      </c>
      <c r="D2149" t="s">
        <v>16616</v>
      </c>
      <c r="E2149" t="s">
        <v>18683</v>
      </c>
      <c r="F2149" t="s">
        <v>28669</v>
      </c>
      <c r="G2149" t="s">
        <v>28676</v>
      </c>
      <c r="H2149" t="s">
        <v>9998</v>
      </c>
      <c r="I2149" t="s">
        <v>3718</v>
      </c>
      <c r="J2149" t="s">
        <v>30295</v>
      </c>
      <c r="K2149" t="s">
        <v>37210</v>
      </c>
      <c r="M2149" t="s">
        <v>38455</v>
      </c>
      <c r="N2149" t="s">
        <v>41249</v>
      </c>
      <c r="O2149" t="s">
        <v>41250</v>
      </c>
      <c r="P2149">
        <v>0</v>
      </c>
      <c r="Q2149">
        <v>1</v>
      </c>
      <c r="R2149" t="s">
        <v>41252</v>
      </c>
      <c r="S2149" t="s">
        <v>41383</v>
      </c>
      <c r="T2149" t="s">
        <v>42743</v>
      </c>
      <c r="U2149" t="s">
        <v>45053</v>
      </c>
      <c r="W2149" t="s">
        <v>38455</v>
      </c>
      <c r="X2149" t="s">
        <v>41258</v>
      </c>
    </row>
    <row r="2150" spans="1:24">
      <c r="A2150">
        <f>HYPERLINK("https://www.philgeps.gov.ph/GEPSNONPILOT/Tender/SplashBidNoticeAbstractUI.aspx?menuIndex=3&amp;refID=7068073&amp;Result=3","7068073")</f>
        <v>0</v>
      </c>
      <c r="B2150" t="s">
        <v>42</v>
      </c>
      <c r="C2150" t="s">
        <v>5436</v>
      </c>
      <c r="D2150" t="s">
        <v>16623</v>
      </c>
      <c r="E2150" t="s">
        <v>17761</v>
      </c>
      <c r="F2150" t="s">
        <v>28669</v>
      </c>
      <c r="G2150" t="s">
        <v>28675</v>
      </c>
      <c r="H2150" t="s">
        <v>28686</v>
      </c>
      <c r="I2150" t="s">
        <v>28689</v>
      </c>
      <c r="J2150" t="s">
        <v>30296</v>
      </c>
      <c r="K2150" t="s">
        <v>37214</v>
      </c>
      <c r="M2150" t="s">
        <v>37517</v>
      </c>
      <c r="N2150" t="s">
        <v>41249</v>
      </c>
      <c r="O2150" t="s">
        <v>41250</v>
      </c>
      <c r="P2150">
        <v>0</v>
      </c>
      <c r="Q2150">
        <v>1</v>
      </c>
      <c r="R2150" t="s">
        <v>41252</v>
      </c>
      <c r="S2150" t="s">
        <v>41383</v>
      </c>
      <c r="T2150" t="s">
        <v>42722</v>
      </c>
      <c r="U2150" t="s">
        <v>45054</v>
      </c>
      <c r="W2150" t="s">
        <v>37517</v>
      </c>
      <c r="X2150" t="s">
        <v>41258</v>
      </c>
    </row>
    <row r="2151" spans="1:24">
      <c r="A2151">
        <f>HYPERLINK("https://www.philgeps.gov.ph/GEPSNONPILOT/Tender/SplashBidNoticeAbstractUI.aspx?menuIndex=3&amp;refID=7067997&amp;Result=3","7067997")</f>
        <v>0</v>
      </c>
      <c r="B2151" t="s">
        <v>909</v>
      </c>
      <c r="C2151" t="s">
        <v>5437</v>
      </c>
      <c r="D2151" t="s">
        <v>16662</v>
      </c>
      <c r="E2151" t="s">
        <v>18684</v>
      </c>
      <c r="F2151" t="s">
        <v>28669</v>
      </c>
      <c r="G2151" t="s">
        <v>28675</v>
      </c>
      <c r="H2151" t="s">
        <v>9998</v>
      </c>
      <c r="I2151" t="s">
        <v>28699</v>
      </c>
      <c r="J2151" t="s">
        <v>29308</v>
      </c>
      <c r="K2151" t="s">
        <v>37206</v>
      </c>
      <c r="M2151" t="s">
        <v>38431</v>
      </c>
      <c r="N2151" t="s">
        <v>41249</v>
      </c>
      <c r="O2151" t="s">
        <v>41250</v>
      </c>
      <c r="P2151">
        <v>0</v>
      </c>
      <c r="Q2151">
        <v>0</v>
      </c>
      <c r="R2151" t="s">
        <v>41252</v>
      </c>
      <c r="S2151" t="s">
        <v>41383</v>
      </c>
      <c r="T2151" t="s">
        <v>42688</v>
      </c>
      <c r="U2151" t="s">
        <v>45055</v>
      </c>
      <c r="W2151" t="s">
        <v>38431</v>
      </c>
      <c r="X2151" t="s">
        <v>41258</v>
      </c>
    </row>
    <row r="2152" spans="1:24">
      <c r="A2152">
        <f>HYPERLINK("https://www.philgeps.gov.ph/GEPSNONPILOT/Tender/SplashBidNoticeAbstractUI.aspx?menuIndex=3&amp;refID=7068334&amp;Result=3","7068334")</f>
        <v>0</v>
      </c>
      <c r="B2152" t="s">
        <v>934</v>
      </c>
      <c r="C2152" t="s">
        <v>5438</v>
      </c>
      <c r="D2152" t="s">
        <v>16608</v>
      </c>
      <c r="E2152" t="s">
        <v>18685</v>
      </c>
      <c r="F2152" t="s">
        <v>28669</v>
      </c>
      <c r="G2152" t="s">
        <v>28675</v>
      </c>
      <c r="H2152" t="s">
        <v>9998</v>
      </c>
      <c r="I2152" t="s">
        <v>10128</v>
      </c>
      <c r="J2152" t="s">
        <v>30297</v>
      </c>
      <c r="K2152" t="s">
        <v>37206</v>
      </c>
      <c r="M2152" t="s">
        <v>38456</v>
      </c>
      <c r="N2152" t="s">
        <v>41249</v>
      </c>
      <c r="O2152" t="s">
        <v>41250</v>
      </c>
      <c r="Q2152">
        <v>2</v>
      </c>
      <c r="R2152" t="s">
        <v>41252</v>
      </c>
      <c r="S2152" t="s">
        <v>41385</v>
      </c>
      <c r="T2152" t="s">
        <v>42732</v>
      </c>
      <c r="U2152" t="s">
        <v>45056</v>
      </c>
      <c r="W2152" t="s">
        <v>38456</v>
      </c>
      <c r="X2152" t="s">
        <v>41258</v>
      </c>
    </row>
    <row r="2153" spans="1:24">
      <c r="A2153">
        <f>HYPERLINK("https://www.philgeps.gov.ph/GEPSNONPILOT/Tender/SplashBidNoticeAbstractUI.aspx?menuIndex=3&amp;refID=7068207&amp;Result=3","7068207")</f>
        <v>0</v>
      </c>
      <c r="B2153" t="s">
        <v>909</v>
      </c>
      <c r="C2153" t="s">
        <v>5439</v>
      </c>
      <c r="D2153" t="s">
        <v>16662</v>
      </c>
      <c r="E2153" t="s">
        <v>18684</v>
      </c>
      <c r="F2153" t="s">
        <v>28669</v>
      </c>
      <c r="G2153" t="s">
        <v>28675</v>
      </c>
      <c r="H2153" t="s">
        <v>9998</v>
      </c>
      <c r="I2153" t="s">
        <v>28769</v>
      </c>
      <c r="J2153" t="s">
        <v>29281</v>
      </c>
      <c r="K2153" t="s">
        <v>37206</v>
      </c>
      <c r="M2153" t="s">
        <v>38431</v>
      </c>
      <c r="N2153" t="s">
        <v>41249</v>
      </c>
      <c r="O2153" t="s">
        <v>41250</v>
      </c>
      <c r="P2153">
        <v>0</v>
      </c>
      <c r="Q2153">
        <v>0</v>
      </c>
      <c r="R2153" t="s">
        <v>41252</v>
      </c>
      <c r="S2153" t="s">
        <v>41383</v>
      </c>
      <c r="T2153" t="s">
        <v>42688</v>
      </c>
      <c r="U2153" t="s">
        <v>45055</v>
      </c>
      <c r="W2153" t="s">
        <v>38431</v>
      </c>
      <c r="X2153" t="s">
        <v>41258</v>
      </c>
    </row>
    <row r="2154" spans="1:24">
      <c r="A2154">
        <f>HYPERLINK("https://www.philgeps.gov.ph/GEPSNONPILOT/Tender/SplashBidNoticeAbstractUI.aspx?menuIndex=3&amp;refID=7078552&amp;Result=3","7078552")</f>
        <v>0</v>
      </c>
      <c r="B2154" t="s">
        <v>823</v>
      </c>
      <c r="C2154" t="s">
        <v>5440</v>
      </c>
      <c r="D2154" t="s">
        <v>16626</v>
      </c>
      <c r="E2154" t="s">
        <v>18686</v>
      </c>
      <c r="F2154" t="s">
        <v>28669</v>
      </c>
      <c r="G2154" t="s">
        <v>28675</v>
      </c>
      <c r="H2154" t="s">
        <v>9998</v>
      </c>
      <c r="I2154" t="s">
        <v>7352</v>
      </c>
      <c r="J2154" t="s">
        <v>29825</v>
      </c>
      <c r="K2154" t="s">
        <v>37234</v>
      </c>
      <c r="M2154" t="s">
        <v>38339</v>
      </c>
      <c r="N2154" t="s">
        <v>41249</v>
      </c>
      <c r="O2154" t="s">
        <v>41250</v>
      </c>
      <c r="P2154">
        <v>0</v>
      </c>
      <c r="Q2154">
        <v>0</v>
      </c>
      <c r="R2154" t="s">
        <v>41251</v>
      </c>
      <c r="S2154" t="s">
        <v>41369</v>
      </c>
      <c r="T2154" t="s">
        <v>42696</v>
      </c>
      <c r="U2154" t="s">
        <v>45057</v>
      </c>
      <c r="W2154" t="s">
        <v>38339</v>
      </c>
      <c r="X2154" t="s">
        <v>41252</v>
      </c>
    </row>
    <row r="2155" spans="1:24">
      <c r="A2155">
        <f>HYPERLINK("https://www.philgeps.gov.ph/GEPSNONPILOT/Tender/SplashBidNoticeAbstractUI.aspx?menuIndex=3&amp;refID=7070326&amp;Result=3","7070326")</f>
        <v>0</v>
      </c>
      <c r="B2155" t="s">
        <v>44</v>
      </c>
      <c r="C2155" t="s">
        <v>5441</v>
      </c>
      <c r="D2155" t="s">
        <v>16625</v>
      </c>
      <c r="E2155" t="s">
        <v>18687</v>
      </c>
      <c r="F2155" t="s">
        <v>28669</v>
      </c>
      <c r="G2155" t="s">
        <v>28675</v>
      </c>
      <c r="H2155" t="s">
        <v>9998</v>
      </c>
      <c r="I2155" t="s">
        <v>28773</v>
      </c>
      <c r="J2155" t="s">
        <v>30298</v>
      </c>
      <c r="K2155" t="s">
        <v>37210</v>
      </c>
      <c r="M2155" t="s">
        <v>38457</v>
      </c>
      <c r="N2155" t="s">
        <v>41249</v>
      </c>
      <c r="O2155" t="s">
        <v>41250</v>
      </c>
      <c r="P2155">
        <v>0</v>
      </c>
      <c r="Q2155">
        <v>1</v>
      </c>
      <c r="R2155" t="s">
        <v>41252</v>
      </c>
      <c r="S2155" t="s">
        <v>41383</v>
      </c>
      <c r="T2155" t="s">
        <v>42678</v>
      </c>
      <c r="U2155" t="s">
        <v>45058</v>
      </c>
      <c r="V2155" t="s">
        <v>54257</v>
      </c>
      <c r="W2155" t="s">
        <v>38457</v>
      </c>
      <c r="X2155" t="s">
        <v>41257</v>
      </c>
    </row>
    <row r="2156" spans="1:24">
      <c r="A2156">
        <f>HYPERLINK("https://www.philgeps.gov.ph/GEPSNONPILOT/Tender/SplashBidNoticeAbstractUI.aspx?menuIndex=3&amp;refID=7070022&amp;Result=3","7070022")</f>
        <v>0</v>
      </c>
      <c r="B2156" t="s">
        <v>909</v>
      </c>
      <c r="C2156" t="s">
        <v>5442</v>
      </c>
      <c r="D2156" t="s">
        <v>16662</v>
      </c>
      <c r="E2156" t="s">
        <v>18688</v>
      </c>
      <c r="F2156" t="s">
        <v>28669</v>
      </c>
      <c r="G2156" t="s">
        <v>28675</v>
      </c>
      <c r="H2156" t="s">
        <v>9998</v>
      </c>
      <c r="I2156" t="s">
        <v>28704</v>
      </c>
      <c r="J2156" t="s">
        <v>30299</v>
      </c>
      <c r="K2156" t="s">
        <v>37206</v>
      </c>
      <c r="M2156" t="s">
        <v>38431</v>
      </c>
      <c r="N2156" t="s">
        <v>41249</v>
      </c>
      <c r="O2156" t="s">
        <v>41250</v>
      </c>
      <c r="P2156">
        <v>0</v>
      </c>
      <c r="Q2156">
        <v>0</v>
      </c>
      <c r="R2156" t="s">
        <v>41252</v>
      </c>
      <c r="S2156" t="s">
        <v>41383</v>
      </c>
      <c r="T2156" t="s">
        <v>42688</v>
      </c>
      <c r="U2156" t="s">
        <v>45059</v>
      </c>
      <c r="W2156" t="s">
        <v>38431</v>
      </c>
      <c r="X2156" t="s">
        <v>41258</v>
      </c>
    </row>
    <row r="2157" spans="1:24">
      <c r="A2157">
        <f>HYPERLINK("https://www.philgeps.gov.ph/GEPSNONPILOT/Tender/SplashBidNoticeAbstractUI.aspx?menuIndex=3&amp;refID=7069103&amp;Result=3","7069103")</f>
        <v>0</v>
      </c>
      <c r="B2157" t="s">
        <v>935</v>
      </c>
      <c r="C2157" t="s">
        <v>5443</v>
      </c>
      <c r="D2157" t="s">
        <v>16631</v>
      </c>
      <c r="E2157" t="s">
        <v>18689</v>
      </c>
      <c r="F2157" t="s">
        <v>28669</v>
      </c>
      <c r="G2157" t="s">
        <v>28677</v>
      </c>
      <c r="H2157" t="s">
        <v>9998</v>
      </c>
      <c r="I2157" t="s">
        <v>28783</v>
      </c>
      <c r="J2157" t="s">
        <v>29088</v>
      </c>
      <c r="K2157" t="s">
        <v>37206</v>
      </c>
      <c r="M2157" t="s">
        <v>38458</v>
      </c>
      <c r="N2157" t="s">
        <v>41249</v>
      </c>
      <c r="O2157" t="s">
        <v>41250</v>
      </c>
      <c r="P2157">
        <v>0</v>
      </c>
      <c r="Q2157">
        <v>0</v>
      </c>
      <c r="R2157" t="s">
        <v>41252</v>
      </c>
      <c r="S2157" t="s">
        <v>41383</v>
      </c>
      <c r="T2157" t="s">
        <v>42676</v>
      </c>
      <c r="U2157" t="s">
        <v>45060</v>
      </c>
      <c r="W2157" t="s">
        <v>38458</v>
      </c>
      <c r="X2157" t="s">
        <v>41258</v>
      </c>
    </row>
    <row r="2158" spans="1:24">
      <c r="A2158">
        <f>HYPERLINK("https://www.philgeps.gov.ph/GEPSNONPILOT/Tender/SplashBidNoticeAbstractUI.aspx?menuIndex=3&amp;refID=7070332&amp;Result=3","7070332")</f>
        <v>0</v>
      </c>
      <c r="B2158" t="s">
        <v>44</v>
      </c>
      <c r="C2158" t="s">
        <v>5444</v>
      </c>
      <c r="D2158" t="s">
        <v>16625</v>
      </c>
      <c r="E2158" t="s">
        <v>18690</v>
      </c>
      <c r="F2158" t="s">
        <v>28669</v>
      </c>
      <c r="G2158" t="s">
        <v>28675</v>
      </c>
      <c r="H2158" t="s">
        <v>9998</v>
      </c>
      <c r="I2158" t="s">
        <v>28699</v>
      </c>
      <c r="J2158" t="s">
        <v>30300</v>
      </c>
      <c r="K2158" t="s">
        <v>37205</v>
      </c>
      <c r="M2158" t="s">
        <v>38457</v>
      </c>
      <c r="N2158" t="s">
        <v>41249</v>
      </c>
      <c r="O2158" t="s">
        <v>41250</v>
      </c>
      <c r="P2158">
        <v>0</v>
      </c>
      <c r="Q2158">
        <v>0</v>
      </c>
      <c r="R2158" t="s">
        <v>41252</v>
      </c>
      <c r="S2158" t="s">
        <v>41383</v>
      </c>
      <c r="T2158" t="s">
        <v>42678</v>
      </c>
      <c r="U2158" t="s">
        <v>45061</v>
      </c>
      <c r="V2158" t="s">
        <v>54257</v>
      </c>
      <c r="W2158" t="s">
        <v>38457</v>
      </c>
      <c r="X2158" t="s">
        <v>41257</v>
      </c>
    </row>
    <row r="2159" spans="1:24">
      <c r="A2159">
        <f>HYPERLINK("https://www.philgeps.gov.ph/GEPSNONPILOT/Tender/SplashBidNoticeAbstractUI.aspx?menuIndex=3&amp;refID=7070012&amp;Result=3","7070012")</f>
        <v>0</v>
      </c>
      <c r="B2159" t="s">
        <v>909</v>
      </c>
      <c r="C2159" t="s">
        <v>5445</v>
      </c>
      <c r="D2159" t="s">
        <v>16662</v>
      </c>
      <c r="E2159" t="s">
        <v>18691</v>
      </c>
      <c r="F2159" t="s">
        <v>28669</v>
      </c>
      <c r="G2159" t="s">
        <v>28675</v>
      </c>
      <c r="H2159" t="s">
        <v>9998</v>
      </c>
      <c r="I2159" t="s">
        <v>11593</v>
      </c>
      <c r="J2159" t="s">
        <v>29110</v>
      </c>
      <c r="K2159" t="s">
        <v>37206</v>
      </c>
      <c r="M2159" t="s">
        <v>38431</v>
      </c>
      <c r="N2159" t="s">
        <v>41249</v>
      </c>
      <c r="O2159" t="s">
        <v>41250</v>
      </c>
      <c r="P2159">
        <v>0</v>
      </c>
      <c r="Q2159">
        <v>0</v>
      </c>
      <c r="R2159" t="s">
        <v>41252</v>
      </c>
      <c r="S2159" t="s">
        <v>41383</v>
      </c>
      <c r="T2159" t="s">
        <v>42688</v>
      </c>
      <c r="U2159" t="s">
        <v>45055</v>
      </c>
      <c r="W2159" t="s">
        <v>38431</v>
      </c>
      <c r="X2159" t="s">
        <v>41258</v>
      </c>
    </row>
    <row r="2160" spans="1:24">
      <c r="A2160">
        <f>HYPERLINK("https://www.philgeps.gov.ph/GEPSNONPILOT/Tender/SplashBidNoticeAbstractUI.aspx?menuIndex=3&amp;refID=7069987&amp;Result=3","7069987")</f>
        <v>0</v>
      </c>
      <c r="B2160" t="s">
        <v>936</v>
      </c>
      <c r="C2160" t="s">
        <v>5446</v>
      </c>
      <c r="D2160" t="s">
        <v>16640</v>
      </c>
      <c r="E2160" t="s">
        <v>18692</v>
      </c>
      <c r="F2160" t="s">
        <v>28669</v>
      </c>
      <c r="G2160" t="s">
        <v>28676</v>
      </c>
      <c r="H2160" t="s">
        <v>9998</v>
      </c>
      <c r="I2160" t="s">
        <v>28729</v>
      </c>
      <c r="J2160" t="s">
        <v>30301</v>
      </c>
      <c r="K2160" t="s">
        <v>37216</v>
      </c>
      <c r="M2160" t="s">
        <v>38459</v>
      </c>
      <c r="N2160" t="s">
        <v>41249</v>
      </c>
      <c r="O2160" t="s">
        <v>41250</v>
      </c>
      <c r="P2160">
        <v>0</v>
      </c>
      <c r="Q2160">
        <v>3</v>
      </c>
      <c r="R2160" t="s">
        <v>41252</v>
      </c>
      <c r="S2160" t="s">
        <v>41383</v>
      </c>
      <c r="T2160" t="s">
        <v>42736</v>
      </c>
      <c r="U2160" t="s">
        <v>45062</v>
      </c>
      <c r="W2160" t="s">
        <v>38459</v>
      </c>
      <c r="X2160" t="s">
        <v>41258</v>
      </c>
    </row>
    <row r="2161" spans="1:24">
      <c r="A2161">
        <f>HYPERLINK("https://www.philgeps.gov.ph/GEPSNONPILOT/Tender/SplashBidNoticeAbstractUI.aspx?menuIndex=3&amp;refID=7069976&amp;Result=3","7069976")</f>
        <v>0</v>
      </c>
      <c r="B2161" t="s">
        <v>936</v>
      </c>
      <c r="C2161" t="s">
        <v>5447</v>
      </c>
      <c r="D2161" t="s">
        <v>16640</v>
      </c>
      <c r="E2161" t="s">
        <v>18693</v>
      </c>
      <c r="F2161" t="s">
        <v>28669</v>
      </c>
      <c r="G2161" t="s">
        <v>28676</v>
      </c>
      <c r="H2161" t="s">
        <v>9998</v>
      </c>
      <c r="I2161" t="s">
        <v>28729</v>
      </c>
      <c r="J2161" t="s">
        <v>30302</v>
      </c>
      <c r="K2161" t="s">
        <v>37229</v>
      </c>
      <c r="M2161" t="s">
        <v>38459</v>
      </c>
      <c r="N2161" t="s">
        <v>41249</v>
      </c>
      <c r="O2161" t="s">
        <v>41250</v>
      </c>
      <c r="P2161">
        <v>0</v>
      </c>
      <c r="Q2161">
        <v>2</v>
      </c>
      <c r="R2161" t="s">
        <v>41252</v>
      </c>
      <c r="S2161" t="s">
        <v>41383</v>
      </c>
      <c r="T2161" t="s">
        <v>42736</v>
      </c>
      <c r="U2161" t="s">
        <v>45063</v>
      </c>
      <c r="W2161" t="s">
        <v>38459</v>
      </c>
      <c r="X2161" t="s">
        <v>41258</v>
      </c>
    </row>
    <row r="2162" spans="1:24">
      <c r="A2162">
        <f>HYPERLINK("https://www.philgeps.gov.ph/GEPSNONPILOT/Tender/SplashBidNoticeAbstractUI.aspx?menuIndex=3&amp;refID=7078554&amp;Result=3","7078554")</f>
        <v>0</v>
      </c>
      <c r="B2162" t="s">
        <v>856</v>
      </c>
      <c r="C2162" t="s">
        <v>5448</v>
      </c>
      <c r="D2162" t="s">
        <v>16675</v>
      </c>
      <c r="E2162" t="s">
        <v>18694</v>
      </c>
      <c r="F2162" t="s">
        <v>28669</v>
      </c>
      <c r="G2162" t="s">
        <v>28676</v>
      </c>
      <c r="H2162" t="s">
        <v>28686</v>
      </c>
      <c r="I2162" t="s">
        <v>28689</v>
      </c>
      <c r="J2162" t="s">
        <v>29033</v>
      </c>
      <c r="K2162" t="s">
        <v>37215</v>
      </c>
      <c r="M2162" t="s">
        <v>38372</v>
      </c>
      <c r="N2162" t="s">
        <v>41249</v>
      </c>
      <c r="O2162" t="s">
        <v>41250</v>
      </c>
      <c r="P2162">
        <v>0</v>
      </c>
      <c r="Q2162">
        <v>0</v>
      </c>
      <c r="R2162" t="s">
        <v>41251</v>
      </c>
      <c r="S2162" t="s">
        <v>41369</v>
      </c>
      <c r="T2162" t="s">
        <v>42711</v>
      </c>
      <c r="U2162" t="s">
        <v>45064</v>
      </c>
      <c r="W2162" t="s">
        <v>38372</v>
      </c>
      <c r="X2162" t="s">
        <v>41252</v>
      </c>
    </row>
    <row r="2163" spans="1:24">
      <c r="A2163">
        <f>HYPERLINK("https://www.philgeps.gov.ph/GEPSNONPILOT/Tender/SplashBidNoticeAbstractUI.aspx?menuIndex=3&amp;refID=7069973&amp;Result=3","7069973")</f>
        <v>0</v>
      </c>
      <c r="B2163" t="s">
        <v>936</v>
      </c>
      <c r="C2163" t="s">
        <v>5449</v>
      </c>
      <c r="D2163" t="s">
        <v>16640</v>
      </c>
      <c r="E2163" t="s">
        <v>18695</v>
      </c>
      <c r="F2163" t="s">
        <v>28669</v>
      </c>
      <c r="G2163" t="s">
        <v>28676</v>
      </c>
      <c r="H2163" t="s">
        <v>9998</v>
      </c>
      <c r="I2163" t="s">
        <v>5213</v>
      </c>
      <c r="J2163" t="s">
        <v>30303</v>
      </c>
      <c r="K2163" t="s">
        <v>37216</v>
      </c>
      <c r="M2163" t="s">
        <v>38459</v>
      </c>
      <c r="N2163" t="s">
        <v>41249</v>
      </c>
      <c r="O2163" t="s">
        <v>41250</v>
      </c>
      <c r="P2163">
        <v>0</v>
      </c>
      <c r="Q2163">
        <v>1</v>
      </c>
      <c r="R2163" t="s">
        <v>41252</v>
      </c>
      <c r="S2163" t="s">
        <v>41383</v>
      </c>
      <c r="T2163" t="s">
        <v>42736</v>
      </c>
      <c r="U2163" t="s">
        <v>45065</v>
      </c>
      <c r="W2163" t="s">
        <v>38459</v>
      </c>
      <c r="X2163" t="s">
        <v>41258</v>
      </c>
    </row>
    <row r="2164" spans="1:24">
      <c r="A2164">
        <f>HYPERLINK("https://www.philgeps.gov.ph/GEPSNONPILOT/Tender/SplashBidNoticeAbstractUI.aspx?menuIndex=3&amp;refID=7078578&amp;Result=3","7078578")</f>
        <v>0</v>
      </c>
      <c r="B2164" t="s">
        <v>844</v>
      </c>
      <c r="C2164" t="s">
        <v>5450</v>
      </c>
      <c r="D2164" t="s">
        <v>16650</v>
      </c>
      <c r="E2164" t="s">
        <v>18696</v>
      </c>
      <c r="F2164" t="s">
        <v>28669</v>
      </c>
      <c r="G2164" t="s">
        <v>28675</v>
      </c>
      <c r="H2164" t="s">
        <v>28686</v>
      </c>
      <c r="I2164" t="s">
        <v>28689</v>
      </c>
      <c r="J2164" t="s">
        <v>30304</v>
      </c>
      <c r="K2164" t="s">
        <v>37313</v>
      </c>
      <c r="M2164" t="s">
        <v>38360</v>
      </c>
      <c r="N2164" t="s">
        <v>41249</v>
      </c>
      <c r="O2164" t="s">
        <v>41250</v>
      </c>
      <c r="P2164">
        <v>0</v>
      </c>
      <c r="Q2164">
        <v>0</v>
      </c>
      <c r="R2164" t="s">
        <v>41251</v>
      </c>
      <c r="S2164" t="s">
        <v>41369</v>
      </c>
      <c r="T2164" t="s">
        <v>42688</v>
      </c>
      <c r="U2164" t="s">
        <v>44857</v>
      </c>
      <c r="W2164" t="s">
        <v>38360</v>
      </c>
      <c r="X2164" t="s">
        <v>41252</v>
      </c>
    </row>
    <row r="2165" spans="1:24">
      <c r="A2165">
        <f>HYPERLINK("https://www.philgeps.gov.ph/GEPSNONPILOT/Tender/SplashBidNoticeAbstractUI.aspx?menuIndex=3&amp;refID=7069845&amp;Result=3","7069845")</f>
        <v>0</v>
      </c>
      <c r="B2165" t="s">
        <v>937</v>
      </c>
      <c r="C2165" t="s">
        <v>5451</v>
      </c>
      <c r="E2165" t="s">
        <v>18697</v>
      </c>
      <c r="F2165" t="s">
        <v>28669</v>
      </c>
      <c r="G2165" t="s">
        <v>28676</v>
      </c>
      <c r="H2165" t="s">
        <v>9998</v>
      </c>
      <c r="I2165" t="s">
        <v>3679</v>
      </c>
      <c r="J2165" t="s">
        <v>29191</v>
      </c>
      <c r="K2165" t="s">
        <v>37204</v>
      </c>
      <c r="M2165" t="s">
        <v>38460</v>
      </c>
      <c r="N2165" t="s">
        <v>41249</v>
      </c>
      <c r="O2165" t="s">
        <v>41250</v>
      </c>
      <c r="P2165">
        <v>0</v>
      </c>
      <c r="Q2165">
        <v>0</v>
      </c>
      <c r="R2165" t="s">
        <v>41252</v>
      </c>
      <c r="S2165" t="s">
        <v>41383</v>
      </c>
      <c r="T2165" t="s">
        <v>42759</v>
      </c>
      <c r="U2165" t="s">
        <v>43595</v>
      </c>
      <c r="W2165" t="s">
        <v>38460</v>
      </c>
      <c r="X2165" t="s">
        <v>41258</v>
      </c>
    </row>
    <row r="2166" spans="1:24">
      <c r="A2166">
        <f>HYPERLINK("https://www.philgeps.gov.ph/GEPSNONPILOT/Tender/SplashBidNoticeAbstractUI.aspx?menuIndex=3&amp;refID=7069989&amp;Result=3","7069989")</f>
        <v>0</v>
      </c>
      <c r="B2166" t="s">
        <v>936</v>
      </c>
      <c r="C2166" t="s">
        <v>5452</v>
      </c>
      <c r="D2166" t="s">
        <v>16640</v>
      </c>
      <c r="E2166" t="s">
        <v>18698</v>
      </c>
      <c r="F2166" t="s">
        <v>28669</v>
      </c>
      <c r="G2166" t="s">
        <v>28676</v>
      </c>
      <c r="H2166" t="s">
        <v>9998</v>
      </c>
      <c r="I2166" t="s">
        <v>5286</v>
      </c>
      <c r="J2166" t="s">
        <v>30305</v>
      </c>
      <c r="K2166" t="s">
        <v>37204</v>
      </c>
      <c r="M2166" t="s">
        <v>38459</v>
      </c>
      <c r="N2166" t="s">
        <v>41249</v>
      </c>
      <c r="O2166" t="s">
        <v>41250</v>
      </c>
      <c r="P2166">
        <v>0</v>
      </c>
      <c r="Q2166">
        <v>2</v>
      </c>
      <c r="R2166" t="s">
        <v>41252</v>
      </c>
      <c r="S2166" t="s">
        <v>41383</v>
      </c>
      <c r="T2166" t="s">
        <v>42736</v>
      </c>
      <c r="U2166" t="s">
        <v>45066</v>
      </c>
      <c r="W2166" t="s">
        <v>38459</v>
      </c>
      <c r="X2166" t="s">
        <v>41258</v>
      </c>
    </row>
    <row r="2167" spans="1:24">
      <c r="A2167">
        <f>HYPERLINK("https://www.philgeps.gov.ph/GEPSNONPILOT/Tender/SplashBidNoticeAbstractUI.aspx?menuIndex=3&amp;refID=7069982&amp;Result=3","7069982")</f>
        <v>0</v>
      </c>
      <c r="B2167" t="s">
        <v>936</v>
      </c>
      <c r="C2167" t="s">
        <v>5453</v>
      </c>
      <c r="D2167" t="s">
        <v>16640</v>
      </c>
      <c r="E2167" t="s">
        <v>18699</v>
      </c>
      <c r="F2167" t="s">
        <v>28669</v>
      </c>
      <c r="G2167" t="s">
        <v>28676</v>
      </c>
      <c r="H2167" t="s">
        <v>9998</v>
      </c>
      <c r="I2167" t="s">
        <v>5213</v>
      </c>
      <c r="J2167" t="s">
        <v>30306</v>
      </c>
      <c r="K2167" t="s">
        <v>37204</v>
      </c>
      <c r="M2167" t="s">
        <v>38459</v>
      </c>
      <c r="N2167" t="s">
        <v>41249</v>
      </c>
      <c r="O2167" t="s">
        <v>41250</v>
      </c>
      <c r="P2167">
        <v>0</v>
      </c>
      <c r="Q2167">
        <v>2</v>
      </c>
      <c r="R2167" t="s">
        <v>41252</v>
      </c>
      <c r="S2167" t="s">
        <v>41383</v>
      </c>
      <c r="T2167" t="s">
        <v>42736</v>
      </c>
      <c r="U2167" t="s">
        <v>45067</v>
      </c>
      <c r="W2167" t="s">
        <v>38459</v>
      </c>
      <c r="X2167" t="s">
        <v>41258</v>
      </c>
    </row>
    <row r="2168" spans="1:24">
      <c r="A2168">
        <f>HYPERLINK("https://www.philgeps.gov.ph/GEPSNONPILOT/Tender/SplashBidNoticeAbstractUI.aspx?menuIndex=3&amp;refID=7070733&amp;Result=3","7070733")</f>
        <v>0</v>
      </c>
      <c r="B2168" t="s">
        <v>938</v>
      </c>
      <c r="C2168" t="s">
        <v>5454</v>
      </c>
      <c r="D2168" t="s">
        <v>16658</v>
      </c>
      <c r="E2168" t="s">
        <v>18700</v>
      </c>
      <c r="F2168" t="s">
        <v>28671</v>
      </c>
      <c r="G2168" t="s">
        <v>28677</v>
      </c>
      <c r="H2168" t="s">
        <v>9998</v>
      </c>
      <c r="I2168" t="s">
        <v>28688</v>
      </c>
      <c r="J2168" t="s">
        <v>30307</v>
      </c>
      <c r="K2168" t="s">
        <v>37216</v>
      </c>
      <c r="L2168" t="s">
        <v>938</v>
      </c>
      <c r="M2168" t="s">
        <v>38461</v>
      </c>
      <c r="N2168" t="s">
        <v>41249</v>
      </c>
      <c r="O2168" t="s">
        <v>41250</v>
      </c>
      <c r="P2168">
        <v>0</v>
      </c>
      <c r="Q2168">
        <v>0</v>
      </c>
      <c r="R2168" t="s">
        <v>41252</v>
      </c>
      <c r="S2168" t="s">
        <v>41383</v>
      </c>
      <c r="T2168" t="s">
        <v>42716</v>
      </c>
      <c r="U2168" t="s">
        <v>45068</v>
      </c>
      <c r="W2168" t="s">
        <v>38461</v>
      </c>
      <c r="X2168" t="s">
        <v>41257</v>
      </c>
    </row>
    <row r="2169" spans="1:24">
      <c r="A2169">
        <f>HYPERLINK("https://www.philgeps.gov.ph/GEPSNONPILOT/Tender/SplashBidNoticeAbstractUI.aspx?menuIndex=3&amp;refID=7070323&amp;Result=3","7070323")</f>
        <v>0</v>
      </c>
      <c r="B2169" t="s">
        <v>44</v>
      </c>
      <c r="C2169" t="s">
        <v>5455</v>
      </c>
      <c r="D2169" t="s">
        <v>16625</v>
      </c>
      <c r="E2169" t="s">
        <v>18701</v>
      </c>
      <c r="F2169" t="s">
        <v>28669</v>
      </c>
      <c r="G2169" t="s">
        <v>28675</v>
      </c>
      <c r="H2169" t="s">
        <v>9998</v>
      </c>
      <c r="I2169" t="s">
        <v>6128</v>
      </c>
      <c r="J2169" t="s">
        <v>30308</v>
      </c>
      <c r="K2169" t="s">
        <v>37210</v>
      </c>
      <c r="M2169" t="s">
        <v>38457</v>
      </c>
      <c r="N2169" t="s">
        <v>41249</v>
      </c>
      <c r="O2169" t="s">
        <v>41250</v>
      </c>
      <c r="P2169">
        <v>0</v>
      </c>
      <c r="Q2169">
        <v>2</v>
      </c>
      <c r="R2169" t="s">
        <v>41252</v>
      </c>
      <c r="S2169" t="s">
        <v>41383</v>
      </c>
      <c r="T2169" t="s">
        <v>42678</v>
      </c>
      <c r="U2169" t="s">
        <v>45069</v>
      </c>
      <c r="V2169" t="s">
        <v>54257</v>
      </c>
      <c r="W2169" t="s">
        <v>38457</v>
      </c>
      <c r="X2169" t="s">
        <v>41257</v>
      </c>
    </row>
    <row r="2170" spans="1:24">
      <c r="A2170">
        <f>HYPERLINK("https://www.philgeps.gov.ph/GEPSNONPILOT/Tender/SplashBidNoticeAbstractUI.aspx?menuIndex=3&amp;refID=7078597&amp;Result=3","7078597")</f>
        <v>0</v>
      </c>
      <c r="B2170" t="s">
        <v>852</v>
      </c>
      <c r="C2170" t="s">
        <v>5456</v>
      </c>
      <c r="D2170" t="s">
        <v>16679</v>
      </c>
      <c r="E2170" t="s">
        <v>18702</v>
      </c>
      <c r="F2170" t="s">
        <v>28669</v>
      </c>
      <c r="G2170" t="s">
        <v>28677</v>
      </c>
      <c r="H2170" t="s">
        <v>9998</v>
      </c>
      <c r="I2170" t="s">
        <v>28754</v>
      </c>
      <c r="J2170" t="s">
        <v>30309</v>
      </c>
      <c r="K2170" t="s">
        <v>37209</v>
      </c>
      <c r="M2170" t="s">
        <v>38368</v>
      </c>
      <c r="N2170" t="s">
        <v>41249</v>
      </c>
      <c r="O2170" t="s">
        <v>41250</v>
      </c>
      <c r="P2170">
        <v>0</v>
      </c>
      <c r="Q2170">
        <v>9</v>
      </c>
      <c r="R2170" t="s">
        <v>41251</v>
      </c>
      <c r="S2170" t="s">
        <v>41369</v>
      </c>
      <c r="T2170" t="s">
        <v>42702</v>
      </c>
      <c r="U2170" t="s">
        <v>45070</v>
      </c>
      <c r="V2170" t="s">
        <v>54491</v>
      </c>
      <c r="W2170" t="s">
        <v>38368</v>
      </c>
      <c r="X2170" t="s">
        <v>41252</v>
      </c>
    </row>
    <row r="2171" spans="1:24">
      <c r="A2171">
        <f>HYPERLINK("https://www.philgeps.gov.ph/GEPSNONPILOT/Tender/SplashBidNoticeAbstractUI.aspx?menuIndex=3&amp;refID=7070635&amp;Result=3","7070635")</f>
        <v>0</v>
      </c>
      <c r="B2171" t="s">
        <v>939</v>
      </c>
      <c r="C2171" t="s">
        <v>5457</v>
      </c>
      <c r="D2171" t="s">
        <v>16657</v>
      </c>
      <c r="E2171" t="s">
        <v>18703</v>
      </c>
      <c r="F2171" t="s">
        <v>28669</v>
      </c>
      <c r="G2171" t="s">
        <v>28676</v>
      </c>
      <c r="H2171" t="s">
        <v>9998</v>
      </c>
      <c r="I2171" t="s">
        <v>7352</v>
      </c>
      <c r="J2171" t="s">
        <v>30310</v>
      </c>
      <c r="K2171" t="s">
        <v>37205</v>
      </c>
      <c r="M2171" t="s">
        <v>38462</v>
      </c>
      <c r="N2171" t="s">
        <v>41249</v>
      </c>
      <c r="O2171" t="s">
        <v>41250</v>
      </c>
      <c r="P2171">
        <v>0</v>
      </c>
      <c r="Q2171">
        <v>2</v>
      </c>
      <c r="R2171" t="s">
        <v>41252</v>
      </c>
      <c r="S2171" t="s">
        <v>41383</v>
      </c>
      <c r="T2171" t="s">
        <v>42736</v>
      </c>
      <c r="U2171" t="s">
        <v>45071</v>
      </c>
      <c r="W2171" t="s">
        <v>55938</v>
      </c>
      <c r="X2171" t="s">
        <v>41257</v>
      </c>
    </row>
    <row r="2172" spans="1:24">
      <c r="A2172">
        <f>HYPERLINK("https://www.philgeps.gov.ph/GEPSNONPILOT/Tender/SplashBidNoticeAbstractUI.aspx?menuIndex=3&amp;refID=7070631&amp;Result=3","7070631")</f>
        <v>0</v>
      </c>
      <c r="B2172" t="s">
        <v>940</v>
      </c>
      <c r="C2172" t="s">
        <v>5458</v>
      </c>
      <c r="D2172" t="s">
        <v>16621</v>
      </c>
      <c r="E2172" t="s">
        <v>18704</v>
      </c>
      <c r="F2172" t="s">
        <v>28669</v>
      </c>
      <c r="G2172" t="s">
        <v>28676</v>
      </c>
      <c r="H2172" t="s">
        <v>9998</v>
      </c>
      <c r="I2172" t="s">
        <v>6128</v>
      </c>
      <c r="J2172" t="s">
        <v>30311</v>
      </c>
      <c r="K2172" t="s">
        <v>37227</v>
      </c>
      <c r="M2172" t="s">
        <v>38463</v>
      </c>
      <c r="N2172" t="s">
        <v>41249</v>
      </c>
      <c r="O2172" t="s">
        <v>41250</v>
      </c>
      <c r="P2172">
        <v>0</v>
      </c>
      <c r="Q2172">
        <v>1</v>
      </c>
      <c r="R2172" t="s">
        <v>41252</v>
      </c>
      <c r="S2172" t="s">
        <v>41383</v>
      </c>
      <c r="T2172" t="s">
        <v>42748</v>
      </c>
      <c r="U2172" t="s">
        <v>45072</v>
      </c>
      <c r="W2172" t="s">
        <v>38463</v>
      </c>
      <c r="X2172" t="s">
        <v>41257</v>
      </c>
    </row>
    <row r="2173" spans="1:24">
      <c r="A2173">
        <f>HYPERLINK("https://www.philgeps.gov.ph/GEPSNONPILOT/Tender/SplashBidNoticeAbstractUI.aspx?menuIndex=3&amp;refID=7070560&amp;Result=3","7070560")</f>
        <v>0</v>
      </c>
      <c r="B2173" t="s">
        <v>941</v>
      </c>
      <c r="C2173" t="s">
        <v>5459</v>
      </c>
      <c r="D2173" t="s">
        <v>16608</v>
      </c>
      <c r="E2173" t="s">
        <v>18705</v>
      </c>
      <c r="F2173" t="s">
        <v>28669</v>
      </c>
      <c r="G2173" t="s">
        <v>28676</v>
      </c>
      <c r="H2173" t="s">
        <v>9998</v>
      </c>
      <c r="I2173" t="s">
        <v>28693</v>
      </c>
      <c r="J2173" t="s">
        <v>30312</v>
      </c>
      <c r="K2173" t="s">
        <v>37209</v>
      </c>
      <c r="M2173" t="s">
        <v>38464</v>
      </c>
      <c r="N2173" t="s">
        <v>41249</v>
      </c>
      <c r="O2173" t="s">
        <v>41250</v>
      </c>
      <c r="P2173">
        <v>0</v>
      </c>
      <c r="Q2173">
        <v>2</v>
      </c>
      <c r="R2173" t="s">
        <v>41252</v>
      </c>
      <c r="S2173" t="s">
        <v>41383</v>
      </c>
      <c r="T2173" t="s">
        <v>42665</v>
      </c>
      <c r="U2173" t="s">
        <v>45073</v>
      </c>
      <c r="W2173" t="s">
        <v>38464</v>
      </c>
      <c r="X2173" t="s">
        <v>41257</v>
      </c>
    </row>
    <row r="2174" spans="1:24">
      <c r="A2174">
        <f>HYPERLINK("https://www.philgeps.gov.ph/GEPSNONPILOT/Tender/SplashBidNoticeAbstractUI.aspx?menuIndex=3&amp;refID=7070554&amp;Result=3","7070554")</f>
        <v>0</v>
      </c>
      <c r="B2174" t="s">
        <v>933</v>
      </c>
      <c r="C2174" t="s">
        <v>5460</v>
      </c>
      <c r="D2174" t="s">
        <v>16616</v>
      </c>
      <c r="E2174" t="s">
        <v>18706</v>
      </c>
      <c r="F2174" t="s">
        <v>28669</v>
      </c>
      <c r="G2174" t="s">
        <v>28679</v>
      </c>
      <c r="H2174" t="s">
        <v>9998</v>
      </c>
      <c r="I2174" t="s">
        <v>8667</v>
      </c>
      <c r="J2174" t="s">
        <v>30313</v>
      </c>
      <c r="K2174" t="s">
        <v>37210</v>
      </c>
      <c r="M2174" t="s">
        <v>38455</v>
      </c>
      <c r="N2174" t="s">
        <v>41249</v>
      </c>
      <c r="O2174" t="s">
        <v>41250</v>
      </c>
      <c r="P2174">
        <v>0</v>
      </c>
      <c r="Q2174">
        <v>2</v>
      </c>
      <c r="R2174" t="s">
        <v>41252</v>
      </c>
      <c r="S2174" t="s">
        <v>41383</v>
      </c>
      <c r="T2174" t="s">
        <v>42743</v>
      </c>
      <c r="U2174" t="s">
        <v>45074</v>
      </c>
      <c r="W2174" t="s">
        <v>38455</v>
      </c>
      <c r="X2174" t="s">
        <v>41257</v>
      </c>
    </row>
    <row r="2175" spans="1:24">
      <c r="A2175">
        <f>HYPERLINK("https://www.philgeps.gov.ph/GEPSNONPILOT/Tender/SplashBidNoticeAbstractUI.aspx?menuIndex=3&amp;refID=7070533&amp;Result=3","7070533")</f>
        <v>0</v>
      </c>
      <c r="B2175" t="s">
        <v>942</v>
      </c>
      <c r="C2175" t="s">
        <v>5461</v>
      </c>
      <c r="D2175" t="s">
        <v>16620</v>
      </c>
      <c r="E2175" t="s">
        <v>18707</v>
      </c>
      <c r="F2175" t="s">
        <v>28669</v>
      </c>
      <c r="G2175" t="s">
        <v>28675</v>
      </c>
      <c r="H2175" t="s">
        <v>9998</v>
      </c>
      <c r="I2175" t="s">
        <v>7352</v>
      </c>
      <c r="J2175" t="s">
        <v>30314</v>
      </c>
      <c r="K2175" t="s">
        <v>37206</v>
      </c>
      <c r="M2175" t="s">
        <v>38465</v>
      </c>
      <c r="N2175" t="s">
        <v>41249</v>
      </c>
      <c r="O2175" t="s">
        <v>41250</v>
      </c>
      <c r="P2175">
        <v>0</v>
      </c>
      <c r="Q2175">
        <v>0</v>
      </c>
      <c r="R2175" t="s">
        <v>41252</v>
      </c>
      <c r="S2175" t="s">
        <v>41383</v>
      </c>
      <c r="T2175" t="s">
        <v>42759</v>
      </c>
      <c r="U2175" t="s">
        <v>45075</v>
      </c>
      <c r="W2175" t="s">
        <v>38465</v>
      </c>
      <c r="X2175" t="s">
        <v>41257</v>
      </c>
    </row>
    <row r="2176" spans="1:24">
      <c r="A2176">
        <f>HYPERLINK("https://www.philgeps.gov.ph/GEPSNONPILOT/Tender/SplashBidNoticeAbstractUI.aspx?menuIndex=3&amp;refID=7070531&amp;Result=3","7070531")</f>
        <v>0</v>
      </c>
      <c r="B2176" t="s">
        <v>943</v>
      </c>
      <c r="C2176" t="s">
        <v>5462</v>
      </c>
      <c r="D2176" t="s">
        <v>16665</v>
      </c>
      <c r="E2176" t="s">
        <v>18708</v>
      </c>
      <c r="F2176" t="s">
        <v>28669</v>
      </c>
      <c r="G2176" t="s">
        <v>28675</v>
      </c>
      <c r="H2176" t="s">
        <v>9998</v>
      </c>
      <c r="I2176" t="s">
        <v>28748</v>
      </c>
      <c r="J2176" t="s">
        <v>30315</v>
      </c>
      <c r="K2176" t="s">
        <v>37231</v>
      </c>
      <c r="M2176" t="s">
        <v>38466</v>
      </c>
      <c r="N2176" t="s">
        <v>41249</v>
      </c>
      <c r="O2176" t="s">
        <v>41250</v>
      </c>
      <c r="P2176">
        <v>0</v>
      </c>
      <c r="Q2176">
        <v>3</v>
      </c>
      <c r="R2176" t="s">
        <v>41252</v>
      </c>
      <c r="S2176" t="s">
        <v>41383</v>
      </c>
      <c r="T2176" t="s">
        <v>42757</v>
      </c>
      <c r="U2176" t="s">
        <v>45076</v>
      </c>
      <c r="W2176" t="s">
        <v>38466</v>
      </c>
      <c r="X2176" t="s">
        <v>41257</v>
      </c>
    </row>
    <row r="2177" spans="1:24">
      <c r="A2177">
        <f>HYPERLINK("https://www.philgeps.gov.ph/GEPSNONPILOT/Tender/SplashBidNoticeAbstractUI.aspx?menuIndex=3&amp;refID=7070465&amp;Result=3","7070465")</f>
        <v>0</v>
      </c>
      <c r="B2177" t="s">
        <v>940</v>
      </c>
      <c r="C2177" t="s">
        <v>5463</v>
      </c>
      <c r="D2177" t="s">
        <v>16621</v>
      </c>
      <c r="E2177" t="s">
        <v>18709</v>
      </c>
      <c r="F2177" t="s">
        <v>28669</v>
      </c>
      <c r="G2177" t="s">
        <v>28676</v>
      </c>
      <c r="H2177" t="s">
        <v>9998</v>
      </c>
      <c r="I2177" t="s">
        <v>28694</v>
      </c>
      <c r="J2177" t="s">
        <v>30316</v>
      </c>
      <c r="K2177" t="s">
        <v>37204</v>
      </c>
      <c r="M2177" t="s">
        <v>38463</v>
      </c>
      <c r="N2177" t="s">
        <v>41249</v>
      </c>
      <c r="O2177" t="s">
        <v>41250</v>
      </c>
      <c r="P2177">
        <v>0</v>
      </c>
      <c r="Q2177">
        <v>0</v>
      </c>
      <c r="R2177" t="s">
        <v>41252</v>
      </c>
      <c r="S2177" t="s">
        <v>41383</v>
      </c>
      <c r="T2177" t="s">
        <v>42748</v>
      </c>
      <c r="U2177" t="s">
        <v>45077</v>
      </c>
      <c r="W2177" t="s">
        <v>38463</v>
      </c>
      <c r="X2177" t="s">
        <v>41257</v>
      </c>
    </row>
    <row r="2178" spans="1:24">
      <c r="A2178">
        <f>HYPERLINK("https://www.philgeps.gov.ph/GEPSNONPILOT/Tender/SplashBidNoticeAbstractUI.aspx?menuIndex=3&amp;refID=7070422&amp;Result=3","7070422")</f>
        <v>0</v>
      </c>
      <c r="B2178" t="s">
        <v>33</v>
      </c>
      <c r="C2178" t="s">
        <v>5464</v>
      </c>
      <c r="D2178" t="s">
        <v>16616</v>
      </c>
      <c r="E2178" t="s">
        <v>18710</v>
      </c>
      <c r="F2178" t="s">
        <v>28669</v>
      </c>
      <c r="G2178" t="s">
        <v>28675</v>
      </c>
      <c r="H2178" t="s">
        <v>9998</v>
      </c>
      <c r="I2178" t="s">
        <v>28695</v>
      </c>
      <c r="J2178" t="s">
        <v>30317</v>
      </c>
      <c r="K2178" t="s">
        <v>37216</v>
      </c>
      <c r="M2178" t="s">
        <v>38467</v>
      </c>
      <c r="N2178" t="s">
        <v>41249</v>
      </c>
      <c r="O2178" t="s">
        <v>41250</v>
      </c>
      <c r="P2178">
        <v>0</v>
      </c>
      <c r="Q2178">
        <v>0</v>
      </c>
      <c r="R2178" t="s">
        <v>41252</v>
      </c>
      <c r="S2178" t="s">
        <v>41383</v>
      </c>
      <c r="T2178" t="s">
        <v>42703</v>
      </c>
      <c r="U2178" t="s">
        <v>45078</v>
      </c>
      <c r="V2178" t="s">
        <v>54252</v>
      </c>
      <c r="W2178" t="s">
        <v>38467</v>
      </c>
      <c r="X2178" t="s">
        <v>41257</v>
      </c>
    </row>
    <row r="2179" spans="1:24">
      <c r="A2179">
        <f>HYPERLINK("https://www.philgeps.gov.ph/GEPSNONPILOT/Tender/SplashBidNoticeAbstractUI.aspx?menuIndex=3&amp;refID=7070613&amp;Result=3","7070613")</f>
        <v>0</v>
      </c>
      <c r="B2179" t="s">
        <v>942</v>
      </c>
      <c r="C2179" t="s">
        <v>5465</v>
      </c>
      <c r="D2179" t="s">
        <v>16620</v>
      </c>
      <c r="E2179" t="s">
        <v>18711</v>
      </c>
      <c r="F2179" t="s">
        <v>28669</v>
      </c>
      <c r="G2179" t="s">
        <v>28675</v>
      </c>
      <c r="H2179" t="s">
        <v>9998</v>
      </c>
      <c r="I2179" t="s">
        <v>10128</v>
      </c>
      <c r="J2179" t="s">
        <v>29114</v>
      </c>
      <c r="K2179" t="s">
        <v>37206</v>
      </c>
      <c r="M2179" t="s">
        <v>38465</v>
      </c>
      <c r="N2179" t="s">
        <v>41249</v>
      </c>
      <c r="O2179" t="s">
        <v>41250</v>
      </c>
      <c r="P2179">
        <v>0</v>
      </c>
      <c r="Q2179">
        <v>1</v>
      </c>
      <c r="R2179" t="s">
        <v>41252</v>
      </c>
      <c r="S2179" t="s">
        <v>41383</v>
      </c>
      <c r="T2179" t="s">
        <v>42759</v>
      </c>
      <c r="U2179" t="s">
        <v>45079</v>
      </c>
      <c r="W2179" t="s">
        <v>38465</v>
      </c>
      <c r="X2179" t="s">
        <v>41257</v>
      </c>
    </row>
    <row r="2180" spans="1:24">
      <c r="A2180">
        <f>HYPERLINK("https://www.philgeps.gov.ph/GEPSNONPILOT/Tender/SplashBidNoticeAbstractUI.aspx?menuIndex=3&amp;refID=7070418&amp;Result=3","7070418")</f>
        <v>0</v>
      </c>
      <c r="B2180" t="s">
        <v>480</v>
      </c>
      <c r="C2180" t="s">
        <v>5466</v>
      </c>
      <c r="D2180" t="s">
        <v>16617</v>
      </c>
      <c r="E2180" t="s">
        <v>18712</v>
      </c>
      <c r="F2180" t="s">
        <v>28669</v>
      </c>
      <c r="G2180" t="s">
        <v>28675</v>
      </c>
      <c r="H2180" t="s">
        <v>28686</v>
      </c>
      <c r="I2180" t="s">
        <v>28689</v>
      </c>
      <c r="J2180" t="s">
        <v>30318</v>
      </c>
      <c r="K2180" t="s">
        <v>37217</v>
      </c>
      <c r="M2180" t="s">
        <v>37968</v>
      </c>
      <c r="N2180" t="s">
        <v>41249</v>
      </c>
      <c r="O2180" t="s">
        <v>41250</v>
      </c>
      <c r="P2180">
        <v>0</v>
      </c>
      <c r="Q2180">
        <v>1</v>
      </c>
      <c r="R2180" t="s">
        <v>41252</v>
      </c>
      <c r="S2180" t="s">
        <v>41383</v>
      </c>
      <c r="T2180" t="s">
        <v>42709</v>
      </c>
      <c r="U2180" t="s">
        <v>45080</v>
      </c>
      <c r="W2180" t="s">
        <v>37968</v>
      </c>
      <c r="X2180" t="s">
        <v>41257</v>
      </c>
    </row>
    <row r="2181" spans="1:24">
      <c r="A2181">
        <f>HYPERLINK("https://www.philgeps.gov.ph/GEPSNONPILOT/Tender/SplashBidNoticeAbstractUI.aspx?menuIndex=3&amp;refID=7070386&amp;Result=3","7070386")</f>
        <v>0</v>
      </c>
      <c r="B2181" t="s">
        <v>150</v>
      </c>
      <c r="C2181" t="s">
        <v>5467</v>
      </c>
      <c r="D2181" t="s">
        <v>16617</v>
      </c>
      <c r="E2181" t="s">
        <v>5467</v>
      </c>
      <c r="F2181" t="s">
        <v>28669</v>
      </c>
      <c r="G2181" t="s">
        <v>28676</v>
      </c>
      <c r="H2181" t="s">
        <v>9998</v>
      </c>
      <c r="I2181" t="s">
        <v>28690</v>
      </c>
      <c r="J2181" t="s">
        <v>29003</v>
      </c>
      <c r="K2181" t="s">
        <v>37206</v>
      </c>
      <c r="M2181" t="s">
        <v>37627</v>
      </c>
      <c r="N2181" t="s">
        <v>41249</v>
      </c>
      <c r="O2181" t="s">
        <v>41250</v>
      </c>
      <c r="P2181">
        <v>0</v>
      </c>
      <c r="Q2181">
        <v>0</v>
      </c>
      <c r="R2181" t="s">
        <v>41252</v>
      </c>
      <c r="S2181" t="s">
        <v>41383</v>
      </c>
      <c r="T2181" t="s">
        <v>42729</v>
      </c>
      <c r="U2181" t="s">
        <v>45081</v>
      </c>
      <c r="W2181" t="s">
        <v>37627</v>
      </c>
      <c r="X2181" t="s">
        <v>41257</v>
      </c>
    </row>
    <row r="2182" spans="1:24">
      <c r="A2182">
        <f>HYPERLINK("https://www.philgeps.gov.ph/GEPSNONPILOT/Tender/SplashBidNoticeAbstractUI.aspx?menuIndex=3&amp;refID=7070640&amp;Result=3","7070640")</f>
        <v>0</v>
      </c>
      <c r="B2182" t="s">
        <v>933</v>
      </c>
      <c r="C2182" t="s">
        <v>5468</v>
      </c>
      <c r="D2182" t="s">
        <v>16616</v>
      </c>
      <c r="E2182" t="s">
        <v>18713</v>
      </c>
      <c r="F2182" t="s">
        <v>28669</v>
      </c>
      <c r="G2182" t="s">
        <v>28679</v>
      </c>
      <c r="H2182" t="s">
        <v>9998</v>
      </c>
      <c r="I2182" t="s">
        <v>28722</v>
      </c>
      <c r="J2182" t="s">
        <v>30319</v>
      </c>
      <c r="K2182" t="s">
        <v>37210</v>
      </c>
      <c r="M2182" t="s">
        <v>38455</v>
      </c>
      <c r="N2182" t="s">
        <v>41249</v>
      </c>
      <c r="O2182" t="s">
        <v>41250</v>
      </c>
      <c r="P2182">
        <v>0</v>
      </c>
      <c r="Q2182">
        <v>1</v>
      </c>
      <c r="R2182" t="s">
        <v>41252</v>
      </c>
      <c r="S2182" t="s">
        <v>41383</v>
      </c>
      <c r="T2182" t="s">
        <v>42743</v>
      </c>
      <c r="U2182" t="s">
        <v>45082</v>
      </c>
      <c r="W2182" t="s">
        <v>38455</v>
      </c>
      <c r="X2182" t="s">
        <v>41257</v>
      </c>
    </row>
    <row r="2183" spans="1:24">
      <c r="A2183">
        <f>HYPERLINK("https://www.philgeps.gov.ph/GEPSNONPILOT/Tender/SplashBidNoticeAbstractUI.aspx?menuIndex=3&amp;refID=7071324&amp;Result=3","7071324")</f>
        <v>0</v>
      </c>
      <c r="B2183" t="s">
        <v>944</v>
      </c>
      <c r="C2183" t="s">
        <v>5469</v>
      </c>
      <c r="D2183" t="s">
        <v>16637</v>
      </c>
      <c r="E2183" t="s">
        <v>18714</v>
      </c>
      <c r="F2183" t="s">
        <v>28669</v>
      </c>
      <c r="G2183" t="s">
        <v>28675</v>
      </c>
      <c r="H2183" t="s">
        <v>9998</v>
      </c>
      <c r="I2183" t="s">
        <v>7352</v>
      </c>
      <c r="J2183" t="s">
        <v>28836</v>
      </c>
      <c r="K2183" t="s">
        <v>37210</v>
      </c>
      <c r="M2183" t="s">
        <v>38468</v>
      </c>
      <c r="N2183" t="s">
        <v>41249</v>
      </c>
      <c r="O2183" t="s">
        <v>41250</v>
      </c>
      <c r="P2183">
        <v>0</v>
      </c>
      <c r="Q2183">
        <v>1</v>
      </c>
      <c r="R2183" t="s">
        <v>41252</v>
      </c>
      <c r="S2183" t="s">
        <v>41383</v>
      </c>
      <c r="T2183" t="s">
        <v>42722</v>
      </c>
      <c r="U2183" t="s">
        <v>45083</v>
      </c>
      <c r="W2183" t="s">
        <v>38468</v>
      </c>
      <c r="X2183" t="s">
        <v>41257</v>
      </c>
    </row>
    <row r="2184" spans="1:24">
      <c r="A2184">
        <f>HYPERLINK("https://www.philgeps.gov.ph/GEPSNONPILOT/Tender/SplashBidNoticeAbstractUI.aspx?menuIndex=3&amp;refID=7071420&amp;Result=3","7071420")</f>
        <v>0</v>
      </c>
      <c r="B2184" t="s">
        <v>945</v>
      </c>
      <c r="C2184" t="s">
        <v>5470</v>
      </c>
      <c r="D2184" t="s">
        <v>16608</v>
      </c>
      <c r="E2184" t="s">
        <v>18430</v>
      </c>
      <c r="F2184" t="s">
        <v>28669</v>
      </c>
      <c r="G2184" t="s">
        <v>28675</v>
      </c>
      <c r="H2184" t="s">
        <v>9998</v>
      </c>
      <c r="I2184" t="s">
        <v>11593</v>
      </c>
      <c r="J2184" t="s">
        <v>30320</v>
      </c>
      <c r="K2184" t="s">
        <v>37314</v>
      </c>
      <c r="M2184" t="s">
        <v>38469</v>
      </c>
      <c r="N2184" t="s">
        <v>41249</v>
      </c>
      <c r="O2184" t="s">
        <v>41250</v>
      </c>
      <c r="P2184">
        <v>0</v>
      </c>
      <c r="Q2184">
        <v>18</v>
      </c>
      <c r="R2184" t="s">
        <v>41252</v>
      </c>
      <c r="S2184" t="s">
        <v>41383</v>
      </c>
      <c r="T2184" t="s">
        <v>42715</v>
      </c>
      <c r="U2184" t="s">
        <v>45084</v>
      </c>
      <c r="W2184" t="s">
        <v>38469</v>
      </c>
      <c r="X2184" t="s">
        <v>41257</v>
      </c>
    </row>
    <row r="2185" spans="1:24">
      <c r="A2185">
        <f>HYPERLINK("https://www.philgeps.gov.ph/GEPSNONPILOT/Tender/SplashBidNoticeAbstractUI.aspx?menuIndex=3&amp;refID=7070402&amp;Result=3","7070402")</f>
        <v>0</v>
      </c>
      <c r="B2185" t="s">
        <v>480</v>
      </c>
      <c r="C2185" t="s">
        <v>5471</v>
      </c>
      <c r="D2185" t="s">
        <v>16617</v>
      </c>
      <c r="E2185" t="s">
        <v>18715</v>
      </c>
      <c r="F2185" t="s">
        <v>28669</v>
      </c>
      <c r="G2185" t="s">
        <v>28675</v>
      </c>
      <c r="H2185" t="s">
        <v>28686</v>
      </c>
      <c r="I2185" t="s">
        <v>28689</v>
      </c>
      <c r="J2185" t="s">
        <v>30321</v>
      </c>
      <c r="K2185" t="s">
        <v>37223</v>
      </c>
      <c r="M2185" t="s">
        <v>37968</v>
      </c>
      <c r="N2185" t="s">
        <v>41249</v>
      </c>
      <c r="O2185" t="s">
        <v>41250</v>
      </c>
      <c r="P2185">
        <v>0</v>
      </c>
      <c r="Q2185">
        <v>0</v>
      </c>
      <c r="R2185" t="s">
        <v>41252</v>
      </c>
      <c r="S2185" t="s">
        <v>41383</v>
      </c>
      <c r="T2185" t="s">
        <v>42709</v>
      </c>
      <c r="U2185" t="s">
        <v>45085</v>
      </c>
      <c r="W2185" t="s">
        <v>37968</v>
      </c>
      <c r="X2185" t="s">
        <v>41257</v>
      </c>
    </row>
    <row r="2186" spans="1:24">
      <c r="A2186">
        <f>HYPERLINK("https://www.philgeps.gov.ph/GEPSNONPILOT/Tender/SplashBidNoticeAbstractUI.aspx?menuIndex=3&amp;refID=7071399&amp;Result=3","7071399")</f>
        <v>0</v>
      </c>
      <c r="B2186" t="s">
        <v>52</v>
      </c>
      <c r="C2186" t="s">
        <v>5472</v>
      </c>
      <c r="D2186" t="s">
        <v>16629</v>
      </c>
      <c r="E2186" t="s">
        <v>18716</v>
      </c>
      <c r="F2186" t="s">
        <v>28670</v>
      </c>
      <c r="G2186" t="s">
        <v>28675</v>
      </c>
      <c r="H2186" t="s">
        <v>28686</v>
      </c>
      <c r="I2186" t="s">
        <v>28689</v>
      </c>
      <c r="J2186" t="s">
        <v>30322</v>
      </c>
      <c r="K2186" t="s">
        <v>37221</v>
      </c>
      <c r="M2186" t="s">
        <v>37527</v>
      </c>
      <c r="N2186" t="s">
        <v>41249</v>
      </c>
      <c r="O2186" t="s">
        <v>41250</v>
      </c>
      <c r="P2186">
        <v>0</v>
      </c>
      <c r="Q2186">
        <v>0</v>
      </c>
      <c r="R2186" t="s">
        <v>41252</v>
      </c>
      <c r="S2186" t="s">
        <v>41383</v>
      </c>
      <c r="T2186" t="s">
        <v>42842</v>
      </c>
      <c r="U2186" t="s">
        <v>45086</v>
      </c>
      <c r="W2186" t="s">
        <v>37527</v>
      </c>
      <c r="X2186" t="s">
        <v>41257</v>
      </c>
    </row>
    <row r="2187" spans="1:24">
      <c r="A2187">
        <f>HYPERLINK("https://www.philgeps.gov.ph/GEPSNONPILOT/Tender/SplashBidNoticeAbstractUI.aspx?menuIndex=3&amp;refID=7071366&amp;Result=3","7071366")</f>
        <v>0</v>
      </c>
      <c r="B2187" t="s">
        <v>946</v>
      </c>
      <c r="C2187" t="s">
        <v>5473</v>
      </c>
      <c r="D2187" t="s">
        <v>16637</v>
      </c>
      <c r="E2187" t="s">
        <v>18717</v>
      </c>
      <c r="F2187" t="s">
        <v>28669</v>
      </c>
      <c r="G2187" t="s">
        <v>28675</v>
      </c>
      <c r="H2187" t="s">
        <v>28685</v>
      </c>
      <c r="I2187" t="s">
        <v>28685</v>
      </c>
      <c r="J2187" t="s">
        <v>30323</v>
      </c>
      <c r="K2187" t="s">
        <v>37205</v>
      </c>
      <c r="L2187" t="s">
        <v>946</v>
      </c>
      <c r="M2187" t="s">
        <v>38470</v>
      </c>
      <c r="N2187" t="s">
        <v>41249</v>
      </c>
      <c r="O2187" t="s">
        <v>41250</v>
      </c>
      <c r="P2187">
        <v>0</v>
      </c>
      <c r="Q2187">
        <v>3</v>
      </c>
      <c r="R2187" t="s">
        <v>41252</v>
      </c>
      <c r="S2187" t="s">
        <v>41383</v>
      </c>
      <c r="T2187" t="s">
        <v>42872</v>
      </c>
      <c r="U2187" t="s">
        <v>45087</v>
      </c>
      <c r="W2187" t="s">
        <v>55939</v>
      </c>
      <c r="X2187" t="s">
        <v>41257</v>
      </c>
    </row>
    <row r="2188" spans="1:24">
      <c r="A2188">
        <f>HYPERLINK("https://www.philgeps.gov.ph/GEPSNONPILOT/Tender/SplashBidNoticeAbstractUI.aspx?menuIndex=3&amp;refID=7071323&amp;Result=3","7071323")</f>
        <v>0</v>
      </c>
      <c r="B2188" t="s">
        <v>946</v>
      </c>
      <c r="C2188" t="s">
        <v>5474</v>
      </c>
      <c r="D2188" t="s">
        <v>16637</v>
      </c>
      <c r="E2188" t="s">
        <v>18718</v>
      </c>
      <c r="F2188" t="s">
        <v>28669</v>
      </c>
      <c r="G2188" t="s">
        <v>28675</v>
      </c>
      <c r="H2188" t="s">
        <v>28685</v>
      </c>
      <c r="I2188" t="s">
        <v>28685</v>
      </c>
      <c r="J2188" t="s">
        <v>30324</v>
      </c>
      <c r="K2188" t="s">
        <v>37220</v>
      </c>
      <c r="L2188" t="s">
        <v>946</v>
      </c>
      <c r="M2188" t="s">
        <v>38470</v>
      </c>
      <c r="N2188" t="s">
        <v>41249</v>
      </c>
      <c r="O2188" t="s">
        <v>41250</v>
      </c>
      <c r="P2188">
        <v>0</v>
      </c>
      <c r="Q2188">
        <v>4</v>
      </c>
      <c r="R2188" t="s">
        <v>41252</v>
      </c>
      <c r="S2188" t="s">
        <v>41383</v>
      </c>
      <c r="T2188" t="s">
        <v>42872</v>
      </c>
      <c r="U2188" t="s">
        <v>45088</v>
      </c>
      <c r="W2188" t="s">
        <v>55939</v>
      </c>
      <c r="X2188" t="s">
        <v>41257</v>
      </c>
    </row>
    <row r="2189" spans="1:24">
      <c r="A2189">
        <f>HYPERLINK("https://www.philgeps.gov.ph/GEPSNONPILOT/Tender/SplashBidNoticeAbstractUI.aspx?menuIndex=3&amp;refID=7069497&amp;Result=3","7069497")</f>
        <v>0</v>
      </c>
      <c r="B2189" t="s">
        <v>629</v>
      </c>
      <c r="C2189" t="s">
        <v>5475</v>
      </c>
      <c r="D2189" t="s">
        <v>16648</v>
      </c>
      <c r="E2189" t="s">
        <v>18719</v>
      </c>
      <c r="F2189" t="s">
        <v>28669</v>
      </c>
      <c r="G2189" t="s">
        <v>28675</v>
      </c>
      <c r="H2189" t="s">
        <v>28686</v>
      </c>
      <c r="I2189" t="s">
        <v>28689</v>
      </c>
      <c r="J2189" t="s">
        <v>30325</v>
      </c>
      <c r="K2189" t="s">
        <v>37209</v>
      </c>
      <c r="M2189" t="s">
        <v>38129</v>
      </c>
      <c r="N2189" t="s">
        <v>41249</v>
      </c>
      <c r="O2189" t="s">
        <v>41250</v>
      </c>
      <c r="Q2189">
        <v>2</v>
      </c>
      <c r="R2189" t="s">
        <v>41252</v>
      </c>
      <c r="S2189" t="s">
        <v>41386</v>
      </c>
      <c r="T2189" t="s">
        <v>42873</v>
      </c>
      <c r="U2189" t="s">
        <v>45089</v>
      </c>
      <c r="W2189" t="s">
        <v>38129</v>
      </c>
      <c r="X2189" t="s">
        <v>41258</v>
      </c>
    </row>
    <row r="2190" spans="1:24">
      <c r="A2190">
        <f>HYPERLINK("https://www.philgeps.gov.ph/GEPSNONPILOT/Tender/SplashBidNoticeAbstractUI.aspx?menuIndex=3&amp;refID=7070679&amp;Result=3","7070679")</f>
        <v>0</v>
      </c>
      <c r="B2190" t="s">
        <v>938</v>
      </c>
      <c r="C2190" t="s">
        <v>5476</v>
      </c>
      <c r="D2190" t="s">
        <v>16658</v>
      </c>
      <c r="E2190" t="s">
        <v>18700</v>
      </c>
      <c r="F2190" t="s">
        <v>28671</v>
      </c>
      <c r="G2190" t="s">
        <v>28675</v>
      </c>
      <c r="H2190" t="s">
        <v>28686</v>
      </c>
      <c r="I2190" t="s">
        <v>28689</v>
      </c>
      <c r="J2190" t="s">
        <v>30326</v>
      </c>
      <c r="K2190" t="s">
        <v>37282</v>
      </c>
      <c r="L2190" t="s">
        <v>938</v>
      </c>
      <c r="M2190" t="s">
        <v>38461</v>
      </c>
      <c r="N2190" t="s">
        <v>41249</v>
      </c>
      <c r="O2190" t="s">
        <v>41250</v>
      </c>
      <c r="P2190">
        <v>0</v>
      </c>
      <c r="Q2190">
        <v>0</v>
      </c>
      <c r="R2190" t="s">
        <v>41252</v>
      </c>
      <c r="S2190" t="s">
        <v>41383</v>
      </c>
      <c r="T2190" t="s">
        <v>42716</v>
      </c>
      <c r="U2190" t="s">
        <v>45090</v>
      </c>
      <c r="W2190" t="s">
        <v>38461</v>
      </c>
      <c r="X2190" t="s">
        <v>41257</v>
      </c>
    </row>
    <row r="2191" spans="1:24">
      <c r="A2191">
        <f>HYPERLINK("https://www.philgeps.gov.ph/GEPSNONPILOT/Tender/SplashBidNoticeAbstractUI.aspx?menuIndex=3&amp;refID=7071289&amp;Result=3","7071289")</f>
        <v>0</v>
      </c>
      <c r="B2191" t="s">
        <v>944</v>
      </c>
      <c r="C2191" t="s">
        <v>5477</v>
      </c>
      <c r="D2191" t="s">
        <v>16637</v>
      </c>
      <c r="E2191" t="s">
        <v>18720</v>
      </c>
      <c r="F2191" t="s">
        <v>28669</v>
      </c>
      <c r="G2191" t="s">
        <v>28675</v>
      </c>
      <c r="H2191" t="s">
        <v>9998</v>
      </c>
      <c r="I2191" t="s">
        <v>28695</v>
      </c>
      <c r="J2191" t="s">
        <v>30036</v>
      </c>
      <c r="K2191" t="s">
        <v>37210</v>
      </c>
      <c r="M2191" t="s">
        <v>38468</v>
      </c>
      <c r="N2191" t="s">
        <v>41249</v>
      </c>
      <c r="O2191" t="s">
        <v>41250</v>
      </c>
      <c r="P2191">
        <v>0</v>
      </c>
      <c r="Q2191">
        <v>0</v>
      </c>
      <c r="R2191" t="s">
        <v>41252</v>
      </c>
      <c r="S2191" t="s">
        <v>41383</v>
      </c>
      <c r="T2191" t="s">
        <v>42670</v>
      </c>
      <c r="U2191" t="s">
        <v>45083</v>
      </c>
      <c r="W2191" t="s">
        <v>38468</v>
      </c>
      <c r="X2191" t="s">
        <v>41257</v>
      </c>
    </row>
    <row r="2192" spans="1:24">
      <c r="A2192">
        <f>HYPERLINK("https://www.philgeps.gov.ph/GEPSNONPILOT/Tender/SplashBidNoticeAbstractUI.aspx?menuIndex=3&amp;refID=7071268&amp;Result=3","7071268")</f>
        <v>0</v>
      </c>
      <c r="B2192" t="s">
        <v>944</v>
      </c>
      <c r="C2192" t="s">
        <v>5478</v>
      </c>
      <c r="D2192" t="s">
        <v>16637</v>
      </c>
      <c r="E2192" t="s">
        <v>18721</v>
      </c>
      <c r="F2192" t="s">
        <v>28669</v>
      </c>
      <c r="G2192" t="s">
        <v>28675</v>
      </c>
      <c r="H2192" t="s">
        <v>9998</v>
      </c>
      <c r="I2192" t="s">
        <v>7352</v>
      </c>
      <c r="J2192" t="s">
        <v>30327</v>
      </c>
      <c r="K2192" t="s">
        <v>37210</v>
      </c>
      <c r="M2192" t="s">
        <v>38468</v>
      </c>
      <c r="N2192" t="s">
        <v>41249</v>
      </c>
      <c r="O2192" t="s">
        <v>41250</v>
      </c>
      <c r="P2192">
        <v>0</v>
      </c>
      <c r="Q2192">
        <v>0</v>
      </c>
      <c r="R2192" t="s">
        <v>41252</v>
      </c>
      <c r="S2192" t="s">
        <v>41383</v>
      </c>
      <c r="T2192" t="s">
        <v>42670</v>
      </c>
      <c r="U2192" t="s">
        <v>45091</v>
      </c>
      <c r="W2192" t="s">
        <v>38468</v>
      </c>
      <c r="X2192" t="s">
        <v>41257</v>
      </c>
    </row>
    <row r="2193" spans="1:24">
      <c r="A2193">
        <f>HYPERLINK("https://www.philgeps.gov.ph/GEPSNONPILOT/Tender/SplashBidNoticeAbstractUI.aspx?menuIndex=3&amp;refID=7071352&amp;Result=3","7071352")</f>
        <v>0</v>
      </c>
      <c r="B2193" t="s">
        <v>52</v>
      </c>
      <c r="C2193" t="s">
        <v>5479</v>
      </c>
      <c r="D2193" t="s">
        <v>16629</v>
      </c>
      <c r="E2193" t="s">
        <v>18722</v>
      </c>
      <c r="F2193" t="s">
        <v>28670</v>
      </c>
      <c r="G2193" t="s">
        <v>28675</v>
      </c>
      <c r="H2193" t="s">
        <v>28686</v>
      </c>
      <c r="I2193" t="s">
        <v>28689</v>
      </c>
      <c r="J2193" t="s">
        <v>30328</v>
      </c>
      <c r="K2193" t="s">
        <v>37223</v>
      </c>
      <c r="M2193" t="s">
        <v>37527</v>
      </c>
      <c r="N2193" t="s">
        <v>41249</v>
      </c>
      <c r="O2193" t="s">
        <v>41250</v>
      </c>
      <c r="P2193">
        <v>0</v>
      </c>
      <c r="Q2193">
        <v>0</v>
      </c>
      <c r="R2193" t="s">
        <v>41252</v>
      </c>
      <c r="S2193" t="s">
        <v>41383</v>
      </c>
      <c r="T2193" t="s">
        <v>42693</v>
      </c>
      <c r="U2193" t="s">
        <v>45092</v>
      </c>
      <c r="W2193" t="s">
        <v>37527</v>
      </c>
      <c r="X2193" t="s">
        <v>41257</v>
      </c>
    </row>
    <row r="2194" spans="1:24">
      <c r="A2194">
        <f>HYPERLINK("https://www.philgeps.gov.ph/GEPSNONPILOT/Tender/SplashBidNoticeAbstractUI.aspx?menuIndex=3&amp;refID=7071265&amp;Result=3","7071265")</f>
        <v>0</v>
      </c>
      <c r="B2194" t="s">
        <v>52</v>
      </c>
      <c r="C2194" t="s">
        <v>5480</v>
      </c>
      <c r="D2194" t="s">
        <v>16629</v>
      </c>
      <c r="E2194" t="s">
        <v>18723</v>
      </c>
      <c r="F2194" t="s">
        <v>28670</v>
      </c>
      <c r="G2194" t="s">
        <v>28675</v>
      </c>
      <c r="H2194" t="s">
        <v>28686</v>
      </c>
      <c r="I2194" t="s">
        <v>28689</v>
      </c>
      <c r="J2194" t="s">
        <v>30329</v>
      </c>
      <c r="K2194" t="s">
        <v>37221</v>
      </c>
      <c r="M2194" t="s">
        <v>37527</v>
      </c>
      <c r="N2194" t="s">
        <v>41249</v>
      </c>
      <c r="O2194" t="s">
        <v>41250</v>
      </c>
      <c r="P2194">
        <v>0</v>
      </c>
      <c r="Q2194">
        <v>0</v>
      </c>
      <c r="R2194" t="s">
        <v>41252</v>
      </c>
      <c r="S2194" t="s">
        <v>41383</v>
      </c>
      <c r="T2194" t="s">
        <v>42777</v>
      </c>
      <c r="U2194" t="s">
        <v>45093</v>
      </c>
      <c r="W2194" t="s">
        <v>37527</v>
      </c>
      <c r="X2194" t="s">
        <v>41257</v>
      </c>
    </row>
    <row r="2195" spans="1:24">
      <c r="A2195">
        <f>HYPERLINK("https://www.philgeps.gov.ph/GEPSNONPILOT/Tender/SplashBidNoticeAbstractUI.aspx?menuIndex=3&amp;refID=7071320&amp;Result=3","7071320")</f>
        <v>0</v>
      </c>
      <c r="B2195" t="s">
        <v>947</v>
      </c>
      <c r="C2195" t="s">
        <v>5481</v>
      </c>
      <c r="D2195" t="s">
        <v>16631</v>
      </c>
      <c r="E2195" t="s">
        <v>18724</v>
      </c>
      <c r="F2195" t="s">
        <v>28669</v>
      </c>
      <c r="G2195" t="s">
        <v>28676</v>
      </c>
      <c r="H2195" t="s">
        <v>9998</v>
      </c>
      <c r="I2195" t="s">
        <v>5213</v>
      </c>
      <c r="J2195" t="s">
        <v>30330</v>
      </c>
      <c r="K2195" t="s">
        <v>37206</v>
      </c>
      <c r="M2195" t="s">
        <v>38471</v>
      </c>
      <c r="N2195" t="s">
        <v>41249</v>
      </c>
      <c r="O2195" t="s">
        <v>41250</v>
      </c>
      <c r="P2195">
        <v>0</v>
      </c>
      <c r="Q2195">
        <v>1</v>
      </c>
      <c r="R2195" t="s">
        <v>41252</v>
      </c>
      <c r="S2195" t="s">
        <v>41383</v>
      </c>
      <c r="T2195" t="s">
        <v>42736</v>
      </c>
      <c r="U2195" t="s">
        <v>45094</v>
      </c>
      <c r="V2195" t="s">
        <v>54524</v>
      </c>
      <c r="W2195" t="s">
        <v>38471</v>
      </c>
      <c r="X2195" t="s">
        <v>41257</v>
      </c>
    </row>
    <row r="2196" spans="1:24">
      <c r="A2196">
        <f>HYPERLINK("https://www.philgeps.gov.ph/GEPSNONPILOT/Tender/SplashBidNoticeAbstractUI.aspx?menuIndex=3&amp;refID=7071308&amp;Result=3","7071308")</f>
        <v>0</v>
      </c>
      <c r="B2196" t="s">
        <v>52</v>
      </c>
      <c r="C2196" t="s">
        <v>5482</v>
      </c>
      <c r="D2196" t="s">
        <v>16629</v>
      </c>
      <c r="E2196" t="s">
        <v>18725</v>
      </c>
      <c r="F2196" t="s">
        <v>28670</v>
      </c>
      <c r="G2196" t="s">
        <v>28675</v>
      </c>
      <c r="H2196" t="s">
        <v>28686</v>
      </c>
      <c r="I2196" t="s">
        <v>28689</v>
      </c>
      <c r="J2196" t="s">
        <v>30331</v>
      </c>
      <c r="K2196" t="s">
        <v>37221</v>
      </c>
      <c r="M2196" t="s">
        <v>37527</v>
      </c>
      <c r="N2196" t="s">
        <v>41249</v>
      </c>
      <c r="O2196" t="s">
        <v>41250</v>
      </c>
      <c r="P2196">
        <v>0</v>
      </c>
      <c r="Q2196">
        <v>0</v>
      </c>
      <c r="R2196" t="s">
        <v>41252</v>
      </c>
      <c r="S2196" t="s">
        <v>41383</v>
      </c>
      <c r="T2196" t="s">
        <v>42716</v>
      </c>
      <c r="U2196" t="s">
        <v>45095</v>
      </c>
      <c r="W2196" t="s">
        <v>37527</v>
      </c>
      <c r="X2196" t="s">
        <v>41257</v>
      </c>
    </row>
    <row r="2197" spans="1:24">
      <c r="A2197">
        <f>HYPERLINK("https://www.philgeps.gov.ph/GEPSNONPILOT/Tender/SplashBidNoticeAbstractUI.aspx?menuIndex=3&amp;refID=7071094&amp;Result=3","7071094")</f>
        <v>0</v>
      </c>
      <c r="B2197" t="s">
        <v>948</v>
      </c>
      <c r="C2197" t="s">
        <v>5483</v>
      </c>
      <c r="D2197" t="s">
        <v>16672</v>
      </c>
      <c r="E2197" t="s">
        <v>18726</v>
      </c>
      <c r="F2197" t="s">
        <v>28669</v>
      </c>
      <c r="G2197" t="s">
        <v>28675</v>
      </c>
      <c r="H2197" t="s">
        <v>28686</v>
      </c>
      <c r="I2197" t="s">
        <v>28689</v>
      </c>
      <c r="J2197" t="s">
        <v>29540</v>
      </c>
      <c r="K2197" t="s">
        <v>37213</v>
      </c>
      <c r="M2197" t="s">
        <v>38472</v>
      </c>
      <c r="N2197" t="s">
        <v>41249</v>
      </c>
      <c r="O2197" t="s">
        <v>41250</v>
      </c>
      <c r="P2197">
        <v>0</v>
      </c>
      <c r="Q2197">
        <v>0</v>
      </c>
      <c r="R2197" t="s">
        <v>41252</v>
      </c>
      <c r="S2197" t="s">
        <v>41383</v>
      </c>
      <c r="T2197" t="s">
        <v>42722</v>
      </c>
      <c r="U2197" t="s">
        <v>45096</v>
      </c>
      <c r="V2197" t="s">
        <v>54525</v>
      </c>
      <c r="W2197" t="s">
        <v>38472</v>
      </c>
      <c r="X2197" t="s">
        <v>41257</v>
      </c>
    </row>
    <row r="2198" spans="1:24">
      <c r="A2198">
        <f>HYPERLINK("https://www.philgeps.gov.ph/GEPSNONPILOT/Tender/SplashBidNoticeAbstractUI.aspx?menuIndex=3&amp;refID=7071022&amp;Result=3","7071022")</f>
        <v>0</v>
      </c>
      <c r="B2198" t="s">
        <v>949</v>
      </c>
      <c r="C2198" t="s">
        <v>5484</v>
      </c>
      <c r="D2198" t="s">
        <v>16675</v>
      </c>
      <c r="E2198" t="s">
        <v>18727</v>
      </c>
      <c r="F2198" t="s">
        <v>28669</v>
      </c>
      <c r="G2198" t="s">
        <v>28676</v>
      </c>
      <c r="H2198" t="s">
        <v>9998</v>
      </c>
      <c r="I2198" t="s">
        <v>6128</v>
      </c>
      <c r="J2198" t="s">
        <v>30332</v>
      </c>
      <c r="K2198" t="s">
        <v>37206</v>
      </c>
      <c r="M2198" t="s">
        <v>38473</v>
      </c>
      <c r="N2198" t="s">
        <v>41249</v>
      </c>
      <c r="O2198" t="s">
        <v>41250</v>
      </c>
      <c r="P2198">
        <v>0</v>
      </c>
      <c r="Q2198">
        <v>0</v>
      </c>
      <c r="R2198" t="s">
        <v>41252</v>
      </c>
      <c r="S2198" t="s">
        <v>41383</v>
      </c>
      <c r="T2198" t="s">
        <v>42675</v>
      </c>
      <c r="U2198" t="s">
        <v>45097</v>
      </c>
      <c r="W2198" t="s">
        <v>38473</v>
      </c>
      <c r="X2198" t="s">
        <v>41257</v>
      </c>
    </row>
    <row r="2199" spans="1:24">
      <c r="A2199">
        <f>HYPERLINK("https://www.philgeps.gov.ph/GEPSNONPILOT/Tender/SplashBidNoticeAbstractUI.aspx?menuIndex=3&amp;refID=7070847&amp;Result=3","7070847")</f>
        <v>0</v>
      </c>
      <c r="B2199" t="s">
        <v>931</v>
      </c>
      <c r="C2199" t="s">
        <v>5485</v>
      </c>
      <c r="D2199" t="s">
        <v>16608</v>
      </c>
      <c r="E2199" t="s">
        <v>18728</v>
      </c>
      <c r="F2199" t="s">
        <v>28669</v>
      </c>
      <c r="G2199" t="s">
        <v>28676</v>
      </c>
      <c r="H2199" t="s">
        <v>9998</v>
      </c>
      <c r="I2199" t="s">
        <v>11593</v>
      </c>
      <c r="J2199" t="s">
        <v>29328</v>
      </c>
      <c r="K2199" t="s">
        <v>37204</v>
      </c>
      <c r="M2199" t="s">
        <v>38453</v>
      </c>
      <c r="N2199" t="s">
        <v>41249</v>
      </c>
      <c r="O2199" t="s">
        <v>41250</v>
      </c>
      <c r="P2199">
        <v>0</v>
      </c>
      <c r="Q2199">
        <v>15</v>
      </c>
      <c r="R2199" t="s">
        <v>41252</v>
      </c>
      <c r="S2199" t="s">
        <v>41383</v>
      </c>
      <c r="T2199" t="s">
        <v>42736</v>
      </c>
      <c r="U2199" t="s">
        <v>45098</v>
      </c>
      <c r="V2199" t="s">
        <v>54526</v>
      </c>
      <c r="W2199" t="s">
        <v>38453</v>
      </c>
      <c r="X2199" t="s">
        <v>41257</v>
      </c>
    </row>
    <row r="2200" spans="1:24">
      <c r="A2200">
        <f>HYPERLINK("https://www.philgeps.gov.ph/GEPSNONPILOT/Tender/SplashBidNoticeAbstractUI.aspx?menuIndex=3&amp;refID=7070511&amp;Result=3","7070511")</f>
        <v>0</v>
      </c>
      <c r="B2200" t="s">
        <v>933</v>
      </c>
      <c r="C2200" t="s">
        <v>5486</v>
      </c>
      <c r="D2200" t="s">
        <v>16616</v>
      </c>
      <c r="E2200" t="s">
        <v>18729</v>
      </c>
      <c r="F2200" t="s">
        <v>28669</v>
      </c>
      <c r="G2200" t="s">
        <v>28676</v>
      </c>
      <c r="H2200" t="s">
        <v>28686</v>
      </c>
      <c r="I2200" t="s">
        <v>28689</v>
      </c>
      <c r="J2200" t="s">
        <v>28894</v>
      </c>
      <c r="K2200" t="s">
        <v>37209</v>
      </c>
      <c r="M2200" t="s">
        <v>38455</v>
      </c>
      <c r="N2200" t="s">
        <v>41249</v>
      </c>
      <c r="O2200" t="s">
        <v>41250</v>
      </c>
      <c r="P2200">
        <v>0</v>
      </c>
      <c r="Q2200">
        <v>0</v>
      </c>
      <c r="R2200" t="s">
        <v>41252</v>
      </c>
      <c r="S2200" t="s">
        <v>41383</v>
      </c>
      <c r="T2200" t="s">
        <v>42743</v>
      </c>
      <c r="U2200" t="s">
        <v>45099</v>
      </c>
      <c r="W2200" t="s">
        <v>38455</v>
      </c>
      <c r="X2200" t="s">
        <v>41257</v>
      </c>
    </row>
    <row r="2201" spans="1:24">
      <c r="A2201">
        <f>HYPERLINK("https://www.philgeps.gov.ph/GEPSNONPILOT/Tender/SplashBidNoticeAbstractUI.aspx?menuIndex=3&amp;refID=7070991&amp;Result=3","7070991")</f>
        <v>0</v>
      </c>
      <c r="B2201" t="s">
        <v>948</v>
      </c>
      <c r="C2201" t="s">
        <v>5487</v>
      </c>
      <c r="D2201" t="s">
        <v>16672</v>
      </c>
      <c r="E2201" t="s">
        <v>18730</v>
      </c>
      <c r="F2201" t="s">
        <v>28669</v>
      </c>
      <c r="G2201" t="s">
        <v>28675</v>
      </c>
      <c r="H2201" t="s">
        <v>28686</v>
      </c>
      <c r="I2201" t="s">
        <v>28689</v>
      </c>
      <c r="J2201" t="s">
        <v>30333</v>
      </c>
      <c r="K2201" t="s">
        <v>37215</v>
      </c>
      <c r="M2201" t="s">
        <v>38472</v>
      </c>
      <c r="N2201" t="s">
        <v>41249</v>
      </c>
      <c r="O2201" t="s">
        <v>41250</v>
      </c>
      <c r="P2201">
        <v>0</v>
      </c>
      <c r="Q2201">
        <v>0</v>
      </c>
      <c r="R2201" t="s">
        <v>41252</v>
      </c>
      <c r="S2201" t="s">
        <v>41383</v>
      </c>
      <c r="T2201" t="s">
        <v>42722</v>
      </c>
      <c r="U2201" t="s">
        <v>45096</v>
      </c>
      <c r="V2201" t="s">
        <v>54527</v>
      </c>
      <c r="W2201" t="s">
        <v>38472</v>
      </c>
      <c r="X2201" t="s">
        <v>41257</v>
      </c>
    </row>
    <row r="2202" spans="1:24">
      <c r="A2202">
        <f>HYPERLINK("https://www.philgeps.gov.ph/GEPSNONPILOT/Tender/SplashBidNoticeAbstractUI.aspx?menuIndex=3&amp;refID=7070741&amp;Result=3","7070741")</f>
        <v>0</v>
      </c>
      <c r="B2202" t="s">
        <v>943</v>
      </c>
      <c r="C2202" t="s">
        <v>5488</v>
      </c>
      <c r="D2202" t="s">
        <v>16665</v>
      </c>
      <c r="E2202" t="s">
        <v>18731</v>
      </c>
      <c r="F2202" t="s">
        <v>28669</v>
      </c>
      <c r="G2202" t="s">
        <v>28675</v>
      </c>
      <c r="H2202" t="s">
        <v>9998</v>
      </c>
      <c r="I2202" t="s">
        <v>28784</v>
      </c>
      <c r="J2202" t="s">
        <v>30334</v>
      </c>
      <c r="K2202" t="s">
        <v>37208</v>
      </c>
      <c r="M2202" t="s">
        <v>38466</v>
      </c>
      <c r="N2202" t="s">
        <v>41249</v>
      </c>
      <c r="O2202" t="s">
        <v>41250</v>
      </c>
      <c r="P2202">
        <v>0</v>
      </c>
      <c r="Q2202">
        <v>0</v>
      </c>
      <c r="R2202" t="s">
        <v>41252</v>
      </c>
      <c r="S2202" t="s">
        <v>41383</v>
      </c>
      <c r="T2202" t="s">
        <v>42757</v>
      </c>
      <c r="U2202" t="s">
        <v>45100</v>
      </c>
      <c r="W2202" t="s">
        <v>38466</v>
      </c>
      <c r="X2202" t="s">
        <v>41257</v>
      </c>
    </row>
    <row r="2203" spans="1:24">
      <c r="A2203">
        <f>HYPERLINK("https://www.philgeps.gov.ph/GEPSNONPILOT/Tender/SplashBidNoticeAbstractUI.aspx?menuIndex=3&amp;refID=7071920&amp;Result=3","7071920")</f>
        <v>0</v>
      </c>
      <c r="B2203" t="s">
        <v>950</v>
      </c>
      <c r="C2203" t="s">
        <v>5489</v>
      </c>
      <c r="D2203" t="s">
        <v>16615</v>
      </c>
      <c r="E2203" t="s">
        <v>18732</v>
      </c>
      <c r="F2203" t="s">
        <v>28669</v>
      </c>
      <c r="G2203" t="s">
        <v>28676</v>
      </c>
      <c r="H2203" t="s">
        <v>9998</v>
      </c>
      <c r="I2203" t="s">
        <v>11593</v>
      </c>
      <c r="J2203" t="s">
        <v>29189</v>
      </c>
      <c r="K2203" t="s">
        <v>37208</v>
      </c>
      <c r="M2203" t="s">
        <v>38474</v>
      </c>
      <c r="N2203" t="s">
        <v>41249</v>
      </c>
      <c r="O2203" t="s">
        <v>41250</v>
      </c>
      <c r="P2203">
        <v>0</v>
      </c>
      <c r="Q2203">
        <v>3</v>
      </c>
      <c r="R2203" t="s">
        <v>41252</v>
      </c>
      <c r="S2203" t="s">
        <v>41383</v>
      </c>
      <c r="T2203" t="s">
        <v>42673</v>
      </c>
      <c r="U2203" t="s">
        <v>45101</v>
      </c>
      <c r="W2203" t="s">
        <v>38474</v>
      </c>
      <c r="X2203" t="s">
        <v>41257</v>
      </c>
    </row>
    <row r="2204" spans="1:24">
      <c r="A2204">
        <f>HYPERLINK("https://www.philgeps.gov.ph/GEPSNONPILOT/Tender/SplashBidNoticeAbstractUI.aspx?menuIndex=3&amp;refID=7071846&amp;Result=3","7071846")</f>
        <v>0</v>
      </c>
      <c r="B2204" t="s">
        <v>951</v>
      </c>
      <c r="C2204" t="s">
        <v>5490</v>
      </c>
      <c r="D2204" t="s">
        <v>16666</v>
      </c>
      <c r="E2204" t="s">
        <v>18733</v>
      </c>
      <c r="F2204" t="s">
        <v>28669</v>
      </c>
      <c r="G2204" t="s">
        <v>28676</v>
      </c>
      <c r="H2204" t="s">
        <v>9998</v>
      </c>
      <c r="I2204" t="s">
        <v>15140</v>
      </c>
      <c r="J2204" t="s">
        <v>30335</v>
      </c>
      <c r="K2204" t="s">
        <v>37234</v>
      </c>
      <c r="M2204" t="s">
        <v>38475</v>
      </c>
      <c r="N2204" t="s">
        <v>41249</v>
      </c>
      <c r="O2204" t="s">
        <v>41250</v>
      </c>
      <c r="P2204">
        <v>0</v>
      </c>
      <c r="Q2204">
        <v>0</v>
      </c>
      <c r="R2204" t="s">
        <v>41252</v>
      </c>
      <c r="S2204" t="s">
        <v>41383</v>
      </c>
      <c r="T2204" t="s">
        <v>42770</v>
      </c>
      <c r="U2204" t="s">
        <v>45102</v>
      </c>
      <c r="W2204" t="s">
        <v>38475</v>
      </c>
      <c r="X2204" t="s">
        <v>41257</v>
      </c>
    </row>
    <row r="2205" spans="1:24">
      <c r="A2205">
        <f>HYPERLINK("https://www.philgeps.gov.ph/GEPSNONPILOT/Tender/SplashBidNoticeAbstractUI.aspx?menuIndex=3&amp;refID=7071793&amp;Result=3","7071793")</f>
        <v>0</v>
      </c>
      <c r="B2205" t="s">
        <v>952</v>
      </c>
      <c r="C2205" t="s">
        <v>5491</v>
      </c>
      <c r="D2205" t="s">
        <v>16680</v>
      </c>
      <c r="E2205" t="s">
        <v>18246</v>
      </c>
      <c r="F2205" t="s">
        <v>28669</v>
      </c>
      <c r="G2205" t="s">
        <v>28675</v>
      </c>
      <c r="H2205" t="s">
        <v>28686</v>
      </c>
      <c r="I2205" t="s">
        <v>7352</v>
      </c>
      <c r="J2205" t="s">
        <v>30336</v>
      </c>
      <c r="K2205" t="s">
        <v>37209</v>
      </c>
      <c r="M2205" t="s">
        <v>38476</v>
      </c>
      <c r="N2205" t="s">
        <v>41249</v>
      </c>
      <c r="O2205" t="s">
        <v>41250</v>
      </c>
      <c r="P2205">
        <v>0</v>
      </c>
      <c r="Q2205">
        <v>0</v>
      </c>
      <c r="R2205" t="s">
        <v>41252</v>
      </c>
      <c r="S2205" t="s">
        <v>41383</v>
      </c>
      <c r="T2205" t="s">
        <v>42809</v>
      </c>
      <c r="U2205" t="s">
        <v>45103</v>
      </c>
      <c r="W2205" t="s">
        <v>38476</v>
      </c>
      <c r="X2205" t="s">
        <v>41257</v>
      </c>
    </row>
    <row r="2206" spans="1:24">
      <c r="A2206">
        <f>HYPERLINK("https://www.philgeps.gov.ph/GEPSNONPILOT/Tender/SplashBidNoticeAbstractUI.aspx?menuIndex=3&amp;refID=7071704&amp;Result=3","7071704")</f>
        <v>0</v>
      </c>
      <c r="B2206" t="s">
        <v>953</v>
      </c>
      <c r="C2206" t="s">
        <v>5492</v>
      </c>
      <c r="D2206" t="s">
        <v>16608</v>
      </c>
      <c r="E2206" t="s">
        <v>18734</v>
      </c>
      <c r="F2206" t="s">
        <v>28669</v>
      </c>
      <c r="G2206" t="s">
        <v>28675</v>
      </c>
      <c r="H2206" t="s">
        <v>9998</v>
      </c>
      <c r="I2206" t="s">
        <v>28687</v>
      </c>
      <c r="J2206" t="s">
        <v>30062</v>
      </c>
      <c r="K2206" t="s">
        <v>37221</v>
      </c>
      <c r="M2206" t="s">
        <v>38477</v>
      </c>
      <c r="N2206" t="s">
        <v>41249</v>
      </c>
      <c r="O2206" t="s">
        <v>41250</v>
      </c>
      <c r="P2206">
        <v>0</v>
      </c>
      <c r="Q2206">
        <v>8</v>
      </c>
      <c r="R2206" t="s">
        <v>41252</v>
      </c>
      <c r="S2206" t="s">
        <v>41383</v>
      </c>
      <c r="T2206" t="s">
        <v>42693</v>
      </c>
      <c r="U2206" t="s">
        <v>45104</v>
      </c>
      <c r="W2206" t="s">
        <v>38477</v>
      </c>
      <c r="X2206" t="s">
        <v>41257</v>
      </c>
    </row>
    <row r="2207" spans="1:24">
      <c r="A2207">
        <f>HYPERLINK("https://www.philgeps.gov.ph/GEPSNONPILOT/Tender/SplashBidNoticeAbstractUI.aspx?menuIndex=3&amp;refID=7071695&amp;Result=3","7071695")</f>
        <v>0</v>
      </c>
      <c r="B2207" t="s">
        <v>51</v>
      </c>
      <c r="C2207" t="s">
        <v>5493</v>
      </c>
      <c r="D2207" t="s">
        <v>16631</v>
      </c>
      <c r="E2207" t="s">
        <v>18735</v>
      </c>
      <c r="F2207" t="s">
        <v>28669</v>
      </c>
      <c r="G2207" t="s">
        <v>28675</v>
      </c>
      <c r="H2207" t="s">
        <v>28686</v>
      </c>
      <c r="I2207" t="s">
        <v>28689</v>
      </c>
      <c r="J2207" t="s">
        <v>30337</v>
      </c>
      <c r="K2207" t="s">
        <v>37315</v>
      </c>
      <c r="M2207" t="s">
        <v>37526</v>
      </c>
      <c r="N2207" t="s">
        <v>41249</v>
      </c>
      <c r="O2207" t="s">
        <v>41250</v>
      </c>
      <c r="P2207">
        <v>0</v>
      </c>
      <c r="Q2207">
        <v>1</v>
      </c>
      <c r="R2207" t="s">
        <v>41252</v>
      </c>
      <c r="S2207" t="s">
        <v>41383</v>
      </c>
      <c r="T2207" t="s">
        <v>42684</v>
      </c>
      <c r="U2207" t="s">
        <v>45105</v>
      </c>
      <c r="W2207" t="s">
        <v>37526</v>
      </c>
      <c r="X2207" t="s">
        <v>41257</v>
      </c>
    </row>
    <row r="2208" spans="1:24">
      <c r="A2208">
        <f>HYPERLINK("https://www.philgeps.gov.ph/GEPSNONPILOT/Tender/SplashBidNoticeAbstractUI.aspx?menuIndex=3&amp;refID=7071264&amp;Result=3","7071264")</f>
        <v>0</v>
      </c>
      <c r="B2208" t="s">
        <v>946</v>
      </c>
      <c r="C2208" t="s">
        <v>5494</v>
      </c>
      <c r="D2208" t="s">
        <v>16637</v>
      </c>
      <c r="E2208" t="s">
        <v>18736</v>
      </c>
      <c r="F2208" t="s">
        <v>28669</v>
      </c>
      <c r="G2208" t="s">
        <v>28675</v>
      </c>
      <c r="H2208" t="s">
        <v>28685</v>
      </c>
      <c r="I2208" t="s">
        <v>28685</v>
      </c>
      <c r="J2208" t="s">
        <v>30338</v>
      </c>
      <c r="K2208" t="s">
        <v>37220</v>
      </c>
      <c r="L2208" t="s">
        <v>946</v>
      </c>
      <c r="M2208" t="s">
        <v>38470</v>
      </c>
      <c r="N2208" t="s">
        <v>41249</v>
      </c>
      <c r="O2208" t="s">
        <v>41250</v>
      </c>
      <c r="P2208">
        <v>0</v>
      </c>
      <c r="Q2208">
        <v>3</v>
      </c>
      <c r="R2208" t="s">
        <v>41252</v>
      </c>
      <c r="S2208" t="s">
        <v>41383</v>
      </c>
      <c r="T2208" t="s">
        <v>42872</v>
      </c>
      <c r="U2208" t="s">
        <v>45106</v>
      </c>
      <c r="W2208" t="s">
        <v>55939</v>
      </c>
      <c r="X2208" t="s">
        <v>41257</v>
      </c>
    </row>
    <row r="2209" spans="1:24">
      <c r="A2209">
        <f>HYPERLINK("https://www.philgeps.gov.ph/GEPSNONPILOT/Tender/SplashBidNoticeAbstractUI.aspx?menuIndex=3&amp;refID=7071685&amp;Result=3","7071685")</f>
        <v>0</v>
      </c>
      <c r="B2209" t="s">
        <v>51</v>
      </c>
      <c r="C2209" t="s">
        <v>5495</v>
      </c>
      <c r="D2209" t="s">
        <v>16631</v>
      </c>
      <c r="E2209" t="s">
        <v>18737</v>
      </c>
      <c r="F2209" t="s">
        <v>28669</v>
      </c>
      <c r="G2209" t="s">
        <v>28675</v>
      </c>
      <c r="H2209" t="s">
        <v>28686</v>
      </c>
      <c r="I2209" t="s">
        <v>28689</v>
      </c>
      <c r="J2209" t="s">
        <v>30339</v>
      </c>
      <c r="K2209" t="s">
        <v>37215</v>
      </c>
      <c r="M2209" t="s">
        <v>37526</v>
      </c>
      <c r="N2209" t="s">
        <v>41249</v>
      </c>
      <c r="O2209" t="s">
        <v>41250</v>
      </c>
      <c r="P2209">
        <v>0</v>
      </c>
      <c r="Q2209">
        <v>2</v>
      </c>
      <c r="R2209" t="s">
        <v>41252</v>
      </c>
      <c r="S2209" t="s">
        <v>41383</v>
      </c>
      <c r="T2209" t="s">
        <v>42684</v>
      </c>
      <c r="U2209" t="s">
        <v>45107</v>
      </c>
      <c r="W2209" t="s">
        <v>37526</v>
      </c>
      <c r="X2209" t="s">
        <v>41257</v>
      </c>
    </row>
    <row r="2210" spans="1:24">
      <c r="A2210">
        <f>HYPERLINK("https://www.philgeps.gov.ph/GEPSNONPILOT/Tender/SplashBidNoticeAbstractUI.aspx?menuIndex=3&amp;refID=7071681&amp;Result=3","7071681")</f>
        <v>0</v>
      </c>
      <c r="B2210" t="s">
        <v>954</v>
      </c>
      <c r="C2210" t="s">
        <v>5496</v>
      </c>
      <c r="D2210" t="s">
        <v>16644</v>
      </c>
      <c r="E2210" t="s">
        <v>17445</v>
      </c>
      <c r="F2210" t="s">
        <v>28669</v>
      </c>
      <c r="G2210" t="s">
        <v>28676</v>
      </c>
      <c r="H2210" t="s">
        <v>9998</v>
      </c>
      <c r="I2210" t="s">
        <v>28697</v>
      </c>
      <c r="J2210" t="s">
        <v>29281</v>
      </c>
      <c r="K2210" t="s">
        <v>37231</v>
      </c>
      <c r="M2210" t="s">
        <v>38478</v>
      </c>
      <c r="N2210" t="s">
        <v>41249</v>
      </c>
      <c r="O2210" t="s">
        <v>41250</v>
      </c>
      <c r="P2210">
        <v>0</v>
      </c>
      <c r="Q2210">
        <v>9</v>
      </c>
      <c r="R2210" t="s">
        <v>41252</v>
      </c>
      <c r="S2210" t="s">
        <v>41383</v>
      </c>
      <c r="T2210" t="s">
        <v>42675</v>
      </c>
      <c r="U2210" t="s">
        <v>45108</v>
      </c>
      <c r="W2210" t="s">
        <v>38478</v>
      </c>
      <c r="X2210" t="s">
        <v>41257</v>
      </c>
    </row>
    <row r="2211" spans="1:24">
      <c r="A2211">
        <f>HYPERLINK("https://www.philgeps.gov.ph/GEPSNONPILOT/Tender/SplashBidNoticeAbstractUI.aspx?menuIndex=3&amp;refID=7071658&amp;Result=3","7071658")</f>
        <v>0</v>
      </c>
      <c r="B2211" t="s">
        <v>51</v>
      </c>
      <c r="C2211" t="s">
        <v>5497</v>
      </c>
      <c r="D2211" t="s">
        <v>16631</v>
      </c>
      <c r="E2211" t="s">
        <v>18738</v>
      </c>
      <c r="F2211" t="s">
        <v>28669</v>
      </c>
      <c r="G2211" t="s">
        <v>28675</v>
      </c>
      <c r="H2211" t="s">
        <v>28686</v>
      </c>
      <c r="I2211" t="s">
        <v>28689</v>
      </c>
      <c r="J2211" t="s">
        <v>30340</v>
      </c>
      <c r="K2211" t="s">
        <v>37215</v>
      </c>
      <c r="M2211" t="s">
        <v>37526</v>
      </c>
      <c r="N2211" t="s">
        <v>41249</v>
      </c>
      <c r="O2211" t="s">
        <v>41250</v>
      </c>
      <c r="P2211">
        <v>0</v>
      </c>
      <c r="Q2211">
        <v>0</v>
      </c>
      <c r="R2211" t="s">
        <v>41252</v>
      </c>
      <c r="S2211" t="s">
        <v>41383</v>
      </c>
      <c r="T2211" t="s">
        <v>42684</v>
      </c>
      <c r="U2211" t="s">
        <v>45109</v>
      </c>
      <c r="W2211" t="s">
        <v>37526</v>
      </c>
      <c r="X2211" t="s">
        <v>41257</v>
      </c>
    </row>
    <row r="2212" spans="1:24">
      <c r="A2212">
        <f>HYPERLINK("https://www.philgeps.gov.ph/GEPSNONPILOT/Tender/SplashBidNoticeAbstractUI.aspx?menuIndex=3&amp;refID=7070918&amp;Result=3","7070918")</f>
        <v>0</v>
      </c>
      <c r="B2212" t="s">
        <v>955</v>
      </c>
      <c r="C2212" t="s">
        <v>5498</v>
      </c>
      <c r="D2212" t="s">
        <v>16608</v>
      </c>
      <c r="E2212" t="s">
        <v>18739</v>
      </c>
      <c r="F2212" t="s">
        <v>28669</v>
      </c>
      <c r="G2212" t="s">
        <v>28676</v>
      </c>
      <c r="H2212" t="s">
        <v>9998</v>
      </c>
      <c r="I2212" t="s">
        <v>28742</v>
      </c>
      <c r="J2212" t="s">
        <v>30341</v>
      </c>
      <c r="K2212" t="s">
        <v>37204</v>
      </c>
      <c r="M2212" t="s">
        <v>38479</v>
      </c>
      <c r="N2212" t="s">
        <v>41249</v>
      </c>
      <c r="O2212" t="s">
        <v>41250</v>
      </c>
      <c r="P2212">
        <v>0</v>
      </c>
      <c r="Q2212">
        <v>2</v>
      </c>
      <c r="R2212" t="s">
        <v>41252</v>
      </c>
      <c r="S2212" t="s">
        <v>41383</v>
      </c>
      <c r="T2212" t="s">
        <v>42748</v>
      </c>
      <c r="U2212" t="s">
        <v>45110</v>
      </c>
      <c r="W2212" t="s">
        <v>38479</v>
      </c>
      <c r="X2212" t="s">
        <v>41257</v>
      </c>
    </row>
    <row r="2213" spans="1:24">
      <c r="A2213">
        <f>HYPERLINK("https://www.philgeps.gov.ph/GEPSNONPILOT/Tender/SplashBidNoticeAbstractUI.aspx?menuIndex=3&amp;refID=7071655&amp;Result=3","7071655")</f>
        <v>0</v>
      </c>
      <c r="B2213" t="s">
        <v>752</v>
      </c>
      <c r="C2213" t="s">
        <v>5499</v>
      </c>
      <c r="E2213" t="s">
        <v>18740</v>
      </c>
      <c r="F2213" t="s">
        <v>28669</v>
      </c>
      <c r="G2213" t="s">
        <v>28676</v>
      </c>
      <c r="H2213" t="s">
        <v>9998</v>
      </c>
      <c r="I2213" t="s">
        <v>3718</v>
      </c>
      <c r="J2213" t="s">
        <v>28999</v>
      </c>
      <c r="K2213" t="s">
        <v>37209</v>
      </c>
      <c r="M2213" t="s">
        <v>38280</v>
      </c>
      <c r="N2213" t="s">
        <v>41249</v>
      </c>
      <c r="O2213" t="s">
        <v>41250</v>
      </c>
      <c r="P2213">
        <v>0</v>
      </c>
      <c r="Q2213">
        <v>5</v>
      </c>
      <c r="R2213" t="s">
        <v>41252</v>
      </c>
      <c r="S2213" t="s">
        <v>41383</v>
      </c>
      <c r="T2213" t="s">
        <v>42701</v>
      </c>
      <c r="U2213" t="s">
        <v>45111</v>
      </c>
      <c r="V2213" t="s">
        <v>54463</v>
      </c>
      <c r="W2213" t="s">
        <v>38280</v>
      </c>
      <c r="X2213" t="s">
        <v>41257</v>
      </c>
    </row>
    <row r="2214" spans="1:24">
      <c r="A2214">
        <f>HYPERLINK("https://www.philgeps.gov.ph/GEPSNONPILOT/Tender/SplashBidNoticeAbstractUI.aspx?menuIndex=3&amp;refID=7071628&amp;Result=3","7071628")</f>
        <v>0</v>
      </c>
      <c r="B2214" t="s">
        <v>51</v>
      </c>
      <c r="C2214" t="s">
        <v>5500</v>
      </c>
      <c r="D2214" t="s">
        <v>16631</v>
      </c>
      <c r="E2214" t="s">
        <v>18741</v>
      </c>
      <c r="F2214" t="s">
        <v>28669</v>
      </c>
      <c r="G2214" t="s">
        <v>28675</v>
      </c>
      <c r="H2214" t="s">
        <v>28686</v>
      </c>
      <c r="I2214" t="s">
        <v>28689</v>
      </c>
      <c r="J2214" t="s">
        <v>30342</v>
      </c>
      <c r="K2214" t="s">
        <v>37215</v>
      </c>
      <c r="M2214" t="s">
        <v>37526</v>
      </c>
      <c r="N2214" t="s">
        <v>41249</v>
      </c>
      <c r="O2214" t="s">
        <v>41250</v>
      </c>
      <c r="P2214">
        <v>0</v>
      </c>
      <c r="Q2214">
        <v>0</v>
      </c>
      <c r="R2214" t="s">
        <v>41252</v>
      </c>
      <c r="S2214" t="s">
        <v>41383</v>
      </c>
      <c r="T2214" t="s">
        <v>42684</v>
      </c>
      <c r="U2214" t="s">
        <v>45112</v>
      </c>
      <c r="W2214" t="s">
        <v>37526</v>
      </c>
      <c r="X2214" t="s">
        <v>41257</v>
      </c>
    </row>
    <row r="2215" spans="1:24">
      <c r="A2215">
        <f>HYPERLINK("https://www.philgeps.gov.ph/GEPSNONPILOT/Tender/SplashBidNoticeAbstractUI.aspx?menuIndex=3&amp;refID=7071941&amp;Result=3","7071941")</f>
        <v>0</v>
      </c>
      <c r="B2215" t="s">
        <v>956</v>
      </c>
      <c r="C2215" t="s">
        <v>5501</v>
      </c>
      <c r="D2215" t="s">
        <v>16679</v>
      </c>
      <c r="E2215" t="s">
        <v>18742</v>
      </c>
      <c r="F2215" t="s">
        <v>28669</v>
      </c>
      <c r="G2215" t="s">
        <v>28675</v>
      </c>
      <c r="H2215" t="s">
        <v>9998</v>
      </c>
      <c r="I2215" t="s">
        <v>3718</v>
      </c>
      <c r="J2215" t="s">
        <v>30343</v>
      </c>
      <c r="K2215" t="s">
        <v>37205</v>
      </c>
      <c r="M2215" t="s">
        <v>38480</v>
      </c>
      <c r="N2215" t="s">
        <v>41249</v>
      </c>
      <c r="O2215" t="s">
        <v>41250</v>
      </c>
      <c r="P2215">
        <v>0</v>
      </c>
      <c r="Q2215">
        <v>9</v>
      </c>
      <c r="R2215" t="s">
        <v>41252</v>
      </c>
      <c r="S2215" t="s">
        <v>41383</v>
      </c>
      <c r="T2215" t="s">
        <v>42672</v>
      </c>
      <c r="U2215" t="s">
        <v>45113</v>
      </c>
      <c r="V2215" t="s">
        <v>54528</v>
      </c>
      <c r="W2215" t="s">
        <v>38480</v>
      </c>
      <c r="X2215" t="s">
        <v>41257</v>
      </c>
    </row>
    <row r="2216" spans="1:24">
      <c r="A2216">
        <f>HYPERLINK("https://www.philgeps.gov.ph/GEPSNONPILOT/Tender/SplashBidNoticeAbstractUI.aspx?menuIndex=3&amp;refID=7072388&amp;Result=3","7072388")</f>
        <v>0</v>
      </c>
      <c r="B2216" t="s">
        <v>957</v>
      </c>
      <c r="C2216" t="s">
        <v>5502</v>
      </c>
      <c r="D2216" t="s">
        <v>16652</v>
      </c>
      <c r="E2216" t="s">
        <v>18743</v>
      </c>
      <c r="F2216" t="s">
        <v>28669</v>
      </c>
      <c r="G2216" t="s">
        <v>28675</v>
      </c>
      <c r="H2216" t="s">
        <v>9998</v>
      </c>
      <c r="I2216" t="s">
        <v>7352</v>
      </c>
      <c r="J2216" t="s">
        <v>30344</v>
      </c>
      <c r="K2216" t="s">
        <v>37205</v>
      </c>
      <c r="M2216" t="s">
        <v>38481</v>
      </c>
      <c r="N2216" t="s">
        <v>41249</v>
      </c>
      <c r="O2216" t="s">
        <v>41250</v>
      </c>
      <c r="P2216">
        <v>0</v>
      </c>
      <c r="Q2216">
        <v>0</v>
      </c>
      <c r="R2216" t="s">
        <v>41252</v>
      </c>
      <c r="S2216" t="s">
        <v>41383</v>
      </c>
      <c r="T2216" t="s">
        <v>42716</v>
      </c>
      <c r="U2216" t="s">
        <v>45114</v>
      </c>
      <c r="W2216" t="s">
        <v>38481</v>
      </c>
      <c r="X2216" t="s">
        <v>41256</v>
      </c>
    </row>
    <row r="2217" spans="1:24">
      <c r="A2217">
        <f>HYPERLINK("https://www.philgeps.gov.ph/GEPSNONPILOT/Tender/SplashBidNoticeAbstractUI.aspx?menuIndex=3&amp;refID=7072382&amp;Result=3","7072382")</f>
        <v>0</v>
      </c>
      <c r="B2217" t="s">
        <v>909</v>
      </c>
      <c r="C2217" t="s">
        <v>5503</v>
      </c>
      <c r="D2217" t="s">
        <v>16662</v>
      </c>
      <c r="E2217" t="s">
        <v>18744</v>
      </c>
      <c r="F2217" t="s">
        <v>28669</v>
      </c>
      <c r="G2217" t="s">
        <v>28675</v>
      </c>
      <c r="H2217" t="s">
        <v>9998</v>
      </c>
      <c r="I2217" t="s">
        <v>28712</v>
      </c>
      <c r="J2217" t="s">
        <v>30274</v>
      </c>
      <c r="K2217" t="s">
        <v>37206</v>
      </c>
      <c r="M2217" t="s">
        <v>38431</v>
      </c>
      <c r="N2217" t="s">
        <v>41249</v>
      </c>
      <c r="O2217" t="s">
        <v>41250</v>
      </c>
      <c r="P2217">
        <v>0</v>
      </c>
      <c r="Q2217">
        <v>1</v>
      </c>
      <c r="R2217" t="s">
        <v>41252</v>
      </c>
      <c r="S2217" t="s">
        <v>41383</v>
      </c>
      <c r="T2217" t="s">
        <v>42688</v>
      </c>
      <c r="U2217" t="s">
        <v>45115</v>
      </c>
      <c r="W2217" t="s">
        <v>38431</v>
      </c>
      <c r="X2217" t="s">
        <v>41256</v>
      </c>
    </row>
    <row r="2218" spans="1:24">
      <c r="A2218">
        <f>HYPERLINK("https://www.philgeps.gov.ph/GEPSNONPILOT/Tender/SplashBidNoticeAbstractUI.aspx?menuIndex=3&amp;refID=7071708&amp;Result=3","7071708")</f>
        <v>0</v>
      </c>
      <c r="B2218" t="s">
        <v>33</v>
      </c>
      <c r="C2218" t="s">
        <v>5504</v>
      </c>
      <c r="D2218" t="s">
        <v>16616</v>
      </c>
      <c r="E2218" t="s">
        <v>18745</v>
      </c>
      <c r="F2218" t="s">
        <v>28669</v>
      </c>
      <c r="G2218" t="s">
        <v>28675</v>
      </c>
      <c r="H2218" t="s">
        <v>9998</v>
      </c>
      <c r="I2218" t="s">
        <v>28706</v>
      </c>
      <c r="J2218" t="s">
        <v>28879</v>
      </c>
      <c r="K2218" t="s">
        <v>37204</v>
      </c>
      <c r="M2218" t="s">
        <v>38482</v>
      </c>
      <c r="N2218" t="s">
        <v>41249</v>
      </c>
      <c r="O2218" t="s">
        <v>41250</v>
      </c>
      <c r="P2218">
        <v>0</v>
      </c>
      <c r="Q2218">
        <v>4</v>
      </c>
      <c r="R2218" t="s">
        <v>41252</v>
      </c>
      <c r="S2218" t="s">
        <v>41383</v>
      </c>
      <c r="T2218" t="s">
        <v>42659</v>
      </c>
      <c r="U2218" t="s">
        <v>45116</v>
      </c>
      <c r="V2218" t="s">
        <v>54251</v>
      </c>
      <c r="W2218" t="s">
        <v>38482</v>
      </c>
      <c r="X2218" t="s">
        <v>41257</v>
      </c>
    </row>
    <row r="2219" spans="1:24">
      <c r="A2219">
        <f>HYPERLINK("https://www.philgeps.gov.ph/GEPSNONPILOT/Tender/SplashBidNoticeAbstractUI.aspx?menuIndex=3&amp;refID=7071236&amp;Result=3","7071236")</f>
        <v>0</v>
      </c>
      <c r="B2219" t="s">
        <v>944</v>
      </c>
      <c r="C2219" t="s">
        <v>5505</v>
      </c>
      <c r="D2219" t="s">
        <v>16637</v>
      </c>
      <c r="E2219" t="s">
        <v>18746</v>
      </c>
      <c r="F2219" t="s">
        <v>28669</v>
      </c>
      <c r="G2219" t="s">
        <v>28675</v>
      </c>
      <c r="H2219" t="s">
        <v>9998</v>
      </c>
      <c r="I2219" t="s">
        <v>7352</v>
      </c>
      <c r="J2219" t="s">
        <v>30345</v>
      </c>
      <c r="K2219" t="s">
        <v>37210</v>
      </c>
      <c r="M2219" t="s">
        <v>38468</v>
      </c>
      <c r="N2219" t="s">
        <v>41249</v>
      </c>
      <c r="O2219" t="s">
        <v>41250</v>
      </c>
      <c r="P2219">
        <v>0</v>
      </c>
      <c r="Q2219">
        <v>0</v>
      </c>
      <c r="R2219" t="s">
        <v>41252</v>
      </c>
      <c r="S2219" t="s">
        <v>41383</v>
      </c>
      <c r="T2219" t="s">
        <v>42670</v>
      </c>
      <c r="U2219" t="s">
        <v>45117</v>
      </c>
      <c r="W2219" t="s">
        <v>38468</v>
      </c>
      <c r="X2219" t="s">
        <v>41257</v>
      </c>
    </row>
    <row r="2220" spans="1:24">
      <c r="A2220">
        <f>HYPERLINK("https://www.philgeps.gov.ph/GEPSNONPILOT/Tender/SplashBidNoticeAbstractUI.aspx?menuIndex=3&amp;refID=7072159&amp;Result=3","7072159")</f>
        <v>0</v>
      </c>
      <c r="B2220" t="s">
        <v>958</v>
      </c>
      <c r="C2220" t="s">
        <v>5506</v>
      </c>
      <c r="D2220" t="s">
        <v>16658</v>
      </c>
      <c r="E2220" t="s">
        <v>18747</v>
      </c>
      <c r="F2220" t="s">
        <v>28669</v>
      </c>
      <c r="G2220" t="s">
        <v>28675</v>
      </c>
      <c r="H2220" t="s">
        <v>28686</v>
      </c>
      <c r="I2220" t="s">
        <v>28689</v>
      </c>
      <c r="J2220" t="s">
        <v>30346</v>
      </c>
      <c r="K2220" t="s">
        <v>37220</v>
      </c>
      <c r="M2220" t="s">
        <v>38483</v>
      </c>
      <c r="N2220" t="s">
        <v>41249</v>
      </c>
      <c r="O2220" t="s">
        <v>41250</v>
      </c>
      <c r="P2220">
        <v>0</v>
      </c>
      <c r="Q2220">
        <v>0</v>
      </c>
      <c r="R2220" t="s">
        <v>41252</v>
      </c>
      <c r="S2220" t="s">
        <v>41383</v>
      </c>
      <c r="T2220" t="s">
        <v>42709</v>
      </c>
      <c r="U2220" t="s">
        <v>45118</v>
      </c>
      <c r="W2220" t="s">
        <v>38483</v>
      </c>
      <c r="X2220" t="s">
        <v>41257</v>
      </c>
    </row>
    <row r="2221" spans="1:24">
      <c r="A2221">
        <f>HYPERLINK("https://www.philgeps.gov.ph/GEPSNONPILOT/Tender/SplashBidNoticeAbstractUI.aspx?menuIndex=3&amp;refID=7071851&amp;Result=3","7071851")</f>
        <v>0</v>
      </c>
      <c r="B2221" t="s">
        <v>595</v>
      </c>
      <c r="C2221" t="s">
        <v>5507</v>
      </c>
      <c r="D2221" t="s">
        <v>16654</v>
      </c>
      <c r="E2221" t="s">
        <v>18748</v>
      </c>
      <c r="F2221" t="s">
        <v>28669</v>
      </c>
      <c r="G2221" t="s">
        <v>28676</v>
      </c>
      <c r="H2221" t="s">
        <v>9998</v>
      </c>
      <c r="I2221" t="s">
        <v>28726</v>
      </c>
      <c r="J2221" t="s">
        <v>30347</v>
      </c>
      <c r="K2221" t="s">
        <v>37243</v>
      </c>
      <c r="M2221" t="s">
        <v>38094</v>
      </c>
      <c r="N2221" t="s">
        <v>41249</v>
      </c>
      <c r="O2221" t="s">
        <v>41250</v>
      </c>
      <c r="P2221">
        <v>0</v>
      </c>
      <c r="Q2221">
        <v>0</v>
      </c>
      <c r="R2221" t="s">
        <v>41252</v>
      </c>
      <c r="S2221" t="s">
        <v>41383</v>
      </c>
      <c r="T2221" t="s">
        <v>42736</v>
      </c>
      <c r="U2221" t="s">
        <v>45119</v>
      </c>
      <c r="W2221" t="s">
        <v>38094</v>
      </c>
      <c r="X2221" t="s">
        <v>41257</v>
      </c>
    </row>
    <row r="2222" spans="1:24">
      <c r="A2222">
        <f>HYPERLINK("https://www.philgeps.gov.ph/GEPSNONPILOT/Tender/SplashBidNoticeAbstractUI.aspx?menuIndex=3&amp;refID=7072153&amp;Result=3","7072153")</f>
        <v>0</v>
      </c>
      <c r="B2222" t="s">
        <v>958</v>
      </c>
      <c r="C2222" t="s">
        <v>5508</v>
      </c>
      <c r="D2222" t="s">
        <v>16658</v>
      </c>
      <c r="E2222" t="s">
        <v>18749</v>
      </c>
      <c r="F2222" t="s">
        <v>28669</v>
      </c>
      <c r="G2222" t="s">
        <v>28675</v>
      </c>
      <c r="H2222" t="s">
        <v>28686</v>
      </c>
      <c r="I2222" t="s">
        <v>28689</v>
      </c>
      <c r="J2222" t="s">
        <v>30348</v>
      </c>
      <c r="K2222" t="s">
        <v>37269</v>
      </c>
      <c r="M2222" t="s">
        <v>38483</v>
      </c>
      <c r="N2222" t="s">
        <v>41249</v>
      </c>
      <c r="O2222" t="s">
        <v>41250</v>
      </c>
      <c r="P2222">
        <v>0</v>
      </c>
      <c r="Q2222">
        <v>0</v>
      </c>
      <c r="R2222" t="s">
        <v>41252</v>
      </c>
      <c r="S2222" t="s">
        <v>41383</v>
      </c>
      <c r="T2222" t="s">
        <v>42709</v>
      </c>
      <c r="U2222" t="s">
        <v>45118</v>
      </c>
      <c r="W2222" t="s">
        <v>38483</v>
      </c>
      <c r="X2222" t="s">
        <v>41257</v>
      </c>
    </row>
    <row r="2223" spans="1:24">
      <c r="A2223">
        <f>HYPERLINK("https://www.philgeps.gov.ph/GEPSNONPILOT/Tender/SplashBidNoticeAbstractUI.aspx?menuIndex=3&amp;refID=7072146&amp;Result=3","7072146")</f>
        <v>0</v>
      </c>
      <c r="B2223" t="s">
        <v>958</v>
      </c>
      <c r="C2223" t="s">
        <v>4663</v>
      </c>
      <c r="D2223" t="s">
        <v>16658</v>
      </c>
      <c r="E2223" t="s">
        <v>18750</v>
      </c>
      <c r="F2223" t="s">
        <v>28669</v>
      </c>
      <c r="G2223" t="s">
        <v>28675</v>
      </c>
      <c r="H2223" t="s">
        <v>9998</v>
      </c>
      <c r="I2223" t="s">
        <v>28688</v>
      </c>
      <c r="J2223" t="s">
        <v>30349</v>
      </c>
      <c r="K2223" t="s">
        <v>37206</v>
      </c>
      <c r="M2223" t="s">
        <v>38483</v>
      </c>
      <c r="N2223" t="s">
        <v>41249</v>
      </c>
      <c r="O2223" t="s">
        <v>41250</v>
      </c>
      <c r="P2223">
        <v>0</v>
      </c>
      <c r="Q2223">
        <v>0</v>
      </c>
      <c r="R2223" t="s">
        <v>41252</v>
      </c>
      <c r="S2223" t="s">
        <v>41383</v>
      </c>
      <c r="T2223" t="s">
        <v>42709</v>
      </c>
      <c r="U2223" t="s">
        <v>45120</v>
      </c>
      <c r="W2223" t="s">
        <v>38483</v>
      </c>
      <c r="X2223" t="s">
        <v>41257</v>
      </c>
    </row>
    <row r="2224" spans="1:24">
      <c r="A2224">
        <f>HYPERLINK("https://www.philgeps.gov.ph/GEPSNONPILOT/Tender/SplashBidNoticeAbstractUI.aspx?menuIndex=3&amp;refID=7072079&amp;Result=3","7072079")</f>
        <v>0</v>
      </c>
      <c r="B2224" t="s">
        <v>659</v>
      </c>
      <c r="C2224" t="s">
        <v>5509</v>
      </c>
      <c r="D2224" t="s">
        <v>16643</v>
      </c>
      <c r="E2224" t="s">
        <v>18751</v>
      </c>
      <c r="F2224" t="s">
        <v>28669</v>
      </c>
      <c r="G2224" t="s">
        <v>28679</v>
      </c>
      <c r="H2224" t="s">
        <v>9998</v>
      </c>
      <c r="I2224" t="s">
        <v>28690</v>
      </c>
      <c r="J2224" t="s">
        <v>30350</v>
      </c>
      <c r="K2224" t="s">
        <v>37204</v>
      </c>
      <c r="M2224" t="s">
        <v>38161</v>
      </c>
      <c r="N2224" t="s">
        <v>41249</v>
      </c>
      <c r="O2224" t="s">
        <v>41250</v>
      </c>
      <c r="P2224">
        <v>0</v>
      </c>
      <c r="Q2224">
        <v>2</v>
      </c>
      <c r="R2224" t="s">
        <v>41252</v>
      </c>
      <c r="S2224" t="s">
        <v>41383</v>
      </c>
      <c r="T2224" t="s">
        <v>42736</v>
      </c>
      <c r="U2224" t="s">
        <v>45121</v>
      </c>
      <c r="W2224" t="s">
        <v>55925</v>
      </c>
      <c r="X2224" t="s">
        <v>41257</v>
      </c>
    </row>
    <row r="2225" spans="1:24">
      <c r="A2225">
        <f>HYPERLINK("https://www.philgeps.gov.ph/GEPSNONPILOT/Tender/SplashBidNoticeAbstractUI.aspx?menuIndex=3&amp;refID=7071496&amp;Result=3","7071496")</f>
        <v>0</v>
      </c>
      <c r="B2225" t="s">
        <v>51</v>
      </c>
      <c r="C2225" t="s">
        <v>3422</v>
      </c>
      <c r="D2225" t="s">
        <v>16631</v>
      </c>
      <c r="E2225" t="s">
        <v>18752</v>
      </c>
      <c r="F2225" t="s">
        <v>28669</v>
      </c>
      <c r="G2225" t="s">
        <v>28675</v>
      </c>
      <c r="H2225" t="s">
        <v>9998</v>
      </c>
      <c r="I2225" t="s">
        <v>28690</v>
      </c>
      <c r="J2225" t="s">
        <v>30351</v>
      </c>
      <c r="K2225" t="s">
        <v>37204</v>
      </c>
      <c r="M2225" t="s">
        <v>37526</v>
      </c>
      <c r="N2225" t="s">
        <v>41249</v>
      </c>
      <c r="O2225" t="s">
        <v>41250</v>
      </c>
      <c r="P2225">
        <v>0</v>
      </c>
      <c r="Q2225">
        <v>5</v>
      </c>
      <c r="R2225" t="s">
        <v>41252</v>
      </c>
      <c r="S2225" t="s">
        <v>41383</v>
      </c>
      <c r="T2225" t="s">
        <v>42765</v>
      </c>
      <c r="U2225" t="s">
        <v>43230</v>
      </c>
      <c r="V2225" t="s">
        <v>54529</v>
      </c>
      <c r="W2225" t="s">
        <v>37526</v>
      </c>
      <c r="X2225" t="s">
        <v>41257</v>
      </c>
    </row>
    <row r="2226" spans="1:24">
      <c r="A2226">
        <f>HYPERLINK("https://www.philgeps.gov.ph/GEPSNONPILOT/Tender/SplashBidNoticeAbstractUI.aspx?menuIndex=3&amp;refID=7072396&amp;Result=3","7072396")</f>
        <v>0</v>
      </c>
      <c r="B2226" t="s">
        <v>909</v>
      </c>
      <c r="C2226" t="s">
        <v>5510</v>
      </c>
      <c r="D2226" t="s">
        <v>16662</v>
      </c>
      <c r="E2226" t="s">
        <v>18753</v>
      </c>
      <c r="F2226" t="s">
        <v>28669</v>
      </c>
      <c r="G2226" t="s">
        <v>28675</v>
      </c>
      <c r="H2226" t="s">
        <v>9998</v>
      </c>
      <c r="I2226" t="s">
        <v>28695</v>
      </c>
      <c r="J2226" t="s">
        <v>29015</v>
      </c>
      <c r="K2226" t="s">
        <v>37206</v>
      </c>
      <c r="M2226" t="s">
        <v>38431</v>
      </c>
      <c r="N2226" t="s">
        <v>41249</v>
      </c>
      <c r="O2226" t="s">
        <v>41250</v>
      </c>
      <c r="P2226">
        <v>0</v>
      </c>
      <c r="Q2226">
        <v>0</v>
      </c>
      <c r="R2226" t="s">
        <v>41252</v>
      </c>
      <c r="S2226" t="s">
        <v>41383</v>
      </c>
      <c r="T2226" t="s">
        <v>42688</v>
      </c>
      <c r="U2226" t="s">
        <v>45122</v>
      </c>
      <c r="W2226" t="s">
        <v>38431</v>
      </c>
      <c r="X2226" t="s">
        <v>41256</v>
      </c>
    </row>
    <row r="2227" spans="1:24">
      <c r="A2227">
        <f>HYPERLINK("https://www.philgeps.gov.ph/GEPSNONPILOT/Tender/SplashBidNoticeAbstractUI.aspx?menuIndex=3&amp;refID=7072435&amp;Result=3","7072435")</f>
        <v>0</v>
      </c>
      <c r="B2227" t="s">
        <v>959</v>
      </c>
      <c r="C2227" t="s">
        <v>5511</v>
      </c>
      <c r="D2227" t="s">
        <v>16617</v>
      </c>
      <c r="E2227" t="s">
        <v>18754</v>
      </c>
      <c r="F2227" t="s">
        <v>28669</v>
      </c>
      <c r="G2227" t="s">
        <v>28675</v>
      </c>
      <c r="H2227" t="s">
        <v>9998</v>
      </c>
      <c r="I2227" t="s">
        <v>28690</v>
      </c>
      <c r="J2227" t="s">
        <v>30352</v>
      </c>
      <c r="K2227" t="s">
        <v>37266</v>
      </c>
      <c r="M2227" t="s">
        <v>38484</v>
      </c>
      <c r="N2227" t="s">
        <v>41249</v>
      </c>
      <c r="O2227" t="s">
        <v>41250</v>
      </c>
      <c r="P2227">
        <v>0</v>
      </c>
      <c r="Q2227">
        <v>2</v>
      </c>
      <c r="R2227" t="s">
        <v>41252</v>
      </c>
      <c r="S2227" t="s">
        <v>41383</v>
      </c>
      <c r="T2227" t="s">
        <v>42742</v>
      </c>
      <c r="U2227" t="s">
        <v>45123</v>
      </c>
      <c r="W2227" t="s">
        <v>38484</v>
      </c>
      <c r="X2227" t="s">
        <v>41256</v>
      </c>
    </row>
    <row r="2228" spans="1:24">
      <c r="A2228">
        <f>HYPERLINK("https://www.philgeps.gov.ph/GEPSNONPILOT/Tender/SplashBidNoticeAbstractUI.aspx?menuIndex=3&amp;refID=7072250&amp;Result=3","7072250")</f>
        <v>0</v>
      </c>
      <c r="B2228" t="s">
        <v>960</v>
      </c>
      <c r="C2228" t="s">
        <v>5512</v>
      </c>
      <c r="D2228" t="s">
        <v>16643</v>
      </c>
      <c r="E2228" t="s">
        <v>6569</v>
      </c>
      <c r="F2228" t="s">
        <v>28669</v>
      </c>
      <c r="G2228" t="s">
        <v>28675</v>
      </c>
      <c r="H2228" t="s">
        <v>9998</v>
      </c>
      <c r="I2228" t="s">
        <v>7352</v>
      </c>
      <c r="J2228" t="s">
        <v>30353</v>
      </c>
      <c r="K2228" t="s">
        <v>37234</v>
      </c>
      <c r="M2228" t="s">
        <v>38485</v>
      </c>
      <c r="N2228" t="s">
        <v>41249</v>
      </c>
      <c r="O2228" t="s">
        <v>41250</v>
      </c>
      <c r="P2228">
        <v>0</v>
      </c>
      <c r="Q2228">
        <v>0</v>
      </c>
      <c r="R2228" t="s">
        <v>41252</v>
      </c>
      <c r="S2228" t="s">
        <v>41383</v>
      </c>
      <c r="T2228" t="s">
        <v>42761</v>
      </c>
      <c r="U2228" t="s">
        <v>45124</v>
      </c>
      <c r="W2228" t="s">
        <v>38485</v>
      </c>
      <c r="X2228" t="s">
        <v>41257</v>
      </c>
    </row>
    <row r="2229" spans="1:24">
      <c r="A2229">
        <f>HYPERLINK("https://www.philgeps.gov.ph/GEPSNONPILOT/Tender/SplashBidNoticeAbstractUI.aspx?menuIndex=3&amp;refID=7072052&amp;Result=3","7072052")</f>
        <v>0</v>
      </c>
      <c r="B2229" t="s">
        <v>961</v>
      </c>
      <c r="C2229" t="s">
        <v>5513</v>
      </c>
      <c r="D2229" t="s">
        <v>16619</v>
      </c>
      <c r="E2229" t="s">
        <v>16820</v>
      </c>
      <c r="F2229" t="s">
        <v>28669</v>
      </c>
      <c r="G2229" t="s">
        <v>28677</v>
      </c>
      <c r="H2229" t="s">
        <v>9998</v>
      </c>
      <c r="I2229" t="s">
        <v>6606</v>
      </c>
      <c r="J2229" t="s">
        <v>28826</v>
      </c>
      <c r="K2229" t="s">
        <v>37234</v>
      </c>
      <c r="M2229" t="s">
        <v>38486</v>
      </c>
      <c r="N2229" t="s">
        <v>41249</v>
      </c>
      <c r="O2229" t="s">
        <v>41250</v>
      </c>
      <c r="P2229">
        <v>0</v>
      </c>
      <c r="Q2229">
        <v>1</v>
      </c>
      <c r="R2229" t="s">
        <v>41252</v>
      </c>
      <c r="S2229" t="s">
        <v>41383</v>
      </c>
      <c r="T2229" t="s">
        <v>42728</v>
      </c>
      <c r="U2229" t="s">
        <v>45125</v>
      </c>
      <c r="W2229" t="s">
        <v>38486</v>
      </c>
      <c r="X2229" t="s">
        <v>41257</v>
      </c>
    </row>
    <row r="2230" spans="1:24">
      <c r="A2230">
        <f>HYPERLINK("https://www.philgeps.gov.ph/GEPSNONPILOT/Tender/SplashBidNoticeAbstractUI.aspx?menuIndex=3&amp;refID=7069962&amp;Result=3","7069962")</f>
        <v>0</v>
      </c>
      <c r="B2230" t="s">
        <v>936</v>
      </c>
      <c r="C2230" t="s">
        <v>5514</v>
      </c>
      <c r="D2230" t="s">
        <v>16640</v>
      </c>
      <c r="E2230" t="s">
        <v>18755</v>
      </c>
      <c r="F2230" t="s">
        <v>28669</v>
      </c>
      <c r="G2230" t="s">
        <v>28676</v>
      </c>
      <c r="H2230" t="s">
        <v>9998</v>
      </c>
      <c r="I2230" t="s">
        <v>28700</v>
      </c>
      <c r="J2230" t="s">
        <v>30354</v>
      </c>
      <c r="K2230" t="s">
        <v>37229</v>
      </c>
      <c r="M2230" t="s">
        <v>38459</v>
      </c>
      <c r="N2230" t="s">
        <v>41249</v>
      </c>
      <c r="O2230" t="s">
        <v>41250</v>
      </c>
      <c r="P2230">
        <v>0</v>
      </c>
      <c r="Q2230">
        <v>3</v>
      </c>
      <c r="R2230" t="s">
        <v>41252</v>
      </c>
      <c r="S2230" t="s">
        <v>41383</v>
      </c>
      <c r="T2230" t="s">
        <v>42736</v>
      </c>
      <c r="U2230" t="s">
        <v>45126</v>
      </c>
      <c r="W2230" t="s">
        <v>38459</v>
      </c>
      <c r="X2230" t="s">
        <v>41258</v>
      </c>
    </row>
    <row r="2231" spans="1:24">
      <c r="A2231">
        <f>HYPERLINK("https://www.philgeps.gov.ph/GEPSNONPILOT/Tender/SplashBidNoticeAbstractUI.aspx?menuIndex=3&amp;refID=7072666&amp;Result=3","7072666")</f>
        <v>0</v>
      </c>
      <c r="B2231" t="s">
        <v>962</v>
      </c>
      <c r="C2231" t="s">
        <v>5515</v>
      </c>
      <c r="D2231" t="s">
        <v>16611</v>
      </c>
      <c r="E2231" t="s">
        <v>18756</v>
      </c>
      <c r="F2231" t="s">
        <v>28669</v>
      </c>
      <c r="G2231" t="s">
        <v>28675</v>
      </c>
      <c r="H2231" t="s">
        <v>28686</v>
      </c>
      <c r="I2231" t="s">
        <v>28689</v>
      </c>
      <c r="J2231" t="s">
        <v>30355</v>
      </c>
      <c r="K2231" t="s">
        <v>37213</v>
      </c>
      <c r="M2231" t="s">
        <v>38487</v>
      </c>
      <c r="N2231" t="s">
        <v>41249</v>
      </c>
      <c r="O2231" t="s">
        <v>41250</v>
      </c>
      <c r="P2231">
        <v>0</v>
      </c>
      <c r="Q2231">
        <v>0</v>
      </c>
      <c r="R2231" t="s">
        <v>41252</v>
      </c>
      <c r="S2231" t="s">
        <v>41383</v>
      </c>
      <c r="T2231" t="s">
        <v>42714</v>
      </c>
      <c r="U2231" t="s">
        <v>45127</v>
      </c>
      <c r="W2231" t="s">
        <v>38487</v>
      </c>
      <c r="X2231" t="s">
        <v>41256</v>
      </c>
    </row>
    <row r="2232" spans="1:24">
      <c r="A2232">
        <f>HYPERLINK("https://www.philgeps.gov.ph/GEPSNONPILOT/Tender/SplashBidNoticeAbstractUI.aspx?menuIndex=3&amp;refID=7072148&amp;Result=3","7072148")</f>
        <v>0</v>
      </c>
      <c r="B2232" t="s">
        <v>958</v>
      </c>
      <c r="C2232" t="s">
        <v>5516</v>
      </c>
      <c r="D2232" t="s">
        <v>16658</v>
      </c>
      <c r="E2232" t="s">
        <v>18757</v>
      </c>
      <c r="F2232" t="s">
        <v>28669</v>
      </c>
      <c r="G2232" t="s">
        <v>28675</v>
      </c>
      <c r="H2232" t="s">
        <v>9998</v>
      </c>
      <c r="I2232" t="s">
        <v>28687</v>
      </c>
      <c r="J2232" t="s">
        <v>28924</v>
      </c>
      <c r="K2232" t="s">
        <v>37206</v>
      </c>
      <c r="M2232" t="s">
        <v>38483</v>
      </c>
      <c r="N2232" t="s">
        <v>41249</v>
      </c>
      <c r="O2232" t="s">
        <v>41250</v>
      </c>
      <c r="P2232">
        <v>0</v>
      </c>
      <c r="Q2232">
        <v>5</v>
      </c>
      <c r="R2232" t="s">
        <v>41252</v>
      </c>
      <c r="S2232" t="s">
        <v>41383</v>
      </c>
      <c r="T2232" t="s">
        <v>42709</v>
      </c>
      <c r="U2232" t="s">
        <v>45120</v>
      </c>
      <c r="W2232" t="s">
        <v>38483</v>
      </c>
      <c r="X2232" t="s">
        <v>41257</v>
      </c>
    </row>
    <row r="2233" spans="1:24">
      <c r="A2233">
        <f>HYPERLINK("https://www.philgeps.gov.ph/GEPSNONPILOT/Tender/SplashBidNoticeAbstractUI.aspx?menuIndex=3&amp;refID=7072371&amp;Result=3","7072371")</f>
        <v>0</v>
      </c>
      <c r="B2233" t="s">
        <v>909</v>
      </c>
      <c r="C2233" t="s">
        <v>5517</v>
      </c>
      <c r="D2233" t="s">
        <v>16662</v>
      </c>
      <c r="E2233" t="s">
        <v>18758</v>
      </c>
      <c r="F2233" t="s">
        <v>28669</v>
      </c>
      <c r="G2233" t="s">
        <v>28675</v>
      </c>
      <c r="H2233" t="s">
        <v>9998</v>
      </c>
      <c r="I2233" t="s">
        <v>3679</v>
      </c>
      <c r="J2233" t="s">
        <v>29061</v>
      </c>
      <c r="K2233" t="s">
        <v>37206</v>
      </c>
      <c r="M2233" t="s">
        <v>38431</v>
      </c>
      <c r="N2233" t="s">
        <v>41249</v>
      </c>
      <c r="O2233" t="s">
        <v>41250</v>
      </c>
      <c r="P2233">
        <v>0</v>
      </c>
      <c r="Q2233">
        <v>0</v>
      </c>
      <c r="R2233" t="s">
        <v>41252</v>
      </c>
      <c r="S2233" t="s">
        <v>41383</v>
      </c>
      <c r="T2233" t="s">
        <v>42688</v>
      </c>
      <c r="U2233" t="s">
        <v>45128</v>
      </c>
      <c r="W2233" t="s">
        <v>38431</v>
      </c>
      <c r="X2233" t="s">
        <v>41256</v>
      </c>
    </row>
    <row r="2234" spans="1:24">
      <c r="A2234">
        <f>HYPERLINK("https://www.philgeps.gov.ph/GEPSNONPILOT/Tender/SplashBidNoticeAbstractUI.aspx?menuIndex=3&amp;refID=7072675&amp;Result=3","7072675")</f>
        <v>0</v>
      </c>
      <c r="B2234" t="s">
        <v>962</v>
      </c>
      <c r="C2234" t="s">
        <v>5518</v>
      </c>
      <c r="D2234" t="s">
        <v>16611</v>
      </c>
      <c r="E2234" t="s">
        <v>18759</v>
      </c>
      <c r="F2234" t="s">
        <v>28669</v>
      </c>
      <c r="G2234" t="s">
        <v>28675</v>
      </c>
      <c r="H2234" t="s">
        <v>28686</v>
      </c>
      <c r="I2234" t="s">
        <v>28689</v>
      </c>
      <c r="J2234" t="s">
        <v>30356</v>
      </c>
      <c r="K2234" t="s">
        <v>37220</v>
      </c>
      <c r="M2234" t="s">
        <v>38487</v>
      </c>
      <c r="N2234" t="s">
        <v>41249</v>
      </c>
      <c r="O2234" t="s">
        <v>41250</v>
      </c>
      <c r="P2234">
        <v>0</v>
      </c>
      <c r="Q2234">
        <v>0</v>
      </c>
      <c r="R2234" t="s">
        <v>41252</v>
      </c>
      <c r="S2234" t="s">
        <v>41383</v>
      </c>
      <c r="T2234" t="s">
        <v>42714</v>
      </c>
      <c r="U2234" t="s">
        <v>45129</v>
      </c>
      <c r="W2234" t="s">
        <v>38487</v>
      </c>
      <c r="X2234" t="s">
        <v>41256</v>
      </c>
    </row>
    <row r="2235" spans="1:24">
      <c r="A2235">
        <f>HYPERLINK("https://www.philgeps.gov.ph/GEPSNONPILOT/Tender/SplashBidNoticeAbstractUI.aspx?menuIndex=3&amp;refID=7072585&amp;Result=3","7072585")</f>
        <v>0</v>
      </c>
      <c r="B2235" t="s">
        <v>909</v>
      </c>
      <c r="C2235" t="s">
        <v>5519</v>
      </c>
      <c r="D2235" t="s">
        <v>16662</v>
      </c>
      <c r="E2235" t="s">
        <v>18760</v>
      </c>
      <c r="F2235" t="s">
        <v>28669</v>
      </c>
      <c r="G2235" t="s">
        <v>28675</v>
      </c>
      <c r="H2235" t="s">
        <v>9998</v>
      </c>
      <c r="I2235" t="s">
        <v>6128</v>
      </c>
      <c r="J2235" t="s">
        <v>30357</v>
      </c>
      <c r="K2235" t="s">
        <v>37206</v>
      </c>
      <c r="M2235" t="s">
        <v>38431</v>
      </c>
      <c r="N2235" t="s">
        <v>41249</v>
      </c>
      <c r="O2235" t="s">
        <v>41250</v>
      </c>
      <c r="P2235">
        <v>0</v>
      </c>
      <c r="Q2235">
        <v>0</v>
      </c>
      <c r="R2235" t="s">
        <v>41252</v>
      </c>
      <c r="S2235" t="s">
        <v>41383</v>
      </c>
      <c r="T2235" t="s">
        <v>42688</v>
      </c>
      <c r="U2235" t="s">
        <v>45130</v>
      </c>
      <c r="W2235" t="s">
        <v>38431</v>
      </c>
      <c r="X2235" t="s">
        <v>41256</v>
      </c>
    </row>
    <row r="2236" spans="1:24">
      <c r="A2236">
        <f>HYPERLINK("https://www.philgeps.gov.ph/GEPSNONPILOT/Tender/SplashBidNoticeAbstractUI.aspx?menuIndex=3&amp;refID=7072580&amp;Result=3","7072580")</f>
        <v>0</v>
      </c>
      <c r="B2236" t="s">
        <v>909</v>
      </c>
      <c r="C2236" t="s">
        <v>5520</v>
      </c>
      <c r="D2236" t="s">
        <v>16662</v>
      </c>
      <c r="E2236" t="s">
        <v>18761</v>
      </c>
      <c r="F2236" t="s">
        <v>28669</v>
      </c>
      <c r="G2236" t="s">
        <v>28675</v>
      </c>
      <c r="H2236" t="s">
        <v>9998</v>
      </c>
      <c r="I2236" t="s">
        <v>28722</v>
      </c>
      <c r="J2236" t="s">
        <v>30358</v>
      </c>
      <c r="K2236" t="s">
        <v>37215</v>
      </c>
      <c r="M2236" t="s">
        <v>38431</v>
      </c>
      <c r="N2236" t="s">
        <v>41249</v>
      </c>
      <c r="O2236" t="s">
        <v>41250</v>
      </c>
      <c r="P2236">
        <v>0</v>
      </c>
      <c r="Q2236">
        <v>1</v>
      </c>
      <c r="R2236" t="s">
        <v>41252</v>
      </c>
      <c r="S2236" t="s">
        <v>41383</v>
      </c>
      <c r="T2236" t="s">
        <v>42688</v>
      </c>
      <c r="U2236" t="s">
        <v>45131</v>
      </c>
      <c r="W2236" t="s">
        <v>38431</v>
      </c>
      <c r="X2236" t="s">
        <v>41256</v>
      </c>
    </row>
    <row r="2237" spans="1:24">
      <c r="A2237">
        <f>HYPERLINK("https://www.philgeps.gov.ph/GEPSNONPILOT/Tender/SplashBidNoticeAbstractUI.aspx?menuIndex=3&amp;refID=7072566&amp;Result=3","7072566")</f>
        <v>0</v>
      </c>
      <c r="B2237" t="s">
        <v>909</v>
      </c>
      <c r="C2237" t="s">
        <v>5521</v>
      </c>
      <c r="D2237" t="s">
        <v>16662</v>
      </c>
      <c r="E2237" t="s">
        <v>18762</v>
      </c>
      <c r="F2237" t="s">
        <v>28669</v>
      </c>
      <c r="G2237" t="s">
        <v>28675</v>
      </c>
      <c r="H2237" t="s">
        <v>9998</v>
      </c>
      <c r="I2237" t="s">
        <v>6128</v>
      </c>
      <c r="J2237" t="s">
        <v>30359</v>
      </c>
      <c r="K2237" t="s">
        <v>37206</v>
      </c>
      <c r="M2237" t="s">
        <v>38431</v>
      </c>
      <c r="N2237" t="s">
        <v>41249</v>
      </c>
      <c r="O2237" t="s">
        <v>41250</v>
      </c>
      <c r="P2237">
        <v>0</v>
      </c>
      <c r="Q2237">
        <v>0</v>
      </c>
      <c r="R2237" t="s">
        <v>41252</v>
      </c>
      <c r="S2237" t="s">
        <v>41383</v>
      </c>
      <c r="T2237" t="s">
        <v>42688</v>
      </c>
      <c r="U2237" t="s">
        <v>45132</v>
      </c>
      <c r="W2237" t="s">
        <v>38431</v>
      </c>
      <c r="X2237" t="s">
        <v>41256</v>
      </c>
    </row>
    <row r="2238" spans="1:24">
      <c r="A2238">
        <f>HYPERLINK("https://www.philgeps.gov.ph/GEPSNONPILOT/Tender/SplashBidNoticeAbstractUI.aspx?menuIndex=3&amp;refID=7072562&amp;Result=3","7072562")</f>
        <v>0</v>
      </c>
      <c r="B2238" t="s">
        <v>909</v>
      </c>
      <c r="C2238" t="s">
        <v>5522</v>
      </c>
      <c r="D2238" t="s">
        <v>16662</v>
      </c>
      <c r="E2238" t="s">
        <v>18763</v>
      </c>
      <c r="F2238" t="s">
        <v>28669</v>
      </c>
      <c r="G2238" t="s">
        <v>28675</v>
      </c>
      <c r="H2238" t="s">
        <v>9998</v>
      </c>
      <c r="I2238" t="s">
        <v>28704</v>
      </c>
      <c r="J2238" t="s">
        <v>30360</v>
      </c>
      <c r="K2238" t="s">
        <v>37206</v>
      </c>
      <c r="M2238" t="s">
        <v>38431</v>
      </c>
      <c r="N2238" t="s">
        <v>41249</v>
      </c>
      <c r="O2238" t="s">
        <v>41250</v>
      </c>
      <c r="P2238">
        <v>0</v>
      </c>
      <c r="Q2238">
        <v>0</v>
      </c>
      <c r="R2238" t="s">
        <v>41252</v>
      </c>
      <c r="S2238" t="s">
        <v>41383</v>
      </c>
      <c r="T2238" t="s">
        <v>42688</v>
      </c>
      <c r="U2238" t="s">
        <v>45133</v>
      </c>
      <c r="W2238" t="s">
        <v>38431</v>
      </c>
      <c r="X2238" t="s">
        <v>41256</v>
      </c>
    </row>
    <row r="2239" spans="1:24">
      <c r="A2239">
        <f>HYPERLINK("https://www.philgeps.gov.ph/GEPSNONPILOT/Tender/SplashBidNoticeAbstractUI.aspx?menuIndex=3&amp;refID=7072557&amp;Result=3","7072557")</f>
        <v>0</v>
      </c>
      <c r="B2239" t="s">
        <v>909</v>
      </c>
      <c r="C2239" t="s">
        <v>5523</v>
      </c>
      <c r="D2239" t="s">
        <v>16662</v>
      </c>
      <c r="E2239" t="s">
        <v>18764</v>
      </c>
      <c r="F2239" t="s">
        <v>28669</v>
      </c>
      <c r="G2239" t="s">
        <v>28675</v>
      </c>
      <c r="H2239" t="s">
        <v>9998</v>
      </c>
      <c r="I2239" t="s">
        <v>3718</v>
      </c>
      <c r="J2239" t="s">
        <v>29104</v>
      </c>
      <c r="K2239" t="s">
        <v>37206</v>
      </c>
      <c r="M2239" t="s">
        <v>38431</v>
      </c>
      <c r="N2239" t="s">
        <v>41249</v>
      </c>
      <c r="O2239" t="s">
        <v>41250</v>
      </c>
      <c r="P2239">
        <v>0</v>
      </c>
      <c r="Q2239">
        <v>7</v>
      </c>
      <c r="R2239" t="s">
        <v>41252</v>
      </c>
      <c r="S2239" t="s">
        <v>41383</v>
      </c>
      <c r="T2239" t="s">
        <v>42688</v>
      </c>
      <c r="U2239" t="s">
        <v>45134</v>
      </c>
      <c r="W2239" t="s">
        <v>38431</v>
      </c>
      <c r="X2239" t="s">
        <v>41256</v>
      </c>
    </row>
    <row r="2240" spans="1:24">
      <c r="A2240">
        <f>HYPERLINK("https://www.philgeps.gov.ph/GEPSNONPILOT/Tender/SplashBidNoticeAbstractUI.aspx?menuIndex=3&amp;refID=7072521&amp;Result=3","7072521")</f>
        <v>0</v>
      </c>
      <c r="B2240" t="s">
        <v>909</v>
      </c>
      <c r="C2240" t="s">
        <v>5524</v>
      </c>
      <c r="D2240" t="s">
        <v>16662</v>
      </c>
      <c r="E2240" t="s">
        <v>18765</v>
      </c>
      <c r="F2240" t="s">
        <v>28669</v>
      </c>
      <c r="G2240" t="s">
        <v>28675</v>
      </c>
      <c r="H2240" t="s">
        <v>9998</v>
      </c>
      <c r="I2240" t="s">
        <v>6128</v>
      </c>
      <c r="J2240" t="s">
        <v>30361</v>
      </c>
      <c r="K2240" t="s">
        <v>37206</v>
      </c>
      <c r="M2240" t="s">
        <v>38431</v>
      </c>
      <c r="N2240" t="s">
        <v>41249</v>
      </c>
      <c r="O2240" t="s">
        <v>41250</v>
      </c>
      <c r="P2240">
        <v>0</v>
      </c>
      <c r="Q2240">
        <v>0</v>
      </c>
      <c r="R2240" t="s">
        <v>41252</v>
      </c>
      <c r="S2240" t="s">
        <v>41383</v>
      </c>
      <c r="T2240" t="s">
        <v>42688</v>
      </c>
      <c r="U2240" t="s">
        <v>45135</v>
      </c>
      <c r="W2240" t="s">
        <v>38431</v>
      </c>
      <c r="X2240" t="s">
        <v>41256</v>
      </c>
    </row>
    <row r="2241" spans="1:24">
      <c r="A2241">
        <f>HYPERLINK("https://www.philgeps.gov.ph/GEPSNONPILOT/Tender/SplashBidNoticeAbstractUI.aspx?menuIndex=3&amp;refID=7072618&amp;Result=3","7072618")</f>
        <v>0</v>
      </c>
      <c r="B2241" t="s">
        <v>909</v>
      </c>
      <c r="C2241" t="s">
        <v>5525</v>
      </c>
      <c r="D2241" t="s">
        <v>16662</v>
      </c>
      <c r="E2241" t="s">
        <v>18766</v>
      </c>
      <c r="F2241" t="s">
        <v>28669</v>
      </c>
      <c r="G2241" t="s">
        <v>28675</v>
      </c>
      <c r="H2241" t="s">
        <v>9998</v>
      </c>
      <c r="I2241" t="s">
        <v>28693</v>
      </c>
      <c r="J2241" t="s">
        <v>30362</v>
      </c>
      <c r="K2241" t="s">
        <v>37206</v>
      </c>
      <c r="M2241" t="s">
        <v>38431</v>
      </c>
      <c r="N2241" t="s">
        <v>41249</v>
      </c>
      <c r="O2241" t="s">
        <v>41250</v>
      </c>
      <c r="P2241">
        <v>0</v>
      </c>
      <c r="Q2241">
        <v>6</v>
      </c>
      <c r="R2241" t="s">
        <v>41252</v>
      </c>
      <c r="S2241" t="s">
        <v>41383</v>
      </c>
      <c r="T2241" t="s">
        <v>42688</v>
      </c>
      <c r="U2241" t="s">
        <v>45136</v>
      </c>
      <c r="W2241" t="s">
        <v>38431</v>
      </c>
      <c r="X2241" t="s">
        <v>41256</v>
      </c>
    </row>
    <row r="2242" spans="1:24">
      <c r="A2242">
        <f>HYPERLINK("https://www.philgeps.gov.ph/GEPSNONPILOT/Tender/SplashBidNoticeAbstractUI.aspx?menuIndex=3&amp;refID=7072913&amp;Result=3","7072913")</f>
        <v>0</v>
      </c>
      <c r="B2242" t="s">
        <v>963</v>
      </c>
      <c r="C2242" t="s">
        <v>5526</v>
      </c>
      <c r="D2242" t="s">
        <v>16626</v>
      </c>
      <c r="E2242" t="s">
        <v>18767</v>
      </c>
      <c r="F2242" t="s">
        <v>28669</v>
      </c>
      <c r="G2242" t="s">
        <v>28675</v>
      </c>
      <c r="H2242" t="s">
        <v>9998</v>
      </c>
      <c r="I2242" t="s">
        <v>28695</v>
      </c>
      <c r="J2242" t="s">
        <v>30363</v>
      </c>
      <c r="K2242" t="s">
        <v>37209</v>
      </c>
      <c r="M2242" t="s">
        <v>38488</v>
      </c>
      <c r="N2242" t="s">
        <v>41249</v>
      </c>
      <c r="O2242" t="s">
        <v>41250</v>
      </c>
      <c r="P2242">
        <v>0</v>
      </c>
      <c r="Q2242">
        <v>0</v>
      </c>
      <c r="R2242" t="s">
        <v>41252</v>
      </c>
      <c r="S2242" t="s">
        <v>41383</v>
      </c>
      <c r="T2242" t="s">
        <v>42858</v>
      </c>
      <c r="U2242" t="s">
        <v>45137</v>
      </c>
      <c r="V2242" t="s">
        <v>54530</v>
      </c>
      <c r="W2242" t="s">
        <v>38488</v>
      </c>
      <c r="X2242" t="s">
        <v>41255</v>
      </c>
    </row>
    <row r="2243" spans="1:24">
      <c r="A2243">
        <f>HYPERLINK("https://www.philgeps.gov.ph/GEPSNONPILOT/Tender/SplashBidNoticeAbstractUI.aspx?menuIndex=3&amp;refID=7072383&amp;Result=3","7072383")</f>
        <v>0</v>
      </c>
      <c r="B2243" t="s">
        <v>957</v>
      </c>
      <c r="C2243" t="s">
        <v>5527</v>
      </c>
      <c r="D2243" t="s">
        <v>16652</v>
      </c>
      <c r="E2243" t="s">
        <v>18768</v>
      </c>
      <c r="F2243" t="s">
        <v>28669</v>
      </c>
      <c r="G2243" t="s">
        <v>28675</v>
      </c>
      <c r="H2243" t="s">
        <v>9998</v>
      </c>
      <c r="I2243" t="s">
        <v>7352</v>
      </c>
      <c r="J2243" t="s">
        <v>30364</v>
      </c>
      <c r="K2243" t="s">
        <v>37205</v>
      </c>
      <c r="M2243" t="s">
        <v>38481</v>
      </c>
      <c r="N2243" t="s">
        <v>41249</v>
      </c>
      <c r="O2243" t="s">
        <v>41250</v>
      </c>
      <c r="P2243">
        <v>0</v>
      </c>
      <c r="Q2243">
        <v>0</v>
      </c>
      <c r="R2243" t="s">
        <v>41252</v>
      </c>
      <c r="S2243" t="s">
        <v>41383</v>
      </c>
      <c r="T2243" t="s">
        <v>42842</v>
      </c>
      <c r="U2243" t="s">
        <v>45138</v>
      </c>
      <c r="W2243" t="s">
        <v>38481</v>
      </c>
      <c r="X2243" t="s">
        <v>41256</v>
      </c>
    </row>
    <row r="2244" spans="1:24">
      <c r="A2244">
        <f>HYPERLINK("https://www.philgeps.gov.ph/GEPSNONPILOT/Tender/SplashBidNoticeAbstractUI.aspx?menuIndex=3&amp;refID=7072912&amp;Result=3","7072912")</f>
        <v>0</v>
      </c>
      <c r="B2244" t="s">
        <v>963</v>
      </c>
      <c r="C2244" t="s">
        <v>5528</v>
      </c>
      <c r="D2244" t="s">
        <v>16626</v>
      </c>
      <c r="E2244" t="s">
        <v>18769</v>
      </c>
      <c r="F2244" t="s">
        <v>28669</v>
      </c>
      <c r="G2244" t="s">
        <v>28675</v>
      </c>
      <c r="H2244" t="s">
        <v>9998</v>
      </c>
      <c r="I2244" t="s">
        <v>28695</v>
      </c>
      <c r="J2244" t="s">
        <v>30365</v>
      </c>
      <c r="K2244" t="s">
        <v>37209</v>
      </c>
      <c r="M2244" t="s">
        <v>38488</v>
      </c>
      <c r="N2244" t="s">
        <v>41249</v>
      </c>
      <c r="O2244" t="s">
        <v>41250</v>
      </c>
      <c r="P2244">
        <v>0</v>
      </c>
      <c r="Q2244">
        <v>0</v>
      </c>
      <c r="R2244" t="s">
        <v>41252</v>
      </c>
      <c r="S2244" t="s">
        <v>41383</v>
      </c>
      <c r="T2244" t="s">
        <v>42858</v>
      </c>
      <c r="U2244" t="s">
        <v>45139</v>
      </c>
      <c r="V2244" t="s">
        <v>54530</v>
      </c>
      <c r="W2244" t="s">
        <v>38488</v>
      </c>
      <c r="X2244" t="s">
        <v>41255</v>
      </c>
    </row>
    <row r="2245" spans="1:24">
      <c r="A2245">
        <f>HYPERLINK("https://www.philgeps.gov.ph/GEPSNONPILOT/Tender/SplashBidNoticeAbstractUI.aspx?menuIndex=3&amp;refID=7072538&amp;Result=3","7072538")</f>
        <v>0</v>
      </c>
      <c r="B2245" t="s">
        <v>909</v>
      </c>
      <c r="C2245" t="s">
        <v>5529</v>
      </c>
      <c r="D2245" t="s">
        <v>16662</v>
      </c>
      <c r="E2245" t="s">
        <v>18770</v>
      </c>
      <c r="F2245" t="s">
        <v>28669</v>
      </c>
      <c r="G2245" t="s">
        <v>28675</v>
      </c>
      <c r="H2245" t="s">
        <v>9998</v>
      </c>
      <c r="I2245" t="s">
        <v>28704</v>
      </c>
      <c r="J2245" t="s">
        <v>30366</v>
      </c>
      <c r="K2245" t="s">
        <v>37206</v>
      </c>
      <c r="M2245" t="s">
        <v>38431</v>
      </c>
      <c r="N2245" t="s">
        <v>41249</v>
      </c>
      <c r="O2245" t="s">
        <v>41250</v>
      </c>
      <c r="P2245">
        <v>0</v>
      </c>
      <c r="Q2245">
        <v>0</v>
      </c>
      <c r="R2245" t="s">
        <v>41252</v>
      </c>
      <c r="S2245" t="s">
        <v>41383</v>
      </c>
      <c r="T2245" t="s">
        <v>42688</v>
      </c>
      <c r="U2245" t="s">
        <v>45140</v>
      </c>
      <c r="W2245" t="s">
        <v>38431</v>
      </c>
      <c r="X2245" t="s">
        <v>41256</v>
      </c>
    </row>
    <row r="2246" spans="1:24">
      <c r="A2246">
        <f>HYPERLINK("https://www.philgeps.gov.ph/GEPSNONPILOT/Tender/SplashBidNoticeAbstractUI.aspx?menuIndex=3&amp;refID=7072911&amp;Result=3","7072911")</f>
        <v>0</v>
      </c>
      <c r="B2246" t="s">
        <v>963</v>
      </c>
      <c r="C2246" t="s">
        <v>5530</v>
      </c>
      <c r="D2246" t="s">
        <v>16626</v>
      </c>
      <c r="E2246" t="s">
        <v>18771</v>
      </c>
      <c r="F2246" t="s">
        <v>28669</v>
      </c>
      <c r="G2246" t="s">
        <v>28675</v>
      </c>
      <c r="H2246" t="s">
        <v>9998</v>
      </c>
      <c r="I2246" t="s">
        <v>28694</v>
      </c>
      <c r="J2246" t="s">
        <v>30367</v>
      </c>
      <c r="K2246" t="s">
        <v>37209</v>
      </c>
      <c r="M2246" t="s">
        <v>38488</v>
      </c>
      <c r="N2246" t="s">
        <v>41249</v>
      </c>
      <c r="O2246" t="s">
        <v>41250</v>
      </c>
      <c r="P2246">
        <v>0</v>
      </c>
      <c r="Q2246">
        <v>1</v>
      </c>
      <c r="R2246" t="s">
        <v>41252</v>
      </c>
      <c r="S2246" t="s">
        <v>41383</v>
      </c>
      <c r="T2246" t="s">
        <v>42858</v>
      </c>
      <c r="U2246" t="s">
        <v>45141</v>
      </c>
      <c r="V2246" t="s">
        <v>54530</v>
      </c>
      <c r="W2246" t="s">
        <v>38488</v>
      </c>
      <c r="X2246" t="s">
        <v>41255</v>
      </c>
    </row>
    <row r="2247" spans="1:24">
      <c r="A2247">
        <f>HYPERLINK("https://www.philgeps.gov.ph/GEPSNONPILOT/Tender/SplashBidNoticeAbstractUI.aspx?menuIndex=3&amp;refID=7072909&amp;Result=3","7072909")</f>
        <v>0</v>
      </c>
      <c r="B2247" t="s">
        <v>963</v>
      </c>
      <c r="C2247" t="s">
        <v>5531</v>
      </c>
      <c r="D2247" t="s">
        <v>16626</v>
      </c>
      <c r="E2247" t="s">
        <v>18772</v>
      </c>
      <c r="F2247" t="s">
        <v>28669</v>
      </c>
      <c r="G2247" t="s">
        <v>28675</v>
      </c>
      <c r="H2247" t="s">
        <v>9998</v>
      </c>
      <c r="I2247" t="s">
        <v>28773</v>
      </c>
      <c r="J2247" t="s">
        <v>30368</v>
      </c>
      <c r="K2247" t="s">
        <v>37209</v>
      </c>
      <c r="M2247" t="s">
        <v>38488</v>
      </c>
      <c r="N2247" t="s">
        <v>41249</v>
      </c>
      <c r="O2247" t="s">
        <v>41250</v>
      </c>
      <c r="P2247">
        <v>0</v>
      </c>
      <c r="Q2247">
        <v>1</v>
      </c>
      <c r="R2247" t="s">
        <v>41252</v>
      </c>
      <c r="S2247" t="s">
        <v>41383</v>
      </c>
      <c r="T2247" t="s">
        <v>42858</v>
      </c>
      <c r="U2247" t="s">
        <v>45142</v>
      </c>
      <c r="V2247" t="s">
        <v>54531</v>
      </c>
      <c r="W2247" t="s">
        <v>38488</v>
      </c>
      <c r="X2247" t="s">
        <v>41255</v>
      </c>
    </row>
    <row r="2248" spans="1:24">
      <c r="A2248">
        <f>HYPERLINK("https://www.philgeps.gov.ph/GEPSNONPILOT/Tender/SplashBidNoticeAbstractUI.aspx?menuIndex=3&amp;refID=7072612&amp;Result=3","7072612")</f>
        <v>0</v>
      </c>
      <c r="B2248" t="s">
        <v>909</v>
      </c>
      <c r="C2248" t="s">
        <v>5532</v>
      </c>
      <c r="D2248" t="s">
        <v>16662</v>
      </c>
      <c r="E2248" t="s">
        <v>18773</v>
      </c>
      <c r="F2248" t="s">
        <v>28669</v>
      </c>
      <c r="G2248" t="s">
        <v>28675</v>
      </c>
      <c r="H2248" t="s">
        <v>9998</v>
      </c>
      <c r="I2248" t="s">
        <v>28687</v>
      </c>
      <c r="J2248" t="s">
        <v>30369</v>
      </c>
      <c r="K2248" t="s">
        <v>37213</v>
      </c>
      <c r="M2248" t="s">
        <v>38431</v>
      </c>
      <c r="N2248" t="s">
        <v>41249</v>
      </c>
      <c r="O2248" t="s">
        <v>41250</v>
      </c>
      <c r="P2248">
        <v>0</v>
      </c>
      <c r="Q2248">
        <v>8</v>
      </c>
      <c r="R2248" t="s">
        <v>41252</v>
      </c>
      <c r="S2248" t="s">
        <v>41383</v>
      </c>
      <c r="T2248" t="s">
        <v>42688</v>
      </c>
      <c r="U2248" t="s">
        <v>45143</v>
      </c>
      <c r="W2248" t="s">
        <v>38431</v>
      </c>
      <c r="X2248" t="s">
        <v>41256</v>
      </c>
    </row>
    <row r="2249" spans="1:24">
      <c r="A2249">
        <f>HYPERLINK("https://www.philgeps.gov.ph/GEPSNONPILOT/Tender/SplashBidNoticeAbstractUI.aspx?menuIndex=3&amp;refID=7072907&amp;Result=3","7072907")</f>
        <v>0</v>
      </c>
      <c r="B2249" t="s">
        <v>963</v>
      </c>
      <c r="C2249" t="s">
        <v>5533</v>
      </c>
      <c r="D2249" t="s">
        <v>16626</v>
      </c>
      <c r="E2249" t="s">
        <v>18774</v>
      </c>
      <c r="F2249" t="s">
        <v>28669</v>
      </c>
      <c r="G2249" t="s">
        <v>28675</v>
      </c>
      <c r="H2249" t="s">
        <v>9998</v>
      </c>
      <c r="I2249" t="s">
        <v>28694</v>
      </c>
      <c r="J2249" t="s">
        <v>30370</v>
      </c>
      <c r="K2249" t="s">
        <v>37209</v>
      </c>
      <c r="M2249" t="s">
        <v>38488</v>
      </c>
      <c r="N2249" t="s">
        <v>41249</v>
      </c>
      <c r="O2249" t="s">
        <v>41250</v>
      </c>
      <c r="P2249">
        <v>0</v>
      </c>
      <c r="Q2249">
        <v>0</v>
      </c>
      <c r="R2249" t="s">
        <v>41252</v>
      </c>
      <c r="S2249" t="s">
        <v>41383</v>
      </c>
      <c r="T2249" t="s">
        <v>42858</v>
      </c>
      <c r="U2249" t="s">
        <v>45144</v>
      </c>
      <c r="V2249" t="s">
        <v>54531</v>
      </c>
      <c r="W2249" t="s">
        <v>38488</v>
      </c>
      <c r="X2249" t="s">
        <v>41255</v>
      </c>
    </row>
    <row r="2250" spans="1:24">
      <c r="A2250">
        <f>HYPERLINK("https://www.philgeps.gov.ph/GEPSNONPILOT/Tender/SplashBidNoticeAbstractUI.aspx?menuIndex=3&amp;refID=7072901&amp;Result=3","7072901")</f>
        <v>0</v>
      </c>
      <c r="B2250" t="s">
        <v>963</v>
      </c>
      <c r="C2250" t="s">
        <v>5534</v>
      </c>
      <c r="D2250" t="s">
        <v>16626</v>
      </c>
      <c r="E2250" t="s">
        <v>18775</v>
      </c>
      <c r="F2250" t="s">
        <v>28669</v>
      </c>
      <c r="G2250" t="s">
        <v>28675</v>
      </c>
      <c r="H2250" t="s">
        <v>9998</v>
      </c>
      <c r="I2250" t="s">
        <v>11593</v>
      </c>
      <c r="J2250" t="s">
        <v>28894</v>
      </c>
      <c r="K2250" t="s">
        <v>37209</v>
      </c>
      <c r="M2250" t="s">
        <v>38488</v>
      </c>
      <c r="N2250" t="s">
        <v>41249</v>
      </c>
      <c r="O2250" t="s">
        <v>41250</v>
      </c>
      <c r="P2250">
        <v>0</v>
      </c>
      <c r="Q2250">
        <v>1</v>
      </c>
      <c r="R2250" t="s">
        <v>41252</v>
      </c>
      <c r="S2250" t="s">
        <v>41383</v>
      </c>
      <c r="T2250" t="s">
        <v>42858</v>
      </c>
      <c r="U2250" t="s">
        <v>45145</v>
      </c>
      <c r="V2250" t="s">
        <v>54532</v>
      </c>
      <c r="W2250" t="s">
        <v>38488</v>
      </c>
      <c r="X2250" t="s">
        <v>41255</v>
      </c>
    </row>
    <row r="2251" spans="1:24">
      <c r="A2251">
        <f>HYPERLINK("https://www.philgeps.gov.ph/GEPSNONPILOT/Tender/SplashBidNoticeAbstractUI.aspx?menuIndex=3&amp;refID=7072893&amp;Result=3","7072893")</f>
        <v>0</v>
      </c>
      <c r="B2251" t="s">
        <v>964</v>
      </c>
      <c r="C2251" t="s">
        <v>5535</v>
      </c>
      <c r="D2251" t="s">
        <v>16678</v>
      </c>
      <c r="E2251" t="s">
        <v>18776</v>
      </c>
      <c r="F2251" t="s">
        <v>28669</v>
      </c>
      <c r="G2251" t="s">
        <v>28675</v>
      </c>
      <c r="H2251" t="s">
        <v>9998</v>
      </c>
      <c r="I2251" t="s">
        <v>7352</v>
      </c>
      <c r="J2251" t="s">
        <v>30371</v>
      </c>
      <c r="K2251" t="s">
        <v>37220</v>
      </c>
      <c r="M2251" t="s">
        <v>38489</v>
      </c>
      <c r="N2251" t="s">
        <v>41249</v>
      </c>
      <c r="O2251" t="s">
        <v>41250</v>
      </c>
      <c r="P2251">
        <v>0</v>
      </c>
      <c r="Q2251">
        <v>0</v>
      </c>
      <c r="R2251" t="s">
        <v>41252</v>
      </c>
      <c r="S2251" t="s">
        <v>41383</v>
      </c>
      <c r="T2251" t="s">
        <v>42688</v>
      </c>
      <c r="U2251" t="s">
        <v>45146</v>
      </c>
      <c r="W2251" t="s">
        <v>38489</v>
      </c>
      <c r="X2251" t="s">
        <v>41255</v>
      </c>
    </row>
    <row r="2252" spans="1:24">
      <c r="A2252">
        <f>HYPERLINK("https://www.philgeps.gov.ph/GEPSNONPILOT/Tender/SplashBidNoticeAbstractUI.aspx?menuIndex=3&amp;refID=7072670&amp;Result=3","7072670")</f>
        <v>0</v>
      </c>
      <c r="B2252" t="s">
        <v>962</v>
      </c>
      <c r="C2252" t="s">
        <v>5536</v>
      </c>
      <c r="D2252" t="s">
        <v>16611</v>
      </c>
      <c r="E2252" t="s">
        <v>18777</v>
      </c>
      <c r="F2252" t="s">
        <v>28669</v>
      </c>
      <c r="G2252" t="s">
        <v>28675</v>
      </c>
      <c r="H2252" t="s">
        <v>28686</v>
      </c>
      <c r="I2252" t="s">
        <v>28689</v>
      </c>
      <c r="J2252" t="s">
        <v>30372</v>
      </c>
      <c r="K2252" t="s">
        <v>37220</v>
      </c>
      <c r="M2252" t="s">
        <v>38487</v>
      </c>
      <c r="N2252" t="s">
        <v>41249</v>
      </c>
      <c r="O2252" t="s">
        <v>41250</v>
      </c>
      <c r="P2252">
        <v>0</v>
      </c>
      <c r="Q2252">
        <v>0</v>
      </c>
      <c r="R2252" t="s">
        <v>41252</v>
      </c>
      <c r="S2252" t="s">
        <v>41383</v>
      </c>
      <c r="T2252" t="s">
        <v>42714</v>
      </c>
      <c r="U2252" t="s">
        <v>45147</v>
      </c>
      <c r="W2252" t="s">
        <v>38487</v>
      </c>
      <c r="X2252" t="s">
        <v>41256</v>
      </c>
    </row>
    <row r="2253" spans="1:24">
      <c r="A2253">
        <f>HYPERLINK("https://www.philgeps.gov.ph/GEPSNONPILOT/Tender/SplashBidNoticeAbstractUI.aspx?menuIndex=3&amp;refID=7072890&amp;Result=3","7072890")</f>
        <v>0</v>
      </c>
      <c r="B2253" t="s">
        <v>963</v>
      </c>
      <c r="C2253" t="s">
        <v>5537</v>
      </c>
      <c r="D2253" t="s">
        <v>16626</v>
      </c>
      <c r="E2253" t="s">
        <v>18778</v>
      </c>
      <c r="F2253" t="s">
        <v>28669</v>
      </c>
      <c r="G2253" t="s">
        <v>28675</v>
      </c>
      <c r="H2253" t="s">
        <v>9998</v>
      </c>
      <c r="I2253" t="s">
        <v>28710</v>
      </c>
      <c r="J2253" t="s">
        <v>30373</v>
      </c>
      <c r="K2253" t="s">
        <v>37209</v>
      </c>
      <c r="M2253" t="s">
        <v>38488</v>
      </c>
      <c r="N2253" t="s">
        <v>41249</v>
      </c>
      <c r="O2253" t="s">
        <v>41250</v>
      </c>
      <c r="P2253">
        <v>0</v>
      </c>
      <c r="Q2253">
        <v>2</v>
      </c>
      <c r="R2253" t="s">
        <v>41252</v>
      </c>
      <c r="S2253" t="s">
        <v>41383</v>
      </c>
      <c r="T2253" t="s">
        <v>42873</v>
      </c>
      <c r="U2253" t="s">
        <v>45148</v>
      </c>
      <c r="V2253" t="s">
        <v>54530</v>
      </c>
      <c r="W2253" t="s">
        <v>38488</v>
      </c>
      <c r="X2253" t="s">
        <v>41255</v>
      </c>
    </row>
    <row r="2254" spans="1:24">
      <c r="A2254">
        <f>HYPERLINK("https://www.philgeps.gov.ph/GEPSNONPILOT/Tender/SplashBidNoticeAbstractUI.aspx?menuIndex=3&amp;refID=7072897&amp;Result=3","7072897")</f>
        <v>0</v>
      </c>
      <c r="B2254" t="s">
        <v>963</v>
      </c>
      <c r="C2254" t="s">
        <v>5538</v>
      </c>
      <c r="D2254" t="s">
        <v>16626</v>
      </c>
      <c r="E2254" t="s">
        <v>18779</v>
      </c>
      <c r="F2254" t="s">
        <v>28669</v>
      </c>
      <c r="G2254" t="s">
        <v>28675</v>
      </c>
      <c r="H2254" t="s">
        <v>9998</v>
      </c>
      <c r="I2254" t="s">
        <v>11593</v>
      </c>
      <c r="J2254" t="s">
        <v>29110</v>
      </c>
      <c r="K2254" t="s">
        <v>37209</v>
      </c>
      <c r="M2254" t="s">
        <v>38488</v>
      </c>
      <c r="N2254" t="s">
        <v>41249</v>
      </c>
      <c r="O2254" t="s">
        <v>41250</v>
      </c>
      <c r="P2254">
        <v>0</v>
      </c>
      <c r="Q2254">
        <v>0</v>
      </c>
      <c r="R2254" t="s">
        <v>41252</v>
      </c>
      <c r="S2254" t="s">
        <v>41383</v>
      </c>
      <c r="T2254" t="s">
        <v>42858</v>
      </c>
      <c r="U2254" t="s">
        <v>45149</v>
      </c>
      <c r="V2254" t="s">
        <v>54533</v>
      </c>
      <c r="W2254" t="s">
        <v>38488</v>
      </c>
      <c r="X2254" t="s">
        <v>41255</v>
      </c>
    </row>
    <row r="2255" spans="1:24">
      <c r="A2255">
        <f>HYPERLINK("https://www.philgeps.gov.ph/GEPSNONPILOT/Tender/SplashBidNoticeAbstractUI.aspx?menuIndex=3&amp;refID=7073095&amp;Result=3","7073095")</f>
        <v>0</v>
      </c>
      <c r="B2255" t="s">
        <v>936</v>
      </c>
      <c r="C2255" t="s">
        <v>5539</v>
      </c>
      <c r="D2255" t="s">
        <v>16640</v>
      </c>
      <c r="E2255" t="s">
        <v>18780</v>
      </c>
      <c r="F2255" t="s">
        <v>28669</v>
      </c>
      <c r="G2255" t="s">
        <v>28676</v>
      </c>
      <c r="H2255" t="s">
        <v>9998</v>
      </c>
      <c r="I2255" t="s">
        <v>28729</v>
      </c>
      <c r="J2255" t="s">
        <v>29616</v>
      </c>
      <c r="K2255" t="s">
        <v>37216</v>
      </c>
      <c r="M2255" t="s">
        <v>38459</v>
      </c>
      <c r="N2255" t="s">
        <v>41249</v>
      </c>
      <c r="O2255" t="s">
        <v>41250</v>
      </c>
      <c r="P2255">
        <v>0</v>
      </c>
      <c r="Q2255">
        <v>3</v>
      </c>
      <c r="R2255" t="s">
        <v>41252</v>
      </c>
      <c r="S2255" t="s">
        <v>41383</v>
      </c>
      <c r="T2255" t="s">
        <v>42736</v>
      </c>
      <c r="U2255" t="s">
        <v>45150</v>
      </c>
      <c r="W2255" t="s">
        <v>38459</v>
      </c>
      <c r="X2255" t="s">
        <v>41255</v>
      </c>
    </row>
    <row r="2256" spans="1:24">
      <c r="A2256">
        <f>HYPERLINK("https://www.philgeps.gov.ph/GEPSNONPILOT/Tender/SplashBidNoticeAbstractUI.aspx?menuIndex=3&amp;refID=7072892&amp;Result=3","7072892")</f>
        <v>0</v>
      </c>
      <c r="B2256" t="s">
        <v>963</v>
      </c>
      <c r="C2256" t="s">
        <v>5540</v>
      </c>
      <c r="D2256" t="s">
        <v>16626</v>
      </c>
      <c r="E2256" t="s">
        <v>18781</v>
      </c>
      <c r="F2256" t="s">
        <v>28669</v>
      </c>
      <c r="G2256" t="s">
        <v>28675</v>
      </c>
      <c r="H2256" t="s">
        <v>9998</v>
      </c>
      <c r="I2256" t="s">
        <v>5286</v>
      </c>
      <c r="J2256" t="s">
        <v>30374</v>
      </c>
      <c r="K2256" t="s">
        <v>37209</v>
      </c>
      <c r="M2256" t="s">
        <v>38488</v>
      </c>
      <c r="N2256" t="s">
        <v>41249</v>
      </c>
      <c r="O2256" t="s">
        <v>41250</v>
      </c>
      <c r="P2256">
        <v>0</v>
      </c>
      <c r="Q2256">
        <v>2</v>
      </c>
      <c r="R2256" t="s">
        <v>41252</v>
      </c>
      <c r="S2256" t="s">
        <v>41383</v>
      </c>
      <c r="T2256" t="s">
        <v>42873</v>
      </c>
      <c r="U2256" t="s">
        <v>45151</v>
      </c>
      <c r="V2256" t="s">
        <v>54530</v>
      </c>
      <c r="W2256" t="s">
        <v>38488</v>
      </c>
      <c r="X2256" t="s">
        <v>41255</v>
      </c>
    </row>
    <row r="2257" spans="1:24">
      <c r="A2257">
        <f>HYPERLINK("https://www.philgeps.gov.ph/GEPSNONPILOT/Tender/SplashBidNoticeAbstractUI.aspx?menuIndex=3&amp;refID=7072906&amp;Result=3","7072906")</f>
        <v>0</v>
      </c>
      <c r="B2257" t="s">
        <v>963</v>
      </c>
      <c r="C2257" t="s">
        <v>5541</v>
      </c>
      <c r="D2257" t="s">
        <v>16626</v>
      </c>
      <c r="E2257" t="s">
        <v>18782</v>
      </c>
      <c r="F2257" t="s">
        <v>28669</v>
      </c>
      <c r="G2257" t="s">
        <v>28675</v>
      </c>
      <c r="H2257" t="s">
        <v>9998</v>
      </c>
      <c r="I2257" t="s">
        <v>28692</v>
      </c>
      <c r="J2257" t="s">
        <v>30375</v>
      </c>
      <c r="K2257" t="s">
        <v>37209</v>
      </c>
      <c r="M2257" t="s">
        <v>38488</v>
      </c>
      <c r="N2257" t="s">
        <v>41249</v>
      </c>
      <c r="O2257" t="s">
        <v>41250</v>
      </c>
      <c r="P2257">
        <v>0</v>
      </c>
      <c r="Q2257">
        <v>1</v>
      </c>
      <c r="R2257" t="s">
        <v>41252</v>
      </c>
      <c r="S2257" t="s">
        <v>41383</v>
      </c>
      <c r="T2257" t="s">
        <v>42858</v>
      </c>
      <c r="U2257" t="s">
        <v>45152</v>
      </c>
      <c r="V2257" t="s">
        <v>54531</v>
      </c>
      <c r="W2257" t="s">
        <v>38488</v>
      </c>
      <c r="X2257" t="s">
        <v>41255</v>
      </c>
    </row>
    <row r="2258" spans="1:24">
      <c r="A2258">
        <f>HYPERLINK("https://www.philgeps.gov.ph/GEPSNONPILOT/Tender/SplashBidNoticeAbstractUI.aspx?menuIndex=3&amp;refID=7072938&amp;Result=3","7072938")</f>
        <v>0</v>
      </c>
      <c r="B2258" t="s">
        <v>963</v>
      </c>
      <c r="C2258" t="s">
        <v>5542</v>
      </c>
      <c r="D2258" t="s">
        <v>16626</v>
      </c>
      <c r="E2258" t="s">
        <v>18783</v>
      </c>
      <c r="F2258" t="s">
        <v>28669</v>
      </c>
      <c r="G2258" t="s">
        <v>28675</v>
      </c>
      <c r="H2258" t="s">
        <v>9998</v>
      </c>
      <c r="I2258" t="s">
        <v>28690</v>
      </c>
      <c r="J2258" t="s">
        <v>30376</v>
      </c>
      <c r="K2258" t="s">
        <v>37209</v>
      </c>
      <c r="M2258" t="s">
        <v>38488</v>
      </c>
      <c r="N2258" t="s">
        <v>41249</v>
      </c>
      <c r="O2258" t="s">
        <v>41250</v>
      </c>
      <c r="P2258">
        <v>0</v>
      </c>
      <c r="Q2258">
        <v>1</v>
      </c>
      <c r="R2258" t="s">
        <v>41252</v>
      </c>
      <c r="S2258" t="s">
        <v>41383</v>
      </c>
      <c r="T2258" t="s">
        <v>42858</v>
      </c>
      <c r="U2258" t="s">
        <v>45153</v>
      </c>
      <c r="V2258" t="s">
        <v>54530</v>
      </c>
      <c r="W2258" t="s">
        <v>38488</v>
      </c>
      <c r="X2258" t="s">
        <v>41255</v>
      </c>
    </row>
    <row r="2259" spans="1:24">
      <c r="A2259">
        <f>HYPERLINK("https://www.philgeps.gov.ph/GEPSNONPILOT/Tender/SplashBidNoticeAbstractUI.aspx?menuIndex=3&amp;refID=7072937&amp;Result=3","7072937")</f>
        <v>0</v>
      </c>
      <c r="B2259" t="s">
        <v>965</v>
      </c>
      <c r="C2259" t="s">
        <v>5543</v>
      </c>
      <c r="D2259" t="s">
        <v>16608</v>
      </c>
      <c r="E2259" t="s">
        <v>18784</v>
      </c>
      <c r="F2259" t="s">
        <v>28669</v>
      </c>
      <c r="G2259" t="s">
        <v>28675</v>
      </c>
      <c r="H2259" t="s">
        <v>9998</v>
      </c>
      <c r="I2259" t="s">
        <v>28731</v>
      </c>
      <c r="J2259" t="s">
        <v>30377</v>
      </c>
      <c r="K2259" t="s">
        <v>37205</v>
      </c>
      <c r="M2259" t="s">
        <v>38490</v>
      </c>
      <c r="N2259" t="s">
        <v>41249</v>
      </c>
      <c r="O2259" t="s">
        <v>41250</v>
      </c>
      <c r="P2259">
        <v>0</v>
      </c>
      <c r="Q2259">
        <v>7</v>
      </c>
      <c r="R2259" t="s">
        <v>41252</v>
      </c>
      <c r="S2259" t="s">
        <v>41383</v>
      </c>
      <c r="T2259" t="s">
        <v>42703</v>
      </c>
      <c r="U2259" t="s">
        <v>45154</v>
      </c>
      <c r="W2259" t="s">
        <v>38490</v>
      </c>
      <c r="X2259" t="s">
        <v>41255</v>
      </c>
    </row>
    <row r="2260" spans="1:24">
      <c r="A2260">
        <f>HYPERLINK("https://www.philgeps.gov.ph/GEPSNONPILOT/Tender/SplashBidNoticeAbstractUI.aspx?menuIndex=3&amp;refID=7072934&amp;Result=3","7072934")</f>
        <v>0</v>
      </c>
      <c r="B2260" t="s">
        <v>965</v>
      </c>
      <c r="C2260" t="s">
        <v>5544</v>
      </c>
      <c r="D2260" t="s">
        <v>16608</v>
      </c>
      <c r="E2260" t="s">
        <v>18785</v>
      </c>
      <c r="F2260" t="s">
        <v>28669</v>
      </c>
      <c r="G2260" t="s">
        <v>28675</v>
      </c>
      <c r="H2260" t="s">
        <v>9998</v>
      </c>
      <c r="I2260" t="s">
        <v>28729</v>
      </c>
      <c r="J2260" t="s">
        <v>29386</v>
      </c>
      <c r="K2260" t="s">
        <v>37205</v>
      </c>
      <c r="M2260" t="s">
        <v>38490</v>
      </c>
      <c r="N2260" t="s">
        <v>41249</v>
      </c>
      <c r="O2260" t="s">
        <v>41250</v>
      </c>
      <c r="P2260">
        <v>0</v>
      </c>
      <c r="Q2260">
        <v>11</v>
      </c>
      <c r="R2260" t="s">
        <v>41252</v>
      </c>
      <c r="S2260" t="s">
        <v>41383</v>
      </c>
      <c r="T2260" t="s">
        <v>42703</v>
      </c>
      <c r="U2260" t="s">
        <v>45155</v>
      </c>
      <c r="W2260" t="s">
        <v>38490</v>
      </c>
      <c r="X2260" t="s">
        <v>41255</v>
      </c>
    </row>
    <row r="2261" spans="1:24">
      <c r="A2261">
        <f>HYPERLINK("https://www.philgeps.gov.ph/GEPSNONPILOT/Tender/SplashBidNoticeAbstractUI.aspx?menuIndex=3&amp;refID=7073092&amp;Result=3","7073092")</f>
        <v>0</v>
      </c>
      <c r="B2261" t="s">
        <v>966</v>
      </c>
      <c r="C2261" t="s">
        <v>5545</v>
      </c>
      <c r="D2261" t="s">
        <v>16631</v>
      </c>
      <c r="E2261" t="s">
        <v>18786</v>
      </c>
      <c r="F2261" t="s">
        <v>28669</v>
      </c>
      <c r="G2261" t="s">
        <v>28676</v>
      </c>
      <c r="H2261" t="s">
        <v>9998</v>
      </c>
      <c r="I2261" t="s">
        <v>28785</v>
      </c>
      <c r="J2261" t="s">
        <v>29133</v>
      </c>
      <c r="K2261" t="s">
        <v>37208</v>
      </c>
      <c r="M2261" t="s">
        <v>38491</v>
      </c>
      <c r="N2261" t="s">
        <v>41249</v>
      </c>
      <c r="O2261" t="s">
        <v>41250</v>
      </c>
      <c r="P2261">
        <v>0</v>
      </c>
      <c r="Q2261">
        <v>0</v>
      </c>
      <c r="R2261" t="s">
        <v>41252</v>
      </c>
      <c r="S2261" t="s">
        <v>41383</v>
      </c>
      <c r="T2261" t="s">
        <v>42729</v>
      </c>
      <c r="U2261" t="s">
        <v>45156</v>
      </c>
      <c r="V2261" t="s">
        <v>54534</v>
      </c>
      <c r="W2261" t="s">
        <v>38491</v>
      </c>
      <c r="X2261" t="s">
        <v>41255</v>
      </c>
    </row>
    <row r="2262" spans="1:24">
      <c r="A2262">
        <f>HYPERLINK("https://www.philgeps.gov.ph/GEPSNONPILOT/Tender/SplashBidNoticeAbstractUI.aspx?menuIndex=3&amp;refID=7072933&amp;Result=3","7072933")</f>
        <v>0</v>
      </c>
      <c r="B2262" t="s">
        <v>963</v>
      </c>
      <c r="C2262" t="s">
        <v>5546</v>
      </c>
      <c r="D2262" t="s">
        <v>16626</v>
      </c>
      <c r="E2262" t="s">
        <v>18787</v>
      </c>
      <c r="F2262" t="s">
        <v>28669</v>
      </c>
      <c r="G2262" t="s">
        <v>28675</v>
      </c>
      <c r="H2262" t="s">
        <v>9998</v>
      </c>
      <c r="I2262" t="s">
        <v>28690</v>
      </c>
      <c r="J2262" t="s">
        <v>30378</v>
      </c>
      <c r="K2262" t="s">
        <v>37209</v>
      </c>
      <c r="M2262" t="s">
        <v>38488</v>
      </c>
      <c r="N2262" t="s">
        <v>41249</v>
      </c>
      <c r="O2262" t="s">
        <v>41250</v>
      </c>
      <c r="P2262">
        <v>0</v>
      </c>
      <c r="Q2262">
        <v>4</v>
      </c>
      <c r="R2262" t="s">
        <v>41252</v>
      </c>
      <c r="S2262" t="s">
        <v>41383</v>
      </c>
      <c r="T2262" t="s">
        <v>42858</v>
      </c>
      <c r="U2262" t="s">
        <v>45157</v>
      </c>
      <c r="V2262" t="s">
        <v>54530</v>
      </c>
      <c r="W2262" t="s">
        <v>38488</v>
      </c>
      <c r="X2262" t="s">
        <v>41255</v>
      </c>
    </row>
    <row r="2263" spans="1:24">
      <c r="A2263">
        <f>HYPERLINK("https://www.philgeps.gov.ph/GEPSNONPILOT/Tender/SplashBidNoticeAbstractUI.aspx?menuIndex=3&amp;refID=7072894&amp;Result=3","7072894")</f>
        <v>0</v>
      </c>
      <c r="B2263" t="s">
        <v>963</v>
      </c>
      <c r="C2263" t="s">
        <v>5547</v>
      </c>
      <c r="D2263" t="s">
        <v>16626</v>
      </c>
      <c r="E2263" t="s">
        <v>18788</v>
      </c>
      <c r="F2263" t="s">
        <v>28669</v>
      </c>
      <c r="G2263" t="s">
        <v>28675</v>
      </c>
      <c r="H2263" t="s">
        <v>9998</v>
      </c>
      <c r="I2263" t="s">
        <v>7352</v>
      </c>
      <c r="J2263" t="s">
        <v>30379</v>
      </c>
      <c r="K2263" t="s">
        <v>37209</v>
      </c>
      <c r="M2263" t="s">
        <v>38488</v>
      </c>
      <c r="N2263" t="s">
        <v>41249</v>
      </c>
      <c r="O2263" t="s">
        <v>41250</v>
      </c>
      <c r="P2263">
        <v>0</v>
      </c>
      <c r="Q2263">
        <v>0</v>
      </c>
      <c r="R2263" t="s">
        <v>41252</v>
      </c>
      <c r="S2263" t="s">
        <v>41383</v>
      </c>
      <c r="T2263" t="s">
        <v>42873</v>
      </c>
      <c r="U2263" t="s">
        <v>45158</v>
      </c>
      <c r="V2263" t="s">
        <v>54530</v>
      </c>
      <c r="W2263" t="s">
        <v>38488</v>
      </c>
      <c r="X2263" t="s">
        <v>41255</v>
      </c>
    </row>
    <row r="2264" spans="1:24">
      <c r="A2264">
        <f>HYPERLINK("https://www.philgeps.gov.ph/GEPSNONPILOT/Tender/SplashBidNoticeAbstractUI.aspx?menuIndex=3&amp;refID=7072931&amp;Result=3","7072931")</f>
        <v>0</v>
      </c>
      <c r="B2264" t="s">
        <v>965</v>
      </c>
      <c r="C2264" t="s">
        <v>5548</v>
      </c>
      <c r="D2264" t="s">
        <v>16608</v>
      </c>
      <c r="E2264" t="s">
        <v>18789</v>
      </c>
      <c r="F2264" t="s">
        <v>28669</v>
      </c>
      <c r="G2264" t="s">
        <v>28675</v>
      </c>
      <c r="H2264" t="s">
        <v>9998</v>
      </c>
      <c r="I2264" t="s">
        <v>3718</v>
      </c>
      <c r="J2264" t="s">
        <v>30380</v>
      </c>
      <c r="K2264" t="s">
        <v>37205</v>
      </c>
      <c r="M2264" t="s">
        <v>38490</v>
      </c>
      <c r="N2264" t="s">
        <v>41249</v>
      </c>
      <c r="O2264" t="s">
        <v>41250</v>
      </c>
      <c r="P2264">
        <v>0</v>
      </c>
      <c r="Q2264">
        <v>3</v>
      </c>
      <c r="R2264" t="s">
        <v>41252</v>
      </c>
      <c r="S2264" t="s">
        <v>41383</v>
      </c>
      <c r="T2264" t="s">
        <v>42703</v>
      </c>
      <c r="U2264" t="s">
        <v>45159</v>
      </c>
      <c r="W2264" t="s">
        <v>38490</v>
      </c>
      <c r="X2264" t="s">
        <v>41255</v>
      </c>
    </row>
    <row r="2265" spans="1:24">
      <c r="A2265">
        <f>HYPERLINK("https://www.philgeps.gov.ph/GEPSNONPILOT/Tender/SplashBidNoticeAbstractUI.aspx?menuIndex=3&amp;refID=7072927&amp;Result=3","7072927")</f>
        <v>0</v>
      </c>
      <c r="B2265" t="s">
        <v>963</v>
      </c>
      <c r="C2265" t="s">
        <v>5549</v>
      </c>
      <c r="D2265" t="s">
        <v>16626</v>
      </c>
      <c r="E2265" t="s">
        <v>18790</v>
      </c>
      <c r="F2265" t="s">
        <v>28669</v>
      </c>
      <c r="G2265" t="s">
        <v>28675</v>
      </c>
      <c r="H2265" t="s">
        <v>9998</v>
      </c>
      <c r="I2265" t="s">
        <v>5286</v>
      </c>
      <c r="J2265" t="s">
        <v>30381</v>
      </c>
      <c r="K2265" t="s">
        <v>37209</v>
      </c>
      <c r="M2265" t="s">
        <v>38488</v>
      </c>
      <c r="N2265" t="s">
        <v>41249</v>
      </c>
      <c r="O2265" t="s">
        <v>41250</v>
      </c>
      <c r="P2265">
        <v>0</v>
      </c>
      <c r="Q2265">
        <v>1</v>
      </c>
      <c r="R2265" t="s">
        <v>41252</v>
      </c>
      <c r="S2265" t="s">
        <v>41383</v>
      </c>
      <c r="T2265" t="s">
        <v>42858</v>
      </c>
      <c r="U2265" t="s">
        <v>45160</v>
      </c>
      <c r="V2265" t="s">
        <v>54530</v>
      </c>
      <c r="W2265" t="s">
        <v>38488</v>
      </c>
      <c r="X2265" t="s">
        <v>41255</v>
      </c>
    </row>
    <row r="2266" spans="1:24">
      <c r="A2266">
        <f>HYPERLINK("https://www.philgeps.gov.ph/GEPSNONPILOT/Tender/SplashBidNoticeAbstractUI.aspx?menuIndex=3&amp;refID=7073093&amp;Result=3","7073093")</f>
        <v>0</v>
      </c>
      <c r="B2266" t="s">
        <v>936</v>
      </c>
      <c r="C2266" t="s">
        <v>5550</v>
      </c>
      <c r="D2266" t="s">
        <v>16640</v>
      </c>
      <c r="E2266" t="s">
        <v>18791</v>
      </c>
      <c r="F2266" t="s">
        <v>28669</v>
      </c>
      <c r="G2266" t="s">
        <v>28676</v>
      </c>
      <c r="H2266" t="s">
        <v>9998</v>
      </c>
      <c r="I2266" t="s">
        <v>28711</v>
      </c>
      <c r="J2266" t="s">
        <v>30382</v>
      </c>
      <c r="K2266" t="s">
        <v>37204</v>
      </c>
      <c r="M2266" t="s">
        <v>38459</v>
      </c>
      <c r="N2266" t="s">
        <v>41249</v>
      </c>
      <c r="O2266" t="s">
        <v>41250</v>
      </c>
      <c r="P2266">
        <v>0</v>
      </c>
      <c r="Q2266">
        <v>5</v>
      </c>
      <c r="R2266" t="s">
        <v>41252</v>
      </c>
      <c r="S2266" t="s">
        <v>41383</v>
      </c>
      <c r="T2266" t="s">
        <v>42736</v>
      </c>
      <c r="U2266" t="s">
        <v>45161</v>
      </c>
      <c r="W2266" t="s">
        <v>38459</v>
      </c>
      <c r="X2266" t="s">
        <v>41255</v>
      </c>
    </row>
    <row r="2267" spans="1:24">
      <c r="A2267">
        <f>HYPERLINK("https://www.philgeps.gov.ph/GEPSNONPILOT/Tender/SplashBidNoticeAbstractUI.aspx?menuIndex=3&amp;refID=7072936&amp;Result=3","7072936")</f>
        <v>0</v>
      </c>
      <c r="B2267" t="s">
        <v>963</v>
      </c>
      <c r="C2267" t="s">
        <v>5551</v>
      </c>
      <c r="D2267" t="s">
        <v>16626</v>
      </c>
      <c r="E2267" t="s">
        <v>18792</v>
      </c>
      <c r="F2267" t="s">
        <v>28669</v>
      </c>
      <c r="G2267" t="s">
        <v>28675</v>
      </c>
      <c r="H2267" t="s">
        <v>9998</v>
      </c>
      <c r="I2267" t="s">
        <v>5286</v>
      </c>
      <c r="J2267" t="s">
        <v>30383</v>
      </c>
      <c r="K2267" t="s">
        <v>37209</v>
      </c>
      <c r="M2267" t="s">
        <v>38488</v>
      </c>
      <c r="N2267" t="s">
        <v>41249</v>
      </c>
      <c r="O2267" t="s">
        <v>41250</v>
      </c>
      <c r="P2267">
        <v>0</v>
      </c>
      <c r="Q2267">
        <v>1</v>
      </c>
      <c r="R2267" t="s">
        <v>41252</v>
      </c>
      <c r="S2267" t="s">
        <v>41383</v>
      </c>
      <c r="T2267" t="s">
        <v>42858</v>
      </c>
      <c r="U2267" t="s">
        <v>45162</v>
      </c>
      <c r="V2267" t="s">
        <v>54530</v>
      </c>
      <c r="W2267" t="s">
        <v>38488</v>
      </c>
      <c r="X2267" t="s">
        <v>41255</v>
      </c>
    </row>
    <row r="2268" spans="1:24">
      <c r="A2268">
        <f>HYPERLINK("https://www.philgeps.gov.ph/GEPSNONPILOT/Tender/SplashBidNoticeAbstractUI.aspx?menuIndex=3&amp;refID=7072926&amp;Result=3","7072926")</f>
        <v>0</v>
      </c>
      <c r="B2268" t="s">
        <v>963</v>
      </c>
      <c r="C2268" t="s">
        <v>5552</v>
      </c>
      <c r="D2268" t="s">
        <v>16626</v>
      </c>
      <c r="E2268" t="s">
        <v>18793</v>
      </c>
      <c r="F2268" t="s">
        <v>28669</v>
      </c>
      <c r="G2268" t="s">
        <v>28675</v>
      </c>
      <c r="H2268" t="s">
        <v>9998</v>
      </c>
      <c r="I2268" t="s">
        <v>28690</v>
      </c>
      <c r="J2268" t="s">
        <v>30384</v>
      </c>
      <c r="K2268" t="s">
        <v>37209</v>
      </c>
      <c r="M2268" t="s">
        <v>38488</v>
      </c>
      <c r="N2268" t="s">
        <v>41249</v>
      </c>
      <c r="O2268" t="s">
        <v>41250</v>
      </c>
      <c r="P2268">
        <v>0</v>
      </c>
      <c r="Q2268">
        <v>5</v>
      </c>
      <c r="R2268" t="s">
        <v>41252</v>
      </c>
      <c r="S2268" t="s">
        <v>41383</v>
      </c>
      <c r="T2268" t="s">
        <v>42858</v>
      </c>
      <c r="U2268" t="s">
        <v>45163</v>
      </c>
      <c r="V2268" t="s">
        <v>54530</v>
      </c>
      <c r="W2268" t="s">
        <v>38488</v>
      </c>
      <c r="X2268" t="s">
        <v>41255</v>
      </c>
    </row>
    <row r="2269" spans="1:24">
      <c r="A2269">
        <f>HYPERLINK("https://www.philgeps.gov.ph/GEPSNONPILOT/Tender/SplashBidNoticeAbstractUI.aspx?menuIndex=3&amp;refID=7073247&amp;Result=3","7073247")</f>
        <v>0</v>
      </c>
      <c r="B2269" t="s">
        <v>99</v>
      </c>
      <c r="C2269" t="s">
        <v>5553</v>
      </c>
      <c r="D2269" t="s">
        <v>16655</v>
      </c>
      <c r="E2269" t="s">
        <v>18794</v>
      </c>
      <c r="F2269" t="s">
        <v>28669</v>
      </c>
      <c r="G2269" t="s">
        <v>28675</v>
      </c>
      <c r="H2269" t="s">
        <v>9998</v>
      </c>
      <c r="I2269" t="s">
        <v>15140</v>
      </c>
      <c r="J2269" t="s">
        <v>28877</v>
      </c>
      <c r="K2269" t="s">
        <v>37204</v>
      </c>
      <c r="M2269" t="s">
        <v>37574</v>
      </c>
      <c r="N2269" t="s">
        <v>41249</v>
      </c>
      <c r="O2269" t="s">
        <v>41250</v>
      </c>
      <c r="P2269">
        <v>0</v>
      </c>
      <c r="Q2269">
        <v>1</v>
      </c>
      <c r="R2269" t="s">
        <v>41252</v>
      </c>
      <c r="S2269" t="s">
        <v>41383</v>
      </c>
      <c r="T2269" t="s">
        <v>42679</v>
      </c>
      <c r="U2269" t="s">
        <v>45164</v>
      </c>
      <c r="W2269" t="s">
        <v>37574</v>
      </c>
      <c r="X2269" t="s">
        <v>41254</v>
      </c>
    </row>
    <row r="2270" spans="1:24">
      <c r="A2270">
        <f>HYPERLINK("https://www.philgeps.gov.ph/GEPSNONPILOT/Tender/SplashBidNoticeAbstractUI.aspx?menuIndex=3&amp;refID=7072623&amp;Result=3","7072623")</f>
        <v>0</v>
      </c>
      <c r="B2270" t="s">
        <v>909</v>
      </c>
      <c r="C2270" t="s">
        <v>5554</v>
      </c>
      <c r="D2270" t="s">
        <v>16662</v>
      </c>
      <c r="E2270" t="s">
        <v>18795</v>
      </c>
      <c r="F2270" t="s">
        <v>28669</v>
      </c>
      <c r="G2270" t="s">
        <v>28675</v>
      </c>
      <c r="H2270" t="s">
        <v>9998</v>
      </c>
      <c r="I2270" t="s">
        <v>6128</v>
      </c>
      <c r="J2270" t="s">
        <v>30385</v>
      </c>
      <c r="K2270" t="s">
        <v>37206</v>
      </c>
      <c r="M2270" t="s">
        <v>38431</v>
      </c>
      <c r="N2270" t="s">
        <v>41249</v>
      </c>
      <c r="O2270" t="s">
        <v>41250</v>
      </c>
      <c r="P2270">
        <v>0</v>
      </c>
      <c r="Q2270">
        <v>1</v>
      </c>
      <c r="R2270" t="s">
        <v>41252</v>
      </c>
      <c r="S2270" t="s">
        <v>41383</v>
      </c>
      <c r="T2270" t="s">
        <v>42688</v>
      </c>
      <c r="U2270" t="s">
        <v>45165</v>
      </c>
      <c r="W2270" t="s">
        <v>38431</v>
      </c>
      <c r="X2270" t="s">
        <v>41256</v>
      </c>
    </row>
    <row r="2271" spans="1:24">
      <c r="A2271">
        <f>HYPERLINK("https://www.philgeps.gov.ph/GEPSNONPILOT/Tender/SplashBidNoticeAbstractUI.aspx?menuIndex=3&amp;refID=7073246&amp;Result=3","7073246")</f>
        <v>0</v>
      </c>
      <c r="B2271" t="s">
        <v>967</v>
      </c>
      <c r="C2271" t="s">
        <v>5555</v>
      </c>
      <c r="D2271" t="s">
        <v>16660</v>
      </c>
      <c r="E2271" t="s">
        <v>18796</v>
      </c>
      <c r="F2271" t="s">
        <v>28669</v>
      </c>
      <c r="G2271" t="s">
        <v>28676</v>
      </c>
      <c r="H2271" t="s">
        <v>9998</v>
      </c>
      <c r="I2271" t="s">
        <v>28688</v>
      </c>
      <c r="J2271" t="s">
        <v>30386</v>
      </c>
      <c r="K2271" t="s">
        <v>37208</v>
      </c>
      <c r="M2271" t="s">
        <v>38492</v>
      </c>
      <c r="N2271" t="s">
        <v>41249</v>
      </c>
      <c r="O2271" t="s">
        <v>41250</v>
      </c>
      <c r="P2271">
        <v>0</v>
      </c>
      <c r="Q2271">
        <v>1</v>
      </c>
      <c r="R2271" t="s">
        <v>41252</v>
      </c>
      <c r="S2271" t="s">
        <v>41383</v>
      </c>
      <c r="T2271" t="s">
        <v>42758</v>
      </c>
      <c r="U2271" t="s">
        <v>45166</v>
      </c>
      <c r="W2271" t="s">
        <v>38492</v>
      </c>
      <c r="X2271" t="s">
        <v>41254</v>
      </c>
    </row>
    <row r="2272" spans="1:24">
      <c r="A2272">
        <f>HYPERLINK("https://www.philgeps.gov.ph/GEPSNONPILOT/Tender/SplashBidNoticeAbstractUI.aspx?menuIndex=3&amp;refID=7072930&amp;Result=3","7072930")</f>
        <v>0</v>
      </c>
      <c r="B2272" t="s">
        <v>963</v>
      </c>
      <c r="C2272" t="s">
        <v>5556</v>
      </c>
      <c r="D2272" t="s">
        <v>16626</v>
      </c>
      <c r="E2272" t="s">
        <v>18797</v>
      </c>
      <c r="F2272" t="s">
        <v>28669</v>
      </c>
      <c r="G2272" t="s">
        <v>28675</v>
      </c>
      <c r="H2272" t="s">
        <v>28685</v>
      </c>
      <c r="I2272" t="s">
        <v>28728</v>
      </c>
      <c r="J2272" t="s">
        <v>29203</v>
      </c>
      <c r="K2272" t="s">
        <v>37209</v>
      </c>
      <c r="M2272" t="s">
        <v>38488</v>
      </c>
      <c r="N2272" t="s">
        <v>41249</v>
      </c>
      <c r="O2272" t="s">
        <v>41250</v>
      </c>
      <c r="P2272">
        <v>0</v>
      </c>
      <c r="Q2272">
        <v>0</v>
      </c>
      <c r="R2272" t="s">
        <v>41252</v>
      </c>
      <c r="S2272" t="s">
        <v>41383</v>
      </c>
      <c r="T2272" t="s">
        <v>42858</v>
      </c>
      <c r="U2272" t="s">
        <v>45167</v>
      </c>
      <c r="V2272" t="s">
        <v>54535</v>
      </c>
      <c r="W2272" t="s">
        <v>38488</v>
      </c>
      <c r="X2272" t="s">
        <v>41255</v>
      </c>
    </row>
    <row r="2273" spans="1:24">
      <c r="A2273">
        <f>HYPERLINK("https://www.philgeps.gov.ph/GEPSNONPILOT/Tender/SplashBidNoticeAbstractUI.aspx?menuIndex=3&amp;refID=7073244&amp;Result=3","7073244")</f>
        <v>0</v>
      </c>
      <c r="B2273" t="s">
        <v>967</v>
      </c>
      <c r="C2273" t="s">
        <v>5557</v>
      </c>
      <c r="D2273" t="s">
        <v>16660</v>
      </c>
      <c r="E2273" t="s">
        <v>18798</v>
      </c>
      <c r="F2273" t="s">
        <v>28669</v>
      </c>
      <c r="G2273" t="s">
        <v>28678</v>
      </c>
      <c r="H2273" t="s">
        <v>9998</v>
      </c>
      <c r="I2273" t="s">
        <v>28688</v>
      </c>
      <c r="J2273" t="s">
        <v>30387</v>
      </c>
      <c r="K2273" t="s">
        <v>37208</v>
      </c>
      <c r="M2273" t="s">
        <v>38492</v>
      </c>
      <c r="N2273" t="s">
        <v>41249</v>
      </c>
      <c r="O2273" t="s">
        <v>41250</v>
      </c>
      <c r="P2273">
        <v>0</v>
      </c>
      <c r="Q2273">
        <v>1</v>
      </c>
      <c r="R2273" t="s">
        <v>41252</v>
      </c>
      <c r="S2273" t="s">
        <v>41383</v>
      </c>
      <c r="T2273" t="s">
        <v>42758</v>
      </c>
      <c r="U2273" t="s">
        <v>45168</v>
      </c>
      <c r="W2273" t="s">
        <v>38492</v>
      </c>
      <c r="X2273" t="s">
        <v>41254</v>
      </c>
    </row>
    <row r="2274" spans="1:24">
      <c r="A2274">
        <f>HYPERLINK("https://www.philgeps.gov.ph/GEPSNONPILOT/Tender/SplashBidNoticeAbstractUI.aspx?menuIndex=3&amp;refID=7072928&amp;Result=3","7072928")</f>
        <v>0</v>
      </c>
      <c r="B2274" t="s">
        <v>965</v>
      </c>
      <c r="C2274" t="s">
        <v>5558</v>
      </c>
      <c r="D2274" t="s">
        <v>16608</v>
      </c>
      <c r="E2274" t="s">
        <v>18799</v>
      </c>
      <c r="F2274" t="s">
        <v>28669</v>
      </c>
      <c r="G2274" t="s">
        <v>28675</v>
      </c>
      <c r="H2274" t="s">
        <v>9998</v>
      </c>
      <c r="I2274" t="s">
        <v>3718</v>
      </c>
      <c r="J2274" t="s">
        <v>30388</v>
      </c>
      <c r="K2274" t="s">
        <v>37205</v>
      </c>
      <c r="M2274" t="s">
        <v>38490</v>
      </c>
      <c r="N2274" t="s">
        <v>41249</v>
      </c>
      <c r="O2274" t="s">
        <v>41250</v>
      </c>
      <c r="P2274">
        <v>0</v>
      </c>
      <c r="Q2274">
        <v>5</v>
      </c>
      <c r="R2274" t="s">
        <v>41252</v>
      </c>
      <c r="S2274" t="s">
        <v>41383</v>
      </c>
      <c r="T2274" t="s">
        <v>42703</v>
      </c>
      <c r="U2274" t="s">
        <v>45169</v>
      </c>
      <c r="W2274" t="s">
        <v>38490</v>
      </c>
      <c r="X2274" t="s">
        <v>41255</v>
      </c>
    </row>
    <row r="2275" spans="1:24">
      <c r="A2275">
        <f>HYPERLINK("https://www.philgeps.gov.ph/GEPSNONPILOT/Tender/SplashBidNoticeAbstractUI.aspx?menuIndex=3&amp;refID=7073243&amp;Result=3","7073243")</f>
        <v>0</v>
      </c>
      <c r="B2275" t="s">
        <v>968</v>
      </c>
      <c r="C2275" t="s">
        <v>5559</v>
      </c>
      <c r="E2275" t="s">
        <v>18800</v>
      </c>
      <c r="F2275" t="s">
        <v>28669</v>
      </c>
      <c r="G2275" t="s">
        <v>28676</v>
      </c>
      <c r="H2275" t="s">
        <v>9998</v>
      </c>
      <c r="I2275" t="s">
        <v>11593</v>
      </c>
      <c r="J2275" t="s">
        <v>30389</v>
      </c>
      <c r="K2275" t="s">
        <v>37209</v>
      </c>
      <c r="M2275" t="s">
        <v>38493</v>
      </c>
      <c r="N2275" t="s">
        <v>41249</v>
      </c>
      <c r="O2275" t="s">
        <v>41250</v>
      </c>
      <c r="P2275">
        <v>0</v>
      </c>
      <c r="Q2275">
        <v>3</v>
      </c>
      <c r="R2275" t="s">
        <v>41252</v>
      </c>
      <c r="S2275" t="s">
        <v>41383</v>
      </c>
      <c r="T2275" t="s">
        <v>42754</v>
      </c>
      <c r="U2275" t="s">
        <v>45170</v>
      </c>
      <c r="W2275" t="s">
        <v>38493</v>
      </c>
      <c r="X2275" t="s">
        <v>41254</v>
      </c>
    </row>
    <row r="2276" spans="1:24">
      <c r="A2276">
        <f>HYPERLINK("https://www.philgeps.gov.ph/GEPSNONPILOT/Tender/SplashBidNoticeAbstractUI.aspx?menuIndex=3&amp;refID=7072904&amp;Result=3","7072904")</f>
        <v>0</v>
      </c>
      <c r="B2276" t="s">
        <v>963</v>
      </c>
      <c r="C2276" t="s">
        <v>5560</v>
      </c>
      <c r="D2276" t="s">
        <v>16626</v>
      </c>
      <c r="E2276" t="s">
        <v>18801</v>
      </c>
      <c r="F2276" t="s">
        <v>28669</v>
      </c>
      <c r="G2276" t="s">
        <v>28675</v>
      </c>
      <c r="H2276" t="s">
        <v>9998</v>
      </c>
      <c r="I2276" t="s">
        <v>6606</v>
      </c>
      <c r="J2276" t="s">
        <v>30390</v>
      </c>
      <c r="K2276" t="s">
        <v>37209</v>
      </c>
      <c r="M2276" t="s">
        <v>38488</v>
      </c>
      <c r="N2276" t="s">
        <v>41249</v>
      </c>
      <c r="O2276" t="s">
        <v>41250</v>
      </c>
      <c r="P2276">
        <v>0</v>
      </c>
      <c r="Q2276">
        <v>0</v>
      </c>
      <c r="R2276" t="s">
        <v>41252</v>
      </c>
      <c r="S2276" t="s">
        <v>41383</v>
      </c>
      <c r="T2276" t="s">
        <v>42858</v>
      </c>
      <c r="U2276" t="s">
        <v>45171</v>
      </c>
      <c r="V2276" t="s">
        <v>54535</v>
      </c>
      <c r="W2276" t="s">
        <v>38488</v>
      </c>
      <c r="X2276" t="s">
        <v>41255</v>
      </c>
    </row>
    <row r="2277" spans="1:24">
      <c r="A2277">
        <f>HYPERLINK("https://www.philgeps.gov.ph/GEPSNONPILOT/Tender/SplashBidNoticeAbstractUI.aspx?menuIndex=3&amp;refID=7073241&amp;Result=3","7073241")</f>
        <v>0</v>
      </c>
      <c r="B2277" t="s">
        <v>969</v>
      </c>
      <c r="C2277" t="s">
        <v>5561</v>
      </c>
      <c r="D2277" t="s">
        <v>16616</v>
      </c>
      <c r="E2277" t="s">
        <v>17029</v>
      </c>
      <c r="F2277" t="s">
        <v>28669</v>
      </c>
      <c r="G2277" t="s">
        <v>28675</v>
      </c>
      <c r="H2277" t="s">
        <v>9998</v>
      </c>
      <c r="I2277" t="s">
        <v>7352</v>
      </c>
      <c r="J2277" t="s">
        <v>30391</v>
      </c>
      <c r="K2277" t="s">
        <v>37210</v>
      </c>
      <c r="M2277" t="s">
        <v>38494</v>
      </c>
      <c r="N2277" t="s">
        <v>41249</v>
      </c>
      <c r="O2277" t="s">
        <v>41250</v>
      </c>
      <c r="P2277">
        <v>0</v>
      </c>
      <c r="Q2277">
        <v>0</v>
      </c>
      <c r="R2277" t="s">
        <v>41252</v>
      </c>
      <c r="S2277" t="s">
        <v>41383</v>
      </c>
      <c r="T2277" t="s">
        <v>42702</v>
      </c>
      <c r="U2277" t="s">
        <v>45172</v>
      </c>
      <c r="V2277" t="s">
        <v>54536</v>
      </c>
      <c r="W2277" t="s">
        <v>38494</v>
      </c>
      <c r="X2277" t="s">
        <v>41254</v>
      </c>
    </row>
    <row r="2278" spans="1:24">
      <c r="A2278">
        <f>HYPERLINK("https://www.philgeps.gov.ph/GEPSNONPILOT/Tender/SplashBidNoticeAbstractUI.aspx?menuIndex=3&amp;refID=7073240&amp;Result=3","7073240")</f>
        <v>0</v>
      </c>
      <c r="B2278" t="s">
        <v>970</v>
      </c>
      <c r="C2278" t="s">
        <v>5562</v>
      </c>
      <c r="D2278" t="s">
        <v>16616</v>
      </c>
      <c r="E2278" t="s">
        <v>17029</v>
      </c>
      <c r="F2278" t="s">
        <v>28669</v>
      </c>
      <c r="G2278" t="s">
        <v>28675</v>
      </c>
      <c r="H2278" t="s">
        <v>9998</v>
      </c>
      <c r="I2278" t="s">
        <v>7352</v>
      </c>
      <c r="J2278" t="s">
        <v>28878</v>
      </c>
      <c r="K2278" t="s">
        <v>37210</v>
      </c>
      <c r="M2278" t="s">
        <v>38495</v>
      </c>
      <c r="N2278" t="s">
        <v>41249</v>
      </c>
      <c r="O2278" t="s">
        <v>41250</v>
      </c>
      <c r="P2278">
        <v>0</v>
      </c>
      <c r="Q2278">
        <v>0</v>
      </c>
      <c r="R2278" t="s">
        <v>41252</v>
      </c>
      <c r="S2278" t="s">
        <v>41383</v>
      </c>
      <c r="T2278" t="s">
        <v>42702</v>
      </c>
      <c r="U2278" t="s">
        <v>45173</v>
      </c>
      <c r="V2278" t="s">
        <v>54537</v>
      </c>
      <c r="W2278" t="s">
        <v>38495</v>
      </c>
      <c r="X2278" t="s">
        <v>41254</v>
      </c>
    </row>
    <row r="2279" spans="1:24">
      <c r="A2279">
        <f>HYPERLINK("https://www.philgeps.gov.ph/GEPSNONPILOT/Tender/SplashBidNoticeAbstractUI.aspx?menuIndex=3&amp;refID=7073235&amp;Result=3","7073235")</f>
        <v>0</v>
      </c>
      <c r="B2279" t="s">
        <v>971</v>
      </c>
      <c r="C2279" t="s">
        <v>5563</v>
      </c>
      <c r="E2279" t="s">
        <v>18802</v>
      </c>
      <c r="F2279" t="s">
        <v>28669</v>
      </c>
      <c r="G2279" t="s">
        <v>28675</v>
      </c>
      <c r="H2279" t="s">
        <v>9998</v>
      </c>
      <c r="I2279" t="s">
        <v>3718</v>
      </c>
      <c r="J2279" t="s">
        <v>28878</v>
      </c>
      <c r="K2279" t="s">
        <v>37209</v>
      </c>
      <c r="M2279" t="s">
        <v>38496</v>
      </c>
      <c r="N2279" t="s">
        <v>41249</v>
      </c>
      <c r="O2279" t="s">
        <v>41250</v>
      </c>
      <c r="P2279">
        <v>0</v>
      </c>
      <c r="Q2279">
        <v>0</v>
      </c>
      <c r="R2279" t="s">
        <v>41252</v>
      </c>
      <c r="S2279" t="s">
        <v>41383</v>
      </c>
      <c r="T2279" t="s">
        <v>42679</v>
      </c>
      <c r="U2279" t="s">
        <v>45174</v>
      </c>
      <c r="W2279" t="s">
        <v>38496</v>
      </c>
      <c r="X2279" t="s">
        <v>41255</v>
      </c>
    </row>
    <row r="2280" spans="1:24">
      <c r="A2280">
        <f>HYPERLINK("https://www.philgeps.gov.ph/GEPSNONPILOT/Tender/SplashBidNoticeAbstractUI.aspx?menuIndex=3&amp;refID=7073186&amp;Result=3","7073186")</f>
        <v>0</v>
      </c>
      <c r="B2280" t="s">
        <v>972</v>
      </c>
      <c r="C2280" t="s">
        <v>5564</v>
      </c>
      <c r="D2280" t="s">
        <v>16658</v>
      </c>
      <c r="E2280" t="s">
        <v>18803</v>
      </c>
      <c r="F2280" t="s">
        <v>28669</v>
      </c>
      <c r="G2280" t="s">
        <v>28677</v>
      </c>
      <c r="H2280" t="s">
        <v>9998</v>
      </c>
      <c r="I2280" t="s">
        <v>3718</v>
      </c>
      <c r="J2280" t="s">
        <v>29104</v>
      </c>
      <c r="K2280" t="s">
        <v>37206</v>
      </c>
      <c r="M2280" t="s">
        <v>38497</v>
      </c>
      <c r="N2280" t="s">
        <v>41249</v>
      </c>
      <c r="O2280" t="s">
        <v>41250</v>
      </c>
      <c r="P2280">
        <v>0</v>
      </c>
      <c r="Q2280">
        <v>2</v>
      </c>
      <c r="R2280" t="s">
        <v>41252</v>
      </c>
      <c r="S2280" t="s">
        <v>41383</v>
      </c>
      <c r="T2280" t="s">
        <v>42874</v>
      </c>
      <c r="U2280" t="s">
        <v>45175</v>
      </c>
      <c r="V2280" t="s">
        <v>54538</v>
      </c>
      <c r="W2280" t="s">
        <v>38497</v>
      </c>
      <c r="X2280" t="s">
        <v>41255</v>
      </c>
    </row>
    <row r="2281" spans="1:24">
      <c r="A2281">
        <f>HYPERLINK("https://www.philgeps.gov.ph/GEPSNONPILOT/Tender/SplashBidNoticeAbstractUI.aspx?menuIndex=3&amp;refID=7073245&amp;Result=3","7073245")</f>
        <v>0</v>
      </c>
      <c r="B2281" t="s">
        <v>967</v>
      </c>
      <c r="C2281" t="s">
        <v>5565</v>
      </c>
      <c r="D2281" t="s">
        <v>16660</v>
      </c>
      <c r="E2281" t="s">
        <v>18804</v>
      </c>
      <c r="F2281" t="s">
        <v>28669</v>
      </c>
      <c r="G2281" t="s">
        <v>28676</v>
      </c>
      <c r="H2281" t="s">
        <v>9998</v>
      </c>
      <c r="I2281" t="s">
        <v>28713</v>
      </c>
      <c r="J2281" t="s">
        <v>30392</v>
      </c>
      <c r="K2281" t="s">
        <v>37208</v>
      </c>
      <c r="M2281" t="s">
        <v>38492</v>
      </c>
      <c r="N2281" t="s">
        <v>41249</v>
      </c>
      <c r="O2281" t="s">
        <v>41250</v>
      </c>
      <c r="P2281">
        <v>0</v>
      </c>
      <c r="Q2281">
        <v>1</v>
      </c>
      <c r="R2281" t="s">
        <v>41252</v>
      </c>
      <c r="S2281" t="s">
        <v>41383</v>
      </c>
      <c r="T2281" t="s">
        <v>42758</v>
      </c>
      <c r="U2281" t="s">
        <v>45176</v>
      </c>
      <c r="W2281" t="s">
        <v>38492</v>
      </c>
      <c r="X2281" t="s">
        <v>41254</v>
      </c>
    </row>
    <row r="2282" spans="1:24">
      <c r="A2282">
        <f>HYPERLINK("https://www.philgeps.gov.ph/GEPSNONPILOT/Tender/SplashBidNoticeAbstractUI.aspx?menuIndex=3&amp;refID=7073131&amp;Result=3","7073131")</f>
        <v>0</v>
      </c>
      <c r="B2282" t="s">
        <v>936</v>
      </c>
      <c r="C2282" t="s">
        <v>5566</v>
      </c>
      <c r="D2282" t="s">
        <v>16640</v>
      </c>
      <c r="E2282" t="s">
        <v>18805</v>
      </c>
      <c r="F2282" t="s">
        <v>28669</v>
      </c>
      <c r="G2282" t="s">
        <v>28676</v>
      </c>
      <c r="H2282" t="s">
        <v>9998</v>
      </c>
      <c r="I2282" t="s">
        <v>28729</v>
      </c>
      <c r="J2282" t="s">
        <v>30393</v>
      </c>
      <c r="K2282" t="s">
        <v>37216</v>
      </c>
      <c r="M2282" t="s">
        <v>38459</v>
      </c>
      <c r="N2282" t="s">
        <v>41249</v>
      </c>
      <c r="O2282" t="s">
        <v>41250</v>
      </c>
      <c r="P2282">
        <v>0</v>
      </c>
      <c r="Q2282">
        <v>4</v>
      </c>
      <c r="R2282" t="s">
        <v>41252</v>
      </c>
      <c r="S2282" t="s">
        <v>41383</v>
      </c>
      <c r="T2282" t="s">
        <v>42736</v>
      </c>
      <c r="U2282" t="s">
        <v>45177</v>
      </c>
      <c r="W2282" t="s">
        <v>38459</v>
      </c>
      <c r="X2282" t="s">
        <v>41255</v>
      </c>
    </row>
    <row r="2283" spans="1:24">
      <c r="A2283">
        <f>HYPERLINK("https://www.philgeps.gov.ph/GEPSNONPILOT/Tender/SplashBidNoticeAbstractUI.aspx?menuIndex=3&amp;refID=7073116&amp;Result=3","7073116")</f>
        <v>0</v>
      </c>
      <c r="B2283" t="s">
        <v>936</v>
      </c>
      <c r="C2283" t="s">
        <v>5567</v>
      </c>
      <c r="D2283" t="s">
        <v>16640</v>
      </c>
      <c r="E2283" t="s">
        <v>18806</v>
      </c>
      <c r="F2283" t="s">
        <v>28669</v>
      </c>
      <c r="G2283" t="s">
        <v>28678</v>
      </c>
      <c r="H2283" t="s">
        <v>9998</v>
      </c>
      <c r="I2283" t="s">
        <v>6458</v>
      </c>
      <c r="J2283" t="s">
        <v>30394</v>
      </c>
      <c r="K2283" t="s">
        <v>37216</v>
      </c>
      <c r="M2283" t="s">
        <v>38459</v>
      </c>
      <c r="N2283" t="s">
        <v>41249</v>
      </c>
      <c r="O2283" t="s">
        <v>41250</v>
      </c>
      <c r="P2283">
        <v>0</v>
      </c>
      <c r="Q2283">
        <v>4</v>
      </c>
      <c r="R2283" t="s">
        <v>41252</v>
      </c>
      <c r="S2283" t="s">
        <v>41383</v>
      </c>
      <c r="T2283" t="s">
        <v>42736</v>
      </c>
      <c r="U2283" t="s">
        <v>45178</v>
      </c>
      <c r="W2283" t="s">
        <v>38459</v>
      </c>
      <c r="X2283" t="s">
        <v>41255</v>
      </c>
    </row>
    <row r="2284" spans="1:24">
      <c r="A2284">
        <f>HYPERLINK("https://www.philgeps.gov.ph/GEPSNONPILOT/Tender/SplashBidNoticeAbstractUI.aspx?menuIndex=3&amp;refID=7073107&amp;Result=3","7073107")</f>
        <v>0</v>
      </c>
      <c r="B2284" t="s">
        <v>936</v>
      </c>
      <c r="C2284" t="s">
        <v>5568</v>
      </c>
      <c r="D2284" t="s">
        <v>16640</v>
      </c>
      <c r="E2284" t="s">
        <v>18807</v>
      </c>
      <c r="F2284" t="s">
        <v>28669</v>
      </c>
      <c r="G2284" t="s">
        <v>28678</v>
      </c>
      <c r="H2284" t="s">
        <v>9998</v>
      </c>
      <c r="I2284" t="s">
        <v>5213</v>
      </c>
      <c r="J2284" t="s">
        <v>30395</v>
      </c>
      <c r="K2284" t="s">
        <v>37204</v>
      </c>
      <c r="M2284" t="s">
        <v>38459</v>
      </c>
      <c r="N2284" t="s">
        <v>41249</v>
      </c>
      <c r="O2284" t="s">
        <v>41250</v>
      </c>
      <c r="P2284">
        <v>0</v>
      </c>
      <c r="Q2284">
        <v>3</v>
      </c>
      <c r="R2284" t="s">
        <v>41252</v>
      </c>
      <c r="S2284" t="s">
        <v>41383</v>
      </c>
      <c r="T2284" t="s">
        <v>42736</v>
      </c>
      <c r="U2284" t="s">
        <v>45179</v>
      </c>
      <c r="W2284" t="s">
        <v>38459</v>
      </c>
      <c r="X2284" t="s">
        <v>41255</v>
      </c>
    </row>
    <row r="2285" spans="1:24">
      <c r="A2285">
        <f>HYPERLINK("https://www.philgeps.gov.ph/GEPSNONPILOT/Tender/SplashBidNoticeAbstractUI.aspx?menuIndex=3&amp;refID=7073237&amp;Result=3","7073237")</f>
        <v>0</v>
      </c>
      <c r="B2285" t="s">
        <v>973</v>
      </c>
      <c r="C2285" t="s">
        <v>5569</v>
      </c>
      <c r="D2285" t="s">
        <v>16608</v>
      </c>
      <c r="E2285" t="s">
        <v>18808</v>
      </c>
      <c r="F2285" t="s">
        <v>28669</v>
      </c>
      <c r="G2285" t="s">
        <v>28675</v>
      </c>
      <c r="H2285" t="s">
        <v>9998</v>
      </c>
      <c r="I2285" t="s">
        <v>28733</v>
      </c>
      <c r="J2285" t="s">
        <v>30025</v>
      </c>
      <c r="K2285" t="s">
        <v>37209</v>
      </c>
      <c r="M2285" t="s">
        <v>38498</v>
      </c>
      <c r="N2285" t="s">
        <v>41249</v>
      </c>
      <c r="O2285" t="s">
        <v>41250</v>
      </c>
      <c r="P2285">
        <v>0</v>
      </c>
      <c r="Q2285">
        <v>2</v>
      </c>
      <c r="R2285" t="s">
        <v>41252</v>
      </c>
      <c r="S2285" t="s">
        <v>41383</v>
      </c>
      <c r="T2285" t="s">
        <v>42742</v>
      </c>
      <c r="U2285" t="s">
        <v>45180</v>
      </c>
      <c r="W2285" t="s">
        <v>38498</v>
      </c>
      <c r="X2285" t="s">
        <v>41254</v>
      </c>
    </row>
    <row r="2286" spans="1:24">
      <c r="A2286">
        <f>HYPERLINK("https://www.philgeps.gov.ph/GEPSNONPILOT/Tender/SplashBidNoticeAbstractUI.aspx?menuIndex=3&amp;refID=7073110&amp;Result=3","7073110")</f>
        <v>0</v>
      </c>
      <c r="B2286" t="s">
        <v>936</v>
      </c>
      <c r="C2286" t="s">
        <v>5570</v>
      </c>
      <c r="D2286" t="s">
        <v>16640</v>
      </c>
      <c r="E2286" t="s">
        <v>18809</v>
      </c>
      <c r="F2286" t="s">
        <v>28669</v>
      </c>
      <c r="G2286" t="s">
        <v>28676</v>
      </c>
      <c r="H2286" t="s">
        <v>9998</v>
      </c>
      <c r="I2286" t="s">
        <v>28711</v>
      </c>
      <c r="J2286" t="s">
        <v>30396</v>
      </c>
      <c r="K2286" t="s">
        <v>37204</v>
      </c>
      <c r="M2286" t="s">
        <v>38459</v>
      </c>
      <c r="N2286" t="s">
        <v>41249</v>
      </c>
      <c r="O2286" t="s">
        <v>41250</v>
      </c>
      <c r="P2286">
        <v>0</v>
      </c>
      <c r="Q2286">
        <v>4</v>
      </c>
      <c r="R2286" t="s">
        <v>41252</v>
      </c>
      <c r="S2286" t="s">
        <v>41383</v>
      </c>
      <c r="T2286" t="s">
        <v>42736</v>
      </c>
      <c r="U2286" t="s">
        <v>45181</v>
      </c>
      <c r="W2286" t="s">
        <v>38459</v>
      </c>
      <c r="X2286" t="s">
        <v>41255</v>
      </c>
    </row>
    <row r="2287" spans="1:24">
      <c r="A2287">
        <f>HYPERLINK("https://www.philgeps.gov.ph/GEPSNONPILOT/Tender/SplashBidNoticeAbstractUI.aspx?menuIndex=3&amp;refID=7073199&amp;Result=3","7073199")</f>
        <v>0</v>
      </c>
      <c r="B2287" t="s">
        <v>974</v>
      </c>
      <c r="C2287" t="s">
        <v>5571</v>
      </c>
      <c r="D2287" t="s">
        <v>16621</v>
      </c>
      <c r="E2287" t="s">
        <v>18810</v>
      </c>
      <c r="F2287" t="s">
        <v>28669</v>
      </c>
      <c r="G2287" t="s">
        <v>28675</v>
      </c>
      <c r="H2287" t="s">
        <v>9998</v>
      </c>
      <c r="I2287" t="s">
        <v>6606</v>
      </c>
      <c r="J2287" t="s">
        <v>30397</v>
      </c>
      <c r="K2287" t="s">
        <v>37205</v>
      </c>
      <c r="M2287" t="s">
        <v>38499</v>
      </c>
      <c r="N2287" t="s">
        <v>41249</v>
      </c>
      <c r="O2287" t="s">
        <v>41250</v>
      </c>
      <c r="P2287">
        <v>0</v>
      </c>
      <c r="Q2287">
        <v>1</v>
      </c>
      <c r="R2287" t="s">
        <v>41252</v>
      </c>
      <c r="S2287" t="s">
        <v>41383</v>
      </c>
      <c r="T2287" t="s">
        <v>42875</v>
      </c>
      <c r="U2287" t="s">
        <v>45182</v>
      </c>
      <c r="V2287" t="s">
        <v>54539</v>
      </c>
      <c r="W2287" t="s">
        <v>38499</v>
      </c>
      <c r="X2287" t="s">
        <v>41255</v>
      </c>
    </row>
    <row r="2288" spans="1:24">
      <c r="A2288">
        <f>HYPERLINK("https://www.philgeps.gov.ph/GEPSNONPILOT/Tender/SplashBidNoticeAbstractUI.aspx?menuIndex=3&amp;refID=7073250&amp;Result=3","7073250")</f>
        <v>0</v>
      </c>
      <c r="B2288" t="s">
        <v>99</v>
      </c>
      <c r="C2288" t="s">
        <v>3520</v>
      </c>
      <c r="D2288" t="s">
        <v>16655</v>
      </c>
      <c r="E2288" t="s">
        <v>18811</v>
      </c>
      <c r="F2288" t="s">
        <v>28669</v>
      </c>
      <c r="G2288" t="s">
        <v>28677</v>
      </c>
      <c r="H2288" t="s">
        <v>9998</v>
      </c>
      <c r="I2288" t="s">
        <v>28708</v>
      </c>
      <c r="J2288" t="s">
        <v>28879</v>
      </c>
      <c r="K2288" t="s">
        <v>37204</v>
      </c>
      <c r="M2288" t="s">
        <v>37574</v>
      </c>
      <c r="N2288" t="s">
        <v>41249</v>
      </c>
      <c r="O2288" t="s">
        <v>41250</v>
      </c>
      <c r="P2288">
        <v>0</v>
      </c>
      <c r="Q2288">
        <v>4</v>
      </c>
      <c r="R2288" t="s">
        <v>41252</v>
      </c>
      <c r="S2288" t="s">
        <v>41383</v>
      </c>
      <c r="T2288" t="s">
        <v>42753</v>
      </c>
      <c r="U2288" t="s">
        <v>43325</v>
      </c>
      <c r="W2288" t="s">
        <v>37574</v>
      </c>
      <c r="X2288" t="s">
        <v>41254</v>
      </c>
    </row>
    <row r="2289" spans="1:24">
      <c r="A2289">
        <f>HYPERLINK("https://www.philgeps.gov.ph/GEPSNONPILOT/Tender/SplashBidNoticeAbstractUI.aspx?menuIndex=3&amp;refID=7073270&amp;Result=3","7073270")</f>
        <v>0</v>
      </c>
      <c r="B2289" t="s">
        <v>975</v>
      </c>
      <c r="C2289" t="s">
        <v>5572</v>
      </c>
      <c r="D2289" t="s">
        <v>16660</v>
      </c>
      <c r="E2289" t="s">
        <v>18812</v>
      </c>
      <c r="F2289" t="s">
        <v>28669</v>
      </c>
      <c r="G2289" t="s">
        <v>28677</v>
      </c>
      <c r="H2289" t="s">
        <v>9998</v>
      </c>
      <c r="I2289" t="s">
        <v>28689</v>
      </c>
      <c r="J2289" t="s">
        <v>28879</v>
      </c>
      <c r="K2289" t="s">
        <v>37210</v>
      </c>
      <c r="M2289" t="s">
        <v>38500</v>
      </c>
      <c r="N2289" t="s">
        <v>41249</v>
      </c>
      <c r="O2289" t="s">
        <v>41250</v>
      </c>
      <c r="P2289">
        <v>0</v>
      </c>
      <c r="Q2289">
        <v>0</v>
      </c>
      <c r="R2289" t="s">
        <v>41252</v>
      </c>
      <c r="S2289" t="s">
        <v>41383</v>
      </c>
      <c r="T2289" t="s">
        <v>42758</v>
      </c>
      <c r="U2289" t="s">
        <v>45183</v>
      </c>
      <c r="W2289" t="s">
        <v>38500</v>
      </c>
      <c r="X2289" t="s">
        <v>41254</v>
      </c>
    </row>
    <row r="2290" spans="1:24">
      <c r="A2290">
        <f>HYPERLINK("https://www.philgeps.gov.ph/GEPSNONPILOT/Tender/SplashBidNoticeAbstractUI.aspx?menuIndex=3&amp;refID=7073136&amp;Result=3","7073136")</f>
        <v>0</v>
      </c>
      <c r="B2290" t="s">
        <v>936</v>
      </c>
      <c r="C2290" t="s">
        <v>5573</v>
      </c>
      <c r="D2290" t="s">
        <v>16640</v>
      </c>
      <c r="E2290" t="s">
        <v>18813</v>
      </c>
      <c r="F2290" t="s">
        <v>28669</v>
      </c>
      <c r="G2290" t="s">
        <v>28676</v>
      </c>
      <c r="H2290" t="s">
        <v>9998</v>
      </c>
      <c r="I2290" t="s">
        <v>5213</v>
      </c>
      <c r="J2290" t="s">
        <v>29557</v>
      </c>
      <c r="K2290" t="s">
        <v>37206</v>
      </c>
      <c r="M2290" t="s">
        <v>38459</v>
      </c>
      <c r="N2290" t="s">
        <v>41249</v>
      </c>
      <c r="O2290" t="s">
        <v>41250</v>
      </c>
      <c r="P2290">
        <v>0</v>
      </c>
      <c r="Q2290">
        <v>0</v>
      </c>
      <c r="R2290" t="s">
        <v>41252</v>
      </c>
      <c r="S2290" t="s">
        <v>41383</v>
      </c>
      <c r="T2290" t="s">
        <v>42736</v>
      </c>
      <c r="U2290" t="s">
        <v>45184</v>
      </c>
      <c r="W2290" t="s">
        <v>38459</v>
      </c>
      <c r="X2290" t="s">
        <v>41255</v>
      </c>
    </row>
    <row r="2291" spans="1:24">
      <c r="A2291">
        <f>HYPERLINK("https://www.philgeps.gov.ph/GEPSNONPILOT/Tender/SplashBidNoticeAbstractUI.aspx?menuIndex=3&amp;refID=7073268&amp;Result=3","7073268")</f>
        <v>0</v>
      </c>
      <c r="B2291" t="s">
        <v>976</v>
      </c>
      <c r="C2291" t="s">
        <v>5574</v>
      </c>
      <c r="D2291" t="s">
        <v>16657</v>
      </c>
      <c r="E2291" t="s">
        <v>18814</v>
      </c>
      <c r="F2291" t="s">
        <v>28669</v>
      </c>
      <c r="G2291" t="s">
        <v>28675</v>
      </c>
      <c r="H2291" t="s">
        <v>9998</v>
      </c>
      <c r="I2291" t="s">
        <v>7352</v>
      </c>
      <c r="J2291" t="s">
        <v>30398</v>
      </c>
      <c r="K2291" t="s">
        <v>37216</v>
      </c>
      <c r="M2291" t="s">
        <v>38501</v>
      </c>
      <c r="N2291" t="s">
        <v>41249</v>
      </c>
      <c r="O2291" t="s">
        <v>41250</v>
      </c>
      <c r="P2291">
        <v>0</v>
      </c>
      <c r="Q2291">
        <v>1</v>
      </c>
      <c r="R2291" t="s">
        <v>41252</v>
      </c>
      <c r="S2291" t="s">
        <v>41383</v>
      </c>
      <c r="T2291" t="s">
        <v>42742</v>
      </c>
      <c r="U2291" t="s">
        <v>44053</v>
      </c>
      <c r="W2291" t="s">
        <v>38501</v>
      </c>
      <c r="X2291" t="s">
        <v>41254</v>
      </c>
    </row>
    <row r="2292" spans="1:24">
      <c r="A2292">
        <f>HYPERLINK("https://www.philgeps.gov.ph/GEPSNONPILOT/Tender/SplashBidNoticeAbstractUI.aspx?menuIndex=3&amp;refID=7073266&amp;Result=3","7073266")</f>
        <v>0</v>
      </c>
      <c r="B2292" t="s">
        <v>977</v>
      </c>
      <c r="C2292" t="s">
        <v>5575</v>
      </c>
      <c r="D2292" t="s">
        <v>16691</v>
      </c>
      <c r="E2292" t="s">
        <v>18815</v>
      </c>
      <c r="F2292" t="s">
        <v>28669</v>
      </c>
      <c r="G2292" t="s">
        <v>28676</v>
      </c>
      <c r="H2292" t="s">
        <v>9998</v>
      </c>
      <c r="I2292" t="s">
        <v>28745</v>
      </c>
      <c r="J2292" t="s">
        <v>30399</v>
      </c>
      <c r="K2292" t="s">
        <v>37205</v>
      </c>
      <c r="M2292" t="s">
        <v>38502</v>
      </c>
      <c r="N2292" t="s">
        <v>41249</v>
      </c>
      <c r="O2292" t="s">
        <v>41250</v>
      </c>
      <c r="P2292">
        <v>0</v>
      </c>
      <c r="Q2292">
        <v>1</v>
      </c>
      <c r="R2292" t="s">
        <v>41252</v>
      </c>
      <c r="S2292" t="s">
        <v>41383</v>
      </c>
      <c r="T2292" t="s">
        <v>42802</v>
      </c>
      <c r="U2292" t="s">
        <v>45185</v>
      </c>
      <c r="W2292" t="s">
        <v>38502</v>
      </c>
      <c r="X2292" t="s">
        <v>41254</v>
      </c>
    </row>
    <row r="2293" spans="1:24">
      <c r="A2293">
        <f>HYPERLINK("https://www.philgeps.gov.ph/GEPSNONPILOT/Tender/SplashBidNoticeAbstractUI.aspx?menuIndex=3&amp;refID=7073265&amp;Result=3","7073265")</f>
        <v>0</v>
      </c>
      <c r="B2293" t="s">
        <v>978</v>
      </c>
      <c r="C2293" t="s">
        <v>5285</v>
      </c>
      <c r="E2293" t="s">
        <v>18816</v>
      </c>
      <c r="F2293" t="s">
        <v>28669</v>
      </c>
      <c r="G2293" t="s">
        <v>28675</v>
      </c>
      <c r="H2293" t="s">
        <v>9998</v>
      </c>
      <c r="I2293" t="s">
        <v>7352</v>
      </c>
      <c r="J2293" t="s">
        <v>30400</v>
      </c>
      <c r="K2293" t="s">
        <v>37209</v>
      </c>
      <c r="M2293" t="s">
        <v>38503</v>
      </c>
      <c r="N2293" t="s">
        <v>41249</v>
      </c>
      <c r="O2293" t="s">
        <v>41250</v>
      </c>
      <c r="P2293">
        <v>0</v>
      </c>
      <c r="Q2293">
        <v>0</v>
      </c>
      <c r="R2293" t="s">
        <v>41252</v>
      </c>
      <c r="S2293" t="s">
        <v>41383</v>
      </c>
      <c r="T2293" t="s">
        <v>42690</v>
      </c>
      <c r="U2293" t="s">
        <v>45186</v>
      </c>
      <c r="W2293" t="s">
        <v>38503</v>
      </c>
      <c r="X2293" t="s">
        <v>41254</v>
      </c>
    </row>
    <row r="2294" spans="1:24">
      <c r="A2294">
        <f>HYPERLINK("https://www.philgeps.gov.ph/GEPSNONPILOT/Tender/SplashBidNoticeAbstractUI.aspx?menuIndex=3&amp;refID=7073264&amp;Result=3","7073264")</f>
        <v>0</v>
      </c>
      <c r="B2294" t="s">
        <v>977</v>
      </c>
      <c r="C2294" t="s">
        <v>5576</v>
      </c>
      <c r="D2294" t="s">
        <v>16691</v>
      </c>
      <c r="E2294" t="s">
        <v>18817</v>
      </c>
      <c r="F2294" t="s">
        <v>28669</v>
      </c>
      <c r="G2294" t="s">
        <v>28676</v>
      </c>
      <c r="H2294" t="s">
        <v>28685</v>
      </c>
      <c r="I2294" t="s">
        <v>28728</v>
      </c>
      <c r="J2294" t="s">
        <v>28905</v>
      </c>
      <c r="K2294" t="s">
        <v>37206</v>
      </c>
      <c r="M2294" t="s">
        <v>38502</v>
      </c>
      <c r="N2294" t="s">
        <v>41249</v>
      </c>
      <c r="O2294" t="s">
        <v>41250</v>
      </c>
      <c r="P2294">
        <v>0</v>
      </c>
      <c r="Q2294">
        <v>0</v>
      </c>
      <c r="R2294" t="s">
        <v>41252</v>
      </c>
      <c r="S2294" t="s">
        <v>41383</v>
      </c>
      <c r="T2294" t="s">
        <v>42802</v>
      </c>
      <c r="U2294" t="s">
        <v>45187</v>
      </c>
      <c r="W2294" t="s">
        <v>38502</v>
      </c>
      <c r="X2294" t="s">
        <v>41254</v>
      </c>
    </row>
    <row r="2295" spans="1:24">
      <c r="A2295">
        <f>HYPERLINK("https://www.philgeps.gov.ph/GEPSNONPILOT/Tender/SplashBidNoticeAbstractUI.aspx?menuIndex=3&amp;refID=7073238&amp;Result=3","7073238")</f>
        <v>0</v>
      </c>
      <c r="B2295" t="s">
        <v>979</v>
      </c>
      <c r="C2295" t="s">
        <v>5577</v>
      </c>
      <c r="D2295" t="s">
        <v>16616</v>
      </c>
      <c r="E2295" t="s">
        <v>17029</v>
      </c>
      <c r="F2295" t="s">
        <v>28669</v>
      </c>
      <c r="G2295" t="s">
        <v>28675</v>
      </c>
      <c r="H2295" t="s">
        <v>28686</v>
      </c>
      <c r="I2295" t="s">
        <v>7352</v>
      </c>
      <c r="J2295" t="s">
        <v>29003</v>
      </c>
      <c r="K2295" t="s">
        <v>37210</v>
      </c>
      <c r="M2295" t="s">
        <v>38504</v>
      </c>
      <c r="N2295" t="s">
        <v>41249</v>
      </c>
      <c r="O2295" t="s">
        <v>41250</v>
      </c>
      <c r="P2295">
        <v>0</v>
      </c>
      <c r="Q2295">
        <v>0</v>
      </c>
      <c r="R2295" t="s">
        <v>41252</v>
      </c>
      <c r="S2295" t="s">
        <v>41383</v>
      </c>
      <c r="T2295" t="s">
        <v>42702</v>
      </c>
      <c r="U2295" t="s">
        <v>45188</v>
      </c>
      <c r="V2295" t="s">
        <v>54540</v>
      </c>
      <c r="W2295" t="s">
        <v>38504</v>
      </c>
      <c r="X2295" t="s">
        <v>41254</v>
      </c>
    </row>
    <row r="2296" spans="1:24">
      <c r="A2296">
        <f>HYPERLINK("https://www.philgeps.gov.ph/GEPSNONPILOT/Tender/SplashBidNoticeAbstractUI.aspx?menuIndex=3&amp;refID=7073262&amp;Result=3","7073262")</f>
        <v>0</v>
      </c>
      <c r="B2296" t="s">
        <v>980</v>
      </c>
      <c r="C2296" t="s">
        <v>5578</v>
      </c>
      <c r="D2296" t="s">
        <v>16627</v>
      </c>
      <c r="E2296" t="s">
        <v>18430</v>
      </c>
      <c r="F2296" t="s">
        <v>28669</v>
      </c>
      <c r="G2296" t="s">
        <v>28675</v>
      </c>
      <c r="H2296" t="s">
        <v>28686</v>
      </c>
      <c r="I2296" t="s">
        <v>28689</v>
      </c>
      <c r="J2296" t="s">
        <v>30401</v>
      </c>
      <c r="K2296" t="s">
        <v>37220</v>
      </c>
      <c r="M2296" t="s">
        <v>38505</v>
      </c>
      <c r="N2296" t="s">
        <v>41249</v>
      </c>
      <c r="O2296" t="s">
        <v>41250</v>
      </c>
      <c r="P2296">
        <v>0</v>
      </c>
      <c r="Q2296">
        <v>0</v>
      </c>
      <c r="R2296" t="s">
        <v>41252</v>
      </c>
      <c r="S2296" t="s">
        <v>41383</v>
      </c>
      <c r="T2296" t="s">
        <v>42714</v>
      </c>
      <c r="U2296" t="s">
        <v>45189</v>
      </c>
      <c r="W2296" t="s">
        <v>38505</v>
      </c>
      <c r="X2296" t="s">
        <v>41254</v>
      </c>
    </row>
    <row r="2297" spans="1:24">
      <c r="A2297">
        <f>HYPERLINK("https://www.philgeps.gov.ph/GEPSNONPILOT/Tender/SplashBidNoticeAbstractUI.aspx?menuIndex=3&amp;refID=7073249&amp;Result=3","7073249")</f>
        <v>0</v>
      </c>
      <c r="B2297" t="s">
        <v>99</v>
      </c>
      <c r="C2297" t="s">
        <v>5579</v>
      </c>
      <c r="D2297" t="s">
        <v>16655</v>
      </c>
      <c r="E2297" t="s">
        <v>18818</v>
      </c>
      <c r="F2297" t="s">
        <v>28669</v>
      </c>
      <c r="G2297" t="s">
        <v>28677</v>
      </c>
      <c r="H2297" t="s">
        <v>9998</v>
      </c>
      <c r="I2297" t="s">
        <v>15140</v>
      </c>
      <c r="J2297" t="s">
        <v>30402</v>
      </c>
      <c r="K2297" t="s">
        <v>37204</v>
      </c>
      <c r="M2297" t="s">
        <v>37574</v>
      </c>
      <c r="N2297" t="s">
        <v>41249</v>
      </c>
      <c r="O2297" t="s">
        <v>41250</v>
      </c>
      <c r="P2297">
        <v>0</v>
      </c>
      <c r="Q2297">
        <v>0</v>
      </c>
      <c r="R2297" t="s">
        <v>41252</v>
      </c>
      <c r="S2297" t="s">
        <v>41383</v>
      </c>
      <c r="T2297" t="s">
        <v>42876</v>
      </c>
      <c r="U2297" t="s">
        <v>45190</v>
      </c>
      <c r="W2297" t="s">
        <v>37574</v>
      </c>
      <c r="X2297" t="s">
        <v>41254</v>
      </c>
    </row>
    <row r="2298" spans="1:24">
      <c r="A2298">
        <f>HYPERLINK("https://www.philgeps.gov.ph/GEPSNONPILOT/Tender/SplashBidNoticeAbstractUI.aspx?menuIndex=3&amp;refID=7073259&amp;Result=3","7073259")</f>
        <v>0</v>
      </c>
      <c r="B2298" t="s">
        <v>981</v>
      </c>
      <c r="C2298" t="s">
        <v>5580</v>
      </c>
      <c r="D2298" t="s">
        <v>16657</v>
      </c>
      <c r="E2298" t="s">
        <v>17140</v>
      </c>
      <c r="F2298" t="s">
        <v>28669</v>
      </c>
      <c r="G2298" t="s">
        <v>28675</v>
      </c>
      <c r="H2298" t="s">
        <v>9998</v>
      </c>
      <c r="I2298" t="s">
        <v>3679</v>
      </c>
      <c r="J2298" t="s">
        <v>29040</v>
      </c>
      <c r="K2298" t="s">
        <v>37215</v>
      </c>
      <c r="M2298" t="s">
        <v>38506</v>
      </c>
      <c r="N2298" t="s">
        <v>41249</v>
      </c>
      <c r="O2298" t="s">
        <v>41250</v>
      </c>
      <c r="P2298">
        <v>0</v>
      </c>
      <c r="Q2298">
        <v>1</v>
      </c>
      <c r="R2298" t="s">
        <v>41252</v>
      </c>
      <c r="S2298" t="s">
        <v>41383</v>
      </c>
      <c r="T2298" t="s">
        <v>42877</v>
      </c>
      <c r="U2298" t="s">
        <v>45191</v>
      </c>
      <c r="W2298" t="s">
        <v>38506</v>
      </c>
      <c r="X2298" t="s">
        <v>41254</v>
      </c>
    </row>
    <row r="2299" spans="1:24">
      <c r="A2299">
        <f>HYPERLINK("https://www.philgeps.gov.ph/GEPSNONPILOT/Tender/SplashBidNoticeAbstractUI.aspx?menuIndex=3&amp;refID=7073267&amp;Result=3","7073267")</f>
        <v>0</v>
      </c>
      <c r="B2299" t="s">
        <v>72</v>
      </c>
      <c r="C2299" t="s">
        <v>5581</v>
      </c>
      <c r="D2299" t="s">
        <v>16644</v>
      </c>
      <c r="E2299" t="s">
        <v>18819</v>
      </c>
      <c r="F2299" t="s">
        <v>28669</v>
      </c>
      <c r="G2299" t="s">
        <v>28675</v>
      </c>
      <c r="H2299" t="s">
        <v>28686</v>
      </c>
      <c r="I2299" t="s">
        <v>28689</v>
      </c>
      <c r="J2299" t="s">
        <v>30403</v>
      </c>
      <c r="K2299" t="s">
        <v>37215</v>
      </c>
      <c r="M2299" t="s">
        <v>37547</v>
      </c>
      <c r="N2299" t="s">
        <v>41249</v>
      </c>
      <c r="O2299" t="s">
        <v>41250</v>
      </c>
      <c r="P2299">
        <v>0</v>
      </c>
      <c r="Q2299">
        <v>4</v>
      </c>
      <c r="R2299" t="s">
        <v>41252</v>
      </c>
      <c r="S2299" t="s">
        <v>41383</v>
      </c>
      <c r="T2299" t="s">
        <v>42716</v>
      </c>
      <c r="U2299" t="s">
        <v>45192</v>
      </c>
      <c r="V2299" t="s">
        <v>54541</v>
      </c>
      <c r="W2299" t="s">
        <v>55934</v>
      </c>
      <c r="X2299" t="s">
        <v>41254</v>
      </c>
    </row>
    <row r="2300" spans="1:24">
      <c r="A2300">
        <f>HYPERLINK("https://www.philgeps.gov.ph/GEPSNONPILOT/Tender/SplashBidNoticeAbstractUI.aspx?menuIndex=3&amp;refID=7073127&amp;Result=3","7073127")</f>
        <v>0</v>
      </c>
      <c r="B2300" t="s">
        <v>936</v>
      </c>
      <c r="C2300" t="s">
        <v>5582</v>
      </c>
      <c r="D2300" t="s">
        <v>16640</v>
      </c>
      <c r="E2300" t="s">
        <v>18820</v>
      </c>
      <c r="F2300" t="s">
        <v>28669</v>
      </c>
      <c r="G2300" t="s">
        <v>28676</v>
      </c>
      <c r="H2300" t="s">
        <v>9998</v>
      </c>
      <c r="I2300" t="s">
        <v>6606</v>
      </c>
      <c r="J2300" t="s">
        <v>30404</v>
      </c>
      <c r="K2300" t="s">
        <v>37204</v>
      </c>
      <c r="M2300" t="s">
        <v>38459</v>
      </c>
      <c r="N2300" t="s">
        <v>41249</v>
      </c>
      <c r="O2300" t="s">
        <v>41250</v>
      </c>
      <c r="P2300">
        <v>0</v>
      </c>
      <c r="Q2300">
        <v>1</v>
      </c>
      <c r="R2300" t="s">
        <v>41252</v>
      </c>
      <c r="S2300" t="s">
        <v>41383</v>
      </c>
      <c r="T2300" t="s">
        <v>42736</v>
      </c>
      <c r="U2300" t="s">
        <v>45193</v>
      </c>
      <c r="W2300" t="s">
        <v>38459</v>
      </c>
      <c r="X2300" t="s">
        <v>41255</v>
      </c>
    </row>
    <row r="2301" spans="1:24">
      <c r="A2301">
        <f>HYPERLINK("https://www.philgeps.gov.ph/GEPSNONPILOT/Tender/SplashBidNoticeAbstractUI.aspx?menuIndex=3&amp;refID=7073256&amp;Result=3","7073256")</f>
        <v>0</v>
      </c>
      <c r="B2301" t="s">
        <v>982</v>
      </c>
      <c r="C2301" t="s">
        <v>5583</v>
      </c>
      <c r="D2301" t="s">
        <v>16648</v>
      </c>
      <c r="E2301" t="s">
        <v>18103</v>
      </c>
      <c r="F2301" t="s">
        <v>28669</v>
      </c>
      <c r="G2301" t="s">
        <v>28675</v>
      </c>
      <c r="H2301" t="s">
        <v>9998</v>
      </c>
      <c r="I2301" t="s">
        <v>7352</v>
      </c>
      <c r="J2301" t="s">
        <v>30405</v>
      </c>
      <c r="K2301" t="s">
        <v>37210</v>
      </c>
      <c r="M2301" t="s">
        <v>38507</v>
      </c>
      <c r="N2301" t="s">
        <v>41249</v>
      </c>
      <c r="O2301" t="s">
        <v>41250</v>
      </c>
      <c r="P2301">
        <v>0</v>
      </c>
      <c r="Q2301">
        <v>0</v>
      </c>
      <c r="R2301" t="s">
        <v>41252</v>
      </c>
      <c r="S2301" t="s">
        <v>41383</v>
      </c>
      <c r="T2301" t="s">
        <v>42714</v>
      </c>
      <c r="U2301" t="s">
        <v>45194</v>
      </c>
      <c r="W2301" t="s">
        <v>38507</v>
      </c>
      <c r="X2301" t="s">
        <v>41254</v>
      </c>
    </row>
    <row r="2302" spans="1:24">
      <c r="A2302">
        <f>HYPERLINK("https://www.philgeps.gov.ph/GEPSNONPILOT/Tender/SplashBidNoticeAbstractUI.aspx?menuIndex=3&amp;refID=7072627&amp;Result=3","7072627")</f>
        <v>0</v>
      </c>
      <c r="B2302" t="s">
        <v>909</v>
      </c>
      <c r="C2302" t="s">
        <v>5584</v>
      </c>
      <c r="D2302" t="s">
        <v>16662</v>
      </c>
      <c r="E2302" t="s">
        <v>18821</v>
      </c>
      <c r="F2302" t="s">
        <v>28669</v>
      </c>
      <c r="G2302" t="s">
        <v>28675</v>
      </c>
      <c r="H2302" t="s">
        <v>9998</v>
      </c>
      <c r="I2302" t="s">
        <v>7352</v>
      </c>
      <c r="J2302" t="s">
        <v>30406</v>
      </c>
      <c r="K2302" t="s">
        <v>37206</v>
      </c>
      <c r="M2302" t="s">
        <v>38431</v>
      </c>
      <c r="N2302" t="s">
        <v>41249</v>
      </c>
      <c r="O2302" t="s">
        <v>41250</v>
      </c>
      <c r="P2302">
        <v>0</v>
      </c>
      <c r="Q2302">
        <v>0</v>
      </c>
      <c r="R2302" t="s">
        <v>41252</v>
      </c>
      <c r="S2302" t="s">
        <v>41383</v>
      </c>
      <c r="T2302" t="s">
        <v>42688</v>
      </c>
      <c r="U2302" t="s">
        <v>45195</v>
      </c>
      <c r="W2302" t="s">
        <v>38431</v>
      </c>
      <c r="X2302" t="s">
        <v>41256</v>
      </c>
    </row>
    <row r="2303" spans="1:24">
      <c r="A2303">
        <f>HYPERLINK("https://www.philgeps.gov.ph/GEPSNONPILOT/Tender/SplashBidNoticeAbstractUI.aspx?menuIndex=3&amp;refID=7073261&amp;Result=3","7073261")</f>
        <v>0</v>
      </c>
      <c r="B2303" t="s">
        <v>877</v>
      </c>
      <c r="C2303" t="s">
        <v>5585</v>
      </c>
      <c r="D2303" t="s">
        <v>16658</v>
      </c>
      <c r="E2303" t="s">
        <v>18822</v>
      </c>
      <c r="F2303" t="s">
        <v>28669</v>
      </c>
      <c r="G2303" t="s">
        <v>28675</v>
      </c>
      <c r="H2303" t="s">
        <v>9998</v>
      </c>
      <c r="I2303" t="s">
        <v>7352</v>
      </c>
      <c r="J2303" t="s">
        <v>29068</v>
      </c>
      <c r="K2303" t="s">
        <v>37210</v>
      </c>
      <c r="M2303" t="s">
        <v>38397</v>
      </c>
      <c r="N2303" t="s">
        <v>41249</v>
      </c>
      <c r="O2303" t="s">
        <v>41250</v>
      </c>
      <c r="P2303">
        <v>0</v>
      </c>
      <c r="Q2303">
        <v>0</v>
      </c>
      <c r="R2303" t="s">
        <v>41252</v>
      </c>
      <c r="S2303" t="s">
        <v>41383</v>
      </c>
      <c r="T2303" t="s">
        <v>42670</v>
      </c>
      <c r="U2303" t="s">
        <v>45196</v>
      </c>
      <c r="W2303" t="s">
        <v>38397</v>
      </c>
      <c r="X2303" t="s">
        <v>41254</v>
      </c>
    </row>
    <row r="2304" spans="1:24">
      <c r="A2304">
        <f>HYPERLINK("https://www.philgeps.gov.ph/GEPSNONPILOT/Tender/SplashBidNoticeAbstractUI.aspx?menuIndex=3&amp;refID=7073253&amp;Result=3","7073253")</f>
        <v>0</v>
      </c>
      <c r="B2304" t="s">
        <v>876</v>
      </c>
      <c r="C2304" t="s">
        <v>5586</v>
      </c>
      <c r="D2304" t="s">
        <v>16667</v>
      </c>
      <c r="E2304" t="s">
        <v>18823</v>
      </c>
      <c r="F2304" t="s">
        <v>28669</v>
      </c>
      <c r="G2304" t="s">
        <v>28676</v>
      </c>
      <c r="H2304" t="s">
        <v>9998</v>
      </c>
      <c r="I2304" t="s">
        <v>28711</v>
      </c>
      <c r="J2304" t="s">
        <v>29741</v>
      </c>
      <c r="K2304" t="s">
        <v>37231</v>
      </c>
      <c r="M2304" t="s">
        <v>38396</v>
      </c>
      <c r="N2304" t="s">
        <v>41249</v>
      </c>
      <c r="O2304" t="s">
        <v>41250</v>
      </c>
      <c r="P2304">
        <v>0</v>
      </c>
      <c r="Q2304">
        <v>1</v>
      </c>
      <c r="R2304" t="s">
        <v>41252</v>
      </c>
      <c r="S2304" t="s">
        <v>41383</v>
      </c>
      <c r="T2304" t="s">
        <v>42736</v>
      </c>
      <c r="U2304" t="s">
        <v>45197</v>
      </c>
      <c r="W2304" t="s">
        <v>38427</v>
      </c>
      <c r="X2304" t="s">
        <v>41254</v>
      </c>
    </row>
    <row r="2305" spans="1:24">
      <c r="A2305">
        <f>HYPERLINK("https://www.philgeps.gov.ph/GEPSNONPILOT/Tender/SplashBidNoticeAbstractUI.aspx?menuIndex=3&amp;refID=7073260&amp;Result=3","7073260")</f>
        <v>0</v>
      </c>
      <c r="B2305" t="s">
        <v>983</v>
      </c>
      <c r="C2305" t="s">
        <v>5587</v>
      </c>
      <c r="D2305" t="s">
        <v>16654</v>
      </c>
      <c r="E2305" t="s">
        <v>18824</v>
      </c>
      <c r="F2305" t="s">
        <v>28669</v>
      </c>
      <c r="G2305" t="s">
        <v>28676</v>
      </c>
      <c r="H2305" t="s">
        <v>9998</v>
      </c>
      <c r="I2305" t="s">
        <v>28728</v>
      </c>
      <c r="J2305" t="s">
        <v>30407</v>
      </c>
      <c r="K2305" t="s">
        <v>37206</v>
      </c>
      <c r="M2305" t="s">
        <v>38508</v>
      </c>
      <c r="N2305" t="s">
        <v>41249</v>
      </c>
      <c r="O2305" t="s">
        <v>41250</v>
      </c>
      <c r="P2305">
        <v>0</v>
      </c>
      <c r="Q2305">
        <v>0</v>
      </c>
      <c r="R2305" t="s">
        <v>41252</v>
      </c>
      <c r="S2305" t="s">
        <v>41383</v>
      </c>
      <c r="T2305" t="s">
        <v>42711</v>
      </c>
      <c r="U2305" t="s">
        <v>45198</v>
      </c>
      <c r="W2305" t="s">
        <v>38508</v>
      </c>
      <c r="X2305" t="s">
        <v>41254</v>
      </c>
    </row>
    <row r="2306" spans="1:24">
      <c r="A2306">
        <f>HYPERLINK("https://www.philgeps.gov.ph/GEPSNONPILOT/Tender/SplashBidNoticeAbstractUI.aspx?menuIndex=3&amp;refID=7073258&amp;Result=3","7073258")</f>
        <v>0</v>
      </c>
      <c r="B2306" t="s">
        <v>345</v>
      </c>
      <c r="C2306" t="s">
        <v>5588</v>
      </c>
      <c r="D2306" t="s">
        <v>16666</v>
      </c>
      <c r="E2306" t="s">
        <v>18825</v>
      </c>
      <c r="F2306" t="s">
        <v>28669</v>
      </c>
      <c r="G2306" t="s">
        <v>28676</v>
      </c>
      <c r="H2306" t="s">
        <v>9998</v>
      </c>
      <c r="I2306" t="s">
        <v>28694</v>
      </c>
      <c r="J2306" t="s">
        <v>30408</v>
      </c>
      <c r="K2306" t="s">
        <v>37209</v>
      </c>
      <c r="M2306" t="s">
        <v>37825</v>
      </c>
      <c r="N2306" t="s">
        <v>41249</v>
      </c>
      <c r="O2306" t="s">
        <v>41250</v>
      </c>
      <c r="P2306">
        <v>0</v>
      </c>
      <c r="Q2306">
        <v>0</v>
      </c>
      <c r="R2306" t="s">
        <v>41252</v>
      </c>
      <c r="S2306" t="s">
        <v>41383</v>
      </c>
      <c r="T2306" t="s">
        <v>42729</v>
      </c>
      <c r="U2306" t="s">
        <v>45199</v>
      </c>
      <c r="W2306" t="s">
        <v>37825</v>
      </c>
      <c r="X2306" t="s">
        <v>41254</v>
      </c>
    </row>
    <row r="2307" spans="1:24">
      <c r="A2307">
        <f>HYPERLINK("https://www.philgeps.gov.ph/GEPSNONPILOT/Tender/SplashBidNoticeAbstractUI.aspx?menuIndex=3&amp;refID=7073257&amp;Result=3","7073257")</f>
        <v>0</v>
      </c>
      <c r="B2307" t="s">
        <v>983</v>
      </c>
      <c r="C2307" t="s">
        <v>5589</v>
      </c>
      <c r="D2307" t="s">
        <v>16654</v>
      </c>
      <c r="E2307" t="s">
        <v>18826</v>
      </c>
      <c r="F2307" t="s">
        <v>28669</v>
      </c>
      <c r="G2307" t="s">
        <v>28676</v>
      </c>
      <c r="H2307" t="s">
        <v>9998</v>
      </c>
      <c r="I2307" t="s">
        <v>28718</v>
      </c>
      <c r="J2307" t="s">
        <v>30409</v>
      </c>
      <c r="K2307" t="s">
        <v>37234</v>
      </c>
      <c r="M2307" t="s">
        <v>38508</v>
      </c>
      <c r="N2307" t="s">
        <v>41249</v>
      </c>
      <c r="O2307" t="s">
        <v>41250</v>
      </c>
      <c r="P2307">
        <v>0</v>
      </c>
      <c r="Q2307">
        <v>0</v>
      </c>
      <c r="R2307" t="s">
        <v>41252</v>
      </c>
      <c r="S2307" t="s">
        <v>41383</v>
      </c>
      <c r="T2307" t="s">
        <v>42711</v>
      </c>
      <c r="U2307" t="s">
        <v>45200</v>
      </c>
      <c r="W2307" t="s">
        <v>38508</v>
      </c>
      <c r="X2307" t="s">
        <v>41254</v>
      </c>
    </row>
    <row r="2308" spans="1:24">
      <c r="A2308">
        <f>HYPERLINK("https://www.philgeps.gov.ph/GEPSNONPILOT/Tender/SplashBidNoticeAbstractUI.aspx?menuIndex=3&amp;refID=7073101&amp;Result=3","7073101")</f>
        <v>0</v>
      </c>
      <c r="B2308" t="s">
        <v>936</v>
      </c>
      <c r="C2308" t="s">
        <v>5590</v>
      </c>
      <c r="D2308" t="s">
        <v>16640</v>
      </c>
      <c r="E2308" t="s">
        <v>18827</v>
      </c>
      <c r="F2308" t="s">
        <v>28669</v>
      </c>
      <c r="G2308" t="s">
        <v>28676</v>
      </c>
      <c r="H2308" t="s">
        <v>9998</v>
      </c>
      <c r="I2308" t="s">
        <v>28717</v>
      </c>
      <c r="J2308" t="s">
        <v>30410</v>
      </c>
      <c r="K2308" t="s">
        <v>37216</v>
      </c>
      <c r="M2308" t="s">
        <v>38459</v>
      </c>
      <c r="N2308" t="s">
        <v>41249</v>
      </c>
      <c r="O2308" t="s">
        <v>41250</v>
      </c>
      <c r="P2308">
        <v>0</v>
      </c>
      <c r="Q2308">
        <v>9</v>
      </c>
      <c r="R2308" t="s">
        <v>41252</v>
      </c>
      <c r="S2308" t="s">
        <v>41383</v>
      </c>
      <c r="T2308" t="s">
        <v>42736</v>
      </c>
      <c r="U2308" t="s">
        <v>45201</v>
      </c>
      <c r="W2308" t="s">
        <v>38459</v>
      </c>
      <c r="X2308" t="s">
        <v>41255</v>
      </c>
    </row>
    <row r="2309" spans="1:24">
      <c r="A2309">
        <f>HYPERLINK("https://www.philgeps.gov.ph/GEPSNONPILOT/Tender/SplashBidNoticeAbstractUI.aspx?menuIndex=3&amp;refID=7073252&amp;Result=3","7073252")</f>
        <v>0</v>
      </c>
      <c r="B2309" t="s">
        <v>202</v>
      </c>
      <c r="C2309" t="s">
        <v>5591</v>
      </c>
      <c r="D2309" t="s">
        <v>16629</v>
      </c>
      <c r="E2309" t="s">
        <v>18828</v>
      </c>
      <c r="F2309" t="s">
        <v>28669</v>
      </c>
      <c r="G2309" t="s">
        <v>28675</v>
      </c>
      <c r="H2309" t="s">
        <v>28686</v>
      </c>
      <c r="I2309" t="s">
        <v>28689</v>
      </c>
      <c r="J2309" t="s">
        <v>30411</v>
      </c>
      <c r="K2309" t="s">
        <v>37316</v>
      </c>
      <c r="M2309" t="s">
        <v>37680</v>
      </c>
      <c r="N2309" t="s">
        <v>41249</v>
      </c>
      <c r="O2309" t="s">
        <v>41250</v>
      </c>
      <c r="P2309">
        <v>0</v>
      </c>
      <c r="Q2309">
        <v>0</v>
      </c>
      <c r="R2309" t="s">
        <v>41252</v>
      </c>
      <c r="S2309" t="s">
        <v>41383</v>
      </c>
      <c r="T2309" t="s">
        <v>42679</v>
      </c>
      <c r="U2309" t="s">
        <v>45202</v>
      </c>
      <c r="W2309" t="s">
        <v>37680</v>
      </c>
      <c r="X2309" t="s">
        <v>41254</v>
      </c>
    </row>
    <row r="2310" spans="1:24">
      <c r="A2310">
        <f>HYPERLINK("https://www.philgeps.gov.ph/GEPSNONPILOT/Tender/SplashBidNoticeAbstractUI.aspx?menuIndex=3&amp;refID=7073254&amp;Result=3","7073254")</f>
        <v>0</v>
      </c>
      <c r="B2310" t="s">
        <v>982</v>
      </c>
      <c r="C2310" t="s">
        <v>5592</v>
      </c>
      <c r="D2310" t="s">
        <v>16648</v>
      </c>
      <c r="E2310" t="s">
        <v>18012</v>
      </c>
      <c r="F2310" t="s">
        <v>28669</v>
      </c>
      <c r="G2310" t="s">
        <v>28675</v>
      </c>
      <c r="H2310" t="s">
        <v>9998</v>
      </c>
      <c r="I2310" t="s">
        <v>7352</v>
      </c>
      <c r="J2310" t="s">
        <v>30412</v>
      </c>
      <c r="K2310" t="s">
        <v>37210</v>
      </c>
      <c r="M2310" t="s">
        <v>38507</v>
      </c>
      <c r="N2310" t="s">
        <v>41249</v>
      </c>
      <c r="O2310" t="s">
        <v>41250</v>
      </c>
      <c r="P2310">
        <v>0</v>
      </c>
      <c r="Q2310">
        <v>0</v>
      </c>
      <c r="R2310" t="s">
        <v>41252</v>
      </c>
      <c r="S2310" t="s">
        <v>41383</v>
      </c>
      <c r="T2310" t="s">
        <v>42821</v>
      </c>
      <c r="U2310" t="s">
        <v>45203</v>
      </c>
      <c r="W2310" t="s">
        <v>38507</v>
      </c>
      <c r="X2310" t="s">
        <v>41254</v>
      </c>
    </row>
    <row r="2311" spans="1:24">
      <c r="A2311">
        <f>HYPERLINK("https://www.philgeps.gov.ph/GEPSNONPILOT/Tender/SplashBidNoticeAbstractUI.aspx?menuIndex=3&amp;refID=7073251&amp;Result=3","7073251")</f>
        <v>0</v>
      </c>
      <c r="B2311" t="s">
        <v>967</v>
      </c>
      <c r="C2311" t="s">
        <v>5593</v>
      </c>
      <c r="D2311" t="s">
        <v>16660</v>
      </c>
      <c r="E2311" t="s">
        <v>18829</v>
      </c>
      <c r="F2311" t="s">
        <v>28669</v>
      </c>
      <c r="G2311" t="s">
        <v>28676</v>
      </c>
      <c r="H2311" t="s">
        <v>9998</v>
      </c>
      <c r="I2311" t="s">
        <v>7352</v>
      </c>
      <c r="J2311" t="s">
        <v>30413</v>
      </c>
      <c r="K2311" t="s">
        <v>37208</v>
      </c>
      <c r="M2311" t="s">
        <v>38492</v>
      </c>
      <c r="N2311" t="s">
        <v>41249</v>
      </c>
      <c r="O2311" t="s">
        <v>41250</v>
      </c>
      <c r="P2311">
        <v>0</v>
      </c>
      <c r="Q2311">
        <v>0</v>
      </c>
      <c r="R2311" t="s">
        <v>41252</v>
      </c>
      <c r="S2311" t="s">
        <v>41383</v>
      </c>
      <c r="T2311" t="s">
        <v>42758</v>
      </c>
      <c r="U2311" t="s">
        <v>45176</v>
      </c>
      <c r="W2311" t="s">
        <v>38492</v>
      </c>
      <c r="X2311" t="s">
        <v>41254</v>
      </c>
    </row>
    <row r="2312" spans="1:24">
      <c r="A2312">
        <f>HYPERLINK("https://www.philgeps.gov.ph/GEPSNONPILOT/Tender/SplashBidNoticeAbstractUI.aspx?menuIndex=3&amp;refID=7072918&amp;Result=3","7072918")</f>
        <v>0</v>
      </c>
      <c r="B2312" t="s">
        <v>965</v>
      </c>
      <c r="C2312" t="s">
        <v>5594</v>
      </c>
      <c r="D2312" t="s">
        <v>16608</v>
      </c>
      <c r="E2312" t="s">
        <v>18830</v>
      </c>
      <c r="F2312" t="s">
        <v>28669</v>
      </c>
      <c r="G2312" t="s">
        <v>28675</v>
      </c>
      <c r="H2312" t="s">
        <v>9998</v>
      </c>
      <c r="I2312" t="s">
        <v>6128</v>
      </c>
      <c r="J2312" t="s">
        <v>30414</v>
      </c>
      <c r="K2312" t="s">
        <v>37205</v>
      </c>
      <c r="M2312" t="s">
        <v>38490</v>
      </c>
      <c r="N2312" t="s">
        <v>41249</v>
      </c>
      <c r="O2312" t="s">
        <v>41250</v>
      </c>
      <c r="P2312">
        <v>0</v>
      </c>
      <c r="Q2312">
        <v>1</v>
      </c>
      <c r="R2312" t="s">
        <v>41252</v>
      </c>
      <c r="S2312" t="s">
        <v>41383</v>
      </c>
      <c r="T2312" t="s">
        <v>42703</v>
      </c>
      <c r="U2312" t="s">
        <v>44022</v>
      </c>
      <c r="W2312" t="s">
        <v>38490</v>
      </c>
      <c r="X2312" t="s">
        <v>41255</v>
      </c>
    </row>
    <row r="2313" spans="1:24">
      <c r="A2313">
        <f>HYPERLINK("https://www.philgeps.gov.ph/GEPSNONPILOT/Tender/SplashBidNoticeAbstractUI.aspx?menuIndex=3&amp;refID=7072921&amp;Result=3","7072921")</f>
        <v>0</v>
      </c>
      <c r="B2313" t="s">
        <v>963</v>
      </c>
      <c r="C2313" t="s">
        <v>5595</v>
      </c>
      <c r="D2313" t="s">
        <v>16626</v>
      </c>
      <c r="E2313" t="s">
        <v>18831</v>
      </c>
      <c r="F2313" t="s">
        <v>28669</v>
      </c>
      <c r="G2313" t="s">
        <v>28675</v>
      </c>
      <c r="H2313" t="s">
        <v>9998</v>
      </c>
      <c r="I2313" t="s">
        <v>28699</v>
      </c>
      <c r="J2313" t="s">
        <v>29189</v>
      </c>
      <c r="K2313" t="s">
        <v>37209</v>
      </c>
      <c r="M2313" t="s">
        <v>38488</v>
      </c>
      <c r="N2313" t="s">
        <v>41249</v>
      </c>
      <c r="O2313" t="s">
        <v>41250</v>
      </c>
      <c r="P2313">
        <v>0</v>
      </c>
      <c r="Q2313">
        <v>0</v>
      </c>
      <c r="R2313" t="s">
        <v>41252</v>
      </c>
      <c r="S2313" t="s">
        <v>41383</v>
      </c>
      <c r="T2313" t="s">
        <v>42858</v>
      </c>
      <c r="U2313" t="s">
        <v>45204</v>
      </c>
      <c r="V2313" t="s">
        <v>54530</v>
      </c>
      <c r="W2313" t="s">
        <v>38488</v>
      </c>
      <c r="X2313" t="s">
        <v>41255</v>
      </c>
    </row>
    <row r="2314" spans="1:24">
      <c r="A2314">
        <f>HYPERLINK("https://www.philgeps.gov.ph/GEPSNONPILOT/Tender/SplashBidNoticeAbstractUI.aspx?menuIndex=3&amp;refID=7072915&amp;Result=3","7072915")</f>
        <v>0</v>
      </c>
      <c r="B2314" t="s">
        <v>963</v>
      </c>
      <c r="C2314" t="s">
        <v>5596</v>
      </c>
      <c r="D2314" t="s">
        <v>16626</v>
      </c>
      <c r="E2314" t="s">
        <v>18832</v>
      </c>
      <c r="F2314" t="s">
        <v>28669</v>
      </c>
      <c r="G2314" t="s">
        <v>28675</v>
      </c>
      <c r="H2314" t="s">
        <v>9998</v>
      </c>
      <c r="I2314" t="s">
        <v>28695</v>
      </c>
      <c r="J2314" t="s">
        <v>30415</v>
      </c>
      <c r="K2314" t="s">
        <v>37209</v>
      </c>
      <c r="M2314" t="s">
        <v>38488</v>
      </c>
      <c r="N2314" t="s">
        <v>41249</v>
      </c>
      <c r="O2314" t="s">
        <v>41250</v>
      </c>
      <c r="P2314">
        <v>0</v>
      </c>
      <c r="Q2314">
        <v>0</v>
      </c>
      <c r="R2314" t="s">
        <v>41252</v>
      </c>
      <c r="S2314" t="s">
        <v>41383</v>
      </c>
      <c r="T2314" t="s">
        <v>42858</v>
      </c>
      <c r="U2314" t="s">
        <v>45205</v>
      </c>
      <c r="V2314" t="s">
        <v>54530</v>
      </c>
      <c r="W2314" t="s">
        <v>38488</v>
      </c>
      <c r="X2314" t="s">
        <v>41255</v>
      </c>
    </row>
    <row r="2315" spans="1:24">
      <c r="A2315">
        <f>HYPERLINK("https://www.philgeps.gov.ph/GEPSNONPILOT/Tender/SplashBidNoticeAbstractUI.aspx?menuIndex=3&amp;refID=7072920&amp;Result=3","7072920")</f>
        <v>0</v>
      </c>
      <c r="B2315" t="s">
        <v>965</v>
      </c>
      <c r="C2315" t="s">
        <v>5597</v>
      </c>
      <c r="D2315" t="s">
        <v>16608</v>
      </c>
      <c r="E2315" t="s">
        <v>18833</v>
      </c>
      <c r="F2315" t="s">
        <v>28669</v>
      </c>
      <c r="G2315" t="s">
        <v>28675</v>
      </c>
      <c r="H2315" t="s">
        <v>9998</v>
      </c>
      <c r="I2315" t="s">
        <v>5213</v>
      </c>
      <c r="J2315" t="s">
        <v>30416</v>
      </c>
      <c r="K2315" t="s">
        <v>37205</v>
      </c>
      <c r="M2315" t="s">
        <v>38490</v>
      </c>
      <c r="N2315" t="s">
        <v>41249</v>
      </c>
      <c r="O2315" t="s">
        <v>41250</v>
      </c>
      <c r="P2315">
        <v>0</v>
      </c>
      <c r="Q2315">
        <v>1</v>
      </c>
      <c r="R2315" t="s">
        <v>41252</v>
      </c>
      <c r="S2315" t="s">
        <v>41383</v>
      </c>
      <c r="T2315" t="s">
        <v>42703</v>
      </c>
      <c r="U2315" t="s">
        <v>45206</v>
      </c>
      <c r="W2315" t="s">
        <v>38490</v>
      </c>
      <c r="X2315" t="s">
        <v>41255</v>
      </c>
    </row>
    <row r="2316" spans="1:24">
      <c r="A2316">
        <f>HYPERLINK("https://www.philgeps.gov.ph/GEPSNONPILOT/Tender/SplashBidNoticeAbstractUI.aspx?menuIndex=3&amp;refID=7072880&amp;Result=3","7072880")</f>
        <v>0</v>
      </c>
      <c r="B2316" t="s">
        <v>984</v>
      </c>
      <c r="C2316" t="s">
        <v>5598</v>
      </c>
      <c r="D2316" t="s">
        <v>16678</v>
      </c>
      <c r="E2316" t="s">
        <v>18834</v>
      </c>
      <c r="F2316" t="s">
        <v>28669</v>
      </c>
      <c r="G2316" t="s">
        <v>28675</v>
      </c>
      <c r="H2316" t="s">
        <v>28686</v>
      </c>
      <c r="I2316" t="s">
        <v>28689</v>
      </c>
      <c r="J2316" t="s">
        <v>30417</v>
      </c>
      <c r="K2316" t="s">
        <v>37213</v>
      </c>
      <c r="M2316" t="s">
        <v>38509</v>
      </c>
      <c r="N2316" t="s">
        <v>41249</v>
      </c>
      <c r="O2316" t="s">
        <v>41250</v>
      </c>
      <c r="P2316">
        <v>0</v>
      </c>
      <c r="Q2316">
        <v>1</v>
      </c>
      <c r="R2316" t="s">
        <v>41252</v>
      </c>
      <c r="S2316" t="s">
        <v>41383</v>
      </c>
      <c r="T2316" t="s">
        <v>42693</v>
      </c>
      <c r="U2316" t="s">
        <v>45207</v>
      </c>
      <c r="W2316" t="s">
        <v>38509</v>
      </c>
      <c r="X2316" t="s">
        <v>41255</v>
      </c>
    </row>
    <row r="2317" spans="1:24">
      <c r="A2317">
        <f>HYPERLINK("https://www.philgeps.gov.ph/GEPSNONPILOT/Tender/SplashBidNoticeAbstractUI.aspx?menuIndex=3&amp;refID=7072884&amp;Result=3","7072884")</f>
        <v>0</v>
      </c>
      <c r="B2317" t="s">
        <v>963</v>
      </c>
      <c r="C2317" t="s">
        <v>5599</v>
      </c>
      <c r="D2317" t="s">
        <v>16626</v>
      </c>
      <c r="E2317" t="s">
        <v>18835</v>
      </c>
      <c r="F2317" t="s">
        <v>28669</v>
      </c>
      <c r="G2317" t="s">
        <v>28675</v>
      </c>
      <c r="H2317" t="s">
        <v>9998</v>
      </c>
      <c r="I2317" t="s">
        <v>28687</v>
      </c>
      <c r="J2317" t="s">
        <v>30418</v>
      </c>
      <c r="K2317" t="s">
        <v>37209</v>
      </c>
      <c r="M2317" t="s">
        <v>38488</v>
      </c>
      <c r="N2317" t="s">
        <v>41249</v>
      </c>
      <c r="O2317" t="s">
        <v>41250</v>
      </c>
      <c r="P2317">
        <v>0</v>
      </c>
      <c r="Q2317">
        <v>3</v>
      </c>
      <c r="R2317" t="s">
        <v>41252</v>
      </c>
      <c r="S2317" t="s">
        <v>41383</v>
      </c>
      <c r="T2317" t="s">
        <v>42873</v>
      </c>
      <c r="U2317" t="s">
        <v>45208</v>
      </c>
      <c r="V2317" t="s">
        <v>54530</v>
      </c>
      <c r="W2317" t="s">
        <v>38488</v>
      </c>
      <c r="X2317" t="s">
        <v>41255</v>
      </c>
    </row>
    <row r="2318" spans="1:24">
      <c r="A2318">
        <f>HYPERLINK("https://www.philgeps.gov.ph/GEPSNONPILOT/Tender/SplashBidNoticeAbstractUI.aspx?menuIndex=3&amp;refID=7072838&amp;Result=3","7072838")</f>
        <v>0</v>
      </c>
      <c r="B2318" t="s">
        <v>985</v>
      </c>
      <c r="C2318" t="s">
        <v>5600</v>
      </c>
      <c r="D2318" t="s">
        <v>16624</v>
      </c>
      <c r="E2318" t="s">
        <v>18836</v>
      </c>
      <c r="F2318" t="s">
        <v>28669</v>
      </c>
      <c r="G2318" t="s">
        <v>28675</v>
      </c>
      <c r="H2318" t="s">
        <v>9998</v>
      </c>
      <c r="I2318" t="s">
        <v>28710</v>
      </c>
      <c r="J2318" t="s">
        <v>30419</v>
      </c>
      <c r="K2318" t="s">
        <v>37205</v>
      </c>
      <c r="M2318" t="s">
        <v>38510</v>
      </c>
      <c r="N2318" t="s">
        <v>41249</v>
      </c>
      <c r="O2318" t="s">
        <v>41250</v>
      </c>
      <c r="P2318">
        <v>0</v>
      </c>
      <c r="Q2318">
        <v>4</v>
      </c>
      <c r="R2318" t="s">
        <v>41252</v>
      </c>
      <c r="S2318" t="s">
        <v>41383</v>
      </c>
      <c r="T2318" t="s">
        <v>42842</v>
      </c>
      <c r="U2318" t="s">
        <v>45209</v>
      </c>
      <c r="W2318" t="s">
        <v>38510</v>
      </c>
      <c r="X2318" t="s">
        <v>41255</v>
      </c>
    </row>
    <row r="2319" spans="1:24">
      <c r="A2319">
        <f>HYPERLINK("https://www.philgeps.gov.ph/GEPSNONPILOT/Tender/SplashBidNoticeAbstractUI.aspx?menuIndex=3&amp;refID=7072925&amp;Result=3","7072925")</f>
        <v>0</v>
      </c>
      <c r="B2319" t="s">
        <v>965</v>
      </c>
      <c r="C2319" t="s">
        <v>5601</v>
      </c>
      <c r="D2319" t="s">
        <v>16608</v>
      </c>
      <c r="E2319" t="s">
        <v>18837</v>
      </c>
      <c r="F2319" t="s">
        <v>28669</v>
      </c>
      <c r="G2319" t="s">
        <v>28675</v>
      </c>
      <c r="H2319" t="s">
        <v>9998</v>
      </c>
      <c r="I2319" t="s">
        <v>5213</v>
      </c>
      <c r="J2319" t="s">
        <v>30420</v>
      </c>
      <c r="K2319" t="s">
        <v>37205</v>
      </c>
      <c r="M2319" t="s">
        <v>38490</v>
      </c>
      <c r="N2319" t="s">
        <v>41249</v>
      </c>
      <c r="O2319" t="s">
        <v>41250</v>
      </c>
      <c r="P2319">
        <v>0</v>
      </c>
      <c r="Q2319">
        <v>0</v>
      </c>
      <c r="R2319" t="s">
        <v>41252</v>
      </c>
      <c r="S2319" t="s">
        <v>41383</v>
      </c>
      <c r="T2319" t="s">
        <v>42703</v>
      </c>
      <c r="U2319" t="s">
        <v>45206</v>
      </c>
      <c r="W2319" t="s">
        <v>38490</v>
      </c>
      <c r="X2319" t="s">
        <v>41255</v>
      </c>
    </row>
    <row r="2320" spans="1:24">
      <c r="A2320">
        <f>HYPERLINK("https://www.philgeps.gov.ph/GEPSNONPILOT/Tender/SplashBidNoticeAbstractUI.aspx?menuIndex=3&amp;refID=7073291&amp;Result=3","7073291")</f>
        <v>0</v>
      </c>
      <c r="B2320" t="s">
        <v>986</v>
      </c>
      <c r="C2320" t="s">
        <v>5602</v>
      </c>
      <c r="D2320" t="s">
        <v>16620</v>
      </c>
      <c r="E2320" t="s">
        <v>18838</v>
      </c>
      <c r="F2320" t="s">
        <v>28669</v>
      </c>
      <c r="G2320" t="s">
        <v>28675</v>
      </c>
      <c r="H2320" t="s">
        <v>9998</v>
      </c>
      <c r="I2320" t="s">
        <v>11142</v>
      </c>
      <c r="J2320" t="s">
        <v>30421</v>
      </c>
      <c r="K2320" t="s">
        <v>37206</v>
      </c>
      <c r="M2320" t="s">
        <v>38511</v>
      </c>
      <c r="N2320" t="s">
        <v>41249</v>
      </c>
      <c r="O2320" t="s">
        <v>41250</v>
      </c>
      <c r="P2320">
        <v>0</v>
      </c>
      <c r="Q2320">
        <v>0</v>
      </c>
      <c r="R2320" t="s">
        <v>41252</v>
      </c>
      <c r="S2320" t="s">
        <v>41383</v>
      </c>
      <c r="T2320" t="s">
        <v>42703</v>
      </c>
      <c r="U2320" t="s">
        <v>45210</v>
      </c>
      <c r="V2320" t="s">
        <v>54542</v>
      </c>
      <c r="W2320" t="s">
        <v>38511</v>
      </c>
      <c r="X2320" t="s">
        <v>41254</v>
      </c>
    </row>
    <row r="2321" spans="1:24">
      <c r="A2321">
        <f>HYPERLINK("https://www.philgeps.gov.ph/GEPSNONPILOT/Tender/SplashBidNoticeAbstractUI.aspx?menuIndex=3&amp;refID=7073290&amp;Result=3","7073290")</f>
        <v>0</v>
      </c>
      <c r="B2321" t="s">
        <v>987</v>
      </c>
      <c r="C2321" t="s">
        <v>5603</v>
      </c>
      <c r="D2321" t="s">
        <v>16616</v>
      </c>
      <c r="E2321" t="s">
        <v>18839</v>
      </c>
      <c r="F2321" t="s">
        <v>28669</v>
      </c>
      <c r="G2321" t="s">
        <v>28675</v>
      </c>
      <c r="H2321" t="s">
        <v>9998</v>
      </c>
      <c r="I2321" t="s">
        <v>3718</v>
      </c>
      <c r="J2321" t="s">
        <v>30422</v>
      </c>
      <c r="K2321" t="s">
        <v>37210</v>
      </c>
      <c r="M2321" t="s">
        <v>38512</v>
      </c>
      <c r="N2321" t="s">
        <v>41249</v>
      </c>
      <c r="O2321" t="s">
        <v>41250</v>
      </c>
      <c r="Q2321">
        <v>10</v>
      </c>
      <c r="R2321" t="s">
        <v>41252</v>
      </c>
      <c r="S2321" t="s">
        <v>41387</v>
      </c>
      <c r="T2321" t="s">
        <v>42715</v>
      </c>
      <c r="U2321" t="s">
        <v>45211</v>
      </c>
      <c r="W2321" t="s">
        <v>38512</v>
      </c>
      <c r="X2321" t="s">
        <v>41254</v>
      </c>
    </row>
    <row r="2322" spans="1:24">
      <c r="A2322">
        <f>HYPERLINK("https://www.philgeps.gov.ph/GEPSNONPILOT/Tender/SplashBidNoticeAbstractUI.aspx?menuIndex=3&amp;refID=7073289&amp;Result=3","7073289")</f>
        <v>0</v>
      </c>
      <c r="B2322" t="s">
        <v>404</v>
      </c>
      <c r="C2322" t="s">
        <v>5604</v>
      </c>
      <c r="D2322" t="s">
        <v>16633</v>
      </c>
      <c r="E2322" t="s">
        <v>18840</v>
      </c>
      <c r="F2322" t="s">
        <v>28669</v>
      </c>
      <c r="G2322" t="s">
        <v>28675</v>
      </c>
      <c r="H2322" t="s">
        <v>28686</v>
      </c>
      <c r="I2322" t="s">
        <v>28689</v>
      </c>
      <c r="J2322" t="s">
        <v>30423</v>
      </c>
      <c r="K2322" t="s">
        <v>37317</v>
      </c>
      <c r="M2322" t="s">
        <v>37889</v>
      </c>
      <c r="N2322" t="s">
        <v>41249</v>
      </c>
      <c r="O2322" t="s">
        <v>41250</v>
      </c>
      <c r="P2322">
        <v>0</v>
      </c>
      <c r="Q2322">
        <v>0</v>
      </c>
      <c r="R2322" t="s">
        <v>41252</v>
      </c>
      <c r="S2322" t="s">
        <v>41383</v>
      </c>
      <c r="T2322" t="s">
        <v>42732</v>
      </c>
      <c r="U2322" t="s">
        <v>45212</v>
      </c>
      <c r="W2322" t="s">
        <v>37889</v>
      </c>
      <c r="X2322" t="s">
        <v>41254</v>
      </c>
    </row>
    <row r="2323" spans="1:24">
      <c r="A2323">
        <f>HYPERLINK("https://www.philgeps.gov.ph/GEPSNONPILOT/Tender/SplashBidNoticeAbstractUI.aspx?menuIndex=3&amp;refID=7073288&amp;Result=3","7073288")</f>
        <v>0</v>
      </c>
      <c r="B2323" t="s">
        <v>289</v>
      </c>
      <c r="C2323" t="s">
        <v>5605</v>
      </c>
      <c r="E2323" t="s">
        <v>18841</v>
      </c>
      <c r="F2323" t="s">
        <v>28669</v>
      </c>
      <c r="G2323" t="s">
        <v>28676</v>
      </c>
      <c r="H2323" t="s">
        <v>9998</v>
      </c>
      <c r="I2323" t="s">
        <v>5213</v>
      </c>
      <c r="J2323" t="s">
        <v>30424</v>
      </c>
      <c r="K2323" t="s">
        <v>37227</v>
      </c>
      <c r="M2323" t="s">
        <v>38513</v>
      </c>
      <c r="N2323" t="s">
        <v>41249</v>
      </c>
      <c r="O2323" t="s">
        <v>41250</v>
      </c>
      <c r="P2323">
        <v>0</v>
      </c>
      <c r="Q2323">
        <v>0</v>
      </c>
      <c r="R2323" t="s">
        <v>41252</v>
      </c>
      <c r="S2323" t="s">
        <v>41383</v>
      </c>
      <c r="T2323" t="s">
        <v>42694</v>
      </c>
      <c r="U2323" t="s">
        <v>45213</v>
      </c>
      <c r="W2323" t="s">
        <v>38513</v>
      </c>
      <c r="X2323" t="s">
        <v>41254</v>
      </c>
    </row>
    <row r="2324" spans="1:24">
      <c r="A2324">
        <f>HYPERLINK("https://www.philgeps.gov.ph/GEPSNONPILOT/Tender/SplashBidNoticeAbstractUI.aspx?menuIndex=3&amp;refID=7073287&amp;Result=3","7073287")</f>
        <v>0</v>
      </c>
      <c r="B2324" t="s">
        <v>986</v>
      </c>
      <c r="C2324" t="s">
        <v>5606</v>
      </c>
      <c r="D2324" t="s">
        <v>16620</v>
      </c>
      <c r="E2324" t="s">
        <v>18842</v>
      </c>
      <c r="F2324" t="s">
        <v>28669</v>
      </c>
      <c r="G2324" t="s">
        <v>28675</v>
      </c>
      <c r="H2324" t="s">
        <v>9998</v>
      </c>
      <c r="I2324" t="s">
        <v>28704</v>
      </c>
      <c r="J2324" t="s">
        <v>30264</v>
      </c>
      <c r="K2324" t="s">
        <v>37206</v>
      </c>
      <c r="M2324" t="s">
        <v>38511</v>
      </c>
      <c r="N2324" t="s">
        <v>41249</v>
      </c>
      <c r="O2324" t="s">
        <v>41250</v>
      </c>
      <c r="P2324">
        <v>0</v>
      </c>
      <c r="Q2324">
        <v>0</v>
      </c>
      <c r="R2324" t="s">
        <v>41252</v>
      </c>
      <c r="S2324" t="s">
        <v>41383</v>
      </c>
      <c r="T2324" t="s">
        <v>42703</v>
      </c>
      <c r="U2324" t="s">
        <v>45210</v>
      </c>
      <c r="V2324" t="s">
        <v>54542</v>
      </c>
      <c r="W2324" t="s">
        <v>38511</v>
      </c>
      <c r="X2324" t="s">
        <v>41254</v>
      </c>
    </row>
    <row r="2325" spans="1:24">
      <c r="A2325">
        <f>HYPERLINK("https://www.philgeps.gov.ph/GEPSNONPILOT/Tender/SplashBidNoticeAbstractUI.aspx?menuIndex=3&amp;refID=7073285&amp;Result=3","7073285")</f>
        <v>0</v>
      </c>
      <c r="B2325" t="s">
        <v>986</v>
      </c>
      <c r="C2325" t="s">
        <v>5607</v>
      </c>
      <c r="D2325" t="s">
        <v>16620</v>
      </c>
      <c r="E2325" t="s">
        <v>18843</v>
      </c>
      <c r="F2325" t="s">
        <v>28669</v>
      </c>
      <c r="G2325" t="s">
        <v>28675</v>
      </c>
      <c r="H2325" t="s">
        <v>9998</v>
      </c>
      <c r="I2325" t="s">
        <v>7352</v>
      </c>
      <c r="J2325" t="s">
        <v>30425</v>
      </c>
      <c r="K2325" t="s">
        <v>37206</v>
      </c>
      <c r="M2325" t="s">
        <v>38511</v>
      </c>
      <c r="N2325" t="s">
        <v>41249</v>
      </c>
      <c r="O2325" t="s">
        <v>41250</v>
      </c>
      <c r="P2325">
        <v>0</v>
      </c>
      <c r="Q2325">
        <v>0</v>
      </c>
      <c r="R2325" t="s">
        <v>41252</v>
      </c>
      <c r="S2325" t="s">
        <v>41383</v>
      </c>
      <c r="T2325" t="s">
        <v>42703</v>
      </c>
      <c r="U2325" t="s">
        <v>45210</v>
      </c>
      <c r="V2325" t="s">
        <v>54542</v>
      </c>
      <c r="W2325" t="s">
        <v>38511</v>
      </c>
      <c r="X2325" t="s">
        <v>41254</v>
      </c>
    </row>
    <row r="2326" spans="1:24">
      <c r="A2326">
        <f>HYPERLINK("https://www.philgeps.gov.ph/GEPSNONPILOT/Tender/SplashBidNoticeAbstractUI.aspx?menuIndex=3&amp;refID=7072923&amp;Result=3","7072923")</f>
        <v>0</v>
      </c>
      <c r="B2326" t="s">
        <v>963</v>
      </c>
      <c r="C2326" t="s">
        <v>5608</v>
      </c>
      <c r="D2326" t="s">
        <v>16626</v>
      </c>
      <c r="E2326" t="s">
        <v>18844</v>
      </c>
      <c r="F2326" t="s">
        <v>28669</v>
      </c>
      <c r="G2326" t="s">
        <v>28675</v>
      </c>
      <c r="H2326" t="s">
        <v>9998</v>
      </c>
      <c r="I2326" t="s">
        <v>11593</v>
      </c>
      <c r="J2326" t="s">
        <v>30426</v>
      </c>
      <c r="K2326" t="s">
        <v>37209</v>
      </c>
      <c r="M2326" t="s">
        <v>38488</v>
      </c>
      <c r="N2326" t="s">
        <v>41249</v>
      </c>
      <c r="O2326" t="s">
        <v>41250</v>
      </c>
      <c r="P2326">
        <v>0</v>
      </c>
      <c r="Q2326">
        <v>1</v>
      </c>
      <c r="R2326" t="s">
        <v>41252</v>
      </c>
      <c r="S2326" t="s">
        <v>41383</v>
      </c>
      <c r="T2326" t="s">
        <v>42858</v>
      </c>
      <c r="U2326" t="s">
        <v>45214</v>
      </c>
      <c r="V2326" t="s">
        <v>54532</v>
      </c>
      <c r="W2326" t="s">
        <v>38488</v>
      </c>
      <c r="X2326" t="s">
        <v>41255</v>
      </c>
    </row>
    <row r="2327" spans="1:24">
      <c r="A2327">
        <f>HYPERLINK("https://www.philgeps.gov.ph/GEPSNONPILOT/Tender/SplashBidNoticeAbstractUI.aspx?menuIndex=3&amp;refID=7073248&amp;Result=3","7073248")</f>
        <v>0</v>
      </c>
      <c r="B2327" t="s">
        <v>99</v>
      </c>
      <c r="C2327" t="s">
        <v>5579</v>
      </c>
      <c r="D2327" t="s">
        <v>16655</v>
      </c>
      <c r="E2327" t="s">
        <v>18845</v>
      </c>
      <c r="F2327" t="s">
        <v>28669</v>
      </c>
      <c r="G2327" t="s">
        <v>28677</v>
      </c>
      <c r="H2327" t="s">
        <v>9998</v>
      </c>
      <c r="I2327" t="s">
        <v>15140</v>
      </c>
      <c r="J2327" t="s">
        <v>29513</v>
      </c>
      <c r="K2327" t="s">
        <v>37204</v>
      </c>
      <c r="M2327" t="s">
        <v>37574</v>
      </c>
      <c r="N2327" t="s">
        <v>41249</v>
      </c>
      <c r="O2327" t="s">
        <v>41250</v>
      </c>
      <c r="P2327">
        <v>0</v>
      </c>
      <c r="Q2327">
        <v>0</v>
      </c>
      <c r="R2327" t="s">
        <v>41252</v>
      </c>
      <c r="S2327" t="s">
        <v>41383</v>
      </c>
      <c r="T2327" t="s">
        <v>42703</v>
      </c>
      <c r="U2327" t="s">
        <v>45190</v>
      </c>
      <c r="W2327" t="s">
        <v>37574</v>
      </c>
      <c r="X2327" t="s">
        <v>41254</v>
      </c>
    </row>
    <row r="2328" spans="1:24">
      <c r="A2328">
        <f>HYPERLINK("https://www.philgeps.gov.ph/GEPSNONPILOT/Tender/SplashBidNoticeAbstractUI.aspx?menuIndex=3&amp;refID=7073286&amp;Result=3","7073286")</f>
        <v>0</v>
      </c>
      <c r="B2328" t="s">
        <v>988</v>
      </c>
      <c r="C2328" t="s">
        <v>5609</v>
      </c>
      <c r="D2328" t="s">
        <v>16635</v>
      </c>
      <c r="E2328" t="s">
        <v>18846</v>
      </c>
      <c r="F2328" t="s">
        <v>28669</v>
      </c>
      <c r="G2328" t="s">
        <v>28675</v>
      </c>
      <c r="H2328" t="s">
        <v>9998</v>
      </c>
      <c r="I2328" t="s">
        <v>28695</v>
      </c>
      <c r="J2328" t="s">
        <v>30427</v>
      </c>
      <c r="K2328" t="s">
        <v>37206</v>
      </c>
      <c r="M2328" t="s">
        <v>38514</v>
      </c>
      <c r="N2328" t="s">
        <v>41249</v>
      </c>
      <c r="O2328" t="s">
        <v>41250</v>
      </c>
      <c r="P2328">
        <v>0</v>
      </c>
      <c r="Q2328">
        <v>1</v>
      </c>
      <c r="R2328" t="s">
        <v>41252</v>
      </c>
      <c r="S2328" t="s">
        <v>41383</v>
      </c>
      <c r="T2328" t="s">
        <v>42765</v>
      </c>
      <c r="U2328" t="s">
        <v>45215</v>
      </c>
      <c r="W2328" t="s">
        <v>38514</v>
      </c>
      <c r="X2328" t="s">
        <v>41254</v>
      </c>
    </row>
    <row r="2329" spans="1:24">
      <c r="A2329">
        <f>HYPERLINK("https://www.philgeps.gov.ph/GEPSNONPILOT/Tender/SplashBidNoticeAbstractUI.aspx?menuIndex=3&amp;refID=7073281&amp;Result=3","7073281")</f>
        <v>0</v>
      </c>
      <c r="B2329" t="s">
        <v>989</v>
      </c>
      <c r="C2329" t="s">
        <v>5610</v>
      </c>
      <c r="D2329" t="s">
        <v>16679</v>
      </c>
      <c r="E2329" t="s">
        <v>18847</v>
      </c>
      <c r="F2329" t="s">
        <v>28669</v>
      </c>
      <c r="G2329" t="s">
        <v>28676</v>
      </c>
      <c r="H2329" t="s">
        <v>9998</v>
      </c>
      <c r="I2329" t="s">
        <v>28772</v>
      </c>
      <c r="J2329" t="s">
        <v>28914</v>
      </c>
      <c r="K2329" t="s">
        <v>37205</v>
      </c>
      <c r="M2329" t="s">
        <v>38515</v>
      </c>
      <c r="N2329" t="s">
        <v>41249</v>
      </c>
      <c r="O2329" t="s">
        <v>41250</v>
      </c>
      <c r="P2329">
        <v>0</v>
      </c>
      <c r="Q2329">
        <v>0</v>
      </c>
      <c r="R2329" t="s">
        <v>41252</v>
      </c>
      <c r="S2329" t="s">
        <v>41383</v>
      </c>
      <c r="T2329" t="s">
        <v>42665</v>
      </c>
      <c r="U2329" t="s">
        <v>45216</v>
      </c>
      <c r="W2329" t="s">
        <v>38515</v>
      </c>
      <c r="X2329" t="s">
        <v>41254</v>
      </c>
    </row>
    <row r="2330" spans="1:24">
      <c r="A2330">
        <f>HYPERLINK("https://www.philgeps.gov.ph/GEPSNONPILOT/Tender/SplashBidNoticeAbstractUI.aspx?menuIndex=3&amp;refID=7073284&amp;Result=3","7073284")</f>
        <v>0</v>
      </c>
      <c r="B2330" t="s">
        <v>114</v>
      </c>
      <c r="C2330" t="s">
        <v>5611</v>
      </c>
      <c r="D2330" t="s">
        <v>16608</v>
      </c>
      <c r="E2330" t="s">
        <v>18848</v>
      </c>
      <c r="F2330" t="s">
        <v>28669</v>
      </c>
      <c r="G2330" t="s">
        <v>28677</v>
      </c>
      <c r="H2330" t="s">
        <v>9998</v>
      </c>
      <c r="I2330" t="s">
        <v>5213</v>
      </c>
      <c r="J2330" t="s">
        <v>30428</v>
      </c>
      <c r="K2330" t="s">
        <v>37210</v>
      </c>
      <c r="M2330" t="s">
        <v>38516</v>
      </c>
      <c r="N2330" t="s">
        <v>41249</v>
      </c>
      <c r="O2330" t="s">
        <v>41250</v>
      </c>
      <c r="P2330">
        <v>0</v>
      </c>
      <c r="Q2330">
        <v>0</v>
      </c>
      <c r="R2330" t="s">
        <v>41252</v>
      </c>
      <c r="S2330" t="s">
        <v>41383</v>
      </c>
      <c r="T2330" t="s">
        <v>42878</v>
      </c>
      <c r="U2330" t="s">
        <v>45217</v>
      </c>
      <c r="V2330" t="s">
        <v>54326</v>
      </c>
      <c r="W2330" t="s">
        <v>38516</v>
      </c>
      <c r="X2330" t="s">
        <v>41254</v>
      </c>
    </row>
    <row r="2331" spans="1:24">
      <c r="A2331">
        <f>HYPERLINK("https://www.philgeps.gov.ph/GEPSNONPILOT/Tender/SplashBidNoticeAbstractUI.aspx?menuIndex=3&amp;refID=7073283&amp;Result=3","7073283")</f>
        <v>0</v>
      </c>
      <c r="B2331" t="s">
        <v>326</v>
      </c>
      <c r="C2331" t="s">
        <v>5612</v>
      </c>
      <c r="D2331" t="s">
        <v>16665</v>
      </c>
      <c r="E2331" t="s">
        <v>18849</v>
      </c>
      <c r="F2331" t="s">
        <v>28669</v>
      </c>
      <c r="G2331" t="s">
        <v>28678</v>
      </c>
      <c r="H2331" t="s">
        <v>9998</v>
      </c>
      <c r="I2331" t="s">
        <v>3718</v>
      </c>
      <c r="J2331" t="s">
        <v>30429</v>
      </c>
      <c r="K2331" t="s">
        <v>37205</v>
      </c>
      <c r="M2331" t="s">
        <v>37806</v>
      </c>
      <c r="N2331" t="s">
        <v>41249</v>
      </c>
      <c r="O2331" t="s">
        <v>41250</v>
      </c>
      <c r="P2331">
        <v>0</v>
      </c>
      <c r="Q2331">
        <v>2</v>
      </c>
      <c r="R2331" t="s">
        <v>41252</v>
      </c>
      <c r="S2331" t="s">
        <v>41383</v>
      </c>
      <c r="T2331" t="s">
        <v>42743</v>
      </c>
      <c r="U2331" t="s">
        <v>45218</v>
      </c>
      <c r="W2331" t="s">
        <v>37806</v>
      </c>
      <c r="X2331" t="s">
        <v>41254</v>
      </c>
    </row>
    <row r="2332" spans="1:24">
      <c r="A2332">
        <f>HYPERLINK("https://www.philgeps.gov.ph/GEPSNONPILOT/Tender/SplashBidNoticeAbstractUI.aspx?menuIndex=3&amp;refID=7073279&amp;Result=3","7073279")</f>
        <v>0</v>
      </c>
      <c r="B2332" t="s">
        <v>648</v>
      </c>
      <c r="C2332" t="s">
        <v>5613</v>
      </c>
      <c r="D2332" t="s">
        <v>16648</v>
      </c>
      <c r="E2332" t="s">
        <v>18850</v>
      </c>
      <c r="F2332" t="s">
        <v>28669</v>
      </c>
      <c r="G2332" t="s">
        <v>28676</v>
      </c>
      <c r="H2332" t="s">
        <v>9998</v>
      </c>
      <c r="I2332" t="s">
        <v>28704</v>
      </c>
      <c r="J2332" t="s">
        <v>30430</v>
      </c>
      <c r="K2332" t="s">
        <v>37204</v>
      </c>
      <c r="M2332" t="s">
        <v>38149</v>
      </c>
      <c r="N2332" t="s">
        <v>41249</v>
      </c>
      <c r="O2332" t="s">
        <v>41250</v>
      </c>
      <c r="P2332">
        <v>0</v>
      </c>
      <c r="Q2332">
        <v>0</v>
      </c>
      <c r="R2332" t="s">
        <v>41252</v>
      </c>
      <c r="S2332" t="s">
        <v>41383</v>
      </c>
      <c r="T2332" t="s">
        <v>42679</v>
      </c>
      <c r="U2332" t="s">
        <v>45219</v>
      </c>
      <c r="W2332" t="s">
        <v>38149</v>
      </c>
      <c r="X2332" t="s">
        <v>41254</v>
      </c>
    </row>
    <row r="2333" spans="1:24">
      <c r="A2333">
        <f>HYPERLINK("https://www.philgeps.gov.ph/GEPSNONPILOT/Tender/SplashBidNoticeAbstractUI.aspx?menuIndex=3&amp;refID=7073278&amp;Result=3","7073278")</f>
        <v>0</v>
      </c>
      <c r="B2333" t="s">
        <v>990</v>
      </c>
      <c r="C2333" t="s">
        <v>5614</v>
      </c>
      <c r="D2333" t="s">
        <v>16658</v>
      </c>
      <c r="E2333" t="s">
        <v>18851</v>
      </c>
      <c r="F2333" t="s">
        <v>28669</v>
      </c>
      <c r="G2333" t="s">
        <v>28676</v>
      </c>
      <c r="H2333" t="s">
        <v>9998</v>
      </c>
      <c r="I2333" t="s">
        <v>28717</v>
      </c>
      <c r="J2333" t="s">
        <v>29191</v>
      </c>
      <c r="K2333" t="s">
        <v>37209</v>
      </c>
      <c r="M2333" t="s">
        <v>38517</v>
      </c>
      <c r="N2333" t="s">
        <v>41249</v>
      </c>
      <c r="O2333" t="s">
        <v>41250</v>
      </c>
      <c r="P2333">
        <v>0</v>
      </c>
      <c r="Q2333">
        <v>8</v>
      </c>
      <c r="R2333" t="s">
        <v>41252</v>
      </c>
      <c r="S2333" t="s">
        <v>41383</v>
      </c>
      <c r="T2333" t="s">
        <v>42729</v>
      </c>
      <c r="U2333" t="s">
        <v>45220</v>
      </c>
      <c r="W2333" t="s">
        <v>38517</v>
      </c>
      <c r="X2333" t="s">
        <v>41254</v>
      </c>
    </row>
    <row r="2334" spans="1:24">
      <c r="A2334">
        <f>HYPERLINK("https://www.philgeps.gov.ph/GEPSNONPILOT/Tender/SplashBidNoticeAbstractUI.aspx?menuIndex=3&amp;refID=7073276&amp;Result=3","7073276")</f>
        <v>0</v>
      </c>
      <c r="B2334" t="s">
        <v>991</v>
      </c>
      <c r="C2334" t="s">
        <v>5615</v>
      </c>
      <c r="D2334" t="s">
        <v>16639</v>
      </c>
      <c r="E2334" t="s">
        <v>18852</v>
      </c>
      <c r="F2334" t="s">
        <v>28669</v>
      </c>
      <c r="G2334" t="s">
        <v>28676</v>
      </c>
      <c r="H2334" t="s">
        <v>28684</v>
      </c>
      <c r="I2334" t="s">
        <v>28704</v>
      </c>
      <c r="J2334" t="s">
        <v>29468</v>
      </c>
      <c r="K2334" t="s">
        <v>37220</v>
      </c>
      <c r="M2334" t="s">
        <v>38518</v>
      </c>
      <c r="N2334" t="s">
        <v>41249</v>
      </c>
      <c r="O2334" t="s">
        <v>41250</v>
      </c>
      <c r="P2334">
        <v>0</v>
      </c>
      <c r="Q2334">
        <v>0</v>
      </c>
      <c r="R2334" t="s">
        <v>41252</v>
      </c>
      <c r="S2334" t="s">
        <v>41383</v>
      </c>
      <c r="T2334" t="s">
        <v>42701</v>
      </c>
      <c r="U2334" t="s">
        <v>45221</v>
      </c>
      <c r="V2334" t="s">
        <v>54543</v>
      </c>
      <c r="W2334" t="s">
        <v>38518</v>
      </c>
      <c r="X2334" t="s">
        <v>41254</v>
      </c>
    </row>
    <row r="2335" spans="1:24">
      <c r="A2335">
        <f>HYPERLINK("https://www.philgeps.gov.ph/GEPSNONPILOT/Tender/SplashBidNoticeAbstractUI.aspx?menuIndex=3&amp;refID=7073282&amp;Result=3","7073282")</f>
        <v>0</v>
      </c>
      <c r="B2335" t="s">
        <v>992</v>
      </c>
      <c r="C2335" t="s">
        <v>5616</v>
      </c>
      <c r="D2335" t="s">
        <v>16663</v>
      </c>
      <c r="E2335" t="s">
        <v>18853</v>
      </c>
      <c r="F2335" t="s">
        <v>28669</v>
      </c>
      <c r="G2335" t="s">
        <v>28677</v>
      </c>
      <c r="H2335" t="s">
        <v>9998</v>
      </c>
      <c r="I2335" t="s">
        <v>28699</v>
      </c>
      <c r="J2335" t="s">
        <v>29546</v>
      </c>
      <c r="K2335" t="s">
        <v>37205</v>
      </c>
      <c r="M2335" t="s">
        <v>38519</v>
      </c>
      <c r="N2335" t="s">
        <v>41249</v>
      </c>
      <c r="O2335" t="s">
        <v>41250</v>
      </c>
      <c r="P2335">
        <v>0</v>
      </c>
      <c r="Q2335">
        <v>0</v>
      </c>
      <c r="R2335" t="s">
        <v>41252</v>
      </c>
      <c r="S2335" t="s">
        <v>41383</v>
      </c>
      <c r="T2335" t="s">
        <v>42758</v>
      </c>
      <c r="U2335" t="s">
        <v>45222</v>
      </c>
      <c r="W2335" t="s">
        <v>38519</v>
      </c>
      <c r="X2335" t="s">
        <v>41254</v>
      </c>
    </row>
    <row r="2336" spans="1:24">
      <c r="A2336">
        <f>HYPERLINK("https://www.philgeps.gov.ph/GEPSNONPILOT/Tender/SplashBidNoticeAbstractUI.aspx?menuIndex=3&amp;refID=7073274&amp;Result=3","7073274")</f>
        <v>0</v>
      </c>
      <c r="B2336" t="s">
        <v>72</v>
      </c>
      <c r="C2336" t="s">
        <v>5617</v>
      </c>
      <c r="D2336" t="s">
        <v>16644</v>
      </c>
      <c r="E2336" t="s">
        <v>18854</v>
      </c>
      <c r="F2336" t="s">
        <v>28669</v>
      </c>
      <c r="G2336" t="s">
        <v>28675</v>
      </c>
      <c r="H2336" t="s">
        <v>28686</v>
      </c>
      <c r="I2336" t="s">
        <v>28689</v>
      </c>
      <c r="J2336" t="s">
        <v>30431</v>
      </c>
      <c r="K2336" t="s">
        <v>37206</v>
      </c>
      <c r="M2336" t="s">
        <v>37547</v>
      </c>
      <c r="N2336" t="s">
        <v>41249</v>
      </c>
      <c r="O2336" t="s">
        <v>41250</v>
      </c>
      <c r="P2336">
        <v>0</v>
      </c>
      <c r="Q2336">
        <v>2</v>
      </c>
      <c r="R2336" t="s">
        <v>41252</v>
      </c>
      <c r="S2336" t="s">
        <v>41383</v>
      </c>
      <c r="T2336" t="s">
        <v>42716</v>
      </c>
      <c r="U2336" t="s">
        <v>45223</v>
      </c>
      <c r="V2336" t="s">
        <v>54544</v>
      </c>
      <c r="W2336" t="s">
        <v>55934</v>
      </c>
      <c r="X2336" t="s">
        <v>41254</v>
      </c>
    </row>
    <row r="2337" spans="1:24">
      <c r="A2337">
        <f>HYPERLINK("https://www.philgeps.gov.ph/GEPSNONPILOT/Tender/SplashBidNoticeAbstractUI.aspx?menuIndex=3&amp;refID=7073273&amp;Result=3","7073273")</f>
        <v>0</v>
      </c>
      <c r="B2337" t="s">
        <v>993</v>
      </c>
      <c r="C2337" t="s">
        <v>5618</v>
      </c>
      <c r="D2337" t="s">
        <v>16670</v>
      </c>
      <c r="E2337" t="s">
        <v>18855</v>
      </c>
      <c r="F2337" t="s">
        <v>28669</v>
      </c>
      <c r="G2337" t="s">
        <v>28675</v>
      </c>
      <c r="H2337" t="s">
        <v>9998</v>
      </c>
      <c r="I2337" t="s">
        <v>28694</v>
      </c>
      <c r="J2337" t="s">
        <v>30432</v>
      </c>
      <c r="K2337" t="s">
        <v>37206</v>
      </c>
      <c r="M2337" t="s">
        <v>38520</v>
      </c>
      <c r="N2337" t="s">
        <v>41249</v>
      </c>
      <c r="O2337" t="s">
        <v>41250</v>
      </c>
      <c r="P2337">
        <v>0</v>
      </c>
      <c r="Q2337">
        <v>0</v>
      </c>
      <c r="R2337" t="s">
        <v>41252</v>
      </c>
      <c r="S2337" t="s">
        <v>41383</v>
      </c>
      <c r="T2337" t="s">
        <v>42879</v>
      </c>
      <c r="U2337" t="s">
        <v>45224</v>
      </c>
      <c r="V2337" t="s">
        <v>54545</v>
      </c>
      <c r="W2337" t="s">
        <v>38520</v>
      </c>
      <c r="X2337" t="s">
        <v>41254</v>
      </c>
    </row>
    <row r="2338" spans="1:24">
      <c r="A2338">
        <f>HYPERLINK("https://www.philgeps.gov.ph/GEPSNONPILOT/Tender/SplashBidNoticeAbstractUI.aspx?menuIndex=3&amp;refID=7072919&amp;Result=3","7072919")</f>
        <v>0</v>
      </c>
      <c r="B2338" t="s">
        <v>963</v>
      </c>
      <c r="C2338" t="s">
        <v>5619</v>
      </c>
      <c r="D2338" t="s">
        <v>16626</v>
      </c>
      <c r="E2338" t="s">
        <v>18856</v>
      </c>
      <c r="F2338" t="s">
        <v>28669</v>
      </c>
      <c r="G2338" t="s">
        <v>28675</v>
      </c>
      <c r="H2338" t="s">
        <v>9998</v>
      </c>
      <c r="I2338" t="s">
        <v>28786</v>
      </c>
      <c r="J2338" t="s">
        <v>29133</v>
      </c>
      <c r="K2338" t="s">
        <v>37209</v>
      </c>
      <c r="M2338" t="s">
        <v>38488</v>
      </c>
      <c r="N2338" t="s">
        <v>41249</v>
      </c>
      <c r="O2338" t="s">
        <v>41250</v>
      </c>
      <c r="P2338">
        <v>0</v>
      </c>
      <c r="Q2338">
        <v>1</v>
      </c>
      <c r="R2338" t="s">
        <v>41252</v>
      </c>
      <c r="S2338" t="s">
        <v>41383</v>
      </c>
      <c r="T2338" t="s">
        <v>42858</v>
      </c>
      <c r="U2338" t="s">
        <v>45225</v>
      </c>
      <c r="V2338" t="s">
        <v>54530</v>
      </c>
      <c r="W2338" t="s">
        <v>38488</v>
      </c>
      <c r="X2338" t="s">
        <v>41255</v>
      </c>
    </row>
    <row r="2339" spans="1:24">
      <c r="A2339">
        <f>HYPERLINK("https://www.philgeps.gov.ph/GEPSNONPILOT/Tender/SplashBidNoticeAbstractUI.aspx?menuIndex=3&amp;refID=7073275&amp;Result=3","7073275")</f>
        <v>0</v>
      </c>
      <c r="B2339" t="s">
        <v>992</v>
      </c>
      <c r="C2339" t="s">
        <v>5616</v>
      </c>
      <c r="D2339" t="s">
        <v>16663</v>
      </c>
      <c r="E2339" t="s">
        <v>18857</v>
      </c>
      <c r="F2339" t="s">
        <v>28669</v>
      </c>
      <c r="G2339" t="s">
        <v>28677</v>
      </c>
      <c r="H2339" t="s">
        <v>9998</v>
      </c>
      <c r="I2339" t="s">
        <v>28699</v>
      </c>
      <c r="J2339" t="s">
        <v>29546</v>
      </c>
      <c r="K2339" t="s">
        <v>37205</v>
      </c>
      <c r="M2339" t="s">
        <v>38519</v>
      </c>
      <c r="N2339" t="s">
        <v>41249</v>
      </c>
      <c r="O2339" t="s">
        <v>41250</v>
      </c>
      <c r="P2339">
        <v>0</v>
      </c>
      <c r="Q2339">
        <v>0</v>
      </c>
      <c r="R2339" t="s">
        <v>41252</v>
      </c>
      <c r="S2339" t="s">
        <v>41383</v>
      </c>
      <c r="T2339" t="s">
        <v>42758</v>
      </c>
      <c r="U2339" t="s">
        <v>45226</v>
      </c>
      <c r="W2339" t="s">
        <v>38519</v>
      </c>
      <c r="X2339" t="s">
        <v>41254</v>
      </c>
    </row>
    <row r="2340" spans="1:24">
      <c r="A2340">
        <f>HYPERLINK("https://www.philgeps.gov.ph/GEPSNONPILOT/Tender/SplashBidNoticeAbstractUI.aspx?menuIndex=3&amp;refID=7072839&amp;Result=3","7072839")</f>
        <v>0</v>
      </c>
      <c r="B2340" t="s">
        <v>985</v>
      </c>
      <c r="C2340" t="s">
        <v>5620</v>
      </c>
      <c r="D2340" t="s">
        <v>16624</v>
      </c>
      <c r="E2340" t="s">
        <v>18858</v>
      </c>
      <c r="F2340" t="s">
        <v>28669</v>
      </c>
      <c r="G2340" t="s">
        <v>28675</v>
      </c>
      <c r="H2340" t="s">
        <v>9998</v>
      </c>
      <c r="I2340" t="s">
        <v>28687</v>
      </c>
      <c r="J2340" t="s">
        <v>30433</v>
      </c>
      <c r="K2340" t="s">
        <v>37205</v>
      </c>
      <c r="M2340" t="s">
        <v>38510</v>
      </c>
      <c r="N2340" t="s">
        <v>41249</v>
      </c>
      <c r="O2340" t="s">
        <v>41250</v>
      </c>
      <c r="P2340">
        <v>0</v>
      </c>
      <c r="Q2340">
        <v>0</v>
      </c>
      <c r="R2340" t="s">
        <v>41252</v>
      </c>
      <c r="S2340" t="s">
        <v>41383</v>
      </c>
      <c r="T2340" t="s">
        <v>42842</v>
      </c>
      <c r="U2340" t="s">
        <v>45209</v>
      </c>
      <c r="W2340" t="s">
        <v>38510</v>
      </c>
      <c r="X2340" t="s">
        <v>41255</v>
      </c>
    </row>
    <row r="2341" spans="1:24">
      <c r="A2341">
        <f>HYPERLINK("https://www.philgeps.gov.ph/GEPSNONPILOT/Tender/SplashBidNoticeAbstractUI.aspx?menuIndex=3&amp;refID=7073277&amp;Result=3","7073277")</f>
        <v>0</v>
      </c>
      <c r="B2341" t="s">
        <v>72</v>
      </c>
      <c r="C2341" t="s">
        <v>5621</v>
      </c>
      <c r="D2341" t="s">
        <v>16644</v>
      </c>
      <c r="E2341" t="s">
        <v>18859</v>
      </c>
      <c r="F2341" t="s">
        <v>28669</v>
      </c>
      <c r="G2341" t="s">
        <v>28675</v>
      </c>
      <c r="H2341" t="s">
        <v>28686</v>
      </c>
      <c r="I2341" t="s">
        <v>28689</v>
      </c>
      <c r="J2341" t="s">
        <v>30434</v>
      </c>
      <c r="K2341" t="s">
        <v>37206</v>
      </c>
      <c r="M2341" t="s">
        <v>37547</v>
      </c>
      <c r="N2341" t="s">
        <v>41249</v>
      </c>
      <c r="O2341" t="s">
        <v>41250</v>
      </c>
      <c r="P2341">
        <v>0</v>
      </c>
      <c r="Q2341">
        <v>2</v>
      </c>
      <c r="R2341" t="s">
        <v>41252</v>
      </c>
      <c r="S2341" t="s">
        <v>41383</v>
      </c>
      <c r="T2341" t="s">
        <v>42716</v>
      </c>
      <c r="U2341" t="s">
        <v>45227</v>
      </c>
      <c r="V2341" t="s">
        <v>54546</v>
      </c>
      <c r="W2341" t="s">
        <v>55934</v>
      </c>
      <c r="X2341" t="s">
        <v>41254</v>
      </c>
    </row>
    <row r="2342" spans="1:24">
      <c r="A2342">
        <f>HYPERLINK("https://www.philgeps.gov.ph/GEPSNONPILOT/Tender/SplashBidNoticeAbstractUI.aspx?menuIndex=3&amp;refID=7072836&amp;Result=3","7072836")</f>
        <v>0</v>
      </c>
      <c r="B2342" t="s">
        <v>985</v>
      </c>
      <c r="C2342" t="s">
        <v>5622</v>
      </c>
      <c r="D2342" t="s">
        <v>16624</v>
      </c>
      <c r="E2342" t="s">
        <v>18430</v>
      </c>
      <c r="F2342" t="s">
        <v>28669</v>
      </c>
      <c r="G2342" t="s">
        <v>28675</v>
      </c>
      <c r="H2342" t="s">
        <v>9998</v>
      </c>
      <c r="I2342" t="s">
        <v>28687</v>
      </c>
      <c r="J2342" t="s">
        <v>30025</v>
      </c>
      <c r="K2342" t="s">
        <v>37205</v>
      </c>
      <c r="M2342" t="s">
        <v>38510</v>
      </c>
      <c r="N2342" t="s">
        <v>41249</v>
      </c>
      <c r="O2342" t="s">
        <v>41250</v>
      </c>
      <c r="P2342">
        <v>0</v>
      </c>
      <c r="Q2342">
        <v>4</v>
      </c>
      <c r="R2342" t="s">
        <v>41252</v>
      </c>
      <c r="S2342" t="s">
        <v>41383</v>
      </c>
      <c r="T2342" t="s">
        <v>42842</v>
      </c>
      <c r="U2342" t="s">
        <v>45209</v>
      </c>
      <c r="W2342" t="s">
        <v>38510</v>
      </c>
      <c r="X2342" t="s">
        <v>41255</v>
      </c>
    </row>
    <row r="2343" spans="1:24">
      <c r="A2343">
        <f>HYPERLINK("https://www.philgeps.gov.ph/GEPSNONPILOT/Tender/SplashBidNoticeAbstractUI.aspx?menuIndex=3&amp;refID=7072700&amp;Result=3","7072700")</f>
        <v>0</v>
      </c>
      <c r="B2343" t="s">
        <v>994</v>
      </c>
      <c r="C2343" t="s">
        <v>5623</v>
      </c>
      <c r="D2343" t="s">
        <v>16608</v>
      </c>
      <c r="E2343" t="s">
        <v>16861</v>
      </c>
      <c r="F2343" t="s">
        <v>28669</v>
      </c>
      <c r="G2343" t="s">
        <v>28675</v>
      </c>
      <c r="H2343" t="s">
        <v>9998</v>
      </c>
      <c r="I2343" t="s">
        <v>28733</v>
      </c>
      <c r="J2343" t="s">
        <v>28905</v>
      </c>
      <c r="K2343" t="s">
        <v>37243</v>
      </c>
      <c r="M2343" t="s">
        <v>38521</v>
      </c>
      <c r="N2343" t="s">
        <v>41249</v>
      </c>
      <c r="O2343" t="s">
        <v>41250</v>
      </c>
      <c r="P2343">
        <v>0</v>
      </c>
      <c r="Q2343">
        <v>2</v>
      </c>
      <c r="R2343" t="s">
        <v>41252</v>
      </c>
      <c r="S2343" t="s">
        <v>41383</v>
      </c>
      <c r="T2343" t="s">
        <v>42690</v>
      </c>
      <c r="U2343" t="s">
        <v>45228</v>
      </c>
      <c r="V2343" t="s">
        <v>54547</v>
      </c>
      <c r="W2343" t="s">
        <v>38521</v>
      </c>
      <c r="X2343" t="s">
        <v>41256</v>
      </c>
    </row>
    <row r="2344" spans="1:24">
      <c r="A2344">
        <f>HYPERLINK("https://www.philgeps.gov.ph/GEPSNONPILOT/Tender/SplashBidNoticeAbstractUI.aspx?menuIndex=3&amp;refID=7073271&amp;Result=3","7073271")</f>
        <v>0</v>
      </c>
      <c r="B2344" t="s">
        <v>995</v>
      </c>
      <c r="C2344" t="s">
        <v>5624</v>
      </c>
      <c r="D2344" t="s">
        <v>16654</v>
      </c>
      <c r="E2344" t="s">
        <v>18860</v>
      </c>
      <c r="F2344" t="s">
        <v>28669</v>
      </c>
      <c r="G2344" t="s">
        <v>28676</v>
      </c>
      <c r="H2344" t="s">
        <v>9998</v>
      </c>
      <c r="I2344" t="s">
        <v>5286</v>
      </c>
      <c r="J2344" t="s">
        <v>30435</v>
      </c>
      <c r="K2344" t="s">
        <v>37266</v>
      </c>
      <c r="M2344" t="s">
        <v>38522</v>
      </c>
      <c r="N2344" t="s">
        <v>41249</v>
      </c>
      <c r="O2344" t="s">
        <v>41250</v>
      </c>
      <c r="P2344">
        <v>0</v>
      </c>
      <c r="Q2344">
        <v>0</v>
      </c>
      <c r="R2344" t="s">
        <v>41252</v>
      </c>
      <c r="S2344" t="s">
        <v>41383</v>
      </c>
      <c r="T2344" t="s">
        <v>42694</v>
      </c>
      <c r="U2344" t="s">
        <v>45229</v>
      </c>
      <c r="W2344" t="s">
        <v>38522</v>
      </c>
      <c r="X2344" t="s">
        <v>41254</v>
      </c>
    </row>
    <row r="2345" spans="1:24">
      <c r="A2345">
        <f>HYPERLINK("https://www.philgeps.gov.ph/GEPSNONPILOT/Tender/SplashBidNoticeAbstractUI.aspx?menuIndex=3&amp;refID=7073104&amp;Result=3","7073104")</f>
        <v>0</v>
      </c>
      <c r="B2345" t="s">
        <v>936</v>
      </c>
      <c r="C2345" t="s">
        <v>5625</v>
      </c>
      <c r="D2345" t="s">
        <v>16640</v>
      </c>
      <c r="E2345" t="s">
        <v>18861</v>
      </c>
      <c r="F2345" t="s">
        <v>28669</v>
      </c>
      <c r="G2345" t="s">
        <v>28678</v>
      </c>
      <c r="H2345" t="s">
        <v>9998</v>
      </c>
      <c r="I2345" t="s">
        <v>6458</v>
      </c>
      <c r="J2345" t="s">
        <v>30436</v>
      </c>
      <c r="K2345" t="s">
        <v>37229</v>
      </c>
      <c r="M2345" t="s">
        <v>38459</v>
      </c>
      <c r="N2345" t="s">
        <v>41249</v>
      </c>
      <c r="O2345" t="s">
        <v>41250</v>
      </c>
      <c r="P2345">
        <v>0</v>
      </c>
      <c r="Q2345">
        <v>4</v>
      </c>
      <c r="R2345" t="s">
        <v>41252</v>
      </c>
      <c r="S2345" t="s">
        <v>41383</v>
      </c>
      <c r="T2345" t="s">
        <v>42736</v>
      </c>
      <c r="U2345" t="s">
        <v>45230</v>
      </c>
      <c r="W2345" t="s">
        <v>38459</v>
      </c>
      <c r="X2345" t="s">
        <v>41255</v>
      </c>
    </row>
    <row r="2346" spans="1:24">
      <c r="A2346">
        <f>HYPERLINK("https://www.philgeps.gov.ph/GEPSNONPILOT/Tender/SplashBidNoticeAbstractUI.aspx?menuIndex=3&amp;refID=7073314&amp;Result=3","7073314")</f>
        <v>0</v>
      </c>
      <c r="B2346" t="s">
        <v>136</v>
      </c>
      <c r="C2346" t="s">
        <v>5626</v>
      </c>
      <c r="D2346" t="s">
        <v>16642</v>
      </c>
      <c r="E2346" t="s">
        <v>18862</v>
      </c>
      <c r="F2346" t="s">
        <v>28669</v>
      </c>
      <c r="G2346" t="s">
        <v>28676</v>
      </c>
      <c r="H2346" t="s">
        <v>9998</v>
      </c>
      <c r="I2346" t="s">
        <v>3718</v>
      </c>
      <c r="J2346" t="s">
        <v>28879</v>
      </c>
      <c r="K2346" t="s">
        <v>37206</v>
      </c>
      <c r="M2346" t="s">
        <v>38523</v>
      </c>
      <c r="N2346" t="s">
        <v>41249</v>
      </c>
      <c r="O2346" t="s">
        <v>41250</v>
      </c>
      <c r="P2346">
        <v>0</v>
      </c>
      <c r="Q2346">
        <v>7</v>
      </c>
      <c r="R2346" t="s">
        <v>41252</v>
      </c>
      <c r="S2346" t="s">
        <v>41383</v>
      </c>
      <c r="T2346" t="s">
        <v>42766</v>
      </c>
      <c r="U2346" t="s">
        <v>45231</v>
      </c>
      <c r="W2346" t="s">
        <v>55940</v>
      </c>
      <c r="X2346" t="s">
        <v>41254</v>
      </c>
    </row>
    <row r="2347" spans="1:24">
      <c r="A2347">
        <f>HYPERLINK("https://www.philgeps.gov.ph/GEPSNONPILOT/Tender/SplashBidNoticeAbstractUI.aspx?menuIndex=3&amp;refID=7073311&amp;Result=3","7073311")</f>
        <v>0</v>
      </c>
      <c r="B2347" t="s">
        <v>996</v>
      </c>
      <c r="C2347" t="s">
        <v>5627</v>
      </c>
      <c r="E2347" t="s">
        <v>18863</v>
      </c>
      <c r="F2347" t="s">
        <v>28669</v>
      </c>
      <c r="G2347" t="s">
        <v>28676</v>
      </c>
      <c r="H2347" t="s">
        <v>9998</v>
      </c>
      <c r="I2347" t="s">
        <v>28760</v>
      </c>
      <c r="J2347" t="s">
        <v>30437</v>
      </c>
      <c r="K2347" t="s">
        <v>37209</v>
      </c>
      <c r="M2347" t="s">
        <v>38524</v>
      </c>
      <c r="N2347" t="s">
        <v>41249</v>
      </c>
      <c r="O2347" t="s">
        <v>41250</v>
      </c>
      <c r="P2347">
        <v>0</v>
      </c>
      <c r="Q2347">
        <v>0</v>
      </c>
      <c r="R2347" t="s">
        <v>41252</v>
      </c>
      <c r="S2347" t="s">
        <v>41383</v>
      </c>
      <c r="T2347" t="s">
        <v>42729</v>
      </c>
      <c r="U2347" t="s">
        <v>45232</v>
      </c>
      <c r="W2347" t="s">
        <v>38524</v>
      </c>
      <c r="X2347" t="s">
        <v>41254</v>
      </c>
    </row>
    <row r="2348" spans="1:24">
      <c r="A2348">
        <f>HYPERLINK("https://www.philgeps.gov.ph/GEPSNONPILOT/Tender/SplashBidNoticeAbstractUI.aspx?menuIndex=3&amp;refID=7073310&amp;Result=3","7073310")</f>
        <v>0</v>
      </c>
      <c r="B2348" t="s">
        <v>991</v>
      </c>
      <c r="C2348" t="s">
        <v>5628</v>
      </c>
      <c r="D2348" t="s">
        <v>16639</v>
      </c>
      <c r="E2348" t="s">
        <v>18864</v>
      </c>
      <c r="F2348" t="s">
        <v>28669</v>
      </c>
      <c r="G2348" t="s">
        <v>28676</v>
      </c>
      <c r="H2348" t="s">
        <v>28684</v>
      </c>
      <c r="I2348" t="s">
        <v>28704</v>
      </c>
      <c r="J2348" t="s">
        <v>30438</v>
      </c>
      <c r="K2348" t="s">
        <v>37213</v>
      </c>
      <c r="M2348" t="s">
        <v>38518</v>
      </c>
      <c r="N2348" t="s">
        <v>41249</v>
      </c>
      <c r="O2348" t="s">
        <v>41250</v>
      </c>
      <c r="P2348">
        <v>0</v>
      </c>
      <c r="Q2348">
        <v>0</v>
      </c>
      <c r="R2348" t="s">
        <v>41252</v>
      </c>
      <c r="S2348" t="s">
        <v>41383</v>
      </c>
      <c r="T2348" t="s">
        <v>42701</v>
      </c>
      <c r="U2348" t="s">
        <v>45221</v>
      </c>
      <c r="V2348" t="s">
        <v>54543</v>
      </c>
      <c r="W2348" t="s">
        <v>38518</v>
      </c>
      <c r="X2348" t="s">
        <v>41254</v>
      </c>
    </row>
    <row r="2349" spans="1:24">
      <c r="A2349">
        <f>HYPERLINK("https://www.philgeps.gov.ph/GEPSNONPILOT/Tender/SplashBidNoticeAbstractUI.aspx?menuIndex=3&amp;refID=7073308&amp;Result=3","7073308")</f>
        <v>0</v>
      </c>
      <c r="B2349" t="s">
        <v>997</v>
      </c>
      <c r="C2349" t="s">
        <v>5629</v>
      </c>
      <c r="D2349" t="s">
        <v>16642</v>
      </c>
      <c r="E2349" t="s">
        <v>18865</v>
      </c>
      <c r="F2349" t="s">
        <v>28669</v>
      </c>
      <c r="G2349" t="s">
        <v>28676</v>
      </c>
      <c r="H2349" t="s">
        <v>9998</v>
      </c>
      <c r="I2349" t="s">
        <v>28728</v>
      </c>
      <c r="J2349" t="s">
        <v>30439</v>
      </c>
      <c r="K2349" t="s">
        <v>37206</v>
      </c>
      <c r="M2349" t="s">
        <v>38525</v>
      </c>
      <c r="N2349" t="s">
        <v>41249</v>
      </c>
      <c r="O2349" t="s">
        <v>41250</v>
      </c>
      <c r="P2349">
        <v>0</v>
      </c>
      <c r="Q2349">
        <v>1</v>
      </c>
      <c r="R2349" t="s">
        <v>41252</v>
      </c>
      <c r="S2349" t="s">
        <v>41383</v>
      </c>
      <c r="T2349" t="s">
        <v>42717</v>
      </c>
      <c r="U2349" t="s">
        <v>45233</v>
      </c>
      <c r="W2349" t="s">
        <v>55941</v>
      </c>
      <c r="X2349" t="s">
        <v>41254</v>
      </c>
    </row>
    <row r="2350" spans="1:24">
      <c r="A2350">
        <f>HYPERLINK("https://www.philgeps.gov.ph/GEPSNONPILOT/Tender/SplashBidNoticeAbstractUI.aspx?menuIndex=3&amp;refID=7073307&amp;Result=3","7073307")</f>
        <v>0</v>
      </c>
      <c r="B2350" t="s">
        <v>998</v>
      </c>
      <c r="C2350" t="s">
        <v>5630</v>
      </c>
      <c r="D2350" t="s">
        <v>16620</v>
      </c>
      <c r="E2350" t="s">
        <v>18866</v>
      </c>
      <c r="F2350" t="s">
        <v>28669</v>
      </c>
      <c r="G2350" t="s">
        <v>28676</v>
      </c>
      <c r="H2350" t="s">
        <v>9998</v>
      </c>
      <c r="I2350" t="s">
        <v>7352</v>
      </c>
      <c r="J2350" t="s">
        <v>30440</v>
      </c>
      <c r="K2350" t="s">
        <v>37206</v>
      </c>
      <c r="L2350" t="s">
        <v>998</v>
      </c>
      <c r="M2350" t="s">
        <v>38526</v>
      </c>
      <c r="N2350" t="s">
        <v>41249</v>
      </c>
      <c r="O2350" t="s">
        <v>41250</v>
      </c>
      <c r="P2350">
        <v>0</v>
      </c>
      <c r="Q2350">
        <v>0</v>
      </c>
      <c r="R2350" t="s">
        <v>41252</v>
      </c>
      <c r="S2350" t="s">
        <v>41383</v>
      </c>
      <c r="T2350" t="s">
        <v>42703</v>
      </c>
      <c r="U2350" t="s">
        <v>45234</v>
      </c>
      <c r="V2350" t="s">
        <v>54548</v>
      </c>
      <c r="W2350" t="s">
        <v>38526</v>
      </c>
      <c r="X2350" t="s">
        <v>41254</v>
      </c>
    </row>
    <row r="2351" spans="1:24">
      <c r="A2351">
        <f>HYPERLINK("https://www.philgeps.gov.ph/GEPSNONPILOT/Tender/SplashBidNoticeAbstractUI.aspx?menuIndex=3&amp;refID=7073309&amp;Result=3","7073309")</f>
        <v>0</v>
      </c>
      <c r="B2351" t="s">
        <v>987</v>
      </c>
      <c r="C2351" t="s">
        <v>5631</v>
      </c>
      <c r="D2351" t="s">
        <v>16616</v>
      </c>
      <c r="E2351" t="s">
        <v>16929</v>
      </c>
      <c r="F2351" t="s">
        <v>28669</v>
      </c>
      <c r="G2351" t="s">
        <v>28675</v>
      </c>
      <c r="H2351" t="s">
        <v>9998</v>
      </c>
      <c r="I2351" t="s">
        <v>7352</v>
      </c>
      <c r="J2351" t="s">
        <v>30441</v>
      </c>
      <c r="K2351" t="s">
        <v>37205</v>
      </c>
      <c r="M2351" t="s">
        <v>38512</v>
      </c>
      <c r="N2351" t="s">
        <v>41249</v>
      </c>
      <c r="O2351" t="s">
        <v>41250</v>
      </c>
      <c r="P2351">
        <v>0</v>
      </c>
      <c r="Q2351">
        <v>0</v>
      </c>
      <c r="R2351" t="s">
        <v>41252</v>
      </c>
      <c r="S2351" t="s">
        <v>41383</v>
      </c>
      <c r="T2351" t="s">
        <v>42715</v>
      </c>
      <c r="U2351" t="s">
        <v>45235</v>
      </c>
      <c r="W2351" t="s">
        <v>38512</v>
      </c>
      <c r="X2351" t="s">
        <v>41254</v>
      </c>
    </row>
    <row r="2352" spans="1:24">
      <c r="A2352">
        <f>HYPERLINK("https://www.philgeps.gov.ph/GEPSNONPILOT/Tender/SplashBidNoticeAbstractUI.aspx?menuIndex=3&amp;refID=7072515&amp;Result=3","7072515")</f>
        <v>0</v>
      </c>
      <c r="B2352" t="s">
        <v>999</v>
      </c>
      <c r="C2352" t="s">
        <v>5632</v>
      </c>
      <c r="D2352" t="s">
        <v>16649</v>
      </c>
      <c r="E2352" t="s">
        <v>18867</v>
      </c>
      <c r="F2352" t="s">
        <v>28669</v>
      </c>
      <c r="G2352" t="s">
        <v>28675</v>
      </c>
      <c r="H2352" t="s">
        <v>9998</v>
      </c>
      <c r="I2352" t="s">
        <v>28787</v>
      </c>
      <c r="J2352" t="s">
        <v>28836</v>
      </c>
      <c r="K2352" t="s">
        <v>37206</v>
      </c>
      <c r="M2352" t="s">
        <v>38527</v>
      </c>
      <c r="N2352" t="s">
        <v>41249</v>
      </c>
      <c r="O2352" t="s">
        <v>41250</v>
      </c>
      <c r="P2352">
        <v>0</v>
      </c>
      <c r="Q2352">
        <v>6</v>
      </c>
      <c r="R2352" t="s">
        <v>41252</v>
      </c>
      <c r="S2352" t="s">
        <v>41383</v>
      </c>
      <c r="T2352" t="s">
        <v>42692</v>
      </c>
      <c r="U2352" t="s">
        <v>45236</v>
      </c>
      <c r="W2352" t="s">
        <v>38527</v>
      </c>
      <c r="X2352" t="s">
        <v>41256</v>
      </c>
    </row>
    <row r="2353" spans="1:24">
      <c r="A2353">
        <f>HYPERLINK("https://www.philgeps.gov.ph/GEPSNONPILOT/Tender/SplashBidNoticeAbstractUI.aspx?menuIndex=3&amp;refID=7073305&amp;Result=3","7073305")</f>
        <v>0</v>
      </c>
      <c r="B2353" t="s">
        <v>766</v>
      </c>
      <c r="C2353" t="s">
        <v>5633</v>
      </c>
      <c r="E2353" t="s">
        <v>18868</v>
      </c>
      <c r="F2353" t="s">
        <v>28669</v>
      </c>
      <c r="G2353" t="s">
        <v>28676</v>
      </c>
      <c r="H2353" t="s">
        <v>9998</v>
      </c>
      <c r="I2353" t="s">
        <v>28704</v>
      </c>
      <c r="J2353" t="s">
        <v>30442</v>
      </c>
      <c r="K2353" t="s">
        <v>37209</v>
      </c>
      <c r="M2353" t="s">
        <v>38277</v>
      </c>
      <c r="N2353" t="s">
        <v>41249</v>
      </c>
      <c r="O2353" t="s">
        <v>41250</v>
      </c>
      <c r="P2353">
        <v>0</v>
      </c>
      <c r="Q2353">
        <v>1</v>
      </c>
      <c r="R2353" t="s">
        <v>41252</v>
      </c>
      <c r="S2353" t="s">
        <v>41383</v>
      </c>
      <c r="T2353" t="s">
        <v>42729</v>
      </c>
      <c r="U2353" t="s">
        <v>45237</v>
      </c>
      <c r="W2353" t="s">
        <v>38277</v>
      </c>
      <c r="X2353" t="s">
        <v>41254</v>
      </c>
    </row>
    <row r="2354" spans="1:24">
      <c r="A2354">
        <f>HYPERLINK("https://www.philgeps.gov.ph/GEPSNONPILOT/Tender/SplashBidNoticeAbstractUI.aspx?menuIndex=3&amp;refID=7073303&amp;Result=3","7073303")</f>
        <v>0</v>
      </c>
      <c r="B2354" t="s">
        <v>986</v>
      </c>
      <c r="C2354" t="s">
        <v>5634</v>
      </c>
      <c r="D2354" t="s">
        <v>16620</v>
      </c>
      <c r="E2354" t="s">
        <v>18869</v>
      </c>
      <c r="F2354" t="s">
        <v>28669</v>
      </c>
      <c r="G2354" t="s">
        <v>28675</v>
      </c>
      <c r="H2354" t="s">
        <v>9998</v>
      </c>
      <c r="I2354" t="s">
        <v>7352</v>
      </c>
      <c r="J2354" t="s">
        <v>30443</v>
      </c>
      <c r="K2354" t="s">
        <v>37206</v>
      </c>
      <c r="M2354" t="s">
        <v>38511</v>
      </c>
      <c r="N2354" t="s">
        <v>41249</v>
      </c>
      <c r="O2354" t="s">
        <v>41250</v>
      </c>
      <c r="P2354">
        <v>0</v>
      </c>
      <c r="Q2354">
        <v>0</v>
      </c>
      <c r="R2354" t="s">
        <v>41252</v>
      </c>
      <c r="S2354" t="s">
        <v>41383</v>
      </c>
      <c r="T2354" t="s">
        <v>42703</v>
      </c>
      <c r="U2354" t="s">
        <v>45210</v>
      </c>
      <c r="V2354" t="s">
        <v>54542</v>
      </c>
      <c r="W2354" t="s">
        <v>38511</v>
      </c>
      <c r="X2354" t="s">
        <v>41254</v>
      </c>
    </row>
    <row r="2355" spans="1:24">
      <c r="A2355">
        <f>HYPERLINK("https://www.philgeps.gov.ph/GEPSNONPILOT/Tender/SplashBidNoticeAbstractUI.aspx?menuIndex=3&amp;refID=7072455&amp;Result=3","7072455")</f>
        <v>0</v>
      </c>
      <c r="B2355" t="s">
        <v>957</v>
      </c>
      <c r="C2355" t="s">
        <v>5635</v>
      </c>
      <c r="D2355" t="s">
        <v>16652</v>
      </c>
      <c r="E2355" t="s">
        <v>18870</v>
      </c>
      <c r="F2355" t="s">
        <v>28669</v>
      </c>
      <c r="G2355" t="s">
        <v>28675</v>
      </c>
      <c r="H2355" t="s">
        <v>9998</v>
      </c>
      <c r="I2355" t="s">
        <v>28688</v>
      </c>
      <c r="J2355" t="s">
        <v>30444</v>
      </c>
      <c r="K2355" t="s">
        <v>37205</v>
      </c>
      <c r="M2355" t="s">
        <v>38481</v>
      </c>
      <c r="N2355" t="s">
        <v>41249</v>
      </c>
      <c r="O2355" t="s">
        <v>41250</v>
      </c>
      <c r="P2355">
        <v>0</v>
      </c>
      <c r="Q2355">
        <v>3</v>
      </c>
      <c r="R2355" t="s">
        <v>41252</v>
      </c>
      <c r="S2355" t="s">
        <v>41383</v>
      </c>
      <c r="T2355" t="s">
        <v>42716</v>
      </c>
      <c r="U2355" t="s">
        <v>45238</v>
      </c>
      <c r="W2355" t="s">
        <v>38481</v>
      </c>
      <c r="X2355" t="s">
        <v>41256</v>
      </c>
    </row>
    <row r="2356" spans="1:24">
      <c r="A2356">
        <f>HYPERLINK("https://www.philgeps.gov.ph/GEPSNONPILOT/Tender/SplashBidNoticeAbstractUI.aspx?menuIndex=3&amp;refID=7073301&amp;Result=3","7073301")</f>
        <v>0</v>
      </c>
      <c r="B2356" t="s">
        <v>986</v>
      </c>
      <c r="C2356" t="s">
        <v>5636</v>
      </c>
      <c r="D2356" t="s">
        <v>16620</v>
      </c>
      <c r="E2356" t="s">
        <v>18871</v>
      </c>
      <c r="F2356" t="s">
        <v>28669</v>
      </c>
      <c r="G2356" t="s">
        <v>28675</v>
      </c>
      <c r="H2356" t="s">
        <v>9998</v>
      </c>
      <c r="I2356" t="s">
        <v>11142</v>
      </c>
      <c r="J2356" t="s">
        <v>30445</v>
      </c>
      <c r="K2356" t="s">
        <v>37206</v>
      </c>
      <c r="M2356" t="s">
        <v>38511</v>
      </c>
      <c r="N2356" t="s">
        <v>41249</v>
      </c>
      <c r="O2356" t="s">
        <v>41250</v>
      </c>
      <c r="P2356">
        <v>0</v>
      </c>
      <c r="Q2356">
        <v>0</v>
      </c>
      <c r="R2356" t="s">
        <v>41252</v>
      </c>
      <c r="S2356" t="s">
        <v>41383</v>
      </c>
      <c r="T2356" t="s">
        <v>42703</v>
      </c>
      <c r="U2356" t="s">
        <v>45210</v>
      </c>
      <c r="V2356" t="s">
        <v>54542</v>
      </c>
      <c r="W2356" t="s">
        <v>38511</v>
      </c>
      <c r="X2356" t="s">
        <v>41254</v>
      </c>
    </row>
    <row r="2357" spans="1:24">
      <c r="A2357">
        <f>HYPERLINK("https://www.philgeps.gov.ph/GEPSNONPILOT/Tender/SplashBidNoticeAbstractUI.aspx?menuIndex=3&amp;refID=7073299&amp;Result=3","7073299")</f>
        <v>0</v>
      </c>
      <c r="B2357" t="s">
        <v>1000</v>
      </c>
      <c r="C2357" t="s">
        <v>3747</v>
      </c>
      <c r="E2357" t="s">
        <v>18872</v>
      </c>
      <c r="F2357" t="s">
        <v>28669</v>
      </c>
      <c r="G2357" t="s">
        <v>28677</v>
      </c>
      <c r="H2357" t="s">
        <v>9998</v>
      </c>
      <c r="I2357" t="s">
        <v>6128</v>
      </c>
      <c r="J2357" t="s">
        <v>30446</v>
      </c>
      <c r="K2357" t="s">
        <v>37209</v>
      </c>
      <c r="M2357" t="s">
        <v>38528</v>
      </c>
      <c r="N2357" t="s">
        <v>41249</v>
      </c>
      <c r="O2357" t="s">
        <v>41250</v>
      </c>
      <c r="P2357">
        <v>0</v>
      </c>
      <c r="Q2357">
        <v>1</v>
      </c>
      <c r="R2357" t="s">
        <v>41252</v>
      </c>
      <c r="S2357" t="s">
        <v>41383</v>
      </c>
      <c r="T2357" t="s">
        <v>42758</v>
      </c>
      <c r="U2357" t="s">
        <v>45239</v>
      </c>
      <c r="W2357" t="s">
        <v>38528</v>
      </c>
      <c r="X2357" t="s">
        <v>41254</v>
      </c>
    </row>
    <row r="2358" spans="1:24">
      <c r="A2358">
        <f>HYPERLINK("https://www.philgeps.gov.ph/GEPSNONPILOT/Tender/SplashBidNoticeAbstractUI.aspx?menuIndex=3&amp;refID=7073272&amp;Result=3","7073272")</f>
        <v>0</v>
      </c>
      <c r="B2358" t="s">
        <v>186</v>
      </c>
      <c r="C2358" t="s">
        <v>5637</v>
      </c>
      <c r="D2358" t="s">
        <v>16654</v>
      </c>
      <c r="E2358" t="s">
        <v>18873</v>
      </c>
      <c r="F2358" t="s">
        <v>28669</v>
      </c>
      <c r="G2358" t="s">
        <v>28676</v>
      </c>
      <c r="H2358" t="s">
        <v>28686</v>
      </c>
      <c r="I2358" t="s">
        <v>28689</v>
      </c>
      <c r="J2358" t="s">
        <v>28894</v>
      </c>
      <c r="K2358" t="s">
        <v>37262</v>
      </c>
      <c r="M2358" t="s">
        <v>37664</v>
      </c>
      <c r="N2358" t="s">
        <v>41249</v>
      </c>
      <c r="O2358" t="s">
        <v>41250</v>
      </c>
      <c r="P2358">
        <v>0</v>
      </c>
      <c r="Q2358">
        <v>0</v>
      </c>
      <c r="R2358" t="s">
        <v>41252</v>
      </c>
      <c r="S2358" t="s">
        <v>41383</v>
      </c>
      <c r="T2358" t="s">
        <v>42701</v>
      </c>
      <c r="U2358" t="s">
        <v>45240</v>
      </c>
      <c r="W2358" t="s">
        <v>37664</v>
      </c>
      <c r="X2358" t="s">
        <v>41254</v>
      </c>
    </row>
    <row r="2359" spans="1:24">
      <c r="A2359">
        <f>HYPERLINK("https://www.philgeps.gov.ph/GEPSNONPILOT/Tender/SplashBidNoticeAbstractUI.aspx?menuIndex=3&amp;refID=7072837&amp;Result=3","7072837")</f>
        <v>0</v>
      </c>
      <c r="B2359" t="s">
        <v>985</v>
      </c>
      <c r="C2359" t="s">
        <v>5638</v>
      </c>
      <c r="D2359" t="s">
        <v>16624</v>
      </c>
      <c r="E2359" t="s">
        <v>18428</v>
      </c>
      <c r="F2359" t="s">
        <v>28669</v>
      </c>
      <c r="G2359" t="s">
        <v>28675</v>
      </c>
      <c r="H2359" t="s">
        <v>9998</v>
      </c>
      <c r="I2359" t="s">
        <v>28687</v>
      </c>
      <c r="J2359" t="s">
        <v>29088</v>
      </c>
      <c r="K2359" t="s">
        <v>37205</v>
      </c>
      <c r="M2359" t="s">
        <v>38510</v>
      </c>
      <c r="N2359" t="s">
        <v>41249</v>
      </c>
      <c r="O2359" t="s">
        <v>41250</v>
      </c>
      <c r="P2359">
        <v>0</v>
      </c>
      <c r="Q2359">
        <v>1</v>
      </c>
      <c r="R2359" t="s">
        <v>41252</v>
      </c>
      <c r="S2359" t="s">
        <v>41383</v>
      </c>
      <c r="T2359" t="s">
        <v>42842</v>
      </c>
      <c r="U2359" t="s">
        <v>45209</v>
      </c>
      <c r="W2359" t="s">
        <v>38510</v>
      </c>
      <c r="X2359" t="s">
        <v>41255</v>
      </c>
    </row>
    <row r="2360" spans="1:24">
      <c r="A2360">
        <f>HYPERLINK("https://www.philgeps.gov.ph/GEPSNONPILOT/Tender/SplashBidNoticeAbstractUI.aspx?menuIndex=3&amp;refID=7073297&amp;Result=3","7073297")</f>
        <v>0</v>
      </c>
      <c r="B2360" t="s">
        <v>987</v>
      </c>
      <c r="C2360" t="s">
        <v>5639</v>
      </c>
      <c r="D2360" t="s">
        <v>16616</v>
      </c>
      <c r="E2360" t="s">
        <v>18874</v>
      </c>
      <c r="F2360" t="s">
        <v>28669</v>
      </c>
      <c r="G2360" t="s">
        <v>28675</v>
      </c>
      <c r="H2360" t="s">
        <v>9998</v>
      </c>
      <c r="I2360" t="s">
        <v>28699</v>
      </c>
      <c r="J2360" t="s">
        <v>28834</v>
      </c>
      <c r="K2360" t="s">
        <v>37210</v>
      </c>
      <c r="M2360" t="s">
        <v>38512</v>
      </c>
      <c r="N2360" t="s">
        <v>41249</v>
      </c>
      <c r="O2360" t="s">
        <v>41250</v>
      </c>
      <c r="P2360">
        <v>0</v>
      </c>
      <c r="Q2360">
        <v>1</v>
      </c>
      <c r="R2360" t="s">
        <v>41252</v>
      </c>
      <c r="S2360" t="s">
        <v>41383</v>
      </c>
      <c r="T2360" t="s">
        <v>42715</v>
      </c>
      <c r="U2360" t="s">
        <v>45241</v>
      </c>
      <c r="W2360" t="s">
        <v>38512</v>
      </c>
      <c r="X2360" t="s">
        <v>41254</v>
      </c>
    </row>
    <row r="2361" spans="1:24">
      <c r="A2361">
        <f>HYPERLINK("https://www.philgeps.gov.ph/GEPSNONPILOT/Tender/SplashBidNoticeAbstractUI.aspx?menuIndex=3&amp;refID=7073304&amp;Result=3","7073304")</f>
        <v>0</v>
      </c>
      <c r="B2361" t="s">
        <v>1001</v>
      </c>
      <c r="C2361" t="s">
        <v>5640</v>
      </c>
      <c r="D2361" t="s">
        <v>16677</v>
      </c>
      <c r="E2361" t="s">
        <v>18875</v>
      </c>
      <c r="F2361" t="s">
        <v>28669</v>
      </c>
      <c r="G2361" t="s">
        <v>28675</v>
      </c>
      <c r="H2361" t="s">
        <v>28686</v>
      </c>
      <c r="I2361" t="s">
        <v>28689</v>
      </c>
      <c r="J2361" t="s">
        <v>30447</v>
      </c>
      <c r="K2361" t="s">
        <v>37290</v>
      </c>
      <c r="M2361" t="s">
        <v>38529</v>
      </c>
      <c r="N2361" t="s">
        <v>41249</v>
      </c>
      <c r="O2361" t="s">
        <v>41250</v>
      </c>
      <c r="P2361">
        <v>0</v>
      </c>
      <c r="Q2361">
        <v>6</v>
      </c>
      <c r="R2361" t="s">
        <v>41252</v>
      </c>
      <c r="S2361" t="s">
        <v>41383</v>
      </c>
      <c r="T2361" t="s">
        <v>42760</v>
      </c>
      <c r="U2361" t="s">
        <v>45242</v>
      </c>
      <c r="W2361" t="s">
        <v>38529</v>
      </c>
      <c r="X2361" t="s">
        <v>41254</v>
      </c>
    </row>
    <row r="2362" spans="1:24">
      <c r="A2362">
        <f>HYPERLINK("https://www.philgeps.gov.ph/GEPSNONPILOT/Tender/SplashBidNoticeAbstractUI.aspx?menuIndex=3&amp;refID=7073295&amp;Result=3","7073295")</f>
        <v>0</v>
      </c>
      <c r="B2362" t="s">
        <v>986</v>
      </c>
      <c r="C2362" t="s">
        <v>5641</v>
      </c>
      <c r="D2362" t="s">
        <v>16620</v>
      </c>
      <c r="E2362" t="s">
        <v>18876</v>
      </c>
      <c r="F2362" t="s">
        <v>28669</v>
      </c>
      <c r="G2362" t="s">
        <v>28675</v>
      </c>
      <c r="H2362" t="s">
        <v>9998</v>
      </c>
      <c r="I2362" t="s">
        <v>11142</v>
      </c>
      <c r="J2362" t="s">
        <v>29114</v>
      </c>
      <c r="K2362" t="s">
        <v>37206</v>
      </c>
      <c r="M2362" t="s">
        <v>38511</v>
      </c>
      <c r="N2362" t="s">
        <v>41249</v>
      </c>
      <c r="O2362" t="s">
        <v>41250</v>
      </c>
      <c r="P2362">
        <v>0</v>
      </c>
      <c r="Q2362">
        <v>0</v>
      </c>
      <c r="R2362" t="s">
        <v>41252</v>
      </c>
      <c r="S2362" t="s">
        <v>41383</v>
      </c>
      <c r="T2362" t="s">
        <v>42703</v>
      </c>
      <c r="U2362" t="s">
        <v>45210</v>
      </c>
      <c r="V2362" t="s">
        <v>54542</v>
      </c>
      <c r="W2362" t="s">
        <v>38511</v>
      </c>
      <c r="X2362" t="s">
        <v>41254</v>
      </c>
    </row>
    <row r="2363" spans="1:24">
      <c r="A2363">
        <f>HYPERLINK("https://www.philgeps.gov.ph/GEPSNONPILOT/Tender/SplashBidNoticeAbstractUI.aspx?menuIndex=3&amp;refID=7073293&amp;Result=3","7073293")</f>
        <v>0</v>
      </c>
      <c r="B2363" t="s">
        <v>1002</v>
      </c>
      <c r="C2363" t="s">
        <v>5642</v>
      </c>
      <c r="D2363" t="s">
        <v>16640</v>
      </c>
      <c r="E2363" t="s">
        <v>18877</v>
      </c>
      <c r="F2363" t="s">
        <v>28669</v>
      </c>
      <c r="G2363" t="s">
        <v>28676</v>
      </c>
      <c r="H2363" t="s">
        <v>9998</v>
      </c>
      <c r="I2363" t="s">
        <v>6128</v>
      </c>
      <c r="J2363" t="s">
        <v>28942</v>
      </c>
      <c r="K2363" t="s">
        <v>37208</v>
      </c>
      <c r="M2363" t="s">
        <v>38530</v>
      </c>
      <c r="N2363" t="s">
        <v>41249</v>
      </c>
      <c r="O2363" t="s">
        <v>41250</v>
      </c>
      <c r="P2363">
        <v>0</v>
      </c>
      <c r="Q2363">
        <v>2</v>
      </c>
      <c r="R2363" t="s">
        <v>41252</v>
      </c>
      <c r="S2363" t="s">
        <v>41383</v>
      </c>
      <c r="T2363" t="s">
        <v>42827</v>
      </c>
      <c r="U2363" t="s">
        <v>45243</v>
      </c>
      <c r="W2363" t="s">
        <v>38530</v>
      </c>
      <c r="X2363" t="s">
        <v>41254</v>
      </c>
    </row>
    <row r="2364" spans="1:24">
      <c r="A2364">
        <f>HYPERLINK("https://www.philgeps.gov.ph/GEPSNONPILOT/Tender/SplashBidNoticeAbstractUI.aspx?menuIndex=3&amp;refID=7072436&amp;Result=3","7072436")</f>
        <v>0</v>
      </c>
      <c r="B2364" t="s">
        <v>957</v>
      </c>
      <c r="C2364" t="s">
        <v>5643</v>
      </c>
      <c r="D2364" t="s">
        <v>16652</v>
      </c>
      <c r="E2364" t="s">
        <v>18878</v>
      </c>
      <c r="F2364" t="s">
        <v>28669</v>
      </c>
      <c r="G2364" t="s">
        <v>28675</v>
      </c>
      <c r="H2364" t="s">
        <v>28686</v>
      </c>
      <c r="I2364" t="s">
        <v>28689</v>
      </c>
      <c r="J2364" t="s">
        <v>30448</v>
      </c>
      <c r="K2364" t="s">
        <v>37209</v>
      </c>
      <c r="M2364" t="s">
        <v>38481</v>
      </c>
      <c r="N2364" t="s">
        <v>41249</v>
      </c>
      <c r="O2364" t="s">
        <v>41250</v>
      </c>
      <c r="P2364">
        <v>0</v>
      </c>
      <c r="Q2364">
        <v>0</v>
      </c>
      <c r="R2364" t="s">
        <v>41252</v>
      </c>
      <c r="S2364" t="s">
        <v>41383</v>
      </c>
      <c r="T2364" t="s">
        <v>42842</v>
      </c>
      <c r="U2364" t="s">
        <v>45244</v>
      </c>
      <c r="W2364" t="s">
        <v>38481</v>
      </c>
      <c r="X2364" t="s">
        <v>41256</v>
      </c>
    </row>
    <row r="2365" spans="1:24">
      <c r="A2365">
        <f>HYPERLINK("https://www.philgeps.gov.ph/GEPSNONPILOT/Tender/SplashBidNoticeAbstractUI.aspx?menuIndex=3&amp;refID=7072418&amp;Result=3","7072418")</f>
        <v>0</v>
      </c>
      <c r="B2365" t="s">
        <v>957</v>
      </c>
      <c r="C2365" t="s">
        <v>5644</v>
      </c>
      <c r="D2365" t="s">
        <v>16652</v>
      </c>
      <c r="E2365" t="s">
        <v>18879</v>
      </c>
      <c r="F2365" t="s">
        <v>28669</v>
      </c>
      <c r="G2365" t="s">
        <v>28675</v>
      </c>
      <c r="H2365" t="s">
        <v>9998</v>
      </c>
      <c r="I2365" t="s">
        <v>28709</v>
      </c>
      <c r="J2365" t="s">
        <v>30449</v>
      </c>
      <c r="K2365" t="s">
        <v>37205</v>
      </c>
      <c r="M2365" t="s">
        <v>38481</v>
      </c>
      <c r="N2365" t="s">
        <v>41249</v>
      </c>
      <c r="O2365" t="s">
        <v>41250</v>
      </c>
      <c r="P2365">
        <v>0</v>
      </c>
      <c r="Q2365">
        <v>0</v>
      </c>
      <c r="R2365" t="s">
        <v>41252</v>
      </c>
      <c r="S2365" t="s">
        <v>41383</v>
      </c>
      <c r="T2365" t="s">
        <v>42716</v>
      </c>
      <c r="U2365" t="s">
        <v>45245</v>
      </c>
      <c r="W2365" t="s">
        <v>38481</v>
      </c>
      <c r="X2365" t="s">
        <v>41256</v>
      </c>
    </row>
    <row r="2366" spans="1:24">
      <c r="A2366">
        <f>HYPERLINK("https://www.philgeps.gov.ph/GEPSNONPILOT/Tender/SplashBidNoticeAbstractUI.aspx?menuIndex=3&amp;refID=7073294&amp;Result=3","7073294")</f>
        <v>0</v>
      </c>
      <c r="B2366" t="s">
        <v>289</v>
      </c>
      <c r="C2366" t="s">
        <v>5645</v>
      </c>
      <c r="D2366" t="s">
        <v>16608</v>
      </c>
      <c r="E2366" t="s">
        <v>18880</v>
      </c>
      <c r="F2366" t="s">
        <v>28669</v>
      </c>
      <c r="G2366" t="s">
        <v>28676</v>
      </c>
      <c r="H2366" t="s">
        <v>9998</v>
      </c>
      <c r="I2366" t="s">
        <v>11593</v>
      </c>
      <c r="J2366" t="s">
        <v>30450</v>
      </c>
      <c r="K2366" t="s">
        <v>37227</v>
      </c>
      <c r="M2366" t="s">
        <v>38513</v>
      </c>
      <c r="N2366" t="s">
        <v>41249</v>
      </c>
      <c r="O2366" t="s">
        <v>41250</v>
      </c>
      <c r="P2366">
        <v>0</v>
      </c>
      <c r="Q2366">
        <v>5</v>
      </c>
      <c r="R2366" t="s">
        <v>41252</v>
      </c>
      <c r="S2366" t="s">
        <v>41383</v>
      </c>
      <c r="T2366" t="s">
        <v>42742</v>
      </c>
      <c r="U2366" t="s">
        <v>45246</v>
      </c>
      <c r="W2366" t="s">
        <v>38513</v>
      </c>
      <c r="X2366" t="s">
        <v>41254</v>
      </c>
    </row>
    <row r="2367" spans="1:24">
      <c r="A2367">
        <f>HYPERLINK("https://www.philgeps.gov.ph/GEPSNONPILOT/Tender/SplashBidNoticeAbstractUI.aspx?menuIndex=3&amp;refID=7073292&amp;Result=3","7073292")</f>
        <v>0</v>
      </c>
      <c r="B2367" t="s">
        <v>143</v>
      </c>
      <c r="C2367" t="s">
        <v>5646</v>
      </c>
      <c r="D2367" t="s">
        <v>16640</v>
      </c>
      <c r="E2367" t="s">
        <v>18881</v>
      </c>
      <c r="F2367" t="s">
        <v>28669</v>
      </c>
      <c r="G2367" t="s">
        <v>28676</v>
      </c>
      <c r="H2367" t="s">
        <v>9998</v>
      </c>
      <c r="I2367" t="s">
        <v>5213</v>
      </c>
      <c r="J2367" t="s">
        <v>30451</v>
      </c>
      <c r="K2367" t="s">
        <v>37220</v>
      </c>
      <c r="M2367" t="s">
        <v>37620</v>
      </c>
      <c r="N2367" t="s">
        <v>41249</v>
      </c>
      <c r="O2367" t="s">
        <v>41250</v>
      </c>
      <c r="P2367">
        <v>0</v>
      </c>
      <c r="Q2367">
        <v>2</v>
      </c>
      <c r="R2367" t="s">
        <v>41252</v>
      </c>
      <c r="S2367" t="s">
        <v>41383</v>
      </c>
      <c r="T2367" t="s">
        <v>42701</v>
      </c>
      <c r="U2367" t="s">
        <v>45247</v>
      </c>
      <c r="W2367" t="s">
        <v>55901</v>
      </c>
      <c r="X2367" t="s">
        <v>41254</v>
      </c>
    </row>
    <row r="2368" spans="1:24">
      <c r="A2368">
        <f>HYPERLINK("https://www.philgeps.gov.ph/GEPSNONPILOT/Tender/SplashBidNoticeAbstractUI.aspx?menuIndex=3&amp;refID=7073298&amp;Result=3","7073298")</f>
        <v>0</v>
      </c>
      <c r="B2368" t="s">
        <v>1003</v>
      </c>
      <c r="C2368" t="s">
        <v>5647</v>
      </c>
      <c r="D2368" t="s">
        <v>16660</v>
      </c>
      <c r="E2368" t="s">
        <v>18882</v>
      </c>
      <c r="F2368" t="s">
        <v>28669</v>
      </c>
      <c r="G2368" t="s">
        <v>28677</v>
      </c>
      <c r="H2368" t="s">
        <v>9998</v>
      </c>
      <c r="I2368" t="s">
        <v>28694</v>
      </c>
      <c r="J2368" t="s">
        <v>30452</v>
      </c>
      <c r="K2368" t="s">
        <v>37209</v>
      </c>
      <c r="M2368" t="s">
        <v>38531</v>
      </c>
      <c r="N2368" t="s">
        <v>41249</v>
      </c>
      <c r="O2368" t="s">
        <v>41250</v>
      </c>
      <c r="P2368">
        <v>0</v>
      </c>
      <c r="Q2368">
        <v>1</v>
      </c>
      <c r="R2368" t="s">
        <v>41252</v>
      </c>
      <c r="S2368" t="s">
        <v>41383</v>
      </c>
      <c r="T2368" t="s">
        <v>42682</v>
      </c>
      <c r="U2368" t="s">
        <v>45248</v>
      </c>
      <c r="W2368" t="s">
        <v>38531</v>
      </c>
      <c r="X2368" t="s">
        <v>41254</v>
      </c>
    </row>
    <row r="2369" spans="1:24">
      <c r="A2369">
        <f>HYPERLINK("https://www.philgeps.gov.ph/GEPSNONPILOT/Tender/SplashBidNoticeAbstractUI.aspx?menuIndex=3&amp;refID=7072041&amp;Result=3","7072041")</f>
        <v>0</v>
      </c>
      <c r="B2369" t="s">
        <v>1004</v>
      </c>
      <c r="C2369" t="s">
        <v>5648</v>
      </c>
      <c r="E2369" t="s">
        <v>16877</v>
      </c>
      <c r="F2369" t="s">
        <v>28669</v>
      </c>
      <c r="G2369" t="s">
        <v>28675</v>
      </c>
      <c r="H2369" t="s">
        <v>9998</v>
      </c>
      <c r="I2369" t="s">
        <v>28687</v>
      </c>
      <c r="J2369" t="s">
        <v>28914</v>
      </c>
      <c r="K2369" t="s">
        <v>37209</v>
      </c>
      <c r="M2369" t="s">
        <v>38532</v>
      </c>
      <c r="N2369" t="s">
        <v>41249</v>
      </c>
      <c r="O2369" t="s">
        <v>41250</v>
      </c>
      <c r="P2369">
        <v>0</v>
      </c>
      <c r="Q2369">
        <v>0</v>
      </c>
      <c r="R2369" t="s">
        <v>41252</v>
      </c>
      <c r="S2369" t="s">
        <v>41383</v>
      </c>
      <c r="T2369" t="s">
        <v>42759</v>
      </c>
      <c r="U2369" t="s">
        <v>45249</v>
      </c>
      <c r="W2369" t="s">
        <v>38532</v>
      </c>
      <c r="X2369" t="s">
        <v>41257</v>
      </c>
    </row>
    <row r="2370" spans="1:24">
      <c r="A2370">
        <f>HYPERLINK("https://www.philgeps.gov.ph/GEPSNONPILOT/Tender/SplashBidNoticeAbstractUI.aspx?menuIndex=3&amp;refID=7071987&amp;Result=3","7071987")</f>
        <v>0</v>
      </c>
      <c r="B2370" t="s">
        <v>870</v>
      </c>
      <c r="C2370" t="s">
        <v>5649</v>
      </c>
      <c r="D2370" t="s">
        <v>16618</v>
      </c>
      <c r="E2370" t="s">
        <v>18883</v>
      </c>
      <c r="F2370" t="s">
        <v>28669</v>
      </c>
      <c r="G2370" t="s">
        <v>28676</v>
      </c>
      <c r="H2370" t="s">
        <v>9998</v>
      </c>
      <c r="I2370" t="s">
        <v>28725</v>
      </c>
      <c r="J2370" t="s">
        <v>28859</v>
      </c>
      <c r="K2370" t="s">
        <v>37227</v>
      </c>
      <c r="M2370" t="s">
        <v>38533</v>
      </c>
      <c r="N2370" t="s">
        <v>41249</v>
      </c>
      <c r="O2370" t="s">
        <v>41250</v>
      </c>
      <c r="P2370">
        <v>0</v>
      </c>
      <c r="Q2370">
        <v>0</v>
      </c>
      <c r="R2370" t="s">
        <v>41252</v>
      </c>
      <c r="S2370" t="s">
        <v>41383</v>
      </c>
      <c r="T2370" t="s">
        <v>42758</v>
      </c>
      <c r="U2370" t="s">
        <v>45250</v>
      </c>
      <c r="V2370" t="s">
        <v>54549</v>
      </c>
      <c r="W2370" t="s">
        <v>38533</v>
      </c>
      <c r="X2370" t="s">
        <v>41257</v>
      </c>
    </row>
    <row r="2371" spans="1:24">
      <c r="A2371">
        <f>HYPERLINK("https://www.philgeps.gov.ph/GEPSNONPILOT/Tender/SplashBidNoticeAbstractUI.aspx?menuIndex=3&amp;refID=7071964&amp;Result=3","7071964")</f>
        <v>0</v>
      </c>
      <c r="B2371" t="s">
        <v>1005</v>
      </c>
      <c r="C2371" t="s">
        <v>5650</v>
      </c>
      <c r="D2371" t="s">
        <v>16608</v>
      </c>
      <c r="E2371" t="s">
        <v>18884</v>
      </c>
      <c r="F2371" t="s">
        <v>28669</v>
      </c>
      <c r="G2371" t="s">
        <v>28676</v>
      </c>
      <c r="H2371" t="s">
        <v>9998</v>
      </c>
      <c r="I2371" t="s">
        <v>28690</v>
      </c>
      <c r="J2371" t="s">
        <v>30453</v>
      </c>
      <c r="K2371" t="s">
        <v>37243</v>
      </c>
      <c r="M2371" t="s">
        <v>38534</v>
      </c>
      <c r="N2371" t="s">
        <v>41249</v>
      </c>
      <c r="O2371" t="s">
        <v>41250</v>
      </c>
      <c r="P2371">
        <v>0</v>
      </c>
      <c r="Q2371">
        <v>6</v>
      </c>
      <c r="R2371" t="s">
        <v>41252</v>
      </c>
      <c r="S2371" t="s">
        <v>41383</v>
      </c>
      <c r="T2371" t="s">
        <v>42701</v>
      </c>
      <c r="U2371" t="s">
        <v>45251</v>
      </c>
      <c r="W2371" t="s">
        <v>38534</v>
      </c>
      <c r="X2371" t="s">
        <v>41257</v>
      </c>
    </row>
    <row r="2372" spans="1:24">
      <c r="A2372">
        <f>HYPERLINK("https://www.philgeps.gov.ph/GEPSNONPILOT/Tender/SplashBidNoticeAbstractUI.aspx?menuIndex=3&amp;refID=7071925&amp;Result=3","7071925")</f>
        <v>0</v>
      </c>
      <c r="B2372" t="s">
        <v>945</v>
      </c>
      <c r="C2372" t="s">
        <v>5651</v>
      </c>
      <c r="D2372" t="s">
        <v>16608</v>
      </c>
      <c r="E2372" t="s">
        <v>18433</v>
      </c>
      <c r="F2372" t="s">
        <v>28669</v>
      </c>
      <c r="G2372" t="s">
        <v>28675</v>
      </c>
      <c r="H2372" t="s">
        <v>9998</v>
      </c>
      <c r="I2372" t="s">
        <v>11593</v>
      </c>
      <c r="J2372" t="s">
        <v>30454</v>
      </c>
      <c r="K2372" t="s">
        <v>37220</v>
      </c>
      <c r="M2372" t="s">
        <v>38469</v>
      </c>
      <c r="N2372" t="s">
        <v>41249</v>
      </c>
      <c r="O2372" t="s">
        <v>41250</v>
      </c>
      <c r="P2372">
        <v>0</v>
      </c>
      <c r="Q2372">
        <v>12</v>
      </c>
      <c r="R2372" t="s">
        <v>41252</v>
      </c>
      <c r="S2372" t="s">
        <v>41383</v>
      </c>
      <c r="T2372" t="s">
        <v>42688</v>
      </c>
      <c r="U2372" t="s">
        <v>45252</v>
      </c>
      <c r="W2372" t="s">
        <v>38469</v>
      </c>
      <c r="X2372" t="s">
        <v>41257</v>
      </c>
    </row>
    <row r="2373" spans="1:24">
      <c r="A2373">
        <f>HYPERLINK("https://www.philgeps.gov.ph/GEPSNONPILOT/Tender/SplashBidNoticeAbstractUI.aspx?menuIndex=3&amp;refID=7073302&amp;Result=3","7073302")</f>
        <v>0</v>
      </c>
      <c r="B2373" t="s">
        <v>987</v>
      </c>
      <c r="C2373" t="s">
        <v>5652</v>
      </c>
      <c r="D2373" t="s">
        <v>16616</v>
      </c>
      <c r="E2373" t="s">
        <v>18885</v>
      </c>
      <c r="F2373" t="s">
        <v>28669</v>
      </c>
      <c r="G2373" t="s">
        <v>28675</v>
      </c>
      <c r="H2373" t="s">
        <v>9998</v>
      </c>
      <c r="I2373" t="s">
        <v>7352</v>
      </c>
      <c r="J2373" t="s">
        <v>30455</v>
      </c>
      <c r="K2373" t="s">
        <v>37205</v>
      </c>
      <c r="M2373" t="s">
        <v>38512</v>
      </c>
      <c r="N2373" t="s">
        <v>41249</v>
      </c>
      <c r="O2373" t="s">
        <v>41250</v>
      </c>
      <c r="P2373">
        <v>0</v>
      </c>
      <c r="Q2373">
        <v>0</v>
      </c>
      <c r="R2373" t="s">
        <v>41252</v>
      </c>
      <c r="S2373" t="s">
        <v>41383</v>
      </c>
      <c r="T2373" t="s">
        <v>42715</v>
      </c>
      <c r="U2373" t="s">
        <v>45235</v>
      </c>
      <c r="W2373" t="s">
        <v>38512</v>
      </c>
      <c r="X2373" t="s">
        <v>41254</v>
      </c>
    </row>
    <row r="2374" spans="1:24">
      <c r="A2374">
        <f>HYPERLINK("https://www.philgeps.gov.ph/GEPSNONPILOT/Tender/SplashBidNoticeAbstractUI.aspx?menuIndex=3&amp;refID=7071922&amp;Result=3","7071922")</f>
        <v>0</v>
      </c>
      <c r="B2374" t="s">
        <v>956</v>
      </c>
      <c r="C2374" t="s">
        <v>5653</v>
      </c>
      <c r="D2374" t="s">
        <v>16679</v>
      </c>
      <c r="E2374" t="s">
        <v>18886</v>
      </c>
      <c r="F2374" t="s">
        <v>28669</v>
      </c>
      <c r="G2374" t="s">
        <v>28675</v>
      </c>
      <c r="H2374" t="s">
        <v>28686</v>
      </c>
      <c r="I2374" t="s">
        <v>28689</v>
      </c>
      <c r="J2374" t="s">
        <v>30456</v>
      </c>
      <c r="K2374" t="s">
        <v>37312</v>
      </c>
      <c r="M2374" t="s">
        <v>38480</v>
      </c>
      <c r="N2374" t="s">
        <v>41249</v>
      </c>
      <c r="O2374" t="s">
        <v>41250</v>
      </c>
      <c r="P2374">
        <v>0</v>
      </c>
      <c r="Q2374">
        <v>0</v>
      </c>
      <c r="R2374" t="s">
        <v>41252</v>
      </c>
      <c r="S2374" t="s">
        <v>41383</v>
      </c>
      <c r="T2374" t="s">
        <v>42688</v>
      </c>
      <c r="U2374" t="s">
        <v>45253</v>
      </c>
      <c r="V2374" t="s">
        <v>54420</v>
      </c>
      <c r="W2374" t="s">
        <v>38480</v>
      </c>
      <c r="X2374" t="s">
        <v>41257</v>
      </c>
    </row>
    <row r="2375" spans="1:24">
      <c r="A2375">
        <f>HYPERLINK("https://www.philgeps.gov.ph/GEPSNONPILOT/Tender/SplashBidNoticeAbstractUI.aspx?menuIndex=3&amp;refID=7071966&amp;Result=3","7071966")</f>
        <v>0</v>
      </c>
      <c r="B2375" t="s">
        <v>1006</v>
      </c>
      <c r="C2375" t="s">
        <v>5654</v>
      </c>
      <c r="D2375" t="s">
        <v>16664</v>
      </c>
      <c r="E2375" t="s">
        <v>18887</v>
      </c>
      <c r="F2375" t="s">
        <v>28669</v>
      </c>
      <c r="G2375" t="s">
        <v>28676</v>
      </c>
      <c r="H2375" t="s">
        <v>9998</v>
      </c>
      <c r="I2375" t="s">
        <v>28769</v>
      </c>
      <c r="J2375" t="s">
        <v>29015</v>
      </c>
      <c r="K2375" t="s">
        <v>37209</v>
      </c>
      <c r="M2375" t="s">
        <v>38535</v>
      </c>
      <c r="N2375" t="s">
        <v>41249</v>
      </c>
      <c r="O2375" t="s">
        <v>41250</v>
      </c>
      <c r="P2375">
        <v>0</v>
      </c>
      <c r="Q2375">
        <v>2</v>
      </c>
      <c r="R2375" t="s">
        <v>41252</v>
      </c>
      <c r="S2375" t="s">
        <v>41383</v>
      </c>
      <c r="T2375" t="s">
        <v>42701</v>
      </c>
      <c r="U2375" t="s">
        <v>45254</v>
      </c>
      <c r="V2375" t="s">
        <v>54550</v>
      </c>
      <c r="W2375" t="s">
        <v>38535</v>
      </c>
      <c r="X2375" t="s">
        <v>41257</v>
      </c>
    </row>
    <row r="2376" spans="1:24">
      <c r="A2376">
        <f>HYPERLINK("https://www.philgeps.gov.ph/GEPSNONPILOT/Tender/SplashBidNoticeAbstractUI.aspx?menuIndex=3&amp;refID=7071591&amp;Result=3","7071591")</f>
        <v>0</v>
      </c>
      <c r="B2376" t="s">
        <v>51</v>
      </c>
      <c r="C2376" t="s">
        <v>5655</v>
      </c>
      <c r="D2376" t="s">
        <v>16631</v>
      </c>
      <c r="E2376" t="s">
        <v>18888</v>
      </c>
      <c r="F2376" t="s">
        <v>28669</v>
      </c>
      <c r="G2376" t="s">
        <v>28675</v>
      </c>
      <c r="H2376" t="s">
        <v>28686</v>
      </c>
      <c r="I2376" t="s">
        <v>28689</v>
      </c>
      <c r="J2376" t="s">
        <v>30457</v>
      </c>
      <c r="K2376" t="s">
        <v>37212</v>
      </c>
      <c r="M2376" t="s">
        <v>37526</v>
      </c>
      <c r="N2376" t="s">
        <v>41249</v>
      </c>
      <c r="O2376" t="s">
        <v>41250</v>
      </c>
      <c r="P2376">
        <v>0</v>
      </c>
      <c r="Q2376">
        <v>1</v>
      </c>
      <c r="R2376" t="s">
        <v>41252</v>
      </c>
      <c r="S2376" t="s">
        <v>41383</v>
      </c>
      <c r="T2376" t="s">
        <v>42684</v>
      </c>
      <c r="U2376" t="s">
        <v>45255</v>
      </c>
      <c r="W2376" t="s">
        <v>37526</v>
      </c>
      <c r="X2376" t="s">
        <v>41257</v>
      </c>
    </row>
    <row r="2377" spans="1:24">
      <c r="A2377">
        <f>HYPERLINK("https://www.philgeps.gov.ph/GEPSNONPILOT/Tender/SplashBidNoticeAbstractUI.aspx?menuIndex=3&amp;refID=7071537&amp;Result=3","7071537")</f>
        <v>0</v>
      </c>
      <c r="B2377" t="s">
        <v>491</v>
      </c>
      <c r="C2377" t="s">
        <v>5656</v>
      </c>
      <c r="D2377" t="s">
        <v>16654</v>
      </c>
      <c r="E2377" t="s">
        <v>18889</v>
      </c>
      <c r="F2377" t="s">
        <v>28669</v>
      </c>
      <c r="G2377" t="s">
        <v>28675</v>
      </c>
      <c r="H2377" t="s">
        <v>28686</v>
      </c>
      <c r="I2377" t="s">
        <v>28689</v>
      </c>
      <c r="J2377" t="s">
        <v>30458</v>
      </c>
      <c r="K2377" t="s">
        <v>37218</v>
      </c>
      <c r="M2377" t="s">
        <v>38536</v>
      </c>
      <c r="N2377" t="s">
        <v>41249</v>
      </c>
      <c r="O2377" t="s">
        <v>41250</v>
      </c>
      <c r="P2377">
        <v>0</v>
      </c>
      <c r="Q2377">
        <v>1</v>
      </c>
      <c r="R2377" t="s">
        <v>41252</v>
      </c>
      <c r="S2377" t="s">
        <v>41383</v>
      </c>
      <c r="T2377" t="s">
        <v>42692</v>
      </c>
      <c r="U2377" t="s">
        <v>45256</v>
      </c>
      <c r="V2377" t="s">
        <v>54551</v>
      </c>
      <c r="W2377" t="s">
        <v>38536</v>
      </c>
      <c r="X2377" t="s">
        <v>41257</v>
      </c>
    </row>
    <row r="2378" spans="1:24">
      <c r="A2378">
        <f>HYPERLINK("https://www.philgeps.gov.ph/GEPSNONPILOT/Tender/SplashBidNoticeAbstractUI.aspx?menuIndex=3&amp;refID=7072406&amp;Result=3","7072406")</f>
        <v>0</v>
      </c>
      <c r="B2378" t="s">
        <v>909</v>
      </c>
      <c r="C2378" t="s">
        <v>5657</v>
      </c>
      <c r="D2378" t="s">
        <v>16662</v>
      </c>
      <c r="E2378" t="s">
        <v>18890</v>
      </c>
      <c r="F2378" t="s">
        <v>28669</v>
      </c>
      <c r="G2378" t="s">
        <v>28675</v>
      </c>
      <c r="H2378" t="s">
        <v>9998</v>
      </c>
      <c r="I2378" t="s">
        <v>6128</v>
      </c>
      <c r="J2378" t="s">
        <v>30459</v>
      </c>
      <c r="K2378" t="s">
        <v>37206</v>
      </c>
      <c r="M2378" t="s">
        <v>38431</v>
      </c>
      <c r="N2378" t="s">
        <v>41249</v>
      </c>
      <c r="O2378" t="s">
        <v>41250</v>
      </c>
      <c r="P2378">
        <v>0</v>
      </c>
      <c r="Q2378">
        <v>0</v>
      </c>
      <c r="R2378" t="s">
        <v>41252</v>
      </c>
      <c r="S2378" t="s">
        <v>41383</v>
      </c>
      <c r="T2378" t="s">
        <v>42688</v>
      </c>
      <c r="U2378" t="s">
        <v>45257</v>
      </c>
      <c r="W2378" t="s">
        <v>38431</v>
      </c>
      <c r="X2378" t="s">
        <v>41256</v>
      </c>
    </row>
    <row r="2379" spans="1:24">
      <c r="A2379">
        <f>HYPERLINK("https://www.philgeps.gov.ph/GEPSNONPILOT/Tender/SplashBidNoticeAbstractUI.aspx?menuIndex=3&amp;refID=7073306&amp;Result=3","7073306")</f>
        <v>0</v>
      </c>
      <c r="B2379" t="s">
        <v>1007</v>
      </c>
      <c r="C2379" t="s">
        <v>5658</v>
      </c>
      <c r="E2379" t="s">
        <v>18891</v>
      </c>
      <c r="F2379" t="s">
        <v>28673</v>
      </c>
      <c r="G2379" t="s">
        <v>28675</v>
      </c>
      <c r="H2379" t="s">
        <v>28686</v>
      </c>
      <c r="I2379" t="s">
        <v>28689</v>
      </c>
      <c r="J2379" t="s">
        <v>30460</v>
      </c>
      <c r="K2379" t="s">
        <v>37209</v>
      </c>
      <c r="M2379" t="s">
        <v>38537</v>
      </c>
      <c r="N2379" t="s">
        <v>41249</v>
      </c>
      <c r="O2379" t="s">
        <v>41250</v>
      </c>
      <c r="P2379">
        <v>0</v>
      </c>
      <c r="Q2379">
        <v>0</v>
      </c>
      <c r="R2379" t="s">
        <v>41252</v>
      </c>
      <c r="S2379" t="s">
        <v>41383</v>
      </c>
      <c r="T2379" t="s">
        <v>42719</v>
      </c>
      <c r="U2379" t="s">
        <v>44398</v>
      </c>
      <c r="W2379" t="s">
        <v>38537</v>
      </c>
      <c r="X2379" t="s">
        <v>41254</v>
      </c>
    </row>
    <row r="2380" spans="1:24">
      <c r="A2380">
        <f>HYPERLINK("https://www.philgeps.gov.ph/GEPSNONPILOT/Tender/SplashBidNoticeAbstractUI.aspx?menuIndex=3&amp;refID=7071527&amp;Result=3","7071527")</f>
        <v>0</v>
      </c>
      <c r="B2380" t="s">
        <v>51</v>
      </c>
      <c r="C2380" t="s">
        <v>3542</v>
      </c>
      <c r="D2380" t="s">
        <v>16631</v>
      </c>
      <c r="E2380" t="s">
        <v>18892</v>
      </c>
      <c r="F2380" t="s">
        <v>28669</v>
      </c>
      <c r="G2380" t="s">
        <v>28675</v>
      </c>
      <c r="H2380" t="s">
        <v>9998</v>
      </c>
      <c r="I2380" t="s">
        <v>28687</v>
      </c>
      <c r="J2380" t="s">
        <v>30461</v>
      </c>
      <c r="K2380" t="s">
        <v>37206</v>
      </c>
      <c r="M2380" t="s">
        <v>37526</v>
      </c>
      <c r="N2380" t="s">
        <v>41249</v>
      </c>
      <c r="O2380" t="s">
        <v>41250</v>
      </c>
      <c r="P2380">
        <v>0</v>
      </c>
      <c r="Q2380">
        <v>4</v>
      </c>
      <c r="R2380" t="s">
        <v>41252</v>
      </c>
      <c r="S2380" t="s">
        <v>41383</v>
      </c>
      <c r="T2380" t="s">
        <v>42765</v>
      </c>
      <c r="U2380" t="s">
        <v>43234</v>
      </c>
      <c r="V2380" t="s">
        <v>54552</v>
      </c>
      <c r="W2380" t="s">
        <v>37526</v>
      </c>
      <c r="X2380" t="s">
        <v>41257</v>
      </c>
    </row>
    <row r="2381" spans="1:24">
      <c r="A2381">
        <f>HYPERLINK("https://www.philgeps.gov.ph/GEPSNONPILOT/Tender/SplashBidNoticeAbstractUI.aspx?menuIndex=3&amp;refID=7071475&amp;Result=3","7071475")</f>
        <v>0</v>
      </c>
      <c r="B2381" t="s">
        <v>1008</v>
      </c>
      <c r="C2381" t="s">
        <v>5659</v>
      </c>
      <c r="D2381" t="s">
        <v>16665</v>
      </c>
      <c r="E2381" t="s">
        <v>18893</v>
      </c>
      <c r="F2381" t="s">
        <v>28669</v>
      </c>
      <c r="G2381" t="s">
        <v>28675</v>
      </c>
      <c r="H2381" t="s">
        <v>9998</v>
      </c>
      <c r="I2381" t="s">
        <v>28687</v>
      </c>
      <c r="J2381" t="s">
        <v>28846</v>
      </c>
      <c r="K2381" t="s">
        <v>37209</v>
      </c>
      <c r="M2381" t="s">
        <v>38538</v>
      </c>
      <c r="N2381" t="s">
        <v>41249</v>
      </c>
      <c r="O2381" t="s">
        <v>41250</v>
      </c>
      <c r="P2381">
        <v>0</v>
      </c>
      <c r="Q2381">
        <v>4</v>
      </c>
      <c r="R2381" t="s">
        <v>41252</v>
      </c>
      <c r="S2381" t="s">
        <v>41383</v>
      </c>
      <c r="T2381" t="s">
        <v>42880</v>
      </c>
      <c r="U2381" t="s">
        <v>45258</v>
      </c>
      <c r="W2381" t="s">
        <v>38538</v>
      </c>
      <c r="X2381" t="s">
        <v>41257</v>
      </c>
    </row>
    <row r="2382" spans="1:24">
      <c r="A2382">
        <f>HYPERLINK("https://www.philgeps.gov.ph/GEPSNONPILOT/Tender/SplashBidNoticeAbstractUI.aspx?menuIndex=3&amp;refID=7070832&amp;Result=3","7070832")</f>
        <v>0</v>
      </c>
      <c r="B2382" t="s">
        <v>1009</v>
      </c>
      <c r="C2382" t="s">
        <v>5660</v>
      </c>
      <c r="D2382" t="s">
        <v>16634</v>
      </c>
      <c r="E2382" t="s">
        <v>18894</v>
      </c>
      <c r="F2382" t="s">
        <v>28669</v>
      </c>
      <c r="G2382" t="s">
        <v>28675</v>
      </c>
      <c r="H2382" t="s">
        <v>28686</v>
      </c>
      <c r="I2382" t="s">
        <v>28694</v>
      </c>
      <c r="J2382" t="s">
        <v>30462</v>
      </c>
      <c r="K2382" t="s">
        <v>37209</v>
      </c>
      <c r="M2382" t="s">
        <v>38539</v>
      </c>
      <c r="N2382" t="s">
        <v>41249</v>
      </c>
      <c r="O2382" t="s">
        <v>41250</v>
      </c>
      <c r="P2382">
        <v>0</v>
      </c>
      <c r="Q2382">
        <v>0</v>
      </c>
      <c r="R2382" t="s">
        <v>41252</v>
      </c>
      <c r="S2382" t="s">
        <v>41383</v>
      </c>
      <c r="T2382" t="s">
        <v>42703</v>
      </c>
      <c r="U2382" t="s">
        <v>45259</v>
      </c>
      <c r="W2382" t="s">
        <v>38539</v>
      </c>
      <c r="X2382" t="s">
        <v>41257</v>
      </c>
    </row>
    <row r="2383" spans="1:24">
      <c r="A2383">
        <f>HYPERLINK("https://www.philgeps.gov.ph/GEPSNONPILOT/Tender/SplashBidNoticeAbstractUI.aspx?menuIndex=3&amp;refID=7070807&amp;Result=3","7070807")</f>
        <v>0</v>
      </c>
      <c r="B2383" t="s">
        <v>1010</v>
      </c>
      <c r="C2383" t="s">
        <v>5661</v>
      </c>
      <c r="D2383" t="s">
        <v>16608</v>
      </c>
      <c r="E2383" t="s">
        <v>18895</v>
      </c>
      <c r="F2383" t="s">
        <v>28671</v>
      </c>
      <c r="G2383" t="s">
        <v>28675</v>
      </c>
      <c r="H2383" t="s">
        <v>9998</v>
      </c>
      <c r="I2383" t="s">
        <v>28687</v>
      </c>
      <c r="J2383" t="s">
        <v>28905</v>
      </c>
      <c r="K2383" t="s">
        <v>37206</v>
      </c>
      <c r="L2383" t="s">
        <v>1010</v>
      </c>
      <c r="M2383" t="s">
        <v>38540</v>
      </c>
      <c r="N2383" t="s">
        <v>41249</v>
      </c>
      <c r="O2383" t="s">
        <v>41250</v>
      </c>
      <c r="P2383">
        <v>0</v>
      </c>
      <c r="Q2383">
        <v>0</v>
      </c>
      <c r="R2383" t="s">
        <v>41252</v>
      </c>
      <c r="S2383" t="s">
        <v>41383</v>
      </c>
      <c r="T2383" t="s">
        <v>42881</v>
      </c>
      <c r="U2383" t="s">
        <v>45260</v>
      </c>
      <c r="W2383" t="s">
        <v>38540</v>
      </c>
      <c r="X2383" t="s">
        <v>41257</v>
      </c>
    </row>
    <row r="2384" spans="1:24">
      <c r="A2384">
        <f>HYPERLINK("https://www.philgeps.gov.ph/GEPSNONPILOT/Tender/SplashBidNoticeAbstractUI.aspx?menuIndex=3&amp;refID=7070376&amp;Result=3","7070376")</f>
        <v>0</v>
      </c>
      <c r="B2384" t="s">
        <v>480</v>
      </c>
      <c r="C2384" t="s">
        <v>5662</v>
      </c>
      <c r="D2384" t="s">
        <v>16617</v>
      </c>
      <c r="E2384" t="s">
        <v>18896</v>
      </c>
      <c r="F2384" t="s">
        <v>28669</v>
      </c>
      <c r="G2384" t="s">
        <v>28675</v>
      </c>
      <c r="H2384" t="s">
        <v>9998</v>
      </c>
      <c r="I2384" t="s">
        <v>5213</v>
      </c>
      <c r="J2384" t="s">
        <v>28924</v>
      </c>
      <c r="K2384" t="s">
        <v>37210</v>
      </c>
      <c r="M2384" t="s">
        <v>37968</v>
      </c>
      <c r="N2384" t="s">
        <v>41249</v>
      </c>
      <c r="O2384" t="s">
        <v>41250</v>
      </c>
      <c r="P2384">
        <v>0</v>
      </c>
      <c r="Q2384">
        <v>0</v>
      </c>
      <c r="R2384" t="s">
        <v>41252</v>
      </c>
      <c r="S2384" t="s">
        <v>41383</v>
      </c>
      <c r="T2384" t="s">
        <v>42709</v>
      </c>
      <c r="U2384" t="s">
        <v>45261</v>
      </c>
      <c r="W2384" t="s">
        <v>37968</v>
      </c>
      <c r="X2384" t="s">
        <v>41257</v>
      </c>
    </row>
    <row r="2385" spans="1:24">
      <c r="A2385">
        <f>HYPERLINK("https://www.philgeps.gov.ph/GEPSNONPILOT/Tender/SplashBidNoticeAbstractUI.aspx?menuIndex=3&amp;refID=7070339&amp;Result=3","7070339")</f>
        <v>0</v>
      </c>
      <c r="B2385" t="s">
        <v>940</v>
      </c>
      <c r="C2385" t="s">
        <v>5663</v>
      </c>
      <c r="D2385" t="s">
        <v>16621</v>
      </c>
      <c r="E2385" t="s">
        <v>18897</v>
      </c>
      <c r="F2385" t="s">
        <v>28669</v>
      </c>
      <c r="G2385" t="s">
        <v>28676</v>
      </c>
      <c r="H2385" t="s">
        <v>9998</v>
      </c>
      <c r="I2385" t="s">
        <v>28696</v>
      </c>
      <c r="J2385" t="s">
        <v>29787</v>
      </c>
      <c r="K2385" t="s">
        <v>37243</v>
      </c>
      <c r="M2385" t="s">
        <v>38463</v>
      </c>
      <c r="N2385" t="s">
        <v>41249</v>
      </c>
      <c r="O2385" t="s">
        <v>41250</v>
      </c>
      <c r="P2385">
        <v>0</v>
      </c>
      <c r="Q2385">
        <v>6</v>
      </c>
      <c r="R2385" t="s">
        <v>41252</v>
      </c>
      <c r="S2385" t="s">
        <v>41383</v>
      </c>
      <c r="T2385" t="s">
        <v>42748</v>
      </c>
      <c r="U2385" t="s">
        <v>45262</v>
      </c>
      <c r="W2385" t="s">
        <v>38463</v>
      </c>
      <c r="X2385" t="s">
        <v>41257</v>
      </c>
    </row>
    <row r="2386" spans="1:24">
      <c r="A2386">
        <f>HYPERLINK("https://www.philgeps.gov.ph/GEPSNONPILOT/Tender/SplashBidNoticeAbstractUI.aspx?menuIndex=3&amp;refID=7069842&amp;Result=3","7069842")</f>
        <v>0</v>
      </c>
      <c r="B2386" t="s">
        <v>930</v>
      </c>
      <c r="C2386" t="s">
        <v>5664</v>
      </c>
      <c r="D2386" t="s">
        <v>16658</v>
      </c>
      <c r="E2386" t="s">
        <v>18898</v>
      </c>
      <c r="F2386" t="s">
        <v>28669</v>
      </c>
      <c r="G2386" t="s">
        <v>28675</v>
      </c>
      <c r="H2386" t="s">
        <v>28686</v>
      </c>
      <c r="I2386" t="s">
        <v>28689</v>
      </c>
      <c r="J2386" t="s">
        <v>30463</v>
      </c>
      <c r="K2386" t="s">
        <v>37220</v>
      </c>
      <c r="M2386" t="s">
        <v>38452</v>
      </c>
      <c r="N2386" t="s">
        <v>41249</v>
      </c>
      <c r="O2386" t="s">
        <v>41250</v>
      </c>
      <c r="P2386">
        <v>0</v>
      </c>
      <c r="Q2386">
        <v>1</v>
      </c>
      <c r="R2386" t="s">
        <v>41252</v>
      </c>
      <c r="S2386" t="s">
        <v>41383</v>
      </c>
      <c r="T2386" t="s">
        <v>42807</v>
      </c>
      <c r="U2386" t="s">
        <v>45263</v>
      </c>
      <c r="W2386" t="s">
        <v>38452</v>
      </c>
      <c r="X2386" t="s">
        <v>41258</v>
      </c>
    </row>
    <row r="2387" spans="1:24">
      <c r="A2387">
        <f>HYPERLINK("https://www.philgeps.gov.ph/GEPSNONPILOT/Tender/SplashBidNoticeAbstractUI.aspx?menuIndex=3&amp;refID=7071611&amp;Result=3","7071611")</f>
        <v>0</v>
      </c>
      <c r="B2387" t="s">
        <v>51</v>
      </c>
      <c r="C2387" t="s">
        <v>5665</v>
      </c>
      <c r="D2387" t="s">
        <v>16631</v>
      </c>
      <c r="E2387" t="s">
        <v>18899</v>
      </c>
      <c r="F2387" t="s">
        <v>28669</v>
      </c>
      <c r="G2387" t="s">
        <v>28675</v>
      </c>
      <c r="H2387" t="s">
        <v>28686</v>
      </c>
      <c r="I2387" t="s">
        <v>28689</v>
      </c>
      <c r="J2387" t="s">
        <v>30464</v>
      </c>
      <c r="K2387" t="s">
        <v>37220</v>
      </c>
      <c r="M2387" t="s">
        <v>37526</v>
      </c>
      <c r="N2387" t="s">
        <v>41249</v>
      </c>
      <c r="O2387" t="s">
        <v>41250</v>
      </c>
      <c r="P2387">
        <v>0</v>
      </c>
      <c r="Q2387">
        <v>0</v>
      </c>
      <c r="R2387" t="s">
        <v>41252</v>
      </c>
      <c r="S2387" t="s">
        <v>41383</v>
      </c>
      <c r="T2387" t="s">
        <v>42684</v>
      </c>
      <c r="U2387" t="s">
        <v>45264</v>
      </c>
      <c r="W2387" t="s">
        <v>37526</v>
      </c>
      <c r="X2387" t="s">
        <v>41257</v>
      </c>
    </row>
    <row r="2388" spans="1:24">
      <c r="A2388">
        <f>HYPERLINK("https://www.philgeps.gov.ph/GEPSNONPILOT/Tender/SplashBidNoticeAbstractUI.aspx?menuIndex=3&amp;refID=7069815&amp;Result=3","7069815")</f>
        <v>0</v>
      </c>
      <c r="B2388" t="s">
        <v>937</v>
      </c>
      <c r="C2388" t="s">
        <v>5666</v>
      </c>
      <c r="E2388" t="s">
        <v>18900</v>
      </c>
      <c r="F2388" t="s">
        <v>28669</v>
      </c>
      <c r="G2388" t="s">
        <v>28676</v>
      </c>
      <c r="H2388" t="s">
        <v>9998</v>
      </c>
      <c r="I2388" t="s">
        <v>6606</v>
      </c>
      <c r="J2388" t="s">
        <v>30465</v>
      </c>
      <c r="K2388" t="s">
        <v>37209</v>
      </c>
      <c r="M2388" t="s">
        <v>38460</v>
      </c>
      <c r="N2388" t="s">
        <v>41249</v>
      </c>
      <c r="O2388" t="s">
        <v>41250</v>
      </c>
      <c r="P2388">
        <v>0</v>
      </c>
      <c r="Q2388">
        <v>0</v>
      </c>
      <c r="R2388" t="s">
        <v>41252</v>
      </c>
      <c r="S2388" t="s">
        <v>41383</v>
      </c>
      <c r="T2388" t="s">
        <v>42759</v>
      </c>
      <c r="U2388" t="s">
        <v>43595</v>
      </c>
      <c r="W2388" t="s">
        <v>38460</v>
      </c>
      <c r="X2388" t="s">
        <v>41258</v>
      </c>
    </row>
    <row r="2389" spans="1:24">
      <c r="A2389">
        <f>HYPERLINK("https://www.philgeps.gov.ph/GEPSNONPILOT/Tender/SplashBidNoticeAbstractUI.aspx?menuIndex=3&amp;refID=7069730&amp;Result=3","7069730")</f>
        <v>0</v>
      </c>
      <c r="B2389" t="s">
        <v>937</v>
      </c>
      <c r="C2389" t="s">
        <v>5667</v>
      </c>
      <c r="E2389" t="s">
        <v>18901</v>
      </c>
      <c r="F2389" t="s">
        <v>28669</v>
      </c>
      <c r="G2389" t="s">
        <v>28677</v>
      </c>
      <c r="H2389" t="s">
        <v>9998</v>
      </c>
      <c r="I2389" t="s">
        <v>28688</v>
      </c>
      <c r="J2389" t="s">
        <v>30466</v>
      </c>
      <c r="K2389" t="s">
        <v>37204</v>
      </c>
      <c r="M2389" t="s">
        <v>38460</v>
      </c>
      <c r="N2389" t="s">
        <v>41249</v>
      </c>
      <c r="O2389" t="s">
        <v>41250</v>
      </c>
      <c r="P2389">
        <v>0</v>
      </c>
      <c r="Q2389">
        <v>9</v>
      </c>
      <c r="R2389" t="s">
        <v>41252</v>
      </c>
      <c r="S2389" t="s">
        <v>41383</v>
      </c>
      <c r="T2389" t="s">
        <v>42759</v>
      </c>
      <c r="U2389" t="s">
        <v>43595</v>
      </c>
      <c r="W2389" t="s">
        <v>38460</v>
      </c>
      <c r="X2389" t="s">
        <v>41258</v>
      </c>
    </row>
    <row r="2390" spans="1:24">
      <c r="A2390">
        <f>HYPERLINK("https://www.philgeps.gov.ph/GEPSNONPILOT/Tender/SplashBidNoticeAbstractUI.aspx?menuIndex=3&amp;refID=7070356&amp;Result=3","7070356")</f>
        <v>0</v>
      </c>
      <c r="B2390" t="s">
        <v>1011</v>
      </c>
      <c r="C2390" t="s">
        <v>5668</v>
      </c>
      <c r="D2390" t="s">
        <v>16627</v>
      </c>
      <c r="E2390" t="s">
        <v>18902</v>
      </c>
      <c r="F2390" t="s">
        <v>28669</v>
      </c>
      <c r="G2390" t="s">
        <v>28677</v>
      </c>
      <c r="H2390" t="s">
        <v>9998</v>
      </c>
      <c r="I2390" t="s">
        <v>3679</v>
      </c>
      <c r="J2390" t="s">
        <v>30467</v>
      </c>
      <c r="K2390" t="s">
        <v>37227</v>
      </c>
      <c r="M2390" t="s">
        <v>38541</v>
      </c>
      <c r="N2390" t="s">
        <v>41249</v>
      </c>
      <c r="O2390" t="s">
        <v>41250</v>
      </c>
      <c r="P2390">
        <v>0</v>
      </c>
      <c r="Q2390">
        <v>1</v>
      </c>
      <c r="R2390" t="s">
        <v>41252</v>
      </c>
      <c r="S2390" t="s">
        <v>41383</v>
      </c>
      <c r="T2390" t="s">
        <v>42736</v>
      </c>
      <c r="U2390" t="s">
        <v>45265</v>
      </c>
      <c r="W2390" t="s">
        <v>38541</v>
      </c>
      <c r="X2390" t="s">
        <v>41257</v>
      </c>
    </row>
    <row r="2391" spans="1:24">
      <c r="A2391">
        <f>HYPERLINK("https://www.philgeps.gov.ph/GEPSNONPILOT/Tender/SplashBidNoticeAbstractUI.aspx?menuIndex=3&amp;refID=7069369&amp;Result=3","7069369")</f>
        <v>0</v>
      </c>
      <c r="B2391" t="s">
        <v>1012</v>
      </c>
      <c r="C2391" t="s">
        <v>5669</v>
      </c>
      <c r="D2391" t="s">
        <v>16644</v>
      </c>
      <c r="E2391" t="s">
        <v>18903</v>
      </c>
      <c r="F2391" t="s">
        <v>28669</v>
      </c>
      <c r="G2391" t="s">
        <v>28677</v>
      </c>
      <c r="H2391" t="s">
        <v>9998</v>
      </c>
      <c r="I2391" t="s">
        <v>28697</v>
      </c>
      <c r="J2391" t="s">
        <v>28999</v>
      </c>
      <c r="K2391" t="s">
        <v>37205</v>
      </c>
      <c r="M2391" t="s">
        <v>38542</v>
      </c>
      <c r="N2391" t="s">
        <v>41249</v>
      </c>
      <c r="O2391" t="s">
        <v>41250</v>
      </c>
      <c r="P2391">
        <v>0</v>
      </c>
      <c r="Q2391">
        <v>12</v>
      </c>
      <c r="R2391" t="s">
        <v>41252</v>
      </c>
      <c r="S2391" t="s">
        <v>41383</v>
      </c>
      <c r="T2391" t="s">
        <v>42734</v>
      </c>
      <c r="U2391" t="s">
        <v>45266</v>
      </c>
      <c r="V2391" t="s">
        <v>54553</v>
      </c>
      <c r="W2391" t="s">
        <v>38542</v>
      </c>
      <c r="X2391" t="s">
        <v>41258</v>
      </c>
    </row>
    <row r="2392" spans="1:24">
      <c r="A2392">
        <f>HYPERLINK("https://www.philgeps.gov.ph/GEPSNONPILOT/Tender/SplashBidNoticeAbstractUI.aspx?menuIndex=3&amp;refID=7071514&amp;Result=3","7071514")</f>
        <v>0</v>
      </c>
      <c r="B2392" t="s">
        <v>51</v>
      </c>
      <c r="C2392" t="s">
        <v>5670</v>
      </c>
      <c r="D2392" t="s">
        <v>16631</v>
      </c>
      <c r="E2392" t="s">
        <v>18904</v>
      </c>
      <c r="F2392" t="s">
        <v>28669</v>
      </c>
      <c r="G2392" t="s">
        <v>28675</v>
      </c>
      <c r="H2392" t="s">
        <v>9998</v>
      </c>
      <c r="I2392" t="s">
        <v>28687</v>
      </c>
      <c r="J2392" t="s">
        <v>30468</v>
      </c>
      <c r="K2392" t="s">
        <v>37206</v>
      </c>
      <c r="M2392" t="s">
        <v>37526</v>
      </c>
      <c r="N2392" t="s">
        <v>41249</v>
      </c>
      <c r="O2392" t="s">
        <v>41250</v>
      </c>
      <c r="P2392">
        <v>0</v>
      </c>
      <c r="Q2392">
        <v>4</v>
      </c>
      <c r="R2392" t="s">
        <v>41252</v>
      </c>
      <c r="S2392" t="s">
        <v>41383</v>
      </c>
      <c r="T2392" t="s">
        <v>42765</v>
      </c>
      <c r="U2392" t="s">
        <v>43230</v>
      </c>
      <c r="V2392" t="s">
        <v>54554</v>
      </c>
      <c r="W2392" t="s">
        <v>37526</v>
      </c>
      <c r="X2392" t="s">
        <v>41257</v>
      </c>
    </row>
    <row r="2393" spans="1:24">
      <c r="A2393">
        <f>HYPERLINK("https://www.philgeps.gov.ph/GEPSNONPILOT/Tender/SplashBidNoticeAbstractUI.aspx?menuIndex=3&amp;refID=7069196&amp;Result=3","7069196")</f>
        <v>0</v>
      </c>
      <c r="B2393" t="s">
        <v>59</v>
      </c>
      <c r="C2393" t="s">
        <v>5671</v>
      </c>
      <c r="D2393" t="s">
        <v>16619</v>
      </c>
      <c r="E2393" t="s">
        <v>18905</v>
      </c>
      <c r="F2393" t="s">
        <v>28669</v>
      </c>
      <c r="G2393" t="s">
        <v>28676</v>
      </c>
      <c r="H2393" t="s">
        <v>9998</v>
      </c>
      <c r="I2393" t="s">
        <v>6606</v>
      </c>
      <c r="J2393" t="s">
        <v>30469</v>
      </c>
      <c r="K2393" t="s">
        <v>37209</v>
      </c>
      <c r="M2393" t="s">
        <v>37534</v>
      </c>
      <c r="N2393" t="s">
        <v>41249</v>
      </c>
      <c r="O2393" t="s">
        <v>41250</v>
      </c>
      <c r="P2393">
        <v>0</v>
      </c>
      <c r="Q2393">
        <v>0</v>
      </c>
      <c r="R2393" t="s">
        <v>41252</v>
      </c>
      <c r="S2393" t="s">
        <v>41383</v>
      </c>
      <c r="T2393" t="s">
        <v>42758</v>
      </c>
      <c r="U2393" t="s">
        <v>45267</v>
      </c>
      <c r="W2393" t="s">
        <v>37534</v>
      </c>
      <c r="X2393" t="s">
        <v>41258</v>
      </c>
    </row>
    <row r="2394" spans="1:24">
      <c r="A2394">
        <f>HYPERLINK("https://www.philgeps.gov.ph/GEPSNONPILOT/Tender/SplashBidNoticeAbstractUI.aspx?menuIndex=3&amp;refID=7067621&amp;Result=3","7067621")</f>
        <v>0</v>
      </c>
      <c r="B2394" t="s">
        <v>1013</v>
      </c>
      <c r="C2394" t="s">
        <v>5672</v>
      </c>
      <c r="D2394" t="s">
        <v>16628</v>
      </c>
      <c r="E2394" t="s">
        <v>18906</v>
      </c>
      <c r="F2394" t="s">
        <v>28669</v>
      </c>
      <c r="G2394" t="s">
        <v>28675</v>
      </c>
      <c r="H2394" t="s">
        <v>9998</v>
      </c>
      <c r="I2394" t="s">
        <v>28687</v>
      </c>
      <c r="J2394" t="s">
        <v>29112</v>
      </c>
      <c r="K2394" t="s">
        <v>37206</v>
      </c>
      <c r="M2394" t="s">
        <v>38543</v>
      </c>
      <c r="N2394" t="s">
        <v>41249</v>
      </c>
      <c r="O2394" t="s">
        <v>41250</v>
      </c>
      <c r="P2394">
        <v>0</v>
      </c>
      <c r="Q2394">
        <v>4</v>
      </c>
      <c r="R2394" t="s">
        <v>41252</v>
      </c>
      <c r="S2394" t="s">
        <v>41383</v>
      </c>
      <c r="T2394" t="s">
        <v>42672</v>
      </c>
      <c r="U2394" t="s">
        <v>45268</v>
      </c>
      <c r="W2394" t="s">
        <v>38543</v>
      </c>
      <c r="X2394" t="s">
        <v>41258</v>
      </c>
    </row>
    <row r="2395" spans="1:24">
      <c r="A2395">
        <f>HYPERLINK("https://www.philgeps.gov.ph/GEPSNONPILOT/Tender/SplashBidNoticeAbstractUI.aspx?menuIndex=3&amp;refID=7067327&amp;Result=3","7067327")</f>
        <v>0</v>
      </c>
      <c r="B2395" t="s">
        <v>810</v>
      </c>
      <c r="C2395" t="s">
        <v>5673</v>
      </c>
      <c r="D2395" t="s">
        <v>16689</v>
      </c>
      <c r="E2395" t="s">
        <v>18907</v>
      </c>
      <c r="F2395" t="s">
        <v>28669</v>
      </c>
      <c r="G2395" t="s">
        <v>28676</v>
      </c>
      <c r="H2395" t="s">
        <v>9998</v>
      </c>
      <c r="I2395" t="s">
        <v>28688</v>
      </c>
      <c r="J2395" t="s">
        <v>30470</v>
      </c>
      <c r="K2395" t="s">
        <v>37206</v>
      </c>
      <c r="M2395" t="s">
        <v>38325</v>
      </c>
      <c r="N2395" t="s">
        <v>41249</v>
      </c>
      <c r="O2395" t="s">
        <v>41250</v>
      </c>
      <c r="P2395">
        <v>0</v>
      </c>
      <c r="Q2395">
        <v>3</v>
      </c>
      <c r="R2395" t="s">
        <v>41252</v>
      </c>
      <c r="S2395" t="s">
        <v>41383</v>
      </c>
      <c r="T2395" t="s">
        <v>42866</v>
      </c>
      <c r="U2395" t="s">
        <v>45269</v>
      </c>
      <c r="W2395" t="s">
        <v>55936</v>
      </c>
      <c r="X2395" t="s">
        <v>41259</v>
      </c>
    </row>
    <row r="2396" spans="1:24">
      <c r="A2396">
        <f>HYPERLINK("https://www.philgeps.gov.ph/GEPSNONPILOT/Tender/SplashBidNoticeAbstractUI.aspx?menuIndex=3&amp;refID=7069590&amp;Result=3","7069590")</f>
        <v>0</v>
      </c>
      <c r="B2396" t="s">
        <v>59</v>
      </c>
      <c r="C2396" t="s">
        <v>5674</v>
      </c>
      <c r="E2396" t="s">
        <v>18908</v>
      </c>
      <c r="F2396" t="s">
        <v>28669</v>
      </c>
      <c r="G2396" t="s">
        <v>28676</v>
      </c>
      <c r="H2396" t="s">
        <v>9998</v>
      </c>
      <c r="I2396" t="s">
        <v>28698</v>
      </c>
      <c r="J2396" t="s">
        <v>30471</v>
      </c>
      <c r="K2396" t="s">
        <v>37209</v>
      </c>
      <c r="M2396" t="s">
        <v>37534</v>
      </c>
      <c r="N2396" t="s">
        <v>41249</v>
      </c>
      <c r="O2396" t="s">
        <v>41250</v>
      </c>
      <c r="P2396">
        <v>0</v>
      </c>
      <c r="Q2396">
        <v>1</v>
      </c>
      <c r="R2396" t="s">
        <v>41252</v>
      </c>
      <c r="S2396" t="s">
        <v>41383</v>
      </c>
      <c r="T2396" t="s">
        <v>42758</v>
      </c>
      <c r="U2396" t="s">
        <v>45270</v>
      </c>
      <c r="W2396" t="s">
        <v>37534</v>
      </c>
      <c r="X2396" t="s">
        <v>41258</v>
      </c>
    </row>
    <row r="2397" spans="1:24">
      <c r="A2397">
        <f>HYPERLINK("https://www.philgeps.gov.ph/GEPSNONPILOT/Tender/SplashBidNoticeAbstractUI.aspx?menuIndex=3&amp;refID=7067293&amp;Result=3","7067293")</f>
        <v>0</v>
      </c>
      <c r="B2397" t="s">
        <v>1014</v>
      </c>
      <c r="C2397" t="s">
        <v>5675</v>
      </c>
      <c r="D2397" t="s">
        <v>16619</v>
      </c>
      <c r="E2397" t="s">
        <v>18909</v>
      </c>
      <c r="F2397" t="s">
        <v>28669</v>
      </c>
      <c r="G2397" t="s">
        <v>28676</v>
      </c>
      <c r="H2397" t="s">
        <v>9998</v>
      </c>
      <c r="I2397" t="s">
        <v>28688</v>
      </c>
      <c r="J2397" t="s">
        <v>30472</v>
      </c>
      <c r="K2397" t="s">
        <v>37208</v>
      </c>
      <c r="M2397" t="s">
        <v>38544</v>
      </c>
      <c r="N2397" t="s">
        <v>41249</v>
      </c>
      <c r="O2397" t="s">
        <v>41250</v>
      </c>
      <c r="P2397">
        <v>0</v>
      </c>
      <c r="Q2397">
        <v>1</v>
      </c>
      <c r="R2397" t="s">
        <v>41252</v>
      </c>
      <c r="S2397" t="s">
        <v>41383</v>
      </c>
      <c r="T2397" t="s">
        <v>42758</v>
      </c>
      <c r="U2397" t="s">
        <v>45271</v>
      </c>
      <c r="V2397" t="s">
        <v>54555</v>
      </c>
      <c r="W2397" t="s">
        <v>38544</v>
      </c>
      <c r="X2397" t="s">
        <v>41259</v>
      </c>
    </row>
    <row r="2398" spans="1:24">
      <c r="A2398">
        <f>HYPERLINK("https://www.philgeps.gov.ph/GEPSNONPILOT/Tender/SplashBidNoticeAbstractUI.aspx?menuIndex=3&amp;refID=7071974&amp;Result=3","7071974")</f>
        <v>0</v>
      </c>
      <c r="B2398" t="s">
        <v>870</v>
      </c>
      <c r="C2398" t="s">
        <v>5676</v>
      </c>
      <c r="D2398" t="s">
        <v>16618</v>
      </c>
      <c r="E2398" t="s">
        <v>18910</v>
      </c>
      <c r="F2398" t="s">
        <v>28669</v>
      </c>
      <c r="G2398" t="s">
        <v>28676</v>
      </c>
      <c r="H2398" t="s">
        <v>9998</v>
      </c>
      <c r="I2398" t="s">
        <v>7352</v>
      </c>
      <c r="J2398" t="s">
        <v>30473</v>
      </c>
      <c r="K2398" t="s">
        <v>37227</v>
      </c>
      <c r="M2398" t="s">
        <v>38533</v>
      </c>
      <c r="N2398" t="s">
        <v>41249</v>
      </c>
      <c r="O2398" t="s">
        <v>41250</v>
      </c>
      <c r="P2398">
        <v>0</v>
      </c>
      <c r="Q2398">
        <v>0</v>
      </c>
      <c r="R2398" t="s">
        <v>41252</v>
      </c>
      <c r="S2398" t="s">
        <v>41383</v>
      </c>
      <c r="T2398" t="s">
        <v>42758</v>
      </c>
      <c r="U2398" t="s">
        <v>45250</v>
      </c>
      <c r="V2398" t="s">
        <v>54549</v>
      </c>
      <c r="W2398" t="s">
        <v>38533</v>
      </c>
      <c r="X2398" t="s">
        <v>41257</v>
      </c>
    </row>
    <row r="2399" spans="1:24">
      <c r="A2399">
        <f>HYPERLINK("https://www.philgeps.gov.ph/GEPSNONPILOT/Tender/SplashBidNoticeAbstractUI.aspx?menuIndex=3&amp;refID=7067044&amp;Result=3","7067044")</f>
        <v>0</v>
      </c>
      <c r="B2399" t="s">
        <v>909</v>
      </c>
      <c r="C2399" t="s">
        <v>5677</v>
      </c>
      <c r="D2399" t="s">
        <v>16662</v>
      </c>
      <c r="E2399" t="s">
        <v>18911</v>
      </c>
      <c r="F2399" t="s">
        <v>28669</v>
      </c>
      <c r="G2399" t="s">
        <v>28675</v>
      </c>
      <c r="H2399" t="s">
        <v>9998</v>
      </c>
      <c r="I2399" t="s">
        <v>28717</v>
      </c>
      <c r="J2399" t="s">
        <v>30474</v>
      </c>
      <c r="K2399" t="s">
        <v>37206</v>
      </c>
      <c r="M2399" t="s">
        <v>38431</v>
      </c>
      <c r="N2399" t="s">
        <v>41249</v>
      </c>
      <c r="O2399" t="s">
        <v>41250</v>
      </c>
      <c r="P2399">
        <v>0</v>
      </c>
      <c r="Q2399">
        <v>3</v>
      </c>
      <c r="R2399" t="s">
        <v>41252</v>
      </c>
      <c r="S2399" t="s">
        <v>41383</v>
      </c>
      <c r="T2399" t="s">
        <v>42688</v>
      </c>
      <c r="U2399" t="s">
        <v>45272</v>
      </c>
      <c r="W2399" t="s">
        <v>38431</v>
      </c>
      <c r="X2399" t="s">
        <v>41259</v>
      </c>
    </row>
    <row r="2400" spans="1:24">
      <c r="A2400">
        <f>HYPERLINK("https://www.philgeps.gov.ph/GEPSNONPILOT/Tender/SplashBidNoticeAbstractUI.aspx?menuIndex=3&amp;refID=7067029&amp;Result=3","7067029")</f>
        <v>0</v>
      </c>
      <c r="B2400" t="s">
        <v>909</v>
      </c>
      <c r="C2400" t="s">
        <v>5678</v>
      </c>
      <c r="D2400" t="s">
        <v>16662</v>
      </c>
      <c r="E2400" t="s">
        <v>18911</v>
      </c>
      <c r="F2400" t="s">
        <v>28669</v>
      </c>
      <c r="G2400" t="s">
        <v>28675</v>
      </c>
      <c r="H2400" t="s">
        <v>9998</v>
      </c>
      <c r="I2400" t="s">
        <v>6128</v>
      </c>
      <c r="J2400" t="s">
        <v>30475</v>
      </c>
      <c r="K2400" t="s">
        <v>37206</v>
      </c>
      <c r="M2400" t="s">
        <v>38431</v>
      </c>
      <c r="N2400" t="s">
        <v>41249</v>
      </c>
      <c r="O2400" t="s">
        <v>41250</v>
      </c>
      <c r="P2400">
        <v>0</v>
      </c>
      <c r="Q2400">
        <v>1</v>
      </c>
      <c r="R2400" t="s">
        <v>41252</v>
      </c>
      <c r="S2400" t="s">
        <v>41383</v>
      </c>
      <c r="T2400" t="s">
        <v>42688</v>
      </c>
      <c r="U2400" t="s">
        <v>45272</v>
      </c>
      <c r="W2400" t="s">
        <v>38431</v>
      </c>
      <c r="X2400" t="s">
        <v>41259</v>
      </c>
    </row>
    <row r="2401" spans="1:24">
      <c r="A2401">
        <f>HYPERLINK("https://www.philgeps.gov.ph/GEPSNONPILOT/Tender/SplashBidNoticeAbstractUI.aspx?menuIndex=3&amp;refID=7067611&amp;Result=3","7067611")</f>
        <v>0</v>
      </c>
      <c r="B2401" t="s">
        <v>1015</v>
      </c>
      <c r="C2401" t="s">
        <v>5679</v>
      </c>
      <c r="D2401" t="s">
        <v>16679</v>
      </c>
      <c r="E2401" t="s">
        <v>18912</v>
      </c>
      <c r="F2401" t="s">
        <v>28669</v>
      </c>
      <c r="G2401" t="s">
        <v>28677</v>
      </c>
      <c r="H2401" t="s">
        <v>28685</v>
      </c>
      <c r="I2401" t="s">
        <v>28685</v>
      </c>
      <c r="J2401" t="s">
        <v>29191</v>
      </c>
      <c r="K2401" t="s">
        <v>37220</v>
      </c>
      <c r="M2401" t="s">
        <v>38545</v>
      </c>
      <c r="N2401" t="s">
        <v>41249</v>
      </c>
      <c r="O2401" t="s">
        <v>41250</v>
      </c>
      <c r="P2401">
        <v>0</v>
      </c>
      <c r="Q2401">
        <v>1</v>
      </c>
      <c r="R2401" t="s">
        <v>41252</v>
      </c>
      <c r="S2401" t="s">
        <v>41383</v>
      </c>
      <c r="T2401" t="s">
        <v>42771</v>
      </c>
      <c r="U2401" t="s">
        <v>45273</v>
      </c>
      <c r="W2401" t="s">
        <v>38545</v>
      </c>
      <c r="X2401" t="s">
        <v>41258</v>
      </c>
    </row>
    <row r="2402" spans="1:24">
      <c r="A2402">
        <f>HYPERLINK("https://www.philgeps.gov.ph/GEPSNONPILOT/Tender/SplashBidNoticeAbstractUI.aspx?menuIndex=3&amp;refID=7066729&amp;Result=3","7066729")</f>
        <v>0</v>
      </c>
      <c r="B2402" t="s">
        <v>910</v>
      </c>
      <c r="C2402" t="s">
        <v>5680</v>
      </c>
      <c r="E2402" t="s">
        <v>18913</v>
      </c>
      <c r="F2402" t="s">
        <v>28672</v>
      </c>
      <c r="G2402" t="s">
        <v>28675</v>
      </c>
      <c r="H2402" t="s">
        <v>9998</v>
      </c>
      <c r="I2402" t="s">
        <v>28781</v>
      </c>
      <c r="J2402" t="s">
        <v>30476</v>
      </c>
      <c r="K2402" t="s">
        <v>37218</v>
      </c>
      <c r="M2402" t="s">
        <v>38432</v>
      </c>
      <c r="N2402" t="s">
        <v>41249</v>
      </c>
      <c r="O2402" t="s">
        <v>41250</v>
      </c>
      <c r="Q2402">
        <v>5</v>
      </c>
      <c r="R2402" t="s">
        <v>41252</v>
      </c>
      <c r="S2402" t="s">
        <v>41388</v>
      </c>
      <c r="T2402" t="s">
        <v>42823</v>
      </c>
      <c r="U2402" t="s">
        <v>44983</v>
      </c>
      <c r="W2402" t="s">
        <v>38432</v>
      </c>
      <c r="X2402" t="s">
        <v>41259</v>
      </c>
    </row>
    <row r="2403" spans="1:24">
      <c r="A2403">
        <f>HYPERLINK("https://www.philgeps.gov.ph/GEPSNONPILOT/Tender/SplashBidNoticeAbstractUI.aspx?menuIndex=3&amp;refID=7066703&amp;Result=3","7066703")</f>
        <v>0</v>
      </c>
      <c r="B2403" t="s">
        <v>910</v>
      </c>
      <c r="C2403" t="s">
        <v>5681</v>
      </c>
      <c r="E2403" t="s">
        <v>18914</v>
      </c>
      <c r="F2403" t="s">
        <v>28669</v>
      </c>
      <c r="G2403" t="s">
        <v>28675</v>
      </c>
      <c r="H2403" t="s">
        <v>9998</v>
      </c>
      <c r="I2403" t="s">
        <v>28781</v>
      </c>
      <c r="J2403" t="s">
        <v>30477</v>
      </c>
      <c r="K2403" t="s">
        <v>37212</v>
      </c>
      <c r="M2403" t="s">
        <v>38432</v>
      </c>
      <c r="N2403" t="s">
        <v>41249</v>
      </c>
      <c r="O2403" t="s">
        <v>41250</v>
      </c>
      <c r="Q2403">
        <v>5</v>
      </c>
      <c r="R2403" t="s">
        <v>41252</v>
      </c>
      <c r="S2403" t="s">
        <v>41389</v>
      </c>
      <c r="T2403" t="s">
        <v>42823</v>
      </c>
      <c r="U2403" t="s">
        <v>44983</v>
      </c>
      <c r="W2403" t="s">
        <v>38432</v>
      </c>
      <c r="X2403" t="s">
        <v>41259</v>
      </c>
    </row>
    <row r="2404" spans="1:24">
      <c r="A2404">
        <f>HYPERLINK("https://www.philgeps.gov.ph/GEPSNONPILOT/Tender/SplashBidNoticeAbstractUI.aspx?menuIndex=3&amp;refID=7078550&amp;Result=3","7078550")</f>
        <v>0</v>
      </c>
      <c r="B2404" t="s">
        <v>839</v>
      </c>
      <c r="C2404" t="s">
        <v>5682</v>
      </c>
      <c r="D2404" t="s">
        <v>16670</v>
      </c>
      <c r="E2404" t="s">
        <v>18915</v>
      </c>
      <c r="F2404" t="s">
        <v>28669</v>
      </c>
      <c r="G2404" t="s">
        <v>28675</v>
      </c>
      <c r="H2404" t="s">
        <v>9998</v>
      </c>
      <c r="I2404" t="s">
        <v>7352</v>
      </c>
      <c r="J2404" t="s">
        <v>30478</v>
      </c>
      <c r="K2404" t="s">
        <v>37206</v>
      </c>
      <c r="M2404" t="s">
        <v>38355</v>
      </c>
      <c r="N2404" t="s">
        <v>41249</v>
      </c>
      <c r="O2404" t="s">
        <v>41250</v>
      </c>
      <c r="P2404">
        <v>0</v>
      </c>
      <c r="Q2404">
        <v>0</v>
      </c>
      <c r="R2404" t="s">
        <v>41251</v>
      </c>
      <c r="S2404" t="s">
        <v>41369</v>
      </c>
      <c r="T2404" t="s">
        <v>42699</v>
      </c>
      <c r="U2404" t="s">
        <v>45274</v>
      </c>
      <c r="W2404" t="s">
        <v>38355</v>
      </c>
      <c r="X2404" t="s">
        <v>41252</v>
      </c>
    </row>
    <row r="2405" spans="1:24">
      <c r="A2405">
        <f>HYPERLINK("https://www.philgeps.gov.ph/GEPSNONPILOT/Tender/SplashBidNoticeAbstractUI.aspx?menuIndex=3&amp;refID=7078527&amp;Result=3","7078527")</f>
        <v>0</v>
      </c>
      <c r="B2405" t="s">
        <v>1016</v>
      </c>
      <c r="C2405" t="s">
        <v>5683</v>
      </c>
      <c r="D2405" t="s">
        <v>16678</v>
      </c>
      <c r="E2405" t="s">
        <v>16877</v>
      </c>
      <c r="F2405" t="s">
        <v>28669</v>
      </c>
      <c r="G2405" t="s">
        <v>28675</v>
      </c>
      <c r="H2405" t="s">
        <v>28686</v>
      </c>
      <c r="I2405" t="s">
        <v>28752</v>
      </c>
      <c r="J2405" t="s">
        <v>30479</v>
      </c>
      <c r="K2405" t="s">
        <v>37213</v>
      </c>
      <c r="M2405" t="s">
        <v>38546</v>
      </c>
      <c r="N2405" t="s">
        <v>41249</v>
      </c>
      <c r="O2405" t="s">
        <v>41250</v>
      </c>
      <c r="P2405">
        <v>0</v>
      </c>
      <c r="Q2405">
        <v>0</v>
      </c>
      <c r="R2405" t="s">
        <v>41251</v>
      </c>
      <c r="S2405" t="s">
        <v>41369</v>
      </c>
      <c r="T2405" t="s">
        <v>42722</v>
      </c>
      <c r="U2405" t="s">
        <v>45275</v>
      </c>
      <c r="W2405" t="s">
        <v>38546</v>
      </c>
      <c r="X2405" t="s">
        <v>41252</v>
      </c>
    </row>
    <row r="2406" spans="1:24">
      <c r="A2406">
        <f>HYPERLINK("https://www.philgeps.gov.ph/GEPSNONPILOT/Tender/SplashBidNoticeAbstractUI.aspx?menuIndex=3&amp;refID=7073312&amp;Result=3","7073312")</f>
        <v>0</v>
      </c>
      <c r="B2406" t="s">
        <v>1017</v>
      </c>
      <c r="C2406" t="s">
        <v>5684</v>
      </c>
      <c r="D2406" t="s">
        <v>16657</v>
      </c>
      <c r="E2406" t="s">
        <v>18916</v>
      </c>
      <c r="F2406" t="s">
        <v>28669</v>
      </c>
      <c r="G2406" t="s">
        <v>28675</v>
      </c>
      <c r="H2406" t="s">
        <v>9998</v>
      </c>
      <c r="I2406" t="s">
        <v>7352</v>
      </c>
      <c r="J2406" t="s">
        <v>30480</v>
      </c>
      <c r="K2406" t="s">
        <v>37209</v>
      </c>
      <c r="M2406" t="s">
        <v>38547</v>
      </c>
      <c r="N2406" t="s">
        <v>41249</v>
      </c>
      <c r="O2406" t="s">
        <v>41250</v>
      </c>
      <c r="P2406">
        <v>0</v>
      </c>
      <c r="Q2406">
        <v>2</v>
      </c>
      <c r="R2406" t="s">
        <v>41252</v>
      </c>
      <c r="S2406" t="s">
        <v>41383</v>
      </c>
      <c r="T2406" t="s">
        <v>42882</v>
      </c>
      <c r="U2406" t="s">
        <v>45276</v>
      </c>
      <c r="V2406" t="s">
        <v>54556</v>
      </c>
      <c r="W2406" t="s">
        <v>38547</v>
      </c>
      <c r="X2406" t="s">
        <v>41254</v>
      </c>
    </row>
    <row r="2407" spans="1:24">
      <c r="A2407">
        <f>HYPERLINK("https://www.philgeps.gov.ph/GEPSNONPILOT/Tender/SplashBidNoticeAbstractUI.aspx?menuIndex=3&amp;refID=7078525&amp;Result=3","7078525")</f>
        <v>0</v>
      </c>
      <c r="B2407" t="s">
        <v>831</v>
      </c>
      <c r="C2407" t="s">
        <v>5685</v>
      </c>
      <c r="D2407" t="s">
        <v>16622</v>
      </c>
      <c r="E2407" t="s">
        <v>18917</v>
      </c>
      <c r="F2407" t="s">
        <v>28669</v>
      </c>
      <c r="G2407" t="s">
        <v>28676</v>
      </c>
      <c r="H2407" t="s">
        <v>28686</v>
      </c>
      <c r="I2407" t="s">
        <v>28689</v>
      </c>
      <c r="J2407" t="s">
        <v>28905</v>
      </c>
      <c r="K2407" t="s">
        <v>37210</v>
      </c>
      <c r="M2407" t="s">
        <v>38347</v>
      </c>
      <c r="N2407" t="s">
        <v>41249</v>
      </c>
      <c r="O2407" t="s">
        <v>41250</v>
      </c>
      <c r="P2407">
        <v>0</v>
      </c>
      <c r="Q2407">
        <v>0</v>
      </c>
      <c r="R2407" t="s">
        <v>41251</v>
      </c>
      <c r="S2407" t="s">
        <v>41369</v>
      </c>
      <c r="T2407" t="s">
        <v>42745</v>
      </c>
      <c r="U2407" t="s">
        <v>44837</v>
      </c>
      <c r="W2407" t="s">
        <v>38347</v>
      </c>
      <c r="X2407" t="s">
        <v>41252</v>
      </c>
    </row>
    <row r="2408" spans="1:24">
      <c r="A2408">
        <f>HYPERLINK("https://www.philgeps.gov.ph/GEPSNONPILOT/Tender/SplashBidNoticeAbstractUI.aspx?menuIndex=3&amp;refID=7078505&amp;Result=3","7078505")</f>
        <v>0</v>
      </c>
      <c r="B2408" t="s">
        <v>861</v>
      </c>
      <c r="C2408" t="s">
        <v>5686</v>
      </c>
      <c r="D2408" t="s">
        <v>16687</v>
      </c>
      <c r="E2408" t="s">
        <v>18918</v>
      </c>
      <c r="F2408" t="s">
        <v>28669</v>
      </c>
      <c r="G2408" t="s">
        <v>28676</v>
      </c>
      <c r="H2408" t="s">
        <v>28684</v>
      </c>
      <c r="I2408" t="s">
        <v>28689</v>
      </c>
      <c r="J2408" t="s">
        <v>28905</v>
      </c>
      <c r="K2408" t="s">
        <v>37221</v>
      </c>
      <c r="M2408" t="s">
        <v>38379</v>
      </c>
      <c r="N2408" t="s">
        <v>41249</v>
      </c>
      <c r="O2408" t="s">
        <v>41250</v>
      </c>
      <c r="P2408">
        <v>0</v>
      </c>
      <c r="Q2408">
        <v>0</v>
      </c>
      <c r="R2408" t="s">
        <v>41251</v>
      </c>
      <c r="S2408" t="s">
        <v>41369</v>
      </c>
      <c r="T2408" t="s">
        <v>42782</v>
      </c>
      <c r="U2408" t="s">
        <v>45277</v>
      </c>
      <c r="W2408" t="s">
        <v>38379</v>
      </c>
      <c r="X2408" t="s">
        <v>41252</v>
      </c>
    </row>
    <row r="2409" spans="1:24">
      <c r="A2409">
        <f>HYPERLINK("https://www.philgeps.gov.ph/GEPSNONPILOT/Tender/SplashBidNoticeAbstractUI.aspx?menuIndex=3&amp;refID=7078502&amp;Result=3","7078502")</f>
        <v>0</v>
      </c>
      <c r="B2409" t="s">
        <v>1018</v>
      </c>
      <c r="C2409" t="s">
        <v>5687</v>
      </c>
      <c r="D2409" t="s">
        <v>16608</v>
      </c>
      <c r="E2409" t="s">
        <v>18919</v>
      </c>
      <c r="F2409" t="s">
        <v>28669</v>
      </c>
      <c r="G2409" t="s">
        <v>28676</v>
      </c>
      <c r="H2409" t="s">
        <v>9998</v>
      </c>
      <c r="I2409" t="s">
        <v>11593</v>
      </c>
      <c r="J2409" t="s">
        <v>28889</v>
      </c>
      <c r="K2409" t="s">
        <v>37204</v>
      </c>
      <c r="M2409" t="s">
        <v>38548</v>
      </c>
      <c r="N2409" t="s">
        <v>41249</v>
      </c>
      <c r="O2409" t="s">
        <v>41250</v>
      </c>
      <c r="P2409">
        <v>0</v>
      </c>
      <c r="Q2409">
        <v>23</v>
      </c>
      <c r="R2409" t="s">
        <v>41251</v>
      </c>
      <c r="S2409" t="s">
        <v>41369</v>
      </c>
      <c r="T2409" t="s">
        <v>42757</v>
      </c>
      <c r="U2409" t="s">
        <v>45278</v>
      </c>
      <c r="W2409" t="s">
        <v>38548</v>
      </c>
      <c r="X2409" t="s">
        <v>41252</v>
      </c>
    </row>
    <row r="2410" spans="1:24">
      <c r="A2410">
        <f>HYPERLINK("https://www.philgeps.gov.ph/GEPSNONPILOT/Tender/SplashBidNoticeAbstractUI.aspx?menuIndex=3&amp;refID=7071536&amp;Result=3","7071536")</f>
        <v>0</v>
      </c>
      <c r="B2410" t="s">
        <v>1019</v>
      </c>
      <c r="C2410" t="s">
        <v>5688</v>
      </c>
      <c r="D2410" t="s">
        <v>16616</v>
      </c>
      <c r="E2410" t="s">
        <v>18920</v>
      </c>
      <c r="F2410" t="s">
        <v>28669</v>
      </c>
      <c r="G2410" t="s">
        <v>28675</v>
      </c>
      <c r="H2410" t="s">
        <v>28686</v>
      </c>
      <c r="I2410" t="s">
        <v>28702</v>
      </c>
      <c r="J2410" t="s">
        <v>30481</v>
      </c>
      <c r="K2410" t="s">
        <v>37213</v>
      </c>
      <c r="M2410" t="s">
        <v>38549</v>
      </c>
      <c r="N2410" t="s">
        <v>41249</v>
      </c>
      <c r="O2410" t="s">
        <v>41250</v>
      </c>
      <c r="P2410">
        <v>0</v>
      </c>
      <c r="Q2410">
        <v>0</v>
      </c>
      <c r="R2410" t="s">
        <v>41252</v>
      </c>
      <c r="S2410" t="s">
        <v>41383</v>
      </c>
      <c r="T2410" t="s">
        <v>42698</v>
      </c>
      <c r="U2410" t="s">
        <v>45279</v>
      </c>
      <c r="W2410" t="s">
        <v>38549</v>
      </c>
      <c r="X2410" t="s">
        <v>41257</v>
      </c>
    </row>
    <row r="2411" spans="1:24">
      <c r="A2411">
        <f>HYPERLINK("https://www.philgeps.gov.ph/GEPSNONPILOT/Tender/SplashBidNoticeAbstractUI.aspx?menuIndex=3&amp;refID=7078501&amp;Result=3","7078501")</f>
        <v>0</v>
      </c>
      <c r="B2411" t="s">
        <v>1020</v>
      </c>
      <c r="C2411" t="s">
        <v>5689</v>
      </c>
      <c r="D2411" t="s">
        <v>16657</v>
      </c>
      <c r="E2411" t="s">
        <v>18921</v>
      </c>
      <c r="F2411" t="s">
        <v>28669</v>
      </c>
      <c r="G2411" t="s">
        <v>28675</v>
      </c>
      <c r="H2411" t="s">
        <v>28686</v>
      </c>
      <c r="I2411" t="s">
        <v>28689</v>
      </c>
      <c r="J2411" t="s">
        <v>28878</v>
      </c>
      <c r="K2411" t="s">
        <v>37209</v>
      </c>
      <c r="M2411" t="s">
        <v>38550</v>
      </c>
      <c r="N2411" t="s">
        <v>41249</v>
      </c>
      <c r="O2411" t="s">
        <v>41250</v>
      </c>
      <c r="P2411">
        <v>0</v>
      </c>
      <c r="Q2411">
        <v>2</v>
      </c>
      <c r="R2411" t="s">
        <v>41251</v>
      </c>
      <c r="S2411" t="s">
        <v>41369</v>
      </c>
      <c r="T2411" t="s">
        <v>42683</v>
      </c>
      <c r="U2411" t="s">
        <v>45280</v>
      </c>
      <c r="V2411" t="s">
        <v>54557</v>
      </c>
      <c r="W2411" t="s">
        <v>38550</v>
      </c>
      <c r="X2411" t="s">
        <v>41252</v>
      </c>
    </row>
    <row r="2412" spans="1:24">
      <c r="A2412">
        <f>HYPERLINK("https://www.philgeps.gov.ph/GEPSNONPILOT/Tender/SplashBidNoticeAbstractUI.aspx?menuIndex=3&amp;refID=7078497&amp;Result=3","7078497")</f>
        <v>0</v>
      </c>
      <c r="B2412" t="s">
        <v>376</v>
      </c>
      <c r="C2412" t="s">
        <v>5690</v>
      </c>
      <c r="D2412" t="s">
        <v>16608</v>
      </c>
      <c r="E2412" t="s">
        <v>18922</v>
      </c>
      <c r="F2412" t="s">
        <v>28669</v>
      </c>
      <c r="G2412" t="s">
        <v>28676</v>
      </c>
      <c r="H2412" t="s">
        <v>9998</v>
      </c>
      <c r="I2412" t="s">
        <v>5213</v>
      </c>
      <c r="J2412" t="s">
        <v>30482</v>
      </c>
      <c r="K2412" t="s">
        <v>37206</v>
      </c>
      <c r="M2412" t="s">
        <v>38333</v>
      </c>
      <c r="N2412" t="s">
        <v>41249</v>
      </c>
      <c r="O2412" t="s">
        <v>41250</v>
      </c>
      <c r="P2412">
        <v>0</v>
      </c>
      <c r="Q2412">
        <v>3</v>
      </c>
      <c r="R2412" t="s">
        <v>41251</v>
      </c>
      <c r="S2412" t="s">
        <v>41369</v>
      </c>
      <c r="T2412" t="s">
        <v>42754</v>
      </c>
      <c r="U2412" t="s">
        <v>45281</v>
      </c>
      <c r="W2412" t="s">
        <v>38333</v>
      </c>
      <c r="X2412" t="s">
        <v>41252</v>
      </c>
    </row>
    <row r="2413" spans="1:24">
      <c r="A2413">
        <f>HYPERLINK("https://www.philgeps.gov.ph/GEPSNONPILOT/Tender/SplashBidNoticeAbstractUI.aspx?menuIndex=3&amp;refID=7078528&amp;Result=3","7078528")</f>
        <v>0</v>
      </c>
      <c r="B2413" t="s">
        <v>624</v>
      </c>
      <c r="C2413" t="s">
        <v>5691</v>
      </c>
      <c r="D2413" t="s">
        <v>16608</v>
      </c>
      <c r="E2413" t="s">
        <v>18923</v>
      </c>
      <c r="F2413" t="s">
        <v>28669</v>
      </c>
      <c r="G2413" t="s">
        <v>28676</v>
      </c>
      <c r="H2413" t="s">
        <v>28684</v>
      </c>
      <c r="I2413" t="s">
        <v>28788</v>
      </c>
      <c r="J2413" t="s">
        <v>29003</v>
      </c>
      <c r="K2413" t="s">
        <v>37206</v>
      </c>
      <c r="M2413" t="s">
        <v>38124</v>
      </c>
      <c r="N2413" t="s">
        <v>41249</v>
      </c>
      <c r="O2413" t="s">
        <v>41250</v>
      </c>
      <c r="P2413">
        <v>0</v>
      </c>
      <c r="Q2413">
        <v>3</v>
      </c>
      <c r="R2413" t="s">
        <v>41251</v>
      </c>
      <c r="S2413" t="s">
        <v>41369</v>
      </c>
      <c r="T2413" t="s">
        <v>42717</v>
      </c>
      <c r="U2413" t="s">
        <v>45282</v>
      </c>
      <c r="W2413" t="s">
        <v>38124</v>
      </c>
      <c r="X2413" t="s">
        <v>41252</v>
      </c>
    </row>
    <row r="2414" spans="1:24">
      <c r="A2414">
        <f>HYPERLINK("https://www.philgeps.gov.ph/GEPSNONPILOT/Tender/SplashBidNoticeAbstractUI.aspx?menuIndex=3&amp;refID=7078493&amp;Result=3","7078493")</f>
        <v>0</v>
      </c>
      <c r="B2414" t="s">
        <v>811</v>
      </c>
      <c r="C2414" t="s">
        <v>5692</v>
      </c>
      <c r="D2414" t="s">
        <v>16615</v>
      </c>
      <c r="E2414" t="s">
        <v>18924</v>
      </c>
      <c r="F2414" t="s">
        <v>28669</v>
      </c>
      <c r="G2414" t="s">
        <v>28675</v>
      </c>
      <c r="H2414" t="s">
        <v>9998</v>
      </c>
      <c r="I2414" t="s">
        <v>7352</v>
      </c>
      <c r="J2414" t="s">
        <v>30483</v>
      </c>
      <c r="K2414" t="s">
        <v>37205</v>
      </c>
      <c r="M2414" t="s">
        <v>38326</v>
      </c>
      <c r="N2414" t="s">
        <v>41249</v>
      </c>
      <c r="O2414" t="s">
        <v>41250</v>
      </c>
      <c r="P2414">
        <v>0</v>
      </c>
      <c r="Q2414">
        <v>1</v>
      </c>
      <c r="R2414" t="s">
        <v>41251</v>
      </c>
      <c r="S2414" t="s">
        <v>41369</v>
      </c>
      <c r="T2414" t="s">
        <v>42714</v>
      </c>
      <c r="U2414" t="s">
        <v>45283</v>
      </c>
      <c r="V2414" t="s">
        <v>54558</v>
      </c>
      <c r="W2414" t="s">
        <v>38326</v>
      </c>
      <c r="X2414" t="s">
        <v>41252</v>
      </c>
    </row>
    <row r="2415" spans="1:24">
      <c r="A2415">
        <f>HYPERLINK("https://www.philgeps.gov.ph/GEPSNONPILOT/Tender/SplashBidNoticeAbstractUI.aspx?menuIndex=3&amp;refID=7078340&amp;Result=3","7078340")</f>
        <v>0</v>
      </c>
      <c r="B2415" t="s">
        <v>778</v>
      </c>
      <c r="C2415" t="s">
        <v>5693</v>
      </c>
      <c r="D2415" t="s">
        <v>16675</v>
      </c>
      <c r="E2415" t="s">
        <v>18925</v>
      </c>
      <c r="F2415" t="s">
        <v>28669</v>
      </c>
      <c r="G2415" t="s">
        <v>28676</v>
      </c>
      <c r="H2415" t="s">
        <v>9998</v>
      </c>
      <c r="I2415" t="s">
        <v>28690</v>
      </c>
      <c r="J2415" t="s">
        <v>30484</v>
      </c>
      <c r="K2415" t="s">
        <v>37210</v>
      </c>
      <c r="M2415" t="s">
        <v>38292</v>
      </c>
      <c r="N2415" t="s">
        <v>41249</v>
      </c>
      <c r="O2415" t="s">
        <v>41250</v>
      </c>
      <c r="P2415">
        <v>0</v>
      </c>
      <c r="Q2415">
        <v>4</v>
      </c>
      <c r="R2415" t="s">
        <v>41251</v>
      </c>
      <c r="S2415" t="s">
        <v>41369</v>
      </c>
      <c r="T2415" t="s">
        <v>42711</v>
      </c>
      <c r="U2415" t="s">
        <v>44716</v>
      </c>
      <c r="W2415" t="s">
        <v>38292</v>
      </c>
      <c r="X2415" t="s">
        <v>41252</v>
      </c>
    </row>
    <row r="2416" spans="1:24">
      <c r="A2416">
        <f>HYPERLINK("https://www.philgeps.gov.ph/GEPSNONPILOT/Tender/SplashBidNoticeAbstractUI.aspx?menuIndex=3&amp;refID=7078506&amp;Result=3","7078506")</f>
        <v>0</v>
      </c>
      <c r="B2416" t="s">
        <v>822</v>
      </c>
      <c r="C2416" t="s">
        <v>5694</v>
      </c>
      <c r="D2416" t="s">
        <v>16627</v>
      </c>
      <c r="E2416" t="s">
        <v>18926</v>
      </c>
      <c r="F2416" t="s">
        <v>28669</v>
      </c>
      <c r="G2416" t="s">
        <v>28676</v>
      </c>
      <c r="H2416" t="s">
        <v>9998</v>
      </c>
      <c r="I2416" t="s">
        <v>28695</v>
      </c>
      <c r="J2416" t="s">
        <v>30485</v>
      </c>
      <c r="K2416" t="s">
        <v>37210</v>
      </c>
      <c r="M2416" t="s">
        <v>38338</v>
      </c>
      <c r="N2416" t="s">
        <v>41249</v>
      </c>
      <c r="O2416" t="s">
        <v>41250</v>
      </c>
      <c r="P2416">
        <v>0</v>
      </c>
      <c r="Q2416">
        <v>0</v>
      </c>
      <c r="R2416" t="s">
        <v>41251</v>
      </c>
      <c r="S2416" t="s">
        <v>41369</v>
      </c>
      <c r="T2416" t="s">
        <v>42671</v>
      </c>
      <c r="U2416" t="s">
        <v>44812</v>
      </c>
      <c r="V2416" t="s">
        <v>54483</v>
      </c>
      <c r="W2416" t="s">
        <v>38338</v>
      </c>
      <c r="X2416" t="s">
        <v>41252</v>
      </c>
    </row>
    <row r="2417" spans="1:24">
      <c r="A2417">
        <f>HYPERLINK("https://www.philgeps.gov.ph/GEPSNONPILOT/Tender/SplashBidNoticeAbstractUI.aspx?menuIndex=3&amp;refID=7069757&amp;Result=3","7069757")</f>
        <v>0</v>
      </c>
      <c r="B2417" t="s">
        <v>517</v>
      </c>
      <c r="C2417" t="s">
        <v>5695</v>
      </c>
      <c r="D2417" t="s">
        <v>16647</v>
      </c>
      <c r="E2417" t="s">
        <v>18927</v>
      </c>
      <c r="F2417" t="s">
        <v>28669</v>
      </c>
      <c r="G2417" t="s">
        <v>28675</v>
      </c>
      <c r="H2417" t="s">
        <v>28686</v>
      </c>
      <c r="I2417" t="s">
        <v>28689</v>
      </c>
      <c r="J2417" t="s">
        <v>30486</v>
      </c>
      <c r="K2417" t="s">
        <v>37210</v>
      </c>
      <c r="L2417" t="s">
        <v>517</v>
      </c>
      <c r="M2417" t="s">
        <v>38007</v>
      </c>
      <c r="N2417" t="s">
        <v>41249</v>
      </c>
      <c r="O2417" t="s">
        <v>41250</v>
      </c>
      <c r="P2417">
        <v>0</v>
      </c>
      <c r="Q2417">
        <v>1</v>
      </c>
      <c r="R2417" t="s">
        <v>41252</v>
      </c>
      <c r="S2417" t="s">
        <v>41383</v>
      </c>
      <c r="T2417" t="s">
        <v>42742</v>
      </c>
      <c r="U2417" t="s">
        <v>45284</v>
      </c>
      <c r="W2417" t="s">
        <v>38007</v>
      </c>
      <c r="X2417" t="s">
        <v>41258</v>
      </c>
    </row>
    <row r="2418" spans="1:24">
      <c r="A2418">
        <f>HYPERLINK("https://www.philgeps.gov.ph/GEPSNONPILOT/Tender/SplashBidNoticeAbstractUI.aspx?menuIndex=3&amp;refID=7073316&amp;Result=3","7073316")</f>
        <v>0</v>
      </c>
      <c r="B2418" t="s">
        <v>1021</v>
      </c>
      <c r="C2418" t="s">
        <v>5696</v>
      </c>
      <c r="D2418" t="s">
        <v>16646</v>
      </c>
      <c r="E2418" t="s">
        <v>18928</v>
      </c>
      <c r="F2418" t="s">
        <v>28669</v>
      </c>
      <c r="G2418" t="s">
        <v>28677</v>
      </c>
      <c r="H2418" t="s">
        <v>9998</v>
      </c>
      <c r="I2418" t="s">
        <v>28690</v>
      </c>
      <c r="J2418" t="s">
        <v>30263</v>
      </c>
      <c r="K2418" t="s">
        <v>37234</v>
      </c>
      <c r="M2418" t="s">
        <v>38551</v>
      </c>
      <c r="N2418" t="s">
        <v>41249</v>
      </c>
      <c r="O2418" t="s">
        <v>41250</v>
      </c>
      <c r="P2418">
        <v>0</v>
      </c>
      <c r="Q2418">
        <v>0</v>
      </c>
      <c r="R2418" t="s">
        <v>41252</v>
      </c>
      <c r="S2418" t="s">
        <v>41383</v>
      </c>
      <c r="T2418" t="s">
        <v>42727</v>
      </c>
      <c r="U2418" t="s">
        <v>45285</v>
      </c>
      <c r="W2418" t="s">
        <v>38551</v>
      </c>
      <c r="X2418" t="s">
        <v>41254</v>
      </c>
    </row>
    <row r="2419" spans="1:24">
      <c r="A2419">
        <f>HYPERLINK("https://www.philgeps.gov.ph/GEPSNONPILOT/Tender/SplashBidNoticeAbstractUI.aspx?menuIndex=3&amp;refID=7078496&amp;Result=3","7078496")</f>
        <v>0</v>
      </c>
      <c r="B2419" t="s">
        <v>92</v>
      </c>
      <c r="C2419" t="s">
        <v>5697</v>
      </c>
      <c r="D2419" t="s">
        <v>16653</v>
      </c>
      <c r="E2419" t="s">
        <v>18929</v>
      </c>
      <c r="F2419" t="s">
        <v>28669</v>
      </c>
      <c r="G2419" t="s">
        <v>28676</v>
      </c>
      <c r="H2419" t="s">
        <v>9998</v>
      </c>
      <c r="I2419" t="s">
        <v>5213</v>
      </c>
      <c r="J2419" t="s">
        <v>30487</v>
      </c>
      <c r="K2419" t="s">
        <v>37205</v>
      </c>
      <c r="L2419" t="s">
        <v>92</v>
      </c>
      <c r="M2419" t="s">
        <v>37567</v>
      </c>
      <c r="N2419" t="s">
        <v>41249</v>
      </c>
      <c r="O2419" t="s">
        <v>41250</v>
      </c>
      <c r="P2419">
        <v>0</v>
      </c>
      <c r="Q2419">
        <v>0</v>
      </c>
      <c r="R2419" t="s">
        <v>41251</v>
      </c>
      <c r="S2419" t="s">
        <v>41369</v>
      </c>
      <c r="T2419" t="s">
        <v>42694</v>
      </c>
      <c r="U2419" t="s">
        <v>43311</v>
      </c>
      <c r="W2419" t="s">
        <v>37567</v>
      </c>
      <c r="X2419" t="s">
        <v>41252</v>
      </c>
    </row>
    <row r="2420" spans="1:24">
      <c r="A2420">
        <f>HYPERLINK("https://www.philgeps.gov.ph/GEPSNONPILOT/Tender/SplashBidNoticeAbstractUI.aspx?menuIndex=3&amp;refID=7073329&amp;Result=3","7073329")</f>
        <v>0</v>
      </c>
      <c r="B2420" t="s">
        <v>1022</v>
      </c>
      <c r="C2420" t="s">
        <v>5698</v>
      </c>
      <c r="E2420" t="s">
        <v>18884</v>
      </c>
      <c r="F2420" t="s">
        <v>28669</v>
      </c>
      <c r="G2420" t="s">
        <v>28675</v>
      </c>
      <c r="H2420" t="s">
        <v>9998</v>
      </c>
      <c r="I2420" t="s">
        <v>28695</v>
      </c>
      <c r="J2420" t="s">
        <v>29133</v>
      </c>
      <c r="K2420" t="s">
        <v>37205</v>
      </c>
      <c r="M2420" t="s">
        <v>38552</v>
      </c>
      <c r="N2420" t="s">
        <v>41249</v>
      </c>
      <c r="O2420" t="s">
        <v>41250</v>
      </c>
      <c r="P2420">
        <v>0</v>
      </c>
      <c r="Q2420">
        <v>1</v>
      </c>
      <c r="R2420" t="s">
        <v>41252</v>
      </c>
      <c r="S2420" t="s">
        <v>41383</v>
      </c>
      <c r="T2420" t="s">
        <v>42719</v>
      </c>
      <c r="U2420" t="s">
        <v>45286</v>
      </c>
      <c r="V2420" t="s">
        <v>54559</v>
      </c>
      <c r="W2420" t="s">
        <v>38552</v>
      </c>
      <c r="X2420" t="s">
        <v>41254</v>
      </c>
    </row>
    <row r="2421" spans="1:24">
      <c r="A2421">
        <f>HYPERLINK("https://www.philgeps.gov.ph/GEPSNONPILOT/Tender/SplashBidNoticeAbstractUI.aspx?menuIndex=3&amp;refID=7073327&amp;Result=3","7073327")</f>
        <v>0</v>
      </c>
      <c r="B2421" t="s">
        <v>1023</v>
      </c>
      <c r="C2421" t="s">
        <v>5699</v>
      </c>
      <c r="D2421" t="s">
        <v>16640</v>
      </c>
      <c r="E2421" t="s">
        <v>18930</v>
      </c>
      <c r="F2421" t="s">
        <v>28669</v>
      </c>
      <c r="G2421" t="s">
        <v>28676</v>
      </c>
      <c r="H2421" t="s">
        <v>9998</v>
      </c>
      <c r="I2421" t="s">
        <v>28704</v>
      </c>
      <c r="J2421" t="s">
        <v>30488</v>
      </c>
      <c r="K2421" t="s">
        <v>37208</v>
      </c>
      <c r="M2421" t="s">
        <v>38553</v>
      </c>
      <c r="N2421" t="s">
        <v>41249</v>
      </c>
      <c r="O2421" t="s">
        <v>41250</v>
      </c>
      <c r="P2421">
        <v>0</v>
      </c>
      <c r="Q2421">
        <v>0</v>
      </c>
      <c r="R2421" t="s">
        <v>41252</v>
      </c>
      <c r="S2421" t="s">
        <v>41383</v>
      </c>
      <c r="T2421" t="s">
        <v>42736</v>
      </c>
      <c r="U2421" t="s">
        <v>45287</v>
      </c>
      <c r="W2421" t="s">
        <v>38553</v>
      </c>
      <c r="X2421" t="s">
        <v>41254</v>
      </c>
    </row>
    <row r="2422" spans="1:24">
      <c r="A2422">
        <f>HYPERLINK("https://www.philgeps.gov.ph/GEPSNONPILOT/Tender/SplashBidNoticeAbstractUI.aspx?menuIndex=3&amp;refID=7073326&amp;Result=3","7073326")</f>
        <v>0</v>
      </c>
      <c r="B2422" t="s">
        <v>903</v>
      </c>
      <c r="C2422" t="s">
        <v>5700</v>
      </c>
      <c r="D2422" t="s">
        <v>16678</v>
      </c>
      <c r="E2422" t="s">
        <v>18931</v>
      </c>
      <c r="F2422" t="s">
        <v>28669</v>
      </c>
      <c r="G2422" t="s">
        <v>28676</v>
      </c>
      <c r="H2422" t="s">
        <v>9998</v>
      </c>
      <c r="I2422" t="s">
        <v>11593</v>
      </c>
      <c r="J2422" t="s">
        <v>28990</v>
      </c>
      <c r="K2422" t="s">
        <v>37206</v>
      </c>
      <c r="M2422" t="s">
        <v>38424</v>
      </c>
      <c r="N2422" t="s">
        <v>41249</v>
      </c>
      <c r="O2422" t="s">
        <v>41250</v>
      </c>
      <c r="P2422">
        <v>0</v>
      </c>
      <c r="Q2422">
        <v>0</v>
      </c>
      <c r="R2422" t="s">
        <v>41252</v>
      </c>
      <c r="S2422" t="s">
        <v>41383</v>
      </c>
      <c r="T2422" t="s">
        <v>42729</v>
      </c>
      <c r="U2422" t="s">
        <v>45288</v>
      </c>
      <c r="W2422" t="s">
        <v>38424</v>
      </c>
      <c r="X2422" t="s">
        <v>41254</v>
      </c>
    </row>
    <row r="2423" spans="1:24">
      <c r="A2423">
        <f>HYPERLINK("https://www.philgeps.gov.ph/GEPSNONPILOT/Tender/SplashBidNoticeAbstractUI.aspx?menuIndex=3&amp;refID=7073325&amp;Result=3","7073325")</f>
        <v>0</v>
      </c>
      <c r="B2423" t="s">
        <v>1024</v>
      </c>
      <c r="C2423" t="s">
        <v>5701</v>
      </c>
      <c r="D2423" t="s">
        <v>16608</v>
      </c>
      <c r="E2423" t="s">
        <v>18932</v>
      </c>
      <c r="F2423" t="s">
        <v>28669</v>
      </c>
      <c r="G2423" t="s">
        <v>28677</v>
      </c>
      <c r="H2423" t="s">
        <v>9998</v>
      </c>
      <c r="I2423" t="s">
        <v>7352</v>
      </c>
      <c r="J2423" t="s">
        <v>30489</v>
      </c>
      <c r="K2423" t="s">
        <v>37206</v>
      </c>
      <c r="M2423" t="s">
        <v>38554</v>
      </c>
      <c r="N2423" t="s">
        <v>41249</v>
      </c>
      <c r="O2423" t="s">
        <v>41250</v>
      </c>
      <c r="P2423">
        <v>0</v>
      </c>
      <c r="Q2423">
        <v>0</v>
      </c>
      <c r="R2423" t="s">
        <v>41252</v>
      </c>
      <c r="S2423" t="s">
        <v>41383</v>
      </c>
      <c r="T2423" t="s">
        <v>42679</v>
      </c>
      <c r="U2423" t="s">
        <v>45289</v>
      </c>
      <c r="W2423" t="s">
        <v>38554</v>
      </c>
      <c r="X2423" t="s">
        <v>41254</v>
      </c>
    </row>
    <row r="2424" spans="1:24">
      <c r="A2424">
        <f>HYPERLINK("https://www.philgeps.gov.ph/GEPSNONPILOT/Tender/SplashBidNoticeAbstractUI.aspx?menuIndex=3&amp;refID=7067042&amp;Result=3","7067042")</f>
        <v>0</v>
      </c>
      <c r="B2424" t="s">
        <v>909</v>
      </c>
      <c r="C2424" t="s">
        <v>5702</v>
      </c>
      <c r="D2424" t="s">
        <v>16662</v>
      </c>
      <c r="E2424" t="s">
        <v>18911</v>
      </c>
      <c r="F2424" t="s">
        <v>28669</v>
      </c>
      <c r="G2424" t="s">
        <v>28675</v>
      </c>
      <c r="H2424" t="s">
        <v>9998</v>
      </c>
      <c r="I2424" t="s">
        <v>5213</v>
      </c>
      <c r="J2424" t="s">
        <v>29404</v>
      </c>
      <c r="K2424" t="s">
        <v>37206</v>
      </c>
      <c r="M2424" t="s">
        <v>38431</v>
      </c>
      <c r="N2424" t="s">
        <v>41249</v>
      </c>
      <c r="O2424" t="s">
        <v>41250</v>
      </c>
      <c r="P2424">
        <v>0</v>
      </c>
      <c r="Q2424">
        <v>0</v>
      </c>
      <c r="R2424" t="s">
        <v>41252</v>
      </c>
      <c r="S2424" t="s">
        <v>41383</v>
      </c>
      <c r="T2424" t="s">
        <v>42688</v>
      </c>
      <c r="U2424" t="s">
        <v>45272</v>
      </c>
      <c r="W2424" t="s">
        <v>38431</v>
      </c>
      <c r="X2424" t="s">
        <v>41259</v>
      </c>
    </row>
    <row r="2425" spans="1:24">
      <c r="A2425">
        <f>HYPERLINK("https://www.philgeps.gov.ph/GEPSNONPILOT/Tender/SplashBidNoticeAbstractUI.aspx?menuIndex=3&amp;refID=7073324&amp;Result=3","7073324")</f>
        <v>0</v>
      </c>
      <c r="B2425" t="s">
        <v>1025</v>
      </c>
      <c r="C2425" t="s">
        <v>5703</v>
      </c>
      <c r="D2425" t="s">
        <v>16608</v>
      </c>
      <c r="E2425" t="s">
        <v>18933</v>
      </c>
      <c r="F2425" t="s">
        <v>28669</v>
      </c>
      <c r="G2425" t="s">
        <v>28677</v>
      </c>
      <c r="H2425" t="s">
        <v>9998</v>
      </c>
      <c r="I2425" t="s">
        <v>28717</v>
      </c>
      <c r="J2425" t="s">
        <v>30490</v>
      </c>
      <c r="K2425" t="s">
        <v>37209</v>
      </c>
      <c r="M2425" t="s">
        <v>38555</v>
      </c>
      <c r="N2425" t="s">
        <v>41249</v>
      </c>
      <c r="O2425" t="s">
        <v>41250</v>
      </c>
      <c r="P2425">
        <v>0</v>
      </c>
      <c r="Q2425">
        <v>8</v>
      </c>
      <c r="R2425" t="s">
        <v>41252</v>
      </c>
      <c r="S2425" t="s">
        <v>41383</v>
      </c>
      <c r="T2425" t="s">
        <v>42883</v>
      </c>
      <c r="U2425" t="s">
        <v>45290</v>
      </c>
      <c r="W2425" t="s">
        <v>38555</v>
      </c>
      <c r="X2425" t="s">
        <v>41254</v>
      </c>
    </row>
    <row r="2426" spans="1:24">
      <c r="A2426">
        <f>HYPERLINK("https://www.philgeps.gov.ph/GEPSNONPILOT/Tender/SplashBidNoticeAbstractUI.aspx?menuIndex=3&amp;refID=7073322&amp;Result=3","7073322")</f>
        <v>0</v>
      </c>
      <c r="B2426" t="s">
        <v>997</v>
      </c>
      <c r="C2426" t="s">
        <v>5704</v>
      </c>
      <c r="D2426" t="s">
        <v>16642</v>
      </c>
      <c r="E2426" t="s">
        <v>18934</v>
      </c>
      <c r="F2426" t="s">
        <v>28669</v>
      </c>
      <c r="G2426" t="s">
        <v>28676</v>
      </c>
      <c r="H2426" t="s">
        <v>9998</v>
      </c>
      <c r="I2426" t="s">
        <v>28728</v>
      </c>
      <c r="J2426" t="s">
        <v>30491</v>
      </c>
      <c r="K2426" t="s">
        <v>37206</v>
      </c>
      <c r="M2426" t="s">
        <v>38525</v>
      </c>
      <c r="N2426" t="s">
        <v>41249</v>
      </c>
      <c r="O2426" t="s">
        <v>41250</v>
      </c>
      <c r="P2426">
        <v>0</v>
      </c>
      <c r="Q2426">
        <v>3</v>
      </c>
      <c r="R2426" t="s">
        <v>41252</v>
      </c>
      <c r="S2426" t="s">
        <v>41383</v>
      </c>
      <c r="T2426" t="s">
        <v>42770</v>
      </c>
      <c r="U2426" t="s">
        <v>45233</v>
      </c>
      <c r="W2426" t="s">
        <v>55941</v>
      </c>
      <c r="X2426" t="s">
        <v>41254</v>
      </c>
    </row>
    <row r="2427" spans="1:24">
      <c r="A2427">
        <f>HYPERLINK("https://www.philgeps.gov.ph/GEPSNONPILOT/Tender/SplashBidNoticeAbstractUI.aspx?menuIndex=3&amp;refID=7073315&amp;Result=3","7073315")</f>
        <v>0</v>
      </c>
      <c r="B2427" t="s">
        <v>1026</v>
      </c>
      <c r="C2427" t="s">
        <v>5705</v>
      </c>
      <c r="D2427" t="s">
        <v>16670</v>
      </c>
      <c r="E2427" t="s">
        <v>18935</v>
      </c>
      <c r="F2427" t="s">
        <v>28669</v>
      </c>
      <c r="G2427" t="s">
        <v>28675</v>
      </c>
      <c r="H2427" t="s">
        <v>28686</v>
      </c>
      <c r="I2427" t="s">
        <v>28689</v>
      </c>
      <c r="J2427" t="s">
        <v>30492</v>
      </c>
      <c r="K2427" t="s">
        <v>37220</v>
      </c>
      <c r="M2427" t="s">
        <v>38556</v>
      </c>
      <c r="N2427" t="s">
        <v>41249</v>
      </c>
      <c r="O2427" t="s">
        <v>41250</v>
      </c>
      <c r="P2427">
        <v>0</v>
      </c>
      <c r="Q2427">
        <v>0</v>
      </c>
      <c r="R2427" t="s">
        <v>41252</v>
      </c>
      <c r="S2427" t="s">
        <v>41383</v>
      </c>
      <c r="T2427" t="s">
        <v>42703</v>
      </c>
      <c r="U2427" t="s">
        <v>45291</v>
      </c>
      <c r="W2427" t="s">
        <v>38556</v>
      </c>
      <c r="X2427" t="s">
        <v>41254</v>
      </c>
    </row>
    <row r="2428" spans="1:24">
      <c r="A2428">
        <f>HYPERLINK("https://www.philgeps.gov.ph/GEPSNONPILOT/Tender/SplashBidNoticeAbstractUI.aspx?menuIndex=3&amp;refID=7073336&amp;Result=3","7073336")</f>
        <v>0</v>
      </c>
      <c r="B2428" t="s">
        <v>714</v>
      </c>
      <c r="C2428" t="s">
        <v>5706</v>
      </c>
      <c r="D2428" t="s">
        <v>16608</v>
      </c>
      <c r="E2428" t="s">
        <v>18936</v>
      </c>
      <c r="F2428" t="s">
        <v>28669</v>
      </c>
      <c r="G2428" t="s">
        <v>28675</v>
      </c>
      <c r="H2428" t="s">
        <v>9998</v>
      </c>
      <c r="I2428" t="s">
        <v>28687</v>
      </c>
      <c r="J2428" t="s">
        <v>30493</v>
      </c>
      <c r="K2428" t="s">
        <v>37206</v>
      </c>
      <c r="M2428" t="s">
        <v>38221</v>
      </c>
      <c r="N2428" t="s">
        <v>41249</v>
      </c>
      <c r="O2428" t="s">
        <v>41250</v>
      </c>
      <c r="P2428">
        <v>0</v>
      </c>
      <c r="Q2428">
        <v>4</v>
      </c>
      <c r="R2428" t="s">
        <v>41252</v>
      </c>
      <c r="S2428" t="s">
        <v>41383</v>
      </c>
      <c r="T2428" t="s">
        <v>42808</v>
      </c>
      <c r="U2428" t="s">
        <v>45292</v>
      </c>
      <c r="W2428" t="s">
        <v>38221</v>
      </c>
      <c r="X2428" t="s">
        <v>41254</v>
      </c>
    </row>
    <row r="2429" spans="1:24">
      <c r="A2429">
        <f>HYPERLINK("https://www.philgeps.gov.ph/GEPSNONPILOT/Tender/SplashBidNoticeAbstractUI.aspx?menuIndex=3&amp;refID=7073333&amp;Result=3","7073333")</f>
        <v>0</v>
      </c>
      <c r="B2429" t="s">
        <v>136</v>
      </c>
      <c r="C2429" t="s">
        <v>5707</v>
      </c>
      <c r="D2429" t="s">
        <v>16642</v>
      </c>
      <c r="E2429" t="s">
        <v>18937</v>
      </c>
      <c r="F2429" t="s">
        <v>28669</v>
      </c>
      <c r="G2429" t="s">
        <v>28676</v>
      </c>
      <c r="H2429" t="s">
        <v>9998</v>
      </c>
      <c r="I2429" t="s">
        <v>28738</v>
      </c>
      <c r="J2429" t="s">
        <v>28878</v>
      </c>
      <c r="K2429" t="s">
        <v>37206</v>
      </c>
      <c r="M2429" t="s">
        <v>38557</v>
      </c>
      <c r="N2429" t="s">
        <v>41249</v>
      </c>
      <c r="O2429" t="s">
        <v>41250</v>
      </c>
      <c r="P2429">
        <v>0</v>
      </c>
      <c r="Q2429">
        <v>2</v>
      </c>
      <c r="R2429" t="s">
        <v>41252</v>
      </c>
      <c r="S2429" t="s">
        <v>41383</v>
      </c>
      <c r="T2429" t="s">
        <v>42766</v>
      </c>
      <c r="U2429" t="s">
        <v>45293</v>
      </c>
      <c r="W2429" t="s">
        <v>55940</v>
      </c>
      <c r="X2429" t="s">
        <v>41254</v>
      </c>
    </row>
    <row r="2430" spans="1:24">
      <c r="A2430">
        <f>HYPERLINK("https://www.philgeps.gov.ph/GEPSNONPILOT/Tender/SplashBidNoticeAbstractUI.aspx?menuIndex=3&amp;refID=7073332&amp;Result=3","7073332")</f>
        <v>0</v>
      </c>
      <c r="B2430" t="s">
        <v>1027</v>
      </c>
      <c r="C2430" t="s">
        <v>5708</v>
      </c>
      <c r="D2430" t="s">
        <v>16624</v>
      </c>
      <c r="E2430" t="s">
        <v>18938</v>
      </c>
      <c r="F2430" t="s">
        <v>28669</v>
      </c>
      <c r="G2430" t="s">
        <v>28676</v>
      </c>
      <c r="H2430" t="s">
        <v>9998</v>
      </c>
      <c r="I2430" t="s">
        <v>7352</v>
      </c>
      <c r="J2430" t="s">
        <v>30494</v>
      </c>
      <c r="K2430" t="s">
        <v>37216</v>
      </c>
      <c r="M2430" t="s">
        <v>38558</v>
      </c>
      <c r="N2430" t="s">
        <v>41249</v>
      </c>
      <c r="O2430" t="s">
        <v>41250</v>
      </c>
      <c r="P2430">
        <v>0</v>
      </c>
      <c r="Q2430">
        <v>0</v>
      </c>
      <c r="R2430" t="s">
        <v>41252</v>
      </c>
      <c r="S2430" t="s">
        <v>41383</v>
      </c>
      <c r="T2430" t="s">
        <v>42729</v>
      </c>
      <c r="U2430" t="s">
        <v>45294</v>
      </c>
      <c r="W2430" t="s">
        <v>38558</v>
      </c>
      <c r="X2430" t="s">
        <v>41254</v>
      </c>
    </row>
    <row r="2431" spans="1:24">
      <c r="A2431">
        <f>HYPERLINK("https://www.philgeps.gov.ph/GEPSNONPILOT/Tender/SplashBidNoticeAbstractUI.aspx?menuIndex=3&amp;refID=7073331&amp;Result=3","7073331")</f>
        <v>0</v>
      </c>
      <c r="B2431" t="s">
        <v>1028</v>
      </c>
      <c r="C2431" t="s">
        <v>5709</v>
      </c>
      <c r="D2431" t="s">
        <v>16657</v>
      </c>
      <c r="E2431" t="s">
        <v>18939</v>
      </c>
      <c r="F2431" t="s">
        <v>28669</v>
      </c>
      <c r="G2431" t="s">
        <v>28677</v>
      </c>
      <c r="H2431" t="s">
        <v>9998</v>
      </c>
      <c r="I2431" t="s">
        <v>15140</v>
      </c>
      <c r="J2431" t="s">
        <v>30495</v>
      </c>
      <c r="K2431" t="s">
        <v>37204</v>
      </c>
      <c r="M2431" t="s">
        <v>38559</v>
      </c>
      <c r="N2431" t="s">
        <v>41249</v>
      </c>
      <c r="O2431" t="s">
        <v>41250</v>
      </c>
      <c r="P2431">
        <v>0</v>
      </c>
      <c r="Q2431">
        <v>1</v>
      </c>
      <c r="R2431" t="s">
        <v>41252</v>
      </c>
      <c r="S2431" t="s">
        <v>41383</v>
      </c>
      <c r="T2431" t="s">
        <v>42884</v>
      </c>
      <c r="U2431" t="s">
        <v>45295</v>
      </c>
      <c r="W2431" t="s">
        <v>38559</v>
      </c>
      <c r="X2431" t="s">
        <v>41254</v>
      </c>
    </row>
    <row r="2432" spans="1:24">
      <c r="A2432">
        <f>HYPERLINK("https://www.philgeps.gov.ph/GEPSNONPILOT/Tender/SplashBidNoticeAbstractUI.aspx?menuIndex=3&amp;refID=7073330&amp;Result=3","7073330")</f>
        <v>0</v>
      </c>
      <c r="B2432" t="s">
        <v>986</v>
      </c>
      <c r="C2432" t="s">
        <v>5710</v>
      </c>
      <c r="D2432" t="s">
        <v>16620</v>
      </c>
      <c r="E2432" t="s">
        <v>18940</v>
      </c>
      <c r="F2432" t="s">
        <v>28669</v>
      </c>
      <c r="G2432" t="s">
        <v>28675</v>
      </c>
      <c r="H2432" t="s">
        <v>9998</v>
      </c>
      <c r="I2432" t="s">
        <v>7352</v>
      </c>
      <c r="J2432" t="s">
        <v>30496</v>
      </c>
      <c r="K2432" t="s">
        <v>37206</v>
      </c>
      <c r="M2432" t="s">
        <v>38511</v>
      </c>
      <c r="N2432" t="s">
        <v>41249</v>
      </c>
      <c r="O2432" t="s">
        <v>41250</v>
      </c>
      <c r="P2432">
        <v>0</v>
      </c>
      <c r="Q2432">
        <v>0</v>
      </c>
      <c r="R2432" t="s">
        <v>41252</v>
      </c>
      <c r="S2432" t="s">
        <v>41383</v>
      </c>
      <c r="T2432" t="s">
        <v>42703</v>
      </c>
      <c r="U2432" t="s">
        <v>45210</v>
      </c>
      <c r="V2432" t="s">
        <v>54542</v>
      </c>
      <c r="W2432" t="s">
        <v>38511</v>
      </c>
      <c r="X2432" t="s">
        <v>41254</v>
      </c>
    </row>
    <row r="2433" spans="1:24">
      <c r="A2433">
        <f>HYPERLINK("https://www.philgeps.gov.ph/GEPSNONPILOT/Tender/SplashBidNoticeAbstractUI.aspx?menuIndex=3&amp;refID=7073321&amp;Result=3","7073321")</f>
        <v>0</v>
      </c>
      <c r="B2433" t="s">
        <v>1029</v>
      </c>
      <c r="C2433" t="s">
        <v>5002</v>
      </c>
      <c r="E2433" t="s">
        <v>18941</v>
      </c>
      <c r="F2433" t="s">
        <v>28669</v>
      </c>
      <c r="G2433" t="s">
        <v>28675</v>
      </c>
      <c r="H2433" t="s">
        <v>28686</v>
      </c>
      <c r="I2433" t="s">
        <v>28689</v>
      </c>
      <c r="J2433" t="s">
        <v>30497</v>
      </c>
      <c r="K2433" t="s">
        <v>37209</v>
      </c>
      <c r="M2433" t="s">
        <v>38560</v>
      </c>
      <c r="N2433" t="s">
        <v>41249</v>
      </c>
      <c r="O2433" t="s">
        <v>41250</v>
      </c>
      <c r="P2433">
        <v>0</v>
      </c>
      <c r="Q2433">
        <v>0</v>
      </c>
      <c r="R2433" t="s">
        <v>41252</v>
      </c>
      <c r="S2433" t="s">
        <v>41383</v>
      </c>
      <c r="T2433" t="s">
        <v>42747</v>
      </c>
      <c r="U2433" t="s">
        <v>44398</v>
      </c>
      <c r="W2433" t="s">
        <v>38560</v>
      </c>
      <c r="X2433" t="s">
        <v>41254</v>
      </c>
    </row>
    <row r="2434" spans="1:24">
      <c r="A2434">
        <f>HYPERLINK("https://www.philgeps.gov.ph/GEPSNONPILOT/Tender/SplashBidNoticeAbstractUI.aspx?menuIndex=3&amp;refID=7073317&amp;Result=3","7073317")</f>
        <v>0</v>
      </c>
      <c r="B2434" t="s">
        <v>1030</v>
      </c>
      <c r="C2434" t="s">
        <v>5711</v>
      </c>
      <c r="D2434" t="s">
        <v>16617</v>
      </c>
      <c r="E2434" t="s">
        <v>18942</v>
      </c>
      <c r="F2434" t="s">
        <v>28669</v>
      </c>
      <c r="G2434" t="s">
        <v>28675</v>
      </c>
      <c r="H2434" t="s">
        <v>28686</v>
      </c>
      <c r="I2434" t="s">
        <v>28689</v>
      </c>
      <c r="J2434" t="s">
        <v>29104</v>
      </c>
      <c r="K2434" t="s">
        <v>37316</v>
      </c>
      <c r="M2434" t="s">
        <v>38561</v>
      </c>
      <c r="N2434" t="s">
        <v>41249</v>
      </c>
      <c r="O2434" t="s">
        <v>41250</v>
      </c>
      <c r="P2434">
        <v>0</v>
      </c>
      <c r="Q2434">
        <v>0</v>
      </c>
      <c r="R2434" t="s">
        <v>41252</v>
      </c>
      <c r="S2434" t="s">
        <v>41383</v>
      </c>
      <c r="T2434" t="s">
        <v>42703</v>
      </c>
      <c r="U2434" t="s">
        <v>45296</v>
      </c>
      <c r="W2434" t="s">
        <v>38561</v>
      </c>
      <c r="X2434" t="s">
        <v>41254</v>
      </c>
    </row>
    <row r="2435" spans="1:24">
      <c r="A2435">
        <f>HYPERLINK("https://www.philgeps.gov.ph/GEPSNONPILOT/Tender/SplashBidNoticeAbstractUI.aspx?menuIndex=3&amp;refID=7073319&amp;Result=3","7073319")</f>
        <v>0</v>
      </c>
      <c r="B2435" t="s">
        <v>986</v>
      </c>
      <c r="C2435" t="s">
        <v>5712</v>
      </c>
      <c r="D2435" t="s">
        <v>16620</v>
      </c>
      <c r="E2435" t="s">
        <v>18943</v>
      </c>
      <c r="F2435" t="s">
        <v>28669</v>
      </c>
      <c r="G2435" t="s">
        <v>28675</v>
      </c>
      <c r="H2435" t="s">
        <v>9998</v>
      </c>
      <c r="I2435" t="s">
        <v>7352</v>
      </c>
      <c r="J2435" t="s">
        <v>30498</v>
      </c>
      <c r="K2435" t="s">
        <v>37206</v>
      </c>
      <c r="M2435" t="s">
        <v>38511</v>
      </c>
      <c r="N2435" t="s">
        <v>41249</v>
      </c>
      <c r="O2435" t="s">
        <v>41250</v>
      </c>
      <c r="P2435">
        <v>0</v>
      </c>
      <c r="Q2435">
        <v>0</v>
      </c>
      <c r="R2435" t="s">
        <v>41252</v>
      </c>
      <c r="S2435" t="s">
        <v>41383</v>
      </c>
      <c r="T2435" t="s">
        <v>42703</v>
      </c>
      <c r="U2435" t="s">
        <v>45210</v>
      </c>
      <c r="V2435" t="s">
        <v>54542</v>
      </c>
      <c r="W2435" t="s">
        <v>38511</v>
      </c>
      <c r="X2435" t="s">
        <v>41254</v>
      </c>
    </row>
    <row r="2436" spans="1:24">
      <c r="A2436">
        <f>HYPERLINK("https://www.philgeps.gov.ph/GEPSNONPILOT/Tender/SplashBidNoticeAbstractUI.aspx?menuIndex=3&amp;refID=7078494&amp;Result=3","7078494")</f>
        <v>0</v>
      </c>
      <c r="B2436" t="s">
        <v>826</v>
      </c>
      <c r="C2436" t="s">
        <v>5713</v>
      </c>
      <c r="D2436" t="s">
        <v>16626</v>
      </c>
      <c r="E2436" t="s">
        <v>18944</v>
      </c>
      <c r="F2436" t="s">
        <v>28669</v>
      </c>
      <c r="G2436" t="s">
        <v>28675</v>
      </c>
      <c r="H2436" t="s">
        <v>28686</v>
      </c>
      <c r="I2436" t="s">
        <v>28689</v>
      </c>
      <c r="J2436" t="s">
        <v>30499</v>
      </c>
      <c r="K2436" t="s">
        <v>37305</v>
      </c>
      <c r="M2436" t="s">
        <v>38342</v>
      </c>
      <c r="N2436" t="s">
        <v>41249</v>
      </c>
      <c r="O2436" t="s">
        <v>41250</v>
      </c>
      <c r="P2436">
        <v>0</v>
      </c>
      <c r="Q2436">
        <v>2</v>
      </c>
      <c r="R2436" t="s">
        <v>41251</v>
      </c>
      <c r="S2436" t="s">
        <v>41369</v>
      </c>
      <c r="T2436" t="s">
        <v>42722</v>
      </c>
      <c r="U2436" t="s">
        <v>45297</v>
      </c>
      <c r="W2436" t="s">
        <v>38342</v>
      </c>
      <c r="X2436" t="s">
        <v>41252</v>
      </c>
    </row>
    <row r="2437" spans="1:24">
      <c r="A2437">
        <f>HYPERLINK("https://www.philgeps.gov.ph/GEPSNONPILOT/Tender/SplashBidNoticeAbstractUI.aspx?menuIndex=3&amp;refID=7073318&amp;Result=3","7073318")</f>
        <v>0</v>
      </c>
      <c r="B2437" t="s">
        <v>1031</v>
      </c>
      <c r="C2437" t="s">
        <v>5714</v>
      </c>
      <c r="D2437" t="s">
        <v>16626</v>
      </c>
      <c r="E2437" t="s">
        <v>17870</v>
      </c>
      <c r="F2437" t="s">
        <v>28671</v>
      </c>
      <c r="G2437" t="s">
        <v>28676</v>
      </c>
      <c r="H2437" t="s">
        <v>9998</v>
      </c>
      <c r="I2437" t="s">
        <v>28688</v>
      </c>
      <c r="J2437" t="s">
        <v>29366</v>
      </c>
      <c r="K2437" t="s">
        <v>37206</v>
      </c>
      <c r="M2437" t="s">
        <v>38562</v>
      </c>
      <c r="N2437" t="s">
        <v>41249</v>
      </c>
      <c r="O2437" t="s">
        <v>41250</v>
      </c>
      <c r="P2437">
        <v>0</v>
      </c>
      <c r="Q2437">
        <v>3</v>
      </c>
      <c r="R2437" t="s">
        <v>41252</v>
      </c>
      <c r="S2437" t="s">
        <v>41383</v>
      </c>
      <c r="T2437" t="s">
        <v>42683</v>
      </c>
      <c r="U2437" t="s">
        <v>45298</v>
      </c>
      <c r="W2437" t="s">
        <v>38562</v>
      </c>
      <c r="X2437" t="s">
        <v>41254</v>
      </c>
    </row>
    <row r="2438" spans="1:24">
      <c r="A2438">
        <f>HYPERLINK("https://www.philgeps.gov.ph/GEPSNONPILOT/Tender/SplashBidNoticeAbstractUI.aspx?menuIndex=3&amp;refID=7073328&amp;Result=3","7073328")</f>
        <v>0</v>
      </c>
      <c r="B2438" t="s">
        <v>986</v>
      </c>
      <c r="C2438" t="s">
        <v>5715</v>
      </c>
      <c r="D2438" t="s">
        <v>16620</v>
      </c>
      <c r="E2438" t="s">
        <v>18945</v>
      </c>
      <c r="F2438" t="s">
        <v>28669</v>
      </c>
      <c r="G2438" t="s">
        <v>28675</v>
      </c>
      <c r="H2438" t="s">
        <v>9998</v>
      </c>
      <c r="I2438" t="s">
        <v>7352</v>
      </c>
      <c r="J2438" t="s">
        <v>30500</v>
      </c>
      <c r="K2438" t="s">
        <v>37206</v>
      </c>
      <c r="M2438" t="s">
        <v>38511</v>
      </c>
      <c r="N2438" t="s">
        <v>41249</v>
      </c>
      <c r="O2438" t="s">
        <v>41250</v>
      </c>
      <c r="P2438">
        <v>0</v>
      </c>
      <c r="Q2438">
        <v>0</v>
      </c>
      <c r="R2438" t="s">
        <v>41252</v>
      </c>
      <c r="S2438" t="s">
        <v>41383</v>
      </c>
      <c r="T2438" t="s">
        <v>42703</v>
      </c>
      <c r="U2438" t="s">
        <v>45210</v>
      </c>
      <c r="V2438" t="s">
        <v>54542</v>
      </c>
      <c r="W2438" t="s">
        <v>38511</v>
      </c>
      <c r="X2438" t="s">
        <v>41254</v>
      </c>
    </row>
    <row r="2439" spans="1:24">
      <c r="A2439">
        <f>HYPERLINK("https://www.philgeps.gov.ph/GEPSNONPILOT/Tender/SplashBidNoticeAbstractUI.aspx?menuIndex=3&amp;refID=7073320&amp;Result=3","7073320")</f>
        <v>0</v>
      </c>
      <c r="B2439" t="s">
        <v>1032</v>
      </c>
      <c r="C2439" t="s">
        <v>5716</v>
      </c>
      <c r="D2439" t="s">
        <v>16643</v>
      </c>
      <c r="E2439" t="s">
        <v>18946</v>
      </c>
      <c r="F2439" t="s">
        <v>28669</v>
      </c>
      <c r="G2439" t="s">
        <v>28675</v>
      </c>
      <c r="H2439" t="s">
        <v>9998</v>
      </c>
      <c r="I2439" t="s">
        <v>7352</v>
      </c>
      <c r="J2439" t="s">
        <v>30501</v>
      </c>
      <c r="K2439" t="s">
        <v>37227</v>
      </c>
      <c r="M2439" t="s">
        <v>38563</v>
      </c>
      <c r="N2439" t="s">
        <v>41249</v>
      </c>
      <c r="O2439" t="s">
        <v>41250</v>
      </c>
      <c r="P2439">
        <v>0</v>
      </c>
      <c r="Q2439">
        <v>0</v>
      </c>
      <c r="R2439" t="s">
        <v>41252</v>
      </c>
      <c r="S2439" t="s">
        <v>41383</v>
      </c>
      <c r="T2439" t="s">
        <v>42679</v>
      </c>
      <c r="U2439" t="s">
        <v>45299</v>
      </c>
      <c r="W2439" t="s">
        <v>38563</v>
      </c>
      <c r="X2439" t="s">
        <v>41254</v>
      </c>
    </row>
    <row r="2440" spans="1:24">
      <c r="A2440">
        <f>HYPERLINK("https://www.philgeps.gov.ph/GEPSNONPILOT/Tender/SplashBidNoticeAbstractUI.aspx?menuIndex=3&amp;refID=7073323&amp;Result=3","7073323")</f>
        <v>0</v>
      </c>
      <c r="B2440" t="s">
        <v>1033</v>
      </c>
      <c r="C2440" t="s">
        <v>5717</v>
      </c>
      <c r="E2440" t="s">
        <v>18235</v>
      </c>
      <c r="F2440" t="s">
        <v>28669</v>
      </c>
      <c r="G2440" t="s">
        <v>28676</v>
      </c>
      <c r="H2440" t="s">
        <v>9998</v>
      </c>
      <c r="I2440" t="s">
        <v>28722</v>
      </c>
      <c r="J2440" t="s">
        <v>28905</v>
      </c>
      <c r="K2440" t="s">
        <v>37209</v>
      </c>
      <c r="M2440" t="s">
        <v>38564</v>
      </c>
      <c r="N2440" t="s">
        <v>41249</v>
      </c>
      <c r="O2440" t="s">
        <v>41250</v>
      </c>
      <c r="P2440">
        <v>0</v>
      </c>
      <c r="Q2440">
        <v>0</v>
      </c>
      <c r="R2440" t="s">
        <v>41252</v>
      </c>
      <c r="S2440" t="s">
        <v>41383</v>
      </c>
      <c r="T2440" t="s">
        <v>42802</v>
      </c>
      <c r="U2440" t="s">
        <v>45300</v>
      </c>
      <c r="W2440" t="s">
        <v>38564</v>
      </c>
      <c r="X2440" t="s">
        <v>41254</v>
      </c>
    </row>
    <row r="2441" spans="1:24">
      <c r="A2441">
        <f>HYPERLINK("https://www.philgeps.gov.ph/GEPSNONPILOT/Tender/SplashBidNoticeAbstractUI.aspx?menuIndex=3&amp;refID=7078341&amp;Result=3","7078341")</f>
        <v>0</v>
      </c>
      <c r="B2441" t="s">
        <v>771</v>
      </c>
      <c r="C2441" t="s">
        <v>5718</v>
      </c>
      <c r="D2441" t="s">
        <v>16608</v>
      </c>
      <c r="E2441" t="s">
        <v>18947</v>
      </c>
      <c r="F2441" t="s">
        <v>28669</v>
      </c>
      <c r="G2441" t="s">
        <v>28675</v>
      </c>
      <c r="H2441" t="s">
        <v>9998</v>
      </c>
      <c r="I2441" t="s">
        <v>28752</v>
      </c>
      <c r="J2441" t="s">
        <v>30502</v>
      </c>
      <c r="K2441" t="s">
        <v>37206</v>
      </c>
      <c r="M2441" t="s">
        <v>38285</v>
      </c>
      <c r="N2441" t="s">
        <v>41249</v>
      </c>
      <c r="O2441" t="s">
        <v>41250</v>
      </c>
      <c r="P2441">
        <v>0</v>
      </c>
      <c r="Q2441">
        <v>0</v>
      </c>
      <c r="R2441" t="s">
        <v>41251</v>
      </c>
      <c r="S2441" t="s">
        <v>41369</v>
      </c>
      <c r="T2441" t="s">
        <v>42803</v>
      </c>
      <c r="U2441" t="s">
        <v>45301</v>
      </c>
      <c r="V2441" t="s">
        <v>54466</v>
      </c>
      <c r="W2441" t="s">
        <v>38285</v>
      </c>
      <c r="X2441" t="s">
        <v>41252</v>
      </c>
    </row>
    <row r="2442" spans="1:24">
      <c r="A2442">
        <f>HYPERLINK("https://www.philgeps.gov.ph/GEPSNONPILOT/Tender/SplashBidNoticeAbstractUI.aspx?menuIndex=3&amp;refID=7073337&amp;Result=3","7073337")</f>
        <v>0</v>
      </c>
      <c r="B2442" t="s">
        <v>1001</v>
      </c>
      <c r="C2442" t="s">
        <v>5719</v>
      </c>
      <c r="D2442" t="s">
        <v>16677</v>
      </c>
      <c r="E2442" t="s">
        <v>18948</v>
      </c>
      <c r="F2442" t="s">
        <v>28669</v>
      </c>
      <c r="G2442" t="s">
        <v>28675</v>
      </c>
      <c r="H2442" t="s">
        <v>28686</v>
      </c>
      <c r="I2442" t="s">
        <v>28689</v>
      </c>
      <c r="J2442" t="s">
        <v>30503</v>
      </c>
      <c r="K2442" t="s">
        <v>37215</v>
      </c>
      <c r="M2442" t="s">
        <v>38529</v>
      </c>
      <c r="N2442" t="s">
        <v>41249</v>
      </c>
      <c r="O2442" t="s">
        <v>41250</v>
      </c>
      <c r="P2442">
        <v>0</v>
      </c>
      <c r="Q2442">
        <v>0</v>
      </c>
      <c r="R2442" t="s">
        <v>41252</v>
      </c>
      <c r="S2442" t="s">
        <v>41383</v>
      </c>
      <c r="T2442" t="s">
        <v>42760</v>
      </c>
      <c r="U2442" t="s">
        <v>45302</v>
      </c>
      <c r="W2442" t="s">
        <v>38529</v>
      </c>
      <c r="X2442" t="s">
        <v>41254</v>
      </c>
    </row>
    <row r="2443" spans="1:24">
      <c r="A2443">
        <f>HYPERLINK("https://www.philgeps.gov.ph/GEPSNONPILOT/Tender/SplashBidNoticeAbstractUI.aspx?menuIndex=3&amp;refID=7073348&amp;Result=3","7073348")</f>
        <v>0</v>
      </c>
      <c r="B2443" t="s">
        <v>532</v>
      </c>
      <c r="C2443" t="s">
        <v>5720</v>
      </c>
      <c r="D2443" t="s">
        <v>16675</v>
      </c>
      <c r="E2443" t="s">
        <v>18949</v>
      </c>
      <c r="F2443" t="s">
        <v>28669</v>
      </c>
      <c r="G2443" t="s">
        <v>28679</v>
      </c>
      <c r="H2443" t="s">
        <v>9998</v>
      </c>
      <c r="I2443" t="s">
        <v>28708</v>
      </c>
      <c r="J2443" t="s">
        <v>30504</v>
      </c>
      <c r="K2443" t="s">
        <v>37205</v>
      </c>
      <c r="M2443" t="s">
        <v>38023</v>
      </c>
      <c r="N2443" t="s">
        <v>41249</v>
      </c>
      <c r="O2443" t="s">
        <v>41250</v>
      </c>
      <c r="P2443">
        <v>0</v>
      </c>
      <c r="Q2443">
        <v>6</v>
      </c>
      <c r="R2443" t="s">
        <v>41252</v>
      </c>
      <c r="S2443" t="s">
        <v>41383</v>
      </c>
      <c r="T2443" t="s">
        <v>42754</v>
      </c>
      <c r="U2443" t="s">
        <v>45303</v>
      </c>
      <c r="W2443" t="s">
        <v>38023</v>
      </c>
      <c r="X2443" t="s">
        <v>41254</v>
      </c>
    </row>
    <row r="2444" spans="1:24">
      <c r="A2444">
        <f>HYPERLINK("https://www.philgeps.gov.ph/GEPSNONPILOT/Tender/SplashBidNoticeAbstractUI.aspx?menuIndex=3&amp;refID=7073345&amp;Result=3","7073345")</f>
        <v>0</v>
      </c>
      <c r="B2444" t="s">
        <v>602</v>
      </c>
      <c r="C2444" t="s">
        <v>5721</v>
      </c>
      <c r="D2444" t="s">
        <v>16661</v>
      </c>
      <c r="E2444" t="s">
        <v>18950</v>
      </c>
      <c r="F2444" t="s">
        <v>28669</v>
      </c>
      <c r="G2444" t="s">
        <v>28675</v>
      </c>
      <c r="H2444" t="s">
        <v>9998</v>
      </c>
      <c r="I2444" t="s">
        <v>7352</v>
      </c>
      <c r="J2444" t="s">
        <v>30505</v>
      </c>
      <c r="K2444" t="s">
        <v>37205</v>
      </c>
      <c r="M2444" t="s">
        <v>38102</v>
      </c>
      <c r="N2444" t="s">
        <v>41249</v>
      </c>
      <c r="O2444" t="s">
        <v>41250</v>
      </c>
      <c r="P2444">
        <v>0</v>
      </c>
      <c r="Q2444">
        <v>3</v>
      </c>
      <c r="R2444" t="s">
        <v>41252</v>
      </c>
      <c r="S2444" t="s">
        <v>41383</v>
      </c>
      <c r="T2444" t="s">
        <v>42818</v>
      </c>
      <c r="U2444" t="s">
        <v>45304</v>
      </c>
      <c r="W2444" t="s">
        <v>38102</v>
      </c>
      <c r="X2444" t="s">
        <v>41254</v>
      </c>
    </row>
    <row r="2445" spans="1:24">
      <c r="A2445">
        <f>HYPERLINK("https://www.philgeps.gov.ph/GEPSNONPILOT/Tender/SplashBidNoticeAbstractUI.aspx?menuIndex=3&amp;refID=7073344&amp;Result=3","7073344")</f>
        <v>0</v>
      </c>
      <c r="B2445" t="s">
        <v>248</v>
      </c>
      <c r="C2445" t="s">
        <v>5722</v>
      </c>
      <c r="D2445" t="s">
        <v>16625</v>
      </c>
      <c r="E2445" t="s">
        <v>18951</v>
      </c>
      <c r="F2445" t="s">
        <v>28669</v>
      </c>
      <c r="G2445" t="s">
        <v>28675</v>
      </c>
      <c r="H2445" t="s">
        <v>9998</v>
      </c>
      <c r="I2445" t="s">
        <v>28697</v>
      </c>
      <c r="J2445" t="s">
        <v>29020</v>
      </c>
      <c r="K2445" t="s">
        <v>37206</v>
      </c>
      <c r="M2445" t="s">
        <v>37726</v>
      </c>
      <c r="N2445" t="s">
        <v>41249</v>
      </c>
      <c r="O2445" t="s">
        <v>41250</v>
      </c>
      <c r="P2445">
        <v>0</v>
      </c>
      <c r="Q2445">
        <v>0</v>
      </c>
      <c r="R2445" t="s">
        <v>41252</v>
      </c>
      <c r="S2445" t="s">
        <v>41383</v>
      </c>
      <c r="T2445" t="s">
        <v>42716</v>
      </c>
      <c r="U2445" t="s">
        <v>45305</v>
      </c>
      <c r="V2445" t="s">
        <v>54560</v>
      </c>
      <c r="W2445" t="s">
        <v>37726</v>
      </c>
      <c r="X2445" t="s">
        <v>41254</v>
      </c>
    </row>
    <row r="2446" spans="1:24">
      <c r="A2446">
        <f>HYPERLINK("https://www.philgeps.gov.ph/GEPSNONPILOT/Tender/SplashBidNoticeAbstractUI.aspx?menuIndex=3&amp;refID=7073343&amp;Result=3","7073343")</f>
        <v>0</v>
      </c>
      <c r="B2446" t="s">
        <v>1034</v>
      </c>
      <c r="C2446" t="s">
        <v>5723</v>
      </c>
      <c r="D2446" t="s">
        <v>16619</v>
      </c>
      <c r="E2446" t="s">
        <v>18952</v>
      </c>
      <c r="F2446" t="s">
        <v>28669</v>
      </c>
      <c r="G2446" t="s">
        <v>28676</v>
      </c>
      <c r="H2446" t="s">
        <v>9998</v>
      </c>
      <c r="I2446" t="s">
        <v>28690</v>
      </c>
      <c r="J2446" t="s">
        <v>30506</v>
      </c>
      <c r="K2446" t="s">
        <v>37216</v>
      </c>
      <c r="M2446" t="s">
        <v>38565</v>
      </c>
      <c r="N2446" t="s">
        <v>41249</v>
      </c>
      <c r="O2446" t="s">
        <v>41250</v>
      </c>
      <c r="P2446">
        <v>0</v>
      </c>
      <c r="Q2446">
        <v>0</v>
      </c>
      <c r="R2446" t="s">
        <v>41252</v>
      </c>
      <c r="S2446" t="s">
        <v>41383</v>
      </c>
      <c r="T2446" t="s">
        <v>42759</v>
      </c>
      <c r="U2446" t="s">
        <v>45306</v>
      </c>
      <c r="W2446" t="s">
        <v>38565</v>
      </c>
      <c r="X2446" t="s">
        <v>41254</v>
      </c>
    </row>
    <row r="2447" spans="1:24">
      <c r="A2447">
        <f>HYPERLINK("https://www.philgeps.gov.ph/GEPSNONPILOT/Tender/SplashBidNoticeAbstractUI.aspx?menuIndex=3&amp;refID=7073342&amp;Result=3","7073342")</f>
        <v>0</v>
      </c>
      <c r="B2447" t="s">
        <v>714</v>
      </c>
      <c r="C2447" t="s">
        <v>5724</v>
      </c>
      <c r="D2447" t="s">
        <v>16608</v>
      </c>
      <c r="E2447" t="s">
        <v>18953</v>
      </c>
      <c r="F2447" t="s">
        <v>28669</v>
      </c>
      <c r="G2447" t="s">
        <v>28675</v>
      </c>
      <c r="H2447" t="s">
        <v>9998</v>
      </c>
      <c r="I2447" t="s">
        <v>28687</v>
      </c>
      <c r="J2447" t="s">
        <v>29499</v>
      </c>
      <c r="K2447" t="s">
        <v>37206</v>
      </c>
      <c r="M2447" t="s">
        <v>38221</v>
      </c>
      <c r="N2447" t="s">
        <v>41249</v>
      </c>
      <c r="O2447" t="s">
        <v>41250</v>
      </c>
      <c r="P2447">
        <v>0</v>
      </c>
      <c r="Q2447">
        <v>2</v>
      </c>
      <c r="R2447" t="s">
        <v>41252</v>
      </c>
      <c r="S2447" t="s">
        <v>41383</v>
      </c>
      <c r="T2447" t="s">
        <v>42885</v>
      </c>
      <c r="U2447" t="s">
        <v>45307</v>
      </c>
      <c r="W2447" t="s">
        <v>38221</v>
      </c>
      <c r="X2447" t="s">
        <v>41254</v>
      </c>
    </row>
    <row r="2448" spans="1:24">
      <c r="A2448">
        <f>HYPERLINK("https://www.philgeps.gov.ph/GEPSNONPILOT/Tender/SplashBidNoticeAbstractUI.aspx?menuIndex=3&amp;refID=7073340&amp;Result=3","7073340")</f>
        <v>0</v>
      </c>
      <c r="B2448" t="s">
        <v>517</v>
      </c>
      <c r="C2448" t="s">
        <v>5725</v>
      </c>
      <c r="D2448" t="s">
        <v>16647</v>
      </c>
      <c r="E2448" t="s">
        <v>18954</v>
      </c>
      <c r="F2448" t="s">
        <v>28669</v>
      </c>
      <c r="G2448" t="s">
        <v>28675</v>
      </c>
      <c r="H2448" t="s">
        <v>9998</v>
      </c>
      <c r="I2448" t="s">
        <v>28696</v>
      </c>
      <c r="J2448" t="s">
        <v>30507</v>
      </c>
      <c r="K2448" t="s">
        <v>37204</v>
      </c>
      <c r="L2448" t="s">
        <v>517</v>
      </c>
      <c r="M2448" t="s">
        <v>38007</v>
      </c>
      <c r="N2448" t="s">
        <v>41249</v>
      </c>
      <c r="O2448" t="s">
        <v>41250</v>
      </c>
      <c r="P2448">
        <v>0</v>
      </c>
      <c r="Q2448">
        <v>1</v>
      </c>
      <c r="R2448" t="s">
        <v>41252</v>
      </c>
      <c r="S2448" t="s">
        <v>41383</v>
      </c>
      <c r="T2448" t="s">
        <v>42742</v>
      </c>
      <c r="U2448" t="s">
        <v>45308</v>
      </c>
      <c r="W2448" t="s">
        <v>38007</v>
      </c>
      <c r="X2448" t="s">
        <v>41254</v>
      </c>
    </row>
    <row r="2449" spans="1:24">
      <c r="A2449">
        <f>HYPERLINK("https://www.philgeps.gov.ph/GEPSNONPILOT/Tender/SplashBidNoticeAbstractUI.aspx?menuIndex=3&amp;refID=7073347&amp;Result=3","7073347")</f>
        <v>0</v>
      </c>
      <c r="B2449" t="s">
        <v>1035</v>
      </c>
      <c r="C2449" t="s">
        <v>3747</v>
      </c>
      <c r="E2449" t="s">
        <v>18955</v>
      </c>
      <c r="F2449" t="s">
        <v>28669</v>
      </c>
      <c r="G2449" t="s">
        <v>28676</v>
      </c>
      <c r="H2449" t="s">
        <v>9998</v>
      </c>
      <c r="I2449" t="s">
        <v>6128</v>
      </c>
      <c r="J2449" t="s">
        <v>30508</v>
      </c>
      <c r="K2449" t="s">
        <v>37209</v>
      </c>
      <c r="M2449" t="s">
        <v>38566</v>
      </c>
      <c r="N2449" t="s">
        <v>41249</v>
      </c>
      <c r="O2449" t="s">
        <v>41250</v>
      </c>
      <c r="P2449">
        <v>0</v>
      </c>
      <c r="Q2449">
        <v>1</v>
      </c>
      <c r="R2449" t="s">
        <v>41252</v>
      </c>
      <c r="S2449" t="s">
        <v>41383</v>
      </c>
      <c r="T2449" t="s">
        <v>42758</v>
      </c>
      <c r="U2449" t="s">
        <v>45309</v>
      </c>
      <c r="W2449" t="s">
        <v>38566</v>
      </c>
      <c r="X2449" t="s">
        <v>41254</v>
      </c>
    </row>
    <row r="2450" spans="1:24">
      <c r="A2450">
        <f>HYPERLINK("https://www.philgeps.gov.ph/GEPSNONPILOT/Tender/SplashBidNoticeAbstractUI.aspx?menuIndex=3&amp;refID=7073339&amp;Result=3","7073339")</f>
        <v>0</v>
      </c>
      <c r="B2450" t="s">
        <v>1036</v>
      </c>
      <c r="C2450" t="s">
        <v>5726</v>
      </c>
      <c r="D2450" t="s">
        <v>16677</v>
      </c>
      <c r="E2450" t="s">
        <v>18956</v>
      </c>
      <c r="F2450" t="s">
        <v>28669</v>
      </c>
      <c r="G2450" t="s">
        <v>28676</v>
      </c>
      <c r="H2450" t="s">
        <v>9998</v>
      </c>
      <c r="I2450" t="s">
        <v>3679</v>
      </c>
      <c r="J2450" t="s">
        <v>30509</v>
      </c>
      <c r="K2450" t="s">
        <v>37209</v>
      </c>
      <c r="M2450" t="s">
        <v>38567</v>
      </c>
      <c r="N2450" t="s">
        <v>41249</v>
      </c>
      <c r="O2450" t="s">
        <v>41250</v>
      </c>
      <c r="P2450">
        <v>0</v>
      </c>
      <c r="Q2450">
        <v>0</v>
      </c>
      <c r="R2450" t="s">
        <v>41252</v>
      </c>
      <c r="S2450" t="s">
        <v>41383</v>
      </c>
      <c r="T2450" t="s">
        <v>42701</v>
      </c>
      <c r="U2450" t="s">
        <v>45310</v>
      </c>
      <c r="V2450" t="s">
        <v>54561</v>
      </c>
      <c r="W2450" t="s">
        <v>38567</v>
      </c>
      <c r="X2450" t="s">
        <v>41254</v>
      </c>
    </row>
    <row r="2451" spans="1:24">
      <c r="A2451">
        <f>HYPERLINK("https://www.philgeps.gov.ph/GEPSNONPILOT/Tender/SplashBidNoticeAbstractUI.aspx?menuIndex=3&amp;refID=7073357&amp;Result=3","7073357")</f>
        <v>0</v>
      </c>
      <c r="B2451" t="s">
        <v>1037</v>
      </c>
      <c r="C2451" t="s">
        <v>5727</v>
      </c>
      <c r="D2451" t="s">
        <v>16633</v>
      </c>
      <c r="E2451" t="s">
        <v>18957</v>
      </c>
      <c r="F2451" t="s">
        <v>28669</v>
      </c>
      <c r="G2451" t="s">
        <v>28676</v>
      </c>
      <c r="H2451" t="s">
        <v>9998</v>
      </c>
      <c r="I2451" t="s">
        <v>28769</v>
      </c>
      <c r="J2451" t="s">
        <v>28834</v>
      </c>
      <c r="K2451" t="s">
        <v>37208</v>
      </c>
      <c r="M2451" t="s">
        <v>38568</v>
      </c>
      <c r="N2451" t="s">
        <v>41249</v>
      </c>
      <c r="O2451" t="s">
        <v>41250</v>
      </c>
      <c r="P2451">
        <v>0</v>
      </c>
      <c r="Q2451">
        <v>5</v>
      </c>
      <c r="R2451" t="s">
        <v>41252</v>
      </c>
      <c r="S2451" t="s">
        <v>41383</v>
      </c>
      <c r="T2451" t="s">
        <v>42701</v>
      </c>
      <c r="U2451" t="s">
        <v>45311</v>
      </c>
      <c r="W2451" t="s">
        <v>38568</v>
      </c>
      <c r="X2451" t="s">
        <v>41254</v>
      </c>
    </row>
    <row r="2452" spans="1:24">
      <c r="A2452">
        <f>HYPERLINK("https://www.philgeps.gov.ph/GEPSNONPILOT/Tender/SplashBidNoticeAbstractUI.aspx?menuIndex=3&amp;refID=7073356&amp;Result=3","7073356")</f>
        <v>0</v>
      </c>
      <c r="B2452" t="s">
        <v>1038</v>
      </c>
      <c r="C2452" t="s">
        <v>5728</v>
      </c>
      <c r="E2452" t="s">
        <v>16861</v>
      </c>
      <c r="F2452" t="s">
        <v>28669</v>
      </c>
      <c r="G2452" t="s">
        <v>28675</v>
      </c>
      <c r="H2452" t="s">
        <v>9998</v>
      </c>
      <c r="I2452" t="s">
        <v>28733</v>
      </c>
      <c r="J2452" t="s">
        <v>28845</v>
      </c>
      <c r="K2452" t="s">
        <v>37209</v>
      </c>
      <c r="M2452" t="s">
        <v>38569</v>
      </c>
      <c r="N2452" t="s">
        <v>41249</v>
      </c>
      <c r="O2452" t="s">
        <v>41250</v>
      </c>
      <c r="P2452">
        <v>0</v>
      </c>
      <c r="Q2452">
        <v>3</v>
      </c>
      <c r="R2452" t="s">
        <v>41252</v>
      </c>
      <c r="S2452" t="s">
        <v>41383</v>
      </c>
      <c r="T2452" t="s">
        <v>42886</v>
      </c>
      <c r="U2452" t="s">
        <v>45312</v>
      </c>
      <c r="W2452" t="s">
        <v>38569</v>
      </c>
      <c r="X2452" t="s">
        <v>41254</v>
      </c>
    </row>
    <row r="2453" spans="1:24">
      <c r="A2453">
        <f>HYPERLINK("https://www.philgeps.gov.ph/GEPSNONPILOT/Tender/SplashBidNoticeAbstractUI.aspx?menuIndex=3&amp;refID=7073341&amp;Result=3","7073341")</f>
        <v>0</v>
      </c>
      <c r="B2453" t="s">
        <v>1039</v>
      </c>
      <c r="C2453" t="s">
        <v>5729</v>
      </c>
      <c r="D2453" t="s">
        <v>16660</v>
      </c>
      <c r="E2453" t="s">
        <v>18958</v>
      </c>
      <c r="F2453" t="s">
        <v>28669</v>
      </c>
      <c r="G2453" t="s">
        <v>28675</v>
      </c>
      <c r="H2453" t="s">
        <v>9998</v>
      </c>
      <c r="I2453" t="s">
        <v>5213</v>
      </c>
      <c r="J2453" t="s">
        <v>30510</v>
      </c>
      <c r="K2453" t="s">
        <v>37210</v>
      </c>
      <c r="M2453" t="s">
        <v>38570</v>
      </c>
      <c r="N2453" t="s">
        <v>41249</v>
      </c>
      <c r="O2453" t="s">
        <v>41250</v>
      </c>
      <c r="P2453">
        <v>0</v>
      </c>
      <c r="Q2453">
        <v>2</v>
      </c>
      <c r="R2453" t="s">
        <v>41252</v>
      </c>
      <c r="S2453" t="s">
        <v>41383</v>
      </c>
      <c r="T2453" t="s">
        <v>42703</v>
      </c>
      <c r="U2453" t="s">
        <v>45313</v>
      </c>
      <c r="V2453" t="s">
        <v>54562</v>
      </c>
      <c r="W2453" t="s">
        <v>38570</v>
      </c>
      <c r="X2453" t="s">
        <v>41254</v>
      </c>
    </row>
    <row r="2454" spans="1:24">
      <c r="A2454">
        <f>HYPERLINK("https://www.philgeps.gov.ph/GEPSNONPILOT/Tender/SplashBidNoticeAbstractUI.aspx?menuIndex=3&amp;refID=7073351&amp;Result=3","7073351")</f>
        <v>0</v>
      </c>
      <c r="B2454" t="s">
        <v>1040</v>
      </c>
      <c r="C2454" t="s">
        <v>5730</v>
      </c>
      <c r="D2454" t="s">
        <v>16648</v>
      </c>
      <c r="E2454" t="s">
        <v>18959</v>
      </c>
      <c r="F2454" t="s">
        <v>28669</v>
      </c>
      <c r="G2454" t="s">
        <v>28677</v>
      </c>
      <c r="H2454" t="s">
        <v>9998</v>
      </c>
      <c r="I2454" t="s">
        <v>3718</v>
      </c>
      <c r="J2454" t="s">
        <v>30511</v>
      </c>
      <c r="K2454" t="s">
        <v>37208</v>
      </c>
      <c r="M2454" t="s">
        <v>38571</v>
      </c>
      <c r="N2454" t="s">
        <v>41249</v>
      </c>
      <c r="O2454" t="s">
        <v>41250</v>
      </c>
      <c r="P2454">
        <v>0</v>
      </c>
      <c r="Q2454">
        <v>3</v>
      </c>
      <c r="R2454" t="s">
        <v>41252</v>
      </c>
      <c r="S2454" t="s">
        <v>41383</v>
      </c>
      <c r="T2454" t="s">
        <v>42887</v>
      </c>
      <c r="U2454" t="s">
        <v>45314</v>
      </c>
      <c r="W2454" t="s">
        <v>38571</v>
      </c>
      <c r="X2454" t="s">
        <v>41254</v>
      </c>
    </row>
    <row r="2455" spans="1:24">
      <c r="A2455">
        <f>HYPERLINK("https://www.philgeps.gov.ph/GEPSNONPILOT/Tender/SplashBidNoticeAbstractUI.aspx?menuIndex=3&amp;refID=7073354&amp;Result=3","7073354")</f>
        <v>0</v>
      </c>
      <c r="B2455" t="s">
        <v>1041</v>
      </c>
      <c r="C2455" t="s">
        <v>5731</v>
      </c>
      <c r="D2455" t="s">
        <v>16658</v>
      </c>
      <c r="E2455" t="s">
        <v>18960</v>
      </c>
      <c r="F2455" t="s">
        <v>28669</v>
      </c>
      <c r="G2455" t="s">
        <v>28675</v>
      </c>
      <c r="H2455" t="s">
        <v>28686</v>
      </c>
      <c r="I2455" t="s">
        <v>28689</v>
      </c>
      <c r="J2455" t="s">
        <v>30512</v>
      </c>
      <c r="K2455" t="s">
        <v>37291</v>
      </c>
      <c r="M2455" t="s">
        <v>38572</v>
      </c>
      <c r="N2455" t="s">
        <v>41249</v>
      </c>
      <c r="O2455" t="s">
        <v>41250</v>
      </c>
      <c r="P2455">
        <v>0</v>
      </c>
      <c r="Q2455">
        <v>0</v>
      </c>
      <c r="R2455" t="s">
        <v>41252</v>
      </c>
      <c r="S2455" t="s">
        <v>41383</v>
      </c>
      <c r="T2455" t="s">
        <v>42759</v>
      </c>
      <c r="U2455" t="s">
        <v>45315</v>
      </c>
      <c r="W2455" t="s">
        <v>38572</v>
      </c>
      <c r="X2455" t="s">
        <v>41254</v>
      </c>
    </row>
    <row r="2456" spans="1:24">
      <c r="A2456">
        <f>HYPERLINK("https://www.philgeps.gov.ph/GEPSNONPILOT/Tender/SplashBidNoticeAbstractUI.aspx?menuIndex=3&amp;refID=7073352&amp;Result=3","7073352")</f>
        <v>0</v>
      </c>
      <c r="B2456" t="s">
        <v>1042</v>
      </c>
      <c r="C2456" t="s">
        <v>5732</v>
      </c>
      <c r="D2456" t="s">
        <v>16625</v>
      </c>
      <c r="E2456" t="s">
        <v>18961</v>
      </c>
      <c r="F2456" t="s">
        <v>28669</v>
      </c>
      <c r="G2456" t="s">
        <v>28675</v>
      </c>
      <c r="H2456" t="s">
        <v>9998</v>
      </c>
      <c r="I2456" t="s">
        <v>28693</v>
      </c>
      <c r="J2456" t="s">
        <v>28877</v>
      </c>
      <c r="K2456" t="s">
        <v>37206</v>
      </c>
      <c r="M2456" t="s">
        <v>38573</v>
      </c>
      <c r="N2456" t="s">
        <v>41249</v>
      </c>
      <c r="O2456" t="s">
        <v>41250</v>
      </c>
      <c r="P2456">
        <v>0</v>
      </c>
      <c r="Q2456">
        <v>7</v>
      </c>
      <c r="R2456" t="s">
        <v>41252</v>
      </c>
      <c r="S2456" t="s">
        <v>41383</v>
      </c>
      <c r="T2456" t="s">
        <v>42688</v>
      </c>
      <c r="U2456" t="s">
        <v>45316</v>
      </c>
      <c r="W2456" t="s">
        <v>38573</v>
      </c>
      <c r="X2456" t="s">
        <v>41254</v>
      </c>
    </row>
    <row r="2457" spans="1:24">
      <c r="A2457">
        <f>HYPERLINK("https://www.philgeps.gov.ph/GEPSNONPILOT/Tender/SplashBidNoticeAbstractUI.aspx?menuIndex=3&amp;refID=7073338&amp;Result=3","7073338")</f>
        <v>0</v>
      </c>
      <c r="B2457" t="s">
        <v>895</v>
      </c>
      <c r="C2457" t="s">
        <v>5733</v>
      </c>
      <c r="D2457" t="s">
        <v>16611</v>
      </c>
      <c r="E2457" t="s">
        <v>17029</v>
      </c>
      <c r="F2457" t="s">
        <v>28669</v>
      </c>
      <c r="G2457" t="s">
        <v>28677</v>
      </c>
      <c r="H2457" t="s">
        <v>9998</v>
      </c>
      <c r="I2457" t="s">
        <v>28709</v>
      </c>
      <c r="J2457" t="s">
        <v>28834</v>
      </c>
      <c r="K2457" t="s">
        <v>37208</v>
      </c>
      <c r="M2457" t="s">
        <v>38416</v>
      </c>
      <c r="N2457" t="s">
        <v>41249</v>
      </c>
      <c r="O2457" t="s">
        <v>41250</v>
      </c>
      <c r="P2457">
        <v>0</v>
      </c>
      <c r="Q2457">
        <v>0</v>
      </c>
      <c r="R2457" t="s">
        <v>41252</v>
      </c>
      <c r="S2457" t="s">
        <v>41383</v>
      </c>
      <c r="T2457" t="s">
        <v>42887</v>
      </c>
      <c r="U2457" t="s">
        <v>45317</v>
      </c>
      <c r="V2457" t="s">
        <v>54563</v>
      </c>
      <c r="W2457" t="s">
        <v>38416</v>
      </c>
      <c r="X2457" t="s">
        <v>41254</v>
      </c>
    </row>
    <row r="2458" spans="1:24">
      <c r="A2458">
        <f>HYPERLINK("https://www.philgeps.gov.ph/GEPSNONPILOT/Tender/SplashBidNoticeAbstractUI.aspx?menuIndex=3&amp;refID=7073346&amp;Result=3","7073346")</f>
        <v>0</v>
      </c>
      <c r="B2458" t="s">
        <v>1043</v>
      </c>
      <c r="C2458" t="s">
        <v>5734</v>
      </c>
      <c r="D2458" t="s">
        <v>16614</v>
      </c>
      <c r="E2458" t="s">
        <v>18962</v>
      </c>
      <c r="F2458" t="s">
        <v>28669</v>
      </c>
      <c r="G2458" t="s">
        <v>28675</v>
      </c>
      <c r="H2458" t="s">
        <v>28686</v>
      </c>
      <c r="I2458" t="s">
        <v>28734</v>
      </c>
      <c r="J2458" t="s">
        <v>30513</v>
      </c>
      <c r="K2458" t="s">
        <v>37215</v>
      </c>
      <c r="M2458" t="s">
        <v>38574</v>
      </c>
      <c r="N2458" t="s">
        <v>41249</v>
      </c>
      <c r="O2458" t="s">
        <v>41250</v>
      </c>
      <c r="P2458">
        <v>0</v>
      </c>
      <c r="Q2458">
        <v>0</v>
      </c>
      <c r="R2458" t="s">
        <v>41252</v>
      </c>
      <c r="S2458" t="s">
        <v>41383</v>
      </c>
      <c r="T2458" t="s">
        <v>42888</v>
      </c>
      <c r="U2458" t="s">
        <v>45318</v>
      </c>
      <c r="W2458" t="s">
        <v>38574</v>
      </c>
      <c r="X2458" t="s">
        <v>41254</v>
      </c>
    </row>
    <row r="2459" spans="1:24">
      <c r="A2459">
        <f>HYPERLINK("https://www.philgeps.gov.ph/GEPSNONPILOT/Tender/SplashBidNoticeAbstractUI.aspx?menuIndex=3&amp;refID=7073353&amp;Result=3","7073353")</f>
        <v>0</v>
      </c>
      <c r="B2459" t="s">
        <v>714</v>
      </c>
      <c r="C2459" t="s">
        <v>5735</v>
      </c>
      <c r="D2459" t="s">
        <v>16608</v>
      </c>
      <c r="E2459" t="s">
        <v>18963</v>
      </c>
      <c r="F2459" t="s">
        <v>28669</v>
      </c>
      <c r="G2459" t="s">
        <v>28675</v>
      </c>
      <c r="H2459" t="s">
        <v>9998</v>
      </c>
      <c r="I2459" t="s">
        <v>28687</v>
      </c>
      <c r="J2459" t="s">
        <v>30514</v>
      </c>
      <c r="K2459" t="s">
        <v>37206</v>
      </c>
      <c r="M2459" t="s">
        <v>38221</v>
      </c>
      <c r="N2459" t="s">
        <v>41249</v>
      </c>
      <c r="O2459" t="s">
        <v>41250</v>
      </c>
      <c r="P2459">
        <v>0</v>
      </c>
      <c r="Q2459">
        <v>4</v>
      </c>
      <c r="R2459" t="s">
        <v>41252</v>
      </c>
      <c r="S2459" t="s">
        <v>41383</v>
      </c>
      <c r="T2459" t="s">
        <v>42808</v>
      </c>
      <c r="U2459" t="s">
        <v>45319</v>
      </c>
      <c r="W2459" t="s">
        <v>38221</v>
      </c>
      <c r="X2459" t="s">
        <v>41254</v>
      </c>
    </row>
    <row r="2460" spans="1:24">
      <c r="A2460">
        <f>HYPERLINK("https://www.philgeps.gov.ph/GEPSNONPILOT/Tender/SplashBidNoticeAbstractUI.aspx?menuIndex=3&amp;refID=7073361&amp;Result=3","7073361")</f>
        <v>0</v>
      </c>
      <c r="B2460" t="s">
        <v>943</v>
      </c>
      <c r="C2460" t="s">
        <v>5736</v>
      </c>
      <c r="D2460" t="s">
        <v>16665</v>
      </c>
      <c r="E2460" t="s">
        <v>18964</v>
      </c>
      <c r="F2460" t="s">
        <v>28669</v>
      </c>
      <c r="G2460" t="s">
        <v>28675</v>
      </c>
      <c r="H2460" t="s">
        <v>9998</v>
      </c>
      <c r="I2460" t="s">
        <v>28779</v>
      </c>
      <c r="J2460" t="s">
        <v>30515</v>
      </c>
      <c r="K2460" t="s">
        <v>37206</v>
      </c>
      <c r="M2460" t="s">
        <v>38466</v>
      </c>
      <c r="N2460" t="s">
        <v>41249</v>
      </c>
      <c r="O2460" t="s">
        <v>41250</v>
      </c>
      <c r="P2460">
        <v>0</v>
      </c>
      <c r="Q2460">
        <v>1</v>
      </c>
      <c r="R2460" t="s">
        <v>41252</v>
      </c>
      <c r="S2460" t="s">
        <v>41383</v>
      </c>
      <c r="T2460" t="s">
        <v>42757</v>
      </c>
      <c r="U2460" t="s">
        <v>45076</v>
      </c>
      <c r="W2460" t="s">
        <v>38466</v>
      </c>
      <c r="X2460" t="s">
        <v>41254</v>
      </c>
    </row>
    <row r="2461" spans="1:24">
      <c r="A2461">
        <f>HYPERLINK("https://www.philgeps.gov.ph/GEPSNONPILOT/Tender/SplashBidNoticeAbstractUI.aspx?menuIndex=3&amp;refID=7073380&amp;Result=3","7073380")</f>
        <v>0</v>
      </c>
      <c r="B2461" t="s">
        <v>1028</v>
      </c>
      <c r="C2461" t="s">
        <v>5737</v>
      </c>
      <c r="D2461" t="s">
        <v>16657</v>
      </c>
      <c r="E2461" t="s">
        <v>18965</v>
      </c>
      <c r="F2461" t="s">
        <v>28669</v>
      </c>
      <c r="G2461" t="s">
        <v>28677</v>
      </c>
      <c r="H2461" t="s">
        <v>9998</v>
      </c>
      <c r="I2461" t="s">
        <v>15140</v>
      </c>
      <c r="J2461" t="s">
        <v>30516</v>
      </c>
      <c r="K2461" t="s">
        <v>37204</v>
      </c>
      <c r="M2461" t="s">
        <v>38559</v>
      </c>
      <c r="N2461" t="s">
        <v>41249</v>
      </c>
      <c r="O2461" t="s">
        <v>41250</v>
      </c>
      <c r="P2461">
        <v>0</v>
      </c>
      <c r="Q2461">
        <v>1</v>
      </c>
      <c r="R2461" t="s">
        <v>41252</v>
      </c>
      <c r="S2461" t="s">
        <v>41383</v>
      </c>
      <c r="T2461" t="s">
        <v>42889</v>
      </c>
      <c r="U2461" t="s">
        <v>45295</v>
      </c>
      <c r="W2461" t="s">
        <v>38559</v>
      </c>
      <c r="X2461" t="s">
        <v>41254</v>
      </c>
    </row>
    <row r="2462" spans="1:24">
      <c r="A2462">
        <f>HYPERLINK("https://www.philgeps.gov.ph/GEPSNONPILOT/Tender/SplashBidNoticeAbstractUI.aspx?menuIndex=3&amp;refID=7073349&amp;Result=3","7073349")</f>
        <v>0</v>
      </c>
      <c r="B2462" t="s">
        <v>903</v>
      </c>
      <c r="C2462" t="s">
        <v>5738</v>
      </c>
      <c r="D2462" t="s">
        <v>16678</v>
      </c>
      <c r="E2462" t="s">
        <v>18966</v>
      </c>
      <c r="F2462" t="s">
        <v>28669</v>
      </c>
      <c r="G2462" t="s">
        <v>28676</v>
      </c>
      <c r="H2462" t="s">
        <v>9998</v>
      </c>
      <c r="I2462" t="s">
        <v>11593</v>
      </c>
      <c r="J2462" t="s">
        <v>28990</v>
      </c>
      <c r="K2462" t="s">
        <v>37206</v>
      </c>
      <c r="M2462" t="s">
        <v>38424</v>
      </c>
      <c r="N2462" t="s">
        <v>41249</v>
      </c>
      <c r="O2462" t="s">
        <v>41250</v>
      </c>
      <c r="P2462">
        <v>0</v>
      </c>
      <c r="Q2462">
        <v>0</v>
      </c>
      <c r="R2462" t="s">
        <v>41252</v>
      </c>
      <c r="S2462" t="s">
        <v>41383</v>
      </c>
      <c r="T2462" t="s">
        <v>42729</v>
      </c>
      <c r="U2462" t="s">
        <v>45288</v>
      </c>
      <c r="W2462" t="s">
        <v>38424</v>
      </c>
      <c r="X2462" t="s">
        <v>41254</v>
      </c>
    </row>
    <row r="2463" spans="1:24">
      <c r="A2463">
        <f>HYPERLINK("https://www.philgeps.gov.ph/GEPSNONPILOT/Tender/SplashBidNoticeAbstractUI.aspx?menuIndex=3&amp;refID=7073377&amp;Result=3","7073377")</f>
        <v>0</v>
      </c>
      <c r="B2463" t="s">
        <v>1044</v>
      </c>
      <c r="C2463" t="s">
        <v>5739</v>
      </c>
      <c r="D2463" t="s">
        <v>16663</v>
      </c>
      <c r="E2463" t="s">
        <v>18967</v>
      </c>
      <c r="F2463" t="s">
        <v>28669</v>
      </c>
      <c r="G2463" t="s">
        <v>28677</v>
      </c>
      <c r="H2463" t="s">
        <v>9998</v>
      </c>
      <c r="I2463" t="s">
        <v>28697</v>
      </c>
      <c r="J2463" t="s">
        <v>29189</v>
      </c>
      <c r="K2463" t="s">
        <v>37206</v>
      </c>
      <c r="M2463" t="s">
        <v>38575</v>
      </c>
      <c r="N2463" t="s">
        <v>41249</v>
      </c>
      <c r="O2463" t="s">
        <v>41250</v>
      </c>
      <c r="P2463">
        <v>0</v>
      </c>
      <c r="Q2463">
        <v>6</v>
      </c>
      <c r="R2463" t="s">
        <v>41252</v>
      </c>
      <c r="S2463" t="s">
        <v>41383</v>
      </c>
      <c r="T2463" t="s">
        <v>42754</v>
      </c>
      <c r="U2463" t="s">
        <v>45320</v>
      </c>
      <c r="W2463" t="s">
        <v>38575</v>
      </c>
      <c r="X2463" t="s">
        <v>41254</v>
      </c>
    </row>
    <row r="2464" spans="1:24">
      <c r="A2464">
        <f>HYPERLINK("https://www.philgeps.gov.ph/GEPSNONPILOT/Tender/SplashBidNoticeAbstractUI.aspx?menuIndex=3&amp;refID=7073375&amp;Result=3","7073375")</f>
        <v>0</v>
      </c>
      <c r="B2464" t="s">
        <v>1045</v>
      </c>
      <c r="C2464" t="s">
        <v>5740</v>
      </c>
      <c r="D2464" t="s">
        <v>16657</v>
      </c>
      <c r="E2464" t="s">
        <v>18968</v>
      </c>
      <c r="F2464" t="s">
        <v>28669</v>
      </c>
      <c r="G2464" t="s">
        <v>28675</v>
      </c>
      <c r="H2464" t="s">
        <v>28684</v>
      </c>
      <c r="I2464" t="s">
        <v>28755</v>
      </c>
      <c r="J2464" t="s">
        <v>30517</v>
      </c>
      <c r="K2464" t="s">
        <v>37207</v>
      </c>
      <c r="M2464" t="s">
        <v>38576</v>
      </c>
      <c r="N2464" t="s">
        <v>41249</v>
      </c>
      <c r="O2464" t="s">
        <v>41250</v>
      </c>
      <c r="P2464">
        <v>0</v>
      </c>
      <c r="Q2464">
        <v>0</v>
      </c>
      <c r="R2464" t="s">
        <v>41252</v>
      </c>
      <c r="S2464" t="s">
        <v>41383</v>
      </c>
      <c r="T2464" t="s">
        <v>42882</v>
      </c>
      <c r="U2464" t="s">
        <v>45321</v>
      </c>
      <c r="V2464" t="s">
        <v>54564</v>
      </c>
      <c r="W2464" t="s">
        <v>38576</v>
      </c>
      <c r="X2464" t="s">
        <v>41254</v>
      </c>
    </row>
    <row r="2465" spans="1:24">
      <c r="A2465">
        <f>HYPERLINK("https://www.philgeps.gov.ph/GEPSNONPILOT/Tender/SplashBidNoticeAbstractUI.aspx?menuIndex=3&amp;refID=7073370&amp;Result=3","7073370")</f>
        <v>0</v>
      </c>
      <c r="B2465" t="s">
        <v>1046</v>
      </c>
      <c r="C2465" t="s">
        <v>3788</v>
      </c>
      <c r="D2465" t="s">
        <v>16662</v>
      </c>
      <c r="E2465" t="s">
        <v>17407</v>
      </c>
      <c r="F2465" t="s">
        <v>28669</v>
      </c>
      <c r="G2465" t="s">
        <v>28678</v>
      </c>
      <c r="H2465" t="s">
        <v>9998</v>
      </c>
      <c r="I2465" t="s">
        <v>28688</v>
      </c>
      <c r="J2465" t="s">
        <v>29547</v>
      </c>
      <c r="K2465" t="s">
        <v>37209</v>
      </c>
      <c r="M2465" t="s">
        <v>38577</v>
      </c>
      <c r="N2465" t="s">
        <v>41249</v>
      </c>
      <c r="O2465" t="s">
        <v>41250</v>
      </c>
      <c r="P2465">
        <v>0</v>
      </c>
      <c r="Q2465">
        <v>0</v>
      </c>
      <c r="R2465" t="s">
        <v>41252</v>
      </c>
      <c r="S2465" t="s">
        <v>41383</v>
      </c>
      <c r="T2465" t="s">
        <v>42701</v>
      </c>
      <c r="U2465" t="s">
        <v>45322</v>
      </c>
      <c r="W2465" t="s">
        <v>38577</v>
      </c>
      <c r="X2465" t="s">
        <v>41254</v>
      </c>
    </row>
    <row r="2466" spans="1:24">
      <c r="A2466">
        <f>HYPERLINK("https://www.philgeps.gov.ph/GEPSNONPILOT/Tender/SplashBidNoticeAbstractUI.aspx?menuIndex=3&amp;refID=7073368&amp;Result=3","7073368")</f>
        <v>0</v>
      </c>
      <c r="B2466" t="s">
        <v>452</v>
      </c>
      <c r="C2466" t="s">
        <v>5741</v>
      </c>
      <c r="D2466" t="s">
        <v>16608</v>
      </c>
      <c r="E2466" t="s">
        <v>18969</v>
      </c>
      <c r="F2466" t="s">
        <v>28669</v>
      </c>
      <c r="G2466" t="s">
        <v>28682</v>
      </c>
      <c r="H2466" t="s">
        <v>9998</v>
      </c>
      <c r="I2466" t="s">
        <v>28764</v>
      </c>
      <c r="J2466" t="s">
        <v>30518</v>
      </c>
      <c r="K2466" t="s">
        <v>37215</v>
      </c>
      <c r="M2466" t="s">
        <v>37940</v>
      </c>
      <c r="N2466" t="s">
        <v>41249</v>
      </c>
      <c r="O2466" t="s">
        <v>41250</v>
      </c>
      <c r="Q2466">
        <v>21</v>
      </c>
      <c r="R2466" t="s">
        <v>41252</v>
      </c>
      <c r="S2466" t="s">
        <v>41390</v>
      </c>
      <c r="T2466" t="s">
        <v>42860</v>
      </c>
      <c r="U2466" t="s">
        <v>45323</v>
      </c>
      <c r="W2466" t="s">
        <v>37940</v>
      </c>
      <c r="X2466" t="s">
        <v>41254</v>
      </c>
    </row>
    <row r="2467" spans="1:24">
      <c r="A2467">
        <f>HYPERLINK("https://www.philgeps.gov.ph/GEPSNONPILOT/Tender/SplashBidNoticeAbstractUI.aspx?menuIndex=3&amp;refID=7073367&amp;Result=3","7073367")</f>
        <v>0</v>
      </c>
      <c r="B2467" t="s">
        <v>1047</v>
      </c>
      <c r="C2467" t="s">
        <v>5742</v>
      </c>
      <c r="D2467" t="s">
        <v>16654</v>
      </c>
      <c r="E2467" t="s">
        <v>18970</v>
      </c>
      <c r="F2467" t="s">
        <v>28669</v>
      </c>
      <c r="G2467" t="s">
        <v>28675</v>
      </c>
      <c r="H2467" t="s">
        <v>9998</v>
      </c>
      <c r="I2467" t="s">
        <v>28733</v>
      </c>
      <c r="J2467" t="s">
        <v>29068</v>
      </c>
      <c r="K2467" t="s">
        <v>37204</v>
      </c>
      <c r="M2467" t="s">
        <v>38578</v>
      </c>
      <c r="N2467" t="s">
        <v>41249</v>
      </c>
      <c r="O2467" t="s">
        <v>41250</v>
      </c>
      <c r="P2467">
        <v>0</v>
      </c>
      <c r="Q2467">
        <v>3</v>
      </c>
      <c r="R2467" t="s">
        <v>41252</v>
      </c>
      <c r="S2467" t="s">
        <v>41383</v>
      </c>
      <c r="T2467" t="s">
        <v>42703</v>
      </c>
      <c r="U2467" t="s">
        <v>45324</v>
      </c>
      <c r="W2467" t="s">
        <v>38578</v>
      </c>
      <c r="X2467" t="s">
        <v>41254</v>
      </c>
    </row>
    <row r="2468" spans="1:24">
      <c r="A2468">
        <f>HYPERLINK("https://www.philgeps.gov.ph/GEPSNONPILOT/Tender/SplashBidNoticeAbstractUI.aspx?menuIndex=3&amp;refID=7073366&amp;Result=3","7073366")</f>
        <v>0</v>
      </c>
      <c r="B2468" t="s">
        <v>1048</v>
      </c>
      <c r="C2468" t="s">
        <v>5743</v>
      </c>
      <c r="D2468" t="s">
        <v>16666</v>
      </c>
      <c r="E2468" t="s">
        <v>18971</v>
      </c>
      <c r="F2468" t="s">
        <v>28669</v>
      </c>
      <c r="G2468" t="s">
        <v>28675</v>
      </c>
      <c r="H2468" t="s">
        <v>28686</v>
      </c>
      <c r="I2468" t="s">
        <v>28689</v>
      </c>
      <c r="J2468" t="s">
        <v>29847</v>
      </c>
      <c r="K2468" t="s">
        <v>37318</v>
      </c>
      <c r="M2468" t="s">
        <v>38579</v>
      </c>
      <c r="N2468" t="s">
        <v>41249</v>
      </c>
      <c r="O2468" t="s">
        <v>41250</v>
      </c>
      <c r="P2468">
        <v>0</v>
      </c>
      <c r="Q2468">
        <v>0</v>
      </c>
      <c r="R2468" t="s">
        <v>41252</v>
      </c>
      <c r="S2468" t="s">
        <v>41383</v>
      </c>
      <c r="T2468" t="s">
        <v>42890</v>
      </c>
      <c r="U2468" t="s">
        <v>45325</v>
      </c>
      <c r="W2468" t="s">
        <v>38579</v>
      </c>
      <c r="X2468" t="s">
        <v>41254</v>
      </c>
    </row>
    <row r="2469" spans="1:24">
      <c r="A2469">
        <f>HYPERLINK("https://www.philgeps.gov.ph/GEPSNONPILOT/Tender/SplashBidNoticeAbstractUI.aspx?menuIndex=3&amp;refID=7073381&amp;Result=3","7073381")</f>
        <v>0</v>
      </c>
      <c r="B2469" t="s">
        <v>1027</v>
      </c>
      <c r="C2469" t="s">
        <v>5744</v>
      </c>
      <c r="D2469" t="s">
        <v>16624</v>
      </c>
      <c r="E2469" t="s">
        <v>18972</v>
      </c>
      <c r="F2469" t="s">
        <v>28669</v>
      </c>
      <c r="G2469" t="s">
        <v>28676</v>
      </c>
      <c r="H2469" t="s">
        <v>9998</v>
      </c>
      <c r="I2469" t="s">
        <v>7352</v>
      </c>
      <c r="J2469" t="s">
        <v>30519</v>
      </c>
      <c r="K2469" t="s">
        <v>37216</v>
      </c>
      <c r="M2469" t="s">
        <v>38558</v>
      </c>
      <c r="N2469" t="s">
        <v>41249</v>
      </c>
      <c r="O2469" t="s">
        <v>41250</v>
      </c>
      <c r="P2469">
        <v>0</v>
      </c>
      <c r="Q2469">
        <v>0</v>
      </c>
      <c r="R2469" t="s">
        <v>41252</v>
      </c>
      <c r="S2469" t="s">
        <v>41383</v>
      </c>
      <c r="T2469" t="s">
        <v>42729</v>
      </c>
      <c r="U2469" t="s">
        <v>45326</v>
      </c>
      <c r="W2469" t="s">
        <v>38558</v>
      </c>
      <c r="X2469" t="s">
        <v>41254</v>
      </c>
    </row>
    <row r="2470" spans="1:24">
      <c r="A2470">
        <f>HYPERLINK("https://www.philgeps.gov.ph/GEPSNONPILOT/Tender/SplashBidNoticeAbstractUI.aspx?menuIndex=3&amp;refID=7073365&amp;Result=3","7073365")</f>
        <v>0</v>
      </c>
      <c r="B2470" t="s">
        <v>1049</v>
      </c>
      <c r="C2470" t="s">
        <v>5745</v>
      </c>
      <c r="E2470" t="s">
        <v>18973</v>
      </c>
      <c r="F2470" t="s">
        <v>28669</v>
      </c>
      <c r="G2470" t="s">
        <v>28676</v>
      </c>
      <c r="H2470" t="s">
        <v>9998</v>
      </c>
      <c r="I2470" t="s">
        <v>28706</v>
      </c>
      <c r="J2470" t="s">
        <v>29034</v>
      </c>
      <c r="K2470" t="s">
        <v>37209</v>
      </c>
      <c r="M2470" t="s">
        <v>38580</v>
      </c>
      <c r="N2470" t="s">
        <v>41249</v>
      </c>
      <c r="O2470" t="s">
        <v>41250</v>
      </c>
      <c r="P2470">
        <v>0</v>
      </c>
      <c r="Q2470">
        <v>1</v>
      </c>
      <c r="R2470" t="s">
        <v>41252</v>
      </c>
      <c r="S2470" t="s">
        <v>41383</v>
      </c>
      <c r="T2470" t="s">
        <v>42891</v>
      </c>
      <c r="U2470" t="s">
        <v>45327</v>
      </c>
      <c r="W2470" t="s">
        <v>38580</v>
      </c>
      <c r="X2470" t="s">
        <v>41254</v>
      </c>
    </row>
    <row r="2471" spans="1:24">
      <c r="A2471">
        <f>HYPERLINK("https://www.philgeps.gov.ph/GEPSNONPILOT/Tender/SplashBidNoticeAbstractUI.aspx?menuIndex=3&amp;refID=7073386&amp;Result=3","7073386")</f>
        <v>0</v>
      </c>
      <c r="B2471" t="s">
        <v>1024</v>
      </c>
      <c r="C2471" t="s">
        <v>5746</v>
      </c>
      <c r="D2471" t="s">
        <v>16608</v>
      </c>
      <c r="E2471" t="s">
        <v>18974</v>
      </c>
      <c r="F2471" t="s">
        <v>28669</v>
      </c>
      <c r="G2471" t="s">
        <v>28677</v>
      </c>
      <c r="H2471" t="s">
        <v>9998</v>
      </c>
      <c r="I2471" t="s">
        <v>7352</v>
      </c>
      <c r="J2471" t="s">
        <v>30520</v>
      </c>
      <c r="K2471" t="s">
        <v>37206</v>
      </c>
      <c r="M2471" t="s">
        <v>38554</v>
      </c>
      <c r="N2471" t="s">
        <v>41249</v>
      </c>
      <c r="O2471" t="s">
        <v>41250</v>
      </c>
      <c r="P2471">
        <v>0</v>
      </c>
      <c r="Q2471">
        <v>1</v>
      </c>
      <c r="R2471" t="s">
        <v>41252</v>
      </c>
      <c r="S2471" t="s">
        <v>41383</v>
      </c>
      <c r="T2471" t="s">
        <v>42679</v>
      </c>
      <c r="U2471" t="s">
        <v>45328</v>
      </c>
      <c r="W2471" t="s">
        <v>38554</v>
      </c>
      <c r="X2471" t="s">
        <v>41254</v>
      </c>
    </row>
    <row r="2472" spans="1:24">
      <c r="A2472">
        <f>HYPERLINK("https://www.philgeps.gov.ph/GEPSNONPILOT/Tender/SplashBidNoticeAbstractUI.aspx?menuIndex=3&amp;refID=7073383&amp;Result=3","7073383")</f>
        <v>0</v>
      </c>
      <c r="B2472" t="s">
        <v>1050</v>
      </c>
      <c r="C2472" t="s">
        <v>5747</v>
      </c>
      <c r="D2472" t="s">
        <v>16648</v>
      </c>
      <c r="E2472" t="s">
        <v>18975</v>
      </c>
      <c r="F2472" t="s">
        <v>28669</v>
      </c>
      <c r="G2472" t="s">
        <v>28675</v>
      </c>
      <c r="H2472" t="s">
        <v>9998</v>
      </c>
      <c r="I2472" t="s">
        <v>7352</v>
      </c>
      <c r="J2472" t="s">
        <v>30521</v>
      </c>
      <c r="K2472" t="s">
        <v>37204</v>
      </c>
      <c r="M2472" t="s">
        <v>38581</v>
      </c>
      <c r="N2472" t="s">
        <v>41249</v>
      </c>
      <c r="O2472" t="s">
        <v>41250</v>
      </c>
      <c r="P2472">
        <v>0</v>
      </c>
      <c r="Q2472">
        <v>0</v>
      </c>
      <c r="R2472" t="s">
        <v>41252</v>
      </c>
      <c r="S2472" t="s">
        <v>41383</v>
      </c>
      <c r="T2472" t="s">
        <v>42873</v>
      </c>
      <c r="U2472" t="s">
        <v>45329</v>
      </c>
      <c r="W2472" t="s">
        <v>38581</v>
      </c>
      <c r="X2472" t="s">
        <v>41254</v>
      </c>
    </row>
    <row r="2473" spans="1:24">
      <c r="A2473">
        <f>HYPERLINK("https://www.philgeps.gov.ph/GEPSNONPILOT/Tender/SplashBidNoticeAbstractUI.aspx?menuIndex=3&amp;refID=7073369&amp;Result=3","7073369")</f>
        <v>0</v>
      </c>
      <c r="B2473" t="s">
        <v>1051</v>
      </c>
      <c r="C2473" t="s">
        <v>5748</v>
      </c>
      <c r="D2473" t="s">
        <v>16611</v>
      </c>
      <c r="E2473" t="s">
        <v>18976</v>
      </c>
      <c r="F2473" t="s">
        <v>28669</v>
      </c>
      <c r="G2473" t="s">
        <v>28676</v>
      </c>
      <c r="H2473" t="s">
        <v>9998</v>
      </c>
      <c r="I2473" t="s">
        <v>28715</v>
      </c>
      <c r="J2473" t="s">
        <v>30522</v>
      </c>
      <c r="K2473" t="s">
        <v>37210</v>
      </c>
      <c r="M2473" t="s">
        <v>38582</v>
      </c>
      <c r="N2473" t="s">
        <v>41249</v>
      </c>
      <c r="O2473" t="s">
        <v>41250</v>
      </c>
      <c r="P2473">
        <v>0</v>
      </c>
      <c r="Q2473">
        <v>1</v>
      </c>
      <c r="R2473" t="s">
        <v>41252</v>
      </c>
      <c r="S2473" t="s">
        <v>41383</v>
      </c>
      <c r="T2473" t="s">
        <v>42701</v>
      </c>
      <c r="U2473" t="s">
        <v>45330</v>
      </c>
      <c r="W2473" t="s">
        <v>38582</v>
      </c>
      <c r="X2473" t="s">
        <v>41254</v>
      </c>
    </row>
    <row r="2474" spans="1:24">
      <c r="A2474">
        <f>HYPERLINK("https://www.philgeps.gov.ph/GEPSNONPILOT/Tender/SplashBidNoticeAbstractUI.aspx?menuIndex=3&amp;refID=7073362&amp;Result=3","7073362")</f>
        <v>0</v>
      </c>
      <c r="B2474" t="s">
        <v>1052</v>
      </c>
      <c r="C2474" t="s">
        <v>5749</v>
      </c>
      <c r="D2474" t="s">
        <v>16608</v>
      </c>
      <c r="E2474" t="s">
        <v>18977</v>
      </c>
      <c r="F2474" t="s">
        <v>28669</v>
      </c>
      <c r="G2474" t="s">
        <v>28677</v>
      </c>
      <c r="H2474" t="s">
        <v>9998</v>
      </c>
      <c r="I2474" t="s">
        <v>28690</v>
      </c>
      <c r="J2474" t="s">
        <v>30523</v>
      </c>
      <c r="K2474" t="s">
        <v>37234</v>
      </c>
      <c r="M2474" t="s">
        <v>38583</v>
      </c>
      <c r="N2474" t="s">
        <v>41249</v>
      </c>
      <c r="O2474" t="s">
        <v>41250</v>
      </c>
      <c r="P2474">
        <v>0</v>
      </c>
      <c r="Q2474">
        <v>4</v>
      </c>
      <c r="R2474" t="s">
        <v>41252</v>
      </c>
      <c r="S2474" t="s">
        <v>41383</v>
      </c>
      <c r="T2474" t="s">
        <v>42736</v>
      </c>
      <c r="U2474" t="s">
        <v>45331</v>
      </c>
      <c r="W2474" t="s">
        <v>38583</v>
      </c>
      <c r="X2474" t="s">
        <v>41254</v>
      </c>
    </row>
    <row r="2475" spans="1:24">
      <c r="A2475">
        <f>HYPERLINK("https://www.philgeps.gov.ph/GEPSNONPILOT/Tender/SplashBidNoticeAbstractUI.aspx?menuIndex=3&amp;refID=7073350&amp;Result=3","7073350")</f>
        <v>0</v>
      </c>
      <c r="B2475" t="s">
        <v>1053</v>
      </c>
      <c r="C2475" t="s">
        <v>5750</v>
      </c>
      <c r="D2475" t="s">
        <v>16627</v>
      </c>
      <c r="E2475" t="s">
        <v>18978</v>
      </c>
      <c r="F2475" t="s">
        <v>28669</v>
      </c>
      <c r="G2475" t="s">
        <v>28676</v>
      </c>
      <c r="H2475" t="s">
        <v>9998</v>
      </c>
      <c r="I2475" t="s">
        <v>8667</v>
      </c>
      <c r="J2475" t="s">
        <v>30524</v>
      </c>
      <c r="K2475" t="s">
        <v>37210</v>
      </c>
      <c r="M2475" t="s">
        <v>38584</v>
      </c>
      <c r="N2475" t="s">
        <v>41249</v>
      </c>
      <c r="O2475" t="s">
        <v>41250</v>
      </c>
      <c r="P2475">
        <v>0</v>
      </c>
      <c r="Q2475">
        <v>1</v>
      </c>
      <c r="R2475" t="s">
        <v>41252</v>
      </c>
      <c r="S2475" t="s">
        <v>41383</v>
      </c>
      <c r="T2475" t="s">
        <v>42742</v>
      </c>
      <c r="U2475" t="s">
        <v>45332</v>
      </c>
      <c r="W2475" t="s">
        <v>38584</v>
      </c>
      <c r="X2475" t="s">
        <v>41254</v>
      </c>
    </row>
    <row r="2476" spans="1:24">
      <c r="A2476">
        <f>HYPERLINK("https://www.philgeps.gov.ph/GEPSNONPILOT/Tender/SplashBidNoticeAbstractUI.aspx?menuIndex=3&amp;refID=7073387&amp;Result=3","7073387")</f>
        <v>0</v>
      </c>
      <c r="B2476" t="s">
        <v>1054</v>
      </c>
      <c r="C2476" t="s">
        <v>4247</v>
      </c>
      <c r="D2476" t="s">
        <v>16660</v>
      </c>
      <c r="E2476" t="s">
        <v>18979</v>
      </c>
      <c r="F2476" t="s">
        <v>28669</v>
      </c>
      <c r="G2476" t="s">
        <v>28677</v>
      </c>
      <c r="H2476" t="s">
        <v>9998</v>
      </c>
      <c r="I2476" t="s">
        <v>28688</v>
      </c>
      <c r="J2476" t="s">
        <v>30525</v>
      </c>
      <c r="K2476" t="s">
        <v>37210</v>
      </c>
      <c r="M2476" t="s">
        <v>38585</v>
      </c>
      <c r="N2476" t="s">
        <v>41249</v>
      </c>
      <c r="O2476" t="s">
        <v>41250</v>
      </c>
      <c r="P2476">
        <v>0</v>
      </c>
      <c r="Q2476">
        <v>2</v>
      </c>
      <c r="R2476" t="s">
        <v>41252</v>
      </c>
      <c r="S2476" t="s">
        <v>41383</v>
      </c>
      <c r="T2476" t="s">
        <v>42887</v>
      </c>
      <c r="U2476" t="s">
        <v>43998</v>
      </c>
      <c r="W2476" t="s">
        <v>38585</v>
      </c>
      <c r="X2476" t="s">
        <v>41254</v>
      </c>
    </row>
    <row r="2477" spans="1:24">
      <c r="A2477">
        <f>HYPERLINK("https://www.philgeps.gov.ph/GEPSNONPILOT/Tender/SplashBidNoticeAbstractUI.aspx?menuIndex=3&amp;refID=7073400&amp;Result=3","7073400")</f>
        <v>0</v>
      </c>
      <c r="B2477" t="s">
        <v>1055</v>
      </c>
      <c r="C2477" t="s">
        <v>5751</v>
      </c>
      <c r="D2477" t="s">
        <v>16636</v>
      </c>
      <c r="E2477" t="s">
        <v>18980</v>
      </c>
      <c r="F2477" t="s">
        <v>28669</v>
      </c>
      <c r="G2477" t="s">
        <v>28676</v>
      </c>
      <c r="H2477" t="s">
        <v>9998</v>
      </c>
      <c r="I2477" t="s">
        <v>5213</v>
      </c>
      <c r="J2477" t="s">
        <v>28838</v>
      </c>
      <c r="K2477" t="s">
        <v>37205</v>
      </c>
      <c r="M2477" t="s">
        <v>38586</v>
      </c>
      <c r="N2477" t="s">
        <v>41249</v>
      </c>
      <c r="O2477" t="s">
        <v>41250</v>
      </c>
      <c r="P2477">
        <v>0</v>
      </c>
      <c r="Q2477">
        <v>1</v>
      </c>
      <c r="R2477" t="s">
        <v>41252</v>
      </c>
      <c r="S2477" t="s">
        <v>41383</v>
      </c>
      <c r="T2477" t="s">
        <v>42758</v>
      </c>
      <c r="U2477" t="s">
        <v>45333</v>
      </c>
      <c r="W2477" t="s">
        <v>38586</v>
      </c>
      <c r="X2477" t="s">
        <v>41254</v>
      </c>
    </row>
    <row r="2478" spans="1:24">
      <c r="A2478">
        <f>HYPERLINK("https://www.philgeps.gov.ph/GEPSNONPILOT/Tender/SplashBidNoticeAbstractUI.aspx?menuIndex=3&amp;refID=7073399&amp;Result=3","7073399")</f>
        <v>0</v>
      </c>
      <c r="B2478" t="s">
        <v>1054</v>
      </c>
      <c r="C2478" t="s">
        <v>4218</v>
      </c>
      <c r="D2478" t="s">
        <v>16660</v>
      </c>
      <c r="E2478" t="s">
        <v>18981</v>
      </c>
      <c r="F2478" t="s">
        <v>28669</v>
      </c>
      <c r="G2478" t="s">
        <v>28677</v>
      </c>
      <c r="H2478" t="s">
        <v>9998</v>
      </c>
      <c r="I2478" t="s">
        <v>28694</v>
      </c>
      <c r="J2478" t="s">
        <v>30526</v>
      </c>
      <c r="K2478" t="s">
        <v>37210</v>
      </c>
      <c r="M2478" t="s">
        <v>38585</v>
      </c>
      <c r="N2478" t="s">
        <v>41249</v>
      </c>
      <c r="O2478" t="s">
        <v>41250</v>
      </c>
      <c r="P2478">
        <v>0</v>
      </c>
      <c r="Q2478">
        <v>1</v>
      </c>
      <c r="R2478" t="s">
        <v>41252</v>
      </c>
      <c r="S2478" t="s">
        <v>41383</v>
      </c>
      <c r="T2478" t="s">
        <v>42887</v>
      </c>
      <c r="U2478" t="s">
        <v>43972</v>
      </c>
      <c r="W2478" t="s">
        <v>38585</v>
      </c>
      <c r="X2478" t="s">
        <v>41254</v>
      </c>
    </row>
    <row r="2479" spans="1:24">
      <c r="A2479">
        <f>HYPERLINK("https://www.philgeps.gov.ph/GEPSNONPILOT/Tender/SplashBidNoticeAbstractUI.aspx?menuIndex=3&amp;refID=7073398&amp;Result=3","7073398")</f>
        <v>0</v>
      </c>
      <c r="B2479" t="s">
        <v>681</v>
      </c>
      <c r="C2479" t="s">
        <v>5752</v>
      </c>
      <c r="D2479" t="s">
        <v>16671</v>
      </c>
      <c r="E2479" t="s">
        <v>18982</v>
      </c>
      <c r="F2479" t="s">
        <v>28669</v>
      </c>
      <c r="G2479" t="s">
        <v>28676</v>
      </c>
      <c r="H2479" t="s">
        <v>9998</v>
      </c>
      <c r="I2479" t="s">
        <v>3718</v>
      </c>
      <c r="J2479" t="s">
        <v>29426</v>
      </c>
      <c r="K2479" t="s">
        <v>37205</v>
      </c>
      <c r="M2479" t="s">
        <v>38185</v>
      </c>
      <c r="N2479" t="s">
        <v>41249</v>
      </c>
      <c r="O2479" t="s">
        <v>41250</v>
      </c>
      <c r="P2479">
        <v>0</v>
      </c>
      <c r="Q2479">
        <v>1</v>
      </c>
      <c r="R2479" t="s">
        <v>41252</v>
      </c>
      <c r="S2479" t="s">
        <v>41383</v>
      </c>
      <c r="T2479" t="s">
        <v>42754</v>
      </c>
      <c r="U2479" t="s">
        <v>45334</v>
      </c>
      <c r="W2479" t="s">
        <v>38185</v>
      </c>
      <c r="X2479" t="s">
        <v>41254</v>
      </c>
    </row>
    <row r="2480" spans="1:24">
      <c r="A2480">
        <f>HYPERLINK("https://www.philgeps.gov.ph/GEPSNONPILOT/Tender/SplashBidNoticeAbstractUI.aspx?menuIndex=3&amp;refID=7073395&amp;Result=3","7073395")</f>
        <v>0</v>
      </c>
      <c r="B2480" t="s">
        <v>1052</v>
      </c>
      <c r="C2480" t="s">
        <v>5753</v>
      </c>
      <c r="D2480" t="s">
        <v>16608</v>
      </c>
      <c r="E2480" t="s">
        <v>18983</v>
      </c>
      <c r="F2480" t="s">
        <v>28669</v>
      </c>
      <c r="G2480" t="s">
        <v>28677</v>
      </c>
      <c r="H2480" t="s">
        <v>9998</v>
      </c>
      <c r="I2480" t="s">
        <v>28688</v>
      </c>
      <c r="J2480" t="s">
        <v>29349</v>
      </c>
      <c r="K2480" t="s">
        <v>37210</v>
      </c>
      <c r="M2480" t="s">
        <v>38583</v>
      </c>
      <c r="N2480" t="s">
        <v>41249</v>
      </c>
      <c r="O2480" t="s">
        <v>41250</v>
      </c>
      <c r="P2480">
        <v>0</v>
      </c>
      <c r="Q2480">
        <v>3</v>
      </c>
      <c r="R2480" t="s">
        <v>41252</v>
      </c>
      <c r="S2480" t="s">
        <v>41383</v>
      </c>
      <c r="T2480" t="s">
        <v>42736</v>
      </c>
      <c r="U2480" t="s">
        <v>45335</v>
      </c>
      <c r="W2480" t="s">
        <v>38583</v>
      </c>
      <c r="X2480" t="s">
        <v>41254</v>
      </c>
    </row>
    <row r="2481" spans="1:24">
      <c r="A2481">
        <f>HYPERLINK("https://www.philgeps.gov.ph/GEPSNONPILOT/Tender/SplashBidNoticeAbstractUI.aspx?menuIndex=3&amp;refID=7073364&amp;Result=3","7073364")</f>
        <v>0</v>
      </c>
      <c r="B2481" t="s">
        <v>1040</v>
      </c>
      <c r="C2481" t="s">
        <v>5754</v>
      </c>
      <c r="D2481" t="s">
        <v>16648</v>
      </c>
      <c r="E2481" t="s">
        <v>18984</v>
      </c>
      <c r="F2481" t="s">
        <v>28669</v>
      </c>
      <c r="G2481" t="s">
        <v>28677</v>
      </c>
      <c r="H2481" t="s">
        <v>9998</v>
      </c>
      <c r="I2481" t="s">
        <v>28690</v>
      </c>
      <c r="J2481" t="s">
        <v>29733</v>
      </c>
      <c r="K2481" t="s">
        <v>37208</v>
      </c>
      <c r="M2481" t="s">
        <v>38571</v>
      </c>
      <c r="N2481" t="s">
        <v>41249</v>
      </c>
      <c r="O2481" t="s">
        <v>41250</v>
      </c>
      <c r="P2481">
        <v>0</v>
      </c>
      <c r="Q2481">
        <v>1</v>
      </c>
      <c r="R2481" t="s">
        <v>41252</v>
      </c>
      <c r="S2481" t="s">
        <v>41383</v>
      </c>
      <c r="T2481" t="s">
        <v>42887</v>
      </c>
      <c r="U2481" t="s">
        <v>45336</v>
      </c>
      <c r="W2481" t="s">
        <v>38571</v>
      </c>
      <c r="X2481" t="s">
        <v>41254</v>
      </c>
    </row>
    <row r="2482" spans="1:24">
      <c r="A2482">
        <f>HYPERLINK("https://www.philgeps.gov.ph/GEPSNONPILOT/Tender/SplashBidNoticeAbstractUI.aspx?menuIndex=3&amp;refID=7073379&amp;Result=3","7073379")</f>
        <v>0</v>
      </c>
      <c r="B2482" t="s">
        <v>1056</v>
      </c>
      <c r="C2482" t="s">
        <v>5755</v>
      </c>
      <c r="D2482" t="s">
        <v>16683</v>
      </c>
      <c r="E2482" t="s">
        <v>18985</v>
      </c>
      <c r="F2482" t="s">
        <v>28669</v>
      </c>
      <c r="G2482" t="s">
        <v>28675</v>
      </c>
      <c r="H2482" t="s">
        <v>28686</v>
      </c>
      <c r="I2482" t="s">
        <v>28689</v>
      </c>
      <c r="J2482" t="s">
        <v>30527</v>
      </c>
      <c r="K2482" t="s">
        <v>37291</v>
      </c>
      <c r="M2482" t="s">
        <v>38587</v>
      </c>
      <c r="N2482" t="s">
        <v>41249</v>
      </c>
      <c r="O2482" t="s">
        <v>41250</v>
      </c>
      <c r="P2482">
        <v>0</v>
      </c>
      <c r="Q2482">
        <v>0</v>
      </c>
      <c r="R2482" t="s">
        <v>41252</v>
      </c>
      <c r="S2482" t="s">
        <v>41383</v>
      </c>
      <c r="T2482" t="s">
        <v>42870</v>
      </c>
      <c r="U2482" t="s">
        <v>45337</v>
      </c>
      <c r="W2482" t="s">
        <v>38587</v>
      </c>
      <c r="X2482" t="s">
        <v>41254</v>
      </c>
    </row>
    <row r="2483" spans="1:24">
      <c r="A2483">
        <f>HYPERLINK("https://www.philgeps.gov.ph/GEPSNONPILOT/Tender/SplashBidNoticeAbstractUI.aspx?menuIndex=3&amp;refID=7073394&amp;Result=3","7073394")</f>
        <v>0</v>
      </c>
      <c r="B2483" t="s">
        <v>1057</v>
      </c>
      <c r="C2483" t="s">
        <v>5756</v>
      </c>
      <c r="D2483" t="s">
        <v>16626</v>
      </c>
      <c r="E2483" t="s">
        <v>18986</v>
      </c>
      <c r="F2483" t="s">
        <v>28669</v>
      </c>
      <c r="G2483" t="s">
        <v>28675</v>
      </c>
      <c r="H2483" t="s">
        <v>28686</v>
      </c>
      <c r="I2483" t="s">
        <v>28689</v>
      </c>
      <c r="J2483" t="s">
        <v>30528</v>
      </c>
      <c r="K2483" t="s">
        <v>37281</v>
      </c>
      <c r="M2483" t="s">
        <v>38588</v>
      </c>
      <c r="N2483" t="s">
        <v>41249</v>
      </c>
      <c r="O2483" t="s">
        <v>41250</v>
      </c>
      <c r="P2483">
        <v>0</v>
      </c>
      <c r="Q2483">
        <v>2</v>
      </c>
      <c r="R2483" t="s">
        <v>41252</v>
      </c>
      <c r="S2483" t="s">
        <v>41383</v>
      </c>
      <c r="T2483" t="s">
        <v>42680</v>
      </c>
      <c r="U2483" t="s">
        <v>45338</v>
      </c>
      <c r="W2483" t="s">
        <v>38588</v>
      </c>
      <c r="X2483" t="s">
        <v>41254</v>
      </c>
    </row>
    <row r="2484" spans="1:24">
      <c r="A2484">
        <f>HYPERLINK("https://www.philgeps.gov.ph/GEPSNONPILOT/Tender/SplashBidNoticeAbstractUI.aspx?menuIndex=3&amp;refID=7073384&amp;Result=3","7073384")</f>
        <v>0</v>
      </c>
      <c r="B2484" t="s">
        <v>32</v>
      </c>
      <c r="C2484" t="s">
        <v>5757</v>
      </c>
      <c r="D2484" t="s">
        <v>16614</v>
      </c>
      <c r="E2484" t="s">
        <v>18987</v>
      </c>
      <c r="F2484" t="s">
        <v>28669</v>
      </c>
      <c r="G2484" t="s">
        <v>28676</v>
      </c>
      <c r="H2484" t="s">
        <v>9998</v>
      </c>
      <c r="I2484" t="s">
        <v>28704</v>
      </c>
      <c r="J2484" t="s">
        <v>28894</v>
      </c>
      <c r="K2484" t="s">
        <v>37231</v>
      </c>
      <c r="M2484" t="s">
        <v>37507</v>
      </c>
      <c r="N2484" t="s">
        <v>41249</v>
      </c>
      <c r="O2484" t="s">
        <v>41250</v>
      </c>
      <c r="P2484">
        <v>0</v>
      </c>
      <c r="Q2484">
        <v>0</v>
      </c>
      <c r="R2484" t="s">
        <v>41252</v>
      </c>
      <c r="S2484" t="s">
        <v>41383</v>
      </c>
      <c r="T2484" t="s">
        <v>42743</v>
      </c>
      <c r="U2484" t="s">
        <v>45339</v>
      </c>
      <c r="W2484" t="s">
        <v>37507</v>
      </c>
      <c r="X2484" t="s">
        <v>41254</v>
      </c>
    </row>
    <row r="2485" spans="1:24">
      <c r="A2485">
        <f>HYPERLINK("https://www.philgeps.gov.ph/GEPSNONPILOT/Tender/SplashBidNoticeAbstractUI.aspx?menuIndex=3&amp;refID=7073410&amp;Result=3","7073410")</f>
        <v>0</v>
      </c>
      <c r="B2485" t="s">
        <v>1054</v>
      </c>
      <c r="C2485" t="s">
        <v>4247</v>
      </c>
      <c r="D2485" t="s">
        <v>16660</v>
      </c>
      <c r="E2485" t="s">
        <v>18988</v>
      </c>
      <c r="F2485" t="s">
        <v>28669</v>
      </c>
      <c r="G2485" t="s">
        <v>28677</v>
      </c>
      <c r="H2485" t="s">
        <v>9998</v>
      </c>
      <c r="I2485" t="s">
        <v>28688</v>
      </c>
      <c r="J2485" t="s">
        <v>29438</v>
      </c>
      <c r="K2485" t="s">
        <v>37210</v>
      </c>
      <c r="M2485" t="s">
        <v>38585</v>
      </c>
      <c r="N2485" t="s">
        <v>41249</v>
      </c>
      <c r="O2485" t="s">
        <v>41250</v>
      </c>
      <c r="P2485">
        <v>0</v>
      </c>
      <c r="Q2485">
        <v>3</v>
      </c>
      <c r="R2485" t="s">
        <v>41252</v>
      </c>
      <c r="S2485" t="s">
        <v>41383</v>
      </c>
      <c r="T2485" t="s">
        <v>42887</v>
      </c>
      <c r="U2485" t="s">
        <v>43998</v>
      </c>
      <c r="W2485" t="s">
        <v>38585</v>
      </c>
      <c r="X2485" t="s">
        <v>41254</v>
      </c>
    </row>
    <row r="2486" spans="1:24">
      <c r="A2486">
        <f>HYPERLINK("https://www.philgeps.gov.ph/GEPSNONPILOT/Tender/SplashBidNoticeAbstractUI.aspx?menuIndex=3&amp;refID=7073409&amp;Result=3","7073409")</f>
        <v>0</v>
      </c>
      <c r="B2486" t="s">
        <v>1024</v>
      </c>
      <c r="C2486" t="s">
        <v>5758</v>
      </c>
      <c r="D2486" t="s">
        <v>16608</v>
      </c>
      <c r="E2486" t="s">
        <v>18989</v>
      </c>
      <c r="F2486" t="s">
        <v>28669</v>
      </c>
      <c r="G2486" t="s">
        <v>28677</v>
      </c>
      <c r="H2486" t="s">
        <v>9998</v>
      </c>
      <c r="I2486" t="s">
        <v>7352</v>
      </c>
      <c r="J2486" t="s">
        <v>30048</v>
      </c>
      <c r="K2486" t="s">
        <v>37206</v>
      </c>
      <c r="M2486" t="s">
        <v>38554</v>
      </c>
      <c r="N2486" t="s">
        <v>41249</v>
      </c>
      <c r="O2486" t="s">
        <v>41250</v>
      </c>
      <c r="P2486">
        <v>0</v>
      </c>
      <c r="Q2486">
        <v>0</v>
      </c>
      <c r="R2486" t="s">
        <v>41252</v>
      </c>
      <c r="S2486" t="s">
        <v>41383</v>
      </c>
      <c r="T2486" t="s">
        <v>42679</v>
      </c>
      <c r="U2486" t="s">
        <v>45340</v>
      </c>
      <c r="W2486" t="s">
        <v>38554</v>
      </c>
      <c r="X2486" t="s">
        <v>41254</v>
      </c>
    </row>
    <row r="2487" spans="1:24">
      <c r="A2487">
        <f>HYPERLINK("https://www.philgeps.gov.ph/GEPSNONPILOT/Tender/SplashBidNoticeAbstractUI.aspx?menuIndex=3&amp;refID=7073396&amp;Result=3","7073396")</f>
        <v>0</v>
      </c>
      <c r="B2487" t="s">
        <v>1058</v>
      </c>
      <c r="C2487" t="s">
        <v>5759</v>
      </c>
      <c r="D2487" t="s">
        <v>16644</v>
      </c>
      <c r="E2487" t="s">
        <v>18990</v>
      </c>
      <c r="F2487" t="s">
        <v>28669</v>
      </c>
      <c r="G2487" t="s">
        <v>28675</v>
      </c>
      <c r="H2487" t="s">
        <v>9998</v>
      </c>
      <c r="I2487" t="s">
        <v>7352</v>
      </c>
      <c r="J2487" t="s">
        <v>28851</v>
      </c>
      <c r="K2487" t="s">
        <v>37206</v>
      </c>
      <c r="M2487" t="s">
        <v>38589</v>
      </c>
      <c r="N2487" t="s">
        <v>41249</v>
      </c>
      <c r="O2487" t="s">
        <v>41250</v>
      </c>
      <c r="P2487">
        <v>0</v>
      </c>
      <c r="Q2487">
        <v>0</v>
      </c>
      <c r="R2487" t="s">
        <v>41252</v>
      </c>
      <c r="S2487" t="s">
        <v>41383</v>
      </c>
      <c r="T2487" t="s">
        <v>42714</v>
      </c>
      <c r="U2487" t="s">
        <v>45341</v>
      </c>
      <c r="V2487" t="s">
        <v>54565</v>
      </c>
      <c r="W2487" t="s">
        <v>38589</v>
      </c>
      <c r="X2487" t="s">
        <v>41254</v>
      </c>
    </row>
    <row r="2488" spans="1:24">
      <c r="A2488">
        <f>HYPERLINK("https://www.philgeps.gov.ph/GEPSNONPILOT/Tender/SplashBidNoticeAbstractUI.aspx?menuIndex=3&amp;refID=7073406&amp;Result=3","7073406")</f>
        <v>0</v>
      </c>
      <c r="B2488" t="s">
        <v>1057</v>
      </c>
      <c r="C2488" t="s">
        <v>5760</v>
      </c>
      <c r="D2488" t="s">
        <v>16626</v>
      </c>
      <c r="E2488" t="s">
        <v>18991</v>
      </c>
      <c r="F2488" t="s">
        <v>28669</v>
      </c>
      <c r="G2488" t="s">
        <v>28675</v>
      </c>
      <c r="H2488" t="s">
        <v>28686</v>
      </c>
      <c r="I2488" t="s">
        <v>28689</v>
      </c>
      <c r="J2488" t="s">
        <v>30529</v>
      </c>
      <c r="K2488" t="s">
        <v>37281</v>
      </c>
      <c r="M2488" t="s">
        <v>38588</v>
      </c>
      <c r="N2488" t="s">
        <v>41249</v>
      </c>
      <c r="O2488" t="s">
        <v>41250</v>
      </c>
      <c r="P2488">
        <v>0</v>
      </c>
      <c r="Q2488">
        <v>2</v>
      </c>
      <c r="R2488" t="s">
        <v>41252</v>
      </c>
      <c r="S2488" t="s">
        <v>41383</v>
      </c>
      <c r="T2488" t="s">
        <v>42680</v>
      </c>
      <c r="U2488" t="s">
        <v>45338</v>
      </c>
      <c r="W2488" t="s">
        <v>38588</v>
      </c>
      <c r="X2488" t="s">
        <v>41254</v>
      </c>
    </row>
    <row r="2489" spans="1:24">
      <c r="A2489">
        <f>HYPERLINK("https://www.philgeps.gov.ph/GEPSNONPILOT/Tender/SplashBidNoticeAbstractUI.aspx?menuIndex=3&amp;refID=7073405&amp;Result=3","7073405")</f>
        <v>0</v>
      </c>
      <c r="B2489" t="s">
        <v>1059</v>
      </c>
      <c r="C2489" t="s">
        <v>5761</v>
      </c>
      <c r="D2489" t="s">
        <v>16612</v>
      </c>
      <c r="E2489" t="s">
        <v>18992</v>
      </c>
      <c r="F2489" t="s">
        <v>28669</v>
      </c>
      <c r="G2489" t="s">
        <v>28675</v>
      </c>
      <c r="H2489" t="s">
        <v>9998</v>
      </c>
      <c r="I2489" t="s">
        <v>7352</v>
      </c>
      <c r="J2489" t="s">
        <v>30530</v>
      </c>
      <c r="K2489" t="s">
        <v>37205</v>
      </c>
      <c r="M2489" t="s">
        <v>38590</v>
      </c>
      <c r="N2489" t="s">
        <v>41249</v>
      </c>
      <c r="O2489" t="s">
        <v>41250</v>
      </c>
      <c r="P2489">
        <v>0</v>
      </c>
      <c r="Q2489">
        <v>0</v>
      </c>
      <c r="R2489" t="s">
        <v>41252</v>
      </c>
      <c r="S2489" t="s">
        <v>41383</v>
      </c>
      <c r="T2489" t="s">
        <v>42759</v>
      </c>
      <c r="U2489" t="s">
        <v>45342</v>
      </c>
      <c r="W2489" t="s">
        <v>38590</v>
      </c>
      <c r="X2489" t="s">
        <v>41254</v>
      </c>
    </row>
    <row r="2490" spans="1:24">
      <c r="A2490">
        <f>HYPERLINK("https://www.philgeps.gov.ph/GEPSNONPILOT/Tender/SplashBidNoticeAbstractUI.aspx?menuIndex=3&amp;refID=7073404&amp;Result=3","7073404")</f>
        <v>0</v>
      </c>
      <c r="B2490" t="s">
        <v>1054</v>
      </c>
      <c r="C2490" t="s">
        <v>4218</v>
      </c>
      <c r="D2490" t="s">
        <v>16660</v>
      </c>
      <c r="E2490" t="s">
        <v>18993</v>
      </c>
      <c r="F2490" t="s">
        <v>28669</v>
      </c>
      <c r="G2490" t="s">
        <v>28677</v>
      </c>
      <c r="H2490" t="s">
        <v>9998</v>
      </c>
      <c r="I2490" t="s">
        <v>28694</v>
      </c>
      <c r="J2490" t="s">
        <v>30531</v>
      </c>
      <c r="K2490" t="s">
        <v>37210</v>
      </c>
      <c r="M2490" t="s">
        <v>38585</v>
      </c>
      <c r="N2490" t="s">
        <v>41249</v>
      </c>
      <c r="O2490" t="s">
        <v>41250</v>
      </c>
      <c r="P2490">
        <v>0</v>
      </c>
      <c r="Q2490">
        <v>1</v>
      </c>
      <c r="R2490" t="s">
        <v>41252</v>
      </c>
      <c r="S2490" t="s">
        <v>41383</v>
      </c>
      <c r="T2490" t="s">
        <v>42887</v>
      </c>
      <c r="U2490" t="s">
        <v>43972</v>
      </c>
      <c r="W2490" t="s">
        <v>38585</v>
      </c>
      <c r="X2490" t="s">
        <v>41254</v>
      </c>
    </row>
    <row r="2491" spans="1:24">
      <c r="A2491">
        <f>HYPERLINK("https://www.philgeps.gov.ph/GEPSNONPILOT/Tender/SplashBidNoticeAbstractUI.aspx?menuIndex=3&amp;refID=7073403&amp;Result=3","7073403")</f>
        <v>0</v>
      </c>
      <c r="B2491" t="s">
        <v>666</v>
      </c>
      <c r="C2491" t="s">
        <v>5762</v>
      </c>
      <c r="D2491" t="s">
        <v>16664</v>
      </c>
      <c r="E2491" t="s">
        <v>18994</v>
      </c>
      <c r="F2491" t="s">
        <v>28669</v>
      </c>
      <c r="G2491" t="s">
        <v>28675</v>
      </c>
      <c r="H2491" t="s">
        <v>9998</v>
      </c>
      <c r="I2491" t="s">
        <v>28687</v>
      </c>
      <c r="J2491" t="s">
        <v>29112</v>
      </c>
      <c r="K2491" t="s">
        <v>37206</v>
      </c>
      <c r="L2491" t="s">
        <v>666</v>
      </c>
      <c r="M2491" t="s">
        <v>38169</v>
      </c>
      <c r="N2491" t="s">
        <v>41249</v>
      </c>
      <c r="O2491" t="s">
        <v>41250</v>
      </c>
      <c r="P2491">
        <v>0</v>
      </c>
      <c r="Q2491">
        <v>5</v>
      </c>
      <c r="R2491" t="s">
        <v>41252</v>
      </c>
      <c r="S2491" t="s">
        <v>41383</v>
      </c>
      <c r="T2491" t="s">
        <v>42686</v>
      </c>
      <c r="U2491" t="s">
        <v>45343</v>
      </c>
      <c r="V2491" t="s">
        <v>48672</v>
      </c>
      <c r="W2491" t="s">
        <v>38169</v>
      </c>
      <c r="X2491" t="s">
        <v>41254</v>
      </c>
    </row>
    <row r="2492" spans="1:24">
      <c r="A2492">
        <f>HYPERLINK("https://www.philgeps.gov.ph/GEPSNONPILOT/Tender/SplashBidNoticeAbstractUI.aspx?menuIndex=3&amp;refID=7073402&amp;Result=3","7073402")</f>
        <v>0</v>
      </c>
      <c r="B2492" t="s">
        <v>1060</v>
      </c>
      <c r="C2492" t="s">
        <v>5763</v>
      </c>
      <c r="D2492" t="s">
        <v>16643</v>
      </c>
      <c r="E2492" t="s">
        <v>18995</v>
      </c>
      <c r="F2492" t="s">
        <v>28669</v>
      </c>
      <c r="G2492" t="s">
        <v>28677</v>
      </c>
      <c r="H2492" t="s">
        <v>9998</v>
      </c>
      <c r="I2492" t="s">
        <v>6128</v>
      </c>
      <c r="J2492" t="s">
        <v>30532</v>
      </c>
      <c r="K2492" t="s">
        <v>37209</v>
      </c>
      <c r="M2492" t="s">
        <v>38591</v>
      </c>
      <c r="N2492" t="s">
        <v>41249</v>
      </c>
      <c r="O2492" t="s">
        <v>41250</v>
      </c>
      <c r="P2492">
        <v>0</v>
      </c>
      <c r="Q2492">
        <v>0</v>
      </c>
      <c r="R2492" t="s">
        <v>41252</v>
      </c>
      <c r="S2492" t="s">
        <v>41383</v>
      </c>
      <c r="T2492" t="s">
        <v>42876</v>
      </c>
      <c r="U2492" t="s">
        <v>45344</v>
      </c>
      <c r="W2492" t="s">
        <v>38591</v>
      </c>
      <c r="X2492" t="s">
        <v>41254</v>
      </c>
    </row>
    <row r="2493" spans="1:24">
      <c r="A2493">
        <f>HYPERLINK("https://www.philgeps.gov.ph/GEPSNONPILOT/Tender/SplashBidNoticeAbstractUI.aspx?menuIndex=3&amp;refID=7073392&amp;Result=3","7073392")</f>
        <v>0</v>
      </c>
      <c r="B2493" t="s">
        <v>1027</v>
      </c>
      <c r="C2493" t="s">
        <v>5764</v>
      </c>
      <c r="D2493" t="s">
        <v>16624</v>
      </c>
      <c r="E2493" t="s">
        <v>18996</v>
      </c>
      <c r="F2493" t="s">
        <v>28669</v>
      </c>
      <c r="G2493" t="s">
        <v>28676</v>
      </c>
      <c r="H2493" t="s">
        <v>9998</v>
      </c>
      <c r="I2493" t="s">
        <v>7352</v>
      </c>
      <c r="J2493" t="s">
        <v>30533</v>
      </c>
      <c r="K2493" t="s">
        <v>37216</v>
      </c>
      <c r="M2493" t="s">
        <v>38558</v>
      </c>
      <c r="N2493" t="s">
        <v>41249</v>
      </c>
      <c r="O2493" t="s">
        <v>41250</v>
      </c>
      <c r="P2493">
        <v>0</v>
      </c>
      <c r="Q2493">
        <v>0</v>
      </c>
      <c r="R2493" t="s">
        <v>41252</v>
      </c>
      <c r="S2493" t="s">
        <v>41383</v>
      </c>
      <c r="T2493" t="s">
        <v>42729</v>
      </c>
      <c r="U2493" t="s">
        <v>45345</v>
      </c>
      <c r="W2493" t="s">
        <v>38558</v>
      </c>
      <c r="X2493" t="s">
        <v>41254</v>
      </c>
    </row>
    <row r="2494" spans="1:24">
      <c r="A2494">
        <f>HYPERLINK("https://www.philgeps.gov.ph/GEPSNONPILOT/Tender/SplashBidNoticeAbstractUI.aspx?menuIndex=3&amp;refID=7073390&amp;Result=3","7073390")</f>
        <v>0</v>
      </c>
      <c r="B2494" t="s">
        <v>1061</v>
      </c>
      <c r="C2494" t="s">
        <v>5765</v>
      </c>
      <c r="D2494" t="s">
        <v>16654</v>
      </c>
      <c r="E2494" t="s">
        <v>16746</v>
      </c>
      <c r="F2494" t="s">
        <v>28669</v>
      </c>
      <c r="G2494" t="s">
        <v>28675</v>
      </c>
      <c r="H2494" t="s">
        <v>9998</v>
      </c>
      <c r="I2494" t="s">
        <v>28687</v>
      </c>
      <c r="J2494" t="s">
        <v>29112</v>
      </c>
      <c r="K2494" t="s">
        <v>37216</v>
      </c>
      <c r="M2494" t="s">
        <v>38592</v>
      </c>
      <c r="N2494" t="s">
        <v>41249</v>
      </c>
      <c r="O2494" t="s">
        <v>41250</v>
      </c>
      <c r="P2494">
        <v>0</v>
      </c>
      <c r="Q2494">
        <v>6</v>
      </c>
      <c r="R2494" t="s">
        <v>41252</v>
      </c>
      <c r="S2494" t="s">
        <v>41383</v>
      </c>
      <c r="T2494" t="s">
        <v>42742</v>
      </c>
      <c r="U2494" t="s">
        <v>45346</v>
      </c>
      <c r="W2494" t="s">
        <v>38592</v>
      </c>
      <c r="X2494" t="s">
        <v>41254</v>
      </c>
    </row>
    <row r="2495" spans="1:24">
      <c r="A2495">
        <f>HYPERLINK("https://www.philgeps.gov.ph/GEPSNONPILOT/Tender/SplashBidNoticeAbstractUI.aspx?menuIndex=3&amp;refID=7073389&amp;Result=3","7073389")</f>
        <v>0</v>
      </c>
      <c r="B2495" t="s">
        <v>151</v>
      </c>
      <c r="C2495" t="s">
        <v>5766</v>
      </c>
      <c r="D2495" t="s">
        <v>16632</v>
      </c>
      <c r="E2495" t="s">
        <v>18997</v>
      </c>
      <c r="F2495" t="s">
        <v>28669</v>
      </c>
      <c r="G2495" t="s">
        <v>28676</v>
      </c>
      <c r="H2495" t="s">
        <v>9998</v>
      </c>
      <c r="I2495" t="s">
        <v>7352</v>
      </c>
      <c r="J2495" t="s">
        <v>30534</v>
      </c>
      <c r="K2495" t="s">
        <v>37206</v>
      </c>
      <c r="M2495" t="s">
        <v>37628</v>
      </c>
      <c r="N2495" t="s">
        <v>41249</v>
      </c>
      <c r="O2495" t="s">
        <v>41250</v>
      </c>
      <c r="P2495">
        <v>0</v>
      </c>
      <c r="Q2495">
        <v>0</v>
      </c>
      <c r="R2495" t="s">
        <v>41252</v>
      </c>
      <c r="S2495" t="s">
        <v>41383</v>
      </c>
      <c r="T2495" t="s">
        <v>42706</v>
      </c>
      <c r="U2495" t="s">
        <v>45347</v>
      </c>
      <c r="W2495" t="s">
        <v>55902</v>
      </c>
      <c r="X2495" t="s">
        <v>41254</v>
      </c>
    </row>
    <row r="2496" spans="1:24">
      <c r="A2496">
        <f>HYPERLINK("https://www.philgeps.gov.ph/GEPSNONPILOT/Tender/SplashBidNoticeAbstractUI.aspx?menuIndex=3&amp;refID=7073391&amp;Result=3","7073391")</f>
        <v>0</v>
      </c>
      <c r="B2496" t="s">
        <v>1062</v>
      </c>
      <c r="C2496" t="s">
        <v>5767</v>
      </c>
      <c r="D2496" t="s">
        <v>16641</v>
      </c>
      <c r="E2496" t="s">
        <v>18998</v>
      </c>
      <c r="F2496" t="s">
        <v>28669</v>
      </c>
      <c r="G2496" t="s">
        <v>28675</v>
      </c>
      <c r="H2496" t="s">
        <v>9998</v>
      </c>
      <c r="I2496" t="s">
        <v>28687</v>
      </c>
      <c r="J2496" t="s">
        <v>30535</v>
      </c>
      <c r="K2496" t="s">
        <v>37205</v>
      </c>
      <c r="M2496" t="s">
        <v>38593</v>
      </c>
      <c r="N2496" t="s">
        <v>41249</v>
      </c>
      <c r="O2496" t="s">
        <v>41250</v>
      </c>
      <c r="P2496">
        <v>0</v>
      </c>
      <c r="Q2496">
        <v>2</v>
      </c>
      <c r="R2496" t="s">
        <v>41252</v>
      </c>
      <c r="S2496" t="s">
        <v>41383</v>
      </c>
      <c r="T2496" t="s">
        <v>42808</v>
      </c>
      <c r="U2496" t="s">
        <v>45348</v>
      </c>
      <c r="W2496" t="s">
        <v>38593</v>
      </c>
      <c r="X2496" t="s">
        <v>41254</v>
      </c>
    </row>
    <row r="2497" spans="1:24">
      <c r="A2497">
        <f>HYPERLINK("https://www.philgeps.gov.ph/GEPSNONPILOT/Tender/SplashBidNoticeAbstractUI.aspx?menuIndex=3&amp;refID=7073393&amp;Result=3","7073393")</f>
        <v>0</v>
      </c>
      <c r="B2497" t="s">
        <v>305</v>
      </c>
      <c r="C2497" t="s">
        <v>5768</v>
      </c>
      <c r="D2497" t="s">
        <v>16664</v>
      </c>
      <c r="E2497" t="s">
        <v>18999</v>
      </c>
      <c r="F2497" t="s">
        <v>28669</v>
      </c>
      <c r="G2497" t="s">
        <v>28677</v>
      </c>
      <c r="H2497" t="s">
        <v>9998</v>
      </c>
      <c r="I2497" t="s">
        <v>28688</v>
      </c>
      <c r="J2497" t="s">
        <v>30536</v>
      </c>
      <c r="K2497" t="s">
        <v>37227</v>
      </c>
      <c r="M2497" t="s">
        <v>37784</v>
      </c>
      <c r="N2497" t="s">
        <v>41249</v>
      </c>
      <c r="O2497" t="s">
        <v>41250</v>
      </c>
      <c r="P2497">
        <v>0</v>
      </c>
      <c r="Q2497">
        <v>1</v>
      </c>
      <c r="R2497" t="s">
        <v>41252</v>
      </c>
      <c r="S2497" t="s">
        <v>41383</v>
      </c>
      <c r="T2497" t="s">
        <v>42758</v>
      </c>
      <c r="U2497" t="s">
        <v>45349</v>
      </c>
      <c r="W2497" t="s">
        <v>37784</v>
      </c>
      <c r="X2497" t="s">
        <v>41254</v>
      </c>
    </row>
    <row r="2498" spans="1:24">
      <c r="A2498">
        <f>HYPERLINK("https://www.philgeps.gov.ph/GEPSNONPILOT/Tender/SplashBidNoticeAbstractUI.aspx?menuIndex=3&amp;refID=7073429&amp;Result=3","7073429")</f>
        <v>0</v>
      </c>
      <c r="B2498" t="s">
        <v>1056</v>
      </c>
      <c r="C2498" t="s">
        <v>5769</v>
      </c>
      <c r="D2498" t="s">
        <v>16683</v>
      </c>
      <c r="E2498" t="s">
        <v>19000</v>
      </c>
      <c r="F2498" t="s">
        <v>28669</v>
      </c>
      <c r="G2498" t="s">
        <v>28675</v>
      </c>
      <c r="H2498" t="s">
        <v>28686</v>
      </c>
      <c r="I2498" t="s">
        <v>28689</v>
      </c>
      <c r="J2498" t="s">
        <v>30537</v>
      </c>
      <c r="K2498" t="s">
        <v>37291</v>
      </c>
      <c r="M2498" t="s">
        <v>38587</v>
      </c>
      <c r="N2498" t="s">
        <v>41249</v>
      </c>
      <c r="O2498" t="s">
        <v>41250</v>
      </c>
      <c r="P2498">
        <v>0</v>
      </c>
      <c r="Q2498">
        <v>0</v>
      </c>
      <c r="R2498" t="s">
        <v>41252</v>
      </c>
      <c r="S2498" t="s">
        <v>41383</v>
      </c>
      <c r="T2498" t="s">
        <v>42870</v>
      </c>
      <c r="U2498" t="s">
        <v>45350</v>
      </c>
      <c r="W2498" t="s">
        <v>38587</v>
      </c>
      <c r="X2498" t="s">
        <v>41254</v>
      </c>
    </row>
    <row r="2499" spans="1:24">
      <c r="A2499">
        <f>HYPERLINK("https://www.philgeps.gov.ph/GEPSNONPILOT/Tender/SplashBidNoticeAbstractUI.aspx?menuIndex=3&amp;refID=7073408&amp;Result=3","7073408")</f>
        <v>0</v>
      </c>
      <c r="B2499" t="s">
        <v>1052</v>
      </c>
      <c r="C2499" t="s">
        <v>5770</v>
      </c>
      <c r="D2499" t="s">
        <v>16608</v>
      </c>
      <c r="E2499" t="s">
        <v>19001</v>
      </c>
      <c r="F2499" t="s">
        <v>28669</v>
      </c>
      <c r="G2499" t="s">
        <v>28677</v>
      </c>
      <c r="H2499" t="s">
        <v>9998</v>
      </c>
      <c r="I2499" t="s">
        <v>28688</v>
      </c>
      <c r="J2499" t="s">
        <v>29225</v>
      </c>
      <c r="K2499" t="s">
        <v>37210</v>
      </c>
      <c r="M2499" t="s">
        <v>38583</v>
      </c>
      <c r="N2499" t="s">
        <v>41249</v>
      </c>
      <c r="O2499" t="s">
        <v>41250</v>
      </c>
      <c r="P2499">
        <v>0</v>
      </c>
      <c r="Q2499">
        <v>12</v>
      </c>
      <c r="R2499" t="s">
        <v>41252</v>
      </c>
      <c r="S2499" t="s">
        <v>41383</v>
      </c>
      <c r="T2499" t="s">
        <v>42736</v>
      </c>
      <c r="U2499" t="s">
        <v>45351</v>
      </c>
      <c r="W2499" t="s">
        <v>38583</v>
      </c>
      <c r="X2499" t="s">
        <v>41254</v>
      </c>
    </row>
    <row r="2500" spans="1:24">
      <c r="A2500">
        <f>HYPERLINK("https://www.philgeps.gov.ph/GEPSNONPILOT/Tender/SplashBidNoticeAbstractUI.aspx?menuIndex=3&amp;refID=7073428&amp;Result=3","7073428")</f>
        <v>0</v>
      </c>
      <c r="B2500" t="s">
        <v>1063</v>
      </c>
      <c r="C2500" t="s">
        <v>5771</v>
      </c>
      <c r="D2500" t="s">
        <v>16616</v>
      </c>
      <c r="E2500" t="s">
        <v>19002</v>
      </c>
      <c r="F2500" t="s">
        <v>28669</v>
      </c>
      <c r="G2500" t="s">
        <v>28676</v>
      </c>
      <c r="H2500" t="s">
        <v>9998</v>
      </c>
      <c r="I2500" t="s">
        <v>28789</v>
      </c>
      <c r="J2500" t="s">
        <v>30538</v>
      </c>
      <c r="K2500" t="s">
        <v>37210</v>
      </c>
      <c r="M2500" t="s">
        <v>38594</v>
      </c>
      <c r="N2500" t="s">
        <v>41249</v>
      </c>
      <c r="O2500" t="s">
        <v>41250</v>
      </c>
      <c r="P2500">
        <v>0</v>
      </c>
      <c r="Q2500">
        <v>3</v>
      </c>
      <c r="R2500" t="s">
        <v>41252</v>
      </c>
      <c r="S2500" t="s">
        <v>41383</v>
      </c>
      <c r="T2500" t="s">
        <v>42701</v>
      </c>
      <c r="U2500" t="s">
        <v>45352</v>
      </c>
      <c r="W2500" t="s">
        <v>38594</v>
      </c>
      <c r="X2500" t="s">
        <v>41254</v>
      </c>
    </row>
    <row r="2501" spans="1:24">
      <c r="A2501">
        <f>HYPERLINK("https://www.philgeps.gov.ph/GEPSNONPILOT/Tender/SplashBidNoticeAbstractUI.aspx?menuIndex=3&amp;refID=7073426&amp;Result=3","7073426")</f>
        <v>0</v>
      </c>
      <c r="B2501" t="s">
        <v>1050</v>
      </c>
      <c r="C2501" t="s">
        <v>5772</v>
      </c>
      <c r="D2501" t="s">
        <v>16648</v>
      </c>
      <c r="E2501" t="s">
        <v>19003</v>
      </c>
      <c r="F2501" t="s">
        <v>28669</v>
      </c>
      <c r="G2501" t="s">
        <v>28676</v>
      </c>
      <c r="H2501" t="s">
        <v>9998</v>
      </c>
      <c r="I2501" t="s">
        <v>28695</v>
      </c>
      <c r="J2501" t="s">
        <v>30539</v>
      </c>
      <c r="K2501" t="s">
        <v>37204</v>
      </c>
      <c r="M2501" t="s">
        <v>38581</v>
      </c>
      <c r="N2501" t="s">
        <v>41249</v>
      </c>
      <c r="O2501" t="s">
        <v>41250</v>
      </c>
      <c r="P2501">
        <v>0</v>
      </c>
      <c r="Q2501">
        <v>0</v>
      </c>
      <c r="R2501" t="s">
        <v>41252</v>
      </c>
      <c r="S2501" t="s">
        <v>41383</v>
      </c>
      <c r="T2501" t="s">
        <v>42857</v>
      </c>
      <c r="U2501" t="s">
        <v>45353</v>
      </c>
      <c r="V2501" t="s">
        <v>54566</v>
      </c>
      <c r="W2501" t="s">
        <v>38581</v>
      </c>
      <c r="X2501" t="s">
        <v>41254</v>
      </c>
    </row>
    <row r="2502" spans="1:24">
      <c r="A2502">
        <f>HYPERLINK("https://www.philgeps.gov.ph/GEPSNONPILOT/Tender/SplashBidNoticeAbstractUI.aspx?menuIndex=3&amp;refID=7073424&amp;Result=3","7073424")</f>
        <v>0</v>
      </c>
      <c r="B2502" t="s">
        <v>1064</v>
      </c>
      <c r="C2502" t="s">
        <v>5773</v>
      </c>
      <c r="D2502" t="s">
        <v>16655</v>
      </c>
      <c r="E2502" t="s">
        <v>19004</v>
      </c>
      <c r="F2502" t="s">
        <v>28669</v>
      </c>
      <c r="G2502" t="s">
        <v>28675</v>
      </c>
      <c r="H2502" t="s">
        <v>28686</v>
      </c>
      <c r="I2502" t="s">
        <v>28689</v>
      </c>
      <c r="J2502" t="s">
        <v>30540</v>
      </c>
      <c r="K2502" t="s">
        <v>37319</v>
      </c>
      <c r="M2502" t="s">
        <v>38595</v>
      </c>
      <c r="N2502" t="s">
        <v>41249</v>
      </c>
      <c r="O2502" t="s">
        <v>41250</v>
      </c>
      <c r="P2502">
        <v>0</v>
      </c>
      <c r="Q2502">
        <v>0</v>
      </c>
      <c r="R2502" t="s">
        <v>41252</v>
      </c>
      <c r="S2502" t="s">
        <v>41383</v>
      </c>
      <c r="T2502" t="s">
        <v>42670</v>
      </c>
      <c r="U2502" t="s">
        <v>45354</v>
      </c>
      <c r="W2502" t="s">
        <v>38595</v>
      </c>
      <c r="X2502" t="s">
        <v>41254</v>
      </c>
    </row>
    <row r="2503" spans="1:24">
      <c r="A2503">
        <f>HYPERLINK("https://www.philgeps.gov.ph/GEPSNONPILOT/Tender/SplashBidNoticeAbstractUI.aspx?menuIndex=3&amp;refID=7073423&amp;Result=3","7073423")</f>
        <v>0</v>
      </c>
      <c r="B2503" t="s">
        <v>354</v>
      </c>
      <c r="C2503" t="s">
        <v>5774</v>
      </c>
      <c r="D2503" t="s">
        <v>16607</v>
      </c>
      <c r="E2503" t="s">
        <v>19005</v>
      </c>
      <c r="F2503" t="s">
        <v>28669</v>
      </c>
      <c r="G2503" t="s">
        <v>28676</v>
      </c>
      <c r="H2503" t="s">
        <v>9998</v>
      </c>
      <c r="I2503" t="s">
        <v>6128</v>
      </c>
      <c r="J2503" t="s">
        <v>30541</v>
      </c>
      <c r="K2503" t="s">
        <v>37204</v>
      </c>
      <c r="M2503" t="s">
        <v>37835</v>
      </c>
      <c r="N2503" t="s">
        <v>41249</v>
      </c>
      <c r="O2503" t="s">
        <v>41250</v>
      </c>
      <c r="P2503">
        <v>0</v>
      </c>
      <c r="Q2503">
        <v>1</v>
      </c>
      <c r="R2503" t="s">
        <v>41252</v>
      </c>
      <c r="S2503" t="s">
        <v>41383</v>
      </c>
      <c r="T2503" t="s">
        <v>42729</v>
      </c>
      <c r="U2503" t="s">
        <v>45355</v>
      </c>
      <c r="V2503" t="s">
        <v>54567</v>
      </c>
      <c r="W2503" t="s">
        <v>37835</v>
      </c>
      <c r="X2503" t="s">
        <v>41254</v>
      </c>
    </row>
    <row r="2504" spans="1:24">
      <c r="A2504">
        <f>HYPERLINK("https://www.philgeps.gov.ph/GEPSNONPILOT/Tender/SplashBidNoticeAbstractUI.aspx?menuIndex=3&amp;refID=7073421&amp;Result=3","7073421")</f>
        <v>0</v>
      </c>
      <c r="B2504" t="s">
        <v>1054</v>
      </c>
      <c r="C2504" t="s">
        <v>4247</v>
      </c>
      <c r="D2504" t="s">
        <v>16660</v>
      </c>
      <c r="E2504" t="s">
        <v>19006</v>
      </c>
      <c r="F2504" t="s">
        <v>28669</v>
      </c>
      <c r="G2504" t="s">
        <v>28677</v>
      </c>
      <c r="H2504" t="s">
        <v>9998</v>
      </c>
      <c r="I2504" t="s">
        <v>28688</v>
      </c>
      <c r="J2504" t="s">
        <v>30542</v>
      </c>
      <c r="K2504" t="s">
        <v>37210</v>
      </c>
      <c r="M2504" t="s">
        <v>38585</v>
      </c>
      <c r="N2504" t="s">
        <v>41249</v>
      </c>
      <c r="O2504" t="s">
        <v>41250</v>
      </c>
      <c r="P2504">
        <v>0</v>
      </c>
      <c r="Q2504">
        <v>2</v>
      </c>
      <c r="R2504" t="s">
        <v>41252</v>
      </c>
      <c r="S2504" t="s">
        <v>41383</v>
      </c>
      <c r="T2504" t="s">
        <v>42887</v>
      </c>
      <c r="U2504" t="s">
        <v>43998</v>
      </c>
      <c r="W2504" t="s">
        <v>38585</v>
      </c>
      <c r="X2504" t="s">
        <v>41254</v>
      </c>
    </row>
    <row r="2505" spans="1:24">
      <c r="A2505">
        <f>HYPERLINK("https://www.philgeps.gov.ph/GEPSNONPILOT/Tender/SplashBidNoticeAbstractUI.aspx?menuIndex=3&amp;refID=7073420&amp;Result=3","7073420")</f>
        <v>0</v>
      </c>
      <c r="B2505" t="s">
        <v>221</v>
      </c>
      <c r="C2505" t="s">
        <v>5775</v>
      </c>
      <c r="E2505" t="s">
        <v>19007</v>
      </c>
      <c r="F2505" t="s">
        <v>28669</v>
      </c>
      <c r="G2505" t="s">
        <v>28679</v>
      </c>
      <c r="H2505" t="s">
        <v>9998</v>
      </c>
      <c r="I2505" t="s">
        <v>28706</v>
      </c>
      <c r="J2505" t="s">
        <v>30543</v>
      </c>
      <c r="K2505" t="s">
        <v>37209</v>
      </c>
      <c r="M2505" t="s">
        <v>37699</v>
      </c>
      <c r="N2505" t="s">
        <v>41249</v>
      </c>
      <c r="O2505" t="s">
        <v>41250</v>
      </c>
      <c r="P2505">
        <v>0</v>
      </c>
      <c r="Q2505">
        <v>4</v>
      </c>
      <c r="R2505" t="s">
        <v>41252</v>
      </c>
      <c r="S2505" t="s">
        <v>41383</v>
      </c>
      <c r="T2505" t="s">
        <v>42759</v>
      </c>
      <c r="U2505" t="s">
        <v>45356</v>
      </c>
      <c r="W2505" t="s">
        <v>37699</v>
      </c>
      <c r="X2505" t="s">
        <v>41254</v>
      </c>
    </row>
    <row r="2506" spans="1:24">
      <c r="A2506">
        <f>HYPERLINK("https://www.philgeps.gov.ph/GEPSNONPILOT/Tender/SplashBidNoticeAbstractUI.aspx?menuIndex=3&amp;refID=7073419&amp;Result=3","7073419")</f>
        <v>0</v>
      </c>
      <c r="B2506" t="s">
        <v>1065</v>
      </c>
      <c r="C2506" t="s">
        <v>5776</v>
      </c>
      <c r="D2506" t="s">
        <v>16640</v>
      </c>
      <c r="E2506" t="s">
        <v>19008</v>
      </c>
      <c r="F2506" t="s">
        <v>28669</v>
      </c>
      <c r="G2506" t="s">
        <v>28676</v>
      </c>
      <c r="H2506" t="s">
        <v>9998</v>
      </c>
      <c r="I2506" t="s">
        <v>28714</v>
      </c>
      <c r="J2506" t="s">
        <v>29040</v>
      </c>
      <c r="K2506" t="s">
        <v>37209</v>
      </c>
      <c r="M2506" t="s">
        <v>38596</v>
      </c>
      <c r="N2506" t="s">
        <v>41249</v>
      </c>
      <c r="O2506" t="s">
        <v>41250</v>
      </c>
      <c r="P2506">
        <v>0</v>
      </c>
      <c r="Q2506">
        <v>1</v>
      </c>
      <c r="R2506" t="s">
        <v>41252</v>
      </c>
      <c r="S2506" t="s">
        <v>41383</v>
      </c>
      <c r="T2506" t="s">
        <v>42736</v>
      </c>
      <c r="U2506" t="s">
        <v>45357</v>
      </c>
      <c r="W2506" t="s">
        <v>38596</v>
      </c>
      <c r="X2506" t="s">
        <v>41254</v>
      </c>
    </row>
    <row r="2507" spans="1:24">
      <c r="A2507">
        <f>HYPERLINK("https://www.philgeps.gov.ph/GEPSNONPILOT/Tender/SplashBidNoticeAbstractUI.aspx?menuIndex=3&amp;refID=7073413&amp;Result=3","7073413")</f>
        <v>0</v>
      </c>
      <c r="B2507" t="s">
        <v>1066</v>
      </c>
      <c r="C2507" t="s">
        <v>5777</v>
      </c>
      <c r="D2507" t="s">
        <v>16657</v>
      </c>
      <c r="E2507" t="s">
        <v>19009</v>
      </c>
      <c r="F2507" t="s">
        <v>28669</v>
      </c>
      <c r="G2507" t="s">
        <v>28675</v>
      </c>
      <c r="H2507" t="s">
        <v>28684</v>
      </c>
      <c r="I2507" t="s">
        <v>28755</v>
      </c>
      <c r="J2507" t="s">
        <v>30544</v>
      </c>
      <c r="K2507" t="s">
        <v>37206</v>
      </c>
      <c r="M2507" t="s">
        <v>38597</v>
      </c>
      <c r="N2507" t="s">
        <v>41249</v>
      </c>
      <c r="O2507" t="s">
        <v>41250</v>
      </c>
      <c r="P2507">
        <v>0</v>
      </c>
      <c r="Q2507">
        <v>1</v>
      </c>
      <c r="R2507" t="s">
        <v>41252</v>
      </c>
      <c r="S2507" t="s">
        <v>41383</v>
      </c>
      <c r="T2507" t="s">
        <v>42882</v>
      </c>
      <c r="U2507" t="s">
        <v>45358</v>
      </c>
      <c r="V2507" t="s">
        <v>54568</v>
      </c>
      <c r="W2507" t="s">
        <v>38597</v>
      </c>
      <c r="X2507" t="s">
        <v>41254</v>
      </c>
    </row>
    <row r="2508" spans="1:24">
      <c r="A2508">
        <f>HYPERLINK("https://www.philgeps.gov.ph/GEPSNONPILOT/Tender/SplashBidNoticeAbstractUI.aspx?menuIndex=3&amp;refID=7073427&amp;Result=3","7073427")</f>
        <v>0</v>
      </c>
      <c r="B2508" t="s">
        <v>1052</v>
      </c>
      <c r="C2508" t="s">
        <v>5778</v>
      </c>
      <c r="D2508" t="s">
        <v>16608</v>
      </c>
      <c r="E2508" t="s">
        <v>19010</v>
      </c>
      <c r="F2508" t="s">
        <v>28669</v>
      </c>
      <c r="G2508" t="s">
        <v>28677</v>
      </c>
      <c r="H2508" t="s">
        <v>9998</v>
      </c>
      <c r="I2508" t="s">
        <v>6128</v>
      </c>
      <c r="J2508" t="s">
        <v>30545</v>
      </c>
      <c r="K2508" t="s">
        <v>37210</v>
      </c>
      <c r="M2508" t="s">
        <v>38583</v>
      </c>
      <c r="N2508" t="s">
        <v>41249</v>
      </c>
      <c r="O2508" t="s">
        <v>41250</v>
      </c>
      <c r="P2508">
        <v>0</v>
      </c>
      <c r="Q2508">
        <v>17</v>
      </c>
      <c r="R2508" t="s">
        <v>41252</v>
      </c>
      <c r="S2508" t="s">
        <v>41383</v>
      </c>
      <c r="T2508" t="s">
        <v>42736</v>
      </c>
      <c r="U2508" t="s">
        <v>45359</v>
      </c>
      <c r="W2508" t="s">
        <v>38583</v>
      </c>
      <c r="X2508" t="s">
        <v>41254</v>
      </c>
    </row>
    <row r="2509" spans="1:24">
      <c r="A2509">
        <f>HYPERLINK("https://www.philgeps.gov.ph/GEPSNONPILOT/Tender/SplashBidNoticeAbstractUI.aspx?menuIndex=3&amp;refID=7073434&amp;Result=3","7073434")</f>
        <v>0</v>
      </c>
      <c r="B2509" t="s">
        <v>1032</v>
      </c>
      <c r="C2509" t="s">
        <v>5779</v>
      </c>
      <c r="D2509" t="s">
        <v>16643</v>
      </c>
      <c r="E2509" t="s">
        <v>19011</v>
      </c>
      <c r="F2509" t="s">
        <v>28669</v>
      </c>
      <c r="G2509" t="s">
        <v>28676</v>
      </c>
      <c r="H2509" t="s">
        <v>9998</v>
      </c>
      <c r="I2509" t="s">
        <v>28760</v>
      </c>
      <c r="J2509" t="s">
        <v>29546</v>
      </c>
      <c r="K2509" t="s">
        <v>37266</v>
      </c>
      <c r="M2509" t="s">
        <v>38563</v>
      </c>
      <c r="N2509" t="s">
        <v>41249</v>
      </c>
      <c r="O2509" t="s">
        <v>41250</v>
      </c>
      <c r="P2509">
        <v>0</v>
      </c>
      <c r="Q2509">
        <v>0</v>
      </c>
      <c r="R2509" t="s">
        <v>41252</v>
      </c>
      <c r="S2509" t="s">
        <v>41383</v>
      </c>
      <c r="T2509" t="s">
        <v>42686</v>
      </c>
      <c r="U2509" t="s">
        <v>45360</v>
      </c>
      <c r="W2509" t="s">
        <v>38563</v>
      </c>
      <c r="X2509" t="s">
        <v>41254</v>
      </c>
    </row>
    <row r="2510" spans="1:24">
      <c r="A2510">
        <f>HYPERLINK("https://www.philgeps.gov.ph/GEPSNONPILOT/Tender/SplashBidNoticeAbstractUI.aspx?menuIndex=3&amp;refID=7073431&amp;Result=3","7073431")</f>
        <v>0</v>
      </c>
      <c r="B2510" t="s">
        <v>1067</v>
      </c>
      <c r="C2510" t="s">
        <v>5780</v>
      </c>
      <c r="D2510" t="s">
        <v>16624</v>
      </c>
      <c r="E2510" t="s">
        <v>19012</v>
      </c>
      <c r="F2510" t="s">
        <v>28669</v>
      </c>
      <c r="G2510" t="s">
        <v>28676</v>
      </c>
      <c r="H2510" t="s">
        <v>9998</v>
      </c>
      <c r="I2510" t="s">
        <v>28729</v>
      </c>
      <c r="J2510" t="s">
        <v>30546</v>
      </c>
      <c r="K2510" t="s">
        <v>37204</v>
      </c>
      <c r="M2510" t="s">
        <v>38598</v>
      </c>
      <c r="N2510" t="s">
        <v>41249</v>
      </c>
      <c r="O2510" t="s">
        <v>41250</v>
      </c>
      <c r="P2510">
        <v>0</v>
      </c>
      <c r="Q2510">
        <v>2</v>
      </c>
      <c r="R2510" t="s">
        <v>41252</v>
      </c>
      <c r="S2510" t="s">
        <v>41383</v>
      </c>
      <c r="T2510" t="s">
        <v>42675</v>
      </c>
      <c r="U2510" t="s">
        <v>45361</v>
      </c>
      <c r="V2510" t="s">
        <v>54569</v>
      </c>
      <c r="W2510" t="s">
        <v>38598</v>
      </c>
      <c r="X2510" t="s">
        <v>41254</v>
      </c>
    </row>
    <row r="2511" spans="1:24">
      <c r="A2511">
        <f>HYPERLINK("https://www.philgeps.gov.ph/GEPSNONPILOT/Tender/SplashBidNoticeAbstractUI.aspx?menuIndex=3&amp;refID=7073412&amp;Result=3","7073412")</f>
        <v>0</v>
      </c>
      <c r="B2511" t="s">
        <v>988</v>
      </c>
      <c r="C2511" t="s">
        <v>5781</v>
      </c>
      <c r="D2511" t="s">
        <v>16635</v>
      </c>
      <c r="E2511" t="s">
        <v>5781</v>
      </c>
      <c r="F2511" t="s">
        <v>28669</v>
      </c>
      <c r="G2511" t="s">
        <v>28675</v>
      </c>
      <c r="H2511" t="s">
        <v>9998</v>
      </c>
      <c r="I2511" t="s">
        <v>28751</v>
      </c>
      <c r="J2511" t="s">
        <v>29059</v>
      </c>
      <c r="K2511" t="s">
        <v>37213</v>
      </c>
      <c r="M2511" t="s">
        <v>38514</v>
      </c>
      <c r="N2511" t="s">
        <v>41249</v>
      </c>
      <c r="O2511" t="s">
        <v>41250</v>
      </c>
      <c r="P2511">
        <v>0</v>
      </c>
      <c r="Q2511">
        <v>5</v>
      </c>
      <c r="R2511" t="s">
        <v>41252</v>
      </c>
      <c r="S2511" t="s">
        <v>41383</v>
      </c>
      <c r="T2511" t="s">
        <v>42765</v>
      </c>
      <c r="U2511" t="s">
        <v>45362</v>
      </c>
      <c r="W2511" t="s">
        <v>38514</v>
      </c>
      <c r="X2511" t="s">
        <v>41254</v>
      </c>
    </row>
    <row r="2512" spans="1:24">
      <c r="A2512">
        <f>HYPERLINK("https://www.philgeps.gov.ph/GEPSNONPILOT/Tender/SplashBidNoticeAbstractUI.aspx?menuIndex=3&amp;refID=7073430&amp;Result=3","7073430")</f>
        <v>0</v>
      </c>
      <c r="B2512" t="s">
        <v>532</v>
      </c>
      <c r="C2512" t="s">
        <v>5782</v>
      </c>
      <c r="D2512" t="s">
        <v>16675</v>
      </c>
      <c r="E2512" t="s">
        <v>19013</v>
      </c>
      <c r="F2512" t="s">
        <v>28669</v>
      </c>
      <c r="G2512" t="s">
        <v>28676</v>
      </c>
      <c r="H2512" t="s">
        <v>9998</v>
      </c>
      <c r="I2512" t="s">
        <v>5213</v>
      </c>
      <c r="J2512" t="s">
        <v>30547</v>
      </c>
      <c r="K2512" t="s">
        <v>37205</v>
      </c>
      <c r="M2512" t="s">
        <v>38599</v>
      </c>
      <c r="N2512" t="s">
        <v>41249</v>
      </c>
      <c r="O2512" t="s">
        <v>41250</v>
      </c>
      <c r="P2512">
        <v>0</v>
      </c>
      <c r="Q2512">
        <v>1</v>
      </c>
      <c r="R2512" t="s">
        <v>41252</v>
      </c>
      <c r="S2512" t="s">
        <v>41383</v>
      </c>
      <c r="T2512" t="s">
        <v>42665</v>
      </c>
      <c r="U2512" t="s">
        <v>45363</v>
      </c>
      <c r="W2512" t="s">
        <v>38599</v>
      </c>
      <c r="X2512" t="s">
        <v>41254</v>
      </c>
    </row>
    <row r="2513" spans="1:24">
      <c r="A2513">
        <f>HYPERLINK("https://www.philgeps.gov.ph/GEPSNONPILOT/Tender/SplashBidNoticeAbstractUI.aspx?menuIndex=3&amp;refID=7073418&amp;Result=3","7073418")</f>
        <v>0</v>
      </c>
      <c r="B2513" t="s">
        <v>317</v>
      </c>
      <c r="C2513" t="s">
        <v>5783</v>
      </c>
      <c r="D2513" t="s">
        <v>16608</v>
      </c>
      <c r="E2513" t="s">
        <v>19014</v>
      </c>
      <c r="F2513" t="s">
        <v>28669</v>
      </c>
      <c r="G2513" t="s">
        <v>28678</v>
      </c>
      <c r="H2513" t="s">
        <v>9998</v>
      </c>
      <c r="I2513" t="s">
        <v>6128</v>
      </c>
      <c r="J2513" t="s">
        <v>30548</v>
      </c>
      <c r="K2513" t="s">
        <v>37204</v>
      </c>
      <c r="M2513" t="s">
        <v>37797</v>
      </c>
      <c r="N2513" t="s">
        <v>41249</v>
      </c>
      <c r="O2513" t="s">
        <v>41250</v>
      </c>
      <c r="P2513">
        <v>0</v>
      </c>
      <c r="Q2513">
        <v>1</v>
      </c>
      <c r="R2513" t="s">
        <v>41252</v>
      </c>
      <c r="S2513" t="s">
        <v>41383</v>
      </c>
      <c r="T2513" t="s">
        <v>42736</v>
      </c>
      <c r="U2513" t="s">
        <v>45364</v>
      </c>
      <c r="W2513" t="s">
        <v>37797</v>
      </c>
      <c r="X2513" t="s">
        <v>41254</v>
      </c>
    </row>
    <row r="2514" spans="1:24">
      <c r="A2514">
        <f>HYPERLINK("https://www.philgeps.gov.ph/GEPSNONPILOT/Tender/SplashBidNoticeAbstractUI.aspx?menuIndex=3&amp;refID=7073417&amp;Result=3","7073417")</f>
        <v>0</v>
      </c>
      <c r="B2514" t="s">
        <v>1054</v>
      </c>
      <c r="C2514" t="s">
        <v>4247</v>
      </c>
      <c r="D2514" t="s">
        <v>16660</v>
      </c>
      <c r="E2514" t="s">
        <v>16855</v>
      </c>
      <c r="F2514" t="s">
        <v>28669</v>
      </c>
      <c r="G2514" t="s">
        <v>28677</v>
      </c>
      <c r="H2514" t="s">
        <v>9998</v>
      </c>
      <c r="I2514" t="s">
        <v>28688</v>
      </c>
      <c r="J2514" t="s">
        <v>29225</v>
      </c>
      <c r="K2514" t="s">
        <v>37210</v>
      </c>
      <c r="M2514" t="s">
        <v>38585</v>
      </c>
      <c r="N2514" t="s">
        <v>41249</v>
      </c>
      <c r="O2514" t="s">
        <v>41250</v>
      </c>
      <c r="P2514">
        <v>0</v>
      </c>
      <c r="Q2514">
        <v>2</v>
      </c>
      <c r="R2514" t="s">
        <v>41252</v>
      </c>
      <c r="S2514" t="s">
        <v>41383</v>
      </c>
      <c r="T2514" t="s">
        <v>42887</v>
      </c>
      <c r="U2514" t="s">
        <v>43998</v>
      </c>
      <c r="W2514" t="s">
        <v>38585</v>
      </c>
      <c r="X2514" t="s">
        <v>41254</v>
      </c>
    </row>
    <row r="2515" spans="1:24">
      <c r="A2515">
        <f>HYPERLINK("https://www.philgeps.gov.ph/GEPSNONPILOT/Tender/SplashBidNoticeAbstractUI.aspx?menuIndex=3&amp;refID=7073414&amp;Result=3","7073414")</f>
        <v>0</v>
      </c>
      <c r="B2515" t="s">
        <v>140</v>
      </c>
      <c r="C2515" t="s">
        <v>5784</v>
      </c>
      <c r="D2515" t="s">
        <v>16652</v>
      </c>
      <c r="E2515" t="s">
        <v>19015</v>
      </c>
      <c r="F2515" t="s">
        <v>28669</v>
      </c>
      <c r="G2515" t="s">
        <v>28676</v>
      </c>
      <c r="H2515" t="s">
        <v>9998</v>
      </c>
      <c r="I2515" t="s">
        <v>6128</v>
      </c>
      <c r="J2515" t="s">
        <v>30549</v>
      </c>
      <c r="K2515" t="s">
        <v>37234</v>
      </c>
      <c r="M2515" t="s">
        <v>37617</v>
      </c>
      <c r="N2515" t="s">
        <v>41249</v>
      </c>
      <c r="O2515" t="s">
        <v>41250</v>
      </c>
      <c r="P2515">
        <v>0</v>
      </c>
      <c r="Q2515">
        <v>1</v>
      </c>
      <c r="R2515" t="s">
        <v>41252</v>
      </c>
      <c r="S2515" t="s">
        <v>41383</v>
      </c>
      <c r="T2515" t="s">
        <v>42802</v>
      </c>
      <c r="U2515" t="s">
        <v>43783</v>
      </c>
      <c r="W2515" t="s">
        <v>37617</v>
      </c>
      <c r="X2515" t="s">
        <v>41254</v>
      </c>
    </row>
    <row r="2516" spans="1:24">
      <c r="A2516">
        <f>HYPERLINK("https://www.philgeps.gov.ph/GEPSNONPILOT/Tender/SplashBidNoticeAbstractUI.aspx?menuIndex=3&amp;refID=7073439&amp;Result=3","7073439")</f>
        <v>0</v>
      </c>
      <c r="B2516" t="s">
        <v>1021</v>
      </c>
      <c r="C2516" t="s">
        <v>5696</v>
      </c>
      <c r="D2516" t="s">
        <v>16646</v>
      </c>
      <c r="E2516" t="s">
        <v>19016</v>
      </c>
      <c r="F2516" t="s">
        <v>28669</v>
      </c>
      <c r="G2516" t="s">
        <v>28677</v>
      </c>
      <c r="H2516" t="s">
        <v>9998</v>
      </c>
      <c r="I2516" t="s">
        <v>28690</v>
      </c>
      <c r="J2516" t="s">
        <v>28894</v>
      </c>
      <c r="K2516" t="s">
        <v>37234</v>
      </c>
      <c r="M2516" t="s">
        <v>38551</v>
      </c>
      <c r="N2516" t="s">
        <v>41249</v>
      </c>
      <c r="O2516" t="s">
        <v>41250</v>
      </c>
      <c r="P2516">
        <v>0</v>
      </c>
      <c r="Q2516">
        <v>0</v>
      </c>
      <c r="R2516" t="s">
        <v>41252</v>
      </c>
      <c r="S2516" t="s">
        <v>41383</v>
      </c>
      <c r="T2516" t="s">
        <v>42727</v>
      </c>
      <c r="U2516" t="s">
        <v>45365</v>
      </c>
      <c r="W2516" t="s">
        <v>38551</v>
      </c>
      <c r="X2516" t="s">
        <v>41254</v>
      </c>
    </row>
    <row r="2517" spans="1:24">
      <c r="A2517">
        <f>HYPERLINK("https://www.philgeps.gov.ph/GEPSNONPILOT/Tender/SplashBidNoticeAbstractUI.aspx?menuIndex=3&amp;refID=7073438&amp;Result=3","7073438")</f>
        <v>0</v>
      </c>
      <c r="B2517" t="s">
        <v>996</v>
      </c>
      <c r="C2517" t="s">
        <v>5785</v>
      </c>
      <c r="E2517" t="s">
        <v>19017</v>
      </c>
      <c r="F2517" t="s">
        <v>28669</v>
      </c>
      <c r="G2517" t="s">
        <v>28676</v>
      </c>
      <c r="H2517" t="s">
        <v>9998</v>
      </c>
      <c r="I2517" t="s">
        <v>6606</v>
      </c>
      <c r="J2517" t="s">
        <v>30550</v>
      </c>
      <c r="K2517" t="s">
        <v>37209</v>
      </c>
      <c r="M2517" t="s">
        <v>38524</v>
      </c>
      <c r="N2517" t="s">
        <v>41249</v>
      </c>
      <c r="O2517" t="s">
        <v>41250</v>
      </c>
      <c r="P2517">
        <v>0</v>
      </c>
      <c r="Q2517">
        <v>0</v>
      </c>
      <c r="R2517" t="s">
        <v>41252</v>
      </c>
      <c r="S2517" t="s">
        <v>41383</v>
      </c>
      <c r="T2517" t="s">
        <v>42729</v>
      </c>
      <c r="U2517" t="s">
        <v>45366</v>
      </c>
      <c r="W2517" t="s">
        <v>38524</v>
      </c>
      <c r="X2517" t="s">
        <v>41254</v>
      </c>
    </row>
    <row r="2518" spans="1:24">
      <c r="A2518">
        <f>HYPERLINK("https://www.philgeps.gov.ph/GEPSNONPILOT/Tender/SplashBidNoticeAbstractUI.aspx?menuIndex=3&amp;refID=7073454&amp;Result=3","7073454")</f>
        <v>0</v>
      </c>
      <c r="B2518" t="s">
        <v>1068</v>
      </c>
      <c r="C2518" t="s">
        <v>5786</v>
      </c>
      <c r="D2518" t="s">
        <v>16607</v>
      </c>
      <c r="E2518" t="s">
        <v>19018</v>
      </c>
      <c r="F2518" t="s">
        <v>28669</v>
      </c>
      <c r="G2518" t="s">
        <v>28675</v>
      </c>
      <c r="H2518" t="s">
        <v>28686</v>
      </c>
      <c r="I2518" t="s">
        <v>28689</v>
      </c>
      <c r="J2518" t="s">
        <v>30551</v>
      </c>
      <c r="K2518" t="s">
        <v>37204</v>
      </c>
      <c r="M2518" t="s">
        <v>38600</v>
      </c>
      <c r="N2518" t="s">
        <v>41249</v>
      </c>
      <c r="O2518" t="s">
        <v>41250</v>
      </c>
      <c r="P2518">
        <v>0</v>
      </c>
      <c r="Q2518">
        <v>3</v>
      </c>
      <c r="R2518" t="s">
        <v>41252</v>
      </c>
      <c r="S2518" t="s">
        <v>41383</v>
      </c>
      <c r="T2518" t="s">
        <v>42690</v>
      </c>
      <c r="U2518" t="s">
        <v>45367</v>
      </c>
      <c r="V2518" t="s">
        <v>54570</v>
      </c>
      <c r="W2518" t="s">
        <v>38600</v>
      </c>
      <c r="X2518" t="s">
        <v>41254</v>
      </c>
    </row>
    <row r="2519" spans="1:24">
      <c r="A2519">
        <f>HYPERLINK("https://www.philgeps.gov.ph/GEPSNONPILOT/Tender/SplashBidNoticeAbstractUI.aspx?menuIndex=3&amp;refID=7073411&amp;Result=3","7073411")</f>
        <v>0</v>
      </c>
      <c r="B2519" t="s">
        <v>1069</v>
      </c>
      <c r="C2519" t="s">
        <v>5787</v>
      </c>
      <c r="D2519" t="s">
        <v>16626</v>
      </c>
      <c r="E2519" t="s">
        <v>19019</v>
      </c>
      <c r="F2519" t="s">
        <v>28669</v>
      </c>
      <c r="G2519" t="s">
        <v>28675</v>
      </c>
      <c r="H2519" t="s">
        <v>9998</v>
      </c>
      <c r="I2519" t="s">
        <v>28706</v>
      </c>
      <c r="J2519" t="s">
        <v>29190</v>
      </c>
      <c r="K2519" t="s">
        <v>37206</v>
      </c>
      <c r="M2519" t="s">
        <v>38601</v>
      </c>
      <c r="N2519" t="s">
        <v>41249</v>
      </c>
      <c r="O2519" t="s">
        <v>41250</v>
      </c>
      <c r="P2519">
        <v>0</v>
      </c>
      <c r="Q2519">
        <v>6</v>
      </c>
      <c r="R2519" t="s">
        <v>41252</v>
      </c>
      <c r="S2519" t="s">
        <v>41383</v>
      </c>
      <c r="T2519" t="s">
        <v>42679</v>
      </c>
      <c r="U2519" t="s">
        <v>45368</v>
      </c>
      <c r="W2519" t="s">
        <v>38601</v>
      </c>
      <c r="X2519" t="s">
        <v>41254</v>
      </c>
    </row>
    <row r="2520" spans="1:24">
      <c r="A2520">
        <f>HYPERLINK("https://www.philgeps.gov.ph/GEPSNONPILOT/Tender/SplashBidNoticeAbstractUI.aspx?menuIndex=3&amp;refID=7073453&amp;Result=3","7073453")</f>
        <v>0</v>
      </c>
      <c r="B2520" t="s">
        <v>1034</v>
      </c>
      <c r="C2520" t="s">
        <v>5788</v>
      </c>
      <c r="D2520" t="s">
        <v>16619</v>
      </c>
      <c r="E2520" t="s">
        <v>19020</v>
      </c>
      <c r="F2520" t="s">
        <v>28669</v>
      </c>
      <c r="G2520" t="s">
        <v>28676</v>
      </c>
      <c r="H2520" t="s">
        <v>9998</v>
      </c>
      <c r="I2520" t="s">
        <v>28689</v>
      </c>
      <c r="J2520" t="s">
        <v>30552</v>
      </c>
      <c r="K2520" t="s">
        <v>37216</v>
      </c>
      <c r="M2520" t="s">
        <v>38565</v>
      </c>
      <c r="N2520" t="s">
        <v>41249</v>
      </c>
      <c r="O2520" t="s">
        <v>41250</v>
      </c>
      <c r="P2520">
        <v>0</v>
      </c>
      <c r="Q2520">
        <v>0</v>
      </c>
      <c r="R2520" t="s">
        <v>41252</v>
      </c>
      <c r="S2520" t="s">
        <v>41383</v>
      </c>
      <c r="T2520" t="s">
        <v>42759</v>
      </c>
      <c r="U2520" t="s">
        <v>45369</v>
      </c>
      <c r="W2520" t="s">
        <v>38565</v>
      </c>
      <c r="X2520" t="s">
        <v>41254</v>
      </c>
    </row>
    <row r="2521" spans="1:24">
      <c r="A2521">
        <f>HYPERLINK("https://www.philgeps.gov.ph/GEPSNONPILOT/Tender/SplashBidNoticeAbstractUI.aspx?menuIndex=3&amp;refID=7073435&amp;Result=3","7073435")</f>
        <v>0</v>
      </c>
      <c r="B2521" t="s">
        <v>1024</v>
      </c>
      <c r="C2521" t="s">
        <v>5789</v>
      </c>
      <c r="D2521" t="s">
        <v>16608</v>
      </c>
      <c r="E2521" t="s">
        <v>19021</v>
      </c>
      <c r="F2521" t="s">
        <v>28669</v>
      </c>
      <c r="G2521" t="s">
        <v>28677</v>
      </c>
      <c r="H2521" t="s">
        <v>9998</v>
      </c>
      <c r="I2521" t="s">
        <v>7352</v>
      </c>
      <c r="J2521" t="s">
        <v>30553</v>
      </c>
      <c r="K2521" t="s">
        <v>37206</v>
      </c>
      <c r="M2521" t="s">
        <v>38554</v>
      </c>
      <c r="N2521" t="s">
        <v>41249</v>
      </c>
      <c r="O2521" t="s">
        <v>41250</v>
      </c>
      <c r="P2521">
        <v>0</v>
      </c>
      <c r="Q2521">
        <v>0</v>
      </c>
      <c r="R2521" t="s">
        <v>41252</v>
      </c>
      <c r="S2521" t="s">
        <v>41383</v>
      </c>
      <c r="T2521" t="s">
        <v>42679</v>
      </c>
      <c r="U2521" t="s">
        <v>45370</v>
      </c>
      <c r="W2521" t="s">
        <v>38554</v>
      </c>
      <c r="X2521" t="s">
        <v>41254</v>
      </c>
    </row>
    <row r="2522" spans="1:24">
      <c r="A2522">
        <f>HYPERLINK("https://www.philgeps.gov.ph/GEPSNONPILOT/Tender/SplashBidNoticeAbstractUI.aspx?menuIndex=3&amp;refID=7073460&amp;Result=3","7073460")</f>
        <v>0</v>
      </c>
      <c r="B2522" t="s">
        <v>32</v>
      </c>
      <c r="C2522" t="s">
        <v>5790</v>
      </c>
      <c r="D2522" t="s">
        <v>16614</v>
      </c>
      <c r="E2522" t="s">
        <v>19022</v>
      </c>
      <c r="F2522" t="s">
        <v>28669</v>
      </c>
      <c r="G2522" t="s">
        <v>28676</v>
      </c>
      <c r="H2522" t="s">
        <v>9998</v>
      </c>
      <c r="I2522" t="s">
        <v>28788</v>
      </c>
      <c r="J2522" t="s">
        <v>28826</v>
      </c>
      <c r="K2522" t="s">
        <v>37231</v>
      </c>
      <c r="M2522" t="s">
        <v>37507</v>
      </c>
      <c r="N2522" t="s">
        <v>41249</v>
      </c>
      <c r="O2522" t="s">
        <v>41250</v>
      </c>
      <c r="P2522">
        <v>0</v>
      </c>
      <c r="Q2522">
        <v>1</v>
      </c>
      <c r="R2522" t="s">
        <v>41252</v>
      </c>
      <c r="S2522" t="s">
        <v>41383</v>
      </c>
      <c r="T2522" t="s">
        <v>42743</v>
      </c>
      <c r="U2522" t="s">
        <v>45371</v>
      </c>
      <c r="W2522" t="s">
        <v>37507</v>
      </c>
      <c r="X2522" t="s">
        <v>41254</v>
      </c>
    </row>
    <row r="2523" spans="1:24">
      <c r="A2523">
        <f>HYPERLINK("https://www.philgeps.gov.ph/GEPSNONPILOT/Tender/SplashBidNoticeAbstractUI.aspx?menuIndex=3&amp;refID=7073433&amp;Result=3","7073433")</f>
        <v>0</v>
      </c>
      <c r="B2523" t="s">
        <v>1054</v>
      </c>
      <c r="C2523" t="s">
        <v>5791</v>
      </c>
      <c r="D2523" t="s">
        <v>16660</v>
      </c>
      <c r="E2523" t="s">
        <v>19023</v>
      </c>
      <c r="F2523" t="s">
        <v>28669</v>
      </c>
      <c r="G2523" t="s">
        <v>28677</v>
      </c>
      <c r="H2523" t="s">
        <v>9998</v>
      </c>
      <c r="I2523" t="s">
        <v>28713</v>
      </c>
      <c r="J2523" t="s">
        <v>30554</v>
      </c>
      <c r="K2523" t="s">
        <v>37210</v>
      </c>
      <c r="M2523" t="s">
        <v>38585</v>
      </c>
      <c r="N2523" t="s">
        <v>41249</v>
      </c>
      <c r="O2523" t="s">
        <v>41250</v>
      </c>
      <c r="P2523">
        <v>0</v>
      </c>
      <c r="Q2523">
        <v>2</v>
      </c>
      <c r="R2523" t="s">
        <v>41252</v>
      </c>
      <c r="S2523" t="s">
        <v>41383</v>
      </c>
      <c r="T2523" t="s">
        <v>42887</v>
      </c>
      <c r="U2523" t="s">
        <v>45372</v>
      </c>
      <c r="W2523" t="s">
        <v>38585</v>
      </c>
      <c r="X2523" t="s">
        <v>41254</v>
      </c>
    </row>
    <row r="2524" spans="1:24">
      <c r="A2524">
        <f>HYPERLINK("https://www.philgeps.gov.ph/GEPSNONPILOT/Tender/SplashBidNoticeAbstractUI.aspx?menuIndex=3&amp;refID=7073458&amp;Result=3","7073458")</f>
        <v>0</v>
      </c>
      <c r="B2524" t="s">
        <v>895</v>
      </c>
      <c r="C2524" t="s">
        <v>5792</v>
      </c>
      <c r="D2524" t="s">
        <v>16611</v>
      </c>
      <c r="E2524" t="s">
        <v>17029</v>
      </c>
      <c r="F2524" t="s">
        <v>28669</v>
      </c>
      <c r="G2524" t="s">
        <v>28677</v>
      </c>
      <c r="H2524" t="s">
        <v>9998</v>
      </c>
      <c r="I2524" t="s">
        <v>28709</v>
      </c>
      <c r="J2524" t="s">
        <v>29280</v>
      </c>
      <c r="K2524" t="s">
        <v>37208</v>
      </c>
      <c r="M2524" t="s">
        <v>38416</v>
      </c>
      <c r="N2524" t="s">
        <v>41249</v>
      </c>
      <c r="O2524" t="s">
        <v>41250</v>
      </c>
      <c r="P2524">
        <v>0</v>
      </c>
      <c r="Q2524">
        <v>0</v>
      </c>
      <c r="R2524" t="s">
        <v>41252</v>
      </c>
      <c r="S2524" t="s">
        <v>41383</v>
      </c>
      <c r="T2524" t="s">
        <v>42887</v>
      </c>
      <c r="U2524" t="s">
        <v>45373</v>
      </c>
      <c r="V2524" t="s">
        <v>54571</v>
      </c>
      <c r="W2524" t="s">
        <v>38416</v>
      </c>
      <c r="X2524" t="s">
        <v>41254</v>
      </c>
    </row>
    <row r="2525" spans="1:24">
      <c r="A2525">
        <f>HYPERLINK("https://www.philgeps.gov.ph/GEPSNONPILOT/Tender/SplashBidNoticeAbstractUI.aspx?menuIndex=3&amp;refID=7073457&amp;Result=3","7073457")</f>
        <v>0</v>
      </c>
      <c r="B2525" t="s">
        <v>248</v>
      </c>
      <c r="C2525" t="s">
        <v>5793</v>
      </c>
      <c r="D2525" t="s">
        <v>16625</v>
      </c>
      <c r="E2525" t="s">
        <v>19024</v>
      </c>
      <c r="F2525" t="s">
        <v>28669</v>
      </c>
      <c r="G2525" t="s">
        <v>28676</v>
      </c>
      <c r="H2525" t="s">
        <v>9998</v>
      </c>
      <c r="I2525" t="s">
        <v>28697</v>
      </c>
      <c r="J2525" t="s">
        <v>30555</v>
      </c>
      <c r="K2525" t="s">
        <v>37206</v>
      </c>
      <c r="M2525" t="s">
        <v>37726</v>
      </c>
      <c r="N2525" t="s">
        <v>41249</v>
      </c>
      <c r="O2525" t="s">
        <v>41250</v>
      </c>
      <c r="P2525">
        <v>0</v>
      </c>
      <c r="Q2525">
        <v>4</v>
      </c>
      <c r="R2525" t="s">
        <v>41252</v>
      </c>
      <c r="S2525" t="s">
        <v>41383</v>
      </c>
      <c r="T2525" t="s">
        <v>42690</v>
      </c>
      <c r="U2525" t="s">
        <v>45374</v>
      </c>
      <c r="W2525" t="s">
        <v>37726</v>
      </c>
      <c r="X2525" t="s">
        <v>41254</v>
      </c>
    </row>
    <row r="2526" spans="1:24">
      <c r="A2526">
        <f>HYPERLINK("https://www.philgeps.gov.ph/GEPSNONPILOT/Tender/SplashBidNoticeAbstractUI.aspx?menuIndex=3&amp;refID=7073450&amp;Result=3","7073450")</f>
        <v>0</v>
      </c>
      <c r="B2526" t="s">
        <v>1070</v>
      </c>
      <c r="C2526" t="s">
        <v>5794</v>
      </c>
      <c r="D2526" t="s">
        <v>16683</v>
      </c>
      <c r="E2526" t="s">
        <v>19025</v>
      </c>
      <c r="F2526" t="s">
        <v>28669</v>
      </c>
      <c r="G2526" t="s">
        <v>28676</v>
      </c>
      <c r="H2526" t="s">
        <v>9998</v>
      </c>
      <c r="I2526" t="s">
        <v>5213</v>
      </c>
      <c r="J2526" t="s">
        <v>30556</v>
      </c>
      <c r="K2526" t="s">
        <v>37204</v>
      </c>
      <c r="M2526" t="s">
        <v>38602</v>
      </c>
      <c r="N2526" t="s">
        <v>41249</v>
      </c>
      <c r="O2526" t="s">
        <v>41250</v>
      </c>
      <c r="P2526">
        <v>0</v>
      </c>
      <c r="Q2526">
        <v>1</v>
      </c>
      <c r="R2526" t="s">
        <v>41252</v>
      </c>
      <c r="S2526" t="s">
        <v>41383</v>
      </c>
      <c r="T2526" t="s">
        <v>42701</v>
      </c>
      <c r="U2526" t="s">
        <v>45375</v>
      </c>
      <c r="W2526" t="s">
        <v>38602</v>
      </c>
      <c r="X2526" t="s">
        <v>41254</v>
      </c>
    </row>
    <row r="2527" spans="1:24">
      <c r="A2527">
        <f>HYPERLINK("https://www.philgeps.gov.ph/GEPSNONPILOT/Tender/SplashBidNoticeAbstractUI.aspx?menuIndex=3&amp;refID=7073452&amp;Result=3","7073452")</f>
        <v>0</v>
      </c>
      <c r="B2527" t="s">
        <v>1054</v>
      </c>
      <c r="C2527" t="s">
        <v>5748</v>
      </c>
      <c r="D2527" t="s">
        <v>16660</v>
      </c>
      <c r="E2527" t="s">
        <v>19026</v>
      </c>
      <c r="F2527" t="s">
        <v>28669</v>
      </c>
      <c r="G2527" t="s">
        <v>28677</v>
      </c>
      <c r="H2527" t="s">
        <v>9998</v>
      </c>
      <c r="I2527" t="s">
        <v>28715</v>
      </c>
      <c r="J2527" t="s">
        <v>30557</v>
      </c>
      <c r="K2527" t="s">
        <v>37210</v>
      </c>
      <c r="M2527" t="s">
        <v>38585</v>
      </c>
      <c r="N2527" t="s">
        <v>41249</v>
      </c>
      <c r="O2527" t="s">
        <v>41250</v>
      </c>
      <c r="P2527">
        <v>0</v>
      </c>
      <c r="Q2527">
        <v>2</v>
      </c>
      <c r="R2527" t="s">
        <v>41252</v>
      </c>
      <c r="S2527" t="s">
        <v>41383</v>
      </c>
      <c r="T2527" t="s">
        <v>42887</v>
      </c>
      <c r="U2527" t="s">
        <v>45376</v>
      </c>
      <c r="W2527" t="s">
        <v>38585</v>
      </c>
      <c r="X2527" t="s">
        <v>41254</v>
      </c>
    </row>
    <row r="2528" spans="1:24">
      <c r="A2528">
        <f>HYPERLINK("https://www.philgeps.gov.ph/GEPSNONPILOT/Tender/SplashBidNoticeAbstractUI.aspx?menuIndex=3&amp;refID=7073449&amp;Result=3","7073449")</f>
        <v>0</v>
      </c>
      <c r="B2528" t="s">
        <v>1071</v>
      </c>
      <c r="C2528" t="s">
        <v>5795</v>
      </c>
      <c r="D2528" t="s">
        <v>16616</v>
      </c>
      <c r="E2528" t="s">
        <v>19027</v>
      </c>
      <c r="F2528" t="s">
        <v>28669</v>
      </c>
      <c r="G2528" t="s">
        <v>28676</v>
      </c>
      <c r="H2528" t="s">
        <v>28684</v>
      </c>
      <c r="I2528" t="s">
        <v>28725</v>
      </c>
      <c r="J2528" t="s">
        <v>30558</v>
      </c>
      <c r="K2528" t="s">
        <v>37206</v>
      </c>
      <c r="M2528" t="s">
        <v>38603</v>
      </c>
      <c r="N2528" t="s">
        <v>41249</v>
      </c>
      <c r="O2528" t="s">
        <v>41250</v>
      </c>
      <c r="P2528">
        <v>0</v>
      </c>
      <c r="Q2528">
        <v>0</v>
      </c>
      <c r="R2528" t="s">
        <v>41252</v>
      </c>
      <c r="S2528" t="s">
        <v>41383</v>
      </c>
      <c r="T2528" t="s">
        <v>42892</v>
      </c>
      <c r="U2528" t="s">
        <v>45377</v>
      </c>
      <c r="W2528" t="s">
        <v>38603</v>
      </c>
      <c r="X2528" t="s">
        <v>41254</v>
      </c>
    </row>
    <row r="2529" spans="1:24">
      <c r="A2529">
        <f>HYPERLINK("https://www.philgeps.gov.ph/GEPSNONPILOT/Tender/SplashBidNoticeAbstractUI.aspx?menuIndex=3&amp;refID=7073448&amp;Result=3","7073448")</f>
        <v>0</v>
      </c>
      <c r="B2529" t="s">
        <v>1001</v>
      </c>
      <c r="C2529" t="s">
        <v>5796</v>
      </c>
      <c r="D2529" t="s">
        <v>16677</v>
      </c>
      <c r="E2529" t="s">
        <v>19028</v>
      </c>
      <c r="F2529" t="s">
        <v>28669</v>
      </c>
      <c r="G2529" t="s">
        <v>28675</v>
      </c>
      <c r="H2529" t="s">
        <v>28686</v>
      </c>
      <c r="I2529" t="s">
        <v>28689</v>
      </c>
      <c r="J2529" t="s">
        <v>29298</v>
      </c>
      <c r="K2529" t="s">
        <v>37215</v>
      </c>
      <c r="M2529" t="s">
        <v>38529</v>
      </c>
      <c r="N2529" t="s">
        <v>41249</v>
      </c>
      <c r="O2529" t="s">
        <v>41250</v>
      </c>
      <c r="P2529">
        <v>0</v>
      </c>
      <c r="Q2529">
        <v>3</v>
      </c>
      <c r="R2529" t="s">
        <v>41252</v>
      </c>
      <c r="S2529" t="s">
        <v>41383</v>
      </c>
      <c r="T2529" t="s">
        <v>42760</v>
      </c>
      <c r="U2529" t="s">
        <v>45378</v>
      </c>
      <c r="W2529" t="s">
        <v>38529</v>
      </c>
      <c r="X2529" t="s">
        <v>41254</v>
      </c>
    </row>
    <row r="2530" spans="1:24">
      <c r="A2530">
        <f>HYPERLINK("https://www.philgeps.gov.ph/GEPSNONPILOT/Tender/SplashBidNoticeAbstractUI.aspx?menuIndex=3&amp;refID=7073445&amp;Result=3","7073445")</f>
        <v>0</v>
      </c>
      <c r="B2530" t="s">
        <v>1052</v>
      </c>
      <c r="C2530" t="s">
        <v>5797</v>
      </c>
      <c r="D2530" t="s">
        <v>16608</v>
      </c>
      <c r="E2530" t="s">
        <v>19029</v>
      </c>
      <c r="F2530" t="s">
        <v>28669</v>
      </c>
      <c r="G2530" t="s">
        <v>28677</v>
      </c>
      <c r="H2530" t="s">
        <v>9998</v>
      </c>
      <c r="I2530" t="s">
        <v>28708</v>
      </c>
      <c r="J2530" t="s">
        <v>29208</v>
      </c>
      <c r="K2530" t="s">
        <v>37210</v>
      </c>
      <c r="M2530" t="s">
        <v>38583</v>
      </c>
      <c r="N2530" t="s">
        <v>41249</v>
      </c>
      <c r="O2530" t="s">
        <v>41250</v>
      </c>
      <c r="P2530">
        <v>0</v>
      </c>
      <c r="Q2530">
        <v>17</v>
      </c>
      <c r="R2530" t="s">
        <v>41252</v>
      </c>
      <c r="S2530" t="s">
        <v>41383</v>
      </c>
      <c r="T2530" t="s">
        <v>42736</v>
      </c>
      <c r="U2530" t="s">
        <v>45379</v>
      </c>
      <c r="W2530" t="s">
        <v>38583</v>
      </c>
      <c r="X2530" t="s">
        <v>41254</v>
      </c>
    </row>
    <row r="2531" spans="1:24">
      <c r="A2531">
        <f>HYPERLINK("https://www.philgeps.gov.ph/GEPSNONPILOT/Tender/SplashBidNoticeAbstractUI.aspx?menuIndex=3&amp;refID=7073363&amp;Result=3","7073363")</f>
        <v>0</v>
      </c>
      <c r="B2531" t="s">
        <v>1001</v>
      </c>
      <c r="C2531" t="s">
        <v>5798</v>
      </c>
      <c r="D2531" t="s">
        <v>16677</v>
      </c>
      <c r="E2531" t="s">
        <v>19030</v>
      </c>
      <c r="F2531" t="s">
        <v>28669</v>
      </c>
      <c r="G2531" t="s">
        <v>28675</v>
      </c>
      <c r="H2531" t="s">
        <v>28686</v>
      </c>
      <c r="I2531" t="s">
        <v>28689</v>
      </c>
      <c r="J2531" t="s">
        <v>30559</v>
      </c>
      <c r="K2531" t="s">
        <v>37215</v>
      </c>
      <c r="M2531" t="s">
        <v>38529</v>
      </c>
      <c r="N2531" t="s">
        <v>41249</v>
      </c>
      <c r="O2531" t="s">
        <v>41250</v>
      </c>
      <c r="P2531">
        <v>0</v>
      </c>
      <c r="Q2531">
        <v>1</v>
      </c>
      <c r="R2531" t="s">
        <v>41252</v>
      </c>
      <c r="S2531" t="s">
        <v>41383</v>
      </c>
      <c r="T2531" t="s">
        <v>42760</v>
      </c>
      <c r="U2531" t="s">
        <v>45378</v>
      </c>
      <c r="W2531" t="s">
        <v>38529</v>
      </c>
      <c r="X2531" t="s">
        <v>41254</v>
      </c>
    </row>
    <row r="2532" spans="1:24">
      <c r="A2532">
        <f>HYPERLINK("https://www.philgeps.gov.ph/GEPSNONPILOT/Tender/SplashBidNoticeAbstractUI.aspx?menuIndex=3&amp;refID=7073444&amp;Result=3","7073444")</f>
        <v>0</v>
      </c>
      <c r="B2532" t="s">
        <v>636</v>
      </c>
      <c r="C2532" t="s">
        <v>5799</v>
      </c>
      <c r="D2532" t="s">
        <v>16648</v>
      </c>
      <c r="E2532" t="s">
        <v>19031</v>
      </c>
      <c r="F2532" t="s">
        <v>28669</v>
      </c>
      <c r="G2532" t="s">
        <v>28676</v>
      </c>
      <c r="H2532" t="s">
        <v>9998</v>
      </c>
      <c r="I2532" t="s">
        <v>28708</v>
      </c>
      <c r="J2532" t="s">
        <v>28942</v>
      </c>
      <c r="K2532" t="s">
        <v>37210</v>
      </c>
      <c r="M2532" t="s">
        <v>38137</v>
      </c>
      <c r="N2532" t="s">
        <v>41249</v>
      </c>
      <c r="O2532" t="s">
        <v>41250</v>
      </c>
      <c r="P2532">
        <v>0</v>
      </c>
      <c r="Q2532">
        <v>1</v>
      </c>
      <c r="R2532" t="s">
        <v>41252</v>
      </c>
      <c r="S2532" t="s">
        <v>41383</v>
      </c>
      <c r="T2532" t="s">
        <v>42736</v>
      </c>
      <c r="U2532" t="s">
        <v>45380</v>
      </c>
      <c r="W2532" t="s">
        <v>38137</v>
      </c>
      <c r="X2532" t="s">
        <v>41254</v>
      </c>
    </row>
    <row r="2533" spans="1:24">
      <c r="A2533">
        <f>HYPERLINK("https://www.philgeps.gov.ph/GEPSNONPILOT/Tender/SplashBidNoticeAbstractUI.aspx?menuIndex=3&amp;refID=7073443&amp;Result=3","7073443")</f>
        <v>0</v>
      </c>
      <c r="B2533" t="s">
        <v>1054</v>
      </c>
      <c r="C2533" t="s">
        <v>4218</v>
      </c>
      <c r="D2533" t="s">
        <v>16660</v>
      </c>
      <c r="E2533" t="s">
        <v>19032</v>
      </c>
      <c r="F2533" t="s">
        <v>28669</v>
      </c>
      <c r="G2533" t="s">
        <v>28677</v>
      </c>
      <c r="H2533" t="s">
        <v>9998</v>
      </c>
      <c r="I2533" t="s">
        <v>28694</v>
      </c>
      <c r="J2533" t="s">
        <v>30560</v>
      </c>
      <c r="K2533" t="s">
        <v>37210</v>
      </c>
      <c r="M2533" t="s">
        <v>38585</v>
      </c>
      <c r="N2533" t="s">
        <v>41249</v>
      </c>
      <c r="O2533" t="s">
        <v>41250</v>
      </c>
      <c r="P2533">
        <v>0</v>
      </c>
      <c r="Q2533">
        <v>2</v>
      </c>
      <c r="R2533" t="s">
        <v>41252</v>
      </c>
      <c r="S2533" t="s">
        <v>41383</v>
      </c>
      <c r="T2533" t="s">
        <v>42887</v>
      </c>
      <c r="U2533" t="s">
        <v>43972</v>
      </c>
      <c r="W2533" t="s">
        <v>38585</v>
      </c>
      <c r="X2533" t="s">
        <v>41254</v>
      </c>
    </row>
    <row r="2534" spans="1:24">
      <c r="A2534">
        <f>HYPERLINK("https://www.philgeps.gov.ph/GEPSNONPILOT/Tender/SplashBidNoticeAbstractUI.aspx?menuIndex=3&amp;refID=7073461&amp;Result=3","7073461")</f>
        <v>0</v>
      </c>
      <c r="B2534" t="s">
        <v>1028</v>
      </c>
      <c r="C2534" t="s">
        <v>5800</v>
      </c>
      <c r="D2534" t="s">
        <v>16657</v>
      </c>
      <c r="E2534" t="s">
        <v>19033</v>
      </c>
      <c r="F2534" t="s">
        <v>28669</v>
      </c>
      <c r="G2534" t="s">
        <v>28676</v>
      </c>
      <c r="H2534" t="s">
        <v>9998</v>
      </c>
      <c r="I2534" t="s">
        <v>28688</v>
      </c>
      <c r="J2534" t="s">
        <v>30561</v>
      </c>
      <c r="K2534" t="s">
        <v>37204</v>
      </c>
      <c r="M2534" t="s">
        <v>38559</v>
      </c>
      <c r="N2534" t="s">
        <v>41249</v>
      </c>
      <c r="O2534" t="s">
        <v>41250</v>
      </c>
      <c r="P2534">
        <v>0</v>
      </c>
      <c r="Q2534">
        <v>0</v>
      </c>
      <c r="R2534" t="s">
        <v>41252</v>
      </c>
      <c r="S2534" t="s">
        <v>41383</v>
      </c>
      <c r="T2534" t="s">
        <v>42893</v>
      </c>
      <c r="U2534" t="s">
        <v>45381</v>
      </c>
      <c r="W2534" t="s">
        <v>38559</v>
      </c>
      <c r="X2534" t="s">
        <v>41254</v>
      </c>
    </row>
    <row r="2535" spans="1:24">
      <c r="A2535">
        <f>HYPERLINK("https://www.philgeps.gov.ph/GEPSNONPILOT/Tender/SplashBidNoticeAbstractUI.aspx?menuIndex=3&amp;refID=7073441&amp;Result=3","7073441")</f>
        <v>0</v>
      </c>
      <c r="B2535" t="s">
        <v>44</v>
      </c>
      <c r="C2535" t="s">
        <v>5801</v>
      </c>
      <c r="D2535" t="s">
        <v>16625</v>
      </c>
      <c r="E2535" t="s">
        <v>19034</v>
      </c>
      <c r="F2535" t="s">
        <v>28669</v>
      </c>
      <c r="G2535" t="s">
        <v>28675</v>
      </c>
      <c r="H2535" t="s">
        <v>9998</v>
      </c>
      <c r="I2535" t="s">
        <v>6128</v>
      </c>
      <c r="J2535" t="s">
        <v>30562</v>
      </c>
      <c r="K2535" t="s">
        <v>37205</v>
      </c>
      <c r="M2535" t="s">
        <v>38457</v>
      </c>
      <c r="N2535" t="s">
        <v>41249</v>
      </c>
      <c r="O2535" t="s">
        <v>41250</v>
      </c>
      <c r="P2535">
        <v>0</v>
      </c>
      <c r="Q2535">
        <v>2</v>
      </c>
      <c r="R2535" t="s">
        <v>41252</v>
      </c>
      <c r="S2535" t="s">
        <v>41383</v>
      </c>
      <c r="T2535" t="s">
        <v>42678</v>
      </c>
      <c r="U2535" t="s">
        <v>45382</v>
      </c>
      <c r="V2535" t="s">
        <v>54257</v>
      </c>
      <c r="W2535" t="s">
        <v>38457</v>
      </c>
      <c r="X2535" t="s">
        <v>41254</v>
      </c>
    </row>
    <row r="2536" spans="1:24">
      <c r="A2536">
        <f>HYPERLINK("https://www.philgeps.gov.ph/GEPSNONPILOT/Tender/SplashBidNoticeAbstractUI.aspx?menuIndex=3&amp;refID=7073446&amp;Result=3","7073446")</f>
        <v>0</v>
      </c>
      <c r="B2536" t="s">
        <v>1072</v>
      </c>
      <c r="C2536" t="s">
        <v>5802</v>
      </c>
      <c r="D2536" t="s">
        <v>16619</v>
      </c>
      <c r="E2536" t="s">
        <v>19035</v>
      </c>
      <c r="F2536" t="s">
        <v>28669</v>
      </c>
      <c r="G2536" t="s">
        <v>28676</v>
      </c>
      <c r="H2536" t="s">
        <v>9998</v>
      </c>
      <c r="I2536" t="s">
        <v>7352</v>
      </c>
      <c r="J2536" t="s">
        <v>30563</v>
      </c>
      <c r="K2536" t="s">
        <v>37206</v>
      </c>
      <c r="M2536" t="s">
        <v>38604</v>
      </c>
      <c r="N2536" t="s">
        <v>41249</v>
      </c>
      <c r="O2536" t="s">
        <v>41250</v>
      </c>
      <c r="P2536">
        <v>0</v>
      </c>
      <c r="Q2536">
        <v>0</v>
      </c>
      <c r="R2536" t="s">
        <v>41252</v>
      </c>
      <c r="S2536" t="s">
        <v>41383</v>
      </c>
      <c r="T2536" t="s">
        <v>42701</v>
      </c>
      <c r="U2536" t="s">
        <v>45383</v>
      </c>
      <c r="W2536" t="s">
        <v>38604</v>
      </c>
      <c r="X2536" t="s">
        <v>41254</v>
      </c>
    </row>
    <row r="2537" spans="1:24">
      <c r="A2537">
        <f>HYPERLINK("https://www.philgeps.gov.ph/GEPSNONPILOT/Tender/SplashBidNoticeAbstractUI.aspx?menuIndex=3&amp;refID=7073488&amp;Result=3","7073488")</f>
        <v>0</v>
      </c>
      <c r="B2537" t="s">
        <v>714</v>
      </c>
      <c r="C2537" t="s">
        <v>5803</v>
      </c>
      <c r="D2537" t="s">
        <v>16608</v>
      </c>
      <c r="E2537" t="s">
        <v>19036</v>
      </c>
      <c r="F2537" t="s">
        <v>28669</v>
      </c>
      <c r="G2537" t="s">
        <v>28675</v>
      </c>
      <c r="H2537" t="s">
        <v>9998</v>
      </c>
      <c r="I2537" t="s">
        <v>28687</v>
      </c>
      <c r="J2537" t="s">
        <v>30564</v>
      </c>
      <c r="K2537" t="s">
        <v>37206</v>
      </c>
      <c r="M2537" t="s">
        <v>38221</v>
      </c>
      <c r="N2537" t="s">
        <v>41249</v>
      </c>
      <c r="O2537" t="s">
        <v>41250</v>
      </c>
      <c r="P2537">
        <v>0</v>
      </c>
      <c r="Q2537">
        <v>7</v>
      </c>
      <c r="R2537" t="s">
        <v>41252</v>
      </c>
      <c r="S2537" t="s">
        <v>41383</v>
      </c>
      <c r="T2537" t="s">
        <v>42808</v>
      </c>
      <c r="U2537" t="s">
        <v>45384</v>
      </c>
      <c r="W2537" t="s">
        <v>38221</v>
      </c>
      <c r="X2537" t="s">
        <v>41254</v>
      </c>
    </row>
    <row r="2538" spans="1:24">
      <c r="A2538">
        <f>HYPERLINK("https://www.philgeps.gov.ph/GEPSNONPILOT/Tender/SplashBidNoticeAbstractUI.aspx?menuIndex=3&amp;refID=7073486&amp;Result=3","7073486")</f>
        <v>0</v>
      </c>
      <c r="B2538" t="s">
        <v>1070</v>
      </c>
      <c r="C2538" t="s">
        <v>5804</v>
      </c>
      <c r="D2538" t="s">
        <v>16683</v>
      </c>
      <c r="E2538" t="s">
        <v>19037</v>
      </c>
      <c r="F2538" t="s">
        <v>28669</v>
      </c>
      <c r="G2538" t="s">
        <v>28675</v>
      </c>
      <c r="H2538" t="s">
        <v>9998</v>
      </c>
      <c r="I2538" t="s">
        <v>7352</v>
      </c>
      <c r="J2538" t="s">
        <v>30565</v>
      </c>
      <c r="K2538" t="s">
        <v>37205</v>
      </c>
      <c r="M2538" t="s">
        <v>38602</v>
      </c>
      <c r="N2538" t="s">
        <v>41249</v>
      </c>
      <c r="O2538" t="s">
        <v>41250</v>
      </c>
      <c r="P2538">
        <v>0</v>
      </c>
      <c r="Q2538">
        <v>0</v>
      </c>
      <c r="R2538" t="s">
        <v>41252</v>
      </c>
      <c r="S2538" t="s">
        <v>41383</v>
      </c>
      <c r="T2538" t="s">
        <v>42757</v>
      </c>
      <c r="U2538" t="s">
        <v>45385</v>
      </c>
      <c r="W2538" t="s">
        <v>38602</v>
      </c>
      <c r="X2538" t="s">
        <v>41254</v>
      </c>
    </row>
    <row r="2539" spans="1:24">
      <c r="A2539">
        <f>HYPERLINK("https://www.philgeps.gov.ph/GEPSNONPILOT/Tender/SplashBidNoticeAbstractUI.aspx?menuIndex=3&amp;refID=7073455&amp;Result=3","7073455")</f>
        <v>0</v>
      </c>
      <c r="B2539" t="s">
        <v>126</v>
      </c>
      <c r="C2539" t="s">
        <v>5805</v>
      </c>
      <c r="D2539" t="s">
        <v>16608</v>
      </c>
      <c r="E2539" t="s">
        <v>19038</v>
      </c>
      <c r="F2539" t="s">
        <v>28669</v>
      </c>
      <c r="G2539" t="s">
        <v>28676</v>
      </c>
      <c r="H2539" t="s">
        <v>9998</v>
      </c>
      <c r="I2539" t="s">
        <v>28695</v>
      </c>
      <c r="J2539" t="s">
        <v>30566</v>
      </c>
      <c r="K2539" t="s">
        <v>37209</v>
      </c>
      <c r="M2539" t="s">
        <v>37602</v>
      </c>
      <c r="N2539" t="s">
        <v>41249</v>
      </c>
      <c r="O2539" t="s">
        <v>41250</v>
      </c>
      <c r="P2539">
        <v>0</v>
      </c>
      <c r="Q2539">
        <v>0</v>
      </c>
      <c r="R2539" t="s">
        <v>41252</v>
      </c>
      <c r="S2539" t="s">
        <v>41383</v>
      </c>
      <c r="T2539" t="s">
        <v>42701</v>
      </c>
      <c r="U2539" t="s">
        <v>45386</v>
      </c>
      <c r="W2539" t="s">
        <v>37602</v>
      </c>
      <c r="X2539" t="s">
        <v>41254</v>
      </c>
    </row>
    <row r="2540" spans="1:24">
      <c r="A2540">
        <f>HYPERLINK("https://www.philgeps.gov.ph/GEPSNONPILOT/Tender/SplashBidNoticeAbstractUI.aspx?menuIndex=3&amp;refID=7073466&amp;Result=3","7073466")</f>
        <v>0</v>
      </c>
      <c r="B2540" t="s">
        <v>140</v>
      </c>
      <c r="C2540" t="s">
        <v>5806</v>
      </c>
      <c r="D2540" t="s">
        <v>16652</v>
      </c>
      <c r="E2540" t="s">
        <v>19039</v>
      </c>
      <c r="F2540" t="s">
        <v>28669</v>
      </c>
      <c r="G2540" t="s">
        <v>28676</v>
      </c>
      <c r="H2540" t="s">
        <v>9998</v>
      </c>
      <c r="I2540" t="s">
        <v>3679</v>
      </c>
      <c r="J2540" t="s">
        <v>30567</v>
      </c>
      <c r="K2540" t="s">
        <v>37234</v>
      </c>
      <c r="M2540" t="s">
        <v>37617</v>
      </c>
      <c r="N2540" t="s">
        <v>41249</v>
      </c>
      <c r="O2540" t="s">
        <v>41250</v>
      </c>
      <c r="P2540">
        <v>0</v>
      </c>
      <c r="Q2540">
        <v>0</v>
      </c>
      <c r="R2540" t="s">
        <v>41252</v>
      </c>
      <c r="S2540" t="s">
        <v>41383</v>
      </c>
      <c r="T2540" t="s">
        <v>42802</v>
      </c>
      <c r="U2540" t="s">
        <v>45387</v>
      </c>
      <c r="W2540" t="s">
        <v>37617</v>
      </c>
      <c r="X2540" t="s">
        <v>41254</v>
      </c>
    </row>
    <row r="2541" spans="1:24">
      <c r="A2541">
        <f>HYPERLINK("https://www.philgeps.gov.ph/GEPSNONPILOT/Tender/SplashBidNoticeAbstractUI.aspx?menuIndex=3&amp;refID=7073480&amp;Result=3","7073480")</f>
        <v>0</v>
      </c>
      <c r="B2541" t="s">
        <v>219</v>
      </c>
      <c r="C2541" t="s">
        <v>5807</v>
      </c>
      <c r="D2541" t="s">
        <v>16658</v>
      </c>
      <c r="E2541" t="s">
        <v>19040</v>
      </c>
      <c r="F2541" t="s">
        <v>28669</v>
      </c>
      <c r="G2541" t="s">
        <v>28677</v>
      </c>
      <c r="H2541" t="s">
        <v>9998</v>
      </c>
      <c r="I2541" t="s">
        <v>28704</v>
      </c>
      <c r="J2541" t="s">
        <v>30568</v>
      </c>
      <c r="K2541" t="s">
        <v>37205</v>
      </c>
      <c r="M2541" t="s">
        <v>37697</v>
      </c>
      <c r="N2541" t="s">
        <v>41249</v>
      </c>
      <c r="O2541" t="s">
        <v>41250</v>
      </c>
      <c r="P2541">
        <v>0</v>
      </c>
      <c r="Q2541">
        <v>1</v>
      </c>
      <c r="R2541" t="s">
        <v>41252</v>
      </c>
      <c r="S2541" t="s">
        <v>41383</v>
      </c>
      <c r="T2541" t="s">
        <v>42701</v>
      </c>
      <c r="U2541" t="s">
        <v>45388</v>
      </c>
      <c r="W2541" t="s">
        <v>37697</v>
      </c>
      <c r="X2541" t="s">
        <v>41254</v>
      </c>
    </row>
    <row r="2542" spans="1:24">
      <c r="A2542">
        <f>HYPERLINK("https://www.philgeps.gov.ph/GEPSNONPILOT/Tender/SplashBidNoticeAbstractUI.aspx?menuIndex=3&amp;refID=7073447&amp;Result=3","7073447")</f>
        <v>0</v>
      </c>
      <c r="B2542" t="s">
        <v>1073</v>
      </c>
      <c r="C2542" t="s">
        <v>5808</v>
      </c>
      <c r="D2542" t="s">
        <v>16654</v>
      </c>
      <c r="E2542" t="s">
        <v>18957</v>
      </c>
      <c r="F2542" t="s">
        <v>28669</v>
      </c>
      <c r="G2542" t="s">
        <v>28677</v>
      </c>
      <c r="H2542" t="s">
        <v>9998</v>
      </c>
      <c r="I2542" t="s">
        <v>7352</v>
      </c>
      <c r="J2542" t="s">
        <v>30569</v>
      </c>
      <c r="K2542" t="s">
        <v>37208</v>
      </c>
      <c r="M2542" t="s">
        <v>38605</v>
      </c>
      <c r="N2542" t="s">
        <v>41249</v>
      </c>
      <c r="O2542" t="s">
        <v>41250</v>
      </c>
      <c r="P2542">
        <v>0</v>
      </c>
      <c r="Q2542">
        <v>1</v>
      </c>
      <c r="R2542" t="s">
        <v>41252</v>
      </c>
      <c r="S2542" t="s">
        <v>41383</v>
      </c>
      <c r="T2542" t="s">
        <v>42883</v>
      </c>
      <c r="U2542" t="s">
        <v>45389</v>
      </c>
      <c r="W2542" t="s">
        <v>38605</v>
      </c>
      <c r="X2542" t="s">
        <v>41254</v>
      </c>
    </row>
    <row r="2543" spans="1:24">
      <c r="A2543">
        <f>HYPERLINK("https://www.philgeps.gov.ph/GEPSNONPILOT/Tender/SplashBidNoticeAbstractUI.aspx?menuIndex=3&amp;refID=7073478&amp;Result=3","7073478")</f>
        <v>0</v>
      </c>
      <c r="B2543" t="s">
        <v>1001</v>
      </c>
      <c r="C2543" t="s">
        <v>5809</v>
      </c>
      <c r="D2543" t="s">
        <v>16677</v>
      </c>
      <c r="E2543" t="s">
        <v>19041</v>
      </c>
      <c r="F2543" t="s">
        <v>28669</v>
      </c>
      <c r="G2543" t="s">
        <v>28675</v>
      </c>
      <c r="H2543" t="s">
        <v>28686</v>
      </c>
      <c r="I2543" t="s">
        <v>28689</v>
      </c>
      <c r="J2543" t="s">
        <v>30570</v>
      </c>
      <c r="K2543" t="s">
        <v>37211</v>
      </c>
      <c r="M2543" t="s">
        <v>38529</v>
      </c>
      <c r="N2543" t="s">
        <v>41249</v>
      </c>
      <c r="O2543" t="s">
        <v>41250</v>
      </c>
      <c r="P2543">
        <v>0</v>
      </c>
      <c r="Q2543">
        <v>2</v>
      </c>
      <c r="R2543" t="s">
        <v>41252</v>
      </c>
      <c r="S2543" t="s">
        <v>41383</v>
      </c>
      <c r="T2543" t="s">
        <v>42760</v>
      </c>
      <c r="U2543" t="s">
        <v>45378</v>
      </c>
      <c r="W2543" t="s">
        <v>38529</v>
      </c>
      <c r="X2543" t="s">
        <v>41254</v>
      </c>
    </row>
    <row r="2544" spans="1:24">
      <c r="A2544">
        <f>HYPERLINK("https://www.philgeps.gov.ph/GEPSNONPILOT/Tender/SplashBidNoticeAbstractUI.aspx?menuIndex=3&amp;refID=7073382&amp;Result=3","7073382")</f>
        <v>0</v>
      </c>
      <c r="B2544" t="s">
        <v>988</v>
      </c>
      <c r="C2544" t="s">
        <v>5810</v>
      </c>
      <c r="D2544" t="s">
        <v>16635</v>
      </c>
      <c r="E2544" t="s">
        <v>19042</v>
      </c>
      <c r="F2544" t="s">
        <v>28669</v>
      </c>
      <c r="G2544" t="s">
        <v>28675</v>
      </c>
      <c r="H2544" t="s">
        <v>9998</v>
      </c>
      <c r="I2544" t="s">
        <v>28751</v>
      </c>
      <c r="J2544" t="s">
        <v>29112</v>
      </c>
      <c r="K2544" t="s">
        <v>37213</v>
      </c>
      <c r="M2544" t="s">
        <v>38514</v>
      </c>
      <c r="N2544" t="s">
        <v>41249</v>
      </c>
      <c r="O2544" t="s">
        <v>41250</v>
      </c>
      <c r="P2544">
        <v>0</v>
      </c>
      <c r="Q2544">
        <v>5</v>
      </c>
      <c r="R2544" t="s">
        <v>41252</v>
      </c>
      <c r="S2544" t="s">
        <v>41383</v>
      </c>
      <c r="T2544" t="s">
        <v>42765</v>
      </c>
      <c r="U2544" t="s">
        <v>45390</v>
      </c>
      <c r="W2544" t="s">
        <v>38514</v>
      </c>
      <c r="X2544" t="s">
        <v>41254</v>
      </c>
    </row>
    <row r="2545" spans="1:24">
      <c r="A2545">
        <f>HYPERLINK("https://www.philgeps.gov.ph/GEPSNONPILOT/Tender/SplashBidNoticeAbstractUI.aspx?menuIndex=3&amp;refID=7073487&amp;Result=3","7073487")</f>
        <v>0</v>
      </c>
      <c r="B2545" t="s">
        <v>1074</v>
      </c>
      <c r="C2545" t="s">
        <v>5811</v>
      </c>
      <c r="D2545" t="s">
        <v>16639</v>
      </c>
      <c r="E2545" t="s">
        <v>19043</v>
      </c>
      <c r="F2545" t="s">
        <v>28669</v>
      </c>
      <c r="G2545" t="s">
        <v>28676</v>
      </c>
      <c r="H2545" t="s">
        <v>9998</v>
      </c>
      <c r="I2545" t="s">
        <v>28704</v>
      </c>
      <c r="J2545" t="s">
        <v>30571</v>
      </c>
      <c r="K2545" t="s">
        <v>37243</v>
      </c>
      <c r="M2545" t="s">
        <v>38606</v>
      </c>
      <c r="N2545" t="s">
        <v>41249</v>
      </c>
      <c r="O2545" t="s">
        <v>41250</v>
      </c>
      <c r="P2545">
        <v>0</v>
      </c>
      <c r="Q2545">
        <v>0</v>
      </c>
      <c r="R2545" t="s">
        <v>41252</v>
      </c>
      <c r="S2545" t="s">
        <v>41383</v>
      </c>
      <c r="T2545" t="s">
        <v>42758</v>
      </c>
      <c r="U2545" t="s">
        <v>45391</v>
      </c>
      <c r="W2545" t="s">
        <v>38606</v>
      </c>
      <c r="X2545" t="s">
        <v>41254</v>
      </c>
    </row>
    <row r="2546" spans="1:24">
      <c r="A2546">
        <f>HYPERLINK("https://www.philgeps.gov.ph/GEPSNONPILOT/Tender/SplashBidNoticeAbstractUI.aspx?menuIndex=3&amp;refID=7073475&amp;Result=3","7073475")</f>
        <v>0</v>
      </c>
      <c r="B2546" t="s">
        <v>1075</v>
      </c>
      <c r="C2546" t="s">
        <v>5812</v>
      </c>
      <c r="D2546" t="s">
        <v>16659</v>
      </c>
      <c r="E2546" t="s">
        <v>19044</v>
      </c>
      <c r="F2546" t="s">
        <v>28669</v>
      </c>
      <c r="G2546" t="s">
        <v>28676</v>
      </c>
      <c r="H2546" t="s">
        <v>9998</v>
      </c>
      <c r="I2546" t="s">
        <v>5213</v>
      </c>
      <c r="J2546" t="s">
        <v>30572</v>
      </c>
      <c r="K2546" t="s">
        <v>37243</v>
      </c>
      <c r="M2546" t="s">
        <v>38607</v>
      </c>
      <c r="N2546" t="s">
        <v>41249</v>
      </c>
      <c r="O2546" t="s">
        <v>41250</v>
      </c>
      <c r="P2546">
        <v>0</v>
      </c>
      <c r="Q2546">
        <v>3</v>
      </c>
      <c r="R2546" t="s">
        <v>41252</v>
      </c>
      <c r="S2546" t="s">
        <v>41383</v>
      </c>
      <c r="T2546" t="s">
        <v>42758</v>
      </c>
      <c r="U2546" t="s">
        <v>45392</v>
      </c>
      <c r="V2546" t="s">
        <v>54572</v>
      </c>
      <c r="W2546" t="s">
        <v>38607</v>
      </c>
      <c r="X2546" t="s">
        <v>41254</v>
      </c>
    </row>
    <row r="2547" spans="1:24">
      <c r="A2547">
        <f>HYPERLINK("https://www.philgeps.gov.ph/GEPSNONPILOT/Tender/SplashBidNoticeAbstractUI.aspx?menuIndex=3&amp;refID=7073483&amp;Result=3","7073483")</f>
        <v>0</v>
      </c>
      <c r="B2547" t="s">
        <v>1076</v>
      </c>
      <c r="C2547" t="s">
        <v>5813</v>
      </c>
      <c r="D2547" t="s">
        <v>16611</v>
      </c>
      <c r="E2547" t="s">
        <v>19045</v>
      </c>
      <c r="F2547" t="s">
        <v>28669</v>
      </c>
      <c r="G2547" t="s">
        <v>28676</v>
      </c>
      <c r="H2547" t="s">
        <v>9998</v>
      </c>
      <c r="I2547" t="s">
        <v>28693</v>
      </c>
      <c r="J2547" t="s">
        <v>28826</v>
      </c>
      <c r="K2547" t="s">
        <v>37205</v>
      </c>
      <c r="M2547" t="s">
        <v>38608</v>
      </c>
      <c r="N2547" t="s">
        <v>41249</v>
      </c>
      <c r="O2547" t="s">
        <v>41250</v>
      </c>
      <c r="P2547">
        <v>0</v>
      </c>
      <c r="Q2547">
        <v>9</v>
      </c>
      <c r="R2547" t="s">
        <v>41252</v>
      </c>
      <c r="S2547" t="s">
        <v>41383</v>
      </c>
      <c r="T2547" t="s">
        <v>42729</v>
      </c>
      <c r="U2547" t="s">
        <v>44679</v>
      </c>
      <c r="W2547" t="s">
        <v>38608</v>
      </c>
      <c r="X2547" t="s">
        <v>41254</v>
      </c>
    </row>
    <row r="2548" spans="1:24">
      <c r="A2548">
        <f>HYPERLINK("https://www.philgeps.gov.ph/GEPSNONPILOT/Tender/SplashBidNoticeAbstractUI.aspx?menuIndex=3&amp;refID=7073473&amp;Result=3","7073473")</f>
        <v>0</v>
      </c>
      <c r="B2548" t="s">
        <v>602</v>
      </c>
      <c r="C2548" t="s">
        <v>5814</v>
      </c>
      <c r="D2548" t="s">
        <v>16661</v>
      </c>
      <c r="E2548" t="s">
        <v>19046</v>
      </c>
      <c r="F2548" t="s">
        <v>28669</v>
      </c>
      <c r="G2548" t="s">
        <v>28677</v>
      </c>
      <c r="H2548" t="s">
        <v>9998</v>
      </c>
      <c r="I2548" t="s">
        <v>5213</v>
      </c>
      <c r="J2548" t="s">
        <v>30573</v>
      </c>
      <c r="K2548" t="s">
        <v>37204</v>
      </c>
      <c r="M2548" t="s">
        <v>38102</v>
      </c>
      <c r="N2548" t="s">
        <v>41249</v>
      </c>
      <c r="O2548" t="s">
        <v>41250</v>
      </c>
      <c r="P2548">
        <v>0</v>
      </c>
      <c r="Q2548">
        <v>0</v>
      </c>
      <c r="R2548" t="s">
        <v>41252</v>
      </c>
      <c r="S2548" t="s">
        <v>41383</v>
      </c>
      <c r="T2548" t="s">
        <v>42736</v>
      </c>
      <c r="U2548" t="s">
        <v>45393</v>
      </c>
      <c r="W2548" t="s">
        <v>38102</v>
      </c>
      <c r="X2548" t="s">
        <v>41254</v>
      </c>
    </row>
    <row r="2549" spans="1:24">
      <c r="A2549">
        <f>HYPERLINK("https://www.philgeps.gov.ph/GEPSNONPILOT/Tender/SplashBidNoticeAbstractUI.aspx?menuIndex=3&amp;refID=7073472&amp;Result=3","7073472")</f>
        <v>0</v>
      </c>
      <c r="B2549" t="s">
        <v>1052</v>
      </c>
      <c r="C2549" t="s">
        <v>5815</v>
      </c>
      <c r="D2549" t="s">
        <v>16608</v>
      </c>
      <c r="E2549" t="s">
        <v>19047</v>
      </c>
      <c r="F2549" t="s">
        <v>28669</v>
      </c>
      <c r="G2549" t="s">
        <v>28677</v>
      </c>
      <c r="H2549" t="s">
        <v>9998</v>
      </c>
      <c r="I2549" t="s">
        <v>28739</v>
      </c>
      <c r="J2549" t="s">
        <v>30574</v>
      </c>
      <c r="K2549" t="s">
        <v>37210</v>
      </c>
      <c r="M2549" t="s">
        <v>38583</v>
      </c>
      <c r="N2549" t="s">
        <v>41249</v>
      </c>
      <c r="O2549" t="s">
        <v>41250</v>
      </c>
      <c r="P2549">
        <v>0</v>
      </c>
      <c r="Q2549">
        <v>8</v>
      </c>
      <c r="R2549" t="s">
        <v>41252</v>
      </c>
      <c r="S2549" t="s">
        <v>41383</v>
      </c>
      <c r="T2549" t="s">
        <v>42736</v>
      </c>
      <c r="U2549" t="s">
        <v>45394</v>
      </c>
      <c r="W2549" t="s">
        <v>38583</v>
      </c>
      <c r="X2549" t="s">
        <v>41254</v>
      </c>
    </row>
    <row r="2550" spans="1:24">
      <c r="A2550">
        <f>HYPERLINK("https://www.philgeps.gov.ph/GEPSNONPILOT/Tender/SplashBidNoticeAbstractUI.aspx?menuIndex=3&amp;refID=7073511&amp;Result=3","7073511")</f>
        <v>0</v>
      </c>
      <c r="B2550" t="s">
        <v>148</v>
      </c>
      <c r="C2550" t="s">
        <v>5816</v>
      </c>
      <c r="D2550" t="s">
        <v>16620</v>
      </c>
      <c r="E2550" t="s">
        <v>19048</v>
      </c>
      <c r="F2550" t="s">
        <v>28669</v>
      </c>
      <c r="G2550" t="s">
        <v>28675</v>
      </c>
      <c r="H2550" t="s">
        <v>9998</v>
      </c>
      <c r="I2550" t="s">
        <v>28687</v>
      </c>
      <c r="J2550" t="s">
        <v>30575</v>
      </c>
      <c r="K2550" t="s">
        <v>37214</v>
      </c>
      <c r="L2550" t="s">
        <v>148</v>
      </c>
      <c r="M2550" t="s">
        <v>37625</v>
      </c>
      <c r="N2550" t="s">
        <v>41249</v>
      </c>
      <c r="O2550" t="s">
        <v>41250</v>
      </c>
      <c r="P2550">
        <v>0</v>
      </c>
      <c r="Q2550">
        <v>3</v>
      </c>
      <c r="R2550" t="s">
        <v>41252</v>
      </c>
      <c r="S2550" t="s">
        <v>41383</v>
      </c>
      <c r="T2550" t="s">
        <v>42688</v>
      </c>
      <c r="U2550" t="s">
        <v>45395</v>
      </c>
      <c r="V2550" t="s">
        <v>54573</v>
      </c>
      <c r="W2550" t="s">
        <v>37625</v>
      </c>
      <c r="X2550" t="s">
        <v>41254</v>
      </c>
    </row>
    <row r="2551" spans="1:24">
      <c r="A2551">
        <f>HYPERLINK("https://www.philgeps.gov.ph/GEPSNONPILOT/Tender/SplashBidNoticeAbstractUI.aspx?menuIndex=3&amp;refID=7073510&amp;Result=3","7073510")</f>
        <v>0</v>
      </c>
      <c r="B2551" t="s">
        <v>273</v>
      </c>
      <c r="C2551" t="s">
        <v>5817</v>
      </c>
      <c r="D2551" t="s">
        <v>16618</v>
      </c>
      <c r="E2551" t="s">
        <v>19049</v>
      </c>
      <c r="F2551" t="s">
        <v>28669</v>
      </c>
      <c r="G2551" t="s">
        <v>28676</v>
      </c>
      <c r="H2551" t="s">
        <v>9998</v>
      </c>
      <c r="I2551" t="s">
        <v>28754</v>
      </c>
      <c r="J2551" t="s">
        <v>30576</v>
      </c>
      <c r="K2551" t="s">
        <v>37266</v>
      </c>
      <c r="M2551" t="s">
        <v>37751</v>
      </c>
      <c r="N2551" t="s">
        <v>41249</v>
      </c>
      <c r="O2551" t="s">
        <v>41250</v>
      </c>
      <c r="P2551">
        <v>0</v>
      </c>
      <c r="Q2551">
        <v>3</v>
      </c>
      <c r="R2551" t="s">
        <v>41252</v>
      </c>
      <c r="S2551" t="s">
        <v>41383</v>
      </c>
      <c r="T2551" t="s">
        <v>42729</v>
      </c>
      <c r="U2551" t="s">
        <v>45396</v>
      </c>
      <c r="W2551" t="s">
        <v>37751</v>
      </c>
      <c r="X2551" t="s">
        <v>41254</v>
      </c>
    </row>
    <row r="2552" spans="1:24">
      <c r="A2552">
        <f>HYPERLINK("https://www.philgeps.gov.ph/GEPSNONPILOT/Tender/SplashBidNoticeAbstractUI.aspx?menuIndex=3&amp;refID=7073508&amp;Result=3","7073508")</f>
        <v>0</v>
      </c>
      <c r="B2552" t="s">
        <v>966</v>
      </c>
      <c r="C2552" t="s">
        <v>5818</v>
      </c>
      <c r="D2552" t="s">
        <v>16631</v>
      </c>
      <c r="E2552" t="s">
        <v>19050</v>
      </c>
      <c r="F2552" t="s">
        <v>28669</v>
      </c>
      <c r="G2552" t="s">
        <v>28676</v>
      </c>
      <c r="H2552" t="s">
        <v>9998</v>
      </c>
      <c r="I2552" t="s">
        <v>28699</v>
      </c>
      <c r="J2552" t="s">
        <v>29088</v>
      </c>
      <c r="K2552" t="s">
        <v>37208</v>
      </c>
      <c r="M2552" t="s">
        <v>38491</v>
      </c>
      <c r="N2552" t="s">
        <v>41249</v>
      </c>
      <c r="O2552" t="s">
        <v>41250</v>
      </c>
      <c r="P2552">
        <v>0</v>
      </c>
      <c r="Q2552">
        <v>0</v>
      </c>
      <c r="R2552" t="s">
        <v>41252</v>
      </c>
      <c r="S2552" t="s">
        <v>41383</v>
      </c>
      <c r="T2552" t="s">
        <v>42729</v>
      </c>
      <c r="U2552" t="s">
        <v>45397</v>
      </c>
      <c r="V2552" t="s">
        <v>54534</v>
      </c>
      <c r="W2552" t="s">
        <v>38491</v>
      </c>
      <c r="X2552" t="s">
        <v>41254</v>
      </c>
    </row>
    <row r="2553" spans="1:24">
      <c r="A2553">
        <f>HYPERLINK("https://www.philgeps.gov.ph/GEPSNONPILOT/Tender/SplashBidNoticeAbstractUI.aspx?menuIndex=3&amp;refID=7073358&amp;Result=3","7073358")</f>
        <v>0</v>
      </c>
      <c r="B2553" t="s">
        <v>1024</v>
      </c>
      <c r="C2553" t="s">
        <v>5819</v>
      </c>
      <c r="D2553" t="s">
        <v>16608</v>
      </c>
      <c r="E2553" t="s">
        <v>19051</v>
      </c>
      <c r="F2553" t="s">
        <v>28669</v>
      </c>
      <c r="G2553" t="s">
        <v>28677</v>
      </c>
      <c r="H2553" t="s">
        <v>9998</v>
      </c>
      <c r="I2553" t="s">
        <v>7352</v>
      </c>
      <c r="J2553" t="s">
        <v>30577</v>
      </c>
      <c r="K2553" t="s">
        <v>37206</v>
      </c>
      <c r="M2553" t="s">
        <v>38554</v>
      </c>
      <c r="N2553" t="s">
        <v>41249</v>
      </c>
      <c r="O2553" t="s">
        <v>41250</v>
      </c>
      <c r="P2553">
        <v>0</v>
      </c>
      <c r="Q2553">
        <v>0</v>
      </c>
      <c r="R2553" t="s">
        <v>41252</v>
      </c>
      <c r="S2553" t="s">
        <v>41383</v>
      </c>
      <c r="T2553" t="s">
        <v>42679</v>
      </c>
      <c r="U2553" t="s">
        <v>45398</v>
      </c>
      <c r="W2553" t="s">
        <v>38554</v>
      </c>
      <c r="X2553" t="s">
        <v>41254</v>
      </c>
    </row>
    <row r="2554" spans="1:24">
      <c r="A2554">
        <f>HYPERLINK("https://www.philgeps.gov.ph/GEPSNONPILOT/Tender/SplashBidNoticeAbstractUI.aspx?menuIndex=3&amp;refID=7073476&amp;Result=3","7073476")</f>
        <v>0</v>
      </c>
      <c r="B2554" t="s">
        <v>913</v>
      </c>
      <c r="C2554" t="s">
        <v>5820</v>
      </c>
      <c r="D2554" t="s">
        <v>16627</v>
      </c>
      <c r="E2554" t="s">
        <v>19052</v>
      </c>
      <c r="F2554" t="s">
        <v>28669</v>
      </c>
      <c r="G2554" t="s">
        <v>28678</v>
      </c>
      <c r="H2554" t="s">
        <v>9998</v>
      </c>
      <c r="I2554" t="s">
        <v>3679</v>
      </c>
      <c r="J2554" t="s">
        <v>30257</v>
      </c>
      <c r="K2554" t="s">
        <v>37206</v>
      </c>
      <c r="M2554" t="s">
        <v>38435</v>
      </c>
      <c r="N2554" t="s">
        <v>41249</v>
      </c>
      <c r="O2554" t="s">
        <v>41250</v>
      </c>
      <c r="P2554">
        <v>0</v>
      </c>
      <c r="Q2554">
        <v>0</v>
      </c>
      <c r="R2554" t="s">
        <v>41252</v>
      </c>
      <c r="S2554" t="s">
        <v>41383</v>
      </c>
      <c r="T2554" t="s">
        <v>42743</v>
      </c>
      <c r="U2554" t="s">
        <v>44995</v>
      </c>
      <c r="W2554" t="s">
        <v>38435</v>
      </c>
      <c r="X2554" t="s">
        <v>41254</v>
      </c>
    </row>
    <row r="2555" spans="1:24">
      <c r="A2555">
        <f>HYPERLINK("https://www.philgeps.gov.ph/GEPSNONPILOT/Tender/SplashBidNoticeAbstractUI.aspx?menuIndex=3&amp;refID=7073506&amp;Result=3","7073506")</f>
        <v>0</v>
      </c>
      <c r="B2555" t="s">
        <v>1077</v>
      </c>
      <c r="C2555" t="s">
        <v>5821</v>
      </c>
      <c r="E2555" t="s">
        <v>19053</v>
      </c>
      <c r="F2555" t="s">
        <v>28669</v>
      </c>
      <c r="G2555" t="s">
        <v>28675</v>
      </c>
      <c r="H2555" t="s">
        <v>9998</v>
      </c>
      <c r="I2555" t="s">
        <v>28687</v>
      </c>
      <c r="J2555" t="s">
        <v>28838</v>
      </c>
      <c r="K2555" t="s">
        <v>37205</v>
      </c>
      <c r="M2555" t="s">
        <v>38609</v>
      </c>
      <c r="N2555" t="s">
        <v>41249</v>
      </c>
      <c r="O2555" t="s">
        <v>41250</v>
      </c>
      <c r="P2555">
        <v>0</v>
      </c>
      <c r="Q2555">
        <v>1</v>
      </c>
      <c r="R2555" t="s">
        <v>41252</v>
      </c>
      <c r="S2555" t="s">
        <v>41383</v>
      </c>
      <c r="T2555" t="s">
        <v>42716</v>
      </c>
      <c r="U2555" t="s">
        <v>45399</v>
      </c>
      <c r="W2555" t="s">
        <v>38609</v>
      </c>
      <c r="X2555" t="s">
        <v>41254</v>
      </c>
    </row>
    <row r="2556" spans="1:24">
      <c r="A2556">
        <f>HYPERLINK("https://www.philgeps.gov.ph/GEPSNONPILOT/Tender/SplashBidNoticeAbstractUI.aspx?menuIndex=3&amp;refID=7073504&amp;Result=3","7073504")</f>
        <v>0</v>
      </c>
      <c r="B2556" t="s">
        <v>1078</v>
      </c>
      <c r="C2556" t="s">
        <v>5822</v>
      </c>
      <c r="D2556" t="s">
        <v>16683</v>
      </c>
      <c r="E2556" t="s">
        <v>19054</v>
      </c>
      <c r="F2556" t="s">
        <v>28669</v>
      </c>
      <c r="G2556" t="s">
        <v>28675</v>
      </c>
      <c r="H2556" t="s">
        <v>28686</v>
      </c>
      <c r="I2556" t="s">
        <v>28689</v>
      </c>
      <c r="J2556" t="s">
        <v>30578</v>
      </c>
      <c r="K2556" t="s">
        <v>37227</v>
      </c>
      <c r="M2556" t="s">
        <v>38610</v>
      </c>
      <c r="N2556" t="s">
        <v>41249</v>
      </c>
      <c r="O2556" t="s">
        <v>41250</v>
      </c>
      <c r="P2556">
        <v>0</v>
      </c>
      <c r="Q2556">
        <v>0</v>
      </c>
      <c r="R2556" t="s">
        <v>41252</v>
      </c>
      <c r="S2556" t="s">
        <v>41383</v>
      </c>
      <c r="T2556" t="s">
        <v>42858</v>
      </c>
      <c r="U2556" t="s">
        <v>45400</v>
      </c>
      <c r="W2556" t="s">
        <v>38610</v>
      </c>
      <c r="X2556" t="s">
        <v>41254</v>
      </c>
    </row>
    <row r="2557" spans="1:24">
      <c r="A2557">
        <f>HYPERLINK("https://www.philgeps.gov.ph/GEPSNONPILOT/Tender/SplashBidNoticeAbstractUI.aspx?menuIndex=3&amp;refID=7073502&amp;Result=3","7073502")</f>
        <v>0</v>
      </c>
      <c r="B2557" t="s">
        <v>414</v>
      </c>
      <c r="C2557" t="s">
        <v>5823</v>
      </c>
      <c r="D2557" t="s">
        <v>16608</v>
      </c>
      <c r="E2557" t="s">
        <v>19055</v>
      </c>
      <c r="F2557" t="s">
        <v>28669</v>
      </c>
      <c r="G2557" t="s">
        <v>28676</v>
      </c>
      <c r="H2557" t="s">
        <v>9998</v>
      </c>
      <c r="I2557" t="s">
        <v>11593</v>
      </c>
      <c r="J2557" t="s">
        <v>29827</v>
      </c>
      <c r="K2557" t="s">
        <v>37204</v>
      </c>
      <c r="M2557" t="s">
        <v>37899</v>
      </c>
      <c r="N2557" t="s">
        <v>41249</v>
      </c>
      <c r="O2557" t="s">
        <v>41250</v>
      </c>
      <c r="P2557">
        <v>0</v>
      </c>
      <c r="Q2557">
        <v>0</v>
      </c>
      <c r="R2557" t="s">
        <v>41252</v>
      </c>
      <c r="S2557" t="s">
        <v>41383</v>
      </c>
      <c r="T2557" t="s">
        <v>42686</v>
      </c>
      <c r="U2557" t="s">
        <v>45401</v>
      </c>
      <c r="V2557" t="s">
        <v>54344</v>
      </c>
      <c r="W2557" t="s">
        <v>55915</v>
      </c>
      <c r="X2557" t="s">
        <v>41254</v>
      </c>
    </row>
    <row r="2558" spans="1:24">
      <c r="A2558">
        <f>HYPERLINK("https://www.philgeps.gov.ph/GEPSNONPILOT/Tender/SplashBidNoticeAbstractUI.aspx?menuIndex=3&amp;refID=7073507&amp;Result=3","7073507")</f>
        <v>0</v>
      </c>
      <c r="B2558" t="s">
        <v>1079</v>
      </c>
      <c r="C2558" t="s">
        <v>5824</v>
      </c>
      <c r="D2558" t="s">
        <v>16639</v>
      </c>
      <c r="E2558" t="s">
        <v>19056</v>
      </c>
      <c r="F2558" t="s">
        <v>28669</v>
      </c>
      <c r="G2558" t="s">
        <v>28676</v>
      </c>
      <c r="H2558" t="s">
        <v>9998</v>
      </c>
      <c r="I2558" t="s">
        <v>11593</v>
      </c>
      <c r="J2558" t="s">
        <v>30579</v>
      </c>
      <c r="K2558" t="s">
        <v>37208</v>
      </c>
      <c r="M2558" t="s">
        <v>38611</v>
      </c>
      <c r="N2558" t="s">
        <v>41249</v>
      </c>
      <c r="O2558" t="s">
        <v>41250</v>
      </c>
      <c r="P2558">
        <v>0</v>
      </c>
      <c r="Q2558">
        <v>1</v>
      </c>
      <c r="R2558" t="s">
        <v>41252</v>
      </c>
      <c r="S2558" t="s">
        <v>41383</v>
      </c>
      <c r="T2558" t="s">
        <v>42729</v>
      </c>
      <c r="U2558" t="s">
        <v>45402</v>
      </c>
      <c r="W2558" t="s">
        <v>38611</v>
      </c>
      <c r="X2558" t="s">
        <v>41254</v>
      </c>
    </row>
    <row r="2559" spans="1:24">
      <c r="A2559">
        <f>HYPERLINK("https://www.philgeps.gov.ph/GEPSNONPILOT/Tender/SplashBidNoticeAbstractUI.aspx?menuIndex=3&amp;refID=7073505&amp;Result=3","7073505")</f>
        <v>0</v>
      </c>
      <c r="B2559" t="s">
        <v>246</v>
      </c>
      <c r="C2559" t="s">
        <v>5825</v>
      </c>
      <c r="D2559" t="s">
        <v>16677</v>
      </c>
      <c r="E2559" t="s">
        <v>19057</v>
      </c>
      <c r="F2559" t="s">
        <v>28669</v>
      </c>
      <c r="G2559" t="s">
        <v>28676</v>
      </c>
      <c r="H2559" t="s">
        <v>9998</v>
      </c>
      <c r="I2559" t="s">
        <v>28729</v>
      </c>
      <c r="J2559" t="s">
        <v>28838</v>
      </c>
      <c r="K2559" t="s">
        <v>37206</v>
      </c>
      <c r="M2559" t="s">
        <v>37724</v>
      </c>
      <c r="N2559" t="s">
        <v>41249</v>
      </c>
      <c r="O2559" t="s">
        <v>41250</v>
      </c>
      <c r="P2559">
        <v>0</v>
      </c>
      <c r="Q2559">
        <v>7</v>
      </c>
      <c r="R2559" t="s">
        <v>41252</v>
      </c>
      <c r="S2559" t="s">
        <v>41383</v>
      </c>
      <c r="T2559" t="s">
        <v>42748</v>
      </c>
      <c r="U2559" t="s">
        <v>45403</v>
      </c>
      <c r="W2559" t="s">
        <v>37724</v>
      </c>
      <c r="X2559" t="s">
        <v>41254</v>
      </c>
    </row>
    <row r="2560" spans="1:24">
      <c r="A2560">
        <f>HYPERLINK("https://www.philgeps.gov.ph/GEPSNONPILOT/Tender/SplashBidNoticeAbstractUI.aspx?menuIndex=3&amp;refID=7073500&amp;Result=3","7073500")</f>
        <v>0</v>
      </c>
      <c r="B2560" t="s">
        <v>1080</v>
      </c>
      <c r="C2560" t="s">
        <v>5826</v>
      </c>
      <c r="D2560" t="s">
        <v>16674</v>
      </c>
      <c r="E2560" t="s">
        <v>19058</v>
      </c>
      <c r="F2560" t="s">
        <v>28669</v>
      </c>
      <c r="G2560" t="s">
        <v>28678</v>
      </c>
      <c r="H2560" t="s">
        <v>9998</v>
      </c>
      <c r="I2560" t="s">
        <v>28728</v>
      </c>
      <c r="J2560" t="s">
        <v>30580</v>
      </c>
      <c r="K2560" t="s">
        <v>37220</v>
      </c>
      <c r="M2560" t="s">
        <v>38612</v>
      </c>
      <c r="N2560" t="s">
        <v>41249</v>
      </c>
      <c r="O2560" t="s">
        <v>41250</v>
      </c>
      <c r="P2560">
        <v>0</v>
      </c>
      <c r="Q2560">
        <v>0</v>
      </c>
      <c r="R2560" t="s">
        <v>41252</v>
      </c>
      <c r="S2560" t="s">
        <v>41383</v>
      </c>
      <c r="T2560" t="s">
        <v>42701</v>
      </c>
      <c r="U2560" t="s">
        <v>45404</v>
      </c>
      <c r="W2560" t="s">
        <v>38612</v>
      </c>
      <c r="X2560" t="s">
        <v>41254</v>
      </c>
    </row>
    <row r="2561" spans="1:24">
      <c r="A2561">
        <f>HYPERLINK("https://www.philgeps.gov.ph/GEPSNONPILOT/Tender/SplashBidNoticeAbstractUI.aspx?menuIndex=3&amp;refID=7073474&amp;Result=3","7073474")</f>
        <v>0</v>
      </c>
      <c r="B2561" t="s">
        <v>392</v>
      </c>
      <c r="C2561" t="s">
        <v>5827</v>
      </c>
      <c r="D2561" t="s">
        <v>16668</v>
      </c>
      <c r="E2561" t="s">
        <v>19059</v>
      </c>
      <c r="F2561" t="s">
        <v>28669</v>
      </c>
      <c r="G2561" t="s">
        <v>28676</v>
      </c>
      <c r="H2561" t="s">
        <v>9998</v>
      </c>
      <c r="I2561" t="s">
        <v>6128</v>
      </c>
      <c r="J2561" t="s">
        <v>30581</v>
      </c>
      <c r="K2561" t="s">
        <v>37204</v>
      </c>
      <c r="M2561" t="s">
        <v>37876</v>
      </c>
      <c r="N2561" t="s">
        <v>41249</v>
      </c>
      <c r="O2561" t="s">
        <v>41250</v>
      </c>
      <c r="P2561">
        <v>0</v>
      </c>
      <c r="Q2561">
        <v>2</v>
      </c>
      <c r="R2561" t="s">
        <v>41252</v>
      </c>
      <c r="S2561" t="s">
        <v>41383</v>
      </c>
      <c r="T2561" t="s">
        <v>42665</v>
      </c>
      <c r="U2561" t="s">
        <v>45405</v>
      </c>
      <c r="W2561" t="s">
        <v>37876</v>
      </c>
      <c r="X2561" t="s">
        <v>41254</v>
      </c>
    </row>
    <row r="2562" spans="1:24">
      <c r="A2562">
        <f>HYPERLINK("https://www.philgeps.gov.ph/GEPSNONPILOT/Tender/SplashBidNoticeAbstractUI.aspx?menuIndex=3&amp;refID=7073498&amp;Result=3","7073498")</f>
        <v>0</v>
      </c>
      <c r="B2562" t="s">
        <v>1081</v>
      </c>
      <c r="C2562" t="s">
        <v>5828</v>
      </c>
      <c r="D2562" t="s">
        <v>16615</v>
      </c>
      <c r="E2562" t="s">
        <v>17486</v>
      </c>
      <c r="F2562" t="s">
        <v>28669</v>
      </c>
      <c r="G2562" t="s">
        <v>28675</v>
      </c>
      <c r="H2562" t="s">
        <v>28686</v>
      </c>
      <c r="I2562" t="s">
        <v>28689</v>
      </c>
      <c r="J2562" t="s">
        <v>28924</v>
      </c>
      <c r="K2562" t="s">
        <v>37215</v>
      </c>
      <c r="M2562" t="s">
        <v>38613</v>
      </c>
      <c r="N2562" t="s">
        <v>41249</v>
      </c>
      <c r="O2562" t="s">
        <v>41250</v>
      </c>
      <c r="P2562">
        <v>0</v>
      </c>
      <c r="Q2562">
        <v>31</v>
      </c>
      <c r="R2562" t="s">
        <v>41252</v>
      </c>
      <c r="S2562" t="s">
        <v>41383</v>
      </c>
      <c r="T2562" t="s">
        <v>42742</v>
      </c>
      <c r="U2562" t="s">
        <v>45406</v>
      </c>
      <c r="W2562" t="s">
        <v>38613</v>
      </c>
      <c r="X2562" t="s">
        <v>41254</v>
      </c>
    </row>
    <row r="2563" spans="1:24">
      <c r="A2563">
        <f>HYPERLINK("https://www.philgeps.gov.ph/GEPSNONPILOT/Tender/SplashBidNoticeAbstractUI.aspx?menuIndex=3&amp;refID=7073503&amp;Result=3","7073503")</f>
        <v>0</v>
      </c>
      <c r="B2563" t="s">
        <v>1082</v>
      </c>
      <c r="C2563" t="s">
        <v>5829</v>
      </c>
      <c r="D2563" t="s">
        <v>16652</v>
      </c>
      <c r="E2563" t="s">
        <v>19060</v>
      </c>
      <c r="F2563" t="s">
        <v>28669</v>
      </c>
      <c r="G2563" t="s">
        <v>28676</v>
      </c>
      <c r="H2563" t="s">
        <v>9998</v>
      </c>
      <c r="I2563" t="s">
        <v>6128</v>
      </c>
      <c r="J2563" t="s">
        <v>30582</v>
      </c>
      <c r="K2563" t="s">
        <v>37210</v>
      </c>
      <c r="M2563" t="s">
        <v>38614</v>
      </c>
      <c r="N2563" t="s">
        <v>41249</v>
      </c>
      <c r="O2563" t="s">
        <v>41250</v>
      </c>
      <c r="P2563">
        <v>0</v>
      </c>
      <c r="Q2563">
        <v>1</v>
      </c>
      <c r="R2563" t="s">
        <v>41252</v>
      </c>
      <c r="S2563" t="s">
        <v>41383</v>
      </c>
      <c r="T2563" t="s">
        <v>42748</v>
      </c>
      <c r="U2563" t="s">
        <v>45407</v>
      </c>
      <c r="W2563" t="s">
        <v>38614</v>
      </c>
      <c r="X2563" t="s">
        <v>41254</v>
      </c>
    </row>
    <row r="2564" spans="1:24">
      <c r="A2564">
        <f>HYPERLINK("https://www.philgeps.gov.ph/GEPSNONPILOT/Tender/SplashBidNoticeAbstractUI.aspx?menuIndex=3&amp;refID=7073497&amp;Result=3","7073497")</f>
        <v>0</v>
      </c>
      <c r="B2564" t="s">
        <v>221</v>
      </c>
      <c r="C2564" t="s">
        <v>5830</v>
      </c>
      <c r="E2564" t="s">
        <v>19061</v>
      </c>
      <c r="F2564" t="s">
        <v>28669</v>
      </c>
      <c r="G2564" t="s">
        <v>28679</v>
      </c>
      <c r="H2564" t="s">
        <v>9998</v>
      </c>
      <c r="I2564" t="s">
        <v>28706</v>
      </c>
      <c r="J2564" t="s">
        <v>30049</v>
      </c>
      <c r="K2564" t="s">
        <v>37209</v>
      </c>
      <c r="M2564" t="s">
        <v>37699</v>
      </c>
      <c r="N2564" t="s">
        <v>41249</v>
      </c>
      <c r="O2564" t="s">
        <v>41250</v>
      </c>
      <c r="P2564">
        <v>0</v>
      </c>
      <c r="Q2564">
        <v>1</v>
      </c>
      <c r="R2564" t="s">
        <v>41252</v>
      </c>
      <c r="S2564" t="s">
        <v>41383</v>
      </c>
      <c r="T2564" t="s">
        <v>42759</v>
      </c>
      <c r="U2564" t="s">
        <v>45408</v>
      </c>
      <c r="W2564" t="s">
        <v>37699</v>
      </c>
      <c r="X2564" t="s">
        <v>41254</v>
      </c>
    </row>
    <row r="2565" spans="1:24">
      <c r="A2565">
        <f>HYPERLINK("https://www.philgeps.gov.ph/GEPSNONPILOT/Tender/SplashBidNoticeAbstractUI.aspx?menuIndex=3&amp;refID=7073495&amp;Result=3","7073495")</f>
        <v>0</v>
      </c>
      <c r="B2565" t="s">
        <v>1042</v>
      </c>
      <c r="C2565" t="s">
        <v>5831</v>
      </c>
      <c r="D2565" t="s">
        <v>16625</v>
      </c>
      <c r="E2565" t="s">
        <v>19062</v>
      </c>
      <c r="F2565" t="s">
        <v>28669</v>
      </c>
      <c r="G2565" t="s">
        <v>28676</v>
      </c>
      <c r="H2565" t="s">
        <v>9998</v>
      </c>
      <c r="I2565" t="s">
        <v>6128</v>
      </c>
      <c r="J2565" t="s">
        <v>29785</v>
      </c>
      <c r="K2565" t="s">
        <v>37209</v>
      </c>
      <c r="M2565" t="s">
        <v>38573</v>
      </c>
      <c r="N2565" t="s">
        <v>41249</v>
      </c>
      <c r="O2565" t="s">
        <v>41250</v>
      </c>
      <c r="P2565">
        <v>0</v>
      </c>
      <c r="Q2565">
        <v>3</v>
      </c>
      <c r="R2565" t="s">
        <v>41252</v>
      </c>
      <c r="S2565" t="s">
        <v>41383</v>
      </c>
      <c r="T2565" t="s">
        <v>42682</v>
      </c>
      <c r="U2565" t="s">
        <v>45409</v>
      </c>
      <c r="W2565" t="s">
        <v>38573</v>
      </c>
      <c r="X2565" t="s">
        <v>41254</v>
      </c>
    </row>
    <row r="2566" spans="1:24">
      <c r="A2566">
        <f>HYPERLINK("https://www.philgeps.gov.ph/GEPSNONPILOT/Tender/SplashBidNoticeAbstractUI.aspx?menuIndex=3&amp;refID=7073477&amp;Result=3","7073477")</f>
        <v>0</v>
      </c>
      <c r="B2566" t="s">
        <v>704</v>
      </c>
      <c r="C2566" t="s">
        <v>5832</v>
      </c>
      <c r="D2566" t="s">
        <v>16668</v>
      </c>
      <c r="E2566" t="s">
        <v>19063</v>
      </c>
      <c r="F2566" t="s">
        <v>28669</v>
      </c>
      <c r="G2566" t="s">
        <v>28676</v>
      </c>
      <c r="H2566" t="s">
        <v>28684</v>
      </c>
      <c r="I2566" t="s">
        <v>28728</v>
      </c>
      <c r="J2566" t="s">
        <v>29068</v>
      </c>
      <c r="K2566" t="s">
        <v>37301</v>
      </c>
      <c r="M2566" t="s">
        <v>38211</v>
      </c>
      <c r="N2566" t="s">
        <v>41249</v>
      </c>
      <c r="O2566" t="s">
        <v>41250</v>
      </c>
      <c r="P2566">
        <v>0</v>
      </c>
      <c r="Q2566">
        <v>0</v>
      </c>
      <c r="R2566" t="s">
        <v>41252</v>
      </c>
      <c r="S2566" t="s">
        <v>41383</v>
      </c>
      <c r="T2566" t="s">
        <v>42729</v>
      </c>
      <c r="U2566" t="s">
        <v>45410</v>
      </c>
      <c r="W2566" t="s">
        <v>38211</v>
      </c>
      <c r="X2566" t="s">
        <v>41254</v>
      </c>
    </row>
    <row r="2567" spans="1:24">
      <c r="A2567">
        <f>HYPERLINK("https://www.philgeps.gov.ph/GEPSNONPILOT/Tender/SplashBidNoticeAbstractUI.aspx?menuIndex=3&amp;refID=7073491&amp;Result=3","7073491")</f>
        <v>0</v>
      </c>
      <c r="B2567" t="s">
        <v>140</v>
      </c>
      <c r="C2567" t="s">
        <v>5833</v>
      </c>
      <c r="D2567" t="s">
        <v>16652</v>
      </c>
      <c r="E2567" t="s">
        <v>19064</v>
      </c>
      <c r="F2567" t="s">
        <v>28669</v>
      </c>
      <c r="G2567" t="s">
        <v>28676</v>
      </c>
      <c r="H2567" t="s">
        <v>9998</v>
      </c>
      <c r="I2567" t="s">
        <v>5213</v>
      </c>
      <c r="J2567" t="s">
        <v>30583</v>
      </c>
      <c r="K2567" t="s">
        <v>37234</v>
      </c>
      <c r="M2567" t="s">
        <v>37617</v>
      </c>
      <c r="N2567" t="s">
        <v>41249</v>
      </c>
      <c r="O2567" t="s">
        <v>41250</v>
      </c>
      <c r="P2567">
        <v>0</v>
      </c>
      <c r="Q2567">
        <v>0</v>
      </c>
      <c r="R2567" t="s">
        <v>41252</v>
      </c>
      <c r="S2567" t="s">
        <v>41383</v>
      </c>
      <c r="T2567" t="s">
        <v>42802</v>
      </c>
      <c r="U2567" t="s">
        <v>45411</v>
      </c>
      <c r="W2567" t="s">
        <v>37617</v>
      </c>
      <c r="X2567" t="s">
        <v>41254</v>
      </c>
    </row>
    <row r="2568" spans="1:24">
      <c r="A2568">
        <f>HYPERLINK("https://www.philgeps.gov.ph/GEPSNONPILOT/Tender/SplashBidNoticeAbstractUI.aspx?menuIndex=3&amp;refID=7073489&amp;Result=3","7073489")</f>
        <v>0</v>
      </c>
      <c r="B2568" t="s">
        <v>1083</v>
      </c>
      <c r="C2568" t="s">
        <v>5834</v>
      </c>
      <c r="D2568" t="s">
        <v>16622</v>
      </c>
      <c r="E2568" t="s">
        <v>19065</v>
      </c>
      <c r="F2568" t="s">
        <v>28669</v>
      </c>
      <c r="G2568" t="s">
        <v>28676</v>
      </c>
      <c r="H2568" t="s">
        <v>9998</v>
      </c>
      <c r="I2568" t="s">
        <v>28745</v>
      </c>
      <c r="J2568" t="s">
        <v>30584</v>
      </c>
      <c r="K2568" t="s">
        <v>37243</v>
      </c>
      <c r="M2568" t="s">
        <v>38615</v>
      </c>
      <c r="N2568" t="s">
        <v>41249</v>
      </c>
      <c r="O2568" t="s">
        <v>41250</v>
      </c>
      <c r="P2568">
        <v>0</v>
      </c>
      <c r="Q2568">
        <v>1</v>
      </c>
      <c r="R2568" t="s">
        <v>41252</v>
      </c>
      <c r="S2568" t="s">
        <v>41383</v>
      </c>
      <c r="T2568" t="s">
        <v>42743</v>
      </c>
      <c r="U2568" t="s">
        <v>45412</v>
      </c>
      <c r="W2568" t="s">
        <v>38615</v>
      </c>
      <c r="X2568" t="s">
        <v>41254</v>
      </c>
    </row>
    <row r="2569" spans="1:24">
      <c r="A2569">
        <f>HYPERLINK("https://www.philgeps.gov.ph/GEPSNONPILOT/Tender/SplashBidNoticeAbstractUI.aspx?menuIndex=3&amp;refID=7073471&amp;Result=3","7073471")</f>
        <v>0</v>
      </c>
      <c r="B2569" t="s">
        <v>1084</v>
      </c>
      <c r="C2569" t="s">
        <v>5835</v>
      </c>
      <c r="D2569" t="s">
        <v>16667</v>
      </c>
      <c r="E2569" t="s">
        <v>19066</v>
      </c>
      <c r="F2569" t="s">
        <v>28669</v>
      </c>
      <c r="G2569" t="s">
        <v>28675</v>
      </c>
      <c r="H2569" t="s">
        <v>9998</v>
      </c>
      <c r="I2569" t="s">
        <v>28697</v>
      </c>
      <c r="J2569" t="s">
        <v>30585</v>
      </c>
      <c r="K2569" t="s">
        <v>37220</v>
      </c>
      <c r="M2569" t="s">
        <v>38616</v>
      </c>
      <c r="N2569" t="s">
        <v>41249</v>
      </c>
      <c r="O2569" t="s">
        <v>41250</v>
      </c>
      <c r="P2569">
        <v>0</v>
      </c>
      <c r="Q2569">
        <v>0</v>
      </c>
      <c r="R2569" t="s">
        <v>41252</v>
      </c>
      <c r="S2569" t="s">
        <v>41383</v>
      </c>
      <c r="T2569" t="s">
        <v>42808</v>
      </c>
      <c r="U2569" t="s">
        <v>45413</v>
      </c>
      <c r="W2569" t="s">
        <v>38616</v>
      </c>
      <c r="X2569" t="s">
        <v>41254</v>
      </c>
    </row>
    <row r="2570" spans="1:24">
      <c r="A2570">
        <f>HYPERLINK("https://www.philgeps.gov.ph/GEPSNONPILOT/Tender/SplashBidNoticeAbstractUI.aspx?menuIndex=3&amp;refID=7073469&amp;Result=3","7073469")</f>
        <v>0</v>
      </c>
      <c r="B2570" t="s">
        <v>1085</v>
      </c>
      <c r="C2570" t="s">
        <v>5836</v>
      </c>
      <c r="D2570" t="s">
        <v>16611</v>
      </c>
      <c r="E2570" t="s">
        <v>19067</v>
      </c>
      <c r="F2570" t="s">
        <v>28669</v>
      </c>
      <c r="G2570" t="s">
        <v>28675</v>
      </c>
      <c r="H2570" t="s">
        <v>9998</v>
      </c>
      <c r="I2570" t="s">
        <v>28687</v>
      </c>
      <c r="J2570" t="s">
        <v>30575</v>
      </c>
      <c r="K2570" t="s">
        <v>37205</v>
      </c>
      <c r="M2570" t="s">
        <v>38617</v>
      </c>
      <c r="N2570" t="s">
        <v>41249</v>
      </c>
      <c r="O2570" t="s">
        <v>41250</v>
      </c>
      <c r="P2570">
        <v>0</v>
      </c>
      <c r="Q2570">
        <v>3</v>
      </c>
      <c r="R2570" t="s">
        <v>41252</v>
      </c>
      <c r="S2570" t="s">
        <v>41383</v>
      </c>
      <c r="T2570" t="s">
        <v>42894</v>
      </c>
      <c r="U2570" t="s">
        <v>45414</v>
      </c>
      <c r="W2570" t="s">
        <v>38617</v>
      </c>
      <c r="X2570" t="s">
        <v>41254</v>
      </c>
    </row>
    <row r="2571" spans="1:24">
      <c r="A2571">
        <f>HYPERLINK("https://www.philgeps.gov.ph/GEPSNONPILOT/Tender/SplashBidNoticeAbstractUI.aspx?menuIndex=3&amp;refID=7073496&amp;Result=3","7073496")</f>
        <v>0</v>
      </c>
      <c r="B2571" t="s">
        <v>602</v>
      </c>
      <c r="C2571" t="s">
        <v>5837</v>
      </c>
      <c r="D2571" t="s">
        <v>16661</v>
      </c>
      <c r="E2571" t="s">
        <v>19068</v>
      </c>
      <c r="F2571" t="s">
        <v>28669</v>
      </c>
      <c r="G2571" t="s">
        <v>28677</v>
      </c>
      <c r="H2571" t="s">
        <v>9998</v>
      </c>
      <c r="I2571" t="s">
        <v>28690</v>
      </c>
      <c r="J2571" t="s">
        <v>30586</v>
      </c>
      <c r="K2571" t="s">
        <v>37204</v>
      </c>
      <c r="M2571" t="s">
        <v>38102</v>
      </c>
      <c r="N2571" t="s">
        <v>41249</v>
      </c>
      <c r="O2571" t="s">
        <v>41250</v>
      </c>
      <c r="P2571">
        <v>0</v>
      </c>
      <c r="Q2571">
        <v>4</v>
      </c>
      <c r="R2571" t="s">
        <v>41252</v>
      </c>
      <c r="S2571" t="s">
        <v>41383</v>
      </c>
      <c r="T2571" t="s">
        <v>42736</v>
      </c>
      <c r="U2571" t="s">
        <v>45415</v>
      </c>
      <c r="W2571" t="s">
        <v>38102</v>
      </c>
      <c r="X2571" t="s">
        <v>41254</v>
      </c>
    </row>
    <row r="2572" spans="1:24">
      <c r="A2572">
        <f>HYPERLINK("https://www.philgeps.gov.ph/GEPSNONPILOT/Tender/SplashBidNoticeAbstractUI.aspx?menuIndex=3&amp;refID=7073492&amp;Result=3","7073492")</f>
        <v>0</v>
      </c>
      <c r="B2572" t="s">
        <v>1024</v>
      </c>
      <c r="C2572" t="s">
        <v>5838</v>
      </c>
      <c r="D2572" t="s">
        <v>16608</v>
      </c>
      <c r="E2572" t="s">
        <v>19069</v>
      </c>
      <c r="F2572" t="s">
        <v>28669</v>
      </c>
      <c r="G2572" t="s">
        <v>28677</v>
      </c>
      <c r="H2572" t="s">
        <v>9998</v>
      </c>
      <c r="I2572" t="s">
        <v>28688</v>
      </c>
      <c r="J2572" t="s">
        <v>30587</v>
      </c>
      <c r="K2572" t="s">
        <v>37206</v>
      </c>
      <c r="M2572" t="s">
        <v>38554</v>
      </c>
      <c r="N2572" t="s">
        <v>41249</v>
      </c>
      <c r="O2572" t="s">
        <v>41250</v>
      </c>
      <c r="P2572">
        <v>0</v>
      </c>
      <c r="Q2572">
        <v>3</v>
      </c>
      <c r="R2572" t="s">
        <v>41252</v>
      </c>
      <c r="S2572" t="s">
        <v>41383</v>
      </c>
      <c r="T2572" t="s">
        <v>42679</v>
      </c>
      <c r="U2572" t="s">
        <v>45416</v>
      </c>
      <c r="W2572" t="s">
        <v>38554</v>
      </c>
      <c r="X2572" t="s">
        <v>41254</v>
      </c>
    </row>
    <row r="2573" spans="1:24">
      <c r="A2573">
        <f>HYPERLINK("https://www.philgeps.gov.ph/GEPSNONPILOT/Tender/SplashBidNoticeAbstractUI.aspx?menuIndex=3&amp;refID=7073532&amp;Result=3","7073532")</f>
        <v>0</v>
      </c>
      <c r="B2573" t="s">
        <v>602</v>
      </c>
      <c r="C2573" t="s">
        <v>5839</v>
      </c>
      <c r="D2573" t="s">
        <v>16661</v>
      </c>
      <c r="E2573" t="s">
        <v>18950</v>
      </c>
      <c r="F2573" t="s">
        <v>28669</v>
      </c>
      <c r="G2573" t="s">
        <v>28675</v>
      </c>
      <c r="H2573" t="s">
        <v>9998</v>
      </c>
      <c r="I2573" t="s">
        <v>11593</v>
      </c>
      <c r="J2573" t="s">
        <v>30588</v>
      </c>
      <c r="K2573" t="s">
        <v>37205</v>
      </c>
      <c r="M2573" t="s">
        <v>38102</v>
      </c>
      <c r="N2573" t="s">
        <v>41249</v>
      </c>
      <c r="O2573" t="s">
        <v>41250</v>
      </c>
      <c r="P2573">
        <v>0</v>
      </c>
      <c r="Q2573">
        <v>11</v>
      </c>
      <c r="R2573" t="s">
        <v>41252</v>
      </c>
      <c r="S2573" t="s">
        <v>41383</v>
      </c>
      <c r="T2573" t="s">
        <v>42818</v>
      </c>
      <c r="U2573" t="s">
        <v>45417</v>
      </c>
      <c r="V2573" t="s">
        <v>54574</v>
      </c>
      <c r="W2573" t="s">
        <v>38102</v>
      </c>
      <c r="X2573" t="s">
        <v>41254</v>
      </c>
    </row>
    <row r="2574" spans="1:24">
      <c r="A2574">
        <f>HYPERLINK("https://www.philgeps.gov.ph/GEPSNONPILOT/Tender/SplashBidNoticeAbstractUI.aspx?menuIndex=3&amp;refID=7073531&amp;Result=3","7073531")</f>
        <v>0</v>
      </c>
      <c r="B2574" t="s">
        <v>1086</v>
      </c>
      <c r="C2574" t="s">
        <v>5840</v>
      </c>
      <c r="D2574" t="s">
        <v>16678</v>
      </c>
      <c r="E2574" t="s">
        <v>19070</v>
      </c>
      <c r="F2574" t="s">
        <v>28669</v>
      </c>
      <c r="G2574" t="s">
        <v>28675</v>
      </c>
      <c r="H2574" t="s">
        <v>28686</v>
      </c>
      <c r="I2574" t="s">
        <v>28689</v>
      </c>
      <c r="J2574" t="s">
        <v>28847</v>
      </c>
      <c r="K2574" t="s">
        <v>37320</v>
      </c>
      <c r="M2574" t="s">
        <v>38618</v>
      </c>
      <c r="N2574" t="s">
        <v>41249</v>
      </c>
      <c r="O2574" t="s">
        <v>41250</v>
      </c>
      <c r="P2574">
        <v>0</v>
      </c>
      <c r="Q2574">
        <v>0</v>
      </c>
      <c r="R2574" t="s">
        <v>41252</v>
      </c>
      <c r="S2574" t="s">
        <v>41383</v>
      </c>
      <c r="T2574" t="s">
        <v>42693</v>
      </c>
      <c r="U2574" t="s">
        <v>45418</v>
      </c>
      <c r="W2574" t="s">
        <v>38618</v>
      </c>
      <c r="X2574" t="s">
        <v>41254</v>
      </c>
    </row>
    <row r="2575" spans="1:24">
      <c r="A2575">
        <f>HYPERLINK("https://www.philgeps.gov.ph/GEPSNONPILOT/Tender/SplashBidNoticeAbstractUI.aspx?menuIndex=3&amp;refID=7073501&amp;Result=3","7073501")</f>
        <v>0</v>
      </c>
      <c r="B2575" t="s">
        <v>1060</v>
      </c>
      <c r="C2575" t="s">
        <v>5841</v>
      </c>
      <c r="D2575" t="s">
        <v>16643</v>
      </c>
      <c r="E2575" t="s">
        <v>19071</v>
      </c>
      <c r="F2575" t="s">
        <v>28669</v>
      </c>
      <c r="G2575" t="s">
        <v>28676</v>
      </c>
      <c r="H2575" t="s">
        <v>9998</v>
      </c>
      <c r="I2575" t="s">
        <v>28692</v>
      </c>
      <c r="J2575" t="s">
        <v>29552</v>
      </c>
      <c r="K2575" t="s">
        <v>37209</v>
      </c>
      <c r="M2575" t="s">
        <v>38591</v>
      </c>
      <c r="N2575" t="s">
        <v>41249</v>
      </c>
      <c r="O2575" t="s">
        <v>41250</v>
      </c>
      <c r="P2575">
        <v>0</v>
      </c>
      <c r="Q2575">
        <v>2</v>
      </c>
      <c r="R2575" t="s">
        <v>41252</v>
      </c>
      <c r="S2575" t="s">
        <v>41383</v>
      </c>
      <c r="T2575" t="s">
        <v>42876</v>
      </c>
      <c r="U2575" t="s">
        <v>45344</v>
      </c>
      <c r="W2575" t="s">
        <v>38591</v>
      </c>
      <c r="X2575" t="s">
        <v>41254</v>
      </c>
    </row>
    <row r="2576" spans="1:24">
      <c r="A2576">
        <f>HYPERLINK("https://www.philgeps.gov.ph/GEPSNONPILOT/Tender/SplashBidNoticeAbstractUI.aspx?menuIndex=3&amp;refID=7073484&amp;Result=3","7073484")</f>
        <v>0</v>
      </c>
      <c r="B2576" t="s">
        <v>1087</v>
      </c>
      <c r="C2576" t="s">
        <v>5842</v>
      </c>
      <c r="D2576" t="s">
        <v>16662</v>
      </c>
      <c r="E2576" t="s">
        <v>17407</v>
      </c>
      <c r="F2576" t="s">
        <v>28669</v>
      </c>
      <c r="G2576" t="s">
        <v>28676</v>
      </c>
      <c r="H2576" t="s">
        <v>9998</v>
      </c>
      <c r="I2576" t="s">
        <v>11593</v>
      </c>
      <c r="J2576" t="s">
        <v>30589</v>
      </c>
      <c r="K2576" t="s">
        <v>37209</v>
      </c>
      <c r="M2576" t="s">
        <v>38619</v>
      </c>
      <c r="N2576" t="s">
        <v>41249</v>
      </c>
      <c r="O2576" t="s">
        <v>41250</v>
      </c>
      <c r="P2576">
        <v>0</v>
      </c>
      <c r="Q2576">
        <v>0</v>
      </c>
      <c r="R2576" t="s">
        <v>41252</v>
      </c>
      <c r="S2576" t="s">
        <v>41383</v>
      </c>
      <c r="T2576" t="s">
        <v>42701</v>
      </c>
      <c r="U2576" t="s">
        <v>45322</v>
      </c>
      <c r="W2576" t="s">
        <v>38619</v>
      </c>
      <c r="X2576" t="s">
        <v>41254</v>
      </c>
    </row>
    <row r="2577" spans="1:24">
      <c r="A2577">
        <f>HYPERLINK("https://www.philgeps.gov.ph/GEPSNONPILOT/Tender/SplashBidNoticeAbstractUI.aspx?menuIndex=3&amp;refID=7073528&amp;Result=3","7073528")</f>
        <v>0</v>
      </c>
      <c r="B2577" t="s">
        <v>1088</v>
      </c>
      <c r="C2577" t="s">
        <v>5843</v>
      </c>
      <c r="D2577" t="s">
        <v>16644</v>
      </c>
      <c r="E2577" t="s">
        <v>19072</v>
      </c>
      <c r="F2577" t="s">
        <v>28669</v>
      </c>
      <c r="G2577" t="s">
        <v>28677</v>
      </c>
      <c r="H2577" t="s">
        <v>9998</v>
      </c>
      <c r="I2577" t="s">
        <v>3718</v>
      </c>
      <c r="J2577" t="s">
        <v>28834</v>
      </c>
      <c r="K2577" t="s">
        <v>37208</v>
      </c>
      <c r="M2577" t="s">
        <v>38620</v>
      </c>
      <c r="N2577" t="s">
        <v>41249</v>
      </c>
      <c r="O2577" t="s">
        <v>41250</v>
      </c>
      <c r="P2577">
        <v>0</v>
      </c>
      <c r="Q2577">
        <v>1</v>
      </c>
      <c r="R2577" t="s">
        <v>41252</v>
      </c>
      <c r="S2577" t="s">
        <v>41383</v>
      </c>
      <c r="T2577" t="s">
        <v>42727</v>
      </c>
      <c r="U2577" t="s">
        <v>45419</v>
      </c>
      <c r="W2577" t="s">
        <v>38620</v>
      </c>
      <c r="X2577" t="s">
        <v>41254</v>
      </c>
    </row>
    <row r="2578" spans="1:24">
      <c r="A2578">
        <f>HYPERLINK("https://www.philgeps.gov.ph/GEPSNONPILOT/Tender/SplashBidNoticeAbstractUI.aspx?menuIndex=3&amp;refID=7073526&amp;Result=3","7073526")</f>
        <v>0</v>
      </c>
      <c r="B2578" t="s">
        <v>1089</v>
      </c>
      <c r="C2578" t="s">
        <v>5844</v>
      </c>
      <c r="D2578" t="s">
        <v>16663</v>
      </c>
      <c r="E2578" t="s">
        <v>19073</v>
      </c>
      <c r="F2578" t="s">
        <v>28669</v>
      </c>
      <c r="G2578" t="s">
        <v>28677</v>
      </c>
      <c r="H2578" t="s">
        <v>9998</v>
      </c>
      <c r="I2578" t="s">
        <v>28688</v>
      </c>
      <c r="J2578" t="s">
        <v>30590</v>
      </c>
      <c r="K2578" t="s">
        <v>37206</v>
      </c>
      <c r="M2578" t="s">
        <v>38621</v>
      </c>
      <c r="N2578" t="s">
        <v>41249</v>
      </c>
      <c r="O2578" t="s">
        <v>41250</v>
      </c>
      <c r="P2578">
        <v>0</v>
      </c>
      <c r="Q2578">
        <v>0</v>
      </c>
      <c r="R2578" t="s">
        <v>41252</v>
      </c>
      <c r="S2578" t="s">
        <v>41383</v>
      </c>
      <c r="T2578" t="s">
        <v>42758</v>
      </c>
      <c r="U2578" t="s">
        <v>45420</v>
      </c>
      <c r="W2578" t="s">
        <v>38621</v>
      </c>
      <c r="X2578" t="s">
        <v>41254</v>
      </c>
    </row>
    <row r="2579" spans="1:24">
      <c r="A2579">
        <f>HYPERLINK("https://www.philgeps.gov.ph/GEPSNONPILOT/Tender/SplashBidNoticeAbstractUI.aspx?menuIndex=3&amp;refID=7073512&amp;Result=3","7073512")</f>
        <v>0</v>
      </c>
      <c r="B2579" t="s">
        <v>1090</v>
      </c>
      <c r="C2579" t="s">
        <v>5845</v>
      </c>
      <c r="E2579" t="s">
        <v>19074</v>
      </c>
      <c r="F2579" t="s">
        <v>28669</v>
      </c>
      <c r="G2579" t="s">
        <v>28676</v>
      </c>
      <c r="H2579" t="s">
        <v>9998</v>
      </c>
      <c r="I2579" t="s">
        <v>6606</v>
      </c>
      <c r="J2579" t="s">
        <v>29088</v>
      </c>
      <c r="K2579" t="s">
        <v>37209</v>
      </c>
      <c r="M2579" t="s">
        <v>38622</v>
      </c>
      <c r="N2579" t="s">
        <v>41249</v>
      </c>
      <c r="O2579" t="s">
        <v>41250</v>
      </c>
      <c r="P2579">
        <v>0</v>
      </c>
      <c r="Q2579">
        <v>1</v>
      </c>
      <c r="R2579" t="s">
        <v>41252</v>
      </c>
      <c r="S2579" t="s">
        <v>41383</v>
      </c>
      <c r="T2579" t="s">
        <v>42702</v>
      </c>
      <c r="U2579" t="s">
        <v>45421</v>
      </c>
      <c r="W2579" t="s">
        <v>38622</v>
      </c>
      <c r="X2579" t="s">
        <v>41254</v>
      </c>
    </row>
    <row r="2580" spans="1:24">
      <c r="A2580">
        <f>HYPERLINK("https://www.philgeps.gov.ph/GEPSNONPILOT/Tender/SplashBidNoticeAbstractUI.aspx?menuIndex=3&amp;refID=7073493&amp;Result=3","7073493")</f>
        <v>0</v>
      </c>
      <c r="B2580" t="s">
        <v>1091</v>
      </c>
      <c r="C2580" t="s">
        <v>5846</v>
      </c>
      <c r="D2580" t="s">
        <v>16620</v>
      </c>
      <c r="E2580" t="s">
        <v>19075</v>
      </c>
      <c r="F2580" t="s">
        <v>28669</v>
      </c>
      <c r="G2580" t="s">
        <v>28675</v>
      </c>
      <c r="H2580" t="s">
        <v>9998</v>
      </c>
      <c r="I2580" t="s">
        <v>7352</v>
      </c>
      <c r="J2580" t="s">
        <v>29191</v>
      </c>
      <c r="K2580" t="s">
        <v>37210</v>
      </c>
      <c r="M2580" t="s">
        <v>38623</v>
      </c>
      <c r="N2580" t="s">
        <v>41249</v>
      </c>
      <c r="O2580" t="s">
        <v>41250</v>
      </c>
      <c r="P2580">
        <v>0</v>
      </c>
      <c r="Q2580">
        <v>0</v>
      </c>
      <c r="R2580" t="s">
        <v>41252</v>
      </c>
      <c r="S2580" t="s">
        <v>41383</v>
      </c>
      <c r="T2580" t="s">
        <v>42876</v>
      </c>
      <c r="U2580" t="s">
        <v>45422</v>
      </c>
      <c r="W2580" t="s">
        <v>38623</v>
      </c>
      <c r="X2580" t="s">
        <v>41254</v>
      </c>
    </row>
    <row r="2581" spans="1:24">
      <c r="A2581">
        <f>HYPERLINK("https://www.philgeps.gov.ph/GEPSNONPILOT/Tender/SplashBidNoticeAbstractUI.aspx?menuIndex=3&amp;refID=7073529&amp;Result=3","7073529")</f>
        <v>0</v>
      </c>
      <c r="B2581" t="s">
        <v>1092</v>
      </c>
      <c r="C2581" t="s">
        <v>5847</v>
      </c>
      <c r="D2581" t="s">
        <v>16678</v>
      </c>
      <c r="E2581" t="s">
        <v>19076</v>
      </c>
      <c r="F2581" t="s">
        <v>28669</v>
      </c>
      <c r="G2581" t="s">
        <v>28676</v>
      </c>
      <c r="H2581" t="s">
        <v>9998</v>
      </c>
      <c r="I2581" t="s">
        <v>28704</v>
      </c>
      <c r="J2581" t="s">
        <v>30591</v>
      </c>
      <c r="K2581" t="s">
        <v>37210</v>
      </c>
      <c r="M2581" t="s">
        <v>38624</v>
      </c>
      <c r="N2581" t="s">
        <v>41249</v>
      </c>
      <c r="O2581" t="s">
        <v>41250</v>
      </c>
      <c r="P2581">
        <v>0</v>
      </c>
      <c r="Q2581">
        <v>1</v>
      </c>
      <c r="R2581" t="s">
        <v>41252</v>
      </c>
      <c r="S2581" t="s">
        <v>41383</v>
      </c>
      <c r="T2581" t="s">
        <v>42759</v>
      </c>
      <c r="U2581" t="s">
        <v>45423</v>
      </c>
      <c r="W2581" t="s">
        <v>38624</v>
      </c>
      <c r="X2581" t="s">
        <v>41254</v>
      </c>
    </row>
    <row r="2582" spans="1:24">
      <c r="A2582">
        <f>HYPERLINK("https://www.philgeps.gov.ph/GEPSNONPILOT/Tender/SplashBidNoticeAbstractUI.aspx?menuIndex=3&amp;refID=7073530&amp;Result=3","7073530")</f>
        <v>0</v>
      </c>
      <c r="B2582" t="s">
        <v>358</v>
      </c>
      <c r="C2582" t="s">
        <v>5848</v>
      </c>
      <c r="D2582" t="s">
        <v>16683</v>
      </c>
      <c r="E2582" t="s">
        <v>19077</v>
      </c>
      <c r="F2582" t="s">
        <v>28669</v>
      </c>
      <c r="G2582" t="s">
        <v>28677</v>
      </c>
      <c r="H2582" t="s">
        <v>9998</v>
      </c>
      <c r="I2582" t="s">
        <v>6128</v>
      </c>
      <c r="J2582" t="s">
        <v>30592</v>
      </c>
      <c r="K2582" t="s">
        <v>37209</v>
      </c>
      <c r="M2582" t="s">
        <v>37839</v>
      </c>
      <c r="N2582" t="s">
        <v>41249</v>
      </c>
      <c r="O2582" t="s">
        <v>41250</v>
      </c>
      <c r="P2582">
        <v>0</v>
      </c>
      <c r="Q2582">
        <v>1</v>
      </c>
      <c r="R2582" t="s">
        <v>41252</v>
      </c>
      <c r="S2582" t="s">
        <v>41383</v>
      </c>
      <c r="T2582" t="s">
        <v>42883</v>
      </c>
      <c r="U2582" t="s">
        <v>45424</v>
      </c>
      <c r="W2582" t="s">
        <v>37839</v>
      </c>
      <c r="X2582" t="s">
        <v>41254</v>
      </c>
    </row>
    <row r="2583" spans="1:24">
      <c r="A2583">
        <f>HYPERLINK("https://www.philgeps.gov.ph/GEPSNONPILOT/Tender/SplashBidNoticeAbstractUI.aspx?menuIndex=3&amp;refID=7073520&amp;Result=3","7073520")</f>
        <v>0</v>
      </c>
      <c r="B2583" t="s">
        <v>1093</v>
      </c>
      <c r="C2583" t="s">
        <v>5849</v>
      </c>
      <c r="D2583" t="s">
        <v>16618</v>
      </c>
      <c r="E2583" t="s">
        <v>19078</v>
      </c>
      <c r="F2583" t="s">
        <v>28669</v>
      </c>
      <c r="G2583" t="s">
        <v>28679</v>
      </c>
      <c r="H2583" t="s">
        <v>9998</v>
      </c>
      <c r="I2583" t="s">
        <v>11593</v>
      </c>
      <c r="J2583" t="s">
        <v>30593</v>
      </c>
      <c r="K2583" t="s">
        <v>37209</v>
      </c>
      <c r="M2583" t="s">
        <v>38625</v>
      </c>
      <c r="N2583" t="s">
        <v>41249</v>
      </c>
      <c r="O2583" t="s">
        <v>41250</v>
      </c>
      <c r="P2583">
        <v>0</v>
      </c>
      <c r="Q2583">
        <v>1</v>
      </c>
      <c r="R2583" t="s">
        <v>41252</v>
      </c>
      <c r="S2583" t="s">
        <v>41383</v>
      </c>
      <c r="T2583" t="s">
        <v>42758</v>
      </c>
      <c r="U2583" t="s">
        <v>45425</v>
      </c>
      <c r="W2583" t="s">
        <v>38625</v>
      </c>
      <c r="X2583" t="s">
        <v>41254</v>
      </c>
    </row>
    <row r="2584" spans="1:24">
      <c r="A2584">
        <f>HYPERLINK("https://www.philgeps.gov.ph/GEPSNONPILOT/Tender/SplashBidNoticeAbstractUI.aspx?menuIndex=3&amp;refID=7073527&amp;Result=3","7073527")</f>
        <v>0</v>
      </c>
      <c r="B2584" t="s">
        <v>1094</v>
      </c>
      <c r="C2584" t="s">
        <v>5850</v>
      </c>
      <c r="E2584" t="s">
        <v>19079</v>
      </c>
      <c r="F2584" t="s">
        <v>28669</v>
      </c>
      <c r="G2584" t="s">
        <v>28676</v>
      </c>
      <c r="H2584" t="s">
        <v>9998</v>
      </c>
      <c r="I2584" t="s">
        <v>28708</v>
      </c>
      <c r="J2584" t="s">
        <v>30594</v>
      </c>
      <c r="K2584" t="s">
        <v>37209</v>
      </c>
      <c r="M2584" t="s">
        <v>38626</v>
      </c>
      <c r="N2584" t="s">
        <v>41249</v>
      </c>
      <c r="O2584" t="s">
        <v>41250</v>
      </c>
      <c r="P2584">
        <v>0</v>
      </c>
      <c r="Q2584">
        <v>1</v>
      </c>
      <c r="R2584" t="s">
        <v>41252</v>
      </c>
      <c r="S2584" t="s">
        <v>41383</v>
      </c>
      <c r="T2584" t="s">
        <v>42827</v>
      </c>
      <c r="U2584" t="s">
        <v>45426</v>
      </c>
      <c r="W2584" t="s">
        <v>38626</v>
      </c>
      <c r="X2584" t="s">
        <v>41254</v>
      </c>
    </row>
    <row r="2585" spans="1:24">
      <c r="A2585">
        <f>HYPERLINK("https://www.philgeps.gov.ph/GEPSNONPILOT/Tender/SplashBidNoticeAbstractUI.aspx?menuIndex=3&amp;refID=7073519&amp;Result=3","7073519")</f>
        <v>0</v>
      </c>
      <c r="B2585" t="s">
        <v>1095</v>
      </c>
      <c r="C2585" t="s">
        <v>5851</v>
      </c>
      <c r="D2585" t="s">
        <v>16635</v>
      </c>
      <c r="E2585" t="s">
        <v>19080</v>
      </c>
      <c r="F2585" t="s">
        <v>28669</v>
      </c>
      <c r="G2585" t="s">
        <v>28675</v>
      </c>
      <c r="H2585" t="s">
        <v>28686</v>
      </c>
      <c r="I2585" t="s">
        <v>28689</v>
      </c>
      <c r="J2585" t="s">
        <v>30595</v>
      </c>
      <c r="K2585" t="s">
        <v>37221</v>
      </c>
      <c r="M2585" t="s">
        <v>38627</v>
      </c>
      <c r="N2585" t="s">
        <v>41249</v>
      </c>
      <c r="O2585" t="s">
        <v>41250</v>
      </c>
      <c r="P2585">
        <v>0</v>
      </c>
      <c r="Q2585">
        <v>0</v>
      </c>
      <c r="R2585" t="s">
        <v>41252</v>
      </c>
      <c r="S2585" t="s">
        <v>41383</v>
      </c>
      <c r="T2585" t="s">
        <v>42777</v>
      </c>
      <c r="U2585" t="s">
        <v>45427</v>
      </c>
      <c r="W2585" t="s">
        <v>38627</v>
      </c>
      <c r="X2585" t="s">
        <v>41254</v>
      </c>
    </row>
    <row r="2586" spans="1:24">
      <c r="A2586">
        <f>HYPERLINK("https://www.philgeps.gov.ph/GEPSNONPILOT/Tender/SplashBidNoticeAbstractUI.aspx?menuIndex=3&amp;refID=7073517&amp;Result=3","7073517")</f>
        <v>0</v>
      </c>
      <c r="B2586" t="s">
        <v>1024</v>
      </c>
      <c r="C2586" t="s">
        <v>5852</v>
      </c>
      <c r="D2586" t="s">
        <v>16608</v>
      </c>
      <c r="E2586" t="s">
        <v>19081</v>
      </c>
      <c r="F2586" t="s">
        <v>28669</v>
      </c>
      <c r="G2586" t="s">
        <v>28677</v>
      </c>
      <c r="H2586" t="s">
        <v>9998</v>
      </c>
      <c r="I2586" t="s">
        <v>28688</v>
      </c>
      <c r="J2586" t="s">
        <v>30596</v>
      </c>
      <c r="K2586" t="s">
        <v>37206</v>
      </c>
      <c r="M2586" t="s">
        <v>38554</v>
      </c>
      <c r="N2586" t="s">
        <v>41249</v>
      </c>
      <c r="O2586" t="s">
        <v>41250</v>
      </c>
      <c r="P2586">
        <v>0</v>
      </c>
      <c r="Q2586">
        <v>0</v>
      </c>
      <c r="R2586" t="s">
        <v>41252</v>
      </c>
      <c r="S2586" t="s">
        <v>41383</v>
      </c>
      <c r="T2586" t="s">
        <v>42679</v>
      </c>
      <c r="U2586" t="s">
        <v>45428</v>
      </c>
      <c r="W2586" t="s">
        <v>38554</v>
      </c>
      <c r="X2586" t="s">
        <v>41254</v>
      </c>
    </row>
    <row r="2587" spans="1:24">
      <c r="A2587">
        <f>HYPERLINK("https://www.philgeps.gov.ph/GEPSNONPILOT/Tender/SplashBidNoticeAbstractUI.aspx?menuIndex=3&amp;refID=7073525&amp;Result=3","7073525")</f>
        <v>0</v>
      </c>
      <c r="B2587" t="s">
        <v>966</v>
      </c>
      <c r="C2587" t="s">
        <v>5853</v>
      </c>
      <c r="D2587" t="s">
        <v>16631</v>
      </c>
      <c r="E2587" t="s">
        <v>19082</v>
      </c>
      <c r="F2587" t="s">
        <v>28669</v>
      </c>
      <c r="G2587" t="s">
        <v>28676</v>
      </c>
      <c r="H2587" t="s">
        <v>9998</v>
      </c>
      <c r="I2587" t="s">
        <v>28705</v>
      </c>
      <c r="J2587" t="s">
        <v>30597</v>
      </c>
      <c r="K2587" t="s">
        <v>37208</v>
      </c>
      <c r="M2587" t="s">
        <v>38491</v>
      </c>
      <c r="N2587" t="s">
        <v>41249</v>
      </c>
      <c r="O2587" t="s">
        <v>41250</v>
      </c>
      <c r="P2587">
        <v>0</v>
      </c>
      <c r="Q2587">
        <v>1</v>
      </c>
      <c r="R2587" t="s">
        <v>41252</v>
      </c>
      <c r="S2587" t="s">
        <v>41383</v>
      </c>
      <c r="T2587" t="s">
        <v>42729</v>
      </c>
      <c r="U2587" t="s">
        <v>45429</v>
      </c>
      <c r="V2587" t="s">
        <v>54534</v>
      </c>
      <c r="W2587" t="s">
        <v>38491</v>
      </c>
      <c r="X2587" t="s">
        <v>41254</v>
      </c>
    </row>
    <row r="2588" spans="1:24">
      <c r="A2588">
        <f>HYPERLINK("https://www.philgeps.gov.ph/GEPSNONPILOT/Tender/SplashBidNoticeAbstractUI.aspx?menuIndex=3&amp;refID=7073524&amp;Result=3","7073524")</f>
        <v>0</v>
      </c>
      <c r="B2588" t="s">
        <v>1001</v>
      </c>
      <c r="C2588" t="s">
        <v>5854</v>
      </c>
      <c r="D2588" t="s">
        <v>16677</v>
      </c>
      <c r="E2588" t="s">
        <v>19083</v>
      </c>
      <c r="F2588" t="s">
        <v>28669</v>
      </c>
      <c r="G2588" t="s">
        <v>28675</v>
      </c>
      <c r="H2588" t="s">
        <v>28686</v>
      </c>
      <c r="I2588" t="s">
        <v>28689</v>
      </c>
      <c r="J2588" t="s">
        <v>30598</v>
      </c>
      <c r="K2588" t="s">
        <v>37211</v>
      </c>
      <c r="M2588" t="s">
        <v>38529</v>
      </c>
      <c r="N2588" t="s">
        <v>41249</v>
      </c>
      <c r="O2588" t="s">
        <v>41250</v>
      </c>
      <c r="P2588">
        <v>0</v>
      </c>
      <c r="Q2588">
        <v>2</v>
      </c>
      <c r="R2588" t="s">
        <v>41252</v>
      </c>
      <c r="S2588" t="s">
        <v>41383</v>
      </c>
      <c r="T2588" t="s">
        <v>42760</v>
      </c>
      <c r="U2588" t="s">
        <v>45430</v>
      </c>
      <c r="W2588" t="s">
        <v>38529</v>
      </c>
      <c r="X2588" t="s">
        <v>41254</v>
      </c>
    </row>
    <row r="2589" spans="1:24">
      <c r="A2589">
        <f>HYPERLINK("https://www.philgeps.gov.ph/GEPSNONPILOT/Tender/SplashBidNoticeAbstractUI.aspx?menuIndex=3&amp;refID=7073556&amp;Result=3","7073556")</f>
        <v>0</v>
      </c>
      <c r="B2589" t="s">
        <v>1096</v>
      </c>
      <c r="C2589" t="s">
        <v>5855</v>
      </c>
      <c r="D2589" t="s">
        <v>16643</v>
      </c>
      <c r="E2589" t="s">
        <v>18839</v>
      </c>
      <c r="F2589" t="s">
        <v>28669</v>
      </c>
      <c r="G2589" t="s">
        <v>28676</v>
      </c>
      <c r="H2589" t="s">
        <v>9998</v>
      </c>
      <c r="I2589" t="s">
        <v>28697</v>
      </c>
      <c r="J2589" t="s">
        <v>28879</v>
      </c>
      <c r="K2589" t="s">
        <v>37204</v>
      </c>
      <c r="M2589" t="s">
        <v>38628</v>
      </c>
      <c r="N2589" t="s">
        <v>41249</v>
      </c>
      <c r="O2589" t="s">
        <v>41250</v>
      </c>
      <c r="Q2589">
        <v>0</v>
      </c>
      <c r="R2589" t="s">
        <v>41252</v>
      </c>
      <c r="S2589" t="s">
        <v>41391</v>
      </c>
      <c r="T2589" t="s">
        <v>42754</v>
      </c>
      <c r="U2589" t="s">
        <v>45431</v>
      </c>
      <c r="W2589" t="s">
        <v>38628</v>
      </c>
      <c r="X2589" t="s">
        <v>41254</v>
      </c>
    </row>
    <row r="2590" spans="1:24">
      <c r="A2590">
        <f>HYPERLINK("https://www.philgeps.gov.ph/GEPSNONPILOT/Tender/SplashBidNoticeAbstractUI.aspx?menuIndex=3&amp;refID=7073554&amp;Result=3","7073554")</f>
        <v>0</v>
      </c>
      <c r="B2590" t="s">
        <v>1088</v>
      </c>
      <c r="C2590" t="s">
        <v>5856</v>
      </c>
      <c r="D2590" t="s">
        <v>16644</v>
      </c>
      <c r="E2590" t="s">
        <v>19084</v>
      </c>
      <c r="F2590" t="s">
        <v>28669</v>
      </c>
      <c r="G2590" t="s">
        <v>28677</v>
      </c>
      <c r="H2590" t="s">
        <v>9998</v>
      </c>
      <c r="I2590" t="s">
        <v>28699</v>
      </c>
      <c r="J2590" t="s">
        <v>28838</v>
      </c>
      <c r="K2590" t="s">
        <v>37208</v>
      </c>
      <c r="M2590" t="s">
        <v>38620</v>
      </c>
      <c r="N2590" t="s">
        <v>41249</v>
      </c>
      <c r="O2590" t="s">
        <v>41250</v>
      </c>
      <c r="P2590">
        <v>0</v>
      </c>
      <c r="Q2590">
        <v>1</v>
      </c>
      <c r="R2590" t="s">
        <v>41252</v>
      </c>
      <c r="S2590" t="s">
        <v>41383</v>
      </c>
      <c r="T2590" t="s">
        <v>42727</v>
      </c>
      <c r="U2590" t="s">
        <v>45432</v>
      </c>
      <c r="W2590" t="s">
        <v>38620</v>
      </c>
      <c r="X2590" t="s">
        <v>41254</v>
      </c>
    </row>
    <row r="2591" spans="1:24">
      <c r="A2591">
        <f>HYPERLINK("https://www.philgeps.gov.ph/GEPSNONPILOT/Tender/SplashBidNoticeAbstractUI.aspx?menuIndex=3&amp;refID=7073553&amp;Result=3","7073553")</f>
        <v>0</v>
      </c>
      <c r="B2591" t="s">
        <v>387</v>
      </c>
      <c r="C2591" t="s">
        <v>5857</v>
      </c>
      <c r="D2591" t="s">
        <v>16657</v>
      </c>
      <c r="E2591" t="s">
        <v>19085</v>
      </c>
      <c r="F2591" t="s">
        <v>28669</v>
      </c>
      <c r="G2591" t="s">
        <v>28675</v>
      </c>
      <c r="H2591" t="s">
        <v>9998</v>
      </c>
      <c r="I2591" t="s">
        <v>28717</v>
      </c>
      <c r="J2591" t="s">
        <v>29325</v>
      </c>
      <c r="K2591" t="s">
        <v>37206</v>
      </c>
      <c r="M2591" t="s">
        <v>37871</v>
      </c>
      <c r="N2591" t="s">
        <v>41249</v>
      </c>
      <c r="O2591" t="s">
        <v>41250</v>
      </c>
      <c r="P2591">
        <v>0</v>
      </c>
      <c r="Q2591">
        <v>6</v>
      </c>
      <c r="R2591" t="s">
        <v>41252</v>
      </c>
      <c r="S2591" t="s">
        <v>41383</v>
      </c>
      <c r="T2591" t="s">
        <v>42730</v>
      </c>
      <c r="U2591" t="s">
        <v>45433</v>
      </c>
      <c r="W2591" t="s">
        <v>37871</v>
      </c>
      <c r="X2591" t="s">
        <v>41254</v>
      </c>
    </row>
    <row r="2592" spans="1:24">
      <c r="A2592">
        <f>HYPERLINK("https://www.philgeps.gov.ph/GEPSNONPILOT/Tender/SplashBidNoticeAbstractUI.aspx?menuIndex=3&amp;refID=7073522&amp;Result=3","7073522")</f>
        <v>0</v>
      </c>
      <c r="B2592" t="s">
        <v>1082</v>
      </c>
      <c r="C2592" t="s">
        <v>5858</v>
      </c>
      <c r="D2592" t="s">
        <v>16652</v>
      </c>
      <c r="E2592" t="s">
        <v>19086</v>
      </c>
      <c r="F2592" t="s">
        <v>28669</v>
      </c>
      <c r="G2592" t="s">
        <v>28676</v>
      </c>
      <c r="H2592" t="s">
        <v>9998</v>
      </c>
      <c r="I2592" t="s">
        <v>7352</v>
      </c>
      <c r="J2592" t="s">
        <v>30567</v>
      </c>
      <c r="K2592" t="s">
        <v>37206</v>
      </c>
      <c r="M2592" t="s">
        <v>38614</v>
      </c>
      <c r="N2592" t="s">
        <v>41249</v>
      </c>
      <c r="O2592" t="s">
        <v>41250</v>
      </c>
      <c r="P2592">
        <v>0</v>
      </c>
      <c r="Q2592">
        <v>0</v>
      </c>
      <c r="R2592" t="s">
        <v>41252</v>
      </c>
      <c r="S2592" t="s">
        <v>41383</v>
      </c>
      <c r="T2592" t="s">
        <v>42729</v>
      </c>
      <c r="U2592" t="s">
        <v>45434</v>
      </c>
      <c r="W2592" t="s">
        <v>38614</v>
      </c>
      <c r="X2592" t="s">
        <v>41254</v>
      </c>
    </row>
    <row r="2593" spans="1:24">
      <c r="A2593">
        <f>HYPERLINK("https://www.philgeps.gov.ph/GEPSNONPILOT/Tender/SplashBidNoticeAbstractUI.aspx?menuIndex=3&amp;refID=7073551&amp;Result=3","7073551")</f>
        <v>0</v>
      </c>
      <c r="B2593" t="s">
        <v>1097</v>
      </c>
      <c r="C2593" t="s">
        <v>5859</v>
      </c>
      <c r="D2593" t="s">
        <v>16619</v>
      </c>
      <c r="E2593" t="s">
        <v>19087</v>
      </c>
      <c r="F2593" t="s">
        <v>28669</v>
      </c>
      <c r="G2593" t="s">
        <v>28676</v>
      </c>
      <c r="H2593" t="s">
        <v>9998</v>
      </c>
      <c r="I2593" t="s">
        <v>28733</v>
      </c>
      <c r="J2593" t="s">
        <v>29104</v>
      </c>
      <c r="K2593" t="s">
        <v>37221</v>
      </c>
      <c r="M2593" t="s">
        <v>38629</v>
      </c>
      <c r="N2593" t="s">
        <v>41249</v>
      </c>
      <c r="O2593" t="s">
        <v>41250</v>
      </c>
      <c r="P2593">
        <v>0</v>
      </c>
      <c r="Q2593">
        <v>2</v>
      </c>
      <c r="R2593" t="s">
        <v>41252</v>
      </c>
      <c r="S2593" t="s">
        <v>41383</v>
      </c>
      <c r="T2593" t="s">
        <v>42683</v>
      </c>
      <c r="U2593" t="s">
        <v>45435</v>
      </c>
      <c r="W2593" t="s">
        <v>38629</v>
      </c>
      <c r="X2593" t="s">
        <v>41254</v>
      </c>
    </row>
    <row r="2594" spans="1:24">
      <c r="A2594">
        <f>HYPERLINK("https://www.philgeps.gov.ph/GEPSNONPILOT/Tender/SplashBidNoticeAbstractUI.aspx?menuIndex=3&amp;refID=7073550&amp;Result=3","7073550")</f>
        <v>0</v>
      </c>
      <c r="B2594" t="s">
        <v>1098</v>
      </c>
      <c r="C2594" t="s">
        <v>5860</v>
      </c>
      <c r="E2594" t="s">
        <v>19088</v>
      </c>
      <c r="F2594" t="s">
        <v>28669</v>
      </c>
      <c r="G2594" t="s">
        <v>28676</v>
      </c>
      <c r="H2594" t="s">
        <v>9998</v>
      </c>
      <c r="I2594" t="s">
        <v>11593</v>
      </c>
      <c r="J2594" t="s">
        <v>29193</v>
      </c>
      <c r="K2594" t="s">
        <v>37206</v>
      </c>
      <c r="M2594" t="s">
        <v>38630</v>
      </c>
      <c r="N2594" t="s">
        <v>41249</v>
      </c>
      <c r="O2594" t="s">
        <v>41250</v>
      </c>
      <c r="P2594">
        <v>0</v>
      </c>
      <c r="Q2594">
        <v>3</v>
      </c>
      <c r="R2594" t="s">
        <v>41252</v>
      </c>
      <c r="S2594" t="s">
        <v>41383</v>
      </c>
      <c r="T2594" t="s">
        <v>42743</v>
      </c>
      <c r="U2594" t="s">
        <v>45436</v>
      </c>
      <c r="W2594" t="s">
        <v>38630</v>
      </c>
      <c r="X2594" t="s">
        <v>41254</v>
      </c>
    </row>
    <row r="2595" spans="1:24">
      <c r="A2595">
        <f>HYPERLINK("https://www.philgeps.gov.ph/GEPSNONPILOT/Tender/SplashBidNoticeAbstractUI.aspx?menuIndex=3&amp;refID=7073549&amp;Result=3","7073549")</f>
        <v>0</v>
      </c>
      <c r="B2595" t="s">
        <v>1099</v>
      </c>
      <c r="C2595" t="s">
        <v>5861</v>
      </c>
      <c r="D2595" t="s">
        <v>16647</v>
      </c>
      <c r="E2595" t="s">
        <v>19089</v>
      </c>
      <c r="F2595" t="s">
        <v>28669</v>
      </c>
      <c r="G2595" t="s">
        <v>28675</v>
      </c>
      <c r="H2595" t="s">
        <v>9998</v>
      </c>
      <c r="I2595" t="s">
        <v>28688</v>
      </c>
      <c r="J2595" t="s">
        <v>30599</v>
      </c>
      <c r="K2595" t="s">
        <v>37205</v>
      </c>
      <c r="M2595" t="s">
        <v>38631</v>
      </c>
      <c r="N2595" t="s">
        <v>41249</v>
      </c>
      <c r="O2595" t="s">
        <v>41250</v>
      </c>
      <c r="P2595">
        <v>0</v>
      </c>
      <c r="Q2595">
        <v>1</v>
      </c>
      <c r="R2595" t="s">
        <v>41252</v>
      </c>
      <c r="S2595" t="s">
        <v>41383</v>
      </c>
      <c r="T2595" t="s">
        <v>42679</v>
      </c>
      <c r="U2595" t="s">
        <v>45437</v>
      </c>
      <c r="W2595" t="s">
        <v>38631</v>
      </c>
      <c r="X2595" t="s">
        <v>41254</v>
      </c>
    </row>
    <row r="2596" spans="1:24">
      <c r="A2596">
        <f>HYPERLINK("https://www.philgeps.gov.ph/GEPSNONPILOT/Tender/SplashBidNoticeAbstractUI.aspx?menuIndex=3&amp;refID=7073548&amp;Result=3","7073548")</f>
        <v>0</v>
      </c>
      <c r="B2596" t="s">
        <v>1100</v>
      </c>
      <c r="C2596" t="s">
        <v>5862</v>
      </c>
      <c r="D2596" t="s">
        <v>16677</v>
      </c>
      <c r="E2596" t="s">
        <v>19090</v>
      </c>
      <c r="F2596" t="s">
        <v>28669</v>
      </c>
      <c r="G2596" t="s">
        <v>28676</v>
      </c>
      <c r="H2596" t="s">
        <v>9998</v>
      </c>
      <c r="I2596" t="s">
        <v>28688</v>
      </c>
      <c r="J2596" t="s">
        <v>29925</v>
      </c>
      <c r="K2596" t="s">
        <v>37210</v>
      </c>
      <c r="M2596" t="s">
        <v>38632</v>
      </c>
      <c r="N2596" t="s">
        <v>41249</v>
      </c>
      <c r="O2596" t="s">
        <v>41250</v>
      </c>
      <c r="Q2596">
        <v>6</v>
      </c>
      <c r="R2596" t="s">
        <v>41252</v>
      </c>
      <c r="S2596" t="s">
        <v>41392</v>
      </c>
      <c r="T2596" t="s">
        <v>42686</v>
      </c>
      <c r="U2596" t="s">
        <v>45438</v>
      </c>
      <c r="W2596" t="s">
        <v>38632</v>
      </c>
      <c r="X2596" t="s">
        <v>41254</v>
      </c>
    </row>
    <row r="2597" spans="1:24">
      <c r="A2597">
        <f>HYPERLINK("https://www.philgeps.gov.ph/GEPSNONPILOT/Tender/SplashBidNoticeAbstractUI.aspx?menuIndex=3&amp;refID=7073555&amp;Result=3","7073555")</f>
        <v>0</v>
      </c>
      <c r="B2597" t="s">
        <v>154</v>
      </c>
      <c r="C2597" t="s">
        <v>5863</v>
      </c>
      <c r="D2597" t="s">
        <v>16621</v>
      </c>
      <c r="E2597" t="s">
        <v>19091</v>
      </c>
      <c r="F2597" t="s">
        <v>28669</v>
      </c>
      <c r="G2597" t="s">
        <v>28676</v>
      </c>
      <c r="H2597" t="s">
        <v>28686</v>
      </c>
      <c r="I2597" t="s">
        <v>28689</v>
      </c>
      <c r="J2597" t="s">
        <v>28826</v>
      </c>
      <c r="K2597" t="s">
        <v>37204</v>
      </c>
      <c r="M2597" t="s">
        <v>37631</v>
      </c>
      <c r="N2597" t="s">
        <v>41249</v>
      </c>
      <c r="O2597" t="s">
        <v>41250</v>
      </c>
      <c r="P2597">
        <v>0</v>
      </c>
      <c r="Q2597">
        <v>0</v>
      </c>
      <c r="R2597" t="s">
        <v>41252</v>
      </c>
      <c r="S2597" t="s">
        <v>41383</v>
      </c>
      <c r="T2597" t="s">
        <v>42743</v>
      </c>
      <c r="U2597" t="s">
        <v>45439</v>
      </c>
      <c r="W2597" t="s">
        <v>37631</v>
      </c>
      <c r="X2597" t="s">
        <v>41254</v>
      </c>
    </row>
    <row r="2598" spans="1:24">
      <c r="A2598">
        <f>HYPERLINK("https://www.philgeps.gov.ph/GEPSNONPILOT/Tender/SplashBidNoticeAbstractUI.aspx?menuIndex=3&amp;refID=7073545&amp;Result=3","7073545")</f>
        <v>0</v>
      </c>
      <c r="B2598" t="s">
        <v>1060</v>
      </c>
      <c r="C2598" t="s">
        <v>5864</v>
      </c>
      <c r="D2598" t="s">
        <v>16643</v>
      </c>
      <c r="E2598" t="s">
        <v>19092</v>
      </c>
      <c r="F2598" t="s">
        <v>28669</v>
      </c>
      <c r="G2598" t="s">
        <v>28677</v>
      </c>
      <c r="H2598" t="s">
        <v>9998</v>
      </c>
      <c r="I2598" t="s">
        <v>6128</v>
      </c>
      <c r="J2598" t="s">
        <v>28874</v>
      </c>
      <c r="K2598" t="s">
        <v>37209</v>
      </c>
      <c r="M2598" t="s">
        <v>38591</v>
      </c>
      <c r="N2598" t="s">
        <v>41249</v>
      </c>
      <c r="O2598" t="s">
        <v>41250</v>
      </c>
      <c r="P2598">
        <v>0</v>
      </c>
      <c r="Q2598">
        <v>2</v>
      </c>
      <c r="R2598" t="s">
        <v>41252</v>
      </c>
      <c r="S2598" t="s">
        <v>41383</v>
      </c>
      <c r="T2598" t="s">
        <v>42876</v>
      </c>
      <c r="U2598" t="s">
        <v>45344</v>
      </c>
      <c r="W2598" t="s">
        <v>38591</v>
      </c>
      <c r="X2598" t="s">
        <v>41254</v>
      </c>
    </row>
    <row r="2599" spans="1:24">
      <c r="A2599">
        <f>HYPERLINK("https://www.philgeps.gov.ph/GEPSNONPILOT/Tender/SplashBidNoticeAbstractUI.aspx?menuIndex=3&amp;refID=7073552&amp;Result=3","7073552")</f>
        <v>0</v>
      </c>
      <c r="B2599" t="s">
        <v>625</v>
      </c>
      <c r="C2599" t="s">
        <v>5865</v>
      </c>
      <c r="D2599" t="s">
        <v>16679</v>
      </c>
      <c r="E2599" t="s">
        <v>19093</v>
      </c>
      <c r="F2599" t="s">
        <v>28669</v>
      </c>
      <c r="G2599" t="s">
        <v>28676</v>
      </c>
      <c r="H2599" t="s">
        <v>9998</v>
      </c>
      <c r="I2599" t="s">
        <v>3718</v>
      </c>
      <c r="J2599" t="s">
        <v>30041</v>
      </c>
      <c r="K2599" t="s">
        <v>37206</v>
      </c>
      <c r="M2599" t="s">
        <v>38125</v>
      </c>
      <c r="N2599" t="s">
        <v>41249</v>
      </c>
      <c r="O2599" t="s">
        <v>41250</v>
      </c>
      <c r="P2599">
        <v>0</v>
      </c>
      <c r="Q2599">
        <v>8</v>
      </c>
      <c r="R2599" t="s">
        <v>41252</v>
      </c>
      <c r="S2599" t="s">
        <v>41383</v>
      </c>
      <c r="T2599" t="s">
        <v>42758</v>
      </c>
      <c r="U2599" t="s">
        <v>45440</v>
      </c>
      <c r="W2599" t="s">
        <v>38125</v>
      </c>
      <c r="X2599" t="s">
        <v>41254</v>
      </c>
    </row>
    <row r="2600" spans="1:24">
      <c r="A2600">
        <f>HYPERLINK("https://www.philgeps.gov.ph/GEPSNONPILOT/Tender/SplashBidNoticeAbstractUI.aspx?menuIndex=3&amp;refID=7073542&amp;Result=3","7073542")</f>
        <v>0</v>
      </c>
      <c r="B2600" t="s">
        <v>101</v>
      </c>
      <c r="C2600" t="s">
        <v>5866</v>
      </c>
      <c r="D2600" t="s">
        <v>16644</v>
      </c>
      <c r="E2600" t="s">
        <v>19094</v>
      </c>
      <c r="F2600" t="s">
        <v>28669</v>
      </c>
      <c r="G2600" t="s">
        <v>28676</v>
      </c>
      <c r="H2600" t="s">
        <v>9998</v>
      </c>
      <c r="I2600" t="s">
        <v>5213</v>
      </c>
      <c r="J2600" t="s">
        <v>30600</v>
      </c>
      <c r="K2600" t="s">
        <v>37209</v>
      </c>
      <c r="M2600" t="s">
        <v>38633</v>
      </c>
      <c r="N2600" t="s">
        <v>41249</v>
      </c>
      <c r="O2600" t="s">
        <v>41250</v>
      </c>
      <c r="P2600">
        <v>0</v>
      </c>
      <c r="Q2600">
        <v>0</v>
      </c>
      <c r="R2600" t="s">
        <v>41252</v>
      </c>
      <c r="S2600" t="s">
        <v>41383</v>
      </c>
      <c r="T2600" t="s">
        <v>42748</v>
      </c>
      <c r="U2600" t="s">
        <v>45441</v>
      </c>
      <c r="V2600" t="s">
        <v>54575</v>
      </c>
      <c r="W2600" t="s">
        <v>38633</v>
      </c>
      <c r="X2600" t="s">
        <v>41254</v>
      </c>
    </row>
    <row r="2601" spans="1:24">
      <c r="A2601">
        <f>HYPERLINK("https://www.philgeps.gov.ph/GEPSNONPILOT/Tender/SplashBidNoticeAbstractUI.aspx?menuIndex=3&amp;refID=7073521&amp;Result=3","7073521")</f>
        <v>0</v>
      </c>
      <c r="B2601" t="s">
        <v>140</v>
      </c>
      <c r="C2601" t="s">
        <v>5867</v>
      </c>
      <c r="D2601" t="s">
        <v>16652</v>
      </c>
      <c r="E2601" t="s">
        <v>19095</v>
      </c>
      <c r="F2601" t="s">
        <v>28669</v>
      </c>
      <c r="G2601" t="s">
        <v>28676</v>
      </c>
      <c r="H2601" t="s">
        <v>9998</v>
      </c>
      <c r="I2601" t="s">
        <v>6606</v>
      </c>
      <c r="J2601" t="s">
        <v>29160</v>
      </c>
      <c r="K2601" t="s">
        <v>37234</v>
      </c>
      <c r="M2601" t="s">
        <v>37617</v>
      </c>
      <c r="N2601" t="s">
        <v>41249</v>
      </c>
      <c r="O2601" t="s">
        <v>41250</v>
      </c>
      <c r="P2601">
        <v>0</v>
      </c>
      <c r="Q2601">
        <v>0</v>
      </c>
      <c r="R2601" t="s">
        <v>41252</v>
      </c>
      <c r="S2601" t="s">
        <v>41383</v>
      </c>
      <c r="T2601" t="s">
        <v>42802</v>
      </c>
      <c r="U2601" t="s">
        <v>45442</v>
      </c>
      <c r="W2601" t="s">
        <v>37617</v>
      </c>
      <c r="X2601" t="s">
        <v>41254</v>
      </c>
    </row>
    <row r="2602" spans="1:24">
      <c r="A2602">
        <f>HYPERLINK("https://www.philgeps.gov.ph/GEPSNONPILOT/Tender/SplashBidNoticeAbstractUI.aspx?menuIndex=3&amp;refID=7073557&amp;Result=3","7073557")</f>
        <v>0</v>
      </c>
      <c r="B2602" t="s">
        <v>1101</v>
      </c>
      <c r="C2602" t="s">
        <v>5868</v>
      </c>
      <c r="D2602" t="s">
        <v>16619</v>
      </c>
      <c r="E2602" t="s">
        <v>19096</v>
      </c>
      <c r="F2602" t="s">
        <v>28671</v>
      </c>
      <c r="G2602" t="s">
        <v>28676</v>
      </c>
      <c r="H2602" t="s">
        <v>9998</v>
      </c>
      <c r="I2602" t="s">
        <v>3718</v>
      </c>
      <c r="J2602" t="s">
        <v>30601</v>
      </c>
      <c r="K2602" t="s">
        <v>37208</v>
      </c>
      <c r="M2602" t="s">
        <v>38634</v>
      </c>
      <c r="N2602" t="s">
        <v>41249</v>
      </c>
      <c r="O2602" t="s">
        <v>41250</v>
      </c>
      <c r="P2602">
        <v>0</v>
      </c>
      <c r="Q2602">
        <v>0</v>
      </c>
      <c r="R2602" t="s">
        <v>41252</v>
      </c>
      <c r="S2602" t="s">
        <v>41383</v>
      </c>
      <c r="T2602" t="s">
        <v>42730</v>
      </c>
      <c r="U2602" t="s">
        <v>45443</v>
      </c>
      <c r="W2602" t="s">
        <v>38634</v>
      </c>
      <c r="X2602" t="s">
        <v>41254</v>
      </c>
    </row>
    <row r="2603" spans="1:24">
      <c r="A2603">
        <f>HYPERLINK("https://www.philgeps.gov.ph/GEPSNONPILOT/Tender/SplashBidNoticeAbstractUI.aspx?menuIndex=3&amp;refID=7073578&amp;Result=3","7073578")</f>
        <v>0</v>
      </c>
      <c r="B2603" t="s">
        <v>1071</v>
      </c>
      <c r="C2603" t="s">
        <v>5869</v>
      </c>
      <c r="D2603" t="s">
        <v>16616</v>
      </c>
      <c r="E2603" t="s">
        <v>19097</v>
      </c>
      <c r="F2603" t="s">
        <v>28669</v>
      </c>
      <c r="G2603" t="s">
        <v>28676</v>
      </c>
      <c r="H2603" t="s">
        <v>9998</v>
      </c>
      <c r="I2603" t="s">
        <v>28726</v>
      </c>
      <c r="J2603" t="s">
        <v>28838</v>
      </c>
      <c r="K2603" t="s">
        <v>37206</v>
      </c>
      <c r="M2603" t="s">
        <v>38603</v>
      </c>
      <c r="N2603" t="s">
        <v>41249</v>
      </c>
      <c r="O2603" t="s">
        <v>41250</v>
      </c>
      <c r="P2603">
        <v>0</v>
      </c>
      <c r="Q2603">
        <v>0</v>
      </c>
      <c r="R2603" t="s">
        <v>41252</v>
      </c>
      <c r="S2603" t="s">
        <v>41383</v>
      </c>
      <c r="T2603" t="s">
        <v>42892</v>
      </c>
      <c r="U2603" t="s">
        <v>45444</v>
      </c>
      <c r="W2603" t="s">
        <v>38603</v>
      </c>
      <c r="X2603" t="s">
        <v>41254</v>
      </c>
    </row>
    <row r="2604" spans="1:24">
      <c r="A2604">
        <f>HYPERLINK("https://www.philgeps.gov.ph/GEPSNONPILOT/Tender/SplashBidNoticeAbstractUI.aspx?menuIndex=3&amp;refID=7073518&amp;Result=3","7073518")</f>
        <v>0</v>
      </c>
      <c r="B2604" t="s">
        <v>595</v>
      </c>
      <c r="C2604" t="s">
        <v>5870</v>
      </c>
      <c r="D2604" t="s">
        <v>16654</v>
      </c>
      <c r="E2604" t="s">
        <v>19098</v>
      </c>
      <c r="F2604" t="s">
        <v>28669</v>
      </c>
      <c r="G2604" t="s">
        <v>28676</v>
      </c>
      <c r="H2604" t="s">
        <v>9998</v>
      </c>
      <c r="I2604" t="s">
        <v>28721</v>
      </c>
      <c r="J2604" t="s">
        <v>29133</v>
      </c>
      <c r="K2604" t="s">
        <v>37243</v>
      </c>
      <c r="M2604" t="s">
        <v>38094</v>
      </c>
      <c r="N2604" t="s">
        <v>41249</v>
      </c>
      <c r="O2604" t="s">
        <v>41250</v>
      </c>
      <c r="P2604">
        <v>0</v>
      </c>
      <c r="Q2604">
        <v>0</v>
      </c>
      <c r="R2604" t="s">
        <v>41252</v>
      </c>
      <c r="S2604" t="s">
        <v>41383</v>
      </c>
      <c r="T2604" t="s">
        <v>42736</v>
      </c>
      <c r="U2604" t="s">
        <v>45445</v>
      </c>
      <c r="W2604" t="s">
        <v>38094</v>
      </c>
      <c r="X2604" t="s">
        <v>41254</v>
      </c>
    </row>
    <row r="2605" spans="1:24">
      <c r="A2605">
        <f>HYPERLINK("https://www.philgeps.gov.ph/GEPSNONPILOT/Tender/SplashBidNoticeAbstractUI.aspx?menuIndex=3&amp;refID=7073543&amp;Result=3","7073543")</f>
        <v>0</v>
      </c>
      <c r="B2605" t="s">
        <v>1102</v>
      </c>
      <c r="C2605" t="s">
        <v>5871</v>
      </c>
      <c r="D2605" t="s">
        <v>16667</v>
      </c>
      <c r="E2605" t="s">
        <v>5871</v>
      </c>
      <c r="F2605" t="s">
        <v>28669</v>
      </c>
      <c r="G2605" t="s">
        <v>28676</v>
      </c>
      <c r="H2605" t="s">
        <v>9998</v>
      </c>
      <c r="I2605" t="s">
        <v>28704</v>
      </c>
      <c r="J2605" t="s">
        <v>30602</v>
      </c>
      <c r="K2605" t="s">
        <v>37209</v>
      </c>
      <c r="M2605" t="s">
        <v>38635</v>
      </c>
      <c r="N2605" t="s">
        <v>41249</v>
      </c>
      <c r="O2605" t="s">
        <v>41250</v>
      </c>
      <c r="P2605">
        <v>0</v>
      </c>
      <c r="Q2605">
        <v>0</v>
      </c>
      <c r="R2605" t="s">
        <v>41252</v>
      </c>
      <c r="S2605" t="s">
        <v>41383</v>
      </c>
      <c r="T2605" t="s">
        <v>42729</v>
      </c>
      <c r="U2605" t="s">
        <v>45446</v>
      </c>
      <c r="W2605" t="s">
        <v>38635</v>
      </c>
      <c r="X2605" t="s">
        <v>41254</v>
      </c>
    </row>
    <row r="2606" spans="1:24">
      <c r="A2606">
        <f>HYPERLINK("https://www.philgeps.gov.ph/GEPSNONPILOT/Tender/SplashBidNoticeAbstractUI.aspx?menuIndex=3&amp;refID=7073541&amp;Result=3","7073541")</f>
        <v>0</v>
      </c>
      <c r="B2606" t="s">
        <v>339</v>
      </c>
      <c r="C2606" t="s">
        <v>5872</v>
      </c>
      <c r="D2606" t="s">
        <v>16613</v>
      </c>
      <c r="E2606" t="s">
        <v>19099</v>
      </c>
      <c r="F2606" t="s">
        <v>28669</v>
      </c>
      <c r="G2606" t="s">
        <v>28676</v>
      </c>
      <c r="H2606" t="s">
        <v>9998</v>
      </c>
      <c r="I2606" t="s">
        <v>28790</v>
      </c>
      <c r="J2606" t="s">
        <v>30603</v>
      </c>
      <c r="K2606" t="s">
        <v>37209</v>
      </c>
      <c r="M2606" t="s">
        <v>37819</v>
      </c>
      <c r="N2606" t="s">
        <v>41249</v>
      </c>
      <c r="O2606" t="s">
        <v>41250</v>
      </c>
      <c r="P2606">
        <v>0</v>
      </c>
      <c r="Q2606">
        <v>5</v>
      </c>
      <c r="R2606" t="s">
        <v>41252</v>
      </c>
      <c r="S2606" t="s">
        <v>41383</v>
      </c>
      <c r="T2606" t="s">
        <v>42673</v>
      </c>
      <c r="U2606" t="s">
        <v>45447</v>
      </c>
      <c r="V2606" t="s">
        <v>54444</v>
      </c>
      <c r="W2606" t="s">
        <v>37819</v>
      </c>
      <c r="X2606" t="s">
        <v>41254</v>
      </c>
    </row>
    <row r="2607" spans="1:24">
      <c r="A2607">
        <f>HYPERLINK("https://www.philgeps.gov.ph/GEPSNONPILOT/Tender/SplashBidNoticeAbstractUI.aspx?menuIndex=3&amp;refID=7073499&amp;Result=3","7073499")</f>
        <v>0</v>
      </c>
      <c r="B2607" t="s">
        <v>1051</v>
      </c>
      <c r="C2607" t="s">
        <v>5873</v>
      </c>
      <c r="D2607" t="s">
        <v>16611</v>
      </c>
      <c r="E2607" t="s">
        <v>19100</v>
      </c>
      <c r="F2607" t="s">
        <v>28669</v>
      </c>
      <c r="G2607" t="s">
        <v>28676</v>
      </c>
      <c r="H2607" t="s">
        <v>9998</v>
      </c>
      <c r="I2607" t="s">
        <v>28715</v>
      </c>
      <c r="J2607" t="s">
        <v>30604</v>
      </c>
      <c r="K2607" t="s">
        <v>37210</v>
      </c>
      <c r="M2607" t="s">
        <v>38582</v>
      </c>
      <c r="N2607" t="s">
        <v>41249</v>
      </c>
      <c r="O2607" t="s">
        <v>41250</v>
      </c>
      <c r="P2607">
        <v>0</v>
      </c>
      <c r="Q2607">
        <v>1</v>
      </c>
      <c r="R2607" t="s">
        <v>41252</v>
      </c>
      <c r="S2607" t="s">
        <v>41383</v>
      </c>
      <c r="T2607" t="s">
        <v>42701</v>
      </c>
      <c r="U2607" t="s">
        <v>45448</v>
      </c>
      <c r="W2607" t="s">
        <v>38582</v>
      </c>
      <c r="X2607" t="s">
        <v>41254</v>
      </c>
    </row>
    <row r="2608" spans="1:24">
      <c r="A2608">
        <f>HYPERLINK("https://www.philgeps.gov.ph/GEPSNONPILOT/Tender/SplashBidNoticeAbstractUI.aspx?menuIndex=3&amp;refID=7073574&amp;Result=3","7073574")</f>
        <v>0</v>
      </c>
      <c r="B2608" t="s">
        <v>1083</v>
      </c>
      <c r="C2608" t="s">
        <v>5874</v>
      </c>
      <c r="D2608" t="s">
        <v>16622</v>
      </c>
      <c r="E2608" t="s">
        <v>19101</v>
      </c>
      <c r="F2608" t="s">
        <v>28669</v>
      </c>
      <c r="G2608" t="s">
        <v>28676</v>
      </c>
      <c r="H2608" t="s">
        <v>9998</v>
      </c>
      <c r="I2608" t="s">
        <v>28690</v>
      </c>
      <c r="J2608" t="s">
        <v>30605</v>
      </c>
      <c r="K2608" t="s">
        <v>37243</v>
      </c>
      <c r="M2608" t="s">
        <v>38615</v>
      </c>
      <c r="N2608" t="s">
        <v>41249</v>
      </c>
      <c r="O2608" t="s">
        <v>41250</v>
      </c>
      <c r="P2608">
        <v>0</v>
      </c>
      <c r="Q2608">
        <v>1</v>
      </c>
      <c r="R2608" t="s">
        <v>41252</v>
      </c>
      <c r="S2608" t="s">
        <v>41383</v>
      </c>
      <c r="T2608" t="s">
        <v>42743</v>
      </c>
      <c r="U2608" t="s">
        <v>45449</v>
      </c>
      <c r="W2608" t="s">
        <v>38615</v>
      </c>
      <c r="X2608" t="s">
        <v>41254</v>
      </c>
    </row>
    <row r="2609" spans="1:24">
      <c r="A2609">
        <f>HYPERLINK("https://www.philgeps.gov.ph/GEPSNONPILOT/Tender/SplashBidNoticeAbstractUI.aspx?menuIndex=3&amp;refID=7073571&amp;Result=3","7073571")</f>
        <v>0</v>
      </c>
      <c r="B2609" t="s">
        <v>1103</v>
      </c>
      <c r="C2609" t="s">
        <v>5875</v>
      </c>
      <c r="E2609" t="s">
        <v>19102</v>
      </c>
      <c r="F2609" t="s">
        <v>28669</v>
      </c>
      <c r="G2609" t="s">
        <v>28676</v>
      </c>
      <c r="H2609" t="s">
        <v>9998</v>
      </c>
      <c r="I2609" t="s">
        <v>28695</v>
      </c>
      <c r="J2609" t="s">
        <v>30606</v>
      </c>
      <c r="K2609" t="s">
        <v>37209</v>
      </c>
      <c r="M2609" t="s">
        <v>38636</v>
      </c>
      <c r="N2609" t="s">
        <v>41249</v>
      </c>
      <c r="O2609" t="s">
        <v>41250</v>
      </c>
      <c r="P2609">
        <v>0</v>
      </c>
      <c r="Q2609">
        <v>0</v>
      </c>
      <c r="R2609" t="s">
        <v>41252</v>
      </c>
      <c r="S2609" t="s">
        <v>41383</v>
      </c>
      <c r="T2609" t="s">
        <v>42736</v>
      </c>
      <c r="U2609" t="s">
        <v>45450</v>
      </c>
      <c r="V2609" t="s">
        <v>54576</v>
      </c>
      <c r="W2609" t="s">
        <v>38636</v>
      </c>
      <c r="X2609" t="s">
        <v>41254</v>
      </c>
    </row>
    <row r="2610" spans="1:24">
      <c r="A2610">
        <f>HYPERLINK("https://www.philgeps.gov.ph/GEPSNONPILOT/Tender/SplashBidNoticeAbstractUI.aspx?menuIndex=3&amp;refID=7073570&amp;Result=3","7073570")</f>
        <v>0</v>
      </c>
      <c r="B2610" t="s">
        <v>602</v>
      </c>
      <c r="C2610" t="s">
        <v>5876</v>
      </c>
      <c r="D2610" t="s">
        <v>16661</v>
      </c>
      <c r="E2610" t="s">
        <v>18950</v>
      </c>
      <c r="F2610" t="s">
        <v>28669</v>
      </c>
      <c r="G2610" t="s">
        <v>28675</v>
      </c>
      <c r="H2610" t="s">
        <v>9998</v>
      </c>
      <c r="I2610" t="s">
        <v>7352</v>
      </c>
      <c r="J2610" t="s">
        <v>30607</v>
      </c>
      <c r="K2610" t="s">
        <v>37206</v>
      </c>
      <c r="M2610" t="s">
        <v>38102</v>
      </c>
      <c r="N2610" t="s">
        <v>41249</v>
      </c>
      <c r="O2610" t="s">
        <v>41250</v>
      </c>
      <c r="P2610">
        <v>0</v>
      </c>
      <c r="Q2610">
        <v>1</v>
      </c>
      <c r="R2610" t="s">
        <v>41252</v>
      </c>
      <c r="S2610" t="s">
        <v>41383</v>
      </c>
      <c r="T2610" t="s">
        <v>42818</v>
      </c>
      <c r="U2610" t="s">
        <v>45451</v>
      </c>
      <c r="V2610" t="s">
        <v>54577</v>
      </c>
      <c r="W2610" t="s">
        <v>38102</v>
      </c>
      <c r="X2610" t="s">
        <v>41254</v>
      </c>
    </row>
    <row r="2611" spans="1:24">
      <c r="A2611">
        <f>HYPERLINK("https://www.philgeps.gov.ph/GEPSNONPILOT/Tender/SplashBidNoticeAbstractUI.aspx?menuIndex=3&amp;refID=7073577&amp;Result=3","7073577")</f>
        <v>0</v>
      </c>
      <c r="B2611" t="s">
        <v>1104</v>
      </c>
      <c r="C2611" t="s">
        <v>5877</v>
      </c>
      <c r="D2611" t="s">
        <v>16646</v>
      </c>
      <c r="E2611" t="s">
        <v>19103</v>
      </c>
      <c r="F2611" t="s">
        <v>28669</v>
      </c>
      <c r="G2611" t="s">
        <v>28676</v>
      </c>
      <c r="H2611" t="s">
        <v>28686</v>
      </c>
      <c r="I2611" t="s">
        <v>28689</v>
      </c>
      <c r="J2611" t="s">
        <v>29104</v>
      </c>
      <c r="K2611" t="s">
        <v>37204</v>
      </c>
      <c r="L2611" t="s">
        <v>1104</v>
      </c>
      <c r="M2611" t="s">
        <v>38637</v>
      </c>
      <c r="N2611" t="s">
        <v>41249</v>
      </c>
      <c r="O2611" t="s">
        <v>41250</v>
      </c>
      <c r="P2611">
        <v>0</v>
      </c>
      <c r="Q2611">
        <v>0</v>
      </c>
      <c r="R2611" t="s">
        <v>41252</v>
      </c>
      <c r="S2611" t="s">
        <v>41383</v>
      </c>
      <c r="T2611" t="s">
        <v>42770</v>
      </c>
      <c r="U2611" t="s">
        <v>45452</v>
      </c>
      <c r="W2611" t="s">
        <v>38637</v>
      </c>
      <c r="X2611" t="s">
        <v>41254</v>
      </c>
    </row>
    <row r="2612" spans="1:24">
      <c r="A2612">
        <f>HYPERLINK("https://www.philgeps.gov.ph/GEPSNONPILOT/Tender/SplashBidNoticeAbstractUI.aspx?menuIndex=3&amp;refID=7073567&amp;Result=3","7073567")</f>
        <v>0</v>
      </c>
      <c r="B2612" t="s">
        <v>1105</v>
      </c>
      <c r="C2612" t="s">
        <v>4218</v>
      </c>
      <c r="D2612" t="s">
        <v>16660</v>
      </c>
      <c r="E2612" t="s">
        <v>19104</v>
      </c>
      <c r="F2612" t="s">
        <v>28669</v>
      </c>
      <c r="G2612" t="s">
        <v>28677</v>
      </c>
      <c r="H2612" t="s">
        <v>9998</v>
      </c>
      <c r="I2612" t="s">
        <v>28694</v>
      </c>
      <c r="J2612" t="s">
        <v>30608</v>
      </c>
      <c r="K2612" t="s">
        <v>37210</v>
      </c>
      <c r="M2612" t="s">
        <v>38638</v>
      </c>
      <c r="N2612" t="s">
        <v>41249</v>
      </c>
      <c r="O2612" t="s">
        <v>41250</v>
      </c>
      <c r="P2612">
        <v>0</v>
      </c>
      <c r="Q2612">
        <v>1</v>
      </c>
      <c r="R2612" t="s">
        <v>41252</v>
      </c>
      <c r="S2612" t="s">
        <v>41383</v>
      </c>
      <c r="T2612" t="s">
        <v>42887</v>
      </c>
      <c r="U2612" t="s">
        <v>43972</v>
      </c>
      <c r="W2612" t="s">
        <v>38638</v>
      </c>
      <c r="X2612" t="s">
        <v>41254</v>
      </c>
    </row>
    <row r="2613" spans="1:24">
      <c r="A2613">
        <f>HYPERLINK("https://www.philgeps.gov.ph/GEPSNONPILOT/Tender/SplashBidNoticeAbstractUI.aspx?menuIndex=3&amp;refID=7073575&amp;Result=3","7073575")</f>
        <v>0</v>
      </c>
      <c r="B2613" t="s">
        <v>1056</v>
      </c>
      <c r="C2613" t="s">
        <v>5878</v>
      </c>
      <c r="D2613" t="s">
        <v>16683</v>
      </c>
      <c r="E2613" t="s">
        <v>19105</v>
      </c>
      <c r="F2613" t="s">
        <v>28669</v>
      </c>
      <c r="G2613" t="s">
        <v>28675</v>
      </c>
      <c r="H2613" t="s">
        <v>28686</v>
      </c>
      <c r="I2613" t="s">
        <v>28689</v>
      </c>
      <c r="J2613" t="s">
        <v>30609</v>
      </c>
      <c r="K2613" t="s">
        <v>37291</v>
      </c>
      <c r="M2613" t="s">
        <v>38587</v>
      </c>
      <c r="N2613" t="s">
        <v>41249</v>
      </c>
      <c r="O2613" t="s">
        <v>41250</v>
      </c>
      <c r="P2613">
        <v>0</v>
      </c>
      <c r="Q2613">
        <v>0</v>
      </c>
      <c r="R2613" t="s">
        <v>41252</v>
      </c>
      <c r="S2613" t="s">
        <v>41383</v>
      </c>
      <c r="T2613" t="s">
        <v>42870</v>
      </c>
      <c r="U2613" t="s">
        <v>45453</v>
      </c>
      <c r="W2613" t="s">
        <v>38587</v>
      </c>
      <c r="X2613" t="s">
        <v>41254</v>
      </c>
    </row>
    <row r="2614" spans="1:24">
      <c r="A2614">
        <f>HYPERLINK("https://www.philgeps.gov.ph/GEPSNONPILOT/Tender/SplashBidNoticeAbstractUI.aspx?menuIndex=3&amp;refID=7073579&amp;Result=3","7073579")</f>
        <v>0</v>
      </c>
      <c r="B2614" t="s">
        <v>1105</v>
      </c>
      <c r="C2614" t="s">
        <v>4218</v>
      </c>
      <c r="D2614" t="s">
        <v>16660</v>
      </c>
      <c r="E2614" t="s">
        <v>19106</v>
      </c>
      <c r="F2614" t="s">
        <v>28669</v>
      </c>
      <c r="G2614" t="s">
        <v>28677</v>
      </c>
      <c r="H2614" t="s">
        <v>9998</v>
      </c>
      <c r="I2614" t="s">
        <v>28694</v>
      </c>
      <c r="J2614" t="s">
        <v>30610</v>
      </c>
      <c r="K2614" t="s">
        <v>37210</v>
      </c>
      <c r="M2614" t="s">
        <v>38638</v>
      </c>
      <c r="N2614" t="s">
        <v>41249</v>
      </c>
      <c r="O2614" t="s">
        <v>41250</v>
      </c>
      <c r="P2614">
        <v>0</v>
      </c>
      <c r="Q2614">
        <v>1</v>
      </c>
      <c r="R2614" t="s">
        <v>41252</v>
      </c>
      <c r="S2614" t="s">
        <v>41383</v>
      </c>
      <c r="T2614" t="s">
        <v>42887</v>
      </c>
      <c r="U2614" t="s">
        <v>43972</v>
      </c>
      <c r="W2614" t="s">
        <v>38638</v>
      </c>
      <c r="X2614" t="s">
        <v>41254</v>
      </c>
    </row>
    <row r="2615" spans="1:24">
      <c r="A2615">
        <f>HYPERLINK("https://www.philgeps.gov.ph/GEPSNONPILOT/Tender/SplashBidNoticeAbstractUI.aspx?menuIndex=3&amp;refID=7073566&amp;Result=3","7073566")</f>
        <v>0</v>
      </c>
      <c r="B2615" t="s">
        <v>1021</v>
      </c>
      <c r="C2615" t="s">
        <v>5879</v>
      </c>
      <c r="D2615" t="s">
        <v>16646</v>
      </c>
      <c r="E2615" t="s">
        <v>19107</v>
      </c>
      <c r="F2615" t="s">
        <v>28669</v>
      </c>
      <c r="G2615" t="s">
        <v>28677</v>
      </c>
      <c r="H2615" t="s">
        <v>9998</v>
      </c>
      <c r="I2615" t="s">
        <v>28708</v>
      </c>
      <c r="J2615" t="s">
        <v>29144</v>
      </c>
      <c r="K2615" t="s">
        <v>37234</v>
      </c>
      <c r="M2615" t="s">
        <v>38551</v>
      </c>
      <c r="N2615" t="s">
        <v>41249</v>
      </c>
      <c r="O2615" t="s">
        <v>41250</v>
      </c>
      <c r="P2615">
        <v>0</v>
      </c>
      <c r="Q2615">
        <v>0</v>
      </c>
      <c r="R2615" t="s">
        <v>41252</v>
      </c>
      <c r="S2615" t="s">
        <v>41383</v>
      </c>
      <c r="T2615" t="s">
        <v>42727</v>
      </c>
      <c r="U2615" t="s">
        <v>45454</v>
      </c>
      <c r="W2615" t="s">
        <v>38551</v>
      </c>
      <c r="X2615" t="s">
        <v>41254</v>
      </c>
    </row>
    <row r="2616" spans="1:24">
      <c r="A2616">
        <f>HYPERLINK("https://www.philgeps.gov.ph/GEPSNONPILOT/Tender/SplashBidNoticeAbstractUI.aspx?menuIndex=3&amp;refID=7073563&amp;Result=3","7073563")</f>
        <v>0</v>
      </c>
      <c r="B2616" t="s">
        <v>1106</v>
      </c>
      <c r="C2616" t="s">
        <v>5880</v>
      </c>
      <c r="D2616" t="s">
        <v>16639</v>
      </c>
      <c r="E2616" t="s">
        <v>18548</v>
      </c>
      <c r="F2616" t="s">
        <v>28669</v>
      </c>
      <c r="G2616" t="s">
        <v>28677</v>
      </c>
      <c r="H2616" t="s">
        <v>9998</v>
      </c>
      <c r="I2616" t="s">
        <v>28722</v>
      </c>
      <c r="J2616" t="s">
        <v>28834</v>
      </c>
      <c r="K2616" t="s">
        <v>37206</v>
      </c>
      <c r="M2616" t="s">
        <v>38639</v>
      </c>
      <c r="N2616" t="s">
        <v>41249</v>
      </c>
      <c r="O2616" t="s">
        <v>41250</v>
      </c>
      <c r="P2616">
        <v>0</v>
      </c>
      <c r="Q2616">
        <v>2</v>
      </c>
      <c r="R2616" t="s">
        <v>41252</v>
      </c>
      <c r="S2616" t="s">
        <v>41383</v>
      </c>
      <c r="T2616" t="s">
        <v>42895</v>
      </c>
      <c r="U2616" t="s">
        <v>45455</v>
      </c>
      <c r="V2616" t="s">
        <v>45642</v>
      </c>
      <c r="W2616" t="s">
        <v>38639</v>
      </c>
      <c r="X2616" t="s">
        <v>41254</v>
      </c>
    </row>
    <row r="2617" spans="1:24">
      <c r="A2617">
        <f>HYPERLINK("https://www.philgeps.gov.ph/GEPSNONPILOT/Tender/SplashBidNoticeAbstractUI.aspx?menuIndex=3&amp;refID=7073569&amp;Result=3","7073569")</f>
        <v>0</v>
      </c>
      <c r="B2617" t="s">
        <v>943</v>
      </c>
      <c r="C2617" t="s">
        <v>5881</v>
      </c>
      <c r="D2617" t="s">
        <v>16665</v>
      </c>
      <c r="E2617" t="s">
        <v>19108</v>
      </c>
      <c r="F2617" t="s">
        <v>28669</v>
      </c>
      <c r="G2617" t="s">
        <v>28676</v>
      </c>
      <c r="H2617" t="s">
        <v>9998</v>
      </c>
      <c r="I2617" t="s">
        <v>28713</v>
      </c>
      <c r="J2617" t="s">
        <v>30611</v>
      </c>
      <c r="K2617" t="s">
        <v>37208</v>
      </c>
      <c r="M2617" t="s">
        <v>38466</v>
      </c>
      <c r="N2617" t="s">
        <v>41249</v>
      </c>
      <c r="O2617" t="s">
        <v>41250</v>
      </c>
      <c r="P2617">
        <v>0</v>
      </c>
      <c r="Q2617">
        <v>2</v>
      </c>
      <c r="R2617" t="s">
        <v>41252</v>
      </c>
      <c r="S2617" t="s">
        <v>41383</v>
      </c>
      <c r="T2617" t="s">
        <v>42701</v>
      </c>
      <c r="U2617" t="s">
        <v>45456</v>
      </c>
      <c r="W2617" t="s">
        <v>38466</v>
      </c>
      <c r="X2617" t="s">
        <v>41254</v>
      </c>
    </row>
    <row r="2618" spans="1:24">
      <c r="A2618">
        <f>HYPERLINK("https://www.philgeps.gov.ph/GEPSNONPILOT/Tender/SplashBidNoticeAbstractUI.aspx?menuIndex=3&amp;refID=7073561&amp;Result=3","7073561")</f>
        <v>0</v>
      </c>
      <c r="B2618" t="s">
        <v>1104</v>
      </c>
      <c r="C2618" t="s">
        <v>5882</v>
      </c>
      <c r="D2618" t="s">
        <v>16646</v>
      </c>
      <c r="E2618" t="s">
        <v>19109</v>
      </c>
      <c r="F2618" t="s">
        <v>28669</v>
      </c>
      <c r="G2618" t="s">
        <v>28676</v>
      </c>
      <c r="H2618" t="s">
        <v>28686</v>
      </c>
      <c r="I2618" t="s">
        <v>28689</v>
      </c>
      <c r="J2618" t="s">
        <v>29191</v>
      </c>
      <c r="K2618" t="s">
        <v>37243</v>
      </c>
      <c r="L2618" t="s">
        <v>1104</v>
      </c>
      <c r="M2618" t="s">
        <v>38637</v>
      </c>
      <c r="N2618" t="s">
        <v>41249</v>
      </c>
      <c r="O2618" t="s">
        <v>41250</v>
      </c>
      <c r="P2618">
        <v>0</v>
      </c>
      <c r="Q2618">
        <v>0</v>
      </c>
      <c r="R2618" t="s">
        <v>41252</v>
      </c>
      <c r="S2618" t="s">
        <v>41383</v>
      </c>
      <c r="T2618" t="s">
        <v>42770</v>
      </c>
      <c r="U2618" t="s">
        <v>45452</v>
      </c>
      <c r="W2618" t="s">
        <v>38637</v>
      </c>
      <c r="X2618" t="s">
        <v>41254</v>
      </c>
    </row>
    <row r="2619" spans="1:24">
      <c r="A2619">
        <f>HYPERLINK("https://www.philgeps.gov.ph/GEPSNONPILOT/Tender/SplashBidNoticeAbstractUI.aspx?menuIndex=3&amp;refID=7073559&amp;Result=3","7073559")</f>
        <v>0</v>
      </c>
      <c r="B2619" t="s">
        <v>140</v>
      </c>
      <c r="C2619" t="s">
        <v>5883</v>
      </c>
      <c r="D2619" t="s">
        <v>16652</v>
      </c>
      <c r="E2619" t="s">
        <v>19110</v>
      </c>
      <c r="F2619" t="s">
        <v>28669</v>
      </c>
      <c r="G2619" t="s">
        <v>28676</v>
      </c>
      <c r="H2619" t="s">
        <v>9998</v>
      </c>
      <c r="I2619" t="s">
        <v>28728</v>
      </c>
      <c r="J2619" t="s">
        <v>29060</v>
      </c>
      <c r="K2619" t="s">
        <v>37234</v>
      </c>
      <c r="M2619" t="s">
        <v>37617</v>
      </c>
      <c r="N2619" t="s">
        <v>41249</v>
      </c>
      <c r="O2619" t="s">
        <v>41250</v>
      </c>
      <c r="P2619">
        <v>0</v>
      </c>
      <c r="Q2619">
        <v>0</v>
      </c>
      <c r="R2619" t="s">
        <v>41252</v>
      </c>
      <c r="S2619" t="s">
        <v>41383</v>
      </c>
      <c r="T2619" t="s">
        <v>42802</v>
      </c>
      <c r="U2619" t="s">
        <v>45457</v>
      </c>
      <c r="W2619" t="s">
        <v>37617</v>
      </c>
      <c r="X2619" t="s">
        <v>41254</v>
      </c>
    </row>
    <row r="2620" spans="1:24">
      <c r="A2620">
        <f>HYPERLINK("https://www.philgeps.gov.ph/GEPSNONPILOT/Tender/SplashBidNoticeAbstractUI.aspx?menuIndex=3&amp;refID=7073565&amp;Result=3","7073565")</f>
        <v>0</v>
      </c>
      <c r="B2620" t="s">
        <v>1001</v>
      </c>
      <c r="C2620" t="s">
        <v>5884</v>
      </c>
      <c r="D2620" t="s">
        <v>16677</v>
      </c>
      <c r="E2620" t="s">
        <v>19111</v>
      </c>
      <c r="F2620" t="s">
        <v>28669</v>
      </c>
      <c r="G2620" t="s">
        <v>28675</v>
      </c>
      <c r="H2620" t="s">
        <v>28686</v>
      </c>
      <c r="I2620" t="s">
        <v>28689</v>
      </c>
      <c r="J2620" t="s">
        <v>30559</v>
      </c>
      <c r="K2620" t="s">
        <v>37215</v>
      </c>
      <c r="M2620" t="s">
        <v>38529</v>
      </c>
      <c r="N2620" t="s">
        <v>41249</v>
      </c>
      <c r="O2620" t="s">
        <v>41250</v>
      </c>
      <c r="P2620">
        <v>0</v>
      </c>
      <c r="Q2620">
        <v>0</v>
      </c>
      <c r="R2620" t="s">
        <v>41252</v>
      </c>
      <c r="S2620" t="s">
        <v>41383</v>
      </c>
      <c r="T2620" t="s">
        <v>42760</v>
      </c>
      <c r="U2620" t="s">
        <v>45378</v>
      </c>
      <c r="W2620" t="s">
        <v>38529</v>
      </c>
      <c r="X2620" t="s">
        <v>41254</v>
      </c>
    </row>
    <row r="2621" spans="1:24">
      <c r="A2621">
        <f>HYPERLINK("https://www.philgeps.gov.ph/GEPSNONPILOT/Tender/SplashBidNoticeAbstractUI.aspx?menuIndex=3&amp;refID=7073558&amp;Result=3","7073558")</f>
        <v>0</v>
      </c>
      <c r="B2621" t="s">
        <v>1107</v>
      </c>
      <c r="C2621" t="s">
        <v>5885</v>
      </c>
      <c r="D2621" t="s">
        <v>16638</v>
      </c>
      <c r="E2621" t="s">
        <v>19112</v>
      </c>
      <c r="F2621" t="s">
        <v>28669</v>
      </c>
      <c r="G2621" t="s">
        <v>28678</v>
      </c>
      <c r="H2621" t="s">
        <v>9998</v>
      </c>
      <c r="I2621" t="s">
        <v>28734</v>
      </c>
      <c r="J2621" t="s">
        <v>28859</v>
      </c>
      <c r="K2621" t="s">
        <v>37204</v>
      </c>
      <c r="M2621" t="s">
        <v>38640</v>
      </c>
      <c r="N2621" t="s">
        <v>41249</v>
      </c>
      <c r="O2621" t="s">
        <v>41250</v>
      </c>
      <c r="P2621">
        <v>0</v>
      </c>
      <c r="Q2621">
        <v>4</v>
      </c>
      <c r="R2621" t="s">
        <v>41252</v>
      </c>
      <c r="S2621" t="s">
        <v>41383</v>
      </c>
      <c r="T2621" t="s">
        <v>42736</v>
      </c>
      <c r="U2621" t="s">
        <v>45458</v>
      </c>
      <c r="W2621" t="s">
        <v>38640</v>
      </c>
      <c r="X2621" t="s">
        <v>41254</v>
      </c>
    </row>
    <row r="2622" spans="1:24">
      <c r="A2622">
        <f>HYPERLINK("https://www.philgeps.gov.ph/GEPSNONPILOT/Tender/SplashBidNoticeAbstractUI.aspx?menuIndex=3&amp;refID=7073540&amp;Result=3","7073540")</f>
        <v>0</v>
      </c>
      <c r="B2622" t="s">
        <v>1104</v>
      </c>
      <c r="C2622" t="s">
        <v>5886</v>
      </c>
      <c r="D2622" t="s">
        <v>16646</v>
      </c>
      <c r="E2622" t="s">
        <v>19113</v>
      </c>
      <c r="F2622" t="s">
        <v>28669</v>
      </c>
      <c r="G2622" t="s">
        <v>28676</v>
      </c>
      <c r="H2622" t="s">
        <v>28686</v>
      </c>
      <c r="I2622" t="s">
        <v>28689</v>
      </c>
      <c r="J2622" t="s">
        <v>28879</v>
      </c>
      <c r="K2622" t="s">
        <v>37204</v>
      </c>
      <c r="L2622" t="s">
        <v>1104</v>
      </c>
      <c r="M2622" t="s">
        <v>38637</v>
      </c>
      <c r="N2622" t="s">
        <v>41249</v>
      </c>
      <c r="O2622" t="s">
        <v>41250</v>
      </c>
      <c r="P2622">
        <v>0</v>
      </c>
      <c r="Q2622">
        <v>0</v>
      </c>
      <c r="R2622" t="s">
        <v>41252</v>
      </c>
      <c r="S2622" t="s">
        <v>41383</v>
      </c>
      <c r="T2622" t="s">
        <v>42770</v>
      </c>
      <c r="U2622" t="s">
        <v>45452</v>
      </c>
      <c r="W2622" t="s">
        <v>38637</v>
      </c>
      <c r="X2622" t="s">
        <v>41254</v>
      </c>
    </row>
    <row r="2623" spans="1:24">
      <c r="A2623">
        <f>HYPERLINK("https://www.philgeps.gov.ph/GEPSNONPILOT/Tender/SplashBidNoticeAbstractUI.aspx?menuIndex=3&amp;refID=7073538&amp;Result=3","7073538")</f>
        <v>0</v>
      </c>
      <c r="B2623" t="s">
        <v>1108</v>
      </c>
      <c r="C2623" t="s">
        <v>5887</v>
      </c>
      <c r="D2623" t="s">
        <v>16637</v>
      </c>
      <c r="E2623" t="s">
        <v>19114</v>
      </c>
      <c r="F2623" t="s">
        <v>28669</v>
      </c>
      <c r="G2623" t="s">
        <v>28676</v>
      </c>
      <c r="H2623" t="s">
        <v>9998</v>
      </c>
      <c r="I2623" t="s">
        <v>7352</v>
      </c>
      <c r="J2623" t="s">
        <v>29597</v>
      </c>
      <c r="K2623" t="s">
        <v>37205</v>
      </c>
      <c r="M2623" t="s">
        <v>38641</v>
      </c>
      <c r="N2623" t="s">
        <v>41249</v>
      </c>
      <c r="O2623" t="s">
        <v>41250</v>
      </c>
      <c r="P2623">
        <v>0</v>
      </c>
      <c r="Q2623">
        <v>0</v>
      </c>
      <c r="R2623" t="s">
        <v>41252</v>
      </c>
      <c r="S2623" t="s">
        <v>41383</v>
      </c>
      <c r="T2623" t="s">
        <v>42896</v>
      </c>
      <c r="U2623" t="s">
        <v>45459</v>
      </c>
      <c r="V2623" t="s">
        <v>54578</v>
      </c>
      <c r="W2623" t="s">
        <v>38641</v>
      </c>
      <c r="X2623" t="s">
        <v>41254</v>
      </c>
    </row>
    <row r="2624" spans="1:24">
      <c r="A2624">
        <f>HYPERLINK("https://www.philgeps.gov.ph/GEPSNONPILOT/Tender/SplashBidNoticeAbstractUI.aspx?menuIndex=3&amp;refID=7073560&amp;Result=3","7073560")</f>
        <v>0</v>
      </c>
      <c r="B2624" t="s">
        <v>1109</v>
      </c>
      <c r="C2624" t="s">
        <v>5888</v>
      </c>
      <c r="D2624" t="s">
        <v>16637</v>
      </c>
      <c r="E2624" t="s">
        <v>17140</v>
      </c>
      <c r="F2624" t="s">
        <v>28669</v>
      </c>
      <c r="G2624" t="s">
        <v>28677</v>
      </c>
      <c r="H2624" t="s">
        <v>9998</v>
      </c>
      <c r="I2624" t="s">
        <v>28791</v>
      </c>
      <c r="J2624" t="s">
        <v>30612</v>
      </c>
      <c r="K2624" t="s">
        <v>37208</v>
      </c>
      <c r="M2624" t="s">
        <v>38642</v>
      </c>
      <c r="N2624" t="s">
        <v>41249</v>
      </c>
      <c r="O2624" t="s">
        <v>41250</v>
      </c>
      <c r="P2624">
        <v>0</v>
      </c>
      <c r="Q2624">
        <v>0</v>
      </c>
      <c r="R2624" t="s">
        <v>41252</v>
      </c>
      <c r="S2624" t="s">
        <v>41383</v>
      </c>
      <c r="T2624" t="s">
        <v>42771</v>
      </c>
      <c r="U2624" t="s">
        <v>45460</v>
      </c>
      <c r="W2624" t="s">
        <v>38642</v>
      </c>
      <c r="X2624" t="s">
        <v>41254</v>
      </c>
    </row>
    <row r="2625" spans="1:24">
      <c r="A2625">
        <f>HYPERLINK("https://www.philgeps.gov.ph/GEPSNONPILOT/Tender/SplashBidNoticeAbstractUI.aspx?menuIndex=3&amp;refID=7073537&amp;Result=3","7073537")</f>
        <v>0</v>
      </c>
      <c r="B2625" t="s">
        <v>136</v>
      </c>
      <c r="C2625" t="s">
        <v>5889</v>
      </c>
      <c r="D2625" t="s">
        <v>16642</v>
      </c>
      <c r="E2625" t="s">
        <v>19115</v>
      </c>
      <c r="F2625" t="s">
        <v>28669</v>
      </c>
      <c r="G2625" t="s">
        <v>28676</v>
      </c>
      <c r="H2625" t="s">
        <v>9998</v>
      </c>
      <c r="I2625" t="s">
        <v>28708</v>
      </c>
      <c r="J2625" t="s">
        <v>28838</v>
      </c>
      <c r="K2625" t="s">
        <v>37206</v>
      </c>
      <c r="M2625" t="s">
        <v>37613</v>
      </c>
      <c r="N2625" t="s">
        <v>41249</v>
      </c>
      <c r="O2625" t="s">
        <v>41250</v>
      </c>
      <c r="P2625">
        <v>0</v>
      </c>
      <c r="Q2625">
        <v>1</v>
      </c>
      <c r="R2625" t="s">
        <v>41252</v>
      </c>
      <c r="S2625" t="s">
        <v>41383</v>
      </c>
      <c r="T2625" t="s">
        <v>42766</v>
      </c>
      <c r="U2625" t="s">
        <v>45461</v>
      </c>
      <c r="V2625" t="s">
        <v>54313</v>
      </c>
      <c r="W2625" t="s">
        <v>55905</v>
      </c>
      <c r="X2625" t="s">
        <v>41254</v>
      </c>
    </row>
    <row r="2626" spans="1:24">
      <c r="A2626">
        <f>HYPERLINK("https://www.philgeps.gov.ph/GEPSNONPILOT/Tender/SplashBidNoticeAbstractUI.aspx?menuIndex=3&amp;refID=7073535&amp;Result=3","7073535")</f>
        <v>0</v>
      </c>
      <c r="B2626" t="s">
        <v>988</v>
      </c>
      <c r="C2626" t="s">
        <v>5890</v>
      </c>
      <c r="D2626" t="s">
        <v>16635</v>
      </c>
      <c r="E2626" t="s">
        <v>5890</v>
      </c>
      <c r="F2626" t="s">
        <v>28669</v>
      </c>
      <c r="G2626" t="s">
        <v>28675</v>
      </c>
      <c r="H2626" t="s">
        <v>9998</v>
      </c>
      <c r="I2626" t="s">
        <v>11142</v>
      </c>
      <c r="J2626" t="s">
        <v>29332</v>
      </c>
      <c r="K2626" t="s">
        <v>37215</v>
      </c>
      <c r="M2626" t="s">
        <v>38514</v>
      </c>
      <c r="N2626" t="s">
        <v>41249</v>
      </c>
      <c r="O2626" t="s">
        <v>41250</v>
      </c>
      <c r="P2626">
        <v>0</v>
      </c>
      <c r="Q2626">
        <v>7</v>
      </c>
      <c r="R2626" t="s">
        <v>41252</v>
      </c>
      <c r="S2626" t="s">
        <v>41383</v>
      </c>
      <c r="T2626" t="s">
        <v>42765</v>
      </c>
      <c r="U2626" t="s">
        <v>45462</v>
      </c>
      <c r="W2626" t="s">
        <v>38514</v>
      </c>
      <c r="X2626" t="s">
        <v>41254</v>
      </c>
    </row>
    <row r="2627" spans="1:24">
      <c r="A2627">
        <f>HYPERLINK("https://www.philgeps.gov.ph/GEPSNONPILOT/Tender/SplashBidNoticeAbstractUI.aspx?menuIndex=3&amp;refID=7073564&amp;Result=3","7073564")</f>
        <v>0</v>
      </c>
      <c r="B2627" t="s">
        <v>1110</v>
      </c>
      <c r="C2627" t="s">
        <v>5891</v>
      </c>
      <c r="D2627" t="s">
        <v>16611</v>
      </c>
      <c r="E2627" t="s">
        <v>19116</v>
      </c>
      <c r="F2627" t="s">
        <v>28669</v>
      </c>
      <c r="G2627" t="s">
        <v>28676</v>
      </c>
      <c r="H2627" t="s">
        <v>9998</v>
      </c>
      <c r="I2627" t="s">
        <v>6128</v>
      </c>
      <c r="J2627" t="s">
        <v>30613</v>
      </c>
      <c r="K2627" t="s">
        <v>37209</v>
      </c>
      <c r="M2627" t="s">
        <v>38643</v>
      </c>
      <c r="N2627" t="s">
        <v>41249</v>
      </c>
      <c r="O2627" t="s">
        <v>41250</v>
      </c>
      <c r="P2627">
        <v>0</v>
      </c>
      <c r="Q2627">
        <v>3</v>
      </c>
      <c r="R2627" t="s">
        <v>41252</v>
      </c>
      <c r="S2627" t="s">
        <v>41383</v>
      </c>
      <c r="T2627" t="s">
        <v>42679</v>
      </c>
      <c r="U2627" t="s">
        <v>45463</v>
      </c>
      <c r="W2627" t="s">
        <v>38643</v>
      </c>
      <c r="X2627" t="s">
        <v>41254</v>
      </c>
    </row>
    <row r="2628" spans="1:24">
      <c r="A2628">
        <f>HYPERLINK("https://www.philgeps.gov.ph/GEPSNONPILOT/Tender/SplashBidNoticeAbstractUI.aspx?menuIndex=3&amp;refID=7073534&amp;Result=3","7073534")</f>
        <v>0</v>
      </c>
      <c r="B2628" t="s">
        <v>1111</v>
      </c>
      <c r="C2628" t="s">
        <v>5892</v>
      </c>
      <c r="D2628" t="s">
        <v>16668</v>
      </c>
      <c r="E2628" t="s">
        <v>19117</v>
      </c>
      <c r="F2628" t="s">
        <v>28669</v>
      </c>
      <c r="G2628" t="s">
        <v>28676</v>
      </c>
      <c r="H2628" t="s">
        <v>9998</v>
      </c>
      <c r="I2628" t="s">
        <v>28693</v>
      </c>
      <c r="J2628" t="s">
        <v>28905</v>
      </c>
      <c r="K2628" t="s">
        <v>37209</v>
      </c>
      <c r="M2628" t="s">
        <v>38644</v>
      </c>
      <c r="N2628" t="s">
        <v>41249</v>
      </c>
      <c r="O2628" t="s">
        <v>41250</v>
      </c>
      <c r="P2628">
        <v>0</v>
      </c>
      <c r="Q2628">
        <v>13</v>
      </c>
      <c r="R2628" t="s">
        <v>41252</v>
      </c>
      <c r="S2628" t="s">
        <v>41383</v>
      </c>
      <c r="T2628" t="s">
        <v>42758</v>
      </c>
      <c r="U2628" t="s">
        <v>45464</v>
      </c>
      <c r="W2628" t="s">
        <v>38644</v>
      </c>
      <c r="X2628" t="s">
        <v>41254</v>
      </c>
    </row>
    <row r="2629" spans="1:24">
      <c r="A2629">
        <f>HYPERLINK("https://www.philgeps.gov.ph/GEPSNONPILOT/Tender/SplashBidNoticeAbstractUI.aspx?menuIndex=3&amp;refID=7073515&amp;Result=3","7073515")</f>
        <v>0</v>
      </c>
      <c r="B2629" t="s">
        <v>1084</v>
      </c>
      <c r="C2629" t="s">
        <v>5893</v>
      </c>
      <c r="D2629" t="s">
        <v>16667</v>
      </c>
      <c r="E2629" t="s">
        <v>19118</v>
      </c>
      <c r="F2629" t="s">
        <v>28669</v>
      </c>
      <c r="G2629" t="s">
        <v>28675</v>
      </c>
      <c r="H2629" t="s">
        <v>9998</v>
      </c>
      <c r="I2629" t="s">
        <v>28697</v>
      </c>
      <c r="J2629" t="s">
        <v>30585</v>
      </c>
      <c r="K2629" t="s">
        <v>37220</v>
      </c>
      <c r="M2629" t="s">
        <v>38616</v>
      </c>
      <c r="N2629" t="s">
        <v>41249</v>
      </c>
      <c r="O2629" t="s">
        <v>41250</v>
      </c>
      <c r="P2629">
        <v>0</v>
      </c>
      <c r="Q2629">
        <v>0</v>
      </c>
      <c r="R2629" t="s">
        <v>41252</v>
      </c>
      <c r="S2629" t="s">
        <v>41383</v>
      </c>
      <c r="T2629" t="s">
        <v>42808</v>
      </c>
      <c r="U2629" t="s">
        <v>45465</v>
      </c>
      <c r="W2629" t="s">
        <v>38616</v>
      </c>
      <c r="X2629" t="s">
        <v>41254</v>
      </c>
    </row>
    <row r="2630" spans="1:24">
      <c r="A2630">
        <f>HYPERLINK("https://www.philgeps.gov.ph/GEPSNONPILOT/Tender/SplashBidNoticeAbstractUI.aspx?menuIndex=3&amp;refID=7073539&amp;Result=3","7073539")</f>
        <v>0</v>
      </c>
      <c r="B2630" t="s">
        <v>1083</v>
      </c>
      <c r="C2630" t="s">
        <v>5894</v>
      </c>
      <c r="D2630" t="s">
        <v>16622</v>
      </c>
      <c r="E2630" t="s">
        <v>19119</v>
      </c>
      <c r="F2630" t="s">
        <v>28669</v>
      </c>
      <c r="G2630" t="s">
        <v>28676</v>
      </c>
      <c r="H2630" t="s">
        <v>9998</v>
      </c>
      <c r="I2630" t="s">
        <v>6128</v>
      </c>
      <c r="J2630" t="s">
        <v>30614</v>
      </c>
      <c r="K2630" t="s">
        <v>37243</v>
      </c>
      <c r="M2630" t="s">
        <v>38615</v>
      </c>
      <c r="N2630" t="s">
        <v>41249</v>
      </c>
      <c r="O2630" t="s">
        <v>41250</v>
      </c>
      <c r="P2630">
        <v>0</v>
      </c>
      <c r="Q2630">
        <v>1</v>
      </c>
      <c r="R2630" t="s">
        <v>41252</v>
      </c>
      <c r="S2630" t="s">
        <v>41383</v>
      </c>
      <c r="T2630" t="s">
        <v>42743</v>
      </c>
      <c r="U2630" t="s">
        <v>45466</v>
      </c>
      <c r="W2630" t="s">
        <v>38615</v>
      </c>
      <c r="X2630" t="s">
        <v>41254</v>
      </c>
    </row>
    <row r="2631" spans="1:24">
      <c r="A2631">
        <f>HYPERLINK("https://www.philgeps.gov.ph/GEPSNONPILOT/Tender/SplashBidNoticeAbstractUI.aspx?menuIndex=3&amp;refID=7073514&amp;Result=3","7073514")</f>
        <v>0</v>
      </c>
      <c r="B2631" t="s">
        <v>1112</v>
      </c>
      <c r="C2631" t="s">
        <v>5895</v>
      </c>
      <c r="D2631" t="s">
        <v>16633</v>
      </c>
      <c r="E2631" t="s">
        <v>6919</v>
      </c>
      <c r="F2631" t="s">
        <v>28669</v>
      </c>
      <c r="G2631" t="s">
        <v>28676</v>
      </c>
      <c r="H2631" t="s">
        <v>9998</v>
      </c>
      <c r="I2631" t="s">
        <v>3718</v>
      </c>
      <c r="J2631" t="s">
        <v>29355</v>
      </c>
      <c r="K2631" t="s">
        <v>37204</v>
      </c>
      <c r="M2631" t="s">
        <v>38645</v>
      </c>
      <c r="N2631" t="s">
        <v>41249</v>
      </c>
      <c r="O2631" t="s">
        <v>41250</v>
      </c>
      <c r="P2631">
        <v>0</v>
      </c>
      <c r="Q2631">
        <v>2</v>
      </c>
      <c r="R2631" t="s">
        <v>41252</v>
      </c>
      <c r="S2631" t="s">
        <v>41383</v>
      </c>
      <c r="T2631" t="s">
        <v>42703</v>
      </c>
      <c r="U2631" t="s">
        <v>45467</v>
      </c>
      <c r="W2631" t="s">
        <v>38645</v>
      </c>
      <c r="X2631" t="s">
        <v>41254</v>
      </c>
    </row>
    <row r="2632" spans="1:24">
      <c r="A2632">
        <f>HYPERLINK("https://www.philgeps.gov.ph/GEPSNONPILOT/Tender/SplashBidNoticeAbstractUI.aspx?menuIndex=3&amp;refID=7073513&amp;Result=3","7073513")</f>
        <v>0</v>
      </c>
      <c r="B2632" t="s">
        <v>1099</v>
      </c>
      <c r="C2632" t="s">
        <v>5896</v>
      </c>
      <c r="D2632" t="s">
        <v>16647</v>
      </c>
      <c r="E2632" t="s">
        <v>19120</v>
      </c>
      <c r="F2632" t="s">
        <v>28669</v>
      </c>
      <c r="G2632" t="s">
        <v>28675</v>
      </c>
      <c r="H2632" t="s">
        <v>28686</v>
      </c>
      <c r="I2632" t="s">
        <v>28755</v>
      </c>
      <c r="J2632" t="s">
        <v>30615</v>
      </c>
      <c r="K2632" t="s">
        <v>37213</v>
      </c>
      <c r="M2632" t="s">
        <v>38631</v>
      </c>
      <c r="N2632" t="s">
        <v>41249</v>
      </c>
      <c r="O2632" t="s">
        <v>41250</v>
      </c>
      <c r="P2632">
        <v>0</v>
      </c>
      <c r="Q2632">
        <v>0</v>
      </c>
      <c r="R2632" t="s">
        <v>41252</v>
      </c>
      <c r="S2632" t="s">
        <v>41383</v>
      </c>
      <c r="T2632" t="s">
        <v>42679</v>
      </c>
      <c r="U2632" t="s">
        <v>45437</v>
      </c>
      <c r="W2632" t="s">
        <v>38631</v>
      </c>
      <c r="X2632" t="s">
        <v>41254</v>
      </c>
    </row>
    <row r="2633" spans="1:24">
      <c r="A2633">
        <f>HYPERLINK("https://www.philgeps.gov.ph/GEPSNONPILOT/Tender/SplashBidNoticeAbstractUI.aspx?menuIndex=3&amp;refID=7073463&amp;Result=3","7073463")</f>
        <v>0</v>
      </c>
      <c r="B2633" t="s">
        <v>1064</v>
      </c>
      <c r="C2633" t="s">
        <v>5897</v>
      </c>
      <c r="D2633" t="s">
        <v>16655</v>
      </c>
      <c r="E2633" t="s">
        <v>19121</v>
      </c>
      <c r="F2633" t="s">
        <v>28669</v>
      </c>
      <c r="G2633" t="s">
        <v>28675</v>
      </c>
      <c r="H2633" t="s">
        <v>28686</v>
      </c>
      <c r="I2633" t="s">
        <v>28689</v>
      </c>
      <c r="J2633" t="s">
        <v>30616</v>
      </c>
      <c r="K2633" t="s">
        <v>37321</v>
      </c>
      <c r="M2633" t="s">
        <v>38595</v>
      </c>
      <c r="N2633" t="s">
        <v>41249</v>
      </c>
      <c r="O2633" t="s">
        <v>41250</v>
      </c>
      <c r="P2633">
        <v>0</v>
      </c>
      <c r="Q2633">
        <v>0</v>
      </c>
      <c r="R2633" t="s">
        <v>41252</v>
      </c>
      <c r="S2633" t="s">
        <v>41383</v>
      </c>
      <c r="T2633" t="s">
        <v>42670</v>
      </c>
      <c r="U2633" t="s">
        <v>45354</v>
      </c>
      <c r="W2633" t="s">
        <v>38595</v>
      </c>
      <c r="X2633" t="s">
        <v>41254</v>
      </c>
    </row>
    <row r="2634" spans="1:24">
      <c r="A2634">
        <f>HYPERLINK("https://www.philgeps.gov.ph/GEPSNONPILOT/Tender/SplashBidNoticeAbstractUI.aspx?menuIndex=3&amp;refID=7073516&amp;Result=3","7073516")</f>
        <v>0</v>
      </c>
      <c r="B2634" t="s">
        <v>1056</v>
      </c>
      <c r="C2634" t="s">
        <v>5898</v>
      </c>
      <c r="D2634" t="s">
        <v>16683</v>
      </c>
      <c r="E2634" t="s">
        <v>19122</v>
      </c>
      <c r="F2634" t="s">
        <v>28669</v>
      </c>
      <c r="G2634" t="s">
        <v>28675</v>
      </c>
      <c r="H2634" t="s">
        <v>28686</v>
      </c>
      <c r="I2634" t="s">
        <v>28689</v>
      </c>
      <c r="J2634" t="s">
        <v>30617</v>
      </c>
      <c r="K2634" t="s">
        <v>37256</v>
      </c>
      <c r="M2634" t="s">
        <v>38587</v>
      </c>
      <c r="N2634" t="s">
        <v>41249</v>
      </c>
      <c r="O2634" t="s">
        <v>41250</v>
      </c>
      <c r="P2634">
        <v>0</v>
      </c>
      <c r="Q2634">
        <v>0</v>
      </c>
      <c r="R2634" t="s">
        <v>41252</v>
      </c>
      <c r="S2634" t="s">
        <v>41383</v>
      </c>
      <c r="T2634" t="s">
        <v>42870</v>
      </c>
      <c r="U2634" t="s">
        <v>45468</v>
      </c>
      <c r="W2634" t="s">
        <v>38587</v>
      </c>
      <c r="X2634" t="s">
        <v>41254</v>
      </c>
    </row>
    <row r="2635" spans="1:24">
      <c r="A2635">
        <f>HYPERLINK("https://www.philgeps.gov.ph/GEPSNONPILOT/Tender/SplashBidNoticeAbstractUI.aspx?menuIndex=3&amp;refID=7073440&amp;Result=3","7073440")</f>
        <v>0</v>
      </c>
      <c r="B2635" t="s">
        <v>1090</v>
      </c>
      <c r="C2635" t="s">
        <v>5899</v>
      </c>
      <c r="E2635" t="s">
        <v>19123</v>
      </c>
      <c r="F2635" t="s">
        <v>28669</v>
      </c>
      <c r="G2635" t="s">
        <v>28676</v>
      </c>
      <c r="H2635" t="s">
        <v>9998</v>
      </c>
      <c r="I2635" t="s">
        <v>6606</v>
      </c>
      <c r="J2635" t="s">
        <v>29088</v>
      </c>
      <c r="K2635" t="s">
        <v>37209</v>
      </c>
      <c r="M2635" t="s">
        <v>38622</v>
      </c>
      <c r="N2635" t="s">
        <v>41249</v>
      </c>
      <c r="O2635" t="s">
        <v>41250</v>
      </c>
      <c r="P2635">
        <v>0</v>
      </c>
      <c r="Q2635">
        <v>1</v>
      </c>
      <c r="R2635" t="s">
        <v>41252</v>
      </c>
      <c r="S2635" t="s">
        <v>41383</v>
      </c>
      <c r="T2635" t="s">
        <v>42670</v>
      </c>
      <c r="U2635" t="s">
        <v>45469</v>
      </c>
      <c r="W2635" t="s">
        <v>38622</v>
      </c>
      <c r="X2635" t="s">
        <v>41254</v>
      </c>
    </row>
    <row r="2636" spans="1:24">
      <c r="A2636">
        <f>HYPERLINK("https://www.philgeps.gov.ph/GEPSNONPILOT/Tender/SplashBidNoticeAbstractUI.aspx?menuIndex=3&amp;refID=7073576&amp;Result=3","7073576")</f>
        <v>0</v>
      </c>
      <c r="B2636" t="s">
        <v>977</v>
      </c>
      <c r="C2636" t="s">
        <v>5900</v>
      </c>
      <c r="D2636" t="s">
        <v>16691</v>
      </c>
      <c r="E2636" t="s">
        <v>19124</v>
      </c>
      <c r="F2636" t="s">
        <v>28669</v>
      </c>
      <c r="G2636" t="s">
        <v>28676</v>
      </c>
      <c r="H2636" t="s">
        <v>9998</v>
      </c>
      <c r="I2636" t="s">
        <v>28773</v>
      </c>
      <c r="J2636" t="s">
        <v>30618</v>
      </c>
      <c r="K2636" t="s">
        <v>37205</v>
      </c>
      <c r="M2636" t="s">
        <v>38502</v>
      </c>
      <c r="N2636" t="s">
        <v>41249</v>
      </c>
      <c r="O2636" t="s">
        <v>41250</v>
      </c>
      <c r="P2636">
        <v>0</v>
      </c>
      <c r="Q2636">
        <v>1</v>
      </c>
      <c r="R2636" t="s">
        <v>41252</v>
      </c>
      <c r="S2636" t="s">
        <v>41383</v>
      </c>
      <c r="T2636" t="s">
        <v>42802</v>
      </c>
      <c r="U2636" t="s">
        <v>45470</v>
      </c>
      <c r="W2636" t="s">
        <v>38502</v>
      </c>
      <c r="X2636" t="s">
        <v>41254</v>
      </c>
    </row>
    <row r="2637" spans="1:24">
      <c r="A2637">
        <f>HYPERLINK("https://www.philgeps.gov.ph/GEPSNONPILOT/Tender/SplashBidNoticeAbstractUI.aspx?menuIndex=3&amp;refID=7073582&amp;Result=3","7073582")</f>
        <v>0</v>
      </c>
      <c r="B2637" t="s">
        <v>413</v>
      </c>
      <c r="C2637" t="s">
        <v>5901</v>
      </c>
      <c r="D2637" t="s">
        <v>16608</v>
      </c>
      <c r="E2637" t="s">
        <v>19125</v>
      </c>
      <c r="F2637" t="s">
        <v>28669</v>
      </c>
      <c r="G2637" t="s">
        <v>28676</v>
      </c>
      <c r="H2637" t="s">
        <v>9998</v>
      </c>
      <c r="I2637" t="s">
        <v>28755</v>
      </c>
      <c r="J2637" t="s">
        <v>30619</v>
      </c>
      <c r="K2637" t="s">
        <v>37204</v>
      </c>
      <c r="M2637" t="s">
        <v>37898</v>
      </c>
      <c r="N2637" t="s">
        <v>41249</v>
      </c>
      <c r="O2637" t="s">
        <v>41250</v>
      </c>
      <c r="P2637">
        <v>0</v>
      </c>
      <c r="Q2637">
        <v>1</v>
      </c>
      <c r="R2637" t="s">
        <v>41252</v>
      </c>
      <c r="S2637" t="s">
        <v>41383</v>
      </c>
      <c r="T2637" t="s">
        <v>42663</v>
      </c>
      <c r="U2637" t="s">
        <v>45471</v>
      </c>
      <c r="W2637" t="s">
        <v>37898</v>
      </c>
      <c r="X2637" t="s">
        <v>41254</v>
      </c>
    </row>
    <row r="2638" spans="1:24">
      <c r="A2638">
        <f>HYPERLINK("https://www.philgeps.gov.ph/GEPSNONPILOT/Tender/SplashBidNoticeAbstractUI.aspx?menuIndex=3&amp;refID=7073597&amp;Result=3","7073597")</f>
        <v>0</v>
      </c>
      <c r="B2638" t="s">
        <v>381</v>
      </c>
      <c r="C2638" t="s">
        <v>5902</v>
      </c>
      <c r="D2638" t="s">
        <v>16625</v>
      </c>
      <c r="E2638" t="s">
        <v>19126</v>
      </c>
      <c r="F2638" t="s">
        <v>28669</v>
      </c>
      <c r="G2638" t="s">
        <v>28676</v>
      </c>
      <c r="H2638" t="s">
        <v>9998</v>
      </c>
      <c r="I2638" t="s">
        <v>28704</v>
      </c>
      <c r="J2638" t="s">
        <v>30620</v>
      </c>
      <c r="K2638" t="s">
        <v>37204</v>
      </c>
      <c r="M2638" t="s">
        <v>37863</v>
      </c>
      <c r="N2638" t="s">
        <v>41249</v>
      </c>
      <c r="O2638" t="s">
        <v>41250</v>
      </c>
      <c r="P2638">
        <v>0</v>
      </c>
      <c r="Q2638">
        <v>0</v>
      </c>
      <c r="R2638" t="s">
        <v>41252</v>
      </c>
      <c r="S2638" t="s">
        <v>41383</v>
      </c>
      <c r="T2638" t="s">
        <v>42729</v>
      </c>
      <c r="U2638" t="s">
        <v>43814</v>
      </c>
      <c r="W2638" t="s">
        <v>55913</v>
      </c>
      <c r="X2638" t="s">
        <v>41254</v>
      </c>
    </row>
    <row r="2639" spans="1:24">
      <c r="A2639">
        <f>HYPERLINK("https://www.philgeps.gov.ph/GEPSNONPILOT/Tender/SplashBidNoticeAbstractUI.aspx?menuIndex=3&amp;refID=7073604&amp;Result=3","7073604")</f>
        <v>0</v>
      </c>
      <c r="B2639" t="s">
        <v>1097</v>
      </c>
      <c r="C2639" t="s">
        <v>5903</v>
      </c>
      <c r="D2639" t="s">
        <v>16619</v>
      </c>
      <c r="E2639" t="s">
        <v>19127</v>
      </c>
      <c r="F2639" t="s">
        <v>28669</v>
      </c>
      <c r="G2639" t="s">
        <v>28676</v>
      </c>
      <c r="H2639" t="s">
        <v>9998</v>
      </c>
      <c r="I2639" t="s">
        <v>28704</v>
      </c>
      <c r="J2639" t="s">
        <v>30621</v>
      </c>
      <c r="K2639" t="s">
        <v>37206</v>
      </c>
      <c r="M2639" t="s">
        <v>38629</v>
      </c>
      <c r="N2639" t="s">
        <v>41249</v>
      </c>
      <c r="O2639" t="s">
        <v>41250</v>
      </c>
      <c r="P2639">
        <v>0</v>
      </c>
      <c r="Q2639">
        <v>3</v>
      </c>
      <c r="R2639" t="s">
        <v>41252</v>
      </c>
      <c r="S2639" t="s">
        <v>41383</v>
      </c>
      <c r="T2639" t="s">
        <v>42683</v>
      </c>
      <c r="U2639" t="s">
        <v>45435</v>
      </c>
      <c r="W2639" t="s">
        <v>38629</v>
      </c>
      <c r="X2639" t="s">
        <v>41254</v>
      </c>
    </row>
    <row r="2640" spans="1:24">
      <c r="A2640">
        <f>HYPERLINK("https://www.philgeps.gov.ph/GEPSNONPILOT/Tender/SplashBidNoticeAbstractUI.aspx?menuIndex=3&amp;refID=7073602&amp;Result=3","7073602")</f>
        <v>0</v>
      </c>
      <c r="B2640" t="s">
        <v>1113</v>
      </c>
      <c r="C2640" t="s">
        <v>5904</v>
      </c>
      <c r="D2640" t="s">
        <v>16654</v>
      </c>
      <c r="E2640" t="s">
        <v>19128</v>
      </c>
      <c r="F2640" t="s">
        <v>28669</v>
      </c>
      <c r="G2640" t="s">
        <v>28676</v>
      </c>
      <c r="H2640" t="s">
        <v>9998</v>
      </c>
      <c r="I2640" t="s">
        <v>5286</v>
      </c>
      <c r="J2640" t="s">
        <v>30622</v>
      </c>
      <c r="K2640" t="s">
        <v>37234</v>
      </c>
      <c r="M2640" t="s">
        <v>38646</v>
      </c>
      <c r="N2640" t="s">
        <v>41249</v>
      </c>
      <c r="O2640" t="s">
        <v>41250</v>
      </c>
      <c r="P2640">
        <v>0</v>
      </c>
      <c r="Q2640">
        <v>0</v>
      </c>
      <c r="R2640" t="s">
        <v>41252</v>
      </c>
      <c r="S2640" t="s">
        <v>41383</v>
      </c>
      <c r="T2640" t="s">
        <v>42686</v>
      </c>
      <c r="U2640" t="s">
        <v>45472</v>
      </c>
      <c r="W2640" t="s">
        <v>38646</v>
      </c>
      <c r="X2640" t="s">
        <v>41254</v>
      </c>
    </row>
    <row r="2641" spans="1:24">
      <c r="A2641">
        <f>HYPERLINK("https://www.philgeps.gov.ph/GEPSNONPILOT/Tender/SplashBidNoticeAbstractUI.aspx?menuIndex=3&amp;refID=7073601&amp;Result=3","7073601")</f>
        <v>0</v>
      </c>
      <c r="B2641" t="s">
        <v>996</v>
      </c>
      <c r="C2641" t="s">
        <v>5905</v>
      </c>
      <c r="E2641" t="s">
        <v>19129</v>
      </c>
      <c r="F2641" t="s">
        <v>28669</v>
      </c>
      <c r="G2641" t="s">
        <v>28676</v>
      </c>
      <c r="H2641" t="s">
        <v>9998</v>
      </c>
      <c r="I2641" t="s">
        <v>6606</v>
      </c>
      <c r="J2641" t="s">
        <v>30623</v>
      </c>
      <c r="K2641" t="s">
        <v>37209</v>
      </c>
      <c r="M2641" t="s">
        <v>38524</v>
      </c>
      <c r="N2641" t="s">
        <v>41249</v>
      </c>
      <c r="O2641" t="s">
        <v>41250</v>
      </c>
      <c r="P2641">
        <v>0</v>
      </c>
      <c r="Q2641">
        <v>0</v>
      </c>
      <c r="R2641" t="s">
        <v>41252</v>
      </c>
      <c r="S2641" t="s">
        <v>41383</v>
      </c>
      <c r="T2641" t="s">
        <v>42729</v>
      </c>
      <c r="U2641" t="s">
        <v>45473</v>
      </c>
      <c r="W2641" t="s">
        <v>38524</v>
      </c>
      <c r="X2641" t="s">
        <v>41254</v>
      </c>
    </row>
    <row r="2642" spans="1:24">
      <c r="A2642">
        <f>HYPERLINK("https://www.philgeps.gov.ph/GEPSNONPILOT/Tender/SplashBidNoticeAbstractUI.aspx?menuIndex=3&amp;refID=7073536&amp;Result=3","7073536")</f>
        <v>0</v>
      </c>
      <c r="B2642" t="s">
        <v>1114</v>
      </c>
      <c r="C2642" t="s">
        <v>5906</v>
      </c>
      <c r="D2642" t="s">
        <v>16646</v>
      </c>
      <c r="E2642" t="s">
        <v>19130</v>
      </c>
      <c r="F2642" t="s">
        <v>28669</v>
      </c>
      <c r="G2642" t="s">
        <v>28677</v>
      </c>
      <c r="H2642" t="s">
        <v>9998</v>
      </c>
      <c r="I2642" t="s">
        <v>28749</v>
      </c>
      <c r="J2642" t="s">
        <v>29605</v>
      </c>
      <c r="K2642" t="s">
        <v>37205</v>
      </c>
      <c r="M2642" t="s">
        <v>38647</v>
      </c>
      <c r="N2642" t="s">
        <v>41249</v>
      </c>
      <c r="O2642" t="s">
        <v>41250</v>
      </c>
      <c r="P2642">
        <v>0</v>
      </c>
      <c r="Q2642">
        <v>4</v>
      </c>
      <c r="R2642" t="s">
        <v>41252</v>
      </c>
      <c r="S2642" t="s">
        <v>41383</v>
      </c>
      <c r="T2642" t="s">
        <v>42887</v>
      </c>
      <c r="U2642" t="s">
        <v>45474</v>
      </c>
      <c r="W2642" t="s">
        <v>38647</v>
      </c>
      <c r="X2642" t="s">
        <v>41254</v>
      </c>
    </row>
    <row r="2643" spans="1:24">
      <c r="A2643">
        <f>HYPERLINK("https://www.philgeps.gov.ph/GEPSNONPILOT/Tender/SplashBidNoticeAbstractUI.aspx?menuIndex=3&amp;refID=7073599&amp;Result=3","7073599")</f>
        <v>0</v>
      </c>
      <c r="B2643" t="s">
        <v>1021</v>
      </c>
      <c r="C2643" t="s">
        <v>5907</v>
      </c>
      <c r="D2643" t="s">
        <v>16646</v>
      </c>
      <c r="E2643" t="s">
        <v>19131</v>
      </c>
      <c r="F2643" t="s">
        <v>28669</v>
      </c>
      <c r="G2643" t="s">
        <v>28677</v>
      </c>
      <c r="H2643" t="s">
        <v>9998</v>
      </c>
      <c r="I2643" t="s">
        <v>28708</v>
      </c>
      <c r="J2643" t="s">
        <v>29144</v>
      </c>
      <c r="K2643" t="s">
        <v>37234</v>
      </c>
      <c r="M2643" t="s">
        <v>38551</v>
      </c>
      <c r="N2643" t="s">
        <v>41249</v>
      </c>
      <c r="O2643" t="s">
        <v>41250</v>
      </c>
      <c r="P2643">
        <v>0</v>
      </c>
      <c r="Q2643">
        <v>0</v>
      </c>
      <c r="R2643" t="s">
        <v>41252</v>
      </c>
      <c r="S2643" t="s">
        <v>41383</v>
      </c>
      <c r="T2643" t="s">
        <v>42727</v>
      </c>
      <c r="U2643" t="s">
        <v>45475</v>
      </c>
      <c r="W2643" t="s">
        <v>38551</v>
      </c>
      <c r="X2643" t="s">
        <v>41254</v>
      </c>
    </row>
    <row r="2644" spans="1:24">
      <c r="A2644">
        <f>HYPERLINK("https://www.philgeps.gov.ph/GEPSNONPILOT/Tender/SplashBidNoticeAbstractUI.aspx?menuIndex=3&amp;refID=7073598&amp;Result=3","7073598")</f>
        <v>0</v>
      </c>
      <c r="B2644" t="s">
        <v>1105</v>
      </c>
      <c r="C2644" t="s">
        <v>4218</v>
      </c>
      <c r="D2644" t="s">
        <v>16660</v>
      </c>
      <c r="E2644" t="s">
        <v>19132</v>
      </c>
      <c r="F2644" t="s">
        <v>28669</v>
      </c>
      <c r="G2644" t="s">
        <v>28677</v>
      </c>
      <c r="H2644" t="s">
        <v>9998</v>
      </c>
      <c r="I2644" t="s">
        <v>28694</v>
      </c>
      <c r="J2644" t="s">
        <v>30624</v>
      </c>
      <c r="K2644" t="s">
        <v>37210</v>
      </c>
      <c r="M2644" t="s">
        <v>38638</v>
      </c>
      <c r="N2644" t="s">
        <v>41249</v>
      </c>
      <c r="O2644" t="s">
        <v>41250</v>
      </c>
      <c r="P2644">
        <v>0</v>
      </c>
      <c r="Q2644">
        <v>1</v>
      </c>
      <c r="R2644" t="s">
        <v>41252</v>
      </c>
      <c r="S2644" t="s">
        <v>41383</v>
      </c>
      <c r="T2644" t="s">
        <v>42887</v>
      </c>
      <c r="U2644" t="s">
        <v>43972</v>
      </c>
      <c r="W2644" t="s">
        <v>38638</v>
      </c>
      <c r="X2644" t="s">
        <v>41254</v>
      </c>
    </row>
    <row r="2645" spans="1:24">
      <c r="A2645">
        <f>HYPERLINK("https://www.philgeps.gov.ph/GEPSNONPILOT/Tender/SplashBidNoticeAbstractUI.aspx?menuIndex=3&amp;refID=7073581&amp;Result=3","7073581")</f>
        <v>0</v>
      </c>
      <c r="B2645" t="s">
        <v>988</v>
      </c>
      <c r="C2645" t="s">
        <v>5908</v>
      </c>
      <c r="D2645" t="s">
        <v>16635</v>
      </c>
      <c r="E2645" t="s">
        <v>19133</v>
      </c>
      <c r="F2645" t="s">
        <v>28669</v>
      </c>
      <c r="G2645" t="s">
        <v>28675</v>
      </c>
      <c r="H2645" t="s">
        <v>9998</v>
      </c>
      <c r="I2645" t="s">
        <v>28751</v>
      </c>
      <c r="J2645" t="s">
        <v>30625</v>
      </c>
      <c r="K2645" t="s">
        <v>37213</v>
      </c>
      <c r="M2645" t="s">
        <v>38514</v>
      </c>
      <c r="N2645" t="s">
        <v>41249</v>
      </c>
      <c r="O2645" t="s">
        <v>41250</v>
      </c>
      <c r="P2645">
        <v>0</v>
      </c>
      <c r="Q2645">
        <v>1</v>
      </c>
      <c r="R2645" t="s">
        <v>41252</v>
      </c>
      <c r="S2645" t="s">
        <v>41383</v>
      </c>
      <c r="T2645" t="s">
        <v>42765</v>
      </c>
      <c r="U2645" t="s">
        <v>45476</v>
      </c>
      <c r="W2645" t="s">
        <v>38514</v>
      </c>
      <c r="X2645" t="s">
        <v>41254</v>
      </c>
    </row>
    <row r="2646" spans="1:24">
      <c r="A2646">
        <f>HYPERLINK("https://www.philgeps.gov.ph/GEPSNONPILOT/Tender/SplashBidNoticeAbstractUI.aspx?menuIndex=3&amp;refID=7073595&amp;Result=3","7073595")</f>
        <v>0</v>
      </c>
      <c r="B2646" t="s">
        <v>1115</v>
      </c>
      <c r="C2646" t="s">
        <v>5909</v>
      </c>
      <c r="D2646" t="s">
        <v>16608</v>
      </c>
      <c r="E2646" t="s">
        <v>19134</v>
      </c>
      <c r="F2646" t="s">
        <v>28669</v>
      </c>
      <c r="G2646" t="s">
        <v>28679</v>
      </c>
      <c r="H2646" t="s">
        <v>9998</v>
      </c>
      <c r="I2646" t="s">
        <v>28725</v>
      </c>
      <c r="J2646" t="s">
        <v>29088</v>
      </c>
      <c r="K2646" t="s">
        <v>37243</v>
      </c>
      <c r="M2646" t="s">
        <v>38648</v>
      </c>
      <c r="N2646" t="s">
        <v>41249</v>
      </c>
      <c r="O2646" t="s">
        <v>41250</v>
      </c>
      <c r="P2646">
        <v>0</v>
      </c>
      <c r="Q2646">
        <v>0</v>
      </c>
      <c r="R2646" t="s">
        <v>41252</v>
      </c>
      <c r="S2646" t="s">
        <v>41383</v>
      </c>
      <c r="T2646" t="s">
        <v>42694</v>
      </c>
      <c r="U2646" t="s">
        <v>45477</v>
      </c>
      <c r="W2646" t="s">
        <v>38648</v>
      </c>
      <c r="X2646" t="s">
        <v>41254</v>
      </c>
    </row>
    <row r="2647" spans="1:24">
      <c r="A2647">
        <f>HYPERLINK("https://www.philgeps.gov.ph/GEPSNONPILOT/Tender/SplashBidNoticeAbstractUI.aspx?menuIndex=3&amp;refID=7073467&amp;Result=3","7073467")</f>
        <v>0</v>
      </c>
      <c r="B2647" t="s">
        <v>714</v>
      </c>
      <c r="C2647" t="s">
        <v>5910</v>
      </c>
      <c r="D2647" t="s">
        <v>16608</v>
      </c>
      <c r="E2647" t="s">
        <v>19135</v>
      </c>
      <c r="F2647" t="s">
        <v>28669</v>
      </c>
      <c r="G2647" t="s">
        <v>28675</v>
      </c>
      <c r="H2647" t="s">
        <v>9998</v>
      </c>
      <c r="I2647" t="s">
        <v>28687</v>
      </c>
      <c r="J2647" t="s">
        <v>29724</v>
      </c>
      <c r="K2647" t="s">
        <v>37206</v>
      </c>
      <c r="M2647" t="s">
        <v>38221</v>
      </c>
      <c r="N2647" t="s">
        <v>41249</v>
      </c>
      <c r="O2647" t="s">
        <v>41250</v>
      </c>
      <c r="P2647">
        <v>0</v>
      </c>
      <c r="Q2647">
        <v>4</v>
      </c>
      <c r="R2647" t="s">
        <v>41252</v>
      </c>
      <c r="S2647" t="s">
        <v>41383</v>
      </c>
      <c r="T2647" t="s">
        <v>42808</v>
      </c>
      <c r="U2647" t="s">
        <v>45478</v>
      </c>
      <c r="W2647" t="s">
        <v>38221</v>
      </c>
      <c r="X2647" t="s">
        <v>41254</v>
      </c>
    </row>
    <row r="2648" spans="1:24">
      <c r="A2648">
        <f>HYPERLINK("https://www.philgeps.gov.ph/GEPSNONPILOT/Tender/SplashBidNoticeAbstractUI.aspx?menuIndex=3&amp;refID=7073592&amp;Result=3","7073592")</f>
        <v>0</v>
      </c>
      <c r="B2648" t="s">
        <v>1116</v>
      </c>
      <c r="C2648" t="s">
        <v>5911</v>
      </c>
      <c r="D2648" t="s">
        <v>16679</v>
      </c>
      <c r="E2648" t="s">
        <v>19136</v>
      </c>
      <c r="F2648" t="s">
        <v>28669</v>
      </c>
      <c r="G2648" t="s">
        <v>28677</v>
      </c>
      <c r="H2648" t="s">
        <v>9998</v>
      </c>
      <c r="I2648" t="s">
        <v>3679</v>
      </c>
      <c r="J2648" t="s">
        <v>30626</v>
      </c>
      <c r="K2648" t="s">
        <v>37208</v>
      </c>
      <c r="M2648" t="s">
        <v>38649</v>
      </c>
      <c r="N2648" t="s">
        <v>41249</v>
      </c>
      <c r="O2648" t="s">
        <v>41250</v>
      </c>
      <c r="P2648">
        <v>0</v>
      </c>
      <c r="Q2648">
        <v>0</v>
      </c>
      <c r="R2648" t="s">
        <v>41252</v>
      </c>
      <c r="S2648" t="s">
        <v>41383</v>
      </c>
      <c r="T2648" t="s">
        <v>42728</v>
      </c>
      <c r="U2648" t="s">
        <v>45479</v>
      </c>
      <c r="W2648" t="s">
        <v>38649</v>
      </c>
      <c r="X2648" t="s">
        <v>41254</v>
      </c>
    </row>
    <row r="2649" spans="1:24">
      <c r="A2649">
        <f>HYPERLINK("https://www.philgeps.gov.ph/GEPSNONPILOT/Tender/SplashBidNoticeAbstractUI.aspx?menuIndex=3&amp;refID=7073603&amp;Result=3","7073603")</f>
        <v>0</v>
      </c>
      <c r="B2649" t="s">
        <v>752</v>
      </c>
      <c r="C2649" t="s">
        <v>5912</v>
      </c>
      <c r="E2649" t="s">
        <v>19137</v>
      </c>
      <c r="F2649" t="s">
        <v>28669</v>
      </c>
      <c r="G2649" t="s">
        <v>28676</v>
      </c>
      <c r="H2649" t="s">
        <v>9998</v>
      </c>
      <c r="I2649" t="s">
        <v>5033</v>
      </c>
      <c r="J2649" t="s">
        <v>30201</v>
      </c>
      <c r="K2649" t="s">
        <v>37205</v>
      </c>
      <c r="M2649" t="s">
        <v>38650</v>
      </c>
      <c r="N2649" t="s">
        <v>41249</v>
      </c>
      <c r="O2649" t="s">
        <v>41250</v>
      </c>
      <c r="P2649">
        <v>0</v>
      </c>
      <c r="Q2649">
        <v>6</v>
      </c>
      <c r="R2649" t="s">
        <v>41252</v>
      </c>
      <c r="S2649" t="s">
        <v>41383</v>
      </c>
      <c r="T2649" t="s">
        <v>42701</v>
      </c>
      <c r="U2649" t="s">
        <v>45480</v>
      </c>
      <c r="V2649" t="s">
        <v>54579</v>
      </c>
      <c r="W2649" t="s">
        <v>38650</v>
      </c>
      <c r="X2649" t="s">
        <v>41254</v>
      </c>
    </row>
    <row r="2650" spans="1:24">
      <c r="A2650">
        <f>HYPERLINK("https://www.philgeps.gov.ph/GEPSNONPILOT/Tender/SplashBidNoticeAbstractUI.aspx?menuIndex=3&amp;refID=7073623&amp;Result=3","7073623")</f>
        <v>0</v>
      </c>
      <c r="B2650" t="s">
        <v>358</v>
      </c>
      <c r="C2650" t="s">
        <v>5848</v>
      </c>
      <c r="D2650" t="s">
        <v>16683</v>
      </c>
      <c r="E2650" t="s">
        <v>19138</v>
      </c>
      <c r="F2650" t="s">
        <v>28669</v>
      </c>
      <c r="G2650" t="s">
        <v>28677</v>
      </c>
      <c r="H2650" t="s">
        <v>9998</v>
      </c>
      <c r="I2650" t="s">
        <v>6128</v>
      </c>
      <c r="J2650" t="s">
        <v>30627</v>
      </c>
      <c r="K2650" t="s">
        <v>37209</v>
      </c>
      <c r="M2650" t="s">
        <v>37839</v>
      </c>
      <c r="N2650" t="s">
        <v>41249</v>
      </c>
      <c r="O2650" t="s">
        <v>41250</v>
      </c>
      <c r="P2650">
        <v>0</v>
      </c>
      <c r="Q2650">
        <v>1</v>
      </c>
      <c r="R2650" t="s">
        <v>41252</v>
      </c>
      <c r="S2650" t="s">
        <v>41383</v>
      </c>
      <c r="T2650" t="s">
        <v>42883</v>
      </c>
      <c r="U2650" t="s">
        <v>45424</v>
      </c>
      <c r="W2650" t="s">
        <v>37839</v>
      </c>
      <c r="X2650" t="s">
        <v>41254</v>
      </c>
    </row>
    <row r="2651" spans="1:24">
      <c r="A2651">
        <f>HYPERLINK("https://www.philgeps.gov.ph/GEPSNONPILOT/Tender/SplashBidNoticeAbstractUI.aspx?menuIndex=3&amp;refID=7073627&amp;Result=3","7073627")</f>
        <v>0</v>
      </c>
      <c r="B2651" t="s">
        <v>140</v>
      </c>
      <c r="C2651" t="s">
        <v>5913</v>
      </c>
      <c r="D2651" t="s">
        <v>16652</v>
      </c>
      <c r="E2651" t="s">
        <v>19139</v>
      </c>
      <c r="F2651" t="s">
        <v>28669</v>
      </c>
      <c r="G2651" t="s">
        <v>28676</v>
      </c>
      <c r="H2651" t="s">
        <v>9998</v>
      </c>
      <c r="I2651" t="s">
        <v>6606</v>
      </c>
      <c r="J2651" t="s">
        <v>30628</v>
      </c>
      <c r="K2651" t="s">
        <v>37234</v>
      </c>
      <c r="M2651" t="s">
        <v>37617</v>
      </c>
      <c r="N2651" t="s">
        <v>41249</v>
      </c>
      <c r="O2651" t="s">
        <v>41250</v>
      </c>
      <c r="P2651">
        <v>0</v>
      </c>
      <c r="Q2651">
        <v>0</v>
      </c>
      <c r="R2651" t="s">
        <v>41252</v>
      </c>
      <c r="S2651" t="s">
        <v>41383</v>
      </c>
      <c r="T2651" t="s">
        <v>42802</v>
      </c>
      <c r="U2651" t="s">
        <v>45442</v>
      </c>
      <c r="W2651" t="s">
        <v>37617</v>
      </c>
      <c r="X2651" t="s">
        <v>41254</v>
      </c>
    </row>
    <row r="2652" spans="1:24">
      <c r="A2652">
        <f>HYPERLINK("https://www.philgeps.gov.ph/GEPSNONPILOT/Tender/SplashBidNoticeAbstractUI.aspx?menuIndex=3&amp;refID=7073465&amp;Result=3","7073465")</f>
        <v>0</v>
      </c>
      <c r="B2652" t="s">
        <v>988</v>
      </c>
      <c r="C2652" t="s">
        <v>5914</v>
      </c>
      <c r="D2652" t="s">
        <v>16635</v>
      </c>
      <c r="E2652" t="s">
        <v>19140</v>
      </c>
      <c r="F2652" t="s">
        <v>28669</v>
      </c>
      <c r="G2652" t="s">
        <v>28675</v>
      </c>
      <c r="H2652" t="s">
        <v>9998</v>
      </c>
      <c r="I2652" t="s">
        <v>28696</v>
      </c>
      <c r="J2652" t="s">
        <v>28924</v>
      </c>
      <c r="K2652" t="s">
        <v>37213</v>
      </c>
      <c r="M2652" t="s">
        <v>38514</v>
      </c>
      <c r="N2652" t="s">
        <v>41249</v>
      </c>
      <c r="O2652" t="s">
        <v>41250</v>
      </c>
      <c r="P2652">
        <v>0</v>
      </c>
      <c r="Q2652">
        <v>5</v>
      </c>
      <c r="R2652" t="s">
        <v>41252</v>
      </c>
      <c r="S2652" t="s">
        <v>41383</v>
      </c>
      <c r="T2652" t="s">
        <v>42765</v>
      </c>
      <c r="U2652" t="s">
        <v>45481</v>
      </c>
      <c r="W2652" t="s">
        <v>38514</v>
      </c>
      <c r="X2652" t="s">
        <v>41254</v>
      </c>
    </row>
    <row r="2653" spans="1:24">
      <c r="A2653">
        <f>HYPERLINK("https://www.philgeps.gov.ph/GEPSNONPILOT/Tender/SplashBidNoticeAbstractUI.aspx?menuIndex=3&amp;refID=7073462&amp;Result=3","7073462")</f>
        <v>0</v>
      </c>
      <c r="B2653" t="s">
        <v>1024</v>
      </c>
      <c r="C2653" t="s">
        <v>5915</v>
      </c>
      <c r="D2653" t="s">
        <v>16608</v>
      </c>
      <c r="E2653" t="s">
        <v>19141</v>
      </c>
      <c r="F2653" t="s">
        <v>28669</v>
      </c>
      <c r="G2653" t="s">
        <v>28677</v>
      </c>
      <c r="H2653" t="s">
        <v>9998</v>
      </c>
      <c r="I2653" t="s">
        <v>7352</v>
      </c>
      <c r="J2653" t="s">
        <v>30629</v>
      </c>
      <c r="K2653" t="s">
        <v>37206</v>
      </c>
      <c r="M2653" t="s">
        <v>38554</v>
      </c>
      <c r="N2653" t="s">
        <v>41249</v>
      </c>
      <c r="O2653" t="s">
        <v>41250</v>
      </c>
      <c r="P2653">
        <v>0</v>
      </c>
      <c r="Q2653">
        <v>1</v>
      </c>
      <c r="R2653" t="s">
        <v>41252</v>
      </c>
      <c r="S2653" t="s">
        <v>41383</v>
      </c>
      <c r="T2653" t="s">
        <v>42679</v>
      </c>
      <c r="U2653" t="s">
        <v>45482</v>
      </c>
      <c r="W2653" t="s">
        <v>38554</v>
      </c>
      <c r="X2653" t="s">
        <v>41254</v>
      </c>
    </row>
    <row r="2654" spans="1:24">
      <c r="A2654">
        <f>HYPERLINK("https://www.philgeps.gov.ph/GEPSNONPILOT/Tender/SplashBidNoticeAbstractUI.aspx?menuIndex=3&amp;refID=7073596&amp;Result=3","7073596")</f>
        <v>0</v>
      </c>
      <c r="B2654" t="s">
        <v>977</v>
      </c>
      <c r="C2654" t="s">
        <v>5916</v>
      </c>
      <c r="D2654" t="s">
        <v>16691</v>
      </c>
      <c r="E2654" t="s">
        <v>19142</v>
      </c>
      <c r="F2654" t="s">
        <v>28669</v>
      </c>
      <c r="G2654" t="s">
        <v>28676</v>
      </c>
      <c r="H2654" t="s">
        <v>9998</v>
      </c>
      <c r="I2654" t="s">
        <v>28736</v>
      </c>
      <c r="J2654" t="s">
        <v>29450</v>
      </c>
      <c r="K2654" t="s">
        <v>37205</v>
      </c>
      <c r="M2654" t="s">
        <v>38502</v>
      </c>
      <c r="N2654" t="s">
        <v>41249</v>
      </c>
      <c r="O2654" t="s">
        <v>41250</v>
      </c>
      <c r="P2654">
        <v>0</v>
      </c>
      <c r="Q2654">
        <v>0</v>
      </c>
      <c r="R2654" t="s">
        <v>41252</v>
      </c>
      <c r="S2654" t="s">
        <v>41383</v>
      </c>
      <c r="T2654" t="s">
        <v>42802</v>
      </c>
      <c r="U2654" t="s">
        <v>45483</v>
      </c>
      <c r="W2654" t="s">
        <v>38502</v>
      </c>
      <c r="X2654" t="s">
        <v>41254</v>
      </c>
    </row>
    <row r="2655" spans="1:24">
      <c r="A2655">
        <f>HYPERLINK("https://www.philgeps.gov.ph/GEPSNONPILOT/Tender/SplashBidNoticeAbstractUI.aspx?menuIndex=3&amp;refID=7073624&amp;Result=3","7073624")</f>
        <v>0</v>
      </c>
      <c r="B2655" t="s">
        <v>1102</v>
      </c>
      <c r="C2655" t="s">
        <v>5917</v>
      </c>
      <c r="D2655" t="s">
        <v>16667</v>
      </c>
      <c r="E2655" t="s">
        <v>5917</v>
      </c>
      <c r="F2655" t="s">
        <v>28669</v>
      </c>
      <c r="G2655" t="s">
        <v>28676</v>
      </c>
      <c r="H2655" t="s">
        <v>9998</v>
      </c>
      <c r="I2655" t="s">
        <v>28704</v>
      </c>
      <c r="J2655" t="s">
        <v>30630</v>
      </c>
      <c r="K2655" t="s">
        <v>37209</v>
      </c>
      <c r="M2655" t="s">
        <v>38635</v>
      </c>
      <c r="N2655" t="s">
        <v>41249</v>
      </c>
      <c r="O2655" t="s">
        <v>41250</v>
      </c>
      <c r="P2655">
        <v>0</v>
      </c>
      <c r="Q2655">
        <v>0</v>
      </c>
      <c r="R2655" t="s">
        <v>41252</v>
      </c>
      <c r="S2655" t="s">
        <v>41383</v>
      </c>
      <c r="T2655" t="s">
        <v>42729</v>
      </c>
      <c r="U2655" t="s">
        <v>45446</v>
      </c>
      <c r="W2655" t="s">
        <v>38635</v>
      </c>
      <c r="X2655" t="s">
        <v>41254</v>
      </c>
    </row>
    <row r="2656" spans="1:24">
      <c r="A2656">
        <f>HYPERLINK("https://www.philgeps.gov.ph/GEPSNONPILOT/Tender/SplashBidNoticeAbstractUI.aspx?menuIndex=3&amp;refID=7073621&amp;Result=3","7073621")</f>
        <v>0</v>
      </c>
      <c r="B2656" t="s">
        <v>1033</v>
      </c>
      <c r="C2656" t="s">
        <v>5918</v>
      </c>
      <c r="E2656" t="s">
        <v>19143</v>
      </c>
      <c r="F2656" t="s">
        <v>28669</v>
      </c>
      <c r="G2656" t="s">
        <v>28676</v>
      </c>
      <c r="H2656" t="s">
        <v>9998</v>
      </c>
      <c r="I2656" t="s">
        <v>15140</v>
      </c>
      <c r="J2656" t="s">
        <v>29317</v>
      </c>
      <c r="K2656" t="s">
        <v>37209</v>
      </c>
      <c r="M2656" t="s">
        <v>38564</v>
      </c>
      <c r="N2656" t="s">
        <v>41249</v>
      </c>
      <c r="O2656" t="s">
        <v>41250</v>
      </c>
      <c r="P2656">
        <v>0</v>
      </c>
      <c r="Q2656">
        <v>0</v>
      </c>
      <c r="R2656" t="s">
        <v>41252</v>
      </c>
      <c r="S2656" t="s">
        <v>41383</v>
      </c>
      <c r="T2656" t="s">
        <v>42802</v>
      </c>
      <c r="U2656" t="s">
        <v>45484</v>
      </c>
      <c r="W2656" t="s">
        <v>38564</v>
      </c>
      <c r="X2656" t="s">
        <v>41254</v>
      </c>
    </row>
    <row r="2657" spans="1:24">
      <c r="A2657">
        <f>HYPERLINK("https://www.philgeps.gov.ph/GEPSNONPILOT/Tender/SplashBidNoticeAbstractUI.aspx?menuIndex=3&amp;refID=7073620&amp;Result=3","7073620")</f>
        <v>0</v>
      </c>
      <c r="B2657" t="s">
        <v>1117</v>
      </c>
      <c r="C2657" t="s">
        <v>5919</v>
      </c>
      <c r="D2657" t="s">
        <v>16607</v>
      </c>
      <c r="E2657" t="s">
        <v>19144</v>
      </c>
      <c r="F2657" t="s">
        <v>28669</v>
      </c>
      <c r="G2657" t="s">
        <v>28676</v>
      </c>
      <c r="H2657" t="s">
        <v>9998</v>
      </c>
      <c r="I2657" t="s">
        <v>3718</v>
      </c>
      <c r="J2657" t="s">
        <v>30631</v>
      </c>
      <c r="K2657" t="s">
        <v>37205</v>
      </c>
      <c r="M2657" t="s">
        <v>38651</v>
      </c>
      <c r="N2657" t="s">
        <v>41249</v>
      </c>
      <c r="O2657" t="s">
        <v>41250</v>
      </c>
      <c r="P2657">
        <v>0</v>
      </c>
      <c r="Q2657">
        <v>1</v>
      </c>
      <c r="R2657" t="s">
        <v>41252</v>
      </c>
      <c r="S2657" t="s">
        <v>41383</v>
      </c>
      <c r="T2657" t="s">
        <v>42682</v>
      </c>
      <c r="U2657" t="s">
        <v>45485</v>
      </c>
      <c r="W2657" t="s">
        <v>38651</v>
      </c>
      <c r="X2657" t="s">
        <v>41254</v>
      </c>
    </row>
    <row r="2658" spans="1:24">
      <c r="A2658">
        <f>HYPERLINK("https://www.philgeps.gov.ph/GEPSNONPILOT/Tender/SplashBidNoticeAbstractUI.aspx?menuIndex=3&amp;refID=7073618&amp;Result=3","7073618")</f>
        <v>0</v>
      </c>
      <c r="B2658" t="s">
        <v>1105</v>
      </c>
      <c r="C2658" t="s">
        <v>5791</v>
      </c>
      <c r="D2658" t="s">
        <v>16660</v>
      </c>
      <c r="E2658" t="s">
        <v>19145</v>
      </c>
      <c r="F2658" t="s">
        <v>28669</v>
      </c>
      <c r="G2658" t="s">
        <v>28677</v>
      </c>
      <c r="H2658" t="s">
        <v>9998</v>
      </c>
      <c r="I2658" t="s">
        <v>28713</v>
      </c>
      <c r="J2658" t="s">
        <v>30632</v>
      </c>
      <c r="K2658" t="s">
        <v>37210</v>
      </c>
      <c r="M2658" t="s">
        <v>38638</v>
      </c>
      <c r="N2658" t="s">
        <v>41249</v>
      </c>
      <c r="O2658" t="s">
        <v>41250</v>
      </c>
      <c r="P2658">
        <v>0</v>
      </c>
      <c r="Q2658">
        <v>4</v>
      </c>
      <c r="R2658" t="s">
        <v>41252</v>
      </c>
      <c r="S2658" t="s">
        <v>41383</v>
      </c>
      <c r="T2658" t="s">
        <v>42887</v>
      </c>
      <c r="U2658" t="s">
        <v>45372</v>
      </c>
      <c r="W2658" t="s">
        <v>38638</v>
      </c>
      <c r="X2658" t="s">
        <v>41254</v>
      </c>
    </row>
    <row r="2659" spans="1:24">
      <c r="A2659">
        <f>HYPERLINK("https://www.philgeps.gov.ph/GEPSNONPILOT/Tender/SplashBidNoticeAbstractUI.aspx?menuIndex=3&amp;refID=7073625&amp;Result=3","7073625")</f>
        <v>0</v>
      </c>
      <c r="B2659" t="s">
        <v>1056</v>
      </c>
      <c r="C2659" t="s">
        <v>5920</v>
      </c>
      <c r="D2659" t="s">
        <v>16683</v>
      </c>
      <c r="E2659" t="s">
        <v>19146</v>
      </c>
      <c r="F2659" t="s">
        <v>28669</v>
      </c>
      <c r="G2659" t="s">
        <v>28675</v>
      </c>
      <c r="H2659" t="s">
        <v>28686</v>
      </c>
      <c r="I2659" t="s">
        <v>28689</v>
      </c>
      <c r="J2659" t="s">
        <v>30633</v>
      </c>
      <c r="K2659" t="s">
        <v>37291</v>
      </c>
      <c r="M2659" t="s">
        <v>38587</v>
      </c>
      <c r="N2659" t="s">
        <v>41249</v>
      </c>
      <c r="O2659" t="s">
        <v>41250</v>
      </c>
      <c r="P2659">
        <v>0</v>
      </c>
      <c r="Q2659">
        <v>0</v>
      </c>
      <c r="R2659" t="s">
        <v>41252</v>
      </c>
      <c r="S2659" t="s">
        <v>41383</v>
      </c>
      <c r="T2659" t="s">
        <v>42870</v>
      </c>
      <c r="U2659" t="s">
        <v>45486</v>
      </c>
      <c r="W2659" t="s">
        <v>38587</v>
      </c>
      <c r="X2659" t="s">
        <v>41254</v>
      </c>
    </row>
    <row r="2660" spans="1:24">
      <c r="A2660">
        <f>HYPERLINK("https://www.philgeps.gov.ph/GEPSNONPILOT/Tender/SplashBidNoticeAbstractUI.aspx?menuIndex=3&amp;refID=7073617&amp;Result=3","7073617")</f>
        <v>0</v>
      </c>
      <c r="B2660" t="s">
        <v>1118</v>
      </c>
      <c r="C2660" t="s">
        <v>5921</v>
      </c>
      <c r="D2660" t="s">
        <v>16662</v>
      </c>
      <c r="E2660" t="s">
        <v>17407</v>
      </c>
      <c r="F2660" t="s">
        <v>28669</v>
      </c>
      <c r="G2660" t="s">
        <v>28676</v>
      </c>
      <c r="H2660" t="s">
        <v>9998</v>
      </c>
      <c r="I2660" t="s">
        <v>28696</v>
      </c>
      <c r="J2660" t="s">
        <v>30634</v>
      </c>
      <c r="K2660" t="s">
        <v>37209</v>
      </c>
      <c r="M2660" t="s">
        <v>38652</v>
      </c>
      <c r="N2660" t="s">
        <v>41249</v>
      </c>
      <c r="O2660" t="s">
        <v>41250</v>
      </c>
      <c r="P2660">
        <v>0</v>
      </c>
      <c r="Q2660">
        <v>0</v>
      </c>
      <c r="R2660" t="s">
        <v>41252</v>
      </c>
      <c r="S2660" t="s">
        <v>41383</v>
      </c>
      <c r="T2660" t="s">
        <v>42701</v>
      </c>
      <c r="U2660" t="s">
        <v>45322</v>
      </c>
      <c r="W2660" t="s">
        <v>38652</v>
      </c>
      <c r="X2660" t="s">
        <v>41254</v>
      </c>
    </row>
    <row r="2661" spans="1:24">
      <c r="A2661">
        <f>HYPERLINK("https://www.philgeps.gov.ph/GEPSNONPILOT/Tender/SplashBidNoticeAbstractUI.aspx?menuIndex=3&amp;refID=7073615&amp;Result=3","7073615")</f>
        <v>0</v>
      </c>
      <c r="B2661" t="s">
        <v>1119</v>
      </c>
      <c r="C2661" t="s">
        <v>5922</v>
      </c>
      <c r="D2661" t="s">
        <v>16665</v>
      </c>
      <c r="E2661" t="s">
        <v>19147</v>
      </c>
      <c r="F2661" t="s">
        <v>28669</v>
      </c>
      <c r="G2661" t="s">
        <v>28676</v>
      </c>
      <c r="H2661" t="s">
        <v>28686</v>
      </c>
      <c r="I2661" t="s">
        <v>28689</v>
      </c>
      <c r="J2661" t="s">
        <v>30635</v>
      </c>
      <c r="K2661" t="s">
        <v>37221</v>
      </c>
      <c r="M2661" t="s">
        <v>38653</v>
      </c>
      <c r="N2661" t="s">
        <v>41249</v>
      </c>
      <c r="O2661" t="s">
        <v>41250</v>
      </c>
      <c r="P2661">
        <v>0</v>
      </c>
      <c r="Q2661">
        <v>1</v>
      </c>
      <c r="R2661" t="s">
        <v>41252</v>
      </c>
      <c r="S2661" t="s">
        <v>41383</v>
      </c>
      <c r="T2661" t="s">
        <v>42729</v>
      </c>
      <c r="U2661" t="s">
        <v>45487</v>
      </c>
      <c r="W2661" t="s">
        <v>38653</v>
      </c>
      <c r="X2661" t="s">
        <v>41254</v>
      </c>
    </row>
    <row r="2662" spans="1:24">
      <c r="A2662">
        <f>HYPERLINK("https://www.philgeps.gov.ph/GEPSNONPILOT/Tender/SplashBidNoticeAbstractUI.aspx?menuIndex=3&amp;refID=7073622&amp;Result=3","7073622")</f>
        <v>0</v>
      </c>
      <c r="B2662" t="s">
        <v>1120</v>
      </c>
      <c r="C2662" t="s">
        <v>5923</v>
      </c>
      <c r="D2662" t="s">
        <v>16644</v>
      </c>
      <c r="E2662" t="s">
        <v>19148</v>
      </c>
      <c r="F2662" t="s">
        <v>28669</v>
      </c>
      <c r="G2662" t="s">
        <v>28676</v>
      </c>
      <c r="H2662" t="s">
        <v>9998</v>
      </c>
      <c r="I2662" t="s">
        <v>7352</v>
      </c>
      <c r="J2662" t="s">
        <v>30636</v>
      </c>
      <c r="K2662" t="s">
        <v>37204</v>
      </c>
      <c r="M2662" t="s">
        <v>38654</v>
      </c>
      <c r="N2662" t="s">
        <v>41249</v>
      </c>
      <c r="O2662" t="s">
        <v>41250</v>
      </c>
      <c r="P2662">
        <v>0</v>
      </c>
      <c r="Q2662">
        <v>0</v>
      </c>
      <c r="R2662" t="s">
        <v>41252</v>
      </c>
      <c r="S2662" t="s">
        <v>41383</v>
      </c>
      <c r="T2662" t="s">
        <v>42758</v>
      </c>
      <c r="U2662" t="s">
        <v>45488</v>
      </c>
      <c r="W2662" t="s">
        <v>38654</v>
      </c>
      <c r="X2662" t="s">
        <v>41254</v>
      </c>
    </row>
    <row r="2663" spans="1:24">
      <c r="A2663">
        <f>HYPERLINK("https://www.philgeps.gov.ph/GEPSNONPILOT/Tender/SplashBidNoticeAbstractUI.aspx?menuIndex=3&amp;refID=7073593&amp;Result=3","7073593")</f>
        <v>0</v>
      </c>
      <c r="B2663" t="s">
        <v>659</v>
      </c>
      <c r="C2663" t="s">
        <v>5924</v>
      </c>
      <c r="D2663" t="s">
        <v>16643</v>
      </c>
      <c r="E2663" t="s">
        <v>19149</v>
      </c>
      <c r="F2663" t="s">
        <v>28669</v>
      </c>
      <c r="G2663" t="s">
        <v>28676</v>
      </c>
      <c r="H2663" t="s">
        <v>9998</v>
      </c>
      <c r="I2663" t="s">
        <v>28712</v>
      </c>
      <c r="J2663" t="s">
        <v>29523</v>
      </c>
      <c r="K2663" t="s">
        <v>37204</v>
      </c>
      <c r="M2663" t="s">
        <v>38161</v>
      </c>
      <c r="N2663" t="s">
        <v>41249</v>
      </c>
      <c r="O2663" t="s">
        <v>41250</v>
      </c>
      <c r="P2663">
        <v>0</v>
      </c>
      <c r="Q2663">
        <v>0</v>
      </c>
      <c r="R2663" t="s">
        <v>41252</v>
      </c>
      <c r="S2663" t="s">
        <v>41383</v>
      </c>
      <c r="T2663" t="s">
        <v>42736</v>
      </c>
      <c r="U2663" t="s">
        <v>45489</v>
      </c>
      <c r="W2663" t="s">
        <v>55925</v>
      </c>
      <c r="X2663" t="s">
        <v>41254</v>
      </c>
    </row>
    <row r="2664" spans="1:24">
      <c r="A2664">
        <f>HYPERLINK("https://www.philgeps.gov.ph/GEPSNONPILOT/Tender/SplashBidNoticeAbstractUI.aspx?menuIndex=3&amp;refID=7073612&amp;Result=3","7073612")</f>
        <v>0</v>
      </c>
      <c r="B2664" t="s">
        <v>1121</v>
      </c>
      <c r="C2664" t="s">
        <v>5925</v>
      </c>
      <c r="D2664" t="s">
        <v>16640</v>
      </c>
      <c r="E2664" t="s">
        <v>19150</v>
      </c>
      <c r="F2664" t="s">
        <v>28669</v>
      </c>
      <c r="G2664" t="s">
        <v>28676</v>
      </c>
      <c r="H2664" t="s">
        <v>9998</v>
      </c>
      <c r="I2664" t="s">
        <v>6128</v>
      </c>
      <c r="J2664" t="s">
        <v>29733</v>
      </c>
      <c r="K2664" t="s">
        <v>37204</v>
      </c>
      <c r="M2664" t="s">
        <v>38655</v>
      </c>
      <c r="N2664" t="s">
        <v>41249</v>
      </c>
      <c r="O2664" t="s">
        <v>41250</v>
      </c>
      <c r="P2664">
        <v>0</v>
      </c>
      <c r="Q2664">
        <v>0</v>
      </c>
      <c r="R2664" t="s">
        <v>41252</v>
      </c>
      <c r="S2664" t="s">
        <v>41383</v>
      </c>
      <c r="T2664" t="s">
        <v>42665</v>
      </c>
      <c r="U2664" t="s">
        <v>45490</v>
      </c>
      <c r="W2664" t="s">
        <v>38655</v>
      </c>
      <c r="X2664" t="s">
        <v>41254</v>
      </c>
    </row>
    <row r="2665" spans="1:24">
      <c r="A2665">
        <f>HYPERLINK("https://www.philgeps.gov.ph/GEPSNONPILOT/Tender/SplashBidNoticeAbstractUI.aspx?menuIndex=3&amp;refID=7073626&amp;Result=3","7073626")</f>
        <v>0</v>
      </c>
      <c r="B2665" t="s">
        <v>211</v>
      </c>
      <c r="C2665" t="s">
        <v>5926</v>
      </c>
      <c r="D2665" t="s">
        <v>16618</v>
      </c>
      <c r="E2665" t="s">
        <v>19151</v>
      </c>
      <c r="F2665" t="s">
        <v>28669</v>
      </c>
      <c r="G2665" t="s">
        <v>28677</v>
      </c>
      <c r="H2665" t="s">
        <v>9998</v>
      </c>
      <c r="I2665" t="s">
        <v>3718</v>
      </c>
      <c r="J2665" t="s">
        <v>29364</v>
      </c>
      <c r="K2665" t="s">
        <v>37209</v>
      </c>
      <c r="M2665" t="s">
        <v>37689</v>
      </c>
      <c r="N2665" t="s">
        <v>41249</v>
      </c>
      <c r="O2665" t="s">
        <v>41250</v>
      </c>
      <c r="P2665">
        <v>0</v>
      </c>
      <c r="Q2665">
        <v>0</v>
      </c>
      <c r="R2665" t="s">
        <v>41252</v>
      </c>
      <c r="S2665" t="s">
        <v>41383</v>
      </c>
      <c r="T2665" t="s">
        <v>42758</v>
      </c>
      <c r="U2665" t="s">
        <v>45491</v>
      </c>
      <c r="W2665" t="s">
        <v>37689</v>
      </c>
      <c r="X2665" t="s">
        <v>41254</v>
      </c>
    </row>
    <row r="2666" spans="1:24">
      <c r="A2666">
        <f>HYPERLINK("https://www.philgeps.gov.ph/GEPSNONPILOT/Tender/SplashBidNoticeAbstractUI.aspx?menuIndex=3&amp;refID=7073609&amp;Result=3","7073609")</f>
        <v>0</v>
      </c>
      <c r="B2666" t="s">
        <v>148</v>
      </c>
      <c r="C2666" t="s">
        <v>5927</v>
      </c>
      <c r="D2666" t="s">
        <v>16620</v>
      </c>
      <c r="E2666" t="s">
        <v>19152</v>
      </c>
      <c r="F2666" t="s">
        <v>28669</v>
      </c>
      <c r="G2666" t="s">
        <v>28675</v>
      </c>
      <c r="H2666" t="s">
        <v>28686</v>
      </c>
      <c r="I2666" t="s">
        <v>28689</v>
      </c>
      <c r="J2666" t="s">
        <v>30637</v>
      </c>
      <c r="K2666" t="s">
        <v>37215</v>
      </c>
      <c r="L2666" t="s">
        <v>148</v>
      </c>
      <c r="M2666" t="s">
        <v>37625</v>
      </c>
      <c r="N2666" t="s">
        <v>41249</v>
      </c>
      <c r="O2666" t="s">
        <v>41250</v>
      </c>
      <c r="P2666">
        <v>0</v>
      </c>
      <c r="Q2666">
        <v>1</v>
      </c>
      <c r="R2666" t="s">
        <v>41252</v>
      </c>
      <c r="S2666" t="s">
        <v>41383</v>
      </c>
      <c r="T2666" t="s">
        <v>42661</v>
      </c>
      <c r="U2666" t="s">
        <v>45492</v>
      </c>
      <c r="V2666" t="s">
        <v>54580</v>
      </c>
      <c r="W2666" t="s">
        <v>37625</v>
      </c>
      <c r="X2666" t="s">
        <v>41254</v>
      </c>
    </row>
    <row r="2667" spans="1:24">
      <c r="A2667">
        <f>HYPERLINK("https://www.philgeps.gov.ph/GEPSNONPILOT/Tender/SplashBidNoticeAbstractUI.aspx?menuIndex=3&amp;refID=7073616&amp;Result=3","7073616")</f>
        <v>0</v>
      </c>
      <c r="B2667" t="s">
        <v>1113</v>
      </c>
      <c r="C2667" t="s">
        <v>5928</v>
      </c>
      <c r="D2667" t="s">
        <v>16654</v>
      </c>
      <c r="E2667" t="s">
        <v>19153</v>
      </c>
      <c r="F2667" t="s">
        <v>28669</v>
      </c>
      <c r="G2667" t="s">
        <v>28676</v>
      </c>
      <c r="H2667" t="s">
        <v>9998</v>
      </c>
      <c r="I2667" t="s">
        <v>28696</v>
      </c>
      <c r="J2667" t="s">
        <v>29110</v>
      </c>
      <c r="K2667" t="s">
        <v>37234</v>
      </c>
      <c r="M2667" t="s">
        <v>38646</v>
      </c>
      <c r="N2667" t="s">
        <v>41249</v>
      </c>
      <c r="O2667" t="s">
        <v>41250</v>
      </c>
      <c r="P2667">
        <v>0</v>
      </c>
      <c r="Q2667">
        <v>0</v>
      </c>
      <c r="R2667" t="s">
        <v>41252</v>
      </c>
      <c r="S2667" t="s">
        <v>41383</v>
      </c>
      <c r="T2667" t="s">
        <v>42686</v>
      </c>
      <c r="U2667" t="s">
        <v>45493</v>
      </c>
      <c r="W2667" t="s">
        <v>38646</v>
      </c>
      <c r="X2667" t="s">
        <v>41254</v>
      </c>
    </row>
    <row r="2668" spans="1:24">
      <c r="A2668">
        <f>HYPERLINK("https://www.philgeps.gov.ph/GEPSNONPILOT/Tender/SplashBidNoticeAbstractUI.aspx?menuIndex=3&amp;refID=7073614&amp;Result=3","7073614")</f>
        <v>0</v>
      </c>
      <c r="B2668" t="s">
        <v>154</v>
      </c>
      <c r="C2668" t="s">
        <v>5929</v>
      </c>
      <c r="D2668" t="s">
        <v>16621</v>
      </c>
      <c r="E2668" t="s">
        <v>19154</v>
      </c>
      <c r="F2668" t="s">
        <v>28669</v>
      </c>
      <c r="G2668" t="s">
        <v>28676</v>
      </c>
      <c r="H2668" t="s">
        <v>28686</v>
      </c>
      <c r="I2668" t="s">
        <v>28689</v>
      </c>
      <c r="J2668" t="s">
        <v>28826</v>
      </c>
      <c r="K2668" t="s">
        <v>37204</v>
      </c>
      <c r="M2668" t="s">
        <v>37631</v>
      </c>
      <c r="N2668" t="s">
        <v>41249</v>
      </c>
      <c r="O2668" t="s">
        <v>41250</v>
      </c>
      <c r="P2668">
        <v>0</v>
      </c>
      <c r="Q2668">
        <v>0</v>
      </c>
      <c r="R2668" t="s">
        <v>41252</v>
      </c>
      <c r="S2668" t="s">
        <v>41383</v>
      </c>
      <c r="T2668" t="s">
        <v>42754</v>
      </c>
      <c r="U2668" t="s">
        <v>45494</v>
      </c>
      <c r="W2668" t="s">
        <v>37631</v>
      </c>
      <c r="X2668" t="s">
        <v>41254</v>
      </c>
    </row>
    <row r="2669" spans="1:24">
      <c r="A2669">
        <f>HYPERLINK("https://www.philgeps.gov.ph/GEPSNONPILOT/Tender/SplashBidNoticeAbstractUI.aspx?menuIndex=3&amp;refID=7073594&amp;Result=3","7073594")</f>
        <v>0</v>
      </c>
      <c r="B2669" t="s">
        <v>140</v>
      </c>
      <c r="C2669" t="s">
        <v>5930</v>
      </c>
      <c r="D2669" t="s">
        <v>16652</v>
      </c>
      <c r="E2669" t="s">
        <v>19155</v>
      </c>
      <c r="F2669" t="s">
        <v>28669</v>
      </c>
      <c r="G2669" t="s">
        <v>28676</v>
      </c>
      <c r="H2669" t="s">
        <v>9998</v>
      </c>
      <c r="I2669" t="s">
        <v>28708</v>
      </c>
      <c r="J2669" t="s">
        <v>29057</v>
      </c>
      <c r="K2669" t="s">
        <v>37234</v>
      </c>
      <c r="M2669" t="s">
        <v>37617</v>
      </c>
      <c r="N2669" t="s">
        <v>41249</v>
      </c>
      <c r="O2669" t="s">
        <v>41250</v>
      </c>
      <c r="P2669">
        <v>0</v>
      </c>
      <c r="Q2669">
        <v>0</v>
      </c>
      <c r="R2669" t="s">
        <v>41252</v>
      </c>
      <c r="S2669" t="s">
        <v>41383</v>
      </c>
      <c r="T2669" t="s">
        <v>42802</v>
      </c>
      <c r="U2669" t="s">
        <v>45495</v>
      </c>
      <c r="W2669" t="s">
        <v>37617</v>
      </c>
      <c r="X2669" t="s">
        <v>41254</v>
      </c>
    </row>
    <row r="2670" spans="1:24">
      <c r="A2670">
        <f>HYPERLINK("https://www.philgeps.gov.ph/GEPSNONPILOT/Tender/SplashBidNoticeAbstractUI.aspx?menuIndex=3&amp;refID=7073656&amp;Result=3","7073656")</f>
        <v>0</v>
      </c>
      <c r="B2670" t="s">
        <v>140</v>
      </c>
      <c r="C2670" t="s">
        <v>5931</v>
      </c>
      <c r="D2670" t="s">
        <v>16652</v>
      </c>
      <c r="E2670" t="s">
        <v>16803</v>
      </c>
      <c r="F2670" t="s">
        <v>28669</v>
      </c>
      <c r="G2670" t="s">
        <v>28676</v>
      </c>
      <c r="H2670" t="s">
        <v>9998</v>
      </c>
      <c r="I2670" t="s">
        <v>5213</v>
      </c>
      <c r="J2670" t="s">
        <v>30638</v>
      </c>
      <c r="K2670" t="s">
        <v>37234</v>
      </c>
      <c r="M2670" t="s">
        <v>37617</v>
      </c>
      <c r="N2670" t="s">
        <v>41249</v>
      </c>
      <c r="O2670" t="s">
        <v>41250</v>
      </c>
      <c r="P2670">
        <v>0</v>
      </c>
      <c r="Q2670">
        <v>0</v>
      </c>
      <c r="R2670" t="s">
        <v>41252</v>
      </c>
      <c r="S2670" t="s">
        <v>41383</v>
      </c>
      <c r="T2670" t="s">
        <v>42802</v>
      </c>
      <c r="U2670" t="s">
        <v>43783</v>
      </c>
      <c r="W2670" t="s">
        <v>37617</v>
      </c>
      <c r="X2670" t="s">
        <v>41254</v>
      </c>
    </row>
    <row r="2671" spans="1:24">
      <c r="A2671">
        <f>HYPERLINK("https://www.philgeps.gov.ph/GEPSNONPILOT/Tender/SplashBidNoticeAbstractUI.aspx?menuIndex=3&amp;refID=7073568&amp;Result=3","7073568")</f>
        <v>0</v>
      </c>
      <c r="B2671" t="s">
        <v>1072</v>
      </c>
      <c r="C2671" t="s">
        <v>5932</v>
      </c>
      <c r="D2671" t="s">
        <v>16619</v>
      </c>
      <c r="E2671" t="s">
        <v>19156</v>
      </c>
      <c r="F2671" t="s">
        <v>28669</v>
      </c>
      <c r="G2671" t="s">
        <v>28676</v>
      </c>
      <c r="H2671" t="s">
        <v>9998</v>
      </c>
      <c r="I2671" t="s">
        <v>7352</v>
      </c>
      <c r="J2671" t="s">
        <v>30639</v>
      </c>
      <c r="K2671" t="s">
        <v>37206</v>
      </c>
      <c r="M2671" t="s">
        <v>38604</v>
      </c>
      <c r="N2671" t="s">
        <v>41249</v>
      </c>
      <c r="O2671" t="s">
        <v>41250</v>
      </c>
      <c r="P2671">
        <v>0</v>
      </c>
      <c r="Q2671">
        <v>1</v>
      </c>
      <c r="R2671" t="s">
        <v>41252</v>
      </c>
      <c r="S2671" t="s">
        <v>41383</v>
      </c>
      <c r="T2671" t="s">
        <v>42701</v>
      </c>
      <c r="U2671" t="s">
        <v>45496</v>
      </c>
      <c r="W2671" t="s">
        <v>38604</v>
      </c>
      <c r="X2671" t="s">
        <v>41254</v>
      </c>
    </row>
    <row r="2672" spans="1:24">
      <c r="A2672">
        <f>HYPERLINK("https://www.philgeps.gov.ph/GEPSNONPILOT/Tender/SplashBidNoticeAbstractUI.aspx?menuIndex=3&amp;refID=7073655&amp;Result=3","7073655")</f>
        <v>0</v>
      </c>
      <c r="B2672" t="s">
        <v>752</v>
      </c>
      <c r="C2672" t="s">
        <v>5933</v>
      </c>
      <c r="E2672" t="s">
        <v>19157</v>
      </c>
      <c r="F2672" t="s">
        <v>28669</v>
      </c>
      <c r="G2672" t="s">
        <v>28676</v>
      </c>
      <c r="H2672" t="s">
        <v>9998</v>
      </c>
      <c r="I2672" t="s">
        <v>11593</v>
      </c>
      <c r="J2672" t="s">
        <v>29497</v>
      </c>
      <c r="K2672" t="s">
        <v>37205</v>
      </c>
      <c r="M2672" t="s">
        <v>38650</v>
      </c>
      <c r="N2672" t="s">
        <v>41249</v>
      </c>
      <c r="O2672" t="s">
        <v>41250</v>
      </c>
      <c r="P2672">
        <v>0</v>
      </c>
      <c r="Q2672">
        <v>5</v>
      </c>
      <c r="R2672" t="s">
        <v>41252</v>
      </c>
      <c r="S2672" t="s">
        <v>41383</v>
      </c>
      <c r="T2672" t="s">
        <v>42701</v>
      </c>
      <c r="U2672" t="s">
        <v>45497</v>
      </c>
      <c r="V2672" t="s">
        <v>54579</v>
      </c>
      <c r="W2672" t="s">
        <v>38650</v>
      </c>
      <c r="X2672" t="s">
        <v>41254</v>
      </c>
    </row>
    <row r="2673" spans="1:24">
      <c r="A2673">
        <f>HYPERLINK("https://www.philgeps.gov.ph/GEPSNONPILOT/Tender/SplashBidNoticeAbstractUI.aspx?menuIndex=3&amp;refID=7073654&amp;Result=3","7073654")</f>
        <v>0</v>
      </c>
      <c r="B2673" t="s">
        <v>1099</v>
      </c>
      <c r="C2673" t="s">
        <v>5934</v>
      </c>
      <c r="D2673" t="s">
        <v>16647</v>
      </c>
      <c r="E2673" t="s">
        <v>19158</v>
      </c>
      <c r="F2673" t="s">
        <v>28669</v>
      </c>
      <c r="G2673" t="s">
        <v>28675</v>
      </c>
      <c r="H2673" t="s">
        <v>9998</v>
      </c>
      <c r="I2673" t="s">
        <v>28704</v>
      </c>
      <c r="J2673" t="s">
        <v>29189</v>
      </c>
      <c r="K2673" t="s">
        <v>37205</v>
      </c>
      <c r="M2673" t="s">
        <v>38631</v>
      </c>
      <c r="N2673" t="s">
        <v>41249</v>
      </c>
      <c r="O2673" t="s">
        <v>41250</v>
      </c>
      <c r="P2673">
        <v>0</v>
      </c>
      <c r="Q2673">
        <v>0</v>
      </c>
      <c r="R2673" t="s">
        <v>41252</v>
      </c>
      <c r="S2673" t="s">
        <v>41383</v>
      </c>
      <c r="T2673" t="s">
        <v>42679</v>
      </c>
      <c r="U2673" t="s">
        <v>45437</v>
      </c>
      <c r="W2673" t="s">
        <v>38631</v>
      </c>
      <c r="X2673" t="s">
        <v>41254</v>
      </c>
    </row>
    <row r="2674" spans="1:24">
      <c r="A2674">
        <f>HYPERLINK("https://www.philgeps.gov.ph/GEPSNONPILOT/Tender/SplashBidNoticeAbstractUI.aspx?menuIndex=3&amp;refID=7073649&amp;Result=3","7073649")</f>
        <v>0</v>
      </c>
      <c r="B2674" t="s">
        <v>1122</v>
      </c>
      <c r="C2674" t="s">
        <v>5935</v>
      </c>
      <c r="D2674" t="s">
        <v>16616</v>
      </c>
      <c r="E2674" t="s">
        <v>19159</v>
      </c>
      <c r="F2674" t="s">
        <v>28669</v>
      </c>
      <c r="G2674" t="s">
        <v>28676</v>
      </c>
      <c r="H2674" t="s">
        <v>9998</v>
      </c>
      <c r="I2674" t="s">
        <v>3718</v>
      </c>
      <c r="J2674" t="s">
        <v>29186</v>
      </c>
      <c r="K2674" t="s">
        <v>37209</v>
      </c>
      <c r="M2674" t="s">
        <v>38656</v>
      </c>
      <c r="N2674" t="s">
        <v>41249</v>
      </c>
      <c r="O2674" t="s">
        <v>41250</v>
      </c>
      <c r="P2674">
        <v>0</v>
      </c>
      <c r="Q2674">
        <v>2</v>
      </c>
      <c r="R2674" t="s">
        <v>41252</v>
      </c>
      <c r="S2674" t="s">
        <v>41383</v>
      </c>
      <c r="T2674" t="s">
        <v>42736</v>
      </c>
      <c r="U2674" t="s">
        <v>45498</v>
      </c>
      <c r="W2674" t="s">
        <v>38656</v>
      </c>
      <c r="X2674" t="s">
        <v>41254</v>
      </c>
    </row>
    <row r="2675" spans="1:24">
      <c r="A2675">
        <f>HYPERLINK("https://www.philgeps.gov.ph/GEPSNONPILOT/Tender/SplashBidNoticeAbstractUI.aspx?menuIndex=3&amp;refID=7073633&amp;Result=3","7073633")</f>
        <v>0</v>
      </c>
      <c r="B2675" t="s">
        <v>1105</v>
      </c>
      <c r="C2675" t="s">
        <v>4247</v>
      </c>
      <c r="D2675" t="s">
        <v>16660</v>
      </c>
      <c r="E2675" t="s">
        <v>19160</v>
      </c>
      <c r="F2675" t="s">
        <v>28669</v>
      </c>
      <c r="G2675" t="s">
        <v>28677</v>
      </c>
      <c r="H2675" t="s">
        <v>9998</v>
      </c>
      <c r="I2675" t="s">
        <v>28688</v>
      </c>
      <c r="J2675" t="s">
        <v>30640</v>
      </c>
      <c r="K2675" t="s">
        <v>37210</v>
      </c>
      <c r="M2675" t="s">
        <v>38638</v>
      </c>
      <c r="N2675" t="s">
        <v>41249</v>
      </c>
      <c r="O2675" t="s">
        <v>41250</v>
      </c>
      <c r="P2675">
        <v>0</v>
      </c>
      <c r="Q2675">
        <v>4</v>
      </c>
      <c r="R2675" t="s">
        <v>41252</v>
      </c>
      <c r="S2675" t="s">
        <v>41383</v>
      </c>
      <c r="T2675" t="s">
        <v>42887</v>
      </c>
      <c r="U2675" t="s">
        <v>43998</v>
      </c>
      <c r="W2675" t="s">
        <v>38638</v>
      </c>
      <c r="X2675" t="s">
        <v>41254</v>
      </c>
    </row>
    <row r="2676" spans="1:24">
      <c r="A2676">
        <f>HYPERLINK("https://www.philgeps.gov.ph/GEPSNONPILOT/Tender/SplashBidNoticeAbstractUI.aspx?menuIndex=3&amp;refID=7073648&amp;Result=3","7073648")</f>
        <v>0</v>
      </c>
      <c r="B2676" t="s">
        <v>744</v>
      </c>
      <c r="C2676" t="s">
        <v>5936</v>
      </c>
      <c r="D2676" t="s">
        <v>16608</v>
      </c>
      <c r="E2676" t="s">
        <v>19161</v>
      </c>
      <c r="F2676" t="s">
        <v>28669</v>
      </c>
      <c r="G2676" t="s">
        <v>28676</v>
      </c>
      <c r="H2676" t="s">
        <v>9998</v>
      </c>
      <c r="I2676" t="s">
        <v>28719</v>
      </c>
      <c r="J2676" t="s">
        <v>30641</v>
      </c>
      <c r="K2676" t="s">
        <v>37220</v>
      </c>
      <c r="M2676" t="s">
        <v>38254</v>
      </c>
      <c r="N2676" t="s">
        <v>41249</v>
      </c>
      <c r="O2676" t="s">
        <v>41250</v>
      </c>
      <c r="P2676">
        <v>0</v>
      </c>
      <c r="Q2676">
        <v>4</v>
      </c>
      <c r="R2676" t="s">
        <v>41252</v>
      </c>
      <c r="S2676" t="s">
        <v>41383</v>
      </c>
      <c r="T2676" t="s">
        <v>42738</v>
      </c>
      <c r="U2676" t="s">
        <v>45499</v>
      </c>
      <c r="W2676" t="s">
        <v>38254</v>
      </c>
      <c r="X2676" t="s">
        <v>41254</v>
      </c>
    </row>
    <row r="2677" spans="1:24">
      <c r="A2677">
        <f>HYPERLINK("https://www.philgeps.gov.ph/GEPSNONPILOT/Tender/SplashBidNoticeAbstractUI.aspx?menuIndex=3&amp;refID=7073645&amp;Result=3","7073645")</f>
        <v>0</v>
      </c>
      <c r="B2677" t="s">
        <v>1123</v>
      </c>
      <c r="C2677" t="s">
        <v>5937</v>
      </c>
      <c r="D2677" t="s">
        <v>16682</v>
      </c>
      <c r="E2677" t="s">
        <v>19162</v>
      </c>
      <c r="F2677" t="s">
        <v>28669</v>
      </c>
      <c r="G2677" t="s">
        <v>28677</v>
      </c>
      <c r="H2677" t="s">
        <v>9998</v>
      </c>
      <c r="I2677" t="s">
        <v>28707</v>
      </c>
      <c r="J2677" t="s">
        <v>28826</v>
      </c>
      <c r="K2677" t="s">
        <v>37206</v>
      </c>
      <c r="M2677" t="s">
        <v>38657</v>
      </c>
      <c r="N2677" t="s">
        <v>41249</v>
      </c>
      <c r="O2677" t="s">
        <v>41250</v>
      </c>
      <c r="P2677">
        <v>0</v>
      </c>
      <c r="Q2677">
        <v>1</v>
      </c>
      <c r="R2677" t="s">
        <v>41252</v>
      </c>
      <c r="S2677" t="s">
        <v>41383</v>
      </c>
      <c r="T2677" t="s">
        <v>42694</v>
      </c>
      <c r="U2677" t="s">
        <v>45500</v>
      </c>
      <c r="W2677" t="s">
        <v>38657</v>
      </c>
      <c r="X2677" t="s">
        <v>41254</v>
      </c>
    </row>
    <row r="2678" spans="1:24">
      <c r="A2678">
        <f>HYPERLINK("https://www.philgeps.gov.ph/GEPSNONPILOT/Tender/SplashBidNoticeAbstractUI.aspx?menuIndex=3&amp;refID=7073611&amp;Result=3","7073611")</f>
        <v>0</v>
      </c>
      <c r="B2678" t="s">
        <v>1124</v>
      </c>
      <c r="C2678" t="s">
        <v>5938</v>
      </c>
      <c r="E2678" t="s">
        <v>19163</v>
      </c>
      <c r="F2678" t="s">
        <v>28669</v>
      </c>
      <c r="G2678" t="s">
        <v>28676</v>
      </c>
      <c r="H2678" t="s">
        <v>9998</v>
      </c>
      <c r="I2678" t="s">
        <v>28688</v>
      </c>
      <c r="J2678" t="s">
        <v>30642</v>
      </c>
      <c r="K2678" t="s">
        <v>37209</v>
      </c>
      <c r="M2678" t="s">
        <v>38658</v>
      </c>
      <c r="N2678" t="s">
        <v>41249</v>
      </c>
      <c r="O2678" t="s">
        <v>41250</v>
      </c>
      <c r="P2678">
        <v>0</v>
      </c>
      <c r="Q2678">
        <v>0</v>
      </c>
      <c r="R2678" t="s">
        <v>41252</v>
      </c>
      <c r="S2678" t="s">
        <v>41383</v>
      </c>
      <c r="T2678" t="s">
        <v>42681</v>
      </c>
      <c r="U2678" t="s">
        <v>45501</v>
      </c>
      <c r="W2678" t="s">
        <v>38658</v>
      </c>
      <c r="X2678" t="s">
        <v>41254</v>
      </c>
    </row>
    <row r="2679" spans="1:24">
      <c r="A2679">
        <f>HYPERLINK("https://www.philgeps.gov.ph/GEPSNONPILOT/Tender/SplashBidNoticeAbstractUI.aspx?menuIndex=3&amp;refID=7073607&amp;Result=3","7073607")</f>
        <v>0</v>
      </c>
      <c r="B2679" t="s">
        <v>977</v>
      </c>
      <c r="C2679" t="s">
        <v>5939</v>
      </c>
      <c r="D2679" t="s">
        <v>16691</v>
      </c>
      <c r="E2679" t="s">
        <v>19164</v>
      </c>
      <c r="F2679" t="s">
        <v>28669</v>
      </c>
      <c r="G2679" t="s">
        <v>28676</v>
      </c>
      <c r="H2679" t="s">
        <v>9998</v>
      </c>
      <c r="I2679" t="s">
        <v>28728</v>
      </c>
      <c r="J2679" t="s">
        <v>29247</v>
      </c>
      <c r="K2679" t="s">
        <v>37301</v>
      </c>
      <c r="M2679" t="s">
        <v>38502</v>
      </c>
      <c r="N2679" t="s">
        <v>41249</v>
      </c>
      <c r="O2679" t="s">
        <v>41250</v>
      </c>
      <c r="P2679">
        <v>0</v>
      </c>
      <c r="Q2679">
        <v>0</v>
      </c>
      <c r="R2679" t="s">
        <v>41252</v>
      </c>
      <c r="S2679" t="s">
        <v>41383</v>
      </c>
      <c r="T2679" t="s">
        <v>42802</v>
      </c>
      <c r="U2679" t="s">
        <v>45502</v>
      </c>
      <c r="W2679" t="s">
        <v>38502</v>
      </c>
      <c r="X2679" t="s">
        <v>41254</v>
      </c>
    </row>
    <row r="2680" spans="1:24">
      <c r="A2680">
        <f>HYPERLINK("https://www.philgeps.gov.ph/GEPSNONPILOT/Tender/SplashBidNoticeAbstractUI.aspx?menuIndex=3&amp;refID=7073651&amp;Result=3","7073651")</f>
        <v>0</v>
      </c>
      <c r="B2680" t="s">
        <v>1053</v>
      </c>
      <c r="C2680" t="s">
        <v>5940</v>
      </c>
      <c r="D2680" t="s">
        <v>16627</v>
      </c>
      <c r="E2680" t="s">
        <v>19165</v>
      </c>
      <c r="F2680" t="s">
        <v>28669</v>
      </c>
      <c r="G2680" t="s">
        <v>28676</v>
      </c>
      <c r="H2680" t="s">
        <v>9998</v>
      </c>
      <c r="I2680" t="s">
        <v>28695</v>
      </c>
      <c r="J2680" t="s">
        <v>30643</v>
      </c>
      <c r="K2680" t="s">
        <v>37210</v>
      </c>
      <c r="M2680" t="s">
        <v>38584</v>
      </c>
      <c r="N2680" t="s">
        <v>41249</v>
      </c>
      <c r="O2680" t="s">
        <v>41250</v>
      </c>
      <c r="P2680">
        <v>0</v>
      </c>
      <c r="Q2680">
        <v>0</v>
      </c>
      <c r="R2680" t="s">
        <v>41252</v>
      </c>
      <c r="S2680" t="s">
        <v>41383</v>
      </c>
      <c r="T2680" t="s">
        <v>42742</v>
      </c>
      <c r="U2680" t="s">
        <v>45503</v>
      </c>
      <c r="W2680" t="s">
        <v>38584</v>
      </c>
      <c r="X2680" t="s">
        <v>41254</v>
      </c>
    </row>
    <row r="2681" spans="1:24">
      <c r="A2681">
        <f>HYPERLINK("https://www.philgeps.gov.ph/GEPSNONPILOT/Tender/SplashBidNoticeAbstractUI.aspx?menuIndex=3&amp;refID=7073641&amp;Result=3","7073641")</f>
        <v>0</v>
      </c>
      <c r="B2681" t="s">
        <v>1112</v>
      </c>
      <c r="C2681" t="s">
        <v>5941</v>
      </c>
      <c r="D2681" t="s">
        <v>16633</v>
      </c>
      <c r="E2681" t="s">
        <v>18326</v>
      </c>
      <c r="F2681" t="s">
        <v>28669</v>
      </c>
      <c r="G2681" t="s">
        <v>28675</v>
      </c>
      <c r="H2681" t="s">
        <v>9998</v>
      </c>
      <c r="I2681" t="s">
        <v>28694</v>
      </c>
      <c r="J2681" t="s">
        <v>30644</v>
      </c>
      <c r="K2681" t="s">
        <v>37204</v>
      </c>
      <c r="M2681" t="s">
        <v>38645</v>
      </c>
      <c r="N2681" t="s">
        <v>41249</v>
      </c>
      <c r="O2681" t="s">
        <v>41250</v>
      </c>
      <c r="P2681">
        <v>0</v>
      </c>
      <c r="Q2681">
        <v>1</v>
      </c>
      <c r="R2681" t="s">
        <v>41252</v>
      </c>
      <c r="S2681" t="s">
        <v>41383</v>
      </c>
      <c r="T2681" t="s">
        <v>42742</v>
      </c>
      <c r="U2681" t="s">
        <v>45504</v>
      </c>
      <c r="W2681" t="s">
        <v>38645</v>
      </c>
      <c r="X2681" t="s">
        <v>41254</v>
      </c>
    </row>
    <row r="2682" spans="1:24">
      <c r="A2682">
        <f>HYPERLINK("https://www.philgeps.gov.ph/GEPSNONPILOT/Tender/SplashBidNoticeAbstractUI.aspx?menuIndex=3&amp;refID=7073640&amp;Result=3","7073640")</f>
        <v>0</v>
      </c>
      <c r="B2682" t="s">
        <v>557</v>
      </c>
      <c r="C2682" t="s">
        <v>5942</v>
      </c>
      <c r="D2682" t="s">
        <v>16608</v>
      </c>
      <c r="E2682" t="s">
        <v>19166</v>
      </c>
      <c r="F2682" t="s">
        <v>28669</v>
      </c>
      <c r="G2682" t="s">
        <v>28676</v>
      </c>
      <c r="H2682" t="s">
        <v>9998</v>
      </c>
      <c r="I2682" t="s">
        <v>7352</v>
      </c>
      <c r="J2682" t="s">
        <v>30645</v>
      </c>
      <c r="K2682" t="s">
        <v>37243</v>
      </c>
      <c r="M2682" t="s">
        <v>38050</v>
      </c>
      <c r="N2682" t="s">
        <v>41249</v>
      </c>
      <c r="O2682" t="s">
        <v>41250</v>
      </c>
      <c r="P2682">
        <v>0</v>
      </c>
      <c r="Q2682">
        <v>0</v>
      </c>
      <c r="R2682" t="s">
        <v>41252</v>
      </c>
      <c r="S2682" t="s">
        <v>41383</v>
      </c>
      <c r="T2682" t="s">
        <v>42758</v>
      </c>
      <c r="U2682" t="s">
        <v>45505</v>
      </c>
      <c r="V2682" t="s">
        <v>54379</v>
      </c>
      <c r="W2682" t="s">
        <v>38050</v>
      </c>
      <c r="X2682" t="s">
        <v>41254</v>
      </c>
    </row>
    <row r="2683" spans="1:24">
      <c r="A2683">
        <f>HYPERLINK("https://www.philgeps.gov.ph/GEPSNONPILOT/Tender/SplashBidNoticeAbstractUI.aspx?menuIndex=3&amp;refID=7073639&amp;Result=3","7073639")</f>
        <v>0</v>
      </c>
      <c r="B2683" t="s">
        <v>136</v>
      </c>
      <c r="C2683" t="s">
        <v>5943</v>
      </c>
      <c r="D2683" t="s">
        <v>16642</v>
      </c>
      <c r="E2683" t="s">
        <v>19167</v>
      </c>
      <c r="F2683" t="s">
        <v>28669</v>
      </c>
      <c r="G2683" t="s">
        <v>28676</v>
      </c>
      <c r="H2683" t="s">
        <v>9998</v>
      </c>
      <c r="I2683" t="s">
        <v>28708</v>
      </c>
      <c r="J2683" t="s">
        <v>28838</v>
      </c>
      <c r="K2683" t="s">
        <v>37206</v>
      </c>
      <c r="M2683" t="s">
        <v>37613</v>
      </c>
      <c r="N2683" t="s">
        <v>41249</v>
      </c>
      <c r="O2683" t="s">
        <v>41250</v>
      </c>
      <c r="P2683">
        <v>0</v>
      </c>
      <c r="Q2683">
        <v>1</v>
      </c>
      <c r="R2683" t="s">
        <v>41252</v>
      </c>
      <c r="S2683" t="s">
        <v>41383</v>
      </c>
      <c r="T2683" t="s">
        <v>42766</v>
      </c>
      <c r="U2683" t="s">
        <v>45506</v>
      </c>
      <c r="V2683" t="s">
        <v>54313</v>
      </c>
      <c r="W2683" t="s">
        <v>55905</v>
      </c>
      <c r="X2683" t="s">
        <v>41254</v>
      </c>
    </row>
    <row r="2684" spans="1:24">
      <c r="A2684">
        <f>HYPERLINK("https://www.philgeps.gov.ph/GEPSNONPILOT/Tender/SplashBidNoticeAbstractUI.aspx?menuIndex=3&amp;refID=7073638&amp;Result=3","7073638")</f>
        <v>0</v>
      </c>
      <c r="B2684" t="s">
        <v>1111</v>
      </c>
      <c r="C2684" t="s">
        <v>5944</v>
      </c>
      <c r="D2684" t="s">
        <v>16668</v>
      </c>
      <c r="E2684" t="s">
        <v>19168</v>
      </c>
      <c r="F2684" t="s">
        <v>28669</v>
      </c>
      <c r="G2684" t="s">
        <v>28676</v>
      </c>
      <c r="H2684" t="s">
        <v>9998</v>
      </c>
      <c r="I2684" t="s">
        <v>7352</v>
      </c>
      <c r="J2684" t="s">
        <v>30646</v>
      </c>
      <c r="K2684" t="s">
        <v>37209</v>
      </c>
      <c r="M2684" t="s">
        <v>38644</v>
      </c>
      <c r="N2684" t="s">
        <v>41249</v>
      </c>
      <c r="O2684" t="s">
        <v>41250</v>
      </c>
      <c r="P2684">
        <v>0</v>
      </c>
      <c r="Q2684">
        <v>0</v>
      </c>
      <c r="R2684" t="s">
        <v>41252</v>
      </c>
      <c r="S2684" t="s">
        <v>41383</v>
      </c>
      <c r="T2684" t="s">
        <v>42758</v>
      </c>
      <c r="U2684" t="s">
        <v>45507</v>
      </c>
      <c r="W2684" t="s">
        <v>38644</v>
      </c>
      <c r="X2684" t="s">
        <v>41254</v>
      </c>
    </row>
    <row r="2685" spans="1:24">
      <c r="A2685">
        <f>HYPERLINK("https://www.philgeps.gov.ph/GEPSNONPILOT/Tender/SplashBidNoticeAbstractUI.aspx?menuIndex=3&amp;refID=7073635&amp;Result=3","7073635")</f>
        <v>0</v>
      </c>
      <c r="B2685" t="s">
        <v>101</v>
      </c>
      <c r="C2685" t="s">
        <v>5945</v>
      </c>
      <c r="D2685" t="s">
        <v>16644</v>
      </c>
      <c r="E2685" t="s">
        <v>19169</v>
      </c>
      <c r="F2685" t="s">
        <v>28669</v>
      </c>
      <c r="G2685" t="s">
        <v>28676</v>
      </c>
      <c r="H2685" t="s">
        <v>9998</v>
      </c>
      <c r="I2685" t="s">
        <v>6458</v>
      </c>
      <c r="J2685" t="s">
        <v>30647</v>
      </c>
      <c r="K2685" t="s">
        <v>37209</v>
      </c>
      <c r="M2685" t="s">
        <v>38633</v>
      </c>
      <c r="N2685" t="s">
        <v>41249</v>
      </c>
      <c r="O2685" t="s">
        <v>41250</v>
      </c>
      <c r="P2685">
        <v>0</v>
      </c>
      <c r="Q2685">
        <v>4</v>
      </c>
      <c r="R2685" t="s">
        <v>41252</v>
      </c>
      <c r="S2685" t="s">
        <v>41383</v>
      </c>
      <c r="T2685" t="s">
        <v>42748</v>
      </c>
      <c r="U2685" t="s">
        <v>45508</v>
      </c>
      <c r="V2685" t="s">
        <v>54575</v>
      </c>
      <c r="W2685" t="s">
        <v>38633</v>
      </c>
      <c r="X2685" t="s">
        <v>41254</v>
      </c>
    </row>
    <row r="2686" spans="1:24">
      <c r="A2686">
        <f>HYPERLINK("https://www.philgeps.gov.ph/GEPSNONPILOT/Tender/SplashBidNoticeAbstractUI.aspx?menuIndex=3&amp;refID=7073675&amp;Result=3","7073675")</f>
        <v>0</v>
      </c>
      <c r="B2686" t="s">
        <v>583</v>
      </c>
      <c r="C2686" t="s">
        <v>5946</v>
      </c>
      <c r="D2686" t="s">
        <v>16611</v>
      </c>
      <c r="E2686" t="s">
        <v>19170</v>
      </c>
      <c r="F2686" t="s">
        <v>28671</v>
      </c>
      <c r="G2686" t="s">
        <v>28676</v>
      </c>
      <c r="H2686" t="s">
        <v>9998</v>
      </c>
      <c r="I2686" t="s">
        <v>28729</v>
      </c>
      <c r="J2686" t="s">
        <v>28894</v>
      </c>
      <c r="K2686" t="s">
        <v>37209</v>
      </c>
      <c r="M2686" t="s">
        <v>38082</v>
      </c>
      <c r="N2686" t="s">
        <v>41249</v>
      </c>
      <c r="O2686" t="s">
        <v>41250</v>
      </c>
      <c r="P2686">
        <v>0</v>
      </c>
      <c r="Q2686">
        <v>4</v>
      </c>
      <c r="R2686" t="s">
        <v>41252</v>
      </c>
      <c r="S2686" t="s">
        <v>41383</v>
      </c>
      <c r="T2686" t="s">
        <v>42742</v>
      </c>
      <c r="U2686" t="s">
        <v>45509</v>
      </c>
      <c r="W2686" t="s">
        <v>38082</v>
      </c>
      <c r="X2686" t="s">
        <v>41254</v>
      </c>
    </row>
    <row r="2687" spans="1:24">
      <c r="A2687">
        <f>HYPERLINK("https://www.philgeps.gov.ph/GEPSNONPILOT/Tender/SplashBidNoticeAbstractUI.aspx?menuIndex=3&amp;refID=7073680&amp;Result=3","7073680")</f>
        <v>0</v>
      </c>
      <c r="B2687" t="s">
        <v>1125</v>
      </c>
      <c r="C2687" t="s">
        <v>5947</v>
      </c>
      <c r="D2687" t="s">
        <v>16616</v>
      </c>
      <c r="E2687" t="s">
        <v>19171</v>
      </c>
      <c r="F2687" t="s">
        <v>28669</v>
      </c>
      <c r="G2687" t="s">
        <v>28676</v>
      </c>
      <c r="H2687" t="s">
        <v>9998</v>
      </c>
      <c r="I2687" t="s">
        <v>6128</v>
      </c>
      <c r="J2687" t="s">
        <v>30648</v>
      </c>
      <c r="K2687" t="s">
        <v>37209</v>
      </c>
      <c r="M2687" t="s">
        <v>38659</v>
      </c>
      <c r="N2687" t="s">
        <v>41249</v>
      </c>
      <c r="O2687" t="s">
        <v>41250</v>
      </c>
      <c r="P2687">
        <v>0</v>
      </c>
      <c r="Q2687">
        <v>1</v>
      </c>
      <c r="R2687" t="s">
        <v>41252</v>
      </c>
      <c r="S2687" t="s">
        <v>41383</v>
      </c>
      <c r="T2687" t="s">
        <v>42764</v>
      </c>
      <c r="U2687" t="s">
        <v>45510</v>
      </c>
      <c r="W2687" t="s">
        <v>38659</v>
      </c>
      <c r="X2687" t="s">
        <v>41254</v>
      </c>
    </row>
    <row r="2688" spans="1:24">
      <c r="A2688">
        <f>HYPERLINK("https://www.philgeps.gov.ph/GEPSNONPILOT/Tender/SplashBidNoticeAbstractUI.aspx?menuIndex=3&amp;refID=7073644&amp;Result=3","7073644")</f>
        <v>0</v>
      </c>
      <c r="B2688" t="s">
        <v>659</v>
      </c>
      <c r="C2688" t="s">
        <v>5948</v>
      </c>
      <c r="D2688" t="s">
        <v>16643</v>
      </c>
      <c r="E2688" t="s">
        <v>19172</v>
      </c>
      <c r="F2688" t="s">
        <v>28669</v>
      </c>
      <c r="G2688" t="s">
        <v>28676</v>
      </c>
      <c r="H2688" t="s">
        <v>9998</v>
      </c>
      <c r="I2688" t="s">
        <v>6606</v>
      </c>
      <c r="J2688" t="s">
        <v>30649</v>
      </c>
      <c r="K2688" t="s">
        <v>37204</v>
      </c>
      <c r="M2688" t="s">
        <v>38161</v>
      </c>
      <c r="N2688" t="s">
        <v>41249</v>
      </c>
      <c r="O2688" t="s">
        <v>41250</v>
      </c>
      <c r="P2688">
        <v>0</v>
      </c>
      <c r="Q2688">
        <v>0</v>
      </c>
      <c r="R2688" t="s">
        <v>41252</v>
      </c>
      <c r="S2688" t="s">
        <v>41383</v>
      </c>
      <c r="T2688" t="s">
        <v>42736</v>
      </c>
      <c r="U2688" t="s">
        <v>45511</v>
      </c>
      <c r="W2688" t="s">
        <v>55925</v>
      </c>
      <c r="X2688" t="s">
        <v>41254</v>
      </c>
    </row>
    <row r="2689" spans="1:24">
      <c r="A2689">
        <f>HYPERLINK("https://www.philgeps.gov.ph/GEPSNONPILOT/Tender/SplashBidNoticeAbstractUI.aspx?menuIndex=3&amp;refID=7073608&amp;Result=3","7073608")</f>
        <v>0</v>
      </c>
      <c r="B2689" t="s">
        <v>1105</v>
      </c>
      <c r="C2689" t="s">
        <v>4247</v>
      </c>
      <c r="D2689" t="s">
        <v>16660</v>
      </c>
      <c r="E2689" t="s">
        <v>19173</v>
      </c>
      <c r="F2689" t="s">
        <v>28669</v>
      </c>
      <c r="G2689" t="s">
        <v>28677</v>
      </c>
      <c r="H2689" t="s">
        <v>9998</v>
      </c>
      <c r="I2689" t="s">
        <v>28688</v>
      </c>
      <c r="J2689" t="s">
        <v>30650</v>
      </c>
      <c r="K2689" t="s">
        <v>37210</v>
      </c>
      <c r="M2689" t="s">
        <v>38638</v>
      </c>
      <c r="N2689" t="s">
        <v>41249</v>
      </c>
      <c r="O2689" t="s">
        <v>41250</v>
      </c>
      <c r="P2689">
        <v>0</v>
      </c>
      <c r="Q2689">
        <v>2</v>
      </c>
      <c r="R2689" t="s">
        <v>41252</v>
      </c>
      <c r="S2689" t="s">
        <v>41383</v>
      </c>
      <c r="T2689" t="s">
        <v>42887</v>
      </c>
      <c r="U2689" t="s">
        <v>43998</v>
      </c>
      <c r="W2689" t="s">
        <v>38638</v>
      </c>
      <c r="X2689" t="s">
        <v>41254</v>
      </c>
    </row>
    <row r="2690" spans="1:24">
      <c r="A2690">
        <f>HYPERLINK("https://www.philgeps.gov.ph/GEPSNONPILOT/Tender/SplashBidNoticeAbstractUI.aspx?menuIndex=3&amp;refID=7073678&amp;Result=3","7073678")</f>
        <v>0</v>
      </c>
      <c r="B2690" t="s">
        <v>1126</v>
      </c>
      <c r="C2690" t="s">
        <v>5949</v>
      </c>
      <c r="D2690" t="s">
        <v>16630</v>
      </c>
      <c r="E2690" t="s">
        <v>19174</v>
      </c>
      <c r="F2690" t="s">
        <v>28669</v>
      </c>
      <c r="G2690" t="s">
        <v>28676</v>
      </c>
      <c r="H2690" t="s">
        <v>9998</v>
      </c>
      <c r="I2690" t="s">
        <v>3679</v>
      </c>
      <c r="J2690" t="s">
        <v>30651</v>
      </c>
      <c r="K2690" t="s">
        <v>37206</v>
      </c>
      <c r="M2690" t="s">
        <v>38660</v>
      </c>
      <c r="N2690" t="s">
        <v>41249</v>
      </c>
      <c r="O2690" t="s">
        <v>41250</v>
      </c>
      <c r="P2690">
        <v>0</v>
      </c>
      <c r="Q2690">
        <v>0</v>
      </c>
      <c r="R2690" t="s">
        <v>41252</v>
      </c>
      <c r="S2690" t="s">
        <v>41383</v>
      </c>
      <c r="T2690" t="s">
        <v>42665</v>
      </c>
      <c r="U2690" t="s">
        <v>45512</v>
      </c>
      <c r="W2690" t="s">
        <v>38660</v>
      </c>
      <c r="X2690" t="s">
        <v>41254</v>
      </c>
    </row>
    <row r="2691" spans="1:24">
      <c r="A2691">
        <f>HYPERLINK("https://www.philgeps.gov.ph/GEPSNONPILOT/Tender/SplashBidNoticeAbstractUI.aspx?menuIndex=3&amp;refID=7073643&amp;Result=3","7073643")</f>
        <v>0</v>
      </c>
      <c r="B2691" t="s">
        <v>354</v>
      </c>
      <c r="C2691" t="s">
        <v>5950</v>
      </c>
      <c r="D2691" t="s">
        <v>16607</v>
      </c>
      <c r="E2691" t="s">
        <v>19175</v>
      </c>
      <c r="F2691" t="s">
        <v>28669</v>
      </c>
      <c r="G2691" t="s">
        <v>28676</v>
      </c>
      <c r="H2691" t="s">
        <v>9998</v>
      </c>
      <c r="I2691" t="s">
        <v>28721</v>
      </c>
      <c r="J2691" t="s">
        <v>28879</v>
      </c>
      <c r="K2691" t="s">
        <v>37204</v>
      </c>
      <c r="M2691" t="s">
        <v>37835</v>
      </c>
      <c r="N2691" t="s">
        <v>41249</v>
      </c>
      <c r="O2691" t="s">
        <v>41250</v>
      </c>
      <c r="P2691">
        <v>0</v>
      </c>
      <c r="Q2691">
        <v>0</v>
      </c>
      <c r="R2691" t="s">
        <v>41252</v>
      </c>
      <c r="S2691" t="s">
        <v>41383</v>
      </c>
      <c r="T2691" t="s">
        <v>42729</v>
      </c>
      <c r="U2691" t="s">
        <v>45513</v>
      </c>
      <c r="V2691" t="s">
        <v>54567</v>
      </c>
      <c r="W2691" t="s">
        <v>37835</v>
      </c>
      <c r="X2691" t="s">
        <v>41254</v>
      </c>
    </row>
    <row r="2692" spans="1:24">
      <c r="A2692">
        <f>HYPERLINK("https://www.philgeps.gov.ph/GEPSNONPILOT/Tender/SplashBidNoticeAbstractUI.aspx?menuIndex=3&amp;refID=7073676&amp;Result=3","7073676")</f>
        <v>0</v>
      </c>
      <c r="B2692" t="s">
        <v>1127</v>
      </c>
      <c r="C2692" t="s">
        <v>5951</v>
      </c>
      <c r="D2692" t="s">
        <v>16652</v>
      </c>
      <c r="E2692" t="s">
        <v>19176</v>
      </c>
      <c r="F2692" t="s">
        <v>28669</v>
      </c>
      <c r="G2692" t="s">
        <v>28676</v>
      </c>
      <c r="H2692" t="s">
        <v>9998</v>
      </c>
      <c r="I2692" t="s">
        <v>7352</v>
      </c>
      <c r="J2692" t="s">
        <v>28826</v>
      </c>
      <c r="K2692" t="s">
        <v>37322</v>
      </c>
      <c r="M2692" t="s">
        <v>38661</v>
      </c>
      <c r="N2692" t="s">
        <v>41249</v>
      </c>
      <c r="O2692" t="s">
        <v>41250</v>
      </c>
      <c r="P2692">
        <v>0</v>
      </c>
      <c r="Q2692">
        <v>0</v>
      </c>
      <c r="R2692" t="s">
        <v>41252</v>
      </c>
      <c r="S2692" t="s">
        <v>41383</v>
      </c>
      <c r="T2692" t="s">
        <v>42897</v>
      </c>
      <c r="U2692" t="s">
        <v>45514</v>
      </c>
      <c r="W2692" t="s">
        <v>38661</v>
      </c>
      <c r="X2692" t="s">
        <v>41254</v>
      </c>
    </row>
    <row r="2693" spans="1:24">
      <c r="A2693">
        <f>HYPERLINK("https://www.philgeps.gov.ph/GEPSNONPILOT/Tender/SplashBidNoticeAbstractUI.aspx?menuIndex=3&amp;refID=7073674&amp;Result=3","7073674")</f>
        <v>0</v>
      </c>
      <c r="B2693" t="s">
        <v>1115</v>
      </c>
      <c r="C2693" t="s">
        <v>5952</v>
      </c>
      <c r="D2693" t="s">
        <v>16608</v>
      </c>
      <c r="E2693" t="s">
        <v>19177</v>
      </c>
      <c r="F2693" t="s">
        <v>28669</v>
      </c>
      <c r="G2693" t="s">
        <v>28675</v>
      </c>
      <c r="H2693" t="s">
        <v>9998</v>
      </c>
      <c r="I2693" t="s">
        <v>7352</v>
      </c>
      <c r="J2693" t="s">
        <v>28863</v>
      </c>
      <c r="K2693" t="s">
        <v>37243</v>
      </c>
      <c r="M2693" t="s">
        <v>38648</v>
      </c>
      <c r="N2693" t="s">
        <v>41249</v>
      </c>
      <c r="O2693" t="s">
        <v>41250</v>
      </c>
      <c r="P2693">
        <v>0</v>
      </c>
      <c r="Q2693">
        <v>0</v>
      </c>
      <c r="R2693" t="s">
        <v>41252</v>
      </c>
      <c r="S2693" t="s">
        <v>41383</v>
      </c>
      <c r="T2693" t="s">
        <v>42686</v>
      </c>
      <c r="U2693" t="s">
        <v>45515</v>
      </c>
      <c r="W2693" t="s">
        <v>38648</v>
      </c>
      <c r="X2693" t="s">
        <v>41254</v>
      </c>
    </row>
    <row r="2694" spans="1:24">
      <c r="A2694">
        <f>HYPERLINK("https://www.philgeps.gov.ph/GEPSNONPILOT/Tender/SplashBidNoticeAbstractUI.aspx?menuIndex=3&amp;refID=7073670&amp;Result=3","7073670")</f>
        <v>0</v>
      </c>
      <c r="B2694" t="s">
        <v>1128</v>
      </c>
      <c r="C2694" t="s">
        <v>5953</v>
      </c>
      <c r="D2694" t="s">
        <v>16687</v>
      </c>
      <c r="E2694" t="s">
        <v>19178</v>
      </c>
      <c r="F2694" t="s">
        <v>28669</v>
      </c>
      <c r="G2694" t="s">
        <v>28675</v>
      </c>
      <c r="H2694" t="s">
        <v>9998</v>
      </c>
      <c r="I2694" t="s">
        <v>28702</v>
      </c>
      <c r="J2694" t="s">
        <v>30652</v>
      </c>
      <c r="K2694" t="s">
        <v>37206</v>
      </c>
      <c r="M2694" t="s">
        <v>38662</v>
      </c>
      <c r="N2694" t="s">
        <v>41249</v>
      </c>
      <c r="O2694" t="s">
        <v>41250</v>
      </c>
      <c r="P2694">
        <v>0</v>
      </c>
      <c r="Q2694">
        <v>0</v>
      </c>
      <c r="R2694" t="s">
        <v>41252</v>
      </c>
      <c r="S2694" t="s">
        <v>41383</v>
      </c>
      <c r="T2694" t="s">
        <v>42761</v>
      </c>
      <c r="U2694" t="s">
        <v>45516</v>
      </c>
      <c r="W2694" t="s">
        <v>38662</v>
      </c>
      <c r="X2694" t="s">
        <v>41254</v>
      </c>
    </row>
    <row r="2695" spans="1:24">
      <c r="A2695">
        <f>HYPERLINK("https://www.philgeps.gov.ph/GEPSNONPILOT/Tender/SplashBidNoticeAbstractUI.aspx?menuIndex=3&amp;refID=7073669&amp;Result=3","7073669")</f>
        <v>0</v>
      </c>
      <c r="B2695" t="s">
        <v>1120</v>
      </c>
      <c r="C2695" t="s">
        <v>5954</v>
      </c>
      <c r="D2695" t="s">
        <v>16644</v>
      </c>
      <c r="E2695" t="s">
        <v>19179</v>
      </c>
      <c r="F2695" t="s">
        <v>28669</v>
      </c>
      <c r="G2695" t="s">
        <v>28676</v>
      </c>
      <c r="H2695" t="s">
        <v>9998</v>
      </c>
      <c r="I2695" t="s">
        <v>28722</v>
      </c>
      <c r="J2695" t="s">
        <v>30375</v>
      </c>
      <c r="K2695" t="s">
        <v>37204</v>
      </c>
      <c r="M2695" t="s">
        <v>38654</v>
      </c>
      <c r="N2695" t="s">
        <v>41249</v>
      </c>
      <c r="O2695" t="s">
        <v>41250</v>
      </c>
      <c r="P2695">
        <v>0</v>
      </c>
      <c r="Q2695">
        <v>6</v>
      </c>
      <c r="R2695" t="s">
        <v>41252</v>
      </c>
      <c r="S2695" t="s">
        <v>41383</v>
      </c>
      <c r="T2695" t="s">
        <v>42758</v>
      </c>
      <c r="U2695" t="s">
        <v>45517</v>
      </c>
      <c r="W2695" t="s">
        <v>38654</v>
      </c>
      <c r="X2695" t="s">
        <v>41254</v>
      </c>
    </row>
    <row r="2696" spans="1:24">
      <c r="A2696">
        <f>HYPERLINK("https://www.philgeps.gov.ph/GEPSNONPILOT/Tender/SplashBidNoticeAbstractUI.aspx?menuIndex=3&amp;refID=7073679&amp;Result=3","7073679")</f>
        <v>0</v>
      </c>
      <c r="B2696" t="s">
        <v>1129</v>
      </c>
      <c r="C2696" t="s">
        <v>5955</v>
      </c>
      <c r="D2696" t="s">
        <v>16612</v>
      </c>
      <c r="E2696" t="s">
        <v>18092</v>
      </c>
      <c r="F2696" t="s">
        <v>28669</v>
      </c>
      <c r="G2696" t="s">
        <v>28675</v>
      </c>
      <c r="H2696" t="s">
        <v>9998</v>
      </c>
      <c r="I2696" t="s">
        <v>7352</v>
      </c>
      <c r="J2696" t="s">
        <v>30653</v>
      </c>
      <c r="K2696" t="s">
        <v>37205</v>
      </c>
      <c r="L2696" t="s">
        <v>1129</v>
      </c>
      <c r="M2696" t="s">
        <v>38663</v>
      </c>
      <c r="N2696" t="s">
        <v>41249</v>
      </c>
      <c r="O2696" t="s">
        <v>41250</v>
      </c>
      <c r="P2696">
        <v>0</v>
      </c>
      <c r="Q2696">
        <v>0</v>
      </c>
      <c r="R2696" t="s">
        <v>41252</v>
      </c>
      <c r="S2696" t="s">
        <v>41383</v>
      </c>
      <c r="T2696" t="s">
        <v>42808</v>
      </c>
      <c r="U2696" t="s">
        <v>45518</v>
      </c>
      <c r="W2696" t="s">
        <v>38663</v>
      </c>
      <c r="X2696" t="s">
        <v>41254</v>
      </c>
    </row>
    <row r="2697" spans="1:24">
      <c r="A2697">
        <f>HYPERLINK("https://www.philgeps.gov.ph/GEPSNONPILOT/Tender/SplashBidNoticeAbstractUI.aspx?menuIndex=3&amp;refID=7073665&amp;Result=3","7073665")</f>
        <v>0</v>
      </c>
      <c r="B2697" t="s">
        <v>1090</v>
      </c>
      <c r="C2697" t="s">
        <v>5956</v>
      </c>
      <c r="E2697" t="s">
        <v>19180</v>
      </c>
      <c r="F2697" t="s">
        <v>28669</v>
      </c>
      <c r="G2697" t="s">
        <v>28676</v>
      </c>
      <c r="H2697" t="s">
        <v>28686</v>
      </c>
      <c r="I2697" t="s">
        <v>28755</v>
      </c>
      <c r="J2697" t="s">
        <v>28905</v>
      </c>
      <c r="K2697" t="s">
        <v>37209</v>
      </c>
      <c r="M2697" t="s">
        <v>38622</v>
      </c>
      <c r="N2697" t="s">
        <v>41249</v>
      </c>
      <c r="O2697" t="s">
        <v>41250</v>
      </c>
      <c r="P2697">
        <v>0</v>
      </c>
      <c r="Q2697">
        <v>3</v>
      </c>
      <c r="R2697" t="s">
        <v>41252</v>
      </c>
      <c r="S2697" t="s">
        <v>41383</v>
      </c>
      <c r="T2697" t="s">
        <v>42670</v>
      </c>
      <c r="U2697" t="s">
        <v>45519</v>
      </c>
      <c r="W2697" t="s">
        <v>38622</v>
      </c>
      <c r="X2697" t="s">
        <v>41254</v>
      </c>
    </row>
    <row r="2698" spans="1:24">
      <c r="A2698">
        <f>HYPERLINK("https://www.philgeps.gov.ph/GEPSNONPILOT/Tender/SplashBidNoticeAbstractUI.aspx?menuIndex=3&amp;refID=7073664&amp;Result=3","7073664")</f>
        <v>0</v>
      </c>
      <c r="B2698" t="s">
        <v>1102</v>
      </c>
      <c r="C2698" t="s">
        <v>5957</v>
      </c>
      <c r="D2698" t="s">
        <v>16667</v>
      </c>
      <c r="E2698" t="s">
        <v>5957</v>
      </c>
      <c r="F2698" t="s">
        <v>28669</v>
      </c>
      <c r="G2698" t="s">
        <v>28676</v>
      </c>
      <c r="H2698" t="s">
        <v>9998</v>
      </c>
      <c r="I2698" t="s">
        <v>28704</v>
      </c>
      <c r="J2698" t="s">
        <v>30654</v>
      </c>
      <c r="K2698" t="s">
        <v>37209</v>
      </c>
      <c r="M2698" t="s">
        <v>38635</v>
      </c>
      <c r="N2698" t="s">
        <v>41249</v>
      </c>
      <c r="O2698" t="s">
        <v>41250</v>
      </c>
      <c r="P2698">
        <v>0</v>
      </c>
      <c r="Q2698">
        <v>0</v>
      </c>
      <c r="R2698" t="s">
        <v>41252</v>
      </c>
      <c r="S2698" t="s">
        <v>41383</v>
      </c>
      <c r="T2698" t="s">
        <v>42729</v>
      </c>
      <c r="U2698" t="s">
        <v>45446</v>
      </c>
      <c r="W2698" t="s">
        <v>38635</v>
      </c>
      <c r="X2698" t="s">
        <v>41254</v>
      </c>
    </row>
    <row r="2699" spans="1:24">
      <c r="A2699">
        <f>HYPERLINK("https://www.philgeps.gov.ph/GEPSNONPILOT/Tender/SplashBidNoticeAbstractUI.aspx?menuIndex=3&amp;refID=7073671&amp;Result=3","7073671")</f>
        <v>0</v>
      </c>
      <c r="B2699" t="s">
        <v>1130</v>
      </c>
      <c r="C2699" t="s">
        <v>5958</v>
      </c>
      <c r="D2699" t="s">
        <v>16626</v>
      </c>
      <c r="E2699" t="s">
        <v>19181</v>
      </c>
      <c r="F2699" t="s">
        <v>28669</v>
      </c>
      <c r="G2699" t="s">
        <v>28676</v>
      </c>
      <c r="H2699" t="s">
        <v>28686</v>
      </c>
      <c r="I2699" t="s">
        <v>28689</v>
      </c>
      <c r="J2699" t="s">
        <v>29247</v>
      </c>
      <c r="K2699" t="s">
        <v>37209</v>
      </c>
      <c r="M2699" t="s">
        <v>38664</v>
      </c>
      <c r="N2699" t="s">
        <v>41249</v>
      </c>
      <c r="O2699" t="s">
        <v>41250</v>
      </c>
      <c r="P2699">
        <v>0</v>
      </c>
      <c r="Q2699">
        <v>0</v>
      </c>
      <c r="R2699" t="s">
        <v>41252</v>
      </c>
      <c r="S2699" t="s">
        <v>41383</v>
      </c>
      <c r="T2699" t="s">
        <v>42729</v>
      </c>
      <c r="U2699" t="s">
        <v>45520</v>
      </c>
      <c r="V2699" t="s">
        <v>54581</v>
      </c>
      <c r="W2699" t="s">
        <v>38664</v>
      </c>
      <c r="X2699" t="s">
        <v>41254</v>
      </c>
    </row>
    <row r="2700" spans="1:24">
      <c r="A2700">
        <f>HYPERLINK("https://www.philgeps.gov.ph/GEPSNONPILOT/Tender/SplashBidNoticeAbstractUI.aspx?menuIndex=3&amp;refID=7073661&amp;Result=3","7073661")</f>
        <v>0</v>
      </c>
      <c r="B2700" t="s">
        <v>1131</v>
      </c>
      <c r="C2700" t="s">
        <v>5959</v>
      </c>
      <c r="D2700" t="s">
        <v>16657</v>
      </c>
      <c r="E2700" t="s">
        <v>19182</v>
      </c>
      <c r="F2700" t="s">
        <v>28669</v>
      </c>
      <c r="G2700" t="s">
        <v>28678</v>
      </c>
      <c r="H2700" t="s">
        <v>9998</v>
      </c>
      <c r="I2700" t="s">
        <v>28741</v>
      </c>
      <c r="J2700" t="s">
        <v>30655</v>
      </c>
      <c r="K2700" t="s">
        <v>37204</v>
      </c>
      <c r="M2700" t="s">
        <v>38665</v>
      </c>
      <c r="N2700" t="s">
        <v>41249</v>
      </c>
      <c r="O2700" t="s">
        <v>41250</v>
      </c>
      <c r="P2700">
        <v>0</v>
      </c>
      <c r="Q2700">
        <v>0</v>
      </c>
      <c r="R2700" t="s">
        <v>41252</v>
      </c>
      <c r="S2700" t="s">
        <v>41383</v>
      </c>
      <c r="T2700" t="s">
        <v>42748</v>
      </c>
      <c r="U2700" t="s">
        <v>45521</v>
      </c>
      <c r="W2700" t="s">
        <v>55942</v>
      </c>
      <c r="X2700" t="s">
        <v>41254</v>
      </c>
    </row>
    <row r="2701" spans="1:24">
      <c r="A2701">
        <f>HYPERLINK("https://www.philgeps.gov.ph/GEPSNONPILOT/Tender/SplashBidNoticeAbstractUI.aspx?menuIndex=3&amp;refID=7073659&amp;Result=3","7073659")</f>
        <v>0</v>
      </c>
      <c r="B2701" t="s">
        <v>101</v>
      </c>
      <c r="C2701" t="s">
        <v>5960</v>
      </c>
      <c r="D2701" t="s">
        <v>16644</v>
      </c>
      <c r="E2701" t="s">
        <v>19183</v>
      </c>
      <c r="F2701" t="s">
        <v>28669</v>
      </c>
      <c r="G2701" t="s">
        <v>28676</v>
      </c>
      <c r="H2701" t="s">
        <v>9998</v>
      </c>
      <c r="I2701" t="s">
        <v>28722</v>
      </c>
      <c r="J2701" t="s">
        <v>30656</v>
      </c>
      <c r="K2701" t="s">
        <v>37209</v>
      </c>
      <c r="M2701" t="s">
        <v>38633</v>
      </c>
      <c r="N2701" t="s">
        <v>41249</v>
      </c>
      <c r="O2701" t="s">
        <v>41250</v>
      </c>
      <c r="P2701">
        <v>0</v>
      </c>
      <c r="Q2701">
        <v>0</v>
      </c>
      <c r="R2701" t="s">
        <v>41252</v>
      </c>
      <c r="S2701" t="s">
        <v>41383</v>
      </c>
      <c r="T2701" t="s">
        <v>42748</v>
      </c>
      <c r="U2701" t="s">
        <v>45522</v>
      </c>
      <c r="V2701" t="s">
        <v>54582</v>
      </c>
      <c r="W2701" t="s">
        <v>38633</v>
      </c>
      <c r="X2701" t="s">
        <v>41254</v>
      </c>
    </row>
    <row r="2702" spans="1:24">
      <c r="A2702">
        <f>HYPERLINK("https://www.philgeps.gov.ph/GEPSNONPILOT/Tender/SplashBidNoticeAbstractUI.aspx?menuIndex=3&amp;refID=7073658&amp;Result=3","7073658")</f>
        <v>0</v>
      </c>
      <c r="B2702" t="s">
        <v>387</v>
      </c>
      <c r="C2702" t="s">
        <v>5961</v>
      </c>
      <c r="D2702" t="s">
        <v>16657</v>
      </c>
      <c r="E2702" t="s">
        <v>19184</v>
      </c>
      <c r="F2702" t="s">
        <v>28669</v>
      </c>
      <c r="G2702" t="s">
        <v>28675</v>
      </c>
      <c r="H2702" t="s">
        <v>9998</v>
      </c>
      <c r="I2702" t="s">
        <v>11593</v>
      </c>
      <c r="J2702" t="s">
        <v>30657</v>
      </c>
      <c r="K2702" t="s">
        <v>37206</v>
      </c>
      <c r="M2702" t="s">
        <v>37871</v>
      </c>
      <c r="N2702" t="s">
        <v>41249</v>
      </c>
      <c r="O2702" t="s">
        <v>41250</v>
      </c>
      <c r="P2702">
        <v>0</v>
      </c>
      <c r="Q2702">
        <v>3</v>
      </c>
      <c r="R2702" t="s">
        <v>41252</v>
      </c>
      <c r="S2702" t="s">
        <v>41383</v>
      </c>
      <c r="T2702" t="s">
        <v>42730</v>
      </c>
      <c r="U2702" t="s">
        <v>45523</v>
      </c>
      <c r="W2702" t="s">
        <v>37871</v>
      </c>
      <c r="X2702" t="s">
        <v>41254</v>
      </c>
    </row>
    <row r="2703" spans="1:24">
      <c r="A2703">
        <f>HYPERLINK("https://www.philgeps.gov.ph/GEPSNONPILOT/Tender/SplashBidNoticeAbstractUI.aspx?menuIndex=3&amp;refID=7073657&amp;Result=3","7073657")</f>
        <v>0</v>
      </c>
      <c r="B2703" t="s">
        <v>1132</v>
      </c>
      <c r="C2703" t="s">
        <v>5962</v>
      </c>
      <c r="D2703" t="s">
        <v>16627</v>
      </c>
      <c r="E2703" t="s">
        <v>19185</v>
      </c>
      <c r="F2703" t="s">
        <v>28669</v>
      </c>
      <c r="G2703" t="s">
        <v>28676</v>
      </c>
      <c r="H2703" t="s">
        <v>9998</v>
      </c>
      <c r="I2703" t="s">
        <v>8667</v>
      </c>
      <c r="J2703" t="s">
        <v>30658</v>
      </c>
      <c r="K2703" t="s">
        <v>37208</v>
      </c>
      <c r="M2703" t="s">
        <v>38666</v>
      </c>
      <c r="N2703" t="s">
        <v>41249</v>
      </c>
      <c r="O2703" t="s">
        <v>41250</v>
      </c>
      <c r="P2703">
        <v>0</v>
      </c>
      <c r="Q2703">
        <v>0</v>
      </c>
      <c r="R2703" t="s">
        <v>41252</v>
      </c>
      <c r="S2703" t="s">
        <v>41383</v>
      </c>
      <c r="T2703" t="s">
        <v>42743</v>
      </c>
      <c r="U2703" t="s">
        <v>45524</v>
      </c>
      <c r="W2703" t="s">
        <v>38666</v>
      </c>
      <c r="X2703" t="s">
        <v>41254</v>
      </c>
    </row>
    <row r="2704" spans="1:24">
      <c r="A2704">
        <f>HYPERLINK("https://www.philgeps.gov.ph/GEPSNONPILOT/Tender/SplashBidNoticeAbstractUI.aspx?menuIndex=3&amp;refID=7073667&amp;Result=3","7073667")</f>
        <v>0</v>
      </c>
      <c r="B2704" t="s">
        <v>1133</v>
      </c>
      <c r="C2704" t="s">
        <v>5963</v>
      </c>
      <c r="D2704" t="s">
        <v>16647</v>
      </c>
      <c r="E2704" t="s">
        <v>19186</v>
      </c>
      <c r="F2704" t="s">
        <v>28669</v>
      </c>
      <c r="G2704" t="s">
        <v>28675</v>
      </c>
      <c r="H2704" t="s">
        <v>9998</v>
      </c>
      <c r="I2704" t="s">
        <v>28704</v>
      </c>
      <c r="J2704" t="s">
        <v>30659</v>
      </c>
      <c r="K2704" t="s">
        <v>37204</v>
      </c>
      <c r="M2704" t="s">
        <v>38667</v>
      </c>
      <c r="N2704" t="s">
        <v>41249</v>
      </c>
      <c r="O2704" t="s">
        <v>41250</v>
      </c>
      <c r="P2704">
        <v>0</v>
      </c>
      <c r="Q2704">
        <v>0</v>
      </c>
      <c r="R2704" t="s">
        <v>41252</v>
      </c>
      <c r="S2704" t="s">
        <v>41383</v>
      </c>
      <c r="T2704" t="s">
        <v>42753</v>
      </c>
      <c r="U2704" t="s">
        <v>45525</v>
      </c>
      <c r="W2704" t="s">
        <v>38667</v>
      </c>
      <c r="X2704" t="s">
        <v>41254</v>
      </c>
    </row>
    <row r="2705" spans="1:24">
      <c r="A2705">
        <f>HYPERLINK("https://www.philgeps.gov.ph/GEPSNONPILOT/Tender/SplashBidNoticeAbstractUI.aspx?menuIndex=3&amp;refID=7073631&amp;Result=3","7073631")</f>
        <v>0</v>
      </c>
      <c r="B2705" t="s">
        <v>1076</v>
      </c>
      <c r="C2705" t="s">
        <v>5964</v>
      </c>
      <c r="D2705" t="s">
        <v>16611</v>
      </c>
      <c r="E2705" t="s">
        <v>19187</v>
      </c>
      <c r="F2705" t="s">
        <v>28669</v>
      </c>
      <c r="G2705" t="s">
        <v>28676</v>
      </c>
      <c r="H2705" t="s">
        <v>9998</v>
      </c>
      <c r="I2705" t="s">
        <v>28713</v>
      </c>
      <c r="J2705" t="s">
        <v>29193</v>
      </c>
      <c r="K2705" t="s">
        <v>37205</v>
      </c>
      <c r="M2705" t="s">
        <v>38608</v>
      </c>
      <c r="N2705" t="s">
        <v>41249</v>
      </c>
      <c r="O2705" t="s">
        <v>41250</v>
      </c>
      <c r="P2705">
        <v>0</v>
      </c>
      <c r="Q2705">
        <v>4</v>
      </c>
      <c r="R2705" t="s">
        <v>41252</v>
      </c>
      <c r="S2705" t="s">
        <v>41383</v>
      </c>
      <c r="T2705" t="s">
        <v>42729</v>
      </c>
      <c r="U2705" t="s">
        <v>44679</v>
      </c>
      <c r="W2705" t="s">
        <v>38608</v>
      </c>
      <c r="X2705" t="s">
        <v>41254</v>
      </c>
    </row>
    <row r="2706" spans="1:24">
      <c r="A2706">
        <f>HYPERLINK("https://www.philgeps.gov.ph/GEPSNONPILOT/Tender/SplashBidNoticeAbstractUI.aspx?menuIndex=3&amp;refID=7073629&amp;Result=3","7073629")</f>
        <v>0</v>
      </c>
      <c r="B2706" t="s">
        <v>1134</v>
      </c>
      <c r="C2706" t="s">
        <v>5965</v>
      </c>
      <c r="D2706" t="s">
        <v>16638</v>
      </c>
      <c r="E2706" t="s">
        <v>18429</v>
      </c>
      <c r="F2706" t="s">
        <v>28669</v>
      </c>
      <c r="G2706" t="s">
        <v>28675</v>
      </c>
      <c r="H2706" t="s">
        <v>28686</v>
      </c>
      <c r="I2706" t="s">
        <v>28689</v>
      </c>
      <c r="J2706" t="s">
        <v>30660</v>
      </c>
      <c r="K2706" t="s">
        <v>37206</v>
      </c>
      <c r="M2706" t="s">
        <v>38668</v>
      </c>
      <c r="N2706" t="s">
        <v>41249</v>
      </c>
      <c r="O2706" t="s">
        <v>41250</v>
      </c>
      <c r="P2706">
        <v>0</v>
      </c>
      <c r="Q2706">
        <v>0</v>
      </c>
      <c r="R2706" t="s">
        <v>41252</v>
      </c>
      <c r="S2706" t="s">
        <v>41383</v>
      </c>
      <c r="T2706" t="s">
        <v>42795</v>
      </c>
      <c r="U2706" t="s">
        <v>45526</v>
      </c>
      <c r="W2706" t="s">
        <v>38668</v>
      </c>
      <c r="X2706" t="s">
        <v>41254</v>
      </c>
    </row>
    <row r="2707" spans="1:24">
      <c r="A2707">
        <f>HYPERLINK("https://www.philgeps.gov.ph/GEPSNONPILOT/Tender/SplashBidNoticeAbstractUI.aspx?menuIndex=3&amp;refID=7073660&amp;Result=3","7073660")</f>
        <v>0</v>
      </c>
      <c r="B2707" t="s">
        <v>1135</v>
      </c>
      <c r="C2707" t="s">
        <v>5966</v>
      </c>
      <c r="E2707" t="s">
        <v>19188</v>
      </c>
      <c r="F2707" t="s">
        <v>28669</v>
      </c>
      <c r="G2707" t="s">
        <v>28677</v>
      </c>
      <c r="H2707" t="s">
        <v>9998</v>
      </c>
      <c r="I2707" t="s">
        <v>5213</v>
      </c>
      <c r="J2707" t="s">
        <v>29051</v>
      </c>
      <c r="K2707" t="s">
        <v>37209</v>
      </c>
      <c r="M2707" t="s">
        <v>38669</v>
      </c>
      <c r="N2707" t="s">
        <v>41249</v>
      </c>
      <c r="O2707" t="s">
        <v>41250</v>
      </c>
      <c r="P2707">
        <v>0</v>
      </c>
      <c r="Q2707">
        <v>11</v>
      </c>
      <c r="R2707" t="s">
        <v>41252</v>
      </c>
      <c r="S2707" t="s">
        <v>41383</v>
      </c>
      <c r="T2707" t="s">
        <v>42748</v>
      </c>
      <c r="U2707" t="s">
        <v>45527</v>
      </c>
      <c r="W2707" t="s">
        <v>38669</v>
      </c>
      <c r="X2707" t="s">
        <v>41254</v>
      </c>
    </row>
    <row r="2708" spans="1:24">
      <c r="A2708">
        <f>HYPERLINK("https://www.philgeps.gov.ph/GEPSNONPILOT/Tender/SplashBidNoticeAbstractUI.aspx?menuIndex=3&amp;refID=7073672&amp;Result=3","7073672")</f>
        <v>0</v>
      </c>
      <c r="B2708" t="s">
        <v>1106</v>
      </c>
      <c r="C2708" t="s">
        <v>5967</v>
      </c>
      <c r="D2708" t="s">
        <v>16639</v>
      </c>
      <c r="E2708" t="s">
        <v>19189</v>
      </c>
      <c r="F2708" t="s">
        <v>28669</v>
      </c>
      <c r="G2708" t="s">
        <v>28677</v>
      </c>
      <c r="H2708" t="s">
        <v>9998</v>
      </c>
      <c r="I2708" t="s">
        <v>7352</v>
      </c>
      <c r="J2708" t="s">
        <v>30661</v>
      </c>
      <c r="K2708" t="s">
        <v>37206</v>
      </c>
      <c r="M2708" t="s">
        <v>38639</v>
      </c>
      <c r="N2708" t="s">
        <v>41249</v>
      </c>
      <c r="O2708" t="s">
        <v>41250</v>
      </c>
      <c r="P2708">
        <v>0</v>
      </c>
      <c r="Q2708">
        <v>0</v>
      </c>
      <c r="R2708" t="s">
        <v>41252</v>
      </c>
      <c r="S2708" t="s">
        <v>41383</v>
      </c>
      <c r="T2708" t="s">
        <v>42743</v>
      </c>
      <c r="U2708" t="s">
        <v>45528</v>
      </c>
      <c r="W2708" t="s">
        <v>38639</v>
      </c>
      <c r="X2708" t="s">
        <v>41254</v>
      </c>
    </row>
    <row r="2709" spans="1:24">
      <c r="A2709">
        <f>HYPERLINK("https://www.philgeps.gov.ph/GEPSNONPILOT/Tender/SplashBidNoticeAbstractUI.aspx?menuIndex=3&amp;refID=7073663&amp;Result=3","7073663")</f>
        <v>0</v>
      </c>
      <c r="B2709" t="s">
        <v>1136</v>
      </c>
      <c r="C2709" t="s">
        <v>5968</v>
      </c>
      <c r="D2709" t="s">
        <v>16666</v>
      </c>
      <c r="E2709" t="s">
        <v>19190</v>
      </c>
      <c r="F2709" t="s">
        <v>28669</v>
      </c>
      <c r="G2709" t="s">
        <v>28680</v>
      </c>
      <c r="H2709" t="s">
        <v>9998</v>
      </c>
      <c r="I2709" t="s">
        <v>28728</v>
      </c>
      <c r="J2709" t="s">
        <v>28914</v>
      </c>
      <c r="K2709" t="s">
        <v>37210</v>
      </c>
      <c r="M2709" t="s">
        <v>38670</v>
      </c>
      <c r="N2709" t="s">
        <v>41249</v>
      </c>
      <c r="O2709" t="s">
        <v>41250</v>
      </c>
      <c r="P2709">
        <v>0</v>
      </c>
      <c r="Q2709">
        <v>0</v>
      </c>
      <c r="R2709" t="s">
        <v>41252</v>
      </c>
      <c r="S2709" t="s">
        <v>41383</v>
      </c>
      <c r="T2709" t="s">
        <v>42867</v>
      </c>
      <c r="U2709" t="s">
        <v>45529</v>
      </c>
      <c r="W2709" t="s">
        <v>38670</v>
      </c>
      <c r="X2709" t="s">
        <v>41254</v>
      </c>
    </row>
    <row r="2710" spans="1:24">
      <c r="A2710">
        <f>HYPERLINK("https://www.philgeps.gov.ph/GEPSNONPILOT/Tender/SplashBidNoticeAbstractUI.aspx?menuIndex=3&amp;refID=7081757&amp;Result=3","7081757")</f>
        <v>0</v>
      </c>
      <c r="B2710" t="s">
        <v>1137</v>
      </c>
      <c r="C2710" t="s">
        <v>5969</v>
      </c>
      <c r="D2710" t="s">
        <v>16615</v>
      </c>
      <c r="E2710" t="s">
        <v>19191</v>
      </c>
      <c r="F2710" t="s">
        <v>28669</v>
      </c>
      <c r="G2710" t="s">
        <v>28675</v>
      </c>
      <c r="H2710" t="s">
        <v>9998</v>
      </c>
      <c r="I2710" t="s">
        <v>11593</v>
      </c>
      <c r="J2710" t="s">
        <v>30662</v>
      </c>
      <c r="K2710" t="s">
        <v>37213</v>
      </c>
      <c r="M2710" t="s">
        <v>38671</v>
      </c>
      <c r="N2710" t="s">
        <v>41249</v>
      </c>
      <c r="O2710" t="s">
        <v>41250</v>
      </c>
      <c r="P2710">
        <v>0</v>
      </c>
      <c r="Q2710">
        <v>0</v>
      </c>
      <c r="R2710" t="s">
        <v>41253</v>
      </c>
      <c r="S2710" t="s">
        <v>41393</v>
      </c>
      <c r="T2710" t="s">
        <v>42669</v>
      </c>
      <c r="U2710" t="s">
        <v>45530</v>
      </c>
      <c r="W2710" t="s">
        <v>38671</v>
      </c>
      <c r="X2710" t="s">
        <v>41251</v>
      </c>
    </row>
    <row r="2711" spans="1:24">
      <c r="A2711">
        <f>HYPERLINK("https://www.philgeps.gov.ph/GEPSNONPILOT/Tender/SplashBidNoticeAbstractUI.aspx?menuIndex=3&amp;refID=7073666&amp;Result=3","7073666")</f>
        <v>0</v>
      </c>
      <c r="B2711" t="s">
        <v>1111</v>
      </c>
      <c r="C2711" t="s">
        <v>5970</v>
      </c>
      <c r="D2711" t="s">
        <v>16668</v>
      </c>
      <c r="E2711" t="s">
        <v>19192</v>
      </c>
      <c r="F2711" t="s">
        <v>28669</v>
      </c>
      <c r="G2711" t="s">
        <v>28676</v>
      </c>
      <c r="H2711" t="s">
        <v>9998</v>
      </c>
      <c r="I2711" t="s">
        <v>28731</v>
      </c>
      <c r="J2711" t="s">
        <v>30663</v>
      </c>
      <c r="K2711" t="s">
        <v>37209</v>
      </c>
      <c r="M2711" t="s">
        <v>38644</v>
      </c>
      <c r="N2711" t="s">
        <v>41249</v>
      </c>
      <c r="O2711" t="s">
        <v>41250</v>
      </c>
      <c r="P2711">
        <v>0</v>
      </c>
      <c r="Q2711">
        <v>7</v>
      </c>
      <c r="R2711" t="s">
        <v>41252</v>
      </c>
      <c r="S2711" t="s">
        <v>41383</v>
      </c>
      <c r="T2711" t="s">
        <v>42758</v>
      </c>
      <c r="U2711" t="s">
        <v>45531</v>
      </c>
      <c r="W2711" t="s">
        <v>38644</v>
      </c>
      <c r="X2711" t="s">
        <v>41254</v>
      </c>
    </row>
    <row r="2712" spans="1:24">
      <c r="A2712">
        <f>HYPERLINK("https://www.philgeps.gov.ph/GEPSNONPILOT/Tender/SplashBidNoticeAbstractUI.aspx?menuIndex=3&amp;refID=7073646&amp;Result=3","7073646")</f>
        <v>0</v>
      </c>
      <c r="B2712" t="s">
        <v>1131</v>
      </c>
      <c r="C2712" t="s">
        <v>5971</v>
      </c>
      <c r="D2712" t="s">
        <v>16657</v>
      </c>
      <c r="E2712" t="s">
        <v>19193</v>
      </c>
      <c r="F2712" t="s">
        <v>28669</v>
      </c>
      <c r="G2712" t="s">
        <v>28678</v>
      </c>
      <c r="H2712" t="s">
        <v>9998</v>
      </c>
      <c r="I2712" t="s">
        <v>28688</v>
      </c>
      <c r="J2712" t="s">
        <v>30664</v>
      </c>
      <c r="K2712" t="s">
        <v>37204</v>
      </c>
      <c r="M2712" t="s">
        <v>38665</v>
      </c>
      <c r="N2712" t="s">
        <v>41249</v>
      </c>
      <c r="O2712" t="s">
        <v>41250</v>
      </c>
      <c r="P2712">
        <v>0</v>
      </c>
      <c r="Q2712">
        <v>8</v>
      </c>
      <c r="R2712" t="s">
        <v>41252</v>
      </c>
      <c r="S2712" t="s">
        <v>41383</v>
      </c>
      <c r="T2712" t="s">
        <v>42748</v>
      </c>
      <c r="U2712" t="s">
        <v>45532</v>
      </c>
      <c r="W2712" t="s">
        <v>55942</v>
      </c>
      <c r="X2712" t="s">
        <v>41254</v>
      </c>
    </row>
    <row r="2713" spans="1:24">
      <c r="A2713">
        <f>HYPERLINK("https://www.philgeps.gov.ph/GEPSNONPILOT/Tender/SplashBidNoticeAbstractUI.aspx?menuIndex=3&amp;refID=7081754&amp;Result=3","7081754")</f>
        <v>0</v>
      </c>
      <c r="B2713" t="s">
        <v>100</v>
      </c>
      <c r="C2713" t="s">
        <v>5972</v>
      </c>
      <c r="D2713" t="s">
        <v>16608</v>
      </c>
      <c r="E2713" t="s">
        <v>19194</v>
      </c>
      <c r="F2713" t="s">
        <v>28669</v>
      </c>
      <c r="G2713" t="s">
        <v>28676</v>
      </c>
      <c r="H2713" t="s">
        <v>9998</v>
      </c>
      <c r="I2713" t="s">
        <v>28791</v>
      </c>
      <c r="J2713" t="s">
        <v>29931</v>
      </c>
      <c r="K2713" t="s">
        <v>37209</v>
      </c>
      <c r="M2713" t="s">
        <v>38672</v>
      </c>
      <c r="N2713" t="s">
        <v>41249</v>
      </c>
      <c r="O2713" t="s">
        <v>41250</v>
      </c>
      <c r="P2713">
        <v>0</v>
      </c>
      <c r="Q2713">
        <v>0</v>
      </c>
      <c r="R2713" t="s">
        <v>41253</v>
      </c>
      <c r="S2713" t="s">
        <v>41393</v>
      </c>
      <c r="T2713" t="s">
        <v>42734</v>
      </c>
      <c r="U2713" t="s">
        <v>45533</v>
      </c>
      <c r="W2713" t="s">
        <v>38672</v>
      </c>
      <c r="X2713" t="s">
        <v>41251</v>
      </c>
    </row>
    <row r="2714" spans="1:24">
      <c r="A2714">
        <f>HYPERLINK("https://www.philgeps.gov.ph/GEPSNONPILOT/Tender/SplashBidNoticeAbstractUI.aspx?menuIndex=3&amp;refID=7081752&amp;Result=3","7081752")</f>
        <v>0</v>
      </c>
      <c r="B2714" t="s">
        <v>1138</v>
      </c>
      <c r="C2714" t="s">
        <v>5973</v>
      </c>
      <c r="D2714" t="s">
        <v>16608</v>
      </c>
      <c r="E2714" t="s">
        <v>19195</v>
      </c>
      <c r="F2714" t="s">
        <v>28669</v>
      </c>
      <c r="G2714" t="s">
        <v>28676</v>
      </c>
      <c r="H2714" t="s">
        <v>9998</v>
      </c>
      <c r="I2714" t="s">
        <v>11593</v>
      </c>
      <c r="J2714" t="s">
        <v>29309</v>
      </c>
      <c r="K2714" t="s">
        <v>37204</v>
      </c>
      <c r="M2714" t="s">
        <v>38673</v>
      </c>
      <c r="N2714" t="s">
        <v>41249</v>
      </c>
      <c r="O2714" t="s">
        <v>41250</v>
      </c>
      <c r="P2714">
        <v>0</v>
      </c>
      <c r="Q2714">
        <v>0</v>
      </c>
      <c r="R2714" t="s">
        <v>41253</v>
      </c>
      <c r="S2714" t="s">
        <v>41393</v>
      </c>
      <c r="T2714" t="s">
        <v>42673</v>
      </c>
      <c r="U2714" t="s">
        <v>45534</v>
      </c>
      <c r="V2714" t="s">
        <v>54583</v>
      </c>
      <c r="W2714" t="s">
        <v>38673</v>
      </c>
      <c r="X2714" t="s">
        <v>41251</v>
      </c>
    </row>
    <row r="2715" spans="1:24">
      <c r="A2715">
        <f>HYPERLINK("https://www.philgeps.gov.ph/GEPSNONPILOT/Tender/SplashBidNoticeAbstractUI.aspx?menuIndex=3&amp;refID=7081756&amp;Result=3","7081756")</f>
        <v>0</v>
      </c>
      <c r="B2715" t="s">
        <v>1139</v>
      </c>
      <c r="C2715" t="s">
        <v>5974</v>
      </c>
      <c r="E2715" t="s">
        <v>19196</v>
      </c>
      <c r="F2715" t="s">
        <v>28671</v>
      </c>
      <c r="G2715" t="s">
        <v>28683</v>
      </c>
      <c r="H2715" t="s">
        <v>28685</v>
      </c>
      <c r="I2715" t="s">
        <v>28685</v>
      </c>
      <c r="J2715" t="s">
        <v>30665</v>
      </c>
      <c r="K2715" t="s">
        <v>37323</v>
      </c>
      <c r="M2715" t="s">
        <v>38674</v>
      </c>
      <c r="N2715" t="s">
        <v>41249</v>
      </c>
      <c r="O2715" t="s">
        <v>41250</v>
      </c>
      <c r="P2715">
        <v>0</v>
      </c>
      <c r="Q2715">
        <v>0</v>
      </c>
      <c r="R2715" t="s">
        <v>41253</v>
      </c>
      <c r="S2715" t="s">
        <v>41393</v>
      </c>
      <c r="T2715" t="s">
        <v>42898</v>
      </c>
      <c r="U2715" t="s">
        <v>45535</v>
      </c>
      <c r="V2715" t="s">
        <v>54584</v>
      </c>
      <c r="W2715" t="s">
        <v>38674</v>
      </c>
      <c r="X2715" t="s">
        <v>41251</v>
      </c>
    </row>
    <row r="2716" spans="1:24">
      <c r="A2716">
        <f>HYPERLINK("https://www.philgeps.gov.ph/GEPSNONPILOT/Tender/SplashBidNoticeAbstractUI.aspx?menuIndex=3&amp;refID=7081749&amp;Result=3","7081749")</f>
        <v>0</v>
      </c>
      <c r="B2716" t="s">
        <v>310</v>
      </c>
      <c r="C2716" t="s">
        <v>5975</v>
      </c>
      <c r="D2716" t="s">
        <v>16635</v>
      </c>
      <c r="E2716" t="s">
        <v>19197</v>
      </c>
      <c r="F2716" t="s">
        <v>28669</v>
      </c>
      <c r="G2716" t="s">
        <v>28676</v>
      </c>
      <c r="H2716" t="s">
        <v>9998</v>
      </c>
      <c r="I2716" t="s">
        <v>28690</v>
      </c>
      <c r="J2716" t="s">
        <v>30666</v>
      </c>
      <c r="K2716" t="s">
        <v>37210</v>
      </c>
      <c r="M2716" t="s">
        <v>37980</v>
      </c>
      <c r="N2716" t="s">
        <v>41249</v>
      </c>
      <c r="O2716" t="s">
        <v>41250</v>
      </c>
      <c r="P2716">
        <v>0</v>
      </c>
      <c r="Q2716">
        <v>0</v>
      </c>
      <c r="R2716" t="s">
        <v>41253</v>
      </c>
      <c r="S2716" t="s">
        <v>41393</v>
      </c>
      <c r="T2716" t="s">
        <v>42686</v>
      </c>
      <c r="U2716" t="s">
        <v>45536</v>
      </c>
      <c r="W2716" t="s">
        <v>37980</v>
      </c>
      <c r="X2716" t="s">
        <v>41251</v>
      </c>
    </row>
    <row r="2717" spans="1:24">
      <c r="A2717">
        <f>HYPERLINK("https://www.philgeps.gov.ph/GEPSNONPILOT/Tender/SplashBidNoticeAbstractUI.aspx?menuIndex=3&amp;refID=7073628&amp;Result=3","7073628")</f>
        <v>0</v>
      </c>
      <c r="B2717" t="s">
        <v>1084</v>
      </c>
      <c r="C2717" t="s">
        <v>5976</v>
      </c>
      <c r="D2717" t="s">
        <v>16667</v>
      </c>
      <c r="E2717" t="s">
        <v>19198</v>
      </c>
      <c r="F2717" t="s">
        <v>28669</v>
      </c>
      <c r="G2717" t="s">
        <v>28675</v>
      </c>
      <c r="H2717" t="s">
        <v>9998</v>
      </c>
      <c r="I2717" t="s">
        <v>28697</v>
      </c>
      <c r="J2717" t="s">
        <v>30585</v>
      </c>
      <c r="K2717" t="s">
        <v>37220</v>
      </c>
      <c r="M2717" t="s">
        <v>38616</v>
      </c>
      <c r="N2717" t="s">
        <v>41249</v>
      </c>
      <c r="O2717" t="s">
        <v>41250</v>
      </c>
      <c r="P2717">
        <v>0</v>
      </c>
      <c r="Q2717">
        <v>0</v>
      </c>
      <c r="R2717" t="s">
        <v>41252</v>
      </c>
      <c r="S2717" t="s">
        <v>41383</v>
      </c>
      <c r="T2717" t="s">
        <v>42808</v>
      </c>
      <c r="U2717" t="s">
        <v>45537</v>
      </c>
      <c r="W2717" t="s">
        <v>38616</v>
      </c>
      <c r="X2717" t="s">
        <v>41254</v>
      </c>
    </row>
    <row r="2718" spans="1:24">
      <c r="A2718">
        <f>HYPERLINK("https://www.philgeps.gov.ph/GEPSNONPILOT/Tender/SplashBidNoticeAbstractUI.aspx?menuIndex=3&amp;refID=7081747&amp;Result=3","7081747")</f>
        <v>0</v>
      </c>
      <c r="B2718" t="s">
        <v>1140</v>
      </c>
      <c r="C2718" t="s">
        <v>5977</v>
      </c>
      <c r="D2718" t="s">
        <v>16667</v>
      </c>
      <c r="E2718" t="s">
        <v>19199</v>
      </c>
      <c r="F2718" t="s">
        <v>28669</v>
      </c>
      <c r="G2718" t="s">
        <v>28675</v>
      </c>
      <c r="H2718" t="s">
        <v>28686</v>
      </c>
      <c r="I2718" t="s">
        <v>28689</v>
      </c>
      <c r="J2718" t="s">
        <v>30667</v>
      </c>
      <c r="K2718" t="s">
        <v>37214</v>
      </c>
      <c r="M2718" t="s">
        <v>38675</v>
      </c>
      <c r="N2718" t="s">
        <v>41249</v>
      </c>
      <c r="O2718" t="s">
        <v>41250</v>
      </c>
      <c r="P2718">
        <v>0</v>
      </c>
      <c r="Q2718">
        <v>0</v>
      </c>
      <c r="R2718" t="s">
        <v>41253</v>
      </c>
      <c r="S2718" t="s">
        <v>41393</v>
      </c>
      <c r="T2718" t="s">
        <v>42764</v>
      </c>
      <c r="U2718" t="s">
        <v>45538</v>
      </c>
      <c r="W2718" t="s">
        <v>38675</v>
      </c>
      <c r="X2718" t="s">
        <v>41251</v>
      </c>
    </row>
    <row r="2719" spans="1:24">
      <c r="A2719">
        <f>HYPERLINK("https://www.philgeps.gov.ph/GEPSNONPILOT/Tender/SplashBidNoticeAbstractUI.aspx?menuIndex=3&amp;refID=7081755&amp;Result=3","7081755")</f>
        <v>0</v>
      </c>
      <c r="B2719" t="s">
        <v>1141</v>
      </c>
      <c r="C2719" t="s">
        <v>5978</v>
      </c>
      <c r="D2719" t="s">
        <v>16619</v>
      </c>
      <c r="E2719" t="s">
        <v>19200</v>
      </c>
      <c r="F2719" t="s">
        <v>28669</v>
      </c>
      <c r="G2719" t="s">
        <v>28676</v>
      </c>
      <c r="H2719" t="s">
        <v>9998</v>
      </c>
      <c r="I2719" t="s">
        <v>6128</v>
      </c>
      <c r="J2719" t="s">
        <v>30668</v>
      </c>
      <c r="K2719" t="s">
        <v>37234</v>
      </c>
      <c r="M2719" t="s">
        <v>38676</v>
      </c>
      <c r="N2719" t="s">
        <v>41249</v>
      </c>
      <c r="O2719" t="s">
        <v>41250</v>
      </c>
      <c r="P2719">
        <v>0</v>
      </c>
      <c r="Q2719">
        <v>0</v>
      </c>
      <c r="R2719" t="s">
        <v>41253</v>
      </c>
      <c r="S2719" t="s">
        <v>41393</v>
      </c>
      <c r="T2719" t="s">
        <v>42719</v>
      </c>
      <c r="U2719" t="s">
        <v>45539</v>
      </c>
      <c r="W2719" t="s">
        <v>38676</v>
      </c>
      <c r="X2719" t="s">
        <v>41251</v>
      </c>
    </row>
    <row r="2720" spans="1:24">
      <c r="A2720">
        <f>HYPERLINK("https://www.philgeps.gov.ph/GEPSNONPILOT/Tender/SplashBidNoticeAbstractUI.aspx?menuIndex=3&amp;refID=7081742&amp;Result=3","7081742")</f>
        <v>0</v>
      </c>
      <c r="B2720" t="s">
        <v>1142</v>
      </c>
      <c r="C2720" t="s">
        <v>5979</v>
      </c>
      <c r="D2720" t="s">
        <v>16626</v>
      </c>
      <c r="E2720" t="s">
        <v>19201</v>
      </c>
      <c r="F2720" t="s">
        <v>28669</v>
      </c>
      <c r="G2720" t="s">
        <v>28675</v>
      </c>
      <c r="H2720" t="s">
        <v>9998</v>
      </c>
      <c r="I2720" t="s">
        <v>28709</v>
      </c>
      <c r="J2720" t="s">
        <v>30669</v>
      </c>
      <c r="K2720" t="s">
        <v>37234</v>
      </c>
      <c r="M2720" t="s">
        <v>38677</v>
      </c>
      <c r="N2720" t="s">
        <v>41249</v>
      </c>
      <c r="O2720" t="s">
        <v>41250</v>
      </c>
      <c r="P2720">
        <v>0</v>
      </c>
      <c r="Q2720">
        <v>0</v>
      </c>
      <c r="R2720" t="s">
        <v>41253</v>
      </c>
      <c r="S2720" t="s">
        <v>41393</v>
      </c>
      <c r="T2720" t="s">
        <v>42899</v>
      </c>
      <c r="U2720" t="s">
        <v>45540</v>
      </c>
      <c r="W2720" t="s">
        <v>38677</v>
      </c>
      <c r="X2720" t="s">
        <v>41251</v>
      </c>
    </row>
    <row r="2721" spans="1:24">
      <c r="A2721">
        <f>HYPERLINK("https://www.philgeps.gov.ph/GEPSNONPILOT/Tender/SplashBidNoticeAbstractUI.aspx?menuIndex=3&amp;refID=7081739&amp;Result=3","7081739")</f>
        <v>0</v>
      </c>
      <c r="B2721" t="s">
        <v>1143</v>
      </c>
      <c r="C2721" t="s">
        <v>5980</v>
      </c>
      <c r="D2721" t="s">
        <v>16608</v>
      </c>
      <c r="E2721" t="s">
        <v>19202</v>
      </c>
      <c r="F2721" t="s">
        <v>28669</v>
      </c>
      <c r="G2721" t="s">
        <v>28675</v>
      </c>
      <c r="H2721" t="s">
        <v>28686</v>
      </c>
      <c r="I2721" t="s">
        <v>28689</v>
      </c>
      <c r="J2721" t="s">
        <v>30670</v>
      </c>
      <c r="K2721" t="s">
        <v>37324</v>
      </c>
      <c r="M2721" t="s">
        <v>38678</v>
      </c>
      <c r="N2721" t="s">
        <v>41249</v>
      </c>
      <c r="O2721" t="s">
        <v>41250</v>
      </c>
      <c r="P2721">
        <v>0</v>
      </c>
      <c r="Q2721">
        <v>0</v>
      </c>
      <c r="R2721" t="s">
        <v>41253</v>
      </c>
      <c r="S2721" t="s">
        <v>41393</v>
      </c>
      <c r="T2721" t="s">
        <v>42669</v>
      </c>
      <c r="U2721" t="s">
        <v>45541</v>
      </c>
      <c r="W2721" t="s">
        <v>38678</v>
      </c>
      <c r="X2721" t="s">
        <v>41251</v>
      </c>
    </row>
    <row r="2722" spans="1:24">
      <c r="A2722">
        <f>HYPERLINK("https://www.philgeps.gov.ph/GEPSNONPILOT/Tender/SplashBidNoticeAbstractUI.aspx?menuIndex=3&amp;refID=7073647&amp;Result=3","7073647")</f>
        <v>0</v>
      </c>
      <c r="B2722" t="s">
        <v>1119</v>
      </c>
      <c r="C2722" t="s">
        <v>5981</v>
      </c>
      <c r="D2722" t="s">
        <v>16665</v>
      </c>
      <c r="E2722" t="s">
        <v>19203</v>
      </c>
      <c r="F2722" t="s">
        <v>28669</v>
      </c>
      <c r="G2722" t="s">
        <v>28676</v>
      </c>
      <c r="H2722" t="s">
        <v>28686</v>
      </c>
      <c r="I2722" t="s">
        <v>28689</v>
      </c>
      <c r="J2722" t="s">
        <v>30671</v>
      </c>
      <c r="K2722" t="s">
        <v>37221</v>
      </c>
      <c r="M2722" t="s">
        <v>38653</v>
      </c>
      <c r="N2722" t="s">
        <v>41249</v>
      </c>
      <c r="O2722" t="s">
        <v>41250</v>
      </c>
      <c r="P2722">
        <v>0</v>
      </c>
      <c r="Q2722">
        <v>1</v>
      </c>
      <c r="R2722" t="s">
        <v>41252</v>
      </c>
      <c r="S2722" t="s">
        <v>41383</v>
      </c>
      <c r="T2722" t="s">
        <v>42729</v>
      </c>
      <c r="U2722" t="s">
        <v>45487</v>
      </c>
      <c r="W2722" t="s">
        <v>38653</v>
      </c>
      <c r="X2722" t="s">
        <v>41254</v>
      </c>
    </row>
    <row r="2723" spans="1:24">
      <c r="A2723">
        <f>HYPERLINK("https://www.philgeps.gov.ph/GEPSNONPILOT/Tender/SplashBidNoticeAbstractUI.aspx?menuIndex=3&amp;refID=7081738&amp;Result=3","7081738")</f>
        <v>0</v>
      </c>
      <c r="B2723" t="s">
        <v>752</v>
      </c>
      <c r="C2723" t="s">
        <v>5982</v>
      </c>
      <c r="D2723" t="s">
        <v>16679</v>
      </c>
      <c r="E2723" t="s">
        <v>19204</v>
      </c>
      <c r="F2723" t="s">
        <v>28669</v>
      </c>
      <c r="G2723" t="s">
        <v>28676</v>
      </c>
      <c r="H2723" t="s">
        <v>9998</v>
      </c>
      <c r="I2723" t="s">
        <v>6128</v>
      </c>
      <c r="J2723" t="s">
        <v>30672</v>
      </c>
      <c r="K2723" t="s">
        <v>37205</v>
      </c>
      <c r="M2723" t="s">
        <v>38679</v>
      </c>
      <c r="N2723" t="s">
        <v>41249</v>
      </c>
      <c r="O2723" t="s">
        <v>41250</v>
      </c>
      <c r="P2723">
        <v>0</v>
      </c>
      <c r="Q2723">
        <v>0</v>
      </c>
      <c r="R2723" t="s">
        <v>41253</v>
      </c>
      <c r="S2723" t="s">
        <v>41393</v>
      </c>
      <c r="T2723" t="s">
        <v>42757</v>
      </c>
      <c r="U2723" t="s">
        <v>45542</v>
      </c>
      <c r="V2723" t="s">
        <v>54457</v>
      </c>
      <c r="W2723" t="s">
        <v>38679</v>
      </c>
      <c r="X2723" t="s">
        <v>41251</v>
      </c>
    </row>
    <row r="2724" spans="1:24">
      <c r="A2724">
        <f>HYPERLINK("https://www.philgeps.gov.ph/GEPSNONPILOT/Tender/SplashBidNoticeAbstractUI.aspx?menuIndex=3&amp;refID=7081734&amp;Result=3","7081734")</f>
        <v>0</v>
      </c>
      <c r="B2724" t="s">
        <v>1144</v>
      </c>
      <c r="C2724" t="s">
        <v>5983</v>
      </c>
      <c r="D2724" t="s">
        <v>16608</v>
      </c>
      <c r="E2724" t="s">
        <v>19205</v>
      </c>
      <c r="F2724" t="s">
        <v>28669</v>
      </c>
      <c r="G2724" t="s">
        <v>28675</v>
      </c>
      <c r="H2724" t="s">
        <v>28686</v>
      </c>
      <c r="I2724" t="s">
        <v>28689</v>
      </c>
      <c r="J2724" t="s">
        <v>30673</v>
      </c>
      <c r="K2724" t="s">
        <v>37218</v>
      </c>
      <c r="M2724" t="s">
        <v>38680</v>
      </c>
      <c r="N2724" t="s">
        <v>41249</v>
      </c>
      <c r="O2724" t="s">
        <v>41250</v>
      </c>
      <c r="P2724">
        <v>0</v>
      </c>
      <c r="Q2724">
        <v>0</v>
      </c>
      <c r="R2724" t="s">
        <v>41253</v>
      </c>
      <c r="S2724" t="s">
        <v>41393</v>
      </c>
      <c r="T2724" t="s">
        <v>42688</v>
      </c>
      <c r="U2724" t="s">
        <v>45543</v>
      </c>
      <c r="W2724" t="s">
        <v>38680</v>
      </c>
      <c r="X2724" t="s">
        <v>41251</v>
      </c>
    </row>
    <row r="2725" spans="1:24">
      <c r="A2725">
        <f>HYPERLINK("https://www.philgeps.gov.ph/GEPSNONPILOT/Tender/SplashBidNoticeAbstractUI.aspx?menuIndex=3&amp;refID=7081750&amp;Result=3","7081750")</f>
        <v>0</v>
      </c>
      <c r="B2725" t="s">
        <v>1145</v>
      </c>
      <c r="C2725" t="s">
        <v>5984</v>
      </c>
      <c r="D2725" t="s">
        <v>16608</v>
      </c>
      <c r="E2725" t="s">
        <v>19206</v>
      </c>
      <c r="F2725" t="s">
        <v>28669</v>
      </c>
      <c r="G2725" t="s">
        <v>28675</v>
      </c>
      <c r="H2725" t="s">
        <v>9998</v>
      </c>
      <c r="I2725" t="s">
        <v>11593</v>
      </c>
      <c r="J2725" t="s">
        <v>30674</v>
      </c>
      <c r="K2725" t="s">
        <v>37206</v>
      </c>
      <c r="M2725" t="s">
        <v>38681</v>
      </c>
      <c r="N2725" t="s">
        <v>41249</v>
      </c>
      <c r="O2725" t="s">
        <v>41250</v>
      </c>
      <c r="P2725">
        <v>0</v>
      </c>
      <c r="Q2725">
        <v>0</v>
      </c>
      <c r="R2725" t="s">
        <v>41253</v>
      </c>
      <c r="S2725" t="s">
        <v>41393</v>
      </c>
      <c r="T2725" t="s">
        <v>42677</v>
      </c>
      <c r="U2725" t="s">
        <v>45544</v>
      </c>
      <c r="W2725" t="s">
        <v>38681</v>
      </c>
      <c r="X2725" t="s">
        <v>41251</v>
      </c>
    </row>
    <row r="2726" spans="1:24">
      <c r="A2726">
        <f>HYPERLINK("https://www.philgeps.gov.ph/GEPSNONPILOT/Tender/SplashBidNoticeAbstractUI.aspx?menuIndex=3&amp;refID=7081745&amp;Result=3","7081745")</f>
        <v>0</v>
      </c>
      <c r="B2726" t="s">
        <v>1146</v>
      </c>
      <c r="C2726" t="s">
        <v>5985</v>
      </c>
      <c r="D2726" t="s">
        <v>16640</v>
      </c>
      <c r="E2726" t="s">
        <v>19207</v>
      </c>
      <c r="F2726" t="s">
        <v>28669</v>
      </c>
      <c r="G2726" t="s">
        <v>28675</v>
      </c>
      <c r="H2726" t="s">
        <v>9998</v>
      </c>
      <c r="I2726" t="s">
        <v>28707</v>
      </c>
      <c r="J2726" t="s">
        <v>29112</v>
      </c>
      <c r="K2726" t="s">
        <v>37206</v>
      </c>
      <c r="M2726" t="s">
        <v>38682</v>
      </c>
      <c r="N2726" t="s">
        <v>41249</v>
      </c>
      <c r="O2726" t="s">
        <v>41250</v>
      </c>
      <c r="P2726">
        <v>0</v>
      </c>
      <c r="Q2726">
        <v>0</v>
      </c>
      <c r="R2726" t="s">
        <v>41253</v>
      </c>
      <c r="S2726" t="s">
        <v>41393</v>
      </c>
      <c r="T2726" t="s">
        <v>42900</v>
      </c>
      <c r="U2726" t="s">
        <v>45545</v>
      </c>
      <c r="W2726" t="s">
        <v>38682</v>
      </c>
      <c r="X2726" t="s">
        <v>41251</v>
      </c>
    </row>
    <row r="2727" spans="1:24">
      <c r="A2727">
        <f>HYPERLINK("https://www.philgeps.gov.ph/GEPSNONPILOT/Tender/SplashBidNoticeAbstractUI.aspx?menuIndex=3&amp;refID=7073606&amp;Result=3","7073606")</f>
        <v>0</v>
      </c>
      <c r="B2727" t="s">
        <v>1147</v>
      </c>
      <c r="C2727" t="s">
        <v>5986</v>
      </c>
      <c r="D2727" t="s">
        <v>16621</v>
      </c>
      <c r="E2727" t="s">
        <v>19208</v>
      </c>
      <c r="F2727" t="s">
        <v>28669</v>
      </c>
      <c r="G2727" t="s">
        <v>28676</v>
      </c>
      <c r="H2727" t="s">
        <v>9998</v>
      </c>
      <c r="I2727" t="s">
        <v>28694</v>
      </c>
      <c r="J2727" t="s">
        <v>30675</v>
      </c>
      <c r="K2727" t="s">
        <v>37208</v>
      </c>
      <c r="M2727" t="s">
        <v>38683</v>
      </c>
      <c r="N2727" t="s">
        <v>41249</v>
      </c>
      <c r="O2727" t="s">
        <v>41250</v>
      </c>
      <c r="P2727">
        <v>0</v>
      </c>
      <c r="Q2727">
        <v>0</v>
      </c>
      <c r="R2727" t="s">
        <v>41252</v>
      </c>
      <c r="S2727" t="s">
        <v>41383</v>
      </c>
      <c r="T2727" t="s">
        <v>42758</v>
      </c>
      <c r="U2727" t="s">
        <v>45546</v>
      </c>
      <c r="W2727" t="s">
        <v>38683</v>
      </c>
      <c r="X2727" t="s">
        <v>41254</v>
      </c>
    </row>
    <row r="2728" spans="1:24">
      <c r="A2728">
        <f>HYPERLINK("https://www.philgeps.gov.ph/GEPSNONPILOT/Tender/SplashBidNoticeAbstractUI.aspx?menuIndex=3&amp;refID=7081758&amp;Result=3","7081758")</f>
        <v>0</v>
      </c>
      <c r="B2728" t="s">
        <v>893</v>
      </c>
      <c r="C2728" t="s">
        <v>5987</v>
      </c>
      <c r="D2728" t="s">
        <v>16608</v>
      </c>
      <c r="E2728" t="s">
        <v>19209</v>
      </c>
      <c r="F2728" t="s">
        <v>28669</v>
      </c>
      <c r="G2728" t="s">
        <v>28676</v>
      </c>
      <c r="H2728" t="s">
        <v>9998</v>
      </c>
      <c r="I2728" t="s">
        <v>28704</v>
      </c>
      <c r="J2728" t="s">
        <v>30676</v>
      </c>
      <c r="K2728" t="s">
        <v>37206</v>
      </c>
      <c r="M2728" t="s">
        <v>38414</v>
      </c>
      <c r="N2728" t="s">
        <v>41249</v>
      </c>
      <c r="O2728" t="s">
        <v>41250</v>
      </c>
      <c r="P2728">
        <v>0</v>
      </c>
      <c r="Q2728">
        <v>0</v>
      </c>
      <c r="R2728" t="s">
        <v>41253</v>
      </c>
      <c r="S2728" t="s">
        <v>41393</v>
      </c>
      <c r="T2728" t="s">
        <v>42670</v>
      </c>
      <c r="U2728" t="s">
        <v>45547</v>
      </c>
      <c r="W2728" t="s">
        <v>38414</v>
      </c>
      <c r="X2728" t="s">
        <v>41251</v>
      </c>
    </row>
    <row r="2729" spans="1:24">
      <c r="A2729">
        <f>HYPERLINK("https://www.philgeps.gov.ph/GEPSNONPILOT/Tender/SplashBidNoticeAbstractUI.aspx?menuIndex=3&amp;refID=7081737&amp;Result=3","7081737")</f>
        <v>0</v>
      </c>
      <c r="B2729" t="s">
        <v>1142</v>
      </c>
      <c r="C2729" t="s">
        <v>5988</v>
      </c>
      <c r="D2729" t="s">
        <v>16626</v>
      </c>
      <c r="E2729" t="s">
        <v>19210</v>
      </c>
      <c r="F2729" t="s">
        <v>28669</v>
      </c>
      <c r="G2729" t="s">
        <v>28675</v>
      </c>
      <c r="H2729" t="s">
        <v>9998</v>
      </c>
      <c r="I2729" t="s">
        <v>5033</v>
      </c>
      <c r="J2729" t="s">
        <v>29404</v>
      </c>
      <c r="K2729" t="s">
        <v>37234</v>
      </c>
      <c r="M2729" t="s">
        <v>38677</v>
      </c>
      <c r="N2729" t="s">
        <v>41249</v>
      </c>
      <c r="O2729" t="s">
        <v>41250</v>
      </c>
      <c r="P2729">
        <v>0</v>
      </c>
      <c r="Q2729">
        <v>0</v>
      </c>
      <c r="R2729" t="s">
        <v>41253</v>
      </c>
      <c r="S2729" t="s">
        <v>41393</v>
      </c>
      <c r="T2729" t="s">
        <v>42899</v>
      </c>
      <c r="U2729" t="s">
        <v>45548</v>
      </c>
      <c r="W2729" t="s">
        <v>38677</v>
      </c>
      <c r="X2729" t="s">
        <v>41251</v>
      </c>
    </row>
    <row r="2730" spans="1:24">
      <c r="A2730">
        <f>HYPERLINK("https://www.philgeps.gov.ph/GEPSNONPILOT/Tender/SplashBidNoticeAbstractUI.aspx?menuIndex=3&amp;refID=7081730&amp;Result=3","7081730")</f>
        <v>0</v>
      </c>
      <c r="B2730" t="s">
        <v>1144</v>
      </c>
      <c r="C2730" t="s">
        <v>5989</v>
      </c>
      <c r="D2730" t="s">
        <v>16608</v>
      </c>
      <c r="E2730" t="s">
        <v>19211</v>
      </c>
      <c r="F2730" t="s">
        <v>28669</v>
      </c>
      <c r="G2730" t="s">
        <v>28675</v>
      </c>
      <c r="H2730" t="s">
        <v>28686</v>
      </c>
      <c r="I2730" t="s">
        <v>28689</v>
      </c>
      <c r="J2730" t="s">
        <v>30677</v>
      </c>
      <c r="K2730" t="s">
        <v>37276</v>
      </c>
      <c r="M2730" t="s">
        <v>38680</v>
      </c>
      <c r="N2730" t="s">
        <v>41249</v>
      </c>
      <c r="O2730" t="s">
        <v>41250</v>
      </c>
      <c r="P2730">
        <v>0</v>
      </c>
      <c r="Q2730">
        <v>0</v>
      </c>
      <c r="R2730" t="s">
        <v>41253</v>
      </c>
      <c r="S2730" t="s">
        <v>41393</v>
      </c>
      <c r="T2730" t="s">
        <v>42688</v>
      </c>
      <c r="U2730" t="s">
        <v>45543</v>
      </c>
      <c r="W2730" t="s">
        <v>38680</v>
      </c>
      <c r="X2730" t="s">
        <v>41251</v>
      </c>
    </row>
    <row r="2731" spans="1:24">
      <c r="A2731">
        <f>HYPERLINK("https://www.philgeps.gov.ph/GEPSNONPILOT/Tender/SplashBidNoticeAbstractUI.aspx?menuIndex=3&amp;refID=7081729&amp;Result=3","7081729")</f>
        <v>0</v>
      </c>
      <c r="B2731" t="s">
        <v>1148</v>
      </c>
      <c r="C2731" t="s">
        <v>5990</v>
      </c>
      <c r="E2731" t="s">
        <v>19212</v>
      </c>
      <c r="F2731" t="s">
        <v>28669</v>
      </c>
      <c r="G2731" t="s">
        <v>28675</v>
      </c>
      <c r="H2731" t="s">
        <v>28686</v>
      </c>
      <c r="I2731" t="s">
        <v>28689</v>
      </c>
      <c r="J2731" t="s">
        <v>30678</v>
      </c>
      <c r="K2731" t="s">
        <v>37209</v>
      </c>
      <c r="M2731" t="s">
        <v>38684</v>
      </c>
      <c r="N2731" t="s">
        <v>41249</v>
      </c>
      <c r="O2731" t="s">
        <v>41250</v>
      </c>
      <c r="P2731">
        <v>0</v>
      </c>
      <c r="Q2731">
        <v>0</v>
      </c>
      <c r="R2731" t="s">
        <v>41253</v>
      </c>
      <c r="S2731" t="s">
        <v>41393</v>
      </c>
      <c r="T2731" t="s">
        <v>42901</v>
      </c>
      <c r="U2731" t="s">
        <v>45549</v>
      </c>
      <c r="W2731" t="s">
        <v>38684</v>
      </c>
      <c r="X2731" t="s">
        <v>41251</v>
      </c>
    </row>
    <row r="2732" spans="1:24">
      <c r="A2732">
        <f>HYPERLINK("https://www.philgeps.gov.ph/GEPSNONPILOT/Tender/SplashBidNoticeAbstractUI.aspx?menuIndex=3&amp;refID=7081751&amp;Result=3","7081751")</f>
        <v>0</v>
      </c>
      <c r="B2732" t="s">
        <v>893</v>
      </c>
      <c r="C2732" t="s">
        <v>5991</v>
      </c>
      <c r="D2732" t="s">
        <v>16608</v>
      </c>
      <c r="E2732" t="s">
        <v>19213</v>
      </c>
      <c r="F2732" t="s">
        <v>28669</v>
      </c>
      <c r="G2732" t="s">
        <v>28676</v>
      </c>
      <c r="H2732" t="s">
        <v>9998</v>
      </c>
      <c r="I2732" t="s">
        <v>28704</v>
      </c>
      <c r="J2732" t="s">
        <v>30679</v>
      </c>
      <c r="K2732" t="s">
        <v>37206</v>
      </c>
      <c r="M2732" t="s">
        <v>38414</v>
      </c>
      <c r="N2732" t="s">
        <v>41249</v>
      </c>
      <c r="O2732" t="s">
        <v>41250</v>
      </c>
      <c r="P2732">
        <v>0</v>
      </c>
      <c r="Q2732">
        <v>0</v>
      </c>
      <c r="R2732" t="s">
        <v>41253</v>
      </c>
      <c r="S2732" t="s">
        <v>41393</v>
      </c>
      <c r="T2732" t="s">
        <v>42670</v>
      </c>
      <c r="U2732" t="s">
        <v>45550</v>
      </c>
      <c r="W2732" t="s">
        <v>38414</v>
      </c>
      <c r="X2732" t="s">
        <v>41251</v>
      </c>
    </row>
    <row r="2733" spans="1:24">
      <c r="A2733">
        <f>HYPERLINK("https://www.philgeps.gov.ph/GEPSNONPILOT/Tender/SplashBidNoticeAbstractUI.aspx?menuIndex=3&amp;refID=7081780&amp;Result=3","7081780")</f>
        <v>0</v>
      </c>
      <c r="B2733" t="s">
        <v>1149</v>
      </c>
      <c r="C2733" t="s">
        <v>5992</v>
      </c>
      <c r="D2733" t="s">
        <v>16649</v>
      </c>
      <c r="E2733" t="s">
        <v>19214</v>
      </c>
      <c r="F2733" t="s">
        <v>28669</v>
      </c>
      <c r="G2733" t="s">
        <v>28675</v>
      </c>
      <c r="H2733" t="s">
        <v>9998</v>
      </c>
      <c r="I2733" t="s">
        <v>28748</v>
      </c>
      <c r="J2733" t="s">
        <v>29191</v>
      </c>
      <c r="K2733" t="s">
        <v>37205</v>
      </c>
      <c r="M2733" t="s">
        <v>38685</v>
      </c>
      <c r="N2733" t="s">
        <v>41249</v>
      </c>
      <c r="O2733" t="s">
        <v>41250</v>
      </c>
      <c r="P2733">
        <v>0</v>
      </c>
      <c r="Q2733">
        <v>0</v>
      </c>
      <c r="R2733" t="s">
        <v>41253</v>
      </c>
      <c r="S2733" t="s">
        <v>41393</v>
      </c>
      <c r="T2733" t="s">
        <v>42688</v>
      </c>
      <c r="U2733" t="s">
        <v>45551</v>
      </c>
      <c r="W2733" t="s">
        <v>38685</v>
      </c>
      <c r="X2733" t="s">
        <v>41251</v>
      </c>
    </row>
    <row r="2734" spans="1:24">
      <c r="A2734">
        <f>HYPERLINK("https://www.philgeps.gov.ph/GEPSNONPILOT/Tender/SplashBidNoticeAbstractUI.aspx?menuIndex=3&amp;refID=7081746&amp;Result=3","7081746")</f>
        <v>0</v>
      </c>
      <c r="B2734" t="s">
        <v>1150</v>
      </c>
      <c r="C2734" t="s">
        <v>5993</v>
      </c>
      <c r="D2734" t="s">
        <v>16608</v>
      </c>
      <c r="E2734" t="s">
        <v>19215</v>
      </c>
      <c r="F2734" t="s">
        <v>28669</v>
      </c>
      <c r="G2734" t="s">
        <v>28676</v>
      </c>
      <c r="H2734" t="s">
        <v>28684</v>
      </c>
      <c r="I2734" t="s">
        <v>28699</v>
      </c>
      <c r="J2734" t="s">
        <v>29355</v>
      </c>
      <c r="K2734" t="s">
        <v>37205</v>
      </c>
      <c r="M2734" t="s">
        <v>38686</v>
      </c>
      <c r="N2734" t="s">
        <v>41249</v>
      </c>
      <c r="O2734" t="s">
        <v>41250</v>
      </c>
      <c r="P2734">
        <v>0</v>
      </c>
      <c r="Q2734">
        <v>0</v>
      </c>
      <c r="R2734" t="s">
        <v>41253</v>
      </c>
      <c r="S2734" t="s">
        <v>41393</v>
      </c>
      <c r="T2734" t="s">
        <v>42754</v>
      </c>
      <c r="U2734" t="s">
        <v>45552</v>
      </c>
      <c r="W2734" t="s">
        <v>55943</v>
      </c>
      <c r="X2734" t="s">
        <v>41251</v>
      </c>
    </row>
    <row r="2735" spans="1:24">
      <c r="A2735">
        <f>HYPERLINK("https://www.philgeps.gov.ph/GEPSNONPILOT/Tender/SplashBidNoticeAbstractUI.aspx?menuIndex=3&amp;refID=7081783&amp;Result=3","7081783")</f>
        <v>0</v>
      </c>
      <c r="B2735" t="s">
        <v>1151</v>
      </c>
      <c r="C2735" t="s">
        <v>5994</v>
      </c>
      <c r="D2735" t="s">
        <v>16643</v>
      </c>
      <c r="E2735" t="s">
        <v>19216</v>
      </c>
      <c r="F2735" t="s">
        <v>28669</v>
      </c>
      <c r="G2735" t="s">
        <v>28675</v>
      </c>
      <c r="H2735" t="s">
        <v>28686</v>
      </c>
      <c r="I2735" t="s">
        <v>28689</v>
      </c>
      <c r="J2735" t="s">
        <v>30680</v>
      </c>
      <c r="K2735" t="s">
        <v>37213</v>
      </c>
      <c r="M2735" t="s">
        <v>38687</v>
      </c>
      <c r="N2735" t="s">
        <v>41249</v>
      </c>
      <c r="O2735" t="s">
        <v>41250</v>
      </c>
      <c r="P2735">
        <v>0</v>
      </c>
      <c r="Q2735">
        <v>0</v>
      </c>
      <c r="R2735" t="s">
        <v>41253</v>
      </c>
      <c r="S2735" t="s">
        <v>41393</v>
      </c>
      <c r="T2735" t="s">
        <v>42704</v>
      </c>
      <c r="U2735" t="s">
        <v>45553</v>
      </c>
      <c r="W2735" t="s">
        <v>38687</v>
      </c>
      <c r="X2735" t="s">
        <v>41251</v>
      </c>
    </row>
    <row r="2736" spans="1:24">
      <c r="A2736">
        <f>HYPERLINK("https://www.philgeps.gov.ph/GEPSNONPILOT/Tender/SplashBidNoticeAbstractUI.aspx?menuIndex=3&amp;refID=7081731&amp;Result=3","7081731")</f>
        <v>0</v>
      </c>
      <c r="B2736" t="s">
        <v>99</v>
      </c>
      <c r="C2736" t="s">
        <v>5995</v>
      </c>
      <c r="D2736" t="s">
        <v>16655</v>
      </c>
      <c r="E2736" t="s">
        <v>19217</v>
      </c>
      <c r="F2736" t="s">
        <v>28669</v>
      </c>
      <c r="G2736" t="s">
        <v>28675</v>
      </c>
      <c r="H2736" t="s">
        <v>28686</v>
      </c>
      <c r="I2736" t="s">
        <v>28689</v>
      </c>
      <c r="J2736" t="s">
        <v>30681</v>
      </c>
      <c r="K2736" t="s">
        <v>37207</v>
      </c>
      <c r="M2736" t="s">
        <v>38688</v>
      </c>
      <c r="N2736" t="s">
        <v>41249</v>
      </c>
      <c r="O2736" t="s">
        <v>41250</v>
      </c>
      <c r="P2736">
        <v>0</v>
      </c>
      <c r="Q2736">
        <v>0</v>
      </c>
      <c r="R2736" t="s">
        <v>41253</v>
      </c>
      <c r="S2736" t="s">
        <v>41393</v>
      </c>
      <c r="T2736" t="s">
        <v>42678</v>
      </c>
      <c r="U2736" t="s">
        <v>45554</v>
      </c>
      <c r="W2736" t="s">
        <v>38688</v>
      </c>
      <c r="X2736" t="s">
        <v>41251</v>
      </c>
    </row>
    <row r="2737" spans="1:24">
      <c r="A2737">
        <f>HYPERLINK("https://www.philgeps.gov.ph/GEPSNONPILOT/Tender/SplashBidNoticeAbstractUI.aspx?menuIndex=3&amp;refID=7081781&amp;Result=3","7081781")</f>
        <v>0</v>
      </c>
      <c r="B2737" t="s">
        <v>1151</v>
      </c>
      <c r="C2737" t="s">
        <v>5996</v>
      </c>
      <c r="D2737" t="s">
        <v>16643</v>
      </c>
      <c r="E2737" t="s">
        <v>19218</v>
      </c>
      <c r="F2737" t="s">
        <v>28669</v>
      </c>
      <c r="G2737" t="s">
        <v>28675</v>
      </c>
      <c r="H2737" t="s">
        <v>28686</v>
      </c>
      <c r="I2737" t="s">
        <v>28689</v>
      </c>
      <c r="J2737" t="s">
        <v>30682</v>
      </c>
      <c r="K2737" t="s">
        <v>37220</v>
      </c>
      <c r="M2737" t="s">
        <v>38687</v>
      </c>
      <c r="N2737" t="s">
        <v>41249</v>
      </c>
      <c r="O2737" t="s">
        <v>41250</v>
      </c>
      <c r="P2737">
        <v>0</v>
      </c>
      <c r="Q2737">
        <v>0</v>
      </c>
      <c r="R2737" t="s">
        <v>41253</v>
      </c>
      <c r="S2737" t="s">
        <v>41393</v>
      </c>
      <c r="T2737" t="s">
        <v>42704</v>
      </c>
      <c r="U2737" t="s">
        <v>45555</v>
      </c>
      <c r="W2737" t="s">
        <v>38687</v>
      </c>
      <c r="X2737" t="s">
        <v>41251</v>
      </c>
    </row>
    <row r="2738" spans="1:24">
      <c r="A2738">
        <f>HYPERLINK("https://www.philgeps.gov.ph/GEPSNONPILOT/Tender/SplashBidNoticeAbstractUI.aspx?menuIndex=3&amp;refID=7081786&amp;Result=3","7081786")</f>
        <v>0</v>
      </c>
      <c r="B2738" t="s">
        <v>624</v>
      </c>
      <c r="C2738" t="s">
        <v>5997</v>
      </c>
      <c r="D2738" t="s">
        <v>16608</v>
      </c>
      <c r="E2738" t="s">
        <v>19219</v>
      </c>
      <c r="F2738" t="s">
        <v>28669</v>
      </c>
      <c r="G2738" t="s">
        <v>28676</v>
      </c>
      <c r="H2738" t="s">
        <v>28685</v>
      </c>
      <c r="I2738" t="s">
        <v>28685</v>
      </c>
      <c r="J2738" t="s">
        <v>28905</v>
      </c>
      <c r="K2738" t="s">
        <v>37209</v>
      </c>
      <c r="M2738" t="s">
        <v>38124</v>
      </c>
      <c r="N2738" t="s">
        <v>41249</v>
      </c>
      <c r="O2738" t="s">
        <v>41250</v>
      </c>
      <c r="P2738">
        <v>0</v>
      </c>
      <c r="Q2738">
        <v>0</v>
      </c>
      <c r="R2738" t="s">
        <v>41253</v>
      </c>
      <c r="S2738" t="s">
        <v>41393</v>
      </c>
      <c r="T2738" t="s">
        <v>42717</v>
      </c>
      <c r="U2738" t="s">
        <v>45556</v>
      </c>
      <c r="W2738" t="s">
        <v>38124</v>
      </c>
      <c r="X2738" t="s">
        <v>41251</v>
      </c>
    </row>
    <row r="2739" spans="1:24">
      <c r="A2739">
        <f>HYPERLINK("https://www.philgeps.gov.ph/GEPSNONPILOT/Tender/SplashBidNoticeAbstractUI.aspx?menuIndex=3&amp;refID=7081771&amp;Result=3","7081771")</f>
        <v>0</v>
      </c>
      <c r="B2739" t="s">
        <v>1151</v>
      </c>
      <c r="C2739" t="s">
        <v>5998</v>
      </c>
      <c r="D2739" t="s">
        <v>16643</v>
      </c>
      <c r="E2739" t="s">
        <v>19220</v>
      </c>
      <c r="F2739" t="s">
        <v>28669</v>
      </c>
      <c r="G2739" t="s">
        <v>28675</v>
      </c>
      <c r="H2739" t="s">
        <v>28686</v>
      </c>
      <c r="I2739" t="s">
        <v>28689</v>
      </c>
      <c r="J2739" t="s">
        <v>30680</v>
      </c>
      <c r="K2739" t="s">
        <v>37213</v>
      </c>
      <c r="M2739" t="s">
        <v>38687</v>
      </c>
      <c r="N2739" t="s">
        <v>41249</v>
      </c>
      <c r="O2739" t="s">
        <v>41250</v>
      </c>
      <c r="P2739">
        <v>0</v>
      </c>
      <c r="Q2739">
        <v>0</v>
      </c>
      <c r="R2739" t="s">
        <v>41253</v>
      </c>
      <c r="S2739" t="s">
        <v>41393</v>
      </c>
      <c r="T2739" t="s">
        <v>42704</v>
      </c>
      <c r="U2739" t="s">
        <v>45553</v>
      </c>
      <c r="W2739" t="s">
        <v>38687</v>
      </c>
      <c r="X2739" t="s">
        <v>41251</v>
      </c>
    </row>
    <row r="2740" spans="1:24">
      <c r="A2740">
        <f>HYPERLINK("https://www.philgeps.gov.ph/GEPSNONPILOT/Tender/SplashBidNoticeAbstractUI.aspx?menuIndex=3&amp;refID=7073605&amp;Result=3","7073605")</f>
        <v>0</v>
      </c>
      <c r="B2740" t="s">
        <v>1076</v>
      </c>
      <c r="C2740" t="s">
        <v>5999</v>
      </c>
      <c r="D2740" t="s">
        <v>16611</v>
      </c>
      <c r="E2740" t="s">
        <v>19221</v>
      </c>
      <c r="F2740" t="s">
        <v>28669</v>
      </c>
      <c r="G2740" t="s">
        <v>28676</v>
      </c>
      <c r="H2740" t="s">
        <v>9998</v>
      </c>
      <c r="I2740" t="s">
        <v>28690</v>
      </c>
      <c r="J2740" t="s">
        <v>29051</v>
      </c>
      <c r="K2740" t="s">
        <v>37205</v>
      </c>
      <c r="M2740" t="s">
        <v>38608</v>
      </c>
      <c r="N2740" t="s">
        <v>41249</v>
      </c>
      <c r="O2740" t="s">
        <v>41250</v>
      </c>
      <c r="P2740">
        <v>0</v>
      </c>
      <c r="Q2740">
        <v>7</v>
      </c>
      <c r="R2740" t="s">
        <v>41252</v>
      </c>
      <c r="S2740" t="s">
        <v>41383</v>
      </c>
      <c r="T2740" t="s">
        <v>42729</v>
      </c>
      <c r="U2740" t="s">
        <v>44679</v>
      </c>
      <c r="W2740" t="s">
        <v>38608</v>
      </c>
      <c r="X2740" t="s">
        <v>41254</v>
      </c>
    </row>
    <row r="2741" spans="1:24">
      <c r="A2741">
        <f>HYPERLINK("https://www.philgeps.gov.ph/GEPSNONPILOT/Tender/SplashBidNoticeAbstractUI.aspx?menuIndex=3&amp;refID=7081782&amp;Result=3","7081782")</f>
        <v>0</v>
      </c>
      <c r="B2741" t="s">
        <v>915</v>
      </c>
      <c r="C2741" t="s">
        <v>6000</v>
      </c>
      <c r="D2741" t="s">
        <v>16608</v>
      </c>
      <c r="E2741" t="s">
        <v>19222</v>
      </c>
      <c r="F2741" t="s">
        <v>28669</v>
      </c>
      <c r="G2741" t="s">
        <v>28675</v>
      </c>
      <c r="H2741" t="s">
        <v>9998</v>
      </c>
      <c r="I2741" t="s">
        <v>3679</v>
      </c>
      <c r="J2741" t="s">
        <v>29653</v>
      </c>
      <c r="K2741" t="s">
        <v>37205</v>
      </c>
      <c r="M2741" t="s">
        <v>38437</v>
      </c>
      <c r="N2741" t="s">
        <v>41249</v>
      </c>
      <c r="O2741" t="s">
        <v>41250</v>
      </c>
      <c r="P2741">
        <v>0</v>
      </c>
      <c r="Q2741">
        <v>0</v>
      </c>
      <c r="R2741" t="s">
        <v>41253</v>
      </c>
      <c r="S2741" t="s">
        <v>41393</v>
      </c>
      <c r="T2741" t="s">
        <v>42902</v>
      </c>
      <c r="U2741" t="s">
        <v>45557</v>
      </c>
      <c r="W2741" t="s">
        <v>55937</v>
      </c>
      <c r="X2741" t="s">
        <v>41251</v>
      </c>
    </row>
    <row r="2742" spans="1:24">
      <c r="A2742">
        <f>HYPERLINK("https://www.philgeps.gov.ph/GEPSNONPILOT/Tender/SplashBidNoticeAbstractUI.aspx?menuIndex=3&amp;refID=7081775&amp;Result=3","7081775")</f>
        <v>0</v>
      </c>
      <c r="B2742" t="s">
        <v>1151</v>
      </c>
      <c r="C2742" t="s">
        <v>6001</v>
      </c>
      <c r="D2742" t="s">
        <v>16643</v>
      </c>
      <c r="E2742" t="s">
        <v>19223</v>
      </c>
      <c r="F2742" t="s">
        <v>28669</v>
      </c>
      <c r="G2742" t="s">
        <v>28675</v>
      </c>
      <c r="H2742" t="s">
        <v>28686</v>
      </c>
      <c r="I2742" t="s">
        <v>28689</v>
      </c>
      <c r="J2742" t="s">
        <v>30682</v>
      </c>
      <c r="K2742" t="s">
        <v>37220</v>
      </c>
      <c r="M2742" t="s">
        <v>38687</v>
      </c>
      <c r="N2742" t="s">
        <v>41249</v>
      </c>
      <c r="O2742" t="s">
        <v>41250</v>
      </c>
      <c r="P2742">
        <v>0</v>
      </c>
      <c r="Q2742">
        <v>0</v>
      </c>
      <c r="R2742" t="s">
        <v>41253</v>
      </c>
      <c r="S2742" t="s">
        <v>41393</v>
      </c>
      <c r="T2742" t="s">
        <v>42704</v>
      </c>
      <c r="U2742" t="s">
        <v>45555</v>
      </c>
      <c r="W2742" t="s">
        <v>38687</v>
      </c>
      <c r="X2742" t="s">
        <v>41251</v>
      </c>
    </row>
    <row r="2743" spans="1:24">
      <c r="A2743">
        <f>HYPERLINK("https://www.philgeps.gov.ph/GEPSNONPILOT/Tender/SplashBidNoticeAbstractUI.aspx?menuIndex=3&amp;refID=7081768&amp;Result=3","7081768")</f>
        <v>0</v>
      </c>
      <c r="B2743" t="s">
        <v>624</v>
      </c>
      <c r="C2743" t="s">
        <v>6002</v>
      </c>
      <c r="D2743" t="s">
        <v>16608</v>
      </c>
      <c r="E2743" t="s">
        <v>19224</v>
      </c>
      <c r="F2743" t="s">
        <v>28669</v>
      </c>
      <c r="G2743" t="s">
        <v>28676</v>
      </c>
      <c r="H2743" t="s">
        <v>28685</v>
      </c>
      <c r="I2743" t="s">
        <v>28685</v>
      </c>
      <c r="J2743" t="s">
        <v>28905</v>
      </c>
      <c r="K2743" t="s">
        <v>37209</v>
      </c>
      <c r="M2743" t="s">
        <v>38124</v>
      </c>
      <c r="N2743" t="s">
        <v>41249</v>
      </c>
      <c r="O2743" t="s">
        <v>41250</v>
      </c>
      <c r="P2743">
        <v>0</v>
      </c>
      <c r="Q2743">
        <v>0</v>
      </c>
      <c r="R2743" t="s">
        <v>41253</v>
      </c>
      <c r="S2743" t="s">
        <v>41393</v>
      </c>
      <c r="T2743" t="s">
        <v>42717</v>
      </c>
      <c r="U2743" t="s">
        <v>45558</v>
      </c>
      <c r="W2743" t="s">
        <v>38124</v>
      </c>
      <c r="X2743" t="s">
        <v>41251</v>
      </c>
    </row>
    <row r="2744" spans="1:24">
      <c r="A2744">
        <f>HYPERLINK("https://www.philgeps.gov.ph/GEPSNONPILOT/Tender/SplashBidNoticeAbstractUI.aspx?menuIndex=3&amp;refID=7081784&amp;Result=3","7081784")</f>
        <v>0</v>
      </c>
      <c r="B2744" t="s">
        <v>1152</v>
      </c>
      <c r="C2744" t="s">
        <v>6003</v>
      </c>
      <c r="E2744" t="s">
        <v>19225</v>
      </c>
      <c r="F2744" t="s">
        <v>28669</v>
      </c>
      <c r="G2744" t="s">
        <v>28676</v>
      </c>
      <c r="H2744" t="s">
        <v>9998</v>
      </c>
      <c r="I2744" t="s">
        <v>11593</v>
      </c>
      <c r="J2744" t="s">
        <v>30683</v>
      </c>
      <c r="K2744" t="s">
        <v>37209</v>
      </c>
      <c r="M2744" t="s">
        <v>38689</v>
      </c>
      <c r="N2744" t="s">
        <v>41249</v>
      </c>
      <c r="O2744" t="s">
        <v>41250</v>
      </c>
      <c r="P2744">
        <v>0</v>
      </c>
      <c r="Q2744">
        <v>0</v>
      </c>
      <c r="R2744" t="s">
        <v>41253</v>
      </c>
      <c r="S2744" t="s">
        <v>41393</v>
      </c>
      <c r="T2744" t="s">
        <v>42734</v>
      </c>
      <c r="U2744" t="s">
        <v>44679</v>
      </c>
      <c r="W2744" t="s">
        <v>38689</v>
      </c>
      <c r="X2744" t="s">
        <v>41251</v>
      </c>
    </row>
    <row r="2745" spans="1:24">
      <c r="A2745">
        <f>HYPERLINK("https://www.philgeps.gov.ph/GEPSNONPILOT/Tender/SplashBidNoticeAbstractUI.aspx?menuIndex=3&amp;refID=7081765&amp;Result=3","7081765")</f>
        <v>0</v>
      </c>
      <c r="B2745" t="s">
        <v>1137</v>
      </c>
      <c r="C2745" t="s">
        <v>6004</v>
      </c>
      <c r="D2745" t="s">
        <v>16615</v>
      </c>
      <c r="E2745" t="s">
        <v>19226</v>
      </c>
      <c r="F2745" t="s">
        <v>28669</v>
      </c>
      <c r="G2745" t="s">
        <v>28675</v>
      </c>
      <c r="H2745" t="s">
        <v>9998</v>
      </c>
      <c r="I2745" t="s">
        <v>28688</v>
      </c>
      <c r="J2745" t="s">
        <v>30684</v>
      </c>
      <c r="K2745" t="s">
        <v>37221</v>
      </c>
      <c r="M2745" t="s">
        <v>38671</v>
      </c>
      <c r="N2745" t="s">
        <v>41249</v>
      </c>
      <c r="O2745" t="s">
        <v>41250</v>
      </c>
      <c r="P2745">
        <v>0</v>
      </c>
      <c r="Q2745">
        <v>0</v>
      </c>
      <c r="R2745" t="s">
        <v>41253</v>
      </c>
      <c r="S2745" t="s">
        <v>41393</v>
      </c>
      <c r="T2745" t="s">
        <v>42823</v>
      </c>
      <c r="U2745" t="s">
        <v>45559</v>
      </c>
      <c r="W2745" t="s">
        <v>38671</v>
      </c>
      <c r="X2745" t="s">
        <v>41251</v>
      </c>
    </row>
    <row r="2746" spans="1:24">
      <c r="A2746">
        <f>HYPERLINK("https://www.philgeps.gov.ph/GEPSNONPILOT/Tender/SplashBidNoticeAbstractUI.aspx?menuIndex=3&amp;refID=7081770&amp;Result=3","7081770")</f>
        <v>0</v>
      </c>
      <c r="B2746" t="s">
        <v>1151</v>
      </c>
      <c r="C2746" t="s">
        <v>6005</v>
      </c>
      <c r="D2746" t="s">
        <v>16643</v>
      </c>
      <c r="E2746" t="s">
        <v>19227</v>
      </c>
      <c r="F2746" t="s">
        <v>28669</v>
      </c>
      <c r="G2746" t="s">
        <v>28675</v>
      </c>
      <c r="H2746" t="s">
        <v>28686</v>
      </c>
      <c r="I2746" t="s">
        <v>28689</v>
      </c>
      <c r="J2746" t="s">
        <v>30682</v>
      </c>
      <c r="K2746" t="s">
        <v>37220</v>
      </c>
      <c r="M2746" t="s">
        <v>38687</v>
      </c>
      <c r="N2746" t="s">
        <v>41249</v>
      </c>
      <c r="O2746" t="s">
        <v>41250</v>
      </c>
      <c r="P2746">
        <v>0</v>
      </c>
      <c r="Q2746">
        <v>0</v>
      </c>
      <c r="R2746" t="s">
        <v>41253</v>
      </c>
      <c r="S2746" t="s">
        <v>41393</v>
      </c>
      <c r="T2746" t="s">
        <v>42704</v>
      </c>
      <c r="U2746" t="s">
        <v>45555</v>
      </c>
      <c r="W2746" t="s">
        <v>38687</v>
      </c>
      <c r="X2746" t="s">
        <v>41251</v>
      </c>
    </row>
    <row r="2747" spans="1:24">
      <c r="A2747">
        <f>HYPERLINK("https://www.philgeps.gov.ph/GEPSNONPILOT/Tender/SplashBidNoticeAbstractUI.aspx?menuIndex=3&amp;refID=7081774&amp;Result=3","7081774")</f>
        <v>0</v>
      </c>
      <c r="B2747" t="s">
        <v>1151</v>
      </c>
      <c r="C2747" t="s">
        <v>6006</v>
      </c>
      <c r="D2747" t="s">
        <v>16643</v>
      </c>
      <c r="E2747" t="s">
        <v>19228</v>
      </c>
      <c r="F2747" t="s">
        <v>28669</v>
      </c>
      <c r="G2747" t="s">
        <v>28675</v>
      </c>
      <c r="H2747" t="s">
        <v>28686</v>
      </c>
      <c r="I2747" t="s">
        <v>28685</v>
      </c>
      <c r="J2747" t="s">
        <v>30680</v>
      </c>
      <c r="K2747" t="s">
        <v>37213</v>
      </c>
      <c r="M2747" t="s">
        <v>38687</v>
      </c>
      <c r="N2747" t="s">
        <v>41249</v>
      </c>
      <c r="O2747" t="s">
        <v>41250</v>
      </c>
      <c r="P2747">
        <v>0</v>
      </c>
      <c r="Q2747">
        <v>0</v>
      </c>
      <c r="R2747" t="s">
        <v>41253</v>
      </c>
      <c r="S2747" t="s">
        <v>41393</v>
      </c>
      <c r="T2747" t="s">
        <v>42704</v>
      </c>
      <c r="U2747" t="s">
        <v>45553</v>
      </c>
      <c r="W2747" t="s">
        <v>38687</v>
      </c>
      <c r="X2747" t="s">
        <v>41251</v>
      </c>
    </row>
    <row r="2748" spans="1:24">
      <c r="A2748">
        <f>HYPERLINK("https://www.philgeps.gov.ph/GEPSNONPILOT/Tender/SplashBidNoticeAbstractUI.aspx?menuIndex=3&amp;refID=7081759&amp;Result=3","7081759")</f>
        <v>0</v>
      </c>
      <c r="B2748" t="s">
        <v>1153</v>
      </c>
      <c r="C2748" t="s">
        <v>6007</v>
      </c>
      <c r="D2748" t="s">
        <v>16654</v>
      </c>
      <c r="E2748" t="s">
        <v>17946</v>
      </c>
      <c r="F2748" t="s">
        <v>28669</v>
      </c>
      <c r="G2748" t="s">
        <v>28676</v>
      </c>
      <c r="H2748" t="s">
        <v>9998</v>
      </c>
      <c r="I2748" t="s">
        <v>5213</v>
      </c>
      <c r="J2748" t="s">
        <v>29083</v>
      </c>
      <c r="K2748" t="s">
        <v>37209</v>
      </c>
      <c r="M2748" t="s">
        <v>38690</v>
      </c>
      <c r="N2748" t="s">
        <v>41249</v>
      </c>
      <c r="O2748" t="s">
        <v>41250</v>
      </c>
      <c r="P2748">
        <v>0</v>
      </c>
      <c r="Q2748">
        <v>0</v>
      </c>
      <c r="R2748" t="s">
        <v>41253</v>
      </c>
      <c r="S2748" t="s">
        <v>41393</v>
      </c>
      <c r="T2748" t="s">
        <v>42742</v>
      </c>
      <c r="U2748" t="s">
        <v>45560</v>
      </c>
      <c r="W2748" t="s">
        <v>38690</v>
      </c>
      <c r="X2748" t="s">
        <v>41251</v>
      </c>
    </row>
    <row r="2749" spans="1:24">
      <c r="A2749">
        <f>HYPERLINK("https://www.philgeps.gov.ph/GEPSNONPILOT/Tender/SplashBidNoticeAbstractUI.aspx?menuIndex=3&amp;refID=7081764&amp;Result=3","7081764")</f>
        <v>0</v>
      </c>
      <c r="B2749" t="s">
        <v>1151</v>
      </c>
      <c r="C2749" t="s">
        <v>6008</v>
      </c>
      <c r="D2749" t="s">
        <v>16643</v>
      </c>
      <c r="E2749" t="s">
        <v>19229</v>
      </c>
      <c r="F2749" t="s">
        <v>28669</v>
      </c>
      <c r="G2749" t="s">
        <v>28675</v>
      </c>
      <c r="H2749" t="s">
        <v>28686</v>
      </c>
      <c r="I2749" t="s">
        <v>28689</v>
      </c>
      <c r="J2749" t="s">
        <v>30682</v>
      </c>
      <c r="K2749" t="s">
        <v>37220</v>
      </c>
      <c r="M2749" t="s">
        <v>38687</v>
      </c>
      <c r="N2749" t="s">
        <v>41249</v>
      </c>
      <c r="O2749" t="s">
        <v>41250</v>
      </c>
      <c r="P2749">
        <v>0</v>
      </c>
      <c r="Q2749">
        <v>0</v>
      </c>
      <c r="R2749" t="s">
        <v>41253</v>
      </c>
      <c r="S2749" t="s">
        <v>41393</v>
      </c>
      <c r="T2749" t="s">
        <v>42704</v>
      </c>
      <c r="U2749" t="s">
        <v>45555</v>
      </c>
      <c r="W2749" t="s">
        <v>38687</v>
      </c>
      <c r="X2749" t="s">
        <v>41251</v>
      </c>
    </row>
    <row r="2750" spans="1:24">
      <c r="A2750">
        <f>HYPERLINK("https://www.philgeps.gov.ph/GEPSNONPILOT/Tender/SplashBidNoticeAbstractUI.aspx?menuIndex=3&amp;refID=7073590&amp;Result=3","7073590")</f>
        <v>0</v>
      </c>
      <c r="B2750" t="s">
        <v>1105</v>
      </c>
      <c r="C2750" t="s">
        <v>6009</v>
      </c>
      <c r="D2750" t="s">
        <v>16660</v>
      </c>
      <c r="E2750" t="s">
        <v>19230</v>
      </c>
      <c r="F2750" t="s">
        <v>28669</v>
      </c>
      <c r="G2750" t="s">
        <v>28677</v>
      </c>
      <c r="H2750" t="s">
        <v>9998</v>
      </c>
      <c r="I2750" t="s">
        <v>5213</v>
      </c>
      <c r="J2750" t="s">
        <v>30685</v>
      </c>
      <c r="K2750" t="s">
        <v>37210</v>
      </c>
      <c r="M2750" t="s">
        <v>38638</v>
      </c>
      <c r="N2750" t="s">
        <v>41249</v>
      </c>
      <c r="O2750" t="s">
        <v>41250</v>
      </c>
      <c r="P2750">
        <v>0</v>
      </c>
      <c r="Q2750">
        <v>2</v>
      </c>
      <c r="R2750" t="s">
        <v>41252</v>
      </c>
      <c r="S2750" t="s">
        <v>41383</v>
      </c>
      <c r="T2750" t="s">
        <v>42887</v>
      </c>
      <c r="U2750" t="s">
        <v>45561</v>
      </c>
      <c r="W2750" t="s">
        <v>38638</v>
      </c>
      <c r="X2750" t="s">
        <v>41254</v>
      </c>
    </row>
    <row r="2751" spans="1:24">
      <c r="A2751">
        <f>HYPERLINK("https://www.philgeps.gov.ph/GEPSNONPILOT/Tender/SplashBidNoticeAbstractUI.aspx?menuIndex=3&amp;refID=7081763&amp;Result=3","7081763")</f>
        <v>0</v>
      </c>
      <c r="B2751" t="s">
        <v>867</v>
      </c>
      <c r="C2751" t="s">
        <v>6010</v>
      </c>
      <c r="D2751" t="s">
        <v>16618</v>
      </c>
      <c r="E2751" t="s">
        <v>19231</v>
      </c>
      <c r="F2751" t="s">
        <v>28669</v>
      </c>
      <c r="G2751" t="s">
        <v>28675</v>
      </c>
      <c r="H2751" t="s">
        <v>28686</v>
      </c>
      <c r="I2751" t="s">
        <v>28689</v>
      </c>
      <c r="J2751" t="s">
        <v>30686</v>
      </c>
      <c r="K2751" t="s">
        <v>37227</v>
      </c>
      <c r="M2751" t="s">
        <v>38385</v>
      </c>
      <c r="N2751" t="s">
        <v>41249</v>
      </c>
      <c r="O2751" t="s">
        <v>41250</v>
      </c>
      <c r="P2751">
        <v>0</v>
      </c>
      <c r="Q2751">
        <v>0</v>
      </c>
      <c r="R2751" t="s">
        <v>41253</v>
      </c>
      <c r="S2751" t="s">
        <v>41393</v>
      </c>
      <c r="T2751" t="s">
        <v>42797</v>
      </c>
      <c r="U2751" t="s">
        <v>44898</v>
      </c>
      <c r="W2751" t="s">
        <v>38385</v>
      </c>
      <c r="X2751" t="s">
        <v>41251</v>
      </c>
    </row>
    <row r="2752" spans="1:24">
      <c r="A2752">
        <f>HYPERLINK("https://www.philgeps.gov.ph/GEPSNONPILOT/Tender/SplashBidNoticeAbstractUI.aspx?menuIndex=3&amp;refID=7081773&amp;Result=3","7081773")</f>
        <v>0</v>
      </c>
      <c r="B2752" t="s">
        <v>1149</v>
      </c>
      <c r="C2752" t="s">
        <v>6011</v>
      </c>
      <c r="D2752" t="s">
        <v>16649</v>
      </c>
      <c r="E2752" t="s">
        <v>19232</v>
      </c>
      <c r="F2752" t="s">
        <v>28669</v>
      </c>
      <c r="G2752" t="s">
        <v>28675</v>
      </c>
      <c r="H2752" t="s">
        <v>9998</v>
      </c>
      <c r="I2752" t="s">
        <v>28704</v>
      </c>
      <c r="J2752" t="s">
        <v>28878</v>
      </c>
      <c r="K2752" t="s">
        <v>37205</v>
      </c>
      <c r="M2752" t="s">
        <v>38685</v>
      </c>
      <c r="N2752" t="s">
        <v>41249</v>
      </c>
      <c r="O2752" t="s">
        <v>41250</v>
      </c>
      <c r="P2752">
        <v>0</v>
      </c>
      <c r="Q2752">
        <v>0</v>
      </c>
      <c r="R2752" t="s">
        <v>41253</v>
      </c>
      <c r="S2752" t="s">
        <v>41393</v>
      </c>
      <c r="T2752" t="s">
        <v>42688</v>
      </c>
      <c r="U2752" t="s">
        <v>45562</v>
      </c>
      <c r="W2752" t="s">
        <v>38685</v>
      </c>
      <c r="X2752" t="s">
        <v>41251</v>
      </c>
    </row>
    <row r="2753" spans="1:24">
      <c r="A2753">
        <f>HYPERLINK("https://www.philgeps.gov.ph/GEPSNONPILOT/Tender/SplashBidNoticeAbstractUI.aspx?menuIndex=3&amp;refID=7073587&amp;Result=3","7073587")</f>
        <v>0</v>
      </c>
      <c r="B2753" t="s">
        <v>1154</v>
      </c>
      <c r="C2753" t="s">
        <v>6012</v>
      </c>
      <c r="D2753" t="s">
        <v>16664</v>
      </c>
      <c r="E2753" t="s">
        <v>19233</v>
      </c>
      <c r="F2753" t="s">
        <v>28669</v>
      </c>
      <c r="G2753" t="s">
        <v>28676</v>
      </c>
      <c r="H2753" t="s">
        <v>9998</v>
      </c>
      <c r="I2753" t="s">
        <v>28791</v>
      </c>
      <c r="J2753" t="s">
        <v>28923</v>
      </c>
      <c r="K2753" t="s">
        <v>37209</v>
      </c>
      <c r="M2753" t="s">
        <v>38691</v>
      </c>
      <c r="N2753" t="s">
        <v>41249</v>
      </c>
      <c r="O2753" t="s">
        <v>41250</v>
      </c>
      <c r="P2753">
        <v>0</v>
      </c>
      <c r="Q2753">
        <v>0</v>
      </c>
      <c r="R2753" t="s">
        <v>41252</v>
      </c>
      <c r="S2753" t="s">
        <v>41383</v>
      </c>
      <c r="T2753" t="s">
        <v>42701</v>
      </c>
      <c r="U2753" t="s">
        <v>45563</v>
      </c>
      <c r="W2753" t="s">
        <v>38691</v>
      </c>
      <c r="X2753" t="s">
        <v>41254</v>
      </c>
    </row>
    <row r="2754" spans="1:24">
      <c r="A2754">
        <f>HYPERLINK("https://www.philgeps.gov.ph/GEPSNONPILOT/Tender/SplashBidNoticeAbstractUI.aspx?menuIndex=3&amp;refID=7073585&amp;Result=3","7073585")</f>
        <v>0</v>
      </c>
      <c r="B2754" t="s">
        <v>1120</v>
      </c>
      <c r="C2754" t="s">
        <v>6013</v>
      </c>
      <c r="D2754" t="s">
        <v>16644</v>
      </c>
      <c r="E2754" t="s">
        <v>19234</v>
      </c>
      <c r="F2754" t="s">
        <v>28669</v>
      </c>
      <c r="G2754" t="s">
        <v>28677</v>
      </c>
      <c r="H2754" t="s">
        <v>9998</v>
      </c>
      <c r="I2754" t="s">
        <v>28699</v>
      </c>
      <c r="J2754" t="s">
        <v>29114</v>
      </c>
      <c r="K2754" t="s">
        <v>37204</v>
      </c>
      <c r="M2754" t="s">
        <v>38654</v>
      </c>
      <c r="N2754" t="s">
        <v>41249</v>
      </c>
      <c r="O2754" t="s">
        <v>41250</v>
      </c>
      <c r="P2754">
        <v>0</v>
      </c>
      <c r="Q2754">
        <v>0</v>
      </c>
      <c r="R2754" t="s">
        <v>41252</v>
      </c>
      <c r="S2754" t="s">
        <v>41383</v>
      </c>
      <c r="T2754" t="s">
        <v>42758</v>
      </c>
      <c r="U2754" t="s">
        <v>45564</v>
      </c>
      <c r="W2754" t="s">
        <v>38654</v>
      </c>
      <c r="X2754" t="s">
        <v>41254</v>
      </c>
    </row>
    <row r="2755" spans="1:24">
      <c r="A2755">
        <f>HYPERLINK("https://www.philgeps.gov.ph/GEPSNONPILOT/Tender/SplashBidNoticeAbstractUI.aspx?menuIndex=3&amp;refID=7081789&amp;Result=3","7081789")</f>
        <v>0</v>
      </c>
      <c r="B2755" t="s">
        <v>1151</v>
      </c>
      <c r="C2755" t="s">
        <v>6014</v>
      </c>
      <c r="D2755" t="s">
        <v>16643</v>
      </c>
      <c r="E2755" t="s">
        <v>19235</v>
      </c>
      <c r="F2755" t="s">
        <v>28669</v>
      </c>
      <c r="G2755" t="s">
        <v>28675</v>
      </c>
      <c r="H2755" t="s">
        <v>28686</v>
      </c>
      <c r="I2755" t="s">
        <v>28689</v>
      </c>
      <c r="J2755" t="s">
        <v>30680</v>
      </c>
      <c r="K2755" t="s">
        <v>37213</v>
      </c>
      <c r="M2755" t="s">
        <v>38687</v>
      </c>
      <c r="N2755" t="s">
        <v>41249</v>
      </c>
      <c r="O2755" t="s">
        <v>41250</v>
      </c>
      <c r="P2755">
        <v>0</v>
      </c>
      <c r="Q2755">
        <v>0</v>
      </c>
      <c r="R2755" t="s">
        <v>41253</v>
      </c>
      <c r="S2755" t="s">
        <v>41393</v>
      </c>
      <c r="T2755" t="s">
        <v>42704</v>
      </c>
      <c r="U2755" t="s">
        <v>45553</v>
      </c>
      <c r="W2755" t="s">
        <v>38687</v>
      </c>
      <c r="X2755" t="s">
        <v>41251</v>
      </c>
    </row>
    <row r="2756" spans="1:24">
      <c r="A2756">
        <f>HYPERLINK("https://www.philgeps.gov.ph/GEPSNONPILOT/Tender/SplashBidNoticeAbstractUI.aspx?menuIndex=3&amp;refID=7081769&amp;Result=3","7081769")</f>
        <v>0</v>
      </c>
      <c r="B2756" t="s">
        <v>1153</v>
      </c>
      <c r="C2756" t="s">
        <v>6015</v>
      </c>
      <c r="D2756" t="s">
        <v>16654</v>
      </c>
      <c r="E2756" t="s">
        <v>18354</v>
      </c>
      <c r="F2756" t="s">
        <v>28669</v>
      </c>
      <c r="G2756" t="s">
        <v>28676</v>
      </c>
      <c r="H2756" t="s">
        <v>9998</v>
      </c>
      <c r="I2756" t="s">
        <v>5213</v>
      </c>
      <c r="J2756" t="s">
        <v>29088</v>
      </c>
      <c r="K2756" t="s">
        <v>37209</v>
      </c>
      <c r="M2756" t="s">
        <v>38690</v>
      </c>
      <c r="N2756" t="s">
        <v>41249</v>
      </c>
      <c r="O2756" t="s">
        <v>41250</v>
      </c>
      <c r="P2756">
        <v>0</v>
      </c>
      <c r="Q2756">
        <v>0</v>
      </c>
      <c r="R2756" t="s">
        <v>41253</v>
      </c>
      <c r="S2756" t="s">
        <v>41393</v>
      </c>
      <c r="T2756" t="s">
        <v>42742</v>
      </c>
      <c r="U2756" t="s">
        <v>45565</v>
      </c>
      <c r="W2756" t="s">
        <v>38690</v>
      </c>
      <c r="X2756" t="s">
        <v>41251</v>
      </c>
    </row>
    <row r="2757" spans="1:24">
      <c r="A2757">
        <f>HYPERLINK("https://www.philgeps.gov.ph/GEPSNONPILOT/Tender/SplashBidNoticeAbstractUI.aspx?menuIndex=3&amp;refID=7081787&amp;Result=3","7081787")</f>
        <v>0</v>
      </c>
      <c r="B2757" t="s">
        <v>1151</v>
      </c>
      <c r="C2757" t="s">
        <v>6016</v>
      </c>
      <c r="D2757" t="s">
        <v>16643</v>
      </c>
      <c r="E2757" t="s">
        <v>19236</v>
      </c>
      <c r="F2757" t="s">
        <v>28669</v>
      </c>
      <c r="G2757" t="s">
        <v>28675</v>
      </c>
      <c r="H2757" t="s">
        <v>28686</v>
      </c>
      <c r="I2757" t="s">
        <v>28689</v>
      </c>
      <c r="J2757" t="s">
        <v>30680</v>
      </c>
      <c r="K2757" t="s">
        <v>37213</v>
      </c>
      <c r="M2757" t="s">
        <v>38687</v>
      </c>
      <c r="N2757" t="s">
        <v>41249</v>
      </c>
      <c r="O2757" t="s">
        <v>41250</v>
      </c>
      <c r="P2757">
        <v>0</v>
      </c>
      <c r="Q2757">
        <v>0</v>
      </c>
      <c r="R2757" t="s">
        <v>41253</v>
      </c>
      <c r="S2757" t="s">
        <v>41393</v>
      </c>
      <c r="T2757" t="s">
        <v>42704</v>
      </c>
      <c r="U2757" t="s">
        <v>45553</v>
      </c>
      <c r="W2757" t="s">
        <v>38687</v>
      </c>
      <c r="X2757" t="s">
        <v>41251</v>
      </c>
    </row>
    <row r="2758" spans="1:24">
      <c r="A2758">
        <f>HYPERLINK("https://www.philgeps.gov.ph/GEPSNONPILOT/Tender/SplashBidNoticeAbstractUI.aspx?menuIndex=3&amp;refID=7073589&amp;Result=3","7073589")</f>
        <v>0</v>
      </c>
      <c r="B2758" t="s">
        <v>452</v>
      </c>
      <c r="C2758" t="s">
        <v>6017</v>
      </c>
      <c r="D2758" t="s">
        <v>16608</v>
      </c>
      <c r="E2758" t="s">
        <v>19237</v>
      </c>
      <c r="F2758" t="s">
        <v>28669</v>
      </c>
      <c r="G2758" t="s">
        <v>28682</v>
      </c>
      <c r="H2758" t="s">
        <v>9998</v>
      </c>
      <c r="I2758" t="s">
        <v>28713</v>
      </c>
      <c r="J2758" t="s">
        <v>30687</v>
      </c>
      <c r="K2758" t="s">
        <v>37215</v>
      </c>
      <c r="M2758" t="s">
        <v>37940</v>
      </c>
      <c r="N2758" t="s">
        <v>41249</v>
      </c>
      <c r="O2758" t="s">
        <v>41250</v>
      </c>
      <c r="Q2758">
        <v>12</v>
      </c>
      <c r="R2758" t="s">
        <v>41252</v>
      </c>
      <c r="S2758" t="s">
        <v>41394</v>
      </c>
      <c r="T2758" t="s">
        <v>42901</v>
      </c>
      <c r="U2758" t="s">
        <v>45323</v>
      </c>
      <c r="W2758" t="s">
        <v>37940</v>
      </c>
      <c r="X2758" t="s">
        <v>41254</v>
      </c>
    </row>
    <row r="2759" spans="1:24">
      <c r="A2759">
        <f>HYPERLINK("https://www.philgeps.gov.ph/GEPSNONPILOT/Tender/SplashBidNoticeAbstractUI.aspx?menuIndex=3&amp;refID=7081797&amp;Result=3","7081797")</f>
        <v>0</v>
      </c>
      <c r="B2759" t="s">
        <v>891</v>
      </c>
      <c r="C2759" t="s">
        <v>6018</v>
      </c>
      <c r="D2759" t="s">
        <v>16631</v>
      </c>
      <c r="E2759" t="s">
        <v>19238</v>
      </c>
      <c r="F2759" t="s">
        <v>28669</v>
      </c>
      <c r="G2759" t="s">
        <v>28675</v>
      </c>
      <c r="H2759" t="s">
        <v>28686</v>
      </c>
      <c r="I2759" t="s">
        <v>28689</v>
      </c>
      <c r="J2759" t="s">
        <v>30688</v>
      </c>
      <c r="K2759" t="s">
        <v>37325</v>
      </c>
      <c r="M2759" t="s">
        <v>38412</v>
      </c>
      <c r="N2759" t="s">
        <v>41249</v>
      </c>
      <c r="O2759" t="s">
        <v>41250</v>
      </c>
      <c r="P2759">
        <v>0</v>
      </c>
      <c r="Q2759">
        <v>0</v>
      </c>
      <c r="R2759" t="s">
        <v>41253</v>
      </c>
      <c r="S2759" t="s">
        <v>41393</v>
      </c>
      <c r="T2759" t="s">
        <v>42903</v>
      </c>
      <c r="U2759" t="s">
        <v>44945</v>
      </c>
      <c r="W2759" t="s">
        <v>40528</v>
      </c>
      <c r="X2759" t="s">
        <v>41251</v>
      </c>
    </row>
    <row r="2760" spans="1:24">
      <c r="A2760">
        <f>HYPERLINK("https://www.philgeps.gov.ph/GEPSNONPILOT/Tender/SplashBidNoticeAbstractUI.aspx?menuIndex=3&amp;refID=7073586&amp;Result=3","7073586")</f>
        <v>0</v>
      </c>
      <c r="B2760" t="s">
        <v>211</v>
      </c>
      <c r="C2760" t="s">
        <v>6019</v>
      </c>
      <c r="D2760" t="s">
        <v>16618</v>
      </c>
      <c r="E2760" t="s">
        <v>19239</v>
      </c>
      <c r="F2760" t="s">
        <v>28669</v>
      </c>
      <c r="G2760" t="s">
        <v>28677</v>
      </c>
      <c r="H2760" t="s">
        <v>9998</v>
      </c>
      <c r="I2760" t="s">
        <v>3718</v>
      </c>
      <c r="J2760" t="s">
        <v>30689</v>
      </c>
      <c r="K2760" t="s">
        <v>37209</v>
      </c>
      <c r="M2760" t="s">
        <v>37689</v>
      </c>
      <c r="N2760" t="s">
        <v>41249</v>
      </c>
      <c r="O2760" t="s">
        <v>41250</v>
      </c>
      <c r="P2760">
        <v>0</v>
      </c>
      <c r="Q2760">
        <v>0</v>
      </c>
      <c r="R2760" t="s">
        <v>41252</v>
      </c>
      <c r="S2760" t="s">
        <v>41383</v>
      </c>
      <c r="T2760" t="s">
        <v>42758</v>
      </c>
      <c r="U2760" t="s">
        <v>45566</v>
      </c>
      <c r="W2760" t="s">
        <v>37689</v>
      </c>
      <c r="X2760" t="s">
        <v>41254</v>
      </c>
    </row>
    <row r="2761" spans="1:24">
      <c r="A2761">
        <f>HYPERLINK("https://www.philgeps.gov.ph/GEPSNONPILOT/Tender/SplashBidNoticeAbstractUI.aspx?menuIndex=3&amp;refID=7073583&amp;Result=3","7073583")</f>
        <v>0</v>
      </c>
      <c r="B2761" t="s">
        <v>609</v>
      </c>
      <c r="C2761" t="s">
        <v>6020</v>
      </c>
      <c r="D2761" t="s">
        <v>16608</v>
      </c>
      <c r="E2761" t="s">
        <v>6020</v>
      </c>
      <c r="F2761" t="s">
        <v>28669</v>
      </c>
      <c r="G2761" t="s">
        <v>28676</v>
      </c>
      <c r="H2761" t="s">
        <v>9998</v>
      </c>
      <c r="I2761" t="s">
        <v>6128</v>
      </c>
      <c r="J2761" t="s">
        <v>30690</v>
      </c>
      <c r="K2761" t="s">
        <v>37220</v>
      </c>
      <c r="M2761" t="s">
        <v>38109</v>
      </c>
      <c r="N2761" t="s">
        <v>41249</v>
      </c>
      <c r="O2761" t="s">
        <v>41250</v>
      </c>
      <c r="P2761">
        <v>0</v>
      </c>
      <c r="Q2761">
        <v>12</v>
      </c>
      <c r="R2761" t="s">
        <v>41252</v>
      </c>
      <c r="S2761" t="s">
        <v>41383</v>
      </c>
      <c r="T2761" t="s">
        <v>42748</v>
      </c>
      <c r="U2761" t="s">
        <v>45567</v>
      </c>
      <c r="W2761" t="s">
        <v>38109</v>
      </c>
      <c r="X2761" t="s">
        <v>41254</v>
      </c>
    </row>
    <row r="2762" spans="1:24">
      <c r="A2762">
        <f>HYPERLINK("https://www.philgeps.gov.ph/GEPSNONPILOT/Tender/SplashBidNoticeAbstractUI.aspx?menuIndex=3&amp;refID=7081762&amp;Result=3","7081762")</f>
        <v>0</v>
      </c>
      <c r="B2762" t="s">
        <v>1151</v>
      </c>
      <c r="C2762" t="s">
        <v>6021</v>
      </c>
      <c r="D2762" t="s">
        <v>16643</v>
      </c>
      <c r="E2762" t="s">
        <v>19240</v>
      </c>
      <c r="F2762" t="s">
        <v>28669</v>
      </c>
      <c r="G2762" t="s">
        <v>28675</v>
      </c>
      <c r="H2762" t="s">
        <v>28686</v>
      </c>
      <c r="I2762" t="s">
        <v>28689</v>
      </c>
      <c r="J2762" t="s">
        <v>30680</v>
      </c>
      <c r="K2762" t="s">
        <v>37213</v>
      </c>
      <c r="M2762" t="s">
        <v>38687</v>
      </c>
      <c r="N2762" t="s">
        <v>41249</v>
      </c>
      <c r="O2762" t="s">
        <v>41250</v>
      </c>
      <c r="P2762">
        <v>0</v>
      </c>
      <c r="Q2762">
        <v>0</v>
      </c>
      <c r="R2762" t="s">
        <v>41253</v>
      </c>
      <c r="S2762" t="s">
        <v>41393</v>
      </c>
      <c r="T2762" t="s">
        <v>42704</v>
      </c>
      <c r="U2762" t="s">
        <v>45553</v>
      </c>
      <c r="W2762" t="s">
        <v>38687</v>
      </c>
      <c r="X2762" t="s">
        <v>41251</v>
      </c>
    </row>
    <row r="2763" spans="1:24">
      <c r="A2763">
        <f>HYPERLINK("https://www.philgeps.gov.ph/GEPSNONPILOT/Tender/SplashBidNoticeAbstractUI.aspx?menuIndex=3&amp;refID=7081793&amp;Result=3","7081793")</f>
        <v>0</v>
      </c>
      <c r="B2763" t="s">
        <v>891</v>
      </c>
      <c r="C2763" t="s">
        <v>6022</v>
      </c>
      <c r="D2763" t="s">
        <v>16631</v>
      </c>
      <c r="E2763" t="s">
        <v>19241</v>
      </c>
      <c r="F2763" t="s">
        <v>28669</v>
      </c>
      <c r="G2763" t="s">
        <v>28675</v>
      </c>
      <c r="H2763" t="s">
        <v>28686</v>
      </c>
      <c r="I2763" t="s">
        <v>28689</v>
      </c>
      <c r="J2763" t="s">
        <v>30691</v>
      </c>
      <c r="K2763" t="s">
        <v>37326</v>
      </c>
      <c r="M2763" t="s">
        <v>38412</v>
      </c>
      <c r="N2763" t="s">
        <v>41249</v>
      </c>
      <c r="O2763" t="s">
        <v>41250</v>
      </c>
      <c r="P2763">
        <v>0</v>
      </c>
      <c r="Q2763">
        <v>0</v>
      </c>
      <c r="R2763" t="s">
        <v>41253</v>
      </c>
      <c r="S2763" t="s">
        <v>41393</v>
      </c>
      <c r="T2763" t="s">
        <v>42903</v>
      </c>
      <c r="U2763" t="s">
        <v>44945</v>
      </c>
      <c r="W2763" t="s">
        <v>40528</v>
      </c>
      <c r="X2763" t="s">
        <v>41251</v>
      </c>
    </row>
    <row r="2764" spans="1:24">
      <c r="A2764">
        <f>HYPERLINK("https://www.philgeps.gov.ph/GEPSNONPILOT/Tender/SplashBidNoticeAbstractUI.aspx?menuIndex=3&amp;refID=7081791&amp;Result=3","7081791")</f>
        <v>0</v>
      </c>
      <c r="B2764" t="s">
        <v>1151</v>
      </c>
      <c r="C2764" t="s">
        <v>6023</v>
      </c>
      <c r="D2764" t="s">
        <v>16643</v>
      </c>
      <c r="E2764" t="s">
        <v>19242</v>
      </c>
      <c r="F2764" t="s">
        <v>28669</v>
      </c>
      <c r="G2764" t="s">
        <v>28675</v>
      </c>
      <c r="H2764" t="s">
        <v>28686</v>
      </c>
      <c r="I2764" t="s">
        <v>28689</v>
      </c>
      <c r="J2764" t="s">
        <v>30680</v>
      </c>
      <c r="K2764" t="s">
        <v>37213</v>
      </c>
      <c r="M2764" t="s">
        <v>38687</v>
      </c>
      <c r="N2764" t="s">
        <v>41249</v>
      </c>
      <c r="O2764" t="s">
        <v>41250</v>
      </c>
      <c r="P2764">
        <v>0</v>
      </c>
      <c r="Q2764">
        <v>0</v>
      </c>
      <c r="R2764" t="s">
        <v>41253</v>
      </c>
      <c r="S2764" t="s">
        <v>41393</v>
      </c>
      <c r="T2764" t="s">
        <v>42704</v>
      </c>
      <c r="U2764" t="s">
        <v>45553</v>
      </c>
      <c r="W2764" t="s">
        <v>38687</v>
      </c>
      <c r="X2764" t="s">
        <v>41251</v>
      </c>
    </row>
    <row r="2765" spans="1:24">
      <c r="A2765">
        <f>HYPERLINK("https://www.philgeps.gov.ph/GEPSNONPILOT/Tender/SplashBidNoticeAbstractUI.aspx?menuIndex=3&amp;refID=7081760&amp;Result=3","7081760")</f>
        <v>0</v>
      </c>
      <c r="B2765" t="s">
        <v>1151</v>
      </c>
      <c r="C2765" t="s">
        <v>6024</v>
      </c>
      <c r="D2765" t="s">
        <v>16643</v>
      </c>
      <c r="E2765" t="s">
        <v>19243</v>
      </c>
      <c r="F2765" t="s">
        <v>28669</v>
      </c>
      <c r="G2765" t="s">
        <v>28675</v>
      </c>
      <c r="H2765" t="s">
        <v>28686</v>
      </c>
      <c r="I2765" t="s">
        <v>28689</v>
      </c>
      <c r="J2765" t="s">
        <v>30680</v>
      </c>
      <c r="K2765" t="s">
        <v>37213</v>
      </c>
      <c r="M2765" t="s">
        <v>38687</v>
      </c>
      <c r="N2765" t="s">
        <v>41249</v>
      </c>
      <c r="O2765" t="s">
        <v>41250</v>
      </c>
      <c r="P2765">
        <v>0</v>
      </c>
      <c r="Q2765">
        <v>0</v>
      </c>
      <c r="R2765" t="s">
        <v>41253</v>
      </c>
      <c r="S2765" t="s">
        <v>41393</v>
      </c>
      <c r="T2765" t="s">
        <v>42704</v>
      </c>
      <c r="U2765" t="s">
        <v>45553</v>
      </c>
      <c r="W2765" t="s">
        <v>38687</v>
      </c>
      <c r="X2765" t="s">
        <v>41251</v>
      </c>
    </row>
    <row r="2766" spans="1:24">
      <c r="A2766">
        <f>HYPERLINK("https://www.philgeps.gov.ph/GEPSNONPILOT/Tender/SplashBidNoticeAbstractUI.aspx?menuIndex=3&amp;refID=7081794&amp;Result=3","7081794")</f>
        <v>0</v>
      </c>
      <c r="B2766" t="s">
        <v>1155</v>
      </c>
      <c r="C2766" t="s">
        <v>6025</v>
      </c>
      <c r="D2766" t="s">
        <v>16615</v>
      </c>
      <c r="E2766" t="s">
        <v>18338</v>
      </c>
      <c r="F2766" t="s">
        <v>28669</v>
      </c>
      <c r="G2766" t="s">
        <v>28675</v>
      </c>
      <c r="H2766" t="s">
        <v>28686</v>
      </c>
      <c r="I2766" t="s">
        <v>28792</v>
      </c>
      <c r="J2766" t="s">
        <v>28826</v>
      </c>
      <c r="K2766" t="s">
        <v>37210</v>
      </c>
      <c r="M2766" t="s">
        <v>38692</v>
      </c>
      <c r="N2766" t="s">
        <v>41249</v>
      </c>
      <c r="O2766" t="s">
        <v>41250</v>
      </c>
      <c r="P2766">
        <v>0</v>
      </c>
      <c r="Q2766">
        <v>0</v>
      </c>
      <c r="R2766" t="s">
        <v>41253</v>
      </c>
      <c r="S2766" t="s">
        <v>41393</v>
      </c>
      <c r="T2766" t="s">
        <v>42671</v>
      </c>
      <c r="U2766" t="s">
        <v>45568</v>
      </c>
      <c r="V2766" t="s">
        <v>54585</v>
      </c>
      <c r="W2766" t="s">
        <v>38692</v>
      </c>
      <c r="X2766" t="s">
        <v>41251</v>
      </c>
    </row>
    <row r="2767" spans="1:24">
      <c r="A2767">
        <f>HYPERLINK("https://www.philgeps.gov.ph/GEPSNONPILOT/Tender/SplashBidNoticeAbstractUI.aspx?menuIndex=3&amp;refID=7081799&amp;Result=3","7081799")</f>
        <v>0</v>
      </c>
      <c r="B2767" t="s">
        <v>891</v>
      </c>
      <c r="C2767" t="s">
        <v>6026</v>
      </c>
      <c r="D2767" t="s">
        <v>16631</v>
      </c>
      <c r="E2767" t="s">
        <v>19244</v>
      </c>
      <c r="F2767" t="s">
        <v>28669</v>
      </c>
      <c r="G2767" t="s">
        <v>28675</v>
      </c>
      <c r="H2767" t="s">
        <v>28686</v>
      </c>
      <c r="I2767" t="s">
        <v>28689</v>
      </c>
      <c r="J2767" t="s">
        <v>30692</v>
      </c>
      <c r="K2767" t="s">
        <v>37218</v>
      </c>
      <c r="M2767" t="s">
        <v>38412</v>
      </c>
      <c r="N2767" t="s">
        <v>41249</v>
      </c>
      <c r="O2767" t="s">
        <v>41250</v>
      </c>
      <c r="P2767">
        <v>0</v>
      </c>
      <c r="Q2767">
        <v>0</v>
      </c>
      <c r="R2767" t="s">
        <v>41253</v>
      </c>
      <c r="S2767" t="s">
        <v>41393</v>
      </c>
      <c r="T2767" t="s">
        <v>42903</v>
      </c>
      <c r="U2767" t="s">
        <v>44945</v>
      </c>
      <c r="W2767" t="s">
        <v>40528</v>
      </c>
      <c r="X2767" t="s">
        <v>41251</v>
      </c>
    </row>
    <row r="2768" spans="1:24">
      <c r="A2768">
        <f>HYPERLINK("https://www.philgeps.gov.ph/GEPSNONPILOT/Tender/SplashBidNoticeAbstractUI.aspx?menuIndex=3&amp;refID=7081796&amp;Result=3","7081796")</f>
        <v>0</v>
      </c>
      <c r="B2768" t="s">
        <v>891</v>
      </c>
      <c r="C2768" t="s">
        <v>6027</v>
      </c>
      <c r="D2768" t="s">
        <v>16631</v>
      </c>
      <c r="E2768" t="s">
        <v>19245</v>
      </c>
      <c r="F2768" t="s">
        <v>28669</v>
      </c>
      <c r="G2768" t="s">
        <v>28675</v>
      </c>
      <c r="H2768" t="s">
        <v>28686</v>
      </c>
      <c r="I2768" t="s">
        <v>28689</v>
      </c>
      <c r="J2768" t="s">
        <v>30691</v>
      </c>
      <c r="K2768" t="s">
        <v>37326</v>
      </c>
      <c r="M2768" t="s">
        <v>38412</v>
      </c>
      <c r="N2768" t="s">
        <v>41249</v>
      </c>
      <c r="O2768" t="s">
        <v>41250</v>
      </c>
      <c r="P2768">
        <v>0</v>
      </c>
      <c r="Q2768">
        <v>0</v>
      </c>
      <c r="R2768" t="s">
        <v>41253</v>
      </c>
      <c r="S2768" t="s">
        <v>41393</v>
      </c>
      <c r="T2768" t="s">
        <v>42903</v>
      </c>
      <c r="U2768" t="s">
        <v>44945</v>
      </c>
      <c r="W2768" t="s">
        <v>40528</v>
      </c>
      <c r="X2768" t="s">
        <v>41251</v>
      </c>
    </row>
    <row r="2769" spans="1:24">
      <c r="A2769">
        <f>HYPERLINK("https://www.philgeps.gov.ph/GEPSNONPILOT/Tender/SplashBidNoticeAbstractUI.aspx?menuIndex=3&amp;refID=7081761&amp;Result=3","7081761")</f>
        <v>0</v>
      </c>
      <c r="B2769" t="s">
        <v>1138</v>
      </c>
      <c r="C2769" t="s">
        <v>6028</v>
      </c>
      <c r="D2769" t="s">
        <v>16608</v>
      </c>
      <c r="E2769" t="s">
        <v>19246</v>
      </c>
      <c r="F2769" t="s">
        <v>28669</v>
      </c>
      <c r="G2769" t="s">
        <v>28676</v>
      </c>
      <c r="H2769" t="s">
        <v>9998</v>
      </c>
      <c r="I2769" t="s">
        <v>28775</v>
      </c>
      <c r="J2769" t="s">
        <v>29190</v>
      </c>
      <c r="K2769" t="s">
        <v>37205</v>
      </c>
      <c r="M2769" t="s">
        <v>38673</v>
      </c>
      <c r="N2769" t="s">
        <v>41249</v>
      </c>
      <c r="O2769" t="s">
        <v>41250</v>
      </c>
      <c r="P2769">
        <v>0</v>
      </c>
      <c r="Q2769">
        <v>0</v>
      </c>
      <c r="R2769" t="s">
        <v>41253</v>
      </c>
      <c r="S2769" t="s">
        <v>41393</v>
      </c>
      <c r="T2769" t="s">
        <v>42673</v>
      </c>
      <c r="U2769" t="s">
        <v>45569</v>
      </c>
      <c r="V2769" t="s">
        <v>54583</v>
      </c>
      <c r="W2769" t="s">
        <v>38673</v>
      </c>
      <c r="X2769" t="s">
        <v>41251</v>
      </c>
    </row>
    <row r="2770" spans="1:24">
      <c r="A2770">
        <f>HYPERLINK("https://www.philgeps.gov.ph/GEPSNONPILOT/Tender/SplashBidNoticeAbstractUI.aspx?menuIndex=3&amp;refID=7073681&amp;Result=3","7073681")</f>
        <v>0</v>
      </c>
      <c r="B2770" t="s">
        <v>557</v>
      </c>
      <c r="C2770" t="s">
        <v>6029</v>
      </c>
      <c r="D2770" t="s">
        <v>16608</v>
      </c>
      <c r="E2770" t="s">
        <v>19247</v>
      </c>
      <c r="F2770" t="s">
        <v>28669</v>
      </c>
      <c r="G2770" t="s">
        <v>28676</v>
      </c>
      <c r="H2770" t="s">
        <v>9998</v>
      </c>
      <c r="I2770" t="s">
        <v>28690</v>
      </c>
      <c r="J2770" t="s">
        <v>29404</v>
      </c>
      <c r="K2770" t="s">
        <v>37204</v>
      </c>
      <c r="M2770" t="s">
        <v>38050</v>
      </c>
      <c r="N2770" t="s">
        <v>41249</v>
      </c>
      <c r="O2770" t="s">
        <v>41250</v>
      </c>
      <c r="P2770">
        <v>0</v>
      </c>
      <c r="Q2770">
        <v>2</v>
      </c>
      <c r="R2770" t="s">
        <v>41252</v>
      </c>
      <c r="S2770" t="s">
        <v>41383</v>
      </c>
      <c r="T2770" t="s">
        <v>42758</v>
      </c>
      <c r="U2770" t="s">
        <v>45570</v>
      </c>
      <c r="V2770" t="s">
        <v>54379</v>
      </c>
      <c r="W2770" t="s">
        <v>38050</v>
      </c>
      <c r="X2770" t="s">
        <v>41254</v>
      </c>
    </row>
    <row r="2771" spans="1:24">
      <c r="A2771">
        <f>HYPERLINK("https://www.philgeps.gov.ph/GEPSNONPILOT/Tender/SplashBidNoticeAbstractUI.aspx?menuIndex=3&amp;refID=7073692&amp;Result=3","7073692")</f>
        <v>0</v>
      </c>
      <c r="B2771" t="s">
        <v>449</v>
      </c>
      <c r="C2771" t="s">
        <v>6030</v>
      </c>
      <c r="D2771" t="s">
        <v>16679</v>
      </c>
      <c r="E2771" t="s">
        <v>19248</v>
      </c>
      <c r="F2771" t="s">
        <v>28669</v>
      </c>
      <c r="G2771" t="s">
        <v>28676</v>
      </c>
      <c r="H2771" t="s">
        <v>9998</v>
      </c>
      <c r="I2771" t="s">
        <v>28725</v>
      </c>
      <c r="J2771" t="s">
        <v>30693</v>
      </c>
      <c r="K2771" t="s">
        <v>37209</v>
      </c>
      <c r="M2771" t="s">
        <v>37935</v>
      </c>
      <c r="N2771" t="s">
        <v>41249</v>
      </c>
      <c r="O2771" t="s">
        <v>41250</v>
      </c>
      <c r="P2771">
        <v>0</v>
      </c>
      <c r="Q2771">
        <v>0</v>
      </c>
      <c r="R2771" t="s">
        <v>41252</v>
      </c>
      <c r="S2771" t="s">
        <v>41383</v>
      </c>
      <c r="T2771" t="s">
        <v>42748</v>
      </c>
      <c r="U2771" t="s">
        <v>45571</v>
      </c>
      <c r="W2771" t="s">
        <v>37935</v>
      </c>
      <c r="X2771" t="s">
        <v>41254</v>
      </c>
    </row>
    <row r="2772" spans="1:24">
      <c r="A2772">
        <f>HYPERLINK("https://www.philgeps.gov.ph/GEPSNONPILOT/Tender/SplashBidNoticeAbstractUI.aspx?menuIndex=3&amp;refID=7073699&amp;Result=3","7073699")</f>
        <v>0</v>
      </c>
      <c r="B2772" t="s">
        <v>1033</v>
      </c>
      <c r="C2772" t="s">
        <v>6031</v>
      </c>
      <c r="E2772" t="s">
        <v>19249</v>
      </c>
      <c r="F2772" t="s">
        <v>28669</v>
      </c>
      <c r="G2772" t="s">
        <v>28676</v>
      </c>
      <c r="H2772" t="s">
        <v>9998</v>
      </c>
      <c r="I2772" t="s">
        <v>6128</v>
      </c>
      <c r="J2772" t="s">
        <v>28905</v>
      </c>
      <c r="K2772" t="s">
        <v>37209</v>
      </c>
      <c r="M2772" t="s">
        <v>38564</v>
      </c>
      <c r="N2772" t="s">
        <v>41249</v>
      </c>
      <c r="O2772" t="s">
        <v>41250</v>
      </c>
      <c r="P2772">
        <v>0</v>
      </c>
      <c r="Q2772">
        <v>1</v>
      </c>
      <c r="R2772" t="s">
        <v>41252</v>
      </c>
      <c r="S2772" t="s">
        <v>41383</v>
      </c>
      <c r="T2772" t="s">
        <v>42802</v>
      </c>
      <c r="U2772" t="s">
        <v>45572</v>
      </c>
      <c r="W2772" t="s">
        <v>38564</v>
      </c>
      <c r="X2772" t="s">
        <v>41254</v>
      </c>
    </row>
    <row r="2773" spans="1:24">
      <c r="A2773">
        <f>HYPERLINK("https://www.philgeps.gov.ph/GEPSNONPILOT/Tender/SplashBidNoticeAbstractUI.aspx?menuIndex=3&amp;refID=7073690&amp;Result=3","7073690")</f>
        <v>0</v>
      </c>
      <c r="B2773" t="s">
        <v>1156</v>
      </c>
      <c r="C2773" t="s">
        <v>6032</v>
      </c>
      <c r="D2773" t="s">
        <v>16678</v>
      </c>
      <c r="E2773" t="s">
        <v>19250</v>
      </c>
      <c r="F2773" t="s">
        <v>28669</v>
      </c>
      <c r="G2773" t="s">
        <v>28676</v>
      </c>
      <c r="H2773" t="s">
        <v>9998</v>
      </c>
      <c r="I2773" t="s">
        <v>3718</v>
      </c>
      <c r="J2773" t="s">
        <v>29546</v>
      </c>
      <c r="K2773" t="s">
        <v>37205</v>
      </c>
      <c r="M2773" t="s">
        <v>38693</v>
      </c>
      <c r="N2773" t="s">
        <v>41249</v>
      </c>
      <c r="O2773" t="s">
        <v>41250</v>
      </c>
      <c r="P2773">
        <v>0</v>
      </c>
      <c r="Q2773">
        <v>0</v>
      </c>
      <c r="R2773" t="s">
        <v>41252</v>
      </c>
      <c r="S2773" t="s">
        <v>41383</v>
      </c>
      <c r="T2773" t="s">
        <v>42736</v>
      </c>
      <c r="U2773" t="s">
        <v>45573</v>
      </c>
      <c r="W2773" t="s">
        <v>38693</v>
      </c>
      <c r="X2773" t="s">
        <v>41254</v>
      </c>
    </row>
    <row r="2774" spans="1:24">
      <c r="A2774">
        <f>HYPERLINK("https://www.philgeps.gov.ph/GEPSNONPILOT/Tender/SplashBidNoticeAbstractUI.aspx?menuIndex=3&amp;refID=7073695&amp;Result=3","7073695")</f>
        <v>0</v>
      </c>
      <c r="B2774" t="s">
        <v>100</v>
      </c>
      <c r="C2774" t="s">
        <v>6033</v>
      </c>
      <c r="D2774" t="s">
        <v>16608</v>
      </c>
      <c r="E2774" t="s">
        <v>19251</v>
      </c>
      <c r="F2774" t="s">
        <v>28669</v>
      </c>
      <c r="G2774" t="s">
        <v>28676</v>
      </c>
      <c r="H2774" t="s">
        <v>9998</v>
      </c>
      <c r="I2774" t="s">
        <v>28793</v>
      </c>
      <c r="J2774" t="s">
        <v>30694</v>
      </c>
      <c r="K2774" t="s">
        <v>37206</v>
      </c>
      <c r="M2774" t="s">
        <v>37575</v>
      </c>
      <c r="N2774" t="s">
        <v>41249</v>
      </c>
      <c r="O2774" t="s">
        <v>41250</v>
      </c>
      <c r="P2774">
        <v>0</v>
      </c>
      <c r="Q2774">
        <v>6</v>
      </c>
      <c r="R2774" t="s">
        <v>41252</v>
      </c>
      <c r="S2774" t="s">
        <v>41383</v>
      </c>
      <c r="T2774" t="s">
        <v>42827</v>
      </c>
      <c r="U2774" t="s">
        <v>43328</v>
      </c>
      <c r="W2774" t="s">
        <v>37575</v>
      </c>
      <c r="X2774" t="s">
        <v>41254</v>
      </c>
    </row>
    <row r="2775" spans="1:24">
      <c r="A2775">
        <f>HYPERLINK("https://www.philgeps.gov.ph/GEPSNONPILOT/Tender/SplashBidNoticeAbstractUI.aspx?menuIndex=3&amp;refID=7073688&amp;Result=3","7073688")</f>
        <v>0</v>
      </c>
      <c r="B2775" t="s">
        <v>1157</v>
      </c>
      <c r="C2775" t="s">
        <v>6034</v>
      </c>
      <c r="D2775" t="s">
        <v>16657</v>
      </c>
      <c r="E2775" t="s">
        <v>19252</v>
      </c>
      <c r="F2775" t="s">
        <v>28669</v>
      </c>
      <c r="G2775" t="s">
        <v>28676</v>
      </c>
      <c r="H2775" t="s">
        <v>9998</v>
      </c>
      <c r="I2775" t="s">
        <v>28712</v>
      </c>
      <c r="J2775" t="s">
        <v>29984</v>
      </c>
      <c r="K2775" t="s">
        <v>37208</v>
      </c>
      <c r="M2775" t="s">
        <v>38694</v>
      </c>
      <c r="N2775" t="s">
        <v>41249</v>
      </c>
      <c r="O2775" t="s">
        <v>41250</v>
      </c>
      <c r="P2775">
        <v>0</v>
      </c>
      <c r="Q2775">
        <v>0</v>
      </c>
      <c r="R2775" t="s">
        <v>41252</v>
      </c>
      <c r="S2775" t="s">
        <v>41383</v>
      </c>
      <c r="T2775" t="s">
        <v>42748</v>
      </c>
      <c r="U2775" t="s">
        <v>45574</v>
      </c>
      <c r="W2775" t="s">
        <v>38694</v>
      </c>
      <c r="X2775" t="s">
        <v>41254</v>
      </c>
    </row>
    <row r="2776" spans="1:24">
      <c r="A2776">
        <f>HYPERLINK("https://www.philgeps.gov.ph/GEPSNONPILOT/Tender/SplashBidNoticeAbstractUI.aspx?menuIndex=3&amp;refID=7073682&amp;Result=3","7073682")</f>
        <v>0</v>
      </c>
      <c r="B2776" t="s">
        <v>1158</v>
      </c>
      <c r="C2776" t="s">
        <v>6035</v>
      </c>
      <c r="D2776" t="s">
        <v>16618</v>
      </c>
      <c r="E2776" t="s">
        <v>19253</v>
      </c>
      <c r="F2776" t="s">
        <v>28669</v>
      </c>
      <c r="G2776" t="s">
        <v>28677</v>
      </c>
      <c r="H2776" t="s">
        <v>9998</v>
      </c>
      <c r="I2776" t="s">
        <v>3718</v>
      </c>
      <c r="J2776" t="s">
        <v>29040</v>
      </c>
      <c r="K2776" t="s">
        <v>37234</v>
      </c>
      <c r="M2776" t="s">
        <v>38695</v>
      </c>
      <c r="N2776" t="s">
        <v>41249</v>
      </c>
      <c r="O2776" t="s">
        <v>41250</v>
      </c>
      <c r="P2776">
        <v>0</v>
      </c>
      <c r="Q2776">
        <v>1</v>
      </c>
      <c r="R2776" t="s">
        <v>41252</v>
      </c>
      <c r="S2776" t="s">
        <v>41383</v>
      </c>
      <c r="T2776" t="s">
        <v>42774</v>
      </c>
      <c r="U2776" t="s">
        <v>45575</v>
      </c>
      <c r="W2776" t="s">
        <v>38695</v>
      </c>
      <c r="X2776" t="s">
        <v>41254</v>
      </c>
    </row>
    <row r="2777" spans="1:24">
      <c r="A2777">
        <f>HYPERLINK("https://www.philgeps.gov.ph/GEPSNONPILOT/Tender/SplashBidNoticeAbstractUI.aspx?menuIndex=3&amp;refID=7073686&amp;Result=3","7073686")</f>
        <v>0</v>
      </c>
      <c r="B2777" t="s">
        <v>752</v>
      </c>
      <c r="C2777" t="s">
        <v>6036</v>
      </c>
      <c r="E2777" t="s">
        <v>19254</v>
      </c>
      <c r="F2777" t="s">
        <v>28669</v>
      </c>
      <c r="G2777" t="s">
        <v>28676</v>
      </c>
      <c r="H2777" t="s">
        <v>9998</v>
      </c>
      <c r="I2777" t="s">
        <v>28708</v>
      </c>
      <c r="J2777" t="s">
        <v>29044</v>
      </c>
      <c r="K2777" t="s">
        <v>37205</v>
      </c>
      <c r="M2777" t="s">
        <v>38650</v>
      </c>
      <c r="N2777" t="s">
        <v>41249</v>
      </c>
      <c r="O2777" t="s">
        <v>41250</v>
      </c>
      <c r="P2777">
        <v>0</v>
      </c>
      <c r="Q2777">
        <v>2</v>
      </c>
      <c r="R2777" t="s">
        <v>41252</v>
      </c>
      <c r="S2777" t="s">
        <v>41383</v>
      </c>
      <c r="T2777" t="s">
        <v>42701</v>
      </c>
      <c r="U2777" t="s">
        <v>45576</v>
      </c>
      <c r="V2777" t="s">
        <v>54579</v>
      </c>
      <c r="W2777" t="s">
        <v>38650</v>
      </c>
      <c r="X2777" t="s">
        <v>41254</v>
      </c>
    </row>
    <row r="2778" spans="1:24">
      <c r="A2778">
        <f>HYPERLINK("https://www.philgeps.gov.ph/GEPSNONPILOT/Tender/SplashBidNoticeAbstractUI.aspx?menuIndex=3&amp;refID=7073687&amp;Result=3","7073687")</f>
        <v>0</v>
      </c>
      <c r="B2778" t="s">
        <v>381</v>
      </c>
      <c r="C2778" t="s">
        <v>6037</v>
      </c>
      <c r="D2778" t="s">
        <v>16625</v>
      </c>
      <c r="E2778" t="s">
        <v>19255</v>
      </c>
      <c r="F2778" t="s">
        <v>28669</v>
      </c>
      <c r="G2778" t="s">
        <v>28678</v>
      </c>
      <c r="H2778" t="s">
        <v>9998</v>
      </c>
      <c r="I2778" t="s">
        <v>6128</v>
      </c>
      <c r="J2778" t="s">
        <v>30695</v>
      </c>
      <c r="K2778" t="s">
        <v>37204</v>
      </c>
      <c r="M2778" t="s">
        <v>37863</v>
      </c>
      <c r="N2778" t="s">
        <v>41249</v>
      </c>
      <c r="O2778" t="s">
        <v>41250</v>
      </c>
      <c r="P2778">
        <v>0</v>
      </c>
      <c r="Q2778">
        <v>0</v>
      </c>
      <c r="R2778" t="s">
        <v>41252</v>
      </c>
      <c r="S2778" t="s">
        <v>41383</v>
      </c>
      <c r="T2778" t="s">
        <v>42729</v>
      </c>
      <c r="U2778" t="s">
        <v>43814</v>
      </c>
      <c r="W2778" t="s">
        <v>55913</v>
      </c>
      <c r="X2778" t="s">
        <v>41254</v>
      </c>
    </row>
    <row r="2779" spans="1:24">
      <c r="A2779">
        <f>HYPERLINK("https://www.philgeps.gov.ph/GEPSNONPILOT/Tender/SplashBidNoticeAbstractUI.aspx?menuIndex=3&amp;refID=7073697&amp;Result=3","7073697")</f>
        <v>0</v>
      </c>
      <c r="B2779" t="s">
        <v>1084</v>
      </c>
      <c r="C2779" t="s">
        <v>6038</v>
      </c>
      <c r="D2779" t="s">
        <v>16667</v>
      </c>
      <c r="E2779" t="s">
        <v>19256</v>
      </c>
      <c r="F2779" t="s">
        <v>28669</v>
      </c>
      <c r="G2779" t="s">
        <v>28675</v>
      </c>
      <c r="H2779" t="s">
        <v>9998</v>
      </c>
      <c r="I2779" t="s">
        <v>28697</v>
      </c>
      <c r="J2779" t="s">
        <v>30585</v>
      </c>
      <c r="K2779" t="s">
        <v>37220</v>
      </c>
      <c r="M2779" t="s">
        <v>38616</v>
      </c>
      <c r="N2779" t="s">
        <v>41249</v>
      </c>
      <c r="O2779" t="s">
        <v>41250</v>
      </c>
      <c r="P2779">
        <v>0</v>
      </c>
      <c r="Q2779">
        <v>0</v>
      </c>
      <c r="R2779" t="s">
        <v>41252</v>
      </c>
      <c r="S2779" t="s">
        <v>41383</v>
      </c>
      <c r="T2779" t="s">
        <v>42808</v>
      </c>
      <c r="U2779" t="s">
        <v>45577</v>
      </c>
      <c r="W2779" t="s">
        <v>38616</v>
      </c>
      <c r="X2779" t="s">
        <v>41254</v>
      </c>
    </row>
    <row r="2780" spans="1:24">
      <c r="A2780">
        <f>HYPERLINK("https://www.philgeps.gov.ph/GEPSNONPILOT/Tender/SplashBidNoticeAbstractUI.aspx?menuIndex=3&amp;refID=7073703&amp;Result=3","7073703")</f>
        <v>0</v>
      </c>
      <c r="B2780" t="s">
        <v>280</v>
      </c>
      <c r="C2780" t="s">
        <v>6039</v>
      </c>
      <c r="D2780" t="s">
        <v>16611</v>
      </c>
      <c r="E2780" t="s">
        <v>19257</v>
      </c>
      <c r="F2780" t="s">
        <v>28669</v>
      </c>
      <c r="G2780" t="s">
        <v>28676</v>
      </c>
      <c r="H2780" t="s">
        <v>9998</v>
      </c>
      <c r="I2780" t="s">
        <v>28690</v>
      </c>
      <c r="J2780" t="s">
        <v>30696</v>
      </c>
      <c r="K2780" t="s">
        <v>37204</v>
      </c>
      <c r="M2780" t="s">
        <v>37758</v>
      </c>
      <c r="N2780" t="s">
        <v>41249</v>
      </c>
      <c r="O2780" t="s">
        <v>41250</v>
      </c>
      <c r="P2780">
        <v>0</v>
      </c>
      <c r="Q2780">
        <v>0</v>
      </c>
      <c r="R2780" t="s">
        <v>41252</v>
      </c>
      <c r="S2780" t="s">
        <v>41383</v>
      </c>
      <c r="T2780" t="s">
        <v>42717</v>
      </c>
      <c r="U2780" t="s">
        <v>45578</v>
      </c>
      <c r="W2780" t="s">
        <v>37758</v>
      </c>
      <c r="X2780" t="s">
        <v>41254</v>
      </c>
    </row>
    <row r="2781" spans="1:24">
      <c r="A2781">
        <f>HYPERLINK("https://www.philgeps.gov.ph/GEPSNONPILOT/Tender/SplashBidNoticeAbstractUI.aspx?menuIndex=3&amp;refID=7073694&amp;Result=3","7073694")</f>
        <v>0</v>
      </c>
      <c r="B2781" t="s">
        <v>1159</v>
      </c>
      <c r="C2781" t="s">
        <v>6040</v>
      </c>
      <c r="D2781" t="s">
        <v>16670</v>
      </c>
      <c r="E2781" t="s">
        <v>19258</v>
      </c>
      <c r="F2781" t="s">
        <v>28671</v>
      </c>
      <c r="G2781" t="s">
        <v>28675</v>
      </c>
      <c r="H2781" t="s">
        <v>9998</v>
      </c>
      <c r="I2781" t="s">
        <v>28708</v>
      </c>
      <c r="J2781" t="s">
        <v>30697</v>
      </c>
      <c r="K2781" t="s">
        <v>37206</v>
      </c>
      <c r="M2781" t="s">
        <v>38696</v>
      </c>
      <c r="N2781" t="s">
        <v>41249</v>
      </c>
      <c r="O2781" t="s">
        <v>41250</v>
      </c>
      <c r="P2781">
        <v>0</v>
      </c>
      <c r="Q2781">
        <v>4</v>
      </c>
      <c r="R2781" t="s">
        <v>41252</v>
      </c>
      <c r="S2781" t="s">
        <v>41383</v>
      </c>
      <c r="T2781" t="s">
        <v>42684</v>
      </c>
      <c r="U2781" t="s">
        <v>43697</v>
      </c>
      <c r="W2781" t="s">
        <v>38696</v>
      </c>
      <c r="X2781" t="s">
        <v>41254</v>
      </c>
    </row>
    <row r="2782" spans="1:24">
      <c r="A2782">
        <f>HYPERLINK("https://www.philgeps.gov.ph/GEPSNONPILOT/Tender/SplashBidNoticeAbstractUI.aspx?menuIndex=3&amp;refID=7073702&amp;Result=3","7073702")</f>
        <v>0</v>
      </c>
      <c r="B2782" t="s">
        <v>1102</v>
      </c>
      <c r="C2782" t="s">
        <v>6041</v>
      </c>
      <c r="D2782" t="s">
        <v>16667</v>
      </c>
      <c r="E2782" t="s">
        <v>6041</v>
      </c>
      <c r="F2782" t="s">
        <v>28669</v>
      </c>
      <c r="G2782" t="s">
        <v>28676</v>
      </c>
      <c r="H2782" t="s">
        <v>9998</v>
      </c>
      <c r="I2782" t="s">
        <v>28704</v>
      </c>
      <c r="J2782" t="s">
        <v>30698</v>
      </c>
      <c r="K2782" t="s">
        <v>37209</v>
      </c>
      <c r="M2782" t="s">
        <v>38635</v>
      </c>
      <c r="N2782" t="s">
        <v>41249</v>
      </c>
      <c r="O2782" t="s">
        <v>41250</v>
      </c>
      <c r="P2782">
        <v>0</v>
      </c>
      <c r="Q2782">
        <v>0</v>
      </c>
      <c r="R2782" t="s">
        <v>41252</v>
      </c>
      <c r="S2782" t="s">
        <v>41383</v>
      </c>
      <c r="T2782" t="s">
        <v>42729</v>
      </c>
      <c r="U2782" t="s">
        <v>45446</v>
      </c>
      <c r="W2782" t="s">
        <v>38635</v>
      </c>
      <c r="X2782" t="s">
        <v>41254</v>
      </c>
    </row>
    <row r="2783" spans="1:24">
      <c r="A2783">
        <f>HYPERLINK("https://www.philgeps.gov.ph/GEPSNONPILOT/Tender/SplashBidNoticeAbstractUI.aspx?menuIndex=3&amp;refID=7073684&amp;Result=3","7073684")</f>
        <v>0</v>
      </c>
      <c r="B2783" t="s">
        <v>1050</v>
      </c>
      <c r="C2783" t="s">
        <v>6042</v>
      </c>
      <c r="D2783" t="s">
        <v>16648</v>
      </c>
      <c r="E2783" t="s">
        <v>19259</v>
      </c>
      <c r="F2783" t="s">
        <v>28669</v>
      </c>
      <c r="G2783" t="s">
        <v>28675</v>
      </c>
      <c r="H2783" t="s">
        <v>28686</v>
      </c>
      <c r="I2783" t="s">
        <v>28689</v>
      </c>
      <c r="J2783" t="s">
        <v>30699</v>
      </c>
      <c r="K2783" t="s">
        <v>37211</v>
      </c>
      <c r="M2783" t="s">
        <v>38581</v>
      </c>
      <c r="N2783" t="s">
        <v>41249</v>
      </c>
      <c r="O2783" t="s">
        <v>41250</v>
      </c>
      <c r="P2783">
        <v>0</v>
      </c>
      <c r="Q2783">
        <v>0</v>
      </c>
      <c r="R2783" t="s">
        <v>41252</v>
      </c>
      <c r="S2783" t="s">
        <v>41383</v>
      </c>
      <c r="T2783" t="s">
        <v>42873</v>
      </c>
      <c r="U2783" t="s">
        <v>45579</v>
      </c>
      <c r="W2783" t="s">
        <v>38581</v>
      </c>
      <c r="X2783" t="s">
        <v>41254</v>
      </c>
    </row>
    <row r="2784" spans="1:24">
      <c r="A2784">
        <f>HYPERLINK("https://www.philgeps.gov.ph/GEPSNONPILOT/Tender/SplashBidNoticeAbstractUI.aspx?menuIndex=3&amp;refID=7073700&amp;Result=3","7073700")</f>
        <v>0</v>
      </c>
      <c r="B2784" t="s">
        <v>1160</v>
      </c>
      <c r="C2784" t="s">
        <v>6043</v>
      </c>
      <c r="D2784" t="s">
        <v>16667</v>
      </c>
      <c r="E2784" t="s">
        <v>19260</v>
      </c>
      <c r="F2784" t="s">
        <v>28669</v>
      </c>
      <c r="G2784" t="s">
        <v>28676</v>
      </c>
      <c r="H2784" t="s">
        <v>9998</v>
      </c>
      <c r="I2784" t="s">
        <v>6606</v>
      </c>
      <c r="J2784" t="s">
        <v>30700</v>
      </c>
      <c r="K2784" t="s">
        <v>37204</v>
      </c>
      <c r="M2784" t="s">
        <v>38697</v>
      </c>
      <c r="N2784" t="s">
        <v>41249</v>
      </c>
      <c r="O2784" t="s">
        <v>41250</v>
      </c>
      <c r="P2784">
        <v>0</v>
      </c>
      <c r="Q2784">
        <v>0</v>
      </c>
      <c r="R2784" t="s">
        <v>41252</v>
      </c>
      <c r="S2784" t="s">
        <v>41383</v>
      </c>
      <c r="T2784" t="s">
        <v>42736</v>
      </c>
      <c r="U2784" t="s">
        <v>45580</v>
      </c>
      <c r="W2784" t="s">
        <v>38697</v>
      </c>
      <c r="X2784" t="s">
        <v>41254</v>
      </c>
    </row>
    <row r="2785" spans="1:24">
      <c r="A2785">
        <f>HYPERLINK("https://www.philgeps.gov.ph/GEPSNONPILOT/Tender/SplashBidNoticeAbstractUI.aspx?menuIndex=3&amp;refID=7073696&amp;Result=3","7073696")</f>
        <v>0</v>
      </c>
      <c r="B2785" t="s">
        <v>1161</v>
      </c>
      <c r="C2785" t="s">
        <v>6044</v>
      </c>
      <c r="D2785" t="s">
        <v>16643</v>
      </c>
      <c r="E2785" t="s">
        <v>17140</v>
      </c>
      <c r="F2785" t="s">
        <v>28669</v>
      </c>
      <c r="G2785" t="s">
        <v>28675</v>
      </c>
      <c r="H2785" t="s">
        <v>9998</v>
      </c>
      <c r="I2785" t="s">
        <v>7352</v>
      </c>
      <c r="J2785" t="s">
        <v>30701</v>
      </c>
      <c r="K2785" t="s">
        <v>37204</v>
      </c>
      <c r="M2785" t="s">
        <v>38698</v>
      </c>
      <c r="N2785" t="s">
        <v>41249</v>
      </c>
      <c r="O2785" t="s">
        <v>41250</v>
      </c>
      <c r="P2785">
        <v>0</v>
      </c>
      <c r="Q2785">
        <v>0</v>
      </c>
      <c r="R2785" t="s">
        <v>41252</v>
      </c>
      <c r="S2785" t="s">
        <v>41383</v>
      </c>
      <c r="T2785" t="s">
        <v>42692</v>
      </c>
      <c r="U2785" t="s">
        <v>45581</v>
      </c>
      <c r="V2785" t="s">
        <v>54586</v>
      </c>
      <c r="W2785" t="s">
        <v>38698</v>
      </c>
      <c r="X2785" t="s">
        <v>41254</v>
      </c>
    </row>
    <row r="2786" spans="1:24">
      <c r="A2786">
        <f>HYPERLINK("https://www.philgeps.gov.ph/GEPSNONPILOT/Tender/SplashBidNoticeAbstractUI.aspx?menuIndex=3&amp;refID=7073683&amp;Result=3","7073683")</f>
        <v>0</v>
      </c>
      <c r="B2786" t="s">
        <v>136</v>
      </c>
      <c r="C2786" t="s">
        <v>6045</v>
      </c>
      <c r="D2786" t="s">
        <v>16642</v>
      </c>
      <c r="E2786" t="s">
        <v>19261</v>
      </c>
      <c r="F2786" t="s">
        <v>28669</v>
      </c>
      <c r="G2786" t="s">
        <v>28676</v>
      </c>
      <c r="H2786" t="s">
        <v>9998</v>
      </c>
      <c r="I2786" t="s">
        <v>28708</v>
      </c>
      <c r="J2786" t="s">
        <v>29104</v>
      </c>
      <c r="K2786" t="s">
        <v>37206</v>
      </c>
      <c r="M2786" t="s">
        <v>37613</v>
      </c>
      <c r="N2786" t="s">
        <v>41249</v>
      </c>
      <c r="O2786" t="s">
        <v>41250</v>
      </c>
      <c r="P2786">
        <v>0</v>
      </c>
      <c r="Q2786">
        <v>1</v>
      </c>
      <c r="R2786" t="s">
        <v>41252</v>
      </c>
      <c r="S2786" t="s">
        <v>41383</v>
      </c>
      <c r="T2786" t="s">
        <v>42766</v>
      </c>
      <c r="U2786" t="s">
        <v>45582</v>
      </c>
      <c r="V2786" t="s">
        <v>54313</v>
      </c>
      <c r="W2786" t="s">
        <v>55905</v>
      </c>
      <c r="X2786" t="s">
        <v>41254</v>
      </c>
    </row>
    <row r="2787" spans="1:24">
      <c r="A2787">
        <f>HYPERLINK("https://www.philgeps.gov.ph/GEPSNONPILOT/Tender/SplashBidNoticeAbstractUI.aspx?menuIndex=3&amp;refID=7073689&amp;Result=3","7073689")</f>
        <v>0</v>
      </c>
      <c r="B2787" t="s">
        <v>489</v>
      </c>
      <c r="C2787" t="s">
        <v>6046</v>
      </c>
      <c r="D2787" t="s">
        <v>16608</v>
      </c>
      <c r="E2787" t="s">
        <v>19262</v>
      </c>
      <c r="F2787" t="s">
        <v>28669</v>
      </c>
      <c r="G2787" t="s">
        <v>28675</v>
      </c>
      <c r="H2787" t="s">
        <v>9998</v>
      </c>
      <c r="I2787" t="s">
        <v>11142</v>
      </c>
      <c r="J2787" t="s">
        <v>30702</v>
      </c>
      <c r="K2787" t="s">
        <v>37206</v>
      </c>
      <c r="M2787" t="s">
        <v>37977</v>
      </c>
      <c r="N2787" t="s">
        <v>41249</v>
      </c>
      <c r="O2787" t="s">
        <v>41250</v>
      </c>
      <c r="P2787">
        <v>0</v>
      </c>
      <c r="Q2787">
        <v>8</v>
      </c>
      <c r="R2787" t="s">
        <v>41252</v>
      </c>
      <c r="S2787" t="s">
        <v>41383</v>
      </c>
      <c r="T2787" t="s">
        <v>42692</v>
      </c>
      <c r="U2787" t="s">
        <v>45583</v>
      </c>
      <c r="V2787" t="s">
        <v>54587</v>
      </c>
      <c r="W2787" t="s">
        <v>37977</v>
      </c>
      <c r="X2787" t="s">
        <v>41254</v>
      </c>
    </row>
    <row r="2788" spans="1:24">
      <c r="A2788">
        <f>HYPERLINK("https://www.philgeps.gov.ph/GEPSNONPILOT/Tender/SplashBidNoticeAbstractUI.aspx?menuIndex=3&amp;refID=7073701&amp;Result=3","7073701")</f>
        <v>0</v>
      </c>
      <c r="B2788" t="s">
        <v>1115</v>
      </c>
      <c r="C2788" t="s">
        <v>6047</v>
      </c>
      <c r="D2788" t="s">
        <v>16608</v>
      </c>
      <c r="E2788" t="s">
        <v>19263</v>
      </c>
      <c r="F2788" t="s">
        <v>28669</v>
      </c>
      <c r="G2788" t="s">
        <v>28675</v>
      </c>
      <c r="H2788" t="s">
        <v>9998</v>
      </c>
      <c r="I2788" t="s">
        <v>7352</v>
      </c>
      <c r="J2788" t="s">
        <v>29040</v>
      </c>
      <c r="K2788" t="s">
        <v>37243</v>
      </c>
      <c r="M2788" t="s">
        <v>38648</v>
      </c>
      <c r="N2788" t="s">
        <v>41249</v>
      </c>
      <c r="O2788" t="s">
        <v>41250</v>
      </c>
      <c r="P2788">
        <v>0</v>
      </c>
      <c r="Q2788">
        <v>0</v>
      </c>
      <c r="R2788" t="s">
        <v>41252</v>
      </c>
      <c r="S2788" t="s">
        <v>41383</v>
      </c>
      <c r="T2788" t="s">
        <v>42679</v>
      </c>
      <c r="U2788" t="s">
        <v>45584</v>
      </c>
      <c r="W2788" t="s">
        <v>38648</v>
      </c>
      <c r="X2788" t="s">
        <v>41254</v>
      </c>
    </row>
    <row r="2789" spans="1:24">
      <c r="A2789">
        <f>HYPERLINK("https://www.philgeps.gov.ph/GEPSNONPILOT/Tender/SplashBidNoticeAbstractUI.aspx?menuIndex=3&amp;refID=7073698&amp;Result=3","7073698")</f>
        <v>0</v>
      </c>
      <c r="B2789" t="s">
        <v>1056</v>
      </c>
      <c r="C2789" t="s">
        <v>6048</v>
      </c>
      <c r="D2789" t="s">
        <v>16683</v>
      </c>
      <c r="E2789" t="s">
        <v>19264</v>
      </c>
      <c r="F2789" t="s">
        <v>28669</v>
      </c>
      <c r="G2789" t="s">
        <v>28675</v>
      </c>
      <c r="H2789" t="s">
        <v>28686</v>
      </c>
      <c r="I2789" t="s">
        <v>28689</v>
      </c>
      <c r="J2789" t="s">
        <v>30703</v>
      </c>
      <c r="K2789" t="s">
        <v>37205</v>
      </c>
      <c r="M2789" t="s">
        <v>38587</v>
      </c>
      <c r="N2789" t="s">
        <v>41249</v>
      </c>
      <c r="O2789" t="s">
        <v>41250</v>
      </c>
      <c r="P2789">
        <v>0</v>
      </c>
      <c r="Q2789">
        <v>0</v>
      </c>
      <c r="R2789" t="s">
        <v>41252</v>
      </c>
      <c r="S2789" t="s">
        <v>41383</v>
      </c>
      <c r="T2789" t="s">
        <v>42870</v>
      </c>
      <c r="U2789" t="s">
        <v>45585</v>
      </c>
      <c r="W2789" t="s">
        <v>38587</v>
      </c>
      <c r="X2789" t="s">
        <v>41254</v>
      </c>
    </row>
    <row r="2790" spans="1:24">
      <c r="A2790">
        <f>HYPERLINK("https://www.philgeps.gov.ph/GEPSNONPILOT/Tender/SplashBidNoticeAbstractUI.aspx?menuIndex=3&amp;refID=7073705&amp;Result=3","7073705")</f>
        <v>0</v>
      </c>
      <c r="B2790" t="s">
        <v>51</v>
      </c>
      <c r="C2790" t="s">
        <v>6049</v>
      </c>
      <c r="D2790" t="s">
        <v>16631</v>
      </c>
      <c r="E2790" t="s">
        <v>19265</v>
      </c>
      <c r="F2790" t="s">
        <v>28669</v>
      </c>
      <c r="G2790" t="s">
        <v>28676</v>
      </c>
      <c r="H2790" t="s">
        <v>9998</v>
      </c>
      <c r="I2790" t="s">
        <v>6458</v>
      </c>
      <c r="J2790" t="s">
        <v>30704</v>
      </c>
      <c r="K2790" t="s">
        <v>37204</v>
      </c>
      <c r="M2790" t="s">
        <v>38699</v>
      </c>
      <c r="N2790" t="s">
        <v>41249</v>
      </c>
      <c r="O2790" t="s">
        <v>41250</v>
      </c>
      <c r="P2790">
        <v>0</v>
      </c>
      <c r="Q2790">
        <v>0</v>
      </c>
      <c r="R2790" t="s">
        <v>41252</v>
      </c>
      <c r="S2790" t="s">
        <v>41383</v>
      </c>
      <c r="T2790" t="s">
        <v>42670</v>
      </c>
      <c r="U2790" t="s">
        <v>45586</v>
      </c>
      <c r="W2790" t="s">
        <v>38699</v>
      </c>
      <c r="X2790" t="s">
        <v>41254</v>
      </c>
    </row>
    <row r="2791" spans="1:24">
      <c r="A2791">
        <f>HYPERLINK("https://www.philgeps.gov.ph/GEPSNONPILOT/Tender/SplashBidNoticeAbstractUI.aspx?menuIndex=3&amp;refID=7073711&amp;Result=3","7073711")</f>
        <v>0</v>
      </c>
      <c r="B2791" t="s">
        <v>1162</v>
      </c>
      <c r="C2791" t="s">
        <v>6050</v>
      </c>
      <c r="D2791" t="s">
        <v>16652</v>
      </c>
      <c r="E2791" t="s">
        <v>18338</v>
      </c>
      <c r="F2791" t="s">
        <v>28669</v>
      </c>
      <c r="G2791" t="s">
        <v>28675</v>
      </c>
      <c r="H2791" t="s">
        <v>28686</v>
      </c>
      <c r="I2791" t="s">
        <v>28689</v>
      </c>
      <c r="J2791" t="s">
        <v>28924</v>
      </c>
      <c r="K2791" t="s">
        <v>37215</v>
      </c>
      <c r="M2791" t="s">
        <v>38700</v>
      </c>
      <c r="N2791" t="s">
        <v>41249</v>
      </c>
      <c r="O2791" t="s">
        <v>41250</v>
      </c>
      <c r="P2791">
        <v>0</v>
      </c>
      <c r="Q2791">
        <v>1</v>
      </c>
      <c r="R2791" t="s">
        <v>41252</v>
      </c>
      <c r="S2791" t="s">
        <v>41383</v>
      </c>
      <c r="T2791" t="s">
        <v>42722</v>
      </c>
      <c r="U2791" t="s">
        <v>45587</v>
      </c>
      <c r="V2791" t="s">
        <v>54588</v>
      </c>
      <c r="W2791" t="s">
        <v>38700</v>
      </c>
      <c r="X2791" t="s">
        <v>41254</v>
      </c>
    </row>
    <row r="2792" spans="1:24">
      <c r="A2792">
        <f>HYPERLINK("https://www.philgeps.gov.ph/GEPSNONPILOT/Tender/SplashBidNoticeAbstractUI.aspx?menuIndex=3&amp;refID=7073719&amp;Result=3","7073719")</f>
        <v>0</v>
      </c>
      <c r="B2792" t="s">
        <v>1163</v>
      </c>
      <c r="C2792" t="s">
        <v>6051</v>
      </c>
      <c r="D2792" t="s">
        <v>16607</v>
      </c>
      <c r="E2792" t="s">
        <v>19266</v>
      </c>
      <c r="F2792" t="s">
        <v>28669</v>
      </c>
      <c r="G2792" t="s">
        <v>28675</v>
      </c>
      <c r="H2792" t="s">
        <v>9998</v>
      </c>
      <c r="I2792" t="s">
        <v>5286</v>
      </c>
      <c r="J2792" t="s">
        <v>30705</v>
      </c>
      <c r="K2792" t="s">
        <v>37206</v>
      </c>
      <c r="M2792" t="s">
        <v>38701</v>
      </c>
      <c r="N2792" t="s">
        <v>41249</v>
      </c>
      <c r="O2792" t="s">
        <v>41250</v>
      </c>
      <c r="P2792">
        <v>0</v>
      </c>
      <c r="Q2792">
        <v>0</v>
      </c>
      <c r="R2792" t="s">
        <v>41252</v>
      </c>
      <c r="S2792" t="s">
        <v>41383</v>
      </c>
      <c r="T2792" t="s">
        <v>42686</v>
      </c>
      <c r="U2792" t="s">
        <v>45588</v>
      </c>
      <c r="W2792" t="s">
        <v>38701</v>
      </c>
      <c r="X2792" t="s">
        <v>41254</v>
      </c>
    </row>
    <row r="2793" spans="1:24">
      <c r="A2793">
        <f>HYPERLINK("https://www.philgeps.gov.ph/GEPSNONPILOT/Tender/SplashBidNoticeAbstractUI.aspx?menuIndex=3&amp;refID=7073710&amp;Result=3","7073710")</f>
        <v>0</v>
      </c>
      <c r="B2793" t="s">
        <v>743</v>
      </c>
      <c r="C2793" t="s">
        <v>6052</v>
      </c>
      <c r="D2793" t="s">
        <v>16629</v>
      </c>
      <c r="E2793" t="s">
        <v>19267</v>
      </c>
      <c r="F2793" t="s">
        <v>28669</v>
      </c>
      <c r="G2793" t="s">
        <v>28675</v>
      </c>
      <c r="H2793" t="s">
        <v>9998</v>
      </c>
      <c r="I2793" t="s">
        <v>7352</v>
      </c>
      <c r="J2793" t="s">
        <v>30706</v>
      </c>
      <c r="K2793" t="s">
        <v>37205</v>
      </c>
      <c r="M2793" t="s">
        <v>38702</v>
      </c>
      <c r="N2793" t="s">
        <v>41249</v>
      </c>
      <c r="O2793" t="s">
        <v>41250</v>
      </c>
      <c r="P2793">
        <v>0</v>
      </c>
      <c r="Q2793">
        <v>0</v>
      </c>
      <c r="R2793" t="s">
        <v>41252</v>
      </c>
      <c r="S2793" t="s">
        <v>41383</v>
      </c>
      <c r="T2793" t="s">
        <v>42835</v>
      </c>
      <c r="U2793" t="s">
        <v>45589</v>
      </c>
      <c r="W2793" t="s">
        <v>38702</v>
      </c>
      <c r="X2793" t="s">
        <v>41254</v>
      </c>
    </row>
    <row r="2794" spans="1:24">
      <c r="A2794">
        <f>HYPERLINK("https://www.philgeps.gov.ph/GEPSNONPILOT/Tender/SplashBidNoticeAbstractUI.aspx?menuIndex=3&amp;refID=7073708&amp;Result=3","7073708")</f>
        <v>0</v>
      </c>
      <c r="B2794" t="s">
        <v>1164</v>
      </c>
      <c r="C2794" t="s">
        <v>6053</v>
      </c>
      <c r="D2794" t="s">
        <v>16611</v>
      </c>
      <c r="E2794" t="s">
        <v>19268</v>
      </c>
      <c r="F2794" t="s">
        <v>28669</v>
      </c>
      <c r="G2794" t="s">
        <v>28675</v>
      </c>
      <c r="H2794" t="s">
        <v>9998</v>
      </c>
      <c r="I2794" t="s">
        <v>28704</v>
      </c>
      <c r="J2794" t="s">
        <v>28914</v>
      </c>
      <c r="K2794" t="s">
        <v>37206</v>
      </c>
      <c r="M2794" t="s">
        <v>38703</v>
      </c>
      <c r="N2794" t="s">
        <v>41249</v>
      </c>
      <c r="O2794" t="s">
        <v>41250</v>
      </c>
      <c r="P2794">
        <v>0</v>
      </c>
      <c r="Q2794">
        <v>0</v>
      </c>
      <c r="R2794" t="s">
        <v>41252</v>
      </c>
      <c r="S2794" t="s">
        <v>41383</v>
      </c>
      <c r="T2794" t="s">
        <v>42770</v>
      </c>
      <c r="U2794" t="s">
        <v>45590</v>
      </c>
      <c r="V2794" t="s">
        <v>54589</v>
      </c>
      <c r="W2794" t="s">
        <v>38703</v>
      </c>
      <c r="X2794" t="s">
        <v>41254</v>
      </c>
    </row>
    <row r="2795" spans="1:24">
      <c r="A2795">
        <f>HYPERLINK("https://www.philgeps.gov.ph/GEPSNONPILOT/Tender/SplashBidNoticeAbstractUI.aspx?menuIndex=3&amp;refID=7073706&amp;Result=3","7073706")</f>
        <v>0</v>
      </c>
      <c r="B2795" t="s">
        <v>140</v>
      </c>
      <c r="C2795" t="s">
        <v>6054</v>
      </c>
      <c r="D2795" t="s">
        <v>16652</v>
      </c>
      <c r="E2795" t="s">
        <v>19269</v>
      </c>
      <c r="F2795" t="s">
        <v>28669</v>
      </c>
      <c r="G2795" t="s">
        <v>28676</v>
      </c>
      <c r="H2795" t="s">
        <v>9998</v>
      </c>
      <c r="I2795" t="s">
        <v>28777</v>
      </c>
      <c r="J2795" t="s">
        <v>29779</v>
      </c>
      <c r="K2795" t="s">
        <v>37234</v>
      </c>
      <c r="M2795" t="s">
        <v>37617</v>
      </c>
      <c r="N2795" t="s">
        <v>41249</v>
      </c>
      <c r="O2795" t="s">
        <v>41250</v>
      </c>
      <c r="P2795">
        <v>0</v>
      </c>
      <c r="Q2795">
        <v>0</v>
      </c>
      <c r="R2795" t="s">
        <v>41252</v>
      </c>
      <c r="S2795" t="s">
        <v>41383</v>
      </c>
      <c r="T2795" t="s">
        <v>42802</v>
      </c>
      <c r="U2795" t="s">
        <v>45591</v>
      </c>
      <c r="W2795" t="s">
        <v>37617</v>
      </c>
      <c r="X2795" t="s">
        <v>41254</v>
      </c>
    </row>
    <row r="2796" spans="1:24">
      <c r="A2796">
        <f>HYPERLINK("https://www.philgeps.gov.ph/GEPSNONPILOT/Tender/SplashBidNoticeAbstractUI.aspx?menuIndex=3&amp;refID=7073731&amp;Result=3","7073731")</f>
        <v>0</v>
      </c>
      <c r="B2796" t="s">
        <v>1135</v>
      </c>
      <c r="C2796" t="s">
        <v>6055</v>
      </c>
      <c r="E2796" t="s">
        <v>19270</v>
      </c>
      <c r="F2796" t="s">
        <v>28669</v>
      </c>
      <c r="G2796" t="s">
        <v>28677</v>
      </c>
      <c r="H2796" t="s">
        <v>9998</v>
      </c>
      <c r="I2796" t="s">
        <v>28712</v>
      </c>
      <c r="J2796" t="s">
        <v>29040</v>
      </c>
      <c r="K2796" t="s">
        <v>37209</v>
      </c>
      <c r="M2796" t="s">
        <v>38669</v>
      </c>
      <c r="N2796" t="s">
        <v>41249</v>
      </c>
      <c r="O2796" t="s">
        <v>41250</v>
      </c>
      <c r="P2796">
        <v>0</v>
      </c>
      <c r="Q2796">
        <v>1</v>
      </c>
      <c r="R2796" t="s">
        <v>41252</v>
      </c>
      <c r="S2796" t="s">
        <v>41383</v>
      </c>
      <c r="T2796" t="s">
        <v>42887</v>
      </c>
      <c r="U2796" t="s">
        <v>45592</v>
      </c>
      <c r="W2796" t="s">
        <v>38669</v>
      </c>
      <c r="X2796" t="s">
        <v>41254</v>
      </c>
    </row>
    <row r="2797" spans="1:24">
      <c r="A2797">
        <f>HYPERLINK("https://www.philgeps.gov.ph/GEPSNONPILOT/Tender/SplashBidNoticeAbstractUI.aspx?menuIndex=3&amp;refID=7073729&amp;Result=3","7073729")</f>
        <v>0</v>
      </c>
      <c r="B2797" t="s">
        <v>51</v>
      </c>
      <c r="C2797" t="s">
        <v>6049</v>
      </c>
      <c r="D2797" t="s">
        <v>16631</v>
      </c>
      <c r="E2797" t="s">
        <v>19271</v>
      </c>
      <c r="F2797" t="s">
        <v>28669</v>
      </c>
      <c r="G2797" t="s">
        <v>28676</v>
      </c>
      <c r="H2797" t="s">
        <v>9998</v>
      </c>
      <c r="I2797" t="s">
        <v>5213</v>
      </c>
      <c r="J2797" t="s">
        <v>30707</v>
      </c>
      <c r="K2797" t="s">
        <v>37204</v>
      </c>
      <c r="M2797" t="s">
        <v>38699</v>
      </c>
      <c r="N2797" t="s">
        <v>41249</v>
      </c>
      <c r="O2797" t="s">
        <v>41250</v>
      </c>
      <c r="P2797">
        <v>0</v>
      </c>
      <c r="Q2797">
        <v>0</v>
      </c>
      <c r="R2797" t="s">
        <v>41252</v>
      </c>
      <c r="S2797" t="s">
        <v>41383</v>
      </c>
      <c r="T2797" t="s">
        <v>42670</v>
      </c>
      <c r="U2797" t="s">
        <v>45593</v>
      </c>
      <c r="W2797" t="s">
        <v>38699</v>
      </c>
      <c r="X2797" t="s">
        <v>41254</v>
      </c>
    </row>
    <row r="2798" spans="1:24">
      <c r="A2798">
        <f>HYPERLINK("https://www.philgeps.gov.ph/GEPSNONPILOT/Tender/SplashBidNoticeAbstractUI.aspx?menuIndex=3&amp;refID=7073727&amp;Result=3","7073727")</f>
        <v>0</v>
      </c>
      <c r="B2798" t="s">
        <v>1165</v>
      </c>
      <c r="C2798" t="s">
        <v>6056</v>
      </c>
      <c r="D2798" t="s">
        <v>16637</v>
      </c>
      <c r="E2798" t="s">
        <v>16729</v>
      </c>
      <c r="F2798" t="s">
        <v>28669</v>
      </c>
      <c r="G2798" t="s">
        <v>28675</v>
      </c>
      <c r="H2798" t="s">
        <v>9998</v>
      </c>
      <c r="I2798" t="s">
        <v>7352</v>
      </c>
      <c r="J2798" t="s">
        <v>30708</v>
      </c>
      <c r="K2798" t="s">
        <v>37206</v>
      </c>
      <c r="M2798" t="s">
        <v>38704</v>
      </c>
      <c r="N2798" t="s">
        <v>41249</v>
      </c>
      <c r="O2798" t="s">
        <v>41250</v>
      </c>
      <c r="P2798">
        <v>0</v>
      </c>
      <c r="Q2798">
        <v>2</v>
      </c>
      <c r="R2798" t="s">
        <v>41252</v>
      </c>
      <c r="S2798" t="s">
        <v>41383</v>
      </c>
      <c r="T2798" t="s">
        <v>42679</v>
      </c>
      <c r="U2798" t="s">
        <v>45594</v>
      </c>
      <c r="W2798" t="s">
        <v>38704</v>
      </c>
      <c r="X2798" t="s">
        <v>41254</v>
      </c>
    </row>
    <row r="2799" spans="1:24">
      <c r="A2799">
        <f>HYPERLINK("https://www.philgeps.gov.ph/GEPSNONPILOT/Tender/SplashBidNoticeAbstractUI.aspx?menuIndex=3&amp;refID=7073725&amp;Result=3","7073725")</f>
        <v>0</v>
      </c>
      <c r="B2799" t="s">
        <v>472</v>
      </c>
      <c r="C2799" t="s">
        <v>6057</v>
      </c>
      <c r="D2799" t="s">
        <v>16639</v>
      </c>
      <c r="E2799" t="s">
        <v>19272</v>
      </c>
      <c r="F2799" t="s">
        <v>28669</v>
      </c>
      <c r="G2799" t="s">
        <v>28676</v>
      </c>
      <c r="H2799" t="s">
        <v>9998</v>
      </c>
      <c r="I2799" t="s">
        <v>3718</v>
      </c>
      <c r="J2799" t="s">
        <v>29364</v>
      </c>
      <c r="K2799" t="s">
        <v>37209</v>
      </c>
      <c r="M2799" t="s">
        <v>37960</v>
      </c>
      <c r="N2799" t="s">
        <v>41249</v>
      </c>
      <c r="O2799" t="s">
        <v>41250</v>
      </c>
      <c r="P2799">
        <v>0</v>
      </c>
      <c r="Q2799">
        <v>4</v>
      </c>
      <c r="R2799" t="s">
        <v>41252</v>
      </c>
      <c r="S2799" t="s">
        <v>41383</v>
      </c>
      <c r="T2799" t="s">
        <v>42736</v>
      </c>
      <c r="U2799" t="s">
        <v>45595</v>
      </c>
      <c r="W2799" t="s">
        <v>37960</v>
      </c>
      <c r="X2799" t="s">
        <v>41254</v>
      </c>
    </row>
    <row r="2800" spans="1:24">
      <c r="A2800">
        <f>HYPERLINK("https://www.philgeps.gov.ph/GEPSNONPILOT/Tender/SplashBidNoticeAbstractUI.aspx?menuIndex=3&amp;refID=7073724&amp;Result=3","7073724")</f>
        <v>0</v>
      </c>
      <c r="B2800" t="s">
        <v>1124</v>
      </c>
      <c r="C2800" t="s">
        <v>6058</v>
      </c>
      <c r="E2800" t="s">
        <v>19273</v>
      </c>
      <c r="F2800" t="s">
        <v>28669</v>
      </c>
      <c r="G2800" t="s">
        <v>28676</v>
      </c>
      <c r="H2800" t="s">
        <v>9998</v>
      </c>
      <c r="I2800" t="s">
        <v>28708</v>
      </c>
      <c r="J2800" t="s">
        <v>30709</v>
      </c>
      <c r="K2800" t="s">
        <v>37209</v>
      </c>
      <c r="M2800" t="s">
        <v>38658</v>
      </c>
      <c r="N2800" t="s">
        <v>41249</v>
      </c>
      <c r="O2800" t="s">
        <v>41250</v>
      </c>
      <c r="P2800">
        <v>0</v>
      </c>
      <c r="Q2800">
        <v>0</v>
      </c>
      <c r="R2800" t="s">
        <v>41252</v>
      </c>
      <c r="S2800" t="s">
        <v>41383</v>
      </c>
      <c r="T2800" t="s">
        <v>42681</v>
      </c>
      <c r="U2800" t="s">
        <v>45501</v>
      </c>
      <c r="W2800" t="s">
        <v>38658</v>
      </c>
      <c r="X2800" t="s">
        <v>41254</v>
      </c>
    </row>
    <row r="2801" spans="1:24">
      <c r="A2801">
        <f>HYPERLINK("https://www.philgeps.gov.ph/GEPSNONPILOT/Tender/SplashBidNoticeAbstractUI.aspx?menuIndex=3&amp;refID=7073718&amp;Result=3","7073718")</f>
        <v>0</v>
      </c>
      <c r="B2801" t="s">
        <v>649</v>
      </c>
      <c r="C2801" t="s">
        <v>6059</v>
      </c>
      <c r="D2801" t="s">
        <v>16675</v>
      </c>
      <c r="E2801" t="s">
        <v>19274</v>
      </c>
      <c r="F2801" t="s">
        <v>28669</v>
      </c>
      <c r="G2801" t="s">
        <v>28676</v>
      </c>
      <c r="H2801" t="s">
        <v>9998</v>
      </c>
      <c r="I2801" t="s">
        <v>11593</v>
      </c>
      <c r="J2801" t="s">
        <v>30710</v>
      </c>
      <c r="K2801" t="s">
        <v>37209</v>
      </c>
      <c r="M2801" t="s">
        <v>38150</v>
      </c>
      <c r="N2801" t="s">
        <v>41249</v>
      </c>
      <c r="O2801" t="s">
        <v>41250</v>
      </c>
      <c r="P2801">
        <v>0</v>
      </c>
      <c r="Q2801">
        <v>5</v>
      </c>
      <c r="R2801" t="s">
        <v>41252</v>
      </c>
      <c r="S2801" t="s">
        <v>41383</v>
      </c>
      <c r="T2801" t="s">
        <v>42706</v>
      </c>
      <c r="U2801" t="s">
        <v>45596</v>
      </c>
      <c r="W2801" t="s">
        <v>38150</v>
      </c>
      <c r="X2801" t="s">
        <v>41254</v>
      </c>
    </row>
    <row r="2802" spans="1:24">
      <c r="A2802">
        <f>HYPERLINK("https://www.philgeps.gov.ph/GEPSNONPILOT/Tender/SplashBidNoticeAbstractUI.aspx?menuIndex=3&amp;refID=7073722&amp;Result=3","7073722")</f>
        <v>0</v>
      </c>
      <c r="B2802" t="s">
        <v>1166</v>
      </c>
      <c r="C2802" t="s">
        <v>6060</v>
      </c>
      <c r="D2802" t="s">
        <v>16631</v>
      </c>
      <c r="E2802" t="s">
        <v>19275</v>
      </c>
      <c r="F2802" t="s">
        <v>28669</v>
      </c>
      <c r="G2802" t="s">
        <v>28675</v>
      </c>
      <c r="H2802" t="s">
        <v>9998</v>
      </c>
      <c r="I2802" t="s">
        <v>28722</v>
      </c>
      <c r="J2802" t="s">
        <v>30711</v>
      </c>
      <c r="K2802" t="s">
        <v>37216</v>
      </c>
      <c r="M2802" t="s">
        <v>38705</v>
      </c>
      <c r="N2802" t="s">
        <v>41249</v>
      </c>
      <c r="O2802" t="s">
        <v>41250</v>
      </c>
      <c r="P2802">
        <v>0</v>
      </c>
      <c r="Q2802">
        <v>2</v>
      </c>
      <c r="R2802" t="s">
        <v>41252</v>
      </c>
      <c r="S2802" t="s">
        <v>41383</v>
      </c>
      <c r="T2802" t="s">
        <v>42904</v>
      </c>
      <c r="U2802" t="s">
        <v>45597</v>
      </c>
      <c r="V2802" t="s">
        <v>54590</v>
      </c>
      <c r="W2802" t="s">
        <v>38705</v>
      </c>
      <c r="X2802" t="s">
        <v>41254</v>
      </c>
    </row>
    <row r="2803" spans="1:24">
      <c r="A2803">
        <f>HYPERLINK("https://www.philgeps.gov.ph/GEPSNONPILOT/Tender/SplashBidNoticeAbstractUI.aspx?menuIndex=3&amp;refID=7073721&amp;Result=3","7073721")</f>
        <v>0</v>
      </c>
      <c r="B2803" t="s">
        <v>1167</v>
      </c>
      <c r="C2803" t="s">
        <v>6061</v>
      </c>
      <c r="D2803" t="s">
        <v>16639</v>
      </c>
      <c r="E2803" t="s">
        <v>16877</v>
      </c>
      <c r="F2803" t="s">
        <v>28669</v>
      </c>
      <c r="G2803" t="s">
        <v>28676</v>
      </c>
      <c r="H2803" t="s">
        <v>9998</v>
      </c>
      <c r="I2803" t="s">
        <v>11593</v>
      </c>
      <c r="J2803" t="s">
        <v>28826</v>
      </c>
      <c r="K2803" t="s">
        <v>37204</v>
      </c>
      <c r="L2803" t="s">
        <v>1167</v>
      </c>
      <c r="M2803" t="s">
        <v>38706</v>
      </c>
      <c r="N2803" t="s">
        <v>41249</v>
      </c>
      <c r="O2803" t="s">
        <v>41250</v>
      </c>
      <c r="P2803">
        <v>0</v>
      </c>
      <c r="Q2803">
        <v>7</v>
      </c>
      <c r="R2803" t="s">
        <v>41252</v>
      </c>
      <c r="S2803" t="s">
        <v>41383</v>
      </c>
      <c r="T2803" t="s">
        <v>42905</v>
      </c>
      <c r="U2803" t="s">
        <v>45598</v>
      </c>
      <c r="W2803" t="s">
        <v>38706</v>
      </c>
      <c r="X2803" t="s">
        <v>41254</v>
      </c>
    </row>
    <row r="2804" spans="1:24">
      <c r="A2804">
        <f>HYPERLINK("https://www.philgeps.gov.ph/GEPSNONPILOT/Tender/SplashBidNoticeAbstractUI.aspx?menuIndex=3&amp;refID=7073756&amp;Result=3","7073756")</f>
        <v>0</v>
      </c>
      <c r="B2804" t="s">
        <v>280</v>
      </c>
      <c r="C2804" t="s">
        <v>6039</v>
      </c>
      <c r="D2804" t="s">
        <v>16611</v>
      </c>
      <c r="E2804" t="s">
        <v>19276</v>
      </c>
      <c r="F2804" t="s">
        <v>28669</v>
      </c>
      <c r="G2804" t="s">
        <v>28676</v>
      </c>
      <c r="H2804" t="s">
        <v>9998</v>
      </c>
      <c r="I2804" t="s">
        <v>6128</v>
      </c>
      <c r="J2804" t="s">
        <v>29191</v>
      </c>
      <c r="K2804" t="s">
        <v>37283</v>
      </c>
      <c r="M2804" t="s">
        <v>37758</v>
      </c>
      <c r="N2804" t="s">
        <v>41249</v>
      </c>
      <c r="O2804" t="s">
        <v>41250</v>
      </c>
      <c r="P2804">
        <v>0</v>
      </c>
      <c r="Q2804">
        <v>0</v>
      </c>
      <c r="R2804" t="s">
        <v>41252</v>
      </c>
      <c r="S2804" t="s">
        <v>41383</v>
      </c>
      <c r="T2804" t="s">
        <v>42711</v>
      </c>
      <c r="U2804" t="s">
        <v>45599</v>
      </c>
      <c r="W2804" t="s">
        <v>37758</v>
      </c>
      <c r="X2804" t="s">
        <v>41254</v>
      </c>
    </row>
    <row r="2805" spans="1:24">
      <c r="A2805">
        <f>HYPERLINK("https://www.philgeps.gov.ph/GEPSNONPILOT/Tender/SplashBidNoticeAbstractUI.aspx?menuIndex=3&amp;refID=7073755&amp;Result=3","7073755")</f>
        <v>0</v>
      </c>
      <c r="B2805" t="s">
        <v>1168</v>
      </c>
      <c r="C2805" t="s">
        <v>6062</v>
      </c>
      <c r="D2805" t="s">
        <v>16678</v>
      </c>
      <c r="E2805" t="s">
        <v>19277</v>
      </c>
      <c r="F2805" t="s">
        <v>28669</v>
      </c>
      <c r="G2805" t="s">
        <v>28675</v>
      </c>
      <c r="H2805" t="s">
        <v>9998</v>
      </c>
      <c r="I2805" t="s">
        <v>28694</v>
      </c>
      <c r="J2805" t="s">
        <v>30712</v>
      </c>
      <c r="K2805" t="s">
        <v>37206</v>
      </c>
      <c r="M2805" t="s">
        <v>38707</v>
      </c>
      <c r="N2805" t="s">
        <v>41249</v>
      </c>
      <c r="O2805" t="s">
        <v>41250</v>
      </c>
      <c r="P2805">
        <v>0</v>
      </c>
      <c r="Q2805">
        <v>0</v>
      </c>
      <c r="R2805" t="s">
        <v>41252</v>
      </c>
      <c r="S2805" t="s">
        <v>41383</v>
      </c>
      <c r="T2805" t="s">
        <v>42703</v>
      </c>
      <c r="U2805" t="s">
        <v>45600</v>
      </c>
      <c r="W2805" t="s">
        <v>38707</v>
      </c>
      <c r="X2805" t="s">
        <v>41254</v>
      </c>
    </row>
    <row r="2806" spans="1:24">
      <c r="A2806">
        <f>HYPERLINK("https://www.philgeps.gov.ph/GEPSNONPILOT/Tender/SplashBidNoticeAbstractUI.aspx?menuIndex=3&amp;refID=7073715&amp;Result=3","7073715")</f>
        <v>0</v>
      </c>
      <c r="B2806" t="s">
        <v>1158</v>
      </c>
      <c r="C2806" t="s">
        <v>6063</v>
      </c>
      <c r="D2806" t="s">
        <v>16618</v>
      </c>
      <c r="E2806" t="s">
        <v>19278</v>
      </c>
      <c r="F2806" t="s">
        <v>28669</v>
      </c>
      <c r="G2806" t="s">
        <v>28677</v>
      </c>
      <c r="H2806" t="s">
        <v>9998</v>
      </c>
      <c r="I2806" t="s">
        <v>3718</v>
      </c>
      <c r="J2806" t="s">
        <v>30713</v>
      </c>
      <c r="K2806" t="s">
        <v>37234</v>
      </c>
      <c r="M2806" t="s">
        <v>38695</v>
      </c>
      <c r="N2806" t="s">
        <v>41249</v>
      </c>
      <c r="O2806" t="s">
        <v>41250</v>
      </c>
      <c r="P2806">
        <v>0</v>
      </c>
      <c r="Q2806">
        <v>1</v>
      </c>
      <c r="R2806" t="s">
        <v>41252</v>
      </c>
      <c r="S2806" t="s">
        <v>41383</v>
      </c>
      <c r="T2806" t="s">
        <v>42774</v>
      </c>
      <c r="U2806" t="s">
        <v>45601</v>
      </c>
      <c r="W2806" t="s">
        <v>38695</v>
      </c>
      <c r="X2806" t="s">
        <v>41254</v>
      </c>
    </row>
    <row r="2807" spans="1:24">
      <c r="A2807">
        <f>HYPERLINK("https://www.philgeps.gov.ph/GEPSNONPILOT/Tender/SplashBidNoticeAbstractUI.aspx?menuIndex=3&amp;refID=7073754&amp;Result=3","7073754")</f>
        <v>0</v>
      </c>
      <c r="B2807" t="s">
        <v>1169</v>
      </c>
      <c r="C2807" t="s">
        <v>6064</v>
      </c>
      <c r="D2807" t="s">
        <v>16691</v>
      </c>
      <c r="E2807" t="s">
        <v>19279</v>
      </c>
      <c r="F2807" t="s">
        <v>28669</v>
      </c>
      <c r="G2807" t="s">
        <v>28676</v>
      </c>
      <c r="H2807" t="s">
        <v>9998</v>
      </c>
      <c r="I2807" t="s">
        <v>28698</v>
      </c>
      <c r="J2807" t="s">
        <v>30714</v>
      </c>
      <c r="K2807" t="s">
        <v>37210</v>
      </c>
      <c r="M2807" t="s">
        <v>38708</v>
      </c>
      <c r="N2807" t="s">
        <v>41249</v>
      </c>
      <c r="O2807" t="s">
        <v>41250</v>
      </c>
      <c r="P2807">
        <v>0</v>
      </c>
      <c r="Q2807">
        <v>0</v>
      </c>
      <c r="R2807" t="s">
        <v>41252</v>
      </c>
      <c r="S2807" t="s">
        <v>41383</v>
      </c>
      <c r="T2807" t="s">
        <v>42729</v>
      </c>
      <c r="U2807" t="s">
        <v>45602</v>
      </c>
      <c r="V2807" t="s">
        <v>54591</v>
      </c>
      <c r="W2807" t="s">
        <v>38708</v>
      </c>
      <c r="X2807" t="s">
        <v>41254</v>
      </c>
    </row>
    <row r="2808" spans="1:24">
      <c r="A2808">
        <f>HYPERLINK("https://www.philgeps.gov.ph/GEPSNONPILOT/Tender/SplashBidNoticeAbstractUI.aspx?menuIndex=3&amp;refID=7073753&amp;Result=3","7073753")</f>
        <v>0</v>
      </c>
      <c r="B2808" t="s">
        <v>358</v>
      </c>
      <c r="C2808" t="s">
        <v>6065</v>
      </c>
      <c r="D2808" t="s">
        <v>16683</v>
      </c>
      <c r="E2808" t="s">
        <v>19280</v>
      </c>
      <c r="F2808" t="s">
        <v>28669</v>
      </c>
      <c r="G2808" t="s">
        <v>28677</v>
      </c>
      <c r="H2808" t="s">
        <v>9998</v>
      </c>
      <c r="I2808" t="s">
        <v>28717</v>
      </c>
      <c r="J2808" t="s">
        <v>30715</v>
      </c>
      <c r="K2808" t="s">
        <v>37209</v>
      </c>
      <c r="M2808" t="s">
        <v>37839</v>
      </c>
      <c r="N2808" t="s">
        <v>41249</v>
      </c>
      <c r="O2808" t="s">
        <v>41250</v>
      </c>
      <c r="P2808">
        <v>0</v>
      </c>
      <c r="Q2808">
        <v>1</v>
      </c>
      <c r="R2808" t="s">
        <v>41252</v>
      </c>
      <c r="S2808" t="s">
        <v>41383</v>
      </c>
      <c r="T2808" t="s">
        <v>42883</v>
      </c>
      <c r="U2808" t="s">
        <v>45603</v>
      </c>
      <c r="W2808" t="s">
        <v>37839</v>
      </c>
      <c r="X2808" t="s">
        <v>41254</v>
      </c>
    </row>
    <row r="2809" spans="1:24">
      <c r="A2809">
        <f>HYPERLINK("https://www.philgeps.gov.ph/GEPSNONPILOT/Tender/SplashBidNoticeAbstractUI.aspx?menuIndex=3&amp;refID=7073732&amp;Result=3","7073732")</f>
        <v>0</v>
      </c>
      <c r="B2809" t="s">
        <v>1164</v>
      </c>
      <c r="C2809" t="s">
        <v>6066</v>
      </c>
      <c r="D2809" t="s">
        <v>16611</v>
      </c>
      <c r="E2809" t="s">
        <v>19281</v>
      </c>
      <c r="F2809" t="s">
        <v>28669</v>
      </c>
      <c r="G2809" t="s">
        <v>28675</v>
      </c>
      <c r="H2809" t="s">
        <v>9998</v>
      </c>
      <c r="I2809" t="s">
        <v>28695</v>
      </c>
      <c r="J2809" t="s">
        <v>29281</v>
      </c>
      <c r="K2809" t="s">
        <v>37206</v>
      </c>
      <c r="M2809" t="s">
        <v>38703</v>
      </c>
      <c r="N2809" t="s">
        <v>41249</v>
      </c>
      <c r="O2809" t="s">
        <v>41250</v>
      </c>
      <c r="P2809">
        <v>0</v>
      </c>
      <c r="Q2809">
        <v>0</v>
      </c>
      <c r="R2809" t="s">
        <v>41252</v>
      </c>
      <c r="S2809" t="s">
        <v>41383</v>
      </c>
      <c r="T2809" t="s">
        <v>42770</v>
      </c>
      <c r="U2809" t="s">
        <v>45590</v>
      </c>
      <c r="V2809" t="s">
        <v>54589</v>
      </c>
      <c r="W2809" t="s">
        <v>38703</v>
      </c>
      <c r="X2809" t="s">
        <v>41254</v>
      </c>
    </row>
    <row r="2810" spans="1:24">
      <c r="A2810">
        <f>HYPERLINK("https://www.philgeps.gov.ph/GEPSNONPILOT/Tender/SplashBidNoticeAbstractUI.aspx?menuIndex=3&amp;refID=7073764&amp;Result=3","7073764")</f>
        <v>0</v>
      </c>
      <c r="B2810" t="s">
        <v>743</v>
      </c>
      <c r="C2810" t="s">
        <v>6067</v>
      </c>
      <c r="D2810" t="s">
        <v>16629</v>
      </c>
      <c r="E2810" t="s">
        <v>19282</v>
      </c>
      <c r="F2810" t="s">
        <v>28669</v>
      </c>
      <c r="G2810" t="s">
        <v>28675</v>
      </c>
      <c r="H2810" t="s">
        <v>9998</v>
      </c>
      <c r="I2810" t="s">
        <v>28706</v>
      </c>
      <c r="J2810" t="s">
        <v>30716</v>
      </c>
      <c r="K2810" t="s">
        <v>37205</v>
      </c>
      <c r="M2810" t="s">
        <v>38702</v>
      </c>
      <c r="N2810" t="s">
        <v>41249</v>
      </c>
      <c r="O2810" t="s">
        <v>41250</v>
      </c>
      <c r="P2810">
        <v>0</v>
      </c>
      <c r="Q2810">
        <v>1</v>
      </c>
      <c r="R2810" t="s">
        <v>41252</v>
      </c>
      <c r="S2810" t="s">
        <v>41383</v>
      </c>
      <c r="T2810" t="s">
        <v>42835</v>
      </c>
      <c r="U2810" t="s">
        <v>45604</v>
      </c>
      <c r="W2810" t="s">
        <v>38702</v>
      </c>
      <c r="X2810" t="s">
        <v>41254</v>
      </c>
    </row>
    <row r="2811" spans="1:24">
      <c r="A2811">
        <f>HYPERLINK("https://www.philgeps.gov.ph/GEPSNONPILOT/Tender/SplashBidNoticeAbstractUI.aspx?menuIndex=3&amp;refID=7073760&amp;Result=3","7073760")</f>
        <v>0</v>
      </c>
      <c r="B2811" t="s">
        <v>815</v>
      </c>
      <c r="C2811" t="s">
        <v>6068</v>
      </c>
      <c r="D2811" t="s">
        <v>16608</v>
      </c>
      <c r="E2811" t="s">
        <v>19283</v>
      </c>
      <c r="F2811" t="s">
        <v>28669</v>
      </c>
      <c r="G2811" t="s">
        <v>28676</v>
      </c>
      <c r="H2811" t="s">
        <v>9998</v>
      </c>
      <c r="I2811" t="s">
        <v>28775</v>
      </c>
      <c r="J2811" t="s">
        <v>29104</v>
      </c>
      <c r="K2811" t="s">
        <v>37204</v>
      </c>
      <c r="M2811" t="s">
        <v>38330</v>
      </c>
      <c r="N2811" t="s">
        <v>41249</v>
      </c>
      <c r="O2811" t="s">
        <v>41250</v>
      </c>
      <c r="P2811">
        <v>0</v>
      </c>
      <c r="Q2811">
        <v>0</v>
      </c>
      <c r="R2811" t="s">
        <v>41252</v>
      </c>
      <c r="S2811" t="s">
        <v>41383</v>
      </c>
      <c r="T2811" t="s">
        <v>42675</v>
      </c>
      <c r="U2811" t="s">
        <v>45605</v>
      </c>
      <c r="V2811" t="s">
        <v>54592</v>
      </c>
      <c r="W2811" t="s">
        <v>38330</v>
      </c>
      <c r="X2811" t="s">
        <v>41254</v>
      </c>
    </row>
    <row r="2812" spans="1:24">
      <c r="A2812">
        <f>HYPERLINK("https://www.philgeps.gov.ph/GEPSNONPILOT/Tender/SplashBidNoticeAbstractUI.aspx?menuIndex=3&amp;refID=7073714&amp;Result=3","7073714")</f>
        <v>0</v>
      </c>
      <c r="B2812" t="s">
        <v>1170</v>
      </c>
      <c r="C2812" t="s">
        <v>6069</v>
      </c>
      <c r="D2812" t="s">
        <v>16664</v>
      </c>
      <c r="E2812" t="s">
        <v>19284</v>
      </c>
      <c r="F2812" t="s">
        <v>28669</v>
      </c>
      <c r="G2812" t="s">
        <v>28676</v>
      </c>
      <c r="H2812" t="s">
        <v>9998</v>
      </c>
      <c r="I2812" t="s">
        <v>28744</v>
      </c>
      <c r="J2812" t="s">
        <v>28859</v>
      </c>
      <c r="K2812" t="s">
        <v>37210</v>
      </c>
      <c r="M2812" t="s">
        <v>38709</v>
      </c>
      <c r="N2812" t="s">
        <v>41249</v>
      </c>
      <c r="O2812" t="s">
        <v>41250</v>
      </c>
      <c r="P2812">
        <v>0</v>
      </c>
      <c r="Q2812">
        <v>3</v>
      </c>
      <c r="R2812" t="s">
        <v>41252</v>
      </c>
      <c r="S2812" t="s">
        <v>41383</v>
      </c>
      <c r="T2812" t="s">
        <v>42748</v>
      </c>
      <c r="U2812" t="s">
        <v>45606</v>
      </c>
      <c r="W2812" t="s">
        <v>38709</v>
      </c>
      <c r="X2812" t="s">
        <v>41254</v>
      </c>
    </row>
    <row r="2813" spans="1:24">
      <c r="A2813">
        <f>HYPERLINK("https://www.philgeps.gov.ph/GEPSNONPILOT/Tender/SplashBidNoticeAbstractUI.aspx?menuIndex=3&amp;refID=7073757&amp;Result=3","7073757")</f>
        <v>0</v>
      </c>
      <c r="B2813" t="s">
        <v>353</v>
      </c>
      <c r="C2813" t="s">
        <v>6070</v>
      </c>
      <c r="D2813" t="s">
        <v>16677</v>
      </c>
      <c r="E2813" t="s">
        <v>19285</v>
      </c>
      <c r="F2813" t="s">
        <v>28669</v>
      </c>
      <c r="G2813" t="s">
        <v>28677</v>
      </c>
      <c r="H2813" t="s">
        <v>9998</v>
      </c>
      <c r="I2813" t="s">
        <v>6128</v>
      </c>
      <c r="J2813" t="s">
        <v>30717</v>
      </c>
      <c r="K2813" t="s">
        <v>37204</v>
      </c>
      <c r="M2813" t="s">
        <v>37834</v>
      </c>
      <c r="N2813" t="s">
        <v>41249</v>
      </c>
      <c r="O2813" t="s">
        <v>41250</v>
      </c>
      <c r="P2813">
        <v>0</v>
      </c>
      <c r="Q2813">
        <v>0</v>
      </c>
      <c r="R2813" t="s">
        <v>41252</v>
      </c>
      <c r="S2813" t="s">
        <v>41383</v>
      </c>
      <c r="T2813" t="s">
        <v>42734</v>
      </c>
      <c r="U2813" t="s">
        <v>45607</v>
      </c>
      <c r="W2813" t="s">
        <v>37834</v>
      </c>
      <c r="X2813" t="s">
        <v>41254</v>
      </c>
    </row>
    <row r="2814" spans="1:24">
      <c r="A2814">
        <f>HYPERLINK("https://www.philgeps.gov.ph/GEPSNONPILOT/Tender/SplashBidNoticeAbstractUI.aspx?menuIndex=3&amp;refID=7073750&amp;Result=3","7073750")</f>
        <v>0</v>
      </c>
      <c r="B2814" t="s">
        <v>1135</v>
      </c>
      <c r="C2814" t="s">
        <v>6071</v>
      </c>
      <c r="E2814" t="s">
        <v>19286</v>
      </c>
      <c r="F2814" t="s">
        <v>28669</v>
      </c>
      <c r="G2814" t="s">
        <v>28677</v>
      </c>
      <c r="H2814" t="s">
        <v>9998</v>
      </c>
      <c r="I2814" t="s">
        <v>28712</v>
      </c>
      <c r="J2814" t="s">
        <v>29040</v>
      </c>
      <c r="K2814" t="s">
        <v>37209</v>
      </c>
      <c r="M2814" t="s">
        <v>38669</v>
      </c>
      <c r="N2814" t="s">
        <v>41249</v>
      </c>
      <c r="O2814" t="s">
        <v>41250</v>
      </c>
      <c r="P2814">
        <v>0</v>
      </c>
      <c r="Q2814">
        <v>1</v>
      </c>
      <c r="R2814" t="s">
        <v>41252</v>
      </c>
      <c r="S2814" t="s">
        <v>41383</v>
      </c>
      <c r="T2814" t="s">
        <v>42887</v>
      </c>
      <c r="U2814" t="s">
        <v>45608</v>
      </c>
      <c r="W2814" t="s">
        <v>38669</v>
      </c>
      <c r="X2814" t="s">
        <v>41254</v>
      </c>
    </row>
    <row r="2815" spans="1:24">
      <c r="A2815">
        <f>HYPERLINK("https://www.philgeps.gov.ph/GEPSNONPILOT/Tender/SplashBidNoticeAbstractUI.aspx?menuIndex=3&amp;refID=7073746&amp;Result=3","7073746")</f>
        <v>0</v>
      </c>
      <c r="B2815" t="s">
        <v>1102</v>
      </c>
      <c r="C2815" t="s">
        <v>6072</v>
      </c>
      <c r="D2815" t="s">
        <v>16667</v>
      </c>
      <c r="E2815" t="s">
        <v>6072</v>
      </c>
      <c r="F2815" t="s">
        <v>28669</v>
      </c>
      <c r="G2815" t="s">
        <v>28676</v>
      </c>
      <c r="H2815" t="s">
        <v>9998</v>
      </c>
      <c r="I2815" t="s">
        <v>28704</v>
      </c>
      <c r="J2815" t="s">
        <v>30718</v>
      </c>
      <c r="K2815" t="s">
        <v>37209</v>
      </c>
      <c r="M2815" t="s">
        <v>38635</v>
      </c>
      <c r="N2815" t="s">
        <v>41249</v>
      </c>
      <c r="O2815" t="s">
        <v>41250</v>
      </c>
      <c r="P2815">
        <v>0</v>
      </c>
      <c r="Q2815">
        <v>0</v>
      </c>
      <c r="R2815" t="s">
        <v>41252</v>
      </c>
      <c r="S2815" t="s">
        <v>41383</v>
      </c>
      <c r="T2815" t="s">
        <v>42729</v>
      </c>
      <c r="U2815" t="s">
        <v>45446</v>
      </c>
      <c r="W2815" t="s">
        <v>38635</v>
      </c>
      <c r="X2815" t="s">
        <v>41254</v>
      </c>
    </row>
    <row r="2816" spans="1:24">
      <c r="A2816">
        <f>HYPERLINK("https://www.philgeps.gov.ph/GEPSNONPILOT/Tender/SplashBidNoticeAbstractUI.aspx?menuIndex=3&amp;refID=7073728&amp;Result=3","7073728")</f>
        <v>0</v>
      </c>
      <c r="B2816" t="s">
        <v>1171</v>
      </c>
      <c r="C2816" t="s">
        <v>6073</v>
      </c>
      <c r="D2816" t="s">
        <v>16611</v>
      </c>
      <c r="E2816" t="s">
        <v>19287</v>
      </c>
      <c r="F2816" t="s">
        <v>28669</v>
      </c>
      <c r="G2816" t="s">
        <v>28676</v>
      </c>
      <c r="H2816" t="s">
        <v>9998</v>
      </c>
      <c r="I2816" t="s">
        <v>5286</v>
      </c>
      <c r="J2816" t="s">
        <v>30719</v>
      </c>
      <c r="K2816" t="s">
        <v>37209</v>
      </c>
      <c r="M2816" t="s">
        <v>38710</v>
      </c>
      <c r="N2816" t="s">
        <v>41249</v>
      </c>
      <c r="O2816" t="s">
        <v>41250</v>
      </c>
      <c r="P2816">
        <v>0</v>
      </c>
      <c r="Q2816">
        <v>0</v>
      </c>
      <c r="R2816" t="s">
        <v>41252</v>
      </c>
      <c r="S2816" t="s">
        <v>41383</v>
      </c>
      <c r="T2816" t="s">
        <v>42748</v>
      </c>
      <c r="U2816" t="s">
        <v>45609</v>
      </c>
      <c r="W2816" t="s">
        <v>38710</v>
      </c>
      <c r="X2816" t="s">
        <v>41254</v>
      </c>
    </row>
    <row r="2817" spans="1:24">
      <c r="A2817">
        <f>HYPERLINK("https://www.philgeps.gov.ph/GEPSNONPILOT/Tender/SplashBidNoticeAbstractUI.aspx?menuIndex=3&amp;refID=7073738&amp;Result=3","7073738")</f>
        <v>0</v>
      </c>
      <c r="B2817" t="s">
        <v>1071</v>
      </c>
      <c r="C2817" t="s">
        <v>6074</v>
      </c>
      <c r="D2817" t="s">
        <v>16616</v>
      </c>
      <c r="E2817" t="s">
        <v>19288</v>
      </c>
      <c r="F2817" t="s">
        <v>28669</v>
      </c>
      <c r="G2817" t="s">
        <v>28675</v>
      </c>
      <c r="H2817" t="s">
        <v>9998</v>
      </c>
      <c r="I2817" t="s">
        <v>11142</v>
      </c>
      <c r="J2817" t="s">
        <v>29068</v>
      </c>
      <c r="K2817" t="s">
        <v>37210</v>
      </c>
      <c r="M2817" t="s">
        <v>38603</v>
      </c>
      <c r="N2817" t="s">
        <v>41249</v>
      </c>
      <c r="O2817" t="s">
        <v>41250</v>
      </c>
      <c r="P2817">
        <v>0</v>
      </c>
      <c r="Q2817">
        <v>0</v>
      </c>
      <c r="R2817" t="s">
        <v>41252</v>
      </c>
      <c r="S2817" t="s">
        <v>41383</v>
      </c>
      <c r="T2817" t="s">
        <v>42906</v>
      </c>
      <c r="U2817" t="s">
        <v>45610</v>
      </c>
      <c r="W2817" t="s">
        <v>38603</v>
      </c>
      <c r="X2817" t="s">
        <v>41254</v>
      </c>
    </row>
    <row r="2818" spans="1:24">
      <c r="A2818">
        <f>HYPERLINK("https://www.philgeps.gov.ph/GEPSNONPILOT/Tender/SplashBidNoticeAbstractUI.aspx?menuIndex=3&amp;refID=7073763&amp;Result=3","7073763")</f>
        <v>0</v>
      </c>
      <c r="B2818" t="s">
        <v>1090</v>
      </c>
      <c r="C2818" t="s">
        <v>6075</v>
      </c>
      <c r="E2818" t="s">
        <v>19289</v>
      </c>
      <c r="F2818" t="s">
        <v>28669</v>
      </c>
      <c r="G2818" t="s">
        <v>28676</v>
      </c>
      <c r="H2818" t="s">
        <v>28686</v>
      </c>
      <c r="I2818" t="s">
        <v>28755</v>
      </c>
      <c r="J2818" t="s">
        <v>30720</v>
      </c>
      <c r="K2818" t="s">
        <v>37209</v>
      </c>
      <c r="M2818" t="s">
        <v>38622</v>
      </c>
      <c r="N2818" t="s">
        <v>41249</v>
      </c>
      <c r="O2818" t="s">
        <v>41250</v>
      </c>
      <c r="P2818">
        <v>0</v>
      </c>
      <c r="Q2818">
        <v>4</v>
      </c>
      <c r="R2818" t="s">
        <v>41252</v>
      </c>
      <c r="S2818" t="s">
        <v>41383</v>
      </c>
      <c r="T2818" t="s">
        <v>42702</v>
      </c>
      <c r="U2818" t="s">
        <v>45611</v>
      </c>
      <c r="W2818" t="s">
        <v>38622</v>
      </c>
      <c r="X2818" t="s">
        <v>41254</v>
      </c>
    </row>
    <row r="2819" spans="1:24">
      <c r="A2819">
        <f>HYPERLINK("https://www.philgeps.gov.ph/GEPSNONPILOT/Tender/SplashBidNoticeAbstractUI.aspx?menuIndex=3&amp;refID=7073712&amp;Result=3","7073712")</f>
        <v>0</v>
      </c>
      <c r="B2819" t="s">
        <v>1172</v>
      </c>
      <c r="C2819" t="s">
        <v>6076</v>
      </c>
      <c r="D2819" t="s">
        <v>16649</v>
      </c>
      <c r="E2819" t="s">
        <v>18029</v>
      </c>
      <c r="F2819" t="s">
        <v>28669</v>
      </c>
      <c r="G2819" t="s">
        <v>28677</v>
      </c>
      <c r="H2819" t="s">
        <v>9998</v>
      </c>
      <c r="I2819" t="s">
        <v>6458</v>
      </c>
      <c r="J2819" t="s">
        <v>30721</v>
      </c>
      <c r="K2819" t="s">
        <v>37204</v>
      </c>
      <c r="M2819" t="s">
        <v>38711</v>
      </c>
      <c r="N2819" t="s">
        <v>41249</v>
      </c>
      <c r="O2819" t="s">
        <v>41250</v>
      </c>
      <c r="P2819">
        <v>0</v>
      </c>
      <c r="Q2819">
        <v>1</v>
      </c>
      <c r="R2819" t="s">
        <v>41252</v>
      </c>
      <c r="S2819" t="s">
        <v>41383</v>
      </c>
      <c r="T2819" t="s">
        <v>42701</v>
      </c>
      <c r="U2819" t="s">
        <v>45612</v>
      </c>
      <c r="W2819" t="s">
        <v>38711</v>
      </c>
      <c r="X2819" t="s">
        <v>41254</v>
      </c>
    </row>
    <row r="2820" spans="1:24">
      <c r="A2820">
        <f>HYPERLINK("https://www.philgeps.gov.ph/GEPSNONPILOT/Tender/SplashBidNoticeAbstractUI.aspx?menuIndex=3&amp;refID=7073737&amp;Result=3","7073737")</f>
        <v>0</v>
      </c>
      <c r="B2820" t="s">
        <v>1158</v>
      </c>
      <c r="C2820" t="s">
        <v>6077</v>
      </c>
      <c r="D2820" t="s">
        <v>16618</v>
      </c>
      <c r="E2820" t="s">
        <v>19290</v>
      </c>
      <c r="F2820" t="s">
        <v>28669</v>
      </c>
      <c r="G2820" t="s">
        <v>28677</v>
      </c>
      <c r="H2820" t="s">
        <v>9998</v>
      </c>
      <c r="I2820" t="s">
        <v>3718</v>
      </c>
      <c r="J2820" t="s">
        <v>28838</v>
      </c>
      <c r="K2820" t="s">
        <v>37234</v>
      </c>
      <c r="M2820" t="s">
        <v>38695</v>
      </c>
      <c r="N2820" t="s">
        <v>41249</v>
      </c>
      <c r="O2820" t="s">
        <v>41250</v>
      </c>
      <c r="P2820">
        <v>0</v>
      </c>
      <c r="Q2820">
        <v>0</v>
      </c>
      <c r="R2820" t="s">
        <v>41252</v>
      </c>
      <c r="S2820" t="s">
        <v>41383</v>
      </c>
      <c r="T2820" t="s">
        <v>42774</v>
      </c>
      <c r="U2820" t="s">
        <v>45613</v>
      </c>
      <c r="W2820" t="s">
        <v>38695</v>
      </c>
      <c r="X2820" t="s">
        <v>41254</v>
      </c>
    </row>
    <row r="2821" spans="1:24">
      <c r="A2821">
        <f>HYPERLINK("https://www.philgeps.gov.ph/GEPSNONPILOT/Tender/SplashBidNoticeAbstractUI.aspx?menuIndex=3&amp;refID=7073735&amp;Result=3","7073735")</f>
        <v>0</v>
      </c>
      <c r="B2821" t="s">
        <v>1173</v>
      </c>
      <c r="C2821" t="s">
        <v>6078</v>
      </c>
      <c r="D2821" t="s">
        <v>16692</v>
      </c>
      <c r="E2821" t="s">
        <v>19291</v>
      </c>
      <c r="F2821" t="s">
        <v>28669</v>
      </c>
      <c r="G2821" t="s">
        <v>28677</v>
      </c>
      <c r="H2821" t="s">
        <v>9998</v>
      </c>
      <c r="I2821" t="s">
        <v>5286</v>
      </c>
      <c r="J2821" t="s">
        <v>29109</v>
      </c>
      <c r="K2821" t="s">
        <v>37243</v>
      </c>
      <c r="M2821" t="s">
        <v>38712</v>
      </c>
      <c r="N2821" t="s">
        <v>41249</v>
      </c>
      <c r="O2821" t="s">
        <v>41250</v>
      </c>
      <c r="P2821">
        <v>0</v>
      </c>
      <c r="Q2821">
        <v>2</v>
      </c>
      <c r="R2821" t="s">
        <v>41252</v>
      </c>
      <c r="S2821" t="s">
        <v>41383</v>
      </c>
      <c r="T2821" t="s">
        <v>42736</v>
      </c>
      <c r="U2821" t="s">
        <v>45614</v>
      </c>
      <c r="W2821" t="s">
        <v>38712</v>
      </c>
      <c r="X2821" t="s">
        <v>41254</v>
      </c>
    </row>
    <row r="2822" spans="1:24">
      <c r="A2822">
        <f>HYPERLINK("https://www.philgeps.gov.ph/GEPSNONPILOT/Tender/SplashBidNoticeAbstractUI.aspx?menuIndex=3&amp;refID=7073734&amp;Result=3","7073734")</f>
        <v>0</v>
      </c>
      <c r="B2822" t="s">
        <v>1084</v>
      </c>
      <c r="C2822" t="s">
        <v>6079</v>
      </c>
      <c r="D2822" t="s">
        <v>16667</v>
      </c>
      <c r="E2822" t="s">
        <v>19292</v>
      </c>
      <c r="F2822" t="s">
        <v>28669</v>
      </c>
      <c r="G2822" t="s">
        <v>28675</v>
      </c>
      <c r="H2822" t="s">
        <v>9998</v>
      </c>
      <c r="I2822" t="s">
        <v>28697</v>
      </c>
      <c r="J2822" t="s">
        <v>30585</v>
      </c>
      <c r="K2822" t="s">
        <v>37220</v>
      </c>
      <c r="M2822" t="s">
        <v>38616</v>
      </c>
      <c r="N2822" t="s">
        <v>41249</v>
      </c>
      <c r="O2822" t="s">
        <v>41250</v>
      </c>
      <c r="P2822">
        <v>0</v>
      </c>
      <c r="Q2822">
        <v>0</v>
      </c>
      <c r="R2822" t="s">
        <v>41252</v>
      </c>
      <c r="S2822" t="s">
        <v>41383</v>
      </c>
      <c r="T2822" t="s">
        <v>42808</v>
      </c>
      <c r="U2822" t="s">
        <v>45615</v>
      </c>
      <c r="W2822" t="s">
        <v>38616</v>
      </c>
      <c r="X2822" t="s">
        <v>41254</v>
      </c>
    </row>
    <row r="2823" spans="1:24">
      <c r="A2823">
        <f>HYPERLINK("https://www.philgeps.gov.ph/GEPSNONPILOT/Tender/SplashBidNoticeAbstractUI.aspx?menuIndex=3&amp;refID=7073783&amp;Result=3","7073783")</f>
        <v>0</v>
      </c>
      <c r="B2823" t="s">
        <v>1174</v>
      </c>
      <c r="C2823" t="s">
        <v>6080</v>
      </c>
      <c r="D2823" t="s">
        <v>16651</v>
      </c>
      <c r="E2823" t="s">
        <v>19293</v>
      </c>
      <c r="F2823" t="s">
        <v>28669</v>
      </c>
      <c r="G2823" t="s">
        <v>28676</v>
      </c>
      <c r="H2823" t="s">
        <v>9998</v>
      </c>
      <c r="I2823" t="s">
        <v>28690</v>
      </c>
      <c r="J2823" t="s">
        <v>29039</v>
      </c>
      <c r="K2823" t="s">
        <v>37209</v>
      </c>
      <c r="M2823" t="s">
        <v>38713</v>
      </c>
      <c r="N2823" t="s">
        <v>41249</v>
      </c>
      <c r="O2823" t="s">
        <v>41250</v>
      </c>
      <c r="P2823">
        <v>0</v>
      </c>
      <c r="Q2823">
        <v>5</v>
      </c>
      <c r="R2823" t="s">
        <v>41252</v>
      </c>
      <c r="S2823" t="s">
        <v>41383</v>
      </c>
      <c r="T2823" t="s">
        <v>42748</v>
      </c>
      <c r="U2823" t="s">
        <v>45616</v>
      </c>
      <c r="W2823" t="s">
        <v>38713</v>
      </c>
      <c r="X2823" t="s">
        <v>41254</v>
      </c>
    </row>
    <row r="2824" spans="1:24">
      <c r="A2824">
        <f>HYPERLINK("https://www.philgeps.gov.ph/GEPSNONPILOT/Tender/SplashBidNoticeAbstractUI.aspx?menuIndex=3&amp;refID=7073788&amp;Result=3","7073788")</f>
        <v>0</v>
      </c>
      <c r="B2824" t="s">
        <v>1175</v>
      </c>
      <c r="C2824" t="s">
        <v>6081</v>
      </c>
      <c r="D2824" t="s">
        <v>16625</v>
      </c>
      <c r="E2824" t="s">
        <v>19294</v>
      </c>
      <c r="F2824" t="s">
        <v>28669</v>
      </c>
      <c r="G2824" t="s">
        <v>28676</v>
      </c>
      <c r="H2824" t="s">
        <v>9998</v>
      </c>
      <c r="I2824" t="s">
        <v>6606</v>
      </c>
      <c r="J2824" t="s">
        <v>28834</v>
      </c>
      <c r="K2824" t="s">
        <v>37234</v>
      </c>
      <c r="M2824" t="s">
        <v>38714</v>
      </c>
      <c r="N2824" t="s">
        <v>41249</v>
      </c>
      <c r="O2824" t="s">
        <v>41250</v>
      </c>
      <c r="P2824">
        <v>0</v>
      </c>
      <c r="Q2824">
        <v>0</v>
      </c>
      <c r="R2824" t="s">
        <v>41252</v>
      </c>
      <c r="S2824" t="s">
        <v>41383</v>
      </c>
      <c r="T2824" t="s">
        <v>42736</v>
      </c>
      <c r="U2824" t="s">
        <v>45617</v>
      </c>
      <c r="W2824" t="s">
        <v>38714</v>
      </c>
      <c r="X2824" t="s">
        <v>41254</v>
      </c>
    </row>
    <row r="2825" spans="1:24">
      <c r="A2825">
        <f>HYPERLINK("https://www.philgeps.gov.ph/GEPSNONPILOT/Tender/SplashBidNoticeAbstractUI.aspx?menuIndex=3&amp;refID=7073787&amp;Result=3","7073787")</f>
        <v>0</v>
      </c>
      <c r="B2825" t="s">
        <v>1176</v>
      </c>
      <c r="C2825" t="s">
        <v>6082</v>
      </c>
      <c r="D2825" t="s">
        <v>16616</v>
      </c>
      <c r="E2825" t="s">
        <v>19295</v>
      </c>
      <c r="F2825" t="s">
        <v>28669</v>
      </c>
      <c r="G2825" t="s">
        <v>28676</v>
      </c>
      <c r="H2825" t="s">
        <v>9998</v>
      </c>
      <c r="I2825" t="s">
        <v>28735</v>
      </c>
      <c r="J2825" t="s">
        <v>30722</v>
      </c>
      <c r="K2825" t="s">
        <v>37208</v>
      </c>
      <c r="L2825" t="s">
        <v>1176</v>
      </c>
      <c r="M2825" t="s">
        <v>38715</v>
      </c>
      <c r="N2825" t="s">
        <v>41249</v>
      </c>
      <c r="O2825" t="s">
        <v>41250</v>
      </c>
      <c r="P2825">
        <v>0</v>
      </c>
      <c r="Q2825">
        <v>0</v>
      </c>
      <c r="R2825" t="s">
        <v>41252</v>
      </c>
      <c r="S2825" t="s">
        <v>41383</v>
      </c>
      <c r="T2825" t="s">
        <v>42736</v>
      </c>
      <c r="U2825" t="s">
        <v>45618</v>
      </c>
      <c r="V2825" t="s">
        <v>54593</v>
      </c>
      <c r="W2825" t="s">
        <v>38715</v>
      </c>
      <c r="X2825" t="s">
        <v>41254</v>
      </c>
    </row>
    <row r="2826" spans="1:24">
      <c r="A2826">
        <f>HYPERLINK("https://www.philgeps.gov.ph/GEPSNONPILOT/Tender/SplashBidNoticeAbstractUI.aspx?menuIndex=3&amp;refID=7073786&amp;Result=3","7073786")</f>
        <v>0</v>
      </c>
      <c r="B2826" t="s">
        <v>178</v>
      </c>
      <c r="C2826" t="s">
        <v>6083</v>
      </c>
      <c r="E2826" t="s">
        <v>19296</v>
      </c>
      <c r="F2826" t="s">
        <v>28669</v>
      </c>
      <c r="G2826" t="s">
        <v>28676</v>
      </c>
      <c r="H2826" t="s">
        <v>9998</v>
      </c>
      <c r="I2826" t="s">
        <v>5286</v>
      </c>
      <c r="J2826" t="s">
        <v>30614</v>
      </c>
      <c r="K2826" t="s">
        <v>37209</v>
      </c>
      <c r="M2826" t="s">
        <v>38716</v>
      </c>
      <c r="N2826" t="s">
        <v>41249</v>
      </c>
      <c r="O2826" t="s">
        <v>41250</v>
      </c>
      <c r="P2826">
        <v>0</v>
      </c>
      <c r="Q2826">
        <v>5</v>
      </c>
      <c r="R2826" t="s">
        <v>41252</v>
      </c>
      <c r="S2826" t="s">
        <v>41383</v>
      </c>
      <c r="T2826" t="s">
        <v>42827</v>
      </c>
      <c r="U2826" t="s">
        <v>43846</v>
      </c>
      <c r="W2826" t="s">
        <v>38716</v>
      </c>
      <c r="X2826" t="s">
        <v>41254</v>
      </c>
    </row>
    <row r="2827" spans="1:24">
      <c r="A2827">
        <f>HYPERLINK("https://www.philgeps.gov.ph/GEPSNONPILOT/Tender/SplashBidNoticeAbstractUI.aspx?menuIndex=3&amp;refID=7073785&amp;Result=3","7073785")</f>
        <v>0</v>
      </c>
      <c r="B2827" t="s">
        <v>1177</v>
      </c>
      <c r="C2827" t="s">
        <v>6084</v>
      </c>
      <c r="D2827" t="s">
        <v>16668</v>
      </c>
      <c r="E2827" t="s">
        <v>19297</v>
      </c>
      <c r="F2827" t="s">
        <v>28669</v>
      </c>
      <c r="G2827" t="s">
        <v>28676</v>
      </c>
      <c r="H2827" t="s">
        <v>9998</v>
      </c>
      <c r="I2827" t="s">
        <v>28697</v>
      </c>
      <c r="J2827" t="s">
        <v>30723</v>
      </c>
      <c r="K2827" t="s">
        <v>37204</v>
      </c>
      <c r="M2827" t="s">
        <v>38717</v>
      </c>
      <c r="N2827" t="s">
        <v>41249</v>
      </c>
      <c r="O2827" t="s">
        <v>41250</v>
      </c>
      <c r="P2827">
        <v>0</v>
      </c>
      <c r="Q2827">
        <v>9</v>
      </c>
      <c r="R2827" t="s">
        <v>41252</v>
      </c>
      <c r="S2827" t="s">
        <v>41383</v>
      </c>
      <c r="T2827" t="s">
        <v>42758</v>
      </c>
      <c r="U2827" t="s">
        <v>45619</v>
      </c>
      <c r="W2827" t="s">
        <v>38717</v>
      </c>
      <c r="X2827" t="s">
        <v>41254</v>
      </c>
    </row>
    <row r="2828" spans="1:24">
      <c r="A2828">
        <f>HYPERLINK("https://www.philgeps.gov.ph/GEPSNONPILOT/Tender/SplashBidNoticeAbstractUI.aspx?menuIndex=3&amp;refID=7073736&amp;Result=3","7073736")</f>
        <v>0</v>
      </c>
      <c r="B2828" t="s">
        <v>743</v>
      </c>
      <c r="C2828" t="s">
        <v>6085</v>
      </c>
      <c r="D2828" t="s">
        <v>16629</v>
      </c>
      <c r="E2828" t="s">
        <v>19298</v>
      </c>
      <c r="F2828" t="s">
        <v>28669</v>
      </c>
      <c r="G2828" t="s">
        <v>28675</v>
      </c>
      <c r="H2828" t="s">
        <v>9998</v>
      </c>
      <c r="I2828" t="s">
        <v>28773</v>
      </c>
      <c r="J2828" t="s">
        <v>30724</v>
      </c>
      <c r="K2828" t="s">
        <v>37205</v>
      </c>
      <c r="M2828" t="s">
        <v>38702</v>
      </c>
      <c r="N2828" t="s">
        <v>41249</v>
      </c>
      <c r="O2828" t="s">
        <v>41250</v>
      </c>
      <c r="P2828">
        <v>0</v>
      </c>
      <c r="Q2828">
        <v>2</v>
      </c>
      <c r="R2828" t="s">
        <v>41252</v>
      </c>
      <c r="S2828" t="s">
        <v>41383</v>
      </c>
      <c r="T2828" t="s">
        <v>42835</v>
      </c>
      <c r="U2828" t="s">
        <v>45620</v>
      </c>
      <c r="W2828" t="s">
        <v>38702</v>
      </c>
      <c r="X2828" t="s">
        <v>41254</v>
      </c>
    </row>
    <row r="2829" spans="1:24">
      <c r="A2829">
        <f>HYPERLINK("https://www.philgeps.gov.ph/GEPSNONPILOT/Tender/SplashBidNoticeAbstractUI.aspx?menuIndex=3&amp;refID=7073784&amp;Result=3","7073784")</f>
        <v>0</v>
      </c>
      <c r="B2829" t="s">
        <v>1135</v>
      </c>
      <c r="C2829" t="s">
        <v>6086</v>
      </c>
      <c r="E2829" t="s">
        <v>19299</v>
      </c>
      <c r="F2829" t="s">
        <v>28669</v>
      </c>
      <c r="G2829" t="s">
        <v>28677</v>
      </c>
      <c r="H2829" t="s">
        <v>9998</v>
      </c>
      <c r="I2829" t="s">
        <v>28712</v>
      </c>
      <c r="J2829" t="s">
        <v>29040</v>
      </c>
      <c r="K2829" t="s">
        <v>37209</v>
      </c>
      <c r="M2829" t="s">
        <v>38669</v>
      </c>
      <c r="N2829" t="s">
        <v>41249</v>
      </c>
      <c r="O2829" t="s">
        <v>41250</v>
      </c>
      <c r="P2829">
        <v>0</v>
      </c>
      <c r="Q2829">
        <v>1</v>
      </c>
      <c r="R2829" t="s">
        <v>41252</v>
      </c>
      <c r="S2829" t="s">
        <v>41383</v>
      </c>
      <c r="T2829" t="s">
        <v>42887</v>
      </c>
      <c r="U2829" t="s">
        <v>45621</v>
      </c>
      <c r="W2829" t="s">
        <v>38669</v>
      </c>
      <c r="X2829" t="s">
        <v>41254</v>
      </c>
    </row>
    <row r="2830" spans="1:24">
      <c r="A2830">
        <f>HYPERLINK("https://www.philgeps.gov.ph/GEPSNONPILOT/Tender/SplashBidNoticeAbstractUI.aspx?menuIndex=3&amp;refID=7073748&amp;Result=3","7073748")</f>
        <v>0</v>
      </c>
      <c r="B2830" t="s">
        <v>1176</v>
      </c>
      <c r="C2830" t="s">
        <v>6087</v>
      </c>
      <c r="D2830" t="s">
        <v>16616</v>
      </c>
      <c r="E2830" t="s">
        <v>19300</v>
      </c>
      <c r="F2830" t="s">
        <v>28669</v>
      </c>
      <c r="G2830" t="s">
        <v>28676</v>
      </c>
      <c r="H2830" t="s">
        <v>9998</v>
      </c>
      <c r="I2830" t="s">
        <v>5286</v>
      </c>
      <c r="J2830" t="s">
        <v>30725</v>
      </c>
      <c r="K2830" t="s">
        <v>37208</v>
      </c>
      <c r="L2830" t="s">
        <v>1176</v>
      </c>
      <c r="M2830" t="s">
        <v>38715</v>
      </c>
      <c r="N2830" t="s">
        <v>41249</v>
      </c>
      <c r="O2830" t="s">
        <v>41250</v>
      </c>
      <c r="P2830">
        <v>0</v>
      </c>
      <c r="Q2830">
        <v>1</v>
      </c>
      <c r="R2830" t="s">
        <v>41252</v>
      </c>
      <c r="S2830" t="s">
        <v>41383</v>
      </c>
      <c r="T2830" t="s">
        <v>42736</v>
      </c>
      <c r="U2830" t="s">
        <v>45622</v>
      </c>
      <c r="V2830" t="s">
        <v>54594</v>
      </c>
      <c r="W2830" t="s">
        <v>38715</v>
      </c>
      <c r="X2830" t="s">
        <v>41254</v>
      </c>
    </row>
    <row r="2831" spans="1:24">
      <c r="A2831">
        <f>HYPERLINK("https://www.philgeps.gov.ph/GEPSNONPILOT/Tender/SplashBidNoticeAbstractUI.aspx?menuIndex=3&amp;refID=7073780&amp;Result=3","7073780")</f>
        <v>0</v>
      </c>
      <c r="B2831" t="s">
        <v>625</v>
      </c>
      <c r="C2831" t="s">
        <v>6088</v>
      </c>
      <c r="D2831" t="s">
        <v>16679</v>
      </c>
      <c r="E2831" t="s">
        <v>19301</v>
      </c>
      <c r="F2831" t="s">
        <v>28669</v>
      </c>
      <c r="G2831" t="s">
        <v>28676</v>
      </c>
      <c r="H2831" t="s">
        <v>28686</v>
      </c>
      <c r="I2831" t="s">
        <v>28755</v>
      </c>
      <c r="J2831" t="s">
        <v>29247</v>
      </c>
      <c r="K2831" t="s">
        <v>37206</v>
      </c>
      <c r="M2831" t="s">
        <v>38125</v>
      </c>
      <c r="N2831" t="s">
        <v>41249</v>
      </c>
      <c r="O2831" t="s">
        <v>41250</v>
      </c>
      <c r="P2831">
        <v>0</v>
      </c>
      <c r="Q2831">
        <v>1</v>
      </c>
      <c r="R2831" t="s">
        <v>41252</v>
      </c>
      <c r="S2831" t="s">
        <v>41383</v>
      </c>
      <c r="T2831" t="s">
        <v>42748</v>
      </c>
      <c r="U2831" t="s">
        <v>45623</v>
      </c>
      <c r="W2831" t="s">
        <v>38125</v>
      </c>
      <c r="X2831" t="s">
        <v>41254</v>
      </c>
    </row>
    <row r="2832" spans="1:24">
      <c r="A2832">
        <f>HYPERLINK("https://www.philgeps.gov.ph/GEPSNONPILOT/Tender/SplashBidNoticeAbstractUI.aspx?menuIndex=3&amp;refID=7073779&amp;Result=3","7073779")</f>
        <v>0</v>
      </c>
      <c r="B2832" t="s">
        <v>51</v>
      </c>
      <c r="C2832" t="s">
        <v>6089</v>
      </c>
      <c r="D2832" t="s">
        <v>16631</v>
      </c>
      <c r="E2832" t="s">
        <v>19302</v>
      </c>
      <c r="F2832" t="s">
        <v>28669</v>
      </c>
      <c r="G2832" t="s">
        <v>28676</v>
      </c>
      <c r="H2832" t="s">
        <v>9998</v>
      </c>
      <c r="I2832" t="s">
        <v>28690</v>
      </c>
      <c r="J2832" t="s">
        <v>30726</v>
      </c>
      <c r="K2832" t="s">
        <v>37204</v>
      </c>
      <c r="M2832" t="s">
        <v>38699</v>
      </c>
      <c r="N2832" t="s">
        <v>41249</v>
      </c>
      <c r="O2832" t="s">
        <v>41250</v>
      </c>
      <c r="P2832">
        <v>0</v>
      </c>
      <c r="Q2832">
        <v>0</v>
      </c>
      <c r="R2832" t="s">
        <v>41252</v>
      </c>
      <c r="S2832" t="s">
        <v>41383</v>
      </c>
      <c r="T2832" t="s">
        <v>42670</v>
      </c>
      <c r="U2832" t="s">
        <v>45624</v>
      </c>
      <c r="W2832" t="s">
        <v>38699</v>
      </c>
      <c r="X2832" t="s">
        <v>41254</v>
      </c>
    </row>
    <row r="2833" spans="1:24">
      <c r="A2833">
        <f>HYPERLINK("https://www.philgeps.gov.ph/GEPSNONPILOT/Tender/SplashBidNoticeAbstractUI.aspx?menuIndex=3&amp;refID=7073774&amp;Result=3","7073774")</f>
        <v>0</v>
      </c>
      <c r="B2833" t="s">
        <v>1178</v>
      </c>
      <c r="C2833" t="s">
        <v>6090</v>
      </c>
      <c r="D2833" t="s">
        <v>16608</v>
      </c>
      <c r="E2833" t="s">
        <v>19303</v>
      </c>
      <c r="F2833" t="s">
        <v>28669</v>
      </c>
      <c r="G2833" t="s">
        <v>28675</v>
      </c>
      <c r="H2833" t="s">
        <v>9998</v>
      </c>
      <c r="I2833" t="s">
        <v>5213</v>
      </c>
      <c r="J2833" t="s">
        <v>29364</v>
      </c>
      <c r="K2833" t="s">
        <v>37243</v>
      </c>
      <c r="M2833" t="s">
        <v>38718</v>
      </c>
      <c r="N2833" t="s">
        <v>41249</v>
      </c>
      <c r="O2833" t="s">
        <v>41250</v>
      </c>
      <c r="P2833">
        <v>0</v>
      </c>
      <c r="Q2833">
        <v>3</v>
      </c>
      <c r="R2833" t="s">
        <v>41252</v>
      </c>
      <c r="S2833" t="s">
        <v>41383</v>
      </c>
      <c r="T2833" t="s">
        <v>42679</v>
      </c>
      <c r="U2833" t="s">
        <v>45625</v>
      </c>
      <c r="W2833" t="s">
        <v>38718</v>
      </c>
      <c r="X2833" t="s">
        <v>41254</v>
      </c>
    </row>
    <row r="2834" spans="1:24">
      <c r="A2834">
        <f>HYPERLINK("https://www.philgeps.gov.ph/GEPSNONPILOT/Tender/SplashBidNoticeAbstractUI.aspx?menuIndex=3&amp;refID=7073773&amp;Result=3","7073773")</f>
        <v>0</v>
      </c>
      <c r="B2834" t="s">
        <v>1179</v>
      </c>
      <c r="C2834" t="s">
        <v>6091</v>
      </c>
      <c r="D2834" t="s">
        <v>16664</v>
      </c>
      <c r="E2834" t="s">
        <v>19304</v>
      </c>
      <c r="F2834" t="s">
        <v>28669</v>
      </c>
      <c r="G2834" t="s">
        <v>28675</v>
      </c>
      <c r="H2834" t="s">
        <v>28686</v>
      </c>
      <c r="I2834" t="s">
        <v>28689</v>
      </c>
      <c r="J2834" t="s">
        <v>29003</v>
      </c>
      <c r="K2834" t="s">
        <v>37207</v>
      </c>
      <c r="M2834" t="s">
        <v>38719</v>
      </c>
      <c r="N2834" t="s">
        <v>41249</v>
      </c>
      <c r="O2834" t="s">
        <v>41250</v>
      </c>
      <c r="P2834">
        <v>0</v>
      </c>
      <c r="Q2834">
        <v>0</v>
      </c>
      <c r="R2834" t="s">
        <v>41252</v>
      </c>
      <c r="S2834" t="s">
        <v>41383</v>
      </c>
      <c r="T2834" t="s">
        <v>42733</v>
      </c>
      <c r="U2834" t="s">
        <v>45626</v>
      </c>
      <c r="W2834" t="s">
        <v>38719</v>
      </c>
      <c r="X2834" t="s">
        <v>41254</v>
      </c>
    </row>
    <row r="2835" spans="1:24">
      <c r="A2835">
        <f>HYPERLINK("https://www.philgeps.gov.ph/GEPSNONPILOT/Tender/SplashBidNoticeAbstractUI.aspx?menuIndex=3&amp;refID=7073713&amp;Result=3","7073713")</f>
        <v>0</v>
      </c>
      <c r="B2835" t="s">
        <v>1111</v>
      </c>
      <c r="C2835" t="s">
        <v>6092</v>
      </c>
      <c r="D2835" t="s">
        <v>16668</v>
      </c>
      <c r="E2835" t="s">
        <v>19305</v>
      </c>
      <c r="F2835" t="s">
        <v>28669</v>
      </c>
      <c r="G2835" t="s">
        <v>28676</v>
      </c>
      <c r="H2835" t="s">
        <v>9998</v>
      </c>
      <c r="I2835" t="s">
        <v>28732</v>
      </c>
      <c r="J2835" t="s">
        <v>30727</v>
      </c>
      <c r="K2835" t="s">
        <v>37209</v>
      </c>
      <c r="M2835" t="s">
        <v>38644</v>
      </c>
      <c r="N2835" t="s">
        <v>41249</v>
      </c>
      <c r="O2835" t="s">
        <v>41250</v>
      </c>
      <c r="P2835">
        <v>0</v>
      </c>
      <c r="Q2835">
        <v>3</v>
      </c>
      <c r="R2835" t="s">
        <v>41252</v>
      </c>
      <c r="S2835" t="s">
        <v>41383</v>
      </c>
      <c r="T2835" t="s">
        <v>42758</v>
      </c>
      <c r="U2835" t="s">
        <v>45627</v>
      </c>
      <c r="W2835" t="s">
        <v>38644</v>
      </c>
      <c r="X2835" t="s">
        <v>41254</v>
      </c>
    </row>
    <row r="2836" spans="1:24">
      <c r="A2836">
        <f>HYPERLINK("https://www.philgeps.gov.ph/GEPSNONPILOT/Tender/SplashBidNoticeAbstractUI.aspx?menuIndex=3&amp;refID=7073772&amp;Result=3","7073772")</f>
        <v>0</v>
      </c>
      <c r="B2836" t="s">
        <v>1159</v>
      </c>
      <c r="C2836" t="s">
        <v>3485</v>
      </c>
      <c r="D2836" t="s">
        <v>16670</v>
      </c>
      <c r="E2836" t="s">
        <v>19306</v>
      </c>
      <c r="F2836" t="s">
        <v>28671</v>
      </c>
      <c r="G2836" t="s">
        <v>28675</v>
      </c>
      <c r="H2836" t="s">
        <v>9998</v>
      </c>
      <c r="I2836" t="s">
        <v>6128</v>
      </c>
      <c r="J2836" t="s">
        <v>30728</v>
      </c>
      <c r="K2836" t="s">
        <v>37206</v>
      </c>
      <c r="M2836" t="s">
        <v>38696</v>
      </c>
      <c r="N2836" t="s">
        <v>41249</v>
      </c>
      <c r="O2836" t="s">
        <v>41250</v>
      </c>
      <c r="P2836">
        <v>0</v>
      </c>
      <c r="Q2836">
        <v>2</v>
      </c>
      <c r="R2836" t="s">
        <v>41252</v>
      </c>
      <c r="S2836" t="s">
        <v>41383</v>
      </c>
      <c r="T2836" t="s">
        <v>42684</v>
      </c>
      <c r="U2836" t="s">
        <v>43697</v>
      </c>
      <c r="W2836" t="s">
        <v>38696</v>
      </c>
      <c r="X2836" t="s">
        <v>41254</v>
      </c>
    </row>
    <row r="2837" spans="1:24">
      <c r="A2837">
        <f>HYPERLINK("https://www.philgeps.gov.ph/GEPSNONPILOT/Tender/SplashBidNoticeAbstractUI.aspx?menuIndex=3&amp;refID=7073771&amp;Result=3","7073771")</f>
        <v>0</v>
      </c>
      <c r="B2837" t="s">
        <v>1180</v>
      </c>
      <c r="C2837" t="s">
        <v>6093</v>
      </c>
      <c r="D2837" t="s">
        <v>16625</v>
      </c>
      <c r="E2837" t="s">
        <v>19307</v>
      </c>
      <c r="F2837" t="s">
        <v>28669</v>
      </c>
      <c r="G2837" t="s">
        <v>28677</v>
      </c>
      <c r="H2837" t="s">
        <v>9998</v>
      </c>
      <c r="I2837" t="s">
        <v>5213</v>
      </c>
      <c r="J2837" t="s">
        <v>30729</v>
      </c>
      <c r="K2837" t="s">
        <v>37205</v>
      </c>
      <c r="M2837" t="s">
        <v>38720</v>
      </c>
      <c r="N2837" t="s">
        <v>41249</v>
      </c>
      <c r="O2837" t="s">
        <v>41250</v>
      </c>
      <c r="P2837">
        <v>0</v>
      </c>
      <c r="Q2837">
        <v>0</v>
      </c>
      <c r="R2837" t="s">
        <v>41252</v>
      </c>
      <c r="S2837" t="s">
        <v>41383</v>
      </c>
      <c r="T2837" t="s">
        <v>42690</v>
      </c>
      <c r="U2837" t="s">
        <v>45628</v>
      </c>
      <c r="W2837" t="s">
        <v>38720</v>
      </c>
      <c r="X2837" t="s">
        <v>41254</v>
      </c>
    </row>
    <row r="2838" spans="1:24">
      <c r="A2838">
        <f>HYPERLINK("https://www.philgeps.gov.ph/GEPSNONPILOT/Tender/SplashBidNoticeAbstractUI.aspx?menuIndex=3&amp;refID=7073782&amp;Result=3","7073782")</f>
        <v>0</v>
      </c>
      <c r="B2838" t="s">
        <v>1181</v>
      </c>
      <c r="C2838" t="s">
        <v>6094</v>
      </c>
      <c r="D2838" t="s">
        <v>16627</v>
      </c>
      <c r="E2838" t="s">
        <v>19308</v>
      </c>
      <c r="F2838" t="s">
        <v>28669</v>
      </c>
      <c r="G2838" t="s">
        <v>28676</v>
      </c>
      <c r="H2838" t="s">
        <v>9998</v>
      </c>
      <c r="I2838" t="s">
        <v>28777</v>
      </c>
      <c r="J2838" t="s">
        <v>30730</v>
      </c>
      <c r="K2838" t="s">
        <v>37204</v>
      </c>
      <c r="M2838" t="s">
        <v>38721</v>
      </c>
      <c r="N2838" t="s">
        <v>41249</v>
      </c>
      <c r="O2838" t="s">
        <v>41250</v>
      </c>
      <c r="P2838">
        <v>0</v>
      </c>
      <c r="Q2838">
        <v>2</v>
      </c>
      <c r="R2838" t="s">
        <v>41252</v>
      </c>
      <c r="S2838" t="s">
        <v>41383</v>
      </c>
      <c r="T2838" t="s">
        <v>42758</v>
      </c>
      <c r="U2838" t="s">
        <v>45629</v>
      </c>
      <c r="W2838" t="s">
        <v>38721</v>
      </c>
      <c r="X2838" t="s">
        <v>41254</v>
      </c>
    </row>
    <row r="2839" spans="1:24">
      <c r="A2839">
        <f>HYPERLINK("https://www.philgeps.gov.ph/GEPSNONPILOT/Tender/SplashBidNoticeAbstractUI.aspx?menuIndex=3&amp;refID=7073717&amp;Result=3","7073717")</f>
        <v>0</v>
      </c>
      <c r="B2839" t="s">
        <v>59</v>
      </c>
      <c r="C2839" t="s">
        <v>6095</v>
      </c>
      <c r="E2839" t="s">
        <v>17186</v>
      </c>
      <c r="F2839" t="s">
        <v>28669</v>
      </c>
      <c r="G2839" t="s">
        <v>28676</v>
      </c>
      <c r="H2839" t="s">
        <v>9998</v>
      </c>
      <c r="I2839" t="s">
        <v>28712</v>
      </c>
      <c r="J2839" t="s">
        <v>28834</v>
      </c>
      <c r="K2839" t="s">
        <v>37209</v>
      </c>
      <c r="M2839" t="s">
        <v>37534</v>
      </c>
      <c r="N2839" t="s">
        <v>41249</v>
      </c>
      <c r="O2839" t="s">
        <v>41250</v>
      </c>
      <c r="P2839">
        <v>0</v>
      </c>
      <c r="Q2839">
        <v>1</v>
      </c>
      <c r="R2839" t="s">
        <v>41252</v>
      </c>
      <c r="S2839" t="s">
        <v>41383</v>
      </c>
      <c r="T2839" t="s">
        <v>42758</v>
      </c>
      <c r="U2839" t="s">
        <v>45630</v>
      </c>
      <c r="W2839" t="s">
        <v>37534</v>
      </c>
      <c r="X2839" t="s">
        <v>41254</v>
      </c>
    </row>
    <row r="2840" spans="1:24">
      <c r="A2840">
        <f>HYPERLINK("https://www.philgeps.gov.ph/GEPSNONPILOT/Tender/SplashBidNoticeAbstractUI.aspx?menuIndex=3&amp;refID=7073776&amp;Result=3","7073776")</f>
        <v>0</v>
      </c>
      <c r="B2840" t="s">
        <v>452</v>
      </c>
      <c r="C2840" t="s">
        <v>6096</v>
      </c>
      <c r="D2840" t="s">
        <v>16608</v>
      </c>
      <c r="E2840" t="s">
        <v>19309</v>
      </c>
      <c r="F2840" t="s">
        <v>28669</v>
      </c>
      <c r="G2840" t="s">
        <v>28682</v>
      </c>
      <c r="H2840" t="s">
        <v>9998</v>
      </c>
      <c r="I2840" t="s">
        <v>28738</v>
      </c>
      <c r="J2840" t="s">
        <v>30731</v>
      </c>
      <c r="K2840" t="s">
        <v>37220</v>
      </c>
      <c r="M2840" t="s">
        <v>37940</v>
      </c>
      <c r="N2840" t="s">
        <v>41249</v>
      </c>
      <c r="O2840" t="s">
        <v>41250</v>
      </c>
      <c r="Q2840">
        <v>5</v>
      </c>
      <c r="R2840" t="s">
        <v>41252</v>
      </c>
      <c r="S2840" t="s">
        <v>41395</v>
      </c>
      <c r="T2840" t="s">
        <v>42704</v>
      </c>
      <c r="U2840" t="s">
        <v>45323</v>
      </c>
      <c r="W2840" t="s">
        <v>37940</v>
      </c>
      <c r="X2840" t="s">
        <v>41254</v>
      </c>
    </row>
    <row r="2841" spans="1:24">
      <c r="A2841">
        <f>HYPERLINK("https://www.philgeps.gov.ph/GEPSNONPILOT/Tender/SplashBidNoticeAbstractUI.aspx?menuIndex=3&amp;refID=7073752&amp;Result=3","7073752")</f>
        <v>0</v>
      </c>
      <c r="B2841" t="s">
        <v>1164</v>
      </c>
      <c r="C2841" t="s">
        <v>6097</v>
      </c>
      <c r="D2841" t="s">
        <v>16611</v>
      </c>
      <c r="E2841" t="s">
        <v>19310</v>
      </c>
      <c r="F2841" t="s">
        <v>28669</v>
      </c>
      <c r="G2841" t="s">
        <v>28675</v>
      </c>
      <c r="H2841" t="s">
        <v>9998</v>
      </c>
      <c r="I2841" t="s">
        <v>28695</v>
      </c>
      <c r="J2841" t="s">
        <v>28845</v>
      </c>
      <c r="K2841" t="s">
        <v>37206</v>
      </c>
      <c r="M2841" t="s">
        <v>38703</v>
      </c>
      <c r="N2841" t="s">
        <v>41249</v>
      </c>
      <c r="O2841" t="s">
        <v>41250</v>
      </c>
      <c r="P2841">
        <v>0</v>
      </c>
      <c r="Q2841">
        <v>0</v>
      </c>
      <c r="R2841" t="s">
        <v>41252</v>
      </c>
      <c r="S2841" t="s">
        <v>41383</v>
      </c>
      <c r="T2841" t="s">
        <v>42770</v>
      </c>
      <c r="U2841" t="s">
        <v>45590</v>
      </c>
      <c r="V2841" t="s">
        <v>54589</v>
      </c>
      <c r="W2841" t="s">
        <v>38703</v>
      </c>
      <c r="X2841" t="s">
        <v>41254</v>
      </c>
    </row>
    <row r="2842" spans="1:24">
      <c r="A2842">
        <f>HYPERLINK("https://www.philgeps.gov.ph/GEPSNONPILOT/Tender/SplashBidNoticeAbstractUI.aspx?menuIndex=3&amp;refID=7073770&amp;Result=3","7073770")</f>
        <v>0</v>
      </c>
      <c r="B2842" t="s">
        <v>1084</v>
      </c>
      <c r="C2842" t="s">
        <v>6098</v>
      </c>
      <c r="D2842" t="s">
        <v>16667</v>
      </c>
      <c r="E2842" t="s">
        <v>19311</v>
      </c>
      <c r="F2842" t="s">
        <v>28669</v>
      </c>
      <c r="G2842" t="s">
        <v>28675</v>
      </c>
      <c r="H2842" t="s">
        <v>9998</v>
      </c>
      <c r="I2842" t="s">
        <v>28787</v>
      </c>
      <c r="J2842" t="s">
        <v>28863</v>
      </c>
      <c r="K2842" t="s">
        <v>37220</v>
      </c>
      <c r="M2842" t="s">
        <v>38616</v>
      </c>
      <c r="N2842" t="s">
        <v>41249</v>
      </c>
      <c r="O2842" t="s">
        <v>41250</v>
      </c>
      <c r="P2842">
        <v>0</v>
      </c>
      <c r="Q2842">
        <v>1</v>
      </c>
      <c r="R2842" t="s">
        <v>41252</v>
      </c>
      <c r="S2842" t="s">
        <v>41383</v>
      </c>
      <c r="T2842" t="s">
        <v>42808</v>
      </c>
      <c r="U2842" t="s">
        <v>45631</v>
      </c>
      <c r="W2842" t="s">
        <v>38616</v>
      </c>
      <c r="X2842" t="s">
        <v>41254</v>
      </c>
    </row>
    <row r="2843" spans="1:24">
      <c r="A2843">
        <f>HYPERLINK("https://www.philgeps.gov.ph/GEPSNONPILOT/Tender/SplashBidNoticeAbstractUI.aspx?menuIndex=3&amp;refID=7073814&amp;Result=3","7073814")</f>
        <v>0</v>
      </c>
      <c r="B2843" t="s">
        <v>1182</v>
      </c>
      <c r="C2843" t="s">
        <v>6099</v>
      </c>
      <c r="D2843" t="s">
        <v>16619</v>
      </c>
      <c r="E2843" t="s">
        <v>18967</v>
      </c>
      <c r="F2843" t="s">
        <v>28669</v>
      </c>
      <c r="G2843" t="s">
        <v>28677</v>
      </c>
      <c r="H2843" t="s">
        <v>9998</v>
      </c>
      <c r="I2843" t="s">
        <v>28709</v>
      </c>
      <c r="J2843" t="s">
        <v>30732</v>
      </c>
      <c r="K2843" t="s">
        <v>37204</v>
      </c>
      <c r="M2843" t="s">
        <v>38722</v>
      </c>
      <c r="N2843" t="s">
        <v>41249</v>
      </c>
      <c r="O2843" t="s">
        <v>41250</v>
      </c>
      <c r="P2843">
        <v>0</v>
      </c>
      <c r="Q2843">
        <v>0</v>
      </c>
      <c r="R2843" t="s">
        <v>41252</v>
      </c>
      <c r="S2843" t="s">
        <v>41383</v>
      </c>
      <c r="T2843" t="s">
        <v>42758</v>
      </c>
      <c r="U2843" t="s">
        <v>45632</v>
      </c>
      <c r="W2843" t="s">
        <v>38722</v>
      </c>
      <c r="X2843" t="s">
        <v>41254</v>
      </c>
    </row>
    <row r="2844" spans="1:24">
      <c r="A2844">
        <f>HYPERLINK("https://www.philgeps.gov.ph/GEPSNONPILOT/Tender/SplashBidNoticeAbstractUI.aspx?menuIndex=3&amp;refID=7073805&amp;Result=3","7073805")</f>
        <v>0</v>
      </c>
      <c r="B2844" t="s">
        <v>79</v>
      </c>
      <c r="C2844" t="s">
        <v>6100</v>
      </c>
      <c r="D2844" t="s">
        <v>16649</v>
      </c>
      <c r="E2844" t="s">
        <v>16815</v>
      </c>
      <c r="F2844" t="s">
        <v>28669</v>
      </c>
      <c r="G2844" t="s">
        <v>28677</v>
      </c>
      <c r="H2844" t="s">
        <v>9998</v>
      </c>
      <c r="I2844" t="s">
        <v>28690</v>
      </c>
      <c r="J2844" t="s">
        <v>30733</v>
      </c>
      <c r="K2844" t="s">
        <v>37209</v>
      </c>
      <c r="M2844" t="s">
        <v>37554</v>
      </c>
      <c r="N2844" t="s">
        <v>41249</v>
      </c>
      <c r="O2844" t="s">
        <v>41250</v>
      </c>
      <c r="P2844">
        <v>0</v>
      </c>
      <c r="Q2844">
        <v>0</v>
      </c>
      <c r="R2844" t="s">
        <v>41252</v>
      </c>
      <c r="S2844" t="s">
        <v>41383</v>
      </c>
      <c r="T2844" t="s">
        <v>42705</v>
      </c>
      <c r="U2844" t="s">
        <v>45633</v>
      </c>
      <c r="V2844" t="s">
        <v>54595</v>
      </c>
      <c r="W2844" t="s">
        <v>37554</v>
      </c>
      <c r="X2844" t="s">
        <v>41254</v>
      </c>
    </row>
    <row r="2845" spans="1:24">
      <c r="A2845">
        <f>HYPERLINK("https://www.philgeps.gov.ph/GEPSNONPILOT/Tender/SplashBidNoticeAbstractUI.aspx?menuIndex=3&amp;refID=7073813&amp;Result=3","7073813")</f>
        <v>0</v>
      </c>
      <c r="B2845" t="s">
        <v>634</v>
      </c>
      <c r="C2845" t="s">
        <v>6101</v>
      </c>
      <c r="D2845" t="s">
        <v>16644</v>
      </c>
      <c r="E2845" t="s">
        <v>19312</v>
      </c>
      <c r="F2845" t="s">
        <v>28669</v>
      </c>
      <c r="G2845" t="s">
        <v>28677</v>
      </c>
      <c r="H2845" t="s">
        <v>9998</v>
      </c>
      <c r="I2845" t="s">
        <v>28687</v>
      </c>
      <c r="J2845" t="s">
        <v>28979</v>
      </c>
      <c r="K2845" t="s">
        <v>37243</v>
      </c>
      <c r="M2845" t="s">
        <v>38135</v>
      </c>
      <c r="N2845" t="s">
        <v>41249</v>
      </c>
      <c r="O2845" t="s">
        <v>41250</v>
      </c>
      <c r="P2845">
        <v>0</v>
      </c>
      <c r="Q2845">
        <v>0</v>
      </c>
      <c r="R2845" t="s">
        <v>41252</v>
      </c>
      <c r="S2845" t="s">
        <v>41383</v>
      </c>
      <c r="T2845" t="s">
        <v>42686</v>
      </c>
      <c r="U2845" t="s">
        <v>45634</v>
      </c>
      <c r="W2845" t="s">
        <v>38135</v>
      </c>
      <c r="X2845" t="s">
        <v>41254</v>
      </c>
    </row>
    <row r="2846" spans="1:24">
      <c r="A2846">
        <f>HYPERLINK("https://www.philgeps.gov.ph/GEPSNONPILOT/Tender/SplashBidNoticeAbstractUI.aspx?menuIndex=3&amp;refID=7073812&amp;Result=3","7073812")</f>
        <v>0</v>
      </c>
      <c r="B2846" t="s">
        <v>1183</v>
      </c>
      <c r="C2846" t="s">
        <v>6102</v>
      </c>
      <c r="D2846" t="s">
        <v>16654</v>
      </c>
      <c r="E2846" t="s">
        <v>19313</v>
      </c>
      <c r="F2846" t="s">
        <v>28669</v>
      </c>
      <c r="G2846" t="s">
        <v>28677</v>
      </c>
      <c r="H2846" t="s">
        <v>9998</v>
      </c>
      <c r="I2846" t="s">
        <v>6128</v>
      </c>
      <c r="J2846" t="s">
        <v>30734</v>
      </c>
      <c r="K2846" t="s">
        <v>37204</v>
      </c>
      <c r="M2846" t="s">
        <v>38723</v>
      </c>
      <c r="N2846" t="s">
        <v>41249</v>
      </c>
      <c r="O2846" t="s">
        <v>41250</v>
      </c>
      <c r="P2846">
        <v>0</v>
      </c>
      <c r="Q2846">
        <v>0</v>
      </c>
      <c r="R2846" t="s">
        <v>41252</v>
      </c>
      <c r="S2846" t="s">
        <v>41383</v>
      </c>
      <c r="T2846" t="s">
        <v>42883</v>
      </c>
      <c r="U2846" t="s">
        <v>45635</v>
      </c>
      <c r="W2846" t="s">
        <v>38723</v>
      </c>
      <c r="X2846" t="s">
        <v>41254</v>
      </c>
    </row>
    <row r="2847" spans="1:24">
      <c r="A2847">
        <f>HYPERLINK("https://www.philgeps.gov.ph/GEPSNONPILOT/Tender/SplashBidNoticeAbstractUI.aspx?menuIndex=3&amp;refID=7073804&amp;Result=3","7073804")</f>
        <v>0</v>
      </c>
      <c r="B2847" t="s">
        <v>1184</v>
      </c>
      <c r="C2847" t="s">
        <v>6103</v>
      </c>
      <c r="D2847" t="s">
        <v>16640</v>
      </c>
      <c r="E2847" t="s">
        <v>19314</v>
      </c>
      <c r="F2847" t="s">
        <v>28669</v>
      </c>
      <c r="G2847" t="s">
        <v>28676</v>
      </c>
      <c r="H2847" t="s">
        <v>9998</v>
      </c>
      <c r="I2847" t="s">
        <v>3718</v>
      </c>
      <c r="J2847" t="s">
        <v>30735</v>
      </c>
      <c r="K2847" t="s">
        <v>37243</v>
      </c>
      <c r="M2847" t="s">
        <v>38724</v>
      </c>
      <c r="N2847" t="s">
        <v>41249</v>
      </c>
      <c r="O2847" t="s">
        <v>41250</v>
      </c>
      <c r="P2847">
        <v>0</v>
      </c>
      <c r="Q2847">
        <v>2</v>
      </c>
      <c r="R2847" t="s">
        <v>41252</v>
      </c>
      <c r="S2847" t="s">
        <v>41383</v>
      </c>
      <c r="T2847" t="s">
        <v>42758</v>
      </c>
      <c r="U2847" t="s">
        <v>45636</v>
      </c>
      <c r="W2847" t="s">
        <v>38724</v>
      </c>
      <c r="X2847" t="s">
        <v>41254</v>
      </c>
    </row>
    <row r="2848" spans="1:24">
      <c r="A2848">
        <f>HYPERLINK("https://www.philgeps.gov.ph/GEPSNONPILOT/Tender/SplashBidNoticeAbstractUI.aspx?menuIndex=3&amp;refID=7073802&amp;Result=3","7073802")</f>
        <v>0</v>
      </c>
      <c r="B2848" t="s">
        <v>1185</v>
      </c>
      <c r="C2848" t="s">
        <v>6104</v>
      </c>
      <c r="D2848" t="s">
        <v>16664</v>
      </c>
      <c r="E2848" t="s">
        <v>19315</v>
      </c>
      <c r="F2848" t="s">
        <v>28669</v>
      </c>
      <c r="G2848" t="s">
        <v>28675</v>
      </c>
      <c r="H2848" t="s">
        <v>9998</v>
      </c>
      <c r="I2848" t="s">
        <v>7352</v>
      </c>
      <c r="J2848" t="s">
        <v>30736</v>
      </c>
      <c r="K2848" t="s">
        <v>37206</v>
      </c>
      <c r="M2848" t="s">
        <v>38725</v>
      </c>
      <c r="N2848" t="s">
        <v>41249</v>
      </c>
      <c r="O2848" t="s">
        <v>41250</v>
      </c>
      <c r="P2848">
        <v>0</v>
      </c>
      <c r="Q2848">
        <v>0</v>
      </c>
      <c r="R2848" t="s">
        <v>41252</v>
      </c>
      <c r="S2848" t="s">
        <v>41383</v>
      </c>
      <c r="T2848" t="s">
        <v>42764</v>
      </c>
      <c r="U2848" t="s">
        <v>45637</v>
      </c>
      <c r="W2848" t="s">
        <v>38725</v>
      </c>
      <c r="X2848" t="s">
        <v>41254</v>
      </c>
    </row>
    <row r="2849" spans="1:24">
      <c r="A2849">
        <f>HYPERLINK("https://www.philgeps.gov.ph/GEPSNONPILOT/Tender/SplashBidNoticeAbstractUI.aspx?menuIndex=3&amp;refID=7073810&amp;Result=3","7073810")</f>
        <v>0</v>
      </c>
      <c r="B2849" t="s">
        <v>1168</v>
      </c>
      <c r="C2849" t="s">
        <v>6105</v>
      </c>
      <c r="D2849" t="s">
        <v>16678</v>
      </c>
      <c r="E2849" t="s">
        <v>19316</v>
      </c>
      <c r="F2849" t="s">
        <v>28669</v>
      </c>
      <c r="G2849" t="s">
        <v>28675</v>
      </c>
      <c r="H2849" t="s">
        <v>9998</v>
      </c>
      <c r="I2849" t="s">
        <v>28694</v>
      </c>
      <c r="J2849" t="s">
        <v>30737</v>
      </c>
      <c r="K2849" t="s">
        <v>37206</v>
      </c>
      <c r="M2849" t="s">
        <v>38707</v>
      </c>
      <c r="N2849" t="s">
        <v>41249</v>
      </c>
      <c r="O2849" t="s">
        <v>41250</v>
      </c>
      <c r="P2849">
        <v>0</v>
      </c>
      <c r="Q2849">
        <v>0</v>
      </c>
      <c r="R2849" t="s">
        <v>41252</v>
      </c>
      <c r="S2849" t="s">
        <v>41383</v>
      </c>
      <c r="T2849" t="s">
        <v>42703</v>
      </c>
      <c r="U2849" t="s">
        <v>45638</v>
      </c>
      <c r="W2849" t="s">
        <v>38707</v>
      </c>
      <c r="X2849" t="s">
        <v>41254</v>
      </c>
    </row>
    <row r="2850" spans="1:24">
      <c r="A2850">
        <f>HYPERLINK("https://www.philgeps.gov.ph/GEPSNONPILOT/Tender/SplashBidNoticeAbstractUI.aspx?menuIndex=3&amp;refID=7073808&amp;Result=3","7073808")</f>
        <v>0</v>
      </c>
      <c r="B2850" t="s">
        <v>1186</v>
      </c>
      <c r="C2850" t="s">
        <v>6106</v>
      </c>
      <c r="D2850" t="s">
        <v>16664</v>
      </c>
      <c r="E2850" t="s">
        <v>19317</v>
      </c>
      <c r="F2850" t="s">
        <v>28669</v>
      </c>
      <c r="G2850" t="s">
        <v>28676</v>
      </c>
      <c r="H2850" t="s">
        <v>9998</v>
      </c>
      <c r="I2850" t="s">
        <v>7352</v>
      </c>
      <c r="J2850" t="s">
        <v>30738</v>
      </c>
      <c r="K2850" t="s">
        <v>37208</v>
      </c>
      <c r="M2850" t="s">
        <v>38726</v>
      </c>
      <c r="N2850" t="s">
        <v>41249</v>
      </c>
      <c r="O2850" t="s">
        <v>41250</v>
      </c>
      <c r="P2850">
        <v>0</v>
      </c>
      <c r="Q2850">
        <v>0</v>
      </c>
      <c r="R2850" t="s">
        <v>41252</v>
      </c>
      <c r="S2850" t="s">
        <v>41383</v>
      </c>
      <c r="T2850" t="s">
        <v>42736</v>
      </c>
      <c r="U2850" t="s">
        <v>45639</v>
      </c>
      <c r="W2850" t="s">
        <v>38726</v>
      </c>
      <c r="X2850" t="s">
        <v>41254</v>
      </c>
    </row>
    <row r="2851" spans="1:24">
      <c r="A2851">
        <f>HYPERLINK("https://www.philgeps.gov.ph/GEPSNONPILOT/Tender/SplashBidNoticeAbstractUI.aspx?menuIndex=3&amp;refID=7073799&amp;Result=3","7073799")</f>
        <v>0</v>
      </c>
      <c r="B2851" t="s">
        <v>1187</v>
      </c>
      <c r="C2851" t="s">
        <v>6107</v>
      </c>
      <c r="D2851" t="s">
        <v>16608</v>
      </c>
      <c r="E2851" t="s">
        <v>19318</v>
      </c>
      <c r="F2851" t="s">
        <v>28669</v>
      </c>
      <c r="G2851" t="s">
        <v>28675</v>
      </c>
      <c r="H2851" t="s">
        <v>9998</v>
      </c>
      <c r="I2851" t="s">
        <v>28787</v>
      </c>
      <c r="J2851" t="s">
        <v>28879</v>
      </c>
      <c r="K2851" t="s">
        <v>37205</v>
      </c>
      <c r="M2851" t="s">
        <v>38727</v>
      </c>
      <c r="N2851" t="s">
        <v>41249</v>
      </c>
      <c r="O2851" t="s">
        <v>41250</v>
      </c>
      <c r="P2851">
        <v>0</v>
      </c>
      <c r="Q2851">
        <v>2</v>
      </c>
      <c r="R2851" t="s">
        <v>41252</v>
      </c>
      <c r="S2851" t="s">
        <v>41383</v>
      </c>
      <c r="T2851" t="s">
        <v>42907</v>
      </c>
      <c r="U2851" t="s">
        <v>45640</v>
      </c>
      <c r="W2851" t="s">
        <v>38727</v>
      </c>
      <c r="X2851" t="s">
        <v>41254</v>
      </c>
    </row>
    <row r="2852" spans="1:24">
      <c r="A2852">
        <f>HYPERLINK("https://www.philgeps.gov.ph/GEPSNONPILOT/Tender/SplashBidNoticeAbstractUI.aspx?menuIndex=3&amp;refID=7073807&amp;Result=3","7073807")</f>
        <v>0</v>
      </c>
      <c r="B2852" t="s">
        <v>1188</v>
      </c>
      <c r="C2852" t="s">
        <v>6108</v>
      </c>
      <c r="D2852" t="s">
        <v>16642</v>
      </c>
      <c r="E2852" t="s">
        <v>19319</v>
      </c>
      <c r="F2852" t="s">
        <v>28669</v>
      </c>
      <c r="G2852" t="s">
        <v>28678</v>
      </c>
      <c r="H2852" t="s">
        <v>9998</v>
      </c>
      <c r="I2852" t="s">
        <v>11593</v>
      </c>
      <c r="J2852" t="s">
        <v>29040</v>
      </c>
      <c r="K2852" t="s">
        <v>37204</v>
      </c>
      <c r="M2852" t="s">
        <v>38728</v>
      </c>
      <c r="N2852" t="s">
        <v>41249</v>
      </c>
      <c r="O2852" t="s">
        <v>41250</v>
      </c>
      <c r="P2852">
        <v>0</v>
      </c>
      <c r="Q2852">
        <v>2</v>
      </c>
      <c r="R2852" t="s">
        <v>41252</v>
      </c>
      <c r="S2852" t="s">
        <v>41383</v>
      </c>
      <c r="T2852" t="s">
        <v>42908</v>
      </c>
      <c r="U2852" t="s">
        <v>45641</v>
      </c>
      <c r="W2852" t="s">
        <v>38728</v>
      </c>
      <c r="X2852" t="s">
        <v>41254</v>
      </c>
    </row>
    <row r="2853" spans="1:24">
      <c r="A2853">
        <f>HYPERLINK("https://www.philgeps.gov.ph/GEPSNONPILOT/Tender/SplashBidNoticeAbstractUI.aspx?menuIndex=3&amp;refID=7073803&amp;Result=3","7073803")</f>
        <v>0</v>
      </c>
      <c r="B2853" t="s">
        <v>1189</v>
      </c>
      <c r="C2853" t="s">
        <v>6109</v>
      </c>
      <c r="D2853" t="s">
        <v>16611</v>
      </c>
      <c r="E2853" t="s">
        <v>19320</v>
      </c>
      <c r="F2853" t="s">
        <v>28669</v>
      </c>
      <c r="G2853" t="s">
        <v>28677</v>
      </c>
      <c r="H2853" t="s">
        <v>9998</v>
      </c>
      <c r="I2853" t="s">
        <v>28693</v>
      </c>
      <c r="J2853" t="s">
        <v>30739</v>
      </c>
      <c r="K2853" t="s">
        <v>37209</v>
      </c>
      <c r="M2853" t="s">
        <v>38729</v>
      </c>
      <c r="N2853" t="s">
        <v>41249</v>
      </c>
      <c r="O2853" t="s">
        <v>41250</v>
      </c>
      <c r="P2853">
        <v>0</v>
      </c>
      <c r="Q2853">
        <v>5</v>
      </c>
      <c r="R2853" t="s">
        <v>41252</v>
      </c>
      <c r="S2853" t="s">
        <v>41383</v>
      </c>
      <c r="T2853" t="s">
        <v>42736</v>
      </c>
      <c r="U2853" t="s">
        <v>45642</v>
      </c>
      <c r="W2853" t="s">
        <v>38729</v>
      </c>
      <c r="X2853" t="s">
        <v>41254</v>
      </c>
    </row>
    <row r="2854" spans="1:24">
      <c r="A2854">
        <f>HYPERLINK("https://www.philgeps.gov.ph/GEPSNONPILOT/Tender/SplashBidNoticeAbstractUI.aspx?menuIndex=3&amp;refID=7073800&amp;Result=3","7073800")</f>
        <v>0</v>
      </c>
      <c r="B2854" t="s">
        <v>1125</v>
      </c>
      <c r="C2854" t="s">
        <v>6110</v>
      </c>
      <c r="D2854" t="s">
        <v>16616</v>
      </c>
      <c r="E2854" t="s">
        <v>19321</v>
      </c>
      <c r="F2854" t="s">
        <v>28669</v>
      </c>
      <c r="G2854" t="s">
        <v>28676</v>
      </c>
      <c r="H2854" t="s">
        <v>9998</v>
      </c>
      <c r="I2854" t="s">
        <v>28728</v>
      </c>
      <c r="J2854" t="s">
        <v>28879</v>
      </c>
      <c r="K2854" t="s">
        <v>37209</v>
      </c>
      <c r="M2854" t="s">
        <v>38659</v>
      </c>
      <c r="N2854" t="s">
        <v>41249</v>
      </c>
      <c r="O2854" t="s">
        <v>41250</v>
      </c>
      <c r="P2854">
        <v>0</v>
      </c>
      <c r="Q2854">
        <v>0</v>
      </c>
      <c r="R2854" t="s">
        <v>41252</v>
      </c>
      <c r="S2854" t="s">
        <v>41383</v>
      </c>
      <c r="T2854" t="s">
        <v>42764</v>
      </c>
      <c r="U2854" t="s">
        <v>45510</v>
      </c>
      <c r="W2854" t="s">
        <v>38659</v>
      </c>
      <c r="X2854" t="s">
        <v>41254</v>
      </c>
    </row>
    <row r="2855" spans="1:24">
      <c r="A2855">
        <f>HYPERLINK("https://www.philgeps.gov.ph/GEPSNONPILOT/Tender/SplashBidNoticeAbstractUI.aspx?menuIndex=3&amp;refID=7073811&amp;Result=3","7073811")</f>
        <v>0</v>
      </c>
      <c r="B2855" t="s">
        <v>140</v>
      </c>
      <c r="C2855" t="s">
        <v>6111</v>
      </c>
      <c r="D2855" t="s">
        <v>16652</v>
      </c>
      <c r="E2855" t="s">
        <v>19322</v>
      </c>
      <c r="F2855" t="s">
        <v>28669</v>
      </c>
      <c r="G2855" t="s">
        <v>28676</v>
      </c>
      <c r="H2855" t="s">
        <v>9998</v>
      </c>
      <c r="I2855" t="s">
        <v>28728</v>
      </c>
      <c r="J2855" t="s">
        <v>29545</v>
      </c>
      <c r="K2855" t="s">
        <v>37234</v>
      </c>
      <c r="M2855" t="s">
        <v>37617</v>
      </c>
      <c r="N2855" t="s">
        <v>41249</v>
      </c>
      <c r="O2855" t="s">
        <v>41250</v>
      </c>
      <c r="P2855">
        <v>0</v>
      </c>
      <c r="Q2855">
        <v>0</v>
      </c>
      <c r="R2855" t="s">
        <v>41252</v>
      </c>
      <c r="S2855" t="s">
        <v>41383</v>
      </c>
      <c r="T2855" t="s">
        <v>42802</v>
      </c>
      <c r="U2855" t="s">
        <v>45643</v>
      </c>
      <c r="W2855" t="s">
        <v>37617</v>
      </c>
      <c r="X2855" t="s">
        <v>41254</v>
      </c>
    </row>
    <row r="2856" spans="1:24">
      <c r="A2856">
        <f>HYPERLINK("https://www.philgeps.gov.ph/GEPSNONPILOT/Tender/SplashBidNoticeAbstractUI.aspx?menuIndex=3&amp;refID=7073835&amp;Result=3","7073835")</f>
        <v>0</v>
      </c>
      <c r="B2856" t="s">
        <v>1190</v>
      </c>
      <c r="C2856" t="s">
        <v>6112</v>
      </c>
      <c r="D2856" t="s">
        <v>16626</v>
      </c>
      <c r="E2856" t="s">
        <v>19323</v>
      </c>
      <c r="F2856" t="s">
        <v>28669</v>
      </c>
      <c r="G2856" t="s">
        <v>28676</v>
      </c>
      <c r="H2856" t="s">
        <v>28684</v>
      </c>
      <c r="I2856" t="s">
        <v>28746</v>
      </c>
      <c r="J2856" t="s">
        <v>29540</v>
      </c>
      <c r="K2856" t="s">
        <v>37272</v>
      </c>
      <c r="M2856" t="s">
        <v>38730</v>
      </c>
      <c r="N2856" t="s">
        <v>41249</v>
      </c>
      <c r="O2856" t="s">
        <v>41250</v>
      </c>
      <c r="P2856">
        <v>0</v>
      </c>
      <c r="Q2856">
        <v>0</v>
      </c>
      <c r="R2856" t="s">
        <v>41252</v>
      </c>
      <c r="S2856" t="s">
        <v>41383</v>
      </c>
      <c r="T2856" t="s">
        <v>42729</v>
      </c>
      <c r="U2856" t="s">
        <v>45644</v>
      </c>
      <c r="W2856" t="s">
        <v>55944</v>
      </c>
      <c r="X2856" t="s">
        <v>41254</v>
      </c>
    </row>
    <row r="2857" spans="1:24">
      <c r="A2857">
        <f>HYPERLINK("https://www.philgeps.gov.ph/GEPSNONPILOT/Tender/SplashBidNoticeAbstractUI.aspx?menuIndex=3&amp;refID=7073834&amp;Result=3","7073834")</f>
        <v>0</v>
      </c>
      <c r="B2857" t="s">
        <v>1191</v>
      </c>
      <c r="C2857" t="s">
        <v>6113</v>
      </c>
      <c r="D2857" t="s">
        <v>16687</v>
      </c>
      <c r="E2857" t="s">
        <v>19324</v>
      </c>
      <c r="F2857" t="s">
        <v>28669</v>
      </c>
      <c r="G2857" t="s">
        <v>28675</v>
      </c>
      <c r="H2857" t="s">
        <v>9998</v>
      </c>
      <c r="I2857" t="s">
        <v>28722</v>
      </c>
      <c r="J2857" t="s">
        <v>30740</v>
      </c>
      <c r="K2857" t="s">
        <v>37227</v>
      </c>
      <c r="M2857" t="s">
        <v>38731</v>
      </c>
      <c r="N2857" t="s">
        <v>41249</v>
      </c>
      <c r="O2857" t="s">
        <v>41250</v>
      </c>
      <c r="P2857">
        <v>0</v>
      </c>
      <c r="Q2857">
        <v>1</v>
      </c>
      <c r="R2857" t="s">
        <v>41252</v>
      </c>
      <c r="S2857" t="s">
        <v>41383</v>
      </c>
      <c r="T2857" t="s">
        <v>42714</v>
      </c>
      <c r="U2857" t="s">
        <v>45645</v>
      </c>
      <c r="W2857" t="s">
        <v>38731</v>
      </c>
      <c r="X2857" t="s">
        <v>41254</v>
      </c>
    </row>
    <row r="2858" spans="1:24">
      <c r="A2858">
        <f>HYPERLINK("https://www.philgeps.gov.ph/GEPSNONPILOT/Tender/SplashBidNoticeAbstractUI.aspx?menuIndex=3&amp;refID=7073740&amp;Result=3","7073740")</f>
        <v>0</v>
      </c>
      <c r="B2858" t="s">
        <v>1111</v>
      </c>
      <c r="C2858" t="s">
        <v>6114</v>
      </c>
      <c r="D2858" t="s">
        <v>16668</v>
      </c>
      <c r="E2858" t="s">
        <v>19325</v>
      </c>
      <c r="F2858" t="s">
        <v>28669</v>
      </c>
      <c r="G2858" t="s">
        <v>28676</v>
      </c>
      <c r="H2858" t="s">
        <v>9998</v>
      </c>
      <c r="I2858" t="s">
        <v>28714</v>
      </c>
      <c r="J2858" t="s">
        <v>29281</v>
      </c>
      <c r="K2858" t="s">
        <v>37209</v>
      </c>
      <c r="M2858" t="s">
        <v>38644</v>
      </c>
      <c r="N2858" t="s">
        <v>41249</v>
      </c>
      <c r="O2858" t="s">
        <v>41250</v>
      </c>
      <c r="P2858">
        <v>0</v>
      </c>
      <c r="Q2858">
        <v>1</v>
      </c>
      <c r="R2858" t="s">
        <v>41252</v>
      </c>
      <c r="S2858" t="s">
        <v>41383</v>
      </c>
      <c r="T2858" t="s">
        <v>42758</v>
      </c>
      <c r="U2858" t="s">
        <v>45646</v>
      </c>
      <c r="W2858" t="s">
        <v>38644</v>
      </c>
      <c r="X2858" t="s">
        <v>41254</v>
      </c>
    </row>
    <row r="2859" spans="1:24">
      <c r="A2859">
        <f>HYPERLINK("https://www.philgeps.gov.ph/GEPSNONPILOT/Tender/SplashBidNoticeAbstractUI.aspx?menuIndex=3&amp;refID=7073832&amp;Result=3","7073832")</f>
        <v>0</v>
      </c>
      <c r="B2859" t="s">
        <v>358</v>
      </c>
      <c r="C2859" t="s">
        <v>6115</v>
      </c>
      <c r="D2859" t="s">
        <v>16683</v>
      </c>
      <c r="E2859" t="s">
        <v>19326</v>
      </c>
      <c r="F2859" t="s">
        <v>28669</v>
      </c>
      <c r="G2859" t="s">
        <v>28677</v>
      </c>
      <c r="H2859" t="s">
        <v>9998</v>
      </c>
      <c r="I2859" t="s">
        <v>15140</v>
      </c>
      <c r="J2859" t="s">
        <v>30741</v>
      </c>
      <c r="K2859" t="s">
        <v>37209</v>
      </c>
      <c r="M2859" t="s">
        <v>37839</v>
      </c>
      <c r="N2859" t="s">
        <v>41249</v>
      </c>
      <c r="O2859" t="s">
        <v>41250</v>
      </c>
      <c r="P2859">
        <v>0</v>
      </c>
      <c r="Q2859">
        <v>0</v>
      </c>
      <c r="R2859" t="s">
        <v>41252</v>
      </c>
      <c r="S2859" t="s">
        <v>41383</v>
      </c>
      <c r="T2859" t="s">
        <v>42883</v>
      </c>
      <c r="U2859" t="s">
        <v>45647</v>
      </c>
      <c r="W2859" t="s">
        <v>37839</v>
      </c>
      <c r="X2859" t="s">
        <v>41254</v>
      </c>
    </row>
    <row r="2860" spans="1:24">
      <c r="A2860">
        <f>HYPERLINK("https://www.philgeps.gov.ph/GEPSNONPILOT/Tender/SplashBidNoticeAbstractUI.aspx?menuIndex=3&amp;refID=7073830&amp;Result=3","7073830")</f>
        <v>0</v>
      </c>
      <c r="B2860" t="s">
        <v>136</v>
      </c>
      <c r="C2860" t="s">
        <v>6116</v>
      </c>
      <c r="D2860" t="s">
        <v>16642</v>
      </c>
      <c r="E2860" t="s">
        <v>19327</v>
      </c>
      <c r="F2860" t="s">
        <v>28669</v>
      </c>
      <c r="G2860" t="s">
        <v>28676</v>
      </c>
      <c r="H2860" t="s">
        <v>9998</v>
      </c>
      <c r="I2860" t="s">
        <v>28708</v>
      </c>
      <c r="J2860" t="s">
        <v>28838</v>
      </c>
      <c r="K2860" t="s">
        <v>37206</v>
      </c>
      <c r="M2860" t="s">
        <v>37613</v>
      </c>
      <c r="N2860" t="s">
        <v>41249</v>
      </c>
      <c r="O2860" t="s">
        <v>41250</v>
      </c>
      <c r="P2860">
        <v>0</v>
      </c>
      <c r="Q2860">
        <v>1</v>
      </c>
      <c r="R2860" t="s">
        <v>41252</v>
      </c>
      <c r="S2860" t="s">
        <v>41383</v>
      </c>
      <c r="T2860" t="s">
        <v>42735</v>
      </c>
      <c r="U2860" t="s">
        <v>45648</v>
      </c>
      <c r="V2860" t="s">
        <v>54313</v>
      </c>
      <c r="W2860" t="s">
        <v>55905</v>
      </c>
      <c r="X2860" t="s">
        <v>41254</v>
      </c>
    </row>
    <row r="2861" spans="1:24">
      <c r="A2861">
        <f>HYPERLINK("https://www.philgeps.gov.ph/GEPSNONPILOT/Tender/SplashBidNoticeAbstractUI.aspx?menuIndex=3&amp;refID=7073838&amp;Result=3","7073838")</f>
        <v>0</v>
      </c>
      <c r="B2861" t="s">
        <v>1192</v>
      </c>
      <c r="C2861" t="s">
        <v>6117</v>
      </c>
      <c r="D2861" t="s">
        <v>16619</v>
      </c>
      <c r="E2861" t="s">
        <v>16807</v>
      </c>
      <c r="F2861" t="s">
        <v>28669</v>
      </c>
      <c r="G2861" t="s">
        <v>28676</v>
      </c>
      <c r="H2861" t="s">
        <v>9998</v>
      </c>
      <c r="I2861" t="s">
        <v>28711</v>
      </c>
      <c r="J2861" t="s">
        <v>30742</v>
      </c>
      <c r="K2861" t="s">
        <v>37208</v>
      </c>
      <c r="M2861" t="s">
        <v>38732</v>
      </c>
      <c r="N2861" t="s">
        <v>41249</v>
      </c>
      <c r="O2861" t="s">
        <v>41250</v>
      </c>
      <c r="P2861">
        <v>0</v>
      </c>
      <c r="Q2861">
        <v>1</v>
      </c>
      <c r="R2861" t="s">
        <v>41252</v>
      </c>
      <c r="S2861" t="s">
        <v>41383</v>
      </c>
      <c r="T2861" t="s">
        <v>42742</v>
      </c>
      <c r="U2861" t="s">
        <v>45649</v>
      </c>
      <c r="W2861" t="s">
        <v>38732</v>
      </c>
      <c r="X2861" t="s">
        <v>41254</v>
      </c>
    </row>
    <row r="2862" spans="1:24">
      <c r="A2862">
        <f>HYPERLINK("https://www.philgeps.gov.ph/GEPSNONPILOT/Tender/SplashBidNoticeAbstractUI.aspx?menuIndex=3&amp;refID=7073829&amp;Result=3","7073829")</f>
        <v>0</v>
      </c>
      <c r="B2862" t="s">
        <v>1102</v>
      </c>
      <c r="C2862" t="s">
        <v>6118</v>
      </c>
      <c r="D2862" t="s">
        <v>16667</v>
      </c>
      <c r="E2862" t="s">
        <v>6118</v>
      </c>
      <c r="F2862" t="s">
        <v>28669</v>
      </c>
      <c r="G2862" t="s">
        <v>28676</v>
      </c>
      <c r="H2862" t="s">
        <v>9998</v>
      </c>
      <c r="I2862" t="s">
        <v>28704</v>
      </c>
      <c r="J2862" t="s">
        <v>30743</v>
      </c>
      <c r="K2862" t="s">
        <v>37209</v>
      </c>
      <c r="M2862" t="s">
        <v>38635</v>
      </c>
      <c r="N2862" t="s">
        <v>41249</v>
      </c>
      <c r="O2862" t="s">
        <v>41250</v>
      </c>
      <c r="P2862">
        <v>0</v>
      </c>
      <c r="Q2862">
        <v>0</v>
      </c>
      <c r="R2862" t="s">
        <v>41252</v>
      </c>
      <c r="S2862" t="s">
        <v>41383</v>
      </c>
      <c r="T2862" t="s">
        <v>42729</v>
      </c>
      <c r="U2862" t="s">
        <v>45446</v>
      </c>
      <c r="W2862" t="s">
        <v>38635</v>
      </c>
      <c r="X2862" t="s">
        <v>41254</v>
      </c>
    </row>
    <row r="2863" spans="1:24">
      <c r="A2863">
        <f>HYPERLINK("https://www.philgeps.gov.ph/GEPSNONPILOT/Tender/SplashBidNoticeAbstractUI.aspx?menuIndex=3&amp;refID=7073826&amp;Result=3","7073826")</f>
        <v>0</v>
      </c>
      <c r="B2863" t="s">
        <v>557</v>
      </c>
      <c r="C2863" t="s">
        <v>6119</v>
      </c>
      <c r="D2863" t="s">
        <v>16608</v>
      </c>
      <c r="E2863" t="s">
        <v>19328</v>
      </c>
      <c r="F2863" t="s">
        <v>28669</v>
      </c>
      <c r="G2863" t="s">
        <v>28676</v>
      </c>
      <c r="H2863" t="s">
        <v>9998</v>
      </c>
      <c r="I2863" t="s">
        <v>28748</v>
      </c>
      <c r="J2863" t="s">
        <v>28834</v>
      </c>
      <c r="K2863" t="s">
        <v>37204</v>
      </c>
      <c r="M2863" t="s">
        <v>38050</v>
      </c>
      <c r="N2863" t="s">
        <v>41249</v>
      </c>
      <c r="O2863" t="s">
        <v>41250</v>
      </c>
      <c r="P2863">
        <v>0</v>
      </c>
      <c r="Q2863">
        <v>1</v>
      </c>
      <c r="R2863" t="s">
        <v>41252</v>
      </c>
      <c r="S2863" t="s">
        <v>41383</v>
      </c>
      <c r="T2863" t="s">
        <v>42758</v>
      </c>
      <c r="U2863" t="s">
        <v>45650</v>
      </c>
      <c r="V2863" t="s">
        <v>54379</v>
      </c>
      <c r="W2863" t="s">
        <v>38050</v>
      </c>
      <c r="X2863" t="s">
        <v>41254</v>
      </c>
    </row>
    <row r="2864" spans="1:24">
      <c r="A2864">
        <f>HYPERLINK("https://www.philgeps.gov.ph/GEPSNONPILOT/Tender/SplashBidNoticeAbstractUI.aspx?menuIndex=3&amp;refID=7073841&amp;Result=3","7073841")</f>
        <v>0</v>
      </c>
      <c r="B2864" t="s">
        <v>51</v>
      </c>
      <c r="C2864" t="s">
        <v>6120</v>
      </c>
      <c r="D2864" t="s">
        <v>16631</v>
      </c>
      <c r="E2864" t="s">
        <v>19329</v>
      </c>
      <c r="F2864" t="s">
        <v>28669</v>
      </c>
      <c r="G2864" t="s">
        <v>28676</v>
      </c>
      <c r="H2864" t="s">
        <v>9998</v>
      </c>
      <c r="I2864" t="s">
        <v>28695</v>
      </c>
      <c r="J2864" t="s">
        <v>30744</v>
      </c>
      <c r="K2864" t="s">
        <v>37204</v>
      </c>
      <c r="M2864" t="s">
        <v>38699</v>
      </c>
      <c r="N2864" t="s">
        <v>41249</v>
      </c>
      <c r="O2864" t="s">
        <v>41250</v>
      </c>
      <c r="P2864">
        <v>0</v>
      </c>
      <c r="Q2864">
        <v>0</v>
      </c>
      <c r="R2864" t="s">
        <v>41252</v>
      </c>
      <c r="S2864" t="s">
        <v>41383</v>
      </c>
      <c r="T2864" t="s">
        <v>42670</v>
      </c>
      <c r="U2864" t="s">
        <v>45651</v>
      </c>
      <c r="W2864" t="s">
        <v>38699</v>
      </c>
      <c r="X2864" t="s">
        <v>41254</v>
      </c>
    </row>
    <row r="2865" spans="1:24">
      <c r="A2865">
        <f>HYPERLINK("https://www.philgeps.gov.ph/GEPSNONPILOT/Tender/SplashBidNoticeAbstractUI.aspx?menuIndex=3&amp;refID=7073837&amp;Result=3","7073837")</f>
        <v>0</v>
      </c>
      <c r="B2865" t="s">
        <v>1193</v>
      </c>
      <c r="C2865" t="s">
        <v>6121</v>
      </c>
      <c r="D2865" t="s">
        <v>16673</v>
      </c>
      <c r="E2865" t="s">
        <v>19330</v>
      </c>
      <c r="F2865" t="s">
        <v>28669</v>
      </c>
      <c r="G2865" t="s">
        <v>28676</v>
      </c>
      <c r="H2865" t="s">
        <v>9998</v>
      </c>
      <c r="I2865" t="s">
        <v>6128</v>
      </c>
      <c r="J2865" t="s">
        <v>30745</v>
      </c>
      <c r="K2865" t="s">
        <v>37208</v>
      </c>
      <c r="M2865" t="s">
        <v>38733</v>
      </c>
      <c r="N2865" t="s">
        <v>41249</v>
      </c>
      <c r="O2865" t="s">
        <v>41250</v>
      </c>
      <c r="P2865">
        <v>0</v>
      </c>
      <c r="Q2865">
        <v>3</v>
      </c>
      <c r="R2865" t="s">
        <v>41252</v>
      </c>
      <c r="S2865" t="s">
        <v>41383</v>
      </c>
      <c r="T2865" t="s">
        <v>42867</v>
      </c>
      <c r="U2865" t="s">
        <v>45652</v>
      </c>
      <c r="W2865" t="s">
        <v>38733</v>
      </c>
      <c r="X2865" t="s">
        <v>41254</v>
      </c>
    </row>
    <row r="2866" spans="1:24">
      <c r="A2866">
        <f>HYPERLINK("https://www.philgeps.gov.ph/GEPSNONPILOT/Tender/SplashBidNoticeAbstractUI.aspx?menuIndex=3&amp;refID=7073857&amp;Result=3","7073857")</f>
        <v>0</v>
      </c>
      <c r="B2866" t="s">
        <v>1194</v>
      </c>
      <c r="C2866" t="s">
        <v>6122</v>
      </c>
      <c r="D2866" t="s">
        <v>16618</v>
      </c>
      <c r="E2866" t="s">
        <v>19331</v>
      </c>
      <c r="F2866" t="s">
        <v>28669</v>
      </c>
      <c r="G2866" t="s">
        <v>28675</v>
      </c>
      <c r="H2866" t="s">
        <v>9998</v>
      </c>
      <c r="I2866" t="s">
        <v>6128</v>
      </c>
      <c r="J2866" t="s">
        <v>28879</v>
      </c>
      <c r="K2866" t="s">
        <v>37210</v>
      </c>
      <c r="M2866" t="s">
        <v>38734</v>
      </c>
      <c r="N2866" t="s">
        <v>41249</v>
      </c>
      <c r="O2866" t="s">
        <v>41250</v>
      </c>
      <c r="P2866">
        <v>0</v>
      </c>
      <c r="Q2866">
        <v>0</v>
      </c>
      <c r="R2866" t="s">
        <v>41252</v>
      </c>
      <c r="S2866" t="s">
        <v>41383</v>
      </c>
      <c r="T2866" t="s">
        <v>42759</v>
      </c>
      <c r="U2866" t="s">
        <v>45653</v>
      </c>
      <c r="W2866" t="s">
        <v>38734</v>
      </c>
      <c r="X2866" t="s">
        <v>41254</v>
      </c>
    </row>
    <row r="2867" spans="1:24">
      <c r="A2867">
        <f>HYPERLINK("https://www.philgeps.gov.ph/GEPSNONPILOT/Tender/SplashBidNoticeAbstractUI.aspx?menuIndex=3&amp;refID=7073863&amp;Result=3","7073863")</f>
        <v>0</v>
      </c>
      <c r="B2867" t="s">
        <v>1195</v>
      </c>
      <c r="C2867" t="s">
        <v>6123</v>
      </c>
      <c r="D2867" t="s">
        <v>16640</v>
      </c>
      <c r="E2867" t="s">
        <v>19332</v>
      </c>
      <c r="F2867" t="s">
        <v>28669</v>
      </c>
      <c r="G2867" t="s">
        <v>28675</v>
      </c>
      <c r="H2867" t="s">
        <v>28686</v>
      </c>
      <c r="I2867" t="s">
        <v>28689</v>
      </c>
      <c r="J2867" t="s">
        <v>30036</v>
      </c>
      <c r="K2867" t="s">
        <v>37207</v>
      </c>
      <c r="M2867" t="s">
        <v>38735</v>
      </c>
      <c r="N2867" t="s">
        <v>41249</v>
      </c>
      <c r="O2867" t="s">
        <v>41250</v>
      </c>
      <c r="P2867">
        <v>0</v>
      </c>
      <c r="Q2867">
        <v>0</v>
      </c>
      <c r="R2867" t="s">
        <v>41252</v>
      </c>
      <c r="S2867" t="s">
        <v>41383</v>
      </c>
      <c r="T2867" t="s">
        <v>42759</v>
      </c>
      <c r="U2867" t="s">
        <v>45654</v>
      </c>
      <c r="W2867" t="s">
        <v>38735</v>
      </c>
      <c r="X2867" t="s">
        <v>41254</v>
      </c>
    </row>
    <row r="2868" spans="1:24">
      <c r="A2868">
        <f>HYPERLINK("https://www.philgeps.gov.ph/GEPSNONPILOT/Tender/SplashBidNoticeAbstractUI.aspx?menuIndex=3&amp;refID=7073828&amp;Result=3","7073828")</f>
        <v>0</v>
      </c>
      <c r="B2868" t="s">
        <v>1196</v>
      </c>
      <c r="C2868" t="s">
        <v>6124</v>
      </c>
      <c r="D2868" t="s">
        <v>16633</v>
      </c>
      <c r="E2868" t="s">
        <v>19333</v>
      </c>
      <c r="F2868" t="s">
        <v>28669</v>
      </c>
      <c r="G2868" t="s">
        <v>28676</v>
      </c>
      <c r="H2868" t="s">
        <v>9998</v>
      </c>
      <c r="I2868" t="s">
        <v>11593</v>
      </c>
      <c r="J2868" t="s">
        <v>29513</v>
      </c>
      <c r="K2868" t="s">
        <v>37206</v>
      </c>
      <c r="M2868" t="s">
        <v>38736</v>
      </c>
      <c r="N2868" t="s">
        <v>41249</v>
      </c>
      <c r="O2868" t="s">
        <v>41250</v>
      </c>
      <c r="P2868">
        <v>0</v>
      </c>
      <c r="Q2868">
        <v>7</v>
      </c>
      <c r="R2868" t="s">
        <v>41252</v>
      </c>
      <c r="S2868" t="s">
        <v>41383</v>
      </c>
      <c r="T2868" t="s">
        <v>42673</v>
      </c>
      <c r="U2868" t="s">
        <v>45655</v>
      </c>
      <c r="W2868" t="s">
        <v>38736</v>
      </c>
      <c r="X2868" t="s">
        <v>41254</v>
      </c>
    </row>
    <row r="2869" spans="1:24">
      <c r="A2869">
        <f>HYPERLINK("https://www.philgeps.gov.ph/GEPSNONPILOT/Tender/SplashBidNoticeAbstractUI.aspx?menuIndex=3&amp;refID=7073862&amp;Result=3","7073862")</f>
        <v>0</v>
      </c>
      <c r="B2869" t="s">
        <v>1169</v>
      </c>
      <c r="C2869" t="s">
        <v>6125</v>
      </c>
      <c r="D2869" t="s">
        <v>16691</v>
      </c>
      <c r="E2869" t="s">
        <v>19334</v>
      </c>
      <c r="F2869" t="s">
        <v>28669</v>
      </c>
      <c r="G2869" t="s">
        <v>28676</v>
      </c>
      <c r="H2869" t="s">
        <v>9998</v>
      </c>
      <c r="I2869" t="s">
        <v>28698</v>
      </c>
      <c r="J2869" t="s">
        <v>30746</v>
      </c>
      <c r="K2869" t="s">
        <v>37210</v>
      </c>
      <c r="M2869" t="s">
        <v>38708</v>
      </c>
      <c r="N2869" t="s">
        <v>41249</v>
      </c>
      <c r="O2869" t="s">
        <v>41250</v>
      </c>
      <c r="P2869">
        <v>0</v>
      </c>
      <c r="Q2869">
        <v>0</v>
      </c>
      <c r="R2869" t="s">
        <v>41252</v>
      </c>
      <c r="S2869" t="s">
        <v>41383</v>
      </c>
      <c r="T2869" t="s">
        <v>42729</v>
      </c>
      <c r="U2869" t="s">
        <v>45656</v>
      </c>
      <c r="V2869" t="s">
        <v>54596</v>
      </c>
      <c r="W2869" t="s">
        <v>38708</v>
      </c>
      <c r="X2869" t="s">
        <v>41254</v>
      </c>
    </row>
    <row r="2870" spans="1:24">
      <c r="A2870">
        <f>HYPERLINK("https://www.philgeps.gov.ph/GEPSNONPILOT/Tender/SplashBidNoticeAbstractUI.aspx?menuIndex=3&amp;refID=7073831&amp;Result=3","7073831")</f>
        <v>0</v>
      </c>
      <c r="B2870" t="s">
        <v>1197</v>
      </c>
      <c r="C2870" t="s">
        <v>6126</v>
      </c>
      <c r="D2870" t="s">
        <v>16624</v>
      </c>
      <c r="E2870" t="s">
        <v>18433</v>
      </c>
      <c r="F2870" t="s">
        <v>28669</v>
      </c>
      <c r="G2870" t="s">
        <v>28676</v>
      </c>
      <c r="H2870" t="s">
        <v>9998</v>
      </c>
      <c r="I2870" t="s">
        <v>15140</v>
      </c>
      <c r="J2870" t="s">
        <v>30747</v>
      </c>
      <c r="K2870" t="s">
        <v>37206</v>
      </c>
      <c r="M2870" t="s">
        <v>38737</v>
      </c>
      <c r="N2870" t="s">
        <v>41249</v>
      </c>
      <c r="O2870" t="s">
        <v>41250</v>
      </c>
      <c r="P2870">
        <v>0</v>
      </c>
      <c r="Q2870">
        <v>0</v>
      </c>
      <c r="R2870" t="s">
        <v>41252</v>
      </c>
      <c r="S2870" t="s">
        <v>41383</v>
      </c>
      <c r="T2870" t="s">
        <v>42729</v>
      </c>
      <c r="U2870" t="s">
        <v>45657</v>
      </c>
      <c r="W2870" t="s">
        <v>38737</v>
      </c>
      <c r="X2870" t="s">
        <v>41254</v>
      </c>
    </row>
    <row r="2871" spans="1:24">
      <c r="A2871">
        <f>HYPERLINK("https://www.philgeps.gov.ph/GEPSNONPILOT/Tender/SplashBidNoticeAbstractUI.aspx?menuIndex=3&amp;refID=7073861&amp;Result=3","7073861")</f>
        <v>0</v>
      </c>
      <c r="B2871" t="s">
        <v>1102</v>
      </c>
      <c r="C2871" t="s">
        <v>6127</v>
      </c>
      <c r="D2871" t="s">
        <v>16667</v>
      </c>
      <c r="E2871" t="s">
        <v>6127</v>
      </c>
      <c r="F2871" t="s">
        <v>28669</v>
      </c>
      <c r="G2871" t="s">
        <v>28676</v>
      </c>
      <c r="H2871" t="s">
        <v>9998</v>
      </c>
      <c r="I2871" t="s">
        <v>28704</v>
      </c>
      <c r="J2871" t="s">
        <v>30748</v>
      </c>
      <c r="K2871" t="s">
        <v>37209</v>
      </c>
      <c r="M2871" t="s">
        <v>38635</v>
      </c>
      <c r="N2871" t="s">
        <v>41249</v>
      </c>
      <c r="O2871" t="s">
        <v>41250</v>
      </c>
      <c r="P2871">
        <v>0</v>
      </c>
      <c r="Q2871">
        <v>0</v>
      </c>
      <c r="R2871" t="s">
        <v>41252</v>
      </c>
      <c r="S2871" t="s">
        <v>41383</v>
      </c>
      <c r="T2871" t="s">
        <v>42729</v>
      </c>
      <c r="U2871" t="s">
        <v>45446</v>
      </c>
      <c r="W2871" t="s">
        <v>38635</v>
      </c>
      <c r="X2871" t="s">
        <v>41254</v>
      </c>
    </row>
    <row r="2872" spans="1:24">
      <c r="A2872">
        <f>HYPERLINK("https://www.philgeps.gov.ph/GEPSNONPILOT/Tender/SplashBidNoticeAbstractUI.aspx?menuIndex=3&amp;refID=7073859&amp;Result=3","7073859")</f>
        <v>0</v>
      </c>
      <c r="B2872" t="s">
        <v>601</v>
      </c>
      <c r="C2872" t="s">
        <v>6128</v>
      </c>
      <c r="D2872" t="s">
        <v>16608</v>
      </c>
      <c r="E2872" t="s">
        <v>19335</v>
      </c>
      <c r="F2872" t="s">
        <v>28669</v>
      </c>
      <c r="G2872" t="s">
        <v>28676</v>
      </c>
      <c r="H2872" t="s">
        <v>9998</v>
      </c>
      <c r="I2872" t="s">
        <v>6128</v>
      </c>
      <c r="J2872" t="s">
        <v>30749</v>
      </c>
      <c r="K2872" t="s">
        <v>37209</v>
      </c>
      <c r="M2872" t="s">
        <v>38192</v>
      </c>
      <c r="N2872" t="s">
        <v>41249</v>
      </c>
      <c r="O2872" t="s">
        <v>41250</v>
      </c>
      <c r="P2872">
        <v>0</v>
      </c>
      <c r="Q2872">
        <v>9</v>
      </c>
      <c r="R2872" t="s">
        <v>41252</v>
      </c>
      <c r="S2872" t="s">
        <v>41383</v>
      </c>
      <c r="T2872" t="s">
        <v>42802</v>
      </c>
      <c r="U2872" t="s">
        <v>45658</v>
      </c>
      <c r="V2872" t="s">
        <v>54425</v>
      </c>
      <c r="W2872" t="s">
        <v>38192</v>
      </c>
      <c r="X2872" t="s">
        <v>41254</v>
      </c>
    </row>
    <row r="2873" spans="1:24">
      <c r="A2873">
        <f>HYPERLINK("https://www.philgeps.gov.ph/GEPSNONPILOT/Tender/SplashBidNoticeAbstractUI.aspx?menuIndex=3&amp;refID=7073858&amp;Result=3","7073858")</f>
        <v>0</v>
      </c>
      <c r="B2873" t="s">
        <v>909</v>
      </c>
      <c r="C2873" t="s">
        <v>6129</v>
      </c>
      <c r="D2873" t="s">
        <v>16662</v>
      </c>
      <c r="E2873" t="s">
        <v>19336</v>
      </c>
      <c r="F2873" t="s">
        <v>28669</v>
      </c>
      <c r="G2873" t="s">
        <v>28676</v>
      </c>
      <c r="H2873" t="s">
        <v>9998</v>
      </c>
      <c r="I2873" t="s">
        <v>28757</v>
      </c>
      <c r="J2873" t="s">
        <v>29244</v>
      </c>
      <c r="K2873" t="s">
        <v>37227</v>
      </c>
      <c r="M2873" t="s">
        <v>38431</v>
      </c>
      <c r="N2873" t="s">
        <v>41249</v>
      </c>
      <c r="O2873" t="s">
        <v>41250</v>
      </c>
      <c r="P2873">
        <v>0</v>
      </c>
      <c r="Q2873">
        <v>1</v>
      </c>
      <c r="R2873" t="s">
        <v>41252</v>
      </c>
      <c r="S2873" t="s">
        <v>41383</v>
      </c>
      <c r="T2873" t="s">
        <v>42736</v>
      </c>
      <c r="U2873" t="s">
        <v>45659</v>
      </c>
      <c r="W2873" t="s">
        <v>38431</v>
      </c>
      <c r="X2873" t="s">
        <v>41254</v>
      </c>
    </row>
    <row r="2874" spans="1:24">
      <c r="A2874">
        <f>HYPERLINK("https://www.philgeps.gov.ph/GEPSNONPILOT/Tender/SplashBidNoticeAbstractUI.aspx?menuIndex=3&amp;refID=7073836&amp;Result=3","7073836")</f>
        <v>0</v>
      </c>
      <c r="B2874" t="s">
        <v>1198</v>
      </c>
      <c r="C2874" t="s">
        <v>6130</v>
      </c>
      <c r="D2874" t="s">
        <v>16640</v>
      </c>
      <c r="E2874" t="s">
        <v>19337</v>
      </c>
      <c r="F2874" t="s">
        <v>28669</v>
      </c>
      <c r="G2874" t="s">
        <v>28677</v>
      </c>
      <c r="H2874" t="s">
        <v>9998</v>
      </c>
      <c r="I2874" t="s">
        <v>5213</v>
      </c>
      <c r="J2874" t="s">
        <v>30750</v>
      </c>
      <c r="K2874" t="s">
        <v>37204</v>
      </c>
      <c r="M2874" t="s">
        <v>38738</v>
      </c>
      <c r="N2874" t="s">
        <v>41249</v>
      </c>
      <c r="O2874" t="s">
        <v>41250</v>
      </c>
      <c r="P2874">
        <v>0</v>
      </c>
      <c r="Q2874">
        <v>5</v>
      </c>
      <c r="R2874" t="s">
        <v>41252</v>
      </c>
      <c r="S2874" t="s">
        <v>41383</v>
      </c>
      <c r="T2874" t="s">
        <v>42909</v>
      </c>
      <c r="U2874" t="s">
        <v>45660</v>
      </c>
      <c r="W2874" t="s">
        <v>38738</v>
      </c>
      <c r="X2874" t="s">
        <v>41254</v>
      </c>
    </row>
    <row r="2875" spans="1:24">
      <c r="A2875">
        <f>HYPERLINK("https://www.philgeps.gov.ph/GEPSNONPILOT/Tender/SplashBidNoticeAbstractUI.aspx?menuIndex=3&amp;refID=7073827&amp;Result=3","7073827")</f>
        <v>0</v>
      </c>
      <c r="B2875" t="s">
        <v>996</v>
      </c>
      <c r="C2875" t="s">
        <v>6131</v>
      </c>
      <c r="E2875" t="s">
        <v>19338</v>
      </c>
      <c r="F2875" t="s">
        <v>28669</v>
      </c>
      <c r="G2875" t="s">
        <v>28676</v>
      </c>
      <c r="H2875" t="s">
        <v>9998</v>
      </c>
      <c r="I2875" t="s">
        <v>6606</v>
      </c>
      <c r="J2875" t="s">
        <v>30751</v>
      </c>
      <c r="K2875" t="s">
        <v>37209</v>
      </c>
      <c r="M2875" t="s">
        <v>38524</v>
      </c>
      <c r="N2875" t="s">
        <v>41249</v>
      </c>
      <c r="O2875" t="s">
        <v>41250</v>
      </c>
      <c r="P2875">
        <v>0</v>
      </c>
      <c r="Q2875">
        <v>0</v>
      </c>
      <c r="R2875" t="s">
        <v>41252</v>
      </c>
      <c r="S2875" t="s">
        <v>41383</v>
      </c>
      <c r="T2875" t="s">
        <v>42729</v>
      </c>
      <c r="U2875" t="s">
        <v>45661</v>
      </c>
      <c r="W2875" t="s">
        <v>38524</v>
      </c>
      <c r="X2875" t="s">
        <v>41254</v>
      </c>
    </row>
    <row r="2876" spans="1:24">
      <c r="A2876">
        <f>HYPERLINK("https://www.philgeps.gov.ph/GEPSNONPILOT/Tender/SplashBidNoticeAbstractUI.aspx?menuIndex=3&amp;refID=7073854&amp;Result=3","7073854")</f>
        <v>0</v>
      </c>
      <c r="B2876" t="s">
        <v>1199</v>
      </c>
      <c r="C2876" t="s">
        <v>6132</v>
      </c>
      <c r="D2876" t="s">
        <v>16667</v>
      </c>
      <c r="E2876" t="s">
        <v>19339</v>
      </c>
      <c r="F2876" t="s">
        <v>28669</v>
      </c>
      <c r="G2876" t="s">
        <v>28676</v>
      </c>
      <c r="H2876" t="s">
        <v>9998</v>
      </c>
      <c r="I2876" t="s">
        <v>28721</v>
      </c>
      <c r="J2876" t="s">
        <v>28879</v>
      </c>
      <c r="K2876" t="s">
        <v>37210</v>
      </c>
      <c r="M2876" t="s">
        <v>38739</v>
      </c>
      <c r="N2876" t="s">
        <v>41249</v>
      </c>
      <c r="O2876" t="s">
        <v>41250</v>
      </c>
      <c r="P2876">
        <v>0</v>
      </c>
      <c r="Q2876">
        <v>1</v>
      </c>
      <c r="R2876" t="s">
        <v>41252</v>
      </c>
      <c r="S2876" t="s">
        <v>41383</v>
      </c>
      <c r="T2876" t="s">
        <v>42701</v>
      </c>
      <c r="U2876" t="s">
        <v>45662</v>
      </c>
      <c r="W2876" t="s">
        <v>38739</v>
      </c>
      <c r="X2876" t="s">
        <v>41254</v>
      </c>
    </row>
    <row r="2877" spans="1:24">
      <c r="A2877">
        <f>HYPERLINK("https://www.philgeps.gov.ph/GEPSNONPILOT/Tender/SplashBidNoticeAbstractUI.aspx?menuIndex=3&amp;refID=7073853&amp;Result=3","7073853")</f>
        <v>0</v>
      </c>
      <c r="B2877" t="s">
        <v>579</v>
      </c>
      <c r="C2877" t="s">
        <v>6133</v>
      </c>
      <c r="D2877" t="s">
        <v>16630</v>
      </c>
      <c r="E2877" t="s">
        <v>19340</v>
      </c>
      <c r="F2877" t="s">
        <v>28669</v>
      </c>
      <c r="G2877" t="s">
        <v>28677</v>
      </c>
      <c r="H2877" t="s">
        <v>9998</v>
      </c>
      <c r="I2877" t="s">
        <v>28721</v>
      </c>
      <c r="J2877" t="s">
        <v>30752</v>
      </c>
      <c r="K2877" t="s">
        <v>37204</v>
      </c>
      <c r="M2877" t="s">
        <v>38078</v>
      </c>
      <c r="N2877" t="s">
        <v>41249</v>
      </c>
      <c r="O2877" t="s">
        <v>41250</v>
      </c>
      <c r="P2877">
        <v>0</v>
      </c>
      <c r="Q2877">
        <v>1</v>
      </c>
      <c r="R2877" t="s">
        <v>41252</v>
      </c>
      <c r="S2877" t="s">
        <v>41383</v>
      </c>
      <c r="T2877" t="s">
        <v>42910</v>
      </c>
      <c r="U2877" t="s">
        <v>45663</v>
      </c>
      <c r="W2877" t="s">
        <v>38078</v>
      </c>
      <c r="X2877" t="s">
        <v>41254</v>
      </c>
    </row>
    <row r="2878" spans="1:24">
      <c r="A2878">
        <f>HYPERLINK("https://www.philgeps.gov.ph/GEPSNONPILOT/Tender/SplashBidNoticeAbstractUI.aspx?menuIndex=3&amp;refID=7073852&amp;Result=3","7073852")</f>
        <v>0</v>
      </c>
      <c r="B2878" t="s">
        <v>1200</v>
      </c>
      <c r="C2878" t="s">
        <v>6134</v>
      </c>
      <c r="D2878" t="s">
        <v>16643</v>
      </c>
      <c r="E2878" t="s">
        <v>19341</v>
      </c>
      <c r="F2878" t="s">
        <v>28669</v>
      </c>
      <c r="G2878" t="s">
        <v>28676</v>
      </c>
      <c r="H2878" t="s">
        <v>9998</v>
      </c>
      <c r="I2878" t="s">
        <v>28717</v>
      </c>
      <c r="J2878" t="s">
        <v>30753</v>
      </c>
      <c r="K2878" t="s">
        <v>37209</v>
      </c>
      <c r="M2878" t="s">
        <v>38740</v>
      </c>
      <c r="N2878" t="s">
        <v>41249</v>
      </c>
      <c r="O2878" t="s">
        <v>41250</v>
      </c>
      <c r="P2878">
        <v>0</v>
      </c>
      <c r="Q2878">
        <v>2</v>
      </c>
      <c r="R2878" t="s">
        <v>41252</v>
      </c>
      <c r="S2878" t="s">
        <v>41383</v>
      </c>
      <c r="T2878" t="s">
        <v>42827</v>
      </c>
      <c r="U2878" t="s">
        <v>45664</v>
      </c>
      <c r="W2878" t="s">
        <v>38740</v>
      </c>
      <c r="X2878" t="s">
        <v>41254</v>
      </c>
    </row>
    <row r="2879" spans="1:24">
      <c r="A2879">
        <f>HYPERLINK("https://www.philgeps.gov.ph/GEPSNONPILOT/Tender/SplashBidNoticeAbstractUI.aspx?menuIndex=3&amp;refID=7073846&amp;Result=3","7073846")</f>
        <v>0</v>
      </c>
      <c r="B2879" t="s">
        <v>943</v>
      </c>
      <c r="C2879" t="s">
        <v>6135</v>
      </c>
      <c r="D2879" t="s">
        <v>16665</v>
      </c>
      <c r="E2879" t="s">
        <v>19342</v>
      </c>
      <c r="F2879" t="s">
        <v>28669</v>
      </c>
      <c r="G2879" t="s">
        <v>28676</v>
      </c>
      <c r="H2879" t="s">
        <v>9998</v>
      </c>
      <c r="I2879" t="s">
        <v>28725</v>
      </c>
      <c r="J2879" t="s">
        <v>28826</v>
      </c>
      <c r="K2879" t="s">
        <v>37208</v>
      </c>
      <c r="M2879" t="s">
        <v>38466</v>
      </c>
      <c r="N2879" t="s">
        <v>41249</v>
      </c>
      <c r="O2879" t="s">
        <v>41250</v>
      </c>
      <c r="P2879">
        <v>0</v>
      </c>
      <c r="Q2879">
        <v>0</v>
      </c>
      <c r="R2879" t="s">
        <v>41252</v>
      </c>
      <c r="S2879" t="s">
        <v>41383</v>
      </c>
      <c r="T2879" t="s">
        <v>42701</v>
      </c>
      <c r="U2879" t="s">
        <v>45456</v>
      </c>
      <c r="W2879" t="s">
        <v>38466</v>
      </c>
      <c r="X2879" t="s">
        <v>41254</v>
      </c>
    </row>
    <row r="2880" spans="1:24">
      <c r="A2880">
        <f>HYPERLINK("https://www.philgeps.gov.ph/GEPSNONPILOT/Tender/SplashBidNoticeAbstractUI.aspx?menuIndex=3&amp;refID=7073845&amp;Result=3","7073845")</f>
        <v>0</v>
      </c>
      <c r="B2880" t="s">
        <v>445</v>
      </c>
      <c r="C2880" t="s">
        <v>6136</v>
      </c>
      <c r="D2880" t="s">
        <v>16687</v>
      </c>
      <c r="E2880" t="s">
        <v>19343</v>
      </c>
      <c r="F2880" t="s">
        <v>28669</v>
      </c>
      <c r="G2880" t="s">
        <v>28676</v>
      </c>
      <c r="H2880" t="s">
        <v>9998</v>
      </c>
      <c r="I2880" t="s">
        <v>3718</v>
      </c>
      <c r="J2880" t="s">
        <v>30754</v>
      </c>
      <c r="K2880" t="s">
        <v>37209</v>
      </c>
      <c r="M2880" t="s">
        <v>37930</v>
      </c>
      <c r="N2880" t="s">
        <v>41249</v>
      </c>
      <c r="O2880" t="s">
        <v>41250</v>
      </c>
      <c r="P2880">
        <v>0</v>
      </c>
      <c r="Q2880">
        <v>3</v>
      </c>
      <c r="R2880" t="s">
        <v>41252</v>
      </c>
      <c r="S2880" t="s">
        <v>41383</v>
      </c>
      <c r="T2880" t="s">
        <v>42681</v>
      </c>
      <c r="U2880" t="s">
        <v>45665</v>
      </c>
      <c r="W2880" t="s">
        <v>37930</v>
      </c>
      <c r="X2880" t="s">
        <v>41254</v>
      </c>
    </row>
    <row r="2881" spans="1:24">
      <c r="A2881">
        <f>HYPERLINK("https://www.philgeps.gov.ph/GEPSNONPILOT/Tender/SplashBidNoticeAbstractUI.aspx?menuIndex=3&amp;refID=7073860&amp;Result=3","7073860")</f>
        <v>0</v>
      </c>
      <c r="B2881" t="s">
        <v>1201</v>
      </c>
      <c r="C2881" t="s">
        <v>6137</v>
      </c>
      <c r="D2881" t="s">
        <v>16646</v>
      </c>
      <c r="E2881" t="s">
        <v>19344</v>
      </c>
      <c r="F2881" t="s">
        <v>28669</v>
      </c>
      <c r="G2881" t="s">
        <v>28675</v>
      </c>
      <c r="H2881" t="s">
        <v>28686</v>
      </c>
      <c r="I2881" t="s">
        <v>28689</v>
      </c>
      <c r="J2881" t="s">
        <v>30755</v>
      </c>
      <c r="K2881" t="s">
        <v>37212</v>
      </c>
      <c r="M2881" t="s">
        <v>38741</v>
      </c>
      <c r="N2881" t="s">
        <v>41249</v>
      </c>
      <c r="O2881" t="s">
        <v>41250</v>
      </c>
      <c r="P2881">
        <v>0</v>
      </c>
      <c r="Q2881">
        <v>0</v>
      </c>
      <c r="R2881" t="s">
        <v>41252</v>
      </c>
      <c r="S2881" t="s">
        <v>41383</v>
      </c>
      <c r="T2881" t="s">
        <v>42672</v>
      </c>
      <c r="U2881" t="s">
        <v>45666</v>
      </c>
      <c r="W2881" t="s">
        <v>55945</v>
      </c>
      <c r="X2881" t="s">
        <v>41254</v>
      </c>
    </row>
    <row r="2882" spans="1:24">
      <c r="A2882">
        <f>HYPERLINK("https://www.philgeps.gov.ph/GEPSNONPILOT/Tender/SplashBidNoticeAbstractUI.aspx?menuIndex=3&amp;refID=7073844&amp;Result=3","7073844")</f>
        <v>0</v>
      </c>
      <c r="B2882" t="s">
        <v>1202</v>
      </c>
      <c r="C2882" t="s">
        <v>6138</v>
      </c>
      <c r="D2882" t="s">
        <v>16607</v>
      </c>
      <c r="E2882" t="s">
        <v>19345</v>
      </c>
      <c r="F2882" t="s">
        <v>28669</v>
      </c>
      <c r="G2882" t="s">
        <v>28676</v>
      </c>
      <c r="H2882" t="s">
        <v>9998</v>
      </c>
      <c r="I2882" t="s">
        <v>28717</v>
      </c>
      <c r="J2882" t="s">
        <v>28914</v>
      </c>
      <c r="K2882" t="s">
        <v>37208</v>
      </c>
      <c r="M2882" t="s">
        <v>38742</v>
      </c>
      <c r="N2882" t="s">
        <v>41249</v>
      </c>
      <c r="O2882" t="s">
        <v>41250</v>
      </c>
      <c r="P2882">
        <v>0</v>
      </c>
      <c r="Q2882">
        <v>7</v>
      </c>
      <c r="R2882" t="s">
        <v>41252</v>
      </c>
      <c r="S2882" t="s">
        <v>41383</v>
      </c>
      <c r="T2882" t="s">
        <v>42758</v>
      </c>
      <c r="U2882" t="s">
        <v>45667</v>
      </c>
      <c r="W2882" t="s">
        <v>38742</v>
      </c>
      <c r="X2882" t="s">
        <v>41254</v>
      </c>
    </row>
    <row r="2883" spans="1:24">
      <c r="A2883">
        <f>HYPERLINK("https://www.philgeps.gov.ph/GEPSNONPILOT/Tender/SplashBidNoticeAbstractUI.aspx?menuIndex=3&amp;refID=7073855&amp;Result=3","7073855")</f>
        <v>0</v>
      </c>
      <c r="B2883" t="s">
        <v>1203</v>
      </c>
      <c r="C2883" t="s">
        <v>3868</v>
      </c>
      <c r="D2883" t="s">
        <v>16643</v>
      </c>
      <c r="E2883" t="s">
        <v>17917</v>
      </c>
      <c r="F2883" t="s">
        <v>28669</v>
      </c>
      <c r="G2883" t="s">
        <v>28677</v>
      </c>
      <c r="H2883" t="s">
        <v>9998</v>
      </c>
      <c r="I2883" t="s">
        <v>28709</v>
      </c>
      <c r="J2883" t="s">
        <v>30756</v>
      </c>
      <c r="K2883" t="s">
        <v>37204</v>
      </c>
      <c r="M2883" t="s">
        <v>38743</v>
      </c>
      <c r="N2883" t="s">
        <v>41249</v>
      </c>
      <c r="O2883" t="s">
        <v>41250</v>
      </c>
      <c r="P2883">
        <v>0</v>
      </c>
      <c r="Q2883">
        <v>0</v>
      </c>
      <c r="R2883" t="s">
        <v>41252</v>
      </c>
      <c r="S2883" t="s">
        <v>41383</v>
      </c>
      <c r="T2883" t="s">
        <v>42742</v>
      </c>
      <c r="U2883" t="s">
        <v>45668</v>
      </c>
      <c r="W2883" t="s">
        <v>38743</v>
      </c>
      <c r="X2883" t="s">
        <v>41254</v>
      </c>
    </row>
    <row r="2884" spans="1:24">
      <c r="A2884">
        <f>HYPERLINK("https://www.philgeps.gov.ph/GEPSNONPILOT/Tender/SplashBidNoticeAbstractUI.aspx?menuIndex=3&amp;refID=7073842&amp;Result=3","7073842")</f>
        <v>0</v>
      </c>
      <c r="B2884" t="s">
        <v>1001</v>
      </c>
      <c r="C2884" t="s">
        <v>6139</v>
      </c>
      <c r="D2884" t="s">
        <v>16677</v>
      </c>
      <c r="E2884" t="s">
        <v>19346</v>
      </c>
      <c r="F2884" t="s">
        <v>28669</v>
      </c>
      <c r="G2884" t="s">
        <v>28675</v>
      </c>
      <c r="H2884" t="s">
        <v>28686</v>
      </c>
      <c r="I2884" t="s">
        <v>28689</v>
      </c>
      <c r="J2884" t="s">
        <v>30559</v>
      </c>
      <c r="K2884" t="s">
        <v>37213</v>
      </c>
      <c r="M2884" t="s">
        <v>38529</v>
      </c>
      <c r="N2884" t="s">
        <v>41249</v>
      </c>
      <c r="O2884" t="s">
        <v>41250</v>
      </c>
      <c r="P2884">
        <v>0</v>
      </c>
      <c r="Q2884">
        <v>0</v>
      </c>
      <c r="R2884" t="s">
        <v>41252</v>
      </c>
      <c r="S2884" t="s">
        <v>41383</v>
      </c>
      <c r="T2884" t="s">
        <v>42760</v>
      </c>
      <c r="U2884" t="s">
        <v>45378</v>
      </c>
      <c r="W2884" t="s">
        <v>38529</v>
      </c>
      <c r="X2884" t="s">
        <v>41254</v>
      </c>
    </row>
    <row r="2885" spans="1:24">
      <c r="A2885">
        <f>HYPERLINK("https://www.philgeps.gov.ph/GEPSNONPILOT/Tender/SplashBidNoticeAbstractUI.aspx?menuIndex=3&amp;refID=7073825&amp;Result=3","7073825")</f>
        <v>0</v>
      </c>
      <c r="B2885" t="s">
        <v>560</v>
      </c>
      <c r="C2885" t="s">
        <v>6140</v>
      </c>
      <c r="D2885" t="s">
        <v>16608</v>
      </c>
      <c r="E2885" t="s">
        <v>19347</v>
      </c>
      <c r="F2885" t="s">
        <v>28669</v>
      </c>
      <c r="G2885" t="s">
        <v>28676</v>
      </c>
      <c r="H2885" t="s">
        <v>9998</v>
      </c>
      <c r="I2885" t="s">
        <v>28794</v>
      </c>
      <c r="J2885" t="s">
        <v>29622</v>
      </c>
      <c r="K2885" t="s">
        <v>37327</v>
      </c>
      <c r="M2885" t="s">
        <v>38744</v>
      </c>
      <c r="N2885" t="s">
        <v>41249</v>
      </c>
      <c r="O2885" t="s">
        <v>41250</v>
      </c>
      <c r="P2885">
        <v>0</v>
      </c>
      <c r="Q2885">
        <v>0</v>
      </c>
      <c r="R2885" t="s">
        <v>41252</v>
      </c>
      <c r="S2885" t="s">
        <v>41383</v>
      </c>
      <c r="T2885" t="s">
        <v>42736</v>
      </c>
      <c r="U2885" t="s">
        <v>45669</v>
      </c>
      <c r="W2885" t="s">
        <v>38744</v>
      </c>
      <c r="X2885" t="s">
        <v>41254</v>
      </c>
    </row>
    <row r="2886" spans="1:24">
      <c r="A2886">
        <f>HYPERLINK("https://www.philgeps.gov.ph/GEPSNONPILOT/Tender/SplashBidNoticeAbstractUI.aspx?menuIndex=3&amp;refID=7073850&amp;Result=3","7073850")</f>
        <v>0</v>
      </c>
      <c r="B2886" t="s">
        <v>1172</v>
      </c>
      <c r="C2886" t="s">
        <v>6141</v>
      </c>
      <c r="D2886" t="s">
        <v>16649</v>
      </c>
      <c r="E2886" t="s">
        <v>19348</v>
      </c>
      <c r="F2886" t="s">
        <v>28669</v>
      </c>
      <c r="G2886" t="s">
        <v>28677</v>
      </c>
      <c r="H2886" t="s">
        <v>9998</v>
      </c>
      <c r="I2886" t="s">
        <v>3718</v>
      </c>
      <c r="J2886" t="s">
        <v>30757</v>
      </c>
      <c r="K2886" t="s">
        <v>37204</v>
      </c>
      <c r="M2886" t="s">
        <v>38711</v>
      </c>
      <c r="N2886" t="s">
        <v>41249</v>
      </c>
      <c r="O2886" t="s">
        <v>41250</v>
      </c>
      <c r="P2886">
        <v>0</v>
      </c>
      <c r="Q2886">
        <v>0</v>
      </c>
      <c r="R2886" t="s">
        <v>41252</v>
      </c>
      <c r="S2886" t="s">
        <v>41383</v>
      </c>
      <c r="T2886" t="s">
        <v>42701</v>
      </c>
      <c r="U2886" t="s">
        <v>45670</v>
      </c>
      <c r="W2886" t="s">
        <v>38711</v>
      </c>
      <c r="X2886" t="s">
        <v>41254</v>
      </c>
    </row>
    <row r="2887" spans="1:24">
      <c r="A2887">
        <f>HYPERLINK("https://www.philgeps.gov.ph/GEPSNONPILOT/Tender/SplashBidNoticeAbstractUI.aspx?menuIndex=3&amp;refID=7073823&amp;Result=3","7073823")</f>
        <v>0</v>
      </c>
      <c r="B2887" t="s">
        <v>1204</v>
      </c>
      <c r="C2887" t="s">
        <v>6142</v>
      </c>
      <c r="D2887" t="s">
        <v>16620</v>
      </c>
      <c r="E2887" t="s">
        <v>17407</v>
      </c>
      <c r="F2887" t="s">
        <v>28669</v>
      </c>
      <c r="G2887" t="s">
        <v>28675</v>
      </c>
      <c r="H2887" t="s">
        <v>9998</v>
      </c>
      <c r="I2887" t="s">
        <v>28784</v>
      </c>
      <c r="J2887" t="s">
        <v>30758</v>
      </c>
      <c r="K2887" t="s">
        <v>37215</v>
      </c>
      <c r="M2887" t="s">
        <v>38745</v>
      </c>
      <c r="N2887" t="s">
        <v>41249</v>
      </c>
      <c r="O2887" t="s">
        <v>41250</v>
      </c>
      <c r="P2887">
        <v>0</v>
      </c>
      <c r="Q2887">
        <v>4</v>
      </c>
      <c r="R2887" t="s">
        <v>41252</v>
      </c>
      <c r="S2887" t="s">
        <v>41383</v>
      </c>
      <c r="T2887" t="s">
        <v>42796</v>
      </c>
      <c r="U2887" t="s">
        <v>45671</v>
      </c>
      <c r="W2887" t="s">
        <v>38745</v>
      </c>
      <c r="X2887" t="s">
        <v>41254</v>
      </c>
    </row>
    <row r="2888" spans="1:24">
      <c r="A2888">
        <f>HYPERLINK("https://www.philgeps.gov.ph/GEPSNONPILOT/Tender/SplashBidNoticeAbstractUI.aspx?menuIndex=3&amp;refID=7073821&amp;Result=3","7073821")</f>
        <v>0</v>
      </c>
      <c r="B2888" t="s">
        <v>1205</v>
      </c>
      <c r="C2888" t="s">
        <v>6143</v>
      </c>
      <c r="D2888" t="s">
        <v>16662</v>
      </c>
      <c r="E2888" t="s">
        <v>19349</v>
      </c>
      <c r="F2888" t="s">
        <v>28669</v>
      </c>
      <c r="G2888" t="s">
        <v>28676</v>
      </c>
      <c r="H2888" t="s">
        <v>9998</v>
      </c>
      <c r="I2888" t="s">
        <v>28698</v>
      </c>
      <c r="J2888" t="s">
        <v>30759</v>
      </c>
      <c r="K2888" t="s">
        <v>37204</v>
      </c>
      <c r="M2888" t="s">
        <v>38746</v>
      </c>
      <c r="N2888" t="s">
        <v>41249</v>
      </c>
      <c r="O2888" t="s">
        <v>41250</v>
      </c>
      <c r="P2888">
        <v>0</v>
      </c>
      <c r="Q2888">
        <v>0</v>
      </c>
      <c r="R2888" t="s">
        <v>41252</v>
      </c>
      <c r="S2888" t="s">
        <v>41383</v>
      </c>
      <c r="T2888" t="s">
        <v>42743</v>
      </c>
      <c r="U2888" t="s">
        <v>45672</v>
      </c>
      <c r="W2888" t="s">
        <v>38746</v>
      </c>
      <c r="X2888" t="s">
        <v>41254</v>
      </c>
    </row>
    <row r="2889" spans="1:24">
      <c r="A2889">
        <f>HYPERLINK("https://www.philgeps.gov.ph/GEPSNONPILOT/Tender/SplashBidNoticeAbstractUI.aspx?menuIndex=3&amp;refID=7073848&amp;Result=3","7073848")</f>
        <v>0</v>
      </c>
      <c r="B2889" t="s">
        <v>310</v>
      </c>
      <c r="C2889" t="s">
        <v>6144</v>
      </c>
      <c r="D2889" t="s">
        <v>16635</v>
      </c>
      <c r="E2889" t="s">
        <v>19350</v>
      </c>
      <c r="F2889" t="s">
        <v>28669</v>
      </c>
      <c r="G2889" t="s">
        <v>28676</v>
      </c>
      <c r="H2889" t="s">
        <v>9998</v>
      </c>
      <c r="I2889" t="s">
        <v>28773</v>
      </c>
      <c r="J2889" t="s">
        <v>30760</v>
      </c>
      <c r="K2889" t="s">
        <v>37209</v>
      </c>
      <c r="M2889" t="s">
        <v>37789</v>
      </c>
      <c r="N2889" t="s">
        <v>41249</v>
      </c>
      <c r="O2889" t="s">
        <v>41250</v>
      </c>
      <c r="P2889">
        <v>0</v>
      </c>
      <c r="Q2889">
        <v>1</v>
      </c>
      <c r="R2889" t="s">
        <v>41252</v>
      </c>
      <c r="S2889" t="s">
        <v>41383</v>
      </c>
      <c r="T2889" t="s">
        <v>42738</v>
      </c>
      <c r="U2889" t="s">
        <v>45673</v>
      </c>
      <c r="W2889" t="s">
        <v>37789</v>
      </c>
      <c r="X2889" t="s">
        <v>41254</v>
      </c>
    </row>
    <row r="2890" spans="1:24">
      <c r="A2890">
        <f>HYPERLINK("https://www.philgeps.gov.ph/GEPSNONPILOT/Tender/SplashBidNoticeAbstractUI.aspx?menuIndex=3&amp;refID=7073820&amp;Result=3","7073820")</f>
        <v>0</v>
      </c>
      <c r="B2890" t="s">
        <v>1164</v>
      </c>
      <c r="C2890" t="s">
        <v>6145</v>
      </c>
      <c r="D2890" t="s">
        <v>16611</v>
      </c>
      <c r="E2890" t="s">
        <v>19351</v>
      </c>
      <c r="F2890" t="s">
        <v>28669</v>
      </c>
      <c r="G2890" t="s">
        <v>28675</v>
      </c>
      <c r="H2890" t="s">
        <v>9998</v>
      </c>
      <c r="I2890" t="s">
        <v>28695</v>
      </c>
      <c r="J2890" t="s">
        <v>28878</v>
      </c>
      <c r="K2890" t="s">
        <v>37206</v>
      </c>
      <c r="M2890" t="s">
        <v>38703</v>
      </c>
      <c r="N2890" t="s">
        <v>41249</v>
      </c>
      <c r="O2890" t="s">
        <v>41250</v>
      </c>
      <c r="P2890">
        <v>0</v>
      </c>
      <c r="Q2890">
        <v>1</v>
      </c>
      <c r="R2890" t="s">
        <v>41252</v>
      </c>
      <c r="S2890" t="s">
        <v>41383</v>
      </c>
      <c r="T2890" t="s">
        <v>42770</v>
      </c>
      <c r="U2890" t="s">
        <v>45590</v>
      </c>
      <c r="V2890" t="s">
        <v>54589</v>
      </c>
      <c r="W2890" t="s">
        <v>38703</v>
      </c>
      <c r="X2890" t="s">
        <v>41254</v>
      </c>
    </row>
    <row r="2891" spans="1:24">
      <c r="A2891">
        <f>HYPERLINK("https://www.philgeps.gov.ph/GEPSNONPILOT/Tender/SplashBidNoticeAbstractUI.aspx?menuIndex=3&amp;refID=7073818&amp;Result=3","7073818")</f>
        <v>0</v>
      </c>
      <c r="B2891" t="s">
        <v>310</v>
      </c>
      <c r="C2891" t="s">
        <v>6146</v>
      </c>
      <c r="D2891" t="s">
        <v>16635</v>
      </c>
      <c r="E2891" t="s">
        <v>19352</v>
      </c>
      <c r="F2891" t="s">
        <v>28669</v>
      </c>
      <c r="G2891" t="s">
        <v>28676</v>
      </c>
      <c r="H2891" t="s">
        <v>9998</v>
      </c>
      <c r="I2891" t="s">
        <v>28734</v>
      </c>
      <c r="J2891" t="s">
        <v>29570</v>
      </c>
      <c r="K2891" t="s">
        <v>37209</v>
      </c>
      <c r="M2891" t="s">
        <v>37789</v>
      </c>
      <c r="N2891" t="s">
        <v>41249</v>
      </c>
      <c r="O2891" t="s">
        <v>41250</v>
      </c>
      <c r="P2891">
        <v>0</v>
      </c>
      <c r="Q2891">
        <v>0</v>
      </c>
      <c r="R2891" t="s">
        <v>41252</v>
      </c>
      <c r="S2891" t="s">
        <v>41383</v>
      </c>
      <c r="T2891" t="s">
        <v>42738</v>
      </c>
      <c r="U2891" t="s">
        <v>45674</v>
      </c>
      <c r="W2891" t="s">
        <v>37789</v>
      </c>
      <c r="X2891" t="s">
        <v>41254</v>
      </c>
    </row>
    <row r="2892" spans="1:24">
      <c r="A2892">
        <f>HYPERLINK("https://www.philgeps.gov.ph/GEPSNONPILOT/Tender/SplashBidNoticeAbstractUI.aspx?menuIndex=3&amp;refID=7073798&amp;Result=3","7073798")</f>
        <v>0</v>
      </c>
      <c r="B2892" t="s">
        <v>1192</v>
      </c>
      <c r="C2892" t="s">
        <v>6147</v>
      </c>
      <c r="D2892" t="s">
        <v>16619</v>
      </c>
      <c r="E2892" t="s">
        <v>16877</v>
      </c>
      <c r="F2892" t="s">
        <v>28669</v>
      </c>
      <c r="G2892" t="s">
        <v>28676</v>
      </c>
      <c r="H2892" t="s">
        <v>9998</v>
      </c>
      <c r="I2892" t="s">
        <v>28688</v>
      </c>
      <c r="J2892" t="s">
        <v>30761</v>
      </c>
      <c r="K2892" t="s">
        <v>37208</v>
      </c>
      <c r="M2892" t="s">
        <v>38732</v>
      </c>
      <c r="N2892" t="s">
        <v>41249</v>
      </c>
      <c r="O2892" t="s">
        <v>41250</v>
      </c>
      <c r="P2892">
        <v>0</v>
      </c>
      <c r="Q2892">
        <v>0</v>
      </c>
      <c r="R2892" t="s">
        <v>41252</v>
      </c>
      <c r="S2892" t="s">
        <v>41383</v>
      </c>
      <c r="T2892" t="s">
        <v>42742</v>
      </c>
      <c r="U2892" t="s">
        <v>45675</v>
      </c>
      <c r="W2892" t="s">
        <v>38732</v>
      </c>
      <c r="X2892" t="s">
        <v>41254</v>
      </c>
    </row>
    <row r="2893" spans="1:24">
      <c r="A2893">
        <f>HYPERLINK("https://www.philgeps.gov.ph/GEPSNONPILOT/Tender/SplashBidNoticeAbstractUI.aspx?menuIndex=3&amp;refID=7073890&amp;Result=3","7073890")</f>
        <v>0</v>
      </c>
      <c r="B2893" t="s">
        <v>136</v>
      </c>
      <c r="C2893" t="s">
        <v>6148</v>
      </c>
      <c r="D2893" t="s">
        <v>16642</v>
      </c>
      <c r="E2893" t="s">
        <v>19353</v>
      </c>
      <c r="F2893" t="s">
        <v>28669</v>
      </c>
      <c r="G2893" t="s">
        <v>28676</v>
      </c>
      <c r="H2893" t="s">
        <v>9998</v>
      </c>
      <c r="I2893" t="s">
        <v>5213</v>
      </c>
      <c r="J2893" t="s">
        <v>29040</v>
      </c>
      <c r="K2893" t="s">
        <v>37229</v>
      </c>
      <c r="M2893" t="s">
        <v>37613</v>
      </c>
      <c r="N2893" t="s">
        <v>41249</v>
      </c>
      <c r="O2893" t="s">
        <v>41250</v>
      </c>
      <c r="P2893">
        <v>0</v>
      </c>
      <c r="Q2893">
        <v>0</v>
      </c>
      <c r="R2893" t="s">
        <v>41252</v>
      </c>
      <c r="S2893" t="s">
        <v>41383</v>
      </c>
      <c r="T2893" t="s">
        <v>42735</v>
      </c>
      <c r="U2893" t="s">
        <v>45676</v>
      </c>
      <c r="V2893" t="s">
        <v>54313</v>
      </c>
      <c r="W2893" t="s">
        <v>55905</v>
      </c>
      <c r="X2893" t="s">
        <v>41254</v>
      </c>
    </row>
    <row r="2894" spans="1:24">
      <c r="A2894">
        <f>HYPERLINK("https://www.philgeps.gov.ph/GEPSNONPILOT/Tender/SplashBidNoticeAbstractUI.aspx?menuIndex=3&amp;refID=7073843&amp;Result=3","7073843")</f>
        <v>0</v>
      </c>
      <c r="B2894" t="s">
        <v>1185</v>
      </c>
      <c r="C2894" t="s">
        <v>6149</v>
      </c>
      <c r="D2894" t="s">
        <v>16664</v>
      </c>
      <c r="E2894" t="s">
        <v>19315</v>
      </c>
      <c r="F2894" t="s">
        <v>28669</v>
      </c>
      <c r="G2894" t="s">
        <v>28675</v>
      </c>
      <c r="H2894" t="s">
        <v>9998</v>
      </c>
      <c r="I2894" t="s">
        <v>7352</v>
      </c>
      <c r="J2894" t="s">
        <v>30762</v>
      </c>
      <c r="K2894" t="s">
        <v>37206</v>
      </c>
      <c r="M2894" t="s">
        <v>38725</v>
      </c>
      <c r="N2894" t="s">
        <v>41249</v>
      </c>
      <c r="O2894" t="s">
        <v>41250</v>
      </c>
      <c r="P2894">
        <v>0</v>
      </c>
      <c r="Q2894">
        <v>0</v>
      </c>
      <c r="R2894" t="s">
        <v>41252</v>
      </c>
      <c r="S2894" t="s">
        <v>41383</v>
      </c>
      <c r="T2894" t="s">
        <v>42764</v>
      </c>
      <c r="U2894" t="s">
        <v>45677</v>
      </c>
      <c r="W2894" t="s">
        <v>38725</v>
      </c>
      <c r="X2894" t="s">
        <v>41254</v>
      </c>
    </row>
    <row r="2895" spans="1:24">
      <c r="A2895">
        <f>HYPERLINK("https://www.philgeps.gov.ph/GEPSNONPILOT/Tender/SplashBidNoticeAbstractUI.aspx?menuIndex=3&amp;refID=7073889&amp;Result=3","7073889")</f>
        <v>0</v>
      </c>
      <c r="B2895" t="s">
        <v>474</v>
      </c>
      <c r="C2895" t="s">
        <v>6150</v>
      </c>
      <c r="D2895" t="s">
        <v>16668</v>
      </c>
      <c r="E2895" t="s">
        <v>19354</v>
      </c>
      <c r="F2895" t="s">
        <v>28669</v>
      </c>
      <c r="G2895" t="s">
        <v>28676</v>
      </c>
      <c r="H2895" t="s">
        <v>9998</v>
      </c>
      <c r="I2895" t="s">
        <v>28690</v>
      </c>
      <c r="J2895" t="s">
        <v>30763</v>
      </c>
      <c r="K2895" t="s">
        <v>37209</v>
      </c>
      <c r="L2895" t="s">
        <v>474</v>
      </c>
      <c r="M2895" t="s">
        <v>37962</v>
      </c>
      <c r="N2895" t="s">
        <v>41249</v>
      </c>
      <c r="O2895" t="s">
        <v>41250</v>
      </c>
      <c r="P2895">
        <v>0</v>
      </c>
      <c r="Q2895">
        <v>14</v>
      </c>
      <c r="R2895" t="s">
        <v>41252</v>
      </c>
      <c r="S2895" t="s">
        <v>41383</v>
      </c>
      <c r="T2895" t="s">
        <v>42711</v>
      </c>
      <c r="U2895" t="s">
        <v>43997</v>
      </c>
      <c r="W2895" t="s">
        <v>37962</v>
      </c>
      <c r="X2895" t="s">
        <v>41254</v>
      </c>
    </row>
    <row r="2896" spans="1:24">
      <c r="A2896">
        <f>HYPERLINK("https://www.philgeps.gov.ph/GEPSNONPILOT/Tender/SplashBidNoticeAbstractUI.aspx?menuIndex=3&amp;refID=7073851&amp;Result=3","7073851")</f>
        <v>0</v>
      </c>
      <c r="B2896" t="s">
        <v>1186</v>
      </c>
      <c r="C2896" t="s">
        <v>6151</v>
      </c>
      <c r="D2896" t="s">
        <v>16664</v>
      </c>
      <c r="E2896" t="s">
        <v>19317</v>
      </c>
      <c r="F2896" t="s">
        <v>28669</v>
      </c>
      <c r="G2896" t="s">
        <v>28676</v>
      </c>
      <c r="H2896" t="s">
        <v>9998</v>
      </c>
      <c r="I2896" t="s">
        <v>28704</v>
      </c>
      <c r="J2896" t="s">
        <v>30764</v>
      </c>
      <c r="K2896" t="s">
        <v>37208</v>
      </c>
      <c r="M2896" t="s">
        <v>38726</v>
      </c>
      <c r="N2896" t="s">
        <v>41249</v>
      </c>
      <c r="O2896" t="s">
        <v>41250</v>
      </c>
      <c r="P2896">
        <v>0</v>
      </c>
      <c r="Q2896">
        <v>0</v>
      </c>
      <c r="R2896" t="s">
        <v>41252</v>
      </c>
      <c r="S2896" t="s">
        <v>41383</v>
      </c>
      <c r="T2896" t="s">
        <v>42736</v>
      </c>
      <c r="U2896" t="s">
        <v>45678</v>
      </c>
      <c r="W2896" t="s">
        <v>38726</v>
      </c>
      <c r="X2896" t="s">
        <v>41254</v>
      </c>
    </row>
    <row r="2897" spans="1:24">
      <c r="A2897">
        <f>HYPERLINK("https://www.philgeps.gov.ph/GEPSNONPILOT/Tender/SplashBidNoticeAbstractUI.aspx?menuIndex=3&amp;refID=7073824&amp;Result=3","7073824")</f>
        <v>0</v>
      </c>
      <c r="B2897" t="s">
        <v>1206</v>
      </c>
      <c r="C2897" t="s">
        <v>6152</v>
      </c>
      <c r="D2897" t="s">
        <v>16629</v>
      </c>
      <c r="E2897" t="s">
        <v>19355</v>
      </c>
      <c r="F2897" t="s">
        <v>28669</v>
      </c>
      <c r="G2897" t="s">
        <v>28677</v>
      </c>
      <c r="H2897" t="s">
        <v>9998</v>
      </c>
      <c r="I2897" t="s">
        <v>7352</v>
      </c>
      <c r="J2897" t="s">
        <v>30765</v>
      </c>
      <c r="K2897" t="s">
        <v>37227</v>
      </c>
      <c r="M2897" t="s">
        <v>38747</v>
      </c>
      <c r="N2897" t="s">
        <v>41249</v>
      </c>
      <c r="O2897" t="s">
        <v>41250</v>
      </c>
      <c r="P2897">
        <v>0</v>
      </c>
      <c r="Q2897">
        <v>0</v>
      </c>
      <c r="R2897" t="s">
        <v>41252</v>
      </c>
      <c r="S2897" t="s">
        <v>41383</v>
      </c>
      <c r="T2897" t="s">
        <v>42728</v>
      </c>
      <c r="U2897" t="s">
        <v>45679</v>
      </c>
      <c r="W2897" t="s">
        <v>38747</v>
      </c>
      <c r="X2897" t="s">
        <v>41254</v>
      </c>
    </row>
    <row r="2898" spans="1:24">
      <c r="A2898">
        <f>HYPERLINK("https://www.philgeps.gov.ph/GEPSNONPILOT/Tender/SplashBidNoticeAbstractUI.aspx?menuIndex=3&amp;refID=7073885&amp;Result=3","7073885")</f>
        <v>0</v>
      </c>
      <c r="B2898" t="s">
        <v>1176</v>
      </c>
      <c r="C2898" t="s">
        <v>6153</v>
      </c>
      <c r="D2898" t="s">
        <v>16616</v>
      </c>
      <c r="E2898" t="s">
        <v>19356</v>
      </c>
      <c r="F2898" t="s">
        <v>28669</v>
      </c>
      <c r="G2898" t="s">
        <v>28676</v>
      </c>
      <c r="H2898" t="s">
        <v>9998</v>
      </c>
      <c r="I2898" t="s">
        <v>28721</v>
      </c>
      <c r="J2898" t="s">
        <v>30766</v>
      </c>
      <c r="K2898" t="s">
        <v>37208</v>
      </c>
      <c r="L2898" t="s">
        <v>1176</v>
      </c>
      <c r="M2898" t="s">
        <v>38715</v>
      </c>
      <c r="N2898" t="s">
        <v>41249</v>
      </c>
      <c r="O2898" t="s">
        <v>41250</v>
      </c>
      <c r="P2898">
        <v>0</v>
      </c>
      <c r="Q2898">
        <v>0</v>
      </c>
      <c r="R2898" t="s">
        <v>41252</v>
      </c>
      <c r="S2898" t="s">
        <v>41383</v>
      </c>
      <c r="T2898" t="s">
        <v>42736</v>
      </c>
      <c r="U2898" t="s">
        <v>45680</v>
      </c>
      <c r="V2898" t="s">
        <v>54597</v>
      </c>
      <c r="W2898" t="s">
        <v>38715</v>
      </c>
      <c r="X2898" t="s">
        <v>41254</v>
      </c>
    </row>
    <row r="2899" spans="1:24">
      <c r="A2899">
        <f>HYPERLINK("https://www.philgeps.gov.ph/GEPSNONPILOT/Tender/SplashBidNoticeAbstractUI.aspx?menuIndex=3&amp;refID=7073882&amp;Result=3","7073882")</f>
        <v>0</v>
      </c>
      <c r="B2899" t="s">
        <v>142</v>
      </c>
      <c r="C2899" t="s">
        <v>6154</v>
      </c>
      <c r="E2899" t="s">
        <v>19357</v>
      </c>
      <c r="F2899" t="s">
        <v>28669</v>
      </c>
      <c r="G2899" t="s">
        <v>28677</v>
      </c>
      <c r="H2899" t="s">
        <v>9998</v>
      </c>
      <c r="I2899" t="s">
        <v>28688</v>
      </c>
      <c r="J2899" t="s">
        <v>30767</v>
      </c>
      <c r="K2899" t="s">
        <v>37209</v>
      </c>
      <c r="M2899" t="s">
        <v>37619</v>
      </c>
      <c r="N2899" t="s">
        <v>41249</v>
      </c>
      <c r="O2899" t="s">
        <v>41250</v>
      </c>
      <c r="Q2899">
        <v>12</v>
      </c>
      <c r="R2899" t="s">
        <v>41252</v>
      </c>
      <c r="S2899" t="s">
        <v>41396</v>
      </c>
      <c r="T2899" t="s">
        <v>42758</v>
      </c>
      <c r="U2899" t="s">
        <v>43399</v>
      </c>
      <c r="W2899" t="s">
        <v>37619</v>
      </c>
      <c r="X2899" t="s">
        <v>41254</v>
      </c>
    </row>
    <row r="2900" spans="1:24">
      <c r="A2900">
        <f>HYPERLINK("https://www.philgeps.gov.ph/GEPSNONPILOT/Tender/SplashBidNoticeAbstractUI.aspx?menuIndex=3&amp;refID=7073819&amp;Result=3","7073819")</f>
        <v>0</v>
      </c>
      <c r="B2900" t="s">
        <v>1190</v>
      </c>
      <c r="C2900" t="s">
        <v>6155</v>
      </c>
      <c r="D2900" t="s">
        <v>16626</v>
      </c>
      <c r="E2900" t="s">
        <v>19358</v>
      </c>
      <c r="F2900" t="s">
        <v>28669</v>
      </c>
      <c r="G2900" t="s">
        <v>28676</v>
      </c>
      <c r="H2900" t="s">
        <v>9998</v>
      </c>
      <c r="I2900" t="s">
        <v>15140</v>
      </c>
      <c r="J2900" t="s">
        <v>30768</v>
      </c>
      <c r="K2900" t="s">
        <v>37299</v>
      </c>
      <c r="M2900" t="s">
        <v>38730</v>
      </c>
      <c r="N2900" t="s">
        <v>41249</v>
      </c>
      <c r="O2900" t="s">
        <v>41250</v>
      </c>
      <c r="P2900">
        <v>0</v>
      </c>
      <c r="Q2900">
        <v>0</v>
      </c>
      <c r="R2900" t="s">
        <v>41252</v>
      </c>
      <c r="S2900" t="s">
        <v>41383</v>
      </c>
      <c r="T2900" t="s">
        <v>42729</v>
      </c>
      <c r="U2900" t="s">
        <v>45681</v>
      </c>
      <c r="W2900" t="s">
        <v>55944</v>
      </c>
      <c r="X2900" t="s">
        <v>41254</v>
      </c>
    </row>
    <row r="2901" spans="1:24">
      <c r="A2901">
        <f>HYPERLINK("https://www.philgeps.gov.ph/GEPSNONPILOT/Tender/SplashBidNoticeAbstractUI.aspx?menuIndex=3&amp;refID=7073879&amp;Result=3","7073879")</f>
        <v>0</v>
      </c>
      <c r="B2901" t="s">
        <v>1207</v>
      </c>
      <c r="C2901" t="s">
        <v>6156</v>
      </c>
      <c r="D2901" t="s">
        <v>16663</v>
      </c>
      <c r="E2901" t="s">
        <v>19359</v>
      </c>
      <c r="F2901" t="s">
        <v>28669</v>
      </c>
      <c r="G2901" t="s">
        <v>28676</v>
      </c>
      <c r="H2901" t="s">
        <v>28686</v>
      </c>
      <c r="I2901" t="s">
        <v>28734</v>
      </c>
      <c r="J2901" t="s">
        <v>30769</v>
      </c>
      <c r="K2901" t="s">
        <v>37205</v>
      </c>
      <c r="M2901" t="s">
        <v>38748</v>
      </c>
      <c r="N2901" t="s">
        <v>41249</v>
      </c>
      <c r="O2901" t="s">
        <v>41250</v>
      </c>
      <c r="P2901">
        <v>0</v>
      </c>
      <c r="Q2901">
        <v>1</v>
      </c>
      <c r="R2901" t="s">
        <v>41252</v>
      </c>
      <c r="S2901" t="s">
        <v>41383</v>
      </c>
      <c r="T2901" t="s">
        <v>42717</v>
      </c>
      <c r="U2901" t="s">
        <v>45682</v>
      </c>
      <c r="W2901" t="s">
        <v>38748</v>
      </c>
      <c r="X2901" t="s">
        <v>41254</v>
      </c>
    </row>
    <row r="2902" spans="1:24">
      <c r="A2902">
        <f>HYPERLINK("https://www.philgeps.gov.ph/GEPSNONPILOT/Tender/SplashBidNoticeAbstractUI.aspx?menuIndex=3&amp;refID=7073878&amp;Result=3","7073878")</f>
        <v>0</v>
      </c>
      <c r="B2902" t="s">
        <v>1185</v>
      </c>
      <c r="C2902" t="s">
        <v>6157</v>
      </c>
      <c r="D2902" t="s">
        <v>16664</v>
      </c>
      <c r="E2902" t="s">
        <v>19315</v>
      </c>
      <c r="F2902" t="s">
        <v>28669</v>
      </c>
      <c r="G2902" t="s">
        <v>28675</v>
      </c>
      <c r="H2902" t="s">
        <v>9998</v>
      </c>
      <c r="I2902" t="s">
        <v>7352</v>
      </c>
      <c r="J2902" t="s">
        <v>30770</v>
      </c>
      <c r="K2902" t="s">
        <v>37206</v>
      </c>
      <c r="M2902" t="s">
        <v>38725</v>
      </c>
      <c r="N2902" t="s">
        <v>41249</v>
      </c>
      <c r="O2902" t="s">
        <v>41250</v>
      </c>
      <c r="P2902">
        <v>0</v>
      </c>
      <c r="Q2902">
        <v>0</v>
      </c>
      <c r="R2902" t="s">
        <v>41252</v>
      </c>
      <c r="S2902" t="s">
        <v>41383</v>
      </c>
      <c r="T2902" t="s">
        <v>42764</v>
      </c>
      <c r="U2902" t="s">
        <v>45677</v>
      </c>
      <c r="W2902" t="s">
        <v>38725</v>
      </c>
      <c r="X2902" t="s">
        <v>41254</v>
      </c>
    </row>
    <row r="2903" spans="1:24">
      <c r="A2903">
        <f>HYPERLINK("https://www.philgeps.gov.ph/GEPSNONPILOT/Tender/SplashBidNoticeAbstractUI.aspx?menuIndex=3&amp;refID=7073877&amp;Result=3","7073877")</f>
        <v>0</v>
      </c>
      <c r="B2903" t="s">
        <v>1208</v>
      </c>
      <c r="C2903" t="s">
        <v>6158</v>
      </c>
      <c r="D2903" t="s">
        <v>16678</v>
      </c>
      <c r="E2903" t="s">
        <v>19360</v>
      </c>
      <c r="F2903" t="s">
        <v>28671</v>
      </c>
      <c r="G2903" t="s">
        <v>28677</v>
      </c>
      <c r="H2903" t="s">
        <v>9998</v>
      </c>
      <c r="I2903" t="s">
        <v>28697</v>
      </c>
      <c r="J2903" t="s">
        <v>30771</v>
      </c>
      <c r="K2903" t="s">
        <v>37210</v>
      </c>
      <c r="M2903" t="s">
        <v>38749</v>
      </c>
      <c r="N2903" t="s">
        <v>41249</v>
      </c>
      <c r="O2903" t="s">
        <v>41250</v>
      </c>
      <c r="P2903">
        <v>0</v>
      </c>
      <c r="Q2903">
        <v>6</v>
      </c>
      <c r="R2903" t="s">
        <v>41252</v>
      </c>
      <c r="S2903" t="s">
        <v>41383</v>
      </c>
      <c r="T2903" t="s">
        <v>42742</v>
      </c>
      <c r="U2903" t="s">
        <v>45683</v>
      </c>
      <c r="W2903" t="s">
        <v>38749</v>
      </c>
      <c r="X2903" t="s">
        <v>41254</v>
      </c>
    </row>
    <row r="2904" spans="1:24">
      <c r="A2904">
        <f>HYPERLINK("https://www.philgeps.gov.ph/GEPSNONPILOT/Tender/SplashBidNoticeAbstractUI.aspx?menuIndex=3&amp;refID=7073891&amp;Result=3","7073891")</f>
        <v>0</v>
      </c>
      <c r="B2904" t="s">
        <v>1209</v>
      </c>
      <c r="C2904" t="s">
        <v>6159</v>
      </c>
      <c r="D2904" t="s">
        <v>16631</v>
      </c>
      <c r="E2904" t="s">
        <v>19361</v>
      </c>
      <c r="F2904" t="s">
        <v>28671</v>
      </c>
      <c r="G2904" t="s">
        <v>28675</v>
      </c>
      <c r="H2904" t="s">
        <v>9998</v>
      </c>
      <c r="I2904" t="s">
        <v>28726</v>
      </c>
      <c r="J2904" t="s">
        <v>30772</v>
      </c>
      <c r="K2904" t="s">
        <v>37221</v>
      </c>
      <c r="M2904" t="s">
        <v>38750</v>
      </c>
      <c r="N2904" t="s">
        <v>41249</v>
      </c>
      <c r="O2904" t="s">
        <v>41250</v>
      </c>
      <c r="P2904">
        <v>0</v>
      </c>
      <c r="Q2904">
        <v>2</v>
      </c>
      <c r="R2904" t="s">
        <v>41252</v>
      </c>
      <c r="S2904" t="s">
        <v>41383</v>
      </c>
      <c r="T2904" t="s">
        <v>42740</v>
      </c>
      <c r="U2904" t="s">
        <v>45684</v>
      </c>
      <c r="W2904" t="s">
        <v>38750</v>
      </c>
      <c r="X2904" t="s">
        <v>41254</v>
      </c>
    </row>
    <row r="2905" spans="1:24">
      <c r="A2905">
        <f>HYPERLINK("https://www.philgeps.gov.ph/GEPSNONPILOT/Tender/SplashBidNoticeAbstractUI.aspx?menuIndex=3&amp;refID=7073876&amp;Result=3","7073876")</f>
        <v>0</v>
      </c>
      <c r="B2905" t="s">
        <v>310</v>
      </c>
      <c r="C2905" t="s">
        <v>3929</v>
      </c>
      <c r="D2905" t="s">
        <v>16635</v>
      </c>
      <c r="E2905" t="s">
        <v>19362</v>
      </c>
      <c r="F2905" t="s">
        <v>28669</v>
      </c>
      <c r="G2905" t="s">
        <v>28678</v>
      </c>
      <c r="H2905" t="s">
        <v>9998</v>
      </c>
      <c r="I2905" t="s">
        <v>28688</v>
      </c>
      <c r="J2905" t="s">
        <v>30773</v>
      </c>
      <c r="K2905" t="s">
        <v>37209</v>
      </c>
      <c r="M2905" t="s">
        <v>37789</v>
      </c>
      <c r="N2905" t="s">
        <v>41249</v>
      </c>
      <c r="O2905" t="s">
        <v>41250</v>
      </c>
      <c r="P2905">
        <v>0</v>
      </c>
      <c r="Q2905">
        <v>4</v>
      </c>
      <c r="R2905" t="s">
        <v>41252</v>
      </c>
      <c r="S2905" t="s">
        <v>41383</v>
      </c>
      <c r="T2905" t="s">
        <v>42738</v>
      </c>
      <c r="U2905" t="s">
        <v>45685</v>
      </c>
      <c r="W2905" t="s">
        <v>37789</v>
      </c>
      <c r="X2905" t="s">
        <v>41254</v>
      </c>
    </row>
    <row r="2906" spans="1:24">
      <c r="A2906">
        <f>HYPERLINK("https://www.philgeps.gov.ph/GEPSNONPILOT/Tender/SplashBidNoticeAbstractUI.aspx?menuIndex=3&amp;refID=7073872&amp;Result=3","7073872")</f>
        <v>0</v>
      </c>
      <c r="B2906" t="s">
        <v>557</v>
      </c>
      <c r="C2906" t="s">
        <v>6160</v>
      </c>
      <c r="D2906" t="s">
        <v>16608</v>
      </c>
      <c r="E2906" t="s">
        <v>19363</v>
      </c>
      <c r="F2906" t="s">
        <v>28669</v>
      </c>
      <c r="G2906" t="s">
        <v>28676</v>
      </c>
      <c r="H2906" t="s">
        <v>9998</v>
      </c>
      <c r="I2906" t="s">
        <v>28690</v>
      </c>
      <c r="J2906" t="s">
        <v>29203</v>
      </c>
      <c r="K2906" t="s">
        <v>37204</v>
      </c>
      <c r="M2906" t="s">
        <v>38050</v>
      </c>
      <c r="N2906" t="s">
        <v>41249</v>
      </c>
      <c r="O2906" t="s">
        <v>41250</v>
      </c>
      <c r="P2906">
        <v>0</v>
      </c>
      <c r="Q2906">
        <v>1</v>
      </c>
      <c r="R2906" t="s">
        <v>41252</v>
      </c>
      <c r="S2906" t="s">
        <v>41383</v>
      </c>
      <c r="T2906" t="s">
        <v>42742</v>
      </c>
      <c r="U2906" t="s">
        <v>45686</v>
      </c>
      <c r="V2906" t="s">
        <v>54379</v>
      </c>
      <c r="W2906" t="s">
        <v>38050</v>
      </c>
      <c r="X2906" t="s">
        <v>41254</v>
      </c>
    </row>
    <row r="2907" spans="1:24">
      <c r="A2907">
        <f>HYPERLINK("https://www.philgeps.gov.ph/GEPSNONPILOT/Tender/SplashBidNoticeAbstractUI.aspx?menuIndex=3&amp;refID=7073840&amp;Result=3","7073840")</f>
        <v>0</v>
      </c>
      <c r="B2907" t="s">
        <v>1210</v>
      </c>
      <c r="C2907" t="s">
        <v>6161</v>
      </c>
      <c r="D2907" t="s">
        <v>16633</v>
      </c>
      <c r="E2907" t="s">
        <v>19364</v>
      </c>
      <c r="F2907" t="s">
        <v>28669</v>
      </c>
      <c r="G2907" t="s">
        <v>28675</v>
      </c>
      <c r="H2907" t="s">
        <v>28684</v>
      </c>
      <c r="I2907" t="s">
        <v>28792</v>
      </c>
      <c r="J2907" t="s">
        <v>30493</v>
      </c>
      <c r="K2907" t="s">
        <v>37272</v>
      </c>
      <c r="M2907" t="s">
        <v>38751</v>
      </c>
      <c r="N2907" t="s">
        <v>41249</v>
      </c>
      <c r="O2907" t="s">
        <v>41250</v>
      </c>
      <c r="P2907">
        <v>0</v>
      </c>
      <c r="Q2907">
        <v>0</v>
      </c>
      <c r="R2907" t="s">
        <v>41252</v>
      </c>
      <c r="S2907" t="s">
        <v>41383</v>
      </c>
      <c r="T2907" t="s">
        <v>42732</v>
      </c>
      <c r="U2907" t="s">
        <v>45687</v>
      </c>
      <c r="V2907" t="s">
        <v>54598</v>
      </c>
      <c r="W2907" t="s">
        <v>38751</v>
      </c>
      <c r="X2907" t="s">
        <v>41254</v>
      </c>
    </row>
    <row r="2908" spans="1:24">
      <c r="A2908">
        <f>HYPERLINK("https://www.philgeps.gov.ph/GEPSNONPILOT/Tender/SplashBidNoticeAbstractUI.aspx?menuIndex=3&amp;refID=7073870&amp;Result=3","7073870")</f>
        <v>0</v>
      </c>
      <c r="B2908" t="s">
        <v>1192</v>
      </c>
      <c r="C2908" t="s">
        <v>6162</v>
      </c>
      <c r="D2908" t="s">
        <v>16619</v>
      </c>
      <c r="E2908" t="s">
        <v>19365</v>
      </c>
      <c r="F2908" t="s">
        <v>28669</v>
      </c>
      <c r="G2908" t="s">
        <v>28676</v>
      </c>
      <c r="H2908" t="s">
        <v>9998</v>
      </c>
      <c r="I2908" t="s">
        <v>28729</v>
      </c>
      <c r="J2908" t="s">
        <v>30774</v>
      </c>
      <c r="K2908" t="s">
        <v>37208</v>
      </c>
      <c r="M2908" t="s">
        <v>38732</v>
      </c>
      <c r="N2908" t="s">
        <v>41249</v>
      </c>
      <c r="O2908" t="s">
        <v>41250</v>
      </c>
      <c r="P2908">
        <v>0</v>
      </c>
      <c r="Q2908">
        <v>0</v>
      </c>
      <c r="R2908" t="s">
        <v>41252</v>
      </c>
      <c r="S2908" t="s">
        <v>41383</v>
      </c>
      <c r="T2908" t="s">
        <v>42742</v>
      </c>
      <c r="U2908" t="s">
        <v>45688</v>
      </c>
      <c r="W2908" t="s">
        <v>38732</v>
      </c>
      <c r="X2908" t="s">
        <v>41254</v>
      </c>
    </row>
    <row r="2909" spans="1:24">
      <c r="A2909">
        <f>HYPERLINK("https://www.philgeps.gov.ph/GEPSNONPILOT/Tender/SplashBidNoticeAbstractUI.aspx?menuIndex=3&amp;refID=7073867&amp;Result=3","7073867")</f>
        <v>0</v>
      </c>
      <c r="B2909" t="s">
        <v>242</v>
      </c>
      <c r="C2909" t="s">
        <v>6163</v>
      </c>
      <c r="D2909" t="s">
        <v>16666</v>
      </c>
      <c r="E2909" t="s">
        <v>19366</v>
      </c>
      <c r="F2909" t="s">
        <v>28669</v>
      </c>
      <c r="G2909" t="s">
        <v>28676</v>
      </c>
      <c r="H2909" t="s">
        <v>9998</v>
      </c>
      <c r="I2909" t="s">
        <v>6128</v>
      </c>
      <c r="J2909" t="s">
        <v>28879</v>
      </c>
      <c r="K2909" t="s">
        <v>37204</v>
      </c>
      <c r="M2909" t="s">
        <v>37720</v>
      </c>
      <c r="N2909" t="s">
        <v>41249</v>
      </c>
      <c r="O2909" t="s">
        <v>41250</v>
      </c>
      <c r="P2909">
        <v>0</v>
      </c>
      <c r="Q2909">
        <v>1</v>
      </c>
      <c r="R2909" t="s">
        <v>41252</v>
      </c>
      <c r="S2909" t="s">
        <v>41383</v>
      </c>
      <c r="T2909" t="s">
        <v>42729</v>
      </c>
      <c r="U2909" t="s">
        <v>45689</v>
      </c>
      <c r="W2909" t="s">
        <v>37720</v>
      </c>
      <c r="X2909" t="s">
        <v>41254</v>
      </c>
    </row>
    <row r="2910" spans="1:24">
      <c r="A2910">
        <f>HYPERLINK("https://www.philgeps.gov.ph/GEPSNONPILOT/Tender/SplashBidNoticeAbstractUI.aspx?menuIndex=3&amp;refID=7073866&amp;Result=3","7073866")</f>
        <v>0</v>
      </c>
      <c r="B2910" t="s">
        <v>140</v>
      </c>
      <c r="C2910" t="s">
        <v>6164</v>
      </c>
      <c r="D2910" t="s">
        <v>16652</v>
      </c>
      <c r="E2910" t="s">
        <v>19322</v>
      </c>
      <c r="F2910" t="s">
        <v>28669</v>
      </c>
      <c r="G2910" t="s">
        <v>28676</v>
      </c>
      <c r="H2910" t="s">
        <v>9998</v>
      </c>
      <c r="I2910" t="s">
        <v>28728</v>
      </c>
      <c r="J2910" t="s">
        <v>29545</v>
      </c>
      <c r="K2910" t="s">
        <v>37234</v>
      </c>
      <c r="M2910" t="s">
        <v>37617</v>
      </c>
      <c r="N2910" t="s">
        <v>41249</v>
      </c>
      <c r="O2910" t="s">
        <v>41250</v>
      </c>
      <c r="P2910">
        <v>0</v>
      </c>
      <c r="Q2910">
        <v>0</v>
      </c>
      <c r="R2910" t="s">
        <v>41252</v>
      </c>
      <c r="S2910" t="s">
        <v>41383</v>
      </c>
      <c r="T2910" t="s">
        <v>42802</v>
      </c>
      <c r="U2910" t="s">
        <v>45643</v>
      </c>
      <c r="W2910" t="s">
        <v>37617</v>
      </c>
      <c r="X2910" t="s">
        <v>41254</v>
      </c>
    </row>
    <row r="2911" spans="1:24">
      <c r="A2911">
        <f>HYPERLINK("https://www.philgeps.gov.ph/GEPSNONPILOT/Tender/SplashBidNoticeAbstractUI.aspx?menuIndex=3&amp;refID=7073883&amp;Result=3","7073883")</f>
        <v>0</v>
      </c>
      <c r="B2911" t="s">
        <v>475</v>
      </c>
      <c r="C2911" t="s">
        <v>6165</v>
      </c>
      <c r="E2911" t="s">
        <v>19367</v>
      </c>
      <c r="F2911" t="s">
        <v>28669</v>
      </c>
      <c r="G2911" t="s">
        <v>28676</v>
      </c>
      <c r="H2911" t="s">
        <v>9998</v>
      </c>
      <c r="I2911" t="s">
        <v>6606</v>
      </c>
      <c r="J2911" t="s">
        <v>29190</v>
      </c>
      <c r="K2911" t="s">
        <v>37209</v>
      </c>
      <c r="M2911" t="s">
        <v>37963</v>
      </c>
      <c r="N2911" t="s">
        <v>41249</v>
      </c>
      <c r="O2911" t="s">
        <v>41250</v>
      </c>
      <c r="P2911">
        <v>0</v>
      </c>
      <c r="Q2911">
        <v>0</v>
      </c>
      <c r="R2911" t="s">
        <v>41252</v>
      </c>
      <c r="S2911" t="s">
        <v>41383</v>
      </c>
      <c r="T2911" t="s">
        <v>42774</v>
      </c>
      <c r="U2911" t="s">
        <v>43651</v>
      </c>
      <c r="W2911" t="s">
        <v>37963</v>
      </c>
      <c r="X2911" t="s">
        <v>41254</v>
      </c>
    </row>
    <row r="2912" spans="1:24">
      <c r="A2912">
        <f>HYPERLINK("https://www.philgeps.gov.ph/GEPSNONPILOT/Tender/SplashBidNoticeAbstractUI.aspx?menuIndex=3&amp;refID=7073880&amp;Result=3","7073880")</f>
        <v>0</v>
      </c>
      <c r="B2912" t="s">
        <v>1211</v>
      </c>
      <c r="C2912" t="s">
        <v>6166</v>
      </c>
      <c r="D2912" t="s">
        <v>16633</v>
      </c>
      <c r="E2912" t="s">
        <v>17140</v>
      </c>
      <c r="F2912" t="s">
        <v>28669</v>
      </c>
      <c r="G2912" t="s">
        <v>28675</v>
      </c>
      <c r="H2912" t="s">
        <v>28686</v>
      </c>
      <c r="I2912" t="s">
        <v>28689</v>
      </c>
      <c r="J2912" t="s">
        <v>30775</v>
      </c>
      <c r="K2912" t="s">
        <v>37209</v>
      </c>
      <c r="M2912" t="s">
        <v>38752</v>
      </c>
      <c r="N2912" t="s">
        <v>41249</v>
      </c>
      <c r="O2912" t="s">
        <v>41250</v>
      </c>
      <c r="P2912">
        <v>0</v>
      </c>
      <c r="Q2912">
        <v>0</v>
      </c>
      <c r="R2912" t="s">
        <v>41252</v>
      </c>
      <c r="S2912" t="s">
        <v>41383</v>
      </c>
      <c r="T2912" t="s">
        <v>42742</v>
      </c>
      <c r="U2912" t="s">
        <v>44777</v>
      </c>
      <c r="W2912" t="s">
        <v>38752</v>
      </c>
      <c r="X2912" t="s">
        <v>41254</v>
      </c>
    </row>
    <row r="2913" spans="1:24">
      <c r="A2913">
        <f>HYPERLINK("https://www.philgeps.gov.ph/GEPSNONPILOT/Tender/SplashBidNoticeAbstractUI.aspx?menuIndex=3&amp;refID=7073869&amp;Result=3","7073869")</f>
        <v>0</v>
      </c>
      <c r="B2913" t="s">
        <v>474</v>
      </c>
      <c r="C2913" t="s">
        <v>6167</v>
      </c>
      <c r="D2913" t="s">
        <v>16668</v>
      </c>
      <c r="E2913" t="s">
        <v>19368</v>
      </c>
      <c r="F2913" t="s">
        <v>28669</v>
      </c>
      <c r="G2913" t="s">
        <v>28676</v>
      </c>
      <c r="H2913" t="s">
        <v>9998</v>
      </c>
      <c r="I2913" t="s">
        <v>7352</v>
      </c>
      <c r="J2913" t="s">
        <v>30776</v>
      </c>
      <c r="K2913" t="s">
        <v>37209</v>
      </c>
      <c r="L2913" t="s">
        <v>474</v>
      </c>
      <c r="M2913" t="s">
        <v>37962</v>
      </c>
      <c r="N2913" t="s">
        <v>41249</v>
      </c>
      <c r="O2913" t="s">
        <v>41250</v>
      </c>
      <c r="P2913">
        <v>0</v>
      </c>
      <c r="Q2913">
        <v>1</v>
      </c>
      <c r="R2913" t="s">
        <v>41252</v>
      </c>
      <c r="S2913" t="s">
        <v>41383</v>
      </c>
      <c r="T2913" t="s">
        <v>42711</v>
      </c>
      <c r="U2913" t="s">
        <v>43997</v>
      </c>
      <c r="W2913" t="s">
        <v>37962</v>
      </c>
      <c r="X2913" t="s">
        <v>41254</v>
      </c>
    </row>
    <row r="2914" spans="1:24">
      <c r="A2914">
        <f>HYPERLINK("https://www.philgeps.gov.ph/GEPSNONPILOT/Tender/SplashBidNoticeAbstractUI.aspx?menuIndex=3&amp;refID=7073794&amp;Result=3","7073794")</f>
        <v>0</v>
      </c>
      <c r="B2914" t="s">
        <v>1001</v>
      </c>
      <c r="C2914" t="s">
        <v>6168</v>
      </c>
      <c r="D2914" t="s">
        <v>16677</v>
      </c>
      <c r="E2914" t="s">
        <v>19369</v>
      </c>
      <c r="F2914" t="s">
        <v>28669</v>
      </c>
      <c r="G2914" t="s">
        <v>28675</v>
      </c>
      <c r="H2914" t="s">
        <v>28686</v>
      </c>
      <c r="I2914" t="s">
        <v>28689</v>
      </c>
      <c r="J2914" t="s">
        <v>30777</v>
      </c>
      <c r="K2914" t="s">
        <v>37215</v>
      </c>
      <c r="M2914" t="s">
        <v>38529</v>
      </c>
      <c r="N2914" t="s">
        <v>41249</v>
      </c>
      <c r="O2914" t="s">
        <v>41250</v>
      </c>
      <c r="P2914">
        <v>0</v>
      </c>
      <c r="Q2914">
        <v>0</v>
      </c>
      <c r="R2914" t="s">
        <v>41252</v>
      </c>
      <c r="S2914" t="s">
        <v>41383</v>
      </c>
      <c r="T2914" t="s">
        <v>42755</v>
      </c>
      <c r="U2914" t="s">
        <v>45302</v>
      </c>
      <c r="W2914" t="s">
        <v>38529</v>
      </c>
      <c r="X2914" t="s">
        <v>41254</v>
      </c>
    </row>
    <row r="2915" spans="1:24">
      <c r="A2915">
        <f>HYPERLINK("https://www.philgeps.gov.ph/GEPSNONPILOT/Tender/SplashBidNoticeAbstractUI.aspx?menuIndex=3&amp;refID=7073792&amp;Result=3","7073792")</f>
        <v>0</v>
      </c>
      <c r="B2915" t="s">
        <v>136</v>
      </c>
      <c r="C2915" t="s">
        <v>6169</v>
      </c>
      <c r="D2915" t="s">
        <v>16642</v>
      </c>
      <c r="E2915" t="s">
        <v>19370</v>
      </c>
      <c r="F2915" t="s">
        <v>28669</v>
      </c>
      <c r="G2915" t="s">
        <v>28676</v>
      </c>
      <c r="H2915" t="s">
        <v>9998</v>
      </c>
      <c r="I2915" t="s">
        <v>5213</v>
      </c>
      <c r="J2915" t="s">
        <v>29221</v>
      </c>
      <c r="K2915" t="s">
        <v>37216</v>
      </c>
      <c r="M2915" t="s">
        <v>37613</v>
      </c>
      <c r="N2915" t="s">
        <v>41249</v>
      </c>
      <c r="O2915" t="s">
        <v>41250</v>
      </c>
      <c r="P2915">
        <v>0</v>
      </c>
      <c r="Q2915">
        <v>1</v>
      </c>
      <c r="R2915" t="s">
        <v>41252</v>
      </c>
      <c r="S2915" t="s">
        <v>41383</v>
      </c>
      <c r="T2915" t="s">
        <v>42735</v>
      </c>
      <c r="U2915" t="s">
        <v>45690</v>
      </c>
      <c r="V2915" t="s">
        <v>54313</v>
      </c>
      <c r="W2915" t="s">
        <v>55905</v>
      </c>
      <c r="X2915" t="s">
        <v>41254</v>
      </c>
    </row>
    <row r="2916" spans="1:24">
      <c r="A2916">
        <f>HYPERLINK("https://www.philgeps.gov.ph/GEPSNONPILOT/Tender/SplashBidNoticeAbstractUI.aspx?menuIndex=3&amp;refID=7073790&amp;Result=3","7073790")</f>
        <v>0</v>
      </c>
      <c r="B2916" t="s">
        <v>1212</v>
      </c>
      <c r="C2916" t="s">
        <v>6170</v>
      </c>
      <c r="D2916" t="s">
        <v>16678</v>
      </c>
      <c r="E2916" t="s">
        <v>19371</v>
      </c>
      <c r="F2916" t="s">
        <v>28669</v>
      </c>
      <c r="G2916" t="s">
        <v>28677</v>
      </c>
      <c r="H2916" t="s">
        <v>9998</v>
      </c>
      <c r="I2916" t="s">
        <v>11593</v>
      </c>
      <c r="J2916" t="s">
        <v>30778</v>
      </c>
      <c r="K2916" t="s">
        <v>37209</v>
      </c>
      <c r="M2916" t="s">
        <v>38753</v>
      </c>
      <c r="N2916" t="s">
        <v>41249</v>
      </c>
      <c r="O2916" t="s">
        <v>41250</v>
      </c>
      <c r="P2916">
        <v>0</v>
      </c>
      <c r="Q2916">
        <v>1</v>
      </c>
      <c r="R2916" t="s">
        <v>41252</v>
      </c>
      <c r="S2916" t="s">
        <v>41383</v>
      </c>
      <c r="T2916" t="s">
        <v>42729</v>
      </c>
      <c r="U2916" t="s">
        <v>45691</v>
      </c>
      <c r="W2916" t="s">
        <v>38753</v>
      </c>
      <c r="X2916" t="s">
        <v>41254</v>
      </c>
    </row>
    <row r="2917" spans="1:24">
      <c r="A2917">
        <f>HYPERLINK("https://www.philgeps.gov.ph/GEPSNONPILOT/Tender/SplashBidNoticeAbstractUI.aspx?menuIndex=3&amp;refID=7073789&amp;Result=3","7073789")</f>
        <v>0</v>
      </c>
      <c r="B2917" t="s">
        <v>1213</v>
      </c>
      <c r="C2917" t="s">
        <v>6171</v>
      </c>
      <c r="D2917" t="s">
        <v>16611</v>
      </c>
      <c r="E2917" t="s">
        <v>6919</v>
      </c>
      <c r="F2917" t="s">
        <v>28669</v>
      </c>
      <c r="G2917" t="s">
        <v>28675</v>
      </c>
      <c r="H2917" t="s">
        <v>9998</v>
      </c>
      <c r="I2917" t="s">
        <v>28689</v>
      </c>
      <c r="J2917" t="s">
        <v>30779</v>
      </c>
      <c r="K2917" t="s">
        <v>37204</v>
      </c>
      <c r="M2917" t="s">
        <v>38754</v>
      </c>
      <c r="N2917" t="s">
        <v>41249</v>
      </c>
      <c r="O2917" t="s">
        <v>41250</v>
      </c>
      <c r="P2917">
        <v>0</v>
      </c>
      <c r="Q2917">
        <v>0</v>
      </c>
      <c r="R2917" t="s">
        <v>41252</v>
      </c>
      <c r="S2917" t="s">
        <v>41383</v>
      </c>
      <c r="T2917" t="s">
        <v>42678</v>
      </c>
      <c r="U2917" t="s">
        <v>45692</v>
      </c>
      <c r="W2917" t="s">
        <v>38754</v>
      </c>
      <c r="X2917" t="s">
        <v>41254</v>
      </c>
    </row>
    <row r="2918" spans="1:24">
      <c r="A2918">
        <f>HYPERLINK("https://www.philgeps.gov.ph/GEPSNONPILOT/Tender/SplashBidNoticeAbstractUI.aspx?menuIndex=3&amp;refID=7073874&amp;Result=3","7073874")</f>
        <v>0</v>
      </c>
      <c r="B2918" t="s">
        <v>1001</v>
      </c>
      <c r="C2918" t="s">
        <v>6172</v>
      </c>
      <c r="D2918" t="s">
        <v>16677</v>
      </c>
      <c r="E2918" t="s">
        <v>19372</v>
      </c>
      <c r="F2918" t="s">
        <v>28669</v>
      </c>
      <c r="G2918" t="s">
        <v>28675</v>
      </c>
      <c r="H2918" t="s">
        <v>28686</v>
      </c>
      <c r="I2918" t="s">
        <v>28689</v>
      </c>
      <c r="J2918" t="s">
        <v>30559</v>
      </c>
      <c r="K2918" t="s">
        <v>37211</v>
      </c>
      <c r="M2918" t="s">
        <v>38529</v>
      </c>
      <c r="N2918" t="s">
        <v>41249</v>
      </c>
      <c r="O2918" t="s">
        <v>41250</v>
      </c>
      <c r="P2918">
        <v>0</v>
      </c>
      <c r="Q2918">
        <v>0</v>
      </c>
      <c r="R2918" t="s">
        <v>41252</v>
      </c>
      <c r="S2918" t="s">
        <v>41383</v>
      </c>
      <c r="T2918" t="s">
        <v>42911</v>
      </c>
      <c r="U2918" t="s">
        <v>45693</v>
      </c>
      <c r="W2918" t="s">
        <v>38529</v>
      </c>
      <c r="X2918" t="s">
        <v>41254</v>
      </c>
    </row>
    <row r="2919" spans="1:24">
      <c r="A2919">
        <f>HYPERLINK("https://www.philgeps.gov.ph/GEPSNONPILOT/Tender/SplashBidNoticeAbstractUI.aspx?menuIndex=3&amp;refID=7073769&amp;Result=3","7073769")</f>
        <v>0</v>
      </c>
      <c r="B2919" t="s">
        <v>1214</v>
      </c>
      <c r="C2919" t="s">
        <v>6173</v>
      </c>
      <c r="D2919" t="s">
        <v>16658</v>
      </c>
      <c r="E2919" t="s">
        <v>19373</v>
      </c>
      <c r="F2919" t="s">
        <v>28669</v>
      </c>
      <c r="G2919" t="s">
        <v>28675</v>
      </c>
      <c r="H2919" t="s">
        <v>9998</v>
      </c>
      <c r="I2919" t="s">
        <v>6128</v>
      </c>
      <c r="J2919" t="s">
        <v>30780</v>
      </c>
      <c r="K2919" t="s">
        <v>37209</v>
      </c>
      <c r="M2919" t="s">
        <v>38755</v>
      </c>
      <c r="N2919" t="s">
        <v>41249</v>
      </c>
      <c r="O2919" t="s">
        <v>41250</v>
      </c>
      <c r="P2919">
        <v>0</v>
      </c>
      <c r="Q2919">
        <v>2</v>
      </c>
      <c r="R2919" t="s">
        <v>41252</v>
      </c>
      <c r="S2919" t="s">
        <v>41383</v>
      </c>
      <c r="T2919" t="s">
        <v>42742</v>
      </c>
      <c r="U2919" t="s">
        <v>45694</v>
      </c>
      <c r="W2919" t="s">
        <v>38755</v>
      </c>
      <c r="X2919" t="s">
        <v>41254</v>
      </c>
    </row>
    <row r="2920" spans="1:24">
      <c r="A2920">
        <f>HYPERLINK("https://www.philgeps.gov.ph/GEPSNONPILOT/Tender/SplashBidNoticeAbstractUI.aspx?menuIndex=3&amp;refID=7073768&amp;Result=3","7073768")</f>
        <v>0</v>
      </c>
      <c r="B2920" t="s">
        <v>851</v>
      </c>
      <c r="C2920" t="s">
        <v>6174</v>
      </c>
      <c r="D2920" t="s">
        <v>16654</v>
      </c>
      <c r="E2920" t="s">
        <v>19374</v>
      </c>
      <c r="F2920" t="s">
        <v>28669</v>
      </c>
      <c r="G2920" t="s">
        <v>28675</v>
      </c>
      <c r="H2920" t="s">
        <v>9998</v>
      </c>
      <c r="I2920" t="s">
        <v>28688</v>
      </c>
      <c r="J2920" t="s">
        <v>29109</v>
      </c>
      <c r="K2920" t="s">
        <v>37206</v>
      </c>
      <c r="M2920" t="s">
        <v>38367</v>
      </c>
      <c r="N2920" t="s">
        <v>41249</v>
      </c>
      <c r="O2920" t="s">
        <v>41250</v>
      </c>
      <c r="P2920">
        <v>0</v>
      </c>
      <c r="Q2920">
        <v>2</v>
      </c>
      <c r="R2920" t="s">
        <v>41252</v>
      </c>
      <c r="S2920" t="s">
        <v>41383</v>
      </c>
      <c r="T2920" t="s">
        <v>42759</v>
      </c>
      <c r="U2920" t="s">
        <v>45695</v>
      </c>
      <c r="V2920" t="s">
        <v>48842</v>
      </c>
      <c r="W2920" t="s">
        <v>38367</v>
      </c>
      <c r="X2920" t="s">
        <v>41254</v>
      </c>
    </row>
    <row r="2921" spans="1:24">
      <c r="A2921">
        <f>HYPERLINK("https://www.philgeps.gov.ph/GEPSNONPILOT/Tender/SplashBidNoticeAbstractUI.aspx?menuIndex=3&amp;refID=7073766&amp;Result=3","7073766")</f>
        <v>0</v>
      </c>
      <c r="B2921" t="s">
        <v>1215</v>
      </c>
      <c r="C2921" t="s">
        <v>6175</v>
      </c>
      <c r="D2921" t="s">
        <v>16678</v>
      </c>
      <c r="E2921" t="s">
        <v>17029</v>
      </c>
      <c r="F2921" t="s">
        <v>28669</v>
      </c>
      <c r="G2921" t="s">
        <v>28675</v>
      </c>
      <c r="H2921" t="s">
        <v>9998</v>
      </c>
      <c r="I2921" t="s">
        <v>7352</v>
      </c>
      <c r="J2921" t="s">
        <v>29787</v>
      </c>
      <c r="K2921" t="s">
        <v>37206</v>
      </c>
      <c r="M2921" t="s">
        <v>38756</v>
      </c>
      <c r="N2921" t="s">
        <v>41249</v>
      </c>
      <c r="O2921" t="s">
        <v>41250</v>
      </c>
      <c r="P2921">
        <v>0</v>
      </c>
      <c r="Q2921">
        <v>0</v>
      </c>
      <c r="R2921" t="s">
        <v>41252</v>
      </c>
      <c r="S2921" t="s">
        <v>41383</v>
      </c>
      <c r="T2921" t="s">
        <v>42698</v>
      </c>
      <c r="U2921" t="s">
        <v>45696</v>
      </c>
      <c r="W2921" t="s">
        <v>38756</v>
      </c>
      <c r="X2921" t="s">
        <v>41254</v>
      </c>
    </row>
    <row r="2922" spans="1:24">
      <c r="A2922">
        <f>HYPERLINK("https://www.philgeps.gov.ph/GEPSNONPILOT/Tender/SplashBidNoticeAbstractUI.aspx?menuIndex=3&amp;refID=7073765&amp;Result=3","7073765")</f>
        <v>0</v>
      </c>
      <c r="B2922" t="s">
        <v>1001</v>
      </c>
      <c r="C2922" t="s">
        <v>6176</v>
      </c>
      <c r="D2922" t="s">
        <v>16677</v>
      </c>
      <c r="E2922" t="s">
        <v>19375</v>
      </c>
      <c r="F2922" t="s">
        <v>28669</v>
      </c>
      <c r="G2922" t="s">
        <v>28675</v>
      </c>
      <c r="H2922" t="s">
        <v>28686</v>
      </c>
      <c r="I2922" t="s">
        <v>28689</v>
      </c>
      <c r="J2922" t="s">
        <v>30503</v>
      </c>
      <c r="K2922" t="s">
        <v>37215</v>
      </c>
      <c r="M2922" t="s">
        <v>38529</v>
      </c>
      <c r="N2922" t="s">
        <v>41249</v>
      </c>
      <c r="O2922" t="s">
        <v>41250</v>
      </c>
      <c r="P2922">
        <v>0</v>
      </c>
      <c r="Q2922">
        <v>0</v>
      </c>
      <c r="R2922" t="s">
        <v>41252</v>
      </c>
      <c r="S2922" t="s">
        <v>41383</v>
      </c>
      <c r="T2922" t="s">
        <v>42760</v>
      </c>
      <c r="U2922" t="s">
        <v>45302</v>
      </c>
      <c r="W2922" t="s">
        <v>38529</v>
      </c>
      <c r="X2922" t="s">
        <v>41254</v>
      </c>
    </row>
    <row r="2923" spans="1:24">
      <c r="A2923">
        <f>HYPERLINK("https://www.philgeps.gov.ph/GEPSNONPILOT/Tender/SplashBidNoticeAbstractUI.aspx?menuIndex=3&amp;refID=7073733&amp;Result=3","7073733")</f>
        <v>0</v>
      </c>
      <c r="B2923" t="s">
        <v>822</v>
      </c>
      <c r="C2923" t="s">
        <v>6177</v>
      </c>
      <c r="D2923" t="s">
        <v>16608</v>
      </c>
      <c r="E2923" t="s">
        <v>19376</v>
      </c>
      <c r="F2923" t="s">
        <v>28669</v>
      </c>
      <c r="G2923" t="s">
        <v>28675</v>
      </c>
      <c r="H2923" t="s">
        <v>28685</v>
      </c>
      <c r="I2923" t="s">
        <v>28685</v>
      </c>
      <c r="J2923" t="s">
        <v>30781</v>
      </c>
      <c r="K2923" t="s">
        <v>37211</v>
      </c>
      <c r="M2923" t="s">
        <v>38757</v>
      </c>
      <c r="N2923" t="s">
        <v>41249</v>
      </c>
      <c r="O2923" t="s">
        <v>41250</v>
      </c>
      <c r="P2923">
        <v>0</v>
      </c>
      <c r="Q2923">
        <v>4</v>
      </c>
      <c r="R2923" t="s">
        <v>41252</v>
      </c>
      <c r="S2923" t="s">
        <v>41383</v>
      </c>
      <c r="T2923" t="s">
        <v>42912</v>
      </c>
      <c r="U2923" t="s">
        <v>45697</v>
      </c>
      <c r="W2923" t="s">
        <v>38757</v>
      </c>
      <c r="X2923" t="s">
        <v>41254</v>
      </c>
    </row>
    <row r="2924" spans="1:24">
      <c r="A2924">
        <f>HYPERLINK("https://www.philgeps.gov.ph/GEPSNONPILOT/Tender/SplashBidNoticeAbstractUI.aspx?menuIndex=3&amp;refID=7073893&amp;Result=3","7073893")</f>
        <v>0</v>
      </c>
      <c r="B2924" t="s">
        <v>475</v>
      </c>
      <c r="C2924" t="s">
        <v>6178</v>
      </c>
      <c r="E2924" t="s">
        <v>19377</v>
      </c>
      <c r="F2924" t="s">
        <v>28669</v>
      </c>
      <c r="G2924" t="s">
        <v>28676</v>
      </c>
      <c r="H2924" t="s">
        <v>9998</v>
      </c>
      <c r="I2924" t="s">
        <v>28760</v>
      </c>
      <c r="J2924" t="s">
        <v>29505</v>
      </c>
      <c r="K2924" t="s">
        <v>37209</v>
      </c>
      <c r="M2924" t="s">
        <v>37963</v>
      </c>
      <c r="N2924" t="s">
        <v>41249</v>
      </c>
      <c r="O2924" t="s">
        <v>41250</v>
      </c>
      <c r="P2924">
        <v>0</v>
      </c>
      <c r="Q2924">
        <v>0</v>
      </c>
      <c r="R2924" t="s">
        <v>41252</v>
      </c>
      <c r="S2924" t="s">
        <v>41383</v>
      </c>
      <c r="T2924" t="s">
        <v>42774</v>
      </c>
      <c r="U2924" t="s">
        <v>43651</v>
      </c>
      <c r="W2924" t="s">
        <v>37963</v>
      </c>
      <c r="X2924" t="s">
        <v>41254</v>
      </c>
    </row>
    <row r="2925" spans="1:24">
      <c r="A2925">
        <f>HYPERLINK("https://www.philgeps.gov.ph/GEPSNONPILOT/Tender/SplashBidNoticeAbstractUI.aspx?menuIndex=3&amp;refID=7073892&amp;Result=3","7073892")</f>
        <v>0</v>
      </c>
      <c r="B2925" t="s">
        <v>385</v>
      </c>
      <c r="C2925" t="s">
        <v>6179</v>
      </c>
      <c r="E2925" t="s">
        <v>6569</v>
      </c>
      <c r="F2925" t="s">
        <v>28669</v>
      </c>
      <c r="G2925" t="s">
        <v>28675</v>
      </c>
      <c r="H2925" t="s">
        <v>28686</v>
      </c>
      <c r="I2925" t="s">
        <v>7352</v>
      </c>
      <c r="J2925" t="s">
        <v>30782</v>
      </c>
      <c r="K2925" t="s">
        <v>37209</v>
      </c>
      <c r="M2925" t="s">
        <v>37869</v>
      </c>
      <c r="N2925" t="s">
        <v>41249</v>
      </c>
      <c r="O2925" t="s">
        <v>41250</v>
      </c>
      <c r="P2925">
        <v>0</v>
      </c>
      <c r="Q2925">
        <v>0</v>
      </c>
      <c r="R2925" t="s">
        <v>41252</v>
      </c>
      <c r="S2925" t="s">
        <v>41383</v>
      </c>
      <c r="T2925" t="s">
        <v>42679</v>
      </c>
      <c r="U2925" t="s">
        <v>43822</v>
      </c>
      <c r="W2925" t="s">
        <v>37869</v>
      </c>
      <c r="X2925" t="s">
        <v>41254</v>
      </c>
    </row>
    <row r="2926" spans="1:24">
      <c r="A2926">
        <f>HYPERLINK("https://www.philgeps.gov.ph/GEPSNONPILOT/Tender/SplashBidNoticeAbstractUI.aspx?menuIndex=3&amp;refID=7073911&amp;Result=3","7073911")</f>
        <v>0</v>
      </c>
      <c r="B2926" t="s">
        <v>1185</v>
      </c>
      <c r="C2926" t="s">
        <v>6180</v>
      </c>
      <c r="D2926" t="s">
        <v>16664</v>
      </c>
      <c r="E2926" t="s">
        <v>19315</v>
      </c>
      <c r="F2926" t="s">
        <v>28669</v>
      </c>
      <c r="G2926" t="s">
        <v>28675</v>
      </c>
      <c r="H2926" t="s">
        <v>9998</v>
      </c>
      <c r="I2926" t="s">
        <v>7352</v>
      </c>
      <c r="J2926" t="s">
        <v>30783</v>
      </c>
      <c r="K2926" t="s">
        <v>37206</v>
      </c>
      <c r="M2926" t="s">
        <v>38725</v>
      </c>
      <c r="N2926" t="s">
        <v>41249</v>
      </c>
      <c r="O2926" t="s">
        <v>41250</v>
      </c>
      <c r="P2926">
        <v>0</v>
      </c>
      <c r="Q2926">
        <v>0</v>
      </c>
      <c r="R2926" t="s">
        <v>41252</v>
      </c>
      <c r="S2926" t="s">
        <v>41383</v>
      </c>
      <c r="T2926" t="s">
        <v>42764</v>
      </c>
      <c r="U2926" t="s">
        <v>45677</v>
      </c>
      <c r="W2926" t="s">
        <v>38725</v>
      </c>
      <c r="X2926" t="s">
        <v>41254</v>
      </c>
    </row>
    <row r="2927" spans="1:24">
      <c r="A2927">
        <f>HYPERLINK("https://www.philgeps.gov.ph/GEPSNONPILOT/Tender/SplashBidNoticeAbstractUI.aspx?menuIndex=3&amp;refID=7073875&amp;Result=3","7073875")</f>
        <v>0</v>
      </c>
      <c r="B2927" t="s">
        <v>1212</v>
      </c>
      <c r="C2927" t="s">
        <v>6181</v>
      </c>
      <c r="D2927" t="s">
        <v>16678</v>
      </c>
      <c r="E2927" t="s">
        <v>19378</v>
      </c>
      <c r="F2927" t="s">
        <v>28669</v>
      </c>
      <c r="G2927" t="s">
        <v>28677</v>
      </c>
      <c r="H2927" t="s">
        <v>9998</v>
      </c>
      <c r="I2927" t="s">
        <v>28694</v>
      </c>
      <c r="J2927" t="s">
        <v>30784</v>
      </c>
      <c r="K2927" t="s">
        <v>37209</v>
      </c>
      <c r="M2927" t="s">
        <v>38753</v>
      </c>
      <c r="N2927" t="s">
        <v>41249</v>
      </c>
      <c r="O2927" t="s">
        <v>41250</v>
      </c>
      <c r="P2927">
        <v>0</v>
      </c>
      <c r="Q2927">
        <v>0</v>
      </c>
      <c r="R2927" t="s">
        <v>41252</v>
      </c>
      <c r="S2927" t="s">
        <v>41383</v>
      </c>
      <c r="T2927" t="s">
        <v>42729</v>
      </c>
      <c r="U2927" t="s">
        <v>45698</v>
      </c>
      <c r="W2927" t="s">
        <v>38753</v>
      </c>
      <c r="X2927" t="s">
        <v>41254</v>
      </c>
    </row>
    <row r="2928" spans="1:24">
      <c r="A2928">
        <f>HYPERLINK("https://www.philgeps.gov.ph/GEPSNONPILOT/Tender/SplashBidNoticeAbstractUI.aspx?menuIndex=3&amp;refID=7073915&amp;Result=3","7073915")</f>
        <v>0</v>
      </c>
      <c r="B2928" t="s">
        <v>1190</v>
      </c>
      <c r="C2928" t="s">
        <v>6182</v>
      </c>
      <c r="D2928" t="s">
        <v>16626</v>
      </c>
      <c r="E2928" t="s">
        <v>19379</v>
      </c>
      <c r="F2928" t="s">
        <v>28669</v>
      </c>
      <c r="G2928" t="s">
        <v>28676</v>
      </c>
      <c r="H2928" t="s">
        <v>9998</v>
      </c>
      <c r="I2928" t="s">
        <v>28693</v>
      </c>
      <c r="J2928" t="s">
        <v>30785</v>
      </c>
      <c r="K2928" t="s">
        <v>37210</v>
      </c>
      <c r="M2928" t="s">
        <v>38730</v>
      </c>
      <c r="N2928" t="s">
        <v>41249</v>
      </c>
      <c r="O2928" t="s">
        <v>41250</v>
      </c>
      <c r="P2928">
        <v>0</v>
      </c>
      <c r="Q2928">
        <v>5</v>
      </c>
      <c r="R2928" t="s">
        <v>41252</v>
      </c>
      <c r="S2928" t="s">
        <v>41383</v>
      </c>
      <c r="T2928" t="s">
        <v>42729</v>
      </c>
      <c r="U2928" t="s">
        <v>45699</v>
      </c>
      <c r="W2928" t="s">
        <v>55944</v>
      </c>
      <c r="X2928" t="s">
        <v>41254</v>
      </c>
    </row>
    <row r="2929" spans="1:24">
      <c r="A2929">
        <f>HYPERLINK("https://www.philgeps.gov.ph/GEPSNONPILOT/Tender/SplashBidNoticeAbstractUI.aspx?menuIndex=3&amp;refID=7073767&amp;Result=3","7073767")</f>
        <v>0</v>
      </c>
      <c r="B2929" t="s">
        <v>1216</v>
      </c>
      <c r="C2929" t="s">
        <v>6183</v>
      </c>
      <c r="D2929" t="s">
        <v>16616</v>
      </c>
      <c r="E2929" t="s">
        <v>18275</v>
      </c>
      <c r="F2929" t="s">
        <v>28669</v>
      </c>
      <c r="G2929" t="s">
        <v>28677</v>
      </c>
      <c r="H2929" t="s">
        <v>9998</v>
      </c>
      <c r="I2929" t="s">
        <v>28708</v>
      </c>
      <c r="J2929" t="s">
        <v>30786</v>
      </c>
      <c r="K2929" t="s">
        <v>37205</v>
      </c>
      <c r="M2929" t="s">
        <v>38758</v>
      </c>
      <c r="N2929" t="s">
        <v>41249</v>
      </c>
      <c r="O2929" t="s">
        <v>41250</v>
      </c>
      <c r="P2929">
        <v>0</v>
      </c>
      <c r="Q2929">
        <v>1</v>
      </c>
      <c r="R2929" t="s">
        <v>41252</v>
      </c>
      <c r="S2929" t="s">
        <v>41383</v>
      </c>
      <c r="T2929" t="s">
        <v>42675</v>
      </c>
      <c r="U2929" t="s">
        <v>45700</v>
      </c>
      <c r="W2929" t="s">
        <v>38758</v>
      </c>
      <c r="X2929" t="s">
        <v>41254</v>
      </c>
    </row>
    <row r="2930" spans="1:24">
      <c r="A2930">
        <f>HYPERLINK("https://www.philgeps.gov.ph/GEPSNONPILOT/Tender/SplashBidNoticeAbstractUI.aspx?menuIndex=3&amp;refID=7073864&amp;Result=3","7073864")</f>
        <v>0</v>
      </c>
      <c r="B2930" t="s">
        <v>586</v>
      </c>
      <c r="C2930" t="s">
        <v>6184</v>
      </c>
      <c r="D2930" t="s">
        <v>16612</v>
      </c>
      <c r="E2930" t="s">
        <v>19380</v>
      </c>
      <c r="F2930" t="s">
        <v>28669</v>
      </c>
      <c r="G2930" t="s">
        <v>28676</v>
      </c>
      <c r="H2930" t="s">
        <v>9998</v>
      </c>
      <c r="I2930" t="s">
        <v>28688</v>
      </c>
      <c r="J2930" t="s">
        <v>30620</v>
      </c>
      <c r="K2930" t="s">
        <v>37205</v>
      </c>
      <c r="M2930" t="s">
        <v>38085</v>
      </c>
      <c r="N2930" t="s">
        <v>41249</v>
      </c>
      <c r="O2930" t="s">
        <v>41250</v>
      </c>
      <c r="P2930">
        <v>0</v>
      </c>
      <c r="Q2930">
        <v>0</v>
      </c>
      <c r="R2930" t="s">
        <v>41252</v>
      </c>
      <c r="S2930" t="s">
        <v>41383</v>
      </c>
      <c r="T2930" t="s">
        <v>42736</v>
      </c>
      <c r="U2930" t="s">
        <v>45701</v>
      </c>
      <c r="W2930" t="s">
        <v>38085</v>
      </c>
      <c r="X2930" t="s">
        <v>41254</v>
      </c>
    </row>
    <row r="2931" spans="1:24">
      <c r="A2931">
        <f>HYPERLINK("https://www.philgeps.gov.ph/GEPSNONPILOT/Tender/SplashBidNoticeAbstractUI.aspx?menuIndex=3&amp;refID=7073914&amp;Result=3","7073914")</f>
        <v>0</v>
      </c>
      <c r="B2931" t="s">
        <v>965</v>
      </c>
      <c r="C2931" t="s">
        <v>6185</v>
      </c>
      <c r="D2931" t="s">
        <v>16608</v>
      </c>
      <c r="E2931" t="s">
        <v>19381</v>
      </c>
      <c r="F2931" t="s">
        <v>28669</v>
      </c>
      <c r="G2931" t="s">
        <v>28675</v>
      </c>
      <c r="H2931" t="s">
        <v>9998</v>
      </c>
      <c r="I2931" t="s">
        <v>6128</v>
      </c>
      <c r="J2931" t="s">
        <v>30787</v>
      </c>
      <c r="K2931" t="s">
        <v>37205</v>
      </c>
      <c r="M2931" t="s">
        <v>38759</v>
      </c>
      <c r="N2931" t="s">
        <v>41249</v>
      </c>
      <c r="O2931" t="s">
        <v>41250</v>
      </c>
      <c r="P2931">
        <v>0</v>
      </c>
      <c r="Q2931">
        <v>1</v>
      </c>
      <c r="R2931" t="s">
        <v>41252</v>
      </c>
      <c r="S2931" t="s">
        <v>41383</v>
      </c>
      <c r="T2931" t="s">
        <v>42742</v>
      </c>
      <c r="U2931" t="s">
        <v>44022</v>
      </c>
      <c r="W2931" t="s">
        <v>38759</v>
      </c>
      <c r="X2931" t="s">
        <v>41254</v>
      </c>
    </row>
    <row r="2932" spans="1:24">
      <c r="A2932">
        <f>HYPERLINK("https://www.philgeps.gov.ph/GEPSNONPILOT/Tender/SplashBidNoticeAbstractUI.aspx?menuIndex=3&amp;refID=7073912&amp;Result=3","7073912")</f>
        <v>0</v>
      </c>
      <c r="B2932" t="s">
        <v>557</v>
      </c>
      <c r="C2932" t="s">
        <v>6186</v>
      </c>
      <c r="D2932" t="s">
        <v>16608</v>
      </c>
      <c r="E2932" t="s">
        <v>19382</v>
      </c>
      <c r="F2932" t="s">
        <v>28669</v>
      </c>
      <c r="G2932" t="s">
        <v>28676</v>
      </c>
      <c r="H2932" t="s">
        <v>9998</v>
      </c>
      <c r="I2932" t="s">
        <v>28714</v>
      </c>
      <c r="J2932" t="s">
        <v>28993</v>
      </c>
      <c r="K2932" t="s">
        <v>37204</v>
      </c>
      <c r="M2932" t="s">
        <v>38050</v>
      </c>
      <c r="N2932" t="s">
        <v>41249</v>
      </c>
      <c r="O2932" t="s">
        <v>41250</v>
      </c>
      <c r="P2932">
        <v>0</v>
      </c>
      <c r="Q2932">
        <v>1</v>
      </c>
      <c r="R2932" t="s">
        <v>41252</v>
      </c>
      <c r="S2932" t="s">
        <v>41383</v>
      </c>
      <c r="T2932" t="s">
        <v>42742</v>
      </c>
      <c r="U2932" t="s">
        <v>45702</v>
      </c>
      <c r="V2932" t="s">
        <v>54379</v>
      </c>
      <c r="W2932" t="s">
        <v>38050</v>
      </c>
      <c r="X2932" t="s">
        <v>41254</v>
      </c>
    </row>
    <row r="2933" spans="1:24">
      <c r="A2933">
        <f>HYPERLINK("https://www.philgeps.gov.ph/GEPSNONPILOT/Tender/SplashBidNoticeAbstractUI.aspx?menuIndex=3&amp;refID=7073907&amp;Result=3","7073907")</f>
        <v>0</v>
      </c>
      <c r="B2933" t="s">
        <v>962</v>
      </c>
      <c r="C2933" t="s">
        <v>6187</v>
      </c>
      <c r="D2933" t="s">
        <v>16611</v>
      </c>
      <c r="E2933" t="s">
        <v>19383</v>
      </c>
      <c r="F2933" t="s">
        <v>28669</v>
      </c>
      <c r="G2933" t="s">
        <v>28676</v>
      </c>
      <c r="H2933" t="s">
        <v>9998</v>
      </c>
      <c r="I2933" t="s">
        <v>28712</v>
      </c>
      <c r="J2933" t="s">
        <v>28834</v>
      </c>
      <c r="K2933" t="s">
        <v>37205</v>
      </c>
      <c r="M2933" t="s">
        <v>38487</v>
      </c>
      <c r="N2933" t="s">
        <v>41249</v>
      </c>
      <c r="O2933" t="s">
        <v>41250</v>
      </c>
      <c r="P2933">
        <v>0</v>
      </c>
      <c r="Q2933">
        <v>1</v>
      </c>
      <c r="R2933" t="s">
        <v>41252</v>
      </c>
      <c r="S2933" t="s">
        <v>41383</v>
      </c>
      <c r="T2933" t="s">
        <v>42743</v>
      </c>
      <c r="U2933" t="s">
        <v>45703</v>
      </c>
      <c r="W2933" t="s">
        <v>55946</v>
      </c>
      <c r="X2933" t="s">
        <v>41254</v>
      </c>
    </row>
    <row r="2934" spans="1:24">
      <c r="A2934">
        <f>HYPERLINK("https://www.philgeps.gov.ph/GEPSNONPILOT/Tender/SplashBidNoticeAbstractUI.aspx?menuIndex=3&amp;refID=7073791&amp;Result=3","7073791")</f>
        <v>0</v>
      </c>
      <c r="B2934" t="s">
        <v>659</v>
      </c>
      <c r="C2934" t="s">
        <v>6188</v>
      </c>
      <c r="D2934" t="s">
        <v>16643</v>
      </c>
      <c r="E2934" t="s">
        <v>19384</v>
      </c>
      <c r="F2934" t="s">
        <v>28669</v>
      </c>
      <c r="G2934" t="s">
        <v>28676</v>
      </c>
      <c r="H2934" t="s">
        <v>9998</v>
      </c>
      <c r="I2934" t="s">
        <v>28690</v>
      </c>
      <c r="J2934" t="s">
        <v>30788</v>
      </c>
      <c r="K2934" t="s">
        <v>37204</v>
      </c>
      <c r="M2934" t="s">
        <v>38161</v>
      </c>
      <c r="N2934" t="s">
        <v>41249</v>
      </c>
      <c r="O2934" t="s">
        <v>41250</v>
      </c>
      <c r="P2934">
        <v>0</v>
      </c>
      <c r="Q2934">
        <v>6</v>
      </c>
      <c r="R2934" t="s">
        <v>41252</v>
      </c>
      <c r="S2934" t="s">
        <v>41383</v>
      </c>
      <c r="T2934" t="s">
        <v>42736</v>
      </c>
      <c r="U2934" t="s">
        <v>45511</v>
      </c>
      <c r="W2934" t="s">
        <v>55925</v>
      </c>
      <c r="X2934" t="s">
        <v>41254</v>
      </c>
    </row>
    <row r="2935" spans="1:24">
      <c r="A2935">
        <f>HYPERLINK("https://www.philgeps.gov.ph/GEPSNONPILOT/Tender/SplashBidNoticeAbstractUI.aspx?menuIndex=3&amp;refID=7073905&amp;Result=3","7073905")</f>
        <v>0</v>
      </c>
      <c r="B2935" t="s">
        <v>475</v>
      </c>
      <c r="C2935" t="s">
        <v>6189</v>
      </c>
      <c r="E2935" t="s">
        <v>19385</v>
      </c>
      <c r="F2935" t="s">
        <v>28669</v>
      </c>
      <c r="G2935" t="s">
        <v>28676</v>
      </c>
      <c r="H2935" t="s">
        <v>9998</v>
      </c>
      <c r="I2935" t="s">
        <v>28760</v>
      </c>
      <c r="J2935" t="s">
        <v>29712</v>
      </c>
      <c r="K2935" t="s">
        <v>37209</v>
      </c>
      <c r="M2935" t="s">
        <v>37963</v>
      </c>
      <c r="N2935" t="s">
        <v>41249</v>
      </c>
      <c r="O2935" t="s">
        <v>41250</v>
      </c>
      <c r="P2935">
        <v>0</v>
      </c>
      <c r="Q2935">
        <v>0</v>
      </c>
      <c r="R2935" t="s">
        <v>41252</v>
      </c>
      <c r="S2935" t="s">
        <v>41383</v>
      </c>
      <c r="T2935" t="s">
        <v>42774</v>
      </c>
      <c r="U2935" t="s">
        <v>43651</v>
      </c>
      <c r="W2935" t="s">
        <v>37963</v>
      </c>
      <c r="X2935" t="s">
        <v>41254</v>
      </c>
    </row>
    <row r="2936" spans="1:24">
      <c r="A2936">
        <f>HYPERLINK("https://www.philgeps.gov.ph/GEPSNONPILOT/Tender/SplashBidNoticeAbstractUI.aspx?menuIndex=3&amp;refID=7073904&amp;Result=3","7073904")</f>
        <v>0</v>
      </c>
      <c r="B2936" t="s">
        <v>1001</v>
      </c>
      <c r="C2936" t="s">
        <v>6190</v>
      </c>
      <c r="D2936" t="s">
        <v>16677</v>
      </c>
      <c r="E2936" t="s">
        <v>19386</v>
      </c>
      <c r="F2936" t="s">
        <v>28669</v>
      </c>
      <c r="G2936" t="s">
        <v>28675</v>
      </c>
      <c r="H2936" t="s">
        <v>28686</v>
      </c>
      <c r="I2936" t="s">
        <v>28689</v>
      </c>
      <c r="J2936" t="s">
        <v>30503</v>
      </c>
      <c r="K2936" t="s">
        <v>37215</v>
      </c>
      <c r="M2936" t="s">
        <v>38529</v>
      </c>
      <c r="N2936" t="s">
        <v>41249</v>
      </c>
      <c r="O2936" t="s">
        <v>41250</v>
      </c>
      <c r="P2936">
        <v>0</v>
      </c>
      <c r="Q2936">
        <v>0</v>
      </c>
      <c r="R2936" t="s">
        <v>41252</v>
      </c>
      <c r="S2936" t="s">
        <v>41383</v>
      </c>
      <c r="T2936" t="s">
        <v>42911</v>
      </c>
      <c r="U2936" t="s">
        <v>45302</v>
      </c>
      <c r="W2936" t="s">
        <v>38529</v>
      </c>
      <c r="X2936" t="s">
        <v>41254</v>
      </c>
    </row>
    <row r="2937" spans="1:24">
      <c r="A2937">
        <f>HYPERLINK("https://www.philgeps.gov.ph/GEPSNONPILOT/Tender/SplashBidNoticeAbstractUI.aspx?menuIndex=3&amp;refID=7073916&amp;Result=3","7073916")</f>
        <v>0</v>
      </c>
      <c r="B2937" t="s">
        <v>1212</v>
      </c>
      <c r="C2937" t="s">
        <v>6191</v>
      </c>
      <c r="D2937" t="s">
        <v>16678</v>
      </c>
      <c r="E2937" t="s">
        <v>19387</v>
      </c>
      <c r="F2937" t="s">
        <v>28669</v>
      </c>
      <c r="G2937" t="s">
        <v>28677</v>
      </c>
      <c r="H2937" t="s">
        <v>9998</v>
      </c>
      <c r="I2937" t="s">
        <v>28694</v>
      </c>
      <c r="J2937" t="s">
        <v>30789</v>
      </c>
      <c r="K2937" t="s">
        <v>37209</v>
      </c>
      <c r="M2937" t="s">
        <v>38753</v>
      </c>
      <c r="N2937" t="s">
        <v>41249</v>
      </c>
      <c r="O2937" t="s">
        <v>41250</v>
      </c>
      <c r="P2937">
        <v>0</v>
      </c>
      <c r="Q2937">
        <v>0</v>
      </c>
      <c r="R2937" t="s">
        <v>41252</v>
      </c>
      <c r="S2937" t="s">
        <v>41383</v>
      </c>
      <c r="T2937" t="s">
        <v>42729</v>
      </c>
      <c r="U2937" t="s">
        <v>45704</v>
      </c>
      <c r="W2937" t="s">
        <v>38753</v>
      </c>
      <c r="X2937" t="s">
        <v>41254</v>
      </c>
    </row>
    <row r="2938" spans="1:24">
      <c r="A2938">
        <f>HYPERLINK("https://www.philgeps.gov.ph/GEPSNONPILOT/Tender/SplashBidNoticeAbstractUI.aspx?menuIndex=3&amp;refID=7073795&amp;Result=3","7073795")</f>
        <v>0</v>
      </c>
      <c r="B2938" t="s">
        <v>1217</v>
      </c>
      <c r="C2938" t="s">
        <v>6192</v>
      </c>
      <c r="D2938" t="s">
        <v>16631</v>
      </c>
      <c r="E2938" t="s">
        <v>19388</v>
      </c>
      <c r="F2938" t="s">
        <v>28669</v>
      </c>
      <c r="G2938" t="s">
        <v>28676</v>
      </c>
      <c r="H2938" t="s">
        <v>9998</v>
      </c>
      <c r="I2938" t="s">
        <v>28737</v>
      </c>
      <c r="J2938" t="s">
        <v>30790</v>
      </c>
      <c r="K2938" t="s">
        <v>37301</v>
      </c>
      <c r="M2938" t="s">
        <v>38760</v>
      </c>
      <c r="N2938" t="s">
        <v>41249</v>
      </c>
      <c r="O2938" t="s">
        <v>41250</v>
      </c>
      <c r="P2938">
        <v>0</v>
      </c>
      <c r="Q2938">
        <v>0</v>
      </c>
      <c r="R2938" t="s">
        <v>41252</v>
      </c>
      <c r="S2938" t="s">
        <v>41383</v>
      </c>
      <c r="T2938" t="s">
        <v>42729</v>
      </c>
      <c r="U2938" t="s">
        <v>45705</v>
      </c>
      <c r="V2938" t="s">
        <v>54599</v>
      </c>
      <c r="W2938" t="s">
        <v>38760</v>
      </c>
      <c r="X2938" t="s">
        <v>41254</v>
      </c>
    </row>
    <row r="2939" spans="1:24">
      <c r="A2939">
        <f>HYPERLINK("https://www.philgeps.gov.ph/GEPSNONPILOT/Tender/SplashBidNoticeAbstractUI.aspx?menuIndex=3&amp;refID=7073903&amp;Result=3","7073903")</f>
        <v>0</v>
      </c>
      <c r="B2939" t="s">
        <v>1021</v>
      </c>
      <c r="C2939" t="s">
        <v>6193</v>
      </c>
      <c r="D2939" t="s">
        <v>16646</v>
      </c>
      <c r="E2939" t="s">
        <v>19389</v>
      </c>
      <c r="F2939" t="s">
        <v>28669</v>
      </c>
      <c r="G2939" t="s">
        <v>28677</v>
      </c>
      <c r="H2939" t="s">
        <v>9998</v>
      </c>
      <c r="I2939" t="s">
        <v>3679</v>
      </c>
      <c r="J2939" t="s">
        <v>30791</v>
      </c>
      <c r="K2939" t="s">
        <v>37234</v>
      </c>
      <c r="M2939" t="s">
        <v>38551</v>
      </c>
      <c r="N2939" t="s">
        <v>41249</v>
      </c>
      <c r="O2939" t="s">
        <v>41250</v>
      </c>
      <c r="P2939">
        <v>0</v>
      </c>
      <c r="Q2939">
        <v>0</v>
      </c>
      <c r="R2939" t="s">
        <v>41252</v>
      </c>
      <c r="S2939" t="s">
        <v>41383</v>
      </c>
      <c r="T2939" t="s">
        <v>42727</v>
      </c>
      <c r="U2939" t="s">
        <v>45706</v>
      </c>
      <c r="W2939" t="s">
        <v>38551</v>
      </c>
      <c r="X2939" t="s">
        <v>41254</v>
      </c>
    </row>
    <row r="2940" spans="1:24">
      <c r="A2940">
        <f>HYPERLINK("https://www.philgeps.gov.ph/GEPSNONPILOT/Tender/SplashBidNoticeAbstractUI.aspx?menuIndex=3&amp;refID=7073902&amp;Result=3","7073902")</f>
        <v>0</v>
      </c>
      <c r="B2940" t="s">
        <v>1070</v>
      </c>
      <c r="C2940" t="s">
        <v>6194</v>
      </c>
      <c r="D2940" t="s">
        <v>16683</v>
      </c>
      <c r="E2940" t="s">
        <v>19390</v>
      </c>
      <c r="F2940" t="s">
        <v>28669</v>
      </c>
      <c r="G2940" t="s">
        <v>28675</v>
      </c>
      <c r="H2940" t="s">
        <v>9998</v>
      </c>
      <c r="I2940" t="s">
        <v>7352</v>
      </c>
      <c r="J2940" t="s">
        <v>30792</v>
      </c>
      <c r="K2940" t="s">
        <v>37205</v>
      </c>
      <c r="M2940" t="s">
        <v>38602</v>
      </c>
      <c r="N2940" t="s">
        <v>41249</v>
      </c>
      <c r="O2940" t="s">
        <v>41250</v>
      </c>
      <c r="P2940">
        <v>0</v>
      </c>
      <c r="Q2940">
        <v>0</v>
      </c>
      <c r="R2940" t="s">
        <v>41252</v>
      </c>
      <c r="S2940" t="s">
        <v>41383</v>
      </c>
      <c r="T2940" t="s">
        <v>42757</v>
      </c>
      <c r="U2940" t="s">
        <v>45385</v>
      </c>
      <c r="W2940" t="s">
        <v>38602</v>
      </c>
      <c r="X2940" t="s">
        <v>41254</v>
      </c>
    </row>
    <row r="2941" spans="1:24">
      <c r="A2941">
        <f>HYPERLINK("https://www.philgeps.gov.ph/GEPSNONPILOT/Tender/SplashBidNoticeAbstractUI.aspx?menuIndex=3&amp;refID=7073897&amp;Result=3","7073897")</f>
        <v>0</v>
      </c>
      <c r="B2941" t="s">
        <v>358</v>
      </c>
      <c r="C2941" t="s">
        <v>6195</v>
      </c>
      <c r="D2941" t="s">
        <v>16683</v>
      </c>
      <c r="E2941" t="s">
        <v>19391</v>
      </c>
      <c r="F2941" t="s">
        <v>28669</v>
      </c>
      <c r="G2941" t="s">
        <v>28677</v>
      </c>
      <c r="H2941" t="s">
        <v>9998</v>
      </c>
      <c r="I2941" t="s">
        <v>6128</v>
      </c>
      <c r="J2941" t="s">
        <v>30793</v>
      </c>
      <c r="K2941" t="s">
        <v>37209</v>
      </c>
      <c r="M2941" t="s">
        <v>37839</v>
      </c>
      <c r="N2941" t="s">
        <v>41249</v>
      </c>
      <c r="O2941" t="s">
        <v>41250</v>
      </c>
      <c r="P2941">
        <v>0</v>
      </c>
      <c r="Q2941">
        <v>1</v>
      </c>
      <c r="R2941" t="s">
        <v>41252</v>
      </c>
      <c r="S2941" t="s">
        <v>41383</v>
      </c>
      <c r="T2941" t="s">
        <v>42883</v>
      </c>
      <c r="U2941" t="s">
        <v>45707</v>
      </c>
      <c r="W2941" t="s">
        <v>37839</v>
      </c>
      <c r="X2941" t="s">
        <v>41254</v>
      </c>
    </row>
    <row r="2942" spans="1:24">
      <c r="A2942">
        <f>HYPERLINK("https://www.philgeps.gov.ph/GEPSNONPILOT/Tender/SplashBidNoticeAbstractUI.aspx?menuIndex=3&amp;refID=7073906&amp;Result=3","7073906")</f>
        <v>0</v>
      </c>
      <c r="B2942" t="s">
        <v>1186</v>
      </c>
      <c r="C2942" t="s">
        <v>6196</v>
      </c>
      <c r="D2942" t="s">
        <v>16664</v>
      </c>
      <c r="E2942" t="s">
        <v>19317</v>
      </c>
      <c r="F2942" t="s">
        <v>28669</v>
      </c>
      <c r="G2942" t="s">
        <v>28676</v>
      </c>
      <c r="H2942" t="s">
        <v>9998</v>
      </c>
      <c r="I2942" t="s">
        <v>28717</v>
      </c>
      <c r="J2942" t="s">
        <v>30794</v>
      </c>
      <c r="K2942" t="s">
        <v>37208</v>
      </c>
      <c r="M2942" t="s">
        <v>38726</v>
      </c>
      <c r="N2942" t="s">
        <v>41249</v>
      </c>
      <c r="O2942" t="s">
        <v>41250</v>
      </c>
      <c r="P2942">
        <v>0</v>
      </c>
      <c r="Q2942">
        <v>1</v>
      </c>
      <c r="R2942" t="s">
        <v>41252</v>
      </c>
      <c r="S2942" t="s">
        <v>41383</v>
      </c>
      <c r="T2942" t="s">
        <v>42736</v>
      </c>
      <c r="U2942" t="s">
        <v>45708</v>
      </c>
      <c r="W2942" t="s">
        <v>38726</v>
      </c>
      <c r="X2942" t="s">
        <v>41254</v>
      </c>
    </row>
    <row r="2943" spans="1:24">
      <c r="A2943">
        <f>HYPERLINK("https://www.philgeps.gov.ph/GEPSNONPILOT/Tender/SplashBidNoticeAbstractUI.aspx?menuIndex=3&amp;refID=7073896&amp;Result=3","7073896")</f>
        <v>0</v>
      </c>
      <c r="B2943" t="s">
        <v>1218</v>
      </c>
      <c r="C2943" t="s">
        <v>6197</v>
      </c>
      <c r="D2943" t="s">
        <v>16615</v>
      </c>
      <c r="E2943" t="s">
        <v>19392</v>
      </c>
      <c r="F2943" t="s">
        <v>28669</v>
      </c>
      <c r="G2943" t="s">
        <v>28676</v>
      </c>
      <c r="H2943" t="s">
        <v>9998</v>
      </c>
      <c r="I2943" t="s">
        <v>28690</v>
      </c>
      <c r="J2943" t="s">
        <v>29447</v>
      </c>
      <c r="K2943" t="s">
        <v>37209</v>
      </c>
      <c r="M2943" t="s">
        <v>38761</v>
      </c>
      <c r="N2943" t="s">
        <v>41249</v>
      </c>
      <c r="O2943" t="s">
        <v>41250</v>
      </c>
      <c r="P2943">
        <v>0</v>
      </c>
      <c r="Q2943">
        <v>3</v>
      </c>
      <c r="R2943" t="s">
        <v>41252</v>
      </c>
      <c r="S2943" t="s">
        <v>41383</v>
      </c>
      <c r="T2943" t="s">
        <v>42701</v>
      </c>
      <c r="U2943" t="s">
        <v>45709</v>
      </c>
      <c r="V2943" t="s">
        <v>54600</v>
      </c>
      <c r="W2943" t="s">
        <v>38761</v>
      </c>
      <c r="X2943" t="s">
        <v>41254</v>
      </c>
    </row>
    <row r="2944" spans="1:24">
      <c r="A2944">
        <f>HYPERLINK("https://www.philgeps.gov.ph/GEPSNONPILOT/Tender/SplashBidNoticeAbstractUI.aspx?menuIndex=3&amp;refID=7073943&amp;Result=3","7073943")</f>
        <v>0</v>
      </c>
      <c r="B2944" t="s">
        <v>1218</v>
      </c>
      <c r="C2944" t="s">
        <v>6198</v>
      </c>
      <c r="D2944" t="s">
        <v>16615</v>
      </c>
      <c r="E2944" t="s">
        <v>19393</v>
      </c>
      <c r="F2944" t="s">
        <v>28669</v>
      </c>
      <c r="G2944" t="s">
        <v>28677</v>
      </c>
      <c r="H2944" t="s">
        <v>9998</v>
      </c>
      <c r="I2944" t="s">
        <v>28692</v>
      </c>
      <c r="J2944" t="s">
        <v>29433</v>
      </c>
      <c r="K2944" t="s">
        <v>37209</v>
      </c>
      <c r="M2944" t="s">
        <v>38761</v>
      </c>
      <c r="N2944" t="s">
        <v>41249</v>
      </c>
      <c r="O2944" t="s">
        <v>41250</v>
      </c>
      <c r="P2944">
        <v>0</v>
      </c>
      <c r="Q2944">
        <v>1</v>
      </c>
      <c r="R2944" t="s">
        <v>41252</v>
      </c>
      <c r="S2944" t="s">
        <v>41383</v>
      </c>
      <c r="T2944" t="s">
        <v>42701</v>
      </c>
      <c r="U2944" t="s">
        <v>45710</v>
      </c>
      <c r="V2944" t="s">
        <v>54601</v>
      </c>
      <c r="W2944" t="s">
        <v>38761</v>
      </c>
      <c r="X2944" t="s">
        <v>41254</v>
      </c>
    </row>
    <row r="2945" spans="1:24">
      <c r="A2945">
        <f>HYPERLINK("https://www.philgeps.gov.ph/GEPSNONPILOT/Tender/SplashBidNoticeAbstractUI.aspx?menuIndex=3&amp;refID=7073881&amp;Result=3","7073881")</f>
        <v>0</v>
      </c>
      <c r="B2945" t="s">
        <v>1219</v>
      </c>
      <c r="C2945" t="s">
        <v>6199</v>
      </c>
      <c r="D2945" t="s">
        <v>16679</v>
      </c>
      <c r="E2945" t="s">
        <v>19394</v>
      </c>
      <c r="F2945" t="s">
        <v>28669</v>
      </c>
      <c r="G2945" t="s">
        <v>28679</v>
      </c>
      <c r="H2945" t="s">
        <v>9998</v>
      </c>
      <c r="I2945" t="s">
        <v>7352</v>
      </c>
      <c r="J2945" t="s">
        <v>30795</v>
      </c>
      <c r="K2945" t="s">
        <v>37210</v>
      </c>
      <c r="M2945" t="s">
        <v>38762</v>
      </c>
      <c r="N2945" t="s">
        <v>41249</v>
      </c>
      <c r="O2945" t="s">
        <v>41250</v>
      </c>
      <c r="P2945">
        <v>0</v>
      </c>
      <c r="Q2945">
        <v>0</v>
      </c>
      <c r="R2945" t="s">
        <v>41252</v>
      </c>
      <c r="S2945" t="s">
        <v>41383</v>
      </c>
      <c r="T2945" t="s">
        <v>42673</v>
      </c>
      <c r="U2945" t="s">
        <v>45711</v>
      </c>
      <c r="V2945" t="s">
        <v>54602</v>
      </c>
      <c r="W2945" t="s">
        <v>38762</v>
      </c>
      <c r="X2945" t="s">
        <v>41254</v>
      </c>
    </row>
    <row r="2946" spans="1:24">
      <c r="A2946">
        <f>HYPERLINK("https://www.philgeps.gov.ph/GEPSNONPILOT/Tender/SplashBidNoticeAbstractUI.aspx?menuIndex=3&amp;refID=7073942&amp;Result=3","7073942")</f>
        <v>0</v>
      </c>
      <c r="B2946" t="s">
        <v>1185</v>
      </c>
      <c r="C2946" t="s">
        <v>6200</v>
      </c>
      <c r="D2946" t="s">
        <v>16664</v>
      </c>
      <c r="E2946" t="s">
        <v>19315</v>
      </c>
      <c r="F2946" t="s">
        <v>28669</v>
      </c>
      <c r="G2946" t="s">
        <v>28675</v>
      </c>
      <c r="H2946" t="s">
        <v>9998</v>
      </c>
      <c r="I2946" t="s">
        <v>7352</v>
      </c>
      <c r="J2946" t="s">
        <v>30796</v>
      </c>
      <c r="K2946" t="s">
        <v>37206</v>
      </c>
      <c r="M2946" t="s">
        <v>38725</v>
      </c>
      <c r="N2946" t="s">
        <v>41249</v>
      </c>
      <c r="O2946" t="s">
        <v>41250</v>
      </c>
      <c r="P2946">
        <v>0</v>
      </c>
      <c r="Q2946">
        <v>0</v>
      </c>
      <c r="R2946" t="s">
        <v>41252</v>
      </c>
      <c r="S2946" t="s">
        <v>41383</v>
      </c>
      <c r="T2946" t="s">
        <v>42764</v>
      </c>
      <c r="U2946" t="s">
        <v>45677</v>
      </c>
      <c r="W2946" t="s">
        <v>38725</v>
      </c>
      <c r="X2946" t="s">
        <v>41254</v>
      </c>
    </row>
    <row r="2947" spans="1:24">
      <c r="A2947">
        <f>HYPERLINK("https://www.philgeps.gov.ph/GEPSNONPILOT/Tender/SplashBidNoticeAbstractUI.aspx?menuIndex=3&amp;refID=7073940&amp;Result=3","7073940")</f>
        <v>0</v>
      </c>
      <c r="B2947" t="s">
        <v>1122</v>
      </c>
      <c r="C2947" t="s">
        <v>6201</v>
      </c>
      <c r="D2947" t="s">
        <v>16616</v>
      </c>
      <c r="E2947" t="s">
        <v>19395</v>
      </c>
      <c r="F2947" t="s">
        <v>28669</v>
      </c>
      <c r="G2947" t="s">
        <v>28676</v>
      </c>
      <c r="H2947" t="s">
        <v>9998</v>
      </c>
      <c r="I2947" t="s">
        <v>28729</v>
      </c>
      <c r="J2947" t="s">
        <v>29644</v>
      </c>
      <c r="K2947" t="s">
        <v>37209</v>
      </c>
      <c r="M2947" t="s">
        <v>38656</v>
      </c>
      <c r="N2947" t="s">
        <v>41249</v>
      </c>
      <c r="O2947" t="s">
        <v>41250</v>
      </c>
      <c r="P2947">
        <v>0</v>
      </c>
      <c r="Q2947">
        <v>7</v>
      </c>
      <c r="R2947" t="s">
        <v>41252</v>
      </c>
      <c r="S2947" t="s">
        <v>41383</v>
      </c>
      <c r="T2947" t="s">
        <v>42736</v>
      </c>
      <c r="U2947" t="s">
        <v>45712</v>
      </c>
      <c r="W2947" t="s">
        <v>38656</v>
      </c>
      <c r="X2947" t="s">
        <v>41254</v>
      </c>
    </row>
    <row r="2948" spans="1:24">
      <c r="A2948">
        <f>HYPERLINK("https://www.philgeps.gov.ph/GEPSNONPILOT/Tender/SplashBidNoticeAbstractUI.aspx?menuIndex=3&amp;refID=7073939&amp;Result=3","7073939")</f>
        <v>0</v>
      </c>
      <c r="B2948" t="s">
        <v>1190</v>
      </c>
      <c r="C2948" t="s">
        <v>6202</v>
      </c>
      <c r="D2948" t="s">
        <v>16626</v>
      </c>
      <c r="E2948" t="s">
        <v>19215</v>
      </c>
      <c r="F2948" t="s">
        <v>28669</v>
      </c>
      <c r="G2948" t="s">
        <v>28676</v>
      </c>
      <c r="H2948" t="s">
        <v>9998</v>
      </c>
      <c r="I2948" t="s">
        <v>28690</v>
      </c>
      <c r="J2948" t="s">
        <v>29328</v>
      </c>
      <c r="K2948" t="s">
        <v>37210</v>
      </c>
      <c r="M2948" t="s">
        <v>38730</v>
      </c>
      <c r="N2948" t="s">
        <v>41249</v>
      </c>
      <c r="O2948" t="s">
        <v>41250</v>
      </c>
      <c r="P2948">
        <v>0</v>
      </c>
      <c r="Q2948">
        <v>2</v>
      </c>
      <c r="R2948" t="s">
        <v>41252</v>
      </c>
      <c r="S2948" t="s">
        <v>41383</v>
      </c>
      <c r="T2948" t="s">
        <v>42729</v>
      </c>
      <c r="U2948" t="s">
        <v>45713</v>
      </c>
      <c r="W2948" t="s">
        <v>55944</v>
      </c>
      <c r="X2948" t="s">
        <v>41254</v>
      </c>
    </row>
    <row r="2949" spans="1:24">
      <c r="A2949">
        <f>HYPERLINK("https://www.philgeps.gov.ph/GEPSNONPILOT/Tender/SplashBidNoticeAbstractUI.aspx?menuIndex=3&amp;refID=7073901&amp;Result=3","7073901")</f>
        <v>0</v>
      </c>
      <c r="B2949" t="s">
        <v>1190</v>
      </c>
      <c r="C2949" t="s">
        <v>6203</v>
      </c>
      <c r="D2949" t="s">
        <v>16626</v>
      </c>
      <c r="E2949" t="s">
        <v>19396</v>
      </c>
      <c r="F2949" t="s">
        <v>28669</v>
      </c>
      <c r="G2949" t="s">
        <v>28676</v>
      </c>
      <c r="H2949" t="s">
        <v>9998</v>
      </c>
      <c r="I2949" t="s">
        <v>28708</v>
      </c>
      <c r="J2949" t="s">
        <v>28879</v>
      </c>
      <c r="K2949" t="s">
        <v>37210</v>
      </c>
      <c r="M2949" t="s">
        <v>38730</v>
      </c>
      <c r="N2949" t="s">
        <v>41249</v>
      </c>
      <c r="O2949" t="s">
        <v>41250</v>
      </c>
      <c r="P2949">
        <v>0</v>
      </c>
      <c r="Q2949">
        <v>4</v>
      </c>
      <c r="R2949" t="s">
        <v>41252</v>
      </c>
      <c r="S2949" t="s">
        <v>41383</v>
      </c>
      <c r="T2949" t="s">
        <v>42729</v>
      </c>
      <c r="U2949" t="s">
        <v>45714</v>
      </c>
      <c r="W2949" t="s">
        <v>55944</v>
      </c>
      <c r="X2949" t="s">
        <v>41254</v>
      </c>
    </row>
    <row r="2950" spans="1:24">
      <c r="A2950">
        <f>HYPERLINK("https://www.philgeps.gov.ph/GEPSNONPILOT/Tender/SplashBidNoticeAbstractUI.aspx?menuIndex=3&amp;refID=7073935&amp;Result=3","7073935")</f>
        <v>0</v>
      </c>
      <c r="B2950" t="s">
        <v>1220</v>
      </c>
      <c r="C2950" t="s">
        <v>6204</v>
      </c>
      <c r="D2950" t="s">
        <v>16682</v>
      </c>
      <c r="E2950" t="s">
        <v>19397</v>
      </c>
      <c r="F2950" t="s">
        <v>28669</v>
      </c>
      <c r="G2950" t="s">
        <v>28676</v>
      </c>
      <c r="H2950" t="s">
        <v>9998</v>
      </c>
      <c r="I2950" t="s">
        <v>28695</v>
      </c>
      <c r="J2950" t="s">
        <v>30797</v>
      </c>
      <c r="K2950" t="s">
        <v>37243</v>
      </c>
      <c r="M2950" t="s">
        <v>38763</v>
      </c>
      <c r="N2950" t="s">
        <v>41249</v>
      </c>
      <c r="O2950" t="s">
        <v>41250</v>
      </c>
      <c r="P2950">
        <v>0</v>
      </c>
      <c r="Q2950">
        <v>0</v>
      </c>
      <c r="R2950" t="s">
        <v>41252</v>
      </c>
      <c r="S2950" t="s">
        <v>41383</v>
      </c>
      <c r="T2950" t="s">
        <v>42913</v>
      </c>
      <c r="U2950" t="s">
        <v>45715</v>
      </c>
      <c r="W2950" t="s">
        <v>38763</v>
      </c>
      <c r="X2950" t="s">
        <v>41254</v>
      </c>
    </row>
    <row r="2951" spans="1:24">
      <c r="A2951">
        <f>HYPERLINK("https://www.philgeps.gov.ph/GEPSNONPILOT/Tender/SplashBidNoticeAbstractUI.aspx?menuIndex=3&amp;refID=7073899&amp;Result=3","7073899")</f>
        <v>0</v>
      </c>
      <c r="B2951" t="s">
        <v>1221</v>
      </c>
      <c r="C2951" t="s">
        <v>6205</v>
      </c>
      <c r="D2951" t="s">
        <v>16668</v>
      </c>
      <c r="E2951" t="s">
        <v>19398</v>
      </c>
      <c r="F2951" t="s">
        <v>28669</v>
      </c>
      <c r="G2951" t="s">
        <v>28676</v>
      </c>
      <c r="H2951" t="s">
        <v>9998</v>
      </c>
      <c r="I2951" t="s">
        <v>11593</v>
      </c>
      <c r="J2951" t="s">
        <v>29564</v>
      </c>
      <c r="K2951" t="s">
        <v>37204</v>
      </c>
      <c r="M2951" t="s">
        <v>38764</v>
      </c>
      <c r="N2951" t="s">
        <v>41249</v>
      </c>
      <c r="O2951" t="s">
        <v>41250</v>
      </c>
      <c r="P2951">
        <v>0</v>
      </c>
      <c r="Q2951">
        <v>1</v>
      </c>
      <c r="R2951" t="s">
        <v>41252</v>
      </c>
      <c r="S2951" t="s">
        <v>41383</v>
      </c>
      <c r="T2951" t="s">
        <v>42736</v>
      </c>
      <c r="U2951" t="s">
        <v>45716</v>
      </c>
      <c r="W2951" t="s">
        <v>38764</v>
      </c>
      <c r="X2951" t="s">
        <v>41254</v>
      </c>
    </row>
    <row r="2952" spans="1:24">
      <c r="A2952">
        <f>HYPERLINK("https://www.philgeps.gov.ph/GEPSNONPILOT/Tender/SplashBidNoticeAbstractUI.aspx?menuIndex=3&amp;refID=7073908&amp;Result=3","7073908")</f>
        <v>0</v>
      </c>
      <c r="B2952" t="s">
        <v>238</v>
      </c>
      <c r="C2952" t="s">
        <v>6206</v>
      </c>
      <c r="D2952" t="s">
        <v>16640</v>
      </c>
      <c r="E2952" t="s">
        <v>19399</v>
      </c>
      <c r="F2952" t="s">
        <v>28669</v>
      </c>
      <c r="G2952" t="s">
        <v>28677</v>
      </c>
      <c r="H2952" t="s">
        <v>9998</v>
      </c>
      <c r="I2952" t="s">
        <v>8667</v>
      </c>
      <c r="J2952" t="s">
        <v>30377</v>
      </c>
      <c r="K2952" t="s">
        <v>37209</v>
      </c>
      <c r="M2952" t="s">
        <v>37716</v>
      </c>
      <c r="N2952" t="s">
        <v>41249</v>
      </c>
      <c r="O2952" t="s">
        <v>41250</v>
      </c>
      <c r="P2952">
        <v>0</v>
      </c>
      <c r="Q2952">
        <v>1</v>
      </c>
      <c r="R2952" t="s">
        <v>41252</v>
      </c>
      <c r="S2952" t="s">
        <v>41383</v>
      </c>
      <c r="T2952" t="s">
        <v>42914</v>
      </c>
      <c r="U2952" t="s">
        <v>45717</v>
      </c>
      <c r="W2952" t="s">
        <v>37716</v>
      </c>
      <c r="X2952" t="s">
        <v>41254</v>
      </c>
    </row>
    <row r="2953" spans="1:24">
      <c r="A2953">
        <f>HYPERLINK("https://www.philgeps.gov.ph/GEPSNONPILOT/Tender/SplashBidNoticeAbstractUI.aspx?menuIndex=3&amp;refID=7073934&amp;Result=3","7073934")</f>
        <v>0</v>
      </c>
      <c r="B2953" t="s">
        <v>1001</v>
      </c>
      <c r="C2953" t="s">
        <v>6207</v>
      </c>
      <c r="D2953" t="s">
        <v>16677</v>
      </c>
      <c r="E2953" t="s">
        <v>19400</v>
      </c>
      <c r="F2953" t="s">
        <v>28669</v>
      </c>
      <c r="G2953" t="s">
        <v>28675</v>
      </c>
      <c r="H2953" t="s">
        <v>28686</v>
      </c>
      <c r="I2953" t="s">
        <v>28689</v>
      </c>
      <c r="J2953" t="s">
        <v>30798</v>
      </c>
      <c r="K2953" t="s">
        <v>37276</v>
      </c>
      <c r="M2953" t="s">
        <v>38529</v>
      </c>
      <c r="N2953" t="s">
        <v>41249</v>
      </c>
      <c r="O2953" t="s">
        <v>41250</v>
      </c>
      <c r="P2953">
        <v>0</v>
      </c>
      <c r="Q2953">
        <v>3</v>
      </c>
      <c r="R2953" t="s">
        <v>41252</v>
      </c>
      <c r="S2953" t="s">
        <v>41383</v>
      </c>
      <c r="T2953" t="s">
        <v>42911</v>
      </c>
      <c r="U2953" t="s">
        <v>45718</v>
      </c>
      <c r="W2953" t="s">
        <v>38529</v>
      </c>
      <c r="X2953" t="s">
        <v>41254</v>
      </c>
    </row>
    <row r="2954" spans="1:24">
      <c r="A2954">
        <f>HYPERLINK("https://www.philgeps.gov.ph/GEPSNONPILOT/Tender/SplashBidNoticeAbstractUI.aspx?menuIndex=3&amp;refID=7073932&amp;Result=3","7073932")</f>
        <v>0</v>
      </c>
      <c r="B2954" t="s">
        <v>267</v>
      </c>
      <c r="C2954" t="s">
        <v>6208</v>
      </c>
      <c r="D2954" t="s">
        <v>16679</v>
      </c>
      <c r="E2954" t="s">
        <v>19401</v>
      </c>
      <c r="F2954" t="s">
        <v>28669</v>
      </c>
      <c r="G2954" t="s">
        <v>28676</v>
      </c>
      <c r="H2954" t="s">
        <v>28686</v>
      </c>
      <c r="I2954" t="s">
        <v>28689</v>
      </c>
      <c r="J2954" t="s">
        <v>30799</v>
      </c>
      <c r="K2954" t="s">
        <v>37206</v>
      </c>
      <c r="M2954" t="s">
        <v>38133</v>
      </c>
      <c r="N2954" t="s">
        <v>41249</v>
      </c>
      <c r="O2954" t="s">
        <v>41250</v>
      </c>
      <c r="P2954">
        <v>0</v>
      </c>
      <c r="Q2954">
        <v>2</v>
      </c>
      <c r="R2954" t="s">
        <v>41252</v>
      </c>
      <c r="S2954" t="s">
        <v>41383</v>
      </c>
      <c r="T2954" t="s">
        <v>42736</v>
      </c>
      <c r="U2954" t="s">
        <v>43621</v>
      </c>
      <c r="V2954" t="s">
        <v>54318</v>
      </c>
      <c r="W2954" t="s">
        <v>55906</v>
      </c>
      <c r="X2954" t="s">
        <v>41254</v>
      </c>
    </row>
    <row r="2955" spans="1:24">
      <c r="A2955">
        <f>HYPERLINK("https://www.philgeps.gov.ph/GEPSNONPILOT/Tender/SplashBidNoticeAbstractUI.aspx?menuIndex=3&amp;refID=7073930&amp;Result=3","7073930")</f>
        <v>0</v>
      </c>
      <c r="B2955" t="s">
        <v>557</v>
      </c>
      <c r="C2955" t="s">
        <v>6209</v>
      </c>
      <c r="D2955" t="s">
        <v>16608</v>
      </c>
      <c r="E2955" t="s">
        <v>19402</v>
      </c>
      <c r="F2955" t="s">
        <v>28669</v>
      </c>
      <c r="G2955" t="s">
        <v>28676</v>
      </c>
      <c r="H2955" t="s">
        <v>9998</v>
      </c>
      <c r="I2955" t="s">
        <v>28714</v>
      </c>
      <c r="J2955" t="s">
        <v>29044</v>
      </c>
      <c r="K2955" t="s">
        <v>37204</v>
      </c>
      <c r="M2955" t="s">
        <v>38050</v>
      </c>
      <c r="N2955" t="s">
        <v>41249</v>
      </c>
      <c r="O2955" t="s">
        <v>41250</v>
      </c>
      <c r="P2955">
        <v>0</v>
      </c>
      <c r="Q2955">
        <v>3</v>
      </c>
      <c r="R2955" t="s">
        <v>41252</v>
      </c>
      <c r="S2955" t="s">
        <v>41383</v>
      </c>
      <c r="T2955" t="s">
        <v>42742</v>
      </c>
      <c r="U2955" t="s">
        <v>45719</v>
      </c>
      <c r="V2955" t="s">
        <v>54379</v>
      </c>
      <c r="W2955" t="s">
        <v>38050</v>
      </c>
      <c r="X2955" t="s">
        <v>41254</v>
      </c>
    </row>
    <row r="2956" spans="1:24">
      <c r="A2956">
        <f>HYPERLINK("https://www.philgeps.gov.ph/GEPSNONPILOT/Tender/SplashBidNoticeAbstractUI.aspx?menuIndex=3&amp;refID=7073928&amp;Result=3","7073928")</f>
        <v>0</v>
      </c>
      <c r="B2956" t="s">
        <v>965</v>
      </c>
      <c r="C2956" t="s">
        <v>6210</v>
      </c>
      <c r="D2956" t="s">
        <v>16608</v>
      </c>
      <c r="E2956" t="s">
        <v>19403</v>
      </c>
      <c r="F2956" t="s">
        <v>28669</v>
      </c>
      <c r="G2956" t="s">
        <v>28675</v>
      </c>
      <c r="H2956" t="s">
        <v>9998</v>
      </c>
      <c r="I2956" t="s">
        <v>6128</v>
      </c>
      <c r="J2956" t="s">
        <v>30800</v>
      </c>
      <c r="K2956" t="s">
        <v>37205</v>
      </c>
      <c r="M2956" t="s">
        <v>38759</v>
      </c>
      <c r="N2956" t="s">
        <v>41249</v>
      </c>
      <c r="O2956" t="s">
        <v>41250</v>
      </c>
      <c r="P2956">
        <v>0</v>
      </c>
      <c r="Q2956">
        <v>2</v>
      </c>
      <c r="R2956" t="s">
        <v>41252</v>
      </c>
      <c r="S2956" t="s">
        <v>41383</v>
      </c>
      <c r="T2956" t="s">
        <v>42703</v>
      </c>
      <c r="U2956" t="s">
        <v>44022</v>
      </c>
      <c r="W2956" t="s">
        <v>38759</v>
      </c>
      <c r="X2956" t="s">
        <v>41254</v>
      </c>
    </row>
    <row r="2957" spans="1:24">
      <c r="A2957">
        <f>HYPERLINK("https://www.philgeps.gov.ph/GEPSNONPILOT/Tender/SplashBidNoticeAbstractUI.aspx?menuIndex=3&amp;refID=7073925&amp;Result=3","7073925")</f>
        <v>0</v>
      </c>
      <c r="B2957" t="s">
        <v>1222</v>
      </c>
      <c r="C2957" t="s">
        <v>6211</v>
      </c>
      <c r="D2957" t="s">
        <v>16618</v>
      </c>
      <c r="E2957" t="s">
        <v>19404</v>
      </c>
      <c r="F2957" t="s">
        <v>28669</v>
      </c>
      <c r="G2957" t="s">
        <v>28675</v>
      </c>
      <c r="H2957" t="s">
        <v>9998</v>
      </c>
      <c r="I2957" t="s">
        <v>3718</v>
      </c>
      <c r="J2957" t="s">
        <v>30801</v>
      </c>
      <c r="K2957" t="s">
        <v>37206</v>
      </c>
      <c r="M2957" t="s">
        <v>38765</v>
      </c>
      <c r="N2957" t="s">
        <v>41249</v>
      </c>
      <c r="O2957" t="s">
        <v>41250</v>
      </c>
      <c r="Q2957">
        <v>5</v>
      </c>
      <c r="R2957" t="s">
        <v>41252</v>
      </c>
      <c r="S2957" t="s">
        <v>41397</v>
      </c>
      <c r="T2957" t="s">
        <v>42757</v>
      </c>
      <c r="U2957" t="s">
        <v>45720</v>
      </c>
      <c r="W2957" t="s">
        <v>38765</v>
      </c>
      <c r="X2957" t="s">
        <v>41254</v>
      </c>
    </row>
    <row r="2958" spans="1:24">
      <c r="A2958">
        <f>HYPERLINK("https://www.philgeps.gov.ph/GEPSNONPILOT/Tender/SplashBidNoticeAbstractUI.aspx?menuIndex=3&amp;refID=7073936&amp;Result=3","7073936")</f>
        <v>0</v>
      </c>
      <c r="B2958" t="s">
        <v>472</v>
      </c>
      <c r="C2958" t="s">
        <v>6212</v>
      </c>
      <c r="D2958" t="s">
        <v>16639</v>
      </c>
      <c r="E2958" t="s">
        <v>19405</v>
      </c>
      <c r="F2958" t="s">
        <v>28669</v>
      </c>
      <c r="G2958" t="s">
        <v>28677</v>
      </c>
      <c r="H2958" t="s">
        <v>9998</v>
      </c>
      <c r="I2958" t="s">
        <v>6128</v>
      </c>
      <c r="J2958" t="s">
        <v>30802</v>
      </c>
      <c r="K2958" t="s">
        <v>37209</v>
      </c>
      <c r="M2958" t="s">
        <v>37960</v>
      </c>
      <c r="N2958" t="s">
        <v>41249</v>
      </c>
      <c r="O2958" t="s">
        <v>41250</v>
      </c>
      <c r="P2958">
        <v>0</v>
      </c>
      <c r="Q2958">
        <v>4</v>
      </c>
      <c r="R2958" t="s">
        <v>41252</v>
      </c>
      <c r="S2958" t="s">
        <v>41383</v>
      </c>
      <c r="T2958" t="s">
        <v>42736</v>
      </c>
      <c r="U2958" t="s">
        <v>45595</v>
      </c>
      <c r="W2958" t="s">
        <v>37960</v>
      </c>
      <c r="X2958" t="s">
        <v>41254</v>
      </c>
    </row>
    <row r="2959" spans="1:24">
      <c r="A2959">
        <f>HYPERLINK("https://www.philgeps.gov.ph/GEPSNONPILOT/Tender/SplashBidNoticeAbstractUI.aspx?menuIndex=3&amp;refID=7073923&amp;Result=3","7073923")</f>
        <v>0</v>
      </c>
      <c r="B2959" t="s">
        <v>1223</v>
      </c>
      <c r="C2959" t="s">
        <v>6213</v>
      </c>
      <c r="D2959" t="s">
        <v>16684</v>
      </c>
      <c r="E2959" t="s">
        <v>19406</v>
      </c>
      <c r="F2959" t="s">
        <v>28671</v>
      </c>
      <c r="G2959" t="s">
        <v>28676</v>
      </c>
      <c r="H2959" t="s">
        <v>9998</v>
      </c>
      <c r="I2959" t="s">
        <v>6128</v>
      </c>
      <c r="J2959" t="s">
        <v>30803</v>
      </c>
      <c r="K2959" t="s">
        <v>37204</v>
      </c>
      <c r="M2959" t="s">
        <v>38766</v>
      </c>
      <c r="N2959" t="s">
        <v>41249</v>
      </c>
      <c r="O2959" t="s">
        <v>41250</v>
      </c>
      <c r="P2959">
        <v>0</v>
      </c>
      <c r="Q2959">
        <v>1</v>
      </c>
      <c r="R2959" t="s">
        <v>41252</v>
      </c>
      <c r="S2959" t="s">
        <v>41383</v>
      </c>
      <c r="T2959" t="s">
        <v>42702</v>
      </c>
      <c r="U2959" t="s">
        <v>45721</v>
      </c>
      <c r="V2959" t="s">
        <v>54603</v>
      </c>
      <c r="W2959" t="s">
        <v>38766</v>
      </c>
      <c r="X2959" t="s">
        <v>41254</v>
      </c>
    </row>
    <row r="2960" spans="1:24">
      <c r="A2960">
        <f>HYPERLINK("https://www.philgeps.gov.ph/GEPSNONPILOT/Tender/SplashBidNoticeAbstractUI.aspx?menuIndex=3&amp;refID=7073909&amp;Result=3","7073909")</f>
        <v>0</v>
      </c>
      <c r="B2960" t="s">
        <v>140</v>
      </c>
      <c r="C2960" t="s">
        <v>6214</v>
      </c>
      <c r="D2960" t="s">
        <v>16652</v>
      </c>
      <c r="E2960" t="s">
        <v>19407</v>
      </c>
      <c r="F2960" t="s">
        <v>28669</v>
      </c>
      <c r="G2960" t="s">
        <v>28676</v>
      </c>
      <c r="H2960" t="s">
        <v>9998</v>
      </c>
      <c r="I2960" t="s">
        <v>6128</v>
      </c>
      <c r="J2960" t="s">
        <v>30804</v>
      </c>
      <c r="K2960" t="s">
        <v>37234</v>
      </c>
      <c r="M2960" t="s">
        <v>37617</v>
      </c>
      <c r="N2960" t="s">
        <v>41249</v>
      </c>
      <c r="O2960" t="s">
        <v>41250</v>
      </c>
      <c r="P2960">
        <v>0</v>
      </c>
      <c r="Q2960">
        <v>0</v>
      </c>
      <c r="R2960" t="s">
        <v>41252</v>
      </c>
      <c r="S2960" t="s">
        <v>41383</v>
      </c>
      <c r="T2960" t="s">
        <v>42802</v>
      </c>
      <c r="U2960" t="s">
        <v>45722</v>
      </c>
      <c r="W2960" t="s">
        <v>37617</v>
      </c>
      <c r="X2960" t="s">
        <v>41254</v>
      </c>
    </row>
    <row r="2961" spans="1:24">
      <c r="A2961">
        <f>HYPERLINK("https://www.philgeps.gov.ph/GEPSNONPILOT/Tender/SplashBidNoticeAbstractUI.aspx?menuIndex=3&amp;refID=7073933&amp;Result=3","7073933")</f>
        <v>0</v>
      </c>
      <c r="B2961" t="s">
        <v>1102</v>
      </c>
      <c r="C2961" t="s">
        <v>6215</v>
      </c>
      <c r="D2961" t="s">
        <v>16667</v>
      </c>
      <c r="E2961" t="s">
        <v>6215</v>
      </c>
      <c r="F2961" t="s">
        <v>28669</v>
      </c>
      <c r="G2961" t="s">
        <v>28676</v>
      </c>
      <c r="H2961" t="s">
        <v>9998</v>
      </c>
      <c r="I2961" t="s">
        <v>7352</v>
      </c>
      <c r="J2961" t="s">
        <v>28905</v>
      </c>
      <c r="K2961" t="s">
        <v>37209</v>
      </c>
      <c r="M2961" t="s">
        <v>38635</v>
      </c>
      <c r="N2961" t="s">
        <v>41249</v>
      </c>
      <c r="O2961" t="s">
        <v>41250</v>
      </c>
      <c r="P2961">
        <v>0</v>
      </c>
      <c r="Q2961">
        <v>0</v>
      </c>
      <c r="R2961" t="s">
        <v>41252</v>
      </c>
      <c r="S2961" t="s">
        <v>41383</v>
      </c>
      <c r="T2961" t="s">
        <v>42729</v>
      </c>
      <c r="U2961" t="s">
        <v>45446</v>
      </c>
      <c r="W2961" t="s">
        <v>38635</v>
      </c>
      <c r="X2961" t="s">
        <v>41254</v>
      </c>
    </row>
    <row r="2962" spans="1:24">
      <c r="A2962">
        <f>HYPERLINK("https://www.philgeps.gov.ph/GEPSNONPILOT/Tender/SplashBidNoticeAbstractUI.aspx?menuIndex=3&amp;refID=7073931&amp;Result=3","7073931")</f>
        <v>0</v>
      </c>
      <c r="B2962" t="s">
        <v>1090</v>
      </c>
      <c r="C2962" t="s">
        <v>6216</v>
      </c>
      <c r="E2962" t="s">
        <v>19408</v>
      </c>
      <c r="F2962" t="s">
        <v>28669</v>
      </c>
      <c r="G2962" t="s">
        <v>28676</v>
      </c>
      <c r="H2962" t="s">
        <v>9998</v>
      </c>
      <c r="I2962" t="s">
        <v>28704</v>
      </c>
      <c r="J2962" t="s">
        <v>30805</v>
      </c>
      <c r="K2962" t="s">
        <v>37209</v>
      </c>
      <c r="M2962" t="s">
        <v>38622</v>
      </c>
      <c r="N2962" t="s">
        <v>41249</v>
      </c>
      <c r="O2962" t="s">
        <v>41250</v>
      </c>
      <c r="P2962">
        <v>0</v>
      </c>
      <c r="Q2962">
        <v>2</v>
      </c>
      <c r="R2962" t="s">
        <v>41252</v>
      </c>
      <c r="S2962" t="s">
        <v>41383</v>
      </c>
      <c r="T2962" t="s">
        <v>42670</v>
      </c>
      <c r="U2962" t="s">
        <v>45723</v>
      </c>
      <c r="W2962" t="s">
        <v>38622</v>
      </c>
      <c r="X2962" t="s">
        <v>41254</v>
      </c>
    </row>
    <row r="2963" spans="1:24">
      <c r="A2963">
        <f>HYPERLINK("https://www.philgeps.gov.ph/GEPSNONPILOT/Tender/SplashBidNoticeAbstractUI.aspx?menuIndex=3&amp;refID=7073920&amp;Result=3","7073920")</f>
        <v>0</v>
      </c>
      <c r="B2963" t="s">
        <v>1224</v>
      </c>
      <c r="C2963" t="s">
        <v>6217</v>
      </c>
      <c r="D2963" t="s">
        <v>16624</v>
      </c>
      <c r="E2963" t="s">
        <v>19409</v>
      </c>
      <c r="F2963" t="s">
        <v>28669</v>
      </c>
      <c r="G2963" t="s">
        <v>28676</v>
      </c>
      <c r="H2963" t="s">
        <v>9998</v>
      </c>
      <c r="I2963" t="s">
        <v>28704</v>
      </c>
      <c r="J2963" t="s">
        <v>29027</v>
      </c>
      <c r="K2963" t="s">
        <v>37209</v>
      </c>
      <c r="M2963" t="s">
        <v>38767</v>
      </c>
      <c r="N2963" t="s">
        <v>41249</v>
      </c>
      <c r="O2963" t="s">
        <v>41250</v>
      </c>
      <c r="P2963">
        <v>0</v>
      </c>
      <c r="Q2963">
        <v>1</v>
      </c>
      <c r="R2963" t="s">
        <v>41252</v>
      </c>
      <c r="S2963" t="s">
        <v>41383</v>
      </c>
      <c r="T2963" t="s">
        <v>42738</v>
      </c>
      <c r="U2963" t="s">
        <v>45724</v>
      </c>
      <c r="W2963" t="s">
        <v>38767</v>
      </c>
      <c r="X2963" t="s">
        <v>41254</v>
      </c>
    </row>
    <row r="2964" spans="1:24">
      <c r="A2964">
        <f>HYPERLINK("https://www.philgeps.gov.ph/GEPSNONPILOT/Tender/SplashBidNoticeAbstractUI.aspx?menuIndex=3&amp;refID=7073919&amp;Result=3","7073919")</f>
        <v>0</v>
      </c>
      <c r="B2964" t="s">
        <v>1176</v>
      </c>
      <c r="C2964" t="s">
        <v>6218</v>
      </c>
      <c r="D2964" t="s">
        <v>16616</v>
      </c>
      <c r="E2964" t="s">
        <v>19410</v>
      </c>
      <c r="F2964" t="s">
        <v>28669</v>
      </c>
      <c r="G2964" t="s">
        <v>28676</v>
      </c>
      <c r="H2964" t="s">
        <v>9998</v>
      </c>
      <c r="I2964" t="s">
        <v>7352</v>
      </c>
      <c r="J2964" t="s">
        <v>30806</v>
      </c>
      <c r="K2964" t="s">
        <v>37208</v>
      </c>
      <c r="L2964" t="s">
        <v>1176</v>
      </c>
      <c r="M2964" t="s">
        <v>38715</v>
      </c>
      <c r="N2964" t="s">
        <v>41249</v>
      </c>
      <c r="O2964" t="s">
        <v>41250</v>
      </c>
      <c r="P2964">
        <v>0</v>
      </c>
      <c r="Q2964">
        <v>0</v>
      </c>
      <c r="R2964" t="s">
        <v>41252</v>
      </c>
      <c r="S2964" t="s">
        <v>41383</v>
      </c>
      <c r="T2964" t="s">
        <v>42736</v>
      </c>
      <c r="U2964" t="s">
        <v>45725</v>
      </c>
      <c r="V2964" t="s">
        <v>54604</v>
      </c>
      <c r="W2964" t="s">
        <v>38715</v>
      </c>
      <c r="X2964" t="s">
        <v>41254</v>
      </c>
    </row>
    <row r="2965" spans="1:24">
      <c r="A2965">
        <f>HYPERLINK("https://www.philgeps.gov.ph/GEPSNONPILOT/Tender/SplashBidNoticeAbstractUI.aspx?menuIndex=3&amp;refID=7073894&amp;Result=3","7073894")</f>
        <v>0</v>
      </c>
      <c r="B2965" t="s">
        <v>1225</v>
      </c>
      <c r="C2965" t="s">
        <v>6219</v>
      </c>
      <c r="D2965" t="s">
        <v>16613</v>
      </c>
      <c r="E2965" t="s">
        <v>19411</v>
      </c>
      <c r="F2965" t="s">
        <v>28669</v>
      </c>
      <c r="G2965" t="s">
        <v>28675</v>
      </c>
      <c r="H2965" t="s">
        <v>28686</v>
      </c>
      <c r="I2965" t="s">
        <v>28689</v>
      </c>
      <c r="J2965" t="s">
        <v>30807</v>
      </c>
      <c r="K2965" t="s">
        <v>37206</v>
      </c>
      <c r="M2965" t="s">
        <v>38768</v>
      </c>
      <c r="N2965" t="s">
        <v>41249</v>
      </c>
      <c r="O2965" t="s">
        <v>41250</v>
      </c>
      <c r="P2965">
        <v>0</v>
      </c>
      <c r="Q2965">
        <v>0</v>
      </c>
      <c r="R2965" t="s">
        <v>41252</v>
      </c>
      <c r="S2965" t="s">
        <v>41383</v>
      </c>
      <c r="T2965" t="s">
        <v>42915</v>
      </c>
      <c r="U2965" t="s">
        <v>45726</v>
      </c>
      <c r="W2965" t="s">
        <v>38768</v>
      </c>
      <c r="X2965" t="s">
        <v>41254</v>
      </c>
    </row>
    <row r="2966" spans="1:24">
      <c r="A2966">
        <f>HYPERLINK("https://www.philgeps.gov.ph/GEPSNONPILOT/Tender/SplashBidNoticeAbstractUI.aspx?menuIndex=3&amp;refID=7073924&amp;Result=3","7073924")</f>
        <v>0</v>
      </c>
      <c r="B2966" t="s">
        <v>136</v>
      </c>
      <c r="C2966" t="s">
        <v>6220</v>
      </c>
      <c r="D2966" t="s">
        <v>16642</v>
      </c>
      <c r="E2966" t="s">
        <v>19412</v>
      </c>
      <c r="F2966" t="s">
        <v>28669</v>
      </c>
      <c r="G2966" t="s">
        <v>28676</v>
      </c>
      <c r="H2966" t="s">
        <v>9998</v>
      </c>
      <c r="I2966" t="s">
        <v>28770</v>
      </c>
      <c r="J2966" t="s">
        <v>28877</v>
      </c>
      <c r="K2966" t="s">
        <v>37206</v>
      </c>
      <c r="M2966" t="s">
        <v>37613</v>
      </c>
      <c r="N2966" t="s">
        <v>41249</v>
      </c>
      <c r="O2966" t="s">
        <v>41250</v>
      </c>
      <c r="P2966">
        <v>0</v>
      </c>
      <c r="Q2966">
        <v>3</v>
      </c>
      <c r="R2966" t="s">
        <v>41252</v>
      </c>
      <c r="S2966" t="s">
        <v>41383</v>
      </c>
      <c r="T2966" t="s">
        <v>42735</v>
      </c>
      <c r="U2966" t="s">
        <v>45727</v>
      </c>
      <c r="V2966" t="s">
        <v>54313</v>
      </c>
      <c r="W2966" t="s">
        <v>55905</v>
      </c>
      <c r="X2966" t="s">
        <v>41254</v>
      </c>
    </row>
    <row r="2967" spans="1:24">
      <c r="A2967">
        <f>HYPERLINK("https://www.philgeps.gov.ph/GEPSNONPILOT/Tender/SplashBidNoticeAbstractUI.aspx?menuIndex=3&amp;refID=7073938&amp;Result=3","7073938")</f>
        <v>0</v>
      </c>
      <c r="B2967" t="s">
        <v>533</v>
      </c>
      <c r="C2967" t="s">
        <v>6221</v>
      </c>
      <c r="D2967" t="s">
        <v>16641</v>
      </c>
      <c r="E2967" t="s">
        <v>19413</v>
      </c>
      <c r="F2967" t="s">
        <v>28669</v>
      </c>
      <c r="G2967" t="s">
        <v>28675</v>
      </c>
      <c r="H2967" t="s">
        <v>28686</v>
      </c>
      <c r="I2967" t="s">
        <v>28689</v>
      </c>
      <c r="J2967" t="s">
        <v>30808</v>
      </c>
      <c r="K2967" t="s">
        <v>37221</v>
      </c>
      <c r="M2967" t="s">
        <v>38769</v>
      </c>
      <c r="N2967" t="s">
        <v>41249</v>
      </c>
      <c r="O2967" t="s">
        <v>41250</v>
      </c>
      <c r="P2967">
        <v>0</v>
      </c>
      <c r="Q2967">
        <v>1</v>
      </c>
      <c r="R2967" t="s">
        <v>41252</v>
      </c>
      <c r="S2967" t="s">
        <v>41383</v>
      </c>
      <c r="T2967" t="s">
        <v>42672</v>
      </c>
      <c r="U2967" t="s">
        <v>45728</v>
      </c>
      <c r="W2967" t="s">
        <v>38769</v>
      </c>
      <c r="X2967" t="s">
        <v>41254</v>
      </c>
    </row>
    <row r="2968" spans="1:24">
      <c r="A2968">
        <f>HYPERLINK("https://www.philgeps.gov.ph/GEPSNONPILOT/Tender/SplashBidNoticeAbstractUI.aspx?menuIndex=3&amp;refID=7073921&amp;Result=3","7073921")</f>
        <v>0</v>
      </c>
      <c r="B2968" t="s">
        <v>1226</v>
      </c>
      <c r="C2968" t="s">
        <v>6222</v>
      </c>
      <c r="D2968" t="s">
        <v>16642</v>
      </c>
      <c r="E2968" t="s">
        <v>19414</v>
      </c>
      <c r="F2968" t="s">
        <v>28669</v>
      </c>
      <c r="G2968" t="s">
        <v>28676</v>
      </c>
      <c r="H2968" t="s">
        <v>9998</v>
      </c>
      <c r="I2968" t="s">
        <v>28729</v>
      </c>
      <c r="J2968" t="s">
        <v>28826</v>
      </c>
      <c r="K2968" t="s">
        <v>37206</v>
      </c>
      <c r="M2968" t="s">
        <v>38770</v>
      </c>
      <c r="N2968" t="s">
        <v>41249</v>
      </c>
      <c r="O2968" t="s">
        <v>41250</v>
      </c>
      <c r="P2968">
        <v>0</v>
      </c>
      <c r="Q2968">
        <v>17</v>
      </c>
      <c r="R2968" t="s">
        <v>41252</v>
      </c>
      <c r="S2968" t="s">
        <v>41383</v>
      </c>
      <c r="T2968" t="s">
        <v>42758</v>
      </c>
      <c r="U2968" t="s">
        <v>45729</v>
      </c>
      <c r="V2968" t="s">
        <v>54605</v>
      </c>
      <c r="W2968" t="s">
        <v>38770</v>
      </c>
      <c r="X2968" t="s">
        <v>41254</v>
      </c>
    </row>
    <row r="2969" spans="1:24">
      <c r="A2969">
        <f>HYPERLINK("https://www.philgeps.gov.ph/GEPSNONPILOT/Tender/SplashBidNoticeAbstractUI.aspx?menuIndex=3&amp;refID=7073944&amp;Result=3","7073944")</f>
        <v>0</v>
      </c>
      <c r="B2969" t="s">
        <v>965</v>
      </c>
      <c r="C2969" t="s">
        <v>6223</v>
      </c>
      <c r="D2969" t="s">
        <v>16608</v>
      </c>
      <c r="E2969" t="s">
        <v>19415</v>
      </c>
      <c r="F2969" t="s">
        <v>28669</v>
      </c>
      <c r="G2969" t="s">
        <v>28675</v>
      </c>
      <c r="H2969" t="s">
        <v>9998</v>
      </c>
      <c r="I2969" t="s">
        <v>6128</v>
      </c>
      <c r="J2969" t="s">
        <v>30809</v>
      </c>
      <c r="K2969" t="s">
        <v>37205</v>
      </c>
      <c r="M2969" t="s">
        <v>38759</v>
      </c>
      <c r="N2969" t="s">
        <v>41249</v>
      </c>
      <c r="O2969" t="s">
        <v>41250</v>
      </c>
      <c r="P2969">
        <v>0</v>
      </c>
      <c r="Q2969">
        <v>2</v>
      </c>
      <c r="R2969" t="s">
        <v>41252</v>
      </c>
      <c r="S2969" t="s">
        <v>41383</v>
      </c>
      <c r="T2969" t="s">
        <v>42703</v>
      </c>
      <c r="U2969" t="s">
        <v>44022</v>
      </c>
      <c r="W2969" t="s">
        <v>38759</v>
      </c>
      <c r="X2969" t="s">
        <v>41254</v>
      </c>
    </row>
    <row r="2970" spans="1:24">
      <c r="A2970">
        <f>HYPERLINK("https://www.philgeps.gov.ph/GEPSNONPILOT/Tender/SplashBidNoticeAbstractUI.aspx?menuIndex=3&amp;refID=7073952&amp;Result=3","7073952")</f>
        <v>0</v>
      </c>
      <c r="B2970" t="s">
        <v>472</v>
      </c>
      <c r="C2970" t="s">
        <v>6224</v>
      </c>
      <c r="D2970" t="s">
        <v>16639</v>
      </c>
      <c r="E2970" t="s">
        <v>19416</v>
      </c>
      <c r="F2970" t="s">
        <v>28669</v>
      </c>
      <c r="G2970" t="s">
        <v>28676</v>
      </c>
      <c r="H2970" t="s">
        <v>9998</v>
      </c>
      <c r="I2970" t="s">
        <v>3718</v>
      </c>
      <c r="J2970" t="s">
        <v>29044</v>
      </c>
      <c r="K2970" t="s">
        <v>37209</v>
      </c>
      <c r="M2970" t="s">
        <v>37960</v>
      </c>
      <c r="N2970" t="s">
        <v>41249</v>
      </c>
      <c r="O2970" t="s">
        <v>41250</v>
      </c>
      <c r="P2970">
        <v>0</v>
      </c>
      <c r="Q2970">
        <v>5</v>
      </c>
      <c r="R2970" t="s">
        <v>41252</v>
      </c>
      <c r="S2970" t="s">
        <v>41383</v>
      </c>
      <c r="T2970" t="s">
        <v>42736</v>
      </c>
      <c r="U2970" t="s">
        <v>45730</v>
      </c>
      <c r="W2970" t="s">
        <v>37960</v>
      </c>
      <c r="X2970" t="s">
        <v>41254</v>
      </c>
    </row>
    <row r="2971" spans="1:24">
      <c r="A2971">
        <f>HYPERLINK("https://www.philgeps.gov.ph/GEPSNONPILOT/Tender/SplashBidNoticeAbstractUI.aspx?menuIndex=3&amp;refID=7073922&amp;Result=3","7073922")</f>
        <v>0</v>
      </c>
      <c r="B2971" t="s">
        <v>1193</v>
      </c>
      <c r="C2971" t="s">
        <v>6225</v>
      </c>
      <c r="D2971" t="s">
        <v>16673</v>
      </c>
      <c r="E2971" t="s">
        <v>19417</v>
      </c>
      <c r="F2971" t="s">
        <v>28669</v>
      </c>
      <c r="G2971" t="s">
        <v>28677</v>
      </c>
      <c r="H2971" t="s">
        <v>9998</v>
      </c>
      <c r="I2971" t="s">
        <v>11593</v>
      </c>
      <c r="J2971" t="s">
        <v>30810</v>
      </c>
      <c r="K2971" t="s">
        <v>37208</v>
      </c>
      <c r="M2971" t="s">
        <v>38733</v>
      </c>
      <c r="N2971" t="s">
        <v>41249</v>
      </c>
      <c r="O2971" t="s">
        <v>41250</v>
      </c>
      <c r="P2971">
        <v>0</v>
      </c>
      <c r="Q2971">
        <v>2</v>
      </c>
      <c r="R2971" t="s">
        <v>41252</v>
      </c>
      <c r="S2971" t="s">
        <v>41383</v>
      </c>
      <c r="T2971" t="s">
        <v>42867</v>
      </c>
      <c r="U2971" t="s">
        <v>45731</v>
      </c>
      <c r="W2971" t="s">
        <v>38733</v>
      </c>
      <c r="X2971" t="s">
        <v>41254</v>
      </c>
    </row>
    <row r="2972" spans="1:24">
      <c r="A2972">
        <f>HYPERLINK("https://www.philgeps.gov.ph/GEPSNONPILOT/Tender/SplashBidNoticeAbstractUI.aspx?menuIndex=3&amp;refID=7073950&amp;Result=3","7073950")</f>
        <v>0</v>
      </c>
      <c r="B2972" t="s">
        <v>1227</v>
      </c>
      <c r="C2972" t="s">
        <v>6226</v>
      </c>
      <c r="D2972" t="s">
        <v>16608</v>
      </c>
      <c r="E2972" t="s">
        <v>19418</v>
      </c>
      <c r="F2972" t="s">
        <v>28669</v>
      </c>
      <c r="G2972" t="s">
        <v>28677</v>
      </c>
      <c r="H2972" t="s">
        <v>9998</v>
      </c>
      <c r="I2972" t="s">
        <v>28694</v>
      </c>
      <c r="J2972" t="s">
        <v>29785</v>
      </c>
      <c r="K2972" t="s">
        <v>37243</v>
      </c>
      <c r="M2972" t="s">
        <v>38771</v>
      </c>
      <c r="N2972" t="s">
        <v>41249</v>
      </c>
      <c r="O2972" t="s">
        <v>41250</v>
      </c>
      <c r="P2972">
        <v>0</v>
      </c>
      <c r="Q2972">
        <v>1</v>
      </c>
      <c r="R2972" t="s">
        <v>41252</v>
      </c>
      <c r="S2972" t="s">
        <v>41383</v>
      </c>
      <c r="T2972" t="s">
        <v>42673</v>
      </c>
      <c r="U2972" t="s">
        <v>45732</v>
      </c>
      <c r="W2972" t="s">
        <v>38771</v>
      </c>
      <c r="X2972" t="s">
        <v>41254</v>
      </c>
    </row>
    <row r="2973" spans="1:24">
      <c r="A2973">
        <f>HYPERLINK("https://www.philgeps.gov.ph/GEPSNONPILOT/Tender/SplashBidNoticeAbstractUI.aspx?menuIndex=3&amp;refID=7073948&amp;Result=3","7073948")</f>
        <v>0</v>
      </c>
      <c r="B2973" t="s">
        <v>1070</v>
      </c>
      <c r="C2973" t="s">
        <v>6227</v>
      </c>
      <c r="D2973" t="s">
        <v>16683</v>
      </c>
      <c r="E2973" t="s">
        <v>19419</v>
      </c>
      <c r="F2973" t="s">
        <v>28669</v>
      </c>
      <c r="G2973" t="s">
        <v>28675</v>
      </c>
      <c r="H2973" t="s">
        <v>9998</v>
      </c>
      <c r="I2973" t="s">
        <v>7352</v>
      </c>
      <c r="J2973" t="s">
        <v>30811</v>
      </c>
      <c r="K2973" t="s">
        <v>37205</v>
      </c>
      <c r="M2973" t="s">
        <v>38602</v>
      </c>
      <c r="N2973" t="s">
        <v>41249</v>
      </c>
      <c r="O2973" t="s">
        <v>41250</v>
      </c>
      <c r="P2973">
        <v>0</v>
      </c>
      <c r="Q2973">
        <v>0</v>
      </c>
      <c r="R2973" t="s">
        <v>41252</v>
      </c>
      <c r="S2973" t="s">
        <v>41383</v>
      </c>
      <c r="T2973" t="s">
        <v>42757</v>
      </c>
      <c r="U2973" t="s">
        <v>45385</v>
      </c>
      <c r="W2973" t="s">
        <v>38602</v>
      </c>
      <c r="X2973" t="s">
        <v>41254</v>
      </c>
    </row>
    <row r="2974" spans="1:24">
      <c r="A2974">
        <f>HYPERLINK("https://www.philgeps.gov.ph/GEPSNONPILOT/Tender/SplashBidNoticeAbstractUI.aspx?menuIndex=3&amp;refID=7073945&amp;Result=3","7073945")</f>
        <v>0</v>
      </c>
      <c r="B2974" t="s">
        <v>222</v>
      </c>
      <c r="C2974" t="s">
        <v>6228</v>
      </c>
      <c r="D2974" t="s">
        <v>16611</v>
      </c>
      <c r="E2974" t="s">
        <v>19420</v>
      </c>
      <c r="F2974" t="s">
        <v>28669</v>
      </c>
      <c r="G2974" t="s">
        <v>28676</v>
      </c>
      <c r="H2974" t="s">
        <v>9998</v>
      </c>
      <c r="I2974" t="s">
        <v>28697</v>
      </c>
      <c r="J2974" t="s">
        <v>29016</v>
      </c>
      <c r="K2974" t="s">
        <v>37206</v>
      </c>
      <c r="M2974" t="s">
        <v>37700</v>
      </c>
      <c r="N2974" t="s">
        <v>41249</v>
      </c>
      <c r="O2974" t="s">
        <v>41250</v>
      </c>
      <c r="P2974">
        <v>0</v>
      </c>
      <c r="Q2974">
        <v>0</v>
      </c>
      <c r="R2974" t="s">
        <v>41252</v>
      </c>
      <c r="S2974" t="s">
        <v>41383</v>
      </c>
      <c r="T2974" t="s">
        <v>42857</v>
      </c>
      <c r="U2974" t="s">
        <v>45733</v>
      </c>
      <c r="W2974" t="s">
        <v>37700</v>
      </c>
      <c r="X2974" t="s">
        <v>41254</v>
      </c>
    </row>
    <row r="2975" spans="1:24">
      <c r="A2975">
        <f>HYPERLINK("https://www.philgeps.gov.ph/GEPSNONPILOT/Tender/SplashBidNoticeAbstractUI.aspx?menuIndex=3&amp;refID=7073955&amp;Result=3","7073955")</f>
        <v>0</v>
      </c>
      <c r="B2975" t="s">
        <v>295</v>
      </c>
      <c r="C2975" t="s">
        <v>6229</v>
      </c>
      <c r="D2975" t="s">
        <v>16664</v>
      </c>
      <c r="E2975" t="s">
        <v>19421</v>
      </c>
      <c r="F2975" t="s">
        <v>28669</v>
      </c>
      <c r="G2975" t="s">
        <v>28675</v>
      </c>
      <c r="H2975" t="s">
        <v>28686</v>
      </c>
      <c r="I2975" t="s">
        <v>28689</v>
      </c>
      <c r="J2975" t="s">
        <v>30812</v>
      </c>
      <c r="K2975" t="s">
        <v>37290</v>
      </c>
      <c r="M2975" t="s">
        <v>37774</v>
      </c>
      <c r="N2975" t="s">
        <v>41249</v>
      </c>
      <c r="O2975" t="s">
        <v>41250</v>
      </c>
      <c r="P2975">
        <v>0</v>
      </c>
      <c r="Q2975">
        <v>2</v>
      </c>
      <c r="R2975" t="s">
        <v>41252</v>
      </c>
      <c r="S2975" t="s">
        <v>41383</v>
      </c>
      <c r="T2975" t="s">
        <v>42688</v>
      </c>
      <c r="U2975" t="s">
        <v>45734</v>
      </c>
      <c r="V2975" t="s">
        <v>54606</v>
      </c>
      <c r="W2975" t="s">
        <v>37774</v>
      </c>
      <c r="X2975" t="s">
        <v>41254</v>
      </c>
    </row>
    <row r="2976" spans="1:24">
      <c r="A2976">
        <f>HYPERLINK("https://www.philgeps.gov.ph/GEPSNONPILOT/Tender/SplashBidNoticeAbstractUI.aspx?menuIndex=3&amp;refID=7073968&amp;Result=3","7073968")</f>
        <v>0</v>
      </c>
      <c r="B2976" t="s">
        <v>1163</v>
      </c>
      <c r="C2976" t="s">
        <v>6230</v>
      </c>
      <c r="D2976" t="s">
        <v>16607</v>
      </c>
      <c r="E2976" t="s">
        <v>19422</v>
      </c>
      <c r="F2976" t="s">
        <v>28669</v>
      </c>
      <c r="G2976" t="s">
        <v>28675</v>
      </c>
      <c r="H2976" t="s">
        <v>9998</v>
      </c>
      <c r="I2976" t="s">
        <v>28733</v>
      </c>
      <c r="J2976" t="s">
        <v>30813</v>
      </c>
      <c r="K2976" t="s">
        <v>37206</v>
      </c>
      <c r="M2976" t="s">
        <v>38701</v>
      </c>
      <c r="N2976" t="s">
        <v>41249</v>
      </c>
      <c r="O2976" t="s">
        <v>41250</v>
      </c>
      <c r="P2976">
        <v>0</v>
      </c>
      <c r="Q2976">
        <v>1</v>
      </c>
      <c r="R2976" t="s">
        <v>41252</v>
      </c>
      <c r="S2976" t="s">
        <v>41383</v>
      </c>
      <c r="T2976" t="s">
        <v>42858</v>
      </c>
      <c r="U2976" t="s">
        <v>45588</v>
      </c>
      <c r="W2976" t="s">
        <v>38701</v>
      </c>
      <c r="X2976" t="s">
        <v>41254</v>
      </c>
    </row>
    <row r="2977" spans="1:24">
      <c r="A2977">
        <f>HYPERLINK("https://www.philgeps.gov.ph/GEPSNONPILOT/Tender/SplashBidNoticeAbstractUI.aspx?menuIndex=3&amp;refID=7073967&amp;Result=3","7073967")</f>
        <v>0</v>
      </c>
      <c r="B2977" t="s">
        <v>646</v>
      </c>
      <c r="C2977" t="s">
        <v>6231</v>
      </c>
      <c r="D2977" t="s">
        <v>16608</v>
      </c>
      <c r="E2977" t="s">
        <v>18874</v>
      </c>
      <c r="F2977" t="s">
        <v>28669</v>
      </c>
      <c r="G2977" t="s">
        <v>28676</v>
      </c>
      <c r="H2977" t="s">
        <v>9998</v>
      </c>
      <c r="I2977" t="s">
        <v>28693</v>
      </c>
      <c r="J2977" t="s">
        <v>30814</v>
      </c>
      <c r="K2977" t="s">
        <v>37206</v>
      </c>
      <c r="M2977" t="s">
        <v>38147</v>
      </c>
      <c r="N2977" t="s">
        <v>41249</v>
      </c>
      <c r="O2977" t="s">
        <v>41250</v>
      </c>
      <c r="P2977">
        <v>0</v>
      </c>
      <c r="Q2977">
        <v>4</v>
      </c>
      <c r="R2977" t="s">
        <v>41252</v>
      </c>
      <c r="S2977" t="s">
        <v>41383</v>
      </c>
      <c r="T2977" t="s">
        <v>42758</v>
      </c>
      <c r="U2977" t="s">
        <v>44403</v>
      </c>
      <c r="W2977" t="s">
        <v>38147</v>
      </c>
      <c r="X2977" t="s">
        <v>41254</v>
      </c>
    </row>
    <row r="2978" spans="1:24">
      <c r="A2978">
        <f>HYPERLINK("https://www.philgeps.gov.ph/GEPSNONPILOT/Tender/SplashBidNoticeAbstractUI.aspx?menuIndex=3&amp;refID=7073947&amp;Result=3","7073947")</f>
        <v>0</v>
      </c>
      <c r="B2978" t="s">
        <v>1228</v>
      </c>
      <c r="C2978" t="s">
        <v>6232</v>
      </c>
      <c r="D2978" t="s">
        <v>16679</v>
      </c>
      <c r="E2978" t="s">
        <v>17029</v>
      </c>
      <c r="F2978" t="s">
        <v>28669</v>
      </c>
      <c r="G2978" t="s">
        <v>28677</v>
      </c>
      <c r="H2978" t="s">
        <v>9998</v>
      </c>
      <c r="I2978" t="s">
        <v>28729</v>
      </c>
      <c r="J2978" t="s">
        <v>29809</v>
      </c>
      <c r="K2978" t="s">
        <v>37204</v>
      </c>
      <c r="L2978" t="s">
        <v>1228</v>
      </c>
      <c r="M2978" t="s">
        <v>38772</v>
      </c>
      <c r="N2978" t="s">
        <v>41249</v>
      </c>
      <c r="O2978" t="s">
        <v>41250</v>
      </c>
      <c r="P2978">
        <v>0</v>
      </c>
      <c r="Q2978">
        <v>2</v>
      </c>
      <c r="R2978" t="s">
        <v>41252</v>
      </c>
      <c r="S2978" t="s">
        <v>41383</v>
      </c>
      <c r="T2978" t="s">
        <v>42758</v>
      </c>
      <c r="U2978" t="s">
        <v>45735</v>
      </c>
      <c r="W2978" t="s">
        <v>38772</v>
      </c>
      <c r="X2978" t="s">
        <v>41254</v>
      </c>
    </row>
    <row r="2979" spans="1:24">
      <c r="A2979">
        <f>HYPERLINK("https://www.philgeps.gov.ph/GEPSNONPILOT/Tender/SplashBidNoticeAbstractUI.aspx?menuIndex=3&amp;refID=7073966&amp;Result=3","7073966")</f>
        <v>0</v>
      </c>
      <c r="B2979" t="s">
        <v>1229</v>
      </c>
      <c r="C2979" t="s">
        <v>6233</v>
      </c>
      <c r="D2979" t="s">
        <v>16675</v>
      </c>
      <c r="E2979" t="s">
        <v>19423</v>
      </c>
      <c r="F2979" t="s">
        <v>28669</v>
      </c>
      <c r="G2979" t="s">
        <v>28676</v>
      </c>
      <c r="H2979" t="s">
        <v>28685</v>
      </c>
      <c r="I2979" t="s">
        <v>28728</v>
      </c>
      <c r="J2979" t="s">
        <v>28826</v>
      </c>
      <c r="K2979" t="s">
        <v>37210</v>
      </c>
      <c r="M2979" t="s">
        <v>38773</v>
      </c>
      <c r="N2979" t="s">
        <v>41249</v>
      </c>
      <c r="O2979" t="s">
        <v>41250</v>
      </c>
      <c r="P2979">
        <v>0</v>
      </c>
      <c r="Q2979">
        <v>1</v>
      </c>
      <c r="R2979" t="s">
        <v>41252</v>
      </c>
      <c r="S2979" t="s">
        <v>41383</v>
      </c>
      <c r="T2979" t="s">
        <v>42736</v>
      </c>
      <c r="U2979" t="s">
        <v>45736</v>
      </c>
      <c r="W2979" t="s">
        <v>38773</v>
      </c>
      <c r="X2979" t="s">
        <v>41254</v>
      </c>
    </row>
    <row r="2980" spans="1:24">
      <c r="A2980">
        <f>HYPERLINK("https://www.philgeps.gov.ph/GEPSNONPILOT/Tender/SplashBidNoticeAbstractUI.aspx?menuIndex=3&amp;refID=7073962&amp;Result=3","7073962")</f>
        <v>0</v>
      </c>
      <c r="B2980" t="s">
        <v>1230</v>
      </c>
      <c r="C2980" t="s">
        <v>6234</v>
      </c>
      <c r="D2980" t="s">
        <v>16621</v>
      </c>
      <c r="E2980" t="s">
        <v>17480</v>
      </c>
      <c r="F2980" t="s">
        <v>28669</v>
      </c>
      <c r="G2980" t="s">
        <v>28675</v>
      </c>
      <c r="H2980" t="s">
        <v>9998</v>
      </c>
      <c r="I2980" t="s">
        <v>28703</v>
      </c>
      <c r="J2980" t="s">
        <v>30815</v>
      </c>
      <c r="K2980" t="s">
        <v>37215</v>
      </c>
      <c r="M2980" t="s">
        <v>38774</v>
      </c>
      <c r="N2980" t="s">
        <v>41249</v>
      </c>
      <c r="O2980" t="s">
        <v>41250</v>
      </c>
      <c r="Q2980">
        <v>1</v>
      </c>
      <c r="R2980" t="s">
        <v>41252</v>
      </c>
      <c r="S2980" t="s">
        <v>41398</v>
      </c>
      <c r="T2980" t="s">
        <v>42916</v>
      </c>
      <c r="U2980" t="s">
        <v>45737</v>
      </c>
      <c r="V2980" t="s">
        <v>54607</v>
      </c>
      <c r="W2980" t="s">
        <v>55947</v>
      </c>
      <c r="X2980" t="s">
        <v>41254</v>
      </c>
    </row>
    <row r="2981" spans="1:24">
      <c r="A2981">
        <f>HYPERLINK("https://www.philgeps.gov.ph/GEPSNONPILOT/Tender/SplashBidNoticeAbstractUI.aspx?menuIndex=3&amp;refID=7073954&amp;Result=3","7073954")</f>
        <v>0</v>
      </c>
      <c r="B2981" t="s">
        <v>602</v>
      </c>
      <c r="C2981" t="s">
        <v>6235</v>
      </c>
      <c r="D2981" t="s">
        <v>16661</v>
      </c>
      <c r="E2981" t="s">
        <v>19424</v>
      </c>
      <c r="F2981" t="s">
        <v>28669</v>
      </c>
      <c r="G2981" t="s">
        <v>28677</v>
      </c>
      <c r="H2981" t="s">
        <v>9998</v>
      </c>
      <c r="I2981" t="s">
        <v>28694</v>
      </c>
      <c r="J2981" t="s">
        <v>30816</v>
      </c>
      <c r="K2981" t="s">
        <v>37307</v>
      </c>
      <c r="M2981" t="s">
        <v>38102</v>
      </c>
      <c r="N2981" t="s">
        <v>41249</v>
      </c>
      <c r="O2981" t="s">
        <v>41250</v>
      </c>
      <c r="P2981">
        <v>0</v>
      </c>
      <c r="Q2981">
        <v>1</v>
      </c>
      <c r="R2981" t="s">
        <v>41252</v>
      </c>
      <c r="S2981" t="s">
        <v>41383</v>
      </c>
      <c r="T2981" t="s">
        <v>42736</v>
      </c>
      <c r="U2981" t="s">
        <v>45738</v>
      </c>
      <c r="W2981" t="s">
        <v>38102</v>
      </c>
      <c r="X2981" t="s">
        <v>41254</v>
      </c>
    </row>
    <row r="2982" spans="1:24">
      <c r="A2982">
        <f>HYPERLINK("https://www.philgeps.gov.ph/GEPSNONPILOT/Tender/SplashBidNoticeAbstractUI.aspx?menuIndex=3&amp;refID=7073959&amp;Result=3","7073959")</f>
        <v>0</v>
      </c>
      <c r="B2982" t="s">
        <v>124</v>
      </c>
      <c r="C2982" t="s">
        <v>6236</v>
      </c>
      <c r="E2982" t="s">
        <v>19425</v>
      </c>
      <c r="F2982" t="s">
        <v>28669</v>
      </c>
      <c r="G2982" t="s">
        <v>28675</v>
      </c>
      <c r="H2982" t="s">
        <v>9998</v>
      </c>
      <c r="I2982" t="s">
        <v>28690</v>
      </c>
      <c r="J2982" t="s">
        <v>30817</v>
      </c>
      <c r="K2982" t="s">
        <v>37206</v>
      </c>
      <c r="M2982" t="s">
        <v>37600</v>
      </c>
      <c r="N2982" t="s">
        <v>41249</v>
      </c>
      <c r="O2982" t="s">
        <v>41250</v>
      </c>
      <c r="P2982">
        <v>0</v>
      </c>
      <c r="Q2982">
        <v>6</v>
      </c>
      <c r="R2982" t="s">
        <v>41252</v>
      </c>
      <c r="S2982" t="s">
        <v>41383</v>
      </c>
      <c r="T2982" t="s">
        <v>42726</v>
      </c>
      <c r="U2982" t="s">
        <v>45739</v>
      </c>
      <c r="V2982" t="s">
        <v>54480</v>
      </c>
      <c r="W2982" t="s">
        <v>37600</v>
      </c>
      <c r="X2982" t="s">
        <v>41254</v>
      </c>
    </row>
    <row r="2983" spans="1:24">
      <c r="A2983">
        <f>HYPERLINK("https://www.philgeps.gov.ph/GEPSNONPILOT/Tender/SplashBidNoticeAbstractUI.aspx?menuIndex=3&amp;refID=7073949&amp;Result=3","7073949")</f>
        <v>0</v>
      </c>
      <c r="B2983" t="s">
        <v>1190</v>
      </c>
      <c r="C2983" t="s">
        <v>6237</v>
      </c>
      <c r="D2983" t="s">
        <v>16626</v>
      </c>
      <c r="E2983" t="s">
        <v>19426</v>
      </c>
      <c r="F2983" t="s">
        <v>28669</v>
      </c>
      <c r="G2983" t="s">
        <v>28676</v>
      </c>
      <c r="H2983" t="s">
        <v>9998</v>
      </c>
      <c r="I2983" t="s">
        <v>28690</v>
      </c>
      <c r="J2983" t="s">
        <v>28879</v>
      </c>
      <c r="K2983" t="s">
        <v>37210</v>
      </c>
      <c r="M2983" t="s">
        <v>38730</v>
      </c>
      <c r="N2983" t="s">
        <v>41249</v>
      </c>
      <c r="O2983" t="s">
        <v>41250</v>
      </c>
      <c r="P2983">
        <v>0</v>
      </c>
      <c r="Q2983">
        <v>2</v>
      </c>
      <c r="R2983" t="s">
        <v>41252</v>
      </c>
      <c r="S2983" t="s">
        <v>41383</v>
      </c>
      <c r="T2983" t="s">
        <v>42729</v>
      </c>
      <c r="U2983" t="s">
        <v>45740</v>
      </c>
      <c r="W2983" t="s">
        <v>55944</v>
      </c>
      <c r="X2983" t="s">
        <v>41254</v>
      </c>
    </row>
    <row r="2984" spans="1:24">
      <c r="A2984">
        <f>HYPERLINK("https://www.philgeps.gov.ph/GEPSNONPILOT/Tender/SplashBidNoticeAbstractUI.aspx?menuIndex=3&amp;refID=7073958&amp;Result=3","7073958")</f>
        <v>0</v>
      </c>
      <c r="B2984" t="s">
        <v>557</v>
      </c>
      <c r="C2984" t="s">
        <v>6238</v>
      </c>
      <c r="D2984" t="s">
        <v>16608</v>
      </c>
      <c r="E2984" t="s">
        <v>19427</v>
      </c>
      <c r="F2984" t="s">
        <v>28669</v>
      </c>
      <c r="G2984" t="s">
        <v>28676</v>
      </c>
      <c r="H2984" t="s">
        <v>9998</v>
      </c>
      <c r="I2984" t="s">
        <v>28714</v>
      </c>
      <c r="J2984" t="s">
        <v>29263</v>
      </c>
      <c r="K2984" t="s">
        <v>37204</v>
      </c>
      <c r="M2984" t="s">
        <v>38050</v>
      </c>
      <c r="N2984" t="s">
        <v>41249</v>
      </c>
      <c r="O2984" t="s">
        <v>41250</v>
      </c>
      <c r="P2984">
        <v>0</v>
      </c>
      <c r="Q2984">
        <v>2</v>
      </c>
      <c r="R2984" t="s">
        <v>41252</v>
      </c>
      <c r="S2984" t="s">
        <v>41383</v>
      </c>
      <c r="T2984" t="s">
        <v>42742</v>
      </c>
      <c r="U2984" t="s">
        <v>45741</v>
      </c>
      <c r="V2984" t="s">
        <v>54379</v>
      </c>
      <c r="W2984" t="s">
        <v>38050</v>
      </c>
      <c r="X2984" t="s">
        <v>41254</v>
      </c>
    </row>
    <row r="2985" spans="1:24">
      <c r="A2985">
        <f>HYPERLINK("https://www.philgeps.gov.ph/GEPSNONPILOT/Tender/SplashBidNoticeAbstractUI.aspx?menuIndex=3&amp;refID=7073970&amp;Result=3","7073970")</f>
        <v>0</v>
      </c>
      <c r="B2985" t="s">
        <v>502</v>
      </c>
      <c r="C2985" t="s">
        <v>6239</v>
      </c>
      <c r="D2985" t="s">
        <v>16646</v>
      </c>
      <c r="E2985" t="s">
        <v>19428</v>
      </c>
      <c r="F2985" t="s">
        <v>28669</v>
      </c>
      <c r="G2985" t="s">
        <v>28676</v>
      </c>
      <c r="H2985" t="s">
        <v>9998</v>
      </c>
      <c r="I2985" t="s">
        <v>5213</v>
      </c>
      <c r="J2985" t="s">
        <v>30818</v>
      </c>
      <c r="K2985" t="s">
        <v>37206</v>
      </c>
      <c r="M2985" t="s">
        <v>38775</v>
      </c>
      <c r="N2985" t="s">
        <v>41249</v>
      </c>
      <c r="O2985" t="s">
        <v>41250</v>
      </c>
      <c r="P2985">
        <v>0</v>
      </c>
      <c r="Q2985">
        <v>1</v>
      </c>
      <c r="R2985" t="s">
        <v>41252</v>
      </c>
      <c r="S2985" t="s">
        <v>41383</v>
      </c>
      <c r="T2985" t="s">
        <v>42867</v>
      </c>
      <c r="U2985" t="s">
        <v>45742</v>
      </c>
      <c r="W2985" t="s">
        <v>38775</v>
      </c>
      <c r="X2985" t="s">
        <v>41254</v>
      </c>
    </row>
    <row r="2986" spans="1:24">
      <c r="A2986">
        <f>HYPERLINK("https://www.philgeps.gov.ph/GEPSNONPILOT/Tender/SplashBidNoticeAbstractUI.aspx?menuIndex=3&amp;refID=7073989&amp;Result=3","7073989")</f>
        <v>0</v>
      </c>
      <c r="B2986" t="s">
        <v>59</v>
      </c>
      <c r="C2986" t="s">
        <v>6240</v>
      </c>
      <c r="D2986" t="s">
        <v>16636</v>
      </c>
      <c r="E2986" t="s">
        <v>17637</v>
      </c>
      <c r="F2986" t="s">
        <v>28669</v>
      </c>
      <c r="G2986" t="s">
        <v>28676</v>
      </c>
      <c r="H2986" t="s">
        <v>9998</v>
      </c>
      <c r="I2986" t="s">
        <v>28712</v>
      </c>
      <c r="J2986" t="s">
        <v>28894</v>
      </c>
      <c r="K2986" t="s">
        <v>37209</v>
      </c>
      <c r="M2986" t="s">
        <v>37534</v>
      </c>
      <c r="N2986" t="s">
        <v>41249</v>
      </c>
      <c r="O2986" t="s">
        <v>41250</v>
      </c>
      <c r="P2986">
        <v>0</v>
      </c>
      <c r="Q2986">
        <v>1</v>
      </c>
      <c r="R2986" t="s">
        <v>41252</v>
      </c>
      <c r="S2986" t="s">
        <v>41383</v>
      </c>
      <c r="T2986" t="s">
        <v>42758</v>
      </c>
      <c r="U2986" t="s">
        <v>45051</v>
      </c>
      <c r="W2986" t="s">
        <v>37534</v>
      </c>
      <c r="X2986" t="s">
        <v>41254</v>
      </c>
    </row>
    <row r="2987" spans="1:24">
      <c r="A2987">
        <f>HYPERLINK("https://www.philgeps.gov.ph/GEPSNONPILOT/Tender/SplashBidNoticeAbstractUI.aspx?menuIndex=3&amp;refID=7073987&amp;Result=3","7073987")</f>
        <v>0</v>
      </c>
      <c r="B2987" t="s">
        <v>1231</v>
      </c>
      <c r="C2987" t="s">
        <v>6241</v>
      </c>
      <c r="D2987" t="s">
        <v>16661</v>
      </c>
      <c r="E2987" t="s">
        <v>19429</v>
      </c>
      <c r="F2987" t="s">
        <v>28669</v>
      </c>
      <c r="G2987" t="s">
        <v>28678</v>
      </c>
      <c r="H2987" t="s">
        <v>9998</v>
      </c>
      <c r="I2987" t="s">
        <v>28688</v>
      </c>
      <c r="J2987" t="s">
        <v>28826</v>
      </c>
      <c r="K2987" t="s">
        <v>37209</v>
      </c>
      <c r="M2987" t="s">
        <v>38776</v>
      </c>
      <c r="N2987" t="s">
        <v>41249</v>
      </c>
      <c r="O2987" t="s">
        <v>41250</v>
      </c>
      <c r="P2987">
        <v>0</v>
      </c>
      <c r="Q2987">
        <v>6</v>
      </c>
      <c r="R2987" t="s">
        <v>41252</v>
      </c>
      <c r="S2987" t="s">
        <v>41383</v>
      </c>
      <c r="T2987" t="s">
        <v>42758</v>
      </c>
      <c r="U2987" t="s">
        <v>45743</v>
      </c>
      <c r="W2987" t="s">
        <v>38776</v>
      </c>
      <c r="X2987" t="s">
        <v>41254</v>
      </c>
    </row>
    <row r="2988" spans="1:24">
      <c r="A2988">
        <f>HYPERLINK("https://www.philgeps.gov.ph/GEPSNONPILOT/Tender/SplashBidNoticeAbstractUI.aspx?menuIndex=3&amp;refID=7073965&amp;Result=3","7073965")</f>
        <v>0</v>
      </c>
      <c r="B2988" t="s">
        <v>595</v>
      </c>
      <c r="C2988" t="s">
        <v>6242</v>
      </c>
      <c r="D2988" t="s">
        <v>16654</v>
      </c>
      <c r="E2988" t="s">
        <v>19430</v>
      </c>
      <c r="F2988" t="s">
        <v>28669</v>
      </c>
      <c r="G2988" t="s">
        <v>28675</v>
      </c>
      <c r="H2988" t="s">
        <v>9998</v>
      </c>
      <c r="I2988" t="s">
        <v>28695</v>
      </c>
      <c r="J2988" t="s">
        <v>30819</v>
      </c>
      <c r="K2988" t="s">
        <v>37213</v>
      </c>
      <c r="M2988" t="s">
        <v>38094</v>
      </c>
      <c r="N2988" t="s">
        <v>41249</v>
      </c>
      <c r="O2988" t="s">
        <v>41250</v>
      </c>
      <c r="P2988">
        <v>0</v>
      </c>
      <c r="Q2988">
        <v>1</v>
      </c>
      <c r="R2988" t="s">
        <v>41252</v>
      </c>
      <c r="S2988" t="s">
        <v>41383</v>
      </c>
      <c r="T2988" t="s">
        <v>42759</v>
      </c>
      <c r="U2988" t="s">
        <v>45744</v>
      </c>
      <c r="W2988" t="s">
        <v>38094</v>
      </c>
      <c r="X2988" t="s">
        <v>41254</v>
      </c>
    </row>
    <row r="2989" spans="1:24">
      <c r="A2989">
        <f>HYPERLINK("https://www.philgeps.gov.ph/GEPSNONPILOT/Tender/SplashBidNoticeAbstractUI.aspx?menuIndex=3&amp;refID=7073996&amp;Result=3","7073996")</f>
        <v>0</v>
      </c>
      <c r="B2989" t="s">
        <v>533</v>
      </c>
      <c r="C2989" t="s">
        <v>6243</v>
      </c>
      <c r="D2989" t="s">
        <v>16641</v>
      </c>
      <c r="E2989" t="s">
        <v>19431</v>
      </c>
      <c r="F2989" t="s">
        <v>28669</v>
      </c>
      <c r="G2989" t="s">
        <v>28675</v>
      </c>
      <c r="H2989" t="s">
        <v>9998</v>
      </c>
      <c r="I2989" t="s">
        <v>28689</v>
      </c>
      <c r="J2989" t="s">
        <v>30777</v>
      </c>
      <c r="K2989" t="s">
        <v>37220</v>
      </c>
      <c r="M2989" t="s">
        <v>38769</v>
      </c>
      <c r="N2989" t="s">
        <v>41249</v>
      </c>
      <c r="O2989" t="s">
        <v>41250</v>
      </c>
      <c r="P2989">
        <v>0</v>
      </c>
      <c r="Q2989">
        <v>0</v>
      </c>
      <c r="R2989" t="s">
        <v>41252</v>
      </c>
      <c r="S2989" t="s">
        <v>41383</v>
      </c>
      <c r="T2989" t="s">
        <v>42672</v>
      </c>
      <c r="U2989" t="s">
        <v>45745</v>
      </c>
      <c r="W2989" t="s">
        <v>38769</v>
      </c>
      <c r="X2989" t="s">
        <v>41254</v>
      </c>
    </row>
    <row r="2990" spans="1:24">
      <c r="A2990">
        <f>HYPERLINK("https://www.philgeps.gov.ph/GEPSNONPILOT/Tender/SplashBidNoticeAbstractUI.aspx?menuIndex=3&amp;refID=7073957&amp;Result=3","7073957")</f>
        <v>0</v>
      </c>
      <c r="B2990" t="s">
        <v>1232</v>
      </c>
      <c r="C2990" t="s">
        <v>6244</v>
      </c>
      <c r="D2990" t="s">
        <v>16619</v>
      </c>
      <c r="E2990" t="s">
        <v>19432</v>
      </c>
      <c r="F2990" t="s">
        <v>28671</v>
      </c>
      <c r="G2990" t="s">
        <v>28678</v>
      </c>
      <c r="H2990" t="s">
        <v>9998</v>
      </c>
      <c r="I2990" t="s">
        <v>5213</v>
      </c>
      <c r="J2990" t="s">
        <v>30820</v>
      </c>
      <c r="K2990" t="s">
        <v>37209</v>
      </c>
      <c r="M2990" t="s">
        <v>38777</v>
      </c>
      <c r="N2990" t="s">
        <v>41249</v>
      </c>
      <c r="O2990" t="s">
        <v>41250</v>
      </c>
      <c r="P2990">
        <v>0</v>
      </c>
      <c r="Q2990">
        <v>1</v>
      </c>
      <c r="R2990" t="s">
        <v>41252</v>
      </c>
      <c r="S2990" t="s">
        <v>41383</v>
      </c>
      <c r="T2990" t="s">
        <v>42742</v>
      </c>
      <c r="U2990" t="s">
        <v>45746</v>
      </c>
      <c r="W2990" t="s">
        <v>38777</v>
      </c>
      <c r="X2990" t="s">
        <v>41254</v>
      </c>
    </row>
    <row r="2991" spans="1:24">
      <c r="A2991">
        <f>HYPERLINK("https://www.philgeps.gov.ph/GEPSNONPILOT/Tender/SplashBidNoticeAbstractUI.aspx?menuIndex=3&amp;refID=7073969&amp;Result=3","7073969")</f>
        <v>0</v>
      </c>
      <c r="B2991" t="s">
        <v>478</v>
      </c>
      <c r="C2991" t="s">
        <v>6245</v>
      </c>
      <c r="D2991" t="s">
        <v>16625</v>
      </c>
      <c r="E2991" t="s">
        <v>19433</v>
      </c>
      <c r="F2991" t="s">
        <v>28669</v>
      </c>
      <c r="G2991" t="s">
        <v>28678</v>
      </c>
      <c r="H2991" t="s">
        <v>9998</v>
      </c>
      <c r="I2991" t="s">
        <v>6128</v>
      </c>
      <c r="J2991" t="s">
        <v>30821</v>
      </c>
      <c r="K2991" t="s">
        <v>37205</v>
      </c>
      <c r="M2991" t="s">
        <v>37966</v>
      </c>
      <c r="N2991" t="s">
        <v>41249</v>
      </c>
      <c r="O2991" t="s">
        <v>41250</v>
      </c>
      <c r="P2991">
        <v>0</v>
      </c>
      <c r="Q2991">
        <v>4</v>
      </c>
      <c r="R2991" t="s">
        <v>41252</v>
      </c>
      <c r="S2991" t="s">
        <v>41383</v>
      </c>
      <c r="T2991" t="s">
        <v>42748</v>
      </c>
      <c r="U2991" t="s">
        <v>44003</v>
      </c>
      <c r="W2991" t="s">
        <v>37966</v>
      </c>
      <c r="X2991" t="s">
        <v>41254</v>
      </c>
    </row>
    <row r="2992" spans="1:24">
      <c r="A2992">
        <f>HYPERLINK("https://www.philgeps.gov.ph/GEPSNONPILOT/Tender/SplashBidNoticeAbstractUI.aspx?menuIndex=3&amp;refID=7073964&amp;Result=3","7073964")</f>
        <v>0</v>
      </c>
      <c r="B2992" t="s">
        <v>972</v>
      </c>
      <c r="C2992" t="s">
        <v>6246</v>
      </c>
      <c r="D2992" t="s">
        <v>16658</v>
      </c>
      <c r="E2992" t="s">
        <v>19434</v>
      </c>
      <c r="F2992" t="s">
        <v>28669</v>
      </c>
      <c r="G2992" t="s">
        <v>28676</v>
      </c>
      <c r="H2992" t="s">
        <v>9998</v>
      </c>
      <c r="I2992" t="s">
        <v>28729</v>
      </c>
      <c r="J2992" t="s">
        <v>29308</v>
      </c>
      <c r="K2992" t="s">
        <v>37205</v>
      </c>
      <c r="M2992" t="s">
        <v>38497</v>
      </c>
      <c r="N2992" t="s">
        <v>41249</v>
      </c>
      <c r="O2992" t="s">
        <v>41250</v>
      </c>
      <c r="P2992">
        <v>0</v>
      </c>
      <c r="Q2992">
        <v>5</v>
      </c>
      <c r="R2992" t="s">
        <v>41252</v>
      </c>
      <c r="S2992" t="s">
        <v>41383</v>
      </c>
      <c r="T2992" t="s">
        <v>42917</v>
      </c>
      <c r="U2992" t="s">
        <v>45747</v>
      </c>
      <c r="V2992" t="s">
        <v>54608</v>
      </c>
      <c r="W2992" t="s">
        <v>38497</v>
      </c>
      <c r="X2992" t="s">
        <v>41254</v>
      </c>
    </row>
    <row r="2993" spans="1:24">
      <c r="A2993">
        <f>HYPERLINK("https://www.philgeps.gov.ph/GEPSNONPILOT/Tender/SplashBidNoticeAbstractUI.aspx?menuIndex=3&amp;refID=7073990&amp;Result=3","7073990")</f>
        <v>0</v>
      </c>
      <c r="B2993" t="s">
        <v>310</v>
      </c>
      <c r="C2993" t="s">
        <v>6247</v>
      </c>
      <c r="D2993" t="s">
        <v>16635</v>
      </c>
      <c r="E2993" t="s">
        <v>19435</v>
      </c>
      <c r="F2993" t="s">
        <v>28669</v>
      </c>
      <c r="G2993" t="s">
        <v>28676</v>
      </c>
      <c r="H2993" t="s">
        <v>9998</v>
      </c>
      <c r="I2993" t="s">
        <v>8667</v>
      </c>
      <c r="J2993" t="s">
        <v>28905</v>
      </c>
      <c r="K2993" t="s">
        <v>37209</v>
      </c>
      <c r="M2993" t="s">
        <v>37789</v>
      </c>
      <c r="N2993" t="s">
        <v>41249</v>
      </c>
      <c r="O2993" t="s">
        <v>41250</v>
      </c>
      <c r="P2993">
        <v>0</v>
      </c>
      <c r="Q2993">
        <v>0</v>
      </c>
      <c r="R2993" t="s">
        <v>41252</v>
      </c>
      <c r="S2993" t="s">
        <v>41383</v>
      </c>
      <c r="T2993" t="s">
        <v>42738</v>
      </c>
      <c r="U2993" t="s">
        <v>45748</v>
      </c>
      <c r="W2993" t="s">
        <v>37789</v>
      </c>
      <c r="X2993" t="s">
        <v>41254</v>
      </c>
    </row>
    <row r="2994" spans="1:24">
      <c r="A2994">
        <f>HYPERLINK("https://www.philgeps.gov.ph/GEPSNONPILOT/Tender/SplashBidNoticeAbstractUI.aspx?menuIndex=3&amp;refID=7073986&amp;Result=3","7073986")</f>
        <v>0</v>
      </c>
      <c r="B2994" t="s">
        <v>1233</v>
      </c>
      <c r="C2994" t="s">
        <v>6248</v>
      </c>
      <c r="D2994" t="s">
        <v>16644</v>
      </c>
      <c r="E2994" t="s">
        <v>19436</v>
      </c>
      <c r="F2994" t="s">
        <v>28669</v>
      </c>
      <c r="G2994" t="s">
        <v>28677</v>
      </c>
      <c r="H2994" t="s">
        <v>9998</v>
      </c>
      <c r="I2994" t="s">
        <v>5286</v>
      </c>
      <c r="J2994" t="s">
        <v>30822</v>
      </c>
      <c r="K2994" t="s">
        <v>37204</v>
      </c>
      <c r="M2994" t="s">
        <v>38778</v>
      </c>
      <c r="N2994" t="s">
        <v>41249</v>
      </c>
      <c r="O2994" t="s">
        <v>41250</v>
      </c>
      <c r="P2994">
        <v>0</v>
      </c>
      <c r="Q2994">
        <v>1</v>
      </c>
      <c r="R2994" t="s">
        <v>41252</v>
      </c>
      <c r="S2994" t="s">
        <v>41383</v>
      </c>
      <c r="T2994" t="s">
        <v>42728</v>
      </c>
      <c r="U2994" t="s">
        <v>45749</v>
      </c>
      <c r="W2994" t="s">
        <v>38778</v>
      </c>
      <c r="X2994" t="s">
        <v>41254</v>
      </c>
    </row>
    <row r="2995" spans="1:24">
      <c r="A2995">
        <f>HYPERLINK("https://www.philgeps.gov.ph/GEPSNONPILOT/Tender/SplashBidNoticeAbstractUI.aspx?menuIndex=3&amp;refID=7073984&amp;Result=3","7073984")</f>
        <v>0</v>
      </c>
      <c r="B2995" t="s">
        <v>1234</v>
      </c>
      <c r="C2995" t="s">
        <v>6249</v>
      </c>
      <c r="D2995" t="s">
        <v>16614</v>
      </c>
      <c r="E2995" t="s">
        <v>19437</v>
      </c>
      <c r="F2995" t="s">
        <v>28669</v>
      </c>
      <c r="G2995" t="s">
        <v>28675</v>
      </c>
      <c r="H2995" t="s">
        <v>28686</v>
      </c>
      <c r="I2995" t="s">
        <v>28689</v>
      </c>
      <c r="J2995" t="s">
        <v>30823</v>
      </c>
      <c r="K2995" t="s">
        <v>37269</v>
      </c>
      <c r="M2995" t="s">
        <v>38779</v>
      </c>
      <c r="N2995" t="s">
        <v>41249</v>
      </c>
      <c r="O2995" t="s">
        <v>41250</v>
      </c>
      <c r="P2995">
        <v>0</v>
      </c>
      <c r="Q2995">
        <v>0</v>
      </c>
      <c r="R2995" t="s">
        <v>41252</v>
      </c>
      <c r="S2995" t="s">
        <v>41383</v>
      </c>
      <c r="T2995" t="s">
        <v>42742</v>
      </c>
      <c r="U2995" t="s">
        <v>45750</v>
      </c>
      <c r="V2995" t="s">
        <v>54609</v>
      </c>
      <c r="W2995" t="s">
        <v>38779</v>
      </c>
      <c r="X2995" t="s">
        <v>41254</v>
      </c>
    </row>
    <row r="2996" spans="1:24">
      <c r="A2996">
        <f>HYPERLINK("https://www.philgeps.gov.ph/GEPSNONPILOT/Tender/SplashBidNoticeAbstractUI.aspx?menuIndex=3&amp;refID=7073981&amp;Result=3","7073981")</f>
        <v>0</v>
      </c>
      <c r="B2996" t="s">
        <v>1001</v>
      </c>
      <c r="C2996" t="s">
        <v>6250</v>
      </c>
      <c r="D2996" t="s">
        <v>16677</v>
      </c>
      <c r="E2996" t="s">
        <v>19438</v>
      </c>
      <c r="F2996" t="s">
        <v>28669</v>
      </c>
      <c r="G2996" t="s">
        <v>28675</v>
      </c>
      <c r="H2996" t="s">
        <v>28686</v>
      </c>
      <c r="I2996" t="s">
        <v>28689</v>
      </c>
      <c r="J2996" t="s">
        <v>30503</v>
      </c>
      <c r="K2996" t="s">
        <v>37215</v>
      </c>
      <c r="M2996" t="s">
        <v>38529</v>
      </c>
      <c r="N2996" t="s">
        <v>41249</v>
      </c>
      <c r="O2996" t="s">
        <v>41250</v>
      </c>
      <c r="P2996">
        <v>0</v>
      </c>
      <c r="Q2996">
        <v>0</v>
      </c>
      <c r="R2996" t="s">
        <v>41252</v>
      </c>
      <c r="S2996" t="s">
        <v>41383</v>
      </c>
      <c r="T2996" t="s">
        <v>42911</v>
      </c>
      <c r="U2996" t="s">
        <v>45302</v>
      </c>
      <c r="W2996" t="s">
        <v>38529</v>
      </c>
      <c r="X2996" t="s">
        <v>41254</v>
      </c>
    </row>
    <row r="2997" spans="1:24">
      <c r="A2997">
        <f>HYPERLINK("https://www.philgeps.gov.ph/GEPSNONPILOT/Tender/SplashBidNoticeAbstractUI.aspx?menuIndex=3&amp;refID=7073993&amp;Result=3","7073993")</f>
        <v>0</v>
      </c>
      <c r="B2997" t="s">
        <v>700</v>
      </c>
      <c r="C2997" t="s">
        <v>6251</v>
      </c>
      <c r="D2997" t="s">
        <v>16620</v>
      </c>
      <c r="E2997" t="s">
        <v>19439</v>
      </c>
      <c r="F2997" t="s">
        <v>28669</v>
      </c>
      <c r="G2997" t="s">
        <v>28677</v>
      </c>
      <c r="H2997" t="s">
        <v>9998</v>
      </c>
      <c r="I2997" t="s">
        <v>3718</v>
      </c>
      <c r="J2997" t="s">
        <v>28826</v>
      </c>
      <c r="K2997" t="s">
        <v>37205</v>
      </c>
      <c r="M2997" t="s">
        <v>38780</v>
      </c>
      <c r="N2997" t="s">
        <v>41249</v>
      </c>
      <c r="O2997" t="s">
        <v>41250</v>
      </c>
      <c r="P2997">
        <v>0</v>
      </c>
      <c r="Q2997">
        <v>1</v>
      </c>
      <c r="R2997" t="s">
        <v>41252</v>
      </c>
      <c r="S2997" t="s">
        <v>41383</v>
      </c>
      <c r="T2997" t="s">
        <v>42736</v>
      </c>
      <c r="U2997" t="s">
        <v>45751</v>
      </c>
      <c r="V2997" t="s">
        <v>54610</v>
      </c>
      <c r="W2997" t="s">
        <v>38780</v>
      </c>
      <c r="X2997" t="s">
        <v>41254</v>
      </c>
    </row>
    <row r="2998" spans="1:24">
      <c r="A2998">
        <f>HYPERLINK("https://www.philgeps.gov.ph/GEPSNONPILOT/Tender/SplashBidNoticeAbstractUI.aspx?menuIndex=3&amp;refID=7073979&amp;Result=3","7073979")</f>
        <v>0</v>
      </c>
      <c r="B2998" t="s">
        <v>51</v>
      </c>
      <c r="C2998" t="s">
        <v>6252</v>
      </c>
      <c r="D2998" t="s">
        <v>16631</v>
      </c>
      <c r="E2998" t="s">
        <v>19440</v>
      </c>
      <c r="F2998" t="s">
        <v>28669</v>
      </c>
      <c r="G2998" t="s">
        <v>28676</v>
      </c>
      <c r="H2998" t="s">
        <v>9998</v>
      </c>
      <c r="I2998" t="s">
        <v>28690</v>
      </c>
      <c r="J2998" t="s">
        <v>30824</v>
      </c>
      <c r="K2998" t="s">
        <v>37204</v>
      </c>
      <c r="M2998" t="s">
        <v>38699</v>
      </c>
      <c r="N2998" t="s">
        <v>41249</v>
      </c>
      <c r="O2998" t="s">
        <v>41250</v>
      </c>
      <c r="P2998">
        <v>0</v>
      </c>
      <c r="Q2998">
        <v>2</v>
      </c>
      <c r="R2998" t="s">
        <v>41252</v>
      </c>
      <c r="S2998" t="s">
        <v>41383</v>
      </c>
      <c r="T2998" t="s">
        <v>42670</v>
      </c>
      <c r="U2998" t="s">
        <v>45752</v>
      </c>
      <c r="W2998" t="s">
        <v>38699</v>
      </c>
      <c r="X2998" t="s">
        <v>41254</v>
      </c>
    </row>
    <row r="2999" spans="1:24">
      <c r="A2999">
        <f>HYPERLINK("https://www.philgeps.gov.ph/GEPSNONPILOT/Tender/SplashBidNoticeAbstractUI.aspx?menuIndex=3&amp;refID=7073978&amp;Result=3","7073978")</f>
        <v>0</v>
      </c>
      <c r="B2999" t="s">
        <v>295</v>
      </c>
      <c r="C2999" t="s">
        <v>6253</v>
      </c>
      <c r="D2999" t="s">
        <v>16664</v>
      </c>
      <c r="E2999" t="s">
        <v>19441</v>
      </c>
      <c r="F2999" t="s">
        <v>28669</v>
      </c>
      <c r="G2999" t="s">
        <v>28675</v>
      </c>
      <c r="H2999" t="s">
        <v>28686</v>
      </c>
      <c r="I2999" t="s">
        <v>28689</v>
      </c>
      <c r="J2999" t="s">
        <v>30825</v>
      </c>
      <c r="K2999" t="s">
        <v>37290</v>
      </c>
      <c r="M2999" t="s">
        <v>37774</v>
      </c>
      <c r="N2999" t="s">
        <v>41249</v>
      </c>
      <c r="O2999" t="s">
        <v>41250</v>
      </c>
      <c r="P2999">
        <v>0</v>
      </c>
      <c r="Q2999">
        <v>2</v>
      </c>
      <c r="R2999" t="s">
        <v>41252</v>
      </c>
      <c r="S2999" t="s">
        <v>41383</v>
      </c>
      <c r="T2999" t="s">
        <v>42688</v>
      </c>
      <c r="U2999" t="s">
        <v>45753</v>
      </c>
      <c r="V2999" t="s">
        <v>54606</v>
      </c>
      <c r="W2999" t="s">
        <v>37774</v>
      </c>
      <c r="X2999" t="s">
        <v>41254</v>
      </c>
    </row>
    <row r="3000" spans="1:24">
      <c r="A3000">
        <f>HYPERLINK("https://www.philgeps.gov.ph/GEPSNONPILOT/Tender/SplashBidNoticeAbstractUI.aspx?menuIndex=3&amp;refID=7073956&amp;Result=3","7073956")</f>
        <v>0</v>
      </c>
      <c r="B3000" t="s">
        <v>1190</v>
      </c>
      <c r="C3000" t="s">
        <v>6254</v>
      </c>
      <c r="D3000" t="s">
        <v>16626</v>
      </c>
      <c r="E3000" t="s">
        <v>19442</v>
      </c>
      <c r="F3000" t="s">
        <v>28669</v>
      </c>
      <c r="G3000" t="s">
        <v>28676</v>
      </c>
      <c r="H3000" t="s">
        <v>9998</v>
      </c>
      <c r="I3000" t="s">
        <v>28693</v>
      </c>
      <c r="J3000" t="s">
        <v>30826</v>
      </c>
      <c r="K3000" t="s">
        <v>37210</v>
      </c>
      <c r="M3000" t="s">
        <v>38730</v>
      </c>
      <c r="N3000" t="s">
        <v>41249</v>
      </c>
      <c r="O3000" t="s">
        <v>41250</v>
      </c>
      <c r="P3000">
        <v>0</v>
      </c>
      <c r="Q3000">
        <v>6</v>
      </c>
      <c r="R3000" t="s">
        <v>41252</v>
      </c>
      <c r="S3000" t="s">
        <v>41383</v>
      </c>
      <c r="T3000" t="s">
        <v>42729</v>
      </c>
      <c r="U3000" t="s">
        <v>45754</v>
      </c>
      <c r="W3000" t="s">
        <v>55944</v>
      </c>
      <c r="X3000" t="s">
        <v>41254</v>
      </c>
    </row>
    <row r="3001" spans="1:24">
      <c r="A3001">
        <f>HYPERLINK("https://www.philgeps.gov.ph/GEPSNONPILOT/Tender/SplashBidNoticeAbstractUI.aspx?menuIndex=3&amp;refID=7073976&amp;Result=3","7073976")</f>
        <v>0</v>
      </c>
      <c r="B3001" t="s">
        <v>1125</v>
      </c>
      <c r="C3001" t="s">
        <v>6255</v>
      </c>
      <c r="D3001" t="s">
        <v>16616</v>
      </c>
      <c r="E3001" t="s">
        <v>19443</v>
      </c>
      <c r="F3001" t="s">
        <v>28669</v>
      </c>
      <c r="G3001" t="s">
        <v>28676</v>
      </c>
      <c r="H3001" t="s">
        <v>9998</v>
      </c>
      <c r="I3001" t="s">
        <v>28700</v>
      </c>
      <c r="J3001" t="s">
        <v>30827</v>
      </c>
      <c r="K3001" t="s">
        <v>37209</v>
      </c>
      <c r="M3001" t="s">
        <v>38659</v>
      </c>
      <c r="N3001" t="s">
        <v>41249</v>
      </c>
      <c r="O3001" t="s">
        <v>41250</v>
      </c>
      <c r="P3001">
        <v>0</v>
      </c>
      <c r="Q3001">
        <v>2</v>
      </c>
      <c r="R3001" t="s">
        <v>41252</v>
      </c>
      <c r="S3001" t="s">
        <v>41383</v>
      </c>
      <c r="T3001" t="s">
        <v>42764</v>
      </c>
      <c r="U3001" t="s">
        <v>45510</v>
      </c>
      <c r="W3001" t="s">
        <v>38659</v>
      </c>
      <c r="X3001" t="s">
        <v>41254</v>
      </c>
    </row>
    <row r="3002" spans="1:24">
      <c r="A3002">
        <f>HYPERLINK("https://www.philgeps.gov.ph/GEPSNONPILOT/Tender/SplashBidNoticeAbstractUI.aspx?menuIndex=3&amp;refID=7074025&amp;Result=3","7074025")</f>
        <v>0</v>
      </c>
      <c r="B3002" t="s">
        <v>909</v>
      </c>
      <c r="C3002" t="s">
        <v>6256</v>
      </c>
      <c r="D3002" t="s">
        <v>16662</v>
      </c>
      <c r="E3002" t="s">
        <v>19444</v>
      </c>
      <c r="F3002" t="s">
        <v>28669</v>
      </c>
      <c r="G3002" t="s">
        <v>28675</v>
      </c>
      <c r="H3002" t="s">
        <v>9998</v>
      </c>
      <c r="I3002" t="s">
        <v>28704</v>
      </c>
      <c r="J3002" t="s">
        <v>30828</v>
      </c>
      <c r="K3002" t="s">
        <v>37206</v>
      </c>
      <c r="M3002" t="s">
        <v>38431</v>
      </c>
      <c r="N3002" t="s">
        <v>41249</v>
      </c>
      <c r="O3002" t="s">
        <v>41250</v>
      </c>
      <c r="P3002">
        <v>0</v>
      </c>
      <c r="Q3002">
        <v>1</v>
      </c>
      <c r="R3002" t="s">
        <v>41252</v>
      </c>
      <c r="S3002" t="s">
        <v>41383</v>
      </c>
      <c r="T3002" t="s">
        <v>42688</v>
      </c>
      <c r="U3002" t="s">
        <v>45755</v>
      </c>
      <c r="W3002" t="s">
        <v>38431</v>
      </c>
      <c r="X3002" t="s">
        <v>41254</v>
      </c>
    </row>
    <row r="3003" spans="1:24">
      <c r="A3003">
        <f>HYPERLINK("https://www.philgeps.gov.ph/GEPSNONPILOT/Tender/SplashBidNoticeAbstractUI.aspx?menuIndex=3&amp;refID=7073992&amp;Result=3","7073992")</f>
        <v>0</v>
      </c>
      <c r="B3003" t="s">
        <v>345</v>
      </c>
      <c r="C3003" t="s">
        <v>4705</v>
      </c>
      <c r="D3003" t="s">
        <v>16666</v>
      </c>
      <c r="E3003" t="s">
        <v>19445</v>
      </c>
      <c r="F3003" t="s">
        <v>28669</v>
      </c>
      <c r="G3003" t="s">
        <v>28676</v>
      </c>
      <c r="H3003" t="s">
        <v>9998</v>
      </c>
      <c r="I3003" t="s">
        <v>28690</v>
      </c>
      <c r="J3003" t="s">
        <v>29461</v>
      </c>
      <c r="K3003" t="s">
        <v>37209</v>
      </c>
      <c r="M3003" t="s">
        <v>37825</v>
      </c>
      <c r="N3003" t="s">
        <v>41249</v>
      </c>
      <c r="O3003" t="s">
        <v>41250</v>
      </c>
      <c r="P3003">
        <v>0</v>
      </c>
      <c r="Q3003">
        <v>9</v>
      </c>
      <c r="R3003" t="s">
        <v>41252</v>
      </c>
      <c r="S3003" t="s">
        <v>41383</v>
      </c>
      <c r="T3003" t="s">
        <v>42729</v>
      </c>
      <c r="U3003" t="s">
        <v>43748</v>
      </c>
      <c r="W3003" t="s">
        <v>37825</v>
      </c>
      <c r="X3003" t="s">
        <v>41254</v>
      </c>
    </row>
    <row r="3004" spans="1:24">
      <c r="A3004">
        <f>HYPERLINK("https://www.philgeps.gov.ph/GEPSNONPILOT/Tender/SplashBidNoticeAbstractUI.aspx?menuIndex=3&amp;refID=7073991&amp;Result=3","7073991")</f>
        <v>0</v>
      </c>
      <c r="B3004" t="s">
        <v>1235</v>
      </c>
      <c r="C3004" t="s">
        <v>6257</v>
      </c>
      <c r="D3004" t="s">
        <v>16645</v>
      </c>
      <c r="E3004" t="s">
        <v>19446</v>
      </c>
      <c r="F3004" t="s">
        <v>28669</v>
      </c>
      <c r="G3004" t="s">
        <v>28675</v>
      </c>
      <c r="H3004" t="s">
        <v>9998</v>
      </c>
      <c r="I3004" t="s">
        <v>7352</v>
      </c>
      <c r="J3004" t="s">
        <v>30829</v>
      </c>
      <c r="K3004" t="s">
        <v>37205</v>
      </c>
      <c r="M3004" t="s">
        <v>38781</v>
      </c>
      <c r="N3004" t="s">
        <v>41249</v>
      </c>
      <c r="O3004" t="s">
        <v>41250</v>
      </c>
      <c r="P3004">
        <v>0</v>
      </c>
      <c r="Q3004">
        <v>0</v>
      </c>
      <c r="R3004" t="s">
        <v>41252</v>
      </c>
      <c r="S3004" t="s">
        <v>41383</v>
      </c>
      <c r="T3004" t="s">
        <v>42759</v>
      </c>
      <c r="U3004" t="s">
        <v>45756</v>
      </c>
      <c r="W3004" t="s">
        <v>38781</v>
      </c>
      <c r="X3004" t="s">
        <v>41254</v>
      </c>
    </row>
    <row r="3005" spans="1:24">
      <c r="A3005">
        <f>HYPERLINK("https://www.philgeps.gov.ph/GEPSNONPILOT/Tender/SplashBidNoticeAbstractUI.aspx?menuIndex=3&amp;refID=7073983&amp;Result=3","7073983")</f>
        <v>0</v>
      </c>
      <c r="B3005" t="s">
        <v>1236</v>
      </c>
      <c r="C3005" t="s">
        <v>6258</v>
      </c>
      <c r="E3005" t="s">
        <v>17051</v>
      </c>
      <c r="F3005" t="s">
        <v>28669</v>
      </c>
      <c r="G3005" t="s">
        <v>28675</v>
      </c>
      <c r="H3005" t="s">
        <v>9998</v>
      </c>
      <c r="I3005" t="s">
        <v>28743</v>
      </c>
      <c r="J3005" t="s">
        <v>30830</v>
      </c>
      <c r="K3005" t="s">
        <v>37209</v>
      </c>
      <c r="M3005" t="s">
        <v>38782</v>
      </c>
      <c r="N3005" t="s">
        <v>41249</v>
      </c>
      <c r="O3005" t="s">
        <v>41250</v>
      </c>
      <c r="P3005">
        <v>0</v>
      </c>
      <c r="Q3005">
        <v>0</v>
      </c>
      <c r="R3005" t="s">
        <v>41252</v>
      </c>
      <c r="S3005" t="s">
        <v>41383</v>
      </c>
      <c r="T3005" t="s">
        <v>42716</v>
      </c>
      <c r="U3005" t="s">
        <v>45757</v>
      </c>
      <c r="W3005" t="s">
        <v>38782</v>
      </c>
      <c r="X3005" t="s">
        <v>41254</v>
      </c>
    </row>
    <row r="3006" spans="1:24">
      <c r="A3006">
        <f>HYPERLINK("https://www.philgeps.gov.ph/GEPSNONPILOT/Tender/SplashBidNoticeAbstractUI.aspx?menuIndex=3&amp;refID=7074024&amp;Result=3","7074024")</f>
        <v>0</v>
      </c>
      <c r="B3006" t="s">
        <v>1237</v>
      </c>
      <c r="C3006" t="s">
        <v>3747</v>
      </c>
      <c r="E3006" t="s">
        <v>18348</v>
      </c>
      <c r="F3006" t="s">
        <v>28669</v>
      </c>
      <c r="G3006" t="s">
        <v>28676</v>
      </c>
      <c r="H3006" t="s">
        <v>9998</v>
      </c>
      <c r="I3006" t="s">
        <v>6128</v>
      </c>
      <c r="J3006" t="s">
        <v>30831</v>
      </c>
      <c r="K3006" t="s">
        <v>37209</v>
      </c>
      <c r="M3006" t="s">
        <v>38783</v>
      </c>
      <c r="N3006" t="s">
        <v>41249</v>
      </c>
      <c r="O3006" t="s">
        <v>41250</v>
      </c>
      <c r="P3006">
        <v>0</v>
      </c>
      <c r="Q3006">
        <v>4</v>
      </c>
      <c r="R3006" t="s">
        <v>41252</v>
      </c>
      <c r="S3006" t="s">
        <v>41383</v>
      </c>
      <c r="T3006" t="s">
        <v>42758</v>
      </c>
      <c r="U3006" t="s">
        <v>45758</v>
      </c>
      <c r="W3006" t="s">
        <v>38783</v>
      </c>
      <c r="X3006" t="s">
        <v>41254</v>
      </c>
    </row>
    <row r="3007" spans="1:24">
      <c r="A3007">
        <f>HYPERLINK("https://www.philgeps.gov.ph/GEPSNONPILOT/Tender/SplashBidNoticeAbstractUI.aspx?menuIndex=3&amp;refID=7074022&amp;Result=3","7074022")</f>
        <v>0</v>
      </c>
      <c r="B3007" t="s">
        <v>1224</v>
      </c>
      <c r="C3007" t="s">
        <v>6259</v>
      </c>
      <c r="D3007" t="s">
        <v>16624</v>
      </c>
      <c r="E3007" t="s">
        <v>19447</v>
      </c>
      <c r="F3007" t="s">
        <v>28669</v>
      </c>
      <c r="G3007" t="s">
        <v>28676</v>
      </c>
      <c r="H3007" t="s">
        <v>9998</v>
      </c>
      <c r="I3007" t="s">
        <v>7352</v>
      </c>
      <c r="J3007" t="s">
        <v>28877</v>
      </c>
      <c r="K3007" t="s">
        <v>37209</v>
      </c>
      <c r="M3007" t="s">
        <v>38767</v>
      </c>
      <c r="N3007" t="s">
        <v>41249</v>
      </c>
      <c r="O3007" t="s">
        <v>41250</v>
      </c>
      <c r="P3007">
        <v>0</v>
      </c>
      <c r="Q3007">
        <v>0</v>
      </c>
      <c r="R3007" t="s">
        <v>41252</v>
      </c>
      <c r="S3007" t="s">
        <v>41383</v>
      </c>
      <c r="T3007" t="s">
        <v>42754</v>
      </c>
      <c r="U3007" t="s">
        <v>45759</v>
      </c>
      <c r="W3007" t="s">
        <v>38767</v>
      </c>
      <c r="X3007" t="s">
        <v>41254</v>
      </c>
    </row>
    <row r="3008" spans="1:24">
      <c r="A3008">
        <f>HYPERLINK("https://www.philgeps.gov.ph/GEPSNONPILOT/Tender/SplashBidNoticeAbstractUI.aspx?menuIndex=3&amp;refID=7073974&amp;Result=3","7073974")</f>
        <v>0</v>
      </c>
      <c r="B3008" t="s">
        <v>1190</v>
      </c>
      <c r="C3008" t="s">
        <v>6260</v>
      </c>
      <c r="D3008" t="s">
        <v>16626</v>
      </c>
      <c r="E3008" t="s">
        <v>19448</v>
      </c>
      <c r="F3008" t="s">
        <v>28669</v>
      </c>
      <c r="G3008" t="s">
        <v>28676</v>
      </c>
      <c r="H3008" t="s">
        <v>9998</v>
      </c>
      <c r="I3008" t="s">
        <v>28695</v>
      </c>
      <c r="J3008" t="s">
        <v>30832</v>
      </c>
      <c r="K3008" t="s">
        <v>37238</v>
      </c>
      <c r="M3008" t="s">
        <v>38730</v>
      </c>
      <c r="N3008" t="s">
        <v>41249</v>
      </c>
      <c r="O3008" t="s">
        <v>41250</v>
      </c>
      <c r="P3008">
        <v>0</v>
      </c>
      <c r="Q3008">
        <v>0</v>
      </c>
      <c r="R3008" t="s">
        <v>41252</v>
      </c>
      <c r="S3008" t="s">
        <v>41383</v>
      </c>
      <c r="T3008" t="s">
        <v>42729</v>
      </c>
      <c r="U3008" t="s">
        <v>45760</v>
      </c>
      <c r="W3008" t="s">
        <v>55944</v>
      </c>
      <c r="X3008" t="s">
        <v>41254</v>
      </c>
    </row>
    <row r="3009" spans="1:24">
      <c r="A3009">
        <f>HYPERLINK("https://www.philgeps.gov.ph/GEPSNONPILOT/Tender/SplashBidNoticeAbstractUI.aspx?menuIndex=3&amp;refID=7073982&amp;Result=3","7073982")</f>
        <v>0</v>
      </c>
      <c r="B3009" t="s">
        <v>1190</v>
      </c>
      <c r="C3009" t="s">
        <v>6261</v>
      </c>
      <c r="D3009" t="s">
        <v>16626</v>
      </c>
      <c r="E3009" t="s">
        <v>19449</v>
      </c>
      <c r="F3009" t="s">
        <v>28669</v>
      </c>
      <c r="G3009" t="s">
        <v>28676</v>
      </c>
      <c r="H3009" t="s">
        <v>9998</v>
      </c>
      <c r="I3009" t="s">
        <v>8667</v>
      </c>
      <c r="J3009" t="s">
        <v>30833</v>
      </c>
      <c r="K3009" t="s">
        <v>37210</v>
      </c>
      <c r="M3009" t="s">
        <v>38730</v>
      </c>
      <c r="N3009" t="s">
        <v>41249</v>
      </c>
      <c r="O3009" t="s">
        <v>41250</v>
      </c>
      <c r="P3009">
        <v>0</v>
      </c>
      <c r="Q3009">
        <v>0</v>
      </c>
      <c r="R3009" t="s">
        <v>41252</v>
      </c>
      <c r="S3009" t="s">
        <v>41383</v>
      </c>
      <c r="T3009" t="s">
        <v>42729</v>
      </c>
      <c r="U3009" t="s">
        <v>45761</v>
      </c>
      <c r="W3009" t="s">
        <v>55944</v>
      </c>
      <c r="X3009" t="s">
        <v>41254</v>
      </c>
    </row>
    <row r="3010" spans="1:24">
      <c r="A3010">
        <f>HYPERLINK("https://www.philgeps.gov.ph/GEPSNONPILOT/Tender/SplashBidNoticeAbstractUI.aspx?menuIndex=3&amp;refID=7074015&amp;Result=3","7074015")</f>
        <v>0</v>
      </c>
      <c r="B3010" t="s">
        <v>744</v>
      </c>
      <c r="C3010" t="s">
        <v>6262</v>
      </c>
      <c r="D3010" t="s">
        <v>16608</v>
      </c>
      <c r="E3010" t="s">
        <v>6262</v>
      </c>
      <c r="F3010" t="s">
        <v>28669</v>
      </c>
      <c r="G3010" t="s">
        <v>28677</v>
      </c>
      <c r="H3010" t="s">
        <v>9998</v>
      </c>
      <c r="I3010" t="s">
        <v>6128</v>
      </c>
      <c r="J3010" t="s">
        <v>30834</v>
      </c>
      <c r="K3010" t="s">
        <v>37220</v>
      </c>
      <c r="M3010" t="s">
        <v>38784</v>
      </c>
      <c r="N3010" t="s">
        <v>41249</v>
      </c>
      <c r="O3010" t="s">
        <v>41250</v>
      </c>
      <c r="P3010">
        <v>0</v>
      </c>
      <c r="Q3010">
        <v>15</v>
      </c>
      <c r="R3010" t="s">
        <v>41252</v>
      </c>
      <c r="S3010" t="s">
        <v>41383</v>
      </c>
      <c r="T3010" t="s">
        <v>42738</v>
      </c>
      <c r="U3010" t="s">
        <v>45762</v>
      </c>
      <c r="W3010" t="s">
        <v>55948</v>
      </c>
      <c r="X3010" t="s">
        <v>41254</v>
      </c>
    </row>
    <row r="3011" spans="1:24">
      <c r="A3011">
        <f>HYPERLINK("https://www.philgeps.gov.ph/GEPSNONPILOT/Tender/SplashBidNoticeAbstractUI.aspx?menuIndex=3&amp;refID=7074014&amp;Result=3","7074014")</f>
        <v>0</v>
      </c>
      <c r="B3011" t="s">
        <v>1238</v>
      </c>
      <c r="C3011" t="s">
        <v>6263</v>
      </c>
      <c r="D3011" t="s">
        <v>16679</v>
      </c>
      <c r="E3011" t="s">
        <v>16877</v>
      </c>
      <c r="F3011" t="s">
        <v>28669</v>
      </c>
      <c r="G3011" t="s">
        <v>28675</v>
      </c>
      <c r="H3011" t="s">
        <v>9998</v>
      </c>
      <c r="I3011" t="s">
        <v>28687</v>
      </c>
      <c r="J3011" t="s">
        <v>30227</v>
      </c>
      <c r="K3011" t="s">
        <v>37206</v>
      </c>
      <c r="M3011" t="s">
        <v>38785</v>
      </c>
      <c r="N3011" t="s">
        <v>41249</v>
      </c>
      <c r="O3011" t="s">
        <v>41250</v>
      </c>
      <c r="P3011">
        <v>0</v>
      </c>
      <c r="Q3011">
        <v>2</v>
      </c>
      <c r="R3011" t="s">
        <v>41252</v>
      </c>
      <c r="S3011" t="s">
        <v>41383</v>
      </c>
      <c r="T3011" t="s">
        <v>42679</v>
      </c>
      <c r="U3011" t="s">
        <v>45711</v>
      </c>
      <c r="V3011" t="s">
        <v>54602</v>
      </c>
      <c r="W3011" t="s">
        <v>38785</v>
      </c>
      <c r="X3011" t="s">
        <v>41254</v>
      </c>
    </row>
    <row r="3012" spans="1:24">
      <c r="A3012">
        <f>HYPERLINK("https://www.philgeps.gov.ph/GEPSNONPILOT/Tender/SplashBidNoticeAbstractUI.aspx?menuIndex=3&amp;refID=7074012&amp;Result=3","7074012")</f>
        <v>0</v>
      </c>
      <c r="B3012" t="s">
        <v>1239</v>
      </c>
      <c r="C3012" t="s">
        <v>6264</v>
      </c>
      <c r="D3012" t="s">
        <v>16608</v>
      </c>
      <c r="E3012" t="s">
        <v>19450</v>
      </c>
      <c r="F3012" t="s">
        <v>28669</v>
      </c>
      <c r="G3012" t="s">
        <v>28677</v>
      </c>
      <c r="H3012" t="s">
        <v>9998</v>
      </c>
      <c r="I3012" t="s">
        <v>3658</v>
      </c>
      <c r="J3012" t="s">
        <v>29317</v>
      </c>
      <c r="K3012" t="s">
        <v>37243</v>
      </c>
      <c r="M3012" t="s">
        <v>38786</v>
      </c>
      <c r="N3012" t="s">
        <v>41249</v>
      </c>
      <c r="O3012" t="s">
        <v>41250</v>
      </c>
      <c r="P3012">
        <v>0</v>
      </c>
      <c r="Q3012">
        <v>3</v>
      </c>
      <c r="R3012" t="s">
        <v>41252</v>
      </c>
      <c r="S3012" t="s">
        <v>41383</v>
      </c>
      <c r="T3012" t="s">
        <v>42883</v>
      </c>
      <c r="U3012" t="s">
        <v>45763</v>
      </c>
      <c r="W3012" t="s">
        <v>38786</v>
      </c>
      <c r="X3012" t="s">
        <v>41254</v>
      </c>
    </row>
    <row r="3013" spans="1:24">
      <c r="A3013">
        <f>HYPERLINK("https://www.philgeps.gov.ph/GEPSNONPILOT/Tender/SplashBidNoticeAbstractUI.aspx?menuIndex=3&amp;refID=7074010&amp;Result=3","7074010")</f>
        <v>0</v>
      </c>
      <c r="B3013" t="s">
        <v>1240</v>
      </c>
      <c r="C3013" t="s">
        <v>6265</v>
      </c>
      <c r="D3013" t="s">
        <v>16658</v>
      </c>
      <c r="E3013" t="s">
        <v>19451</v>
      </c>
      <c r="F3013" t="s">
        <v>28671</v>
      </c>
      <c r="G3013" t="s">
        <v>28677</v>
      </c>
      <c r="H3013" t="s">
        <v>9998</v>
      </c>
      <c r="I3013" t="s">
        <v>28694</v>
      </c>
      <c r="J3013" t="s">
        <v>30835</v>
      </c>
      <c r="K3013" t="s">
        <v>37210</v>
      </c>
      <c r="L3013" t="s">
        <v>1240</v>
      </c>
      <c r="M3013" t="s">
        <v>38787</v>
      </c>
      <c r="N3013" t="s">
        <v>41249</v>
      </c>
      <c r="O3013" t="s">
        <v>41250</v>
      </c>
      <c r="P3013">
        <v>0</v>
      </c>
      <c r="Q3013">
        <v>0</v>
      </c>
      <c r="R3013" t="s">
        <v>41252</v>
      </c>
      <c r="S3013" t="s">
        <v>41383</v>
      </c>
      <c r="T3013" t="s">
        <v>42698</v>
      </c>
      <c r="U3013" t="s">
        <v>45764</v>
      </c>
      <c r="W3013" t="s">
        <v>38787</v>
      </c>
      <c r="X3013" t="s">
        <v>41254</v>
      </c>
    </row>
    <row r="3014" spans="1:24">
      <c r="A3014">
        <f>HYPERLINK("https://www.philgeps.gov.ph/GEPSNONPILOT/Tender/SplashBidNoticeAbstractUI.aspx?menuIndex=3&amp;refID=7074009&amp;Result=3","7074009")</f>
        <v>0</v>
      </c>
      <c r="B3014" t="s">
        <v>1241</v>
      </c>
      <c r="C3014" t="s">
        <v>6266</v>
      </c>
      <c r="D3014" t="s">
        <v>16618</v>
      </c>
      <c r="E3014" t="s">
        <v>19452</v>
      </c>
      <c r="F3014" t="s">
        <v>28669</v>
      </c>
      <c r="G3014" t="s">
        <v>28676</v>
      </c>
      <c r="H3014" t="s">
        <v>28684</v>
      </c>
      <c r="I3014" t="s">
        <v>3679</v>
      </c>
      <c r="J3014" t="s">
        <v>29044</v>
      </c>
      <c r="K3014" t="s">
        <v>37210</v>
      </c>
      <c r="M3014" t="s">
        <v>38788</v>
      </c>
      <c r="N3014" t="s">
        <v>41249</v>
      </c>
      <c r="O3014" t="s">
        <v>41250</v>
      </c>
      <c r="P3014">
        <v>0</v>
      </c>
      <c r="Q3014">
        <v>0</v>
      </c>
      <c r="R3014" t="s">
        <v>41252</v>
      </c>
      <c r="S3014" t="s">
        <v>41383</v>
      </c>
      <c r="T3014" t="s">
        <v>42665</v>
      </c>
      <c r="U3014" t="s">
        <v>45765</v>
      </c>
      <c r="W3014" t="s">
        <v>38788</v>
      </c>
      <c r="X3014" t="s">
        <v>41254</v>
      </c>
    </row>
    <row r="3015" spans="1:24">
      <c r="A3015">
        <f>HYPERLINK("https://www.philgeps.gov.ph/GEPSNONPILOT/Tender/SplashBidNoticeAbstractUI.aspx?menuIndex=3&amp;refID=7074008&amp;Result=3","7074008")</f>
        <v>0</v>
      </c>
      <c r="B3015" t="s">
        <v>140</v>
      </c>
      <c r="C3015" t="s">
        <v>6267</v>
      </c>
      <c r="D3015" t="s">
        <v>16652</v>
      </c>
      <c r="E3015" t="s">
        <v>19453</v>
      </c>
      <c r="F3015" t="s">
        <v>28669</v>
      </c>
      <c r="G3015" t="s">
        <v>28676</v>
      </c>
      <c r="H3015" t="s">
        <v>9998</v>
      </c>
      <c r="I3015" t="s">
        <v>5213</v>
      </c>
      <c r="J3015" t="s">
        <v>30836</v>
      </c>
      <c r="K3015" t="s">
        <v>37234</v>
      </c>
      <c r="M3015" t="s">
        <v>37617</v>
      </c>
      <c r="N3015" t="s">
        <v>41249</v>
      </c>
      <c r="O3015" t="s">
        <v>41250</v>
      </c>
      <c r="P3015">
        <v>0</v>
      </c>
      <c r="Q3015">
        <v>0</v>
      </c>
      <c r="R3015" t="s">
        <v>41252</v>
      </c>
      <c r="S3015" t="s">
        <v>41383</v>
      </c>
      <c r="T3015" t="s">
        <v>42802</v>
      </c>
      <c r="U3015" t="s">
        <v>45495</v>
      </c>
      <c r="W3015" t="s">
        <v>37617</v>
      </c>
      <c r="X3015" t="s">
        <v>41254</v>
      </c>
    </row>
    <row r="3016" spans="1:24">
      <c r="A3016">
        <f>HYPERLINK("https://www.philgeps.gov.ph/GEPSNONPILOT/Tender/SplashBidNoticeAbstractUI.aspx?menuIndex=3&amp;refID=7074004&amp;Result=3","7074004")</f>
        <v>0</v>
      </c>
      <c r="B3016" t="s">
        <v>1242</v>
      </c>
      <c r="C3016" t="s">
        <v>6268</v>
      </c>
      <c r="D3016" t="s">
        <v>16687</v>
      </c>
      <c r="E3016" t="s">
        <v>19454</v>
      </c>
      <c r="F3016" t="s">
        <v>28669</v>
      </c>
      <c r="G3016" t="s">
        <v>28676</v>
      </c>
      <c r="H3016" t="s">
        <v>9998</v>
      </c>
      <c r="I3016" t="s">
        <v>8667</v>
      </c>
      <c r="J3016" t="s">
        <v>30837</v>
      </c>
      <c r="K3016" t="s">
        <v>37210</v>
      </c>
      <c r="M3016" t="s">
        <v>38789</v>
      </c>
      <c r="N3016" t="s">
        <v>41249</v>
      </c>
      <c r="O3016" t="s">
        <v>41250</v>
      </c>
      <c r="P3016">
        <v>0</v>
      </c>
      <c r="Q3016">
        <v>0</v>
      </c>
      <c r="R3016" t="s">
        <v>41252</v>
      </c>
      <c r="S3016" t="s">
        <v>41383</v>
      </c>
      <c r="T3016" t="s">
        <v>42742</v>
      </c>
      <c r="U3016" t="s">
        <v>45766</v>
      </c>
      <c r="W3016" t="s">
        <v>38789</v>
      </c>
      <c r="X3016" t="s">
        <v>41254</v>
      </c>
    </row>
    <row r="3017" spans="1:24">
      <c r="A3017">
        <f>HYPERLINK("https://www.philgeps.gov.ph/GEPSNONPILOT/Tender/SplashBidNoticeAbstractUI.aspx?menuIndex=3&amp;refID=7074018&amp;Result=3","7074018")</f>
        <v>0</v>
      </c>
      <c r="B3017" t="s">
        <v>704</v>
      </c>
      <c r="C3017" t="s">
        <v>6269</v>
      </c>
      <c r="D3017" t="s">
        <v>16668</v>
      </c>
      <c r="E3017" t="s">
        <v>19455</v>
      </c>
      <c r="F3017" t="s">
        <v>28669</v>
      </c>
      <c r="G3017" t="s">
        <v>28676</v>
      </c>
      <c r="H3017" t="s">
        <v>28685</v>
      </c>
      <c r="I3017" t="s">
        <v>28685</v>
      </c>
      <c r="J3017" t="s">
        <v>28854</v>
      </c>
      <c r="K3017" t="s">
        <v>37238</v>
      </c>
      <c r="M3017" t="s">
        <v>38211</v>
      </c>
      <c r="N3017" t="s">
        <v>41249</v>
      </c>
      <c r="O3017" t="s">
        <v>41250</v>
      </c>
      <c r="P3017">
        <v>0</v>
      </c>
      <c r="Q3017">
        <v>0</v>
      </c>
      <c r="R3017" t="s">
        <v>41252</v>
      </c>
      <c r="S3017" t="s">
        <v>41383</v>
      </c>
      <c r="T3017" t="s">
        <v>42758</v>
      </c>
      <c r="U3017" t="s">
        <v>45767</v>
      </c>
      <c r="W3017" t="s">
        <v>38211</v>
      </c>
      <c r="X3017" t="s">
        <v>41254</v>
      </c>
    </row>
    <row r="3018" spans="1:24">
      <c r="A3018">
        <f>HYPERLINK("https://www.philgeps.gov.ph/GEPSNONPILOT/Tender/SplashBidNoticeAbstractUI.aspx?menuIndex=3&amp;refID=7074002&amp;Result=3","7074002")</f>
        <v>0</v>
      </c>
      <c r="B3018" t="s">
        <v>1213</v>
      </c>
      <c r="C3018" t="s">
        <v>6270</v>
      </c>
      <c r="D3018" t="s">
        <v>16611</v>
      </c>
      <c r="E3018" t="s">
        <v>17051</v>
      </c>
      <c r="F3018" t="s">
        <v>28669</v>
      </c>
      <c r="G3018" t="s">
        <v>28675</v>
      </c>
      <c r="H3018" t="s">
        <v>9998</v>
      </c>
      <c r="I3018" t="s">
        <v>7352</v>
      </c>
      <c r="J3018" t="s">
        <v>30838</v>
      </c>
      <c r="K3018" t="s">
        <v>37204</v>
      </c>
      <c r="M3018" t="s">
        <v>38754</v>
      </c>
      <c r="N3018" t="s">
        <v>41249</v>
      </c>
      <c r="O3018" t="s">
        <v>41250</v>
      </c>
      <c r="P3018">
        <v>0</v>
      </c>
      <c r="Q3018">
        <v>0</v>
      </c>
      <c r="R3018" t="s">
        <v>41252</v>
      </c>
      <c r="S3018" t="s">
        <v>41383</v>
      </c>
      <c r="T3018" t="s">
        <v>42678</v>
      </c>
      <c r="U3018" t="s">
        <v>45768</v>
      </c>
      <c r="W3018" t="s">
        <v>38754</v>
      </c>
      <c r="X3018" t="s">
        <v>41254</v>
      </c>
    </row>
    <row r="3019" spans="1:24">
      <c r="A3019">
        <f>HYPERLINK("https://www.philgeps.gov.ph/GEPSNONPILOT/Tender/SplashBidNoticeAbstractUI.aspx?menuIndex=3&amp;refID=7074021&amp;Result=3","7074021")</f>
        <v>0</v>
      </c>
      <c r="B3019" t="s">
        <v>101</v>
      </c>
      <c r="C3019" t="s">
        <v>6271</v>
      </c>
      <c r="D3019" t="s">
        <v>16644</v>
      </c>
      <c r="E3019" t="s">
        <v>19456</v>
      </c>
      <c r="F3019" t="s">
        <v>28669</v>
      </c>
      <c r="G3019" t="s">
        <v>28676</v>
      </c>
      <c r="H3019" t="s">
        <v>9998</v>
      </c>
      <c r="I3019" t="s">
        <v>28704</v>
      </c>
      <c r="J3019" t="s">
        <v>29716</v>
      </c>
      <c r="K3019" t="s">
        <v>37206</v>
      </c>
      <c r="M3019" t="s">
        <v>38633</v>
      </c>
      <c r="N3019" t="s">
        <v>41249</v>
      </c>
      <c r="O3019" t="s">
        <v>41250</v>
      </c>
      <c r="P3019">
        <v>0</v>
      </c>
      <c r="Q3019">
        <v>0</v>
      </c>
      <c r="R3019" t="s">
        <v>41252</v>
      </c>
      <c r="S3019" t="s">
        <v>41383</v>
      </c>
      <c r="T3019" t="s">
        <v>42717</v>
      </c>
      <c r="U3019" t="s">
        <v>45769</v>
      </c>
      <c r="W3019" t="s">
        <v>38633</v>
      </c>
      <c r="X3019" t="s">
        <v>41254</v>
      </c>
    </row>
    <row r="3020" spans="1:24">
      <c r="A3020">
        <f>HYPERLINK("https://www.philgeps.gov.ph/GEPSNONPILOT/Tender/SplashBidNoticeAbstractUI.aspx?menuIndex=3&amp;refID=7073998&amp;Result=3","7073998")</f>
        <v>0</v>
      </c>
      <c r="B3020" t="s">
        <v>1243</v>
      </c>
      <c r="C3020" t="s">
        <v>6272</v>
      </c>
      <c r="D3020" t="s">
        <v>16638</v>
      </c>
      <c r="E3020" t="s">
        <v>19457</v>
      </c>
      <c r="F3020" t="s">
        <v>28669</v>
      </c>
      <c r="G3020" t="s">
        <v>28675</v>
      </c>
      <c r="H3020" t="s">
        <v>9998</v>
      </c>
      <c r="I3020" t="s">
        <v>11593</v>
      </c>
      <c r="J3020" t="s">
        <v>30839</v>
      </c>
      <c r="K3020" t="s">
        <v>37206</v>
      </c>
      <c r="M3020" t="s">
        <v>38790</v>
      </c>
      <c r="N3020" t="s">
        <v>41249</v>
      </c>
      <c r="O3020" t="s">
        <v>41250</v>
      </c>
      <c r="P3020">
        <v>0</v>
      </c>
      <c r="Q3020">
        <v>2</v>
      </c>
      <c r="R3020" t="s">
        <v>41252</v>
      </c>
      <c r="S3020" t="s">
        <v>41383</v>
      </c>
      <c r="T3020" t="s">
        <v>42757</v>
      </c>
      <c r="U3020" t="s">
        <v>45770</v>
      </c>
      <c r="W3020" t="s">
        <v>38790</v>
      </c>
      <c r="X3020" t="s">
        <v>41254</v>
      </c>
    </row>
    <row r="3021" spans="1:24">
      <c r="A3021">
        <f>HYPERLINK("https://www.philgeps.gov.ph/GEPSNONPILOT/Tender/SplashBidNoticeAbstractUI.aspx?menuIndex=3&amp;refID=7074011&amp;Result=3","7074011")</f>
        <v>0</v>
      </c>
      <c r="B3021" t="s">
        <v>704</v>
      </c>
      <c r="C3021" t="s">
        <v>6273</v>
      </c>
      <c r="D3021" t="s">
        <v>16668</v>
      </c>
      <c r="E3021" t="s">
        <v>19455</v>
      </c>
      <c r="F3021" t="s">
        <v>28669</v>
      </c>
      <c r="G3021" t="s">
        <v>28676</v>
      </c>
      <c r="H3021" t="s">
        <v>28685</v>
      </c>
      <c r="I3021" t="s">
        <v>28685</v>
      </c>
      <c r="J3021" t="s">
        <v>28854</v>
      </c>
      <c r="K3021" t="s">
        <v>37238</v>
      </c>
      <c r="M3021" t="s">
        <v>38211</v>
      </c>
      <c r="N3021" t="s">
        <v>41249</v>
      </c>
      <c r="O3021" t="s">
        <v>41250</v>
      </c>
      <c r="P3021">
        <v>0</v>
      </c>
      <c r="Q3021">
        <v>1</v>
      </c>
      <c r="R3021" t="s">
        <v>41252</v>
      </c>
      <c r="S3021" t="s">
        <v>41383</v>
      </c>
      <c r="T3021" t="s">
        <v>42758</v>
      </c>
      <c r="U3021" t="s">
        <v>45771</v>
      </c>
      <c r="W3021" t="s">
        <v>38211</v>
      </c>
      <c r="X3021" t="s">
        <v>41254</v>
      </c>
    </row>
    <row r="3022" spans="1:24">
      <c r="A3022">
        <f>HYPERLINK("https://www.philgeps.gov.ph/GEPSNONPILOT/Tender/SplashBidNoticeAbstractUI.aspx?menuIndex=3&amp;refID=7074016&amp;Result=3","7074016")</f>
        <v>0</v>
      </c>
      <c r="B3022" t="s">
        <v>1244</v>
      </c>
      <c r="C3022" t="s">
        <v>6274</v>
      </c>
      <c r="D3022" t="s">
        <v>16686</v>
      </c>
      <c r="E3022" t="s">
        <v>19458</v>
      </c>
      <c r="F3022" t="s">
        <v>28669</v>
      </c>
      <c r="G3022" t="s">
        <v>28676</v>
      </c>
      <c r="H3022" t="s">
        <v>9998</v>
      </c>
      <c r="I3022" t="s">
        <v>6606</v>
      </c>
      <c r="J3022" t="s">
        <v>28838</v>
      </c>
      <c r="K3022" t="s">
        <v>37210</v>
      </c>
      <c r="M3022" t="s">
        <v>38791</v>
      </c>
      <c r="N3022" t="s">
        <v>41249</v>
      </c>
      <c r="O3022" t="s">
        <v>41250</v>
      </c>
      <c r="P3022">
        <v>0</v>
      </c>
      <c r="Q3022">
        <v>0</v>
      </c>
      <c r="R3022" t="s">
        <v>41252</v>
      </c>
      <c r="S3022" t="s">
        <v>41383</v>
      </c>
      <c r="T3022" t="s">
        <v>42711</v>
      </c>
      <c r="U3022" t="s">
        <v>45772</v>
      </c>
      <c r="W3022" t="s">
        <v>38791</v>
      </c>
      <c r="X3022" t="s">
        <v>41254</v>
      </c>
    </row>
    <row r="3023" spans="1:24">
      <c r="A3023">
        <f>HYPERLINK("https://www.philgeps.gov.ph/GEPSNONPILOT/Tender/SplashBidNoticeAbstractUI.aspx?menuIndex=3&amp;refID=7074007&amp;Result=3","7074007")</f>
        <v>0</v>
      </c>
      <c r="B3023" t="s">
        <v>1001</v>
      </c>
      <c r="C3023" t="s">
        <v>6275</v>
      </c>
      <c r="D3023" t="s">
        <v>16677</v>
      </c>
      <c r="E3023" t="s">
        <v>19459</v>
      </c>
      <c r="F3023" t="s">
        <v>28669</v>
      </c>
      <c r="G3023" t="s">
        <v>28675</v>
      </c>
      <c r="H3023" t="s">
        <v>28686</v>
      </c>
      <c r="I3023" t="s">
        <v>28689</v>
      </c>
      <c r="J3023" t="s">
        <v>30840</v>
      </c>
      <c r="K3023" t="s">
        <v>37215</v>
      </c>
      <c r="M3023" t="s">
        <v>38529</v>
      </c>
      <c r="N3023" t="s">
        <v>41249</v>
      </c>
      <c r="O3023" t="s">
        <v>41250</v>
      </c>
      <c r="P3023">
        <v>0</v>
      </c>
      <c r="Q3023">
        <v>0</v>
      </c>
      <c r="R3023" t="s">
        <v>41252</v>
      </c>
      <c r="S3023" t="s">
        <v>41383</v>
      </c>
      <c r="T3023" t="s">
        <v>42911</v>
      </c>
      <c r="U3023" t="s">
        <v>45302</v>
      </c>
      <c r="W3023" t="s">
        <v>38529</v>
      </c>
      <c r="X3023" t="s">
        <v>41254</v>
      </c>
    </row>
    <row r="3024" spans="1:24">
      <c r="A3024">
        <f>HYPERLINK("https://www.philgeps.gov.ph/GEPSNONPILOT/Tender/SplashBidNoticeAbstractUI.aspx?menuIndex=3&amp;refID=7074049&amp;Result=3","7074049")</f>
        <v>0</v>
      </c>
      <c r="B3024" t="s">
        <v>813</v>
      </c>
      <c r="C3024" t="s">
        <v>6276</v>
      </c>
      <c r="D3024" t="s">
        <v>16608</v>
      </c>
      <c r="E3024" t="s">
        <v>19460</v>
      </c>
      <c r="F3024" t="s">
        <v>28669</v>
      </c>
      <c r="G3024" t="s">
        <v>28676</v>
      </c>
      <c r="H3024" t="s">
        <v>9998</v>
      </c>
      <c r="I3024" t="s">
        <v>7352</v>
      </c>
      <c r="J3024" t="s">
        <v>30841</v>
      </c>
      <c r="K3024" t="s">
        <v>37205</v>
      </c>
      <c r="L3024" t="s">
        <v>813</v>
      </c>
      <c r="M3024" t="s">
        <v>38328</v>
      </c>
      <c r="N3024" t="s">
        <v>41249</v>
      </c>
      <c r="O3024" t="s">
        <v>41250</v>
      </c>
      <c r="P3024">
        <v>0</v>
      </c>
      <c r="Q3024">
        <v>6</v>
      </c>
      <c r="R3024" t="s">
        <v>41252</v>
      </c>
      <c r="S3024" t="s">
        <v>41383</v>
      </c>
      <c r="T3024" t="s">
        <v>42701</v>
      </c>
      <c r="U3024" t="s">
        <v>45773</v>
      </c>
      <c r="W3024" t="s">
        <v>38328</v>
      </c>
      <c r="X3024" t="s">
        <v>41254</v>
      </c>
    </row>
    <row r="3025" spans="1:24">
      <c r="A3025">
        <f>HYPERLINK("https://www.philgeps.gov.ph/GEPSNONPILOT/Tender/SplashBidNoticeAbstractUI.aspx?menuIndex=3&amp;refID=7074048&amp;Result=3","7074048")</f>
        <v>0</v>
      </c>
      <c r="B3025" t="s">
        <v>299</v>
      </c>
      <c r="C3025" t="s">
        <v>6277</v>
      </c>
      <c r="D3025" t="s">
        <v>16639</v>
      </c>
      <c r="E3025" t="s">
        <v>19461</v>
      </c>
      <c r="F3025" t="s">
        <v>28669</v>
      </c>
      <c r="G3025" t="s">
        <v>28676</v>
      </c>
      <c r="H3025" t="s">
        <v>9998</v>
      </c>
      <c r="I3025" t="s">
        <v>3718</v>
      </c>
      <c r="J3025" t="s">
        <v>29183</v>
      </c>
      <c r="K3025" t="s">
        <v>37205</v>
      </c>
      <c r="M3025" t="s">
        <v>37778</v>
      </c>
      <c r="N3025" t="s">
        <v>41249</v>
      </c>
      <c r="O3025" t="s">
        <v>41250</v>
      </c>
      <c r="P3025">
        <v>0</v>
      </c>
      <c r="Q3025">
        <v>2</v>
      </c>
      <c r="R3025" t="s">
        <v>41252</v>
      </c>
      <c r="S3025" t="s">
        <v>41383</v>
      </c>
      <c r="T3025" t="s">
        <v>42701</v>
      </c>
      <c r="U3025" t="s">
        <v>45774</v>
      </c>
      <c r="W3025" t="s">
        <v>37778</v>
      </c>
      <c r="X3025" t="s">
        <v>41254</v>
      </c>
    </row>
    <row r="3026" spans="1:24">
      <c r="A3026">
        <f>HYPERLINK("https://www.philgeps.gov.ph/GEPSNONPILOT/Tender/SplashBidNoticeAbstractUI.aspx?menuIndex=3&amp;refID=7073973&amp;Result=3","7073973")</f>
        <v>0</v>
      </c>
      <c r="B3026" t="s">
        <v>1245</v>
      </c>
      <c r="C3026" t="s">
        <v>6278</v>
      </c>
      <c r="D3026" t="s">
        <v>16670</v>
      </c>
      <c r="E3026" t="s">
        <v>19462</v>
      </c>
      <c r="F3026" t="s">
        <v>28669</v>
      </c>
      <c r="G3026" t="s">
        <v>28677</v>
      </c>
      <c r="H3026" t="s">
        <v>9998</v>
      </c>
      <c r="I3026" t="s">
        <v>28699</v>
      </c>
      <c r="J3026" t="s">
        <v>30579</v>
      </c>
      <c r="K3026" t="s">
        <v>37205</v>
      </c>
      <c r="M3026" t="s">
        <v>38792</v>
      </c>
      <c r="N3026" t="s">
        <v>41249</v>
      </c>
      <c r="O3026" t="s">
        <v>41250</v>
      </c>
      <c r="P3026">
        <v>0</v>
      </c>
      <c r="Q3026">
        <v>0</v>
      </c>
      <c r="R3026" t="s">
        <v>41252</v>
      </c>
      <c r="S3026" t="s">
        <v>41383</v>
      </c>
      <c r="T3026" t="s">
        <v>42918</v>
      </c>
      <c r="U3026" t="s">
        <v>45775</v>
      </c>
      <c r="V3026" t="s">
        <v>54611</v>
      </c>
      <c r="W3026" t="s">
        <v>38792</v>
      </c>
      <c r="X3026" t="s">
        <v>41254</v>
      </c>
    </row>
    <row r="3027" spans="1:24">
      <c r="A3027">
        <f>HYPERLINK("https://www.philgeps.gov.ph/GEPSNONPILOT/Tender/SplashBidNoticeAbstractUI.aspx?menuIndex=3&amp;refID=7074043&amp;Result=3","7074043")</f>
        <v>0</v>
      </c>
      <c r="B3027" t="s">
        <v>1090</v>
      </c>
      <c r="C3027" t="s">
        <v>6279</v>
      </c>
      <c r="E3027" t="s">
        <v>19463</v>
      </c>
      <c r="F3027" t="s">
        <v>28669</v>
      </c>
      <c r="G3027" t="s">
        <v>28676</v>
      </c>
      <c r="H3027" t="s">
        <v>9998</v>
      </c>
      <c r="I3027" t="s">
        <v>28740</v>
      </c>
      <c r="J3027" t="s">
        <v>29040</v>
      </c>
      <c r="K3027" t="s">
        <v>37209</v>
      </c>
      <c r="M3027" t="s">
        <v>38622</v>
      </c>
      <c r="N3027" t="s">
        <v>41249</v>
      </c>
      <c r="O3027" t="s">
        <v>41250</v>
      </c>
      <c r="P3027">
        <v>0</v>
      </c>
      <c r="Q3027">
        <v>1</v>
      </c>
      <c r="R3027" t="s">
        <v>41252</v>
      </c>
      <c r="S3027" t="s">
        <v>41383</v>
      </c>
      <c r="T3027" t="s">
        <v>42702</v>
      </c>
      <c r="U3027" t="s">
        <v>45776</v>
      </c>
      <c r="W3027" t="s">
        <v>38622</v>
      </c>
      <c r="X3027" t="s">
        <v>41254</v>
      </c>
    </row>
    <row r="3028" spans="1:24">
      <c r="A3028">
        <f>HYPERLINK("https://www.philgeps.gov.ph/GEPSNONPILOT/Tender/SplashBidNoticeAbstractUI.aspx?menuIndex=3&amp;refID=7074003&amp;Result=3","7074003")</f>
        <v>0</v>
      </c>
      <c r="B3028" t="s">
        <v>454</v>
      </c>
      <c r="C3028" t="s">
        <v>6280</v>
      </c>
      <c r="D3028" t="s">
        <v>16643</v>
      </c>
      <c r="E3028" t="s">
        <v>19464</v>
      </c>
      <c r="F3028" t="s">
        <v>28669</v>
      </c>
      <c r="G3028" t="s">
        <v>28676</v>
      </c>
      <c r="H3028" t="s">
        <v>9998</v>
      </c>
      <c r="I3028" t="s">
        <v>28688</v>
      </c>
      <c r="J3028" t="s">
        <v>29203</v>
      </c>
      <c r="K3028" t="s">
        <v>37209</v>
      </c>
      <c r="M3028" t="s">
        <v>37942</v>
      </c>
      <c r="N3028" t="s">
        <v>41249</v>
      </c>
      <c r="O3028" t="s">
        <v>41250</v>
      </c>
      <c r="P3028">
        <v>0</v>
      </c>
      <c r="Q3028">
        <v>8</v>
      </c>
      <c r="R3028" t="s">
        <v>41252</v>
      </c>
      <c r="S3028" t="s">
        <v>41383</v>
      </c>
      <c r="T3028" t="s">
        <v>42679</v>
      </c>
      <c r="U3028" t="s">
        <v>45777</v>
      </c>
      <c r="W3028" t="s">
        <v>37942</v>
      </c>
      <c r="X3028" t="s">
        <v>41254</v>
      </c>
    </row>
    <row r="3029" spans="1:24">
      <c r="A3029">
        <f>HYPERLINK("https://www.philgeps.gov.ph/GEPSNONPILOT/Tender/SplashBidNoticeAbstractUI.aspx?menuIndex=3&amp;refID=7074042&amp;Result=3","7074042")</f>
        <v>0</v>
      </c>
      <c r="B3029" t="s">
        <v>1064</v>
      </c>
      <c r="C3029" t="s">
        <v>6281</v>
      </c>
      <c r="D3029" t="s">
        <v>16655</v>
      </c>
      <c r="E3029" t="s">
        <v>19465</v>
      </c>
      <c r="F3029" t="s">
        <v>28669</v>
      </c>
      <c r="G3029" t="s">
        <v>28675</v>
      </c>
      <c r="H3029" t="s">
        <v>28686</v>
      </c>
      <c r="I3029" t="s">
        <v>28689</v>
      </c>
      <c r="J3029" t="s">
        <v>30842</v>
      </c>
      <c r="K3029" t="s">
        <v>37206</v>
      </c>
      <c r="M3029" t="s">
        <v>38595</v>
      </c>
      <c r="N3029" t="s">
        <v>41249</v>
      </c>
      <c r="O3029" t="s">
        <v>41250</v>
      </c>
      <c r="P3029">
        <v>0</v>
      </c>
      <c r="Q3029">
        <v>0</v>
      </c>
      <c r="R3029" t="s">
        <v>41252</v>
      </c>
      <c r="S3029" t="s">
        <v>41383</v>
      </c>
      <c r="T3029" t="s">
        <v>42670</v>
      </c>
      <c r="U3029" t="s">
        <v>45354</v>
      </c>
      <c r="W3029" t="s">
        <v>38595</v>
      </c>
      <c r="X3029" t="s">
        <v>41254</v>
      </c>
    </row>
    <row r="3030" spans="1:24">
      <c r="A3030">
        <f>HYPERLINK("https://www.philgeps.gov.ph/GEPSNONPILOT/Tender/SplashBidNoticeAbstractUI.aspx?menuIndex=3&amp;refID=7074041&amp;Result=3","7074041")</f>
        <v>0</v>
      </c>
      <c r="B3030" t="s">
        <v>1158</v>
      </c>
      <c r="C3030" t="s">
        <v>6282</v>
      </c>
      <c r="D3030" t="s">
        <v>16618</v>
      </c>
      <c r="E3030" t="s">
        <v>19466</v>
      </c>
      <c r="F3030" t="s">
        <v>28669</v>
      </c>
      <c r="G3030" t="s">
        <v>28676</v>
      </c>
      <c r="H3030" t="s">
        <v>9998</v>
      </c>
      <c r="I3030" t="s">
        <v>28690</v>
      </c>
      <c r="J3030" t="s">
        <v>29191</v>
      </c>
      <c r="K3030" t="s">
        <v>37266</v>
      </c>
      <c r="M3030" t="s">
        <v>38695</v>
      </c>
      <c r="N3030" t="s">
        <v>41249</v>
      </c>
      <c r="O3030" t="s">
        <v>41250</v>
      </c>
      <c r="P3030">
        <v>0</v>
      </c>
      <c r="Q3030">
        <v>4</v>
      </c>
      <c r="R3030" t="s">
        <v>41252</v>
      </c>
      <c r="S3030" t="s">
        <v>41383</v>
      </c>
      <c r="T3030" t="s">
        <v>42774</v>
      </c>
      <c r="U3030" t="s">
        <v>45778</v>
      </c>
      <c r="W3030" t="s">
        <v>38695</v>
      </c>
      <c r="X3030" t="s">
        <v>41254</v>
      </c>
    </row>
    <row r="3031" spans="1:24">
      <c r="A3031">
        <f>HYPERLINK("https://www.philgeps.gov.ph/GEPSNONPILOT/Tender/SplashBidNoticeAbstractUI.aspx?menuIndex=3&amp;refID=7074040&amp;Result=3","7074040")</f>
        <v>0</v>
      </c>
      <c r="B3031" t="s">
        <v>1246</v>
      </c>
      <c r="C3031" t="s">
        <v>6283</v>
      </c>
      <c r="D3031" t="s">
        <v>16679</v>
      </c>
      <c r="E3031" t="s">
        <v>19467</v>
      </c>
      <c r="F3031" t="s">
        <v>28669</v>
      </c>
      <c r="G3031" t="s">
        <v>28679</v>
      </c>
      <c r="H3031" t="s">
        <v>9998</v>
      </c>
      <c r="I3031" t="s">
        <v>28696</v>
      </c>
      <c r="J3031" t="s">
        <v>29552</v>
      </c>
      <c r="K3031" t="s">
        <v>37210</v>
      </c>
      <c r="M3031" t="s">
        <v>38793</v>
      </c>
      <c r="N3031" t="s">
        <v>41249</v>
      </c>
      <c r="O3031" t="s">
        <v>41250</v>
      </c>
      <c r="P3031">
        <v>0</v>
      </c>
      <c r="Q3031">
        <v>0</v>
      </c>
      <c r="R3031" t="s">
        <v>41252</v>
      </c>
      <c r="S3031" t="s">
        <v>41383</v>
      </c>
      <c r="T3031" t="s">
        <v>42673</v>
      </c>
      <c r="U3031" t="s">
        <v>45711</v>
      </c>
      <c r="V3031" t="s">
        <v>54602</v>
      </c>
      <c r="W3031" t="s">
        <v>38793</v>
      </c>
      <c r="X3031" t="s">
        <v>41254</v>
      </c>
    </row>
    <row r="3032" spans="1:24">
      <c r="A3032">
        <f>HYPERLINK("https://www.philgeps.gov.ph/GEPSNONPILOT/Tender/SplashBidNoticeAbstractUI.aspx?menuIndex=3&amp;refID=7074044&amp;Result=3","7074044")</f>
        <v>0</v>
      </c>
      <c r="B3032" t="s">
        <v>1247</v>
      </c>
      <c r="C3032" t="s">
        <v>6284</v>
      </c>
      <c r="D3032" t="s">
        <v>16620</v>
      </c>
      <c r="E3032" t="s">
        <v>19468</v>
      </c>
      <c r="F3032" t="s">
        <v>28669</v>
      </c>
      <c r="G3032" t="s">
        <v>28676</v>
      </c>
      <c r="H3032" t="s">
        <v>9998</v>
      </c>
      <c r="I3032" t="s">
        <v>28717</v>
      </c>
      <c r="J3032" t="s">
        <v>30843</v>
      </c>
      <c r="K3032" t="s">
        <v>37209</v>
      </c>
      <c r="M3032" t="s">
        <v>38794</v>
      </c>
      <c r="N3032" t="s">
        <v>41249</v>
      </c>
      <c r="O3032" t="s">
        <v>41250</v>
      </c>
      <c r="P3032">
        <v>0</v>
      </c>
      <c r="Q3032">
        <v>1</v>
      </c>
      <c r="R3032" t="s">
        <v>41252</v>
      </c>
      <c r="S3032" t="s">
        <v>41383</v>
      </c>
      <c r="T3032" t="s">
        <v>42736</v>
      </c>
      <c r="U3032" t="s">
        <v>45779</v>
      </c>
      <c r="W3032" t="s">
        <v>38794</v>
      </c>
      <c r="X3032" t="s">
        <v>41254</v>
      </c>
    </row>
    <row r="3033" spans="1:24">
      <c r="A3033">
        <f>HYPERLINK("https://www.philgeps.gov.ph/GEPSNONPILOT/Tender/SplashBidNoticeAbstractUI.aspx?menuIndex=3&amp;refID=7074039&amp;Result=3","7074039")</f>
        <v>0</v>
      </c>
      <c r="B3033" t="s">
        <v>586</v>
      </c>
      <c r="C3033" t="s">
        <v>6285</v>
      </c>
      <c r="D3033" t="s">
        <v>16612</v>
      </c>
      <c r="E3033" t="s">
        <v>19469</v>
      </c>
      <c r="F3033" t="s">
        <v>28669</v>
      </c>
      <c r="G3033" t="s">
        <v>28676</v>
      </c>
      <c r="H3033" t="s">
        <v>9998</v>
      </c>
      <c r="I3033" t="s">
        <v>6458</v>
      </c>
      <c r="J3033" t="s">
        <v>30844</v>
      </c>
      <c r="K3033" t="s">
        <v>37205</v>
      </c>
      <c r="M3033" t="s">
        <v>38085</v>
      </c>
      <c r="N3033" t="s">
        <v>41249</v>
      </c>
      <c r="O3033" t="s">
        <v>41250</v>
      </c>
      <c r="P3033">
        <v>0</v>
      </c>
      <c r="Q3033">
        <v>0</v>
      </c>
      <c r="R3033" t="s">
        <v>41252</v>
      </c>
      <c r="S3033" t="s">
        <v>41383</v>
      </c>
      <c r="T3033" t="s">
        <v>42736</v>
      </c>
      <c r="U3033" t="s">
        <v>45780</v>
      </c>
      <c r="W3033" t="s">
        <v>38085</v>
      </c>
      <c r="X3033" t="s">
        <v>41254</v>
      </c>
    </row>
    <row r="3034" spans="1:24">
      <c r="A3034">
        <f>HYPERLINK("https://www.philgeps.gov.ph/GEPSNONPILOT/Tender/SplashBidNoticeAbstractUI.aspx?menuIndex=3&amp;refID=7074031&amp;Result=3","7074031")</f>
        <v>0</v>
      </c>
      <c r="B3034" t="s">
        <v>965</v>
      </c>
      <c r="C3034" t="s">
        <v>6286</v>
      </c>
      <c r="D3034" t="s">
        <v>16608</v>
      </c>
      <c r="E3034" t="s">
        <v>19470</v>
      </c>
      <c r="F3034" t="s">
        <v>28669</v>
      </c>
      <c r="G3034" t="s">
        <v>28675</v>
      </c>
      <c r="H3034" t="s">
        <v>9998</v>
      </c>
      <c r="I3034" t="s">
        <v>6128</v>
      </c>
      <c r="J3034" t="s">
        <v>30845</v>
      </c>
      <c r="K3034" t="s">
        <v>37205</v>
      </c>
      <c r="M3034" t="s">
        <v>38759</v>
      </c>
      <c r="N3034" t="s">
        <v>41249</v>
      </c>
      <c r="O3034" t="s">
        <v>41250</v>
      </c>
      <c r="P3034">
        <v>0</v>
      </c>
      <c r="Q3034">
        <v>1</v>
      </c>
      <c r="R3034" t="s">
        <v>41252</v>
      </c>
      <c r="S3034" t="s">
        <v>41383</v>
      </c>
      <c r="T3034" t="s">
        <v>42703</v>
      </c>
      <c r="U3034" t="s">
        <v>44022</v>
      </c>
      <c r="W3034" t="s">
        <v>38759</v>
      </c>
      <c r="X3034" t="s">
        <v>41254</v>
      </c>
    </row>
    <row r="3035" spans="1:24">
      <c r="A3035">
        <f>HYPERLINK("https://www.philgeps.gov.ph/GEPSNONPILOT/Tender/SplashBidNoticeAbstractUI.aspx?menuIndex=3&amp;refID=7074037&amp;Result=3","7074037")</f>
        <v>0</v>
      </c>
      <c r="B3035" t="s">
        <v>1244</v>
      </c>
      <c r="C3035" t="s">
        <v>6287</v>
      </c>
      <c r="D3035" t="s">
        <v>16686</v>
      </c>
      <c r="E3035" t="s">
        <v>19471</v>
      </c>
      <c r="F3035" t="s">
        <v>28669</v>
      </c>
      <c r="G3035" t="s">
        <v>28676</v>
      </c>
      <c r="H3035" t="s">
        <v>28686</v>
      </c>
      <c r="I3035" t="s">
        <v>28689</v>
      </c>
      <c r="J3035" t="s">
        <v>30846</v>
      </c>
      <c r="K3035" t="s">
        <v>37206</v>
      </c>
      <c r="M3035" t="s">
        <v>38791</v>
      </c>
      <c r="N3035" t="s">
        <v>41249</v>
      </c>
      <c r="O3035" t="s">
        <v>41250</v>
      </c>
      <c r="P3035">
        <v>0</v>
      </c>
      <c r="Q3035">
        <v>1</v>
      </c>
      <c r="R3035" t="s">
        <v>41252</v>
      </c>
      <c r="S3035" t="s">
        <v>41383</v>
      </c>
      <c r="T3035" t="s">
        <v>42711</v>
      </c>
      <c r="U3035" t="s">
        <v>45781</v>
      </c>
      <c r="W3035" t="s">
        <v>38791</v>
      </c>
      <c r="X3035" t="s">
        <v>41254</v>
      </c>
    </row>
    <row r="3036" spans="1:24">
      <c r="A3036">
        <f>HYPERLINK("https://www.philgeps.gov.ph/GEPSNONPILOT/Tender/SplashBidNoticeAbstractUI.aspx?menuIndex=3&amp;refID=7074036&amp;Result=3","7074036")</f>
        <v>0</v>
      </c>
      <c r="B3036" t="s">
        <v>1248</v>
      </c>
      <c r="C3036" t="s">
        <v>6288</v>
      </c>
      <c r="D3036" t="s">
        <v>16642</v>
      </c>
      <c r="E3036" t="s">
        <v>19472</v>
      </c>
      <c r="F3036" t="s">
        <v>28669</v>
      </c>
      <c r="G3036" t="s">
        <v>28676</v>
      </c>
      <c r="H3036" t="s">
        <v>28686</v>
      </c>
      <c r="I3036" t="s">
        <v>28696</v>
      </c>
      <c r="J3036" t="s">
        <v>28914</v>
      </c>
      <c r="K3036" t="s">
        <v>37206</v>
      </c>
      <c r="M3036" t="s">
        <v>38795</v>
      </c>
      <c r="N3036" t="s">
        <v>41249</v>
      </c>
      <c r="O3036" t="s">
        <v>41250</v>
      </c>
      <c r="P3036">
        <v>0</v>
      </c>
      <c r="Q3036">
        <v>1</v>
      </c>
      <c r="R3036" t="s">
        <v>41252</v>
      </c>
      <c r="S3036" t="s">
        <v>41383</v>
      </c>
      <c r="T3036" t="s">
        <v>42770</v>
      </c>
      <c r="U3036" t="s">
        <v>44358</v>
      </c>
      <c r="W3036" t="s">
        <v>38795</v>
      </c>
      <c r="X3036" t="s">
        <v>41254</v>
      </c>
    </row>
    <row r="3037" spans="1:24">
      <c r="A3037">
        <f>HYPERLINK("https://www.philgeps.gov.ph/GEPSNONPILOT/Tender/SplashBidNoticeAbstractUI.aspx?menuIndex=3&amp;refID=7074035&amp;Result=3","7074035")</f>
        <v>0</v>
      </c>
      <c r="B3037" t="s">
        <v>1249</v>
      </c>
      <c r="C3037" t="s">
        <v>6289</v>
      </c>
      <c r="D3037" t="s">
        <v>16618</v>
      </c>
      <c r="E3037" t="s">
        <v>16855</v>
      </c>
      <c r="F3037" t="s">
        <v>28669</v>
      </c>
      <c r="G3037" t="s">
        <v>28675</v>
      </c>
      <c r="H3037" t="s">
        <v>28686</v>
      </c>
      <c r="I3037" t="s">
        <v>28689</v>
      </c>
      <c r="J3037" t="s">
        <v>30847</v>
      </c>
      <c r="K3037" t="s">
        <v>37221</v>
      </c>
      <c r="M3037" t="s">
        <v>38796</v>
      </c>
      <c r="N3037" t="s">
        <v>41249</v>
      </c>
      <c r="O3037" t="s">
        <v>41250</v>
      </c>
      <c r="P3037">
        <v>0</v>
      </c>
      <c r="Q3037">
        <v>0</v>
      </c>
      <c r="R3037" t="s">
        <v>41252</v>
      </c>
      <c r="S3037" t="s">
        <v>41383</v>
      </c>
      <c r="T3037" t="s">
        <v>42713</v>
      </c>
      <c r="U3037" t="s">
        <v>45782</v>
      </c>
      <c r="W3037" t="s">
        <v>38796</v>
      </c>
      <c r="X3037" t="s">
        <v>41254</v>
      </c>
    </row>
    <row r="3038" spans="1:24">
      <c r="A3038">
        <f>HYPERLINK("https://www.philgeps.gov.ph/GEPSNONPILOT/Tender/SplashBidNoticeAbstractUI.aspx?menuIndex=3&amp;refID=7074034&amp;Result=3","7074034")</f>
        <v>0</v>
      </c>
      <c r="B3038" t="s">
        <v>1250</v>
      </c>
      <c r="C3038" t="s">
        <v>6290</v>
      </c>
      <c r="D3038" t="s">
        <v>16619</v>
      </c>
      <c r="E3038" t="s">
        <v>19473</v>
      </c>
      <c r="F3038" t="s">
        <v>28669</v>
      </c>
      <c r="G3038" t="s">
        <v>28676</v>
      </c>
      <c r="H3038" t="s">
        <v>9998</v>
      </c>
      <c r="I3038" t="s">
        <v>28763</v>
      </c>
      <c r="J3038" t="s">
        <v>30848</v>
      </c>
      <c r="K3038" t="s">
        <v>37208</v>
      </c>
      <c r="M3038" t="s">
        <v>38797</v>
      </c>
      <c r="N3038" t="s">
        <v>41249</v>
      </c>
      <c r="O3038" t="s">
        <v>41250</v>
      </c>
      <c r="P3038">
        <v>0</v>
      </c>
      <c r="Q3038">
        <v>0</v>
      </c>
      <c r="R3038" t="s">
        <v>41252</v>
      </c>
      <c r="S3038" t="s">
        <v>41383</v>
      </c>
      <c r="T3038" t="s">
        <v>42919</v>
      </c>
      <c r="U3038" t="s">
        <v>45783</v>
      </c>
      <c r="W3038" t="s">
        <v>38797</v>
      </c>
      <c r="X3038" t="s">
        <v>41254</v>
      </c>
    </row>
    <row r="3039" spans="1:24">
      <c r="A3039">
        <f>HYPERLINK("https://www.philgeps.gov.ph/GEPSNONPILOT/Tender/SplashBidNoticeAbstractUI.aspx?menuIndex=3&amp;refID=7074074&amp;Result=3","7074074")</f>
        <v>0</v>
      </c>
      <c r="B3039" t="s">
        <v>1064</v>
      </c>
      <c r="C3039" t="s">
        <v>6291</v>
      </c>
      <c r="D3039" t="s">
        <v>16655</v>
      </c>
      <c r="E3039" t="s">
        <v>19474</v>
      </c>
      <c r="F3039" t="s">
        <v>28669</v>
      </c>
      <c r="G3039" t="s">
        <v>28675</v>
      </c>
      <c r="H3039" t="s">
        <v>28686</v>
      </c>
      <c r="I3039" t="s">
        <v>28689</v>
      </c>
      <c r="J3039" t="s">
        <v>30849</v>
      </c>
      <c r="K3039" t="s">
        <v>37214</v>
      </c>
      <c r="M3039" t="s">
        <v>38595</v>
      </c>
      <c r="N3039" t="s">
        <v>41249</v>
      </c>
      <c r="O3039" t="s">
        <v>41250</v>
      </c>
      <c r="P3039">
        <v>0</v>
      </c>
      <c r="Q3039">
        <v>0</v>
      </c>
      <c r="R3039" t="s">
        <v>41252</v>
      </c>
      <c r="S3039" t="s">
        <v>41383</v>
      </c>
      <c r="T3039" t="s">
        <v>42670</v>
      </c>
      <c r="U3039" t="s">
        <v>45354</v>
      </c>
      <c r="W3039" t="s">
        <v>38595</v>
      </c>
      <c r="X3039" t="s">
        <v>41254</v>
      </c>
    </row>
    <row r="3040" spans="1:24">
      <c r="A3040">
        <f>HYPERLINK("https://www.philgeps.gov.ph/GEPSNONPILOT/Tender/SplashBidNoticeAbstractUI.aspx?menuIndex=3&amp;refID=7074071&amp;Result=3","7074071")</f>
        <v>0</v>
      </c>
      <c r="B3040" t="s">
        <v>907</v>
      </c>
      <c r="C3040" t="s">
        <v>6292</v>
      </c>
      <c r="D3040" t="s">
        <v>16608</v>
      </c>
      <c r="E3040" t="s">
        <v>19475</v>
      </c>
      <c r="F3040" t="s">
        <v>28669</v>
      </c>
      <c r="G3040" t="s">
        <v>28677</v>
      </c>
      <c r="H3040" t="s">
        <v>9998</v>
      </c>
      <c r="I3040" t="s">
        <v>28693</v>
      </c>
      <c r="J3040" t="s">
        <v>30850</v>
      </c>
      <c r="K3040" t="s">
        <v>37209</v>
      </c>
      <c r="M3040" t="s">
        <v>38429</v>
      </c>
      <c r="N3040" t="s">
        <v>41249</v>
      </c>
      <c r="O3040" t="s">
        <v>41250</v>
      </c>
      <c r="P3040">
        <v>0</v>
      </c>
      <c r="Q3040">
        <v>21</v>
      </c>
      <c r="R3040" t="s">
        <v>41252</v>
      </c>
      <c r="S3040" t="s">
        <v>41383</v>
      </c>
      <c r="T3040" t="s">
        <v>42705</v>
      </c>
      <c r="U3040" t="s">
        <v>45784</v>
      </c>
      <c r="V3040" t="s">
        <v>54612</v>
      </c>
      <c r="W3040" t="s">
        <v>38429</v>
      </c>
      <c r="X3040" t="s">
        <v>41254</v>
      </c>
    </row>
    <row r="3041" spans="1:24">
      <c r="A3041">
        <f>HYPERLINK("https://www.philgeps.gov.ph/GEPSNONPILOT/Tender/SplashBidNoticeAbstractUI.aspx?menuIndex=3&amp;refID=7074069&amp;Result=3","7074069")</f>
        <v>0</v>
      </c>
      <c r="B3041" t="s">
        <v>1172</v>
      </c>
      <c r="C3041" t="s">
        <v>6293</v>
      </c>
      <c r="D3041" t="s">
        <v>16649</v>
      </c>
      <c r="E3041" t="s">
        <v>19476</v>
      </c>
      <c r="F3041" t="s">
        <v>28669</v>
      </c>
      <c r="G3041" t="s">
        <v>28677</v>
      </c>
      <c r="H3041" t="s">
        <v>9998</v>
      </c>
      <c r="I3041" t="s">
        <v>28688</v>
      </c>
      <c r="J3041" t="s">
        <v>30851</v>
      </c>
      <c r="K3041" t="s">
        <v>37204</v>
      </c>
      <c r="M3041" t="s">
        <v>38711</v>
      </c>
      <c r="N3041" t="s">
        <v>41249</v>
      </c>
      <c r="O3041" t="s">
        <v>41250</v>
      </c>
      <c r="P3041">
        <v>0</v>
      </c>
      <c r="Q3041">
        <v>0</v>
      </c>
      <c r="R3041" t="s">
        <v>41252</v>
      </c>
      <c r="S3041" t="s">
        <v>41383</v>
      </c>
      <c r="T3041" t="s">
        <v>42887</v>
      </c>
      <c r="U3041" t="s">
        <v>45785</v>
      </c>
      <c r="W3041" t="s">
        <v>38711</v>
      </c>
      <c r="X3041" t="s">
        <v>41254</v>
      </c>
    </row>
    <row r="3042" spans="1:24">
      <c r="A3042">
        <f>HYPERLINK("https://www.philgeps.gov.ph/GEPSNONPILOT/Tender/SplashBidNoticeAbstractUI.aspx?menuIndex=3&amp;refID=7074068&amp;Result=3","7074068")</f>
        <v>0</v>
      </c>
      <c r="B3042" t="s">
        <v>996</v>
      </c>
      <c r="C3042" t="s">
        <v>6294</v>
      </c>
      <c r="E3042" t="s">
        <v>19477</v>
      </c>
      <c r="F3042" t="s">
        <v>28669</v>
      </c>
      <c r="G3042" t="s">
        <v>28676</v>
      </c>
      <c r="H3042" t="s">
        <v>9998</v>
      </c>
      <c r="I3042" t="s">
        <v>6606</v>
      </c>
      <c r="J3042" t="s">
        <v>30852</v>
      </c>
      <c r="K3042" t="s">
        <v>37209</v>
      </c>
      <c r="M3042" t="s">
        <v>38524</v>
      </c>
      <c r="N3042" t="s">
        <v>41249</v>
      </c>
      <c r="O3042" t="s">
        <v>41250</v>
      </c>
      <c r="P3042">
        <v>0</v>
      </c>
      <c r="Q3042">
        <v>0</v>
      </c>
      <c r="R3042" t="s">
        <v>41252</v>
      </c>
      <c r="S3042" t="s">
        <v>41383</v>
      </c>
      <c r="T3042" t="s">
        <v>42729</v>
      </c>
      <c r="U3042" t="s">
        <v>45786</v>
      </c>
      <c r="W3042" t="s">
        <v>38524</v>
      </c>
      <c r="X3042" t="s">
        <v>41254</v>
      </c>
    </row>
    <row r="3043" spans="1:24">
      <c r="A3043">
        <f>HYPERLINK("https://www.philgeps.gov.ph/GEPSNONPILOT/Tender/SplashBidNoticeAbstractUI.aspx?menuIndex=3&amp;refID=7074067&amp;Result=3","7074067")</f>
        <v>0</v>
      </c>
      <c r="B3043" t="s">
        <v>965</v>
      </c>
      <c r="C3043" t="s">
        <v>6295</v>
      </c>
      <c r="D3043" t="s">
        <v>16608</v>
      </c>
      <c r="E3043" t="s">
        <v>19478</v>
      </c>
      <c r="F3043" t="s">
        <v>28669</v>
      </c>
      <c r="G3043" t="s">
        <v>28675</v>
      </c>
      <c r="H3043" t="s">
        <v>9998</v>
      </c>
      <c r="I3043" t="s">
        <v>6128</v>
      </c>
      <c r="J3043" t="s">
        <v>30853</v>
      </c>
      <c r="K3043" t="s">
        <v>37205</v>
      </c>
      <c r="M3043" t="s">
        <v>38759</v>
      </c>
      <c r="N3043" t="s">
        <v>41249</v>
      </c>
      <c r="O3043" t="s">
        <v>41250</v>
      </c>
      <c r="P3043">
        <v>0</v>
      </c>
      <c r="Q3043">
        <v>1</v>
      </c>
      <c r="R3043" t="s">
        <v>41252</v>
      </c>
      <c r="S3043" t="s">
        <v>41383</v>
      </c>
      <c r="T3043" t="s">
        <v>42703</v>
      </c>
      <c r="U3043" t="s">
        <v>44022</v>
      </c>
      <c r="W3043" t="s">
        <v>38759</v>
      </c>
      <c r="X3043" t="s">
        <v>41254</v>
      </c>
    </row>
    <row r="3044" spans="1:24">
      <c r="A3044">
        <f>HYPERLINK("https://www.philgeps.gov.ph/GEPSNONPILOT/Tender/SplashBidNoticeAbstractUI.aspx?menuIndex=3&amp;refID=7074047&amp;Result=3","7074047")</f>
        <v>0</v>
      </c>
      <c r="B3044" t="s">
        <v>1251</v>
      </c>
      <c r="C3044" t="s">
        <v>6296</v>
      </c>
      <c r="D3044" t="s">
        <v>16684</v>
      </c>
      <c r="E3044" t="s">
        <v>19479</v>
      </c>
      <c r="F3044" t="s">
        <v>28669</v>
      </c>
      <c r="G3044" t="s">
        <v>28676</v>
      </c>
      <c r="H3044" t="s">
        <v>9998</v>
      </c>
      <c r="I3044" t="s">
        <v>28745</v>
      </c>
      <c r="J3044" t="s">
        <v>29060</v>
      </c>
      <c r="K3044" t="s">
        <v>37208</v>
      </c>
      <c r="M3044" t="s">
        <v>38798</v>
      </c>
      <c r="N3044" t="s">
        <v>41249</v>
      </c>
      <c r="O3044" t="s">
        <v>41250</v>
      </c>
      <c r="P3044">
        <v>0</v>
      </c>
      <c r="Q3044">
        <v>0</v>
      </c>
      <c r="R3044" t="s">
        <v>41252</v>
      </c>
      <c r="S3044" t="s">
        <v>41383</v>
      </c>
      <c r="T3044" t="s">
        <v>42665</v>
      </c>
      <c r="U3044" t="s">
        <v>45787</v>
      </c>
      <c r="V3044" t="s">
        <v>54613</v>
      </c>
      <c r="W3044" t="s">
        <v>38798</v>
      </c>
      <c r="X3044" t="s">
        <v>41254</v>
      </c>
    </row>
    <row r="3045" spans="1:24">
      <c r="A3045">
        <f>HYPERLINK("https://www.philgeps.gov.ph/GEPSNONPILOT/Tender/SplashBidNoticeAbstractUI.aspx?menuIndex=3&amp;refID=7074065&amp;Result=3","7074065")</f>
        <v>0</v>
      </c>
      <c r="B3045" t="s">
        <v>1252</v>
      </c>
      <c r="C3045" t="s">
        <v>6297</v>
      </c>
      <c r="D3045" t="s">
        <v>16608</v>
      </c>
      <c r="E3045" t="s">
        <v>16807</v>
      </c>
      <c r="F3045" t="s">
        <v>28669</v>
      </c>
      <c r="G3045" t="s">
        <v>28675</v>
      </c>
      <c r="H3045" t="s">
        <v>9998</v>
      </c>
      <c r="I3045" t="s">
        <v>5213</v>
      </c>
      <c r="J3045" t="s">
        <v>30854</v>
      </c>
      <c r="K3045" t="s">
        <v>37206</v>
      </c>
      <c r="M3045" t="s">
        <v>38799</v>
      </c>
      <c r="N3045" t="s">
        <v>41249</v>
      </c>
      <c r="O3045" t="s">
        <v>41250</v>
      </c>
      <c r="P3045">
        <v>0</v>
      </c>
      <c r="Q3045">
        <v>2</v>
      </c>
      <c r="R3045" t="s">
        <v>41252</v>
      </c>
      <c r="S3045" t="s">
        <v>41383</v>
      </c>
      <c r="T3045" t="s">
        <v>42679</v>
      </c>
      <c r="U3045" t="s">
        <v>45788</v>
      </c>
      <c r="W3045" t="s">
        <v>38799</v>
      </c>
      <c r="X3045" t="s">
        <v>41254</v>
      </c>
    </row>
    <row r="3046" spans="1:24">
      <c r="A3046">
        <f>HYPERLINK("https://www.philgeps.gov.ph/GEPSNONPILOT/Tender/SplashBidNoticeAbstractUI.aspx?menuIndex=3&amp;refID=7074063&amp;Result=3","7074063")</f>
        <v>0</v>
      </c>
      <c r="B3046" t="s">
        <v>1253</v>
      </c>
      <c r="C3046" t="s">
        <v>6298</v>
      </c>
      <c r="D3046" t="s">
        <v>16686</v>
      </c>
      <c r="E3046" t="s">
        <v>19480</v>
      </c>
      <c r="F3046" t="s">
        <v>28669</v>
      </c>
      <c r="G3046" t="s">
        <v>28676</v>
      </c>
      <c r="H3046" t="s">
        <v>9998</v>
      </c>
      <c r="I3046" t="s">
        <v>28726</v>
      </c>
      <c r="J3046" t="s">
        <v>29040</v>
      </c>
      <c r="K3046" t="s">
        <v>37208</v>
      </c>
      <c r="M3046" t="s">
        <v>38800</v>
      </c>
      <c r="N3046" t="s">
        <v>41249</v>
      </c>
      <c r="O3046" t="s">
        <v>41250</v>
      </c>
      <c r="P3046">
        <v>0</v>
      </c>
      <c r="Q3046">
        <v>0</v>
      </c>
      <c r="R3046" t="s">
        <v>41252</v>
      </c>
      <c r="S3046" t="s">
        <v>41383</v>
      </c>
      <c r="T3046" t="s">
        <v>42736</v>
      </c>
      <c r="U3046" t="s">
        <v>45789</v>
      </c>
      <c r="W3046" t="s">
        <v>38800</v>
      </c>
      <c r="X3046" t="s">
        <v>41254</v>
      </c>
    </row>
    <row r="3047" spans="1:24">
      <c r="A3047">
        <f>HYPERLINK("https://www.philgeps.gov.ph/GEPSNONPILOT/Tender/SplashBidNoticeAbstractUI.aspx?menuIndex=3&amp;refID=7074061&amp;Result=3","7074061")</f>
        <v>0</v>
      </c>
      <c r="B3047" t="s">
        <v>480</v>
      </c>
      <c r="C3047" t="s">
        <v>6299</v>
      </c>
      <c r="D3047" t="s">
        <v>16617</v>
      </c>
      <c r="E3047" t="s">
        <v>19481</v>
      </c>
      <c r="F3047" t="s">
        <v>28669</v>
      </c>
      <c r="G3047" t="s">
        <v>28675</v>
      </c>
      <c r="H3047" t="s">
        <v>28686</v>
      </c>
      <c r="I3047" t="s">
        <v>28689</v>
      </c>
      <c r="J3047" t="s">
        <v>30855</v>
      </c>
      <c r="K3047" t="s">
        <v>37215</v>
      </c>
      <c r="M3047" t="s">
        <v>37968</v>
      </c>
      <c r="N3047" t="s">
        <v>41249</v>
      </c>
      <c r="O3047" t="s">
        <v>41250</v>
      </c>
      <c r="P3047">
        <v>0</v>
      </c>
      <c r="Q3047">
        <v>0</v>
      </c>
      <c r="R3047" t="s">
        <v>41252</v>
      </c>
      <c r="S3047" t="s">
        <v>41383</v>
      </c>
      <c r="T3047" t="s">
        <v>42920</v>
      </c>
      <c r="U3047" t="s">
        <v>45790</v>
      </c>
      <c r="W3047" t="s">
        <v>37968</v>
      </c>
      <c r="X3047" t="s">
        <v>41254</v>
      </c>
    </row>
    <row r="3048" spans="1:24">
      <c r="A3048">
        <f>HYPERLINK("https://www.philgeps.gov.ph/GEPSNONPILOT/Tender/SplashBidNoticeAbstractUI.aspx?menuIndex=3&amp;refID=7074072&amp;Result=3","7074072")</f>
        <v>0</v>
      </c>
      <c r="B3048" t="s">
        <v>1254</v>
      </c>
      <c r="C3048" t="s">
        <v>6300</v>
      </c>
      <c r="D3048" t="s">
        <v>16668</v>
      </c>
      <c r="E3048" t="s">
        <v>19482</v>
      </c>
      <c r="F3048" t="s">
        <v>28669</v>
      </c>
      <c r="G3048" t="s">
        <v>28675</v>
      </c>
      <c r="H3048" t="s">
        <v>9998</v>
      </c>
      <c r="I3048" t="s">
        <v>28743</v>
      </c>
      <c r="J3048" t="s">
        <v>30856</v>
      </c>
      <c r="K3048" t="s">
        <v>37238</v>
      </c>
      <c r="M3048" t="s">
        <v>38801</v>
      </c>
      <c r="N3048" t="s">
        <v>41249</v>
      </c>
      <c r="O3048" t="s">
        <v>41250</v>
      </c>
      <c r="P3048">
        <v>0</v>
      </c>
      <c r="Q3048">
        <v>2</v>
      </c>
      <c r="R3048" t="s">
        <v>41252</v>
      </c>
      <c r="S3048" t="s">
        <v>41383</v>
      </c>
      <c r="T3048" t="s">
        <v>42715</v>
      </c>
      <c r="U3048" t="s">
        <v>45791</v>
      </c>
      <c r="W3048" t="s">
        <v>38801</v>
      </c>
      <c r="X3048" t="s">
        <v>41254</v>
      </c>
    </row>
    <row r="3049" spans="1:24">
      <c r="A3049">
        <f>HYPERLINK("https://www.philgeps.gov.ph/GEPSNONPILOT/Tender/SplashBidNoticeAbstractUI.aspx?menuIndex=3&amp;refID=7074058&amp;Result=3","7074058")</f>
        <v>0</v>
      </c>
      <c r="B3049" t="s">
        <v>1166</v>
      </c>
      <c r="C3049" t="s">
        <v>6301</v>
      </c>
      <c r="D3049" t="s">
        <v>16631</v>
      </c>
      <c r="E3049" t="s">
        <v>19483</v>
      </c>
      <c r="F3049" t="s">
        <v>28669</v>
      </c>
      <c r="G3049" t="s">
        <v>28675</v>
      </c>
      <c r="H3049" t="s">
        <v>28686</v>
      </c>
      <c r="I3049" t="s">
        <v>28689</v>
      </c>
      <c r="J3049" t="s">
        <v>30614</v>
      </c>
      <c r="K3049" t="s">
        <v>37207</v>
      </c>
      <c r="M3049" t="s">
        <v>38705</v>
      </c>
      <c r="N3049" t="s">
        <v>41249</v>
      </c>
      <c r="O3049" t="s">
        <v>41250</v>
      </c>
      <c r="P3049">
        <v>0</v>
      </c>
      <c r="Q3049">
        <v>0</v>
      </c>
      <c r="R3049" t="s">
        <v>41252</v>
      </c>
      <c r="S3049" t="s">
        <v>41383</v>
      </c>
      <c r="T3049" t="s">
        <v>42763</v>
      </c>
      <c r="U3049" t="s">
        <v>45792</v>
      </c>
      <c r="V3049" t="s">
        <v>54590</v>
      </c>
      <c r="W3049" t="s">
        <v>38705</v>
      </c>
      <c r="X3049" t="s">
        <v>41254</v>
      </c>
    </row>
    <row r="3050" spans="1:24">
      <c r="A3050">
        <f>HYPERLINK("https://www.philgeps.gov.ph/GEPSNONPILOT/Tender/SplashBidNoticeAbstractUI.aspx?menuIndex=3&amp;refID=7074057&amp;Result=3","7074057")</f>
        <v>0</v>
      </c>
      <c r="B3050" t="s">
        <v>1255</v>
      </c>
      <c r="C3050" t="s">
        <v>6302</v>
      </c>
      <c r="D3050" t="s">
        <v>16668</v>
      </c>
      <c r="E3050" t="s">
        <v>19484</v>
      </c>
      <c r="F3050" t="s">
        <v>28669</v>
      </c>
      <c r="G3050" t="s">
        <v>28675</v>
      </c>
      <c r="H3050" t="s">
        <v>9998</v>
      </c>
      <c r="I3050" t="s">
        <v>7352</v>
      </c>
      <c r="J3050" t="s">
        <v>29869</v>
      </c>
      <c r="K3050" t="s">
        <v>37204</v>
      </c>
      <c r="M3050" t="s">
        <v>38802</v>
      </c>
      <c r="N3050" t="s">
        <v>41249</v>
      </c>
      <c r="O3050" t="s">
        <v>41250</v>
      </c>
      <c r="P3050">
        <v>0</v>
      </c>
      <c r="Q3050">
        <v>0</v>
      </c>
      <c r="R3050" t="s">
        <v>41252</v>
      </c>
      <c r="S3050" t="s">
        <v>41383</v>
      </c>
      <c r="T3050" t="s">
        <v>42686</v>
      </c>
      <c r="U3050" t="s">
        <v>45793</v>
      </c>
      <c r="W3050" t="s">
        <v>38802</v>
      </c>
      <c r="X3050" t="s">
        <v>41254</v>
      </c>
    </row>
    <row r="3051" spans="1:24">
      <c r="A3051">
        <f>HYPERLINK("https://www.philgeps.gov.ph/GEPSNONPILOT/Tender/SplashBidNoticeAbstractUI.aspx?menuIndex=3&amp;refID=7074062&amp;Result=3","7074062")</f>
        <v>0</v>
      </c>
      <c r="B3051" t="s">
        <v>51</v>
      </c>
      <c r="C3051" t="s">
        <v>6303</v>
      </c>
      <c r="D3051" t="s">
        <v>16631</v>
      </c>
      <c r="E3051" t="s">
        <v>19485</v>
      </c>
      <c r="F3051" t="s">
        <v>28669</v>
      </c>
      <c r="G3051" t="s">
        <v>28676</v>
      </c>
      <c r="H3051" t="s">
        <v>9998</v>
      </c>
      <c r="I3051" t="s">
        <v>5286</v>
      </c>
      <c r="J3051" t="s">
        <v>30857</v>
      </c>
      <c r="K3051" t="s">
        <v>37204</v>
      </c>
      <c r="M3051" t="s">
        <v>38699</v>
      </c>
      <c r="N3051" t="s">
        <v>41249</v>
      </c>
      <c r="O3051" t="s">
        <v>41250</v>
      </c>
      <c r="P3051">
        <v>0</v>
      </c>
      <c r="Q3051">
        <v>0</v>
      </c>
      <c r="R3051" t="s">
        <v>41252</v>
      </c>
      <c r="S3051" t="s">
        <v>41383</v>
      </c>
      <c r="T3051" t="s">
        <v>42670</v>
      </c>
      <c r="U3051" t="s">
        <v>45794</v>
      </c>
      <c r="W3051" t="s">
        <v>38699</v>
      </c>
      <c r="X3051" t="s">
        <v>41254</v>
      </c>
    </row>
    <row r="3052" spans="1:24">
      <c r="A3052">
        <f>HYPERLINK("https://www.philgeps.gov.ph/GEPSNONPILOT/Tender/SplashBidNoticeAbstractUI.aspx?menuIndex=3&amp;refID=7074060&amp;Result=3","7074060")</f>
        <v>0</v>
      </c>
      <c r="B3052" t="s">
        <v>697</v>
      </c>
      <c r="C3052" t="s">
        <v>6304</v>
      </c>
      <c r="D3052" t="s">
        <v>16608</v>
      </c>
      <c r="E3052" t="s">
        <v>19486</v>
      </c>
      <c r="F3052" t="s">
        <v>28669</v>
      </c>
      <c r="G3052" t="s">
        <v>28676</v>
      </c>
      <c r="H3052" t="s">
        <v>9998</v>
      </c>
      <c r="I3052" t="s">
        <v>28731</v>
      </c>
      <c r="J3052" t="s">
        <v>29809</v>
      </c>
      <c r="K3052" t="s">
        <v>37243</v>
      </c>
      <c r="M3052" t="s">
        <v>38803</v>
      </c>
      <c r="N3052" t="s">
        <v>41249</v>
      </c>
      <c r="O3052" t="s">
        <v>41250</v>
      </c>
      <c r="P3052">
        <v>0</v>
      </c>
      <c r="Q3052">
        <v>12</v>
      </c>
      <c r="R3052" t="s">
        <v>41252</v>
      </c>
      <c r="S3052" t="s">
        <v>41383</v>
      </c>
      <c r="T3052" t="s">
        <v>42736</v>
      </c>
      <c r="U3052" t="s">
        <v>45795</v>
      </c>
      <c r="V3052" t="s">
        <v>54614</v>
      </c>
      <c r="W3052" t="s">
        <v>38803</v>
      </c>
      <c r="X3052" t="s">
        <v>41254</v>
      </c>
    </row>
    <row r="3053" spans="1:24">
      <c r="A3053">
        <f>HYPERLINK("https://www.philgeps.gov.ph/GEPSNONPILOT/Tender/SplashBidNoticeAbstractUI.aspx?menuIndex=3&amp;refID=7074059&amp;Result=3","7074059")</f>
        <v>0</v>
      </c>
      <c r="B3053" t="s">
        <v>1256</v>
      </c>
      <c r="C3053" t="s">
        <v>6305</v>
      </c>
      <c r="D3053" t="s">
        <v>16668</v>
      </c>
      <c r="E3053" t="s">
        <v>19487</v>
      </c>
      <c r="F3053" t="s">
        <v>28669</v>
      </c>
      <c r="G3053" t="s">
        <v>28676</v>
      </c>
      <c r="H3053" t="s">
        <v>9998</v>
      </c>
      <c r="I3053" t="s">
        <v>28758</v>
      </c>
      <c r="J3053" t="s">
        <v>30858</v>
      </c>
      <c r="K3053" t="s">
        <v>37220</v>
      </c>
      <c r="M3053" t="s">
        <v>38804</v>
      </c>
      <c r="N3053" t="s">
        <v>41249</v>
      </c>
      <c r="O3053" t="s">
        <v>41250</v>
      </c>
      <c r="P3053">
        <v>0</v>
      </c>
      <c r="Q3053">
        <v>0</v>
      </c>
      <c r="R3053" t="s">
        <v>41252</v>
      </c>
      <c r="S3053" t="s">
        <v>41383</v>
      </c>
      <c r="T3053" t="s">
        <v>42921</v>
      </c>
      <c r="U3053" t="s">
        <v>45796</v>
      </c>
      <c r="W3053" t="s">
        <v>38804</v>
      </c>
      <c r="X3053" t="s">
        <v>41254</v>
      </c>
    </row>
    <row r="3054" spans="1:24">
      <c r="A3054">
        <f>HYPERLINK("https://www.philgeps.gov.ph/GEPSNONPILOT/Tender/SplashBidNoticeAbstractUI.aspx?menuIndex=3&amp;refID=7074051&amp;Result=3","7074051")</f>
        <v>0</v>
      </c>
      <c r="B3054" t="s">
        <v>991</v>
      </c>
      <c r="C3054" t="s">
        <v>6306</v>
      </c>
      <c r="E3054" t="s">
        <v>19488</v>
      </c>
      <c r="F3054" t="s">
        <v>28669</v>
      </c>
      <c r="G3054" t="s">
        <v>28676</v>
      </c>
      <c r="H3054" t="s">
        <v>9998</v>
      </c>
      <c r="I3054" t="s">
        <v>28722</v>
      </c>
      <c r="J3054" t="s">
        <v>30859</v>
      </c>
      <c r="K3054" t="s">
        <v>37220</v>
      </c>
      <c r="M3054" t="s">
        <v>38805</v>
      </c>
      <c r="N3054" t="s">
        <v>41249</v>
      </c>
      <c r="O3054" t="s">
        <v>41250</v>
      </c>
      <c r="P3054">
        <v>0</v>
      </c>
      <c r="Q3054">
        <v>2</v>
      </c>
      <c r="R3054" t="s">
        <v>41252</v>
      </c>
      <c r="S3054" t="s">
        <v>41383</v>
      </c>
      <c r="T3054" t="s">
        <v>42922</v>
      </c>
      <c r="U3054" t="s">
        <v>45797</v>
      </c>
      <c r="V3054" t="s">
        <v>54615</v>
      </c>
      <c r="W3054" t="s">
        <v>38518</v>
      </c>
      <c r="X3054" t="s">
        <v>41254</v>
      </c>
    </row>
    <row r="3055" spans="1:24">
      <c r="A3055">
        <f>HYPERLINK("https://www.philgeps.gov.ph/GEPSNONPILOT/Tender/SplashBidNoticeAbstractUI.aspx?menuIndex=3&amp;refID=7073953&amp;Result=3","7073953")</f>
        <v>0</v>
      </c>
      <c r="B3055" t="s">
        <v>1120</v>
      </c>
      <c r="C3055" t="s">
        <v>6307</v>
      </c>
      <c r="D3055" t="s">
        <v>16644</v>
      </c>
      <c r="E3055" t="s">
        <v>19489</v>
      </c>
      <c r="F3055" t="s">
        <v>28669</v>
      </c>
      <c r="G3055" t="s">
        <v>28677</v>
      </c>
      <c r="H3055" t="s">
        <v>9998</v>
      </c>
      <c r="I3055" t="s">
        <v>3718</v>
      </c>
      <c r="J3055" t="s">
        <v>29143</v>
      </c>
      <c r="K3055" t="s">
        <v>37204</v>
      </c>
      <c r="M3055" t="s">
        <v>38654</v>
      </c>
      <c r="N3055" t="s">
        <v>41249</v>
      </c>
      <c r="O3055" t="s">
        <v>41250</v>
      </c>
      <c r="P3055">
        <v>0</v>
      </c>
      <c r="Q3055">
        <v>0</v>
      </c>
      <c r="R3055" t="s">
        <v>41252</v>
      </c>
      <c r="S3055" t="s">
        <v>41383</v>
      </c>
      <c r="T3055" t="s">
        <v>42758</v>
      </c>
      <c r="U3055" t="s">
        <v>45798</v>
      </c>
      <c r="W3055" t="s">
        <v>38654</v>
      </c>
      <c r="X3055" t="s">
        <v>41254</v>
      </c>
    </row>
    <row r="3056" spans="1:24">
      <c r="A3056">
        <f>HYPERLINK("https://www.philgeps.gov.ph/GEPSNONPILOT/Tender/SplashBidNoticeAbstractUI.aspx?menuIndex=3&amp;refID=7074033&amp;Result=3","7074033")</f>
        <v>0</v>
      </c>
      <c r="B3056" t="s">
        <v>1257</v>
      </c>
      <c r="C3056" t="s">
        <v>6308</v>
      </c>
      <c r="D3056" t="s">
        <v>16639</v>
      </c>
      <c r="E3056" t="s">
        <v>19490</v>
      </c>
      <c r="F3056" t="s">
        <v>28669</v>
      </c>
      <c r="G3056" t="s">
        <v>28676</v>
      </c>
      <c r="H3056" t="s">
        <v>9998</v>
      </c>
      <c r="I3056" t="s">
        <v>3718</v>
      </c>
      <c r="J3056" t="s">
        <v>28894</v>
      </c>
      <c r="K3056" t="s">
        <v>37205</v>
      </c>
      <c r="M3056" t="s">
        <v>38806</v>
      </c>
      <c r="N3056" t="s">
        <v>41249</v>
      </c>
      <c r="O3056" t="s">
        <v>41250</v>
      </c>
      <c r="P3056">
        <v>0</v>
      </c>
      <c r="Q3056">
        <v>2</v>
      </c>
      <c r="R3056" t="s">
        <v>41252</v>
      </c>
      <c r="S3056" t="s">
        <v>41383</v>
      </c>
      <c r="T3056" t="s">
        <v>42748</v>
      </c>
      <c r="U3056" t="s">
        <v>45799</v>
      </c>
      <c r="W3056" t="s">
        <v>38806</v>
      </c>
      <c r="X3056" t="s">
        <v>41254</v>
      </c>
    </row>
    <row r="3057" spans="1:24">
      <c r="A3057">
        <f>HYPERLINK("https://www.philgeps.gov.ph/GEPSNONPILOT/Tender/SplashBidNoticeAbstractUI.aspx?menuIndex=3&amp;refID=7074056&amp;Result=3","7074056")</f>
        <v>0</v>
      </c>
      <c r="B3057" t="s">
        <v>1244</v>
      </c>
      <c r="C3057" t="s">
        <v>6309</v>
      </c>
      <c r="D3057" t="s">
        <v>16686</v>
      </c>
      <c r="E3057" t="s">
        <v>19491</v>
      </c>
      <c r="F3057" t="s">
        <v>28669</v>
      </c>
      <c r="G3057" t="s">
        <v>28676</v>
      </c>
      <c r="H3057" t="s">
        <v>9998</v>
      </c>
      <c r="I3057" t="s">
        <v>6606</v>
      </c>
      <c r="J3057" t="s">
        <v>29040</v>
      </c>
      <c r="K3057" t="s">
        <v>37210</v>
      </c>
      <c r="M3057" t="s">
        <v>38791</v>
      </c>
      <c r="N3057" t="s">
        <v>41249</v>
      </c>
      <c r="O3057" t="s">
        <v>41250</v>
      </c>
      <c r="P3057">
        <v>0</v>
      </c>
      <c r="Q3057">
        <v>0</v>
      </c>
      <c r="R3057" t="s">
        <v>41252</v>
      </c>
      <c r="S3057" t="s">
        <v>41383</v>
      </c>
      <c r="T3057" t="s">
        <v>42711</v>
      </c>
      <c r="U3057" t="s">
        <v>45800</v>
      </c>
      <c r="W3057" t="s">
        <v>38791</v>
      </c>
      <c r="X3057" t="s">
        <v>41254</v>
      </c>
    </row>
    <row r="3058" spans="1:24">
      <c r="A3058">
        <f>HYPERLINK("https://www.philgeps.gov.ph/GEPSNONPILOT/Tender/SplashBidNoticeAbstractUI.aspx?menuIndex=3&amp;refID=7074032&amp;Result=3","7074032")</f>
        <v>0</v>
      </c>
      <c r="B3058" t="s">
        <v>659</v>
      </c>
      <c r="C3058" t="s">
        <v>6310</v>
      </c>
      <c r="D3058" t="s">
        <v>16643</v>
      </c>
      <c r="E3058" t="s">
        <v>19492</v>
      </c>
      <c r="F3058" t="s">
        <v>28669</v>
      </c>
      <c r="G3058" t="s">
        <v>28678</v>
      </c>
      <c r="H3058" t="s">
        <v>9998</v>
      </c>
      <c r="I3058" t="s">
        <v>6458</v>
      </c>
      <c r="J3058" t="s">
        <v>30860</v>
      </c>
      <c r="K3058" t="s">
        <v>37204</v>
      </c>
      <c r="M3058" t="s">
        <v>38161</v>
      </c>
      <c r="N3058" t="s">
        <v>41249</v>
      </c>
      <c r="O3058" t="s">
        <v>41250</v>
      </c>
      <c r="P3058">
        <v>0</v>
      </c>
      <c r="Q3058">
        <v>1</v>
      </c>
      <c r="R3058" t="s">
        <v>41252</v>
      </c>
      <c r="S3058" t="s">
        <v>41383</v>
      </c>
      <c r="T3058" t="s">
        <v>42736</v>
      </c>
      <c r="U3058" t="s">
        <v>45801</v>
      </c>
      <c r="W3058" t="s">
        <v>55925</v>
      </c>
      <c r="X3058" t="s">
        <v>41254</v>
      </c>
    </row>
    <row r="3059" spans="1:24">
      <c r="A3059">
        <f>HYPERLINK("https://www.philgeps.gov.ph/GEPSNONPILOT/Tender/SplashBidNoticeAbstractUI.aspx?menuIndex=3&amp;refID=7074054&amp;Result=3","7074054")</f>
        <v>0</v>
      </c>
      <c r="B3059" t="s">
        <v>659</v>
      </c>
      <c r="C3059" t="s">
        <v>6311</v>
      </c>
      <c r="D3059" t="s">
        <v>16643</v>
      </c>
      <c r="E3059" t="s">
        <v>19493</v>
      </c>
      <c r="F3059" t="s">
        <v>28669</v>
      </c>
      <c r="G3059" t="s">
        <v>28678</v>
      </c>
      <c r="H3059" t="s">
        <v>9998</v>
      </c>
      <c r="I3059" t="s">
        <v>28688</v>
      </c>
      <c r="J3059" t="s">
        <v>28894</v>
      </c>
      <c r="K3059" t="s">
        <v>37204</v>
      </c>
      <c r="M3059" t="s">
        <v>38161</v>
      </c>
      <c r="N3059" t="s">
        <v>41249</v>
      </c>
      <c r="O3059" t="s">
        <v>41250</v>
      </c>
      <c r="P3059">
        <v>0</v>
      </c>
      <c r="Q3059">
        <v>1</v>
      </c>
      <c r="R3059" t="s">
        <v>41252</v>
      </c>
      <c r="S3059" t="s">
        <v>41383</v>
      </c>
      <c r="T3059" t="s">
        <v>42736</v>
      </c>
      <c r="U3059" t="s">
        <v>45802</v>
      </c>
      <c r="W3059" t="s">
        <v>55925</v>
      </c>
      <c r="X3059" t="s">
        <v>41254</v>
      </c>
    </row>
    <row r="3060" spans="1:24">
      <c r="A3060">
        <f>HYPERLINK("https://www.philgeps.gov.ph/GEPSNONPILOT/Tender/SplashBidNoticeAbstractUI.aspx?menuIndex=3&amp;refID=7074029&amp;Result=3","7074029")</f>
        <v>0</v>
      </c>
      <c r="B3060" t="s">
        <v>1258</v>
      </c>
      <c r="C3060" t="s">
        <v>6312</v>
      </c>
      <c r="D3060" t="s">
        <v>16663</v>
      </c>
      <c r="E3060" t="s">
        <v>19494</v>
      </c>
      <c r="F3060" t="s">
        <v>28669</v>
      </c>
      <c r="G3060" t="s">
        <v>28677</v>
      </c>
      <c r="H3060" t="s">
        <v>9998</v>
      </c>
      <c r="I3060" t="s">
        <v>6128</v>
      </c>
      <c r="J3060" t="s">
        <v>30861</v>
      </c>
      <c r="K3060" t="s">
        <v>37227</v>
      </c>
      <c r="M3060" t="s">
        <v>38807</v>
      </c>
      <c r="N3060" t="s">
        <v>41249</v>
      </c>
      <c r="O3060" t="s">
        <v>41250</v>
      </c>
      <c r="P3060">
        <v>0</v>
      </c>
      <c r="Q3060">
        <v>0</v>
      </c>
      <c r="R3060" t="s">
        <v>41252</v>
      </c>
      <c r="S3060" t="s">
        <v>41383</v>
      </c>
      <c r="T3060" t="s">
        <v>42679</v>
      </c>
      <c r="U3060" t="s">
        <v>45803</v>
      </c>
      <c r="W3060" t="s">
        <v>38807</v>
      </c>
      <c r="X3060" t="s">
        <v>41254</v>
      </c>
    </row>
    <row r="3061" spans="1:24">
      <c r="A3061">
        <f>HYPERLINK("https://www.philgeps.gov.ph/GEPSNONPILOT/Tender/SplashBidNoticeAbstractUI.aspx?menuIndex=3&amp;refID=7074101&amp;Result=3","7074101")</f>
        <v>0</v>
      </c>
      <c r="B3061" t="s">
        <v>529</v>
      </c>
      <c r="C3061" t="s">
        <v>6313</v>
      </c>
      <c r="D3061" t="s">
        <v>16626</v>
      </c>
      <c r="E3061" t="s">
        <v>19495</v>
      </c>
      <c r="F3061" t="s">
        <v>28669</v>
      </c>
      <c r="G3061" t="s">
        <v>28676</v>
      </c>
      <c r="H3061" t="s">
        <v>9998</v>
      </c>
      <c r="I3061" t="s">
        <v>28688</v>
      </c>
      <c r="J3061" t="s">
        <v>30862</v>
      </c>
      <c r="K3061" t="s">
        <v>37206</v>
      </c>
      <c r="M3061" t="s">
        <v>38020</v>
      </c>
      <c r="N3061" t="s">
        <v>41249</v>
      </c>
      <c r="O3061" t="s">
        <v>41250</v>
      </c>
      <c r="P3061">
        <v>0</v>
      </c>
      <c r="Q3061">
        <v>13</v>
      </c>
      <c r="R3061" t="s">
        <v>41252</v>
      </c>
      <c r="S3061" t="s">
        <v>41383</v>
      </c>
      <c r="T3061" t="s">
        <v>42736</v>
      </c>
      <c r="U3061" t="s">
        <v>45804</v>
      </c>
      <c r="W3061" t="s">
        <v>38020</v>
      </c>
      <c r="X3061" t="s">
        <v>41254</v>
      </c>
    </row>
    <row r="3062" spans="1:24">
      <c r="A3062">
        <f>HYPERLINK("https://www.philgeps.gov.ph/GEPSNONPILOT/Tender/SplashBidNoticeAbstractUI.aspx?menuIndex=3&amp;refID=7074052&amp;Result=3","7074052")</f>
        <v>0</v>
      </c>
      <c r="B3062" t="s">
        <v>1001</v>
      </c>
      <c r="C3062" t="s">
        <v>6314</v>
      </c>
      <c r="D3062" t="s">
        <v>16677</v>
      </c>
      <c r="E3062" t="s">
        <v>19496</v>
      </c>
      <c r="F3062" t="s">
        <v>28669</v>
      </c>
      <c r="G3062" t="s">
        <v>28675</v>
      </c>
      <c r="H3062" t="s">
        <v>28686</v>
      </c>
      <c r="I3062" t="s">
        <v>28689</v>
      </c>
      <c r="J3062" t="s">
        <v>29298</v>
      </c>
      <c r="K3062" t="s">
        <v>37212</v>
      </c>
      <c r="M3062" t="s">
        <v>38529</v>
      </c>
      <c r="N3062" t="s">
        <v>41249</v>
      </c>
      <c r="O3062" t="s">
        <v>41250</v>
      </c>
      <c r="P3062">
        <v>0</v>
      </c>
      <c r="Q3062">
        <v>2</v>
      </c>
      <c r="R3062" t="s">
        <v>41252</v>
      </c>
      <c r="S3062" t="s">
        <v>41383</v>
      </c>
      <c r="T3062" t="s">
        <v>42911</v>
      </c>
      <c r="U3062" t="s">
        <v>45302</v>
      </c>
      <c r="W3062" t="s">
        <v>38529</v>
      </c>
      <c r="X3062" t="s">
        <v>41254</v>
      </c>
    </row>
    <row r="3063" spans="1:24">
      <c r="A3063">
        <f>HYPERLINK("https://www.philgeps.gov.ph/GEPSNONPILOT/Tender/SplashBidNoticeAbstractUI.aspx?menuIndex=3&amp;refID=7074099&amp;Result=3","7074099")</f>
        <v>0</v>
      </c>
      <c r="B3063" t="s">
        <v>963</v>
      </c>
      <c r="C3063" t="s">
        <v>6315</v>
      </c>
      <c r="D3063" t="s">
        <v>16626</v>
      </c>
      <c r="E3063" t="s">
        <v>19497</v>
      </c>
      <c r="F3063" t="s">
        <v>28669</v>
      </c>
      <c r="G3063" t="s">
        <v>28675</v>
      </c>
      <c r="H3063" t="s">
        <v>9998</v>
      </c>
      <c r="I3063" t="s">
        <v>28708</v>
      </c>
      <c r="J3063" t="s">
        <v>30863</v>
      </c>
      <c r="K3063" t="s">
        <v>37209</v>
      </c>
      <c r="M3063" t="s">
        <v>38488</v>
      </c>
      <c r="N3063" t="s">
        <v>41249</v>
      </c>
      <c r="O3063" t="s">
        <v>41250</v>
      </c>
      <c r="P3063">
        <v>0</v>
      </c>
      <c r="Q3063">
        <v>0</v>
      </c>
      <c r="R3063" t="s">
        <v>41252</v>
      </c>
      <c r="S3063" t="s">
        <v>41383</v>
      </c>
      <c r="T3063" t="s">
        <v>42858</v>
      </c>
      <c r="U3063" t="s">
        <v>45805</v>
      </c>
      <c r="V3063" t="s">
        <v>54530</v>
      </c>
      <c r="W3063" t="s">
        <v>38488</v>
      </c>
      <c r="X3063" t="s">
        <v>41254</v>
      </c>
    </row>
    <row r="3064" spans="1:24">
      <c r="A3064">
        <f>HYPERLINK("https://www.philgeps.gov.ph/GEPSNONPILOT/Tender/SplashBidNoticeAbstractUI.aspx?menuIndex=3&amp;refID=7074097&amp;Result=3","7074097")</f>
        <v>0</v>
      </c>
      <c r="B3064" t="s">
        <v>1259</v>
      </c>
      <c r="C3064" t="s">
        <v>5951</v>
      </c>
      <c r="D3064" t="s">
        <v>16608</v>
      </c>
      <c r="E3064" t="s">
        <v>17189</v>
      </c>
      <c r="F3064" t="s">
        <v>28669</v>
      </c>
      <c r="G3064" t="s">
        <v>28677</v>
      </c>
      <c r="H3064" t="s">
        <v>9998</v>
      </c>
      <c r="I3064" t="s">
        <v>7352</v>
      </c>
      <c r="J3064" t="s">
        <v>28826</v>
      </c>
      <c r="K3064" t="s">
        <v>37266</v>
      </c>
      <c r="M3064" t="s">
        <v>38808</v>
      </c>
      <c r="N3064" t="s">
        <v>41249</v>
      </c>
      <c r="O3064" t="s">
        <v>41250</v>
      </c>
      <c r="P3064">
        <v>0</v>
      </c>
      <c r="Q3064">
        <v>0</v>
      </c>
      <c r="R3064" t="s">
        <v>41252</v>
      </c>
      <c r="S3064" t="s">
        <v>41383</v>
      </c>
      <c r="T3064" t="s">
        <v>42748</v>
      </c>
      <c r="U3064" t="s">
        <v>45806</v>
      </c>
      <c r="W3064" t="s">
        <v>38808</v>
      </c>
      <c r="X3064" t="s">
        <v>41254</v>
      </c>
    </row>
    <row r="3065" spans="1:24">
      <c r="A3065">
        <f>HYPERLINK("https://www.philgeps.gov.ph/GEPSNONPILOT/Tender/SplashBidNoticeAbstractUI.aspx?menuIndex=3&amp;refID=7074030&amp;Result=3","7074030")</f>
        <v>0</v>
      </c>
      <c r="B3065" t="s">
        <v>951</v>
      </c>
      <c r="C3065" t="s">
        <v>6316</v>
      </c>
      <c r="D3065" t="s">
        <v>16666</v>
      </c>
      <c r="E3065" t="s">
        <v>19498</v>
      </c>
      <c r="F3065" t="s">
        <v>28669</v>
      </c>
      <c r="G3065" t="s">
        <v>28676</v>
      </c>
      <c r="H3065" t="s">
        <v>9998</v>
      </c>
      <c r="I3065" t="s">
        <v>3679</v>
      </c>
      <c r="J3065" t="s">
        <v>30864</v>
      </c>
      <c r="K3065" t="s">
        <v>37243</v>
      </c>
      <c r="M3065" t="s">
        <v>38475</v>
      </c>
      <c r="N3065" t="s">
        <v>41249</v>
      </c>
      <c r="O3065" t="s">
        <v>41250</v>
      </c>
      <c r="P3065">
        <v>0</v>
      </c>
      <c r="Q3065">
        <v>0</v>
      </c>
      <c r="R3065" t="s">
        <v>41252</v>
      </c>
      <c r="S3065" t="s">
        <v>41383</v>
      </c>
      <c r="T3065" t="s">
        <v>42770</v>
      </c>
      <c r="U3065" t="s">
        <v>45807</v>
      </c>
      <c r="W3065" t="s">
        <v>38475</v>
      </c>
      <c r="X3065" t="s">
        <v>41254</v>
      </c>
    </row>
    <row r="3066" spans="1:24">
      <c r="A3066">
        <f>HYPERLINK("https://www.philgeps.gov.ph/GEPSNONPILOT/Tender/SplashBidNoticeAbstractUI.aspx?menuIndex=3&amp;refID=7073999&amp;Result=3","7073999")</f>
        <v>0</v>
      </c>
      <c r="B3066" t="s">
        <v>1245</v>
      </c>
      <c r="C3066" t="s">
        <v>6317</v>
      </c>
      <c r="D3066" t="s">
        <v>16670</v>
      </c>
      <c r="E3066" t="s">
        <v>19499</v>
      </c>
      <c r="F3066" t="s">
        <v>28669</v>
      </c>
      <c r="G3066" t="s">
        <v>28677</v>
      </c>
      <c r="H3066" t="s">
        <v>9998</v>
      </c>
      <c r="I3066" t="s">
        <v>28704</v>
      </c>
      <c r="J3066" t="s">
        <v>29564</v>
      </c>
      <c r="K3066" t="s">
        <v>37205</v>
      </c>
      <c r="M3066" t="s">
        <v>38792</v>
      </c>
      <c r="N3066" t="s">
        <v>41249</v>
      </c>
      <c r="O3066" t="s">
        <v>41250</v>
      </c>
      <c r="P3066">
        <v>0</v>
      </c>
      <c r="Q3066">
        <v>0</v>
      </c>
      <c r="R3066" t="s">
        <v>41252</v>
      </c>
      <c r="S3066" t="s">
        <v>41383</v>
      </c>
      <c r="T3066" t="s">
        <v>42918</v>
      </c>
      <c r="U3066" t="s">
        <v>45808</v>
      </c>
      <c r="V3066" t="s">
        <v>54611</v>
      </c>
      <c r="W3066" t="s">
        <v>38792</v>
      </c>
      <c r="X3066" t="s">
        <v>41254</v>
      </c>
    </row>
    <row r="3067" spans="1:24">
      <c r="A3067">
        <f>HYPERLINK("https://www.philgeps.gov.ph/GEPSNONPILOT/Tender/SplashBidNoticeAbstractUI.aspx?menuIndex=3&amp;refID=7074093&amp;Result=3","7074093")</f>
        <v>0</v>
      </c>
      <c r="B3067" t="s">
        <v>1001</v>
      </c>
      <c r="C3067" t="s">
        <v>6318</v>
      </c>
      <c r="D3067" t="s">
        <v>16677</v>
      </c>
      <c r="E3067" t="s">
        <v>19500</v>
      </c>
      <c r="F3067" t="s">
        <v>28669</v>
      </c>
      <c r="G3067" t="s">
        <v>28675</v>
      </c>
      <c r="H3067" t="s">
        <v>28686</v>
      </c>
      <c r="I3067" t="s">
        <v>28689</v>
      </c>
      <c r="J3067" t="s">
        <v>30865</v>
      </c>
      <c r="K3067" t="s">
        <v>37218</v>
      </c>
      <c r="M3067" t="s">
        <v>38529</v>
      </c>
      <c r="N3067" t="s">
        <v>41249</v>
      </c>
      <c r="O3067" t="s">
        <v>41250</v>
      </c>
      <c r="P3067">
        <v>0</v>
      </c>
      <c r="Q3067">
        <v>2</v>
      </c>
      <c r="R3067" t="s">
        <v>41252</v>
      </c>
      <c r="S3067" t="s">
        <v>41383</v>
      </c>
      <c r="T3067" t="s">
        <v>42911</v>
      </c>
      <c r="U3067" t="s">
        <v>45242</v>
      </c>
      <c r="W3067" t="s">
        <v>38529</v>
      </c>
      <c r="X3067" t="s">
        <v>41254</v>
      </c>
    </row>
    <row r="3068" spans="1:24">
      <c r="A3068">
        <f>HYPERLINK("https://www.philgeps.gov.ph/GEPSNONPILOT/Tender/SplashBidNoticeAbstractUI.aspx?menuIndex=3&amp;refID=7074053&amp;Result=3","7074053")</f>
        <v>0</v>
      </c>
      <c r="B3068" t="s">
        <v>330</v>
      </c>
      <c r="C3068" t="s">
        <v>6319</v>
      </c>
      <c r="D3068" t="s">
        <v>16643</v>
      </c>
      <c r="E3068" t="s">
        <v>17028</v>
      </c>
      <c r="F3068" t="s">
        <v>28669</v>
      </c>
      <c r="G3068" t="s">
        <v>28677</v>
      </c>
      <c r="H3068" t="s">
        <v>9998</v>
      </c>
      <c r="I3068" t="s">
        <v>28709</v>
      </c>
      <c r="J3068" t="s">
        <v>30866</v>
      </c>
      <c r="K3068" t="s">
        <v>37204</v>
      </c>
      <c r="M3068" t="s">
        <v>37810</v>
      </c>
      <c r="N3068" t="s">
        <v>41249</v>
      </c>
      <c r="O3068" t="s">
        <v>41250</v>
      </c>
      <c r="P3068">
        <v>0</v>
      </c>
      <c r="Q3068">
        <v>0</v>
      </c>
      <c r="R3068" t="s">
        <v>41252</v>
      </c>
      <c r="S3068" t="s">
        <v>41383</v>
      </c>
      <c r="T3068" t="s">
        <v>42742</v>
      </c>
      <c r="U3068" t="s">
        <v>43454</v>
      </c>
      <c r="W3068" t="s">
        <v>37810</v>
      </c>
      <c r="X3068" t="s">
        <v>41254</v>
      </c>
    </row>
    <row r="3069" spans="1:24">
      <c r="A3069">
        <f>HYPERLINK("https://www.philgeps.gov.ph/GEPSNONPILOT/Tender/SplashBidNoticeAbstractUI.aspx?menuIndex=3&amp;refID=7074092&amp;Result=3","7074092")</f>
        <v>0</v>
      </c>
      <c r="B3069" t="s">
        <v>1064</v>
      </c>
      <c r="C3069" t="s">
        <v>6320</v>
      </c>
      <c r="D3069" t="s">
        <v>16655</v>
      </c>
      <c r="E3069" t="s">
        <v>19501</v>
      </c>
      <c r="F3069" t="s">
        <v>28669</v>
      </c>
      <c r="G3069" t="s">
        <v>28675</v>
      </c>
      <c r="H3069" t="s">
        <v>28686</v>
      </c>
      <c r="I3069" t="s">
        <v>28689</v>
      </c>
      <c r="J3069" t="s">
        <v>30867</v>
      </c>
      <c r="K3069" t="s">
        <v>37205</v>
      </c>
      <c r="M3069" t="s">
        <v>38595</v>
      </c>
      <c r="N3069" t="s">
        <v>41249</v>
      </c>
      <c r="O3069" t="s">
        <v>41250</v>
      </c>
      <c r="P3069">
        <v>0</v>
      </c>
      <c r="Q3069">
        <v>0</v>
      </c>
      <c r="R3069" t="s">
        <v>41252</v>
      </c>
      <c r="S3069" t="s">
        <v>41383</v>
      </c>
      <c r="T3069" t="s">
        <v>42670</v>
      </c>
      <c r="U3069" t="s">
        <v>45354</v>
      </c>
      <c r="W3069" t="s">
        <v>38595</v>
      </c>
      <c r="X3069" t="s">
        <v>41254</v>
      </c>
    </row>
    <row r="3070" spans="1:24">
      <c r="A3070">
        <f>HYPERLINK("https://www.philgeps.gov.ph/GEPSNONPILOT/Tender/SplashBidNoticeAbstractUI.aspx?menuIndex=3&amp;refID=7074090&amp;Result=3","7074090")</f>
        <v>0</v>
      </c>
      <c r="B3070" t="s">
        <v>1122</v>
      </c>
      <c r="C3070" t="s">
        <v>6321</v>
      </c>
      <c r="D3070" t="s">
        <v>16616</v>
      </c>
      <c r="E3070" t="s">
        <v>19502</v>
      </c>
      <c r="F3070" t="s">
        <v>28669</v>
      </c>
      <c r="G3070" t="s">
        <v>28676</v>
      </c>
      <c r="H3070" t="s">
        <v>9998</v>
      </c>
      <c r="I3070" t="s">
        <v>11142</v>
      </c>
      <c r="J3070" t="s">
        <v>29482</v>
      </c>
      <c r="K3070" t="s">
        <v>37209</v>
      </c>
      <c r="M3070" t="s">
        <v>38656</v>
      </c>
      <c r="N3070" t="s">
        <v>41249</v>
      </c>
      <c r="O3070" t="s">
        <v>41250</v>
      </c>
      <c r="P3070">
        <v>0</v>
      </c>
      <c r="Q3070">
        <v>1</v>
      </c>
      <c r="R3070" t="s">
        <v>41252</v>
      </c>
      <c r="S3070" t="s">
        <v>41383</v>
      </c>
      <c r="T3070" t="s">
        <v>42736</v>
      </c>
      <c r="U3070" t="s">
        <v>45809</v>
      </c>
      <c r="W3070" t="s">
        <v>38656</v>
      </c>
      <c r="X3070" t="s">
        <v>41254</v>
      </c>
    </row>
    <row r="3071" spans="1:24">
      <c r="A3071">
        <f>HYPERLINK("https://www.philgeps.gov.ph/GEPSNONPILOT/Tender/SplashBidNoticeAbstractUI.aspx?menuIndex=3&amp;refID=7074089&amp;Result=3","7074089")</f>
        <v>0</v>
      </c>
      <c r="B3071" t="s">
        <v>1260</v>
      </c>
      <c r="C3071" t="s">
        <v>6322</v>
      </c>
      <c r="D3071" t="s">
        <v>16618</v>
      </c>
      <c r="E3071" t="s">
        <v>19503</v>
      </c>
      <c r="F3071" t="s">
        <v>28669</v>
      </c>
      <c r="G3071" t="s">
        <v>28675</v>
      </c>
      <c r="H3071" t="s">
        <v>28686</v>
      </c>
      <c r="I3071" t="s">
        <v>28689</v>
      </c>
      <c r="J3071" t="s">
        <v>29003</v>
      </c>
      <c r="K3071" t="s">
        <v>37213</v>
      </c>
      <c r="M3071" t="s">
        <v>38809</v>
      </c>
      <c r="N3071" t="s">
        <v>41249</v>
      </c>
      <c r="O3071" t="s">
        <v>41250</v>
      </c>
      <c r="P3071">
        <v>0</v>
      </c>
      <c r="Q3071">
        <v>0</v>
      </c>
      <c r="R3071" t="s">
        <v>41252</v>
      </c>
      <c r="S3071" t="s">
        <v>41383</v>
      </c>
      <c r="T3071" t="s">
        <v>42679</v>
      </c>
      <c r="U3071" t="s">
        <v>45810</v>
      </c>
      <c r="W3071" t="s">
        <v>38809</v>
      </c>
      <c r="X3071" t="s">
        <v>41254</v>
      </c>
    </row>
    <row r="3072" spans="1:24">
      <c r="A3072">
        <f>HYPERLINK("https://www.philgeps.gov.ph/GEPSNONPILOT/Tender/SplashBidNoticeAbstractUI.aspx?menuIndex=3&amp;refID=7074086&amp;Result=3","7074086")</f>
        <v>0</v>
      </c>
      <c r="B3072" t="s">
        <v>1261</v>
      </c>
      <c r="C3072" t="s">
        <v>6323</v>
      </c>
      <c r="E3072" t="s">
        <v>19504</v>
      </c>
      <c r="F3072" t="s">
        <v>28669</v>
      </c>
      <c r="G3072" t="s">
        <v>28679</v>
      </c>
      <c r="H3072" t="s">
        <v>9998</v>
      </c>
      <c r="I3072" t="s">
        <v>28689</v>
      </c>
      <c r="J3072" t="s">
        <v>30868</v>
      </c>
      <c r="K3072" t="s">
        <v>37209</v>
      </c>
      <c r="M3072" t="s">
        <v>38810</v>
      </c>
      <c r="N3072" t="s">
        <v>41249</v>
      </c>
      <c r="O3072" t="s">
        <v>41250</v>
      </c>
      <c r="P3072">
        <v>0</v>
      </c>
      <c r="Q3072">
        <v>0</v>
      </c>
      <c r="R3072" t="s">
        <v>41252</v>
      </c>
      <c r="S3072" t="s">
        <v>41383</v>
      </c>
      <c r="T3072" t="s">
        <v>42923</v>
      </c>
      <c r="U3072" t="s">
        <v>43611</v>
      </c>
      <c r="W3072" t="s">
        <v>38810</v>
      </c>
      <c r="X3072" t="s">
        <v>41254</v>
      </c>
    </row>
    <row r="3073" spans="1:24">
      <c r="A3073">
        <f>HYPERLINK("https://www.philgeps.gov.ph/GEPSNONPILOT/Tender/SplashBidNoticeAbstractUI.aspx?menuIndex=3&amp;refID=7074084&amp;Result=3","7074084")</f>
        <v>0</v>
      </c>
      <c r="B3073" t="s">
        <v>1172</v>
      </c>
      <c r="C3073" t="s">
        <v>6324</v>
      </c>
      <c r="D3073" t="s">
        <v>16649</v>
      </c>
      <c r="E3073" t="s">
        <v>19175</v>
      </c>
      <c r="F3073" t="s">
        <v>28669</v>
      </c>
      <c r="G3073" t="s">
        <v>28677</v>
      </c>
      <c r="H3073" t="s">
        <v>9998</v>
      </c>
      <c r="I3073" t="s">
        <v>28721</v>
      </c>
      <c r="J3073" t="s">
        <v>30869</v>
      </c>
      <c r="K3073" t="s">
        <v>37204</v>
      </c>
      <c r="M3073" t="s">
        <v>38711</v>
      </c>
      <c r="N3073" t="s">
        <v>41249</v>
      </c>
      <c r="O3073" t="s">
        <v>41250</v>
      </c>
      <c r="P3073">
        <v>0</v>
      </c>
      <c r="Q3073">
        <v>0</v>
      </c>
      <c r="R3073" t="s">
        <v>41252</v>
      </c>
      <c r="S3073" t="s">
        <v>41383</v>
      </c>
      <c r="T3073" t="s">
        <v>42887</v>
      </c>
      <c r="U3073" t="s">
        <v>45811</v>
      </c>
      <c r="W3073" t="s">
        <v>38711</v>
      </c>
      <c r="X3073" t="s">
        <v>41254</v>
      </c>
    </row>
    <row r="3074" spans="1:24">
      <c r="A3074">
        <f>HYPERLINK("https://www.philgeps.gov.ph/GEPSNONPILOT/Tender/SplashBidNoticeAbstractUI.aspx?menuIndex=3&amp;refID=7074117&amp;Result=3","7074117")</f>
        <v>0</v>
      </c>
      <c r="B3074" t="s">
        <v>1262</v>
      </c>
      <c r="C3074" t="s">
        <v>6232</v>
      </c>
      <c r="D3074" t="s">
        <v>16679</v>
      </c>
      <c r="E3074" t="s">
        <v>17029</v>
      </c>
      <c r="F3074" t="s">
        <v>28669</v>
      </c>
      <c r="G3074" t="s">
        <v>28677</v>
      </c>
      <c r="H3074" t="s">
        <v>9998</v>
      </c>
      <c r="I3074" t="s">
        <v>28729</v>
      </c>
      <c r="J3074" t="s">
        <v>29104</v>
      </c>
      <c r="K3074" t="s">
        <v>37204</v>
      </c>
      <c r="L3074" t="s">
        <v>1262</v>
      </c>
      <c r="M3074" t="s">
        <v>38811</v>
      </c>
      <c r="N3074" t="s">
        <v>41249</v>
      </c>
      <c r="O3074" t="s">
        <v>41250</v>
      </c>
      <c r="P3074">
        <v>0</v>
      </c>
      <c r="Q3074">
        <v>2</v>
      </c>
      <c r="R3074" t="s">
        <v>41252</v>
      </c>
      <c r="S3074" t="s">
        <v>41383</v>
      </c>
      <c r="T3074" t="s">
        <v>42758</v>
      </c>
      <c r="U3074" t="s">
        <v>45812</v>
      </c>
      <c r="W3074" t="s">
        <v>38811</v>
      </c>
      <c r="X3074" t="s">
        <v>41254</v>
      </c>
    </row>
    <row r="3075" spans="1:24">
      <c r="A3075">
        <f>HYPERLINK("https://www.philgeps.gov.ph/GEPSNONPILOT/Tender/SplashBidNoticeAbstractUI.aspx?menuIndex=3&amp;refID=7074095&amp;Result=3","7074095")</f>
        <v>0</v>
      </c>
      <c r="B3075" t="s">
        <v>1263</v>
      </c>
      <c r="C3075" t="s">
        <v>6325</v>
      </c>
      <c r="D3075" t="s">
        <v>16635</v>
      </c>
      <c r="E3075" t="s">
        <v>19505</v>
      </c>
      <c r="F3075" t="s">
        <v>28669</v>
      </c>
      <c r="G3075" t="s">
        <v>28675</v>
      </c>
      <c r="H3075" t="s">
        <v>28686</v>
      </c>
      <c r="I3075" t="s">
        <v>28689</v>
      </c>
      <c r="J3075" t="s">
        <v>29328</v>
      </c>
      <c r="K3075" t="s">
        <v>37221</v>
      </c>
      <c r="M3075" t="s">
        <v>38812</v>
      </c>
      <c r="N3075" t="s">
        <v>41249</v>
      </c>
      <c r="O3075" t="s">
        <v>41250</v>
      </c>
      <c r="P3075">
        <v>0</v>
      </c>
      <c r="Q3075">
        <v>0</v>
      </c>
      <c r="R3075" t="s">
        <v>41252</v>
      </c>
      <c r="S3075" t="s">
        <v>41383</v>
      </c>
      <c r="T3075" t="s">
        <v>42693</v>
      </c>
      <c r="U3075" t="s">
        <v>45813</v>
      </c>
      <c r="W3075" t="s">
        <v>38812</v>
      </c>
      <c r="X3075" t="s">
        <v>41254</v>
      </c>
    </row>
    <row r="3076" spans="1:24">
      <c r="A3076">
        <f>HYPERLINK("https://www.philgeps.gov.ph/GEPSNONPILOT/Tender/SplashBidNoticeAbstractUI.aspx?menuIndex=3&amp;refID=7074116&amp;Result=3","7074116")</f>
        <v>0</v>
      </c>
      <c r="B3076" t="s">
        <v>1264</v>
      </c>
      <c r="C3076" t="s">
        <v>6326</v>
      </c>
      <c r="D3076" t="s">
        <v>16608</v>
      </c>
      <c r="E3076" t="s">
        <v>19506</v>
      </c>
      <c r="F3076" t="s">
        <v>28669</v>
      </c>
      <c r="G3076" t="s">
        <v>28676</v>
      </c>
      <c r="H3076" t="s">
        <v>9998</v>
      </c>
      <c r="I3076" t="s">
        <v>28699</v>
      </c>
      <c r="J3076" t="s">
        <v>28826</v>
      </c>
      <c r="K3076" t="s">
        <v>37204</v>
      </c>
      <c r="M3076" t="s">
        <v>38813</v>
      </c>
      <c r="N3076" t="s">
        <v>41249</v>
      </c>
      <c r="O3076" t="s">
        <v>41250</v>
      </c>
      <c r="P3076">
        <v>0</v>
      </c>
      <c r="Q3076">
        <v>2</v>
      </c>
      <c r="R3076" t="s">
        <v>41252</v>
      </c>
      <c r="S3076" t="s">
        <v>41383</v>
      </c>
      <c r="T3076" t="s">
        <v>42663</v>
      </c>
      <c r="U3076" t="s">
        <v>45814</v>
      </c>
      <c r="V3076" t="s">
        <v>54616</v>
      </c>
      <c r="W3076" t="s">
        <v>38813</v>
      </c>
      <c r="X3076" t="s">
        <v>41254</v>
      </c>
    </row>
    <row r="3077" spans="1:24">
      <c r="A3077">
        <f>HYPERLINK("https://www.philgeps.gov.ph/GEPSNONPILOT/Tender/SplashBidNoticeAbstractUI.aspx?menuIndex=3&amp;refID=7074019&amp;Result=3","7074019")</f>
        <v>0</v>
      </c>
      <c r="B3077" t="s">
        <v>1265</v>
      </c>
      <c r="C3077" t="s">
        <v>6327</v>
      </c>
      <c r="D3077" t="s">
        <v>16654</v>
      </c>
      <c r="E3077" t="s">
        <v>19507</v>
      </c>
      <c r="F3077" t="s">
        <v>28669</v>
      </c>
      <c r="G3077" t="s">
        <v>28675</v>
      </c>
      <c r="H3077" t="s">
        <v>28686</v>
      </c>
      <c r="I3077" t="s">
        <v>28689</v>
      </c>
      <c r="J3077" t="s">
        <v>29003</v>
      </c>
      <c r="K3077" t="s">
        <v>37206</v>
      </c>
      <c r="M3077" t="s">
        <v>38814</v>
      </c>
      <c r="N3077" t="s">
        <v>41249</v>
      </c>
      <c r="O3077" t="s">
        <v>41250</v>
      </c>
      <c r="P3077">
        <v>0</v>
      </c>
      <c r="Q3077">
        <v>0</v>
      </c>
      <c r="R3077" t="s">
        <v>41252</v>
      </c>
      <c r="S3077" t="s">
        <v>41383</v>
      </c>
      <c r="T3077" t="s">
        <v>42686</v>
      </c>
      <c r="U3077" t="s">
        <v>45815</v>
      </c>
      <c r="W3077" t="s">
        <v>38814</v>
      </c>
      <c r="X3077" t="s">
        <v>41254</v>
      </c>
    </row>
    <row r="3078" spans="1:24">
      <c r="A3078">
        <f>HYPERLINK("https://www.philgeps.gov.ph/GEPSNONPILOT/Tender/SplashBidNoticeAbstractUI.aspx?menuIndex=3&amp;refID=7074123&amp;Result=3","7074123")</f>
        <v>0</v>
      </c>
      <c r="B3078" t="s">
        <v>1266</v>
      </c>
      <c r="C3078" t="s">
        <v>6328</v>
      </c>
      <c r="E3078" t="s">
        <v>19508</v>
      </c>
      <c r="F3078" t="s">
        <v>28669</v>
      </c>
      <c r="G3078" t="s">
        <v>28675</v>
      </c>
      <c r="H3078" t="s">
        <v>28686</v>
      </c>
      <c r="I3078" t="s">
        <v>28689</v>
      </c>
      <c r="J3078" t="s">
        <v>30870</v>
      </c>
      <c r="K3078" t="s">
        <v>37209</v>
      </c>
      <c r="M3078" t="s">
        <v>38815</v>
      </c>
      <c r="N3078" t="s">
        <v>41249</v>
      </c>
      <c r="O3078" t="s">
        <v>41250</v>
      </c>
      <c r="P3078">
        <v>0</v>
      </c>
      <c r="Q3078">
        <v>2</v>
      </c>
      <c r="R3078" t="s">
        <v>41252</v>
      </c>
      <c r="S3078" t="s">
        <v>41383</v>
      </c>
      <c r="T3078" t="s">
        <v>42716</v>
      </c>
      <c r="U3078" t="s">
        <v>45816</v>
      </c>
      <c r="V3078" t="s">
        <v>54617</v>
      </c>
      <c r="W3078" t="s">
        <v>41240</v>
      </c>
      <c r="X3078" t="s">
        <v>41254</v>
      </c>
    </row>
    <row r="3079" spans="1:24">
      <c r="A3079">
        <f>HYPERLINK("https://www.philgeps.gov.ph/GEPSNONPILOT/Tender/SplashBidNoticeAbstractUI.aspx?menuIndex=3&amp;refID=7074094&amp;Result=3","7074094")</f>
        <v>0</v>
      </c>
      <c r="B3079" t="s">
        <v>951</v>
      </c>
      <c r="C3079" t="s">
        <v>6329</v>
      </c>
      <c r="D3079" t="s">
        <v>16666</v>
      </c>
      <c r="E3079" t="s">
        <v>19498</v>
      </c>
      <c r="F3079" t="s">
        <v>28669</v>
      </c>
      <c r="G3079" t="s">
        <v>28675</v>
      </c>
      <c r="H3079" t="s">
        <v>9998</v>
      </c>
      <c r="I3079" t="s">
        <v>28708</v>
      </c>
      <c r="J3079" t="s">
        <v>30871</v>
      </c>
      <c r="K3079" t="s">
        <v>37205</v>
      </c>
      <c r="M3079" t="s">
        <v>38475</v>
      </c>
      <c r="N3079" t="s">
        <v>41249</v>
      </c>
      <c r="O3079" t="s">
        <v>41250</v>
      </c>
      <c r="P3079">
        <v>0</v>
      </c>
      <c r="Q3079">
        <v>1</v>
      </c>
      <c r="R3079" t="s">
        <v>41252</v>
      </c>
      <c r="S3079" t="s">
        <v>41383</v>
      </c>
      <c r="T3079" t="s">
        <v>42770</v>
      </c>
      <c r="U3079" t="s">
        <v>45817</v>
      </c>
      <c r="W3079" t="s">
        <v>38475</v>
      </c>
      <c r="X3079" t="s">
        <v>41254</v>
      </c>
    </row>
    <row r="3080" spans="1:24">
      <c r="A3080">
        <f>HYPERLINK("https://www.philgeps.gov.ph/GEPSNONPILOT/Tender/SplashBidNoticeAbstractUI.aspx?menuIndex=3&amp;refID=7074120&amp;Result=3","7074120")</f>
        <v>0</v>
      </c>
      <c r="B3080" t="s">
        <v>1267</v>
      </c>
      <c r="C3080" t="s">
        <v>6330</v>
      </c>
      <c r="D3080" t="s">
        <v>16654</v>
      </c>
      <c r="E3080" t="s">
        <v>19509</v>
      </c>
      <c r="F3080" t="s">
        <v>28669</v>
      </c>
      <c r="G3080" t="s">
        <v>28675</v>
      </c>
      <c r="H3080" t="s">
        <v>28686</v>
      </c>
      <c r="I3080" t="s">
        <v>28689</v>
      </c>
      <c r="J3080" t="s">
        <v>30872</v>
      </c>
      <c r="K3080" t="s">
        <v>37236</v>
      </c>
      <c r="M3080" t="s">
        <v>38816</v>
      </c>
      <c r="N3080" t="s">
        <v>41249</v>
      </c>
      <c r="O3080" t="s">
        <v>41250</v>
      </c>
      <c r="P3080">
        <v>0</v>
      </c>
      <c r="Q3080">
        <v>0</v>
      </c>
      <c r="R3080" t="s">
        <v>41252</v>
      </c>
      <c r="S3080" t="s">
        <v>41383</v>
      </c>
      <c r="T3080" t="s">
        <v>42757</v>
      </c>
      <c r="U3080" t="s">
        <v>45818</v>
      </c>
      <c r="V3080" t="s">
        <v>54618</v>
      </c>
      <c r="W3080" t="s">
        <v>38816</v>
      </c>
      <c r="X3080" t="s">
        <v>41254</v>
      </c>
    </row>
    <row r="3081" spans="1:24">
      <c r="A3081">
        <f>HYPERLINK("https://www.philgeps.gov.ph/GEPSNONPILOT/Tender/SplashBidNoticeAbstractUI.aspx?menuIndex=3&amp;refID=7074088&amp;Result=3","7074088")</f>
        <v>0</v>
      </c>
      <c r="B3081" t="s">
        <v>1034</v>
      </c>
      <c r="C3081" t="s">
        <v>6331</v>
      </c>
      <c r="D3081" t="s">
        <v>16619</v>
      </c>
      <c r="E3081" t="s">
        <v>19510</v>
      </c>
      <c r="F3081" t="s">
        <v>28669</v>
      </c>
      <c r="G3081" t="s">
        <v>28676</v>
      </c>
      <c r="H3081" t="s">
        <v>9998</v>
      </c>
      <c r="I3081" t="s">
        <v>28708</v>
      </c>
      <c r="J3081" t="s">
        <v>30873</v>
      </c>
      <c r="K3081" t="s">
        <v>37216</v>
      </c>
      <c r="M3081" t="s">
        <v>38565</v>
      </c>
      <c r="N3081" t="s">
        <v>41249</v>
      </c>
      <c r="O3081" t="s">
        <v>41250</v>
      </c>
      <c r="P3081">
        <v>0</v>
      </c>
      <c r="Q3081">
        <v>0</v>
      </c>
      <c r="R3081" t="s">
        <v>41252</v>
      </c>
      <c r="S3081" t="s">
        <v>41383</v>
      </c>
      <c r="T3081" t="s">
        <v>42759</v>
      </c>
      <c r="U3081" t="s">
        <v>45819</v>
      </c>
      <c r="W3081" t="s">
        <v>38565</v>
      </c>
      <c r="X3081" t="s">
        <v>41254</v>
      </c>
    </row>
    <row r="3082" spans="1:24">
      <c r="A3082">
        <f>HYPERLINK("https://www.philgeps.gov.ph/GEPSNONPILOT/Tender/SplashBidNoticeAbstractUI.aspx?menuIndex=3&amp;refID=7074118&amp;Result=3","7074118")</f>
        <v>0</v>
      </c>
      <c r="B3082" t="s">
        <v>996</v>
      </c>
      <c r="C3082" t="s">
        <v>6332</v>
      </c>
      <c r="E3082" t="s">
        <v>19511</v>
      </c>
      <c r="F3082" t="s">
        <v>28669</v>
      </c>
      <c r="G3082" t="s">
        <v>28676</v>
      </c>
      <c r="H3082" t="s">
        <v>9998</v>
      </c>
      <c r="I3082" t="s">
        <v>6606</v>
      </c>
      <c r="J3082" t="s">
        <v>30874</v>
      </c>
      <c r="K3082" t="s">
        <v>37209</v>
      </c>
      <c r="M3082" t="s">
        <v>38524</v>
      </c>
      <c r="N3082" t="s">
        <v>41249</v>
      </c>
      <c r="O3082" t="s">
        <v>41250</v>
      </c>
      <c r="P3082">
        <v>0</v>
      </c>
      <c r="Q3082">
        <v>0</v>
      </c>
      <c r="R3082" t="s">
        <v>41252</v>
      </c>
      <c r="S3082" t="s">
        <v>41383</v>
      </c>
      <c r="T3082" t="s">
        <v>42729</v>
      </c>
      <c r="U3082" t="s">
        <v>45820</v>
      </c>
      <c r="W3082" t="s">
        <v>38524</v>
      </c>
      <c r="X3082" t="s">
        <v>41254</v>
      </c>
    </row>
    <row r="3083" spans="1:24">
      <c r="A3083">
        <f>HYPERLINK("https://www.philgeps.gov.ph/GEPSNONPILOT/Tender/SplashBidNoticeAbstractUI.aspx?menuIndex=3&amp;refID=7074115&amp;Result=3","7074115")</f>
        <v>0</v>
      </c>
      <c r="B3083" t="s">
        <v>1268</v>
      </c>
      <c r="C3083" t="s">
        <v>6333</v>
      </c>
      <c r="D3083" t="s">
        <v>16654</v>
      </c>
      <c r="E3083" t="s">
        <v>19512</v>
      </c>
      <c r="F3083" t="s">
        <v>28669</v>
      </c>
      <c r="G3083" t="s">
        <v>28675</v>
      </c>
      <c r="H3083" t="s">
        <v>9998</v>
      </c>
      <c r="I3083" t="s">
        <v>28687</v>
      </c>
      <c r="J3083" t="s">
        <v>30875</v>
      </c>
      <c r="K3083" t="s">
        <v>37208</v>
      </c>
      <c r="M3083" t="s">
        <v>38817</v>
      </c>
      <c r="N3083" t="s">
        <v>41249</v>
      </c>
      <c r="O3083" t="s">
        <v>41250</v>
      </c>
      <c r="P3083">
        <v>0</v>
      </c>
      <c r="Q3083">
        <v>5</v>
      </c>
      <c r="R3083" t="s">
        <v>41252</v>
      </c>
      <c r="S3083" t="s">
        <v>41383</v>
      </c>
      <c r="T3083" t="s">
        <v>42703</v>
      </c>
      <c r="U3083" t="s">
        <v>45821</v>
      </c>
      <c r="W3083" t="s">
        <v>38817</v>
      </c>
      <c r="X3083" t="s">
        <v>41254</v>
      </c>
    </row>
    <row r="3084" spans="1:24">
      <c r="A3084">
        <f>HYPERLINK("https://www.philgeps.gov.ph/GEPSNONPILOT/Tender/SplashBidNoticeAbstractUI.aspx?menuIndex=3&amp;refID=7074114&amp;Result=3","7074114")</f>
        <v>0</v>
      </c>
      <c r="B3084" t="s">
        <v>475</v>
      </c>
      <c r="C3084" t="s">
        <v>6334</v>
      </c>
      <c r="E3084" t="s">
        <v>19513</v>
      </c>
      <c r="F3084" t="s">
        <v>28669</v>
      </c>
      <c r="G3084" t="s">
        <v>28676</v>
      </c>
      <c r="H3084" t="s">
        <v>9998</v>
      </c>
      <c r="I3084" t="s">
        <v>28690</v>
      </c>
      <c r="J3084" t="s">
        <v>30876</v>
      </c>
      <c r="K3084" t="s">
        <v>37209</v>
      </c>
      <c r="M3084" t="s">
        <v>37963</v>
      </c>
      <c r="N3084" t="s">
        <v>41249</v>
      </c>
      <c r="O3084" t="s">
        <v>41250</v>
      </c>
      <c r="P3084">
        <v>0</v>
      </c>
      <c r="Q3084">
        <v>6</v>
      </c>
      <c r="R3084" t="s">
        <v>41252</v>
      </c>
      <c r="S3084" t="s">
        <v>41383</v>
      </c>
      <c r="T3084" t="s">
        <v>42774</v>
      </c>
      <c r="U3084" t="s">
        <v>43651</v>
      </c>
      <c r="W3084" t="s">
        <v>37963</v>
      </c>
      <c r="X3084" t="s">
        <v>41254</v>
      </c>
    </row>
    <row r="3085" spans="1:24">
      <c r="A3085">
        <f>HYPERLINK("https://www.philgeps.gov.ph/GEPSNONPILOT/Tender/SplashBidNoticeAbstractUI.aspx?menuIndex=3&amp;refID=7074122&amp;Result=3","7074122")</f>
        <v>0</v>
      </c>
      <c r="B3085" t="s">
        <v>475</v>
      </c>
      <c r="C3085" t="s">
        <v>6335</v>
      </c>
      <c r="E3085" t="s">
        <v>19514</v>
      </c>
      <c r="F3085" t="s">
        <v>28669</v>
      </c>
      <c r="G3085" t="s">
        <v>28676</v>
      </c>
      <c r="H3085" t="s">
        <v>9998</v>
      </c>
      <c r="I3085" t="s">
        <v>28690</v>
      </c>
      <c r="J3085" t="s">
        <v>30877</v>
      </c>
      <c r="K3085" t="s">
        <v>37209</v>
      </c>
      <c r="M3085" t="s">
        <v>37963</v>
      </c>
      <c r="N3085" t="s">
        <v>41249</v>
      </c>
      <c r="O3085" t="s">
        <v>41250</v>
      </c>
      <c r="P3085">
        <v>0</v>
      </c>
      <c r="Q3085">
        <v>6</v>
      </c>
      <c r="R3085" t="s">
        <v>41252</v>
      </c>
      <c r="S3085" t="s">
        <v>41383</v>
      </c>
      <c r="T3085" t="s">
        <v>42774</v>
      </c>
      <c r="U3085" t="s">
        <v>43651</v>
      </c>
      <c r="W3085" t="s">
        <v>37963</v>
      </c>
      <c r="X3085" t="s">
        <v>41254</v>
      </c>
    </row>
    <row r="3086" spans="1:24">
      <c r="A3086">
        <f>HYPERLINK("https://www.philgeps.gov.ph/GEPSNONPILOT/Tender/SplashBidNoticeAbstractUI.aspx?menuIndex=3&amp;refID=7074113&amp;Result=3","7074113")</f>
        <v>0</v>
      </c>
      <c r="B3086" t="s">
        <v>1034</v>
      </c>
      <c r="C3086" t="s">
        <v>6336</v>
      </c>
      <c r="D3086" t="s">
        <v>16619</v>
      </c>
      <c r="E3086" t="s">
        <v>19515</v>
      </c>
      <c r="F3086" t="s">
        <v>28669</v>
      </c>
      <c r="G3086" t="s">
        <v>28676</v>
      </c>
      <c r="H3086" t="s">
        <v>9998</v>
      </c>
      <c r="I3086" t="s">
        <v>28689</v>
      </c>
      <c r="J3086" t="s">
        <v>29003</v>
      </c>
      <c r="K3086" t="s">
        <v>37216</v>
      </c>
      <c r="M3086" t="s">
        <v>38565</v>
      </c>
      <c r="N3086" t="s">
        <v>41249</v>
      </c>
      <c r="O3086" t="s">
        <v>41250</v>
      </c>
      <c r="P3086">
        <v>0</v>
      </c>
      <c r="Q3086">
        <v>0</v>
      </c>
      <c r="R3086" t="s">
        <v>41252</v>
      </c>
      <c r="S3086" t="s">
        <v>41383</v>
      </c>
      <c r="T3086" t="s">
        <v>42759</v>
      </c>
      <c r="U3086" t="s">
        <v>45822</v>
      </c>
      <c r="W3086" t="s">
        <v>38565</v>
      </c>
      <c r="X3086" t="s">
        <v>41254</v>
      </c>
    </row>
    <row r="3087" spans="1:24">
      <c r="A3087">
        <f>HYPERLINK("https://www.philgeps.gov.ph/GEPSNONPILOT/Tender/SplashBidNoticeAbstractUI.aspx?menuIndex=3&amp;refID=7074121&amp;Result=3","7074121")</f>
        <v>0</v>
      </c>
      <c r="B3087" t="s">
        <v>345</v>
      </c>
      <c r="C3087" t="s">
        <v>6337</v>
      </c>
      <c r="D3087" t="s">
        <v>16666</v>
      </c>
      <c r="E3087" t="s">
        <v>19516</v>
      </c>
      <c r="F3087" t="s">
        <v>28669</v>
      </c>
      <c r="G3087" t="s">
        <v>28676</v>
      </c>
      <c r="H3087" t="s">
        <v>9998</v>
      </c>
      <c r="I3087" t="s">
        <v>28690</v>
      </c>
      <c r="J3087" t="s">
        <v>30878</v>
      </c>
      <c r="K3087" t="s">
        <v>37209</v>
      </c>
      <c r="M3087" t="s">
        <v>37825</v>
      </c>
      <c r="N3087" t="s">
        <v>41249</v>
      </c>
      <c r="O3087" t="s">
        <v>41250</v>
      </c>
      <c r="P3087">
        <v>0</v>
      </c>
      <c r="Q3087">
        <v>5</v>
      </c>
      <c r="R3087" t="s">
        <v>41252</v>
      </c>
      <c r="S3087" t="s">
        <v>41383</v>
      </c>
      <c r="T3087" t="s">
        <v>42729</v>
      </c>
      <c r="U3087" t="s">
        <v>43748</v>
      </c>
      <c r="W3087" t="s">
        <v>37825</v>
      </c>
      <c r="X3087" t="s">
        <v>41254</v>
      </c>
    </row>
    <row r="3088" spans="1:24">
      <c r="A3088">
        <f>HYPERLINK("https://www.philgeps.gov.ph/GEPSNONPILOT/Tender/SplashBidNoticeAbstractUI.aspx?menuIndex=3&amp;refID=7074112&amp;Result=3","7074112")</f>
        <v>0</v>
      </c>
      <c r="B3088" t="s">
        <v>1266</v>
      </c>
      <c r="C3088" t="s">
        <v>6338</v>
      </c>
      <c r="E3088" t="s">
        <v>19517</v>
      </c>
      <c r="F3088" t="s">
        <v>28669</v>
      </c>
      <c r="G3088" t="s">
        <v>28675</v>
      </c>
      <c r="H3088" t="s">
        <v>28686</v>
      </c>
      <c r="I3088" t="s">
        <v>28689</v>
      </c>
      <c r="J3088" t="s">
        <v>30879</v>
      </c>
      <c r="K3088" t="s">
        <v>37209</v>
      </c>
      <c r="M3088" t="s">
        <v>38815</v>
      </c>
      <c r="N3088" t="s">
        <v>41249</v>
      </c>
      <c r="O3088" t="s">
        <v>41250</v>
      </c>
      <c r="P3088">
        <v>0</v>
      </c>
      <c r="Q3088">
        <v>1</v>
      </c>
      <c r="R3088" t="s">
        <v>41252</v>
      </c>
      <c r="S3088" t="s">
        <v>41383</v>
      </c>
      <c r="T3088" t="s">
        <v>42716</v>
      </c>
      <c r="U3088" t="s">
        <v>45823</v>
      </c>
      <c r="W3088" t="s">
        <v>41240</v>
      </c>
      <c r="X3088" t="s">
        <v>41254</v>
      </c>
    </row>
    <row r="3089" spans="1:24">
      <c r="A3089">
        <f>HYPERLINK("https://www.philgeps.gov.ph/GEPSNONPILOT/Tender/SplashBidNoticeAbstractUI.aspx?menuIndex=3&amp;refID=7074111&amp;Result=3","7074111")</f>
        <v>0</v>
      </c>
      <c r="B3089" t="s">
        <v>1269</v>
      </c>
      <c r="C3089" t="s">
        <v>6339</v>
      </c>
      <c r="D3089" t="s">
        <v>16666</v>
      </c>
      <c r="E3089" t="s">
        <v>19518</v>
      </c>
      <c r="F3089" t="s">
        <v>28669</v>
      </c>
      <c r="G3089" t="s">
        <v>28676</v>
      </c>
      <c r="H3089" t="s">
        <v>28684</v>
      </c>
      <c r="I3089" t="s">
        <v>28710</v>
      </c>
      <c r="J3089" t="s">
        <v>30440</v>
      </c>
      <c r="K3089" t="s">
        <v>37234</v>
      </c>
      <c r="M3089" t="s">
        <v>38818</v>
      </c>
      <c r="N3089" t="s">
        <v>41249</v>
      </c>
      <c r="O3089" t="s">
        <v>41250</v>
      </c>
      <c r="P3089">
        <v>0</v>
      </c>
      <c r="Q3089">
        <v>0</v>
      </c>
      <c r="R3089" t="s">
        <v>41252</v>
      </c>
      <c r="S3089" t="s">
        <v>41383</v>
      </c>
      <c r="T3089" t="s">
        <v>42729</v>
      </c>
      <c r="U3089" t="s">
        <v>45824</v>
      </c>
      <c r="W3089" t="s">
        <v>38818</v>
      </c>
      <c r="X3089" t="s">
        <v>41254</v>
      </c>
    </row>
    <row r="3090" spans="1:24">
      <c r="A3090">
        <f>HYPERLINK("https://www.philgeps.gov.ph/GEPSNONPILOT/Tender/SplashBidNoticeAbstractUI.aspx?menuIndex=3&amp;refID=7074109&amp;Result=3","7074109")</f>
        <v>0</v>
      </c>
      <c r="B3090" t="s">
        <v>1064</v>
      </c>
      <c r="C3090" t="s">
        <v>6340</v>
      </c>
      <c r="D3090" t="s">
        <v>16655</v>
      </c>
      <c r="E3090" t="s">
        <v>19519</v>
      </c>
      <c r="F3090" t="s">
        <v>28669</v>
      </c>
      <c r="G3090" t="s">
        <v>28675</v>
      </c>
      <c r="H3090" t="s">
        <v>28686</v>
      </c>
      <c r="I3090" t="s">
        <v>28689</v>
      </c>
      <c r="J3090" t="s">
        <v>30880</v>
      </c>
      <c r="K3090" t="s">
        <v>37210</v>
      </c>
      <c r="M3090" t="s">
        <v>38595</v>
      </c>
      <c r="N3090" t="s">
        <v>41249</v>
      </c>
      <c r="O3090" t="s">
        <v>41250</v>
      </c>
      <c r="P3090">
        <v>0</v>
      </c>
      <c r="Q3090">
        <v>0</v>
      </c>
      <c r="R3090" t="s">
        <v>41252</v>
      </c>
      <c r="S3090" t="s">
        <v>41383</v>
      </c>
      <c r="T3090" t="s">
        <v>42670</v>
      </c>
      <c r="U3090" t="s">
        <v>45354</v>
      </c>
      <c r="W3090" t="s">
        <v>38595</v>
      </c>
      <c r="X3090" t="s">
        <v>41254</v>
      </c>
    </row>
    <row r="3091" spans="1:24">
      <c r="A3091">
        <f>HYPERLINK("https://www.philgeps.gov.ph/GEPSNONPILOT/Tender/SplashBidNoticeAbstractUI.aspx?menuIndex=3&amp;refID=7074108&amp;Result=3","7074108")</f>
        <v>0</v>
      </c>
      <c r="B3091" t="s">
        <v>140</v>
      </c>
      <c r="C3091" t="s">
        <v>6341</v>
      </c>
      <c r="D3091" t="s">
        <v>16652</v>
      </c>
      <c r="E3091" t="s">
        <v>19520</v>
      </c>
      <c r="F3091" t="s">
        <v>28669</v>
      </c>
      <c r="G3091" t="s">
        <v>28675</v>
      </c>
      <c r="H3091" t="s">
        <v>28686</v>
      </c>
      <c r="I3091" t="s">
        <v>28689</v>
      </c>
      <c r="J3091" t="s">
        <v>29059</v>
      </c>
      <c r="K3091" t="s">
        <v>37214</v>
      </c>
      <c r="M3091" t="s">
        <v>37617</v>
      </c>
      <c r="N3091" t="s">
        <v>41249</v>
      </c>
      <c r="O3091" t="s">
        <v>41250</v>
      </c>
      <c r="P3091">
        <v>0</v>
      </c>
      <c r="Q3091">
        <v>1</v>
      </c>
      <c r="R3091" t="s">
        <v>41252</v>
      </c>
      <c r="S3091" t="s">
        <v>41383</v>
      </c>
      <c r="T3091" t="s">
        <v>42924</v>
      </c>
      <c r="U3091" t="s">
        <v>45825</v>
      </c>
      <c r="W3091" t="s">
        <v>37617</v>
      </c>
      <c r="X3091" t="s">
        <v>41254</v>
      </c>
    </row>
    <row r="3092" spans="1:24">
      <c r="A3092">
        <f>HYPERLINK("https://www.philgeps.gov.ph/GEPSNONPILOT/Tender/SplashBidNoticeAbstractUI.aspx?menuIndex=3&amp;refID=7074103&amp;Result=3","7074103")</f>
        <v>0</v>
      </c>
      <c r="B3092" t="s">
        <v>1270</v>
      </c>
      <c r="C3092" t="s">
        <v>6342</v>
      </c>
      <c r="D3092" t="s">
        <v>16608</v>
      </c>
      <c r="E3092" t="s">
        <v>19521</v>
      </c>
      <c r="F3092" t="s">
        <v>28669</v>
      </c>
      <c r="G3092" t="s">
        <v>28676</v>
      </c>
      <c r="H3092" t="s">
        <v>9998</v>
      </c>
      <c r="I3092" t="s">
        <v>11593</v>
      </c>
      <c r="J3092" t="s">
        <v>28878</v>
      </c>
      <c r="K3092" t="s">
        <v>37272</v>
      </c>
      <c r="M3092" t="s">
        <v>38819</v>
      </c>
      <c r="N3092" t="s">
        <v>41249</v>
      </c>
      <c r="O3092" t="s">
        <v>41250</v>
      </c>
      <c r="P3092">
        <v>0</v>
      </c>
      <c r="Q3092">
        <v>11</v>
      </c>
      <c r="R3092" t="s">
        <v>41252</v>
      </c>
      <c r="S3092" t="s">
        <v>41383</v>
      </c>
      <c r="T3092" t="s">
        <v>42736</v>
      </c>
      <c r="U3092" t="s">
        <v>45826</v>
      </c>
      <c r="W3092" t="s">
        <v>38819</v>
      </c>
      <c r="X3092" t="s">
        <v>41254</v>
      </c>
    </row>
    <row r="3093" spans="1:24">
      <c r="A3093">
        <f>HYPERLINK("https://www.philgeps.gov.ph/GEPSNONPILOT/Tender/SplashBidNoticeAbstractUI.aspx?menuIndex=3&amp;refID=7074124&amp;Result=3","7074124")</f>
        <v>0</v>
      </c>
      <c r="B3093" t="s">
        <v>700</v>
      </c>
      <c r="C3093" t="s">
        <v>6343</v>
      </c>
      <c r="D3093" t="s">
        <v>16620</v>
      </c>
      <c r="E3093" t="s">
        <v>19522</v>
      </c>
      <c r="F3093" t="s">
        <v>28669</v>
      </c>
      <c r="G3093" t="s">
        <v>28677</v>
      </c>
      <c r="H3093" t="s">
        <v>9998</v>
      </c>
      <c r="I3093" t="s">
        <v>28704</v>
      </c>
      <c r="J3093" t="s">
        <v>30881</v>
      </c>
      <c r="K3093" t="s">
        <v>37205</v>
      </c>
      <c r="M3093" t="s">
        <v>38780</v>
      </c>
      <c r="N3093" t="s">
        <v>41249</v>
      </c>
      <c r="O3093" t="s">
        <v>41250</v>
      </c>
      <c r="P3093">
        <v>0</v>
      </c>
      <c r="Q3093">
        <v>0</v>
      </c>
      <c r="R3093" t="s">
        <v>41252</v>
      </c>
      <c r="S3093" t="s">
        <v>41383</v>
      </c>
      <c r="T3093" t="s">
        <v>42736</v>
      </c>
      <c r="U3093" t="s">
        <v>45751</v>
      </c>
      <c r="V3093" t="s">
        <v>54619</v>
      </c>
      <c r="W3093" t="s">
        <v>38780</v>
      </c>
      <c r="X3093" t="s">
        <v>41254</v>
      </c>
    </row>
    <row r="3094" spans="1:24">
      <c r="A3094">
        <f>HYPERLINK("https://www.philgeps.gov.ph/GEPSNONPILOT/Tender/SplashBidNoticeAbstractUI.aspx?menuIndex=3&amp;refID=7074102&amp;Result=3","7074102")</f>
        <v>0</v>
      </c>
      <c r="B3094" t="s">
        <v>1183</v>
      </c>
      <c r="C3094" t="s">
        <v>6344</v>
      </c>
      <c r="D3094" t="s">
        <v>16654</v>
      </c>
      <c r="E3094" t="s">
        <v>19313</v>
      </c>
      <c r="F3094" t="s">
        <v>28669</v>
      </c>
      <c r="G3094" t="s">
        <v>28677</v>
      </c>
      <c r="H3094" t="s">
        <v>9998</v>
      </c>
      <c r="I3094" t="s">
        <v>3718</v>
      </c>
      <c r="J3094" t="s">
        <v>29040</v>
      </c>
      <c r="K3094" t="s">
        <v>37204</v>
      </c>
      <c r="M3094" t="s">
        <v>38723</v>
      </c>
      <c r="N3094" t="s">
        <v>41249</v>
      </c>
      <c r="O3094" t="s">
        <v>41250</v>
      </c>
      <c r="P3094">
        <v>0</v>
      </c>
      <c r="Q3094">
        <v>0</v>
      </c>
      <c r="R3094" t="s">
        <v>41252</v>
      </c>
      <c r="S3094" t="s">
        <v>41383</v>
      </c>
      <c r="T3094" t="s">
        <v>42883</v>
      </c>
      <c r="U3094" t="s">
        <v>45827</v>
      </c>
      <c r="W3094" t="s">
        <v>38723</v>
      </c>
      <c r="X3094" t="s">
        <v>41254</v>
      </c>
    </row>
    <row r="3095" spans="1:24">
      <c r="A3095">
        <f>HYPERLINK("https://www.philgeps.gov.ph/GEPSNONPILOT/Tender/SplashBidNoticeAbstractUI.aspx?menuIndex=3&amp;refID=7074083&amp;Result=3","7074083")</f>
        <v>0</v>
      </c>
      <c r="B3095" t="s">
        <v>743</v>
      </c>
      <c r="C3095" t="s">
        <v>6345</v>
      </c>
      <c r="D3095" t="s">
        <v>16629</v>
      </c>
      <c r="E3095" t="s">
        <v>19523</v>
      </c>
      <c r="F3095" t="s">
        <v>28669</v>
      </c>
      <c r="G3095" t="s">
        <v>28676</v>
      </c>
      <c r="H3095" t="s">
        <v>9998</v>
      </c>
      <c r="I3095" t="s">
        <v>28795</v>
      </c>
      <c r="J3095" t="s">
        <v>28905</v>
      </c>
      <c r="K3095" t="s">
        <v>37205</v>
      </c>
      <c r="M3095" t="s">
        <v>38820</v>
      </c>
      <c r="N3095" t="s">
        <v>41249</v>
      </c>
      <c r="O3095" t="s">
        <v>41250</v>
      </c>
      <c r="P3095">
        <v>0</v>
      </c>
      <c r="Q3095">
        <v>0</v>
      </c>
      <c r="R3095" t="s">
        <v>41252</v>
      </c>
      <c r="S3095" t="s">
        <v>41383</v>
      </c>
      <c r="T3095" t="s">
        <v>42729</v>
      </c>
      <c r="U3095" t="s">
        <v>45828</v>
      </c>
      <c r="V3095" t="s">
        <v>54252</v>
      </c>
      <c r="W3095" t="s">
        <v>38820</v>
      </c>
      <c r="X3095" t="s">
        <v>41254</v>
      </c>
    </row>
    <row r="3096" spans="1:24">
      <c r="A3096">
        <f>HYPERLINK("https://www.philgeps.gov.ph/GEPSNONPILOT/Tender/SplashBidNoticeAbstractUI.aspx?menuIndex=3&amp;refID=7074080&amp;Result=3","7074080")</f>
        <v>0</v>
      </c>
      <c r="B3096" t="s">
        <v>1223</v>
      </c>
      <c r="C3096" t="s">
        <v>6346</v>
      </c>
      <c r="D3096" t="s">
        <v>16684</v>
      </c>
      <c r="E3096" t="s">
        <v>19524</v>
      </c>
      <c r="F3096" t="s">
        <v>28671</v>
      </c>
      <c r="G3096" t="s">
        <v>28676</v>
      </c>
      <c r="H3096" t="s">
        <v>9998</v>
      </c>
      <c r="I3096" t="s">
        <v>7352</v>
      </c>
      <c r="J3096" t="s">
        <v>30437</v>
      </c>
      <c r="K3096" t="s">
        <v>37204</v>
      </c>
      <c r="M3096" t="s">
        <v>38766</v>
      </c>
      <c r="N3096" t="s">
        <v>41249</v>
      </c>
      <c r="O3096" t="s">
        <v>41250</v>
      </c>
      <c r="P3096">
        <v>0</v>
      </c>
      <c r="Q3096">
        <v>0</v>
      </c>
      <c r="R3096" t="s">
        <v>41252</v>
      </c>
      <c r="S3096" t="s">
        <v>41383</v>
      </c>
      <c r="T3096" t="s">
        <v>42702</v>
      </c>
      <c r="U3096" t="s">
        <v>45829</v>
      </c>
      <c r="V3096" t="s">
        <v>54603</v>
      </c>
      <c r="W3096" t="s">
        <v>38766</v>
      </c>
      <c r="X3096" t="s">
        <v>41254</v>
      </c>
    </row>
    <row r="3097" spans="1:24">
      <c r="A3097">
        <f>HYPERLINK("https://www.philgeps.gov.ph/GEPSNONPILOT/Tender/SplashBidNoticeAbstractUI.aspx?menuIndex=3&amp;refID=7074119&amp;Result=3","7074119")</f>
        <v>0</v>
      </c>
      <c r="B3097" t="s">
        <v>1259</v>
      </c>
      <c r="C3097" t="s">
        <v>6347</v>
      </c>
      <c r="E3097" t="s">
        <v>19525</v>
      </c>
      <c r="F3097" t="s">
        <v>28669</v>
      </c>
      <c r="G3097" t="s">
        <v>28677</v>
      </c>
      <c r="H3097" t="s">
        <v>9998</v>
      </c>
      <c r="I3097" t="s">
        <v>28694</v>
      </c>
      <c r="J3097" t="s">
        <v>28826</v>
      </c>
      <c r="K3097" t="s">
        <v>37266</v>
      </c>
      <c r="M3097" t="s">
        <v>38808</v>
      </c>
      <c r="N3097" t="s">
        <v>41249</v>
      </c>
      <c r="O3097" t="s">
        <v>41250</v>
      </c>
      <c r="P3097">
        <v>0</v>
      </c>
      <c r="Q3097">
        <v>1</v>
      </c>
      <c r="R3097" t="s">
        <v>41252</v>
      </c>
      <c r="S3097" t="s">
        <v>41383</v>
      </c>
      <c r="T3097" t="s">
        <v>42887</v>
      </c>
      <c r="U3097" t="s">
        <v>45830</v>
      </c>
      <c r="W3097" t="s">
        <v>38808</v>
      </c>
      <c r="X3097" t="s">
        <v>41254</v>
      </c>
    </row>
    <row r="3098" spans="1:24">
      <c r="A3098">
        <f>HYPERLINK("https://www.philgeps.gov.ph/GEPSNONPILOT/Tender/SplashBidNoticeAbstractUI.aspx?menuIndex=3&amp;refID=7074078&amp;Result=3","7074078")</f>
        <v>0</v>
      </c>
      <c r="B3098" t="s">
        <v>1125</v>
      </c>
      <c r="C3098" t="s">
        <v>6348</v>
      </c>
      <c r="D3098" t="s">
        <v>16616</v>
      </c>
      <c r="E3098" t="s">
        <v>19526</v>
      </c>
      <c r="F3098" t="s">
        <v>28669</v>
      </c>
      <c r="G3098" t="s">
        <v>28676</v>
      </c>
      <c r="H3098" t="s">
        <v>9998</v>
      </c>
      <c r="I3098" t="s">
        <v>6128</v>
      </c>
      <c r="J3098" t="s">
        <v>29191</v>
      </c>
      <c r="K3098" t="s">
        <v>37209</v>
      </c>
      <c r="M3098" t="s">
        <v>38659</v>
      </c>
      <c r="N3098" t="s">
        <v>41249</v>
      </c>
      <c r="O3098" t="s">
        <v>41250</v>
      </c>
      <c r="P3098">
        <v>0</v>
      </c>
      <c r="Q3098">
        <v>1</v>
      </c>
      <c r="R3098" t="s">
        <v>41252</v>
      </c>
      <c r="S3098" t="s">
        <v>41383</v>
      </c>
      <c r="T3098" t="s">
        <v>42764</v>
      </c>
      <c r="U3098" t="s">
        <v>45510</v>
      </c>
      <c r="W3098" t="s">
        <v>38659</v>
      </c>
      <c r="X3098" t="s">
        <v>41254</v>
      </c>
    </row>
    <row r="3099" spans="1:24">
      <c r="A3099">
        <f>HYPERLINK("https://www.philgeps.gov.ph/GEPSNONPILOT/Tender/SplashBidNoticeAbstractUI.aspx?menuIndex=3&amp;refID=7074105&amp;Result=3","7074105")</f>
        <v>0</v>
      </c>
      <c r="B3099" t="s">
        <v>1158</v>
      </c>
      <c r="C3099" t="s">
        <v>6349</v>
      </c>
      <c r="D3099" t="s">
        <v>16618</v>
      </c>
      <c r="E3099" t="s">
        <v>19527</v>
      </c>
      <c r="F3099" t="s">
        <v>28669</v>
      </c>
      <c r="G3099" t="s">
        <v>28676</v>
      </c>
      <c r="H3099" t="s">
        <v>9998</v>
      </c>
      <c r="I3099" t="s">
        <v>28690</v>
      </c>
      <c r="J3099" t="s">
        <v>30882</v>
      </c>
      <c r="K3099" t="s">
        <v>37243</v>
      </c>
      <c r="M3099" t="s">
        <v>38695</v>
      </c>
      <c r="N3099" t="s">
        <v>41249</v>
      </c>
      <c r="O3099" t="s">
        <v>41250</v>
      </c>
      <c r="P3099">
        <v>0</v>
      </c>
      <c r="Q3099">
        <v>2</v>
      </c>
      <c r="R3099" t="s">
        <v>41252</v>
      </c>
      <c r="S3099" t="s">
        <v>41383</v>
      </c>
      <c r="T3099" t="s">
        <v>42774</v>
      </c>
      <c r="U3099" t="s">
        <v>45831</v>
      </c>
      <c r="W3099" t="s">
        <v>38695</v>
      </c>
      <c r="X3099" t="s">
        <v>41254</v>
      </c>
    </row>
    <row r="3100" spans="1:24">
      <c r="A3100">
        <f>HYPERLINK("https://www.philgeps.gov.ph/GEPSNONPILOT/Tender/SplashBidNoticeAbstractUI.aspx?menuIndex=3&amp;refID=7074075&amp;Result=3","7074075")</f>
        <v>0</v>
      </c>
      <c r="B3100" t="s">
        <v>909</v>
      </c>
      <c r="C3100" t="s">
        <v>6350</v>
      </c>
      <c r="D3100" t="s">
        <v>16662</v>
      </c>
      <c r="E3100" t="s">
        <v>19444</v>
      </c>
      <c r="F3100" t="s">
        <v>28669</v>
      </c>
      <c r="G3100" t="s">
        <v>28675</v>
      </c>
      <c r="H3100" t="s">
        <v>9998</v>
      </c>
      <c r="I3100" t="s">
        <v>28704</v>
      </c>
      <c r="J3100" t="s">
        <v>30883</v>
      </c>
      <c r="K3100" t="s">
        <v>37206</v>
      </c>
      <c r="M3100" t="s">
        <v>38431</v>
      </c>
      <c r="N3100" t="s">
        <v>41249</v>
      </c>
      <c r="O3100" t="s">
        <v>41250</v>
      </c>
      <c r="P3100">
        <v>0</v>
      </c>
      <c r="Q3100">
        <v>0</v>
      </c>
      <c r="R3100" t="s">
        <v>41252</v>
      </c>
      <c r="S3100" t="s">
        <v>41383</v>
      </c>
      <c r="T3100" t="s">
        <v>42688</v>
      </c>
      <c r="U3100" t="s">
        <v>45755</v>
      </c>
      <c r="W3100" t="s">
        <v>38431</v>
      </c>
      <c r="X3100" t="s">
        <v>41254</v>
      </c>
    </row>
    <row r="3101" spans="1:24">
      <c r="A3101">
        <f>HYPERLINK("https://www.philgeps.gov.ph/GEPSNONPILOT/Tender/SplashBidNoticeAbstractUI.aspx?menuIndex=3&amp;refID=7074098&amp;Result=3","7074098")</f>
        <v>0</v>
      </c>
      <c r="B3101" t="s">
        <v>1266</v>
      </c>
      <c r="C3101" t="s">
        <v>6351</v>
      </c>
      <c r="E3101" t="s">
        <v>19528</v>
      </c>
      <c r="F3101" t="s">
        <v>28669</v>
      </c>
      <c r="G3101" t="s">
        <v>28675</v>
      </c>
      <c r="H3101" t="s">
        <v>28686</v>
      </c>
      <c r="I3101" t="s">
        <v>28689</v>
      </c>
      <c r="J3101" t="s">
        <v>30879</v>
      </c>
      <c r="K3101" t="s">
        <v>37209</v>
      </c>
      <c r="M3101" t="s">
        <v>38815</v>
      </c>
      <c r="N3101" t="s">
        <v>41249</v>
      </c>
      <c r="O3101" t="s">
        <v>41250</v>
      </c>
      <c r="P3101">
        <v>0</v>
      </c>
      <c r="Q3101">
        <v>0</v>
      </c>
      <c r="R3101" t="s">
        <v>41252</v>
      </c>
      <c r="S3101" t="s">
        <v>41383</v>
      </c>
      <c r="T3101" t="s">
        <v>42716</v>
      </c>
      <c r="U3101" t="s">
        <v>45832</v>
      </c>
      <c r="W3101" t="s">
        <v>41240</v>
      </c>
      <c r="X3101" t="s">
        <v>41254</v>
      </c>
    </row>
    <row r="3102" spans="1:24">
      <c r="A3102">
        <f>HYPERLINK("https://www.philgeps.gov.ph/GEPSNONPILOT/Tender/SplashBidNoticeAbstractUI.aspx?menuIndex=3&amp;refID=7074027&amp;Result=3","7074027")</f>
        <v>0</v>
      </c>
      <c r="B3102" t="s">
        <v>353</v>
      </c>
      <c r="C3102" t="s">
        <v>6352</v>
      </c>
      <c r="D3102" t="s">
        <v>16677</v>
      </c>
      <c r="E3102" t="s">
        <v>19529</v>
      </c>
      <c r="F3102" t="s">
        <v>28669</v>
      </c>
      <c r="G3102" t="s">
        <v>28677</v>
      </c>
      <c r="H3102" t="s">
        <v>9998</v>
      </c>
      <c r="I3102" t="s">
        <v>28688</v>
      </c>
      <c r="J3102" t="s">
        <v>29204</v>
      </c>
      <c r="K3102" t="s">
        <v>37204</v>
      </c>
      <c r="M3102" t="s">
        <v>37834</v>
      </c>
      <c r="N3102" t="s">
        <v>41249</v>
      </c>
      <c r="O3102" t="s">
        <v>41250</v>
      </c>
      <c r="P3102">
        <v>0</v>
      </c>
      <c r="Q3102">
        <v>2</v>
      </c>
      <c r="R3102" t="s">
        <v>41252</v>
      </c>
      <c r="S3102" t="s">
        <v>41383</v>
      </c>
      <c r="T3102" t="s">
        <v>42734</v>
      </c>
      <c r="U3102" t="s">
        <v>45833</v>
      </c>
      <c r="W3102" t="s">
        <v>37834</v>
      </c>
      <c r="X3102" t="s">
        <v>41254</v>
      </c>
    </row>
    <row r="3103" spans="1:24">
      <c r="A3103">
        <f>HYPERLINK("https://www.philgeps.gov.ph/GEPSNONPILOT/Tender/SplashBidNoticeAbstractUI.aspx?menuIndex=3&amp;refID=7074082&amp;Result=3","7074082")</f>
        <v>0</v>
      </c>
      <c r="B3103" t="s">
        <v>1224</v>
      </c>
      <c r="C3103" t="s">
        <v>6353</v>
      </c>
      <c r="D3103" t="s">
        <v>16624</v>
      </c>
      <c r="E3103" t="s">
        <v>19530</v>
      </c>
      <c r="F3103" t="s">
        <v>28669</v>
      </c>
      <c r="G3103" t="s">
        <v>28676</v>
      </c>
      <c r="H3103" t="s">
        <v>9998</v>
      </c>
      <c r="I3103" t="s">
        <v>7352</v>
      </c>
      <c r="J3103" t="s">
        <v>29027</v>
      </c>
      <c r="K3103" t="s">
        <v>37209</v>
      </c>
      <c r="M3103" t="s">
        <v>38767</v>
      </c>
      <c r="N3103" t="s">
        <v>41249</v>
      </c>
      <c r="O3103" t="s">
        <v>41250</v>
      </c>
      <c r="P3103">
        <v>0</v>
      </c>
      <c r="Q3103">
        <v>0</v>
      </c>
      <c r="R3103" t="s">
        <v>41252</v>
      </c>
      <c r="S3103" t="s">
        <v>41383</v>
      </c>
      <c r="T3103" t="s">
        <v>42751</v>
      </c>
      <c r="U3103" t="s">
        <v>45759</v>
      </c>
      <c r="W3103" t="s">
        <v>38767</v>
      </c>
      <c r="X3103" t="s">
        <v>41254</v>
      </c>
    </row>
    <row r="3104" spans="1:24">
      <c r="A3104">
        <f>HYPERLINK("https://www.philgeps.gov.ph/GEPSNONPILOT/Tender/SplashBidNoticeAbstractUI.aspx?menuIndex=3&amp;refID=7073971&amp;Result=3","7073971")</f>
        <v>0</v>
      </c>
      <c r="B3104" t="s">
        <v>1102</v>
      </c>
      <c r="C3104" t="s">
        <v>6354</v>
      </c>
      <c r="D3104" t="s">
        <v>16667</v>
      </c>
      <c r="E3104" t="s">
        <v>19531</v>
      </c>
      <c r="F3104" t="s">
        <v>28669</v>
      </c>
      <c r="G3104" t="s">
        <v>28676</v>
      </c>
      <c r="H3104" t="s">
        <v>9998</v>
      </c>
      <c r="I3104" t="s">
        <v>7352</v>
      </c>
      <c r="J3104" t="s">
        <v>28826</v>
      </c>
      <c r="K3104" t="s">
        <v>37209</v>
      </c>
      <c r="M3104" t="s">
        <v>38635</v>
      </c>
      <c r="N3104" t="s">
        <v>41249</v>
      </c>
      <c r="O3104" t="s">
        <v>41250</v>
      </c>
      <c r="P3104">
        <v>0</v>
      </c>
      <c r="Q3104">
        <v>0</v>
      </c>
      <c r="R3104" t="s">
        <v>41252</v>
      </c>
      <c r="S3104" t="s">
        <v>41383</v>
      </c>
      <c r="T3104" t="s">
        <v>42729</v>
      </c>
      <c r="U3104" t="s">
        <v>45446</v>
      </c>
      <c r="W3104" t="s">
        <v>38635</v>
      </c>
      <c r="X3104" t="s">
        <v>41254</v>
      </c>
    </row>
    <row r="3105" spans="1:24">
      <c r="A3105">
        <f>HYPERLINK("https://www.philgeps.gov.ph/GEPSNONPILOT/Tender/SplashBidNoticeAbstractUI.aspx?menuIndex=3&amp;refID=7074127&amp;Result=3","7074127")</f>
        <v>0</v>
      </c>
      <c r="B3105" t="s">
        <v>1001</v>
      </c>
      <c r="C3105" t="s">
        <v>6355</v>
      </c>
      <c r="D3105" t="s">
        <v>16677</v>
      </c>
      <c r="E3105" t="s">
        <v>19532</v>
      </c>
      <c r="F3105" t="s">
        <v>28669</v>
      </c>
      <c r="G3105" t="s">
        <v>28675</v>
      </c>
      <c r="H3105" t="s">
        <v>28686</v>
      </c>
      <c r="I3105" t="s">
        <v>28689</v>
      </c>
      <c r="J3105" t="s">
        <v>30884</v>
      </c>
      <c r="K3105" t="s">
        <v>37212</v>
      </c>
      <c r="M3105" t="s">
        <v>38529</v>
      </c>
      <c r="N3105" t="s">
        <v>41249</v>
      </c>
      <c r="O3105" t="s">
        <v>41250</v>
      </c>
      <c r="P3105">
        <v>0</v>
      </c>
      <c r="Q3105">
        <v>3</v>
      </c>
      <c r="R3105" t="s">
        <v>41252</v>
      </c>
      <c r="S3105" t="s">
        <v>41383</v>
      </c>
      <c r="T3105" t="s">
        <v>42911</v>
      </c>
      <c r="U3105" t="s">
        <v>45834</v>
      </c>
      <c r="W3105" t="s">
        <v>38529</v>
      </c>
      <c r="X3105" t="s">
        <v>41254</v>
      </c>
    </row>
    <row r="3106" spans="1:24">
      <c r="A3106">
        <f>HYPERLINK("https://www.philgeps.gov.ph/GEPSNONPILOT/Tender/SplashBidNoticeAbstractUI.aspx?menuIndex=3&amp;refID=7074104&amp;Result=3","7074104")</f>
        <v>0</v>
      </c>
      <c r="B3106" t="s">
        <v>475</v>
      </c>
      <c r="C3106" t="s">
        <v>6356</v>
      </c>
      <c r="E3106" t="s">
        <v>19533</v>
      </c>
      <c r="F3106" t="s">
        <v>28669</v>
      </c>
      <c r="G3106" t="s">
        <v>28676</v>
      </c>
      <c r="H3106" t="s">
        <v>28686</v>
      </c>
      <c r="I3106" t="s">
        <v>28689</v>
      </c>
      <c r="J3106" t="s">
        <v>30885</v>
      </c>
      <c r="K3106" t="s">
        <v>37209</v>
      </c>
      <c r="M3106" t="s">
        <v>37963</v>
      </c>
      <c r="N3106" t="s">
        <v>41249</v>
      </c>
      <c r="O3106" t="s">
        <v>41250</v>
      </c>
      <c r="Q3106">
        <v>0</v>
      </c>
      <c r="R3106" t="s">
        <v>41252</v>
      </c>
      <c r="S3106" t="s">
        <v>41399</v>
      </c>
      <c r="T3106" t="s">
        <v>42751</v>
      </c>
      <c r="U3106" t="s">
        <v>43651</v>
      </c>
      <c r="W3106" t="s">
        <v>37963</v>
      </c>
      <c r="X3106" t="s">
        <v>41254</v>
      </c>
    </row>
    <row r="3107" spans="1:24">
      <c r="A3107">
        <f>HYPERLINK("https://www.philgeps.gov.ph/GEPSNONPILOT/Tender/SplashBidNoticeAbstractUI.aspx?menuIndex=3&amp;refID=7074050&amp;Result=3","7074050")</f>
        <v>0</v>
      </c>
      <c r="B3107" t="s">
        <v>1271</v>
      </c>
      <c r="C3107" t="s">
        <v>6357</v>
      </c>
      <c r="D3107" t="s">
        <v>16619</v>
      </c>
      <c r="E3107" t="s">
        <v>19534</v>
      </c>
      <c r="F3107" t="s">
        <v>28669</v>
      </c>
      <c r="G3107" t="s">
        <v>28676</v>
      </c>
      <c r="H3107" t="s">
        <v>9998</v>
      </c>
      <c r="I3107" t="s">
        <v>5213</v>
      </c>
      <c r="J3107" t="s">
        <v>30886</v>
      </c>
      <c r="K3107" t="s">
        <v>37210</v>
      </c>
      <c r="M3107" t="s">
        <v>38821</v>
      </c>
      <c r="N3107" t="s">
        <v>41249</v>
      </c>
      <c r="O3107" t="s">
        <v>41250</v>
      </c>
      <c r="P3107">
        <v>0</v>
      </c>
      <c r="Q3107">
        <v>0</v>
      </c>
      <c r="R3107" t="s">
        <v>41252</v>
      </c>
      <c r="S3107" t="s">
        <v>41383</v>
      </c>
      <c r="T3107" t="s">
        <v>42694</v>
      </c>
      <c r="U3107" t="s">
        <v>45835</v>
      </c>
      <c r="W3107" t="s">
        <v>38821</v>
      </c>
      <c r="X3107" t="s">
        <v>41254</v>
      </c>
    </row>
    <row r="3108" spans="1:24">
      <c r="A3108">
        <f>HYPERLINK("https://www.philgeps.gov.ph/GEPSNONPILOT/Tender/SplashBidNoticeAbstractUI.aspx?menuIndex=3&amp;refID=7074028&amp;Result=3","7074028")</f>
        <v>0</v>
      </c>
      <c r="B3108" t="s">
        <v>1272</v>
      </c>
      <c r="C3108" t="s">
        <v>6358</v>
      </c>
      <c r="E3108" t="s">
        <v>19535</v>
      </c>
      <c r="F3108" t="s">
        <v>28669</v>
      </c>
      <c r="G3108" t="s">
        <v>28676</v>
      </c>
      <c r="H3108" t="s">
        <v>9998</v>
      </c>
      <c r="I3108" t="s">
        <v>28692</v>
      </c>
      <c r="J3108" t="s">
        <v>30887</v>
      </c>
      <c r="K3108" t="s">
        <v>37209</v>
      </c>
      <c r="M3108" t="s">
        <v>38822</v>
      </c>
      <c r="N3108" t="s">
        <v>41249</v>
      </c>
      <c r="O3108" t="s">
        <v>41250</v>
      </c>
      <c r="P3108">
        <v>0</v>
      </c>
      <c r="Q3108">
        <v>2</v>
      </c>
      <c r="R3108" t="s">
        <v>41252</v>
      </c>
      <c r="S3108" t="s">
        <v>41383</v>
      </c>
      <c r="T3108" t="s">
        <v>42758</v>
      </c>
      <c r="U3108" t="s">
        <v>45836</v>
      </c>
      <c r="W3108" t="s">
        <v>38822</v>
      </c>
      <c r="X3108" t="s">
        <v>41254</v>
      </c>
    </row>
    <row r="3109" spans="1:24">
      <c r="A3109">
        <f>HYPERLINK("https://www.philgeps.gov.ph/GEPSNONPILOT/Tender/SplashBidNoticeAbstractUI.aspx?menuIndex=3&amp;refID=7074151&amp;Result=3","7074151")</f>
        <v>0</v>
      </c>
      <c r="B3109" t="s">
        <v>1266</v>
      </c>
      <c r="C3109" t="s">
        <v>6359</v>
      </c>
      <c r="E3109" t="s">
        <v>19536</v>
      </c>
      <c r="F3109" t="s">
        <v>28669</v>
      </c>
      <c r="G3109" t="s">
        <v>28675</v>
      </c>
      <c r="H3109" t="s">
        <v>28686</v>
      </c>
      <c r="I3109" t="s">
        <v>28689</v>
      </c>
      <c r="J3109" t="s">
        <v>30888</v>
      </c>
      <c r="K3109" t="s">
        <v>37209</v>
      </c>
      <c r="M3109" t="s">
        <v>38815</v>
      </c>
      <c r="N3109" t="s">
        <v>41249</v>
      </c>
      <c r="O3109" t="s">
        <v>41250</v>
      </c>
      <c r="P3109">
        <v>0</v>
      </c>
      <c r="Q3109">
        <v>0</v>
      </c>
      <c r="R3109" t="s">
        <v>41252</v>
      </c>
      <c r="S3109" t="s">
        <v>41383</v>
      </c>
      <c r="T3109" t="s">
        <v>42716</v>
      </c>
      <c r="U3109" t="s">
        <v>45837</v>
      </c>
      <c r="W3109" t="s">
        <v>41240</v>
      </c>
      <c r="X3109" t="s">
        <v>41254</v>
      </c>
    </row>
    <row r="3110" spans="1:24">
      <c r="A3110">
        <f>HYPERLINK("https://www.philgeps.gov.ph/GEPSNONPILOT/Tender/SplashBidNoticeAbstractUI.aspx?menuIndex=3&amp;refID=7074150&amp;Result=3","7074150")</f>
        <v>0</v>
      </c>
      <c r="B3110" t="s">
        <v>1273</v>
      </c>
      <c r="C3110" t="s">
        <v>6360</v>
      </c>
      <c r="D3110" t="s">
        <v>16655</v>
      </c>
      <c r="E3110" t="s">
        <v>19537</v>
      </c>
      <c r="F3110" t="s">
        <v>28669</v>
      </c>
      <c r="G3110" t="s">
        <v>28679</v>
      </c>
      <c r="H3110" t="s">
        <v>28686</v>
      </c>
      <c r="I3110" t="s">
        <v>28689</v>
      </c>
      <c r="J3110" t="s">
        <v>28826</v>
      </c>
      <c r="K3110" t="s">
        <v>37210</v>
      </c>
      <c r="M3110" t="s">
        <v>38823</v>
      </c>
      <c r="N3110" t="s">
        <v>41249</v>
      </c>
      <c r="O3110" t="s">
        <v>41250</v>
      </c>
      <c r="P3110">
        <v>0</v>
      </c>
      <c r="Q3110">
        <v>0</v>
      </c>
      <c r="R3110" t="s">
        <v>41252</v>
      </c>
      <c r="S3110" t="s">
        <v>41383</v>
      </c>
      <c r="T3110" t="s">
        <v>42686</v>
      </c>
      <c r="U3110" t="s">
        <v>45838</v>
      </c>
      <c r="W3110" t="s">
        <v>38823</v>
      </c>
      <c r="X3110" t="s">
        <v>41254</v>
      </c>
    </row>
    <row r="3111" spans="1:24">
      <c r="A3111">
        <f>HYPERLINK("https://www.philgeps.gov.ph/GEPSNONPILOT/Tender/SplashBidNoticeAbstractUI.aspx?menuIndex=3&amp;refID=7074148&amp;Result=3","7074148")</f>
        <v>0</v>
      </c>
      <c r="B3111" t="s">
        <v>1274</v>
      </c>
      <c r="C3111" t="s">
        <v>6361</v>
      </c>
      <c r="D3111" t="s">
        <v>16640</v>
      </c>
      <c r="E3111" t="s">
        <v>19538</v>
      </c>
      <c r="F3111" t="s">
        <v>28669</v>
      </c>
      <c r="G3111" t="s">
        <v>28676</v>
      </c>
      <c r="H3111" t="s">
        <v>9998</v>
      </c>
      <c r="I3111" t="s">
        <v>28708</v>
      </c>
      <c r="J3111" t="s">
        <v>30889</v>
      </c>
      <c r="K3111" t="s">
        <v>37221</v>
      </c>
      <c r="M3111" t="s">
        <v>38824</v>
      </c>
      <c r="N3111" t="s">
        <v>41249</v>
      </c>
      <c r="O3111" t="s">
        <v>41250</v>
      </c>
      <c r="P3111">
        <v>0</v>
      </c>
      <c r="Q3111">
        <v>2</v>
      </c>
      <c r="R3111" t="s">
        <v>41252</v>
      </c>
      <c r="S3111" t="s">
        <v>41383</v>
      </c>
      <c r="T3111" t="s">
        <v>42736</v>
      </c>
      <c r="U3111" t="s">
        <v>45839</v>
      </c>
      <c r="V3111" t="s">
        <v>54620</v>
      </c>
      <c r="W3111" t="s">
        <v>38824</v>
      </c>
      <c r="X3111" t="s">
        <v>41254</v>
      </c>
    </row>
    <row r="3112" spans="1:24">
      <c r="A3112">
        <f>HYPERLINK("https://www.philgeps.gov.ph/GEPSNONPILOT/Tender/SplashBidNoticeAbstractUI.aspx?menuIndex=3&amp;refID=7074128&amp;Result=3","7074128")</f>
        <v>0</v>
      </c>
      <c r="B3112" t="s">
        <v>1090</v>
      </c>
      <c r="C3112" t="s">
        <v>6362</v>
      </c>
      <c r="E3112" t="s">
        <v>19539</v>
      </c>
      <c r="F3112" t="s">
        <v>28669</v>
      </c>
      <c r="G3112" t="s">
        <v>28676</v>
      </c>
      <c r="H3112" t="s">
        <v>9998</v>
      </c>
      <c r="I3112" t="s">
        <v>3718</v>
      </c>
      <c r="J3112" t="s">
        <v>30890</v>
      </c>
      <c r="K3112" t="s">
        <v>37209</v>
      </c>
      <c r="M3112" t="s">
        <v>38622</v>
      </c>
      <c r="N3112" t="s">
        <v>41249</v>
      </c>
      <c r="O3112" t="s">
        <v>41250</v>
      </c>
      <c r="P3112">
        <v>0</v>
      </c>
      <c r="Q3112">
        <v>4</v>
      </c>
      <c r="R3112" t="s">
        <v>41252</v>
      </c>
      <c r="S3112" t="s">
        <v>41383</v>
      </c>
      <c r="T3112" t="s">
        <v>42682</v>
      </c>
      <c r="U3112" t="s">
        <v>45840</v>
      </c>
      <c r="W3112" t="s">
        <v>38622</v>
      </c>
      <c r="X3112" t="s">
        <v>41254</v>
      </c>
    </row>
    <row r="3113" spans="1:24">
      <c r="A3113">
        <f>HYPERLINK("https://www.philgeps.gov.ph/GEPSNONPILOT/Tender/SplashBidNoticeAbstractUI.aspx?menuIndex=3&amp;refID=7074147&amp;Result=3","7074147")</f>
        <v>0</v>
      </c>
      <c r="B3113" t="s">
        <v>1256</v>
      </c>
      <c r="C3113" t="s">
        <v>6363</v>
      </c>
      <c r="D3113" t="s">
        <v>16668</v>
      </c>
      <c r="E3113" t="s">
        <v>19540</v>
      </c>
      <c r="F3113" t="s">
        <v>28669</v>
      </c>
      <c r="G3113" t="s">
        <v>28676</v>
      </c>
      <c r="H3113" t="s">
        <v>9998</v>
      </c>
      <c r="I3113" t="s">
        <v>7352</v>
      </c>
      <c r="J3113" t="s">
        <v>30891</v>
      </c>
      <c r="K3113" t="s">
        <v>37204</v>
      </c>
      <c r="M3113" t="s">
        <v>38804</v>
      </c>
      <c r="N3113" t="s">
        <v>41249</v>
      </c>
      <c r="O3113" t="s">
        <v>41250</v>
      </c>
      <c r="P3113">
        <v>0</v>
      </c>
      <c r="Q3113">
        <v>0</v>
      </c>
      <c r="R3113" t="s">
        <v>41252</v>
      </c>
      <c r="S3113" t="s">
        <v>41383</v>
      </c>
      <c r="T3113" t="s">
        <v>42921</v>
      </c>
      <c r="U3113" t="s">
        <v>45841</v>
      </c>
      <c r="W3113" t="s">
        <v>38804</v>
      </c>
      <c r="X3113" t="s">
        <v>41254</v>
      </c>
    </row>
    <row r="3114" spans="1:24">
      <c r="A3114">
        <f>HYPERLINK("https://www.philgeps.gov.ph/GEPSNONPILOT/Tender/SplashBidNoticeAbstractUI.aspx?menuIndex=3&amp;refID=7074126&amp;Result=3","7074126")</f>
        <v>0</v>
      </c>
      <c r="B3114" t="s">
        <v>1064</v>
      </c>
      <c r="C3114" t="s">
        <v>6364</v>
      </c>
      <c r="D3114" t="s">
        <v>16655</v>
      </c>
      <c r="E3114" t="s">
        <v>19541</v>
      </c>
      <c r="F3114" t="s">
        <v>28669</v>
      </c>
      <c r="G3114" t="s">
        <v>28675</v>
      </c>
      <c r="H3114" t="s">
        <v>28686</v>
      </c>
      <c r="I3114" t="s">
        <v>28689</v>
      </c>
      <c r="J3114" t="s">
        <v>30892</v>
      </c>
      <c r="K3114" t="s">
        <v>37321</v>
      </c>
      <c r="M3114" t="s">
        <v>38595</v>
      </c>
      <c r="N3114" t="s">
        <v>41249</v>
      </c>
      <c r="O3114" t="s">
        <v>41250</v>
      </c>
      <c r="P3114">
        <v>0</v>
      </c>
      <c r="Q3114">
        <v>0</v>
      </c>
      <c r="R3114" t="s">
        <v>41252</v>
      </c>
      <c r="S3114" t="s">
        <v>41383</v>
      </c>
      <c r="T3114" t="s">
        <v>42670</v>
      </c>
      <c r="U3114" t="s">
        <v>45354</v>
      </c>
      <c r="W3114" t="s">
        <v>38595</v>
      </c>
      <c r="X3114" t="s">
        <v>41254</v>
      </c>
    </row>
    <row r="3115" spans="1:24">
      <c r="A3115">
        <f>HYPERLINK("https://www.philgeps.gov.ph/GEPSNONPILOT/Tender/SplashBidNoticeAbstractUI.aspx?menuIndex=3&amp;refID=7074146&amp;Result=3","7074146")</f>
        <v>0</v>
      </c>
      <c r="B3115" t="s">
        <v>677</v>
      </c>
      <c r="C3115" t="s">
        <v>6365</v>
      </c>
      <c r="D3115" t="s">
        <v>16627</v>
      </c>
      <c r="E3115" t="s">
        <v>19542</v>
      </c>
      <c r="F3115" t="s">
        <v>28669</v>
      </c>
      <c r="G3115" t="s">
        <v>28676</v>
      </c>
      <c r="H3115" t="s">
        <v>9998</v>
      </c>
      <c r="I3115" t="s">
        <v>28690</v>
      </c>
      <c r="J3115" t="s">
        <v>30893</v>
      </c>
      <c r="K3115" t="s">
        <v>37243</v>
      </c>
      <c r="M3115" t="s">
        <v>38180</v>
      </c>
      <c r="N3115" t="s">
        <v>41249</v>
      </c>
      <c r="O3115" t="s">
        <v>41250</v>
      </c>
      <c r="P3115">
        <v>0</v>
      </c>
      <c r="Q3115">
        <v>5</v>
      </c>
      <c r="R3115" t="s">
        <v>41252</v>
      </c>
      <c r="S3115" t="s">
        <v>41383</v>
      </c>
      <c r="T3115" t="s">
        <v>42748</v>
      </c>
      <c r="U3115" t="s">
        <v>45842</v>
      </c>
      <c r="W3115" t="s">
        <v>38180</v>
      </c>
      <c r="X3115" t="s">
        <v>41254</v>
      </c>
    </row>
    <row r="3116" spans="1:24">
      <c r="A3116">
        <f>HYPERLINK("https://www.philgeps.gov.ph/GEPSNONPILOT/Tender/SplashBidNoticeAbstractUI.aspx?menuIndex=3&amp;refID=7074142&amp;Result=3","7074142")</f>
        <v>0</v>
      </c>
      <c r="B3116" t="s">
        <v>1275</v>
      </c>
      <c r="C3116" t="s">
        <v>6366</v>
      </c>
      <c r="D3116" t="s">
        <v>16676</v>
      </c>
      <c r="E3116" t="s">
        <v>17140</v>
      </c>
      <c r="F3116" t="s">
        <v>28669</v>
      </c>
      <c r="G3116" t="s">
        <v>28675</v>
      </c>
      <c r="H3116" t="s">
        <v>28686</v>
      </c>
      <c r="I3116" t="s">
        <v>28689</v>
      </c>
      <c r="J3116" t="s">
        <v>30894</v>
      </c>
      <c r="K3116" t="s">
        <v>37205</v>
      </c>
      <c r="M3116" t="s">
        <v>38825</v>
      </c>
      <c r="N3116" t="s">
        <v>41249</v>
      </c>
      <c r="O3116" t="s">
        <v>41250</v>
      </c>
      <c r="P3116">
        <v>0</v>
      </c>
      <c r="Q3116">
        <v>0</v>
      </c>
      <c r="R3116" t="s">
        <v>41252</v>
      </c>
      <c r="S3116" t="s">
        <v>41383</v>
      </c>
      <c r="T3116" t="s">
        <v>42820</v>
      </c>
      <c r="U3116" t="s">
        <v>45843</v>
      </c>
      <c r="V3116" t="s">
        <v>54621</v>
      </c>
      <c r="W3116" t="s">
        <v>38825</v>
      </c>
      <c r="X3116" t="s">
        <v>41254</v>
      </c>
    </row>
    <row r="3117" spans="1:24">
      <c r="A3117">
        <f>HYPERLINK("https://www.philgeps.gov.ph/GEPSNONPILOT/Tender/SplashBidNoticeAbstractUI.aspx?menuIndex=3&amp;refID=7074139&amp;Result=3","7074139")</f>
        <v>0</v>
      </c>
      <c r="B3117" t="s">
        <v>1034</v>
      </c>
      <c r="C3117" t="s">
        <v>6367</v>
      </c>
      <c r="D3117" t="s">
        <v>16619</v>
      </c>
      <c r="E3117" t="s">
        <v>19543</v>
      </c>
      <c r="F3117" t="s">
        <v>28669</v>
      </c>
      <c r="G3117" t="s">
        <v>28676</v>
      </c>
      <c r="H3117" t="s">
        <v>9998</v>
      </c>
      <c r="I3117" t="s">
        <v>3679</v>
      </c>
      <c r="J3117" t="s">
        <v>30895</v>
      </c>
      <c r="K3117" t="s">
        <v>37216</v>
      </c>
      <c r="M3117" t="s">
        <v>38565</v>
      </c>
      <c r="N3117" t="s">
        <v>41249</v>
      </c>
      <c r="O3117" t="s">
        <v>41250</v>
      </c>
      <c r="P3117">
        <v>0</v>
      </c>
      <c r="Q3117">
        <v>0</v>
      </c>
      <c r="R3117" t="s">
        <v>41252</v>
      </c>
      <c r="S3117" t="s">
        <v>41383</v>
      </c>
      <c r="T3117" t="s">
        <v>42759</v>
      </c>
      <c r="U3117" t="s">
        <v>45844</v>
      </c>
      <c r="W3117" t="s">
        <v>38565</v>
      </c>
      <c r="X3117" t="s">
        <v>41254</v>
      </c>
    </row>
    <row r="3118" spans="1:24">
      <c r="A3118">
        <f>HYPERLINK("https://www.philgeps.gov.ph/GEPSNONPILOT/Tender/SplashBidNoticeAbstractUI.aspx?menuIndex=3&amp;refID=7074138&amp;Result=3","7074138")</f>
        <v>0</v>
      </c>
      <c r="B3118" t="s">
        <v>1266</v>
      </c>
      <c r="C3118" t="s">
        <v>6368</v>
      </c>
      <c r="E3118" t="s">
        <v>19544</v>
      </c>
      <c r="F3118" t="s">
        <v>28669</v>
      </c>
      <c r="G3118" t="s">
        <v>28675</v>
      </c>
      <c r="H3118" t="s">
        <v>28686</v>
      </c>
      <c r="I3118" t="s">
        <v>28689</v>
      </c>
      <c r="J3118" t="s">
        <v>30896</v>
      </c>
      <c r="K3118" t="s">
        <v>37209</v>
      </c>
      <c r="M3118" t="s">
        <v>38815</v>
      </c>
      <c r="N3118" t="s">
        <v>41249</v>
      </c>
      <c r="O3118" t="s">
        <v>41250</v>
      </c>
      <c r="P3118">
        <v>0</v>
      </c>
      <c r="Q3118">
        <v>2</v>
      </c>
      <c r="R3118" t="s">
        <v>41252</v>
      </c>
      <c r="S3118" t="s">
        <v>41383</v>
      </c>
      <c r="T3118" t="s">
        <v>42716</v>
      </c>
      <c r="U3118" t="s">
        <v>45845</v>
      </c>
      <c r="V3118" t="s">
        <v>54622</v>
      </c>
      <c r="W3118" t="s">
        <v>41240</v>
      </c>
      <c r="X3118" t="s">
        <v>41254</v>
      </c>
    </row>
    <row r="3119" spans="1:24">
      <c r="A3119">
        <f>HYPERLINK("https://www.philgeps.gov.ph/GEPSNONPILOT/Tender/SplashBidNoticeAbstractUI.aspx?menuIndex=3&amp;refID=7074077&amp;Result=3","7074077")</f>
        <v>0</v>
      </c>
      <c r="B3119" t="s">
        <v>1080</v>
      </c>
      <c r="C3119" t="s">
        <v>6369</v>
      </c>
      <c r="D3119" t="s">
        <v>16635</v>
      </c>
      <c r="E3119" t="s">
        <v>19058</v>
      </c>
      <c r="F3119" t="s">
        <v>28669</v>
      </c>
      <c r="G3119" t="s">
        <v>28678</v>
      </c>
      <c r="H3119" t="s">
        <v>9998</v>
      </c>
      <c r="I3119" t="s">
        <v>28728</v>
      </c>
      <c r="J3119" t="s">
        <v>30897</v>
      </c>
      <c r="K3119" t="s">
        <v>37231</v>
      </c>
      <c r="M3119" t="s">
        <v>38612</v>
      </c>
      <c r="N3119" t="s">
        <v>41249</v>
      </c>
      <c r="O3119" t="s">
        <v>41250</v>
      </c>
      <c r="P3119">
        <v>0</v>
      </c>
      <c r="Q3119">
        <v>0</v>
      </c>
      <c r="R3119" t="s">
        <v>41252</v>
      </c>
      <c r="S3119" t="s">
        <v>41383</v>
      </c>
      <c r="T3119" t="s">
        <v>42701</v>
      </c>
      <c r="U3119" t="s">
        <v>45846</v>
      </c>
      <c r="W3119" t="s">
        <v>38612</v>
      </c>
      <c r="X3119" t="s">
        <v>41254</v>
      </c>
    </row>
    <row r="3120" spans="1:24">
      <c r="A3120">
        <f>HYPERLINK("https://www.philgeps.gov.ph/GEPSNONPILOT/Tender/SplashBidNoticeAbstractUI.aspx?menuIndex=3&amp;refID=7074145&amp;Result=3","7074145")</f>
        <v>0</v>
      </c>
      <c r="B3120" t="s">
        <v>1270</v>
      </c>
      <c r="C3120" t="s">
        <v>6370</v>
      </c>
      <c r="D3120" t="s">
        <v>16608</v>
      </c>
      <c r="E3120" t="s">
        <v>19545</v>
      </c>
      <c r="F3120" t="s">
        <v>28669</v>
      </c>
      <c r="G3120" t="s">
        <v>28676</v>
      </c>
      <c r="H3120" t="s">
        <v>9998</v>
      </c>
      <c r="I3120" t="s">
        <v>11593</v>
      </c>
      <c r="J3120" t="s">
        <v>29189</v>
      </c>
      <c r="K3120" t="s">
        <v>37272</v>
      </c>
      <c r="M3120" t="s">
        <v>38819</v>
      </c>
      <c r="N3120" t="s">
        <v>41249</v>
      </c>
      <c r="O3120" t="s">
        <v>41250</v>
      </c>
      <c r="P3120">
        <v>0</v>
      </c>
      <c r="Q3120">
        <v>5</v>
      </c>
      <c r="R3120" t="s">
        <v>41252</v>
      </c>
      <c r="S3120" t="s">
        <v>41383</v>
      </c>
      <c r="T3120" t="s">
        <v>42736</v>
      </c>
      <c r="U3120" t="s">
        <v>45847</v>
      </c>
      <c r="W3120" t="s">
        <v>38819</v>
      </c>
      <c r="X3120" t="s">
        <v>41254</v>
      </c>
    </row>
    <row r="3121" spans="1:24">
      <c r="A3121">
        <f>HYPERLINK("https://www.philgeps.gov.ph/GEPSNONPILOT/Tender/SplashBidNoticeAbstractUI.aspx?menuIndex=3&amp;refID=7074143&amp;Result=3","7074143")</f>
        <v>0</v>
      </c>
      <c r="B3121" t="s">
        <v>1063</v>
      </c>
      <c r="C3121" t="s">
        <v>6371</v>
      </c>
      <c r="D3121" t="s">
        <v>16616</v>
      </c>
      <c r="E3121" t="s">
        <v>19546</v>
      </c>
      <c r="F3121" t="s">
        <v>28669</v>
      </c>
      <c r="G3121" t="s">
        <v>28676</v>
      </c>
      <c r="H3121" t="s">
        <v>9998</v>
      </c>
      <c r="I3121" t="s">
        <v>6606</v>
      </c>
      <c r="J3121" t="s">
        <v>30898</v>
      </c>
      <c r="K3121" t="s">
        <v>37210</v>
      </c>
      <c r="M3121" t="s">
        <v>38594</v>
      </c>
      <c r="N3121" t="s">
        <v>41249</v>
      </c>
      <c r="O3121" t="s">
        <v>41250</v>
      </c>
      <c r="P3121">
        <v>0</v>
      </c>
      <c r="Q3121">
        <v>1</v>
      </c>
      <c r="R3121" t="s">
        <v>41252</v>
      </c>
      <c r="S3121" t="s">
        <v>41383</v>
      </c>
      <c r="T3121" t="s">
        <v>42701</v>
      </c>
      <c r="U3121" t="s">
        <v>45848</v>
      </c>
      <c r="W3121" t="s">
        <v>38594</v>
      </c>
      <c r="X3121" t="s">
        <v>41254</v>
      </c>
    </row>
    <row r="3122" spans="1:24">
      <c r="A3122">
        <f>HYPERLINK("https://www.philgeps.gov.ph/GEPSNONPILOT/Tender/SplashBidNoticeAbstractUI.aspx?menuIndex=3&amp;refID=7074130&amp;Result=3","7074130")</f>
        <v>0</v>
      </c>
      <c r="B3122" t="s">
        <v>1021</v>
      </c>
      <c r="C3122" t="s">
        <v>6372</v>
      </c>
      <c r="D3122" t="s">
        <v>16646</v>
      </c>
      <c r="E3122" t="s">
        <v>19547</v>
      </c>
      <c r="F3122" t="s">
        <v>28669</v>
      </c>
      <c r="G3122" t="s">
        <v>28677</v>
      </c>
      <c r="H3122" t="s">
        <v>9998</v>
      </c>
      <c r="I3122" t="s">
        <v>3679</v>
      </c>
      <c r="J3122" t="s">
        <v>30899</v>
      </c>
      <c r="K3122" t="s">
        <v>37234</v>
      </c>
      <c r="M3122" t="s">
        <v>38551</v>
      </c>
      <c r="N3122" t="s">
        <v>41249</v>
      </c>
      <c r="O3122" t="s">
        <v>41250</v>
      </c>
      <c r="P3122">
        <v>0</v>
      </c>
      <c r="Q3122">
        <v>0</v>
      </c>
      <c r="R3122" t="s">
        <v>41252</v>
      </c>
      <c r="S3122" t="s">
        <v>41383</v>
      </c>
      <c r="T3122" t="s">
        <v>42727</v>
      </c>
      <c r="U3122" t="s">
        <v>45849</v>
      </c>
      <c r="W3122" t="s">
        <v>38551</v>
      </c>
      <c r="X3122" t="s">
        <v>41254</v>
      </c>
    </row>
    <row r="3123" spans="1:24">
      <c r="A3123">
        <f>HYPERLINK("https://www.philgeps.gov.ph/GEPSNONPILOT/Tender/SplashBidNoticeAbstractUI.aspx?menuIndex=3&amp;refID=7074141&amp;Result=3","7074141")</f>
        <v>0</v>
      </c>
      <c r="B3123" t="s">
        <v>1216</v>
      </c>
      <c r="C3123" t="s">
        <v>6373</v>
      </c>
      <c r="D3123" t="s">
        <v>16616</v>
      </c>
      <c r="E3123" t="s">
        <v>19548</v>
      </c>
      <c r="F3123" t="s">
        <v>28669</v>
      </c>
      <c r="G3123" t="s">
        <v>28677</v>
      </c>
      <c r="H3123" t="s">
        <v>9998</v>
      </c>
      <c r="I3123" t="s">
        <v>6128</v>
      </c>
      <c r="J3123" t="s">
        <v>30900</v>
      </c>
      <c r="K3123" t="s">
        <v>37205</v>
      </c>
      <c r="M3123" t="s">
        <v>38758</v>
      </c>
      <c r="N3123" t="s">
        <v>41249</v>
      </c>
      <c r="O3123" t="s">
        <v>41250</v>
      </c>
      <c r="P3123">
        <v>0</v>
      </c>
      <c r="Q3123">
        <v>1</v>
      </c>
      <c r="R3123" t="s">
        <v>41252</v>
      </c>
      <c r="S3123" t="s">
        <v>41383</v>
      </c>
      <c r="T3123" t="s">
        <v>42675</v>
      </c>
      <c r="U3123" t="s">
        <v>45850</v>
      </c>
      <c r="W3123" t="s">
        <v>38758</v>
      </c>
      <c r="X3123" t="s">
        <v>41254</v>
      </c>
    </row>
    <row r="3124" spans="1:24">
      <c r="A3124">
        <f>HYPERLINK("https://www.philgeps.gov.ph/GEPSNONPILOT/Tender/SplashBidNoticeAbstractUI.aspx?menuIndex=3&amp;refID=7074156&amp;Result=3","7074156")</f>
        <v>0</v>
      </c>
      <c r="B3124" t="s">
        <v>1276</v>
      </c>
      <c r="C3124" t="s">
        <v>6374</v>
      </c>
      <c r="D3124" t="s">
        <v>16654</v>
      </c>
      <c r="E3124" t="s">
        <v>19549</v>
      </c>
      <c r="F3124" t="s">
        <v>28669</v>
      </c>
      <c r="G3124" t="s">
        <v>28676</v>
      </c>
      <c r="H3124" t="s">
        <v>9998</v>
      </c>
      <c r="I3124" t="s">
        <v>5213</v>
      </c>
      <c r="J3124" t="s">
        <v>28826</v>
      </c>
      <c r="K3124" t="s">
        <v>37266</v>
      </c>
      <c r="M3124" t="s">
        <v>38826</v>
      </c>
      <c r="N3124" t="s">
        <v>41249</v>
      </c>
      <c r="O3124" t="s">
        <v>41250</v>
      </c>
      <c r="P3124">
        <v>0</v>
      </c>
      <c r="Q3124">
        <v>1</v>
      </c>
      <c r="R3124" t="s">
        <v>41252</v>
      </c>
      <c r="S3124" t="s">
        <v>41383</v>
      </c>
      <c r="T3124" t="s">
        <v>42711</v>
      </c>
      <c r="U3124" t="s">
        <v>45851</v>
      </c>
      <c r="W3124" t="s">
        <v>38826</v>
      </c>
      <c r="X3124" t="s">
        <v>41254</v>
      </c>
    </row>
    <row r="3125" spans="1:24">
      <c r="A3125">
        <f>HYPERLINK("https://www.philgeps.gov.ph/GEPSNONPILOT/Tender/SplashBidNoticeAbstractUI.aspx?menuIndex=3&amp;refID=7074171&amp;Result=3","7074171")</f>
        <v>0</v>
      </c>
      <c r="B3125" t="s">
        <v>996</v>
      </c>
      <c r="C3125" t="s">
        <v>6375</v>
      </c>
      <c r="E3125" t="s">
        <v>19550</v>
      </c>
      <c r="F3125" t="s">
        <v>28669</v>
      </c>
      <c r="G3125" t="s">
        <v>28676</v>
      </c>
      <c r="H3125" t="s">
        <v>9998</v>
      </c>
      <c r="I3125" t="s">
        <v>6606</v>
      </c>
      <c r="J3125" t="s">
        <v>30901</v>
      </c>
      <c r="K3125" t="s">
        <v>37209</v>
      </c>
      <c r="M3125" t="s">
        <v>38524</v>
      </c>
      <c r="N3125" t="s">
        <v>41249</v>
      </c>
      <c r="O3125" t="s">
        <v>41250</v>
      </c>
      <c r="P3125">
        <v>0</v>
      </c>
      <c r="Q3125">
        <v>0</v>
      </c>
      <c r="R3125" t="s">
        <v>41252</v>
      </c>
      <c r="S3125" t="s">
        <v>41383</v>
      </c>
      <c r="T3125" t="s">
        <v>42729</v>
      </c>
      <c r="U3125" t="s">
        <v>45852</v>
      </c>
      <c r="W3125" t="s">
        <v>38524</v>
      </c>
      <c r="X3125" t="s">
        <v>41254</v>
      </c>
    </row>
    <row r="3126" spans="1:24">
      <c r="A3126">
        <f>HYPERLINK("https://www.philgeps.gov.ph/GEPSNONPILOT/Tender/SplashBidNoticeAbstractUI.aspx?menuIndex=3&amp;refID=7074136&amp;Result=3","7074136")</f>
        <v>0</v>
      </c>
      <c r="B3126" t="s">
        <v>1263</v>
      </c>
      <c r="C3126" t="s">
        <v>6376</v>
      </c>
      <c r="D3126" t="s">
        <v>16635</v>
      </c>
      <c r="E3126" t="s">
        <v>19551</v>
      </c>
      <c r="F3126" t="s">
        <v>28669</v>
      </c>
      <c r="G3126" t="s">
        <v>28675</v>
      </c>
      <c r="H3126" t="s">
        <v>28686</v>
      </c>
      <c r="I3126" t="s">
        <v>28689</v>
      </c>
      <c r="J3126" t="s">
        <v>30902</v>
      </c>
      <c r="K3126" t="s">
        <v>37256</v>
      </c>
      <c r="M3126" t="s">
        <v>38812</v>
      </c>
      <c r="N3126" t="s">
        <v>41249</v>
      </c>
      <c r="O3126" t="s">
        <v>41250</v>
      </c>
      <c r="P3126">
        <v>0</v>
      </c>
      <c r="Q3126">
        <v>0</v>
      </c>
      <c r="R3126" t="s">
        <v>41252</v>
      </c>
      <c r="S3126" t="s">
        <v>41383</v>
      </c>
      <c r="T3126" t="s">
        <v>42693</v>
      </c>
      <c r="U3126" t="s">
        <v>45853</v>
      </c>
      <c r="W3126" t="s">
        <v>38812</v>
      </c>
      <c r="X3126" t="s">
        <v>41254</v>
      </c>
    </row>
    <row r="3127" spans="1:24">
      <c r="A3127">
        <f>HYPERLINK("https://www.philgeps.gov.ph/GEPSNONPILOT/Tender/SplashBidNoticeAbstractUI.aspx?menuIndex=3&amp;refID=7074168&amp;Result=3","7074168")</f>
        <v>0</v>
      </c>
      <c r="B3127" t="s">
        <v>156</v>
      </c>
      <c r="C3127" t="s">
        <v>6377</v>
      </c>
      <c r="D3127" t="s">
        <v>16663</v>
      </c>
      <c r="E3127" t="s">
        <v>19552</v>
      </c>
      <c r="F3127" t="s">
        <v>28669</v>
      </c>
      <c r="G3127" t="s">
        <v>28676</v>
      </c>
      <c r="H3127" t="s">
        <v>9998</v>
      </c>
      <c r="I3127" t="s">
        <v>28704</v>
      </c>
      <c r="J3127" t="s">
        <v>28877</v>
      </c>
      <c r="K3127" t="s">
        <v>37209</v>
      </c>
      <c r="M3127" t="s">
        <v>37633</v>
      </c>
      <c r="N3127" t="s">
        <v>41249</v>
      </c>
      <c r="O3127" t="s">
        <v>41250</v>
      </c>
      <c r="P3127">
        <v>0</v>
      </c>
      <c r="Q3127">
        <v>0</v>
      </c>
      <c r="R3127" t="s">
        <v>41252</v>
      </c>
      <c r="S3127" t="s">
        <v>41383</v>
      </c>
      <c r="T3127" t="s">
        <v>42729</v>
      </c>
      <c r="U3127" t="s">
        <v>45854</v>
      </c>
      <c r="V3127" t="s">
        <v>54289</v>
      </c>
      <c r="W3127" t="s">
        <v>37633</v>
      </c>
      <c r="X3127" t="s">
        <v>41254</v>
      </c>
    </row>
    <row r="3128" spans="1:24">
      <c r="A3128">
        <f>HYPERLINK("https://www.philgeps.gov.ph/GEPSNONPILOT/Tender/SplashBidNoticeAbstractUI.aspx?menuIndex=3&amp;refID=7074133&amp;Result=3","7074133")</f>
        <v>0</v>
      </c>
      <c r="B3128" t="s">
        <v>1266</v>
      </c>
      <c r="C3128" t="s">
        <v>6378</v>
      </c>
      <c r="E3128" t="s">
        <v>19553</v>
      </c>
      <c r="F3128" t="s">
        <v>28669</v>
      </c>
      <c r="G3128" t="s">
        <v>28675</v>
      </c>
      <c r="H3128" t="s">
        <v>28686</v>
      </c>
      <c r="I3128" t="s">
        <v>28689</v>
      </c>
      <c r="J3128" t="s">
        <v>30903</v>
      </c>
      <c r="K3128" t="s">
        <v>37209</v>
      </c>
      <c r="M3128" t="s">
        <v>38815</v>
      </c>
      <c r="N3128" t="s">
        <v>41249</v>
      </c>
      <c r="O3128" t="s">
        <v>41250</v>
      </c>
      <c r="P3128">
        <v>0</v>
      </c>
      <c r="Q3128">
        <v>0</v>
      </c>
      <c r="R3128" t="s">
        <v>41252</v>
      </c>
      <c r="S3128" t="s">
        <v>41383</v>
      </c>
      <c r="T3128" t="s">
        <v>42716</v>
      </c>
      <c r="U3128" t="s">
        <v>45855</v>
      </c>
      <c r="V3128" t="s">
        <v>54623</v>
      </c>
      <c r="W3128" t="s">
        <v>41240</v>
      </c>
      <c r="X3128" t="s">
        <v>41254</v>
      </c>
    </row>
    <row r="3129" spans="1:24">
      <c r="A3129">
        <f>HYPERLINK("https://www.philgeps.gov.ph/GEPSNONPILOT/Tender/SplashBidNoticeAbstractUI.aspx?menuIndex=3&amp;refID=7074167&amp;Result=3","7074167")</f>
        <v>0</v>
      </c>
      <c r="B3129" t="s">
        <v>1277</v>
      </c>
      <c r="C3129" t="s">
        <v>6379</v>
      </c>
      <c r="D3129" t="s">
        <v>16682</v>
      </c>
      <c r="E3129" t="s">
        <v>19554</v>
      </c>
      <c r="F3129" t="s">
        <v>28669</v>
      </c>
      <c r="G3129" t="s">
        <v>28675</v>
      </c>
      <c r="H3129" t="s">
        <v>28686</v>
      </c>
      <c r="I3129" t="s">
        <v>28689</v>
      </c>
      <c r="J3129" t="s">
        <v>29047</v>
      </c>
      <c r="K3129" t="s">
        <v>37328</v>
      </c>
      <c r="M3129" t="s">
        <v>38827</v>
      </c>
      <c r="N3129" t="s">
        <v>41249</v>
      </c>
      <c r="O3129" t="s">
        <v>41250</v>
      </c>
      <c r="P3129">
        <v>0</v>
      </c>
      <c r="Q3129">
        <v>2</v>
      </c>
      <c r="R3129" t="s">
        <v>41252</v>
      </c>
      <c r="S3129" t="s">
        <v>41383</v>
      </c>
      <c r="T3129" t="s">
        <v>42722</v>
      </c>
      <c r="U3129" t="s">
        <v>45856</v>
      </c>
      <c r="W3129" t="s">
        <v>38827</v>
      </c>
      <c r="X3129" t="s">
        <v>41254</v>
      </c>
    </row>
    <row r="3130" spans="1:24">
      <c r="A3130">
        <f>HYPERLINK("https://www.philgeps.gov.ph/GEPSNONPILOT/Tender/SplashBidNoticeAbstractUI.aspx?menuIndex=3&amp;refID=7074166&amp;Result=3","7074166")</f>
        <v>0</v>
      </c>
      <c r="B3130" t="s">
        <v>557</v>
      </c>
      <c r="C3130" t="s">
        <v>6380</v>
      </c>
      <c r="D3130" t="s">
        <v>16608</v>
      </c>
      <c r="E3130" t="s">
        <v>19555</v>
      </c>
      <c r="F3130" t="s">
        <v>28669</v>
      </c>
      <c r="G3130" t="s">
        <v>28676</v>
      </c>
      <c r="H3130" t="s">
        <v>9998</v>
      </c>
      <c r="I3130" t="s">
        <v>28714</v>
      </c>
      <c r="J3130" t="s">
        <v>29263</v>
      </c>
      <c r="K3130" t="s">
        <v>37204</v>
      </c>
      <c r="M3130" t="s">
        <v>38050</v>
      </c>
      <c r="N3130" t="s">
        <v>41249</v>
      </c>
      <c r="O3130" t="s">
        <v>41250</v>
      </c>
      <c r="P3130">
        <v>0</v>
      </c>
      <c r="Q3130">
        <v>4</v>
      </c>
      <c r="R3130" t="s">
        <v>41252</v>
      </c>
      <c r="S3130" t="s">
        <v>41383</v>
      </c>
      <c r="T3130" t="s">
        <v>42742</v>
      </c>
      <c r="U3130" t="s">
        <v>45857</v>
      </c>
      <c r="V3130" t="s">
        <v>54379</v>
      </c>
      <c r="W3130" t="s">
        <v>38050</v>
      </c>
      <c r="X3130" t="s">
        <v>41254</v>
      </c>
    </row>
    <row r="3131" spans="1:24">
      <c r="A3131">
        <f>HYPERLINK("https://www.philgeps.gov.ph/GEPSNONPILOT/Tender/SplashBidNoticeAbstractUI.aspx?menuIndex=3&amp;refID=7074181&amp;Result=3","7074181")</f>
        <v>0</v>
      </c>
      <c r="B3131" t="s">
        <v>1278</v>
      </c>
      <c r="C3131" t="s">
        <v>6381</v>
      </c>
      <c r="D3131" t="s">
        <v>16684</v>
      </c>
      <c r="E3131" t="s">
        <v>19556</v>
      </c>
      <c r="F3131" t="s">
        <v>28669</v>
      </c>
      <c r="G3131" t="s">
        <v>28676</v>
      </c>
      <c r="H3131" t="s">
        <v>9998</v>
      </c>
      <c r="I3131" t="s">
        <v>6606</v>
      </c>
      <c r="J3131" t="s">
        <v>29712</v>
      </c>
      <c r="K3131" t="s">
        <v>37256</v>
      </c>
      <c r="M3131" t="s">
        <v>38828</v>
      </c>
      <c r="N3131" t="s">
        <v>41249</v>
      </c>
      <c r="O3131" t="s">
        <v>41250</v>
      </c>
      <c r="P3131">
        <v>0</v>
      </c>
      <c r="Q3131">
        <v>0</v>
      </c>
      <c r="R3131" t="s">
        <v>41252</v>
      </c>
      <c r="S3131" t="s">
        <v>41383</v>
      </c>
      <c r="T3131" t="s">
        <v>42757</v>
      </c>
      <c r="U3131" t="s">
        <v>45858</v>
      </c>
      <c r="W3131" t="s">
        <v>38828</v>
      </c>
      <c r="X3131" t="s">
        <v>41254</v>
      </c>
    </row>
    <row r="3132" spans="1:24">
      <c r="A3132">
        <f>HYPERLINK("https://www.philgeps.gov.ph/GEPSNONPILOT/Tender/SplashBidNoticeAbstractUI.aspx?menuIndex=3&amp;refID=7074179&amp;Result=3","7074179")</f>
        <v>0</v>
      </c>
      <c r="B3132" t="s">
        <v>1279</v>
      </c>
      <c r="C3132" t="s">
        <v>6382</v>
      </c>
      <c r="D3132" t="s">
        <v>16646</v>
      </c>
      <c r="E3132" t="s">
        <v>19557</v>
      </c>
      <c r="F3132" t="s">
        <v>28671</v>
      </c>
      <c r="G3132" t="s">
        <v>28677</v>
      </c>
      <c r="H3132" t="s">
        <v>9998</v>
      </c>
      <c r="I3132" t="s">
        <v>3718</v>
      </c>
      <c r="J3132" t="s">
        <v>28979</v>
      </c>
      <c r="K3132" t="s">
        <v>37204</v>
      </c>
      <c r="M3132" t="s">
        <v>38829</v>
      </c>
      <c r="N3132" t="s">
        <v>41249</v>
      </c>
      <c r="O3132" t="s">
        <v>41250</v>
      </c>
      <c r="P3132">
        <v>0</v>
      </c>
      <c r="Q3132">
        <v>2</v>
      </c>
      <c r="R3132" t="s">
        <v>41252</v>
      </c>
      <c r="S3132" t="s">
        <v>41383</v>
      </c>
      <c r="T3132" t="s">
        <v>42887</v>
      </c>
      <c r="U3132" t="s">
        <v>45859</v>
      </c>
      <c r="W3132" t="s">
        <v>38829</v>
      </c>
      <c r="X3132" t="s">
        <v>41254</v>
      </c>
    </row>
    <row r="3133" spans="1:24">
      <c r="A3133">
        <f>HYPERLINK("https://www.philgeps.gov.ph/GEPSNONPILOT/Tender/SplashBidNoticeAbstractUI.aspx?menuIndex=3&amp;refID=7074172&amp;Result=3","7074172")</f>
        <v>0</v>
      </c>
      <c r="B3133" t="s">
        <v>1152</v>
      </c>
      <c r="C3133" t="s">
        <v>6383</v>
      </c>
      <c r="E3133" t="s">
        <v>19558</v>
      </c>
      <c r="F3133" t="s">
        <v>28669</v>
      </c>
      <c r="G3133" t="s">
        <v>28676</v>
      </c>
      <c r="H3133" t="s">
        <v>9998</v>
      </c>
      <c r="I3133" t="s">
        <v>28708</v>
      </c>
      <c r="J3133" t="s">
        <v>29088</v>
      </c>
      <c r="K3133" t="s">
        <v>37209</v>
      </c>
      <c r="M3133" t="s">
        <v>38689</v>
      </c>
      <c r="N3133" t="s">
        <v>41249</v>
      </c>
      <c r="O3133" t="s">
        <v>41250</v>
      </c>
      <c r="P3133">
        <v>0</v>
      </c>
      <c r="Q3133">
        <v>5</v>
      </c>
      <c r="R3133" t="s">
        <v>41252</v>
      </c>
      <c r="S3133" t="s">
        <v>41383</v>
      </c>
      <c r="T3133" t="s">
        <v>42827</v>
      </c>
      <c r="U3133" t="s">
        <v>45860</v>
      </c>
      <c r="W3133" t="s">
        <v>38689</v>
      </c>
      <c r="X3133" t="s">
        <v>41254</v>
      </c>
    </row>
    <row r="3134" spans="1:24">
      <c r="A3134">
        <f>HYPERLINK("https://www.philgeps.gov.ph/GEPSNONPILOT/Tender/SplashBidNoticeAbstractUI.aspx?menuIndex=3&amp;refID=7074144&amp;Result=3","7074144")</f>
        <v>0</v>
      </c>
      <c r="B3134" t="s">
        <v>1088</v>
      </c>
      <c r="C3134" t="s">
        <v>6384</v>
      </c>
      <c r="D3134" t="s">
        <v>16644</v>
      </c>
      <c r="E3134" t="s">
        <v>19559</v>
      </c>
      <c r="F3134" t="s">
        <v>28669</v>
      </c>
      <c r="G3134" t="s">
        <v>28677</v>
      </c>
      <c r="H3134" t="s">
        <v>9998</v>
      </c>
      <c r="I3134" t="s">
        <v>5213</v>
      </c>
      <c r="J3134" t="s">
        <v>30904</v>
      </c>
      <c r="K3134" t="s">
        <v>37208</v>
      </c>
      <c r="M3134" t="s">
        <v>38620</v>
      </c>
      <c r="N3134" t="s">
        <v>41249</v>
      </c>
      <c r="O3134" t="s">
        <v>41250</v>
      </c>
      <c r="P3134">
        <v>0</v>
      </c>
      <c r="Q3134">
        <v>3</v>
      </c>
      <c r="R3134" t="s">
        <v>41252</v>
      </c>
      <c r="S3134" t="s">
        <v>41383</v>
      </c>
      <c r="T3134" t="s">
        <v>42727</v>
      </c>
      <c r="U3134" t="s">
        <v>45861</v>
      </c>
      <c r="W3134" t="s">
        <v>38620</v>
      </c>
      <c r="X3134" t="s">
        <v>41254</v>
      </c>
    </row>
    <row r="3135" spans="1:24">
      <c r="A3135">
        <f>HYPERLINK("https://www.philgeps.gov.ph/GEPSNONPILOT/Tender/SplashBidNoticeAbstractUI.aspx?menuIndex=3&amp;refID=7074132&amp;Result=3","7074132")</f>
        <v>0</v>
      </c>
      <c r="B3135" t="s">
        <v>121</v>
      </c>
      <c r="C3135" t="s">
        <v>6385</v>
      </c>
      <c r="D3135" t="s">
        <v>16608</v>
      </c>
      <c r="E3135" t="s">
        <v>19560</v>
      </c>
      <c r="F3135" t="s">
        <v>28669</v>
      </c>
      <c r="G3135" t="s">
        <v>28676</v>
      </c>
      <c r="H3135" t="s">
        <v>9998</v>
      </c>
      <c r="I3135" t="s">
        <v>28729</v>
      </c>
      <c r="J3135" t="s">
        <v>30645</v>
      </c>
      <c r="K3135" t="s">
        <v>37205</v>
      </c>
      <c r="M3135" t="s">
        <v>38830</v>
      </c>
      <c r="N3135" t="s">
        <v>41249</v>
      </c>
      <c r="O3135" t="s">
        <v>41250</v>
      </c>
      <c r="P3135">
        <v>0</v>
      </c>
      <c r="Q3135">
        <v>6</v>
      </c>
      <c r="R3135" t="s">
        <v>41252</v>
      </c>
      <c r="S3135" t="s">
        <v>41383</v>
      </c>
      <c r="T3135" t="s">
        <v>42701</v>
      </c>
      <c r="U3135" t="s">
        <v>45862</v>
      </c>
      <c r="W3135" t="s">
        <v>38830</v>
      </c>
      <c r="X3135" t="s">
        <v>41254</v>
      </c>
    </row>
    <row r="3136" spans="1:24">
      <c r="A3136">
        <f>HYPERLINK("https://www.philgeps.gov.ph/GEPSNONPILOT/Tender/SplashBidNoticeAbstractUI.aspx?menuIndex=3&amp;refID=7074129&amp;Result=3","7074129")</f>
        <v>0</v>
      </c>
      <c r="B3136" t="s">
        <v>1269</v>
      </c>
      <c r="C3136" t="s">
        <v>6386</v>
      </c>
      <c r="D3136" t="s">
        <v>16666</v>
      </c>
      <c r="E3136" t="s">
        <v>19561</v>
      </c>
      <c r="F3136" t="s">
        <v>28669</v>
      </c>
      <c r="G3136" t="s">
        <v>28676</v>
      </c>
      <c r="H3136" t="s">
        <v>9998</v>
      </c>
      <c r="I3136" t="s">
        <v>11142</v>
      </c>
      <c r="J3136" t="s">
        <v>30905</v>
      </c>
      <c r="K3136" t="s">
        <v>37234</v>
      </c>
      <c r="M3136" t="s">
        <v>38818</v>
      </c>
      <c r="N3136" t="s">
        <v>41249</v>
      </c>
      <c r="O3136" t="s">
        <v>41250</v>
      </c>
      <c r="P3136">
        <v>0</v>
      </c>
      <c r="Q3136">
        <v>1</v>
      </c>
      <c r="R3136" t="s">
        <v>41252</v>
      </c>
      <c r="S3136" t="s">
        <v>41383</v>
      </c>
      <c r="T3136" t="s">
        <v>42729</v>
      </c>
      <c r="U3136" t="s">
        <v>45863</v>
      </c>
      <c r="W3136" t="s">
        <v>38818</v>
      </c>
      <c r="X3136" t="s">
        <v>41254</v>
      </c>
    </row>
    <row r="3137" spans="1:24">
      <c r="A3137">
        <f>HYPERLINK("https://www.philgeps.gov.ph/GEPSNONPILOT/Tender/SplashBidNoticeAbstractUI.aspx?menuIndex=3&amp;refID=7074175&amp;Result=3","7074175")</f>
        <v>0</v>
      </c>
      <c r="B3137" t="s">
        <v>1280</v>
      </c>
      <c r="C3137" t="s">
        <v>6387</v>
      </c>
      <c r="D3137" t="s">
        <v>16683</v>
      </c>
      <c r="E3137" t="s">
        <v>19562</v>
      </c>
      <c r="F3137" t="s">
        <v>28669</v>
      </c>
      <c r="G3137" t="s">
        <v>28675</v>
      </c>
      <c r="H3137" t="s">
        <v>28686</v>
      </c>
      <c r="I3137" t="s">
        <v>28689</v>
      </c>
      <c r="J3137" t="s">
        <v>30906</v>
      </c>
      <c r="K3137" t="s">
        <v>37329</v>
      </c>
      <c r="M3137" t="s">
        <v>38831</v>
      </c>
      <c r="N3137" t="s">
        <v>41249</v>
      </c>
      <c r="O3137" t="s">
        <v>41250</v>
      </c>
      <c r="P3137">
        <v>0</v>
      </c>
      <c r="Q3137">
        <v>0</v>
      </c>
      <c r="R3137" t="s">
        <v>41252</v>
      </c>
      <c r="S3137" t="s">
        <v>41383</v>
      </c>
      <c r="T3137" t="s">
        <v>42818</v>
      </c>
      <c r="U3137" t="s">
        <v>45864</v>
      </c>
      <c r="W3137" t="s">
        <v>38831</v>
      </c>
      <c r="X3137" t="s">
        <v>41254</v>
      </c>
    </row>
    <row r="3138" spans="1:24">
      <c r="A3138">
        <f>HYPERLINK("https://www.philgeps.gov.ph/GEPSNONPILOT/Tender/SplashBidNoticeAbstractUI.aspx?menuIndex=3&amp;refID=7074164&amp;Result=3","7074164")</f>
        <v>0</v>
      </c>
      <c r="B3138" t="s">
        <v>659</v>
      </c>
      <c r="C3138" t="s">
        <v>6388</v>
      </c>
      <c r="D3138" t="s">
        <v>16643</v>
      </c>
      <c r="E3138" t="s">
        <v>19563</v>
      </c>
      <c r="F3138" t="s">
        <v>28669</v>
      </c>
      <c r="G3138" t="s">
        <v>28675</v>
      </c>
      <c r="H3138" t="s">
        <v>9998</v>
      </c>
      <c r="I3138" t="s">
        <v>28722</v>
      </c>
      <c r="J3138" t="s">
        <v>30907</v>
      </c>
      <c r="K3138" t="s">
        <v>37204</v>
      </c>
      <c r="M3138" t="s">
        <v>38161</v>
      </c>
      <c r="N3138" t="s">
        <v>41249</v>
      </c>
      <c r="O3138" t="s">
        <v>41250</v>
      </c>
      <c r="P3138">
        <v>0</v>
      </c>
      <c r="Q3138">
        <v>0</v>
      </c>
      <c r="R3138" t="s">
        <v>41252</v>
      </c>
      <c r="S3138" t="s">
        <v>41383</v>
      </c>
      <c r="T3138" t="s">
        <v>42690</v>
      </c>
      <c r="U3138" t="s">
        <v>45865</v>
      </c>
      <c r="W3138" t="s">
        <v>55925</v>
      </c>
      <c r="X3138" t="s">
        <v>41254</v>
      </c>
    </row>
    <row r="3139" spans="1:24">
      <c r="A3139">
        <f>HYPERLINK("https://www.philgeps.gov.ph/GEPSNONPILOT/Tender/SplashBidNoticeAbstractUI.aspx?menuIndex=3&amp;refID=7074163&amp;Result=3","7074163")</f>
        <v>0</v>
      </c>
      <c r="B3139" t="s">
        <v>1125</v>
      </c>
      <c r="C3139" t="s">
        <v>6389</v>
      </c>
      <c r="D3139" t="s">
        <v>16616</v>
      </c>
      <c r="E3139" t="s">
        <v>19564</v>
      </c>
      <c r="F3139" t="s">
        <v>28669</v>
      </c>
      <c r="G3139" t="s">
        <v>28676</v>
      </c>
      <c r="H3139" t="s">
        <v>9998</v>
      </c>
      <c r="I3139" t="s">
        <v>28728</v>
      </c>
      <c r="J3139" t="s">
        <v>29203</v>
      </c>
      <c r="K3139" t="s">
        <v>37209</v>
      </c>
      <c r="M3139" t="s">
        <v>38659</v>
      </c>
      <c r="N3139" t="s">
        <v>41249</v>
      </c>
      <c r="O3139" t="s">
        <v>41250</v>
      </c>
      <c r="P3139">
        <v>0</v>
      </c>
      <c r="Q3139">
        <v>1</v>
      </c>
      <c r="R3139" t="s">
        <v>41252</v>
      </c>
      <c r="S3139" t="s">
        <v>41383</v>
      </c>
      <c r="T3139" t="s">
        <v>42764</v>
      </c>
      <c r="U3139" t="s">
        <v>45510</v>
      </c>
      <c r="W3139" t="s">
        <v>38659</v>
      </c>
      <c r="X3139" t="s">
        <v>41254</v>
      </c>
    </row>
    <row r="3140" spans="1:24">
      <c r="A3140">
        <f>HYPERLINK("https://www.philgeps.gov.ph/GEPSNONPILOT/Tender/SplashBidNoticeAbstractUI.aspx?menuIndex=3&amp;refID=7074162&amp;Result=3","7074162")</f>
        <v>0</v>
      </c>
      <c r="B3140" t="s">
        <v>1281</v>
      </c>
      <c r="C3140" t="s">
        <v>6390</v>
      </c>
      <c r="D3140" t="s">
        <v>16619</v>
      </c>
      <c r="E3140" t="s">
        <v>16877</v>
      </c>
      <c r="F3140" t="s">
        <v>28669</v>
      </c>
      <c r="G3140" t="s">
        <v>28677</v>
      </c>
      <c r="H3140" t="s">
        <v>9998</v>
      </c>
      <c r="I3140" t="s">
        <v>5213</v>
      </c>
      <c r="J3140" t="s">
        <v>29034</v>
      </c>
      <c r="K3140" t="s">
        <v>37208</v>
      </c>
      <c r="M3140" t="s">
        <v>38832</v>
      </c>
      <c r="N3140" t="s">
        <v>41249</v>
      </c>
      <c r="O3140" t="s">
        <v>41250</v>
      </c>
      <c r="P3140">
        <v>0</v>
      </c>
      <c r="Q3140">
        <v>1</v>
      </c>
      <c r="R3140" t="s">
        <v>41252</v>
      </c>
      <c r="S3140" t="s">
        <v>41383</v>
      </c>
      <c r="T3140" t="s">
        <v>42748</v>
      </c>
      <c r="U3140" t="s">
        <v>45866</v>
      </c>
      <c r="W3140" t="s">
        <v>38832</v>
      </c>
      <c r="X3140" t="s">
        <v>41254</v>
      </c>
    </row>
    <row r="3141" spans="1:24">
      <c r="A3141">
        <f>HYPERLINK("https://www.philgeps.gov.ph/GEPSNONPILOT/Tender/SplashBidNoticeAbstractUI.aspx?menuIndex=3&amp;refID=7074161&amp;Result=3","7074161")</f>
        <v>0</v>
      </c>
      <c r="B3141" t="s">
        <v>1263</v>
      </c>
      <c r="C3141" t="s">
        <v>6391</v>
      </c>
      <c r="D3141" t="s">
        <v>16635</v>
      </c>
      <c r="E3141" t="s">
        <v>19565</v>
      </c>
      <c r="F3141" t="s">
        <v>28669</v>
      </c>
      <c r="G3141" t="s">
        <v>28675</v>
      </c>
      <c r="H3141" t="s">
        <v>28686</v>
      </c>
      <c r="I3141" t="s">
        <v>28689</v>
      </c>
      <c r="J3141" t="s">
        <v>30908</v>
      </c>
      <c r="K3141" t="s">
        <v>37220</v>
      </c>
      <c r="M3141" t="s">
        <v>38812</v>
      </c>
      <c r="N3141" t="s">
        <v>41249</v>
      </c>
      <c r="O3141" t="s">
        <v>41250</v>
      </c>
      <c r="P3141">
        <v>0</v>
      </c>
      <c r="Q3141">
        <v>0</v>
      </c>
      <c r="R3141" t="s">
        <v>41252</v>
      </c>
      <c r="S3141" t="s">
        <v>41383</v>
      </c>
      <c r="T3141" t="s">
        <v>42693</v>
      </c>
      <c r="U3141" t="s">
        <v>45867</v>
      </c>
      <c r="W3141" t="s">
        <v>38812</v>
      </c>
      <c r="X3141" t="s">
        <v>41254</v>
      </c>
    </row>
    <row r="3142" spans="1:24">
      <c r="A3142">
        <f>HYPERLINK("https://www.philgeps.gov.ph/GEPSNONPILOT/Tender/SplashBidNoticeAbstractUI.aspx?menuIndex=3&amp;refID=7074160&amp;Result=3","7074160")</f>
        <v>0</v>
      </c>
      <c r="B3142" t="s">
        <v>96</v>
      </c>
      <c r="C3142" t="s">
        <v>6392</v>
      </c>
      <c r="D3142" t="s">
        <v>16654</v>
      </c>
      <c r="E3142" t="s">
        <v>16849</v>
      </c>
      <c r="F3142" t="s">
        <v>28669</v>
      </c>
      <c r="G3142" t="s">
        <v>28675</v>
      </c>
      <c r="H3142" t="s">
        <v>28686</v>
      </c>
      <c r="I3142" t="s">
        <v>28689</v>
      </c>
      <c r="J3142" t="s">
        <v>30909</v>
      </c>
      <c r="K3142" t="s">
        <v>37330</v>
      </c>
      <c r="M3142" t="s">
        <v>37571</v>
      </c>
      <c r="N3142" t="s">
        <v>41249</v>
      </c>
      <c r="O3142" t="s">
        <v>41250</v>
      </c>
      <c r="P3142">
        <v>0</v>
      </c>
      <c r="Q3142">
        <v>0</v>
      </c>
      <c r="R3142" t="s">
        <v>41252</v>
      </c>
      <c r="S3142" t="s">
        <v>41383</v>
      </c>
      <c r="T3142" t="s">
        <v>42899</v>
      </c>
      <c r="U3142" t="s">
        <v>45868</v>
      </c>
      <c r="W3142" t="s">
        <v>37571</v>
      </c>
      <c r="X3142" t="s">
        <v>41254</v>
      </c>
    </row>
    <row r="3143" spans="1:24">
      <c r="A3143">
        <f>HYPERLINK("https://www.philgeps.gov.ph/GEPSNONPILOT/Tender/SplashBidNoticeAbstractUI.aspx?menuIndex=3&amp;refID=7074159&amp;Result=3","7074159")</f>
        <v>0</v>
      </c>
      <c r="B3143" t="s">
        <v>1274</v>
      </c>
      <c r="C3143" t="s">
        <v>6393</v>
      </c>
      <c r="D3143" t="s">
        <v>16640</v>
      </c>
      <c r="E3143" t="s">
        <v>19566</v>
      </c>
      <c r="F3143" t="s">
        <v>28669</v>
      </c>
      <c r="G3143" t="s">
        <v>28676</v>
      </c>
      <c r="H3143" t="s">
        <v>9998</v>
      </c>
      <c r="I3143" t="s">
        <v>3718</v>
      </c>
      <c r="J3143" t="s">
        <v>28914</v>
      </c>
      <c r="K3143" t="s">
        <v>37221</v>
      </c>
      <c r="M3143" t="s">
        <v>38824</v>
      </c>
      <c r="N3143" t="s">
        <v>41249</v>
      </c>
      <c r="O3143" t="s">
        <v>41250</v>
      </c>
      <c r="P3143">
        <v>0</v>
      </c>
      <c r="Q3143">
        <v>2</v>
      </c>
      <c r="R3143" t="s">
        <v>41252</v>
      </c>
      <c r="S3143" t="s">
        <v>41383</v>
      </c>
      <c r="T3143" t="s">
        <v>42736</v>
      </c>
      <c r="U3143" t="s">
        <v>45839</v>
      </c>
      <c r="V3143" t="s">
        <v>54620</v>
      </c>
      <c r="W3143" t="s">
        <v>38824</v>
      </c>
      <c r="X3143" t="s">
        <v>41254</v>
      </c>
    </row>
    <row r="3144" spans="1:24">
      <c r="A3144">
        <f>HYPERLINK("https://www.philgeps.gov.ph/GEPSNONPILOT/Tender/SplashBidNoticeAbstractUI.aspx?menuIndex=3&amp;refID=7074177&amp;Result=3","7074177")</f>
        <v>0</v>
      </c>
      <c r="B3144" t="s">
        <v>1274</v>
      </c>
      <c r="C3144" t="s">
        <v>6394</v>
      </c>
      <c r="D3144" t="s">
        <v>16640</v>
      </c>
      <c r="E3144" t="s">
        <v>19567</v>
      </c>
      <c r="F3144" t="s">
        <v>28669</v>
      </c>
      <c r="G3144" t="s">
        <v>28676</v>
      </c>
      <c r="H3144" t="s">
        <v>9998</v>
      </c>
      <c r="I3144" t="s">
        <v>28777</v>
      </c>
      <c r="J3144" t="s">
        <v>30910</v>
      </c>
      <c r="K3144" t="s">
        <v>37221</v>
      </c>
      <c r="M3144" t="s">
        <v>38824</v>
      </c>
      <c r="N3144" t="s">
        <v>41249</v>
      </c>
      <c r="O3144" t="s">
        <v>41250</v>
      </c>
      <c r="P3144">
        <v>0</v>
      </c>
      <c r="Q3144">
        <v>1</v>
      </c>
      <c r="R3144" t="s">
        <v>41252</v>
      </c>
      <c r="S3144" t="s">
        <v>41383</v>
      </c>
      <c r="T3144" t="s">
        <v>42736</v>
      </c>
      <c r="U3144" t="s">
        <v>45839</v>
      </c>
      <c r="V3144" t="s">
        <v>54620</v>
      </c>
      <c r="W3144" t="s">
        <v>38824</v>
      </c>
      <c r="X3144" t="s">
        <v>41254</v>
      </c>
    </row>
    <row r="3145" spans="1:24">
      <c r="A3145">
        <f>HYPERLINK("https://www.philgeps.gov.ph/GEPSNONPILOT/Tender/SplashBidNoticeAbstractUI.aspx?menuIndex=3&amp;refID=7074158&amp;Result=3","7074158")</f>
        <v>0</v>
      </c>
      <c r="B3145" t="s">
        <v>1266</v>
      </c>
      <c r="C3145" t="s">
        <v>6395</v>
      </c>
      <c r="E3145" t="s">
        <v>19568</v>
      </c>
      <c r="F3145" t="s">
        <v>28669</v>
      </c>
      <c r="G3145" t="s">
        <v>28675</v>
      </c>
      <c r="H3145" t="s">
        <v>28686</v>
      </c>
      <c r="I3145" t="s">
        <v>28689</v>
      </c>
      <c r="J3145" t="s">
        <v>30911</v>
      </c>
      <c r="K3145" t="s">
        <v>37209</v>
      </c>
      <c r="M3145" t="s">
        <v>38815</v>
      </c>
      <c r="N3145" t="s">
        <v>41249</v>
      </c>
      <c r="O3145" t="s">
        <v>41250</v>
      </c>
      <c r="P3145">
        <v>0</v>
      </c>
      <c r="Q3145">
        <v>1</v>
      </c>
      <c r="R3145" t="s">
        <v>41252</v>
      </c>
      <c r="S3145" t="s">
        <v>41383</v>
      </c>
      <c r="T3145" t="s">
        <v>42716</v>
      </c>
      <c r="U3145" t="s">
        <v>45869</v>
      </c>
      <c r="W3145" t="s">
        <v>41240</v>
      </c>
      <c r="X3145" t="s">
        <v>41254</v>
      </c>
    </row>
    <row r="3146" spans="1:24">
      <c r="A3146">
        <f>HYPERLINK("https://www.philgeps.gov.ph/GEPSNONPILOT/Tender/SplashBidNoticeAbstractUI.aspx?menuIndex=3&amp;refID=7074173&amp;Result=3","7074173")</f>
        <v>0</v>
      </c>
      <c r="B3146" t="s">
        <v>677</v>
      </c>
      <c r="C3146" t="s">
        <v>6396</v>
      </c>
      <c r="D3146" t="s">
        <v>16627</v>
      </c>
      <c r="E3146" t="s">
        <v>19569</v>
      </c>
      <c r="F3146" t="s">
        <v>28669</v>
      </c>
      <c r="G3146" t="s">
        <v>28676</v>
      </c>
      <c r="H3146" t="s">
        <v>9998</v>
      </c>
      <c r="I3146" t="s">
        <v>28708</v>
      </c>
      <c r="J3146" t="s">
        <v>30912</v>
      </c>
      <c r="K3146" t="s">
        <v>37243</v>
      </c>
      <c r="M3146" t="s">
        <v>38180</v>
      </c>
      <c r="N3146" t="s">
        <v>41249</v>
      </c>
      <c r="O3146" t="s">
        <v>41250</v>
      </c>
      <c r="P3146">
        <v>0</v>
      </c>
      <c r="Q3146">
        <v>1</v>
      </c>
      <c r="R3146" t="s">
        <v>41252</v>
      </c>
      <c r="S3146" t="s">
        <v>41383</v>
      </c>
      <c r="T3146" t="s">
        <v>42748</v>
      </c>
      <c r="U3146" t="s">
        <v>45870</v>
      </c>
      <c r="W3146" t="s">
        <v>38180</v>
      </c>
      <c r="X3146" t="s">
        <v>41254</v>
      </c>
    </row>
    <row r="3147" spans="1:24">
      <c r="A3147">
        <f>HYPERLINK("https://www.philgeps.gov.ph/GEPSNONPILOT/Tender/SplashBidNoticeAbstractUI.aspx?menuIndex=3&amp;refID=7074174&amp;Result=3","7074174")</f>
        <v>0</v>
      </c>
      <c r="B3147" t="s">
        <v>1282</v>
      </c>
      <c r="C3147" t="s">
        <v>6397</v>
      </c>
      <c r="D3147" t="s">
        <v>16673</v>
      </c>
      <c r="E3147" t="s">
        <v>17248</v>
      </c>
      <c r="F3147" t="s">
        <v>28669</v>
      </c>
      <c r="G3147" t="s">
        <v>28675</v>
      </c>
      <c r="H3147" t="s">
        <v>9998</v>
      </c>
      <c r="I3147" t="s">
        <v>28687</v>
      </c>
      <c r="J3147" t="s">
        <v>30913</v>
      </c>
      <c r="K3147" t="s">
        <v>37205</v>
      </c>
      <c r="M3147" t="s">
        <v>38833</v>
      </c>
      <c r="N3147" t="s">
        <v>41249</v>
      </c>
      <c r="O3147" t="s">
        <v>41250</v>
      </c>
      <c r="P3147">
        <v>0</v>
      </c>
      <c r="Q3147">
        <v>1</v>
      </c>
      <c r="R3147" t="s">
        <v>41252</v>
      </c>
      <c r="S3147" t="s">
        <v>41383</v>
      </c>
      <c r="T3147" t="s">
        <v>42760</v>
      </c>
      <c r="U3147" t="s">
        <v>45871</v>
      </c>
      <c r="V3147" t="s">
        <v>54624</v>
      </c>
      <c r="W3147" t="s">
        <v>38833</v>
      </c>
      <c r="X3147" t="s">
        <v>41254</v>
      </c>
    </row>
    <row r="3148" spans="1:24">
      <c r="A3148">
        <f>HYPERLINK("https://www.philgeps.gov.ph/GEPSNONPILOT/Tender/SplashBidNoticeAbstractUI.aspx?menuIndex=3&amp;refID=7074191&amp;Result=3","7074191")</f>
        <v>0</v>
      </c>
      <c r="B3148" t="s">
        <v>1189</v>
      </c>
      <c r="C3148" t="s">
        <v>6398</v>
      </c>
      <c r="D3148" t="s">
        <v>16611</v>
      </c>
      <c r="E3148" t="s">
        <v>19570</v>
      </c>
      <c r="F3148" t="s">
        <v>28669</v>
      </c>
      <c r="G3148" t="s">
        <v>28676</v>
      </c>
      <c r="H3148" t="s">
        <v>9998</v>
      </c>
      <c r="I3148" t="s">
        <v>5286</v>
      </c>
      <c r="J3148" t="s">
        <v>29193</v>
      </c>
      <c r="K3148" t="s">
        <v>37209</v>
      </c>
      <c r="M3148" t="s">
        <v>38729</v>
      </c>
      <c r="N3148" t="s">
        <v>41249</v>
      </c>
      <c r="O3148" t="s">
        <v>41250</v>
      </c>
      <c r="P3148">
        <v>0</v>
      </c>
      <c r="Q3148">
        <v>4</v>
      </c>
      <c r="R3148" t="s">
        <v>41252</v>
      </c>
      <c r="S3148" t="s">
        <v>41383</v>
      </c>
      <c r="T3148" t="s">
        <v>42736</v>
      </c>
      <c r="U3148" t="s">
        <v>45642</v>
      </c>
      <c r="W3148" t="s">
        <v>38729</v>
      </c>
      <c r="X3148" t="s">
        <v>41254</v>
      </c>
    </row>
    <row r="3149" spans="1:24">
      <c r="A3149">
        <f>HYPERLINK("https://www.philgeps.gov.ph/GEPSNONPILOT/Tender/SplashBidNoticeAbstractUI.aspx?menuIndex=3&amp;refID=7074183&amp;Result=3","7074183")</f>
        <v>0</v>
      </c>
      <c r="B3149" t="s">
        <v>1063</v>
      </c>
      <c r="C3149" t="s">
        <v>6399</v>
      </c>
      <c r="D3149" t="s">
        <v>16616</v>
      </c>
      <c r="E3149" t="s">
        <v>19571</v>
      </c>
      <c r="F3149" t="s">
        <v>28669</v>
      </c>
      <c r="G3149" t="s">
        <v>28676</v>
      </c>
      <c r="H3149" t="s">
        <v>9998</v>
      </c>
      <c r="I3149" t="s">
        <v>28729</v>
      </c>
      <c r="J3149" t="s">
        <v>30914</v>
      </c>
      <c r="K3149" t="s">
        <v>37210</v>
      </c>
      <c r="M3149" t="s">
        <v>38594</v>
      </c>
      <c r="N3149" t="s">
        <v>41249</v>
      </c>
      <c r="O3149" t="s">
        <v>41250</v>
      </c>
      <c r="P3149">
        <v>0</v>
      </c>
      <c r="Q3149">
        <v>5</v>
      </c>
      <c r="R3149" t="s">
        <v>41252</v>
      </c>
      <c r="S3149" t="s">
        <v>41383</v>
      </c>
      <c r="T3149" t="s">
        <v>42701</v>
      </c>
      <c r="U3149" t="s">
        <v>45872</v>
      </c>
      <c r="W3149" t="s">
        <v>38594</v>
      </c>
      <c r="X3149" t="s">
        <v>41254</v>
      </c>
    </row>
    <row r="3150" spans="1:24">
      <c r="A3150">
        <f>HYPERLINK("https://www.philgeps.gov.ph/GEPSNONPILOT/Tender/SplashBidNoticeAbstractUI.aspx?menuIndex=3&amp;refID=7074190&amp;Result=3","7074190")</f>
        <v>0</v>
      </c>
      <c r="B3150" t="s">
        <v>1280</v>
      </c>
      <c r="C3150" t="s">
        <v>6400</v>
      </c>
      <c r="D3150" t="s">
        <v>16683</v>
      </c>
      <c r="E3150" t="s">
        <v>19572</v>
      </c>
      <c r="F3150" t="s">
        <v>28669</v>
      </c>
      <c r="G3150" t="s">
        <v>28675</v>
      </c>
      <c r="H3150" t="s">
        <v>28686</v>
      </c>
      <c r="I3150" t="s">
        <v>28689</v>
      </c>
      <c r="J3150" t="s">
        <v>30915</v>
      </c>
      <c r="K3150" t="s">
        <v>37331</v>
      </c>
      <c r="M3150" t="s">
        <v>38831</v>
      </c>
      <c r="N3150" t="s">
        <v>41249</v>
      </c>
      <c r="O3150" t="s">
        <v>41250</v>
      </c>
      <c r="P3150">
        <v>0</v>
      </c>
      <c r="Q3150">
        <v>0</v>
      </c>
      <c r="R3150" t="s">
        <v>41252</v>
      </c>
      <c r="S3150" t="s">
        <v>41383</v>
      </c>
      <c r="T3150" t="s">
        <v>42818</v>
      </c>
      <c r="U3150" t="s">
        <v>45864</v>
      </c>
      <c r="W3150" t="s">
        <v>38831</v>
      </c>
      <c r="X3150" t="s">
        <v>41254</v>
      </c>
    </row>
    <row r="3151" spans="1:24">
      <c r="A3151">
        <f>HYPERLINK("https://www.philgeps.gov.ph/GEPSNONPILOT/Tender/SplashBidNoticeAbstractUI.aspx?menuIndex=3&amp;refID=7074189&amp;Result=3","7074189")</f>
        <v>0</v>
      </c>
      <c r="B3151" t="s">
        <v>1279</v>
      </c>
      <c r="C3151" t="s">
        <v>6401</v>
      </c>
      <c r="D3151" t="s">
        <v>16646</v>
      </c>
      <c r="E3151" t="s">
        <v>19573</v>
      </c>
      <c r="F3151" t="s">
        <v>28671</v>
      </c>
      <c r="G3151" t="s">
        <v>28677</v>
      </c>
      <c r="H3151" t="s">
        <v>9998</v>
      </c>
      <c r="I3151" t="s">
        <v>28729</v>
      </c>
      <c r="J3151" t="s">
        <v>30036</v>
      </c>
      <c r="K3151" t="s">
        <v>37204</v>
      </c>
      <c r="M3151" t="s">
        <v>38829</v>
      </c>
      <c r="N3151" t="s">
        <v>41249</v>
      </c>
      <c r="O3151" t="s">
        <v>41250</v>
      </c>
      <c r="P3151">
        <v>0</v>
      </c>
      <c r="Q3151">
        <v>15</v>
      </c>
      <c r="R3151" t="s">
        <v>41252</v>
      </c>
      <c r="S3151" t="s">
        <v>41383</v>
      </c>
      <c r="T3151" t="s">
        <v>42887</v>
      </c>
      <c r="U3151" t="s">
        <v>45873</v>
      </c>
      <c r="W3151" t="s">
        <v>38829</v>
      </c>
      <c r="X3151" t="s">
        <v>41254</v>
      </c>
    </row>
    <row r="3152" spans="1:24">
      <c r="A3152">
        <f>HYPERLINK("https://www.philgeps.gov.ph/GEPSNONPILOT/Tender/SplashBidNoticeAbstractUI.aspx?menuIndex=3&amp;refID=7074188&amp;Result=3","7074188")</f>
        <v>0</v>
      </c>
      <c r="B3152" t="s">
        <v>1034</v>
      </c>
      <c r="C3152" t="s">
        <v>6402</v>
      </c>
      <c r="D3152" t="s">
        <v>16619</v>
      </c>
      <c r="E3152" t="s">
        <v>18877</v>
      </c>
      <c r="F3152" t="s">
        <v>28669</v>
      </c>
      <c r="G3152" t="s">
        <v>28675</v>
      </c>
      <c r="H3152" t="s">
        <v>28686</v>
      </c>
      <c r="I3152" t="s">
        <v>28689</v>
      </c>
      <c r="J3152" t="s">
        <v>30916</v>
      </c>
      <c r="K3152" t="s">
        <v>37213</v>
      </c>
      <c r="M3152" t="s">
        <v>38565</v>
      </c>
      <c r="N3152" t="s">
        <v>41249</v>
      </c>
      <c r="O3152" t="s">
        <v>41250</v>
      </c>
      <c r="P3152">
        <v>0</v>
      </c>
      <c r="Q3152">
        <v>0</v>
      </c>
      <c r="R3152" t="s">
        <v>41252</v>
      </c>
      <c r="S3152" t="s">
        <v>41383</v>
      </c>
      <c r="T3152" t="s">
        <v>42684</v>
      </c>
      <c r="U3152" t="s">
        <v>45874</v>
      </c>
      <c r="W3152" t="s">
        <v>38565</v>
      </c>
      <c r="X3152" t="s">
        <v>41254</v>
      </c>
    </row>
    <row r="3153" spans="1:24">
      <c r="A3153">
        <f>HYPERLINK("https://www.philgeps.gov.ph/GEPSNONPILOT/Tender/SplashBidNoticeAbstractUI.aspx?menuIndex=3&amp;refID=7074186&amp;Result=3","7074186")</f>
        <v>0</v>
      </c>
      <c r="B3153" t="s">
        <v>546</v>
      </c>
      <c r="C3153" t="s">
        <v>6403</v>
      </c>
      <c r="D3153" t="s">
        <v>16629</v>
      </c>
      <c r="E3153" t="s">
        <v>19574</v>
      </c>
      <c r="F3153" t="s">
        <v>28669</v>
      </c>
      <c r="G3153" t="s">
        <v>28675</v>
      </c>
      <c r="H3153" t="s">
        <v>9998</v>
      </c>
      <c r="I3153" t="s">
        <v>7352</v>
      </c>
      <c r="J3153" t="s">
        <v>30917</v>
      </c>
      <c r="K3153" t="s">
        <v>37227</v>
      </c>
      <c r="M3153" t="s">
        <v>38039</v>
      </c>
      <c r="N3153" t="s">
        <v>41249</v>
      </c>
      <c r="O3153" t="s">
        <v>41250</v>
      </c>
      <c r="P3153">
        <v>0</v>
      </c>
      <c r="Q3153">
        <v>0</v>
      </c>
      <c r="R3153" t="s">
        <v>41252</v>
      </c>
      <c r="S3153" t="s">
        <v>41383</v>
      </c>
      <c r="T3153" t="s">
        <v>42761</v>
      </c>
      <c r="U3153" t="s">
        <v>45875</v>
      </c>
      <c r="W3153" t="s">
        <v>38039</v>
      </c>
      <c r="X3153" t="s">
        <v>41254</v>
      </c>
    </row>
    <row r="3154" spans="1:24">
      <c r="A3154">
        <f>HYPERLINK("https://www.philgeps.gov.ph/GEPSNONPILOT/Tender/SplashBidNoticeAbstractUI.aspx?menuIndex=3&amp;refID=7074185&amp;Result=3","7074185")</f>
        <v>0</v>
      </c>
      <c r="B3154" t="s">
        <v>1282</v>
      </c>
      <c r="C3154" t="s">
        <v>6404</v>
      </c>
      <c r="D3154" t="s">
        <v>16673</v>
      </c>
      <c r="E3154" t="s">
        <v>16855</v>
      </c>
      <c r="F3154" t="s">
        <v>28669</v>
      </c>
      <c r="G3154" t="s">
        <v>28675</v>
      </c>
      <c r="H3154" t="s">
        <v>9998</v>
      </c>
      <c r="I3154" t="s">
        <v>28687</v>
      </c>
      <c r="J3154" t="s">
        <v>30918</v>
      </c>
      <c r="K3154" t="s">
        <v>37205</v>
      </c>
      <c r="M3154" t="s">
        <v>38833</v>
      </c>
      <c r="N3154" t="s">
        <v>41249</v>
      </c>
      <c r="O3154" t="s">
        <v>41250</v>
      </c>
      <c r="P3154">
        <v>0</v>
      </c>
      <c r="Q3154">
        <v>1</v>
      </c>
      <c r="R3154" t="s">
        <v>41252</v>
      </c>
      <c r="S3154" t="s">
        <v>41383</v>
      </c>
      <c r="T3154" t="s">
        <v>42760</v>
      </c>
      <c r="U3154" t="s">
        <v>45876</v>
      </c>
      <c r="V3154" t="s">
        <v>54624</v>
      </c>
      <c r="W3154" t="s">
        <v>38833</v>
      </c>
      <c r="X3154" t="s">
        <v>41254</v>
      </c>
    </row>
    <row r="3155" spans="1:24">
      <c r="A3155">
        <f>HYPERLINK("https://www.philgeps.gov.ph/GEPSNONPILOT/Tender/SplashBidNoticeAbstractUI.aspx?menuIndex=3&amp;refID=7074184&amp;Result=3","7074184")</f>
        <v>0</v>
      </c>
      <c r="B3155" t="s">
        <v>1283</v>
      </c>
      <c r="C3155" t="s">
        <v>6405</v>
      </c>
      <c r="D3155" t="s">
        <v>16665</v>
      </c>
      <c r="E3155" t="s">
        <v>19575</v>
      </c>
      <c r="F3155" t="s">
        <v>28669</v>
      </c>
      <c r="G3155" t="s">
        <v>28675</v>
      </c>
      <c r="H3155" t="s">
        <v>9998</v>
      </c>
      <c r="I3155" t="s">
        <v>28738</v>
      </c>
      <c r="J3155" t="s">
        <v>30919</v>
      </c>
      <c r="K3155" t="s">
        <v>37206</v>
      </c>
      <c r="M3155" t="s">
        <v>38834</v>
      </c>
      <c r="N3155" t="s">
        <v>41249</v>
      </c>
      <c r="O3155" t="s">
        <v>41250</v>
      </c>
      <c r="P3155">
        <v>0</v>
      </c>
      <c r="Q3155">
        <v>4</v>
      </c>
      <c r="R3155" t="s">
        <v>41252</v>
      </c>
      <c r="S3155" t="s">
        <v>41383</v>
      </c>
      <c r="T3155" t="s">
        <v>42779</v>
      </c>
      <c r="U3155" t="s">
        <v>45877</v>
      </c>
      <c r="W3155" t="s">
        <v>38834</v>
      </c>
      <c r="X3155" t="s">
        <v>41254</v>
      </c>
    </row>
    <row r="3156" spans="1:24">
      <c r="A3156">
        <f>HYPERLINK("https://www.philgeps.gov.ph/GEPSNONPILOT/Tender/SplashBidNoticeAbstractUI.aspx?menuIndex=3&amp;refID=7074182&amp;Result=3","7074182")</f>
        <v>0</v>
      </c>
      <c r="B3156" t="s">
        <v>1188</v>
      </c>
      <c r="C3156" t="s">
        <v>6406</v>
      </c>
      <c r="D3156" t="s">
        <v>16642</v>
      </c>
      <c r="E3156" t="s">
        <v>19576</v>
      </c>
      <c r="F3156" t="s">
        <v>28669</v>
      </c>
      <c r="G3156" t="s">
        <v>28678</v>
      </c>
      <c r="H3156" t="s">
        <v>9998</v>
      </c>
      <c r="I3156" t="s">
        <v>6128</v>
      </c>
      <c r="J3156" t="s">
        <v>30920</v>
      </c>
      <c r="K3156" t="s">
        <v>37204</v>
      </c>
      <c r="M3156" t="s">
        <v>38728</v>
      </c>
      <c r="N3156" t="s">
        <v>41249</v>
      </c>
      <c r="O3156" t="s">
        <v>41250</v>
      </c>
      <c r="P3156">
        <v>0</v>
      </c>
      <c r="Q3156">
        <v>4</v>
      </c>
      <c r="R3156" t="s">
        <v>41252</v>
      </c>
      <c r="S3156" t="s">
        <v>41383</v>
      </c>
      <c r="T3156" t="s">
        <v>42908</v>
      </c>
      <c r="U3156" t="s">
        <v>45878</v>
      </c>
      <c r="W3156" t="s">
        <v>38728</v>
      </c>
      <c r="X3156" t="s">
        <v>41254</v>
      </c>
    </row>
    <row r="3157" spans="1:24">
      <c r="A3157">
        <f>HYPERLINK("https://www.philgeps.gov.ph/GEPSNONPILOT/Tender/SplashBidNoticeAbstractUI.aspx?menuIndex=3&amp;refID=7074203&amp;Result=3","7074203")</f>
        <v>0</v>
      </c>
      <c r="B3157" t="s">
        <v>1034</v>
      </c>
      <c r="C3157" t="s">
        <v>6407</v>
      </c>
      <c r="D3157" t="s">
        <v>16619</v>
      </c>
      <c r="E3157" t="s">
        <v>19577</v>
      </c>
      <c r="F3157" t="s">
        <v>28669</v>
      </c>
      <c r="G3157" t="s">
        <v>28675</v>
      </c>
      <c r="H3157" t="s">
        <v>28686</v>
      </c>
      <c r="I3157" t="s">
        <v>28689</v>
      </c>
      <c r="J3157" t="s">
        <v>30921</v>
      </c>
      <c r="K3157" t="s">
        <v>37294</v>
      </c>
      <c r="M3157" t="s">
        <v>38565</v>
      </c>
      <c r="N3157" t="s">
        <v>41249</v>
      </c>
      <c r="O3157" t="s">
        <v>41250</v>
      </c>
      <c r="P3157">
        <v>0</v>
      </c>
      <c r="Q3157">
        <v>0</v>
      </c>
      <c r="R3157" t="s">
        <v>41252</v>
      </c>
      <c r="S3157" t="s">
        <v>41383</v>
      </c>
      <c r="T3157" t="s">
        <v>42684</v>
      </c>
      <c r="U3157" t="s">
        <v>45879</v>
      </c>
      <c r="W3157" t="s">
        <v>38565</v>
      </c>
      <c r="X3157" t="s">
        <v>41254</v>
      </c>
    </row>
    <row r="3158" spans="1:24">
      <c r="A3158">
        <f>HYPERLINK("https://www.philgeps.gov.ph/GEPSNONPILOT/Tender/SplashBidNoticeAbstractUI.aspx?menuIndex=3&amp;refID=7074202&amp;Result=3","7074202")</f>
        <v>0</v>
      </c>
      <c r="B3158" t="s">
        <v>1284</v>
      </c>
      <c r="C3158" t="s">
        <v>6408</v>
      </c>
      <c r="D3158" t="s">
        <v>16683</v>
      </c>
      <c r="E3158" t="s">
        <v>19578</v>
      </c>
      <c r="F3158" t="s">
        <v>28669</v>
      </c>
      <c r="G3158" t="s">
        <v>28677</v>
      </c>
      <c r="H3158" t="s">
        <v>9998</v>
      </c>
      <c r="I3158" t="s">
        <v>28704</v>
      </c>
      <c r="J3158" t="s">
        <v>30922</v>
      </c>
      <c r="K3158" t="s">
        <v>37205</v>
      </c>
      <c r="M3158" t="s">
        <v>38835</v>
      </c>
      <c r="N3158" t="s">
        <v>41249</v>
      </c>
      <c r="O3158" t="s">
        <v>41250</v>
      </c>
      <c r="P3158">
        <v>0</v>
      </c>
      <c r="Q3158">
        <v>1</v>
      </c>
      <c r="R3158" t="s">
        <v>41252</v>
      </c>
      <c r="S3158" t="s">
        <v>41383</v>
      </c>
      <c r="T3158" t="s">
        <v>42673</v>
      </c>
      <c r="U3158" t="s">
        <v>45880</v>
      </c>
      <c r="V3158" t="s">
        <v>54625</v>
      </c>
      <c r="W3158" t="s">
        <v>38835</v>
      </c>
      <c r="X3158" t="s">
        <v>41254</v>
      </c>
    </row>
    <row r="3159" spans="1:24">
      <c r="A3159">
        <f>HYPERLINK("https://www.philgeps.gov.ph/GEPSNONPILOT/Tender/SplashBidNoticeAbstractUI.aspx?menuIndex=3&amp;refID=7074192&amp;Result=3","7074192")</f>
        <v>0</v>
      </c>
      <c r="B3159" t="s">
        <v>308</v>
      </c>
      <c r="C3159" t="s">
        <v>6409</v>
      </c>
      <c r="D3159" t="s">
        <v>16647</v>
      </c>
      <c r="E3159" t="s">
        <v>19579</v>
      </c>
      <c r="F3159" t="s">
        <v>28669</v>
      </c>
      <c r="G3159" t="s">
        <v>28675</v>
      </c>
      <c r="H3159" t="s">
        <v>28686</v>
      </c>
      <c r="I3159" t="s">
        <v>28689</v>
      </c>
      <c r="J3159" t="s">
        <v>29950</v>
      </c>
      <c r="K3159" t="s">
        <v>37259</v>
      </c>
      <c r="M3159" t="s">
        <v>38223</v>
      </c>
      <c r="N3159" t="s">
        <v>41249</v>
      </c>
      <c r="O3159" t="s">
        <v>41250</v>
      </c>
      <c r="P3159">
        <v>0</v>
      </c>
      <c r="Q3159">
        <v>4</v>
      </c>
      <c r="R3159" t="s">
        <v>41252</v>
      </c>
      <c r="S3159" t="s">
        <v>41383</v>
      </c>
      <c r="T3159" t="s">
        <v>42716</v>
      </c>
      <c r="U3159" t="s">
        <v>45881</v>
      </c>
      <c r="W3159" t="s">
        <v>38223</v>
      </c>
      <c r="X3159" t="s">
        <v>41254</v>
      </c>
    </row>
    <row r="3160" spans="1:24">
      <c r="A3160">
        <f>HYPERLINK("https://www.philgeps.gov.ph/GEPSNONPILOT/Tender/SplashBidNoticeAbstractUI.aspx?menuIndex=3&amp;refID=7074201&amp;Result=3","7074201")</f>
        <v>0</v>
      </c>
      <c r="B3160" t="s">
        <v>1285</v>
      </c>
      <c r="C3160" t="s">
        <v>6410</v>
      </c>
      <c r="D3160" t="s">
        <v>16608</v>
      </c>
      <c r="E3160" t="s">
        <v>19580</v>
      </c>
      <c r="F3160" t="s">
        <v>28669</v>
      </c>
      <c r="G3160" t="s">
        <v>28676</v>
      </c>
      <c r="H3160" t="s">
        <v>28686</v>
      </c>
      <c r="I3160" t="s">
        <v>28689</v>
      </c>
      <c r="J3160" t="s">
        <v>29400</v>
      </c>
      <c r="K3160" t="s">
        <v>37220</v>
      </c>
      <c r="M3160" t="s">
        <v>38836</v>
      </c>
      <c r="N3160" t="s">
        <v>41249</v>
      </c>
      <c r="O3160" t="s">
        <v>41250</v>
      </c>
      <c r="P3160">
        <v>0</v>
      </c>
      <c r="Q3160">
        <v>1</v>
      </c>
      <c r="R3160" t="s">
        <v>41252</v>
      </c>
      <c r="S3160" t="s">
        <v>41383</v>
      </c>
      <c r="T3160" t="s">
        <v>42734</v>
      </c>
      <c r="U3160" t="s">
        <v>45882</v>
      </c>
      <c r="W3160" t="s">
        <v>38836</v>
      </c>
      <c r="X3160" t="s">
        <v>41254</v>
      </c>
    </row>
    <row r="3161" spans="1:24">
      <c r="A3161">
        <f>HYPERLINK("https://www.philgeps.gov.ph/GEPSNONPILOT/Tender/SplashBidNoticeAbstractUI.aspx?menuIndex=3&amp;refID=7074200&amp;Result=3","7074200")</f>
        <v>0</v>
      </c>
      <c r="B3161" t="s">
        <v>1286</v>
      </c>
      <c r="C3161" t="s">
        <v>6411</v>
      </c>
      <c r="D3161" t="s">
        <v>16643</v>
      </c>
      <c r="E3161" t="s">
        <v>19581</v>
      </c>
      <c r="F3161" t="s">
        <v>28669</v>
      </c>
      <c r="G3161" t="s">
        <v>28677</v>
      </c>
      <c r="H3161" t="s">
        <v>28684</v>
      </c>
      <c r="I3161" t="s">
        <v>5213</v>
      </c>
      <c r="J3161" t="s">
        <v>30923</v>
      </c>
      <c r="K3161" t="s">
        <v>37204</v>
      </c>
      <c r="M3161" t="s">
        <v>38837</v>
      </c>
      <c r="N3161" t="s">
        <v>41249</v>
      </c>
      <c r="O3161" t="s">
        <v>41250</v>
      </c>
      <c r="P3161">
        <v>0</v>
      </c>
      <c r="Q3161">
        <v>0</v>
      </c>
      <c r="R3161" t="s">
        <v>41252</v>
      </c>
      <c r="S3161" t="s">
        <v>41383</v>
      </c>
      <c r="T3161" t="s">
        <v>42925</v>
      </c>
      <c r="U3161" t="s">
        <v>45883</v>
      </c>
      <c r="W3161" t="s">
        <v>38837</v>
      </c>
      <c r="X3161" t="s">
        <v>41254</v>
      </c>
    </row>
    <row r="3162" spans="1:24">
      <c r="A3162">
        <f>HYPERLINK("https://www.philgeps.gov.ph/GEPSNONPILOT/Tender/SplashBidNoticeAbstractUI.aspx?menuIndex=3&amp;refID=7074197&amp;Result=3","7074197")</f>
        <v>0</v>
      </c>
      <c r="B3162" t="s">
        <v>1273</v>
      </c>
      <c r="C3162" t="s">
        <v>6412</v>
      </c>
      <c r="D3162" t="s">
        <v>16655</v>
      </c>
      <c r="E3162" t="s">
        <v>19582</v>
      </c>
      <c r="F3162" t="s">
        <v>28669</v>
      </c>
      <c r="G3162" t="s">
        <v>28679</v>
      </c>
      <c r="H3162" t="s">
        <v>28686</v>
      </c>
      <c r="I3162" t="s">
        <v>28689</v>
      </c>
      <c r="J3162" t="s">
        <v>28905</v>
      </c>
      <c r="K3162" t="s">
        <v>37332</v>
      </c>
      <c r="M3162" t="s">
        <v>38823</v>
      </c>
      <c r="N3162" t="s">
        <v>41249</v>
      </c>
      <c r="O3162" t="s">
        <v>41250</v>
      </c>
      <c r="P3162">
        <v>0</v>
      </c>
      <c r="Q3162">
        <v>0</v>
      </c>
      <c r="R3162" t="s">
        <v>41252</v>
      </c>
      <c r="S3162" t="s">
        <v>41383</v>
      </c>
      <c r="T3162" t="s">
        <v>42686</v>
      </c>
      <c r="U3162" t="s">
        <v>45884</v>
      </c>
      <c r="W3162" t="s">
        <v>38823</v>
      </c>
      <c r="X3162" t="s">
        <v>41254</v>
      </c>
    </row>
    <row r="3163" spans="1:24">
      <c r="A3163">
        <f>HYPERLINK("https://www.philgeps.gov.ph/GEPSNONPILOT/Tender/SplashBidNoticeAbstractUI.aspx?menuIndex=3&amp;refID=7074196&amp;Result=3","7074196")</f>
        <v>0</v>
      </c>
      <c r="B3163" t="s">
        <v>358</v>
      </c>
      <c r="C3163" t="s">
        <v>6413</v>
      </c>
      <c r="D3163" t="s">
        <v>16683</v>
      </c>
      <c r="E3163" t="s">
        <v>19583</v>
      </c>
      <c r="F3163" t="s">
        <v>28669</v>
      </c>
      <c r="G3163" t="s">
        <v>28677</v>
      </c>
      <c r="H3163" t="s">
        <v>9998</v>
      </c>
      <c r="I3163" t="s">
        <v>28717</v>
      </c>
      <c r="J3163" t="s">
        <v>28901</v>
      </c>
      <c r="K3163" t="s">
        <v>37209</v>
      </c>
      <c r="M3163" t="s">
        <v>37839</v>
      </c>
      <c r="N3163" t="s">
        <v>41249</v>
      </c>
      <c r="O3163" t="s">
        <v>41250</v>
      </c>
      <c r="P3163">
        <v>0</v>
      </c>
      <c r="Q3163">
        <v>1</v>
      </c>
      <c r="R3163" t="s">
        <v>41252</v>
      </c>
      <c r="S3163" t="s">
        <v>41383</v>
      </c>
      <c r="T3163" t="s">
        <v>42883</v>
      </c>
      <c r="U3163" t="s">
        <v>45885</v>
      </c>
      <c r="W3163" t="s">
        <v>37839</v>
      </c>
      <c r="X3163" t="s">
        <v>41254</v>
      </c>
    </row>
    <row r="3164" spans="1:24">
      <c r="A3164">
        <f>HYPERLINK("https://www.philgeps.gov.ph/GEPSNONPILOT/Tender/SplashBidNoticeAbstractUI.aspx?menuIndex=3&amp;refID=7074180&amp;Result=3","7074180")</f>
        <v>0</v>
      </c>
      <c r="B3164" t="s">
        <v>345</v>
      </c>
      <c r="C3164" t="s">
        <v>4730</v>
      </c>
      <c r="D3164" t="s">
        <v>16666</v>
      </c>
      <c r="E3164" t="s">
        <v>19584</v>
      </c>
      <c r="F3164" t="s">
        <v>28669</v>
      </c>
      <c r="G3164" t="s">
        <v>28676</v>
      </c>
      <c r="H3164" t="s">
        <v>9998</v>
      </c>
      <c r="I3164" t="s">
        <v>28693</v>
      </c>
      <c r="J3164" t="s">
        <v>29204</v>
      </c>
      <c r="K3164" t="s">
        <v>37209</v>
      </c>
      <c r="M3164" t="s">
        <v>37825</v>
      </c>
      <c r="N3164" t="s">
        <v>41249</v>
      </c>
      <c r="O3164" t="s">
        <v>41250</v>
      </c>
      <c r="P3164">
        <v>0</v>
      </c>
      <c r="Q3164">
        <v>11</v>
      </c>
      <c r="R3164" t="s">
        <v>41252</v>
      </c>
      <c r="S3164" t="s">
        <v>41383</v>
      </c>
      <c r="T3164" t="s">
        <v>42729</v>
      </c>
      <c r="U3164" t="s">
        <v>43748</v>
      </c>
      <c r="W3164" t="s">
        <v>37825</v>
      </c>
      <c r="X3164" t="s">
        <v>41254</v>
      </c>
    </row>
    <row r="3165" spans="1:24">
      <c r="A3165">
        <f>HYPERLINK("https://www.philgeps.gov.ph/GEPSNONPILOT/Tender/SplashBidNoticeAbstractUI.aspx?menuIndex=3&amp;refID=7074195&amp;Result=3","7074195")</f>
        <v>0</v>
      </c>
      <c r="B3165" t="s">
        <v>1287</v>
      </c>
      <c r="C3165" t="s">
        <v>6414</v>
      </c>
      <c r="E3165" t="s">
        <v>19585</v>
      </c>
      <c r="F3165" t="s">
        <v>28669</v>
      </c>
      <c r="G3165" t="s">
        <v>28678</v>
      </c>
      <c r="H3165" t="s">
        <v>9998</v>
      </c>
      <c r="I3165" t="s">
        <v>11593</v>
      </c>
      <c r="J3165" t="s">
        <v>30924</v>
      </c>
      <c r="K3165" t="s">
        <v>37209</v>
      </c>
      <c r="M3165" t="s">
        <v>38838</v>
      </c>
      <c r="N3165" t="s">
        <v>41249</v>
      </c>
      <c r="O3165" t="s">
        <v>41250</v>
      </c>
      <c r="P3165">
        <v>0</v>
      </c>
      <c r="Q3165">
        <v>0</v>
      </c>
      <c r="R3165" t="s">
        <v>41252</v>
      </c>
      <c r="S3165" t="s">
        <v>41383</v>
      </c>
      <c r="T3165" t="s">
        <v>42711</v>
      </c>
      <c r="U3165" t="s">
        <v>45886</v>
      </c>
      <c r="W3165" t="s">
        <v>38838</v>
      </c>
      <c r="X3165" t="s">
        <v>41254</v>
      </c>
    </row>
    <row r="3166" spans="1:24">
      <c r="A3166">
        <f>HYPERLINK("https://www.philgeps.gov.ph/GEPSNONPILOT/Tender/SplashBidNoticeAbstractUI.aspx?menuIndex=3&amp;refID=7074193&amp;Result=3","7074193")</f>
        <v>0</v>
      </c>
      <c r="B3166" t="s">
        <v>1274</v>
      </c>
      <c r="C3166" t="s">
        <v>6415</v>
      </c>
      <c r="D3166" t="s">
        <v>16640</v>
      </c>
      <c r="E3166" t="s">
        <v>19586</v>
      </c>
      <c r="F3166" t="s">
        <v>28669</v>
      </c>
      <c r="G3166" t="s">
        <v>28676</v>
      </c>
      <c r="H3166" t="s">
        <v>9998</v>
      </c>
      <c r="I3166" t="s">
        <v>3718</v>
      </c>
      <c r="J3166" t="s">
        <v>30925</v>
      </c>
      <c r="K3166" t="s">
        <v>37221</v>
      </c>
      <c r="M3166" t="s">
        <v>38824</v>
      </c>
      <c r="N3166" t="s">
        <v>41249</v>
      </c>
      <c r="O3166" t="s">
        <v>41250</v>
      </c>
      <c r="P3166">
        <v>0</v>
      </c>
      <c r="Q3166">
        <v>4</v>
      </c>
      <c r="R3166" t="s">
        <v>41252</v>
      </c>
      <c r="S3166" t="s">
        <v>41383</v>
      </c>
      <c r="T3166" t="s">
        <v>42736</v>
      </c>
      <c r="U3166" t="s">
        <v>45839</v>
      </c>
      <c r="V3166" t="s">
        <v>54620</v>
      </c>
      <c r="W3166" t="s">
        <v>38824</v>
      </c>
      <c r="X3166" t="s">
        <v>41254</v>
      </c>
    </row>
    <row r="3167" spans="1:24">
      <c r="A3167">
        <f>HYPERLINK("https://www.philgeps.gov.ph/GEPSNONPILOT/Tender/SplashBidNoticeAbstractUI.aspx?menuIndex=3&amp;refID=7074076&amp;Result=3","7074076")</f>
        <v>0</v>
      </c>
      <c r="B3167" t="s">
        <v>557</v>
      </c>
      <c r="C3167" t="s">
        <v>6416</v>
      </c>
      <c r="D3167" t="s">
        <v>16608</v>
      </c>
      <c r="E3167" t="s">
        <v>19587</v>
      </c>
      <c r="F3167" t="s">
        <v>28669</v>
      </c>
      <c r="G3167" t="s">
        <v>28676</v>
      </c>
      <c r="H3167" t="s">
        <v>9998</v>
      </c>
      <c r="I3167" t="s">
        <v>28714</v>
      </c>
      <c r="J3167" t="s">
        <v>28990</v>
      </c>
      <c r="K3167" t="s">
        <v>37204</v>
      </c>
      <c r="M3167" t="s">
        <v>38050</v>
      </c>
      <c r="N3167" t="s">
        <v>41249</v>
      </c>
      <c r="O3167" t="s">
        <v>41250</v>
      </c>
      <c r="P3167">
        <v>0</v>
      </c>
      <c r="Q3167">
        <v>3</v>
      </c>
      <c r="R3167" t="s">
        <v>41252</v>
      </c>
      <c r="S3167" t="s">
        <v>41383</v>
      </c>
      <c r="T3167" t="s">
        <v>42742</v>
      </c>
      <c r="U3167" t="s">
        <v>45887</v>
      </c>
      <c r="V3167" t="s">
        <v>54379</v>
      </c>
      <c r="W3167" t="s">
        <v>38050</v>
      </c>
      <c r="X3167" t="s">
        <v>41254</v>
      </c>
    </row>
    <row r="3168" spans="1:24">
      <c r="A3168">
        <f>HYPERLINK("https://www.philgeps.gov.ph/GEPSNONPILOT/Tender/SplashBidNoticeAbstractUI.aspx?menuIndex=3&amp;refID=7074194&amp;Result=3","7074194")</f>
        <v>0</v>
      </c>
      <c r="B3168" t="s">
        <v>1288</v>
      </c>
      <c r="C3168" t="s">
        <v>6417</v>
      </c>
      <c r="E3168" t="s">
        <v>16861</v>
      </c>
      <c r="F3168" t="s">
        <v>28669</v>
      </c>
      <c r="G3168" t="s">
        <v>28675</v>
      </c>
      <c r="H3168" t="s">
        <v>9998</v>
      </c>
      <c r="I3168" t="s">
        <v>28732</v>
      </c>
      <c r="J3168" t="s">
        <v>28845</v>
      </c>
      <c r="K3168" t="s">
        <v>37209</v>
      </c>
      <c r="M3168" t="s">
        <v>38839</v>
      </c>
      <c r="N3168" t="s">
        <v>41249</v>
      </c>
      <c r="O3168" t="s">
        <v>41250</v>
      </c>
      <c r="P3168">
        <v>0</v>
      </c>
      <c r="Q3168">
        <v>4</v>
      </c>
      <c r="R3168" t="s">
        <v>41252</v>
      </c>
      <c r="S3168" t="s">
        <v>41383</v>
      </c>
      <c r="T3168" t="s">
        <v>42671</v>
      </c>
      <c r="U3168" t="s">
        <v>45888</v>
      </c>
      <c r="W3168" t="s">
        <v>38839</v>
      </c>
      <c r="X3168" t="s">
        <v>41254</v>
      </c>
    </row>
    <row r="3169" spans="1:24">
      <c r="A3169">
        <f>HYPERLINK("https://www.philgeps.gov.ph/GEPSNONPILOT/Tender/SplashBidNoticeAbstractUI.aspx?menuIndex=3&amp;refID=7074204&amp;Result=3","7074204")</f>
        <v>0</v>
      </c>
      <c r="B3169" t="s">
        <v>1260</v>
      </c>
      <c r="C3169" t="s">
        <v>6418</v>
      </c>
      <c r="D3169" t="s">
        <v>16618</v>
      </c>
      <c r="E3169" t="s">
        <v>19588</v>
      </c>
      <c r="F3169" t="s">
        <v>28669</v>
      </c>
      <c r="G3169" t="s">
        <v>28675</v>
      </c>
      <c r="H3169" t="s">
        <v>28686</v>
      </c>
      <c r="I3169" t="s">
        <v>28689</v>
      </c>
      <c r="J3169" t="s">
        <v>28924</v>
      </c>
      <c r="K3169" t="s">
        <v>37221</v>
      </c>
      <c r="M3169" t="s">
        <v>38809</v>
      </c>
      <c r="N3169" t="s">
        <v>41249</v>
      </c>
      <c r="O3169" t="s">
        <v>41250</v>
      </c>
      <c r="P3169">
        <v>0</v>
      </c>
      <c r="Q3169">
        <v>1</v>
      </c>
      <c r="R3169" t="s">
        <v>41252</v>
      </c>
      <c r="S3169" t="s">
        <v>41383</v>
      </c>
      <c r="T3169" t="s">
        <v>42688</v>
      </c>
      <c r="U3169" t="s">
        <v>45889</v>
      </c>
      <c r="W3169" t="s">
        <v>38809</v>
      </c>
      <c r="X3169" t="s">
        <v>41254</v>
      </c>
    </row>
    <row r="3170" spans="1:24">
      <c r="A3170">
        <f>HYPERLINK("https://www.philgeps.gov.ph/GEPSNONPILOT/Tender/SplashBidNoticeAbstractUI.aspx?menuIndex=3&amp;refID=7074209&amp;Result=3","7074209")</f>
        <v>0</v>
      </c>
      <c r="B3170" t="s">
        <v>1289</v>
      </c>
      <c r="C3170" t="s">
        <v>6419</v>
      </c>
      <c r="D3170" t="s">
        <v>16635</v>
      </c>
      <c r="E3170" t="s">
        <v>19589</v>
      </c>
      <c r="F3170" t="s">
        <v>28669</v>
      </c>
      <c r="G3170" t="s">
        <v>28675</v>
      </c>
      <c r="H3170" t="s">
        <v>28686</v>
      </c>
      <c r="I3170" t="s">
        <v>28689</v>
      </c>
      <c r="J3170" t="s">
        <v>30926</v>
      </c>
      <c r="K3170" t="s">
        <v>37215</v>
      </c>
      <c r="M3170" t="s">
        <v>38840</v>
      </c>
      <c r="N3170" t="s">
        <v>41249</v>
      </c>
      <c r="O3170" t="s">
        <v>41250</v>
      </c>
      <c r="P3170">
        <v>0</v>
      </c>
      <c r="Q3170">
        <v>0</v>
      </c>
      <c r="R3170" t="s">
        <v>41252</v>
      </c>
      <c r="S3170" t="s">
        <v>41383</v>
      </c>
      <c r="T3170" t="s">
        <v>42818</v>
      </c>
      <c r="U3170" t="s">
        <v>45890</v>
      </c>
      <c r="W3170" t="s">
        <v>38840</v>
      </c>
      <c r="X3170" t="s">
        <v>41254</v>
      </c>
    </row>
    <row r="3171" spans="1:24">
      <c r="A3171">
        <f>HYPERLINK("https://www.philgeps.gov.ph/GEPSNONPILOT/Tender/SplashBidNoticeAbstractUI.aspx?menuIndex=3&amp;refID=7074215&amp;Result=3","7074215")</f>
        <v>0</v>
      </c>
      <c r="B3171" t="s">
        <v>1290</v>
      </c>
      <c r="C3171" t="s">
        <v>6420</v>
      </c>
      <c r="D3171" t="s">
        <v>16608</v>
      </c>
      <c r="E3171" t="s">
        <v>19349</v>
      </c>
      <c r="F3171" t="s">
        <v>28671</v>
      </c>
      <c r="G3171" t="s">
        <v>28675</v>
      </c>
      <c r="H3171" t="s">
        <v>9998</v>
      </c>
      <c r="I3171" t="s">
        <v>5213</v>
      </c>
      <c r="J3171" t="s">
        <v>28851</v>
      </c>
      <c r="K3171" t="s">
        <v>37204</v>
      </c>
      <c r="M3171" t="s">
        <v>38841</v>
      </c>
      <c r="N3171" t="s">
        <v>41249</v>
      </c>
      <c r="O3171" t="s">
        <v>41250</v>
      </c>
      <c r="P3171">
        <v>0</v>
      </c>
      <c r="Q3171">
        <v>5</v>
      </c>
      <c r="R3171" t="s">
        <v>41252</v>
      </c>
      <c r="S3171" t="s">
        <v>41383</v>
      </c>
      <c r="T3171" t="s">
        <v>42760</v>
      </c>
      <c r="U3171" t="s">
        <v>45891</v>
      </c>
      <c r="W3171" t="s">
        <v>38841</v>
      </c>
      <c r="X3171" t="s">
        <v>41254</v>
      </c>
    </row>
    <row r="3172" spans="1:24">
      <c r="A3172">
        <f>HYPERLINK("https://www.philgeps.gov.ph/GEPSNONPILOT/Tender/SplashBidNoticeAbstractUI.aspx?menuIndex=3&amp;refID=7074199&amp;Result=3","7074199")</f>
        <v>0</v>
      </c>
      <c r="B3172" t="s">
        <v>659</v>
      </c>
      <c r="C3172" t="s">
        <v>6421</v>
      </c>
      <c r="D3172" t="s">
        <v>16643</v>
      </c>
      <c r="E3172" t="s">
        <v>19590</v>
      </c>
      <c r="F3172" t="s">
        <v>28669</v>
      </c>
      <c r="G3172" t="s">
        <v>28678</v>
      </c>
      <c r="H3172" t="s">
        <v>9998</v>
      </c>
      <c r="I3172" t="s">
        <v>6458</v>
      </c>
      <c r="J3172" t="s">
        <v>30927</v>
      </c>
      <c r="K3172" t="s">
        <v>37204</v>
      </c>
      <c r="M3172" t="s">
        <v>38161</v>
      </c>
      <c r="N3172" t="s">
        <v>41249</v>
      </c>
      <c r="O3172" t="s">
        <v>41250</v>
      </c>
      <c r="P3172">
        <v>0</v>
      </c>
      <c r="Q3172">
        <v>0</v>
      </c>
      <c r="R3172" t="s">
        <v>41252</v>
      </c>
      <c r="S3172" t="s">
        <v>41383</v>
      </c>
      <c r="T3172" t="s">
        <v>42736</v>
      </c>
      <c r="U3172" t="s">
        <v>45801</v>
      </c>
      <c r="W3172" t="s">
        <v>55925</v>
      </c>
      <c r="X3172" t="s">
        <v>41254</v>
      </c>
    </row>
    <row r="3173" spans="1:24">
      <c r="A3173">
        <f>HYPERLINK("https://www.philgeps.gov.ph/GEPSNONPILOT/Tender/SplashBidNoticeAbstractUI.aspx?menuIndex=3&amp;refID=7074208&amp;Result=3","7074208")</f>
        <v>0</v>
      </c>
      <c r="B3173" t="s">
        <v>1063</v>
      </c>
      <c r="C3173" t="s">
        <v>6422</v>
      </c>
      <c r="D3173" t="s">
        <v>16616</v>
      </c>
      <c r="E3173" t="s">
        <v>19591</v>
      </c>
      <c r="F3173" t="s">
        <v>28669</v>
      </c>
      <c r="G3173" t="s">
        <v>28679</v>
      </c>
      <c r="H3173" t="s">
        <v>9998</v>
      </c>
      <c r="I3173" t="s">
        <v>3718</v>
      </c>
      <c r="J3173" t="s">
        <v>30928</v>
      </c>
      <c r="K3173" t="s">
        <v>37205</v>
      </c>
      <c r="M3173" t="s">
        <v>38594</v>
      </c>
      <c r="N3173" t="s">
        <v>41249</v>
      </c>
      <c r="O3173" t="s">
        <v>41250</v>
      </c>
      <c r="Q3173">
        <v>2</v>
      </c>
      <c r="R3173" t="s">
        <v>41252</v>
      </c>
      <c r="S3173" t="s">
        <v>41400</v>
      </c>
      <c r="T3173" t="s">
        <v>42701</v>
      </c>
      <c r="U3173" t="s">
        <v>45892</v>
      </c>
      <c r="W3173" t="s">
        <v>38594</v>
      </c>
      <c r="X3173" t="s">
        <v>41254</v>
      </c>
    </row>
    <row r="3174" spans="1:24">
      <c r="A3174">
        <f>HYPERLINK("https://www.philgeps.gov.ph/GEPSNONPILOT/Tender/SplashBidNoticeAbstractUI.aspx?menuIndex=3&amp;refID=7074205&amp;Result=3","7074205")</f>
        <v>0</v>
      </c>
      <c r="B3174" t="s">
        <v>1001</v>
      </c>
      <c r="C3174" t="s">
        <v>6423</v>
      </c>
      <c r="D3174" t="s">
        <v>16677</v>
      </c>
      <c r="E3174" t="s">
        <v>19592</v>
      </c>
      <c r="F3174" t="s">
        <v>28669</v>
      </c>
      <c r="G3174" t="s">
        <v>28675</v>
      </c>
      <c r="H3174" t="s">
        <v>28686</v>
      </c>
      <c r="I3174" t="s">
        <v>28689</v>
      </c>
      <c r="J3174" t="s">
        <v>30929</v>
      </c>
      <c r="K3174" t="s">
        <v>37290</v>
      </c>
      <c r="M3174" t="s">
        <v>38529</v>
      </c>
      <c r="N3174" t="s">
        <v>41249</v>
      </c>
      <c r="O3174" t="s">
        <v>41250</v>
      </c>
      <c r="P3174">
        <v>0</v>
      </c>
      <c r="Q3174">
        <v>3</v>
      </c>
      <c r="R3174" t="s">
        <v>41252</v>
      </c>
      <c r="S3174" t="s">
        <v>41383</v>
      </c>
      <c r="T3174" t="s">
        <v>42911</v>
      </c>
      <c r="U3174" t="s">
        <v>45718</v>
      </c>
      <c r="W3174" t="s">
        <v>38529</v>
      </c>
      <c r="X3174" t="s">
        <v>41254</v>
      </c>
    </row>
    <row r="3175" spans="1:24">
      <c r="A3175">
        <f>HYPERLINK("https://www.philgeps.gov.ph/GEPSNONPILOT/Tender/SplashBidNoticeAbstractUI.aspx?menuIndex=3&amp;refID=7074210&amp;Result=3","7074210")</f>
        <v>0</v>
      </c>
      <c r="B3175" t="s">
        <v>1280</v>
      </c>
      <c r="C3175" t="s">
        <v>6424</v>
      </c>
      <c r="D3175" t="s">
        <v>16683</v>
      </c>
      <c r="E3175" t="s">
        <v>19593</v>
      </c>
      <c r="F3175" t="s">
        <v>28669</v>
      </c>
      <c r="G3175" t="s">
        <v>28675</v>
      </c>
      <c r="H3175" t="s">
        <v>28686</v>
      </c>
      <c r="I3175" t="s">
        <v>28689</v>
      </c>
      <c r="J3175" t="s">
        <v>30930</v>
      </c>
      <c r="K3175" t="s">
        <v>37211</v>
      </c>
      <c r="M3175" t="s">
        <v>38831</v>
      </c>
      <c r="N3175" t="s">
        <v>41249</v>
      </c>
      <c r="O3175" t="s">
        <v>41250</v>
      </c>
      <c r="P3175">
        <v>0</v>
      </c>
      <c r="Q3175">
        <v>0</v>
      </c>
      <c r="R3175" t="s">
        <v>41252</v>
      </c>
      <c r="S3175" t="s">
        <v>41383</v>
      </c>
      <c r="T3175" t="s">
        <v>42818</v>
      </c>
      <c r="U3175" t="s">
        <v>45864</v>
      </c>
      <c r="W3175" t="s">
        <v>38831</v>
      </c>
      <c r="X3175" t="s">
        <v>41254</v>
      </c>
    </row>
    <row r="3176" spans="1:24">
      <c r="A3176">
        <f>HYPERLINK("https://www.philgeps.gov.ph/GEPSNONPILOT/Tender/SplashBidNoticeAbstractUI.aspx?menuIndex=3&amp;refID=7074224&amp;Result=3","7074224")</f>
        <v>0</v>
      </c>
      <c r="B3176" t="s">
        <v>1291</v>
      </c>
      <c r="C3176" t="s">
        <v>6425</v>
      </c>
      <c r="D3176" t="s">
        <v>16608</v>
      </c>
      <c r="E3176" t="s">
        <v>19189</v>
      </c>
      <c r="F3176" t="s">
        <v>28669</v>
      </c>
      <c r="G3176" t="s">
        <v>28676</v>
      </c>
      <c r="H3176" t="s">
        <v>28685</v>
      </c>
      <c r="I3176" t="s">
        <v>28685</v>
      </c>
      <c r="J3176" t="s">
        <v>28905</v>
      </c>
      <c r="K3176" t="s">
        <v>37209</v>
      </c>
      <c r="M3176" t="s">
        <v>38842</v>
      </c>
      <c r="N3176" t="s">
        <v>41249</v>
      </c>
      <c r="O3176" t="s">
        <v>41250</v>
      </c>
      <c r="P3176">
        <v>0</v>
      </c>
      <c r="Q3176">
        <v>2</v>
      </c>
      <c r="R3176" t="s">
        <v>41252</v>
      </c>
      <c r="S3176" t="s">
        <v>41383</v>
      </c>
      <c r="T3176" t="s">
        <v>42729</v>
      </c>
      <c r="U3176" t="s">
        <v>45893</v>
      </c>
      <c r="W3176" t="s">
        <v>38842</v>
      </c>
      <c r="X3176" t="s">
        <v>41254</v>
      </c>
    </row>
    <row r="3177" spans="1:24">
      <c r="A3177">
        <f>HYPERLINK("https://www.philgeps.gov.ph/GEPSNONPILOT/Tender/SplashBidNoticeAbstractUI.aspx?menuIndex=3&amp;refID=7074223&amp;Result=3","7074223")</f>
        <v>0</v>
      </c>
      <c r="B3177" t="s">
        <v>1292</v>
      </c>
      <c r="C3177" t="s">
        <v>6426</v>
      </c>
      <c r="D3177" t="s">
        <v>16673</v>
      </c>
      <c r="E3177" t="s">
        <v>19594</v>
      </c>
      <c r="F3177" t="s">
        <v>28669</v>
      </c>
      <c r="G3177" t="s">
        <v>28675</v>
      </c>
      <c r="H3177" t="s">
        <v>28686</v>
      </c>
      <c r="I3177" t="s">
        <v>28689</v>
      </c>
      <c r="J3177" t="s">
        <v>29605</v>
      </c>
      <c r="K3177" t="s">
        <v>37221</v>
      </c>
      <c r="M3177" t="s">
        <v>38843</v>
      </c>
      <c r="N3177" t="s">
        <v>41249</v>
      </c>
      <c r="O3177" t="s">
        <v>41250</v>
      </c>
      <c r="P3177">
        <v>0</v>
      </c>
      <c r="Q3177">
        <v>0</v>
      </c>
      <c r="R3177" t="s">
        <v>41252</v>
      </c>
      <c r="S3177" t="s">
        <v>41383</v>
      </c>
      <c r="T3177" t="s">
        <v>42683</v>
      </c>
      <c r="U3177" t="s">
        <v>45894</v>
      </c>
      <c r="W3177" t="s">
        <v>38843</v>
      </c>
      <c r="X3177" t="s">
        <v>41254</v>
      </c>
    </row>
    <row r="3178" spans="1:24">
      <c r="A3178">
        <f>HYPERLINK("https://www.philgeps.gov.ph/GEPSNONPILOT/Tender/SplashBidNoticeAbstractUI.aspx?menuIndex=3&amp;refID=7074207&amp;Result=3","7074207")</f>
        <v>0</v>
      </c>
      <c r="B3178" t="s">
        <v>1293</v>
      </c>
      <c r="C3178" t="s">
        <v>6427</v>
      </c>
      <c r="D3178" t="s">
        <v>16618</v>
      </c>
      <c r="E3178" t="s">
        <v>19595</v>
      </c>
      <c r="F3178" t="s">
        <v>28669</v>
      </c>
      <c r="G3178" t="s">
        <v>28675</v>
      </c>
      <c r="H3178" t="s">
        <v>9998</v>
      </c>
      <c r="I3178" t="s">
        <v>28694</v>
      </c>
      <c r="J3178" t="s">
        <v>30931</v>
      </c>
      <c r="K3178" t="s">
        <v>37209</v>
      </c>
      <c r="M3178" t="s">
        <v>38844</v>
      </c>
      <c r="N3178" t="s">
        <v>41249</v>
      </c>
      <c r="O3178" t="s">
        <v>41250</v>
      </c>
      <c r="P3178">
        <v>0</v>
      </c>
      <c r="Q3178">
        <v>0</v>
      </c>
      <c r="R3178" t="s">
        <v>41252</v>
      </c>
      <c r="S3178" t="s">
        <v>41383</v>
      </c>
      <c r="T3178" t="s">
        <v>42679</v>
      </c>
      <c r="U3178" t="s">
        <v>45895</v>
      </c>
      <c r="W3178" t="s">
        <v>38844</v>
      </c>
      <c r="X3178" t="s">
        <v>41254</v>
      </c>
    </row>
    <row r="3179" spans="1:24">
      <c r="A3179">
        <f>HYPERLINK("https://www.philgeps.gov.ph/GEPSNONPILOT/Tender/SplashBidNoticeAbstractUI.aspx?menuIndex=3&amp;refID=7074222&amp;Result=3","7074222")</f>
        <v>0</v>
      </c>
      <c r="B3179" t="s">
        <v>712</v>
      </c>
      <c r="C3179" t="s">
        <v>6428</v>
      </c>
      <c r="D3179" t="s">
        <v>16608</v>
      </c>
      <c r="E3179" t="s">
        <v>19596</v>
      </c>
      <c r="F3179" t="s">
        <v>28669</v>
      </c>
      <c r="G3179" t="s">
        <v>28675</v>
      </c>
      <c r="H3179" t="s">
        <v>28686</v>
      </c>
      <c r="I3179" t="s">
        <v>28689</v>
      </c>
      <c r="J3179" t="s">
        <v>30932</v>
      </c>
      <c r="K3179" t="s">
        <v>37213</v>
      </c>
      <c r="M3179" t="s">
        <v>38219</v>
      </c>
      <c r="N3179" t="s">
        <v>41249</v>
      </c>
      <c r="O3179" t="s">
        <v>41250</v>
      </c>
      <c r="P3179">
        <v>0</v>
      </c>
      <c r="Q3179">
        <v>5</v>
      </c>
      <c r="R3179" t="s">
        <v>41252</v>
      </c>
      <c r="S3179" t="s">
        <v>41383</v>
      </c>
      <c r="T3179" t="s">
        <v>42688</v>
      </c>
      <c r="U3179" t="s">
        <v>44558</v>
      </c>
      <c r="W3179" t="s">
        <v>38219</v>
      </c>
      <c r="X3179" t="s">
        <v>41254</v>
      </c>
    </row>
    <row r="3180" spans="1:24">
      <c r="A3180">
        <f>HYPERLINK("https://www.philgeps.gov.ph/GEPSNONPILOT/Tender/SplashBidNoticeAbstractUI.aspx?menuIndex=3&amp;refID=7074221&amp;Result=3","7074221")</f>
        <v>0</v>
      </c>
      <c r="B3180" t="s">
        <v>1294</v>
      </c>
      <c r="C3180" t="s">
        <v>6429</v>
      </c>
      <c r="D3180" t="s">
        <v>16653</v>
      </c>
      <c r="E3180" t="s">
        <v>19597</v>
      </c>
      <c r="F3180" t="s">
        <v>28669</v>
      </c>
      <c r="G3180" t="s">
        <v>28676</v>
      </c>
      <c r="H3180" t="s">
        <v>9998</v>
      </c>
      <c r="I3180" t="s">
        <v>28722</v>
      </c>
      <c r="J3180" t="s">
        <v>28943</v>
      </c>
      <c r="K3180" t="s">
        <v>37240</v>
      </c>
      <c r="M3180" t="s">
        <v>38845</v>
      </c>
      <c r="N3180" t="s">
        <v>41249</v>
      </c>
      <c r="O3180" t="s">
        <v>41250</v>
      </c>
      <c r="P3180">
        <v>0</v>
      </c>
      <c r="Q3180">
        <v>0</v>
      </c>
      <c r="R3180" t="s">
        <v>41252</v>
      </c>
      <c r="S3180" t="s">
        <v>41383</v>
      </c>
      <c r="T3180" t="s">
        <v>42892</v>
      </c>
      <c r="U3180" t="s">
        <v>45896</v>
      </c>
      <c r="W3180" t="s">
        <v>55949</v>
      </c>
      <c r="X3180" t="s">
        <v>41254</v>
      </c>
    </row>
    <row r="3181" spans="1:24">
      <c r="A3181">
        <f>HYPERLINK("https://www.philgeps.gov.ph/GEPSNONPILOT/Tender/SplashBidNoticeAbstractUI.aspx?menuIndex=3&amp;refID=7074220&amp;Result=3","7074220")</f>
        <v>0</v>
      </c>
      <c r="B3181" t="s">
        <v>1260</v>
      </c>
      <c r="C3181" t="s">
        <v>6430</v>
      </c>
      <c r="D3181" t="s">
        <v>16618</v>
      </c>
      <c r="E3181" t="s">
        <v>19598</v>
      </c>
      <c r="F3181" t="s">
        <v>28669</v>
      </c>
      <c r="G3181" t="s">
        <v>28675</v>
      </c>
      <c r="H3181" t="s">
        <v>28686</v>
      </c>
      <c r="I3181" t="s">
        <v>28689</v>
      </c>
      <c r="J3181" t="s">
        <v>28836</v>
      </c>
      <c r="K3181" t="s">
        <v>37221</v>
      </c>
      <c r="M3181" t="s">
        <v>38809</v>
      </c>
      <c r="N3181" t="s">
        <v>41249</v>
      </c>
      <c r="O3181" t="s">
        <v>41250</v>
      </c>
      <c r="P3181">
        <v>0</v>
      </c>
      <c r="Q3181">
        <v>1</v>
      </c>
      <c r="R3181" t="s">
        <v>41252</v>
      </c>
      <c r="S3181" t="s">
        <v>41383</v>
      </c>
      <c r="T3181" t="s">
        <v>42688</v>
      </c>
      <c r="U3181" t="s">
        <v>45897</v>
      </c>
      <c r="W3181" t="s">
        <v>38809</v>
      </c>
      <c r="X3181" t="s">
        <v>41254</v>
      </c>
    </row>
    <row r="3182" spans="1:24">
      <c r="A3182">
        <f>HYPERLINK("https://www.philgeps.gov.ph/GEPSNONPILOT/Tender/SplashBidNoticeAbstractUI.aspx?menuIndex=3&amp;refID=7074219&amp;Result=3","7074219")</f>
        <v>0</v>
      </c>
      <c r="B3182" t="s">
        <v>1257</v>
      </c>
      <c r="C3182" t="s">
        <v>6431</v>
      </c>
      <c r="D3182" t="s">
        <v>16639</v>
      </c>
      <c r="E3182" t="s">
        <v>19599</v>
      </c>
      <c r="F3182" t="s">
        <v>28669</v>
      </c>
      <c r="G3182" t="s">
        <v>28676</v>
      </c>
      <c r="H3182" t="s">
        <v>9998</v>
      </c>
      <c r="I3182" t="s">
        <v>3718</v>
      </c>
      <c r="J3182" t="s">
        <v>29546</v>
      </c>
      <c r="K3182" t="s">
        <v>37205</v>
      </c>
      <c r="M3182" t="s">
        <v>38806</v>
      </c>
      <c r="N3182" t="s">
        <v>41249</v>
      </c>
      <c r="O3182" t="s">
        <v>41250</v>
      </c>
      <c r="P3182">
        <v>0</v>
      </c>
      <c r="Q3182">
        <v>1</v>
      </c>
      <c r="R3182" t="s">
        <v>41252</v>
      </c>
      <c r="S3182" t="s">
        <v>41383</v>
      </c>
      <c r="T3182" t="s">
        <v>42748</v>
      </c>
      <c r="U3182" t="s">
        <v>45898</v>
      </c>
      <c r="W3182" t="s">
        <v>38806</v>
      </c>
      <c r="X3182" t="s">
        <v>41254</v>
      </c>
    </row>
    <row r="3183" spans="1:24">
      <c r="A3183">
        <f>HYPERLINK("https://www.philgeps.gov.ph/GEPSNONPILOT/Tender/SplashBidNoticeAbstractUI.aspx?menuIndex=3&amp;refID=7074218&amp;Result=3","7074218")</f>
        <v>0</v>
      </c>
      <c r="B3183" t="s">
        <v>1034</v>
      </c>
      <c r="C3183" t="s">
        <v>6432</v>
      </c>
      <c r="D3183" t="s">
        <v>16619</v>
      </c>
      <c r="E3183" t="s">
        <v>19594</v>
      </c>
      <c r="F3183" t="s">
        <v>28669</v>
      </c>
      <c r="G3183" t="s">
        <v>28675</v>
      </c>
      <c r="H3183" t="s">
        <v>28686</v>
      </c>
      <c r="I3183" t="s">
        <v>28689</v>
      </c>
      <c r="J3183" t="s">
        <v>30933</v>
      </c>
      <c r="K3183" t="s">
        <v>37223</v>
      </c>
      <c r="M3183" t="s">
        <v>38565</v>
      </c>
      <c r="N3183" t="s">
        <v>41249</v>
      </c>
      <c r="O3183" t="s">
        <v>41250</v>
      </c>
      <c r="P3183">
        <v>0</v>
      </c>
      <c r="Q3183">
        <v>0</v>
      </c>
      <c r="R3183" t="s">
        <v>41252</v>
      </c>
      <c r="S3183" t="s">
        <v>41383</v>
      </c>
      <c r="T3183" t="s">
        <v>42684</v>
      </c>
      <c r="U3183" t="s">
        <v>45899</v>
      </c>
      <c r="W3183" t="s">
        <v>38565</v>
      </c>
      <c r="X3183" t="s">
        <v>41254</v>
      </c>
    </row>
    <row r="3184" spans="1:24">
      <c r="A3184">
        <f>HYPERLINK("https://www.philgeps.gov.ph/GEPSNONPILOT/Tender/SplashBidNoticeAbstractUI.aspx?menuIndex=3&amp;refID=7074216&amp;Result=3","7074216")</f>
        <v>0</v>
      </c>
      <c r="B3184" t="s">
        <v>1295</v>
      </c>
      <c r="C3184" t="s">
        <v>6433</v>
      </c>
      <c r="D3184" t="s">
        <v>16626</v>
      </c>
      <c r="E3184" t="s">
        <v>19012</v>
      </c>
      <c r="F3184" t="s">
        <v>28669</v>
      </c>
      <c r="G3184" t="s">
        <v>28675</v>
      </c>
      <c r="H3184" t="s">
        <v>9998</v>
      </c>
      <c r="I3184" t="s">
        <v>28719</v>
      </c>
      <c r="J3184" t="s">
        <v>29438</v>
      </c>
      <c r="K3184" t="s">
        <v>37234</v>
      </c>
      <c r="M3184" t="s">
        <v>38846</v>
      </c>
      <c r="N3184" t="s">
        <v>41249</v>
      </c>
      <c r="O3184" t="s">
        <v>41250</v>
      </c>
      <c r="P3184">
        <v>0</v>
      </c>
      <c r="Q3184">
        <v>0</v>
      </c>
      <c r="R3184" t="s">
        <v>41252</v>
      </c>
      <c r="S3184" t="s">
        <v>41383</v>
      </c>
      <c r="T3184" t="s">
        <v>42777</v>
      </c>
      <c r="U3184" t="s">
        <v>45900</v>
      </c>
      <c r="W3184" t="s">
        <v>38846</v>
      </c>
      <c r="X3184" t="s">
        <v>41254</v>
      </c>
    </row>
    <row r="3185" spans="1:24">
      <c r="A3185">
        <f>HYPERLINK("https://www.philgeps.gov.ph/GEPSNONPILOT/Tender/SplashBidNoticeAbstractUI.aspx?menuIndex=3&amp;refID=7074211&amp;Result=3","7074211")</f>
        <v>0</v>
      </c>
      <c r="B3185" t="s">
        <v>185</v>
      </c>
      <c r="C3185" t="s">
        <v>6434</v>
      </c>
      <c r="D3185" t="s">
        <v>16636</v>
      </c>
      <c r="E3185" t="s">
        <v>19600</v>
      </c>
      <c r="F3185" t="s">
        <v>28669</v>
      </c>
      <c r="G3185" t="s">
        <v>28676</v>
      </c>
      <c r="H3185" t="s">
        <v>9998</v>
      </c>
      <c r="I3185" t="s">
        <v>28690</v>
      </c>
      <c r="J3185" t="s">
        <v>30934</v>
      </c>
      <c r="K3185" t="s">
        <v>37210</v>
      </c>
      <c r="M3185" t="s">
        <v>37662</v>
      </c>
      <c r="N3185" t="s">
        <v>41249</v>
      </c>
      <c r="O3185" t="s">
        <v>41250</v>
      </c>
      <c r="P3185">
        <v>0</v>
      </c>
      <c r="Q3185">
        <v>3</v>
      </c>
      <c r="R3185" t="s">
        <v>41252</v>
      </c>
      <c r="S3185" t="s">
        <v>41383</v>
      </c>
      <c r="T3185" t="s">
        <v>42736</v>
      </c>
      <c r="U3185" t="s">
        <v>45901</v>
      </c>
      <c r="W3185" t="s">
        <v>37662</v>
      </c>
      <c r="X3185" t="s">
        <v>41254</v>
      </c>
    </row>
    <row r="3186" spans="1:24">
      <c r="A3186">
        <f>HYPERLINK("https://www.philgeps.gov.ph/GEPSNONPILOT/Tender/SplashBidNoticeAbstractUI.aspx?menuIndex=3&amp;refID=7074226&amp;Result=3","7074226")</f>
        <v>0</v>
      </c>
      <c r="B3186" t="s">
        <v>784</v>
      </c>
      <c r="C3186" t="s">
        <v>6435</v>
      </c>
      <c r="D3186" t="s">
        <v>16661</v>
      </c>
      <c r="E3186" t="s">
        <v>19601</v>
      </c>
      <c r="F3186" t="s">
        <v>28669</v>
      </c>
      <c r="G3186" t="s">
        <v>28676</v>
      </c>
      <c r="H3186" t="s">
        <v>9998</v>
      </c>
      <c r="I3186" t="s">
        <v>28739</v>
      </c>
      <c r="J3186" t="s">
        <v>28905</v>
      </c>
      <c r="K3186" t="s">
        <v>37208</v>
      </c>
      <c r="M3186" t="s">
        <v>38298</v>
      </c>
      <c r="N3186" t="s">
        <v>41249</v>
      </c>
      <c r="O3186" t="s">
        <v>41250</v>
      </c>
      <c r="P3186">
        <v>0</v>
      </c>
      <c r="Q3186">
        <v>1</v>
      </c>
      <c r="R3186" t="s">
        <v>41252</v>
      </c>
      <c r="S3186" t="s">
        <v>41383</v>
      </c>
      <c r="T3186" t="s">
        <v>42736</v>
      </c>
      <c r="U3186" t="s">
        <v>45902</v>
      </c>
      <c r="W3186" t="s">
        <v>38298</v>
      </c>
      <c r="X3186" t="s">
        <v>41254</v>
      </c>
    </row>
    <row r="3187" spans="1:24">
      <c r="A3187">
        <f>HYPERLINK("https://www.philgeps.gov.ph/GEPSNONPILOT/Tender/SplashBidNoticeAbstractUI.aspx?menuIndex=3&amp;refID=7074225&amp;Result=3","7074225")</f>
        <v>0</v>
      </c>
      <c r="B3187" t="s">
        <v>1278</v>
      </c>
      <c r="C3187" t="s">
        <v>6436</v>
      </c>
      <c r="D3187" t="s">
        <v>16684</v>
      </c>
      <c r="E3187" t="s">
        <v>19602</v>
      </c>
      <c r="F3187" t="s">
        <v>28669</v>
      </c>
      <c r="G3187" t="s">
        <v>28676</v>
      </c>
      <c r="H3187" t="s">
        <v>9998</v>
      </c>
      <c r="I3187" t="s">
        <v>6606</v>
      </c>
      <c r="J3187" t="s">
        <v>30935</v>
      </c>
      <c r="K3187" t="s">
        <v>37256</v>
      </c>
      <c r="M3187" t="s">
        <v>38828</v>
      </c>
      <c r="N3187" t="s">
        <v>41249</v>
      </c>
      <c r="O3187" t="s">
        <v>41250</v>
      </c>
      <c r="P3187">
        <v>0</v>
      </c>
      <c r="Q3187">
        <v>0</v>
      </c>
      <c r="R3187" t="s">
        <v>41252</v>
      </c>
      <c r="S3187" t="s">
        <v>41383</v>
      </c>
      <c r="T3187" t="s">
        <v>42757</v>
      </c>
      <c r="U3187" t="s">
        <v>45858</v>
      </c>
      <c r="W3187" t="s">
        <v>38828</v>
      </c>
      <c r="X3187" t="s">
        <v>41254</v>
      </c>
    </row>
    <row r="3188" spans="1:24">
      <c r="A3188">
        <f>HYPERLINK("https://www.philgeps.gov.ph/GEPSNONPILOT/Tender/SplashBidNoticeAbstractUI.aspx?menuIndex=3&amp;refID=7074206&amp;Result=3","7074206")</f>
        <v>0</v>
      </c>
      <c r="B3188" t="s">
        <v>1296</v>
      </c>
      <c r="C3188" t="s">
        <v>6437</v>
      </c>
      <c r="D3188" t="s">
        <v>16617</v>
      </c>
      <c r="E3188" t="s">
        <v>19603</v>
      </c>
      <c r="F3188" t="s">
        <v>28669</v>
      </c>
      <c r="G3188" t="s">
        <v>28676</v>
      </c>
      <c r="H3188" t="s">
        <v>9998</v>
      </c>
      <c r="I3188" t="s">
        <v>28722</v>
      </c>
      <c r="J3188" t="s">
        <v>30936</v>
      </c>
      <c r="K3188" t="s">
        <v>37205</v>
      </c>
      <c r="M3188" t="s">
        <v>38847</v>
      </c>
      <c r="N3188" t="s">
        <v>41249</v>
      </c>
      <c r="O3188" t="s">
        <v>41250</v>
      </c>
      <c r="P3188">
        <v>0</v>
      </c>
      <c r="Q3188">
        <v>1</v>
      </c>
      <c r="R3188" t="s">
        <v>41252</v>
      </c>
      <c r="S3188" t="s">
        <v>41383</v>
      </c>
      <c r="T3188" t="s">
        <v>42758</v>
      </c>
      <c r="U3188" t="s">
        <v>45903</v>
      </c>
      <c r="W3188" t="s">
        <v>38847</v>
      </c>
      <c r="X3188" t="s">
        <v>41254</v>
      </c>
    </row>
    <row r="3189" spans="1:24">
      <c r="A3189">
        <f>HYPERLINK("https://www.philgeps.gov.ph/GEPSNONPILOT/Tender/SplashBidNoticeAbstractUI.aspx?menuIndex=3&amp;refID=7074246&amp;Result=3","7074246")</f>
        <v>0</v>
      </c>
      <c r="B3189" t="s">
        <v>1294</v>
      </c>
      <c r="C3189" t="s">
        <v>6438</v>
      </c>
      <c r="D3189" t="s">
        <v>16653</v>
      </c>
      <c r="E3189" t="s">
        <v>19604</v>
      </c>
      <c r="F3189" t="s">
        <v>28669</v>
      </c>
      <c r="G3189" t="s">
        <v>28676</v>
      </c>
      <c r="H3189" t="s">
        <v>9998</v>
      </c>
      <c r="I3189" t="s">
        <v>28706</v>
      </c>
      <c r="J3189" t="s">
        <v>29003</v>
      </c>
      <c r="K3189" t="s">
        <v>37240</v>
      </c>
      <c r="M3189" t="s">
        <v>38845</v>
      </c>
      <c r="N3189" t="s">
        <v>41249</v>
      </c>
      <c r="O3189" t="s">
        <v>41250</v>
      </c>
      <c r="P3189">
        <v>0</v>
      </c>
      <c r="Q3189">
        <v>2</v>
      </c>
      <c r="R3189" t="s">
        <v>41252</v>
      </c>
      <c r="S3189" t="s">
        <v>41383</v>
      </c>
      <c r="T3189" t="s">
        <v>42892</v>
      </c>
      <c r="U3189" t="s">
        <v>45904</v>
      </c>
      <c r="W3189" t="s">
        <v>55949</v>
      </c>
      <c r="X3189" t="s">
        <v>41254</v>
      </c>
    </row>
    <row r="3190" spans="1:24">
      <c r="A3190">
        <f>HYPERLINK("https://www.philgeps.gov.ph/GEPSNONPILOT/Tender/SplashBidNoticeAbstractUI.aspx?menuIndex=3&amp;refID=7074244&amp;Result=3","7074244")</f>
        <v>0</v>
      </c>
      <c r="B3190" t="s">
        <v>1213</v>
      </c>
      <c r="C3190" t="s">
        <v>6439</v>
      </c>
      <c r="D3190" t="s">
        <v>16611</v>
      </c>
      <c r="E3190" t="s">
        <v>17051</v>
      </c>
      <c r="F3190" t="s">
        <v>28669</v>
      </c>
      <c r="G3190" t="s">
        <v>28675</v>
      </c>
      <c r="H3190" t="s">
        <v>9998</v>
      </c>
      <c r="I3190" t="s">
        <v>7352</v>
      </c>
      <c r="J3190" t="s">
        <v>29306</v>
      </c>
      <c r="K3190" t="s">
        <v>37209</v>
      </c>
      <c r="M3190" t="s">
        <v>38754</v>
      </c>
      <c r="N3190" t="s">
        <v>41249</v>
      </c>
      <c r="O3190" t="s">
        <v>41250</v>
      </c>
      <c r="P3190">
        <v>0</v>
      </c>
      <c r="Q3190">
        <v>0</v>
      </c>
      <c r="R3190" t="s">
        <v>41252</v>
      </c>
      <c r="S3190" t="s">
        <v>41383</v>
      </c>
      <c r="T3190" t="s">
        <v>42678</v>
      </c>
      <c r="U3190" t="s">
        <v>45905</v>
      </c>
      <c r="W3190" t="s">
        <v>38754</v>
      </c>
      <c r="X3190" t="s">
        <v>41254</v>
      </c>
    </row>
    <row r="3191" spans="1:24">
      <c r="A3191">
        <f>HYPERLINK("https://www.philgeps.gov.ph/GEPSNONPILOT/Tender/SplashBidNoticeAbstractUI.aspx?menuIndex=3&amp;refID=7074214&amp;Result=3","7074214")</f>
        <v>0</v>
      </c>
      <c r="B3191" t="s">
        <v>1284</v>
      </c>
      <c r="C3191" t="s">
        <v>6440</v>
      </c>
      <c r="D3191" t="s">
        <v>16683</v>
      </c>
      <c r="E3191" t="s">
        <v>19605</v>
      </c>
      <c r="F3191" t="s">
        <v>28669</v>
      </c>
      <c r="G3191" t="s">
        <v>28677</v>
      </c>
      <c r="H3191" t="s">
        <v>9998</v>
      </c>
      <c r="I3191" t="s">
        <v>28710</v>
      </c>
      <c r="J3191" t="s">
        <v>30937</v>
      </c>
      <c r="K3191" t="s">
        <v>37205</v>
      </c>
      <c r="M3191" t="s">
        <v>38835</v>
      </c>
      <c r="N3191" t="s">
        <v>41249</v>
      </c>
      <c r="O3191" t="s">
        <v>41250</v>
      </c>
      <c r="P3191">
        <v>0</v>
      </c>
      <c r="Q3191">
        <v>1</v>
      </c>
      <c r="R3191" t="s">
        <v>41252</v>
      </c>
      <c r="S3191" t="s">
        <v>41383</v>
      </c>
      <c r="T3191" t="s">
        <v>42673</v>
      </c>
      <c r="U3191" t="s">
        <v>45906</v>
      </c>
      <c r="V3191" t="s">
        <v>54625</v>
      </c>
      <c r="W3191" t="s">
        <v>38835</v>
      </c>
      <c r="X3191" t="s">
        <v>41254</v>
      </c>
    </row>
    <row r="3192" spans="1:24">
      <c r="A3192">
        <f>HYPERLINK("https://www.philgeps.gov.ph/GEPSNONPILOT/Tender/SplashBidNoticeAbstractUI.aspx?menuIndex=3&amp;refID=7074240&amp;Result=3","7074240")</f>
        <v>0</v>
      </c>
      <c r="B3192" t="s">
        <v>1297</v>
      </c>
      <c r="C3192" t="s">
        <v>6441</v>
      </c>
      <c r="D3192" t="s">
        <v>16618</v>
      </c>
      <c r="E3192" t="s">
        <v>6569</v>
      </c>
      <c r="F3192" t="s">
        <v>28669</v>
      </c>
      <c r="G3192" t="s">
        <v>28675</v>
      </c>
      <c r="H3192" t="s">
        <v>28686</v>
      </c>
      <c r="I3192" t="s">
        <v>28689</v>
      </c>
      <c r="J3192" t="s">
        <v>28914</v>
      </c>
      <c r="K3192" t="s">
        <v>37209</v>
      </c>
      <c r="M3192" t="s">
        <v>38848</v>
      </c>
      <c r="N3192" t="s">
        <v>41249</v>
      </c>
      <c r="O3192" t="s">
        <v>41250</v>
      </c>
      <c r="P3192">
        <v>0</v>
      </c>
      <c r="Q3192">
        <v>0</v>
      </c>
      <c r="R3192" t="s">
        <v>41252</v>
      </c>
      <c r="S3192" t="s">
        <v>41383</v>
      </c>
      <c r="T3192" t="s">
        <v>42682</v>
      </c>
      <c r="U3192" t="s">
        <v>45907</v>
      </c>
      <c r="W3192" t="s">
        <v>38848</v>
      </c>
      <c r="X3192" t="s">
        <v>41254</v>
      </c>
    </row>
    <row r="3193" spans="1:24">
      <c r="A3193">
        <f>HYPERLINK("https://www.philgeps.gov.ph/GEPSNONPILOT/Tender/SplashBidNoticeAbstractUI.aspx?menuIndex=3&amp;refID=7074243&amp;Result=3","7074243")</f>
        <v>0</v>
      </c>
      <c r="B3193" t="s">
        <v>1298</v>
      </c>
      <c r="C3193" t="s">
        <v>6442</v>
      </c>
      <c r="D3193" t="s">
        <v>16654</v>
      </c>
      <c r="E3193" t="s">
        <v>18884</v>
      </c>
      <c r="F3193" t="s">
        <v>28671</v>
      </c>
      <c r="G3193" t="s">
        <v>28677</v>
      </c>
      <c r="H3193" t="s">
        <v>9998</v>
      </c>
      <c r="I3193" t="s">
        <v>28729</v>
      </c>
      <c r="J3193" t="s">
        <v>28912</v>
      </c>
      <c r="K3193" t="s">
        <v>37205</v>
      </c>
      <c r="M3193" t="s">
        <v>38849</v>
      </c>
      <c r="N3193" t="s">
        <v>41249</v>
      </c>
      <c r="O3193" t="s">
        <v>41250</v>
      </c>
      <c r="P3193">
        <v>0</v>
      </c>
      <c r="Q3193">
        <v>1</v>
      </c>
      <c r="R3193" t="s">
        <v>41252</v>
      </c>
      <c r="S3193" t="s">
        <v>41383</v>
      </c>
      <c r="T3193" t="s">
        <v>42694</v>
      </c>
      <c r="U3193" t="s">
        <v>45908</v>
      </c>
      <c r="W3193" t="s">
        <v>38849</v>
      </c>
      <c r="X3193" t="s">
        <v>41254</v>
      </c>
    </row>
    <row r="3194" spans="1:24">
      <c r="A3194">
        <f>HYPERLINK("https://www.philgeps.gov.ph/GEPSNONPILOT/Tender/SplashBidNoticeAbstractUI.aspx?menuIndex=3&amp;refID=7074242&amp;Result=3","7074242")</f>
        <v>0</v>
      </c>
      <c r="B3194" t="s">
        <v>1299</v>
      </c>
      <c r="C3194" t="s">
        <v>4447</v>
      </c>
      <c r="D3194" t="s">
        <v>16618</v>
      </c>
      <c r="E3194" t="s">
        <v>19606</v>
      </c>
      <c r="F3194" t="s">
        <v>28669</v>
      </c>
      <c r="G3194" t="s">
        <v>28675</v>
      </c>
      <c r="H3194" t="s">
        <v>9998</v>
      </c>
      <c r="I3194" t="s">
        <v>5286</v>
      </c>
      <c r="J3194" t="s">
        <v>28905</v>
      </c>
      <c r="K3194" t="s">
        <v>37210</v>
      </c>
      <c r="M3194" t="s">
        <v>38850</v>
      </c>
      <c r="N3194" t="s">
        <v>41249</v>
      </c>
      <c r="O3194" t="s">
        <v>41250</v>
      </c>
      <c r="P3194">
        <v>0</v>
      </c>
      <c r="Q3194">
        <v>0</v>
      </c>
      <c r="R3194" t="s">
        <v>41252</v>
      </c>
      <c r="S3194" t="s">
        <v>41383</v>
      </c>
      <c r="T3194" t="s">
        <v>42759</v>
      </c>
      <c r="U3194" t="s">
        <v>45909</v>
      </c>
      <c r="W3194" t="s">
        <v>38850</v>
      </c>
      <c r="X3194" t="s">
        <v>41254</v>
      </c>
    </row>
    <row r="3195" spans="1:24">
      <c r="A3195">
        <f>HYPERLINK("https://www.philgeps.gov.ph/GEPSNONPILOT/Tender/SplashBidNoticeAbstractUI.aspx?menuIndex=3&amp;refID=7074238&amp;Result=3","7074238")</f>
        <v>0</v>
      </c>
      <c r="B3195" t="s">
        <v>533</v>
      </c>
      <c r="C3195" t="s">
        <v>6443</v>
      </c>
      <c r="D3195" t="s">
        <v>16641</v>
      </c>
      <c r="E3195" t="s">
        <v>19607</v>
      </c>
      <c r="F3195" t="s">
        <v>28669</v>
      </c>
      <c r="G3195" t="s">
        <v>28675</v>
      </c>
      <c r="H3195" t="s">
        <v>28686</v>
      </c>
      <c r="I3195" t="s">
        <v>28689</v>
      </c>
      <c r="J3195" t="s">
        <v>30938</v>
      </c>
      <c r="K3195" t="s">
        <v>37213</v>
      </c>
      <c r="M3195" t="s">
        <v>38769</v>
      </c>
      <c r="N3195" t="s">
        <v>41249</v>
      </c>
      <c r="O3195" t="s">
        <v>41250</v>
      </c>
      <c r="P3195">
        <v>0</v>
      </c>
      <c r="Q3195">
        <v>0</v>
      </c>
      <c r="R3195" t="s">
        <v>41252</v>
      </c>
      <c r="S3195" t="s">
        <v>41383</v>
      </c>
      <c r="T3195" t="s">
        <v>42672</v>
      </c>
      <c r="U3195" t="s">
        <v>45910</v>
      </c>
      <c r="W3195" t="s">
        <v>38769</v>
      </c>
      <c r="X3195" t="s">
        <v>41254</v>
      </c>
    </row>
    <row r="3196" spans="1:24">
      <c r="A3196">
        <f>HYPERLINK("https://www.philgeps.gov.ph/GEPSNONPILOT/Tender/SplashBidNoticeAbstractUI.aspx?menuIndex=3&amp;refID=7074236&amp;Result=3","7074236")</f>
        <v>0</v>
      </c>
      <c r="B3196" t="s">
        <v>1300</v>
      </c>
      <c r="C3196" t="s">
        <v>6444</v>
      </c>
      <c r="D3196" t="s">
        <v>16667</v>
      </c>
      <c r="E3196" t="s">
        <v>19608</v>
      </c>
      <c r="F3196" t="s">
        <v>28669</v>
      </c>
      <c r="G3196" t="s">
        <v>28676</v>
      </c>
      <c r="H3196" t="s">
        <v>9998</v>
      </c>
      <c r="I3196" t="s">
        <v>28690</v>
      </c>
      <c r="J3196" t="s">
        <v>30939</v>
      </c>
      <c r="K3196" t="s">
        <v>37208</v>
      </c>
      <c r="M3196" t="s">
        <v>38851</v>
      </c>
      <c r="N3196" t="s">
        <v>41249</v>
      </c>
      <c r="O3196" t="s">
        <v>41250</v>
      </c>
      <c r="P3196">
        <v>0</v>
      </c>
      <c r="Q3196">
        <v>0</v>
      </c>
      <c r="R3196" t="s">
        <v>41252</v>
      </c>
      <c r="S3196" t="s">
        <v>41383</v>
      </c>
      <c r="T3196" t="s">
        <v>42736</v>
      </c>
      <c r="U3196" t="s">
        <v>45911</v>
      </c>
      <c r="W3196" t="s">
        <v>38851</v>
      </c>
      <c r="X3196" t="s">
        <v>41254</v>
      </c>
    </row>
    <row r="3197" spans="1:24">
      <c r="A3197">
        <f>HYPERLINK("https://www.philgeps.gov.ph/GEPSNONPILOT/Tender/SplashBidNoticeAbstractUI.aspx?menuIndex=3&amp;refID=7074234&amp;Result=3","7074234")</f>
        <v>0</v>
      </c>
      <c r="B3197" t="s">
        <v>201</v>
      </c>
      <c r="C3197" t="s">
        <v>6445</v>
      </c>
      <c r="D3197" t="s">
        <v>16635</v>
      </c>
      <c r="E3197" t="s">
        <v>19609</v>
      </c>
      <c r="F3197" t="s">
        <v>28669</v>
      </c>
      <c r="G3197" t="s">
        <v>28676</v>
      </c>
      <c r="H3197" t="s">
        <v>9998</v>
      </c>
      <c r="I3197" t="s">
        <v>7352</v>
      </c>
      <c r="J3197" t="s">
        <v>30940</v>
      </c>
      <c r="K3197" t="s">
        <v>37209</v>
      </c>
      <c r="M3197" t="s">
        <v>37679</v>
      </c>
      <c r="N3197" t="s">
        <v>41249</v>
      </c>
      <c r="O3197" t="s">
        <v>41250</v>
      </c>
      <c r="P3197">
        <v>0</v>
      </c>
      <c r="Q3197">
        <v>0</v>
      </c>
      <c r="R3197" t="s">
        <v>41252</v>
      </c>
      <c r="S3197" t="s">
        <v>41383</v>
      </c>
      <c r="T3197" t="s">
        <v>42743</v>
      </c>
      <c r="U3197" t="s">
        <v>43499</v>
      </c>
      <c r="W3197" t="s">
        <v>37679</v>
      </c>
      <c r="X3197" t="s">
        <v>41254</v>
      </c>
    </row>
    <row r="3198" spans="1:24">
      <c r="A3198">
        <f>HYPERLINK("https://www.philgeps.gov.ph/GEPSNONPILOT/Tender/SplashBidNoticeAbstractUI.aspx?menuIndex=3&amp;refID=7074232&amp;Result=3","7074232")</f>
        <v>0</v>
      </c>
      <c r="B3198" t="s">
        <v>1278</v>
      </c>
      <c r="C3198" t="s">
        <v>6446</v>
      </c>
      <c r="D3198" t="s">
        <v>16684</v>
      </c>
      <c r="E3198" t="s">
        <v>19610</v>
      </c>
      <c r="F3198" t="s">
        <v>28669</v>
      </c>
      <c r="G3198" t="s">
        <v>28676</v>
      </c>
      <c r="H3198" t="s">
        <v>9998</v>
      </c>
      <c r="I3198" t="s">
        <v>6606</v>
      </c>
      <c r="J3198" t="s">
        <v>30941</v>
      </c>
      <c r="K3198" t="s">
        <v>37256</v>
      </c>
      <c r="M3198" t="s">
        <v>38828</v>
      </c>
      <c r="N3198" t="s">
        <v>41249</v>
      </c>
      <c r="O3198" t="s">
        <v>41250</v>
      </c>
      <c r="P3198">
        <v>0</v>
      </c>
      <c r="Q3198">
        <v>0</v>
      </c>
      <c r="R3198" t="s">
        <v>41252</v>
      </c>
      <c r="S3198" t="s">
        <v>41383</v>
      </c>
      <c r="T3198" t="s">
        <v>42757</v>
      </c>
      <c r="U3198" t="s">
        <v>45858</v>
      </c>
      <c r="W3198" t="s">
        <v>38828</v>
      </c>
      <c r="X3198" t="s">
        <v>41254</v>
      </c>
    </row>
    <row r="3199" spans="1:24">
      <c r="A3199">
        <f>HYPERLINK("https://www.philgeps.gov.ph/GEPSNONPILOT/Tender/SplashBidNoticeAbstractUI.aspx?menuIndex=3&amp;refID=7074231&amp;Result=3","7074231")</f>
        <v>0</v>
      </c>
      <c r="B3199" t="s">
        <v>1261</v>
      </c>
      <c r="C3199" t="s">
        <v>6447</v>
      </c>
      <c r="E3199" t="s">
        <v>19611</v>
      </c>
      <c r="F3199" t="s">
        <v>28669</v>
      </c>
      <c r="G3199" t="s">
        <v>28679</v>
      </c>
      <c r="H3199" t="s">
        <v>9998</v>
      </c>
      <c r="I3199" t="s">
        <v>28689</v>
      </c>
      <c r="J3199" t="s">
        <v>30942</v>
      </c>
      <c r="K3199" t="s">
        <v>37209</v>
      </c>
      <c r="M3199" t="s">
        <v>38810</v>
      </c>
      <c r="N3199" t="s">
        <v>41249</v>
      </c>
      <c r="O3199" t="s">
        <v>41250</v>
      </c>
      <c r="P3199">
        <v>0</v>
      </c>
      <c r="Q3199">
        <v>0</v>
      </c>
      <c r="R3199" t="s">
        <v>41252</v>
      </c>
      <c r="S3199" t="s">
        <v>41383</v>
      </c>
      <c r="T3199" t="s">
        <v>42698</v>
      </c>
      <c r="U3199" t="s">
        <v>43611</v>
      </c>
      <c r="W3199" t="s">
        <v>38810</v>
      </c>
      <c r="X3199" t="s">
        <v>41254</v>
      </c>
    </row>
    <row r="3200" spans="1:24">
      <c r="A3200">
        <f>HYPERLINK("https://www.philgeps.gov.ph/GEPSNONPILOT/Tender/SplashBidNoticeAbstractUI.aspx?menuIndex=3&amp;refID=7074239&amp;Result=3","7074239")</f>
        <v>0</v>
      </c>
      <c r="B3200" t="s">
        <v>1278</v>
      </c>
      <c r="C3200" t="s">
        <v>6448</v>
      </c>
      <c r="D3200" t="s">
        <v>16684</v>
      </c>
      <c r="E3200" t="s">
        <v>19612</v>
      </c>
      <c r="F3200" t="s">
        <v>28669</v>
      </c>
      <c r="G3200" t="s">
        <v>28676</v>
      </c>
      <c r="H3200" t="s">
        <v>9998</v>
      </c>
      <c r="I3200" t="s">
        <v>6606</v>
      </c>
      <c r="J3200" t="s">
        <v>30389</v>
      </c>
      <c r="K3200" t="s">
        <v>37256</v>
      </c>
      <c r="M3200" t="s">
        <v>38828</v>
      </c>
      <c r="N3200" t="s">
        <v>41249</v>
      </c>
      <c r="O3200" t="s">
        <v>41250</v>
      </c>
      <c r="P3200">
        <v>0</v>
      </c>
      <c r="Q3200">
        <v>0</v>
      </c>
      <c r="R3200" t="s">
        <v>41252</v>
      </c>
      <c r="S3200" t="s">
        <v>41383</v>
      </c>
      <c r="T3200" t="s">
        <v>42757</v>
      </c>
      <c r="U3200" t="s">
        <v>45858</v>
      </c>
      <c r="W3200" t="s">
        <v>38828</v>
      </c>
      <c r="X3200" t="s">
        <v>41254</v>
      </c>
    </row>
    <row r="3201" spans="1:24">
      <c r="A3201">
        <f>HYPERLINK("https://www.philgeps.gov.ph/GEPSNONPILOT/Tender/SplashBidNoticeAbstractUI.aspx?menuIndex=3&amp;refID=7074237&amp;Result=3","7074237")</f>
        <v>0</v>
      </c>
      <c r="B3201" t="s">
        <v>1034</v>
      </c>
      <c r="C3201" t="s">
        <v>6449</v>
      </c>
      <c r="D3201" t="s">
        <v>16619</v>
      </c>
      <c r="E3201" t="s">
        <v>16902</v>
      </c>
      <c r="F3201" t="s">
        <v>28669</v>
      </c>
      <c r="G3201" t="s">
        <v>28675</v>
      </c>
      <c r="H3201" t="s">
        <v>28686</v>
      </c>
      <c r="I3201" t="s">
        <v>28689</v>
      </c>
      <c r="J3201" t="s">
        <v>30943</v>
      </c>
      <c r="K3201" t="s">
        <v>37223</v>
      </c>
      <c r="M3201" t="s">
        <v>38565</v>
      </c>
      <c r="N3201" t="s">
        <v>41249</v>
      </c>
      <c r="O3201" t="s">
        <v>41250</v>
      </c>
      <c r="P3201">
        <v>0</v>
      </c>
      <c r="Q3201">
        <v>0</v>
      </c>
      <c r="R3201" t="s">
        <v>41252</v>
      </c>
      <c r="S3201" t="s">
        <v>41383</v>
      </c>
      <c r="T3201" t="s">
        <v>42684</v>
      </c>
      <c r="U3201" t="s">
        <v>45912</v>
      </c>
      <c r="W3201" t="s">
        <v>38565</v>
      </c>
      <c r="X3201" t="s">
        <v>41254</v>
      </c>
    </row>
    <row r="3202" spans="1:24">
      <c r="A3202">
        <f>HYPERLINK("https://www.philgeps.gov.ph/GEPSNONPILOT/Tender/SplashBidNoticeAbstractUI.aspx?menuIndex=3&amp;refID=7074228&amp;Result=3","7074228")</f>
        <v>0</v>
      </c>
      <c r="B3202" t="s">
        <v>533</v>
      </c>
      <c r="C3202" t="s">
        <v>6450</v>
      </c>
      <c r="D3202" t="s">
        <v>16641</v>
      </c>
      <c r="E3202" t="s">
        <v>19613</v>
      </c>
      <c r="F3202" t="s">
        <v>28669</v>
      </c>
      <c r="G3202" t="s">
        <v>28675</v>
      </c>
      <c r="H3202" t="s">
        <v>28686</v>
      </c>
      <c r="I3202" t="s">
        <v>28689</v>
      </c>
      <c r="J3202" t="s">
        <v>30944</v>
      </c>
      <c r="K3202" t="s">
        <v>37220</v>
      </c>
      <c r="M3202" t="s">
        <v>38769</v>
      </c>
      <c r="N3202" t="s">
        <v>41249</v>
      </c>
      <c r="O3202" t="s">
        <v>41250</v>
      </c>
      <c r="P3202">
        <v>0</v>
      </c>
      <c r="Q3202">
        <v>0</v>
      </c>
      <c r="R3202" t="s">
        <v>41252</v>
      </c>
      <c r="S3202" t="s">
        <v>41383</v>
      </c>
      <c r="T3202" t="s">
        <v>42672</v>
      </c>
      <c r="U3202" t="s">
        <v>45913</v>
      </c>
      <c r="W3202" t="s">
        <v>38769</v>
      </c>
      <c r="X3202" t="s">
        <v>41254</v>
      </c>
    </row>
    <row r="3203" spans="1:24">
      <c r="A3203">
        <f>HYPERLINK("https://www.philgeps.gov.ph/GEPSNONPILOT/Tender/SplashBidNoticeAbstractUI.aspx?menuIndex=3&amp;refID=7074212&amp;Result=3","7074212")</f>
        <v>0</v>
      </c>
      <c r="B3203" t="s">
        <v>1278</v>
      </c>
      <c r="C3203" t="s">
        <v>6451</v>
      </c>
      <c r="D3203" t="s">
        <v>16684</v>
      </c>
      <c r="E3203" t="s">
        <v>19614</v>
      </c>
      <c r="F3203" t="s">
        <v>28669</v>
      </c>
      <c r="G3203" t="s">
        <v>28676</v>
      </c>
      <c r="H3203" t="s">
        <v>9998</v>
      </c>
      <c r="I3203" t="s">
        <v>6606</v>
      </c>
      <c r="J3203" t="s">
        <v>30945</v>
      </c>
      <c r="K3203" t="s">
        <v>37256</v>
      </c>
      <c r="M3203" t="s">
        <v>38828</v>
      </c>
      <c r="N3203" t="s">
        <v>41249</v>
      </c>
      <c r="O3203" t="s">
        <v>41250</v>
      </c>
      <c r="P3203">
        <v>0</v>
      </c>
      <c r="Q3203">
        <v>0</v>
      </c>
      <c r="R3203" t="s">
        <v>41252</v>
      </c>
      <c r="S3203" t="s">
        <v>41383</v>
      </c>
      <c r="T3203" t="s">
        <v>42757</v>
      </c>
      <c r="U3203" t="s">
        <v>45858</v>
      </c>
      <c r="W3203" t="s">
        <v>38828</v>
      </c>
      <c r="X3203" t="s">
        <v>41254</v>
      </c>
    </row>
    <row r="3204" spans="1:24">
      <c r="A3204">
        <f>HYPERLINK("https://www.philgeps.gov.ph/GEPSNONPILOT/Tender/SplashBidNoticeAbstractUI.aspx?menuIndex=3&amp;refID=7074227&amp;Result=3","7074227")</f>
        <v>0</v>
      </c>
      <c r="B3204" t="s">
        <v>909</v>
      </c>
      <c r="C3204" t="s">
        <v>6452</v>
      </c>
      <c r="D3204" t="s">
        <v>16662</v>
      </c>
      <c r="E3204" t="s">
        <v>19444</v>
      </c>
      <c r="F3204" t="s">
        <v>28669</v>
      </c>
      <c r="G3204" t="s">
        <v>28675</v>
      </c>
      <c r="H3204" t="s">
        <v>9998</v>
      </c>
      <c r="I3204" t="s">
        <v>28704</v>
      </c>
      <c r="J3204" t="s">
        <v>30946</v>
      </c>
      <c r="K3204" t="s">
        <v>37206</v>
      </c>
      <c r="M3204" t="s">
        <v>38431</v>
      </c>
      <c r="N3204" t="s">
        <v>41249</v>
      </c>
      <c r="O3204" t="s">
        <v>41250</v>
      </c>
      <c r="P3204">
        <v>0</v>
      </c>
      <c r="Q3204">
        <v>0</v>
      </c>
      <c r="R3204" t="s">
        <v>41252</v>
      </c>
      <c r="S3204" t="s">
        <v>41383</v>
      </c>
      <c r="T3204" t="s">
        <v>42688</v>
      </c>
      <c r="U3204" t="s">
        <v>45755</v>
      </c>
      <c r="W3204" t="s">
        <v>38431</v>
      </c>
      <c r="X3204" t="s">
        <v>41254</v>
      </c>
    </row>
    <row r="3205" spans="1:24">
      <c r="A3205">
        <f>HYPERLINK("https://www.philgeps.gov.ph/GEPSNONPILOT/Tender/SplashBidNoticeAbstractUI.aspx?menuIndex=3&amp;refID=7074270&amp;Result=3","7074270")</f>
        <v>0</v>
      </c>
      <c r="B3205" t="s">
        <v>1034</v>
      </c>
      <c r="C3205" t="s">
        <v>6453</v>
      </c>
      <c r="D3205" t="s">
        <v>16619</v>
      </c>
      <c r="E3205" t="s">
        <v>16890</v>
      </c>
      <c r="F3205" t="s">
        <v>28669</v>
      </c>
      <c r="G3205" t="s">
        <v>28675</v>
      </c>
      <c r="H3205" t="s">
        <v>28686</v>
      </c>
      <c r="I3205" t="s">
        <v>28689</v>
      </c>
      <c r="J3205" t="s">
        <v>30947</v>
      </c>
      <c r="K3205" t="s">
        <v>37214</v>
      </c>
      <c r="M3205" t="s">
        <v>38565</v>
      </c>
      <c r="N3205" t="s">
        <v>41249</v>
      </c>
      <c r="O3205" t="s">
        <v>41250</v>
      </c>
      <c r="P3205">
        <v>0</v>
      </c>
      <c r="Q3205">
        <v>0</v>
      </c>
      <c r="R3205" t="s">
        <v>41252</v>
      </c>
      <c r="S3205" t="s">
        <v>41383</v>
      </c>
      <c r="T3205" t="s">
        <v>42684</v>
      </c>
      <c r="U3205" t="s">
        <v>45914</v>
      </c>
      <c r="W3205" t="s">
        <v>38565</v>
      </c>
      <c r="X3205" t="s">
        <v>41254</v>
      </c>
    </row>
    <row r="3206" spans="1:24">
      <c r="A3206">
        <f>HYPERLINK("https://www.philgeps.gov.ph/GEPSNONPILOT/Tender/SplashBidNoticeAbstractUI.aspx?menuIndex=3&amp;refID=7074241&amp;Result=3","7074241")</f>
        <v>0</v>
      </c>
      <c r="B3206" t="s">
        <v>100</v>
      </c>
      <c r="C3206" t="s">
        <v>6454</v>
      </c>
      <c r="D3206" t="s">
        <v>16608</v>
      </c>
      <c r="E3206" t="s">
        <v>19615</v>
      </c>
      <c r="F3206" t="s">
        <v>28669</v>
      </c>
      <c r="G3206" t="s">
        <v>28676</v>
      </c>
      <c r="H3206" t="s">
        <v>9998</v>
      </c>
      <c r="I3206" t="s">
        <v>28791</v>
      </c>
      <c r="J3206" t="s">
        <v>30948</v>
      </c>
      <c r="K3206" t="s">
        <v>37238</v>
      </c>
      <c r="M3206" t="s">
        <v>37575</v>
      </c>
      <c r="N3206" t="s">
        <v>41249</v>
      </c>
      <c r="O3206" t="s">
        <v>41250</v>
      </c>
      <c r="P3206">
        <v>0</v>
      </c>
      <c r="Q3206">
        <v>5</v>
      </c>
      <c r="R3206" t="s">
        <v>41252</v>
      </c>
      <c r="S3206" t="s">
        <v>41383</v>
      </c>
      <c r="T3206" t="s">
        <v>42827</v>
      </c>
      <c r="U3206" t="s">
        <v>43328</v>
      </c>
      <c r="W3206" t="s">
        <v>37575</v>
      </c>
      <c r="X3206" t="s">
        <v>41254</v>
      </c>
    </row>
    <row r="3207" spans="1:24">
      <c r="A3207">
        <f>HYPERLINK("https://www.philgeps.gov.ph/GEPSNONPILOT/Tender/SplashBidNoticeAbstractUI.aspx?menuIndex=3&amp;refID=7074245&amp;Result=3","7074245")</f>
        <v>0</v>
      </c>
      <c r="B3207" t="s">
        <v>533</v>
      </c>
      <c r="C3207" t="s">
        <v>6455</v>
      </c>
      <c r="D3207" t="s">
        <v>16641</v>
      </c>
      <c r="E3207" t="s">
        <v>19616</v>
      </c>
      <c r="F3207" t="s">
        <v>28669</v>
      </c>
      <c r="G3207" t="s">
        <v>28675</v>
      </c>
      <c r="H3207" t="s">
        <v>9998</v>
      </c>
      <c r="I3207" t="s">
        <v>28689</v>
      </c>
      <c r="J3207" t="s">
        <v>30949</v>
      </c>
      <c r="K3207" t="s">
        <v>37220</v>
      </c>
      <c r="M3207" t="s">
        <v>38769</v>
      </c>
      <c r="N3207" t="s">
        <v>41249</v>
      </c>
      <c r="O3207" t="s">
        <v>41250</v>
      </c>
      <c r="P3207">
        <v>0</v>
      </c>
      <c r="Q3207">
        <v>0</v>
      </c>
      <c r="R3207" t="s">
        <v>41252</v>
      </c>
      <c r="S3207" t="s">
        <v>41383</v>
      </c>
      <c r="T3207" t="s">
        <v>42672</v>
      </c>
      <c r="U3207" t="s">
        <v>45915</v>
      </c>
      <c r="W3207" t="s">
        <v>38769</v>
      </c>
      <c r="X3207" t="s">
        <v>41254</v>
      </c>
    </row>
    <row r="3208" spans="1:24">
      <c r="A3208">
        <f>HYPERLINK("https://www.philgeps.gov.ph/GEPSNONPILOT/Tender/SplashBidNoticeAbstractUI.aspx?menuIndex=3&amp;refID=7074268&amp;Result=3","7074268")</f>
        <v>0</v>
      </c>
      <c r="B3208" t="s">
        <v>1278</v>
      </c>
      <c r="C3208" t="s">
        <v>6456</v>
      </c>
      <c r="D3208" t="s">
        <v>16684</v>
      </c>
      <c r="E3208" t="s">
        <v>19617</v>
      </c>
      <c r="F3208" t="s">
        <v>28669</v>
      </c>
      <c r="G3208" t="s">
        <v>28676</v>
      </c>
      <c r="H3208" t="s">
        <v>9998</v>
      </c>
      <c r="I3208" t="s">
        <v>6606</v>
      </c>
      <c r="J3208" t="s">
        <v>30941</v>
      </c>
      <c r="K3208" t="s">
        <v>37256</v>
      </c>
      <c r="M3208" t="s">
        <v>38828</v>
      </c>
      <c r="N3208" t="s">
        <v>41249</v>
      </c>
      <c r="O3208" t="s">
        <v>41250</v>
      </c>
      <c r="P3208">
        <v>0</v>
      </c>
      <c r="Q3208">
        <v>0</v>
      </c>
      <c r="R3208" t="s">
        <v>41252</v>
      </c>
      <c r="S3208" t="s">
        <v>41383</v>
      </c>
      <c r="T3208" t="s">
        <v>42757</v>
      </c>
      <c r="U3208" t="s">
        <v>45858</v>
      </c>
      <c r="W3208" t="s">
        <v>38828</v>
      </c>
      <c r="X3208" t="s">
        <v>41254</v>
      </c>
    </row>
    <row r="3209" spans="1:24">
      <c r="A3209">
        <f>HYPERLINK("https://www.philgeps.gov.ph/GEPSNONPILOT/Tender/SplashBidNoticeAbstractUI.aspx?menuIndex=3&amp;refID=7074213&amp;Result=3","7074213")</f>
        <v>0</v>
      </c>
      <c r="B3209" t="s">
        <v>1292</v>
      </c>
      <c r="C3209" t="s">
        <v>6457</v>
      </c>
      <c r="D3209" t="s">
        <v>16673</v>
      </c>
      <c r="E3209" t="s">
        <v>18877</v>
      </c>
      <c r="F3209" t="s">
        <v>28669</v>
      </c>
      <c r="G3209" t="s">
        <v>28675</v>
      </c>
      <c r="H3209" t="s">
        <v>28686</v>
      </c>
      <c r="I3209" t="s">
        <v>28689</v>
      </c>
      <c r="J3209" t="s">
        <v>30950</v>
      </c>
      <c r="K3209" t="s">
        <v>37220</v>
      </c>
      <c r="M3209" t="s">
        <v>38843</v>
      </c>
      <c r="N3209" t="s">
        <v>41249</v>
      </c>
      <c r="O3209" t="s">
        <v>41250</v>
      </c>
      <c r="P3209">
        <v>0</v>
      </c>
      <c r="Q3209">
        <v>0</v>
      </c>
      <c r="R3209" t="s">
        <v>41252</v>
      </c>
      <c r="S3209" t="s">
        <v>41383</v>
      </c>
      <c r="T3209" t="s">
        <v>42683</v>
      </c>
      <c r="U3209" t="s">
        <v>45916</v>
      </c>
      <c r="W3209" t="s">
        <v>38843</v>
      </c>
      <c r="X3209" t="s">
        <v>41254</v>
      </c>
    </row>
    <row r="3210" spans="1:24">
      <c r="A3210">
        <f>HYPERLINK("https://www.philgeps.gov.ph/GEPSNONPILOT/Tender/SplashBidNoticeAbstractUI.aspx?menuIndex=3&amp;refID=7074265&amp;Result=3","7074265")</f>
        <v>0</v>
      </c>
      <c r="B3210" t="s">
        <v>1301</v>
      </c>
      <c r="C3210" t="s">
        <v>6458</v>
      </c>
      <c r="D3210" t="s">
        <v>16642</v>
      </c>
      <c r="E3210" t="s">
        <v>19618</v>
      </c>
      <c r="F3210" t="s">
        <v>28669</v>
      </c>
      <c r="G3210" t="s">
        <v>28676</v>
      </c>
      <c r="H3210" t="s">
        <v>9998</v>
      </c>
      <c r="I3210" t="s">
        <v>6458</v>
      </c>
      <c r="J3210" t="s">
        <v>28838</v>
      </c>
      <c r="K3210" t="s">
        <v>37204</v>
      </c>
      <c r="M3210" t="s">
        <v>38852</v>
      </c>
      <c r="N3210" t="s">
        <v>41249</v>
      </c>
      <c r="O3210" t="s">
        <v>41250</v>
      </c>
      <c r="P3210">
        <v>0</v>
      </c>
      <c r="Q3210">
        <v>1</v>
      </c>
      <c r="R3210" t="s">
        <v>41252</v>
      </c>
      <c r="S3210" t="s">
        <v>41383</v>
      </c>
      <c r="T3210" t="s">
        <v>42736</v>
      </c>
      <c r="U3210" t="s">
        <v>45917</v>
      </c>
      <c r="W3210" t="s">
        <v>38852</v>
      </c>
      <c r="X3210" t="s">
        <v>41254</v>
      </c>
    </row>
    <row r="3211" spans="1:24">
      <c r="A3211">
        <f>HYPERLINK("https://www.philgeps.gov.ph/GEPSNONPILOT/Tender/SplashBidNoticeAbstractUI.aspx?menuIndex=3&amp;refID=7074264&amp;Result=3","7074264")</f>
        <v>0</v>
      </c>
      <c r="B3211" t="s">
        <v>965</v>
      </c>
      <c r="C3211" t="s">
        <v>6459</v>
      </c>
      <c r="D3211" t="s">
        <v>16608</v>
      </c>
      <c r="E3211" t="s">
        <v>19619</v>
      </c>
      <c r="F3211" t="s">
        <v>28669</v>
      </c>
      <c r="G3211" t="s">
        <v>28675</v>
      </c>
      <c r="H3211" t="s">
        <v>9998</v>
      </c>
      <c r="I3211" t="s">
        <v>6128</v>
      </c>
      <c r="J3211" t="s">
        <v>30800</v>
      </c>
      <c r="K3211" t="s">
        <v>37205</v>
      </c>
      <c r="M3211" t="s">
        <v>38759</v>
      </c>
      <c r="N3211" t="s">
        <v>41249</v>
      </c>
      <c r="O3211" t="s">
        <v>41250</v>
      </c>
      <c r="P3211">
        <v>0</v>
      </c>
      <c r="Q3211">
        <v>1</v>
      </c>
      <c r="R3211" t="s">
        <v>41252</v>
      </c>
      <c r="S3211" t="s">
        <v>41383</v>
      </c>
      <c r="T3211" t="s">
        <v>42703</v>
      </c>
      <c r="U3211" t="s">
        <v>44022</v>
      </c>
      <c r="W3211" t="s">
        <v>38759</v>
      </c>
      <c r="X3211" t="s">
        <v>41254</v>
      </c>
    </row>
    <row r="3212" spans="1:24">
      <c r="A3212">
        <f>HYPERLINK("https://www.philgeps.gov.ph/GEPSNONPILOT/Tender/SplashBidNoticeAbstractUI.aspx?menuIndex=3&amp;refID=7074263&amp;Result=3","7074263")</f>
        <v>0</v>
      </c>
      <c r="B3212" t="s">
        <v>909</v>
      </c>
      <c r="C3212" t="s">
        <v>6460</v>
      </c>
      <c r="D3212" t="s">
        <v>16662</v>
      </c>
      <c r="E3212" t="s">
        <v>19444</v>
      </c>
      <c r="F3212" t="s">
        <v>28669</v>
      </c>
      <c r="G3212" t="s">
        <v>28675</v>
      </c>
      <c r="H3212" t="s">
        <v>9998</v>
      </c>
      <c r="I3212" t="s">
        <v>28704</v>
      </c>
      <c r="J3212" t="s">
        <v>30951</v>
      </c>
      <c r="K3212" t="s">
        <v>37206</v>
      </c>
      <c r="M3212" t="s">
        <v>38431</v>
      </c>
      <c r="N3212" t="s">
        <v>41249</v>
      </c>
      <c r="O3212" t="s">
        <v>41250</v>
      </c>
      <c r="P3212">
        <v>0</v>
      </c>
      <c r="Q3212">
        <v>1</v>
      </c>
      <c r="R3212" t="s">
        <v>41252</v>
      </c>
      <c r="S3212" t="s">
        <v>41383</v>
      </c>
      <c r="T3212" t="s">
        <v>42688</v>
      </c>
      <c r="U3212" t="s">
        <v>45755</v>
      </c>
      <c r="W3212" t="s">
        <v>38431</v>
      </c>
      <c r="X3212" t="s">
        <v>41254</v>
      </c>
    </row>
    <row r="3213" spans="1:24">
      <c r="A3213">
        <f>HYPERLINK("https://www.philgeps.gov.ph/GEPSNONPILOT/Tender/SplashBidNoticeAbstractUI.aspx?menuIndex=3&amp;refID=7074260&amp;Result=3","7074260")</f>
        <v>0</v>
      </c>
      <c r="B3213" t="s">
        <v>51</v>
      </c>
      <c r="C3213" t="s">
        <v>6461</v>
      </c>
      <c r="D3213" t="s">
        <v>16631</v>
      </c>
      <c r="E3213" t="s">
        <v>19620</v>
      </c>
      <c r="F3213" t="s">
        <v>28669</v>
      </c>
      <c r="G3213" t="s">
        <v>28676</v>
      </c>
      <c r="H3213" t="s">
        <v>9998</v>
      </c>
      <c r="I3213" t="s">
        <v>28704</v>
      </c>
      <c r="J3213" t="s">
        <v>30952</v>
      </c>
      <c r="K3213" t="s">
        <v>37204</v>
      </c>
      <c r="M3213" t="s">
        <v>38699</v>
      </c>
      <c r="N3213" t="s">
        <v>41249</v>
      </c>
      <c r="O3213" t="s">
        <v>41250</v>
      </c>
      <c r="P3213">
        <v>0</v>
      </c>
      <c r="Q3213">
        <v>1</v>
      </c>
      <c r="R3213" t="s">
        <v>41252</v>
      </c>
      <c r="S3213" t="s">
        <v>41383</v>
      </c>
      <c r="T3213" t="s">
        <v>42670</v>
      </c>
      <c r="U3213" t="s">
        <v>45918</v>
      </c>
      <c r="W3213" t="s">
        <v>38699</v>
      </c>
      <c r="X3213" t="s">
        <v>41254</v>
      </c>
    </row>
    <row r="3214" spans="1:24">
      <c r="A3214">
        <f>HYPERLINK("https://www.philgeps.gov.ph/GEPSNONPILOT/Tender/SplashBidNoticeAbstractUI.aspx?menuIndex=3&amp;refID=7074251&amp;Result=3","7074251")</f>
        <v>0</v>
      </c>
      <c r="B3214" t="s">
        <v>642</v>
      </c>
      <c r="C3214" t="s">
        <v>6462</v>
      </c>
      <c r="D3214" t="s">
        <v>16642</v>
      </c>
      <c r="E3214" t="s">
        <v>19621</v>
      </c>
      <c r="F3214" t="s">
        <v>28669</v>
      </c>
      <c r="G3214" t="s">
        <v>28676</v>
      </c>
      <c r="H3214" t="s">
        <v>9998</v>
      </c>
      <c r="I3214" t="s">
        <v>28754</v>
      </c>
      <c r="J3214" t="s">
        <v>30953</v>
      </c>
      <c r="K3214" t="s">
        <v>37205</v>
      </c>
      <c r="M3214" t="s">
        <v>38853</v>
      </c>
      <c r="N3214" t="s">
        <v>41249</v>
      </c>
      <c r="O3214" t="s">
        <v>41250</v>
      </c>
      <c r="P3214">
        <v>0</v>
      </c>
      <c r="Q3214">
        <v>4</v>
      </c>
      <c r="R3214" t="s">
        <v>41252</v>
      </c>
      <c r="S3214" t="s">
        <v>41383</v>
      </c>
      <c r="T3214" t="s">
        <v>42675</v>
      </c>
      <c r="U3214" t="s">
        <v>45919</v>
      </c>
      <c r="W3214" t="s">
        <v>38853</v>
      </c>
      <c r="X3214" t="s">
        <v>41254</v>
      </c>
    </row>
    <row r="3215" spans="1:24">
      <c r="A3215">
        <f>HYPERLINK("https://www.philgeps.gov.ph/GEPSNONPILOT/Tender/SplashBidNoticeAbstractUI.aspx?menuIndex=3&amp;refID=7074259&amp;Result=3","7074259")</f>
        <v>0</v>
      </c>
      <c r="B3215" t="s">
        <v>1302</v>
      </c>
      <c r="C3215" t="s">
        <v>6463</v>
      </c>
      <c r="D3215" t="s">
        <v>16608</v>
      </c>
      <c r="E3215" t="s">
        <v>19622</v>
      </c>
      <c r="F3215" t="s">
        <v>28669</v>
      </c>
      <c r="G3215" t="s">
        <v>28677</v>
      </c>
      <c r="H3215" t="s">
        <v>9998</v>
      </c>
      <c r="I3215" t="s">
        <v>28708</v>
      </c>
      <c r="J3215" t="s">
        <v>30954</v>
      </c>
      <c r="K3215" t="s">
        <v>37209</v>
      </c>
      <c r="M3215" t="s">
        <v>38854</v>
      </c>
      <c r="N3215" t="s">
        <v>41249</v>
      </c>
      <c r="O3215" t="s">
        <v>41250</v>
      </c>
      <c r="P3215">
        <v>0</v>
      </c>
      <c r="Q3215">
        <v>5</v>
      </c>
      <c r="R3215" t="s">
        <v>41252</v>
      </c>
      <c r="S3215" t="s">
        <v>41383</v>
      </c>
      <c r="T3215" t="s">
        <v>42926</v>
      </c>
      <c r="U3215" t="s">
        <v>45920</v>
      </c>
      <c r="W3215" t="s">
        <v>38854</v>
      </c>
      <c r="X3215" t="s">
        <v>41254</v>
      </c>
    </row>
    <row r="3216" spans="1:24">
      <c r="A3216">
        <f>HYPERLINK("https://www.philgeps.gov.ph/GEPSNONPILOT/Tender/SplashBidNoticeAbstractUI.aspx?menuIndex=3&amp;refID=7074256&amp;Result=3","7074256")</f>
        <v>0</v>
      </c>
      <c r="B3216" t="s">
        <v>533</v>
      </c>
      <c r="C3216" t="s">
        <v>6464</v>
      </c>
      <c r="D3216" t="s">
        <v>16641</v>
      </c>
      <c r="E3216" t="s">
        <v>19623</v>
      </c>
      <c r="F3216" t="s">
        <v>28669</v>
      </c>
      <c r="G3216" t="s">
        <v>28675</v>
      </c>
      <c r="H3216" t="s">
        <v>28686</v>
      </c>
      <c r="I3216" t="s">
        <v>28689</v>
      </c>
      <c r="J3216" t="s">
        <v>30955</v>
      </c>
      <c r="K3216" t="s">
        <v>37220</v>
      </c>
      <c r="M3216" t="s">
        <v>38769</v>
      </c>
      <c r="N3216" t="s">
        <v>41249</v>
      </c>
      <c r="O3216" t="s">
        <v>41250</v>
      </c>
      <c r="P3216">
        <v>0</v>
      </c>
      <c r="Q3216">
        <v>0</v>
      </c>
      <c r="R3216" t="s">
        <v>41252</v>
      </c>
      <c r="S3216" t="s">
        <v>41383</v>
      </c>
      <c r="T3216" t="s">
        <v>42672</v>
      </c>
      <c r="U3216" t="s">
        <v>45921</v>
      </c>
      <c r="W3216" t="s">
        <v>38769</v>
      </c>
      <c r="X3216" t="s">
        <v>41254</v>
      </c>
    </row>
    <row r="3217" spans="1:24">
      <c r="A3217">
        <f>HYPERLINK("https://www.philgeps.gov.ph/GEPSNONPILOT/Tender/SplashBidNoticeAbstractUI.aspx?menuIndex=3&amp;refID=7074229&amp;Result=3","7074229")</f>
        <v>0</v>
      </c>
      <c r="B3217" t="s">
        <v>1001</v>
      </c>
      <c r="C3217" t="s">
        <v>6465</v>
      </c>
      <c r="D3217" t="s">
        <v>16677</v>
      </c>
      <c r="E3217" t="s">
        <v>19624</v>
      </c>
      <c r="F3217" t="s">
        <v>28669</v>
      </c>
      <c r="G3217" t="s">
        <v>28675</v>
      </c>
      <c r="H3217" t="s">
        <v>28686</v>
      </c>
      <c r="I3217" t="s">
        <v>28689</v>
      </c>
      <c r="J3217" t="s">
        <v>30146</v>
      </c>
      <c r="K3217" t="s">
        <v>37212</v>
      </c>
      <c r="M3217" t="s">
        <v>38529</v>
      </c>
      <c r="N3217" t="s">
        <v>41249</v>
      </c>
      <c r="O3217" t="s">
        <v>41250</v>
      </c>
      <c r="P3217">
        <v>0</v>
      </c>
      <c r="Q3217">
        <v>3</v>
      </c>
      <c r="R3217" t="s">
        <v>41252</v>
      </c>
      <c r="S3217" t="s">
        <v>41383</v>
      </c>
      <c r="T3217" t="s">
        <v>42911</v>
      </c>
      <c r="U3217" t="s">
        <v>45302</v>
      </c>
      <c r="W3217" t="s">
        <v>38529</v>
      </c>
      <c r="X3217" t="s">
        <v>41254</v>
      </c>
    </row>
    <row r="3218" spans="1:24">
      <c r="A3218">
        <f>HYPERLINK("https://www.philgeps.gov.ph/GEPSNONPILOT/Tender/SplashBidNoticeAbstractUI.aspx?menuIndex=3&amp;refID=7074255&amp;Result=3","7074255")</f>
        <v>0</v>
      </c>
      <c r="B3218" t="s">
        <v>1303</v>
      </c>
      <c r="C3218" t="s">
        <v>6466</v>
      </c>
      <c r="D3218" t="s">
        <v>16617</v>
      </c>
      <c r="E3218" t="s">
        <v>19625</v>
      </c>
      <c r="F3218" t="s">
        <v>28669</v>
      </c>
      <c r="G3218" t="s">
        <v>28676</v>
      </c>
      <c r="H3218" t="s">
        <v>9998</v>
      </c>
      <c r="I3218" t="s">
        <v>28717</v>
      </c>
      <c r="J3218" t="s">
        <v>30956</v>
      </c>
      <c r="K3218" t="s">
        <v>37208</v>
      </c>
      <c r="M3218" t="s">
        <v>38855</v>
      </c>
      <c r="N3218" t="s">
        <v>41249</v>
      </c>
      <c r="O3218" t="s">
        <v>41250</v>
      </c>
      <c r="P3218">
        <v>0</v>
      </c>
      <c r="Q3218">
        <v>1</v>
      </c>
      <c r="R3218" t="s">
        <v>41252</v>
      </c>
      <c r="S3218" t="s">
        <v>41383</v>
      </c>
      <c r="T3218" t="s">
        <v>42758</v>
      </c>
      <c r="U3218" t="s">
        <v>45922</v>
      </c>
      <c r="W3218" t="s">
        <v>38855</v>
      </c>
      <c r="X3218" t="s">
        <v>41254</v>
      </c>
    </row>
    <row r="3219" spans="1:24">
      <c r="A3219">
        <f>HYPERLINK("https://www.philgeps.gov.ph/GEPSNONPILOT/Tender/SplashBidNoticeAbstractUI.aspx?menuIndex=3&amp;refID=7074261&amp;Result=3","7074261")</f>
        <v>0</v>
      </c>
      <c r="B3219" t="s">
        <v>1304</v>
      </c>
      <c r="C3219" t="s">
        <v>6467</v>
      </c>
      <c r="D3219" t="s">
        <v>16676</v>
      </c>
      <c r="E3219" t="s">
        <v>19626</v>
      </c>
      <c r="F3219" t="s">
        <v>28669</v>
      </c>
      <c r="G3219" t="s">
        <v>28676</v>
      </c>
      <c r="H3219" t="s">
        <v>9998</v>
      </c>
      <c r="I3219" t="s">
        <v>28696</v>
      </c>
      <c r="J3219" t="s">
        <v>28878</v>
      </c>
      <c r="K3219" t="s">
        <v>37221</v>
      </c>
      <c r="M3219" t="s">
        <v>38856</v>
      </c>
      <c r="N3219" t="s">
        <v>41249</v>
      </c>
      <c r="O3219" t="s">
        <v>41250</v>
      </c>
      <c r="P3219">
        <v>0</v>
      </c>
      <c r="Q3219">
        <v>0</v>
      </c>
      <c r="R3219" t="s">
        <v>41252</v>
      </c>
      <c r="S3219" t="s">
        <v>41383</v>
      </c>
      <c r="T3219" t="s">
        <v>42701</v>
      </c>
      <c r="U3219" t="s">
        <v>45923</v>
      </c>
      <c r="W3219" t="s">
        <v>38856</v>
      </c>
      <c r="X3219" t="s">
        <v>41254</v>
      </c>
    </row>
    <row r="3220" spans="1:24">
      <c r="A3220">
        <f>HYPERLINK("https://www.philgeps.gov.ph/GEPSNONPILOT/Tender/SplashBidNoticeAbstractUI.aspx?menuIndex=3&amp;refID=7074258&amp;Result=3","7074258")</f>
        <v>0</v>
      </c>
      <c r="B3220" t="s">
        <v>965</v>
      </c>
      <c r="C3220" t="s">
        <v>6468</v>
      </c>
      <c r="D3220" t="s">
        <v>16608</v>
      </c>
      <c r="E3220" t="s">
        <v>19627</v>
      </c>
      <c r="F3220" t="s">
        <v>28669</v>
      </c>
      <c r="G3220" t="s">
        <v>28675</v>
      </c>
      <c r="H3220" t="s">
        <v>9998</v>
      </c>
      <c r="I3220" t="s">
        <v>6128</v>
      </c>
      <c r="J3220" t="s">
        <v>28826</v>
      </c>
      <c r="K3220" t="s">
        <v>37205</v>
      </c>
      <c r="M3220" t="s">
        <v>38759</v>
      </c>
      <c r="N3220" t="s">
        <v>41249</v>
      </c>
      <c r="O3220" t="s">
        <v>41250</v>
      </c>
      <c r="P3220">
        <v>0</v>
      </c>
      <c r="Q3220">
        <v>1</v>
      </c>
      <c r="R3220" t="s">
        <v>41252</v>
      </c>
      <c r="S3220" t="s">
        <v>41383</v>
      </c>
      <c r="T3220" t="s">
        <v>42703</v>
      </c>
      <c r="U3220" t="s">
        <v>44022</v>
      </c>
      <c r="W3220" t="s">
        <v>38759</v>
      </c>
      <c r="X3220" t="s">
        <v>41254</v>
      </c>
    </row>
    <row r="3221" spans="1:24">
      <c r="A3221">
        <f>HYPERLINK("https://www.philgeps.gov.ph/GEPSNONPILOT/Tender/SplashBidNoticeAbstractUI.aspx?menuIndex=3&amp;refID=7074257&amp;Result=3","7074257")</f>
        <v>0</v>
      </c>
      <c r="B3221" t="s">
        <v>1278</v>
      </c>
      <c r="C3221" t="s">
        <v>6469</v>
      </c>
      <c r="D3221" t="s">
        <v>16684</v>
      </c>
      <c r="E3221" t="s">
        <v>19628</v>
      </c>
      <c r="F3221" t="s">
        <v>28669</v>
      </c>
      <c r="G3221" t="s">
        <v>28676</v>
      </c>
      <c r="H3221" t="s">
        <v>9998</v>
      </c>
      <c r="I3221" t="s">
        <v>6606</v>
      </c>
      <c r="J3221" t="s">
        <v>30957</v>
      </c>
      <c r="K3221" t="s">
        <v>37256</v>
      </c>
      <c r="M3221" t="s">
        <v>38828</v>
      </c>
      <c r="N3221" t="s">
        <v>41249</v>
      </c>
      <c r="O3221" t="s">
        <v>41250</v>
      </c>
      <c r="P3221">
        <v>0</v>
      </c>
      <c r="Q3221">
        <v>0</v>
      </c>
      <c r="R3221" t="s">
        <v>41252</v>
      </c>
      <c r="S3221" t="s">
        <v>41383</v>
      </c>
      <c r="T3221" t="s">
        <v>42757</v>
      </c>
      <c r="U3221" t="s">
        <v>45858</v>
      </c>
      <c r="W3221" t="s">
        <v>38828</v>
      </c>
      <c r="X3221" t="s">
        <v>41254</v>
      </c>
    </row>
    <row r="3222" spans="1:24">
      <c r="A3222">
        <f>HYPERLINK("https://www.philgeps.gov.ph/GEPSNONPILOT/Tender/SplashBidNoticeAbstractUI.aspx?menuIndex=3&amp;refID=7074291&amp;Result=3","7074291")</f>
        <v>0</v>
      </c>
      <c r="B3222" t="s">
        <v>1305</v>
      </c>
      <c r="C3222" t="s">
        <v>6470</v>
      </c>
      <c r="D3222" t="s">
        <v>16621</v>
      </c>
      <c r="E3222" t="s">
        <v>16853</v>
      </c>
      <c r="F3222" t="s">
        <v>28669</v>
      </c>
      <c r="G3222" t="s">
        <v>28676</v>
      </c>
      <c r="H3222" t="s">
        <v>9998</v>
      </c>
      <c r="I3222" t="s">
        <v>7352</v>
      </c>
      <c r="J3222" t="s">
        <v>30958</v>
      </c>
      <c r="K3222" t="s">
        <v>37206</v>
      </c>
      <c r="M3222" t="s">
        <v>38857</v>
      </c>
      <c r="N3222" t="s">
        <v>41249</v>
      </c>
      <c r="O3222" t="s">
        <v>41250</v>
      </c>
      <c r="P3222">
        <v>0</v>
      </c>
      <c r="Q3222">
        <v>0</v>
      </c>
      <c r="R3222" t="s">
        <v>41252</v>
      </c>
      <c r="S3222" t="s">
        <v>41383</v>
      </c>
      <c r="T3222" t="s">
        <v>42717</v>
      </c>
      <c r="U3222" t="s">
        <v>45924</v>
      </c>
      <c r="W3222" t="s">
        <v>38857</v>
      </c>
      <c r="X3222" t="s">
        <v>41254</v>
      </c>
    </row>
    <row r="3223" spans="1:24">
      <c r="A3223">
        <f>HYPERLINK("https://www.philgeps.gov.ph/GEPSNONPILOT/Tender/SplashBidNoticeAbstractUI.aspx?menuIndex=3&amp;refID=7074254&amp;Result=3","7074254")</f>
        <v>0</v>
      </c>
      <c r="B3223" t="s">
        <v>201</v>
      </c>
      <c r="C3223" t="s">
        <v>6471</v>
      </c>
      <c r="D3223" t="s">
        <v>16635</v>
      </c>
      <c r="E3223" t="s">
        <v>19629</v>
      </c>
      <c r="F3223" t="s">
        <v>28669</v>
      </c>
      <c r="G3223" t="s">
        <v>28676</v>
      </c>
      <c r="H3223" t="s">
        <v>9998</v>
      </c>
      <c r="I3223" t="s">
        <v>7352</v>
      </c>
      <c r="J3223" t="s">
        <v>29273</v>
      </c>
      <c r="K3223" t="s">
        <v>37209</v>
      </c>
      <c r="M3223" t="s">
        <v>37679</v>
      </c>
      <c r="N3223" t="s">
        <v>41249</v>
      </c>
      <c r="O3223" t="s">
        <v>41250</v>
      </c>
      <c r="P3223">
        <v>0</v>
      </c>
      <c r="Q3223">
        <v>0</v>
      </c>
      <c r="R3223" t="s">
        <v>41252</v>
      </c>
      <c r="S3223" t="s">
        <v>41383</v>
      </c>
      <c r="T3223" t="s">
        <v>42729</v>
      </c>
      <c r="U3223" t="s">
        <v>43499</v>
      </c>
      <c r="W3223" t="s">
        <v>37679</v>
      </c>
      <c r="X3223" t="s">
        <v>41254</v>
      </c>
    </row>
    <row r="3224" spans="1:24">
      <c r="A3224">
        <f>HYPERLINK("https://www.philgeps.gov.ph/GEPSNONPILOT/Tender/SplashBidNoticeAbstractUI.aspx?menuIndex=3&amp;refID=7074299&amp;Result=3","7074299")</f>
        <v>0</v>
      </c>
      <c r="B3224" t="s">
        <v>488</v>
      </c>
      <c r="C3224" t="s">
        <v>4276</v>
      </c>
      <c r="D3224" t="s">
        <v>16608</v>
      </c>
      <c r="E3224" t="s">
        <v>19630</v>
      </c>
      <c r="F3224" t="s">
        <v>28669</v>
      </c>
      <c r="G3224" t="s">
        <v>28677</v>
      </c>
      <c r="H3224" t="s">
        <v>9998</v>
      </c>
      <c r="I3224" t="s">
        <v>6128</v>
      </c>
      <c r="J3224" t="s">
        <v>30959</v>
      </c>
      <c r="K3224" t="s">
        <v>37243</v>
      </c>
      <c r="M3224" t="s">
        <v>37976</v>
      </c>
      <c r="N3224" t="s">
        <v>41249</v>
      </c>
      <c r="O3224" t="s">
        <v>41250</v>
      </c>
      <c r="P3224">
        <v>0</v>
      </c>
      <c r="Q3224">
        <v>1</v>
      </c>
      <c r="R3224" t="s">
        <v>41252</v>
      </c>
      <c r="S3224" t="s">
        <v>41383</v>
      </c>
      <c r="T3224" t="s">
        <v>42757</v>
      </c>
      <c r="U3224" t="s">
        <v>44022</v>
      </c>
      <c r="W3224" t="s">
        <v>37976</v>
      </c>
      <c r="X3224" t="s">
        <v>41254</v>
      </c>
    </row>
    <row r="3225" spans="1:24">
      <c r="A3225">
        <f>HYPERLINK("https://www.philgeps.gov.ph/GEPSNONPILOT/Tender/SplashBidNoticeAbstractUI.aspx?menuIndex=3&amp;refID=7074230&amp;Result=3","7074230")</f>
        <v>0</v>
      </c>
      <c r="B3225" t="s">
        <v>1292</v>
      </c>
      <c r="C3225" t="s">
        <v>6457</v>
      </c>
      <c r="D3225" t="s">
        <v>16673</v>
      </c>
      <c r="E3225" t="s">
        <v>16902</v>
      </c>
      <c r="F3225" t="s">
        <v>28669</v>
      </c>
      <c r="G3225" t="s">
        <v>28675</v>
      </c>
      <c r="H3225" t="s">
        <v>28686</v>
      </c>
      <c r="I3225" t="s">
        <v>28689</v>
      </c>
      <c r="J3225" t="s">
        <v>30960</v>
      </c>
      <c r="K3225" t="s">
        <v>37206</v>
      </c>
      <c r="M3225" t="s">
        <v>38843</v>
      </c>
      <c r="N3225" t="s">
        <v>41249</v>
      </c>
      <c r="O3225" t="s">
        <v>41250</v>
      </c>
      <c r="P3225">
        <v>0</v>
      </c>
      <c r="Q3225">
        <v>0</v>
      </c>
      <c r="R3225" t="s">
        <v>41252</v>
      </c>
      <c r="S3225" t="s">
        <v>41383</v>
      </c>
      <c r="T3225" t="s">
        <v>42683</v>
      </c>
      <c r="U3225" t="s">
        <v>45925</v>
      </c>
      <c r="W3225" t="s">
        <v>38843</v>
      </c>
      <c r="X3225" t="s">
        <v>41254</v>
      </c>
    </row>
    <row r="3226" spans="1:24">
      <c r="A3226">
        <f>HYPERLINK("https://www.philgeps.gov.ph/GEPSNONPILOT/Tender/SplashBidNoticeAbstractUI.aspx?menuIndex=3&amp;refID=7074296&amp;Result=3","7074296")</f>
        <v>0</v>
      </c>
      <c r="B3226" t="s">
        <v>566</v>
      </c>
      <c r="C3226" t="s">
        <v>6472</v>
      </c>
      <c r="D3226" t="s">
        <v>16620</v>
      </c>
      <c r="E3226" t="s">
        <v>19631</v>
      </c>
      <c r="F3226" t="s">
        <v>28671</v>
      </c>
      <c r="G3226" t="s">
        <v>28675</v>
      </c>
      <c r="H3226" t="s">
        <v>28686</v>
      </c>
      <c r="I3226" t="s">
        <v>28689</v>
      </c>
      <c r="J3226" t="s">
        <v>28881</v>
      </c>
      <c r="K3226" t="s">
        <v>37215</v>
      </c>
      <c r="M3226" t="s">
        <v>38062</v>
      </c>
      <c r="N3226" t="s">
        <v>41249</v>
      </c>
      <c r="O3226" t="s">
        <v>41250</v>
      </c>
      <c r="P3226">
        <v>0</v>
      </c>
      <c r="Q3226">
        <v>1</v>
      </c>
      <c r="R3226" t="s">
        <v>41252</v>
      </c>
      <c r="S3226" t="s">
        <v>41383</v>
      </c>
      <c r="T3226" t="s">
        <v>42927</v>
      </c>
      <c r="U3226" t="s">
        <v>45926</v>
      </c>
      <c r="V3226" t="s">
        <v>54626</v>
      </c>
      <c r="W3226" t="s">
        <v>38062</v>
      </c>
      <c r="X3226" t="s">
        <v>41254</v>
      </c>
    </row>
    <row r="3227" spans="1:24">
      <c r="A3227">
        <f>HYPERLINK("https://www.philgeps.gov.ph/GEPSNONPILOT/Tender/SplashBidNoticeAbstractUI.aspx?menuIndex=3&amp;refID=7074253&amp;Result=3","7074253")</f>
        <v>0</v>
      </c>
      <c r="B3227" t="s">
        <v>965</v>
      </c>
      <c r="C3227" t="s">
        <v>6473</v>
      </c>
      <c r="D3227" t="s">
        <v>16608</v>
      </c>
      <c r="E3227" t="s">
        <v>19632</v>
      </c>
      <c r="F3227" t="s">
        <v>28669</v>
      </c>
      <c r="G3227" t="s">
        <v>28675</v>
      </c>
      <c r="H3227" t="s">
        <v>9998</v>
      </c>
      <c r="I3227" t="s">
        <v>6128</v>
      </c>
      <c r="J3227" t="s">
        <v>30961</v>
      </c>
      <c r="K3227" t="s">
        <v>37205</v>
      </c>
      <c r="M3227" t="s">
        <v>38759</v>
      </c>
      <c r="N3227" t="s">
        <v>41249</v>
      </c>
      <c r="O3227" t="s">
        <v>41250</v>
      </c>
      <c r="P3227">
        <v>0</v>
      </c>
      <c r="Q3227">
        <v>1</v>
      </c>
      <c r="R3227" t="s">
        <v>41252</v>
      </c>
      <c r="S3227" t="s">
        <v>41383</v>
      </c>
      <c r="T3227" t="s">
        <v>42703</v>
      </c>
      <c r="U3227" t="s">
        <v>44022</v>
      </c>
      <c r="W3227" t="s">
        <v>38759</v>
      </c>
      <c r="X3227" t="s">
        <v>41254</v>
      </c>
    </row>
    <row r="3228" spans="1:24">
      <c r="A3228">
        <f>HYPERLINK("https://www.philgeps.gov.ph/GEPSNONPILOT/Tender/SplashBidNoticeAbstractUI.aspx?menuIndex=3&amp;refID=7074293&amp;Result=3","7074293")</f>
        <v>0</v>
      </c>
      <c r="B3228" t="s">
        <v>1306</v>
      </c>
      <c r="C3228" t="s">
        <v>6474</v>
      </c>
      <c r="D3228" t="s">
        <v>16680</v>
      </c>
      <c r="E3228" t="s">
        <v>19633</v>
      </c>
      <c r="F3228" t="s">
        <v>28669</v>
      </c>
      <c r="G3228" t="s">
        <v>28675</v>
      </c>
      <c r="H3228" t="s">
        <v>9998</v>
      </c>
      <c r="I3228" t="s">
        <v>28687</v>
      </c>
      <c r="J3228" t="s">
        <v>29655</v>
      </c>
      <c r="K3228" t="s">
        <v>37213</v>
      </c>
      <c r="M3228" t="s">
        <v>38858</v>
      </c>
      <c r="N3228" t="s">
        <v>41249</v>
      </c>
      <c r="O3228" t="s">
        <v>41250</v>
      </c>
      <c r="P3228">
        <v>0</v>
      </c>
      <c r="Q3228">
        <v>2</v>
      </c>
      <c r="R3228" t="s">
        <v>41252</v>
      </c>
      <c r="S3228" t="s">
        <v>41383</v>
      </c>
      <c r="T3228" t="s">
        <v>42688</v>
      </c>
      <c r="U3228" t="s">
        <v>45927</v>
      </c>
      <c r="V3228" t="s">
        <v>54627</v>
      </c>
      <c r="W3228" t="s">
        <v>38858</v>
      </c>
      <c r="X3228" t="s">
        <v>41254</v>
      </c>
    </row>
    <row r="3229" spans="1:24">
      <c r="A3229">
        <f>HYPERLINK("https://www.philgeps.gov.ph/GEPSNONPILOT/Tender/SplashBidNoticeAbstractUI.aspx?menuIndex=3&amp;refID=7074292&amp;Result=3","7074292")</f>
        <v>0</v>
      </c>
      <c r="B3229" t="s">
        <v>1307</v>
      </c>
      <c r="C3229" t="s">
        <v>6475</v>
      </c>
      <c r="D3229" t="s">
        <v>16693</v>
      </c>
      <c r="E3229" t="s">
        <v>19634</v>
      </c>
      <c r="F3229" t="s">
        <v>28669</v>
      </c>
      <c r="G3229" t="s">
        <v>28675</v>
      </c>
      <c r="H3229" t="s">
        <v>9998</v>
      </c>
      <c r="I3229" t="s">
        <v>28749</v>
      </c>
      <c r="J3229" t="s">
        <v>30962</v>
      </c>
      <c r="K3229" t="s">
        <v>37213</v>
      </c>
      <c r="M3229" t="s">
        <v>38859</v>
      </c>
      <c r="N3229" t="s">
        <v>41249</v>
      </c>
      <c r="O3229" t="s">
        <v>41250</v>
      </c>
      <c r="P3229">
        <v>0</v>
      </c>
      <c r="Q3229">
        <v>2</v>
      </c>
      <c r="R3229" t="s">
        <v>41252</v>
      </c>
      <c r="S3229" t="s">
        <v>41383</v>
      </c>
      <c r="T3229" t="s">
        <v>42684</v>
      </c>
      <c r="U3229" t="s">
        <v>45928</v>
      </c>
      <c r="W3229" t="s">
        <v>38859</v>
      </c>
      <c r="X3229" t="s">
        <v>41254</v>
      </c>
    </row>
    <row r="3230" spans="1:24">
      <c r="A3230">
        <f>HYPERLINK("https://www.philgeps.gov.ph/GEPSNONPILOT/Tender/SplashBidNoticeAbstractUI.aspx?menuIndex=3&amp;refID=7074289&amp;Result=3","7074289")</f>
        <v>0</v>
      </c>
      <c r="B3230" t="s">
        <v>491</v>
      </c>
      <c r="C3230" t="s">
        <v>6476</v>
      </c>
      <c r="D3230" t="s">
        <v>16654</v>
      </c>
      <c r="E3230" t="s">
        <v>19635</v>
      </c>
      <c r="F3230" t="s">
        <v>28669</v>
      </c>
      <c r="G3230" t="s">
        <v>28675</v>
      </c>
      <c r="H3230" t="s">
        <v>28686</v>
      </c>
      <c r="I3230" t="s">
        <v>28689</v>
      </c>
      <c r="J3230" t="s">
        <v>30963</v>
      </c>
      <c r="K3230" t="s">
        <v>37213</v>
      </c>
      <c r="M3230" t="s">
        <v>38536</v>
      </c>
      <c r="N3230" t="s">
        <v>41249</v>
      </c>
      <c r="O3230" t="s">
        <v>41250</v>
      </c>
      <c r="P3230">
        <v>0</v>
      </c>
      <c r="Q3230">
        <v>1</v>
      </c>
      <c r="R3230" t="s">
        <v>41252</v>
      </c>
      <c r="S3230" t="s">
        <v>41383</v>
      </c>
      <c r="T3230" t="s">
        <v>42696</v>
      </c>
      <c r="U3230" t="s">
        <v>45929</v>
      </c>
      <c r="V3230" t="s">
        <v>54551</v>
      </c>
      <c r="W3230" t="s">
        <v>38536</v>
      </c>
      <c r="X3230" t="s">
        <v>41254</v>
      </c>
    </row>
    <row r="3231" spans="1:24">
      <c r="A3231">
        <f>HYPERLINK("https://www.philgeps.gov.ph/GEPSNONPILOT/Tender/SplashBidNoticeAbstractUI.aspx?menuIndex=3&amp;refID=7074288&amp;Result=3","7074288")</f>
        <v>0</v>
      </c>
      <c r="B3231" t="s">
        <v>219</v>
      </c>
      <c r="C3231" t="s">
        <v>6477</v>
      </c>
      <c r="D3231" t="s">
        <v>16658</v>
      </c>
      <c r="E3231" t="s">
        <v>19636</v>
      </c>
      <c r="F3231" t="s">
        <v>28669</v>
      </c>
      <c r="G3231" t="s">
        <v>28677</v>
      </c>
      <c r="H3231" t="s">
        <v>9998</v>
      </c>
      <c r="I3231" t="s">
        <v>3679</v>
      </c>
      <c r="J3231" t="s">
        <v>30964</v>
      </c>
      <c r="K3231" t="s">
        <v>37205</v>
      </c>
      <c r="M3231" t="s">
        <v>37697</v>
      </c>
      <c r="N3231" t="s">
        <v>41249</v>
      </c>
      <c r="O3231" t="s">
        <v>41250</v>
      </c>
      <c r="P3231">
        <v>0</v>
      </c>
      <c r="Q3231">
        <v>0</v>
      </c>
      <c r="R3231" t="s">
        <v>41252</v>
      </c>
      <c r="S3231" t="s">
        <v>41383</v>
      </c>
      <c r="T3231" t="s">
        <v>42701</v>
      </c>
      <c r="U3231" t="s">
        <v>45930</v>
      </c>
      <c r="W3231" t="s">
        <v>37697</v>
      </c>
      <c r="X3231" t="s">
        <v>41254</v>
      </c>
    </row>
    <row r="3232" spans="1:24">
      <c r="A3232">
        <f>HYPERLINK("https://www.philgeps.gov.ph/GEPSNONPILOT/Tender/SplashBidNoticeAbstractUI.aspx?menuIndex=3&amp;refID=7074286&amp;Result=3","7074286")</f>
        <v>0</v>
      </c>
      <c r="B3232" t="s">
        <v>1278</v>
      </c>
      <c r="C3232" t="s">
        <v>6478</v>
      </c>
      <c r="D3232" t="s">
        <v>16684</v>
      </c>
      <c r="E3232" t="s">
        <v>19637</v>
      </c>
      <c r="F3232" t="s">
        <v>28669</v>
      </c>
      <c r="G3232" t="s">
        <v>28676</v>
      </c>
      <c r="H3232" t="s">
        <v>9998</v>
      </c>
      <c r="I3232" t="s">
        <v>6606</v>
      </c>
      <c r="J3232" t="s">
        <v>30965</v>
      </c>
      <c r="K3232" t="s">
        <v>37256</v>
      </c>
      <c r="M3232" t="s">
        <v>38828</v>
      </c>
      <c r="N3232" t="s">
        <v>41249</v>
      </c>
      <c r="O3232" t="s">
        <v>41250</v>
      </c>
      <c r="P3232">
        <v>0</v>
      </c>
      <c r="Q3232">
        <v>0</v>
      </c>
      <c r="R3232" t="s">
        <v>41252</v>
      </c>
      <c r="S3232" t="s">
        <v>41383</v>
      </c>
      <c r="T3232" t="s">
        <v>42757</v>
      </c>
      <c r="U3232" t="s">
        <v>45858</v>
      </c>
      <c r="W3232" t="s">
        <v>38828</v>
      </c>
      <c r="X3232" t="s">
        <v>41254</v>
      </c>
    </row>
    <row r="3233" spans="1:24">
      <c r="A3233">
        <f>HYPERLINK("https://www.philgeps.gov.ph/GEPSNONPILOT/Tender/SplashBidNoticeAbstractUI.aspx?menuIndex=3&amp;refID=7074297&amp;Result=3","7074297")</f>
        <v>0</v>
      </c>
      <c r="B3233" t="s">
        <v>546</v>
      </c>
      <c r="C3233" t="s">
        <v>6479</v>
      </c>
      <c r="D3233" t="s">
        <v>16629</v>
      </c>
      <c r="E3233" t="s">
        <v>19434</v>
      </c>
      <c r="F3233" t="s">
        <v>28669</v>
      </c>
      <c r="G3233" t="s">
        <v>28675</v>
      </c>
      <c r="H3233" t="s">
        <v>9998</v>
      </c>
      <c r="I3233" t="s">
        <v>7352</v>
      </c>
      <c r="J3233" t="s">
        <v>30966</v>
      </c>
      <c r="K3233" t="s">
        <v>37227</v>
      </c>
      <c r="M3233" t="s">
        <v>38039</v>
      </c>
      <c r="N3233" t="s">
        <v>41249</v>
      </c>
      <c r="O3233" t="s">
        <v>41250</v>
      </c>
      <c r="P3233">
        <v>0</v>
      </c>
      <c r="Q3233">
        <v>0</v>
      </c>
      <c r="R3233" t="s">
        <v>41252</v>
      </c>
      <c r="S3233" t="s">
        <v>41383</v>
      </c>
      <c r="T3233" t="s">
        <v>42761</v>
      </c>
      <c r="U3233" t="s">
        <v>45931</v>
      </c>
      <c r="W3233" t="s">
        <v>38039</v>
      </c>
      <c r="X3233" t="s">
        <v>41254</v>
      </c>
    </row>
    <row r="3234" spans="1:24">
      <c r="A3234">
        <f>HYPERLINK("https://www.philgeps.gov.ph/GEPSNONPILOT/Tender/SplashBidNoticeAbstractUI.aspx?menuIndex=3&amp;refID=7074284&amp;Result=3","7074284")</f>
        <v>0</v>
      </c>
      <c r="B3234" t="s">
        <v>965</v>
      </c>
      <c r="C3234" t="s">
        <v>6480</v>
      </c>
      <c r="D3234" t="s">
        <v>16608</v>
      </c>
      <c r="E3234" t="s">
        <v>19638</v>
      </c>
      <c r="F3234" t="s">
        <v>28669</v>
      </c>
      <c r="G3234" t="s">
        <v>28675</v>
      </c>
      <c r="H3234" t="s">
        <v>9998</v>
      </c>
      <c r="I3234" t="s">
        <v>6128</v>
      </c>
      <c r="J3234" t="s">
        <v>30853</v>
      </c>
      <c r="K3234" t="s">
        <v>37205</v>
      </c>
      <c r="M3234" t="s">
        <v>38759</v>
      </c>
      <c r="N3234" t="s">
        <v>41249</v>
      </c>
      <c r="O3234" t="s">
        <v>41250</v>
      </c>
      <c r="P3234">
        <v>0</v>
      </c>
      <c r="Q3234">
        <v>1</v>
      </c>
      <c r="R3234" t="s">
        <v>41252</v>
      </c>
      <c r="S3234" t="s">
        <v>41383</v>
      </c>
      <c r="T3234" t="s">
        <v>42703</v>
      </c>
      <c r="U3234" t="s">
        <v>44022</v>
      </c>
      <c r="W3234" t="s">
        <v>38759</v>
      </c>
      <c r="X3234" t="s">
        <v>41254</v>
      </c>
    </row>
    <row r="3235" spans="1:24">
      <c r="A3235">
        <f>HYPERLINK("https://www.philgeps.gov.ph/GEPSNONPILOT/Tender/SplashBidNoticeAbstractUI.aspx?menuIndex=3&amp;refID=7074283&amp;Result=3","7074283")</f>
        <v>0</v>
      </c>
      <c r="B3235" t="s">
        <v>1294</v>
      </c>
      <c r="C3235" t="s">
        <v>6481</v>
      </c>
      <c r="D3235" t="s">
        <v>16653</v>
      </c>
      <c r="E3235" t="s">
        <v>19639</v>
      </c>
      <c r="F3235" t="s">
        <v>28669</v>
      </c>
      <c r="G3235" t="s">
        <v>28677</v>
      </c>
      <c r="H3235" t="s">
        <v>9998</v>
      </c>
      <c r="I3235" t="s">
        <v>6128</v>
      </c>
      <c r="J3235" t="s">
        <v>28874</v>
      </c>
      <c r="K3235" t="s">
        <v>37240</v>
      </c>
      <c r="M3235" t="s">
        <v>38845</v>
      </c>
      <c r="N3235" t="s">
        <v>41249</v>
      </c>
      <c r="O3235" t="s">
        <v>41250</v>
      </c>
      <c r="P3235">
        <v>0</v>
      </c>
      <c r="Q3235">
        <v>1</v>
      </c>
      <c r="R3235" t="s">
        <v>41252</v>
      </c>
      <c r="S3235" t="s">
        <v>41383</v>
      </c>
      <c r="T3235" t="s">
        <v>42892</v>
      </c>
      <c r="U3235" t="s">
        <v>45932</v>
      </c>
      <c r="W3235" t="s">
        <v>55949</v>
      </c>
      <c r="X3235" t="s">
        <v>41254</v>
      </c>
    </row>
    <row r="3236" spans="1:24">
      <c r="A3236">
        <f>HYPERLINK("https://www.philgeps.gov.ph/GEPSNONPILOT/Tender/SplashBidNoticeAbstractUI.aspx?menuIndex=3&amp;refID=7074294&amp;Result=3","7074294")</f>
        <v>0</v>
      </c>
      <c r="B3236" t="s">
        <v>1244</v>
      </c>
      <c r="C3236" t="s">
        <v>6482</v>
      </c>
      <c r="D3236" t="s">
        <v>16686</v>
      </c>
      <c r="E3236" t="s">
        <v>19640</v>
      </c>
      <c r="F3236" t="s">
        <v>28669</v>
      </c>
      <c r="G3236" t="s">
        <v>28676</v>
      </c>
      <c r="H3236" t="s">
        <v>9998</v>
      </c>
      <c r="I3236" t="s">
        <v>6128</v>
      </c>
      <c r="J3236" t="s">
        <v>30967</v>
      </c>
      <c r="K3236" t="s">
        <v>37205</v>
      </c>
      <c r="M3236" t="s">
        <v>38791</v>
      </c>
      <c r="N3236" t="s">
        <v>41249</v>
      </c>
      <c r="O3236" t="s">
        <v>41250</v>
      </c>
      <c r="P3236">
        <v>0</v>
      </c>
      <c r="Q3236">
        <v>2</v>
      </c>
      <c r="R3236" t="s">
        <v>41252</v>
      </c>
      <c r="S3236" t="s">
        <v>41383</v>
      </c>
      <c r="T3236" t="s">
        <v>42711</v>
      </c>
      <c r="U3236" t="s">
        <v>45933</v>
      </c>
      <c r="W3236" t="s">
        <v>38791</v>
      </c>
      <c r="X3236" t="s">
        <v>41254</v>
      </c>
    </row>
    <row r="3237" spans="1:24">
      <c r="A3237">
        <f>HYPERLINK("https://www.philgeps.gov.ph/GEPSNONPILOT/Tender/SplashBidNoticeAbstractUI.aspx?menuIndex=3&amp;refID=7074282&amp;Result=3","7074282")</f>
        <v>0</v>
      </c>
      <c r="B3237" t="s">
        <v>1308</v>
      </c>
      <c r="C3237" t="s">
        <v>6483</v>
      </c>
      <c r="D3237" t="s">
        <v>16654</v>
      </c>
      <c r="E3237" t="s">
        <v>19641</v>
      </c>
      <c r="F3237" t="s">
        <v>28669</v>
      </c>
      <c r="G3237" t="s">
        <v>28676</v>
      </c>
      <c r="H3237" t="s">
        <v>28686</v>
      </c>
      <c r="I3237" t="s">
        <v>28689</v>
      </c>
      <c r="J3237" t="s">
        <v>30968</v>
      </c>
      <c r="K3237" t="s">
        <v>37209</v>
      </c>
      <c r="M3237" t="s">
        <v>38860</v>
      </c>
      <c r="N3237" t="s">
        <v>41249</v>
      </c>
      <c r="O3237" t="s">
        <v>41250</v>
      </c>
      <c r="P3237">
        <v>0</v>
      </c>
      <c r="Q3237">
        <v>0</v>
      </c>
      <c r="R3237" t="s">
        <v>41252</v>
      </c>
      <c r="S3237" t="s">
        <v>41383</v>
      </c>
      <c r="T3237" t="s">
        <v>42701</v>
      </c>
      <c r="U3237" t="s">
        <v>45934</v>
      </c>
      <c r="W3237" t="s">
        <v>38860</v>
      </c>
      <c r="X3237" t="s">
        <v>41254</v>
      </c>
    </row>
    <row r="3238" spans="1:24">
      <c r="A3238">
        <f>HYPERLINK("https://www.philgeps.gov.ph/GEPSNONPILOT/Tender/SplashBidNoticeAbstractUI.aspx?menuIndex=3&amp;refID=7074280&amp;Result=3","7074280")</f>
        <v>0</v>
      </c>
      <c r="B3238" t="s">
        <v>614</v>
      </c>
      <c r="C3238" t="s">
        <v>6484</v>
      </c>
      <c r="D3238" t="s">
        <v>16648</v>
      </c>
      <c r="E3238" t="s">
        <v>19642</v>
      </c>
      <c r="F3238" t="s">
        <v>28669</v>
      </c>
      <c r="G3238" t="s">
        <v>28677</v>
      </c>
      <c r="H3238" t="s">
        <v>9998</v>
      </c>
      <c r="I3238" t="s">
        <v>28704</v>
      </c>
      <c r="J3238" t="s">
        <v>30969</v>
      </c>
      <c r="K3238" t="s">
        <v>37204</v>
      </c>
      <c r="M3238" t="s">
        <v>38114</v>
      </c>
      <c r="N3238" t="s">
        <v>41249</v>
      </c>
      <c r="O3238" t="s">
        <v>41250</v>
      </c>
      <c r="P3238">
        <v>0</v>
      </c>
      <c r="Q3238">
        <v>0</v>
      </c>
      <c r="R3238" t="s">
        <v>41252</v>
      </c>
      <c r="S3238" t="s">
        <v>41383</v>
      </c>
      <c r="T3238" t="s">
        <v>42679</v>
      </c>
      <c r="U3238" t="s">
        <v>45935</v>
      </c>
      <c r="W3238" t="s">
        <v>38114</v>
      </c>
      <c r="X3238" t="s">
        <v>41254</v>
      </c>
    </row>
    <row r="3239" spans="1:24">
      <c r="A3239">
        <f>HYPERLINK("https://www.philgeps.gov.ph/GEPSNONPILOT/Tender/SplashBidNoticeAbstractUI.aspx?menuIndex=3&amp;refID=7074290&amp;Result=3","7074290")</f>
        <v>0</v>
      </c>
      <c r="B3239" t="s">
        <v>1309</v>
      </c>
      <c r="C3239" t="s">
        <v>6485</v>
      </c>
      <c r="D3239" t="s">
        <v>16616</v>
      </c>
      <c r="E3239" t="s">
        <v>19643</v>
      </c>
      <c r="F3239" t="s">
        <v>28669</v>
      </c>
      <c r="G3239" t="s">
        <v>28677</v>
      </c>
      <c r="H3239" t="s">
        <v>9998</v>
      </c>
      <c r="I3239" t="s">
        <v>28728</v>
      </c>
      <c r="J3239" t="s">
        <v>30970</v>
      </c>
      <c r="K3239" t="s">
        <v>37208</v>
      </c>
      <c r="M3239" t="s">
        <v>38861</v>
      </c>
      <c r="N3239" t="s">
        <v>41249</v>
      </c>
      <c r="O3239" t="s">
        <v>41250</v>
      </c>
      <c r="P3239">
        <v>0</v>
      </c>
      <c r="Q3239">
        <v>2</v>
      </c>
      <c r="R3239" t="s">
        <v>41252</v>
      </c>
      <c r="S3239" t="s">
        <v>41383</v>
      </c>
      <c r="T3239" t="s">
        <v>42883</v>
      </c>
      <c r="U3239" t="s">
        <v>45936</v>
      </c>
      <c r="W3239" t="s">
        <v>38861</v>
      </c>
      <c r="X3239" t="s">
        <v>41254</v>
      </c>
    </row>
    <row r="3240" spans="1:24">
      <c r="A3240">
        <f>HYPERLINK("https://www.philgeps.gov.ph/GEPSNONPILOT/Tender/SplashBidNoticeAbstractUI.aspx?menuIndex=3&amp;refID=7074324&amp;Result=3","7074324")</f>
        <v>0</v>
      </c>
      <c r="B3240" t="s">
        <v>1176</v>
      </c>
      <c r="C3240" t="s">
        <v>6486</v>
      </c>
      <c r="D3240" t="s">
        <v>16616</v>
      </c>
      <c r="E3240" t="s">
        <v>19644</v>
      </c>
      <c r="F3240" t="s">
        <v>28669</v>
      </c>
      <c r="G3240" t="s">
        <v>28676</v>
      </c>
      <c r="H3240" t="s">
        <v>9998</v>
      </c>
      <c r="I3240" t="s">
        <v>7352</v>
      </c>
      <c r="J3240" t="s">
        <v>30971</v>
      </c>
      <c r="K3240" t="s">
        <v>37208</v>
      </c>
      <c r="L3240" t="s">
        <v>1176</v>
      </c>
      <c r="M3240" t="s">
        <v>38715</v>
      </c>
      <c r="N3240" t="s">
        <v>41249</v>
      </c>
      <c r="O3240" t="s">
        <v>41250</v>
      </c>
      <c r="P3240">
        <v>0</v>
      </c>
      <c r="Q3240">
        <v>0</v>
      </c>
      <c r="R3240" t="s">
        <v>41252</v>
      </c>
      <c r="S3240" t="s">
        <v>41383</v>
      </c>
      <c r="T3240" t="s">
        <v>42736</v>
      </c>
      <c r="U3240" t="s">
        <v>45937</v>
      </c>
      <c r="V3240" t="s">
        <v>54628</v>
      </c>
      <c r="W3240" t="s">
        <v>38715</v>
      </c>
      <c r="X3240" t="s">
        <v>41254</v>
      </c>
    </row>
    <row r="3241" spans="1:24">
      <c r="A3241">
        <f>HYPERLINK("https://www.philgeps.gov.ph/GEPSNONPILOT/Tender/SplashBidNoticeAbstractUI.aspx?menuIndex=3&amp;refID=7074322&amp;Result=3","7074322")</f>
        <v>0</v>
      </c>
      <c r="B3241" t="s">
        <v>1244</v>
      </c>
      <c r="C3241" t="s">
        <v>6487</v>
      </c>
      <c r="D3241" t="s">
        <v>16686</v>
      </c>
      <c r="E3241" t="s">
        <v>19645</v>
      </c>
      <c r="F3241" t="s">
        <v>28669</v>
      </c>
      <c r="G3241" t="s">
        <v>28676</v>
      </c>
      <c r="H3241" t="s">
        <v>9998</v>
      </c>
      <c r="I3241" t="s">
        <v>5286</v>
      </c>
      <c r="J3241" t="s">
        <v>30972</v>
      </c>
      <c r="K3241" t="s">
        <v>37205</v>
      </c>
      <c r="M3241" t="s">
        <v>38791</v>
      </c>
      <c r="N3241" t="s">
        <v>41249</v>
      </c>
      <c r="O3241" t="s">
        <v>41250</v>
      </c>
      <c r="P3241">
        <v>0</v>
      </c>
      <c r="Q3241">
        <v>1</v>
      </c>
      <c r="R3241" t="s">
        <v>41252</v>
      </c>
      <c r="S3241" t="s">
        <v>41383</v>
      </c>
      <c r="T3241" t="s">
        <v>42711</v>
      </c>
      <c r="U3241" t="s">
        <v>45938</v>
      </c>
      <c r="W3241" t="s">
        <v>38791</v>
      </c>
      <c r="X3241" t="s">
        <v>41254</v>
      </c>
    </row>
    <row r="3242" spans="1:24">
      <c r="A3242">
        <f>HYPERLINK("https://www.philgeps.gov.ph/GEPSNONPILOT/Tender/SplashBidNoticeAbstractUI.aspx?menuIndex=3&amp;refID=7074321&amp;Result=3","7074321")</f>
        <v>0</v>
      </c>
      <c r="B3242" t="s">
        <v>1310</v>
      </c>
      <c r="C3242" t="s">
        <v>6488</v>
      </c>
      <c r="E3242" t="s">
        <v>19646</v>
      </c>
      <c r="F3242" t="s">
        <v>28669</v>
      </c>
      <c r="G3242" t="s">
        <v>28675</v>
      </c>
      <c r="H3242" t="s">
        <v>9998</v>
      </c>
      <c r="I3242" t="s">
        <v>28704</v>
      </c>
      <c r="J3242" t="s">
        <v>28923</v>
      </c>
      <c r="K3242" t="s">
        <v>37227</v>
      </c>
      <c r="L3242" t="s">
        <v>1310</v>
      </c>
      <c r="M3242" t="s">
        <v>38862</v>
      </c>
      <c r="N3242" t="s">
        <v>41249</v>
      </c>
      <c r="O3242" t="s">
        <v>41250</v>
      </c>
      <c r="P3242">
        <v>0</v>
      </c>
      <c r="Q3242">
        <v>0</v>
      </c>
      <c r="R3242" t="s">
        <v>41252</v>
      </c>
      <c r="S3242" t="s">
        <v>41383</v>
      </c>
      <c r="T3242" t="s">
        <v>42760</v>
      </c>
      <c r="U3242" t="s">
        <v>45939</v>
      </c>
      <c r="V3242" t="s">
        <v>54629</v>
      </c>
      <c r="W3242" t="s">
        <v>38862</v>
      </c>
      <c r="X3242" t="s">
        <v>41254</v>
      </c>
    </row>
    <row r="3243" spans="1:24">
      <c r="A3243">
        <f>HYPERLINK("https://www.philgeps.gov.ph/GEPSNONPILOT/Tender/SplashBidNoticeAbstractUI.aspx?menuIndex=3&amp;refID=7074266&amp;Result=3","7074266")</f>
        <v>0</v>
      </c>
      <c r="B3243" t="s">
        <v>1294</v>
      </c>
      <c r="C3243" t="s">
        <v>6489</v>
      </c>
      <c r="D3243" t="s">
        <v>16653</v>
      </c>
      <c r="E3243" t="s">
        <v>19647</v>
      </c>
      <c r="F3243" t="s">
        <v>28669</v>
      </c>
      <c r="G3243" t="s">
        <v>28676</v>
      </c>
      <c r="H3243" t="s">
        <v>9998</v>
      </c>
      <c r="I3243" t="s">
        <v>28722</v>
      </c>
      <c r="J3243" t="s">
        <v>28878</v>
      </c>
      <c r="K3243" t="s">
        <v>37240</v>
      </c>
      <c r="M3243" t="s">
        <v>38845</v>
      </c>
      <c r="N3243" t="s">
        <v>41249</v>
      </c>
      <c r="O3243" t="s">
        <v>41250</v>
      </c>
      <c r="P3243">
        <v>0</v>
      </c>
      <c r="Q3243">
        <v>0</v>
      </c>
      <c r="R3243" t="s">
        <v>41252</v>
      </c>
      <c r="S3243" t="s">
        <v>41383</v>
      </c>
      <c r="T3243" t="s">
        <v>42758</v>
      </c>
      <c r="U3243" t="s">
        <v>45940</v>
      </c>
      <c r="W3243" t="s">
        <v>55949</v>
      </c>
      <c r="X3243" t="s">
        <v>41254</v>
      </c>
    </row>
    <row r="3244" spans="1:24">
      <c r="A3244">
        <f>HYPERLINK("https://www.philgeps.gov.ph/GEPSNONPILOT/Tender/SplashBidNoticeAbstractUI.aspx?menuIndex=3&amp;refID=7074319&amp;Result=3","7074319")</f>
        <v>0</v>
      </c>
      <c r="B3244" t="s">
        <v>201</v>
      </c>
      <c r="C3244" t="s">
        <v>6490</v>
      </c>
      <c r="D3244" t="s">
        <v>16635</v>
      </c>
      <c r="E3244" t="s">
        <v>19648</v>
      </c>
      <c r="F3244" t="s">
        <v>28669</v>
      </c>
      <c r="G3244" t="s">
        <v>28676</v>
      </c>
      <c r="H3244" t="s">
        <v>9998</v>
      </c>
      <c r="I3244" t="s">
        <v>7352</v>
      </c>
      <c r="J3244" t="s">
        <v>30973</v>
      </c>
      <c r="K3244" t="s">
        <v>37209</v>
      </c>
      <c r="M3244" t="s">
        <v>37679</v>
      </c>
      <c r="N3244" t="s">
        <v>41249</v>
      </c>
      <c r="O3244" t="s">
        <v>41250</v>
      </c>
      <c r="P3244">
        <v>0</v>
      </c>
      <c r="Q3244">
        <v>0</v>
      </c>
      <c r="R3244" t="s">
        <v>41252</v>
      </c>
      <c r="S3244" t="s">
        <v>41383</v>
      </c>
      <c r="T3244" t="s">
        <v>42729</v>
      </c>
      <c r="U3244" t="s">
        <v>43499</v>
      </c>
      <c r="W3244" t="s">
        <v>37679</v>
      </c>
      <c r="X3244" t="s">
        <v>41254</v>
      </c>
    </row>
    <row r="3245" spans="1:24">
      <c r="A3245">
        <f>HYPERLINK("https://www.philgeps.gov.ph/GEPSNONPILOT/Tender/SplashBidNoticeAbstractUI.aspx?menuIndex=3&amp;refID=7074318&amp;Result=3","7074318")</f>
        <v>0</v>
      </c>
      <c r="B3245" t="s">
        <v>1311</v>
      </c>
      <c r="C3245" t="s">
        <v>6491</v>
      </c>
      <c r="D3245" t="s">
        <v>16627</v>
      </c>
      <c r="E3245" t="s">
        <v>19649</v>
      </c>
      <c r="F3245" t="s">
        <v>28669</v>
      </c>
      <c r="G3245" t="s">
        <v>28675</v>
      </c>
      <c r="H3245" t="s">
        <v>28684</v>
      </c>
      <c r="I3245" t="s">
        <v>28687</v>
      </c>
      <c r="J3245" t="s">
        <v>29332</v>
      </c>
      <c r="K3245" t="s">
        <v>37206</v>
      </c>
      <c r="M3245" t="s">
        <v>38863</v>
      </c>
      <c r="N3245" t="s">
        <v>41249</v>
      </c>
      <c r="O3245" t="s">
        <v>41250</v>
      </c>
      <c r="P3245">
        <v>0</v>
      </c>
      <c r="Q3245">
        <v>3</v>
      </c>
      <c r="R3245" t="s">
        <v>41252</v>
      </c>
      <c r="S3245" t="s">
        <v>41383</v>
      </c>
      <c r="T3245" t="s">
        <v>42796</v>
      </c>
      <c r="U3245" t="s">
        <v>45941</v>
      </c>
      <c r="W3245" t="s">
        <v>38863</v>
      </c>
      <c r="X3245" t="s">
        <v>41254</v>
      </c>
    </row>
    <row r="3246" spans="1:24">
      <c r="A3246">
        <f>HYPERLINK("https://www.philgeps.gov.ph/GEPSNONPILOT/Tender/SplashBidNoticeAbstractUI.aspx?menuIndex=3&amp;refID=7074317&amp;Result=3","7074317")</f>
        <v>0</v>
      </c>
      <c r="B3246" t="s">
        <v>546</v>
      </c>
      <c r="C3246" t="s">
        <v>6492</v>
      </c>
      <c r="D3246" t="s">
        <v>16629</v>
      </c>
      <c r="E3246" t="s">
        <v>19650</v>
      </c>
      <c r="F3246" t="s">
        <v>28669</v>
      </c>
      <c r="G3246" t="s">
        <v>28675</v>
      </c>
      <c r="H3246" t="s">
        <v>9998</v>
      </c>
      <c r="I3246" t="s">
        <v>7352</v>
      </c>
      <c r="J3246" t="s">
        <v>30974</v>
      </c>
      <c r="K3246" t="s">
        <v>37227</v>
      </c>
      <c r="M3246" t="s">
        <v>38039</v>
      </c>
      <c r="N3246" t="s">
        <v>41249</v>
      </c>
      <c r="O3246" t="s">
        <v>41250</v>
      </c>
      <c r="P3246">
        <v>0</v>
      </c>
      <c r="Q3246">
        <v>0</v>
      </c>
      <c r="R3246" t="s">
        <v>41252</v>
      </c>
      <c r="S3246" t="s">
        <v>41383</v>
      </c>
      <c r="T3246" t="s">
        <v>42761</v>
      </c>
      <c r="U3246" t="s">
        <v>45942</v>
      </c>
      <c r="W3246" t="s">
        <v>38039</v>
      </c>
      <c r="X3246" t="s">
        <v>41254</v>
      </c>
    </row>
    <row r="3247" spans="1:24">
      <c r="A3247">
        <f>HYPERLINK("https://www.philgeps.gov.ph/GEPSNONPILOT/Tender/SplashBidNoticeAbstractUI.aspx?menuIndex=3&amp;refID=7074269&amp;Result=3","7074269")</f>
        <v>0</v>
      </c>
      <c r="B3247" t="s">
        <v>1312</v>
      </c>
      <c r="C3247" t="s">
        <v>6493</v>
      </c>
      <c r="E3247" t="s">
        <v>19651</v>
      </c>
      <c r="F3247" t="s">
        <v>28669</v>
      </c>
      <c r="G3247" t="s">
        <v>28679</v>
      </c>
      <c r="H3247" t="s">
        <v>28685</v>
      </c>
      <c r="I3247" t="s">
        <v>28685</v>
      </c>
      <c r="J3247" t="s">
        <v>30975</v>
      </c>
      <c r="K3247" t="s">
        <v>37209</v>
      </c>
      <c r="M3247" t="s">
        <v>38864</v>
      </c>
      <c r="N3247" t="s">
        <v>41249</v>
      </c>
      <c r="O3247" t="s">
        <v>41250</v>
      </c>
      <c r="P3247">
        <v>0</v>
      </c>
      <c r="Q3247">
        <v>4</v>
      </c>
      <c r="R3247" t="s">
        <v>41252</v>
      </c>
      <c r="S3247" t="s">
        <v>41383</v>
      </c>
      <c r="T3247" t="s">
        <v>42928</v>
      </c>
      <c r="U3247" t="s">
        <v>43697</v>
      </c>
      <c r="W3247" t="s">
        <v>38864</v>
      </c>
      <c r="X3247" t="s">
        <v>41254</v>
      </c>
    </row>
    <row r="3248" spans="1:24">
      <c r="A3248">
        <f>HYPERLINK("https://www.philgeps.gov.ph/GEPSNONPILOT/Tender/SplashBidNoticeAbstractUI.aspx?menuIndex=3&amp;refID=7074315&amp;Result=3","7074315")</f>
        <v>0</v>
      </c>
      <c r="B3248" t="s">
        <v>1309</v>
      </c>
      <c r="C3248" t="s">
        <v>6494</v>
      </c>
      <c r="D3248" t="s">
        <v>16616</v>
      </c>
      <c r="E3248" t="s">
        <v>19652</v>
      </c>
      <c r="F3248" t="s">
        <v>28669</v>
      </c>
      <c r="G3248" t="s">
        <v>28677</v>
      </c>
      <c r="H3248" t="s">
        <v>9998</v>
      </c>
      <c r="I3248" t="s">
        <v>28749</v>
      </c>
      <c r="J3248" t="s">
        <v>29404</v>
      </c>
      <c r="K3248" t="s">
        <v>37208</v>
      </c>
      <c r="M3248" t="s">
        <v>38861</v>
      </c>
      <c r="N3248" t="s">
        <v>41249</v>
      </c>
      <c r="O3248" t="s">
        <v>41250</v>
      </c>
      <c r="P3248">
        <v>0</v>
      </c>
      <c r="Q3248">
        <v>0</v>
      </c>
      <c r="R3248" t="s">
        <v>41252</v>
      </c>
      <c r="S3248" t="s">
        <v>41383</v>
      </c>
      <c r="T3248" t="s">
        <v>42883</v>
      </c>
      <c r="U3248" t="s">
        <v>45943</v>
      </c>
      <c r="W3248" t="s">
        <v>38861</v>
      </c>
      <c r="X3248" t="s">
        <v>41254</v>
      </c>
    </row>
    <row r="3249" spans="1:24">
      <c r="A3249">
        <f>HYPERLINK("https://www.philgeps.gov.ph/GEPSNONPILOT/Tender/SplashBidNoticeAbstractUI.aspx?menuIndex=3&amp;refID=7074300&amp;Result=3","7074300")</f>
        <v>0</v>
      </c>
      <c r="B3249" t="s">
        <v>1308</v>
      </c>
      <c r="C3249" t="s">
        <v>6495</v>
      </c>
      <c r="D3249" t="s">
        <v>16654</v>
      </c>
      <c r="E3249" t="s">
        <v>19653</v>
      </c>
      <c r="F3249" t="s">
        <v>28669</v>
      </c>
      <c r="G3249" t="s">
        <v>28676</v>
      </c>
      <c r="H3249" t="s">
        <v>28686</v>
      </c>
      <c r="I3249" t="s">
        <v>28689</v>
      </c>
      <c r="J3249" t="s">
        <v>30976</v>
      </c>
      <c r="K3249" t="s">
        <v>37209</v>
      </c>
      <c r="M3249" t="s">
        <v>38860</v>
      </c>
      <c r="N3249" t="s">
        <v>41249</v>
      </c>
      <c r="O3249" t="s">
        <v>41250</v>
      </c>
      <c r="P3249">
        <v>0</v>
      </c>
      <c r="Q3249">
        <v>0</v>
      </c>
      <c r="R3249" t="s">
        <v>41252</v>
      </c>
      <c r="S3249" t="s">
        <v>41383</v>
      </c>
      <c r="T3249" t="s">
        <v>42701</v>
      </c>
      <c r="U3249" t="s">
        <v>45944</v>
      </c>
      <c r="W3249" t="s">
        <v>38860</v>
      </c>
      <c r="X3249" t="s">
        <v>41254</v>
      </c>
    </row>
    <row r="3250" spans="1:24">
      <c r="A3250">
        <f>HYPERLINK("https://www.philgeps.gov.ph/GEPSNONPILOT/Tender/SplashBidNoticeAbstractUI.aspx?menuIndex=3&amp;refID=7074314&amp;Result=3","7074314")</f>
        <v>0</v>
      </c>
      <c r="B3250" t="s">
        <v>614</v>
      </c>
      <c r="C3250" t="s">
        <v>6496</v>
      </c>
      <c r="D3250" t="s">
        <v>16648</v>
      </c>
      <c r="E3250" t="s">
        <v>19654</v>
      </c>
      <c r="F3250" t="s">
        <v>28669</v>
      </c>
      <c r="G3250" t="s">
        <v>28677</v>
      </c>
      <c r="H3250" t="s">
        <v>9998</v>
      </c>
      <c r="I3250" t="s">
        <v>3718</v>
      </c>
      <c r="J3250" t="s">
        <v>29790</v>
      </c>
      <c r="K3250" t="s">
        <v>37204</v>
      </c>
      <c r="M3250" t="s">
        <v>38114</v>
      </c>
      <c r="N3250" t="s">
        <v>41249</v>
      </c>
      <c r="O3250" t="s">
        <v>41250</v>
      </c>
      <c r="P3250">
        <v>0</v>
      </c>
      <c r="Q3250">
        <v>0</v>
      </c>
      <c r="R3250" t="s">
        <v>41252</v>
      </c>
      <c r="S3250" t="s">
        <v>41383</v>
      </c>
      <c r="T3250" t="s">
        <v>42679</v>
      </c>
      <c r="U3250" t="s">
        <v>45945</v>
      </c>
      <c r="W3250" t="s">
        <v>38114</v>
      </c>
      <c r="X3250" t="s">
        <v>41254</v>
      </c>
    </row>
    <row r="3251" spans="1:24">
      <c r="A3251">
        <f>HYPERLINK("https://www.philgeps.gov.ph/GEPSNONPILOT/Tender/SplashBidNoticeAbstractUI.aspx?menuIndex=3&amp;refID=7074320&amp;Result=3","7074320")</f>
        <v>0</v>
      </c>
      <c r="B3251" t="s">
        <v>1278</v>
      </c>
      <c r="C3251" t="s">
        <v>6497</v>
      </c>
      <c r="D3251" t="s">
        <v>16684</v>
      </c>
      <c r="E3251" t="s">
        <v>19655</v>
      </c>
      <c r="F3251" t="s">
        <v>28669</v>
      </c>
      <c r="G3251" t="s">
        <v>28676</v>
      </c>
      <c r="H3251" t="s">
        <v>9998</v>
      </c>
      <c r="I3251" t="s">
        <v>6606</v>
      </c>
      <c r="J3251" t="s">
        <v>30977</v>
      </c>
      <c r="K3251" t="s">
        <v>37256</v>
      </c>
      <c r="M3251" t="s">
        <v>38828</v>
      </c>
      <c r="N3251" t="s">
        <v>41249</v>
      </c>
      <c r="O3251" t="s">
        <v>41250</v>
      </c>
      <c r="P3251">
        <v>0</v>
      </c>
      <c r="Q3251">
        <v>1</v>
      </c>
      <c r="R3251" t="s">
        <v>41252</v>
      </c>
      <c r="S3251" t="s">
        <v>41383</v>
      </c>
      <c r="T3251" t="s">
        <v>42757</v>
      </c>
      <c r="U3251" t="s">
        <v>45858</v>
      </c>
      <c r="W3251" t="s">
        <v>38828</v>
      </c>
      <c r="X3251" t="s">
        <v>41254</v>
      </c>
    </row>
    <row r="3252" spans="1:24">
      <c r="A3252">
        <f>HYPERLINK("https://www.philgeps.gov.ph/GEPSNONPILOT/Tender/SplashBidNoticeAbstractUI.aspx?menuIndex=3&amp;refID=7074310&amp;Result=3","7074310")</f>
        <v>0</v>
      </c>
      <c r="B3252" t="s">
        <v>807</v>
      </c>
      <c r="C3252" t="s">
        <v>6498</v>
      </c>
      <c r="D3252" t="s">
        <v>16666</v>
      </c>
      <c r="E3252" t="s">
        <v>19656</v>
      </c>
      <c r="F3252" t="s">
        <v>28669</v>
      </c>
      <c r="G3252" t="s">
        <v>28676</v>
      </c>
      <c r="H3252" t="s">
        <v>9998</v>
      </c>
      <c r="I3252" t="s">
        <v>28763</v>
      </c>
      <c r="J3252" t="s">
        <v>29083</v>
      </c>
      <c r="K3252" t="s">
        <v>37209</v>
      </c>
      <c r="M3252" t="s">
        <v>38322</v>
      </c>
      <c r="N3252" t="s">
        <v>41249</v>
      </c>
      <c r="O3252" t="s">
        <v>41250</v>
      </c>
      <c r="Q3252">
        <v>1</v>
      </c>
      <c r="R3252" t="s">
        <v>41252</v>
      </c>
      <c r="S3252" t="s">
        <v>41401</v>
      </c>
      <c r="T3252" t="s">
        <v>42729</v>
      </c>
      <c r="U3252" t="s">
        <v>45946</v>
      </c>
      <c r="V3252" t="s">
        <v>54630</v>
      </c>
      <c r="W3252" t="s">
        <v>38322</v>
      </c>
      <c r="X3252" t="s">
        <v>41254</v>
      </c>
    </row>
    <row r="3253" spans="1:24">
      <c r="A3253">
        <f>HYPERLINK("https://www.philgeps.gov.ph/GEPSNONPILOT/Tender/SplashBidNoticeAbstractUI.aspx?menuIndex=3&amp;refID=7074309&amp;Result=3","7074309")</f>
        <v>0</v>
      </c>
      <c r="B3253" t="s">
        <v>1313</v>
      </c>
      <c r="C3253" t="s">
        <v>6499</v>
      </c>
      <c r="D3253" t="s">
        <v>16621</v>
      </c>
      <c r="E3253" t="s">
        <v>19657</v>
      </c>
      <c r="F3253" t="s">
        <v>28669</v>
      </c>
      <c r="G3253" t="s">
        <v>28676</v>
      </c>
      <c r="H3253" t="s">
        <v>9998</v>
      </c>
      <c r="I3253" t="s">
        <v>5286</v>
      </c>
      <c r="J3253" t="s">
        <v>30978</v>
      </c>
      <c r="K3253" t="s">
        <v>37205</v>
      </c>
      <c r="M3253" t="s">
        <v>38865</v>
      </c>
      <c r="N3253" t="s">
        <v>41249</v>
      </c>
      <c r="O3253" t="s">
        <v>41250</v>
      </c>
      <c r="P3253">
        <v>0</v>
      </c>
      <c r="Q3253">
        <v>0</v>
      </c>
      <c r="R3253" t="s">
        <v>41252</v>
      </c>
      <c r="S3253" t="s">
        <v>41383</v>
      </c>
      <c r="T3253" t="s">
        <v>42736</v>
      </c>
      <c r="U3253" t="s">
        <v>45947</v>
      </c>
      <c r="W3253" t="s">
        <v>38865</v>
      </c>
      <c r="X3253" t="s">
        <v>41254</v>
      </c>
    </row>
    <row r="3254" spans="1:24">
      <c r="A3254">
        <f>HYPERLINK("https://www.philgeps.gov.ph/GEPSNONPILOT/Tender/SplashBidNoticeAbstractUI.aspx?menuIndex=3&amp;refID=7074307&amp;Result=3","7074307")</f>
        <v>0</v>
      </c>
      <c r="B3254" t="s">
        <v>1008</v>
      </c>
      <c r="C3254" t="s">
        <v>6500</v>
      </c>
      <c r="D3254" t="s">
        <v>16665</v>
      </c>
      <c r="E3254" t="s">
        <v>19658</v>
      </c>
      <c r="F3254" t="s">
        <v>28669</v>
      </c>
      <c r="G3254" t="s">
        <v>28675</v>
      </c>
      <c r="H3254" t="s">
        <v>9998</v>
      </c>
      <c r="I3254" t="s">
        <v>3718</v>
      </c>
      <c r="J3254" t="s">
        <v>29191</v>
      </c>
      <c r="K3254" t="s">
        <v>37209</v>
      </c>
      <c r="M3254" t="s">
        <v>38538</v>
      </c>
      <c r="N3254" t="s">
        <v>41249</v>
      </c>
      <c r="O3254" t="s">
        <v>41250</v>
      </c>
      <c r="P3254">
        <v>0</v>
      </c>
      <c r="Q3254">
        <v>2</v>
      </c>
      <c r="R3254" t="s">
        <v>41252</v>
      </c>
      <c r="S3254" t="s">
        <v>41383</v>
      </c>
      <c r="T3254" t="s">
        <v>42686</v>
      </c>
      <c r="U3254" t="s">
        <v>45948</v>
      </c>
      <c r="W3254" t="s">
        <v>38538</v>
      </c>
      <c r="X3254" t="s">
        <v>41254</v>
      </c>
    </row>
    <row r="3255" spans="1:24">
      <c r="A3255">
        <f>HYPERLINK("https://www.philgeps.gov.ph/GEPSNONPILOT/Tender/SplashBidNoticeAbstractUI.aspx?menuIndex=3&amp;refID=7074306&amp;Result=3","7074306")</f>
        <v>0</v>
      </c>
      <c r="B3255" t="s">
        <v>1314</v>
      </c>
      <c r="C3255" t="s">
        <v>6501</v>
      </c>
      <c r="D3255" t="s">
        <v>16664</v>
      </c>
      <c r="E3255" t="s">
        <v>19659</v>
      </c>
      <c r="F3255" t="s">
        <v>28669</v>
      </c>
      <c r="G3255" t="s">
        <v>28675</v>
      </c>
      <c r="H3255" t="s">
        <v>28686</v>
      </c>
      <c r="I3255" t="s">
        <v>7352</v>
      </c>
      <c r="J3255" t="s">
        <v>30979</v>
      </c>
      <c r="K3255" t="s">
        <v>37209</v>
      </c>
      <c r="M3255" t="s">
        <v>38866</v>
      </c>
      <c r="N3255" t="s">
        <v>41249</v>
      </c>
      <c r="O3255" t="s">
        <v>41250</v>
      </c>
      <c r="P3255">
        <v>0</v>
      </c>
      <c r="Q3255">
        <v>0</v>
      </c>
      <c r="R3255" t="s">
        <v>41252</v>
      </c>
      <c r="S3255" t="s">
        <v>41383</v>
      </c>
      <c r="T3255" t="s">
        <v>42670</v>
      </c>
      <c r="U3255" t="s">
        <v>45949</v>
      </c>
      <c r="W3255" t="s">
        <v>38866</v>
      </c>
      <c r="X3255" t="s">
        <v>41254</v>
      </c>
    </row>
    <row r="3256" spans="1:24">
      <c r="A3256">
        <f>HYPERLINK("https://www.philgeps.gov.ph/GEPSNONPILOT/Tender/SplashBidNoticeAbstractUI.aspx?menuIndex=3&amp;refID=7074304&amp;Result=3","7074304")</f>
        <v>0</v>
      </c>
      <c r="B3256" t="s">
        <v>1315</v>
      </c>
      <c r="C3256" t="s">
        <v>6502</v>
      </c>
      <c r="D3256" t="s">
        <v>16643</v>
      </c>
      <c r="E3256" t="s">
        <v>19660</v>
      </c>
      <c r="F3256" t="s">
        <v>28669</v>
      </c>
      <c r="G3256" t="s">
        <v>28675</v>
      </c>
      <c r="H3256" t="s">
        <v>9998</v>
      </c>
      <c r="I3256" t="s">
        <v>28687</v>
      </c>
      <c r="J3256" t="s">
        <v>30980</v>
      </c>
      <c r="K3256" t="s">
        <v>37221</v>
      </c>
      <c r="M3256" t="s">
        <v>38867</v>
      </c>
      <c r="N3256" t="s">
        <v>41249</v>
      </c>
      <c r="O3256" t="s">
        <v>41250</v>
      </c>
      <c r="P3256">
        <v>0</v>
      </c>
      <c r="Q3256">
        <v>1</v>
      </c>
      <c r="R3256" t="s">
        <v>41252</v>
      </c>
      <c r="S3256" t="s">
        <v>41383</v>
      </c>
      <c r="T3256" t="s">
        <v>42679</v>
      </c>
      <c r="U3256" t="s">
        <v>45950</v>
      </c>
      <c r="W3256" t="s">
        <v>38867</v>
      </c>
      <c r="X3256" t="s">
        <v>41254</v>
      </c>
    </row>
    <row r="3257" spans="1:24">
      <c r="A3257">
        <f>HYPERLINK("https://www.philgeps.gov.ph/GEPSNONPILOT/Tender/SplashBidNoticeAbstractUI.aspx?menuIndex=3&amp;refID=7074303&amp;Result=3","7074303")</f>
        <v>0</v>
      </c>
      <c r="B3257" t="s">
        <v>1316</v>
      </c>
      <c r="C3257" t="s">
        <v>6503</v>
      </c>
      <c r="D3257" t="s">
        <v>16654</v>
      </c>
      <c r="E3257" t="s">
        <v>19661</v>
      </c>
      <c r="F3257" t="s">
        <v>28669</v>
      </c>
      <c r="G3257" t="s">
        <v>28675</v>
      </c>
      <c r="H3257" t="s">
        <v>9998</v>
      </c>
      <c r="I3257" t="s">
        <v>7352</v>
      </c>
      <c r="J3257" t="s">
        <v>28905</v>
      </c>
      <c r="K3257" t="s">
        <v>37205</v>
      </c>
      <c r="M3257" t="s">
        <v>38868</v>
      </c>
      <c r="N3257" t="s">
        <v>41249</v>
      </c>
      <c r="O3257" t="s">
        <v>41250</v>
      </c>
      <c r="P3257">
        <v>0</v>
      </c>
      <c r="Q3257">
        <v>1</v>
      </c>
      <c r="R3257" t="s">
        <v>41252</v>
      </c>
      <c r="S3257" t="s">
        <v>41383</v>
      </c>
      <c r="T3257" t="s">
        <v>42682</v>
      </c>
      <c r="U3257" t="s">
        <v>45951</v>
      </c>
      <c r="W3257" t="s">
        <v>38868</v>
      </c>
      <c r="X3257" t="s">
        <v>41254</v>
      </c>
    </row>
    <row r="3258" spans="1:24">
      <c r="A3258">
        <f>HYPERLINK("https://www.philgeps.gov.ph/GEPSNONPILOT/Tender/SplashBidNoticeAbstractUI.aspx?menuIndex=3&amp;refID=7074302&amp;Result=3","7074302")</f>
        <v>0</v>
      </c>
      <c r="B3258" t="s">
        <v>1278</v>
      </c>
      <c r="C3258" t="s">
        <v>6504</v>
      </c>
      <c r="D3258" t="s">
        <v>16684</v>
      </c>
      <c r="E3258" t="s">
        <v>19662</v>
      </c>
      <c r="F3258" t="s">
        <v>28669</v>
      </c>
      <c r="G3258" t="s">
        <v>28676</v>
      </c>
      <c r="H3258" t="s">
        <v>9998</v>
      </c>
      <c r="I3258" t="s">
        <v>6606</v>
      </c>
      <c r="J3258" t="s">
        <v>29522</v>
      </c>
      <c r="K3258" t="s">
        <v>37256</v>
      </c>
      <c r="M3258" t="s">
        <v>38828</v>
      </c>
      <c r="N3258" t="s">
        <v>41249</v>
      </c>
      <c r="O3258" t="s">
        <v>41250</v>
      </c>
      <c r="P3258">
        <v>0</v>
      </c>
      <c r="Q3258">
        <v>0</v>
      </c>
      <c r="R3258" t="s">
        <v>41252</v>
      </c>
      <c r="S3258" t="s">
        <v>41383</v>
      </c>
      <c r="T3258" t="s">
        <v>42757</v>
      </c>
      <c r="U3258" t="s">
        <v>45858</v>
      </c>
      <c r="W3258" t="s">
        <v>38828</v>
      </c>
      <c r="X3258" t="s">
        <v>41254</v>
      </c>
    </row>
    <row r="3259" spans="1:24">
      <c r="A3259">
        <f>HYPERLINK("https://www.philgeps.gov.ph/GEPSNONPILOT/Tender/SplashBidNoticeAbstractUI.aspx?menuIndex=3&amp;refID=7074301&amp;Result=3","7074301")</f>
        <v>0</v>
      </c>
      <c r="B3259" t="s">
        <v>1317</v>
      </c>
      <c r="C3259" t="s">
        <v>6505</v>
      </c>
      <c r="D3259" t="s">
        <v>16616</v>
      </c>
      <c r="E3259" t="s">
        <v>19663</v>
      </c>
      <c r="F3259" t="s">
        <v>28669</v>
      </c>
      <c r="G3259" t="s">
        <v>28675</v>
      </c>
      <c r="H3259" t="s">
        <v>9998</v>
      </c>
      <c r="I3259" t="s">
        <v>7352</v>
      </c>
      <c r="J3259" t="s">
        <v>30981</v>
      </c>
      <c r="K3259" t="s">
        <v>37205</v>
      </c>
      <c r="M3259" t="s">
        <v>38869</v>
      </c>
      <c r="N3259" t="s">
        <v>41249</v>
      </c>
      <c r="O3259" t="s">
        <v>41250</v>
      </c>
      <c r="P3259">
        <v>0</v>
      </c>
      <c r="Q3259">
        <v>0</v>
      </c>
      <c r="R3259" t="s">
        <v>41252</v>
      </c>
      <c r="S3259" t="s">
        <v>41383</v>
      </c>
      <c r="T3259" t="s">
        <v>42929</v>
      </c>
      <c r="U3259" t="s">
        <v>45952</v>
      </c>
      <c r="V3259" t="s">
        <v>54631</v>
      </c>
      <c r="W3259" t="s">
        <v>38869</v>
      </c>
      <c r="X3259" t="s">
        <v>41254</v>
      </c>
    </row>
    <row r="3260" spans="1:24">
      <c r="A3260">
        <f>HYPERLINK("https://www.philgeps.gov.ph/GEPSNONPILOT/Tender/SplashBidNoticeAbstractUI.aspx?menuIndex=3&amp;refID=7074271&amp;Result=3","7074271")</f>
        <v>0</v>
      </c>
      <c r="B3260" t="s">
        <v>369</v>
      </c>
      <c r="C3260" t="s">
        <v>6506</v>
      </c>
      <c r="D3260" t="s">
        <v>16619</v>
      </c>
      <c r="E3260" t="s">
        <v>19664</v>
      </c>
      <c r="F3260" t="s">
        <v>28669</v>
      </c>
      <c r="G3260" t="s">
        <v>28675</v>
      </c>
      <c r="H3260" t="s">
        <v>9998</v>
      </c>
      <c r="I3260" t="s">
        <v>28722</v>
      </c>
      <c r="J3260" t="s">
        <v>30982</v>
      </c>
      <c r="K3260" t="s">
        <v>37205</v>
      </c>
      <c r="M3260" t="s">
        <v>38279</v>
      </c>
      <c r="N3260" t="s">
        <v>41249</v>
      </c>
      <c r="O3260" t="s">
        <v>41250</v>
      </c>
      <c r="P3260">
        <v>0</v>
      </c>
      <c r="Q3260">
        <v>1</v>
      </c>
      <c r="R3260" t="s">
        <v>41252</v>
      </c>
      <c r="S3260" t="s">
        <v>41383</v>
      </c>
      <c r="T3260" t="s">
        <v>42715</v>
      </c>
      <c r="U3260" t="s">
        <v>45953</v>
      </c>
      <c r="W3260" t="s">
        <v>38279</v>
      </c>
      <c r="X3260" t="s">
        <v>41254</v>
      </c>
    </row>
    <row r="3261" spans="1:24">
      <c r="A3261">
        <f>HYPERLINK("https://www.philgeps.gov.ph/GEPSNONPILOT/Tender/SplashBidNoticeAbstractUI.aspx?menuIndex=3&amp;refID=7074252&amp;Result=3","7074252")</f>
        <v>0</v>
      </c>
      <c r="B3261" t="s">
        <v>1034</v>
      </c>
      <c r="C3261" t="s">
        <v>6507</v>
      </c>
      <c r="D3261" t="s">
        <v>16619</v>
      </c>
      <c r="E3261" t="s">
        <v>19665</v>
      </c>
      <c r="F3261" t="s">
        <v>28669</v>
      </c>
      <c r="G3261" t="s">
        <v>28675</v>
      </c>
      <c r="H3261" t="s">
        <v>28686</v>
      </c>
      <c r="I3261" t="s">
        <v>28689</v>
      </c>
      <c r="J3261" t="s">
        <v>30983</v>
      </c>
      <c r="K3261" t="s">
        <v>37223</v>
      </c>
      <c r="M3261" t="s">
        <v>38565</v>
      </c>
      <c r="N3261" t="s">
        <v>41249</v>
      </c>
      <c r="O3261" t="s">
        <v>41250</v>
      </c>
      <c r="P3261">
        <v>0</v>
      </c>
      <c r="Q3261">
        <v>0</v>
      </c>
      <c r="R3261" t="s">
        <v>41252</v>
      </c>
      <c r="S3261" t="s">
        <v>41383</v>
      </c>
      <c r="T3261" t="s">
        <v>42684</v>
      </c>
      <c r="U3261" t="s">
        <v>45954</v>
      </c>
      <c r="W3261" t="s">
        <v>38565</v>
      </c>
      <c r="X3261" t="s">
        <v>41254</v>
      </c>
    </row>
    <row r="3262" spans="1:24">
      <c r="A3262">
        <f>HYPERLINK("https://www.philgeps.gov.ph/GEPSNONPILOT/Tender/SplashBidNoticeAbstractUI.aspx?menuIndex=3&amp;refID=7074248&amp;Result=3","7074248")</f>
        <v>0</v>
      </c>
      <c r="B3262" t="s">
        <v>1278</v>
      </c>
      <c r="C3262" t="s">
        <v>6508</v>
      </c>
      <c r="D3262" t="s">
        <v>16684</v>
      </c>
      <c r="E3262" t="s">
        <v>19666</v>
      </c>
      <c r="F3262" t="s">
        <v>28669</v>
      </c>
      <c r="G3262" t="s">
        <v>28676</v>
      </c>
      <c r="H3262" t="s">
        <v>9998</v>
      </c>
      <c r="I3262" t="s">
        <v>6606</v>
      </c>
      <c r="J3262" t="s">
        <v>30984</v>
      </c>
      <c r="K3262" t="s">
        <v>37256</v>
      </c>
      <c r="M3262" t="s">
        <v>38828</v>
      </c>
      <c r="N3262" t="s">
        <v>41249</v>
      </c>
      <c r="O3262" t="s">
        <v>41250</v>
      </c>
      <c r="P3262">
        <v>0</v>
      </c>
      <c r="Q3262">
        <v>0</v>
      </c>
      <c r="R3262" t="s">
        <v>41252</v>
      </c>
      <c r="S3262" t="s">
        <v>41383</v>
      </c>
      <c r="T3262" t="s">
        <v>42757</v>
      </c>
      <c r="U3262" t="s">
        <v>45858</v>
      </c>
      <c r="W3262" t="s">
        <v>38828</v>
      </c>
      <c r="X3262" t="s">
        <v>41254</v>
      </c>
    </row>
    <row r="3263" spans="1:24">
      <c r="A3263">
        <f>HYPERLINK("https://www.philgeps.gov.ph/GEPSNONPILOT/Tender/SplashBidNoticeAbstractUI.aspx?menuIndex=3&amp;refID=7074247&amp;Result=3","7074247")</f>
        <v>0</v>
      </c>
      <c r="B3263" t="s">
        <v>965</v>
      </c>
      <c r="C3263" t="s">
        <v>6509</v>
      </c>
      <c r="D3263" t="s">
        <v>16608</v>
      </c>
      <c r="E3263" t="s">
        <v>19667</v>
      </c>
      <c r="F3263" t="s">
        <v>28669</v>
      </c>
      <c r="G3263" t="s">
        <v>28675</v>
      </c>
      <c r="H3263" t="s">
        <v>9998</v>
      </c>
      <c r="I3263" t="s">
        <v>6128</v>
      </c>
      <c r="J3263" t="s">
        <v>30985</v>
      </c>
      <c r="K3263" t="s">
        <v>37205</v>
      </c>
      <c r="M3263" t="s">
        <v>38759</v>
      </c>
      <c r="N3263" t="s">
        <v>41249</v>
      </c>
      <c r="O3263" t="s">
        <v>41250</v>
      </c>
      <c r="P3263">
        <v>0</v>
      </c>
      <c r="Q3263">
        <v>1</v>
      </c>
      <c r="R3263" t="s">
        <v>41252</v>
      </c>
      <c r="S3263" t="s">
        <v>41383</v>
      </c>
      <c r="T3263" t="s">
        <v>42703</v>
      </c>
      <c r="U3263" t="s">
        <v>44022</v>
      </c>
      <c r="W3263" t="s">
        <v>38759</v>
      </c>
      <c r="X3263" t="s">
        <v>41254</v>
      </c>
    </row>
    <row r="3264" spans="1:24">
      <c r="A3264">
        <f>HYPERLINK("https://www.philgeps.gov.ph/GEPSNONPILOT/Tender/SplashBidNoticeAbstractUI.aspx?menuIndex=3&amp;refID=7074279&amp;Result=3","7074279")</f>
        <v>0</v>
      </c>
      <c r="B3264" t="s">
        <v>546</v>
      </c>
      <c r="C3264" t="s">
        <v>6510</v>
      </c>
      <c r="D3264" t="s">
        <v>16629</v>
      </c>
      <c r="E3264" t="s">
        <v>18803</v>
      </c>
      <c r="F3264" t="s">
        <v>28669</v>
      </c>
      <c r="G3264" t="s">
        <v>28675</v>
      </c>
      <c r="H3264" t="s">
        <v>28686</v>
      </c>
      <c r="I3264" t="s">
        <v>28689</v>
      </c>
      <c r="J3264" t="s">
        <v>30986</v>
      </c>
      <c r="K3264" t="s">
        <v>37212</v>
      </c>
      <c r="M3264" t="s">
        <v>38039</v>
      </c>
      <c r="N3264" t="s">
        <v>41249</v>
      </c>
      <c r="O3264" t="s">
        <v>41250</v>
      </c>
      <c r="P3264">
        <v>0</v>
      </c>
      <c r="Q3264">
        <v>0</v>
      </c>
      <c r="R3264" t="s">
        <v>41252</v>
      </c>
      <c r="S3264" t="s">
        <v>41383</v>
      </c>
      <c r="T3264" t="s">
        <v>42761</v>
      </c>
      <c r="U3264" t="s">
        <v>45955</v>
      </c>
      <c r="W3264" t="s">
        <v>38039</v>
      </c>
      <c r="X3264" t="s">
        <v>41254</v>
      </c>
    </row>
    <row r="3265" spans="1:24">
      <c r="A3265">
        <f>HYPERLINK("https://www.philgeps.gov.ph/GEPSNONPILOT/Tender/SplashBidNoticeAbstractUI.aspx?menuIndex=3&amp;refID=7074341&amp;Result=3","7074341")</f>
        <v>0</v>
      </c>
      <c r="B3265" t="s">
        <v>1244</v>
      </c>
      <c r="C3265" t="s">
        <v>6511</v>
      </c>
      <c r="D3265" t="s">
        <v>16686</v>
      </c>
      <c r="E3265" t="s">
        <v>19668</v>
      </c>
      <c r="F3265" t="s">
        <v>28669</v>
      </c>
      <c r="G3265" t="s">
        <v>28676</v>
      </c>
      <c r="H3265" t="s">
        <v>9998</v>
      </c>
      <c r="I3265" t="s">
        <v>6128</v>
      </c>
      <c r="J3265" t="s">
        <v>30987</v>
      </c>
      <c r="K3265" t="s">
        <v>37210</v>
      </c>
      <c r="M3265" t="s">
        <v>38791</v>
      </c>
      <c r="N3265" t="s">
        <v>41249</v>
      </c>
      <c r="O3265" t="s">
        <v>41250</v>
      </c>
      <c r="P3265">
        <v>0</v>
      </c>
      <c r="Q3265">
        <v>2</v>
      </c>
      <c r="R3265" t="s">
        <v>41252</v>
      </c>
      <c r="S3265" t="s">
        <v>41383</v>
      </c>
      <c r="T3265" t="s">
        <v>42711</v>
      </c>
      <c r="U3265" t="s">
        <v>45956</v>
      </c>
      <c r="W3265" t="s">
        <v>38791</v>
      </c>
      <c r="X3265" t="s">
        <v>41254</v>
      </c>
    </row>
    <row r="3266" spans="1:24">
      <c r="A3266">
        <f>HYPERLINK("https://www.philgeps.gov.ph/GEPSNONPILOT/Tender/SplashBidNoticeAbstractUI.aspx?menuIndex=3&amp;refID=7074277&amp;Result=3","7074277")</f>
        <v>0</v>
      </c>
      <c r="B3266" t="s">
        <v>1278</v>
      </c>
      <c r="C3266" t="s">
        <v>6512</v>
      </c>
      <c r="D3266" t="s">
        <v>16684</v>
      </c>
      <c r="E3266" t="s">
        <v>19669</v>
      </c>
      <c r="F3266" t="s">
        <v>28669</v>
      </c>
      <c r="G3266" t="s">
        <v>28676</v>
      </c>
      <c r="H3266" t="s">
        <v>9998</v>
      </c>
      <c r="I3266" t="s">
        <v>6606</v>
      </c>
      <c r="J3266" t="s">
        <v>30988</v>
      </c>
      <c r="K3266" t="s">
        <v>37256</v>
      </c>
      <c r="M3266" t="s">
        <v>38828</v>
      </c>
      <c r="N3266" t="s">
        <v>41249</v>
      </c>
      <c r="O3266" t="s">
        <v>41250</v>
      </c>
      <c r="P3266">
        <v>0</v>
      </c>
      <c r="Q3266">
        <v>0</v>
      </c>
      <c r="R3266" t="s">
        <v>41252</v>
      </c>
      <c r="S3266" t="s">
        <v>41383</v>
      </c>
      <c r="T3266" t="s">
        <v>42757</v>
      </c>
      <c r="U3266" t="s">
        <v>45858</v>
      </c>
      <c r="W3266" t="s">
        <v>38828</v>
      </c>
      <c r="X3266" t="s">
        <v>41254</v>
      </c>
    </row>
    <row r="3267" spans="1:24">
      <c r="A3267">
        <f>HYPERLINK("https://www.philgeps.gov.ph/GEPSNONPILOT/Tender/SplashBidNoticeAbstractUI.aspx?menuIndex=3&amp;refID=7074281&amp;Result=3","7074281")</f>
        <v>0</v>
      </c>
      <c r="B3267" t="s">
        <v>1318</v>
      </c>
      <c r="C3267" t="s">
        <v>6513</v>
      </c>
      <c r="D3267" t="s">
        <v>16618</v>
      </c>
      <c r="E3267" t="s">
        <v>19670</v>
      </c>
      <c r="F3267" t="s">
        <v>28669</v>
      </c>
      <c r="G3267" t="s">
        <v>28677</v>
      </c>
      <c r="H3267" t="s">
        <v>9998</v>
      </c>
      <c r="I3267" t="s">
        <v>11593</v>
      </c>
      <c r="J3267" t="s">
        <v>30989</v>
      </c>
      <c r="K3267" t="s">
        <v>37205</v>
      </c>
      <c r="M3267" t="s">
        <v>38870</v>
      </c>
      <c r="N3267" t="s">
        <v>41249</v>
      </c>
      <c r="O3267" t="s">
        <v>41250</v>
      </c>
      <c r="P3267">
        <v>0</v>
      </c>
      <c r="Q3267">
        <v>0</v>
      </c>
      <c r="R3267" t="s">
        <v>41252</v>
      </c>
      <c r="S3267" t="s">
        <v>41383</v>
      </c>
      <c r="T3267" t="s">
        <v>42670</v>
      </c>
      <c r="U3267" t="s">
        <v>45957</v>
      </c>
      <c r="W3267" t="s">
        <v>38870</v>
      </c>
      <c r="X3267" t="s">
        <v>41254</v>
      </c>
    </row>
    <row r="3268" spans="1:24">
      <c r="A3268">
        <f>HYPERLINK("https://www.philgeps.gov.ph/GEPSNONPILOT/Tender/SplashBidNoticeAbstractUI.aspx?menuIndex=3&amp;refID=7074338&amp;Result=3","7074338")</f>
        <v>0</v>
      </c>
      <c r="B3268" t="s">
        <v>1319</v>
      </c>
      <c r="C3268" t="s">
        <v>6514</v>
      </c>
      <c r="D3268" t="s">
        <v>16616</v>
      </c>
      <c r="E3268" t="s">
        <v>18003</v>
      </c>
      <c r="F3268" t="s">
        <v>28669</v>
      </c>
      <c r="G3268" t="s">
        <v>28675</v>
      </c>
      <c r="H3268" t="s">
        <v>28686</v>
      </c>
      <c r="I3268" t="s">
        <v>28689</v>
      </c>
      <c r="J3268" t="s">
        <v>29002</v>
      </c>
      <c r="K3268" t="s">
        <v>37215</v>
      </c>
      <c r="M3268" t="s">
        <v>38871</v>
      </c>
      <c r="N3268" t="s">
        <v>41249</v>
      </c>
      <c r="O3268" t="s">
        <v>41250</v>
      </c>
      <c r="P3268">
        <v>0</v>
      </c>
      <c r="Q3268">
        <v>3</v>
      </c>
      <c r="R3268" t="s">
        <v>41252</v>
      </c>
      <c r="S3268" t="s">
        <v>41383</v>
      </c>
      <c r="T3268" t="s">
        <v>42808</v>
      </c>
      <c r="U3268" t="s">
        <v>45958</v>
      </c>
      <c r="W3268" t="s">
        <v>38871</v>
      </c>
      <c r="X3268" t="s">
        <v>41254</v>
      </c>
    </row>
    <row r="3269" spans="1:24">
      <c r="A3269">
        <f>HYPERLINK("https://www.philgeps.gov.ph/GEPSNONPILOT/Tender/SplashBidNoticeAbstractUI.aspx?menuIndex=3&amp;refID=7074325&amp;Result=3","7074325")</f>
        <v>0</v>
      </c>
      <c r="B3269" t="s">
        <v>358</v>
      </c>
      <c r="C3269" t="s">
        <v>6515</v>
      </c>
      <c r="D3269" t="s">
        <v>16683</v>
      </c>
      <c r="E3269" t="s">
        <v>19671</v>
      </c>
      <c r="F3269" t="s">
        <v>28669</v>
      </c>
      <c r="G3269" t="s">
        <v>28677</v>
      </c>
      <c r="H3269" t="s">
        <v>9998</v>
      </c>
      <c r="I3269" t="s">
        <v>28738</v>
      </c>
      <c r="J3269" t="s">
        <v>30990</v>
      </c>
      <c r="K3269" t="s">
        <v>37209</v>
      </c>
      <c r="M3269" t="s">
        <v>37839</v>
      </c>
      <c r="N3269" t="s">
        <v>41249</v>
      </c>
      <c r="O3269" t="s">
        <v>41250</v>
      </c>
      <c r="P3269">
        <v>0</v>
      </c>
      <c r="Q3269">
        <v>2</v>
      </c>
      <c r="R3269" t="s">
        <v>41252</v>
      </c>
      <c r="S3269" t="s">
        <v>41383</v>
      </c>
      <c r="T3269" t="s">
        <v>42883</v>
      </c>
      <c r="U3269" t="s">
        <v>45959</v>
      </c>
      <c r="W3269" t="s">
        <v>37839</v>
      </c>
      <c r="X3269" t="s">
        <v>41254</v>
      </c>
    </row>
    <row r="3270" spans="1:24">
      <c r="A3270">
        <f>HYPERLINK("https://www.philgeps.gov.ph/GEPSNONPILOT/Tender/SplashBidNoticeAbstractUI.aspx?menuIndex=3&amp;refID=7074336&amp;Result=3","7074336")</f>
        <v>0</v>
      </c>
      <c r="B3270" t="s">
        <v>965</v>
      </c>
      <c r="C3270" t="s">
        <v>6516</v>
      </c>
      <c r="D3270" t="s">
        <v>16608</v>
      </c>
      <c r="E3270" t="s">
        <v>19672</v>
      </c>
      <c r="F3270" t="s">
        <v>28669</v>
      </c>
      <c r="G3270" t="s">
        <v>28675</v>
      </c>
      <c r="H3270" t="s">
        <v>9998</v>
      </c>
      <c r="I3270" t="s">
        <v>6128</v>
      </c>
      <c r="J3270" t="s">
        <v>29513</v>
      </c>
      <c r="K3270" t="s">
        <v>37205</v>
      </c>
      <c r="M3270" t="s">
        <v>38759</v>
      </c>
      <c r="N3270" t="s">
        <v>41249</v>
      </c>
      <c r="O3270" t="s">
        <v>41250</v>
      </c>
      <c r="P3270">
        <v>0</v>
      </c>
      <c r="Q3270">
        <v>1</v>
      </c>
      <c r="R3270" t="s">
        <v>41252</v>
      </c>
      <c r="S3270" t="s">
        <v>41383</v>
      </c>
      <c r="T3270" t="s">
        <v>42703</v>
      </c>
      <c r="U3270" t="s">
        <v>44022</v>
      </c>
      <c r="W3270" t="s">
        <v>38759</v>
      </c>
      <c r="X3270" t="s">
        <v>41254</v>
      </c>
    </row>
    <row r="3271" spans="1:24">
      <c r="A3271">
        <f>HYPERLINK("https://www.philgeps.gov.ph/GEPSNONPILOT/Tender/SplashBidNoticeAbstractUI.aspx?menuIndex=3&amp;refID=7074348&amp;Result=3","7074348")</f>
        <v>0</v>
      </c>
      <c r="B3271" t="s">
        <v>1320</v>
      </c>
      <c r="C3271" t="s">
        <v>6517</v>
      </c>
      <c r="D3271" t="s">
        <v>16617</v>
      </c>
      <c r="E3271" t="s">
        <v>19673</v>
      </c>
      <c r="F3271" t="s">
        <v>28671</v>
      </c>
      <c r="G3271" t="s">
        <v>28677</v>
      </c>
      <c r="H3271" t="s">
        <v>9998</v>
      </c>
      <c r="I3271" t="s">
        <v>28697</v>
      </c>
      <c r="J3271" t="s">
        <v>30991</v>
      </c>
      <c r="K3271" t="s">
        <v>37208</v>
      </c>
      <c r="M3271" t="s">
        <v>38872</v>
      </c>
      <c r="N3271" t="s">
        <v>41249</v>
      </c>
      <c r="O3271" t="s">
        <v>41250</v>
      </c>
      <c r="P3271">
        <v>0</v>
      </c>
      <c r="Q3271">
        <v>12</v>
      </c>
      <c r="R3271" t="s">
        <v>41252</v>
      </c>
      <c r="S3271" t="s">
        <v>41383</v>
      </c>
      <c r="T3271" t="s">
        <v>42713</v>
      </c>
      <c r="U3271" t="s">
        <v>45960</v>
      </c>
      <c r="W3271" t="s">
        <v>38872</v>
      </c>
      <c r="X3271" t="s">
        <v>41254</v>
      </c>
    </row>
    <row r="3272" spans="1:24">
      <c r="A3272">
        <f>HYPERLINK("https://www.philgeps.gov.ph/GEPSNONPILOT/Tender/SplashBidNoticeAbstractUI.aspx?menuIndex=3&amp;refID=7074340&amp;Result=3","7074340")</f>
        <v>0</v>
      </c>
      <c r="B3272" t="s">
        <v>1321</v>
      </c>
      <c r="C3272" t="s">
        <v>6518</v>
      </c>
      <c r="D3272" t="s">
        <v>16617</v>
      </c>
      <c r="E3272" t="s">
        <v>19674</v>
      </c>
      <c r="F3272" t="s">
        <v>28669</v>
      </c>
      <c r="G3272" t="s">
        <v>28675</v>
      </c>
      <c r="H3272" t="s">
        <v>9998</v>
      </c>
      <c r="I3272" t="s">
        <v>28722</v>
      </c>
      <c r="J3272" t="s">
        <v>30992</v>
      </c>
      <c r="K3272" t="s">
        <v>37209</v>
      </c>
      <c r="M3272" t="s">
        <v>38873</v>
      </c>
      <c r="N3272" t="s">
        <v>41249</v>
      </c>
      <c r="O3272" t="s">
        <v>41250</v>
      </c>
      <c r="P3272">
        <v>0</v>
      </c>
      <c r="Q3272">
        <v>1</v>
      </c>
      <c r="R3272" t="s">
        <v>41252</v>
      </c>
      <c r="S3272" t="s">
        <v>41383</v>
      </c>
      <c r="T3272" t="s">
        <v>42678</v>
      </c>
      <c r="U3272" t="s">
        <v>45961</v>
      </c>
      <c r="W3272" t="s">
        <v>38873</v>
      </c>
      <c r="X3272" t="s">
        <v>41254</v>
      </c>
    </row>
    <row r="3273" spans="1:24">
      <c r="A3273">
        <f>HYPERLINK("https://www.philgeps.gov.ph/GEPSNONPILOT/Tender/SplashBidNoticeAbstractUI.aspx?menuIndex=3&amp;refID=7074345&amp;Result=3","7074345")</f>
        <v>0</v>
      </c>
      <c r="B3273" t="s">
        <v>1322</v>
      </c>
      <c r="C3273" t="s">
        <v>6519</v>
      </c>
      <c r="D3273" t="s">
        <v>16644</v>
      </c>
      <c r="E3273" t="s">
        <v>16807</v>
      </c>
      <c r="F3273" t="s">
        <v>28669</v>
      </c>
      <c r="G3273" t="s">
        <v>28676</v>
      </c>
      <c r="H3273" t="s">
        <v>9998</v>
      </c>
      <c r="I3273" t="s">
        <v>6458</v>
      </c>
      <c r="J3273" t="s">
        <v>30993</v>
      </c>
      <c r="K3273" t="s">
        <v>37209</v>
      </c>
      <c r="M3273" t="s">
        <v>38874</v>
      </c>
      <c r="N3273" t="s">
        <v>41249</v>
      </c>
      <c r="O3273" t="s">
        <v>41250</v>
      </c>
      <c r="P3273">
        <v>0</v>
      </c>
      <c r="Q3273">
        <v>2</v>
      </c>
      <c r="R3273" t="s">
        <v>41252</v>
      </c>
      <c r="S3273" t="s">
        <v>41383</v>
      </c>
      <c r="T3273" t="s">
        <v>42758</v>
      </c>
      <c r="U3273" t="s">
        <v>45962</v>
      </c>
      <c r="W3273" t="s">
        <v>38874</v>
      </c>
      <c r="X3273" t="s">
        <v>41254</v>
      </c>
    </row>
    <row r="3274" spans="1:24">
      <c r="A3274">
        <f>HYPERLINK("https://www.philgeps.gov.ph/GEPSNONPILOT/Tender/SplashBidNoticeAbstractUI.aspx?menuIndex=3&amp;refID=7074344&amp;Result=3","7074344")</f>
        <v>0</v>
      </c>
      <c r="B3274" t="s">
        <v>965</v>
      </c>
      <c r="C3274" t="s">
        <v>6520</v>
      </c>
      <c r="D3274" t="s">
        <v>16608</v>
      </c>
      <c r="E3274" t="s">
        <v>19675</v>
      </c>
      <c r="F3274" t="s">
        <v>28669</v>
      </c>
      <c r="G3274" t="s">
        <v>28675</v>
      </c>
      <c r="H3274" t="s">
        <v>9998</v>
      </c>
      <c r="I3274" t="s">
        <v>6128</v>
      </c>
      <c r="J3274" t="s">
        <v>30994</v>
      </c>
      <c r="K3274" t="s">
        <v>37205</v>
      </c>
      <c r="M3274" t="s">
        <v>38759</v>
      </c>
      <c r="N3274" t="s">
        <v>41249</v>
      </c>
      <c r="O3274" t="s">
        <v>41250</v>
      </c>
      <c r="P3274">
        <v>0</v>
      </c>
      <c r="Q3274">
        <v>1</v>
      </c>
      <c r="R3274" t="s">
        <v>41252</v>
      </c>
      <c r="S3274" t="s">
        <v>41383</v>
      </c>
      <c r="T3274" t="s">
        <v>42703</v>
      </c>
      <c r="U3274" t="s">
        <v>44022</v>
      </c>
      <c r="W3274" t="s">
        <v>38759</v>
      </c>
      <c r="X3274" t="s">
        <v>41254</v>
      </c>
    </row>
    <row r="3275" spans="1:24">
      <c r="A3275">
        <f>HYPERLINK("https://www.philgeps.gov.ph/GEPSNONPILOT/Tender/SplashBidNoticeAbstractUI.aspx?menuIndex=3&amp;refID=7074272&amp;Result=3","7074272")</f>
        <v>0</v>
      </c>
      <c r="B3275" t="s">
        <v>1125</v>
      </c>
      <c r="C3275" t="s">
        <v>6521</v>
      </c>
      <c r="D3275" t="s">
        <v>16616</v>
      </c>
      <c r="E3275" t="s">
        <v>19676</v>
      </c>
      <c r="F3275" t="s">
        <v>28669</v>
      </c>
      <c r="G3275" t="s">
        <v>28676</v>
      </c>
      <c r="H3275" t="s">
        <v>9998</v>
      </c>
      <c r="I3275" t="s">
        <v>6458</v>
      </c>
      <c r="J3275" t="s">
        <v>30995</v>
      </c>
      <c r="K3275" t="s">
        <v>37209</v>
      </c>
      <c r="M3275" t="s">
        <v>38659</v>
      </c>
      <c r="N3275" t="s">
        <v>41249</v>
      </c>
      <c r="O3275" t="s">
        <v>41250</v>
      </c>
      <c r="P3275">
        <v>0</v>
      </c>
      <c r="Q3275">
        <v>0</v>
      </c>
      <c r="R3275" t="s">
        <v>41252</v>
      </c>
      <c r="S3275" t="s">
        <v>41383</v>
      </c>
      <c r="T3275" t="s">
        <v>42764</v>
      </c>
      <c r="U3275" t="s">
        <v>45510</v>
      </c>
      <c r="W3275" t="s">
        <v>38659</v>
      </c>
      <c r="X3275" t="s">
        <v>41254</v>
      </c>
    </row>
    <row r="3276" spans="1:24">
      <c r="A3276">
        <f>HYPERLINK("https://www.philgeps.gov.ph/GEPSNONPILOT/Tender/SplashBidNoticeAbstractUI.aspx?menuIndex=3&amp;refID=7074337&amp;Result=3","7074337")</f>
        <v>0</v>
      </c>
      <c r="B3276" t="s">
        <v>349</v>
      </c>
      <c r="C3276" t="s">
        <v>6522</v>
      </c>
      <c r="D3276" t="s">
        <v>16675</v>
      </c>
      <c r="E3276" t="s">
        <v>19677</v>
      </c>
      <c r="F3276" t="s">
        <v>28669</v>
      </c>
      <c r="G3276" t="s">
        <v>28676</v>
      </c>
      <c r="H3276" t="s">
        <v>9998</v>
      </c>
      <c r="I3276" t="s">
        <v>28728</v>
      </c>
      <c r="J3276" t="s">
        <v>30996</v>
      </c>
      <c r="K3276" t="s">
        <v>37247</v>
      </c>
      <c r="M3276" t="s">
        <v>37829</v>
      </c>
      <c r="N3276" t="s">
        <v>41249</v>
      </c>
      <c r="O3276" t="s">
        <v>41250</v>
      </c>
      <c r="P3276">
        <v>0</v>
      </c>
      <c r="Q3276">
        <v>0</v>
      </c>
      <c r="R3276" t="s">
        <v>41252</v>
      </c>
      <c r="S3276" t="s">
        <v>41383</v>
      </c>
      <c r="T3276" t="s">
        <v>42759</v>
      </c>
      <c r="U3276" t="s">
        <v>45963</v>
      </c>
      <c r="W3276" t="s">
        <v>37829</v>
      </c>
      <c r="X3276" t="s">
        <v>41254</v>
      </c>
    </row>
    <row r="3277" spans="1:24">
      <c r="A3277">
        <f>HYPERLINK("https://www.philgeps.gov.ph/GEPSNONPILOT/Tender/SplashBidNoticeAbstractUI.aspx?menuIndex=3&amp;refID=7074334&amp;Result=3","7074334")</f>
        <v>0</v>
      </c>
      <c r="B3277" t="s">
        <v>1323</v>
      </c>
      <c r="C3277" t="s">
        <v>6523</v>
      </c>
      <c r="D3277" t="s">
        <v>16654</v>
      </c>
      <c r="E3277" t="s">
        <v>19678</v>
      </c>
      <c r="F3277" t="s">
        <v>28669</v>
      </c>
      <c r="G3277" t="s">
        <v>28675</v>
      </c>
      <c r="H3277" t="s">
        <v>28686</v>
      </c>
      <c r="I3277" t="s">
        <v>28689</v>
      </c>
      <c r="J3277" t="s">
        <v>30997</v>
      </c>
      <c r="K3277" t="s">
        <v>37211</v>
      </c>
      <c r="M3277" t="s">
        <v>38875</v>
      </c>
      <c r="N3277" t="s">
        <v>41249</v>
      </c>
      <c r="O3277" t="s">
        <v>41250</v>
      </c>
      <c r="P3277">
        <v>0</v>
      </c>
      <c r="Q3277">
        <v>1</v>
      </c>
      <c r="R3277" t="s">
        <v>41252</v>
      </c>
      <c r="S3277" t="s">
        <v>41383</v>
      </c>
      <c r="T3277" t="s">
        <v>42715</v>
      </c>
      <c r="U3277" t="s">
        <v>45964</v>
      </c>
      <c r="W3277" t="s">
        <v>38875</v>
      </c>
      <c r="X3277" t="s">
        <v>41254</v>
      </c>
    </row>
    <row r="3278" spans="1:24">
      <c r="A3278">
        <f>HYPERLINK("https://www.philgeps.gov.ph/GEPSNONPILOT/Tender/SplashBidNoticeAbstractUI.aspx?menuIndex=3&amp;refID=7074313&amp;Result=3","7074313")</f>
        <v>0</v>
      </c>
      <c r="B3278" t="s">
        <v>1294</v>
      </c>
      <c r="C3278" t="s">
        <v>6524</v>
      </c>
      <c r="D3278" t="s">
        <v>16653</v>
      </c>
      <c r="E3278" t="s">
        <v>19679</v>
      </c>
      <c r="F3278" t="s">
        <v>28669</v>
      </c>
      <c r="G3278" t="s">
        <v>28677</v>
      </c>
      <c r="H3278" t="s">
        <v>9998</v>
      </c>
      <c r="I3278" t="s">
        <v>28709</v>
      </c>
      <c r="J3278" t="s">
        <v>29712</v>
      </c>
      <c r="K3278" t="s">
        <v>37240</v>
      </c>
      <c r="M3278" t="s">
        <v>38845</v>
      </c>
      <c r="N3278" t="s">
        <v>41249</v>
      </c>
      <c r="O3278" t="s">
        <v>41250</v>
      </c>
      <c r="P3278">
        <v>0</v>
      </c>
      <c r="Q3278">
        <v>0</v>
      </c>
      <c r="R3278" t="s">
        <v>41252</v>
      </c>
      <c r="S3278" t="s">
        <v>41383</v>
      </c>
      <c r="T3278" t="s">
        <v>42892</v>
      </c>
      <c r="U3278" t="s">
        <v>45965</v>
      </c>
      <c r="W3278" t="s">
        <v>55949</v>
      </c>
      <c r="X3278" t="s">
        <v>41254</v>
      </c>
    </row>
    <row r="3279" spans="1:24">
      <c r="A3279">
        <f>HYPERLINK("https://www.philgeps.gov.ph/GEPSNONPILOT/Tender/SplashBidNoticeAbstractUI.aspx?menuIndex=3&amp;refID=7074333&amp;Result=3","7074333")</f>
        <v>0</v>
      </c>
      <c r="B3279" t="s">
        <v>491</v>
      </c>
      <c r="C3279" t="s">
        <v>6525</v>
      </c>
      <c r="D3279" t="s">
        <v>16654</v>
      </c>
      <c r="E3279" t="s">
        <v>19680</v>
      </c>
      <c r="F3279" t="s">
        <v>28669</v>
      </c>
      <c r="G3279" t="s">
        <v>28675</v>
      </c>
      <c r="H3279" t="s">
        <v>28686</v>
      </c>
      <c r="I3279" t="s">
        <v>28689</v>
      </c>
      <c r="J3279" t="s">
        <v>30998</v>
      </c>
      <c r="K3279" t="s">
        <v>37215</v>
      </c>
      <c r="M3279" t="s">
        <v>38536</v>
      </c>
      <c r="N3279" t="s">
        <v>41249</v>
      </c>
      <c r="O3279" t="s">
        <v>41250</v>
      </c>
      <c r="P3279">
        <v>0</v>
      </c>
      <c r="Q3279">
        <v>0</v>
      </c>
      <c r="R3279" t="s">
        <v>41252</v>
      </c>
      <c r="S3279" t="s">
        <v>41383</v>
      </c>
      <c r="T3279" t="s">
        <v>42692</v>
      </c>
      <c r="U3279" t="s">
        <v>45966</v>
      </c>
      <c r="V3279" t="s">
        <v>54551</v>
      </c>
      <c r="W3279" t="s">
        <v>38536</v>
      </c>
      <c r="X3279" t="s">
        <v>41254</v>
      </c>
    </row>
    <row r="3280" spans="1:24">
      <c r="A3280">
        <f>HYPERLINK("https://www.philgeps.gov.ph/GEPSNONPILOT/Tender/SplashBidNoticeAbstractUI.aspx?menuIndex=3&amp;refID=7074332&amp;Result=3","7074332")</f>
        <v>0</v>
      </c>
      <c r="B3280" t="s">
        <v>965</v>
      </c>
      <c r="C3280" t="s">
        <v>6526</v>
      </c>
      <c r="D3280" t="s">
        <v>16608</v>
      </c>
      <c r="E3280" t="s">
        <v>19681</v>
      </c>
      <c r="F3280" t="s">
        <v>28669</v>
      </c>
      <c r="G3280" t="s">
        <v>28675</v>
      </c>
      <c r="H3280" t="s">
        <v>9998</v>
      </c>
      <c r="I3280" t="s">
        <v>6128</v>
      </c>
      <c r="J3280" t="s">
        <v>29051</v>
      </c>
      <c r="K3280" t="s">
        <v>37205</v>
      </c>
      <c r="M3280" t="s">
        <v>38759</v>
      </c>
      <c r="N3280" t="s">
        <v>41249</v>
      </c>
      <c r="O3280" t="s">
        <v>41250</v>
      </c>
      <c r="P3280">
        <v>0</v>
      </c>
      <c r="Q3280">
        <v>1</v>
      </c>
      <c r="R3280" t="s">
        <v>41252</v>
      </c>
      <c r="S3280" t="s">
        <v>41383</v>
      </c>
      <c r="T3280" t="s">
        <v>42703</v>
      </c>
      <c r="U3280" t="s">
        <v>44022</v>
      </c>
      <c r="W3280" t="s">
        <v>38759</v>
      </c>
      <c r="X3280" t="s">
        <v>41254</v>
      </c>
    </row>
    <row r="3281" spans="1:24">
      <c r="A3281">
        <f>HYPERLINK("https://www.philgeps.gov.ph/GEPSNONPILOT/Tender/SplashBidNoticeAbstractUI.aspx?menuIndex=3&amp;refID=7074331&amp;Result=3","7074331")</f>
        <v>0</v>
      </c>
      <c r="B3281" t="s">
        <v>1306</v>
      </c>
      <c r="C3281" t="s">
        <v>6527</v>
      </c>
      <c r="D3281" t="s">
        <v>16680</v>
      </c>
      <c r="E3281" t="s">
        <v>19682</v>
      </c>
      <c r="F3281" t="s">
        <v>28669</v>
      </c>
      <c r="G3281" t="s">
        <v>28675</v>
      </c>
      <c r="H3281" t="s">
        <v>9998</v>
      </c>
      <c r="I3281" t="s">
        <v>7352</v>
      </c>
      <c r="J3281" t="s">
        <v>30999</v>
      </c>
      <c r="K3281" t="s">
        <v>37206</v>
      </c>
      <c r="M3281" t="s">
        <v>38858</v>
      </c>
      <c r="N3281" t="s">
        <v>41249</v>
      </c>
      <c r="O3281" t="s">
        <v>41250</v>
      </c>
      <c r="P3281">
        <v>0</v>
      </c>
      <c r="Q3281">
        <v>0</v>
      </c>
      <c r="R3281" t="s">
        <v>41252</v>
      </c>
      <c r="S3281" t="s">
        <v>41383</v>
      </c>
      <c r="T3281" t="s">
        <v>42688</v>
      </c>
      <c r="U3281" t="s">
        <v>45967</v>
      </c>
      <c r="V3281" t="s">
        <v>54632</v>
      </c>
      <c r="W3281" t="s">
        <v>38858</v>
      </c>
      <c r="X3281" t="s">
        <v>41254</v>
      </c>
    </row>
    <row r="3282" spans="1:24">
      <c r="A3282">
        <f>HYPERLINK("https://www.philgeps.gov.ph/GEPSNONPILOT/Tender/SplashBidNoticeAbstractUI.aspx?menuIndex=3&amp;refID=7074339&amp;Result=3","7074339")</f>
        <v>0</v>
      </c>
      <c r="B3282" t="s">
        <v>600</v>
      </c>
      <c r="C3282" t="s">
        <v>6528</v>
      </c>
      <c r="D3282" t="s">
        <v>16608</v>
      </c>
      <c r="E3282" t="s">
        <v>19683</v>
      </c>
      <c r="F3282" t="s">
        <v>28669</v>
      </c>
      <c r="G3282" t="s">
        <v>28675</v>
      </c>
      <c r="H3282" t="s">
        <v>9998</v>
      </c>
      <c r="I3282" t="s">
        <v>28796</v>
      </c>
      <c r="J3282" t="s">
        <v>31000</v>
      </c>
      <c r="K3282" t="s">
        <v>37209</v>
      </c>
      <c r="M3282" t="s">
        <v>38876</v>
      </c>
      <c r="N3282" t="s">
        <v>41249</v>
      </c>
      <c r="O3282" t="s">
        <v>41250</v>
      </c>
      <c r="P3282">
        <v>0</v>
      </c>
      <c r="Q3282">
        <v>14</v>
      </c>
      <c r="R3282" t="s">
        <v>41252</v>
      </c>
      <c r="S3282" t="s">
        <v>41383</v>
      </c>
      <c r="T3282" t="s">
        <v>42855</v>
      </c>
      <c r="U3282" t="s">
        <v>45968</v>
      </c>
      <c r="V3282" t="s">
        <v>54633</v>
      </c>
      <c r="W3282" t="s">
        <v>38876</v>
      </c>
      <c r="X3282" t="s">
        <v>41254</v>
      </c>
    </row>
    <row r="3283" spans="1:24">
      <c r="A3283">
        <f>HYPERLINK("https://www.philgeps.gov.ph/GEPSNONPILOT/Tender/SplashBidNoticeAbstractUI.aspx?menuIndex=3&amp;refID=7074329&amp;Result=3","7074329")</f>
        <v>0</v>
      </c>
      <c r="B3283" t="s">
        <v>1324</v>
      </c>
      <c r="C3283" t="s">
        <v>6529</v>
      </c>
      <c r="D3283" t="s">
        <v>16692</v>
      </c>
      <c r="E3283" t="s">
        <v>19684</v>
      </c>
      <c r="F3283" t="s">
        <v>28669</v>
      </c>
      <c r="G3283" t="s">
        <v>28675</v>
      </c>
      <c r="H3283" t="s">
        <v>28686</v>
      </c>
      <c r="I3283" t="s">
        <v>28689</v>
      </c>
      <c r="J3283" t="s">
        <v>30755</v>
      </c>
      <c r="K3283" t="s">
        <v>37219</v>
      </c>
      <c r="M3283" t="s">
        <v>38877</v>
      </c>
      <c r="N3283" t="s">
        <v>41249</v>
      </c>
      <c r="O3283" t="s">
        <v>41250</v>
      </c>
      <c r="P3283">
        <v>0</v>
      </c>
      <c r="Q3283">
        <v>0</v>
      </c>
      <c r="R3283" t="s">
        <v>41252</v>
      </c>
      <c r="S3283" t="s">
        <v>41383</v>
      </c>
      <c r="T3283" t="s">
        <v>42815</v>
      </c>
      <c r="U3283" t="s">
        <v>45969</v>
      </c>
      <c r="W3283" t="s">
        <v>38877</v>
      </c>
      <c r="X3283" t="s">
        <v>41254</v>
      </c>
    </row>
    <row r="3284" spans="1:24">
      <c r="A3284">
        <f>HYPERLINK("https://www.philgeps.gov.ph/GEPSNONPILOT/Tender/SplashBidNoticeAbstractUI.aspx?menuIndex=3&amp;refID=7074326&amp;Result=3","7074326")</f>
        <v>0</v>
      </c>
      <c r="B3284" t="s">
        <v>1010</v>
      </c>
      <c r="C3284" t="s">
        <v>6530</v>
      </c>
      <c r="D3284" t="s">
        <v>16608</v>
      </c>
      <c r="E3284" t="s">
        <v>18895</v>
      </c>
      <c r="F3284" t="s">
        <v>28671</v>
      </c>
      <c r="G3284" t="s">
        <v>28675</v>
      </c>
      <c r="H3284" t="s">
        <v>9998</v>
      </c>
      <c r="I3284" t="s">
        <v>28722</v>
      </c>
      <c r="J3284" t="s">
        <v>29304</v>
      </c>
      <c r="K3284" t="s">
        <v>37206</v>
      </c>
      <c r="L3284" t="s">
        <v>1010</v>
      </c>
      <c r="M3284" t="s">
        <v>38540</v>
      </c>
      <c r="N3284" t="s">
        <v>41249</v>
      </c>
      <c r="O3284" t="s">
        <v>41250</v>
      </c>
      <c r="P3284">
        <v>0</v>
      </c>
      <c r="Q3284">
        <v>1</v>
      </c>
      <c r="R3284" t="s">
        <v>41252</v>
      </c>
      <c r="S3284" t="s">
        <v>41383</v>
      </c>
      <c r="T3284" t="s">
        <v>42930</v>
      </c>
      <c r="U3284" t="s">
        <v>45970</v>
      </c>
      <c r="W3284" t="s">
        <v>38540</v>
      </c>
      <c r="X3284" t="s">
        <v>41254</v>
      </c>
    </row>
    <row r="3285" spans="1:24">
      <c r="A3285">
        <f>HYPERLINK("https://www.philgeps.gov.ph/GEPSNONPILOT/Tender/SplashBidNoticeAbstractUI.aspx?menuIndex=3&amp;refID=7074316&amp;Result=3","7074316")</f>
        <v>0</v>
      </c>
      <c r="B3285" t="s">
        <v>1306</v>
      </c>
      <c r="C3285" t="s">
        <v>6531</v>
      </c>
      <c r="D3285" t="s">
        <v>16680</v>
      </c>
      <c r="E3285" t="s">
        <v>19685</v>
      </c>
      <c r="F3285" t="s">
        <v>28669</v>
      </c>
      <c r="G3285" t="s">
        <v>28675</v>
      </c>
      <c r="H3285" t="s">
        <v>9998</v>
      </c>
      <c r="I3285" t="s">
        <v>7352</v>
      </c>
      <c r="J3285" t="s">
        <v>31001</v>
      </c>
      <c r="K3285" t="s">
        <v>37206</v>
      </c>
      <c r="M3285" t="s">
        <v>38858</v>
      </c>
      <c r="N3285" t="s">
        <v>41249</v>
      </c>
      <c r="O3285" t="s">
        <v>41250</v>
      </c>
      <c r="P3285">
        <v>0</v>
      </c>
      <c r="Q3285">
        <v>0</v>
      </c>
      <c r="R3285" t="s">
        <v>41252</v>
      </c>
      <c r="S3285" t="s">
        <v>41383</v>
      </c>
      <c r="T3285" t="s">
        <v>42688</v>
      </c>
      <c r="U3285" t="s">
        <v>45967</v>
      </c>
      <c r="V3285" t="s">
        <v>54634</v>
      </c>
      <c r="W3285" t="s">
        <v>38858</v>
      </c>
      <c r="X3285" t="s">
        <v>41254</v>
      </c>
    </row>
    <row r="3286" spans="1:24">
      <c r="A3286">
        <f>HYPERLINK("https://www.philgeps.gov.ph/GEPSNONPILOT/Tender/SplashBidNoticeAbstractUI.aspx?menuIndex=3&amp;refID=7074342&amp;Result=3","7074342")</f>
        <v>0</v>
      </c>
      <c r="B3286" t="s">
        <v>909</v>
      </c>
      <c r="C3286" t="s">
        <v>6532</v>
      </c>
      <c r="D3286" t="s">
        <v>16662</v>
      </c>
      <c r="E3286" t="s">
        <v>19686</v>
      </c>
      <c r="F3286" t="s">
        <v>28669</v>
      </c>
      <c r="G3286" t="s">
        <v>28675</v>
      </c>
      <c r="H3286" t="s">
        <v>28685</v>
      </c>
      <c r="I3286" t="s">
        <v>28685</v>
      </c>
      <c r="J3286" t="s">
        <v>31002</v>
      </c>
      <c r="K3286" t="s">
        <v>37206</v>
      </c>
      <c r="M3286" t="s">
        <v>38431</v>
      </c>
      <c r="N3286" t="s">
        <v>41249</v>
      </c>
      <c r="O3286" t="s">
        <v>41250</v>
      </c>
      <c r="P3286">
        <v>0</v>
      </c>
      <c r="Q3286">
        <v>5</v>
      </c>
      <c r="R3286" t="s">
        <v>41252</v>
      </c>
      <c r="S3286" t="s">
        <v>41383</v>
      </c>
      <c r="T3286" t="s">
        <v>42688</v>
      </c>
      <c r="U3286" t="s">
        <v>45971</v>
      </c>
      <c r="W3286" t="s">
        <v>38431</v>
      </c>
      <c r="X3286" t="s">
        <v>41254</v>
      </c>
    </row>
    <row r="3287" spans="1:24">
      <c r="A3287">
        <f>HYPERLINK("https://www.philgeps.gov.ph/GEPSNONPILOT/Tender/SplashBidNoticeAbstractUI.aspx?menuIndex=3&amp;refID=7074335&amp;Result=3","7074335")</f>
        <v>0</v>
      </c>
      <c r="B3287" t="s">
        <v>1325</v>
      </c>
      <c r="C3287" t="s">
        <v>6533</v>
      </c>
      <c r="D3287" t="s">
        <v>16634</v>
      </c>
      <c r="E3287" t="s">
        <v>19687</v>
      </c>
      <c r="F3287" t="s">
        <v>28669</v>
      </c>
      <c r="G3287" t="s">
        <v>28675</v>
      </c>
      <c r="H3287" t="s">
        <v>9998</v>
      </c>
      <c r="I3287" t="s">
        <v>11593</v>
      </c>
      <c r="J3287" t="s">
        <v>28912</v>
      </c>
      <c r="K3287" t="s">
        <v>37206</v>
      </c>
      <c r="M3287" t="s">
        <v>38878</v>
      </c>
      <c r="N3287" t="s">
        <v>41249</v>
      </c>
      <c r="O3287" t="s">
        <v>41250</v>
      </c>
      <c r="P3287">
        <v>0</v>
      </c>
      <c r="Q3287">
        <v>1</v>
      </c>
      <c r="R3287" t="s">
        <v>41252</v>
      </c>
      <c r="S3287" t="s">
        <v>41383</v>
      </c>
      <c r="T3287" t="s">
        <v>42687</v>
      </c>
      <c r="U3287" t="s">
        <v>45972</v>
      </c>
      <c r="V3287" t="s">
        <v>54635</v>
      </c>
      <c r="W3287" t="s">
        <v>38878</v>
      </c>
      <c r="X3287" t="s">
        <v>41254</v>
      </c>
    </row>
    <row r="3288" spans="1:24">
      <c r="A3288">
        <f>HYPERLINK("https://www.philgeps.gov.ph/GEPSNONPILOT/Tender/SplashBidNoticeAbstractUI.aspx?menuIndex=3&amp;refID=7074371&amp;Result=3","7074371")</f>
        <v>0</v>
      </c>
      <c r="B3288" t="s">
        <v>51</v>
      </c>
      <c r="C3288" t="s">
        <v>6534</v>
      </c>
      <c r="D3288" t="s">
        <v>16631</v>
      </c>
      <c r="E3288" t="s">
        <v>19688</v>
      </c>
      <c r="F3288" t="s">
        <v>28669</v>
      </c>
      <c r="G3288" t="s">
        <v>28677</v>
      </c>
      <c r="H3288" t="s">
        <v>9998</v>
      </c>
      <c r="I3288" t="s">
        <v>6128</v>
      </c>
      <c r="J3288" t="s">
        <v>31003</v>
      </c>
      <c r="K3288" t="s">
        <v>37204</v>
      </c>
      <c r="M3288" t="s">
        <v>38699</v>
      </c>
      <c r="N3288" t="s">
        <v>41249</v>
      </c>
      <c r="O3288" t="s">
        <v>41250</v>
      </c>
      <c r="P3288">
        <v>0</v>
      </c>
      <c r="Q3288">
        <v>0</v>
      </c>
      <c r="R3288" t="s">
        <v>41252</v>
      </c>
      <c r="S3288" t="s">
        <v>41383</v>
      </c>
      <c r="T3288" t="s">
        <v>42670</v>
      </c>
      <c r="U3288" t="s">
        <v>45973</v>
      </c>
      <c r="W3288" t="s">
        <v>38699</v>
      </c>
      <c r="X3288" t="s">
        <v>41254</v>
      </c>
    </row>
    <row r="3289" spans="1:24">
      <c r="A3289">
        <f>HYPERLINK("https://www.philgeps.gov.ph/GEPSNONPILOT/Tender/SplashBidNoticeAbstractUI.aspx?menuIndex=3&amp;refID=7074370&amp;Result=3","7074370")</f>
        <v>0</v>
      </c>
      <c r="B3289" t="s">
        <v>1213</v>
      </c>
      <c r="C3289" t="s">
        <v>6535</v>
      </c>
      <c r="D3289" t="s">
        <v>16611</v>
      </c>
      <c r="E3289" t="s">
        <v>6569</v>
      </c>
      <c r="F3289" t="s">
        <v>28669</v>
      </c>
      <c r="G3289" t="s">
        <v>28675</v>
      </c>
      <c r="H3289" t="s">
        <v>9998</v>
      </c>
      <c r="I3289" t="s">
        <v>28687</v>
      </c>
      <c r="J3289" t="s">
        <v>29034</v>
      </c>
      <c r="K3289" t="s">
        <v>37209</v>
      </c>
      <c r="M3289" t="s">
        <v>38754</v>
      </c>
      <c r="N3289" t="s">
        <v>41249</v>
      </c>
      <c r="O3289" t="s">
        <v>41250</v>
      </c>
      <c r="P3289">
        <v>0</v>
      </c>
      <c r="Q3289">
        <v>1</v>
      </c>
      <c r="R3289" t="s">
        <v>41252</v>
      </c>
      <c r="S3289" t="s">
        <v>41383</v>
      </c>
      <c r="T3289" t="s">
        <v>42678</v>
      </c>
      <c r="U3289" t="s">
        <v>45974</v>
      </c>
      <c r="W3289" t="s">
        <v>38754</v>
      </c>
      <c r="X3289" t="s">
        <v>41254</v>
      </c>
    </row>
    <row r="3290" spans="1:24">
      <c r="A3290">
        <f>HYPERLINK("https://www.philgeps.gov.ph/GEPSNONPILOT/Tender/SplashBidNoticeAbstractUI.aspx?menuIndex=3&amp;refID=7074366&amp;Result=3","7074366")</f>
        <v>0</v>
      </c>
      <c r="B3290" t="s">
        <v>201</v>
      </c>
      <c r="C3290" t="s">
        <v>6536</v>
      </c>
      <c r="D3290" t="s">
        <v>16635</v>
      </c>
      <c r="E3290" t="s">
        <v>19689</v>
      </c>
      <c r="F3290" t="s">
        <v>28669</v>
      </c>
      <c r="G3290" t="s">
        <v>28676</v>
      </c>
      <c r="H3290" t="s">
        <v>9998</v>
      </c>
      <c r="I3290" t="s">
        <v>3718</v>
      </c>
      <c r="J3290" t="s">
        <v>31004</v>
      </c>
      <c r="K3290" t="s">
        <v>37209</v>
      </c>
      <c r="M3290" t="s">
        <v>37679</v>
      </c>
      <c r="N3290" t="s">
        <v>41249</v>
      </c>
      <c r="O3290" t="s">
        <v>41250</v>
      </c>
      <c r="P3290">
        <v>0</v>
      </c>
      <c r="Q3290">
        <v>1</v>
      </c>
      <c r="R3290" t="s">
        <v>41252</v>
      </c>
      <c r="S3290" t="s">
        <v>41383</v>
      </c>
      <c r="T3290" t="s">
        <v>42729</v>
      </c>
      <c r="U3290" t="s">
        <v>43499</v>
      </c>
      <c r="W3290" t="s">
        <v>37679</v>
      </c>
      <c r="X3290" t="s">
        <v>41254</v>
      </c>
    </row>
    <row r="3291" spans="1:24">
      <c r="A3291">
        <f>HYPERLINK("https://www.philgeps.gov.ph/GEPSNONPILOT/Tender/SplashBidNoticeAbstractUI.aspx?menuIndex=3&amp;refID=7074328&amp;Result=3","7074328")</f>
        <v>0</v>
      </c>
      <c r="B3291" t="s">
        <v>1326</v>
      </c>
      <c r="C3291" t="s">
        <v>6537</v>
      </c>
      <c r="D3291" t="s">
        <v>16619</v>
      </c>
      <c r="E3291" t="s">
        <v>19690</v>
      </c>
      <c r="F3291" t="s">
        <v>28669</v>
      </c>
      <c r="G3291" t="s">
        <v>28677</v>
      </c>
      <c r="H3291" t="s">
        <v>9998</v>
      </c>
      <c r="I3291" t="s">
        <v>28688</v>
      </c>
      <c r="J3291" t="s">
        <v>31005</v>
      </c>
      <c r="K3291" t="s">
        <v>37208</v>
      </c>
      <c r="M3291" t="s">
        <v>38879</v>
      </c>
      <c r="N3291" t="s">
        <v>41249</v>
      </c>
      <c r="O3291" t="s">
        <v>41250</v>
      </c>
      <c r="P3291">
        <v>0</v>
      </c>
      <c r="Q3291">
        <v>1</v>
      </c>
      <c r="R3291" t="s">
        <v>41252</v>
      </c>
      <c r="S3291" t="s">
        <v>41383</v>
      </c>
      <c r="T3291" t="s">
        <v>42758</v>
      </c>
      <c r="U3291" t="s">
        <v>45975</v>
      </c>
      <c r="V3291" t="s">
        <v>54636</v>
      </c>
      <c r="W3291" t="s">
        <v>38879</v>
      </c>
      <c r="X3291" t="s">
        <v>41254</v>
      </c>
    </row>
    <row r="3292" spans="1:24">
      <c r="A3292">
        <f>HYPERLINK("https://www.philgeps.gov.ph/GEPSNONPILOT/Tender/SplashBidNoticeAbstractUI.aspx?menuIndex=3&amp;refID=7074363&amp;Result=3","7074363")</f>
        <v>0</v>
      </c>
      <c r="B3292" t="s">
        <v>602</v>
      </c>
      <c r="C3292" t="s">
        <v>6538</v>
      </c>
      <c r="D3292" t="s">
        <v>16661</v>
      </c>
      <c r="E3292" t="s">
        <v>19691</v>
      </c>
      <c r="F3292" t="s">
        <v>28669</v>
      </c>
      <c r="G3292" t="s">
        <v>28677</v>
      </c>
      <c r="H3292" t="s">
        <v>9998</v>
      </c>
      <c r="I3292" t="s">
        <v>5213</v>
      </c>
      <c r="J3292" t="s">
        <v>31006</v>
      </c>
      <c r="K3292" t="s">
        <v>37204</v>
      </c>
      <c r="M3292" t="s">
        <v>38102</v>
      </c>
      <c r="N3292" t="s">
        <v>41249</v>
      </c>
      <c r="O3292" t="s">
        <v>41250</v>
      </c>
      <c r="P3292">
        <v>0</v>
      </c>
      <c r="Q3292">
        <v>0</v>
      </c>
      <c r="R3292" t="s">
        <v>41252</v>
      </c>
      <c r="S3292" t="s">
        <v>41383</v>
      </c>
      <c r="T3292" t="s">
        <v>42736</v>
      </c>
      <c r="U3292" t="s">
        <v>45976</v>
      </c>
      <c r="W3292" t="s">
        <v>38102</v>
      </c>
      <c r="X3292" t="s">
        <v>41254</v>
      </c>
    </row>
    <row r="3293" spans="1:24">
      <c r="A3293">
        <f>HYPERLINK("https://www.philgeps.gov.ph/GEPSNONPILOT/Tender/SplashBidNoticeAbstractUI.aspx?menuIndex=3&amp;refID=7074349&amp;Result=3","7074349")</f>
        <v>0</v>
      </c>
      <c r="B3293" t="s">
        <v>546</v>
      </c>
      <c r="C3293" t="s">
        <v>6539</v>
      </c>
      <c r="D3293" t="s">
        <v>16629</v>
      </c>
      <c r="E3293" t="s">
        <v>19692</v>
      </c>
      <c r="F3293" t="s">
        <v>28669</v>
      </c>
      <c r="G3293" t="s">
        <v>28675</v>
      </c>
      <c r="H3293" t="s">
        <v>9998</v>
      </c>
      <c r="I3293" t="s">
        <v>28689</v>
      </c>
      <c r="J3293" t="s">
        <v>31007</v>
      </c>
      <c r="K3293" t="s">
        <v>37227</v>
      </c>
      <c r="M3293" t="s">
        <v>38039</v>
      </c>
      <c r="N3293" t="s">
        <v>41249</v>
      </c>
      <c r="O3293" t="s">
        <v>41250</v>
      </c>
      <c r="P3293">
        <v>0</v>
      </c>
      <c r="Q3293">
        <v>0</v>
      </c>
      <c r="R3293" t="s">
        <v>41252</v>
      </c>
      <c r="S3293" t="s">
        <v>41383</v>
      </c>
      <c r="T3293" t="s">
        <v>42761</v>
      </c>
      <c r="U3293" t="s">
        <v>45942</v>
      </c>
      <c r="W3293" t="s">
        <v>38039</v>
      </c>
      <c r="X3293" t="s">
        <v>41254</v>
      </c>
    </row>
    <row r="3294" spans="1:24">
      <c r="A3294">
        <f>HYPERLINK("https://www.philgeps.gov.ph/GEPSNONPILOT/Tender/SplashBidNoticeAbstractUI.aspx?menuIndex=3&amp;refID=7074365&amp;Result=3","7074365")</f>
        <v>0</v>
      </c>
      <c r="B3294" t="s">
        <v>1327</v>
      </c>
      <c r="C3294" t="s">
        <v>6540</v>
      </c>
      <c r="D3294" t="s">
        <v>16627</v>
      </c>
      <c r="E3294" t="s">
        <v>19693</v>
      </c>
      <c r="F3294" t="s">
        <v>28669</v>
      </c>
      <c r="G3294" t="s">
        <v>28677</v>
      </c>
      <c r="H3294" t="s">
        <v>9998</v>
      </c>
      <c r="I3294" t="s">
        <v>28707</v>
      </c>
      <c r="J3294" t="s">
        <v>31008</v>
      </c>
      <c r="K3294" t="s">
        <v>37206</v>
      </c>
      <c r="M3294" t="s">
        <v>38880</v>
      </c>
      <c r="N3294" t="s">
        <v>41249</v>
      </c>
      <c r="O3294" t="s">
        <v>41250</v>
      </c>
      <c r="P3294">
        <v>0</v>
      </c>
      <c r="Q3294">
        <v>7</v>
      </c>
      <c r="R3294" t="s">
        <v>41252</v>
      </c>
      <c r="S3294" t="s">
        <v>41383</v>
      </c>
      <c r="T3294" t="s">
        <v>42687</v>
      </c>
      <c r="U3294" t="s">
        <v>45977</v>
      </c>
      <c r="W3294" t="s">
        <v>38880</v>
      </c>
      <c r="X3294" t="s">
        <v>41254</v>
      </c>
    </row>
    <row r="3295" spans="1:24">
      <c r="A3295">
        <f>HYPERLINK("https://www.philgeps.gov.ph/GEPSNONPILOT/Tender/SplashBidNoticeAbstractUI.aspx?menuIndex=3&amp;refID=7074362&amp;Result=3","7074362")</f>
        <v>0</v>
      </c>
      <c r="B3295" t="s">
        <v>1064</v>
      </c>
      <c r="C3295" t="s">
        <v>6541</v>
      </c>
      <c r="D3295" t="s">
        <v>16655</v>
      </c>
      <c r="E3295" t="s">
        <v>19694</v>
      </c>
      <c r="F3295" t="s">
        <v>28669</v>
      </c>
      <c r="G3295" t="s">
        <v>28675</v>
      </c>
      <c r="H3295" t="s">
        <v>28686</v>
      </c>
      <c r="I3295" t="s">
        <v>28689</v>
      </c>
      <c r="J3295" t="s">
        <v>31009</v>
      </c>
      <c r="K3295" t="s">
        <v>37333</v>
      </c>
      <c r="M3295" t="s">
        <v>38595</v>
      </c>
      <c r="N3295" t="s">
        <v>41249</v>
      </c>
      <c r="O3295" t="s">
        <v>41250</v>
      </c>
      <c r="P3295">
        <v>0</v>
      </c>
      <c r="Q3295">
        <v>0</v>
      </c>
      <c r="R3295" t="s">
        <v>41252</v>
      </c>
      <c r="S3295" t="s">
        <v>41383</v>
      </c>
      <c r="T3295" t="s">
        <v>42669</v>
      </c>
      <c r="U3295" t="s">
        <v>45354</v>
      </c>
      <c r="W3295" t="s">
        <v>38595</v>
      </c>
      <c r="X3295" t="s">
        <v>41254</v>
      </c>
    </row>
    <row r="3296" spans="1:24">
      <c r="A3296">
        <f>HYPERLINK("https://www.philgeps.gov.ph/GEPSNONPILOT/Tender/SplashBidNoticeAbstractUI.aspx?menuIndex=3&amp;refID=7074359&amp;Result=3","7074359")</f>
        <v>0</v>
      </c>
      <c r="B3296" t="s">
        <v>1325</v>
      </c>
      <c r="C3296" t="s">
        <v>6542</v>
      </c>
      <c r="D3296" t="s">
        <v>16634</v>
      </c>
      <c r="E3296" t="s">
        <v>19695</v>
      </c>
      <c r="F3296" t="s">
        <v>28669</v>
      </c>
      <c r="G3296" t="s">
        <v>28675</v>
      </c>
      <c r="H3296" t="s">
        <v>9998</v>
      </c>
      <c r="I3296" t="s">
        <v>3658</v>
      </c>
      <c r="J3296" t="s">
        <v>28838</v>
      </c>
      <c r="K3296" t="s">
        <v>37206</v>
      </c>
      <c r="M3296" t="s">
        <v>38878</v>
      </c>
      <c r="N3296" t="s">
        <v>41249</v>
      </c>
      <c r="O3296" t="s">
        <v>41250</v>
      </c>
      <c r="P3296">
        <v>0</v>
      </c>
      <c r="Q3296">
        <v>1</v>
      </c>
      <c r="R3296" t="s">
        <v>41252</v>
      </c>
      <c r="S3296" t="s">
        <v>41383</v>
      </c>
      <c r="T3296" t="s">
        <v>42687</v>
      </c>
      <c r="U3296" t="s">
        <v>45972</v>
      </c>
      <c r="W3296" t="s">
        <v>38878</v>
      </c>
      <c r="X3296" t="s">
        <v>41254</v>
      </c>
    </row>
    <row r="3297" spans="1:24">
      <c r="A3297">
        <f>HYPERLINK("https://www.philgeps.gov.ph/GEPSNONPILOT/Tender/SplashBidNoticeAbstractUI.aspx?menuIndex=3&amp;refID=7074358&amp;Result=3","7074358")</f>
        <v>0</v>
      </c>
      <c r="B3297" t="s">
        <v>369</v>
      </c>
      <c r="C3297" t="s">
        <v>6543</v>
      </c>
      <c r="D3297" t="s">
        <v>16619</v>
      </c>
      <c r="E3297" t="s">
        <v>19696</v>
      </c>
      <c r="F3297" t="s">
        <v>28669</v>
      </c>
      <c r="G3297" t="s">
        <v>28676</v>
      </c>
      <c r="H3297" t="s">
        <v>9998</v>
      </c>
      <c r="I3297" t="s">
        <v>11593</v>
      </c>
      <c r="J3297" t="s">
        <v>28834</v>
      </c>
      <c r="K3297" t="s">
        <v>37204</v>
      </c>
      <c r="M3297" t="s">
        <v>37865</v>
      </c>
      <c r="N3297" t="s">
        <v>41249</v>
      </c>
      <c r="O3297" t="s">
        <v>41250</v>
      </c>
      <c r="P3297">
        <v>0</v>
      </c>
      <c r="Q3297">
        <v>4</v>
      </c>
      <c r="R3297" t="s">
        <v>41252</v>
      </c>
      <c r="S3297" t="s">
        <v>41383</v>
      </c>
      <c r="T3297" t="s">
        <v>42679</v>
      </c>
      <c r="U3297" t="s">
        <v>43816</v>
      </c>
      <c r="W3297" t="s">
        <v>37865</v>
      </c>
      <c r="X3297" t="s">
        <v>41254</v>
      </c>
    </row>
    <row r="3298" spans="1:24">
      <c r="A3298">
        <f>HYPERLINK("https://www.philgeps.gov.ph/GEPSNONPILOT/Tender/SplashBidNoticeAbstractUI.aspx?menuIndex=3&amp;refID=7074357&amp;Result=3","7074357")</f>
        <v>0</v>
      </c>
      <c r="B3298" t="s">
        <v>1244</v>
      </c>
      <c r="C3298" t="s">
        <v>6544</v>
      </c>
      <c r="D3298" t="s">
        <v>16686</v>
      </c>
      <c r="E3298" t="s">
        <v>19697</v>
      </c>
      <c r="F3298" t="s">
        <v>28669</v>
      </c>
      <c r="G3298" t="s">
        <v>28676</v>
      </c>
      <c r="H3298" t="s">
        <v>9998</v>
      </c>
      <c r="I3298" t="s">
        <v>28719</v>
      </c>
      <c r="J3298" t="s">
        <v>28974</v>
      </c>
      <c r="K3298" t="s">
        <v>37210</v>
      </c>
      <c r="M3298" t="s">
        <v>38791</v>
      </c>
      <c r="N3298" t="s">
        <v>41249</v>
      </c>
      <c r="O3298" t="s">
        <v>41250</v>
      </c>
      <c r="P3298">
        <v>0</v>
      </c>
      <c r="Q3298">
        <v>4</v>
      </c>
      <c r="R3298" t="s">
        <v>41252</v>
      </c>
      <c r="S3298" t="s">
        <v>41383</v>
      </c>
      <c r="T3298" t="s">
        <v>42711</v>
      </c>
      <c r="U3298" t="s">
        <v>45978</v>
      </c>
      <c r="W3298" t="s">
        <v>38791</v>
      </c>
      <c r="X3298" t="s">
        <v>41254</v>
      </c>
    </row>
    <row r="3299" spans="1:24">
      <c r="A3299">
        <f>HYPERLINK("https://www.philgeps.gov.ph/GEPSNONPILOT/Tender/SplashBidNoticeAbstractUI.aspx?menuIndex=3&amp;refID=7074354&amp;Result=3","7074354")</f>
        <v>0</v>
      </c>
      <c r="B3299" t="s">
        <v>1090</v>
      </c>
      <c r="C3299" t="s">
        <v>6545</v>
      </c>
      <c r="E3299" t="s">
        <v>19698</v>
      </c>
      <c r="F3299" t="s">
        <v>28669</v>
      </c>
      <c r="G3299" t="s">
        <v>28676</v>
      </c>
      <c r="H3299" t="s">
        <v>9998</v>
      </c>
      <c r="I3299" t="s">
        <v>28722</v>
      </c>
      <c r="J3299" t="s">
        <v>29743</v>
      </c>
      <c r="K3299" t="s">
        <v>37209</v>
      </c>
      <c r="M3299" t="s">
        <v>38622</v>
      </c>
      <c r="N3299" t="s">
        <v>41249</v>
      </c>
      <c r="O3299" t="s">
        <v>41250</v>
      </c>
      <c r="P3299">
        <v>0</v>
      </c>
      <c r="Q3299">
        <v>1</v>
      </c>
      <c r="R3299" t="s">
        <v>41252</v>
      </c>
      <c r="S3299" t="s">
        <v>41383</v>
      </c>
      <c r="T3299" t="s">
        <v>42702</v>
      </c>
      <c r="U3299" t="s">
        <v>45979</v>
      </c>
      <c r="W3299" t="s">
        <v>38622</v>
      </c>
      <c r="X3299" t="s">
        <v>41254</v>
      </c>
    </row>
    <row r="3300" spans="1:24">
      <c r="A3300">
        <f>HYPERLINK("https://www.philgeps.gov.ph/GEPSNONPILOT/Tender/SplashBidNoticeAbstractUI.aspx?menuIndex=3&amp;refID=7074353&amp;Result=3","7074353")</f>
        <v>0</v>
      </c>
      <c r="B3300" t="s">
        <v>965</v>
      </c>
      <c r="C3300" t="s">
        <v>6546</v>
      </c>
      <c r="D3300" t="s">
        <v>16608</v>
      </c>
      <c r="E3300" t="s">
        <v>19699</v>
      </c>
      <c r="F3300" t="s">
        <v>28669</v>
      </c>
      <c r="G3300" t="s">
        <v>28675</v>
      </c>
      <c r="H3300" t="s">
        <v>9998</v>
      </c>
      <c r="I3300" t="s">
        <v>6128</v>
      </c>
      <c r="J3300" t="s">
        <v>31010</v>
      </c>
      <c r="K3300" t="s">
        <v>37205</v>
      </c>
      <c r="M3300" t="s">
        <v>38759</v>
      </c>
      <c r="N3300" t="s">
        <v>41249</v>
      </c>
      <c r="O3300" t="s">
        <v>41250</v>
      </c>
      <c r="P3300">
        <v>0</v>
      </c>
      <c r="Q3300">
        <v>2</v>
      </c>
      <c r="R3300" t="s">
        <v>41252</v>
      </c>
      <c r="S3300" t="s">
        <v>41383</v>
      </c>
      <c r="T3300" t="s">
        <v>42703</v>
      </c>
      <c r="U3300" t="s">
        <v>44022</v>
      </c>
      <c r="W3300" t="s">
        <v>38759</v>
      </c>
      <c r="X3300" t="s">
        <v>41254</v>
      </c>
    </row>
    <row r="3301" spans="1:24">
      <c r="A3301">
        <f>HYPERLINK("https://www.philgeps.gov.ph/GEPSNONPILOT/Tender/SplashBidNoticeAbstractUI.aspx?menuIndex=3&amp;refID=7074368&amp;Result=3","7074368")</f>
        <v>0</v>
      </c>
      <c r="B3301" t="s">
        <v>1278</v>
      </c>
      <c r="C3301" t="s">
        <v>6547</v>
      </c>
      <c r="D3301" t="s">
        <v>16684</v>
      </c>
      <c r="E3301" t="s">
        <v>19700</v>
      </c>
      <c r="F3301" t="s">
        <v>28669</v>
      </c>
      <c r="G3301" t="s">
        <v>28676</v>
      </c>
      <c r="H3301" t="s">
        <v>9998</v>
      </c>
      <c r="I3301" t="s">
        <v>6606</v>
      </c>
      <c r="J3301" t="s">
        <v>31011</v>
      </c>
      <c r="K3301" t="s">
        <v>37256</v>
      </c>
      <c r="M3301" t="s">
        <v>38828</v>
      </c>
      <c r="N3301" t="s">
        <v>41249</v>
      </c>
      <c r="O3301" t="s">
        <v>41250</v>
      </c>
      <c r="P3301">
        <v>0</v>
      </c>
      <c r="Q3301">
        <v>0</v>
      </c>
      <c r="R3301" t="s">
        <v>41252</v>
      </c>
      <c r="S3301" t="s">
        <v>41383</v>
      </c>
      <c r="T3301" t="s">
        <v>42757</v>
      </c>
      <c r="U3301" t="s">
        <v>45858</v>
      </c>
      <c r="W3301" t="s">
        <v>38828</v>
      </c>
      <c r="X3301" t="s">
        <v>41254</v>
      </c>
    </row>
    <row r="3302" spans="1:24">
      <c r="A3302">
        <f>HYPERLINK("https://www.philgeps.gov.ph/GEPSNONPILOT/Tender/SplashBidNoticeAbstractUI.aspx?menuIndex=3&amp;refID=7074364&amp;Result=3","7074364")</f>
        <v>0</v>
      </c>
      <c r="B3302" t="s">
        <v>614</v>
      </c>
      <c r="C3302" t="s">
        <v>6548</v>
      </c>
      <c r="D3302" t="s">
        <v>16648</v>
      </c>
      <c r="E3302" t="s">
        <v>19701</v>
      </c>
      <c r="F3302" t="s">
        <v>28669</v>
      </c>
      <c r="G3302" t="s">
        <v>28677</v>
      </c>
      <c r="H3302" t="s">
        <v>9998</v>
      </c>
      <c r="I3302" t="s">
        <v>28719</v>
      </c>
      <c r="J3302" t="s">
        <v>31012</v>
      </c>
      <c r="K3302" t="s">
        <v>37204</v>
      </c>
      <c r="M3302" t="s">
        <v>38114</v>
      </c>
      <c r="N3302" t="s">
        <v>41249</v>
      </c>
      <c r="O3302" t="s">
        <v>41250</v>
      </c>
      <c r="P3302">
        <v>0</v>
      </c>
      <c r="Q3302">
        <v>1</v>
      </c>
      <c r="R3302" t="s">
        <v>41252</v>
      </c>
      <c r="S3302" t="s">
        <v>41383</v>
      </c>
      <c r="T3302" t="s">
        <v>42679</v>
      </c>
      <c r="U3302" t="s">
        <v>45980</v>
      </c>
      <c r="W3302" t="s">
        <v>38114</v>
      </c>
      <c r="X3302" t="s">
        <v>41254</v>
      </c>
    </row>
    <row r="3303" spans="1:24">
      <c r="A3303">
        <f>HYPERLINK("https://www.philgeps.gov.ph/GEPSNONPILOT/Tender/SplashBidNoticeAbstractUI.aspx?menuIndex=3&amp;refID=7074391&amp;Result=3","7074391")</f>
        <v>0</v>
      </c>
      <c r="B3303" t="s">
        <v>1328</v>
      </c>
      <c r="C3303" t="s">
        <v>6549</v>
      </c>
      <c r="D3303" t="s">
        <v>16652</v>
      </c>
      <c r="E3303" t="s">
        <v>19702</v>
      </c>
      <c r="F3303" t="s">
        <v>28669</v>
      </c>
      <c r="G3303" t="s">
        <v>28675</v>
      </c>
      <c r="H3303" t="s">
        <v>28685</v>
      </c>
      <c r="I3303" t="s">
        <v>28685</v>
      </c>
      <c r="J3303" t="s">
        <v>31013</v>
      </c>
      <c r="K3303" t="s">
        <v>37227</v>
      </c>
      <c r="M3303" t="s">
        <v>38881</v>
      </c>
      <c r="N3303" t="s">
        <v>41249</v>
      </c>
      <c r="O3303" t="s">
        <v>41250</v>
      </c>
      <c r="Q3303">
        <v>1</v>
      </c>
      <c r="R3303" t="s">
        <v>41252</v>
      </c>
      <c r="S3303" t="s">
        <v>41402</v>
      </c>
      <c r="T3303" t="s">
        <v>42679</v>
      </c>
      <c r="U3303" t="s">
        <v>45981</v>
      </c>
      <c r="W3303" t="s">
        <v>38881</v>
      </c>
      <c r="X3303" t="s">
        <v>41254</v>
      </c>
    </row>
    <row r="3304" spans="1:24">
      <c r="A3304">
        <f>HYPERLINK("https://www.philgeps.gov.ph/GEPSNONPILOT/Tender/SplashBidNoticeAbstractUI.aspx?menuIndex=3&amp;refID=7074360&amp;Result=3","7074360")</f>
        <v>0</v>
      </c>
      <c r="B3304" t="s">
        <v>1329</v>
      </c>
      <c r="C3304" t="s">
        <v>6550</v>
      </c>
      <c r="D3304" t="s">
        <v>16617</v>
      </c>
      <c r="E3304" t="s">
        <v>19703</v>
      </c>
      <c r="F3304" t="s">
        <v>28669</v>
      </c>
      <c r="G3304" t="s">
        <v>28676</v>
      </c>
      <c r="H3304" t="s">
        <v>9998</v>
      </c>
      <c r="I3304" t="s">
        <v>28734</v>
      </c>
      <c r="J3304" t="s">
        <v>31014</v>
      </c>
      <c r="K3304" t="s">
        <v>37206</v>
      </c>
      <c r="M3304" t="s">
        <v>38882</v>
      </c>
      <c r="N3304" t="s">
        <v>41249</v>
      </c>
      <c r="O3304" t="s">
        <v>41250</v>
      </c>
      <c r="P3304">
        <v>0</v>
      </c>
      <c r="Q3304">
        <v>5</v>
      </c>
      <c r="R3304" t="s">
        <v>41252</v>
      </c>
      <c r="S3304" t="s">
        <v>41383</v>
      </c>
      <c r="T3304" t="s">
        <v>42673</v>
      </c>
      <c r="U3304" t="s">
        <v>45982</v>
      </c>
      <c r="W3304" t="s">
        <v>38882</v>
      </c>
      <c r="X3304" t="s">
        <v>41254</v>
      </c>
    </row>
    <row r="3305" spans="1:24">
      <c r="A3305">
        <f>HYPERLINK("https://www.philgeps.gov.ph/GEPSNONPILOT/Tender/SplashBidNoticeAbstractUI.aspx?menuIndex=3&amp;refID=7074390&amp;Result=3","7074390")</f>
        <v>0</v>
      </c>
      <c r="B3305" t="s">
        <v>1124</v>
      </c>
      <c r="C3305" t="s">
        <v>6551</v>
      </c>
      <c r="E3305" t="s">
        <v>19704</v>
      </c>
      <c r="F3305" t="s">
        <v>28669</v>
      </c>
      <c r="G3305" t="s">
        <v>28676</v>
      </c>
      <c r="H3305" t="s">
        <v>9998</v>
      </c>
      <c r="I3305" t="s">
        <v>28728</v>
      </c>
      <c r="J3305" t="s">
        <v>29790</v>
      </c>
      <c r="K3305" t="s">
        <v>37209</v>
      </c>
      <c r="M3305" t="s">
        <v>38883</v>
      </c>
      <c r="N3305" t="s">
        <v>41249</v>
      </c>
      <c r="O3305" t="s">
        <v>41250</v>
      </c>
      <c r="P3305">
        <v>0</v>
      </c>
      <c r="Q3305">
        <v>0</v>
      </c>
      <c r="R3305" t="s">
        <v>41252</v>
      </c>
      <c r="S3305" t="s">
        <v>41383</v>
      </c>
      <c r="T3305" t="s">
        <v>42729</v>
      </c>
      <c r="U3305" t="s">
        <v>45983</v>
      </c>
      <c r="W3305" t="s">
        <v>38883</v>
      </c>
      <c r="X3305" t="s">
        <v>41254</v>
      </c>
    </row>
    <row r="3306" spans="1:24">
      <c r="A3306">
        <f>HYPERLINK("https://www.philgeps.gov.ph/GEPSNONPILOT/Tender/SplashBidNoticeAbstractUI.aspx?menuIndex=3&amp;refID=7074387&amp;Result=3","7074387")</f>
        <v>0</v>
      </c>
      <c r="B3306" t="s">
        <v>443</v>
      </c>
      <c r="C3306" t="s">
        <v>6552</v>
      </c>
      <c r="E3306" t="s">
        <v>19705</v>
      </c>
      <c r="F3306" t="s">
        <v>28669</v>
      </c>
      <c r="G3306" t="s">
        <v>28676</v>
      </c>
      <c r="H3306" t="s">
        <v>9998</v>
      </c>
      <c r="I3306" t="s">
        <v>28704</v>
      </c>
      <c r="J3306" t="s">
        <v>29487</v>
      </c>
      <c r="K3306" t="s">
        <v>37204</v>
      </c>
      <c r="M3306" t="s">
        <v>37928</v>
      </c>
      <c r="N3306" t="s">
        <v>41249</v>
      </c>
      <c r="O3306" t="s">
        <v>41250</v>
      </c>
      <c r="P3306">
        <v>0</v>
      </c>
      <c r="Q3306">
        <v>1</v>
      </c>
      <c r="R3306" t="s">
        <v>41252</v>
      </c>
      <c r="S3306" t="s">
        <v>41383</v>
      </c>
      <c r="T3306" t="s">
        <v>42758</v>
      </c>
      <c r="U3306" t="s">
        <v>45984</v>
      </c>
      <c r="W3306" t="s">
        <v>37928</v>
      </c>
      <c r="X3306" t="s">
        <v>41254</v>
      </c>
    </row>
    <row r="3307" spans="1:24">
      <c r="A3307">
        <f>HYPERLINK("https://www.philgeps.gov.ph/GEPSNONPILOT/Tender/SplashBidNoticeAbstractUI.aspx?menuIndex=3&amp;refID=7074356&amp;Result=3","7074356")</f>
        <v>0</v>
      </c>
      <c r="B3307" t="s">
        <v>1308</v>
      </c>
      <c r="C3307" t="s">
        <v>6553</v>
      </c>
      <c r="D3307" t="s">
        <v>16654</v>
      </c>
      <c r="E3307" t="s">
        <v>19706</v>
      </c>
      <c r="F3307" t="s">
        <v>28669</v>
      </c>
      <c r="G3307" t="s">
        <v>28676</v>
      </c>
      <c r="H3307" t="s">
        <v>28686</v>
      </c>
      <c r="I3307" t="s">
        <v>28689</v>
      </c>
      <c r="J3307" t="s">
        <v>31015</v>
      </c>
      <c r="K3307" t="s">
        <v>37209</v>
      </c>
      <c r="M3307" t="s">
        <v>38860</v>
      </c>
      <c r="N3307" t="s">
        <v>41249</v>
      </c>
      <c r="O3307" t="s">
        <v>41250</v>
      </c>
      <c r="P3307">
        <v>0</v>
      </c>
      <c r="Q3307">
        <v>0</v>
      </c>
      <c r="R3307" t="s">
        <v>41252</v>
      </c>
      <c r="S3307" t="s">
        <v>41383</v>
      </c>
      <c r="T3307" t="s">
        <v>42701</v>
      </c>
      <c r="U3307" t="s">
        <v>45985</v>
      </c>
      <c r="W3307" t="s">
        <v>38860</v>
      </c>
      <c r="X3307" t="s">
        <v>41254</v>
      </c>
    </row>
    <row r="3308" spans="1:24">
      <c r="A3308">
        <f>HYPERLINK("https://www.philgeps.gov.ph/GEPSNONPILOT/Tender/SplashBidNoticeAbstractUI.aspx?menuIndex=3&amp;refID=7074386&amp;Result=3","7074386")</f>
        <v>0</v>
      </c>
      <c r="B3308" t="s">
        <v>59</v>
      </c>
      <c r="C3308" t="s">
        <v>6554</v>
      </c>
      <c r="D3308" t="s">
        <v>16635</v>
      </c>
      <c r="E3308" t="s">
        <v>17735</v>
      </c>
      <c r="F3308" t="s">
        <v>28669</v>
      </c>
      <c r="G3308" t="s">
        <v>28676</v>
      </c>
      <c r="H3308" t="s">
        <v>9998</v>
      </c>
      <c r="I3308" t="s">
        <v>28712</v>
      </c>
      <c r="J3308" t="s">
        <v>28894</v>
      </c>
      <c r="K3308" t="s">
        <v>37209</v>
      </c>
      <c r="M3308" t="s">
        <v>37534</v>
      </c>
      <c r="N3308" t="s">
        <v>41249</v>
      </c>
      <c r="O3308" t="s">
        <v>41250</v>
      </c>
      <c r="P3308">
        <v>0</v>
      </c>
      <c r="Q3308">
        <v>1</v>
      </c>
      <c r="R3308" t="s">
        <v>41252</v>
      </c>
      <c r="S3308" t="s">
        <v>41383</v>
      </c>
      <c r="T3308" t="s">
        <v>42758</v>
      </c>
      <c r="U3308" t="s">
        <v>45051</v>
      </c>
      <c r="W3308" t="s">
        <v>37534</v>
      </c>
      <c r="X3308" t="s">
        <v>41254</v>
      </c>
    </row>
    <row r="3309" spans="1:24">
      <c r="A3309">
        <f>HYPERLINK("https://www.philgeps.gov.ph/GEPSNONPILOT/Tender/SplashBidNoticeAbstractUI.aspx?menuIndex=3&amp;refID=7074382&amp;Result=3","7074382")</f>
        <v>0</v>
      </c>
      <c r="B3309" t="s">
        <v>491</v>
      </c>
      <c r="C3309" t="s">
        <v>6555</v>
      </c>
      <c r="D3309" t="s">
        <v>16654</v>
      </c>
      <c r="E3309" t="s">
        <v>19707</v>
      </c>
      <c r="F3309" t="s">
        <v>28669</v>
      </c>
      <c r="G3309" t="s">
        <v>28675</v>
      </c>
      <c r="H3309" t="s">
        <v>28686</v>
      </c>
      <c r="I3309" t="s">
        <v>28689</v>
      </c>
      <c r="J3309" t="s">
        <v>31016</v>
      </c>
      <c r="K3309" t="s">
        <v>37211</v>
      </c>
      <c r="M3309" t="s">
        <v>38536</v>
      </c>
      <c r="N3309" t="s">
        <v>41249</v>
      </c>
      <c r="O3309" t="s">
        <v>41250</v>
      </c>
      <c r="P3309">
        <v>0</v>
      </c>
      <c r="Q3309">
        <v>0</v>
      </c>
      <c r="R3309" t="s">
        <v>41252</v>
      </c>
      <c r="S3309" t="s">
        <v>41383</v>
      </c>
      <c r="T3309" t="s">
        <v>42692</v>
      </c>
      <c r="U3309" t="s">
        <v>45986</v>
      </c>
      <c r="V3309" t="s">
        <v>54551</v>
      </c>
      <c r="W3309" t="s">
        <v>38536</v>
      </c>
      <c r="X3309" t="s">
        <v>41254</v>
      </c>
    </row>
    <row r="3310" spans="1:24">
      <c r="A3310">
        <f>HYPERLINK("https://www.philgeps.gov.ph/GEPSNONPILOT/Tender/SplashBidNoticeAbstractUI.aspx?menuIndex=3&amp;refID=7074392&amp;Result=3","7074392")</f>
        <v>0</v>
      </c>
      <c r="B3310" t="s">
        <v>1316</v>
      </c>
      <c r="C3310" t="s">
        <v>6556</v>
      </c>
      <c r="D3310" t="s">
        <v>16654</v>
      </c>
      <c r="E3310" t="s">
        <v>17218</v>
      </c>
      <c r="F3310" t="s">
        <v>28669</v>
      </c>
      <c r="G3310" t="s">
        <v>28675</v>
      </c>
      <c r="H3310" t="s">
        <v>9998</v>
      </c>
      <c r="I3310" t="s">
        <v>7352</v>
      </c>
      <c r="J3310" t="s">
        <v>28914</v>
      </c>
      <c r="K3310" t="s">
        <v>37206</v>
      </c>
      <c r="M3310" t="s">
        <v>38868</v>
      </c>
      <c r="N3310" t="s">
        <v>41249</v>
      </c>
      <c r="O3310" t="s">
        <v>41250</v>
      </c>
      <c r="P3310">
        <v>0</v>
      </c>
      <c r="Q3310">
        <v>1</v>
      </c>
      <c r="R3310" t="s">
        <v>41252</v>
      </c>
      <c r="S3310" t="s">
        <v>41383</v>
      </c>
      <c r="T3310" t="s">
        <v>42682</v>
      </c>
      <c r="U3310" t="s">
        <v>45987</v>
      </c>
      <c r="W3310" t="s">
        <v>38868</v>
      </c>
      <c r="X3310" t="s">
        <v>41254</v>
      </c>
    </row>
    <row r="3311" spans="1:24">
      <c r="A3311">
        <f>HYPERLINK("https://www.philgeps.gov.ph/GEPSNONPILOT/Tender/SplashBidNoticeAbstractUI.aspx?menuIndex=3&amp;refID=7074381&amp;Result=3","7074381")</f>
        <v>0</v>
      </c>
      <c r="B3311" t="s">
        <v>358</v>
      </c>
      <c r="C3311" t="s">
        <v>6557</v>
      </c>
      <c r="D3311" t="s">
        <v>16683</v>
      </c>
      <c r="E3311" t="s">
        <v>19708</v>
      </c>
      <c r="F3311" t="s">
        <v>28669</v>
      </c>
      <c r="G3311" t="s">
        <v>28677</v>
      </c>
      <c r="H3311" t="s">
        <v>9998</v>
      </c>
      <c r="I3311" t="s">
        <v>6128</v>
      </c>
      <c r="J3311" t="s">
        <v>31017</v>
      </c>
      <c r="K3311" t="s">
        <v>37209</v>
      </c>
      <c r="M3311" t="s">
        <v>37839</v>
      </c>
      <c r="N3311" t="s">
        <v>41249</v>
      </c>
      <c r="O3311" t="s">
        <v>41250</v>
      </c>
      <c r="P3311">
        <v>0</v>
      </c>
      <c r="Q3311">
        <v>0</v>
      </c>
      <c r="R3311" t="s">
        <v>41252</v>
      </c>
      <c r="S3311" t="s">
        <v>41383</v>
      </c>
      <c r="T3311" t="s">
        <v>42883</v>
      </c>
      <c r="U3311" t="s">
        <v>45988</v>
      </c>
      <c r="W3311" t="s">
        <v>37839</v>
      </c>
      <c r="X3311" t="s">
        <v>41254</v>
      </c>
    </row>
    <row r="3312" spans="1:24">
      <c r="A3312">
        <f>HYPERLINK("https://www.philgeps.gov.ph/GEPSNONPILOT/Tender/SplashBidNoticeAbstractUI.aspx?menuIndex=3&amp;refID=7074369&amp;Result=3","7074369")</f>
        <v>0</v>
      </c>
      <c r="B3312" t="s">
        <v>689</v>
      </c>
      <c r="C3312" t="s">
        <v>6558</v>
      </c>
      <c r="D3312" t="s">
        <v>16608</v>
      </c>
      <c r="E3312" t="s">
        <v>19709</v>
      </c>
      <c r="F3312" t="s">
        <v>28669</v>
      </c>
      <c r="G3312" t="s">
        <v>28676</v>
      </c>
      <c r="H3312" t="s">
        <v>9998</v>
      </c>
      <c r="I3312" t="s">
        <v>28711</v>
      </c>
      <c r="J3312" t="s">
        <v>31018</v>
      </c>
      <c r="K3312" t="s">
        <v>37209</v>
      </c>
      <c r="M3312" t="s">
        <v>38194</v>
      </c>
      <c r="N3312" t="s">
        <v>41249</v>
      </c>
      <c r="O3312" t="s">
        <v>41250</v>
      </c>
      <c r="P3312">
        <v>0</v>
      </c>
      <c r="Q3312">
        <v>22</v>
      </c>
      <c r="R3312" t="s">
        <v>41252</v>
      </c>
      <c r="S3312" t="s">
        <v>41383</v>
      </c>
      <c r="T3312" t="s">
        <v>42741</v>
      </c>
      <c r="U3312" t="s">
        <v>45989</v>
      </c>
      <c r="W3312" t="s">
        <v>38194</v>
      </c>
      <c r="X3312" t="s">
        <v>41254</v>
      </c>
    </row>
    <row r="3313" spans="1:24">
      <c r="A3313">
        <f>HYPERLINK("https://www.philgeps.gov.ph/GEPSNONPILOT/Tender/SplashBidNoticeAbstractUI.aspx?menuIndex=3&amp;refID=7074389&amp;Result=3","7074389")</f>
        <v>0</v>
      </c>
      <c r="B3313" t="s">
        <v>1306</v>
      </c>
      <c r="C3313" t="s">
        <v>6559</v>
      </c>
      <c r="D3313" t="s">
        <v>16680</v>
      </c>
      <c r="E3313" t="s">
        <v>19710</v>
      </c>
      <c r="F3313" t="s">
        <v>28669</v>
      </c>
      <c r="G3313" t="s">
        <v>28675</v>
      </c>
      <c r="H3313" t="s">
        <v>9998</v>
      </c>
      <c r="I3313" t="s">
        <v>7352</v>
      </c>
      <c r="J3313" t="s">
        <v>31019</v>
      </c>
      <c r="K3313" t="s">
        <v>37206</v>
      </c>
      <c r="M3313" t="s">
        <v>38858</v>
      </c>
      <c r="N3313" t="s">
        <v>41249</v>
      </c>
      <c r="O3313" t="s">
        <v>41250</v>
      </c>
      <c r="P3313">
        <v>0</v>
      </c>
      <c r="Q3313">
        <v>0</v>
      </c>
      <c r="R3313" t="s">
        <v>41252</v>
      </c>
      <c r="S3313" t="s">
        <v>41383</v>
      </c>
      <c r="T3313" t="s">
        <v>42688</v>
      </c>
      <c r="U3313" t="s">
        <v>45967</v>
      </c>
      <c r="V3313" t="s">
        <v>54637</v>
      </c>
      <c r="W3313" t="s">
        <v>38858</v>
      </c>
      <c r="X3313" t="s">
        <v>41254</v>
      </c>
    </row>
    <row r="3314" spans="1:24">
      <c r="A3314">
        <f>HYPERLINK("https://www.philgeps.gov.ph/GEPSNONPILOT/Tender/SplashBidNoticeAbstractUI.aspx?menuIndex=3&amp;refID=7074378&amp;Result=3","7074378")</f>
        <v>0</v>
      </c>
      <c r="B3314" t="s">
        <v>965</v>
      </c>
      <c r="C3314" t="s">
        <v>6560</v>
      </c>
      <c r="D3314" t="s">
        <v>16608</v>
      </c>
      <c r="E3314" t="s">
        <v>19711</v>
      </c>
      <c r="F3314" t="s">
        <v>28669</v>
      </c>
      <c r="G3314" t="s">
        <v>28675</v>
      </c>
      <c r="H3314" t="s">
        <v>9998</v>
      </c>
      <c r="I3314" t="s">
        <v>15140</v>
      </c>
      <c r="J3314" t="s">
        <v>29809</v>
      </c>
      <c r="K3314" t="s">
        <v>37205</v>
      </c>
      <c r="M3314" t="s">
        <v>38759</v>
      </c>
      <c r="N3314" t="s">
        <v>41249</v>
      </c>
      <c r="O3314" t="s">
        <v>41250</v>
      </c>
      <c r="P3314">
        <v>0</v>
      </c>
      <c r="Q3314">
        <v>0</v>
      </c>
      <c r="R3314" t="s">
        <v>41252</v>
      </c>
      <c r="S3314" t="s">
        <v>41383</v>
      </c>
      <c r="T3314" t="s">
        <v>42703</v>
      </c>
      <c r="U3314" t="s">
        <v>45990</v>
      </c>
      <c r="W3314" t="s">
        <v>38759</v>
      </c>
      <c r="X3314" t="s">
        <v>41254</v>
      </c>
    </row>
    <row r="3315" spans="1:24">
      <c r="A3315">
        <f>HYPERLINK("https://www.philgeps.gov.ph/GEPSNONPILOT/Tender/SplashBidNoticeAbstractUI.aspx?menuIndex=3&amp;refID=7074394&amp;Result=3","7074394")</f>
        <v>0</v>
      </c>
      <c r="B3315" t="s">
        <v>1330</v>
      </c>
      <c r="C3315" t="s">
        <v>6561</v>
      </c>
      <c r="D3315" t="s">
        <v>16611</v>
      </c>
      <c r="E3315" t="s">
        <v>19712</v>
      </c>
      <c r="F3315" t="s">
        <v>28669</v>
      </c>
      <c r="G3315" t="s">
        <v>28675</v>
      </c>
      <c r="H3315" t="s">
        <v>9998</v>
      </c>
      <c r="I3315" t="s">
        <v>6606</v>
      </c>
      <c r="J3315" t="s">
        <v>29332</v>
      </c>
      <c r="K3315" t="s">
        <v>37206</v>
      </c>
      <c r="M3315" t="s">
        <v>38884</v>
      </c>
      <c r="N3315" t="s">
        <v>41249</v>
      </c>
      <c r="O3315" t="s">
        <v>41250</v>
      </c>
      <c r="P3315">
        <v>0</v>
      </c>
      <c r="Q3315">
        <v>0</v>
      </c>
      <c r="R3315" t="s">
        <v>41252</v>
      </c>
      <c r="S3315" t="s">
        <v>41383</v>
      </c>
      <c r="T3315" t="s">
        <v>42931</v>
      </c>
      <c r="U3315" t="s">
        <v>45991</v>
      </c>
      <c r="V3315" t="s">
        <v>54638</v>
      </c>
      <c r="W3315" t="s">
        <v>38884</v>
      </c>
      <c r="X3315" t="s">
        <v>41254</v>
      </c>
    </row>
    <row r="3316" spans="1:24">
      <c r="A3316">
        <f>HYPERLINK("https://www.philgeps.gov.ph/GEPSNONPILOT/Tender/SplashBidNoticeAbstractUI.aspx?menuIndex=3&amp;refID=7074383&amp;Result=3","7074383")</f>
        <v>0</v>
      </c>
      <c r="B3316" t="s">
        <v>1331</v>
      </c>
      <c r="C3316" t="s">
        <v>6562</v>
      </c>
      <c r="D3316" t="s">
        <v>16634</v>
      </c>
      <c r="E3316" t="s">
        <v>19713</v>
      </c>
      <c r="F3316" t="s">
        <v>28669</v>
      </c>
      <c r="G3316" t="s">
        <v>28676</v>
      </c>
      <c r="H3316" t="s">
        <v>9998</v>
      </c>
      <c r="I3316" t="s">
        <v>3718</v>
      </c>
      <c r="J3316" t="s">
        <v>31020</v>
      </c>
      <c r="K3316" t="s">
        <v>37206</v>
      </c>
      <c r="M3316" t="s">
        <v>38885</v>
      </c>
      <c r="N3316" t="s">
        <v>41249</v>
      </c>
      <c r="O3316" t="s">
        <v>41250</v>
      </c>
      <c r="P3316">
        <v>0</v>
      </c>
      <c r="Q3316">
        <v>2</v>
      </c>
      <c r="R3316" t="s">
        <v>41252</v>
      </c>
      <c r="S3316" t="s">
        <v>41383</v>
      </c>
      <c r="T3316" t="s">
        <v>42858</v>
      </c>
      <c r="U3316" t="s">
        <v>45992</v>
      </c>
      <c r="W3316" t="s">
        <v>38885</v>
      </c>
      <c r="X3316" t="s">
        <v>41254</v>
      </c>
    </row>
    <row r="3317" spans="1:24">
      <c r="A3317">
        <f>HYPERLINK("https://www.philgeps.gov.ph/GEPSNONPILOT/Tender/SplashBidNoticeAbstractUI.aspx?menuIndex=3&amp;refID=7074380&amp;Result=3","7074380")</f>
        <v>0</v>
      </c>
      <c r="B3317" t="s">
        <v>1325</v>
      </c>
      <c r="C3317" t="s">
        <v>6563</v>
      </c>
      <c r="D3317" t="s">
        <v>16634</v>
      </c>
      <c r="E3317" t="s">
        <v>19714</v>
      </c>
      <c r="F3317" t="s">
        <v>28669</v>
      </c>
      <c r="G3317" t="s">
        <v>28675</v>
      </c>
      <c r="H3317" t="s">
        <v>9998</v>
      </c>
      <c r="I3317" t="s">
        <v>3658</v>
      </c>
      <c r="J3317" t="s">
        <v>28838</v>
      </c>
      <c r="K3317" t="s">
        <v>37206</v>
      </c>
      <c r="M3317" t="s">
        <v>38878</v>
      </c>
      <c r="N3317" t="s">
        <v>41249</v>
      </c>
      <c r="O3317" t="s">
        <v>41250</v>
      </c>
      <c r="P3317">
        <v>0</v>
      </c>
      <c r="Q3317">
        <v>0</v>
      </c>
      <c r="R3317" t="s">
        <v>41252</v>
      </c>
      <c r="S3317" t="s">
        <v>41383</v>
      </c>
      <c r="T3317" t="s">
        <v>42687</v>
      </c>
      <c r="U3317" t="s">
        <v>45972</v>
      </c>
      <c r="W3317" t="s">
        <v>38878</v>
      </c>
      <c r="X3317" t="s">
        <v>41254</v>
      </c>
    </row>
    <row r="3318" spans="1:24">
      <c r="A3318">
        <f>HYPERLINK("https://www.philgeps.gov.ph/GEPSNONPILOT/Tender/SplashBidNoticeAbstractUI.aspx?menuIndex=3&amp;refID=7074347&amp;Result=3","7074347")</f>
        <v>0</v>
      </c>
      <c r="B3318" t="s">
        <v>121</v>
      </c>
      <c r="C3318" t="s">
        <v>6564</v>
      </c>
      <c r="D3318" t="s">
        <v>16608</v>
      </c>
      <c r="E3318" t="s">
        <v>19715</v>
      </c>
      <c r="F3318" t="s">
        <v>28669</v>
      </c>
      <c r="G3318" t="s">
        <v>28676</v>
      </c>
      <c r="H3318" t="s">
        <v>9998</v>
      </c>
      <c r="I3318" t="s">
        <v>11142</v>
      </c>
      <c r="J3318" t="s">
        <v>31021</v>
      </c>
      <c r="K3318" t="s">
        <v>37204</v>
      </c>
      <c r="M3318" t="s">
        <v>38830</v>
      </c>
      <c r="N3318" t="s">
        <v>41249</v>
      </c>
      <c r="O3318" t="s">
        <v>41250</v>
      </c>
      <c r="P3318">
        <v>0</v>
      </c>
      <c r="Q3318">
        <v>9</v>
      </c>
      <c r="R3318" t="s">
        <v>41252</v>
      </c>
      <c r="S3318" t="s">
        <v>41383</v>
      </c>
      <c r="T3318" t="s">
        <v>42701</v>
      </c>
      <c r="U3318" t="s">
        <v>45993</v>
      </c>
      <c r="W3318" t="s">
        <v>38830</v>
      </c>
      <c r="X3318" t="s">
        <v>41254</v>
      </c>
    </row>
    <row r="3319" spans="1:24">
      <c r="A3319">
        <f>HYPERLINK("https://www.philgeps.gov.ph/GEPSNONPILOT/Tender/SplashBidNoticeAbstractUI.aspx?menuIndex=3&amp;refID=7074379&amp;Result=3","7074379")</f>
        <v>0</v>
      </c>
      <c r="B3319" t="s">
        <v>1308</v>
      </c>
      <c r="C3319" t="s">
        <v>6565</v>
      </c>
      <c r="D3319" t="s">
        <v>16654</v>
      </c>
      <c r="E3319" t="s">
        <v>19716</v>
      </c>
      <c r="F3319" t="s">
        <v>28669</v>
      </c>
      <c r="G3319" t="s">
        <v>28676</v>
      </c>
      <c r="H3319" t="s">
        <v>28686</v>
      </c>
      <c r="I3319" t="s">
        <v>28689</v>
      </c>
      <c r="J3319" t="s">
        <v>31022</v>
      </c>
      <c r="K3319" t="s">
        <v>37209</v>
      </c>
      <c r="M3319" t="s">
        <v>38860</v>
      </c>
      <c r="N3319" t="s">
        <v>41249</v>
      </c>
      <c r="O3319" t="s">
        <v>41250</v>
      </c>
      <c r="P3319">
        <v>0</v>
      </c>
      <c r="Q3319">
        <v>0</v>
      </c>
      <c r="R3319" t="s">
        <v>41252</v>
      </c>
      <c r="S3319" t="s">
        <v>41383</v>
      </c>
      <c r="T3319" t="s">
        <v>42701</v>
      </c>
      <c r="U3319" t="s">
        <v>45994</v>
      </c>
      <c r="W3319" t="s">
        <v>38860</v>
      </c>
      <c r="X3319" t="s">
        <v>41254</v>
      </c>
    </row>
    <row r="3320" spans="1:24">
      <c r="A3320">
        <f>HYPERLINK("https://www.philgeps.gov.ph/GEPSNONPILOT/Tender/SplashBidNoticeAbstractUI.aspx?menuIndex=3&amp;refID=7074418&amp;Result=3","7074418")</f>
        <v>0</v>
      </c>
      <c r="B3320" t="s">
        <v>1332</v>
      </c>
      <c r="C3320" t="s">
        <v>6566</v>
      </c>
      <c r="D3320" t="s">
        <v>16618</v>
      </c>
      <c r="E3320" t="s">
        <v>19717</v>
      </c>
      <c r="F3320" t="s">
        <v>28669</v>
      </c>
      <c r="G3320" t="s">
        <v>28675</v>
      </c>
      <c r="H3320" t="s">
        <v>28686</v>
      </c>
      <c r="I3320" t="s">
        <v>28689</v>
      </c>
      <c r="J3320" t="s">
        <v>28905</v>
      </c>
      <c r="K3320" t="s">
        <v>37206</v>
      </c>
      <c r="M3320" t="s">
        <v>38886</v>
      </c>
      <c r="N3320" t="s">
        <v>41249</v>
      </c>
      <c r="O3320" t="s">
        <v>41250</v>
      </c>
      <c r="P3320">
        <v>0</v>
      </c>
      <c r="Q3320">
        <v>0</v>
      </c>
      <c r="R3320" t="s">
        <v>41252</v>
      </c>
      <c r="S3320" t="s">
        <v>41383</v>
      </c>
      <c r="T3320" t="s">
        <v>42679</v>
      </c>
      <c r="U3320" t="s">
        <v>45995</v>
      </c>
      <c r="V3320" t="s">
        <v>54639</v>
      </c>
      <c r="W3320" t="s">
        <v>38886</v>
      </c>
      <c r="X3320" t="s">
        <v>41254</v>
      </c>
    </row>
    <row r="3321" spans="1:24">
      <c r="A3321">
        <f>HYPERLINK("https://www.philgeps.gov.ph/GEPSNONPILOT/Tender/SplashBidNoticeAbstractUI.aspx?menuIndex=3&amp;refID=7074417&amp;Result=3","7074417")</f>
        <v>0</v>
      </c>
      <c r="B3321" t="s">
        <v>1124</v>
      </c>
      <c r="C3321" t="s">
        <v>6567</v>
      </c>
      <c r="E3321" t="s">
        <v>19718</v>
      </c>
      <c r="F3321" t="s">
        <v>28669</v>
      </c>
      <c r="G3321" t="s">
        <v>28676</v>
      </c>
      <c r="H3321" t="s">
        <v>9998</v>
      </c>
      <c r="I3321" t="s">
        <v>28728</v>
      </c>
      <c r="J3321" t="s">
        <v>29897</v>
      </c>
      <c r="K3321" t="s">
        <v>37209</v>
      </c>
      <c r="M3321" t="s">
        <v>38883</v>
      </c>
      <c r="N3321" t="s">
        <v>41249</v>
      </c>
      <c r="O3321" t="s">
        <v>41250</v>
      </c>
      <c r="P3321">
        <v>0</v>
      </c>
      <c r="Q3321">
        <v>0</v>
      </c>
      <c r="R3321" t="s">
        <v>41252</v>
      </c>
      <c r="S3321" t="s">
        <v>41383</v>
      </c>
      <c r="T3321" t="s">
        <v>42729</v>
      </c>
      <c r="U3321" t="s">
        <v>45996</v>
      </c>
      <c r="W3321" t="s">
        <v>38883</v>
      </c>
      <c r="X3321" t="s">
        <v>41254</v>
      </c>
    </row>
    <row r="3322" spans="1:24">
      <c r="A3322">
        <f>HYPERLINK("https://www.philgeps.gov.ph/GEPSNONPILOT/Tender/SplashBidNoticeAbstractUI.aspx?menuIndex=3&amp;refID=7074413&amp;Result=3","7074413")</f>
        <v>0</v>
      </c>
      <c r="B3322" t="s">
        <v>1333</v>
      </c>
      <c r="C3322" t="s">
        <v>6568</v>
      </c>
      <c r="D3322" t="s">
        <v>16612</v>
      </c>
      <c r="E3322" t="s">
        <v>19719</v>
      </c>
      <c r="F3322" t="s">
        <v>28669</v>
      </c>
      <c r="G3322" t="s">
        <v>28676</v>
      </c>
      <c r="H3322" t="s">
        <v>9998</v>
      </c>
      <c r="I3322" t="s">
        <v>15140</v>
      </c>
      <c r="J3322" t="s">
        <v>31023</v>
      </c>
      <c r="K3322" t="s">
        <v>37205</v>
      </c>
      <c r="M3322" t="s">
        <v>38887</v>
      </c>
      <c r="N3322" t="s">
        <v>41249</v>
      </c>
      <c r="O3322" t="s">
        <v>41250</v>
      </c>
      <c r="P3322">
        <v>0</v>
      </c>
      <c r="Q3322">
        <v>0</v>
      </c>
      <c r="R3322" t="s">
        <v>41252</v>
      </c>
      <c r="S3322" t="s">
        <v>41383</v>
      </c>
      <c r="T3322" t="s">
        <v>42738</v>
      </c>
      <c r="U3322" t="s">
        <v>45997</v>
      </c>
      <c r="W3322" t="s">
        <v>38887</v>
      </c>
      <c r="X3322" t="s">
        <v>41254</v>
      </c>
    </row>
    <row r="3323" spans="1:24">
      <c r="A3323">
        <f>HYPERLINK("https://www.philgeps.gov.ph/GEPSNONPILOT/Tender/SplashBidNoticeAbstractUI.aspx?menuIndex=3&amp;refID=7074411&amp;Result=3","7074411")</f>
        <v>0</v>
      </c>
      <c r="B3323" t="s">
        <v>1334</v>
      </c>
      <c r="C3323" t="s">
        <v>6569</v>
      </c>
      <c r="D3323" t="s">
        <v>16616</v>
      </c>
      <c r="E3323" t="s">
        <v>19720</v>
      </c>
      <c r="F3323" t="s">
        <v>28669</v>
      </c>
      <c r="G3323" t="s">
        <v>28676</v>
      </c>
      <c r="H3323" t="s">
        <v>9998</v>
      </c>
      <c r="I3323" t="s">
        <v>28717</v>
      </c>
      <c r="J3323" t="s">
        <v>29060</v>
      </c>
      <c r="K3323" t="s">
        <v>37204</v>
      </c>
      <c r="M3323" t="s">
        <v>38888</v>
      </c>
      <c r="N3323" t="s">
        <v>41249</v>
      </c>
      <c r="O3323" t="s">
        <v>41250</v>
      </c>
      <c r="P3323">
        <v>0</v>
      </c>
      <c r="Q3323">
        <v>1</v>
      </c>
      <c r="R3323" t="s">
        <v>41252</v>
      </c>
      <c r="S3323" t="s">
        <v>41383</v>
      </c>
      <c r="T3323" t="s">
        <v>42703</v>
      </c>
      <c r="U3323" t="s">
        <v>45998</v>
      </c>
      <c r="W3323" t="s">
        <v>38888</v>
      </c>
      <c r="X3323" t="s">
        <v>41254</v>
      </c>
    </row>
    <row r="3324" spans="1:24">
      <c r="A3324">
        <f>HYPERLINK("https://www.philgeps.gov.ph/GEPSNONPILOT/Tender/SplashBidNoticeAbstractUI.aspx?menuIndex=3&amp;refID=7074409&amp;Result=3","7074409")</f>
        <v>0</v>
      </c>
      <c r="B3324" t="s">
        <v>121</v>
      </c>
      <c r="C3324" t="s">
        <v>6570</v>
      </c>
      <c r="D3324" t="s">
        <v>16608</v>
      </c>
      <c r="E3324" t="s">
        <v>19721</v>
      </c>
      <c r="F3324" t="s">
        <v>28669</v>
      </c>
      <c r="G3324" t="s">
        <v>28678</v>
      </c>
      <c r="H3324" t="s">
        <v>9998</v>
      </c>
      <c r="I3324" t="s">
        <v>6458</v>
      </c>
      <c r="J3324" t="s">
        <v>31024</v>
      </c>
      <c r="K3324" t="s">
        <v>37204</v>
      </c>
      <c r="M3324" t="s">
        <v>38830</v>
      </c>
      <c r="N3324" t="s">
        <v>41249</v>
      </c>
      <c r="O3324" t="s">
        <v>41250</v>
      </c>
      <c r="P3324">
        <v>0</v>
      </c>
      <c r="Q3324">
        <v>0</v>
      </c>
      <c r="R3324" t="s">
        <v>41252</v>
      </c>
      <c r="S3324" t="s">
        <v>41383</v>
      </c>
      <c r="T3324" t="s">
        <v>42701</v>
      </c>
      <c r="U3324" t="s">
        <v>45999</v>
      </c>
      <c r="W3324" t="s">
        <v>38830</v>
      </c>
      <c r="X3324" t="s">
        <v>41254</v>
      </c>
    </row>
    <row r="3325" spans="1:24">
      <c r="A3325">
        <f>HYPERLINK("https://www.philgeps.gov.ph/GEPSNONPILOT/Tender/SplashBidNoticeAbstractUI.aspx?menuIndex=3&amp;refID=7074408&amp;Result=3","7074408")</f>
        <v>0</v>
      </c>
      <c r="B3325" t="s">
        <v>1278</v>
      </c>
      <c r="C3325" t="s">
        <v>6571</v>
      </c>
      <c r="D3325" t="s">
        <v>16684</v>
      </c>
      <c r="E3325" t="s">
        <v>19722</v>
      </c>
      <c r="F3325" t="s">
        <v>28669</v>
      </c>
      <c r="G3325" t="s">
        <v>28676</v>
      </c>
      <c r="H3325" t="s">
        <v>9998</v>
      </c>
      <c r="I3325" t="s">
        <v>6606</v>
      </c>
      <c r="J3325" t="s">
        <v>29308</v>
      </c>
      <c r="K3325" t="s">
        <v>37256</v>
      </c>
      <c r="M3325" t="s">
        <v>38828</v>
      </c>
      <c r="N3325" t="s">
        <v>41249</v>
      </c>
      <c r="O3325" t="s">
        <v>41250</v>
      </c>
      <c r="P3325">
        <v>0</v>
      </c>
      <c r="Q3325">
        <v>0</v>
      </c>
      <c r="R3325" t="s">
        <v>41252</v>
      </c>
      <c r="S3325" t="s">
        <v>41383</v>
      </c>
      <c r="T3325" t="s">
        <v>42757</v>
      </c>
      <c r="U3325" t="s">
        <v>45858</v>
      </c>
      <c r="W3325" t="s">
        <v>38828</v>
      </c>
      <c r="X3325" t="s">
        <v>41254</v>
      </c>
    </row>
    <row r="3326" spans="1:24">
      <c r="A3326">
        <f>HYPERLINK("https://www.philgeps.gov.ph/GEPSNONPILOT/Tender/SplashBidNoticeAbstractUI.aspx?menuIndex=3&amp;refID=7074407&amp;Result=3","7074407")</f>
        <v>0</v>
      </c>
      <c r="B3326" t="s">
        <v>1308</v>
      </c>
      <c r="C3326" t="s">
        <v>6572</v>
      </c>
      <c r="D3326" t="s">
        <v>16654</v>
      </c>
      <c r="E3326" t="s">
        <v>19723</v>
      </c>
      <c r="F3326" t="s">
        <v>28669</v>
      </c>
      <c r="G3326" t="s">
        <v>28676</v>
      </c>
      <c r="H3326" t="s">
        <v>9998</v>
      </c>
      <c r="I3326" t="s">
        <v>7352</v>
      </c>
      <c r="J3326" t="s">
        <v>29003</v>
      </c>
      <c r="K3326" t="s">
        <v>37209</v>
      </c>
      <c r="M3326" t="s">
        <v>38860</v>
      </c>
      <c r="N3326" t="s">
        <v>41249</v>
      </c>
      <c r="O3326" t="s">
        <v>41250</v>
      </c>
      <c r="P3326">
        <v>0</v>
      </c>
      <c r="Q3326">
        <v>0</v>
      </c>
      <c r="R3326" t="s">
        <v>41252</v>
      </c>
      <c r="S3326" t="s">
        <v>41383</v>
      </c>
      <c r="T3326" t="s">
        <v>42701</v>
      </c>
      <c r="U3326" t="s">
        <v>46000</v>
      </c>
      <c r="W3326" t="s">
        <v>38860</v>
      </c>
      <c r="X3326" t="s">
        <v>41254</v>
      </c>
    </row>
    <row r="3327" spans="1:24">
      <c r="A3327">
        <f>HYPERLINK("https://www.philgeps.gov.ph/GEPSNONPILOT/Tender/SplashBidNoticeAbstractUI.aspx?menuIndex=3&amp;refID=7074415&amp;Result=3","7074415")</f>
        <v>0</v>
      </c>
      <c r="B3327" t="s">
        <v>1327</v>
      </c>
      <c r="C3327" t="s">
        <v>6573</v>
      </c>
      <c r="D3327" t="s">
        <v>16627</v>
      </c>
      <c r="E3327" t="s">
        <v>19724</v>
      </c>
      <c r="F3327" t="s">
        <v>28669</v>
      </c>
      <c r="G3327" t="s">
        <v>28676</v>
      </c>
      <c r="H3327" t="s">
        <v>9998</v>
      </c>
      <c r="I3327" t="s">
        <v>28728</v>
      </c>
      <c r="J3327" t="s">
        <v>29104</v>
      </c>
      <c r="K3327" t="s">
        <v>37312</v>
      </c>
      <c r="M3327" t="s">
        <v>38880</v>
      </c>
      <c r="N3327" t="s">
        <v>41249</v>
      </c>
      <c r="O3327" t="s">
        <v>41250</v>
      </c>
      <c r="P3327">
        <v>0</v>
      </c>
      <c r="Q3327">
        <v>2</v>
      </c>
      <c r="R3327" t="s">
        <v>41252</v>
      </c>
      <c r="S3327" t="s">
        <v>41383</v>
      </c>
      <c r="T3327" t="s">
        <v>42687</v>
      </c>
      <c r="U3327" t="s">
        <v>46001</v>
      </c>
      <c r="W3327" t="s">
        <v>38880</v>
      </c>
      <c r="X3327" t="s">
        <v>41254</v>
      </c>
    </row>
    <row r="3328" spans="1:24">
      <c r="A3328">
        <f>HYPERLINK("https://www.philgeps.gov.ph/GEPSNONPILOT/Tender/SplashBidNoticeAbstractUI.aspx?menuIndex=3&amp;refID=7074377&amp;Result=3","7074377")</f>
        <v>0</v>
      </c>
      <c r="B3328" t="s">
        <v>1335</v>
      </c>
      <c r="C3328" t="s">
        <v>6574</v>
      </c>
      <c r="D3328" t="s">
        <v>16658</v>
      </c>
      <c r="E3328" t="s">
        <v>19725</v>
      </c>
      <c r="F3328" t="s">
        <v>28669</v>
      </c>
      <c r="G3328" t="s">
        <v>28675</v>
      </c>
      <c r="H3328" t="s">
        <v>9998</v>
      </c>
      <c r="I3328" t="s">
        <v>28696</v>
      </c>
      <c r="J3328" t="s">
        <v>29015</v>
      </c>
      <c r="K3328" t="s">
        <v>37206</v>
      </c>
      <c r="M3328" t="s">
        <v>38889</v>
      </c>
      <c r="N3328" t="s">
        <v>41249</v>
      </c>
      <c r="O3328" t="s">
        <v>41250</v>
      </c>
      <c r="P3328">
        <v>0</v>
      </c>
      <c r="Q3328">
        <v>1</v>
      </c>
      <c r="R3328" t="s">
        <v>41252</v>
      </c>
      <c r="S3328" t="s">
        <v>41383</v>
      </c>
      <c r="T3328" t="s">
        <v>42671</v>
      </c>
      <c r="U3328" t="s">
        <v>46002</v>
      </c>
      <c r="W3328" t="s">
        <v>38889</v>
      </c>
      <c r="X3328" t="s">
        <v>41254</v>
      </c>
    </row>
    <row r="3329" spans="1:24">
      <c r="A3329">
        <f>HYPERLINK("https://www.philgeps.gov.ph/GEPSNONPILOT/Tender/SplashBidNoticeAbstractUI.aspx?menuIndex=3&amp;refID=7074412&amp;Result=3","7074412")</f>
        <v>0</v>
      </c>
      <c r="B3329" t="s">
        <v>991</v>
      </c>
      <c r="C3329" t="s">
        <v>6575</v>
      </c>
      <c r="E3329" t="s">
        <v>19726</v>
      </c>
      <c r="F3329" t="s">
        <v>28669</v>
      </c>
      <c r="G3329" t="s">
        <v>28676</v>
      </c>
      <c r="H3329" t="s">
        <v>9998</v>
      </c>
      <c r="I3329" t="s">
        <v>28722</v>
      </c>
      <c r="J3329" t="s">
        <v>28826</v>
      </c>
      <c r="K3329" t="s">
        <v>37220</v>
      </c>
      <c r="M3329" t="s">
        <v>38805</v>
      </c>
      <c r="N3329" t="s">
        <v>41249</v>
      </c>
      <c r="O3329" t="s">
        <v>41250</v>
      </c>
      <c r="P3329">
        <v>0</v>
      </c>
      <c r="Q3329">
        <v>0</v>
      </c>
      <c r="R3329" t="s">
        <v>41252</v>
      </c>
      <c r="S3329" t="s">
        <v>41383</v>
      </c>
      <c r="T3329" t="s">
        <v>42922</v>
      </c>
      <c r="U3329" t="s">
        <v>45797</v>
      </c>
      <c r="V3329" t="s">
        <v>54615</v>
      </c>
      <c r="W3329" t="s">
        <v>38518</v>
      </c>
      <c r="X3329" t="s">
        <v>41254</v>
      </c>
    </row>
    <row r="3330" spans="1:24">
      <c r="A3330">
        <f>HYPERLINK("https://www.philgeps.gov.ph/GEPSNONPILOT/Tender/SplashBidNoticeAbstractUI.aspx?menuIndex=3&amp;refID=7074401&amp;Result=3","7074401")</f>
        <v>0</v>
      </c>
      <c r="B3330" t="s">
        <v>557</v>
      </c>
      <c r="C3330" t="s">
        <v>6576</v>
      </c>
      <c r="D3330" t="s">
        <v>16608</v>
      </c>
      <c r="E3330" t="s">
        <v>19727</v>
      </c>
      <c r="F3330" t="s">
        <v>28669</v>
      </c>
      <c r="G3330" t="s">
        <v>28676</v>
      </c>
      <c r="H3330" t="s">
        <v>9998</v>
      </c>
      <c r="I3330" t="s">
        <v>28714</v>
      </c>
      <c r="J3330" t="s">
        <v>29404</v>
      </c>
      <c r="K3330" t="s">
        <v>37204</v>
      </c>
      <c r="M3330" t="s">
        <v>38050</v>
      </c>
      <c r="N3330" t="s">
        <v>41249</v>
      </c>
      <c r="O3330" t="s">
        <v>41250</v>
      </c>
      <c r="P3330">
        <v>0</v>
      </c>
      <c r="Q3330">
        <v>3</v>
      </c>
      <c r="R3330" t="s">
        <v>41252</v>
      </c>
      <c r="S3330" t="s">
        <v>41383</v>
      </c>
      <c r="T3330" t="s">
        <v>42742</v>
      </c>
      <c r="U3330" t="s">
        <v>46003</v>
      </c>
      <c r="V3330" t="s">
        <v>54379</v>
      </c>
      <c r="W3330" t="s">
        <v>38050</v>
      </c>
      <c r="X3330" t="s">
        <v>41254</v>
      </c>
    </row>
    <row r="3331" spans="1:24">
      <c r="A3331">
        <f>HYPERLINK("https://www.philgeps.gov.ph/GEPSNONPILOT/Tender/SplashBidNoticeAbstractUI.aspx?menuIndex=3&amp;refID=7074410&amp;Result=3","7074410")</f>
        <v>0</v>
      </c>
      <c r="B3331" t="s">
        <v>965</v>
      </c>
      <c r="C3331" t="s">
        <v>6577</v>
      </c>
      <c r="D3331" t="s">
        <v>16608</v>
      </c>
      <c r="E3331" t="s">
        <v>19728</v>
      </c>
      <c r="F3331" t="s">
        <v>28669</v>
      </c>
      <c r="G3331" t="s">
        <v>28675</v>
      </c>
      <c r="H3331" t="s">
        <v>9998</v>
      </c>
      <c r="I3331" t="s">
        <v>15140</v>
      </c>
      <c r="J3331" t="s">
        <v>31025</v>
      </c>
      <c r="K3331" t="s">
        <v>37205</v>
      </c>
      <c r="M3331" t="s">
        <v>38890</v>
      </c>
      <c r="N3331" t="s">
        <v>41249</v>
      </c>
      <c r="O3331" t="s">
        <v>41250</v>
      </c>
      <c r="P3331">
        <v>0</v>
      </c>
      <c r="Q3331">
        <v>0</v>
      </c>
      <c r="R3331" t="s">
        <v>41252</v>
      </c>
      <c r="S3331" t="s">
        <v>41383</v>
      </c>
      <c r="T3331" t="s">
        <v>42703</v>
      </c>
      <c r="U3331" t="s">
        <v>45990</v>
      </c>
      <c r="W3331" t="s">
        <v>38890</v>
      </c>
      <c r="X3331" t="s">
        <v>41254</v>
      </c>
    </row>
    <row r="3332" spans="1:24">
      <c r="A3332">
        <f>HYPERLINK("https://www.philgeps.gov.ph/GEPSNONPILOT/Tender/SplashBidNoticeAbstractUI.aspx?menuIndex=3&amp;refID=7074400&amp;Result=3","7074400")</f>
        <v>0</v>
      </c>
      <c r="B3332" t="s">
        <v>1336</v>
      </c>
      <c r="C3332" t="s">
        <v>6578</v>
      </c>
      <c r="D3332" t="s">
        <v>16654</v>
      </c>
      <c r="E3332" t="s">
        <v>19729</v>
      </c>
      <c r="F3332" t="s">
        <v>28669</v>
      </c>
      <c r="G3332" t="s">
        <v>28676</v>
      </c>
      <c r="H3332" t="s">
        <v>9998</v>
      </c>
      <c r="I3332" t="s">
        <v>28697</v>
      </c>
      <c r="J3332" t="s">
        <v>30579</v>
      </c>
      <c r="K3332" t="s">
        <v>37216</v>
      </c>
      <c r="M3332" t="s">
        <v>38891</v>
      </c>
      <c r="N3332" t="s">
        <v>41249</v>
      </c>
      <c r="O3332" t="s">
        <v>41250</v>
      </c>
      <c r="P3332">
        <v>0</v>
      </c>
      <c r="Q3332">
        <v>7</v>
      </c>
      <c r="R3332" t="s">
        <v>41252</v>
      </c>
      <c r="S3332" t="s">
        <v>41383</v>
      </c>
      <c r="T3332" t="s">
        <v>42719</v>
      </c>
      <c r="U3332" t="s">
        <v>46004</v>
      </c>
      <c r="W3332" t="s">
        <v>38891</v>
      </c>
      <c r="X3332" t="s">
        <v>41254</v>
      </c>
    </row>
    <row r="3333" spans="1:24">
      <c r="A3333">
        <f>HYPERLINK("https://www.philgeps.gov.ph/GEPSNONPILOT/Tender/SplashBidNoticeAbstractUI.aspx?menuIndex=3&amp;refID=7074406&amp;Result=3","7074406")</f>
        <v>0</v>
      </c>
      <c r="B3333" t="s">
        <v>1244</v>
      </c>
      <c r="C3333" t="s">
        <v>6579</v>
      </c>
      <c r="D3333" t="s">
        <v>16686</v>
      </c>
      <c r="E3333" t="s">
        <v>19730</v>
      </c>
      <c r="F3333" t="s">
        <v>28669</v>
      </c>
      <c r="G3333" t="s">
        <v>28676</v>
      </c>
      <c r="H3333" t="s">
        <v>9998</v>
      </c>
      <c r="I3333" t="s">
        <v>5213</v>
      </c>
      <c r="J3333" t="s">
        <v>29034</v>
      </c>
      <c r="K3333" t="s">
        <v>37210</v>
      </c>
      <c r="M3333" t="s">
        <v>38791</v>
      </c>
      <c r="N3333" t="s">
        <v>41249</v>
      </c>
      <c r="O3333" t="s">
        <v>41250</v>
      </c>
      <c r="P3333">
        <v>0</v>
      </c>
      <c r="Q3333">
        <v>4</v>
      </c>
      <c r="R3333" t="s">
        <v>41252</v>
      </c>
      <c r="S3333" t="s">
        <v>41383</v>
      </c>
      <c r="T3333" t="s">
        <v>42711</v>
      </c>
      <c r="U3333" t="s">
        <v>46005</v>
      </c>
      <c r="W3333" t="s">
        <v>38791</v>
      </c>
      <c r="X3333" t="s">
        <v>41254</v>
      </c>
    </row>
    <row r="3334" spans="1:24">
      <c r="A3334">
        <f>HYPERLINK("https://www.philgeps.gov.ph/GEPSNONPILOT/Tender/SplashBidNoticeAbstractUI.aspx?menuIndex=3&amp;refID=7074384&amp;Result=3","7074384")</f>
        <v>0</v>
      </c>
      <c r="B3334" t="s">
        <v>1278</v>
      </c>
      <c r="C3334" t="s">
        <v>6580</v>
      </c>
      <c r="D3334" t="s">
        <v>16684</v>
      </c>
      <c r="E3334" t="s">
        <v>19731</v>
      </c>
      <c r="F3334" t="s">
        <v>28669</v>
      </c>
      <c r="G3334" t="s">
        <v>28676</v>
      </c>
      <c r="H3334" t="s">
        <v>9998</v>
      </c>
      <c r="I3334" t="s">
        <v>6606</v>
      </c>
      <c r="J3334" t="s">
        <v>30173</v>
      </c>
      <c r="K3334" t="s">
        <v>37256</v>
      </c>
      <c r="M3334" t="s">
        <v>38828</v>
      </c>
      <c r="N3334" t="s">
        <v>41249</v>
      </c>
      <c r="O3334" t="s">
        <v>41250</v>
      </c>
      <c r="P3334">
        <v>0</v>
      </c>
      <c r="Q3334">
        <v>0</v>
      </c>
      <c r="R3334" t="s">
        <v>41252</v>
      </c>
      <c r="S3334" t="s">
        <v>41383</v>
      </c>
      <c r="T3334" t="s">
        <v>42757</v>
      </c>
      <c r="U3334" t="s">
        <v>45858</v>
      </c>
      <c r="W3334" t="s">
        <v>38828</v>
      </c>
      <c r="X3334" t="s">
        <v>41254</v>
      </c>
    </row>
    <row r="3335" spans="1:24">
      <c r="A3335">
        <f>HYPERLINK("https://www.philgeps.gov.ph/GEPSNONPILOT/Tender/SplashBidNoticeAbstractUI.aspx?menuIndex=3&amp;refID=7074405&amp;Result=3","7074405")</f>
        <v>0</v>
      </c>
      <c r="B3335" t="s">
        <v>1337</v>
      </c>
      <c r="C3335" t="s">
        <v>6581</v>
      </c>
      <c r="E3335" t="s">
        <v>6569</v>
      </c>
      <c r="F3335" t="s">
        <v>28669</v>
      </c>
      <c r="G3335" t="s">
        <v>28678</v>
      </c>
      <c r="H3335" t="s">
        <v>9998</v>
      </c>
      <c r="I3335" t="s">
        <v>28709</v>
      </c>
      <c r="J3335" t="s">
        <v>28826</v>
      </c>
      <c r="K3335" t="s">
        <v>37209</v>
      </c>
      <c r="M3335" t="s">
        <v>38892</v>
      </c>
      <c r="N3335" t="s">
        <v>41249</v>
      </c>
      <c r="O3335" t="s">
        <v>41250</v>
      </c>
      <c r="P3335">
        <v>0</v>
      </c>
      <c r="Q3335">
        <v>0</v>
      </c>
      <c r="R3335" t="s">
        <v>41252</v>
      </c>
      <c r="S3335" t="s">
        <v>41383</v>
      </c>
      <c r="T3335" t="s">
        <v>42701</v>
      </c>
      <c r="U3335" t="s">
        <v>46006</v>
      </c>
      <c r="W3335" t="s">
        <v>38892</v>
      </c>
      <c r="X3335" t="s">
        <v>41254</v>
      </c>
    </row>
    <row r="3336" spans="1:24">
      <c r="A3336">
        <f>HYPERLINK("https://www.philgeps.gov.ph/GEPSNONPILOT/Tender/SplashBidNoticeAbstractUI.aspx?menuIndex=3&amp;refID=7074441&amp;Result=3","7074441")</f>
        <v>0</v>
      </c>
      <c r="B3336" t="s">
        <v>140</v>
      </c>
      <c r="C3336" t="s">
        <v>6582</v>
      </c>
      <c r="D3336" t="s">
        <v>16652</v>
      </c>
      <c r="E3336" t="s">
        <v>19732</v>
      </c>
      <c r="F3336" t="s">
        <v>28669</v>
      </c>
      <c r="G3336" t="s">
        <v>28675</v>
      </c>
      <c r="H3336" t="s">
        <v>28686</v>
      </c>
      <c r="I3336" t="s">
        <v>28689</v>
      </c>
      <c r="J3336" t="s">
        <v>29003</v>
      </c>
      <c r="K3336" t="s">
        <v>37221</v>
      </c>
      <c r="M3336" t="s">
        <v>37617</v>
      </c>
      <c r="N3336" t="s">
        <v>41249</v>
      </c>
      <c r="O3336" t="s">
        <v>41250</v>
      </c>
      <c r="P3336">
        <v>0</v>
      </c>
      <c r="Q3336">
        <v>0</v>
      </c>
      <c r="R3336" t="s">
        <v>41252</v>
      </c>
      <c r="S3336" t="s">
        <v>41383</v>
      </c>
      <c r="T3336" t="s">
        <v>42932</v>
      </c>
      <c r="U3336" t="s">
        <v>46007</v>
      </c>
      <c r="W3336" t="s">
        <v>37617</v>
      </c>
      <c r="X3336" t="s">
        <v>41254</v>
      </c>
    </row>
    <row r="3337" spans="1:24">
      <c r="A3337">
        <f>HYPERLINK("https://www.philgeps.gov.ph/GEPSNONPILOT/Tender/SplashBidNoticeAbstractUI.aspx?menuIndex=3&amp;refID=7074437&amp;Result=3","7074437")</f>
        <v>0</v>
      </c>
      <c r="B3337" t="s">
        <v>1338</v>
      </c>
      <c r="C3337" t="s">
        <v>6583</v>
      </c>
      <c r="D3337" t="s">
        <v>16608</v>
      </c>
      <c r="E3337" t="s">
        <v>19733</v>
      </c>
      <c r="F3337" t="s">
        <v>28669</v>
      </c>
      <c r="G3337" t="s">
        <v>28676</v>
      </c>
      <c r="H3337" t="s">
        <v>9998</v>
      </c>
      <c r="I3337" t="s">
        <v>11593</v>
      </c>
      <c r="J3337" t="s">
        <v>28905</v>
      </c>
      <c r="K3337" t="s">
        <v>37205</v>
      </c>
      <c r="M3337" t="s">
        <v>38893</v>
      </c>
      <c r="N3337" t="s">
        <v>41249</v>
      </c>
      <c r="O3337" t="s">
        <v>41250</v>
      </c>
      <c r="P3337">
        <v>0</v>
      </c>
      <c r="Q3337">
        <v>7</v>
      </c>
      <c r="R3337" t="s">
        <v>41252</v>
      </c>
      <c r="S3337" t="s">
        <v>41383</v>
      </c>
      <c r="T3337" t="s">
        <v>42729</v>
      </c>
      <c r="U3337" t="s">
        <v>46008</v>
      </c>
      <c r="W3337" t="s">
        <v>38893</v>
      </c>
      <c r="X3337" t="s">
        <v>41254</v>
      </c>
    </row>
    <row r="3338" spans="1:24">
      <c r="A3338">
        <f>HYPERLINK("https://www.philgeps.gov.ph/GEPSNONPILOT/Tender/SplashBidNoticeAbstractUI.aspx?menuIndex=3&amp;refID=7074404&amp;Result=3","7074404")</f>
        <v>0</v>
      </c>
      <c r="B3338" t="s">
        <v>629</v>
      </c>
      <c r="C3338" t="s">
        <v>6584</v>
      </c>
      <c r="D3338" t="s">
        <v>16648</v>
      </c>
      <c r="E3338" t="s">
        <v>19734</v>
      </c>
      <c r="F3338" t="s">
        <v>28669</v>
      </c>
      <c r="G3338" t="s">
        <v>28679</v>
      </c>
      <c r="H3338" t="s">
        <v>9998</v>
      </c>
      <c r="I3338" t="s">
        <v>28688</v>
      </c>
      <c r="J3338" t="s">
        <v>31026</v>
      </c>
      <c r="K3338" t="s">
        <v>37209</v>
      </c>
      <c r="M3338" t="s">
        <v>38129</v>
      </c>
      <c r="N3338" t="s">
        <v>41249</v>
      </c>
      <c r="O3338" t="s">
        <v>41250</v>
      </c>
      <c r="P3338">
        <v>0</v>
      </c>
      <c r="Q3338">
        <v>1</v>
      </c>
      <c r="R3338" t="s">
        <v>41252</v>
      </c>
      <c r="S3338" t="s">
        <v>41383</v>
      </c>
      <c r="T3338" t="s">
        <v>42858</v>
      </c>
      <c r="U3338" t="s">
        <v>46009</v>
      </c>
      <c r="W3338" t="s">
        <v>38129</v>
      </c>
      <c r="X3338" t="s">
        <v>41254</v>
      </c>
    </row>
    <row r="3339" spans="1:24">
      <c r="A3339">
        <f>HYPERLINK("https://www.philgeps.gov.ph/GEPSNONPILOT/Tender/SplashBidNoticeAbstractUI.aspx?menuIndex=3&amp;refID=7074436&amp;Result=3","7074436")</f>
        <v>0</v>
      </c>
      <c r="B3339" t="s">
        <v>629</v>
      </c>
      <c r="C3339" t="s">
        <v>6585</v>
      </c>
      <c r="D3339" t="s">
        <v>16648</v>
      </c>
      <c r="E3339" t="s">
        <v>19735</v>
      </c>
      <c r="F3339" t="s">
        <v>28669</v>
      </c>
      <c r="G3339" t="s">
        <v>28679</v>
      </c>
      <c r="H3339" t="s">
        <v>9998</v>
      </c>
      <c r="I3339" t="s">
        <v>28688</v>
      </c>
      <c r="J3339" t="s">
        <v>28989</v>
      </c>
      <c r="K3339" t="s">
        <v>37209</v>
      </c>
      <c r="M3339" t="s">
        <v>38129</v>
      </c>
      <c r="N3339" t="s">
        <v>41249</v>
      </c>
      <c r="O3339" t="s">
        <v>41250</v>
      </c>
      <c r="P3339">
        <v>0</v>
      </c>
      <c r="Q3339">
        <v>0</v>
      </c>
      <c r="R3339" t="s">
        <v>41252</v>
      </c>
      <c r="S3339" t="s">
        <v>41383</v>
      </c>
      <c r="T3339" t="s">
        <v>42858</v>
      </c>
      <c r="U3339" t="s">
        <v>46009</v>
      </c>
      <c r="W3339" t="s">
        <v>38129</v>
      </c>
      <c r="X3339" t="s">
        <v>41254</v>
      </c>
    </row>
    <row r="3340" spans="1:24">
      <c r="A3340">
        <f>HYPERLINK("https://www.philgeps.gov.ph/GEPSNONPILOT/Tender/SplashBidNoticeAbstractUI.aspx?menuIndex=3&amp;refID=7074421&amp;Result=3","7074421")</f>
        <v>0</v>
      </c>
      <c r="B3340" t="s">
        <v>101</v>
      </c>
      <c r="C3340" t="s">
        <v>6586</v>
      </c>
      <c r="D3340" t="s">
        <v>16644</v>
      </c>
      <c r="E3340" t="s">
        <v>19736</v>
      </c>
      <c r="F3340" t="s">
        <v>28669</v>
      </c>
      <c r="G3340" t="s">
        <v>28676</v>
      </c>
      <c r="H3340" t="s">
        <v>9998</v>
      </c>
      <c r="I3340" t="s">
        <v>28729</v>
      </c>
      <c r="J3340" t="s">
        <v>28985</v>
      </c>
      <c r="K3340" t="s">
        <v>37205</v>
      </c>
      <c r="M3340" t="s">
        <v>37576</v>
      </c>
      <c r="N3340" t="s">
        <v>41249</v>
      </c>
      <c r="O3340" t="s">
        <v>41250</v>
      </c>
      <c r="P3340">
        <v>0</v>
      </c>
      <c r="Q3340">
        <v>18</v>
      </c>
      <c r="R3340" t="s">
        <v>41252</v>
      </c>
      <c r="S3340" t="s">
        <v>41383</v>
      </c>
      <c r="T3340" t="s">
        <v>42701</v>
      </c>
      <c r="U3340" t="s">
        <v>46010</v>
      </c>
      <c r="V3340" t="s">
        <v>54640</v>
      </c>
      <c r="W3340" t="s">
        <v>37576</v>
      </c>
      <c r="X3340" t="s">
        <v>41254</v>
      </c>
    </row>
    <row r="3341" spans="1:24">
      <c r="A3341">
        <f>HYPERLINK("https://www.philgeps.gov.ph/GEPSNONPILOT/Tender/SplashBidNoticeAbstractUI.aspx?menuIndex=3&amp;refID=7074433&amp;Result=3","7074433")</f>
        <v>0</v>
      </c>
      <c r="B3341" t="s">
        <v>1339</v>
      </c>
      <c r="C3341" t="s">
        <v>6587</v>
      </c>
      <c r="D3341" t="s">
        <v>16654</v>
      </c>
      <c r="E3341" t="s">
        <v>16803</v>
      </c>
      <c r="F3341" t="s">
        <v>28669</v>
      </c>
      <c r="G3341" t="s">
        <v>28679</v>
      </c>
      <c r="H3341" t="s">
        <v>9998</v>
      </c>
      <c r="I3341" t="s">
        <v>3658</v>
      </c>
      <c r="J3341" t="s">
        <v>29133</v>
      </c>
      <c r="K3341" t="s">
        <v>37208</v>
      </c>
      <c r="M3341" t="s">
        <v>38894</v>
      </c>
      <c r="N3341" t="s">
        <v>41249</v>
      </c>
      <c r="O3341" t="s">
        <v>41250</v>
      </c>
      <c r="P3341">
        <v>0</v>
      </c>
      <c r="Q3341">
        <v>1</v>
      </c>
      <c r="R3341" t="s">
        <v>41252</v>
      </c>
      <c r="S3341" t="s">
        <v>41383</v>
      </c>
      <c r="T3341" t="s">
        <v>42742</v>
      </c>
      <c r="U3341" t="s">
        <v>46011</v>
      </c>
      <c r="W3341" t="s">
        <v>55950</v>
      </c>
      <c r="X3341" t="s">
        <v>41254</v>
      </c>
    </row>
    <row r="3342" spans="1:24">
      <c r="A3342">
        <f>HYPERLINK("https://www.philgeps.gov.ph/GEPSNONPILOT/Tender/SplashBidNoticeAbstractUI.aspx?menuIndex=3&amp;refID=7074393&amp;Result=3","7074393")</f>
        <v>0</v>
      </c>
      <c r="B3342" t="s">
        <v>1325</v>
      </c>
      <c r="C3342" t="s">
        <v>6588</v>
      </c>
      <c r="D3342" t="s">
        <v>16634</v>
      </c>
      <c r="E3342" t="s">
        <v>19737</v>
      </c>
      <c r="F3342" t="s">
        <v>28669</v>
      </c>
      <c r="G3342" t="s">
        <v>28675</v>
      </c>
      <c r="H3342" t="s">
        <v>9998</v>
      </c>
      <c r="I3342" t="s">
        <v>3658</v>
      </c>
      <c r="J3342" t="s">
        <v>28838</v>
      </c>
      <c r="K3342" t="s">
        <v>37206</v>
      </c>
      <c r="M3342" t="s">
        <v>38878</v>
      </c>
      <c r="N3342" t="s">
        <v>41249</v>
      </c>
      <c r="O3342" t="s">
        <v>41250</v>
      </c>
      <c r="P3342">
        <v>0</v>
      </c>
      <c r="Q3342">
        <v>0</v>
      </c>
      <c r="R3342" t="s">
        <v>41252</v>
      </c>
      <c r="S3342" t="s">
        <v>41383</v>
      </c>
      <c r="T3342" t="s">
        <v>42687</v>
      </c>
      <c r="U3342" t="s">
        <v>45972</v>
      </c>
      <c r="W3342" t="s">
        <v>38878</v>
      </c>
      <c r="X3342" t="s">
        <v>41254</v>
      </c>
    </row>
    <row r="3343" spans="1:24">
      <c r="A3343">
        <f>HYPERLINK("https://www.philgeps.gov.ph/GEPSNONPILOT/Tender/SplashBidNoticeAbstractUI.aspx?menuIndex=3&amp;refID=7074430&amp;Result=3","7074430")</f>
        <v>0</v>
      </c>
      <c r="B3343" t="s">
        <v>1222</v>
      </c>
      <c r="C3343" t="s">
        <v>6589</v>
      </c>
      <c r="D3343" t="s">
        <v>16618</v>
      </c>
      <c r="E3343" t="s">
        <v>19738</v>
      </c>
      <c r="F3343" t="s">
        <v>28669</v>
      </c>
      <c r="G3343" t="s">
        <v>28675</v>
      </c>
      <c r="H3343" t="s">
        <v>9998</v>
      </c>
      <c r="I3343" t="s">
        <v>28719</v>
      </c>
      <c r="J3343" t="s">
        <v>28985</v>
      </c>
      <c r="K3343" t="s">
        <v>37206</v>
      </c>
      <c r="M3343" t="s">
        <v>38765</v>
      </c>
      <c r="N3343" t="s">
        <v>41249</v>
      </c>
      <c r="O3343" t="s">
        <v>41250</v>
      </c>
      <c r="P3343">
        <v>0</v>
      </c>
      <c r="Q3343">
        <v>6</v>
      </c>
      <c r="R3343" t="s">
        <v>41252</v>
      </c>
      <c r="S3343" t="s">
        <v>41383</v>
      </c>
      <c r="T3343" t="s">
        <v>42757</v>
      </c>
      <c r="U3343" t="s">
        <v>46012</v>
      </c>
      <c r="W3343" t="s">
        <v>38765</v>
      </c>
      <c r="X3343" t="s">
        <v>41254</v>
      </c>
    </row>
    <row r="3344" spans="1:24">
      <c r="A3344">
        <f>HYPERLINK("https://www.philgeps.gov.ph/GEPSNONPILOT/Tender/SplashBidNoticeAbstractUI.aspx?menuIndex=3&amp;refID=7074439&amp;Result=3","7074439")</f>
        <v>0</v>
      </c>
      <c r="B3344" t="s">
        <v>1124</v>
      </c>
      <c r="C3344" t="s">
        <v>6590</v>
      </c>
      <c r="E3344" t="s">
        <v>19739</v>
      </c>
      <c r="F3344" t="s">
        <v>28669</v>
      </c>
      <c r="G3344" t="s">
        <v>28676</v>
      </c>
      <c r="H3344" t="s">
        <v>9998</v>
      </c>
      <c r="I3344" t="s">
        <v>28728</v>
      </c>
      <c r="J3344" t="s">
        <v>29790</v>
      </c>
      <c r="K3344" t="s">
        <v>37209</v>
      </c>
      <c r="M3344" t="s">
        <v>38883</v>
      </c>
      <c r="N3344" t="s">
        <v>41249</v>
      </c>
      <c r="O3344" t="s">
        <v>41250</v>
      </c>
      <c r="P3344">
        <v>0</v>
      </c>
      <c r="Q3344">
        <v>0</v>
      </c>
      <c r="R3344" t="s">
        <v>41252</v>
      </c>
      <c r="S3344" t="s">
        <v>41383</v>
      </c>
      <c r="T3344" t="s">
        <v>42729</v>
      </c>
      <c r="U3344" t="s">
        <v>46013</v>
      </c>
      <c r="W3344" t="s">
        <v>38883</v>
      </c>
      <c r="X3344" t="s">
        <v>41254</v>
      </c>
    </row>
    <row r="3345" spans="1:24">
      <c r="A3345">
        <f>HYPERLINK("https://www.philgeps.gov.ph/GEPSNONPILOT/Tender/SplashBidNoticeAbstractUI.aspx?menuIndex=3&amp;refID=7074429&amp;Result=3","7074429")</f>
        <v>0</v>
      </c>
      <c r="B3345" t="s">
        <v>1340</v>
      </c>
      <c r="C3345" t="s">
        <v>6591</v>
      </c>
      <c r="D3345" t="s">
        <v>16621</v>
      </c>
      <c r="E3345" t="s">
        <v>19740</v>
      </c>
      <c r="F3345" t="s">
        <v>28669</v>
      </c>
      <c r="G3345" t="s">
        <v>28676</v>
      </c>
      <c r="H3345" t="s">
        <v>9998</v>
      </c>
      <c r="I3345" t="s">
        <v>11593</v>
      </c>
      <c r="J3345" t="s">
        <v>31027</v>
      </c>
      <c r="K3345" t="s">
        <v>37227</v>
      </c>
      <c r="M3345" t="s">
        <v>38895</v>
      </c>
      <c r="N3345" t="s">
        <v>41249</v>
      </c>
      <c r="O3345" t="s">
        <v>41250</v>
      </c>
      <c r="P3345">
        <v>0</v>
      </c>
      <c r="Q3345">
        <v>1</v>
      </c>
      <c r="R3345" t="s">
        <v>41252</v>
      </c>
      <c r="S3345" t="s">
        <v>41383</v>
      </c>
      <c r="T3345" t="s">
        <v>42679</v>
      </c>
      <c r="U3345" t="s">
        <v>46014</v>
      </c>
      <c r="W3345" t="s">
        <v>38895</v>
      </c>
      <c r="X3345" t="s">
        <v>41254</v>
      </c>
    </row>
    <row r="3346" spans="1:24">
      <c r="A3346">
        <f>HYPERLINK("https://www.philgeps.gov.ph/GEPSNONPILOT/Tender/SplashBidNoticeAbstractUI.aspx?menuIndex=3&amp;refID=7074427&amp;Result=3","7074427")</f>
        <v>0</v>
      </c>
      <c r="B3346" t="s">
        <v>1292</v>
      </c>
      <c r="C3346" t="s">
        <v>6592</v>
      </c>
      <c r="D3346" t="s">
        <v>16673</v>
      </c>
      <c r="E3346" t="s">
        <v>19665</v>
      </c>
      <c r="F3346" t="s">
        <v>28669</v>
      </c>
      <c r="G3346" t="s">
        <v>28675</v>
      </c>
      <c r="H3346" t="s">
        <v>28686</v>
      </c>
      <c r="I3346" t="s">
        <v>28689</v>
      </c>
      <c r="J3346" t="s">
        <v>31028</v>
      </c>
      <c r="K3346" t="s">
        <v>37206</v>
      </c>
      <c r="M3346" t="s">
        <v>38843</v>
      </c>
      <c r="N3346" t="s">
        <v>41249</v>
      </c>
      <c r="O3346" t="s">
        <v>41250</v>
      </c>
      <c r="P3346">
        <v>0</v>
      </c>
      <c r="Q3346">
        <v>0</v>
      </c>
      <c r="R3346" t="s">
        <v>41252</v>
      </c>
      <c r="S3346" t="s">
        <v>41383</v>
      </c>
      <c r="T3346" t="s">
        <v>42683</v>
      </c>
      <c r="U3346" t="s">
        <v>46015</v>
      </c>
      <c r="W3346" t="s">
        <v>38843</v>
      </c>
      <c r="X3346" t="s">
        <v>41254</v>
      </c>
    </row>
    <row r="3347" spans="1:24">
      <c r="A3347">
        <f>HYPERLINK("https://www.philgeps.gov.ph/GEPSNONPILOT/Tender/SplashBidNoticeAbstractUI.aspx?menuIndex=3&amp;refID=7074434&amp;Result=3","7074434")</f>
        <v>0</v>
      </c>
      <c r="B3347" t="s">
        <v>1244</v>
      </c>
      <c r="C3347" t="s">
        <v>6593</v>
      </c>
      <c r="D3347" t="s">
        <v>16686</v>
      </c>
      <c r="E3347" t="s">
        <v>19741</v>
      </c>
      <c r="F3347" t="s">
        <v>28669</v>
      </c>
      <c r="G3347" t="s">
        <v>28676</v>
      </c>
      <c r="H3347" t="s">
        <v>9998</v>
      </c>
      <c r="I3347" t="s">
        <v>6128</v>
      </c>
      <c r="J3347" t="s">
        <v>31029</v>
      </c>
      <c r="K3347" t="s">
        <v>37205</v>
      </c>
      <c r="M3347" t="s">
        <v>38791</v>
      </c>
      <c r="N3347" t="s">
        <v>41249</v>
      </c>
      <c r="O3347" t="s">
        <v>41250</v>
      </c>
      <c r="P3347">
        <v>0</v>
      </c>
      <c r="Q3347">
        <v>1</v>
      </c>
      <c r="R3347" t="s">
        <v>41252</v>
      </c>
      <c r="S3347" t="s">
        <v>41383</v>
      </c>
      <c r="T3347" t="s">
        <v>42711</v>
      </c>
      <c r="U3347" t="s">
        <v>46016</v>
      </c>
      <c r="W3347" t="s">
        <v>38791</v>
      </c>
      <c r="X3347" t="s">
        <v>41254</v>
      </c>
    </row>
    <row r="3348" spans="1:24">
      <c r="A3348">
        <f>HYPERLINK("https://www.philgeps.gov.ph/GEPSNONPILOT/Tender/SplashBidNoticeAbstractUI.aspx?menuIndex=3&amp;refID=7074426&amp;Result=3","7074426")</f>
        <v>0</v>
      </c>
      <c r="B3348" t="s">
        <v>1059</v>
      </c>
      <c r="C3348" t="s">
        <v>6594</v>
      </c>
      <c r="D3348" t="s">
        <v>16612</v>
      </c>
      <c r="E3348" t="s">
        <v>19742</v>
      </c>
      <c r="F3348" t="s">
        <v>28669</v>
      </c>
      <c r="G3348" t="s">
        <v>28675</v>
      </c>
      <c r="H3348" t="s">
        <v>9998</v>
      </c>
      <c r="I3348" t="s">
        <v>7352</v>
      </c>
      <c r="J3348" t="s">
        <v>31030</v>
      </c>
      <c r="K3348" t="s">
        <v>37205</v>
      </c>
      <c r="M3348" t="s">
        <v>38590</v>
      </c>
      <c r="N3348" t="s">
        <v>41249</v>
      </c>
      <c r="O3348" t="s">
        <v>41250</v>
      </c>
      <c r="P3348">
        <v>0</v>
      </c>
      <c r="Q3348">
        <v>0</v>
      </c>
      <c r="R3348" t="s">
        <v>41252</v>
      </c>
      <c r="S3348" t="s">
        <v>41383</v>
      </c>
      <c r="T3348" t="s">
        <v>42759</v>
      </c>
      <c r="U3348" t="s">
        <v>46017</v>
      </c>
      <c r="W3348" t="s">
        <v>38590</v>
      </c>
      <c r="X3348" t="s">
        <v>41254</v>
      </c>
    </row>
    <row r="3349" spans="1:24">
      <c r="A3349">
        <f>HYPERLINK("https://www.philgeps.gov.ph/GEPSNONPILOT/Tender/SplashBidNoticeAbstractUI.aspx?menuIndex=3&amp;refID=7074425&amp;Result=3","7074425")</f>
        <v>0</v>
      </c>
      <c r="B3349" t="s">
        <v>1341</v>
      </c>
      <c r="C3349" t="s">
        <v>6595</v>
      </c>
      <c r="D3349" t="s">
        <v>16677</v>
      </c>
      <c r="E3349" t="s">
        <v>18464</v>
      </c>
      <c r="F3349" t="s">
        <v>28669</v>
      </c>
      <c r="G3349" t="s">
        <v>28675</v>
      </c>
      <c r="H3349" t="s">
        <v>9998</v>
      </c>
      <c r="I3349" t="s">
        <v>28704</v>
      </c>
      <c r="J3349" t="s">
        <v>29003</v>
      </c>
      <c r="K3349" t="s">
        <v>37210</v>
      </c>
      <c r="M3349" t="s">
        <v>38896</v>
      </c>
      <c r="N3349" t="s">
        <v>41249</v>
      </c>
      <c r="O3349" t="s">
        <v>41250</v>
      </c>
      <c r="P3349">
        <v>0</v>
      </c>
      <c r="Q3349">
        <v>0</v>
      </c>
      <c r="R3349" t="s">
        <v>41252</v>
      </c>
      <c r="S3349" t="s">
        <v>41383</v>
      </c>
      <c r="T3349" t="s">
        <v>42814</v>
      </c>
      <c r="U3349" t="s">
        <v>46018</v>
      </c>
      <c r="W3349" t="s">
        <v>38896</v>
      </c>
      <c r="X3349" t="s">
        <v>41254</v>
      </c>
    </row>
    <row r="3350" spans="1:24">
      <c r="A3350">
        <f>HYPERLINK("https://www.philgeps.gov.ph/GEPSNONPILOT/Tender/SplashBidNoticeAbstractUI.aspx?menuIndex=3&amp;refID=7074431&amp;Result=3","7074431")</f>
        <v>0</v>
      </c>
      <c r="B3350" t="s">
        <v>1181</v>
      </c>
      <c r="C3350" t="s">
        <v>6596</v>
      </c>
      <c r="D3350" t="s">
        <v>16627</v>
      </c>
      <c r="E3350" t="s">
        <v>19743</v>
      </c>
      <c r="F3350" t="s">
        <v>28669</v>
      </c>
      <c r="G3350" t="s">
        <v>28676</v>
      </c>
      <c r="H3350" t="s">
        <v>9998</v>
      </c>
      <c r="I3350" t="s">
        <v>28704</v>
      </c>
      <c r="J3350" t="s">
        <v>29349</v>
      </c>
      <c r="K3350" t="s">
        <v>37204</v>
      </c>
      <c r="M3350" t="s">
        <v>38721</v>
      </c>
      <c r="N3350" t="s">
        <v>41249</v>
      </c>
      <c r="O3350" t="s">
        <v>41250</v>
      </c>
      <c r="P3350">
        <v>0</v>
      </c>
      <c r="Q3350">
        <v>0</v>
      </c>
      <c r="R3350" t="s">
        <v>41252</v>
      </c>
      <c r="S3350" t="s">
        <v>41383</v>
      </c>
      <c r="T3350" t="s">
        <v>42758</v>
      </c>
      <c r="U3350" t="s">
        <v>45629</v>
      </c>
      <c r="W3350" t="s">
        <v>38721</v>
      </c>
      <c r="X3350" t="s">
        <v>41254</v>
      </c>
    </row>
    <row r="3351" spans="1:24">
      <c r="A3351">
        <f>HYPERLINK("https://www.philgeps.gov.ph/GEPSNONPILOT/Tender/SplashBidNoticeAbstractUI.aspx?menuIndex=3&amp;refID=7074422&amp;Result=3","7074422")</f>
        <v>0</v>
      </c>
      <c r="B3351" t="s">
        <v>1342</v>
      </c>
      <c r="C3351" t="s">
        <v>6597</v>
      </c>
      <c r="D3351" t="s">
        <v>16619</v>
      </c>
      <c r="E3351" t="s">
        <v>19744</v>
      </c>
      <c r="F3351" t="s">
        <v>28669</v>
      </c>
      <c r="G3351" t="s">
        <v>28676</v>
      </c>
      <c r="H3351" t="s">
        <v>9998</v>
      </c>
      <c r="I3351" t="s">
        <v>15140</v>
      </c>
      <c r="J3351" t="s">
        <v>29104</v>
      </c>
      <c r="K3351" t="s">
        <v>37210</v>
      </c>
      <c r="M3351" t="s">
        <v>38897</v>
      </c>
      <c r="N3351" t="s">
        <v>41249</v>
      </c>
      <c r="O3351" t="s">
        <v>41250</v>
      </c>
      <c r="P3351">
        <v>0</v>
      </c>
      <c r="Q3351">
        <v>0</v>
      </c>
      <c r="R3351" t="s">
        <v>41252</v>
      </c>
      <c r="S3351" t="s">
        <v>41383</v>
      </c>
      <c r="T3351" t="s">
        <v>42707</v>
      </c>
      <c r="U3351" t="s">
        <v>46019</v>
      </c>
      <c r="W3351" t="s">
        <v>38897</v>
      </c>
      <c r="X3351" t="s">
        <v>41254</v>
      </c>
    </row>
    <row r="3352" spans="1:24">
      <c r="A3352">
        <f>HYPERLINK("https://www.philgeps.gov.ph/GEPSNONPILOT/Tender/SplashBidNoticeAbstractUI.aspx?menuIndex=3&amp;refID=7074419&amp;Result=3","7074419")</f>
        <v>0</v>
      </c>
      <c r="B3352" t="s">
        <v>965</v>
      </c>
      <c r="C3352" t="s">
        <v>6598</v>
      </c>
      <c r="D3352" t="s">
        <v>16608</v>
      </c>
      <c r="E3352" t="s">
        <v>19745</v>
      </c>
      <c r="F3352" t="s">
        <v>28669</v>
      </c>
      <c r="G3352" t="s">
        <v>28675</v>
      </c>
      <c r="H3352" t="s">
        <v>9998</v>
      </c>
      <c r="I3352" t="s">
        <v>15140</v>
      </c>
      <c r="J3352" t="s">
        <v>28826</v>
      </c>
      <c r="K3352" t="s">
        <v>37205</v>
      </c>
      <c r="M3352" t="s">
        <v>38890</v>
      </c>
      <c r="N3352" t="s">
        <v>41249</v>
      </c>
      <c r="O3352" t="s">
        <v>41250</v>
      </c>
      <c r="P3352">
        <v>0</v>
      </c>
      <c r="Q3352">
        <v>0</v>
      </c>
      <c r="R3352" t="s">
        <v>41252</v>
      </c>
      <c r="S3352" t="s">
        <v>41383</v>
      </c>
      <c r="T3352" t="s">
        <v>42703</v>
      </c>
      <c r="U3352" t="s">
        <v>45990</v>
      </c>
      <c r="W3352" t="s">
        <v>38890</v>
      </c>
      <c r="X3352" t="s">
        <v>41254</v>
      </c>
    </row>
    <row r="3353" spans="1:24">
      <c r="A3353">
        <f>HYPERLINK("https://www.philgeps.gov.ph/GEPSNONPILOT/Tender/SplashBidNoticeAbstractUI.aspx?menuIndex=3&amp;refID=7074398&amp;Result=3","7074398")</f>
        <v>0</v>
      </c>
      <c r="B3353" t="s">
        <v>1176</v>
      </c>
      <c r="C3353" t="s">
        <v>6599</v>
      </c>
      <c r="E3353" t="s">
        <v>19746</v>
      </c>
      <c r="F3353" t="s">
        <v>28669</v>
      </c>
      <c r="G3353" t="s">
        <v>28676</v>
      </c>
      <c r="H3353" t="s">
        <v>9998</v>
      </c>
      <c r="I3353" t="s">
        <v>7352</v>
      </c>
      <c r="J3353" t="s">
        <v>31031</v>
      </c>
      <c r="K3353" t="s">
        <v>37208</v>
      </c>
      <c r="L3353" t="s">
        <v>1176</v>
      </c>
      <c r="M3353" t="s">
        <v>38715</v>
      </c>
      <c r="N3353" t="s">
        <v>41249</v>
      </c>
      <c r="O3353" t="s">
        <v>41250</v>
      </c>
      <c r="P3353">
        <v>0</v>
      </c>
      <c r="Q3353">
        <v>0</v>
      </c>
      <c r="R3353" t="s">
        <v>41252</v>
      </c>
      <c r="S3353" t="s">
        <v>41383</v>
      </c>
      <c r="T3353" t="s">
        <v>42736</v>
      </c>
      <c r="U3353" t="s">
        <v>46020</v>
      </c>
      <c r="V3353" t="s">
        <v>54641</v>
      </c>
      <c r="W3353" t="s">
        <v>38715</v>
      </c>
      <c r="X3353" t="s">
        <v>41254</v>
      </c>
    </row>
    <row r="3354" spans="1:24">
      <c r="A3354">
        <f>HYPERLINK("https://www.philgeps.gov.ph/GEPSNONPILOT/Tender/SplashBidNoticeAbstractUI.aspx?menuIndex=3&amp;refID=7074395&amp;Result=3","7074395")</f>
        <v>0</v>
      </c>
      <c r="B3354" t="s">
        <v>1315</v>
      </c>
      <c r="C3354" t="s">
        <v>6600</v>
      </c>
      <c r="D3354" t="s">
        <v>16643</v>
      </c>
      <c r="E3354" t="s">
        <v>19747</v>
      </c>
      <c r="F3354" t="s">
        <v>28669</v>
      </c>
      <c r="G3354" t="s">
        <v>28675</v>
      </c>
      <c r="H3354" t="s">
        <v>9998</v>
      </c>
      <c r="I3354" t="s">
        <v>3658</v>
      </c>
      <c r="J3354" t="s">
        <v>28834</v>
      </c>
      <c r="K3354" t="s">
        <v>37243</v>
      </c>
      <c r="M3354" t="s">
        <v>38867</v>
      </c>
      <c r="N3354" t="s">
        <v>41249</v>
      </c>
      <c r="O3354" t="s">
        <v>41250</v>
      </c>
      <c r="P3354">
        <v>0</v>
      </c>
      <c r="Q3354">
        <v>2</v>
      </c>
      <c r="R3354" t="s">
        <v>41252</v>
      </c>
      <c r="S3354" t="s">
        <v>41383</v>
      </c>
      <c r="T3354" t="s">
        <v>42679</v>
      </c>
      <c r="U3354" t="s">
        <v>46021</v>
      </c>
      <c r="W3354" t="s">
        <v>38867</v>
      </c>
      <c r="X3354" t="s">
        <v>41254</v>
      </c>
    </row>
    <row r="3355" spans="1:24">
      <c r="A3355">
        <f>HYPERLINK("https://www.philgeps.gov.ph/GEPSNONPILOT/Tender/SplashBidNoticeAbstractUI.aspx?menuIndex=3&amp;refID=7074428&amp;Result=3","7074428")</f>
        <v>0</v>
      </c>
      <c r="B3355" t="s">
        <v>1278</v>
      </c>
      <c r="C3355" t="s">
        <v>6601</v>
      </c>
      <c r="D3355" t="s">
        <v>16684</v>
      </c>
      <c r="E3355" t="s">
        <v>19748</v>
      </c>
      <c r="F3355" t="s">
        <v>28669</v>
      </c>
      <c r="G3355" t="s">
        <v>28676</v>
      </c>
      <c r="H3355" t="s">
        <v>9998</v>
      </c>
      <c r="I3355" t="s">
        <v>6606</v>
      </c>
      <c r="J3355" t="s">
        <v>31032</v>
      </c>
      <c r="K3355" t="s">
        <v>37256</v>
      </c>
      <c r="M3355" t="s">
        <v>38828</v>
      </c>
      <c r="N3355" t="s">
        <v>41249</v>
      </c>
      <c r="O3355" t="s">
        <v>41250</v>
      </c>
      <c r="P3355">
        <v>0</v>
      </c>
      <c r="Q3355">
        <v>0</v>
      </c>
      <c r="R3355" t="s">
        <v>41252</v>
      </c>
      <c r="S3355" t="s">
        <v>41383</v>
      </c>
      <c r="T3355" t="s">
        <v>42757</v>
      </c>
      <c r="U3355" t="s">
        <v>45858</v>
      </c>
      <c r="W3355" t="s">
        <v>38828</v>
      </c>
      <c r="X3355" t="s">
        <v>41254</v>
      </c>
    </row>
    <row r="3356" spans="1:24">
      <c r="A3356">
        <f>HYPERLINK("https://www.philgeps.gov.ph/GEPSNONPILOT/Tender/SplashBidNoticeAbstractUI.aspx?menuIndex=3&amp;refID=7074443&amp;Result=3","7074443")</f>
        <v>0</v>
      </c>
      <c r="B3356" t="s">
        <v>965</v>
      </c>
      <c r="C3356" t="s">
        <v>6602</v>
      </c>
      <c r="D3356" t="s">
        <v>16608</v>
      </c>
      <c r="E3356" t="s">
        <v>19749</v>
      </c>
      <c r="F3356" t="s">
        <v>28669</v>
      </c>
      <c r="G3356" t="s">
        <v>28675</v>
      </c>
      <c r="H3356" t="s">
        <v>9998</v>
      </c>
      <c r="I3356" t="s">
        <v>5213</v>
      </c>
      <c r="J3356" t="s">
        <v>28905</v>
      </c>
      <c r="K3356" t="s">
        <v>37205</v>
      </c>
      <c r="M3356" t="s">
        <v>38890</v>
      </c>
      <c r="N3356" t="s">
        <v>41249</v>
      </c>
      <c r="O3356" t="s">
        <v>41250</v>
      </c>
      <c r="P3356">
        <v>0</v>
      </c>
      <c r="Q3356">
        <v>0</v>
      </c>
      <c r="R3356" t="s">
        <v>41252</v>
      </c>
      <c r="S3356" t="s">
        <v>41383</v>
      </c>
      <c r="T3356" t="s">
        <v>42703</v>
      </c>
      <c r="U3356" t="s">
        <v>45206</v>
      </c>
      <c r="W3356" t="s">
        <v>38890</v>
      </c>
      <c r="X3356" t="s">
        <v>41254</v>
      </c>
    </row>
    <row r="3357" spans="1:24">
      <c r="A3357">
        <f>HYPERLINK("https://www.philgeps.gov.ph/GEPSNONPILOT/Tender/SplashBidNoticeAbstractUI.aspx?menuIndex=3&amp;refID=7074424&amp;Result=3","7074424")</f>
        <v>0</v>
      </c>
      <c r="B3357" t="s">
        <v>714</v>
      </c>
      <c r="C3357" t="s">
        <v>6603</v>
      </c>
      <c r="D3357" t="s">
        <v>16608</v>
      </c>
      <c r="E3357" t="s">
        <v>19750</v>
      </c>
      <c r="F3357" t="s">
        <v>28669</v>
      </c>
      <c r="G3357" t="s">
        <v>28678</v>
      </c>
      <c r="H3357" t="s">
        <v>9998</v>
      </c>
      <c r="I3357" t="s">
        <v>28687</v>
      </c>
      <c r="J3357" t="s">
        <v>31033</v>
      </c>
      <c r="K3357" t="s">
        <v>37243</v>
      </c>
      <c r="M3357" t="s">
        <v>38221</v>
      </c>
      <c r="N3357" t="s">
        <v>41249</v>
      </c>
      <c r="O3357" t="s">
        <v>41250</v>
      </c>
      <c r="P3357">
        <v>0</v>
      </c>
      <c r="Q3357">
        <v>0</v>
      </c>
      <c r="R3357" t="s">
        <v>41252</v>
      </c>
      <c r="S3357" t="s">
        <v>41383</v>
      </c>
      <c r="T3357" t="s">
        <v>42736</v>
      </c>
      <c r="U3357" t="s">
        <v>46022</v>
      </c>
      <c r="W3357" t="s">
        <v>38221</v>
      </c>
      <c r="X3357" t="s">
        <v>41254</v>
      </c>
    </row>
    <row r="3358" spans="1:24">
      <c r="A3358">
        <f>HYPERLINK("https://www.philgeps.gov.ph/GEPSNONPILOT/Tender/SplashBidNoticeAbstractUI.aspx?menuIndex=3&amp;refID=7074423&amp;Result=3","7074423")</f>
        <v>0</v>
      </c>
      <c r="B3358" t="s">
        <v>1343</v>
      </c>
      <c r="C3358" t="s">
        <v>6604</v>
      </c>
      <c r="D3358" t="s">
        <v>16649</v>
      </c>
      <c r="E3358" t="s">
        <v>19751</v>
      </c>
      <c r="F3358" t="s">
        <v>28669</v>
      </c>
      <c r="G3358" t="s">
        <v>28677</v>
      </c>
      <c r="H3358" t="s">
        <v>9998</v>
      </c>
      <c r="I3358" t="s">
        <v>7352</v>
      </c>
      <c r="J3358" t="s">
        <v>31034</v>
      </c>
      <c r="K3358" t="s">
        <v>37210</v>
      </c>
      <c r="M3358" t="s">
        <v>38898</v>
      </c>
      <c r="N3358" t="s">
        <v>41249</v>
      </c>
      <c r="O3358" t="s">
        <v>41250</v>
      </c>
      <c r="P3358">
        <v>0</v>
      </c>
      <c r="Q3358">
        <v>0</v>
      </c>
      <c r="R3358" t="s">
        <v>41252</v>
      </c>
      <c r="S3358" t="s">
        <v>41383</v>
      </c>
      <c r="T3358" t="s">
        <v>42887</v>
      </c>
      <c r="U3358" t="s">
        <v>46023</v>
      </c>
      <c r="W3358" t="s">
        <v>38898</v>
      </c>
      <c r="X3358" t="s">
        <v>41254</v>
      </c>
    </row>
    <row r="3359" spans="1:24">
      <c r="A3359">
        <f>HYPERLINK("https://www.philgeps.gov.ph/GEPSNONPILOT/Tender/SplashBidNoticeAbstractUI.aspx?menuIndex=3&amp;refID=7074465&amp;Result=3","7074465")</f>
        <v>0</v>
      </c>
      <c r="B3359" t="s">
        <v>1344</v>
      </c>
      <c r="C3359" t="s">
        <v>6605</v>
      </c>
      <c r="D3359" t="s">
        <v>16673</v>
      </c>
      <c r="E3359" t="s">
        <v>19752</v>
      </c>
      <c r="F3359" t="s">
        <v>28669</v>
      </c>
      <c r="G3359" t="s">
        <v>28677</v>
      </c>
      <c r="H3359" t="s">
        <v>9998</v>
      </c>
      <c r="I3359" t="s">
        <v>28697</v>
      </c>
      <c r="J3359" t="s">
        <v>30429</v>
      </c>
      <c r="K3359" t="s">
        <v>37205</v>
      </c>
      <c r="M3359" t="s">
        <v>38899</v>
      </c>
      <c r="N3359" t="s">
        <v>41249</v>
      </c>
      <c r="O3359" t="s">
        <v>41250</v>
      </c>
      <c r="P3359">
        <v>0</v>
      </c>
      <c r="Q3359">
        <v>9</v>
      </c>
      <c r="R3359" t="s">
        <v>41252</v>
      </c>
      <c r="S3359" t="s">
        <v>41383</v>
      </c>
      <c r="T3359" t="s">
        <v>42767</v>
      </c>
      <c r="U3359" t="s">
        <v>46024</v>
      </c>
      <c r="W3359" t="s">
        <v>38899</v>
      </c>
      <c r="X3359" t="s">
        <v>41254</v>
      </c>
    </row>
    <row r="3360" spans="1:24">
      <c r="A3360">
        <f>HYPERLINK("https://www.philgeps.gov.ph/GEPSNONPILOT/Tender/SplashBidNoticeAbstractUI.aspx?menuIndex=3&amp;refID=7074463&amp;Result=3","7074463")</f>
        <v>0</v>
      </c>
      <c r="B3360" t="s">
        <v>1199</v>
      </c>
      <c r="C3360" t="s">
        <v>6606</v>
      </c>
      <c r="D3360" t="s">
        <v>16667</v>
      </c>
      <c r="E3360" t="s">
        <v>19753</v>
      </c>
      <c r="F3360" t="s">
        <v>28669</v>
      </c>
      <c r="G3360" t="s">
        <v>28676</v>
      </c>
      <c r="H3360" t="s">
        <v>9998</v>
      </c>
      <c r="I3360" t="s">
        <v>6606</v>
      </c>
      <c r="J3360" t="s">
        <v>28854</v>
      </c>
      <c r="K3360" t="s">
        <v>37240</v>
      </c>
      <c r="M3360" t="s">
        <v>38739</v>
      </c>
      <c r="N3360" t="s">
        <v>41249</v>
      </c>
      <c r="O3360" t="s">
        <v>41250</v>
      </c>
      <c r="P3360">
        <v>0</v>
      </c>
      <c r="Q3360">
        <v>0</v>
      </c>
      <c r="R3360" t="s">
        <v>41252</v>
      </c>
      <c r="S3360" t="s">
        <v>41383</v>
      </c>
      <c r="T3360" t="s">
        <v>42701</v>
      </c>
      <c r="U3360" t="s">
        <v>46025</v>
      </c>
      <c r="W3360" t="s">
        <v>38739</v>
      </c>
      <c r="X3360" t="s">
        <v>41254</v>
      </c>
    </row>
    <row r="3361" spans="1:24">
      <c r="A3361">
        <f>HYPERLINK("https://www.philgeps.gov.ph/GEPSNONPILOT/Tender/SplashBidNoticeAbstractUI.aspx?menuIndex=3&amp;refID=7074460&amp;Result=3","7074460")</f>
        <v>0</v>
      </c>
      <c r="B3361" t="s">
        <v>1244</v>
      </c>
      <c r="C3361" t="s">
        <v>6607</v>
      </c>
      <c r="D3361" t="s">
        <v>16686</v>
      </c>
      <c r="E3361" t="s">
        <v>19754</v>
      </c>
      <c r="F3361" t="s">
        <v>28669</v>
      </c>
      <c r="G3361" t="s">
        <v>28676</v>
      </c>
      <c r="H3361" t="s">
        <v>9998</v>
      </c>
      <c r="I3361" t="s">
        <v>3718</v>
      </c>
      <c r="J3361" t="s">
        <v>31035</v>
      </c>
      <c r="K3361" t="s">
        <v>37205</v>
      </c>
      <c r="M3361" t="s">
        <v>38791</v>
      </c>
      <c r="N3361" t="s">
        <v>41249</v>
      </c>
      <c r="O3361" t="s">
        <v>41250</v>
      </c>
      <c r="P3361">
        <v>0</v>
      </c>
      <c r="Q3361">
        <v>4</v>
      </c>
      <c r="R3361" t="s">
        <v>41252</v>
      </c>
      <c r="S3361" t="s">
        <v>41383</v>
      </c>
      <c r="T3361" t="s">
        <v>42711</v>
      </c>
      <c r="U3361" t="s">
        <v>46026</v>
      </c>
      <c r="W3361" t="s">
        <v>38791</v>
      </c>
      <c r="X3361" t="s">
        <v>41254</v>
      </c>
    </row>
    <row r="3362" spans="1:24">
      <c r="A3362">
        <f>HYPERLINK("https://www.philgeps.gov.ph/GEPSNONPILOT/Tender/SplashBidNoticeAbstractUI.aspx?menuIndex=3&amp;refID=7074459&amp;Result=3","7074459")</f>
        <v>0</v>
      </c>
      <c r="B3362" t="s">
        <v>308</v>
      </c>
      <c r="C3362" t="s">
        <v>6608</v>
      </c>
      <c r="D3362" t="s">
        <v>16647</v>
      </c>
      <c r="E3362" t="s">
        <v>19755</v>
      </c>
      <c r="F3362" t="s">
        <v>28669</v>
      </c>
      <c r="G3362" t="s">
        <v>28675</v>
      </c>
      <c r="H3362" t="s">
        <v>28686</v>
      </c>
      <c r="I3362" t="s">
        <v>28689</v>
      </c>
      <c r="J3362" t="s">
        <v>29950</v>
      </c>
      <c r="K3362" t="s">
        <v>37259</v>
      </c>
      <c r="M3362" t="s">
        <v>38223</v>
      </c>
      <c r="N3362" t="s">
        <v>41249</v>
      </c>
      <c r="O3362" t="s">
        <v>41250</v>
      </c>
      <c r="P3362">
        <v>0</v>
      </c>
      <c r="Q3362">
        <v>4</v>
      </c>
      <c r="R3362" t="s">
        <v>41252</v>
      </c>
      <c r="S3362" t="s">
        <v>41383</v>
      </c>
      <c r="T3362" t="s">
        <v>42716</v>
      </c>
      <c r="U3362" t="s">
        <v>45881</v>
      </c>
      <c r="W3362" t="s">
        <v>38223</v>
      </c>
      <c r="X3362" t="s">
        <v>41254</v>
      </c>
    </row>
    <row r="3363" spans="1:24">
      <c r="A3363">
        <f>HYPERLINK("https://www.philgeps.gov.ph/GEPSNONPILOT/Tender/SplashBidNoticeAbstractUI.aspx?menuIndex=3&amp;refID=7074457&amp;Result=3","7074457")</f>
        <v>0</v>
      </c>
      <c r="B3363" t="s">
        <v>201</v>
      </c>
      <c r="C3363" t="s">
        <v>6609</v>
      </c>
      <c r="D3363" t="s">
        <v>16635</v>
      </c>
      <c r="E3363" t="s">
        <v>19756</v>
      </c>
      <c r="F3363" t="s">
        <v>28669</v>
      </c>
      <c r="G3363" t="s">
        <v>28676</v>
      </c>
      <c r="H3363" t="s">
        <v>9998</v>
      </c>
      <c r="I3363" t="s">
        <v>11142</v>
      </c>
      <c r="J3363" t="s">
        <v>31036</v>
      </c>
      <c r="K3363" t="s">
        <v>37209</v>
      </c>
      <c r="M3363" t="s">
        <v>37679</v>
      </c>
      <c r="N3363" t="s">
        <v>41249</v>
      </c>
      <c r="O3363" t="s">
        <v>41250</v>
      </c>
      <c r="P3363">
        <v>0</v>
      </c>
      <c r="Q3363">
        <v>2</v>
      </c>
      <c r="R3363" t="s">
        <v>41252</v>
      </c>
      <c r="S3363" t="s">
        <v>41383</v>
      </c>
      <c r="T3363" t="s">
        <v>42758</v>
      </c>
      <c r="U3363" t="s">
        <v>46027</v>
      </c>
      <c r="W3363" t="s">
        <v>37679</v>
      </c>
      <c r="X3363" t="s">
        <v>41254</v>
      </c>
    </row>
    <row r="3364" spans="1:24">
      <c r="A3364">
        <f>HYPERLINK("https://www.philgeps.gov.ph/GEPSNONPILOT/Tender/SplashBidNoticeAbstractUI.aspx?menuIndex=3&amp;refID=7074464&amp;Result=3","7074464")</f>
        <v>0</v>
      </c>
      <c r="B3364" t="s">
        <v>991</v>
      </c>
      <c r="C3364" t="s">
        <v>6610</v>
      </c>
      <c r="E3364" t="s">
        <v>19757</v>
      </c>
      <c r="F3364" t="s">
        <v>28669</v>
      </c>
      <c r="G3364" t="s">
        <v>28676</v>
      </c>
      <c r="H3364" t="s">
        <v>9998</v>
      </c>
      <c r="I3364" t="s">
        <v>28688</v>
      </c>
      <c r="J3364" t="s">
        <v>31037</v>
      </c>
      <c r="K3364" t="s">
        <v>37220</v>
      </c>
      <c r="M3364" t="s">
        <v>38805</v>
      </c>
      <c r="N3364" t="s">
        <v>41249</v>
      </c>
      <c r="O3364" t="s">
        <v>41250</v>
      </c>
      <c r="P3364">
        <v>0</v>
      </c>
      <c r="Q3364">
        <v>6</v>
      </c>
      <c r="R3364" t="s">
        <v>41252</v>
      </c>
      <c r="S3364" t="s">
        <v>41383</v>
      </c>
      <c r="T3364" t="s">
        <v>42922</v>
      </c>
      <c r="U3364" t="s">
        <v>45797</v>
      </c>
      <c r="V3364" t="s">
        <v>54615</v>
      </c>
      <c r="W3364" t="s">
        <v>38518</v>
      </c>
      <c r="X3364" t="s">
        <v>41254</v>
      </c>
    </row>
    <row r="3365" spans="1:24">
      <c r="A3365">
        <f>HYPERLINK("https://www.philgeps.gov.ph/GEPSNONPILOT/Tender/SplashBidNoticeAbstractUI.aspx?menuIndex=3&amp;refID=7074454&amp;Result=3","7074454")</f>
        <v>0</v>
      </c>
      <c r="B3365" t="s">
        <v>1124</v>
      </c>
      <c r="C3365" t="s">
        <v>6611</v>
      </c>
      <c r="E3365" t="s">
        <v>19758</v>
      </c>
      <c r="F3365" t="s">
        <v>28669</v>
      </c>
      <c r="G3365" t="s">
        <v>28676</v>
      </c>
      <c r="H3365" t="s">
        <v>9998</v>
      </c>
      <c r="I3365" t="s">
        <v>28728</v>
      </c>
      <c r="J3365" t="s">
        <v>29790</v>
      </c>
      <c r="K3365" t="s">
        <v>37209</v>
      </c>
      <c r="M3365" t="s">
        <v>38883</v>
      </c>
      <c r="N3365" t="s">
        <v>41249</v>
      </c>
      <c r="O3365" t="s">
        <v>41250</v>
      </c>
      <c r="P3365">
        <v>0</v>
      </c>
      <c r="Q3365">
        <v>0</v>
      </c>
      <c r="R3365" t="s">
        <v>41252</v>
      </c>
      <c r="S3365" t="s">
        <v>41383</v>
      </c>
      <c r="T3365" t="s">
        <v>42729</v>
      </c>
      <c r="U3365" t="s">
        <v>46028</v>
      </c>
      <c r="W3365" t="s">
        <v>38883</v>
      </c>
      <c r="X3365" t="s">
        <v>41254</v>
      </c>
    </row>
    <row r="3366" spans="1:24">
      <c r="A3366">
        <f>HYPERLINK("https://www.philgeps.gov.ph/GEPSNONPILOT/Tender/SplashBidNoticeAbstractUI.aspx?menuIndex=3&amp;refID=7074396&amp;Result=3","7074396")</f>
        <v>0</v>
      </c>
      <c r="B3366" t="s">
        <v>1181</v>
      </c>
      <c r="C3366" t="s">
        <v>6612</v>
      </c>
      <c r="D3366" t="s">
        <v>16627</v>
      </c>
      <c r="E3366" t="s">
        <v>19759</v>
      </c>
      <c r="F3366" t="s">
        <v>28669</v>
      </c>
      <c r="G3366" t="s">
        <v>28676</v>
      </c>
      <c r="H3366" t="s">
        <v>9998</v>
      </c>
      <c r="I3366" t="s">
        <v>28699</v>
      </c>
      <c r="J3366" t="s">
        <v>31038</v>
      </c>
      <c r="K3366" t="s">
        <v>37204</v>
      </c>
      <c r="M3366" t="s">
        <v>38721</v>
      </c>
      <c r="N3366" t="s">
        <v>41249</v>
      </c>
      <c r="O3366" t="s">
        <v>41250</v>
      </c>
      <c r="P3366">
        <v>0</v>
      </c>
      <c r="Q3366">
        <v>2</v>
      </c>
      <c r="R3366" t="s">
        <v>41252</v>
      </c>
      <c r="S3366" t="s">
        <v>41383</v>
      </c>
      <c r="T3366" t="s">
        <v>42758</v>
      </c>
      <c r="U3366" t="s">
        <v>45629</v>
      </c>
      <c r="W3366" t="s">
        <v>38721</v>
      </c>
      <c r="X3366" t="s">
        <v>41254</v>
      </c>
    </row>
    <row r="3367" spans="1:24">
      <c r="A3367">
        <f>HYPERLINK("https://www.philgeps.gov.ph/GEPSNONPILOT/Tender/SplashBidNoticeAbstractUI.aspx?menuIndex=3&amp;refID=7074453&amp;Result=3","7074453")</f>
        <v>0</v>
      </c>
      <c r="B3367" t="s">
        <v>986</v>
      </c>
      <c r="C3367" t="s">
        <v>6613</v>
      </c>
      <c r="D3367" t="s">
        <v>16620</v>
      </c>
      <c r="E3367" t="s">
        <v>19760</v>
      </c>
      <c r="F3367" t="s">
        <v>28669</v>
      </c>
      <c r="G3367" t="s">
        <v>28675</v>
      </c>
      <c r="H3367" t="s">
        <v>9998</v>
      </c>
      <c r="I3367" t="s">
        <v>28687</v>
      </c>
      <c r="J3367" t="s">
        <v>29133</v>
      </c>
      <c r="K3367" t="s">
        <v>37206</v>
      </c>
      <c r="M3367" t="s">
        <v>38900</v>
      </c>
      <c r="N3367" t="s">
        <v>41249</v>
      </c>
      <c r="O3367" t="s">
        <v>41250</v>
      </c>
      <c r="P3367">
        <v>0</v>
      </c>
      <c r="Q3367">
        <v>0</v>
      </c>
      <c r="R3367" t="s">
        <v>41252</v>
      </c>
      <c r="S3367" t="s">
        <v>41383</v>
      </c>
      <c r="T3367" t="s">
        <v>42703</v>
      </c>
      <c r="U3367" t="s">
        <v>45210</v>
      </c>
      <c r="V3367" t="s">
        <v>54542</v>
      </c>
      <c r="W3367" t="s">
        <v>38900</v>
      </c>
      <c r="X3367" t="s">
        <v>41254</v>
      </c>
    </row>
    <row r="3368" spans="1:24">
      <c r="A3368">
        <f>HYPERLINK("https://www.philgeps.gov.ph/GEPSNONPILOT/Tender/SplashBidNoticeAbstractUI.aspx?menuIndex=3&amp;refID=7074442&amp;Result=3","7074442")</f>
        <v>0</v>
      </c>
      <c r="B3368" t="s">
        <v>121</v>
      </c>
      <c r="C3368" t="s">
        <v>6614</v>
      </c>
      <c r="D3368" t="s">
        <v>16608</v>
      </c>
      <c r="E3368" t="s">
        <v>19761</v>
      </c>
      <c r="F3368" t="s">
        <v>28669</v>
      </c>
      <c r="G3368" t="s">
        <v>28676</v>
      </c>
      <c r="H3368" t="s">
        <v>9998</v>
      </c>
      <c r="I3368" t="s">
        <v>3718</v>
      </c>
      <c r="J3368" t="s">
        <v>31039</v>
      </c>
      <c r="K3368" t="s">
        <v>37204</v>
      </c>
      <c r="M3368" t="s">
        <v>38830</v>
      </c>
      <c r="N3368" t="s">
        <v>41249</v>
      </c>
      <c r="O3368" t="s">
        <v>41250</v>
      </c>
      <c r="P3368">
        <v>0</v>
      </c>
      <c r="Q3368">
        <v>1</v>
      </c>
      <c r="R3368" t="s">
        <v>41252</v>
      </c>
      <c r="S3368" t="s">
        <v>41383</v>
      </c>
      <c r="T3368" t="s">
        <v>42701</v>
      </c>
      <c r="U3368" t="s">
        <v>46029</v>
      </c>
      <c r="W3368" t="s">
        <v>38830</v>
      </c>
      <c r="X3368" t="s">
        <v>41254</v>
      </c>
    </row>
    <row r="3369" spans="1:24">
      <c r="A3369">
        <f>HYPERLINK("https://www.philgeps.gov.ph/GEPSNONPILOT/Tender/SplashBidNoticeAbstractUI.aspx?menuIndex=3&amp;refID=7074450&amp;Result=3","7074450")</f>
        <v>0</v>
      </c>
      <c r="B3369" t="s">
        <v>1345</v>
      </c>
      <c r="C3369" t="s">
        <v>6615</v>
      </c>
      <c r="D3369" t="s">
        <v>16644</v>
      </c>
      <c r="E3369" t="s">
        <v>19762</v>
      </c>
      <c r="F3369" t="s">
        <v>28669</v>
      </c>
      <c r="G3369" t="s">
        <v>28676</v>
      </c>
      <c r="H3369" t="s">
        <v>9998</v>
      </c>
      <c r="I3369" t="s">
        <v>3718</v>
      </c>
      <c r="J3369" t="s">
        <v>31040</v>
      </c>
      <c r="K3369" t="s">
        <v>37204</v>
      </c>
      <c r="M3369" t="s">
        <v>38901</v>
      </c>
      <c r="N3369" t="s">
        <v>41249</v>
      </c>
      <c r="O3369" t="s">
        <v>41250</v>
      </c>
      <c r="P3369">
        <v>0</v>
      </c>
      <c r="Q3369">
        <v>2</v>
      </c>
      <c r="R3369" t="s">
        <v>41252</v>
      </c>
      <c r="S3369" t="s">
        <v>41383</v>
      </c>
      <c r="T3369" t="s">
        <v>42758</v>
      </c>
      <c r="U3369" t="s">
        <v>46030</v>
      </c>
      <c r="W3369" t="s">
        <v>38901</v>
      </c>
      <c r="X3369" t="s">
        <v>41254</v>
      </c>
    </row>
    <row r="3370" spans="1:24">
      <c r="A3370">
        <f>HYPERLINK("https://www.philgeps.gov.ph/GEPSNONPILOT/Tender/SplashBidNoticeAbstractUI.aspx?menuIndex=3&amp;refID=7074449&amp;Result=3","7074449")</f>
        <v>0</v>
      </c>
      <c r="B3370" t="s">
        <v>1278</v>
      </c>
      <c r="C3370" t="s">
        <v>6616</v>
      </c>
      <c r="D3370" t="s">
        <v>16684</v>
      </c>
      <c r="E3370" t="s">
        <v>19763</v>
      </c>
      <c r="F3370" t="s">
        <v>28669</v>
      </c>
      <c r="G3370" t="s">
        <v>28676</v>
      </c>
      <c r="H3370" t="s">
        <v>9998</v>
      </c>
      <c r="I3370" t="s">
        <v>6606</v>
      </c>
      <c r="J3370" t="s">
        <v>31041</v>
      </c>
      <c r="K3370" t="s">
        <v>37256</v>
      </c>
      <c r="M3370" t="s">
        <v>38828</v>
      </c>
      <c r="N3370" t="s">
        <v>41249</v>
      </c>
      <c r="O3370" t="s">
        <v>41250</v>
      </c>
      <c r="P3370">
        <v>0</v>
      </c>
      <c r="Q3370">
        <v>0</v>
      </c>
      <c r="R3370" t="s">
        <v>41252</v>
      </c>
      <c r="S3370" t="s">
        <v>41383</v>
      </c>
      <c r="T3370" t="s">
        <v>42757</v>
      </c>
      <c r="U3370" t="s">
        <v>45858</v>
      </c>
      <c r="W3370" t="s">
        <v>38828</v>
      </c>
      <c r="X3370" t="s">
        <v>41254</v>
      </c>
    </row>
    <row r="3371" spans="1:24">
      <c r="A3371">
        <f>HYPERLINK("https://www.philgeps.gov.ph/GEPSNONPILOT/Tender/SplashBidNoticeAbstractUI.aspx?menuIndex=3&amp;refID=7074399&amp;Result=3","7074399")</f>
        <v>0</v>
      </c>
      <c r="B3371" t="s">
        <v>602</v>
      </c>
      <c r="C3371" t="s">
        <v>6617</v>
      </c>
      <c r="D3371" t="s">
        <v>16661</v>
      </c>
      <c r="E3371" t="s">
        <v>19764</v>
      </c>
      <c r="F3371" t="s">
        <v>28669</v>
      </c>
      <c r="G3371" t="s">
        <v>28676</v>
      </c>
      <c r="H3371" t="s">
        <v>9998</v>
      </c>
      <c r="I3371" t="s">
        <v>7352</v>
      </c>
      <c r="J3371" t="s">
        <v>31042</v>
      </c>
      <c r="K3371" t="s">
        <v>37204</v>
      </c>
      <c r="M3371" t="s">
        <v>38102</v>
      </c>
      <c r="N3371" t="s">
        <v>41249</v>
      </c>
      <c r="O3371" t="s">
        <v>41250</v>
      </c>
      <c r="P3371">
        <v>0</v>
      </c>
      <c r="Q3371">
        <v>2</v>
      </c>
      <c r="R3371" t="s">
        <v>41252</v>
      </c>
      <c r="S3371" t="s">
        <v>41383</v>
      </c>
      <c r="T3371" t="s">
        <v>42736</v>
      </c>
      <c r="U3371" t="s">
        <v>46031</v>
      </c>
      <c r="W3371" t="s">
        <v>38102</v>
      </c>
      <c r="X3371" t="s">
        <v>41254</v>
      </c>
    </row>
    <row r="3372" spans="1:24">
      <c r="A3372">
        <f>HYPERLINK("https://www.philgeps.gov.ph/GEPSNONPILOT/Tender/SplashBidNoticeAbstractUI.aspx?menuIndex=3&amp;refID=7074462&amp;Result=3","7074462")</f>
        <v>0</v>
      </c>
      <c r="B3372" t="s">
        <v>714</v>
      </c>
      <c r="C3372" t="s">
        <v>6618</v>
      </c>
      <c r="D3372" t="s">
        <v>16608</v>
      </c>
      <c r="E3372" t="s">
        <v>19765</v>
      </c>
      <c r="F3372" t="s">
        <v>28669</v>
      </c>
      <c r="G3372" t="s">
        <v>28676</v>
      </c>
      <c r="H3372" t="s">
        <v>9998</v>
      </c>
      <c r="I3372" t="s">
        <v>28704</v>
      </c>
      <c r="J3372" t="s">
        <v>28859</v>
      </c>
      <c r="K3372" t="s">
        <v>37243</v>
      </c>
      <c r="M3372" t="s">
        <v>38221</v>
      </c>
      <c r="N3372" t="s">
        <v>41249</v>
      </c>
      <c r="O3372" t="s">
        <v>41250</v>
      </c>
      <c r="P3372">
        <v>0</v>
      </c>
      <c r="Q3372">
        <v>2</v>
      </c>
      <c r="R3372" t="s">
        <v>41252</v>
      </c>
      <c r="S3372" t="s">
        <v>41383</v>
      </c>
      <c r="T3372" t="s">
        <v>42736</v>
      </c>
      <c r="U3372" t="s">
        <v>46032</v>
      </c>
      <c r="W3372" t="s">
        <v>38221</v>
      </c>
      <c r="X3372" t="s">
        <v>41254</v>
      </c>
    </row>
    <row r="3373" spans="1:24">
      <c r="A3373">
        <f>HYPERLINK("https://www.philgeps.gov.ph/GEPSNONPILOT/Tender/SplashBidNoticeAbstractUI.aspx?menuIndex=3&amp;refID=7074488&amp;Result=3","7074488")</f>
        <v>0</v>
      </c>
      <c r="B3373" t="s">
        <v>1333</v>
      </c>
      <c r="C3373" t="s">
        <v>6619</v>
      </c>
      <c r="D3373" t="s">
        <v>16612</v>
      </c>
      <c r="E3373" t="s">
        <v>19409</v>
      </c>
      <c r="F3373" t="s">
        <v>28669</v>
      </c>
      <c r="G3373" t="s">
        <v>28676</v>
      </c>
      <c r="H3373" t="s">
        <v>9998</v>
      </c>
      <c r="I3373" t="s">
        <v>28797</v>
      </c>
      <c r="J3373" t="s">
        <v>29040</v>
      </c>
      <c r="K3373" t="s">
        <v>37205</v>
      </c>
      <c r="M3373" t="s">
        <v>38887</v>
      </c>
      <c r="N3373" t="s">
        <v>41249</v>
      </c>
      <c r="O3373" t="s">
        <v>41250</v>
      </c>
      <c r="P3373">
        <v>0</v>
      </c>
      <c r="Q3373">
        <v>0</v>
      </c>
      <c r="R3373" t="s">
        <v>41252</v>
      </c>
      <c r="S3373" t="s">
        <v>41383</v>
      </c>
      <c r="T3373" t="s">
        <v>42738</v>
      </c>
      <c r="U3373" t="s">
        <v>46033</v>
      </c>
      <c r="W3373" t="s">
        <v>38887</v>
      </c>
      <c r="X3373" t="s">
        <v>41254</v>
      </c>
    </row>
    <row r="3374" spans="1:24">
      <c r="A3374">
        <f>HYPERLINK("https://www.philgeps.gov.ph/GEPSNONPILOT/Tender/SplashBidNoticeAbstractUI.aspx?menuIndex=3&amp;refID=7074491&amp;Result=3","7074491")</f>
        <v>0</v>
      </c>
      <c r="B3374" t="s">
        <v>55</v>
      </c>
      <c r="C3374" t="s">
        <v>6620</v>
      </c>
      <c r="D3374" t="s">
        <v>16633</v>
      </c>
      <c r="E3374" t="s">
        <v>19766</v>
      </c>
      <c r="F3374" t="s">
        <v>28669</v>
      </c>
      <c r="G3374" t="s">
        <v>28676</v>
      </c>
      <c r="H3374" t="s">
        <v>9998</v>
      </c>
      <c r="I3374" t="s">
        <v>11593</v>
      </c>
      <c r="J3374" t="s">
        <v>29827</v>
      </c>
      <c r="K3374" t="s">
        <v>37240</v>
      </c>
      <c r="M3374" t="s">
        <v>37530</v>
      </c>
      <c r="N3374" t="s">
        <v>41249</v>
      </c>
      <c r="O3374" t="s">
        <v>41250</v>
      </c>
      <c r="P3374">
        <v>0</v>
      </c>
      <c r="Q3374">
        <v>0</v>
      </c>
      <c r="R3374" t="s">
        <v>41252</v>
      </c>
      <c r="S3374" t="s">
        <v>41383</v>
      </c>
      <c r="T3374" t="s">
        <v>42736</v>
      </c>
      <c r="U3374" t="s">
        <v>46034</v>
      </c>
      <c r="W3374" t="s">
        <v>37530</v>
      </c>
      <c r="X3374" t="s">
        <v>41254</v>
      </c>
    </row>
    <row r="3375" spans="1:24">
      <c r="A3375">
        <f>HYPERLINK("https://www.philgeps.gov.ph/GEPSNONPILOT/Tender/SplashBidNoticeAbstractUI.aspx?menuIndex=3&amp;refID=7074493&amp;Result=3","7074493")</f>
        <v>0</v>
      </c>
      <c r="B3375" t="s">
        <v>1346</v>
      </c>
      <c r="C3375" t="s">
        <v>6621</v>
      </c>
      <c r="D3375" t="s">
        <v>16631</v>
      </c>
      <c r="E3375" t="s">
        <v>19767</v>
      </c>
      <c r="F3375" t="s">
        <v>28669</v>
      </c>
      <c r="G3375" t="s">
        <v>28675</v>
      </c>
      <c r="H3375" t="s">
        <v>9998</v>
      </c>
      <c r="I3375" t="s">
        <v>28695</v>
      </c>
      <c r="J3375" t="s">
        <v>31043</v>
      </c>
      <c r="K3375" t="s">
        <v>37204</v>
      </c>
      <c r="M3375" t="s">
        <v>38902</v>
      </c>
      <c r="N3375" t="s">
        <v>41249</v>
      </c>
      <c r="O3375" t="s">
        <v>41250</v>
      </c>
      <c r="P3375">
        <v>0</v>
      </c>
      <c r="Q3375">
        <v>0</v>
      </c>
      <c r="R3375" t="s">
        <v>41252</v>
      </c>
      <c r="S3375" t="s">
        <v>41383</v>
      </c>
      <c r="T3375" t="s">
        <v>42881</v>
      </c>
      <c r="U3375" t="s">
        <v>46035</v>
      </c>
      <c r="W3375" t="s">
        <v>38902</v>
      </c>
      <c r="X3375" t="s">
        <v>41254</v>
      </c>
    </row>
    <row r="3376" spans="1:24">
      <c r="A3376">
        <f>HYPERLINK("https://www.philgeps.gov.ph/GEPSNONPILOT/Tender/SplashBidNoticeAbstractUI.aspx?menuIndex=3&amp;refID=7074489&amp;Result=3","7074489")</f>
        <v>0</v>
      </c>
      <c r="B3376" t="s">
        <v>714</v>
      </c>
      <c r="C3376" t="s">
        <v>6622</v>
      </c>
      <c r="D3376" t="s">
        <v>16608</v>
      </c>
      <c r="E3376" t="s">
        <v>19768</v>
      </c>
      <c r="F3376" t="s">
        <v>28669</v>
      </c>
      <c r="G3376" t="s">
        <v>28676</v>
      </c>
      <c r="H3376" t="s">
        <v>9998</v>
      </c>
      <c r="I3376" t="s">
        <v>28704</v>
      </c>
      <c r="J3376" t="s">
        <v>31044</v>
      </c>
      <c r="K3376" t="s">
        <v>37243</v>
      </c>
      <c r="M3376" t="s">
        <v>38221</v>
      </c>
      <c r="N3376" t="s">
        <v>41249</v>
      </c>
      <c r="O3376" t="s">
        <v>41250</v>
      </c>
      <c r="P3376">
        <v>0</v>
      </c>
      <c r="Q3376">
        <v>1</v>
      </c>
      <c r="R3376" t="s">
        <v>41252</v>
      </c>
      <c r="S3376" t="s">
        <v>41383</v>
      </c>
      <c r="T3376" t="s">
        <v>42736</v>
      </c>
      <c r="U3376" t="s">
        <v>46036</v>
      </c>
      <c r="W3376" t="s">
        <v>38221</v>
      </c>
      <c r="X3376" t="s">
        <v>41254</v>
      </c>
    </row>
    <row r="3377" spans="1:24">
      <c r="A3377">
        <f>HYPERLINK("https://www.philgeps.gov.ph/GEPSNONPILOT/Tender/SplashBidNoticeAbstractUI.aspx?menuIndex=3&amp;refID=7074487&amp;Result=3","7074487")</f>
        <v>0</v>
      </c>
      <c r="B3377" t="s">
        <v>1330</v>
      </c>
      <c r="C3377" t="s">
        <v>6623</v>
      </c>
      <c r="D3377" t="s">
        <v>16611</v>
      </c>
      <c r="E3377" t="s">
        <v>17724</v>
      </c>
      <c r="F3377" t="s">
        <v>28669</v>
      </c>
      <c r="G3377" t="s">
        <v>28675</v>
      </c>
      <c r="H3377" t="s">
        <v>9998</v>
      </c>
      <c r="I3377" t="s">
        <v>6606</v>
      </c>
      <c r="J3377" t="s">
        <v>28905</v>
      </c>
      <c r="K3377" t="s">
        <v>37206</v>
      </c>
      <c r="M3377" t="s">
        <v>38884</v>
      </c>
      <c r="N3377" t="s">
        <v>41249</v>
      </c>
      <c r="O3377" t="s">
        <v>41250</v>
      </c>
      <c r="P3377">
        <v>0</v>
      </c>
      <c r="Q3377">
        <v>0</v>
      </c>
      <c r="R3377" t="s">
        <v>41252</v>
      </c>
      <c r="S3377" t="s">
        <v>41383</v>
      </c>
      <c r="T3377" t="s">
        <v>42931</v>
      </c>
      <c r="U3377" t="s">
        <v>45991</v>
      </c>
      <c r="V3377" t="s">
        <v>54642</v>
      </c>
      <c r="W3377" t="s">
        <v>38884</v>
      </c>
      <c r="X3377" t="s">
        <v>41254</v>
      </c>
    </row>
    <row r="3378" spans="1:24">
      <c r="A3378">
        <f>HYPERLINK("https://www.philgeps.gov.ph/GEPSNONPILOT/Tender/SplashBidNoticeAbstractUI.aspx?menuIndex=3&amp;refID=7074485&amp;Result=3","7074485")</f>
        <v>0</v>
      </c>
      <c r="B3378" t="s">
        <v>618</v>
      </c>
      <c r="C3378" t="s">
        <v>6624</v>
      </c>
      <c r="D3378" t="s">
        <v>16654</v>
      </c>
      <c r="E3378" t="s">
        <v>19769</v>
      </c>
      <c r="F3378" t="s">
        <v>28669</v>
      </c>
      <c r="G3378" t="s">
        <v>28675</v>
      </c>
      <c r="H3378" t="s">
        <v>28686</v>
      </c>
      <c r="I3378" t="s">
        <v>28689</v>
      </c>
      <c r="J3378" t="s">
        <v>29003</v>
      </c>
      <c r="K3378" t="s">
        <v>37231</v>
      </c>
      <c r="M3378" t="s">
        <v>38118</v>
      </c>
      <c r="N3378" t="s">
        <v>41249</v>
      </c>
      <c r="O3378" t="s">
        <v>41250</v>
      </c>
      <c r="P3378">
        <v>0</v>
      </c>
      <c r="Q3378">
        <v>0</v>
      </c>
      <c r="R3378" t="s">
        <v>41252</v>
      </c>
      <c r="S3378" t="s">
        <v>41383</v>
      </c>
      <c r="T3378" t="s">
        <v>42757</v>
      </c>
      <c r="U3378" t="s">
        <v>46037</v>
      </c>
      <c r="W3378" t="s">
        <v>38118</v>
      </c>
      <c r="X3378" t="s">
        <v>41254</v>
      </c>
    </row>
    <row r="3379" spans="1:24">
      <c r="A3379">
        <f>HYPERLINK("https://www.philgeps.gov.ph/GEPSNONPILOT/Tender/SplashBidNoticeAbstractUI.aspx?menuIndex=3&amp;refID=7074481&amp;Result=3","7074481")</f>
        <v>0</v>
      </c>
      <c r="B3379" t="s">
        <v>497</v>
      </c>
      <c r="C3379" t="s">
        <v>6625</v>
      </c>
      <c r="D3379" t="s">
        <v>16608</v>
      </c>
      <c r="E3379" t="s">
        <v>19770</v>
      </c>
      <c r="F3379" t="s">
        <v>28669</v>
      </c>
      <c r="G3379" t="s">
        <v>28677</v>
      </c>
      <c r="H3379" t="s">
        <v>9998</v>
      </c>
      <c r="I3379" t="s">
        <v>11593</v>
      </c>
      <c r="J3379" t="s">
        <v>29114</v>
      </c>
      <c r="K3379" t="s">
        <v>37209</v>
      </c>
      <c r="M3379" t="s">
        <v>37986</v>
      </c>
      <c r="N3379" t="s">
        <v>41249</v>
      </c>
      <c r="O3379" t="s">
        <v>41250</v>
      </c>
      <c r="P3379">
        <v>0</v>
      </c>
      <c r="Q3379">
        <v>7</v>
      </c>
      <c r="R3379" t="s">
        <v>41252</v>
      </c>
      <c r="S3379" t="s">
        <v>41383</v>
      </c>
      <c r="T3379" t="s">
        <v>42727</v>
      </c>
      <c r="U3379" t="s">
        <v>46038</v>
      </c>
      <c r="V3379" t="s">
        <v>54643</v>
      </c>
      <c r="W3379" t="s">
        <v>55919</v>
      </c>
      <c r="X3379" t="s">
        <v>41254</v>
      </c>
    </row>
    <row r="3380" spans="1:24">
      <c r="A3380">
        <f>HYPERLINK("https://www.philgeps.gov.ph/GEPSNONPILOT/Tender/SplashBidNoticeAbstractUI.aspx?menuIndex=3&amp;refID=7074480&amp;Result=3","7074480")</f>
        <v>0</v>
      </c>
      <c r="B3380" t="s">
        <v>602</v>
      </c>
      <c r="C3380" t="s">
        <v>6626</v>
      </c>
      <c r="D3380" t="s">
        <v>16661</v>
      </c>
      <c r="E3380" t="s">
        <v>19771</v>
      </c>
      <c r="F3380" t="s">
        <v>28669</v>
      </c>
      <c r="G3380" t="s">
        <v>28675</v>
      </c>
      <c r="H3380" t="s">
        <v>9998</v>
      </c>
      <c r="I3380" t="s">
        <v>7352</v>
      </c>
      <c r="J3380" t="s">
        <v>31045</v>
      </c>
      <c r="K3380" t="s">
        <v>37205</v>
      </c>
      <c r="M3380" t="s">
        <v>38102</v>
      </c>
      <c r="N3380" t="s">
        <v>41249</v>
      </c>
      <c r="O3380" t="s">
        <v>41250</v>
      </c>
      <c r="P3380">
        <v>0</v>
      </c>
      <c r="Q3380">
        <v>0</v>
      </c>
      <c r="R3380" t="s">
        <v>41252</v>
      </c>
      <c r="S3380" t="s">
        <v>41383</v>
      </c>
      <c r="T3380" t="s">
        <v>42686</v>
      </c>
      <c r="U3380" t="s">
        <v>46039</v>
      </c>
      <c r="W3380" t="s">
        <v>38102</v>
      </c>
      <c r="X3380" t="s">
        <v>41254</v>
      </c>
    </row>
    <row r="3381" spans="1:24">
      <c r="A3381">
        <f>HYPERLINK("https://www.philgeps.gov.ph/GEPSNONPILOT/Tender/SplashBidNoticeAbstractUI.aspx?menuIndex=3&amp;refID=7074477&amp;Result=3","7074477")</f>
        <v>0</v>
      </c>
      <c r="B3381" t="s">
        <v>1122</v>
      </c>
      <c r="C3381" t="s">
        <v>6627</v>
      </c>
      <c r="D3381" t="s">
        <v>16616</v>
      </c>
      <c r="E3381" t="s">
        <v>19772</v>
      </c>
      <c r="F3381" t="s">
        <v>28669</v>
      </c>
      <c r="G3381" t="s">
        <v>28676</v>
      </c>
      <c r="H3381" t="s">
        <v>9998</v>
      </c>
      <c r="I3381" t="s">
        <v>11142</v>
      </c>
      <c r="J3381" t="s">
        <v>31046</v>
      </c>
      <c r="K3381" t="s">
        <v>37209</v>
      </c>
      <c r="M3381" t="s">
        <v>38656</v>
      </c>
      <c r="N3381" t="s">
        <v>41249</v>
      </c>
      <c r="O3381" t="s">
        <v>41250</v>
      </c>
      <c r="P3381">
        <v>0</v>
      </c>
      <c r="Q3381">
        <v>1</v>
      </c>
      <c r="R3381" t="s">
        <v>41252</v>
      </c>
      <c r="S3381" t="s">
        <v>41383</v>
      </c>
      <c r="T3381" t="s">
        <v>42736</v>
      </c>
      <c r="U3381" t="s">
        <v>46040</v>
      </c>
      <c r="W3381" t="s">
        <v>38656</v>
      </c>
      <c r="X3381" t="s">
        <v>41254</v>
      </c>
    </row>
    <row r="3382" spans="1:24">
      <c r="A3382">
        <f>HYPERLINK("https://www.philgeps.gov.ph/GEPSNONPILOT/Tender/SplashBidNoticeAbstractUI.aspx?menuIndex=3&amp;refID=7074490&amp;Result=3","7074490")</f>
        <v>0</v>
      </c>
      <c r="B3382" t="s">
        <v>1347</v>
      </c>
      <c r="C3382" t="s">
        <v>6628</v>
      </c>
      <c r="D3382" t="s">
        <v>16608</v>
      </c>
      <c r="E3382" t="s">
        <v>19773</v>
      </c>
      <c r="F3382" t="s">
        <v>28669</v>
      </c>
      <c r="G3382" t="s">
        <v>28676</v>
      </c>
      <c r="H3382" t="s">
        <v>9998</v>
      </c>
      <c r="I3382" t="s">
        <v>6458</v>
      </c>
      <c r="J3382" t="s">
        <v>31047</v>
      </c>
      <c r="K3382" t="s">
        <v>37204</v>
      </c>
      <c r="M3382" t="s">
        <v>38903</v>
      </c>
      <c r="N3382" t="s">
        <v>41249</v>
      </c>
      <c r="O3382" t="s">
        <v>41250</v>
      </c>
      <c r="P3382">
        <v>0</v>
      </c>
      <c r="Q3382">
        <v>8</v>
      </c>
      <c r="R3382" t="s">
        <v>41252</v>
      </c>
      <c r="S3382" t="s">
        <v>41383</v>
      </c>
      <c r="T3382" t="s">
        <v>42748</v>
      </c>
      <c r="U3382" t="s">
        <v>46041</v>
      </c>
      <c r="W3382" t="s">
        <v>38903</v>
      </c>
      <c r="X3382" t="s">
        <v>41254</v>
      </c>
    </row>
    <row r="3383" spans="1:24">
      <c r="A3383">
        <f>HYPERLINK("https://www.philgeps.gov.ph/GEPSNONPILOT/Tender/SplashBidNoticeAbstractUI.aspx?menuIndex=3&amp;refID=7074432&amp;Result=3","7074432")</f>
        <v>0</v>
      </c>
      <c r="B3383" t="s">
        <v>1192</v>
      </c>
      <c r="C3383" t="s">
        <v>6629</v>
      </c>
      <c r="D3383" t="s">
        <v>16619</v>
      </c>
      <c r="E3383" t="s">
        <v>19774</v>
      </c>
      <c r="F3383" t="s">
        <v>28669</v>
      </c>
      <c r="G3383" t="s">
        <v>28676</v>
      </c>
      <c r="H3383" t="s">
        <v>9998</v>
      </c>
      <c r="I3383" t="s">
        <v>28709</v>
      </c>
      <c r="J3383" t="s">
        <v>31048</v>
      </c>
      <c r="K3383" t="s">
        <v>37208</v>
      </c>
      <c r="M3383" t="s">
        <v>38732</v>
      </c>
      <c r="N3383" t="s">
        <v>41249</v>
      </c>
      <c r="O3383" t="s">
        <v>41250</v>
      </c>
      <c r="P3383">
        <v>0</v>
      </c>
      <c r="Q3383">
        <v>0</v>
      </c>
      <c r="R3383" t="s">
        <v>41252</v>
      </c>
      <c r="S3383" t="s">
        <v>41383</v>
      </c>
      <c r="T3383" t="s">
        <v>42758</v>
      </c>
      <c r="U3383" t="s">
        <v>46042</v>
      </c>
      <c r="W3383" t="s">
        <v>38732</v>
      </c>
      <c r="X3383" t="s">
        <v>41254</v>
      </c>
    </row>
    <row r="3384" spans="1:24">
      <c r="A3384">
        <f>HYPERLINK("https://www.philgeps.gov.ph/GEPSNONPILOT/Tender/SplashBidNoticeAbstractUI.aspx?menuIndex=3&amp;refID=7074476&amp;Result=3","7074476")</f>
        <v>0</v>
      </c>
      <c r="B3384" t="s">
        <v>1342</v>
      </c>
      <c r="C3384" t="s">
        <v>6630</v>
      </c>
      <c r="D3384" t="s">
        <v>16619</v>
      </c>
      <c r="E3384" t="s">
        <v>19775</v>
      </c>
      <c r="F3384" t="s">
        <v>28669</v>
      </c>
      <c r="G3384" t="s">
        <v>28676</v>
      </c>
      <c r="H3384" t="s">
        <v>9998</v>
      </c>
      <c r="I3384" t="s">
        <v>15140</v>
      </c>
      <c r="J3384" t="s">
        <v>28894</v>
      </c>
      <c r="K3384" t="s">
        <v>37210</v>
      </c>
      <c r="M3384" t="s">
        <v>38897</v>
      </c>
      <c r="N3384" t="s">
        <v>41249</v>
      </c>
      <c r="O3384" t="s">
        <v>41250</v>
      </c>
      <c r="P3384">
        <v>0</v>
      </c>
      <c r="Q3384">
        <v>0</v>
      </c>
      <c r="R3384" t="s">
        <v>41252</v>
      </c>
      <c r="S3384" t="s">
        <v>41383</v>
      </c>
      <c r="T3384" t="s">
        <v>42671</v>
      </c>
      <c r="U3384" t="s">
        <v>46043</v>
      </c>
      <c r="W3384" t="s">
        <v>38897</v>
      </c>
      <c r="X3384" t="s">
        <v>41254</v>
      </c>
    </row>
    <row r="3385" spans="1:24">
      <c r="A3385">
        <f>HYPERLINK("https://www.philgeps.gov.ph/GEPSNONPILOT/Tender/SplashBidNoticeAbstractUI.aspx?menuIndex=3&amp;refID=7074475&amp;Result=3","7074475")</f>
        <v>0</v>
      </c>
      <c r="B3385" t="s">
        <v>1025</v>
      </c>
      <c r="C3385" t="s">
        <v>6631</v>
      </c>
      <c r="D3385" t="s">
        <v>16608</v>
      </c>
      <c r="E3385" t="s">
        <v>19776</v>
      </c>
      <c r="F3385" t="s">
        <v>28669</v>
      </c>
      <c r="G3385" t="s">
        <v>28677</v>
      </c>
      <c r="H3385" t="s">
        <v>9998</v>
      </c>
      <c r="I3385" t="s">
        <v>28690</v>
      </c>
      <c r="J3385" t="s">
        <v>31049</v>
      </c>
      <c r="K3385" t="s">
        <v>37209</v>
      </c>
      <c r="M3385" t="s">
        <v>38555</v>
      </c>
      <c r="N3385" t="s">
        <v>41249</v>
      </c>
      <c r="O3385" t="s">
        <v>41250</v>
      </c>
      <c r="P3385">
        <v>0</v>
      </c>
      <c r="Q3385">
        <v>1</v>
      </c>
      <c r="R3385" t="s">
        <v>41252</v>
      </c>
      <c r="S3385" t="s">
        <v>41383</v>
      </c>
      <c r="T3385" t="s">
        <v>42883</v>
      </c>
      <c r="U3385" t="s">
        <v>46044</v>
      </c>
      <c r="W3385" t="s">
        <v>38555</v>
      </c>
      <c r="X3385" t="s">
        <v>41254</v>
      </c>
    </row>
    <row r="3386" spans="1:24">
      <c r="A3386">
        <f>HYPERLINK("https://www.philgeps.gov.ph/GEPSNONPILOT/Tender/SplashBidNoticeAbstractUI.aspx?menuIndex=3&amp;refID=7074471&amp;Result=3","7074471")</f>
        <v>0</v>
      </c>
      <c r="B3386" t="s">
        <v>1192</v>
      </c>
      <c r="C3386" t="s">
        <v>6632</v>
      </c>
      <c r="D3386" t="s">
        <v>16619</v>
      </c>
      <c r="E3386" t="s">
        <v>19777</v>
      </c>
      <c r="F3386" t="s">
        <v>28669</v>
      </c>
      <c r="G3386" t="s">
        <v>28676</v>
      </c>
      <c r="H3386" t="s">
        <v>9998</v>
      </c>
      <c r="I3386" t="s">
        <v>28690</v>
      </c>
      <c r="J3386" t="s">
        <v>31050</v>
      </c>
      <c r="K3386" t="s">
        <v>37208</v>
      </c>
      <c r="M3386" t="s">
        <v>38732</v>
      </c>
      <c r="N3386" t="s">
        <v>41249</v>
      </c>
      <c r="O3386" t="s">
        <v>41250</v>
      </c>
      <c r="P3386">
        <v>0</v>
      </c>
      <c r="Q3386">
        <v>0</v>
      </c>
      <c r="R3386" t="s">
        <v>41252</v>
      </c>
      <c r="S3386" t="s">
        <v>41383</v>
      </c>
      <c r="T3386" t="s">
        <v>42758</v>
      </c>
      <c r="U3386" t="s">
        <v>46045</v>
      </c>
      <c r="W3386" t="s">
        <v>38732</v>
      </c>
      <c r="X3386" t="s">
        <v>41254</v>
      </c>
    </row>
    <row r="3387" spans="1:24">
      <c r="A3387">
        <f>HYPERLINK("https://www.philgeps.gov.ph/GEPSNONPILOT/Tender/SplashBidNoticeAbstractUI.aspx?menuIndex=3&amp;refID=7074470&amp;Result=3","7074470")</f>
        <v>0</v>
      </c>
      <c r="B3387" t="s">
        <v>1336</v>
      </c>
      <c r="C3387" t="s">
        <v>6633</v>
      </c>
      <c r="D3387" t="s">
        <v>16654</v>
      </c>
      <c r="E3387" t="s">
        <v>19778</v>
      </c>
      <c r="F3387" t="s">
        <v>28669</v>
      </c>
      <c r="G3387" t="s">
        <v>28676</v>
      </c>
      <c r="H3387" t="s">
        <v>28686</v>
      </c>
      <c r="I3387" t="s">
        <v>28689</v>
      </c>
      <c r="J3387" t="s">
        <v>30406</v>
      </c>
      <c r="K3387" t="s">
        <v>37216</v>
      </c>
      <c r="M3387" t="s">
        <v>38891</v>
      </c>
      <c r="N3387" t="s">
        <v>41249</v>
      </c>
      <c r="O3387" t="s">
        <v>41250</v>
      </c>
      <c r="P3387">
        <v>0</v>
      </c>
      <c r="Q3387">
        <v>0</v>
      </c>
      <c r="R3387" t="s">
        <v>41252</v>
      </c>
      <c r="S3387" t="s">
        <v>41383</v>
      </c>
      <c r="T3387" t="s">
        <v>42933</v>
      </c>
      <c r="U3387" t="s">
        <v>46046</v>
      </c>
      <c r="W3387" t="s">
        <v>38891</v>
      </c>
      <c r="X3387" t="s">
        <v>41254</v>
      </c>
    </row>
    <row r="3388" spans="1:24">
      <c r="A3388">
        <f>HYPERLINK("https://www.philgeps.gov.ph/GEPSNONPILOT/Tender/SplashBidNoticeAbstractUI.aspx?menuIndex=3&amp;refID=7074469&amp;Result=3","7074469")</f>
        <v>0</v>
      </c>
      <c r="B3388" t="s">
        <v>1327</v>
      </c>
      <c r="C3388" t="s">
        <v>6634</v>
      </c>
      <c r="D3388" t="s">
        <v>16627</v>
      </c>
      <c r="E3388" t="s">
        <v>19779</v>
      </c>
      <c r="F3388" t="s">
        <v>28669</v>
      </c>
      <c r="G3388" t="s">
        <v>28677</v>
      </c>
      <c r="H3388" t="s">
        <v>9998</v>
      </c>
      <c r="I3388" t="s">
        <v>28707</v>
      </c>
      <c r="J3388" t="s">
        <v>31051</v>
      </c>
      <c r="K3388" t="s">
        <v>37206</v>
      </c>
      <c r="M3388" t="s">
        <v>38880</v>
      </c>
      <c r="N3388" t="s">
        <v>41249</v>
      </c>
      <c r="O3388" t="s">
        <v>41250</v>
      </c>
      <c r="P3388">
        <v>0</v>
      </c>
      <c r="Q3388">
        <v>8</v>
      </c>
      <c r="R3388" t="s">
        <v>41252</v>
      </c>
      <c r="S3388" t="s">
        <v>41383</v>
      </c>
      <c r="T3388" t="s">
        <v>42687</v>
      </c>
      <c r="U3388" t="s">
        <v>46047</v>
      </c>
      <c r="W3388" t="s">
        <v>38880</v>
      </c>
      <c r="X3388" t="s">
        <v>41254</v>
      </c>
    </row>
    <row r="3389" spans="1:24">
      <c r="A3389">
        <f>HYPERLINK("https://www.philgeps.gov.ph/GEPSNONPILOT/Tender/SplashBidNoticeAbstractUI.aspx?menuIndex=3&amp;refID=7074468&amp;Result=3","7074468")</f>
        <v>0</v>
      </c>
      <c r="B3389" t="s">
        <v>1256</v>
      </c>
      <c r="C3389" t="s">
        <v>6635</v>
      </c>
      <c r="D3389" t="s">
        <v>16668</v>
      </c>
      <c r="E3389" t="s">
        <v>19780</v>
      </c>
      <c r="F3389" t="s">
        <v>28669</v>
      </c>
      <c r="G3389" t="s">
        <v>28676</v>
      </c>
      <c r="H3389" t="s">
        <v>9998</v>
      </c>
      <c r="I3389" t="s">
        <v>7352</v>
      </c>
      <c r="J3389" t="s">
        <v>31052</v>
      </c>
      <c r="K3389" t="s">
        <v>37204</v>
      </c>
      <c r="M3389" t="s">
        <v>38804</v>
      </c>
      <c r="N3389" t="s">
        <v>41249</v>
      </c>
      <c r="O3389" t="s">
        <v>41250</v>
      </c>
      <c r="P3389">
        <v>0</v>
      </c>
      <c r="Q3389">
        <v>0</v>
      </c>
      <c r="R3389" t="s">
        <v>41252</v>
      </c>
      <c r="S3389" t="s">
        <v>41383</v>
      </c>
      <c r="T3389" t="s">
        <v>42921</v>
      </c>
      <c r="U3389" t="s">
        <v>45841</v>
      </c>
      <c r="W3389" t="s">
        <v>38804</v>
      </c>
      <c r="X3389" t="s">
        <v>41254</v>
      </c>
    </row>
    <row r="3390" spans="1:24">
      <c r="A3390">
        <f>HYPERLINK("https://www.philgeps.gov.ph/GEPSNONPILOT/Tender/SplashBidNoticeAbstractUI.aspx?menuIndex=3&amp;refID=7074466&amp;Result=3","7074466")</f>
        <v>0</v>
      </c>
      <c r="B3390" t="s">
        <v>557</v>
      </c>
      <c r="C3390" t="s">
        <v>6636</v>
      </c>
      <c r="D3390" t="s">
        <v>16608</v>
      </c>
      <c r="E3390" t="s">
        <v>19781</v>
      </c>
      <c r="F3390" t="s">
        <v>28669</v>
      </c>
      <c r="G3390" t="s">
        <v>28676</v>
      </c>
      <c r="H3390" t="s">
        <v>9998</v>
      </c>
      <c r="I3390" t="s">
        <v>28714</v>
      </c>
      <c r="J3390" t="s">
        <v>29349</v>
      </c>
      <c r="K3390" t="s">
        <v>37204</v>
      </c>
      <c r="M3390" t="s">
        <v>38050</v>
      </c>
      <c r="N3390" t="s">
        <v>41249</v>
      </c>
      <c r="O3390" t="s">
        <v>41250</v>
      </c>
      <c r="P3390">
        <v>0</v>
      </c>
      <c r="Q3390">
        <v>2</v>
      </c>
      <c r="R3390" t="s">
        <v>41252</v>
      </c>
      <c r="S3390" t="s">
        <v>41383</v>
      </c>
      <c r="T3390" t="s">
        <v>42742</v>
      </c>
      <c r="U3390" t="s">
        <v>46048</v>
      </c>
      <c r="V3390" t="s">
        <v>54379</v>
      </c>
      <c r="W3390" t="s">
        <v>38050</v>
      </c>
      <c r="X3390" t="s">
        <v>41254</v>
      </c>
    </row>
    <row r="3391" spans="1:24">
      <c r="A3391">
        <f>HYPERLINK("https://www.philgeps.gov.ph/GEPSNONPILOT/Tender/SplashBidNoticeAbstractUI.aspx?menuIndex=3&amp;refID=7074448&amp;Result=3","7074448")</f>
        <v>0</v>
      </c>
      <c r="B3391" t="s">
        <v>1348</v>
      </c>
      <c r="C3391" t="s">
        <v>6637</v>
      </c>
      <c r="D3391" t="s">
        <v>16608</v>
      </c>
      <c r="E3391" t="s">
        <v>19782</v>
      </c>
      <c r="F3391" t="s">
        <v>28669</v>
      </c>
      <c r="G3391" t="s">
        <v>28676</v>
      </c>
      <c r="H3391" t="s">
        <v>9998</v>
      </c>
      <c r="I3391" t="s">
        <v>28704</v>
      </c>
      <c r="J3391" t="s">
        <v>31053</v>
      </c>
      <c r="K3391" t="s">
        <v>37204</v>
      </c>
      <c r="M3391" t="s">
        <v>37627</v>
      </c>
      <c r="N3391" t="s">
        <v>41249</v>
      </c>
      <c r="O3391" t="s">
        <v>41250</v>
      </c>
      <c r="P3391">
        <v>0</v>
      </c>
      <c r="Q3391">
        <v>0</v>
      </c>
      <c r="R3391" t="s">
        <v>41252</v>
      </c>
      <c r="S3391" t="s">
        <v>41383</v>
      </c>
      <c r="T3391" t="s">
        <v>42736</v>
      </c>
      <c r="U3391" t="s">
        <v>46049</v>
      </c>
      <c r="V3391" t="s">
        <v>54644</v>
      </c>
      <c r="W3391" t="s">
        <v>37627</v>
      </c>
      <c r="X3391" t="s">
        <v>41254</v>
      </c>
    </row>
    <row r="3392" spans="1:24">
      <c r="A3392">
        <f>HYPERLINK("https://www.philgeps.gov.ph/GEPSNONPILOT/Tender/SplashBidNoticeAbstractUI.aspx?menuIndex=3&amp;refID=7074473&amp;Result=3","7074473")</f>
        <v>0</v>
      </c>
      <c r="B3392" t="s">
        <v>1346</v>
      </c>
      <c r="C3392" t="s">
        <v>6638</v>
      </c>
      <c r="D3392" t="s">
        <v>16631</v>
      </c>
      <c r="E3392" t="s">
        <v>19783</v>
      </c>
      <c r="F3392" t="s">
        <v>28669</v>
      </c>
      <c r="G3392" t="s">
        <v>28675</v>
      </c>
      <c r="H3392" t="s">
        <v>9998</v>
      </c>
      <c r="I3392" t="s">
        <v>28695</v>
      </c>
      <c r="J3392" t="s">
        <v>29512</v>
      </c>
      <c r="K3392" t="s">
        <v>37204</v>
      </c>
      <c r="M3392" t="s">
        <v>38902</v>
      </c>
      <c r="N3392" t="s">
        <v>41249</v>
      </c>
      <c r="O3392" t="s">
        <v>41250</v>
      </c>
      <c r="P3392">
        <v>0</v>
      </c>
      <c r="Q3392">
        <v>1</v>
      </c>
      <c r="R3392" t="s">
        <v>41252</v>
      </c>
      <c r="S3392" t="s">
        <v>41383</v>
      </c>
      <c r="T3392" t="s">
        <v>42881</v>
      </c>
      <c r="U3392" t="s">
        <v>46050</v>
      </c>
      <c r="W3392" t="s">
        <v>38902</v>
      </c>
      <c r="X3392" t="s">
        <v>41254</v>
      </c>
    </row>
    <row r="3393" spans="1:24">
      <c r="A3393">
        <f>HYPERLINK("https://www.philgeps.gov.ph/GEPSNONPILOT/Tender/SplashBidNoticeAbstractUI.aspx?menuIndex=3&amp;refID=7074447&amp;Result=3","7074447")</f>
        <v>0</v>
      </c>
      <c r="B3393" t="s">
        <v>1349</v>
      </c>
      <c r="C3393" t="s">
        <v>6639</v>
      </c>
      <c r="D3393" t="s">
        <v>16648</v>
      </c>
      <c r="E3393" t="s">
        <v>19784</v>
      </c>
      <c r="F3393" t="s">
        <v>28669</v>
      </c>
      <c r="G3393" t="s">
        <v>28675</v>
      </c>
      <c r="H3393" t="s">
        <v>9998</v>
      </c>
      <c r="I3393" t="s">
        <v>28690</v>
      </c>
      <c r="J3393" t="s">
        <v>31054</v>
      </c>
      <c r="K3393" t="s">
        <v>37205</v>
      </c>
      <c r="M3393" t="s">
        <v>38904</v>
      </c>
      <c r="N3393" t="s">
        <v>41249</v>
      </c>
      <c r="O3393" t="s">
        <v>41250</v>
      </c>
      <c r="P3393">
        <v>0</v>
      </c>
      <c r="Q3393">
        <v>3</v>
      </c>
      <c r="R3393" t="s">
        <v>41252</v>
      </c>
      <c r="S3393" t="s">
        <v>41383</v>
      </c>
      <c r="T3393" t="s">
        <v>42688</v>
      </c>
      <c r="U3393" t="s">
        <v>46051</v>
      </c>
      <c r="W3393" t="s">
        <v>38904</v>
      </c>
      <c r="X3393" t="s">
        <v>41254</v>
      </c>
    </row>
    <row r="3394" spans="1:24">
      <c r="A3394">
        <f>HYPERLINK("https://www.philgeps.gov.ph/GEPSNONPILOT/Tender/SplashBidNoticeAbstractUI.aspx?menuIndex=3&amp;refID=7074446&amp;Result=3","7074446")</f>
        <v>0</v>
      </c>
      <c r="B3394" t="s">
        <v>1330</v>
      </c>
      <c r="C3394" t="s">
        <v>6640</v>
      </c>
      <c r="D3394" t="s">
        <v>16611</v>
      </c>
      <c r="E3394" t="s">
        <v>19785</v>
      </c>
      <c r="F3394" t="s">
        <v>28669</v>
      </c>
      <c r="G3394" t="s">
        <v>28675</v>
      </c>
      <c r="H3394" t="s">
        <v>9998</v>
      </c>
      <c r="I3394" t="s">
        <v>28696</v>
      </c>
      <c r="J3394" t="s">
        <v>28878</v>
      </c>
      <c r="K3394" t="s">
        <v>37206</v>
      </c>
      <c r="M3394" t="s">
        <v>38884</v>
      </c>
      <c r="N3394" t="s">
        <v>41249</v>
      </c>
      <c r="O3394" t="s">
        <v>41250</v>
      </c>
      <c r="P3394">
        <v>0</v>
      </c>
      <c r="Q3394">
        <v>0</v>
      </c>
      <c r="R3394" t="s">
        <v>41252</v>
      </c>
      <c r="S3394" t="s">
        <v>41383</v>
      </c>
      <c r="T3394" t="s">
        <v>42931</v>
      </c>
      <c r="U3394" t="s">
        <v>45991</v>
      </c>
      <c r="V3394" t="s">
        <v>54642</v>
      </c>
      <c r="W3394" t="s">
        <v>38884</v>
      </c>
      <c r="X3394" t="s">
        <v>41254</v>
      </c>
    </row>
    <row r="3395" spans="1:24">
      <c r="A3395">
        <f>HYPERLINK("https://www.philgeps.gov.ph/GEPSNONPILOT/Tender/SplashBidNoticeAbstractUI.aspx?menuIndex=3&amp;refID=7074478&amp;Result=3","7074478")</f>
        <v>0</v>
      </c>
      <c r="B3395" t="s">
        <v>1350</v>
      </c>
      <c r="C3395" t="s">
        <v>6641</v>
      </c>
      <c r="D3395" t="s">
        <v>16608</v>
      </c>
      <c r="E3395" t="s">
        <v>19786</v>
      </c>
      <c r="F3395" t="s">
        <v>28669</v>
      </c>
      <c r="G3395" t="s">
        <v>28676</v>
      </c>
      <c r="H3395" t="s">
        <v>9998</v>
      </c>
      <c r="I3395" t="s">
        <v>28757</v>
      </c>
      <c r="J3395" t="s">
        <v>29104</v>
      </c>
      <c r="K3395" t="s">
        <v>37314</v>
      </c>
      <c r="M3395" t="s">
        <v>38905</v>
      </c>
      <c r="N3395" t="s">
        <v>41249</v>
      </c>
      <c r="O3395" t="s">
        <v>41250</v>
      </c>
      <c r="P3395">
        <v>0</v>
      </c>
      <c r="Q3395">
        <v>1</v>
      </c>
      <c r="R3395" t="s">
        <v>41252</v>
      </c>
      <c r="S3395" t="s">
        <v>41383</v>
      </c>
      <c r="T3395" t="s">
        <v>42757</v>
      </c>
      <c r="U3395" t="s">
        <v>46052</v>
      </c>
      <c r="W3395" t="s">
        <v>38905</v>
      </c>
      <c r="X3395" t="s">
        <v>41254</v>
      </c>
    </row>
    <row r="3396" spans="1:24">
      <c r="A3396">
        <f>HYPERLINK("https://www.philgeps.gov.ph/GEPSNONPILOT/Tender/SplashBidNoticeAbstractUI.aspx?menuIndex=3&amp;refID=7074440&amp;Result=3","7074440")</f>
        <v>0</v>
      </c>
      <c r="B3396" t="s">
        <v>907</v>
      </c>
      <c r="C3396" t="s">
        <v>6642</v>
      </c>
      <c r="D3396" t="s">
        <v>16608</v>
      </c>
      <c r="E3396" t="s">
        <v>19787</v>
      </c>
      <c r="F3396" t="s">
        <v>28669</v>
      </c>
      <c r="G3396" t="s">
        <v>28676</v>
      </c>
      <c r="H3396" t="s">
        <v>9998</v>
      </c>
      <c r="I3396" t="s">
        <v>7352</v>
      </c>
      <c r="J3396" t="s">
        <v>28914</v>
      </c>
      <c r="K3396" t="s">
        <v>37209</v>
      </c>
      <c r="M3396" t="s">
        <v>38906</v>
      </c>
      <c r="N3396" t="s">
        <v>41249</v>
      </c>
      <c r="O3396" t="s">
        <v>41250</v>
      </c>
      <c r="P3396">
        <v>0</v>
      </c>
      <c r="Q3396">
        <v>5</v>
      </c>
      <c r="R3396" t="s">
        <v>41252</v>
      </c>
      <c r="S3396" t="s">
        <v>41383</v>
      </c>
      <c r="T3396" t="s">
        <v>42701</v>
      </c>
      <c r="U3396" t="s">
        <v>46053</v>
      </c>
      <c r="V3396" t="s">
        <v>54645</v>
      </c>
      <c r="W3396" t="s">
        <v>38906</v>
      </c>
      <c r="X3396" t="s">
        <v>41254</v>
      </c>
    </row>
    <row r="3397" spans="1:24">
      <c r="A3397">
        <f>HYPERLINK("https://www.philgeps.gov.ph/GEPSNONPILOT/Tender/SplashBidNoticeAbstractUI.aspx?menuIndex=3&amp;refID=7074467&amp;Result=3","7074467")</f>
        <v>0</v>
      </c>
      <c r="B3397" t="s">
        <v>1319</v>
      </c>
      <c r="C3397" t="s">
        <v>6643</v>
      </c>
      <c r="D3397" t="s">
        <v>16616</v>
      </c>
      <c r="E3397" t="s">
        <v>18092</v>
      </c>
      <c r="F3397" t="s">
        <v>28669</v>
      </c>
      <c r="G3397" t="s">
        <v>28675</v>
      </c>
      <c r="H3397" t="s">
        <v>28686</v>
      </c>
      <c r="I3397" t="s">
        <v>28689</v>
      </c>
      <c r="J3397" t="s">
        <v>28836</v>
      </c>
      <c r="K3397" t="s">
        <v>37213</v>
      </c>
      <c r="M3397" t="s">
        <v>38871</v>
      </c>
      <c r="N3397" t="s">
        <v>41249</v>
      </c>
      <c r="O3397" t="s">
        <v>41250</v>
      </c>
      <c r="P3397">
        <v>0</v>
      </c>
      <c r="Q3397">
        <v>3</v>
      </c>
      <c r="R3397" t="s">
        <v>41252</v>
      </c>
      <c r="S3397" t="s">
        <v>41383</v>
      </c>
      <c r="T3397" t="s">
        <v>42808</v>
      </c>
      <c r="U3397" t="s">
        <v>46054</v>
      </c>
      <c r="W3397" t="s">
        <v>38871</v>
      </c>
      <c r="X3397" t="s">
        <v>41254</v>
      </c>
    </row>
    <row r="3398" spans="1:24">
      <c r="A3398">
        <f>HYPERLINK("https://www.philgeps.gov.ph/GEPSNONPILOT/Tender/SplashBidNoticeAbstractUI.aspx?menuIndex=3&amp;refID=7074375&amp;Result=3","7074375")</f>
        <v>0</v>
      </c>
      <c r="B3398" t="s">
        <v>1244</v>
      </c>
      <c r="C3398" t="s">
        <v>6644</v>
      </c>
      <c r="D3398" t="s">
        <v>16686</v>
      </c>
      <c r="E3398" t="s">
        <v>19788</v>
      </c>
      <c r="F3398" t="s">
        <v>28669</v>
      </c>
      <c r="G3398" t="s">
        <v>28676</v>
      </c>
      <c r="H3398" t="s">
        <v>9998</v>
      </c>
      <c r="I3398" t="s">
        <v>6128</v>
      </c>
      <c r="J3398" t="s">
        <v>31055</v>
      </c>
      <c r="K3398" t="s">
        <v>37210</v>
      </c>
      <c r="M3398" t="s">
        <v>38791</v>
      </c>
      <c r="N3398" t="s">
        <v>41249</v>
      </c>
      <c r="O3398" t="s">
        <v>41250</v>
      </c>
      <c r="P3398">
        <v>0</v>
      </c>
      <c r="Q3398">
        <v>1</v>
      </c>
      <c r="R3398" t="s">
        <v>41252</v>
      </c>
      <c r="S3398" t="s">
        <v>41383</v>
      </c>
      <c r="T3398" t="s">
        <v>42711</v>
      </c>
      <c r="U3398" t="s">
        <v>46055</v>
      </c>
      <c r="W3398" t="s">
        <v>38791</v>
      </c>
      <c r="X3398" t="s">
        <v>41254</v>
      </c>
    </row>
    <row r="3399" spans="1:24">
      <c r="A3399">
        <f>HYPERLINK("https://www.philgeps.gov.ph/GEPSNONPILOT/Tender/SplashBidNoticeAbstractUI.aspx?menuIndex=3&amp;refID=7074372&amp;Result=3","7074372")</f>
        <v>0</v>
      </c>
      <c r="B3399" t="s">
        <v>655</v>
      </c>
      <c r="C3399" t="s">
        <v>6645</v>
      </c>
      <c r="D3399" t="s">
        <v>16624</v>
      </c>
      <c r="E3399" t="s">
        <v>19789</v>
      </c>
      <c r="F3399" t="s">
        <v>28669</v>
      </c>
      <c r="G3399" t="s">
        <v>28677</v>
      </c>
      <c r="H3399" t="s">
        <v>9998</v>
      </c>
      <c r="I3399" t="s">
        <v>28697</v>
      </c>
      <c r="J3399" t="s">
        <v>31056</v>
      </c>
      <c r="K3399" t="s">
        <v>37206</v>
      </c>
      <c r="M3399" t="s">
        <v>38156</v>
      </c>
      <c r="N3399" t="s">
        <v>41249</v>
      </c>
      <c r="O3399" t="s">
        <v>41250</v>
      </c>
      <c r="P3399">
        <v>0</v>
      </c>
      <c r="Q3399">
        <v>0</v>
      </c>
      <c r="R3399" t="s">
        <v>41252</v>
      </c>
      <c r="S3399" t="s">
        <v>41383</v>
      </c>
      <c r="T3399" t="s">
        <v>42701</v>
      </c>
      <c r="U3399" t="s">
        <v>46056</v>
      </c>
      <c r="W3399" t="s">
        <v>38156</v>
      </c>
      <c r="X3399" t="s">
        <v>41254</v>
      </c>
    </row>
    <row r="3400" spans="1:24">
      <c r="A3400">
        <f>HYPERLINK("https://www.philgeps.gov.ph/GEPSNONPILOT/Tender/SplashBidNoticeAbstractUI.aspx?menuIndex=3&amp;refID=7074373&amp;Result=3","7074373")</f>
        <v>0</v>
      </c>
      <c r="B3400" t="s">
        <v>1306</v>
      </c>
      <c r="C3400" t="s">
        <v>6646</v>
      </c>
      <c r="D3400" t="s">
        <v>16680</v>
      </c>
      <c r="E3400" t="s">
        <v>18956</v>
      </c>
      <c r="F3400" t="s">
        <v>28669</v>
      </c>
      <c r="G3400" t="s">
        <v>28675</v>
      </c>
      <c r="H3400" t="s">
        <v>9998</v>
      </c>
      <c r="I3400" t="s">
        <v>7352</v>
      </c>
      <c r="J3400" t="s">
        <v>31057</v>
      </c>
      <c r="K3400" t="s">
        <v>37206</v>
      </c>
      <c r="M3400" t="s">
        <v>38858</v>
      </c>
      <c r="N3400" t="s">
        <v>41249</v>
      </c>
      <c r="O3400" t="s">
        <v>41250</v>
      </c>
      <c r="P3400">
        <v>0</v>
      </c>
      <c r="Q3400">
        <v>0</v>
      </c>
      <c r="R3400" t="s">
        <v>41252</v>
      </c>
      <c r="S3400" t="s">
        <v>41383</v>
      </c>
      <c r="T3400" t="s">
        <v>42688</v>
      </c>
      <c r="U3400" t="s">
        <v>45967</v>
      </c>
      <c r="V3400" t="s">
        <v>54646</v>
      </c>
      <c r="W3400" t="s">
        <v>38858</v>
      </c>
      <c r="X3400" t="s">
        <v>41254</v>
      </c>
    </row>
    <row r="3401" spans="1:24">
      <c r="A3401">
        <f>HYPERLINK("https://www.philgeps.gov.ph/GEPSNONPILOT/Tender/SplashBidNoticeAbstractUI.aspx?menuIndex=3&amp;refID=7074351&amp;Result=3","7074351")</f>
        <v>0</v>
      </c>
      <c r="B3401" t="s">
        <v>1306</v>
      </c>
      <c r="C3401" t="s">
        <v>6647</v>
      </c>
      <c r="D3401" t="s">
        <v>16680</v>
      </c>
      <c r="E3401" t="s">
        <v>19790</v>
      </c>
      <c r="F3401" t="s">
        <v>28669</v>
      </c>
      <c r="G3401" t="s">
        <v>28675</v>
      </c>
      <c r="H3401" t="s">
        <v>9998</v>
      </c>
      <c r="I3401" t="s">
        <v>7352</v>
      </c>
      <c r="J3401" t="s">
        <v>31058</v>
      </c>
      <c r="K3401" t="s">
        <v>37206</v>
      </c>
      <c r="M3401" t="s">
        <v>38858</v>
      </c>
      <c r="N3401" t="s">
        <v>41249</v>
      </c>
      <c r="O3401" t="s">
        <v>41250</v>
      </c>
      <c r="P3401">
        <v>0</v>
      </c>
      <c r="Q3401">
        <v>0</v>
      </c>
      <c r="R3401" t="s">
        <v>41252</v>
      </c>
      <c r="S3401" t="s">
        <v>41383</v>
      </c>
      <c r="T3401" t="s">
        <v>42688</v>
      </c>
      <c r="U3401" t="s">
        <v>45967</v>
      </c>
      <c r="V3401" t="s">
        <v>54647</v>
      </c>
      <c r="W3401" t="s">
        <v>38858</v>
      </c>
      <c r="X3401" t="s">
        <v>41254</v>
      </c>
    </row>
    <row r="3402" spans="1:24">
      <c r="A3402">
        <f>HYPERLINK("https://www.philgeps.gov.ph/GEPSNONPILOT/Tender/SplashBidNoticeAbstractUI.aspx?menuIndex=3&amp;refID=7074376&amp;Result=3","7074376")</f>
        <v>0</v>
      </c>
      <c r="B3402" t="s">
        <v>788</v>
      </c>
      <c r="C3402" t="s">
        <v>6648</v>
      </c>
      <c r="D3402" t="s">
        <v>16648</v>
      </c>
      <c r="E3402" t="s">
        <v>19791</v>
      </c>
      <c r="F3402" t="s">
        <v>28669</v>
      </c>
      <c r="G3402" t="s">
        <v>28676</v>
      </c>
      <c r="H3402" t="s">
        <v>9998</v>
      </c>
      <c r="I3402" t="s">
        <v>7352</v>
      </c>
      <c r="J3402" t="s">
        <v>31059</v>
      </c>
      <c r="K3402" t="s">
        <v>37206</v>
      </c>
      <c r="M3402" t="s">
        <v>38302</v>
      </c>
      <c r="N3402" t="s">
        <v>41249</v>
      </c>
      <c r="O3402" t="s">
        <v>41250</v>
      </c>
      <c r="P3402">
        <v>0</v>
      </c>
      <c r="Q3402">
        <v>0</v>
      </c>
      <c r="R3402" t="s">
        <v>41252</v>
      </c>
      <c r="S3402" t="s">
        <v>41383</v>
      </c>
      <c r="T3402" t="s">
        <v>42827</v>
      </c>
      <c r="U3402" t="s">
        <v>46057</v>
      </c>
      <c r="W3402" t="s">
        <v>38302</v>
      </c>
      <c r="X3402" t="s">
        <v>41254</v>
      </c>
    </row>
    <row r="3403" spans="1:24">
      <c r="A3403">
        <f>HYPERLINK("https://www.philgeps.gov.ph/GEPSNONPILOT/Tender/SplashBidNoticeAbstractUI.aspx?menuIndex=3&amp;refID=7074445&amp;Result=3","7074445")</f>
        <v>0</v>
      </c>
      <c r="B3403" t="s">
        <v>260</v>
      </c>
      <c r="C3403" t="s">
        <v>6649</v>
      </c>
      <c r="D3403" t="s">
        <v>16646</v>
      </c>
      <c r="E3403" t="s">
        <v>19792</v>
      </c>
      <c r="F3403" t="s">
        <v>28669</v>
      </c>
      <c r="G3403" t="s">
        <v>28675</v>
      </c>
      <c r="H3403" t="s">
        <v>9998</v>
      </c>
      <c r="I3403" t="s">
        <v>11593</v>
      </c>
      <c r="J3403" t="s">
        <v>31060</v>
      </c>
      <c r="K3403" t="s">
        <v>37208</v>
      </c>
      <c r="M3403" t="s">
        <v>37738</v>
      </c>
      <c r="N3403" t="s">
        <v>41249</v>
      </c>
      <c r="O3403" t="s">
        <v>41250</v>
      </c>
      <c r="P3403">
        <v>0</v>
      </c>
      <c r="Q3403">
        <v>7</v>
      </c>
      <c r="R3403" t="s">
        <v>41252</v>
      </c>
      <c r="S3403" t="s">
        <v>41383</v>
      </c>
      <c r="T3403" t="s">
        <v>42726</v>
      </c>
      <c r="U3403" t="s">
        <v>46058</v>
      </c>
      <c r="W3403" t="s">
        <v>37738</v>
      </c>
      <c r="X3403" t="s">
        <v>41254</v>
      </c>
    </row>
    <row r="3404" spans="1:24">
      <c r="A3404">
        <f>HYPERLINK("https://www.philgeps.gov.ph/GEPSNONPILOT/Tender/SplashBidNoticeAbstractUI.aspx?menuIndex=3&amp;refID=7074374&amp;Result=3","7074374")</f>
        <v>0</v>
      </c>
      <c r="B3404" t="s">
        <v>369</v>
      </c>
      <c r="C3404" t="s">
        <v>6650</v>
      </c>
      <c r="D3404" t="s">
        <v>16619</v>
      </c>
      <c r="E3404" t="s">
        <v>19793</v>
      </c>
      <c r="F3404" t="s">
        <v>28669</v>
      </c>
      <c r="G3404" t="s">
        <v>28676</v>
      </c>
      <c r="H3404" t="s">
        <v>9998</v>
      </c>
      <c r="I3404" t="s">
        <v>28704</v>
      </c>
      <c r="J3404" t="s">
        <v>28990</v>
      </c>
      <c r="K3404" t="s">
        <v>37204</v>
      </c>
      <c r="M3404" t="s">
        <v>37865</v>
      </c>
      <c r="N3404" t="s">
        <v>41249</v>
      </c>
      <c r="O3404" t="s">
        <v>41250</v>
      </c>
      <c r="P3404">
        <v>0</v>
      </c>
      <c r="Q3404">
        <v>1</v>
      </c>
      <c r="R3404" t="s">
        <v>41252</v>
      </c>
      <c r="S3404" t="s">
        <v>41383</v>
      </c>
      <c r="T3404" t="s">
        <v>42679</v>
      </c>
      <c r="U3404" t="s">
        <v>43816</v>
      </c>
      <c r="W3404" t="s">
        <v>37865</v>
      </c>
      <c r="X3404" t="s">
        <v>41254</v>
      </c>
    </row>
    <row r="3405" spans="1:24">
      <c r="A3405">
        <f>HYPERLINK("https://www.philgeps.gov.ph/GEPSNONPILOT/Tender/SplashBidNoticeAbstractUI.aspx?menuIndex=3&amp;refID=7074494&amp;Result=3","7074494")</f>
        <v>0</v>
      </c>
      <c r="B3405" t="s">
        <v>1181</v>
      </c>
      <c r="C3405" t="s">
        <v>6651</v>
      </c>
      <c r="D3405" t="s">
        <v>16627</v>
      </c>
      <c r="E3405" t="s">
        <v>19794</v>
      </c>
      <c r="F3405" t="s">
        <v>28669</v>
      </c>
      <c r="G3405" t="s">
        <v>28676</v>
      </c>
      <c r="H3405" t="s">
        <v>9998</v>
      </c>
      <c r="I3405" t="s">
        <v>28704</v>
      </c>
      <c r="J3405" t="s">
        <v>31061</v>
      </c>
      <c r="K3405" t="s">
        <v>37204</v>
      </c>
      <c r="M3405" t="s">
        <v>38721</v>
      </c>
      <c r="N3405" t="s">
        <v>41249</v>
      </c>
      <c r="O3405" t="s">
        <v>41250</v>
      </c>
      <c r="P3405">
        <v>0</v>
      </c>
      <c r="Q3405">
        <v>0</v>
      </c>
      <c r="R3405" t="s">
        <v>41252</v>
      </c>
      <c r="S3405" t="s">
        <v>41383</v>
      </c>
      <c r="T3405" t="s">
        <v>42758</v>
      </c>
      <c r="U3405" t="s">
        <v>45629</v>
      </c>
      <c r="W3405" t="s">
        <v>38721</v>
      </c>
      <c r="X3405" t="s">
        <v>41254</v>
      </c>
    </row>
    <row r="3406" spans="1:24">
      <c r="A3406">
        <f>HYPERLINK("https://www.philgeps.gov.ph/GEPSNONPILOT/Tender/SplashBidNoticeAbstractUI.aspx?menuIndex=3&amp;refID=7074516&amp;Result=3","7074516")</f>
        <v>0</v>
      </c>
      <c r="B3406" t="s">
        <v>77</v>
      </c>
      <c r="C3406" t="s">
        <v>6652</v>
      </c>
      <c r="D3406" t="s">
        <v>16647</v>
      </c>
      <c r="E3406" t="s">
        <v>19795</v>
      </c>
      <c r="F3406" t="s">
        <v>28669</v>
      </c>
      <c r="G3406" t="s">
        <v>28675</v>
      </c>
      <c r="H3406" t="s">
        <v>9998</v>
      </c>
      <c r="I3406" t="s">
        <v>28695</v>
      </c>
      <c r="J3406" t="s">
        <v>31062</v>
      </c>
      <c r="K3406" t="s">
        <v>37209</v>
      </c>
      <c r="M3406" t="s">
        <v>37552</v>
      </c>
      <c r="N3406" t="s">
        <v>41249</v>
      </c>
      <c r="O3406" t="s">
        <v>41250</v>
      </c>
      <c r="P3406">
        <v>0</v>
      </c>
      <c r="Q3406">
        <v>0</v>
      </c>
      <c r="R3406" t="s">
        <v>41252</v>
      </c>
      <c r="S3406" t="s">
        <v>41383</v>
      </c>
      <c r="T3406" t="s">
        <v>42703</v>
      </c>
      <c r="U3406" t="s">
        <v>46059</v>
      </c>
      <c r="W3406" t="s">
        <v>37552</v>
      </c>
      <c r="X3406" t="s">
        <v>41254</v>
      </c>
    </row>
    <row r="3407" spans="1:24">
      <c r="A3407">
        <f>HYPERLINK("https://www.philgeps.gov.ph/GEPSNONPILOT/Tender/SplashBidNoticeAbstractUI.aspx?menuIndex=3&amp;refID=7074515&amp;Result=3","7074515")</f>
        <v>0</v>
      </c>
      <c r="B3407" t="s">
        <v>714</v>
      </c>
      <c r="C3407" t="s">
        <v>6653</v>
      </c>
      <c r="D3407" t="s">
        <v>16608</v>
      </c>
      <c r="E3407" t="s">
        <v>19796</v>
      </c>
      <c r="F3407" t="s">
        <v>28669</v>
      </c>
      <c r="G3407" t="s">
        <v>28676</v>
      </c>
      <c r="H3407" t="s">
        <v>9998</v>
      </c>
      <c r="I3407" t="s">
        <v>28777</v>
      </c>
      <c r="J3407" t="s">
        <v>29147</v>
      </c>
      <c r="K3407" t="s">
        <v>37243</v>
      </c>
      <c r="M3407" t="s">
        <v>38221</v>
      </c>
      <c r="N3407" t="s">
        <v>41249</v>
      </c>
      <c r="O3407" t="s">
        <v>41250</v>
      </c>
      <c r="P3407">
        <v>0</v>
      </c>
      <c r="Q3407">
        <v>0</v>
      </c>
      <c r="R3407" t="s">
        <v>41252</v>
      </c>
      <c r="S3407" t="s">
        <v>41383</v>
      </c>
      <c r="T3407" t="s">
        <v>42736</v>
      </c>
      <c r="U3407" t="s">
        <v>46060</v>
      </c>
      <c r="W3407" t="s">
        <v>38221</v>
      </c>
      <c r="X3407" t="s">
        <v>41254</v>
      </c>
    </row>
    <row r="3408" spans="1:24">
      <c r="A3408">
        <f>HYPERLINK("https://www.philgeps.gov.ph/GEPSNONPILOT/Tender/SplashBidNoticeAbstractUI.aspx?menuIndex=3&amp;refID=7074352&amp;Result=3","7074352")</f>
        <v>0</v>
      </c>
      <c r="B3408" t="s">
        <v>1330</v>
      </c>
      <c r="C3408" t="s">
        <v>6654</v>
      </c>
      <c r="D3408" t="s">
        <v>16611</v>
      </c>
      <c r="E3408" t="s">
        <v>18535</v>
      </c>
      <c r="F3408" t="s">
        <v>28669</v>
      </c>
      <c r="G3408" t="s">
        <v>28675</v>
      </c>
      <c r="H3408" t="s">
        <v>9998</v>
      </c>
      <c r="I3408" t="s">
        <v>3718</v>
      </c>
      <c r="J3408" t="s">
        <v>29112</v>
      </c>
      <c r="K3408" t="s">
        <v>37206</v>
      </c>
      <c r="M3408" t="s">
        <v>38884</v>
      </c>
      <c r="N3408" t="s">
        <v>41249</v>
      </c>
      <c r="O3408" t="s">
        <v>41250</v>
      </c>
      <c r="P3408">
        <v>0</v>
      </c>
      <c r="Q3408">
        <v>1</v>
      </c>
      <c r="R3408" t="s">
        <v>41252</v>
      </c>
      <c r="S3408" t="s">
        <v>41383</v>
      </c>
      <c r="T3408" t="s">
        <v>42934</v>
      </c>
      <c r="U3408" t="s">
        <v>45991</v>
      </c>
      <c r="V3408" t="s">
        <v>54648</v>
      </c>
      <c r="W3408" t="s">
        <v>38884</v>
      </c>
      <c r="X3408" t="s">
        <v>41254</v>
      </c>
    </row>
    <row r="3409" spans="1:24">
      <c r="A3409">
        <f>HYPERLINK("https://www.philgeps.gov.ph/GEPSNONPILOT/Tender/SplashBidNoticeAbstractUI.aspx?menuIndex=3&amp;refID=7074350&amp;Result=3","7074350")</f>
        <v>0</v>
      </c>
      <c r="B3409" t="s">
        <v>1278</v>
      </c>
      <c r="C3409" t="s">
        <v>6655</v>
      </c>
      <c r="D3409" t="s">
        <v>16684</v>
      </c>
      <c r="E3409" t="s">
        <v>19797</v>
      </c>
      <c r="F3409" t="s">
        <v>28669</v>
      </c>
      <c r="G3409" t="s">
        <v>28676</v>
      </c>
      <c r="H3409" t="s">
        <v>9998</v>
      </c>
      <c r="I3409" t="s">
        <v>6606</v>
      </c>
      <c r="J3409" t="s">
        <v>30965</v>
      </c>
      <c r="K3409" t="s">
        <v>37256</v>
      </c>
      <c r="M3409" t="s">
        <v>38828</v>
      </c>
      <c r="N3409" t="s">
        <v>41249</v>
      </c>
      <c r="O3409" t="s">
        <v>41250</v>
      </c>
      <c r="P3409">
        <v>0</v>
      </c>
      <c r="Q3409">
        <v>0</v>
      </c>
      <c r="R3409" t="s">
        <v>41252</v>
      </c>
      <c r="S3409" t="s">
        <v>41383</v>
      </c>
      <c r="T3409" t="s">
        <v>42742</v>
      </c>
      <c r="U3409" t="s">
        <v>45858</v>
      </c>
      <c r="W3409" t="s">
        <v>38828</v>
      </c>
      <c r="X3409" t="s">
        <v>41254</v>
      </c>
    </row>
    <row r="3410" spans="1:24">
      <c r="A3410">
        <f>HYPERLINK("https://www.philgeps.gov.ph/GEPSNONPILOT/Tender/SplashBidNoticeAbstractUI.aspx?menuIndex=3&amp;refID=7074444&amp;Result=3","7074444")</f>
        <v>0</v>
      </c>
      <c r="B3410" t="s">
        <v>807</v>
      </c>
      <c r="C3410" t="s">
        <v>6656</v>
      </c>
      <c r="D3410" t="s">
        <v>16633</v>
      </c>
      <c r="E3410" t="s">
        <v>19798</v>
      </c>
      <c r="F3410" t="s">
        <v>28669</v>
      </c>
      <c r="G3410" t="s">
        <v>28676</v>
      </c>
      <c r="H3410" t="s">
        <v>28686</v>
      </c>
      <c r="I3410" t="s">
        <v>28689</v>
      </c>
      <c r="J3410" t="s">
        <v>29051</v>
      </c>
      <c r="K3410" t="s">
        <v>37209</v>
      </c>
      <c r="M3410" t="s">
        <v>38322</v>
      </c>
      <c r="N3410" t="s">
        <v>41249</v>
      </c>
      <c r="O3410" t="s">
        <v>41250</v>
      </c>
      <c r="P3410">
        <v>0</v>
      </c>
      <c r="Q3410">
        <v>1</v>
      </c>
      <c r="R3410" t="s">
        <v>41252</v>
      </c>
      <c r="S3410" t="s">
        <v>41383</v>
      </c>
      <c r="T3410" t="s">
        <v>42729</v>
      </c>
      <c r="U3410" t="s">
        <v>46061</v>
      </c>
      <c r="V3410" t="s">
        <v>54630</v>
      </c>
      <c r="W3410" t="s">
        <v>38322</v>
      </c>
      <c r="X3410" t="s">
        <v>41254</v>
      </c>
    </row>
    <row r="3411" spans="1:24">
      <c r="A3411">
        <f>HYPERLINK("https://www.philgeps.gov.ph/GEPSNONPILOT/Tender/SplashBidNoticeAbstractUI.aspx?menuIndex=3&amp;refID=7074512&amp;Result=3","7074512")</f>
        <v>0</v>
      </c>
      <c r="B3411" t="s">
        <v>618</v>
      </c>
      <c r="C3411" t="s">
        <v>6657</v>
      </c>
      <c r="D3411" t="s">
        <v>16654</v>
      </c>
      <c r="E3411" t="s">
        <v>19799</v>
      </c>
      <c r="F3411" t="s">
        <v>28669</v>
      </c>
      <c r="G3411" t="s">
        <v>28675</v>
      </c>
      <c r="H3411" t="s">
        <v>28686</v>
      </c>
      <c r="I3411" t="s">
        <v>28689</v>
      </c>
      <c r="J3411" t="s">
        <v>30506</v>
      </c>
      <c r="K3411" t="s">
        <v>37289</v>
      </c>
      <c r="M3411" t="s">
        <v>38118</v>
      </c>
      <c r="N3411" t="s">
        <v>41249</v>
      </c>
      <c r="O3411" t="s">
        <v>41250</v>
      </c>
      <c r="P3411">
        <v>0</v>
      </c>
      <c r="Q3411">
        <v>0</v>
      </c>
      <c r="R3411" t="s">
        <v>41252</v>
      </c>
      <c r="S3411" t="s">
        <v>41383</v>
      </c>
      <c r="T3411" t="s">
        <v>42757</v>
      </c>
      <c r="U3411" t="s">
        <v>46062</v>
      </c>
      <c r="W3411" t="s">
        <v>38118</v>
      </c>
      <c r="X3411" t="s">
        <v>41254</v>
      </c>
    </row>
    <row r="3412" spans="1:24">
      <c r="A3412">
        <f>HYPERLINK("https://www.philgeps.gov.ph/GEPSNONPILOT/Tender/SplashBidNoticeAbstractUI.aspx?menuIndex=3&amp;refID=7074508&amp;Result=3","7074508")</f>
        <v>0</v>
      </c>
      <c r="B3412" t="s">
        <v>1327</v>
      </c>
      <c r="C3412" t="s">
        <v>6658</v>
      </c>
      <c r="D3412" t="s">
        <v>16627</v>
      </c>
      <c r="E3412" t="s">
        <v>19800</v>
      </c>
      <c r="F3412" t="s">
        <v>28669</v>
      </c>
      <c r="G3412" t="s">
        <v>28677</v>
      </c>
      <c r="H3412" t="s">
        <v>9998</v>
      </c>
      <c r="I3412" t="s">
        <v>28707</v>
      </c>
      <c r="J3412" t="s">
        <v>29114</v>
      </c>
      <c r="K3412" t="s">
        <v>37206</v>
      </c>
      <c r="M3412" t="s">
        <v>38880</v>
      </c>
      <c r="N3412" t="s">
        <v>41249</v>
      </c>
      <c r="O3412" t="s">
        <v>41250</v>
      </c>
      <c r="P3412">
        <v>0</v>
      </c>
      <c r="Q3412">
        <v>9</v>
      </c>
      <c r="R3412" t="s">
        <v>41252</v>
      </c>
      <c r="S3412" t="s">
        <v>41383</v>
      </c>
      <c r="T3412" t="s">
        <v>42687</v>
      </c>
      <c r="U3412" t="s">
        <v>46001</v>
      </c>
      <c r="W3412" t="s">
        <v>38880</v>
      </c>
      <c r="X3412" t="s">
        <v>41254</v>
      </c>
    </row>
    <row r="3413" spans="1:24">
      <c r="A3413">
        <f>HYPERLINK("https://www.philgeps.gov.ph/GEPSNONPILOT/Tender/SplashBidNoticeAbstractUI.aspx?menuIndex=3&amp;refID=7074514&amp;Result=3","7074514")</f>
        <v>0</v>
      </c>
      <c r="B3413" t="s">
        <v>1346</v>
      </c>
      <c r="C3413" t="s">
        <v>6659</v>
      </c>
      <c r="D3413" t="s">
        <v>16631</v>
      </c>
      <c r="E3413" t="s">
        <v>19801</v>
      </c>
      <c r="F3413" t="s">
        <v>28669</v>
      </c>
      <c r="G3413" t="s">
        <v>28675</v>
      </c>
      <c r="H3413" t="s">
        <v>9998</v>
      </c>
      <c r="I3413" t="s">
        <v>28695</v>
      </c>
      <c r="J3413" t="s">
        <v>31063</v>
      </c>
      <c r="K3413" t="s">
        <v>37204</v>
      </c>
      <c r="M3413" t="s">
        <v>38902</v>
      </c>
      <c r="N3413" t="s">
        <v>41249</v>
      </c>
      <c r="O3413" t="s">
        <v>41250</v>
      </c>
      <c r="P3413">
        <v>0</v>
      </c>
      <c r="Q3413">
        <v>0</v>
      </c>
      <c r="R3413" t="s">
        <v>41252</v>
      </c>
      <c r="S3413" t="s">
        <v>41383</v>
      </c>
      <c r="T3413" t="s">
        <v>42881</v>
      </c>
      <c r="U3413" t="s">
        <v>46063</v>
      </c>
      <c r="W3413" t="s">
        <v>38902</v>
      </c>
      <c r="X3413" t="s">
        <v>41254</v>
      </c>
    </row>
    <row r="3414" spans="1:24">
      <c r="A3414">
        <f>HYPERLINK("https://www.philgeps.gov.ph/GEPSNONPILOT/Tender/SplashBidNoticeAbstractUI.aspx?menuIndex=3&amp;refID=7074513&amp;Result=3","7074513")</f>
        <v>0</v>
      </c>
      <c r="B3414" t="s">
        <v>965</v>
      </c>
      <c r="C3414" t="s">
        <v>6660</v>
      </c>
      <c r="D3414" t="s">
        <v>16608</v>
      </c>
      <c r="E3414" t="s">
        <v>19802</v>
      </c>
      <c r="F3414" t="s">
        <v>28669</v>
      </c>
      <c r="G3414" t="s">
        <v>28675</v>
      </c>
      <c r="H3414" t="s">
        <v>9998</v>
      </c>
      <c r="I3414" t="s">
        <v>15140</v>
      </c>
      <c r="J3414" t="s">
        <v>28879</v>
      </c>
      <c r="K3414" t="s">
        <v>37205</v>
      </c>
      <c r="M3414" t="s">
        <v>38890</v>
      </c>
      <c r="N3414" t="s">
        <v>41249</v>
      </c>
      <c r="O3414" t="s">
        <v>41250</v>
      </c>
      <c r="P3414">
        <v>0</v>
      </c>
      <c r="Q3414">
        <v>1</v>
      </c>
      <c r="R3414" t="s">
        <v>41252</v>
      </c>
      <c r="S3414" t="s">
        <v>41383</v>
      </c>
      <c r="T3414" t="s">
        <v>42703</v>
      </c>
      <c r="U3414" t="s">
        <v>45990</v>
      </c>
      <c r="W3414" t="s">
        <v>38890</v>
      </c>
      <c r="X3414" t="s">
        <v>41254</v>
      </c>
    </row>
    <row r="3415" spans="1:24">
      <c r="A3415">
        <f>HYPERLINK("https://www.philgeps.gov.ph/GEPSNONPILOT/Tender/SplashBidNoticeAbstractUI.aspx?menuIndex=3&amp;refID=7074505&amp;Result=3","7074505")</f>
        <v>0</v>
      </c>
      <c r="B3415" t="s">
        <v>1351</v>
      </c>
      <c r="C3415" t="s">
        <v>6661</v>
      </c>
      <c r="D3415" t="s">
        <v>16617</v>
      </c>
      <c r="E3415" t="s">
        <v>19803</v>
      </c>
      <c r="F3415" t="s">
        <v>28670</v>
      </c>
      <c r="G3415" t="s">
        <v>28677</v>
      </c>
      <c r="H3415" t="s">
        <v>9998</v>
      </c>
      <c r="I3415" t="s">
        <v>3658</v>
      </c>
      <c r="J3415" t="s">
        <v>28905</v>
      </c>
      <c r="K3415" t="s">
        <v>37210</v>
      </c>
      <c r="M3415" t="s">
        <v>38907</v>
      </c>
      <c r="N3415" t="s">
        <v>41249</v>
      </c>
      <c r="O3415" t="s">
        <v>41250</v>
      </c>
      <c r="P3415">
        <v>0</v>
      </c>
      <c r="Q3415">
        <v>2</v>
      </c>
      <c r="R3415" t="s">
        <v>41252</v>
      </c>
      <c r="S3415" t="s">
        <v>41383</v>
      </c>
      <c r="T3415" t="s">
        <v>42782</v>
      </c>
      <c r="U3415" t="s">
        <v>46064</v>
      </c>
      <c r="W3415" t="s">
        <v>38907</v>
      </c>
      <c r="X3415" t="s">
        <v>41254</v>
      </c>
    </row>
    <row r="3416" spans="1:24">
      <c r="A3416">
        <f>HYPERLINK("https://www.philgeps.gov.ph/GEPSNONPILOT/Tender/SplashBidNoticeAbstractUI.aspx?menuIndex=3&amp;refID=7074504&amp;Result=3","7074504")</f>
        <v>0</v>
      </c>
      <c r="B3416" t="s">
        <v>965</v>
      </c>
      <c r="C3416" t="s">
        <v>6662</v>
      </c>
      <c r="D3416" t="s">
        <v>16608</v>
      </c>
      <c r="E3416" t="s">
        <v>19804</v>
      </c>
      <c r="F3416" t="s">
        <v>28669</v>
      </c>
      <c r="G3416" t="s">
        <v>28675</v>
      </c>
      <c r="H3416" t="s">
        <v>9998</v>
      </c>
      <c r="I3416" t="s">
        <v>15140</v>
      </c>
      <c r="J3416" t="s">
        <v>31064</v>
      </c>
      <c r="K3416" t="s">
        <v>37205</v>
      </c>
      <c r="M3416" t="s">
        <v>38890</v>
      </c>
      <c r="N3416" t="s">
        <v>41249</v>
      </c>
      <c r="O3416" t="s">
        <v>41250</v>
      </c>
      <c r="P3416">
        <v>0</v>
      </c>
      <c r="Q3416">
        <v>1</v>
      </c>
      <c r="R3416" t="s">
        <v>41252</v>
      </c>
      <c r="S3416" t="s">
        <v>41383</v>
      </c>
      <c r="T3416" t="s">
        <v>42703</v>
      </c>
      <c r="U3416" t="s">
        <v>45990</v>
      </c>
      <c r="W3416" t="s">
        <v>38890</v>
      </c>
      <c r="X3416" t="s">
        <v>41254</v>
      </c>
    </row>
    <row r="3417" spans="1:24">
      <c r="A3417">
        <f>HYPERLINK("https://www.philgeps.gov.ph/GEPSNONPILOT/Tender/SplashBidNoticeAbstractUI.aspx?menuIndex=3&amp;refID=7074503&amp;Result=3","7074503")</f>
        <v>0</v>
      </c>
      <c r="B3417" t="s">
        <v>629</v>
      </c>
      <c r="C3417" t="s">
        <v>6663</v>
      </c>
      <c r="D3417" t="s">
        <v>16648</v>
      </c>
      <c r="E3417" t="s">
        <v>19805</v>
      </c>
      <c r="F3417" t="s">
        <v>28669</v>
      </c>
      <c r="G3417" t="s">
        <v>28679</v>
      </c>
      <c r="H3417" t="s">
        <v>9998</v>
      </c>
      <c r="I3417" t="s">
        <v>28722</v>
      </c>
      <c r="J3417" t="s">
        <v>30577</v>
      </c>
      <c r="K3417" t="s">
        <v>37209</v>
      </c>
      <c r="M3417" t="s">
        <v>38129</v>
      </c>
      <c r="N3417" t="s">
        <v>41249</v>
      </c>
      <c r="O3417" t="s">
        <v>41250</v>
      </c>
      <c r="P3417">
        <v>0</v>
      </c>
      <c r="Q3417">
        <v>0</v>
      </c>
      <c r="R3417" t="s">
        <v>41252</v>
      </c>
      <c r="S3417" t="s">
        <v>41383</v>
      </c>
      <c r="T3417" t="s">
        <v>42858</v>
      </c>
      <c r="U3417" t="s">
        <v>46009</v>
      </c>
      <c r="W3417" t="s">
        <v>38129</v>
      </c>
      <c r="X3417" t="s">
        <v>41254</v>
      </c>
    </row>
    <row r="3418" spans="1:24">
      <c r="A3418">
        <f>HYPERLINK("https://www.philgeps.gov.ph/GEPSNONPILOT/Tender/SplashBidNoticeAbstractUI.aspx?menuIndex=3&amp;refID=7074500&amp;Result=3","7074500")</f>
        <v>0</v>
      </c>
      <c r="B3418" t="s">
        <v>1213</v>
      </c>
      <c r="C3418" t="s">
        <v>6664</v>
      </c>
      <c r="D3418" t="s">
        <v>16611</v>
      </c>
      <c r="E3418" t="s">
        <v>6876</v>
      </c>
      <c r="F3418" t="s">
        <v>28669</v>
      </c>
      <c r="G3418" t="s">
        <v>28675</v>
      </c>
      <c r="H3418" t="s">
        <v>9998</v>
      </c>
      <c r="I3418" t="s">
        <v>28689</v>
      </c>
      <c r="J3418" t="s">
        <v>31065</v>
      </c>
      <c r="K3418" t="s">
        <v>37209</v>
      </c>
      <c r="M3418" t="s">
        <v>38754</v>
      </c>
      <c r="N3418" t="s">
        <v>41249</v>
      </c>
      <c r="O3418" t="s">
        <v>41250</v>
      </c>
      <c r="P3418">
        <v>0</v>
      </c>
      <c r="Q3418">
        <v>0</v>
      </c>
      <c r="R3418" t="s">
        <v>41252</v>
      </c>
      <c r="S3418" t="s">
        <v>41383</v>
      </c>
      <c r="T3418" t="s">
        <v>42764</v>
      </c>
      <c r="U3418" t="s">
        <v>46065</v>
      </c>
      <c r="W3418" t="s">
        <v>38754</v>
      </c>
      <c r="X3418" t="s">
        <v>41254</v>
      </c>
    </row>
    <row r="3419" spans="1:24">
      <c r="A3419">
        <f>HYPERLINK("https://www.philgeps.gov.ph/GEPSNONPILOT/Tender/SplashBidNoticeAbstractUI.aspx?menuIndex=3&amp;refID=7074511&amp;Result=3","7074511")</f>
        <v>0</v>
      </c>
      <c r="B3419" t="s">
        <v>340</v>
      </c>
      <c r="C3419" t="s">
        <v>6665</v>
      </c>
      <c r="D3419" t="s">
        <v>16654</v>
      </c>
      <c r="E3419" t="s">
        <v>19806</v>
      </c>
      <c r="F3419" t="s">
        <v>28669</v>
      </c>
      <c r="G3419" t="s">
        <v>28676</v>
      </c>
      <c r="H3419" t="s">
        <v>28684</v>
      </c>
      <c r="I3419" t="s">
        <v>28792</v>
      </c>
      <c r="J3419" t="s">
        <v>29135</v>
      </c>
      <c r="K3419" t="s">
        <v>37205</v>
      </c>
      <c r="L3419" t="s">
        <v>340</v>
      </c>
      <c r="M3419" t="s">
        <v>37820</v>
      </c>
      <c r="N3419" t="s">
        <v>41249</v>
      </c>
      <c r="O3419" t="s">
        <v>41250</v>
      </c>
      <c r="P3419">
        <v>0</v>
      </c>
      <c r="Q3419">
        <v>0</v>
      </c>
      <c r="R3419" t="s">
        <v>41252</v>
      </c>
      <c r="S3419" t="s">
        <v>41383</v>
      </c>
      <c r="T3419" t="s">
        <v>42665</v>
      </c>
      <c r="U3419" t="s">
        <v>43741</v>
      </c>
      <c r="W3419" t="s">
        <v>37820</v>
      </c>
      <c r="X3419" t="s">
        <v>41254</v>
      </c>
    </row>
    <row r="3420" spans="1:24">
      <c r="A3420">
        <f>HYPERLINK("https://www.philgeps.gov.ph/GEPSNONPILOT/Tender/SplashBidNoticeAbstractUI.aspx?menuIndex=3&amp;refID=7074499&amp;Result=3","7074499")</f>
        <v>0</v>
      </c>
      <c r="B3420" t="s">
        <v>1348</v>
      </c>
      <c r="C3420" t="s">
        <v>6666</v>
      </c>
      <c r="D3420" t="s">
        <v>16608</v>
      </c>
      <c r="E3420" t="s">
        <v>19807</v>
      </c>
      <c r="F3420" t="s">
        <v>28669</v>
      </c>
      <c r="G3420" t="s">
        <v>28676</v>
      </c>
      <c r="H3420" t="s">
        <v>9998</v>
      </c>
      <c r="I3420" t="s">
        <v>7352</v>
      </c>
      <c r="J3420" t="s">
        <v>31066</v>
      </c>
      <c r="K3420" t="s">
        <v>37204</v>
      </c>
      <c r="M3420" t="s">
        <v>37627</v>
      </c>
      <c r="N3420" t="s">
        <v>41249</v>
      </c>
      <c r="O3420" t="s">
        <v>41250</v>
      </c>
      <c r="P3420">
        <v>0</v>
      </c>
      <c r="Q3420">
        <v>0</v>
      </c>
      <c r="R3420" t="s">
        <v>41252</v>
      </c>
      <c r="S3420" t="s">
        <v>41383</v>
      </c>
      <c r="T3420" t="s">
        <v>42867</v>
      </c>
      <c r="U3420" t="s">
        <v>46066</v>
      </c>
      <c r="V3420" t="s">
        <v>54644</v>
      </c>
      <c r="W3420" t="s">
        <v>37627</v>
      </c>
      <c r="X3420" t="s">
        <v>41254</v>
      </c>
    </row>
    <row r="3421" spans="1:24">
      <c r="A3421">
        <f>HYPERLINK("https://www.philgeps.gov.ph/GEPSNONPILOT/Tender/SplashBidNoticeAbstractUI.aspx?menuIndex=3&amp;refID=7074498&amp;Result=3","7074498")</f>
        <v>0</v>
      </c>
      <c r="B3421" t="s">
        <v>1251</v>
      </c>
      <c r="C3421" t="s">
        <v>3747</v>
      </c>
      <c r="D3421" t="s">
        <v>16684</v>
      </c>
      <c r="E3421" t="s">
        <v>19808</v>
      </c>
      <c r="F3421" t="s">
        <v>28669</v>
      </c>
      <c r="G3421" t="s">
        <v>28676</v>
      </c>
      <c r="H3421" t="s">
        <v>9998</v>
      </c>
      <c r="I3421" t="s">
        <v>6128</v>
      </c>
      <c r="J3421" t="s">
        <v>31067</v>
      </c>
      <c r="K3421" t="s">
        <v>37208</v>
      </c>
      <c r="M3421" t="s">
        <v>38798</v>
      </c>
      <c r="N3421" t="s">
        <v>41249</v>
      </c>
      <c r="O3421" t="s">
        <v>41250</v>
      </c>
      <c r="P3421">
        <v>0</v>
      </c>
      <c r="Q3421">
        <v>3</v>
      </c>
      <c r="R3421" t="s">
        <v>41252</v>
      </c>
      <c r="S3421" t="s">
        <v>41383</v>
      </c>
      <c r="T3421" t="s">
        <v>42665</v>
      </c>
      <c r="U3421" t="s">
        <v>44022</v>
      </c>
      <c r="V3421" t="s">
        <v>54649</v>
      </c>
      <c r="W3421" t="s">
        <v>38798</v>
      </c>
      <c r="X3421" t="s">
        <v>41254</v>
      </c>
    </row>
    <row r="3422" spans="1:24">
      <c r="A3422">
        <f>HYPERLINK("https://www.philgeps.gov.ph/GEPSNONPILOT/Tender/SplashBidNoticeAbstractUI.aspx?menuIndex=3&amp;refID=7074506&amp;Result=3","7074506")</f>
        <v>0</v>
      </c>
      <c r="B3422" t="s">
        <v>1192</v>
      </c>
      <c r="C3422" t="s">
        <v>6667</v>
      </c>
      <c r="D3422" t="s">
        <v>16619</v>
      </c>
      <c r="E3422" t="s">
        <v>19809</v>
      </c>
      <c r="F3422" t="s">
        <v>28669</v>
      </c>
      <c r="G3422" t="s">
        <v>28676</v>
      </c>
      <c r="H3422" t="s">
        <v>9998</v>
      </c>
      <c r="I3422" t="s">
        <v>28709</v>
      </c>
      <c r="J3422" t="s">
        <v>31068</v>
      </c>
      <c r="K3422" t="s">
        <v>37208</v>
      </c>
      <c r="M3422" t="s">
        <v>38732</v>
      </c>
      <c r="N3422" t="s">
        <v>41249</v>
      </c>
      <c r="O3422" t="s">
        <v>41250</v>
      </c>
      <c r="P3422">
        <v>0</v>
      </c>
      <c r="Q3422">
        <v>0</v>
      </c>
      <c r="R3422" t="s">
        <v>41252</v>
      </c>
      <c r="S3422" t="s">
        <v>41383</v>
      </c>
      <c r="T3422" t="s">
        <v>42758</v>
      </c>
      <c r="U3422" t="s">
        <v>46067</v>
      </c>
      <c r="W3422" t="s">
        <v>38732</v>
      </c>
      <c r="X3422" t="s">
        <v>41254</v>
      </c>
    </row>
    <row r="3423" spans="1:24">
      <c r="A3423">
        <f>HYPERLINK("https://www.philgeps.gov.ph/GEPSNONPILOT/Tender/SplashBidNoticeAbstractUI.aspx?menuIndex=3&amp;refID=7074495&amp;Result=3","7074495")</f>
        <v>0</v>
      </c>
      <c r="B3423" t="s">
        <v>86</v>
      </c>
      <c r="C3423" t="s">
        <v>6668</v>
      </c>
      <c r="D3423" t="s">
        <v>16624</v>
      </c>
      <c r="E3423" t="s">
        <v>19810</v>
      </c>
      <c r="F3423" t="s">
        <v>28669</v>
      </c>
      <c r="G3423" t="s">
        <v>28675</v>
      </c>
      <c r="H3423" t="s">
        <v>9998</v>
      </c>
      <c r="I3423" t="s">
        <v>28687</v>
      </c>
      <c r="J3423" t="s">
        <v>31069</v>
      </c>
      <c r="K3423" t="s">
        <v>37220</v>
      </c>
      <c r="M3423" t="s">
        <v>37561</v>
      </c>
      <c r="N3423" t="s">
        <v>41249</v>
      </c>
      <c r="O3423" t="s">
        <v>41250</v>
      </c>
      <c r="P3423">
        <v>0</v>
      </c>
      <c r="Q3423">
        <v>4</v>
      </c>
      <c r="R3423" t="s">
        <v>41252</v>
      </c>
      <c r="S3423" t="s">
        <v>41383</v>
      </c>
      <c r="T3423" t="s">
        <v>42860</v>
      </c>
      <c r="U3423" t="s">
        <v>46068</v>
      </c>
      <c r="W3423" t="s">
        <v>37561</v>
      </c>
      <c r="X3423" t="s">
        <v>41254</v>
      </c>
    </row>
    <row r="3424" spans="1:24">
      <c r="A3424">
        <f>HYPERLINK("https://www.philgeps.gov.ph/GEPSNONPILOT/Tender/SplashBidNoticeAbstractUI.aspx?menuIndex=3&amp;refID=7074452&amp;Result=3","7074452")</f>
        <v>0</v>
      </c>
      <c r="B3424" t="s">
        <v>629</v>
      </c>
      <c r="C3424" t="s">
        <v>6669</v>
      </c>
      <c r="D3424" t="s">
        <v>16648</v>
      </c>
      <c r="E3424" t="s">
        <v>19811</v>
      </c>
      <c r="F3424" t="s">
        <v>28669</v>
      </c>
      <c r="G3424" t="s">
        <v>28679</v>
      </c>
      <c r="H3424" t="s">
        <v>9998</v>
      </c>
      <c r="I3424" t="s">
        <v>28688</v>
      </c>
      <c r="J3424" t="s">
        <v>31070</v>
      </c>
      <c r="K3424" t="s">
        <v>37209</v>
      </c>
      <c r="M3424" t="s">
        <v>38129</v>
      </c>
      <c r="N3424" t="s">
        <v>41249</v>
      </c>
      <c r="O3424" t="s">
        <v>41250</v>
      </c>
      <c r="P3424">
        <v>0</v>
      </c>
      <c r="Q3424">
        <v>1</v>
      </c>
      <c r="R3424" t="s">
        <v>41252</v>
      </c>
      <c r="S3424" t="s">
        <v>41383</v>
      </c>
      <c r="T3424" t="s">
        <v>42858</v>
      </c>
      <c r="U3424" t="s">
        <v>46009</v>
      </c>
      <c r="W3424" t="s">
        <v>38129</v>
      </c>
      <c r="X3424" t="s">
        <v>41254</v>
      </c>
    </row>
    <row r="3425" spans="1:24">
      <c r="A3425">
        <f>HYPERLINK("https://www.philgeps.gov.ph/GEPSNONPILOT/Tender/SplashBidNoticeAbstractUI.aspx?menuIndex=3&amp;refID=7074538&amp;Result=3","7074538")</f>
        <v>0</v>
      </c>
      <c r="B3425" t="s">
        <v>1181</v>
      </c>
      <c r="C3425" t="s">
        <v>6670</v>
      </c>
      <c r="D3425" t="s">
        <v>16627</v>
      </c>
      <c r="E3425" t="s">
        <v>19812</v>
      </c>
      <c r="F3425" t="s">
        <v>28669</v>
      </c>
      <c r="G3425" t="s">
        <v>28676</v>
      </c>
      <c r="H3425" t="s">
        <v>9998</v>
      </c>
      <c r="I3425" t="s">
        <v>28726</v>
      </c>
      <c r="J3425" t="s">
        <v>29469</v>
      </c>
      <c r="K3425" t="s">
        <v>37204</v>
      </c>
      <c r="M3425" t="s">
        <v>38721</v>
      </c>
      <c r="N3425" t="s">
        <v>41249</v>
      </c>
      <c r="O3425" t="s">
        <v>41250</v>
      </c>
      <c r="P3425">
        <v>0</v>
      </c>
      <c r="Q3425">
        <v>1</v>
      </c>
      <c r="R3425" t="s">
        <v>41252</v>
      </c>
      <c r="S3425" t="s">
        <v>41383</v>
      </c>
      <c r="T3425" t="s">
        <v>42758</v>
      </c>
      <c r="U3425" t="s">
        <v>45629</v>
      </c>
      <c r="W3425" t="s">
        <v>38721</v>
      </c>
      <c r="X3425" t="s">
        <v>41254</v>
      </c>
    </row>
    <row r="3426" spans="1:24">
      <c r="A3426">
        <f>HYPERLINK("https://www.philgeps.gov.ph/GEPSNONPILOT/Tender/SplashBidNoticeAbstractUI.aspx?menuIndex=3&amp;refID=7074535&amp;Result=3","7074535")</f>
        <v>0</v>
      </c>
      <c r="B3426" t="s">
        <v>1192</v>
      </c>
      <c r="C3426" t="s">
        <v>6671</v>
      </c>
      <c r="D3426" t="s">
        <v>16619</v>
      </c>
      <c r="E3426" t="s">
        <v>19813</v>
      </c>
      <c r="F3426" t="s">
        <v>28669</v>
      </c>
      <c r="G3426" t="s">
        <v>28676</v>
      </c>
      <c r="H3426" t="s">
        <v>9998</v>
      </c>
      <c r="I3426" t="s">
        <v>28709</v>
      </c>
      <c r="J3426" t="s">
        <v>31071</v>
      </c>
      <c r="K3426" t="s">
        <v>37208</v>
      </c>
      <c r="M3426" t="s">
        <v>38732</v>
      </c>
      <c r="N3426" t="s">
        <v>41249</v>
      </c>
      <c r="O3426" t="s">
        <v>41250</v>
      </c>
      <c r="P3426">
        <v>0</v>
      </c>
      <c r="Q3426">
        <v>0</v>
      </c>
      <c r="R3426" t="s">
        <v>41252</v>
      </c>
      <c r="S3426" t="s">
        <v>41383</v>
      </c>
      <c r="T3426" t="s">
        <v>42758</v>
      </c>
      <c r="U3426" t="s">
        <v>46069</v>
      </c>
      <c r="W3426" t="s">
        <v>38732</v>
      </c>
      <c r="X3426" t="s">
        <v>41254</v>
      </c>
    </row>
    <row r="3427" spans="1:24">
      <c r="A3427">
        <f>HYPERLINK("https://www.philgeps.gov.ph/GEPSNONPILOT/Tender/SplashBidNoticeAbstractUI.aspx?menuIndex=3&amp;refID=7074534&amp;Result=3","7074534")</f>
        <v>0</v>
      </c>
      <c r="B3427" t="s">
        <v>1352</v>
      </c>
      <c r="C3427" t="s">
        <v>6672</v>
      </c>
      <c r="D3427" t="s">
        <v>16614</v>
      </c>
      <c r="E3427" t="s">
        <v>19814</v>
      </c>
      <c r="F3427" t="s">
        <v>28670</v>
      </c>
      <c r="G3427" t="s">
        <v>28675</v>
      </c>
      <c r="H3427" t="s">
        <v>28686</v>
      </c>
      <c r="I3427" t="s">
        <v>28689</v>
      </c>
      <c r="J3427" t="s">
        <v>31072</v>
      </c>
      <c r="K3427" t="s">
        <v>37213</v>
      </c>
      <c r="M3427" t="s">
        <v>38908</v>
      </c>
      <c r="N3427" t="s">
        <v>41249</v>
      </c>
      <c r="O3427" t="s">
        <v>41250</v>
      </c>
      <c r="P3427">
        <v>0</v>
      </c>
      <c r="Q3427">
        <v>0</v>
      </c>
      <c r="R3427" t="s">
        <v>41252</v>
      </c>
      <c r="S3427" t="s">
        <v>41383</v>
      </c>
      <c r="T3427" t="s">
        <v>42722</v>
      </c>
      <c r="U3427" t="s">
        <v>46070</v>
      </c>
      <c r="W3427" t="s">
        <v>38908</v>
      </c>
      <c r="X3427" t="s">
        <v>41254</v>
      </c>
    </row>
    <row r="3428" spans="1:24">
      <c r="A3428">
        <f>HYPERLINK("https://www.philgeps.gov.ph/GEPSNONPILOT/Tender/SplashBidNoticeAbstractUI.aspx?menuIndex=3&amp;refID=7074544&amp;Result=3","7074544")</f>
        <v>0</v>
      </c>
      <c r="B3428" t="s">
        <v>1327</v>
      </c>
      <c r="C3428" t="s">
        <v>6673</v>
      </c>
      <c r="D3428" t="s">
        <v>16627</v>
      </c>
      <c r="E3428" t="s">
        <v>19815</v>
      </c>
      <c r="F3428" t="s">
        <v>28669</v>
      </c>
      <c r="G3428" t="s">
        <v>28677</v>
      </c>
      <c r="H3428" t="s">
        <v>9998</v>
      </c>
      <c r="I3428" t="s">
        <v>28707</v>
      </c>
      <c r="J3428" t="s">
        <v>31073</v>
      </c>
      <c r="K3428" t="s">
        <v>37206</v>
      </c>
      <c r="M3428" t="s">
        <v>38880</v>
      </c>
      <c r="N3428" t="s">
        <v>41249</v>
      </c>
      <c r="O3428" t="s">
        <v>41250</v>
      </c>
      <c r="P3428">
        <v>0</v>
      </c>
      <c r="Q3428">
        <v>5</v>
      </c>
      <c r="R3428" t="s">
        <v>41252</v>
      </c>
      <c r="S3428" t="s">
        <v>41383</v>
      </c>
      <c r="T3428" t="s">
        <v>42687</v>
      </c>
      <c r="U3428" t="s">
        <v>46001</v>
      </c>
      <c r="W3428" t="s">
        <v>38880</v>
      </c>
      <c r="X3428" t="s">
        <v>41254</v>
      </c>
    </row>
    <row r="3429" spans="1:24">
      <c r="A3429">
        <f>HYPERLINK("https://www.philgeps.gov.ph/GEPSNONPILOT/Tender/SplashBidNoticeAbstractUI.aspx?menuIndex=3&amp;refID=7074497&amp;Result=3","7074497")</f>
        <v>0</v>
      </c>
      <c r="B3429" t="s">
        <v>1353</v>
      </c>
      <c r="C3429" t="s">
        <v>6674</v>
      </c>
      <c r="D3429" t="s">
        <v>16627</v>
      </c>
      <c r="E3429" t="s">
        <v>19816</v>
      </c>
      <c r="F3429" t="s">
        <v>28671</v>
      </c>
      <c r="G3429" t="s">
        <v>28677</v>
      </c>
      <c r="H3429" t="s">
        <v>9998</v>
      </c>
      <c r="I3429" t="s">
        <v>28708</v>
      </c>
      <c r="J3429" t="s">
        <v>31074</v>
      </c>
      <c r="K3429" t="s">
        <v>37206</v>
      </c>
      <c r="M3429" t="s">
        <v>38909</v>
      </c>
      <c r="N3429" t="s">
        <v>41249</v>
      </c>
      <c r="O3429" t="s">
        <v>41250</v>
      </c>
      <c r="P3429">
        <v>0</v>
      </c>
      <c r="Q3429">
        <v>2</v>
      </c>
      <c r="R3429" t="s">
        <v>41252</v>
      </c>
      <c r="S3429" t="s">
        <v>41383</v>
      </c>
      <c r="T3429" t="s">
        <v>42883</v>
      </c>
      <c r="U3429" t="s">
        <v>46071</v>
      </c>
      <c r="W3429" t="s">
        <v>38909</v>
      </c>
      <c r="X3429" t="s">
        <v>41254</v>
      </c>
    </row>
    <row r="3430" spans="1:24">
      <c r="A3430">
        <f>HYPERLINK("https://www.philgeps.gov.ph/GEPSNONPILOT/Tender/SplashBidNoticeAbstractUI.aspx?menuIndex=3&amp;refID=7074542&amp;Result=3","7074542")</f>
        <v>0</v>
      </c>
      <c r="B3430" t="s">
        <v>1346</v>
      </c>
      <c r="C3430" t="s">
        <v>6675</v>
      </c>
      <c r="D3430" t="s">
        <v>16631</v>
      </c>
      <c r="E3430" t="s">
        <v>19817</v>
      </c>
      <c r="F3430" t="s">
        <v>28669</v>
      </c>
      <c r="G3430" t="s">
        <v>28675</v>
      </c>
      <c r="H3430" t="s">
        <v>9998</v>
      </c>
      <c r="I3430" t="s">
        <v>28704</v>
      </c>
      <c r="J3430" t="s">
        <v>31075</v>
      </c>
      <c r="K3430" t="s">
        <v>37204</v>
      </c>
      <c r="M3430" t="s">
        <v>38902</v>
      </c>
      <c r="N3430" t="s">
        <v>41249</v>
      </c>
      <c r="O3430" t="s">
        <v>41250</v>
      </c>
      <c r="P3430">
        <v>0</v>
      </c>
      <c r="Q3430">
        <v>0</v>
      </c>
      <c r="R3430" t="s">
        <v>41252</v>
      </c>
      <c r="S3430" t="s">
        <v>41383</v>
      </c>
      <c r="T3430" t="s">
        <v>42881</v>
      </c>
      <c r="U3430" t="s">
        <v>46072</v>
      </c>
      <c r="W3430" t="s">
        <v>38902</v>
      </c>
      <c r="X3430" t="s">
        <v>41254</v>
      </c>
    </row>
    <row r="3431" spans="1:24">
      <c r="A3431">
        <f>HYPERLINK("https://www.philgeps.gov.ph/GEPSNONPILOT/Tender/SplashBidNoticeAbstractUI.aspx?menuIndex=3&amp;refID=7074517&amp;Result=3","7074517")</f>
        <v>0</v>
      </c>
      <c r="B3431" t="s">
        <v>1344</v>
      </c>
      <c r="C3431" t="s">
        <v>6676</v>
      </c>
      <c r="D3431" t="s">
        <v>16673</v>
      </c>
      <c r="E3431" t="s">
        <v>19349</v>
      </c>
      <c r="F3431" t="s">
        <v>28669</v>
      </c>
      <c r="G3431" t="s">
        <v>28677</v>
      </c>
      <c r="H3431" t="s">
        <v>9998</v>
      </c>
      <c r="I3431" t="s">
        <v>28697</v>
      </c>
      <c r="J3431" t="s">
        <v>31076</v>
      </c>
      <c r="K3431" t="s">
        <v>37205</v>
      </c>
      <c r="M3431" t="s">
        <v>38899</v>
      </c>
      <c r="N3431" t="s">
        <v>41249</v>
      </c>
      <c r="O3431" t="s">
        <v>41250</v>
      </c>
      <c r="P3431">
        <v>0</v>
      </c>
      <c r="Q3431">
        <v>11</v>
      </c>
      <c r="R3431" t="s">
        <v>41252</v>
      </c>
      <c r="S3431" t="s">
        <v>41383</v>
      </c>
      <c r="T3431" t="s">
        <v>42767</v>
      </c>
      <c r="U3431" t="s">
        <v>46073</v>
      </c>
      <c r="W3431" t="s">
        <v>38899</v>
      </c>
      <c r="X3431" t="s">
        <v>41254</v>
      </c>
    </row>
    <row r="3432" spans="1:24">
      <c r="A3432">
        <f>HYPERLINK("https://www.philgeps.gov.ph/GEPSNONPILOT/Tender/SplashBidNoticeAbstractUI.aspx?menuIndex=3&amp;refID=7074539&amp;Result=3","7074539")</f>
        <v>0</v>
      </c>
      <c r="B3432" t="s">
        <v>1342</v>
      </c>
      <c r="C3432" t="s">
        <v>6677</v>
      </c>
      <c r="D3432" t="s">
        <v>16619</v>
      </c>
      <c r="E3432" t="s">
        <v>19818</v>
      </c>
      <c r="F3432" t="s">
        <v>28669</v>
      </c>
      <c r="G3432" t="s">
        <v>28676</v>
      </c>
      <c r="H3432" t="s">
        <v>9998</v>
      </c>
      <c r="I3432" t="s">
        <v>15140</v>
      </c>
      <c r="J3432" t="s">
        <v>29448</v>
      </c>
      <c r="K3432" t="s">
        <v>37210</v>
      </c>
      <c r="M3432" t="s">
        <v>38897</v>
      </c>
      <c r="N3432" t="s">
        <v>41249</v>
      </c>
      <c r="O3432" t="s">
        <v>41250</v>
      </c>
      <c r="P3432">
        <v>0</v>
      </c>
      <c r="Q3432">
        <v>0</v>
      </c>
      <c r="R3432" t="s">
        <v>41252</v>
      </c>
      <c r="S3432" t="s">
        <v>41383</v>
      </c>
      <c r="T3432" t="s">
        <v>42707</v>
      </c>
      <c r="U3432" t="s">
        <v>46074</v>
      </c>
      <c r="W3432" t="s">
        <v>38897</v>
      </c>
      <c r="X3432" t="s">
        <v>41254</v>
      </c>
    </row>
    <row r="3433" spans="1:24">
      <c r="A3433">
        <f>HYPERLINK("https://www.philgeps.gov.ph/GEPSNONPILOT/Tender/SplashBidNoticeAbstractUI.aspx?menuIndex=3&amp;refID=7074541&amp;Result=3","7074541")</f>
        <v>0</v>
      </c>
      <c r="B3433" t="s">
        <v>1354</v>
      </c>
      <c r="C3433" t="s">
        <v>6678</v>
      </c>
      <c r="D3433" t="s">
        <v>16607</v>
      </c>
      <c r="E3433" t="s">
        <v>19819</v>
      </c>
      <c r="F3433" t="s">
        <v>28669</v>
      </c>
      <c r="G3433" t="s">
        <v>28677</v>
      </c>
      <c r="H3433" t="s">
        <v>9998</v>
      </c>
      <c r="I3433" t="s">
        <v>28721</v>
      </c>
      <c r="J3433" t="s">
        <v>30306</v>
      </c>
      <c r="K3433" t="s">
        <v>37206</v>
      </c>
      <c r="M3433" t="s">
        <v>38910</v>
      </c>
      <c r="N3433" t="s">
        <v>41249</v>
      </c>
      <c r="O3433" t="s">
        <v>41250</v>
      </c>
      <c r="P3433">
        <v>0</v>
      </c>
      <c r="Q3433">
        <v>4</v>
      </c>
      <c r="R3433" t="s">
        <v>41252</v>
      </c>
      <c r="S3433" t="s">
        <v>41383</v>
      </c>
      <c r="T3433" t="s">
        <v>42673</v>
      </c>
      <c r="U3433" t="s">
        <v>46075</v>
      </c>
      <c r="W3433" t="s">
        <v>38910</v>
      </c>
      <c r="X3433" t="s">
        <v>41254</v>
      </c>
    </row>
    <row r="3434" spans="1:24">
      <c r="A3434">
        <f>HYPERLINK("https://www.philgeps.gov.ph/GEPSNONPILOT/Tender/SplashBidNoticeAbstractUI.aspx?menuIndex=3&amp;refID=7074533&amp;Result=3","7074533")</f>
        <v>0</v>
      </c>
      <c r="B3434" t="s">
        <v>1355</v>
      </c>
      <c r="C3434" t="s">
        <v>6679</v>
      </c>
      <c r="D3434" t="s">
        <v>16666</v>
      </c>
      <c r="E3434" t="s">
        <v>17768</v>
      </c>
      <c r="F3434" t="s">
        <v>28669</v>
      </c>
      <c r="G3434" t="s">
        <v>28676</v>
      </c>
      <c r="H3434" t="s">
        <v>9998</v>
      </c>
      <c r="I3434" t="s">
        <v>5286</v>
      </c>
      <c r="J3434" t="s">
        <v>29790</v>
      </c>
      <c r="K3434" t="s">
        <v>37240</v>
      </c>
      <c r="M3434" t="s">
        <v>38911</v>
      </c>
      <c r="N3434" t="s">
        <v>41249</v>
      </c>
      <c r="O3434" t="s">
        <v>41250</v>
      </c>
      <c r="P3434">
        <v>0</v>
      </c>
      <c r="Q3434">
        <v>0</v>
      </c>
      <c r="R3434" t="s">
        <v>41252</v>
      </c>
      <c r="S3434" t="s">
        <v>41383</v>
      </c>
      <c r="T3434" t="s">
        <v>42694</v>
      </c>
      <c r="U3434" t="s">
        <v>46076</v>
      </c>
      <c r="W3434" t="s">
        <v>38911</v>
      </c>
      <c r="X3434" t="s">
        <v>41254</v>
      </c>
    </row>
    <row r="3435" spans="1:24">
      <c r="A3435">
        <f>HYPERLINK("https://www.philgeps.gov.ph/GEPSNONPILOT/Tender/SplashBidNoticeAbstractUI.aspx?menuIndex=3&amp;refID=7074530&amp;Result=3","7074530")</f>
        <v>0</v>
      </c>
      <c r="B3435" t="s">
        <v>332</v>
      </c>
      <c r="C3435" t="s">
        <v>6680</v>
      </c>
      <c r="D3435" t="s">
        <v>16615</v>
      </c>
      <c r="E3435" t="s">
        <v>19820</v>
      </c>
      <c r="F3435" t="s">
        <v>28669</v>
      </c>
      <c r="G3435" t="s">
        <v>28675</v>
      </c>
      <c r="H3435" t="s">
        <v>9998</v>
      </c>
      <c r="I3435" t="s">
        <v>28689</v>
      </c>
      <c r="J3435" t="s">
        <v>31077</v>
      </c>
      <c r="K3435" t="s">
        <v>37206</v>
      </c>
      <c r="M3435" t="s">
        <v>37812</v>
      </c>
      <c r="N3435" t="s">
        <v>41249</v>
      </c>
      <c r="O3435" t="s">
        <v>41250</v>
      </c>
      <c r="P3435">
        <v>0</v>
      </c>
      <c r="Q3435">
        <v>5</v>
      </c>
      <c r="R3435" t="s">
        <v>41252</v>
      </c>
      <c r="S3435" t="s">
        <v>41383</v>
      </c>
      <c r="T3435" t="s">
        <v>42935</v>
      </c>
      <c r="U3435" t="s">
        <v>46077</v>
      </c>
      <c r="W3435" t="s">
        <v>37812</v>
      </c>
      <c r="X3435" t="s">
        <v>41254</v>
      </c>
    </row>
    <row r="3436" spans="1:24">
      <c r="A3436">
        <f>HYPERLINK("https://www.philgeps.gov.ph/GEPSNONPILOT/Tender/SplashBidNoticeAbstractUI.aspx?menuIndex=3&amp;refID=7074528&amp;Result=3","7074528")</f>
        <v>0</v>
      </c>
      <c r="B3436" t="s">
        <v>1356</v>
      </c>
      <c r="C3436" t="s">
        <v>6681</v>
      </c>
      <c r="D3436" t="s">
        <v>16681</v>
      </c>
      <c r="E3436" t="s">
        <v>18926</v>
      </c>
      <c r="F3436" t="s">
        <v>28669</v>
      </c>
      <c r="G3436" t="s">
        <v>28675</v>
      </c>
      <c r="H3436" t="s">
        <v>9998</v>
      </c>
      <c r="I3436" t="s">
        <v>28695</v>
      </c>
      <c r="J3436" t="s">
        <v>31078</v>
      </c>
      <c r="K3436" t="s">
        <v>37204</v>
      </c>
      <c r="M3436" t="s">
        <v>38912</v>
      </c>
      <c r="N3436" t="s">
        <v>41249</v>
      </c>
      <c r="O3436" t="s">
        <v>41250</v>
      </c>
      <c r="P3436">
        <v>0</v>
      </c>
      <c r="Q3436">
        <v>0</v>
      </c>
      <c r="R3436" t="s">
        <v>41252</v>
      </c>
      <c r="S3436" t="s">
        <v>41383</v>
      </c>
      <c r="T3436" t="s">
        <v>42936</v>
      </c>
      <c r="U3436" t="s">
        <v>46078</v>
      </c>
      <c r="V3436" t="s">
        <v>54650</v>
      </c>
      <c r="W3436" t="s">
        <v>38912</v>
      </c>
      <c r="X3436" t="s">
        <v>41254</v>
      </c>
    </row>
    <row r="3437" spans="1:24">
      <c r="A3437">
        <f>HYPERLINK("https://www.philgeps.gov.ph/GEPSNONPILOT/Tender/SplashBidNoticeAbstractUI.aspx?menuIndex=3&amp;refID=7074525&amp;Result=3","7074525")</f>
        <v>0</v>
      </c>
      <c r="B3437" t="s">
        <v>1348</v>
      </c>
      <c r="C3437" t="s">
        <v>6682</v>
      </c>
      <c r="D3437" t="s">
        <v>16608</v>
      </c>
      <c r="E3437" t="s">
        <v>19821</v>
      </c>
      <c r="F3437" t="s">
        <v>28669</v>
      </c>
      <c r="G3437" t="s">
        <v>28676</v>
      </c>
      <c r="H3437" t="s">
        <v>9998</v>
      </c>
      <c r="I3437" t="s">
        <v>28798</v>
      </c>
      <c r="J3437" t="s">
        <v>31079</v>
      </c>
      <c r="K3437" t="s">
        <v>37204</v>
      </c>
      <c r="M3437" t="s">
        <v>37627</v>
      </c>
      <c r="N3437" t="s">
        <v>41249</v>
      </c>
      <c r="O3437" t="s">
        <v>41250</v>
      </c>
      <c r="P3437">
        <v>0</v>
      </c>
      <c r="Q3437">
        <v>1</v>
      </c>
      <c r="R3437" t="s">
        <v>41252</v>
      </c>
      <c r="S3437" t="s">
        <v>41383</v>
      </c>
      <c r="T3437" t="s">
        <v>42867</v>
      </c>
      <c r="U3437" t="s">
        <v>46079</v>
      </c>
      <c r="V3437" t="s">
        <v>54644</v>
      </c>
      <c r="W3437" t="s">
        <v>37627</v>
      </c>
      <c r="X3437" t="s">
        <v>41254</v>
      </c>
    </row>
    <row r="3438" spans="1:24">
      <c r="A3438">
        <f>HYPERLINK("https://www.philgeps.gov.ph/GEPSNONPILOT/Tender/SplashBidNoticeAbstractUI.aspx?menuIndex=3&amp;refID=7074523&amp;Result=3","7074523")</f>
        <v>0</v>
      </c>
      <c r="B3438" t="s">
        <v>1357</v>
      </c>
      <c r="C3438" t="s">
        <v>6683</v>
      </c>
      <c r="D3438" t="s">
        <v>16627</v>
      </c>
      <c r="E3438" t="s">
        <v>19822</v>
      </c>
      <c r="F3438" t="s">
        <v>28669</v>
      </c>
      <c r="G3438" t="s">
        <v>28675</v>
      </c>
      <c r="H3438" t="s">
        <v>9998</v>
      </c>
      <c r="I3438" t="s">
        <v>7352</v>
      </c>
      <c r="J3438" t="s">
        <v>31080</v>
      </c>
      <c r="K3438" t="s">
        <v>37204</v>
      </c>
      <c r="M3438" t="s">
        <v>38913</v>
      </c>
      <c r="N3438" t="s">
        <v>41249</v>
      </c>
      <c r="O3438" t="s">
        <v>41250</v>
      </c>
      <c r="P3438">
        <v>0</v>
      </c>
      <c r="Q3438">
        <v>0</v>
      </c>
      <c r="R3438" t="s">
        <v>41252</v>
      </c>
      <c r="S3438" t="s">
        <v>41383</v>
      </c>
      <c r="T3438" t="s">
        <v>42757</v>
      </c>
      <c r="U3438" t="s">
        <v>46080</v>
      </c>
      <c r="W3438" t="s">
        <v>38913</v>
      </c>
      <c r="X3438" t="s">
        <v>41254</v>
      </c>
    </row>
    <row r="3439" spans="1:24">
      <c r="A3439">
        <f>HYPERLINK("https://www.philgeps.gov.ph/GEPSNONPILOT/Tender/SplashBidNoticeAbstractUI.aspx?menuIndex=3&amp;refID=7074540&amp;Result=3","7074540")</f>
        <v>0</v>
      </c>
      <c r="B3439" t="s">
        <v>618</v>
      </c>
      <c r="C3439" t="s">
        <v>6684</v>
      </c>
      <c r="D3439" t="s">
        <v>16654</v>
      </c>
      <c r="E3439" t="s">
        <v>19823</v>
      </c>
      <c r="F3439" t="s">
        <v>28669</v>
      </c>
      <c r="G3439" t="s">
        <v>28675</v>
      </c>
      <c r="H3439" t="s">
        <v>28686</v>
      </c>
      <c r="I3439" t="s">
        <v>28689</v>
      </c>
      <c r="J3439" t="s">
        <v>31081</v>
      </c>
      <c r="K3439" t="s">
        <v>37206</v>
      </c>
      <c r="M3439" t="s">
        <v>38118</v>
      </c>
      <c r="N3439" t="s">
        <v>41249</v>
      </c>
      <c r="O3439" t="s">
        <v>41250</v>
      </c>
      <c r="P3439">
        <v>0</v>
      </c>
      <c r="Q3439">
        <v>0</v>
      </c>
      <c r="R3439" t="s">
        <v>41252</v>
      </c>
      <c r="S3439" t="s">
        <v>41383</v>
      </c>
      <c r="T3439" t="s">
        <v>42757</v>
      </c>
      <c r="U3439" t="s">
        <v>46081</v>
      </c>
      <c r="W3439" t="s">
        <v>38118</v>
      </c>
      <c r="X3439" t="s">
        <v>41254</v>
      </c>
    </row>
    <row r="3440" spans="1:24">
      <c r="A3440">
        <f>HYPERLINK("https://www.philgeps.gov.ph/GEPSNONPILOT/Tender/SplashBidNoticeAbstractUI.aspx?menuIndex=3&amp;refID=7074522&amp;Result=3","7074522")</f>
        <v>0</v>
      </c>
      <c r="B3440" t="s">
        <v>369</v>
      </c>
      <c r="C3440" t="s">
        <v>6685</v>
      </c>
      <c r="D3440" t="s">
        <v>16619</v>
      </c>
      <c r="E3440" t="s">
        <v>19824</v>
      </c>
      <c r="F3440" t="s">
        <v>28669</v>
      </c>
      <c r="G3440" t="s">
        <v>28675</v>
      </c>
      <c r="H3440" t="s">
        <v>9998</v>
      </c>
      <c r="I3440" t="s">
        <v>6128</v>
      </c>
      <c r="J3440" t="s">
        <v>31082</v>
      </c>
      <c r="K3440" t="s">
        <v>37204</v>
      </c>
      <c r="M3440" t="s">
        <v>38279</v>
      </c>
      <c r="N3440" t="s">
        <v>41249</v>
      </c>
      <c r="O3440" t="s">
        <v>41250</v>
      </c>
      <c r="P3440">
        <v>0</v>
      </c>
      <c r="Q3440">
        <v>5</v>
      </c>
      <c r="R3440" t="s">
        <v>41252</v>
      </c>
      <c r="S3440" t="s">
        <v>41383</v>
      </c>
      <c r="T3440" t="s">
        <v>42719</v>
      </c>
      <c r="U3440" t="s">
        <v>46082</v>
      </c>
      <c r="W3440" t="s">
        <v>38279</v>
      </c>
      <c r="X3440" t="s">
        <v>41254</v>
      </c>
    </row>
    <row r="3441" spans="1:24">
      <c r="A3441">
        <f>HYPERLINK("https://www.philgeps.gov.ph/GEPSNONPILOT/Tender/SplashBidNoticeAbstractUI.aspx?menuIndex=3&amp;refID=7074526&amp;Result=3","7074526")</f>
        <v>0</v>
      </c>
      <c r="B3441" t="s">
        <v>1358</v>
      </c>
      <c r="C3441" t="s">
        <v>6686</v>
      </c>
      <c r="D3441" t="s">
        <v>16687</v>
      </c>
      <c r="E3441" t="s">
        <v>19825</v>
      </c>
      <c r="F3441" t="s">
        <v>28669</v>
      </c>
      <c r="G3441" t="s">
        <v>28675</v>
      </c>
      <c r="H3441" t="s">
        <v>28686</v>
      </c>
      <c r="I3441" t="s">
        <v>28689</v>
      </c>
      <c r="J3441" t="s">
        <v>31083</v>
      </c>
      <c r="K3441" t="s">
        <v>37215</v>
      </c>
      <c r="M3441" t="s">
        <v>38914</v>
      </c>
      <c r="N3441" t="s">
        <v>41249</v>
      </c>
      <c r="O3441" t="s">
        <v>41250</v>
      </c>
      <c r="P3441">
        <v>0</v>
      </c>
      <c r="Q3441">
        <v>0</v>
      </c>
      <c r="R3441" t="s">
        <v>41252</v>
      </c>
      <c r="S3441" t="s">
        <v>41383</v>
      </c>
      <c r="T3441" t="s">
        <v>42716</v>
      </c>
      <c r="U3441" t="s">
        <v>46083</v>
      </c>
      <c r="W3441" t="s">
        <v>38914</v>
      </c>
      <c r="X3441" t="s">
        <v>41254</v>
      </c>
    </row>
    <row r="3442" spans="1:24">
      <c r="A3442">
        <f>HYPERLINK("https://www.philgeps.gov.ph/GEPSNONPILOT/Tender/SplashBidNoticeAbstractUI.aspx?menuIndex=3&amp;refID=7074524&amp;Result=3","7074524")</f>
        <v>0</v>
      </c>
      <c r="B3442" t="s">
        <v>965</v>
      </c>
      <c r="C3442" t="s">
        <v>6687</v>
      </c>
      <c r="D3442" t="s">
        <v>16608</v>
      </c>
      <c r="E3442" t="s">
        <v>19826</v>
      </c>
      <c r="F3442" t="s">
        <v>28669</v>
      </c>
      <c r="G3442" t="s">
        <v>28675</v>
      </c>
      <c r="H3442" t="s">
        <v>9998</v>
      </c>
      <c r="I3442" t="s">
        <v>5213</v>
      </c>
      <c r="J3442" t="s">
        <v>31084</v>
      </c>
      <c r="K3442" t="s">
        <v>37205</v>
      </c>
      <c r="M3442" t="s">
        <v>38890</v>
      </c>
      <c r="N3442" t="s">
        <v>41249</v>
      </c>
      <c r="O3442" t="s">
        <v>41250</v>
      </c>
      <c r="P3442">
        <v>0</v>
      </c>
      <c r="Q3442">
        <v>0</v>
      </c>
      <c r="R3442" t="s">
        <v>41252</v>
      </c>
      <c r="S3442" t="s">
        <v>41383</v>
      </c>
      <c r="T3442" t="s">
        <v>42703</v>
      </c>
      <c r="U3442" t="s">
        <v>45206</v>
      </c>
      <c r="W3442" t="s">
        <v>38890</v>
      </c>
      <c r="X3442" t="s">
        <v>41254</v>
      </c>
    </row>
    <row r="3443" spans="1:24">
      <c r="A3443">
        <f>HYPERLINK("https://www.philgeps.gov.ph/GEPSNONPILOT/Tender/SplashBidNoticeAbstractUI.aspx?menuIndex=3&amp;refID=7074496&amp;Result=3","7074496")</f>
        <v>0</v>
      </c>
      <c r="B3443" t="s">
        <v>1355</v>
      </c>
      <c r="C3443" t="s">
        <v>6688</v>
      </c>
      <c r="D3443" t="s">
        <v>16666</v>
      </c>
      <c r="E3443" t="s">
        <v>17768</v>
      </c>
      <c r="F3443" t="s">
        <v>28669</v>
      </c>
      <c r="G3443" t="s">
        <v>28676</v>
      </c>
      <c r="H3443" t="s">
        <v>9998</v>
      </c>
      <c r="I3443" t="s">
        <v>5286</v>
      </c>
      <c r="J3443" t="s">
        <v>29144</v>
      </c>
      <c r="K3443" t="s">
        <v>37240</v>
      </c>
      <c r="M3443" t="s">
        <v>38911</v>
      </c>
      <c r="N3443" t="s">
        <v>41249</v>
      </c>
      <c r="O3443" t="s">
        <v>41250</v>
      </c>
      <c r="P3443">
        <v>0</v>
      </c>
      <c r="Q3443">
        <v>0</v>
      </c>
      <c r="R3443" t="s">
        <v>41252</v>
      </c>
      <c r="S3443" t="s">
        <v>41383</v>
      </c>
      <c r="T3443" t="s">
        <v>42694</v>
      </c>
      <c r="U3443" t="s">
        <v>46084</v>
      </c>
      <c r="W3443" t="s">
        <v>38911</v>
      </c>
      <c r="X3443" t="s">
        <v>41254</v>
      </c>
    </row>
    <row r="3444" spans="1:24">
      <c r="A3444">
        <f>HYPERLINK("https://www.philgeps.gov.ph/GEPSNONPILOT/Tender/SplashBidNoticeAbstractUI.aspx?menuIndex=3&amp;refID=7074519&amp;Result=3","7074519")</f>
        <v>0</v>
      </c>
      <c r="B3444" t="s">
        <v>1278</v>
      </c>
      <c r="C3444" t="s">
        <v>6689</v>
      </c>
      <c r="D3444" t="s">
        <v>16623</v>
      </c>
      <c r="E3444" t="s">
        <v>19827</v>
      </c>
      <c r="F3444" t="s">
        <v>28669</v>
      </c>
      <c r="G3444" t="s">
        <v>28676</v>
      </c>
      <c r="H3444" t="s">
        <v>9998</v>
      </c>
      <c r="I3444" t="s">
        <v>6606</v>
      </c>
      <c r="J3444" t="s">
        <v>31085</v>
      </c>
      <c r="K3444" t="s">
        <v>37256</v>
      </c>
      <c r="M3444" t="s">
        <v>38828</v>
      </c>
      <c r="N3444" t="s">
        <v>41249</v>
      </c>
      <c r="O3444" t="s">
        <v>41250</v>
      </c>
      <c r="P3444">
        <v>0</v>
      </c>
      <c r="Q3444">
        <v>0</v>
      </c>
      <c r="R3444" t="s">
        <v>41252</v>
      </c>
      <c r="S3444" t="s">
        <v>41383</v>
      </c>
      <c r="T3444" t="s">
        <v>42757</v>
      </c>
      <c r="U3444" t="s">
        <v>45858</v>
      </c>
      <c r="W3444" t="s">
        <v>38828</v>
      </c>
      <c r="X3444" t="s">
        <v>41254</v>
      </c>
    </row>
    <row r="3445" spans="1:24">
      <c r="A3445">
        <f>HYPERLINK("https://www.philgeps.gov.ph/GEPSNONPILOT/Tender/SplashBidNoticeAbstractUI.aspx?menuIndex=3&amp;refID=7074563&amp;Result=3","7074563")</f>
        <v>0</v>
      </c>
      <c r="B3445" t="s">
        <v>1355</v>
      </c>
      <c r="C3445" t="s">
        <v>6690</v>
      </c>
      <c r="D3445" t="s">
        <v>16666</v>
      </c>
      <c r="E3445" t="s">
        <v>17768</v>
      </c>
      <c r="F3445" t="s">
        <v>28669</v>
      </c>
      <c r="G3445" t="s">
        <v>28676</v>
      </c>
      <c r="H3445" t="s">
        <v>9998</v>
      </c>
      <c r="I3445" t="s">
        <v>28719</v>
      </c>
      <c r="J3445" t="s">
        <v>29523</v>
      </c>
      <c r="K3445" t="s">
        <v>37240</v>
      </c>
      <c r="M3445" t="s">
        <v>38911</v>
      </c>
      <c r="N3445" t="s">
        <v>41249</v>
      </c>
      <c r="O3445" t="s">
        <v>41250</v>
      </c>
      <c r="P3445">
        <v>0</v>
      </c>
      <c r="Q3445">
        <v>1</v>
      </c>
      <c r="R3445" t="s">
        <v>41252</v>
      </c>
      <c r="S3445" t="s">
        <v>41383</v>
      </c>
      <c r="T3445" t="s">
        <v>42694</v>
      </c>
      <c r="U3445" t="s">
        <v>46085</v>
      </c>
      <c r="W3445" t="s">
        <v>38911</v>
      </c>
      <c r="X3445" t="s">
        <v>41254</v>
      </c>
    </row>
    <row r="3446" spans="1:24">
      <c r="A3446">
        <f>HYPERLINK("https://www.philgeps.gov.ph/GEPSNONPILOT/Tender/SplashBidNoticeAbstractUI.aspx?menuIndex=3&amp;refID=7074560&amp;Result=3","7074560")</f>
        <v>0</v>
      </c>
      <c r="B3446" t="s">
        <v>629</v>
      </c>
      <c r="C3446" t="s">
        <v>6691</v>
      </c>
      <c r="D3446" t="s">
        <v>16648</v>
      </c>
      <c r="E3446" t="s">
        <v>19828</v>
      </c>
      <c r="F3446" t="s">
        <v>28669</v>
      </c>
      <c r="G3446" t="s">
        <v>28679</v>
      </c>
      <c r="H3446" t="s">
        <v>9998</v>
      </c>
      <c r="I3446" t="s">
        <v>28736</v>
      </c>
      <c r="J3446" t="s">
        <v>31086</v>
      </c>
      <c r="K3446" t="s">
        <v>37209</v>
      </c>
      <c r="M3446" t="s">
        <v>38129</v>
      </c>
      <c r="N3446" t="s">
        <v>41249</v>
      </c>
      <c r="O3446" t="s">
        <v>41250</v>
      </c>
      <c r="P3446">
        <v>0</v>
      </c>
      <c r="Q3446">
        <v>0</v>
      </c>
      <c r="R3446" t="s">
        <v>41252</v>
      </c>
      <c r="S3446" t="s">
        <v>41383</v>
      </c>
      <c r="T3446" t="s">
        <v>42858</v>
      </c>
      <c r="U3446" t="s">
        <v>46009</v>
      </c>
      <c r="W3446" t="s">
        <v>38129</v>
      </c>
      <c r="X3446" t="s">
        <v>41254</v>
      </c>
    </row>
    <row r="3447" spans="1:24">
      <c r="A3447">
        <f>HYPERLINK("https://www.philgeps.gov.ph/GEPSNONPILOT/Tender/SplashBidNoticeAbstractUI.aspx?menuIndex=3&amp;refID=7074518&amp;Result=3","7074518")</f>
        <v>0</v>
      </c>
      <c r="B3447" t="s">
        <v>101</v>
      </c>
      <c r="C3447" t="s">
        <v>6692</v>
      </c>
      <c r="D3447" t="s">
        <v>16644</v>
      </c>
      <c r="E3447" t="s">
        <v>19829</v>
      </c>
      <c r="F3447" t="s">
        <v>28669</v>
      </c>
      <c r="G3447" t="s">
        <v>28676</v>
      </c>
      <c r="H3447" t="s">
        <v>9998</v>
      </c>
      <c r="I3447" t="s">
        <v>28717</v>
      </c>
      <c r="J3447" t="s">
        <v>29557</v>
      </c>
      <c r="K3447" t="s">
        <v>37205</v>
      </c>
      <c r="M3447" t="s">
        <v>37576</v>
      </c>
      <c r="N3447" t="s">
        <v>41249</v>
      </c>
      <c r="O3447" t="s">
        <v>41250</v>
      </c>
      <c r="P3447">
        <v>0</v>
      </c>
      <c r="Q3447">
        <v>6</v>
      </c>
      <c r="R3447" t="s">
        <v>41252</v>
      </c>
      <c r="S3447" t="s">
        <v>41383</v>
      </c>
      <c r="T3447" t="s">
        <v>42701</v>
      </c>
      <c r="U3447" t="s">
        <v>46086</v>
      </c>
      <c r="V3447" t="s">
        <v>54640</v>
      </c>
      <c r="W3447" t="s">
        <v>37576</v>
      </c>
      <c r="X3447" t="s">
        <v>41254</v>
      </c>
    </row>
    <row r="3448" spans="1:24">
      <c r="A3448">
        <f>HYPERLINK("https://www.philgeps.gov.ph/GEPSNONPILOT/Tender/SplashBidNoticeAbstractUI.aspx?menuIndex=3&amp;refID=7074545&amp;Result=3","7074545")</f>
        <v>0</v>
      </c>
      <c r="B3448" t="s">
        <v>1359</v>
      </c>
      <c r="C3448" t="s">
        <v>6693</v>
      </c>
      <c r="D3448" t="s">
        <v>16615</v>
      </c>
      <c r="E3448" t="s">
        <v>19830</v>
      </c>
      <c r="F3448" t="s">
        <v>28669</v>
      </c>
      <c r="G3448" t="s">
        <v>28677</v>
      </c>
      <c r="H3448" t="s">
        <v>9998</v>
      </c>
      <c r="I3448" t="s">
        <v>28693</v>
      </c>
      <c r="J3448" t="s">
        <v>31087</v>
      </c>
      <c r="K3448" t="s">
        <v>37205</v>
      </c>
      <c r="M3448" t="s">
        <v>38915</v>
      </c>
      <c r="N3448" t="s">
        <v>41249</v>
      </c>
      <c r="O3448" t="s">
        <v>41250</v>
      </c>
      <c r="P3448">
        <v>0</v>
      </c>
      <c r="Q3448">
        <v>6</v>
      </c>
      <c r="R3448" t="s">
        <v>41252</v>
      </c>
      <c r="S3448" t="s">
        <v>41383</v>
      </c>
      <c r="T3448" t="s">
        <v>42887</v>
      </c>
      <c r="U3448" t="s">
        <v>46087</v>
      </c>
      <c r="W3448" t="s">
        <v>38915</v>
      </c>
      <c r="X3448" t="s">
        <v>41254</v>
      </c>
    </row>
    <row r="3449" spans="1:24">
      <c r="A3449">
        <f>HYPERLINK("https://www.philgeps.gov.ph/GEPSNONPILOT/Tender/SplashBidNoticeAbstractUI.aspx?menuIndex=3&amp;refID=7074570&amp;Result=3","7074570")</f>
        <v>0</v>
      </c>
      <c r="B3449" t="s">
        <v>618</v>
      </c>
      <c r="C3449" t="s">
        <v>6694</v>
      </c>
      <c r="D3449" t="s">
        <v>16654</v>
      </c>
      <c r="E3449" t="s">
        <v>19831</v>
      </c>
      <c r="F3449" t="s">
        <v>28669</v>
      </c>
      <c r="G3449" t="s">
        <v>28675</v>
      </c>
      <c r="H3449" t="s">
        <v>28686</v>
      </c>
      <c r="I3449" t="s">
        <v>28689</v>
      </c>
      <c r="J3449" t="s">
        <v>29003</v>
      </c>
      <c r="K3449" t="s">
        <v>37210</v>
      </c>
      <c r="M3449" t="s">
        <v>38118</v>
      </c>
      <c r="N3449" t="s">
        <v>41249</v>
      </c>
      <c r="O3449" t="s">
        <v>41250</v>
      </c>
      <c r="P3449">
        <v>0</v>
      </c>
      <c r="Q3449">
        <v>0</v>
      </c>
      <c r="R3449" t="s">
        <v>41252</v>
      </c>
      <c r="S3449" t="s">
        <v>41383</v>
      </c>
      <c r="T3449" t="s">
        <v>42757</v>
      </c>
      <c r="U3449" t="s">
        <v>46088</v>
      </c>
      <c r="W3449" t="s">
        <v>38118</v>
      </c>
      <c r="X3449" t="s">
        <v>41254</v>
      </c>
    </row>
    <row r="3450" spans="1:24">
      <c r="A3450">
        <f>HYPERLINK("https://www.philgeps.gov.ph/GEPSNONPILOT/Tender/SplashBidNoticeAbstractUI.aspx?menuIndex=3&amp;refID=7074501&amp;Result=3","7074501")</f>
        <v>0</v>
      </c>
      <c r="B3450" t="s">
        <v>1360</v>
      </c>
      <c r="C3450" t="s">
        <v>6695</v>
      </c>
      <c r="D3450" t="s">
        <v>16608</v>
      </c>
      <c r="E3450" t="s">
        <v>19832</v>
      </c>
      <c r="F3450" t="s">
        <v>28669</v>
      </c>
      <c r="G3450" t="s">
        <v>28677</v>
      </c>
      <c r="H3450" t="s">
        <v>9998</v>
      </c>
      <c r="I3450" t="s">
        <v>28725</v>
      </c>
      <c r="J3450" t="s">
        <v>28894</v>
      </c>
      <c r="K3450" t="s">
        <v>37204</v>
      </c>
      <c r="M3450" t="s">
        <v>38916</v>
      </c>
      <c r="N3450" t="s">
        <v>41249</v>
      </c>
      <c r="O3450" t="s">
        <v>41250</v>
      </c>
      <c r="P3450">
        <v>0</v>
      </c>
      <c r="Q3450">
        <v>0</v>
      </c>
      <c r="R3450" t="s">
        <v>41252</v>
      </c>
      <c r="S3450" t="s">
        <v>41383</v>
      </c>
      <c r="T3450" t="s">
        <v>42736</v>
      </c>
      <c r="U3450" t="s">
        <v>46089</v>
      </c>
      <c r="W3450" t="s">
        <v>38916</v>
      </c>
      <c r="X3450" t="s">
        <v>41254</v>
      </c>
    </row>
    <row r="3451" spans="1:24">
      <c r="A3451">
        <f>HYPERLINK("https://www.philgeps.gov.ph/GEPSNONPILOT/Tender/SplashBidNoticeAbstractUI.aspx?menuIndex=3&amp;refID=7074561&amp;Result=3","7074561")</f>
        <v>0</v>
      </c>
      <c r="B3451" t="s">
        <v>77</v>
      </c>
      <c r="C3451" t="s">
        <v>6696</v>
      </c>
      <c r="D3451" t="s">
        <v>16647</v>
      </c>
      <c r="E3451" t="s">
        <v>19833</v>
      </c>
      <c r="F3451" t="s">
        <v>28669</v>
      </c>
      <c r="G3451" t="s">
        <v>28675</v>
      </c>
      <c r="H3451" t="s">
        <v>9998</v>
      </c>
      <c r="I3451" t="s">
        <v>28704</v>
      </c>
      <c r="J3451" t="s">
        <v>31088</v>
      </c>
      <c r="K3451" t="s">
        <v>37209</v>
      </c>
      <c r="M3451" t="s">
        <v>37552</v>
      </c>
      <c r="N3451" t="s">
        <v>41249</v>
      </c>
      <c r="O3451" t="s">
        <v>41250</v>
      </c>
      <c r="P3451">
        <v>0</v>
      </c>
      <c r="Q3451">
        <v>0</v>
      </c>
      <c r="R3451" t="s">
        <v>41252</v>
      </c>
      <c r="S3451" t="s">
        <v>41383</v>
      </c>
      <c r="T3451" t="s">
        <v>42703</v>
      </c>
      <c r="U3451" t="s">
        <v>46090</v>
      </c>
      <c r="W3451" t="s">
        <v>37552</v>
      </c>
      <c r="X3451" t="s">
        <v>41254</v>
      </c>
    </row>
    <row r="3452" spans="1:24">
      <c r="A3452">
        <f>HYPERLINK("https://www.philgeps.gov.ph/GEPSNONPILOT/Tender/SplashBidNoticeAbstractUI.aspx?menuIndex=3&amp;refID=7074567&amp;Result=3","7074567")</f>
        <v>0</v>
      </c>
      <c r="B3452" t="s">
        <v>1222</v>
      </c>
      <c r="C3452" t="s">
        <v>6697</v>
      </c>
      <c r="D3452" t="s">
        <v>16618</v>
      </c>
      <c r="E3452" t="s">
        <v>19834</v>
      </c>
      <c r="F3452" t="s">
        <v>28669</v>
      </c>
      <c r="G3452" t="s">
        <v>28675</v>
      </c>
      <c r="H3452" t="s">
        <v>9998</v>
      </c>
      <c r="I3452" t="s">
        <v>28707</v>
      </c>
      <c r="J3452" t="s">
        <v>29538</v>
      </c>
      <c r="K3452" t="s">
        <v>37206</v>
      </c>
      <c r="M3452" t="s">
        <v>38765</v>
      </c>
      <c r="N3452" t="s">
        <v>41249</v>
      </c>
      <c r="O3452" t="s">
        <v>41250</v>
      </c>
      <c r="P3452">
        <v>0</v>
      </c>
      <c r="Q3452">
        <v>4</v>
      </c>
      <c r="R3452" t="s">
        <v>41252</v>
      </c>
      <c r="S3452" t="s">
        <v>41383</v>
      </c>
      <c r="T3452" t="s">
        <v>42757</v>
      </c>
      <c r="U3452" t="s">
        <v>46091</v>
      </c>
      <c r="W3452" t="s">
        <v>38765</v>
      </c>
      <c r="X3452" t="s">
        <v>41254</v>
      </c>
    </row>
    <row r="3453" spans="1:24">
      <c r="A3453">
        <f>HYPERLINK("https://www.philgeps.gov.ph/GEPSNONPILOT/Tender/SplashBidNoticeAbstractUI.aspx?menuIndex=3&amp;refID=7074564&amp;Result=3","7074564")</f>
        <v>0</v>
      </c>
      <c r="B3453" t="s">
        <v>1292</v>
      </c>
      <c r="C3453" t="s">
        <v>6698</v>
      </c>
      <c r="D3453" t="s">
        <v>16673</v>
      </c>
      <c r="E3453" t="s">
        <v>16890</v>
      </c>
      <c r="F3453" t="s">
        <v>28669</v>
      </c>
      <c r="G3453" t="s">
        <v>28675</v>
      </c>
      <c r="H3453" t="s">
        <v>9998</v>
      </c>
      <c r="I3453" t="s">
        <v>28687</v>
      </c>
      <c r="J3453" t="s">
        <v>29112</v>
      </c>
      <c r="K3453" t="s">
        <v>37206</v>
      </c>
      <c r="M3453" t="s">
        <v>38843</v>
      </c>
      <c r="N3453" t="s">
        <v>41249</v>
      </c>
      <c r="O3453" t="s">
        <v>41250</v>
      </c>
      <c r="P3453">
        <v>0</v>
      </c>
      <c r="Q3453">
        <v>3</v>
      </c>
      <c r="R3453" t="s">
        <v>41252</v>
      </c>
      <c r="S3453" t="s">
        <v>41383</v>
      </c>
      <c r="T3453" t="s">
        <v>42683</v>
      </c>
      <c r="U3453" t="s">
        <v>46092</v>
      </c>
      <c r="W3453" t="s">
        <v>38843</v>
      </c>
      <c r="X3453" t="s">
        <v>41254</v>
      </c>
    </row>
    <row r="3454" spans="1:24">
      <c r="A3454">
        <f>HYPERLINK("https://www.philgeps.gov.ph/GEPSNONPILOT/Tender/SplashBidNoticeAbstractUI.aspx?menuIndex=3&amp;refID=7074569&amp;Result=3","7074569")</f>
        <v>0</v>
      </c>
      <c r="B3454" t="s">
        <v>1348</v>
      </c>
      <c r="C3454" t="s">
        <v>6699</v>
      </c>
      <c r="D3454" t="s">
        <v>16608</v>
      </c>
      <c r="E3454" t="s">
        <v>19835</v>
      </c>
      <c r="F3454" t="s">
        <v>28669</v>
      </c>
      <c r="G3454" t="s">
        <v>28676</v>
      </c>
      <c r="H3454" t="s">
        <v>9998</v>
      </c>
      <c r="I3454" t="s">
        <v>28798</v>
      </c>
      <c r="J3454" t="s">
        <v>29493</v>
      </c>
      <c r="K3454" t="s">
        <v>37204</v>
      </c>
      <c r="M3454" t="s">
        <v>37627</v>
      </c>
      <c r="N3454" t="s">
        <v>41249</v>
      </c>
      <c r="O3454" t="s">
        <v>41250</v>
      </c>
      <c r="P3454">
        <v>0</v>
      </c>
      <c r="Q3454">
        <v>0</v>
      </c>
      <c r="R3454" t="s">
        <v>41252</v>
      </c>
      <c r="S3454" t="s">
        <v>41383</v>
      </c>
      <c r="T3454" t="s">
        <v>42867</v>
      </c>
      <c r="U3454" t="s">
        <v>46093</v>
      </c>
      <c r="V3454" t="s">
        <v>54644</v>
      </c>
      <c r="W3454" t="s">
        <v>37627</v>
      </c>
      <c r="X3454" t="s">
        <v>41254</v>
      </c>
    </row>
    <row r="3455" spans="1:24">
      <c r="A3455">
        <f>HYPERLINK("https://www.philgeps.gov.ph/GEPSNONPILOT/Tender/SplashBidNoticeAbstractUI.aspx?menuIndex=3&amp;refID=7074507&amp;Result=3","7074507")</f>
        <v>0</v>
      </c>
      <c r="B3455" t="s">
        <v>807</v>
      </c>
      <c r="C3455" t="s">
        <v>6700</v>
      </c>
      <c r="D3455" t="s">
        <v>16654</v>
      </c>
      <c r="E3455" t="s">
        <v>19836</v>
      </c>
      <c r="F3455" t="s">
        <v>28669</v>
      </c>
      <c r="G3455" t="s">
        <v>28676</v>
      </c>
      <c r="H3455" t="s">
        <v>28686</v>
      </c>
      <c r="I3455" t="s">
        <v>28689</v>
      </c>
      <c r="J3455" t="s">
        <v>31089</v>
      </c>
      <c r="K3455" t="s">
        <v>37209</v>
      </c>
      <c r="M3455" t="s">
        <v>38322</v>
      </c>
      <c r="N3455" t="s">
        <v>41249</v>
      </c>
      <c r="O3455" t="s">
        <v>41250</v>
      </c>
      <c r="P3455">
        <v>0</v>
      </c>
      <c r="Q3455">
        <v>0</v>
      </c>
      <c r="R3455" t="s">
        <v>41252</v>
      </c>
      <c r="S3455" t="s">
        <v>41383</v>
      </c>
      <c r="T3455" t="s">
        <v>42729</v>
      </c>
      <c r="U3455" t="s">
        <v>46094</v>
      </c>
      <c r="V3455" t="s">
        <v>54630</v>
      </c>
      <c r="W3455" t="s">
        <v>38322</v>
      </c>
      <c r="X3455" t="s">
        <v>41254</v>
      </c>
    </row>
    <row r="3456" spans="1:24">
      <c r="A3456">
        <f>HYPERLINK("https://www.philgeps.gov.ph/GEPSNONPILOT/Tender/SplashBidNoticeAbstractUI.aspx?menuIndex=3&amp;refID=7074556&amp;Result=3","7074556")</f>
        <v>0</v>
      </c>
      <c r="B3456" t="s">
        <v>1361</v>
      </c>
      <c r="C3456" t="s">
        <v>6701</v>
      </c>
      <c r="D3456" t="s">
        <v>16611</v>
      </c>
      <c r="E3456" t="s">
        <v>19837</v>
      </c>
      <c r="F3456" t="s">
        <v>28669</v>
      </c>
      <c r="G3456" t="s">
        <v>28675</v>
      </c>
      <c r="H3456" t="s">
        <v>28686</v>
      </c>
      <c r="I3456" t="s">
        <v>28689</v>
      </c>
      <c r="J3456" t="s">
        <v>31090</v>
      </c>
      <c r="K3456" t="s">
        <v>37334</v>
      </c>
      <c r="M3456" t="s">
        <v>38917</v>
      </c>
      <c r="N3456" t="s">
        <v>41249</v>
      </c>
      <c r="O3456" t="s">
        <v>41250</v>
      </c>
      <c r="P3456">
        <v>0</v>
      </c>
      <c r="Q3456">
        <v>2</v>
      </c>
      <c r="R3456" t="s">
        <v>41252</v>
      </c>
      <c r="S3456" t="s">
        <v>41383</v>
      </c>
      <c r="T3456" t="s">
        <v>42716</v>
      </c>
      <c r="U3456" t="s">
        <v>46095</v>
      </c>
      <c r="W3456" t="s">
        <v>38917</v>
      </c>
      <c r="X3456" t="s">
        <v>41254</v>
      </c>
    </row>
    <row r="3457" spans="1:24">
      <c r="A3457">
        <f>HYPERLINK("https://www.philgeps.gov.ph/GEPSNONPILOT/Tender/SplashBidNoticeAbstractUI.aspx?menuIndex=3&amp;refID=7074571&amp;Result=3","7074571")</f>
        <v>0</v>
      </c>
      <c r="B3457" t="s">
        <v>1362</v>
      </c>
      <c r="C3457" t="s">
        <v>6702</v>
      </c>
      <c r="D3457" t="s">
        <v>16664</v>
      </c>
      <c r="E3457" t="s">
        <v>16877</v>
      </c>
      <c r="F3457" t="s">
        <v>28669</v>
      </c>
      <c r="G3457" t="s">
        <v>28675</v>
      </c>
      <c r="H3457" t="s">
        <v>28686</v>
      </c>
      <c r="I3457" t="s">
        <v>28696</v>
      </c>
      <c r="J3457" t="s">
        <v>28905</v>
      </c>
      <c r="K3457" t="s">
        <v>37220</v>
      </c>
      <c r="M3457" t="s">
        <v>38918</v>
      </c>
      <c r="N3457" t="s">
        <v>41249</v>
      </c>
      <c r="O3457" t="s">
        <v>41250</v>
      </c>
      <c r="P3457">
        <v>0</v>
      </c>
      <c r="Q3457">
        <v>1</v>
      </c>
      <c r="R3457" t="s">
        <v>41252</v>
      </c>
      <c r="S3457" t="s">
        <v>41383</v>
      </c>
      <c r="T3457" t="s">
        <v>42679</v>
      </c>
      <c r="U3457" t="s">
        <v>46096</v>
      </c>
      <c r="W3457" t="s">
        <v>38918</v>
      </c>
      <c r="X3457" t="s">
        <v>41254</v>
      </c>
    </row>
    <row r="3458" spans="1:24">
      <c r="A3458">
        <f>HYPERLINK("https://www.philgeps.gov.ph/GEPSNONPILOT/Tender/SplashBidNoticeAbstractUI.aspx?menuIndex=3&amp;refID=7074566&amp;Result=3","7074566")</f>
        <v>0</v>
      </c>
      <c r="B3458" t="s">
        <v>965</v>
      </c>
      <c r="C3458" t="s">
        <v>6703</v>
      </c>
      <c r="D3458" t="s">
        <v>16608</v>
      </c>
      <c r="E3458" t="s">
        <v>19838</v>
      </c>
      <c r="F3458" t="s">
        <v>28669</v>
      </c>
      <c r="G3458" t="s">
        <v>28675</v>
      </c>
      <c r="H3458" t="s">
        <v>9998</v>
      </c>
      <c r="I3458" t="s">
        <v>5213</v>
      </c>
      <c r="J3458" t="s">
        <v>29819</v>
      </c>
      <c r="K3458" t="s">
        <v>37205</v>
      </c>
      <c r="M3458" t="s">
        <v>38890</v>
      </c>
      <c r="N3458" t="s">
        <v>41249</v>
      </c>
      <c r="O3458" t="s">
        <v>41250</v>
      </c>
      <c r="P3458">
        <v>0</v>
      </c>
      <c r="Q3458">
        <v>0</v>
      </c>
      <c r="R3458" t="s">
        <v>41252</v>
      </c>
      <c r="S3458" t="s">
        <v>41383</v>
      </c>
      <c r="T3458" t="s">
        <v>42703</v>
      </c>
      <c r="U3458" t="s">
        <v>45206</v>
      </c>
      <c r="W3458" t="s">
        <v>38890</v>
      </c>
      <c r="X3458" t="s">
        <v>41254</v>
      </c>
    </row>
    <row r="3459" spans="1:24">
      <c r="A3459">
        <f>HYPERLINK("https://www.philgeps.gov.ph/GEPSNONPILOT/Tender/SplashBidNoticeAbstractUI.aspx?menuIndex=3&amp;refID=7074555&amp;Result=3","7074555")</f>
        <v>0</v>
      </c>
      <c r="B3459" t="s">
        <v>618</v>
      </c>
      <c r="C3459" t="s">
        <v>6704</v>
      </c>
      <c r="D3459" t="s">
        <v>16654</v>
      </c>
      <c r="E3459" t="s">
        <v>19839</v>
      </c>
      <c r="F3459" t="s">
        <v>28669</v>
      </c>
      <c r="G3459" t="s">
        <v>28675</v>
      </c>
      <c r="H3459" t="s">
        <v>28686</v>
      </c>
      <c r="I3459" t="s">
        <v>28689</v>
      </c>
      <c r="J3459" t="s">
        <v>29003</v>
      </c>
      <c r="K3459" t="s">
        <v>37227</v>
      </c>
      <c r="M3459" t="s">
        <v>38118</v>
      </c>
      <c r="N3459" t="s">
        <v>41249</v>
      </c>
      <c r="O3459" t="s">
        <v>41250</v>
      </c>
      <c r="P3459">
        <v>0</v>
      </c>
      <c r="Q3459">
        <v>0</v>
      </c>
      <c r="R3459" t="s">
        <v>41252</v>
      </c>
      <c r="S3459" t="s">
        <v>41383</v>
      </c>
      <c r="T3459" t="s">
        <v>42757</v>
      </c>
      <c r="U3459" t="s">
        <v>46097</v>
      </c>
      <c r="W3459" t="s">
        <v>38118</v>
      </c>
      <c r="X3459" t="s">
        <v>41254</v>
      </c>
    </row>
    <row r="3460" spans="1:24">
      <c r="A3460">
        <f>HYPERLINK("https://www.philgeps.gov.ph/GEPSNONPILOT/Tender/SplashBidNoticeAbstractUI.aspx?menuIndex=3&amp;refID=7074599&amp;Result=3","7074599")</f>
        <v>0</v>
      </c>
      <c r="B3460" t="s">
        <v>602</v>
      </c>
      <c r="C3460" t="s">
        <v>6705</v>
      </c>
      <c r="D3460" t="s">
        <v>16661</v>
      </c>
      <c r="E3460" t="s">
        <v>19771</v>
      </c>
      <c r="F3460" t="s">
        <v>28669</v>
      </c>
      <c r="G3460" t="s">
        <v>28675</v>
      </c>
      <c r="H3460" t="s">
        <v>9998</v>
      </c>
      <c r="I3460" t="s">
        <v>7352</v>
      </c>
      <c r="J3460" t="s">
        <v>31091</v>
      </c>
      <c r="K3460" t="s">
        <v>37205</v>
      </c>
      <c r="M3460" t="s">
        <v>38102</v>
      </c>
      <c r="N3460" t="s">
        <v>41249</v>
      </c>
      <c r="O3460" t="s">
        <v>41250</v>
      </c>
      <c r="P3460">
        <v>0</v>
      </c>
      <c r="Q3460">
        <v>1</v>
      </c>
      <c r="R3460" t="s">
        <v>41252</v>
      </c>
      <c r="S3460" t="s">
        <v>41383</v>
      </c>
      <c r="T3460" t="s">
        <v>42686</v>
      </c>
      <c r="U3460" t="s">
        <v>46039</v>
      </c>
      <c r="W3460" t="s">
        <v>38102</v>
      </c>
      <c r="X3460" t="s">
        <v>41254</v>
      </c>
    </row>
    <row r="3461" spans="1:24">
      <c r="A3461">
        <f>HYPERLINK("https://www.philgeps.gov.ph/GEPSNONPILOT/Tender/SplashBidNoticeAbstractUI.aspx?menuIndex=3&amp;refID=7074558&amp;Result=3","7074558")</f>
        <v>0</v>
      </c>
      <c r="B3461" t="s">
        <v>602</v>
      </c>
      <c r="C3461" t="s">
        <v>6706</v>
      </c>
      <c r="D3461" t="s">
        <v>16661</v>
      </c>
      <c r="E3461" t="s">
        <v>19771</v>
      </c>
      <c r="F3461" t="s">
        <v>28669</v>
      </c>
      <c r="G3461" t="s">
        <v>28675</v>
      </c>
      <c r="H3461" t="s">
        <v>9998</v>
      </c>
      <c r="I3461" t="s">
        <v>7352</v>
      </c>
      <c r="J3461" t="s">
        <v>31045</v>
      </c>
      <c r="K3461" t="s">
        <v>37205</v>
      </c>
      <c r="M3461" t="s">
        <v>38102</v>
      </c>
      <c r="N3461" t="s">
        <v>41249</v>
      </c>
      <c r="O3461" t="s">
        <v>41250</v>
      </c>
      <c r="P3461">
        <v>0</v>
      </c>
      <c r="Q3461">
        <v>1</v>
      </c>
      <c r="R3461" t="s">
        <v>41252</v>
      </c>
      <c r="S3461" t="s">
        <v>41383</v>
      </c>
      <c r="T3461" t="s">
        <v>42686</v>
      </c>
      <c r="U3461" t="s">
        <v>46039</v>
      </c>
      <c r="W3461" t="s">
        <v>38102</v>
      </c>
      <c r="X3461" t="s">
        <v>41254</v>
      </c>
    </row>
    <row r="3462" spans="1:24">
      <c r="A3462">
        <f>HYPERLINK("https://www.philgeps.gov.ph/GEPSNONPILOT/Tender/SplashBidNoticeAbstractUI.aspx?menuIndex=3&amp;refID=7074597&amp;Result=3","7074597")</f>
        <v>0</v>
      </c>
      <c r="B3462" t="s">
        <v>1363</v>
      </c>
      <c r="C3462" t="s">
        <v>6707</v>
      </c>
      <c r="D3462" t="s">
        <v>16657</v>
      </c>
      <c r="E3462" t="s">
        <v>19840</v>
      </c>
      <c r="F3462" t="s">
        <v>28669</v>
      </c>
      <c r="G3462" t="s">
        <v>28675</v>
      </c>
      <c r="H3462" t="s">
        <v>28686</v>
      </c>
      <c r="I3462" t="s">
        <v>28689</v>
      </c>
      <c r="J3462" t="s">
        <v>29599</v>
      </c>
      <c r="K3462" t="s">
        <v>37209</v>
      </c>
      <c r="M3462" t="s">
        <v>38919</v>
      </c>
      <c r="N3462" t="s">
        <v>41249</v>
      </c>
      <c r="O3462" t="s">
        <v>41250</v>
      </c>
      <c r="P3462">
        <v>0</v>
      </c>
      <c r="Q3462">
        <v>1</v>
      </c>
      <c r="R3462" t="s">
        <v>41252</v>
      </c>
      <c r="S3462" t="s">
        <v>41383</v>
      </c>
      <c r="T3462" t="s">
        <v>42757</v>
      </c>
      <c r="U3462" t="s">
        <v>46098</v>
      </c>
      <c r="V3462" t="s">
        <v>54557</v>
      </c>
      <c r="W3462" t="s">
        <v>38919</v>
      </c>
      <c r="X3462" t="s">
        <v>41254</v>
      </c>
    </row>
    <row r="3463" spans="1:24">
      <c r="A3463">
        <f>HYPERLINK("https://www.philgeps.gov.ph/GEPSNONPILOT/Tender/SplashBidNoticeAbstractUI.aspx?menuIndex=3&amp;refID=7074557&amp;Result=3","7074557")</f>
        <v>0</v>
      </c>
      <c r="B3463" t="s">
        <v>1364</v>
      </c>
      <c r="C3463" t="s">
        <v>6708</v>
      </c>
      <c r="D3463" t="s">
        <v>16679</v>
      </c>
      <c r="E3463" t="s">
        <v>18103</v>
      </c>
      <c r="F3463" t="s">
        <v>28671</v>
      </c>
      <c r="G3463" t="s">
        <v>28677</v>
      </c>
      <c r="H3463" t="s">
        <v>9998</v>
      </c>
      <c r="I3463" t="s">
        <v>28763</v>
      </c>
      <c r="J3463" t="s">
        <v>30082</v>
      </c>
      <c r="K3463" t="s">
        <v>37204</v>
      </c>
      <c r="M3463" t="s">
        <v>38920</v>
      </c>
      <c r="N3463" t="s">
        <v>41249</v>
      </c>
      <c r="O3463" t="s">
        <v>41250</v>
      </c>
      <c r="P3463">
        <v>0</v>
      </c>
      <c r="Q3463">
        <v>0</v>
      </c>
      <c r="R3463" t="s">
        <v>41252</v>
      </c>
      <c r="S3463" t="s">
        <v>41383</v>
      </c>
      <c r="T3463" t="s">
        <v>42787</v>
      </c>
      <c r="U3463" t="s">
        <v>46099</v>
      </c>
      <c r="W3463" t="s">
        <v>38920</v>
      </c>
      <c r="X3463" t="s">
        <v>41254</v>
      </c>
    </row>
    <row r="3464" spans="1:24">
      <c r="A3464">
        <f>HYPERLINK("https://www.philgeps.gov.ph/GEPSNONPILOT/Tender/SplashBidNoticeAbstractUI.aspx?menuIndex=3&amp;refID=7074591&amp;Result=3","7074591")</f>
        <v>0</v>
      </c>
      <c r="B3464" t="s">
        <v>1340</v>
      </c>
      <c r="C3464" t="s">
        <v>6709</v>
      </c>
      <c r="D3464" t="s">
        <v>16621</v>
      </c>
      <c r="E3464" t="s">
        <v>19841</v>
      </c>
      <c r="F3464" t="s">
        <v>28669</v>
      </c>
      <c r="G3464" t="s">
        <v>28676</v>
      </c>
      <c r="H3464" t="s">
        <v>9998</v>
      </c>
      <c r="I3464" t="s">
        <v>3679</v>
      </c>
      <c r="J3464" t="s">
        <v>30406</v>
      </c>
      <c r="K3464" t="s">
        <v>37227</v>
      </c>
      <c r="M3464" t="s">
        <v>38895</v>
      </c>
      <c r="N3464" t="s">
        <v>41249</v>
      </c>
      <c r="O3464" t="s">
        <v>41250</v>
      </c>
      <c r="P3464">
        <v>0</v>
      </c>
      <c r="Q3464">
        <v>0</v>
      </c>
      <c r="R3464" t="s">
        <v>41252</v>
      </c>
      <c r="S3464" t="s">
        <v>41383</v>
      </c>
      <c r="T3464" t="s">
        <v>42679</v>
      </c>
      <c r="U3464" t="s">
        <v>46100</v>
      </c>
      <c r="W3464" t="s">
        <v>38895</v>
      </c>
      <c r="X3464" t="s">
        <v>41254</v>
      </c>
    </row>
    <row r="3465" spans="1:24">
      <c r="A3465">
        <f>HYPERLINK("https://www.philgeps.gov.ph/GEPSNONPILOT/Tender/SplashBidNoticeAbstractUI.aspx?menuIndex=3&amp;refID=7074589&amp;Result=3","7074589")</f>
        <v>0</v>
      </c>
      <c r="B3465" t="s">
        <v>1124</v>
      </c>
      <c r="C3465" t="s">
        <v>6710</v>
      </c>
      <c r="E3465" t="s">
        <v>19842</v>
      </c>
      <c r="F3465" t="s">
        <v>28669</v>
      </c>
      <c r="G3465" t="s">
        <v>28676</v>
      </c>
      <c r="H3465" t="s">
        <v>9998</v>
      </c>
      <c r="I3465" t="s">
        <v>28728</v>
      </c>
      <c r="J3465" t="s">
        <v>29790</v>
      </c>
      <c r="K3465" t="s">
        <v>37209</v>
      </c>
      <c r="M3465" t="s">
        <v>38883</v>
      </c>
      <c r="N3465" t="s">
        <v>41249</v>
      </c>
      <c r="O3465" t="s">
        <v>41250</v>
      </c>
      <c r="P3465">
        <v>0</v>
      </c>
      <c r="Q3465">
        <v>0</v>
      </c>
      <c r="R3465" t="s">
        <v>41252</v>
      </c>
      <c r="S3465" t="s">
        <v>41383</v>
      </c>
      <c r="T3465" t="s">
        <v>42729</v>
      </c>
      <c r="U3465" t="s">
        <v>46101</v>
      </c>
      <c r="W3465" t="s">
        <v>38883</v>
      </c>
      <c r="X3465" t="s">
        <v>41254</v>
      </c>
    </row>
    <row r="3466" spans="1:24">
      <c r="A3466">
        <f>HYPERLINK("https://www.philgeps.gov.ph/GEPSNONPILOT/Tender/SplashBidNoticeAbstractUI.aspx?menuIndex=3&amp;refID=7074552&amp;Result=3","7074552")</f>
        <v>0</v>
      </c>
      <c r="B3466" t="s">
        <v>1090</v>
      </c>
      <c r="C3466" t="s">
        <v>6711</v>
      </c>
      <c r="E3466" t="s">
        <v>19843</v>
      </c>
      <c r="F3466" t="s">
        <v>28669</v>
      </c>
      <c r="G3466" t="s">
        <v>28676</v>
      </c>
      <c r="H3466" t="s">
        <v>9998</v>
      </c>
      <c r="I3466" t="s">
        <v>3718</v>
      </c>
      <c r="J3466" t="s">
        <v>31092</v>
      </c>
      <c r="K3466" t="s">
        <v>37209</v>
      </c>
      <c r="M3466" t="s">
        <v>38622</v>
      </c>
      <c r="N3466" t="s">
        <v>41249</v>
      </c>
      <c r="O3466" t="s">
        <v>41250</v>
      </c>
      <c r="P3466">
        <v>0</v>
      </c>
      <c r="Q3466">
        <v>0</v>
      </c>
      <c r="R3466" t="s">
        <v>41252</v>
      </c>
      <c r="S3466" t="s">
        <v>41383</v>
      </c>
      <c r="T3466" t="s">
        <v>42670</v>
      </c>
      <c r="U3466" t="s">
        <v>46102</v>
      </c>
      <c r="W3466" t="s">
        <v>38622</v>
      </c>
      <c r="X3466" t="s">
        <v>41254</v>
      </c>
    </row>
    <row r="3467" spans="1:24">
      <c r="A3467">
        <f>HYPERLINK("https://www.philgeps.gov.ph/GEPSNONPILOT/Tender/SplashBidNoticeAbstractUI.aspx?menuIndex=3&amp;refID=7074568&amp;Result=3","7074568")</f>
        <v>0</v>
      </c>
      <c r="B3467" t="s">
        <v>762</v>
      </c>
      <c r="C3467" t="s">
        <v>6712</v>
      </c>
      <c r="E3467" t="s">
        <v>19844</v>
      </c>
      <c r="F3467" t="s">
        <v>28669</v>
      </c>
      <c r="G3467" t="s">
        <v>28676</v>
      </c>
      <c r="H3467" t="s">
        <v>9998</v>
      </c>
      <c r="I3467" t="s">
        <v>28711</v>
      </c>
      <c r="J3467" t="s">
        <v>31093</v>
      </c>
      <c r="K3467" t="s">
        <v>37209</v>
      </c>
      <c r="M3467" t="s">
        <v>38921</v>
      </c>
      <c r="N3467" t="s">
        <v>41249</v>
      </c>
      <c r="O3467" t="s">
        <v>41250</v>
      </c>
      <c r="P3467">
        <v>0</v>
      </c>
      <c r="Q3467">
        <v>9</v>
      </c>
      <c r="R3467" t="s">
        <v>41252</v>
      </c>
      <c r="S3467" t="s">
        <v>41383</v>
      </c>
      <c r="T3467" t="s">
        <v>42827</v>
      </c>
      <c r="U3467" t="s">
        <v>46103</v>
      </c>
      <c r="W3467" t="s">
        <v>38921</v>
      </c>
      <c r="X3467" t="s">
        <v>41254</v>
      </c>
    </row>
    <row r="3468" spans="1:24">
      <c r="A3468">
        <f>HYPERLINK("https://www.philgeps.gov.ph/GEPSNONPILOT/Tender/SplashBidNoticeAbstractUI.aspx?menuIndex=3&amp;refID=7074587&amp;Result=3","7074587")</f>
        <v>0</v>
      </c>
      <c r="B3468" t="s">
        <v>618</v>
      </c>
      <c r="C3468" t="s">
        <v>6713</v>
      </c>
      <c r="D3468" t="s">
        <v>16654</v>
      </c>
      <c r="E3468" t="s">
        <v>19845</v>
      </c>
      <c r="F3468" t="s">
        <v>28669</v>
      </c>
      <c r="G3468" t="s">
        <v>28675</v>
      </c>
      <c r="H3468" t="s">
        <v>28686</v>
      </c>
      <c r="I3468" t="s">
        <v>28689</v>
      </c>
      <c r="J3468" t="s">
        <v>29003</v>
      </c>
      <c r="K3468" t="s">
        <v>37210</v>
      </c>
      <c r="M3468" t="s">
        <v>38118</v>
      </c>
      <c r="N3468" t="s">
        <v>41249</v>
      </c>
      <c r="O3468" t="s">
        <v>41250</v>
      </c>
      <c r="P3468">
        <v>0</v>
      </c>
      <c r="Q3468">
        <v>0</v>
      </c>
      <c r="R3468" t="s">
        <v>41252</v>
      </c>
      <c r="S3468" t="s">
        <v>41383</v>
      </c>
      <c r="T3468" t="s">
        <v>42757</v>
      </c>
      <c r="U3468" t="s">
        <v>46104</v>
      </c>
      <c r="W3468" t="s">
        <v>38118</v>
      </c>
      <c r="X3468" t="s">
        <v>41254</v>
      </c>
    </row>
    <row r="3469" spans="1:24">
      <c r="A3469">
        <f>HYPERLINK("https://www.philgeps.gov.ph/GEPSNONPILOT/Tender/SplashBidNoticeAbstractUI.aspx?menuIndex=3&amp;refID=7074590&amp;Result=3","7074590")</f>
        <v>0</v>
      </c>
      <c r="B3469" t="s">
        <v>1346</v>
      </c>
      <c r="C3469" t="s">
        <v>6714</v>
      </c>
      <c r="D3469" t="s">
        <v>16631</v>
      </c>
      <c r="E3469" t="s">
        <v>19846</v>
      </c>
      <c r="F3469" t="s">
        <v>28669</v>
      </c>
      <c r="G3469" t="s">
        <v>28675</v>
      </c>
      <c r="H3469" t="s">
        <v>9998</v>
      </c>
      <c r="I3469" t="s">
        <v>8667</v>
      </c>
      <c r="J3469" t="s">
        <v>31094</v>
      </c>
      <c r="K3469" t="s">
        <v>37204</v>
      </c>
      <c r="M3469" t="s">
        <v>38902</v>
      </c>
      <c r="N3469" t="s">
        <v>41249</v>
      </c>
      <c r="O3469" t="s">
        <v>41250</v>
      </c>
      <c r="P3469">
        <v>0</v>
      </c>
      <c r="Q3469">
        <v>0</v>
      </c>
      <c r="R3469" t="s">
        <v>41252</v>
      </c>
      <c r="S3469" t="s">
        <v>41383</v>
      </c>
      <c r="T3469" t="s">
        <v>42881</v>
      </c>
      <c r="U3469" t="s">
        <v>46105</v>
      </c>
      <c r="W3469" t="s">
        <v>38902</v>
      </c>
      <c r="X3469" t="s">
        <v>41254</v>
      </c>
    </row>
    <row r="3470" spans="1:24">
      <c r="A3470">
        <f>HYPERLINK("https://www.philgeps.gov.ph/GEPSNONPILOT/Tender/SplashBidNoticeAbstractUI.aspx?menuIndex=3&amp;refID=7074586&amp;Result=3","7074586")</f>
        <v>0</v>
      </c>
      <c r="B3470" t="s">
        <v>1321</v>
      </c>
      <c r="C3470" t="s">
        <v>6715</v>
      </c>
      <c r="D3470" t="s">
        <v>16617</v>
      </c>
      <c r="E3470" t="s">
        <v>19847</v>
      </c>
      <c r="F3470" t="s">
        <v>28669</v>
      </c>
      <c r="G3470" t="s">
        <v>28675</v>
      </c>
      <c r="H3470" t="s">
        <v>9998</v>
      </c>
      <c r="I3470" t="s">
        <v>5286</v>
      </c>
      <c r="J3470" t="s">
        <v>31095</v>
      </c>
      <c r="K3470" t="s">
        <v>37209</v>
      </c>
      <c r="M3470" t="s">
        <v>38873</v>
      </c>
      <c r="N3470" t="s">
        <v>41249</v>
      </c>
      <c r="O3470" t="s">
        <v>41250</v>
      </c>
      <c r="P3470">
        <v>0</v>
      </c>
      <c r="Q3470">
        <v>1</v>
      </c>
      <c r="R3470" t="s">
        <v>41252</v>
      </c>
      <c r="S3470" t="s">
        <v>41383</v>
      </c>
      <c r="T3470" t="s">
        <v>42697</v>
      </c>
      <c r="U3470" t="s">
        <v>46106</v>
      </c>
      <c r="W3470" t="s">
        <v>38873</v>
      </c>
      <c r="X3470" t="s">
        <v>41254</v>
      </c>
    </row>
    <row r="3471" spans="1:24">
      <c r="A3471">
        <f>HYPERLINK("https://www.philgeps.gov.ph/GEPSNONPILOT/Tender/SplashBidNoticeAbstractUI.aspx?menuIndex=3&amp;refID=7074583&amp;Result=3","7074583")</f>
        <v>0</v>
      </c>
      <c r="B3471" t="s">
        <v>1355</v>
      </c>
      <c r="C3471" t="s">
        <v>6716</v>
      </c>
      <c r="D3471" t="s">
        <v>16666</v>
      </c>
      <c r="E3471" t="s">
        <v>17768</v>
      </c>
      <c r="F3471" t="s">
        <v>28669</v>
      </c>
      <c r="G3471" t="s">
        <v>28676</v>
      </c>
      <c r="H3471" t="s">
        <v>9998</v>
      </c>
      <c r="I3471" t="s">
        <v>28716</v>
      </c>
      <c r="J3471" t="s">
        <v>29790</v>
      </c>
      <c r="K3471" t="s">
        <v>37240</v>
      </c>
      <c r="M3471" t="s">
        <v>38911</v>
      </c>
      <c r="N3471" t="s">
        <v>41249</v>
      </c>
      <c r="O3471" t="s">
        <v>41250</v>
      </c>
      <c r="P3471">
        <v>0</v>
      </c>
      <c r="Q3471">
        <v>0</v>
      </c>
      <c r="R3471" t="s">
        <v>41252</v>
      </c>
      <c r="S3471" t="s">
        <v>41383</v>
      </c>
      <c r="T3471" t="s">
        <v>42694</v>
      </c>
      <c r="U3471" t="s">
        <v>46107</v>
      </c>
      <c r="W3471" t="s">
        <v>38911</v>
      </c>
      <c r="X3471" t="s">
        <v>41254</v>
      </c>
    </row>
    <row r="3472" spans="1:24">
      <c r="A3472">
        <f>HYPERLINK("https://www.philgeps.gov.ph/GEPSNONPILOT/Tender/SplashBidNoticeAbstractUI.aspx?menuIndex=3&amp;refID=7074582&amp;Result=3","7074582")</f>
        <v>0</v>
      </c>
      <c r="B3472" t="s">
        <v>1365</v>
      </c>
      <c r="C3472" t="s">
        <v>6717</v>
      </c>
      <c r="D3472" t="s">
        <v>16611</v>
      </c>
      <c r="E3472" t="s">
        <v>19848</v>
      </c>
      <c r="F3472" t="s">
        <v>28669</v>
      </c>
      <c r="G3472" t="s">
        <v>28675</v>
      </c>
      <c r="H3472" t="s">
        <v>28686</v>
      </c>
      <c r="I3472" t="s">
        <v>28689</v>
      </c>
      <c r="J3472" t="s">
        <v>31096</v>
      </c>
      <c r="K3472" t="s">
        <v>37213</v>
      </c>
      <c r="M3472" t="s">
        <v>38922</v>
      </c>
      <c r="N3472" t="s">
        <v>41249</v>
      </c>
      <c r="O3472" t="s">
        <v>41250</v>
      </c>
      <c r="P3472">
        <v>0</v>
      </c>
      <c r="Q3472">
        <v>0</v>
      </c>
      <c r="R3472" t="s">
        <v>41252</v>
      </c>
      <c r="S3472" t="s">
        <v>41383</v>
      </c>
      <c r="T3472" t="s">
        <v>42855</v>
      </c>
      <c r="U3472" t="s">
        <v>46108</v>
      </c>
      <c r="W3472" t="s">
        <v>38922</v>
      </c>
      <c r="X3472" t="s">
        <v>41254</v>
      </c>
    </row>
    <row r="3473" spans="1:24">
      <c r="A3473">
        <f>HYPERLINK("https://www.philgeps.gov.ph/GEPSNONPILOT/Tender/SplashBidNoticeAbstractUI.aspx?menuIndex=3&amp;refID=7074581&amp;Result=3","7074581")</f>
        <v>0</v>
      </c>
      <c r="B3473" t="s">
        <v>1341</v>
      </c>
      <c r="C3473" t="s">
        <v>6718</v>
      </c>
      <c r="D3473" t="s">
        <v>16677</v>
      </c>
      <c r="E3473" t="s">
        <v>18548</v>
      </c>
      <c r="F3473" t="s">
        <v>28669</v>
      </c>
      <c r="G3473" t="s">
        <v>28675</v>
      </c>
      <c r="H3473" t="s">
        <v>9998</v>
      </c>
      <c r="I3473" t="s">
        <v>5213</v>
      </c>
      <c r="J3473" t="s">
        <v>28878</v>
      </c>
      <c r="K3473" t="s">
        <v>37210</v>
      </c>
      <c r="M3473" t="s">
        <v>38896</v>
      </c>
      <c r="N3473" t="s">
        <v>41249</v>
      </c>
      <c r="O3473" t="s">
        <v>41250</v>
      </c>
      <c r="P3473">
        <v>0</v>
      </c>
      <c r="Q3473">
        <v>10</v>
      </c>
      <c r="R3473" t="s">
        <v>41252</v>
      </c>
      <c r="S3473" t="s">
        <v>41383</v>
      </c>
      <c r="T3473" t="s">
        <v>42742</v>
      </c>
      <c r="U3473" t="s">
        <v>46109</v>
      </c>
      <c r="W3473" t="s">
        <v>38896</v>
      </c>
      <c r="X3473" t="s">
        <v>41254</v>
      </c>
    </row>
    <row r="3474" spans="1:24">
      <c r="A3474">
        <f>HYPERLINK("https://www.philgeps.gov.ph/GEPSNONPILOT/Tender/SplashBidNoticeAbstractUI.aspx?menuIndex=3&amp;refID=7074579&amp;Result=3","7074579")</f>
        <v>0</v>
      </c>
      <c r="B3474" t="s">
        <v>1354</v>
      </c>
      <c r="C3474" t="s">
        <v>6719</v>
      </c>
      <c r="D3474" t="s">
        <v>16607</v>
      </c>
      <c r="E3474" t="s">
        <v>19849</v>
      </c>
      <c r="F3474" t="s">
        <v>28669</v>
      </c>
      <c r="G3474" t="s">
        <v>28677</v>
      </c>
      <c r="H3474" t="s">
        <v>9998</v>
      </c>
      <c r="I3474" t="s">
        <v>28708</v>
      </c>
      <c r="J3474" t="s">
        <v>31097</v>
      </c>
      <c r="K3474" t="s">
        <v>37206</v>
      </c>
      <c r="M3474" t="s">
        <v>38910</v>
      </c>
      <c r="N3474" t="s">
        <v>41249</v>
      </c>
      <c r="O3474" t="s">
        <v>41250</v>
      </c>
      <c r="P3474">
        <v>0</v>
      </c>
      <c r="Q3474">
        <v>3</v>
      </c>
      <c r="R3474" t="s">
        <v>41252</v>
      </c>
      <c r="S3474" t="s">
        <v>41383</v>
      </c>
      <c r="T3474" t="s">
        <v>42673</v>
      </c>
      <c r="U3474" t="s">
        <v>46110</v>
      </c>
      <c r="W3474" t="s">
        <v>38910</v>
      </c>
      <c r="X3474" t="s">
        <v>41254</v>
      </c>
    </row>
    <row r="3475" spans="1:24">
      <c r="A3475">
        <f>HYPERLINK("https://www.philgeps.gov.ph/GEPSNONPILOT/Tender/SplashBidNoticeAbstractUI.aspx?menuIndex=3&amp;refID=7074588&amp;Result=3","7074588")</f>
        <v>0</v>
      </c>
      <c r="B3475" t="s">
        <v>1244</v>
      </c>
      <c r="C3475" t="s">
        <v>6720</v>
      </c>
      <c r="D3475" t="s">
        <v>16686</v>
      </c>
      <c r="E3475" t="s">
        <v>19850</v>
      </c>
      <c r="F3475" t="s">
        <v>28669</v>
      </c>
      <c r="G3475" t="s">
        <v>28676</v>
      </c>
      <c r="H3475" t="s">
        <v>9998</v>
      </c>
      <c r="I3475" t="s">
        <v>5213</v>
      </c>
      <c r="J3475" t="s">
        <v>31098</v>
      </c>
      <c r="K3475" t="s">
        <v>37205</v>
      </c>
      <c r="M3475" t="s">
        <v>38791</v>
      </c>
      <c r="N3475" t="s">
        <v>41249</v>
      </c>
      <c r="O3475" t="s">
        <v>41250</v>
      </c>
      <c r="P3475">
        <v>0</v>
      </c>
      <c r="Q3475">
        <v>0</v>
      </c>
      <c r="R3475" t="s">
        <v>41252</v>
      </c>
      <c r="S3475" t="s">
        <v>41383</v>
      </c>
      <c r="T3475" t="s">
        <v>42711</v>
      </c>
      <c r="U3475" t="s">
        <v>46111</v>
      </c>
      <c r="W3475" t="s">
        <v>38791</v>
      </c>
      <c r="X3475" t="s">
        <v>41254</v>
      </c>
    </row>
    <row r="3476" spans="1:24">
      <c r="A3476">
        <f>HYPERLINK("https://www.philgeps.gov.ph/GEPSNONPILOT/Tender/SplashBidNoticeAbstractUI.aspx?menuIndex=3&amp;refID=7074578&amp;Result=3","7074578")</f>
        <v>0</v>
      </c>
      <c r="B3476" t="s">
        <v>140</v>
      </c>
      <c r="C3476" t="s">
        <v>6721</v>
      </c>
      <c r="D3476" t="s">
        <v>16652</v>
      </c>
      <c r="E3476" t="s">
        <v>19851</v>
      </c>
      <c r="F3476" t="s">
        <v>28669</v>
      </c>
      <c r="G3476" t="s">
        <v>28675</v>
      </c>
      <c r="H3476" t="s">
        <v>28686</v>
      </c>
      <c r="I3476" t="s">
        <v>28689</v>
      </c>
      <c r="J3476" t="s">
        <v>29003</v>
      </c>
      <c r="K3476" t="s">
        <v>37221</v>
      </c>
      <c r="M3476" t="s">
        <v>37617</v>
      </c>
      <c r="N3476" t="s">
        <v>41249</v>
      </c>
      <c r="O3476" t="s">
        <v>41250</v>
      </c>
      <c r="P3476">
        <v>0</v>
      </c>
      <c r="Q3476">
        <v>0</v>
      </c>
      <c r="R3476" t="s">
        <v>41252</v>
      </c>
      <c r="S3476" t="s">
        <v>41383</v>
      </c>
      <c r="T3476" t="s">
        <v>42932</v>
      </c>
      <c r="U3476" t="s">
        <v>46007</v>
      </c>
      <c r="W3476" t="s">
        <v>37617</v>
      </c>
      <c r="X3476" t="s">
        <v>41254</v>
      </c>
    </row>
    <row r="3477" spans="1:24">
      <c r="A3477">
        <f>HYPERLINK("https://www.philgeps.gov.ph/GEPSNONPILOT/Tender/SplashBidNoticeAbstractUI.aspx?menuIndex=3&amp;refID=7074575&amp;Result=3","7074575")</f>
        <v>0</v>
      </c>
      <c r="B3477" t="s">
        <v>1366</v>
      </c>
      <c r="C3477" t="s">
        <v>6722</v>
      </c>
      <c r="D3477" t="s">
        <v>16644</v>
      </c>
      <c r="E3477" t="s">
        <v>19852</v>
      </c>
      <c r="F3477" t="s">
        <v>28669</v>
      </c>
      <c r="G3477" t="s">
        <v>28676</v>
      </c>
      <c r="H3477" t="s">
        <v>9998</v>
      </c>
      <c r="I3477" t="s">
        <v>28699</v>
      </c>
      <c r="J3477" t="s">
        <v>31099</v>
      </c>
      <c r="K3477" t="s">
        <v>37209</v>
      </c>
      <c r="M3477" t="s">
        <v>38923</v>
      </c>
      <c r="N3477" t="s">
        <v>41249</v>
      </c>
      <c r="O3477" t="s">
        <v>41250</v>
      </c>
      <c r="P3477">
        <v>0</v>
      </c>
      <c r="Q3477">
        <v>1</v>
      </c>
      <c r="R3477" t="s">
        <v>41252</v>
      </c>
      <c r="S3477" t="s">
        <v>41383</v>
      </c>
      <c r="T3477" t="s">
        <v>42701</v>
      </c>
      <c r="U3477" t="s">
        <v>46112</v>
      </c>
      <c r="W3477" t="s">
        <v>38923</v>
      </c>
      <c r="X3477" t="s">
        <v>41254</v>
      </c>
    </row>
    <row r="3478" spans="1:24">
      <c r="A3478">
        <f>HYPERLINK("https://www.philgeps.gov.ph/GEPSNONPILOT/Tender/SplashBidNoticeAbstractUI.aspx?menuIndex=3&amp;refID=7074574&amp;Result=3","7074574")</f>
        <v>0</v>
      </c>
      <c r="B3478" t="s">
        <v>1192</v>
      </c>
      <c r="C3478" t="s">
        <v>6723</v>
      </c>
      <c r="D3478" t="s">
        <v>16619</v>
      </c>
      <c r="E3478" t="s">
        <v>19853</v>
      </c>
      <c r="F3478" t="s">
        <v>28669</v>
      </c>
      <c r="G3478" t="s">
        <v>28676</v>
      </c>
      <c r="H3478" t="s">
        <v>9998</v>
      </c>
      <c r="I3478" t="s">
        <v>28709</v>
      </c>
      <c r="J3478" t="s">
        <v>31100</v>
      </c>
      <c r="K3478" t="s">
        <v>37208</v>
      </c>
      <c r="M3478" t="s">
        <v>38732</v>
      </c>
      <c r="N3478" t="s">
        <v>41249</v>
      </c>
      <c r="O3478" t="s">
        <v>41250</v>
      </c>
      <c r="P3478">
        <v>0</v>
      </c>
      <c r="Q3478">
        <v>0</v>
      </c>
      <c r="R3478" t="s">
        <v>41252</v>
      </c>
      <c r="S3478" t="s">
        <v>41383</v>
      </c>
      <c r="T3478" t="s">
        <v>42758</v>
      </c>
      <c r="U3478" t="s">
        <v>46113</v>
      </c>
      <c r="W3478" t="s">
        <v>38732</v>
      </c>
      <c r="X3478" t="s">
        <v>41254</v>
      </c>
    </row>
    <row r="3479" spans="1:24">
      <c r="A3479">
        <f>HYPERLINK("https://www.philgeps.gov.ph/GEPSNONPILOT/Tender/SplashBidNoticeAbstractUI.aspx?menuIndex=3&amp;refID=7074596&amp;Result=3","7074596")</f>
        <v>0</v>
      </c>
      <c r="B3479" t="s">
        <v>1124</v>
      </c>
      <c r="C3479" t="s">
        <v>6724</v>
      </c>
      <c r="E3479" t="s">
        <v>19854</v>
      </c>
      <c r="F3479" t="s">
        <v>28669</v>
      </c>
      <c r="G3479" t="s">
        <v>28676</v>
      </c>
      <c r="H3479" t="s">
        <v>9998</v>
      </c>
      <c r="I3479" t="s">
        <v>28728</v>
      </c>
      <c r="J3479" t="s">
        <v>29790</v>
      </c>
      <c r="K3479" t="s">
        <v>37209</v>
      </c>
      <c r="M3479" t="s">
        <v>38883</v>
      </c>
      <c r="N3479" t="s">
        <v>41249</v>
      </c>
      <c r="O3479" t="s">
        <v>41250</v>
      </c>
      <c r="P3479">
        <v>0</v>
      </c>
      <c r="Q3479">
        <v>0</v>
      </c>
      <c r="R3479" t="s">
        <v>41252</v>
      </c>
      <c r="S3479" t="s">
        <v>41383</v>
      </c>
      <c r="T3479" t="s">
        <v>42729</v>
      </c>
      <c r="U3479" t="s">
        <v>46114</v>
      </c>
      <c r="W3479" t="s">
        <v>38883</v>
      </c>
      <c r="X3479" t="s">
        <v>41254</v>
      </c>
    </row>
    <row r="3480" spans="1:24">
      <c r="A3480">
        <f>HYPERLINK("https://www.philgeps.gov.ph/GEPSNONPILOT/Tender/SplashBidNoticeAbstractUI.aspx?menuIndex=3&amp;refID=7074572&amp;Result=3","7074572")</f>
        <v>0</v>
      </c>
      <c r="B3480" t="s">
        <v>1327</v>
      </c>
      <c r="C3480" t="s">
        <v>6725</v>
      </c>
      <c r="D3480" t="s">
        <v>16627</v>
      </c>
      <c r="E3480" t="s">
        <v>19855</v>
      </c>
      <c r="F3480" t="s">
        <v>28669</v>
      </c>
      <c r="G3480" t="s">
        <v>28676</v>
      </c>
      <c r="H3480" t="s">
        <v>9998</v>
      </c>
      <c r="I3480" t="s">
        <v>28728</v>
      </c>
      <c r="J3480" t="s">
        <v>28879</v>
      </c>
      <c r="K3480" t="s">
        <v>37210</v>
      </c>
      <c r="M3480" t="s">
        <v>38880</v>
      </c>
      <c r="N3480" t="s">
        <v>41249</v>
      </c>
      <c r="O3480" t="s">
        <v>41250</v>
      </c>
      <c r="P3480">
        <v>0</v>
      </c>
      <c r="Q3480">
        <v>3</v>
      </c>
      <c r="R3480" t="s">
        <v>41252</v>
      </c>
      <c r="S3480" t="s">
        <v>41383</v>
      </c>
      <c r="T3480" t="s">
        <v>42687</v>
      </c>
      <c r="U3480" t="s">
        <v>46001</v>
      </c>
      <c r="W3480" t="s">
        <v>38880</v>
      </c>
      <c r="X3480" t="s">
        <v>41254</v>
      </c>
    </row>
    <row r="3481" spans="1:24">
      <c r="A3481">
        <f>HYPERLINK("https://www.philgeps.gov.ph/GEPSNONPILOT/Tender/SplashBidNoticeAbstractUI.aspx?menuIndex=3&amp;refID=7074584&amp;Result=3","7074584")</f>
        <v>0</v>
      </c>
      <c r="B3481" t="s">
        <v>1278</v>
      </c>
      <c r="C3481" t="s">
        <v>6726</v>
      </c>
      <c r="D3481" t="s">
        <v>16623</v>
      </c>
      <c r="E3481" t="s">
        <v>19856</v>
      </c>
      <c r="F3481" t="s">
        <v>28669</v>
      </c>
      <c r="G3481" t="s">
        <v>28676</v>
      </c>
      <c r="H3481" t="s">
        <v>9998</v>
      </c>
      <c r="I3481" t="s">
        <v>6606</v>
      </c>
      <c r="J3481" t="s">
        <v>31101</v>
      </c>
      <c r="K3481" t="s">
        <v>37256</v>
      </c>
      <c r="M3481" t="s">
        <v>38828</v>
      </c>
      <c r="N3481" t="s">
        <v>41249</v>
      </c>
      <c r="O3481" t="s">
        <v>41250</v>
      </c>
      <c r="P3481">
        <v>0</v>
      </c>
      <c r="Q3481">
        <v>0</v>
      </c>
      <c r="R3481" t="s">
        <v>41252</v>
      </c>
      <c r="S3481" t="s">
        <v>41383</v>
      </c>
      <c r="T3481" t="s">
        <v>42757</v>
      </c>
      <c r="U3481" t="s">
        <v>45858</v>
      </c>
      <c r="W3481" t="s">
        <v>38828</v>
      </c>
      <c r="X3481" t="s">
        <v>41254</v>
      </c>
    </row>
    <row r="3482" spans="1:24">
      <c r="A3482">
        <f>HYPERLINK("https://www.philgeps.gov.ph/GEPSNONPILOT/Tender/SplashBidNoticeAbstractUI.aspx?menuIndex=3&amp;refID=7074550&amp;Result=3","7074550")</f>
        <v>0</v>
      </c>
      <c r="B3482" t="s">
        <v>1124</v>
      </c>
      <c r="C3482" t="s">
        <v>6727</v>
      </c>
      <c r="E3482" t="s">
        <v>19857</v>
      </c>
      <c r="F3482" t="s">
        <v>28669</v>
      </c>
      <c r="G3482" t="s">
        <v>28676</v>
      </c>
      <c r="H3482" t="s">
        <v>9998</v>
      </c>
      <c r="I3482" t="s">
        <v>6128</v>
      </c>
      <c r="J3482" t="s">
        <v>31102</v>
      </c>
      <c r="K3482" t="s">
        <v>37209</v>
      </c>
      <c r="M3482" t="s">
        <v>38658</v>
      </c>
      <c r="N3482" t="s">
        <v>41249</v>
      </c>
      <c r="O3482" t="s">
        <v>41250</v>
      </c>
      <c r="P3482">
        <v>0</v>
      </c>
      <c r="Q3482">
        <v>0</v>
      </c>
      <c r="R3482" t="s">
        <v>41252</v>
      </c>
      <c r="S3482" t="s">
        <v>41383</v>
      </c>
      <c r="T3482" t="s">
        <v>42681</v>
      </c>
      <c r="U3482" t="s">
        <v>45501</v>
      </c>
      <c r="W3482" t="s">
        <v>38658</v>
      </c>
      <c r="X3482" t="s">
        <v>41254</v>
      </c>
    </row>
    <row r="3483" spans="1:24">
      <c r="A3483">
        <f>HYPERLINK("https://www.philgeps.gov.ph/GEPSNONPILOT/Tender/SplashBidNoticeAbstractUI.aspx?menuIndex=3&amp;refID=7074625&amp;Result=3","7074625")</f>
        <v>0</v>
      </c>
      <c r="B3483" t="s">
        <v>1355</v>
      </c>
      <c r="C3483" t="s">
        <v>6728</v>
      </c>
      <c r="D3483" t="s">
        <v>16666</v>
      </c>
      <c r="E3483" t="s">
        <v>17768</v>
      </c>
      <c r="F3483" t="s">
        <v>28669</v>
      </c>
      <c r="G3483" t="s">
        <v>28676</v>
      </c>
      <c r="H3483" t="s">
        <v>9998</v>
      </c>
      <c r="I3483" t="s">
        <v>28753</v>
      </c>
      <c r="J3483" t="s">
        <v>29523</v>
      </c>
      <c r="K3483" t="s">
        <v>37240</v>
      </c>
      <c r="M3483" t="s">
        <v>38911</v>
      </c>
      <c r="N3483" t="s">
        <v>41249</v>
      </c>
      <c r="O3483" t="s">
        <v>41250</v>
      </c>
      <c r="P3483">
        <v>0</v>
      </c>
      <c r="Q3483">
        <v>1</v>
      </c>
      <c r="R3483" t="s">
        <v>41252</v>
      </c>
      <c r="S3483" t="s">
        <v>41383</v>
      </c>
      <c r="T3483" t="s">
        <v>42694</v>
      </c>
      <c r="U3483" t="s">
        <v>46115</v>
      </c>
      <c r="W3483" t="s">
        <v>38911</v>
      </c>
      <c r="X3483" t="s">
        <v>41254</v>
      </c>
    </row>
    <row r="3484" spans="1:24">
      <c r="A3484">
        <f>HYPERLINK("https://www.philgeps.gov.ph/GEPSNONPILOT/Tender/SplashBidNoticeAbstractUI.aspx?menuIndex=3&amp;refID=7074573&amp;Result=3","7074573")</f>
        <v>0</v>
      </c>
      <c r="B3484" t="s">
        <v>729</v>
      </c>
      <c r="C3484" t="s">
        <v>6729</v>
      </c>
      <c r="D3484" t="s">
        <v>16608</v>
      </c>
      <c r="E3484" t="s">
        <v>19858</v>
      </c>
      <c r="F3484" t="s">
        <v>28669</v>
      </c>
      <c r="G3484" t="s">
        <v>28676</v>
      </c>
      <c r="H3484" t="s">
        <v>9998</v>
      </c>
      <c r="I3484" t="s">
        <v>28757</v>
      </c>
      <c r="J3484" t="s">
        <v>29281</v>
      </c>
      <c r="K3484" t="s">
        <v>37209</v>
      </c>
      <c r="M3484" t="s">
        <v>38237</v>
      </c>
      <c r="N3484" t="s">
        <v>41249</v>
      </c>
      <c r="O3484" t="s">
        <v>41250</v>
      </c>
      <c r="P3484">
        <v>0</v>
      </c>
      <c r="Q3484">
        <v>3</v>
      </c>
      <c r="R3484" t="s">
        <v>41252</v>
      </c>
      <c r="S3484" t="s">
        <v>41383</v>
      </c>
      <c r="T3484" t="s">
        <v>42743</v>
      </c>
      <c r="U3484" t="s">
        <v>46116</v>
      </c>
      <c r="V3484" t="s">
        <v>54651</v>
      </c>
      <c r="W3484" t="s">
        <v>38237</v>
      </c>
      <c r="X3484" t="s">
        <v>41254</v>
      </c>
    </row>
    <row r="3485" spans="1:24">
      <c r="A3485">
        <f>HYPERLINK("https://www.philgeps.gov.ph/GEPSNONPILOT/Tender/SplashBidNoticeAbstractUI.aspx?menuIndex=3&amp;refID=7074622&amp;Result=3","7074622")</f>
        <v>0</v>
      </c>
      <c r="B3485" t="s">
        <v>591</v>
      </c>
      <c r="C3485" t="s">
        <v>6730</v>
      </c>
      <c r="D3485" t="s">
        <v>16657</v>
      </c>
      <c r="E3485" t="s">
        <v>19859</v>
      </c>
      <c r="F3485" t="s">
        <v>28669</v>
      </c>
      <c r="G3485" t="s">
        <v>28676</v>
      </c>
      <c r="H3485" t="s">
        <v>9998</v>
      </c>
      <c r="I3485" t="s">
        <v>28690</v>
      </c>
      <c r="J3485" t="s">
        <v>30882</v>
      </c>
      <c r="K3485" t="s">
        <v>37204</v>
      </c>
      <c r="M3485" t="s">
        <v>38924</v>
      </c>
      <c r="N3485" t="s">
        <v>41249</v>
      </c>
      <c r="O3485" t="s">
        <v>41250</v>
      </c>
      <c r="P3485">
        <v>0</v>
      </c>
      <c r="Q3485">
        <v>0</v>
      </c>
      <c r="R3485" t="s">
        <v>41252</v>
      </c>
      <c r="S3485" t="s">
        <v>41383</v>
      </c>
      <c r="T3485" t="s">
        <v>42729</v>
      </c>
      <c r="U3485" t="s">
        <v>46117</v>
      </c>
      <c r="W3485" t="s">
        <v>38924</v>
      </c>
      <c r="X3485" t="s">
        <v>41254</v>
      </c>
    </row>
    <row r="3486" spans="1:24">
      <c r="A3486">
        <f>HYPERLINK("https://www.philgeps.gov.ph/GEPSNONPILOT/Tender/SplashBidNoticeAbstractUI.aspx?menuIndex=3&amp;refID=7074520&amp;Result=3","7074520")</f>
        <v>0</v>
      </c>
      <c r="B3486" t="s">
        <v>1084</v>
      </c>
      <c r="C3486" t="s">
        <v>6731</v>
      </c>
      <c r="D3486" t="s">
        <v>16667</v>
      </c>
      <c r="E3486" t="s">
        <v>19860</v>
      </c>
      <c r="F3486" t="s">
        <v>28669</v>
      </c>
      <c r="G3486" t="s">
        <v>28675</v>
      </c>
      <c r="H3486" t="s">
        <v>9998</v>
      </c>
      <c r="I3486" t="s">
        <v>28799</v>
      </c>
      <c r="J3486" t="s">
        <v>31103</v>
      </c>
      <c r="K3486" t="s">
        <v>37220</v>
      </c>
      <c r="M3486" t="s">
        <v>38616</v>
      </c>
      <c r="N3486" t="s">
        <v>41249</v>
      </c>
      <c r="O3486" t="s">
        <v>41250</v>
      </c>
      <c r="P3486">
        <v>0</v>
      </c>
      <c r="Q3486">
        <v>0</v>
      </c>
      <c r="R3486" t="s">
        <v>41252</v>
      </c>
      <c r="S3486" t="s">
        <v>41383</v>
      </c>
      <c r="T3486" t="s">
        <v>42808</v>
      </c>
      <c r="U3486" t="s">
        <v>46118</v>
      </c>
      <c r="W3486" t="s">
        <v>38616</v>
      </c>
      <c r="X3486" t="s">
        <v>41254</v>
      </c>
    </row>
    <row r="3487" spans="1:24">
      <c r="A3487">
        <f>HYPERLINK("https://www.philgeps.gov.ph/GEPSNONPILOT/Tender/SplashBidNoticeAbstractUI.aspx?menuIndex=3&amp;refID=7074620&amp;Result=3","7074620")</f>
        <v>0</v>
      </c>
      <c r="B3487" t="s">
        <v>602</v>
      </c>
      <c r="C3487" t="s">
        <v>6732</v>
      </c>
      <c r="D3487" t="s">
        <v>16661</v>
      </c>
      <c r="E3487" t="s">
        <v>19771</v>
      </c>
      <c r="F3487" t="s">
        <v>28669</v>
      </c>
      <c r="G3487" t="s">
        <v>28675</v>
      </c>
      <c r="H3487" t="s">
        <v>9998</v>
      </c>
      <c r="I3487" t="s">
        <v>7352</v>
      </c>
      <c r="J3487" t="s">
        <v>31104</v>
      </c>
      <c r="K3487" t="s">
        <v>37205</v>
      </c>
      <c r="M3487" t="s">
        <v>38102</v>
      </c>
      <c r="N3487" t="s">
        <v>41249</v>
      </c>
      <c r="O3487" t="s">
        <v>41250</v>
      </c>
      <c r="P3487">
        <v>0</v>
      </c>
      <c r="Q3487">
        <v>1</v>
      </c>
      <c r="R3487" t="s">
        <v>41252</v>
      </c>
      <c r="S3487" t="s">
        <v>41383</v>
      </c>
      <c r="T3487" t="s">
        <v>42686</v>
      </c>
      <c r="U3487" t="s">
        <v>46039</v>
      </c>
      <c r="W3487" t="s">
        <v>38102</v>
      </c>
      <c r="X3487" t="s">
        <v>41254</v>
      </c>
    </row>
    <row r="3488" spans="1:24">
      <c r="A3488">
        <f>HYPERLINK("https://www.philgeps.gov.ph/GEPSNONPILOT/Tender/SplashBidNoticeAbstractUI.aspx?menuIndex=3&amp;refID=7074619&amp;Result=3","7074619")</f>
        <v>0</v>
      </c>
      <c r="B3488" t="s">
        <v>1367</v>
      </c>
      <c r="C3488" t="s">
        <v>6733</v>
      </c>
      <c r="D3488" t="s">
        <v>16679</v>
      </c>
      <c r="E3488" t="s">
        <v>19861</v>
      </c>
      <c r="F3488" t="s">
        <v>28670</v>
      </c>
      <c r="G3488" t="s">
        <v>28677</v>
      </c>
      <c r="H3488" t="s">
        <v>9998</v>
      </c>
      <c r="I3488" t="s">
        <v>28688</v>
      </c>
      <c r="J3488" t="s">
        <v>31105</v>
      </c>
      <c r="K3488" t="s">
        <v>37209</v>
      </c>
      <c r="M3488" t="s">
        <v>38925</v>
      </c>
      <c r="N3488" t="s">
        <v>41249</v>
      </c>
      <c r="O3488" t="s">
        <v>41250</v>
      </c>
      <c r="P3488">
        <v>0</v>
      </c>
      <c r="Q3488">
        <v>2</v>
      </c>
      <c r="R3488" t="s">
        <v>41252</v>
      </c>
      <c r="S3488" t="s">
        <v>41383</v>
      </c>
      <c r="T3488" t="s">
        <v>42757</v>
      </c>
      <c r="U3488" t="s">
        <v>46119</v>
      </c>
      <c r="W3488" t="s">
        <v>38925</v>
      </c>
      <c r="X3488" t="s">
        <v>41254</v>
      </c>
    </row>
    <row r="3489" spans="1:24">
      <c r="A3489">
        <f>HYPERLINK("https://www.philgeps.gov.ph/GEPSNONPILOT/Tender/SplashBidNoticeAbstractUI.aspx?menuIndex=3&amp;refID=7074616&amp;Result=3","7074616")</f>
        <v>0</v>
      </c>
      <c r="B3489" t="s">
        <v>191</v>
      </c>
      <c r="C3489" t="s">
        <v>6734</v>
      </c>
      <c r="D3489" t="s">
        <v>16614</v>
      </c>
      <c r="E3489" t="s">
        <v>19862</v>
      </c>
      <c r="F3489" t="s">
        <v>28669</v>
      </c>
      <c r="G3489" t="s">
        <v>28675</v>
      </c>
      <c r="H3489" t="s">
        <v>9998</v>
      </c>
      <c r="I3489" t="s">
        <v>28695</v>
      </c>
      <c r="J3489" t="s">
        <v>28845</v>
      </c>
      <c r="K3489" t="s">
        <v>37220</v>
      </c>
      <c r="M3489" t="s">
        <v>37669</v>
      </c>
      <c r="N3489" t="s">
        <v>41249</v>
      </c>
      <c r="O3489" t="s">
        <v>41250</v>
      </c>
      <c r="P3489">
        <v>0</v>
      </c>
      <c r="Q3489">
        <v>0</v>
      </c>
      <c r="R3489" t="s">
        <v>41252</v>
      </c>
      <c r="S3489" t="s">
        <v>41383</v>
      </c>
      <c r="T3489" t="s">
        <v>42679</v>
      </c>
      <c r="U3489" t="s">
        <v>46120</v>
      </c>
      <c r="W3489" t="s">
        <v>37669</v>
      </c>
      <c r="X3489" t="s">
        <v>41254</v>
      </c>
    </row>
    <row r="3490" spans="1:24">
      <c r="A3490">
        <f>HYPERLINK("https://www.philgeps.gov.ph/GEPSNONPILOT/Tender/SplashBidNoticeAbstractUI.aspx?menuIndex=3&amp;refID=7074615&amp;Result=3","7074615")</f>
        <v>0</v>
      </c>
      <c r="B3490" t="s">
        <v>1321</v>
      </c>
      <c r="C3490" t="s">
        <v>6735</v>
      </c>
      <c r="D3490" t="s">
        <v>16617</v>
      </c>
      <c r="E3490" t="s">
        <v>19863</v>
      </c>
      <c r="F3490" t="s">
        <v>28669</v>
      </c>
      <c r="G3490" t="s">
        <v>28675</v>
      </c>
      <c r="H3490" t="s">
        <v>28686</v>
      </c>
      <c r="I3490" t="s">
        <v>28689</v>
      </c>
      <c r="J3490" t="s">
        <v>31106</v>
      </c>
      <c r="K3490" t="s">
        <v>37209</v>
      </c>
      <c r="M3490" t="s">
        <v>38873</v>
      </c>
      <c r="N3490" t="s">
        <v>41249</v>
      </c>
      <c r="O3490" t="s">
        <v>41250</v>
      </c>
      <c r="P3490">
        <v>0</v>
      </c>
      <c r="Q3490">
        <v>1</v>
      </c>
      <c r="R3490" t="s">
        <v>41252</v>
      </c>
      <c r="S3490" t="s">
        <v>41383</v>
      </c>
      <c r="T3490" t="s">
        <v>42764</v>
      </c>
      <c r="U3490" t="s">
        <v>46121</v>
      </c>
      <c r="W3490" t="s">
        <v>38873</v>
      </c>
      <c r="X3490" t="s">
        <v>41254</v>
      </c>
    </row>
    <row r="3491" spans="1:24">
      <c r="A3491">
        <f>HYPERLINK("https://www.philgeps.gov.ph/GEPSNONPILOT/Tender/SplashBidNoticeAbstractUI.aspx?menuIndex=3&amp;refID=7074451&amp;Result=3","7074451")</f>
        <v>0</v>
      </c>
      <c r="B3491" t="s">
        <v>1308</v>
      </c>
      <c r="C3491" t="s">
        <v>6736</v>
      </c>
      <c r="D3491" t="s">
        <v>16654</v>
      </c>
      <c r="E3491" t="s">
        <v>19864</v>
      </c>
      <c r="F3491" t="s">
        <v>28669</v>
      </c>
      <c r="G3491" t="s">
        <v>28676</v>
      </c>
      <c r="H3491" t="s">
        <v>9998</v>
      </c>
      <c r="I3491" t="s">
        <v>28689</v>
      </c>
      <c r="J3491" t="s">
        <v>31107</v>
      </c>
      <c r="K3491" t="s">
        <v>37209</v>
      </c>
      <c r="M3491" t="s">
        <v>38860</v>
      </c>
      <c r="N3491" t="s">
        <v>41249</v>
      </c>
      <c r="O3491" t="s">
        <v>41250</v>
      </c>
      <c r="P3491">
        <v>0</v>
      </c>
      <c r="Q3491">
        <v>0</v>
      </c>
      <c r="R3491" t="s">
        <v>41252</v>
      </c>
      <c r="S3491" t="s">
        <v>41383</v>
      </c>
      <c r="T3491" t="s">
        <v>42701</v>
      </c>
      <c r="U3491" t="s">
        <v>46122</v>
      </c>
      <c r="W3491" t="s">
        <v>38860</v>
      </c>
      <c r="X3491" t="s">
        <v>41254</v>
      </c>
    </row>
    <row r="3492" spans="1:24">
      <c r="A3492">
        <f>HYPERLINK("https://www.philgeps.gov.ph/GEPSNONPILOT/Tender/SplashBidNoticeAbstractUI.aspx?menuIndex=3&amp;refID=7074613&amp;Result=3","7074613")</f>
        <v>0</v>
      </c>
      <c r="B3492" t="s">
        <v>1258</v>
      </c>
      <c r="C3492" t="s">
        <v>6737</v>
      </c>
      <c r="D3492" t="s">
        <v>16663</v>
      </c>
      <c r="E3492" t="s">
        <v>19865</v>
      </c>
      <c r="F3492" t="s">
        <v>28669</v>
      </c>
      <c r="G3492" t="s">
        <v>28676</v>
      </c>
      <c r="H3492" t="s">
        <v>9998</v>
      </c>
      <c r="I3492" t="s">
        <v>28702</v>
      </c>
      <c r="J3492" t="s">
        <v>28838</v>
      </c>
      <c r="K3492" t="s">
        <v>37227</v>
      </c>
      <c r="M3492" t="s">
        <v>38807</v>
      </c>
      <c r="N3492" t="s">
        <v>41249</v>
      </c>
      <c r="O3492" t="s">
        <v>41250</v>
      </c>
      <c r="P3492">
        <v>0</v>
      </c>
      <c r="Q3492">
        <v>0</v>
      </c>
      <c r="R3492" t="s">
        <v>41252</v>
      </c>
      <c r="S3492" t="s">
        <v>41383</v>
      </c>
      <c r="T3492" t="s">
        <v>42679</v>
      </c>
      <c r="U3492" t="s">
        <v>46123</v>
      </c>
      <c r="W3492" t="s">
        <v>38807</v>
      </c>
      <c r="X3492" t="s">
        <v>41254</v>
      </c>
    </row>
    <row r="3493" spans="1:24">
      <c r="A3493">
        <f>HYPERLINK("https://www.philgeps.gov.ph/GEPSNONPILOT/Tender/SplashBidNoticeAbstractUI.aspx?menuIndex=3&amp;refID=7074549&amp;Result=3","7074549")</f>
        <v>0</v>
      </c>
      <c r="B3493" t="s">
        <v>1278</v>
      </c>
      <c r="C3493" t="s">
        <v>6738</v>
      </c>
      <c r="D3493" t="s">
        <v>16623</v>
      </c>
      <c r="E3493" t="s">
        <v>19866</v>
      </c>
      <c r="F3493" t="s">
        <v>28669</v>
      </c>
      <c r="G3493" t="s">
        <v>28676</v>
      </c>
      <c r="H3493" t="s">
        <v>9998</v>
      </c>
      <c r="I3493" t="s">
        <v>6606</v>
      </c>
      <c r="J3493" t="s">
        <v>31108</v>
      </c>
      <c r="K3493" t="s">
        <v>37256</v>
      </c>
      <c r="M3493" t="s">
        <v>38828</v>
      </c>
      <c r="N3493" t="s">
        <v>41249</v>
      </c>
      <c r="O3493" t="s">
        <v>41250</v>
      </c>
      <c r="P3493">
        <v>0</v>
      </c>
      <c r="Q3493">
        <v>0</v>
      </c>
      <c r="R3493" t="s">
        <v>41252</v>
      </c>
      <c r="S3493" t="s">
        <v>41383</v>
      </c>
      <c r="T3493" t="s">
        <v>42757</v>
      </c>
      <c r="U3493" t="s">
        <v>45858</v>
      </c>
      <c r="W3493" t="s">
        <v>38828</v>
      </c>
      <c r="X3493" t="s">
        <v>41254</v>
      </c>
    </row>
    <row r="3494" spans="1:24">
      <c r="A3494">
        <f>HYPERLINK("https://www.philgeps.gov.ph/GEPSNONPILOT/Tender/SplashBidNoticeAbstractUI.aspx?menuIndex=3&amp;refID=7074626&amp;Result=3","7074626")</f>
        <v>0</v>
      </c>
      <c r="B3494" t="s">
        <v>1076</v>
      </c>
      <c r="C3494" t="s">
        <v>6739</v>
      </c>
      <c r="D3494" t="s">
        <v>16611</v>
      </c>
      <c r="E3494" t="s">
        <v>19867</v>
      </c>
      <c r="F3494" t="s">
        <v>28669</v>
      </c>
      <c r="G3494" t="s">
        <v>28676</v>
      </c>
      <c r="H3494" t="s">
        <v>9998</v>
      </c>
      <c r="I3494" t="s">
        <v>8667</v>
      </c>
      <c r="J3494" t="s">
        <v>29537</v>
      </c>
      <c r="K3494" t="s">
        <v>37205</v>
      </c>
      <c r="M3494" t="s">
        <v>38608</v>
      </c>
      <c r="N3494" t="s">
        <v>41249</v>
      </c>
      <c r="O3494" t="s">
        <v>41250</v>
      </c>
      <c r="P3494">
        <v>0</v>
      </c>
      <c r="Q3494">
        <v>1</v>
      </c>
      <c r="R3494" t="s">
        <v>41252</v>
      </c>
      <c r="S3494" t="s">
        <v>41383</v>
      </c>
      <c r="T3494" t="s">
        <v>42729</v>
      </c>
      <c r="U3494" t="s">
        <v>44679</v>
      </c>
      <c r="W3494" t="s">
        <v>38608</v>
      </c>
      <c r="X3494" t="s">
        <v>41254</v>
      </c>
    </row>
    <row r="3495" spans="1:24">
      <c r="A3495">
        <f>HYPERLINK("https://www.philgeps.gov.ph/GEPSNONPILOT/Tender/SplashBidNoticeAbstractUI.aspx?menuIndex=3&amp;refID=7074649&amp;Result=3","7074649")</f>
        <v>0</v>
      </c>
      <c r="B3495" t="s">
        <v>44</v>
      </c>
      <c r="C3495" t="s">
        <v>6740</v>
      </c>
      <c r="D3495" t="s">
        <v>16625</v>
      </c>
      <c r="E3495" t="s">
        <v>19868</v>
      </c>
      <c r="F3495" t="s">
        <v>28669</v>
      </c>
      <c r="G3495" t="s">
        <v>28675</v>
      </c>
      <c r="H3495" t="s">
        <v>9998</v>
      </c>
      <c r="I3495" t="s">
        <v>28716</v>
      </c>
      <c r="J3495" t="s">
        <v>31109</v>
      </c>
      <c r="K3495" t="s">
        <v>37205</v>
      </c>
      <c r="M3495" t="s">
        <v>38457</v>
      </c>
      <c r="N3495" t="s">
        <v>41249</v>
      </c>
      <c r="O3495" t="s">
        <v>41250</v>
      </c>
      <c r="P3495">
        <v>0</v>
      </c>
      <c r="Q3495">
        <v>1</v>
      </c>
      <c r="R3495" t="s">
        <v>41252</v>
      </c>
      <c r="S3495" t="s">
        <v>41383</v>
      </c>
      <c r="T3495" t="s">
        <v>42678</v>
      </c>
      <c r="U3495" t="s">
        <v>46124</v>
      </c>
      <c r="V3495" t="s">
        <v>54257</v>
      </c>
      <c r="W3495" t="s">
        <v>38457</v>
      </c>
      <c r="X3495" t="s">
        <v>41254</v>
      </c>
    </row>
    <row r="3496" spans="1:24">
      <c r="A3496">
        <f>HYPERLINK("https://www.philgeps.gov.ph/GEPSNONPILOT/Tender/SplashBidNoticeAbstractUI.aspx?menuIndex=3&amp;refID=7074618&amp;Result=3","7074618")</f>
        <v>0</v>
      </c>
      <c r="B3496" t="s">
        <v>1124</v>
      </c>
      <c r="C3496" t="s">
        <v>6741</v>
      </c>
      <c r="E3496" t="s">
        <v>19869</v>
      </c>
      <c r="F3496" t="s">
        <v>28669</v>
      </c>
      <c r="G3496" t="s">
        <v>28676</v>
      </c>
      <c r="H3496" t="s">
        <v>9998</v>
      </c>
      <c r="I3496" t="s">
        <v>28728</v>
      </c>
      <c r="J3496" t="s">
        <v>29225</v>
      </c>
      <c r="K3496" t="s">
        <v>37209</v>
      </c>
      <c r="M3496" t="s">
        <v>38883</v>
      </c>
      <c r="N3496" t="s">
        <v>41249</v>
      </c>
      <c r="O3496" t="s">
        <v>41250</v>
      </c>
      <c r="P3496">
        <v>0</v>
      </c>
      <c r="Q3496">
        <v>0</v>
      </c>
      <c r="R3496" t="s">
        <v>41252</v>
      </c>
      <c r="S3496" t="s">
        <v>41383</v>
      </c>
      <c r="T3496" t="s">
        <v>42729</v>
      </c>
      <c r="U3496" t="s">
        <v>46125</v>
      </c>
      <c r="W3496" t="s">
        <v>38883</v>
      </c>
      <c r="X3496" t="s">
        <v>41254</v>
      </c>
    </row>
    <row r="3497" spans="1:24">
      <c r="A3497">
        <f>HYPERLINK("https://www.philgeps.gov.ph/GEPSNONPILOT/Tender/SplashBidNoticeAbstractUI.aspx?menuIndex=3&amp;refID=7074653&amp;Result=3","7074653")</f>
        <v>0</v>
      </c>
      <c r="B3497" t="s">
        <v>1366</v>
      </c>
      <c r="C3497" t="s">
        <v>6742</v>
      </c>
      <c r="D3497" t="s">
        <v>16644</v>
      </c>
      <c r="E3497" t="s">
        <v>19870</v>
      </c>
      <c r="F3497" t="s">
        <v>28669</v>
      </c>
      <c r="G3497" t="s">
        <v>28675</v>
      </c>
      <c r="H3497" t="s">
        <v>9998</v>
      </c>
      <c r="I3497" t="s">
        <v>28687</v>
      </c>
      <c r="J3497" t="s">
        <v>31110</v>
      </c>
      <c r="K3497" t="s">
        <v>37209</v>
      </c>
      <c r="M3497" t="s">
        <v>38923</v>
      </c>
      <c r="N3497" t="s">
        <v>41249</v>
      </c>
      <c r="O3497" t="s">
        <v>41250</v>
      </c>
      <c r="P3497">
        <v>0</v>
      </c>
      <c r="Q3497">
        <v>2</v>
      </c>
      <c r="R3497" t="s">
        <v>41252</v>
      </c>
      <c r="S3497" t="s">
        <v>41383</v>
      </c>
      <c r="T3497" t="s">
        <v>42752</v>
      </c>
      <c r="U3497" t="s">
        <v>46126</v>
      </c>
      <c r="W3497" t="s">
        <v>38923</v>
      </c>
      <c r="X3497" t="s">
        <v>41254</v>
      </c>
    </row>
    <row r="3498" spans="1:24">
      <c r="A3498">
        <f>HYPERLINK("https://www.philgeps.gov.ph/GEPSNONPILOT/Tender/SplashBidNoticeAbstractUI.aspx?menuIndex=3&amp;refID=7074652&amp;Result=3","7074652")</f>
        <v>0</v>
      </c>
      <c r="B3498" t="s">
        <v>1192</v>
      </c>
      <c r="C3498" t="s">
        <v>6743</v>
      </c>
      <c r="D3498" t="s">
        <v>16619</v>
      </c>
      <c r="E3498" t="s">
        <v>19871</v>
      </c>
      <c r="F3498" t="s">
        <v>28669</v>
      </c>
      <c r="G3498" t="s">
        <v>28676</v>
      </c>
      <c r="H3498" t="s">
        <v>9998</v>
      </c>
      <c r="I3498" t="s">
        <v>28709</v>
      </c>
      <c r="J3498" t="s">
        <v>31111</v>
      </c>
      <c r="K3498" t="s">
        <v>37208</v>
      </c>
      <c r="M3498" t="s">
        <v>38732</v>
      </c>
      <c r="N3498" t="s">
        <v>41249</v>
      </c>
      <c r="O3498" t="s">
        <v>41250</v>
      </c>
      <c r="P3498">
        <v>0</v>
      </c>
      <c r="Q3498">
        <v>1</v>
      </c>
      <c r="R3498" t="s">
        <v>41252</v>
      </c>
      <c r="S3498" t="s">
        <v>41383</v>
      </c>
      <c r="T3498" t="s">
        <v>42758</v>
      </c>
      <c r="U3498" t="s">
        <v>46127</v>
      </c>
      <c r="W3498" t="s">
        <v>38732</v>
      </c>
      <c r="X3498" t="s">
        <v>41254</v>
      </c>
    </row>
    <row r="3499" spans="1:24">
      <c r="A3499">
        <f>HYPERLINK("https://www.philgeps.gov.ph/GEPSNONPILOT/Tender/SplashBidNoticeAbstractUI.aspx?menuIndex=3&amp;refID=7074647&amp;Result=3","7074647")</f>
        <v>0</v>
      </c>
      <c r="B3499" t="s">
        <v>743</v>
      </c>
      <c r="C3499" t="s">
        <v>6744</v>
      </c>
      <c r="D3499" t="s">
        <v>16629</v>
      </c>
      <c r="E3499" t="s">
        <v>19872</v>
      </c>
      <c r="F3499" t="s">
        <v>28669</v>
      </c>
      <c r="G3499" t="s">
        <v>28676</v>
      </c>
      <c r="H3499" t="s">
        <v>9998</v>
      </c>
      <c r="I3499" t="s">
        <v>28729</v>
      </c>
      <c r="J3499" t="s">
        <v>29522</v>
      </c>
      <c r="K3499" t="s">
        <v>37205</v>
      </c>
      <c r="M3499" t="s">
        <v>38820</v>
      </c>
      <c r="N3499" t="s">
        <v>41249</v>
      </c>
      <c r="O3499" t="s">
        <v>41250</v>
      </c>
      <c r="P3499">
        <v>0</v>
      </c>
      <c r="Q3499">
        <v>3</v>
      </c>
      <c r="R3499" t="s">
        <v>41252</v>
      </c>
      <c r="S3499" t="s">
        <v>41383</v>
      </c>
      <c r="T3499" t="s">
        <v>42729</v>
      </c>
      <c r="U3499" t="s">
        <v>46128</v>
      </c>
      <c r="V3499" t="s">
        <v>54252</v>
      </c>
      <c r="W3499" t="s">
        <v>38820</v>
      </c>
      <c r="X3499" t="s">
        <v>41254</v>
      </c>
    </row>
    <row r="3500" spans="1:24">
      <c r="A3500">
        <f>HYPERLINK("https://www.philgeps.gov.ph/GEPSNONPILOT/Tender/SplashBidNoticeAbstractUI.aspx?menuIndex=3&amp;refID=7074624&amp;Result=3","7074624")</f>
        <v>0</v>
      </c>
      <c r="B3500" t="s">
        <v>185</v>
      </c>
      <c r="C3500" t="s">
        <v>6745</v>
      </c>
      <c r="D3500" t="s">
        <v>16636</v>
      </c>
      <c r="E3500" t="s">
        <v>19873</v>
      </c>
      <c r="F3500" t="s">
        <v>28669</v>
      </c>
      <c r="G3500" t="s">
        <v>28676</v>
      </c>
      <c r="H3500" t="s">
        <v>9998</v>
      </c>
      <c r="I3500" t="s">
        <v>8667</v>
      </c>
      <c r="J3500" t="s">
        <v>31112</v>
      </c>
      <c r="K3500" t="s">
        <v>37210</v>
      </c>
      <c r="M3500" t="s">
        <v>37662</v>
      </c>
      <c r="N3500" t="s">
        <v>41249</v>
      </c>
      <c r="O3500" t="s">
        <v>41250</v>
      </c>
      <c r="P3500">
        <v>0</v>
      </c>
      <c r="Q3500">
        <v>0</v>
      </c>
      <c r="R3500" t="s">
        <v>41252</v>
      </c>
      <c r="S3500" t="s">
        <v>41383</v>
      </c>
      <c r="T3500" t="s">
        <v>42736</v>
      </c>
      <c r="U3500" t="s">
        <v>45901</v>
      </c>
      <c r="W3500" t="s">
        <v>37662</v>
      </c>
      <c r="X3500" t="s">
        <v>41254</v>
      </c>
    </row>
    <row r="3501" spans="1:24">
      <c r="A3501">
        <f>HYPERLINK("https://www.philgeps.gov.ph/GEPSNONPILOT/Tender/SplashBidNoticeAbstractUI.aspx?menuIndex=3&amp;refID=7074623&amp;Result=3","7074623")</f>
        <v>0</v>
      </c>
      <c r="B3501" t="s">
        <v>167</v>
      </c>
      <c r="C3501" t="s">
        <v>6746</v>
      </c>
      <c r="D3501" t="s">
        <v>16658</v>
      </c>
      <c r="E3501" t="s">
        <v>19874</v>
      </c>
      <c r="F3501" t="s">
        <v>28669</v>
      </c>
      <c r="G3501" t="s">
        <v>28675</v>
      </c>
      <c r="H3501" t="s">
        <v>9998</v>
      </c>
      <c r="I3501" t="s">
        <v>28722</v>
      </c>
      <c r="J3501" t="s">
        <v>29134</v>
      </c>
      <c r="K3501" t="s">
        <v>37209</v>
      </c>
      <c r="M3501" t="s">
        <v>37644</v>
      </c>
      <c r="N3501" t="s">
        <v>41249</v>
      </c>
      <c r="O3501" t="s">
        <v>41250</v>
      </c>
      <c r="P3501">
        <v>0</v>
      </c>
      <c r="Q3501">
        <v>1</v>
      </c>
      <c r="R3501" t="s">
        <v>41252</v>
      </c>
      <c r="S3501" t="s">
        <v>41383</v>
      </c>
      <c r="T3501" t="s">
        <v>42687</v>
      </c>
      <c r="U3501" t="s">
        <v>46129</v>
      </c>
      <c r="V3501" t="s">
        <v>54252</v>
      </c>
      <c r="W3501" t="s">
        <v>37644</v>
      </c>
      <c r="X3501" t="s">
        <v>41254</v>
      </c>
    </row>
    <row r="3502" spans="1:24">
      <c r="A3502">
        <f>HYPERLINK("https://www.philgeps.gov.ph/GEPSNONPILOT/Tender/SplashBidNoticeAbstractUI.aspx?menuIndex=3&amp;refID=7074644&amp;Result=3","7074644")</f>
        <v>0</v>
      </c>
      <c r="B3502" t="s">
        <v>1244</v>
      </c>
      <c r="C3502" t="s">
        <v>6747</v>
      </c>
      <c r="D3502" t="s">
        <v>16686</v>
      </c>
      <c r="E3502" t="s">
        <v>19875</v>
      </c>
      <c r="F3502" t="s">
        <v>28669</v>
      </c>
      <c r="G3502" t="s">
        <v>28676</v>
      </c>
      <c r="H3502" t="s">
        <v>9998</v>
      </c>
      <c r="I3502" t="s">
        <v>6128</v>
      </c>
      <c r="J3502" t="s">
        <v>31113</v>
      </c>
      <c r="K3502" t="s">
        <v>37210</v>
      </c>
      <c r="M3502" t="s">
        <v>38791</v>
      </c>
      <c r="N3502" t="s">
        <v>41249</v>
      </c>
      <c r="O3502" t="s">
        <v>41250</v>
      </c>
      <c r="P3502">
        <v>0</v>
      </c>
      <c r="Q3502">
        <v>1</v>
      </c>
      <c r="R3502" t="s">
        <v>41252</v>
      </c>
      <c r="S3502" t="s">
        <v>41383</v>
      </c>
      <c r="T3502" t="s">
        <v>42711</v>
      </c>
      <c r="U3502" t="s">
        <v>46130</v>
      </c>
      <c r="W3502" t="s">
        <v>38791</v>
      </c>
      <c r="X3502" t="s">
        <v>41254</v>
      </c>
    </row>
    <row r="3503" spans="1:24">
      <c r="A3503">
        <f>HYPERLINK("https://www.philgeps.gov.ph/GEPSNONPILOT/Tender/SplashBidNoticeAbstractUI.aspx?menuIndex=3&amp;refID=7074614&amp;Result=3","7074614")</f>
        <v>0</v>
      </c>
      <c r="B3503" t="s">
        <v>236</v>
      </c>
      <c r="C3503" t="s">
        <v>6748</v>
      </c>
      <c r="D3503" t="s">
        <v>16663</v>
      </c>
      <c r="E3503" t="s">
        <v>19876</v>
      </c>
      <c r="F3503" t="s">
        <v>28669</v>
      </c>
      <c r="G3503" t="s">
        <v>28675</v>
      </c>
      <c r="H3503" t="s">
        <v>9998</v>
      </c>
      <c r="I3503" t="s">
        <v>28786</v>
      </c>
      <c r="J3503" t="s">
        <v>29114</v>
      </c>
      <c r="K3503" t="s">
        <v>37206</v>
      </c>
      <c r="M3503" t="s">
        <v>37714</v>
      </c>
      <c r="N3503" t="s">
        <v>41249</v>
      </c>
      <c r="O3503" t="s">
        <v>41250</v>
      </c>
      <c r="P3503">
        <v>0</v>
      </c>
      <c r="Q3503">
        <v>0</v>
      </c>
      <c r="R3503" t="s">
        <v>41252</v>
      </c>
      <c r="S3503" t="s">
        <v>41383</v>
      </c>
      <c r="T3503" t="s">
        <v>42762</v>
      </c>
      <c r="U3503" t="s">
        <v>46131</v>
      </c>
      <c r="W3503" t="s">
        <v>37714</v>
      </c>
      <c r="X3503" t="s">
        <v>41254</v>
      </c>
    </row>
    <row r="3504" spans="1:24">
      <c r="A3504">
        <f>HYPERLINK("https://www.philgeps.gov.ph/GEPSNONPILOT/Tender/SplashBidNoticeAbstractUI.aspx?menuIndex=3&amp;refID=7074640&amp;Result=3","7074640")</f>
        <v>0</v>
      </c>
      <c r="B3504" t="s">
        <v>191</v>
      </c>
      <c r="C3504" t="s">
        <v>6749</v>
      </c>
      <c r="D3504" t="s">
        <v>16614</v>
      </c>
      <c r="E3504" t="s">
        <v>19877</v>
      </c>
      <c r="F3504" t="s">
        <v>28669</v>
      </c>
      <c r="G3504" t="s">
        <v>28675</v>
      </c>
      <c r="H3504" t="s">
        <v>9998</v>
      </c>
      <c r="I3504" t="s">
        <v>7352</v>
      </c>
      <c r="J3504" t="s">
        <v>31114</v>
      </c>
      <c r="K3504" t="s">
        <v>37220</v>
      </c>
      <c r="M3504" t="s">
        <v>37669</v>
      </c>
      <c r="N3504" t="s">
        <v>41249</v>
      </c>
      <c r="O3504" t="s">
        <v>41250</v>
      </c>
      <c r="P3504">
        <v>0</v>
      </c>
      <c r="Q3504">
        <v>0</v>
      </c>
      <c r="R3504" t="s">
        <v>41252</v>
      </c>
      <c r="S3504" t="s">
        <v>41383</v>
      </c>
      <c r="T3504" t="s">
        <v>42679</v>
      </c>
      <c r="U3504" t="s">
        <v>46132</v>
      </c>
      <c r="W3504" t="s">
        <v>37669</v>
      </c>
      <c r="X3504" t="s">
        <v>41254</v>
      </c>
    </row>
    <row r="3505" spans="1:24">
      <c r="A3505">
        <f>HYPERLINK("https://www.philgeps.gov.ph/GEPSNONPILOT/Tender/SplashBidNoticeAbstractUI.aspx?menuIndex=3&amp;refID=7074612&amp;Result=3","7074612")</f>
        <v>0</v>
      </c>
      <c r="B3505" t="s">
        <v>1368</v>
      </c>
      <c r="C3505" t="s">
        <v>6750</v>
      </c>
      <c r="D3505" t="s">
        <v>16662</v>
      </c>
      <c r="E3505" t="s">
        <v>19878</v>
      </c>
      <c r="F3505" t="s">
        <v>28669</v>
      </c>
      <c r="G3505" t="s">
        <v>28676</v>
      </c>
      <c r="H3505" t="s">
        <v>9998</v>
      </c>
      <c r="I3505" t="s">
        <v>28708</v>
      </c>
      <c r="J3505" t="s">
        <v>31115</v>
      </c>
      <c r="K3505" t="s">
        <v>37210</v>
      </c>
      <c r="M3505" t="s">
        <v>38926</v>
      </c>
      <c r="N3505" t="s">
        <v>41249</v>
      </c>
      <c r="O3505" t="s">
        <v>41250</v>
      </c>
      <c r="P3505">
        <v>0</v>
      </c>
      <c r="Q3505">
        <v>3</v>
      </c>
      <c r="R3505" t="s">
        <v>41252</v>
      </c>
      <c r="S3505" t="s">
        <v>41383</v>
      </c>
      <c r="T3505" t="s">
        <v>42937</v>
      </c>
      <c r="U3505" t="s">
        <v>46133</v>
      </c>
      <c r="W3505" t="s">
        <v>38926</v>
      </c>
      <c r="X3505" t="s">
        <v>41254</v>
      </c>
    </row>
    <row r="3506" spans="1:24">
      <c r="A3506">
        <f>HYPERLINK("https://www.philgeps.gov.ph/GEPSNONPILOT/Tender/SplashBidNoticeAbstractUI.aspx?menuIndex=3&amp;refID=7074580&amp;Result=3","7074580")</f>
        <v>0</v>
      </c>
      <c r="B3506" t="s">
        <v>1369</v>
      </c>
      <c r="C3506" t="s">
        <v>6751</v>
      </c>
      <c r="D3506" t="s">
        <v>16654</v>
      </c>
      <c r="E3506" t="s">
        <v>19879</v>
      </c>
      <c r="F3506" t="s">
        <v>28669</v>
      </c>
      <c r="G3506" t="s">
        <v>28676</v>
      </c>
      <c r="H3506" t="s">
        <v>9998</v>
      </c>
      <c r="I3506" t="s">
        <v>5213</v>
      </c>
      <c r="J3506" t="s">
        <v>29027</v>
      </c>
      <c r="K3506" t="s">
        <v>37234</v>
      </c>
      <c r="M3506" t="s">
        <v>38927</v>
      </c>
      <c r="N3506" t="s">
        <v>41249</v>
      </c>
      <c r="O3506" t="s">
        <v>41250</v>
      </c>
      <c r="P3506">
        <v>0</v>
      </c>
      <c r="Q3506">
        <v>0</v>
      </c>
      <c r="R3506" t="s">
        <v>41252</v>
      </c>
      <c r="S3506" t="s">
        <v>41383</v>
      </c>
      <c r="T3506" t="s">
        <v>42736</v>
      </c>
      <c r="U3506" t="s">
        <v>46134</v>
      </c>
      <c r="W3506" t="s">
        <v>38927</v>
      </c>
      <c r="X3506" t="s">
        <v>41254</v>
      </c>
    </row>
    <row r="3507" spans="1:24">
      <c r="A3507">
        <f>HYPERLINK("https://www.philgeps.gov.ph/GEPSNONPILOT/Tender/SplashBidNoticeAbstractUI.aspx?menuIndex=3&amp;refID=7074636&amp;Result=3","7074636")</f>
        <v>0</v>
      </c>
      <c r="B3507" t="s">
        <v>1370</v>
      </c>
      <c r="C3507" t="s">
        <v>6752</v>
      </c>
      <c r="D3507" t="s">
        <v>16637</v>
      </c>
      <c r="E3507" t="s">
        <v>19880</v>
      </c>
      <c r="F3507" t="s">
        <v>28669</v>
      </c>
      <c r="G3507" t="s">
        <v>28677</v>
      </c>
      <c r="H3507" t="s">
        <v>9998</v>
      </c>
      <c r="I3507" t="s">
        <v>28704</v>
      </c>
      <c r="J3507" t="s">
        <v>31116</v>
      </c>
      <c r="K3507" t="s">
        <v>37206</v>
      </c>
      <c r="M3507" t="s">
        <v>38928</v>
      </c>
      <c r="N3507" t="s">
        <v>41249</v>
      </c>
      <c r="O3507" t="s">
        <v>41250</v>
      </c>
      <c r="P3507">
        <v>0</v>
      </c>
      <c r="Q3507">
        <v>0</v>
      </c>
      <c r="R3507" t="s">
        <v>41252</v>
      </c>
      <c r="S3507" t="s">
        <v>41383</v>
      </c>
      <c r="T3507" t="s">
        <v>42727</v>
      </c>
      <c r="U3507" t="s">
        <v>46135</v>
      </c>
      <c r="W3507" t="s">
        <v>38928</v>
      </c>
      <c r="X3507" t="s">
        <v>41254</v>
      </c>
    </row>
    <row r="3508" spans="1:24">
      <c r="A3508">
        <f>HYPERLINK("https://www.philgeps.gov.ph/GEPSNONPILOT/Tender/SplashBidNoticeAbstractUI.aspx?menuIndex=3&amp;refID=7074650&amp;Result=3","7074650")</f>
        <v>0</v>
      </c>
      <c r="B3508" t="s">
        <v>520</v>
      </c>
      <c r="C3508" t="s">
        <v>6753</v>
      </c>
      <c r="E3508" t="s">
        <v>19881</v>
      </c>
      <c r="F3508" t="s">
        <v>28669</v>
      </c>
      <c r="G3508" t="s">
        <v>28675</v>
      </c>
      <c r="H3508" t="s">
        <v>9998</v>
      </c>
      <c r="I3508" t="s">
        <v>28687</v>
      </c>
      <c r="J3508" t="s">
        <v>31117</v>
      </c>
      <c r="K3508" t="s">
        <v>37209</v>
      </c>
      <c r="M3508" t="s">
        <v>38011</v>
      </c>
      <c r="N3508" t="s">
        <v>41249</v>
      </c>
      <c r="O3508" t="s">
        <v>41250</v>
      </c>
      <c r="P3508">
        <v>0</v>
      </c>
      <c r="Q3508">
        <v>6</v>
      </c>
      <c r="R3508" t="s">
        <v>41252</v>
      </c>
      <c r="S3508" t="s">
        <v>41383</v>
      </c>
      <c r="T3508" t="s">
        <v>42690</v>
      </c>
      <c r="U3508" t="s">
        <v>46136</v>
      </c>
      <c r="V3508" t="s">
        <v>54652</v>
      </c>
      <c r="W3508" t="s">
        <v>38011</v>
      </c>
      <c r="X3508" t="s">
        <v>41254</v>
      </c>
    </row>
    <row r="3509" spans="1:24">
      <c r="A3509">
        <f>HYPERLINK("https://www.philgeps.gov.ph/GEPSNONPILOT/Tender/SplashBidNoticeAbstractUI.aspx?menuIndex=3&amp;refID=7074634&amp;Result=3","7074634")</f>
        <v>0</v>
      </c>
      <c r="B3509" t="s">
        <v>1267</v>
      </c>
      <c r="C3509" t="s">
        <v>6754</v>
      </c>
      <c r="D3509" t="s">
        <v>16654</v>
      </c>
      <c r="E3509" t="s">
        <v>19882</v>
      </c>
      <c r="F3509" t="s">
        <v>28669</v>
      </c>
      <c r="G3509" t="s">
        <v>28676</v>
      </c>
      <c r="H3509" t="s">
        <v>9998</v>
      </c>
      <c r="I3509" t="s">
        <v>28697</v>
      </c>
      <c r="J3509" t="s">
        <v>31118</v>
      </c>
      <c r="K3509" t="s">
        <v>37266</v>
      </c>
      <c r="M3509" t="s">
        <v>38816</v>
      </c>
      <c r="N3509" t="s">
        <v>41249</v>
      </c>
      <c r="O3509" t="s">
        <v>41250</v>
      </c>
      <c r="P3509">
        <v>0</v>
      </c>
      <c r="Q3509">
        <v>1</v>
      </c>
      <c r="R3509" t="s">
        <v>41252</v>
      </c>
      <c r="S3509" t="s">
        <v>41383</v>
      </c>
      <c r="T3509" t="s">
        <v>42701</v>
      </c>
      <c r="U3509" t="s">
        <v>44777</v>
      </c>
      <c r="W3509" t="s">
        <v>38816</v>
      </c>
      <c r="X3509" t="s">
        <v>41254</v>
      </c>
    </row>
    <row r="3510" spans="1:24">
      <c r="A3510">
        <f>HYPERLINK("https://www.philgeps.gov.ph/GEPSNONPILOT/Tender/SplashBidNoticeAbstractUI.aspx?menuIndex=3&amp;refID=7074646&amp;Result=3","7074646")</f>
        <v>0</v>
      </c>
      <c r="B3510" t="s">
        <v>1076</v>
      </c>
      <c r="C3510" t="s">
        <v>6755</v>
      </c>
      <c r="D3510" t="s">
        <v>16611</v>
      </c>
      <c r="E3510" t="s">
        <v>16931</v>
      </c>
      <c r="F3510" t="s">
        <v>28669</v>
      </c>
      <c r="G3510" t="s">
        <v>28676</v>
      </c>
      <c r="H3510" t="s">
        <v>9998</v>
      </c>
      <c r="I3510" t="s">
        <v>8667</v>
      </c>
      <c r="J3510" t="s">
        <v>31119</v>
      </c>
      <c r="K3510" t="s">
        <v>37205</v>
      </c>
      <c r="M3510" t="s">
        <v>38608</v>
      </c>
      <c r="N3510" t="s">
        <v>41249</v>
      </c>
      <c r="O3510" t="s">
        <v>41250</v>
      </c>
      <c r="P3510">
        <v>0</v>
      </c>
      <c r="Q3510">
        <v>2</v>
      </c>
      <c r="R3510" t="s">
        <v>41252</v>
      </c>
      <c r="S3510" t="s">
        <v>41383</v>
      </c>
      <c r="T3510" t="s">
        <v>42729</v>
      </c>
      <c r="U3510" t="s">
        <v>44679</v>
      </c>
      <c r="W3510" t="s">
        <v>38608</v>
      </c>
      <c r="X3510" t="s">
        <v>41254</v>
      </c>
    </row>
    <row r="3511" spans="1:24">
      <c r="A3511">
        <f>HYPERLINK("https://www.philgeps.gov.ph/GEPSNONPILOT/Tender/SplashBidNoticeAbstractUI.aspx?menuIndex=3&amp;refID=7074675&amp;Result=3","7074675")</f>
        <v>0</v>
      </c>
      <c r="B3511" t="s">
        <v>191</v>
      </c>
      <c r="C3511" t="s">
        <v>6756</v>
      </c>
      <c r="D3511" t="s">
        <v>16614</v>
      </c>
      <c r="E3511" t="s">
        <v>19883</v>
      </c>
      <c r="F3511" t="s">
        <v>28669</v>
      </c>
      <c r="G3511" t="s">
        <v>28675</v>
      </c>
      <c r="H3511" t="s">
        <v>9998</v>
      </c>
      <c r="I3511" t="s">
        <v>28690</v>
      </c>
      <c r="J3511" t="s">
        <v>29191</v>
      </c>
      <c r="K3511" t="s">
        <v>37220</v>
      </c>
      <c r="M3511" t="s">
        <v>37669</v>
      </c>
      <c r="N3511" t="s">
        <v>41249</v>
      </c>
      <c r="O3511" t="s">
        <v>41250</v>
      </c>
      <c r="P3511">
        <v>0</v>
      </c>
      <c r="Q3511">
        <v>1</v>
      </c>
      <c r="R3511" t="s">
        <v>41252</v>
      </c>
      <c r="S3511" t="s">
        <v>41383</v>
      </c>
      <c r="T3511" t="s">
        <v>42679</v>
      </c>
      <c r="U3511" t="s">
        <v>46137</v>
      </c>
      <c r="W3511" t="s">
        <v>37669</v>
      </c>
      <c r="X3511" t="s">
        <v>41254</v>
      </c>
    </row>
    <row r="3512" spans="1:24">
      <c r="A3512">
        <f>HYPERLINK("https://www.philgeps.gov.ph/GEPSNONPILOT/Tender/SplashBidNoticeAbstractUI.aspx?menuIndex=3&amp;refID=7074682&amp;Result=3","7074682")</f>
        <v>0</v>
      </c>
      <c r="B3512" t="s">
        <v>1321</v>
      </c>
      <c r="C3512" t="s">
        <v>6757</v>
      </c>
      <c r="D3512" t="s">
        <v>16617</v>
      </c>
      <c r="E3512" t="s">
        <v>19884</v>
      </c>
      <c r="F3512" t="s">
        <v>28669</v>
      </c>
      <c r="G3512" t="s">
        <v>28676</v>
      </c>
      <c r="H3512" t="s">
        <v>9998</v>
      </c>
      <c r="I3512" t="s">
        <v>28693</v>
      </c>
      <c r="J3512" t="s">
        <v>31120</v>
      </c>
      <c r="K3512" t="s">
        <v>37209</v>
      </c>
      <c r="M3512" t="s">
        <v>38873</v>
      </c>
      <c r="N3512" t="s">
        <v>41249</v>
      </c>
      <c r="O3512" t="s">
        <v>41250</v>
      </c>
      <c r="P3512">
        <v>0</v>
      </c>
      <c r="Q3512">
        <v>7</v>
      </c>
      <c r="R3512" t="s">
        <v>41252</v>
      </c>
      <c r="S3512" t="s">
        <v>41383</v>
      </c>
      <c r="T3512" t="s">
        <v>42729</v>
      </c>
      <c r="U3512" t="s">
        <v>46138</v>
      </c>
      <c r="W3512" t="s">
        <v>38873</v>
      </c>
      <c r="X3512" t="s">
        <v>41254</v>
      </c>
    </row>
    <row r="3513" spans="1:24">
      <c r="A3513">
        <f>HYPERLINK("https://www.philgeps.gov.ph/GEPSNONPILOT/Tender/SplashBidNoticeAbstractUI.aspx?menuIndex=3&amp;refID=7074677&amp;Result=3","7074677")</f>
        <v>0</v>
      </c>
      <c r="B3513" t="s">
        <v>1181</v>
      </c>
      <c r="C3513" t="s">
        <v>6758</v>
      </c>
      <c r="D3513" t="s">
        <v>16627</v>
      </c>
      <c r="E3513" t="s">
        <v>19885</v>
      </c>
      <c r="F3513" t="s">
        <v>28669</v>
      </c>
      <c r="G3513" t="s">
        <v>28678</v>
      </c>
      <c r="H3513" t="s">
        <v>9998</v>
      </c>
      <c r="I3513" t="s">
        <v>28688</v>
      </c>
      <c r="J3513" t="s">
        <v>29349</v>
      </c>
      <c r="K3513" t="s">
        <v>37204</v>
      </c>
      <c r="M3513" t="s">
        <v>38721</v>
      </c>
      <c r="N3513" t="s">
        <v>41249</v>
      </c>
      <c r="O3513" t="s">
        <v>41250</v>
      </c>
      <c r="P3513">
        <v>0</v>
      </c>
      <c r="Q3513">
        <v>5</v>
      </c>
      <c r="R3513" t="s">
        <v>41252</v>
      </c>
      <c r="S3513" t="s">
        <v>41383</v>
      </c>
      <c r="T3513" t="s">
        <v>42758</v>
      </c>
      <c r="U3513" t="s">
        <v>45629</v>
      </c>
      <c r="V3513" t="s">
        <v>54653</v>
      </c>
      <c r="W3513" t="s">
        <v>38721</v>
      </c>
      <c r="X3513" t="s">
        <v>41254</v>
      </c>
    </row>
    <row r="3514" spans="1:24">
      <c r="A3514">
        <f>HYPERLINK("https://www.philgeps.gov.ph/GEPSNONPILOT/Tender/SplashBidNoticeAbstractUI.aspx?menuIndex=3&amp;refID=7074643&amp;Result=3","7074643")</f>
        <v>0</v>
      </c>
      <c r="B3514" t="s">
        <v>86</v>
      </c>
      <c r="C3514" t="s">
        <v>6759</v>
      </c>
      <c r="D3514" t="s">
        <v>16624</v>
      </c>
      <c r="E3514" t="s">
        <v>19886</v>
      </c>
      <c r="F3514" t="s">
        <v>28669</v>
      </c>
      <c r="G3514" t="s">
        <v>28675</v>
      </c>
      <c r="H3514" t="s">
        <v>9998</v>
      </c>
      <c r="I3514" t="s">
        <v>28687</v>
      </c>
      <c r="J3514" t="s">
        <v>31121</v>
      </c>
      <c r="K3514" t="s">
        <v>37220</v>
      </c>
      <c r="M3514" t="s">
        <v>37561</v>
      </c>
      <c r="N3514" t="s">
        <v>41249</v>
      </c>
      <c r="O3514" t="s">
        <v>41250</v>
      </c>
      <c r="P3514">
        <v>0</v>
      </c>
      <c r="Q3514">
        <v>4</v>
      </c>
      <c r="R3514" t="s">
        <v>41252</v>
      </c>
      <c r="S3514" t="s">
        <v>41383</v>
      </c>
      <c r="T3514" t="s">
        <v>42860</v>
      </c>
      <c r="U3514" t="s">
        <v>46139</v>
      </c>
      <c r="W3514" t="s">
        <v>37561</v>
      </c>
      <c r="X3514" t="s">
        <v>41254</v>
      </c>
    </row>
    <row r="3515" spans="1:24">
      <c r="A3515">
        <f>HYPERLINK("https://www.philgeps.gov.ph/GEPSNONPILOT/Tender/SplashBidNoticeAbstractUI.aspx?menuIndex=3&amp;refID=7074676&amp;Result=3","7074676")</f>
        <v>0</v>
      </c>
      <c r="B3515" t="s">
        <v>497</v>
      </c>
      <c r="C3515" t="s">
        <v>6760</v>
      </c>
      <c r="D3515" t="s">
        <v>16608</v>
      </c>
      <c r="E3515" t="s">
        <v>19887</v>
      </c>
      <c r="F3515" t="s">
        <v>28669</v>
      </c>
      <c r="G3515" t="s">
        <v>28677</v>
      </c>
      <c r="H3515" t="s">
        <v>9998</v>
      </c>
      <c r="I3515" t="s">
        <v>28690</v>
      </c>
      <c r="J3515" t="s">
        <v>31122</v>
      </c>
      <c r="K3515" t="s">
        <v>37209</v>
      </c>
      <c r="M3515" t="s">
        <v>38929</v>
      </c>
      <c r="N3515" t="s">
        <v>41249</v>
      </c>
      <c r="O3515" t="s">
        <v>41250</v>
      </c>
      <c r="P3515">
        <v>0</v>
      </c>
      <c r="Q3515">
        <v>5</v>
      </c>
      <c r="R3515" t="s">
        <v>41252</v>
      </c>
      <c r="S3515" t="s">
        <v>41383</v>
      </c>
      <c r="T3515" t="s">
        <v>42727</v>
      </c>
      <c r="U3515" t="s">
        <v>46140</v>
      </c>
      <c r="V3515" t="s">
        <v>54654</v>
      </c>
      <c r="W3515" t="s">
        <v>55919</v>
      </c>
      <c r="X3515" t="s">
        <v>41254</v>
      </c>
    </row>
    <row r="3516" spans="1:24">
      <c r="A3516">
        <f>HYPERLINK("https://www.philgeps.gov.ph/GEPSNONPILOT/Tender/SplashBidNoticeAbstractUI.aspx?menuIndex=3&amp;refID=7074638&amp;Result=3","7074638")</f>
        <v>0</v>
      </c>
      <c r="B3516" t="s">
        <v>1364</v>
      </c>
      <c r="C3516" t="s">
        <v>6708</v>
      </c>
      <c r="D3516" t="s">
        <v>16679</v>
      </c>
      <c r="E3516" t="s">
        <v>19888</v>
      </c>
      <c r="F3516" t="s">
        <v>28671</v>
      </c>
      <c r="G3516" t="s">
        <v>28677</v>
      </c>
      <c r="H3516" t="s">
        <v>9998</v>
      </c>
      <c r="I3516" t="s">
        <v>28763</v>
      </c>
      <c r="J3516" t="s">
        <v>31123</v>
      </c>
      <c r="K3516" t="s">
        <v>37204</v>
      </c>
      <c r="M3516" t="s">
        <v>38920</v>
      </c>
      <c r="N3516" t="s">
        <v>41249</v>
      </c>
      <c r="O3516" t="s">
        <v>41250</v>
      </c>
      <c r="P3516">
        <v>0</v>
      </c>
      <c r="Q3516">
        <v>1</v>
      </c>
      <c r="R3516" t="s">
        <v>41252</v>
      </c>
      <c r="S3516" t="s">
        <v>41383</v>
      </c>
      <c r="T3516" t="s">
        <v>42787</v>
      </c>
      <c r="U3516" t="s">
        <v>46099</v>
      </c>
      <c r="W3516" t="s">
        <v>38920</v>
      </c>
      <c r="X3516" t="s">
        <v>41254</v>
      </c>
    </row>
    <row r="3517" spans="1:24">
      <c r="A3517">
        <f>HYPERLINK("https://www.philgeps.gov.ph/GEPSNONPILOT/Tender/SplashBidNoticeAbstractUI.aspx?menuIndex=3&amp;refID=7074671&amp;Result=3","7074671")</f>
        <v>0</v>
      </c>
      <c r="B3517" t="s">
        <v>602</v>
      </c>
      <c r="C3517" t="s">
        <v>6761</v>
      </c>
      <c r="D3517" t="s">
        <v>16661</v>
      </c>
      <c r="E3517" t="s">
        <v>18950</v>
      </c>
      <c r="F3517" t="s">
        <v>28669</v>
      </c>
      <c r="G3517" t="s">
        <v>28675</v>
      </c>
      <c r="H3517" t="s">
        <v>9998</v>
      </c>
      <c r="I3517" t="s">
        <v>7352</v>
      </c>
      <c r="J3517" t="s">
        <v>31124</v>
      </c>
      <c r="K3517" t="s">
        <v>37205</v>
      </c>
      <c r="M3517" t="s">
        <v>38102</v>
      </c>
      <c r="N3517" t="s">
        <v>41249</v>
      </c>
      <c r="O3517" t="s">
        <v>41250</v>
      </c>
      <c r="P3517">
        <v>0</v>
      </c>
      <c r="Q3517">
        <v>1</v>
      </c>
      <c r="R3517" t="s">
        <v>41252</v>
      </c>
      <c r="S3517" t="s">
        <v>41383</v>
      </c>
      <c r="T3517" t="s">
        <v>42818</v>
      </c>
      <c r="U3517" t="s">
        <v>46141</v>
      </c>
      <c r="W3517" t="s">
        <v>38102</v>
      </c>
      <c r="X3517" t="s">
        <v>41254</v>
      </c>
    </row>
    <row r="3518" spans="1:24">
      <c r="A3518">
        <f>HYPERLINK("https://www.philgeps.gov.ph/GEPSNONPILOT/Tender/SplashBidNoticeAbstractUI.aspx?menuIndex=3&amp;refID=7074668&amp;Result=3","7074668")</f>
        <v>0</v>
      </c>
      <c r="B3518" t="s">
        <v>1076</v>
      </c>
      <c r="C3518" t="s">
        <v>6762</v>
      </c>
      <c r="D3518" t="s">
        <v>16611</v>
      </c>
      <c r="E3518" t="s">
        <v>19889</v>
      </c>
      <c r="F3518" t="s">
        <v>28669</v>
      </c>
      <c r="G3518" t="s">
        <v>28676</v>
      </c>
      <c r="H3518" t="s">
        <v>9998</v>
      </c>
      <c r="I3518" t="s">
        <v>8667</v>
      </c>
      <c r="J3518" t="s">
        <v>31125</v>
      </c>
      <c r="K3518" t="s">
        <v>37205</v>
      </c>
      <c r="M3518" t="s">
        <v>38608</v>
      </c>
      <c r="N3518" t="s">
        <v>41249</v>
      </c>
      <c r="O3518" t="s">
        <v>41250</v>
      </c>
      <c r="P3518">
        <v>0</v>
      </c>
      <c r="Q3518">
        <v>3</v>
      </c>
      <c r="R3518" t="s">
        <v>41252</v>
      </c>
      <c r="S3518" t="s">
        <v>41383</v>
      </c>
      <c r="T3518" t="s">
        <v>42729</v>
      </c>
      <c r="U3518" t="s">
        <v>44679</v>
      </c>
      <c r="W3518" t="s">
        <v>38608</v>
      </c>
      <c r="X3518" t="s">
        <v>41254</v>
      </c>
    </row>
    <row r="3519" spans="1:24">
      <c r="A3519">
        <f>HYPERLINK("https://www.philgeps.gov.ph/GEPSNONPILOT/Tender/SplashBidNoticeAbstractUI.aspx?menuIndex=3&amp;refID=7074645&amp;Result=3","7074645")</f>
        <v>0</v>
      </c>
      <c r="B3519" t="s">
        <v>965</v>
      </c>
      <c r="C3519" t="s">
        <v>6763</v>
      </c>
      <c r="D3519" t="s">
        <v>16608</v>
      </c>
      <c r="E3519" t="s">
        <v>19890</v>
      </c>
      <c r="F3519" t="s">
        <v>28669</v>
      </c>
      <c r="G3519" t="s">
        <v>28675</v>
      </c>
      <c r="H3519" t="s">
        <v>9998</v>
      </c>
      <c r="I3519" t="s">
        <v>6128</v>
      </c>
      <c r="J3519" t="s">
        <v>30985</v>
      </c>
      <c r="K3519" t="s">
        <v>37205</v>
      </c>
      <c r="M3519" t="s">
        <v>38890</v>
      </c>
      <c r="N3519" t="s">
        <v>41249</v>
      </c>
      <c r="O3519" t="s">
        <v>41250</v>
      </c>
      <c r="P3519">
        <v>0</v>
      </c>
      <c r="Q3519">
        <v>1</v>
      </c>
      <c r="R3519" t="s">
        <v>41252</v>
      </c>
      <c r="S3519" t="s">
        <v>41383</v>
      </c>
      <c r="T3519" t="s">
        <v>42703</v>
      </c>
      <c r="U3519" t="s">
        <v>44022</v>
      </c>
      <c r="W3519" t="s">
        <v>38890</v>
      </c>
      <c r="X3519" t="s">
        <v>41254</v>
      </c>
    </row>
    <row r="3520" spans="1:24">
      <c r="A3520">
        <f>HYPERLINK("https://www.philgeps.gov.ph/GEPSNONPILOT/Tender/SplashBidNoticeAbstractUI.aspx?menuIndex=3&amp;refID=7074678&amp;Result=3","7074678")</f>
        <v>0</v>
      </c>
      <c r="B3520" t="s">
        <v>1124</v>
      </c>
      <c r="C3520" t="s">
        <v>6764</v>
      </c>
      <c r="E3520" t="s">
        <v>19891</v>
      </c>
      <c r="F3520" t="s">
        <v>28669</v>
      </c>
      <c r="G3520" t="s">
        <v>28676</v>
      </c>
      <c r="H3520" t="s">
        <v>9998</v>
      </c>
      <c r="I3520" t="s">
        <v>28728</v>
      </c>
      <c r="J3520" t="s">
        <v>29225</v>
      </c>
      <c r="K3520" t="s">
        <v>37209</v>
      </c>
      <c r="M3520" t="s">
        <v>38883</v>
      </c>
      <c r="N3520" t="s">
        <v>41249</v>
      </c>
      <c r="O3520" t="s">
        <v>41250</v>
      </c>
      <c r="P3520">
        <v>0</v>
      </c>
      <c r="Q3520">
        <v>0</v>
      </c>
      <c r="R3520" t="s">
        <v>41252</v>
      </c>
      <c r="S3520" t="s">
        <v>41383</v>
      </c>
      <c r="T3520" t="s">
        <v>42729</v>
      </c>
      <c r="U3520" t="s">
        <v>46142</v>
      </c>
      <c r="W3520" t="s">
        <v>38883</v>
      </c>
      <c r="X3520" t="s">
        <v>41254</v>
      </c>
    </row>
    <row r="3521" spans="1:24">
      <c r="A3521">
        <f>HYPERLINK("https://www.philgeps.gov.ph/GEPSNONPILOT/Tender/SplashBidNoticeAbstractUI.aspx?menuIndex=3&amp;refID=7074664&amp;Result=3","7074664")</f>
        <v>0</v>
      </c>
      <c r="B3521" t="s">
        <v>965</v>
      </c>
      <c r="C3521" t="s">
        <v>6765</v>
      </c>
      <c r="D3521" t="s">
        <v>16608</v>
      </c>
      <c r="E3521" t="s">
        <v>19892</v>
      </c>
      <c r="F3521" t="s">
        <v>28669</v>
      </c>
      <c r="G3521" t="s">
        <v>28675</v>
      </c>
      <c r="H3521" t="s">
        <v>9998</v>
      </c>
      <c r="I3521" t="s">
        <v>5213</v>
      </c>
      <c r="J3521" t="s">
        <v>31030</v>
      </c>
      <c r="K3521" t="s">
        <v>37205</v>
      </c>
      <c r="M3521" t="s">
        <v>38890</v>
      </c>
      <c r="N3521" t="s">
        <v>41249</v>
      </c>
      <c r="O3521" t="s">
        <v>41250</v>
      </c>
      <c r="P3521">
        <v>0</v>
      </c>
      <c r="Q3521">
        <v>0</v>
      </c>
      <c r="R3521" t="s">
        <v>41252</v>
      </c>
      <c r="S3521" t="s">
        <v>41383</v>
      </c>
      <c r="T3521" t="s">
        <v>42703</v>
      </c>
      <c r="U3521" t="s">
        <v>45206</v>
      </c>
      <c r="W3521" t="s">
        <v>38890</v>
      </c>
      <c r="X3521" t="s">
        <v>41254</v>
      </c>
    </row>
    <row r="3522" spans="1:24">
      <c r="A3522">
        <f>HYPERLINK("https://www.philgeps.gov.ph/GEPSNONPILOT/Tender/SplashBidNoticeAbstractUI.aspx?menuIndex=3&amp;refID=7074663&amp;Result=3","7074663")</f>
        <v>0</v>
      </c>
      <c r="B3522" t="s">
        <v>1062</v>
      </c>
      <c r="C3522" t="s">
        <v>6766</v>
      </c>
      <c r="D3522" t="s">
        <v>16641</v>
      </c>
      <c r="E3522" t="s">
        <v>19893</v>
      </c>
      <c r="F3522" t="s">
        <v>28669</v>
      </c>
      <c r="G3522" t="s">
        <v>28677</v>
      </c>
      <c r="H3522" t="s">
        <v>9998</v>
      </c>
      <c r="I3522" t="s">
        <v>5286</v>
      </c>
      <c r="J3522" t="s">
        <v>29930</v>
      </c>
      <c r="K3522" t="s">
        <v>37204</v>
      </c>
      <c r="M3522" t="s">
        <v>38593</v>
      </c>
      <c r="N3522" t="s">
        <v>41249</v>
      </c>
      <c r="O3522" t="s">
        <v>41250</v>
      </c>
      <c r="P3522">
        <v>0</v>
      </c>
      <c r="Q3522">
        <v>2</v>
      </c>
      <c r="R3522" t="s">
        <v>41252</v>
      </c>
      <c r="S3522" t="s">
        <v>41383</v>
      </c>
      <c r="T3522" t="s">
        <v>42703</v>
      </c>
      <c r="U3522" t="s">
        <v>46143</v>
      </c>
      <c r="W3522" t="s">
        <v>38593</v>
      </c>
      <c r="X3522" t="s">
        <v>41254</v>
      </c>
    </row>
    <row r="3523" spans="1:24">
      <c r="A3523">
        <f>HYPERLINK("https://www.philgeps.gov.ph/GEPSNONPILOT/Tender/SplashBidNoticeAbstractUI.aspx?menuIndex=3&amp;refID=7074662&amp;Result=3","7074662")</f>
        <v>0</v>
      </c>
      <c r="B3523" t="s">
        <v>761</v>
      </c>
      <c r="C3523" t="s">
        <v>6767</v>
      </c>
      <c r="D3523" t="s">
        <v>16608</v>
      </c>
      <c r="E3523" t="s">
        <v>19894</v>
      </c>
      <c r="F3523" t="s">
        <v>28669</v>
      </c>
      <c r="G3523" t="s">
        <v>28676</v>
      </c>
      <c r="H3523" t="s">
        <v>9998</v>
      </c>
      <c r="I3523" t="s">
        <v>28729</v>
      </c>
      <c r="J3523" t="s">
        <v>29088</v>
      </c>
      <c r="K3523" t="s">
        <v>37209</v>
      </c>
      <c r="M3523" t="s">
        <v>38272</v>
      </c>
      <c r="N3523" t="s">
        <v>41249</v>
      </c>
      <c r="O3523" t="s">
        <v>41250</v>
      </c>
      <c r="P3523">
        <v>0</v>
      </c>
      <c r="Q3523">
        <v>20</v>
      </c>
      <c r="R3523" t="s">
        <v>41252</v>
      </c>
      <c r="S3523" t="s">
        <v>41383</v>
      </c>
      <c r="T3523" t="s">
        <v>42665</v>
      </c>
      <c r="U3523" t="s">
        <v>46144</v>
      </c>
      <c r="W3523" t="s">
        <v>38272</v>
      </c>
      <c r="X3523" t="s">
        <v>41254</v>
      </c>
    </row>
    <row r="3524" spans="1:24">
      <c r="A3524">
        <f>HYPERLINK("https://www.philgeps.gov.ph/GEPSNONPILOT/Tender/SplashBidNoticeAbstractUI.aspx?menuIndex=3&amp;refID=7074661&amp;Result=3","7074661")</f>
        <v>0</v>
      </c>
      <c r="B3524" t="s">
        <v>1126</v>
      </c>
      <c r="C3524" t="s">
        <v>6768</v>
      </c>
      <c r="D3524" t="s">
        <v>16630</v>
      </c>
      <c r="E3524" t="s">
        <v>19895</v>
      </c>
      <c r="F3524" t="s">
        <v>28669</v>
      </c>
      <c r="G3524" t="s">
        <v>28676</v>
      </c>
      <c r="H3524" t="s">
        <v>9998</v>
      </c>
      <c r="I3524" t="s">
        <v>3679</v>
      </c>
      <c r="J3524" t="s">
        <v>31126</v>
      </c>
      <c r="K3524" t="s">
        <v>37206</v>
      </c>
      <c r="M3524" t="s">
        <v>38660</v>
      </c>
      <c r="N3524" t="s">
        <v>41249</v>
      </c>
      <c r="O3524" t="s">
        <v>41250</v>
      </c>
      <c r="P3524">
        <v>0</v>
      </c>
      <c r="Q3524">
        <v>0</v>
      </c>
      <c r="R3524" t="s">
        <v>41252</v>
      </c>
      <c r="S3524" t="s">
        <v>41383</v>
      </c>
      <c r="T3524" t="s">
        <v>42665</v>
      </c>
      <c r="U3524" t="s">
        <v>46145</v>
      </c>
      <c r="W3524" t="s">
        <v>38660</v>
      </c>
      <c r="X3524" t="s">
        <v>41254</v>
      </c>
    </row>
    <row r="3525" spans="1:24">
      <c r="A3525">
        <f>HYPERLINK("https://www.philgeps.gov.ph/GEPSNONPILOT/Tender/SplashBidNoticeAbstractUI.aspx?menuIndex=3&amp;refID=7074674&amp;Result=3","7074674")</f>
        <v>0</v>
      </c>
      <c r="B3525" t="s">
        <v>1258</v>
      </c>
      <c r="C3525" t="s">
        <v>6769</v>
      </c>
      <c r="D3525" t="s">
        <v>16663</v>
      </c>
      <c r="E3525" t="s">
        <v>19896</v>
      </c>
      <c r="F3525" t="s">
        <v>28669</v>
      </c>
      <c r="G3525" t="s">
        <v>28676</v>
      </c>
      <c r="H3525" t="s">
        <v>9998</v>
      </c>
      <c r="I3525" t="s">
        <v>5213</v>
      </c>
      <c r="J3525" t="s">
        <v>31127</v>
      </c>
      <c r="K3525" t="s">
        <v>37227</v>
      </c>
      <c r="M3525" t="s">
        <v>38807</v>
      </c>
      <c r="N3525" t="s">
        <v>41249</v>
      </c>
      <c r="O3525" t="s">
        <v>41250</v>
      </c>
      <c r="P3525">
        <v>0</v>
      </c>
      <c r="Q3525">
        <v>0</v>
      </c>
      <c r="R3525" t="s">
        <v>41252</v>
      </c>
      <c r="S3525" t="s">
        <v>41383</v>
      </c>
      <c r="T3525" t="s">
        <v>42679</v>
      </c>
      <c r="U3525" t="s">
        <v>46146</v>
      </c>
      <c r="W3525" t="s">
        <v>38807</v>
      </c>
      <c r="X3525" t="s">
        <v>41254</v>
      </c>
    </row>
    <row r="3526" spans="1:24">
      <c r="A3526">
        <f>HYPERLINK("https://www.philgeps.gov.ph/GEPSNONPILOT/Tender/SplashBidNoticeAbstractUI.aspx?menuIndex=3&amp;refID=7074659&amp;Result=3","7074659")</f>
        <v>0</v>
      </c>
      <c r="B3526" t="s">
        <v>1371</v>
      </c>
      <c r="C3526" t="s">
        <v>6770</v>
      </c>
      <c r="D3526" t="s">
        <v>16611</v>
      </c>
      <c r="E3526" t="s">
        <v>16877</v>
      </c>
      <c r="F3526" t="s">
        <v>28671</v>
      </c>
      <c r="G3526" t="s">
        <v>28677</v>
      </c>
      <c r="H3526" t="s">
        <v>9998</v>
      </c>
      <c r="I3526" t="s">
        <v>5213</v>
      </c>
      <c r="J3526" t="s">
        <v>31128</v>
      </c>
      <c r="K3526" t="s">
        <v>37204</v>
      </c>
      <c r="M3526" t="s">
        <v>38930</v>
      </c>
      <c r="N3526" t="s">
        <v>41249</v>
      </c>
      <c r="O3526" t="s">
        <v>41250</v>
      </c>
      <c r="P3526">
        <v>0</v>
      </c>
      <c r="Q3526">
        <v>0</v>
      </c>
      <c r="R3526" t="s">
        <v>41252</v>
      </c>
      <c r="S3526" t="s">
        <v>41383</v>
      </c>
      <c r="T3526" t="s">
        <v>42827</v>
      </c>
      <c r="U3526" t="s">
        <v>46147</v>
      </c>
      <c r="W3526" t="s">
        <v>38930</v>
      </c>
      <c r="X3526" t="s">
        <v>41254</v>
      </c>
    </row>
    <row r="3527" spans="1:24">
      <c r="A3527">
        <f>HYPERLINK("https://www.philgeps.gov.ph/GEPSNONPILOT/Tender/SplashBidNoticeAbstractUI.aspx?menuIndex=3&amp;refID=7074685&amp;Result=3","7074685")</f>
        <v>0</v>
      </c>
      <c r="B3527" t="s">
        <v>1372</v>
      </c>
      <c r="C3527" t="s">
        <v>6771</v>
      </c>
      <c r="D3527" t="s">
        <v>16657</v>
      </c>
      <c r="E3527" t="s">
        <v>19897</v>
      </c>
      <c r="F3527" t="s">
        <v>28669</v>
      </c>
      <c r="G3527" t="s">
        <v>28675</v>
      </c>
      <c r="H3527" t="s">
        <v>28686</v>
      </c>
      <c r="I3527" t="s">
        <v>28689</v>
      </c>
      <c r="J3527" t="s">
        <v>31129</v>
      </c>
      <c r="K3527" t="s">
        <v>37209</v>
      </c>
      <c r="M3527" t="s">
        <v>38931</v>
      </c>
      <c r="N3527" t="s">
        <v>41249</v>
      </c>
      <c r="O3527" t="s">
        <v>41250</v>
      </c>
      <c r="P3527">
        <v>0</v>
      </c>
      <c r="Q3527">
        <v>1</v>
      </c>
      <c r="R3527" t="s">
        <v>41252</v>
      </c>
      <c r="S3527" t="s">
        <v>41383</v>
      </c>
      <c r="T3527" t="s">
        <v>42757</v>
      </c>
      <c r="U3527" t="s">
        <v>46148</v>
      </c>
      <c r="V3527" t="s">
        <v>54655</v>
      </c>
      <c r="W3527" t="s">
        <v>38931</v>
      </c>
      <c r="X3527" t="s">
        <v>41254</v>
      </c>
    </row>
    <row r="3528" spans="1:24">
      <c r="A3528">
        <f>HYPERLINK("https://www.philgeps.gov.ph/GEPSNONPILOT/Tender/SplashBidNoticeAbstractUI.aspx?menuIndex=3&amp;refID=7074667&amp;Result=3","7074667")</f>
        <v>0</v>
      </c>
      <c r="B3528" t="s">
        <v>1021</v>
      </c>
      <c r="C3528" t="s">
        <v>6772</v>
      </c>
      <c r="D3528" t="s">
        <v>16646</v>
      </c>
      <c r="E3528" t="s">
        <v>19898</v>
      </c>
      <c r="F3528" t="s">
        <v>28669</v>
      </c>
      <c r="G3528" t="s">
        <v>28677</v>
      </c>
      <c r="H3528" t="s">
        <v>9998</v>
      </c>
      <c r="I3528" t="s">
        <v>15140</v>
      </c>
      <c r="J3528" t="s">
        <v>31130</v>
      </c>
      <c r="K3528" t="s">
        <v>37234</v>
      </c>
      <c r="M3528" t="s">
        <v>38551</v>
      </c>
      <c r="N3528" t="s">
        <v>41249</v>
      </c>
      <c r="O3528" t="s">
        <v>41250</v>
      </c>
      <c r="P3528">
        <v>0</v>
      </c>
      <c r="Q3528">
        <v>1</v>
      </c>
      <c r="R3528" t="s">
        <v>41252</v>
      </c>
      <c r="S3528" t="s">
        <v>41383</v>
      </c>
      <c r="T3528" t="s">
        <v>42727</v>
      </c>
      <c r="U3528" t="s">
        <v>46149</v>
      </c>
      <c r="W3528" t="s">
        <v>38551</v>
      </c>
      <c r="X3528" t="s">
        <v>41254</v>
      </c>
    </row>
    <row r="3529" spans="1:24">
      <c r="A3529">
        <f>HYPERLINK("https://www.philgeps.gov.ph/GEPSNONPILOT/Tender/SplashBidNoticeAbstractUI.aspx?menuIndex=3&amp;refID=7074708&amp;Result=3","7074708")</f>
        <v>0</v>
      </c>
      <c r="B3529" t="s">
        <v>502</v>
      </c>
      <c r="C3529" t="s">
        <v>6773</v>
      </c>
      <c r="D3529" t="s">
        <v>16646</v>
      </c>
      <c r="E3529" t="s">
        <v>19899</v>
      </c>
      <c r="F3529" t="s">
        <v>28669</v>
      </c>
      <c r="G3529" t="s">
        <v>28676</v>
      </c>
      <c r="H3529" t="s">
        <v>9998</v>
      </c>
      <c r="I3529" t="s">
        <v>15140</v>
      </c>
      <c r="J3529" t="s">
        <v>29044</v>
      </c>
      <c r="K3529" t="s">
        <v>37205</v>
      </c>
      <c r="M3529" t="s">
        <v>38775</v>
      </c>
      <c r="N3529" t="s">
        <v>41249</v>
      </c>
      <c r="O3529" t="s">
        <v>41250</v>
      </c>
      <c r="P3529">
        <v>0</v>
      </c>
      <c r="Q3529">
        <v>1</v>
      </c>
      <c r="R3529" t="s">
        <v>41252</v>
      </c>
      <c r="S3529" t="s">
        <v>41383</v>
      </c>
      <c r="T3529" t="s">
        <v>42743</v>
      </c>
      <c r="U3529" t="s">
        <v>46150</v>
      </c>
      <c r="V3529" t="s">
        <v>54656</v>
      </c>
      <c r="W3529" t="s">
        <v>38775</v>
      </c>
      <c r="X3529" t="s">
        <v>41254</v>
      </c>
    </row>
    <row r="3530" spans="1:24">
      <c r="A3530">
        <f>HYPERLINK("https://www.philgeps.gov.ph/GEPSNONPILOT/Tender/SplashBidNoticeAbstractUI.aspx?menuIndex=3&amp;refID=7074679&amp;Result=3","7074679")</f>
        <v>0</v>
      </c>
      <c r="B3530" t="s">
        <v>1373</v>
      </c>
      <c r="C3530" t="s">
        <v>6774</v>
      </c>
      <c r="D3530" t="s">
        <v>16686</v>
      </c>
      <c r="E3530" t="s">
        <v>19900</v>
      </c>
      <c r="F3530" t="s">
        <v>28669</v>
      </c>
      <c r="G3530" t="s">
        <v>28676</v>
      </c>
      <c r="H3530" t="s">
        <v>9998</v>
      </c>
      <c r="I3530" t="s">
        <v>11593</v>
      </c>
      <c r="J3530" t="s">
        <v>28871</v>
      </c>
      <c r="K3530" t="s">
        <v>37205</v>
      </c>
      <c r="M3530" t="s">
        <v>38932</v>
      </c>
      <c r="N3530" t="s">
        <v>41249</v>
      </c>
      <c r="O3530" t="s">
        <v>41250</v>
      </c>
      <c r="P3530">
        <v>0</v>
      </c>
      <c r="Q3530">
        <v>1</v>
      </c>
      <c r="R3530" t="s">
        <v>41252</v>
      </c>
      <c r="S3530" t="s">
        <v>41383</v>
      </c>
      <c r="T3530" t="s">
        <v>42679</v>
      </c>
      <c r="U3530" t="s">
        <v>46151</v>
      </c>
      <c r="W3530" t="s">
        <v>38932</v>
      </c>
      <c r="X3530" t="s">
        <v>41254</v>
      </c>
    </row>
    <row r="3531" spans="1:24">
      <c r="A3531">
        <f>HYPERLINK("https://www.philgeps.gov.ph/GEPSNONPILOT/Tender/SplashBidNoticeAbstractUI.aspx?menuIndex=3&amp;refID=7074665&amp;Result=3","7074665")</f>
        <v>0</v>
      </c>
      <c r="B3531" t="s">
        <v>1374</v>
      </c>
      <c r="C3531" t="s">
        <v>5829</v>
      </c>
      <c r="D3531" t="s">
        <v>16625</v>
      </c>
      <c r="E3531" t="s">
        <v>16820</v>
      </c>
      <c r="F3531" t="s">
        <v>28669</v>
      </c>
      <c r="G3531" t="s">
        <v>28677</v>
      </c>
      <c r="H3531" t="s">
        <v>9998</v>
      </c>
      <c r="I3531" t="s">
        <v>6128</v>
      </c>
      <c r="J3531" t="s">
        <v>31131</v>
      </c>
      <c r="K3531" t="s">
        <v>37234</v>
      </c>
      <c r="M3531" t="s">
        <v>38933</v>
      </c>
      <c r="N3531" t="s">
        <v>41249</v>
      </c>
      <c r="O3531" t="s">
        <v>41250</v>
      </c>
      <c r="P3531">
        <v>0</v>
      </c>
      <c r="Q3531">
        <v>2</v>
      </c>
      <c r="R3531" t="s">
        <v>41252</v>
      </c>
      <c r="S3531" t="s">
        <v>41383</v>
      </c>
      <c r="T3531" t="s">
        <v>42859</v>
      </c>
      <c r="U3531" t="s">
        <v>46152</v>
      </c>
      <c r="W3531" t="s">
        <v>38933</v>
      </c>
      <c r="X3531" t="s">
        <v>41254</v>
      </c>
    </row>
    <row r="3532" spans="1:24">
      <c r="A3532">
        <f>HYPERLINK("https://www.philgeps.gov.ph/GEPSNONPILOT/Tender/SplashBidNoticeAbstractUI.aspx?menuIndex=3&amp;refID=7074702&amp;Result=3","7074702")</f>
        <v>0</v>
      </c>
      <c r="B3532" t="s">
        <v>1090</v>
      </c>
      <c r="C3532" t="s">
        <v>6775</v>
      </c>
      <c r="E3532" t="s">
        <v>19901</v>
      </c>
      <c r="F3532" t="s">
        <v>28669</v>
      </c>
      <c r="G3532" t="s">
        <v>28676</v>
      </c>
      <c r="H3532" t="s">
        <v>9998</v>
      </c>
      <c r="I3532" t="s">
        <v>11593</v>
      </c>
      <c r="J3532" t="s">
        <v>31132</v>
      </c>
      <c r="K3532" t="s">
        <v>37209</v>
      </c>
      <c r="M3532" t="s">
        <v>38622</v>
      </c>
      <c r="N3532" t="s">
        <v>41249</v>
      </c>
      <c r="O3532" t="s">
        <v>41250</v>
      </c>
      <c r="P3532">
        <v>0</v>
      </c>
      <c r="Q3532">
        <v>3</v>
      </c>
      <c r="R3532" t="s">
        <v>41252</v>
      </c>
      <c r="S3532" t="s">
        <v>41383</v>
      </c>
      <c r="T3532" t="s">
        <v>42702</v>
      </c>
      <c r="U3532" t="s">
        <v>46153</v>
      </c>
      <c r="W3532" t="s">
        <v>38622</v>
      </c>
      <c r="X3532" t="s">
        <v>41254</v>
      </c>
    </row>
    <row r="3533" spans="1:24">
      <c r="A3533">
        <f>HYPERLINK("https://www.philgeps.gov.ph/GEPSNONPILOT/Tender/SplashBidNoticeAbstractUI.aspx?menuIndex=3&amp;refID=7074660&amp;Result=3","7074660")</f>
        <v>0</v>
      </c>
      <c r="B3533" t="s">
        <v>1348</v>
      </c>
      <c r="C3533" t="s">
        <v>6776</v>
      </c>
      <c r="D3533" t="s">
        <v>16608</v>
      </c>
      <c r="E3533" t="s">
        <v>19902</v>
      </c>
      <c r="F3533" t="s">
        <v>28669</v>
      </c>
      <c r="G3533" t="s">
        <v>28676</v>
      </c>
      <c r="H3533" t="s">
        <v>9998</v>
      </c>
      <c r="I3533" t="s">
        <v>7352</v>
      </c>
      <c r="J3533" t="s">
        <v>31133</v>
      </c>
      <c r="K3533" t="s">
        <v>37204</v>
      </c>
      <c r="M3533" t="s">
        <v>37627</v>
      </c>
      <c r="N3533" t="s">
        <v>41249</v>
      </c>
      <c r="O3533" t="s">
        <v>41250</v>
      </c>
      <c r="P3533">
        <v>0</v>
      </c>
      <c r="Q3533">
        <v>1</v>
      </c>
      <c r="R3533" t="s">
        <v>41252</v>
      </c>
      <c r="S3533" t="s">
        <v>41383</v>
      </c>
      <c r="T3533" t="s">
        <v>42867</v>
      </c>
      <c r="U3533" t="s">
        <v>46154</v>
      </c>
      <c r="V3533" t="s">
        <v>54644</v>
      </c>
      <c r="W3533" t="s">
        <v>37627</v>
      </c>
      <c r="X3533" t="s">
        <v>41254</v>
      </c>
    </row>
    <row r="3534" spans="1:24">
      <c r="A3534">
        <f>HYPERLINK("https://www.philgeps.gov.ph/GEPSNONPILOT/Tender/SplashBidNoticeAbstractUI.aspx?menuIndex=3&amp;refID=7074698&amp;Result=3","7074698")</f>
        <v>0</v>
      </c>
      <c r="B3534" t="s">
        <v>1375</v>
      </c>
      <c r="C3534" t="s">
        <v>6777</v>
      </c>
      <c r="D3534" t="s">
        <v>16608</v>
      </c>
      <c r="E3534" t="s">
        <v>19903</v>
      </c>
      <c r="F3534" t="s">
        <v>28669</v>
      </c>
      <c r="G3534" t="s">
        <v>28678</v>
      </c>
      <c r="H3534" t="s">
        <v>9998</v>
      </c>
      <c r="I3534" t="s">
        <v>28708</v>
      </c>
      <c r="J3534" t="s">
        <v>29250</v>
      </c>
      <c r="K3534" t="s">
        <v>37209</v>
      </c>
      <c r="M3534" t="s">
        <v>38934</v>
      </c>
      <c r="N3534" t="s">
        <v>41249</v>
      </c>
      <c r="O3534" t="s">
        <v>41250</v>
      </c>
      <c r="P3534">
        <v>0</v>
      </c>
      <c r="Q3534">
        <v>10</v>
      </c>
      <c r="R3534" t="s">
        <v>41252</v>
      </c>
      <c r="S3534" t="s">
        <v>41383</v>
      </c>
      <c r="T3534" t="s">
        <v>42867</v>
      </c>
      <c r="U3534" t="s">
        <v>46155</v>
      </c>
      <c r="W3534" t="s">
        <v>38934</v>
      </c>
      <c r="X3534" t="s">
        <v>41254</v>
      </c>
    </row>
    <row r="3535" spans="1:24">
      <c r="A3535">
        <f>HYPERLINK("https://www.philgeps.gov.ph/GEPSNONPILOT/Tender/SplashBidNoticeAbstractUI.aspx?menuIndex=3&amp;refID=7074666&amp;Result=3","7074666")</f>
        <v>0</v>
      </c>
      <c r="B3535" t="s">
        <v>1267</v>
      </c>
      <c r="C3535" t="s">
        <v>6778</v>
      </c>
      <c r="D3535" t="s">
        <v>16654</v>
      </c>
      <c r="E3535" t="s">
        <v>19904</v>
      </c>
      <c r="F3535" t="s">
        <v>28669</v>
      </c>
      <c r="G3535" t="s">
        <v>28676</v>
      </c>
      <c r="H3535" t="s">
        <v>9998</v>
      </c>
      <c r="I3535" t="s">
        <v>11142</v>
      </c>
      <c r="J3535" t="s">
        <v>31134</v>
      </c>
      <c r="K3535" t="s">
        <v>37234</v>
      </c>
      <c r="M3535" t="s">
        <v>38816</v>
      </c>
      <c r="N3535" t="s">
        <v>41249</v>
      </c>
      <c r="O3535" t="s">
        <v>41250</v>
      </c>
      <c r="P3535">
        <v>0</v>
      </c>
      <c r="Q3535">
        <v>1</v>
      </c>
      <c r="R3535" t="s">
        <v>41252</v>
      </c>
      <c r="S3535" t="s">
        <v>41383</v>
      </c>
      <c r="T3535" t="s">
        <v>42701</v>
      </c>
      <c r="U3535" t="s">
        <v>44333</v>
      </c>
      <c r="W3535" t="s">
        <v>38816</v>
      </c>
      <c r="X3535" t="s">
        <v>41254</v>
      </c>
    </row>
    <row r="3536" spans="1:24">
      <c r="A3536">
        <f>HYPERLINK("https://www.philgeps.gov.ph/GEPSNONPILOT/Tender/SplashBidNoticeAbstractUI.aspx?menuIndex=3&amp;refID=7074696&amp;Result=3","7074696")</f>
        <v>0</v>
      </c>
      <c r="B3536" t="s">
        <v>965</v>
      </c>
      <c r="C3536" t="s">
        <v>6779</v>
      </c>
      <c r="D3536" t="s">
        <v>16608</v>
      </c>
      <c r="E3536" t="s">
        <v>19905</v>
      </c>
      <c r="F3536" t="s">
        <v>28669</v>
      </c>
      <c r="G3536" t="s">
        <v>28675</v>
      </c>
      <c r="H3536" t="s">
        <v>9998</v>
      </c>
      <c r="I3536" t="s">
        <v>5213</v>
      </c>
      <c r="J3536" t="s">
        <v>30596</v>
      </c>
      <c r="K3536" t="s">
        <v>37205</v>
      </c>
      <c r="M3536" t="s">
        <v>38890</v>
      </c>
      <c r="N3536" t="s">
        <v>41249</v>
      </c>
      <c r="O3536" t="s">
        <v>41250</v>
      </c>
      <c r="P3536">
        <v>0</v>
      </c>
      <c r="Q3536">
        <v>0</v>
      </c>
      <c r="R3536" t="s">
        <v>41252</v>
      </c>
      <c r="S3536" t="s">
        <v>41383</v>
      </c>
      <c r="T3536" t="s">
        <v>42703</v>
      </c>
      <c r="U3536" t="s">
        <v>45206</v>
      </c>
      <c r="W3536" t="s">
        <v>38890</v>
      </c>
      <c r="X3536" t="s">
        <v>41254</v>
      </c>
    </row>
    <row r="3537" spans="1:24">
      <c r="A3537">
        <f>HYPERLINK("https://www.philgeps.gov.ph/GEPSNONPILOT/Tender/SplashBidNoticeAbstractUI.aspx?menuIndex=3&amp;refID=7074609&amp;Result=3","7074609")</f>
        <v>0</v>
      </c>
      <c r="B3537" t="s">
        <v>1192</v>
      </c>
      <c r="C3537" t="s">
        <v>6780</v>
      </c>
      <c r="D3537" t="s">
        <v>16619</v>
      </c>
      <c r="E3537" t="s">
        <v>19906</v>
      </c>
      <c r="F3537" t="s">
        <v>28669</v>
      </c>
      <c r="G3537" t="s">
        <v>28676</v>
      </c>
      <c r="H3537" t="s">
        <v>9998</v>
      </c>
      <c r="I3537" t="s">
        <v>28725</v>
      </c>
      <c r="J3537" t="s">
        <v>30438</v>
      </c>
      <c r="K3537" t="s">
        <v>37208</v>
      </c>
      <c r="M3537" t="s">
        <v>38732</v>
      </c>
      <c r="N3537" t="s">
        <v>41249</v>
      </c>
      <c r="O3537" t="s">
        <v>41250</v>
      </c>
      <c r="P3537">
        <v>0</v>
      </c>
      <c r="Q3537">
        <v>0</v>
      </c>
      <c r="R3537" t="s">
        <v>41252</v>
      </c>
      <c r="S3537" t="s">
        <v>41383</v>
      </c>
      <c r="T3537" t="s">
        <v>42758</v>
      </c>
      <c r="U3537" t="s">
        <v>46156</v>
      </c>
      <c r="W3537" t="s">
        <v>38732</v>
      </c>
      <c r="X3537" t="s">
        <v>41254</v>
      </c>
    </row>
    <row r="3538" spans="1:24">
      <c r="A3538">
        <f>HYPERLINK("https://www.philgeps.gov.ph/GEPSNONPILOT/Tender/SplashBidNoticeAbstractUI.aspx?menuIndex=3&amp;refID=7074697&amp;Result=3","7074697")</f>
        <v>0</v>
      </c>
      <c r="B3538" t="s">
        <v>1372</v>
      </c>
      <c r="C3538" t="s">
        <v>6781</v>
      </c>
      <c r="D3538" t="s">
        <v>16657</v>
      </c>
      <c r="E3538" t="s">
        <v>19907</v>
      </c>
      <c r="F3538" t="s">
        <v>28669</v>
      </c>
      <c r="G3538" t="s">
        <v>28675</v>
      </c>
      <c r="H3538" t="s">
        <v>28686</v>
      </c>
      <c r="I3538" t="s">
        <v>28689</v>
      </c>
      <c r="J3538" t="s">
        <v>28905</v>
      </c>
      <c r="K3538" t="s">
        <v>37209</v>
      </c>
      <c r="M3538" t="s">
        <v>38931</v>
      </c>
      <c r="N3538" t="s">
        <v>41249</v>
      </c>
      <c r="O3538" t="s">
        <v>41250</v>
      </c>
      <c r="P3538">
        <v>0</v>
      </c>
      <c r="Q3538">
        <v>1</v>
      </c>
      <c r="R3538" t="s">
        <v>41252</v>
      </c>
      <c r="S3538" t="s">
        <v>41383</v>
      </c>
      <c r="T3538" t="s">
        <v>42757</v>
      </c>
      <c r="U3538" t="s">
        <v>46157</v>
      </c>
      <c r="V3538" t="s">
        <v>54655</v>
      </c>
      <c r="W3538" t="s">
        <v>38931</v>
      </c>
      <c r="X3538" t="s">
        <v>41254</v>
      </c>
    </row>
    <row r="3539" spans="1:24">
      <c r="A3539">
        <f>HYPERLINK("https://www.philgeps.gov.ph/GEPSNONPILOT/Tender/SplashBidNoticeAbstractUI.aspx?menuIndex=3&amp;refID=7074695&amp;Result=3","7074695")</f>
        <v>0</v>
      </c>
      <c r="B3539" t="s">
        <v>114</v>
      </c>
      <c r="C3539" t="s">
        <v>6782</v>
      </c>
      <c r="D3539" t="s">
        <v>16608</v>
      </c>
      <c r="E3539" t="s">
        <v>19908</v>
      </c>
      <c r="F3539" t="s">
        <v>28669</v>
      </c>
      <c r="G3539" t="s">
        <v>28677</v>
      </c>
      <c r="H3539" t="s">
        <v>9998</v>
      </c>
      <c r="I3539" t="s">
        <v>5286</v>
      </c>
      <c r="J3539" t="s">
        <v>31135</v>
      </c>
      <c r="K3539" t="s">
        <v>37210</v>
      </c>
      <c r="M3539" t="s">
        <v>37793</v>
      </c>
      <c r="N3539" t="s">
        <v>41249</v>
      </c>
      <c r="O3539" t="s">
        <v>41250</v>
      </c>
      <c r="P3539">
        <v>0</v>
      </c>
      <c r="Q3539">
        <v>2</v>
      </c>
      <c r="R3539" t="s">
        <v>41252</v>
      </c>
      <c r="S3539" t="s">
        <v>41383</v>
      </c>
      <c r="T3539" t="s">
        <v>42878</v>
      </c>
      <c r="U3539" t="s">
        <v>46158</v>
      </c>
      <c r="V3539" t="s">
        <v>54326</v>
      </c>
      <c r="W3539" t="s">
        <v>37793</v>
      </c>
      <c r="X3539" t="s">
        <v>41254</v>
      </c>
    </row>
    <row r="3540" spans="1:24">
      <c r="A3540">
        <f>HYPERLINK("https://www.philgeps.gov.ph/GEPSNONPILOT/Tender/SplashBidNoticeAbstractUI.aspx?menuIndex=3&amp;refID=7074707&amp;Result=3","7074707")</f>
        <v>0</v>
      </c>
      <c r="B3540" t="s">
        <v>1350</v>
      </c>
      <c r="C3540" t="s">
        <v>6783</v>
      </c>
      <c r="D3540" t="s">
        <v>16608</v>
      </c>
      <c r="E3540" t="s">
        <v>19909</v>
      </c>
      <c r="F3540" t="s">
        <v>28669</v>
      </c>
      <c r="G3540" t="s">
        <v>28676</v>
      </c>
      <c r="H3540" t="s">
        <v>9998</v>
      </c>
      <c r="I3540" t="s">
        <v>28728</v>
      </c>
      <c r="J3540" t="s">
        <v>29404</v>
      </c>
      <c r="K3540" t="s">
        <v>37327</v>
      </c>
      <c r="M3540" t="s">
        <v>38905</v>
      </c>
      <c r="N3540" t="s">
        <v>41249</v>
      </c>
      <c r="O3540" t="s">
        <v>41250</v>
      </c>
      <c r="P3540">
        <v>0</v>
      </c>
      <c r="Q3540">
        <v>0</v>
      </c>
      <c r="R3540" t="s">
        <v>41252</v>
      </c>
      <c r="S3540" t="s">
        <v>41383</v>
      </c>
      <c r="T3540" t="s">
        <v>42757</v>
      </c>
      <c r="U3540" t="s">
        <v>46159</v>
      </c>
      <c r="W3540" t="s">
        <v>38905</v>
      </c>
      <c r="X3540" t="s">
        <v>41254</v>
      </c>
    </row>
    <row r="3541" spans="1:24">
      <c r="A3541">
        <f>HYPERLINK("https://www.philgeps.gov.ph/GEPSNONPILOT/Tender/SplashBidNoticeAbstractUI.aspx?menuIndex=3&amp;refID=7074694&amp;Result=3","7074694")</f>
        <v>0</v>
      </c>
      <c r="B3541" t="s">
        <v>1076</v>
      </c>
      <c r="C3541" t="s">
        <v>6784</v>
      </c>
      <c r="D3541" t="s">
        <v>16611</v>
      </c>
      <c r="E3541" t="s">
        <v>19910</v>
      </c>
      <c r="F3541" t="s">
        <v>28669</v>
      </c>
      <c r="G3541" t="s">
        <v>28676</v>
      </c>
      <c r="H3541" t="s">
        <v>9998</v>
      </c>
      <c r="I3541" t="s">
        <v>8667</v>
      </c>
      <c r="J3541" t="s">
        <v>31136</v>
      </c>
      <c r="K3541" t="s">
        <v>37205</v>
      </c>
      <c r="M3541" t="s">
        <v>38608</v>
      </c>
      <c r="N3541" t="s">
        <v>41249</v>
      </c>
      <c r="O3541" t="s">
        <v>41250</v>
      </c>
      <c r="P3541">
        <v>0</v>
      </c>
      <c r="Q3541">
        <v>5</v>
      </c>
      <c r="R3541" t="s">
        <v>41252</v>
      </c>
      <c r="S3541" t="s">
        <v>41383</v>
      </c>
      <c r="T3541" t="s">
        <v>42729</v>
      </c>
      <c r="U3541" t="s">
        <v>44679</v>
      </c>
      <c r="W3541" t="s">
        <v>38608</v>
      </c>
      <c r="X3541" t="s">
        <v>41254</v>
      </c>
    </row>
    <row r="3542" spans="1:24">
      <c r="A3542">
        <f>HYPERLINK("https://www.philgeps.gov.ph/GEPSNONPILOT/Tender/SplashBidNoticeAbstractUI.aspx?menuIndex=3&amp;refID=7074689&amp;Result=3","7074689")</f>
        <v>0</v>
      </c>
      <c r="B3542" t="s">
        <v>1376</v>
      </c>
      <c r="C3542" t="s">
        <v>4897</v>
      </c>
      <c r="D3542" t="s">
        <v>16658</v>
      </c>
      <c r="E3542" t="s">
        <v>19911</v>
      </c>
      <c r="F3542" t="s">
        <v>28672</v>
      </c>
      <c r="G3542" t="s">
        <v>28675</v>
      </c>
      <c r="H3542" t="s">
        <v>28686</v>
      </c>
      <c r="I3542" t="s">
        <v>28689</v>
      </c>
      <c r="J3542" t="s">
        <v>31137</v>
      </c>
      <c r="K3542" t="s">
        <v>37227</v>
      </c>
      <c r="M3542" t="s">
        <v>38935</v>
      </c>
      <c r="N3542" t="s">
        <v>41249</v>
      </c>
      <c r="O3542" t="s">
        <v>41250</v>
      </c>
      <c r="P3542">
        <v>0</v>
      </c>
      <c r="Q3542">
        <v>0</v>
      </c>
      <c r="R3542" t="s">
        <v>41252</v>
      </c>
      <c r="S3542" t="s">
        <v>41383</v>
      </c>
      <c r="T3542" t="s">
        <v>42881</v>
      </c>
      <c r="U3542" t="s">
        <v>46160</v>
      </c>
      <c r="W3542" t="s">
        <v>38935</v>
      </c>
      <c r="X3542" t="s">
        <v>41254</v>
      </c>
    </row>
    <row r="3543" spans="1:24">
      <c r="A3543">
        <f>HYPERLINK("https://www.philgeps.gov.ph/GEPSNONPILOT/Tender/SplashBidNoticeAbstractUI.aspx?menuIndex=3&amp;refID=7074703&amp;Result=3","7074703")</f>
        <v>0</v>
      </c>
      <c r="B3543" t="s">
        <v>51</v>
      </c>
      <c r="C3543" t="s">
        <v>6785</v>
      </c>
      <c r="D3543" t="s">
        <v>16631</v>
      </c>
      <c r="E3543" t="s">
        <v>19912</v>
      </c>
      <c r="F3543" t="s">
        <v>28669</v>
      </c>
      <c r="G3543" t="s">
        <v>28676</v>
      </c>
      <c r="H3543" t="s">
        <v>9998</v>
      </c>
      <c r="I3543" t="s">
        <v>28695</v>
      </c>
      <c r="J3543" t="s">
        <v>31138</v>
      </c>
      <c r="K3543" t="s">
        <v>37204</v>
      </c>
      <c r="M3543" t="s">
        <v>38699</v>
      </c>
      <c r="N3543" t="s">
        <v>41249</v>
      </c>
      <c r="O3543" t="s">
        <v>41250</v>
      </c>
      <c r="P3543">
        <v>0</v>
      </c>
      <c r="Q3543">
        <v>0</v>
      </c>
      <c r="R3543" t="s">
        <v>41252</v>
      </c>
      <c r="S3543" t="s">
        <v>41383</v>
      </c>
      <c r="T3543" t="s">
        <v>42670</v>
      </c>
      <c r="U3543" t="s">
        <v>46161</v>
      </c>
      <c r="W3543" t="s">
        <v>38699</v>
      </c>
      <c r="X3543" t="s">
        <v>41254</v>
      </c>
    </row>
    <row r="3544" spans="1:24">
      <c r="A3544">
        <f>HYPERLINK("https://www.philgeps.gov.ph/GEPSNONPILOT/Tender/SplashBidNoticeAbstractUI.aspx?menuIndex=3&amp;refID=7074687&amp;Result=3","7074687")</f>
        <v>0</v>
      </c>
      <c r="B3544" t="s">
        <v>1377</v>
      </c>
      <c r="C3544" t="s">
        <v>6786</v>
      </c>
      <c r="D3544" t="s">
        <v>16636</v>
      </c>
      <c r="E3544" t="s">
        <v>19913</v>
      </c>
      <c r="F3544" t="s">
        <v>28669</v>
      </c>
      <c r="G3544" t="s">
        <v>28676</v>
      </c>
      <c r="H3544" t="s">
        <v>28686</v>
      </c>
      <c r="I3544" t="s">
        <v>28689</v>
      </c>
      <c r="J3544" t="s">
        <v>31139</v>
      </c>
      <c r="K3544" t="s">
        <v>37208</v>
      </c>
      <c r="M3544" t="s">
        <v>38936</v>
      </c>
      <c r="N3544" t="s">
        <v>41249</v>
      </c>
      <c r="O3544" t="s">
        <v>41250</v>
      </c>
      <c r="P3544">
        <v>0</v>
      </c>
      <c r="Q3544">
        <v>0</v>
      </c>
      <c r="R3544" t="s">
        <v>41252</v>
      </c>
      <c r="S3544" t="s">
        <v>41383</v>
      </c>
      <c r="T3544" t="s">
        <v>42748</v>
      </c>
      <c r="U3544" t="s">
        <v>46162</v>
      </c>
      <c r="W3544" t="s">
        <v>38936</v>
      </c>
      <c r="X3544" t="s">
        <v>41254</v>
      </c>
    </row>
    <row r="3545" spans="1:24">
      <c r="A3545">
        <f>HYPERLINK("https://www.philgeps.gov.ph/GEPSNONPILOT/Tender/SplashBidNoticeAbstractUI.aspx?menuIndex=3&amp;refID=7074735&amp;Result=3","7074735")</f>
        <v>0</v>
      </c>
      <c r="B3545" t="s">
        <v>681</v>
      </c>
      <c r="C3545" t="s">
        <v>6787</v>
      </c>
      <c r="D3545" t="s">
        <v>16671</v>
      </c>
      <c r="E3545" t="s">
        <v>19914</v>
      </c>
      <c r="F3545" t="s">
        <v>28669</v>
      </c>
      <c r="G3545" t="s">
        <v>28676</v>
      </c>
      <c r="H3545" t="s">
        <v>9998</v>
      </c>
      <c r="I3545" t="s">
        <v>3718</v>
      </c>
      <c r="J3545" t="s">
        <v>31140</v>
      </c>
      <c r="K3545" t="s">
        <v>37205</v>
      </c>
      <c r="M3545" t="s">
        <v>38185</v>
      </c>
      <c r="N3545" t="s">
        <v>41249</v>
      </c>
      <c r="O3545" t="s">
        <v>41250</v>
      </c>
      <c r="P3545">
        <v>0</v>
      </c>
      <c r="Q3545">
        <v>0</v>
      </c>
      <c r="R3545" t="s">
        <v>41252</v>
      </c>
      <c r="S3545" t="s">
        <v>41383</v>
      </c>
      <c r="T3545" t="s">
        <v>42754</v>
      </c>
      <c r="U3545" t="s">
        <v>46163</v>
      </c>
      <c r="W3545" t="s">
        <v>38185</v>
      </c>
      <c r="X3545" t="s">
        <v>41254</v>
      </c>
    </row>
    <row r="3546" spans="1:24">
      <c r="A3546">
        <f>HYPERLINK("https://www.philgeps.gov.ph/GEPSNONPILOT/Tender/SplashBidNoticeAbstractUI.aspx?menuIndex=3&amp;refID=7074699&amp;Result=3","7074699")</f>
        <v>0</v>
      </c>
      <c r="B3546" t="s">
        <v>829</v>
      </c>
      <c r="C3546" t="s">
        <v>6788</v>
      </c>
      <c r="D3546" t="s">
        <v>16640</v>
      </c>
      <c r="E3546" t="s">
        <v>19915</v>
      </c>
      <c r="F3546" t="s">
        <v>28669</v>
      </c>
      <c r="G3546" t="s">
        <v>28678</v>
      </c>
      <c r="H3546" t="s">
        <v>9998</v>
      </c>
      <c r="I3546" t="s">
        <v>28688</v>
      </c>
      <c r="J3546" t="s">
        <v>31141</v>
      </c>
      <c r="K3546" t="s">
        <v>37206</v>
      </c>
      <c r="L3546" t="s">
        <v>829</v>
      </c>
      <c r="M3546" t="s">
        <v>38345</v>
      </c>
      <c r="N3546" t="s">
        <v>41249</v>
      </c>
      <c r="O3546" t="s">
        <v>41250</v>
      </c>
      <c r="P3546">
        <v>0</v>
      </c>
      <c r="Q3546">
        <v>7</v>
      </c>
      <c r="R3546" t="s">
        <v>41252</v>
      </c>
      <c r="S3546" t="s">
        <v>41383</v>
      </c>
      <c r="T3546" t="s">
        <v>42757</v>
      </c>
      <c r="U3546" t="s">
        <v>46164</v>
      </c>
      <c r="W3546" t="s">
        <v>38345</v>
      </c>
      <c r="X3546" t="s">
        <v>41254</v>
      </c>
    </row>
    <row r="3547" spans="1:24">
      <c r="A3547">
        <f>HYPERLINK("https://www.philgeps.gov.ph/GEPSNONPILOT/Tender/SplashBidNoticeAbstractUI.aspx?menuIndex=3&amp;refID=7074690&amp;Result=3","7074690")</f>
        <v>0</v>
      </c>
      <c r="B3547" t="s">
        <v>1278</v>
      </c>
      <c r="C3547" t="s">
        <v>6789</v>
      </c>
      <c r="D3547" t="s">
        <v>16623</v>
      </c>
      <c r="E3547" t="s">
        <v>19916</v>
      </c>
      <c r="F3547" t="s">
        <v>28669</v>
      </c>
      <c r="G3547" t="s">
        <v>28676</v>
      </c>
      <c r="H3547" t="s">
        <v>9998</v>
      </c>
      <c r="I3547" t="s">
        <v>6606</v>
      </c>
      <c r="J3547" t="s">
        <v>30147</v>
      </c>
      <c r="K3547" t="s">
        <v>37256</v>
      </c>
      <c r="M3547" t="s">
        <v>38828</v>
      </c>
      <c r="N3547" t="s">
        <v>41249</v>
      </c>
      <c r="O3547" t="s">
        <v>41250</v>
      </c>
      <c r="P3547">
        <v>0</v>
      </c>
      <c r="Q3547">
        <v>0</v>
      </c>
      <c r="R3547" t="s">
        <v>41252</v>
      </c>
      <c r="S3547" t="s">
        <v>41383</v>
      </c>
      <c r="T3547" t="s">
        <v>42757</v>
      </c>
      <c r="U3547" t="s">
        <v>45858</v>
      </c>
      <c r="W3547" t="s">
        <v>38828</v>
      </c>
      <c r="X3547" t="s">
        <v>41254</v>
      </c>
    </row>
    <row r="3548" spans="1:24">
      <c r="A3548">
        <f>HYPERLINK("https://www.philgeps.gov.ph/GEPSNONPILOT/Tender/SplashBidNoticeAbstractUI.aspx?menuIndex=3&amp;refID=7074691&amp;Result=3","7074691")</f>
        <v>0</v>
      </c>
      <c r="B3548" t="s">
        <v>1378</v>
      </c>
      <c r="C3548" t="s">
        <v>6790</v>
      </c>
      <c r="E3548" t="s">
        <v>19917</v>
      </c>
      <c r="F3548" t="s">
        <v>28669</v>
      </c>
      <c r="G3548" t="s">
        <v>28675</v>
      </c>
      <c r="H3548" t="s">
        <v>9998</v>
      </c>
      <c r="I3548" t="s">
        <v>28709</v>
      </c>
      <c r="J3548" t="s">
        <v>28905</v>
      </c>
      <c r="K3548" t="s">
        <v>37209</v>
      </c>
      <c r="M3548" t="s">
        <v>38937</v>
      </c>
      <c r="N3548" t="s">
        <v>41249</v>
      </c>
      <c r="O3548" t="s">
        <v>41250</v>
      </c>
      <c r="P3548">
        <v>0</v>
      </c>
      <c r="Q3548">
        <v>1</v>
      </c>
      <c r="R3548" t="s">
        <v>41252</v>
      </c>
      <c r="S3548" t="s">
        <v>41383</v>
      </c>
      <c r="T3548" t="s">
        <v>42742</v>
      </c>
      <c r="U3548" t="s">
        <v>46165</v>
      </c>
      <c r="W3548" t="s">
        <v>38937</v>
      </c>
      <c r="X3548" t="s">
        <v>41254</v>
      </c>
    </row>
    <row r="3549" spans="1:24">
      <c r="A3549">
        <f>HYPERLINK("https://www.philgeps.gov.ph/GEPSNONPILOT/Tender/SplashBidNoticeAbstractUI.aspx?menuIndex=3&amp;refID=7074731&amp;Result=3","7074731")</f>
        <v>0</v>
      </c>
      <c r="B3549" t="s">
        <v>1375</v>
      </c>
      <c r="C3549" t="s">
        <v>6791</v>
      </c>
      <c r="D3549" t="s">
        <v>16608</v>
      </c>
      <c r="E3549" t="s">
        <v>19918</v>
      </c>
      <c r="F3549" t="s">
        <v>28669</v>
      </c>
      <c r="G3549" t="s">
        <v>28676</v>
      </c>
      <c r="H3549" t="s">
        <v>9998</v>
      </c>
      <c r="I3549" t="s">
        <v>28729</v>
      </c>
      <c r="J3549" t="s">
        <v>28878</v>
      </c>
      <c r="K3549" t="s">
        <v>37209</v>
      </c>
      <c r="M3549" t="s">
        <v>38934</v>
      </c>
      <c r="N3549" t="s">
        <v>41249</v>
      </c>
      <c r="O3549" t="s">
        <v>41250</v>
      </c>
      <c r="P3549">
        <v>0</v>
      </c>
      <c r="Q3549">
        <v>32</v>
      </c>
      <c r="R3549" t="s">
        <v>41252</v>
      </c>
      <c r="S3549" t="s">
        <v>41383</v>
      </c>
      <c r="T3549" t="s">
        <v>42867</v>
      </c>
      <c r="U3549" t="s">
        <v>46155</v>
      </c>
      <c r="W3549" t="s">
        <v>38934</v>
      </c>
      <c r="X3549" t="s">
        <v>41254</v>
      </c>
    </row>
    <row r="3550" spans="1:24">
      <c r="A3550">
        <f>HYPERLINK("https://www.philgeps.gov.ph/GEPSNONPILOT/Tender/SplashBidNoticeAbstractUI.aspx?menuIndex=3&amp;refID=7074688&amp;Result=3","7074688")</f>
        <v>0</v>
      </c>
      <c r="B3550" t="s">
        <v>962</v>
      </c>
      <c r="C3550" t="s">
        <v>6792</v>
      </c>
      <c r="D3550" t="s">
        <v>16611</v>
      </c>
      <c r="E3550" t="s">
        <v>19919</v>
      </c>
      <c r="F3550" t="s">
        <v>28669</v>
      </c>
      <c r="G3550" t="s">
        <v>28676</v>
      </c>
      <c r="H3550" t="s">
        <v>9998</v>
      </c>
      <c r="I3550" t="s">
        <v>28704</v>
      </c>
      <c r="J3550" t="s">
        <v>31142</v>
      </c>
      <c r="K3550" t="s">
        <v>37205</v>
      </c>
      <c r="M3550" t="s">
        <v>38487</v>
      </c>
      <c r="N3550" t="s">
        <v>41249</v>
      </c>
      <c r="O3550" t="s">
        <v>41250</v>
      </c>
      <c r="P3550">
        <v>0</v>
      </c>
      <c r="Q3550">
        <v>0</v>
      </c>
      <c r="R3550" t="s">
        <v>41252</v>
      </c>
      <c r="S3550" t="s">
        <v>41383</v>
      </c>
      <c r="T3550" t="s">
        <v>42743</v>
      </c>
      <c r="U3550" t="s">
        <v>46166</v>
      </c>
      <c r="W3550" t="s">
        <v>55946</v>
      </c>
      <c r="X3550" t="s">
        <v>41254</v>
      </c>
    </row>
    <row r="3551" spans="1:24">
      <c r="A3551">
        <f>HYPERLINK("https://www.philgeps.gov.ph/GEPSNONPILOT/Tender/SplashBidNoticeAbstractUI.aspx?menuIndex=3&amp;refID=7074729&amp;Result=3","7074729")</f>
        <v>0</v>
      </c>
      <c r="B3551" t="s">
        <v>1244</v>
      </c>
      <c r="C3551" t="s">
        <v>6793</v>
      </c>
      <c r="D3551" t="s">
        <v>16686</v>
      </c>
      <c r="E3551" t="s">
        <v>19920</v>
      </c>
      <c r="F3551" t="s">
        <v>28669</v>
      </c>
      <c r="G3551" t="s">
        <v>28676</v>
      </c>
      <c r="H3551" t="s">
        <v>9998</v>
      </c>
      <c r="I3551" t="s">
        <v>15140</v>
      </c>
      <c r="J3551" t="s">
        <v>31143</v>
      </c>
      <c r="K3551" t="s">
        <v>37205</v>
      </c>
      <c r="M3551" t="s">
        <v>38791</v>
      </c>
      <c r="N3551" t="s">
        <v>41249</v>
      </c>
      <c r="O3551" t="s">
        <v>41250</v>
      </c>
      <c r="P3551">
        <v>0</v>
      </c>
      <c r="Q3551">
        <v>0</v>
      </c>
      <c r="R3551" t="s">
        <v>41252</v>
      </c>
      <c r="S3551" t="s">
        <v>41383</v>
      </c>
      <c r="T3551" t="s">
        <v>42711</v>
      </c>
      <c r="U3551" t="s">
        <v>46167</v>
      </c>
      <c r="W3551" t="s">
        <v>38791</v>
      </c>
      <c r="X3551" t="s">
        <v>41254</v>
      </c>
    </row>
    <row r="3552" spans="1:24">
      <c r="A3552">
        <f>HYPERLINK("https://www.philgeps.gov.ph/GEPSNONPILOT/Tender/SplashBidNoticeAbstractUI.aspx?menuIndex=3&amp;refID=7074727&amp;Result=3","7074727")</f>
        <v>0</v>
      </c>
      <c r="B3552" t="s">
        <v>1348</v>
      </c>
      <c r="C3552" t="s">
        <v>6794</v>
      </c>
      <c r="D3552" t="s">
        <v>16608</v>
      </c>
      <c r="E3552" t="s">
        <v>19921</v>
      </c>
      <c r="F3552" t="s">
        <v>28669</v>
      </c>
      <c r="G3552" t="s">
        <v>28676</v>
      </c>
      <c r="H3552" t="s">
        <v>9998</v>
      </c>
      <c r="I3552" t="s">
        <v>28708</v>
      </c>
      <c r="J3552" t="s">
        <v>31144</v>
      </c>
      <c r="K3552" t="s">
        <v>37204</v>
      </c>
      <c r="M3552" t="s">
        <v>37627</v>
      </c>
      <c r="N3552" t="s">
        <v>41249</v>
      </c>
      <c r="O3552" t="s">
        <v>41250</v>
      </c>
      <c r="P3552">
        <v>0</v>
      </c>
      <c r="Q3552">
        <v>0</v>
      </c>
      <c r="R3552" t="s">
        <v>41252</v>
      </c>
      <c r="S3552" t="s">
        <v>41383</v>
      </c>
      <c r="T3552" t="s">
        <v>42867</v>
      </c>
      <c r="U3552" t="s">
        <v>46168</v>
      </c>
      <c r="V3552" t="s">
        <v>54644</v>
      </c>
      <c r="W3552" t="s">
        <v>37627</v>
      </c>
      <c r="X3552" t="s">
        <v>41254</v>
      </c>
    </row>
    <row r="3553" spans="1:24">
      <c r="A3553">
        <f>HYPERLINK("https://www.philgeps.gov.ph/GEPSNONPILOT/Tender/SplashBidNoticeAbstractUI.aspx?menuIndex=3&amp;refID=7074709&amp;Result=3","7074709")</f>
        <v>0</v>
      </c>
      <c r="B3553" t="s">
        <v>1267</v>
      </c>
      <c r="C3553" t="s">
        <v>6795</v>
      </c>
      <c r="D3553" t="s">
        <v>16654</v>
      </c>
      <c r="E3553" t="s">
        <v>19922</v>
      </c>
      <c r="F3553" t="s">
        <v>28669</v>
      </c>
      <c r="G3553" t="s">
        <v>28678</v>
      </c>
      <c r="H3553" t="s">
        <v>9998</v>
      </c>
      <c r="I3553" t="s">
        <v>28721</v>
      </c>
      <c r="J3553" t="s">
        <v>31145</v>
      </c>
      <c r="K3553" t="s">
        <v>37234</v>
      </c>
      <c r="M3553" t="s">
        <v>38816</v>
      </c>
      <c r="N3553" t="s">
        <v>41249</v>
      </c>
      <c r="O3553" t="s">
        <v>41250</v>
      </c>
      <c r="P3553">
        <v>0</v>
      </c>
      <c r="Q3553">
        <v>2</v>
      </c>
      <c r="R3553" t="s">
        <v>41252</v>
      </c>
      <c r="S3553" t="s">
        <v>41383</v>
      </c>
      <c r="T3553" t="s">
        <v>42701</v>
      </c>
      <c r="U3553" t="s">
        <v>44333</v>
      </c>
      <c r="W3553" t="s">
        <v>38816</v>
      </c>
      <c r="X3553" t="s">
        <v>41254</v>
      </c>
    </row>
    <row r="3554" spans="1:24">
      <c r="A3554">
        <f>HYPERLINK("https://www.philgeps.gov.ph/GEPSNONPILOT/Tender/SplashBidNoticeAbstractUI.aspx?menuIndex=3&amp;refID=7074726&amp;Result=3","7074726")</f>
        <v>0</v>
      </c>
      <c r="B3554" t="s">
        <v>1379</v>
      </c>
      <c r="C3554" t="s">
        <v>6796</v>
      </c>
      <c r="D3554" t="s">
        <v>16648</v>
      </c>
      <c r="E3554" t="s">
        <v>19923</v>
      </c>
      <c r="F3554" t="s">
        <v>28669</v>
      </c>
      <c r="G3554" t="s">
        <v>28675</v>
      </c>
      <c r="H3554" t="s">
        <v>28686</v>
      </c>
      <c r="I3554" t="s">
        <v>28689</v>
      </c>
      <c r="J3554" t="s">
        <v>31146</v>
      </c>
      <c r="K3554" t="s">
        <v>37255</v>
      </c>
      <c r="M3554" t="s">
        <v>38938</v>
      </c>
      <c r="N3554" t="s">
        <v>41249</v>
      </c>
      <c r="O3554" t="s">
        <v>41250</v>
      </c>
      <c r="P3554">
        <v>0</v>
      </c>
      <c r="Q3554">
        <v>0</v>
      </c>
      <c r="R3554" t="s">
        <v>41252</v>
      </c>
      <c r="S3554" t="s">
        <v>41383</v>
      </c>
      <c r="T3554" t="s">
        <v>42744</v>
      </c>
      <c r="U3554" t="s">
        <v>46169</v>
      </c>
      <c r="W3554" t="s">
        <v>38938</v>
      </c>
      <c r="X3554" t="s">
        <v>41254</v>
      </c>
    </row>
    <row r="3555" spans="1:24">
      <c r="A3555">
        <f>HYPERLINK("https://www.philgeps.gov.ph/GEPSNONPILOT/Tender/SplashBidNoticeAbstractUI.aspx?menuIndex=3&amp;refID=7074733&amp;Result=3","7074733")</f>
        <v>0</v>
      </c>
      <c r="B3555" t="s">
        <v>1151</v>
      </c>
      <c r="C3555" t="s">
        <v>6797</v>
      </c>
      <c r="D3555" t="s">
        <v>16643</v>
      </c>
      <c r="E3555" t="s">
        <v>19924</v>
      </c>
      <c r="F3555" t="s">
        <v>28669</v>
      </c>
      <c r="G3555" t="s">
        <v>28676</v>
      </c>
      <c r="H3555" t="s">
        <v>9998</v>
      </c>
      <c r="I3555" t="s">
        <v>3679</v>
      </c>
      <c r="J3555" t="s">
        <v>31147</v>
      </c>
      <c r="K3555" t="s">
        <v>37227</v>
      </c>
      <c r="M3555" t="s">
        <v>38939</v>
      </c>
      <c r="N3555" t="s">
        <v>41249</v>
      </c>
      <c r="O3555" t="s">
        <v>41250</v>
      </c>
      <c r="P3555">
        <v>0</v>
      </c>
      <c r="Q3555">
        <v>0</v>
      </c>
      <c r="R3555" t="s">
        <v>41252</v>
      </c>
      <c r="S3555" t="s">
        <v>41383</v>
      </c>
      <c r="T3555" t="s">
        <v>42673</v>
      </c>
      <c r="U3555" t="s">
        <v>46170</v>
      </c>
      <c r="W3555" t="s">
        <v>38939</v>
      </c>
      <c r="X3555" t="s">
        <v>41254</v>
      </c>
    </row>
    <row r="3556" spans="1:24">
      <c r="A3556">
        <f>HYPERLINK("https://www.philgeps.gov.ph/GEPSNONPILOT/Tender/SplashBidNoticeAbstractUI.aspx?menuIndex=3&amp;refID=7074720&amp;Result=3","7074720")</f>
        <v>0</v>
      </c>
      <c r="B3556" t="s">
        <v>761</v>
      </c>
      <c r="C3556" t="s">
        <v>6798</v>
      </c>
      <c r="D3556" t="s">
        <v>16608</v>
      </c>
      <c r="E3556" t="s">
        <v>19925</v>
      </c>
      <c r="F3556" t="s">
        <v>28669</v>
      </c>
      <c r="G3556" t="s">
        <v>28676</v>
      </c>
      <c r="H3556" t="s">
        <v>9998</v>
      </c>
      <c r="I3556" t="s">
        <v>28729</v>
      </c>
      <c r="J3556" t="s">
        <v>28859</v>
      </c>
      <c r="K3556" t="s">
        <v>37209</v>
      </c>
      <c r="M3556" t="s">
        <v>38272</v>
      </c>
      <c r="N3556" t="s">
        <v>41249</v>
      </c>
      <c r="O3556" t="s">
        <v>41250</v>
      </c>
      <c r="P3556">
        <v>0</v>
      </c>
      <c r="Q3556">
        <v>22</v>
      </c>
      <c r="R3556" t="s">
        <v>41252</v>
      </c>
      <c r="S3556" t="s">
        <v>41383</v>
      </c>
      <c r="T3556" t="s">
        <v>42665</v>
      </c>
      <c r="U3556" t="s">
        <v>46171</v>
      </c>
      <c r="W3556" t="s">
        <v>38272</v>
      </c>
      <c r="X3556" t="s">
        <v>41254</v>
      </c>
    </row>
    <row r="3557" spans="1:24">
      <c r="A3557">
        <f>HYPERLINK("https://www.philgeps.gov.ph/GEPSNONPILOT/Tender/SplashBidNoticeAbstractUI.aspx?menuIndex=3&amp;refID=7074717&amp;Result=3","7074717")</f>
        <v>0</v>
      </c>
      <c r="B3557" t="s">
        <v>123</v>
      </c>
      <c r="C3557" t="s">
        <v>6799</v>
      </c>
      <c r="D3557" t="s">
        <v>16608</v>
      </c>
      <c r="E3557" t="s">
        <v>16758</v>
      </c>
      <c r="F3557" t="s">
        <v>28669</v>
      </c>
      <c r="G3557" t="s">
        <v>28676</v>
      </c>
      <c r="H3557" t="s">
        <v>9998</v>
      </c>
      <c r="I3557" t="s">
        <v>28740</v>
      </c>
      <c r="J3557" t="s">
        <v>31148</v>
      </c>
      <c r="K3557" t="s">
        <v>37206</v>
      </c>
      <c r="M3557" t="s">
        <v>37599</v>
      </c>
      <c r="N3557" t="s">
        <v>41249</v>
      </c>
      <c r="O3557" t="s">
        <v>41250</v>
      </c>
      <c r="P3557">
        <v>0</v>
      </c>
      <c r="Q3557">
        <v>16</v>
      </c>
      <c r="R3557" t="s">
        <v>41252</v>
      </c>
      <c r="S3557" t="s">
        <v>41383</v>
      </c>
      <c r="T3557" t="s">
        <v>42701</v>
      </c>
      <c r="U3557" t="s">
        <v>46172</v>
      </c>
      <c r="W3557" t="s">
        <v>37599</v>
      </c>
      <c r="X3557" t="s">
        <v>41254</v>
      </c>
    </row>
    <row r="3558" spans="1:24">
      <c r="A3558">
        <f>HYPERLINK("https://www.philgeps.gov.ph/GEPSNONPILOT/Tender/SplashBidNoticeAbstractUI.aspx?menuIndex=3&amp;refID=7074716&amp;Result=3","7074716")</f>
        <v>0</v>
      </c>
      <c r="B3558" t="s">
        <v>1380</v>
      </c>
      <c r="C3558" t="s">
        <v>6800</v>
      </c>
      <c r="D3558" t="s">
        <v>16684</v>
      </c>
      <c r="E3558" t="s">
        <v>19926</v>
      </c>
      <c r="F3558" t="s">
        <v>28669</v>
      </c>
      <c r="G3558" t="s">
        <v>28676</v>
      </c>
      <c r="H3558" t="s">
        <v>9998</v>
      </c>
      <c r="I3558" t="s">
        <v>5213</v>
      </c>
      <c r="J3558" t="s">
        <v>31149</v>
      </c>
      <c r="K3558" t="s">
        <v>37208</v>
      </c>
      <c r="M3558" t="s">
        <v>38940</v>
      </c>
      <c r="N3558" t="s">
        <v>41249</v>
      </c>
      <c r="O3558" t="s">
        <v>41250</v>
      </c>
      <c r="P3558">
        <v>0</v>
      </c>
      <c r="Q3558">
        <v>1</v>
      </c>
      <c r="R3558" t="s">
        <v>41252</v>
      </c>
      <c r="S3558" t="s">
        <v>41383</v>
      </c>
      <c r="T3558" t="s">
        <v>42736</v>
      </c>
      <c r="U3558" t="s">
        <v>46173</v>
      </c>
      <c r="W3558" t="s">
        <v>38940</v>
      </c>
      <c r="X3558" t="s">
        <v>41254</v>
      </c>
    </row>
    <row r="3559" spans="1:24">
      <c r="A3559">
        <f>HYPERLINK("https://www.philgeps.gov.ph/GEPSNONPILOT/Tender/SplashBidNoticeAbstractUI.aspx?menuIndex=3&amp;refID=7074715&amp;Result=3","7074715")</f>
        <v>0</v>
      </c>
      <c r="B3559" t="s">
        <v>965</v>
      </c>
      <c r="C3559" t="s">
        <v>6801</v>
      </c>
      <c r="D3559" t="s">
        <v>16608</v>
      </c>
      <c r="E3559" t="s">
        <v>19927</v>
      </c>
      <c r="F3559" t="s">
        <v>28669</v>
      </c>
      <c r="G3559" t="s">
        <v>28675</v>
      </c>
      <c r="H3559" t="s">
        <v>9998</v>
      </c>
      <c r="I3559" t="s">
        <v>5213</v>
      </c>
      <c r="J3559" t="s">
        <v>28845</v>
      </c>
      <c r="K3559" t="s">
        <v>37205</v>
      </c>
      <c r="M3559" t="s">
        <v>38890</v>
      </c>
      <c r="N3559" t="s">
        <v>41249</v>
      </c>
      <c r="O3559" t="s">
        <v>41250</v>
      </c>
      <c r="P3559">
        <v>0</v>
      </c>
      <c r="Q3559">
        <v>0</v>
      </c>
      <c r="R3559" t="s">
        <v>41252</v>
      </c>
      <c r="S3559" t="s">
        <v>41383</v>
      </c>
      <c r="T3559" t="s">
        <v>42703</v>
      </c>
      <c r="U3559" t="s">
        <v>45206</v>
      </c>
      <c r="W3559" t="s">
        <v>38890</v>
      </c>
      <c r="X3559" t="s">
        <v>41254</v>
      </c>
    </row>
    <row r="3560" spans="1:24">
      <c r="A3560">
        <f>HYPERLINK("https://www.philgeps.gov.ph/GEPSNONPILOT/Tender/SplashBidNoticeAbstractUI.aspx?menuIndex=3&amp;refID=7074736&amp;Result=3","7074736")</f>
        <v>0</v>
      </c>
      <c r="B3560" t="s">
        <v>1258</v>
      </c>
      <c r="C3560" t="s">
        <v>6802</v>
      </c>
      <c r="D3560" t="s">
        <v>16663</v>
      </c>
      <c r="E3560" t="s">
        <v>19928</v>
      </c>
      <c r="F3560" t="s">
        <v>28669</v>
      </c>
      <c r="G3560" t="s">
        <v>28676</v>
      </c>
      <c r="H3560" t="s">
        <v>9998</v>
      </c>
      <c r="I3560" t="s">
        <v>28721</v>
      </c>
      <c r="J3560" t="s">
        <v>29317</v>
      </c>
      <c r="K3560" t="s">
        <v>37227</v>
      </c>
      <c r="M3560" t="s">
        <v>38807</v>
      </c>
      <c r="N3560" t="s">
        <v>41249</v>
      </c>
      <c r="O3560" t="s">
        <v>41250</v>
      </c>
      <c r="P3560">
        <v>0</v>
      </c>
      <c r="Q3560">
        <v>1</v>
      </c>
      <c r="R3560" t="s">
        <v>41252</v>
      </c>
      <c r="S3560" t="s">
        <v>41383</v>
      </c>
      <c r="T3560" t="s">
        <v>42679</v>
      </c>
      <c r="U3560" t="s">
        <v>46174</v>
      </c>
      <c r="W3560" t="s">
        <v>38807</v>
      </c>
      <c r="X3560" t="s">
        <v>41254</v>
      </c>
    </row>
    <row r="3561" spans="1:24">
      <c r="A3561">
        <f>HYPERLINK("https://www.philgeps.gov.ph/GEPSNONPILOT/Tender/SplashBidNoticeAbstractUI.aspx?menuIndex=3&amp;refID=7074758&amp;Result=3","7074758")</f>
        <v>0</v>
      </c>
      <c r="B3561" t="s">
        <v>1375</v>
      </c>
      <c r="C3561" t="s">
        <v>6803</v>
      </c>
      <c r="D3561" t="s">
        <v>16608</v>
      </c>
      <c r="E3561" t="s">
        <v>19929</v>
      </c>
      <c r="F3561" t="s">
        <v>28669</v>
      </c>
      <c r="G3561" t="s">
        <v>28676</v>
      </c>
      <c r="H3561" t="s">
        <v>9998</v>
      </c>
      <c r="I3561" t="s">
        <v>28729</v>
      </c>
      <c r="J3561" t="s">
        <v>28894</v>
      </c>
      <c r="K3561" t="s">
        <v>37209</v>
      </c>
      <c r="M3561" t="s">
        <v>38934</v>
      </c>
      <c r="N3561" t="s">
        <v>41249</v>
      </c>
      <c r="O3561" t="s">
        <v>41250</v>
      </c>
      <c r="P3561">
        <v>0</v>
      </c>
      <c r="Q3561">
        <v>18</v>
      </c>
      <c r="R3561" t="s">
        <v>41252</v>
      </c>
      <c r="S3561" t="s">
        <v>41383</v>
      </c>
      <c r="T3561" t="s">
        <v>42867</v>
      </c>
      <c r="U3561" t="s">
        <v>46155</v>
      </c>
      <c r="W3561" t="s">
        <v>38934</v>
      </c>
      <c r="X3561" t="s">
        <v>41254</v>
      </c>
    </row>
    <row r="3562" spans="1:24">
      <c r="A3562">
        <f>HYPERLINK("https://www.philgeps.gov.ph/GEPSNONPILOT/Tender/SplashBidNoticeAbstractUI.aspx?menuIndex=3&amp;refID=7074721&amp;Result=3","7074721")</f>
        <v>0</v>
      </c>
      <c r="B3562" t="s">
        <v>1159</v>
      </c>
      <c r="C3562" t="s">
        <v>6804</v>
      </c>
      <c r="D3562" t="s">
        <v>16670</v>
      </c>
      <c r="E3562" t="s">
        <v>19259</v>
      </c>
      <c r="F3562" t="s">
        <v>28671</v>
      </c>
      <c r="G3562" t="s">
        <v>28675</v>
      </c>
      <c r="H3562" t="s">
        <v>9998</v>
      </c>
      <c r="I3562" t="s">
        <v>28715</v>
      </c>
      <c r="J3562" t="s">
        <v>31150</v>
      </c>
      <c r="K3562" t="s">
        <v>37206</v>
      </c>
      <c r="M3562" t="s">
        <v>38696</v>
      </c>
      <c r="N3562" t="s">
        <v>41249</v>
      </c>
      <c r="O3562" t="s">
        <v>41250</v>
      </c>
      <c r="P3562">
        <v>0</v>
      </c>
      <c r="Q3562">
        <v>5</v>
      </c>
      <c r="R3562" t="s">
        <v>41252</v>
      </c>
      <c r="S3562" t="s">
        <v>41383</v>
      </c>
      <c r="T3562" t="s">
        <v>42684</v>
      </c>
      <c r="U3562" t="s">
        <v>43697</v>
      </c>
      <c r="W3562" t="s">
        <v>38696</v>
      </c>
      <c r="X3562" t="s">
        <v>41254</v>
      </c>
    </row>
    <row r="3563" spans="1:24">
      <c r="A3563">
        <f>HYPERLINK("https://www.philgeps.gov.ph/GEPSNONPILOT/Tender/SplashBidNoticeAbstractUI.aspx?menuIndex=3&amp;refID=7074757&amp;Result=3","7074757")</f>
        <v>0</v>
      </c>
      <c r="B3563" t="s">
        <v>1381</v>
      </c>
      <c r="C3563" t="s">
        <v>6805</v>
      </c>
      <c r="D3563" t="s">
        <v>16683</v>
      </c>
      <c r="E3563" t="s">
        <v>19930</v>
      </c>
      <c r="F3563" t="s">
        <v>28669</v>
      </c>
      <c r="G3563" t="s">
        <v>28682</v>
      </c>
      <c r="H3563" t="s">
        <v>28686</v>
      </c>
      <c r="I3563" t="s">
        <v>28689</v>
      </c>
      <c r="J3563" t="s">
        <v>31151</v>
      </c>
      <c r="K3563" t="s">
        <v>37213</v>
      </c>
      <c r="M3563" t="s">
        <v>38941</v>
      </c>
      <c r="N3563" t="s">
        <v>41249</v>
      </c>
      <c r="O3563" t="s">
        <v>41250</v>
      </c>
      <c r="P3563">
        <v>0</v>
      </c>
      <c r="Q3563">
        <v>0</v>
      </c>
      <c r="R3563" t="s">
        <v>41252</v>
      </c>
      <c r="S3563" t="s">
        <v>41383</v>
      </c>
      <c r="T3563" t="s">
        <v>42688</v>
      </c>
      <c r="U3563" t="s">
        <v>46175</v>
      </c>
      <c r="V3563" t="s">
        <v>54657</v>
      </c>
      <c r="W3563" t="s">
        <v>55951</v>
      </c>
      <c r="X3563" t="s">
        <v>41254</v>
      </c>
    </row>
    <row r="3564" spans="1:24">
      <c r="A3564">
        <f>HYPERLINK("https://www.philgeps.gov.ph/GEPSNONPILOT/Tender/SplashBidNoticeAbstractUI.aspx?menuIndex=3&amp;refID=7074755&amp;Result=3","7074755")</f>
        <v>0</v>
      </c>
      <c r="B3564" t="s">
        <v>278</v>
      </c>
      <c r="C3564" t="s">
        <v>6806</v>
      </c>
      <c r="D3564" t="s">
        <v>16615</v>
      </c>
      <c r="E3564" t="s">
        <v>19931</v>
      </c>
      <c r="F3564" t="s">
        <v>28669</v>
      </c>
      <c r="G3564" t="s">
        <v>28675</v>
      </c>
      <c r="H3564" t="s">
        <v>9998</v>
      </c>
      <c r="I3564" t="s">
        <v>28727</v>
      </c>
      <c r="J3564" t="s">
        <v>31152</v>
      </c>
      <c r="K3564" t="s">
        <v>37215</v>
      </c>
      <c r="M3564" t="s">
        <v>38942</v>
      </c>
      <c r="N3564" t="s">
        <v>41249</v>
      </c>
      <c r="O3564" t="s">
        <v>41250</v>
      </c>
      <c r="P3564">
        <v>0</v>
      </c>
      <c r="Q3564">
        <v>3</v>
      </c>
      <c r="R3564" t="s">
        <v>41252</v>
      </c>
      <c r="S3564" t="s">
        <v>41383</v>
      </c>
      <c r="T3564" t="s">
        <v>42693</v>
      </c>
      <c r="U3564" t="s">
        <v>46176</v>
      </c>
      <c r="W3564" t="s">
        <v>38942</v>
      </c>
      <c r="X3564" t="s">
        <v>41254</v>
      </c>
    </row>
    <row r="3565" spans="1:24">
      <c r="A3565">
        <f>HYPERLINK("https://www.philgeps.gov.ph/GEPSNONPILOT/Tender/SplashBidNoticeAbstractUI.aspx?menuIndex=3&amp;refID=7074759&amp;Result=3","7074759")</f>
        <v>0</v>
      </c>
      <c r="B3565" t="s">
        <v>276</v>
      </c>
      <c r="C3565" t="s">
        <v>6807</v>
      </c>
      <c r="D3565" t="s">
        <v>16627</v>
      </c>
      <c r="E3565" t="s">
        <v>19932</v>
      </c>
      <c r="F3565" t="s">
        <v>28669</v>
      </c>
      <c r="G3565" t="s">
        <v>28677</v>
      </c>
      <c r="H3565" t="s">
        <v>9998</v>
      </c>
      <c r="I3565" t="s">
        <v>28690</v>
      </c>
      <c r="J3565" t="s">
        <v>31044</v>
      </c>
      <c r="K3565" t="s">
        <v>37209</v>
      </c>
      <c r="M3565" t="s">
        <v>37754</v>
      </c>
      <c r="N3565" t="s">
        <v>41249</v>
      </c>
      <c r="O3565" t="s">
        <v>41250</v>
      </c>
      <c r="P3565">
        <v>0</v>
      </c>
      <c r="Q3565">
        <v>3</v>
      </c>
      <c r="R3565" t="s">
        <v>41252</v>
      </c>
      <c r="S3565" t="s">
        <v>41383</v>
      </c>
      <c r="T3565" t="s">
        <v>42938</v>
      </c>
      <c r="U3565" t="s">
        <v>46177</v>
      </c>
      <c r="V3565" t="s">
        <v>54320</v>
      </c>
      <c r="W3565" t="s">
        <v>37754</v>
      </c>
      <c r="X3565" t="s">
        <v>41254</v>
      </c>
    </row>
    <row r="3566" spans="1:24">
      <c r="A3566">
        <f>HYPERLINK("https://www.philgeps.gov.ph/GEPSNONPILOT/Tender/SplashBidNoticeAbstractUI.aspx?menuIndex=3&amp;refID=7074754&amp;Result=3","7074754")</f>
        <v>0</v>
      </c>
      <c r="B3566" t="s">
        <v>1244</v>
      </c>
      <c r="C3566" t="s">
        <v>6808</v>
      </c>
      <c r="D3566" t="s">
        <v>16686</v>
      </c>
      <c r="E3566" t="s">
        <v>19933</v>
      </c>
      <c r="F3566" t="s">
        <v>28669</v>
      </c>
      <c r="G3566" t="s">
        <v>28676</v>
      </c>
      <c r="H3566" t="s">
        <v>9998</v>
      </c>
      <c r="I3566" t="s">
        <v>6606</v>
      </c>
      <c r="J3566" t="s">
        <v>28894</v>
      </c>
      <c r="K3566" t="s">
        <v>37210</v>
      </c>
      <c r="M3566" t="s">
        <v>38791</v>
      </c>
      <c r="N3566" t="s">
        <v>41249</v>
      </c>
      <c r="O3566" t="s">
        <v>41250</v>
      </c>
      <c r="P3566">
        <v>0</v>
      </c>
      <c r="Q3566">
        <v>0</v>
      </c>
      <c r="R3566" t="s">
        <v>41252</v>
      </c>
      <c r="S3566" t="s">
        <v>41383</v>
      </c>
      <c r="T3566" t="s">
        <v>42711</v>
      </c>
      <c r="U3566" t="s">
        <v>46178</v>
      </c>
      <c r="W3566" t="s">
        <v>38791</v>
      </c>
      <c r="X3566" t="s">
        <v>41254</v>
      </c>
    </row>
    <row r="3567" spans="1:24">
      <c r="A3567">
        <f>HYPERLINK("https://www.philgeps.gov.ph/GEPSNONPILOT/Tender/SplashBidNoticeAbstractUI.aspx?menuIndex=3&amp;refID=7074753&amp;Result=3","7074753")</f>
        <v>0</v>
      </c>
      <c r="B3567" t="s">
        <v>1181</v>
      </c>
      <c r="C3567" t="s">
        <v>6809</v>
      </c>
      <c r="D3567" t="s">
        <v>16627</v>
      </c>
      <c r="E3567" t="s">
        <v>19934</v>
      </c>
      <c r="F3567" t="s">
        <v>28669</v>
      </c>
      <c r="G3567" t="s">
        <v>28678</v>
      </c>
      <c r="H3567" t="s">
        <v>9998</v>
      </c>
      <c r="I3567" t="s">
        <v>28690</v>
      </c>
      <c r="J3567" t="s">
        <v>31153</v>
      </c>
      <c r="K3567" t="s">
        <v>37204</v>
      </c>
      <c r="M3567" t="s">
        <v>38721</v>
      </c>
      <c r="N3567" t="s">
        <v>41249</v>
      </c>
      <c r="O3567" t="s">
        <v>41250</v>
      </c>
      <c r="P3567">
        <v>0</v>
      </c>
      <c r="Q3567">
        <v>4</v>
      </c>
      <c r="R3567" t="s">
        <v>41252</v>
      </c>
      <c r="S3567" t="s">
        <v>41383</v>
      </c>
      <c r="T3567" t="s">
        <v>42758</v>
      </c>
      <c r="U3567" t="s">
        <v>45629</v>
      </c>
      <c r="V3567" t="s">
        <v>54653</v>
      </c>
      <c r="W3567" t="s">
        <v>38721</v>
      </c>
      <c r="X3567" t="s">
        <v>41254</v>
      </c>
    </row>
    <row r="3568" spans="1:24">
      <c r="A3568">
        <f>HYPERLINK("https://www.philgeps.gov.ph/GEPSNONPILOT/Tender/SplashBidNoticeAbstractUI.aspx?menuIndex=3&amp;refID=7074751&amp;Result=3","7074751")</f>
        <v>0</v>
      </c>
      <c r="B3568" t="s">
        <v>1382</v>
      </c>
      <c r="C3568" t="s">
        <v>6810</v>
      </c>
      <c r="D3568" t="s">
        <v>16631</v>
      </c>
      <c r="E3568" t="s">
        <v>19935</v>
      </c>
      <c r="F3568" t="s">
        <v>28669</v>
      </c>
      <c r="G3568" t="s">
        <v>28676</v>
      </c>
      <c r="H3568" t="s">
        <v>9998</v>
      </c>
      <c r="I3568" t="s">
        <v>28706</v>
      </c>
      <c r="J3568" t="s">
        <v>31154</v>
      </c>
      <c r="K3568" t="s">
        <v>37205</v>
      </c>
      <c r="M3568" t="s">
        <v>38943</v>
      </c>
      <c r="N3568" t="s">
        <v>41249</v>
      </c>
      <c r="O3568" t="s">
        <v>41250</v>
      </c>
      <c r="P3568">
        <v>0</v>
      </c>
      <c r="Q3568">
        <v>2</v>
      </c>
      <c r="R3568" t="s">
        <v>41252</v>
      </c>
      <c r="S3568" t="s">
        <v>41383</v>
      </c>
      <c r="T3568" t="s">
        <v>42736</v>
      </c>
      <c r="U3568" t="s">
        <v>46179</v>
      </c>
      <c r="W3568" t="s">
        <v>38943</v>
      </c>
      <c r="X3568" t="s">
        <v>41254</v>
      </c>
    </row>
    <row r="3569" spans="1:24">
      <c r="A3569">
        <f>HYPERLINK("https://www.philgeps.gov.ph/GEPSNONPILOT/Tender/SplashBidNoticeAbstractUI.aspx?menuIndex=3&amp;refID=7074719&amp;Result=3","7074719")</f>
        <v>0</v>
      </c>
      <c r="B3569" t="s">
        <v>1383</v>
      </c>
      <c r="C3569" t="s">
        <v>6811</v>
      </c>
      <c r="D3569" t="s">
        <v>16621</v>
      </c>
      <c r="E3569" t="s">
        <v>19936</v>
      </c>
      <c r="F3569" t="s">
        <v>28669</v>
      </c>
      <c r="G3569" t="s">
        <v>28676</v>
      </c>
      <c r="H3569" t="s">
        <v>9998</v>
      </c>
      <c r="I3569" t="s">
        <v>6128</v>
      </c>
      <c r="J3569" t="s">
        <v>28838</v>
      </c>
      <c r="K3569" t="s">
        <v>37208</v>
      </c>
      <c r="M3569" t="s">
        <v>38944</v>
      </c>
      <c r="N3569" t="s">
        <v>41249</v>
      </c>
      <c r="O3569" t="s">
        <v>41250</v>
      </c>
      <c r="P3569">
        <v>0</v>
      </c>
      <c r="Q3569">
        <v>3</v>
      </c>
      <c r="R3569" t="s">
        <v>41252</v>
      </c>
      <c r="S3569" t="s">
        <v>41383</v>
      </c>
      <c r="T3569" t="s">
        <v>42729</v>
      </c>
      <c r="U3569" t="s">
        <v>46180</v>
      </c>
      <c r="W3569" t="s">
        <v>38944</v>
      </c>
      <c r="X3569" t="s">
        <v>41254</v>
      </c>
    </row>
    <row r="3570" spans="1:24">
      <c r="A3570">
        <f>HYPERLINK("https://www.philgeps.gov.ph/GEPSNONPILOT/Tender/SplashBidNoticeAbstractUI.aspx?menuIndex=3&amp;refID=7074700&amp;Result=3","7074700")</f>
        <v>0</v>
      </c>
      <c r="B3570" t="s">
        <v>1384</v>
      </c>
      <c r="C3570" t="s">
        <v>6812</v>
      </c>
      <c r="D3570" t="s">
        <v>16616</v>
      </c>
      <c r="E3570" t="s">
        <v>19937</v>
      </c>
      <c r="F3570" t="s">
        <v>28669</v>
      </c>
      <c r="G3570" t="s">
        <v>28675</v>
      </c>
      <c r="H3570" t="s">
        <v>28686</v>
      </c>
      <c r="I3570" t="s">
        <v>28689</v>
      </c>
      <c r="J3570" t="s">
        <v>28924</v>
      </c>
      <c r="K3570" t="s">
        <v>37209</v>
      </c>
      <c r="M3570" t="s">
        <v>38945</v>
      </c>
      <c r="N3570" t="s">
        <v>41249</v>
      </c>
      <c r="O3570" t="s">
        <v>41250</v>
      </c>
      <c r="P3570">
        <v>0</v>
      </c>
      <c r="Q3570">
        <v>3</v>
      </c>
      <c r="R3570" t="s">
        <v>41252</v>
      </c>
      <c r="S3570" t="s">
        <v>41383</v>
      </c>
      <c r="T3570" t="s">
        <v>42716</v>
      </c>
      <c r="U3570" t="s">
        <v>46181</v>
      </c>
      <c r="W3570" t="s">
        <v>38945</v>
      </c>
      <c r="X3570" t="s">
        <v>41254</v>
      </c>
    </row>
    <row r="3571" spans="1:24">
      <c r="A3571">
        <f>HYPERLINK("https://www.philgeps.gov.ph/GEPSNONPILOT/Tender/SplashBidNoticeAbstractUI.aspx?menuIndex=3&amp;refID=7074756&amp;Result=3","7074756")</f>
        <v>0</v>
      </c>
      <c r="B3571" t="s">
        <v>1169</v>
      </c>
      <c r="C3571" t="s">
        <v>6813</v>
      </c>
      <c r="D3571" t="s">
        <v>16691</v>
      </c>
      <c r="E3571" t="s">
        <v>19938</v>
      </c>
      <c r="F3571" t="s">
        <v>28669</v>
      </c>
      <c r="G3571" t="s">
        <v>28676</v>
      </c>
      <c r="H3571" t="s">
        <v>9998</v>
      </c>
      <c r="I3571" t="s">
        <v>11593</v>
      </c>
      <c r="J3571" t="s">
        <v>31155</v>
      </c>
      <c r="K3571" t="s">
        <v>37227</v>
      </c>
      <c r="M3571" t="s">
        <v>38946</v>
      </c>
      <c r="N3571" t="s">
        <v>41249</v>
      </c>
      <c r="O3571" t="s">
        <v>41250</v>
      </c>
      <c r="P3571">
        <v>0</v>
      </c>
      <c r="Q3571">
        <v>1</v>
      </c>
      <c r="R3571" t="s">
        <v>41252</v>
      </c>
      <c r="S3571" t="s">
        <v>41383</v>
      </c>
      <c r="T3571" t="s">
        <v>42867</v>
      </c>
      <c r="U3571" t="s">
        <v>46182</v>
      </c>
      <c r="V3571" t="s">
        <v>54658</v>
      </c>
      <c r="W3571" t="s">
        <v>38946</v>
      </c>
      <c r="X3571" t="s">
        <v>41254</v>
      </c>
    </row>
    <row r="3572" spans="1:24">
      <c r="A3572">
        <f>HYPERLINK("https://www.philgeps.gov.ph/GEPSNONPILOT/Tender/SplashBidNoticeAbstractUI.aspx?menuIndex=3&amp;refID=7074746&amp;Result=3","7074746")</f>
        <v>0</v>
      </c>
      <c r="B3572" t="s">
        <v>1380</v>
      </c>
      <c r="C3572" t="s">
        <v>6814</v>
      </c>
      <c r="D3572" t="s">
        <v>16684</v>
      </c>
      <c r="E3572" t="s">
        <v>19939</v>
      </c>
      <c r="F3572" t="s">
        <v>28669</v>
      </c>
      <c r="G3572" t="s">
        <v>28676</v>
      </c>
      <c r="H3572" t="s">
        <v>9998</v>
      </c>
      <c r="I3572" t="s">
        <v>5213</v>
      </c>
      <c r="J3572" t="s">
        <v>29523</v>
      </c>
      <c r="K3572" t="s">
        <v>37208</v>
      </c>
      <c r="M3572" t="s">
        <v>38940</v>
      </c>
      <c r="N3572" t="s">
        <v>41249</v>
      </c>
      <c r="O3572" t="s">
        <v>41250</v>
      </c>
      <c r="P3572">
        <v>0</v>
      </c>
      <c r="Q3572">
        <v>1</v>
      </c>
      <c r="R3572" t="s">
        <v>41252</v>
      </c>
      <c r="S3572" t="s">
        <v>41383</v>
      </c>
      <c r="T3572" t="s">
        <v>42736</v>
      </c>
      <c r="U3572" t="s">
        <v>46183</v>
      </c>
      <c r="W3572" t="s">
        <v>38940</v>
      </c>
      <c r="X3572" t="s">
        <v>41254</v>
      </c>
    </row>
    <row r="3573" spans="1:24">
      <c r="A3573">
        <f>HYPERLINK("https://www.philgeps.gov.ph/GEPSNONPILOT/Tender/SplashBidNoticeAbstractUI.aspx?menuIndex=3&amp;refID=7074743&amp;Result=3","7074743")</f>
        <v>0</v>
      </c>
      <c r="B3573" t="s">
        <v>1192</v>
      </c>
      <c r="C3573" t="s">
        <v>6815</v>
      </c>
      <c r="D3573" t="s">
        <v>16619</v>
      </c>
      <c r="E3573" t="s">
        <v>19940</v>
      </c>
      <c r="F3573" t="s">
        <v>28669</v>
      </c>
      <c r="G3573" t="s">
        <v>28676</v>
      </c>
      <c r="H3573" t="s">
        <v>9998</v>
      </c>
      <c r="I3573" t="s">
        <v>28709</v>
      </c>
      <c r="J3573" t="s">
        <v>31156</v>
      </c>
      <c r="K3573" t="s">
        <v>37208</v>
      </c>
      <c r="M3573" t="s">
        <v>38732</v>
      </c>
      <c r="N3573" t="s">
        <v>41249</v>
      </c>
      <c r="O3573" t="s">
        <v>41250</v>
      </c>
      <c r="P3573">
        <v>0</v>
      </c>
      <c r="Q3573">
        <v>0</v>
      </c>
      <c r="R3573" t="s">
        <v>41252</v>
      </c>
      <c r="S3573" t="s">
        <v>41383</v>
      </c>
      <c r="T3573" t="s">
        <v>42758</v>
      </c>
      <c r="U3573" t="s">
        <v>46184</v>
      </c>
      <c r="W3573" t="s">
        <v>38732</v>
      </c>
      <c r="X3573" t="s">
        <v>41254</v>
      </c>
    </row>
    <row r="3574" spans="1:24">
      <c r="A3574">
        <f>HYPERLINK("https://www.philgeps.gov.ph/GEPSNONPILOT/Tender/SplashBidNoticeAbstractUI.aspx?menuIndex=3&amp;refID=7074741&amp;Result=3","7074741")</f>
        <v>0</v>
      </c>
      <c r="B3574" t="s">
        <v>1385</v>
      </c>
      <c r="C3574" t="s">
        <v>6816</v>
      </c>
      <c r="D3574" t="s">
        <v>16676</v>
      </c>
      <c r="E3574" t="s">
        <v>17140</v>
      </c>
      <c r="F3574" t="s">
        <v>28669</v>
      </c>
      <c r="G3574" t="s">
        <v>28675</v>
      </c>
      <c r="H3574" t="s">
        <v>28686</v>
      </c>
      <c r="I3574" t="s">
        <v>28689</v>
      </c>
      <c r="J3574" t="s">
        <v>31157</v>
      </c>
      <c r="K3574" t="s">
        <v>37210</v>
      </c>
      <c r="M3574" t="s">
        <v>38947</v>
      </c>
      <c r="N3574" t="s">
        <v>41249</v>
      </c>
      <c r="O3574" t="s">
        <v>41250</v>
      </c>
      <c r="P3574">
        <v>0</v>
      </c>
      <c r="Q3574">
        <v>0</v>
      </c>
      <c r="R3574" t="s">
        <v>41252</v>
      </c>
      <c r="S3574" t="s">
        <v>41383</v>
      </c>
      <c r="T3574" t="s">
        <v>42916</v>
      </c>
      <c r="U3574" t="s">
        <v>46185</v>
      </c>
      <c r="V3574" t="s">
        <v>54621</v>
      </c>
      <c r="W3574" t="s">
        <v>38947</v>
      </c>
      <c r="X3574" t="s">
        <v>41254</v>
      </c>
    </row>
    <row r="3575" spans="1:24">
      <c r="A3575">
        <f>HYPERLINK("https://www.philgeps.gov.ph/GEPSNONPILOT/Tender/SplashBidNoticeAbstractUI.aspx?menuIndex=3&amp;refID=7074740&amp;Result=3","7074740")</f>
        <v>0</v>
      </c>
      <c r="B3575" t="s">
        <v>1278</v>
      </c>
      <c r="C3575" t="s">
        <v>6817</v>
      </c>
      <c r="D3575" t="s">
        <v>16623</v>
      </c>
      <c r="E3575" t="s">
        <v>19941</v>
      </c>
      <c r="F3575" t="s">
        <v>28669</v>
      </c>
      <c r="G3575" t="s">
        <v>28676</v>
      </c>
      <c r="H3575" t="s">
        <v>9998</v>
      </c>
      <c r="I3575" t="s">
        <v>6606</v>
      </c>
      <c r="J3575" t="s">
        <v>31158</v>
      </c>
      <c r="K3575" t="s">
        <v>37256</v>
      </c>
      <c r="M3575" t="s">
        <v>38828</v>
      </c>
      <c r="N3575" t="s">
        <v>41249</v>
      </c>
      <c r="O3575" t="s">
        <v>41250</v>
      </c>
      <c r="P3575">
        <v>0</v>
      </c>
      <c r="Q3575">
        <v>0</v>
      </c>
      <c r="R3575" t="s">
        <v>41252</v>
      </c>
      <c r="S3575" t="s">
        <v>41383</v>
      </c>
      <c r="T3575" t="s">
        <v>42757</v>
      </c>
      <c r="U3575" t="s">
        <v>45858</v>
      </c>
      <c r="W3575" t="s">
        <v>38828</v>
      </c>
      <c r="X3575" t="s">
        <v>41254</v>
      </c>
    </row>
    <row r="3576" spans="1:24">
      <c r="A3576">
        <f>HYPERLINK("https://www.philgeps.gov.ph/GEPSNONPILOT/Tender/SplashBidNoticeAbstractUI.aspx?menuIndex=3&amp;refID=7074749&amp;Result=3","7074749")</f>
        <v>0</v>
      </c>
      <c r="B3576" t="s">
        <v>788</v>
      </c>
      <c r="C3576" t="s">
        <v>6818</v>
      </c>
      <c r="D3576" t="s">
        <v>16648</v>
      </c>
      <c r="E3576" t="s">
        <v>19942</v>
      </c>
      <c r="F3576" t="s">
        <v>28669</v>
      </c>
      <c r="G3576" t="s">
        <v>28676</v>
      </c>
      <c r="H3576" t="s">
        <v>9998</v>
      </c>
      <c r="I3576" t="s">
        <v>28695</v>
      </c>
      <c r="J3576" t="s">
        <v>29916</v>
      </c>
      <c r="K3576" t="s">
        <v>37206</v>
      </c>
      <c r="M3576" t="s">
        <v>38302</v>
      </c>
      <c r="N3576" t="s">
        <v>41249</v>
      </c>
      <c r="O3576" t="s">
        <v>41250</v>
      </c>
      <c r="P3576">
        <v>0</v>
      </c>
      <c r="Q3576">
        <v>0</v>
      </c>
      <c r="R3576" t="s">
        <v>41252</v>
      </c>
      <c r="S3576" t="s">
        <v>41383</v>
      </c>
      <c r="T3576" t="s">
        <v>42827</v>
      </c>
      <c r="U3576" t="s">
        <v>46186</v>
      </c>
      <c r="W3576" t="s">
        <v>38302</v>
      </c>
      <c r="X3576" t="s">
        <v>41254</v>
      </c>
    </row>
    <row r="3577" spans="1:24">
      <c r="A3577">
        <f>HYPERLINK("https://www.philgeps.gov.ph/GEPSNONPILOT/Tender/SplashBidNoticeAbstractUI.aspx?menuIndex=3&amp;refID=7074747&amp;Result=3","7074747")</f>
        <v>0</v>
      </c>
      <c r="B3577" t="s">
        <v>1386</v>
      </c>
      <c r="C3577" t="s">
        <v>6819</v>
      </c>
      <c r="E3577" t="s">
        <v>19943</v>
      </c>
      <c r="F3577" t="s">
        <v>28669</v>
      </c>
      <c r="G3577" t="s">
        <v>28676</v>
      </c>
      <c r="H3577" t="s">
        <v>9998</v>
      </c>
      <c r="I3577" t="s">
        <v>28736</v>
      </c>
      <c r="J3577" t="s">
        <v>31159</v>
      </c>
      <c r="K3577" t="s">
        <v>37209</v>
      </c>
      <c r="M3577" t="s">
        <v>38948</v>
      </c>
      <c r="N3577" t="s">
        <v>41249</v>
      </c>
      <c r="O3577" t="s">
        <v>41250</v>
      </c>
      <c r="P3577">
        <v>0</v>
      </c>
      <c r="Q3577">
        <v>0</v>
      </c>
      <c r="R3577" t="s">
        <v>41252</v>
      </c>
      <c r="S3577" t="s">
        <v>41383</v>
      </c>
      <c r="T3577" t="s">
        <v>42758</v>
      </c>
      <c r="U3577" t="s">
        <v>46187</v>
      </c>
      <c r="W3577" t="s">
        <v>38948</v>
      </c>
      <c r="X3577" t="s">
        <v>41254</v>
      </c>
    </row>
    <row r="3578" spans="1:24">
      <c r="A3578">
        <f>HYPERLINK("https://www.philgeps.gov.ph/GEPSNONPILOT/Tender/SplashBidNoticeAbstractUI.aspx?menuIndex=3&amp;refID=7074737&amp;Result=3","7074737")</f>
        <v>0</v>
      </c>
      <c r="B3578" t="s">
        <v>1384</v>
      </c>
      <c r="C3578" t="s">
        <v>6820</v>
      </c>
      <c r="D3578" t="s">
        <v>16616</v>
      </c>
      <c r="E3578" t="s">
        <v>19944</v>
      </c>
      <c r="F3578" t="s">
        <v>28669</v>
      </c>
      <c r="G3578" t="s">
        <v>28675</v>
      </c>
      <c r="H3578" t="s">
        <v>28686</v>
      </c>
      <c r="I3578" t="s">
        <v>28689</v>
      </c>
      <c r="J3578" t="s">
        <v>28878</v>
      </c>
      <c r="K3578" t="s">
        <v>37209</v>
      </c>
      <c r="M3578" t="s">
        <v>38945</v>
      </c>
      <c r="N3578" t="s">
        <v>41249</v>
      </c>
      <c r="O3578" t="s">
        <v>41250</v>
      </c>
      <c r="P3578">
        <v>0</v>
      </c>
      <c r="Q3578">
        <v>0</v>
      </c>
      <c r="R3578" t="s">
        <v>41252</v>
      </c>
      <c r="S3578" t="s">
        <v>41383</v>
      </c>
      <c r="T3578" t="s">
        <v>42690</v>
      </c>
      <c r="U3578" t="s">
        <v>46188</v>
      </c>
      <c r="W3578" t="s">
        <v>38945</v>
      </c>
      <c r="X3578" t="s">
        <v>41254</v>
      </c>
    </row>
    <row r="3579" spans="1:24">
      <c r="A3579">
        <f>HYPERLINK("https://www.philgeps.gov.ph/GEPSNONPILOT/Tender/SplashBidNoticeAbstractUI.aspx?menuIndex=3&amp;refID=7074745&amp;Result=3","7074745")</f>
        <v>0</v>
      </c>
      <c r="B3579" t="s">
        <v>1369</v>
      </c>
      <c r="C3579" t="s">
        <v>6821</v>
      </c>
      <c r="D3579" t="s">
        <v>16654</v>
      </c>
      <c r="E3579" t="s">
        <v>19945</v>
      </c>
      <c r="F3579" t="s">
        <v>28669</v>
      </c>
      <c r="G3579" t="s">
        <v>28676</v>
      </c>
      <c r="H3579" t="s">
        <v>9998</v>
      </c>
      <c r="I3579" t="s">
        <v>28687</v>
      </c>
      <c r="J3579" t="s">
        <v>31160</v>
      </c>
      <c r="K3579" t="s">
        <v>37234</v>
      </c>
      <c r="M3579" t="s">
        <v>38927</v>
      </c>
      <c r="N3579" t="s">
        <v>41249</v>
      </c>
      <c r="O3579" t="s">
        <v>41250</v>
      </c>
      <c r="P3579">
        <v>0</v>
      </c>
      <c r="Q3579">
        <v>0</v>
      </c>
      <c r="R3579" t="s">
        <v>41252</v>
      </c>
      <c r="S3579" t="s">
        <v>41383</v>
      </c>
      <c r="T3579" t="s">
        <v>42736</v>
      </c>
      <c r="U3579" t="s">
        <v>46189</v>
      </c>
      <c r="W3579" t="s">
        <v>38927</v>
      </c>
      <c r="X3579" t="s">
        <v>41254</v>
      </c>
    </row>
    <row r="3580" spans="1:24">
      <c r="A3580">
        <f>HYPERLINK("https://www.philgeps.gov.ph/GEPSNONPILOT/Tender/SplashBidNoticeAbstractUI.aspx?menuIndex=3&amp;refID=7074714&amp;Result=3","7074714")</f>
        <v>0</v>
      </c>
      <c r="B3580" t="s">
        <v>1387</v>
      </c>
      <c r="C3580" t="s">
        <v>6822</v>
      </c>
      <c r="D3580" t="s">
        <v>16668</v>
      </c>
      <c r="E3580" t="s">
        <v>19946</v>
      </c>
      <c r="F3580" t="s">
        <v>28669</v>
      </c>
      <c r="G3580" t="s">
        <v>28675</v>
      </c>
      <c r="H3580" t="s">
        <v>28686</v>
      </c>
      <c r="I3580" t="s">
        <v>28689</v>
      </c>
      <c r="J3580" t="s">
        <v>31161</v>
      </c>
      <c r="K3580" t="s">
        <v>37335</v>
      </c>
      <c r="M3580" t="s">
        <v>38949</v>
      </c>
      <c r="N3580" t="s">
        <v>41249</v>
      </c>
      <c r="O3580" t="s">
        <v>41250</v>
      </c>
      <c r="P3580">
        <v>0</v>
      </c>
      <c r="Q3580">
        <v>0</v>
      </c>
      <c r="R3580" t="s">
        <v>41252</v>
      </c>
      <c r="S3580" t="s">
        <v>41383</v>
      </c>
      <c r="T3580" t="s">
        <v>42779</v>
      </c>
      <c r="U3580" t="s">
        <v>46190</v>
      </c>
      <c r="W3580" t="s">
        <v>38949</v>
      </c>
      <c r="X3580" t="s">
        <v>41254</v>
      </c>
    </row>
    <row r="3581" spans="1:24">
      <c r="A3581">
        <f>HYPERLINK("https://www.philgeps.gov.ph/GEPSNONPILOT/Tender/SplashBidNoticeAbstractUI.aspx?menuIndex=3&amp;refID=7074742&amp;Result=3","7074742")</f>
        <v>0</v>
      </c>
      <c r="B3581" t="s">
        <v>1346</v>
      </c>
      <c r="C3581" t="s">
        <v>6823</v>
      </c>
      <c r="D3581" t="s">
        <v>16631</v>
      </c>
      <c r="E3581" t="s">
        <v>19947</v>
      </c>
      <c r="F3581" t="s">
        <v>28669</v>
      </c>
      <c r="G3581" t="s">
        <v>28675</v>
      </c>
      <c r="H3581" t="s">
        <v>9998</v>
      </c>
      <c r="I3581" t="s">
        <v>11142</v>
      </c>
      <c r="J3581" t="s">
        <v>31162</v>
      </c>
      <c r="K3581" t="s">
        <v>37204</v>
      </c>
      <c r="M3581" t="s">
        <v>38902</v>
      </c>
      <c r="N3581" t="s">
        <v>41249</v>
      </c>
      <c r="O3581" t="s">
        <v>41250</v>
      </c>
      <c r="P3581">
        <v>0</v>
      </c>
      <c r="Q3581">
        <v>0</v>
      </c>
      <c r="R3581" t="s">
        <v>41252</v>
      </c>
      <c r="S3581" t="s">
        <v>41383</v>
      </c>
      <c r="T3581" t="s">
        <v>42881</v>
      </c>
      <c r="U3581" t="s">
        <v>46191</v>
      </c>
      <c r="W3581" t="s">
        <v>38902</v>
      </c>
      <c r="X3581" t="s">
        <v>41254</v>
      </c>
    </row>
    <row r="3582" spans="1:24">
      <c r="A3582">
        <f>HYPERLINK("https://www.philgeps.gov.ph/GEPSNONPILOT/Tender/SplashBidNoticeAbstractUI.aspx?menuIndex=3&amp;refID=7074790&amp;Result=3","7074790")</f>
        <v>0</v>
      </c>
      <c r="B3582" t="s">
        <v>1388</v>
      </c>
      <c r="C3582" t="s">
        <v>6824</v>
      </c>
      <c r="D3582" t="s">
        <v>16684</v>
      </c>
      <c r="E3582" t="s">
        <v>19948</v>
      </c>
      <c r="F3582" t="s">
        <v>28669</v>
      </c>
      <c r="G3582" t="s">
        <v>28676</v>
      </c>
      <c r="H3582" t="s">
        <v>9998</v>
      </c>
      <c r="I3582" t="s">
        <v>5213</v>
      </c>
      <c r="J3582" t="s">
        <v>29438</v>
      </c>
      <c r="K3582" t="s">
        <v>37208</v>
      </c>
      <c r="M3582" t="s">
        <v>38950</v>
      </c>
      <c r="N3582" t="s">
        <v>41249</v>
      </c>
      <c r="O3582" t="s">
        <v>41250</v>
      </c>
      <c r="P3582">
        <v>0</v>
      </c>
      <c r="Q3582">
        <v>0</v>
      </c>
      <c r="R3582" t="s">
        <v>41252</v>
      </c>
      <c r="S3582" t="s">
        <v>41383</v>
      </c>
      <c r="T3582" t="s">
        <v>42736</v>
      </c>
      <c r="U3582" t="s">
        <v>46192</v>
      </c>
      <c r="W3582" t="s">
        <v>38950</v>
      </c>
      <c r="X3582" t="s">
        <v>41254</v>
      </c>
    </row>
    <row r="3583" spans="1:24">
      <c r="A3583">
        <f>HYPERLINK("https://www.philgeps.gov.ph/GEPSNONPILOT/Tender/SplashBidNoticeAbstractUI.aspx?menuIndex=3&amp;refID=7074788&amp;Result=3","7074788")</f>
        <v>0</v>
      </c>
      <c r="B3583" t="s">
        <v>1389</v>
      </c>
      <c r="C3583" t="s">
        <v>6825</v>
      </c>
      <c r="D3583" t="s">
        <v>16617</v>
      </c>
      <c r="E3583" t="s">
        <v>19949</v>
      </c>
      <c r="F3583" t="s">
        <v>28669</v>
      </c>
      <c r="G3583" t="s">
        <v>28675</v>
      </c>
      <c r="H3583" t="s">
        <v>9998</v>
      </c>
      <c r="I3583" t="s">
        <v>28779</v>
      </c>
      <c r="J3583" t="s">
        <v>31163</v>
      </c>
      <c r="K3583" t="s">
        <v>37206</v>
      </c>
      <c r="M3583" t="s">
        <v>38951</v>
      </c>
      <c r="N3583" t="s">
        <v>41249</v>
      </c>
      <c r="O3583" t="s">
        <v>41250</v>
      </c>
      <c r="P3583">
        <v>0</v>
      </c>
      <c r="Q3583">
        <v>0</v>
      </c>
      <c r="R3583" t="s">
        <v>41252</v>
      </c>
      <c r="S3583" t="s">
        <v>41383</v>
      </c>
      <c r="T3583" t="s">
        <v>42782</v>
      </c>
      <c r="U3583" t="s">
        <v>46193</v>
      </c>
      <c r="W3583" t="s">
        <v>38951</v>
      </c>
      <c r="X3583" t="s">
        <v>41254</v>
      </c>
    </row>
    <row r="3584" spans="1:24">
      <c r="A3584">
        <f>HYPERLINK("https://www.philgeps.gov.ph/GEPSNONPILOT/Tender/SplashBidNoticeAbstractUI.aspx?menuIndex=3&amp;refID=7074786&amp;Result=3","7074786")</f>
        <v>0</v>
      </c>
      <c r="B3584" t="s">
        <v>1244</v>
      </c>
      <c r="C3584" t="s">
        <v>6826</v>
      </c>
      <c r="D3584" t="s">
        <v>16686</v>
      </c>
      <c r="E3584" t="s">
        <v>19950</v>
      </c>
      <c r="F3584" t="s">
        <v>28669</v>
      </c>
      <c r="G3584" t="s">
        <v>28676</v>
      </c>
      <c r="H3584" t="s">
        <v>9998</v>
      </c>
      <c r="I3584" t="s">
        <v>3679</v>
      </c>
      <c r="J3584" t="s">
        <v>31164</v>
      </c>
      <c r="K3584" t="s">
        <v>37205</v>
      </c>
      <c r="M3584" t="s">
        <v>38791</v>
      </c>
      <c r="N3584" t="s">
        <v>41249</v>
      </c>
      <c r="O3584" t="s">
        <v>41250</v>
      </c>
      <c r="P3584">
        <v>0</v>
      </c>
      <c r="Q3584">
        <v>0</v>
      </c>
      <c r="R3584" t="s">
        <v>41252</v>
      </c>
      <c r="S3584" t="s">
        <v>41383</v>
      </c>
      <c r="T3584" t="s">
        <v>42711</v>
      </c>
      <c r="U3584" t="s">
        <v>46194</v>
      </c>
      <c r="W3584" t="s">
        <v>38791</v>
      </c>
      <c r="X3584" t="s">
        <v>41254</v>
      </c>
    </row>
    <row r="3585" spans="1:24">
      <c r="A3585">
        <f>HYPERLINK("https://www.philgeps.gov.ph/GEPSNONPILOT/Tender/SplashBidNoticeAbstractUI.aspx?menuIndex=3&amp;refID=7074738&amp;Result=3","7074738")</f>
        <v>0</v>
      </c>
      <c r="B3585" t="s">
        <v>191</v>
      </c>
      <c r="C3585" t="s">
        <v>6827</v>
      </c>
      <c r="D3585" t="s">
        <v>16614</v>
      </c>
      <c r="E3585" t="s">
        <v>19951</v>
      </c>
      <c r="F3585" t="s">
        <v>28669</v>
      </c>
      <c r="G3585" t="s">
        <v>28675</v>
      </c>
      <c r="H3585" t="s">
        <v>9998</v>
      </c>
      <c r="I3585" t="s">
        <v>28697</v>
      </c>
      <c r="J3585" t="s">
        <v>31165</v>
      </c>
      <c r="K3585" t="s">
        <v>37220</v>
      </c>
      <c r="M3585" t="s">
        <v>37669</v>
      </c>
      <c r="N3585" t="s">
        <v>41249</v>
      </c>
      <c r="O3585" t="s">
        <v>41250</v>
      </c>
      <c r="P3585">
        <v>0</v>
      </c>
      <c r="Q3585">
        <v>0</v>
      </c>
      <c r="R3585" t="s">
        <v>41252</v>
      </c>
      <c r="S3585" t="s">
        <v>41383</v>
      </c>
      <c r="T3585" t="s">
        <v>42679</v>
      </c>
      <c r="U3585" t="s">
        <v>46195</v>
      </c>
      <c r="W3585" t="s">
        <v>37669</v>
      </c>
      <c r="X3585" t="s">
        <v>41254</v>
      </c>
    </row>
    <row r="3586" spans="1:24">
      <c r="A3586">
        <f>HYPERLINK("https://www.philgeps.gov.ph/GEPSNONPILOT/Tender/SplashBidNoticeAbstractUI.aspx?menuIndex=3&amp;refID=7074785&amp;Result=3","7074785")</f>
        <v>0</v>
      </c>
      <c r="B3586" t="s">
        <v>761</v>
      </c>
      <c r="C3586" t="s">
        <v>6828</v>
      </c>
      <c r="D3586" t="s">
        <v>16608</v>
      </c>
      <c r="E3586" t="s">
        <v>19952</v>
      </c>
      <c r="F3586" t="s">
        <v>28669</v>
      </c>
      <c r="G3586" t="s">
        <v>28676</v>
      </c>
      <c r="H3586" t="s">
        <v>9998</v>
      </c>
      <c r="I3586" t="s">
        <v>28729</v>
      </c>
      <c r="J3586" t="s">
        <v>29281</v>
      </c>
      <c r="K3586" t="s">
        <v>37209</v>
      </c>
      <c r="M3586" t="s">
        <v>38272</v>
      </c>
      <c r="N3586" t="s">
        <v>41249</v>
      </c>
      <c r="O3586" t="s">
        <v>41250</v>
      </c>
      <c r="P3586">
        <v>0</v>
      </c>
      <c r="Q3586">
        <v>18</v>
      </c>
      <c r="R3586" t="s">
        <v>41252</v>
      </c>
      <c r="S3586" t="s">
        <v>41383</v>
      </c>
      <c r="T3586" t="s">
        <v>42665</v>
      </c>
      <c r="U3586" t="s">
        <v>46196</v>
      </c>
      <c r="W3586" t="s">
        <v>38272</v>
      </c>
      <c r="X3586" t="s">
        <v>41254</v>
      </c>
    </row>
    <row r="3587" spans="1:24">
      <c r="A3587">
        <f>HYPERLINK("https://www.philgeps.gov.ph/GEPSNONPILOT/Tender/SplashBidNoticeAbstractUI.aspx?menuIndex=3&amp;refID=7074784&amp;Result=3","7074784")</f>
        <v>0</v>
      </c>
      <c r="B3587" t="s">
        <v>51</v>
      </c>
      <c r="C3587" t="s">
        <v>6829</v>
      </c>
      <c r="D3587" t="s">
        <v>16631</v>
      </c>
      <c r="E3587" t="s">
        <v>19953</v>
      </c>
      <c r="F3587" t="s">
        <v>28669</v>
      </c>
      <c r="G3587" t="s">
        <v>28676</v>
      </c>
      <c r="H3587" t="s">
        <v>9998</v>
      </c>
      <c r="I3587" t="s">
        <v>28704</v>
      </c>
      <c r="J3587" t="s">
        <v>29176</v>
      </c>
      <c r="K3587" t="s">
        <v>37204</v>
      </c>
      <c r="M3587" t="s">
        <v>38699</v>
      </c>
      <c r="N3587" t="s">
        <v>41249</v>
      </c>
      <c r="O3587" t="s">
        <v>41250</v>
      </c>
      <c r="P3587">
        <v>0</v>
      </c>
      <c r="Q3587">
        <v>0</v>
      </c>
      <c r="R3587" t="s">
        <v>41252</v>
      </c>
      <c r="S3587" t="s">
        <v>41383</v>
      </c>
      <c r="T3587" t="s">
        <v>42670</v>
      </c>
      <c r="U3587" t="s">
        <v>46197</v>
      </c>
      <c r="W3587" t="s">
        <v>38699</v>
      </c>
      <c r="X3587" t="s">
        <v>41254</v>
      </c>
    </row>
    <row r="3588" spans="1:24">
      <c r="A3588">
        <f>HYPERLINK("https://www.philgeps.gov.ph/GEPSNONPILOT/Tender/SplashBidNoticeAbstractUI.aspx?menuIndex=3&amp;refID=7074732&amp;Result=3","7074732")</f>
        <v>0</v>
      </c>
      <c r="B3588" t="s">
        <v>1390</v>
      </c>
      <c r="C3588" t="s">
        <v>6830</v>
      </c>
      <c r="D3588" t="s">
        <v>16632</v>
      </c>
      <c r="E3588" t="s">
        <v>19954</v>
      </c>
      <c r="F3588" t="s">
        <v>28669</v>
      </c>
      <c r="G3588" t="s">
        <v>28676</v>
      </c>
      <c r="H3588" t="s">
        <v>9998</v>
      </c>
      <c r="I3588" t="s">
        <v>6606</v>
      </c>
      <c r="J3588" t="s">
        <v>30546</v>
      </c>
      <c r="K3588" t="s">
        <v>37266</v>
      </c>
      <c r="M3588" t="s">
        <v>38952</v>
      </c>
      <c r="N3588" t="s">
        <v>41249</v>
      </c>
      <c r="O3588" t="s">
        <v>41250</v>
      </c>
      <c r="P3588">
        <v>0</v>
      </c>
      <c r="Q3588">
        <v>0</v>
      </c>
      <c r="R3588" t="s">
        <v>41252</v>
      </c>
      <c r="S3588" t="s">
        <v>41383</v>
      </c>
      <c r="T3588" t="s">
        <v>42748</v>
      </c>
      <c r="U3588" t="s">
        <v>46198</v>
      </c>
      <c r="W3588" t="s">
        <v>38952</v>
      </c>
      <c r="X3588" t="s">
        <v>41254</v>
      </c>
    </row>
    <row r="3589" spans="1:24">
      <c r="A3589">
        <f>HYPERLINK("https://www.philgeps.gov.ph/GEPSNONPILOT/Tender/SplashBidNoticeAbstractUI.aspx?menuIndex=3&amp;refID=7074781&amp;Result=3","7074781")</f>
        <v>0</v>
      </c>
      <c r="B3589" t="s">
        <v>1386</v>
      </c>
      <c r="C3589" t="s">
        <v>6831</v>
      </c>
      <c r="E3589" t="s">
        <v>19955</v>
      </c>
      <c r="F3589" t="s">
        <v>28669</v>
      </c>
      <c r="G3589" t="s">
        <v>28676</v>
      </c>
      <c r="H3589" t="s">
        <v>9998</v>
      </c>
      <c r="I3589" t="s">
        <v>28722</v>
      </c>
      <c r="J3589" t="s">
        <v>31166</v>
      </c>
      <c r="K3589" t="s">
        <v>37209</v>
      </c>
      <c r="M3589" t="s">
        <v>38948</v>
      </c>
      <c r="N3589" t="s">
        <v>41249</v>
      </c>
      <c r="O3589" t="s">
        <v>41250</v>
      </c>
      <c r="P3589">
        <v>0</v>
      </c>
      <c r="Q3589">
        <v>0</v>
      </c>
      <c r="R3589" t="s">
        <v>41252</v>
      </c>
      <c r="S3589" t="s">
        <v>41383</v>
      </c>
      <c r="T3589" t="s">
        <v>42758</v>
      </c>
      <c r="U3589" t="s">
        <v>46199</v>
      </c>
      <c r="W3589" t="s">
        <v>38948</v>
      </c>
      <c r="X3589" t="s">
        <v>41254</v>
      </c>
    </row>
    <row r="3590" spans="1:24">
      <c r="A3590">
        <f>HYPERLINK("https://www.philgeps.gov.ph/GEPSNONPILOT/Tender/SplashBidNoticeAbstractUI.aspx?menuIndex=3&amp;refID=7074779&amp;Result=3","7074779")</f>
        <v>0</v>
      </c>
      <c r="B3590" t="s">
        <v>1357</v>
      </c>
      <c r="C3590" t="s">
        <v>6832</v>
      </c>
      <c r="D3590" t="s">
        <v>16627</v>
      </c>
      <c r="E3590" t="s">
        <v>19956</v>
      </c>
      <c r="F3590" t="s">
        <v>28669</v>
      </c>
      <c r="G3590" t="s">
        <v>28675</v>
      </c>
      <c r="H3590" t="s">
        <v>9998</v>
      </c>
      <c r="I3590" t="s">
        <v>7352</v>
      </c>
      <c r="J3590" t="s">
        <v>31167</v>
      </c>
      <c r="K3590" t="s">
        <v>37204</v>
      </c>
      <c r="M3590" t="s">
        <v>38913</v>
      </c>
      <c r="N3590" t="s">
        <v>41249</v>
      </c>
      <c r="O3590" t="s">
        <v>41250</v>
      </c>
      <c r="P3590">
        <v>0</v>
      </c>
      <c r="Q3590">
        <v>0</v>
      </c>
      <c r="R3590" t="s">
        <v>41252</v>
      </c>
      <c r="S3590" t="s">
        <v>41383</v>
      </c>
      <c r="T3590" t="s">
        <v>42757</v>
      </c>
      <c r="U3590" t="s">
        <v>46200</v>
      </c>
      <c r="W3590" t="s">
        <v>38913</v>
      </c>
      <c r="X3590" t="s">
        <v>41254</v>
      </c>
    </row>
    <row r="3591" spans="1:24">
      <c r="A3591">
        <f>HYPERLINK("https://www.philgeps.gov.ph/GEPSNONPILOT/Tender/SplashBidNoticeAbstractUI.aspx?menuIndex=3&amp;refID=7074787&amp;Result=3","7074787")</f>
        <v>0</v>
      </c>
      <c r="B3591" t="s">
        <v>500</v>
      </c>
      <c r="C3591" t="s">
        <v>6833</v>
      </c>
      <c r="D3591" t="s">
        <v>16657</v>
      </c>
      <c r="E3591" t="s">
        <v>19957</v>
      </c>
      <c r="F3591" t="s">
        <v>28669</v>
      </c>
      <c r="G3591" t="s">
        <v>28675</v>
      </c>
      <c r="H3591" t="s">
        <v>9998</v>
      </c>
      <c r="I3591" t="s">
        <v>7352</v>
      </c>
      <c r="J3591" t="s">
        <v>31168</v>
      </c>
      <c r="K3591" t="s">
        <v>37216</v>
      </c>
      <c r="M3591" t="s">
        <v>37989</v>
      </c>
      <c r="N3591" t="s">
        <v>41249</v>
      </c>
      <c r="O3591" t="s">
        <v>41250</v>
      </c>
      <c r="P3591">
        <v>0</v>
      </c>
      <c r="Q3591">
        <v>2</v>
      </c>
      <c r="R3591" t="s">
        <v>41252</v>
      </c>
      <c r="S3591" t="s">
        <v>41383</v>
      </c>
      <c r="T3591" t="s">
        <v>42742</v>
      </c>
      <c r="U3591" t="s">
        <v>44053</v>
      </c>
      <c r="W3591" t="s">
        <v>37989</v>
      </c>
      <c r="X3591" t="s">
        <v>41254</v>
      </c>
    </row>
    <row r="3592" spans="1:24">
      <c r="A3592">
        <f>HYPERLINK("https://www.philgeps.gov.ph/GEPSNONPILOT/Tender/SplashBidNoticeAbstractUI.aspx?menuIndex=3&amp;refID=7074778&amp;Result=3","7074778")</f>
        <v>0</v>
      </c>
      <c r="B3592" t="s">
        <v>1391</v>
      </c>
      <c r="C3592" t="s">
        <v>6834</v>
      </c>
      <c r="D3592" t="s">
        <v>16657</v>
      </c>
      <c r="E3592" t="s">
        <v>19958</v>
      </c>
      <c r="F3592" t="s">
        <v>28669</v>
      </c>
      <c r="G3592" t="s">
        <v>28675</v>
      </c>
      <c r="H3592" t="s">
        <v>9998</v>
      </c>
      <c r="I3592" t="s">
        <v>5286</v>
      </c>
      <c r="J3592" t="s">
        <v>28826</v>
      </c>
      <c r="K3592" t="s">
        <v>37209</v>
      </c>
      <c r="M3592" t="s">
        <v>38953</v>
      </c>
      <c r="N3592" t="s">
        <v>41249</v>
      </c>
      <c r="O3592" t="s">
        <v>41250</v>
      </c>
      <c r="P3592">
        <v>0</v>
      </c>
      <c r="Q3592">
        <v>1</v>
      </c>
      <c r="R3592" t="s">
        <v>41252</v>
      </c>
      <c r="S3592" t="s">
        <v>41383</v>
      </c>
      <c r="T3592" t="s">
        <v>42757</v>
      </c>
      <c r="U3592" t="s">
        <v>46201</v>
      </c>
      <c r="V3592" t="s">
        <v>54659</v>
      </c>
      <c r="W3592" t="s">
        <v>38953</v>
      </c>
      <c r="X3592" t="s">
        <v>41254</v>
      </c>
    </row>
    <row r="3593" spans="1:24">
      <c r="A3593">
        <f>HYPERLINK("https://www.philgeps.gov.ph/GEPSNONPILOT/Tender/SplashBidNoticeAbstractUI.aspx?menuIndex=3&amp;refID=7074776&amp;Result=3","7074776")</f>
        <v>0</v>
      </c>
      <c r="B3593" t="s">
        <v>1375</v>
      </c>
      <c r="C3593" t="s">
        <v>6835</v>
      </c>
      <c r="D3593" t="s">
        <v>16608</v>
      </c>
      <c r="E3593" t="s">
        <v>19959</v>
      </c>
      <c r="F3593" t="s">
        <v>28669</v>
      </c>
      <c r="G3593" t="s">
        <v>28676</v>
      </c>
      <c r="H3593" t="s">
        <v>9998</v>
      </c>
      <c r="I3593" t="s">
        <v>28708</v>
      </c>
      <c r="J3593" t="s">
        <v>29003</v>
      </c>
      <c r="K3593" t="s">
        <v>37209</v>
      </c>
      <c r="M3593" t="s">
        <v>38934</v>
      </c>
      <c r="N3593" t="s">
        <v>41249</v>
      </c>
      <c r="O3593" t="s">
        <v>41250</v>
      </c>
      <c r="P3593">
        <v>0</v>
      </c>
      <c r="Q3593">
        <v>15</v>
      </c>
      <c r="R3593" t="s">
        <v>41252</v>
      </c>
      <c r="S3593" t="s">
        <v>41383</v>
      </c>
      <c r="T3593" t="s">
        <v>42867</v>
      </c>
      <c r="U3593" t="s">
        <v>46155</v>
      </c>
      <c r="W3593" t="s">
        <v>38934</v>
      </c>
      <c r="X3593" t="s">
        <v>41254</v>
      </c>
    </row>
    <row r="3594" spans="1:24">
      <c r="A3594">
        <f>HYPERLINK("https://www.philgeps.gov.ph/GEPSNONPILOT/Tender/SplashBidNoticeAbstractUI.aspx?menuIndex=3&amp;refID=7074774&amp;Result=3","7074774")</f>
        <v>0</v>
      </c>
      <c r="B3594" t="s">
        <v>693</v>
      </c>
      <c r="C3594" t="s">
        <v>6836</v>
      </c>
      <c r="D3594" t="s">
        <v>16615</v>
      </c>
      <c r="E3594" t="s">
        <v>19960</v>
      </c>
      <c r="F3594" t="s">
        <v>28669</v>
      </c>
      <c r="G3594" t="s">
        <v>28676</v>
      </c>
      <c r="H3594" t="s">
        <v>9998</v>
      </c>
      <c r="I3594" t="s">
        <v>28704</v>
      </c>
      <c r="J3594" t="s">
        <v>31169</v>
      </c>
      <c r="K3594" t="s">
        <v>37204</v>
      </c>
      <c r="M3594" t="s">
        <v>38198</v>
      </c>
      <c r="N3594" t="s">
        <v>41249</v>
      </c>
      <c r="O3594" t="s">
        <v>41250</v>
      </c>
      <c r="P3594">
        <v>0</v>
      </c>
      <c r="Q3594">
        <v>0</v>
      </c>
      <c r="R3594" t="s">
        <v>41252</v>
      </c>
      <c r="S3594" t="s">
        <v>41383</v>
      </c>
      <c r="T3594" t="s">
        <v>42729</v>
      </c>
      <c r="U3594" t="s">
        <v>46202</v>
      </c>
      <c r="V3594" t="s">
        <v>54660</v>
      </c>
      <c r="W3594" t="s">
        <v>38198</v>
      </c>
      <c r="X3594" t="s">
        <v>41254</v>
      </c>
    </row>
    <row r="3595" spans="1:24">
      <c r="A3595">
        <f>HYPERLINK("https://www.philgeps.gov.ph/GEPSNONPILOT/Tender/SplashBidNoticeAbstractUI.aspx?menuIndex=3&amp;refID=7074769&amp;Result=3","7074769")</f>
        <v>0</v>
      </c>
      <c r="B3595" t="s">
        <v>114</v>
      </c>
      <c r="C3595" t="s">
        <v>6837</v>
      </c>
      <c r="D3595" t="s">
        <v>16608</v>
      </c>
      <c r="E3595" t="s">
        <v>19961</v>
      </c>
      <c r="F3595" t="s">
        <v>28669</v>
      </c>
      <c r="G3595" t="s">
        <v>28677</v>
      </c>
      <c r="H3595" t="s">
        <v>9998</v>
      </c>
      <c r="I3595" t="s">
        <v>5286</v>
      </c>
      <c r="J3595" t="s">
        <v>31170</v>
      </c>
      <c r="K3595" t="s">
        <v>37210</v>
      </c>
      <c r="M3595" t="s">
        <v>37793</v>
      </c>
      <c r="N3595" t="s">
        <v>41249</v>
      </c>
      <c r="O3595" t="s">
        <v>41250</v>
      </c>
      <c r="P3595">
        <v>0</v>
      </c>
      <c r="Q3595">
        <v>2</v>
      </c>
      <c r="R3595" t="s">
        <v>41252</v>
      </c>
      <c r="S3595" t="s">
        <v>41383</v>
      </c>
      <c r="T3595" t="s">
        <v>42878</v>
      </c>
      <c r="U3595" t="s">
        <v>46203</v>
      </c>
      <c r="V3595" t="s">
        <v>54326</v>
      </c>
      <c r="W3595" t="s">
        <v>37793</v>
      </c>
      <c r="X3595" t="s">
        <v>41254</v>
      </c>
    </row>
    <row r="3596" spans="1:24">
      <c r="A3596">
        <f>HYPERLINK("https://www.philgeps.gov.ph/GEPSNONPILOT/Tender/SplashBidNoticeAbstractUI.aspx?menuIndex=3&amp;refID=7074713&amp;Result=3","7074713")</f>
        <v>0</v>
      </c>
      <c r="B3596" t="s">
        <v>1392</v>
      </c>
      <c r="C3596" t="s">
        <v>6838</v>
      </c>
      <c r="D3596" t="s">
        <v>16617</v>
      </c>
      <c r="E3596" t="s">
        <v>19962</v>
      </c>
      <c r="F3596" t="s">
        <v>28669</v>
      </c>
      <c r="G3596" t="s">
        <v>28675</v>
      </c>
      <c r="H3596" t="s">
        <v>9998</v>
      </c>
      <c r="I3596" t="s">
        <v>28690</v>
      </c>
      <c r="J3596" t="s">
        <v>31171</v>
      </c>
      <c r="K3596" t="s">
        <v>37266</v>
      </c>
      <c r="M3596" t="s">
        <v>38954</v>
      </c>
      <c r="N3596" t="s">
        <v>41249</v>
      </c>
      <c r="O3596" t="s">
        <v>41250</v>
      </c>
      <c r="P3596">
        <v>0</v>
      </c>
      <c r="Q3596">
        <v>1</v>
      </c>
      <c r="R3596" t="s">
        <v>41252</v>
      </c>
      <c r="S3596" t="s">
        <v>41383</v>
      </c>
      <c r="T3596" t="s">
        <v>42742</v>
      </c>
      <c r="U3596" t="s">
        <v>46204</v>
      </c>
      <c r="W3596" t="s">
        <v>38954</v>
      </c>
      <c r="X3596" t="s">
        <v>41254</v>
      </c>
    </row>
    <row r="3597" spans="1:24">
      <c r="A3597">
        <f>HYPERLINK("https://www.philgeps.gov.ph/GEPSNONPILOT/Tender/SplashBidNoticeAbstractUI.aspx?menuIndex=3&amp;refID=7074780&amp;Result=3","7074780")</f>
        <v>0</v>
      </c>
      <c r="B3597" t="s">
        <v>1393</v>
      </c>
      <c r="C3597" t="s">
        <v>6839</v>
      </c>
      <c r="D3597" t="s">
        <v>16662</v>
      </c>
      <c r="E3597" t="s">
        <v>18464</v>
      </c>
      <c r="F3597" t="s">
        <v>28669</v>
      </c>
      <c r="G3597" t="s">
        <v>28675</v>
      </c>
      <c r="H3597" t="s">
        <v>9998</v>
      </c>
      <c r="I3597" t="s">
        <v>7352</v>
      </c>
      <c r="J3597" t="s">
        <v>31172</v>
      </c>
      <c r="K3597" t="s">
        <v>37210</v>
      </c>
      <c r="M3597" t="s">
        <v>38955</v>
      </c>
      <c r="N3597" t="s">
        <v>41249</v>
      </c>
      <c r="O3597" t="s">
        <v>41250</v>
      </c>
      <c r="P3597">
        <v>0</v>
      </c>
      <c r="Q3597">
        <v>0</v>
      </c>
      <c r="R3597" t="s">
        <v>41252</v>
      </c>
      <c r="S3597" t="s">
        <v>41383</v>
      </c>
      <c r="T3597" t="s">
        <v>42716</v>
      </c>
      <c r="U3597" t="s">
        <v>46205</v>
      </c>
      <c r="W3597" t="s">
        <v>38955</v>
      </c>
      <c r="X3597" t="s">
        <v>41254</v>
      </c>
    </row>
    <row r="3598" spans="1:24">
      <c r="A3598">
        <f>HYPERLINK("https://www.philgeps.gov.ph/GEPSNONPILOT/Tender/SplashBidNoticeAbstractUI.aspx?menuIndex=3&amp;refID=7074812&amp;Result=3","7074812")</f>
        <v>0</v>
      </c>
      <c r="B3598" t="s">
        <v>1296</v>
      </c>
      <c r="C3598" t="s">
        <v>6840</v>
      </c>
      <c r="D3598" t="s">
        <v>16617</v>
      </c>
      <c r="E3598" t="s">
        <v>19603</v>
      </c>
      <c r="F3598" t="s">
        <v>28669</v>
      </c>
      <c r="G3598" t="s">
        <v>28676</v>
      </c>
      <c r="H3598" t="s">
        <v>9998</v>
      </c>
      <c r="I3598" t="s">
        <v>28735</v>
      </c>
      <c r="J3598" t="s">
        <v>31173</v>
      </c>
      <c r="K3598" t="s">
        <v>37206</v>
      </c>
      <c r="M3598" t="s">
        <v>38847</v>
      </c>
      <c r="N3598" t="s">
        <v>41249</v>
      </c>
      <c r="O3598" t="s">
        <v>41250</v>
      </c>
      <c r="P3598">
        <v>0</v>
      </c>
      <c r="Q3598">
        <v>3</v>
      </c>
      <c r="R3598" t="s">
        <v>41252</v>
      </c>
      <c r="S3598" t="s">
        <v>41383</v>
      </c>
      <c r="T3598" t="s">
        <v>42758</v>
      </c>
      <c r="U3598" t="s">
        <v>46206</v>
      </c>
      <c r="W3598" t="s">
        <v>38847</v>
      </c>
      <c r="X3598" t="s">
        <v>41254</v>
      </c>
    </row>
    <row r="3599" spans="1:24">
      <c r="A3599">
        <f>HYPERLINK("https://www.philgeps.gov.ph/GEPSNONPILOT/Tender/SplashBidNoticeAbstractUI.aspx?menuIndex=3&amp;refID=7074783&amp;Result=3","7074783")</f>
        <v>0</v>
      </c>
      <c r="B3599" t="s">
        <v>602</v>
      </c>
      <c r="C3599" t="s">
        <v>6841</v>
      </c>
      <c r="D3599" t="s">
        <v>16661</v>
      </c>
      <c r="E3599" t="s">
        <v>18950</v>
      </c>
      <c r="F3599" t="s">
        <v>28669</v>
      </c>
      <c r="G3599" t="s">
        <v>28675</v>
      </c>
      <c r="H3599" t="s">
        <v>9998</v>
      </c>
      <c r="I3599" t="s">
        <v>7352</v>
      </c>
      <c r="J3599" t="s">
        <v>31174</v>
      </c>
      <c r="K3599" t="s">
        <v>37205</v>
      </c>
      <c r="M3599" t="s">
        <v>38102</v>
      </c>
      <c r="N3599" t="s">
        <v>41249</v>
      </c>
      <c r="O3599" t="s">
        <v>41250</v>
      </c>
      <c r="P3599">
        <v>0</v>
      </c>
      <c r="Q3599">
        <v>1</v>
      </c>
      <c r="R3599" t="s">
        <v>41252</v>
      </c>
      <c r="S3599" t="s">
        <v>41383</v>
      </c>
      <c r="T3599" t="s">
        <v>42818</v>
      </c>
      <c r="U3599" t="s">
        <v>46207</v>
      </c>
      <c r="W3599" t="s">
        <v>38102</v>
      </c>
      <c r="X3599" t="s">
        <v>41254</v>
      </c>
    </row>
    <row r="3600" spans="1:24">
      <c r="A3600">
        <f>HYPERLINK("https://www.philgeps.gov.ph/GEPSNONPILOT/Tender/SplashBidNoticeAbstractUI.aspx?menuIndex=3&amp;refID=7074811&amp;Result=3","7074811")</f>
        <v>0</v>
      </c>
      <c r="B3600" t="s">
        <v>909</v>
      </c>
      <c r="C3600" t="s">
        <v>6842</v>
      </c>
      <c r="D3600" t="s">
        <v>16662</v>
      </c>
      <c r="E3600" t="s">
        <v>19963</v>
      </c>
      <c r="F3600" t="s">
        <v>28669</v>
      </c>
      <c r="G3600" t="s">
        <v>28675</v>
      </c>
      <c r="H3600" t="s">
        <v>9998</v>
      </c>
      <c r="I3600" t="s">
        <v>28687</v>
      </c>
      <c r="J3600" t="s">
        <v>30025</v>
      </c>
      <c r="K3600" t="s">
        <v>37206</v>
      </c>
      <c r="M3600" t="s">
        <v>38431</v>
      </c>
      <c r="N3600" t="s">
        <v>41249</v>
      </c>
      <c r="O3600" t="s">
        <v>41250</v>
      </c>
      <c r="P3600">
        <v>0</v>
      </c>
      <c r="Q3600">
        <v>5</v>
      </c>
      <c r="R3600" t="s">
        <v>41252</v>
      </c>
      <c r="S3600" t="s">
        <v>41383</v>
      </c>
      <c r="T3600" t="s">
        <v>42688</v>
      </c>
      <c r="U3600" t="s">
        <v>46208</v>
      </c>
      <c r="W3600" t="s">
        <v>38431</v>
      </c>
      <c r="X3600" t="s">
        <v>41254</v>
      </c>
    </row>
    <row r="3601" spans="1:24">
      <c r="A3601">
        <f>HYPERLINK("https://www.philgeps.gov.ph/GEPSNONPILOT/Tender/SplashBidNoticeAbstractUI.aspx?menuIndex=3&amp;refID=7074808&amp;Result=3","7074808")</f>
        <v>0</v>
      </c>
      <c r="B3601" t="s">
        <v>965</v>
      </c>
      <c r="C3601" t="s">
        <v>6843</v>
      </c>
      <c r="D3601" t="s">
        <v>16608</v>
      </c>
      <c r="E3601" t="s">
        <v>19964</v>
      </c>
      <c r="F3601" t="s">
        <v>28669</v>
      </c>
      <c r="G3601" t="s">
        <v>28675</v>
      </c>
      <c r="H3601" t="s">
        <v>9998</v>
      </c>
      <c r="I3601" t="s">
        <v>5213</v>
      </c>
      <c r="J3601" t="s">
        <v>31175</v>
      </c>
      <c r="K3601" t="s">
        <v>37205</v>
      </c>
      <c r="M3601" t="s">
        <v>38890</v>
      </c>
      <c r="N3601" t="s">
        <v>41249</v>
      </c>
      <c r="O3601" t="s">
        <v>41250</v>
      </c>
      <c r="P3601">
        <v>0</v>
      </c>
      <c r="Q3601">
        <v>0</v>
      </c>
      <c r="R3601" t="s">
        <v>41252</v>
      </c>
      <c r="S3601" t="s">
        <v>41383</v>
      </c>
      <c r="T3601" t="s">
        <v>42703</v>
      </c>
      <c r="U3601" t="s">
        <v>45206</v>
      </c>
      <c r="W3601" t="s">
        <v>38890</v>
      </c>
      <c r="X3601" t="s">
        <v>41254</v>
      </c>
    </row>
    <row r="3602" spans="1:24">
      <c r="A3602">
        <f>HYPERLINK("https://www.philgeps.gov.ph/GEPSNONPILOT/Tender/SplashBidNoticeAbstractUI.aspx?menuIndex=3&amp;refID=7074816&amp;Result=3","7074816")</f>
        <v>0</v>
      </c>
      <c r="B3602" t="s">
        <v>1021</v>
      </c>
      <c r="C3602" t="s">
        <v>6844</v>
      </c>
      <c r="D3602" t="s">
        <v>16646</v>
      </c>
      <c r="E3602" t="s">
        <v>19965</v>
      </c>
      <c r="F3602" t="s">
        <v>28669</v>
      </c>
      <c r="G3602" t="s">
        <v>28677</v>
      </c>
      <c r="H3602" t="s">
        <v>9998</v>
      </c>
      <c r="I3602" t="s">
        <v>28690</v>
      </c>
      <c r="J3602" t="s">
        <v>31176</v>
      </c>
      <c r="K3602" t="s">
        <v>37234</v>
      </c>
      <c r="M3602" t="s">
        <v>38551</v>
      </c>
      <c r="N3602" t="s">
        <v>41249</v>
      </c>
      <c r="O3602" t="s">
        <v>41250</v>
      </c>
      <c r="P3602">
        <v>0</v>
      </c>
      <c r="Q3602">
        <v>0</v>
      </c>
      <c r="R3602" t="s">
        <v>41252</v>
      </c>
      <c r="S3602" t="s">
        <v>41383</v>
      </c>
      <c r="T3602" t="s">
        <v>42727</v>
      </c>
      <c r="U3602" t="s">
        <v>46209</v>
      </c>
      <c r="W3602" t="s">
        <v>38551</v>
      </c>
      <c r="X3602" t="s">
        <v>41254</v>
      </c>
    </row>
    <row r="3603" spans="1:24">
      <c r="A3603">
        <f>HYPERLINK("https://www.philgeps.gov.ph/GEPSNONPILOT/Tender/SplashBidNoticeAbstractUI.aspx?menuIndex=3&amp;refID=7074807&amp;Result=3","7074807")</f>
        <v>0</v>
      </c>
      <c r="B3603" t="s">
        <v>1394</v>
      </c>
      <c r="C3603" t="s">
        <v>6845</v>
      </c>
      <c r="D3603" t="s">
        <v>16679</v>
      </c>
      <c r="E3603" t="s">
        <v>19966</v>
      </c>
      <c r="F3603" t="s">
        <v>28669</v>
      </c>
      <c r="G3603" t="s">
        <v>28677</v>
      </c>
      <c r="H3603" t="s">
        <v>9998</v>
      </c>
      <c r="I3603" t="s">
        <v>28762</v>
      </c>
      <c r="J3603" t="s">
        <v>29537</v>
      </c>
      <c r="K3603" t="s">
        <v>37208</v>
      </c>
      <c r="M3603" t="s">
        <v>38956</v>
      </c>
      <c r="N3603" t="s">
        <v>41249</v>
      </c>
      <c r="O3603" t="s">
        <v>41250</v>
      </c>
      <c r="P3603">
        <v>0</v>
      </c>
      <c r="Q3603">
        <v>0</v>
      </c>
      <c r="R3603" t="s">
        <v>41252</v>
      </c>
      <c r="S3603" t="s">
        <v>41383</v>
      </c>
      <c r="T3603" t="s">
        <v>42883</v>
      </c>
      <c r="U3603" t="s">
        <v>46210</v>
      </c>
      <c r="W3603" t="s">
        <v>38956</v>
      </c>
      <c r="X3603" t="s">
        <v>41254</v>
      </c>
    </row>
    <row r="3604" spans="1:24">
      <c r="A3604">
        <f>HYPERLINK("https://www.philgeps.gov.ph/GEPSNONPILOT/Tender/SplashBidNoticeAbstractUI.aspx?menuIndex=3&amp;refID=7074752&amp;Result=3","7074752")</f>
        <v>0</v>
      </c>
      <c r="B3604" t="s">
        <v>1391</v>
      </c>
      <c r="C3604" t="s">
        <v>6846</v>
      </c>
      <c r="D3604" t="s">
        <v>16657</v>
      </c>
      <c r="E3604" t="s">
        <v>19967</v>
      </c>
      <c r="F3604" t="s">
        <v>28669</v>
      </c>
      <c r="G3604" t="s">
        <v>28675</v>
      </c>
      <c r="H3604" t="s">
        <v>28686</v>
      </c>
      <c r="I3604" t="s">
        <v>28689</v>
      </c>
      <c r="J3604" t="s">
        <v>31177</v>
      </c>
      <c r="K3604" t="s">
        <v>37209</v>
      </c>
      <c r="M3604" t="s">
        <v>38953</v>
      </c>
      <c r="N3604" t="s">
        <v>41249</v>
      </c>
      <c r="O3604" t="s">
        <v>41250</v>
      </c>
      <c r="P3604">
        <v>0</v>
      </c>
      <c r="Q3604">
        <v>2</v>
      </c>
      <c r="R3604" t="s">
        <v>41252</v>
      </c>
      <c r="S3604" t="s">
        <v>41383</v>
      </c>
      <c r="T3604" t="s">
        <v>42757</v>
      </c>
      <c r="U3604" t="s">
        <v>46211</v>
      </c>
      <c r="V3604" t="s">
        <v>54661</v>
      </c>
      <c r="W3604" t="s">
        <v>38953</v>
      </c>
      <c r="X3604" t="s">
        <v>41254</v>
      </c>
    </row>
    <row r="3605" spans="1:24">
      <c r="A3605">
        <f>HYPERLINK("https://www.philgeps.gov.ph/GEPSNONPILOT/Tender/SplashBidNoticeAbstractUI.aspx?menuIndex=3&amp;refID=7074805&amp;Result=3","7074805")</f>
        <v>0</v>
      </c>
      <c r="B3605" t="s">
        <v>186</v>
      </c>
      <c r="C3605" t="s">
        <v>6847</v>
      </c>
      <c r="D3605" t="s">
        <v>16654</v>
      </c>
      <c r="E3605" t="s">
        <v>19968</v>
      </c>
      <c r="F3605" t="s">
        <v>28669</v>
      </c>
      <c r="G3605" t="s">
        <v>28676</v>
      </c>
      <c r="H3605" t="s">
        <v>28686</v>
      </c>
      <c r="I3605" t="s">
        <v>28689</v>
      </c>
      <c r="J3605" t="s">
        <v>28894</v>
      </c>
      <c r="K3605" t="s">
        <v>37262</v>
      </c>
      <c r="M3605" t="s">
        <v>37664</v>
      </c>
      <c r="N3605" t="s">
        <v>41249</v>
      </c>
      <c r="O3605" t="s">
        <v>41250</v>
      </c>
      <c r="P3605">
        <v>0</v>
      </c>
      <c r="Q3605">
        <v>0</v>
      </c>
      <c r="R3605" t="s">
        <v>41252</v>
      </c>
      <c r="S3605" t="s">
        <v>41383</v>
      </c>
      <c r="T3605" t="s">
        <v>42701</v>
      </c>
      <c r="U3605" t="s">
        <v>46212</v>
      </c>
      <c r="W3605" t="s">
        <v>37664</v>
      </c>
      <c r="X3605" t="s">
        <v>41254</v>
      </c>
    </row>
    <row r="3606" spans="1:24">
      <c r="A3606">
        <f>HYPERLINK("https://www.philgeps.gov.ph/GEPSNONPILOT/Tender/SplashBidNoticeAbstractUI.aspx?menuIndex=3&amp;refID=7074803&amp;Result=3","7074803")</f>
        <v>0</v>
      </c>
      <c r="B3606" t="s">
        <v>594</v>
      </c>
      <c r="C3606" t="s">
        <v>6848</v>
      </c>
      <c r="D3606" t="s">
        <v>16673</v>
      </c>
      <c r="E3606" t="s">
        <v>19969</v>
      </c>
      <c r="F3606" t="s">
        <v>28671</v>
      </c>
      <c r="G3606" t="s">
        <v>28677</v>
      </c>
      <c r="H3606" t="s">
        <v>9998</v>
      </c>
      <c r="I3606" t="s">
        <v>28787</v>
      </c>
      <c r="J3606" t="s">
        <v>31178</v>
      </c>
      <c r="K3606" t="s">
        <v>37243</v>
      </c>
      <c r="M3606" t="s">
        <v>38093</v>
      </c>
      <c r="N3606" t="s">
        <v>41249</v>
      </c>
      <c r="O3606" t="s">
        <v>41250</v>
      </c>
      <c r="P3606">
        <v>0</v>
      </c>
      <c r="Q3606">
        <v>5</v>
      </c>
      <c r="R3606" t="s">
        <v>41252</v>
      </c>
      <c r="S3606" t="s">
        <v>41383</v>
      </c>
      <c r="T3606" t="s">
        <v>42694</v>
      </c>
      <c r="U3606" t="s">
        <v>44102</v>
      </c>
      <c r="W3606" t="s">
        <v>38093</v>
      </c>
      <c r="X3606" t="s">
        <v>41254</v>
      </c>
    </row>
    <row r="3607" spans="1:24">
      <c r="A3607">
        <f>HYPERLINK("https://www.philgeps.gov.ph/GEPSNONPILOT/Tender/SplashBidNoticeAbstractUI.aspx?menuIndex=3&amp;refID=7074815&amp;Result=3","7074815")</f>
        <v>0</v>
      </c>
      <c r="B3607" t="s">
        <v>1384</v>
      </c>
      <c r="C3607" t="s">
        <v>6849</v>
      </c>
      <c r="D3607" t="s">
        <v>16616</v>
      </c>
      <c r="E3607" t="s">
        <v>19970</v>
      </c>
      <c r="F3607" t="s">
        <v>28669</v>
      </c>
      <c r="G3607" t="s">
        <v>28675</v>
      </c>
      <c r="H3607" t="s">
        <v>28686</v>
      </c>
      <c r="I3607" t="s">
        <v>28689</v>
      </c>
      <c r="J3607" t="s">
        <v>28836</v>
      </c>
      <c r="K3607" t="s">
        <v>37209</v>
      </c>
      <c r="M3607" t="s">
        <v>38945</v>
      </c>
      <c r="N3607" t="s">
        <v>41249</v>
      </c>
      <c r="O3607" t="s">
        <v>41250</v>
      </c>
      <c r="P3607">
        <v>0</v>
      </c>
      <c r="Q3607">
        <v>1</v>
      </c>
      <c r="R3607" t="s">
        <v>41252</v>
      </c>
      <c r="S3607" t="s">
        <v>41383</v>
      </c>
      <c r="T3607" t="s">
        <v>42716</v>
      </c>
      <c r="U3607" t="s">
        <v>46213</v>
      </c>
      <c r="W3607" t="s">
        <v>38945</v>
      </c>
      <c r="X3607" t="s">
        <v>41254</v>
      </c>
    </row>
    <row r="3608" spans="1:24">
      <c r="A3608">
        <f>HYPERLINK("https://www.philgeps.gov.ph/GEPSNONPILOT/Tender/SplashBidNoticeAbstractUI.aspx?menuIndex=3&amp;refID=7074802&amp;Result=3","7074802")</f>
        <v>0</v>
      </c>
      <c r="B3608" t="s">
        <v>263</v>
      </c>
      <c r="C3608" t="s">
        <v>6850</v>
      </c>
      <c r="D3608" t="s">
        <v>16624</v>
      </c>
      <c r="E3608" t="s">
        <v>17428</v>
      </c>
      <c r="F3608" t="s">
        <v>28669</v>
      </c>
      <c r="G3608" t="s">
        <v>28676</v>
      </c>
      <c r="H3608" t="s">
        <v>9998</v>
      </c>
      <c r="I3608" t="s">
        <v>11593</v>
      </c>
      <c r="J3608" t="s">
        <v>30952</v>
      </c>
      <c r="K3608" t="s">
        <v>37205</v>
      </c>
      <c r="M3608" t="s">
        <v>37741</v>
      </c>
      <c r="N3608" t="s">
        <v>41249</v>
      </c>
      <c r="O3608" t="s">
        <v>41250</v>
      </c>
      <c r="P3608">
        <v>0</v>
      </c>
      <c r="Q3608">
        <v>2</v>
      </c>
      <c r="R3608" t="s">
        <v>41252</v>
      </c>
      <c r="S3608" t="s">
        <v>41383</v>
      </c>
      <c r="T3608" t="s">
        <v>42729</v>
      </c>
      <c r="U3608" t="s">
        <v>43615</v>
      </c>
      <c r="W3608" t="s">
        <v>37741</v>
      </c>
      <c r="X3608" t="s">
        <v>41254</v>
      </c>
    </row>
    <row r="3609" spans="1:24">
      <c r="A3609">
        <f>HYPERLINK("https://www.philgeps.gov.ph/GEPSNONPILOT/Tender/SplashBidNoticeAbstractUI.aspx?menuIndex=3&amp;refID=7074799&amp;Result=3","7074799")</f>
        <v>0</v>
      </c>
      <c r="B3609" t="s">
        <v>937</v>
      </c>
      <c r="C3609" t="s">
        <v>6851</v>
      </c>
      <c r="E3609" t="s">
        <v>19971</v>
      </c>
      <c r="F3609" t="s">
        <v>28669</v>
      </c>
      <c r="G3609" t="s">
        <v>28676</v>
      </c>
      <c r="H3609" t="s">
        <v>9998</v>
      </c>
      <c r="I3609" t="s">
        <v>28687</v>
      </c>
      <c r="J3609" t="s">
        <v>29034</v>
      </c>
      <c r="K3609" t="s">
        <v>37206</v>
      </c>
      <c r="M3609" t="s">
        <v>38460</v>
      </c>
      <c r="N3609" t="s">
        <v>41249</v>
      </c>
      <c r="O3609" t="s">
        <v>41250</v>
      </c>
      <c r="P3609">
        <v>0</v>
      </c>
      <c r="Q3609">
        <v>0</v>
      </c>
      <c r="R3609" t="s">
        <v>41252</v>
      </c>
      <c r="S3609" t="s">
        <v>41383</v>
      </c>
      <c r="T3609" t="s">
        <v>42759</v>
      </c>
      <c r="U3609" t="s">
        <v>44358</v>
      </c>
      <c r="W3609" t="s">
        <v>38460</v>
      </c>
      <c r="X3609" t="s">
        <v>41254</v>
      </c>
    </row>
    <row r="3610" spans="1:24">
      <c r="A3610">
        <f>HYPERLINK("https://www.philgeps.gov.ph/GEPSNONPILOT/Tender/SplashBidNoticeAbstractUI.aspx?menuIndex=3&amp;refID=7074797&amp;Result=3","7074797")</f>
        <v>0</v>
      </c>
      <c r="B3610" t="s">
        <v>1395</v>
      </c>
      <c r="C3610" t="s">
        <v>6852</v>
      </c>
      <c r="D3610" t="s">
        <v>16657</v>
      </c>
      <c r="E3610" t="s">
        <v>19294</v>
      </c>
      <c r="F3610" t="s">
        <v>28669</v>
      </c>
      <c r="G3610" t="s">
        <v>28677</v>
      </c>
      <c r="H3610" t="s">
        <v>9998</v>
      </c>
      <c r="I3610" t="s">
        <v>28773</v>
      </c>
      <c r="J3610" t="s">
        <v>29088</v>
      </c>
      <c r="K3610" t="s">
        <v>37204</v>
      </c>
      <c r="M3610" t="s">
        <v>38957</v>
      </c>
      <c r="N3610" t="s">
        <v>41249</v>
      </c>
      <c r="O3610" t="s">
        <v>41250</v>
      </c>
      <c r="P3610">
        <v>0</v>
      </c>
      <c r="Q3610">
        <v>1</v>
      </c>
      <c r="R3610" t="s">
        <v>41252</v>
      </c>
      <c r="S3610" t="s">
        <v>41383</v>
      </c>
      <c r="T3610" t="s">
        <v>42939</v>
      </c>
      <c r="U3610" t="s">
        <v>46214</v>
      </c>
      <c r="W3610" t="s">
        <v>38957</v>
      </c>
      <c r="X3610" t="s">
        <v>41254</v>
      </c>
    </row>
    <row r="3611" spans="1:24">
      <c r="A3611">
        <f>HYPERLINK("https://www.philgeps.gov.ph/GEPSNONPILOT/Tender/SplashBidNoticeAbstractUI.aspx?menuIndex=3&amp;refID=7074770&amp;Result=3","7074770")</f>
        <v>0</v>
      </c>
      <c r="B3611" t="s">
        <v>942</v>
      </c>
      <c r="C3611" t="s">
        <v>6853</v>
      </c>
      <c r="D3611" t="s">
        <v>16620</v>
      </c>
      <c r="E3611" t="s">
        <v>19972</v>
      </c>
      <c r="F3611" t="s">
        <v>28669</v>
      </c>
      <c r="G3611" t="s">
        <v>28675</v>
      </c>
      <c r="H3611" t="s">
        <v>9998</v>
      </c>
      <c r="I3611" t="s">
        <v>28704</v>
      </c>
      <c r="J3611" t="s">
        <v>31179</v>
      </c>
      <c r="K3611" t="s">
        <v>37206</v>
      </c>
      <c r="M3611" t="s">
        <v>38465</v>
      </c>
      <c r="N3611" t="s">
        <v>41249</v>
      </c>
      <c r="O3611" t="s">
        <v>41250</v>
      </c>
      <c r="P3611">
        <v>0</v>
      </c>
      <c r="Q3611">
        <v>0</v>
      </c>
      <c r="R3611" t="s">
        <v>41252</v>
      </c>
      <c r="S3611" t="s">
        <v>41383</v>
      </c>
      <c r="T3611" t="s">
        <v>42759</v>
      </c>
      <c r="U3611" t="s">
        <v>46215</v>
      </c>
      <c r="W3611" t="s">
        <v>38465</v>
      </c>
      <c r="X3611" t="s">
        <v>41254</v>
      </c>
    </row>
    <row r="3612" spans="1:24">
      <c r="A3612">
        <f>HYPERLINK("https://www.philgeps.gov.ph/GEPSNONPILOT/Tender/SplashBidNoticeAbstractUI.aspx?menuIndex=3&amp;refID=7074817&amp;Result=3","7074817")</f>
        <v>0</v>
      </c>
      <c r="B3612" t="s">
        <v>1396</v>
      </c>
      <c r="C3612" t="s">
        <v>6854</v>
      </c>
      <c r="D3612" t="s">
        <v>16608</v>
      </c>
      <c r="E3612" t="s">
        <v>19973</v>
      </c>
      <c r="F3612" t="s">
        <v>28669</v>
      </c>
      <c r="G3612" t="s">
        <v>28677</v>
      </c>
      <c r="H3612" t="s">
        <v>9998</v>
      </c>
      <c r="I3612" t="s">
        <v>6128</v>
      </c>
      <c r="J3612" t="s">
        <v>31180</v>
      </c>
      <c r="K3612" t="s">
        <v>37206</v>
      </c>
      <c r="M3612" t="s">
        <v>38958</v>
      </c>
      <c r="N3612" t="s">
        <v>41249</v>
      </c>
      <c r="O3612" t="s">
        <v>41250</v>
      </c>
      <c r="P3612">
        <v>0</v>
      </c>
      <c r="Q3612">
        <v>10</v>
      </c>
      <c r="R3612" t="s">
        <v>41252</v>
      </c>
      <c r="S3612" t="s">
        <v>41383</v>
      </c>
      <c r="T3612" t="s">
        <v>42940</v>
      </c>
      <c r="U3612" t="s">
        <v>46216</v>
      </c>
      <c r="W3612" t="s">
        <v>38958</v>
      </c>
      <c r="X3612" t="s">
        <v>41254</v>
      </c>
    </row>
    <row r="3613" spans="1:24">
      <c r="A3613">
        <f>HYPERLINK("https://www.philgeps.gov.ph/GEPSNONPILOT/Tender/SplashBidNoticeAbstractUI.aspx?menuIndex=3&amp;refID=7074722&amp;Result=3","7074722")</f>
        <v>0</v>
      </c>
      <c r="B3613" t="s">
        <v>1021</v>
      </c>
      <c r="C3613" t="s">
        <v>5696</v>
      </c>
      <c r="D3613" t="s">
        <v>16646</v>
      </c>
      <c r="E3613" t="s">
        <v>19974</v>
      </c>
      <c r="F3613" t="s">
        <v>28669</v>
      </c>
      <c r="G3613" t="s">
        <v>28677</v>
      </c>
      <c r="H3613" t="s">
        <v>9998</v>
      </c>
      <c r="I3613" t="s">
        <v>28690</v>
      </c>
      <c r="J3613" t="s">
        <v>29309</v>
      </c>
      <c r="K3613" t="s">
        <v>37234</v>
      </c>
      <c r="M3613" t="s">
        <v>38551</v>
      </c>
      <c r="N3613" t="s">
        <v>41249</v>
      </c>
      <c r="O3613" t="s">
        <v>41250</v>
      </c>
      <c r="P3613">
        <v>0</v>
      </c>
      <c r="Q3613">
        <v>1</v>
      </c>
      <c r="R3613" t="s">
        <v>41252</v>
      </c>
      <c r="S3613" t="s">
        <v>41383</v>
      </c>
      <c r="T3613" t="s">
        <v>42727</v>
      </c>
      <c r="U3613" t="s">
        <v>46217</v>
      </c>
      <c r="W3613" t="s">
        <v>38551</v>
      </c>
      <c r="X3613" t="s">
        <v>41254</v>
      </c>
    </row>
    <row r="3614" spans="1:24">
      <c r="A3614">
        <f>HYPERLINK("https://www.philgeps.gov.ph/GEPSNONPILOT/Tender/SplashBidNoticeAbstractUI.aspx?menuIndex=3&amp;refID=7074842&amp;Result=3","7074842")</f>
        <v>0</v>
      </c>
      <c r="B3614" t="s">
        <v>1397</v>
      </c>
      <c r="C3614" t="s">
        <v>6855</v>
      </c>
      <c r="D3614" t="s">
        <v>16640</v>
      </c>
      <c r="E3614" t="s">
        <v>19975</v>
      </c>
      <c r="F3614" t="s">
        <v>28669</v>
      </c>
      <c r="G3614" t="s">
        <v>28677</v>
      </c>
      <c r="H3614" t="s">
        <v>9998</v>
      </c>
      <c r="I3614" t="s">
        <v>6128</v>
      </c>
      <c r="J3614" t="s">
        <v>31181</v>
      </c>
      <c r="K3614" t="s">
        <v>37204</v>
      </c>
      <c r="M3614" t="s">
        <v>38959</v>
      </c>
      <c r="N3614" t="s">
        <v>41249</v>
      </c>
      <c r="O3614" t="s">
        <v>41250</v>
      </c>
      <c r="P3614">
        <v>0</v>
      </c>
      <c r="Q3614">
        <v>0</v>
      </c>
      <c r="R3614" t="s">
        <v>41252</v>
      </c>
      <c r="S3614" t="s">
        <v>41383</v>
      </c>
      <c r="T3614" t="s">
        <v>42729</v>
      </c>
      <c r="U3614" t="s">
        <v>46218</v>
      </c>
      <c r="W3614" t="s">
        <v>38959</v>
      </c>
      <c r="X3614" t="s">
        <v>41254</v>
      </c>
    </row>
    <row r="3615" spans="1:24">
      <c r="A3615">
        <f>HYPERLINK("https://www.philgeps.gov.ph/GEPSNONPILOT/Tender/SplashBidNoticeAbstractUI.aspx?menuIndex=3&amp;refID=7074839&amp;Result=3","7074839")</f>
        <v>0</v>
      </c>
      <c r="B3615" t="s">
        <v>748</v>
      </c>
      <c r="C3615" t="s">
        <v>6856</v>
      </c>
      <c r="D3615" t="s">
        <v>16629</v>
      </c>
      <c r="E3615" t="s">
        <v>19976</v>
      </c>
      <c r="F3615" t="s">
        <v>28669</v>
      </c>
      <c r="G3615" t="s">
        <v>28676</v>
      </c>
      <c r="H3615" t="s">
        <v>9998</v>
      </c>
      <c r="I3615" t="s">
        <v>8667</v>
      </c>
      <c r="J3615" t="s">
        <v>31182</v>
      </c>
      <c r="K3615" t="s">
        <v>37206</v>
      </c>
      <c r="M3615" t="s">
        <v>38258</v>
      </c>
      <c r="N3615" t="s">
        <v>41249</v>
      </c>
      <c r="O3615" t="s">
        <v>41250</v>
      </c>
      <c r="P3615">
        <v>0</v>
      </c>
      <c r="Q3615">
        <v>0</v>
      </c>
      <c r="R3615" t="s">
        <v>41252</v>
      </c>
      <c r="S3615" t="s">
        <v>41383</v>
      </c>
      <c r="T3615" t="s">
        <v>42885</v>
      </c>
      <c r="U3615" t="s">
        <v>46219</v>
      </c>
      <c r="V3615" t="s">
        <v>54455</v>
      </c>
      <c r="W3615" t="s">
        <v>38258</v>
      </c>
      <c r="X3615" t="s">
        <v>41254</v>
      </c>
    </row>
    <row r="3616" spans="1:24">
      <c r="A3616">
        <f>HYPERLINK("https://www.philgeps.gov.ph/GEPSNONPILOT/Tender/SplashBidNoticeAbstractUI.aspx?menuIndex=3&amp;refID=7074838&amp;Result=3","7074838")</f>
        <v>0</v>
      </c>
      <c r="B3616" t="s">
        <v>334</v>
      </c>
      <c r="C3616" t="s">
        <v>6857</v>
      </c>
      <c r="D3616" t="s">
        <v>16637</v>
      </c>
      <c r="E3616" t="s">
        <v>19977</v>
      </c>
      <c r="F3616" t="s">
        <v>28669</v>
      </c>
      <c r="G3616" t="s">
        <v>28676</v>
      </c>
      <c r="H3616" t="s">
        <v>9998</v>
      </c>
      <c r="I3616" t="s">
        <v>7352</v>
      </c>
      <c r="J3616" t="s">
        <v>31183</v>
      </c>
      <c r="K3616" t="s">
        <v>37206</v>
      </c>
      <c r="M3616" t="s">
        <v>37814</v>
      </c>
      <c r="N3616" t="s">
        <v>41249</v>
      </c>
      <c r="O3616" t="s">
        <v>41250</v>
      </c>
      <c r="P3616">
        <v>0</v>
      </c>
      <c r="Q3616">
        <v>0</v>
      </c>
      <c r="R3616" t="s">
        <v>41252</v>
      </c>
      <c r="S3616" t="s">
        <v>41383</v>
      </c>
      <c r="T3616" t="s">
        <v>42736</v>
      </c>
      <c r="U3616" t="s">
        <v>46220</v>
      </c>
      <c r="W3616" t="s">
        <v>37814</v>
      </c>
      <c r="X3616" t="s">
        <v>41254</v>
      </c>
    </row>
    <row r="3617" spans="1:24">
      <c r="A3617">
        <f>HYPERLINK("https://www.philgeps.gov.ph/GEPSNONPILOT/Tender/SplashBidNoticeAbstractUI.aspx?menuIndex=3&amp;refID=7074800&amp;Result=3","7074800")</f>
        <v>0</v>
      </c>
      <c r="B3617" t="s">
        <v>762</v>
      </c>
      <c r="C3617" t="s">
        <v>6858</v>
      </c>
      <c r="E3617" t="s">
        <v>19978</v>
      </c>
      <c r="F3617" t="s">
        <v>28669</v>
      </c>
      <c r="G3617" t="s">
        <v>28676</v>
      </c>
      <c r="H3617" t="s">
        <v>9998</v>
      </c>
      <c r="I3617" t="s">
        <v>28693</v>
      </c>
      <c r="J3617" t="s">
        <v>31184</v>
      </c>
      <c r="K3617" t="s">
        <v>37209</v>
      </c>
      <c r="M3617" t="s">
        <v>38921</v>
      </c>
      <c r="N3617" t="s">
        <v>41249</v>
      </c>
      <c r="O3617" t="s">
        <v>41250</v>
      </c>
      <c r="P3617">
        <v>0</v>
      </c>
      <c r="Q3617">
        <v>18</v>
      </c>
      <c r="R3617" t="s">
        <v>41252</v>
      </c>
      <c r="S3617" t="s">
        <v>41383</v>
      </c>
      <c r="T3617" t="s">
        <v>42827</v>
      </c>
      <c r="U3617" t="s">
        <v>46221</v>
      </c>
      <c r="W3617" t="s">
        <v>38921</v>
      </c>
      <c r="X3617" t="s">
        <v>41254</v>
      </c>
    </row>
    <row r="3618" spans="1:24">
      <c r="A3618">
        <f>HYPERLINK("https://www.philgeps.gov.ph/GEPSNONPILOT/Tender/SplashBidNoticeAbstractUI.aspx?menuIndex=3&amp;refID=7074837&amp;Result=3","7074837")</f>
        <v>0</v>
      </c>
      <c r="B3618" t="s">
        <v>365</v>
      </c>
      <c r="C3618" t="s">
        <v>6859</v>
      </c>
      <c r="D3618" t="s">
        <v>16683</v>
      </c>
      <c r="E3618" t="s">
        <v>19979</v>
      </c>
      <c r="F3618" t="s">
        <v>28669</v>
      </c>
      <c r="G3618" t="s">
        <v>28675</v>
      </c>
      <c r="H3618" t="s">
        <v>28686</v>
      </c>
      <c r="I3618" t="s">
        <v>28689</v>
      </c>
      <c r="J3618" t="s">
        <v>31185</v>
      </c>
      <c r="K3618" t="s">
        <v>37209</v>
      </c>
      <c r="L3618" t="s">
        <v>365</v>
      </c>
      <c r="M3618" t="s">
        <v>37846</v>
      </c>
      <c r="N3618" t="s">
        <v>41249</v>
      </c>
      <c r="O3618" t="s">
        <v>41250</v>
      </c>
      <c r="P3618">
        <v>0</v>
      </c>
      <c r="Q3618">
        <v>0</v>
      </c>
      <c r="R3618" t="s">
        <v>41252</v>
      </c>
      <c r="S3618" t="s">
        <v>41383</v>
      </c>
      <c r="T3618" t="s">
        <v>42814</v>
      </c>
      <c r="U3618" t="s">
        <v>46222</v>
      </c>
      <c r="W3618" t="s">
        <v>37846</v>
      </c>
      <c r="X3618" t="s">
        <v>41254</v>
      </c>
    </row>
    <row r="3619" spans="1:24">
      <c r="A3619">
        <f>HYPERLINK("https://www.philgeps.gov.ph/GEPSNONPILOT/Tender/SplashBidNoticeAbstractUI.aspx?menuIndex=3&amp;refID=7074834&amp;Result=3","7074834")</f>
        <v>0</v>
      </c>
      <c r="B3619" t="s">
        <v>236</v>
      </c>
      <c r="C3619" t="s">
        <v>6860</v>
      </c>
      <c r="D3619" t="s">
        <v>16663</v>
      </c>
      <c r="E3619" t="s">
        <v>19980</v>
      </c>
      <c r="F3619" t="s">
        <v>28669</v>
      </c>
      <c r="G3619" t="s">
        <v>28675</v>
      </c>
      <c r="H3619" t="s">
        <v>9998</v>
      </c>
      <c r="I3619" t="s">
        <v>28757</v>
      </c>
      <c r="J3619" t="s">
        <v>31186</v>
      </c>
      <c r="K3619" t="s">
        <v>37209</v>
      </c>
      <c r="M3619" t="s">
        <v>37714</v>
      </c>
      <c r="N3619" t="s">
        <v>41249</v>
      </c>
      <c r="O3619" t="s">
        <v>41250</v>
      </c>
      <c r="P3619">
        <v>0</v>
      </c>
      <c r="Q3619">
        <v>0</v>
      </c>
      <c r="R3619" t="s">
        <v>41252</v>
      </c>
      <c r="S3619" t="s">
        <v>41383</v>
      </c>
      <c r="T3619" t="s">
        <v>42762</v>
      </c>
      <c r="U3619" t="s">
        <v>46223</v>
      </c>
      <c r="W3619" t="s">
        <v>37714</v>
      </c>
      <c r="X3619" t="s">
        <v>41254</v>
      </c>
    </row>
    <row r="3620" spans="1:24">
      <c r="A3620">
        <f>HYPERLINK("https://www.philgeps.gov.ph/GEPSNONPILOT/Tender/SplashBidNoticeAbstractUI.aspx?menuIndex=3&amp;refID=7074809&amp;Result=3","7074809")</f>
        <v>0</v>
      </c>
      <c r="B3620" t="s">
        <v>447</v>
      </c>
      <c r="C3620" t="s">
        <v>6861</v>
      </c>
      <c r="D3620" t="s">
        <v>16608</v>
      </c>
      <c r="E3620" t="s">
        <v>19981</v>
      </c>
      <c r="F3620" t="s">
        <v>28669</v>
      </c>
      <c r="G3620" t="s">
        <v>28676</v>
      </c>
      <c r="H3620" t="s">
        <v>9998</v>
      </c>
      <c r="I3620" t="s">
        <v>28711</v>
      </c>
      <c r="J3620" t="s">
        <v>28826</v>
      </c>
      <c r="K3620" t="s">
        <v>37209</v>
      </c>
      <c r="M3620" t="s">
        <v>38960</v>
      </c>
      <c r="N3620" t="s">
        <v>41249</v>
      </c>
      <c r="O3620" t="s">
        <v>41250</v>
      </c>
      <c r="P3620">
        <v>0</v>
      </c>
      <c r="Q3620">
        <v>0</v>
      </c>
      <c r="R3620" t="s">
        <v>41252</v>
      </c>
      <c r="S3620" t="s">
        <v>41383</v>
      </c>
      <c r="T3620" t="s">
        <v>42703</v>
      </c>
      <c r="U3620" t="s">
        <v>46224</v>
      </c>
      <c r="W3620" t="s">
        <v>38960</v>
      </c>
      <c r="X3620" t="s">
        <v>41254</v>
      </c>
    </row>
    <row r="3621" spans="1:24">
      <c r="A3621">
        <f>HYPERLINK("https://www.philgeps.gov.ph/GEPSNONPILOT/Tender/SplashBidNoticeAbstractUI.aspx?menuIndex=3&amp;refID=7074831&amp;Result=3","7074831")</f>
        <v>0</v>
      </c>
      <c r="B3621" t="s">
        <v>1398</v>
      </c>
      <c r="C3621" t="s">
        <v>6862</v>
      </c>
      <c r="D3621" t="s">
        <v>16640</v>
      </c>
      <c r="E3621" t="s">
        <v>19982</v>
      </c>
      <c r="F3621" t="s">
        <v>28669</v>
      </c>
      <c r="G3621" t="s">
        <v>28676</v>
      </c>
      <c r="H3621" t="s">
        <v>28684</v>
      </c>
      <c r="I3621" t="s">
        <v>5213</v>
      </c>
      <c r="J3621" t="s">
        <v>31187</v>
      </c>
      <c r="K3621" t="s">
        <v>37227</v>
      </c>
      <c r="M3621" t="s">
        <v>38961</v>
      </c>
      <c r="N3621" t="s">
        <v>41249</v>
      </c>
      <c r="O3621" t="s">
        <v>41250</v>
      </c>
      <c r="P3621">
        <v>0</v>
      </c>
      <c r="Q3621">
        <v>0</v>
      </c>
      <c r="R3621" t="s">
        <v>41252</v>
      </c>
      <c r="S3621" t="s">
        <v>41383</v>
      </c>
      <c r="T3621" t="s">
        <v>42670</v>
      </c>
      <c r="U3621" t="s">
        <v>46225</v>
      </c>
      <c r="W3621" t="s">
        <v>38961</v>
      </c>
      <c r="X3621" t="s">
        <v>41254</v>
      </c>
    </row>
    <row r="3622" spans="1:24">
      <c r="A3622">
        <f>HYPERLINK("https://www.philgeps.gov.ph/GEPSNONPILOT/Tender/SplashBidNoticeAbstractUI.aspx?menuIndex=3&amp;refID=7074841&amp;Result=3","7074841")</f>
        <v>0</v>
      </c>
      <c r="B3622" t="s">
        <v>1244</v>
      </c>
      <c r="C3622" t="s">
        <v>6863</v>
      </c>
      <c r="D3622" t="s">
        <v>16686</v>
      </c>
      <c r="E3622" t="s">
        <v>19983</v>
      </c>
      <c r="F3622" t="s">
        <v>28669</v>
      </c>
      <c r="G3622" t="s">
        <v>28676</v>
      </c>
      <c r="H3622" t="s">
        <v>9998</v>
      </c>
      <c r="I3622" t="s">
        <v>28722</v>
      </c>
      <c r="J3622" t="s">
        <v>31188</v>
      </c>
      <c r="K3622" t="s">
        <v>37205</v>
      </c>
      <c r="M3622" t="s">
        <v>38791</v>
      </c>
      <c r="N3622" t="s">
        <v>41249</v>
      </c>
      <c r="O3622" t="s">
        <v>41250</v>
      </c>
      <c r="P3622">
        <v>0</v>
      </c>
      <c r="Q3622">
        <v>2</v>
      </c>
      <c r="R3622" t="s">
        <v>41252</v>
      </c>
      <c r="S3622" t="s">
        <v>41383</v>
      </c>
      <c r="T3622" t="s">
        <v>42711</v>
      </c>
      <c r="U3622" t="s">
        <v>46226</v>
      </c>
      <c r="W3622" t="s">
        <v>38791</v>
      </c>
      <c r="X3622" t="s">
        <v>41254</v>
      </c>
    </row>
    <row r="3623" spans="1:24">
      <c r="A3623">
        <f>HYPERLINK("https://www.philgeps.gov.ph/GEPSNONPILOT/Tender/SplashBidNoticeAbstractUI.aspx?menuIndex=3&amp;refID=7074829&amp;Result=3","7074829")</f>
        <v>0</v>
      </c>
      <c r="B3623" t="s">
        <v>1399</v>
      </c>
      <c r="C3623" t="s">
        <v>6864</v>
      </c>
      <c r="D3623" t="s">
        <v>16611</v>
      </c>
      <c r="E3623" t="s">
        <v>19984</v>
      </c>
      <c r="F3623" t="s">
        <v>28669</v>
      </c>
      <c r="G3623" t="s">
        <v>28676</v>
      </c>
      <c r="H3623" t="s">
        <v>9998</v>
      </c>
      <c r="I3623" t="s">
        <v>28695</v>
      </c>
      <c r="J3623" t="s">
        <v>31189</v>
      </c>
      <c r="K3623" t="s">
        <v>37206</v>
      </c>
      <c r="M3623" t="s">
        <v>38962</v>
      </c>
      <c r="N3623" t="s">
        <v>41249</v>
      </c>
      <c r="O3623" t="s">
        <v>41250</v>
      </c>
      <c r="P3623">
        <v>0</v>
      </c>
      <c r="Q3623">
        <v>0</v>
      </c>
      <c r="R3623" t="s">
        <v>41252</v>
      </c>
      <c r="S3623" t="s">
        <v>41383</v>
      </c>
      <c r="T3623" t="s">
        <v>42736</v>
      </c>
      <c r="U3623" t="s">
        <v>46227</v>
      </c>
      <c r="W3623" t="s">
        <v>38962</v>
      </c>
      <c r="X3623" t="s">
        <v>41254</v>
      </c>
    </row>
    <row r="3624" spans="1:24">
      <c r="A3624">
        <f>HYPERLINK("https://www.philgeps.gov.ph/GEPSNONPILOT/Tender/SplashBidNoticeAbstractUI.aspx?menuIndex=3&amp;refID=7074801&amp;Result=3","7074801")</f>
        <v>0</v>
      </c>
      <c r="B3624" t="s">
        <v>625</v>
      </c>
      <c r="C3624" t="s">
        <v>6865</v>
      </c>
      <c r="D3624" t="s">
        <v>16679</v>
      </c>
      <c r="E3624" t="s">
        <v>19985</v>
      </c>
      <c r="F3624" t="s">
        <v>28669</v>
      </c>
      <c r="G3624" t="s">
        <v>28676</v>
      </c>
      <c r="H3624" t="s">
        <v>9998</v>
      </c>
      <c r="I3624" t="s">
        <v>28713</v>
      </c>
      <c r="J3624" t="s">
        <v>31190</v>
      </c>
      <c r="K3624" t="s">
        <v>37206</v>
      </c>
      <c r="M3624" t="s">
        <v>38125</v>
      </c>
      <c r="N3624" t="s">
        <v>41249</v>
      </c>
      <c r="O3624" t="s">
        <v>41250</v>
      </c>
      <c r="P3624">
        <v>0</v>
      </c>
      <c r="Q3624">
        <v>2</v>
      </c>
      <c r="R3624" t="s">
        <v>41252</v>
      </c>
      <c r="S3624" t="s">
        <v>41383</v>
      </c>
      <c r="T3624" t="s">
        <v>42748</v>
      </c>
      <c r="U3624" t="s">
        <v>46228</v>
      </c>
      <c r="W3624" t="s">
        <v>38125</v>
      </c>
      <c r="X3624" t="s">
        <v>41254</v>
      </c>
    </row>
    <row r="3625" spans="1:24">
      <c r="A3625">
        <f>HYPERLINK("https://www.philgeps.gov.ph/GEPSNONPILOT/Tender/SplashBidNoticeAbstractUI.aspx?menuIndex=3&amp;refID=7074840&amp;Result=3","7074840")</f>
        <v>0</v>
      </c>
      <c r="B3625" t="s">
        <v>1400</v>
      </c>
      <c r="C3625" t="s">
        <v>6866</v>
      </c>
      <c r="D3625" t="s">
        <v>16631</v>
      </c>
      <c r="E3625" t="s">
        <v>19986</v>
      </c>
      <c r="F3625" t="s">
        <v>28669</v>
      </c>
      <c r="G3625" t="s">
        <v>28675</v>
      </c>
      <c r="H3625" t="s">
        <v>9998</v>
      </c>
      <c r="I3625" t="s">
        <v>7352</v>
      </c>
      <c r="J3625" t="s">
        <v>31191</v>
      </c>
      <c r="K3625" t="s">
        <v>37204</v>
      </c>
      <c r="M3625" t="s">
        <v>38963</v>
      </c>
      <c r="N3625" t="s">
        <v>41249</v>
      </c>
      <c r="O3625" t="s">
        <v>41250</v>
      </c>
      <c r="P3625">
        <v>0</v>
      </c>
      <c r="Q3625">
        <v>0</v>
      </c>
      <c r="R3625" t="s">
        <v>41252</v>
      </c>
      <c r="S3625" t="s">
        <v>41383</v>
      </c>
      <c r="T3625" t="s">
        <v>42679</v>
      </c>
      <c r="U3625" t="s">
        <v>46229</v>
      </c>
      <c r="W3625" t="s">
        <v>38963</v>
      </c>
      <c r="X3625" t="s">
        <v>41254</v>
      </c>
    </row>
    <row r="3626" spans="1:24">
      <c r="A3626">
        <f>HYPERLINK("https://www.philgeps.gov.ph/GEPSNONPILOT/Tender/SplashBidNoticeAbstractUI.aspx?menuIndex=3&amp;refID=7074827&amp;Result=3","7074827")</f>
        <v>0</v>
      </c>
      <c r="B3626" t="s">
        <v>818</v>
      </c>
      <c r="C3626" t="s">
        <v>6867</v>
      </c>
      <c r="D3626" t="s">
        <v>16664</v>
      </c>
      <c r="E3626" t="s">
        <v>19987</v>
      </c>
      <c r="F3626" t="s">
        <v>28669</v>
      </c>
      <c r="G3626" t="s">
        <v>28676</v>
      </c>
      <c r="H3626" t="s">
        <v>9998</v>
      </c>
      <c r="I3626" t="s">
        <v>28690</v>
      </c>
      <c r="J3626" t="s">
        <v>29493</v>
      </c>
      <c r="K3626" t="s">
        <v>37266</v>
      </c>
      <c r="M3626" t="s">
        <v>38334</v>
      </c>
      <c r="N3626" t="s">
        <v>41249</v>
      </c>
      <c r="O3626" t="s">
        <v>41250</v>
      </c>
      <c r="P3626">
        <v>0</v>
      </c>
      <c r="Q3626">
        <v>2</v>
      </c>
      <c r="R3626" t="s">
        <v>41252</v>
      </c>
      <c r="S3626" t="s">
        <v>41383</v>
      </c>
      <c r="T3626" t="s">
        <v>42736</v>
      </c>
      <c r="U3626" t="s">
        <v>46230</v>
      </c>
      <c r="W3626" t="s">
        <v>38334</v>
      </c>
      <c r="X3626" t="s">
        <v>41254</v>
      </c>
    </row>
    <row r="3627" spans="1:24">
      <c r="A3627">
        <f>HYPERLINK("https://www.philgeps.gov.ph/GEPSNONPILOT/Tender/SplashBidNoticeAbstractUI.aspx?menuIndex=3&amp;refID=7074798&amp;Result=3","7074798")</f>
        <v>0</v>
      </c>
      <c r="B3627" t="s">
        <v>1276</v>
      </c>
      <c r="C3627" t="s">
        <v>6868</v>
      </c>
      <c r="D3627" t="s">
        <v>16654</v>
      </c>
      <c r="E3627" t="s">
        <v>19988</v>
      </c>
      <c r="F3627" t="s">
        <v>28669</v>
      </c>
      <c r="G3627" t="s">
        <v>28676</v>
      </c>
      <c r="H3627" t="s">
        <v>9998</v>
      </c>
      <c r="I3627" t="s">
        <v>28704</v>
      </c>
      <c r="J3627" t="s">
        <v>29564</v>
      </c>
      <c r="K3627" t="s">
        <v>37266</v>
      </c>
      <c r="M3627" t="s">
        <v>38826</v>
      </c>
      <c r="N3627" t="s">
        <v>41249</v>
      </c>
      <c r="O3627" t="s">
        <v>41250</v>
      </c>
      <c r="P3627">
        <v>0</v>
      </c>
      <c r="Q3627">
        <v>2</v>
      </c>
      <c r="R3627" t="s">
        <v>41252</v>
      </c>
      <c r="S3627" t="s">
        <v>41383</v>
      </c>
      <c r="T3627" t="s">
        <v>42711</v>
      </c>
      <c r="U3627" t="s">
        <v>46231</v>
      </c>
      <c r="W3627" t="s">
        <v>38826</v>
      </c>
      <c r="X3627" t="s">
        <v>41254</v>
      </c>
    </row>
    <row r="3628" spans="1:24">
      <c r="A3628">
        <f>HYPERLINK("https://www.philgeps.gov.ph/GEPSNONPILOT/Tender/SplashBidNoticeAbstractUI.aspx?menuIndex=3&amp;refID=7074843&amp;Result=3","7074843")</f>
        <v>0</v>
      </c>
      <c r="B3628" t="s">
        <v>1401</v>
      </c>
      <c r="C3628" t="s">
        <v>6869</v>
      </c>
      <c r="D3628" t="s">
        <v>16671</v>
      </c>
      <c r="E3628" t="s">
        <v>19989</v>
      </c>
      <c r="F3628" t="s">
        <v>28669</v>
      </c>
      <c r="G3628" t="s">
        <v>28677</v>
      </c>
      <c r="H3628" t="s">
        <v>9998</v>
      </c>
      <c r="I3628" t="s">
        <v>11593</v>
      </c>
      <c r="J3628" t="s">
        <v>29611</v>
      </c>
      <c r="K3628" t="s">
        <v>37209</v>
      </c>
      <c r="M3628" t="s">
        <v>38964</v>
      </c>
      <c r="N3628" t="s">
        <v>41249</v>
      </c>
      <c r="O3628" t="s">
        <v>41250</v>
      </c>
      <c r="P3628">
        <v>0</v>
      </c>
      <c r="Q3628">
        <v>2</v>
      </c>
      <c r="R3628" t="s">
        <v>41252</v>
      </c>
      <c r="S3628" t="s">
        <v>41383</v>
      </c>
      <c r="T3628" t="s">
        <v>42690</v>
      </c>
      <c r="U3628" t="s">
        <v>46232</v>
      </c>
      <c r="W3628" t="s">
        <v>55952</v>
      </c>
      <c r="X3628" t="s">
        <v>41254</v>
      </c>
    </row>
    <row r="3629" spans="1:24">
      <c r="A3629">
        <f>HYPERLINK("https://www.philgeps.gov.ph/GEPSNONPILOT/Tender/SplashBidNoticeAbstractUI.aspx?menuIndex=3&amp;refID=7074836&amp;Result=3","7074836")</f>
        <v>0</v>
      </c>
      <c r="B3629" t="s">
        <v>761</v>
      </c>
      <c r="C3629" t="s">
        <v>6870</v>
      </c>
      <c r="D3629" t="s">
        <v>16608</v>
      </c>
      <c r="E3629" t="s">
        <v>19990</v>
      </c>
      <c r="F3629" t="s">
        <v>28669</v>
      </c>
      <c r="G3629" t="s">
        <v>28676</v>
      </c>
      <c r="H3629" t="s">
        <v>9998</v>
      </c>
      <c r="I3629" t="s">
        <v>28729</v>
      </c>
      <c r="J3629" t="s">
        <v>29027</v>
      </c>
      <c r="K3629" t="s">
        <v>37209</v>
      </c>
      <c r="M3629" t="s">
        <v>38272</v>
      </c>
      <c r="N3629" t="s">
        <v>41249</v>
      </c>
      <c r="O3629" t="s">
        <v>41250</v>
      </c>
      <c r="P3629">
        <v>0</v>
      </c>
      <c r="Q3629">
        <v>17</v>
      </c>
      <c r="R3629" t="s">
        <v>41252</v>
      </c>
      <c r="S3629" t="s">
        <v>41383</v>
      </c>
      <c r="T3629" t="s">
        <v>42758</v>
      </c>
      <c r="U3629" t="s">
        <v>46233</v>
      </c>
      <c r="W3629" t="s">
        <v>38272</v>
      </c>
      <c r="X3629" t="s">
        <v>41254</v>
      </c>
    </row>
    <row r="3630" spans="1:24">
      <c r="A3630">
        <f>HYPERLINK("https://www.philgeps.gov.ph/GEPSNONPILOT/Tender/SplashBidNoticeAbstractUI.aspx?menuIndex=3&amp;refID=7074865&amp;Result=3","7074865")</f>
        <v>0</v>
      </c>
      <c r="B3630" t="s">
        <v>1244</v>
      </c>
      <c r="C3630" t="s">
        <v>6871</v>
      </c>
      <c r="D3630" t="s">
        <v>16686</v>
      </c>
      <c r="E3630" t="s">
        <v>19991</v>
      </c>
      <c r="F3630" t="s">
        <v>28669</v>
      </c>
      <c r="G3630" t="s">
        <v>28676</v>
      </c>
      <c r="H3630" t="s">
        <v>9998</v>
      </c>
      <c r="I3630" t="s">
        <v>6128</v>
      </c>
      <c r="J3630" t="s">
        <v>31192</v>
      </c>
      <c r="K3630" t="s">
        <v>37205</v>
      </c>
      <c r="M3630" t="s">
        <v>38791</v>
      </c>
      <c r="N3630" t="s">
        <v>41249</v>
      </c>
      <c r="O3630" t="s">
        <v>41250</v>
      </c>
      <c r="P3630">
        <v>0</v>
      </c>
      <c r="Q3630">
        <v>1</v>
      </c>
      <c r="R3630" t="s">
        <v>41252</v>
      </c>
      <c r="S3630" t="s">
        <v>41383</v>
      </c>
      <c r="T3630" t="s">
        <v>42711</v>
      </c>
      <c r="U3630" t="s">
        <v>46234</v>
      </c>
      <c r="W3630" t="s">
        <v>38791</v>
      </c>
      <c r="X3630" t="s">
        <v>41254</v>
      </c>
    </row>
    <row r="3631" spans="1:24">
      <c r="A3631">
        <f>HYPERLINK("https://www.philgeps.gov.ph/GEPSNONPILOT/Tender/SplashBidNoticeAbstractUI.aspx?menuIndex=3&amp;refID=7074863&amp;Result=3","7074863")</f>
        <v>0</v>
      </c>
      <c r="B3631" t="s">
        <v>334</v>
      </c>
      <c r="C3631" t="s">
        <v>6872</v>
      </c>
      <c r="D3631" t="s">
        <v>16637</v>
      </c>
      <c r="E3631" t="s">
        <v>19992</v>
      </c>
      <c r="F3631" t="s">
        <v>28669</v>
      </c>
      <c r="G3631" t="s">
        <v>28676</v>
      </c>
      <c r="H3631" t="s">
        <v>9998</v>
      </c>
      <c r="I3631" t="s">
        <v>6606</v>
      </c>
      <c r="J3631" t="s">
        <v>31193</v>
      </c>
      <c r="K3631" t="s">
        <v>37206</v>
      </c>
      <c r="M3631" t="s">
        <v>37814</v>
      </c>
      <c r="N3631" t="s">
        <v>41249</v>
      </c>
      <c r="O3631" t="s">
        <v>41250</v>
      </c>
      <c r="P3631">
        <v>0</v>
      </c>
      <c r="Q3631">
        <v>0</v>
      </c>
      <c r="R3631" t="s">
        <v>41252</v>
      </c>
      <c r="S3631" t="s">
        <v>41383</v>
      </c>
      <c r="T3631" t="s">
        <v>42736</v>
      </c>
      <c r="U3631" t="s">
        <v>44352</v>
      </c>
      <c r="W3631" t="s">
        <v>37814</v>
      </c>
      <c r="X3631" t="s">
        <v>41254</v>
      </c>
    </row>
    <row r="3632" spans="1:24">
      <c r="A3632">
        <f>HYPERLINK("https://www.philgeps.gov.ph/GEPSNONPILOT/Tender/SplashBidNoticeAbstractUI.aspx?menuIndex=3&amp;refID=7074828&amp;Result=3","7074828")</f>
        <v>0</v>
      </c>
      <c r="B3632" t="s">
        <v>1402</v>
      </c>
      <c r="C3632" t="s">
        <v>6824</v>
      </c>
      <c r="D3632" t="s">
        <v>16684</v>
      </c>
      <c r="E3632" t="s">
        <v>19993</v>
      </c>
      <c r="F3632" t="s">
        <v>28669</v>
      </c>
      <c r="G3632" t="s">
        <v>28676</v>
      </c>
      <c r="H3632" t="s">
        <v>9998</v>
      </c>
      <c r="I3632" t="s">
        <v>5213</v>
      </c>
      <c r="J3632" t="s">
        <v>29404</v>
      </c>
      <c r="K3632" t="s">
        <v>37208</v>
      </c>
      <c r="M3632" t="s">
        <v>38965</v>
      </c>
      <c r="N3632" t="s">
        <v>41249</v>
      </c>
      <c r="O3632" t="s">
        <v>41250</v>
      </c>
      <c r="P3632">
        <v>0</v>
      </c>
      <c r="Q3632">
        <v>0</v>
      </c>
      <c r="R3632" t="s">
        <v>41252</v>
      </c>
      <c r="S3632" t="s">
        <v>41383</v>
      </c>
      <c r="T3632" t="s">
        <v>42736</v>
      </c>
      <c r="U3632" t="s">
        <v>46235</v>
      </c>
      <c r="W3632" t="s">
        <v>38965</v>
      </c>
      <c r="X3632" t="s">
        <v>41254</v>
      </c>
    </row>
    <row r="3633" spans="1:24">
      <c r="A3633">
        <f>HYPERLINK("https://www.philgeps.gov.ph/GEPSNONPILOT/Tender/SplashBidNoticeAbstractUI.aspx?menuIndex=3&amp;refID=7074859&amp;Result=3","7074859")</f>
        <v>0</v>
      </c>
      <c r="B3633" t="s">
        <v>236</v>
      </c>
      <c r="C3633" t="s">
        <v>6873</v>
      </c>
      <c r="D3633" t="s">
        <v>16663</v>
      </c>
      <c r="E3633" t="s">
        <v>19994</v>
      </c>
      <c r="F3633" t="s">
        <v>28669</v>
      </c>
      <c r="G3633" t="s">
        <v>28675</v>
      </c>
      <c r="H3633" t="s">
        <v>9998</v>
      </c>
      <c r="I3633" t="s">
        <v>3679</v>
      </c>
      <c r="J3633" t="s">
        <v>30219</v>
      </c>
      <c r="K3633" t="s">
        <v>37206</v>
      </c>
      <c r="M3633" t="s">
        <v>37714</v>
      </c>
      <c r="N3633" t="s">
        <v>41249</v>
      </c>
      <c r="O3633" t="s">
        <v>41250</v>
      </c>
      <c r="P3633">
        <v>0</v>
      </c>
      <c r="Q3633">
        <v>0</v>
      </c>
      <c r="R3633" t="s">
        <v>41252</v>
      </c>
      <c r="S3633" t="s">
        <v>41383</v>
      </c>
      <c r="T3633" t="s">
        <v>42762</v>
      </c>
      <c r="U3633" t="s">
        <v>46236</v>
      </c>
      <c r="W3633" t="s">
        <v>37714</v>
      </c>
      <c r="X3633" t="s">
        <v>41254</v>
      </c>
    </row>
    <row r="3634" spans="1:24">
      <c r="A3634">
        <f>HYPERLINK("https://www.philgeps.gov.ph/GEPSNONPILOT/Tender/SplashBidNoticeAbstractUI.aspx?menuIndex=3&amp;refID=7074858&amp;Result=3","7074858")</f>
        <v>0</v>
      </c>
      <c r="B3634" t="s">
        <v>1403</v>
      </c>
      <c r="C3634" t="s">
        <v>6874</v>
      </c>
      <c r="D3634" t="s">
        <v>16691</v>
      </c>
      <c r="E3634" t="s">
        <v>19995</v>
      </c>
      <c r="F3634" t="s">
        <v>28669</v>
      </c>
      <c r="G3634" t="s">
        <v>28676</v>
      </c>
      <c r="H3634" t="s">
        <v>9998</v>
      </c>
      <c r="I3634" t="s">
        <v>5213</v>
      </c>
      <c r="J3634" t="s">
        <v>31194</v>
      </c>
      <c r="K3634" t="s">
        <v>37243</v>
      </c>
      <c r="M3634" t="s">
        <v>38966</v>
      </c>
      <c r="N3634" t="s">
        <v>41249</v>
      </c>
      <c r="O3634" t="s">
        <v>41250</v>
      </c>
      <c r="P3634">
        <v>0</v>
      </c>
      <c r="Q3634">
        <v>0</v>
      </c>
      <c r="R3634" t="s">
        <v>41252</v>
      </c>
      <c r="S3634" t="s">
        <v>41383</v>
      </c>
      <c r="T3634" t="s">
        <v>42679</v>
      </c>
      <c r="U3634" t="s">
        <v>46237</v>
      </c>
      <c r="W3634" t="s">
        <v>38966</v>
      </c>
      <c r="X3634" t="s">
        <v>41254</v>
      </c>
    </row>
    <row r="3635" spans="1:24">
      <c r="A3635">
        <f>HYPERLINK("https://www.philgeps.gov.ph/GEPSNONPILOT/Tender/SplashBidNoticeAbstractUI.aspx?menuIndex=3&amp;refID=7074822&amp;Result=3","7074822")</f>
        <v>0</v>
      </c>
      <c r="B3635" t="s">
        <v>114</v>
      </c>
      <c r="C3635" t="s">
        <v>6875</v>
      </c>
      <c r="D3635" t="s">
        <v>16608</v>
      </c>
      <c r="E3635" t="s">
        <v>19996</v>
      </c>
      <c r="F3635" t="s">
        <v>28669</v>
      </c>
      <c r="G3635" t="s">
        <v>28677</v>
      </c>
      <c r="H3635" t="s">
        <v>9998</v>
      </c>
      <c r="I3635" t="s">
        <v>5286</v>
      </c>
      <c r="J3635" t="s">
        <v>31195</v>
      </c>
      <c r="K3635" t="s">
        <v>37210</v>
      </c>
      <c r="M3635" t="s">
        <v>37793</v>
      </c>
      <c r="N3635" t="s">
        <v>41249</v>
      </c>
      <c r="O3635" t="s">
        <v>41250</v>
      </c>
      <c r="P3635">
        <v>0</v>
      </c>
      <c r="Q3635">
        <v>2</v>
      </c>
      <c r="R3635" t="s">
        <v>41252</v>
      </c>
      <c r="S3635" t="s">
        <v>41383</v>
      </c>
      <c r="T3635" t="s">
        <v>42878</v>
      </c>
      <c r="U3635" t="s">
        <v>46238</v>
      </c>
      <c r="V3635" t="s">
        <v>54326</v>
      </c>
      <c r="W3635" t="s">
        <v>37793</v>
      </c>
      <c r="X3635" t="s">
        <v>41254</v>
      </c>
    </row>
    <row r="3636" spans="1:24">
      <c r="A3636">
        <f>HYPERLINK("https://www.philgeps.gov.ph/GEPSNONPILOT/Tender/SplashBidNoticeAbstractUI.aspx?menuIndex=3&amp;refID=7074857&amp;Result=3","7074857")</f>
        <v>0</v>
      </c>
      <c r="B3636" t="s">
        <v>1334</v>
      </c>
      <c r="C3636" t="s">
        <v>6876</v>
      </c>
      <c r="D3636" t="s">
        <v>16616</v>
      </c>
      <c r="E3636" t="s">
        <v>6876</v>
      </c>
      <c r="F3636" t="s">
        <v>28669</v>
      </c>
      <c r="G3636" t="s">
        <v>28676</v>
      </c>
      <c r="H3636" t="s">
        <v>9998</v>
      </c>
      <c r="I3636" t="s">
        <v>6128</v>
      </c>
      <c r="J3636" t="s">
        <v>29651</v>
      </c>
      <c r="K3636" t="s">
        <v>37204</v>
      </c>
      <c r="M3636" t="s">
        <v>38888</v>
      </c>
      <c r="N3636" t="s">
        <v>41249</v>
      </c>
      <c r="O3636" t="s">
        <v>41250</v>
      </c>
      <c r="P3636">
        <v>0</v>
      </c>
      <c r="Q3636">
        <v>0</v>
      </c>
      <c r="R3636" t="s">
        <v>41252</v>
      </c>
      <c r="S3636" t="s">
        <v>41383</v>
      </c>
      <c r="T3636" t="s">
        <v>42703</v>
      </c>
      <c r="U3636" t="s">
        <v>46239</v>
      </c>
      <c r="W3636" t="s">
        <v>38888</v>
      </c>
      <c r="X3636" t="s">
        <v>41254</v>
      </c>
    </row>
    <row r="3637" spans="1:24">
      <c r="A3637">
        <f>HYPERLINK("https://www.philgeps.gov.ph/GEPSNONPILOT/Tender/SplashBidNoticeAbstractUI.aspx?menuIndex=3&amp;refID=7074856&amp;Result=3","7074856")</f>
        <v>0</v>
      </c>
      <c r="B3637" t="s">
        <v>1404</v>
      </c>
      <c r="C3637" t="s">
        <v>6877</v>
      </c>
      <c r="D3637" t="s">
        <v>16608</v>
      </c>
      <c r="E3637" t="s">
        <v>19303</v>
      </c>
      <c r="F3637" t="s">
        <v>28669</v>
      </c>
      <c r="G3637" t="s">
        <v>28675</v>
      </c>
      <c r="H3637" t="s">
        <v>9998</v>
      </c>
      <c r="I3637" t="s">
        <v>5213</v>
      </c>
      <c r="J3637" t="s">
        <v>31196</v>
      </c>
      <c r="K3637" t="s">
        <v>37243</v>
      </c>
      <c r="M3637" t="s">
        <v>38967</v>
      </c>
      <c r="N3637" t="s">
        <v>41249</v>
      </c>
      <c r="O3637" t="s">
        <v>41250</v>
      </c>
      <c r="P3637">
        <v>0</v>
      </c>
      <c r="Q3637">
        <v>3</v>
      </c>
      <c r="R3637" t="s">
        <v>41252</v>
      </c>
      <c r="S3637" t="s">
        <v>41383</v>
      </c>
      <c r="T3637" t="s">
        <v>42686</v>
      </c>
      <c r="U3637" t="s">
        <v>46240</v>
      </c>
      <c r="W3637" t="s">
        <v>38967</v>
      </c>
      <c r="X3637" t="s">
        <v>41254</v>
      </c>
    </row>
    <row r="3638" spans="1:24">
      <c r="A3638">
        <f>HYPERLINK("https://www.philgeps.gov.ph/GEPSNONPILOT/Tender/SplashBidNoticeAbstractUI.aspx?menuIndex=3&amp;refID=7074855&amp;Result=3","7074855")</f>
        <v>0</v>
      </c>
      <c r="B3638" t="s">
        <v>1405</v>
      </c>
      <c r="C3638" t="s">
        <v>6878</v>
      </c>
      <c r="D3638" t="s">
        <v>16648</v>
      </c>
      <c r="E3638" t="s">
        <v>19997</v>
      </c>
      <c r="F3638" t="s">
        <v>28669</v>
      </c>
      <c r="G3638" t="s">
        <v>28675</v>
      </c>
      <c r="H3638" t="s">
        <v>9998</v>
      </c>
      <c r="I3638" t="s">
        <v>28701</v>
      </c>
      <c r="J3638" t="s">
        <v>31197</v>
      </c>
      <c r="K3638" t="s">
        <v>37209</v>
      </c>
      <c r="M3638" t="s">
        <v>38968</v>
      </c>
      <c r="N3638" t="s">
        <v>41249</v>
      </c>
      <c r="O3638" t="s">
        <v>41250</v>
      </c>
      <c r="P3638">
        <v>0</v>
      </c>
      <c r="Q3638">
        <v>1</v>
      </c>
      <c r="R3638" t="s">
        <v>41252</v>
      </c>
      <c r="S3638" t="s">
        <v>41383</v>
      </c>
      <c r="T3638" t="s">
        <v>42722</v>
      </c>
      <c r="U3638" t="s">
        <v>46241</v>
      </c>
      <c r="W3638" t="s">
        <v>38968</v>
      </c>
      <c r="X3638" t="s">
        <v>41254</v>
      </c>
    </row>
    <row r="3639" spans="1:24">
      <c r="A3639">
        <f>HYPERLINK("https://www.philgeps.gov.ph/GEPSNONPILOT/Tender/SplashBidNoticeAbstractUI.aspx?menuIndex=3&amp;refID=7074864&amp;Result=3","7074864")</f>
        <v>0</v>
      </c>
      <c r="B3639" t="s">
        <v>1406</v>
      </c>
      <c r="C3639" t="s">
        <v>6879</v>
      </c>
      <c r="D3639" t="s">
        <v>16657</v>
      </c>
      <c r="E3639" t="s">
        <v>19998</v>
      </c>
      <c r="F3639" t="s">
        <v>28669</v>
      </c>
      <c r="G3639" t="s">
        <v>28675</v>
      </c>
      <c r="H3639" t="s">
        <v>28686</v>
      </c>
      <c r="I3639" t="s">
        <v>28689</v>
      </c>
      <c r="J3639" t="s">
        <v>31198</v>
      </c>
      <c r="K3639" t="s">
        <v>37209</v>
      </c>
      <c r="M3639" t="s">
        <v>38969</v>
      </c>
      <c r="N3639" t="s">
        <v>41249</v>
      </c>
      <c r="O3639" t="s">
        <v>41250</v>
      </c>
      <c r="P3639">
        <v>0</v>
      </c>
      <c r="Q3639">
        <v>1</v>
      </c>
      <c r="R3639" t="s">
        <v>41252</v>
      </c>
      <c r="S3639" t="s">
        <v>41383</v>
      </c>
      <c r="T3639" t="s">
        <v>42757</v>
      </c>
      <c r="U3639" t="s">
        <v>46242</v>
      </c>
      <c r="V3639" t="s">
        <v>54557</v>
      </c>
      <c r="W3639" t="s">
        <v>38969</v>
      </c>
      <c r="X3639" t="s">
        <v>41254</v>
      </c>
    </row>
    <row r="3640" spans="1:24">
      <c r="A3640">
        <f>HYPERLINK("https://www.philgeps.gov.ph/GEPSNONPILOT/Tender/SplashBidNoticeAbstractUI.aspx?menuIndex=3&amp;refID=7074852&amp;Result=3","7074852")</f>
        <v>0</v>
      </c>
      <c r="B3640" t="s">
        <v>646</v>
      </c>
      <c r="C3640" t="s">
        <v>6880</v>
      </c>
      <c r="D3640" t="s">
        <v>16608</v>
      </c>
      <c r="E3640" t="s">
        <v>18885</v>
      </c>
      <c r="F3640" t="s">
        <v>28669</v>
      </c>
      <c r="G3640" t="s">
        <v>28676</v>
      </c>
      <c r="H3640" t="s">
        <v>9998</v>
      </c>
      <c r="I3640" t="s">
        <v>28735</v>
      </c>
      <c r="J3640" t="s">
        <v>29088</v>
      </c>
      <c r="K3640" t="s">
        <v>37206</v>
      </c>
      <c r="M3640" t="s">
        <v>38147</v>
      </c>
      <c r="N3640" t="s">
        <v>41249</v>
      </c>
      <c r="O3640" t="s">
        <v>41250</v>
      </c>
      <c r="P3640">
        <v>0</v>
      </c>
      <c r="Q3640">
        <v>4</v>
      </c>
      <c r="R3640" t="s">
        <v>41252</v>
      </c>
      <c r="S3640" t="s">
        <v>41383</v>
      </c>
      <c r="T3640" t="s">
        <v>42665</v>
      </c>
      <c r="U3640" t="s">
        <v>44403</v>
      </c>
      <c r="W3640" t="s">
        <v>38147</v>
      </c>
      <c r="X3640" t="s">
        <v>41254</v>
      </c>
    </row>
    <row r="3641" spans="1:24">
      <c r="A3641">
        <f>HYPERLINK("https://www.philgeps.gov.ph/GEPSNONPILOT/Tender/SplashBidNoticeAbstractUI.aspx?menuIndex=3&amp;refID=7074851&amp;Result=3","7074851")</f>
        <v>0</v>
      </c>
      <c r="B3641" t="s">
        <v>1158</v>
      </c>
      <c r="C3641" t="s">
        <v>6881</v>
      </c>
      <c r="D3641" t="s">
        <v>16618</v>
      </c>
      <c r="E3641" t="s">
        <v>19999</v>
      </c>
      <c r="F3641" t="s">
        <v>28669</v>
      </c>
      <c r="G3641" t="s">
        <v>28677</v>
      </c>
      <c r="H3641" t="s">
        <v>9998</v>
      </c>
      <c r="I3641" t="s">
        <v>28729</v>
      </c>
      <c r="J3641" t="s">
        <v>29040</v>
      </c>
      <c r="K3641" t="s">
        <v>37266</v>
      </c>
      <c r="M3641" t="s">
        <v>38695</v>
      </c>
      <c r="N3641" t="s">
        <v>41249</v>
      </c>
      <c r="O3641" t="s">
        <v>41250</v>
      </c>
      <c r="P3641">
        <v>0</v>
      </c>
      <c r="Q3641">
        <v>4</v>
      </c>
      <c r="R3641" t="s">
        <v>41252</v>
      </c>
      <c r="S3641" t="s">
        <v>41383</v>
      </c>
      <c r="T3641" t="s">
        <v>42774</v>
      </c>
      <c r="U3641" t="s">
        <v>46243</v>
      </c>
      <c r="W3641" t="s">
        <v>38695</v>
      </c>
      <c r="X3641" t="s">
        <v>41254</v>
      </c>
    </row>
    <row r="3642" spans="1:24">
      <c r="A3642">
        <f>HYPERLINK("https://www.philgeps.gov.ph/GEPSNONPILOT/Tender/SplashBidNoticeAbstractUI.aspx?menuIndex=3&amp;refID=7074850&amp;Result=3","7074850")</f>
        <v>0</v>
      </c>
      <c r="B3642" t="s">
        <v>1396</v>
      </c>
      <c r="C3642" t="s">
        <v>6882</v>
      </c>
      <c r="D3642" t="s">
        <v>16608</v>
      </c>
      <c r="E3642" t="s">
        <v>20000</v>
      </c>
      <c r="F3642" t="s">
        <v>28669</v>
      </c>
      <c r="G3642" t="s">
        <v>28677</v>
      </c>
      <c r="H3642" t="s">
        <v>9998</v>
      </c>
      <c r="I3642" t="s">
        <v>6128</v>
      </c>
      <c r="J3642" t="s">
        <v>31199</v>
      </c>
      <c r="K3642" t="s">
        <v>37229</v>
      </c>
      <c r="M3642" t="s">
        <v>38958</v>
      </c>
      <c r="N3642" t="s">
        <v>41249</v>
      </c>
      <c r="O3642" t="s">
        <v>41250</v>
      </c>
      <c r="P3642">
        <v>0</v>
      </c>
      <c r="Q3642">
        <v>21</v>
      </c>
      <c r="R3642" t="s">
        <v>41252</v>
      </c>
      <c r="S3642" t="s">
        <v>41383</v>
      </c>
      <c r="T3642" t="s">
        <v>42940</v>
      </c>
      <c r="U3642" t="s">
        <v>46244</v>
      </c>
      <c r="W3642" t="s">
        <v>38958</v>
      </c>
      <c r="X3642" t="s">
        <v>41254</v>
      </c>
    </row>
    <row r="3643" spans="1:24">
      <c r="A3643">
        <f>HYPERLINK("https://www.philgeps.gov.ph/GEPSNONPILOT/Tender/SplashBidNoticeAbstractUI.aspx?menuIndex=3&amp;refID=7074849&amp;Result=3","7074849")</f>
        <v>0</v>
      </c>
      <c r="B3643" t="s">
        <v>1407</v>
      </c>
      <c r="C3643" t="s">
        <v>6883</v>
      </c>
      <c r="D3643" t="s">
        <v>16660</v>
      </c>
      <c r="E3643" t="s">
        <v>20001</v>
      </c>
      <c r="F3643" t="s">
        <v>28669</v>
      </c>
      <c r="G3643" t="s">
        <v>28675</v>
      </c>
      <c r="H3643" t="s">
        <v>9998</v>
      </c>
      <c r="I3643" t="s">
        <v>15140</v>
      </c>
      <c r="J3643" t="s">
        <v>31200</v>
      </c>
      <c r="K3643" t="s">
        <v>37210</v>
      </c>
      <c r="L3643" t="s">
        <v>1407</v>
      </c>
      <c r="M3643" t="s">
        <v>38970</v>
      </c>
      <c r="N3643" t="s">
        <v>41249</v>
      </c>
      <c r="O3643" t="s">
        <v>41250</v>
      </c>
      <c r="P3643">
        <v>0</v>
      </c>
      <c r="Q3643">
        <v>0</v>
      </c>
      <c r="R3643" t="s">
        <v>41252</v>
      </c>
      <c r="S3643" t="s">
        <v>41383</v>
      </c>
      <c r="T3643" t="s">
        <v>42714</v>
      </c>
      <c r="U3643" t="s">
        <v>46245</v>
      </c>
      <c r="V3643" t="s">
        <v>54662</v>
      </c>
      <c r="W3643" t="s">
        <v>38970</v>
      </c>
      <c r="X3643" t="s">
        <v>41254</v>
      </c>
    </row>
    <row r="3644" spans="1:24">
      <c r="A3644">
        <f>HYPERLINK("https://www.philgeps.gov.ph/GEPSNONPILOT/Tender/SplashBidNoticeAbstractUI.aspx?menuIndex=3&amp;refID=7074830&amp;Result=3","7074830")</f>
        <v>0</v>
      </c>
      <c r="B3644" t="s">
        <v>942</v>
      </c>
      <c r="C3644" t="s">
        <v>6884</v>
      </c>
      <c r="D3644" t="s">
        <v>16620</v>
      </c>
      <c r="E3644" t="s">
        <v>20002</v>
      </c>
      <c r="F3644" t="s">
        <v>28669</v>
      </c>
      <c r="G3644" t="s">
        <v>28675</v>
      </c>
      <c r="H3644" t="s">
        <v>9998</v>
      </c>
      <c r="I3644" t="s">
        <v>28704</v>
      </c>
      <c r="J3644" t="s">
        <v>31201</v>
      </c>
      <c r="K3644" t="s">
        <v>37206</v>
      </c>
      <c r="M3644" t="s">
        <v>38465</v>
      </c>
      <c r="N3644" t="s">
        <v>41249</v>
      </c>
      <c r="O3644" t="s">
        <v>41250</v>
      </c>
      <c r="P3644">
        <v>0</v>
      </c>
      <c r="Q3644">
        <v>0</v>
      </c>
      <c r="R3644" t="s">
        <v>41252</v>
      </c>
      <c r="S3644" t="s">
        <v>41383</v>
      </c>
      <c r="T3644" t="s">
        <v>42759</v>
      </c>
      <c r="U3644" t="s">
        <v>46246</v>
      </c>
      <c r="W3644" t="s">
        <v>38465</v>
      </c>
      <c r="X3644" t="s">
        <v>41254</v>
      </c>
    </row>
    <row r="3645" spans="1:24">
      <c r="A3645">
        <f>HYPERLINK("https://www.philgeps.gov.ph/GEPSNONPILOT/Tender/SplashBidNoticeAbstractUI.aspx?menuIndex=3&amp;refID=7074854&amp;Result=3","7074854")</f>
        <v>0</v>
      </c>
      <c r="B3645" t="s">
        <v>1408</v>
      </c>
      <c r="C3645" t="s">
        <v>6885</v>
      </c>
      <c r="D3645" t="s">
        <v>16676</v>
      </c>
      <c r="E3645" t="s">
        <v>17140</v>
      </c>
      <c r="F3645" t="s">
        <v>28669</v>
      </c>
      <c r="G3645" t="s">
        <v>28675</v>
      </c>
      <c r="H3645" t="s">
        <v>28686</v>
      </c>
      <c r="I3645" t="s">
        <v>28689</v>
      </c>
      <c r="J3645" t="s">
        <v>31202</v>
      </c>
      <c r="K3645" t="s">
        <v>37221</v>
      </c>
      <c r="M3645" t="s">
        <v>38971</v>
      </c>
      <c r="N3645" t="s">
        <v>41249</v>
      </c>
      <c r="O3645" t="s">
        <v>41250</v>
      </c>
      <c r="P3645">
        <v>0</v>
      </c>
      <c r="Q3645">
        <v>0</v>
      </c>
      <c r="R3645" t="s">
        <v>41252</v>
      </c>
      <c r="S3645" t="s">
        <v>41383</v>
      </c>
      <c r="T3645" t="s">
        <v>42941</v>
      </c>
      <c r="U3645" t="s">
        <v>46247</v>
      </c>
      <c r="V3645" t="s">
        <v>54621</v>
      </c>
      <c r="W3645" t="s">
        <v>38971</v>
      </c>
      <c r="X3645" t="s">
        <v>41254</v>
      </c>
    </row>
    <row r="3646" spans="1:24">
      <c r="A3646">
        <f>HYPERLINK("https://www.philgeps.gov.ph/GEPSNONPILOT/Tender/SplashBidNoticeAbstractUI.aspx?menuIndex=3&amp;refID=7074835&amp;Result=3","7074835")</f>
        <v>0</v>
      </c>
      <c r="B3646" t="s">
        <v>1384</v>
      </c>
      <c r="C3646" t="s">
        <v>6886</v>
      </c>
      <c r="D3646" t="s">
        <v>16616</v>
      </c>
      <c r="E3646" t="s">
        <v>20003</v>
      </c>
      <c r="F3646" t="s">
        <v>28669</v>
      </c>
      <c r="G3646" t="s">
        <v>28679</v>
      </c>
      <c r="H3646" t="s">
        <v>9998</v>
      </c>
      <c r="I3646" t="s">
        <v>7352</v>
      </c>
      <c r="J3646" t="s">
        <v>31203</v>
      </c>
      <c r="K3646" t="s">
        <v>37209</v>
      </c>
      <c r="M3646" t="s">
        <v>38945</v>
      </c>
      <c r="N3646" t="s">
        <v>41249</v>
      </c>
      <c r="O3646" t="s">
        <v>41250</v>
      </c>
      <c r="P3646">
        <v>0</v>
      </c>
      <c r="Q3646">
        <v>2</v>
      </c>
      <c r="R3646" t="s">
        <v>41252</v>
      </c>
      <c r="S3646" t="s">
        <v>41383</v>
      </c>
      <c r="T3646" t="s">
        <v>42736</v>
      </c>
      <c r="U3646" t="s">
        <v>46248</v>
      </c>
      <c r="W3646" t="s">
        <v>38945</v>
      </c>
      <c r="X3646" t="s">
        <v>41254</v>
      </c>
    </row>
    <row r="3647" spans="1:24">
      <c r="A3647">
        <f>HYPERLINK("https://www.philgeps.gov.ph/GEPSNONPILOT/Tender/SplashBidNoticeAbstractUI.aspx?menuIndex=3&amp;refID=7074860&amp;Result=3","7074860")</f>
        <v>0</v>
      </c>
      <c r="B3647" t="s">
        <v>252</v>
      </c>
      <c r="C3647" t="s">
        <v>6887</v>
      </c>
      <c r="D3647" t="s">
        <v>16629</v>
      </c>
      <c r="E3647" t="s">
        <v>20004</v>
      </c>
      <c r="F3647" t="s">
        <v>28669</v>
      </c>
      <c r="G3647" t="s">
        <v>28676</v>
      </c>
      <c r="H3647" t="s">
        <v>9998</v>
      </c>
      <c r="I3647" t="s">
        <v>6458</v>
      </c>
      <c r="J3647" t="s">
        <v>31204</v>
      </c>
      <c r="K3647" t="s">
        <v>37210</v>
      </c>
      <c r="M3647" t="s">
        <v>37730</v>
      </c>
      <c r="N3647" t="s">
        <v>41249</v>
      </c>
      <c r="O3647" t="s">
        <v>41250</v>
      </c>
      <c r="P3647">
        <v>0</v>
      </c>
      <c r="Q3647">
        <v>1</v>
      </c>
      <c r="R3647" t="s">
        <v>41252</v>
      </c>
      <c r="S3647" t="s">
        <v>41383</v>
      </c>
      <c r="T3647" t="s">
        <v>42736</v>
      </c>
      <c r="U3647" t="s">
        <v>43595</v>
      </c>
      <c r="V3647" t="s">
        <v>54315</v>
      </c>
      <c r="W3647" t="s">
        <v>37730</v>
      </c>
      <c r="X3647" t="s">
        <v>41254</v>
      </c>
    </row>
    <row r="3648" spans="1:24">
      <c r="A3648">
        <f>HYPERLINK("https://www.philgeps.gov.ph/GEPSNONPILOT/Tender/SplashBidNoticeAbstractUI.aspx?menuIndex=3&amp;refID=7074893&amp;Result=3","7074893")</f>
        <v>0</v>
      </c>
      <c r="B3648" t="s">
        <v>382</v>
      </c>
      <c r="C3648" t="s">
        <v>6888</v>
      </c>
      <c r="D3648" t="s">
        <v>16664</v>
      </c>
      <c r="E3648" t="s">
        <v>20005</v>
      </c>
      <c r="F3648" t="s">
        <v>28669</v>
      </c>
      <c r="G3648" t="s">
        <v>28675</v>
      </c>
      <c r="H3648" t="s">
        <v>9998</v>
      </c>
      <c r="I3648" t="s">
        <v>7352</v>
      </c>
      <c r="J3648" t="s">
        <v>31205</v>
      </c>
      <c r="K3648" t="s">
        <v>37209</v>
      </c>
      <c r="M3648" t="s">
        <v>37864</v>
      </c>
      <c r="N3648" t="s">
        <v>41249</v>
      </c>
      <c r="O3648" t="s">
        <v>41250</v>
      </c>
      <c r="P3648">
        <v>0</v>
      </c>
      <c r="Q3648">
        <v>0</v>
      </c>
      <c r="R3648" t="s">
        <v>41252</v>
      </c>
      <c r="S3648" t="s">
        <v>41383</v>
      </c>
      <c r="T3648" t="s">
        <v>42739</v>
      </c>
      <c r="U3648" t="s">
        <v>46249</v>
      </c>
      <c r="W3648" t="s">
        <v>37864</v>
      </c>
      <c r="X3648" t="s">
        <v>41254</v>
      </c>
    </row>
    <row r="3649" spans="1:24">
      <c r="A3649">
        <f>HYPERLINK("https://www.philgeps.gov.ph/GEPSNONPILOT/Tender/SplashBidNoticeAbstractUI.aspx?menuIndex=3&amp;refID=7074892&amp;Result=3","7074892")</f>
        <v>0</v>
      </c>
      <c r="B3649" t="s">
        <v>1409</v>
      </c>
      <c r="C3649" t="s">
        <v>6889</v>
      </c>
      <c r="D3649" t="s">
        <v>16646</v>
      </c>
      <c r="E3649" t="s">
        <v>20006</v>
      </c>
      <c r="F3649" t="s">
        <v>28669</v>
      </c>
      <c r="G3649" t="s">
        <v>28676</v>
      </c>
      <c r="H3649" t="s">
        <v>9998</v>
      </c>
      <c r="I3649" t="s">
        <v>28689</v>
      </c>
      <c r="J3649" t="s">
        <v>31206</v>
      </c>
      <c r="K3649" t="s">
        <v>37206</v>
      </c>
      <c r="M3649" t="s">
        <v>38972</v>
      </c>
      <c r="N3649" t="s">
        <v>41249</v>
      </c>
      <c r="O3649" t="s">
        <v>41250</v>
      </c>
      <c r="P3649">
        <v>0</v>
      </c>
      <c r="Q3649">
        <v>0</v>
      </c>
      <c r="R3649" t="s">
        <v>41252</v>
      </c>
      <c r="S3649" t="s">
        <v>41383</v>
      </c>
      <c r="T3649" t="s">
        <v>42679</v>
      </c>
      <c r="U3649" t="s">
        <v>46250</v>
      </c>
      <c r="W3649" t="s">
        <v>38972</v>
      </c>
      <c r="X3649" t="s">
        <v>41254</v>
      </c>
    </row>
    <row r="3650" spans="1:24">
      <c r="A3650">
        <f>HYPERLINK("https://www.philgeps.gov.ph/GEPSNONPILOT/Tender/SplashBidNoticeAbstractUI.aspx?menuIndex=3&amp;refID=7074891&amp;Result=3","7074891")</f>
        <v>0</v>
      </c>
      <c r="B3650" t="s">
        <v>369</v>
      </c>
      <c r="C3650" t="s">
        <v>6890</v>
      </c>
      <c r="D3650" t="s">
        <v>16619</v>
      </c>
      <c r="E3650" t="s">
        <v>20007</v>
      </c>
      <c r="F3650" t="s">
        <v>28669</v>
      </c>
      <c r="G3650" t="s">
        <v>28676</v>
      </c>
      <c r="H3650" t="s">
        <v>9998</v>
      </c>
      <c r="I3650" t="s">
        <v>3679</v>
      </c>
      <c r="J3650" t="s">
        <v>31207</v>
      </c>
      <c r="K3650" t="s">
        <v>37204</v>
      </c>
      <c r="M3650" t="s">
        <v>37865</v>
      </c>
      <c r="N3650" t="s">
        <v>41249</v>
      </c>
      <c r="O3650" t="s">
        <v>41250</v>
      </c>
      <c r="P3650">
        <v>0</v>
      </c>
      <c r="Q3650">
        <v>1</v>
      </c>
      <c r="R3650" t="s">
        <v>41252</v>
      </c>
      <c r="S3650" t="s">
        <v>41383</v>
      </c>
      <c r="T3650" t="s">
        <v>42679</v>
      </c>
      <c r="U3650" t="s">
        <v>43816</v>
      </c>
      <c r="W3650" t="s">
        <v>37865</v>
      </c>
      <c r="X3650" t="s">
        <v>41254</v>
      </c>
    </row>
    <row r="3651" spans="1:24">
      <c r="A3651">
        <f>HYPERLINK("https://www.philgeps.gov.ph/GEPSNONPILOT/Tender/SplashBidNoticeAbstractUI.aspx?menuIndex=3&amp;refID=7074869&amp;Result=3","7074869")</f>
        <v>0</v>
      </c>
      <c r="B3651" t="s">
        <v>962</v>
      </c>
      <c r="C3651" t="s">
        <v>6891</v>
      </c>
      <c r="D3651" t="s">
        <v>16611</v>
      </c>
      <c r="E3651" t="s">
        <v>20008</v>
      </c>
      <c r="F3651" t="s">
        <v>28669</v>
      </c>
      <c r="G3651" t="s">
        <v>28676</v>
      </c>
      <c r="H3651" t="s">
        <v>9998</v>
      </c>
      <c r="I3651" t="s">
        <v>28792</v>
      </c>
      <c r="J3651" t="s">
        <v>31208</v>
      </c>
      <c r="K3651" t="s">
        <v>37206</v>
      </c>
      <c r="M3651" t="s">
        <v>38487</v>
      </c>
      <c r="N3651" t="s">
        <v>41249</v>
      </c>
      <c r="O3651" t="s">
        <v>41250</v>
      </c>
      <c r="P3651">
        <v>0</v>
      </c>
      <c r="Q3651">
        <v>0</v>
      </c>
      <c r="R3651" t="s">
        <v>41252</v>
      </c>
      <c r="S3651" t="s">
        <v>41383</v>
      </c>
      <c r="T3651" t="s">
        <v>42743</v>
      </c>
      <c r="U3651" t="s">
        <v>46251</v>
      </c>
      <c r="W3651" t="s">
        <v>55946</v>
      </c>
      <c r="X3651" t="s">
        <v>41254</v>
      </c>
    </row>
    <row r="3652" spans="1:24">
      <c r="A3652">
        <f>HYPERLINK("https://www.philgeps.gov.ph/GEPSNONPILOT/Tender/SplashBidNoticeAbstractUI.aspx?menuIndex=3&amp;refID=7074890&amp;Result=3","7074890")</f>
        <v>0</v>
      </c>
      <c r="B3652" t="s">
        <v>1401</v>
      </c>
      <c r="C3652" t="s">
        <v>6892</v>
      </c>
      <c r="D3652" t="s">
        <v>16671</v>
      </c>
      <c r="E3652" t="s">
        <v>20009</v>
      </c>
      <c r="F3652" t="s">
        <v>28669</v>
      </c>
      <c r="G3652" t="s">
        <v>28677</v>
      </c>
      <c r="H3652" t="s">
        <v>9998</v>
      </c>
      <c r="I3652" t="s">
        <v>28704</v>
      </c>
      <c r="J3652" t="s">
        <v>31209</v>
      </c>
      <c r="K3652" t="s">
        <v>37209</v>
      </c>
      <c r="M3652" t="s">
        <v>38964</v>
      </c>
      <c r="N3652" t="s">
        <v>41249</v>
      </c>
      <c r="O3652" t="s">
        <v>41250</v>
      </c>
      <c r="P3652">
        <v>0</v>
      </c>
      <c r="Q3652">
        <v>1</v>
      </c>
      <c r="R3652" t="s">
        <v>41252</v>
      </c>
      <c r="S3652" t="s">
        <v>41383</v>
      </c>
      <c r="T3652" t="s">
        <v>42690</v>
      </c>
      <c r="U3652" t="s">
        <v>46252</v>
      </c>
      <c r="W3652" t="s">
        <v>55952</v>
      </c>
      <c r="X3652" t="s">
        <v>41254</v>
      </c>
    </row>
    <row r="3653" spans="1:24">
      <c r="A3653">
        <f>HYPERLINK("https://www.philgeps.gov.ph/GEPSNONPILOT/Tender/SplashBidNoticeAbstractUI.aspx?menuIndex=3&amp;refID=7074889&amp;Result=3","7074889")</f>
        <v>0</v>
      </c>
      <c r="B3653" t="s">
        <v>1410</v>
      </c>
      <c r="C3653" t="s">
        <v>6893</v>
      </c>
      <c r="D3653" t="s">
        <v>16612</v>
      </c>
      <c r="E3653" t="s">
        <v>17140</v>
      </c>
      <c r="F3653" t="s">
        <v>28669</v>
      </c>
      <c r="G3653" t="s">
        <v>28676</v>
      </c>
      <c r="H3653" t="s">
        <v>9998</v>
      </c>
      <c r="I3653" t="s">
        <v>7352</v>
      </c>
      <c r="J3653" t="s">
        <v>31210</v>
      </c>
      <c r="K3653" t="s">
        <v>37205</v>
      </c>
      <c r="M3653" t="s">
        <v>38973</v>
      </c>
      <c r="N3653" t="s">
        <v>41249</v>
      </c>
      <c r="O3653" t="s">
        <v>41250</v>
      </c>
      <c r="P3653">
        <v>0</v>
      </c>
      <c r="Q3653">
        <v>0</v>
      </c>
      <c r="R3653" t="s">
        <v>41252</v>
      </c>
      <c r="S3653" t="s">
        <v>41383</v>
      </c>
      <c r="T3653" t="s">
        <v>42742</v>
      </c>
      <c r="U3653" t="s">
        <v>46253</v>
      </c>
      <c r="W3653" t="s">
        <v>38973</v>
      </c>
      <c r="X3653" t="s">
        <v>41254</v>
      </c>
    </row>
    <row r="3654" spans="1:24">
      <c r="A3654">
        <f>HYPERLINK("https://www.philgeps.gov.ph/GEPSNONPILOT/Tender/SplashBidNoticeAbstractUI.aspx?menuIndex=3&amp;refID=7074896&amp;Result=3","7074896")</f>
        <v>0</v>
      </c>
      <c r="B3654" t="s">
        <v>51</v>
      </c>
      <c r="C3654" t="s">
        <v>6894</v>
      </c>
      <c r="D3654" t="s">
        <v>16631</v>
      </c>
      <c r="E3654" t="s">
        <v>20010</v>
      </c>
      <c r="F3654" t="s">
        <v>28669</v>
      </c>
      <c r="G3654" t="s">
        <v>28676</v>
      </c>
      <c r="H3654" t="s">
        <v>9998</v>
      </c>
      <c r="I3654" t="s">
        <v>5213</v>
      </c>
      <c r="J3654" t="s">
        <v>31211</v>
      </c>
      <c r="K3654" t="s">
        <v>37204</v>
      </c>
      <c r="M3654" t="s">
        <v>38699</v>
      </c>
      <c r="N3654" t="s">
        <v>41249</v>
      </c>
      <c r="O3654" t="s">
        <v>41250</v>
      </c>
      <c r="P3654">
        <v>0</v>
      </c>
      <c r="Q3654">
        <v>0</v>
      </c>
      <c r="R3654" t="s">
        <v>41252</v>
      </c>
      <c r="S3654" t="s">
        <v>41383</v>
      </c>
      <c r="T3654" t="s">
        <v>42670</v>
      </c>
      <c r="U3654" t="s">
        <v>46254</v>
      </c>
      <c r="W3654" t="s">
        <v>38699</v>
      </c>
      <c r="X3654" t="s">
        <v>41254</v>
      </c>
    </row>
    <row r="3655" spans="1:24">
      <c r="A3655">
        <f>HYPERLINK("https://www.philgeps.gov.ph/GEPSNONPILOT/Tender/SplashBidNoticeAbstractUI.aspx?menuIndex=3&amp;refID=7074881&amp;Result=3","7074881")</f>
        <v>0</v>
      </c>
      <c r="B3655" t="s">
        <v>761</v>
      </c>
      <c r="C3655" t="s">
        <v>6895</v>
      </c>
      <c r="D3655" t="s">
        <v>16608</v>
      </c>
      <c r="E3655" t="s">
        <v>20011</v>
      </c>
      <c r="F3655" t="s">
        <v>28669</v>
      </c>
      <c r="G3655" t="s">
        <v>28676</v>
      </c>
      <c r="H3655" t="s">
        <v>9998</v>
      </c>
      <c r="I3655" t="s">
        <v>28729</v>
      </c>
      <c r="J3655" t="s">
        <v>28912</v>
      </c>
      <c r="K3655" t="s">
        <v>37209</v>
      </c>
      <c r="M3655" t="s">
        <v>38272</v>
      </c>
      <c r="N3655" t="s">
        <v>41249</v>
      </c>
      <c r="O3655" t="s">
        <v>41250</v>
      </c>
      <c r="P3655">
        <v>0</v>
      </c>
      <c r="Q3655">
        <v>14</v>
      </c>
      <c r="R3655" t="s">
        <v>41252</v>
      </c>
      <c r="S3655" t="s">
        <v>41383</v>
      </c>
      <c r="T3655" t="s">
        <v>42758</v>
      </c>
      <c r="U3655" t="s">
        <v>46255</v>
      </c>
      <c r="W3655" t="s">
        <v>38272</v>
      </c>
      <c r="X3655" t="s">
        <v>41254</v>
      </c>
    </row>
    <row r="3656" spans="1:24">
      <c r="A3656">
        <f>HYPERLINK("https://www.philgeps.gov.ph/GEPSNONPILOT/Tender/SplashBidNoticeAbstractUI.aspx?menuIndex=3&amp;refID=7074880&amp;Result=3","7074880")</f>
        <v>0</v>
      </c>
      <c r="B3656" t="s">
        <v>1405</v>
      </c>
      <c r="C3656" t="s">
        <v>6896</v>
      </c>
      <c r="D3656" t="s">
        <v>16648</v>
      </c>
      <c r="E3656" t="s">
        <v>20012</v>
      </c>
      <c r="F3656" t="s">
        <v>28669</v>
      </c>
      <c r="G3656" t="s">
        <v>28675</v>
      </c>
      <c r="H3656" t="s">
        <v>9998</v>
      </c>
      <c r="I3656" t="s">
        <v>28695</v>
      </c>
      <c r="J3656" t="s">
        <v>29053</v>
      </c>
      <c r="K3656" t="s">
        <v>37209</v>
      </c>
      <c r="M3656" t="s">
        <v>38968</v>
      </c>
      <c r="N3656" t="s">
        <v>41249</v>
      </c>
      <c r="O3656" t="s">
        <v>41250</v>
      </c>
      <c r="P3656">
        <v>0</v>
      </c>
      <c r="Q3656">
        <v>0</v>
      </c>
      <c r="R3656" t="s">
        <v>41252</v>
      </c>
      <c r="S3656" t="s">
        <v>41383</v>
      </c>
      <c r="T3656" t="s">
        <v>42722</v>
      </c>
      <c r="U3656" t="s">
        <v>46256</v>
      </c>
      <c r="W3656" t="s">
        <v>38968</v>
      </c>
      <c r="X3656" t="s">
        <v>41254</v>
      </c>
    </row>
    <row r="3657" spans="1:24">
      <c r="A3657">
        <f>HYPERLINK("https://www.philgeps.gov.ph/GEPSNONPILOT/Tender/SplashBidNoticeAbstractUI.aspx?menuIndex=3&amp;refID=7074823&amp;Result=3","7074823")</f>
        <v>0</v>
      </c>
      <c r="B3657" t="s">
        <v>1381</v>
      </c>
      <c r="C3657" t="s">
        <v>6897</v>
      </c>
      <c r="D3657" t="s">
        <v>16683</v>
      </c>
      <c r="E3657" t="s">
        <v>20013</v>
      </c>
      <c r="F3657" t="s">
        <v>28669</v>
      </c>
      <c r="G3657" t="s">
        <v>28682</v>
      </c>
      <c r="H3657" t="s">
        <v>28686</v>
      </c>
      <c r="I3657" t="s">
        <v>28689</v>
      </c>
      <c r="J3657" t="s">
        <v>31212</v>
      </c>
      <c r="K3657" t="s">
        <v>37336</v>
      </c>
      <c r="M3657" t="s">
        <v>38941</v>
      </c>
      <c r="N3657" t="s">
        <v>41249</v>
      </c>
      <c r="O3657" t="s">
        <v>41250</v>
      </c>
      <c r="P3657">
        <v>0</v>
      </c>
      <c r="Q3657">
        <v>0</v>
      </c>
      <c r="R3657" t="s">
        <v>41252</v>
      </c>
      <c r="S3657" t="s">
        <v>41383</v>
      </c>
      <c r="T3657" t="s">
        <v>42688</v>
      </c>
      <c r="U3657" t="s">
        <v>46175</v>
      </c>
      <c r="V3657" t="s">
        <v>54663</v>
      </c>
      <c r="W3657" t="s">
        <v>55951</v>
      </c>
      <c r="X3657" t="s">
        <v>41254</v>
      </c>
    </row>
    <row r="3658" spans="1:24">
      <c r="A3658">
        <f>HYPERLINK("https://www.philgeps.gov.ph/GEPSNONPILOT/Tender/SplashBidNoticeAbstractUI.aspx?menuIndex=3&amp;refID=7074914&amp;Result=3","7074914")</f>
        <v>0</v>
      </c>
      <c r="B3658" t="s">
        <v>382</v>
      </c>
      <c r="C3658" t="s">
        <v>6898</v>
      </c>
      <c r="D3658" t="s">
        <v>16664</v>
      </c>
      <c r="E3658" t="s">
        <v>20014</v>
      </c>
      <c r="F3658" t="s">
        <v>28669</v>
      </c>
      <c r="G3658" t="s">
        <v>28675</v>
      </c>
      <c r="H3658" t="s">
        <v>28686</v>
      </c>
      <c r="I3658" t="s">
        <v>28710</v>
      </c>
      <c r="J3658" t="s">
        <v>31213</v>
      </c>
      <c r="K3658" t="s">
        <v>37209</v>
      </c>
      <c r="M3658" t="s">
        <v>37864</v>
      </c>
      <c r="N3658" t="s">
        <v>41249</v>
      </c>
      <c r="O3658" t="s">
        <v>41250</v>
      </c>
      <c r="P3658">
        <v>0</v>
      </c>
      <c r="Q3658">
        <v>0</v>
      </c>
      <c r="R3658" t="s">
        <v>41252</v>
      </c>
      <c r="S3658" t="s">
        <v>41383</v>
      </c>
      <c r="T3658" t="s">
        <v>42739</v>
      </c>
      <c r="U3658" t="s">
        <v>46249</v>
      </c>
      <c r="W3658" t="s">
        <v>37864</v>
      </c>
      <c r="X3658" t="s">
        <v>41254</v>
      </c>
    </row>
    <row r="3659" spans="1:24">
      <c r="A3659">
        <f>HYPERLINK("https://www.philgeps.gov.ph/GEPSNONPILOT/Tender/SplashBidNoticeAbstractUI.aspx?menuIndex=3&amp;refID=7074923&amp;Result=3","7074923")</f>
        <v>0</v>
      </c>
      <c r="B3659" t="s">
        <v>1411</v>
      </c>
      <c r="C3659" t="s">
        <v>6899</v>
      </c>
      <c r="D3659" t="s">
        <v>16640</v>
      </c>
      <c r="E3659" t="s">
        <v>20015</v>
      </c>
      <c r="F3659" t="s">
        <v>28669</v>
      </c>
      <c r="G3659" t="s">
        <v>28678</v>
      </c>
      <c r="H3659" t="s">
        <v>9998</v>
      </c>
      <c r="I3659" t="s">
        <v>28688</v>
      </c>
      <c r="J3659" t="s">
        <v>31214</v>
      </c>
      <c r="K3659" t="s">
        <v>37209</v>
      </c>
      <c r="M3659" t="s">
        <v>38974</v>
      </c>
      <c r="N3659" t="s">
        <v>41249</v>
      </c>
      <c r="O3659" t="s">
        <v>41250</v>
      </c>
      <c r="P3659">
        <v>0</v>
      </c>
      <c r="Q3659">
        <v>16</v>
      </c>
      <c r="R3659" t="s">
        <v>41252</v>
      </c>
      <c r="S3659" t="s">
        <v>41383</v>
      </c>
      <c r="T3659" t="s">
        <v>42757</v>
      </c>
      <c r="U3659" t="s">
        <v>46257</v>
      </c>
      <c r="W3659" t="s">
        <v>38974</v>
      </c>
      <c r="X3659" t="s">
        <v>41254</v>
      </c>
    </row>
    <row r="3660" spans="1:24">
      <c r="A3660">
        <f>HYPERLINK("https://www.philgeps.gov.ph/GEPSNONPILOT/Tender/SplashBidNoticeAbstractUI.aspx?menuIndex=3&amp;refID=7074853&amp;Result=3","7074853")</f>
        <v>0</v>
      </c>
      <c r="B3660" t="s">
        <v>1401</v>
      </c>
      <c r="C3660" t="s">
        <v>6900</v>
      </c>
      <c r="D3660" t="s">
        <v>16671</v>
      </c>
      <c r="E3660" t="s">
        <v>20016</v>
      </c>
      <c r="F3660" t="s">
        <v>28669</v>
      </c>
      <c r="G3660" t="s">
        <v>28677</v>
      </c>
      <c r="H3660" t="s">
        <v>9998</v>
      </c>
      <c r="I3660" t="s">
        <v>28687</v>
      </c>
      <c r="J3660" t="s">
        <v>28838</v>
      </c>
      <c r="K3660" t="s">
        <v>37209</v>
      </c>
      <c r="M3660" t="s">
        <v>38964</v>
      </c>
      <c r="N3660" t="s">
        <v>41249</v>
      </c>
      <c r="O3660" t="s">
        <v>41250</v>
      </c>
      <c r="P3660">
        <v>0</v>
      </c>
      <c r="Q3660">
        <v>0</v>
      </c>
      <c r="R3660" t="s">
        <v>41252</v>
      </c>
      <c r="S3660" t="s">
        <v>41383</v>
      </c>
      <c r="T3660" t="s">
        <v>42690</v>
      </c>
      <c r="U3660" t="s">
        <v>46258</v>
      </c>
      <c r="W3660" t="s">
        <v>55952</v>
      </c>
      <c r="X3660" t="s">
        <v>41254</v>
      </c>
    </row>
    <row r="3661" spans="1:24">
      <c r="A3661">
        <f>HYPERLINK("https://www.philgeps.gov.ph/GEPSNONPILOT/Tender/SplashBidNoticeAbstractUI.aspx?menuIndex=3&amp;refID=7074921&amp;Result=3","7074921")</f>
        <v>0</v>
      </c>
      <c r="B3661" t="s">
        <v>1084</v>
      </c>
      <c r="C3661" t="s">
        <v>6901</v>
      </c>
      <c r="D3661" t="s">
        <v>16667</v>
      </c>
      <c r="E3661" t="s">
        <v>20017</v>
      </c>
      <c r="F3661" t="s">
        <v>28669</v>
      </c>
      <c r="G3661" t="s">
        <v>28675</v>
      </c>
      <c r="H3661" t="s">
        <v>9998</v>
      </c>
      <c r="I3661" t="s">
        <v>7352</v>
      </c>
      <c r="J3661" t="s">
        <v>28879</v>
      </c>
      <c r="K3661" t="s">
        <v>37220</v>
      </c>
      <c r="M3661" t="s">
        <v>38616</v>
      </c>
      <c r="N3661" t="s">
        <v>41249</v>
      </c>
      <c r="O3661" t="s">
        <v>41250</v>
      </c>
      <c r="P3661">
        <v>0</v>
      </c>
      <c r="Q3661">
        <v>0</v>
      </c>
      <c r="R3661" t="s">
        <v>41252</v>
      </c>
      <c r="S3661" t="s">
        <v>41383</v>
      </c>
      <c r="T3661" t="s">
        <v>42808</v>
      </c>
      <c r="U3661" t="s">
        <v>46259</v>
      </c>
      <c r="W3661" t="s">
        <v>38616</v>
      </c>
      <c r="X3661" t="s">
        <v>41254</v>
      </c>
    </row>
    <row r="3662" spans="1:24">
      <c r="A3662">
        <f>HYPERLINK("https://www.philgeps.gov.ph/GEPSNONPILOT/Tender/SplashBidNoticeAbstractUI.aspx?menuIndex=3&amp;refID=7074919&amp;Result=3","7074919")</f>
        <v>0</v>
      </c>
      <c r="B3662" t="s">
        <v>1412</v>
      </c>
      <c r="C3662" t="s">
        <v>6902</v>
      </c>
      <c r="D3662" t="s">
        <v>16654</v>
      </c>
      <c r="E3662" t="s">
        <v>20018</v>
      </c>
      <c r="F3662" t="s">
        <v>28669</v>
      </c>
      <c r="G3662" t="s">
        <v>28677</v>
      </c>
      <c r="H3662" t="s">
        <v>9998</v>
      </c>
      <c r="I3662" t="s">
        <v>28733</v>
      </c>
      <c r="J3662" t="s">
        <v>29537</v>
      </c>
      <c r="K3662" t="s">
        <v>37208</v>
      </c>
      <c r="M3662" t="s">
        <v>38975</v>
      </c>
      <c r="N3662" t="s">
        <v>41249</v>
      </c>
      <c r="O3662" t="s">
        <v>41250</v>
      </c>
      <c r="P3662">
        <v>0</v>
      </c>
      <c r="Q3662">
        <v>1</v>
      </c>
      <c r="R3662" t="s">
        <v>41252</v>
      </c>
      <c r="S3662" t="s">
        <v>41383</v>
      </c>
      <c r="T3662" t="s">
        <v>42758</v>
      </c>
      <c r="U3662" t="s">
        <v>46260</v>
      </c>
      <c r="W3662" t="s">
        <v>38975</v>
      </c>
      <c r="X3662" t="s">
        <v>41254</v>
      </c>
    </row>
    <row r="3663" spans="1:24">
      <c r="A3663">
        <f>HYPERLINK("https://www.philgeps.gov.ph/GEPSNONPILOT/Tender/SplashBidNoticeAbstractUI.aspx?menuIndex=3&amp;refID=7074917&amp;Result=3","7074917")</f>
        <v>0</v>
      </c>
      <c r="B3663" t="s">
        <v>236</v>
      </c>
      <c r="C3663" t="s">
        <v>6903</v>
      </c>
      <c r="D3663" t="s">
        <v>16663</v>
      </c>
      <c r="E3663" t="s">
        <v>6903</v>
      </c>
      <c r="F3663" t="s">
        <v>28669</v>
      </c>
      <c r="G3663" t="s">
        <v>28675</v>
      </c>
      <c r="H3663" t="s">
        <v>9998</v>
      </c>
      <c r="I3663" t="s">
        <v>28690</v>
      </c>
      <c r="J3663" t="s">
        <v>31215</v>
      </c>
      <c r="K3663" t="s">
        <v>37206</v>
      </c>
      <c r="M3663" t="s">
        <v>37714</v>
      </c>
      <c r="N3663" t="s">
        <v>41249</v>
      </c>
      <c r="O3663" t="s">
        <v>41250</v>
      </c>
      <c r="P3663">
        <v>0</v>
      </c>
      <c r="Q3663">
        <v>2</v>
      </c>
      <c r="R3663" t="s">
        <v>41252</v>
      </c>
      <c r="S3663" t="s">
        <v>41383</v>
      </c>
      <c r="T3663" t="s">
        <v>42762</v>
      </c>
      <c r="U3663" t="s">
        <v>46261</v>
      </c>
      <c r="W3663" t="s">
        <v>37714</v>
      </c>
      <c r="X3663" t="s">
        <v>41254</v>
      </c>
    </row>
    <row r="3664" spans="1:24">
      <c r="A3664">
        <f>HYPERLINK("https://www.philgeps.gov.ph/GEPSNONPILOT/Tender/SplashBidNoticeAbstractUI.aspx?menuIndex=3&amp;refID=7074901&amp;Result=3","7074901")</f>
        <v>0</v>
      </c>
      <c r="B3664" t="s">
        <v>236</v>
      </c>
      <c r="C3664" t="s">
        <v>6904</v>
      </c>
      <c r="D3664" t="s">
        <v>16663</v>
      </c>
      <c r="E3664" t="s">
        <v>6904</v>
      </c>
      <c r="F3664" t="s">
        <v>28669</v>
      </c>
      <c r="G3664" t="s">
        <v>28675</v>
      </c>
      <c r="H3664" t="s">
        <v>9998</v>
      </c>
      <c r="I3664" t="s">
        <v>11593</v>
      </c>
      <c r="J3664" t="s">
        <v>31216</v>
      </c>
      <c r="K3664" t="s">
        <v>37206</v>
      </c>
      <c r="M3664" t="s">
        <v>37714</v>
      </c>
      <c r="N3664" t="s">
        <v>41249</v>
      </c>
      <c r="O3664" t="s">
        <v>41250</v>
      </c>
      <c r="P3664">
        <v>0</v>
      </c>
      <c r="Q3664">
        <v>2</v>
      </c>
      <c r="R3664" t="s">
        <v>41252</v>
      </c>
      <c r="S3664" t="s">
        <v>41383</v>
      </c>
      <c r="T3664" t="s">
        <v>42762</v>
      </c>
      <c r="U3664" t="s">
        <v>46262</v>
      </c>
      <c r="W3664" t="s">
        <v>37714</v>
      </c>
      <c r="X3664" t="s">
        <v>41254</v>
      </c>
    </row>
    <row r="3665" spans="1:24">
      <c r="A3665">
        <f>HYPERLINK("https://www.philgeps.gov.ph/GEPSNONPILOT/Tender/SplashBidNoticeAbstractUI.aspx?menuIndex=3&amp;refID=7074916&amp;Result=3","7074916")</f>
        <v>0</v>
      </c>
      <c r="B3665" t="s">
        <v>114</v>
      </c>
      <c r="C3665" t="s">
        <v>6905</v>
      </c>
      <c r="D3665" t="s">
        <v>16608</v>
      </c>
      <c r="E3665" t="s">
        <v>20019</v>
      </c>
      <c r="F3665" t="s">
        <v>28669</v>
      </c>
      <c r="G3665" t="s">
        <v>28677</v>
      </c>
      <c r="H3665" t="s">
        <v>9998</v>
      </c>
      <c r="I3665" t="s">
        <v>5286</v>
      </c>
      <c r="J3665" t="s">
        <v>31217</v>
      </c>
      <c r="K3665" t="s">
        <v>37210</v>
      </c>
      <c r="M3665" t="s">
        <v>37793</v>
      </c>
      <c r="N3665" t="s">
        <v>41249</v>
      </c>
      <c r="O3665" t="s">
        <v>41250</v>
      </c>
      <c r="P3665">
        <v>0</v>
      </c>
      <c r="Q3665">
        <v>2</v>
      </c>
      <c r="R3665" t="s">
        <v>41252</v>
      </c>
      <c r="S3665" t="s">
        <v>41383</v>
      </c>
      <c r="T3665" t="s">
        <v>42878</v>
      </c>
      <c r="U3665" t="s">
        <v>46263</v>
      </c>
      <c r="V3665" t="s">
        <v>54326</v>
      </c>
      <c r="W3665" t="s">
        <v>37793</v>
      </c>
      <c r="X3665" t="s">
        <v>41254</v>
      </c>
    </row>
    <row r="3666" spans="1:24">
      <c r="A3666">
        <f>HYPERLINK("https://www.philgeps.gov.ph/GEPSNONPILOT/Tender/SplashBidNoticeAbstractUI.aspx?menuIndex=3&amp;refID=7074913&amp;Result=3","7074913")</f>
        <v>0</v>
      </c>
      <c r="B3666" t="s">
        <v>761</v>
      </c>
      <c r="C3666" t="s">
        <v>6906</v>
      </c>
      <c r="D3666" t="s">
        <v>16608</v>
      </c>
      <c r="E3666" t="s">
        <v>20020</v>
      </c>
      <c r="F3666" t="s">
        <v>28669</v>
      </c>
      <c r="G3666" t="s">
        <v>28676</v>
      </c>
      <c r="H3666" t="s">
        <v>9998</v>
      </c>
      <c r="I3666" t="s">
        <v>5213</v>
      </c>
      <c r="J3666" t="s">
        <v>30406</v>
      </c>
      <c r="K3666" t="s">
        <v>37209</v>
      </c>
      <c r="M3666" t="s">
        <v>38272</v>
      </c>
      <c r="N3666" t="s">
        <v>41249</v>
      </c>
      <c r="O3666" t="s">
        <v>41250</v>
      </c>
      <c r="P3666">
        <v>0</v>
      </c>
      <c r="Q3666">
        <v>6</v>
      </c>
      <c r="R3666" t="s">
        <v>41252</v>
      </c>
      <c r="S3666" t="s">
        <v>41383</v>
      </c>
      <c r="T3666" t="s">
        <v>42758</v>
      </c>
      <c r="U3666" t="s">
        <v>46264</v>
      </c>
      <c r="W3666" t="s">
        <v>38272</v>
      </c>
      <c r="X3666" t="s">
        <v>41254</v>
      </c>
    </row>
    <row r="3667" spans="1:24">
      <c r="A3667">
        <f>HYPERLINK("https://www.philgeps.gov.ph/GEPSNONPILOT/Tender/SplashBidNoticeAbstractUI.aspx?menuIndex=3&amp;refID=7074911&amp;Result=3","7074911")</f>
        <v>0</v>
      </c>
      <c r="B3667" t="s">
        <v>1413</v>
      </c>
      <c r="C3667" t="s">
        <v>6907</v>
      </c>
      <c r="D3667" t="s">
        <v>16618</v>
      </c>
      <c r="E3667" t="s">
        <v>20021</v>
      </c>
      <c r="F3667" t="s">
        <v>28669</v>
      </c>
      <c r="G3667" t="s">
        <v>28677</v>
      </c>
      <c r="H3667" t="s">
        <v>9998</v>
      </c>
      <c r="I3667" t="s">
        <v>8667</v>
      </c>
      <c r="J3667" t="s">
        <v>29552</v>
      </c>
      <c r="K3667" t="s">
        <v>37216</v>
      </c>
      <c r="M3667" t="s">
        <v>38976</v>
      </c>
      <c r="N3667" t="s">
        <v>41249</v>
      </c>
      <c r="O3667" t="s">
        <v>41250</v>
      </c>
      <c r="P3667">
        <v>0</v>
      </c>
      <c r="Q3667">
        <v>0</v>
      </c>
      <c r="R3667" t="s">
        <v>41252</v>
      </c>
      <c r="S3667" t="s">
        <v>41383</v>
      </c>
      <c r="T3667" t="s">
        <v>42758</v>
      </c>
      <c r="U3667" t="s">
        <v>46265</v>
      </c>
      <c r="V3667" t="s">
        <v>54664</v>
      </c>
      <c r="W3667" t="s">
        <v>38976</v>
      </c>
      <c r="X3667" t="s">
        <v>41254</v>
      </c>
    </row>
    <row r="3668" spans="1:24">
      <c r="A3668">
        <f>HYPERLINK("https://www.philgeps.gov.ph/GEPSNONPILOT/Tender/SplashBidNoticeAbstractUI.aspx?menuIndex=3&amp;refID=7074910&amp;Result=3","7074910")</f>
        <v>0</v>
      </c>
      <c r="B3668" t="s">
        <v>965</v>
      </c>
      <c r="C3668" t="s">
        <v>6908</v>
      </c>
      <c r="D3668" t="s">
        <v>16608</v>
      </c>
      <c r="E3668" t="s">
        <v>20022</v>
      </c>
      <c r="F3668" t="s">
        <v>28669</v>
      </c>
      <c r="G3668" t="s">
        <v>28675</v>
      </c>
      <c r="H3668" t="s">
        <v>9998</v>
      </c>
      <c r="I3668" t="s">
        <v>5213</v>
      </c>
      <c r="J3668" t="s">
        <v>29134</v>
      </c>
      <c r="K3668" t="s">
        <v>37205</v>
      </c>
      <c r="M3668" t="s">
        <v>38890</v>
      </c>
      <c r="N3668" t="s">
        <v>41249</v>
      </c>
      <c r="O3668" t="s">
        <v>41250</v>
      </c>
      <c r="P3668">
        <v>0</v>
      </c>
      <c r="Q3668">
        <v>1</v>
      </c>
      <c r="R3668" t="s">
        <v>41252</v>
      </c>
      <c r="S3668" t="s">
        <v>41383</v>
      </c>
      <c r="T3668" t="s">
        <v>42703</v>
      </c>
      <c r="U3668" t="s">
        <v>45206</v>
      </c>
      <c r="W3668" t="s">
        <v>38890</v>
      </c>
      <c r="X3668" t="s">
        <v>41254</v>
      </c>
    </row>
    <row r="3669" spans="1:24">
      <c r="A3669">
        <f>HYPERLINK("https://www.philgeps.gov.ph/GEPSNONPILOT/Tender/SplashBidNoticeAbstractUI.aspx?menuIndex=3&amp;refID=7074909&amp;Result=3","7074909")</f>
        <v>0</v>
      </c>
      <c r="B3669" t="s">
        <v>311</v>
      </c>
      <c r="C3669" t="s">
        <v>6909</v>
      </c>
      <c r="D3669" t="s">
        <v>16627</v>
      </c>
      <c r="E3669" t="s">
        <v>20023</v>
      </c>
      <c r="F3669" t="s">
        <v>28669</v>
      </c>
      <c r="G3669" t="s">
        <v>28677</v>
      </c>
      <c r="H3669" t="s">
        <v>9998</v>
      </c>
      <c r="I3669" t="s">
        <v>11593</v>
      </c>
      <c r="J3669" t="s">
        <v>30002</v>
      </c>
      <c r="K3669" t="s">
        <v>37209</v>
      </c>
      <c r="M3669" t="s">
        <v>37790</v>
      </c>
      <c r="N3669" t="s">
        <v>41249</v>
      </c>
      <c r="O3669" t="s">
        <v>41250</v>
      </c>
      <c r="P3669">
        <v>0</v>
      </c>
      <c r="Q3669">
        <v>3</v>
      </c>
      <c r="R3669" t="s">
        <v>41252</v>
      </c>
      <c r="S3669" t="s">
        <v>41383</v>
      </c>
      <c r="T3669" t="s">
        <v>42727</v>
      </c>
      <c r="U3669" t="s">
        <v>46266</v>
      </c>
      <c r="W3669" t="s">
        <v>37790</v>
      </c>
      <c r="X3669" t="s">
        <v>41254</v>
      </c>
    </row>
    <row r="3670" spans="1:24">
      <c r="A3670">
        <f>HYPERLINK("https://www.philgeps.gov.ph/GEPSNONPILOT/Tender/SplashBidNoticeAbstractUI.aspx?menuIndex=3&amp;refID=7074920&amp;Result=3","7074920")</f>
        <v>0</v>
      </c>
      <c r="B3670" t="s">
        <v>1414</v>
      </c>
      <c r="C3670" t="s">
        <v>6879</v>
      </c>
      <c r="D3670" t="s">
        <v>16657</v>
      </c>
      <c r="E3670" t="s">
        <v>20024</v>
      </c>
      <c r="F3670" t="s">
        <v>28669</v>
      </c>
      <c r="G3670" t="s">
        <v>28679</v>
      </c>
      <c r="H3670" t="s">
        <v>28686</v>
      </c>
      <c r="I3670" t="s">
        <v>28689</v>
      </c>
      <c r="J3670" t="s">
        <v>29317</v>
      </c>
      <c r="K3670" t="s">
        <v>37209</v>
      </c>
      <c r="M3670" t="s">
        <v>38977</v>
      </c>
      <c r="N3670" t="s">
        <v>41249</v>
      </c>
      <c r="O3670" t="s">
        <v>41250</v>
      </c>
      <c r="P3670">
        <v>0</v>
      </c>
      <c r="Q3670">
        <v>1</v>
      </c>
      <c r="R3670" t="s">
        <v>41252</v>
      </c>
      <c r="S3670" t="s">
        <v>41383</v>
      </c>
      <c r="T3670" t="s">
        <v>42757</v>
      </c>
      <c r="U3670" t="s">
        <v>46267</v>
      </c>
      <c r="W3670" t="s">
        <v>38977</v>
      </c>
      <c r="X3670" t="s">
        <v>41254</v>
      </c>
    </row>
    <row r="3671" spans="1:24">
      <c r="A3671">
        <f>HYPERLINK("https://www.philgeps.gov.ph/GEPSNONPILOT/Tender/SplashBidNoticeAbstractUI.aspx?menuIndex=3&amp;refID=7074908&amp;Result=3","7074908")</f>
        <v>0</v>
      </c>
      <c r="B3671" t="s">
        <v>853</v>
      </c>
      <c r="C3671" t="s">
        <v>6910</v>
      </c>
      <c r="D3671" t="s">
        <v>16617</v>
      </c>
      <c r="E3671" t="s">
        <v>20025</v>
      </c>
      <c r="F3671" t="s">
        <v>28669</v>
      </c>
      <c r="G3671" t="s">
        <v>28675</v>
      </c>
      <c r="H3671" t="s">
        <v>28684</v>
      </c>
      <c r="I3671" t="s">
        <v>28726</v>
      </c>
      <c r="J3671" t="s">
        <v>31218</v>
      </c>
      <c r="K3671" t="s">
        <v>37213</v>
      </c>
      <c r="M3671" t="s">
        <v>38369</v>
      </c>
      <c r="N3671" t="s">
        <v>41249</v>
      </c>
      <c r="O3671" t="s">
        <v>41250</v>
      </c>
      <c r="P3671">
        <v>0</v>
      </c>
      <c r="Q3671">
        <v>3</v>
      </c>
      <c r="R3671" t="s">
        <v>41252</v>
      </c>
      <c r="S3671" t="s">
        <v>41383</v>
      </c>
      <c r="T3671" t="s">
        <v>42692</v>
      </c>
      <c r="U3671" t="s">
        <v>44874</v>
      </c>
      <c r="V3671" t="s">
        <v>54665</v>
      </c>
      <c r="W3671" t="s">
        <v>38369</v>
      </c>
      <c r="X3671" t="s">
        <v>41254</v>
      </c>
    </row>
    <row r="3672" spans="1:24">
      <c r="A3672">
        <f>HYPERLINK("https://www.philgeps.gov.ph/GEPSNONPILOT/Tender/SplashBidNoticeAbstractUI.aspx?menuIndex=3&amp;refID=7074907&amp;Result=3","7074907")</f>
        <v>0</v>
      </c>
      <c r="B3672" t="s">
        <v>369</v>
      </c>
      <c r="C3672" t="s">
        <v>6911</v>
      </c>
      <c r="D3672" t="s">
        <v>16619</v>
      </c>
      <c r="E3672" t="s">
        <v>20026</v>
      </c>
      <c r="F3672" t="s">
        <v>28669</v>
      </c>
      <c r="G3672" t="s">
        <v>28676</v>
      </c>
      <c r="H3672" t="s">
        <v>9998</v>
      </c>
      <c r="I3672" t="s">
        <v>6128</v>
      </c>
      <c r="J3672" t="s">
        <v>31219</v>
      </c>
      <c r="K3672" t="s">
        <v>37204</v>
      </c>
      <c r="M3672" t="s">
        <v>37865</v>
      </c>
      <c r="N3672" t="s">
        <v>41249</v>
      </c>
      <c r="O3672" t="s">
        <v>41250</v>
      </c>
      <c r="P3672">
        <v>0</v>
      </c>
      <c r="Q3672">
        <v>2</v>
      </c>
      <c r="R3672" t="s">
        <v>41252</v>
      </c>
      <c r="S3672" t="s">
        <v>41383</v>
      </c>
      <c r="T3672" t="s">
        <v>42679</v>
      </c>
      <c r="U3672" t="s">
        <v>43816</v>
      </c>
      <c r="W3672" t="s">
        <v>37865</v>
      </c>
      <c r="X3672" t="s">
        <v>41254</v>
      </c>
    </row>
    <row r="3673" spans="1:24">
      <c r="A3673">
        <f>HYPERLINK("https://www.philgeps.gov.ph/GEPSNONPILOT/Tender/SplashBidNoticeAbstractUI.aspx?menuIndex=3&amp;refID=7074925&amp;Result=3","7074925")</f>
        <v>0</v>
      </c>
      <c r="B3673" t="s">
        <v>704</v>
      </c>
      <c r="C3673" t="s">
        <v>6912</v>
      </c>
      <c r="D3673" t="s">
        <v>16668</v>
      </c>
      <c r="E3673" t="s">
        <v>20027</v>
      </c>
      <c r="F3673" t="s">
        <v>28669</v>
      </c>
      <c r="G3673" t="s">
        <v>28676</v>
      </c>
      <c r="H3673" t="s">
        <v>9998</v>
      </c>
      <c r="I3673" t="s">
        <v>28711</v>
      </c>
      <c r="J3673" t="s">
        <v>31220</v>
      </c>
      <c r="K3673" t="s">
        <v>37205</v>
      </c>
      <c r="M3673" t="s">
        <v>38211</v>
      </c>
      <c r="N3673" t="s">
        <v>41249</v>
      </c>
      <c r="O3673" t="s">
        <v>41250</v>
      </c>
      <c r="P3673">
        <v>0</v>
      </c>
      <c r="Q3673">
        <v>2</v>
      </c>
      <c r="R3673" t="s">
        <v>41252</v>
      </c>
      <c r="S3673" t="s">
        <v>41383</v>
      </c>
      <c r="T3673" t="s">
        <v>42748</v>
      </c>
      <c r="U3673" t="s">
        <v>46268</v>
      </c>
      <c r="W3673" t="s">
        <v>38211</v>
      </c>
      <c r="X3673" t="s">
        <v>41254</v>
      </c>
    </row>
    <row r="3674" spans="1:24">
      <c r="A3674">
        <f>HYPERLINK("https://www.philgeps.gov.ph/GEPSNONPILOT/Tender/SplashBidNoticeAbstractUI.aspx?menuIndex=3&amp;refID=7074905&amp;Result=3","7074905")</f>
        <v>0</v>
      </c>
      <c r="B3674" t="s">
        <v>1415</v>
      </c>
      <c r="C3674" t="s">
        <v>6824</v>
      </c>
      <c r="D3674" t="s">
        <v>16684</v>
      </c>
      <c r="E3674" t="s">
        <v>20028</v>
      </c>
      <c r="F3674" t="s">
        <v>28669</v>
      </c>
      <c r="G3674" t="s">
        <v>28676</v>
      </c>
      <c r="H3674" t="s">
        <v>9998</v>
      </c>
      <c r="I3674" t="s">
        <v>5213</v>
      </c>
      <c r="J3674" t="s">
        <v>29438</v>
      </c>
      <c r="K3674" t="s">
        <v>37208</v>
      </c>
      <c r="M3674" t="s">
        <v>38978</v>
      </c>
      <c r="N3674" t="s">
        <v>41249</v>
      </c>
      <c r="O3674" t="s">
        <v>41250</v>
      </c>
      <c r="P3674">
        <v>0</v>
      </c>
      <c r="Q3674">
        <v>0</v>
      </c>
      <c r="R3674" t="s">
        <v>41252</v>
      </c>
      <c r="S3674" t="s">
        <v>41383</v>
      </c>
      <c r="T3674" t="s">
        <v>42736</v>
      </c>
      <c r="U3674" t="s">
        <v>46192</v>
      </c>
      <c r="W3674" t="s">
        <v>38978</v>
      </c>
      <c r="X3674" t="s">
        <v>41254</v>
      </c>
    </row>
    <row r="3675" spans="1:24">
      <c r="A3675">
        <f>HYPERLINK("https://www.philgeps.gov.ph/GEPSNONPILOT/Tender/SplashBidNoticeAbstractUI.aspx?menuIndex=3&amp;refID=7074883&amp;Result=3","7074883")</f>
        <v>0</v>
      </c>
      <c r="B3675" t="s">
        <v>1416</v>
      </c>
      <c r="C3675" t="s">
        <v>6913</v>
      </c>
      <c r="D3675" t="s">
        <v>16627</v>
      </c>
      <c r="E3675" t="s">
        <v>20029</v>
      </c>
      <c r="F3675" t="s">
        <v>28671</v>
      </c>
      <c r="G3675" t="s">
        <v>28675</v>
      </c>
      <c r="H3675" t="s">
        <v>9998</v>
      </c>
      <c r="I3675" t="s">
        <v>5213</v>
      </c>
      <c r="J3675" t="s">
        <v>31221</v>
      </c>
      <c r="K3675" t="s">
        <v>37209</v>
      </c>
      <c r="M3675" t="s">
        <v>38979</v>
      </c>
      <c r="N3675" t="s">
        <v>41249</v>
      </c>
      <c r="O3675" t="s">
        <v>41250</v>
      </c>
      <c r="P3675">
        <v>0</v>
      </c>
      <c r="Q3675">
        <v>0</v>
      </c>
      <c r="R3675" t="s">
        <v>41252</v>
      </c>
      <c r="S3675" t="s">
        <v>41383</v>
      </c>
      <c r="T3675" t="s">
        <v>42693</v>
      </c>
      <c r="U3675" t="s">
        <v>46269</v>
      </c>
      <c r="W3675" t="s">
        <v>38979</v>
      </c>
      <c r="X3675" t="s">
        <v>41254</v>
      </c>
    </row>
    <row r="3676" spans="1:24">
      <c r="A3676">
        <f>HYPERLINK("https://www.philgeps.gov.ph/GEPSNONPILOT/Tender/SplashBidNoticeAbstractUI.aspx?menuIndex=3&amp;refID=7074894&amp;Result=3","7074894")</f>
        <v>0</v>
      </c>
      <c r="B3676" t="s">
        <v>697</v>
      </c>
      <c r="C3676" t="s">
        <v>6914</v>
      </c>
      <c r="D3676" t="s">
        <v>16608</v>
      </c>
      <c r="E3676" t="s">
        <v>20030</v>
      </c>
      <c r="F3676" t="s">
        <v>28669</v>
      </c>
      <c r="G3676" t="s">
        <v>28676</v>
      </c>
      <c r="H3676" t="s">
        <v>9998</v>
      </c>
      <c r="I3676" t="s">
        <v>28699</v>
      </c>
      <c r="J3676" t="s">
        <v>31222</v>
      </c>
      <c r="K3676" t="s">
        <v>37227</v>
      </c>
      <c r="M3676" t="s">
        <v>38803</v>
      </c>
      <c r="N3676" t="s">
        <v>41249</v>
      </c>
      <c r="O3676" t="s">
        <v>41250</v>
      </c>
      <c r="P3676">
        <v>0</v>
      </c>
      <c r="Q3676">
        <v>10</v>
      </c>
      <c r="R3676" t="s">
        <v>41252</v>
      </c>
      <c r="S3676" t="s">
        <v>41383</v>
      </c>
      <c r="T3676" t="s">
        <v>42736</v>
      </c>
      <c r="U3676" t="s">
        <v>46270</v>
      </c>
      <c r="V3676" t="s">
        <v>54666</v>
      </c>
      <c r="W3676" t="s">
        <v>38803</v>
      </c>
      <c r="X3676" t="s">
        <v>41254</v>
      </c>
    </row>
    <row r="3677" spans="1:24">
      <c r="A3677">
        <f>HYPERLINK("https://www.philgeps.gov.ph/GEPSNONPILOT/Tender/SplashBidNoticeAbstractUI.aspx?menuIndex=3&amp;refID=7074947&amp;Result=3","7074947")</f>
        <v>0</v>
      </c>
      <c r="B3677" t="s">
        <v>1414</v>
      </c>
      <c r="C3677" t="s">
        <v>5192</v>
      </c>
      <c r="D3677" t="s">
        <v>16657</v>
      </c>
      <c r="E3677" t="s">
        <v>20031</v>
      </c>
      <c r="F3677" t="s">
        <v>28669</v>
      </c>
      <c r="G3677" t="s">
        <v>28679</v>
      </c>
      <c r="H3677" t="s">
        <v>28686</v>
      </c>
      <c r="I3677" t="s">
        <v>28689</v>
      </c>
      <c r="J3677" t="s">
        <v>31223</v>
      </c>
      <c r="K3677" t="s">
        <v>37209</v>
      </c>
      <c r="M3677" t="s">
        <v>38977</v>
      </c>
      <c r="N3677" t="s">
        <v>41249</v>
      </c>
      <c r="O3677" t="s">
        <v>41250</v>
      </c>
      <c r="P3677">
        <v>0</v>
      </c>
      <c r="Q3677">
        <v>1</v>
      </c>
      <c r="R3677" t="s">
        <v>41252</v>
      </c>
      <c r="S3677" t="s">
        <v>41383</v>
      </c>
      <c r="T3677" t="s">
        <v>42757</v>
      </c>
      <c r="U3677" t="s">
        <v>46271</v>
      </c>
      <c r="W3677" t="s">
        <v>38977</v>
      </c>
      <c r="X3677" t="s">
        <v>41254</v>
      </c>
    </row>
    <row r="3678" spans="1:24">
      <c r="A3678">
        <f>HYPERLINK("https://www.philgeps.gov.ph/GEPSNONPILOT/Tender/SplashBidNoticeAbstractUI.aspx?menuIndex=3&amp;refID=7074944&amp;Result=3","7074944")</f>
        <v>0</v>
      </c>
      <c r="B3678" t="s">
        <v>1415</v>
      </c>
      <c r="C3678" t="s">
        <v>6915</v>
      </c>
      <c r="D3678" t="s">
        <v>16684</v>
      </c>
      <c r="E3678" t="s">
        <v>20032</v>
      </c>
      <c r="F3678" t="s">
        <v>28669</v>
      </c>
      <c r="G3678" t="s">
        <v>28676</v>
      </c>
      <c r="H3678" t="s">
        <v>9998</v>
      </c>
      <c r="I3678" t="s">
        <v>5213</v>
      </c>
      <c r="J3678" t="s">
        <v>31224</v>
      </c>
      <c r="K3678" t="s">
        <v>37208</v>
      </c>
      <c r="M3678" t="s">
        <v>38978</v>
      </c>
      <c r="N3678" t="s">
        <v>41249</v>
      </c>
      <c r="O3678" t="s">
        <v>41250</v>
      </c>
      <c r="P3678">
        <v>0</v>
      </c>
      <c r="Q3678">
        <v>1</v>
      </c>
      <c r="R3678" t="s">
        <v>41252</v>
      </c>
      <c r="S3678" t="s">
        <v>41383</v>
      </c>
      <c r="T3678" t="s">
        <v>42736</v>
      </c>
      <c r="U3678" t="s">
        <v>46272</v>
      </c>
      <c r="W3678" t="s">
        <v>38978</v>
      </c>
      <c r="X3678" t="s">
        <v>41254</v>
      </c>
    </row>
    <row r="3679" spans="1:24">
      <c r="A3679">
        <f>HYPERLINK("https://www.philgeps.gov.ph/GEPSNONPILOT/Tender/SplashBidNoticeAbstractUI.aspx?menuIndex=3&amp;refID=7074906&amp;Result=3","7074906")</f>
        <v>0</v>
      </c>
      <c r="B3679" t="s">
        <v>1381</v>
      </c>
      <c r="C3679" t="s">
        <v>6916</v>
      </c>
      <c r="D3679" t="s">
        <v>16683</v>
      </c>
      <c r="E3679" t="s">
        <v>20033</v>
      </c>
      <c r="F3679" t="s">
        <v>28669</v>
      </c>
      <c r="G3679" t="s">
        <v>28682</v>
      </c>
      <c r="H3679" t="s">
        <v>28686</v>
      </c>
      <c r="I3679" t="s">
        <v>28689</v>
      </c>
      <c r="J3679" t="s">
        <v>31225</v>
      </c>
      <c r="K3679" t="s">
        <v>37214</v>
      </c>
      <c r="M3679" t="s">
        <v>38941</v>
      </c>
      <c r="N3679" t="s">
        <v>41249</v>
      </c>
      <c r="O3679" t="s">
        <v>41250</v>
      </c>
      <c r="P3679">
        <v>0</v>
      </c>
      <c r="Q3679">
        <v>0</v>
      </c>
      <c r="R3679" t="s">
        <v>41252</v>
      </c>
      <c r="S3679" t="s">
        <v>41383</v>
      </c>
      <c r="T3679" t="s">
        <v>42688</v>
      </c>
      <c r="U3679" t="s">
        <v>46175</v>
      </c>
      <c r="V3679" t="s">
        <v>54667</v>
      </c>
      <c r="W3679" t="s">
        <v>55951</v>
      </c>
      <c r="X3679" t="s">
        <v>41254</v>
      </c>
    </row>
    <row r="3680" spans="1:24">
      <c r="A3680">
        <f>HYPERLINK("https://www.philgeps.gov.ph/GEPSNONPILOT/Tender/SplashBidNoticeAbstractUI.aspx?menuIndex=3&amp;refID=7074915&amp;Result=3","7074915")</f>
        <v>0</v>
      </c>
      <c r="B3680" t="s">
        <v>1401</v>
      </c>
      <c r="C3680" t="s">
        <v>6917</v>
      </c>
      <c r="D3680" t="s">
        <v>16671</v>
      </c>
      <c r="E3680" t="s">
        <v>20016</v>
      </c>
      <c r="F3680" t="s">
        <v>28669</v>
      </c>
      <c r="G3680" t="s">
        <v>28677</v>
      </c>
      <c r="H3680" t="s">
        <v>9998</v>
      </c>
      <c r="I3680" t="s">
        <v>3718</v>
      </c>
      <c r="J3680" t="s">
        <v>28854</v>
      </c>
      <c r="K3680" t="s">
        <v>37209</v>
      </c>
      <c r="M3680" t="s">
        <v>38964</v>
      </c>
      <c r="N3680" t="s">
        <v>41249</v>
      </c>
      <c r="O3680" t="s">
        <v>41250</v>
      </c>
      <c r="P3680">
        <v>0</v>
      </c>
      <c r="Q3680">
        <v>0</v>
      </c>
      <c r="R3680" t="s">
        <v>41252</v>
      </c>
      <c r="S3680" t="s">
        <v>41383</v>
      </c>
      <c r="T3680" t="s">
        <v>42690</v>
      </c>
      <c r="U3680" t="s">
        <v>46273</v>
      </c>
      <c r="W3680" t="s">
        <v>55952</v>
      </c>
      <c r="X3680" t="s">
        <v>41254</v>
      </c>
    </row>
    <row r="3681" spans="1:24">
      <c r="A3681">
        <f>HYPERLINK("https://www.philgeps.gov.ph/GEPSNONPILOT/Tender/SplashBidNoticeAbstractUI.aspx?menuIndex=3&amp;refID=7074941&amp;Result=3","7074941")</f>
        <v>0</v>
      </c>
      <c r="B3681" t="s">
        <v>273</v>
      </c>
      <c r="C3681" t="s">
        <v>6918</v>
      </c>
      <c r="D3681" t="s">
        <v>16618</v>
      </c>
      <c r="E3681" t="s">
        <v>20034</v>
      </c>
      <c r="F3681" t="s">
        <v>28669</v>
      </c>
      <c r="G3681" t="s">
        <v>28675</v>
      </c>
      <c r="H3681" t="s">
        <v>28686</v>
      </c>
      <c r="I3681" t="s">
        <v>28689</v>
      </c>
      <c r="J3681" t="s">
        <v>31226</v>
      </c>
      <c r="K3681" t="s">
        <v>37206</v>
      </c>
      <c r="M3681" t="s">
        <v>37751</v>
      </c>
      <c r="N3681" t="s">
        <v>41249</v>
      </c>
      <c r="O3681" t="s">
        <v>41250</v>
      </c>
      <c r="P3681">
        <v>0</v>
      </c>
      <c r="Q3681">
        <v>0</v>
      </c>
      <c r="R3681" t="s">
        <v>41252</v>
      </c>
      <c r="S3681" t="s">
        <v>41383</v>
      </c>
      <c r="T3681" t="s">
        <v>42713</v>
      </c>
      <c r="U3681" t="s">
        <v>46274</v>
      </c>
      <c r="W3681" t="s">
        <v>37751</v>
      </c>
      <c r="X3681" t="s">
        <v>41254</v>
      </c>
    </row>
    <row r="3682" spans="1:24">
      <c r="A3682">
        <f>HYPERLINK("https://www.philgeps.gov.ph/GEPSNONPILOT/Tender/SplashBidNoticeAbstractUI.aspx?menuIndex=3&amp;refID=7074882&amp;Result=3","7074882")</f>
        <v>0</v>
      </c>
      <c r="B3682" t="s">
        <v>1334</v>
      </c>
      <c r="C3682" t="s">
        <v>6919</v>
      </c>
      <c r="D3682" t="s">
        <v>16616</v>
      </c>
      <c r="E3682" t="s">
        <v>6919</v>
      </c>
      <c r="F3682" t="s">
        <v>28669</v>
      </c>
      <c r="G3682" t="s">
        <v>28676</v>
      </c>
      <c r="H3682" t="s">
        <v>9998</v>
      </c>
      <c r="I3682" t="s">
        <v>6128</v>
      </c>
      <c r="J3682" t="s">
        <v>31227</v>
      </c>
      <c r="K3682" t="s">
        <v>37209</v>
      </c>
      <c r="M3682" t="s">
        <v>38888</v>
      </c>
      <c r="N3682" t="s">
        <v>41249</v>
      </c>
      <c r="O3682" t="s">
        <v>41250</v>
      </c>
      <c r="P3682">
        <v>0</v>
      </c>
      <c r="Q3682">
        <v>0</v>
      </c>
      <c r="R3682" t="s">
        <v>41252</v>
      </c>
      <c r="S3682" t="s">
        <v>41383</v>
      </c>
      <c r="T3682" t="s">
        <v>42703</v>
      </c>
      <c r="U3682" t="s">
        <v>46275</v>
      </c>
      <c r="W3682" t="s">
        <v>38888</v>
      </c>
      <c r="X3682" t="s">
        <v>41254</v>
      </c>
    </row>
    <row r="3683" spans="1:24">
      <c r="A3683">
        <f>HYPERLINK("https://www.philgeps.gov.ph/GEPSNONPILOT/Tender/SplashBidNoticeAbstractUI.aspx?menuIndex=3&amp;refID=7074940&amp;Result=3","7074940")</f>
        <v>0</v>
      </c>
      <c r="B3683" t="s">
        <v>571</v>
      </c>
      <c r="C3683" t="s">
        <v>6920</v>
      </c>
      <c r="D3683" t="s">
        <v>16661</v>
      </c>
      <c r="E3683" t="s">
        <v>20035</v>
      </c>
      <c r="F3683" t="s">
        <v>28669</v>
      </c>
      <c r="G3683" t="s">
        <v>28675</v>
      </c>
      <c r="H3683" t="s">
        <v>9998</v>
      </c>
      <c r="I3683" t="s">
        <v>7352</v>
      </c>
      <c r="J3683" t="s">
        <v>31228</v>
      </c>
      <c r="K3683" t="s">
        <v>37204</v>
      </c>
      <c r="M3683" t="s">
        <v>38070</v>
      </c>
      <c r="N3683" t="s">
        <v>41249</v>
      </c>
      <c r="O3683" t="s">
        <v>41250</v>
      </c>
      <c r="P3683">
        <v>0</v>
      </c>
      <c r="Q3683">
        <v>1</v>
      </c>
      <c r="R3683" t="s">
        <v>41252</v>
      </c>
      <c r="S3683" t="s">
        <v>41383</v>
      </c>
      <c r="T3683" t="s">
        <v>42683</v>
      </c>
      <c r="U3683" t="s">
        <v>46276</v>
      </c>
      <c r="W3683" t="s">
        <v>38070</v>
      </c>
      <c r="X3683" t="s">
        <v>41254</v>
      </c>
    </row>
    <row r="3684" spans="1:24">
      <c r="A3684">
        <f>HYPERLINK("https://www.philgeps.gov.ph/GEPSNONPILOT/Tender/SplashBidNoticeAbstractUI.aspx?menuIndex=3&amp;refID=7074938&amp;Result=3","7074938")</f>
        <v>0</v>
      </c>
      <c r="B3684" t="s">
        <v>1417</v>
      </c>
      <c r="C3684" t="s">
        <v>6921</v>
      </c>
      <c r="D3684" t="s">
        <v>16668</v>
      </c>
      <c r="E3684" t="s">
        <v>20036</v>
      </c>
      <c r="F3684" t="s">
        <v>28669</v>
      </c>
      <c r="G3684" t="s">
        <v>28675</v>
      </c>
      <c r="H3684" t="s">
        <v>9998</v>
      </c>
      <c r="I3684" t="s">
        <v>28687</v>
      </c>
      <c r="J3684" t="s">
        <v>31229</v>
      </c>
      <c r="K3684" t="s">
        <v>37221</v>
      </c>
      <c r="M3684" t="s">
        <v>38980</v>
      </c>
      <c r="N3684" t="s">
        <v>41249</v>
      </c>
      <c r="O3684" t="s">
        <v>41250</v>
      </c>
      <c r="P3684">
        <v>0</v>
      </c>
      <c r="Q3684">
        <v>8</v>
      </c>
      <c r="R3684" t="s">
        <v>41252</v>
      </c>
      <c r="S3684" t="s">
        <v>41383</v>
      </c>
      <c r="T3684" t="s">
        <v>42693</v>
      </c>
      <c r="U3684" t="s">
        <v>46277</v>
      </c>
      <c r="W3684" t="s">
        <v>38980</v>
      </c>
      <c r="X3684" t="s">
        <v>41254</v>
      </c>
    </row>
    <row r="3685" spans="1:24">
      <c r="A3685">
        <f>HYPERLINK("https://www.philgeps.gov.ph/GEPSNONPILOT/Tender/SplashBidNoticeAbstractUI.aspx?menuIndex=3&amp;refID=7074936&amp;Result=3","7074936")</f>
        <v>0</v>
      </c>
      <c r="B3685" t="s">
        <v>59</v>
      </c>
      <c r="C3685" t="s">
        <v>6922</v>
      </c>
      <c r="D3685" t="s">
        <v>16619</v>
      </c>
      <c r="E3685" t="s">
        <v>20037</v>
      </c>
      <c r="F3685" t="s">
        <v>28669</v>
      </c>
      <c r="G3685" t="s">
        <v>28676</v>
      </c>
      <c r="H3685" t="s">
        <v>9998</v>
      </c>
      <c r="I3685" t="s">
        <v>28712</v>
      </c>
      <c r="J3685" t="s">
        <v>28894</v>
      </c>
      <c r="K3685" t="s">
        <v>37209</v>
      </c>
      <c r="M3685" t="s">
        <v>37534</v>
      </c>
      <c r="N3685" t="s">
        <v>41249</v>
      </c>
      <c r="O3685" t="s">
        <v>41250</v>
      </c>
      <c r="P3685">
        <v>0</v>
      </c>
      <c r="Q3685">
        <v>1</v>
      </c>
      <c r="R3685" t="s">
        <v>41252</v>
      </c>
      <c r="S3685" t="s">
        <v>41383</v>
      </c>
      <c r="T3685" t="s">
        <v>42758</v>
      </c>
      <c r="U3685" t="s">
        <v>45051</v>
      </c>
      <c r="W3685" t="s">
        <v>37534</v>
      </c>
      <c r="X3685" t="s">
        <v>41254</v>
      </c>
    </row>
    <row r="3686" spans="1:24">
      <c r="A3686">
        <f>HYPERLINK("https://www.philgeps.gov.ph/GEPSNONPILOT/Tender/SplashBidNoticeAbstractUI.aspx?menuIndex=3&amp;refID=7074946&amp;Result=3","7074946")</f>
        <v>0</v>
      </c>
      <c r="B3686" t="s">
        <v>408</v>
      </c>
      <c r="C3686" t="s">
        <v>6923</v>
      </c>
      <c r="D3686" t="s">
        <v>16673</v>
      </c>
      <c r="E3686" t="s">
        <v>20038</v>
      </c>
      <c r="F3686" t="s">
        <v>28669</v>
      </c>
      <c r="G3686" t="s">
        <v>28676</v>
      </c>
      <c r="H3686" t="s">
        <v>9998</v>
      </c>
      <c r="I3686" t="s">
        <v>3718</v>
      </c>
      <c r="J3686" t="s">
        <v>31230</v>
      </c>
      <c r="K3686" t="s">
        <v>37209</v>
      </c>
      <c r="M3686" t="s">
        <v>37893</v>
      </c>
      <c r="N3686" t="s">
        <v>41249</v>
      </c>
      <c r="O3686" t="s">
        <v>41250</v>
      </c>
      <c r="P3686">
        <v>0</v>
      </c>
      <c r="Q3686">
        <v>2</v>
      </c>
      <c r="R3686" t="s">
        <v>41252</v>
      </c>
      <c r="S3686" t="s">
        <v>41383</v>
      </c>
      <c r="T3686" t="s">
        <v>42701</v>
      </c>
      <c r="U3686" t="s">
        <v>46278</v>
      </c>
      <c r="V3686" t="s">
        <v>54668</v>
      </c>
      <c r="W3686" t="s">
        <v>37893</v>
      </c>
      <c r="X3686" t="s">
        <v>41254</v>
      </c>
    </row>
    <row r="3687" spans="1:24">
      <c r="A3687">
        <f>HYPERLINK("https://www.philgeps.gov.ph/GEPSNONPILOT/Tender/SplashBidNoticeAbstractUI.aspx?menuIndex=3&amp;refID=7074935&amp;Result=3","7074935")</f>
        <v>0</v>
      </c>
      <c r="B3687" t="s">
        <v>748</v>
      </c>
      <c r="C3687" t="s">
        <v>6924</v>
      </c>
      <c r="D3687" t="s">
        <v>16629</v>
      </c>
      <c r="E3687" t="s">
        <v>20039</v>
      </c>
      <c r="F3687" t="s">
        <v>28669</v>
      </c>
      <c r="G3687" t="s">
        <v>28676</v>
      </c>
      <c r="H3687" t="s">
        <v>9998</v>
      </c>
      <c r="I3687" t="s">
        <v>28722</v>
      </c>
      <c r="J3687" t="s">
        <v>29083</v>
      </c>
      <c r="K3687" t="s">
        <v>37206</v>
      </c>
      <c r="M3687" t="s">
        <v>38258</v>
      </c>
      <c r="N3687" t="s">
        <v>41249</v>
      </c>
      <c r="O3687" t="s">
        <v>41250</v>
      </c>
      <c r="P3687">
        <v>0</v>
      </c>
      <c r="Q3687">
        <v>2</v>
      </c>
      <c r="R3687" t="s">
        <v>41252</v>
      </c>
      <c r="S3687" t="s">
        <v>41383</v>
      </c>
      <c r="T3687" t="s">
        <v>42754</v>
      </c>
      <c r="U3687" t="s">
        <v>46279</v>
      </c>
      <c r="V3687" t="s">
        <v>54669</v>
      </c>
      <c r="W3687" t="s">
        <v>38258</v>
      </c>
      <c r="X3687" t="s">
        <v>41254</v>
      </c>
    </row>
    <row r="3688" spans="1:24">
      <c r="A3688">
        <f>HYPERLINK("https://www.philgeps.gov.ph/GEPSNONPILOT/Tender/SplashBidNoticeAbstractUI.aspx?menuIndex=3&amp;refID=7074933&amp;Result=3","7074933")</f>
        <v>0</v>
      </c>
      <c r="B3688" t="s">
        <v>1418</v>
      </c>
      <c r="C3688" t="s">
        <v>6925</v>
      </c>
      <c r="D3688" t="s">
        <v>16664</v>
      </c>
      <c r="E3688" t="s">
        <v>18520</v>
      </c>
      <c r="F3688" t="s">
        <v>28669</v>
      </c>
      <c r="G3688" t="s">
        <v>28676</v>
      </c>
      <c r="H3688" t="s">
        <v>9998</v>
      </c>
      <c r="I3688" t="s">
        <v>28790</v>
      </c>
      <c r="J3688" t="s">
        <v>29189</v>
      </c>
      <c r="K3688" t="s">
        <v>37205</v>
      </c>
      <c r="M3688" t="s">
        <v>38981</v>
      </c>
      <c r="N3688" t="s">
        <v>41249</v>
      </c>
      <c r="O3688" t="s">
        <v>41250</v>
      </c>
      <c r="P3688">
        <v>0</v>
      </c>
      <c r="Q3688">
        <v>0</v>
      </c>
      <c r="R3688" t="s">
        <v>41252</v>
      </c>
      <c r="S3688" t="s">
        <v>41383</v>
      </c>
      <c r="T3688" t="s">
        <v>42665</v>
      </c>
      <c r="U3688" t="s">
        <v>46280</v>
      </c>
      <c r="W3688" t="s">
        <v>38981</v>
      </c>
      <c r="X3688" t="s">
        <v>41254</v>
      </c>
    </row>
    <row r="3689" spans="1:24">
      <c r="A3689">
        <f>HYPERLINK("https://www.philgeps.gov.ph/GEPSNONPILOT/Tender/SplashBidNoticeAbstractUI.aspx?menuIndex=3&amp;refID=7074943&amp;Result=3","7074943")</f>
        <v>0</v>
      </c>
      <c r="B3689" t="s">
        <v>1396</v>
      </c>
      <c r="C3689" t="s">
        <v>6926</v>
      </c>
      <c r="D3689" t="s">
        <v>16608</v>
      </c>
      <c r="E3689" t="s">
        <v>20040</v>
      </c>
      <c r="F3689" t="s">
        <v>28669</v>
      </c>
      <c r="G3689" t="s">
        <v>28677</v>
      </c>
      <c r="H3689" t="s">
        <v>9998</v>
      </c>
      <c r="I3689" t="s">
        <v>6128</v>
      </c>
      <c r="J3689" t="s">
        <v>29003</v>
      </c>
      <c r="K3689" t="s">
        <v>37229</v>
      </c>
      <c r="M3689" t="s">
        <v>38958</v>
      </c>
      <c r="N3689" t="s">
        <v>41249</v>
      </c>
      <c r="O3689" t="s">
        <v>41250</v>
      </c>
      <c r="P3689">
        <v>0</v>
      </c>
      <c r="Q3689">
        <v>15</v>
      </c>
      <c r="R3689" t="s">
        <v>41252</v>
      </c>
      <c r="S3689" t="s">
        <v>41383</v>
      </c>
      <c r="T3689" t="s">
        <v>42694</v>
      </c>
      <c r="U3689" t="s">
        <v>46281</v>
      </c>
      <c r="W3689" t="s">
        <v>38958</v>
      </c>
      <c r="X3689" t="s">
        <v>41254</v>
      </c>
    </row>
    <row r="3690" spans="1:24">
      <c r="A3690">
        <f>HYPERLINK("https://www.philgeps.gov.ph/GEPSNONPILOT/Tender/SplashBidNoticeAbstractUI.aspx?menuIndex=3&amp;refID=7074932&amp;Result=3","7074932")</f>
        <v>0</v>
      </c>
      <c r="B3690" t="s">
        <v>133</v>
      </c>
      <c r="C3690" t="s">
        <v>6927</v>
      </c>
      <c r="E3690" t="s">
        <v>20041</v>
      </c>
      <c r="F3690" t="s">
        <v>28669</v>
      </c>
      <c r="G3690" t="s">
        <v>28676</v>
      </c>
      <c r="H3690" t="s">
        <v>9998</v>
      </c>
      <c r="I3690" t="s">
        <v>5286</v>
      </c>
      <c r="J3690" t="s">
        <v>31231</v>
      </c>
      <c r="K3690" t="s">
        <v>37210</v>
      </c>
      <c r="M3690" t="s">
        <v>37610</v>
      </c>
      <c r="N3690" t="s">
        <v>41249</v>
      </c>
      <c r="O3690" t="s">
        <v>41250</v>
      </c>
      <c r="P3690">
        <v>0</v>
      </c>
      <c r="Q3690">
        <v>2</v>
      </c>
      <c r="R3690" t="s">
        <v>41252</v>
      </c>
      <c r="S3690" t="s">
        <v>41383</v>
      </c>
      <c r="T3690" t="s">
        <v>42783</v>
      </c>
      <c r="U3690" t="s">
        <v>46282</v>
      </c>
      <c r="V3690" t="s">
        <v>54670</v>
      </c>
      <c r="W3690" t="s">
        <v>37610</v>
      </c>
      <c r="X3690" t="s">
        <v>41254</v>
      </c>
    </row>
    <row r="3691" spans="1:24">
      <c r="A3691">
        <f>HYPERLINK("https://www.philgeps.gov.ph/GEPSNONPILOT/Tender/SplashBidNoticeAbstractUI.aspx?menuIndex=3&amp;refID=7074931&amp;Result=3","7074931")</f>
        <v>0</v>
      </c>
      <c r="B3691" t="s">
        <v>382</v>
      </c>
      <c r="C3691" t="s">
        <v>6928</v>
      </c>
      <c r="D3691" t="s">
        <v>16664</v>
      </c>
      <c r="E3691" t="s">
        <v>20042</v>
      </c>
      <c r="F3691" t="s">
        <v>28669</v>
      </c>
      <c r="G3691" t="s">
        <v>28675</v>
      </c>
      <c r="H3691" t="s">
        <v>28686</v>
      </c>
      <c r="I3691" t="s">
        <v>28689</v>
      </c>
      <c r="J3691" t="s">
        <v>31232</v>
      </c>
      <c r="K3691" t="s">
        <v>37209</v>
      </c>
      <c r="M3691" t="s">
        <v>37864</v>
      </c>
      <c r="N3691" t="s">
        <v>41249</v>
      </c>
      <c r="O3691" t="s">
        <v>41250</v>
      </c>
      <c r="P3691">
        <v>0</v>
      </c>
      <c r="Q3691">
        <v>0</v>
      </c>
      <c r="R3691" t="s">
        <v>41252</v>
      </c>
      <c r="S3691" t="s">
        <v>41383</v>
      </c>
      <c r="T3691" t="s">
        <v>42739</v>
      </c>
      <c r="U3691" t="s">
        <v>46283</v>
      </c>
      <c r="W3691" t="s">
        <v>37864</v>
      </c>
      <c r="X3691" t="s">
        <v>41254</v>
      </c>
    </row>
    <row r="3692" spans="1:24">
      <c r="A3692">
        <f>HYPERLINK("https://www.philgeps.gov.ph/GEPSNONPILOT/Tender/SplashBidNoticeAbstractUI.aspx?menuIndex=3&amp;refID=7074939&amp;Result=3","7074939")</f>
        <v>0</v>
      </c>
      <c r="B3692" t="s">
        <v>1419</v>
      </c>
      <c r="C3692" t="s">
        <v>6929</v>
      </c>
      <c r="D3692" t="s">
        <v>16671</v>
      </c>
      <c r="E3692" t="s">
        <v>20043</v>
      </c>
      <c r="F3692" t="s">
        <v>28669</v>
      </c>
      <c r="G3692" t="s">
        <v>28676</v>
      </c>
      <c r="H3692" t="s">
        <v>9998</v>
      </c>
      <c r="I3692" t="s">
        <v>15140</v>
      </c>
      <c r="J3692" t="s">
        <v>29040</v>
      </c>
      <c r="K3692" t="s">
        <v>37204</v>
      </c>
      <c r="M3692" t="s">
        <v>38982</v>
      </c>
      <c r="N3692" t="s">
        <v>41249</v>
      </c>
      <c r="O3692" t="s">
        <v>41250</v>
      </c>
      <c r="P3692">
        <v>0</v>
      </c>
      <c r="Q3692">
        <v>0</v>
      </c>
      <c r="R3692" t="s">
        <v>41252</v>
      </c>
      <c r="S3692" t="s">
        <v>41383</v>
      </c>
      <c r="T3692" t="s">
        <v>42759</v>
      </c>
      <c r="U3692" t="s">
        <v>46284</v>
      </c>
      <c r="W3692" t="s">
        <v>38982</v>
      </c>
      <c r="X3692" t="s">
        <v>41254</v>
      </c>
    </row>
    <row r="3693" spans="1:24">
      <c r="A3693">
        <f>HYPERLINK("https://www.philgeps.gov.ph/GEPSNONPILOT/Tender/SplashBidNoticeAbstractUI.aspx?menuIndex=3&amp;refID=7074927&amp;Result=3","7074927")</f>
        <v>0</v>
      </c>
      <c r="B3693" t="s">
        <v>1420</v>
      </c>
      <c r="C3693" t="s">
        <v>6930</v>
      </c>
      <c r="D3693" t="s">
        <v>16673</v>
      </c>
      <c r="E3693" t="s">
        <v>20044</v>
      </c>
      <c r="F3693" t="s">
        <v>28669</v>
      </c>
      <c r="G3693" t="s">
        <v>28677</v>
      </c>
      <c r="H3693" t="s">
        <v>9998</v>
      </c>
      <c r="I3693" t="s">
        <v>28697</v>
      </c>
      <c r="J3693" t="s">
        <v>28851</v>
      </c>
      <c r="K3693" t="s">
        <v>37206</v>
      </c>
      <c r="M3693" t="s">
        <v>38983</v>
      </c>
      <c r="N3693" t="s">
        <v>41249</v>
      </c>
      <c r="O3693" t="s">
        <v>41250</v>
      </c>
      <c r="P3693">
        <v>0</v>
      </c>
      <c r="Q3693">
        <v>5</v>
      </c>
      <c r="R3693" t="s">
        <v>41252</v>
      </c>
      <c r="S3693" t="s">
        <v>41383</v>
      </c>
      <c r="T3693" t="s">
        <v>42665</v>
      </c>
      <c r="U3693" t="s">
        <v>46285</v>
      </c>
      <c r="W3693" t="s">
        <v>38983</v>
      </c>
      <c r="X3693" t="s">
        <v>41254</v>
      </c>
    </row>
    <row r="3694" spans="1:24">
      <c r="A3694">
        <f>HYPERLINK("https://www.philgeps.gov.ph/GEPSNONPILOT/Tender/SplashBidNoticeAbstractUI.aspx?menuIndex=3&amp;refID=7074904&amp;Result=3","7074904")</f>
        <v>0</v>
      </c>
      <c r="B3694" t="s">
        <v>234</v>
      </c>
      <c r="C3694" t="s">
        <v>6931</v>
      </c>
      <c r="D3694" t="s">
        <v>16675</v>
      </c>
      <c r="E3694" t="s">
        <v>20045</v>
      </c>
      <c r="F3694" t="s">
        <v>28669</v>
      </c>
      <c r="G3694" t="s">
        <v>28676</v>
      </c>
      <c r="H3694" t="s">
        <v>9998</v>
      </c>
      <c r="I3694" t="s">
        <v>7352</v>
      </c>
      <c r="J3694" t="s">
        <v>29812</v>
      </c>
      <c r="K3694" t="s">
        <v>37206</v>
      </c>
      <c r="M3694" t="s">
        <v>37712</v>
      </c>
      <c r="N3694" t="s">
        <v>41249</v>
      </c>
      <c r="O3694" t="s">
        <v>41250</v>
      </c>
      <c r="P3694">
        <v>0</v>
      </c>
      <c r="Q3694">
        <v>0</v>
      </c>
      <c r="R3694" t="s">
        <v>41252</v>
      </c>
      <c r="S3694" t="s">
        <v>41383</v>
      </c>
      <c r="T3694" t="s">
        <v>42717</v>
      </c>
      <c r="U3694" t="s">
        <v>43559</v>
      </c>
      <c r="W3694" t="s">
        <v>37712</v>
      </c>
      <c r="X3694" t="s">
        <v>41254</v>
      </c>
    </row>
    <row r="3695" spans="1:24">
      <c r="A3695">
        <f>HYPERLINK("https://www.philgeps.gov.ph/GEPSNONPILOT/Tender/SplashBidNoticeAbstractUI.aspx?menuIndex=3&amp;refID=7074902&amp;Result=3","7074902")</f>
        <v>0</v>
      </c>
      <c r="B3695" t="s">
        <v>1395</v>
      </c>
      <c r="C3695" t="s">
        <v>6932</v>
      </c>
      <c r="D3695" t="s">
        <v>16657</v>
      </c>
      <c r="E3695" t="s">
        <v>20046</v>
      </c>
      <c r="F3695" t="s">
        <v>28669</v>
      </c>
      <c r="G3695" t="s">
        <v>28675</v>
      </c>
      <c r="H3695" t="s">
        <v>9998</v>
      </c>
      <c r="I3695" t="s">
        <v>28697</v>
      </c>
      <c r="J3695" t="s">
        <v>31233</v>
      </c>
      <c r="K3695" t="s">
        <v>37205</v>
      </c>
      <c r="M3695" t="s">
        <v>38957</v>
      </c>
      <c r="N3695" t="s">
        <v>41249</v>
      </c>
      <c r="O3695" t="s">
        <v>41250</v>
      </c>
      <c r="P3695">
        <v>0</v>
      </c>
      <c r="Q3695">
        <v>0</v>
      </c>
      <c r="R3695" t="s">
        <v>41252</v>
      </c>
      <c r="S3695" t="s">
        <v>41383</v>
      </c>
      <c r="T3695" t="s">
        <v>42679</v>
      </c>
      <c r="U3695" t="s">
        <v>46286</v>
      </c>
      <c r="V3695" t="s">
        <v>54671</v>
      </c>
      <c r="W3695" t="s">
        <v>38957</v>
      </c>
      <c r="X3695" t="s">
        <v>41254</v>
      </c>
    </row>
    <row r="3696" spans="1:24">
      <c r="A3696">
        <f>HYPERLINK("https://www.philgeps.gov.ph/GEPSNONPILOT/Tender/SplashBidNoticeAbstractUI.aspx?menuIndex=3&amp;refID=7074934&amp;Result=3","7074934")</f>
        <v>0</v>
      </c>
      <c r="B3696" t="s">
        <v>1421</v>
      </c>
      <c r="C3696" t="s">
        <v>6933</v>
      </c>
      <c r="D3696" t="s">
        <v>16619</v>
      </c>
      <c r="E3696" t="s">
        <v>20047</v>
      </c>
      <c r="F3696" t="s">
        <v>28669</v>
      </c>
      <c r="G3696" t="s">
        <v>28676</v>
      </c>
      <c r="H3696" t="s">
        <v>9998</v>
      </c>
      <c r="I3696" t="s">
        <v>6128</v>
      </c>
      <c r="J3696" t="s">
        <v>31234</v>
      </c>
      <c r="K3696" t="s">
        <v>37205</v>
      </c>
      <c r="M3696" t="s">
        <v>38984</v>
      </c>
      <c r="N3696" t="s">
        <v>41249</v>
      </c>
      <c r="O3696" t="s">
        <v>41250</v>
      </c>
      <c r="P3696">
        <v>0</v>
      </c>
      <c r="Q3696">
        <v>0</v>
      </c>
      <c r="R3696" t="s">
        <v>41252</v>
      </c>
      <c r="S3696" t="s">
        <v>41383</v>
      </c>
      <c r="T3696" t="s">
        <v>42701</v>
      </c>
      <c r="U3696" t="s">
        <v>46287</v>
      </c>
      <c r="W3696" t="s">
        <v>38984</v>
      </c>
      <c r="X3696" t="s">
        <v>41254</v>
      </c>
    </row>
    <row r="3697" spans="1:24">
      <c r="A3697">
        <f>HYPERLINK("https://www.philgeps.gov.ph/GEPSNONPILOT/Tender/SplashBidNoticeAbstractUI.aspx?menuIndex=3&amp;refID=7074884&amp;Result=3","7074884")</f>
        <v>0</v>
      </c>
      <c r="B3697" t="s">
        <v>334</v>
      </c>
      <c r="C3697" t="s">
        <v>6934</v>
      </c>
      <c r="D3697" t="s">
        <v>16637</v>
      </c>
      <c r="E3697" t="s">
        <v>17296</v>
      </c>
      <c r="F3697" t="s">
        <v>28669</v>
      </c>
      <c r="G3697" t="s">
        <v>28676</v>
      </c>
      <c r="H3697" t="s">
        <v>9998</v>
      </c>
      <c r="I3697" t="s">
        <v>6606</v>
      </c>
      <c r="J3697" t="s">
        <v>30103</v>
      </c>
      <c r="K3697" t="s">
        <v>37206</v>
      </c>
      <c r="M3697" t="s">
        <v>37814</v>
      </c>
      <c r="N3697" t="s">
        <v>41249</v>
      </c>
      <c r="O3697" t="s">
        <v>41250</v>
      </c>
      <c r="P3697">
        <v>0</v>
      </c>
      <c r="Q3697">
        <v>0</v>
      </c>
      <c r="R3697" t="s">
        <v>41252</v>
      </c>
      <c r="S3697" t="s">
        <v>41383</v>
      </c>
      <c r="T3697" t="s">
        <v>42736</v>
      </c>
      <c r="U3697" t="s">
        <v>46288</v>
      </c>
      <c r="W3697" t="s">
        <v>37814</v>
      </c>
      <c r="X3697" t="s">
        <v>41254</v>
      </c>
    </row>
    <row r="3698" spans="1:24">
      <c r="A3698">
        <f>HYPERLINK("https://www.philgeps.gov.ph/GEPSNONPILOT/Tender/SplashBidNoticeAbstractUI.aspx?menuIndex=3&amp;refID=7074951&amp;Result=3","7074951")</f>
        <v>0</v>
      </c>
      <c r="B3698" t="s">
        <v>1021</v>
      </c>
      <c r="C3698" t="s">
        <v>5696</v>
      </c>
      <c r="D3698" t="s">
        <v>16646</v>
      </c>
      <c r="E3698" t="s">
        <v>20048</v>
      </c>
      <c r="F3698" t="s">
        <v>28669</v>
      </c>
      <c r="G3698" t="s">
        <v>28677</v>
      </c>
      <c r="H3698" t="s">
        <v>9998</v>
      </c>
      <c r="I3698" t="s">
        <v>28690</v>
      </c>
      <c r="J3698" t="s">
        <v>31235</v>
      </c>
      <c r="K3698" t="s">
        <v>37234</v>
      </c>
      <c r="M3698" t="s">
        <v>38551</v>
      </c>
      <c r="N3698" t="s">
        <v>41249</v>
      </c>
      <c r="O3698" t="s">
        <v>41250</v>
      </c>
      <c r="P3698">
        <v>0</v>
      </c>
      <c r="Q3698">
        <v>0</v>
      </c>
      <c r="R3698" t="s">
        <v>41252</v>
      </c>
      <c r="S3698" t="s">
        <v>41383</v>
      </c>
      <c r="T3698" t="s">
        <v>42727</v>
      </c>
      <c r="U3698" t="s">
        <v>46289</v>
      </c>
      <c r="W3698" t="s">
        <v>38551</v>
      </c>
      <c r="X3698" t="s">
        <v>41254</v>
      </c>
    </row>
    <row r="3699" spans="1:24">
      <c r="A3699">
        <f>HYPERLINK("https://www.philgeps.gov.ph/GEPSNONPILOT/Tender/SplashBidNoticeAbstractUI.aspx?menuIndex=3&amp;refID=7074979&amp;Result=3","7074979")</f>
        <v>0</v>
      </c>
      <c r="B3699" t="s">
        <v>532</v>
      </c>
      <c r="C3699" t="s">
        <v>5782</v>
      </c>
      <c r="D3699" t="s">
        <v>16675</v>
      </c>
      <c r="E3699" t="s">
        <v>20049</v>
      </c>
      <c r="F3699" t="s">
        <v>28669</v>
      </c>
      <c r="G3699" t="s">
        <v>28676</v>
      </c>
      <c r="H3699" t="s">
        <v>9998</v>
      </c>
      <c r="I3699" t="s">
        <v>5213</v>
      </c>
      <c r="J3699" t="s">
        <v>28905</v>
      </c>
      <c r="K3699" t="s">
        <v>37205</v>
      </c>
      <c r="M3699" t="s">
        <v>38599</v>
      </c>
      <c r="N3699" t="s">
        <v>41249</v>
      </c>
      <c r="O3699" t="s">
        <v>41250</v>
      </c>
      <c r="P3699">
        <v>0</v>
      </c>
      <c r="Q3699">
        <v>1</v>
      </c>
      <c r="R3699" t="s">
        <v>41252</v>
      </c>
      <c r="S3699" t="s">
        <v>41383</v>
      </c>
      <c r="T3699" t="s">
        <v>42743</v>
      </c>
      <c r="U3699" t="s">
        <v>46290</v>
      </c>
      <c r="W3699" t="s">
        <v>38599</v>
      </c>
      <c r="X3699" t="s">
        <v>41254</v>
      </c>
    </row>
    <row r="3700" spans="1:24">
      <c r="A3700">
        <f>HYPERLINK("https://www.philgeps.gov.ph/GEPSNONPILOT/Tender/SplashBidNoticeAbstractUI.aspx?menuIndex=3&amp;refID=7074978&amp;Result=3","7074978")</f>
        <v>0</v>
      </c>
      <c r="B3700" t="s">
        <v>1389</v>
      </c>
      <c r="C3700" t="s">
        <v>6935</v>
      </c>
      <c r="D3700" t="s">
        <v>16617</v>
      </c>
      <c r="E3700" t="s">
        <v>20050</v>
      </c>
      <c r="F3700" t="s">
        <v>28669</v>
      </c>
      <c r="G3700" t="s">
        <v>28675</v>
      </c>
      <c r="H3700" t="s">
        <v>9998</v>
      </c>
      <c r="I3700" t="s">
        <v>28779</v>
      </c>
      <c r="J3700" t="s">
        <v>31236</v>
      </c>
      <c r="K3700" t="s">
        <v>37206</v>
      </c>
      <c r="M3700" t="s">
        <v>38951</v>
      </c>
      <c r="N3700" t="s">
        <v>41249</v>
      </c>
      <c r="O3700" t="s">
        <v>41250</v>
      </c>
      <c r="P3700">
        <v>0</v>
      </c>
      <c r="Q3700">
        <v>1</v>
      </c>
      <c r="R3700" t="s">
        <v>41252</v>
      </c>
      <c r="S3700" t="s">
        <v>41383</v>
      </c>
      <c r="T3700" t="s">
        <v>42782</v>
      </c>
      <c r="U3700" t="s">
        <v>46193</v>
      </c>
      <c r="W3700" t="s">
        <v>38951</v>
      </c>
      <c r="X3700" t="s">
        <v>41254</v>
      </c>
    </row>
    <row r="3701" spans="1:24">
      <c r="A3701">
        <f>HYPERLINK("https://www.philgeps.gov.ph/GEPSNONPILOT/Tender/SplashBidNoticeAbstractUI.aspx?menuIndex=3&amp;refID=7074977&amp;Result=3","7074977")</f>
        <v>0</v>
      </c>
      <c r="B3701" t="s">
        <v>1422</v>
      </c>
      <c r="C3701" t="s">
        <v>6936</v>
      </c>
      <c r="D3701" t="s">
        <v>16657</v>
      </c>
      <c r="E3701" t="s">
        <v>17244</v>
      </c>
      <c r="F3701" t="s">
        <v>28669</v>
      </c>
      <c r="G3701" t="s">
        <v>28675</v>
      </c>
      <c r="H3701" t="s">
        <v>9998</v>
      </c>
      <c r="I3701" t="s">
        <v>7352</v>
      </c>
      <c r="J3701" t="s">
        <v>28826</v>
      </c>
      <c r="K3701" t="s">
        <v>37210</v>
      </c>
      <c r="L3701" t="s">
        <v>1422</v>
      </c>
      <c r="M3701" t="s">
        <v>38985</v>
      </c>
      <c r="N3701" t="s">
        <v>41249</v>
      </c>
      <c r="O3701" t="s">
        <v>41250</v>
      </c>
      <c r="P3701">
        <v>0</v>
      </c>
      <c r="Q3701">
        <v>3</v>
      </c>
      <c r="R3701" t="s">
        <v>41252</v>
      </c>
      <c r="S3701" t="s">
        <v>41383</v>
      </c>
      <c r="T3701" t="s">
        <v>42714</v>
      </c>
      <c r="U3701" t="s">
        <v>46291</v>
      </c>
      <c r="W3701" t="s">
        <v>38985</v>
      </c>
      <c r="X3701" t="s">
        <v>41254</v>
      </c>
    </row>
    <row r="3702" spans="1:24">
      <c r="A3702">
        <f>HYPERLINK("https://www.philgeps.gov.ph/GEPSNONPILOT/Tender/SplashBidNoticeAbstractUI.aspx?menuIndex=3&amp;refID=7074975&amp;Result=3","7074975")</f>
        <v>0</v>
      </c>
      <c r="B3702" t="s">
        <v>850</v>
      </c>
      <c r="C3702" t="s">
        <v>6937</v>
      </c>
      <c r="D3702" t="s">
        <v>16686</v>
      </c>
      <c r="E3702" t="s">
        <v>20051</v>
      </c>
      <c r="F3702" t="s">
        <v>28669</v>
      </c>
      <c r="G3702" t="s">
        <v>28675</v>
      </c>
      <c r="H3702" t="s">
        <v>28686</v>
      </c>
      <c r="I3702" t="s">
        <v>28689</v>
      </c>
      <c r="J3702" t="s">
        <v>29003</v>
      </c>
      <c r="K3702" t="s">
        <v>37209</v>
      </c>
      <c r="M3702" t="s">
        <v>38366</v>
      </c>
      <c r="N3702" t="s">
        <v>41249</v>
      </c>
      <c r="O3702" t="s">
        <v>41250</v>
      </c>
      <c r="P3702">
        <v>0</v>
      </c>
      <c r="Q3702">
        <v>0</v>
      </c>
      <c r="R3702" t="s">
        <v>41252</v>
      </c>
      <c r="S3702" t="s">
        <v>41383</v>
      </c>
      <c r="T3702" t="s">
        <v>42696</v>
      </c>
      <c r="U3702" t="s">
        <v>46292</v>
      </c>
      <c r="W3702" t="s">
        <v>38366</v>
      </c>
      <c r="X3702" t="s">
        <v>41254</v>
      </c>
    </row>
    <row r="3703" spans="1:24">
      <c r="A3703">
        <f>HYPERLINK("https://www.philgeps.gov.ph/GEPSNONPILOT/Tender/SplashBidNoticeAbstractUI.aspx?menuIndex=3&amp;refID=7074903&amp;Result=3","7074903")</f>
        <v>0</v>
      </c>
      <c r="B3703" t="s">
        <v>334</v>
      </c>
      <c r="C3703" t="s">
        <v>6938</v>
      </c>
      <c r="D3703" t="s">
        <v>16637</v>
      </c>
      <c r="E3703" t="s">
        <v>20052</v>
      </c>
      <c r="F3703" t="s">
        <v>28669</v>
      </c>
      <c r="G3703" t="s">
        <v>28676</v>
      </c>
      <c r="H3703" t="s">
        <v>9998</v>
      </c>
      <c r="I3703" t="s">
        <v>28721</v>
      </c>
      <c r="J3703" t="s">
        <v>31237</v>
      </c>
      <c r="K3703" t="s">
        <v>37206</v>
      </c>
      <c r="M3703" t="s">
        <v>37814</v>
      </c>
      <c r="N3703" t="s">
        <v>41249</v>
      </c>
      <c r="O3703" t="s">
        <v>41250</v>
      </c>
      <c r="P3703">
        <v>0</v>
      </c>
      <c r="Q3703">
        <v>0</v>
      </c>
      <c r="R3703" t="s">
        <v>41252</v>
      </c>
      <c r="S3703" t="s">
        <v>41383</v>
      </c>
      <c r="T3703" t="s">
        <v>42736</v>
      </c>
      <c r="U3703" t="s">
        <v>46293</v>
      </c>
      <c r="W3703" t="s">
        <v>37814</v>
      </c>
      <c r="X3703" t="s">
        <v>41254</v>
      </c>
    </row>
    <row r="3704" spans="1:24">
      <c r="A3704">
        <f>HYPERLINK("https://www.philgeps.gov.ph/GEPSNONPILOT/Tender/SplashBidNoticeAbstractUI.aspx?menuIndex=3&amp;refID=7074948&amp;Result=3","7074948")</f>
        <v>0</v>
      </c>
      <c r="B3704" t="s">
        <v>452</v>
      </c>
      <c r="C3704" t="s">
        <v>6939</v>
      </c>
      <c r="D3704" t="s">
        <v>16608</v>
      </c>
      <c r="E3704" t="s">
        <v>20053</v>
      </c>
      <c r="F3704" t="s">
        <v>28669</v>
      </c>
      <c r="G3704" t="s">
        <v>28678</v>
      </c>
      <c r="H3704" t="s">
        <v>9998</v>
      </c>
      <c r="I3704" t="s">
        <v>11593</v>
      </c>
      <c r="J3704" t="s">
        <v>29040</v>
      </c>
      <c r="K3704" t="s">
        <v>37205</v>
      </c>
      <c r="M3704" t="s">
        <v>38261</v>
      </c>
      <c r="N3704" t="s">
        <v>41249</v>
      </c>
      <c r="O3704" t="s">
        <v>41250</v>
      </c>
      <c r="P3704">
        <v>0</v>
      </c>
      <c r="Q3704">
        <v>16</v>
      </c>
      <c r="R3704" t="s">
        <v>41252</v>
      </c>
      <c r="S3704" t="s">
        <v>41383</v>
      </c>
      <c r="T3704" t="s">
        <v>42683</v>
      </c>
      <c r="U3704" t="s">
        <v>44649</v>
      </c>
      <c r="W3704" t="s">
        <v>38261</v>
      </c>
      <c r="X3704" t="s">
        <v>41254</v>
      </c>
    </row>
    <row r="3705" spans="1:24">
      <c r="A3705">
        <f>HYPERLINK("https://www.philgeps.gov.ph/GEPSNONPILOT/Tender/SplashBidNoticeAbstractUI.aspx?menuIndex=3&amp;refID=7074970&amp;Result=3","7074970")</f>
        <v>0</v>
      </c>
      <c r="B3705" t="s">
        <v>1413</v>
      </c>
      <c r="C3705" t="s">
        <v>6940</v>
      </c>
      <c r="D3705" t="s">
        <v>16618</v>
      </c>
      <c r="E3705" t="s">
        <v>20054</v>
      </c>
      <c r="F3705" t="s">
        <v>28669</v>
      </c>
      <c r="G3705" t="s">
        <v>28676</v>
      </c>
      <c r="H3705" t="s">
        <v>9998</v>
      </c>
      <c r="I3705" t="s">
        <v>3679</v>
      </c>
      <c r="J3705" t="s">
        <v>30587</v>
      </c>
      <c r="K3705" t="s">
        <v>37216</v>
      </c>
      <c r="M3705" t="s">
        <v>38976</v>
      </c>
      <c r="N3705" t="s">
        <v>41249</v>
      </c>
      <c r="O3705" t="s">
        <v>41250</v>
      </c>
      <c r="P3705">
        <v>0</v>
      </c>
      <c r="Q3705">
        <v>0</v>
      </c>
      <c r="R3705" t="s">
        <v>41252</v>
      </c>
      <c r="S3705" t="s">
        <v>41383</v>
      </c>
      <c r="T3705" t="s">
        <v>42758</v>
      </c>
      <c r="U3705" t="s">
        <v>46294</v>
      </c>
      <c r="V3705" t="s">
        <v>54672</v>
      </c>
      <c r="W3705" t="s">
        <v>38976</v>
      </c>
      <c r="X3705" t="s">
        <v>41254</v>
      </c>
    </row>
    <row r="3706" spans="1:24">
      <c r="A3706">
        <f>HYPERLINK("https://www.philgeps.gov.ph/GEPSNONPILOT/Tender/SplashBidNoticeAbstractUI.aspx?menuIndex=3&amp;refID=7074966&amp;Result=3","7074966")</f>
        <v>0</v>
      </c>
      <c r="B3706" t="s">
        <v>1396</v>
      </c>
      <c r="C3706" t="s">
        <v>6941</v>
      </c>
      <c r="D3706" t="s">
        <v>16608</v>
      </c>
      <c r="E3706" t="s">
        <v>20055</v>
      </c>
      <c r="F3706" t="s">
        <v>28669</v>
      </c>
      <c r="G3706" t="s">
        <v>28676</v>
      </c>
      <c r="H3706" t="s">
        <v>9998</v>
      </c>
      <c r="I3706" t="s">
        <v>6128</v>
      </c>
      <c r="J3706" t="s">
        <v>29630</v>
      </c>
      <c r="K3706" t="s">
        <v>37206</v>
      </c>
      <c r="M3706" t="s">
        <v>38958</v>
      </c>
      <c r="N3706" t="s">
        <v>41249</v>
      </c>
      <c r="O3706" t="s">
        <v>41250</v>
      </c>
      <c r="P3706">
        <v>0</v>
      </c>
      <c r="Q3706">
        <v>7</v>
      </c>
      <c r="R3706" t="s">
        <v>41252</v>
      </c>
      <c r="S3706" t="s">
        <v>41383</v>
      </c>
      <c r="T3706" t="s">
        <v>42694</v>
      </c>
      <c r="U3706" t="s">
        <v>46295</v>
      </c>
      <c r="W3706" t="s">
        <v>38958</v>
      </c>
      <c r="X3706" t="s">
        <v>41254</v>
      </c>
    </row>
    <row r="3707" spans="1:24">
      <c r="A3707">
        <f>HYPERLINK("https://www.philgeps.gov.ph/GEPSNONPILOT/Tender/SplashBidNoticeAbstractUI.aspx?menuIndex=3&amp;refID=7074965&amp;Result=3","7074965")</f>
        <v>0</v>
      </c>
      <c r="B3707" t="s">
        <v>1423</v>
      </c>
      <c r="C3707" t="s">
        <v>6942</v>
      </c>
      <c r="D3707" t="s">
        <v>16635</v>
      </c>
      <c r="E3707" t="s">
        <v>20056</v>
      </c>
      <c r="F3707" t="s">
        <v>28669</v>
      </c>
      <c r="G3707" t="s">
        <v>28675</v>
      </c>
      <c r="H3707" t="s">
        <v>28686</v>
      </c>
      <c r="I3707" t="s">
        <v>28689</v>
      </c>
      <c r="J3707" t="s">
        <v>31238</v>
      </c>
      <c r="K3707" t="s">
        <v>37337</v>
      </c>
      <c r="M3707" t="s">
        <v>38986</v>
      </c>
      <c r="N3707" t="s">
        <v>41249</v>
      </c>
      <c r="O3707" t="s">
        <v>41250</v>
      </c>
      <c r="P3707">
        <v>0</v>
      </c>
      <c r="Q3707">
        <v>0</v>
      </c>
      <c r="R3707" t="s">
        <v>41252</v>
      </c>
      <c r="S3707" t="s">
        <v>41383</v>
      </c>
      <c r="T3707" t="s">
        <v>42704</v>
      </c>
      <c r="U3707" t="s">
        <v>46296</v>
      </c>
      <c r="W3707" t="s">
        <v>38986</v>
      </c>
      <c r="X3707" t="s">
        <v>41254</v>
      </c>
    </row>
    <row r="3708" spans="1:24">
      <c r="A3708">
        <f>HYPERLINK("https://www.philgeps.gov.ph/GEPSNONPILOT/Tender/SplashBidNoticeAbstractUI.aspx?menuIndex=3&amp;refID=7074929&amp;Result=3","7074929")</f>
        <v>0</v>
      </c>
      <c r="B3708" t="s">
        <v>236</v>
      </c>
      <c r="C3708" t="s">
        <v>6943</v>
      </c>
      <c r="D3708" t="s">
        <v>16663</v>
      </c>
      <c r="E3708" t="s">
        <v>20057</v>
      </c>
      <c r="F3708" t="s">
        <v>28669</v>
      </c>
      <c r="G3708" t="s">
        <v>28675</v>
      </c>
      <c r="H3708" t="s">
        <v>9998</v>
      </c>
      <c r="I3708" t="s">
        <v>28729</v>
      </c>
      <c r="J3708" t="s">
        <v>28914</v>
      </c>
      <c r="K3708" t="s">
        <v>37206</v>
      </c>
      <c r="M3708" t="s">
        <v>37714</v>
      </c>
      <c r="N3708" t="s">
        <v>41249</v>
      </c>
      <c r="O3708" t="s">
        <v>41250</v>
      </c>
      <c r="P3708">
        <v>0</v>
      </c>
      <c r="Q3708">
        <v>3</v>
      </c>
      <c r="R3708" t="s">
        <v>41252</v>
      </c>
      <c r="S3708" t="s">
        <v>41383</v>
      </c>
      <c r="T3708" t="s">
        <v>42762</v>
      </c>
      <c r="U3708" t="s">
        <v>46297</v>
      </c>
      <c r="W3708" t="s">
        <v>37714</v>
      </c>
      <c r="X3708" t="s">
        <v>41254</v>
      </c>
    </row>
    <row r="3709" spans="1:24">
      <c r="A3709">
        <f>HYPERLINK("https://www.philgeps.gov.ph/GEPSNONPILOT/Tender/SplashBidNoticeAbstractUI.aspx?menuIndex=3&amp;refID=7074964&amp;Result=3","7074964")</f>
        <v>0</v>
      </c>
      <c r="B3709" t="s">
        <v>548</v>
      </c>
      <c r="C3709" t="s">
        <v>6944</v>
      </c>
      <c r="D3709" t="s">
        <v>16679</v>
      </c>
      <c r="E3709" t="s">
        <v>20058</v>
      </c>
      <c r="F3709" t="s">
        <v>28669</v>
      </c>
      <c r="G3709" t="s">
        <v>28676</v>
      </c>
      <c r="H3709" t="s">
        <v>9998</v>
      </c>
      <c r="I3709" t="s">
        <v>28700</v>
      </c>
      <c r="J3709" t="s">
        <v>31239</v>
      </c>
      <c r="K3709" t="s">
        <v>37209</v>
      </c>
      <c r="M3709" t="s">
        <v>38041</v>
      </c>
      <c r="N3709" t="s">
        <v>41249</v>
      </c>
      <c r="O3709" t="s">
        <v>41250</v>
      </c>
      <c r="P3709">
        <v>0</v>
      </c>
      <c r="Q3709">
        <v>5</v>
      </c>
      <c r="R3709" t="s">
        <v>41252</v>
      </c>
      <c r="S3709" t="s">
        <v>41383</v>
      </c>
      <c r="T3709" t="s">
        <v>42748</v>
      </c>
      <c r="U3709" t="s">
        <v>46298</v>
      </c>
      <c r="W3709" t="s">
        <v>55921</v>
      </c>
      <c r="X3709" t="s">
        <v>41254</v>
      </c>
    </row>
    <row r="3710" spans="1:24">
      <c r="A3710">
        <f>HYPERLINK("https://www.philgeps.gov.ph/GEPSNONPILOT/Tender/SplashBidNoticeAbstractUI.aspx?menuIndex=3&amp;refID=7074937&amp;Result=3","7074937")</f>
        <v>0</v>
      </c>
      <c r="B3710" t="s">
        <v>1124</v>
      </c>
      <c r="C3710" t="s">
        <v>6945</v>
      </c>
      <c r="E3710" t="s">
        <v>20059</v>
      </c>
      <c r="F3710" t="s">
        <v>28669</v>
      </c>
      <c r="G3710" t="s">
        <v>28676</v>
      </c>
      <c r="H3710" t="s">
        <v>9998</v>
      </c>
      <c r="I3710" t="s">
        <v>5213</v>
      </c>
      <c r="J3710" t="s">
        <v>31240</v>
      </c>
      <c r="K3710" t="s">
        <v>37209</v>
      </c>
      <c r="M3710" t="s">
        <v>38658</v>
      </c>
      <c r="N3710" t="s">
        <v>41249</v>
      </c>
      <c r="O3710" t="s">
        <v>41250</v>
      </c>
      <c r="P3710">
        <v>0</v>
      </c>
      <c r="Q3710">
        <v>0</v>
      </c>
      <c r="R3710" t="s">
        <v>41252</v>
      </c>
      <c r="S3710" t="s">
        <v>41383</v>
      </c>
      <c r="T3710" t="s">
        <v>42681</v>
      </c>
      <c r="U3710" t="s">
        <v>45501</v>
      </c>
      <c r="W3710" t="s">
        <v>38658</v>
      </c>
      <c r="X3710" t="s">
        <v>41254</v>
      </c>
    </row>
    <row r="3711" spans="1:24">
      <c r="A3711">
        <f>HYPERLINK("https://www.philgeps.gov.ph/GEPSNONPILOT/Tender/SplashBidNoticeAbstractUI.aspx?menuIndex=3&amp;refID=7074959&amp;Result=3","7074959")</f>
        <v>0</v>
      </c>
      <c r="B3711" t="s">
        <v>1424</v>
      </c>
      <c r="C3711" t="s">
        <v>6946</v>
      </c>
      <c r="D3711" t="s">
        <v>16636</v>
      </c>
      <c r="E3711" t="s">
        <v>20060</v>
      </c>
      <c r="F3711" t="s">
        <v>28669</v>
      </c>
      <c r="G3711" t="s">
        <v>28675</v>
      </c>
      <c r="H3711" t="s">
        <v>9998</v>
      </c>
      <c r="I3711" t="s">
        <v>28697</v>
      </c>
      <c r="J3711" t="s">
        <v>31241</v>
      </c>
      <c r="K3711" t="s">
        <v>37206</v>
      </c>
      <c r="M3711" t="s">
        <v>38987</v>
      </c>
      <c r="N3711" t="s">
        <v>41249</v>
      </c>
      <c r="O3711" t="s">
        <v>41250</v>
      </c>
      <c r="P3711">
        <v>0</v>
      </c>
      <c r="Q3711">
        <v>5</v>
      </c>
      <c r="R3711" t="s">
        <v>41252</v>
      </c>
      <c r="S3711" t="s">
        <v>41383</v>
      </c>
      <c r="T3711" t="s">
        <v>42726</v>
      </c>
      <c r="U3711" t="s">
        <v>46299</v>
      </c>
      <c r="V3711" t="s">
        <v>54673</v>
      </c>
      <c r="W3711" t="s">
        <v>38987</v>
      </c>
      <c r="X3711" t="s">
        <v>41254</v>
      </c>
    </row>
    <row r="3712" spans="1:24">
      <c r="A3712">
        <f>HYPERLINK("https://www.philgeps.gov.ph/GEPSNONPILOT/Tender/SplashBidNoticeAbstractUI.aspx?menuIndex=3&amp;refID=7074971&amp;Result=3","7074971")</f>
        <v>0</v>
      </c>
      <c r="B3712" t="s">
        <v>614</v>
      </c>
      <c r="C3712" t="s">
        <v>6947</v>
      </c>
      <c r="D3712" t="s">
        <v>16648</v>
      </c>
      <c r="E3712" t="s">
        <v>20061</v>
      </c>
      <c r="F3712" t="s">
        <v>28669</v>
      </c>
      <c r="G3712" t="s">
        <v>28677</v>
      </c>
      <c r="H3712" t="s">
        <v>9998</v>
      </c>
      <c r="I3712" t="s">
        <v>3679</v>
      </c>
      <c r="J3712" t="s">
        <v>31242</v>
      </c>
      <c r="K3712" t="s">
        <v>37204</v>
      </c>
      <c r="M3712" t="s">
        <v>38114</v>
      </c>
      <c r="N3712" t="s">
        <v>41249</v>
      </c>
      <c r="O3712" t="s">
        <v>41250</v>
      </c>
      <c r="P3712">
        <v>0</v>
      </c>
      <c r="Q3712">
        <v>0</v>
      </c>
      <c r="R3712" t="s">
        <v>41252</v>
      </c>
      <c r="S3712" t="s">
        <v>41383</v>
      </c>
      <c r="T3712" t="s">
        <v>42679</v>
      </c>
      <c r="U3712" t="s">
        <v>46300</v>
      </c>
      <c r="W3712" t="s">
        <v>38114</v>
      </c>
      <c r="X3712" t="s">
        <v>41254</v>
      </c>
    </row>
    <row r="3713" spans="1:24">
      <c r="A3713">
        <f>HYPERLINK("https://www.philgeps.gov.ph/GEPSNONPILOT/Tender/SplashBidNoticeAbstractUI.aspx?menuIndex=3&amp;refID=7074958&amp;Result=3","7074958")</f>
        <v>0</v>
      </c>
      <c r="B3713" t="s">
        <v>1124</v>
      </c>
      <c r="C3713" t="s">
        <v>6948</v>
      </c>
      <c r="E3713" t="s">
        <v>20062</v>
      </c>
      <c r="F3713" t="s">
        <v>28669</v>
      </c>
      <c r="G3713" t="s">
        <v>28676</v>
      </c>
      <c r="H3713" t="s">
        <v>9998</v>
      </c>
      <c r="I3713" t="s">
        <v>28728</v>
      </c>
      <c r="J3713" t="s">
        <v>29225</v>
      </c>
      <c r="K3713" t="s">
        <v>37209</v>
      </c>
      <c r="M3713" t="s">
        <v>38883</v>
      </c>
      <c r="N3713" t="s">
        <v>41249</v>
      </c>
      <c r="O3713" t="s">
        <v>41250</v>
      </c>
      <c r="P3713">
        <v>0</v>
      </c>
      <c r="Q3713">
        <v>0</v>
      </c>
      <c r="R3713" t="s">
        <v>41252</v>
      </c>
      <c r="S3713" t="s">
        <v>41383</v>
      </c>
      <c r="T3713" t="s">
        <v>42729</v>
      </c>
      <c r="U3713" t="s">
        <v>46301</v>
      </c>
      <c r="W3713" t="s">
        <v>38883</v>
      </c>
      <c r="X3713" t="s">
        <v>41254</v>
      </c>
    </row>
    <row r="3714" spans="1:24">
      <c r="A3714">
        <f>HYPERLINK("https://www.philgeps.gov.ph/GEPSNONPILOT/Tender/SplashBidNoticeAbstractUI.aspx?menuIndex=3&amp;refID=7074956&amp;Result=3","7074956")</f>
        <v>0</v>
      </c>
      <c r="B3714" t="s">
        <v>1124</v>
      </c>
      <c r="C3714" t="s">
        <v>6949</v>
      </c>
      <c r="E3714" t="s">
        <v>20063</v>
      </c>
      <c r="F3714" t="s">
        <v>28669</v>
      </c>
      <c r="G3714" t="s">
        <v>28676</v>
      </c>
      <c r="H3714" t="s">
        <v>9998</v>
      </c>
      <c r="I3714" t="s">
        <v>5213</v>
      </c>
      <c r="J3714" t="s">
        <v>31243</v>
      </c>
      <c r="K3714" t="s">
        <v>37209</v>
      </c>
      <c r="M3714" t="s">
        <v>38658</v>
      </c>
      <c r="N3714" t="s">
        <v>41249</v>
      </c>
      <c r="O3714" t="s">
        <v>41250</v>
      </c>
      <c r="P3714">
        <v>0</v>
      </c>
      <c r="Q3714">
        <v>2</v>
      </c>
      <c r="R3714" t="s">
        <v>41252</v>
      </c>
      <c r="S3714" t="s">
        <v>41383</v>
      </c>
      <c r="T3714" t="s">
        <v>42681</v>
      </c>
      <c r="U3714" t="s">
        <v>45501</v>
      </c>
      <c r="W3714" t="s">
        <v>38658</v>
      </c>
      <c r="X3714" t="s">
        <v>41254</v>
      </c>
    </row>
    <row r="3715" spans="1:24">
      <c r="A3715">
        <f>HYPERLINK("https://www.philgeps.gov.ph/GEPSNONPILOT/Tender/SplashBidNoticeAbstractUI.aspx?menuIndex=3&amp;refID=7074954&amp;Result=3","7074954")</f>
        <v>0</v>
      </c>
      <c r="B3715" t="s">
        <v>714</v>
      </c>
      <c r="C3715" t="s">
        <v>6950</v>
      </c>
      <c r="D3715" t="s">
        <v>16608</v>
      </c>
      <c r="E3715" t="s">
        <v>20064</v>
      </c>
      <c r="F3715" t="s">
        <v>28669</v>
      </c>
      <c r="G3715" t="s">
        <v>28675</v>
      </c>
      <c r="H3715" t="s">
        <v>9998</v>
      </c>
      <c r="I3715" t="s">
        <v>28687</v>
      </c>
      <c r="J3715" t="s">
        <v>28891</v>
      </c>
      <c r="K3715" t="s">
        <v>37206</v>
      </c>
      <c r="M3715" t="s">
        <v>38221</v>
      </c>
      <c r="N3715" t="s">
        <v>41249</v>
      </c>
      <c r="O3715" t="s">
        <v>41250</v>
      </c>
      <c r="P3715">
        <v>0</v>
      </c>
      <c r="Q3715">
        <v>4</v>
      </c>
      <c r="R3715" t="s">
        <v>41252</v>
      </c>
      <c r="S3715" t="s">
        <v>41383</v>
      </c>
      <c r="T3715" t="s">
        <v>42808</v>
      </c>
      <c r="U3715" t="s">
        <v>46302</v>
      </c>
      <c r="W3715" t="s">
        <v>38221</v>
      </c>
      <c r="X3715" t="s">
        <v>41254</v>
      </c>
    </row>
    <row r="3716" spans="1:24">
      <c r="A3716">
        <f>HYPERLINK("https://www.philgeps.gov.ph/GEPSNONPILOT/Tender/SplashBidNoticeAbstractUI.aspx?menuIndex=3&amp;refID=7074930&amp;Result=3","7074930")</f>
        <v>0</v>
      </c>
      <c r="B3716" t="s">
        <v>1396</v>
      </c>
      <c r="C3716" t="s">
        <v>6951</v>
      </c>
      <c r="D3716" t="s">
        <v>16608</v>
      </c>
      <c r="E3716" t="s">
        <v>20065</v>
      </c>
      <c r="F3716" t="s">
        <v>28669</v>
      </c>
      <c r="G3716" t="s">
        <v>28677</v>
      </c>
      <c r="H3716" t="s">
        <v>9998</v>
      </c>
      <c r="I3716" t="s">
        <v>6128</v>
      </c>
      <c r="J3716" t="s">
        <v>31244</v>
      </c>
      <c r="K3716" t="s">
        <v>37229</v>
      </c>
      <c r="M3716" t="s">
        <v>38958</v>
      </c>
      <c r="N3716" t="s">
        <v>41249</v>
      </c>
      <c r="O3716" t="s">
        <v>41250</v>
      </c>
      <c r="P3716">
        <v>0</v>
      </c>
      <c r="Q3716">
        <v>14</v>
      </c>
      <c r="R3716" t="s">
        <v>41252</v>
      </c>
      <c r="S3716" t="s">
        <v>41383</v>
      </c>
      <c r="T3716" t="s">
        <v>42942</v>
      </c>
      <c r="U3716" t="s">
        <v>46303</v>
      </c>
      <c r="W3716" t="s">
        <v>38958</v>
      </c>
      <c r="X3716" t="s">
        <v>41254</v>
      </c>
    </row>
    <row r="3717" spans="1:24">
      <c r="A3717">
        <f>HYPERLINK("https://www.philgeps.gov.ph/GEPSNONPILOT/Tender/SplashBidNoticeAbstractUI.aspx?menuIndex=3&amp;refID=7074953&amp;Result=3","7074953")</f>
        <v>0</v>
      </c>
      <c r="B3717" t="s">
        <v>273</v>
      </c>
      <c r="C3717" t="s">
        <v>6952</v>
      </c>
      <c r="D3717" t="s">
        <v>16618</v>
      </c>
      <c r="E3717" t="s">
        <v>20066</v>
      </c>
      <c r="F3717" t="s">
        <v>28669</v>
      </c>
      <c r="G3717" t="s">
        <v>28675</v>
      </c>
      <c r="H3717" t="s">
        <v>28686</v>
      </c>
      <c r="I3717" t="s">
        <v>28689</v>
      </c>
      <c r="J3717" t="s">
        <v>31245</v>
      </c>
      <c r="K3717" t="s">
        <v>37221</v>
      </c>
      <c r="M3717" t="s">
        <v>37751</v>
      </c>
      <c r="N3717" t="s">
        <v>41249</v>
      </c>
      <c r="O3717" t="s">
        <v>41250</v>
      </c>
      <c r="P3717">
        <v>0</v>
      </c>
      <c r="Q3717">
        <v>0</v>
      </c>
      <c r="R3717" t="s">
        <v>41252</v>
      </c>
      <c r="S3717" t="s">
        <v>41383</v>
      </c>
      <c r="T3717" t="s">
        <v>42713</v>
      </c>
      <c r="U3717" t="s">
        <v>46304</v>
      </c>
      <c r="W3717" t="s">
        <v>37751</v>
      </c>
      <c r="X3717" t="s">
        <v>41254</v>
      </c>
    </row>
    <row r="3718" spans="1:24">
      <c r="A3718">
        <f>HYPERLINK("https://www.philgeps.gov.ph/GEPSNONPILOT/Tender/SplashBidNoticeAbstractUI.aspx?menuIndex=3&amp;refID=7074877&amp;Result=3","7074877")</f>
        <v>0</v>
      </c>
      <c r="B3718" t="s">
        <v>1421</v>
      </c>
      <c r="C3718" t="s">
        <v>6953</v>
      </c>
      <c r="D3718" t="s">
        <v>16619</v>
      </c>
      <c r="E3718" t="s">
        <v>20067</v>
      </c>
      <c r="F3718" t="s">
        <v>28669</v>
      </c>
      <c r="G3718" t="s">
        <v>28676</v>
      </c>
      <c r="H3718" t="s">
        <v>9998</v>
      </c>
      <c r="I3718" t="s">
        <v>6128</v>
      </c>
      <c r="J3718" t="s">
        <v>31246</v>
      </c>
      <c r="K3718" t="s">
        <v>37205</v>
      </c>
      <c r="M3718" t="s">
        <v>38984</v>
      </c>
      <c r="N3718" t="s">
        <v>41249</v>
      </c>
      <c r="O3718" t="s">
        <v>41250</v>
      </c>
      <c r="P3718">
        <v>0</v>
      </c>
      <c r="Q3718">
        <v>1</v>
      </c>
      <c r="R3718" t="s">
        <v>41252</v>
      </c>
      <c r="S3718" t="s">
        <v>41383</v>
      </c>
      <c r="T3718" t="s">
        <v>42701</v>
      </c>
      <c r="U3718" t="s">
        <v>46305</v>
      </c>
      <c r="W3718" t="s">
        <v>38984</v>
      </c>
      <c r="X3718" t="s">
        <v>41254</v>
      </c>
    </row>
    <row r="3719" spans="1:24">
      <c r="A3719">
        <f>HYPERLINK("https://www.philgeps.gov.ph/GEPSNONPILOT/Tender/SplashBidNoticeAbstractUI.aspx?menuIndex=3&amp;refID=7074873&amp;Result=3","7074873")</f>
        <v>0</v>
      </c>
      <c r="B3719" t="s">
        <v>236</v>
      </c>
      <c r="C3719" t="s">
        <v>6954</v>
      </c>
      <c r="D3719" t="s">
        <v>16663</v>
      </c>
      <c r="E3719" t="s">
        <v>6954</v>
      </c>
      <c r="F3719" t="s">
        <v>28669</v>
      </c>
      <c r="G3719" t="s">
        <v>28675</v>
      </c>
      <c r="H3719" t="s">
        <v>9998</v>
      </c>
      <c r="I3719" t="s">
        <v>28800</v>
      </c>
      <c r="J3719" t="s">
        <v>31247</v>
      </c>
      <c r="K3719" t="s">
        <v>37206</v>
      </c>
      <c r="M3719" t="s">
        <v>37714</v>
      </c>
      <c r="N3719" t="s">
        <v>41249</v>
      </c>
      <c r="O3719" t="s">
        <v>41250</v>
      </c>
      <c r="P3719">
        <v>0</v>
      </c>
      <c r="Q3719">
        <v>0</v>
      </c>
      <c r="R3719" t="s">
        <v>41252</v>
      </c>
      <c r="S3719" t="s">
        <v>41383</v>
      </c>
      <c r="T3719" t="s">
        <v>42762</v>
      </c>
      <c r="U3719" t="s">
        <v>46306</v>
      </c>
      <c r="W3719" t="s">
        <v>37714</v>
      </c>
      <c r="X3719" t="s">
        <v>41254</v>
      </c>
    </row>
    <row r="3720" spans="1:24">
      <c r="A3720">
        <f>HYPERLINK("https://www.philgeps.gov.ph/GEPSNONPILOT/Tender/SplashBidNoticeAbstractUI.aspx?menuIndex=3&amp;refID=7074960&amp;Result=3","7074960")</f>
        <v>0</v>
      </c>
      <c r="B3720" t="s">
        <v>1410</v>
      </c>
      <c r="C3720" t="s">
        <v>6955</v>
      </c>
      <c r="D3720" t="s">
        <v>16612</v>
      </c>
      <c r="E3720" t="s">
        <v>16803</v>
      </c>
      <c r="F3720" t="s">
        <v>28669</v>
      </c>
      <c r="G3720" t="s">
        <v>28675</v>
      </c>
      <c r="H3720" t="s">
        <v>9998</v>
      </c>
      <c r="I3720" t="s">
        <v>7352</v>
      </c>
      <c r="J3720" t="s">
        <v>31248</v>
      </c>
      <c r="K3720" t="s">
        <v>37205</v>
      </c>
      <c r="M3720" t="s">
        <v>38973</v>
      </c>
      <c r="N3720" t="s">
        <v>41249</v>
      </c>
      <c r="O3720" t="s">
        <v>41250</v>
      </c>
      <c r="P3720">
        <v>0</v>
      </c>
      <c r="Q3720">
        <v>0</v>
      </c>
      <c r="R3720" t="s">
        <v>41252</v>
      </c>
      <c r="S3720" t="s">
        <v>41383</v>
      </c>
      <c r="T3720" t="s">
        <v>42742</v>
      </c>
      <c r="U3720" t="s">
        <v>46307</v>
      </c>
      <c r="W3720" t="s">
        <v>38973</v>
      </c>
      <c r="X3720" t="s">
        <v>41254</v>
      </c>
    </row>
    <row r="3721" spans="1:24">
      <c r="A3721">
        <f>HYPERLINK("https://www.philgeps.gov.ph/GEPSNONPILOT/Tender/SplashBidNoticeAbstractUI.aspx?menuIndex=3&amp;refID=7074871&amp;Result=3","7074871")</f>
        <v>0</v>
      </c>
      <c r="B3721" t="s">
        <v>1401</v>
      </c>
      <c r="C3721" t="s">
        <v>6956</v>
      </c>
      <c r="D3721" t="s">
        <v>16671</v>
      </c>
      <c r="E3721" t="s">
        <v>20009</v>
      </c>
      <c r="F3721" t="s">
        <v>28669</v>
      </c>
      <c r="G3721" t="s">
        <v>28677</v>
      </c>
      <c r="H3721" t="s">
        <v>9998</v>
      </c>
      <c r="I3721" t="s">
        <v>28695</v>
      </c>
      <c r="J3721" t="s">
        <v>29092</v>
      </c>
      <c r="K3721" t="s">
        <v>37209</v>
      </c>
      <c r="M3721" t="s">
        <v>38964</v>
      </c>
      <c r="N3721" t="s">
        <v>41249</v>
      </c>
      <c r="O3721" t="s">
        <v>41250</v>
      </c>
      <c r="P3721">
        <v>0</v>
      </c>
      <c r="Q3721">
        <v>0</v>
      </c>
      <c r="R3721" t="s">
        <v>41252</v>
      </c>
      <c r="S3721" t="s">
        <v>41383</v>
      </c>
      <c r="T3721" t="s">
        <v>42690</v>
      </c>
      <c r="U3721" t="s">
        <v>46308</v>
      </c>
      <c r="W3721" t="s">
        <v>55952</v>
      </c>
      <c r="X3721" t="s">
        <v>41254</v>
      </c>
    </row>
    <row r="3722" spans="1:24">
      <c r="A3722">
        <f>HYPERLINK("https://www.philgeps.gov.ph/GEPSNONPILOT/Tender/SplashBidNoticeAbstractUI.aspx?menuIndex=3&amp;refID=7074969&amp;Result=3","7074969")</f>
        <v>0</v>
      </c>
      <c r="B3722" t="s">
        <v>1124</v>
      </c>
      <c r="C3722" t="s">
        <v>6957</v>
      </c>
      <c r="E3722" t="s">
        <v>20068</v>
      </c>
      <c r="F3722" t="s">
        <v>28669</v>
      </c>
      <c r="G3722" t="s">
        <v>28676</v>
      </c>
      <c r="H3722" t="s">
        <v>9998</v>
      </c>
      <c r="I3722" t="s">
        <v>28728</v>
      </c>
      <c r="J3722" t="s">
        <v>29225</v>
      </c>
      <c r="K3722" t="s">
        <v>37209</v>
      </c>
      <c r="M3722" t="s">
        <v>38883</v>
      </c>
      <c r="N3722" t="s">
        <v>41249</v>
      </c>
      <c r="O3722" t="s">
        <v>41250</v>
      </c>
      <c r="P3722">
        <v>0</v>
      </c>
      <c r="Q3722">
        <v>0</v>
      </c>
      <c r="R3722" t="s">
        <v>41252</v>
      </c>
      <c r="S3722" t="s">
        <v>41383</v>
      </c>
      <c r="T3722" t="s">
        <v>42729</v>
      </c>
      <c r="U3722" t="s">
        <v>46309</v>
      </c>
      <c r="W3722" t="s">
        <v>38883</v>
      </c>
      <c r="X3722" t="s">
        <v>41254</v>
      </c>
    </row>
    <row r="3723" spans="1:24">
      <c r="A3723">
        <f>HYPERLINK("https://www.philgeps.gov.ph/GEPSNONPILOT/Tender/SplashBidNoticeAbstractUI.aspx?menuIndex=3&amp;refID=7074866&amp;Result=3","7074866")</f>
        <v>0</v>
      </c>
      <c r="B3723" t="s">
        <v>1346</v>
      </c>
      <c r="C3723" t="s">
        <v>6958</v>
      </c>
      <c r="D3723" t="s">
        <v>16631</v>
      </c>
      <c r="E3723" t="s">
        <v>20069</v>
      </c>
      <c r="F3723" t="s">
        <v>28669</v>
      </c>
      <c r="G3723" t="s">
        <v>28675</v>
      </c>
      <c r="H3723" t="s">
        <v>9998</v>
      </c>
      <c r="I3723" t="s">
        <v>3658</v>
      </c>
      <c r="J3723" t="s">
        <v>29526</v>
      </c>
      <c r="K3723" t="s">
        <v>37204</v>
      </c>
      <c r="M3723" t="s">
        <v>38902</v>
      </c>
      <c r="N3723" t="s">
        <v>41249</v>
      </c>
      <c r="O3723" t="s">
        <v>41250</v>
      </c>
      <c r="P3723">
        <v>0</v>
      </c>
      <c r="Q3723">
        <v>1</v>
      </c>
      <c r="R3723" t="s">
        <v>41252</v>
      </c>
      <c r="S3723" t="s">
        <v>41383</v>
      </c>
      <c r="T3723" t="s">
        <v>42881</v>
      </c>
      <c r="U3723" t="s">
        <v>46310</v>
      </c>
      <c r="W3723" t="s">
        <v>38902</v>
      </c>
      <c r="X3723" t="s">
        <v>41254</v>
      </c>
    </row>
    <row r="3724" spans="1:24">
      <c r="A3724">
        <f>HYPERLINK("https://www.philgeps.gov.ph/GEPSNONPILOT/Tender/SplashBidNoticeAbstractUI.aspx?menuIndex=3&amp;refID=7074848&amp;Result=3","7074848")</f>
        <v>0</v>
      </c>
      <c r="B3724" t="s">
        <v>51</v>
      </c>
      <c r="C3724" t="s">
        <v>6785</v>
      </c>
      <c r="D3724" t="s">
        <v>16631</v>
      </c>
      <c r="E3724" t="s">
        <v>20070</v>
      </c>
      <c r="F3724" t="s">
        <v>28669</v>
      </c>
      <c r="G3724" t="s">
        <v>28676</v>
      </c>
      <c r="H3724" t="s">
        <v>9998</v>
      </c>
      <c r="I3724" t="s">
        <v>28695</v>
      </c>
      <c r="J3724" t="s">
        <v>29003</v>
      </c>
      <c r="K3724" t="s">
        <v>37204</v>
      </c>
      <c r="M3724" t="s">
        <v>38699</v>
      </c>
      <c r="N3724" t="s">
        <v>41249</v>
      </c>
      <c r="O3724" t="s">
        <v>41250</v>
      </c>
      <c r="P3724">
        <v>0</v>
      </c>
      <c r="Q3724">
        <v>0</v>
      </c>
      <c r="R3724" t="s">
        <v>41252</v>
      </c>
      <c r="S3724" t="s">
        <v>41383</v>
      </c>
      <c r="T3724" t="s">
        <v>42670</v>
      </c>
      <c r="U3724" t="s">
        <v>46311</v>
      </c>
      <c r="W3724" t="s">
        <v>38699</v>
      </c>
      <c r="X3724" t="s">
        <v>41254</v>
      </c>
    </row>
    <row r="3725" spans="1:24">
      <c r="A3725">
        <f>HYPERLINK("https://www.philgeps.gov.ph/GEPSNONPILOT/Tender/SplashBidNoticeAbstractUI.aspx?menuIndex=3&amp;refID=7074847&amp;Result=3","7074847")</f>
        <v>0</v>
      </c>
      <c r="B3725" t="s">
        <v>1425</v>
      </c>
      <c r="C3725" t="s">
        <v>6959</v>
      </c>
      <c r="D3725" t="s">
        <v>16658</v>
      </c>
      <c r="E3725" t="s">
        <v>20071</v>
      </c>
      <c r="F3725" t="s">
        <v>28669</v>
      </c>
      <c r="G3725" t="s">
        <v>28675</v>
      </c>
      <c r="H3725" t="s">
        <v>28686</v>
      </c>
      <c r="I3725" t="s">
        <v>28691</v>
      </c>
      <c r="J3725" t="s">
        <v>31249</v>
      </c>
      <c r="K3725" t="s">
        <v>37338</v>
      </c>
      <c r="M3725" t="s">
        <v>38988</v>
      </c>
      <c r="N3725" t="s">
        <v>41249</v>
      </c>
      <c r="O3725" t="s">
        <v>41250</v>
      </c>
      <c r="P3725">
        <v>0</v>
      </c>
      <c r="Q3725">
        <v>0</v>
      </c>
      <c r="R3725" t="s">
        <v>41252</v>
      </c>
      <c r="S3725" t="s">
        <v>41383</v>
      </c>
      <c r="T3725" t="s">
        <v>42870</v>
      </c>
      <c r="U3725" t="s">
        <v>46312</v>
      </c>
      <c r="V3725" t="s">
        <v>54674</v>
      </c>
      <c r="W3725" t="s">
        <v>38988</v>
      </c>
      <c r="X3725" t="s">
        <v>41254</v>
      </c>
    </row>
    <row r="3726" spans="1:24">
      <c r="A3726">
        <f>HYPERLINK("https://www.philgeps.gov.ph/GEPSNONPILOT/Tender/SplashBidNoticeAbstractUI.aspx?menuIndex=3&amp;refID=7074961&amp;Result=3","7074961")</f>
        <v>0</v>
      </c>
      <c r="B3726" t="s">
        <v>1426</v>
      </c>
      <c r="C3726" t="s">
        <v>6960</v>
      </c>
      <c r="D3726" t="s">
        <v>16608</v>
      </c>
      <c r="E3726" t="s">
        <v>20072</v>
      </c>
      <c r="F3726" t="s">
        <v>28669</v>
      </c>
      <c r="G3726" t="s">
        <v>28676</v>
      </c>
      <c r="H3726" t="s">
        <v>9998</v>
      </c>
      <c r="I3726" t="s">
        <v>28690</v>
      </c>
      <c r="J3726" t="s">
        <v>29068</v>
      </c>
      <c r="K3726" t="s">
        <v>37216</v>
      </c>
      <c r="M3726" t="s">
        <v>38989</v>
      </c>
      <c r="N3726" t="s">
        <v>41249</v>
      </c>
      <c r="O3726" t="s">
        <v>41250</v>
      </c>
      <c r="P3726">
        <v>0</v>
      </c>
      <c r="Q3726">
        <v>4</v>
      </c>
      <c r="R3726" t="s">
        <v>41252</v>
      </c>
      <c r="S3726" t="s">
        <v>41383</v>
      </c>
      <c r="T3726" t="s">
        <v>42742</v>
      </c>
      <c r="U3726" t="s">
        <v>46313</v>
      </c>
      <c r="W3726" t="s">
        <v>38989</v>
      </c>
      <c r="X3726" t="s">
        <v>41254</v>
      </c>
    </row>
    <row r="3727" spans="1:24">
      <c r="A3727">
        <f>HYPERLINK("https://www.philgeps.gov.ph/GEPSNONPILOT/Tender/SplashBidNoticeAbstractUI.aspx?menuIndex=3&amp;refID=7074846&amp;Result=3","7074846")</f>
        <v>0</v>
      </c>
      <c r="B3727" t="s">
        <v>236</v>
      </c>
      <c r="C3727" t="s">
        <v>6961</v>
      </c>
      <c r="D3727" t="s">
        <v>16663</v>
      </c>
      <c r="E3727" t="s">
        <v>6961</v>
      </c>
      <c r="F3727" t="s">
        <v>28669</v>
      </c>
      <c r="G3727" t="s">
        <v>28675</v>
      </c>
      <c r="H3727" t="s">
        <v>9998</v>
      </c>
      <c r="I3727" t="s">
        <v>28729</v>
      </c>
      <c r="J3727" t="s">
        <v>29433</v>
      </c>
      <c r="K3727" t="s">
        <v>37206</v>
      </c>
      <c r="M3727" t="s">
        <v>37714</v>
      </c>
      <c r="N3727" t="s">
        <v>41249</v>
      </c>
      <c r="O3727" t="s">
        <v>41250</v>
      </c>
      <c r="P3727">
        <v>0</v>
      </c>
      <c r="Q3727">
        <v>1</v>
      </c>
      <c r="R3727" t="s">
        <v>41252</v>
      </c>
      <c r="S3727" t="s">
        <v>41383</v>
      </c>
      <c r="T3727" t="s">
        <v>42762</v>
      </c>
      <c r="U3727" t="s">
        <v>46314</v>
      </c>
      <c r="W3727" t="s">
        <v>37714</v>
      </c>
      <c r="X3727" t="s">
        <v>41254</v>
      </c>
    </row>
    <row r="3728" spans="1:24">
      <c r="A3728">
        <f>HYPERLINK("https://www.philgeps.gov.ph/GEPSNONPILOT/Tender/SplashBidNoticeAbstractUI.aspx?menuIndex=3&amp;refID=7074844&amp;Result=3","7074844")</f>
        <v>0</v>
      </c>
      <c r="B3728" t="s">
        <v>1406</v>
      </c>
      <c r="C3728" t="s">
        <v>6962</v>
      </c>
      <c r="D3728" t="s">
        <v>16657</v>
      </c>
      <c r="E3728" t="s">
        <v>20073</v>
      </c>
      <c r="F3728" t="s">
        <v>28669</v>
      </c>
      <c r="G3728" t="s">
        <v>28675</v>
      </c>
      <c r="H3728" t="s">
        <v>28686</v>
      </c>
      <c r="I3728" t="s">
        <v>28689</v>
      </c>
      <c r="J3728" t="s">
        <v>31198</v>
      </c>
      <c r="K3728" t="s">
        <v>37209</v>
      </c>
      <c r="M3728" t="s">
        <v>38969</v>
      </c>
      <c r="N3728" t="s">
        <v>41249</v>
      </c>
      <c r="O3728" t="s">
        <v>41250</v>
      </c>
      <c r="P3728">
        <v>0</v>
      </c>
      <c r="Q3728">
        <v>1</v>
      </c>
      <c r="R3728" t="s">
        <v>41252</v>
      </c>
      <c r="S3728" t="s">
        <v>41383</v>
      </c>
      <c r="T3728" t="s">
        <v>42757</v>
      </c>
      <c r="U3728" t="s">
        <v>46315</v>
      </c>
      <c r="V3728" t="s">
        <v>54557</v>
      </c>
      <c r="W3728" t="s">
        <v>38969</v>
      </c>
      <c r="X3728" t="s">
        <v>41254</v>
      </c>
    </row>
    <row r="3729" spans="1:24">
      <c r="A3729">
        <f>HYPERLINK("https://www.philgeps.gov.ph/GEPSNONPILOT/Tender/SplashBidNoticeAbstractUI.aspx?menuIndex=3&amp;refID=7074821&amp;Result=3","7074821")</f>
        <v>0</v>
      </c>
      <c r="B3729" t="s">
        <v>1159</v>
      </c>
      <c r="C3729" t="s">
        <v>6963</v>
      </c>
      <c r="D3729" t="s">
        <v>16670</v>
      </c>
      <c r="E3729" t="s">
        <v>17094</v>
      </c>
      <c r="F3729" t="s">
        <v>28671</v>
      </c>
      <c r="G3729" t="s">
        <v>28675</v>
      </c>
      <c r="H3729" t="s">
        <v>9998</v>
      </c>
      <c r="I3729" t="s">
        <v>28693</v>
      </c>
      <c r="J3729" t="s">
        <v>31250</v>
      </c>
      <c r="K3729" t="s">
        <v>37206</v>
      </c>
      <c r="M3729" t="s">
        <v>38696</v>
      </c>
      <c r="N3729" t="s">
        <v>41249</v>
      </c>
      <c r="O3729" t="s">
        <v>41250</v>
      </c>
      <c r="P3729">
        <v>0</v>
      </c>
      <c r="Q3729">
        <v>27</v>
      </c>
      <c r="R3729" t="s">
        <v>41252</v>
      </c>
      <c r="S3729" t="s">
        <v>41383</v>
      </c>
      <c r="T3729" t="s">
        <v>42684</v>
      </c>
      <c r="U3729" t="s">
        <v>43697</v>
      </c>
      <c r="W3729" t="s">
        <v>38696</v>
      </c>
      <c r="X3729" t="s">
        <v>41254</v>
      </c>
    </row>
    <row r="3730" spans="1:24">
      <c r="A3730">
        <f>HYPERLINK("https://www.philgeps.gov.ph/GEPSNONPILOT/Tender/SplashBidNoticeAbstractUI.aspx?menuIndex=3&amp;refID=7074818&amp;Result=3","7074818")</f>
        <v>0</v>
      </c>
      <c r="B3730" t="s">
        <v>1244</v>
      </c>
      <c r="C3730" t="s">
        <v>6964</v>
      </c>
      <c r="D3730" t="s">
        <v>16686</v>
      </c>
      <c r="E3730" t="s">
        <v>20074</v>
      </c>
      <c r="F3730" t="s">
        <v>28669</v>
      </c>
      <c r="G3730" t="s">
        <v>28676</v>
      </c>
      <c r="H3730" t="s">
        <v>9998</v>
      </c>
      <c r="I3730" t="s">
        <v>3679</v>
      </c>
      <c r="J3730" t="s">
        <v>31251</v>
      </c>
      <c r="K3730" t="s">
        <v>37205</v>
      </c>
      <c r="M3730" t="s">
        <v>38791</v>
      </c>
      <c r="N3730" t="s">
        <v>41249</v>
      </c>
      <c r="O3730" t="s">
        <v>41250</v>
      </c>
      <c r="P3730">
        <v>0</v>
      </c>
      <c r="Q3730">
        <v>0</v>
      </c>
      <c r="R3730" t="s">
        <v>41252</v>
      </c>
      <c r="S3730" t="s">
        <v>41383</v>
      </c>
      <c r="T3730" t="s">
        <v>42711</v>
      </c>
      <c r="U3730" t="s">
        <v>46316</v>
      </c>
      <c r="W3730" t="s">
        <v>38791</v>
      </c>
      <c r="X3730" t="s">
        <v>41254</v>
      </c>
    </row>
    <row r="3731" spans="1:24">
      <c r="A3731">
        <f>HYPERLINK("https://www.philgeps.gov.ph/GEPSNONPILOT/Tender/SplashBidNoticeAbstractUI.aspx?menuIndex=3&amp;refID=7074872&amp;Result=3","7074872")</f>
        <v>0</v>
      </c>
      <c r="B3731" t="s">
        <v>595</v>
      </c>
      <c r="C3731" t="s">
        <v>6965</v>
      </c>
      <c r="D3731" t="s">
        <v>16654</v>
      </c>
      <c r="E3731" t="s">
        <v>20075</v>
      </c>
      <c r="F3731" t="s">
        <v>28669</v>
      </c>
      <c r="G3731" t="s">
        <v>28676</v>
      </c>
      <c r="H3731" t="s">
        <v>9998</v>
      </c>
      <c r="I3731" t="s">
        <v>28726</v>
      </c>
      <c r="J3731" t="s">
        <v>31252</v>
      </c>
      <c r="K3731" t="s">
        <v>37210</v>
      </c>
      <c r="M3731" t="s">
        <v>38094</v>
      </c>
      <c r="N3731" t="s">
        <v>41249</v>
      </c>
      <c r="O3731" t="s">
        <v>41250</v>
      </c>
      <c r="P3731">
        <v>0</v>
      </c>
      <c r="Q3731">
        <v>0</v>
      </c>
      <c r="R3731" t="s">
        <v>41252</v>
      </c>
      <c r="S3731" t="s">
        <v>41383</v>
      </c>
      <c r="T3731" t="s">
        <v>42736</v>
      </c>
      <c r="U3731" t="s">
        <v>46317</v>
      </c>
      <c r="W3731" t="s">
        <v>38094</v>
      </c>
      <c r="X3731" t="s">
        <v>41254</v>
      </c>
    </row>
    <row r="3732" spans="1:24">
      <c r="A3732">
        <f>HYPERLINK("https://www.philgeps.gov.ph/GEPSNONPILOT/Tender/SplashBidNoticeAbstractUI.aspx?menuIndex=3&amp;refID=7074867&amp;Result=3","7074867")</f>
        <v>0</v>
      </c>
      <c r="B3732" t="s">
        <v>369</v>
      </c>
      <c r="C3732" t="s">
        <v>6966</v>
      </c>
      <c r="D3732" t="s">
        <v>16619</v>
      </c>
      <c r="E3732" t="s">
        <v>20076</v>
      </c>
      <c r="F3732" t="s">
        <v>28669</v>
      </c>
      <c r="G3732" t="s">
        <v>28676</v>
      </c>
      <c r="H3732" t="s">
        <v>9998</v>
      </c>
      <c r="I3732" t="s">
        <v>28695</v>
      </c>
      <c r="J3732" t="s">
        <v>28845</v>
      </c>
      <c r="K3732" t="s">
        <v>37204</v>
      </c>
      <c r="M3732" t="s">
        <v>37865</v>
      </c>
      <c r="N3732" t="s">
        <v>41249</v>
      </c>
      <c r="O3732" t="s">
        <v>41250</v>
      </c>
      <c r="P3732">
        <v>0</v>
      </c>
      <c r="Q3732">
        <v>0</v>
      </c>
      <c r="R3732" t="s">
        <v>41252</v>
      </c>
      <c r="S3732" t="s">
        <v>41383</v>
      </c>
      <c r="T3732" t="s">
        <v>42679</v>
      </c>
      <c r="U3732" t="s">
        <v>43816</v>
      </c>
      <c r="W3732" t="s">
        <v>37865</v>
      </c>
      <c r="X3732" t="s">
        <v>41254</v>
      </c>
    </row>
    <row r="3733" spans="1:24">
      <c r="A3733">
        <f>HYPERLINK("https://www.philgeps.gov.ph/GEPSNONPILOT/Tender/SplashBidNoticeAbstractUI.aspx?menuIndex=3&amp;refID=7074796&amp;Result=3","7074796")</f>
        <v>0</v>
      </c>
      <c r="B3733" t="s">
        <v>1181</v>
      </c>
      <c r="C3733" t="s">
        <v>6967</v>
      </c>
      <c r="D3733" t="s">
        <v>16627</v>
      </c>
      <c r="E3733" t="s">
        <v>20077</v>
      </c>
      <c r="F3733" t="s">
        <v>28669</v>
      </c>
      <c r="G3733" t="s">
        <v>28678</v>
      </c>
      <c r="H3733" t="s">
        <v>9998</v>
      </c>
      <c r="I3733" t="s">
        <v>28690</v>
      </c>
      <c r="J3733" t="s">
        <v>31253</v>
      </c>
      <c r="K3733" t="s">
        <v>37204</v>
      </c>
      <c r="M3733" t="s">
        <v>38721</v>
      </c>
      <c r="N3733" t="s">
        <v>41249</v>
      </c>
      <c r="O3733" t="s">
        <v>41250</v>
      </c>
      <c r="P3733">
        <v>0</v>
      </c>
      <c r="Q3733">
        <v>4</v>
      </c>
      <c r="R3733" t="s">
        <v>41252</v>
      </c>
      <c r="S3733" t="s">
        <v>41383</v>
      </c>
      <c r="T3733" t="s">
        <v>42758</v>
      </c>
      <c r="U3733" t="s">
        <v>45629</v>
      </c>
      <c r="V3733" t="s">
        <v>54653</v>
      </c>
      <c r="W3733" t="s">
        <v>38721</v>
      </c>
      <c r="X3733" t="s">
        <v>41254</v>
      </c>
    </row>
    <row r="3734" spans="1:24">
      <c r="A3734">
        <f>HYPERLINK("https://www.philgeps.gov.ph/GEPSNONPILOT/Tender/SplashBidNoticeAbstractUI.aspx?menuIndex=3&amp;refID=7074952&amp;Result=3","7074952")</f>
        <v>0</v>
      </c>
      <c r="B3734" t="s">
        <v>601</v>
      </c>
      <c r="C3734" t="s">
        <v>6968</v>
      </c>
      <c r="D3734" t="s">
        <v>16608</v>
      </c>
      <c r="E3734" t="s">
        <v>20078</v>
      </c>
      <c r="F3734" t="s">
        <v>28669</v>
      </c>
      <c r="G3734" t="s">
        <v>28676</v>
      </c>
      <c r="H3734" t="s">
        <v>9998</v>
      </c>
      <c r="I3734" t="s">
        <v>28693</v>
      </c>
      <c r="J3734" t="s">
        <v>28990</v>
      </c>
      <c r="K3734" t="s">
        <v>37209</v>
      </c>
      <c r="M3734" t="s">
        <v>38192</v>
      </c>
      <c r="N3734" t="s">
        <v>41249</v>
      </c>
      <c r="O3734" t="s">
        <v>41250</v>
      </c>
      <c r="P3734">
        <v>0</v>
      </c>
      <c r="Q3734">
        <v>1</v>
      </c>
      <c r="R3734" t="s">
        <v>41252</v>
      </c>
      <c r="S3734" t="s">
        <v>41383</v>
      </c>
      <c r="T3734" t="s">
        <v>42802</v>
      </c>
      <c r="U3734" t="s">
        <v>46318</v>
      </c>
      <c r="V3734" t="s">
        <v>54425</v>
      </c>
      <c r="W3734" t="s">
        <v>38192</v>
      </c>
      <c r="X3734" t="s">
        <v>41254</v>
      </c>
    </row>
    <row r="3735" spans="1:24">
      <c r="A3735">
        <f>HYPERLINK("https://www.philgeps.gov.ph/GEPSNONPILOT/Tender/SplashBidNoticeAbstractUI.aspx?menuIndex=3&amp;refID=7075004&amp;Result=3","7075004")</f>
        <v>0</v>
      </c>
      <c r="B3735" t="s">
        <v>881</v>
      </c>
      <c r="C3735" t="s">
        <v>6969</v>
      </c>
      <c r="D3735" t="s">
        <v>16652</v>
      </c>
      <c r="E3735" t="s">
        <v>20079</v>
      </c>
      <c r="F3735" t="s">
        <v>28669</v>
      </c>
      <c r="G3735" t="s">
        <v>28676</v>
      </c>
      <c r="H3735" t="s">
        <v>9998</v>
      </c>
      <c r="I3735" t="s">
        <v>7352</v>
      </c>
      <c r="J3735" t="s">
        <v>31254</v>
      </c>
      <c r="K3735" t="s">
        <v>37204</v>
      </c>
      <c r="M3735" t="s">
        <v>38401</v>
      </c>
      <c r="N3735" t="s">
        <v>41249</v>
      </c>
      <c r="O3735" t="s">
        <v>41250</v>
      </c>
      <c r="P3735">
        <v>0</v>
      </c>
      <c r="Q3735">
        <v>0</v>
      </c>
      <c r="R3735" t="s">
        <v>41252</v>
      </c>
      <c r="S3735" t="s">
        <v>41383</v>
      </c>
      <c r="T3735" t="s">
        <v>42752</v>
      </c>
      <c r="U3735" t="s">
        <v>46319</v>
      </c>
      <c r="V3735" t="s">
        <v>54675</v>
      </c>
      <c r="W3735" t="s">
        <v>55935</v>
      </c>
      <c r="X3735" t="s">
        <v>41254</v>
      </c>
    </row>
    <row r="3736" spans="1:24">
      <c r="A3736">
        <f>HYPERLINK("https://www.philgeps.gov.ph/GEPSNONPILOT/Tender/SplashBidNoticeAbstractUI.aspx?menuIndex=3&amp;refID=7074955&amp;Result=3","7074955")</f>
        <v>0</v>
      </c>
      <c r="B3736" t="s">
        <v>114</v>
      </c>
      <c r="C3736" t="s">
        <v>6970</v>
      </c>
      <c r="D3736" t="s">
        <v>16608</v>
      </c>
      <c r="E3736" t="s">
        <v>20080</v>
      </c>
      <c r="F3736" t="s">
        <v>28669</v>
      </c>
      <c r="G3736" t="s">
        <v>28677</v>
      </c>
      <c r="H3736" t="s">
        <v>9998</v>
      </c>
      <c r="I3736" t="s">
        <v>5286</v>
      </c>
      <c r="J3736" t="s">
        <v>31255</v>
      </c>
      <c r="K3736" t="s">
        <v>37210</v>
      </c>
      <c r="M3736" t="s">
        <v>37793</v>
      </c>
      <c r="N3736" t="s">
        <v>41249</v>
      </c>
      <c r="O3736" t="s">
        <v>41250</v>
      </c>
      <c r="P3736">
        <v>0</v>
      </c>
      <c r="Q3736">
        <v>2</v>
      </c>
      <c r="R3736" t="s">
        <v>41252</v>
      </c>
      <c r="S3736" t="s">
        <v>41383</v>
      </c>
      <c r="T3736" t="s">
        <v>42878</v>
      </c>
      <c r="U3736" t="s">
        <v>46320</v>
      </c>
      <c r="V3736" t="s">
        <v>54326</v>
      </c>
      <c r="W3736" t="s">
        <v>37793</v>
      </c>
      <c r="X3736" t="s">
        <v>41254</v>
      </c>
    </row>
    <row r="3737" spans="1:24">
      <c r="A3737">
        <f>HYPERLINK("https://www.philgeps.gov.ph/GEPSNONPILOT/Tender/SplashBidNoticeAbstractUI.aspx?menuIndex=3&amp;refID=7075000&amp;Result=3","7075000")</f>
        <v>0</v>
      </c>
      <c r="B3737" t="s">
        <v>1427</v>
      </c>
      <c r="C3737" t="s">
        <v>6971</v>
      </c>
      <c r="D3737" t="s">
        <v>16630</v>
      </c>
      <c r="E3737" t="s">
        <v>19075</v>
      </c>
      <c r="F3737" t="s">
        <v>28669</v>
      </c>
      <c r="G3737" t="s">
        <v>28676</v>
      </c>
      <c r="H3737" t="s">
        <v>9998</v>
      </c>
      <c r="I3737" t="s">
        <v>28722</v>
      </c>
      <c r="J3737" t="s">
        <v>31256</v>
      </c>
      <c r="K3737" t="s">
        <v>37209</v>
      </c>
      <c r="M3737" t="s">
        <v>38990</v>
      </c>
      <c r="N3737" t="s">
        <v>41249</v>
      </c>
      <c r="O3737" t="s">
        <v>41250</v>
      </c>
      <c r="P3737">
        <v>0</v>
      </c>
      <c r="Q3737">
        <v>1</v>
      </c>
      <c r="R3737" t="s">
        <v>41252</v>
      </c>
      <c r="S3737" t="s">
        <v>41383</v>
      </c>
      <c r="T3737" t="s">
        <v>42748</v>
      </c>
      <c r="U3737" t="s">
        <v>46321</v>
      </c>
      <c r="W3737" t="s">
        <v>38990</v>
      </c>
      <c r="X3737" t="s">
        <v>41254</v>
      </c>
    </row>
    <row r="3738" spans="1:24">
      <c r="A3738">
        <f>HYPERLINK("https://www.philgeps.gov.ph/GEPSNONPILOT/Tender/SplashBidNoticeAbstractUI.aspx?menuIndex=3&amp;refID=7074998&amp;Result=3","7074998")</f>
        <v>0</v>
      </c>
      <c r="B3738" t="s">
        <v>853</v>
      </c>
      <c r="C3738" t="s">
        <v>6972</v>
      </c>
      <c r="D3738" t="s">
        <v>16617</v>
      </c>
      <c r="E3738" t="s">
        <v>20081</v>
      </c>
      <c r="F3738" t="s">
        <v>28669</v>
      </c>
      <c r="G3738" t="s">
        <v>28675</v>
      </c>
      <c r="H3738" t="s">
        <v>28684</v>
      </c>
      <c r="I3738" t="s">
        <v>28726</v>
      </c>
      <c r="J3738" t="s">
        <v>31257</v>
      </c>
      <c r="K3738" t="s">
        <v>37213</v>
      </c>
      <c r="M3738" t="s">
        <v>38369</v>
      </c>
      <c r="N3738" t="s">
        <v>41249</v>
      </c>
      <c r="O3738" t="s">
        <v>41250</v>
      </c>
      <c r="P3738">
        <v>0</v>
      </c>
      <c r="Q3738">
        <v>2</v>
      </c>
      <c r="R3738" t="s">
        <v>41252</v>
      </c>
      <c r="S3738" t="s">
        <v>41383</v>
      </c>
      <c r="T3738" t="s">
        <v>42692</v>
      </c>
      <c r="U3738" t="s">
        <v>44874</v>
      </c>
      <c r="V3738" t="s">
        <v>54665</v>
      </c>
      <c r="W3738" t="s">
        <v>38369</v>
      </c>
      <c r="X3738" t="s">
        <v>41254</v>
      </c>
    </row>
    <row r="3739" spans="1:24">
      <c r="A3739">
        <f>HYPERLINK("https://www.philgeps.gov.ph/GEPSNONPILOT/Tender/SplashBidNoticeAbstractUI.aspx?menuIndex=3&amp;refID=7074820&amp;Result=3","7074820")</f>
        <v>0</v>
      </c>
      <c r="B3739" t="s">
        <v>191</v>
      </c>
      <c r="C3739" t="s">
        <v>6973</v>
      </c>
      <c r="D3739" t="s">
        <v>16614</v>
      </c>
      <c r="E3739" t="s">
        <v>20082</v>
      </c>
      <c r="F3739" t="s">
        <v>28669</v>
      </c>
      <c r="G3739" t="s">
        <v>28675</v>
      </c>
      <c r="H3739" t="s">
        <v>9998</v>
      </c>
      <c r="I3739" t="s">
        <v>7352</v>
      </c>
      <c r="J3739" t="s">
        <v>31258</v>
      </c>
      <c r="K3739" t="s">
        <v>37220</v>
      </c>
      <c r="M3739" t="s">
        <v>37669</v>
      </c>
      <c r="N3739" t="s">
        <v>41249</v>
      </c>
      <c r="O3739" t="s">
        <v>41250</v>
      </c>
      <c r="P3739">
        <v>0</v>
      </c>
      <c r="Q3739">
        <v>0</v>
      </c>
      <c r="R3739" t="s">
        <v>41252</v>
      </c>
      <c r="S3739" t="s">
        <v>41383</v>
      </c>
      <c r="T3739" t="s">
        <v>42679</v>
      </c>
      <c r="U3739" t="s">
        <v>46322</v>
      </c>
      <c r="W3739" t="s">
        <v>37669</v>
      </c>
      <c r="X3739" t="s">
        <v>41254</v>
      </c>
    </row>
    <row r="3740" spans="1:24">
      <c r="A3740">
        <f>HYPERLINK("https://www.philgeps.gov.ph/GEPSNONPILOT/Tender/SplashBidNoticeAbstractUI.aspx?menuIndex=3&amp;refID=7074996&amp;Result=3","7074996")</f>
        <v>0</v>
      </c>
      <c r="B3740" t="s">
        <v>1428</v>
      </c>
      <c r="C3740" t="s">
        <v>5868</v>
      </c>
      <c r="D3740" t="s">
        <v>16619</v>
      </c>
      <c r="E3740" t="s">
        <v>20083</v>
      </c>
      <c r="F3740" t="s">
        <v>28671</v>
      </c>
      <c r="G3740" t="s">
        <v>28676</v>
      </c>
      <c r="H3740" t="s">
        <v>9998</v>
      </c>
      <c r="I3740" t="s">
        <v>28688</v>
      </c>
      <c r="J3740" t="s">
        <v>29305</v>
      </c>
      <c r="K3740" t="s">
        <v>37208</v>
      </c>
      <c r="M3740" t="s">
        <v>38991</v>
      </c>
      <c r="N3740" t="s">
        <v>41249</v>
      </c>
      <c r="O3740" t="s">
        <v>41250</v>
      </c>
      <c r="P3740">
        <v>0</v>
      </c>
      <c r="Q3740">
        <v>1</v>
      </c>
      <c r="R3740" t="s">
        <v>41252</v>
      </c>
      <c r="S3740" t="s">
        <v>41383</v>
      </c>
      <c r="T3740" t="s">
        <v>42730</v>
      </c>
      <c r="U3740" t="s">
        <v>45443</v>
      </c>
      <c r="W3740" t="s">
        <v>38991</v>
      </c>
      <c r="X3740" t="s">
        <v>41254</v>
      </c>
    </row>
    <row r="3741" spans="1:24">
      <c r="A3741">
        <f>HYPERLINK("https://www.philgeps.gov.ph/GEPSNONPILOT/Tender/SplashBidNoticeAbstractUI.aspx?menuIndex=3&amp;refID=7074995&amp;Result=3","7074995")</f>
        <v>0</v>
      </c>
      <c r="B3741" t="s">
        <v>1098</v>
      </c>
      <c r="C3741" t="s">
        <v>6974</v>
      </c>
      <c r="D3741" t="s">
        <v>16633</v>
      </c>
      <c r="E3741" t="s">
        <v>20084</v>
      </c>
      <c r="F3741" t="s">
        <v>28669</v>
      </c>
      <c r="G3741" t="s">
        <v>28676</v>
      </c>
      <c r="H3741" t="s">
        <v>9998</v>
      </c>
      <c r="I3741" t="s">
        <v>28708</v>
      </c>
      <c r="J3741" t="s">
        <v>31259</v>
      </c>
      <c r="K3741" t="s">
        <v>37206</v>
      </c>
      <c r="M3741" t="s">
        <v>38992</v>
      </c>
      <c r="N3741" t="s">
        <v>41249</v>
      </c>
      <c r="O3741" t="s">
        <v>41250</v>
      </c>
      <c r="P3741">
        <v>0</v>
      </c>
      <c r="Q3741">
        <v>1</v>
      </c>
      <c r="R3741" t="s">
        <v>41252</v>
      </c>
      <c r="S3741" t="s">
        <v>41383</v>
      </c>
      <c r="T3741" t="s">
        <v>42743</v>
      </c>
      <c r="U3741" t="s">
        <v>46323</v>
      </c>
      <c r="W3741" t="s">
        <v>38992</v>
      </c>
      <c r="X3741" t="s">
        <v>41254</v>
      </c>
    </row>
    <row r="3742" spans="1:24">
      <c r="A3742">
        <f>HYPERLINK("https://www.philgeps.gov.ph/GEPSNONPILOT/Tender/SplashBidNoticeAbstractUI.aspx?menuIndex=3&amp;refID=7074993&amp;Result=3","7074993")</f>
        <v>0</v>
      </c>
      <c r="B3742" t="s">
        <v>1429</v>
      </c>
      <c r="C3742" t="s">
        <v>6975</v>
      </c>
      <c r="D3742" t="s">
        <v>16643</v>
      </c>
      <c r="E3742" t="s">
        <v>20085</v>
      </c>
      <c r="F3742" t="s">
        <v>28669</v>
      </c>
      <c r="G3742" t="s">
        <v>28676</v>
      </c>
      <c r="H3742" t="s">
        <v>9998</v>
      </c>
      <c r="I3742" t="s">
        <v>28733</v>
      </c>
      <c r="J3742" t="s">
        <v>29317</v>
      </c>
      <c r="K3742" t="s">
        <v>37210</v>
      </c>
      <c r="M3742" t="s">
        <v>38993</v>
      </c>
      <c r="N3742" t="s">
        <v>41249</v>
      </c>
      <c r="O3742" t="s">
        <v>41250</v>
      </c>
      <c r="P3742">
        <v>0</v>
      </c>
      <c r="Q3742">
        <v>3</v>
      </c>
      <c r="R3742" t="s">
        <v>41252</v>
      </c>
      <c r="S3742" t="s">
        <v>41383</v>
      </c>
      <c r="T3742" t="s">
        <v>42729</v>
      </c>
      <c r="U3742" t="s">
        <v>46324</v>
      </c>
      <c r="W3742" t="s">
        <v>38993</v>
      </c>
      <c r="X3742" t="s">
        <v>41254</v>
      </c>
    </row>
    <row r="3743" spans="1:24">
      <c r="A3743">
        <f>HYPERLINK("https://www.philgeps.gov.ph/GEPSNONPILOT/Tender/SplashBidNoticeAbstractUI.aspx?menuIndex=3&amp;refID=7074991&amp;Result=3","7074991")</f>
        <v>0</v>
      </c>
      <c r="B3743" t="s">
        <v>1181</v>
      </c>
      <c r="C3743" t="s">
        <v>6976</v>
      </c>
      <c r="D3743" t="s">
        <v>16627</v>
      </c>
      <c r="E3743" t="s">
        <v>20086</v>
      </c>
      <c r="F3743" t="s">
        <v>28669</v>
      </c>
      <c r="G3743" t="s">
        <v>28678</v>
      </c>
      <c r="H3743" t="s">
        <v>9998</v>
      </c>
      <c r="I3743" t="s">
        <v>28754</v>
      </c>
      <c r="J3743" t="s">
        <v>30539</v>
      </c>
      <c r="K3743" t="s">
        <v>37204</v>
      </c>
      <c r="M3743" t="s">
        <v>38721</v>
      </c>
      <c r="N3743" t="s">
        <v>41249</v>
      </c>
      <c r="O3743" t="s">
        <v>41250</v>
      </c>
      <c r="P3743">
        <v>0</v>
      </c>
      <c r="Q3743">
        <v>3</v>
      </c>
      <c r="R3743" t="s">
        <v>41252</v>
      </c>
      <c r="S3743" t="s">
        <v>41383</v>
      </c>
      <c r="T3743" t="s">
        <v>42758</v>
      </c>
      <c r="U3743" t="s">
        <v>45629</v>
      </c>
      <c r="V3743" t="s">
        <v>54653</v>
      </c>
      <c r="W3743" t="s">
        <v>38721</v>
      </c>
      <c r="X3743" t="s">
        <v>41254</v>
      </c>
    </row>
    <row r="3744" spans="1:24">
      <c r="A3744">
        <f>HYPERLINK("https://www.philgeps.gov.ph/GEPSNONPILOT/Tender/SplashBidNoticeAbstractUI.aspx?menuIndex=3&amp;refID=7074990&amp;Result=3","7074990")</f>
        <v>0</v>
      </c>
      <c r="B3744" t="s">
        <v>1430</v>
      </c>
      <c r="C3744" t="s">
        <v>6977</v>
      </c>
      <c r="E3744" t="s">
        <v>20087</v>
      </c>
      <c r="F3744" t="s">
        <v>28669</v>
      </c>
      <c r="G3744" t="s">
        <v>28675</v>
      </c>
      <c r="H3744" t="s">
        <v>9998</v>
      </c>
      <c r="I3744" t="s">
        <v>28687</v>
      </c>
      <c r="J3744" t="s">
        <v>29088</v>
      </c>
      <c r="K3744" t="s">
        <v>37209</v>
      </c>
      <c r="M3744" t="s">
        <v>38994</v>
      </c>
      <c r="N3744" t="s">
        <v>41249</v>
      </c>
      <c r="O3744" t="s">
        <v>41250</v>
      </c>
      <c r="P3744">
        <v>0</v>
      </c>
      <c r="Q3744">
        <v>0</v>
      </c>
      <c r="R3744" t="s">
        <v>41252</v>
      </c>
      <c r="S3744" t="s">
        <v>41383</v>
      </c>
      <c r="T3744" t="s">
        <v>42714</v>
      </c>
      <c r="U3744" t="s">
        <v>46325</v>
      </c>
      <c r="W3744" t="s">
        <v>38994</v>
      </c>
      <c r="X3744" t="s">
        <v>41254</v>
      </c>
    </row>
    <row r="3745" spans="1:24">
      <c r="A3745">
        <f>HYPERLINK("https://www.philgeps.gov.ph/GEPSNONPILOT/Tender/SplashBidNoticeAbstractUI.aspx?menuIndex=3&amp;refID=7074989&amp;Result=3","7074989")</f>
        <v>0</v>
      </c>
      <c r="B3745" t="s">
        <v>124</v>
      </c>
      <c r="C3745" t="s">
        <v>6978</v>
      </c>
      <c r="E3745" t="s">
        <v>20088</v>
      </c>
      <c r="F3745" t="s">
        <v>28669</v>
      </c>
      <c r="G3745" t="s">
        <v>28676</v>
      </c>
      <c r="H3745" t="s">
        <v>9998</v>
      </c>
      <c r="I3745" t="s">
        <v>15140</v>
      </c>
      <c r="J3745" t="s">
        <v>31260</v>
      </c>
      <c r="K3745" t="s">
        <v>37243</v>
      </c>
      <c r="M3745" t="s">
        <v>37600</v>
      </c>
      <c r="N3745" t="s">
        <v>41249</v>
      </c>
      <c r="O3745" t="s">
        <v>41250</v>
      </c>
      <c r="P3745">
        <v>0</v>
      </c>
      <c r="Q3745">
        <v>0</v>
      </c>
      <c r="R3745" t="s">
        <v>41252</v>
      </c>
      <c r="S3745" t="s">
        <v>41383</v>
      </c>
      <c r="T3745" t="s">
        <v>42802</v>
      </c>
      <c r="U3745" t="s">
        <v>46326</v>
      </c>
      <c r="W3745" t="s">
        <v>37600</v>
      </c>
      <c r="X3745" t="s">
        <v>41254</v>
      </c>
    </row>
    <row r="3746" spans="1:24">
      <c r="A3746">
        <f>HYPERLINK("https://www.philgeps.gov.ph/GEPSNONPILOT/Tender/SplashBidNoticeAbstractUI.aspx?menuIndex=3&amp;refID=7074987&amp;Result=3","7074987")</f>
        <v>0</v>
      </c>
      <c r="B3746" t="s">
        <v>697</v>
      </c>
      <c r="C3746" t="s">
        <v>6979</v>
      </c>
      <c r="D3746" t="s">
        <v>16608</v>
      </c>
      <c r="E3746" t="s">
        <v>20089</v>
      </c>
      <c r="F3746" t="s">
        <v>28669</v>
      </c>
      <c r="G3746" t="s">
        <v>28676</v>
      </c>
      <c r="H3746" t="s">
        <v>9998</v>
      </c>
      <c r="I3746" t="s">
        <v>7352</v>
      </c>
      <c r="J3746" t="s">
        <v>31261</v>
      </c>
      <c r="K3746" t="s">
        <v>37227</v>
      </c>
      <c r="M3746" t="s">
        <v>38803</v>
      </c>
      <c r="N3746" t="s">
        <v>41249</v>
      </c>
      <c r="O3746" t="s">
        <v>41250</v>
      </c>
      <c r="P3746">
        <v>0</v>
      </c>
      <c r="Q3746">
        <v>3</v>
      </c>
      <c r="R3746" t="s">
        <v>41252</v>
      </c>
      <c r="S3746" t="s">
        <v>41383</v>
      </c>
      <c r="T3746" t="s">
        <v>42736</v>
      </c>
      <c r="U3746" t="s">
        <v>46270</v>
      </c>
      <c r="V3746" t="s">
        <v>54666</v>
      </c>
      <c r="W3746" t="s">
        <v>38803</v>
      </c>
      <c r="X3746" t="s">
        <v>41254</v>
      </c>
    </row>
    <row r="3747" spans="1:24">
      <c r="A3747">
        <f>HYPERLINK("https://www.philgeps.gov.ph/GEPSNONPILOT/Tender/SplashBidNoticeAbstractUI.aspx?menuIndex=3&amp;refID=7075001&amp;Result=3","7075001")</f>
        <v>0</v>
      </c>
      <c r="B3747" t="s">
        <v>51</v>
      </c>
      <c r="C3747" t="s">
        <v>6089</v>
      </c>
      <c r="D3747" t="s">
        <v>16631</v>
      </c>
      <c r="E3747" t="s">
        <v>20090</v>
      </c>
      <c r="F3747" t="s">
        <v>28669</v>
      </c>
      <c r="G3747" t="s">
        <v>28676</v>
      </c>
      <c r="H3747" t="s">
        <v>9998</v>
      </c>
      <c r="I3747" t="s">
        <v>28690</v>
      </c>
      <c r="J3747" t="s">
        <v>31262</v>
      </c>
      <c r="K3747" t="s">
        <v>37204</v>
      </c>
      <c r="M3747" t="s">
        <v>38699</v>
      </c>
      <c r="N3747" t="s">
        <v>41249</v>
      </c>
      <c r="O3747" t="s">
        <v>41250</v>
      </c>
      <c r="P3747">
        <v>0</v>
      </c>
      <c r="Q3747">
        <v>1</v>
      </c>
      <c r="R3747" t="s">
        <v>41252</v>
      </c>
      <c r="S3747" t="s">
        <v>41383</v>
      </c>
      <c r="T3747" t="s">
        <v>42670</v>
      </c>
      <c r="U3747" t="s">
        <v>46327</v>
      </c>
      <c r="W3747" t="s">
        <v>38699</v>
      </c>
      <c r="X3747" t="s">
        <v>41254</v>
      </c>
    </row>
    <row r="3748" spans="1:24">
      <c r="A3748">
        <f>HYPERLINK("https://www.philgeps.gov.ph/GEPSNONPILOT/Tender/SplashBidNoticeAbstractUI.aspx?menuIndex=3&amp;refID=7074985&amp;Result=3","7074985")</f>
        <v>0</v>
      </c>
      <c r="B3748" t="s">
        <v>747</v>
      </c>
      <c r="C3748" t="s">
        <v>6980</v>
      </c>
      <c r="D3748" t="s">
        <v>16657</v>
      </c>
      <c r="E3748" t="s">
        <v>6980</v>
      </c>
      <c r="F3748" t="s">
        <v>28669</v>
      </c>
      <c r="G3748" t="s">
        <v>28677</v>
      </c>
      <c r="H3748" t="s">
        <v>9998</v>
      </c>
      <c r="I3748" t="s">
        <v>28688</v>
      </c>
      <c r="J3748" t="s">
        <v>28894</v>
      </c>
      <c r="K3748" t="s">
        <v>37243</v>
      </c>
      <c r="M3748" t="s">
        <v>38257</v>
      </c>
      <c r="N3748" t="s">
        <v>41249</v>
      </c>
      <c r="O3748" t="s">
        <v>41250</v>
      </c>
      <c r="P3748">
        <v>0</v>
      </c>
      <c r="Q3748">
        <v>1</v>
      </c>
      <c r="R3748" t="s">
        <v>41252</v>
      </c>
      <c r="S3748" t="s">
        <v>41383</v>
      </c>
      <c r="T3748" t="s">
        <v>42767</v>
      </c>
      <c r="U3748" t="s">
        <v>46328</v>
      </c>
      <c r="W3748" t="s">
        <v>38257</v>
      </c>
      <c r="X3748" t="s">
        <v>41254</v>
      </c>
    </row>
    <row r="3749" spans="1:24">
      <c r="A3749">
        <f>HYPERLINK("https://www.philgeps.gov.ph/GEPSNONPILOT/Tender/SplashBidNoticeAbstractUI.aspx?menuIndex=3&amp;refID=7074983&amp;Result=3","7074983")</f>
        <v>0</v>
      </c>
      <c r="B3749" t="s">
        <v>273</v>
      </c>
      <c r="C3749" t="s">
        <v>6981</v>
      </c>
      <c r="D3749" t="s">
        <v>16618</v>
      </c>
      <c r="E3749" t="s">
        <v>20091</v>
      </c>
      <c r="F3749" t="s">
        <v>28669</v>
      </c>
      <c r="G3749" t="s">
        <v>28675</v>
      </c>
      <c r="H3749" t="s">
        <v>28686</v>
      </c>
      <c r="I3749" t="s">
        <v>28689</v>
      </c>
      <c r="J3749" t="s">
        <v>31263</v>
      </c>
      <c r="K3749" t="s">
        <v>37206</v>
      </c>
      <c r="M3749" t="s">
        <v>37751</v>
      </c>
      <c r="N3749" t="s">
        <v>41249</v>
      </c>
      <c r="O3749" t="s">
        <v>41250</v>
      </c>
      <c r="P3749">
        <v>0</v>
      </c>
      <c r="Q3749">
        <v>0</v>
      </c>
      <c r="R3749" t="s">
        <v>41252</v>
      </c>
      <c r="S3749" t="s">
        <v>41383</v>
      </c>
      <c r="T3749" t="s">
        <v>42713</v>
      </c>
      <c r="U3749" t="s">
        <v>46329</v>
      </c>
      <c r="W3749" t="s">
        <v>37751</v>
      </c>
      <c r="X3749" t="s">
        <v>41254</v>
      </c>
    </row>
    <row r="3750" spans="1:24">
      <c r="A3750">
        <f>HYPERLINK("https://www.philgeps.gov.ph/GEPSNONPILOT/Tender/SplashBidNoticeAbstractUI.aspx?menuIndex=3&amp;refID=7074994&amp;Result=3","7074994")</f>
        <v>0</v>
      </c>
      <c r="B3750" t="s">
        <v>1431</v>
      </c>
      <c r="C3750" t="s">
        <v>6982</v>
      </c>
      <c r="D3750" t="s">
        <v>16694</v>
      </c>
      <c r="E3750" t="s">
        <v>20092</v>
      </c>
      <c r="F3750" t="s">
        <v>28669</v>
      </c>
      <c r="G3750" t="s">
        <v>28676</v>
      </c>
      <c r="H3750" t="s">
        <v>28684</v>
      </c>
      <c r="I3750" t="s">
        <v>28728</v>
      </c>
      <c r="J3750" t="s">
        <v>31264</v>
      </c>
      <c r="K3750" t="s">
        <v>37299</v>
      </c>
      <c r="M3750" t="s">
        <v>38995</v>
      </c>
      <c r="N3750" t="s">
        <v>41249</v>
      </c>
      <c r="O3750" t="s">
        <v>41250</v>
      </c>
      <c r="P3750">
        <v>0</v>
      </c>
      <c r="Q3750">
        <v>1</v>
      </c>
      <c r="R3750" t="s">
        <v>41252</v>
      </c>
      <c r="S3750" t="s">
        <v>41383</v>
      </c>
      <c r="T3750" t="s">
        <v>42748</v>
      </c>
      <c r="U3750" t="s">
        <v>46330</v>
      </c>
      <c r="W3750" t="s">
        <v>38995</v>
      </c>
      <c r="X3750" t="s">
        <v>41254</v>
      </c>
    </row>
    <row r="3751" spans="1:24">
      <c r="A3751">
        <f>HYPERLINK("https://www.philgeps.gov.ph/GEPSNONPILOT/Tender/SplashBidNoticeAbstractUI.aspx?menuIndex=3&amp;refID=7074981&amp;Result=3","7074981")</f>
        <v>0</v>
      </c>
      <c r="B3751" t="s">
        <v>1432</v>
      </c>
      <c r="C3751" t="s">
        <v>6983</v>
      </c>
      <c r="D3751" t="s">
        <v>16635</v>
      </c>
      <c r="E3751" t="s">
        <v>20093</v>
      </c>
      <c r="F3751" t="s">
        <v>28669</v>
      </c>
      <c r="G3751" t="s">
        <v>28675</v>
      </c>
      <c r="H3751" t="s">
        <v>9998</v>
      </c>
      <c r="I3751" t="s">
        <v>7352</v>
      </c>
      <c r="J3751" t="s">
        <v>31265</v>
      </c>
      <c r="K3751" t="s">
        <v>37209</v>
      </c>
      <c r="M3751" t="s">
        <v>38996</v>
      </c>
      <c r="N3751" t="s">
        <v>41249</v>
      </c>
      <c r="O3751" t="s">
        <v>41250</v>
      </c>
      <c r="P3751">
        <v>0</v>
      </c>
      <c r="Q3751">
        <v>0</v>
      </c>
      <c r="R3751" t="s">
        <v>41252</v>
      </c>
      <c r="S3751" t="s">
        <v>41383</v>
      </c>
      <c r="T3751" t="s">
        <v>42943</v>
      </c>
      <c r="U3751" t="s">
        <v>46331</v>
      </c>
      <c r="V3751" t="s">
        <v>54676</v>
      </c>
      <c r="W3751" t="s">
        <v>38996</v>
      </c>
      <c r="X3751" t="s">
        <v>41254</v>
      </c>
    </row>
    <row r="3752" spans="1:24">
      <c r="A3752">
        <f>HYPERLINK("https://www.philgeps.gov.ph/GEPSNONPILOT/Tender/SplashBidNoticeAbstractUI.aspx?menuIndex=3&amp;refID=7074878&amp;Result=3","7074878")</f>
        <v>0</v>
      </c>
      <c r="B3752" t="s">
        <v>1433</v>
      </c>
      <c r="C3752" t="s">
        <v>6984</v>
      </c>
      <c r="E3752" t="s">
        <v>20094</v>
      </c>
      <c r="F3752" t="s">
        <v>28669</v>
      </c>
      <c r="G3752" t="s">
        <v>28676</v>
      </c>
      <c r="H3752" t="s">
        <v>9998</v>
      </c>
      <c r="I3752" t="s">
        <v>8667</v>
      </c>
      <c r="J3752" t="s">
        <v>31266</v>
      </c>
      <c r="K3752" t="s">
        <v>37209</v>
      </c>
      <c r="M3752" t="s">
        <v>38997</v>
      </c>
      <c r="N3752" t="s">
        <v>41249</v>
      </c>
      <c r="O3752" t="s">
        <v>41250</v>
      </c>
      <c r="P3752">
        <v>0</v>
      </c>
      <c r="Q3752">
        <v>2</v>
      </c>
      <c r="R3752" t="s">
        <v>41252</v>
      </c>
      <c r="S3752" t="s">
        <v>41383</v>
      </c>
      <c r="T3752" t="s">
        <v>42729</v>
      </c>
      <c r="U3752" t="s">
        <v>46332</v>
      </c>
      <c r="W3752" t="s">
        <v>38997</v>
      </c>
      <c r="X3752" t="s">
        <v>41254</v>
      </c>
    </row>
    <row r="3753" spans="1:24">
      <c r="A3753">
        <f>HYPERLINK("https://www.philgeps.gov.ph/GEPSNONPILOT/Tender/SplashBidNoticeAbstractUI.aspx?menuIndex=3&amp;refID=7075003&amp;Result=3","7075003")</f>
        <v>0</v>
      </c>
      <c r="B3753" t="s">
        <v>1434</v>
      </c>
      <c r="C3753" t="s">
        <v>6985</v>
      </c>
      <c r="D3753" t="s">
        <v>16620</v>
      </c>
      <c r="E3753" t="s">
        <v>18967</v>
      </c>
      <c r="F3753" t="s">
        <v>28669</v>
      </c>
      <c r="G3753" t="s">
        <v>28675</v>
      </c>
      <c r="H3753" t="s">
        <v>9998</v>
      </c>
      <c r="I3753" t="s">
        <v>28712</v>
      </c>
      <c r="J3753" t="s">
        <v>31267</v>
      </c>
      <c r="K3753" t="s">
        <v>37206</v>
      </c>
      <c r="M3753" t="s">
        <v>38998</v>
      </c>
      <c r="N3753" t="s">
        <v>41249</v>
      </c>
      <c r="O3753" t="s">
        <v>41250</v>
      </c>
      <c r="P3753">
        <v>0</v>
      </c>
      <c r="Q3753">
        <v>1</v>
      </c>
      <c r="R3753" t="s">
        <v>41252</v>
      </c>
      <c r="S3753" t="s">
        <v>41383</v>
      </c>
      <c r="T3753" t="s">
        <v>42662</v>
      </c>
      <c r="U3753" t="s">
        <v>46333</v>
      </c>
      <c r="V3753" t="s">
        <v>54677</v>
      </c>
      <c r="W3753" t="s">
        <v>38998</v>
      </c>
      <c r="X3753" t="s">
        <v>41254</v>
      </c>
    </row>
    <row r="3754" spans="1:24">
      <c r="A3754">
        <f>HYPERLINK("https://www.philgeps.gov.ph/GEPSNONPILOT/Tender/SplashBidNoticeAbstractUI.aspx?menuIndex=3&amp;refID=7074988&amp;Result=3","7074988")</f>
        <v>0</v>
      </c>
      <c r="B3754" t="s">
        <v>252</v>
      </c>
      <c r="C3754" t="s">
        <v>6986</v>
      </c>
      <c r="D3754" t="s">
        <v>16629</v>
      </c>
      <c r="E3754" t="s">
        <v>20095</v>
      </c>
      <c r="F3754" t="s">
        <v>28669</v>
      </c>
      <c r="G3754" t="s">
        <v>28676</v>
      </c>
      <c r="H3754" t="s">
        <v>9998</v>
      </c>
      <c r="I3754" t="s">
        <v>3718</v>
      </c>
      <c r="J3754" t="s">
        <v>29040</v>
      </c>
      <c r="K3754" t="s">
        <v>37206</v>
      </c>
      <c r="M3754" t="s">
        <v>37730</v>
      </c>
      <c r="N3754" t="s">
        <v>41249</v>
      </c>
      <c r="O3754" t="s">
        <v>41250</v>
      </c>
      <c r="P3754">
        <v>0</v>
      </c>
      <c r="Q3754">
        <v>0</v>
      </c>
      <c r="R3754" t="s">
        <v>41252</v>
      </c>
      <c r="S3754" t="s">
        <v>41383</v>
      </c>
      <c r="T3754" t="s">
        <v>42736</v>
      </c>
      <c r="U3754" t="s">
        <v>46334</v>
      </c>
      <c r="V3754" t="s">
        <v>54315</v>
      </c>
      <c r="W3754" t="s">
        <v>37730</v>
      </c>
      <c r="X3754" t="s">
        <v>41254</v>
      </c>
    </row>
    <row r="3755" spans="1:24">
      <c r="A3755">
        <f>HYPERLINK("https://www.philgeps.gov.ph/GEPSNONPILOT/Tender/SplashBidNoticeAbstractUI.aspx?menuIndex=3&amp;refID=7074986&amp;Result=3","7074986")</f>
        <v>0</v>
      </c>
      <c r="B3755" t="s">
        <v>1435</v>
      </c>
      <c r="C3755" t="s">
        <v>6824</v>
      </c>
      <c r="D3755" t="s">
        <v>16684</v>
      </c>
      <c r="E3755" t="s">
        <v>20032</v>
      </c>
      <c r="F3755" t="s">
        <v>28669</v>
      </c>
      <c r="G3755" t="s">
        <v>28676</v>
      </c>
      <c r="H3755" t="s">
        <v>9998</v>
      </c>
      <c r="I3755" t="s">
        <v>5213</v>
      </c>
      <c r="J3755" t="s">
        <v>29438</v>
      </c>
      <c r="K3755" t="s">
        <v>37208</v>
      </c>
      <c r="M3755" t="s">
        <v>38999</v>
      </c>
      <c r="N3755" t="s">
        <v>41249</v>
      </c>
      <c r="O3755" t="s">
        <v>41250</v>
      </c>
      <c r="P3755">
        <v>0</v>
      </c>
      <c r="Q3755">
        <v>0</v>
      </c>
      <c r="R3755" t="s">
        <v>41252</v>
      </c>
      <c r="S3755" t="s">
        <v>41383</v>
      </c>
      <c r="T3755" t="s">
        <v>42736</v>
      </c>
      <c r="U3755" t="s">
        <v>46192</v>
      </c>
      <c r="W3755" t="s">
        <v>38999</v>
      </c>
      <c r="X3755" t="s">
        <v>41254</v>
      </c>
    </row>
    <row r="3756" spans="1:24">
      <c r="A3756">
        <f>HYPERLINK("https://www.philgeps.gov.ph/GEPSNONPILOT/Tender/SplashBidNoticeAbstractUI.aspx?menuIndex=3&amp;refID=7074984&amp;Result=3","7074984")</f>
        <v>0</v>
      </c>
      <c r="B3756" t="s">
        <v>1436</v>
      </c>
      <c r="C3756" t="s">
        <v>6987</v>
      </c>
      <c r="D3756" t="s">
        <v>16607</v>
      </c>
      <c r="E3756" t="s">
        <v>20096</v>
      </c>
      <c r="F3756" t="s">
        <v>28669</v>
      </c>
      <c r="G3756" t="s">
        <v>28675</v>
      </c>
      <c r="H3756" t="s">
        <v>28686</v>
      </c>
      <c r="I3756" t="s">
        <v>28689</v>
      </c>
      <c r="J3756" t="s">
        <v>29193</v>
      </c>
      <c r="K3756" t="s">
        <v>37221</v>
      </c>
      <c r="M3756" t="s">
        <v>39000</v>
      </c>
      <c r="N3756" t="s">
        <v>41249</v>
      </c>
      <c r="O3756" t="s">
        <v>41250</v>
      </c>
      <c r="P3756">
        <v>0</v>
      </c>
      <c r="Q3756">
        <v>2</v>
      </c>
      <c r="R3756" t="s">
        <v>41252</v>
      </c>
      <c r="S3756" t="s">
        <v>41383</v>
      </c>
      <c r="T3756" t="s">
        <v>42698</v>
      </c>
      <c r="U3756" t="s">
        <v>46335</v>
      </c>
      <c r="W3756" t="s">
        <v>39000</v>
      </c>
      <c r="X3756" t="s">
        <v>41254</v>
      </c>
    </row>
    <row r="3757" spans="1:24">
      <c r="A3757">
        <f>HYPERLINK("https://www.philgeps.gov.ph/GEPSNONPILOT/Tender/SplashBidNoticeAbstractUI.aspx?menuIndex=3&amp;refID=7075026&amp;Result=3","7075026")</f>
        <v>0</v>
      </c>
      <c r="B3757" t="s">
        <v>1389</v>
      </c>
      <c r="C3757" t="s">
        <v>6988</v>
      </c>
      <c r="D3757" t="s">
        <v>16617</v>
      </c>
      <c r="E3757" t="s">
        <v>20097</v>
      </c>
      <c r="F3757" t="s">
        <v>28669</v>
      </c>
      <c r="G3757" t="s">
        <v>28675</v>
      </c>
      <c r="H3757" t="s">
        <v>9998</v>
      </c>
      <c r="I3757" t="s">
        <v>28779</v>
      </c>
      <c r="J3757" t="s">
        <v>31268</v>
      </c>
      <c r="K3757" t="s">
        <v>37206</v>
      </c>
      <c r="M3757" t="s">
        <v>38951</v>
      </c>
      <c r="N3757" t="s">
        <v>41249</v>
      </c>
      <c r="O3757" t="s">
        <v>41250</v>
      </c>
      <c r="P3757">
        <v>0</v>
      </c>
      <c r="Q3757">
        <v>2</v>
      </c>
      <c r="R3757" t="s">
        <v>41252</v>
      </c>
      <c r="S3757" t="s">
        <v>41383</v>
      </c>
      <c r="T3757" t="s">
        <v>42782</v>
      </c>
      <c r="U3757" t="s">
        <v>46193</v>
      </c>
      <c r="W3757" t="s">
        <v>38951</v>
      </c>
      <c r="X3757" t="s">
        <v>41254</v>
      </c>
    </row>
    <row r="3758" spans="1:24">
      <c r="A3758">
        <f>HYPERLINK("https://www.philgeps.gov.ph/GEPSNONPILOT/Tender/SplashBidNoticeAbstractUI.aspx?menuIndex=3&amp;refID=7075023&amp;Result=3","7075023")</f>
        <v>0</v>
      </c>
      <c r="B3758" t="s">
        <v>1437</v>
      </c>
      <c r="C3758" t="s">
        <v>6989</v>
      </c>
      <c r="D3758" t="s">
        <v>16641</v>
      </c>
      <c r="E3758" t="s">
        <v>17266</v>
      </c>
      <c r="F3758" t="s">
        <v>28669</v>
      </c>
      <c r="G3758" t="s">
        <v>28675</v>
      </c>
      <c r="H3758" t="s">
        <v>9998</v>
      </c>
      <c r="I3758" t="s">
        <v>7352</v>
      </c>
      <c r="J3758" t="s">
        <v>31269</v>
      </c>
      <c r="K3758" t="s">
        <v>37209</v>
      </c>
      <c r="M3758" t="s">
        <v>39001</v>
      </c>
      <c r="N3758" t="s">
        <v>41249</v>
      </c>
      <c r="O3758" t="s">
        <v>41250</v>
      </c>
      <c r="P3758">
        <v>0</v>
      </c>
      <c r="Q3758">
        <v>1</v>
      </c>
      <c r="R3758" t="s">
        <v>41252</v>
      </c>
      <c r="S3758" t="s">
        <v>41383</v>
      </c>
      <c r="T3758" t="s">
        <v>42716</v>
      </c>
      <c r="U3758" t="s">
        <v>46336</v>
      </c>
      <c r="W3758" t="s">
        <v>39001</v>
      </c>
      <c r="X3758" t="s">
        <v>41254</v>
      </c>
    </row>
    <row r="3759" spans="1:24">
      <c r="A3759">
        <f>HYPERLINK("https://www.philgeps.gov.ph/GEPSNONPILOT/Tender/SplashBidNoticeAbstractUI.aspx?menuIndex=3&amp;refID=7075021&amp;Result=3","7075021")</f>
        <v>0</v>
      </c>
      <c r="B3759" t="s">
        <v>1313</v>
      </c>
      <c r="C3759" t="s">
        <v>6990</v>
      </c>
      <c r="D3759" t="s">
        <v>16621</v>
      </c>
      <c r="E3759" t="s">
        <v>20098</v>
      </c>
      <c r="F3759" t="s">
        <v>28669</v>
      </c>
      <c r="G3759" t="s">
        <v>28676</v>
      </c>
      <c r="H3759" t="s">
        <v>9998</v>
      </c>
      <c r="I3759" t="s">
        <v>28699</v>
      </c>
      <c r="J3759" t="s">
        <v>28838</v>
      </c>
      <c r="K3759" t="s">
        <v>37205</v>
      </c>
      <c r="M3759" t="s">
        <v>38865</v>
      </c>
      <c r="N3759" t="s">
        <v>41249</v>
      </c>
      <c r="O3759" t="s">
        <v>41250</v>
      </c>
      <c r="P3759">
        <v>0</v>
      </c>
      <c r="Q3759">
        <v>1</v>
      </c>
      <c r="R3759" t="s">
        <v>41252</v>
      </c>
      <c r="S3759" t="s">
        <v>41383</v>
      </c>
      <c r="T3759" t="s">
        <v>42736</v>
      </c>
      <c r="U3759" t="s">
        <v>46337</v>
      </c>
      <c r="W3759" t="s">
        <v>38865</v>
      </c>
      <c r="X3759" t="s">
        <v>41254</v>
      </c>
    </row>
    <row r="3760" spans="1:24">
      <c r="A3760">
        <f>HYPERLINK("https://www.philgeps.gov.ph/GEPSNONPILOT/Tender/SplashBidNoticeAbstractUI.aspx?menuIndex=3&amp;refID=7075008&amp;Result=3","7075008")</f>
        <v>0</v>
      </c>
      <c r="B3760" t="s">
        <v>452</v>
      </c>
      <c r="C3760" t="s">
        <v>6991</v>
      </c>
      <c r="D3760" t="s">
        <v>16608</v>
      </c>
      <c r="E3760" t="s">
        <v>20099</v>
      </c>
      <c r="F3760" t="s">
        <v>28669</v>
      </c>
      <c r="G3760" t="s">
        <v>28676</v>
      </c>
      <c r="H3760" t="s">
        <v>9998</v>
      </c>
      <c r="I3760" t="s">
        <v>6128</v>
      </c>
      <c r="J3760" t="s">
        <v>31270</v>
      </c>
      <c r="K3760" t="s">
        <v>37205</v>
      </c>
      <c r="M3760" t="s">
        <v>38261</v>
      </c>
      <c r="N3760" t="s">
        <v>41249</v>
      </c>
      <c r="O3760" t="s">
        <v>41250</v>
      </c>
      <c r="P3760">
        <v>0</v>
      </c>
      <c r="Q3760">
        <v>7</v>
      </c>
      <c r="R3760" t="s">
        <v>41252</v>
      </c>
      <c r="S3760" t="s">
        <v>41383</v>
      </c>
      <c r="T3760" t="s">
        <v>42683</v>
      </c>
      <c r="U3760" t="s">
        <v>44649</v>
      </c>
      <c r="W3760" t="s">
        <v>38261</v>
      </c>
      <c r="X3760" t="s">
        <v>41254</v>
      </c>
    </row>
    <row r="3761" spans="1:24">
      <c r="A3761">
        <f>HYPERLINK("https://www.philgeps.gov.ph/GEPSNONPILOT/Tender/SplashBidNoticeAbstractUI.aspx?menuIndex=3&amp;refID=7075028&amp;Result=3","7075028")</f>
        <v>0</v>
      </c>
      <c r="B3761" t="s">
        <v>1438</v>
      </c>
      <c r="C3761" t="s">
        <v>6992</v>
      </c>
      <c r="D3761" t="s">
        <v>16609</v>
      </c>
      <c r="E3761" t="s">
        <v>20100</v>
      </c>
      <c r="F3761" t="s">
        <v>28669</v>
      </c>
      <c r="G3761" t="s">
        <v>28676</v>
      </c>
      <c r="H3761" t="s">
        <v>9998</v>
      </c>
      <c r="I3761" t="s">
        <v>7352</v>
      </c>
      <c r="J3761" t="s">
        <v>28914</v>
      </c>
      <c r="K3761" t="s">
        <v>37206</v>
      </c>
      <c r="M3761" t="s">
        <v>39002</v>
      </c>
      <c r="N3761" t="s">
        <v>41249</v>
      </c>
      <c r="O3761" t="s">
        <v>41250</v>
      </c>
      <c r="P3761">
        <v>0</v>
      </c>
      <c r="Q3761">
        <v>0</v>
      </c>
      <c r="R3761" t="s">
        <v>41252</v>
      </c>
      <c r="S3761" t="s">
        <v>41383</v>
      </c>
      <c r="T3761" t="s">
        <v>42690</v>
      </c>
      <c r="U3761" t="s">
        <v>46338</v>
      </c>
      <c r="V3761" t="s">
        <v>54678</v>
      </c>
      <c r="W3761" t="s">
        <v>39002</v>
      </c>
      <c r="X3761" t="s">
        <v>41254</v>
      </c>
    </row>
    <row r="3762" spans="1:24">
      <c r="A3762">
        <f>HYPERLINK("https://www.philgeps.gov.ph/GEPSNONPILOT/Tender/SplashBidNoticeAbstractUI.aspx?menuIndex=3&amp;refID=7075019&amp;Result=3","7075019")</f>
        <v>0</v>
      </c>
      <c r="B3762" t="s">
        <v>1439</v>
      </c>
      <c r="C3762" t="s">
        <v>6993</v>
      </c>
      <c r="D3762" t="s">
        <v>16608</v>
      </c>
      <c r="E3762" t="s">
        <v>20101</v>
      </c>
      <c r="F3762" t="s">
        <v>28669</v>
      </c>
      <c r="G3762" t="s">
        <v>28675</v>
      </c>
      <c r="H3762" t="s">
        <v>9998</v>
      </c>
      <c r="I3762" t="s">
        <v>5286</v>
      </c>
      <c r="J3762" t="s">
        <v>31271</v>
      </c>
      <c r="K3762" t="s">
        <v>37272</v>
      </c>
      <c r="M3762" t="s">
        <v>39003</v>
      </c>
      <c r="N3762" t="s">
        <v>41249</v>
      </c>
      <c r="O3762" t="s">
        <v>41250</v>
      </c>
      <c r="Q3762">
        <v>13</v>
      </c>
      <c r="R3762" t="s">
        <v>41252</v>
      </c>
      <c r="S3762" t="s">
        <v>41403</v>
      </c>
      <c r="T3762" t="s">
        <v>42899</v>
      </c>
      <c r="U3762" t="s">
        <v>46339</v>
      </c>
      <c r="W3762" t="s">
        <v>55953</v>
      </c>
      <c r="X3762" t="s">
        <v>41254</v>
      </c>
    </row>
    <row r="3763" spans="1:24">
      <c r="A3763">
        <f>HYPERLINK("https://www.philgeps.gov.ph/GEPSNONPILOT/Tender/SplashBidNoticeAbstractUI.aspx?menuIndex=3&amp;refID=7075018&amp;Result=3","7075018")</f>
        <v>0</v>
      </c>
      <c r="B3763" t="s">
        <v>575</v>
      </c>
      <c r="C3763" t="s">
        <v>6994</v>
      </c>
      <c r="D3763" t="s">
        <v>16660</v>
      </c>
      <c r="E3763" t="s">
        <v>20102</v>
      </c>
      <c r="F3763" t="s">
        <v>28669</v>
      </c>
      <c r="G3763" t="s">
        <v>28676</v>
      </c>
      <c r="H3763" t="s">
        <v>9998</v>
      </c>
      <c r="I3763" t="s">
        <v>28719</v>
      </c>
      <c r="J3763" t="s">
        <v>29173</v>
      </c>
      <c r="K3763" t="s">
        <v>37209</v>
      </c>
      <c r="M3763" t="s">
        <v>38074</v>
      </c>
      <c r="N3763" t="s">
        <v>41249</v>
      </c>
      <c r="O3763" t="s">
        <v>41250</v>
      </c>
      <c r="P3763">
        <v>0</v>
      </c>
      <c r="Q3763">
        <v>10</v>
      </c>
      <c r="R3763" t="s">
        <v>41252</v>
      </c>
      <c r="S3763" t="s">
        <v>41383</v>
      </c>
      <c r="T3763" t="s">
        <v>42671</v>
      </c>
      <c r="U3763" t="s">
        <v>44256</v>
      </c>
      <c r="W3763" t="s">
        <v>38074</v>
      </c>
      <c r="X3763" t="s">
        <v>41254</v>
      </c>
    </row>
    <row r="3764" spans="1:24">
      <c r="A3764">
        <f>HYPERLINK("https://www.philgeps.gov.ph/GEPSNONPILOT/Tender/SplashBidNoticeAbstractUI.aspx?menuIndex=3&amp;refID=7075016&amp;Result=3","7075016")</f>
        <v>0</v>
      </c>
      <c r="B3764" t="s">
        <v>1420</v>
      </c>
      <c r="C3764" t="s">
        <v>6995</v>
      </c>
      <c r="D3764" t="s">
        <v>16673</v>
      </c>
      <c r="E3764" t="s">
        <v>20103</v>
      </c>
      <c r="F3764" t="s">
        <v>28669</v>
      </c>
      <c r="G3764" t="s">
        <v>28677</v>
      </c>
      <c r="H3764" t="s">
        <v>9998</v>
      </c>
      <c r="I3764" t="s">
        <v>28734</v>
      </c>
      <c r="J3764" t="s">
        <v>28979</v>
      </c>
      <c r="K3764" t="s">
        <v>37206</v>
      </c>
      <c r="M3764" t="s">
        <v>38983</v>
      </c>
      <c r="N3764" t="s">
        <v>41249</v>
      </c>
      <c r="O3764" t="s">
        <v>41250</v>
      </c>
      <c r="P3764">
        <v>0</v>
      </c>
      <c r="Q3764">
        <v>2</v>
      </c>
      <c r="R3764" t="s">
        <v>41252</v>
      </c>
      <c r="S3764" t="s">
        <v>41383</v>
      </c>
      <c r="T3764" t="s">
        <v>42743</v>
      </c>
      <c r="U3764" t="s">
        <v>46340</v>
      </c>
      <c r="W3764" t="s">
        <v>38983</v>
      </c>
      <c r="X3764" t="s">
        <v>41254</v>
      </c>
    </row>
    <row r="3765" spans="1:24">
      <c r="A3765">
        <f>HYPERLINK("https://www.philgeps.gov.ph/GEPSNONPILOT/Tender/SplashBidNoticeAbstractUI.aspx?menuIndex=3&amp;refID=7074997&amp;Result=3","7074997")</f>
        <v>0</v>
      </c>
      <c r="B3765" t="s">
        <v>1440</v>
      </c>
      <c r="C3765" t="s">
        <v>6996</v>
      </c>
      <c r="D3765" t="s">
        <v>16618</v>
      </c>
      <c r="E3765" t="s">
        <v>18874</v>
      </c>
      <c r="F3765" t="s">
        <v>28669</v>
      </c>
      <c r="G3765" t="s">
        <v>28676</v>
      </c>
      <c r="H3765" t="s">
        <v>9998</v>
      </c>
      <c r="I3765" t="s">
        <v>28728</v>
      </c>
      <c r="J3765" t="s">
        <v>31272</v>
      </c>
      <c r="K3765" t="s">
        <v>37243</v>
      </c>
      <c r="M3765" t="s">
        <v>39004</v>
      </c>
      <c r="N3765" t="s">
        <v>41249</v>
      </c>
      <c r="O3765" t="s">
        <v>41250</v>
      </c>
      <c r="P3765">
        <v>0</v>
      </c>
      <c r="Q3765">
        <v>0</v>
      </c>
      <c r="R3765" t="s">
        <v>41252</v>
      </c>
      <c r="S3765" t="s">
        <v>41383</v>
      </c>
      <c r="T3765" t="s">
        <v>42944</v>
      </c>
      <c r="U3765" t="s">
        <v>46341</v>
      </c>
      <c r="V3765" t="s">
        <v>54679</v>
      </c>
      <c r="W3765" t="s">
        <v>39004</v>
      </c>
      <c r="X3765" t="s">
        <v>41254</v>
      </c>
    </row>
    <row r="3766" spans="1:24">
      <c r="A3766">
        <f>HYPERLINK("https://www.philgeps.gov.ph/GEPSNONPILOT/Tender/SplashBidNoticeAbstractUI.aspx?menuIndex=3&amp;refID=7075015&amp;Result=3","7075015")</f>
        <v>0</v>
      </c>
      <c r="B3766" t="s">
        <v>1441</v>
      </c>
      <c r="C3766" t="s">
        <v>6997</v>
      </c>
      <c r="D3766" t="s">
        <v>16647</v>
      </c>
      <c r="E3766" t="s">
        <v>20104</v>
      </c>
      <c r="F3766" t="s">
        <v>28669</v>
      </c>
      <c r="G3766" t="s">
        <v>28675</v>
      </c>
      <c r="H3766" t="s">
        <v>9998</v>
      </c>
      <c r="I3766" t="s">
        <v>28689</v>
      </c>
      <c r="J3766" t="s">
        <v>31273</v>
      </c>
      <c r="K3766" t="s">
        <v>37205</v>
      </c>
      <c r="M3766" t="s">
        <v>39005</v>
      </c>
      <c r="N3766" t="s">
        <v>41249</v>
      </c>
      <c r="O3766" t="s">
        <v>41250</v>
      </c>
      <c r="P3766">
        <v>0</v>
      </c>
      <c r="Q3766">
        <v>1</v>
      </c>
      <c r="R3766" t="s">
        <v>41252</v>
      </c>
      <c r="S3766" t="s">
        <v>41383</v>
      </c>
      <c r="T3766" t="s">
        <v>42757</v>
      </c>
      <c r="U3766" t="s">
        <v>46342</v>
      </c>
      <c r="W3766" t="s">
        <v>39005</v>
      </c>
      <c r="X3766" t="s">
        <v>41254</v>
      </c>
    </row>
    <row r="3767" spans="1:24">
      <c r="A3767">
        <f>HYPERLINK("https://www.philgeps.gov.ph/GEPSNONPILOT/Tender/SplashBidNoticeAbstractUI.aspx?menuIndex=3&amp;refID=7075014&amp;Result=3","7075014")</f>
        <v>0</v>
      </c>
      <c r="B3767" t="s">
        <v>1327</v>
      </c>
      <c r="C3767" t="s">
        <v>6998</v>
      </c>
      <c r="D3767" t="s">
        <v>16627</v>
      </c>
      <c r="E3767" t="s">
        <v>20105</v>
      </c>
      <c r="F3767" t="s">
        <v>28669</v>
      </c>
      <c r="G3767" t="s">
        <v>28676</v>
      </c>
      <c r="H3767" t="s">
        <v>9998</v>
      </c>
      <c r="I3767" t="s">
        <v>28752</v>
      </c>
      <c r="J3767" t="s">
        <v>29317</v>
      </c>
      <c r="K3767" t="s">
        <v>37210</v>
      </c>
      <c r="M3767" t="s">
        <v>39006</v>
      </c>
      <c r="N3767" t="s">
        <v>41249</v>
      </c>
      <c r="O3767" t="s">
        <v>41250</v>
      </c>
      <c r="P3767">
        <v>0</v>
      </c>
      <c r="Q3767">
        <v>1</v>
      </c>
      <c r="R3767" t="s">
        <v>41252</v>
      </c>
      <c r="S3767" t="s">
        <v>41383</v>
      </c>
      <c r="T3767" t="s">
        <v>42687</v>
      </c>
      <c r="U3767" t="s">
        <v>46001</v>
      </c>
      <c r="W3767" t="s">
        <v>39006</v>
      </c>
      <c r="X3767" t="s">
        <v>41254</v>
      </c>
    </row>
    <row r="3768" spans="1:24">
      <c r="A3768">
        <f>HYPERLINK("https://www.philgeps.gov.ph/GEPSNONPILOT/Tender/SplashBidNoticeAbstractUI.aspx?menuIndex=3&amp;refID=7075013&amp;Result=3","7075013")</f>
        <v>0</v>
      </c>
      <c r="B3768" t="s">
        <v>704</v>
      </c>
      <c r="C3768" t="s">
        <v>6999</v>
      </c>
      <c r="D3768" t="s">
        <v>16668</v>
      </c>
      <c r="E3768" t="s">
        <v>20106</v>
      </c>
      <c r="F3768" t="s">
        <v>28669</v>
      </c>
      <c r="G3768" t="s">
        <v>28676</v>
      </c>
      <c r="H3768" t="s">
        <v>9998</v>
      </c>
      <c r="I3768" t="s">
        <v>28687</v>
      </c>
      <c r="J3768" t="s">
        <v>29364</v>
      </c>
      <c r="K3768" t="s">
        <v>37205</v>
      </c>
      <c r="M3768" t="s">
        <v>38211</v>
      </c>
      <c r="N3768" t="s">
        <v>41249</v>
      </c>
      <c r="O3768" t="s">
        <v>41250</v>
      </c>
      <c r="P3768">
        <v>0</v>
      </c>
      <c r="Q3768">
        <v>1</v>
      </c>
      <c r="R3768" t="s">
        <v>41252</v>
      </c>
      <c r="S3768" t="s">
        <v>41383</v>
      </c>
      <c r="T3768" t="s">
        <v>42748</v>
      </c>
      <c r="U3768" t="s">
        <v>46343</v>
      </c>
      <c r="W3768" t="s">
        <v>38211</v>
      </c>
      <c r="X3768" t="s">
        <v>41254</v>
      </c>
    </row>
    <row r="3769" spans="1:24">
      <c r="A3769">
        <f>HYPERLINK("https://www.philgeps.gov.ph/GEPSNONPILOT/Tender/SplashBidNoticeAbstractUI.aspx?menuIndex=3&amp;refID=7075012&amp;Result=3","7075012")</f>
        <v>0</v>
      </c>
      <c r="B3769" t="s">
        <v>729</v>
      </c>
      <c r="C3769" t="s">
        <v>7000</v>
      </c>
      <c r="D3769" t="s">
        <v>16608</v>
      </c>
      <c r="E3769" t="s">
        <v>20107</v>
      </c>
      <c r="F3769" t="s">
        <v>28669</v>
      </c>
      <c r="G3769" t="s">
        <v>28676</v>
      </c>
      <c r="H3769" t="s">
        <v>28685</v>
      </c>
      <c r="I3769" t="s">
        <v>28685</v>
      </c>
      <c r="J3769" t="s">
        <v>31274</v>
      </c>
      <c r="K3769" t="s">
        <v>37220</v>
      </c>
      <c r="M3769" t="s">
        <v>38237</v>
      </c>
      <c r="N3769" t="s">
        <v>41249</v>
      </c>
      <c r="O3769" t="s">
        <v>41250</v>
      </c>
      <c r="P3769">
        <v>0</v>
      </c>
      <c r="Q3769">
        <v>1</v>
      </c>
      <c r="R3769" t="s">
        <v>41252</v>
      </c>
      <c r="S3769" t="s">
        <v>41383</v>
      </c>
      <c r="T3769" t="s">
        <v>42743</v>
      </c>
      <c r="U3769" t="s">
        <v>46344</v>
      </c>
      <c r="V3769" t="s">
        <v>54651</v>
      </c>
      <c r="W3769" t="s">
        <v>38237</v>
      </c>
      <c r="X3769" t="s">
        <v>41254</v>
      </c>
    </row>
    <row r="3770" spans="1:24">
      <c r="A3770">
        <f>HYPERLINK("https://www.philgeps.gov.ph/GEPSNONPILOT/Tender/SplashBidNoticeAbstractUI.aspx?menuIndex=3&amp;refID=7075009&amp;Result=3","7075009")</f>
        <v>0</v>
      </c>
      <c r="B3770" t="s">
        <v>965</v>
      </c>
      <c r="C3770" t="s">
        <v>7001</v>
      </c>
      <c r="D3770" t="s">
        <v>16608</v>
      </c>
      <c r="E3770" t="s">
        <v>20108</v>
      </c>
      <c r="F3770" t="s">
        <v>28669</v>
      </c>
      <c r="G3770" t="s">
        <v>28675</v>
      </c>
      <c r="H3770" t="s">
        <v>9998</v>
      </c>
      <c r="I3770" t="s">
        <v>5213</v>
      </c>
      <c r="J3770" t="s">
        <v>31275</v>
      </c>
      <c r="K3770" t="s">
        <v>37205</v>
      </c>
      <c r="M3770" t="s">
        <v>38890</v>
      </c>
      <c r="N3770" t="s">
        <v>41249</v>
      </c>
      <c r="O3770" t="s">
        <v>41250</v>
      </c>
      <c r="P3770">
        <v>0</v>
      </c>
      <c r="Q3770">
        <v>0</v>
      </c>
      <c r="R3770" t="s">
        <v>41252</v>
      </c>
      <c r="S3770" t="s">
        <v>41383</v>
      </c>
      <c r="T3770" t="s">
        <v>42703</v>
      </c>
      <c r="U3770" t="s">
        <v>45206</v>
      </c>
      <c r="W3770" t="s">
        <v>38890</v>
      </c>
      <c r="X3770" t="s">
        <v>41254</v>
      </c>
    </row>
    <row r="3771" spans="1:24">
      <c r="A3771">
        <f>HYPERLINK("https://www.philgeps.gov.ph/GEPSNONPILOT/Tender/SplashBidNoticeAbstractUI.aspx?menuIndex=3&amp;refID=7075027&amp;Result=3","7075027")</f>
        <v>0</v>
      </c>
      <c r="B3771" t="s">
        <v>557</v>
      </c>
      <c r="C3771" t="s">
        <v>7002</v>
      </c>
      <c r="D3771" t="s">
        <v>16608</v>
      </c>
      <c r="E3771" t="s">
        <v>20109</v>
      </c>
      <c r="F3771" t="s">
        <v>28669</v>
      </c>
      <c r="G3771" t="s">
        <v>28676</v>
      </c>
      <c r="H3771" t="s">
        <v>9998</v>
      </c>
      <c r="I3771" t="s">
        <v>28690</v>
      </c>
      <c r="J3771" t="s">
        <v>29020</v>
      </c>
      <c r="K3771" t="s">
        <v>37204</v>
      </c>
      <c r="M3771" t="s">
        <v>38050</v>
      </c>
      <c r="N3771" t="s">
        <v>41249</v>
      </c>
      <c r="O3771" t="s">
        <v>41250</v>
      </c>
      <c r="P3771">
        <v>0</v>
      </c>
      <c r="Q3771">
        <v>4</v>
      </c>
      <c r="R3771" t="s">
        <v>41252</v>
      </c>
      <c r="S3771" t="s">
        <v>41383</v>
      </c>
      <c r="T3771" t="s">
        <v>42758</v>
      </c>
      <c r="U3771" t="s">
        <v>46345</v>
      </c>
      <c r="V3771" t="s">
        <v>54379</v>
      </c>
      <c r="W3771" t="s">
        <v>38050</v>
      </c>
      <c r="X3771" t="s">
        <v>41254</v>
      </c>
    </row>
    <row r="3772" spans="1:24">
      <c r="A3772">
        <f>HYPERLINK("https://www.philgeps.gov.ph/GEPSNONPILOT/Tender/SplashBidNoticeAbstractUI.aspx?menuIndex=3&amp;refID=7075006&amp;Result=3","7075006")</f>
        <v>0</v>
      </c>
      <c r="B3772" t="s">
        <v>1396</v>
      </c>
      <c r="C3772" t="s">
        <v>7003</v>
      </c>
      <c r="D3772" t="s">
        <v>16608</v>
      </c>
      <c r="E3772" t="s">
        <v>20110</v>
      </c>
      <c r="F3772" t="s">
        <v>28669</v>
      </c>
      <c r="G3772" t="s">
        <v>28676</v>
      </c>
      <c r="H3772" t="s">
        <v>9998</v>
      </c>
      <c r="I3772" t="s">
        <v>6128</v>
      </c>
      <c r="J3772" t="s">
        <v>29227</v>
      </c>
      <c r="K3772" t="s">
        <v>37229</v>
      </c>
      <c r="M3772" t="s">
        <v>38958</v>
      </c>
      <c r="N3772" t="s">
        <v>41249</v>
      </c>
      <c r="O3772" t="s">
        <v>41250</v>
      </c>
      <c r="P3772">
        <v>0</v>
      </c>
      <c r="Q3772">
        <v>10</v>
      </c>
      <c r="R3772" t="s">
        <v>41252</v>
      </c>
      <c r="S3772" t="s">
        <v>41383</v>
      </c>
      <c r="T3772" t="s">
        <v>42940</v>
      </c>
      <c r="U3772" t="s">
        <v>46346</v>
      </c>
      <c r="W3772" t="s">
        <v>38958</v>
      </c>
      <c r="X3772" t="s">
        <v>41254</v>
      </c>
    </row>
    <row r="3773" spans="1:24">
      <c r="A3773">
        <f>HYPERLINK("https://www.philgeps.gov.ph/GEPSNONPILOT/Tender/SplashBidNoticeAbstractUI.aspx?menuIndex=3&amp;refID=7074795&amp;Result=3","7074795")</f>
        <v>0</v>
      </c>
      <c r="B3773" t="s">
        <v>1442</v>
      </c>
      <c r="C3773" t="s">
        <v>7004</v>
      </c>
      <c r="D3773" t="s">
        <v>16673</v>
      </c>
      <c r="E3773" t="s">
        <v>18326</v>
      </c>
      <c r="F3773" t="s">
        <v>28669</v>
      </c>
      <c r="G3773" t="s">
        <v>28675</v>
      </c>
      <c r="H3773" t="s">
        <v>9998</v>
      </c>
      <c r="I3773" t="s">
        <v>28687</v>
      </c>
      <c r="J3773" t="s">
        <v>29655</v>
      </c>
      <c r="K3773" t="s">
        <v>37216</v>
      </c>
      <c r="M3773" t="s">
        <v>39007</v>
      </c>
      <c r="N3773" t="s">
        <v>41249</v>
      </c>
      <c r="O3773" t="s">
        <v>41250</v>
      </c>
      <c r="P3773">
        <v>0</v>
      </c>
      <c r="Q3773">
        <v>6</v>
      </c>
      <c r="R3773" t="s">
        <v>41252</v>
      </c>
      <c r="S3773" t="s">
        <v>41383</v>
      </c>
      <c r="T3773" t="s">
        <v>42700</v>
      </c>
      <c r="U3773" t="s">
        <v>46347</v>
      </c>
      <c r="W3773" t="s">
        <v>39007</v>
      </c>
      <c r="X3773" t="s">
        <v>41254</v>
      </c>
    </row>
    <row r="3774" spans="1:24">
      <c r="A3774">
        <f>HYPERLINK("https://www.philgeps.gov.ph/GEPSNONPILOT/Tender/SplashBidNoticeAbstractUI.aspx?menuIndex=3&amp;refID=7075017&amp;Result=3","7075017")</f>
        <v>0</v>
      </c>
      <c r="B3774" t="s">
        <v>1348</v>
      </c>
      <c r="C3774" t="s">
        <v>7005</v>
      </c>
      <c r="D3774" t="s">
        <v>16608</v>
      </c>
      <c r="E3774" t="s">
        <v>20111</v>
      </c>
      <c r="F3774" t="s">
        <v>28669</v>
      </c>
      <c r="G3774" t="s">
        <v>28677</v>
      </c>
      <c r="H3774" t="s">
        <v>9998</v>
      </c>
      <c r="I3774" t="s">
        <v>8667</v>
      </c>
      <c r="J3774" t="s">
        <v>31276</v>
      </c>
      <c r="K3774" t="s">
        <v>37204</v>
      </c>
      <c r="M3774" t="s">
        <v>37627</v>
      </c>
      <c r="N3774" t="s">
        <v>41249</v>
      </c>
      <c r="O3774" t="s">
        <v>41250</v>
      </c>
      <c r="P3774">
        <v>0</v>
      </c>
      <c r="Q3774">
        <v>1</v>
      </c>
      <c r="R3774" t="s">
        <v>41252</v>
      </c>
      <c r="S3774" t="s">
        <v>41383</v>
      </c>
      <c r="T3774" t="s">
        <v>42867</v>
      </c>
      <c r="U3774" t="s">
        <v>46348</v>
      </c>
      <c r="V3774" t="s">
        <v>54644</v>
      </c>
      <c r="W3774" t="s">
        <v>37627</v>
      </c>
      <c r="X3774" t="s">
        <v>41254</v>
      </c>
    </row>
    <row r="3775" spans="1:24">
      <c r="A3775">
        <f>HYPERLINK("https://www.philgeps.gov.ph/GEPSNONPILOT/Tender/SplashBidNoticeAbstractUI.aspx?menuIndex=3&amp;refID=7074793&amp;Result=3","7074793")</f>
        <v>0</v>
      </c>
      <c r="B3775" t="s">
        <v>788</v>
      </c>
      <c r="C3775" t="s">
        <v>7006</v>
      </c>
      <c r="D3775" t="s">
        <v>16648</v>
      </c>
      <c r="E3775" t="s">
        <v>20112</v>
      </c>
      <c r="F3775" t="s">
        <v>28669</v>
      </c>
      <c r="G3775" t="s">
        <v>28676</v>
      </c>
      <c r="H3775" t="s">
        <v>9998</v>
      </c>
      <c r="I3775" t="s">
        <v>28697</v>
      </c>
      <c r="J3775" t="s">
        <v>31277</v>
      </c>
      <c r="K3775" t="s">
        <v>37206</v>
      </c>
      <c r="M3775" t="s">
        <v>38302</v>
      </c>
      <c r="N3775" t="s">
        <v>41249</v>
      </c>
      <c r="O3775" t="s">
        <v>41250</v>
      </c>
      <c r="P3775">
        <v>0</v>
      </c>
      <c r="Q3775">
        <v>0</v>
      </c>
      <c r="R3775" t="s">
        <v>41252</v>
      </c>
      <c r="S3775" t="s">
        <v>41383</v>
      </c>
      <c r="T3775" t="s">
        <v>42827</v>
      </c>
      <c r="U3775" t="s">
        <v>46349</v>
      </c>
      <c r="W3775" t="s">
        <v>38302</v>
      </c>
      <c r="X3775" t="s">
        <v>41254</v>
      </c>
    </row>
    <row r="3776" spans="1:24">
      <c r="A3776">
        <f>HYPERLINK("https://www.philgeps.gov.ph/GEPSNONPILOT/Tender/SplashBidNoticeAbstractUI.aspx?menuIndex=3&amp;refID=7074792&amp;Result=3","7074792")</f>
        <v>0</v>
      </c>
      <c r="B3776" t="s">
        <v>1443</v>
      </c>
      <c r="C3776" t="s">
        <v>7007</v>
      </c>
      <c r="D3776" t="s">
        <v>16663</v>
      </c>
      <c r="E3776" t="s">
        <v>20113</v>
      </c>
      <c r="F3776" t="s">
        <v>28669</v>
      </c>
      <c r="G3776" t="s">
        <v>28675</v>
      </c>
      <c r="H3776" t="s">
        <v>28686</v>
      </c>
      <c r="I3776" t="s">
        <v>28689</v>
      </c>
      <c r="J3776" t="s">
        <v>28826</v>
      </c>
      <c r="K3776" t="s">
        <v>37206</v>
      </c>
      <c r="M3776" t="s">
        <v>39008</v>
      </c>
      <c r="N3776" t="s">
        <v>41249</v>
      </c>
      <c r="O3776" t="s">
        <v>41250</v>
      </c>
      <c r="P3776">
        <v>0</v>
      </c>
      <c r="Q3776">
        <v>0</v>
      </c>
      <c r="R3776" t="s">
        <v>41252</v>
      </c>
      <c r="S3776" t="s">
        <v>41383</v>
      </c>
      <c r="T3776" t="s">
        <v>42762</v>
      </c>
      <c r="U3776" t="s">
        <v>46350</v>
      </c>
      <c r="W3776" t="s">
        <v>39008</v>
      </c>
      <c r="X3776" t="s">
        <v>41254</v>
      </c>
    </row>
    <row r="3777" spans="1:24">
      <c r="A3777">
        <f>HYPERLINK("https://www.philgeps.gov.ph/GEPSNONPILOT/Tender/SplashBidNoticeAbstractUI.aspx?menuIndex=3&amp;refID=7075022&amp;Result=3","7075022")</f>
        <v>0</v>
      </c>
      <c r="B3777" t="s">
        <v>1436</v>
      </c>
      <c r="C3777" t="s">
        <v>7008</v>
      </c>
      <c r="D3777" t="s">
        <v>16607</v>
      </c>
      <c r="E3777" t="s">
        <v>20114</v>
      </c>
      <c r="F3777" t="s">
        <v>28669</v>
      </c>
      <c r="G3777" t="s">
        <v>28675</v>
      </c>
      <c r="H3777" t="s">
        <v>28686</v>
      </c>
      <c r="I3777" t="s">
        <v>28689</v>
      </c>
      <c r="J3777" t="s">
        <v>29191</v>
      </c>
      <c r="K3777" t="s">
        <v>37221</v>
      </c>
      <c r="M3777" t="s">
        <v>39000</v>
      </c>
      <c r="N3777" t="s">
        <v>41249</v>
      </c>
      <c r="O3777" t="s">
        <v>41250</v>
      </c>
      <c r="P3777">
        <v>0</v>
      </c>
      <c r="Q3777">
        <v>2</v>
      </c>
      <c r="R3777" t="s">
        <v>41252</v>
      </c>
      <c r="S3777" t="s">
        <v>41383</v>
      </c>
      <c r="T3777" t="s">
        <v>42923</v>
      </c>
      <c r="U3777" t="s">
        <v>46351</v>
      </c>
      <c r="W3777" t="s">
        <v>39000</v>
      </c>
      <c r="X3777" t="s">
        <v>41254</v>
      </c>
    </row>
    <row r="3778" spans="1:24">
      <c r="A3778">
        <f>HYPERLINK("https://www.philgeps.gov.ph/GEPSNONPILOT/Tender/SplashBidNoticeAbstractUI.aspx?menuIndex=3&amp;refID=7075011&amp;Result=3","7075011")</f>
        <v>0</v>
      </c>
      <c r="B3778" t="s">
        <v>762</v>
      </c>
      <c r="C3778" t="s">
        <v>7009</v>
      </c>
      <c r="E3778" t="s">
        <v>20115</v>
      </c>
      <c r="F3778" t="s">
        <v>28669</v>
      </c>
      <c r="G3778" t="s">
        <v>28676</v>
      </c>
      <c r="H3778" t="s">
        <v>9998</v>
      </c>
      <c r="I3778" t="s">
        <v>28693</v>
      </c>
      <c r="J3778" t="s">
        <v>29015</v>
      </c>
      <c r="K3778" t="s">
        <v>37209</v>
      </c>
      <c r="M3778" t="s">
        <v>38921</v>
      </c>
      <c r="N3778" t="s">
        <v>41249</v>
      </c>
      <c r="O3778" t="s">
        <v>41250</v>
      </c>
      <c r="P3778">
        <v>0</v>
      </c>
      <c r="Q3778">
        <v>25</v>
      </c>
      <c r="R3778" t="s">
        <v>41252</v>
      </c>
      <c r="S3778" t="s">
        <v>41383</v>
      </c>
      <c r="T3778" t="s">
        <v>42827</v>
      </c>
      <c r="U3778" t="s">
        <v>46352</v>
      </c>
      <c r="W3778" t="s">
        <v>38921</v>
      </c>
      <c r="X3778" t="s">
        <v>41254</v>
      </c>
    </row>
    <row r="3779" spans="1:24">
      <c r="A3779">
        <f>HYPERLINK("https://www.philgeps.gov.ph/GEPSNONPILOT/Tender/SplashBidNoticeAbstractUI.aspx?menuIndex=3&amp;refID=7075020&amp;Result=3","7075020")</f>
        <v>0</v>
      </c>
      <c r="B3779" t="s">
        <v>1444</v>
      </c>
      <c r="C3779" t="s">
        <v>5192</v>
      </c>
      <c r="D3779" t="s">
        <v>16657</v>
      </c>
      <c r="E3779" t="s">
        <v>20116</v>
      </c>
      <c r="F3779" t="s">
        <v>28669</v>
      </c>
      <c r="G3779" t="s">
        <v>28675</v>
      </c>
      <c r="H3779" t="s">
        <v>28686</v>
      </c>
      <c r="I3779" t="s">
        <v>28689</v>
      </c>
      <c r="J3779" t="s">
        <v>31278</v>
      </c>
      <c r="K3779" t="s">
        <v>37209</v>
      </c>
      <c r="M3779" t="s">
        <v>39009</v>
      </c>
      <c r="N3779" t="s">
        <v>41249</v>
      </c>
      <c r="O3779" t="s">
        <v>41250</v>
      </c>
      <c r="P3779">
        <v>0</v>
      </c>
      <c r="Q3779">
        <v>1</v>
      </c>
      <c r="R3779" t="s">
        <v>41252</v>
      </c>
      <c r="S3779" t="s">
        <v>41383</v>
      </c>
      <c r="T3779" t="s">
        <v>42757</v>
      </c>
      <c r="U3779" t="s">
        <v>46353</v>
      </c>
      <c r="V3779" t="s">
        <v>54557</v>
      </c>
      <c r="W3779" t="s">
        <v>39009</v>
      </c>
      <c r="X3779" t="s">
        <v>41254</v>
      </c>
    </row>
    <row r="3780" spans="1:24">
      <c r="A3780">
        <f>HYPERLINK("https://www.philgeps.gov.ph/GEPSNONPILOT/Tender/SplashBidNoticeAbstractUI.aspx?menuIndex=3&amp;refID=7075025&amp;Result=3","7075025")</f>
        <v>0</v>
      </c>
      <c r="B3780" t="s">
        <v>1214</v>
      </c>
      <c r="C3780" t="s">
        <v>7010</v>
      </c>
      <c r="D3780" t="s">
        <v>16658</v>
      </c>
      <c r="E3780" t="s">
        <v>20117</v>
      </c>
      <c r="F3780" t="s">
        <v>28669</v>
      </c>
      <c r="G3780" t="s">
        <v>28675</v>
      </c>
      <c r="H3780" t="s">
        <v>9998</v>
      </c>
      <c r="I3780" t="s">
        <v>7352</v>
      </c>
      <c r="J3780" t="s">
        <v>31279</v>
      </c>
      <c r="K3780" t="s">
        <v>37209</v>
      </c>
      <c r="M3780" t="s">
        <v>38755</v>
      </c>
      <c r="N3780" t="s">
        <v>41249</v>
      </c>
      <c r="O3780" t="s">
        <v>41250</v>
      </c>
      <c r="P3780">
        <v>0</v>
      </c>
      <c r="Q3780">
        <v>0</v>
      </c>
      <c r="R3780" t="s">
        <v>41252</v>
      </c>
      <c r="S3780" t="s">
        <v>41383</v>
      </c>
      <c r="T3780" t="s">
        <v>42742</v>
      </c>
      <c r="U3780" t="s">
        <v>45694</v>
      </c>
      <c r="W3780" t="s">
        <v>38755</v>
      </c>
      <c r="X3780" t="s">
        <v>41254</v>
      </c>
    </row>
    <row r="3781" spans="1:24">
      <c r="A3781">
        <f>HYPERLINK("https://www.philgeps.gov.ph/GEPSNONPILOT/Tender/SplashBidNoticeAbstractUI.aspx?menuIndex=3&amp;refID=7075054&amp;Result=3","7075054")</f>
        <v>0</v>
      </c>
      <c r="B3781" t="s">
        <v>1396</v>
      </c>
      <c r="C3781" t="s">
        <v>7011</v>
      </c>
      <c r="D3781" t="s">
        <v>16608</v>
      </c>
      <c r="E3781" t="s">
        <v>20118</v>
      </c>
      <c r="F3781" t="s">
        <v>28669</v>
      </c>
      <c r="G3781" t="s">
        <v>28676</v>
      </c>
      <c r="H3781" t="s">
        <v>9998</v>
      </c>
      <c r="I3781" t="s">
        <v>28748</v>
      </c>
      <c r="J3781" t="s">
        <v>28879</v>
      </c>
      <c r="K3781" t="s">
        <v>37206</v>
      </c>
      <c r="M3781" t="s">
        <v>38958</v>
      </c>
      <c r="N3781" t="s">
        <v>41249</v>
      </c>
      <c r="O3781" t="s">
        <v>41250</v>
      </c>
      <c r="P3781">
        <v>0</v>
      </c>
      <c r="Q3781">
        <v>13</v>
      </c>
      <c r="R3781" t="s">
        <v>41252</v>
      </c>
      <c r="S3781" t="s">
        <v>41383</v>
      </c>
      <c r="T3781" t="s">
        <v>42940</v>
      </c>
      <c r="U3781" t="s">
        <v>46354</v>
      </c>
      <c r="W3781" t="s">
        <v>38958</v>
      </c>
      <c r="X3781" t="s">
        <v>41254</v>
      </c>
    </row>
    <row r="3782" spans="1:24">
      <c r="A3782">
        <f>HYPERLINK("https://www.philgeps.gov.ph/GEPSNONPILOT/Tender/SplashBidNoticeAbstractUI.aspx?menuIndex=3&amp;refID=7075051&amp;Result=3","7075051")</f>
        <v>0</v>
      </c>
      <c r="B3782" t="s">
        <v>114</v>
      </c>
      <c r="C3782" t="s">
        <v>7012</v>
      </c>
      <c r="D3782" t="s">
        <v>16608</v>
      </c>
      <c r="E3782" t="s">
        <v>20119</v>
      </c>
      <c r="F3782" t="s">
        <v>28669</v>
      </c>
      <c r="G3782" t="s">
        <v>28677</v>
      </c>
      <c r="H3782" t="s">
        <v>9998</v>
      </c>
      <c r="I3782" t="s">
        <v>5286</v>
      </c>
      <c r="J3782" t="s">
        <v>30051</v>
      </c>
      <c r="K3782" t="s">
        <v>37210</v>
      </c>
      <c r="M3782" t="s">
        <v>37793</v>
      </c>
      <c r="N3782" t="s">
        <v>41249</v>
      </c>
      <c r="O3782" t="s">
        <v>41250</v>
      </c>
      <c r="P3782">
        <v>0</v>
      </c>
      <c r="Q3782">
        <v>3</v>
      </c>
      <c r="R3782" t="s">
        <v>41252</v>
      </c>
      <c r="S3782" t="s">
        <v>41383</v>
      </c>
      <c r="T3782" t="s">
        <v>42878</v>
      </c>
      <c r="U3782" t="s">
        <v>46355</v>
      </c>
      <c r="V3782" t="s">
        <v>54326</v>
      </c>
      <c r="W3782" t="s">
        <v>37793</v>
      </c>
      <c r="X3782" t="s">
        <v>41254</v>
      </c>
    </row>
    <row r="3783" spans="1:24">
      <c r="A3783">
        <f>HYPERLINK("https://www.philgeps.gov.ph/GEPSNONPILOT/Tender/SplashBidNoticeAbstractUI.aspx?menuIndex=3&amp;refID=7074794&amp;Result=3","7074794")</f>
        <v>0</v>
      </c>
      <c r="B3783" t="s">
        <v>139</v>
      </c>
      <c r="C3783" t="s">
        <v>7013</v>
      </c>
      <c r="D3783" t="s">
        <v>16654</v>
      </c>
      <c r="E3783" t="s">
        <v>18885</v>
      </c>
      <c r="F3783" t="s">
        <v>28669</v>
      </c>
      <c r="G3783" t="s">
        <v>28677</v>
      </c>
      <c r="H3783" t="s">
        <v>28686</v>
      </c>
      <c r="I3783" t="s">
        <v>5033</v>
      </c>
      <c r="J3783" t="s">
        <v>28923</v>
      </c>
      <c r="K3783" t="s">
        <v>37209</v>
      </c>
      <c r="M3783" t="s">
        <v>37616</v>
      </c>
      <c r="N3783" t="s">
        <v>41249</v>
      </c>
      <c r="O3783" t="s">
        <v>41250</v>
      </c>
      <c r="P3783">
        <v>0</v>
      </c>
      <c r="Q3783">
        <v>1</v>
      </c>
      <c r="R3783" t="s">
        <v>41252</v>
      </c>
      <c r="S3783" t="s">
        <v>41383</v>
      </c>
      <c r="T3783" t="s">
        <v>42727</v>
      </c>
      <c r="U3783" t="s">
        <v>46356</v>
      </c>
      <c r="W3783" t="s">
        <v>37616</v>
      </c>
      <c r="X3783" t="s">
        <v>41254</v>
      </c>
    </row>
    <row r="3784" spans="1:24">
      <c r="A3784">
        <f>HYPERLINK("https://www.philgeps.gov.ph/GEPSNONPILOT/Tender/SplashBidNoticeAbstractUI.aspx?menuIndex=3&amp;refID=7075049&amp;Result=3","7075049")</f>
        <v>0</v>
      </c>
      <c r="B3784" t="s">
        <v>697</v>
      </c>
      <c r="C3784" t="s">
        <v>7014</v>
      </c>
      <c r="D3784" t="s">
        <v>16608</v>
      </c>
      <c r="E3784" t="s">
        <v>20120</v>
      </c>
      <c r="F3784" t="s">
        <v>28669</v>
      </c>
      <c r="G3784" t="s">
        <v>28676</v>
      </c>
      <c r="H3784" t="s">
        <v>9998</v>
      </c>
      <c r="I3784" t="s">
        <v>3718</v>
      </c>
      <c r="J3784" t="s">
        <v>28905</v>
      </c>
      <c r="K3784" t="s">
        <v>37206</v>
      </c>
      <c r="M3784" t="s">
        <v>38803</v>
      </c>
      <c r="N3784" t="s">
        <v>41249</v>
      </c>
      <c r="O3784" t="s">
        <v>41250</v>
      </c>
      <c r="P3784">
        <v>0</v>
      </c>
      <c r="Q3784">
        <v>6</v>
      </c>
      <c r="R3784" t="s">
        <v>41252</v>
      </c>
      <c r="S3784" t="s">
        <v>41383</v>
      </c>
      <c r="T3784" t="s">
        <v>42736</v>
      </c>
      <c r="U3784" t="s">
        <v>46270</v>
      </c>
      <c r="V3784" t="s">
        <v>54680</v>
      </c>
      <c r="W3784" t="s">
        <v>38803</v>
      </c>
      <c r="X3784" t="s">
        <v>41254</v>
      </c>
    </row>
    <row r="3785" spans="1:24">
      <c r="A3785">
        <f>HYPERLINK("https://www.philgeps.gov.ph/GEPSNONPILOT/Tender/SplashBidNoticeAbstractUI.aspx?menuIndex=3&amp;refID=7075048&amp;Result=3","7075048")</f>
        <v>0</v>
      </c>
      <c r="B3785" t="s">
        <v>1413</v>
      </c>
      <c r="C3785" t="s">
        <v>7015</v>
      </c>
      <c r="D3785" t="s">
        <v>16618</v>
      </c>
      <c r="E3785" t="s">
        <v>20121</v>
      </c>
      <c r="F3785" t="s">
        <v>28669</v>
      </c>
      <c r="G3785" t="s">
        <v>28677</v>
      </c>
      <c r="H3785" t="s">
        <v>9998</v>
      </c>
      <c r="I3785" t="s">
        <v>3718</v>
      </c>
      <c r="J3785" t="s">
        <v>29570</v>
      </c>
      <c r="K3785" t="s">
        <v>37216</v>
      </c>
      <c r="M3785" t="s">
        <v>38976</v>
      </c>
      <c r="N3785" t="s">
        <v>41249</v>
      </c>
      <c r="O3785" t="s">
        <v>41250</v>
      </c>
      <c r="P3785">
        <v>0</v>
      </c>
      <c r="Q3785">
        <v>2</v>
      </c>
      <c r="R3785" t="s">
        <v>41252</v>
      </c>
      <c r="S3785" t="s">
        <v>41383</v>
      </c>
      <c r="T3785" t="s">
        <v>42758</v>
      </c>
      <c r="U3785" t="s">
        <v>46357</v>
      </c>
      <c r="V3785" t="s">
        <v>54681</v>
      </c>
      <c r="W3785" t="s">
        <v>38976</v>
      </c>
      <c r="X3785" t="s">
        <v>41254</v>
      </c>
    </row>
    <row r="3786" spans="1:24">
      <c r="A3786">
        <f>HYPERLINK("https://www.philgeps.gov.ph/GEPSNONPILOT/Tender/SplashBidNoticeAbstractUI.aspx?menuIndex=3&amp;refID=7075047&amp;Result=3","7075047")</f>
        <v>0</v>
      </c>
      <c r="B3786" t="s">
        <v>804</v>
      </c>
      <c r="C3786" t="s">
        <v>7016</v>
      </c>
      <c r="D3786" t="s">
        <v>16633</v>
      </c>
      <c r="E3786" t="s">
        <v>20122</v>
      </c>
      <c r="F3786" t="s">
        <v>28669</v>
      </c>
      <c r="G3786" t="s">
        <v>28676</v>
      </c>
      <c r="H3786" t="s">
        <v>9998</v>
      </c>
      <c r="I3786" t="s">
        <v>28695</v>
      </c>
      <c r="J3786" t="s">
        <v>28879</v>
      </c>
      <c r="K3786" t="s">
        <v>37206</v>
      </c>
      <c r="M3786" t="s">
        <v>38319</v>
      </c>
      <c r="N3786" t="s">
        <v>41249</v>
      </c>
      <c r="O3786" t="s">
        <v>41250</v>
      </c>
      <c r="P3786">
        <v>0</v>
      </c>
      <c r="Q3786">
        <v>0</v>
      </c>
      <c r="R3786" t="s">
        <v>41252</v>
      </c>
      <c r="S3786" t="s">
        <v>41383</v>
      </c>
      <c r="T3786" t="s">
        <v>42736</v>
      </c>
      <c r="U3786" t="s">
        <v>46358</v>
      </c>
      <c r="W3786" t="s">
        <v>38319</v>
      </c>
      <c r="X3786" t="s">
        <v>41254</v>
      </c>
    </row>
    <row r="3787" spans="1:24">
      <c r="A3787">
        <f>HYPERLINK("https://www.philgeps.gov.ph/GEPSNONPILOT/Tender/SplashBidNoticeAbstractUI.aspx?menuIndex=3&amp;refID=7075044&amp;Result=3","7075044")</f>
        <v>0</v>
      </c>
      <c r="B3787" t="s">
        <v>1218</v>
      </c>
      <c r="C3787" t="s">
        <v>7017</v>
      </c>
      <c r="D3787" t="s">
        <v>16615</v>
      </c>
      <c r="E3787" t="s">
        <v>20123</v>
      </c>
      <c r="F3787" t="s">
        <v>28669</v>
      </c>
      <c r="G3787" t="s">
        <v>28675</v>
      </c>
      <c r="H3787" t="s">
        <v>9998</v>
      </c>
      <c r="I3787" t="s">
        <v>28714</v>
      </c>
      <c r="J3787" t="s">
        <v>31280</v>
      </c>
      <c r="K3787" t="s">
        <v>37209</v>
      </c>
      <c r="M3787" t="s">
        <v>38761</v>
      </c>
      <c r="N3787" t="s">
        <v>41249</v>
      </c>
      <c r="O3787" t="s">
        <v>41250</v>
      </c>
      <c r="P3787">
        <v>0</v>
      </c>
      <c r="Q3787">
        <v>13</v>
      </c>
      <c r="R3787" t="s">
        <v>41252</v>
      </c>
      <c r="S3787" t="s">
        <v>41383</v>
      </c>
      <c r="T3787" t="s">
        <v>42899</v>
      </c>
      <c r="U3787" t="s">
        <v>46359</v>
      </c>
      <c r="V3787" t="s">
        <v>54682</v>
      </c>
      <c r="W3787" t="s">
        <v>38761</v>
      </c>
      <c r="X3787" t="s">
        <v>41254</v>
      </c>
    </row>
    <row r="3788" spans="1:24">
      <c r="A3788">
        <f>HYPERLINK("https://www.philgeps.gov.ph/GEPSNONPILOT/Tender/SplashBidNoticeAbstractUI.aspx?menuIndex=3&amp;refID=7075043&amp;Result=3","7075043")</f>
        <v>0</v>
      </c>
      <c r="B3788" t="s">
        <v>1445</v>
      </c>
      <c r="C3788" t="s">
        <v>7018</v>
      </c>
      <c r="D3788" t="s">
        <v>16613</v>
      </c>
      <c r="E3788" t="s">
        <v>19789</v>
      </c>
      <c r="F3788" t="s">
        <v>28669</v>
      </c>
      <c r="G3788" t="s">
        <v>28675</v>
      </c>
      <c r="H3788" t="s">
        <v>9998</v>
      </c>
      <c r="I3788" t="s">
        <v>28709</v>
      </c>
      <c r="J3788" t="s">
        <v>29088</v>
      </c>
      <c r="K3788" t="s">
        <v>37204</v>
      </c>
      <c r="M3788" t="s">
        <v>39010</v>
      </c>
      <c r="N3788" t="s">
        <v>41249</v>
      </c>
      <c r="O3788" t="s">
        <v>41250</v>
      </c>
      <c r="P3788">
        <v>0</v>
      </c>
      <c r="Q3788">
        <v>1</v>
      </c>
      <c r="R3788" t="s">
        <v>41252</v>
      </c>
      <c r="S3788" t="s">
        <v>41383</v>
      </c>
      <c r="T3788" t="s">
        <v>42679</v>
      </c>
      <c r="U3788" t="s">
        <v>46360</v>
      </c>
      <c r="W3788" t="s">
        <v>39010</v>
      </c>
      <c r="X3788" t="s">
        <v>41254</v>
      </c>
    </row>
    <row r="3789" spans="1:24">
      <c r="A3789">
        <f>HYPERLINK("https://www.philgeps.gov.ph/GEPSNONPILOT/Tender/SplashBidNoticeAbstractUI.aspx?menuIndex=3&amp;refID=7075057&amp;Result=3","7075057")</f>
        <v>0</v>
      </c>
      <c r="B3789" t="s">
        <v>1327</v>
      </c>
      <c r="C3789" t="s">
        <v>7019</v>
      </c>
      <c r="D3789" t="s">
        <v>16627</v>
      </c>
      <c r="E3789" t="s">
        <v>20124</v>
      </c>
      <c r="F3789" t="s">
        <v>28669</v>
      </c>
      <c r="G3789" t="s">
        <v>28677</v>
      </c>
      <c r="H3789" t="s">
        <v>9998</v>
      </c>
      <c r="I3789" t="s">
        <v>28707</v>
      </c>
      <c r="J3789" t="s">
        <v>31281</v>
      </c>
      <c r="K3789" t="s">
        <v>37206</v>
      </c>
      <c r="M3789" t="s">
        <v>39006</v>
      </c>
      <c r="N3789" t="s">
        <v>41249</v>
      </c>
      <c r="O3789" t="s">
        <v>41250</v>
      </c>
      <c r="P3789">
        <v>0</v>
      </c>
      <c r="Q3789">
        <v>5</v>
      </c>
      <c r="R3789" t="s">
        <v>41252</v>
      </c>
      <c r="S3789" t="s">
        <v>41383</v>
      </c>
      <c r="T3789" t="s">
        <v>42687</v>
      </c>
      <c r="U3789" t="s">
        <v>46001</v>
      </c>
      <c r="W3789" t="s">
        <v>39006</v>
      </c>
      <c r="X3789" t="s">
        <v>41254</v>
      </c>
    </row>
    <row r="3790" spans="1:24">
      <c r="A3790">
        <f>HYPERLINK("https://www.philgeps.gov.ph/GEPSNONPILOT/Tender/SplashBidNoticeAbstractUI.aspx?menuIndex=3&amp;refID=7075041&amp;Result=3","7075041")</f>
        <v>0</v>
      </c>
      <c r="B3790" t="s">
        <v>1446</v>
      </c>
      <c r="C3790" t="s">
        <v>6824</v>
      </c>
      <c r="D3790" t="s">
        <v>16684</v>
      </c>
      <c r="E3790" t="s">
        <v>20125</v>
      </c>
      <c r="F3790" t="s">
        <v>28669</v>
      </c>
      <c r="G3790" t="s">
        <v>28676</v>
      </c>
      <c r="H3790" t="s">
        <v>9998</v>
      </c>
      <c r="I3790" t="s">
        <v>5213</v>
      </c>
      <c r="J3790" t="s">
        <v>29438</v>
      </c>
      <c r="K3790" t="s">
        <v>37208</v>
      </c>
      <c r="M3790" t="s">
        <v>39011</v>
      </c>
      <c r="N3790" t="s">
        <v>41249</v>
      </c>
      <c r="O3790" t="s">
        <v>41250</v>
      </c>
      <c r="P3790">
        <v>0</v>
      </c>
      <c r="Q3790">
        <v>0</v>
      </c>
      <c r="R3790" t="s">
        <v>41252</v>
      </c>
      <c r="S3790" t="s">
        <v>41383</v>
      </c>
      <c r="T3790" t="s">
        <v>42736</v>
      </c>
      <c r="U3790" t="s">
        <v>46192</v>
      </c>
      <c r="W3790" t="s">
        <v>39011</v>
      </c>
      <c r="X3790" t="s">
        <v>41254</v>
      </c>
    </row>
    <row r="3791" spans="1:24">
      <c r="A3791">
        <f>HYPERLINK("https://www.philgeps.gov.ph/GEPSNONPILOT/Tender/SplashBidNoticeAbstractUI.aspx?menuIndex=3&amp;refID=7075038&amp;Result=3","7075038")</f>
        <v>0</v>
      </c>
      <c r="B3791" t="s">
        <v>1447</v>
      </c>
      <c r="C3791" t="s">
        <v>7020</v>
      </c>
      <c r="D3791" t="s">
        <v>16616</v>
      </c>
      <c r="E3791" t="s">
        <v>18967</v>
      </c>
      <c r="F3791" t="s">
        <v>28669</v>
      </c>
      <c r="G3791" t="s">
        <v>28677</v>
      </c>
      <c r="H3791" t="s">
        <v>9998</v>
      </c>
      <c r="I3791" t="s">
        <v>11142</v>
      </c>
      <c r="J3791" t="s">
        <v>28912</v>
      </c>
      <c r="K3791" t="s">
        <v>37205</v>
      </c>
      <c r="M3791" t="s">
        <v>39012</v>
      </c>
      <c r="N3791" t="s">
        <v>41249</v>
      </c>
      <c r="O3791" t="s">
        <v>41250</v>
      </c>
      <c r="P3791">
        <v>0</v>
      </c>
      <c r="Q3791">
        <v>3</v>
      </c>
      <c r="R3791" t="s">
        <v>41252</v>
      </c>
      <c r="S3791" t="s">
        <v>41383</v>
      </c>
      <c r="T3791" t="s">
        <v>42757</v>
      </c>
      <c r="U3791" t="s">
        <v>46361</v>
      </c>
      <c r="W3791" t="s">
        <v>39012</v>
      </c>
      <c r="X3791" t="s">
        <v>41254</v>
      </c>
    </row>
    <row r="3792" spans="1:24">
      <c r="A3792">
        <f>HYPERLINK("https://www.philgeps.gov.ph/GEPSNONPILOT/Tender/SplashBidNoticeAbstractUI.aspx?menuIndex=3&amp;refID=7075037&amp;Result=3","7075037")</f>
        <v>0</v>
      </c>
      <c r="B3792" t="s">
        <v>1429</v>
      </c>
      <c r="C3792" t="s">
        <v>7021</v>
      </c>
      <c r="D3792" t="s">
        <v>16643</v>
      </c>
      <c r="E3792" t="s">
        <v>20126</v>
      </c>
      <c r="F3792" t="s">
        <v>28669</v>
      </c>
      <c r="G3792" t="s">
        <v>28678</v>
      </c>
      <c r="H3792" t="s">
        <v>9998</v>
      </c>
      <c r="I3792" t="s">
        <v>28695</v>
      </c>
      <c r="J3792" t="s">
        <v>31282</v>
      </c>
      <c r="K3792" t="s">
        <v>37210</v>
      </c>
      <c r="M3792" t="s">
        <v>38993</v>
      </c>
      <c r="N3792" t="s">
        <v>41249</v>
      </c>
      <c r="O3792" t="s">
        <v>41250</v>
      </c>
      <c r="P3792">
        <v>0</v>
      </c>
      <c r="Q3792">
        <v>0</v>
      </c>
      <c r="R3792" t="s">
        <v>41252</v>
      </c>
      <c r="S3792" t="s">
        <v>41383</v>
      </c>
      <c r="T3792" t="s">
        <v>42729</v>
      </c>
      <c r="U3792" t="s">
        <v>46362</v>
      </c>
      <c r="W3792" t="s">
        <v>38993</v>
      </c>
      <c r="X3792" t="s">
        <v>41254</v>
      </c>
    </row>
    <row r="3793" spans="1:24">
      <c r="A3793">
        <f>HYPERLINK("https://www.philgeps.gov.ph/GEPSNONPILOT/Tender/SplashBidNoticeAbstractUI.aspx?menuIndex=3&amp;refID=7075053&amp;Result=3","7075053")</f>
        <v>0</v>
      </c>
      <c r="B3793" t="s">
        <v>1448</v>
      </c>
      <c r="C3793" t="s">
        <v>7022</v>
      </c>
      <c r="D3793" t="s">
        <v>16641</v>
      </c>
      <c r="E3793" t="s">
        <v>20127</v>
      </c>
      <c r="F3793" t="s">
        <v>28669</v>
      </c>
      <c r="G3793" t="s">
        <v>28675</v>
      </c>
      <c r="H3793" t="s">
        <v>9998</v>
      </c>
      <c r="I3793" t="s">
        <v>28688</v>
      </c>
      <c r="J3793" t="s">
        <v>31283</v>
      </c>
      <c r="K3793" t="s">
        <v>37204</v>
      </c>
      <c r="M3793" t="s">
        <v>39013</v>
      </c>
      <c r="N3793" t="s">
        <v>41249</v>
      </c>
      <c r="O3793" t="s">
        <v>41250</v>
      </c>
      <c r="P3793">
        <v>0</v>
      </c>
      <c r="Q3793">
        <v>0</v>
      </c>
      <c r="R3793" t="s">
        <v>41252</v>
      </c>
      <c r="S3793" t="s">
        <v>41383</v>
      </c>
      <c r="T3793" t="s">
        <v>42690</v>
      </c>
      <c r="U3793" t="s">
        <v>46363</v>
      </c>
      <c r="W3793" t="s">
        <v>39013</v>
      </c>
      <c r="X3793" t="s">
        <v>41254</v>
      </c>
    </row>
    <row r="3794" spans="1:24">
      <c r="A3794">
        <f>HYPERLINK("https://www.philgeps.gov.ph/GEPSNONPILOT/Tender/SplashBidNoticeAbstractUI.aspx?menuIndex=3&amp;refID=7075036&amp;Result=3","7075036")</f>
        <v>0</v>
      </c>
      <c r="B3794" t="s">
        <v>1449</v>
      </c>
      <c r="C3794" t="s">
        <v>7023</v>
      </c>
      <c r="D3794" t="s">
        <v>16621</v>
      </c>
      <c r="E3794" t="s">
        <v>20128</v>
      </c>
      <c r="F3794" t="s">
        <v>28669</v>
      </c>
      <c r="G3794" t="s">
        <v>28676</v>
      </c>
      <c r="H3794" t="s">
        <v>9998</v>
      </c>
      <c r="I3794" t="s">
        <v>28760</v>
      </c>
      <c r="J3794" t="s">
        <v>28990</v>
      </c>
      <c r="K3794" t="s">
        <v>37209</v>
      </c>
      <c r="M3794" t="s">
        <v>39014</v>
      </c>
      <c r="N3794" t="s">
        <v>41249</v>
      </c>
      <c r="O3794" t="s">
        <v>41250</v>
      </c>
      <c r="P3794">
        <v>0</v>
      </c>
      <c r="Q3794">
        <v>1</v>
      </c>
      <c r="R3794" t="s">
        <v>41252</v>
      </c>
      <c r="S3794" t="s">
        <v>41383</v>
      </c>
      <c r="T3794" t="s">
        <v>42703</v>
      </c>
      <c r="U3794" t="s">
        <v>46364</v>
      </c>
      <c r="W3794" t="s">
        <v>39014</v>
      </c>
      <c r="X3794" t="s">
        <v>41254</v>
      </c>
    </row>
    <row r="3795" spans="1:24">
      <c r="A3795">
        <f>HYPERLINK("https://www.philgeps.gov.ph/GEPSNONPILOT/Tender/SplashBidNoticeAbstractUI.aspx?menuIndex=3&amp;refID=7075035&amp;Result=3","7075035")</f>
        <v>0</v>
      </c>
      <c r="B3795" t="s">
        <v>1084</v>
      </c>
      <c r="C3795" t="s">
        <v>7024</v>
      </c>
      <c r="D3795" t="s">
        <v>16667</v>
      </c>
      <c r="E3795" t="s">
        <v>20129</v>
      </c>
      <c r="F3795" t="s">
        <v>28669</v>
      </c>
      <c r="G3795" t="s">
        <v>28675</v>
      </c>
      <c r="H3795" t="s">
        <v>9998</v>
      </c>
      <c r="I3795" t="s">
        <v>7352</v>
      </c>
      <c r="J3795" t="s">
        <v>29304</v>
      </c>
      <c r="K3795" t="s">
        <v>37220</v>
      </c>
      <c r="M3795" t="s">
        <v>38616</v>
      </c>
      <c r="N3795" t="s">
        <v>41249</v>
      </c>
      <c r="O3795" t="s">
        <v>41250</v>
      </c>
      <c r="P3795">
        <v>0</v>
      </c>
      <c r="Q3795">
        <v>0</v>
      </c>
      <c r="R3795" t="s">
        <v>41252</v>
      </c>
      <c r="S3795" t="s">
        <v>41383</v>
      </c>
      <c r="T3795" t="s">
        <v>42808</v>
      </c>
      <c r="U3795" t="s">
        <v>46365</v>
      </c>
      <c r="W3795" t="s">
        <v>38616</v>
      </c>
      <c r="X3795" t="s">
        <v>41254</v>
      </c>
    </row>
    <row r="3796" spans="1:24">
      <c r="A3796">
        <f>HYPERLINK("https://www.philgeps.gov.ph/GEPSNONPILOT/Tender/SplashBidNoticeAbstractUI.aspx?menuIndex=3&amp;refID=7075034&amp;Result=3","7075034")</f>
        <v>0</v>
      </c>
      <c r="B3796" t="s">
        <v>452</v>
      </c>
      <c r="C3796" t="s">
        <v>7025</v>
      </c>
      <c r="D3796" t="s">
        <v>16608</v>
      </c>
      <c r="E3796" t="s">
        <v>20130</v>
      </c>
      <c r="F3796" t="s">
        <v>28669</v>
      </c>
      <c r="G3796" t="s">
        <v>28676</v>
      </c>
      <c r="H3796" t="s">
        <v>9998</v>
      </c>
      <c r="I3796" t="s">
        <v>11593</v>
      </c>
      <c r="J3796" t="s">
        <v>31284</v>
      </c>
      <c r="K3796" t="s">
        <v>37206</v>
      </c>
      <c r="M3796" t="s">
        <v>38261</v>
      </c>
      <c r="N3796" t="s">
        <v>41249</v>
      </c>
      <c r="O3796" t="s">
        <v>41250</v>
      </c>
      <c r="P3796">
        <v>0</v>
      </c>
      <c r="Q3796">
        <v>23</v>
      </c>
      <c r="R3796" t="s">
        <v>41252</v>
      </c>
      <c r="S3796" t="s">
        <v>41383</v>
      </c>
      <c r="T3796" t="s">
        <v>42683</v>
      </c>
      <c r="U3796" t="s">
        <v>44649</v>
      </c>
      <c r="W3796" t="s">
        <v>38261</v>
      </c>
      <c r="X3796" t="s">
        <v>41254</v>
      </c>
    </row>
    <row r="3797" spans="1:24">
      <c r="A3797">
        <f>HYPERLINK("https://www.philgeps.gov.ph/GEPSNONPILOT/Tender/SplashBidNoticeAbstractUI.aspx?menuIndex=3&amp;refID=7074765&amp;Result=3","7074765")</f>
        <v>0</v>
      </c>
      <c r="B3797" t="s">
        <v>59</v>
      </c>
      <c r="C3797" t="s">
        <v>7026</v>
      </c>
      <c r="D3797" t="s">
        <v>16619</v>
      </c>
      <c r="E3797" t="s">
        <v>20131</v>
      </c>
      <c r="F3797" t="s">
        <v>28669</v>
      </c>
      <c r="G3797" t="s">
        <v>28676</v>
      </c>
      <c r="H3797" t="s">
        <v>9998</v>
      </c>
      <c r="I3797" t="s">
        <v>28712</v>
      </c>
      <c r="J3797" t="s">
        <v>28894</v>
      </c>
      <c r="K3797" t="s">
        <v>37209</v>
      </c>
      <c r="M3797" t="s">
        <v>37534</v>
      </c>
      <c r="N3797" t="s">
        <v>41249</v>
      </c>
      <c r="O3797" t="s">
        <v>41250</v>
      </c>
      <c r="P3797">
        <v>0</v>
      </c>
      <c r="Q3797">
        <v>0</v>
      </c>
      <c r="R3797" t="s">
        <v>41252</v>
      </c>
      <c r="S3797" t="s">
        <v>41383</v>
      </c>
      <c r="T3797" t="s">
        <v>42758</v>
      </c>
      <c r="U3797" t="s">
        <v>45051</v>
      </c>
      <c r="W3797" t="s">
        <v>37534</v>
      </c>
      <c r="X3797" t="s">
        <v>41254</v>
      </c>
    </row>
    <row r="3798" spans="1:24">
      <c r="A3798">
        <f>HYPERLINK("https://www.philgeps.gov.ph/GEPSNONPILOT/Tender/SplashBidNoticeAbstractUI.aspx?menuIndex=3&amp;refID=7075046&amp;Result=3","7075046")</f>
        <v>0</v>
      </c>
      <c r="B3798" t="s">
        <v>614</v>
      </c>
      <c r="C3798" t="s">
        <v>7027</v>
      </c>
      <c r="D3798" t="s">
        <v>16648</v>
      </c>
      <c r="E3798" t="s">
        <v>20132</v>
      </c>
      <c r="F3798" t="s">
        <v>28669</v>
      </c>
      <c r="G3798" t="s">
        <v>28677</v>
      </c>
      <c r="H3798" t="s">
        <v>9998</v>
      </c>
      <c r="I3798" t="s">
        <v>28717</v>
      </c>
      <c r="J3798" t="s">
        <v>29899</v>
      </c>
      <c r="K3798" t="s">
        <v>37204</v>
      </c>
      <c r="M3798" t="s">
        <v>38114</v>
      </c>
      <c r="N3798" t="s">
        <v>41249</v>
      </c>
      <c r="O3798" t="s">
        <v>41250</v>
      </c>
      <c r="P3798">
        <v>0</v>
      </c>
      <c r="Q3798">
        <v>1</v>
      </c>
      <c r="R3798" t="s">
        <v>41252</v>
      </c>
      <c r="S3798" t="s">
        <v>41383</v>
      </c>
      <c r="T3798" t="s">
        <v>42679</v>
      </c>
      <c r="U3798" t="s">
        <v>46366</v>
      </c>
      <c r="W3798" t="s">
        <v>38114</v>
      </c>
      <c r="X3798" t="s">
        <v>41254</v>
      </c>
    </row>
    <row r="3799" spans="1:24">
      <c r="A3799">
        <f>HYPERLINK("https://www.philgeps.gov.ph/GEPSNONPILOT/Tender/SplashBidNoticeAbstractUI.aspx?menuIndex=3&amp;refID=7074760&amp;Result=3","7074760")</f>
        <v>0</v>
      </c>
      <c r="B3799" t="s">
        <v>1398</v>
      </c>
      <c r="C3799" t="s">
        <v>7028</v>
      </c>
      <c r="D3799" t="s">
        <v>16640</v>
      </c>
      <c r="E3799" t="s">
        <v>20133</v>
      </c>
      <c r="F3799" t="s">
        <v>28669</v>
      </c>
      <c r="G3799" t="s">
        <v>28676</v>
      </c>
      <c r="H3799" t="s">
        <v>28684</v>
      </c>
      <c r="I3799" t="s">
        <v>6128</v>
      </c>
      <c r="J3799" t="s">
        <v>31285</v>
      </c>
      <c r="K3799" t="s">
        <v>37312</v>
      </c>
      <c r="M3799" t="s">
        <v>38961</v>
      </c>
      <c r="N3799" t="s">
        <v>41249</v>
      </c>
      <c r="O3799" t="s">
        <v>41250</v>
      </c>
      <c r="P3799">
        <v>0</v>
      </c>
      <c r="Q3799">
        <v>2</v>
      </c>
      <c r="R3799" t="s">
        <v>41252</v>
      </c>
      <c r="S3799" t="s">
        <v>41383</v>
      </c>
      <c r="T3799" t="s">
        <v>42670</v>
      </c>
      <c r="U3799" t="s">
        <v>46225</v>
      </c>
      <c r="W3799" t="s">
        <v>38961</v>
      </c>
      <c r="X3799" t="s">
        <v>41254</v>
      </c>
    </row>
    <row r="3800" spans="1:24">
      <c r="A3800">
        <f>HYPERLINK("https://www.philgeps.gov.ph/GEPSNONPILOT/Tender/SplashBidNoticeAbstractUI.aspx?menuIndex=3&amp;refID=7075033&amp;Result=3","7075033")</f>
        <v>0</v>
      </c>
      <c r="B3800" t="s">
        <v>1450</v>
      </c>
      <c r="C3800" t="s">
        <v>7029</v>
      </c>
      <c r="D3800" t="s">
        <v>16663</v>
      </c>
      <c r="E3800" t="s">
        <v>20134</v>
      </c>
      <c r="F3800" t="s">
        <v>28669</v>
      </c>
      <c r="G3800" t="s">
        <v>28676</v>
      </c>
      <c r="H3800" t="s">
        <v>9998</v>
      </c>
      <c r="I3800" t="s">
        <v>3718</v>
      </c>
      <c r="J3800" t="s">
        <v>29044</v>
      </c>
      <c r="K3800" t="s">
        <v>37208</v>
      </c>
      <c r="M3800" t="s">
        <v>39015</v>
      </c>
      <c r="N3800" t="s">
        <v>41249</v>
      </c>
      <c r="O3800" t="s">
        <v>41250</v>
      </c>
      <c r="P3800">
        <v>0</v>
      </c>
      <c r="Q3800">
        <v>2</v>
      </c>
      <c r="R3800" t="s">
        <v>41252</v>
      </c>
      <c r="S3800" t="s">
        <v>41383</v>
      </c>
      <c r="T3800" t="s">
        <v>42673</v>
      </c>
      <c r="U3800" t="s">
        <v>46367</v>
      </c>
      <c r="W3800" t="s">
        <v>39015</v>
      </c>
      <c r="X3800" t="s">
        <v>41254</v>
      </c>
    </row>
    <row r="3801" spans="1:24">
      <c r="A3801">
        <f>HYPERLINK("https://www.philgeps.gov.ph/GEPSNONPILOT/Tender/SplashBidNoticeAbstractUI.aspx?menuIndex=3&amp;refID=7075032&amp;Result=3","7075032")</f>
        <v>0</v>
      </c>
      <c r="B3801" t="s">
        <v>1430</v>
      </c>
      <c r="C3801" t="s">
        <v>7030</v>
      </c>
      <c r="E3801" t="s">
        <v>20135</v>
      </c>
      <c r="F3801" t="s">
        <v>28669</v>
      </c>
      <c r="G3801" t="s">
        <v>28675</v>
      </c>
      <c r="H3801" t="s">
        <v>9998</v>
      </c>
      <c r="I3801" t="s">
        <v>11142</v>
      </c>
      <c r="J3801" t="s">
        <v>29088</v>
      </c>
      <c r="K3801" t="s">
        <v>37209</v>
      </c>
      <c r="M3801" t="s">
        <v>38994</v>
      </c>
      <c r="N3801" t="s">
        <v>41249</v>
      </c>
      <c r="O3801" t="s">
        <v>41250</v>
      </c>
      <c r="P3801">
        <v>0</v>
      </c>
      <c r="Q3801">
        <v>1</v>
      </c>
      <c r="R3801" t="s">
        <v>41252</v>
      </c>
      <c r="S3801" t="s">
        <v>41383</v>
      </c>
      <c r="T3801" t="s">
        <v>42714</v>
      </c>
      <c r="U3801" t="s">
        <v>46368</v>
      </c>
      <c r="W3801" t="s">
        <v>38994</v>
      </c>
      <c r="X3801" t="s">
        <v>41254</v>
      </c>
    </row>
    <row r="3802" spans="1:24">
      <c r="A3802">
        <f>HYPERLINK("https://www.philgeps.gov.ph/GEPSNONPILOT/Tender/SplashBidNoticeAbstractUI.aspx?menuIndex=3&amp;refID=7075055&amp;Result=3","7075055")</f>
        <v>0</v>
      </c>
      <c r="B3802" t="s">
        <v>186</v>
      </c>
      <c r="C3802" t="s">
        <v>7031</v>
      </c>
      <c r="D3802" t="s">
        <v>16654</v>
      </c>
      <c r="E3802" t="s">
        <v>20136</v>
      </c>
      <c r="F3802" t="s">
        <v>28669</v>
      </c>
      <c r="G3802" t="s">
        <v>28677</v>
      </c>
      <c r="H3802" t="s">
        <v>9998</v>
      </c>
      <c r="I3802" t="s">
        <v>3718</v>
      </c>
      <c r="J3802" t="s">
        <v>29044</v>
      </c>
      <c r="K3802" t="s">
        <v>37205</v>
      </c>
      <c r="M3802" t="s">
        <v>37664</v>
      </c>
      <c r="N3802" t="s">
        <v>41249</v>
      </c>
      <c r="O3802" t="s">
        <v>41250</v>
      </c>
      <c r="P3802">
        <v>0</v>
      </c>
      <c r="Q3802">
        <v>0</v>
      </c>
      <c r="R3802" t="s">
        <v>41252</v>
      </c>
      <c r="S3802" t="s">
        <v>41383</v>
      </c>
      <c r="T3802" t="s">
        <v>42883</v>
      </c>
      <c r="U3802" t="s">
        <v>46369</v>
      </c>
      <c r="W3802" t="s">
        <v>37664</v>
      </c>
      <c r="X3802" t="s">
        <v>41254</v>
      </c>
    </row>
    <row r="3803" spans="1:24">
      <c r="A3803">
        <f>HYPERLINK("https://www.philgeps.gov.ph/GEPSNONPILOT/Tender/SplashBidNoticeAbstractUI.aspx?menuIndex=3&amp;refID=7074710&amp;Result=3","7074710")</f>
        <v>0</v>
      </c>
      <c r="B3803" t="s">
        <v>1451</v>
      </c>
      <c r="C3803" t="s">
        <v>7032</v>
      </c>
      <c r="D3803" t="s">
        <v>16664</v>
      </c>
      <c r="E3803" t="s">
        <v>19659</v>
      </c>
      <c r="F3803" t="s">
        <v>28669</v>
      </c>
      <c r="G3803" t="s">
        <v>28675</v>
      </c>
      <c r="H3803" t="s">
        <v>28686</v>
      </c>
      <c r="I3803" t="s">
        <v>7352</v>
      </c>
      <c r="J3803" t="s">
        <v>28826</v>
      </c>
      <c r="K3803" t="s">
        <v>37209</v>
      </c>
      <c r="M3803" t="s">
        <v>39016</v>
      </c>
      <c r="N3803" t="s">
        <v>41249</v>
      </c>
      <c r="O3803" t="s">
        <v>41250</v>
      </c>
      <c r="P3803">
        <v>0</v>
      </c>
      <c r="Q3803">
        <v>0</v>
      </c>
      <c r="R3803" t="s">
        <v>41252</v>
      </c>
      <c r="S3803" t="s">
        <v>41383</v>
      </c>
      <c r="T3803" t="s">
        <v>42670</v>
      </c>
      <c r="U3803" t="s">
        <v>46370</v>
      </c>
      <c r="W3803" t="s">
        <v>39016</v>
      </c>
      <c r="X3803" t="s">
        <v>41254</v>
      </c>
    </row>
    <row r="3804" spans="1:24">
      <c r="A3804">
        <f>HYPERLINK("https://www.philgeps.gov.ph/GEPSNONPILOT/Tender/SplashBidNoticeAbstractUI.aspx?menuIndex=3&amp;refID=7074686&amp;Result=3","7074686")</f>
        <v>0</v>
      </c>
      <c r="B3804" t="s">
        <v>1244</v>
      </c>
      <c r="C3804" t="s">
        <v>7033</v>
      </c>
      <c r="D3804" t="s">
        <v>16686</v>
      </c>
      <c r="E3804" t="s">
        <v>20137</v>
      </c>
      <c r="F3804" t="s">
        <v>28669</v>
      </c>
      <c r="G3804" t="s">
        <v>28676</v>
      </c>
      <c r="H3804" t="s">
        <v>9998</v>
      </c>
      <c r="I3804" t="s">
        <v>28699</v>
      </c>
      <c r="J3804" t="s">
        <v>28854</v>
      </c>
      <c r="K3804" t="s">
        <v>37210</v>
      </c>
      <c r="M3804" t="s">
        <v>38791</v>
      </c>
      <c r="N3804" t="s">
        <v>41249</v>
      </c>
      <c r="O3804" t="s">
        <v>41250</v>
      </c>
      <c r="P3804">
        <v>0</v>
      </c>
      <c r="Q3804">
        <v>0</v>
      </c>
      <c r="R3804" t="s">
        <v>41252</v>
      </c>
      <c r="S3804" t="s">
        <v>41383</v>
      </c>
      <c r="T3804" t="s">
        <v>42711</v>
      </c>
      <c r="U3804" t="s">
        <v>46371</v>
      </c>
      <c r="W3804" t="s">
        <v>38791</v>
      </c>
      <c r="X3804" t="s">
        <v>41254</v>
      </c>
    </row>
    <row r="3805" spans="1:24">
      <c r="A3805">
        <f>HYPERLINK("https://www.philgeps.gov.ph/GEPSNONPILOT/Tender/SplashBidNoticeAbstractUI.aspx?menuIndex=3&amp;refID=7074684&amp;Result=3","7074684")</f>
        <v>0</v>
      </c>
      <c r="B3805" t="s">
        <v>358</v>
      </c>
      <c r="C3805" t="s">
        <v>7034</v>
      </c>
      <c r="D3805" t="s">
        <v>16683</v>
      </c>
      <c r="E3805" t="s">
        <v>20138</v>
      </c>
      <c r="F3805" t="s">
        <v>28669</v>
      </c>
      <c r="G3805" t="s">
        <v>28676</v>
      </c>
      <c r="H3805" t="s">
        <v>28686</v>
      </c>
      <c r="I3805" t="s">
        <v>28689</v>
      </c>
      <c r="J3805" t="s">
        <v>29247</v>
      </c>
      <c r="K3805" t="s">
        <v>37209</v>
      </c>
      <c r="M3805" t="s">
        <v>37839</v>
      </c>
      <c r="N3805" t="s">
        <v>41249</v>
      </c>
      <c r="O3805" t="s">
        <v>41250</v>
      </c>
      <c r="P3805">
        <v>0</v>
      </c>
      <c r="Q3805">
        <v>1</v>
      </c>
      <c r="R3805" t="s">
        <v>41252</v>
      </c>
      <c r="S3805" t="s">
        <v>41383</v>
      </c>
      <c r="T3805" t="s">
        <v>42675</v>
      </c>
      <c r="U3805" t="s">
        <v>46372</v>
      </c>
      <c r="W3805" t="s">
        <v>37839</v>
      </c>
      <c r="X3805" t="s">
        <v>41254</v>
      </c>
    </row>
    <row r="3806" spans="1:24">
      <c r="A3806">
        <f>HYPERLINK("https://www.philgeps.gov.ph/GEPSNONPILOT/Tender/SplashBidNoticeAbstractUI.aspx?menuIndex=3&amp;refID=7074683&amp;Result=3","7074683")</f>
        <v>0</v>
      </c>
      <c r="B3806" t="s">
        <v>1398</v>
      </c>
      <c r="C3806" t="s">
        <v>7035</v>
      </c>
      <c r="D3806" t="s">
        <v>16640</v>
      </c>
      <c r="E3806" t="s">
        <v>20139</v>
      </c>
      <c r="F3806" t="s">
        <v>28669</v>
      </c>
      <c r="G3806" t="s">
        <v>28676</v>
      </c>
      <c r="H3806" t="s">
        <v>28684</v>
      </c>
      <c r="I3806" t="s">
        <v>5213</v>
      </c>
      <c r="J3806" t="s">
        <v>31286</v>
      </c>
      <c r="K3806" t="s">
        <v>37312</v>
      </c>
      <c r="M3806" t="s">
        <v>38961</v>
      </c>
      <c r="N3806" t="s">
        <v>41249</v>
      </c>
      <c r="O3806" t="s">
        <v>41250</v>
      </c>
      <c r="P3806">
        <v>0</v>
      </c>
      <c r="Q3806">
        <v>0</v>
      </c>
      <c r="R3806" t="s">
        <v>41252</v>
      </c>
      <c r="S3806" t="s">
        <v>41383</v>
      </c>
      <c r="T3806" t="s">
        <v>42670</v>
      </c>
      <c r="U3806" t="s">
        <v>46225</v>
      </c>
      <c r="W3806" t="s">
        <v>38961</v>
      </c>
      <c r="X3806" t="s">
        <v>41254</v>
      </c>
    </row>
    <row r="3807" spans="1:24">
      <c r="A3807">
        <f>HYPERLINK("https://www.philgeps.gov.ph/GEPSNONPILOT/Tender/SplashBidNoticeAbstractUI.aspx?menuIndex=3&amp;refID=7074655&amp;Result=3","7074655")</f>
        <v>0</v>
      </c>
      <c r="B3807" t="s">
        <v>1124</v>
      </c>
      <c r="C3807" t="s">
        <v>7036</v>
      </c>
      <c r="E3807" t="s">
        <v>20140</v>
      </c>
      <c r="F3807" t="s">
        <v>28669</v>
      </c>
      <c r="G3807" t="s">
        <v>28676</v>
      </c>
      <c r="H3807" t="s">
        <v>9998</v>
      </c>
      <c r="I3807" t="s">
        <v>28728</v>
      </c>
      <c r="J3807" t="s">
        <v>29225</v>
      </c>
      <c r="K3807" t="s">
        <v>37209</v>
      </c>
      <c r="M3807" t="s">
        <v>38883</v>
      </c>
      <c r="N3807" t="s">
        <v>41249</v>
      </c>
      <c r="O3807" t="s">
        <v>41250</v>
      </c>
      <c r="P3807">
        <v>0</v>
      </c>
      <c r="Q3807">
        <v>0</v>
      </c>
      <c r="R3807" t="s">
        <v>41252</v>
      </c>
      <c r="S3807" t="s">
        <v>41383</v>
      </c>
      <c r="T3807" t="s">
        <v>42729</v>
      </c>
      <c r="U3807" t="s">
        <v>46373</v>
      </c>
      <c r="W3807" t="s">
        <v>38883</v>
      </c>
      <c r="X3807" t="s">
        <v>41254</v>
      </c>
    </row>
    <row r="3808" spans="1:24">
      <c r="A3808">
        <f>HYPERLINK("https://www.philgeps.gov.ph/GEPSNONPILOT/Tender/SplashBidNoticeAbstractUI.aspx?menuIndex=3&amp;refID=7074654&amp;Result=3","7074654")</f>
        <v>0</v>
      </c>
      <c r="B3808" t="s">
        <v>1452</v>
      </c>
      <c r="C3808" t="s">
        <v>7037</v>
      </c>
      <c r="D3808" t="s">
        <v>16652</v>
      </c>
      <c r="E3808" t="s">
        <v>20141</v>
      </c>
      <c r="F3808" t="s">
        <v>28669</v>
      </c>
      <c r="G3808" t="s">
        <v>28675</v>
      </c>
      <c r="H3808" t="s">
        <v>28686</v>
      </c>
      <c r="I3808" t="s">
        <v>28689</v>
      </c>
      <c r="J3808" t="s">
        <v>31287</v>
      </c>
      <c r="K3808" t="s">
        <v>37221</v>
      </c>
      <c r="M3808" t="s">
        <v>39017</v>
      </c>
      <c r="N3808" t="s">
        <v>41249</v>
      </c>
      <c r="O3808" t="s">
        <v>41250</v>
      </c>
      <c r="P3808">
        <v>0</v>
      </c>
      <c r="Q3808">
        <v>0</v>
      </c>
      <c r="R3808" t="s">
        <v>41252</v>
      </c>
      <c r="S3808" t="s">
        <v>41383</v>
      </c>
      <c r="T3808" t="s">
        <v>42722</v>
      </c>
      <c r="U3808" t="s">
        <v>46374</v>
      </c>
      <c r="W3808" t="s">
        <v>39017</v>
      </c>
      <c r="X3808" t="s">
        <v>41254</v>
      </c>
    </row>
    <row r="3809" spans="1:24">
      <c r="A3809">
        <f>HYPERLINK("https://www.philgeps.gov.ph/GEPSNONPILOT/Tender/SplashBidNoticeAbstractUI.aspx?menuIndex=3&amp;refID=7075081&amp;Result=3","7075081")</f>
        <v>0</v>
      </c>
      <c r="B3809" t="s">
        <v>133</v>
      </c>
      <c r="C3809" t="s">
        <v>7038</v>
      </c>
      <c r="E3809" t="s">
        <v>20142</v>
      </c>
      <c r="F3809" t="s">
        <v>28669</v>
      </c>
      <c r="G3809" t="s">
        <v>28676</v>
      </c>
      <c r="H3809" t="s">
        <v>9998</v>
      </c>
      <c r="I3809" t="s">
        <v>11593</v>
      </c>
      <c r="J3809" t="s">
        <v>31288</v>
      </c>
      <c r="K3809" t="s">
        <v>37210</v>
      </c>
      <c r="M3809" t="s">
        <v>37610</v>
      </c>
      <c r="N3809" t="s">
        <v>41249</v>
      </c>
      <c r="O3809" t="s">
        <v>41250</v>
      </c>
      <c r="P3809">
        <v>0</v>
      </c>
      <c r="Q3809">
        <v>1</v>
      </c>
      <c r="R3809" t="s">
        <v>41252</v>
      </c>
      <c r="S3809" t="s">
        <v>41383</v>
      </c>
      <c r="T3809" t="s">
        <v>42783</v>
      </c>
      <c r="U3809" t="s">
        <v>46375</v>
      </c>
      <c r="V3809" t="s">
        <v>54670</v>
      </c>
      <c r="W3809" t="s">
        <v>37610</v>
      </c>
      <c r="X3809" t="s">
        <v>41254</v>
      </c>
    </row>
    <row r="3810" spans="1:24">
      <c r="A3810">
        <f>HYPERLINK("https://www.philgeps.gov.ph/GEPSNONPILOT/Tender/SplashBidNoticeAbstractUI.aspx?menuIndex=3&amp;refID=7074763&amp;Result=3","7074763")</f>
        <v>0</v>
      </c>
      <c r="B3810" t="s">
        <v>1122</v>
      </c>
      <c r="C3810" t="s">
        <v>7039</v>
      </c>
      <c r="D3810" t="s">
        <v>16616</v>
      </c>
      <c r="E3810" t="s">
        <v>20143</v>
      </c>
      <c r="F3810" t="s">
        <v>28669</v>
      </c>
      <c r="G3810" t="s">
        <v>28676</v>
      </c>
      <c r="H3810" t="s">
        <v>9998</v>
      </c>
      <c r="I3810" t="s">
        <v>11142</v>
      </c>
      <c r="J3810" t="s">
        <v>29554</v>
      </c>
      <c r="K3810" t="s">
        <v>37209</v>
      </c>
      <c r="M3810" t="s">
        <v>38656</v>
      </c>
      <c r="N3810" t="s">
        <v>41249</v>
      </c>
      <c r="O3810" t="s">
        <v>41250</v>
      </c>
      <c r="P3810">
        <v>0</v>
      </c>
      <c r="Q3810">
        <v>1</v>
      </c>
      <c r="R3810" t="s">
        <v>41252</v>
      </c>
      <c r="S3810" t="s">
        <v>41383</v>
      </c>
      <c r="T3810" t="s">
        <v>42736</v>
      </c>
      <c r="U3810" t="s">
        <v>46376</v>
      </c>
      <c r="W3810" t="s">
        <v>38656</v>
      </c>
      <c r="X3810" t="s">
        <v>41254</v>
      </c>
    </row>
    <row r="3811" spans="1:24">
      <c r="A3811">
        <f>HYPERLINK("https://www.philgeps.gov.ph/GEPSNONPILOT/Tender/SplashBidNoticeAbstractUI.aspx?menuIndex=3&amp;refID=7075080&amp;Result=3","7075080")</f>
        <v>0</v>
      </c>
      <c r="B3811" t="s">
        <v>308</v>
      </c>
      <c r="C3811" t="s">
        <v>7040</v>
      </c>
      <c r="D3811" t="s">
        <v>16647</v>
      </c>
      <c r="E3811" t="s">
        <v>20144</v>
      </c>
      <c r="F3811" t="s">
        <v>28669</v>
      </c>
      <c r="G3811" t="s">
        <v>28676</v>
      </c>
      <c r="H3811" t="s">
        <v>28686</v>
      </c>
      <c r="I3811" t="s">
        <v>7352</v>
      </c>
      <c r="J3811" t="s">
        <v>31289</v>
      </c>
      <c r="K3811" t="s">
        <v>37227</v>
      </c>
      <c r="M3811" t="s">
        <v>37787</v>
      </c>
      <c r="N3811" t="s">
        <v>41249</v>
      </c>
      <c r="O3811" t="s">
        <v>41250</v>
      </c>
      <c r="P3811">
        <v>0</v>
      </c>
      <c r="Q3811">
        <v>0</v>
      </c>
      <c r="R3811" t="s">
        <v>41252</v>
      </c>
      <c r="S3811" t="s">
        <v>41383</v>
      </c>
      <c r="T3811" t="s">
        <v>42743</v>
      </c>
      <c r="U3811" t="s">
        <v>46377</v>
      </c>
      <c r="W3811" t="s">
        <v>37787</v>
      </c>
      <c r="X3811" t="s">
        <v>41254</v>
      </c>
    </row>
    <row r="3812" spans="1:24">
      <c r="A3812">
        <f>HYPERLINK("https://www.philgeps.gov.ph/GEPSNONPILOT/Tender/SplashBidNoticeAbstractUI.aspx?menuIndex=3&amp;refID=7075077&amp;Result=3","7075077")</f>
        <v>0</v>
      </c>
      <c r="B3812" t="s">
        <v>697</v>
      </c>
      <c r="C3812" t="s">
        <v>7041</v>
      </c>
      <c r="D3812" t="s">
        <v>16608</v>
      </c>
      <c r="E3812" t="s">
        <v>20145</v>
      </c>
      <c r="F3812" t="s">
        <v>28669</v>
      </c>
      <c r="G3812" t="s">
        <v>28676</v>
      </c>
      <c r="H3812" t="s">
        <v>9998</v>
      </c>
      <c r="I3812" t="s">
        <v>3718</v>
      </c>
      <c r="J3812" t="s">
        <v>28854</v>
      </c>
      <c r="K3812" t="s">
        <v>37206</v>
      </c>
      <c r="M3812" t="s">
        <v>38803</v>
      </c>
      <c r="N3812" t="s">
        <v>41249</v>
      </c>
      <c r="O3812" t="s">
        <v>41250</v>
      </c>
      <c r="P3812">
        <v>0</v>
      </c>
      <c r="Q3812">
        <v>8</v>
      </c>
      <c r="R3812" t="s">
        <v>41252</v>
      </c>
      <c r="S3812" t="s">
        <v>41383</v>
      </c>
      <c r="T3812" t="s">
        <v>42736</v>
      </c>
      <c r="U3812" t="s">
        <v>46270</v>
      </c>
      <c r="V3812" t="s">
        <v>54680</v>
      </c>
      <c r="W3812" t="s">
        <v>38803</v>
      </c>
      <c r="X3812" t="s">
        <v>41254</v>
      </c>
    </row>
    <row r="3813" spans="1:24">
      <c r="A3813">
        <f>HYPERLINK("https://www.philgeps.gov.ph/GEPSNONPILOT/Tender/SplashBidNoticeAbstractUI.aspx?menuIndex=3&amp;refID=7074762&amp;Result=3","7074762")</f>
        <v>0</v>
      </c>
      <c r="B3813" t="s">
        <v>989</v>
      </c>
      <c r="C3813" t="s">
        <v>7042</v>
      </c>
      <c r="D3813" t="s">
        <v>16679</v>
      </c>
      <c r="E3813" t="s">
        <v>20146</v>
      </c>
      <c r="F3813" t="s">
        <v>28669</v>
      </c>
      <c r="G3813" t="s">
        <v>28676</v>
      </c>
      <c r="H3813" t="s">
        <v>9998</v>
      </c>
      <c r="I3813" t="s">
        <v>28693</v>
      </c>
      <c r="J3813" t="s">
        <v>28877</v>
      </c>
      <c r="K3813" t="s">
        <v>37205</v>
      </c>
      <c r="M3813" t="s">
        <v>38515</v>
      </c>
      <c r="N3813" t="s">
        <v>41249</v>
      </c>
      <c r="O3813" t="s">
        <v>41250</v>
      </c>
      <c r="P3813">
        <v>0</v>
      </c>
      <c r="Q3813">
        <v>5</v>
      </c>
      <c r="R3813" t="s">
        <v>41252</v>
      </c>
      <c r="S3813" t="s">
        <v>41383</v>
      </c>
      <c r="T3813" t="s">
        <v>42665</v>
      </c>
      <c r="U3813" t="s">
        <v>45216</v>
      </c>
      <c r="W3813" t="s">
        <v>38515</v>
      </c>
      <c r="X3813" t="s">
        <v>41254</v>
      </c>
    </row>
    <row r="3814" spans="1:24">
      <c r="A3814">
        <f>HYPERLINK("https://www.philgeps.gov.ph/GEPSNONPILOT/Tender/SplashBidNoticeAbstractUI.aspx?menuIndex=3&amp;refID=7075076&amp;Result=3","7075076")</f>
        <v>0</v>
      </c>
      <c r="B3814" t="s">
        <v>965</v>
      </c>
      <c r="C3814" t="s">
        <v>7043</v>
      </c>
      <c r="D3814" t="s">
        <v>16608</v>
      </c>
      <c r="E3814" t="s">
        <v>20147</v>
      </c>
      <c r="F3814" t="s">
        <v>28669</v>
      </c>
      <c r="G3814" t="s">
        <v>28675</v>
      </c>
      <c r="H3814" t="s">
        <v>9998</v>
      </c>
      <c r="I3814" t="s">
        <v>5213</v>
      </c>
      <c r="J3814" t="s">
        <v>31290</v>
      </c>
      <c r="K3814" t="s">
        <v>37205</v>
      </c>
      <c r="M3814" t="s">
        <v>38890</v>
      </c>
      <c r="N3814" t="s">
        <v>41249</v>
      </c>
      <c r="O3814" t="s">
        <v>41250</v>
      </c>
      <c r="P3814">
        <v>0</v>
      </c>
      <c r="Q3814">
        <v>0</v>
      </c>
      <c r="R3814" t="s">
        <v>41252</v>
      </c>
      <c r="S3814" t="s">
        <v>41383</v>
      </c>
      <c r="T3814" t="s">
        <v>42703</v>
      </c>
      <c r="U3814" t="s">
        <v>45206</v>
      </c>
      <c r="W3814" t="s">
        <v>38890</v>
      </c>
      <c r="X3814" t="s">
        <v>41254</v>
      </c>
    </row>
    <row r="3815" spans="1:24">
      <c r="A3815">
        <f>HYPERLINK("https://www.philgeps.gov.ph/GEPSNONPILOT/Tender/SplashBidNoticeAbstractUI.aspx?menuIndex=3&amp;refID=7075075&amp;Result=3","7075075")</f>
        <v>0</v>
      </c>
      <c r="B3815" t="s">
        <v>1429</v>
      </c>
      <c r="C3815" t="s">
        <v>7044</v>
      </c>
      <c r="D3815" t="s">
        <v>16643</v>
      </c>
      <c r="E3815" t="s">
        <v>20148</v>
      </c>
      <c r="F3815" t="s">
        <v>28669</v>
      </c>
      <c r="G3815" t="s">
        <v>28676</v>
      </c>
      <c r="H3815" t="s">
        <v>9998</v>
      </c>
      <c r="I3815" t="s">
        <v>3718</v>
      </c>
      <c r="J3815" t="s">
        <v>31291</v>
      </c>
      <c r="K3815" t="s">
        <v>37210</v>
      </c>
      <c r="M3815" t="s">
        <v>38993</v>
      </c>
      <c r="N3815" t="s">
        <v>41249</v>
      </c>
      <c r="O3815" t="s">
        <v>41250</v>
      </c>
      <c r="P3815">
        <v>0</v>
      </c>
      <c r="Q3815">
        <v>1</v>
      </c>
      <c r="R3815" t="s">
        <v>41252</v>
      </c>
      <c r="S3815" t="s">
        <v>41383</v>
      </c>
      <c r="T3815" t="s">
        <v>42729</v>
      </c>
      <c r="U3815" t="s">
        <v>46378</v>
      </c>
      <c r="W3815" t="s">
        <v>38993</v>
      </c>
      <c r="X3815" t="s">
        <v>41254</v>
      </c>
    </row>
    <row r="3816" spans="1:24">
      <c r="A3816">
        <f>HYPERLINK("https://www.philgeps.gov.ph/GEPSNONPILOT/Tender/SplashBidNoticeAbstractUI.aspx?menuIndex=3&amp;refID=7074711&amp;Result=3","7074711")</f>
        <v>0</v>
      </c>
      <c r="B3816" t="s">
        <v>1453</v>
      </c>
      <c r="C3816" t="s">
        <v>7045</v>
      </c>
      <c r="D3816" t="s">
        <v>16638</v>
      </c>
      <c r="E3816" t="s">
        <v>20149</v>
      </c>
      <c r="F3816" t="s">
        <v>28669</v>
      </c>
      <c r="G3816" t="s">
        <v>28675</v>
      </c>
      <c r="H3816" t="s">
        <v>28686</v>
      </c>
      <c r="I3816" t="s">
        <v>28689</v>
      </c>
      <c r="J3816" t="s">
        <v>30755</v>
      </c>
      <c r="K3816" t="s">
        <v>37339</v>
      </c>
      <c r="L3816" t="s">
        <v>1453</v>
      </c>
      <c r="M3816" t="s">
        <v>39018</v>
      </c>
      <c r="N3816" t="s">
        <v>41249</v>
      </c>
      <c r="O3816" t="s">
        <v>41250</v>
      </c>
      <c r="P3816">
        <v>0</v>
      </c>
      <c r="Q3816">
        <v>0</v>
      </c>
      <c r="R3816" t="s">
        <v>41252</v>
      </c>
      <c r="S3816" t="s">
        <v>41383</v>
      </c>
      <c r="T3816" t="s">
        <v>42716</v>
      </c>
      <c r="U3816" t="s">
        <v>46379</v>
      </c>
      <c r="V3816" t="s">
        <v>54683</v>
      </c>
      <c r="W3816" t="s">
        <v>39018</v>
      </c>
      <c r="X3816" t="s">
        <v>41254</v>
      </c>
    </row>
    <row r="3817" spans="1:24">
      <c r="A3817">
        <f>HYPERLINK("https://www.philgeps.gov.ph/GEPSNONPILOT/Tender/SplashBidNoticeAbstractUI.aspx?menuIndex=3&amp;refID=7075073&amp;Result=3","7075073")</f>
        <v>0</v>
      </c>
      <c r="B3817" t="s">
        <v>1129</v>
      </c>
      <c r="C3817" t="s">
        <v>7046</v>
      </c>
      <c r="D3817" t="s">
        <v>16612</v>
      </c>
      <c r="E3817" t="s">
        <v>20150</v>
      </c>
      <c r="F3817" t="s">
        <v>28669</v>
      </c>
      <c r="G3817" t="s">
        <v>28676</v>
      </c>
      <c r="H3817" t="s">
        <v>9998</v>
      </c>
      <c r="I3817" t="s">
        <v>28733</v>
      </c>
      <c r="J3817" t="s">
        <v>29040</v>
      </c>
      <c r="K3817" t="s">
        <v>37205</v>
      </c>
      <c r="L3817" t="s">
        <v>1129</v>
      </c>
      <c r="M3817" t="s">
        <v>38663</v>
      </c>
      <c r="N3817" t="s">
        <v>41249</v>
      </c>
      <c r="O3817" t="s">
        <v>41250</v>
      </c>
      <c r="P3817">
        <v>0</v>
      </c>
      <c r="Q3817">
        <v>0</v>
      </c>
      <c r="R3817" t="s">
        <v>41252</v>
      </c>
      <c r="S3817" t="s">
        <v>41383</v>
      </c>
      <c r="T3817" t="s">
        <v>42913</v>
      </c>
      <c r="U3817" t="s">
        <v>46380</v>
      </c>
      <c r="W3817" t="s">
        <v>38663</v>
      </c>
      <c r="X3817" t="s">
        <v>41254</v>
      </c>
    </row>
    <row r="3818" spans="1:24">
      <c r="A3818">
        <f>HYPERLINK("https://www.philgeps.gov.ph/GEPSNONPILOT/Tender/SplashBidNoticeAbstractUI.aspx?menuIndex=3&amp;refID=7075072&amp;Result=3","7075072")</f>
        <v>0</v>
      </c>
      <c r="B3818" t="s">
        <v>1124</v>
      </c>
      <c r="C3818" t="s">
        <v>7047</v>
      </c>
      <c r="E3818" t="s">
        <v>20068</v>
      </c>
      <c r="F3818" t="s">
        <v>28669</v>
      </c>
      <c r="G3818" t="s">
        <v>28676</v>
      </c>
      <c r="H3818" t="s">
        <v>9998</v>
      </c>
      <c r="I3818" t="s">
        <v>28728</v>
      </c>
      <c r="J3818" t="s">
        <v>29225</v>
      </c>
      <c r="K3818" t="s">
        <v>37209</v>
      </c>
      <c r="M3818" t="s">
        <v>38883</v>
      </c>
      <c r="N3818" t="s">
        <v>41249</v>
      </c>
      <c r="O3818" t="s">
        <v>41250</v>
      </c>
      <c r="P3818">
        <v>0</v>
      </c>
      <c r="Q3818">
        <v>0</v>
      </c>
      <c r="R3818" t="s">
        <v>41252</v>
      </c>
      <c r="S3818" t="s">
        <v>41383</v>
      </c>
      <c r="T3818" t="s">
        <v>42729</v>
      </c>
      <c r="U3818" t="s">
        <v>46381</v>
      </c>
      <c r="W3818" t="s">
        <v>38883</v>
      </c>
      <c r="X3818" t="s">
        <v>41254</v>
      </c>
    </row>
    <row r="3819" spans="1:24">
      <c r="A3819">
        <f>HYPERLINK("https://www.philgeps.gov.ph/GEPSNONPILOT/Tender/SplashBidNoticeAbstractUI.aspx?menuIndex=3&amp;refID=7075071&amp;Result=3","7075071")</f>
        <v>0</v>
      </c>
      <c r="B3819" t="s">
        <v>1454</v>
      </c>
      <c r="C3819" t="s">
        <v>7048</v>
      </c>
      <c r="E3819" t="s">
        <v>20151</v>
      </c>
      <c r="F3819" t="s">
        <v>28669</v>
      </c>
      <c r="G3819" t="s">
        <v>28676</v>
      </c>
      <c r="H3819" t="s">
        <v>9998</v>
      </c>
      <c r="I3819" t="s">
        <v>28729</v>
      </c>
      <c r="J3819" t="s">
        <v>29653</v>
      </c>
      <c r="K3819" t="s">
        <v>37209</v>
      </c>
      <c r="M3819" t="s">
        <v>39019</v>
      </c>
      <c r="N3819" t="s">
        <v>41249</v>
      </c>
      <c r="O3819" t="s">
        <v>41250</v>
      </c>
      <c r="P3819">
        <v>0</v>
      </c>
      <c r="Q3819">
        <v>15</v>
      </c>
      <c r="R3819" t="s">
        <v>41252</v>
      </c>
      <c r="S3819" t="s">
        <v>41383</v>
      </c>
      <c r="T3819" t="s">
        <v>42701</v>
      </c>
      <c r="U3819" t="s">
        <v>44358</v>
      </c>
      <c r="W3819" t="s">
        <v>39019</v>
      </c>
      <c r="X3819" t="s">
        <v>41254</v>
      </c>
    </row>
    <row r="3820" spans="1:24">
      <c r="A3820">
        <f>HYPERLINK("https://www.philgeps.gov.ph/GEPSNONPILOT/Tender/SplashBidNoticeAbstractUI.aspx?menuIndex=3&amp;refID=7075069&amp;Result=3","7075069")</f>
        <v>0</v>
      </c>
      <c r="B3820" t="s">
        <v>1166</v>
      </c>
      <c r="C3820" t="s">
        <v>7049</v>
      </c>
      <c r="D3820" t="s">
        <v>16631</v>
      </c>
      <c r="E3820" t="s">
        <v>20152</v>
      </c>
      <c r="F3820" t="s">
        <v>28669</v>
      </c>
      <c r="G3820" t="s">
        <v>28675</v>
      </c>
      <c r="H3820" t="s">
        <v>9998</v>
      </c>
      <c r="I3820" t="s">
        <v>28704</v>
      </c>
      <c r="J3820" t="s">
        <v>28845</v>
      </c>
      <c r="K3820" t="s">
        <v>37204</v>
      </c>
      <c r="M3820" t="s">
        <v>38705</v>
      </c>
      <c r="N3820" t="s">
        <v>41249</v>
      </c>
      <c r="O3820" t="s">
        <v>41250</v>
      </c>
      <c r="P3820">
        <v>0</v>
      </c>
      <c r="Q3820">
        <v>0</v>
      </c>
      <c r="R3820" t="s">
        <v>41252</v>
      </c>
      <c r="S3820" t="s">
        <v>41383</v>
      </c>
      <c r="T3820" t="s">
        <v>42945</v>
      </c>
      <c r="U3820" t="s">
        <v>46382</v>
      </c>
      <c r="V3820" t="s">
        <v>54684</v>
      </c>
      <c r="W3820" t="s">
        <v>38705</v>
      </c>
      <c r="X3820" t="s">
        <v>41254</v>
      </c>
    </row>
    <row r="3821" spans="1:24">
      <c r="A3821">
        <f>HYPERLINK("https://www.philgeps.gov.ph/GEPSNONPILOT/Tender/SplashBidNoticeAbstractUI.aspx?menuIndex=3&amp;refID=7075079&amp;Result=3","7075079")</f>
        <v>0</v>
      </c>
      <c r="B3821" t="s">
        <v>1455</v>
      </c>
      <c r="C3821" t="s">
        <v>7050</v>
      </c>
      <c r="D3821" t="s">
        <v>16627</v>
      </c>
      <c r="E3821" t="s">
        <v>20153</v>
      </c>
      <c r="F3821" t="s">
        <v>28669</v>
      </c>
      <c r="G3821" t="s">
        <v>28676</v>
      </c>
      <c r="H3821" t="s">
        <v>9998</v>
      </c>
      <c r="I3821" t="s">
        <v>28801</v>
      </c>
      <c r="J3821" t="s">
        <v>29605</v>
      </c>
      <c r="K3821" t="s">
        <v>37206</v>
      </c>
      <c r="M3821" t="s">
        <v>39020</v>
      </c>
      <c r="N3821" t="s">
        <v>41249</v>
      </c>
      <c r="O3821" t="s">
        <v>41250</v>
      </c>
      <c r="P3821">
        <v>0</v>
      </c>
      <c r="Q3821">
        <v>2</v>
      </c>
      <c r="R3821" t="s">
        <v>41252</v>
      </c>
      <c r="S3821" t="s">
        <v>41383</v>
      </c>
      <c r="T3821" t="s">
        <v>42729</v>
      </c>
      <c r="U3821" t="s">
        <v>46383</v>
      </c>
      <c r="W3821" t="s">
        <v>39020</v>
      </c>
      <c r="X3821" t="s">
        <v>41254</v>
      </c>
    </row>
    <row r="3822" spans="1:24">
      <c r="A3822">
        <f>HYPERLINK("https://www.philgeps.gov.ph/GEPSNONPILOT/Tender/SplashBidNoticeAbstractUI.aspx?menuIndex=3&amp;refID=7075067&amp;Result=3","7075067")</f>
        <v>0</v>
      </c>
      <c r="B3822" t="s">
        <v>497</v>
      </c>
      <c r="C3822" t="s">
        <v>7051</v>
      </c>
      <c r="D3822" t="s">
        <v>16608</v>
      </c>
      <c r="E3822" t="s">
        <v>20154</v>
      </c>
      <c r="F3822" t="s">
        <v>28669</v>
      </c>
      <c r="G3822" t="s">
        <v>28677</v>
      </c>
      <c r="H3822" t="s">
        <v>9998</v>
      </c>
      <c r="I3822" t="s">
        <v>5213</v>
      </c>
      <c r="J3822" t="s">
        <v>30988</v>
      </c>
      <c r="K3822" t="s">
        <v>37209</v>
      </c>
      <c r="M3822" t="s">
        <v>39021</v>
      </c>
      <c r="N3822" t="s">
        <v>41249</v>
      </c>
      <c r="O3822" t="s">
        <v>41250</v>
      </c>
      <c r="P3822">
        <v>0</v>
      </c>
      <c r="Q3822">
        <v>3</v>
      </c>
      <c r="R3822" t="s">
        <v>41252</v>
      </c>
      <c r="S3822" t="s">
        <v>41383</v>
      </c>
      <c r="T3822" t="s">
        <v>42727</v>
      </c>
      <c r="U3822" t="s">
        <v>46384</v>
      </c>
      <c r="V3822" t="s">
        <v>54654</v>
      </c>
      <c r="W3822" t="s">
        <v>55919</v>
      </c>
      <c r="X3822" t="s">
        <v>41254</v>
      </c>
    </row>
    <row r="3823" spans="1:24">
      <c r="A3823">
        <f>HYPERLINK("https://www.philgeps.gov.ph/GEPSNONPILOT/Tender/SplashBidNoticeAbstractUI.aspx?menuIndex=3&amp;refID=7074712&amp;Result=3","7074712")</f>
        <v>0</v>
      </c>
      <c r="B3823" t="s">
        <v>191</v>
      </c>
      <c r="C3823" t="s">
        <v>7052</v>
      </c>
      <c r="D3823" t="s">
        <v>16614</v>
      </c>
      <c r="E3823" t="s">
        <v>20155</v>
      </c>
      <c r="F3823" t="s">
        <v>28669</v>
      </c>
      <c r="G3823" t="s">
        <v>28675</v>
      </c>
      <c r="H3823" t="s">
        <v>9998</v>
      </c>
      <c r="I3823" t="s">
        <v>6128</v>
      </c>
      <c r="J3823" t="s">
        <v>31292</v>
      </c>
      <c r="K3823" t="s">
        <v>37220</v>
      </c>
      <c r="M3823" t="s">
        <v>37669</v>
      </c>
      <c r="N3823" t="s">
        <v>41249</v>
      </c>
      <c r="O3823" t="s">
        <v>41250</v>
      </c>
      <c r="P3823">
        <v>0</v>
      </c>
      <c r="Q3823">
        <v>0</v>
      </c>
      <c r="R3823" t="s">
        <v>41252</v>
      </c>
      <c r="S3823" t="s">
        <v>41383</v>
      </c>
      <c r="T3823" t="s">
        <v>42679</v>
      </c>
      <c r="U3823" t="s">
        <v>46385</v>
      </c>
      <c r="W3823" t="s">
        <v>37669</v>
      </c>
      <c r="X3823" t="s">
        <v>41254</v>
      </c>
    </row>
    <row r="3824" spans="1:24">
      <c r="A3824">
        <f>HYPERLINK("https://www.philgeps.gov.ph/GEPSNONPILOT/Tender/SplashBidNoticeAbstractUI.aspx?menuIndex=3&amp;refID=7075065&amp;Result=3","7075065")</f>
        <v>0</v>
      </c>
      <c r="B3824" t="s">
        <v>571</v>
      </c>
      <c r="C3824" t="s">
        <v>7053</v>
      </c>
      <c r="D3824" t="s">
        <v>16661</v>
      </c>
      <c r="E3824" t="s">
        <v>20156</v>
      </c>
      <c r="F3824" t="s">
        <v>28669</v>
      </c>
      <c r="G3824" t="s">
        <v>28675</v>
      </c>
      <c r="H3824" t="s">
        <v>9998</v>
      </c>
      <c r="I3824" t="s">
        <v>7352</v>
      </c>
      <c r="J3824" t="s">
        <v>31293</v>
      </c>
      <c r="K3824" t="s">
        <v>37204</v>
      </c>
      <c r="M3824" t="s">
        <v>38070</v>
      </c>
      <c r="N3824" t="s">
        <v>41249</v>
      </c>
      <c r="O3824" t="s">
        <v>41250</v>
      </c>
      <c r="P3824">
        <v>0</v>
      </c>
      <c r="Q3824">
        <v>1</v>
      </c>
      <c r="R3824" t="s">
        <v>41252</v>
      </c>
      <c r="S3824" t="s">
        <v>41383</v>
      </c>
      <c r="T3824" t="s">
        <v>42683</v>
      </c>
      <c r="U3824" t="s">
        <v>46386</v>
      </c>
      <c r="W3824" t="s">
        <v>38070</v>
      </c>
      <c r="X3824" t="s">
        <v>41254</v>
      </c>
    </row>
    <row r="3825" spans="1:24">
      <c r="A3825">
        <f>HYPERLINK("https://www.philgeps.gov.ph/GEPSNONPILOT/Tender/SplashBidNoticeAbstractUI.aspx?menuIndex=3&amp;refID=7075064&amp;Result=3","7075064")</f>
        <v>0</v>
      </c>
      <c r="B3825" t="s">
        <v>1456</v>
      </c>
      <c r="C3825" t="s">
        <v>6824</v>
      </c>
      <c r="D3825" t="s">
        <v>16684</v>
      </c>
      <c r="E3825" t="s">
        <v>20157</v>
      </c>
      <c r="F3825" t="s">
        <v>28669</v>
      </c>
      <c r="G3825" t="s">
        <v>28676</v>
      </c>
      <c r="H3825" t="s">
        <v>9998</v>
      </c>
      <c r="I3825" t="s">
        <v>5213</v>
      </c>
      <c r="J3825" t="s">
        <v>31294</v>
      </c>
      <c r="K3825" t="s">
        <v>37208</v>
      </c>
      <c r="M3825" t="s">
        <v>39022</v>
      </c>
      <c r="N3825" t="s">
        <v>41249</v>
      </c>
      <c r="O3825" t="s">
        <v>41250</v>
      </c>
      <c r="P3825">
        <v>0</v>
      </c>
      <c r="Q3825">
        <v>0</v>
      </c>
      <c r="R3825" t="s">
        <v>41252</v>
      </c>
      <c r="S3825" t="s">
        <v>41383</v>
      </c>
      <c r="T3825" t="s">
        <v>42736</v>
      </c>
      <c r="U3825" t="s">
        <v>46387</v>
      </c>
      <c r="W3825" t="s">
        <v>39022</v>
      </c>
      <c r="X3825" t="s">
        <v>41254</v>
      </c>
    </row>
    <row r="3826" spans="1:24">
      <c r="A3826">
        <f>HYPERLINK("https://www.philgeps.gov.ph/GEPSNONPILOT/Tender/SplashBidNoticeAbstractUI.aspx?menuIndex=3&amp;refID=7075074&amp;Result=3","7075074")</f>
        <v>0</v>
      </c>
      <c r="B3826" t="s">
        <v>1457</v>
      </c>
      <c r="C3826" t="s">
        <v>7054</v>
      </c>
      <c r="E3826" t="s">
        <v>20158</v>
      </c>
      <c r="F3826" t="s">
        <v>28669</v>
      </c>
      <c r="G3826" t="s">
        <v>28675</v>
      </c>
      <c r="H3826" t="s">
        <v>9998</v>
      </c>
      <c r="I3826" t="s">
        <v>28751</v>
      </c>
      <c r="J3826" t="s">
        <v>31295</v>
      </c>
      <c r="K3826" t="s">
        <v>37215</v>
      </c>
      <c r="M3826" t="s">
        <v>39023</v>
      </c>
      <c r="N3826" t="s">
        <v>41249</v>
      </c>
      <c r="O3826" t="s">
        <v>41250</v>
      </c>
      <c r="P3826">
        <v>0</v>
      </c>
      <c r="Q3826">
        <v>2</v>
      </c>
      <c r="R3826" t="s">
        <v>41252</v>
      </c>
      <c r="S3826" t="s">
        <v>41383</v>
      </c>
      <c r="T3826" t="s">
        <v>42946</v>
      </c>
      <c r="U3826" t="s">
        <v>46388</v>
      </c>
      <c r="W3826" t="s">
        <v>55954</v>
      </c>
      <c r="X3826" t="s">
        <v>41254</v>
      </c>
    </row>
    <row r="3827" spans="1:24">
      <c r="A3827">
        <f>HYPERLINK("https://www.philgeps.gov.ph/GEPSNONPILOT/Tender/SplashBidNoticeAbstractUI.aspx?menuIndex=3&amp;refID=7075062&amp;Result=3","7075062")</f>
        <v>0</v>
      </c>
      <c r="B3827" t="s">
        <v>1458</v>
      </c>
      <c r="C3827" t="s">
        <v>7055</v>
      </c>
      <c r="D3827" t="s">
        <v>16627</v>
      </c>
      <c r="E3827" t="s">
        <v>20159</v>
      </c>
      <c r="F3827" t="s">
        <v>28669</v>
      </c>
      <c r="G3827" t="s">
        <v>28676</v>
      </c>
      <c r="H3827" t="s">
        <v>9998</v>
      </c>
      <c r="I3827" t="s">
        <v>28700</v>
      </c>
      <c r="J3827" t="s">
        <v>31296</v>
      </c>
      <c r="K3827" t="s">
        <v>37206</v>
      </c>
      <c r="M3827" t="s">
        <v>39024</v>
      </c>
      <c r="N3827" t="s">
        <v>41249</v>
      </c>
      <c r="O3827" t="s">
        <v>41250</v>
      </c>
      <c r="P3827">
        <v>0</v>
      </c>
      <c r="Q3827">
        <v>0</v>
      </c>
      <c r="R3827" t="s">
        <v>41252</v>
      </c>
      <c r="S3827" t="s">
        <v>41383</v>
      </c>
      <c r="T3827" t="s">
        <v>42748</v>
      </c>
      <c r="U3827" t="s">
        <v>46389</v>
      </c>
      <c r="W3827" t="s">
        <v>39024</v>
      </c>
      <c r="X3827" t="s">
        <v>41254</v>
      </c>
    </row>
    <row r="3828" spans="1:24">
      <c r="A3828">
        <f>HYPERLINK("https://www.philgeps.gov.ph/GEPSNONPILOT/Tender/SplashBidNoticeAbstractUI.aspx?menuIndex=3&amp;refID=7075061&amp;Result=3","7075061")</f>
        <v>0</v>
      </c>
      <c r="B3828" t="s">
        <v>51</v>
      </c>
      <c r="C3828" t="s">
        <v>7056</v>
      </c>
      <c r="D3828" t="s">
        <v>16631</v>
      </c>
      <c r="E3828" t="s">
        <v>20160</v>
      </c>
      <c r="F3828" t="s">
        <v>28669</v>
      </c>
      <c r="G3828" t="s">
        <v>28677</v>
      </c>
      <c r="H3828" t="s">
        <v>9998</v>
      </c>
      <c r="I3828" t="s">
        <v>6128</v>
      </c>
      <c r="J3828" t="s">
        <v>31297</v>
      </c>
      <c r="K3828" t="s">
        <v>37204</v>
      </c>
      <c r="M3828" t="s">
        <v>38699</v>
      </c>
      <c r="N3828" t="s">
        <v>41249</v>
      </c>
      <c r="O3828" t="s">
        <v>41250</v>
      </c>
      <c r="P3828">
        <v>0</v>
      </c>
      <c r="Q3828">
        <v>0</v>
      </c>
      <c r="R3828" t="s">
        <v>41252</v>
      </c>
      <c r="S3828" t="s">
        <v>41383</v>
      </c>
      <c r="T3828" t="s">
        <v>42670</v>
      </c>
      <c r="U3828" t="s">
        <v>46390</v>
      </c>
      <c r="W3828" t="s">
        <v>38699</v>
      </c>
      <c r="X3828" t="s">
        <v>41254</v>
      </c>
    </row>
    <row r="3829" spans="1:24">
      <c r="A3829">
        <f>HYPERLINK("https://www.philgeps.gov.ph/GEPSNONPILOT/Tender/SplashBidNoticeAbstractUI.aspx?menuIndex=3&amp;refID=7074633&amp;Result=3","7074633")</f>
        <v>0</v>
      </c>
      <c r="B3829" t="s">
        <v>1348</v>
      </c>
      <c r="C3829" t="s">
        <v>7057</v>
      </c>
      <c r="D3829" t="s">
        <v>16608</v>
      </c>
      <c r="E3829" t="s">
        <v>20161</v>
      </c>
      <c r="F3829" t="s">
        <v>28669</v>
      </c>
      <c r="G3829" t="s">
        <v>28676</v>
      </c>
      <c r="H3829" t="s">
        <v>9998</v>
      </c>
      <c r="I3829" t="s">
        <v>7352</v>
      </c>
      <c r="J3829" t="s">
        <v>31298</v>
      </c>
      <c r="K3829" t="s">
        <v>37204</v>
      </c>
      <c r="M3829" t="s">
        <v>37627</v>
      </c>
      <c r="N3829" t="s">
        <v>41249</v>
      </c>
      <c r="O3829" t="s">
        <v>41250</v>
      </c>
      <c r="P3829">
        <v>0</v>
      </c>
      <c r="Q3829">
        <v>0</v>
      </c>
      <c r="R3829" t="s">
        <v>41252</v>
      </c>
      <c r="S3829" t="s">
        <v>41383</v>
      </c>
      <c r="T3829" t="s">
        <v>42867</v>
      </c>
      <c r="U3829" t="s">
        <v>46391</v>
      </c>
      <c r="V3829" t="s">
        <v>54644</v>
      </c>
      <c r="W3829" t="s">
        <v>37627</v>
      </c>
      <c r="X3829" t="s">
        <v>41254</v>
      </c>
    </row>
    <row r="3830" spans="1:24">
      <c r="A3830">
        <f>HYPERLINK("https://www.philgeps.gov.ph/GEPSNONPILOT/Tender/SplashBidNoticeAbstractUI.aspx?menuIndex=3&amp;refID=7075070&amp;Result=3","7075070")</f>
        <v>0</v>
      </c>
      <c r="B3830" t="s">
        <v>965</v>
      </c>
      <c r="C3830" t="s">
        <v>7058</v>
      </c>
      <c r="D3830" t="s">
        <v>16608</v>
      </c>
      <c r="E3830" t="s">
        <v>20162</v>
      </c>
      <c r="F3830" t="s">
        <v>28669</v>
      </c>
      <c r="G3830" t="s">
        <v>28675</v>
      </c>
      <c r="H3830" t="s">
        <v>9998</v>
      </c>
      <c r="I3830" t="s">
        <v>5213</v>
      </c>
      <c r="J3830" t="s">
        <v>29051</v>
      </c>
      <c r="K3830" t="s">
        <v>37205</v>
      </c>
      <c r="M3830" t="s">
        <v>38890</v>
      </c>
      <c r="N3830" t="s">
        <v>41249</v>
      </c>
      <c r="O3830" t="s">
        <v>41250</v>
      </c>
      <c r="P3830">
        <v>0</v>
      </c>
      <c r="Q3830">
        <v>0</v>
      </c>
      <c r="R3830" t="s">
        <v>41252</v>
      </c>
      <c r="S3830" t="s">
        <v>41383</v>
      </c>
      <c r="T3830" t="s">
        <v>42703</v>
      </c>
      <c r="U3830" t="s">
        <v>45206</v>
      </c>
      <c r="W3830" t="s">
        <v>38890</v>
      </c>
      <c r="X3830" t="s">
        <v>41254</v>
      </c>
    </row>
    <row r="3831" spans="1:24">
      <c r="A3831">
        <f>HYPERLINK("https://www.philgeps.gov.ph/GEPSNONPILOT/Tender/SplashBidNoticeAbstractUI.aspx?menuIndex=3&amp;refID=7075083&amp;Result=3","7075083")</f>
        <v>0</v>
      </c>
      <c r="B3831" t="s">
        <v>1459</v>
      </c>
      <c r="C3831" t="s">
        <v>7059</v>
      </c>
      <c r="D3831" t="s">
        <v>16617</v>
      </c>
      <c r="E3831" t="s">
        <v>20163</v>
      </c>
      <c r="F3831" t="s">
        <v>28669</v>
      </c>
      <c r="G3831" t="s">
        <v>28675</v>
      </c>
      <c r="H3831" t="s">
        <v>9998</v>
      </c>
      <c r="I3831" t="s">
        <v>11593</v>
      </c>
      <c r="J3831" t="s">
        <v>31299</v>
      </c>
      <c r="K3831" t="s">
        <v>37227</v>
      </c>
      <c r="M3831" t="s">
        <v>39025</v>
      </c>
      <c r="N3831" t="s">
        <v>41249</v>
      </c>
      <c r="O3831" t="s">
        <v>41250</v>
      </c>
      <c r="P3831">
        <v>0</v>
      </c>
      <c r="Q3831">
        <v>3</v>
      </c>
      <c r="R3831" t="s">
        <v>41252</v>
      </c>
      <c r="S3831" t="s">
        <v>41383</v>
      </c>
      <c r="T3831" t="s">
        <v>42760</v>
      </c>
      <c r="U3831" t="s">
        <v>46392</v>
      </c>
      <c r="W3831" t="s">
        <v>39025</v>
      </c>
      <c r="X3831" t="s">
        <v>41254</v>
      </c>
    </row>
    <row r="3832" spans="1:24">
      <c r="A3832">
        <f>HYPERLINK("https://www.philgeps.gov.ph/GEPSNONPILOT/Tender/SplashBidNoticeAbstractUI.aspx?menuIndex=3&amp;refID=7075068&amp;Result=3","7075068")</f>
        <v>0</v>
      </c>
      <c r="B3832" t="s">
        <v>452</v>
      </c>
      <c r="C3832" t="s">
        <v>7060</v>
      </c>
      <c r="D3832" t="s">
        <v>16608</v>
      </c>
      <c r="E3832" t="s">
        <v>20164</v>
      </c>
      <c r="F3832" t="s">
        <v>28669</v>
      </c>
      <c r="G3832" t="s">
        <v>28678</v>
      </c>
      <c r="H3832" t="s">
        <v>9998</v>
      </c>
      <c r="I3832" t="s">
        <v>28700</v>
      </c>
      <c r="J3832" t="s">
        <v>30490</v>
      </c>
      <c r="K3832" t="s">
        <v>37205</v>
      </c>
      <c r="M3832" t="s">
        <v>38261</v>
      </c>
      <c r="N3832" t="s">
        <v>41249</v>
      </c>
      <c r="O3832" t="s">
        <v>41250</v>
      </c>
      <c r="P3832">
        <v>0</v>
      </c>
      <c r="Q3832">
        <v>5</v>
      </c>
      <c r="R3832" t="s">
        <v>41252</v>
      </c>
      <c r="S3832" t="s">
        <v>41383</v>
      </c>
      <c r="T3832" t="s">
        <v>42683</v>
      </c>
      <c r="U3832" t="s">
        <v>44649</v>
      </c>
      <c r="W3832" t="s">
        <v>38261</v>
      </c>
      <c r="X3832" t="s">
        <v>41254</v>
      </c>
    </row>
    <row r="3833" spans="1:24">
      <c r="A3833">
        <f>HYPERLINK("https://www.philgeps.gov.ph/GEPSNONPILOT/Tender/SplashBidNoticeAbstractUI.aspx?menuIndex=3&amp;refID=7075110&amp;Result=3","7075110")</f>
        <v>0</v>
      </c>
      <c r="B3833" t="s">
        <v>1460</v>
      </c>
      <c r="C3833" t="s">
        <v>7061</v>
      </c>
      <c r="D3833" t="s">
        <v>16629</v>
      </c>
      <c r="E3833" t="s">
        <v>20165</v>
      </c>
      <c r="F3833" t="s">
        <v>28669</v>
      </c>
      <c r="G3833" t="s">
        <v>28675</v>
      </c>
      <c r="H3833" t="s">
        <v>28686</v>
      </c>
      <c r="I3833" t="s">
        <v>28689</v>
      </c>
      <c r="J3833" t="s">
        <v>31300</v>
      </c>
      <c r="K3833" t="s">
        <v>37205</v>
      </c>
      <c r="M3833" t="s">
        <v>39026</v>
      </c>
      <c r="N3833" t="s">
        <v>41249</v>
      </c>
      <c r="O3833" t="s">
        <v>41250</v>
      </c>
      <c r="P3833">
        <v>0</v>
      </c>
      <c r="Q3833">
        <v>0</v>
      </c>
      <c r="R3833" t="s">
        <v>41252</v>
      </c>
      <c r="S3833" t="s">
        <v>41383</v>
      </c>
      <c r="T3833" t="s">
        <v>42759</v>
      </c>
      <c r="U3833" t="s">
        <v>46393</v>
      </c>
      <c r="W3833" t="s">
        <v>39026</v>
      </c>
      <c r="X3833" t="s">
        <v>41254</v>
      </c>
    </row>
    <row r="3834" spans="1:24">
      <c r="A3834">
        <f>HYPERLINK("https://www.philgeps.gov.ph/GEPSNONPILOT/Tender/SplashBidNoticeAbstractUI.aspx?menuIndex=3&amp;refID=7075106&amp;Result=3","7075106")</f>
        <v>0</v>
      </c>
      <c r="B3834" t="s">
        <v>1447</v>
      </c>
      <c r="C3834" t="s">
        <v>7062</v>
      </c>
      <c r="D3834" t="s">
        <v>16616</v>
      </c>
      <c r="E3834" t="s">
        <v>18967</v>
      </c>
      <c r="F3834" t="s">
        <v>28669</v>
      </c>
      <c r="G3834" t="s">
        <v>28677</v>
      </c>
      <c r="H3834" t="s">
        <v>28686</v>
      </c>
      <c r="I3834" t="s">
        <v>7352</v>
      </c>
      <c r="J3834" t="s">
        <v>31301</v>
      </c>
      <c r="K3834" t="s">
        <v>37206</v>
      </c>
      <c r="M3834" t="s">
        <v>39012</v>
      </c>
      <c r="N3834" t="s">
        <v>41249</v>
      </c>
      <c r="O3834" t="s">
        <v>41250</v>
      </c>
      <c r="P3834">
        <v>0</v>
      </c>
      <c r="Q3834">
        <v>1</v>
      </c>
      <c r="R3834" t="s">
        <v>41252</v>
      </c>
      <c r="S3834" t="s">
        <v>41383</v>
      </c>
      <c r="T3834" t="s">
        <v>42757</v>
      </c>
      <c r="U3834" t="s">
        <v>46394</v>
      </c>
      <c r="W3834" t="s">
        <v>39012</v>
      </c>
      <c r="X3834" t="s">
        <v>41254</v>
      </c>
    </row>
    <row r="3835" spans="1:24">
      <c r="A3835">
        <f>HYPERLINK("https://www.philgeps.gov.ph/GEPSNONPILOT/Tender/SplashBidNoticeAbstractUI.aspx?menuIndex=3&amp;refID=7075107&amp;Result=3","7075107")</f>
        <v>0</v>
      </c>
      <c r="B3835" t="s">
        <v>1461</v>
      </c>
      <c r="C3835" t="s">
        <v>7063</v>
      </c>
      <c r="D3835" t="s">
        <v>16661</v>
      </c>
      <c r="E3835" t="s">
        <v>20166</v>
      </c>
      <c r="F3835" t="s">
        <v>28669</v>
      </c>
      <c r="G3835" t="s">
        <v>28675</v>
      </c>
      <c r="H3835" t="s">
        <v>28686</v>
      </c>
      <c r="I3835" t="s">
        <v>28689</v>
      </c>
      <c r="J3835" t="s">
        <v>30929</v>
      </c>
      <c r="K3835" t="s">
        <v>37209</v>
      </c>
      <c r="M3835" t="s">
        <v>39027</v>
      </c>
      <c r="N3835" t="s">
        <v>41249</v>
      </c>
      <c r="O3835" t="s">
        <v>41250</v>
      </c>
      <c r="P3835">
        <v>0</v>
      </c>
      <c r="Q3835">
        <v>0</v>
      </c>
      <c r="R3835" t="s">
        <v>41252</v>
      </c>
      <c r="S3835" t="s">
        <v>41383</v>
      </c>
      <c r="T3835" t="s">
        <v>42716</v>
      </c>
      <c r="U3835" t="s">
        <v>46395</v>
      </c>
      <c r="W3835" t="s">
        <v>39027</v>
      </c>
      <c r="X3835" t="s">
        <v>41254</v>
      </c>
    </row>
    <row r="3836" spans="1:24">
      <c r="A3836">
        <f>HYPERLINK("https://www.philgeps.gov.ph/GEPSNONPILOT/Tender/SplashBidNoticeAbstractUI.aspx?menuIndex=3&amp;refID=7075039&amp;Result=3","7075039")</f>
        <v>0</v>
      </c>
      <c r="B3836" t="s">
        <v>1462</v>
      </c>
      <c r="C3836" t="s">
        <v>7064</v>
      </c>
      <c r="D3836" t="s">
        <v>16608</v>
      </c>
      <c r="E3836" t="s">
        <v>20167</v>
      </c>
      <c r="F3836" t="s">
        <v>28669</v>
      </c>
      <c r="G3836" t="s">
        <v>28675</v>
      </c>
      <c r="H3836" t="s">
        <v>28684</v>
      </c>
      <c r="I3836" t="s">
        <v>28701</v>
      </c>
      <c r="J3836" t="s">
        <v>30227</v>
      </c>
      <c r="K3836" t="s">
        <v>37272</v>
      </c>
      <c r="M3836" t="s">
        <v>39028</v>
      </c>
      <c r="N3836" t="s">
        <v>41249</v>
      </c>
      <c r="O3836" t="s">
        <v>41250</v>
      </c>
      <c r="P3836">
        <v>0</v>
      </c>
      <c r="Q3836">
        <v>1</v>
      </c>
      <c r="R3836" t="s">
        <v>41252</v>
      </c>
      <c r="S3836" t="s">
        <v>41383</v>
      </c>
      <c r="T3836" t="s">
        <v>42732</v>
      </c>
      <c r="U3836" t="s">
        <v>46396</v>
      </c>
      <c r="W3836" t="s">
        <v>39028</v>
      </c>
      <c r="X3836" t="s">
        <v>41254</v>
      </c>
    </row>
    <row r="3837" spans="1:24">
      <c r="A3837">
        <f>HYPERLINK("https://www.philgeps.gov.ph/GEPSNONPILOT/Tender/SplashBidNoticeAbstractUI.aspx?menuIndex=3&amp;refID=7075102&amp;Result=3","7075102")</f>
        <v>0</v>
      </c>
      <c r="B3837" t="s">
        <v>51</v>
      </c>
      <c r="C3837" t="s">
        <v>6089</v>
      </c>
      <c r="D3837" t="s">
        <v>16631</v>
      </c>
      <c r="E3837" t="s">
        <v>20168</v>
      </c>
      <c r="F3837" t="s">
        <v>28669</v>
      </c>
      <c r="G3837" t="s">
        <v>28676</v>
      </c>
      <c r="H3837" t="s">
        <v>9998</v>
      </c>
      <c r="I3837" t="s">
        <v>28690</v>
      </c>
      <c r="J3837" t="s">
        <v>30824</v>
      </c>
      <c r="K3837" t="s">
        <v>37204</v>
      </c>
      <c r="M3837" t="s">
        <v>38699</v>
      </c>
      <c r="N3837" t="s">
        <v>41249</v>
      </c>
      <c r="O3837" t="s">
        <v>41250</v>
      </c>
      <c r="P3837">
        <v>0</v>
      </c>
      <c r="Q3837">
        <v>2</v>
      </c>
      <c r="R3837" t="s">
        <v>41252</v>
      </c>
      <c r="S3837" t="s">
        <v>41383</v>
      </c>
      <c r="T3837" t="s">
        <v>42670</v>
      </c>
      <c r="U3837" t="s">
        <v>46397</v>
      </c>
      <c r="W3837" t="s">
        <v>38699</v>
      </c>
      <c r="X3837" t="s">
        <v>41254</v>
      </c>
    </row>
    <row r="3838" spans="1:24">
      <c r="A3838">
        <f>HYPERLINK("https://www.philgeps.gov.ph/GEPSNONPILOT/Tender/SplashBidNoticeAbstractUI.aspx?menuIndex=3&amp;refID=7075060&amp;Result=3","7075060")</f>
        <v>0</v>
      </c>
      <c r="B3838" t="s">
        <v>260</v>
      </c>
      <c r="C3838" t="s">
        <v>7065</v>
      </c>
      <c r="D3838" t="s">
        <v>16646</v>
      </c>
      <c r="E3838" t="s">
        <v>20169</v>
      </c>
      <c r="F3838" t="s">
        <v>28669</v>
      </c>
      <c r="G3838" t="s">
        <v>28675</v>
      </c>
      <c r="H3838" t="s">
        <v>28686</v>
      </c>
      <c r="I3838" t="s">
        <v>28689</v>
      </c>
      <c r="J3838" t="s">
        <v>31302</v>
      </c>
      <c r="K3838" t="s">
        <v>37290</v>
      </c>
      <c r="M3838" t="s">
        <v>37738</v>
      </c>
      <c r="N3838" t="s">
        <v>41249</v>
      </c>
      <c r="O3838" t="s">
        <v>41250</v>
      </c>
      <c r="P3838">
        <v>0</v>
      </c>
      <c r="Q3838">
        <v>0</v>
      </c>
      <c r="R3838" t="s">
        <v>41252</v>
      </c>
      <c r="S3838" t="s">
        <v>41383</v>
      </c>
      <c r="T3838" t="s">
        <v>42769</v>
      </c>
      <c r="U3838" t="s">
        <v>46398</v>
      </c>
      <c r="W3838" t="s">
        <v>37738</v>
      </c>
      <c r="X3838" t="s">
        <v>41254</v>
      </c>
    </row>
    <row r="3839" spans="1:24">
      <c r="A3839">
        <f>HYPERLINK("https://www.philgeps.gov.ph/GEPSNONPILOT/Tender/SplashBidNoticeAbstractUI.aspx?menuIndex=3&amp;refID=7075101&amp;Result=3","7075101")</f>
        <v>0</v>
      </c>
      <c r="B3839" t="s">
        <v>631</v>
      </c>
      <c r="C3839" t="s">
        <v>7066</v>
      </c>
      <c r="D3839" t="s">
        <v>16617</v>
      </c>
      <c r="E3839" t="s">
        <v>20170</v>
      </c>
      <c r="F3839" t="s">
        <v>28669</v>
      </c>
      <c r="G3839" t="s">
        <v>28676</v>
      </c>
      <c r="H3839" t="s">
        <v>9998</v>
      </c>
      <c r="I3839" t="s">
        <v>8667</v>
      </c>
      <c r="J3839" t="s">
        <v>31303</v>
      </c>
      <c r="K3839" t="s">
        <v>37240</v>
      </c>
      <c r="M3839" t="s">
        <v>38131</v>
      </c>
      <c r="N3839" t="s">
        <v>41249</v>
      </c>
      <c r="O3839" t="s">
        <v>41250</v>
      </c>
      <c r="P3839">
        <v>0</v>
      </c>
      <c r="Q3839">
        <v>0</v>
      </c>
      <c r="R3839" t="s">
        <v>41252</v>
      </c>
      <c r="S3839" t="s">
        <v>41383</v>
      </c>
      <c r="T3839" t="s">
        <v>42748</v>
      </c>
      <c r="U3839" t="s">
        <v>46399</v>
      </c>
      <c r="W3839" t="s">
        <v>38131</v>
      </c>
      <c r="X3839" t="s">
        <v>41254</v>
      </c>
    </row>
    <row r="3840" spans="1:24">
      <c r="A3840">
        <f>HYPERLINK("https://www.philgeps.gov.ph/GEPSNONPILOT/Tender/SplashBidNoticeAbstractUI.aspx?menuIndex=3&amp;refID=7075099&amp;Result=3","7075099")</f>
        <v>0</v>
      </c>
      <c r="B3840" t="s">
        <v>111</v>
      </c>
      <c r="C3840" t="s">
        <v>7067</v>
      </c>
      <c r="D3840" t="s">
        <v>16619</v>
      </c>
      <c r="E3840" t="s">
        <v>20171</v>
      </c>
      <c r="F3840" t="s">
        <v>28669</v>
      </c>
      <c r="G3840" t="s">
        <v>28675</v>
      </c>
      <c r="H3840" t="s">
        <v>28686</v>
      </c>
      <c r="I3840" t="s">
        <v>28689</v>
      </c>
      <c r="J3840" t="s">
        <v>31304</v>
      </c>
      <c r="K3840" t="s">
        <v>37214</v>
      </c>
      <c r="M3840" t="s">
        <v>37587</v>
      </c>
      <c r="N3840" t="s">
        <v>41249</v>
      </c>
      <c r="O3840" t="s">
        <v>41250</v>
      </c>
      <c r="P3840">
        <v>0</v>
      </c>
      <c r="Q3840">
        <v>0</v>
      </c>
      <c r="R3840" t="s">
        <v>41252</v>
      </c>
      <c r="S3840" t="s">
        <v>41383</v>
      </c>
      <c r="T3840" t="s">
        <v>42723</v>
      </c>
      <c r="U3840" t="s">
        <v>46400</v>
      </c>
      <c r="V3840" t="s">
        <v>54280</v>
      </c>
      <c r="W3840" t="s">
        <v>37587</v>
      </c>
      <c r="X3840" t="s">
        <v>41254</v>
      </c>
    </row>
    <row r="3841" spans="1:24">
      <c r="A3841">
        <f>HYPERLINK("https://www.philgeps.gov.ph/GEPSNONPILOT/Tender/SplashBidNoticeAbstractUI.aspx?menuIndex=3&amp;refID=7075095&amp;Result=3","7075095")</f>
        <v>0</v>
      </c>
      <c r="B3841" t="s">
        <v>1389</v>
      </c>
      <c r="C3841" t="s">
        <v>7068</v>
      </c>
      <c r="D3841" t="s">
        <v>16617</v>
      </c>
      <c r="E3841" t="s">
        <v>20172</v>
      </c>
      <c r="F3841" t="s">
        <v>28669</v>
      </c>
      <c r="G3841" t="s">
        <v>28675</v>
      </c>
      <c r="H3841" t="s">
        <v>9998</v>
      </c>
      <c r="I3841" t="s">
        <v>28779</v>
      </c>
      <c r="J3841" t="s">
        <v>31305</v>
      </c>
      <c r="K3841" t="s">
        <v>37206</v>
      </c>
      <c r="M3841" t="s">
        <v>38951</v>
      </c>
      <c r="N3841" t="s">
        <v>41249</v>
      </c>
      <c r="O3841" t="s">
        <v>41250</v>
      </c>
      <c r="P3841">
        <v>0</v>
      </c>
      <c r="Q3841">
        <v>3</v>
      </c>
      <c r="R3841" t="s">
        <v>41252</v>
      </c>
      <c r="S3841" t="s">
        <v>41383</v>
      </c>
      <c r="T3841" t="s">
        <v>42782</v>
      </c>
      <c r="U3841" t="s">
        <v>46193</v>
      </c>
      <c r="W3841" t="s">
        <v>38951</v>
      </c>
      <c r="X3841" t="s">
        <v>41254</v>
      </c>
    </row>
    <row r="3842" spans="1:24">
      <c r="A3842">
        <f>HYPERLINK("https://www.philgeps.gov.ph/GEPSNONPILOT/Tender/SplashBidNoticeAbstractUI.aspx?menuIndex=3&amp;refID=7075098&amp;Result=3","7075098")</f>
        <v>0</v>
      </c>
      <c r="B3842" t="s">
        <v>1463</v>
      </c>
      <c r="C3842" t="s">
        <v>7069</v>
      </c>
      <c r="D3842" t="s">
        <v>16619</v>
      </c>
      <c r="E3842" t="s">
        <v>20173</v>
      </c>
      <c r="F3842" t="s">
        <v>28669</v>
      </c>
      <c r="G3842" t="s">
        <v>28675</v>
      </c>
      <c r="H3842" t="s">
        <v>9998</v>
      </c>
      <c r="I3842" t="s">
        <v>7352</v>
      </c>
      <c r="J3842" t="s">
        <v>31306</v>
      </c>
      <c r="K3842" t="s">
        <v>37210</v>
      </c>
      <c r="M3842" t="s">
        <v>39029</v>
      </c>
      <c r="N3842" t="s">
        <v>41249</v>
      </c>
      <c r="O3842" t="s">
        <v>41250</v>
      </c>
      <c r="P3842">
        <v>0</v>
      </c>
      <c r="Q3842">
        <v>0</v>
      </c>
      <c r="R3842" t="s">
        <v>41252</v>
      </c>
      <c r="S3842" t="s">
        <v>41383</v>
      </c>
      <c r="T3842" t="s">
        <v>42947</v>
      </c>
      <c r="U3842" t="s">
        <v>46401</v>
      </c>
      <c r="V3842" t="s">
        <v>54685</v>
      </c>
      <c r="W3842" t="s">
        <v>39029</v>
      </c>
      <c r="X3842" t="s">
        <v>41254</v>
      </c>
    </row>
    <row r="3843" spans="1:24">
      <c r="A3843">
        <f>HYPERLINK("https://www.philgeps.gov.ph/GEPSNONPILOT/Tender/SplashBidNoticeAbstractUI.aspx?menuIndex=3&amp;refID=7075108&amp;Result=3","7075108")</f>
        <v>0</v>
      </c>
      <c r="B3843" t="s">
        <v>206</v>
      </c>
      <c r="C3843" t="s">
        <v>7070</v>
      </c>
      <c r="D3843" t="s">
        <v>16617</v>
      </c>
      <c r="E3843" t="s">
        <v>16877</v>
      </c>
      <c r="F3843" t="s">
        <v>28669</v>
      </c>
      <c r="G3843" t="s">
        <v>28676</v>
      </c>
      <c r="H3843" t="s">
        <v>9998</v>
      </c>
      <c r="I3843" t="s">
        <v>3658</v>
      </c>
      <c r="J3843" t="s">
        <v>29479</v>
      </c>
      <c r="K3843" t="s">
        <v>37243</v>
      </c>
      <c r="M3843" t="s">
        <v>39030</v>
      </c>
      <c r="N3843" t="s">
        <v>41249</v>
      </c>
      <c r="O3843" t="s">
        <v>41250</v>
      </c>
      <c r="P3843">
        <v>0</v>
      </c>
      <c r="Q3843">
        <v>3</v>
      </c>
      <c r="R3843" t="s">
        <v>41252</v>
      </c>
      <c r="S3843" t="s">
        <v>41383</v>
      </c>
      <c r="T3843" t="s">
        <v>42944</v>
      </c>
      <c r="U3843" t="s">
        <v>44679</v>
      </c>
      <c r="W3843" t="s">
        <v>39030</v>
      </c>
      <c r="X3843" t="s">
        <v>41254</v>
      </c>
    </row>
    <row r="3844" spans="1:24">
      <c r="A3844">
        <f>HYPERLINK("https://www.philgeps.gov.ph/GEPSNONPILOT/Tender/SplashBidNoticeAbstractUI.aspx?menuIndex=3&amp;refID=7075093&amp;Result=3","7075093")</f>
        <v>0</v>
      </c>
      <c r="B3844" t="s">
        <v>1442</v>
      </c>
      <c r="C3844" t="s">
        <v>7071</v>
      </c>
      <c r="D3844" t="s">
        <v>16673</v>
      </c>
      <c r="E3844" t="s">
        <v>17903</v>
      </c>
      <c r="F3844" t="s">
        <v>28669</v>
      </c>
      <c r="G3844" t="s">
        <v>28675</v>
      </c>
      <c r="H3844" t="s">
        <v>28686</v>
      </c>
      <c r="I3844" t="s">
        <v>28689</v>
      </c>
      <c r="J3844" t="s">
        <v>31307</v>
      </c>
      <c r="K3844" t="s">
        <v>37206</v>
      </c>
      <c r="M3844" t="s">
        <v>39007</v>
      </c>
      <c r="N3844" t="s">
        <v>41249</v>
      </c>
      <c r="O3844" t="s">
        <v>41250</v>
      </c>
      <c r="P3844">
        <v>0</v>
      </c>
      <c r="Q3844">
        <v>0</v>
      </c>
      <c r="R3844" t="s">
        <v>41252</v>
      </c>
      <c r="S3844" t="s">
        <v>41383</v>
      </c>
      <c r="T3844" t="s">
        <v>42700</v>
      </c>
      <c r="U3844" t="s">
        <v>46402</v>
      </c>
      <c r="W3844" t="s">
        <v>39007</v>
      </c>
      <c r="X3844" t="s">
        <v>41254</v>
      </c>
    </row>
    <row r="3845" spans="1:24">
      <c r="A3845">
        <f>HYPERLINK("https://www.philgeps.gov.ph/GEPSNONPILOT/Tender/SplashBidNoticeAbstractUI.aspx?menuIndex=3&amp;refID=7075105&amp;Result=3","7075105")</f>
        <v>0</v>
      </c>
      <c r="B3845" t="s">
        <v>850</v>
      </c>
      <c r="C3845" t="s">
        <v>7072</v>
      </c>
      <c r="D3845" t="s">
        <v>16686</v>
      </c>
      <c r="E3845" t="s">
        <v>20174</v>
      </c>
      <c r="F3845" t="s">
        <v>28669</v>
      </c>
      <c r="G3845" t="s">
        <v>28675</v>
      </c>
      <c r="H3845" t="s">
        <v>9998</v>
      </c>
      <c r="I3845" t="s">
        <v>28689</v>
      </c>
      <c r="J3845" t="s">
        <v>29003</v>
      </c>
      <c r="K3845" t="s">
        <v>37209</v>
      </c>
      <c r="M3845" t="s">
        <v>38366</v>
      </c>
      <c r="N3845" t="s">
        <v>41249</v>
      </c>
      <c r="O3845" t="s">
        <v>41250</v>
      </c>
      <c r="P3845">
        <v>0</v>
      </c>
      <c r="Q3845">
        <v>0</v>
      </c>
      <c r="R3845" t="s">
        <v>41252</v>
      </c>
      <c r="S3845" t="s">
        <v>41383</v>
      </c>
      <c r="T3845" t="s">
        <v>42696</v>
      </c>
      <c r="U3845" t="s">
        <v>46403</v>
      </c>
      <c r="W3845" t="s">
        <v>38366</v>
      </c>
      <c r="X3845" t="s">
        <v>41254</v>
      </c>
    </row>
    <row r="3846" spans="1:24">
      <c r="A3846">
        <f>HYPERLINK("https://www.philgeps.gov.ph/GEPSNONPILOT/Tender/SplashBidNoticeAbstractUI.aspx?menuIndex=3&amp;refID=7075090&amp;Result=3","7075090")</f>
        <v>0</v>
      </c>
      <c r="B3846" t="s">
        <v>955</v>
      </c>
      <c r="C3846" t="s">
        <v>7073</v>
      </c>
      <c r="D3846" t="s">
        <v>16608</v>
      </c>
      <c r="E3846" t="s">
        <v>20175</v>
      </c>
      <c r="F3846" t="s">
        <v>28669</v>
      </c>
      <c r="G3846" t="s">
        <v>28675</v>
      </c>
      <c r="H3846" t="s">
        <v>9998</v>
      </c>
      <c r="I3846" t="s">
        <v>10128</v>
      </c>
      <c r="J3846" t="s">
        <v>28847</v>
      </c>
      <c r="K3846" t="s">
        <v>37272</v>
      </c>
      <c r="M3846" t="s">
        <v>39031</v>
      </c>
      <c r="N3846" t="s">
        <v>41249</v>
      </c>
      <c r="O3846" t="s">
        <v>41250</v>
      </c>
      <c r="P3846">
        <v>0</v>
      </c>
      <c r="Q3846">
        <v>3</v>
      </c>
      <c r="R3846" t="s">
        <v>41252</v>
      </c>
      <c r="S3846" t="s">
        <v>41383</v>
      </c>
      <c r="T3846" t="s">
        <v>42746</v>
      </c>
      <c r="U3846" t="s">
        <v>46404</v>
      </c>
      <c r="W3846" t="s">
        <v>39031</v>
      </c>
      <c r="X3846" t="s">
        <v>41254</v>
      </c>
    </row>
    <row r="3847" spans="1:24">
      <c r="A3847">
        <f>HYPERLINK("https://www.philgeps.gov.ph/GEPSNONPILOT/Tender/SplashBidNoticeAbstractUI.aspx?menuIndex=3&amp;refID=7075089&amp;Result=3","7075089")</f>
        <v>0</v>
      </c>
      <c r="B3847" t="s">
        <v>1454</v>
      </c>
      <c r="C3847" t="s">
        <v>7074</v>
      </c>
      <c r="E3847" t="s">
        <v>20176</v>
      </c>
      <c r="F3847" t="s">
        <v>28669</v>
      </c>
      <c r="G3847" t="s">
        <v>28676</v>
      </c>
      <c r="H3847" t="s">
        <v>9998</v>
      </c>
      <c r="I3847" t="s">
        <v>28729</v>
      </c>
      <c r="J3847" t="s">
        <v>29505</v>
      </c>
      <c r="K3847" t="s">
        <v>37209</v>
      </c>
      <c r="M3847" t="s">
        <v>39019</v>
      </c>
      <c r="N3847" t="s">
        <v>41249</v>
      </c>
      <c r="O3847" t="s">
        <v>41250</v>
      </c>
      <c r="P3847">
        <v>0</v>
      </c>
      <c r="Q3847">
        <v>16</v>
      </c>
      <c r="R3847" t="s">
        <v>41252</v>
      </c>
      <c r="S3847" t="s">
        <v>41383</v>
      </c>
      <c r="T3847" t="s">
        <v>42701</v>
      </c>
      <c r="U3847" t="s">
        <v>44358</v>
      </c>
      <c r="W3847" t="s">
        <v>39019</v>
      </c>
      <c r="X3847" t="s">
        <v>41254</v>
      </c>
    </row>
    <row r="3848" spans="1:24">
      <c r="A3848">
        <f>HYPERLINK("https://www.philgeps.gov.ph/GEPSNONPILOT/Tender/SplashBidNoticeAbstractUI.aspx?menuIndex=3&amp;refID=7074767&amp;Result=3","7074767")</f>
        <v>0</v>
      </c>
      <c r="B3848" t="s">
        <v>1395</v>
      </c>
      <c r="C3848" t="s">
        <v>7075</v>
      </c>
      <c r="D3848" t="s">
        <v>16657</v>
      </c>
      <c r="E3848" t="s">
        <v>20177</v>
      </c>
      <c r="F3848" t="s">
        <v>28669</v>
      </c>
      <c r="G3848" t="s">
        <v>28677</v>
      </c>
      <c r="H3848" t="s">
        <v>9998</v>
      </c>
      <c r="I3848" t="s">
        <v>8667</v>
      </c>
      <c r="J3848" t="s">
        <v>28859</v>
      </c>
      <c r="K3848" t="s">
        <v>37204</v>
      </c>
      <c r="M3848" t="s">
        <v>38957</v>
      </c>
      <c r="N3848" t="s">
        <v>41249</v>
      </c>
      <c r="O3848" t="s">
        <v>41250</v>
      </c>
      <c r="P3848">
        <v>0</v>
      </c>
      <c r="Q3848">
        <v>1</v>
      </c>
      <c r="R3848" t="s">
        <v>41252</v>
      </c>
      <c r="S3848" t="s">
        <v>41383</v>
      </c>
      <c r="T3848" t="s">
        <v>42727</v>
      </c>
      <c r="U3848" t="s">
        <v>46405</v>
      </c>
      <c r="W3848" t="s">
        <v>38957</v>
      </c>
      <c r="X3848" t="s">
        <v>41254</v>
      </c>
    </row>
    <row r="3849" spans="1:24">
      <c r="A3849">
        <f>HYPERLINK("https://www.philgeps.gov.ph/GEPSNONPILOT/Tender/SplashBidNoticeAbstractUI.aspx?menuIndex=3&amp;refID=7075085&amp;Result=3","7075085")</f>
        <v>0</v>
      </c>
      <c r="B3849" t="s">
        <v>452</v>
      </c>
      <c r="C3849" t="s">
        <v>7025</v>
      </c>
      <c r="D3849" t="s">
        <v>16608</v>
      </c>
      <c r="E3849" t="s">
        <v>20178</v>
      </c>
      <c r="F3849" t="s">
        <v>28669</v>
      </c>
      <c r="G3849" t="s">
        <v>28676</v>
      </c>
      <c r="H3849" t="s">
        <v>9998</v>
      </c>
      <c r="I3849" t="s">
        <v>11593</v>
      </c>
      <c r="J3849" t="s">
        <v>31308</v>
      </c>
      <c r="K3849" t="s">
        <v>37206</v>
      </c>
      <c r="M3849" t="s">
        <v>38261</v>
      </c>
      <c r="N3849" t="s">
        <v>41249</v>
      </c>
      <c r="O3849" t="s">
        <v>41250</v>
      </c>
      <c r="P3849">
        <v>0</v>
      </c>
      <c r="Q3849">
        <v>19</v>
      </c>
      <c r="R3849" t="s">
        <v>41252</v>
      </c>
      <c r="S3849" t="s">
        <v>41383</v>
      </c>
      <c r="T3849" t="s">
        <v>42683</v>
      </c>
      <c r="U3849" t="s">
        <v>44649</v>
      </c>
      <c r="W3849" t="s">
        <v>38261</v>
      </c>
      <c r="X3849" t="s">
        <v>41254</v>
      </c>
    </row>
    <row r="3850" spans="1:24">
      <c r="A3850">
        <f>HYPERLINK("https://www.philgeps.gov.ph/GEPSNONPILOT/Tender/SplashBidNoticeAbstractUI.aspx?menuIndex=3&amp;refID=7075082&amp;Result=3","7075082")</f>
        <v>0</v>
      </c>
      <c r="B3850" t="s">
        <v>1464</v>
      </c>
      <c r="C3850" t="s">
        <v>7076</v>
      </c>
      <c r="E3850" t="s">
        <v>20179</v>
      </c>
      <c r="F3850" t="s">
        <v>28669</v>
      </c>
      <c r="G3850" t="s">
        <v>28676</v>
      </c>
      <c r="H3850" t="s">
        <v>9998</v>
      </c>
      <c r="I3850" t="s">
        <v>28704</v>
      </c>
      <c r="J3850" t="s">
        <v>31309</v>
      </c>
      <c r="K3850" t="s">
        <v>37205</v>
      </c>
      <c r="M3850" t="s">
        <v>39032</v>
      </c>
      <c r="N3850" t="s">
        <v>41249</v>
      </c>
      <c r="O3850" t="s">
        <v>41250</v>
      </c>
      <c r="P3850">
        <v>0</v>
      </c>
      <c r="Q3850">
        <v>0</v>
      </c>
      <c r="R3850" t="s">
        <v>41252</v>
      </c>
      <c r="S3850" t="s">
        <v>41383</v>
      </c>
      <c r="T3850" t="s">
        <v>42748</v>
      </c>
      <c r="U3850" t="s">
        <v>46406</v>
      </c>
      <c r="W3850" t="s">
        <v>39032</v>
      </c>
      <c r="X3850" t="s">
        <v>41254</v>
      </c>
    </row>
    <row r="3851" spans="1:24">
      <c r="A3851">
        <f>HYPERLINK("https://www.philgeps.gov.ph/GEPSNONPILOT/Tender/SplashBidNoticeAbstractUI.aspx?menuIndex=3&amp;refID=7074632&amp;Result=3","7074632")</f>
        <v>0</v>
      </c>
      <c r="B3851" t="s">
        <v>1365</v>
      </c>
      <c r="C3851" t="s">
        <v>7077</v>
      </c>
      <c r="D3851" t="s">
        <v>16611</v>
      </c>
      <c r="E3851" t="s">
        <v>20180</v>
      </c>
      <c r="F3851" t="s">
        <v>28669</v>
      </c>
      <c r="G3851" t="s">
        <v>28675</v>
      </c>
      <c r="H3851" t="s">
        <v>28686</v>
      </c>
      <c r="I3851" t="s">
        <v>28689</v>
      </c>
      <c r="J3851" t="s">
        <v>31310</v>
      </c>
      <c r="K3851" t="s">
        <v>37213</v>
      </c>
      <c r="M3851" t="s">
        <v>38922</v>
      </c>
      <c r="N3851" t="s">
        <v>41249</v>
      </c>
      <c r="O3851" t="s">
        <v>41250</v>
      </c>
      <c r="P3851">
        <v>0</v>
      </c>
      <c r="Q3851">
        <v>0</v>
      </c>
      <c r="R3851" t="s">
        <v>41252</v>
      </c>
      <c r="S3851" t="s">
        <v>41383</v>
      </c>
      <c r="T3851" t="s">
        <v>42855</v>
      </c>
      <c r="U3851" t="s">
        <v>46407</v>
      </c>
      <c r="W3851" t="s">
        <v>38922</v>
      </c>
      <c r="X3851" t="s">
        <v>41254</v>
      </c>
    </row>
    <row r="3852" spans="1:24">
      <c r="A3852">
        <f>HYPERLINK("https://www.philgeps.gov.ph/GEPSNONPILOT/Tender/SplashBidNoticeAbstractUI.aspx?menuIndex=3&amp;refID=7074630&amp;Result=3","7074630")</f>
        <v>0</v>
      </c>
      <c r="B3852" t="s">
        <v>1346</v>
      </c>
      <c r="C3852" t="s">
        <v>7078</v>
      </c>
      <c r="D3852" t="s">
        <v>16631</v>
      </c>
      <c r="E3852" t="s">
        <v>20181</v>
      </c>
      <c r="F3852" t="s">
        <v>28669</v>
      </c>
      <c r="G3852" t="s">
        <v>28675</v>
      </c>
      <c r="H3852" t="s">
        <v>9998</v>
      </c>
      <c r="I3852" t="s">
        <v>28700</v>
      </c>
      <c r="J3852" t="s">
        <v>29249</v>
      </c>
      <c r="K3852" t="s">
        <v>37204</v>
      </c>
      <c r="M3852" t="s">
        <v>38902</v>
      </c>
      <c r="N3852" t="s">
        <v>41249</v>
      </c>
      <c r="O3852" t="s">
        <v>41250</v>
      </c>
      <c r="P3852">
        <v>0</v>
      </c>
      <c r="Q3852">
        <v>1</v>
      </c>
      <c r="R3852" t="s">
        <v>41252</v>
      </c>
      <c r="S3852" t="s">
        <v>41383</v>
      </c>
      <c r="T3852" t="s">
        <v>42881</v>
      </c>
      <c r="U3852" t="s">
        <v>46408</v>
      </c>
      <c r="W3852" t="s">
        <v>38902</v>
      </c>
      <c r="X3852" t="s">
        <v>41254</v>
      </c>
    </row>
    <row r="3853" spans="1:24">
      <c r="A3853">
        <f>HYPERLINK("https://www.philgeps.gov.ph/GEPSNONPILOT/Tender/SplashBidNoticeAbstractUI.aspx?menuIndex=3&amp;refID=7074629&amp;Result=3","7074629")</f>
        <v>0</v>
      </c>
      <c r="B3853" t="s">
        <v>1342</v>
      </c>
      <c r="C3853" t="s">
        <v>7079</v>
      </c>
      <c r="D3853" t="s">
        <v>16619</v>
      </c>
      <c r="E3853" t="s">
        <v>20182</v>
      </c>
      <c r="F3853" t="s">
        <v>28669</v>
      </c>
      <c r="G3853" t="s">
        <v>28676</v>
      </c>
      <c r="H3853" t="s">
        <v>9998</v>
      </c>
      <c r="I3853" t="s">
        <v>28802</v>
      </c>
      <c r="J3853" t="s">
        <v>28826</v>
      </c>
      <c r="K3853" t="s">
        <v>37210</v>
      </c>
      <c r="M3853" t="s">
        <v>38897</v>
      </c>
      <c r="N3853" t="s">
        <v>41249</v>
      </c>
      <c r="O3853" t="s">
        <v>41250</v>
      </c>
      <c r="P3853">
        <v>0</v>
      </c>
      <c r="Q3853">
        <v>0</v>
      </c>
      <c r="R3853" t="s">
        <v>41252</v>
      </c>
      <c r="S3853" t="s">
        <v>41383</v>
      </c>
      <c r="T3853" t="s">
        <v>42707</v>
      </c>
      <c r="U3853" t="s">
        <v>46409</v>
      </c>
      <c r="W3853" t="s">
        <v>38897</v>
      </c>
      <c r="X3853" t="s">
        <v>41254</v>
      </c>
    </row>
    <row r="3854" spans="1:24">
      <c r="A3854">
        <f>HYPERLINK("https://www.philgeps.gov.ph/GEPSNONPILOT/Tender/SplashBidNoticeAbstractUI.aspx?menuIndex=3&amp;refID=7074628&amp;Result=3","7074628")</f>
        <v>0</v>
      </c>
      <c r="B3854" t="s">
        <v>1465</v>
      </c>
      <c r="C3854" t="s">
        <v>7080</v>
      </c>
      <c r="D3854" t="s">
        <v>16633</v>
      </c>
      <c r="E3854" t="s">
        <v>20183</v>
      </c>
      <c r="F3854" t="s">
        <v>28669</v>
      </c>
      <c r="G3854" t="s">
        <v>28676</v>
      </c>
      <c r="H3854" t="s">
        <v>9998</v>
      </c>
      <c r="I3854" t="s">
        <v>28694</v>
      </c>
      <c r="J3854" t="s">
        <v>31311</v>
      </c>
      <c r="K3854" t="s">
        <v>37208</v>
      </c>
      <c r="M3854" t="s">
        <v>39033</v>
      </c>
      <c r="N3854" t="s">
        <v>41249</v>
      </c>
      <c r="O3854" t="s">
        <v>41250</v>
      </c>
      <c r="P3854">
        <v>0</v>
      </c>
      <c r="Q3854">
        <v>1</v>
      </c>
      <c r="R3854" t="s">
        <v>41252</v>
      </c>
      <c r="S3854" t="s">
        <v>41383</v>
      </c>
      <c r="T3854" t="s">
        <v>42770</v>
      </c>
      <c r="U3854" t="s">
        <v>46410</v>
      </c>
      <c r="W3854" t="s">
        <v>55955</v>
      </c>
      <c r="X3854" t="s">
        <v>41254</v>
      </c>
    </row>
    <row r="3855" spans="1:24">
      <c r="A3855">
        <f>HYPERLINK("https://www.philgeps.gov.ph/GEPSNONPILOT/Tender/SplashBidNoticeAbstractUI.aspx?menuIndex=3&amp;refID=7074608&amp;Result=3","7074608")</f>
        <v>0</v>
      </c>
      <c r="B3855" t="s">
        <v>1124</v>
      </c>
      <c r="C3855" t="s">
        <v>7081</v>
      </c>
      <c r="E3855" t="s">
        <v>20184</v>
      </c>
      <c r="F3855" t="s">
        <v>28669</v>
      </c>
      <c r="G3855" t="s">
        <v>28676</v>
      </c>
      <c r="H3855" t="s">
        <v>9998</v>
      </c>
      <c r="I3855" t="s">
        <v>28728</v>
      </c>
      <c r="J3855" t="s">
        <v>29790</v>
      </c>
      <c r="K3855" t="s">
        <v>37209</v>
      </c>
      <c r="M3855" t="s">
        <v>38883</v>
      </c>
      <c r="N3855" t="s">
        <v>41249</v>
      </c>
      <c r="O3855" t="s">
        <v>41250</v>
      </c>
      <c r="P3855">
        <v>0</v>
      </c>
      <c r="Q3855">
        <v>0</v>
      </c>
      <c r="R3855" t="s">
        <v>41252</v>
      </c>
      <c r="S3855" t="s">
        <v>41383</v>
      </c>
      <c r="T3855" t="s">
        <v>42729</v>
      </c>
      <c r="U3855" t="s">
        <v>46411</v>
      </c>
      <c r="W3855" t="s">
        <v>38883</v>
      </c>
      <c r="X3855" t="s">
        <v>41254</v>
      </c>
    </row>
    <row r="3856" spans="1:24">
      <c r="A3856">
        <f>HYPERLINK("https://www.philgeps.gov.ph/GEPSNONPILOT/Tender/SplashBidNoticeAbstractUI.aspx?menuIndex=3&amp;refID=7075091&amp;Result=3","7075091")</f>
        <v>0</v>
      </c>
      <c r="B3856" t="s">
        <v>114</v>
      </c>
      <c r="C3856" t="s">
        <v>7082</v>
      </c>
      <c r="D3856" t="s">
        <v>16608</v>
      </c>
      <c r="E3856" t="s">
        <v>20185</v>
      </c>
      <c r="F3856" t="s">
        <v>28669</v>
      </c>
      <c r="G3856" t="s">
        <v>28677</v>
      </c>
      <c r="H3856" t="s">
        <v>9998</v>
      </c>
      <c r="I3856" t="s">
        <v>5286</v>
      </c>
      <c r="J3856" t="s">
        <v>31312</v>
      </c>
      <c r="K3856" t="s">
        <v>37210</v>
      </c>
      <c r="M3856" t="s">
        <v>37793</v>
      </c>
      <c r="N3856" t="s">
        <v>41249</v>
      </c>
      <c r="O3856" t="s">
        <v>41250</v>
      </c>
      <c r="P3856">
        <v>0</v>
      </c>
      <c r="Q3856">
        <v>2</v>
      </c>
      <c r="R3856" t="s">
        <v>41252</v>
      </c>
      <c r="S3856" t="s">
        <v>41383</v>
      </c>
      <c r="T3856" t="s">
        <v>42878</v>
      </c>
      <c r="U3856" t="s">
        <v>46412</v>
      </c>
      <c r="V3856" t="s">
        <v>54326</v>
      </c>
      <c r="W3856" t="s">
        <v>37793</v>
      </c>
      <c r="X3856" t="s">
        <v>41254</v>
      </c>
    </row>
    <row r="3857" spans="1:24">
      <c r="A3857">
        <f>HYPERLINK("https://www.philgeps.gov.ph/GEPSNONPILOT/Tender/SplashBidNoticeAbstractUI.aspx?menuIndex=3&amp;refID=7074607&amp;Result=3","7074607")</f>
        <v>0</v>
      </c>
      <c r="B3857" t="s">
        <v>1327</v>
      </c>
      <c r="C3857" t="s">
        <v>7083</v>
      </c>
      <c r="D3857" t="s">
        <v>16627</v>
      </c>
      <c r="E3857" t="s">
        <v>20186</v>
      </c>
      <c r="F3857" t="s">
        <v>28669</v>
      </c>
      <c r="G3857" t="s">
        <v>28676</v>
      </c>
      <c r="H3857" t="s">
        <v>9998</v>
      </c>
      <c r="I3857" t="s">
        <v>28728</v>
      </c>
      <c r="J3857" t="s">
        <v>29304</v>
      </c>
      <c r="K3857" t="s">
        <v>37321</v>
      </c>
      <c r="M3857" t="s">
        <v>38880</v>
      </c>
      <c r="N3857" t="s">
        <v>41249</v>
      </c>
      <c r="O3857" t="s">
        <v>41250</v>
      </c>
      <c r="P3857">
        <v>0</v>
      </c>
      <c r="Q3857">
        <v>1</v>
      </c>
      <c r="R3857" t="s">
        <v>41252</v>
      </c>
      <c r="S3857" t="s">
        <v>41383</v>
      </c>
      <c r="T3857" t="s">
        <v>42687</v>
      </c>
      <c r="U3857" t="s">
        <v>46001</v>
      </c>
      <c r="W3857" t="s">
        <v>38880</v>
      </c>
      <c r="X3857" t="s">
        <v>41254</v>
      </c>
    </row>
    <row r="3858" spans="1:24">
      <c r="A3858">
        <f>HYPERLINK("https://www.philgeps.gov.ph/GEPSNONPILOT/Tender/SplashBidNoticeAbstractUI.aspx?menuIndex=3&amp;refID=7075114&amp;Result=3","7075114")</f>
        <v>0</v>
      </c>
      <c r="B3858" t="s">
        <v>1466</v>
      </c>
      <c r="C3858" t="s">
        <v>7084</v>
      </c>
      <c r="D3858" t="s">
        <v>16679</v>
      </c>
      <c r="E3858" t="s">
        <v>20187</v>
      </c>
      <c r="F3858" t="s">
        <v>28669</v>
      </c>
      <c r="G3858" t="s">
        <v>28675</v>
      </c>
      <c r="H3858" t="s">
        <v>28686</v>
      </c>
      <c r="I3858" t="s">
        <v>28689</v>
      </c>
      <c r="J3858" t="s">
        <v>31313</v>
      </c>
      <c r="K3858" t="s">
        <v>37221</v>
      </c>
      <c r="M3858" t="s">
        <v>39034</v>
      </c>
      <c r="N3858" t="s">
        <v>41249</v>
      </c>
      <c r="O3858" t="s">
        <v>41250</v>
      </c>
      <c r="P3858">
        <v>0</v>
      </c>
      <c r="Q3858">
        <v>3</v>
      </c>
      <c r="R3858" t="s">
        <v>41252</v>
      </c>
      <c r="S3858" t="s">
        <v>41383</v>
      </c>
      <c r="T3858" t="s">
        <v>42688</v>
      </c>
      <c r="U3858" t="s">
        <v>46413</v>
      </c>
      <c r="W3858" t="s">
        <v>55956</v>
      </c>
      <c r="X3858" t="s">
        <v>41254</v>
      </c>
    </row>
    <row r="3859" spans="1:24">
      <c r="A3859">
        <f>HYPERLINK("https://www.philgeps.gov.ph/GEPSNONPILOT/Tender/SplashBidNoticeAbstractUI.aspx?menuIndex=3&amp;refID=7075133&amp;Result=3","7075133")</f>
        <v>0</v>
      </c>
      <c r="B3859" t="s">
        <v>1389</v>
      </c>
      <c r="C3859" t="s">
        <v>7085</v>
      </c>
      <c r="D3859" t="s">
        <v>16617</v>
      </c>
      <c r="E3859" t="s">
        <v>20188</v>
      </c>
      <c r="F3859" t="s">
        <v>28669</v>
      </c>
      <c r="G3859" t="s">
        <v>28675</v>
      </c>
      <c r="H3859" t="s">
        <v>9998</v>
      </c>
      <c r="I3859" t="s">
        <v>28779</v>
      </c>
      <c r="J3859" t="s">
        <v>31314</v>
      </c>
      <c r="K3859" t="s">
        <v>37206</v>
      </c>
      <c r="M3859" t="s">
        <v>38951</v>
      </c>
      <c r="N3859" t="s">
        <v>41249</v>
      </c>
      <c r="O3859" t="s">
        <v>41250</v>
      </c>
      <c r="P3859">
        <v>0</v>
      </c>
      <c r="Q3859">
        <v>1</v>
      </c>
      <c r="R3859" t="s">
        <v>41252</v>
      </c>
      <c r="S3859" t="s">
        <v>41383</v>
      </c>
      <c r="T3859" t="s">
        <v>42782</v>
      </c>
      <c r="U3859" t="s">
        <v>46193</v>
      </c>
      <c r="W3859" t="s">
        <v>38951</v>
      </c>
      <c r="X3859" t="s">
        <v>41254</v>
      </c>
    </row>
    <row r="3860" spans="1:24">
      <c r="A3860">
        <f>HYPERLINK("https://www.philgeps.gov.ph/GEPSNONPILOT/Tender/SplashBidNoticeAbstractUI.aspx?menuIndex=3&amp;refID=7075132&amp;Result=3","7075132")</f>
        <v>0</v>
      </c>
      <c r="B3860" t="s">
        <v>206</v>
      </c>
      <c r="C3860" t="s">
        <v>7086</v>
      </c>
      <c r="D3860" t="s">
        <v>16617</v>
      </c>
      <c r="E3860" t="s">
        <v>16807</v>
      </c>
      <c r="F3860" t="s">
        <v>28669</v>
      </c>
      <c r="G3860" t="s">
        <v>28676</v>
      </c>
      <c r="H3860" t="s">
        <v>9998</v>
      </c>
      <c r="I3860" t="s">
        <v>28709</v>
      </c>
      <c r="J3860" t="s">
        <v>28826</v>
      </c>
      <c r="K3860" t="s">
        <v>37243</v>
      </c>
      <c r="M3860" t="s">
        <v>39030</v>
      </c>
      <c r="N3860" t="s">
        <v>41249</v>
      </c>
      <c r="O3860" t="s">
        <v>41250</v>
      </c>
      <c r="P3860">
        <v>0</v>
      </c>
      <c r="Q3860">
        <v>11</v>
      </c>
      <c r="R3860" t="s">
        <v>41252</v>
      </c>
      <c r="S3860" t="s">
        <v>41383</v>
      </c>
      <c r="T3860" t="s">
        <v>42694</v>
      </c>
      <c r="U3860" t="s">
        <v>44023</v>
      </c>
      <c r="W3860" t="s">
        <v>39030</v>
      </c>
      <c r="X3860" t="s">
        <v>41254</v>
      </c>
    </row>
    <row r="3861" spans="1:24">
      <c r="A3861">
        <f>HYPERLINK("https://www.philgeps.gov.ph/GEPSNONPILOT/Tender/SplashBidNoticeAbstractUI.aspx?menuIndex=3&amp;refID=7075084&amp;Result=3","7075084")</f>
        <v>0</v>
      </c>
      <c r="B3861" t="s">
        <v>151</v>
      </c>
      <c r="C3861" t="s">
        <v>7087</v>
      </c>
      <c r="D3861" t="s">
        <v>16632</v>
      </c>
      <c r="E3861" t="s">
        <v>20189</v>
      </c>
      <c r="F3861" t="s">
        <v>28669</v>
      </c>
      <c r="G3861" t="s">
        <v>28676</v>
      </c>
      <c r="H3861" t="s">
        <v>9998</v>
      </c>
      <c r="I3861" t="s">
        <v>7352</v>
      </c>
      <c r="J3861" t="s">
        <v>31315</v>
      </c>
      <c r="K3861" t="s">
        <v>37206</v>
      </c>
      <c r="M3861" t="s">
        <v>37628</v>
      </c>
      <c r="N3861" t="s">
        <v>41249</v>
      </c>
      <c r="O3861" t="s">
        <v>41250</v>
      </c>
      <c r="P3861">
        <v>0</v>
      </c>
      <c r="Q3861">
        <v>0</v>
      </c>
      <c r="R3861" t="s">
        <v>41252</v>
      </c>
      <c r="S3861" t="s">
        <v>41383</v>
      </c>
      <c r="T3861" t="s">
        <v>42706</v>
      </c>
      <c r="U3861" t="s">
        <v>46414</v>
      </c>
      <c r="W3861" t="s">
        <v>55902</v>
      </c>
      <c r="X3861" t="s">
        <v>41254</v>
      </c>
    </row>
    <row r="3862" spans="1:24">
      <c r="A3862">
        <f>HYPERLINK("https://www.philgeps.gov.ph/GEPSNONPILOT/Tender/SplashBidNoticeAbstractUI.aspx?menuIndex=3&amp;refID=7075092&amp;Result=3","7075092")</f>
        <v>0</v>
      </c>
      <c r="B3862" t="s">
        <v>642</v>
      </c>
      <c r="C3862" t="s">
        <v>7088</v>
      </c>
      <c r="D3862" t="s">
        <v>16642</v>
      </c>
      <c r="E3862" t="s">
        <v>20190</v>
      </c>
      <c r="F3862" t="s">
        <v>28669</v>
      </c>
      <c r="G3862" t="s">
        <v>28676</v>
      </c>
      <c r="H3862" t="s">
        <v>9998</v>
      </c>
      <c r="I3862" t="s">
        <v>28740</v>
      </c>
      <c r="J3862" t="s">
        <v>29044</v>
      </c>
      <c r="K3862" t="s">
        <v>37205</v>
      </c>
      <c r="M3862" t="s">
        <v>38143</v>
      </c>
      <c r="N3862" t="s">
        <v>41249</v>
      </c>
      <c r="O3862" t="s">
        <v>41250</v>
      </c>
      <c r="P3862">
        <v>0</v>
      </c>
      <c r="Q3862">
        <v>2</v>
      </c>
      <c r="R3862" t="s">
        <v>41252</v>
      </c>
      <c r="S3862" t="s">
        <v>41383</v>
      </c>
      <c r="T3862" t="s">
        <v>42686</v>
      </c>
      <c r="U3862" t="s">
        <v>46415</v>
      </c>
      <c r="W3862" t="s">
        <v>38143</v>
      </c>
      <c r="X3862" t="s">
        <v>41254</v>
      </c>
    </row>
    <row r="3863" spans="1:24">
      <c r="A3863">
        <f>HYPERLINK("https://www.philgeps.gov.ph/GEPSNONPILOT/Tender/SplashBidNoticeAbstractUI.aspx?menuIndex=3&amp;refID=7075063&amp;Result=3","7075063")</f>
        <v>0</v>
      </c>
      <c r="B3863" t="s">
        <v>1466</v>
      </c>
      <c r="C3863" t="s">
        <v>7089</v>
      </c>
      <c r="D3863" t="s">
        <v>16679</v>
      </c>
      <c r="E3863" t="s">
        <v>20191</v>
      </c>
      <c r="F3863" t="s">
        <v>28669</v>
      </c>
      <c r="G3863" t="s">
        <v>28675</v>
      </c>
      <c r="H3863" t="s">
        <v>28686</v>
      </c>
      <c r="I3863" t="s">
        <v>28689</v>
      </c>
      <c r="J3863" t="s">
        <v>30840</v>
      </c>
      <c r="K3863" t="s">
        <v>37220</v>
      </c>
      <c r="M3863" t="s">
        <v>39034</v>
      </c>
      <c r="N3863" t="s">
        <v>41249</v>
      </c>
      <c r="O3863" t="s">
        <v>41250</v>
      </c>
      <c r="P3863">
        <v>0</v>
      </c>
      <c r="Q3863">
        <v>3</v>
      </c>
      <c r="R3863" t="s">
        <v>41252</v>
      </c>
      <c r="S3863" t="s">
        <v>41383</v>
      </c>
      <c r="T3863" t="s">
        <v>42688</v>
      </c>
      <c r="U3863" t="s">
        <v>46413</v>
      </c>
      <c r="W3863" t="s">
        <v>55956</v>
      </c>
      <c r="X3863" t="s">
        <v>41254</v>
      </c>
    </row>
    <row r="3864" spans="1:24">
      <c r="A3864">
        <f>HYPERLINK("https://www.philgeps.gov.ph/GEPSNONPILOT/Tender/SplashBidNoticeAbstractUI.aspx?menuIndex=3&amp;refID=7074627&amp;Result=3","7074627")</f>
        <v>0</v>
      </c>
      <c r="B3864" t="s">
        <v>1382</v>
      </c>
      <c r="C3864" t="s">
        <v>7090</v>
      </c>
      <c r="D3864" t="s">
        <v>16631</v>
      </c>
      <c r="E3864" t="s">
        <v>20192</v>
      </c>
      <c r="F3864" t="s">
        <v>28669</v>
      </c>
      <c r="G3864" t="s">
        <v>28676</v>
      </c>
      <c r="H3864" t="s">
        <v>9998</v>
      </c>
      <c r="I3864" t="s">
        <v>28736</v>
      </c>
      <c r="J3864" t="s">
        <v>31316</v>
      </c>
      <c r="K3864" t="s">
        <v>37205</v>
      </c>
      <c r="M3864" t="s">
        <v>38943</v>
      </c>
      <c r="N3864" t="s">
        <v>41249</v>
      </c>
      <c r="O3864" t="s">
        <v>41250</v>
      </c>
      <c r="P3864">
        <v>0</v>
      </c>
      <c r="Q3864">
        <v>0</v>
      </c>
      <c r="R3864" t="s">
        <v>41252</v>
      </c>
      <c r="S3864" t="s">
        <v>41383</v>
      </c>
      <c r="T3864" t="s">
        <v>42736</v>
      </c>
      <c r="U3864" t="s">
        <v>46416</v>
      </c>
      <c r="W3864" t="s">
        <v>38943</v>
      </c>
      <c r="X3864" t="s">
        <v>41254</v>
      </c>
    </row>
    <row r="3865" spans="1:24">
      <c r="A3865">
        <f>HYPERLINK("https://www.philgeps.gov.ph/GEPSNONPILOT/Tender/SplashBidNoticeAbstractUI.aspx?menuIndex=3&amp;refID=7075127&amp;Result=3","7075127")</f>
        <v>0</v>
      </c>
      <c r="B3865" t="s">
        <v>1124</v>
      </c>
      <c r="C3865" t="s">
        <v>7091</v>
      </c>
      <c r="E3865" t="s">
        <v>20193</v>
      </c>
      <c r="F3865" t="s">
        <v>28669</v>
      </c>
      <c r="G3865" t="s">
        <v>28676</v>
      </c>
      <c r="H3865" t="s">
        <v>9998</v>
      </c>
      <c r="I3865" t="s">
        <v>28728</v>
      </c>
      <c r="J3865" t="s">
        <v>29225</v>
      </c>
      <c r="K3865" t="s">
        <v>37209</v>
      </c>
      <c r="M3865" t="s">
        <v>38883</v>
      </c>
      <c r="N3865" t="s">
        <v>41249</v>
      </c>
      <c r="O3865" t="s">
        <v>41250</v>
      </c>
      <c r="P3865">
        <v>0</v>
      </c>
      <c r="Q3865">
        <v>0</v>
      </c>
      <c r="R3865" t="s">
        <v>41252</v>
      </c>
      <c r="S3865" t="s">
        <v>41383</v>
      </c>
      <c r="T3865" t="s">
        <v>42729</v>
      </c>
      <c r="U3865" t="s">
        <v>46417</v>
      </c>
      <c r="W3865" t="s">
        <v>38883</v>
      </c>
      <c r="X3865" t="s">
        <v>41254</v>
      </c>
    </row>
    <row r="3866" spans="1:24">
      <c r="A3866">
        <f>HYPERLINK("https://www.philgeps.gov.ph/GEPSNONPILOT/Tender/SplashBidNoticeAbstractUI.aspx?menuIndex=3&amp;refID=7075125&amp;Result=3","7075125")</f>
        <v>0</v>
      </c>
      <c r="B3866" t="s">
        <v>408</v>
      </c>
      <c r="C3866" t="s">
        <v>7092</v>
      </c>
      <c r="D3866" t="s">
        <v>16673</v>
      </c>
      <c r="E3866" t="s">
        <v>20194</v>
      </c>
      <c r="F3866" t="s">
        <v>28669</v>
      </c>
      <c r="G3866" t="s">
        <v>28676</v>
      </c>
      <c r="H3866" t="s">
        <v>9998</v>
      </c>
      <c r="I3866" t="s">
        <v>28721</v>
      </c>
      <c r="J3866" t="s">
        <v>31317</v>
      </c>
      <c r="K3866" t="s">
        <v>37209</v>
      </c>
      <c r="M3866" t="s">
        <v>37893</v>
      </c>
      <c r="N3866" t="s">
        <v>41249</v>
      </c>
      <c r="O3866" t="s">
        <v>41250</v>
      </c>
      <c r="P3866">
        <v>0</v>
      </c>
      <c r="Q3866">
        <v>7</v>
      </c>
      <c r="R3866" t="s">
        <v>41252</v>
      </c>
      <c r="S3866" t="s">
        <v>41383</v>
      </c>
      <c r="T3866" t="s">
        <v>42701</v>
      </c>
      <c r="U3866" t="s">
        <v>46418</v>
      </c>
      <c r="V3866" t="s">
        <v>54668</v>
      </c>
      <c r="W3866" t="s">
        <v>37893</v>
      </c>
      <c r="X3866" t="s">
        <v>41254</v>
      </c>
    </row>
    <row r="3867" spans="1:24">
      <c r="A3867">
        <f>HYPERLINK("https://www.philgeps.gov.ph/GEPSNONPILOT/Tender/SplashBidNoticeAbstractUI.aspx?menuIndex=3&amp;refID=7075096&amp;Result=3","7075096")</f>
        <v>0</v>
      </c>
      <c r="B3867" t="s">
        <v>1467</v>
      </c>
      <c r="C3867" t="s">
        <v>6824</v>
      </c>
      <c r="D3867" t="s">
        <v>16684</v>
      </c>
      <c r="E3867" t="s">
        <v>20195</v>
      </c>
      <c r="F3867" t="s">
        <v>28669</v>
      </c>
      <c r="G3867" t="s">
        <v>28676</v>
      </c>
      <c r="H3867" t="s">
        <v>9998</v>
      </c>
      <c r="I3867" t="s">
        <v>5213</v>
      </c>
      <c r="J3867" t="s">
        <v>29438</v>
      </c>
      <c r="K3867" t="s">
        <v>37208</v>
      </c>
      <c r="M3867" t="s">
        <v>39035</v>
      </c>
      <c r="N3867" t="s">
        <v>41249</v>
      </c>
      <c r="O3867" t="s">
        <v>41250</v>
      </c>
      <c r="P3867">
        <v>0</v>
      </c>
      <c r="Q3867">
        <v>0</v>
      </c>
      <c r="R3867" t="s">
        <v>41252</v>
      </c>
      <c r="S3867" t="s">
        <v>41383</v>
      </c>
      <c r="T3867" t="s">
        <v>42736</v>
      </c>
      <c r="U3867" t="s">
        <v>46192</v>
      </c>
      <c r="W3867" t="s">
        <v>39035</v>
      </c>
      <c r="X3867" t="s">
        <v>41254</v>
      </c>
    </row>
    <row r="3868" spans="1:24">
      <c r="A3868">
        <f>HYPERLINK("https://www.philgeps.gov.ph/GEPSNONPILOT/Tender/SplashBidNoticeAbstractUI.aspx?menuIndex=3&amp;refID=7075124&amp;Result=3","7075124")</f>
        <v>0</v>
      </c>
      <c r="B3868" t="s">
        <v>433</v>
      </c>
      <c r="C3868" t="s">
        <v>7093</v>
      </c>
      <c r="D3868" t="s">
        <v>16626</v>
      </c>
      <c r="E3868" t="s">
        <v>20196</v>
      </c>
      <c r="F3868" t="s">
        <v>28669</v>
      </c>
      <c r="G3868" t="s">
        <v>28675</v>
      </c>
      <c r="H3868" t="s">
        <v>9998</v>
      </c>
      <c r="I3868" t="s">
        <v>28711</v>
      </c>
      <c r="J3868" t="s">
        <v>31318</v>
      </c>
      <c r="K3868" t="s">
        <v>37205</v>
      </c>
      <c r="M3868" t="s">
        <v>37918</v>
      </c>
      <c r="N3868" t="s">
        <v>41249</v>
      </c>
      <c r="O3868" t="s">
        <v>41250</v>
      </c>
      <c r="P3868">
        <v>0</v>
      </c>
      <c r="Q3868">
        <v>3</v>
      </c>
      <c r="R3868" t="s">
        <v>41252</v>
      </c>
      <c r="S3868" t="s">
        <v>41383</v>
      </c>
      <c r="T3868" t="s">
        <v>42726</v>
      </c>
      <c r="U3868" t="s">
        <v>43916</v>
      </c>
      <c r="W3868" t="s">
        <v>37918</v>
      </c>
      <c r="X3868" t="s">
        <v>41254</v>
      </c>
    </row>
    <row r="3869" spans="1:24">
      <c r="A3869">
        <f>HYPERLINK("https://www.philgeps.gov.ph/GEPSNONPILOT/Tender/SplashBidNoticeAbstractUI.aspx?menuIndex=3&amp;refID=7075128&amp;Result=3","7075128")</f>
        <v>0</v>
      </c>
      <c r="B3869" t="s">
        <v>1468</v>
      </c>
      <c r="C3869" t="s">
        <v>7094</v>
      </c>
      <c r="D3869" t="s">
        <v>16611</v>
      </c>
      <c r="E3869" t="s">
        <v>20197</v>
      </c>
      <c r="F3869" t="s">
        <v>28669</v>
      </c>
      <c r="G3869" t="s">
        <v>28679</v>
      </c>
      <c r="H3869" t="s">
        <v>9998</v>
      </c>
      <c r="I3869" t="s">
        <v>28695</v>
      </c>
      <c r="J3869" t="s">
        <v>31319</v>
      </c>
      <c r="K3869" t="s">
        <v>37213</v>
      </c>
      <c r="M3869" t="s">
        <v>39036</v>
      </c>
      <c r="N3869" t="s">
        <v>41249</v>
      </c>
      <c r="O3869" t="s">
        <v>41250</v>
      </c>
      <c r="P3869">
        <v>0</v>
      </c>
      <c r="Q3869">
        <v>0</v>
      </c>
      <c r="R3869" t="s">
        <v>41252</v>
      </c>
      <c r="S3869" t="s">
        <v>41383</v>
      </c>
      <c r="T3869" t="s">
        <v>42678</v>
      </c>
      <c r="U3869" t="s">
        <v>46419</v>
      </c>
      <c r="W3869" t="s">
        <v>39036</v>
      </c>
      <c r="X3869" t="s">
        <v>41254</v>
      </c>
    </row>
    <row r="3870" spans="1:24">
      <c r="A3870">
        <f>HYPERLINK("https://www.philgeps.gov.ph/GEPSNONPILOT/Tender/SplashBidNoticeAbstractUI.aspx?menuIndex=3&amp;refID=7075126&amp;Result=3","7075126")</f>
        <v>0</v>
      </c>
      <c r="B3870" t="s">
        <v>1464</v>
      </c>
      <c r="C3870" t="s">
        <v>7095</v>
      </c>
      <c r="D3870" t="s">
        <v>16611</v>
      </c>
      <c r="E3870" t="s">
        <v>20198</v>
      </c>
      <c r="F3870" t="s">
        <v>28669</v>
      </c>
      <c r="G3870" t="s">
        <v>28676</v>
      </c>
      <c r="H3870" t="s">
        <v>9998</v>
      </c>
      <c r="I3870" t="s">
        <v>7352</v>
      </c>
      <c r="J3870" t="s">
        <v>31320</v>
      </c>
      <c r="K3870" t="s">
        <v>37205</v>
      </c>
      <c r="M3870" t="s">
        <v>39032</v>
      </c>
      <c r="N3870" t="s">
        <v>41249</v>
      </c>
      <c r="O3870" t="s">
        <v>41250</v>
      </c>
      <c r="P3870">
        <v>0</v>
      </c>
      <c r="Q3870">
        <v>0</v>
      </c>
      <c r="R3870" t="s">
        <v>41252</v>
      </c>
      <c r="S3870" t="s">
        <v>41383</v>
      </c>
      <c r="T3870" t="s">
        <v>42948</v>
      </c>
      <c r="U3870" t="s">
        <v>46420</v>
      </c>
      <c r="W3870" t="s">
        <v>39032</v>
      </c>
      <c r="X3870" t="s">
        <v>41254</v>
      </c>
    </row>
    <row r="3871" spans="1:24">
      <c r="A3871">
        <f>HYPERLINK("https://www.philgeps.gov.ph/GEPSNONPILOT/Tender/SplashBidNoticeAbstractUI.aspx?menuIndex=3&amp;refID=7075119&amp;Result=3","7075119")</f>
        <v>0</v>
      </c>
      <c r="B3871" t="s">
        <v>1429</v>
      </c>
      <c r="C3871" t="s">
        <v>7096</v>
      </c>
      <c r="D3871" t="s">
        <v>16643</v>
      </c>
      <c r="E3871" t="s">
        <v>20199</v>
      </c>
      <c r="F3871" t="s">
        <v>28669</v>
      </c>
      <c r="G3871" t="s">
        <v>28678</v>
      </c>
      <c r="H3871" t="s">
        <v>9998</v>
      </c>
      <c r="I3871" t="s">
        <v>6128</v>
      </c>
      <c r="J3871" t="s">
        <v>31321</v>
      </c>
      <c r="K3871" t="s">
        <v>37210</v>
      </c>
      <c r="M3871" t="s">
        <v>38993</v>
      </c>
      <c r="N3871" t="s">
        <v>41249</v>
      </c>
      <c r="O3871" t="s">
        <v>41250</v>
      </c>
      <c r="P3871">
        <v>0</v>
      </c>
      <c r="Q3871">
        <v>2</v>
      </c>
      <c r="R3871" t="s">
        <v>41252</v>
      </c>
      <c r="S3871" t="s">
        <v>41383</v>
      </c>
      <c r="T3871" t="s">
        <v>42729</v>
      </c>
      <c r="U3871" t="s">
        <v>45642</v>
      </c>
      <c r="W3871" t="s">
        <v>38993</v>
      </c>
      <c r="X3871" t="s">
        <v>41254</v>
      </c>
    </row>
    <row r="3872" spans="1:24">
      <c r="A3872">
        <f>HYPERLINK("https://www.philgeps.gov.ph/GEPSNONPILOT/Tender/SplashBidNoticeAbstractUI.aspx?menuIndex=3&amp;refID=7075118&amp;Result=3","7075118")</f>
        <v>0</v>
      </c>
      <c r="B3872" t="s">
        <v>642</v>
      </c>
      <c r="C3872" t="s">
        <v>7097</v>
      </c>
      <c r="D3872" t="s">
        <v>16642</v>
      </c>
      <c r="E3872" t="s">
        <v>20190</v>
      </c>
      <c r="F3872" t="s">
        <v>28669</v>
      </c>
      <c r="G3872" t="s">
        <v>28676</v>
      </c>
      <c r="H3872" t="s">
        <v>9998</v>
      </c>
      <c r="I3872" t="s">
        <v>28698</v>
      </c>
      <c r="J3872" t="s">
        <v>31322</v>
      </c>
      <c r="K3872" t="s">
        <v>37205</v>
      </c>
      <c r="M3872" t="s">
        <v>38143</v>
      </c>
      <c r="N3872" t="s">
        <v>41249</v>
      </c>
      <c r="O3872" t="s">
        <v>41250</v>
      </c>
      <c r="P3872">
        <v>0</v>
      </c>
      <c r="Q3872">
        <v>2</v>
      </c>
      <c r="R3872" t="s">
        <v>41252</v>
      </c>
      <c r="S3872" t="s">
        <v>41383</v>
      </c>
      <c r="T3872" t="s">
        <v>42686</v>
      </c>
      <c r="U3872" t="s">
        <v>46421</v>
      </c>
      <c r="W3872" t="s">
        <v>38143</v>
      </c>
      <c r="X3872" t="s">
        <v>41254</v>
      </c>
    </row>
    <row r="3873" spans="1:24">
      <c r="A3873">
        <f>HYPERLINK("https://www.philgeps.gov.ph/GEPSNONPILOT/Tender/SplashBidNoticeAbstractUI.aspx?menuIndex=3&amp;refID=7075123&amp;Result=3","7075123")</f>
        <v>0</v>
      </c>
      <c r="B3873" t="s">
        <v>1327</v>
      </c>
      <c r="C3873" t="s">
        <v>7098</v>
      </c>
      <c r="D3873" t="s">
        <v>16627</v>
      </c>
      <c r="E3873" t="s">
        <v>20200</v>
      </c>
      <c r="F3873" t="s">
        <v>28669</v>
      </c>
      <c r="G3873" t="s">
        <v>28677</v>
      </c>
      <c r="H3873" t="s">
        <v>9998</v>
      </c>
      <c r="I3873" t="s">
        <v>28696</v>
      </c>
      <c r="J3873" t="s">
        <v>29203</v>
      </c>
      <c r="K3873" t="s">
        <v>37206</v>
      </c>
      <c r="M3873" t="s">
        <v>39006</v>
      </c>
      <c r="N3873" t="s">
        <v>41249</v>
      </c>
      <c r="O3873" t="s">
        <v>41250</v>
      </c>
      <c r="P3873">
        <v>0</v>
      </c>
      <c r="Q3873">
        <v>10</v>
      </c>
      <c r="R3873" t="s">
        <v>41252</v>
      </c>
      <c r="S3873" t="s">
        <v>41383</v>
      </c>
      <c r="T3873" t="s">
        <v>42687</v>
      </c>
      <c r="U3873" t="s">
        <v>46001</v>
      </c>
      <c r="W3873" t="s">
        <v>39006</v>
      </c>
      <c r="X3873" t="s">
        <v>41254</v>
      </c>
    </row>
    <row r="3874" spans="1:24">
      <c r="A3874">
        <f>HYPERLINK("https://www.philgeps.gov.ph/GEPSNONPILOT/Tender/SplashBidNoticeAbstractUI.aspx?menuIndex=3&amp;refID=7075112&amp;Result=3","7075112")</f>
        <v>0</v>
      </c>
      <c r="B3874" t="s">
        <v>1021</v>
      </c>
      <c r="C3874" t="s">
        <v>7099</v>
      </c>
      <c r="D3874" t="s">
        <v>16646</v>
      </c>
      <c r="E3874" t="s">
        <v>20201</v>
      </c>
      <c r="F3874" t="s">
        <v>28669</v>
      </c>
      <c r="G3874" t="s">
        <v>28677</v>
      </c>
      <c r="H3874" t="s">
        <v>9998</v>
      </c>
      <c r="I3874" t="s">
        <v>28735</v>
      </c>
      <c r="J3874" t="s">
        <v>29438</v>
      </c>
      <c r="K3874" t="s">
        <v>37234</v>
      </c>
      <c r="M3874" t="s">
        <v>38551</v>
      </c>
      <c r="N3874" t="s">
        <v>41249</v>
      </c>
      <c r="O3874" t="s">
        <v>41250</v>
      </c>
      <c r="P3874">
        <v>0</v>
      </c>
      <c r="Q3874">
        <v>0</v>
      </c>
      <c r="R3874" t="s">
        <v>41252</v>
      </c>
      <c r="S3874" t="s">
        <v>41383</v>
      </c>
      <c r="T3874" t="s">
        <v>42727</v>
      </c>
      <c r="U3874" t="s">
        <v>46422</v>
      </c>
      <c r="W3874" t="s">
        <v>38551</v>
      </c>
      <c r="X3874" t="s">
        <v>41254</v>
      </c>
    </row>
    <row r="3875" spans="1:24">
      <c r="A3875">
        <f>HYPERLINK("https://www.philgeps.gov.ph/GEPSNONPILOT/Tender/SplashBidNoticeAbstractUI.aspx?menuIndex=3&amp;refID=7075121&amp;Result=3","7075121")</f>
        <v>0</v>
      </c>
      <c r="B3875" t="s">
        <v>1469</v>
      </c>
      <c r="C3875" t="s">
        <v>7100</v>
      </c>
      <c r="D3875" t="s">
        <v>16659</v>
      </c>
      <c r="E3875" t="s">
        <v>20202</v>
      </c>
      <c r="F3875" t="s">
        <v>28669</v>
      </c>
      <c r="G3875" t="s">
        <v>28680</v>
      </c>
      <c r="H3875" t="s">
        <v>9998</v>
      </c>
      <c r="I3875" t="s">
        <v>6606</v>
      </c>
      <c r="J3875" t="s">
        <v>28878</v>
      </c>
      <c r="K3875" t="s">
        <v>37204</v>
      </c>
      <c r="M3875" t="s">
        <v>39037</v>
      </c>
      <c r="N3875" t="s">
        <v>41249</v>
      </c>
      <c r="O3875" t="s">
        <v>41250</v>
      </c>
      <c r="P3875">
        <v>0</v>
      </c>
      <c r="Q3875">
        <v>0</v>
      </c>
      <c r="R3875" t="s">
        <v>41252</v>
      </c>
      <c r="S3875" t="s">
        <v>41383</v>
      </c>
      <c r="T3875" t="s">
        <v>42757</v>
      </c>
      <c r="U3875" t="s">
        <v>46423</v>
      </c>
      <c r="W3875" t="s">
        <v>39037</v>
      </c>
      <c r="X3875" t="s">
        <v>41254</v>
      </c>
    </row>
    <row r="3876" spans="1:24">
      <c r="A3876">
        <f>HYPERLINK("https://www.philgeps.gov.ph/GEPSNONPILOT/Tender/SplashBidNoticeAbstractUI.aspx?menuIndex=3&amp;refID=7075130&amp;Result=3","7075130")</f>
        <v>0</v>
      </c>
      <c r="B3876" t="s">
        <v>1397</v>
      </c>
      <c r="C3876" t="s">
        <v>7101</v>
      </c>
      <c r="D3876" t="s">
        <v>16640</v>
      </c>
      <c r="E3876" t="s">
        <v>20203</v>
      </c>
      <c r="F3876" t="s">
        <v>28669</v>
      </c>
      <c r="G3876" t="s">
        <v>28677</v>
      </c>
      <c r="H3876" t="s">
        <v>9998</v>
      </c>
      <c r="I3876" t="s">
        <v>28721</v>
      </c>
      <c r="J3876" t="s">
        <v>31323</v>
      </c>
      <c r="K3876" t="s">
        <v>37205</v>
      </c>
      <c r="M3876" t="s">
        <v>38959</v>
      </c>
      <c r="N3876" t="s">
        <v>41249</v>
      </c>
      <c r="O3876" t="s">
        <v>41250</v>
      </c>
      <c r="P3876">
        <v>0</v>
      </c>
      <c r="Q3876">
        <v>1</v>
      </c>
      <c r="R3876" t="s">
        <v>41252</v>
      </c>
      <c r="S3876" t="s">
        <v>41383</v>
      </c>
      <c r="T3876" t="s">
        <v>42729</v>
      </c>
      <c r="U3876" t="s">
        <v>46424</v>
      </c>
      <c r="W3876" t="s">
        <v>38959</v>
      </c>
      <c r="X3876" t="s">
        <v>41254</v>
      </c>
    </row>
    <row r="3877" spans="1:24">
      <c r="A3877">
        <f>HYPERLINK("https://www.philgeps.gov.ph/GEPSNONPILOT/Tender/SplashBidNoticeAbstractUI.aspx?menuIndex=3&amp;refID=7075122&amp;Result=3","7075122")</f>
        <v>0</v>
      </c>
      <c r="B3877" t="s">
        <v>1470</v>
      </c>
      <c r="C3877" t="s">
        <v>7102</v>
      </c>
      <c r="D3877" t="s">
        <v>16626</v>
      </c>
      <c r="E3877" t="s">
        <v>20204</v>
      </c>
      <c r="F3877" t="s">
        <v>28669</v>
      </c>
      <c r="G3877" t="s">
        <v>28676</v>
      </c>
      <c r="H3877" t="s">
        <v>9998</v>
      </c>
      <c r="I3877" t="s">
        <v>28695</v>
      </c>
      <c r="J3877" t="s">
        <v>28990</v>
      </c>
      <c r="K3877" t="s">
        <v>37238</v>
      </c>
      <c r="M3877" t="s">
        <v>39038</v>
      </c>
      <c r="N3877" t="s">
        <v>41249</v>
      </c>
      <c r="O3877" t="s">
        <v>41250</v>
      </c>
      <c r="P3877">
        <v>0</v>
      </c>
      <c r="Q3877">
        <v>0</v>
      </c>
      <c r="R3877" t="s">
        <v>41252</v>
      </c>
      <c r="S3877" t="s">
        <v>41383</v>
      </c>
      <c r="T3877" t="s">
        <v>42743</v>
      </c>
      <c r="U3877" t="s">
        <v>46425</v>
      </c>
      <c r="V3877" t="s">
        <v>54686</v>
      </c>
      <c r="W3877" t="s">
        <v>39038</v>
      </c>
      <c r="X3877" t="s">
        <v>41254</v>
      </c>
    </row>
    <row r="3878" spans="1:24">
      <c r="A3878">
        <f>HYPERLINK("https://www.philgeps.gov.ph/GEPSNONPILOT/Tender/SplashBidNoticeAbstractUI.aspx?menuIndex=3&amp;refID=7075117&amp;Result=3","7075117")</f>
        <v>0</v>
      </c>
      <c r="B3878" t="s">
        <v>693</v>
      </c>
      <c r="C3878" t="s">
        <v>7103</v>
      </c>
      <c r="D3878" t="s">
        <v>16615</v>
      </c>
      <c r="E3878" t="s">
        <v>20205</v>
      </c>
      <c r="F3878" t="s">
        <v>28669</v>
      </c>
      <c r="G3878" t="s">
        <v>28676</v>
      </c>
      <c r="H3878" t="s">
        <v>9998</v>
      </c>
      <c r="I3878" t="s">
        <v>28690</v>
      </c>
      <c r="J3878" t="s">
        <v>28826</v>
      </c>
      <c r="K3878" t="s">
        <v>37204</v>
      </c>
      <c r="M3878" t="s">
        <v>38198</v>
      </c>
      <c r="N3878" t="s">
        <v>41249</v>
      </c>
      <c r="O3878" t="s">
        <v>41250</v>
      </c>
      <c r="P3878">
        <v>0</v>
      </c>
      <c r="Q3878">
        <v>0</v>
      </c>
      <c r="R3878" t="s">
        <v>41252</v>
      </c>
      <c r="S3878" t="s">
        <v>41383</v>
      </c>
      <c r="T3878" t="s">
        <v>42884</v>
      </c>
      <c r="U3878" t="s">
        <v>46426</v>
      </c>
      <c r="V3878" t="s">
        <v>54687</v>
      </c>
      <c r="W3878" t="s">
        <v>38198</v>
      </c>
      <c r="X3878" t="s">
        <v>41254</v>
      </c>
    </row>
    <row r="3879" spans="1:24">
      <c r="A3879">
        <f>HYPERLINK("https://www.philgeps.gov.ph/GEPSNONPILOT/Tender/SplashBidNoticeAbstractUI.aspx?menuIndex=3&amp;refID=7075116&amp;Result=3","7075116")</f>
        <v>0</v>
      </c>
      <c r="B3879" t="s">
        <v>1471</v>
      </c>
      <c r="C3879" t="s">
        <v>7104</v>
      </c>
      <c r="D3879" t="s">
        <v>16615</v>
      </c>
      <c r="E3879" t="s">
        <v>20206</v>
      </c>
      <c r="F3879" t="s">
        <v>28669</v>
      </c>
      <c r="G3879" t="s">
        <v>28682</v>
      </c>
      <c r="H3879" t="s">
        <v>28686</v>
      </c>
      <c r="I3879" t="s">
        <v>28689</v>
      </c>
      <c r="J3879" t="s">
        <v>31324</v>
      </c>
      <c r="K3879" t="s">
        <v>37255</v>
      </c>
      <c r="M3879" t="s">
        <v>39039</v>
      </c>
      <c r="N3879" t="s">
        <v>41249</v>
      </c>
      <c r="O3879" t="s">
        <v>41250</v>
      </c>
      <c r="P3879">
        <v>0</v>
      </c>
      <c r="Q3879">
        <v>4</v>
      </c>
      <c r="R3879" t="s">
        <v>41252</v>
      </c>
      <c r="S3879" t="s">
        <v>41383</v>
      </c>
      <c r="T3879" t="s">
        <v>42716</v>
      </c>
      <c r="U3879" t="s">
        <v>46427</v>
      </c>
      <c r="V3879" t="s">
        <v>54688</v>
      </c>
      <c r="W3879" t="s">
        <v>39039</v>
      </c>
      <c r="X3879" t="s">
        <v>41254</v>
      </c>
    </row>
    <row r="3880" spans="1:24">
      <c r="A3880">
        <f>HYPERLINK("https://www.philgeps.gov.ph/GEPSNONPILOT/Tender/SplashBidNoticeAbstractUI.aspx?menuIndex=3&amp;refID=7075115&amp;Result=3","7075115")</f>
        <v>0</v>
      </c>
      <c r="B3880" t="s">
        <v>1148</v>
      </c>
      <c r="C3880" t="s">
        <v>7105</v>
      </c>
      <c r="E3880" t="s">
        <v>20207</v>
      </c>
      <c r="F3880" t="s">
        <v>28669</v>
      </c>
      <c r="G3880" t="s">
        <v>28676</v>
      </c>
      <c r="H3880" t="s">
        <v>9998</v>
      </c>
      <c r="I3880" t="s">
        <v>3718</v>
      </c>
      <c r="J3880" t="s">
        <v>31325</v>
      </c>
      <c r="K3880" t="s">
        <v>37209</v>
      </c>
      <c r="M3880" t="s">
        <v>38684</v>
      </c>
      <c r="N3880" t="s">
        <v>41249</v>
      </c>
      <c r="O3880" t="s">
        <v>41250</v>
      </c>
      <c r="P3880">
        <v>0</v>
      </c>
      <c r="Q3880">
        <v>0</v>
      </c>
      <c r="R3880" t="s">
        <v>41252</v>
      </c>
      <c r="S3880" t="s">
        <v>41383</v>
      </c>
      <c r="T3880" t="s">
        <v>42701</v>
      </c>
      <c r="U3880" t="s">
        <v>46428</v>
      </c>
      <c r="W3880" t="s">
        <v>38684</v>
      </c>
      <c r="X3880" t="s">
        <v>41254</v>
      </c>
    </row>
    <row r="3881" spans="1:24">
      <c r="A3881">
        <f>HYPERLINK("https://www.philgeps.gov.ph/GEPSNONPILOT/Tender/SplashBidNoticeAbstractUI.aspx?menuIndex=3&amp;refID=7075129&amp;Result=3","7075129")</f>
        <v>0</v>
      </c>
      <c r="B3881" t="s">
        <v>1472</v>
      </c>
      <c r="C3881" t="s">
        <v>7106</v>
      </c>
      <c r="D3881" t="s">
        <v>16630</v>
      </c>
      <c r="E3881" t="s">
        <v>20208</v>
      </c>
      <c r="F3881" t="s">
        <v>28669</v>
      </c>
      <c r="G3881" t="s">
        <v>28676</v>
      </c>
      <c r="H3881" t="s">
        <v>9998</v>
      </c>
      <c r="I3881" t="s">
        <v>28704</v>
      </c>
      <c r="J3881" t="s">
        <v>29254</v>
      </c>
      <c r="K3881" t="s">
        <v>37210</v>
      </c>
      <c r="M3881" t="s">
        <v>39040</v>
      </c>
      <c r="N3881" t="s">
        <v>41249</v>
      </c>
      <c r="O3881" t="s">
        <v>41250</v>
      </c>
      <c r="P3881">
        <v>0</v>
      </c>
      <c r="Q3881">
        <v>0</v>
      </c>
      <c r="R3881" t="s">
        <v>41252</v>
      </c>
      <c r="S3881" t="s">
        <v>41383</v>
      </c>
      <c r="T3881" t="s">
        <v>42736</v>
      </c>
      <c r="U3881" t="s">
        <v>46429</v>
      </c>
      <c r="W3881" t="s">
        <v>39040</v>
      </c>
      <c r="X3881" t="s">
        <v>41254</v>
      </c>
    </row>
    <row r="3882" spans="1:24">
      <c r="A3882">
        <f>HYPERLINK("https://www.philgeps.gov.ph/GEPSNONPILOT/Tender/SplashBidNoticeAbstractUI.aspx?menuIndex=3&amp;refID=7074605&amp;Result=3","7074605")</f>
        <v>0</v>
      </c>
      <c r="B3882" t="s">
        <v>1021</v>
      </c>
      <c r="C3882" t="s">
        <v>7107</v>
      </c>
      <c r="D3882" t="s">
        <v>16646</v>
      </c>
      <c r="E3882" t="s">
        <v>20209</v>
      </c>
      <c r="F3882" t="s">
        <v>28669</v>
      </c>
      <c r="G3882" t="s">
        <v>28677</v>
      </c>
      <c r="H3882" t="s">
        <v>9998</v>
      </c>
      <c r="I3882" t="s">
        <v>28708</v>
      </c>
      <c r="J3882" t="s">
        <v>28901</v>
      </c>
      <c r="K3882" t="s">
        <v>37234</v>
      </c>
      <c r="M3882" t="s">
        <v>38551</v>
      </c>
      <c r="N3882" t="s">
        <v>41249</v>
      </c>
      <c r="O3882" t="s">
        <v>41250</v>
      </c>
      <c r="P3882">
        <v>0</v>
      </c>
      <c r="Q3882">
        <v>1</v>
      </c>
      <c r="R3882" t="s">
        <v>41252</v>
      </c>
      <c r="S3882" t="s">
        <v>41383</v>
      </c>
      <c r="T3882" t="s">
        <v>42727</v>
      </c>
      <c r="U3882" t="s">
        <v>46430</v>
      </c>
      <c r="W3882" t="s">
        <v>38551</v>
      </c>
      <c r="X3882" t="s">
        <v>41254</v>
      </c>
    </row>
    <row r="3883" spans="1:24">
      <c r="A3883">
        <f>HYPERLINK("https://www.philgeps.gov.ph/GEPSNONPILOT/Tender/SplashBidNoticeAbstractUI.aspx?menuIndex=3&amp;refID=7074602&amp;Result=3","7074602")</f>
        <v>0</v>
      </c>
      <c r="B3883" t="s">
        <v>618</v>
      </c>
      <c r="C3883" t="s">
        <v>7108</v>
      </c>
      <c r="D3883" t="s">
        <v>16654</v>
      </c>
      <c r="E3883" t="s">
        <v>20210</v>
      </c>
      <c r="F3883" t="s">
        <v>28669</v>
      </c>
      <c r="G3883" t="s">
        <v>28675</v>
      </c>
      <c r="H3883" t="s">
        <v>28686</v>
      </c>
      <c r="I3883" t="s">
        <v>28689</v>
      </c>
      <c r="J3883" t="s">
        <v>29003</v>
      </c>
      <c r="K3883" t="s">
        <v>37210</v>
      </c>
      <c r="M3883" t="s">
        <v>38118</v>
      </c>
      <c r="N3883" t="s">
        <v>41249</v>
      </c>
      <c r="O3883" t="s">
        <v>41250</v>
      </c>
      <c r="P3883">
        <v>0</v>
      </c>
      <c r="Q3883">
        <v>0</v>
      </c>
      <c r="R3883" t="s">
        <v>41252</v>
      </c>
      <c r="S3883" t="s">
        <v>41383</v>
      </c>
      <c r="T3883" t="s">
        <v>42757</v>
      </c>
      <c r="U3883" t="s">
        <v>46431</v>
      </c>
      <c r="W3883" t="s">
        <v>38118</v>
      </c>
      <c r="X3883" t="s">
        <v>41254</v>
      </c>
    </row>
    <row r="3884" spans="1:24">
      <c r="A3884">
        <f>HYPERLINK("https://www.philgeps.gov.ph/GEPSNONPILOT/Tender/SplashBidNoticeAbstractUI.aspx?menuIndex=3&amp;refID=7075136&amp;Result=3","7075136")</f>
        <v>0</v>
      </c>
      <c r="B3884" t="s">
        <v>133</v>
      </c>
      <c r="C3884" t="s">
        <v>7109</v>
      </c>
      <c r="E3884" t="s">
        <v>20211</v>
      </c>
      <c r="F3884" t="s">
        <v>28669</v>
      </c>
      <c r="G3884" t="s">
        <v>28676</v>
      </c>
      <c r="H3884" t="s">
        <v>9998</v>
      </c>
      <c r="I3884" t="s">
        <v>11593</v>
      </c>
      <c r="J3884" t="s">
        <v>28838</v>
      </c>
      <c r="K3884" t="s">
        <v>37210</v>
      </c>
      <c r="M3884" t="s">
        <v>37610</v>
      </c>
      <c r="N3884" t="s">
        <v>41249</v>
      </c>
      <c r="O3884" t="s">
        <v>41250</v>
      </c>
      <c r="P3884">
        <v>0</v>
      </c>
      <c r="Q3884">
        <v>3</v>
      </c>
      <c r="R3884" t="s">
        <v>41252</v>
      </c>
      <c r="S3884" t="s">
        <v>41383</v>
      </c>
      <c r="T3884" t="s">
        <v>42783</v>
      </c>
      <c r="U3884" t="s">
        <v>46432</v>
      </c>
      <c r="V3884" t="s">
        <v>54670</v>
      </c>
      <c r="W3884" t="s">
        <v>37610</v>
      </c>
      <c r="X3884" t="s">
        <v>41254</v>
      </c>
    </row>
    <row r="3885" spans="1:24">
      <c r="A3885">
        <f>HYPERLINK("https://www.philgeps.gov.ph/GEPSNONPILOT/Tender/SplashBidNoticeAbstractUI.aspx?menuIndex=3&amp;refID=7075152&amp;Result=3","7075152")</f>
        <v>0</v>
      </c>
      <c r="B3885" t="s">
        <v>1442</v>
      </c>
      <c r="C3885" t="s">
        <v>7110</v>
      </c>
      <c r="D3885" t="s">
        <v>16673</v>
      </c>
      <c r="E3885" t="s">
        <v>19752</v>
      </c>
      <c r="F3885" t="s">
        <v>28669</v>
      </c>
      <c r="G3885" t="s">
        <v>28675</v>
      </c>
      <c r="H3885" t="s">
        <v>28686</v>
      </c>
      <c r="I3885" t="s">
        <v>28689</v>
      </c>
      <c r="J3885" t="s">
        <v>29112</v>
      </c>
      <c r="K3885" t="s">
        <v>37221</v>
      </c>
      <c r="M3885" t="s">
        <v>39007</v>
      </c>
      <c r="N3885" t="s">
        <v>41249</v>
      </c>
      <c r="O3885" t="s">
        <v>41250</v>
      </c>
      <c r="P3885">
        <v>0</v>
      </c>
      <c r="Q3885">
        <v>0</v>
      </c>
      <c r="R3885" t="s">
        <v>41252</v>
      </c>
      <c r="S3885" t="s">
        <v>41383</v>
      </c>
      <c r="T3885" t="s">
        <v>42700</v>
      </c>
      <c r="U3885" t="s">
        <v>46433</v>
      </c>
      <c r="W3885" t="s">
        <v>39007</v>
      </c>
      <c r="X3885" t="s">
        <v>41254</v>
      </c>
    </row>
    <row r="3886" spans="1:24">
      <c r="A3886">
        <f>HYPERLINK("https://www.philgeps.gov.ph/GEPSNONPILOT/Tender/SplashBidNoticeAbstractUI.aspx?menuIndex=3&amp;refID=7075150&amp;Result=3","7075150")</f>
        <v>0</v>
      </c>
      <c r="B3886" t="s">
        <v>1473</v>
      </c>
      <c r="C3886" t="s">
        <v>7111</v>
      </c>
      <c r="D3886" t="s">
        <v>16608</v>
      </c>
      <c r="E3886" t="s">
        <v>20212</v>
      </c>
      <c r="F3886" t="s">
        <v>28669</v>
      </c>
      <c r="G3886" t="s">
        <v>28675</v>
      </c>
      <c r="H3886" t="s">
        <v>28684</v>
      </c>
      <c r="I3886" t="s">
        <v>28728</v>
      </c>
      <c r="J3886" t="s">
        <v>31326</v>
      </c>
      <c r="K3886" t="s">
        <v>37314</v>
      </c>
      <c r="M3886" t="s">
        <v>39041</v>
      </c>
      <c r="N3886" t="s">
        <v>41249</v>
      </c>
      <c r="O3886" t="s">
        <v>41250</v>
      </c>
      <c r="P3886">
        <v>0</v>
      </c>
      <c r="Q3886">
        <v>1</v>
      </c>
      <c r="R3886" t="s">
        <v>41252</v>
      </c>
      <c r="S3886" t="s">
        <v>41383</v>
      </c>
      <c r="T3886" t="s">
        <v>42667</v>
      </c>
      <c r="U3886" t="s">
        <v>46434</v>
      </c>
      <c r="W3886" t="s">
        <v>39041</v>
      </c>
      <c r="X3886" t="s">
        <v>41254</v>
      </c>
    </row>
    <row r="3887" spans="1:24">
      <c r="A3887">
        <f>HYPERLINK("https://www.philgeps.gov.ph/GEPSNONPILOT/Tender/SplashBidNoticeAbstractUI.aspx?menuIndex=3&amp;refID=7075149&amp;Result=3","7075149")</f>
        <v>0</v>
      </c>
      <c r="B3887" t="s">
        <v>1186</v>
      </c>
      <c r="C3887" t="s">
        <v>7112</v>
      </c>
      <c r="D3887" t="s">
        <v>16664</v>
      </c>
      <c r="E3887" t="s">
        <v>19317</v>
      </c>
      <c r="F3887" t="s">
        <v>28669</v>
      </c>
      <c r="G3887" t="s">
        <v>28676</v>
      </c>
      <c r="H3887" t="s">
        <v>9998</v>
      </c>
      <c r="I3887" t="s">
        <v>3679</v>
      </c>
      <c r="J3887" t="s">
        <v>31327</v>
      </c>
      <c r="K3887" t="s">
        <v>37208</v>
      </c>
      <c r="M3887" t="s">
        <v>38726</v>
      </c>
      <c r="N3887" t="s">
        <v>41249</v>
      </c>
      <c r="O3887" t="s">
        <v>41250</v>
      </c>
      <c r="P3887">
        <v>0</v>
      </c>
      <c r="Q3887">
        <v>0</v>
      </c>
      <c r="R3887" t="s">
        <v>41252</v>
      </c>
      <c r="S3887" t="s">
        <v>41383</v>
      </c>
      <c r="T3887" t="s">
        <v>42736</v>
      </c>
      <c r="U3887" t="s">
        <v>46435</v>
      </c>
      <c r="W3887" t="s">
        <v>38726</v>
      </c>
      <c r="X3887" t="s">
        <v>41254</v>
      </c>
    </row>
    <row r="3888" spans="1:24">
      <c r="A3888">
        <f>HYPERLINK("https://www.philgeps.gov.ph/GEPSNONPILOT/Tender/SplashBidNoticeAbstractUI.aspx?menuIndex=3&amp;refID=7074603&amp;Result=3","7074603")</f>
        <v>0</v>
      </c>
      <c r="B3888" t="s">
        <v>1355</v>
      </c>
      <c r="C3888" t="s">
        <v>7113</v>
      </c>
      <c r="E3888" t="s">
        <v>17768</v>
      </c>
      <c r="F3888" t="s">
        <v>28669</v>
      </c>
      <c r="G3888" t="s">
        <v>28676</v>
      </c>
      <c r="H3888" t="s">
        <v>9998</v>
      </c>
      <c r="I3888" t="s">
        <v>28719</v>
      </c>
      <c r="J3888" t="s">
        <v>31328</v>
      </c>
      <c r="K3888" t="s">
        <v>37240</v>
      </c>
      <c r="M3888" t="s">
        <v>38911</v>
      </c>
      <c r="N3888" t="s">
        <v>41249</v>
      </c>
      <c r="O3888" t="s">
        <v>41250</v>
      </c>
      <c r="P3888">
        <v>0</v>
      </c>
      <c r="Q3888">
        <v>0</v>
      </c>
      <c r="R3888" t="s">
        <v>41252</v>
      </c>
      <c r="S3888" t="s">
        <v>41383</v>
      </c>
      <c r="T3888" t="s">
        <v>42694</v>
      </c>
      <c r="U3888" t="s">
        <v>46436</v>
      </c>
      <c r="W3888" t="s">
        <v>38911</v>
      </c>
      <c r="X3888" t="s">
        <v>41254</v>
      </c>
    </row>
    <row r="3889" spans="1:24">
      <c r="A3889">
        <f>HYPERLINK("https://www.philgeps.gov.ph/GEPSNONPILOT/Tender/SplashBidNoticeAbstractUI.aspx?menuIndex=3&amp;refID=7075146&amp;Result=3","7075146")</f>
        <v>0</v>
      </c>
      <c r="B3889" t="s">
        <v>1348</v>
      </c>
      <c r="C3889" t="s">
        <v>7114</v>
      </c>
      <c r="D3889" t="s">
        <v>16608</v>
      </c>
      <c r="E3889" t="s">
        <v>20213</v>
      </c>
      <c r="F3889" t="s">
        <v>28669</v>
      </c>
      <c r="G3889" t="s">
        <v>28677</v>
      </c>
      <c r="H3889" t="s">
        <v>9998</v>
      </c>
      <c r="I3889" t="s">
        <v>8667</v>
      </c>
      <c r="J3889" t="s">
        <v>31329</v>
      </c>
      <c r="K3889" t="s">
        <v>37204</v>
      </c>
      <c r="M3889" t="s">
        <v>37627</v>
      </c>
      <c r="N3889" t="s">
        <v>41249</v>
      </c>
      <c r="O3889" t="s">
        <v>41250</v>
      </c>
      <c r="P3889">
        <v>0</v>
      </c>
      <c r="Q3889">
        <v>0</v>
      </c>
      <c r="R3889" t="s">
        <v>41252</v>
      </c>
      <c r="S3889" t="s">
        <v>41383</v>
      </c>
      <c r="T3889" t="s">
        <v>42949</v>
      </c>
      <c r="U3889" t="s">
        <v>46437</v>
      </c>
      <c r="V3889" t="s">
        <v>54644</v>
      </c>
      <c r="W3889" t="s">
        <v>37627</v>
      </c>
      <c r="X3889" t="s">
        <v>41254</v>
      </c>
    </row>
    <row r="3890" spans="1:24">
      <c r="A3890">
        <f>HYPERLINK("https://www.philgeps.gov.ph/GEPSNONPILOT/Tender/SplashBidNoticeAbstractUI.aspx?menuIndex=3&amp;refID=7074601&amp;Result=3","7074601")</f>
        <v>0</v>
      </c>
      <c r="B3890" t="s">
        <v>1348</v>
      </c>
      <c r="C3890" t="s">
        <v>7115</v>
      </c>
      <c r="D3890" t="s">
        <v>16608</v>
      </c>
      <c r="E3890" t="s">
        <v>20214</v>
      </c>
      <c r="F3890" t="s">
        <v>28669</v>
      </c>
      <c r="G3890" t="s">
        <v>28676</v>
      </c>
      <c r="H3890" t="s">
        <v>9998</v>
      </c>
      <c r="I3890" t="s">
        <v>28704</v>
      </c>
      <c r="J3890" t="s">
        <v>31330</v>
      </c>
      <c r="K3890" t="s">
        <v>37204</v>
      </c>
      <c r="M3890" t="s">
        <v>37627</v>
      </c>
      <c r="N3890" t="s">
        <v>41249</v>
      </c>
      <c r="O3890" t="s">
        <v>41250</v>
      </c>
      <c r="P3890">
        <v>0</v>
      </c>
      <c r="Q3890">
        <v>0</v>
      </c>
      <c r="R3890" t="s">
        <v>41252</v>
      </c>
      <c r="S3890" t="s">
        <v>41383</v>
      </c>
      <c r="T3890" t="s">
        <v>42867</v>
      </c>
      <c r="U3890" t="s">
        <v>46438</v>
      </c>
      <c r="V3890" t="s">
        <v>54644</v>
      </c>
      <c r="W3890" t="s">
        <v>37627</v>
      </c>
      <c r="X3890" t="s">
        <v>41254</v>
      </c>
    </row>
    <row r="3891" spans="1:24">
      <c r="A3891">
        <f>HYPERLINK("https://www.philgeps.gov.ph/GEPSNONPILOT/Tender/SplashBidNoticeAbstractUI.aspx?menuIndex=3&amp;refID=7075145&amp;Result=3","7075145")</f>
        <v>0</v>
      </c>
      <c r="B3891" t="s">
        <v>631</v>
      </c>
      <c r="C3891" t="s">
        <v>7116</v>
      </c>
      <c r="D3891" t="s">
        <v>16617</v>
      </c>
      <c r="E3891" t="s">
        <v>20215</v>
      </c>
      <c r="F3891" t="s">
        <v>28669</v>
      </c>
      <c r="G3891" t="s">
        <v>28676</v>
      </c>
      <c r="H3891" t="s">
        <v>9998</v>
      </c>
      <c r="I3891" t="s">
        <v>28744</v>
      </c>
      <c r="J3891" t="s">
        <v>29295</v>
      </c>
      <c r="K3891" t="s">
        <v>37240</v>
      </c>
      <c r="M3891" t="s">
        <v>38131</v>
      </c>
      <c r="N3891" t="s">
        <v>41249</v>
      </c>
      <c r="O3891" t="s">
        <v>41250</v>
      </c>
      <c r="P3891">
        <v>0</v>
      </c>
      <c r="Q3891">
        <v>6</v>
      </c>
      <c r="R3891" t="s">
        <v>41252</v>
      </c>
      <c r="S3891" t="s">
        <v>41383</v>
      </c>
      <c r="T3891" t="s">
        <v>42748</v>
      </c>
      <c r="U3891" t="s">
        <v>46439</v>
      </c>
      <c r="W3891" t="s">
        <v>38131</v>
      </c>
      <c r="X3891" t="s">
        <v>41254</v>
      </c>
    </row>
    <row r="3892" spans="1:24">
      <c r="A3892">
        <f>HYPERLINK("https://www.philgeps.gov.ph/GEPSNONPILOT/Tender/SplashBidNoticeAbstractUI.aspx?menuIndex=3&amp;refID=7075151&amp;Result=3","7075151")</f>
        <v>0</v>
      </c>
      <c r="B3892" t="s">
        <v>1034</v>
      </c>
      <c r="C3892" t="s">
        <v>7117</v>
      </c>
      <c r="D3892" t="s">
        <v>16619</v>
      </c>
      <c r="E3892" t="s">
        <v>20216</v>
      </c>
      <c r="F3892" t="s">
        <v>28669</v>
      </c>
      <c r="G3892" t="s">
        <v>28676</v>
      </c>
      <c r="H3892" t="s">
        <v>9998</v>
      </c>
      <c r="I3892" t="s">
        <v>3679</v>
      </c>
      <c r="J3892" t="s">
        <v>31331</v>
      </c>
      <c r="K3892" t="s">
        <v>37216</v>
      </c>
      <c r="M3892" t="s">
        <v>38565</v>
      </c>
      <c r="N3892" t="s">
        <v>41249</v>
      </c>
      <c r="O3892" t="s">
        <v>41250</v>
      </c>
      <c r="P3892">
        <v>0</v>
      </c>
      <c r="Q3892">
        <v>0</v>
      </c>
      <c r="R3892" t="s">
        <v>41252</v>
      </c>
      <c r="S3892" t="s">
        <v>41383</v>
      </c>
      <c r="T3892" t="s">
        <v>42759</v>
      </c>
      <c r="U3892" t="s">
        <v>46440</v>
      </c>
      <c r="W3892" t="s">
        <v>38565</v>
      </c>
      <c r="X3892" t="s">
        <v>41254</v>
      </c>
    </row>
    <row r="3893" spans="1:24">
      <c r="A3893">
        <f>HYPERLINK("https://www.philgeps.gov.ph/GEPSNONPILOT/Tender/SplashBidNoticeAbstractUI.aspx?menuIndex=3&amp;refID=7075143&amp;Result=3","7075143")</f>
        <v>0</v>
      </c>
      <c r="B3893" t="s">
        <v>1474</v>
      </c>
      <c r="C3893" t="s">
        <v>7118</v>
      </c>
      <c r="D3893" t="s">
        <v>16680</v>
      </c>
      <c r="E3893" t="s">
        <v>20217</v>
      </c>
      <c r="F3893" t="s">
        <v>28669</v>
      </c>
      <c r="G3893" t="s">
        <v>28676</v>
      </c>
      <c r="H3893" t="s">
        <v>9998</v>
      </c>
      <c r="I3893" t="s">
        <v>28690</v>
      </c>
      <c r="J3893" t="s">
        <v>31332</v>
      </c>
      <c r="K3893" t="s">
        <v>37243</v>
      </c>
      <c r="M3893" t="s">
        <v>39042</v>
      </c>
      <c r="N3893" t="s">
        <v>41249</v>
      </c>
      <c r="O3893" t="s">
        <v>41250</v>
      </c>
      <c r="P3893">
        <v>0</v>
      </c>
      <c r="Q3893">
        <v>0</v>
      </c>
      <c r="R3893" t="s">
        <v>41252</v>
      </c>
      <c r="S3893" t="s">
        <v>41383</v>
      </c>
      <c r="T3893" t="s">
        <v>42743</v>
      </c>
      <c r="U3893" t="s">
        <v>46441</v>
      </c>
      <c r="W3893" t="s">
        <v>39042</v>
      </c>
      <c r="X3893" t="s">
        <v>41254</v>
      </c>
    </row>
    <row r="3894" spans="1:24">
      <c r="A3894">
        <f>HYPERLINK("https://www.philgeps.gov.ph/GEPSNONPILOT/Tender/SplashBidNoticeAbstractUI.aspx?menuIndex=3&amp;refID=7074606&amp;Result=3","7074606")</f>
        <v>0</v>
      </c>
      <c r="B3894" t="s">
        <v>1076</v>
      </c>
      <c r="C3894" t="s">
        <v>7119</v>
      </c>
      <c r="D3894" t="s">
        <v>16611</v>
      </c>
      <c r="E3894" t="s">
        <v>20218</v>
      </c>
      <c r="F3894" t="s">
        <v>28669</v>
      </c>
      <c r="G3894" t="s">
        <v>28676</v>
      </c>
      <c r="H3894" t="s">
        <v>9998</v>
      </c>
      <c r="I3894" t="s">
        <v>28693</v>
      </c>
      <c r="J3894" t="s">
        <v>29931</v>
      </c>
      <c r="K3894" t="s">
        <v>37205</v>
      </c>
      <c r="M3894" t="s">
        <v>38608</v>
      </c>
      <c r="N3894" t="s">
        <v>41249</v>
      </c>
      <c r="O3894" t="s">
        <v>41250</v>
      </c>
      <c r="P3894">
        <v>0</v>
      </c>
      <c r="Q3894">
        <v>8</v>
      </c>
      <c r="R3894" t="s">
        <v>41252</v>
      </c>
      <c r="S3894" t="s">
        <v>41383</v>
      </c>
      <c r="T3894" t="s">
        <v>42729</v>
      </c>
      <c r="U3894" t="s">
        <v>44679</v>
      </c>
      <c r="W3894" t="s">
        <v>38608</v>
      </c>
      <c r="X3894" t="s">
        <v>41254</v>
      </c>
    </row>
    <row r="3895" spans="1:24">
      <c r="A3895">
        <f>HYPERLINK("https://www.philgeps.gov.ph/GEPSNONPILOT/Tender/SplashBidNoticeAbstractUI.aspx?menuIndex=3&amp;refID=7075142&amp;Result=3","7075142")</f>
        <v>0</v>
      </c>
      <c r="B3895" t="s">
        <v>1429</v>
      </c>
      <c r="C3895" t="s">
        <v>7120</v>
      </c>
      <c r="D3895" t="s">
        <v>16643</v>
      </c>
      <c r="E3895" t="s">
        <v>20219</v>
      </c>
      <c r="F3895" t="s">
        <v>28669</v>
      </c>
      <c r="G3895" t="s">
        <v>28676</v>
      </c>
      <c r="H3895" t="s">
        <v>9998</v>
      </c>
      <c r="I3895" t="s">
        <v>28722</v>
      </c>
      <c r="J3895" t="s">
        <v>29679</v>
      </c>
      <c r="K3895" t="s">
        <v>37210</v>
      </c>
      <c r="M3895" t="s">
        <v>38993</v>
      </c>
      <c r="N3895" t="s">
        <v>41249</v>
      </c>
      <c r="O3895" t="s">
        <v>41250</v>
      </c>
      <c r="P3895">
        <v>0</v>
      </c>
      <c r="Q3895">
        <v>1</v>
      </c>
      <c r="R3895" t="s">
        <v>41252</v>
      </c>
      <c r="S3895" t="s">
        <v>41383</v>
      </c>
      <c r="T3895" t="s">
        <v>42729</v>
      </c>
      <c r="U3895" t="s">
        <v>45642</v>
      </c>
      <c r="W3895" t="s">
        <v>38993</v>
      </c>
      <c r="X3895" t="s">
        <v>41254</v>
      </c>
    </row>
    <row r="3896" spans="1:24">
      <c r="A3896">
        <f>HYPERLINK("https://www.philgeps.gov.ph/GEPSNONPILOT/Tender/SplashBidNoticeAbstractUI.aspx?menuIndex=3&amp;refID=7075147&amp;Result=3","7075147")</f>
        <v>0</v>
      </c>
      <c r="B3896" t="s">
        <v>1475</v>
      </c>
      <c r="C3896" t="s">
        <v>7121</v>
      </c>
      <c r="D3896" t="s">
        <v>16644</v>
      </c>
      <c r="E3896" t="s">
        <v>20220</v>
      </c>
      <c r="F3896" t="s">
        <v>28669</v>
      </c>
      <c r="G3896" t="s">
        <v>28676</v>
      </c>
      <c r="H3896" t="s">
        <v>9998</v>
      </c>
      <c r="I3896" t="s">
        <v>28736</v>
      </c>
      <c r="J3896" t="s">
        <v>31333</v>
      </c>
      <c r="K3896" t="s">
        <v>37206</v>
      </c>
      <c r="M3896" t="s">
        <v>39043</v>
      </c>
      <c r="N3896" t="s">
        <v>41249</v>
      </c>
      <c r="O3896" t="s">
        <v>41250</v>
      </c>
      <c r="P3896">
        <v>0</v>
      </c>
      <c r="Q3896">
        <v>2</v>
      </c>
      <c r="R3896" t="s">
        <v>41252</v>
      </c>
      <c r="S3896" t="s">
        <v>41383</v>
      </c>
      <c r="T3896" t="s">
        <v>42701</v>
      </c>
      <c r="U3896" t="s">
        <v>46442</v>
      </c>
      <c r="W3896" t="s">
        <v>39053</v>
      </c>
      <c r="X3896" t="s">
        <v>41254</v>
      </c>
    </row>
    <row r="3897" spans="1:24">
      <c r="A3897">
        <f>HYPERLINK("https://www.philgeps.gov.ph/GEPSNONPILOT/Tender/SplashBidNoticeAbstractUI.aspx?menuIndex=3&amp;refID=7075140&amp;Result=3","7075140")</f>
        <v>0</v>
      </c>
      <c r="B3897" t="s">
        <v>602</v>
      </c>
      <c r="C3897" t="s">
        <v>7122</v>
      </c>
      <c r="D3897" t="s">
        <v>16661</v>
      </c>
      <c r="E3897" t="s">
        <v>18950</v>
      </c>
      <c r="F3897" t="s">
        <v>28669</v>
      </c>
      <c r="G3897" t="s">
        <v>28675</v>
      </c>
      <c r="H3897" t="s">
        <v>9998</v>
      </c>
      <c r="I3897" t="s">
        <v>7352</v>
      </c>
      <c r="J3897" t="s">
        <v>31334</v>
      </c>
      <c r="K3897" t="s">
        <v>37205</v>
      </c>
      <c r="M3897" t="s">
        <v>38102</v>
      </c>
      <c r="N3897" t="s">
        <v>41249</v>
      </c>
      <c r="O3897" t="s">
        <v>41250</v>
      </c>
      <c r="P3897">
        <v>0</v>
      </c>
      <c r="Q3897">
        <v>2</v>
      </c>
      <c r="R3897" t="s">
        <v>41252</v>
      </c>
      <c r="S3897" t="s">
        <v>41383</v>
      </c>
      <c r="T3897" t="s">
        <v>42818</v>
      </c>
      <c r="U3897" t="s">
        <v>46443</v>
      </c>
      <c r="W3897" t="s">
        <v>38102</v>
      </c>
      <c r="X3897" t="s">
        <v>41254</v>
      </c>
    </row>
    <row r="3898" spans="1:24">
      <c r="A3898">
        <f>HYPERLINK("https://www.philgeps.gov.ph/GEPSNONPILOT/Tender/SplashBidNoticeAbstractUI.aspx?menuIndex=3&amp;refID=7075154&amp;Result=3","7075154")</f>
        <v>0</v>
      </c>
      <c r="B3898" t="s">
        <v>101</v>
      </c>
      <c r="C3898" t="s">
        <v>7123</v>
      </c>
      <c r="D3898" t="s">
        <v>16644</v>
      </c>
      <c r="E3898" t="s">
        <v>20221</v>
      </c>
      <c r="F3898" t="s">
        <v>28669</v>
      </c>
      <c r="G3898" t="s">
        <v>28676</v>
      </c>
      <c r="H3898" t="s">
        <v>9998</v>
      </c>
      <c r="I3898" t="s">
        <v>3718</v>
      </c>
      <c r="J3898" t="s">
        <v>29051</v>
      </c>
      <c r="K3898" t="s">
        <v>37205</v>
      </c>
      <c r="M3898" t="s">
        <v>37576</v>
      </c>
      <c r="N3898" t="s">
        <v>41249</v>
      </c>
      <c r="O3898" t="s">
        <v>41250</v>
      </c>
      <c r="P3898">
        <v>0</v>
      </c>
      <c r="Q3898">
        <v>7</v>
      </c>
      <c r="R3898" t="s">
        <v>41252</v>
      </c>
      <c r="S3898" t="s">
        <v>41383</v>
      </c>
      <c r="T3898" t="s">
        <v>42758</v>
      </c>
      <c r="U3898" t="s">
        <v>46444</v>
      </c>
      <c r="V3898" t="s">
        <v>54275</v>
      </c>
      <c r="W3898" t="s">
        <v>37576</v>
      </c>
      <c r="X3898" t="s">
        <v>41254</v>
      </c>
    </row>
    <row r="3899" spans="1:24">
      <c r="A3899">
        <f>HYPERLINK("https://www.philgeps.gov.ph/GEPSNONPILOT/Tender/SplashBidNoticeAbstractUI.aspx?menuIndex=3&amp;refID=7075138&amp;Result=3","7075138")</f>
        <v>0</v>
      </c>
      <c r="B3899" t="s">
        <v>1476</v>
      </c>
      <c r="C3899" t="s">
        <v>7124</v>
      </c>
      <c r="D3899" t="s">
        <v>16612</v>
      </c>
      <c r="E3899" t="s">
        <v>17140</v>
      </c>
      <c r="F3899" t="s">
        <v>28669</v>
      </c>
      <c r="G3899" t="s">
        <v>28675</v>
      </c>
      <c r="H3899" t="s">
        <v>9998</v>
      </c>
      <c r="I3899" t="s">
        <v>7352</v>
      </c>
      <c r="J3899" t="s">
        <v>31335</v>
      </c>
      <c r="K3899" t="s">
        <v>37205</v>
      </c>
      <c r="M3899" t="s">
        <v>39044</v>
      </c>
      <c r="N3899" t="s">
        <v>41249</v>
      </c>
      <c r="O3899" t="s">
        <v>41250</v>
      </c>
      <c r="P3899">
        <v>0</v>
      </c>
      <c r="Q3899">
        <v>0</v>
      </c>
      <c r="R3899" t="s">
        <v>41252</v>
      </c>
      <c r="S3899" t="s">
        <v>41383</v>
      </c>
      <c r="T3899" t="s">
        <v>42698</v>
      </c>
      <c r="U3899" t="s">
        <v>46445</v>
      </c>
      <c r="W3899" t="s">
        <v>39044</v>
      </c>
      <c r="X3899" t="s">
        <v>41254</v>
      </c>
    </row>
    <row r="3900" spans="1:24">
      <c r="A3900">
        <f>HYPERLINK("https://www.philgeps.gov.ph/GEPSNONPILOT/Tender/SplashBidNoticeAbstractUI.aspx?menuIndex=3&amp;refID=7075144&amp;Result=3","7075144")</f>
        <v>0</v>
      </c>
      <c r="B3900" t="s">
        <v>1477</v>
      </c>
      <c r="C3900" t="s">
        <v>7125</v>
      </c>
      <c r="D3900" t="s">
        <v>16665</v>
      </c>
      <c r="E3900" t="s">
        <v>20222</v>
      </c>
      <c r="F3900" t="s">
        <v>28671</v>
      </c>
      <c r="G3900" t="s">
        <v>28676</v>
      </c>
      <c r="H3900" t="s">
        <v>28686</v>
      </c>
      <c r="I3900" t="s">
        <v>28689</v>
      </c>
      <c r="J3900" t="s">
        <v>31336</v>
      </c>
      <c r="K3900" t="s">
        <v>37220</v>
      </c>
      <c r="M3900" t="s">
        <v>39045</v>
      </c>
      <c r="N3900" t="s">
        <v>41249</v>
      </c>
      <c r="O3900" t="s">
        <v>41250</v>
      </c>
      <c r="P3900">
        <v>0</v>
      </c>
      <c r="Q3900">
        <v>0</v>
      </c>
      <c r="R3900" t="s">
        <v>41252</v>
      </c>
      <c r="S3900" t="s">
        <v>41383</v>
      </c>
      <c r="T3900" t="s">
        <v>42757</v>
      </c>
      <c r="U3900" t="s">
        <v>46446</v>
      </c>
      <c r="W3900" t="s">
        <v>39045</v>
      </c>
      <c r="X3900" t="s">
        <v>41254</v>
      </c>
    </row>
    <row r="3901" spans="1:24">
      <c r="A3901">
        <f>HYPERLINK("https://www.philgeps.gov.ph/GEPSNONPILOT/Tender/SplashBidNoticeAbstractUI.aspx?menuIndex=3&amp;refID=7075179&amp;Result=3","7075179")</f>
        <v>0</v>
      </c>
      <c r="B3901" t="s">
        <v>299</v>
      </c>
      <c r="C3901" t="s">
        <v>7126</v>
      </c>
      <c r="D3901" t="s">
        <v>16639</v>
      </c>
      <c r="E3901" t="s">
        <v>20223</v>
      </c>
      <c r="F3901" t="s">
        <v>28669</v>
      </c>
      <c r="G3901" t="s">
        <v>28675</v>
      </c>
      <c r="H3901" t="s">
        <v>9998</v>
      </c>
      <c r="I3901" t="s">
        <v>28743</v>
      </c>
      <c r="J3901" t="s">
        <v>31337</v>
      </c>
      <c r="K3901" t="s">
        <v>37205</v>
      </c>
      <c r="M3901" t="s">
        <v>37778</v>
      </c>
      <c r="N3901" t="s">
        <v>41249</v>
      </c>
      <c r="O3901" t="s">
        <v>41250</v>
      </c>
      <c r="P3901">
        <v>0</v>
      </c>
      <c r="Q3901">
        <v>0</v>
      </c>
      <c r="R3901" t="s">
        <v>41252</v>
      </c>
      <c r="S3901" t="s">
        <v>41383</v>
      </c>
      <c r="T3901" t="s">
        <v>42678</v>
      </c>
      <c r="U3901" t="s">
        <v>46447</v>
      </c>
      <c r="W3901" t="s">
        <v>37778</v>
      </c>
      <c r="X3901" t="s">
        <v>41254</v>
      </c>
    </row>
    <row r="3902" spans="1:24">
      <c r="A3902">
        <f>HYPERLINK("https://www.philgeps.gov.ph/GEPSNONPILOT/Tender/SplashBidNoticeAbstractUI.aspx?menuIndex=3&amp;refID=7075111&amp;Result=3","7075111")</f>
        <v>0</v>
      </c>
      <c r="B3902" t="s">
        <v>133</v>
      </c>
      <c r="C3902" t="s">
        <v>7127</v>
      </c>
      <c r="E3902" t="s">
        <v>20224</v>
      </c>
      <c r="F3902" t="s">
        <v>28669</v>
      </c>
      <c r="G3902" t="s">
        <v>28676</v>
      </c>
      <c r="H3902" t="s">
        <v>9998</v>
      </c>
      <c r="I3902" t="s">
        <v>11593</v>
      </c>
      <c r="J3902" t="s">
        <v>28905</v>
      </c>
      <c r="K3902" t="s">
        <v>37210</v>
      </c>
      <c r="M3902" t="s">
        <v>37610</v>
      </c>
      <c r="N3902" t="s">
        <v>41249</v>
      </c>
      <c r="O3902" t="s">
        <v>41250</v>
      </c>
      <c r="P3902">
        <v>0</v>
      </c>
      <c r="Q3902">
        <v>0</v>
      </c>
      <c r="R3902" t="s">
        <v>41252</v>
      </c>
      <c r="S3902" t="s">
        <v>41383</v>
      </c>
      <c r="T3902" t="s">
        <v>42783</v>
      </c>
      <c r="U3902" t="s">
        <v>46448</v>
      </c>
      <c r="V3902" t="s">
        <v>54670</v>
      </c>
      <c r="W3902" t="s">
        <v>37610</v>
      </c>
      <c r="X3902" t="s">
        <v>41254</v>
      </c>
    </row>
    <row r="3903" spans="1:24">
      <c r="A3903">
        <f>HYPERLINK("https://www.philgeps.gov.ph/GEPSNONPILOT/Tender/SplashBidNoticeAbstractUI.aspx?menuIndex=3&amp;refID=7075141&amp;Result=3","7075141")</f>
        <v>0</v>
      </c>
      <c r="B3903" t="s">
        <v>748</v>
      </c>
      <c r="C3903" t="s">
        <v>7128</v>
      </c>
      <c r="D3903" t="s">
        <v>16629</v>
      </c>
      <c r="E3903" t="s">
        <v>20225</v>
      </c>
      <c r="F3903" t="s">
        <v>28669</v>
      </c>
      <c r="G3903" t="s">
        <v>28675</v>
      </c>
      <c r="H3903" t="s">
        <v>28686</v>
      </c>
      <c r="I3903" t="s">
        <v>28689</v>
      </c>
      <c r="J3903" t="s">
        <v>31338</v>
      </c>
      <c r="K3903" t="s">
        <v>37211</v>
      </c>
      <c r="M3903" t="s">
        <v>38258</v>
      </c>
      <c r="N3903" t="s">
        <v>41249</v>
      </c>
      <c r="O3903" t="s">
        <v>41250</v>
      </c>
      <c r="P3903">
        <v>0</v>
      </c>
      <c r="Q3903">
        <v>0</v>
      </c>
      <c r="R3903" t="s">
        <v>41252</v>
      </c>
      <c r="S3903" t="s">
        <v>41383</v>
      </c>
      <c r="T3903" t="s">
        <v>42808</v>
      </c>
      <c r="U3903" t="s">
        <v>46449</v>
      </c>
      <c r="V3903" t="s">
        <v>54669</v>
      </c>
      <c r="W3903" t="s">
        <v>38258</v>
      </c>
      <c r="X3903" t="s">
        <v>41254</v>
      </c>
    </row>
    <row r="3904" spans="1:24">
      <c r="A3904">
        <f>HYPERLINK("https://www.philgeps.gov.ph/GEPSNONPILOT/Tender/SplashBidNoticeAbstractUI.aspx?menuIndex=3&amp;refID=7075176&amp;Result=3","7075176")</f>
        <v>0</v>
      </c>
      <c r="B3904" t="s">
        <v>1186</v>
      </c>
      <c r="C3904" t="s">
        <v>7129</v>
      </c>
      <c r="D3904" t="s">
        <v>16664</v>
      </c>
      <c r="E3904" t="s">
        <v>19317</v>
      </c>
      <c r="F3904" t="s">
        <v>28669</v>
      </c>
      <c r="G3904" t="s">
        <v>28676</v>
      </c>
      <c r="H3904" t="s">
        <v>9998</v>
      </c>
      <c r="I3904" t="s">
        <v>28740</v>
      </c>
      <c r="J3904" t="s">
        <v>29404</v>
      </c>
      <c r="K3904" t="s">
        <v>37208</v>
      </c>
      <c r="M3904" t="s">
        <v>38726</v>
      </c>
      <c r="N3904" t="s">
        <v>41249</v>
      </c>
      <c r="O3904" t="s">
        <v>41250</v>
      </c>
      <c r="P3904">
        <v>0</v>
      </c>
      <c r="Q3904">
        <v>0</v>
      </c>
      <c r="R3904" t="s">
        <v>41252</v>
      </c>
      <c r="S3904" t="s">
        <v>41383</v>
      </c>
      <c r="T3904" t="s">
        <v>42736</v>
      </c>
      <c r="U3904" t="s">
        <v>46450</v>
      </c>
      <c r="W3904" t="s">
        <v>38726</v>
      </c>
      <c r="X3904" t="s">
        <v>41254</v>
      </c>
    </row>
    <row r="3905" spans="1:24">
      <c r="A3905">
        <f>HYPERLINK("https://www.philgeps.gov.ph/GEPSNONPILOT/Tender/SplashBidNoticeAbstractUI.aspx?menuIndex=3&amp;refID=7075139&amp;Result=3","7075139")</f>
        <v>0</v>
      </c>
      <c r="B3905" t="s">
        <v>1156</v>
      </c>
      <c r="C3905" t="s">
        <v>7130</v>
      </c>
      <c r="D3905" t="s">
        <v>16678</v>
      </c>
      <c r="E3905" t="s">
        <v>20226</v>
      </c>
      <c r="F3905" t="s">
        <v>28669</v>
      </c>
      <c r="G3905" t="s">
        <v>28676</v>
      </c>
      <c r="H3905" t="s">
        <v>9998</v>
      </c>
      <c r="I3905" t="s">
        <v>28697</v>
      </c>
      <c r="J3905" t="s">
        <v>31339</v>
      </c>
      <c r="K3905" t="s">
        <v>37205</v>
      </c>
      <c r="M3905" t="s">
        <v>38693</v>
      </c>
      <c r="N3905" t="s">
        <v>41249</v>
      </c>
      <c r="O3905" t="s">
        <v>41250</v>
      </c>
      <c r="P3905">
        <v>0</v>
      </c>
      <c r="Q3905">
        <v>0</v>
      </c>
      <c r="R3905" t="s">
        <v>41252</v>
      </c>
      <c r="S3905" t="s">
        <v>41383</v>
      </c>
      <c r="T3905" t="s">
        <v>42736</v>
      </c>
      <c r="U3905" t="s">
        <v>46451</v>
      </c>
      <c r="W3905" t="s">
        <v>38693</v>
      </c>
      <c r="X3905" t="s">
        <v>41254</v>
      </c>
    </row>
    <row r="3906" spans="1:24">
      <c r="A3906">
        <f>HYPERLINK("https://www.philgeps.gov.ph/GEPSNONPILOT/Tender/SplashBidNoticeAbstractUI.aspx?menuIndex=3&amp;refID=7075148&amp;Result=3","7075148")</f>
        <v>0</v>
      </c>
      <c r="B3906" t="s">
        <v>1419</v>
      </c>
      <c r="C3906" t="s">
        <v>7131</v>
      </c>
      <c r="D3906" t="s">
        <v>16671</v>
      </c>
      <c r="E3906" t="s">
        <v>20227</v>
      </c>
      <c r="F3906" t="s">
        <v>28669</v>
      </c>
      <c r="G3906" t="s">
        <v>28676</v>
      </c>
      <c r="H3906" t="s">
        <v>9998</v>
      </c>
      <c r="I3906" t="s">
        <v>28710</v>
      </c>
      <c r="J3906" t="s">
        <v>29040</v>
      </c>
      <c r="K3906" t="s">
        <v>37204</v>
      </c>
      <c r="M3906" t="s">
        <v>38982</v>
      </c>
      <c r="N3906" t="s">
        <v>41249</v>
      </c>
      <c r="O3906" t="s">
        <v>41250</v>
      </c>
      <c r="P3906">
        <v>0</v>
      </c>
      <c r="Q3906">
        <v>0</v>
      </c>
      <c r="R3906" t="s">
        <v>41252</v>
      </c>
      <c r="S3906" t="s">
        <v>41383</v>
      </c>
      <c r="T3906" t="s">
        <v>42759</v>
      </c>
      <c r="U3906" t="s">
        <v>46452</v>
      </c>
      <c r="W3906" t="s">
        <v>38982</v>
      </c>
      <c r="X3906" t="s">
        <v>41254</v>
      </c>
    </row>
    <row r="3907" spans="1:24">
      <c r="A3907">
        <f>HYPERLINK("https://www.philgeps.gov.ph/GEPSNONPILOT/Tender/SplashBidNoticeAbstractUI.aspx?menuIndex=3&amp;refID=7075175&amp;Result=3","7075175")</f>
        <v>0</v>
      </c>
      <c r="B3907" t="s">
        <v>1459</v>
      </c>
      <c r="C3907" t="s">
        <v>7132</v>
      </c>
      <c r="D3907" t="s">
        <v>16617</v>
      </c>
      <c r="E3907" t="s">
        <v>20228</v>
      </c>
      <c r="F3907" t="s">
        <v>28669</v>
      </c>
      <c r="G3907" t="s">
        <v>28675</v>
      </c>
      <c r="H3907" t="s">
        <v>9998</v>
      </c>
      <c r="I3907" t="s">
        <v>11593</v>
      </c>
      <c r="J3907" t="s">
        <v>31340</v>
      </c>
      <c r="K3907" t="s">
        <v>37227</v>
      </c>
      <c r="M3907" t="s">
        <v>39025</v>
      </c>
      <c r="N3907" t="s">
        <v>41249</v>
      </c>
      <c r="O3907" t="s">
        <v>41250</v>
      </c>
      <c r="P3907">
        <v>0</v>
      </c>
      <c r="Q3907">
        <v>0</v>
      </c>
      <c r="R3907" t="s">
        <v>41252</v>
      </c>
      <c r="S3907" t="s">
        <v>41383</v>
      </c>
      <c r="T3907" t="s">
        <v>42742</v>
      </c>
      <c r="U3907" t="s">
        <v>46453</v>
      </c>
      <c r="W3907" t="s">
        <v>39025</v>
      </c>
      <c r="X3907" t="s">
        <v>41254</v>
      </c>
    </row>
    <row r="3908" spans="1:24">
      <c r="A3908">
        <f>HYPERLINK("https://www.philgeps.gov.ph/GEPSNONPILOT/Tender/SplashBidNoticeAbstractUI.aspx?menuIndex=3&amp;refID=7075168&amp;Result=3","7075168")</f>
        <v>0</v>
      </c>
      <c r="B3908" t="s">
        <v>602</v>
      </c>
      <c r="C3908" t="s">
        <v>7133</v>
      </c>
      <c r="D3908" t="s">
        <v>16661</v>
      </c>
      <c r="E3908" t="s">
        <v>20229</v>
      </c>
      <c r="F3908" t="s">
        <v>28669</v>
      </c>
      <c r="G3908" t="s">
        <v>28677</v>
      </c>
      <c r="H3908" t="s">
        <v>9998</v>
      </c>
      <c r="I3908" t="s">
        <v>28687</v>
      </c>
      <c r="J3908" t="s">
        <v>31341</v>
      </c>
      <c r="K3908" t="s">
        <v>37205</v>
      </c>
      <c r="M3908" t="s">
        <v>38102</v>
      </c>
      <c r="N3908" t="s">
        <v>41249</v>
      </c>
      <c r="O3908" t="s">
        <v>41250</v>
      </c>
      <c r="P3908">
        <v>0</v>
      </c>
      <c r="Q3908">
        <v>0</v>
      </c>
      <c r="R3908" t="s">
        <v>41252</v>
      </c>
      <c r="S3908" t="s">
        <v>41383</v>
      </c>
      <c r="T3908" t="s">
        <v>42736</v>
      </c>
      <c r="U3908" t="s">
        <v>46454</v>
      </c>
      <c r="W3908" t="s">
        <v>38102</v>
      </c>
      <c r="X3908" t="s">
        <v>41254</v>
      </c>
    </row>
    <row r="3909" spans="1:24">
      <c r="A3909">
        <f>HYPERLINK("https://www.philgeps.gov.ph/GEPSNONPILOT/Tender/SplashBidNoticeAbstractUI.aspx?menuIndex=3&amp;refID=7075180&amp;Result=3","7075180")</f>
        <v>0</v>
      </c>
      <c r="B3909" t="s">
        <v>1464</v>
      </c>
      <c r="C3909" t="s">
        <v>7134</v>
      </c>
      <c r="D3909" t="s">
        <v>16611</v>
      </c>
      <c r="E3909" t="s">
        <v>20230</v>
      </c>
      <c r="F3909" t="s">
        <v>28669</v>
      </c>
      <c r="G3909" t="s">
        <v>28676</v>
      </c>
      <c r="H3909" t="s">
        <v>9998</v>
      </c>
      <c r="I3909" t="s">
        <v>28704</v>
      </c>
      <c r="J3909" t="s">
        <v>31342</v>
      </c>
      <c r="K3909" t="s">
        <v>37205</v>
      </c>
      <c r="M3909" t="s">
        <v>39032</v>
      </c>
      <c r="N3909" t="s">
        <v>41249</v>
      </c>
      <c r="O3909" t="s">
        <v>41250</v>
      </c>
      <c r="P3909">
        <v>0</v>
      </c>
      <c r="Q3909">
        <v>0</v>
      </c>
      <c r="R3909" t="s">
        <v>41252</v>
      </c>
      <c r="S3909" t="s">
        <v>41383</v>
      </c>
      <c r="T3909" t="s">
        <v>42913</v>
      </c>
      <c r="U3909" t="s">
        <v>46455</v>
      </c>
      <c r="W3909" t="s">
        <v>39032</v>
      </c>
      <c r="X3909" t="s">
        <v>41254</v>
      </c>
    </row>
    <row r="3910" spans="1:24">
      <c r="A3910">
        <f>HYPERLINK("https://www.philgeps.gov.ph/GEPSNONPILOT/Tender/SplashBidNoticeAbstractUI.aspx?menuIndex=3&amp;refID=7075166&amp;Result=3","7075166")</f>
        <v>0</v>
      </c>
      <c r="B3910" t="s">
        <v>1478</v>
      </c>
      <c r="C3910" t="s">
        <v>7135</v>
      </c>
      <c r="D3910" t="s">
        <v>16657</v>
      </c>
      <c r="E3910" t="s">
        <v>20231</v>
      </c>
      <c r="F3910" t="s">
        <v>28669</v>
      </c>
      <c r="G3910" t="s">
        <v>28679</v>
      </c>
      <c r="H3910" t="s">
        <v>28686</v>
      </c>
      <c r="I3910" t="s">
        <v>28689</v>
      </c>
      <c r="J3910" t="s">
        <v>28912</v>
      </c>
      <c r="K3910" t="s">
        <v>37209</v>
      </c>
      <c r="M3910" t="s">
        <v>39046</v>
      </c>
      <c r="N3910" t="s">
        <v>41249</v>
      </c>
      <c r="O3910" t="s">
        <v>41250</v>
      </c>
      <c r="P3910">
        <v>0</v>
      </c>
      <c r="Q3910">
        <v>1</v>
      </c>
      <c r="R3910" t="s">
        <v>41252</v>
      </c>
      <c r="S3910" t="s">
        <v>41383</v>
      </c>
      <c r="T3910" t="s">
        <v>42757</v>
      </c>
      <c r="U3910" t="s">
        <v>46456</v>
      </c>
      <c r="W3910" t="s">
        <v>39046</v>
      </c>
      <c r="X3910" t="s">
        <v>41254</v>
      </c>
    </row>
    <row r="3911" spans="1:24">
      <c r="A3911">
        <f>HYPERLINK("https://www.philgeps.gov.ph/GEPSNONPILOT/Tender/SplashBidNoticeAbstractUI.aspx?menuIndex=3&amp;refID=7075163&amp;Result=3","7075163")</f>
        <v>0</v>
      </c>
      <c r="B3911" t="s">
        <v>1348</v>
      </c>
      <c r="C3911" t="s">
        <v>7136</v>
      </c>
      <c r="D3911" t="s">
        <v>16608</v>
      </c>
      <c r="E3911" t="s">
        <v>20232</v>
      </c>
      <c r="F3911" t="s">
        <v>28669</v>
      </c>
      <c r="G3911" t="s">
        <v>28676</v>
      </c>
      <c r="H3911" t="s">
        <v>9998</v>
      </c>
      <c r="I3911" t="s">
        <v>28709</v>
      </c>
      <c r="J3911" t="s">
        <v>31343</v>
      </c>
      <c r="K3911" t="s">
        <v>37204</v>
      </c>
      <c r="M3911" t="s">
        <v>37627</v>
      </c>
      <c r="N3911" t="s">
        <v>41249</v>
      </c>
      <c r="O3911" t="s">
        <v>41250</v>
      </c>
      <c r="P3911">
        <v>0</v>
      </c>
      <c r="Q3911">
        <v>1</v>
      </c>
      <c r="R3911" t="s">
        <v>41252</v>
      </c>
      <c r="S3911" t="s">
        <v>41383</v>
      </c>
      <c r="T3911" t="s">
        <v>42949</v>
      </c>
      <c r="U3911" t="s">
        <v>46457</v>
      </c>
      <c r="V3911" t="s">
        <v>54644</v>
      </c>
      <c r="W3911" t="s">
        <v>37627</v>
      </c>
      <c r="X3911" t="s">
        <v>41254</v>
      </c>
    </row>
    <row r="3912" spans="1:24">
      <c r="A3912">
        <f>HYPERLINK("https://www.philgeps.gov.ph/GEPSNONPILOT/Tender/SplashBidNoticeAbstractUI.aspx?menuIndex=3&amp;refID=7075177&amp;Result=3","7075177")</f>
        <v>0</v>
      </c>
      <c r="B3912" t="s">
        <v>571</v>
      </c>
      <c r="C3912" t="s">
        <v>7137</v>
      </c>
      <c r="D3912" t="s">
        <v>16661</v>
      </c>
      <c r="E3912" t="s">
        <v>20233</v>
      </c>
      <c r="F3912" t="s">
        <v>28669</v>
      </c>
      <c r="G3912" t="s">
        <v>28675</v>
      </c>
      <c r="H3912" t="s">
        <v>9998</v>
      </c>
      <c r="I3912" t="s">
        <v>7352</v>
      </c>
      <c r="J3912" t="s">
        <v>31344</v>
      </c>
      <c r="K3912" t="s">
        <v>37204</v>
      </c>
      <c r="M3912" t="s">
        <v>38070</v>
      </c>
      <c r="N3912" t="s">
        <v>41249</v>
      </c>
      <c r="O3912" t="s">
        <v>41250</v>
      </c>
      <c r="P3912">
        <v>0</v>
      </c>
      <c r="Q3912">
        <v>1</v>
      </c>
      <c r="R3912" t="s">
        <v>41252</v>
      </c>
      <c r="S3912" t="s">
        <v>41383</v>
      </c>
      <c r="T3912" t="s">
        <v>42683</v>
      </c>
      <c r="U3912" t="s">
        <v>46458</v>
      </c>
      <c r="W3912" t="s">
        <v>38070</v>
      </c>
      <c r="X3912" t="s">
        <v>41254</v>
      </c>
    </row>
    <row r="3913" spans="1:24">
      <c r="A3913">
        <f>HYPERLINK("https://www.philgeps.gov.ph/GEPSNONPILOT/Tender/SplashBidNoticeAbstractUI.aspx?menuIndex=3&amp;refID=7075171&amp;Result=3","7075171")</f>
        <v>0</v>
      </c>
      <c r="B3913" t="s">
        <v>928</v>
      </c>
      <c r="C3913" t="s">
        <v>7138</v>
      </c>
      <c r="D3913" t="s">
        <v>16609</v>
      </c>
      <c r="E3913" t="s">
        <v>20234</v>
      </c>
      <c r="F3913" t="s">
        <v>28669</v>
      </c>
      <c r="G3913" t="s">
        <v>28676</v>
      </c>
      <c r="H3913" t="s">
        <v>9998</v>
      </c>
      <c r="I3913" t="s">
        <v>5213</v>
      </c>
      <c r="J3913" t="s">
        <v>31345</v>
      </c>
      <c r="K3913" t="s">
        <v>37204</v>
      </c>
      <c r="M3913" t="s">
        <v>38450</v>
      </c>
      <c r="N3913" t="s">
        <v>41249</v>
      </c>
      <c r="O3913" t="s">
        <v>41250</v>
      </c>
      <c r="P3913">
        <v>0</v>
      </c>
      <c r="Q3913">
        <v>2</v>
      </c>
      <c r="R3913" t="s">
        <v>41252</v>
      </c>
      <c r="S3913" t="s">
        <v>41383</v>
      </c>
      <c r="T3913" t="s">
        <v>42679</v>
      </c>
      <c r="U3913" t="s">
        <v>46459</v>
      </c>
      <c r="W3913" t="s">
        <v>38450</v>
      </c>
      <c r="X3913" t="s">
        <v>41254</v>
      </c>
    </row>
    <row r="3914" spans="1:24">
      <c r="A3914">
        <f>HYPERLINK("https://www.philgeps.gov.ph/GEPSNONPILOT/Tender/SplashBidNoticeAbstractUI.aspx?menuIndex=3&amp;refID=7075161&amp;Result=3","7075161")</f>
        <v>0</v>
      </c>
      <c r="B3914" t="s">
        <v>376</v>
      </c>
      <c r="C3914" t="s">
        <v>7139</v>
      </c>
      <c r="D3914" t="s">
        <v>16608</v>
      </c>
      <c r="E3914" t="s">
        <v>20235</v>
      </c>
      <c r="F3914" t="s">
        <v>28669</v>
      </c>
      <c r="G3914" t="s">
        <v>28676</v>
      </c>
      <c r="H3914" t="s">
        <v>9998</v>
      </c>
      <c r="I3914" t="s">
        <v>28751</v>
      </c>
      <c r="J3914" t="s">
        <v>31346</v>
      </c>
      <c r="K3914" t="s">
        <v>37213</v>
      </c>
      <c r="M3914" t="s">
        <v>39047</v>
      </c>
      <c r="N3914" t="s">
        <v>41249</v>
      </c>
      <c r="O3914" t="s">
        <v>41250</v>
      </c>
      <c r="P3914">
        <v>0</v>
      </c>
      <c r="Q3914">
        <v>2</v>
      </c>
      <c r="R3914" t="s">
        <v>41252</v>
      </c>
      <c r="S3914" t="s">
        <v>41383</v>
      </c>
      <c r="T3914" t="s">
        <v>42743</v>
      </c>
      <c r="U3914" t="s">
        <v>46460</v>
      </c>
      <c r="W3914" t="s">
        <v>39047</v>
      </c>
      <c r="X3914" t="s">
        <v>41254</v>
      </c>
    </row>
    <row r="3915" spans="1:24">
      <c r="A3915">
        <f>HYPERLINK("https://www.philgeps.gov.ph/GEPSNONPILOT/Tender/SplashBidNoticeAbstractUI.aspx?menuIndex=3&amp;refID=7075167&amp;Result=3","7075167")</f>
        <v>0</v>
      </c>
      <c r="B3915" t="s">
        <v>1479</v>
      </c>
      <c r="C3915" t="s">
        <v>7140</v>
      </c>
      <c r="D3915" t="s">
        <v>16648</v>
      </c>
      <c r="E3915" t="s">
        <v>20236</v>
      </c>
      <c r="F3915" t="s">
        <v>28669</v>
      </c>
      <c r="G3915" t="s">
        <v>28676</v>
      </c>
      <c r="H3915" t="s">
        <v>9998</v>
      </c>
      <c r="I3915" t="s">
        <v>28749</v>
      </c>
      <c r="J3915" t="s">
        <v>28838</v>
      </c>
      <c r="K3915" t="s">
        <v>37205</v>
      </c>
      <c r="M3915" t="s">
        <v>39048</v>
      </c>
      <c r="N3915" t="s">
        <v>41249</v>
      </c>
      <c r="O3915" t="s">
        <v>41250</v>
      </c>
      <c r="P3915">
        <v>0</v>
      </c>
      <c r="Q3915">
        <v>1</v>
      </c>
      <c r="R3915" t="s">
        <v>41252</v>
      </c>
      <c r="S3915" t="s">
        <v>41383</v>
      </c>
      <c r="T3915" t="s">
        <v>42821</v>
      </c>
      <c r="U3915" t="s">
        <v>46461</v>
      </c>
      <c r="W3915" t="s">
        <v>39048</v>
      </c>
      <c r="X3915" t="s">
        <v>41254</v>
      </c>
    </row>
    <row r="3916" spans="1:24">
      <c r="A3916">
        <f>HYPERLINK("https://www.philgeps.gov.ph/GEPSNONPILOT/Tender/SplashBidNoticeAbstractUI.aspx?menuIndex=3&amp;refID=7075157&amp;Result=3","7075157")</f>
        <v>0</v>
      </c>
      <c r="B3916" t="s">
        <v>1480</v>
      </c>
      <c r="C3916" t="s">
        <v>7141</v>
      </c>
      <c r="D3916" t="s">
        <v>16615</v>
      </c>
      <c r="E3916" t="s">
        <v>20237</v>
      </c>
      <c r="F3916" t="s">
        <v>28669</v>
      </c>
      <c r="G3916" t="s">
        <v>28676</v>
      </c>
      <c r="H3916" t="s">
        <v>9998</v>
      </c>
      <c r="I3916" t="s">
        <v>6128</v>
      </c>
      <c r="J3916" t="s">
        <v>31347</v>
      </c>
      <c r="K3916" t="s">
        <v>37204</v>
      </c>
      <c r="M3916" t="s">
        <v>39049</v>
      </c>
      <c r="N3916" t="s">
        <v>41249</v>
      </c>
      <c r="O3916" t="s">
        <v>41250</v>
      </c>
      <c r="P3916">
        <v>0</v>
      </c>
      <c r="Q3916">
        <v>3</v>
      </c>
      <c r="R3916" t="s">
        <v>41252</v>
      </c>
      <c r="S3916" t="s">
        <v>41383</v>
      </c>
      <c r="T3916" t="s">
        <v>42758</v>
      </c>
      <c r="U3916" t="s">
        <v>46462</v>
      </c>
      <c r="W3916" t="s">
        <v>39049</v>
      </c>
      <c r="X3916" t="s">
        <v>41254</v>
      </c>
    </row>
    <row r="3917" spans="1:24">
      <c r="A3917">
        <f>HYPERLINK("https://www.philgeps.gov.ph/GEPSNONPILOT/Tender/SplashBidNoticeAbstractUI.aspx?menuIndex=3&amp;refID=7075178&amp;Result=3","7075178")</f>
        <v>0</v>
      </c>
      <c r="B3917" t="s">
        <v>1481</v>
      </c>
      <c r="C3917" t="s">
        <v>7142</v>
      </c>
      <c r="D3917" t="s">
        <v>16640</v>
      </c>
      <c r="E3917" t="s">
        <v>20238</v>
      </c>
      <c r="F3917" t="s">
        <v>28669</v>
      </c>
      <c r="G3917" t="s">
        <v>28675</v>
      </c>
      <c r="H3917" t="s">
        <v>28686</v>
      </c>
      <c r="I3917" t="s">
        <v>28689</v>
      </c>
      <c r="J3917" t="s">
        <v>29068</v>
      </c>
      <c r="K3917" t="s">
        <v>37278</v>
      </c>
      <c r="M3917" t="s">
        <v>39050</v>
      </c>
      <c r="N3917" t="s">
        <v>41249</v>
      </c>
      <c r="O3917" t="s">
        <v>41250</v>
      </c>
      <c r="P3917">
        <v>0</v>
      </c>
      <c r="Q3917">
        <v>0</v>
      </c>
      <c r="R3917" t="s">
        <v>41252</v>
      </c>
      <c r="S3917" t="s">
        <v>41383</v>
      </c>
      <c r="T3917" t="s">
        <v>42770</v>
      </c>
      <c r="U3917" t="s">
        <v>46463</v>
      </c>
      <c r="W3917" t="s">
        <v>39050</v>
      </c>
      <c r="X3917" t="s">
        <v>41254</v>
      </c>
    </row>
    <row r="3918" spans="1:24">
      <c r="A3918">
        <f>HYPERLINK("https://www.philgeps.gov.ph/GEPSNONPILOT/Tender/SplashBidNoticeAbstractUI.aspx?menuIndex=3&amp;refID=7075156&amp;Result=3","7075156")</f>
        <v>0</v>
      </c>
      <c r="B3918" t="s">
        <v>1327</v>
      </c>
      <c r="C3918" t="s">
        <v>7143</v>
      </c>
      <c r="D3918" t="s">
        <v>16664</v>
      </c>
      <c r="E3918" t="s">
        <v>20239</v>
      </c>
      <c r="F3918" t="s">
        <v>28669</v>
      </c>
      <c r="G3918" t="s">
        <v>28677</v>
      </c>
      <c r="H3918" t="s">
        <v>9998</v>
      </c>
      <c r="I3918" t="s">
        <v>5213</v>
      </c>
      <c r="J3918" t="s">
        <v>31348</v>
      </c>
      <c r="K3918" t="s">
        <v>37206</v>
      </c>
      <c r="M3918" t="s">
        <v>39006</v>
      </c>
      <c r="N3918" t="s">
        <v>41249</v>
      </c>
      <c r="O3918" t="s">
        <v>41250</v>
      </c>
      <c r="P3918">
        <v>0</v>
      </c>
      <c r="Q3918">
        <v>5</v>
      </c>
      <c r="R3918" t="s">
        <v>41252</v>
      </c>
      <c r="S3918" t="s">
        <v>41383</v>
      </c>
      <c r="T3918" t="s">
        <v>42687</v>
      </c>
      <c r="U3918" t="s">
        <v>46001</v>
      </c>
      <c r="W3918" t="s">
        <v>39006</v>
      </c>
      <c r="X3918" t="s">
        <v>41254</v>
      </c>
    </row>
    <row r="3919" spans="1:24">
      <c r="A3919">
        <f>HYPERLINK("https://www.philgeps.gov.ph/GEPSNONPILOT/Tender/SplashBidNoticeAbstractUI.aspx?menuIndex=3&amp;refID=7075155&amp;Result=3","7075155")</f>
        <v>0</v>
      </c>
      <c r="B3919" t="s">
        <v>1397</v>
      </c>
      <c r="C3919" t="s">
        <v>7144</v>
      </c>
      <c r="D3919" t="s">
        <v>16640</v>
      </c>
      <c r="E3919" t="s">
        <v>20240</v>
      </c>
      <c r="F3919" t="s">
        <v>28669</v>
      </c>
      <c r="G3919" t="s">
        <v>28676</v>
      </c>
      <c r="H3919" t="s">
        <v>9998</v>
      </c>
      <c r="I3919" t="s">
        <v>6128</v>
      </c>
      <c r="J3919" t="s">
        <v>31349</v>
      </c>
      <c r="K3919" t="s">
        <v>37204</v>
      </c>
      <c r="M3919" t="s">
        <v>38959</v>
      </c>
      <c r="N3919" t="s">
        <v>41249</v>
      </c>
      <c r="O3919" t="s">
        <v>41250</v>
      </c>
      <c r="P3919">
        <v>0</v>
      </c>
      <c r="Q3919">
        <v>0</v>
      </c>
      <c r="R3919" t="s">
        <v>41252</v>
      </c>
      <c r="S3919" t="s">
        <v>41383</v>
      </c>
      <c r="T3919" t="s">
        <v>42729</v>
      </c>
      <c r="U3919" t="s">
        <v>46464</v>
      </c>
      <c r="W3919" t="s">
        <v>38959</v>
      </c>
      <c r="X3919" t="s">
        <v>41254</v>
      </c>
    </row>
    <row r="3920" spans="1:24">
      <c r="A3920">
        <f>HYPERLINK("https://www.philgeps.gov.ph/GEPSNONPILOT/Tender/SplashBidNoticeAbstractUI.aspx?menuIndex=3&amp;refID=7075135&amp;Result=3","7075135")</f>
        <v>0</v>
      </c>
      <c r="B3920" t="s">
        <v>1442</v>
      </c>
      <c r="C3920" t="s">
        <v>7145</v>
      </c>
      <c r="D3920" t="s">
        <v>16673</v>
      </c>
      <c r="E3920" t="s">
        <v>19349</v>
      </c>
      <c r="F3920" t="s">
        <v>28669</v>
      </c>
      <c r="G3920" t="s">
        <v>28675</v>
      </c>
      <c r="H3920" t="s">
        <v>28686</v>
      </c>
      <c r="I3920" t="s">
        <v>28689</v>
      </c>
      <c r="J3920" t="s">
        <v>29724</v>
      </c>
      <c r="K3920" t="s">
        <v>37206</v>
      </c>
      <c r="M3920" t="s">
        <v>39007</v>
      </c>
      <c r="N3920" t="s">
        <v>41249</v>
      </c>
      <c r="O3920" t="s">
        <v>41250</v>
      </c>
      <c r="P3920">
        <v>0</v>
      </c>
      <c r="Q3920">
        <v>0</v>
      </c>
      <c r="R3920" t="s">
        <v>41252</v>
      </c>
      <c r="S3920" t="s">
        <v>41383</v>
      </c>
      <c r="T3920" t="s">
        <v>42700</v>
      </c>
      <c r="U3920" t="s">
        <v>46465</v>
      </c>
      <c r="W3920" t="s">
        <v>39007</v>
      </c>
      <c r="X3920" t="s">
        <v>41254</v>
      </c>
    </row>
    <row r="3921" spans="1:24">
      <c r="A3921">
        <f>HYPERLINK("https://www.philgeps.gov.ph/GEPSNONPILOT/Tender/SplashBidNoticeAbstractUI.aspx?menuIndex=3&amp;refID=7075134&amp;Result=3","7075134")</f>
        <v>0</v>
      </c>
      <c r="B3921" t="s">
        <v>853</v>
      </c>
      <c r="C3921" t="s">
        <v>7146</v>
      </c>
      <c r="D3921" t="s">
        <v>16617</v>
      </c>
      <c r="E3921" t="s">
        <v>20241</v>
      </c>
      <c r="F3921" t="s">
        <v>28669</v>
      </c>
      <c r="G3921" t="s">
        <v>28675</v>
      </c>
      <c r="H3921" t="s">
        <v>28684</v>
      </c>
      <c r="I3921" t="s">
        <v>28726</v>
      </c>
      <c r="J3921" t="s">
        <v>31350</v>
      </c>
      <c r="K3921" t="s">
        <v>37213</v>
      </c>
      <c r="M3921" t="s">
        <v>38369</v>
      </c>
      <c r="N3921" t="s">
        <v>41249</v>
      </c>
      <c r="O3921" t="s">
        <v>41250</v>
      </c>
      <c r="P3921">
        <v>0</v>
      </c>
      <c r="Q3921">
        <v>1</v>
      </c>
      <c r="R3921" t="s">
        <v>41252</v>
      </c>
      <c r="S3921" t="s">
        <v>41383</v>
      </c>
      <c r="T3921" t="s">
        <v>42692</v>
      </c>
      <c r="U3921" t="s">
        <v>44874</v>
      </c>
      <c r="V3921" t="s">
        <v>54665</v>
      </c>
      <c r="W3921" t="s">
        <v>38369</v>
      </c>
      <c r="X3921" t="s">
        <v>41254</v>
      </c>
    </row>
    <row r="3922" spans="1:24">
      <c r="A3922">
        <f>HYPERLINK("https://www.philgeps.gov.ph/GEPSNONPILOT/Tender/SplashBidNoticeAbstractUI.aspx?menuIndex=3&amp;refID=7075196&amp;Result=3","7075196")</f>
        <v>0</v>
      </c>
      <c r="B3922" t="s">
        <v>1327</v>
      </c>
      <c r="C3922" t="s">
        <v>7147</v>
      </c>
      <c r="D3922" t="s">
        <v>16627</v>
      </c>
      <c r="E3922" t="s">
        <v>20242</v>
      </c>
      <c r="F3922" t="s">
        <v>28669</v>
      </c>
      <c r="G3922" t="s">
        <v>28677</v>
      </c>
      <c r="H3922" t="s">
        <v>9998</v>
      </c>
      <c r="I3922" t="s">
        <v>28707</v>
      </c>
      <c r="J3922" t="s">
        <v>31351</v>
      </c>
      <c r="K3922" t="s">
        <v>37206</v>
      </c>
      <c r="M3922" t="s">
        <v>39006</v>
      </c>
      <c r="N3922" t="s">
        <v>41249</v>
      </c>
      <c r="O3922" t="s">
        <v>41250</v>
      </c>
      <c r="P3922">
        <v>0</v>
      </c>
      <c r="Q3922">
        <v>5</v>
      </c>
      <c r="R3922" t="s">
        <v>41252</v>
      </c>
      <c r="S3922" t="s">
        <v>41383</v>
      </c>
      <c r="T3922" t="s">
        <v>42687</v>
      </c>
      <c r="U3922" t="s">
        <v>46001</v>
      </c>
      <c r="W3922" t="s">
        <v>39006</v>
      </c>
      <c r="X3922" t="s">
        <v>41254</v>
      </c>
    </row>
    <row r="3923" spans="1:24">
      <c r="A3923">
        <f>HYPERLINK("https://www.philgeps.gov.ph/GEPSNONPILOT/Tender/SplashBidNoticeAbstractUI.aspx?menuIndex=3&amp;refID=7075162&amp;Result=3","7075162")</f>
        <v>0</v>
      </c>
      <c r="B3923" t="s">
        <v>1402</v>
      </c>
      <c r="C3923" t="s">
        <v>7148</v>
      </c>
      <c r="D3923" t="s">
        <v>16684</v>
      </c>
      <c r="E3923" t="s">
        <v>20243</v>
      </c>
      <c r="F3923" t="s">
        <v>28669</v>
      </c>
      <c r="G3923" t="s">
        <v>28676</v>
      </c>
      <c r="H3923" t="s">
        <v>9998</v>
      </c>
      <c r="I3923" t="s">
        <v>7352</v>
      </c>
      <c r="J3923" t="s">
        <v>31352</v>
      </c>
      <c r="K3923" t="s">
        <v>37208</v>
      </c>
      <c r="M3923" t="s">
        <v>38965</v>
      </c>
      <c r="N3923" t="s">
        <v>41249</v>
      </c>
      <c r="O3923" t="s">
        <v>41250</v>
      </c>
      <c r="P3923">
        <v>0</v>
      </c>
      <c r="Q3923">
        <v>0</v>
      </c>
      <c r="R3923" t="s">
        <v>41252</v>
      </c>
      <c r="S3923" t="s">
        <v>41383</v>
      </c>
      <c r="T3923" t="s">
        <v>42736</v>
      </c>
      <c r="U3923" t="s">
        <v>46466</v>
      </c>
      <c r="W3923" t="s">
        <v>38965</v>
      </c>
      <c r="X3923" t="s">
        <v>41254</v>
      </c>
    </row>
    <row r="3924" spans="1:24">
      <c r="A3924">
        <f>HYPERLINK("https://www.philgeps.gov.ph/GEPSNONPILOT/Tender/SplashBidNoticeAbstractUI.aspx?menuIndex=3&amp;refID=7075158&amp;Result=3","7075158")</f>
        <v>0</v>
      </c>
      <c r="B3924" t="s">
        <v>452</v>
      </c>
      <c r="C3924" t="s">
        <v>6939</v>
      </c>
      <c r="D3924" t="s">
        <v>16608</v>
      </c>
      <c r="E3924" t="s">
        <v>20244</v>
      </c>
      <c r="F3924" t="s">
        <v>28669</v>
      </c>
      <c r="G3924" t="s">
        <v>28678</v>
      </c>
      <c r="H3924" t="s">
        <v>9998</v>
      </c>
      <c r="I3924" t="s">
        <v>11593</v>
      </c>
      <c r="J3924" t="s">
        <v>31353</v>
      </c>
      <c r="K3924" t="s">
        <v>37205</v>
      </c>
      <c r="M3924" t="s">
        <v>38261</v>
      </c>
      <c r="N3924" t="s">
        <v>41249</v>
      </c>
      <c r="O3924" t="s">
        <v>41250</v>
      </c>
      <c r="P3924">
        <v>0</v>
      </c>
      <c r="Q3924">
        <v>15</v>
      </c>
      <c r="R3924" t="s">
        <v>41252</v>
      </c>
      <c r="S3924" t="s">
        <v>41383</v>
      </c>
      <c r="T3924" t="s">
        <v>42683</v>
      </c>
      <c r="U3924" t="s">
        <v>44649</v>
      </c>
      <c r="W3924" t="s">
        <v>38261</v>
      </c>
      <c r="X3924" t="s">
        <v>41254</v>
      </c>
    </row>
    <row r="3925" spans="1:24">
      <c r="A3925">
        <f>HYPERLINK("https://www.philgeps.gov.ph/GEPSNONPILOT/Tender/SplashBidNoticeAbstractUI.aspx?menuIndex=3&amp;refID=7075165&amp;Result=3","7075165")</f>
        <v>0</v>
      </c>
      <c r="B3925" t="s">
        <v>1055</v>
      </c>
      <c r="C3925" t="s">
        <v>7149</v>
      </c>
      <c r="D3925" t="s">
        <v>16636</v>
      </c>
      <c r="E3925" t="s">
        <v>20245</v>
      </c>
      <c r="F3925" t="s">
        <v>28669</v>
      </c>
      <c r="G3925" t="s">
        <v>28676</v>
      </c>
      <c r="H3925" t="s">
        <v>9998</v>
      </c>
      <c r="I3925" t="s">
        <v>11142</v>
      </c>
      <c r="J3925" t="s">
        <v>31354</v>
      </c>
      <c r="K3925" t="s">
        <v>37205</v>
      </c>
      <c r="M3925" t="s">
        <v>38586</v>
      </c>
      <c r="N3925" t="s">
        <v>41249</v>
      </c>
      <c r="O3925" t="s">
        <v>41250</v>
      </c>
      <c r="P3925">
        <v>0</v>
      </c>
      <c r="Q3925">
        <v>2</v>
      </c>
      <c r="R3925" t="s">
        <v>41252</v>
      </c>
      <c r="S3925" t="s">
        <v>41383</v>
      </c>
      <c r="T3925" t="s">
        <v>42758</v>
      </c>
      <c r="U3925" t="s">
        <v>46467</v>
      </c>
      <c r="W3925" t="s">
        <v>38586</v>
      </c>
      <c r="X3925" t="s">
        <v>41254</v>
      </c>
    </row>
    <row r="3926" spans="1:24">
      <c r="A3926">
        <f>HYPERLINK("https://www.philgeps.gov.ph/GEPSNONPILOT/Tender/SplashBidNoticeAbstractUI.aspx?menuIndex=3&amp;refID=7075201&amp;Result=3","7075201")</f>
        <v>0</v>
      </c>
      <c r="B3926" t="s">
        <v>114</v>
      </c>
      <c r="C3926" t="s">
        <v>7150</v>
      </c>
      <c r="D3926" t="s">
        <v>16608</v>
      </c>
      <c r="E3926" t="s">
        <v>20246</v>
      </c>
      <c r="F3926" t="s">
        <v>28669</v>
      </c>
      <c r="G3926" t="s">
        <v>28677</v>
      </c>
      <c r="H3926" t="s">
        <v>9998</v>
      </c>
      <c r="I3926" t="s">
        <v>5286</v>
      </c>
      <c r="J3926" t="s">
        <v>31355</v>
      </c>
      <c r="K3926" t="s">
        <v>37210</v>
      </c>
      <c r="M3926" t="s">
        <v>37793</v>
      </c>
      <c r="N3926" t="s">
        <v>41249</v>
      </c>
      <c r="O3926" t="s">
        <v>41250</v>
      </c>
      <c r="P3926">
        <v>0</v>
      </c>
      <c r="Q3926">
        <v>2</v>
      </c>
      <c r="R3926" t="s">
        <v>41252</v>
      </c>
      <c r="S3926" t="s">
        <v>41383</v>
      </c>
      <c r="T3926" t="s">
        <v>42878</v>
      </c>
      <c r="U3926" t="s">
        <v>46468</v>
      </c>
      <c r="V3926" t="s">
        <v>54326</v>
      </c>
      <c r="W3926" t="s">
        <v>37793</v>
      </c>
      <c r="X3926" t="s">
        <v>41254</v>
      </c>
    </row>
    <row r="3927" spans="1:24">
      <c r="A3927">
        <f>HYPERLINK("https://www.philgeps.gov.ph/GEPSNONPILOT/Tender/SplashBidNoticeAbstractUI.aspx?menuIndex=3&amp;refID=7075137&amp;Result=3","7075137")</f>
        <v>0</v>
      </c>
      <c r="B3927" t="s">
        <v>1482</v>
      </c>
      <c r="C3927" t="s">
        <v>7151</v>
      </c>
      <c r="D3927" t="s">
        <v>16611</v>
      </c>
      <c r="E3927" t="s">
        <v>20247</v>
      </c>
      <c r="F3927" t="s">
        <v>28671</v>
      </c>
      <c r="G3927" t="s">
        <v>28676</v>
      </c>
      <c r="H3927" t="s">
        <v>9998</v>
      </c>
      <c r="I3927" t="s">
        <v>3679</v>
      </c>
      <c r="J3927" t="s">
        <v>31356</v>
      </c>
      <c r="K3927" t="s">
        <v>37204</v>
      </c>
      <c r="M3927" t="s">
        <v>39051</v>
      </c>
      <c r="N3927" t="s">
        <v>41249</v>
      </c>
      <c r="O3927" t="s">
        <v>41250</v>
      </c>
      <c r="P3927">
        <v>0</v>
      </c>
      <c r="Q3927">
        <v>0</v>
      </c>
      <c r="R3927" t="s">
        <v>41252</v>
      </c>
      <c r="S3927" t="s">
        <v>41383</v>
      </c>
      <c r="T3927" t="s">
        <v>42742</v>
      </c>
      <c r="U3927" t="s">
        <v>46469</v>
      </c>
      <c r="W3927" t="s">
        <v>39051</v>
      </c>
      <c r="X3927" t="s">
        <v>41254</v>
      </c>
    </row>
    <row r="3928" spans="1:24">
      <c r="A3928">
        <f>HYPERLINK("https://www.philgeps.gov.ph/GEPSNONPILOT/Tender/SplashBidNoticeAbstractUI.aspx?menuIndex=3&amp;refID=7075199&amp;Result=3","7075199")</f>
        <v>0</v>
      </c>
      <c r="B3928" t="s">
        <v>1466</v>
      </c>
      <c r="C3928" t="s">
        <v>7152</v>
      </c>
      <c r="D3928" t="s">
        <v>16679</v>
      </c>
      <c r="E3928" t="s">
        <v>20248</v>
      </c>
      <c r="F3928" t="s">
        <v>28669</v>
      </c>
      <c r="G3928" t="s">
        <v>28675</v>
      </c>
      <c r="H3928" t="s">
        <v>28686</v>
      </c>
      <c r="I3928" t="s">
        <v>28689</v>
      </c>
      <c r="J3928" t="s">
        <v>30840</v>
      </c>
      <c r="K3928" t="s">
        <v>37221</v>
      </c>
      <c r="M3928" t="s">
        <v>39034</v>
      </c>
      <c r="N3928" t="s">
        <v>41249</v>
      </c>
      <c r="O3928" t="s">
        <v>41250</v>
      </c>
      <c r="P3928">
        <v>0</v>
      </c>
      <c r="Q3928">
        <v>3</v>
      </c>
      <c r="R3928" t="s">
        <v>41252</v>
      </c>
      <c r="S3928" t="s">
        <v>41383</v>
      </c>
      <c r="T3928" t="s">
        <v>42688</v>
      </c>
      <c r="U3928" t="s">
        <v>46413</v>
      </c>
      <c r="W3928" t="s">
        <v>55956</v>
      </c>
      <c r="X3928" t="s">
        <v>41254</v>
      </c>
    </row>
    <row r="3929" spans="1:24">
      <c r="A3929">
        <f>HYPERLINK("https://www.philgeps.gov.ph/GEPSNONPILOT/Tender/SplashBidNoticeAbstractUI.aspx?menuIndex=3&amp;refID=7075197&amp;Result=3","7075197")</f>
        <v>0</v>
      </c>
      <c r="B3929" t="s">
        <v>1483</v>
      </c>
      <c r="C3929" t="s">
        <v>7153</v>
      </c>
      <c r="D3929" t="s">
        <v>16684</v>
      </c>
      <c r="E3929" t="s">
        <v>19955</v>
      </c>
      <c r="F3929" t="s">
        <v>28669</v>
      </c>
      <c r="G3929" t="s">
        <v>28676</v>
      </c>
      <c r="H3929" t="s">
        <v>9998</v>
      </c>
      <c r="I3929" t="s">
        <v>28708</v>
      </c>
      <c r="J3929" t="s">
        <v>31357</v>
      </c>
      <c r="K3929" t="s">
        <v>37209</v>
      </c>
      <c r="M3929" t="s">
        <v>39052</v>
      </c>
      <c r="N3929" t="s">
        <v>41249</v>
      </c>
      <c r="O3929" t="s">
        <v>41250</v>
      </c>
      <c r="P3929">
        <v>0</v>
      </c>
      <c r="Q3929">
        <v>4</v>
      </c>
      <c r="R3929" t="s">
        <v>41252</v>
      </c>
      <c r="S3929" t="s">
        <v>41383</v>
      </c>
      <c r="T3929" t="s">
        <v>42950</v>
      </c>
      <c r="U3929" t="s">
        <v>44358</v>
      </c>
      <c r="V3929" t="s">
        <v>54689</v>
      </c>
      <c r="W3929" t="s">
        <v>39052</v>
      </c>
      <c r="X3929" t="s">
        <v>41254</v>
      </c>
    </row>
    <row r="3930" spans="1:24">
      <c r="A3930">
        <f>HYPERLINK("https://www.philgeps.gov.ph/GEPSNONPILOT/Tender/SplashBidNoticeAbstractUI.aspx?menuIndex=3&amp;refID=7075195&amp;Result=3","7075195")</f>
        <v>0</v>
      </c>
      <c r="B3930" t="s">
        <v>1480</v>
      </c>
      <c r="C3930" t="s">
        <v>7154</v>
      </c>
      <c r="D3930" t="s">
        <v>16615</v>
      </c>
      <c r="E3930" t="s">
        <v>20249</v>
      </c>
      <c r="F3930" t="s">
        <v>28669</v>
      </c>
      <c r="G3930" t="s">
        <v>28678</v>
      </c>
      <c r="H3930" t="s">
        <v>9998</v>
      </c>
      <c r="I3930" t="s">
        <v>6128</v>
      </c>
      <c r="J3930" t="s">
        <v>31358</v>
      </c>
      <c r="K3930" t="s">
        <v>37204</v>
      </c>
      <c r="M3930" t="s">
        <v>39049</v>
      </c>
      <c r="N3930" t="s">
        <v>41249</v>
      </c>
      <c r="O3930" t="s">
        <v>41250</v>
      </c>
      <c r="P3930">
        <v>0</v>
      </c>
      <c r="Q3930">
        <v>1</v>
      </c>
      <c r="R3930" t="s">
        <v>41252</v>
      </c>
      <c r="S3930" t="s">
        <v>41383</v>
      </c>
      <c r="T3930" t="s">
        <v>42758</v>
      </c>
      <c r="U3930" t="s">
        <v>46470</v>
      </c>
      <c r="W3930" t="s">
        <v>39049</v>
      </c>
      <c r="X3930" t="s">
        <v>41254</v>
      </c>
    </row>
    <row r="3931" spans="1:24">
      <c r="A3931">
        <f>HYPERLINK("https://www.philgeps.gov.ph/GEPSNONPILOT/Tender/SplashBidNoticeAbstractUI.aspx?menuIndex=3&amp;refID=7075202&amp;Result=3","7075202")</f>
        <v>0</v>
      </c>
      <c r="B3931" t="s">
        <v>965</v>
      </c>
      <c r="C3931" t="s">
        <v>7155</v>
      </c>
      <c r="D3931" t="s">
        <v>16608</v>
      </c>
      <c r="E3931" t="s">
        <v>20250</v>
      </c>
      <c r="F3931" t="s">
        <v>28669</v>
      </c>
      <c r="G3931" t="s">
        <v>28675</v>
      </c>
      <c r="H3931" t="s">
        <v>9998</v>
      </c>
      <c r="I3931" t="s">
        <v>6128</v>
      </c>
      <c r="J3931" t="s">
        <v>31359</v>
      </c>
      <c r="K3931" t="s">
        <v>37205</v>
      </c>
      <c r="M3931" t="s">
        <v>38890</v>
      </c>
      <c r="N3931" t="s">
        <v>41249</v>
      </c>
      <c r="O3931" t="s">
        <v>41250</v>
      </c>
      <c r="P3931">
        <v>0</v>
      </c>
      <c r="Q3931">
        <v>0</v>
      </c>
      <c r="R3931" t="s">
        <v>41252</v>
      </c>
      <c r="S3931" t="s">
        <v>41383</v>
      </c>
      <c r="T3931" t="s">
        <v>42703</v>
      </c>
      <c r="U3931" t="s">
        <v>44022</v>
      </c>
      <c r="W3931" t="s">
        <v>38890</v>
      </c>
      <c r="X3931" t="s">
        <v>41254</v>
      </c>
    </row>
    <row r="3932" spans="1:24">
      <c r="A3932">
        <f>HYPERLINK("https://www.philgeps.gov.ph/GEPSNONPILOT/Tender/SplashBidNoticeAbstractUI.aspx?menuIndex=3&amp;refID=7075193&amp;Result=3","7075193")</f>
        <v>0</v>
      </c>
      <c r="B3932" t="s">
        <v>452</v>
      </c>
      <c r="C3932" t="s">
        <v>7156</v>
      </c>
      <c r="D3932" t="s">
        <v>16608</v>
      </c>
      <c r="E3932" t="s">
        <v>20251</v>
      </c>
      <c r="F3932" t="s">
        <v>28669</v>
      </c>
      <c r="G3932" t="s">
        <v>28676</v>
      </c>
      <c r="H3932" t="s">
        <v>9998</v>
      </c>
      <c r="I3932" t="s">
        <v>28763</v>
      </c>
      <c r="J3932" t="s">
        <v>31360</v>
      </c>
      <c r="K3932" t="s">
        <v>37205</v>
      </c>
      <c r="M3932" t="s">
        <v>38261</v>
      </c>
      <c r="N3932" t="s">
        <v>41249</v>
      </c>
      <c r="O3932" t="s">
        <v>41250</v>
      </c>
      <c r="P3932">
        <v>0</v>
      </c>
      <c r="Q3932">
        <v>7</v>
      </c>
      <c r="R3932" t="s">
        <v>41252</v>
      </c>
      <c r="S3932" t="s">
        <v>41383</v>
      </c>
      <c r="T3932" t="s">
        <v>42683</v>
      </c>
      <c r="U3932" t="s">
        <v>44649</v>
      </c>
      <c r="W3932" t="s">
        <v>38261</v>
      </c>
      <c r="X3932" t="s">
        <v>41254</v>
      </c>
    </row>
    <row r="3933" spans="1:24">
      <c r="A3933">
        <f>HYPERLINK("https://www.philgeps.gov.ph/GEPSNONPILOT/Tender/SplashBidNoticeAbstractUI.aspx?menuIndex=3&amp;refID=7075200&amp;Result=3","7075200")</f>
        <v>0</v>
      </c>
      <c r="B3933" t="s">
        <v>1110</v>
      </c>
      <c r="C3933" t="s">
        <v>7157</v>
      </c>
      <c r="D3933" t="s">
        <v>16611</v>
      </c>
      <c r="E3933" t="s">
        <v>20252</v>
      </c>
      <c r="F3933" t="s">
        <v>28669</v>
      </c>
      <c r="G3933" t="s">
        <v>28676</v>
      </c>
      <c r="H3933" t="s">
        <v>9998</v>
      </c>
      <c r="I3933" t="s">
        <v>7352</v>
      </c>
      <c r="J3933" t="s">
        <v>31361</v>
      </c>
      <c r="K3933" t="s">
        <v>37209</v>
      </c>
      <c r="M3933" t="s">
        <v>38643</v>
      </c>
      <c r="N3933" t="s">
        <v>41249</v>
      </c>
      <c r="O3933" t="s">
        <v>41250</v>
      </c>
      <c r="P3933">
        <v>0</v>
      </c>
      <c r="Q3933">
        <v>0</v>
      </c>
      <c r="R3933" t="s">
        <v>41252</v>
      </c>
      <c r="S3933" t="s">
        <v>41383</v>
      </c>
      <c r="T3933" t="s">
        <v>42679</v>
      </c>
      <c r="U3933" t="s">
        <v>46471</v>
      </c>
      <c r="W3933" t="s">
        <v>38643</v>
      </c>
      <c r="X3933" t="s">
        <v>41254</v>
      </c>
    </row>
    <row r="3934" spans="1:24">
      <c r="A3934">
        <f>HYPERLINK("https://www.philgeps.gov.ph/GEPSNONPILOT/Tender/SplashBidNoticeAbstractUI.aspx?menuIndex=3&amp;refID=7075192&amp;Result=3","7075192")</f>
        <v>0</v>
      </c>
      <c r="B3934" t="s">
        <v>1429</v>
      </c>
      <c r="C3934" t="s">
        <v>7158</v>
      </c>
      <c r="D3934" t="s">
        <v>16643</v>
      </c>
      <c r="E3934" t="s">
        <v>20253</v>
      </c>
      <c r="F3934" t="s">
        <v>28669</v>
      </c>
      <c r="G3934" t="s">
        <v>28676</v>
      </c>
      <c r="H3934" t="s">
        <v>9998</v>
      </c>
      <c r="I3934" t="s">
        <v>28753</v>
      </c>
      <c r="J3934" t="s">
        <v>31068</v>
      </c>
      <c r="K3934" t="s">
        <v>37210</v>
      </c>
      <c r="M3934" t="s">
        <v>38993</v>
      </c>
      <c r="N3934" t="s">
        <v>41249</v>
      </c>
      <c r="O3934" t="s">
        <v>41250</v>
      </c>
      <c r="P3934">
        <v>0</v>
      </c>
      <c r="Q3934">
        <v>0</v>
      </c>
      <c r="R3934" t="s">
        <v>41252</v>
      </c>
      <c r="S3934" t="s">
        <v>41383</v>
      </c>
      <c r="T3934" t="s">
        <v>42729</v>
      </c>
      <c r="U3934" t="s">
        <v>46472</v>
      </c>
      <c r="W3934" t="s">
        <v>38993</v>
      </c>
      <c r="X3934" t="s">
        <v>41254</v>
      </c>
    </row>
    <row r="3935" spans="1:24">
      <c r="A3935">
        <f>HYPERLINK("https://www.philgeps.gov.ph/GEPSNONPILOT/Tender/SplashBidNoticeAbstractUI.aspx?menuIndex=3&amp;refID=7075198&amp;Result=3","7075198")</f>
        <v>0</v>
      </c>
      <c r="B3935" t="s">
        <v>1460</v>
      </c>
      <c r="C3935" t="s">
        <v>7159</v>
      </c>
      <c r="D3935" t="s">
        <v>16629</v>
      </c>
      <c r="E3935" t="s">
        <v>20254</v>
      </c>
      <c r="F3935" t="s">
        <v>28669</v>
      </c>
      <c r="G3935" t="s">
        <v>28675</v>
      </c>
      <c r="H3935" t="s">
        <v>28686</v>
      </c>
      <c r="I3935" t="s">
        <v>28689</v>
      </c>
      <c r="J3935" t="s">
        <v>28826</v>
      </c>
      <c r="K3935" t="s">
        <v>37205</v>
      </c>
      <c r="M3935" t="s">
        <v>39026</v>
      </c>
      <c r="N3935" t="s">
        <v>41249</v>
      </c>
      <c r="O3935" t="s">
        <v>41250</v>
      </c>
      <c r="P3935">
        <v>0</v>
      </c>
      <c r="Q3935">
        <v>0</v>
      </c>
      <c r="R3935" t="s">
        <v>41252</v>
      </c>
      <c r="S3935" t="s">
        <v>41383</v>
      </c>
      <c r="T3935" t="s">
        <v>42686</v>
      </c>
      <c r="U3935" t="s">
        <v>46473</v>
      </c>
      <c r="W3935" t="s">
        <v>39026</v>
      </c>
      <c r="X3935" t="s">
        <v>41254</v>
      </c>
    </row>
    <row r="3936" spans="1:24">
      <c r="A3936">
        <f>HYPERLINK("https://www.philgeps.gov.ph/GEPSNONPILOT/Tender/SplashBidNoticeAbstractUI.aspx?menuIndex=3&amp;refID=7075191&amp;Result=3","7075191")</f>
        <v>0</v>
      </c>
      <c r="B3936" t="s">
        <v>1473</v>
      </c>
      <c r="C3936" t="s">
        <v>7160</v>
      </c>
      <c r="D3936" t="s">
        <v>16608</v>
      </c>
      <c r="E3936" t="s">
        <v>20255</v>
      </c>
      <c r="F3936" t="s">
        <v>28669</v>
      </c>
      <c r="G3936" t="s">
        <v>28675</v>
      </c>
      <c r="H3936" t="s">
        <v>9998</v>
      </c>
      <c r="I3936" t="s">
        <v>11593</v>
      </c>
      <c r="J3936" t="s">
        <v>31362</v>
      </c>
      <c r="K3936" t="s">
        <v>37209</v>
      </c>
      <c r="M3936" t="s">
        <v>39041</v>
      </c>
      <c r="N3936" t="s">
        <v>41249</v>
      </c>
      <c r="O3936" t="s">
        <v>41250</v>
      </c>
      <c r="P3936">
        <v>0</v>
      </c>
      <c r="Q3936">
        <v>7</v>
      </c>
      <c r="R3936" t="s">
        <v>41252</v>
      </c>
      <c r="S3936" t="s">
        <v>41383</v>
      </c>
      <c r="T3936" t="s">
        <v>42667</v>
      </c>
      <c r="U3936" t="s">
        <v>46474</v>
      </c>
      <c r="W3936" t="s">
        <v>39041</v>
      </c>
      <c r="X3936" t="s">
        <v>41254</v>
      </c>
    </row>
    <row r="3937" spans="1:24">
      <c r="A3937">
        <f>HYPERLINK("https://www.philgeps.gov.ph/GEPSNONPILOT/Tender/SplashBidNoticeAbstractUI.aspx?menuIndex=3&amp;refID=7075188&amp;Result=3","7075188")</f>
        <v>0</v>
      </c>
      <c r="B3937" t="s">
        <v>1475</v>
      </c>
      <c r="C3937" t="s">
        <v>7161</v>
      </c>
      <c r="D3937" t="s">
        <v>16644</v>
      </c>
      <c r="E3937" t="s">
        <v>20256</v>
      </c>
      <c r="F3937" t="s">
        <v>28669</v>
      </c>
      <c r="G3937" t="s">
        <v>28676</v>
      </c>
      <c r="H3937" t="s">
        <v>28684</v>
      </c>
      <c r="I3937" t="s">
        <v>28728</v>
      </c>
      <c r="J3937" t="s">
        <v>31363</v>
      </c>
      <c r="K3937" t="s">
        <v>37206</v>
      </c>
      <c r="M3937" t="s">
        <v>39053</v>
      </c>
      <c r="N3937" t="s">
        <v>41249</v>
      </c>
      <c r="O3937" t="s">
        <v>41250</v>
      </c>
      <c r="P3937">
        <v>0</v>
      </c>
      <c r="Q3937">
        <v>0</v>
      </c>
      <c r="R3937" t="s">
        <v>41252</v>
      </c>
      <c r="S3937" t="s">
        <v>41383</v>
      </c>
      <c r="T3937" t="s">
        <v>42951</v>
      </c>
      <c r="U3937" t="s">
        <v>46442</v>
      </c>
      <c r="W3937" t="s">
        <v>39053</v>
      </c>
      <c r="X3937" t="s">
        <v>41254</v>
      </c>
    </row>
    <row r="3938" spans="1:24">
      <c r="A3938">
        <f>HYPERLINK("https://www.philgeps.gov.ph/GEPSNONPILOT/Tender/SplashBidNoticeAbstractUI.aspx?menuIndex=3&amp;refID=7075187&amp;Result=3","7075187")</f>
        <v>0</v>
      </c>
      <c r="B3938" t="s">
        <v>965</v>
      </c>
      <c r="C3938" t="s">
        <v>7162</v>
      </c>
      <c r="D3938" t="s">
        <v>16608</v>
      </c>
      <c r="E3938" t="s">
        <v>20257</v>
      </c>
      <c r="F3938" t="s">
        <v>28669</v>
      </c>
      <c r="G3938" t="s">
        <v>28675</v>
      </c>
      <c r="H3938" t="s">
        <v>9998</v>
      </c>
      <c r="I3938" t="s">
        <v>5213</v>
      </c>
      <c r="J3938" t="s">
        <v>31364</v>
      </c>
      <c r="K3938" t="s">
        <v>37205</v>
      </c>
      <c r="M3938" t="s">
        <v>38890</v>
      </c>
      <c r="N3938" t="s">
        <v>41249</v>
      </c>
      <c r="O3938" t="s">
        <v>41250</v>
      </c>
      <c r="P3938">
        <v>0</v>
      </c>
      <c r="Q3938">
        <v>0</v>
      </c>
      <c r="R3938" t="s">
        <v>41252</v>
      </c>
      <c r="S3938" t="s">
        <v>41383</v>
      </c>
      <c r="T3938" t="s">
        <v>42703</v>
      </c>
      <c r="U3938" t="s">
        <v>45206</v>
      </c>
      <c r="W3938" t="s">
        <v>38890</v>
      </c>
      <c r="X3938" t="s">
        <v>41254</v>
      </c>
    </row>
    <row r="3939" spans="1:24">
      <c r="A3939">
        <f>HYPERLINK("https://www.philgeps.gov.ph/GEPSNONPILOT/Tender/SplashBidNoticeAbstractUI.aspx?menuIndex=3&amp;refID=7075190&amp;Result=3","7075190")</f>
        <v>0</v>
      </c>
      <c r="B3939" t="s">
        <v>1478</v>
      </c>
      <c r="C3939" t="s">
        <v>5192</v>
      </c>
      <c r="D3939" t="s">
        <v>16657</v>
      </c>
      <c r="E3939" t="s">
        <v>20258</v>
      </c>
      <c r="F3939" t="s">
        <v>28669</v>
      </c>
      <c r="G3939" t="s">
        <v>28679</v>
      </c>
      <c r="H3939" t="s">
        <v>28686</v>
      </c>
      <c r="I3939" t="s">
        <v>28689</v>
      </c>
      <c r="J3939" t="s">
        <v>28878</v>
      </c>
      <c r="K3939" t="s">
        <v>37209</v>
      </c>
      <c r="M3939" t="s">
        <v>39046</v>
      </c>
      <c r="N3939" t="s">
        <v>41249</v>
      </c>
      <c r="O3939" t="s">
        <v>41250</v>
      </c>
      <c r="P3939">
        <v>0</v>
      </c>
      <c r="Q3939">
        <v>1</v>
      </c>
      <c r="R3939" t="s">
        <v>41252</v>
      </c>
      <c r="S3939" t="s">
        <v>41383</v>
      </c>
      <c r="T3939" t="s">
        <v>42757</v>
      </c>
      <c r="U3939" t="s">
        <v>46475</v>
      </c>
      <c r="W3939" t="s">
        <v>39046</v>
      </c>
      <c r="X3939" t="s">
        <v>41254</v>
      </c>
    </row>
    <row r="3940" spans="1:24">
      <c r="A3940">
        <f>HYPERLINK("https://www.philgeps.gov.ph/GEPSNONPILOT/Tender/SplashBidNoticeAbstractUI.aspx?menuIndex=3&amp;refID=7075185&amp;Result=3","7075185")</f>
        <v>0</v>
      </c>
      <c r="B3940" t="s">
        <v>1280</v>
      </c>
      <c r="C3940" t="s">
        <v>7163</v>
      </c>
      <c r="D3940" t="s">
        <v>16683</v>
      </c>
      <c r="E3940" t="s">
        <v>20259</v>
      </c>
      <c r="F3940" t="s">
        <v>28669</v>
      </c>
      <c r="G3940" t="s">
        <v>28675</v>
      </c>
      <c r="H3940" t="s">
        <v>28686</v>
      </c>
      <c r="I3940" t="s">
        <v>28689</v>
      </c>
      <c r="J3940" t="s">
        <v>31365</v>
      </c>
      <c r="K3940" t="s">
        <v>37213</v>
      </c>
      <c r="M3940" t="s">
        <v>38831</v>
      </c>
      <c r="N3940" t="s">
        <v>41249</v>
      </c>
      <c r="O3940" t="s">
        <v>41250</v>
      </c>
      <c r="P3940">
        <v>0</v>
      </c>
      <c r="Q3940">
        <v>0</v>
      </c>
      <c r="R3940" t="s">
        <v>41252</v>
      </c>
      <c r="S3940" t="s">
        <v>41383</v>
      </c>
      <c r="T3940" t="s">
        <v>42693</v>
      </c>
      <c r="U3940" t="s">
        <v>45864</v>
      </c>
      <c r="W3940" t="s">
        <v>38831</v>
      </c>
      <c r="X3940" t="s">
        <v>41254</v>
      </c>
    </row>
    <row r="3941" spans="1:24">
      <c r="A3941">
        <f>HYPERLINK("https://www.philgeps.gov.ph/GEPSNONPILOT/Tender/SplashBidNoticeAbstractUI.aspx?menuIndex=3&amp;refID=7075184&amp;Result=3","7075184")</f>
        <v>0</v>
      </c>
      <c r="B3941" t="s">
        <v>1448</v>
      </c>
      <c r="C3941" t="s">
        <v>7164</v>
      </c>
      <c r="D3941" t="s">
        <v>16641</v>
      </c>
      <c r="E3941" t="s">
        <v>20260</v>
      </c>
      <c r="F3941" t="s">
        <v>28669</v>
      </c>
      <c r="G3941" t="s">
        <v>28675</v>
      </c>
      <c r="H3941" t="s">
        <v>28685</v>
      </c>
      <c r="I3941" t="s">
        <v>28685</v>
      </c>
      <c r="J3941" t="s">
        <v>28985</v>
      </c>
      <c r="K3941" t="s">
        <v>37220</v>
      </c>
      <c r="M3941" t="s">
        <v>39013</v>
      </c>
      <c r="N3941" t="s">
        <v>41249</v>
      </c>
      <c r="O3941" t="s">
        <v>41250</v>
      </c>
      <c r="P3941">
        <v>0</v>
      </c>
      <c r="Q3941">
        <v>6</v>
      </c>
      <c r="R3941" t="s">
        <v>41252</v>
      </c>
      <c r="S3941" t="s">
        <v>41383</v>
      </c>
      <c r="T3941" t="s">
        <v>42690</v>
      </c>
      <c r="U3941" t="s">
        <v>46476</v>
      </c>
      <c r="W3941" t="s">
        <v>39013</v>
      </c>
      <c r="X3941" t="s">
        <v>41254</v>
      </c>
    </row>
    <row r="3942" spans="1:24">
      <c r="A3942">
        <f>HYPERLINK("https://www.philgeps.gov.ph/GEPSNONPILOT/Tender/SplashBidNoticeAbstractUI.aspx?menuIndex=3&amp;refID=7075189&amp;Result=3","7075189")</f>
        <v>0</v>
      </c>
      <c r="B3942" t="s">
        <v>1484</v>
      </c>
      <c r="C3942" t="s">
        <v>7165</v>
      </c>
      <c r="D3942" t="s">
        <v>16608</v>
      </c>
      <c r="E3942" t="s">
        <v>20261</v>
      </c>
      <c r="F3942" t="s">
        <v>28669</v>
      </c>
      <c r="G3942" t="s">
        <v>28677</v>
      </c>
      <c r="H3942" t="s">
        <v>9998</v>
      </c>
      <c r="I3942" t="s">
        <v>28729</v>
      </c>
      <c r="J3942" t="s">
        <v>29523</v>
      </c>
      <c r="K3942" t="s">
        <v>37204</v>
      </c>
      <c r="M3942" t="s">
        <v>39054</v>
      </c>
      <c r="N3942" t="s">
        <v>41249</v>
      </c>
      <c r="O3942" t="s">
        <v>41250</v>
      </c>
      <c r="P3942">
        <v>0</v>
      </c>
      <c r="Q3942">
        <v>2</v>
      </c>
      <c r="R3942" t="s">
        <v>41252</v>
      </c>
      <c r="S3942" t="s">
        <v>41383</v>
      </c>
      <c r="T3942" t="s">
        <v>42675</v>
      </c>
      <c r="U3942" t="s">
        <v>46477</v>
      </c>
      <c r="W3942" t="s">
        <v>39054</v>
      </c>
      <c r="X3942" t="s">
        <v>41254</v>
      </c>
    </row>
    <row r="3943" spans="1:24">
      <c r="A3943">
        <f>HYPERLINK("https://www.philgeps.gov.ph/GEPSNONPILOT/Tender/SplashBidNoticeAbstractUI.aspx?menuIndex=3&amp;refID=7075194&amp;Result=3","7075194")</f>
        <v>0</v>
      </c>
      <c r="B3943" t="s">
        <v>207</v>
      </c>
      <c r="C3943" t="s">
        <v>7166</v>
      </c>
      <c r="D3943" t="s">
        <v>16625</v>
      </c>
      <c r="E3943" t="s">
        <v>20262</v>
      </c>
      <c r="F3943" t="s">
        <v>28669</v>
      </c>
      <c r="G3943" t="s">
        <v>28676</v>
      </c>
      <c r="H3943" t="s">
        <v>9998</v>
      </c>
      <c r="I3943" t="s">
        <v>28695</v>
      </c>
      <c r="J3943" t="s">
        <v>31366</v>
      </c>
      <c r="K3943" t="s">
        <v>37204</v>
      </c>
      <c r="M3943" t="s">
        <v>37765</v>
      </c>
      <c r="N3943" t="s">
        <v>41249</v>
      </c>
      <c r="O3943" t="s">
        <v>41250</v>
      </c>
      <c r="P3943">
        <v>0</v>
      </c>
      <c r="Q3943">
        <v>0</v>
      </c>
      <c r="R3943" t="s">
        <v>41252</v>
      </c>
      <c r="S3943" t="s">
        <v>41383</v>
      </c>
      <c r="T3943" t="s">
        <v>42736</v>
      </c>
      <c r="U3943" t="s">
        <v>43651</v>
      </c>
      <c r="W3943" t="s">
        <v>55908</v>
      </c>
      <c r="X3943" t="s">
        <v>41254</v>
      </c>
    </row>
    <row r="3944" spans="1:24">
      <c r="A3944">
        <f>HYPERLINK("https://www.philgeps.gov.ph/GEPSNONPILOT/Tender/SplashBidNoticeAbstractUI.aspx?menuIndex=3&amp;refID=7074548&amp;Result=3","7074548")</f>
        <v>0</v>
      </c>
      <c r="B3944" t="s">
        <v>167</v>
      </c>
      <c r="C3944" t="s">
        <v>7167</v>
      </c>
      <c r="D3944" t="s">
        <v>16658</v>
      </c>
      <c r="E3944" t="s">
        <v>20263</v>
      </c>
      <c r="F3944" t="s">
        <v>28669</v>
      </c>
      <c r="G3944" t="s">
        <v>28675</v>
      </c>
      <c r="H3944" t="s">
        <v>9998</v>
      </c>
      <c r="I3944" t="s">
        <v>28736</v>
      </c>
      <c r="J3944" t="s">
        <v>31367</v>
      </c>
      <c r="K3944" t="s">
        <v>37209</v>
      </c>
      <c r="M3944" t="s">
        <v>37644</v>
      </c>
      <c r="N3944" t="s">
        <v>41249</v>
      </c>
      <c r="O3944" t="s">
        <v>41250</v>
      </c>
      <c r="P3944">
        <v>0</v>
      </c>
      <c r="Q3944">
        <v>1</v>
      </c>
      <c r="R3944" t="s">
        <v>41252</v>
      </c>
      <c r="S3944" t="s">
        <v>41383</v>
      </c>
      <c r="T3944" t="s">
        <v>42670</v>
      </c>
      <c r="U3944" t="s">
        <v>46478</v>
      </c>
      <c r="V3944" t="s">
        <v>54252</v>
      </c>
      <c r="W3944" t="s">
        <v>37644</v>
      </c>
      <c r="X3944" t="s">
        <v>41254</v>
      </c>
    </row>
    <row r="3945" spans="1:24">
      <c r="A3945">
        <f>HYPERLINK("https://www.philgeps.gov.ph/GEPSNONPILOT/Tender/SplashBidNoticeAbstractUI.aspx?menuIndex=3&amp;refID=7074547&amp;Result=3","7074547")</f>
        <v>0</v>
      </c>
      <c r="B3945" t="s">
        <v>1485</v>
      </c>
      <c r="C3945" t="s">
        <v>7168</v>
      </c>
      <c r="D3945" t="s">
        <v>16642</v>
      </c>
      <c r="E3945" t="s">
        <v>20264</v>
      </c>
      <c r="F3945" t="s">
        <v>28669</v>
      </c>
      <c r="G3945" t="s">
        <v>28675</v>
      </c>
      <c r="H3945" t="s">
        <v>9998</v>
      </c>
      <c r="I3945" t="s">
        <v>28687</v>
      </c>
      <c r="J3945" t="s">
        <v>29244</v>
      </c>
      <c r="K3945" t="s">
        <v>37205</v>
      </c>
      <c r="M3945" t="s">
        <v>39055</v>
      </c>
      <c r="N3945" t="s">
        <v>41249</v>
      </c>
      <c r="O3945" t="s">
        <v>41250</v>
      </c>
      <c r="P3945">
        <v>0</v>
      </c>
      <c r="Q3945">
        <v>6</v>
      </c>
      <c r="R3945" t="s">
        <v>41252</v>
      </c>
      <c r="S3945" t="s">
        <v>41383</v>
      </c>
      <c r="T3945" t="s">
        <v>42952</v>
      </c>
      <c r="U3945" t="s">
        <v>46479</v>
      </c>
      <c r="W3945" t="s">
        <v>39055</v>
      </c>
      <c r="X3945" t="s">
        <v>41254</v>
      </c>
    </row>
    <row r="3946" spans="1:24">
      <c r="A3946">
        <f>HYPERLINK("https://www.philgeps.gov.ph/GEPSNONPILOT/Tender/SplashBidNoticeAbstractUI.aspx?menuIndex=3&amp;refID=7075186&amp;Result=3","7075186")</f>
        <v>0</v>
      </c>
      <c r="B3946" t="s">
        <v>1474</v>
      </c>
      <c r="C3946" t="s">
        <v>7169</v>
      </c>
      <c r="D3946" t="s">
        <v>16680</v>
      </c>
      <c r="E3946" t="s">
        <v>20265</v>
      </c>
      <c r="F3946" t="s">
        <v>28669</v>
      </c>
      <c r="G3946" t="s">
        <v>28676</v>
      </c>
      <c r="H3946" t="s">
        <v>9998</v>
      </c>
      <c r="I3946" t="s">
        <v>28704</v>
      </c>
      <c r="J3946" t="s">
        <v>31368</v>
      </c>
      <c r="K3946" t="s">
        <v>37243</v>
      </c>
      <c r="M3946" t="s">
        <v>39042</v>
      </c>
      <c r="N3946" t="s">
        <v>41249</v>
      </c>
      <c r="O3946" t="s">
        <v>41250</v>
      </c>
      <c r="P3946">
        <v>0</v>
      </c>
      <c r="Q3946">
        <v>0</v>
      </c>
      <c r="R3946" t="s">
        <v>41252</v>
      </c>
      <c r="S3946" t="s">
        <v>41383</v>
      </c>
      <c r="T3946" t="s">
        <v>42743</v>
      </c>
      <c r="U3946" t="s">
        <v>46480</v>
      </c>
      <c r="W3946" t="s">
        <v>39042</v>
      </c>
      <c r="X3946" t="s">
        <v>41254</v>
      </c>
    </row>
    <row r="3947" spans="1:24">
      <c r="A3947">
        <f>HYPERLINK("https://www.philgeps.gov.ph/GEPSNONPILOT/Tender/SplashBidNoticeAbstractUI.aspx?menuIndex=3&amp;refID=7075220&amp;Result=3","7075220")</f>
        <v>0</v>
      </c>
      <c r="B3947" t="s">
        <v>222</v>
      </c>
      <c r="C3947" t="s">
        <v>7170</v>
      </c>
      <c r="D3947" t="s">
        <v>16611</v>
      </c>
      <c r="E3947" t="s">
        <v>20266</v>
      </c>
      <c r="F3947" t="s">
        <v>28669</v>
      </c>
      <c r="G3947" t="s">
        <v>28676</v>
      </c>
      <c r="H3947" t="s">
        <v>9998</v>
      </c>
      <c r="I3947" t="s">
        <v>28774</v>
      </c>
      <c r="J3947" t="s">
        <v>29679</v>
      </c>
      <c r="K3947" t="s">
        <v>37206</v>
      </c>
      <c r="M3947" t="s">
        <v>37700</v>
      </c>
      <c r="N3947" t="s">
        <v>41249</v>
      </c>
      <c r="O3947" t="s">
        <v>41250</v>
      </c>
      <c r="P3947">
        <v>0</v>
      </c>
      <c r="Q3947">
        <v>1</v>
      </c>
      <c r="R3947" t="s">
        <v>41252</v>
      </c>
      <c r="S3947" t="s">
        <v>41383</v>
      </c>
      <c r="T3947" t="s">
        <v>42857</v>
      </c>
      <c r="U3947" t="s">
        <v>46481</v>
      </c>
      <c r="W3947" t="s">
        <v>37700</v>
      </c>
      <c r="X3947" t="s">
        <v>41254</v>
      </c>
    </row>
    <row r="3948" spans="1:24">
      <c r="A3948">
        <f>HYPERLINK("https://www.philgeps.gov.ph/GEPSNONPILOT/Tender/SplashBidNoticeAbstractUI.aspx?menuIndex=3&amp;refID=7075219&amp;Result=3","7075219")</f>
        <v>0</v>
      </c>
      <c r="B3948" t="s">
        <v>1455</v>
      </c>
      <c r="C3948" t="s">
        <v>7171</v>
      </c>
      <c r="D3948" t="s">
        <v>16627</v>
      </c>
      <c r="E3948" t="s">
        <v>20267</v>
      </c>
      <c r="F3948" t="s">
        <v>28669</v>
      </c>
      <c r="G3948" t="s">
        <v>28676</v>
      </c>
      <c r="H3948" t="s">
        <v>9998</v>
      </c>
      <c r="I3948" t="s">
        <v>28801</v>
      </c>
      <c r="J3948" t="s">
        <v>31369</v>
      </c>
      <c r="K3948" t="s">
        <v>37206</v>
      </c>
      <c r="M3948" t="s">
        <v>39020</v>
      </c>
      <c r="N3948" t="s">
        <v>41249</v>
      </c>
      <c r="O3948" t="s">
        <v>41250</v>
      </c>
      <c r="P3948">
        <v>0</v>
      </c>
      <c r="Q3948">
        <v>1</v>
      </c>
      <c r="R3948" t="s">
        <v>41252</v>
      </c>
      <c r="S3948" t="s">
        <v>41383</v>
      </c>
      <c r="T3948" t="s">
        <v>42729</v>
      </c>
      <c r="U3948" t="s">
        <v>46482</v>
      </c>
      <c r="W3948" t="s">
        <v>39020</v>
      </c>
      <c r="X3948" t="s">
        <v>41254</v>
      </c>
    </row>
    <row r="3949" spans="1:24">
      <c r="A3949">
        <f>HYPERLINK("https://www.philgeps.gov.ph/GEPSNONPILOT/Tender/SplashBidNoticeAbstractUI.aspx?menuIndex=3&amp;refID=7075217&amp;Result=3","7075217")</f>
        <v>0</v>
      </c>
      <c r="B3949" t="s">
        <v>1244</v>
      </c>
      <c r="C3949" t="s">
        <v>7172</v>
      </c>
      <c r="D3949" t="s">
        <v>16686</v>
      </c>
      <c r="E3949" t="s">
        <v>20268</v>
      </c>
      <c r="F3949" t="s">
        <v>28669</v>
      </c>
      <c r="G3949" t="s">
        <v>28675</v>
      </c>
      <c r="H3949" t="s">
        <v>28686</v>
      </c>
      <c r="I3949" t="s">
        <v>28689</v>
      </c>
      <c r="J3949" t="s">
        <v>31370</v>
      </c>
      <c r="K3949" t="s">
        <v>37213</v>
      </c>
      <c r="M3949" t="s">
        <v>38791</v>
      </c>
      <c r="N3949" t="s">
        <v>41249</v>
      </c>
      <c r="O3949" t="s">
        <v>41250</v>
      </c>
      <c r="P3949">
        <v>0</v>
      </c>
      <c r="Q3949">
        <v>0</v>
      </c>
      <c r="R3949" t="s">
        <v>41252</v>
      </c>
      <c r="S3949" t="s">
        <v>41383</v>
      </c>
      <c r="T3949" t="s">
        <v>42692</v>
      </c>
      <c r="U3949" t="s">
        <v>46483</v>
      </c>
      <c r="W3949" t="s">
        <v>38791</v>
      </c>
      <c r="X3949" t="s">
        <v>41254</v>
      </c>
    </row>
    <row r="3950" spans="1:24">
      <c r="A3950">
        <f>HYPERLINK("https://www.philgeps.gov.ph/GEPSNONPILOT/Tender/SplashBidNoticeAbstractUI.aspx?menuIndex=3&amp;refID=7075215&amp;Result=3","7075215")</f>
        <v>0</v>
      </c>
      <c r="B3950" t="s">
        <v>853</v>
      </c>
      <c r="C3950" t="s">
        <v>7173</v>
      </c>
      <c r="D3950" t="s">
        <v>16617</v>
      </c>
      <c r="E3950" t="s">
        <v>20269</v>
      </c>
      <c r="F3950" t="s">
        <v>28669</v>
      </c>
      <c r="G3950" t="s">
        <v>28675</v>
      </c>
      <c r="H3950" t="s">
        <v>28684</v>
      </c>
      <c r="I3950" t="s">
        <v>28726</v>
      </c>
      <c r="J3950" t="s">
        <v>31371</v>
      </c>
      <c r="K3950" t="s">
        <v>37213</v>
      </c>
      <c r="M3950" t="s">
        <v>38369</v>
      </c>
      <c r="N3950" t="s">
        <v>41249</v>
      </c>
      <c r="O3950" t="s">
        <v>41250</v>
      </c>
      <c r="P3950">
        <v>0</v>
      </c>
      <c r="Q3950">
        <v>3</v>
      </c>
      <c r="R3950" t="s">
        <v>41252</v>
      </c>
      <c r="S3950" t="s">
        <v>41383</v>
      </c>
      <c r="T3950" t="s">
        <v>42692</v>
      </c>
      <c r="U3950" t="s">
        <v>44874</v>
      </c>
      <c r="V3950" t="s">
        <v>54665</v>
      </c>
      <c r="W3950" t="s">
        <v>38369</v>
      </c>
      <c r="X3950" t="s">
        <v>41254</v>
      </c>
    </row>
    <row r="3951" spans="1:24">
      <c r="A3951">
        <f>HYPERLINK("https://www.philgeps.gov.ph/GEPSNONPILOT/Tender/SplashBidNoticeAbstractUI.aspx?menuIndex=3&amp;refID=7075205&amp;Result=3","7075205")</f>
        <v>0</v>
      </c>
      <c r="B3951" t="s">
        <v>1449</v>
      </c>
      <c r="C3951" t="s">
        <v>7174</v>
      </c>
      <c r="D3951" t="s">
        <v>16621</v>
      </c>
      <c r="E3951" t="s">
        <v>20270</v>
      </c>
      <c r="F3951" t="s">
        <v>28669</v>
      </c>
      <c r="G3951" t="s">
        <v>28676</v>
      </c>
      <c r="H3951" t="s">
        <v>9998</v>
      </c>
      <c r="I3951" t="s">
        <v>28701</v>
      </c>
      <c r="J3951" t="s">
        <v>28826</v>
      </c>
      <c r="K3951" t="s">
        <v>37304</v>
      </c>
      <c r="M3951" t="s">
        <v>39014</v>
      </c>
      <c r="N3951" t="s">
        <v>41249</v>
      </c>
      <c r="O3951" t="s">
        <v>41250</v>
      </c>
      <c r="P3951">
        <v>0</v>
      </c>
      <c r="Q3951">
        <v>1</v>
      </c>
      <c r="R3951" t="s">
        <v>41252</v>
      </c>
      <c r="S3951" t="s">
        <v>41383</v>
      </c>
      <c r="T3951" t="s">
        <v>42711</v>
      </c>
      <c r="U3951" t="s">
        <v>46364</v>
      </c>
      <c r="V3951" t="s">
        <v>54690</v>
      </c>
      <c r="W3951" t="s">
        <v>39014</v>
      </c>
      <c r="X3951" t="s">
        <v>41254</v>
      </c>
    </row>
    <row r="3952" spans="1:24">
      <c r="A3952">
        <f>HYPERLINK("https://www.philgeps.gov.ph/GEPSNONPILOT/Tender/SplashBidNoticeAbstractUI.aspx?menuIndex=3&amp;refID=7075227&amp;Result=3","7075227")</f>
        <v>0</v>
      </c>
      <c r="B3952" t="s">
        <v>1486</v>
      </c>
      <c r="C3952" t="s">
        <v>7175</v>
      </c>
      <c r="D3952" t="s">
        <v>16668</v>
      </c>
      <c r="E3952" t="s">
        <v>20271</v>
      </c>
      <c r="F3952" t="s">
        <v>28669</v>
      </c>
      <c r="G3952" t="s">
        <v>28677</v>
      </c>
      <c r="H3952" t="s">
        <v>28686</v>
      </c>
      <c r="I3952" t="s">
        <v>28689</v>
      </c>
      <c r="J3952" t="s">
        <v>31372</v>
      </c>
      <c r="K3952" t="s">
        <v>37204</v>
      </c>
      <c r="M3952" t="s">
        <v>39056</v>
      </c>
      <c r="N3952" t="s">
        <v>41249</v>
      </c>
      <c r="O3952" t="s">
        <v>41250</v>
      </c>
      <c r="P3952">
        <v>0</v>
      </c>
      <c r="Q3952">
        <v>0</v>
      </c>
      <c r="R3952" t="s">
        <v>41252</v>
      </c>
      <c r="S3952" t="s">
        <v>41383</v>
      </c>
      <c r="T3952" t="s">
        <v>42703</v>
      </c>
      <c r="U3952" t="s">
        <v>46484</v>
      </c>
      <c r="W3952" t="s">
        <v>39056</v>
      </c>
      <c r="X3952" t="s">
        <v>41254</v>
      </c>
    </row>
    <row r="3953" spans="1:24">
      <c r="A3953">
        <f>HYPERLINK("https://www.philgeps.gov.ph/GEPSNONPILOT/Tender/SplashBidNoticeAbstractUI.aspx?menuIndex=3&amp;refID=7075216&amp;Result=3","7075216")</f>
        <v>0</v>
      </c>
      <c r="B3953" t="s">
        <v>1389</v>
      </c>
      <c r="C3953" t="s">
        <v>7176</v>
      </c>
      <c r="D3953" t="s">
        <v>16617</v>
      </c>
      <c r="E3953" t="s">
        <v>20272</v>
      </c>
      <c r="F3953" t="s">
        <v>28669</v>
      </c>
      <c r="G3953" t="s">
        <v>28675</v>
      </c>
      <c r="H3953" t="s">
        <v>9998</v>
      </c>
      <c r="I3953" t="s">
        <v>28779</v>
      </c>
      <c r="J3953" t="s">
        <v>31373</v>
      </c>
      <c r="K3953" t="s">
        <v>37206</v>
      </c>
      <c r="M3953" t="s">
        <v>38951</v>
      </c>
      <c r="N3953" t="s">
        <v>41249</v>
      </c>
      <c r="O3953" t="s">
        <v>41250</v>
      </c>
      <c r="P3953">
        <v>0</v>
      </c>
      <c r="Q3953">
        <v>0</v>
      </c>
      <c r="R3953" t="s">
        <v>41252</v>
      </c>
      <c r="S3953" t="s">
        <v>41383</v>
      </c>
      <c r="T3953" t="s">
        <v>42782</v>
      </c>
      <c r="U3953" t="s">
        <v>46193</v>
      </c>
      <c r="W3953" t="s">
        <v>38951</v>
      </c>
      <c r="X3953" t="s">
        <v>41254</v>
      </c>
    </row>
    <row r="3954" spans="1:24">
      <c r="A3954">
        <f>HYPERLINK("https://www.philgeps.gov.ph/GEPSNONPILOT/Tender/SplashBidNoticeAbstractUI.aspx?menuIndex=3&amp;refID=7075226&amp;Result=3","7075226")</f>
        <v>0</v>
      </c>
      <c r="B3954" t="s">
        <v>170</v>
      </c>
      <c r="C3954" t="s">
        <v>7177</v>
      </c>
      <c r="D3954" t="s">
        <v>16639</v>
      </c>
      <c r="E3954" t="s">
        <v>20273</v>
      </c>
      <c r="F3954" t="s">
        <v>28669</v>
      </c>
      <c r="G3954" t="s">
        <v>28679</v>
      </c>
      <c r="H3954" t="s">
        <v>9998</v>
      </c>
      <c r="I3954" t="s">
        <v>5286</v>
      </c>
      <c r="J3954" t="s">
        <v>31374</v>
      </c>
      <c r="K3954" t="s">
        <v>37206</v>
      </c>
      <c r="M3954" t="s">
        <v>37647</v>
      </c>
      <c r="N3954" t="s">
        <v>41249</v>
      </c>
      <c r="O3954" t="s">
        <v>41250</v>
      </c>
      <c r="P3954">
        <v>0</v>
      </c>
      <c r="Q3954">
        <v>0</v>
      </c>
      <c r="R3954" t="s">
        <v>41252</v>
      </c>
      <c r="S3954" t="s">
        <v>41383</v>
      </c>
      <c r="T3954" t="s">
        <v>42729</v>
      </c>
      <c r="U3954" t="s">
        <v>46485</v>
      </c>
      <c r="V3954" t="s">
        <v>54691</v>
      </c>
      <c r="W3954" t="s">
        <v>37647</v>
      </c>
      <c r="X3954" t="s">
        <v>41254</v>
      </c>
    </row>
    <row r="3955" spans="1:24">
      <c r="A3955">
        <f>HYPERLINK("https://www.philgeps.gov.ph/GEPSNONPILOT/Tender/SplashBidNoticeAbstractUI.aspx?menuIndex=3&amp;refID=7075223&amp;Result=3","7075223")</f>
        <v>0</v>
      </c>
      <c r="B3955" t="s">
        <v>1126</v>
      </c>
      <c r="C3955" t="s">
        <v>7178</v>
      </c>
      <c r="D3955" t="s">
        <v>16630</v>
      </c>
      <c r="E3955" t="s">
        <v>20274</v>
      </c>
      <c r="F3955" t="s">
        <v>28669</v>
      </c>
      <c r="G3955" t="s">
        <v>28676</v>
      </c>
      <c r="H3955" t="s">
        <v>9998</v>
      </c>
      <c r="I3955" t="s">
        <v>5213</v>
      </c>
      <c r="J3955" t="s">
        <v>30613</v>
      </c>
      <c r="K3955" t="s">
        <v>37206</v>
      </c>
      <c r="M3955" t="s">
        <v>38660</v>
      </c>
      <c r="N3955" t="s">
        <v>41249</v>
      </c>
      <c r="O3955" t="s">
        <v>41250</v>
      </c>
      <c r="P3955">
        <v>0</v>
      </c>
      <c r="Q3955">
        <v>0</v>
      </c>
      <c r="R3955" t="s">
        <v>41252</v>
      </c>
      <c r="S3955" t="s">
        <v>41383</v>
      </c>
      <c r="T3955" t="s">
        <v>42665</v>
      </c>
      <c r="U3955" t="s">
        <v>46486</v>
      </c>
      <c r="W3955" t="s">
        <v>38660</v>
      </c>
      <c r="X3955" t="s">
        <v>41254</v>
      </c>
    </row>
    <row r="3956" spans="1:24">
      <c r="A3956">
        <f>HYPERLINK("https://www.philgeps.gov.ph/GEPSNONPILOT/Tender/SplashBidNoticeAbstractUI.aspx?menuIndex=3&amp;refID=7075218&amp;Result=3","7075218")</f>
        <v>0</v>
      </c>
      <c r="B3956" t="s">
        <v>1464</v>
      </c>
      <c r="C3956" t="s">
        <v>7179</v>
      </c>
      <c r="D3956" t="s">
        <v>16611</v>
      </c>
      <c r="E3956" t="s">
        <v>20275</v>
      </c>
      <c r="F3956" t="s">
        <v>28669</v>
      </c>
      <c r="G3956" t="s">
        <v>28676</v>
      </c>
      <c r="H3956" t="s">
        <v>9998</v>
      </c>
      <c r="I3956" t="s">
        <v>28704</v>
      </c>
      <c r="J3956" t="s">
        <v>31375</v>
      </c>
      <c r="K3956" t="s">
        <v>37205</v>
      </c>
      <c r="M3956" t="s">
        <v>39032</v>
      </c>
      <c r="N3956" t="s">
        <v>41249</v>
      </c>
      <c r="O3956" t="s">
        <v>41250</v>
      </c>
      <c r="P3956">
        <v>0</v>
      </c>
      <c r="Q3956">
        <v>0</v>
      </c>
      <c r="R3956" t="s">
        <v>41252</v>
      </c>
      <c r="S3956" t="s">
        <v>41383</v>
      </c>
      <c r="T3956" t="s">
        <v>42953</v>
      </c>
      <c r="U3956" t="s">
        <v>46487</v>
      </c>
      <c r="W3956" t="s">
        <v>39032</v>
      </c>
      <c r="X3956" t="s">
        <v>41254</v>
      </c>
    </row>
    <row r="3957" spans="1:24">
      <c r="A3957">
        <f>HYPERLINK("https://www.philgeps.gov.ph/GEPSNONPILOT/Tender/SplashBidNoticeAbstractUI.aspx?menuIndex=3&amp;refID=7075221&amp;Result=3","7075221")</f>
        <v>0</v>
      </c>
      <c r="B3957" t="s">
        <v>133</v>
      </c>
      <c r="C3957" t="s">
        <v>7180</v>
      </c>
      <c r="E3957" t="s">
        <v>20276</v>
      </c>
      <c r="F3957" t="s">
        <v>28669</v>
      </c>
      <c r="G3957" t="s">
        <v>28676</v>
      </c>
      <c r="H3957" t="s">
        <v>9998</v>
      </c>
      <c r="I3957" t="s">
        <v>5213</v>
      </c>
      <c r="J3957" t="s">
        <v>29040</v>
      </c>
      <c r="K3957" t="s">
        <v>37210</v>
      </c>
      <c r="M3957" t="s">
        <v>37610</v>
      </c>
      <c r="N3957" t="s">
        <v>41249</v>
      </c>
      <c r="O3957" t="s">
        <v>41250</v>
      </c>
      <c r="P3957">
        <v>0</v>
      </c>
      <c r="Q3957">
        <v>1</v>
      </c>
      <c r="R3957" t="s">
        <v>41252</v>
      </c>
      <c r="S3957" t="s">
        <v>41383</v>
      </c>
      <c r="T3957" t="s">
        <v>42783</v>
      </c>
      <c r="U3957" t="s">
        <v>46488</v>
      </c>
      <c r="V3957" t="s">
        <v>54670</v>
      </c>
      <c r="W3957" t="s">
        <v>37610</v>
      </c>
      <c r="X3957" t="s">
        <v>41254</v>
      </c>
    </row>
    <row r="3958" spans="1:24">
      <c r="A3958">
        <f>HYPERLINK("https://www.philgeps.gov.ph/GEPSNONPILOT/Tender/SplashBidNoticeAbstractUI.aspx?menuIndex=3&amp;refID=7075225&amp;Result=3","7075225")</f>
        <v>0</v>
      </c>
      <c r="B3958" t="s">
        <v>1068</v>
      </c>
      <c r="C3958" t="s">
        <v>7181</v>
      </c>
      <c r="D3958" t="s">
        <v>16607</v>
      </c>
      <c r="E3958" t="s">
        <v>20277</v>
      </c>
      <c r="F3958" t="s">
        <v>28669</v>
      </c>
      <c r="G3958" t="s">
        <v>28675</v>
      </c>
      <c r="H3958" t="s">
        <v>28686</v>
      </c>
      <c r="I3958" t="s">
        <v>28689</v>
      </c>
      <c r="J3958" t="s">
        <v>28826</v>
      </c>
      <c r="K3958" t="s">
        <v>37204</v>
      </c>
      <c r="M3958" t="s">
        <v>38600</v>
      </c>
      <c r="N3958" t="s">
        <v>41249</v>
      </c>
      <c r="O3958" t="s">
        <v>41250</v>
      </c>
      <c r="P3958">
        <v>0</v>
      </c>
      <c r="Q3958">
        <v>2</v>
      </c>
      <c r="R3958" t="s">
        <v>41252</v>
      </c>
      <c r="S3958" t="s">
        <v>41383</v>
      </c>
      <c r="T3958" t="s">
        <v>42690</v>
      </c>
      <c r="U3958" t="s">
        <v>46489</v>
      </c>
      <c r="V3958" t="s">
        <v>54692</v>
      </c>
      <c r="W3958" t="s">
        <v>38600</v>
      </c>
      <c r="X3958" t="s">
        <v>41254</v>
      </c>
    </row>
    <row r="3959" spans="1:24">
      <c r="A3959">
        <f>HYPERLINK("https://www.philgeps.gov.ph/GEPSNONPILOT/Tender/SplashBidNoticeAbstractUI.aspx?menuIndex=3&amp;refID=7075212&amp;Result=3","7075212")</f>
        <v>0</v>
      </c>
      <c r="B3959" t="s">
        <v>1466</v>
      </c>
      <c r="C3959" t="s">
        <v>7182</v>
      </c>
      <c r="D3959" t="s">
        <v>16679</v>
      </c>
      <c r="E3959" t="s">
        <v>20278</v>
      </c>
      <c r="F3959" t="s">
        <v>28669</v>
      </c>
      <c r="G3959" t="s">
        <v>28675</v>
      </c>
      <c r="H3959" t="s">
        <v>28686</v>
      </c>
      <c r="I3959" t="s">
        <v>28689</v>
      </c>
      <c r="J3959" t="s">
        <v>31313</v>
      </c>
      <c r="K3959" t="s">
        <v>37220</v>
      </c>
      <c r="M3959" t="s">
        <v>39034</v>
      </c>
      <c r="N3959" t="s">
        <v>41249</v>
      </c>
      <c r="O3959" t="s">
        <v>41250</v>
      </c>
      <c r="P3959">
        <v>0</v>
      </c>
      <c r="Q3959">
        <v>2</v>
      </c>
      <c r="R3959" t="s">
        <v>41252</v>
      </c>
      <c r="S3959" t="s">
        <v>41383</v>
      </c>
      <c r="T3959" t="s">
        <v>42688</v>
      </c>
      <c r="U3959" t="s">
        <v>46413</v>
      </c>
      <c r="W3959" t="s">
        <v>55956</v>
      </c>
      <c r="X3959" t="s">
        <v>41254</v>
      </c>
    </row>
    <row r="3960" spans="1:24">
      <c r="A3960">
        <f>HYPERLINK("https://www.philgeps.gov.ph/GEPSNONPILOT/Tender/SplashBidNoticeAbstractUI.aspx?menuIndex=3&amp;refID=7075181&amp;Result=3","7075181")</f>
        <v>0</v>
      </c>
      <c r="B3960" t="s">
        <v>775</v>
      </c>
      <c r="C3960" t="s">
        <v>7183</v>
      </c>
      <c r="E3960" t="s">
        <v>20279</v>
      </c>
      <c r="F3960" t="s">
        <v>28669</v>
      </c>
      <c r="G3960" t="s">
        <v>28675</v>
      </c>
      <c r="H3960" t="s">
        <v>28686</v>
      </c>
      <c r="I3960" t="s">
        <v>28689</v>
      </c>
      <c r="J3960" t="s">
        <v>31376</v>
      </c>
      <c r="K3960" t="s">
        <v>37209</v>
      </c>
      <c r="M3960" t="s">
        <v>38289</v>
      </c>
      <c r="N3960" t="s">
        <v>41249</v>
      </c>
      <c r="O3960" t="s">
        <v>41250</v>
      </c>
      <c r="Q3960">
        <v>4</v>
      </c>
      <c r="R3960" t="s">
        <v>41252</v>
      </c>
      <c r="S3960" t="s">
        <v>41404</v>
      </c>
      <c r="T3960" t="s">
        <v>42716</v>
      </c>
      <c r="U3960" t="s">
        <v>46490</v>
      </c>
      <c r="W3960" t="s">
        <v>55957</v>
      </c>
      <c r="X3960" t="s">
        <v>41254</v>
      </c>
    </row>
    <row r="3961" spans="1:24">
      <c r="A3961">
        <f>HYPERLINK("https://www.philgeps.gov.ph/GEPSNONPILOT/Tender/SplashBidNoticeAbstractUI.aspx?menuIndex=3&amp;refID=7075160&amp;Result=3","7075160")</f>
        <v>0</v>
      </c>
      <c r="B3961" t="s">
        <v>1482</v>
      </c>
      <c r="C3961" t="s">
        <v>7184</v>
      </c>
      <c r="D3961" t="s">
        <v>16611</v>
      </c>
      <c r="E3961" t="s">
        <v>20280</v>
      </c>
      <c r="F3961" t="s">
        <v>28671</v>
      </c>
      <c r="G3961" t="s">
        <v>28676</v>
      </c>
      <c r="H3961" t="s">
        <v>9998</v>
      </c>
      <c r="I3961" t="s">
        <v>6128</v>
      </c>
      <c r="J3961" t="s">
        <v>30922</v>
      </c>
      <c r="K3961" t="s">
        <v>37204</v>
      </c>
      <c r="M3961" t="s">
        <v>39051</v>
      </c>
      <c r="N3961" t="s">
        <v>41249</v>
      </c>
      <c r="O3961" t="s">
        <v>41250</v>
      </c>
      <c r="P3961">
        <v>0</v>
      </c>
      <c r="Q3961">
        <v>2</v>
      </c>
      <c r="R3961" t="s">
        <v>41252</v>
      </c>
      <c r="S3961" t="s">
        <v>41383</v>
      </c>
      <c r="T3961" t="s">
        <v>42742</v>
      </c>
      <c r="U3961" t="s">
        <v>46491</v>
      </c>
      <c r="W3961" t="s">
        <v>39051</v>
      </c>
      <c r="X3961" t="s">
        <v>41254</v>
      </c>
    </row>
    <row r="3962" spans="1:24">
      <c r="A3962">
        <f>HYPERLINK("https://www.philgeps.gov.ph/GEPSNONPILOT/Tender/SplashBidNoticeAbstractUI.aspx?menuIndex=3&amp;refID=7075210&amp;Result=3","7075210")</f>
        <v>0</v>
      </c>
      <c r="B3962" t="s">
        <v>1471</v>
      </c>
      <c r="C3962" t="s">
        <v>7185</v>
      </c>
      <c r="D3962" t="s">
        <v>16615</v>
      </c>
      <c r="E3962" t="s">
        <v>20281</v>
      </c>
      <c r="F3962" t="s">
        <v>28669</v>
      </c>
      <c r="G3962" t="s">
        <v>28682</v>
      </c>
      <c r="H3962" t="s">
        <v>28686</v>
      </c>
      <c r="I3962" t="s">
        <v>28689</v>
      </c>
      <c r="J3962" t="s">
        <v>31377</v>
      </c>
      <c r="K3962" t="s">
        <v>37255</v>
      </c>
      <c r="M3962" t="s">
        <v>39039</v>
      </c>
      <c r="N3962" t="s">
        <v>41249</v>
      </c>
      <c r="O3962" t="s">
        <v>41250</v>
      </c>
      <c r="P3962">
        <v>0</v>
      </c>
      <c r="Q3962">
        <v>3</v>
      </c>
      <c r="R3962" t="s">
        <v>41252</v>
      </c>
      <c r="S3962" t="s">
        <v>41383</v>
      </c>
      <c r="T3962" t="s">
        <v>42716</v>
      </c>
      <c r="U3962" t="s">
        <v>46492</v>
      </c>
      <c r="V3962" t="s">
        <v>54688</v>
      </c>
      <c r="W3962" t="s">
        <v>39039</v>
      </c>
      <c r="X3962" t="s">
        <v>41254</v>
      </c>
    </row>
    <row r="3963" spans="1:24">
      <c r="A3963">
        <f>HYPERLINK("https://www.philgeps.gov.ph/GEPSNONPILOT/Tender/SplashBidNoticeAbstractUI.aspx?menuIndex=3&amp;refID=7075253&amp;Result=3","7075253")</f>
        <v>0</v>
      </c>
      <c r="B3963" t="s">
        <v>996</v>
      </c>
      <c r="C3963" t="s">
        <v>7186</v>
      </c>
      <c r="E3963" t="s">
        <v>20282</v>
      </c>
      <c r="F3963" t="s">
        <v>28669</v>
      </c>
      <c r="G3963" t="s">
        <v>28676</v>
      </c>
      <c r="H3963" t="s">
        <v>9998</v>
      </c>
      <c r="I3963" t="s">
        <v>6606</v>
      </c>
      <c r="J3963" t="s">
        <v>31378</v>
      </c>
      <c r="K3963" t="s">
        <v>37209</v>
      </c>
      <c r="M3963" t="s">
        <v>38524</v>
      </c>
      <c r="N3963" t="s">
        <v>41249</v>
      </c>
      <c r="O3963" t="s">
        <v>41250</v>
      </c>
      <c r="P3963">
        <v>0</v>
      </c>
      <c r="Q3963">
        <v>0</v>
      </c>
      <c r="R3963" t="s">
        <v>41252</v>
      </c>
      <c r="S3963" t="s">
        <v>41383</v>
      </c>
      <c r="T3963" t="s">
        <v>42729</v>
      </c>
      <c r="U3963" t="s">
        <v>46493</v>
      </c>
      <c r="W3963" t="s">
        <v>38524</v>
      </c>
      <c r="X3963" t="s">
        <v>41254</v>
      </c>
    </row>
    <row r="3964" spans="1:24">
      <c r="A3964">
        <f>HYPERLINK("https://www.philgeps.gov.ph/GEPSNONPILOT/Tender/SplashBidNoticeAbstractUI.aspx?menuIndex=3&amp;refID=7075213&amp;Result=3","7075213")</f>
        <v>0</v>
      </c>
      <c r="B3964" t="s">
        <v>1473</v>
      </c>
      <c r="C3964" t="s">
        <v>7187</v>
      </c>
      <c r="D3964" t="s">
        <v>16608</v>
      </c>
      <c r="E3964" t="s">
        <v>20283</v>
      </c>
      <c r="F3964" t="s">
        <v>28669</v>
      </c>
      <c r="G3964" t="s">
        <v>28675</v>
      </c>
      <c r="H3964" t="s">
        <v>9998</v>
      </c>
      <c r="I3964" t="s">
        <v>7352</v>
      </c>
      <c r="J3964" t="s">
        <v>31379</v>
      </c>
      <c r="K3964" t="s">
        <v>37209</v>
      </c>
      <c r="M3964" t="s">
        <v>39041</v>
      </c>
      <c r="N3964" t="s">
        <v>41249</v>
      </c>
      <c r="O3964" t="s">
        <v>41250</v>
      </c>
      <c r="P3964">
        <v>0</v>
      </c>
      <c r="Q3964">
        <v>0</v>
      </c>
      <c r="R3964" t="s">
        <v>41252</v>
      </c>
      <c r="S3964" t="s">
        <v>41383</v>
      </c>
      <c r="T3964" t="s">
        <v>42667</v>
      </c>
      <c r="U3964" t="s">
        <v>46494</v>
      </c>
      <c r="W3964" t="s">
        <v>39041</v>
      </c>
      <c r="X3964" t="s">
        <v>41254</v>
      </c>
    </row>
    <row r="3965" spans="1:24">
      <c r="A3965">
        <f>HYPERLINK("https://www.philgeps.gov.ph/GEPSNONPILOT/Tender/SplashBidNoticeAbstractUI.aspx?menuIndex=3&amp;refID=7075169&amp;Result=3","7075169")</f>
        <v>0</v>
      </c>
      <c r="B3965" t="s">
        <v>965</v>
      </c>
      <c r="C3965" t="s">
        <v>7188</v>
      </c>
      <c r="D3965" t="s">
        <v>16608</v>
      </c>
      <c r="E3965" t="s">
        <v>20284</v>
      </c>
      <c r="F3965" t="s">
        <v>28669</v>
      </c>
      <c r="G3965" t="s">
        <v>28675</v>
      </c>
      <c r="H3965" t="s">
        <v>9998</v>
      </c>
      <c r="I3965" t="s">
        <v>5213</v>
      </c>
      <c r="J3965" t="s">
        <v>31380</v>
      </c>
      <c r="K3965" t="s">
        <v>37205</v>
      </c>
      <c r="M3965" t="s">
        <v>38890</v>
      </c>
      <c r="N3965" t="s">
        <v>41249</v>
      </c>
      <c r="O3965" t="s">
        <v>41250</v>
      </c>
      <c r="P3965">
        <v>0</v>
      </c>
      <c r="Q3965">
        <v>0</v>
      </c>
      <c r="R3965" t="s">
        <v>41252</v>
      </c>
      <c r="S3965" t="s">
        <v>41383</v>
      </c>
      <c r="T3965" t="s">
        <v>42703</v>
      </c>
      <c r="U3965" t="s">
        <v>45206</v>
      </c>
      <c r="W3965" t="s">
        <v>38890</v>
      </c>
      <c r="X3965" t="s">
        <v>41254</v>
      </c>
    </row>
    <row r="3966" spans="1:24">
      <c r="A3966">
        <f>HYPERLINK("https://www.philgeps.gov.ph/GEPSNONPILOT/Tender/SplashBidNoticeAbstractUI.aspx?menuIndex=3&amp;refID=7075211&amp;Result=3","7075211")</f>
        <v>0</v>
      </c>
      <c r="B3966" t="s">
        <v>446</v>
      </c>
      <c r="C3966" t="s">
        <v>7189</v>
      </c>
      <c r="D3966" t="s">
        <v>16678</v>
      </c>
      <c r="E3966" t="s">
        <v>18967</v>
      </c>
      <c r="F3966" t="s">
        <v>28669</v>
      </c>
      <c r="G3966" t="s">
        <v>28675</v>
      </c>
      <c r="H3966" t="s">
        <v>9998</v>
      </c>
      <c r="I3966" t="s">
        <v>28722</v>
      </c>
      <c r="J3966" t="s">
        <v>31381</v>
      </c>
      <c r="K3966" t="s">
        <v>37205</v>
      </c>
      <c r="M3966" t="s">
        <v>37932</v>
      </c>
      <c r="N3966" t="s">
        <v>41249</v>
      </c>
      <c r="O3966" t="s">
        <v>41250</v>
      </c>
      <c r="P3966">
        <v>0</v>
      </c>
      <c r="Q3966">
        <v>0</v>
      </c>
      <c r="R3966" t="s">
        <v>41252</v>
      </c>
      <c r="S3966" t="s">
        <v>41383</v>
      </c>
      <c r="T3966" t="s">
        <v>42755</v>
      </c>
      <c r="U3966" t="s">
        <v>46495</v>
      </c>
      <c r="W3966" t="s">
        <v>37932</v>
      </c>
      <c r="X3966" t="s">
        <v>41254</v>
      </c>
    </row>
    <row r="3967" spans="1:24">
      <c r="A3967">
        <f>HYPERLINK("https://www.philgeps.gov.ph/GEPSNONPILOT/Tender/SplashBidNoticeAbstractUI.aspx?menuIndex=3&amp;refID=7075250&amp;Result=3","7075250")</f>
        <v>0</v>
      </c>
      <c r="B3967" t="s">
        <v>1244</v>
      </c>
      <c r="C3967" t="s">
        <v>7190</v>
      </c>
      <c r="D3967" t="s">
        <v>16686</v>
      </c>
      <c r="E3967" t="s">
        <v>20285</v>
      </c>
      <c r="F3967" t="s">
        <v>28669</v>
      </c>
      <c r="G3967" t="s">
        <v>28675</v>
      </c>
      <c r="H3967" t="s">
        <v>28686</v>
      </c>
      <c r="I3967" t="s">
        <v>28689</v>
      </c>
      <c r="J3967" t="s">
        <v>29328</v>
      </c>
      <c r="K3967" t="s">
        <v>37221</v>
      </c>
      <c r="M3967" t="s">
        <v>38791</v>
      </c>
      <c r="N3967" t="s">
        <v>41249</v>
      </c>
      <c r="O3967" t="s">
        <v>41250</v>
      </c>
      <c r="P3967">
        <v>0</v>
      </c>
      <c r="Q3967">
        <v>0</v>
      </c>
      <c r="R3967" t="s">
        <v>41252</v>
      </c>
      <c r="S3967" t="s">
        <v>41383</v>
      </c>
      <c r="T3967" t="s">
        <v>42670</v>
      </c>
      <c r="U3967" t="s">
        <v>46496</v>
      </c>
      <c r="W3967" t="s">
        <v>38791</v>
      </c>
      <c r="X3967" t="s">
        <v>41254</v>
      </c>
    </row>
    <row r="3968" spans="1:24">
      <c r="A3968">
        <f>HYPERLINK("https://www.philgeps.gov.ph/GEPSNONPILOT/Tender/SplashBidNoticeAbstractUI.aspx?menuIndex=3&amp;refID=7075224&amp;Result=3","7075224")</f>
        <v>0</v>
      </c>
      <c r="B3968" t="s">
        <v>1487</v>
      </c>
      <c r="C3968" t="s">
        <v>7191</v>
      </c>
      <c r="D3968" t="s">
        <v>16642</v>
      </c>
      <c r="E3968" t="s">
        <v>20286</v>
      </c>
      <c r="F3968" t="s">
        <v>28669</v>
      </c>
      <c r="G3968" t="s">
        <v>28675</v>
      </c>
      <c r="H3968" t="s">
        <v>28686</v>
      </c>
      <c r="I3968" t="s">
        <v>28689</v>
      </c>
      <c r="J3968" t="s">
        <v>31382</v>
      </c>
      <c r="K3968" t="s">
        <v>37340</v>
      </c>
      <c r="M3968" t="s">
        <v>39057</v>
      </c>
      <c r="N3968" t="s">
        <v>41249</v>
      </c>
      <c r="O3968" t="s">
        <v>41250</v>
      </c>
      <c r="P3968">
        <v>0</v>
      </c>
      <c r="Q3968">
        <v>0</v>
      </c>
      <c r="R3968" t="s">
        <v>41252</v>
      </c>
      <c r="S3968" t="s">
        <v>41383</v>
      </c>
      <c r="T3968" t="s">
        <v>42659</v>
      </c>
      <c r="U3968" t="s">
        <v>46497</v>
      </c>
      <c r="V3968" t="s">
        <v>54693</v>
      </c>
      <c r="W3968" t="s">
        <v>39057</v>
      </c>
      <c r="X3968" t="s">
        <v>41254</v>
      </c>
    </row>
    <row r="3969" spans="1:24">
      <c r="A3969">
        <f>HYPERLINK("https://www.philgeps.gov.ph/GEPSNONPILOT/Tender/SplashBidNoticeAbstractUI.aspx?menuIndex=3&amp;refID=7075245&amp;Result=3","7075245")</f>
        <v>0</v>
      </c>
      <c r="B3969" t="s">
        <v>1280</v>
      </c>
      <c r="C3969" t="s">
        <v>7192</v>
      </c>
      <c r="D3969" t="s">
        <v>16683</v>
      </c>
      <c r="E3969" t="s">
        <v>20287</v>
      </c>
      <c r="F3969" t="s">
        <v>28669</v>
      </c>
      <c r="G3969" t="s">
        <v>28675</v>
      </c>
      <c r="H3969" t="s">
        <v>28686</v>
      </c>
      <c r="I3969" t="s">
        <v>28689</v>
      </c>
      <c r="J3969" t="s">
        <v>31383</v>
      </c>
      <c r="K3969" t="s">
        <v>37213</v>
      </c>
      <c r="M3969" t="s">
        <v>38831</v>
      </c>
      <c r="N3969" t="s">
        <v>41249</v>
      </c>
      <c r="O3969" t="s">
        <v>41250</v>
      </c>
      <c r="P3969">
        <v>0</v>
      </c>
      <c r="Q3969">
        <v>0</v>
      </c>
      <c r="R3969" t="s">
        <v>41252</v>
      </c>
      <c r="S3969" t="s">
        <v>41383</v>
      </c>
      <c r="T3969" t="s">
        <v>42693</v>
      </c>
      <c r="U3969" t="s">
        <v>45864</v>
      </c>
      <c r="W3969" t="s">
        <v>38831</v>
      </c>
      <c r="X3969" t="s">
        <v>41254</v>
      </c>
    </row>
    <row r="3970" spans="1:24">
      <c r="A3970">
        <f>HYPERLINK("https://www.philgeps.gov.ph/GEPSNONPILOT/Tender/SplashBidNoticeAbstractUI.aspx?menuIndex=3&amp;refID=7075247&amp;Result=3","7075247")</f>
        <v>0</v>
      </c>
      <c r="B3970" t="s">
        <v>1148</v>
      </c>
      <c r="C3970" t="s">
        <v>7193</v>
      </c>
      <c r="E3970" t="s">
        <v>20288</v>
      </c>
      <c r="F3970" t="s">
        <v>28669</v>
      </c>
      <c r="G3970" t="s">
        <v>28679</v>
      </c>
      <c r="H3970" t="s">
        <v>9998</v>
      </c>
      <c r="I3970" t="s">
        <v>11142</v>
      </c>
      <c r="J3970" t="s">
        <v>31384</v>
      </c>
      <c r="K3970" t="s">
        <v>37209</v>
      </c>
      <c r="M3970" t="s">
        <v>38684</v>
      </c>
      <c r="N3970" t="s">
        <v>41249</v>
      </c>
      <c r="O3970" t="s">
        <v>41250</v>
      </c>
      <c r="P3970">
        <v>0</v>
      </c>
      <c r="Q3970">
        <v>2</v>
      </c>
      <c r="R3970" t="s">
        <v>41252</v>
      </c>
      <c r="S3970" t="s">
        <v>41383</v>
      </c>
      <c r="T3970" t="s">
        <v>42690</v>
      </c>
      <c r="U3970" t="s">
        <v>46498</v>
      </c>
      <c r="W3970" t="s">
        <v>38684</v>
      </c>
      <c r="X3970" t="s">
        <v>41254</v>
      </c>
    </row>
    <row r="3971" spans="1:24">
      <c r="A3971">
        <f>HYPERLINK("https://www.philgeps.gov.ph/GEPSNONPILOT/Tender/SplashBidNoticeAbstractUI.aspx?menuIndex=3&amp;refID=7075244&amp;Result=3","7075244")</f>
        <v>0</v>
      </c>
      <c r="B3971" t="s">
        <v>200</v>
      </c>
      <c r="C3971" t="s">
        <v>7194</v>
      </c>
      <c r="D3971" t="s">
        <v>16608</v>
      </c>
      <c r="E3971" t="s">
        <v>20289</v>
      </c>
      <c r="F3971" t="s">
        <v>28669</v>
      </c>
      <c r="G3971" t="s">
        <v>28676</v>
      </c>
      <c r="H3971" t="s">
        <v>9998</v>
      </c>
      <c r="I3971" t="s">
        <v>28699</v>
      </c>
      <c r="J3971" t="s">
        <v>28912</v>
      </c>
      <c r="K3971" t="s">
        <v>37209</v>
      </c>
      <c r="M3971" t="s">
        <v>39058</v>
      </c>
      <c r="N3971" t="s">
        <v>41249</v>
      </c>
      <c r="O3971" t="s">
        <v>41250</v>
      </c>
      <c r="P3971">
        <v>0</v>
      </c>
      <c r="Q3971">
        <v>5</v>
      </c>
      <c r="R3971" t="s">
        <v>41252</v>
      </c>
      <c r="S3971" t="s">
        <v>41383</v>
      </c>
      <c r="T3971" t="s">
        <v>42736</v>
      </c>
      <c r="U3971" t="s">
        <v>46499</v>
      </c>
      <c r="V3971" t="s">
        <v>54694</v>
      </c>
      <c r="W3971" t="s">
        <v>39058</v>
      </c>
      <c r="X3971" t="s">
        <v>41254</v>
      </c>
    </row>
    <row r="3972" spans="1:24">
      <c r="A3972">
        <f>HYPERLINK("https://www.philgeps.gov.ph/GEPSNONPILOT/Tender/SplashBidNoticeAbstractUI.aspx?menuIndex=3&amp;refID=7075241&amp;Result=3","7075241")</f>
        <v>0</v>
      </c>
      <c r="B3972" t="s">
        <v>1475</v>
      </c>
      <c r="C3972" t="s">
        <v>7195</v>
      </c>
      <c r="D3972" t="s">
        <v>16644</v>
      </c>
      <c r="E3972" t="s">
        <v>20290</v>
      </c>
      <c r="F3972" t="s">
        <v>28669</v>
      </c>
      <c r="G3972" t="s">
        <v>28678</v>
      </c>
      <c r="H3972" t="s">
        <v>9998</v>
      </c>
      <c r="I3972" t="s">
        <v>28698</v>
      </c>
      <c r="J3972" t="s">
        <v>31385</v>
      </c>
      <c r="K3972" t="s">
        <v>37206</v>
      </c>
      <c r="M3972" t="s">
        <v>39053</v>
      </c>
      <c r="N3972" t="s">
        <v>41249</v>
      </c>
      <c r="O3972" t="s">
        <v>41250</v>
      </c>
      <c r="P3972">
        <v>0</v>
      </c>
      <c r="Q3972">
        <v>1</v>
      </c>
      <c r="R3972" t="s">
        <v>41252</v>
      </c>
      <c r="S3972" t="s">
        <v>41383</v>
      </c>
      <c r="T3972" t="s">
        <v>42758</v>
      </c>
      <c r="U3972" t="s">
        <v>46442</v>
      </c>
      <c r="W3972" t="s">
        <v>39053</v>
      </c>
      <c r="X3972" t="s">
        <v>41254</v>
      </c>
    </row>
    <row r="3973" spans="1:24">
      <c r="A3973">
        <f>HYPERLINK("https://www.philgeps.gov.ph/GEPSNONPILOT/Tender/SplashBidNoticeAbstractUI.aspx?menuIndex=3&amp;refID=7075251&amp;Result=3","7075251")</f>
        <v>0</v>
      </c>
      <c r="B3973" t="s">
        <v>631</v>
      </c>
      <c r="C3973" t="s">
        <v>7196</v>
      </c>
      <c r="D3973" t="s">
        <v>16617</v>
      </c>
      <c r="E3973" t="s">
        <v>20291</v>
      </c>
      <c r="F3973" t="s">
        <v>28669</v>
      </c>
      <c r="G3973" t="s">
        <v>28676</v>
      </c>
      <c r="H3973" t="s">
        <v>9998</v>
      </c>
      <c r="I3973" t="s">
        <v>28704</v>
      </c>
      <c r="J3973" t="s">
        <v>31386</v>
      </c>
      <c r="K3973" t="s">
        <v>37240</v>
      </c>
      <c r="M3973" t="s">
        <v>38131</v>
      </c>
      <c r="N3973" t="s">
        <v>41249</v>
      </c>
      <c r="O3973" t="s">
        <v>41250</v>
      </c>
      <c r="P3973">
        <v>0</v>
      </c>
      <c r="Q3973">
        <v>0</v>
      </c>
      <c r="R3973" t="s">
        <v>41252</v>
      </c>
      <c r="S3973" t="s">
        <v>41383</v>
      </c>
      <c r="T3973" t="s">
        <v>42758</v>
      </c>
      <c r="U3973" t="s">
        <v>46500</v>
      </c>
      <c r="W3973" t="s">
        <v>38131</v>
      </c>
      <c r="X3973" t="s">
        <v>41254</v>
      </c>
    </row>
    <row r="3974" spans="1:24">
      <c r="A3974">
        <f>HYPERLINK("https://www.philgeps.gov.ph/GEPSNONPILOT/Tender/SplashBidNoticeAbstractUI.aspx?menuIndex=3&amp;refID=7075240&amp;Result=3","7075240")</f>
        <v>0</v>
      </c>
      <c r="B3974" t="s">
        <v>1466</v>
      </c>
      <c r="C3974" t="s">
        <v>7197</v>
      </c>
      <c r="D3974" t="s">
        <v>16679</v>
      </c>
      <c r="E3974" t="s">
        <v>20292</v>
      </c>
      <c r="F3974" t="s">
        <v>28669</v>
      </c>
      <c r="G3974" t="s">
        <v>28675</v>
      </c>
      <c r="H3974" t="s">
        <v>28686</v>
      </c>
      <c r="I3974" t="s">
        <v>28689</v>
      </c>
      <c r="J3974" t="s">
        <v>31313</v>
      </c>
      <c r="K3974" t="s">
        <v>37221</v>
      </c>
      <c r="M3974" t="s">
        <v>39034</v>
      </c>
      <c r="N3974" t="s">
        <v>41249</v>
      </c>
      <c r="O3974" t="s">
        <v>41250</v>
      </c>
      <c r="P3974">
        <v>0</v>
      </c>
      <c r="Q3974">
        <v>2</v>
      </c>
      <c r="R3974" t="s">
        <v>41252</v>
      </c>
      <c r="S3974" t="s">
        <v>41383</v>
      </c>
      <c r="T3974" t="s">
        <v>42688</v>
      </c>
      <c r="U3974" t="s">
        <v>46413</v>
      </c>
      <c r="W3974" t="s">
        <v>55956</v>
      </c>
      <c r="X3974" t="s">
        <v>41254</v>
      </c>
    </row>
    <row r="3975" spans="1:24">
      <c r="A3975">
        <f>HYPERLINK("https://www.philgeps.gov.ph/GEPSNONPILOT/Tender/SplashBidNoticeAbstractUI.aspx?menuIndex=3&amp;refID=7075239&amp;Result=3","7075239")</f>
        <v>0</v>
      </c>
      <c r="B3975" t="s">
        <v>1488</v>
      </c>
      <c r="C3975" t="s">
        <v>7198</v>
      </c>
      <c r="D3975" t="s">
        <v>16627</v>
      </c>
      <c r="E3975" t="s">
        <v>20293</v>
      </c>
      <c r="F3975" t="s">
        <v>28669</v>
      </c>
      <c r="G3975" t="s">
        <v>28676</v>
      </c>
      <c r="H3975" t="s">
        <v>9998</v>
      </c>
      <c r="I3975" t="s">
        <v>3718</v>
      </c>
      <c r="J3975" t="s">
        <v>31387</v>
      </c>
      <c r="K3975" t="s">
        <v>37205</v>
      </c>
      <c r="M3975" t="s">
        <v>39059</v>
      </c>
      <c r="N3975" t="s">
        <v>41249</v>
      </c>
      <c r="O3975" t="s">
        <v>41250</v>
      </c>
      <c r="P3975">
        <v>0</v>
      </c>
      <c r="Q3975">
        <v>0</v>
      </c>
      <c r="R3975" t="s">
        <v>41252</v>
      </c>
      <c r="S3975" t="s">
        <v>41383</v>
      </c>
      <c r="T3975" t="s">
        <v>42884</v>
      </c>
      <c r="U3975" t="s">
        <v>46501</v>
      </c>
      <c r="W3975" t="s">
        <v>39059</v>
      </c>
      <c r="X3975" t="s">
        <v>41254</v>
      </c>
    </row>
    <row r="3976" spans="1:24">
      <c r="A3976">
        <f>HYPERLINK("https://www.philgeps.gov.ph/GEPSNONPILOT/Tender/SplashBidNoticeAbstractUI.aspx?menuIndex=3&amp;refID=7075236&amp;Result=3","7075236")</f>
        <v>0</v>
      </c>
      <c r="B3976" t="s">
        <v>114</v>
      </c>
      <c r="C3976" t="s">
        <v>4853</v>
      </c>
      <c r="D3976" t="s">
        <v>16608</v>
      </c>
      <c r="E3976" t="s">
        <v>20294</v>
      </c>
      <c r="F3976" t="s">
        <v>28669</v>
      </c>
      <c r="G3976" t="s">
        <v>28677</v>
      </c>
      <c r="H3976" t="s">
        <v>9998</v>
      </c>
      <c r="I3976" t="s">
        <v>28695</v>
      </c>
      <c r="J3976" t="s">
        <v>29203</v>
      </c>
      <c r="K3976" t="s">
        <v>37210</v>
      </c>
      <c r="M3976" t="s">
        <v>38210</v>
      </c>
      <c r="N3976" t="s">
        <v>41249</v>
      </c>
      <c r="O3976" t="s">
        <v>41250</v>
      </c>
      <c r="P3976">
        <v>0</v>
      </c>
      <c r="Q3976">
        <v>0</v>
      </c>
      <c r="R3976" t="s">
        <v>41252</v>
      </c>
      <c r="S3976" t="s">
        <v>41383</v>
      </c>
      <c r="T3976" t="s">
        <v>42878</v>
      </c>
      <c r="U3976" t="s">
        <v>46502</v>
      </c>
      <c r="V3976" t="s">
        <v>54435</v>
      </c>
      <c r="W3976" t="s">
        <v>38210</v>
      </c>
      <c r="X3976" t="s">
        <v>41254</v>
      </c>
    </row>
    <row r="3977" spans="1:24">
      <c r="A3977">
        <f>HYPERLINK("https://www.philgeps.gov.ph/GEPSNONPILOT/Tender/SplashBidNoticeAbstractUI.aspx?menuIndex=3&amp;refID=7075273&amp;Result=3","7075273")</f>
        <v>0</v>
      </c>
      <c r="B3977" t="s">
        <v>1244</v>
      </c>
      <c r="C3977" t="s">
        <v>7199</v>
      </c>
      <c r="D3977" t="s">
        <v>16686</v>
      </c>
      <c r="E3977" t="s">
        <v>20295</v>
      </c>
      <c r="F3977" t="s">
        <v>28669</v>
      </c>
      <c r="G3977" t="s">
        <v>28675</v>
      </c>
      <c r="H3977" t="s">
        <v>9998</v>
      </c>
      <c r="I3977" t="s">
        <v>28695</v>
      </c>
      <c r="J3977" t="s">
        <v>31388</v>
      </c>
      <c r="K3977" t="s">
        <v>37206</v>
      </c>
      <c r="M3977" t="s">
        <v>38791</v>
      </c>
      <c r="N3977" t="s">
        <v>41249</v>
      </c>
      <c r="O3977" t="s">
        <v>41250</v>
      </c>
      <c r="P3977">
        <v>0</v>
      </c>
      <c r="Q3977">
        <v>0</v>
      </c>
      <c r="R3977" t="s">
        <v>41252</v>
      </c>
      <c r="S3977" t="s">
        <v>41383</v>
      </c>
      <c r="T3977" t="s">
        <v>42670</v>
      </c>
      <c r="U3977" t="s">
        <v>46503</v>
      </c>
      <c r="W3977" t="s">
        <v>38791</v>
      </c>
      <c r="X3977" t="s">
        <v>41254</v>
      </c>
    </row>
    <row r="3978" spans="1:24">
      <c r="A3978">
        <f>HYPERLINK("https://www.philgeps.gov.ph/GEPSNONPILOT/Tender/SplashBidNoticeAbstractUI.aspx?menuIndex=3&amp;refID=7075279&amp;Result=3","7075279")</f>
        <v>0</v>
      </c>
      <c r="B3978" t="s">
        <v>114</v>
      </c>
      <c r="C3978" t="s">
        <v>7200</v>
      </c>
      <c r="D3978" t="s">
        <v>16608</v>
      </c>
      <c r="E3978" t="s">
        <v>20296</v>
      </c>
      <c r="F3978" t="s">
        <v>28669</v>
      </c>
      <c r="G3978" t="s">
        <v>28677</v>
      </c>
      <c r="H3978" t="s">
        <v>9998</v>
      </c>
      <c r="I3978" t="s">
        <v>5286</v>
      </c>
      <c r="J3978" t="s">
        <v>31389</v>
      </c>
      <c r="K3978" t="s">
        <v>37210</v>
      </c>
      <c r="M3978" t="s">
        <v>37793</v>
      </c>
      <c r="N3978" t="s">
        <v>41249</v>
      </c>
      <c r="O3978" t="s">
        <v>41250</v>
      </c>
      <c r="P3978">
        <v>0</v>
      </c>
      <c r="Q3978">
        <v>2</v>
      </c>
      <c r="R3978" t="s">
        <v>41252</v>
      </c>
      <c r="S3978" t="s">
        <v>41383</v>
      </c>
      <c r="T3978" t="s">
        <v>42878</v>
      </c>
      <c r="U3978" t="s">
        <v>46504</v>
      </c>
      <c r="V3978" t="s">
        <v>54326</v>
      </c>
      <c r="W3978" t="s">
        <v>37793</v>
      </c>
      <c r="X3978" t="s">
        <v>41254</v>
      </c>
    </row>
    <row r="3979" spans="1:24">
      <c r="A3979">
        <f>HYPERLINK("https://www.philgeps.gov.ph/GEPSNONPILOT/Tender/SplashBidNoticeAbstractUI.aspx?menuIndex=3&amp;refID=7075278&amp;Result=3","7075278")</f>
        <v>0</v>
      </c>
      <c r="B3979" t="s">
        <v>1489</v>
      </c>
      <c r="C3979" t="s">
        <v>7201</v>
      </c>
      <c r="D3979" t="s">
        <v>16624</v>
      </c>
      <c r="E3979" t="s">
        <v>20297</v>
      </c>
      <c r="F3979" t="s">
        <v>28669</v>
      </c>
      <c r="G3979" t="s">
        <v>28675</v>
      </c>
      <c r="H3979" t="s">
        <v>28686</v>
      </c>
      <c r="I3979" t="s">
        <v>28689</v>
      </c>
      <c r="J3979" t="s">
        <v>31390</v>
      </c>
      <c r="K3979" t="s">
        <v>37213</v>
      </c>
      <c r="M3979" t="s">
        <v>39060</v>
      </c>
      <c r="N3979" t="s">
        <v>41249</v>
      </c>
      <c r="O3979" t="s">
        <v>41250</v>
      </c>
      <c r="P3979">
        <v>0</v>
      </c>
      <c r="Q3979">
        <v>0</v>
      </c>
      <c r="R3979" t="s">
        <v>41252</v>
      </c>
      <c r="S3979" t="s">
        <v>41383</v>
      </c>
      <c r="T3979" t="s">
        <v>42670</v>
      </c>
      <c r="U3979" t="s">
        <v>46505</v>
      </c>
      <c r="W3979" t="s">
        <v>39060</v>
      </c>
      <c r="X3979" t="s">
        <v>41254</v>
      </c>
    </row>
    <row r="3980" spans="1:24">
      <c r="A3980">
        <f>HYPERLINK("https://www.philgeps.gov.ph/GEPSNONPILOT/Tender/SplashBidNoticeAbstractUI.aspx?menuIndex=3&amp;refID=7075242&amp;Result=3","7075242")</f>
        <v>0</v>
      </c>
      <c r="B3980" t="s">
        <v>1490</v>
      </c>
      <c r="C3980" t="s">
        <v>7202</v>
      </c>
      <c r="D3980" t="s">
        <v>16654</v>
      </c>
      <c r="E3980" t="s">
        <v>20298</v>
      </c>
      <c r="F3980" t="s">
        <v>28669</v>
      </c>
      <c r="G3980" t="s">
        <v>28675</v>
      </c>
      <c r="H3980" t="s">
        <v>28686</v>
      </c>
      <c r="I3980" t="s">
        <v>28689</v>
      </c>
      <c r="J3980" t="s">
        <v>31391</v>
      </c>
      <c r="K3980" t="s">
        <v>37341</v>
      </c>
      <c r="M3980" t="s">
        <v>39061</v>
      </c>
      <c r="N3980" t="s">
        <v>41249</v>
      </c>
      <c r="O3980" t="s">
        <v>41250</v>
      </c>
      <c r="P3980">
        <v>0</v>
      </c>
      <c r="Q3980">
        <v>0</v>
      </c>
      <c r="R3980" t="s">
        <v>41252</v>
      </c>
      <c r="S3980" t="s">
        <v>41383</v>
      </c>
      <c r="T3980" t="s">
        <v>42715</v>
      </c>
      <c r="U3980" t="s">
        <v>46506</v>
      </c>
      <c r="V3980" t="s">
        <v>54695</v>
      </c>
      <c r="W3980" t="s">
        <v>39061</v>
      </c>
      <c r="X3980" t="s">
        <v>41254</v>
      </c>
    </row>
    <row r="3981" spans="1:24">
      <c r="A3981">
        <f>HYPERLINK("https://www.philgeps.gov.ph/GEPSNONPILOT/Tender/SplashBidNoticeAbstractUI.aspx?menuIndex=3&amp;refID=7075275&amp;Result=3","7075275")</f>
        <v>0</v>
      </c>
      <c r="B3981" t="s">
        <v>681</v>
      </c>
      <c r="C3981" t="s">
        <v>7203</v>
      </c>
      <c r="D3981" t="s">
        <v>16671</v>
      </c>
      <c r="E3981" t="s">
        <v>20299</v>
      </c>
      <c r="F3981" t="s">
        <v>28672</v>
      </c>
      <c r="G3981" t="s">
        <v>28676</v>
      </c>
      <c r="H3981" t="s">
        <v>9998</v>
      </c>
      <c r="I3981" t="s">
        <v>28739</v>
      </c>
      <c r="J3981" t="s">
        <v>31392</v>
      </c>
      <c r="K3981" t="s">
        <v>37205</v>
      </c>
      <c r="M3981" t="s">
        <v>38185</v>
      </c>
      <c r="N3981" t="s">
        <v>41249</v>
      </c>
      <c r="O3981" t="s">
        <v>41250</v>
      </c>
      <c r="P3981">
        <v>0</v>
      </c>
      <c r="Q3981">
        <v>2</v>
      </c>
      <c r="R3981" t="s">
        <v>41252</v>
      </c>
      <c r="S3981" t="s">
        <v>41383</v>
      </c>
      <c r="T3981" t="s">
        <v>42759</v>
      </c>
      <c r="U3981" t="s">
        <v>46507</v>
      </c>
      <c r="W3981" t="s">
        <v>38185</v>
      </c>
      <c r="X3981" t="s">
        <v>41254</v>
      </c>
    </row>
    <row r="3982" spans="1:24">
      <c r="A3982">
        <f>HYPERLINK("https://www.philgeps.gov.ph/GEPSNONPILOT/Tender/SplashBidNoticeAbstractUI.aspx?menuIndex=3&amp;refID=7075238&amp;Result=3","7075238")</f>
        <v>0</v>
      </c>
      <c r="B3982" t="s">
        <v>1461</v>
      </c>
      <c r="C3982" t="s">
        <v>7204</v>
      </c>
      <c r="D3982" t="s">
        <v>16661</v>
      </c>
      <c r="E3982" t="s">
        <v>20300</v>
      </c>
      <c r="F3982" t="s">
        <v>28669</v>
      </c>
      <c r="G3982" t="s">
        <v>28675</v>
      </c>
      <c r="H3982" t="s">
        <v>28686</v>
      </c>
      <c r="I3982" t="s">
        <v>28689</v>
      </c>
      <c r="J3982" t="s">
        <v>31393</v>
      </c>
      <c r="K3982" t="s">
        <v>37209</v>
      </c>
      <c r="M3982" t="s">
        <v>39027</v>
      </c>
      <c r="N3982" t="s">
        <v>41249</v>
      </c>
      <c r="O3982" t="s">
        <v>41250</v>
      </c>
      <c r="P3982">
        <v>0</v>
      </c>
      <c r="Q3982">
        <v>0</v>
      </c>
      <c r="R3982" t="s">
        <v>41252</v>
      </c>
      <c r="S3982" t="s">
        <v>41383</v>
      </c>
      <c r="T3982" t="s">
        <v>42716</v>
      </c>
      <c r="U3982" t="s">
        <v>46508</v>
      </c>
      <c r="W3982" t="s">
        <v>39027</v>
      </c>
      <c r="X3982" t="s">
        <v>41254</v>
      </c>
    </row>
    <row r="3983" spans="1:24">
      <c r="A3983">
        <f>HYPERLINK("https://www.philgeps.gov.ph/GEPSNONPILOT/Tender/SplashBidNoticeAbstractUI.aspx?menuIndex=3&amp;refID=7075274&amp;Result=3","7075274")</f>
        <v>0</v>
      </c>
      <c r="B3983" t="s">
        <v>1475</v>
      </c>
      <c r="C3983" t="s">
        <v>7205</v>
      </c>
      <c r="D3983" t="s">
        <v>16644</v>
      </c>
      <c r="E3983" t="s">
        <v>20301</v>
      </c>
      <c r="F3983" t="s">
        <v>28669</v>
      </c>
      <c r="G3983" t="s">
        <v>28678</v>
      </c>
      <c r="H3983" t="s">
        <v>9998</v>
      </c>
      <c r="I3983" t="s">
        <v>28713</v>
      </c>
      <c r="J3983" t="s">
        <v>31394</v>
      </c>
      <c r="K3983" t="s">
        <v>37206</v>
      </c>
      <c r="M3983" t="s">
        <v>39053</v>
      </c>
      <c r="N3983" t="s">
        <v>41249</v>
      </c>
      <c r="O3983" t="s">
        <v>41250</v>
      </c>
      <c r="P3983">
        <v>0</v>
      </c>
      <c r="Q3983">
        <v>3</v>
      </c>
      <c r="R3983" t="s">
        <v>41252</v>
      </c>
      <c r="S3983" t="s">
        <v>41383</v>
      </c>
      <c r="T3983" t="s">
        <v>42758</v>
      </c>
      <c r="U3983" t="s">
        <v>46442</v>
      </c>
      <c r="W3983" t="s">
        <v>39053</v>
      </c>
      <c r="X3983" t="s">
        <v>41254</v>
      </c>
    </row>
    <row r="3984" spans="1:24">
      <c r="A3984">
        <f>HYPERLINK("https://www.philgeps.gov.ph/GEPSNONPILOT/Tender/SplashBidNoticeAbstractUI.aspx?menuIndex=3&amp;refID=7075249&amp;Result=3","7075249")</f>
        <v>0</v>
      </c>
      <c r="B3984" t="s">
        <v>1166</v>
      </c>
      <c r="C3984" t="s">
        <v>7206</v>
      </c>
      <c r="D3984" t="s">
        <v>16631</v>
      </c>
      <c r="E3984" t="s">
        <v>20302</v>
      </c>
      <c r="F3984" t="s">
        <v>28669</v>
      </c>
      <c r="G3984" t="s">
        <v>28675</v>
      </c>
      <c r="H3984" t="s">
        <v>9998</v>
      </c>
      <c r="I3984" t="s">
        <v>28704</v>
      </c>
      <c r="J3984" t="s">
        <v>29332</v>
      </c>
      <c r="K3984" t="s">
        <v>37206</v>
      </c>
      <c r="M3984" t="s">
        <v>38705</v>
      </c>
      <c r="N3984" t="s">
        <v>41249</v>
      </c>
      <c r="O3984" t="s">
        <v>41250</v>
      </c>
      <c r="P3984">
        <v>0</v>
      </c>
      <c r="Q3984">
        <v>2</v>
      </c>
      <c r="R3984" t="s">
        <v>41252</v>
      </c>
      <c r="S3984" t="s">
        <v>41383</v>
      </c>
      <c r="T3984" t="s">
        <v>42661</v>
      </c>
      <c r="U3984" t="s">
        <v>46509</v>
      </c>
      <c r="V3984" t="s">
        <v>54696</v>
      </c>
      <c r="W3984" t="s">
        <v>38705</v>
      </c>
      <c r="X3984" t="s">
        <v>41254</v>
      </c>
    </row>
    <row r="3985" spans="1:24">
      <c r="A3985">
        <f>HYPERLINK("https://www.philgeps.gov.ph/GEPSNONPILOT/Tender/SplashBidNoticeAbstractUI.aspx?menuIndex=3&amp;refID=7075246&amp;Result=3","7075246")</f>
        <v>0</v>
      </c>
      <c r="B3985" t="s">
        <v>1491</v>
      </c>
      <c r="C3985" t="s">
        <v>7207</v>
      </c>
      <c r="D3985" t="s">
        <v>16608</v>
      </c>
      <c r="E3985" t="s">
        <v>19303</v>
      </c>
      <c r="F3985" t="s">
        <v>28669</v>
      </c>
      <c r="G3985" t="s">
        <v>28675</v>
      </c>
      <c r="H3985" t="s">
        <v>9998</v>
      </c>
      <c r="I3985" t="s">
        <v>5213</v>
      </c>
      <c r="J3985" t="s">
        <v>28834</v>
      </c>
      <c r="K3985" t="s">
        <v>37243</v>
      </c>
      <c r="M3985" t="s">
        <v>39062</v>
      </c>
      <c r="N3985" t="s">
        <v>41249</v>
      </c>
      <c r="O3985" t="s">
        <v>41250</v>
      </c>
      <c r="P3985">
        <v>0</v>
      </c>
      <c r="Q3985">
        <v>3</v>
      </c>
      <c r="R3985" t="s">
        <v>41252</v>
      </c>
      <c r="S3985" t="s">
        <v>41383</v>
      </c>
      <c r="T3985" t="s">
        <v>42759</v>
      </c>
      <c r="U3985" t="s">
        <v>46510</v>
      </c>
      <c r="W3985" t="s">
        <v>39062</v>
      </c>
      <c r="X3985" t="s">
        <v>41254</v>
      </c>
    </row>
    <row r="3986" spans="1:24">
      <c r="A3986">
        <f>HYPERLINK("https://www.philgeps.gov.ph/GEPSNONPILOT/Tender/SplashBidNoticeAbstractUI.aspx?menuIndex=3&amp;refID=7075270&amp;Result=3","7075270")</f>
        <v>0</v>
      </c>
      <c r="B3986" t="s">
        <v>1464</v>
      </c>
      <c r="C3986" t="s">
        <v>7208</v>
      </c>
      <c r="D3986" t="s">
        <v>16611</v>
      </c>
      <c r="E3986" t="s">
        <v>20303</v>
      </c>
      <c r="F3986" t="s">
        <v>28669</v>
      </c>
      <c r="G3986" t="s">
        <v>28676</v>
      </c>
      <c r="H3986" t="s">
        <v>9998</v>
      </c>
      <c r="I3986" t="s">
        <v>7352</v>
      </c>
      <c r="J3986" t="s">
        <v>31395</v>
      </c>
      <c r="K3986" t="s">
        <v>37205</v>
      </c>
      <c r="M3986" t="s">
        <v>39032</v>
      </c>
      <c r="N3986" t="s">
        <v>41249</v>
      </c>
      <c r="O3986" t="s">
        <v>41250</v>
      </c>
      <c r="P3986">
        <v>0</v>
      </c>
      <c r="Q3986">
        <v>0</v>
      </c>
      <c r="R3986" t="s">
        <v>41252</v>
      </c>
      <c r="S3986" t="s">
        <v>41383</v>
      </c>
      <c r="T3986" t="s">
        <v>42729</v>
      </c>
      <c r="U3986" t="s">
        <v>46511</v>
      </c>
      <c r="W3986" t="s">
        <v>39032</v>
      </c>
      <c r="X3986" t="s">
        <v>41254</v>
      </c>
    </row>
    <row r="3987" spans="1:24">
      <c r="A3987">
        <f>HYPERLINK("https://www.philgeps.gov.ph/GEPSNONPILOT/Tender/SplashBidNoticeAbstractUI.aspx?menuIndex=3&amp;refID=7075252&amp;Result=3","7075252")</f>
        <v>0</v>
      </c>
      <c r="B3987" t="s">
        <v>1480</v>
      </c>
      <c r="C3987" t="s">
        <v>7209</v>
      </c>
      <c r="D3987" t="s">
        <v>16615</v>
      </c>
      <c r="E3987" t="s">
        <v>20304</v>
      </c>
      <c r="F3987" t="s">
        <v>28669</v>
      </c>
      <c r="G3987" t="s">
        <v>28678</v>
      </c>
      <c r="H3987" t="s">
        <v>9998</v>
      </c>
      <c r="I3987" t="s">
        <v>3718</v>
      </c>
      <c r="J3987" t="s">
        <v>30106</v>
      </c>
      <c r="K3987" t="s">
        <v>37204</v>
      </c>
      <c r="M3987" t="s">
        <v>39049</v>
      </c>
      <c r="N3987" t="s">
        <v>41249</v>
      </c>
      <c r="O3987" t="s">
        <v>41250</v>
      </c>
      <c r="P3987">
        <v>0</v>
      </c>
      <c r="Q3987">
        <v>0</v>
      </c>
      <c r="R3987" t="s">
        <v>41252</v>
      </c>
      <c r="S3987" t="s">
        <v>41383</v>
      </c>
      <c r="T3987" t="s">
        <v>42758</v>
      </c>
      <c r="U3987" t="s">
        <v>46512</v>
      </c>
      <c r="W3987" t="s">
        <v>39049</v>
      </c>
      <c r="X3987" t="s">
        <v>41254</v>
      </c>
    </row>
    <row r="3988" spans="1:24">
      <c r="A3988">
        <f>HYPERLINK("https://www.philgeps.gov.ph/GEPSNONPILOT/Tender/SplashBidNoticeAbstractUI.aspx?menuIndex=3&amp;refID=7075268&amp;Result=3","7075268")</f>
        <v>0</v>
      </c>
      <c r="B3988" t="s">
        <v>575</v>
      </c>
      <c r="C3988" t="s">
        <v>7210</v>
      </c>
      <c r="D3988" t="s">
        <v>16660</v>
      </c>
      <c r="E3988" t="s">
        <v>20305</v>
      </c>
      <c r="F3988" t="s">
        <v>28669</v>
      </c>
      <c r="G3988" t="s">
        <v>28676</v>
      </c>
      <c r="H3988" t="s">
        <v>9998</v>
      </c>
      <c r="I3988" t="s">
        <v>28704</v>
      </c>
      <c r="J3988" t="s">
        <v>30573</v>
      </c>
      <c r="K3988" t="s">
        <v>37209</v>
      </c>
      <c r="M3988" t="s">
        <v>38074</v>
      </c>
      <c r="N3988" t="s">
        <v>41249</v>
      </c>
      <c r="O3988" t="s">
        <v>41250</v>
      </c>
      <c r="P3988">
        <v>0</v>
      </c>
      <c r="Q3988">
        <v>2</v>
      </c>
      <c r="R3988" t="s">
        <v>41252</v>
      </c>
      <c r="S3988" t="s">
        <v>41383</v>
      </c>
      <c r="T3988" t="s">
        <v>42671</v>
      </c>
      <c r="U3988" t="s">
        <v>44256</v>
      </c>
      <c r="W3988" t="s">
        <v>38074</v>
      </c>
      <c r="X3988" t="s">
        <v>41254</v>
      </c>
    </row>
    <row r="3989" spans="1:24">
      <c r="A3989">
        <f>HYPERLINK("https://www.philgeps.gov.ph/GEPSNONPILOT/Tender/SplashBidNoticeAbstractUI.aspx?menuIndex=3&amp;refID=7075265&amp;Result=3","7075265")</f>
        <v>0</v>
      </c>
      <c r="B3989" t="s">
        <v>1492</v>
      </c>
      <c r="C3989" t="s">
        <v>7211</v>
      </c>
      <c r="D3989" t="s">
        <v>16686</v>
      </c>
      <c r="E3989" t="s">
        <v>16758</v>
      </c>
      <c r="F3989" t="s">
        <v>28669</v>
      </c>
      <c r="G3989" t="s">
        <v>28679</v>
      </c>
      <c r="H3989" t="s">
        <v>28686</v>
      </c>
      <c r="I3989" t="s">
        <v>28689</v>
      </c>
      <c r="J3989" t="s">
        <v>31396</v>
      </c>
      <c r="K3989" t="s">
        <v>37213</v>
      </c>
      <c r="M3989" t="s">
        <v>39063</v>
      </c>
      <c r="N3989" t="s">
        <v>41249</v>
      </c>
      <c r="O3989" t="s">
        <v>41250</v>
      </c>
      <c r="P3989">
        <v>0</v>
      </c>
      <c r="Q3989">
        <v>0</v>
      </c>
      <c r="R3989" t="s">
        <v>41252</v>
      </c>
      <c r="S3989" t="s">
        <v>41383</v>
      </c>
      <c r="T3989" t="s">
        <v>42703</v>
      </c>
      <c r="U3989" t="s">
        <v>46513</v>
      </c>
      <c r="W3989" t="s">
        <v>39063</v>
      </c>
      <c r="X3989" t="s">
        <v>41254</v>
      </c>
    </row>
    <row r="3990" spans="1:24">
      <c r="A3990">
        <f>HYPERLINK("https://www.philgeps.gov.ph/GEPSNONPILOT/Tender/SplashBidNoticeAbstractUI.aspx?menuIndex=3&amp;refID=7075276&amp;Result=3","7075276")</f>
        <v>0</v>
      </c>
      <c r="B3990" t="s">
        <v>1493</v>
      </c>
      <c r="C3990" t="s">
        <v>7212</v>
      </c>
      <c r="D3990" t="s">
        <v>16630</v>
      </c>
      <c r="E3990" t="s">
        <v>17898</v>
      </c>
      <c r="F3990" t="s">
        <v>28669</v>
      </c>
      <c r="G3990" t="s">
        <v>28675</v>
      </c>
      <c r="H3990" t="s">
        <v>28686</v>
      </c>
      <c r="I3990" t="s">
        <v>28689</v>
      </c>
      <c r="J3990" t="s">
        <v>31397</v>
      </c>
      <c r="K3990" t="s">
        <v>37250</v>
      </c>
      <c r="M3990" t="s">
        <v>39064</v>
      </c>
      <c r="N3990" t="s">
        <v>41249</v>
      </c>
      <c r="O3990" t="s">
        <v>41250</v>
      </c>
      <c r="P3990">
        <v>0</v>
      </c>
      <c r="Q3990">
        <v>0</v>
      </c>
      <c r="R3990" t="s">
        <v>41252</v>
      </c>
      <c r="S3990" t="s">
        <v>41383</v>
      </c>
      <c r="T3990" t="s">
        <v>42954</v>
      </c>
      <c r="U3990" t="s">
        <v>46514</v>
      </c>
      <c r="W3990" t="s">
        <v>55958</v>
      </c>
      <c r="X3990" t="s">
        <v>41254</v>
      </c>
    </row>
    <row r="3991" spans="1:24">
      <c r="A3991">
        <f>HYPERLINK("https://www.philgeps.gov.ph/GEPSNONPILOT/Tender/SplashBidNoticeAbstractUI.aspx?menuIndex=3&amp;refID=7075261&amp;Result=3","7075261")</f>
        <v>0</v>
      </c>
      <c r="B3991" t="s">
        <v>1494</v>
      </c>
      <c r="C3991" t="s">
        <v>7213</v>
      </c>
      <c r="D3991" t="s">
        <v>16657</v>
      </c>
      <c r="E3991" t="s">
        <v>20306</v>
      </c>
      <c r="F3991" t="s">
        <v>28669</v>
      </c>
      <c r="G3991" t="s">
        <v>28679</v>
      </c>
      <c r="H3991" t="s">
        <v>28686</v>
      </c>
      <c r="I3991" t="s">
        <v>28689</v>
      </c>
      <c r="J3991" t="s">
        <v>31398</v>
      </c>
      <c r="K3991" t="s">
        <v>37209</v>
      </c>
      <c r="M3991" t="s">
        <v>39065</v>
      </c>
      <c r="N3991" t="s">
        <v>41249</v>
      </c>
      <c r="O3991" t="s">
        <v>41250</v>
      </c>
      <c r="P3991">
        <v>0</v>
      </c>
      <c r="Q3991">
        <v>1</v>
      </c>
      <c r="R3991" t="s">
        <v>41252</v>
      </c>
      <c r="S3991" t="s">
        <v>41383</v>
      </c>
      <c r="T3991" t="s">
        <v>42757</v>
      </c>
      <c r="U3991" t="s">
        <v>46515</v>
      </c>
      <c r="W3991" t="s">
        <v>39065</v>
      </c>
      <c r="X3991" t="s">
        <v>41254</v>
      </c>
    </row>
    <row r="3992" spans="1:24">
      <c r="A3992">
        <f>HYPERLINK("https://www.philgeps.gov.ph/GEPSNONPILOT/Tender/SplashBidNoticeAbstractUI.aspx?menuIndex=3&amp;refID=7075260&amp;Result=3","7075260")</f>
        <v>0</v>
      </c>
      <c r="B3992" t="s">
        <v>222</v>
      </c>
      <c r="C3992" t="s">
        <v>7214</v>
      </c>
      <c r="D3992" t="s">
        <v>16611</v>
      </c>
      <c r="E3992" t="s">
        <v>20307</v>
      </c>
      <c r="F3992" t="s">
        <v>28669</v>
      </c>
      <c r="G3992" t="s">
        <v>28676</v>
      </c>
      <c r="H3992" t="s">
        <v>9998</v>
      </c>
      <c r="I3992" t="s">
        <v>28706</v>
      </c>
      <c r="J3992" t="s">
        <v>28838</v>
      </c>
      <c r="K3992" t="s">
        <v>37206</v>
      </c>
      <c r="M3992" t="s">
        <v>37700</v>
      </c>
      <c r="N3992" t="s">
        <v>41249</v>
      </c>
      <c r="O3992" t="s">
        <v>41250</v>
      </c>
      <c r="P3992">
        <v>0</v>
      </c>
      <c r="Q3992">
        <v>3</v>
      </c>
      <c r="R3992" t="s">
        <v>41252</v>
      </c>
      <c r="S3992" t="s">
        <v>41383</v>
      </c>
      <c r="T3992" t="s">
        <v>42857</v>
      </c>
      <c r="U3992" t="s">
        <v>46516</v>
      </c>
      <c r="W3992" t="s">
        <v>37700</v>
      </c>
      <c r="X3992" t="s">
        <v>41254</v>
      </c>
    </row>
    <row r="3993" spans="1:24">
      <c r="A3993">
        <f>HYPERLINK("https://www.philgeps.gov.ph/GEPSNONPILOT/Tender/SplashBidNoticeAbstractUI.aspx?menuIndex=3&amp;refID=7075272&amp;Result=3","7075272")</f>
        <v>0</v>
      </c>
      <c r="B3993" t="s">
        <v>1466</v>
      </c>
      <c r="C3993" t="s">
        <v>7215</v>
      </c>
      <c r="D3993" t="s">
        <v>16679</v>
      </c>
      <c r="E3993" t="s">
        <v>20308</v>
      </c>
      <c r="F3993" t="s">
        <v>28669</v>
      </c>
      <c r="G3993" t="s">
        <v>28675</v>
      </c>
      <c r="H3993" t="s">
        <v>28686</v>
      </c>
      <c r="I3993" t="s">
        <v>28689</v>
      </c>
      <c r="J3993" t="s">
        <v>31399</v>
      </c>
      <c r="K3993" t="s">
        <v>37213</v>
      </c>
      <c r="M3993" t="s">
        <v>39034</v>
      </c>
      <c r="N3993" t="s">
        <v>41249</v>
      </c>
      <c r="O3993" t="s">
        <v>41250</v>
      </c>
      <c r="P3993">
        <v>0</v>
      </c>
      <c r="Q3993">
        <v>2</v>
      </c>
      <c r="R3993" t="s">
        <v>41252</v>
      </c>
      <c r="S3993" t="s">
        <v>41383</v>
      </c>
      <c r="T3993" t="s">
        <v>42688</v>
      </c>
      <c r="U3993" t="s">
        <v>46413</v>
      </c>
      <c r="W3993" t="s">
        <v>55956</v>
      </c>
      <c r="X3993" t="s">
        <v>41254</v>
      </c>
    </row>
    <row r="3994" spans="1:24">
      <c r="A3994">
        <f>HYPERLINK("https://www.philgeps.gov.ph/GEPSNONPILOT/Tender/SplashBidNoticeAbstractUI.aspx?menuIndex=3&amp;refID=7075286&amp;Result=3","7075286")</f>
        <v>0</v>
      </c>
      <c r="B3994" t="s">
        <v>1494</v>
      </c>
      <c r="C3994" t="s">
        <v>7216</v>
      </c>
      <c r="D3994" t="s">
        <v>16657</v>
      </c>
      <c r="E3994" t="s">
        <v>20309</v>
      </c>
      <c r="F3994" t="s">
        <v>28669</v>
      </c>
      <c r="G3994" t="s">
        <v>28679</v>
      </c>
      <c r="H3994" t="s">
        <v>28686</v>
      </c>
      <c r="I3994" t="s">
        <v>28689</v>
      </c>
      <c r="J3994" t="s">
        <v>31398</v>
      </c>
      <c r="K3994" t="s">
        <v>37209</v>
      </c>
      <c r="M3994" t="s">
        <v>39065</v>
      </c>
      <c r="N3994" t="s">
        <v>41249</v>
      </c>
      <c r="O3994" t="s">
        <v>41250</v>
      </c>
      <c r="P3994">
        <v>0</v>
      </c>
      <c r="Q3994">
        <v>1</v>
      </c>
      <c r="R3994" t="s">
        <v>41252</v>
      </c>
      <c r="S3994" t="s">
        <v>41383</v>
      </c>
      <c r="T3994" t="s">
        <v>42757</v>
      </c>
      <c r="U3994" t="s">
        <v>46517</v>
      </c>
      <c r="W3994" t="s">
        <v>39065</v>
      </c>
      <c r="X3994" t="s">
        <v>41254</v>
      </c>
    </row>
    <row r="3995" spans="1:24">
      <c r="A3995">
        <f>HYPERLINK("https://www.philgeps.gov.ph/GEPSNONPILOT/Tender/SplashBidNoticeAbstractUI.aspx?menuIndex=3&amp;refID=7075266&amp;Result=3","7075266")</f>
        <v>0</v>
      </c>
      <c r="B3995" t="s">
        <v>728</v>
      </c>
      <c r="C3995" t="s">
        <v>7217</v>
      </c>
      <c r="D3995" t="s">
        <v>16624</v>
      </c>
      <c r="E3995" t="s">
        <v>20310</v>
      </c>
      <c r="F3995" t="s">
        <v>28669</v>
      </c>
      <c r="G3995" t="s">
        <v>28676</v>
      </c>
      <c r="H3995" t="s">
        <v>9998</v>
      </c>
      <c r="I3995" t="s">
        <v>11593</v>
      </c>
      <c r="J3995" t="s">
        <v>29071</v>
      </c>
      <c r="K3995" t="s">
        <v>37208</v>
      </c>
      <c r="M3995" t="s">
        <v>38236</v>
      </c>
      <c r="N3995" t="s">
        <v>41249</v>
      </c>
      <c r="O3995" t="s">
        <v>41250</v>
      </c>
      <c r="P3995">
        <v>0</v>
      </c>
      <c r="Q3995">
        <v>1</v>
      </c>
      <c r="R3995" t="s">
        <v>41252</v>
      </c>
      <c r="S3995" t="s">
        <v>41383</v>
      </c>
      <c r="T3995" t="s">
        <v>42665</v>
      </c>
      <c r="U3995" t="s">
        <v>46518</v>
      </c>
      <c r="W3995" t="s">
        <v>38236</v>
      </c>
      <c r="X3995" t="s">
        <v>41254</v>
      </c>
    </row>
    <row r="3996" spans="1:24">
      <c r="A3996">
        <f>HYPERLINK("https://www.philgeps.gov.ph/GEPSNONPILOT/Tender/SplashBidNoticeAbstractUI.aspx?menuIndex=3&amp;refID=7075263&amp;Result=3","7075263")</f>
        <v>0</v>
      </c>
      <c r="B3996" t="s">
        <v>1469</v>
      </c>
      <c r="C3996" t="s">
        <v>7218</v>
      </c>
      <c r="D3996" t="s">
        <v>16659</v>
      </c>
      <c r="E3996" t="s">
        <v>20311</v>
      </c>
      <c r="F3996" t="s">
        <v>28669</v>
      </c>
      <c r="G3996" t="s">
        <v>28680</v>
      </c>
      <c r="H3996" t="s">
        <v>9998</v>
      </c>
      <c r="I3996" t="s">
        <v>28690</v>
      </c>
      <c r="J3996" t="s">
        <v>28826</v>
      </c>
      <c r="K3996" t="s">
        <v>37204</v>
      </c>
      <c r="M3996" t="s">
        <v>39037</v>
      </c>
      <c r="N3996" t="s">
        <v>41249</v>
      </c>
      <c r="O3996" t="s">
        <v>41250</v>
      </c>
      <c r="P3996">
        <v>0</v>
      </c>
      <c r="Q3996">
        <v>2</v>
      </c>
      <c r="R3996" t="s">
        <v>41252</v>
      </c>
      <c r="S3996" t="s">
        <v>41383</v>
      </c>
      <c r="T3996" t="s">
        <v>42757</v>
      </c>
      <c r="U3996" t="s">
        <v>46519</v>
      </c>
      <c r="W3996" t="s">
        <v>39037</v>
      </c>
      <c r="X3996" t="s">
        <v>41254</v>
      </c>
    </row>
    <row r="3997" spans="1:24">
      <c r="A3997">
        <f>HYPERLINK("https://www.philgeps.gov.ph/GEPSNONPILOT/Tender/SplashBidNoticeAbstractUI.aspx?menuIndex=3&amp;refID=7075258&amp;Result=3","7075258")</f>
        <v>0</v>
      </c>
      <c r="B3997" t="s">
        <v>446</v>
      </c>
      <c r="C3997" t="s">
        <v>7219</v>
      </c>
      <c r="D3997" t="s">
        <v>16678</v>
      </c>
      <c r="E3997" t="s">
        <v>20312</v>
      </c>
      <c r="F3997" t="s">
        <v>28669</v>
      </c>
      <c r="G3997" t="s">
        <v>28675</v>
      </c>
      <c r="H3997" t="s">
        <v>9998</v>
      </c>
      <c r="I3997" t="s">
        <v>28694</v>
      </c>
      <c r="J3997" t="s">
        <v>31400</v>
      </c>
      <c r="K3997" t="s">
        <v>37205</v>
      </c>
      <c r="M3997" t="s">
        <v>37932</v>
      </c>
      <c r="N3997" t="s">
        <v>41249</v>
      </c>
      <c r="O3997" t="s">
        <v>41250</v>
      </c>
      <c r="P3997">
        <v>0</v>
      </c>
      <c r="Q3997">
        <v>0</v>
      </c>
      <c r="R3997" t="s">
        <v>41252</v>
      </c>
      <c r="S3997" t="s">
        <v>41383</v>
      </c>
      <c r="T3997" t="s">
        <v>42755</v>
      </c>
      <c r="U3997" t="s">
        <v>46520</v>
      </c>
      <c r="W3997" t="s">
        <v>37932</v>
      </c>
      <c r="X3997" t="s">
        <v>41254</v>
      </c>
    </row>
    <row r="3998" spans="1:24">
      <c r="A3998">
        <f>HYPERLINK("https://www.philgeps.gov.ph/GEPSNONPILOT/Tender/SplashBidNoticeAbstractUI.aspx?menuIndex=3&amp;refID=7075259&amp;Result=3","7075259")</f>
        <v>0</v>
      </c>
      <c r="B3998" t="s">
        <v>101</v>
      </c>
      <c r="C3998" t="s">
        <v>7220</v>
      </c>
      <c r="D3998" t="s">
        <v>16644</v>
      </c>
      <c r="E3998" t="s">
        <v>20313</v>
      </c>
      <c r="F3998" t="s">
        <v>28669</v>
      </c>
      <c r="G3998" t="s">
        <v>28676</v>
      </c>
      <c r="H3998" t="s">
        <v>9998</v>
      </c>
      <c r="I3998" t="s">
        <v>5213</v>
      </c>
      <c r="J3998" t="s">
        <v>31401</v>
      </c>
      <c r="K3998" t="s">
        <v>37205</v>
      </c>
      <c r="M3998" t="s">
        <v>38245</v>
      </c>
      <c r="N3998" t="s">
        <v>41249</v>
      </c>
      <c r="O3998" t="s">
        <v>41250</v>
      </c>
      <c r="P3998">
        <v>0</v>
      </c>
      <c r="Q3998">
        <v>0</v>
      </c>
      <c r="R3998" t="s">
        <v>41252</v>
      </c>
      <c r="S3998" t="s">
        <v>41383</v>
      </c>
      <c r="T3998" t="s">
        <v>42701</v>
      </c>
      <c r="U3998" t="s">
        <v>46521</v>
      </c>
      <c r="W3998" t="s">
        <v>38245</v>
      </c>
      <c r="X3998" t="s">
        <v>41254</v>
      </c>
    </row>
    <row r="3999" spans="1:24">
      <c r="A3999">
        <f>HYPERLINK("https://www.philgeps.gov.ph/GEPSNONPILOT/Tender/SplashBidNoticeAbstractUI.aspx?menuIndex=3&amp;refID=7075254&amp;Result=3","7075254")</f>
        <v>0</v>
      </c>
      <c r="B3999" t="s">
        <v>1466</v>
      </c>
      <c r="C3999" t="s">
        <v>7221</v>
      </c>
      <c r="D3999" t="s">
        <v>16679</v>
      </c>
      <c r="E3999" t="s">
        <v>20314</v>
      </c>
      <c r="F3999" t="s">
        <v>28669</v>
      </c>
      <c r="G3999" t="s">
        <v>28675</v>
      </c>
      <c r="H3999" t="s">
        <v>28686</v>
      </c>
      <c r="I3999" t="s">
        <v>28689</v>
      </c>
      <c r="J3999" t="s">
        <v>31313</v>
      </c>
      <c r="K3999" t="s">
        <v>37220</v>
      </c>
      <c r="M3999" t="s">
        <v>39034</v>
      </c>
      <c r="N3999" t="s">
        <v>41249</v>
      </c>
      <c r="O3999" t="s">
        <v>41250</v>
      </c>
      <c r="P3999">
        <v>0</v>
      </c>
      <c r="Q3999">
        <v>2</v>
      </c>
      <c r="R3999" t="s">
        <v>41252</v>
      </c>
      <c r="S3999" t="s">
        <v>41383</v>
      </c>
      <c r="T3999" t="s">
        <v>42688</v>
      </c>
      <c r="U3999" t="s">
        <v>46413</v>
      </c>
      <c r="W3999" t="s">
        <v>55956</v>
      </c>
      <c r="X3999" t="s">
        <v>41254</v>
      </c>
    </row>
    <row r="4000" spans="1:24">
      <c r="A4000">
        <f>HYPERLINK("https://www.philgeps.gov.ph/GEPSNONPILOT/Tender/SplashBidNoticeAbstractUI.aspx?menuIndex=3&amp;refID=7075282&amp;Result=3","7075282")</f>
        <v>0</v>
      </c>
      <c r="B4000" t="s">
        <v>1483</v>
      </c>
      <c r="C4000" t="s">
        <v>7222</v>
      </c>
      <c r="D4000" t="s">
        <v>16684</v>
      </c>
      <c r="E4000" t="s">
        <v>17450</v>
      </c>
      <c r="F4000" t="s">
        <v>28669</v>
      </c>
      <c r="G4000" t="s">
        <v>28676</v>
      </c>
      <c r="H4000" t="s">
        <v>9998</v>
      </c>
      <c r="I4000" t="s">
        <v>6128</v>
      </c>
      <c r="J4000" t="s">
        <v>31402</v>
      </c>
      <c r="K4000" t="s">
        <v>37209</v>
      </c>
      <c r="M4000" t="s">
        <v>39052</v>
      </c>
      <c r="N4000" t="s">
        <v>41249</v>
      </c>
      <c r="O4000" t="s">
        <v>41250</v>
      </c>
      <c r="P4000">
        <v>0</v>
      </c>
      <c r="Q4000">
        <v>7</v>
      </c>
      <c r="R4000" t="s">
        <v>41252</v>
      </c>
      <c r="S4000" t="s">
        <v>41383</v>
      </c>
      <c r="T4000" t="s">
        <v>42950</v>
      </c>
      <c r="U4000" t="s">
        <v>44358</v>
      </c>
      <c r="V4000" t="s">
        <v>54689</v>
      </c>
      <c r="W4000" t="s">
        <v>39052</v>
      </c>
      <c r="X4000" t="s">
        <v>41254</v>
      </c>
    </row>
    <row r="4001" spans="1:24">
      <c r="A4001">
        <f>HYPERLINK("https://www.philgeps.gov.ph/GEPSNONPILOT/Tender/SplashBidNoticeAbstractUI.aspx?menuIndex=3&amp;refID=7075235&amp;Result=3","7075235")</f>
        <v>0</v>
      </c>
      <c r="B4001" t="s">
        <v>1419</v>
      </c>
      <c r="C4001" t="s">
        <v>7223</v>
      </c>
      <c r="D4001" t="s">
        <v>16671</v>
      </c>
      <c r="E4001" t="s">
        <v>20315</v>
      </c>
      <c r="F4001" t="s">
        <v>28669</v>
      </c>
      <c r="G4001" t="s">
        <v>28675</v>
      </c>
      <c r="H4001" t="s">
        <v>9998</v>
      </c>
      <c r="I4001" t="s">
        <v>5213</v>
      </c>
      <c r="J4001" t="s">
        <v>28905</v>
      </c>
      <c r="K4001" t="s">
        <v>37204</v>
      </c>
      <c r="M4001" t="s">
        <v>38982</v>
      </c>
      <c r="N4001" t="s">
        <v>41249</v>
      </c>
      <c r="O4001" t="s">
        <v>41250</v>
      </c>
      <c r="P4001">
        <v>0</v>
      </c>
      <c r="Q4001">
        <v>0</v>
      </c>
      <c r="R4001" t="s">
        <v>41252</v>
      </c>
      <c r="S4001" t="s">
        <v>41383</v>
      </c>
      <c r="T4001" t="s">
        <v>42881</v>
      </c>
      <c r="U4001" t="s">
        <v>46522</v>
      </c>
      <c r="V4001" t="s">
        <v>54697</v>
      </c>
      <c r="W4001" t="s">
        <v>38982</v>
      </c>
      <c r="X4001" t="s">
        <v>41254</v>
      </c>
    </row>
    <row r="4002" spans="1:24">
      <c r="A4002">
        <f>HYPERLINK("https://www.philgeps.gov.ph/GEPSNONPILOT/Tender/SplashBidNoticeAbstractUI.aspx?menuIndex=3&amp;refID=7075281&amp;Result=3","7075281")</f>
        <v>0</v>
      </c>
      <c r="B4002" t="s">
        <v>1466</v>
      </c>
      <c r="C4002" t="s">
        <v>7224</v>
      </c>
      <c r="D4002" t="s">
        <v>16679</v>
      </c>
      <c r="E4002" t="s">
        <v>20316</v>
      </c>
      <c r="F4002" t="s">
        <v>28669</v>
      </c>
      <c r="G4002" t="s">
        <v>28675</v>
      </c>
      <c r="H4002" t="s">
        <v>28686</v>
      </c>
      <c r="I4002" t="s">
        <v>28689</v>
      </c>
      <c r="J4002" t="s">
        <v>30777</v>
      </c>
      <c r="K4002" t="s">
        <v>37221</v>
      </c>
      <c r="M4002" t="s">
        <v>39034</v>
      </c>
      <c r="N4002" t="s">
        <v>41249</v>
      </c>
      <c r="O4002" t="s">
        <v>41250</v>
      </c>
      <c r="P4002">
        <v>0</v>
      </c>
      <c r="Q4002">
        <v>2</v>
      </c>
      <c r="R4002" t="s">
        <v>41252</v>
      </c>
      <c r="S4002" t="s">
        <v>41383</v>
      </c>
      <c r="T4002" t="s">
        <v>42688</v>
      </c>
      <c r="U4002" t="s">
        <v>46413</v>
      </c>
      <c r="W4002" t="s">
        <v>55956</v>
      </c>
      <c r="X4002" t="s">
        <v>41254</v>
      </c>
    </row>
    <row r="4003" spans="1:24">
      <c r="A4003">
        <f>HYPERLINK("https://www.philgeps.gov.ph/GEPSNONPILOT/Tender/SplashBidNoticeAbstractUI.aspx?menuIndex=3&amp;refID=7075234&amp;Result=3","7075234")</f>
        <v>0</v>
      </c>
      <c r="B4003" t="s">
        <v>1186</v>
      </c>
      <c r="C4003" t="s">
        <v>7225</v>
      </c>
      <c r="D4003" t="s">
        <v>16664</v>
      </c>
      <c r="E4003" t="s">
        <v>19317</v>
      </c>
      <c r="F4003" t="s">
        <v>28669</v>
      </c>
      <c r="G4003" t="s">
        <v>28676</v>
      </c>
      <c r="H4003" t="s">
        <v>9998</v>
      </c>
      <c r="I4003" t="s">
        <v>28695</v>
      </c>
      <c r="J4003" t="s">
        <v>31403</v>
      </c>
      <c r="K4003" t="s">
        <v>37208</v>
      </c>
      <c r="M4003" t="s">
        <v>38726</v>
      </c>
      <c r="N4003" t="s">
        <v>41249</v>
      </c>
      <c r="O4003" t="s">
        <v>41250</v>
      </c>
      <c r="P4003">
        <v>0</v>
      </c>
      <c r="Q4003">
        <v>0</v>
      </c>
      <c r="R4003" t="s">
        <v>41252</v>
      </c>
      <c r="S4003" t="s">
        <v>41383</v>
      </c>
      <c r="T4003" t="s">
        <v>42736</v>
      </c>
      <c r="U4003" t="s">
        <v>46523</v>
      </c>
      <c r="W4003" t="s">
        <v>38726</v>
      </c>
      <c r="X4003" t="s">
        <v>41254</v>
      </c>
    </row>
    <row r="4004" spans="1:24">
      <c r="A4004">
        <f>HYPERLINK("https://www.philgeps.gov.ph/GEPSNONPILOT/Tender/SplashBidNoticeAbstractUI.aspx?menuIndex=3&amp;refID=7075230&amp;Result=3","7075230")</f>
        <v>0</v>
      </c>
      <c r="B4004" t="s">
        <v>1474</v>
      </c>
      <c r="C4004" t="s">
        <v>7226</v>
      </c>
      <c r="D4004" t="s">
        <v>16680</v>
      </c>
      <c r="E4004" t="s">
        <v>20317</v>
      </c>
      <c r="F4004" t="s">
        <v>28669</v>
      </c>
      <c r="G4004" t="s">
        <v>28676</v>
      </c>
      <c r="H4004" t="s">
        <v>9998</v>
      </c>
      <c r="I4004" t="s">
        <v>28689</v>
      </c>
      <c r="J4004" t="s">
        <v>28826</v>
      </c>
      <c r="K4004" t="s">
        <v>37243</v>
      </c>
      <c r="M4004" t="s">
        <v>39042</v>
      </c>
      <c r="N4004" t="s">
        <v>41249</v>
      </c>
      <c r="O4004" t="s">
        <v>41250</v>
      </c>
      <c r="P4004">
        <v>0</v>
      </c>
      <c r="Q4004">
        <v>0</v>
      </c>
      <c r="R4004" t="s">
        <v>41252</v>
      </c>
      <c r="S4004" t="s">
        <v>41383</v>
      </c>
      <c r="T4004" t="s">
        <v>42743</v>
      </c>
      <c r="U4004" t="s">
        <v>46524</v>
      </c>
      <c r="W4004" t="s">
        <v>39042</v>
      </c>
      <c r="X4004" t="s">
        <v>41254</v>
      </c>
    </row>
    <row r="4005" spans="1:24">
      <c r="A4005">
        <f>HYPERLINK("https://www.philgeps.gov.ph/GEPSNONPILOT/Tender/SplashBidNoticeAbstractUI.aspx?menuIndex=3&amp;refID=7075280&amp;Result=3","7075280")</f>
        <v>0</v>
      </c>
      <c r="B4005" t="s">
        <v>1495</v>
      </c>
      <c r="C4005" t="s">
        <v>7227</v>
      </c>
      <c r="D4005" t="s">
        <v>16657</v>
      </c>
      <c r="E4005" t="s">
        <v>7227</v>
      </c>
      <c r="F4005" t="s">
        <v>28669</v>
      </c>
      <c r="G4005" t="s">
        <v>28675</v>
      </c>
      <c r="H4005" t="s">
        <v>9998</v>
      </c>
      <c r="I4005" t="s">
        <v>28696</v>
      </c>
      <c r="J4005" t="s">
        <v>31404</v>
      </c>
      <c r="K4005" t="s">
        <v>37209</v>
      </c>
      <c r="M4005" t="s">
        <v>39066</v>
      </c>
      <c r="N4005" t="s">
        <v>41249</v>
      </c>
      <c r="O4005" t="s">
        <v>41250</v>
      </c>
      <c r="P4005">
        <v>0</v>
      </c>
      <c r="Q4005">
        <v>5</v>
      </c>
      <c r="R4005" t="s">
        <v>41252</v>
      </c>
      <c r="S4005" t="s">
        <v>41383</v>
      </c>
      <c r="T4005" t="s">
        <v>42955</v>
      </c>
      <c r="U4005" t="s">
        <v>46525</v>
      </c>
      <c r="W4005" t="s">
        <v>39066</v>
      </c>
      <c r="X4005" t="s">
        <v>41254</v>
      </c>
    </row>
    <row r="4006" spans="1:24">
      <c r="A4006">
        <f>HYPERLINK("https://www.philgeps.gov.ph/GEPSNONPILOT/Tender/SplashBidNoticeAbstractUI.aspx?menuIndex=3&amp;refID=7075229&amp;Result=3","7075229")</f>
        <v>0</v>
      </c>
      <c r="B4006" t="s">
        <v>1490</v>
      </c>
      <c r="C4006" t="s">
        <v>7228</v>
      </c>
      <c r="D4006" t="s">
        <v>16654</v>
      </c>
      <c r="E4006" t="s">
        <v>20318</v>
      </c>
      <c r="F4006" t="s">
        <v>28669</v>
      </c>
      <c r="G4006" t="s">
        <v>28675</v>
      </c>
      <c r="H4006" t="s">
        <v>28686</v>
      </c>
      <c r="I4006" t="s">
        <v>28689</v>
      </c>
      <c r="J4006" t="s">
        <v>31405</v>
      </c>
      <c r="K4006" t="s">
        <v>37342</v>
      </c>
      <c r="M4006" t="s">
        <v>39067</v>
      </c>
      <c r="N4006" t="s">
        <v>41249</v>
      </c>
      <c r="O4006" t="s">
        <v>41250</v>
      </c>
      <c r="P4006">
        <v>0</v>
      </c>
      <c r="Q4006">
        <v>1</v>
      </c>
      <c r="R4006" t="s">
        <v>41252</v>
      </c>
      <c r="S4006" t="s">
        <v>41383</v>
      </c>
      <c r="T4006" t="s">
        <v>42715</v>
      </c>
      <c r="U4006" t="s">
        <v>46526</v>
      </c>
      <c r="W4006" t="s">
        <v>39067</v>
      </c>
      <c r="X4006" t="s">
        <v>41254</v>
      </c>
    </row>
    <row r="4007" spans="1:24">
      <c r="A4007">
        <f>HYPERLINK("https://www.philgeps.gov.ph/GEPSNONPILOT/Tender/SplashBidNoticeAbstractUI.aspx?menuIndex=3&amp;refID=7075208&amp;Result=3","7075208")</f>
        <v>0</v>
      </c>
      <c r="B4007" t="s">
        <v>151</v>
      </c>
      <c r="C4007" t="s">
        <v>7229</v>
      </c>
      <c r="D4007" t="s">
        <v>16632</v>
      </c>
      <c r="E4007" t="s">
        <v>20319</v>
      </c>
      <c r="F4007" t="s">
        <v>28669</v>
      </c>
      <c r="G4007" t="s">
        <v>28676</v>
      </c>
      <c r="H4007" t="s">
        <v>9998</v>
      </c>
      <c r="I4007" t="s">
        <v>11593</v>
      </c>
      <c r="J4007" t="s">
        <v>29505</v>
      </c>
      <c r="K4007" t="s">
        <v>37206</v>
      </c>
      <c r="M4007" t="s">
        <v>37628</v>
      </c>
      <c r="N4007" t="s">
        <v>41249</v>
      </c>
      <c r="O4007" t="s">
        <v>41250</v>
      </c>
      <c r="P4007">
        <v>0</v>
      </c>
      <c r="Q4007">
        <v>3</v>
      </c>
      <c r="R4007" t="s">
        <v>41252</v>
      </c>
      <c r="S4007" t="s">
        <v>41383</v>
      </c>
      <c r="T4007" t="s">
        <v>42827</v>
      </c>
      <c r="U4007" t="s">
        <v>45347</v>
      </c>
      <c r="W4007" t="s">
        <v>55902</v>
      </c>
      <c r="X4007" t="s">
        <v>41254</v>
      </c>
    </row>
    <row r="4008" spans="1:24">
      <c r="A4008">
        <f>HYPERLINK("https://www.philgeps.gov.ph/GEPSNONPILOT/Tender/SplashBidNoticeAbstractUI.aspx?menuIndex=3&amp;refID=7075256&amp;Result=3","7075256")</f>
        <v>0</v>
      </c>
      <c r="B4008" t="s">
        <v>597</v>
      </c>
      <c r="C4008" t="s">
        <v>7230</v>
      </c>
      <c r="D4008" t="s">
        <v>16615</v>
      </c>
      <c r="E4008" t="s">
        <v>20320</v>
      </c>
      <c r="F4008" t="s">
        <v>28669</v>
      </c>
      <c r="G4008" t="s">
        <v>28676</v>
      </c>
      <c r="H4008" t="s">
        <v>9998</v>
      </c>
      <c r="I4008" t="s">
        <v>28688</v>
      </c>
      <c r="J4008" t="s">
        <v>31406</v>
      </c>
      <c r="K4008" t="s">
        <v>37206</v>
      </c>
      <c r="M4008" t="s">
        <v>38096</v>
      </c>
      <c r="N4008" t="s">
        <v>41249</v>
      </c>
      <c r="O4008" t="s">
        <v>41250</v>
      </c>
      <c r="P4008">
        <v>0</v>
      </c>
      <c r="Q4008">
        <v>3</v>
      </c>
      <c r="R4008" t="s">
        <v>41252</v>
      </c>
      <c r="S4008" t="s">
        <v>41383</v>
      </c>
      <c r="T4008" t="s">
        <v>42774</v>
      </c>
      <c r="U4008" t="s">
        <v>44287</v>
      </c>
      <c r="W4008" t="s">
        <v>55922</v>
      </c>
      <c r="X4008" t="s">
        <v>41254</v>
      </c>
    </row>
    <row r="4009" spans="1:24">
      <c r="A4009">
        <f>HYPERLINK("https://www.philgeps.gov.ph/GEPSNONPILOT/Tender/SplashBidNoticeAbstractUI.aspx?menuIndex=3&amp;refID=7075307&amp;Result=3","7075307")</f>
        <v>0</v>
      </c>
      <c r="B4009" t="s">
        <v>1480</v>
      </c>
      <c r="C4009" t="s">
        <v>7231</v>
      </c>
      <c r="D4009" t="s">
        <v>16615</v>
      </c>
      <c r="E4009" t="s">
        <v>20321</v>
      </c>
      <c r="F4009" t="s">
        <v>28669</v>
      </c>
      <c r="G4009" t="s">
        <v>28676</v>
      </c>
      <c r="H4009" t="s">
        <v>9998</v>
      </c>
      <c r="I4009" t="s">
        <v>28758</v>
      </c>
      <c r="J4009" t="s">
        <v>28834</v>
      </c>
      <c r="K4009" t="s">
        <v>37205</v>
      </c>
      <c r="M4009" t="s">
        <v>39049</v>
      </c>
      <c r="N4009" t="s">
        <v>41249</v>
      </c>
      <c r="O4009" t="s">
        <v>41250</v>
      </c>
      <c r="P4009">
        <v>0</v>
      </c>
      <c r="Q4009">
        <v>1</v>
      </c>
      <c r="R4009" t="s">
        <v>41252</v>
      </c>
      <c r="S4009" t="s">
        <v>41383</v>
      </c>
      <c r="T4009" t="s">
        <v>42758</v>
      </c>
      <c r="U4009" t="s">
        <v>46527</v>
      </c>
      <c r="W4009" t="s">
        <v>39049</v>
      </c>
      <c r="X4009" t="s">
        <v>41254</v>
      </c>
    </row>
    <row r="4010" spans="1:24">
      <c r="A4010">
        <f>HYPERLINK("https://www.philgeps.gov.ph/GEPSNONPILOT/Tender/SplashBidNoticeAbstractUI.aspx?menuIndex=3&amp;refID=7075306&amp;Result=3","7075306")</f>
        <v>0</v>
      </c>
      <c r="B4010" t="s">
        <v>1489</v>
      </c>
      <c r="C4010" t="s">
        <v>7232</v>
      </c>
      <c r="D4010" t="s">
        <v>16624</v>
      </c>
      <c r="E4010" t="s">
        <v>20322</v>
      </c>
      <c r="F4010" t="s">
        <v>28669</v>
      </c>
      <c r="G4010" t="s">
        <v>28675</v>
      </c>
      <c r="H4010" t="s">
        <v>28686</v>
      </c>
      <c r="I4010" t="s">
        <v>28689</v>
      </c>
      <c r="J4010" t="s">
        <v>31407</v>
      </c>
      <c r="K4010" t="s">
        <v>37213</v>
      </c>
      <c r="M4010" t="s">
        <v>39060</v>
      </c>
      <c r="N4010" t="s">
        <v>41249</v>
      </c>
      <c r="O4010" t="s">
        <v>41250</v>
      </c>
      <c r="P4010">
        <v>0</v>
      </c>
      <c r="Q4010">
        <v>0</v>
      </c>
      <c r="R4010" t="s">
        <v>41252</v>
      </c>
      <c r="S4010" t="s">
        <v>41383</v>
      </c>
      <c r="T4010" t="s">
        <v>42682</v>
      </c>
      <c r="U4010" t="s">
        <v>46528</v>
      </c>
      <c r="W4010" t="s">
        <v>39060</v>
      </c>
      <c r="X4010" t="s">
        <v>41254</v>
      </c>
    </row>
    <row r="4011" spans="1:24">
      <c r="A4011">
        <f>HYPERLINK("https://www.philgeps.gov.ph/GEPSNONPILOT/Tender/SplashBidNoticeAbstractUI.aspx?menuIndex=3&amp;refID=7075305&amp;Result=3","7075305")</f>
        <v>0</v>
      </c>
      <c r="B4011" t="s">
        <v>662</v>
      </c>
      <c r="C4011" t="s">
        <v>7233</v>
      </c>
      <c r="D4011" t="s">
        <v>16635</v>
      </c>
      <c r="E4011" t="s">
        <v>20323</v>
      </c>
      <c r="F4011" t="s">
        <v>28669</v>
      </c>
      <c r="G4011" t="s">
        <v>28676</v>
      </c>
      <c r="H4011" t="s">
        <v>28686</v>
      </c>
      <c r="I4011" t="s">
        <v>28689</v>
      </c>
      <c r="J4011" t="s">
        <v>31408</v>
      </c>
      <c r="K4011" t="s">
        <v>37206</v>
      </c>
      <c r="M4011" t="s">
        <v>38164</v>
      </c>
      <c r="N4011" t="s">
        <v>41249</v>
      </c>
      <c r="O4011" t="s">
        <v>41250</v>
      </c>
      <c r="P4011">
        <v>0</v>
      </c>
      <c r="Q4011">
        <v>0</v>
      </c>
      <c r="R4011" t="s">
        <v>41252</v>
      </c>
      <c r="S4011" t="s">
        <v>41383</v>
      </c>
      <c r="T4011" t="s">
        <v>42809</v>
      </c>
      <c r="U4011" t="s">
        <v>46529</v>
      </c>
      <c r="W4011" t="s">
        <v>38164</v>
      </c>
      <c r="X4011" t="s">
        <v>41254</v>
      </c>
    </row>
    <row r="4012" spans="1:24">
      <c r="A4012">
        <f>HYPERLINK("https://www.philgeps.gov.ph/GEPSNONPILOT/Tender/SplashBidNoticeAbstractUI.aspx?menuIndex=3&amp;refID=7075232&amp;Result=3","7075232")</f>
        <v>0</v>
      </c>
      <c r="B4012" t="s">
        <v>1480</v>
      </c>
      <c r="C4012" t="s">
        <v>7234</v>
      </c>
      <c r="D4012" t="s">
        <v>16615</v>
      </c>
      <c r="E4012" t="s">
        <v>20324</v>
      </c>
      <c r="F4012" t="s">
        <v>28669</v>
      </c>
      <c r="G4012" t="s">
        <v>28678</v>
      </c>
      <c r="H4012" t="s">
        <v>9998</v>
      </c>
      <c r="I4012" t="s">
        <v>6128</v>
      </c>
      <c r="J4012" t="s">
        <v>31409</v>
      </c>
      <c r="K4012" t="s">
        <v>37204</v>
      </c>
      <c r="M4012" t="s">
        <v>39049</v>
      </c>
      <c r="N4012" t="s">
        <v>41249</v>
      </c>
      <c r="O4012" t="s">
        <v>41250</v>
      </c>
      <c r="P4012">
        <v>0</v>
      </c>
      <c r="Q4012">
        <v>1</v>
      </c>
      <c r="R4012" t="s">
        <v>41252</v>
      </c>
      <c r="S4012" t="s">
        <v>41383</v>
      </c>
      <c r="T4012" t="s">
        <v>42758</v>
      </c>
      <c r="U4012" t="s">
        <v>46530</v>
      </c>
      <c r="W4012" t="s">
        <v>39049</v>
      </c>
      <c r="X4012" t="s">
        <v>41254</v>
      </c>
    </row>
    <row r="4013" spans="1:24">
      <c r="A4013">
        <f>HYPERLINK("https://www.philgeps.gov.ph/GEPSNONPILOT/Tender/SplashBidNoticeAbstractUI.aspx?menuIndex=3&amp;refID=7075302&amp;Result=3","7075302")</f>
        <v>0</v>
      </c>
      <c r="B4013" t="s">
        <v>1474</v>
      </c>
      <c r="C4013" t="s">
        <v>7226</v>
      </c>
      <c r="D4013" t="s">
        <v>16680</v>
      </c>
      <c r="E4013" t="s">
        <v>20325</v>
      </c>
      <c r="F4013" t="s">
        <v>28669</v>
      </c>
      <c r="G4013" t="s">
        <v>28676</v>
      </c>
      <c r="H4013" t="s">
        <v>9998</v>
      </c>
      <c r="I4013" t="s">
        <v>28689</v>
      </c>
      <c r="J4013" t="s">
        <v>28826</v>
      </c>
      <c r="K4013" t="s">
        <v>37243</v>
      </c>
      <c r="M4013" t="s">
        <v>39042</v>
      </c>
      <c r="N4013" t="s">
        <v>41249</v>
      </c>
      <c r="O4013" t="s">
        <v>41250</v>
      </c>
      <c r="P4013">
        <v>0</v>
      </c>
      <c r="Q4013">
        <v>0</v>
      </c>
      <c r="R4013" t="s">
        <v>41252</v>
      </c>
      <c r="S4013" t="s">
        <v>41383</v>
      </c>
      <c r="T4013" t="s">
        <v>42743</v>
      </c>
      <c r="U4013" t="s">
        <v>46531</v>
      </c>
      <c r="W4013" t="s">
        <v>39042</v>
      </c>
      <c r="X4013" t="s">
        <v>41254</v>
      </c>
    </row>
    <row r="4014" spans="1:24">
      <c r="A4014">
        <f>HYPERLINK("https://www.philgeps.gov.ph/GEPSNONPILOT/Tender/SplashBidNoticeAbstractUI.aspx?menuIndex=3&amp;refID=7075301&amp;Result=3","7075301")</f>
        <v>0</v>
      </c>
      <c r="B4014" t="s">
        <v>1496</v>
      </c>
      <c r="C4014" t="s">
        <v>7235</v>
      </c>
      <c r="D4014" t="s">
        <v>16621</v>
      </c>
      <c r="E4014" t="s">
        <v>20326</v>
      </c>
      <c r="F4014" t="s">
        <v>28669</v>
      </c>
      <c r="G4014" t="s">
        <v>28675</v>
      </c>
      <c r="H4014" t="s">
        <v>9998</v>
      </c>
      <c r="I4014" t="s">
        <v>28701</v>
      </c>
      <c r="J4014" t="s">
        <v>31410</v>
      </c>
      <c r="K4014" t="s">
        <v>37326</v>
      </c>
      <c r="M4014" t="s">
        <v>39068</v>
      </c>
      <c r="N4014" t="s">
        <v>41249</v>
      </c>
      <c r="O4014" t="s">
        <v>41250</v>
      </c>
      <c r="P4014">
        <v>0</v>
      </c>
      <c r="Q4014">
        <v>1</v>
      </c>
      <c r="R4014" t="s">
        <v>41252</v>
      </c>
      <c r="S4014" t="s">
        <v>41383</v>
      </c>
      <c r="T4014" t="s">
        <v>42716</v>
      </c>
      <c r="U4014" t="s">
        <v>46532</v>
      </c>
      <c r="W4014" t="s">
        <v>39068</v>
      </c>
      <c r="X4014" t="s">
        <v>41254</v>
      </c>
    </row>
    <row r="4015" spans="1:24">
      <c r="A4015">
        <f>HYPERLINK("https://www.philgeps.gov.ph/GEPSNONPILOT/Tender/SplashBidNoticeAbstractUI.aspx?menuIndex=3&amp;refID=7075299&amp;Result=3","7075299")</f>
        <v>0</v>
      </c>
      <c r="B4015" t="s">
        <v>1497</v>
      </c>
      <c r="C4015" t="s">
        <v>7236</v>
      </c>
      <c r="D4015" t="s">
        <v>16637</v>
      </c>
      <c r="E4015" t="s">
        <v>20327</v>
      </c>
      <c r="F4015" t="s">
        <v>28669</v>
      </c>
      <c r="G4015" t="s">
        <v>28676</v>
      </c>
      <c r="H4015" t="s">
        <v>9998</v>
      </c>
      <c r="I4015" t="s">
        <v>28743</v>
      </c>
      <c r="J4015" t="s">
        <v>28834</v>
      </c>
      <c r="K4015" t="s">
        <v>37206</v>
      </c>
      <c r="M4015" t="s">
        <v>39069</v>
      </c>
      <c r="N4015" t="s">
        <v>41249</v>
      </c>
      <c r="O4015" t="s">
        <v>41250</v>
      </c>
      <c r="P4015">
        <v>0</v>
      </c>
      <c r="Q4015">
        <v>0</v>
      </c>
      <c r="R4015" t="s">
        <v>41252</v>
      </c>
      <c r="S4015" t="s">
        <v>41383</v>
      </c>
      <c r="T4015" t="s">
        <v>42743</v>
      </c>
      <c r="U4015" t="s">
        <v>46533</v>
      </c>
      <c r="W4015" t="s">
        <v>39069</v>
      </c>
      <c r="X4015" t="s">
        <v>41254</v>
      </c>
    </row>
    <row r="4016" spans="1:24">
      <c r="A4016">
        <f>HYPERLINK("https://www.philgeps.gov.ph/GEPSNONPILOT/Tender/SplashBidNoticeAbstractUI.aspx?menuIndex=3&amp;refID=7075298&amp;Result=3","7075298")</f>
        <v>0</v>
      </c>
      <c r="B4016" t="s">
        <v>1498</v>
      </c>
      <c r="C4016" t="s">
        <v>4447</v>
      </c>
      <c r="D4016" t="s">
        <v>16618</v>
      </c>
      <c r="E4016" t="s">
        <v>19606</v>
      </c>
      <c r="F4016" t="s">
        <v>28669</v>
      </c>
      <c r="G4016" t="s">
        <v>28675</v>
      </c>
      <c r="H4016" t="s">
        <v>9998</v>
      </c>
      <c r="I4016" t="s">
        <v>5286</v>
      </c>
      <c r="J4016" t="s">
        <v>28879</v>
      </c>
      <c r="K4016" t="s">
        <v>37210</v>
      </c>
      <c r="M4016" t="s">
        <v>39070</v>
      </c>
      <c r="N4016" t="s">
        <v>41249</v>
      </c>
      <c r="O4016" t="s">
        <v>41250</v>
      </c>
      <c r="P4016">
        <v>0</v>
      </c>
      <c r="Q4016">
        <v>0</v>
      </c>
      <c r="R4016" t="s">
        <v>41252</v>
      </c>
      <c r="S4016" t="s">
        <v>41383</v>
      </c>
      <c r="T4016" t="s">
        <v>42759</v>
      </c>
      <c r="U4016" t="s">
        <v>46534</v>
      </c>
      <c r="W4016" t="s">
        <v>39070</v>
      </c>
      <c r="X4016" t="s">
        <v>41254</v>
      </c>
    </row>
    <row r="4017" spans="1:24">
      <c r="A4017">
        <f>HYPERLINK("https://www.philgeps.gov.ph/GEPSNONPILOT/Tender/SplashBidNoticeAbstractUI.aspx?menuIndex=3&amp;refID=7075297&amp;Result=3","7075297")</f>
        <v>0</v>
      </c>
      <c r="B4017" t="s">
        <v>1394</v>
      </c>
      <c r="C4017" t="s">
        <v>7237</v>
      </c>
      <c r="D4017" t="s">
        <v>16679</v>
      </c>
      <c r="E4017" t="s">
        <v>20328</v>
      </c>
      <c r="F4017" t="s">
        <v>28669</v>
      </c>
      <c r="G4017" t="s">
        <v>28677</v>
      </c>
      <c r="H4017" t="s">
        <v>9998</v>
      </c>
      <c r="I4017" t="s">
        <v>6128</v>
      </c>
      <c r="J4017" t="s">
        <v>31411</v>
      </c>
      <c r="K4017" t="s">
        <v>37208</v>
      </c>
      <c r="M4017" t="s">
        <v>38956</v>
      </c>
      <c r="N4017" t="s">
        <v>41249</v>
      </c>
      <c r="O4017" t="s">
        <v>41250</v>
      </c>
      <c r="P4017">
        <v>0</v>
      </c>
      <c r="Q4017">
        <v>1</v>
      </c>
      <c r="R4017" t="s">
        <v>41252</v>
      </c>
      <c r="S4017" t="s">
        <v>41383</v>
      </c>
      <c r="T4017" t="s">
        <v>42883</v>
      </c>
      <c r="U4017" t="s">
        <v>46535</v>
      </c>
      <c r="W4017" t="s">
        <v>38956</v>
      </c>
      <c r="X4017" t="s">
        <v>41254</v>
      </c>
    </row>
    <row r="4018" spans="1:24">
      <c r="A4018">
        <f>HYPERLINK("https://www.philgeps.gov.ph/GEPSNONPILOT/Tender/SplashBidNoticeAbstractUI.aspx?menuIndex=3&amp;refID=7075303&amp;Result=3","7075303")</f>
        <v>0</v>
      </c>
      <c r="B4018" t="s">
        <v>1499</v>
      </c>
      <c r="C4018" t="s">
        <v>7238</v>
      </c>
      <c r="D4018" t="s">
        <v>16662</v>
      </c>
      <c r="E4018" t="s">
        <v>17954</v>
      </c>
      <c r="F4018" t="s">
        <v>28669</v>
      </c>
      <c r="G4018" t="s">
        <v>28676</v>
      </c>
      <c r="H4018" t="s">
        <v>9998</v>
      </c>
      <c r="I4018" t="s">
        <v>28803</v>
      </c>
      <c r="J4018" t="s">
        <v>29040</v>
      </c>
      <c r="K4018" t="s">
        <v>37209</v>
      </c>
      <c r="M4018" t="s">
        <v>39071</v>
      </c>
      <c r="N4018" t="s">
        <v>41249</v>
      </c>
      <c r="O4018" t="s">
        <v>41250</v>
      </c>
      <c r="P4018">
        <v>0</v>
      </c>
      <c r="Q4018">
        <v>0</v>
      </c>
      <c r="R4018" t="s">
        <v>41252</v>
      </c>
      <c r="S4018" t="s">
        <v>41383</v>
      </c>
      <c r="T4018" t="s">
        <v>42774</v>
      </c>
      <c r="U4018" t="s">
        <v>46536</v>
      </c>
      <c r="W4018" t="s">
        <v>39071</v>
      </c>
      <c r="X4018" t="s">
        <v>41254</v>
      </c>
    </row>
    <row r="4019" spans="1:24">
      <c r="A4019">
        <f>HYPERLINK("https://www.philgeps.gov.ph/GEPSNONPILOT/Tender/SplashBidNoticeAbstractUI.aspx?menuIndex=3&amp;refID=7075295&amp;Result=3","7075295")</f>
        <v>0</v>
      </c>
      <c r="B4019" t="s">
        <v>1500</v>
      </c>
      <c r="C4019" t="s">
        <v>7239</v>
      </c>
      <c r="D4019" t="s">
        <v>16639</v>
      </c>
      <c r="E4019" t="s">
        <v>20329</v>
      </c>
      <c r="F4019" t="s">
        <v>28669</v>
      </c>
      <c r="G4019" t="s">
        <v>28675</v>
      </c>
      <c r="H4019" t="s">
        <v>28686</v>
      </c>
      <c r="I4019" t="s">
        <v>28689</v>
      </c>
      <c r="J4019" t="s">
        <v>31412</v>
      </c>
      <c r="K4019" t="s">
        <v>37215</v>
      </c>
      <c r="M4019" t="s">
        <v>39072</v>
      </c>
      <c r="N4019" t="s">
        <v>41249</v>
      </c>
      <c r="O4019" t="s">
        <v>41250</v>
      </c>
      <c r="P4019">
        <v>0</v>
      </c>
      <c r="Q4019">
        <v>3</v>
      </c>
      <c r="R4019" t="s">
        <v>41252</v>
      </c>
      <c r="S4019" t="s">
        <v>41383</v>
      </c>
      <c r="T4019" t="s">
        <v>42693</v>
      </c>
      <c r="U4019" t="s">
        <v>46537</v>
      </c>
      <c r="V4019" t="s">
        <v>54328</v>
      </c>
      <c r="W4019" t="s">
        <v>39072</v>
      </c>
      <c r="X4019" t="s">
        <v>41254</v>
      </c>
    </row>
    <row r="4020" spans="1:24">
      <c r="A4020">
        <f>HYPERLINK("https://www.philgeps.gov.ph/GEPSNONPILOT/Tender/SplashBidNoticeAbstractUI.aspx?menuIndex=3&amp;refID=7075292&amp;Result=3","7075292")</f>
        <v>0</v>
      </c>
      <c r="B4020" t="s">
        <v>560</v>
      </c>
      <c r="C4020" t="s">
        <v>7240</v>
      </c>
      <c r="E4020" t="s">
        <v>20330</v>
      </c>
      <c r="F4020" t="s">
        <v>28669</v>
      </c>
      <c r="G4020" t="s">
        <v>28676</v>
      </c>
      <c r="H4020" t="s">
        <v>9998</v>
      </c>
      <c r="I4020" t="s">
        <v>28729</v>
      </c>
      <c r="J4020" t="s">
        <v>31413</v>
      </c>
      <c r="K4020" t="s">
        <v>37209</v>
      </c>
      <c r="M4020" t="s">
        <v>38053</v>
      </c>
      <c r="N4020" t="s">
        <v>41249</v>
      </c>
      <c r="O4020" t="s">
        <v>41250</v>
      </c>
      <c r="P4020">
        <v>0</v>
      </c>
      <c r="Q4020">
        <v>23</v>
      </c>
      <c r="R4020" t="s">
        <v>41252</v>
      </c>
      <c r="S4020" t="s">
        <v>41383</v>
      </c>
      <c r="T4020" t="s">
        <v>42736</v>
      </c>
      <c r="U4020" t="s">
        <v>46538</v>
      </c>
      <c r="V4020" t="s">
        <v>54698</v>
      </c>
      <c r="W4020" t="s">
        <v>38053</v>
      </c>
      <c r="X4020" t="s">
        <v>41254</v>
      </c>
    </row>
    <row r="4021" spans="1:24">
      <c r="A4021">
        <f>HYPERLINK("https://www.philgeps.gov.ph/GEPSNONPILOT/Tender/SplashBidNoticeAbstractUI.aspx?menuIndex=3&amp;refID=7075304&amp;Result=3","7075304")</f>
        <v>0</v>
      </c>
      <c r="B4021" t="s">
        <v>1466</v>
      </c>
      <c r="C4021" t="s">
        <v>7241</v>
      </c>
      <c r="D4021" t="s">
        <v>16679</v>
      </c>
      <c r="E4021" t="s">
        <v>20331</v>
      </c>
      <c r="F4021" t="s">
        <v>28669</v>
      </c>
      <c r="G4021" t="s">
        <v>28675</v>
      </c>
      <c r="H4021" t="s">
        <v>28686</v>
      </c>
      <c r="I4021" t="s">
        <v>28689</v>
      </c>
      <c r="J4021" t="s">
        <v>30503</v>
      </c>
      <c r="K4021" t="s">
        <v>37220</v>
      </c>
      <c r="M4021" t="s">
        <v>39034</v>
      </c>
      <c r="N4021" t="s">
        <v>41249</v>
      </c>
      <c r="O4021" t="s">
        <v>41250</v>
      </c>
      <c r="P4021">
        <v>0</v>
      </c>
      <c r="Q4021">
        <v>2</v>
      </c>
      <c r="R4021" t="s">
        <v>41252</v>
      </c>
      <c r="S4021" t="s">
        <v>41383</v>
      </c>
      <c r="T4021" t="s">
        <v>42688</v>
      </c>
      <c r="U4021" t="s">
        <v>46413</v>
      </c>
      <c r="W4021" t="s">
        <v>55956</v>
      </c>
      <c r="X4021" t="s">
        <v>41254</v>
      </c>
    </row>
    <row r="4022" spans="1:24">
      <c r="A4022">
        <f>HYPERLINK("https://www.philgeps.gov.ph/GEPSNONPILOT/Tender/SplashBidNoticeAbstractUI.aspx?menuIndex=3&amp;refID=7075291&amp;Result=3","7075291")</f>
        <v>0</v>
      </c>
      <c r="B4022" t="s">
        <v>1226</v>
      </c>
      <c r="C4022" t="s">
        <v>7242</v>
      </c>
      <c r="D4022" t="s">
        <v>16642</v>
      </c>
      <c r="E4022" t="s">
        <v>20332</v>
      </c>
      <c r="F4022" t="s">
        <v>28669</v>
      </c>
      <c r="G4022" t="s">
        <v>28676</v>
      </c>
      <c r="H4022" t="s">
        <v>9998</v>
      </c>
      <c r="I4022" t="s">
        <v>28694</v>
      </c>
      <c r="J4022" t="s">
        <v>28894</v>
      </c>
      <c r="K4022" t="s">
        <v>37206</v>
      </c>
      <c r="M4022" t="s">
        <v>38770</v>
      </c>
      <c r="N4022" t="s">
        <v>41249</v>
      </c>
      <c r="O4022" t="s">
        <v>41250</v>
      </c>
      <c r="P4022">
        <v>0</v>
      </c>
      <c r="Q4022">
        <v>0</v>
      </c>
      <c r="R4022" t="s">
        <v>41252</v>
      </c>
      <c r="S4022" t="s">
        <v>41383</v>
      </c>
      <c r="T4022" t="s">
        <v>42736</v>
      </c>
      <c r="U4022" t="s">
        <v>45729</v>
      </c>
      <c r="V4022" t="s">
        <v>54699</v>
      </c>
      <c r="W4022" t="s">
        <v>38770</v>
      </c>
      <c r="X4022" t="s">
        <v>41254</v>
      </c>
    </row>
    <row r="4023" spans="1:24">
      <c r="A4023">
        <f>HYPERLINK("https://www.philgeps.gov.ph/GEPSNONPILOT/Tender/SplashBidNoticeAbstractUI.aspx?menuIndex=3&amp;refID=7075290&amp;Result=3","7075290")</f>
        <v>0</v>
      </c>
      <c r="B4023" t="s">
        <v>1493</v>
      </c>
      <c r="C4023" t="s">
        <v>7243</v>
      </c>
      <c r="D4023" t="s">
        <v>16630</v>
      </c>
      <c r="E4023" t="s">
        <v>20333</v>
      </c>
      <c r="F4023" t="s">
        <v>28669</v>
      </c>
      <c r="G4023" t="s">
        <v>28675</v>
      </c>
      <c r="H4023" t="s">
        <v>28686</v>
      </c>
      <c r="I4023" t="s">
        <v>28689</v>
      </c>
      <c r="J4023" t="s">
        <v>31414</v>
      </c>
      <c r="K4023" t="s">
        <v>37214</v>
      </c>
      <c r="M4023" t="s">
        <v>39064</v>
      </c>
      <c r="N4023" t="s">
        <v>41249</v>
      </c>
      <c r="O4023" t="s">
        <v>41250</v>
      </c>
      <c r="P4023">
        <v>0</v>
      </c>
      <c r="Q4023">
        <v>0</v>
      </c>
      <c r="R4023" t="s">
        <v>41252</v>
      </c>
      <c r="S4023" t="s">
        <v>41383</v>
      </c>
      <c r="T4023" t="s">
        <v>42932</v>
      </c>
      <c r="U4023" t="s">
        <v>46539</v>
      </c>
      <c r="W4023" t="s">
        <v>55958</v>
      </c>
      <c r="X4023" t="s">
        <v>41254</v>
      </c>
    </row>
    <row r="4024" spans="1:24">
      <c r="A4024">
        <f>HYPERLINK("https://www.philgeps.gov.ph/GEPSNONPILOT/Tender/SplashBidNoticeAbstractUI.aspx?menuIndex=3&amp;refID=7075300&amp;Result=3","7075300")</f>
        <v>0</v>
      </c>
      <c r="B4024" t="s">
        <v>725</v>
      </c>
      <c r="C4024" t="s">
        <v>7244</v>
      </c>
      <c r="D4024" t="s">
        <v>16671</v>
      </c>
      <c r="E4024" t="s">
        <v>20334</v>
      </c>
      <c r="F4024" t="s">
        <v>28669</v>
      </c>
      <c r="G4024" t="s">
        <v>28676</v>
      </c>
      <c r="H4024" t="s">
        <v>9998</v>
      </c>
      <c r="I4024" t="s">
        <v>3718</v>
      </c>
      <c r="J4024" t="s">
        <v>31415</v>
      </c>
      <c r="K4024" t="s">
        <v>37205</v>
      </c>
      <c r="M4024" t="s">
        <v>38233</v>
      </c>
      <c r="N4024" t="s">
        <v>41249</v>
      </c>
      <c r="O4024" t="s">
        <v>41250</v>
      </c>
      <c r="P4024">
        <v>0</v>
      </c>
      <c r="Q4024">
        <v>5</v>
      </c>
      <c r="R4024" t="s">
        <v>41252</v>
      </c>
      <c r="S4024" t="s">
        <v>41383</v>
      </c>
      <c r="T4024" t="s">
        <v>42665</v>
      </c>
      <c r="U4024" t="s">
        <v>46540</v>
      </c>
      <c r="W4024" t="s">
        <v>38233</v>
      </c>
      <c r="X4024" t="s">
        <v>41254</v>
      </c>
    </row>
    <row r="4025" spans="1:24">
      <c r="A4025">
        <f>HYPERLINK("https://www.philgeps.gov.ph/GEPSNONPILOT/Tender/SplashBidNoticeAbstractUI.aspx?menuIndex=3&amp;refID=7075331&amp;Result=3","7075331")</f>
        <v>0</v>
      </c>
      <c r="B4025" t="s">
        <v>1480</v>
      </c>
      <c r="C4025" t="s">
        <v>7245</v>
      </c>
      <c r="D4025" t="s">
        <v>16615</v>
      </c>
      <c r="E4025" t="s">
        <v>20335</v>
      </c>
      <c r="F4025" t="s">
        <v>28669</v>
      </c>
      <c r="G4025" t="s">
        <v>28676</v>
      </c>
      <c r="H4025" t="s">
        <v>9998</v>
      </c>
      <c r="I4025" t="s">
        <v>7352</v>
      </c>
      <c r="J4025" t="s">
        <v>31416</v>
      </c>
      <c r="K4025" t="s">
        <v>37204</v>
      </c>
      <c r="M4025" t="s">
        <v>39049</v>
      </c>
      <c r="N4025" t="s">
        <v>41249</v>
      </c>
      <c r="O4025" t="s">
        <v>41250</v>
      </c>
      <c r="P4025">
        <v>0</v>
      </c>
      <c r="Q4025">
        <v>1</v>
      </c>
      <c r="R4025" t="s">
        <v>41252</v>
      </c>
      <c r="S4025" t="s">
        <v>41383</v>
      </c>
      <c r="T4025" t="s">
        <v>42758</v>
      </c>
      <c r="U4025" t="s">
        <v>46541</v>
      </c>
      <c r="W4025" t="s">
        <v>39049</v>
      </c>
      <c r="X4025" t="s">
        <v>41254</v>
      </c>
    </row>
    <row r="4026" spans="1:24">
      <c r="A4026">
        <f>HYPERLINK("https://www.philgeps.gov.ph/GEPSNONPILOT/Tender/SplashBidNoticeAbstractUI.aspx?menuIndex=3&amp;refID=7075271&amp;Result=3","7075271")</f>
        <v>0</v>
      </c>
      <c r="B4026" t="s">
        <v>308</v>
      </c>
      <c r="C4026" t="s">
        <v>7246</v>
      </c>
      <c r="D4026" t="s">
        <v>16647</v>
      </c>
      <c r="E4026" t="s">
        <v>20336</v>
      </c>
      <c r="F4026" t="s">
        <v>28669</v>
      </c>
      <c r="G4026" t="s">
        <v>28676</v>
      </c>
      <c r="H4026" t="s">
        <v>9998</v>
      </c>
      <c r="I4026" t="s">
        <v>28704</v>
      </c>
      <c r="J4026" t="s">
        <v>29544</v>
      </c>
      <c r="K4026" t="s">
        <v>37227</v>
      </c>
      <c r="M4026" t="s">
        <v>37787</v>
      </c>
      <c r="N4026" t="s">
        <v>41249</v>
      </c>
      <c r="O4026" t="s">
        <v>41250</v>
      </c>
      <c r="P4026">
        <v>0</v>
      </c>
      <c r="Q4026">
        <v>0</v>
      </c>
      <c r="R4026" t="s">
        <v>41252</v>
      </c>
      <c r="S4026" t="s">
        <v>41383</v>
      </c>
      <c r="T4026" t="s">
        <v>42758</v>
      </c>
      <c r="U4026" t="s">
        <v>46377</v>
      </c>
      <c r="W4026" t="s">
        <v>37787</v>
      </c>
      <c r="X4026" t="s">
        <v>41254</v>
      </c>
    </row>
    <row r="4027" spans="1:24">
      <c r="A4027">
        <f>HYPERLINK("https://www.philgeps.gov.ph/GEPSNONPILOT/Tender/SplashBidNoticeAbstractUI.aspx?menuIndex=3&amp;refID=7075293&amp;Result=3","7075293")</f>
        <v>0</v>
      </c>
      <c r="B4027" t="s">
        <v>1244</v>
      </c>
      <c r="C4027" t="s">
        <v>7247</v>
      </c>
      <c r="D4027" t="s">
        <v>16686</v>
      </c>
      <c r="E4027" t="s">
        <v>20337</v>
      </c>
      <c r="F4027" t="s">
        <v>28669</v>
      </c>
      <c r="G4027" t="s">
        <v>28675</v>
      </c>
      <c r="H4027" t="s">
        <v>9998</v>
      </c>
      <c r="I4027" t="s">
        <v>28733</v>
      </c>
      <c r="J4027" t="s">
        <v>31417</v>
      </c>
      <c r="K4027" t="s">
        <v>37215</v>
      </c>
      <c r="M4027" t="s">
        <v>38791</v>
      </c>
      <c r="N4027" t="s">
        <v>41249</v>
      </c>
      <c r="O4027" t="s">
        <v>41250</v>
      </c>
      <c r="P4027">
        <v>0</v>
      </c>
      <c r="Q4027">
        <v>3</v>
      </c>
      <c r="R4027" t="s">
        <v>41252</v>
      </c>
      <c r="S4027" t="s">
        <v>41383</v>
      </c>
      <c r="T4027" t="s">
        <v>42692</v>
      </c>
      <c r="U4027" t="s">
        <v>46542</v>
      </c>
      <c r="W4027" t="s">
        <v>38791</v>
      </c>
      <c r="X4027" t="s">
        <v>41254</v>
      </c>
    </row>
    <row r="4028" spans="1:24">
      <c r="A4028">
        <f>HYPERLINK("https://www.philgeps.gov.ph/GEPSNONPILOT/Tender/SplashBidNoticeAbstractUI.aspx?menuIndex=3&amp;refID=7075330&amp;Result=3","7075330")</f>
        <v>0</v>
      </c>
      <c r="B4028" t="s">
        <v>1307</v>
      </c>
      <c r="C4028" t="s">
        <v>7248</v>
      </c>
      <c r="D4028" t="s">
        <v>16608</v>
      </c>
      <c r="E4028" t="s">
        <v>20338</v>
      </c>
      <c r="F4028" t="s">
        <v>28669</v>
      </c>
      <c r="G4028" t="s">
        <v>28676</v>
      </c>
      <c r="H4028" t="s">
        <v>9998</v>
      </c>
      <c r="I4028" t="s">
        <v>3718</v>
      </c>
      <c r="J4028" t="s">
        <v>31418</v>
      </c>
      <c r="K4028" t="s">
        <v>37227</v>
      </c>
      <c r="M4028" t="s">
        <v>39073</v>
      </c>
      <c r="N4028" t="s">
        <v>41249</v>
      </c>
      <c r="O4028" t="s">
        <v>41250</v>
      </c>
      <c r="P4028">
        <v>0</v>
      </c>
      <c r="Q4028">
        <v>2</v>
      </c>
      <c r="R4028" t="s">
        <v>41252</v>
      </c>
      <c r="S4028" t="s">
        <v>41383</v>
      </c>
      <c r="T4028" t="s">
        <v>42701</v>
      </c>
      <c r="U4028" t="s">
        <v>46543</v>
      </c>
      <c r="W4028" t="s">
        <v>39073</v>
      </c>
      <c r="X4028" t="s">
        <v>41254</v>
      </c>
    </row>
    <row r="4029" spans="1:24">
      <c r="A4029">
        <f>HYPERLINK("https://www.philgeps.gov.ph/GEPSNONPILOT/Tender/SplashBidNoticeAbstractUI.aspx?menuIndex=3&amp;refID=7075326&amp;Result=3","7075326")</f>
        <v>0</v>
      </c>
      <c r="B4029" t="s">
        <v>1466</v>
      </c>
      <c r="C4029" t="s">
        <v>7249</v>
      </c>
      <c r="D4029" t="s">
        <v>16679</v>
      </c>
      <c r="E4029" t="s">
        <v>20339</v>
      </c>
      <c r="F4029" t="s">
        <v>28669</v>
      </c>
      <c r="G4029" t="s">
        <v>28675</v>
      </c>
      <c r="H4029" t="s">
        <v>28686</v>
      </c>
      <c r="I4029" t="s">
        <v>28689</v>
      </c>
      <c r="J4029" t="s">
        <v>30503</v>
      </c>
      <c r="K4029" t="s">
        <v>37220</v>
      </c>
      <c r="M4029" t="s">
        <v>39034</v>
      </c>
      <c r="N4029" t="s">
        <v>41249</v>
      </c>
      <c r="O4029" t="s">
        <v>41250</v>
      </c>
      <c r="P4029">
        <v>0</v>
      </c>
      <c r="Q4029">
        <v>2</v>
      </c>
      <c r="R4029" t="s">
        <v>41252</v>
      </c>
      <c r="S4029" t="s">
        <v>41383</v>
      </c>
      <c r="T4029" t="s">
        <v>42688</v>
      </c>
      <c r="U4029" t="s">
        <v>46413</v>
      </c>
      <c r="W4029" t="s">
        <v>55956</v>
      </c>
      <c r="X4029" t="s">
        <v>41254</v>
      </c>
    </row>
    <row r="4030" spans="1:24">
      <c r="A4030">
        <f>HYPERLINK("https://www.philgeps.gov.ph/GEPSNONPILOT/Tender/SplashBidNoticeAbstractUI.aspx?menuIndex=3&amp;refID=7075264&amp;Result=3","7075264")</f>
        <v>0</v>
      </c>
      <c r="B4030" t="s">
        <v>1474</v>
      </c>
      <c r="C4030" t="s">
        <v>7226</v>
      </c>
      <c r="D4030" t="s">
        <v>16680</v>
      </c>
      <c r="E4030" t="s">
        <v>20340</v>
      </c>
      <c r="F4030" t="s">
        <v>28669</v>
      </c>
      <c r="G4030" t="s">
        <v>28676</v>
      </c>
      <c r="H4030" t="s">
        <v>9998</v>
      </c>
      <c r="I4030" t="s">
        <v>28689</v>
      </c>
      <c r="J4030" t="s">
        <v>28826</v>
      </c>
      <c r="K4030" t="s">
        <v>37243</v>
      </c>
      <c r="M4030" t="s">
        <v>39042</v>
      </c>
      <c r="N4030" t="s">
        <v>41249</v>
      </c>
      <c r="O4030" t="s">
        <v>41250</v>
      </c>
      <c r="P4030">
        <v>0</v>
      </c>
      <c r="Q4030">
        <v>0</v>
      </c>
      <c r="R4030" t="s">
        <v>41252</v>
      </c>
      <c r="S4030" t="s">
        <v>41383</v>
      </c>
      <c r="T4030" t="s">
        <v>42743</v>
      </c>
      <c r="U4030" t="s">
        <v>46544</v>
      </c>
      <c r="W4030" t="s">
        <v>39042</v>
      </c>
      <c r="X4030" t="s">
        <v>41254</v>
      </c>
    </row>
    <row r="4031" spans="1:24">
      <c r="A4031">
        <f>HYPERLINK("https://www.philgeps.gov.ph/GEPSNONPILOT/Tender/SplashBidNoticeAbstractUI.aspx?menuIndex=3&amp;refID=7075328&amp;Result=3","7075328")</f>
        <v>0</v>
      </c>
      <c r="B4031" t="s">
        <v>1501</v>
      </c>
      <c r="C4031" t="s">
        <v>7250</v>
      </c>
      <c r="D4031" t="s">
        <v>16675</v>
      </c>
      <c r="E4031" t="s">
        <v>20341</v>
      </c>
      <c r="F4031" t="s">
        <v>28669</v>
      </c>
      <c r="G4031" t="s">
        <v>28676</v>
      </c>
      <c r="H4031" t="s">
        <v>9998</v>
      </c>
      <c r="I4031" t="s">
        <v>28693</v>
      </c>
      <c r="J4031" t="s">
        <v>31419</v>
      </c>
      <c r="K4031" t="s">
        <v>37206</v>
      </c>
      <c r="M4031" t="s">
        <v>39074</v>
      </c>
      <c r="N4031" t="s">
        <v>41249</v>
      </c>
      <c r="O4031" t="s">
        <v>41250</v>
      </c>
      <c r="P4031">
        <v>0</v>
      </c>
      <c r="Q4031">
        <v>15</v>
      </c>
      <c r="R4031" t="s">
        <v>41252</v>
      </c>
      <c r="S4031" t="s">
        <v>41383</v>
      </c>
      <c r="T4031" t="s">
        <v>42701</v>
      </c>
      <c r="U4031" t="s">
        <v>46545</v>
      </c>
      <c r="W4031" t="s">
        <v>39074</v>
      </c>
      <c r="X4031" t="s">
        <v>41254</v>
      </c>
    </row>
    <row r="4032" spans="1:24">
      <c r="A4032">
        <f>HYPERLINK("https://www.philgeps.gov.ph/GEPSNONPILOT/Tender/SplashBidNoticeAbstractUI.aspx?menuIndex=3&amp;refID=7075325&amp;Result=3","7075325")</f>
        <v>0</v>
      </c>
      <c r="B4032" t="s">
        <v>996</v>
      </c>
      <c r="C4032" t="s">
        <v>7251</v>
      </c>
      <c r="E4032" t="s">
        <v>20342</v>
      </c>
      <c r="F4032" t="s">
        <v>28669</v>
      </c>
      <c r="G4032" t="s">
        <v>28676</v>
      </c>
      <c r="H4032" t="s">
        <v>9998</v>
      </c>
      <c r="I4032" t="s">
        <v>6606</v>
      </c>
      <c r="J4032" t="s">
        <v>31420</v>
      </c>
      <c r="K4032" t="s">
        <v>37209</v>
      </c>
      <c r="M4032" t="s">
        <v>38524</v>
      </c>
      <c r="N4032" t="s">
        <v>41249</v>
      </c>
      <c r="O4032" t="s">
        <v>41250</v>
      </c>
      <c r="P4032">
        <v>0</v>
      </c>
      <c r="Q4032">
        <v>0</v>
      </c>
      <c r="R4032" t="s">
        <v>41252</v>
      </c>
      <c r="S4032" t="s">
        <v>41383</v>
      </c>
      <c r="T4032" t="s">
        <v>42729</v>
      </c>
      <c r="U4032" t="s">
        <v>46546</v>
      </c>
      <c r="W4032" t="s">
        <v>38524</v>
      </c>
      <c r="X4032" t="s">
        <v>41254</v>
      </c>
    </row>
    <row r="4033" spans="1:24">
      <c r="A4033">
        <f>HYPERLINK("https://www.philgeps.gov.ph/GEPSNONPILOT/Tender/SplashBidNoticeAbstractUI.aspx?menuIndex=3&amp;refID=7075323&amp;Result=3","7075323")</f>
        <v>0</v>
      </c>
      <c r="B4033" t="s">
        <v>1502</v>
      </c>
      <c r="C4033" t="s">
        <v>7252</v>
      </c>
      <c r="D4033" t="s">
        <v>16616</v>
      </c>
      <c r="E4033" t="s">
        <v>20343</v>
      </c>
      <c r="F4033" t="s">
        <v>28669</v>
      </c>
      <c r="G4033" t="s">
        <v>28676</v>
      </c>
      <c r="H4033" t="s">
        <v>9998</v>
      </c>
      <c r="I4033" t="s">
        <v>11593</v>
      </c>
      <c r="J4033" t="s">
        <v>31421</v>
      </c>
      <c r="K4033" t="s">
        <v>37209</v>
      </c>
      <c r="M4033" t="s">
        <v>39075</v>
      </c>
      <c r="N4033" t="s">
        <v>41249</v>
      </c>
      <c r="O4033" t="s">
        <v>41250</v>
      </c>
      <c r="P4033">
        <v>0</v>
      </c>
      <c r="Q4033">
        <v>0</v>
      </c>
      <c r="R4033" t="s">
        <v>41252</v>
      </c>
      <c r="S4033" t="s">
        <v>41383</v>
      </c>
      <c r="T4033" t="s">
        <v>42675</v>
      </c>
      <c r="U4033" t="s">
        <v>46547</v>
      </c>
      <c r="W4033" t="s">
        <v>39075</v>
      </c>
      <c r="X4033" t="s">
        <v>41254</v>
      </c>
    </row>
    <row r="4034" spans="1:24">
      <c r="A4034">
        <f>HYPERLINK("https://www.philgeps.gov.ph/GEPSNONPILOT/Tender/SplashBidNoticeAbstractUI.aspx?menuIndex=3&amp;refID=7075322&amp;Result=3","7075322")</f>
        <v>0</v>
      </c>
      <c r="B4034" t="s">
        <v>1464</v>
      </c>
      <c r="C4034" t="s">
        <v>7253</v>
      </c>
      <c r="D4034" t="s">
        <v>16611</v>
      </c>
      <c r="E4034" t="s">
        <v>20344</v>
      </c>
      <c r="F4034" t="s">
        <v>28669</v>
      </c>
      <c r="G4034" t="s">
        <v>28676</v>
      </c>
      <c r="H4034" t="s">
        <v>9998</v>
      </c>
      <c r="I4034" t="s">
        <v>28704</v>
      </c>
      <c r="J4034" t="s">
        <v>31422</v>
      </c>
      <c r="K4034" t="s">
        <v>37205</v>
      </c>
      <c r="M4034" t="s">
        <v>39032</v>
      </c>
      <c r="N4034" t="s">
        <v>41249</v>
      </c>
      <c r="O4034" t="s">
        <v>41250</v>
      </c>
      <c r="P4034">
        <v>0</v>
      </c>
      <c r="Q4034">
        <v>0</v>
      </c>
      <c r="R4034" t="s">
        <v>41252</v>
      </c>
      <c r="S4034" t="s">
        <v>41383</v>
      </c>
      <c r="T4034" t="s">
        <v>42884</v>
      </c>
      <c r="U4034" t="s">
        <v>46548</v>
      </c>
      <c r="W4034" t="s">
        <v>39032</v>
      </c>
      <c r="X4034" t="s">
        <v>41254</v>
      </c>
    </row>
    <row r="4035" spans="1:24">
      <c r="A4035">
        <f>HYPERLINK("https://www.philgeps.gov.ph/GEPSNONPILOT/Tender/SplashBidNoticeAbstractUI.aspx?menuIndex=3&amp;refID=7075319&amp;Result=3","7075319")</f>
        <v>0</v>
      </c>
      <c r="B4035" t="s">
        <v>602</v>
      </c>
      <c r="C4035" t="s">
        <v>7254</v>
      </c>
      <c r="D4035" t="s">
        <v>16661</v>
      </c>
      <c r="E4035" t="s">
        <v>20345</v>
      </c>
      <c r="F4035" t="s">
        <v>28669</v>
      </c>
      <c r="G4035" t="s">
        <v>28677</v>
      </c>
      <c r="H4035" t="s">
        <v>9998</v>
      </c>
      <c r="I4035" t="s">
        <v>28699</v>
      </c>
      <c r="J4035" t="s">
        <v>31423</v>
      </c>
      <c r="K4035" t="s">
        <v>37204</v>
      </c>
      <c r="M4035" t="s">
        <v>38102</v>
      </c>
      <c r="N4035" t="s">
        <v>41249</v>
      </c>
      <c r="O4035" t="s">
        <v>41250</v>
      </c>
      <c r="P4035">
        <v>0</v>
      </c>
      <c r="Q4035">
        <v>0</v>
      </c>
      <c r="R4035" t="s">
        <v>41252</v>
      </c>
      <c r="S4035" t="s">
        <v>41383</v>
      </c>
      <c r="T4035" t="s">
        <v>42736</v>
      </c>
      <c r="U4035" t="s">
        <v>46549</v>
      </c>
      <c r="W4035" t="s">
        <v>38102</v>
      </c>
      <c r="X4035" t="s">
        <v>41254</v>
      </c>
    </row>
    <row r="4036" spans="1:24">
      <c r="A4036">
        <f>HYPERLINK("https://www.philgeps.gov.ph/GEPSNONPILOT/Tender/SplashBidNoticeAbstractUI.aspx?menuIndex=3&amp;refID=7075214&amp;Result=3","7075214")</f>
        <v>0</v>
      </c>
      <c r="B4036" t="s">
        <v>1124</v>
      </c>
      <c r="C4036" t="s">
        <v>7255</v>
      </c>
      <c r="E4036" t="s">
        <v>20346</v>
      </c>
      <c r="F4036" t="s">
        <v>28669</v>
      </c>
      <c r="G4036" t="s">
        <v>28676</v>
      </c>
      <c r="H4036" t="s">
        <v>9998</v>
      </c>
      <c r="I4036" t="s">
        <v>28728</v>
      </c>
      <c r="J4036" t="s">
        <v>29225</v>
      </c>
      <c r="K4036" t="s">
        <v>37209</v>
      </c>
      <c r="M4036" t="s">
        <v>38883</v>
      </c>
      <c r="N4036" t="s">
        <v>41249</v>
      </c>
      <c r="O4036" t="s">
        <v>41250</v>
      </c>
      <c r="P4036">
        <v>0</v>
      </c>
      <c r="Q4036">
        <v>0</v>
      </c>
      <c r="R4036" t="s">
        <v>41252</v>
      </c>
      <c r="S4036" t="s">
        <v>41383</v>
      </c>
      <c r="T4036" t="s">
        <v>42729</v>
      </c>
      <c r="U4036" t="s">
        <v>46550</v>
      </c>
      <c r="W4036" t="s">
        <v>38883</v>
      </c>
      <c r="X4036" t="s">
        <v>41254</v>
      </c>
    </row>
    <row r="4037" spans="1:24">
      <c r="A4037">
        <f>HYPERLINK("https://www.philgeps.gov.ph/GEPSNONPILOT/Tender/SplashBidNoticeAbstractUI.aspx?menuIndex=3&amp;refID=7075318&amp;Result=3","7075318")</f>
        <v>0</v>
      </c>
      <c r="B4037" t="s">
        <v>1389</v>
      </c>
      <c r="C4037" t="s">
        <v>7256</v>
      </c>
      <c r="D4037" t="s">
        <v>16617</v>
      </c>
      <c r="E4037" t="s">
        <v>20347</v>
      </c>
      <c r="F4037" t="s">
        <v>28669</v>
      </c>
      <c r="G4037" t="s">
        <v>28675</v>
      </c>
      <c r="H4037" t="s">
        <v>9998</v>
      </c>
      <c r="I4037" t="s">
        <v>28779</v>
      </c>
      <c r="J4037" t="s">
        <v>31424</v>
      </c>
      <c r="K4037" t="s">
        <v>37206</v>
      </c>
      <c r="M4037" t="s">
        <v>38951</v>
      </c>
      <c r="N4037" t="s">
        <v>41249</v>
      </c>
      <c r="O4037" t="s">
        <v>41250</v>
      </c>
      <c r="P4037">
        <v>0</v>
      </c>
      <c r="Q4037">
        <v>1</v>
      </c>
      <c r="R4037" t="s">
        <v>41252</v>
      </c>
      <c r="S4037" t="s">
        <v>41383</v>
      </c>
      <c r="T4037" t="s">
        <v>42782</v>
      </c>
      <c r="U4037" t="s">
        <v>46193</v>
      </c>
      <c r="W4037" t="s">
        <v>38951</v>
      </c>
      <c r="X4037" t="s">
        <v>41254</v>
      </c>
    </row>
    <row r="4038" spans="1:24">
      <c r="A4038">
        <f>HYPERLINK("https://www.philgeps.gov.ph/GEPSNONPILOT/Tender/SplashBidNoticeAbstractUI.aspx?menuIndex=3&amp;refID=7075317&amp;Result=3","7075317")</f>
        <v>0</v>
      </c>
      <c r="B4038" t="s">
        <v>236</v>
      </c>
      <c r="C4038" t="s">
        <v>7257</v>
      </c>
      <c r="D4038" t="s">
        <v>16663</v>
      </c>
      <c r="E4038" t="s">
        <v>7257</v>
      </c>
      <c r="F4038" t="s">
        <v>28669</v>
      </c>
      <c r="G4038" t="s">
        <v>28675</v>
      </c>
      <c r="H4038" t="s">
        <v>9998</v>
      </c>
      <c r="I4038" t="s">
        <v>3718</v>
      </c>
      <c r="J4038" t="s">
        <v>29790</v>
      </c>
      <c r="K4038" t="s">
        <v>37206</v>
      </c>
      <c r="M4038" t="s">
        <v>37714</v>
      </c>
      <c r="N4038" t="s">
        <v>41249</v>
      </c>
      <c r="O4038" t="s">
        <v>41250</v>
      </c>
      <c r="P4038">
        <v>0</v>
      </c>
      <c r="Q4038">
        <v>0</v>
      </c>
      <c r="R4038" t="s">
        <v>41252</v>
      </c>
      <c r="S4038" t="s">
        <v>41383</v>
      </c>
      <c r="T4038" t="s">
        <v>42762</v>
      </c>
      <c r="U4038" t="s">
        <v>46551</v>
      </c>
      <c r="W4038" t="s">
        <v>37714</v>
      </c>
      <c r="X4038" t="s">
        <v>41254</v>
      </c>
    </row>
    <row r="4039" spans="1:24">
      <c r="A4039">
        <f>HYPERLINK("https://www.philgeps.gov.ph/GEPSNONPILOT/Tender/SplashBidNoticeAbstractUI.aspx?menuIndex=3&amp;refID=7075315&amp;Result=3","7075315")</f>
        <v>0</v>
      </c>
      <c r="B4039" t="s">
        <v>358</v>
      </c>
      <c r="C4039" t="s">
        <v>7258</v>
      </c>
      <c r="D4039" t="s">
        <v>16683</v>
      </c>
      <c r="E4039" t="s">
        <v>19596</v>
      </c>
      <c r="F4039" t="s">
        <v>28669</v>
      </c>
      <c r="G4039" t="s">
        <v>28675</v>
      </c>
      <c r="H4039" t="s">
        <v>28686</v>
      </c>
      <c r="I4039" t="s">
        <v>28689</v>
      </c>
      <c r="J4039" t="s">
        <v>31425</v>
      </c>
      <c r="K4039" t="s">
        <v>37213</v>
      </c>
      <c r="M4039" t="s">
        <v>37839</v>
      </c>
      <c r="N4039" t="s">
        <v>41249</v>
      </c>
      <c r="O4039" t="s">
        <v>41250</v>
      </c>
      <c r="P4039">
        <v>0</v>
      </c>
      <c r="Q4039">
        <v>0</v>
      </c>
      <c r="R4039" t="s">
        <v>41252</v>
      </c>
      <c r="S4039" t="s">
        <v>41383</v>
      </c>
      <c r="T4039" t="s">
        <v>42716</v>
      </c>
      <c r="U4039" t="s">
        <v>46552</v>
      </c>
      <c r="W4039" t="s">
        <v>37839</v>
      </c>
      <c r="X4039" t="s">
        <v>41254</v>
      </c>
    </row>
    <row r="4040" spans="1:24">
      <c r="A4040">
        <f>HYPERLINK("https://www.philgeps.gov.ph/GEPSNONPILOT/Tender/SplashBidNoticeAbstractUI.aspx?menuIndex=3&amp;refID=7075314&amp;Result=3","7075314")</f>
        <v>0</v>
      </c>
      <c r="B4040" t="s">
        <v>1460</v>
      </c>
      <c r="C4040" t="s">
        <v>7259</v>
      </c>
      <c r="D4040" t="s">
        <v>16629</v>
      </c>
      <c r="E4040" t="s">
        <v>20348</v>
      </c>
      <c r="F4040" t="s">
        <v>28669</v>
      </c>
      <c r="G4040" t="s">
        <v>28675</v>
      </c>
      <c r="H4040" t="s">
        <v>28686</v>
      </c>
      <c r="I4040" t="s">
        <v>28689</v>
      </c>
      <c r="J4040" t="s">
        <v>29512</v>
      </c>
      <c r="K4040" t="s">
        <v>37205</v>
      </c>
      <c r="M4040" t="s">
        <v>39026</v>
      </c>
      <c r="N4040" t="s">
        <v>41249</v>
      </c>
      <c r="O4040" t="s">
        <v>41250</v>
      </c>
      <c r="P4040">
        <v>0</v>
      </c>
      <c r="Q4040">
        <v>0</v>
      </c>
      <c r="R4040" t="s">
        <v>41252</v>
      </c>
      <c r="S4040" t="s">
        <v>41383</v>
      </c>
      <c r="T4040" t="s">
        <v>42686</v>
      </c>
      <c r="U4040" t="s">
        <v>46553</v>
      </c>
      <c r="W4040" t="s">
        <v>39026</v>
      </c>
      <c r="X4040" t="s">
        <v>41254</v>
      </c>
    </row>
    <row r="4041" spans="1:24">
      <c r="A4041">
        <f>HYPERLINK("https://www.philgeps.gov.ph/GEPSNONPILOT/Tender/SplashBidNoticeAbstractUI.aspx?menuIndex=3&amp;refID=7075310&amp;Result=3","7075310")</f>
        <v>0</v>
      </c>
      <c r="B4041" t="s">
        <v>1124</v>
      </c>
      <c r="C4041" t="s">
        <v>7260</v>
      </c>
      <c r="E4041" t="s">
        <v>20349</v>
      </c>
      <c r="F4041" t="s">
        <v>28669</v>
      </c>
      <c r="G4041" t="s">
        <v>28676</v>
      </c>
      <c r="H4041" t="s">
        <v>9998</v>
      </c>
      <c r="I4041" t="s">
        <v>28728</v>
      </c>
      <c r="J4041" t="s">
        <v>29225</v>
      </c>
      <c r="K4041" t="s">
        <v>37209</v>
      </c>
      <c r="M4041" t="s">
        <v>38883</v>
      </c>
      <c r="N4041" t="s">
        <v>41249</v>
      </c>
      <c r="O4041" t="s">
        <v>41250</v>
      </c>
      <c r="P4041">
        <v>0</v>
      </c>
      <c r="Q4041">
        <v>0</v>
      </c>
      <c r="R4041" t="s">
        <v>41252</v>
      </c>
      <c r="S4041" t="s">
        <v>41383</v>
      </c>
      <c r="T4041" t="s">
        <v>42729</v>
      </c>
      <c r="U4041" t="s">
        <v>46554</v>
      </c>
      <c r="W4041" t="s">
        <v>38883</v>
      </c>
      <c r="X4041" t="s">
        <v>41254</v>
      </c>
    </row>
    <row r="4042" spans="1:24">
      <c r="A4042">
        <f>HYPERLINK("https://www.philgeps.gov.ph/GEPSNONPILOT/Tender/SplashBidNoticeAbstractUI.aspx?menuIndex=3&amp;refID=7075309&amp;Result=3","7075309")</f>
        <v>0</v>
      </c>
      <c r="B4042" t="s">
        <v>1461</v>
      </c>
      <c r="C4042" t="s">
        <v>7261</v>
      </c>
      <c r="D4042" t="s">
        <v>16661</v>
      </c>
      <c r="E4042" t="s">
        <v>20350</v>
      </c>
      <c r="F4042" t="s">
        <v>28669</v>
      </c>
      <c r="G4042" t="s">
        <v>28675</v>
      </c>
      <c r="H4042" t="s">
        <v>28686</v>
      </c>
      <c r="I4042" t="s">
        <v>28689</v>
      </c>
      <c r="J4042" t="s">
        <v>31426</v>
      </c>
      <c r="K4042" t="s">
        <v>37209</v>
      </c>
      <c r="M4042" t="s">
        <v>39027</v>
      </c>
      <c r="N4042" t="s">
        <v>41249</v>
      </c>
      <c r="O4042" t="s">
        <v>41250</v>
      </c>
      <c r="P4042">
        <v>0</v>
      </c>
      <c r="Q4042">
        <v>0</v>
      </c>
      <c r="R4042" t="s">
        <v>41252</v>
      </c>
      <c r="S4042" t="s">
        <v>41383</v>
      </c>
      <c r="T4042" t="s">
        <v>42716</v>
      </c>
      <c r="U4042" t="s">
        <v>46508</v>
      </c>
      <c r="W4042" t="s">
        <v>39027</v>
      </c>
      <c r="X4042" t="s">
        <v>41254</v>
      </c>
    </row>
    <row r="4043" spans="1:24">
      <c r="A4043">
        <f>HYPERLINK("https://www.philgeps.gov.ph/GEPSNONPILOT/Tender/SplashBidNoticeAbstractUI.aspx?menuIndex=3&amp;refID=7075324&amp;Result=3","7075324")</f>
        <v>0</v>
      </c>
      <c r="B4043" t="s">
        <v>1500</v>
      </c>
      <c r="C4043" t="s">
        <v>7262</v>
      </c>
      <c r="D4043" t="s">
        <v>16639</v>
      </c>
      <c r="E4043" t="s">
        <v>20351</v>
      </c>
      <c r="F4043" t="s">
        <v>28669</v>
      </c>
      <c r="G4043" t="s">
        <v>28675</v>
      </c>
      <c r="H4043" t="s">
        <v>28686</v>
      </c>
      <c r="I4043" t="s">
        <v>28689</v>
      </c>
      <c r="J4043" t="s">
        <v>31412</v>
      </c>
      <c r="K4043" t="s">
        <v>37215</v>
      </c>
      <c r="M4043" t="s">
        <v>39072</v>
      </c>
      <c r="N4043" t="s">
        <v>41249</v>
      </c>
      <c r="O4043" t="s">
        <v>41250</v>
      </c>
      <c r="P4043">
        <v>0</v>
      </c>
      <c r="Q4043">
        <v>3</v>
      </c>
      <c r="R4043" t="s">
        <v>41252</v>
      </c>
      <c r="S4043" t="s">
        <v>41383</v>
      </c>
      <c r="T4043" t="s">
        <v>42693</v>
      </c>
      <c r="U4043" t="s">
        <v>46537</v>
      </c>
      <c r="V4043" t="s">
        <v>54328</v>
      </c>
      <c r="W4043" t="s">
        <v>39072</v>
      </c>
      <c r="X4043" t="s">
        <v>41254</v>
      </c>
    </row>
    <row r="4044" spans="1:24">
      <c r="A4044">
        <f>HYPERLINK("https://www.philgeps.gov.ph/GEPSNONPILOT/Tender/SplashBidNoticeAbstractUI.aspx?menuIndex=3&amp;refID=7075308&amp;Result=3","7075308")</f>
        <v>0</v>
      </c>
      <c r="B4044" t="s">
        <v>1244</v>
      </c>
      <c r="C4044" t="s">
        <v>7263</v>
      </c>
      <c r="D4044" t="s">
        <v>16686</v>
      </c>
      <c r="E4044" t="s">
        <v>20352</v>
      </c>
      <c r="F4044" t="s">
        <v>28669</v>
      </c>
      <c r="G4044" t="s">
        <v>28675</v>
      </c>
      <c r="H4044" t="s">
        <v>9998</v>
      </c>
      <c r="I4044" t="s">
        <v>3679</v>
      </c>
      <c r="J4044" t="s">
        <v>29512</v>
      </c>
      <c r="K4044" t="s">
        <v>37205</v>
      </c>
      <c r="M4044" t="s">
        <v>38791</v>
      </c>
      <c r="N4044" t="s">
        <v>41249</v>
      </c>
      <c r="O4044" t="s">
        <v>41250</v>
      </c>
      <c r="P4044">
        <v>0</v>
      </c>
      <c r="Q4044">
        <v>1</v>
      </c>
      <c r="R4044" t="s">
        <v>41252</v>
      </c>
      <c r="S4044" t="s">
        <v>41383</v>
      </c>
      <c r="T4044" t="s">
        <v>42670</v>
      </c>
      <c r="U4044" t="s">
        <v>46555</v>
      </c>
      <c r="W4044" t="s">
        <v>38791</v>
      </c>
      <c r="X4044" t="s">
        <v>41254</v>
      </c>
    </row>
    <row r="4045" spans="1:24">
      <c r="A4045">
        <f>HYPERLINK("https://www.philgeps.gov.ph/GEPSNONPILOT/Tender/SplashBidNoticeAbstractUI.aspx?menuIndex=3&amp;refID=7075288&amp;Result=3","7075288")</f>
        <v>0</v>
      </c>
      <c r="B4045" t="s">
        <v>1471</v>
      </c>
      <c r="C4045" t="s">
        <v>7264</v>
      </c>
      <c r="D4045" t="s">
        <v>16615</v>
      </c>
      <c r="E4045" t="s">
        <v>20353</v>
      </c>
      <c r="F4045" t="s">
        <v>28669</v>
      </c>
      <c r="G4045" t="s">
        <v>28682</v>
      </c>
      <c r="H4045" t="s">
        <v>28686</v>
      </c>
      <c r="I4045" t="s">
        <v>28689</v>
      </c>
      <c r="J4045" t="s">
        <v>31427</v>
      </c>
      <c r="K4045" t="s">
        <v>37255</v>
      </c>
      <c r="M4045" t="s">
        <v>39039</v>
      </c>
      <c r="N4045" t="s">
        <v>41249</v>
      </c>
      <c r="O4045" t="s">
        <v>41250</v>
      </c>
      <c r="P4045">
        <v>0</v>
      </c>
      <c r="Q4045">
        <v>5</v>
      </c>
      <c r="R4045" t="s">
        <v>41252</v>
      </c>
      <c r="S4045" t="s">
        <v>41383</v>
      </c>
      <c r="T4045" t="s">
        <v>42716</v>
      </c>
      <c r="U4045" t="s">
        <v>46556</v>
      </c>
      <c r="V4045" t="s">
        <v>54688</v>
      </c>
      <c r="W4045" t="s">
        <v>39039</v>
      </c>
      <c r="X4045" t="s">
        <v>41254</v>
      </c>
    </row>
    <row r="4046" spans="1:24">
      <c r="A4046">
        <f>HYPERLINK("https://www.philgeps.gov.ph/GEPSNONPILOT/Tender/SplashBidNoticeAbstractUI.aspx?menuIndex=3&amp;refID=7075294&amp;Result=3","7075294")</f>
        <v>0</v>
      </c>
      <c r="B4046" t="s">
        <v>1124</v>
      </c>
      <c r="C4046" t="s">
        <v>7265</v>
      </c>
      <c r="E4046" t="s">
        <v>20354</v>
      </c>
      <c r="F4046" t="s">
        <v>28669</v>
      </c>
      <c r="G4046" t="s">
        <v>28676</v>
      </c>
      <c r="H4046" t="s">
        <v>9998</v>
      </c>
      <c r="I4046" t="s">
        <v>28728</v>
      </c>
      <c r="J4046" t="s">
        <v>29225</v>
      </c>
      <c r="K4046" t="s">
        <v>37209</v>
      </c>
      <c r="M4046" t="s">
        <v>38883</v>
      </c>
      <c r="N4046" t="s">
        <v>41249</v>
      </c>
      <c r="O4046" t="s">
        <v>41250</v>
      </c>
      <c r="P4046">
        <v>0</v>
      </c>
      <c r="Q4046">
        <v>0</v>
      </c>
      <c r="R4046" t="s">
        <v>41252</v>
      </c>
      <c r="S4046" t="s">
        <v>41383</v>
      </c>
      <c r="T4046" t="s">
        <v>42729</v>
      </c>
      <c r="U4046" t="s">
        <v>46557</v>
      </c>
      <c r="W4046" t="s">
        <v>38883</v>
      </c>
      <c r="X4046" t="s">
        <v>41254</v>
      </c>
    </row>
    <row r="4047" spans="1:24">
      <c r="A4047">
        <f>HYPERLINK("https://www.philgeps.gov.ph/GEPSNONPILOT/Tender/SplashBidNoticeAbstractUI.aspx?menuIndex=3&amp;refID=7075329&amp;Result=3","7075329")</f>
        <v>0</v>
      </c>
      <c r="B4047" t="s">
        <v>1124</v>
      </c>
      <c r="C4047" t="s">
        <v>7266</v>
      </c>
      <c r="E4047" t="s">
        <v>20355</v>
      </c>
      <c r="F4047" t="s">
        <v>28669</v>
      </c>
      <c r="G4047" t="s">
        <v>28676</v>
      </c>
      <c r="H4047" t="s">
        <v>9998</v>
      </c>
      <c r="I4047" t="s">
        <v>28728</v>
      </c>
      <c r="J4047" t="s">
        <v>29225</v>
      </c>
      <c r="K4047" t="s">
        <v>37209</v>
      </c>
      <c r="M4047" t="s">
        <v>38883</v>
      </c>
      <c r="N4047" t="s">
        <v>41249</v>
      </c>
      <c r="O4047" t="s">
        <v>41250</v>
      </c>
      <c r="P4047">
        <v>0</v>
      </c>
      <c r="Q4047">
        <v>0</v>
      </c>
      <c r="R4047" t="s">
        <v>41252</v>
      </c>
      <c r="S4047" t="s">
        <v>41383</v>
      </c>
      <c r="T4047" t="s">
        <v>42729</v>
      </c>
      <c r="U4047" t="s">
        <v>46558</v>
      </c>
      <c r="W4047" t="s">
        <v>38883</v>
      </c>
      <c r="X4047" t="s">
        <v>41254</v>
      </c>
    </row>
    <row r="4048" spans="1:24">
      <c r="A4048">
        <f>HYPERLINK("https://www.philgeps.gov.ph/GEPSNONPILOT/Tender/SplashBidNoticeAbstractUI.aspx?menuIndex=3&amp;refID=7075206&amp;Result=3","7075206")</f>
        <v>0</v>
      </c>
      <c r="B4048" t="s">
        <v>289</v>
      </c>
      <c r="C4048" t="s">
        <v>7267</v>
      </c>
      <c r="D4048" t="s">
        <v>16608</v>
      </c>
      <c r="E4048" t="s">
        <v>17725</v>
      </c>
      <c r="F4048" t="s">
        <v>28669</v>
      </c>
      <c r="G4048" t="s">
        <v>28676</v>
      </c>
      <c r="H4048" t="s">
        <v>9998</v>
      </c>
      <c r="I4048" t="s">
        <v>28735</v>
      </c>
      <c r="J4048" t="s">
        <v>31428</v>
      </c>
      <c r="K4048" t="s">
        <v>37209</v>
      </c>
      <c r="M4048" t="s">
        <v>38513</v>
      </c>
      <c r="N4048" t="s">
        <v>41249</v>
      </c>
      <c r="O4048" t="s">
        <v>41250</v>
      </c>
      <c r="P4048">
        <v>0</v>
      </c>
      <c r="Q4048">
        <v>2</v>
      </c>
      <c r="R4048" t="s">
        <v>41252</v>
      </c>
      <c r="S4048" t="s">
        <v>41383</v>
      </c>
      <c r="T4048" t="s">
        <v>42784</v>
      </c>
      <c r="U4048" t="s">
        <v>46559</v>
      </c>
      <c r="W4048" t="s">
        <v>38513</v>
      </c>
      <c r="X4048" t="s">
        <v>41254</v>
      </c>
    </row>
    <row r="4049" spans="1:24">
      <c r="A4049">
        <f>HYPERLINK("https://www.philgeps.gov.ph/GEPSNONPILOT/Tender/SplashBidNoticeAbstractUI.aspx?menuIndex=3&amp;refID=7075316&amp;Result=3","7075316")</f>
        <v>0</v>
      </c>
      <c r="B4049" t="s">
        <v>376</v>
      </c>
      <c r="C4049" t="s">
        <v>7268</v>
      </c>
      <c r="D4049" t="s">
        <v>16608</v>
      </c>
      <c r="E4049" t="s">
        <v>20356</v>
      </c>
      <c r="F4049" t="s">
        <v>28669</v>
      </c>
      <c r="G4049" t="s">
        <v>28677</v>
      </c>
      <c r="H4049" t="s">
        <v>9998</v>
      </c>
      <c r="I4049" t="s">
        <v>28751</v>
      </c>
      <c r="J4049" t="s">
        <v>31429</v>
      </c>
      <c r="K4049" t="s">
        <v>37206</v>
      </c>
      <c r="M4049" t="s">
        <v>39047</v>
      </c>
      <c r="N4049" t="s">
        <v>41249</v>
      </c>
      <c r="O4049" t="s">
        <v>41250</v>
      </c>
      <c r="P4049">
        <v>0</v>
      </c>
      <c r="Q4049">
        <v>2</v>
      </c>
      <c r="R4049" t="s">
        <v>41252</v>
      </c>
      <c r="S4049" t="s">
        <v>41383</v>
      </c>
      <c r="T4049" t="s">
        <v>42743</v>
      </c>
      <c r="U4049" t="s">
        <v>46460</v>
      </c>
      <c r="W4049" t="s">
        <v>39047</v>
      </c>
      <c r="X4049" t="s">
        <v>41254</v>
      </c>
    </row>
    <row r="4050" spans="1:24">
      <c r="A4050">
        <f>HYPERLINK("https://www.philgeps.gov.ph/GEPSNONPILOT/Tender/SplashBidNoticeAbstractUI.aspx?menuIndex=3&amp;refID=7075346&amp;Result=3","7075346")</f>
        <v>0</v>
      </c>
      <c r="B4050" t="s">
        <v>582</v>
      </c>
      <c r="C4050" t="s">
        <v>7269</v>
      </c>
      <c r="D4050" t="s">
        <v>16659</v>
      </c>
      <c r="E4050" t="s">
        <v>20357</v>
      </c>
      <c r="F4050" t="s">
        <v>28669</v>
      </c>
      <c r="G4050" t="s">
        <v>28675</v>
      </c>
      <c r="H4050" t="s">
        <v>28686</v>
      </c>
      <c r="I4050" t="s">
        <v>28689</v>
      </c>
      <c r="J4050" t="s">
        <v>31430</v>
      </c>
      <c r="K4050" t="s">
        <v>37213</v>
      </c>
      <c r="M4050" t="s">
        <v>38081</v>
      </c>
      <c r="N4050" t="s">
        <v>41249</v>
      </c>
      <c r="O4050" t="s">
        <v>41250</v>
      </c>
      <c r="P4050">
        <v>0</v>
      </c>
      <c r="Q4050">
        <v>10</v>
      </c>
      <c r="R4050" t="s">
        <v>41252</v>
      </c>
      <c r="S4050" t="s">
        <v>41383</v>
      </c>
      <c r="T4050" t="s">
        <v>42716</v>
      </c>
      <c r="U4050" t="s">
        <v>46560</v>
      </c>
      <c r="W4050" t="s">
        <v>38081</v>
      </c>
      <c r="X4050" t="s">
        <v>41254</v>
      </c>
    </row>
    <row r="4051" spans="1:24">
      <c r="A4051">
        <f>HYPERLINK("https://www.philgeps.gov.ph/GEPSNONPILOT/Tender/SplashBidNoticeAbstractUI.aspx?menuIndex=3&amp;refID=7075313&amp;Result=3","7075313")</f>
        <v>0</v>
      </c>
      <c r="B4051" t="s">
        <v>642</v>
      </c>
      <c r="C4051" t="s">
        <v>7270</v>
      </c>
      <c r="D4051" t="s">
        <v>16642</v>
      </c>
      <c r="E4051" t="s">
        <v>20190</v>
      </c>
      <c r="F4051" t="s">
        <v>28669</v>
      </c>
      <c r="G4051" t="s">
        <v>28676</v>
      </c>
      <c r="H4051" t="s">
        <v>9998</v>
      </c>
      <c r="I4051" t="s">
        <v>28722</v>
      </c>
      <c r="J4051" t="s">
        <v>31431</v>
      </c>
      <c r="K4051" t="s">
        <v>37205</v>
      </c>
      <c r="M4051" t="s">
        <v>38143</v>
      </c>
      <c r="N4051" t="s">
        <v>41249</v>
      </c>
      <c r="O4051" t="s">
        <v>41250</v>
      </c>
      <c r="P4051">
        <v>0</v>
      </c>
      <c r="Q4051">
        <v>1</v>
      </c>
      <c r="R4051" t="s">
        <v>41252</v>
      </c>
      <c r="S4051" t="s">
        <v>41383</v>
      </c>
      <c r="T4051" t="s">
        <v>42742</v>
      </c>
      <c r="U4051" t="s">
        <v>46561</v>
      </c>
      <c r="W4051" t="s">
        <v>38143</v>
      </c>
      <c r="X4051" t="s">
        <v>41254</v>
      </c>
    </row>
    <row r="4052" spans="1:24">
      <c r="A4052">
        <f>HYPERLINK("https://www.philgeps.gov.ph/GEPSNONPILOT/Tender/SplashBidNoticeAbstractUI.aspx?menuIndex=3&amp;refID=7075343&amp;Result=3","7075343")</f>
        <v>0</v>
      </c>
      <c r="B4052" t="s">
        <v>1503</v>
      </c>
      <c r="C4052" t="s">
        <v>7271</v>
      </c>
      <c r="D4052" t="s">
        <v>16666</v>
      </c>
      <c r="E4052" t="s">
        <v>20358</v>
      </c>
      <c r="F4052" t="s">
        <v>28669</v>
      </c>
      <c r="G4052" t="s">
        <v>28675</v>
      </c>
      <c r="H4052" t="s">
        <v>28686</v>
      </c>
      <c r="I4052" t="s">
        <v>28689</v>
      </c>
      <c r="J4052" t="s">
        <v>31432</v>
      </c>
      <c r="K4052" t="s">
        <v>37343</v>
      </c>
      <c r="M4052" t="s">
        <v>39076</v>
      </c>
      <c r="N4052" t="s">
        <v>41249</v>
      </c>
      <c r="O4052" t="s">
        <v>41250</v>
      </c>
      <c r="P4052">
        <v>0</v>
      </c>
      <c r="Q4052">
        <v>3</v>
      </c>
      <c r="R4052" t="s">
        <v>41252</v>
      </c>
      <c r="S4052" t="s">
        <v>41383</v>
      </c>
      <c r="T4052" t="s">
        <v>42693</v>
      </c>
      <c r="U4052" t="s">
        <v>46562</v>
      </c>
      <c r="W4052" t="s">
        <v>55959</v>
      </c>
      <c r="X4052" t="s">
        <v>41254</v>
      </c>
    </row>
    <row r="4053" spans="1:24">
      <c r="A4053">
        <f>HYPERLINK("https://www.philgeps.gov.ph/GEPSNONPILOT/Tender/SplashBidNoticeAbstractUI.aspx?menuIndex=3&amp;refID=7075289&amp;Result=3","7075289")</f>
        <v>0</v>
      </c>
      <c r="B4053" t="s">
        <v>1480</v>
      </c>
      <c r="C4053" t="s">
        <v>7272</v>
      </c>
      <c r="D4053" t="s">
        <v>16615</v>
      </c>
      <c r="E4053" t="s">
        <v>20359</v>
      </c>
      <c r="F4053" t="s">
        <v>28669</v>
      </c>
      <c r="G4053" t="s">
        <v>28676</v>
      </c>
      <c r="H4053" t="s">
        <v>9998</v>
      </c>
      <c r="I4053" t="s">
        <v>3718</v>
      </c>
      <c r="J4053" t="s">
        <v>28834</v>
      </c>
      <c r="K4053" t="s">
        <v>37204</v>
      </c>
      <c r="M4053" t="s">
        <v>39049</v>
      </c>
      <c r="N4053" t="s">
        <v>41249</v>
      </c>
      <c r="O4053" t="s">
        <v>41250</v>
      </c>
      <c r="P4053">
        <v>0</v>
      </c>
      <c r="Q4053">
        <v>2</v>
      </c>
      <c r="R4053" t="s">
        <v>41252</v>
      </c>
      <c r="S4053" t="s">
        <v>41383</v>
      </c>
      <c r="T4053" t="s">
        <v>42758</v>
      </c>
      <c r="U4053" t="s">
        <v>46563</v>
      </c>
      <c r="W4053" t="s">
        <v>39049</v>
      </c>
      <c r="X4053" t="s">
        <v>41254</v>
      </c>
    </row>
    <row r="4054" spans="1:24">
      <c r="A4054">
        <f>HYPERLINK("https://www.philgeps.gov.ph/GEPSNONPILOT/Tender/SplashBidNoticeAbstractUI.aspx?menuIndex=3&amp;refID=7075355&amp;Result=3","7075355")</f>
        <v>0</v>
      </c>
      <c r="B4054" t="s">
        <v>1502</v>
      </c>
      <c r="C4054" t="s">
        <v>7273</v>
      </c>
      <c r="D4054" t="s">
        <v>16616</v>
      </c>
      <c r="E4054" t="s">
        <v>20360</v>
      </c>
      <c r="F4054" t="s">
        <v>28669</v>
      </c>
      <c r="G4054" t="s">
        <v>28676</v>
      </c>
      <c r="H4054" t="s">
        <v>9998</v>
      </c>
      <c r="I4054" t="s">
        <v>11593</v>
      </c>
      <c r="J4054" t="s">
        <v>31433</v>
      </c>
      <c r="K4054" t="s">
        <v>37209</v>
      </c>
      <c r="M4054" t="s">
        <v>39075</v>
      </c>
      <c r="N4054" t="s">
        <v>41249</v>
      </c>
      <c r="O4054" t="s">
        <v>41250</v>
      </c>
      <c r="P4054">
        <v>0</v>
      </c>
      <c r="Q4054">
        <v>0</v>
      </c>
      <c r="R4054" t="s">
        <v>41252</v>
      </c>
      <c r="S4054" t="s">
        <v>41383</v>
      </c>
      <c r="T4054" t="s">
        <v>42675</v>
      </c>
      <c r="U4054" t="s">
        <v>46564</v>
      </c>
      <c r="W4054" t="s">
        <v>39075</v>
      </c>
      <c r="X4054" t="s">
        <v>41254</v>
      </c>
    </row>
    <row r="4055" spans="1:24">
      <c r="A4055">
        <f>HYPERLINK("https://www.philgeps.gov.ph/GEPSNONPILOT/Tender/SplashBidNoticeAbstractUI.aspx?menuIndex=3&amp;refID=7075287&amp;Result=3","7075287")</f>
        <v>0</v>
      </c>
      <c r="B4055" t="s">
        <v>133</v>
      </c>
      <c r="C4055" t="s">
        <v>7274</v>
      </c>
      <c r="E4055" t="s">
        <v>20361</v>
      </c>
      <c r="F4055" t="s">
        <v>28669</v>
      </c>
      <c r="G4055" t="s">
        <v>28676</v>
      </c>
      <c r="H4055" t="s">
        <v>9998</v>
      </c>
      <c r="I4055" t="s">
        <v>7352</v>
      </c>
      <c r="J4055" t="s">
        <v>31434</v>
      </c>
      <c r="K4055" t="s">
        <v>37210</v>
      </c>
      <c r="M4055" t="s">
        <v>37610</v>
      </c>
      <c r="N4055" t="s">
        <v>41249</v>
      </c>
      <c r="O4055" t="s">
        <v>41250</v>
      </c>
      <c r="P4055">
        <v>0</v>
      </c>
      <c r="Q4055">
        <v>2</v>
      </c>
      <c r="R4055" t="s">
        <v>41252</v>
      </c>
      <c r="S4055" t="s">
        <v>41383</v>
      </c>
      <c r="T4055" t="s">
        <v>42783</v>
      </c>
      <c r="U4055" t="s">
        <v>46565</v>
      </c>
      <c r="V4055" t="s">
        <v>54670</v>
      </c>
      <c r="W4055" t="s">
        <v>37610</v>
      </c>
      <c r="X4055" t="s">
        <v>41254</v>
      </c>
    </row>
    <row r="4056" spans="1:24">
      <c r="A4056">
        <f>HYPERLINK("https://www.philgeps.gov.ph/GEPSNONPILOT/Tender/SplashBidNoticeAbstractUI.aspx?menuIndex=3&amp;refID=7075352&amp;Result=3","7075352")</f>
        <v>0</v>
      </c>
      <c r="B4056" t="s">
        <v>321</v>
      </c>
      <c r="C4056" t="s">
        <v>7275</v>
      </c>
      <c r="D4056" t="s">
        <v>16665</v>
      </c>
      <c r="E4056" t="s">
        <v>20362</v>
      </c>
      <c r="F4056" t="s">
        <v>28669</v>
      </c>
      <c r="G4056" t="s">
        <v>28675</v>
      </c>
      <c r="H4056" t="s">
        <v>9998</v>
      </c>
      <c r="I4056" t="s">
        <v>28714</v>
      </c>
      <c r="J4056" t="s">
        <v>30559</v>
      </c>
      <c r="K4056" t="s">
        <v>37206</v>
      </c>
      <c r="M4056" t="s">
        <v>39077</v>
      </c>
      <c r="N4056" t="s">
        <v>41249</v>
      </c>
      <c r="O4056" t="s">
        <v>41250</v>
      </c>
      <c r="P4056">
        <v>0</v>
      </c>
      <c r="Q4056">
        <v>17</v>
      </c>
      <c r="R4056" t="s">
        <v>41252</v>
      </c>
      <c r="S4056" t="s">
        <v>41383</v>
      </c>
      <c r="T4056" t="s">
        <v>42722</v>
      </c>
      <c r="U4056" t="s">
        <v>46566</v>
      </c>
      <c r="W4056" t="s">
        <v>39077</v>
      </c>
      <c r="X4056" t="s">
        <v>41254</v>
      </c>
    </row>
    <row r="4057" spans="1:24">
      <c r="A4057">
        <f>HYPERLINK("https://www.philgeps.gov.ph/GEPSNONPILOT/Tender/SplashBidNoticeAbstractUI.aspx?menuIndex=3&amp;refID=7075332&amp;Result=3","7075332")</f>
        <v>0</v>
      </c>
      <c r="B4057" t="s">
        <v>133</v>
      </c>
      <c r="C4057" t="s">
        <v>7276</v>
      </c>
      <c r="E4057" t="s">
        <v>20363</v>
      </c>
      <c r="F4057" t="s">
        <v>28669</v>
      </c>
      <c r="G4057" t="s">
        <v>28676</v>
      </c>
      <c r="H4057" t="s">
        <v>9998</v>
      </c>
      <c r="I4057" t="s">
        <v>3718</v>
      </c>
      <c r="J4057" t="s">
        <v>28834</v>
      </c>
      <c r="K4057" t="s">
        <v>37210</v>
      </c>
      <c r="M4057" t="s">
        <v>37610</v>
      </c>
      <c r="N4057" t="s">
        <v>41249</v>
      </c>
      <c r="O4057" t="s">
        <v>41250</v>
      </c>
      <c r="P4057">
        <v>0</v>
      </c>
      <c r="Q4057">
        <v>1</v>
      </c>
      <c r="R4057" t="s">
        <v>41252</v>
      </c>
      <c r="S4057" t="s">
        <v>41383</v>
      </c>
      <c r="T4057" t="s">
        <v>42783</v>
      </c>
      <c r="U4057" t="s">
        <v>46567</v>
      </c>
      <c r="V4057" t="s">
        <v>54670</v>
      </c>
      <c r="W4057" t="s">
        <v>37610</v>
      </c>
      <c r="X4057" t="s">
        <v>41254</v>
      </c>
    </row>
    <row r="4058" spans="1:24">
      <c r="A4058">
        <f>HYPERLINK("https://www.philgeps.gov.ph/GEPSNONPILOT/Tender/SplashBidNoticeAbstractUI.aspx?menuIndex=3&amp;refID=7075349&amp;Result=3","7075349")</f>
        <v>0</v>
      </c>
      <c r="B4058" t="s">
        <v>1504</v>
      </c>
      <c r="C4058" t="s">
        <v>7277</v>
      </c>
      <c r="D4058" t="s">
        <v>16673</v>
      </c>
      <c r="E4058" t="s">
        <v>20364</v>
      </c>
      <c r="F4058" t="s">
        <v>28669</v>
      </c>
      <c r="G4058" t="s">
        <v>28675</v>
      </c>
      <c r="H4058" t="s">
        <v>9998</v>
      </c>
      <c r="I4058" t="s">
        <v>28699</v>
      </c>
      <c r="J4058" t="s">
        <v>31435</v>
      </c>
      <c r="K4058" t="s">
        <v>37206</v>
      </c>
      <c r="M4058" t="s">
        <v>39078</v>
      </c>
      <c r="N4058" t="s">
        <v>41249</v>
      </c>
      <c r="O4058" t="s">
        <v>41250</v>
      </c>
      <c r="P4058">
        <v>0</v>
      </c>
      <c r="Q4058">
        <v>1</v>
      </c>
      <c r="R4058" t="s">
        <v>41252</v>
      </c>
      <c r="S4058" t="s">
        <v>41383</v>
      </c>
      <c r="T4058" t="s">
        <v>42690</v>
      </c>
      <c r="U4058" t="s">
        <v>46568</v>
      </c>
      <c r="W4058" t="s">
        <v>39078</v>
      </c>
      <c r="X4058" t="s">
        <v>41254</v>
      </c>
    </row>
    <row r="4059" spans="1:24">
      <c r="A4059">
        <f>HYPERLINK("https://www.philgeps.gov.ph/GEPSNONPILOT/Tender/SplashBidNoticeAbstractUI.aspx?menuIndex=3&amp;refID=7075350&amp;Result=3","7075350")</f>
        <v>0</v>
      </c>
      <c r="B4059" t="s">
        <v>111</v>
      </c>
      <c r="C4059" t="s">
        <v>7278</v>
      </c>
      <c r="D4059" t="s">
        <v>16619</v>
      </c>
      <c r="E4059" t="s">
        <v>20365</v>
      </c>
      <c r="F4059" t="s">
        <v>28669</v>
      </c>
      <c r="G4059" t="s">
        <v>28675</v>
      </c>
      <c r="H4059" t="s">
        <v>9998</v>
      </c>
      <c r="I4059" t="s">
        <v>28696</v>
      </c>
      <c r="J4059" t="s">
        <v>31436</v>
      </c>
      <c r="K4059" t="s">
        <v>37221</v>
      </c>
      <c r="M4059" t="s">
        <v>37587</v>
      </c>
      <c r="N4059" t="s">
        <v>41249</v>
      </c>
      <c r="O4059" t="s">
        <v>41250</v>
      </c>
      <c r="P4059">
        <v>0</v>
      </c>
      <c r="Q4059">
        <v>2</v>
      </c>
      <c r="R4059" t="s">
        <v>41252</v>
      </c>
      <c r="S4059" t="s">
        <v>41383</v>
      </c>
      <c r="T4059" t="s">
        <v>42723</v>
      </c>
      <c r="U4059" t="s">
        <v>46569</v>
      </c>
      <c r="V4059" t="s">
        <v>54280</v>
      </c>
      <c r="W4059" t="s">
        <v>37587</v>
      </c>
      <c r="X4059" t="s">
        <v>41254</v>
      </c>
    </row>
    <row r="4060" spans="1:24">
      <c r="A4060">
        <f>HYPERLINK("https://www.philgeps.gov.ph/GEPSNONPILOT/Tender/SplashBidNoticeAbstractUI.aspx?menuIndex=3&amp;refID=7075348&amp;Result=3","7075348")</f>
        <v>0</v>
      </c>
      <c r="B4060" t="s">
        <v>1505</v>
      </c>
      <c r="C4060" t="s">
        <v>7279</v>
      </c>
      <c r="D4060" t="s">
        <v>16665</v>
      </c>
      <c r="E4060" t="s">
        <v>19349</v>
      </c>
      <c r="F4060" t="s">
        <v>28669</v>
      </c>
      <c r="G4060" t="s">
        <v>28675</v>
      </c>
      <c r="H4060" t="s">
        <v>9998</v>
      </c>
      <c r="I4060" t="s">
        <v>7352</v>
      </c>
      <c r="J4060" t="s">
        <v>31437</v>
      </c>
      <c r="K4060" t="s">
        <v>37206</v>
      </c>
      <c r="M4060" t="s">
        <v>39079</v>
      </c>
      <c r="N4060" t="s">
        <v>41249</v>
      </c>
      <c r="O4060" t="s">
        <v>41250</v>
      </c>
      <c r="P4060">
        <v>0</v>
      </c>
      <c r="Q4060">
        <v>1</v>
      </c>
      <c r="R4060" t="s">
        <v>41252</v>
      </c>
      <c r="S4060" t="s">
        <v>41383</v>
      </c>
      <c r="T4060" t="s">
        <v>42703</v>
      </c>
      <c r="U4060" t="s">
        <v>46570</v>
      </c>
      <c r="W4060" t="s">
        <v>39079</v>
      </c>
      <c r="X4060" t="s">
        <v>41254</v>
      </c>
    </row>
    <row r="4061" spans="1:24">
      <c r="A4061">
        <f>HYPERLINK("https://www.philgeps.gov.ph/GEPSNONPILOT/Tender/SplashBidNoticeAbstractUI.aspx?menuIndex=3&amp;refID=7075347&amp;Result=3","7075347")</f>
        <v>0</v>
      </c>
      <c r="B4061" t="s">
        <v>1148</v>
      </c>
      <c r="C4061" t="s">
        <v>7280</v>
      </c>
      <c r="E4061" t="s">
        <v>20366</v>
      </c>
      <c r="F4061" t="s">
        <v>28669</v>
      </c>
      <c r="G4061" t="s">
        <v>28679</v>
      </c>
      <c r="H4061" t="s">
        <v>9998</v>
      </c>
      <c r="I4061" t="s">
        <v>28713</v>
      </c>
      <c r="J4061" t="s">
        <v>31438</v>
      </c>
      <c r="K4061" t="s">
        <v>37209</v>
      </c>
      <c r="M4061" t="s">
        <v>38684</v>
      </c>
      <c r="N4061" t="s">
        <v>41249</v>
      </c>
      <c r="O4061" t="s">
        <v>41250</v>
      </c>
      <c r="P4061">
        <v>0</v>
      </c>
      <c r="Q4061">
        <v>7</v>
      </c>
      <c r="R4061" t="s">
        <v>41252</v>
      </c>
      <c r="S4061" t="s">
        <v>41383</v>
      </c>
      <c r="T4061" t="s">
        <v>42690</v>
      </c>
      <c r="U4061" t="s">
        <v>46571</v>
      </c>
      <c r="W4061" t="s">
        <v>38684</v>
      </c>
      <c r="X4061" t="s">
        <v>41254</v>
      </c>
    </row>
    <row r="4062" spans="1:24">
      <c r="A4062">
        <f>HYPERLINK("https://www.philgeps.gov.ph/GEPSNONPILOT/Tender/SplashBidNoticeAbstractUI.aspx?menuIndex=3&amp;refID=7075340&amp;Result=3","7075340")</f>
        <v>0</v>
      </c>
      <c r="B4062" t="s">
        <v>1244</v>
      </c>
      <c r="C4062" t="s">
        <v>7281</v>
      </c>
      <c r="D4062" t="s">
        <v>16686</v>
      </c>
      <c r="E4062" t="s">
        <v>20367</v>
      </c>
      <c r="F4062" t="s">
        <v>28669</v>
      </c>
      <c r="G4062" t="s">
        <v>28676</v>
      </c>
      <c r="H4062" t="s">
        <v>9998</v>
      </c>
      <c r="I4062" t="s">
        <v>28704</v>
      </c>
      <c r="J4062" t="s">
        <v>30467</v>
      </c>
      <c r="K4062" t="s">
        <v>37205</v>
      </c>
      <c r="M4062" t="s">
        <v>38791</v>
      </c>
      <c r="N4062" t="s">
        <v>41249</v>
      </c>
      <c r="O4062" t="s">
        <v>41250</v>
      </c>
      <c r="P4062">
        <v>0</v>
      </c>
      <c r="Q4062">
        <v>1</v>
      </c>
      <c r="R4062" t="s">
        <v>41252</v>
      </c>
      <c r="S4062" t="s">
        <v>41383</v>
      </c>
      <c r="T4062" t="s">
        <v>42711</v>
      </c>
      <c r="U4062" t="s">
        <v>46572</v>
      </c>
      <c r="W4062" t="s">
        <v>38791</v>
      </c>
      <c r="X4062" t="s">
        <v>41254</v>
      </c>
    </row>
    <row r="4063" spans="1:24">
      <c r="A4063">
        <f>HYPERLINK("https://www.philgeps.gov.ph/GEPSNONPILOT/Tender/SplashBidNoticeAbstractUI.aspx?menuIndex=3&amp;refID=7075338&amp;Result=3","7075338")</f>
        <v>0</v>
      </c>
      <c r="B4063" t="s">
        <v>236</v>
      </c>
      <c r="C4063" t="s">
        <v>7282</v>
      </c>
      <c r="D4063" t="s">
        <v>16663</v>
      </c>
      <c r="E4063" t="s">
        <v>20368</v>
      </c>
      <c r="F4063" t="s">
        <v>28669</v>
      </c>
      <c r="G4063" t="s">
        <v>28675</v>
      </c>
      <c r="H4063" t="s">
        <v>9998</v>
      </c>
      <c r="I4063" t="s">
        <v>28735</v>
      </c>
      <c r="J4063" t="s">
        <v>31439</v>
      </c>
      <c r="K4063" t="s">
        <v>37209</v>
      </c>
      <c r="M4063" t="s">
        <v>37714</v>
      </c>
      <c r="N4063" t="s">
        <v>41249</v>
      </c>
      <c r="O4063" t="s">
        <v>41250</v>
      </c>
      <c r="P4063">
        <v>0</v>
      </c>
      <c r="Q4063">
        <v>0</v>
      </c>
      <c r="R4063" t="s">
        <v>41252</v>
      </c>
      <c r="S4063" t="s">
        <v>41383</v>
      </c>
      <c r="T4063" t="s">
        <v>42762</v>
      </c>
      <c r="U4063" t="s">
        <v>46573</v>
      </c>
      <c r="W4063" t="s">
        <v>37714</v>
      </c>
      <c r="X4063" t="s">
        <v>41254</v>
      </c>
    </row>
    <row r="4064" spans="1:24">
      <c r="A4064">
        <f>HYPERLINK("https://www.philgeps.gov.ph/GEPSNONPILOT/Tender/SplashBidNoticeAbstractUI.aspx?menuIndex=3&amp;refID=7075337&amp;Result=3","7075337")</f>
        <v>0</v>
      </c>
      <c r="B4064" t="s">
        <v>1457</v>
      </c>
      <c r="C4064" t="s">
        <v>7283</v>
      </c>
      <c r="E4064" t="s">
        <v>20369</v>
      </c>
      <c r="F4064" t="s">
        <v>28669</v>
      </c>
      <c r="G4064" t="s">
        <v>28675</v>
      </c>
      <c r="H4064" t="s">
        <v>9998</v>
      </c>
      <c r="I4064" t="s">
        <v>28751</v>
      </c>
      <c r="J4064" t="s">
        <v>31440</v>
      </c>
      <c r="K4064" t="s">
        <v>37215</v>
      </c>
      <c r="M4064" t="s">
        <v>39023</v>
      </c>
      <c r="N4064" t="s">
        <v>41249</v>
      </c>
      <c r="O4064" t="s">
        <v>41250</v>
      </c>
      <c r="P4064">
        <v>0</v>
      </c>
      <c r="Q4064">
        <v>9</v>
      </c>
      <c r="R4064" t="s">
        <v>41252</v>
      </c>
      <c r="S4064" t="s">
        <v>41383</v>
      </c>
      <c r="T4064" t="s">
        <v>42956</v>
      </c>
      <c r="U4064" t="s">
        <v>46574</v>
      </c>
      <c r="W4064" t="s">
        <v>55954</v>
      </c>
      <c r="X4064" t="s">
        <v>41254</v>
      </c>
    </row>
    <row r="4065" spans="1:24">
      <c r="A4065">
        <f>HYPERLINK("https://www.philgeps.gov.ph/GEPSNONPILOT/Tender/SplashBidNoticeAbstractUI.aspx?menuIndex=3&amp;refID=7075336&amp;Result=3","7075336")</f>
        <v>0</v>
      </c>
      <c r="B4065" t="s">
        <v>1063</v>
      </c>
      <c r="C4065" t="s">
        <v>7284</v>
      </c>
      <c r="D4065" t="s">
        <v>16616</v>
      </c>
      <c r="E4065" t="s">
        <v>20370</v>
      </c>
      <c r="F4065" t="s">
        <v>28669</v>
      </c>
      <c r="G4065" t="s">
        <v>28679</v>
      </c>
      <c r="H4065" t="s">
        <v>9998</v>
      </c>
      <c r="I4065" t="s">
        <v>28688</v>
      </c>
      <c r="J4065" t="s">
        <v>31441</v>
      </c>
      <c r="K4065" t="s">
        <v>37210</v>
      </c>
      <c r="M4065" t="s">
        <v>38594</v>
      </c>
      <c r="N4065" t="s">
        <v>41249</v>
      </c>
      <c r="O4065" t="s">
        <v>41250</v>
      </c>
      <c r="P4065">
        <v>0</v>
      </c>
      <c r="Q4065">
        <v>1</v>
      </c>
      <c r="R4065" t="s">
        <v>41252</v>
      </c>
      <c r="S4065" t="s">
        <v>41383</v>
      </c>
      <c r="T4065" t="s">
        <v>42701</v>
      </c>
      <c r="U4065" t="s">
        <v>46575</v>
      </c>
      <c r="W4065" t="s">
        <v>38594</v>
      </c>
      <c r="X4065" t="s">
        <v>41254</v>
      </c>
    </row>
    <row r="4066" spans="1:24">
      <c r="A4066">
        <f>HYPERLINK("https://www.philgeps.gov.ph/GEPSNONPILOT/Tender/SplashBidNoticeAbstractUI.aspx?menuIndex=3&amp;refID=7075335&amp;Result=3","7075335")</f>
        <v>0</v>
      </c>
      <c r="B4066" t="s">
        <v>1506</v>
      </c>
      <c r="C4066" t="s">
        <v>7285</v>
      </c>
      <c r="D4066" t="s">
        <v>16657</v>
      </c>
      <c r="E4066" t="s">
        <v>20371</v>
      </c>
      <c r="F4066" t="s">
        <v>28669</v>
      </c>
      <c r="G4066" t="s">
        <v>28679</v>
      </c>
      <c r="H4066" t="s">
        <v>28686</v>
      </c>
      <c r="I4066" t="s">
        <v>28689</v>
      </c>
      <c r="J4066" t="s">
        <v>31442</v>
      </c>
      <c r="K4066" t="s">
        <v>37209</v>
      </c>
      <c r="M4066" t="s">
        <v>39080</v>
      </c>
      <c r="N4066" t="s">
        <v>41249</v>
      </c>
      <c r="O4066" t="s">
        <v>41250</v>
      </c>
      <c r="P4066">
        <v>0</v>
      </c>
      <c r="Q4066">
        <v>1</v>
      </c>
      <c r="R4066" t="s">
        <v>41252</v>
      </c>
      <c r="S4066" t="s">
        <v>41383</v>
      </c>
      <c r="T4066" t="s">
        <v>42757</v>
      </c>
      <c r="U4066" t="s">
        <v>46576</v>
      </c>
      <c r="W4066" t="s">
        <v>39080</v>
      </c>
      <c r="X4066" t="s">
        <v>41254</v>
      </c>
    </row>
    <row r="4067" spans="1:24">
      <c r="A4067">
        <f>HYPERLINK("https://www.philgeps.gov.ph/GEPSNONPILOT/Tender/SplashBidNoticeAbstractUI.aspx?menuIndex=3&amp;refID=7075353&amp;Result=3","7075353")</f>
        <v>0</v>
      </c>
      <c r="B4067" t="s">
        <v>1507</v>
      </c>
      <c r="C4067" t="s">
        <v>7286</v>
      </c>
      <c r="D4067" t="s">
        <v>16666</v>
      </c>
      <c r="E4067" t="s">
        <v>20372</v>
      </c>
      <c r="F4067" t="s">
        <v>28669</v>
      </c>
      <c r="G4067" t="s">
        <v>28679</v>
      </c>
      <c r="H4067" t="s">
        <v>9998</v>
      </c>
      <c r="I4067" t="s">
        <v>28689</v>
      </c>
      <c r="J4067" t="s">
        <v>28878</v>
      </c>
      <c r="K4067" t="s">
        <v>37258</v>
      </c>
      <c r="M4067" t="s">
        <v>39081</v>
      </c>
      <c r="N4067" t="s">
        <v>41249</v>
      </c>
      <c r="O4067" t="s">
        <v>41250</v>
      </c>
      <c r="P4067">
        <v>0</v>
      </c>
      <c r="Q4067">
        <v>0</v>
      </c>
      <c r="R4067" t="s">
        <v>41252</v>
      </c>
      <c r="S4067" t="s">
        <v>41383</v>
      </c>
      <c r="T4067" t="s">
        <v>42802</v>
      </c>
      <c r="U4067" t="s">
        <v>46577</v>
      </c>
      <c r="W4067" t="s">
        <v>39081</v>
      </c>
      <c r="X4067" t="s">
        <v>41254</v>
      </c>
    </row>
    <row r="4068" spans="1:24">
      <c r="A4068">
        <f>HYPERLINK("https://www.philgeps.gov.ph/GEPSNONPILOT/Tender/SplashBidNoticeAbstractUI.aspx?menuIndex=3&amp;refID=7075334&amp;Result=3","7075334")</f>
        <v>0</v>
      </c>
      <c r="B4068" t="s">
        <v>446</v>
      </c>
      <c r="C4068" t="s">
        <v>7287</v>
      </c>
      <c r="D4068" t="s">
        <v>16678</v>
      </c>
      <c r="E4068" t="s">
        <v>20373</v>
      </c>
      <c r="F4068" t="s">
        <v>28669</v>
      </c>
      <c r="G4068" t="s">
        <v>28675</v>
      </c>
      <c r="H4068" t="s">
        <v>9998</v>
      </c>
      <c r="I4068" t="s">
        <v>28687</v>
      </c>
      <c r="J4068" t="s">
        <v>28836</v>
      </c>
      <c r="K4068" t="s">
        <v>37205</v>
      </c>
      <c r="M4068" t="s">
        <v>37932</v>
      </c>
      <c r="N4068" t="s">
        <v>41249</v>
      </c>
      <c r="O4068" t="s">
        <v>41250</v>
      </c>
      <c r="P4068">
        <v>0</v>
      </c>
      <c r="Q4068">
        <v>0</v>
      </c>
      <c r="R4068" t="s">
        <v>41252</v>
      </c>
      <c r="S4068" t="s">
        <v>41383</v>
      </c>
      <c r="T4068" t="s">
        <v>42755</v>
      </c>
      <c r="U4068" t="s">
        <v>46578</v>
      </c>
      <c r="W4068" t="s">
        <v>37932</v>
      </c>
      <c r="X4068" t="s">
        <v>41254</v>
      </c>
    </row>
    <row r="4069" spans="1:24">
      <c r="A4069">
        <f>HYPERLINK("https://www.philgeps.gov.ph/GEPSNONPILOT/Tender/SplashBidNoticeAbstractUI.aspx?menuIndex=3&amp;refID=7075333&amp;Result=3","7075333")</f>
        <v>0</v>
      </c>
      <c r="B4069" t="s">
        <v>676</v>
      </c>
      <c r="C4069" t="s">
        <v>7288</v>
      </c>
      <c r="D4069" t="s">
        <v>16639</v>
      </c>
      <c r="E4069" t="s">
        <v>20374</v>
      </c>
      <c r="F4069" t="s">
        <v>28669</v>
      </c>
      <c r="G4069" t="s">
        <v>28676</v>
      </c>
      <c r="H4069" t="s">
        <v>9998</v>
      </c>
      <c r="I4069" t="s">
        <v>11593</v>
      </c>
      <c r="J4069" t="s">
        <v>28834</v>
      </c>
      <c r="K4069" t="s">
        <v>37210</v>
      </c>
      <c r="M4069" t="s">
        <v>38179</v>
      </c>
      <c r="N4069" t="s">
        <v>41249</v>
      </c>
      <c r="O4069" t="s">
        <v>41250</v>
      </c>
      <c r="P4069">
        <v>0</v>
      </c>
      <c r="Q4069">
        <v>0</v>
      </c>
      <c r="R4069" t="s">
        <v>41252</v>
      </c>
      <c r="S4069" t="s">
        <v>41383</v>
      </c>
      <c r="T4069" t="s">
        <v>42701</v>
      </c>
      <c r="U4069" t="s">
        <v>46579</v>
      </c>
      <c r="V4069" t="s">
        <v>54423</v>
      </c>
      <c r="W4069" t="s">
        <v>38179</v>
      </c>
      <c r="X4069" t="s">
        <v>41254</v>
      </c>
    </row>
    <row r="4070" spans="1:24">
      <c r="A4070">
        <f>HYPERLINK("https://www.philgeps.gov.ph/GEPSNONPILOT/Tender/SplashBidNoticeAbstractUI.aspx?menuIndex=3&amp;refID=7075344&amp;Result=3","7075344")</f>
        <v>0</v>
      </c>
      <c r="B4070" t="s">
        <v>1389</v>
      </c>
      <c r="C4070" t="s">
        <v>7289</v>
      </c>
      <c r="D4070" t="s">
        <v>16617</v>
      </c>
      <c r="E4070" t="s">
        <v>20375</v>
      </c>
      <c r="F4070" t="s">
        <v>28669</v>
      </c>
      <c r="G4070" t="s">
        <v>28675</v>
      </c>
      <c r="H4070" t="s">
        <v>9998</v>
      </c>
      <c r="I4070" t="s">
        <v>28779</v>
      </c>
      <c r="J4070" t="s">
        <v>31443</v>
      </c>
      <c r="K4070" t="s">
        <v>37206</v>
      </c>
      <c r="M4070" t="s">
        <v>38951</v>
      </c>
      <c r="N4070" t="s">
        <v>41249</v>
      </c>
      <c r="O4070" t="s">
        <v>41250</v>
      </c>
      <c r="P4070">
        <v>0</v>
      </c>
      <c r="Q4070">
        <v>1</v>
      </c>
      <c r="R4070" t="s">
        <v>41252</v>
      </c>
      <c r="S4070" t="s">
        <v>41383</v>
      </c>
      <c r="T4070" t="s">
        <v>42782</v>
      </c>
      <c r="U4070" t="s">
        <v>46193</v>
      </c>
      <c r="W4070" t="s">
        <v>38951</v>
      </c>
      <c r="X4070" t="s">
        <v>41254</v>
      </c>
    </row>
    <row r="4071" spans="1:24">
      <c r="A4071">
        <f>HYPERLINK("https://www.philgeps.gov.ph/GEPSNONPILOT/Tender/SplashBidNoticeAbstractUI.aspx?menuIndex=3&amp;refID=7075356&amp;Result=3","7075356")</f>
        <v>0</v>
      </c>
      <c r="B4071" t="s">
        <v>114</v>
      </c>
      <c r="C4071" t="s">
        <v>7290</v>
      </c>
      <c r="D4071" t="s">
        <v>16608</v>
      </c>
      <c r="E4071" t="s">
        <v>20376</v>
      </c>
      <c r="F4071" t="s">
        <v>28669</v>
      </c>
      <c r="G4071" t="s">
        <v>28676</v>
      </c>
      <c r="H4071" t="s">
        <v>9998</v>
      </c>
      <c r="I4071" t="s">
        <v>28696</v>
      </c>
      <c r="J4071" t="s">
        <v>31444</v>
      </c>
      <c r="K4071" t="s">
        <v>37210</v>
      </c>
      <c r="M4071" t="s">
        <v>38210</v>
      </c>
      <c r="N4071" t="s">
        <v>41249</v>
      </c>
      <c r="O4071" t="s">
        <v>41250</v>
      </c>
      <c r="P4071">
        <v>0</v>
      </c>
      <c r="Q4071">
        <v>0</v>
      </c>
      <c r="R4071" t="s">
        <v>41252</v>
      </c>
      <c r="S4071" t="s">
        <v>41383</v>
      </c>
      <c r="T4071" t="s">
        <v>42741</v>
      </c>
      <c r="U4071" t="s">
        <v>46580</v>
      </c>
      <c r="V4071" t="s">
        <v>54435</v>
      </c>
      <c r="W4071" t="s">
        <v>38210</v>
      </c>
      <c r="X4071" t="s">
        <v>41254</v>
      </c>
    </row>
    <row r="4072" spans="1:24">
      <c r="A4072">
        <f>HYPERLINK("https://www.philgeps.gov.ph/GEPSNONPILOT/Tender/SplashBidNoticeAbstractUI.aspx?menuIndex=3&amp;refID=7075339&amp;Result=3","7075339")</f>
        <v>0</v>
      </c>
      <c r="B4072" t="s">
        <v>1508</v>
      </c>
      <c r="C4072" t="s">
        <v>7291</v>
      </c>
      <c r="D4072" t="s">
        <v>16608</v>
      </c>
      <c r="E4072" t="s">
        <v>20377</v>
      </c>
      <c r="F4072" t="s">
        <v>28669</v>
      </c>
      <c r="G4072" t="s">
        <v>28676</v>
      </c>
      <c r="H4072" t="s">
        <v>9998</v>
      </c>
      <c r="I4072" t="s">
        <v>7352</v>
      </c>
      <c r="J4072" t="s">
        <v>31445</v>
      </c>
      <c r="K4072" t="s">
        <v>37204</v>
      </c>
      <c r="M4072" t="s">
        <v>39082</v>
      </c>
      <c r="N4072" t="s">
        <v>41249</v>
      </c>
      <c r="O4072" t="s">
        <v>41250</v>
      </c>
      <c r="P4072">
        <v>0</v>
      </c>
      <c r="Q4072">
        <v>1</v>
      </c>
      <c r="R4072" t="s">
        <v>41252</v>
      </c>
      <c r="S4072" t="s">
        <v>41383</v>
      </c>
      <c r="T4072" t="s">
        <v>42665</v>
      </c>
      <c r="U4072" t="s">
        <v>46581</v>
      </c>
      <c r="W4072" t="s">
        <v>39082</v>
      </c>
      <c r="X4072" t="s">
        <v>41254</v>
      </c>
    </row>
    <row r="4073" spans="1:24">
      <c r="A4073">
        <f>HYPERLINK("https://www.philgeps.gov.ph/GEPSNONPILOT/Tender/SplashBidNoticeAbstractUI.aspx?menuIndex=3&amp;refID=7075366&amp;Result=3","7075366")</f>
        <v>0</v>
      </c>
      <c r="B4073" t="s">
        <v>1509</v>
      </c>
      <c r="C4073" t="s">
        <v>7292</v>
      </c>
      <c r="D4073" t="s">
        <v>16622</v>
      </c>
      <c r="E4073" t="s">
        <v>20378</v>
      </c>
      <c r="F4073" t="s">
        <v>28669</v>
      </c>
      <c r="G4073" t="s">
        <v>28676</v>
      </c>
      <c r="H4073" t="s">
        <v>9998</v>
      </c>
      <c r="I4073" t="s">
        <v>5213</v>
      </c>
      <c r="J4073" t="s">
        <v>31446</v>
      </c>
      <c r="K4073" t="s">
        <v>37220</v>
      </c>
      <c r="M4073" t="s">
        <v>39083</v>
      </c>
      <c r="N4073" t="s">
        <v>41249</v>
      </c>
      <c r="O4073" t="s">
        <v>41250</v>
      </c>
      <c r="P4073">
        <v>0</v>
      </c>
      <c r="Q4073">
        <v>6</v>
      </c>
      <c r="R4073" t="s">
        <v>41252</v>
      </c>
      <c r="S4073" t="s">
        <v>41383</v>
      </c>
      <c r="T4073" t="s">
        <v>42754</v>
      </c>
      <c r="U4073" t="s">
        <v>46582</v>
      </c>
      <c r="W4073" t="s">
        <v>39083</v>
      </c>
      <c r="X4073" t="s">
        <v>41254</v>
      </c>
    </row>
    <row r="4074" spans="1:24">
      <c r="A4074">
        <f>HYPERLINK("https://www.philgeps.gov.ph/GEPSNONPILOT/Tender/SplashBidNoticeAbstractUI.aspx?menuIndex=3&amp;refID=7075368&amp;Result=3","7075368")</f>
        <v>0</v>
      </c>
      <c r="B4074" t="s">
        <v>642</v>
      </c>
      <c r="C4074" t="s">
        <v>7293</v>
      </c>
      <c r="D4074" t="s">
        <v>16642</v>
      </c>
      <c r="E4074" t="s">
        <v>20190</v>
      </c>
      <c r="F4074" t="s">
        <v>28669</v>
      </c>
      <c r="G4074" t="s">
        <v>28676</v>
      </c>
      <c r="H4074" t="s">
        <v>9998</v>
      </c>
      <c r="I4074" t="s">
        <v>28743</v>
      </c>
      <c r="J4074" t="s">
        <v>31332</v>
      </c>
      <c r="K4074" t="s">
        <v>37205</v>
      </c>
      <c r="M4074" t="s">
        <v>38143</v>
      </c>
      <c r="N4074" t="s">
        <v>41249</v>
      </c>
      <c r="O4074" t="s">
        <v>41250</v>
      </c>
      <c r="P4074">
        <v>0</v>
      </c>
      <c r="Q4074">
        <v>0</v>
      </c>
      <c r="R4074" t="s">
        <v>41252</v>
      </c>
      <c r="S4074" t="s">
        <v>41383</v>
      </c>
      <c r="T4074" t="s">
        <v>42686</v>
      </c>
      <c r="U4074" t="s">
        <v>46583</v>
      </c>
      <c r="W4074" t="s">
        <v>38143</v>
      </c>
      <c r="X4074" t="s">
        <v>41254</v>
      </c>
    </row>
    <row r="4075" spans="1:24">
      <c r="A4075">
        <f>HYPERLINK("https://www.philgeps.gov.ph/GEPSNONPILOT/Tender/SplashBidNoticeAbstractUI.aspx?menuIndex=3&amp;refID=7075365&amp;Result=3","7075365")</f>
        <v>0</v>
      </c>
      <c r="B4075" t="s">
        <v>1500</v>
      </c>
      <c r="C4075" t="s">
        <v>7294</v>
      </c>
      <c r="D4075" t="s">
        <v>16639</v>
      </c>
      <c r="E4075" t="s">
        <v>20379</v>
      </c>
      <c r="F4075" t="s">
        <v>28669</v>
      </c>
      <c r="G4075" t="s">
        <v>28675</v>
      </c>
      <c r="H4075" t="s">
        <v>28686</v>
      </c>
      <c r="I4075" t="s">
        <v>28689</v>
      </c>
      <c r="J4075" t="s">
        <v>31412</v>
      </c>
      <c r="K4075" t="s">
        <v>37215</v>
      </c>
      <c r="M4075" t="s">
        <v>39072</v>
      </c>
      <c r="N4075" t="s">
        <v>41249</v>
      </c>
      <c r="O4075" t="s">
        <v>41250</v>
      </c>
      <c r="P4075">
        <v>0</v>
      </c>
      <c r="Q4075">
        <v>4</v>
      </c>
      <c r="R4075" t="s">
        <v>41252</v>
      </c>
      <c r="S4075" t="s">
        <v>41383</v>
      </c>
      <c r="T4075" t="s">
        <v>42693</v>
      </c>
      <c r="U4075" t="s">
        <v>46537</v>
      </c>
      <c r="V4075" t="s">
        <v>54328</v>
      </c>
      <c r="W4075" t="s">
        <v>39072</v>
      </c>
      <c r="X4075" t="s">
        <v>41254</v>
      </c>
    </row>
    <row r="4076" spans="1:24">
      <c r="A4076">
        <f>HYPERLINK("https://www.philgeps.gov.ph/GEPSNONPILOT/Tender/SplashBidNoticeAbstractUI.aspx?menuIndex=3&amp;refID=7075362&amp;Result=3","7075362")</f>
        <v>0</v>
      </c>
      <c r="B4076" t="s">
        <v>1461</v>
      </c>
      <c r="C4076" t="s">
        <v>7295</v>
      </c>
      <c r="D4076" t="s">
        <v>16661</v>
      </c>
      <c r="E4076" t="s">
        <v>20380</v>
      </c>
      <c r="F4076" t="s">
        <v>28669</v>
      </c>
      <c r="G4076" t="s">
        <v>28675</v>
      </c>
      <c r="H4076" t="s">
        <v>28686</v>
      </c>
      <c r="I4076" t="s">
        <v>28689</v>
      </c>
      <c r="J4076" t="s">
        <v>29003</v>
      </c>
      <c r="K4076" t="s">
        <v>37209</v>
      </c>
      <c r="M4076" t="s">
        <v>39027</v>
      </c>
      <c r="N4076" t="s">
        <v>41249</v>
      </c>
      <c r="O4076" t="s">
        <v>41250</v>
      </c>
      <c r="P4076">
        <v>0</v>
      </c>
      <c r="Q4076">
        <v>0</v>
      </c>
      <c r="R4076" t="s">
        <v>41252</v>
      </c>
      <c r="S4076" t="s">
        <v>41383</v>
      </c>
      <c r="T4076" t="s">
        <v>42716</v>
      </c>
      <c r="U4076" t="s">
        <v>46508</v>
      </c>
      <c r="W4076" t="s">
        <v>39027</v>
      </c>
      <c r="X4076" t="s">
        <v>41254</v>
      </c>
    </row>
    <row r="4077" spans="1:24">
      <c r="A4077">
        <f>HYPERLINK("https://www.philgeps.gov.ph/GEPSNONPILOT/Tender/SplashBidNoticeAbstractUI.aspx?menuIndex=3&amp;refID=7075361&amp;Result=3","7075361")</f>
        <v>0</v>
      </c>
      <c r="B4077" t="s">
        <v>133</v>
      </c>
      <c r="C4077" t="s">
        <v>7296</v>
      </c>
      <c r="E4077" t="s">
        <v>20381</v>
      </c>
      <c r="F4077" t="s">
        <v>28669</v>
      </c>
      <c r="G4077" t="s">
        <v>28676</v>
      </c>
      <c r="H4077" t="s">
        <v>9998</v>
      </c>
      <c r="I4077" t="s">
        <v>11593</v>
      </c>
      <c r="J4077" t="s">
        <v>28834</v>
      </c>
      <c r="K4077" t="s">
        <v>37210</v>
      </c>
      <c r="M4077" t="s">
        <v>37610</v>
      </c>
      <c r="N4077" t="s">
        <v>41249</v>
      </c>
      <c r="O4077" t="s">
        <v>41250</v>
      </c>
      <c r="P4077">
        <v>0</v>
      </c>
      <c r="Q4077">
        <v>1</v>
      </c>
      <c r="R4077" t="s">
        <v>41252</v>
      </c>
      <c r="S4077" t="s">
        <v>41383</v>
      </c>
      <c r="T4077" t="s">
        <v>42783</v>
      </c>
      <c r="U4077" t="s">
        <v>46584</v>
      </c>
      <c r="V4077" t="s">
        <v>54670</v>
      </c>
      <c r="W4077" t="s">
        <v>37610</v>
      </c>
      <c r="X4077" t="s">
        <v>41254</v>
      </c>
    </row>
    <row r="4078" spans="1:24">
      <c r="A4078">
        <f>HYPERLINK("https://www.philgeps.gov.ph/GEPSNONPILOT/Tender/SplashBidNoticeAbstractUI.aspx?menuIndex=3&amp;refID=7075358&amp;Result=3","7075358")</f>
        <v>0</v>
      </c>
      <c r="B4078" t="s">
        <v>236</v>
      </c>
      <c r="C4078" t="s">
        <v>7297</v>
      </c>
      <c r="D4078" t="s">
        <v>16663</v>
      </c>
      <c r="E4078" t="s">
        <v>7297</v>
      </c>
      <c r="F4078" t="s">
        <v>28669</v>
      </c>
      <c r="G4078" t="s">
        <v>28675</v>
      </c>
      <c r="H4078" t="s">
        <v>9998</v>
      </c>
      <c r="I4078" t="s">
        <v>28706</v>
      </c>
      <c r="J4078" t="s">
        <v>31447</v>
      </c>
      <c r="K4078" t="s">
        <v>37206</v>
      </c>
      <c r="M4078" t="s">
        <v>37714</v>
      </c>
      <c r="N4078" t="s">
        <v>41249</v>
      </c>
      <c r="O4078" t="s">
        <v>41250</v>
      </c>
      <c r="P4078">
        <v>0</v>
      </c>
      <c r="Q4078">
        <v>1</v>
      </c>
      <c r="R4078" t="s">
        <v>41252</v>
      </c>
      <c r="S4078" t="s">
        <v>41383</v>
      </c>
      <c r="T4078" t="s">
        <v>42762</v>
      </c>
      <c r="U4078" t="s">
        <v>46585</v>
      </c>
      <c r="W4078" t="s">
        <v>37714</v>
      </c>
      <c r="X4078" t="s">
        <v>41254</v>
      </c>
    </row>
    <row r="4079" spans="1:24">
      <c r="A4079">
        <f>HYPERLINK("https://www.philgeps.gov.ph/GEPSNONPILOT/Tender/SplashBidNoticeAbstractUI.aspx?menuIndex=3&amp;refID=7075354&amp;Result=3","7075354")</f>
        <v>0</v>
      </c>
      <c r="B4079" t="s">
        <v>963</v>
      </c>
      <c r="C4079" t="s">
        <v>7298</v>
      </c>
      <c r="D4079" t="s">
        <v>16626</v>
      </c>
      <c r="E4079" t="s">
        <v>20382</v>
      </c>
      <c r="F4079" t="s">
        <v>28669</v>
      </c>
      <c r="G4079" t="s">
        <v>28675</v>
      </c>
      <c r="H4079" t="s">
        <v>9998</v>
      </c>
      <c r="I4079" t="s">
        <v>7352</v>
      </c>
      <c r="J4079" t="s">
        <v>31448</v>
      </c>
      <c r="K4079" t="s">
        <v>37209</v>
      </c>
      <c r="M4079" t="s">
        <v>38488</v>
      </c>
      <c r="N4079" t="s">
        <v>41249</v>
      </c>
      <c r="O4079" t="s">
        <v>41250</v>
      </c>
      <c r="P4079">
        <v>0</v>
      </c>
      <c r="Q4079">
        <v>2</v>
      </c>
      <c r="R4079" t="s">
        <v>41252</v>
      </c>
      <c r="S4079" t="s">
        <v>41383</v>
      </c>
      <c r="T4079" t="s">
        <v>42858</v>
      </c>
      <c r="U4079" t="s">
        <v>46586</v>
      </c>
      <c r="V4079" t="s">
        <v>54530</v>
      </c>
      <c r="W4079" t="s">
        <v>38488</v>
      </c>
      <c r="X4079" t="s">
        <v>41254</v>
      </c>
    </row>
    <row r="4080" spans="1:24">
      <c r="A4080">
        <f>HYPERLINK("https://www.philgeps.gov.ph/GEPSNONPILOT/Tender/SplashBidNoticeAbstractUI.aspx?menuIndex=3&amp;refID=7075378&amp;Result=3","7075378")</f>
        <v>0</v>
      </c>
      <c r="B4080" t="s">
        <v>1510</v>
      </c>
      <c r="C4080" t="s">
        <v>7299</v>
      </c>
      <c r="D4080" t="s">
        <v>16641</v>
      </c>
      <c r="E4080" t="s">
        <v>20383</v>
      </c>
      <c r="F4080" t="s">
        <v>28669</v>
      </c>
      <c r="G4080" t="s">
        <v>28677</v>
      </c>
      <c r="H4080" t="s">
        <v>28686</v>
      </c>
      <c r="I4080" t="s">
        <v>28691</v>
      </c>
      <c r="J4080" t="s">
        <v>31449</v>
      </c>
      <c r="K4080" t="s">
        <v>37205</v>
      </c>
      <c r="M4080" t="s">
        <v>39084</v>
      </c>
      <c r="N4080" t="s">
        <v>41249</v>
      </c>
      <c r="O4080" t="s">
        <v>41250</v>
      </c>
      <c r="P4080">
        <v>0</v>
      </c>
      <c r="Q4080">
        <v>0</v>
      </c>
      <c r="R4080" t="s">
        <v>41252</v>
      </c>
      <c r="S4080" t="s">
        <v>41383</v>
      </c>
      <c r="T4080" t="s">
        <v>42883</v>
      </c>
      <c r="U4080" t="s">
        <v>46587</v>
      </c>
      <c r="V4080" t="s">
        <v>54700</v>
      </c>
      <c r="W4080" t="s">
        <v>39084</v>
      </c>
      <c r="X4080" t="s">
        <v>41254</v>
      </c>
    </row>
    <row r="4081" spans="1:24">
      <c r="A4081">
        <f>HYPERLINK("https://www.philgeps.gov.ph/GEPSNONPILOT/Tender/SplashBidNoticeAbstractUI.aspx?menuIndex=3&amp;refID=7075376&amp;Result=3","7075376")</f>
        <v>0</v>
      </c>
      <c r="B4081" t="s">
        <v>1455</v>
      </c>
      <c r="C4081" t="s">
        <v>7300</v>
      </c>
      <c r="D4081" t="s">
        <v>16627</v>
      </c>
      <c r="E4081" t="s">
        <v>20384</v>
      </c>
      <c r="F4081" t="s">
        <v>28669</v>
      </c>
      <c r="G4081" t="s">
        <v>28676</v>
      </c>
      <c r="H4081" t="s">
        <v>9998</v>
      </c>
      <c r="I4081" t="s">
        <v>28801</v>
      </c>
      <c r="J4081" t="s">
        <v>31450</v>
      </c>
      <c r="K4081" t="s">
        <v>37221</v>
      </c>
      <c r="M4081" t="s">
        <v>39020</v>
      </c>
      <c r="N4081" t="s">
        <v>41249</v>
      </c>
      <c r="O4081" t="s">
        <v>41250</v>
      </c>
      <c r="P4081">
        <v>0</v>
      </c>
      <c r="Q4081">
        <v>1</v>
      </c>
      <c r="R4081" t="s">
        <v>41252</v>
      </c>
      <c r="S4081" t="s">
        <v>41383</v>
      </c>
      <c r="T4081" t="s">
        <v>42729</v>
      </c>
      <c r="U4081" t="s">
        <v>46588</v>
      </c>
      <c r="W4081" t="s">
        <v>39020</v>
      </c>
      <c r="X4081" t="s">
        <v>41254</v>
      </c>
    </row>
    <row r="4082" spans="1:24">
      <c r="A4082">
        <f>HYPERLINK("https://www.philgeps.gov.ph/GEPSNONPILOT/Tender/SplashBidNoticeAbstractUI.aspx?menuIndex=3&amp;refID=7075375&amp;Result=3","7075375")</f>
        <v>0</v>
      </c>
      <c r="B4082" t="s">
        <v>98</v>
      </c>
      <c r="C4082" t="s">
        <v>7301</v>
      </c>
      <c r="D4082" t="s">
        <v>16654</v>
      </c>
      <c r="E4082" t="s">
        <v>20385</v>
      </c>
      <c r="F4082" t="s">
        <v>28669</v>
      </c>
      <c r="G4082" t="s">
        <v>28676</v>
      </c>
      <c r="H4082" t="s">
        <v>9998</v>
      </c>
      <c r="I4082" t="s">
        <v>7352</v>
      </c>
      <c r="J4082" t="s">
        <v>31415</v>
      </c>
      <c r="K4082" t="s">
        <v>37209</v>
      </c>
      <c r="M4082" t="s">
        <v>37573</v>
      </c>
      <c r="N4082" t="s">
        <v>41249</v>
      </c>
      <c r="O4082" t="s">
        <v>41250</v>
      </c>
      <c r="P4082">
        <v>0</v>
      </c>
      <c r="Q4082">
        <v>0</v>
      </c>
      <c r="R4082" t="s">
        <v>41252</v>
      </c>
      <c r="S4082" t="s">
        <v>41383</v>
      </c>
      <c r="T4082" t="s">
        <v>42736</v>
      </c>
      <c r="U4082" t="s">
        <v>46589</v>
      </c>
      <c r="W4082" t="s">
        <v>37573</v>
      </c>
      <c r="X4082" t="s">
        <v>41254</v>
      </c>
    </row>
    <row r="4083" spans="1:24">
      <c r="A4083">
        <f>HYPERLINK("https://www.philgeps.gov.ph/GEPSNONPILOT/Tender/SplashBidNoticeAbstractUI.aspx?menuIndex=3&amp;refID=7075379&amp;Result=3","7075379")</f>
        <v>0</v>
      </c>
      <c r="B4083" t="s">
        <v>57</v>
      </c>
      <c r="C4083" t="s">
        <v>7302</v>
      </c>
      <c r="D4083" t="s">
        <v>16634</v>
      </c>
      <c r="E4083" t="s">
        <v>20386</v>
      </c>
      <c r="F4083" t="s">
        <v>28669</v>
      </c>
      <c r="G4083" t="s">
        <v>28676</v>
      </c>
      <c r="H4083" t="s">
        <v>9998</v>
      </c>
      <c r="I4083" t="s">
        <v>28706</v>
      </c>
      <c r="J4083" t="s">
        <v>31451</v>
      </c>
      <c r="K4083" t="s">
        <v>37205</v>
      </c>
      <c r="M4083" t="s">
        <v>37532</v>
      </c>
      <c r="N4083" t="s">
        <v>41249</v>
      </c>
      <c r="O4083" t="s">
        <v>41250</v>
      </c>
      <c r="P4083">
        <v>0</v>
      </c>
      <c r="Q4083">
        <v>0</v>
      </c>
      <c r="R4083" t="s">
        <v>41252</v>
      </c>
      <c r="S4083" t="s">
        <v>41383</v>
      </c>
      <c r="T4083" t="s">
        <v>42758</v>
      </c>
      <c r="U4083" t="s">
        <v>46590</v>
      </c>
      <c r="W4083" t="s">
        <v>37532</v>
      </c>
      <c r="X4083" t="s">
        <v>41254</v>
      </c>
    </row>
    <row r="4084" spans="1:24">
      <c r="A4084">
        <f>HYPERLINK("https://www.philgeps.gov.ph/GEPSNONPILOT/Tender/SplashBidNoticeAbstractUI.aspx?menuIndex=3&amp;refID=7075374&amp;Result=3","7075374")</f>
        <v>0</v>
      </c>
      <c r="B4084" t="s">
        <v>1511</v>
      </c>
      <c r="C4084" t="s">
        <v>7303</v>
      </c>
      <c r="D4084" t="s">
        <v>16612</v>
      </c>
      <c r="E4084" t="s">
        <v>17140</v>
      </c>
      <c r="F4084" t="s">
        <v>28669</v>
      </c>
      <c r="G4084" t="s">
        <v>28675</v>
      </c>
      <c r="H4084" t="s">
        <v>9998</v>
      </c>
      <c r="I4084" t="s">
        <v>7352</v>
      </c>
      <c r="J4084" t="s">
        <v>31452</v>
      </c>
      <c r="K4084" t="s">
        <v>37205</v>
      </c>
      <c r="M4084" t="s">
        <v>39085</v>
      </c>
      <c r="N4084" t="s">
        <v>41249</v>
      </c>
      <c r="O4084" t="s">
        <v>41250</v>
      </c>
      <c r="P4084">
        <v>0</v>
      </c>
      <c r="Q4084">
        <v>0</v>
      </c>
      <c r="R4084" t="s">
        <v>41252</v>
      </c>
      <c r="S4084" t="s">
        <v>41383</v>
      </c>
      <c r="T4084" t="s">
        <v>42679</v>
      </c>
      <c r="U4084" t="s">
        <v>46591</v>
      </c>
      <c r="W4084" t="s">
        <v>39085</v>
      </c>
      <c r="X4084" t="s">
        <v>41254</v>
      </c>
    </row>
    <row r="4085" spans="1:24">
      <c r="A4085">
        <f>HYPERLINK("https://www.philgeps.gov.ph/GEPSNONPILOT/Tender/SplashBidNoticeAbstractUI.aspx?menuIndex=3&amp;refID=7075364&amp;Result=3","7075364")</f>
        <v>0</v>
      </c>
      <c r="B4085" t="s">
        <v>358</v>
      </c>
      <c r="C4085" t="s">
        <v>7304</v>
      </c>
      <c r="D4085" t="s">
        <v>16683</v>
      </c>
      <c r="E4085" t="s">
        <v>19596</v>
      </c>
      <c r="F4085" t="s">
        <v>28669</v>
      </c>
      <c r="G4085" t="s">
        <v>28675</v>
      </c>
      <c r="H4085" t="s">
        <v>28686</v>
      </c>
      <c r="I4085" t="s">
        <v>28689</v>
      </c>
      <c r="J4085" t="s">
        <v>31453</v>
      </c>
      <c r="K4085" t="s">
        <v>37212</v>
      </c>
      <c r="M4085" t="s">
        <v>37839</v>
      </c>
      <c r="N4085" t="s">
        <v>41249</v>
      </c>
      <c r="O4085" t="s">
        <v>41250</v>
      </c>
      <c r="P4085">
        <v>0</v>
      </c>
      <c r="Q4085">
        <v>0</v>
      </c>
      <c r="R4085" t="s">
        <v>41252</v>
      </c>
      <c r="S4085" t="s">
        <v>41383</v>
      </c>
      <c r="T4085" t="s">
        <v>42716</v>
      </c>
      <c r="U4085" t="s">
        <v>46592</v>
      </c>
      <c r="W4085" t="s">
        <v>37839</v>
      </c>
      <c r="X4085" t="s">
        <v>41254</v>
      </c>
    </row>
    <row r="4086" spans="1:24">
      <c r="A4086">
        <f>HYPERLINK("https://www.philgeps.gov.ph/GEPSNONPILOT/Tender/SplashBidNoticeAbstractUI.aspx?menuIndex=3&amp;refID=7075371&amp;Result=3","7075371")</f>
        <v>0</v>
      </c>
      <c r="B4086" t="s">
        <v>1226</v>
      </c>
      <c r="C4086" t="s">
        <v>7305</v>
      </c>
      <c r="D4086" t="s">
        <v>16642</v>
      </c>
      <c r="E4086" t="s">
        <v>20387</v>
      </c>
      <c r="F4086" t="s">
        <v>28669</v>
      </c>
      <c r="G4086" t="s">
        <v>28676</v>
      </c>
      <c r="H4086" t="s">
        <v>9998</v>
      </c>
      <c r="I4086" t="s">
        <v>28694</v>
      </c>
      <c r="J4086" t="s">
        <v>29147</v>
      </c>
      <c r="K4086" t="s">
        <v>37206</v>
      </c>
      <c r="M4086" t="s">
        <v>38770</v>
      </c>
      <c r="N4086" t="s">
        <v>41249</v>
      </c>
      <c r="O4086" t="s">
        <v>41250</v>
      </c>
      <c r="P4086">
        <v>0</v>
      </c>
      <c r="Q4086">
        <v>0</v>
      </c>
      <c r="R4086" t="s">
        <v>41252</v>
      </c>
      <c r="S4086" t="s">
        <v>41383</v>
      </c>
      <c r="T4086" t="s">
        <v>42736</v>
      </c>
      <c r="U4086" t="s">
        <v>45729</v>
      </c>
      <c r="V4086" t="s">
        <v>54699</v>
      </c>
      <c r="W4086" t="s">
        <v>38770</v>
      </c>
      <c r="X4086" t="s">
        <v>41254</v>
      </c>
    </row>
    <row r="4087" spans="1:24">
      <c r="A4087">
        <f>HYPERLINK("https://www.philgeps.gov.ph/GEPSNONPILOT/Tender/SplashBidNoticeAbstractUI.aspx?menuIndex=3&amp;refID=7075370&amp;Result=3","7075370")</f>
        <v>0</v>
      </c>
      <c r="B4087" t="s">
        <v>1512</v>
      </c>
      <c r="C4087" t="s">
        <v>6099</v>
      </c>
      <c r="D4087" t="s">
        <v>16619</v>
      </c>
      <c r="E4087" t="s">
        <v>16968</v>
      </c>
      <c r="F4087" t="s">
        <v>28669</v>
      </c>
      <c r="G4087" t="s">
        <v>28677</v>
      </c>
      <c r="H4087" t="s">
        <v>9998</v>
      </c>
      <c r="I4087" t="s">
        <v>28709</v>
      </c>
      <c r="J4087" t="s">
        <v>29191</v>
      </c>
      <c r="K4087" t="s">
        <v>37234</v>
      </c>
      <c r="M4087" t="s">
        <v>39086</v>
      </c>
      <c r="N4087" t="s">
        <v>41249</v>
      </c>
      <c r="O4087" t="s">
        <v>41250</v>
      </c>
      <c r="P4087">
        <v>0</v>
      </c>
      <c r="Q4087">
        <v>0</v>
      </c>
      <c r="R4087" t="s">
        <v>41252</v>
      </c>
      <c r="S4087" t="s">
        <v>41383</v>
      </c>
      <c r="T4087" t="s">
        <v>42771</v>
      </c>
      <c r="U4087" t="s">
        <v>46593</v>
      </c>
      <c r="W4087" t="s">
        <v>39086</v>
      </c>
      <c r="X4087" t="s">
        <v>41254</v>
      </c>
    </row>
    <row r="4088" spans="1:24">
      <c r="A4088">
        <f>HYPERLINK("https://www.philgeps.gov.ph/GEPSNONPILOT/Tender/SplashBidNoticeAbstractUI.aspx?menuIndex=3&amp;refID=7075381&amp;Result=3","7075381")</f>
        <v>0</v>
      </c>
      <c r="B4088" t="s">
        <v>114</v>
      </c>
      <c r="C4088" t="s">
        <v>7306</v>
      </c>
      <c r="D4088" t="s">
        <v>16608</v>
      </c>
      <c r="E4088" t="s">
        <v>20388</v>
      </c>
      <c r="F4088" t="s">
        <v>28669</v>
      </c>
      <c r="G4088" t="s">
        <v>28676</v>
      </c>
      <c r="H4088" t="s">
        <v>9998</v>
      </c>
      <c r="I4088" t="s">
        <v>28728</v>
      </c>
      <c r="J4088" t="s">
        <v>29110</v>
      </c>
      <c r="K4088" t="s">
        <v>37210</v>
      </c>
      <c r="M4088" t="s">
        <v>38210</v>
      </c>
      <c r="N4088" t="s">
        <v>41249</v>
      </c>
      <c r="O4088" t="s">
        <v>41250</v>
      </c>
      <c r="P4088">
        <v>0</v>
      </c>
      <c r="Q4088">
        <v>2</v>
      </c>
      <c r="R4088" t="s">
        <v>41252</v>
      </c>
      <c r="S4088" t="s">
        <v>41383</v>
      </c>
      <c r="T4088" t="s">
        <v>42741</v>
      </c>
      <c r="U4088" t="s">
        <v>46594</v>
      </c>
      <c r="V4088" t="s">
        <v>54435</v>
      </c>
      <c r="W4088" t="s">
        <v>38210</v>
      </c>
      <c r="X4088" t="s">
        <v>41254</v>
      </c>
    </row>
    <row r="4089" spans="1:24">
      <c r="A4089">
        <f>HYPERLINK("https://www.philgeps.gov.ph/GEPSNONPILOT/Tender/SplashBidNoticeAbstractUI.aspx?menuIndex=3&amp;refID=7075380&amp;Result=3","7075380")</f>
        <v>0</v>
      </c>
      <c r="B4089" t="s">
        <v>1513</v>
      </c>
      <c r="C4089" t="s">
        <v>7307</v>
      </c>
      <c r="D4089" t="s">
        <v>16654</v>
      </c>
      <c r="E4089" t="s">
        <v>20389</v>
      </c>
      <c r="F4089" t="s">
        <v>28669</v>
      </c>
      <c r="G4089" t="s">
        <v>28676</v>
      </c>
      <c r="H4089" t="s">
        <v>9998</v>
      </c>
      <c r="I4089" t="s">
        <v>28711</v>
      </c>
      <c r="J4089" t="s">
        <v>29040</v>
      </c>
      <c r="K4089" t="s">
        <v>37208</v>
      </c>
      <c r="M4089" t="s">
        <v>39087</v>
      </c>
      <c r="N4089" t="s">
        <v>41249</v>
      </c>
      <c r="O4089" t="s">
        <v>41250</v>
      </c>
      <c r="P4089">
        <v>0</v>
      </c>
      <c r="Q4089">
        <v>0</v>
      </c>
      <c r="R4089" t="s">
        <v>41252</v>
      </c>
      <c r="S4089" t="s">
        <v>41383</v>
      </c>
      <c r="T4089" t="s">
        <v>42748</v>
      </c>
      <c r="U4089" t="s">
        <v>46595</v>
      </c>
      <c r="W4089" t="s">
        <v>39087</v>
      </c>
      <c r="X4089" t="s">
        <v>41254</v>
      </c>
    </row>
    <row r="4090" spans="1:24">
      <c r="A4090">
        <f>HYPERLINK("https://www.philgeps.gov.ph/GEPSNONPILOT/Tender/SplashBidNoticeAbstractUI.aspx?menuIndex=3&amp;refID=7075396&amp;Result=3","7075396")</f>
        <v>0</v>
      </c>
      <c r="B4090" t="s">
        <v>114</v>
      </c>
      <c r="C4090" t="s">
        <v>7308</v>
      </c>
      <c r="D4090" t="s">
        <v>16608</v>
      </c>
      <c r="E4090" t="s">
        <v>20390</v>
      </c>
      <c r="F4090" t="s">
        <v>28669</v>
      </c>
      <c r="G4090" t="s">
        <v>28677</v>
      </c>
      <c r="H4090" t="s">
        <v>9998</v>
      </c>
      <c r="I4090" t="s">
        <v>5286</v>
      </c>
      <c r="J4090" t="s">
        <v>31454</v>
      </c>
      <c r="K4090" t="s">
        <v>37210</v>
      </c>
      <c r="M4090" t="s">
        <v>37793</v>
      </c>
      <c r="N4090" t="s">
        <v>41249</v>
      </c>
      <c r="O4090" t="s">
        <v>41250</v>
      </c>
      <c r="P4090">
        <v>0</v>
      </c>
      <c r="Q4090">
        <v>2</v>
      </c>
      <c r="R4090" t="s">
        <v>41252</v>
      </c>
      <c r="S4090" t="s">
        <v>41383</v>
      </c>
      <c r="T4090" t="s">
        <v>42878</v>
      </c>
      <c r="U4090" t="s">
        <v>46596</v>
      </c>
      <c r="V4090" t="s">
        <v>54326</v>
      </c>
      <c r="W4090" t="s">
        <v>37793</v>
      </c>
      <c r="X4090" t="s">
        <v>41254</v>
      </c>
    </row>
    <row r="4091" spans="1:24">
      <c r="A4091">
        <f>HYPERLINK("https://www.philgeps.gov.ph/GEPSNONPILOT/Tender/SplashBidNoticeAbstractUI.aspx?menuIndex=3&amp;refID=7075367&amp;Result=3","7075367")</f>
        <v>0</v>
      </c>
      <c r="B4091" t="s">
        <v>273</v>
      </c>
      <c r="C4091" t="s">
        <v>7309</v>
      </c>
      <c r="D4091" t="s">
        <v>16618</v>
      </c>
      <c r="E4091" t="s">
        <v>20391</v>
      </c>
      <c r="F4091" t="s">
        <v>28669</v>
      </c>
      <c r="G4091" t="s">
        <v>28676</v>
      </c>
      <c r="H4091" t="s">
        <v>9998</v>
      </c>
      <c r="I4091" t="s">
        <v>28708</v>
      </c>
      <c r="J4091" t="s">
        <v>29307</v>
      </c>
      <c r="K4091" t="s">
        <v>37208</v>
      </c>
      <c r="M4091" t="s">
        <v>37751</v>
      </c>
      <c r="N4091" t="s">
        <v>41249</v>
      </c>
      <c r="O4091" t="s">
        <v>41250</v>
      </c>
      <c r="P4091">
        <v>0</v>
      </c>
      <c r="Q4091">
        <v>3</v>
      </c>
      <c r="R4091" t="s">
        <v>41252</v>
      </c>
      <c r="S4091" t="s">
        <v>41383</v>
      </c>
      <c r="T4091" t="s">
        <v>42736</v>
      </c>
      <c r="U4091" t="s">
        <v>46597</v>
      </c>
      <c r="W4091" t="s">
        <v>37751</v>
      </c>
      <c r="X4091" t="s">
        <v>41254</v>
      </c>
    </row>
    <row r="4092" spans="1:24">
      <c r="A4092">
        <f>HYPERLINK("https://www.philgeps.gov.ph/GEPSNONPILOT/Tender/SplashBidNoticeAbstractUI.aspx?menuIndex=3&amp;refID=7075404&amp;Result=3","7075404")</f>
        <v>0</v>
      </c>
      <c r="B4092" t="s">
        <v>1509</v>
      </c>
      <c r="C4092" t="s">
        <v>7310</v>
      </c>
      <c r="D4092" t="s">
        <v>16609</v>
      </c>
      <c r="E4092" t="s">
        <v>20392</v>
      </c>
      <c r="F4092" t="s">
        <v>28669</v>
      </c>
      <c r="G4092" t="s">
        <v>28678</v>
      </c>
      <c r="H4092" t="s">
        <v>9998</v>
      </c>
      <c r="I4092" t="s">
        <v>5213</v>
      </c>
      <c r="J4092" t="s">
        <v>31455</v>
      </c>
      <c r="K4092" t="s">
        <v>37220</v>
      </c>
      <c r="M4092" t="s">
        <v>39083</v>
      </c>
      <c r="N4092" t="s">
        <v>41249</v>
      </c>
      <c r="O4092" t="s">
        <v>41250</v>
      </c>
      <c r="P4092">
        <v>0</v>
      </c>
      <c r="Q4092">
        <v>4</v>
      </c>
      <c r="R4092" t="s">
        <v>41252</v>
      </c>
      <c r="S4092" t="s">
        <v>41383</v>
      </c>
      <c r="T4092" t="s">
        <v>42754</v>
      </c>
      <c r="U4092" t="s">
        <v>46582</v>
      </c>
      <c r="W4092" t="s">
        <v>39083</v>
      </c>
      <c r="X4092" t="s">
        <v>41254</v>
      </c>
    </row>
    <row r="4093" spans="1:24">
      <c r="A4093">
        <f>HYPERLINK("https://www.philgeps.gov.ph/GEPSNONPILOT/Tender/SplashBidNoticeAbstractUI.aspx?menuIndex=3&amp;refID=7075327&amp;Result=3","7075327")</f>
        <v>0</v>
      </c>
      <c r="B4093" t="s">
        <v>1514</v>
      </c>
      <c r="C4093" t="s">
        <v>7311</v>
      </c>
      <c r="D4093" t="s">
        <v>16621</v>
      </c>
      <c r="E4093" t="s">
        <v>20393</v>
      </c>
      <c r="F4093" t="s">
        <v>28669</v>
      </c>
      <c r="G4093" t="s">
        <v>28677</v>
      </c>
      <c r="H4093" t="s">
        <v>9998</v>
      </c>
      <c r="I4093" t="s">
        <v>28695</v>
      </c>
      <c r="J4093" t="s">
        <v>31456</v>
      </c>
      <c r="K4093" t="s">
        <v>37205</v>
      </c>
      <c r="M4093" t="s">
        <v>39088</v>
      </c>
      <c r="N4093" t="s">
        <v>41249</v>
      </c>
      <c r="O4093" t="s">
        <v>41250</v>
      </c>
      <c r="P4093">
        <v>0</v>
      </c>
      <c r="Q4093">
        <v>1</v>
      </c>
      <c r="R4093" t="s">
        <v>41252</v>
      </c>
      <c r="S4093" t="s">
        <v>41383</v>
      </c>
      <c r="T4093" t="s">
        <v>42703</v>
      </c>
      <c r="U4093" t="s">
        <v>46598</v>
      </c>
      <c r="W4093" t="s">
        <v>39088</v>
      </c>
      <c r="X4093" t="s">
        <v>41254</v>
      </c>
    </row>
    <row r="4094" spans="1:24">
      <c r="A4094">
        <f>HYPERLINK("https://www.philgeps.gov.ph/GEPSNONPILOT/Tender/SplashBidNoticeAbstractUI.aspx?menuIndex=3&amp;refID=7075402&amp;Result=3","7075402")</f>
        <v>0</v>
      </c>
      <c r="B4094" t="s">
        <v>1283</v>
      </c>
      <c r="C4094" t="s">
        <v>7312</v>
      </c>
      <c r="D4094" t="s">
        <v>16665</v>
      </c>
      <c r="E4094" t="s">
        <v>20394</v>
      </c>
      <c r="F4094" t="s">
        <v>28669</v>
      </c>
      <c r="G4094" t="s">
        <v>28676</v>
      </c>
      <c r="H4094" t="s">
        <v>9998</v>
      </c>
      <c r="I4094" t="s">
        <v>8667</v>
      </c>
      <c r="J4094" t="s">
        <v>30663</v>
      </c>
      <c r="K4094" t="s">
        <v>37206</v>
      </c>
      <c r="M4094" t="s">
        <v>38834</v>
      </c>
      <c r="N4094" t="s">
        <v>41249</v>
      </c>
      <c r="O4094" t="s">
        <v>41250</v>
      </c>
      <c r="P4094">
        <v>0</v>
      </c>
      <c r="Q4094">
        <v>0</v>
      </c>
      <c r="R4094" t="s">
        <v>41252</v>
      </c>
      <c r="S4094" t="s">
        <v>41383</v>
      </c>
      <c r="T4094" t="s">
        <v>42758</v>
      </c>
      <c r="U4094" t="s">
        <v>46599</v>
      </c>
      <c r="W4094" t="s">
        <v>38834</v>
      </c>
      <c r="X4094" t="s">
        <v>41254</v>
      </c>
    </row>
    <row r="4095" spans="1:24">
      <c r="A4095">
        <f>HYPERLINK("https://www.philgeps.gov.ph/GEPSNONPILOT/Tender/SplashBidNoticeAbstractUI.aspx?menuIndex=3&amp;refID=7075400&amp;Result=3","7075400")</f>
        <v>0</v>
      </c>
      <c r="B4095" t="s">
        <v>1515</v>
      </c>
      <c r="C4095" t="s">
        <v>7313</v>
      </c>
      <c r="D4095" t="s">
        <v>16678</v>
      </c>
      <c r="E4095" t="s">
        <v>20395</v>
      </c>
      <c r="F4095" t="s">
        <v>28669</v>
      </c>
      <c r="G4095" t="s">
        <v>28676</v>
      </c>
      <c r="H4095" t="s">
        <v>9998</v>
      </c>
      <c r="I4095" t="s">
        <v>28695</v>
      </c>
      <c r="J4095" t="s">
        <v>31457</v>
      </c>
      <c r="K4095" t="s">
        <v>37206</v>
      </c>
      <c r="M4095" t="s">
        <v>39089</v>
      </c>
      <c r="N4095" t="s">
        <v>41249</v>
      </c>
      <c r="O4095" t="s">
        <v>41250</v>
      </c>
      <c r="P4095">
        <v>0</v>
      </c>
      <c r="Q4095">
        <v>0</v>
      </c>
      <c r="R4095" t="s">
        <v>41252</v>
      </c>
      <c r="S4095" t="s">
        <v>41383</v>
      </c>
      <c r="T4095" t="s">
        <v>42736</v>
      </c>
      <c r="U4095" t="s">
        <v>46600</v>
      </c>
      <c r="W4095" t="s">
        <v>39089</v>
      </c>
      <c r="X4095" t="s">
        <v>41254</v>
      </c>
    </row>
    <row r="4096" spans="1:24">
      <c r="A4096">
        <f>HYPERLINK("https://www.philgeps.gov.ph/GEPSNONPILOT/Tender/SplashBidNoticeAbstractUI.aspx?menuIndex=3&amp;refID=7075399&amp;Result=3","7075399")</f>
        <v>0</v>
      </c>
      <c r="B4096" t="s">
        <v>1461</v>
      </c>
      <c r="C4096" t="s">
        <v>7314</v>
      </c>
      <c r="D4096" t="s">
        <v>16661</v>
      </c>
      <c r="E4096" t="s">
        <v>20396</v>
      </c>
      <c r="F4096" t="s">
        <v>28669</v>
      </c>
      <c r="G4096" t="s">
        <v>28675</v>
      </c>
      <c r="H4096" t="s">
        <v>28686</v>
      </c>
      <c r="I4096" t="s">
        <v>28689</v>
      </c>
      <c r="J4096" t="s">
        <v>28823</v>
      </c>
      <c r="K4096" t="s">
        <v>37209</v>
      </c>
      <c r="M4096" t="s">
        <v>39027</v>
      </c>
      <c r="N4096" t="s">
        <v>41249</v>
      </c>
      <c r="O4096" t="s">
        <v>41250</v>
      </c>
      <c r="P4096">
        <v>0</v>
      </c>
      <c r="Q4096">
        <v>0</v>
      </c>
      <c r="R4096" t="s">
        <v>41252</v>
      </c>
      <c r="S4096" t="s">
        <v>41383</v>
      </c>
      <c r="T4096" t="s">
        <v>42716</v>
      </c>
      <c r="U4096" t="s">
        <v>46508</v>
      </c>
      <c r="W4096" t="s">
        <v>39027</v>
      </c>
      <c r="X4096" t="s">
        <v>41254</v>
      </c>
    </row>
    <row r="4097" spans="1:24">
      <c r="A4097">
        <f>HYPERLINK("https://www.philgeps.gov.ph/GEPSNONPILOT/Tender/SplashBidNoticeAbstractUI.aspx?menuIndex=3&amp;refID=7075398&amp;Result=3","7075398")</f>
        <v>0</v>
      </c>
      <c r="B4097" t="s">
        <v>582</v>
      </c>
      <c r="C4097" t="s">
        <v>7315</v>
      </c>
      <c r="D4097" t="s">
        <v>16659</v>
      </c>
      <c r="E4097" t="s">
        <v>20397</v>
      </c>
      <c r="F4097" t="s">
        <v>28669</v>
      </c>
      <c r="G4097" t="s">
        <v>28675</v>
      </c>
      <c r="H4097" t="s">
        <v>28686</v>
      </c>
      <c r="I4097" t="s">
        <v>28689</v>
      </c>
      <c r="J4097" t="s">
        <v>31458</v>
      </c>
      <c r="K4097" t="s">
        <v>37213</v>
      </c>
      <c r="M4097" t="s">
        <v>38081</v>
      </c>
      <c r="N4097" t="s">
        <v>41249</v>
      </c>
      <c r="O4097" t="s">
        <v>41250</v>
      </c>
      <c r="P4097">
        <v>0</v>
      </c>
      <c r="Q4097">
        <v>9</v>
      </c>
      <c r="R4097" t="s">
        <v>41252</v>
      </c>
      <c r="S4097" t="s">
        <v>41383</v>
      </c>
      <c r="T4097" t="s">
        <v>42716</v>
      </c>
      <c r="U4097" t="s">
        <v>46601</v>
      </c>
      <c r="W4097" t="s">
        <v>38081</v>
      </c>
      <c r="X4097" t="s">
        <v>41254</v>
      </c>
    </row>
    <row r="4098" spans="1:24">
      <c r="A4098">
        <f>HYPERLINK("https://www.philgeps.gov.ph/GEPSNONPILOT/Tender/SplashBidNoticeAbstractUI.aspx?menuIndex=3&amp;refID=7075395&amp;Result=3","7075395")</f>
        <v>0</v>
      </c>
      <c r="B4098" t="s">
        <v>1500</v>
      </c>
      <c r="C4098" t="s">
        <v>7316</v>
      </c>
      <c r="D4098" t="s">
        <v>16639</v>
      </c>
      <c r="E4098" t="s">
        <v>20398</v>
      </c>
      <c r="F4098" t="s">
        <v>28669</v>
      </c>
      <c r="G4098" t="s">
        <v>28675</v>
      </c>
      <c r="H4098" t="s">
        <v>28686</v>
      </c>
      <c r="I4098" t="s">
        <v>28689</v>
      </c>
      <c r="J4098" t="s">
        <v>31412</v>
      </c>
      <c r="K4098" t="s">
        <v>37215</v>
      </c>
      <c r="M4098" t="s">
        <v>39072</v>
      </c>
      <c r="N4098" t="s">
        <v>41249</v>
      </c>
      <c r="O4098" t="s">
        <v>41250</v>
      </c>
      <c r="P4098">
        <v>0</v>
      </c>
      <c r="Q4098">
        <v>3</v>
      </c>
      <c r="R4098" t="s">
        <v>41252</v>
      </c>
      <c r="S4098" t="s">
        <v>41383</v>
      </c>
      <c r="T4098" t="s">
        <v>42693</v>
      </c>
      <c r="U4098" t="s">
        <v>46537</v>
      </c>
      <c r="V4098" t="s">
        <v>54328</v>
      </c>
      <c r="W4098" t="s">
        <v>39072</v>
      </c>
      <c r="X4098" t="s">
        <v>41254</v>
      </c>
    </row>
    <row r="4099" spans="1:24">
      <c r="A4099">
        <f>HYPERLINK("https://www.philgeps.gov.ph/GEPSNONPILOT/Tender/SplashBidNoticeAbstractUI.aspx?menuIndex=3&amp;refID=7075394&amp;Result=3","7075394")</f>
        <v>0</v>
      </c>
      <c r="B4099" t="s">
        <v>1516</v>
      </c>
      <c r="C4099" t="s">
        <v>7317</v>
      </c>
      <c r="D4099" t="s">
        <v>16658</v>
      </c>
      <c r="E4099" t="s">
        <v>20399</v>
      </c>
      <c r="F4099" t="s">
        <v>28669</v>
      </c>
      <c r="G4099" t="s">
        <v>28675</v>
      </c>
      <c r="H4099" t="s">
        <v>9998</v>
      </c>
      <c r="I4099" t="s">
        <v>28724</v>
      </c>
      <c r="J4099" t="s">
        <v>29332</v>
      </c>
      <c r="K4099" t="s">
        <v>37206</v>
      </c>
      <c r="M4099" t="s">
        <v>39090</v>
      </c>
      <c r="N4099" t="s">
        <v>41249</v>
      </c>
      <c r="O4099" t="s">
        <v>41250</v>
      </c>
      <c r="P4099">
        <v>0</v>
      </c>
      <c r="Q4099">
        <v>5</v>
      </c>
      <c r="R4099" t="s">
        <v>41252</v>
      </c>
      <c r="S4099" t="s">
        <v>41383</v>
      </c>
      <c r="T4099" t="s">
        <v>42693</v>
      </c>
      <c r="U4099" t="s">
        <v>46602</v>
      </c>
      <c r="W4099" t="s">
        <v>39090</v>
      </c>
      <c r="X4099" t="s">
        <v>41254</v>
      </c>
    </row>
    <row r="4100" spans="1:24">
      <c r="A4100">
        <f>HYPERLINK("https://www.philgeps.gov.ph/GEPSNONPILOT/Tender/SplashBidNoticeAbstractUI.aspx?menuIndex=3&amp;refID=7075393&amp;Result=3","7075393")</f>
        <v>0</v>
      </c>
      <c r="B4100" t="s">
        <v>1517</v>
      </c>
      <c r="C4100" t="s">
        <v>7318</v>
      </c>
      <c r="D4100" t="s">
        <v>16632</v>
      </c>
      <c r="E4100" t="s">
        <v>20400</v>
      </c>
      <c r="F4100" t="s">
        <v>28669</v>
      </c>
      <c r="G4100" t="s">
        <v>28675</v>
      </c>
      <c r="H4100" t="s">
        <v>9998</v>
      </c>
      <c r="I4100" t="s">
        <v>3679</v>
      </c>
      <c r="J4100" t="s">
        <v>31459</v>
      </c>
      <c r="K4100" t="s">
        <v>37204</v>
      </c>
      <c r="M4100" t="s">
        <v>39091</v>
      </c>
      <c r="N4100" t="s">
        <v>41249</v>
      </c>
      <c r="O4100" t="s">
        <v>41250</v>
      </c>
      <c r="P4100">
        <v>0</v>
      </c>
      <c r="Q4100">
        <v>1</v>
      </c>
      <c r="R4100" t="s">
        <v>41252</v>
      </c>
      <c r="S4100" t="s">
        <v>41383</v>
      </c>
      <c r="T4100" t="s">
        <v>42684</v>
      </c>
      <c r="U4100" t="s">
        <v>46603</v>
      </c>
      <c r="V4100" t="s">
        <v>54701</v>
      </c>
      <c r="W4100" t="s">
        <v>39091</v>
      </c>
      <c r="X4100" t="s">
        <v>41254</v>
      </c>
    </row>
    <row r="4101" spans="1:24">
      <c r="A4101">
        <f>HYPERLINK("https://www.philgeps.gov.ph/GEPSNONPILOT/Tender/SplashBidNoticeAbstractUI.aspx?menuIndex=3&amp;refID=7075391&amp;Result=3","7075391")</f>
        <v>0</v>
      </c>
      <c r="B4101" t="s">
        <v>1518</v>
      </c>
      <c r="C4101" t="s">
        <v>7319</v>
      </c>
      <c r="D4101" t="s">
        <v>16611</v>
      </c>
      <c r="E4101" t="s">
        <v>20401</v>
      </c>
      <c r="F4101" t="s">
        <v>28672</v>
      </c>
      <c r="G4101" t="s">
        <v>28677</v>
      </c>
      <c r="H4101" t="s">
        <v>9998</v>
      </c>
      <c r="I4101" t="s">
        <v>28688</v>
      </c>
      <c r="J4101" t="s">
        <v>31460</v>
      </c>
      <c r="K4101" t="s">
        <v>37208</v>
      </c>
      <c r="L4101" t="s">
        <v>1518</v>
      </c>
      <c r="M4101" t="s">
        <v>39092</v>
      </c>
      <c r="N4101" t="s">
        <v>41249</v>
      </c>
      <c r="O4101" t="s">
        <v>41250</v>
      </c>
      <c r="P4101">
        <v>0</v>
      </c>
      <c r="Q4101">
        <v>0</v>
      </c>
      <c r="R4101" t="s">
        <v>41252</v>
      </c>
      <c r="S4101" t="s">
        <v>41383</v>
      </c>
      <c r="T4101" t="s">
        <v>42742</v>
      </c>
      <c r="U4101" t="s">
        <v>46604</v>
      </c>
      <c r="W4101" t="s">
        <v>39092</v>
      </c>
      <c r="X4101" t="s">
        <v>41254</v>
      </c>
    </row>
    <row r="4102" spans="1:24">
      <c r="A4102">
        <f>HYPERLINK("https://www.philgeps.gov.ph/GEPSNONPILOT/Tender/SplashBidNoticeAbstractUI.aspx?menuIndex=3&amp;refID=7075403&amp;Result=3","7075403")</f>
        <v>0</v>
      </c>
      <c r="B4102" t="s">
        <v>111</v>
      </c>
      <c r="C4102" t="s">
        <v>7320</v>
      </c>
      <c r="D4102" t="s">
        <v>16619</v>
      </c>
      <c r="E4102" t="s">
        <v>20402</v>
      </c>
      <c r="F4102" t="s">
        <v>28669</v>
      </c>
      <c r="G4102" t="s">
        <v>28675</v>
      </c>
      <c r="H4102" t="s">
        <v>9998</v>
      </c>
      <c r="I4102" t="s">
        <v>28696</v>
      </c>
      <c r="J4102" t="s">
        <v>31461</v>
      </c>
      <c r="K4102" t="s">
        <v>37221</v>
      </c>
      <c r="M4102" t="s">
        <v>37587</v>
      </c>
      <c r="N4102" t="s">
        <v>41249</v>
      </c>
      <c r="O4102" t="s">
        <v>41250</v>
      </c>
      <c r="P4102">
        <v>0</v>
      </c>
      <c r="Q4102">
        <v>4</v>
      </c>
      <c r="R4102" t="s">
        <v>41252</v>
      </c>
      <c r="S4102" t="s">
        <v>41383</v>
      </c>
      <c r="T4102" t="s">
        <v>42723</v>
      </c>
      <c r="U4102" t="s">
        <v>46605</v>
      </c>
      <c r="V4102" t="s">
        <v>54280</v>
      </c>
      <c r="W4102" t="s">
        <v>37587</v>
      </c>
      <c r="X4102" t="s">
        <v>41254</v>
      </c>
    </row>
    <row r="4103" spans="1:24">
      <c r="A4103">
        <f>HYPERLINK("https://www.philgeps.gov.ph/GEPSNONPILOT/Tender/SplashBidNoticeAbstractUI.aspx?menuIndex=3&amp;refID=7075377&amp;Result=3","7075377")</f>
        <v>0</v>
      </c>
      <c r="B4103" t="s">
        <v>1078</v>
      </c>
      <c r="C4103" t="s">
        <v>7321</v>
      </c>
      <c r="D4103" t="s">
        <v>16683</v>
      </c>
      <c r="E4103" t="s">
        <v>20403</v>
      </c>
      <c r="F4103" t="s">
        <v>28669</v>
      </c>
      <c r="G4103" t="s">
        <v>28676</v>
      </c>
      <c r="H4103" t="s">
        <v>9998</v>
      </c>
      <c r="I4103" t="s">
        <v>28688</v>
      </c>
      <c r="J4103" t="s">
        <v>31462</v>
      </c>
      <c r="K4103" t="s">
        <v>37209</v>
      </c>
      <c r="M4103" t="s">
        <v>38610</v>
      </c>
      <c r="N4103" t="s">
        <v>41249</v>
      </c>
      <c r="O4103" t="s">
        <v>41250</v>
      </c>
      <c r="P4103">
        <v>0</v>
      </c>
      <c r="Q4103">
        <v>1</v>
      </c>
      <c r="R4103" t="s">
        <v>41252</v>
      </c>
      <c r="S4103" t="s">
        <v>41383</v>
      </c>
      <c r="T4103" t="s">
        <v>42857</v>
      </c>
      <c r="U4103" t="s">
        <v>46606</v>
      </c>
      <c r="W4103" t="s">
        <v>38610</v>
      </c>
      <c r="X4103" t="s">
        <v>41254</v>
      </c>
    </row>
    <row r="4104" spans="1:24">
      <c r="A4104">
        <f>HYPERLINK("https://www.philgeps.gov.ph/GEPSNONPILOT/Tender/SplashBidNoticeAbstractUI.aspx?menuIndex=3&amp;refID=7075385&amp;Result=3","7075385")</f>
        <v>0</v>
      </c>
      <c r="B4104" t="s">
        <v>1463</v>
      </c>
      <c r="C4104" t="s">
        <v>7322</v>
      </c>
      <c r="D4104" t="s">
        <v>16619</v>
      </c>
      <c r="E4104" t="s">
        <v>20404</v>
      </c>
      <c r="F4104" t="s">
        <v>28669</v>
      </c>
      <c r="G4104" t="s">
        <v>28675</v>
      </c>
      <c r="H4104" t="s">
        <v>28686</v>
      </c>
      <c r="I4104" t="s">
        <v>28689</v>
      </c>
      <c r="J4104" t="s">
        <v>31463</v>
      </c>
      <c r="K4104" t="s">
        <v>37215</v>
      </c>
      <c r="M4104" t="s">
        <v>39029</v>
      </c>
      <c r="N4104" t="s">
        <v>41249</v>
      </c>
      <c r="O4104" t="s">
        <v>41250</v>
      </c>
      <c r="P4104">
        <v>0</v>
      </c>
      <c r="Q4104">
        <v>0</v>
      </c>
      <c r="R4104" t="s">
        <v>41252</v>
      </c>
      <c r="S4104" t="s">
        <v>41383</v>
      </c>
      <c r="T4104" t="s">
        <v>42704</v>
      </c>
      <c r="U4104" t="s">
        <v>46607</v>
      </c>
      <c r="V4104" t="s">
        <v>54702</v>
      </c>
      <c r="W4104" t="s">
        <v>39029</v>
      </c>
      <c r="X4104" t="s">
        <v>41254</v>
      </c>
    </row>
    <row r="4105" spans="1:24">
      <c r="A4105">
        <f>HYPERLINK("https://www.philgeps.gov.ph/GEPSNONPILOT/Tender/SplashBidNoticeAbstractUI.aspx?menuIndex=3&amp;refID=7075384&amp;Result=3","7075384")</f>
        <v>0</v>
      </c>
      <c r="B4105" t="s">
        <v>1519</v>
      </c>
      <c r="C4105" t="s">
        <v>7323</v>
      </c>
      <c r="D4105" t="s">
        <v>16611</v>
      </c>
      <c r="E4105" t="s">
        <v>20405</v>
      </c>
      <c r="F4105" t="s">
        <v>28669</v>
      </c>
      <c r="G4105" t="s">
        <v>28676</v>
      </c>
      <c r="H4105" t="s">
        <v>9998</v>
      </c>
      <c r="I4105" t="s">
        <v>28688</v>
      </c>
      <c r="J4105" t="s">
        <v>31464</v>
      </c>
      <c r="K4105" t="s">
        <v>37209</v>
      </c>
      <c r="M4105" t="s">
        <v>39093</v>
      </c>
      <c r="N4105" t="s">
        <v>41249</v>
      </c>
      <c r="O4105" t="s">
        <v>41250</v>
      </c>
      <c r="P4105">
        <v>0</v>
      </c>
      <c r="Q4105">
        <v>9</v>
      </c>
      <c r="R4105" t="s">
        <v>41252</v>
      </c>
      <c r="S4105" t="s">
        <v>41383</v>
      </c>
      <c r="T4105" t="s">
        <v>42758</v>
      </c>
      <c r="U4105" t="s">
        <v>46608</v>
      </c>
      <c r="W4105" t="s">
        <v>39093</v>
      </c>
      <c r="X4105" t="s">
        <v>41254</v>
      </c>
    </row>
    <row r="4106" spans="1:24">
      <c r="A4106">
        <f>HYPERLINK("https://www.philgeps.gov.ph/GEPSNONPILOT/Tender/SplashBidNoticeAbstractUI.aspx?menuIndex=3&amp;refID=7075383&amp;Result=3","7075383")</f>
        <v>0</v>
      </c>
      <c r="B4106" t="s">
        <v>1109</v>
      </c>
      <c r="C4106" t="s">
        <v>7324</v>
      </c>
      <c r="D4106" t="s">
        <v>16637</v>
      </c>
      <c r="E4106" t="s">
        <v>17140</v>
      </c>
      <c r="F4106" t="s">
        <v>28669</v>
      </c>
      <c r="G4106" t="s">
        <v>28677</v>
      </c>
      <c r="H4106" t="s">
        <v>9998</v>
      </c>
      <c r="I4106" t="s">
        <v>28791</v>
      </c>
      <c r="J4106" t="s">
        <v>30992</v>
      </c>
      <c r="K4106" t="s">
        <v>37208</v>
      </c>
      <c r="M4106" t="s">
        <v>38642</v>
      </c>
      <c r="N4106" t="s">
        <v>41249</v>
      </c>
      <c r="O4106" t="s">
        <v>41250</v>
      </c>
      <c r="P4106">
        <v>0</v>
      </c>
      <c r="Q4106">
        <v>0</v>
      </c>
      <c r="R4106" t="s">
        <v>41252</v>
      </c>
      <c r="S4106" t="s">
        <v>41383</v>
      </c>
      <c r="T4106" t="s">
        <v>42771</v>
      </c>
      <c r="U4106" t="s">
        <v>45460</v>
      </c>
      <c r="W4106" t="s">
        <v>38642</v>
      </c>
      <c r="X4106" t="s">
        <v>41254</v>
      </c>
    </row>
    <row r="4107" spans="1:24">
      <c r="A4107">
        <f>HYPERLINK("https://www.philgeps.gov.ph/GEPSNONPILOT/Tender/SplashBidNoticeAbstractUI.aspx?menuIndex=3&amp;refID=7075419&amp;Result=3","7075419")</f>
        <v>0</v>
      </c>
      <c r="B4107" t="s">
        <v>1520</v>
      </c>
      <c r="C4107" t="s">
        <v>6128</v>
      </c>
      <c r="D4107" t="s">
        <v>16611</v>
      </c>
      <c r="E4107" t="s">
        <v>17435</v>
      </c>
      <c r="F4107" t="s">
        <v>28669</v>
      </c>
      <c r="G4107" t="s">
        <v>28677</v>
      </c>
      <c r="H4107" t="s">
        <v>9998</v>
      </c>
      <c r="I4107" t="s">
        <v>6128</v>
      </c>
      <c r="J4107" t="s">
        <v>28834</v>
      </c>
      <c r="K4107" t="s">
        <v>37208</v>
      </c>
      <c r="M4107" t="s">
        <v>39094</v>
      </c>
      <c r="N4107" t="s">
        <v>41249</v>
      </c>
      <c r="O4107" t="s">
        <v>41250</v>
      </c>
      <c r="P4107">
        <v>0</v>
      </c>
      <c r="Q4107">
        <v>0</v>
      </c>
      <c r="R4107" t="s">
        <v>41252</v>
      </c>
      <c r="S4107" t="s">
        <v>41383</v>
      </c>
      <c r="T4107" t="s">
        <v>42771</v>
      </c>
      <c r="U4107" t="s">
        <v>46609</v>
      </c>
      <c r="W4107" t="s">
        <v>39094</v>
      </c>
      <c r="X4107" t="s">
        <v>41254</v>
      </c>
    </row>
    <row r="4108" spans="1:24">
      <c r="A4108">
        <f>HYPERLINK("https://www.philgeps.gov.ph/GEPSNONPILOT/Tender/SplashBidNoticeAbstractUI.aspx?menuIndex=3&amp;refID=7075429&amp;Result=3","7075429")</f>
        <v>0</v>
      </c>
      <c r="B4108" t="s">
        <v>1186</v>
      </c>
      <c r="C4108" t="s">
        <v>7325</v>
      </c>
      <c r="D4108" t="s">
        <v>16664</v>
      </c>
      <c r="E4108" t="s">
        <v>19317</v>
      </c>
      <c r="F4108" t="s">
        <v>28669</v>
      </c>
      <c r="G4108" t="s">
        <v>28676</v>
      </c>
      <c r="H4108" t="s">
        <v>9998</v>
      </c>
      <c r="I4108" t="s">
        <v>28698</v>
      </c>
      <c r="J4108" t="s">
        <v>31465</v>
      </c>
      <c r="K4108" t="s">
        <v>37208</v>
      </c>
      <c r="M4108" t="s">
        <v>38726</v>
      </c>
      <c r="N4108" t="s">
        <v>41249</v>
      </c>
      <c r="O4108" t="s">
        <v>41250</v>
      </c>
      <c r="P4108">
        <v>0</v>
      </c>
      <c r="Q4108">
        <v>0</v>
      </c>
      <c r="R4108" t="s">
        <v>41252</v>
      </c>
      <c r="S4108" t="s">
        <v>41383</v>
      </c>
      <c r="T4108" t="s">
        <v>42736</v>
      </c>
      <c r="U4108" t="s">
        <v>46610</v>
      </c>
      <c r="W4108" t="s">
        <v>38726</v>
      </c>
      <c r="X4108" t="s">
        <v>41254</v>
      </c>
    </row>
    <row r="4109" spans="1:24">
      <c r="A4109">
        <f>HYPERLINK("https://www.philgeps.gov.ph/GEPSNONPILOT/Tender/SplashBidNoticeAbstractUI.aspx?menuIndex=3&amp;refID=7075389&amp;Result=3","7075389")</f>
        <v>0</v>
      </c>
      <c r="B4109" t="s">
        <v>1521</v>
      </c>
      <c r="C4109" t="s">
        <v>7326</v>
      </c>
      <c r="D4109" t="s">
        <v>16644</v>
      </c>
      <c r="E4109" t="s">
        <v>20406</v>
      </c>
      <c r="F4109" t="s">
        <v>28669</v>
      </c>
      <c r="G4109" t="s">
        <v>28677</v>
      </c>
      <c r="H4109" t="s">
        <v>9998</v>
      </c>
      <c r="I4109" t="s">
        <v>28694</v>
      </c>
      <c r="J4109" t="s">
        <v>31466</v>
      </c>
      <c r="K4109" t="s">
        <v>37210</v>
      </c>
      <c r="M4109" t="s">
        <v>39095</v>
      </c>
      <c r="N4109" t="s">
        <v>41249</v>
      </c>
      <c r="O4109" t="s">
        <v>41250</v>
      </c>
      <c r="P4109">
        <v>0</v>
      </c>
      <c r="Q4109">
        <v>1</v>
      </c>
      <c r="R4109" t="s">
        <v>41252</v>
      </c>
      <c r="S4109" t="s">
        <v>41383</v>
      </c>
      <c r="T4109" t="s">
        <v>42771</v>
      </c>
      <c r="U4109" t="s">
        <v>46611</v>
      </c>
      <c r="W4109" t="s">
        <v>39095</v>
      </c>
      <c r="X4109" t="s">
        <v>41254</v>
      </c>
    </row>
    <row r="4110" spans="1:24">
      <c r="A4110">
        <f>HYPERLINK("https://www.philgeps.gov.ph/GEPSNONPILOT/Tender/SplashBidNoticeAbstractUI.aspx?menuIndex=3&amp;refID=7075427&amp;Result=3","7075427")</f>
        <v>0</v>
      </c>
      <c r="B4110" t="s">
        <v>1501</v>
      </c>
      <c r="C4110" t="s">
        <v>7327</v>
      </c>
      <c r="D4110" t="s">
        <v>16675</v>
      </c>
      <c r="E4110" t="s">
        <v>20407</v>
      </c>
      <c r="F4110" t="s">
        <v>28669</v>
      </c>
      <c r="G4110" t="s">
        <v>28676</v>
      </c>
      <c r="H4110" t="s">
        <v>9998</v>
      </c>
      <c r="I4110" t="s">
        <v>28693</v>
      </c>
      <c r="J4110" t="s">
        <v>28894</v>
      </c>
      <c r="K4110" t="s">
        <v>37206</v>
      </c>
      <c r="M4110" t="s">
        <v>39074</v>
      </c>
      <c r="N4110" t="s">
        <v>41249</v>
      </c>
      <c r="O4110" t="s">
        <v>41250</v>
      </c>
      <c r="P4110">
        <v>0</v>
      </c>
      <c r="Q4110">
        <v>1</v>
      </c>
      <c r="R4110" t="s">
        <v>41252</v>
      </c>
      <c r="S4110" t="s">
        <v>41383</v>
      </c>
      <c r="T4110" t="s">
        <v>42701</v>
      </c>
      <c r="U4110" t="s">
        <v>46612</v>
      </c>
      <c r="W4110" t="s">
        <v>39074</v>
      </c>
      <c r="X4110" t="s">
        <v>41254</v>
      </c>
    </row>
    <row r="4111" spans="1:24">
      <c r="A4111">
        <f>HYPERLINK("https://www.philgeps.gov.ph/GEPSNONPILOT/Tender/SplashBidNoticeAbstractUI.aspx?menuIndex=3&amp;refID=7075424&amp;Result=3","7075424")</f>
        <v>0</v>
      </c>
      <c r="B4111" t="s">
        <v>1466</v>
      </c>
      <c r="C4111" t="s">
        <v>7328</v>
      </c>
      <c r="D4111" t="s">
        <v>16679</v>
      </c>
      <c r="E4111" t="s">
        <v>20408</v>
      </c>
      <c r="F4111" t="s">
        <v>28669</v>
      </c>
      <c r="G4111" t="s">
        <v>28675</v>
      </c>
      <c r="H4111" t="s">
        <v>28686</v>
      </c>
      <c r="I4111" t="s">
        <v>28689</v>
      </c>
      <c r="J4111" t="s">
        <v>31467</v>
      </c>
      <c r="K4111" t="s">
        <v>37206</v>
      </c>
      <c r="M4111" t="s">
        <v>39034</v>
      </c>
      <c r="N4111" t="s">
        <v>41249</v>
      </c>
      <c r="O4111" t="s">
        <v>41250</v>
      </c>
      <c r="P4111">
        <v>0</v>
      </c>
      <c r="Q4111">
        <v>2</v>
      </c>
      <c r="R4111" t="s">
        <v>41252</v>
      </c>
      <c r="S4111" t="s">
        <v>41383</v>
      </c>
      <c r="T4111" t="s">
        <v>42688</v>
      </c>
      <c r="U4111" t="s">
        <v>46413</v>
      </c>
      <c r="W4111" t="s">
        <v>55956</v>
      </c>
      <c r="X4111" t="s">
        <v>41254</v>
      </c>
    </row>
    <row r="4112" spans="1:24">
      <c r="A4112">
        <f>HYPERLINK("https://www.philgeps.gov.ph/GEPSNONPILOT/Tender/SplashBidNoticeAbstractUI.aspx?menuIndex=3&amp;refID=7075423&amp;Result=3","7075423")</f>
        <v>0</v>
      </c>
      <c r="B4112" t="s">
        <v>1389</v>
      </c>
      <c r="C4112" t="s">
        <v>7329</v>
      </c>
      <c r="D4112" t="s">
        <v>16617</v>
      </c>
      <c r="E4112" t="s">
        <v>20409</v>
      </c>
      <c r="F4112" t="s">
        <v>28669</v>
      </c>
      <c r="G4112" t="s">
        <v>28675</v>
      </c>
      <c r="H4112" t="s">
        <v>9998</v>
      </c>
      <c r="I4112" t="s">
        <v>28779</v>
      </c>
      <c r="J4112" t="s">
        <v>31468</v>
      </c>
      <c r="K4112" t="s">
        <v>37206</v>
      </c>
      <c r="M4112" t="s">
        <v>38951</v>
      </c>
      <c r="N4112" t="s">
        <v>41249</v>
      </c>
      <c r="O4112" t="s">
        <v>41250</v>
      </c>
      <c r="P4112">
        <v>0</v>
      </c>
      <c r="Q4112">
        <v>1</v>
      </c>
      <c r="R4112" t="s">
        <v>41252</v>
      </c>
      <c r="S4112" t="s">
        <v>41383</v>
      </c>
      <c r="T4112" t="s">
        <v>42782</v>
      </c>
      <c r="U4112" t="s">
        <v>46193</v>
      </c>
      <c r="W4112" t="s">
        <v>38951</v>
      </c>
      <c r="X4112" t="s">
        <v>41254</v>
      </c>
    </row>
    <row r="4113" spans="1:24">
      <c r="A4113">
        <f>HYPERLINK("https://www.philgeps.gov.ph/GEPSNONPILOT/Tender/SplashBidNoticeAbstractUI.aspx?menuIndex=3&amp;refID=7075421&amp;Result=3","7075421")</f>
        <v>0</v>
      </c>
      <c r="B4113" t="s">
        <v>1522</v>
      </c>
      <c r="C4113" t="s">
        <v>7330</v>
      </c>
      <c r="D4113" t="s">
        <v>16686</v>
      </c>
      <c r="E4113" t="s">
        <v>20410</v>
      </c>
      <c r="F4113" t="s">
        <v>28669</v>
      </c>
      <c r="G4113" t="s">
        <v>28675</v>
      </c>
      <c r="H4113" t="s">
        <v>9998</v>
      </c>
      <c r="I4113" t="s">
        <v>7352</v>
      </c>
      <c r="J4113" t="s">
        <v>31469</v>
      </c>
      <c r="K4113" t="s">
        <v>37210</v>
      </c>
      <c r="M4113" t="s">
        <v>39096</v>
      </c>
      <c r="N4113" t="s">
        <v>41249</v>
      </c>
      <c r="O4113" t="s">
        <v>41250</v>
      </c>
      <c r="P4113">
        <v>0</v>
      </c>
      <c r="Q4113">
        <v>1</v>
      </c>
      <c r="R4113" t="s">
        <v>41252</v>
      </c>
      <c r="S4113" t="s">
        <v>41383</v>
      </c>
      <c r="T4113" t="s">
        <v>42778</v>
      </c>
      <c r="U4113" t="s">
        <v>46613</v>
      </c>
      <c r="W4113" t="s">
        <v>39096</v>
      </c>
      <c r="X4113" t="s">
        <v>41254</v>
      </c>
    </row>
    <row r="4114" spans="1:24">
      <c r="A4114">
        <f>HYPERLINK("https://www.philgeps.gov.ph/GEPSNONPILOT/Tender/SplashBidNoticeAbstractUI.aspx?menuIndex=3&amp;refID=7075420&amp;Result=3","7075420")</f>
        <v>0</v>
      </c>
      <c r="B4114" t="s">
        <v>1335</v>
      </c>
      <c r="C4114" t="s">
        <v>7331</v>
      </c>
      <c r="D4114" t="s">
        <v>16658</v>
      </c>
      <c r="E4114" t="s">
        <v>20411</v>
      </c>
      <c r="F4114" t="s">
        <v>28669</v>
      </c>
      <c r="G4114" t="s">
        <v>28675</v>
      </c>
      <c r="H4114" t="s">
        <v>9998</v>
      </c>
      <c r="I4114" t="s">
        <v>7352</v>
      </c>
      <c r="J4114" t="s">
        <v>31470</v>
      </c>
      <c r="K4114" t="s">
        <v>37205</v>
      </c>
      <c r="M4114" t="s">
        <v>38889</v>
      </c>
      <c r="N4114" t="s">
        <v>41249</v>
      </c>
      <c r="O4114" t="s">
        <v>41250</v>
      </c>
      <c r="P4114">
        <v>0</v>
      </c>
      <c r="Q4114">
        <v>0</v>
      </c>
      <c r="R4114" t="s">
        <v>41252</v>
      </c>
      <c r="S4114" t="s">
        <v>41383</v>
      </c>
      <c r="T4114" t="s">
        <v>42671</v>
      </c>
      <c r="U4114" t="s">
        <v>46614</v>
      </c>
      <c r="W4114" t="s">
        <v>38889</v>
      </c>
      <c r="X4114" t="s">
        <v>41254</v>
      </c>
    </row>
    <row r="4115" spans="1:24">
      <c r="A4115">
        <f>HYPERLINK("https://www.philgeps.gov.ph/GEPSNONPILOT/Tender/SplashBidNoticeAbstractUI.aspx?menuIndex=3&amp;refID=7075392&amp;Result=3","7075392")</f>
        <v>0</v>
      </c>
      <c r="B4115" t="s">
        <v>1466</v>
      </c>
      <c r="C4115" t="s">
        <v>7332</v>
      </c>
      <c r="D4115" t="s">
        <v>16679</v>
      </c>
      <c r="E4115" t="s">
        <v>20412</v>
      </c>
      <c r="F4115" t="s">
        <v>28669</v>
      </c>
      <c r="G4115" t="s">
        <v>28675</v>
      </c>
      <c r="H4115" t="s">
        <v>28686</v>
      </c>
      <c r="I4115" t="s">
        <v>28689</v>
      </c>
      <c r="J4115" t="s">
        <v>30289</v>
      </c>
      <c r="K4115" t="s">
        <v>37213</v>
      </c>
      <c r="M4115" t="s">
        <v>39034</v>
      </c>
      <c r="N4115" t="s">
        <v>41249</v>
      </c>
      <c r="O4115" t="s">
        <v>41250</v>
      </c>
      <c r="P4115">
        <v>0</v>
      </c>
      <c r="Q4115">
        <v>2</v>
      </c>
      <c r="R4115" t="s">
        <v>41252</v>
      </c>
      <c r="S4115" t="s">
        <v>41383</v>
      </c>
      <c r="T4115" t="s">
        <v>42688</v>
      </c>
      <c r="U4115" t="s">
        <v>46413</v>
      </c>
      <c r="W4115" t="s">
        <v>55956</v>
      </c>
      <c r="X4115" t="s">
        <v>41254</v>
      </c>
    </row>
    <row r="4116" spans="1:24">
      <c r="A4116">
        <f>HYPERLINK("https://www.philgeps.gov.ph/GEPSNONPILOT/Tender/SplashBidNoticeAbstractUI.aspx?menuIndex=3&amp;refID=7075418&amp;Result=3","7075418")</f>
        <v>0</v>
      </c>
      <c r="B4116" t="s">
        <v>133</v>
      </c>
      <c r="C4116" t="s">
        <v>7333</v>
      </c>
      <c r="E4116" t="s">
        <v>20413</v>
      </c>
      <c r="F4116" t="s">
        <v>28669</v>
      </c>
      <c r="G4116" t="s">
        <v>28676</v>
      </c>
      <c r="H4116" t="s">
        <v>9998</v>
      </c>
      <c r="I4116" t="s">
        <v>7352</v>
      </c>
      <c r="J4116" t="s">
        <v>31471</v>
      </c>
      <c r="K4116" t="s">
        <v>37210</v>
      </c>
      <c r="M4116" t="s">
        <v>37610</v>
      </c>
      <c r="N4116" t="s">
        <v>41249</v>
      </c>
      <c r="O4116" t="s">
        <v>41250</v>
      </c>
      <c r="P4116">
        <v>0</v>
      </c>
      <c r="Q4116">
        <v>1</v>
      </c>
      <c r="R4116" t="s">
        <v>41252</v>
      </c>
      <c r="S4116" t="s">
        <v>41383</v>
      </c>
      <c r="T4116" t="s">
        <v>42783</v>
      </c>
      <c r="U4116" t="s">
        <v>46615</v>
      </c>
      <c r="V4116" t="s">
        <v>54670</v>
      </c>
      <c r="W4116" t="s">
        <v>37610</v>
      </c>
      <c r="X4116" t="s">
        <v>41254</v>
      </c>
    </row>
    <row r="4117" spans="1:24">
      <c r="A4117">
        <f>HYPERLINK("https://www.philgeps.gov.ph/GEPSNONPILOT/Tender/SplashBidNoticeAbstractUI.aspx?menuIndex=3&amp;refID=7075417&amp;Result=3","7075417")</f>
        <v>0</v>
      </c>
      <c r="B4117" t="s">
        <v>1523</v>
      </c>
      <c r="C4117" t="s">
        <v>7334</v>
      </c>
      <c r="D4117" t="s">
        <v>16633</v>
      </c>
      <c r="E4117" t="s">
        <v>20414</v>
      </c>
      <c r="F4117" t="s">
        <v>28669</v>
      </c>
      <c r="G4117" t="s">
        <v>28675</v>
      </c>
      <c r="H4117" t="s">
        <v>9998</v>
      </c>
      <c r="I4117" t="s">
        <v>15140</v>
      </c>
      <c r="J4117" t="s">
        <v>28879</v>
      </c>
      <c r="K4117" t="s">
        <v>37205</v>
      </c>
      <c r="M4117" t="s">
        <v>39097</v>
      </c>
      <c r="N4117" t="s">
        <v>41249</v>
      </c>
      <c r="O4117" t="s">
        <v>41250</v>
      </c>
      <c r="P4117">
        <v>0</v>
      </c>
      <c r="Q4117">
        <v>2</v>
      </c>
      <c r="R4117" t="s">
        <v>41252</v>
      </c>
      <c r="S4117" t="s">
        <v>41383</v>
      </c>
      <c r="T4117" t="s">
        <v>42804</v>
      </c>
      <c r="U4117" t="s">
        <v>46616</v>
      </c>
      <c r="V4117" t="s">
        <v>54703</v>
      </c>
      <c r="W4117" t="s">
        <v>39097</v>
      </c>
      <c r="X4117" t="s">
        <v>41254</v>
      </c>
    </row>
    <row r="4118" spans="1:24">
      <c r="A4118">
        <f>HYPERLINK("https://www.philgeps.gov.ph/GEPSNONPILOT/Tender/SplashBidNoticeAbstractUI.aspx?menuIndex=3&amp;refID=7075360&amp;Result=3","7075360")</f>
        <v>0</v>
      </c>
      <c r="B4118" t="s">
        <v>676</v>
      </c>
      <c r="C4118" t="s">
        <v>7335</v>
      </c>
      <c r="D4118" t="s">
        <v>16639</v>
      </c>
      <c r="E4118" t="s">
        <v>20415</v>
      </c>
      <c r="F4118" t="s">
        <v>28669</v>
      </c>
      <c r="G4118" t="s">
        <v>28678</v>
      </c>
      <c r="H4118" t="s">
        <v>9998</v>
      </c>
      <c r="I4118" t="s">
        <v>6128</v>
      </c>
      <c r="J4118" t="s">
        <v>29191</v>
      </c>
      <c r="K4118" t="s">
        <v>37210</v>
      </c>
      <c r="M4118" t="s">
        <v>38179</v>
      </c>
      <c r="N4118" t="s">
        <v>41249</v>
      </c>
      <c r="O4118" t="s">
        <v>41250</v>
      </c>
      <c r="P4118">
        <v>0</v>
      </c>
      <c r="Q4118">
        <v>5</v>
      </c>
      <c r="R4118" t="s">
        <v>41252</v>
      </c>
      <c r="S4118" t="s">
        <v>41383</v>
      </c>
      <c r="T4118" t="s">
        <v>42701</v>
      </c>
      <c r="U4118" t="s">
        <v>46617</v>
      </c>
      <c r="V4118" t="s">
        <v>54423</v>
      </c>
      <c r="W4118" t="s">
        <v>38179</v>
      </c>
      <c r="X4118" t="s">
        <v>41254</v>
      </c>
    </row>
    <row r="4119" spans="1:24">
      <c r="A4119">
        <f>HYPERLINK("https://www.philgeps.gov.ph/GEPSNONPILOT/Tender/SplashBidNoticeAbstractUI.aspx?menuIndex=3&amp;refID=7075416&amp;Result=3","7075416")</f>
        <v>0</v>
      </c>
      <c r="B4119" t="s">
        <v>143</v>
      </c>
      <c r="C4119" t="s">
        <v>7336</v>
      </c>
      <c r="D4119" t="s">
        <v>16640</v>
      </c>
      <c r="E4119" t="s">
        <v>20416</v>
      </c>
      <c r="F4119" t="s">
        <v>28669</v>
      </c>
      <c r="G4119" t="s">
        <v>28676</v>
      </c>
      <c r="H4119" t="s">
        <v>28685</v>
      </c>
      <c r="I4119" t="s">
        <v>28685</v>
      </c>
      <c r="J4119" t="s">
        <v>28845</v>
      </c>
      <c r="K4119" t="s">
        <v>37238</v>
      </c>
      <c r="M4119" t="s">
        <v>37620</v>
      </c>
      <c r="N4119" t="s">
        <v>41249</v>
      </c>
      <c r="O4119" t="s">
        <v>41250</v>
      </c>
      <c r="P4119">
        <v>0</v>
      </c>
      <c r="Q4119">
        <v>8</v>
      </c>
      <c r="R4119" t="s">
        <v>41252</v>
      </c>
      <c r="S4119" t="s">
        <v>41383</v>
      </c>
      <c r="T4119" t="s">
        <v>42701</v>
      </c>
      <c r="U4119" t="s">
        <v>46618</v>
      </c>
      <c r="W4119" t="s">
        <v>55901</v>
      </c>
      <c r="X4119" t="s">
        <v>41254</v>
      </c>
    </row>
    <row r="4120" spans="1:24">
      <c r="A4120">
        <f>HYPERLINK("https://www.philgeps.gov.ph/GEPSNONPILOT/Tender/SplashBidNoticeAbstractUI.aspx?menuIndex=3&amp;refID=7075413&amp;Result=3","7075413")</f>
        <v>0</v>
      </c>
      <c r="B4120" t="s">
        <v>1124</v>
      </c>
      <c r="C4120" t="s">
        <v>7337</v>
      </c>
      <c r="E4120" t="s">
        <v>20417</v>
      </c>
      <c r="F4120" t="s">
        <v>28669</v>
      </c>
      <c r="G4120" t="s">
        <v>28676</v>
      </c>
      <c r="H4120" t="s">
        <v>9998</v>
      </c>
      <c r="I4120" t="s">
        <v>28728</v>
      </c>
      <c r="J4120" t="s">
        <v>29225</v>
      </c>
      <c r="K4120" t="s">
        <v>37209</v>
      </c>
      <c r="M4120" t="s">
        <v>38883</v>
      </c>
      <c r="N4120" t="s">
        <v>41249</v>
      </c>
      <c r="O4120" t="s">
        <v>41250</v>
      </c>
      <c r="P4120">
        <v>0</v>
      </c>
      <c r="Q4120">
        <v>0</v>
      </c>
      <c r="R4120" t="s">
        <v>41252</v>
      </c>
      <c r="S4120" t="s">
        <v>41383</v>
      </c>
      <c r="T4120" t="s">
        <v>42729</v>
      </c>
      <c r="U4120" t="s">
        <v>46619</v>
      </c>
      <c r="W4120" t="s">
        <v>38883</v>
      </c>
      <c r="X4120" t="s">
        <v>41254</v>
      </c>
    </row>
    <row r="4121" spans="1:24">
      <c r="A4121">
        <f>HYPERLINK("https://www.philgeps.gov.ph/GEPSNONPILOT/Tender/SplashBidNoticeAbstractUI.aspx?menuIndex=3&amp;refID=7075412&amp;Result=3","7075412")</f>
        <v>0</v>
      </c>
      <c r="B4121" t="s">
        <v>114</v>
      </c>
      <c r="C4121" t="s">
        <v>7338</v>
      </c>
      <c r="D4121" t="s">
        <v>16608</v>
      </c>
      <c r="E4121" t="s">
        <v>20418</v>
      </c>
      <c r="F4121" t="s">
        <v>28669</v>
      </c>
      <c r="G4121" t="s">
        <v>28676</v>
      </c>
      <c r="H4121" t="s">
        <v>9998</v>
      </c>
      <c r="I4121" t="s">
        <v>28728</v>
      </c>
      <c r="J4121" t="s">
        <v>28851</v>
      </c>
      <c r="K4121" t="s">
        <v>37210</v>
      </c>
      <c r="M4121" t="s">
        <v>38210</v>
      </c>
      <c r="N4121" t="s">
        <v>41249</v>
      </c>
      <c r="O4121" t="s">
        <v>41250</v>
      </c>
      <c r="P4121">
        <v>0</v>
      </c>
      <c r="Q4121">
        <v>2</v>
      </c>
      <c r="R4121" t="s">
        <v>41252</v>
      </c>
      <c r="S4121" t="s">
        <v>41383</v>
      </c>
      <c r="T4121" t="s">
        <v>42741</v>
      </c>
      <c r="U4121" t="s">
        <v>46620</v>
      </c>
      <c r="V4121" t="s">
        <v>54435</v>
      </c>
      <c r="W4121" t="s">
        <v>38210</v>
      </c>
      <c r="X4121" t="s">
        <v>41254</v>
      </c>
    </row>
    <row r="4122" spans="1:24">
      <c r="A4122">
        <f>HYPERLINK("https://www.philgeps.gov.ph/GEPSNONPILOT/Tender/SplashBidNoticeAbstractUI.aspx?menuIndex=3&amp;refID=7075422&amp;Result=3","7075422")</f>
        <v>0</v>
      </c>
      <c r="B4122" t="s">
        <v>526</v>
      </c>
      <c r="C4122" t="s">
        <v>7339</v>
      </c>
      <c r="D4122" t="s">
        <v>16680</v>
      </c>
      <c r="E4122" t="s">
        <v>20419</v>
      </c>
      <c r="F4122" t="s">
        <v>28669</v>
      </c>
      <c r="G4122" t="s">
        <v>28676</v>
      </c>
      <c r="H4122" t="s">
        <v>9998</v>
      </c>
      <c r="I4122" t="s">
        <v>3718</v>
      </c>
      <c r="J4122" t="s">
        <v>28854</v>
      </c>
      <c r="K4122" t="s">
        <v>37243</v>
      </c>
      <c r="M4122" t="s">
        <v>38017</v>
      </c>
      <c r="N4122" t="s">
        <v>41249</v>
      </c>
      <c r="O4122" t="s">
        <v>41250</v>
      </c>
      <c r="P4122">
        <v>0</v>
      </c>
      <c r="Q4122">
        <v>2</v>
      </c>
      <c r="R4122" t="s">
        <v>41252</v>
      </c>
      <c r="S4122" t="s">
        <v>41383</v>
      </c>
      <c r="T4122" t="s">
        <v>42857</v>
      </c>
      <c r="U4122" t="s">
        <v>46621</v>
      </c>
      <c r="W4122" t="s">
        <v>38017</v>
      </c>
      <c r="X4122" t="s">
        <v>41254</v>
      </c>
    </row>
    <row r="4123" spans="1:24">
      <c r="A4123">
        <f>HYPERLINK("https://www.philgeps.gov.ph/GEPSNONPILOT/Tender/SplashBidNoticeAbstractUI.aspx?menuIndex=3&amp;refID=7075359&amp;Result=3","7075359")</f>
        <v>0</v>
      </c>
      <c r="B4123" t="s">
        <v>728</v>
      </c>
      <c r="C4123" t="s">
        <v>7340</v>
      </c>
      <c r="D4123" t="s">
        <v>16624</v>
      </c>
      <c r="E4123" t="s">
        <v>20420</v>
      </c>
      <c r="F4123" t="s">
        <v>28669</v>
      </c>
      <c r="G4123" t="s">
        <v>28676</v>
      </c>
      <c r="H4123" t="s">
        <v>9998</v>
      </c>
      <c r="I4123" t="s">
        <v>11593</v>
      </c>
      <c r="J4123" t="s">
        <v>30406</v>
      </c>
      <c r="K4123" t="s">
        <v>37208</v>
      </c>
      <c r="M4123" t="s">
        <v>38236</v>
      </c>
      <c r="N4123" t="s">
        <v>41249</v>
      </c>
      <c r="O4123" t="s">
        <v>41250</v>
      </c>
      <c r="P4123">
        <v>0</v>
      </c>
      <c r="Q4123">
        <v>1</v>
      </c>
      <c r="R4123" t="s">
        <v>41252</v>
      </c>
      <c r="S4123" t="s">
        <v>41383</v>
      </c>
      <c r="T4123" t="s">
        <v>42857</v>
      </c>
      <c r="U4123" t="s">
        <v>46622</v>
      </c>
      <c r="W4123" t="s">
        <v>38236</v>
      </c>
      <c r="X4123" t="s">
        <v>41254</v>
      </c>
    </row>
    <row r="4124" spans="1:24">
      <c r="A4124">
        <f>HYPERLINK("https://www.philgeps.gov.ph/GEPSNONPILOT/Tender/SplashBidNoticeAbstractUI.aspx?menuIndex=3&amp;refID=7075414&amp;Result=3","7075414")</f>
        <v>0</v>
      </c>
      <c r="B4124" t="s">
        <v>1524</v>
      </c>
      <c r="C4124" t="s">
        <v>7341</v>
      </c>
      <c r="D4124" t="s">
        <v>16625</v>
      </c>
      <c r="E4124" t="s">
        <v>20421</v>
      </c>
      <c r="F4124" t="s">
        <v>28669</v>
      </c>
      <c r="G4124" t="s">
        <v>28677</v>
      </c>
      <c r="H4124" t="s">
        <v>9998</v>
      </c>
      <c r="I4124" t="s">
        <v>28782</v>
      </c>
      <c r="J4124" t="s">
        <v>31472</v>
      </c>
      <c r="K4124" t="s">
        <v>37227</v>
      </c>
      <c r="M4124" t="s">
        <v>39098</v>
      </c>
      <c r="N4124" t="s">
        <v>41249</v>
      </c>
      <c r="O4124" t="s">
        <v>41250</v>
      </c>
      <c r="P4124">
        <v>0</v>
      </c>
      <c r="Q4124">
        <v>1</v>
      </c>
      <c r="R4124" t="s">
        <v>41252</v>
      </c>
      <c r="S4124" t="s">
        <v>41383</v>
      </c>
      <c r="T4124" t="s">
        <v>42758</v>
      </c>
      <c r="U4124" t="s">
        <v>46623</v>
      </c>
      <c r="V4124" t="s">
        <v>54704</v>
      </c>
      <c r="W4124" t="s">
        <v>39098</v>
      </c>
      <c r="X4124" t="s">
        <v>41254</v>
      </c>
    </row>
    <row r="4125" spans="1:24">
      <c r="A4125">
        <f>HYPERLINK("https://www.philgeps.gov.ph/GEPSNONPILOT/Tender/SplashBidNoticeAbstractUI.aspx?menuIndex=3&amp;refID=7075449&amp;Result=3","7075449")</f>
        <v>0</v>
      </c>
      <c r="B4125" t="s">
        <v>1525</v>
      </c>
      <c r="C4125" t="s">
        <v>7342</v>
      </c>
      <c r="E4125" t="s">
        <v>20422</v>
      </c>
      <c r="F4125" t="s">
        <v>28669</v>
      </c>
      <c r="G4125" t="s">
        <v>28676</v>
      </c>
      <c r="H4125" t="s">
        <v>9998</v>
      </c>
      <c r="I4125" t="s">
        <v>28690</v>
      </c>
      <c r="J4125" t="s">
        <v>31473</v>
      </c>
      <c r="K4125" t="s">
        <v>37204</v>
      </c>
      <c r="M4125" t="s">
        <v>39099</v>
      </c>
      <c r="N4125" t="s">
        <v>41249</v>
      </c>
      <c r="O4125" t="s">
        <v>41250</v>
      </c>
      <c r="P4125">
        <v>0</v>
      </c>
      <c r="Q4125">
        <v>5</v>
      </c>
      <c r="R4125" t="s">
        <v>41252</v>
      </c>
      <c r="S4125" t="s">
        <v>41383</v>
      </c>
      <c r="T4125" t="s">
        <v>42827</v>
      </c>
      <c r="U4125" t="s">
        <v>46624</v>
      </c>
      <c r="W4125" t="s">
        <v>39099</v>
      </c>
      <c r="X4125" t="s">
        <v>41254</v>
      </c>
    </row>
    <row r="4126" spans="1:24">
      <c r="A4126">
        <f>HYPERLINK("https://www.philgeps.gov.ph/GEPSNONPILOT/Tender/SplashBidNoticeAbstractUI.aspx?menuIndex=3&amp;refID=7075448&amp;Result=3","7075448")</f>
        <v>0</v>
      </c>
      <c r="B4126" t="s">
        <v>631</v>
      </c>
      <c r="C4126" t="s">
        <v>7343</v>
      </c>
      <c r="D4126" t="s">
        <v>16617</v>
      </c>
      <c r="E4126" t="s">
        <v>20423</v>
      </c>
      <c r="F4126" t="s">
        <v>28669</v>
      </c>
      <c r="G4126" t="s">
        <v>28676</v>
      </c>
      <c r="H4126" t="s">
        <v>9998</v>
      </c>
      <c r="I4126" t="s">
        <v>28690</v>
      </c>
      <c r="J4126" t="s">
        <v>31332</v>
      </c>
      <c r="K4126" t="s">
        <v>37204</v>
      </c>
      <c r="M4126" t="s">
        <v>38131</v>
      </c>
      <c r="N4126" t="s">
        <v>41249</v>
      </c>
      <c r="O4126" t="s">
        <v>41250</v>
      </c>
      <c r="P4126">
        <v>0</v>
      </c>
      <c r="Q4126">
        <v>0</v>
      </c>
      <c r="R4126" t="s">
        <v>41252</v>
      </c>
      <c r="S4126" t="s">
        <v>41383</v>
      </c>
      <c r="T4126" t="s">
        <v>42748</v>
      </c>
      <c r="U4126" t="s">
        <v>46625</v>
      </c>
      <c r="W4126" t="s">
        <v>38131</v>
      </c>
      <c r="X4126" t="s">
        <v>41254</v>
      </c>
    </row>
    <row r="4127" spans="1:24">
      <c r="A4127">
        <f>HYPERLINK("https://www.philgeps.gov.ph/GEPSNONPILOT/Tender/SplashBidNoticeAbstractUI.aspx?menuIndex=3&amp;refID=7075447&amp;Result=3","7075447")</f>
        <v>0</v>
      </c>
      <c r="B4127" t="s">
        <v>1526</v>
      </c>
      <c r="C4127" t="s">
        <v>7344</v>
      </c>
      <c r="D4127" t="s">
        <v>16611</v>
      </c>
      <c r="E4127" t="s">
        <v>20424</v>
      </c>
      <c r="F4127" t="s">
        <v>28669</v>
      </c>
      <c r="G4127" t="s">
        <v>28676</v>
      </c>
      <c r="H4127" t="s">
        <v>9998</v>
      </c>
      <c r="I4127" t="s">
        <v>28704</v>
      </c>
      <c r="J4127" t="s">
        <v>29712</v>
      </c>
      <c r="K4127" t="s">
        <v>37204</v>
      </c>
      <c r="M4127" t="s">
        <v>39100</v>
      </c>
      <c r="N4127" t="s">
        <v>41249</v>
      </c>
      <c r="O4127" t="s">
        <v>41250</v>
      </c>
      <c r="P4127">
        <v>0</v>
      </c>
      <c r="Q4127">
        <v>1</v>
      </c>
      <c r="R4127" t="s">
        <v>41252</v>
      </c>
      <c r="S4127" t="s">
        <v>41383</v>
      </c>
      <c r="T4127" t="s">
        <v>42758</v>
      </c>
      <c r="U4127" t="s">
        <v>46626</v>
      </c>
      <c r="W4127" t="s">
        <v>39100</v>
      </c>
      <c r="X4127" t="s">
        <v>41254</v>
      </c>
    </row>
    <row r="4128" spans="1:24">
      <c r="A4128">
        <f>HYPERLINK("https://www.philgeps.gov.ph/GEPSNONPILOT/Tender/SplashBidNoticeAbstractUI.aspx?menuIndex=3&amp;refID=7075446&amp;Result=3","7075446")</f>
        <v>0</v>
      </c>
      <c r="B4128" t="s">
        <v>582</v>
      </c>
      <c r="C4128" t="s">
        <v>7345</v>
      </c>
      <c r="D4128" t="s">
        <v>16659</v>
      </c>
      <c r="E4128" t="s">
        <v>20425</v>
      </c>
      <c r="F4128" t="s">
        <v>28669</v>
      </c>
      <c r="G4128" t="s">
        <v>28675</v>
      </c>
      <c r="H4128" t="s">
        <v>28686</v>
      </c>
      <c r="I4128" t="s">
        <v>28689</v>
      </c>
      <c r="J4128" t="s">
        <v>31474</v>
      </c>
      <c r="K4128" t="s">
        <v>37213</v>
      </c>
      <c r="M4128" t="s">
        <v>38081</v>
      </c>
      <c r="N4128" t="s">
        <v>41249</v>
      </c>
      <c r="O4128" t="s">
        <v>41250</v>
      </c>
      <c r="P4128">
        <v>0</v>
      </c>
      <c r="Q4128">
        <v>10</v>
      </c>
      <c r="R4128" t="s">
        <v>41252</v>
      </c>
      <c r="S4128" t="s">
        <v>41383</v>
      </c>
      <c r="T4128" t="s">
        <v>42716</v>
      </c>
      <c r="U4128" t="s">
        <v>46627</v>
      </c>
      <c r="W4128" t="s">
        <v>38081</v>
      </c>
      <c r="X4128" t="s">
        <v>41254</v>
      </c>
    </row>
    <row r="4129" spans="1:24">
      <c r="A4129">
        <f>HYPERLINK("https://www.philgeps.gov.ph/GEPSNONPILOT/Tender/SplashBidNoticeAbstractUI.aspx?menuIndex=3&amp;refID=7075445&amp;Result=3","7075445")</f>
        <v>0</v>
      </c>
      <c r="B4129" t="s">
        <v>1509</v>
      </c>
      <c r="C4129" t="s">
        <v>7346</v>
      </c>
      <c r="D4129" t="s">
        <v>16609</v>
      </c>
      <c r="E4129" t="s">
        <v>20426</v>
      </c>
      <c r="F4129" t="s">
        <v>28669</v>
      </c>
      <c r="G4129" t="s">
        <v>28678</v>
      </c>
      <c r="H4129" t="s">
        <v>9998</v>
      </c>
      <c r="I4129" t="s">
        <v>5213</v>
      </c>
      <c r="J4129" t="s">
        <v>31475</v>
      </c>
      <c r="K4129" t="s">
        <v>37220</v>
      </c>
      <c r="M4129" t="s">
        <v>39083</v>
      </c>
      <c r="N4129" t="s">
        <v>41249</v>
      </c>
      <c r="O4129" t="s">
        <v>41250</v>
      </c>
      <c r="P4129">
        <v>0</v>
      </c>
      <c r="Q4129">
        <v>3</v>
      </c>
      <c r="R4129" t="s">
        <v>41252</v>
      </c>
      <c r="S4129" t="s">
        <v>41383</v>
      </c>
      <c r="T4129" t="s">
        <v>42754</v>
      </c>
      <c r="U4129" t="s">
        <v>46582</v>
      </c>
      <c r="W4129" t="s">
        <v>39083</v>
      </c>
      <c r="X4129" t="s">
        <v>41254</v>
      </c>
    </row>
    <row r="4130" spans="1:24">
      <c r="A4130">
        <f>HYPERLINK("https://www.philgeps.gov.ph/GEPSNONPILOT/Tender/SplashBidNoticeAbstractUI.aspx?menuIndex=3&amp;refID=7075443&amp;Result=3","7075443")</f>
        <v>0</v>
      </c>
      <c r="B4130" t="s">
        <v>1522</v>
      </c>
      <c r="C4130" t="s">
        <v>7347</v>
      </c>
      <c r="D4130" t="s">
        <v>16686</v>
      </c>
      <c r="E4130" t="s">
        <v>20427</v>
      </c>
      <c r="F4130" t="s">
        <v>28669</v>
      </c>
      <c r="G4130" t="s">
        <v>28675</v>
      </c>
      <c r="H4130" t="s">
        <v>9998</v>
      </c>
      <c r="I4130" t="s">
        <v>7352</v>
      </c>
      <c r="J4130" t="s">
        <v>31476</v>
      </c>
      <c r="K4130" t="s">
        <v>37210</v>
      </c>
      <c r="M4130" t="s">
        <v>39096</v>
      </c>
      <c r="N4130" t="s">
        <v>41249</v>
      </c>
      <c r="O4130" t="s">
        <v>41250</v>
      </c>
      <c r="P4130">
        <v>0</v>
      </c>
      <c r="Q4130">
        <v>1</v>
      </c>
      <c r="R4130" t="s">
        <v>41252</v>
      </c>
      <c r="S4130" t="s">
        <v>41383</v>
      </c>
      <c r="T4130" t="s">
        <v>42778</v>
      </c>
      <c r="U4130" t="s">
        <v>46628</v>
      </c>
      <c r="W4130" t="s">
        <v>39096</v>
      </c>
      <c r="X4130" t="s">
        <v>41254</v>
      </c>
    </row>
    <row r="4131" spans="1:24">
      <c r="A4131">
        <f>HYPERLINK("https://www.philgeps.gov.ph/GEPSNONPILOT/Tender/SplashBidNoticeAbstractUI.aspx?menuIndex=3&amp;refID=7075450&amp;Result=3","7075450")</f>
        <v>0</v>
      </c>
      <c r="B4131" t="s">
        <v>1466</v>
      </c>
      <c r="C4131" t="s">
        <v>7348</v>
      </c>
      <c r="D4131" t="s">
        <v>16679</v>
      </c>
      <c r="E4131" t="s">
        <v>20428</v>
      </c>
      <c r="F4131" t="s">
        <v>28669</v>
      </c>
      <c r="G4131" t="s">
        <v>28675</v>
      </c>
      <c r="H4131" t="s">
        <v>28686</v>
      </c>
      <c r="I4131" t="s">
        <v>28689</v>
      </c>
      <c r="J4131" t="s">
        <v>31313</v>
      </c>
      <c r="K4131" t="s">
        <v>37221</v>
      </c>
      <c r="M4131" t="s">
        <v>39034</v>
      </c>
      <c r="N4131" t="s">
        <v>41249</v>
      </c>
      <c r="O4131" t="s">
        <v>41250</v>
      </c>
      <c r="P4131">
        <v>0</v>
      </c>
      <c r="Q4131">
        <v>2</v>
      </c>
      <c r="R4131" t="s">
        <v>41252</v>
      </c>
      <c r="S4131" t="s">
        <v>41383</v>
      </c>
      <c r="T4131" t="s">
        <v>42688</v>
      </c>
      <c r="U4131" t="s">
        <v>46413</v>
      </c>
      <c r="W4131" t="s">
        <v>55956</v>
      </c>
      <c r="X4131" t="s">
        <v>41254</v>
      </c>
    </row>
    <row r="4132" spans="1:24">
      <c r="A4132">
        <f>HYPERLINK("https://www.philgeps.gov.ph/GEPSNONPILOT/Tender/SplashBidNoticeAbstractUI.aspx?menuIndex=3&amp;refID=7075441&amp;Result=3","7075441")</f>
        <v>0</v>
      </c>
      <c r="B4132" t="s">
        <v>1461</v>
      </c>
      <c r="C4132" t="s">
        <v>7349</v>
      </c>
      <c r="D4132" t="s">
        <v>16661</v>
      </c>
      <c r="E4132" t="s">
        <v>20429</v>
      </c>
      <c r="F4132" t="s">
        <v>28669</v>
      </c>
      <c r="G4132" t="s">
        <v>28675</v>
      </c>
      <c r="H4132" t="s">
        <v>28686</v>
      </c>
      <c r="I4132" t="s">
        <v>28689</v>
      </c>
      <c r="J4132" t="s">
        <v>29332</v>
      </c>
      <c r="K4132" t="s">
        <v>37209</v>
      </c>
      <c r="M4132" t="s">
        <v>39027</v>
      </c>
      <c r="N4132" t="s">
        <v>41249</v>
      </c>
      <c r="O4132" t="s">
        <v>41250</v>
      </c>
      <c r="P4132">
        <v>0</v>
      </c>
      <c r="Q4132">
        <v>0</v>
      </c>
      <c r="R4132" t="s">
        <v>41252</v>
      </c>
      <c r="S4132" t="s">
        <v>41383</v>
      </c>
      <c r="T4132" t="s">
        <v>42716</v>
      </c>
      <c r="U4132" t="s">
        <v>46508</v>
      </c>
      <c r="W4132" t="s">
        <v>39027</v>
      </c>
      <c r="X4132" t="s">
        <v>41254</v>
      </c>
    </row>
    <row r="4133" spans="1:24">
      <c r="A4133">
        <f>HYPERLINK("https://www.philgeps.gov.ph/GEPSNONPILOT/Tender/SplashBidNoticeAbstractUI.aspx?menuIndex=3&amp;refID=7075410&amp;Result=3","7075410")</f>
        <v>0</v>
      </c>
      <c r="B4133" t="s">
        <v>1466</v>
      </c>
      <c r="C4133" t="s">
        <v>7350</v>
      </c>
      <c r="D4133" t="s">
        <v>16679</v>
      </c>
      <c r="E4133" t="s">
        <v>20430</v>
      </c>
      <c r="F4133" t="s">
        <v>28669</v>
      </c>
      <c r="G4133" t="s">
        <v>28675</v>
      </c>
      <c r="H4133" t="s">
        <v>28686</v>
      </c>
      <c r="I4133" t="s">
        <v>28689</v>
      </c>
      <c r="J4133" t="s">
        <v>28836</v>
      </c>
      <c r="K4133" t="s">
        <v>37221</v>
      </c>
      <c r="M4133" t="s">
        <v>39034</v>
      </c>
      <c r="N4133" t="s">
        <v>41249</v>
      </c>
      <c r="O4133" t="s">
        <v>41250</v>
      </c>
      <c r="P4133">
        <v>0</v>
      </c>
      <c r="Q4133">
        <v>2</v>
      </c>
      <c r="R4133" t="s">
        <v>41252</v>
      </c>
      <c r="S4133" t="s">
        <v>41383</v>
      </c>
      <c r="T4133" t="s">
        <v>42688</v>
      </c>
      <c r="U4133" t="s">
        <v>46413</v>
      </c>
      <c r="W4133" t="s">
        <v>55956</v>
      </c>
      <c r="X4133" t="s">
        <v>41254</v>
      </c>
    </row>
    <row r="4134" spans="1:24">
      <c r="A4134">
        <f>HYPERLINK("https://www.philgeps.gov.ph/GEPSNONPILOT/Tender/SplashBidNoticeAbstractUI.aspx?menuIndex=3&amp;refID=7075440&amp;Result=3","7075440")</f>
        <v>0</v>
      </c>
      <c r="B4134" t="s">
        <v>1524</v>
      </c>
      <c r="C4134" t="s">
        <v>7351</v>
      </c>
      <c r="D4134" t="s">
        <v>16625</v>
      </c>
      <c r="E4134" t="s">
        <v>20431</v>
      </c>
      <c r="F4134" t="s">
        <v>28669</v>
      </c>
      <c r="G4134" t="s">
        <v>28677</v>
      </c>
      <c r="H4134" t="s">
        <v>9998</v>
      </c>
      <c r="I4134" t="s">
        <v>28695</v>
      </c>
      <c r="J4134" t="s">
        <v>29183</v>
      </c>
      <c r="K4134" t="s">
        <v>37227</v>
      </c>
      <c r="M4134" t="s">
        <v>39098</v>
      </c>
      <c r="N4134" t="s">
        <v>41249</v>
      </c>
      <c r="O4134" t="s">
        <v>41250</v>
      </c>
      <c r="P4134">
        <v>0</v>
      </c>
      <c r="Q4134">
        <v>0</v>
      </c>
      <c r="R4134" t="s">
        <v>41252</v>
      </c>
      <c r="S4134" t="s">
        <v>41383</v>
      </c>
      <c r="T4134" t="s">
        <v>42748</v>
      </c>
      <c r="U4134" t="s">
        <v>46629</v>
      </c>
      <c r="V4134" t="s">
        <v>54705</v>
      </c>
      <c r="W4134" t="s">
        <v>39098</v>
      </c>
      <c r="X4134" t="s">
        <v>41254</v>
      </c>
    </row>
    <row r="4135" spans="1:24">
      <c r="A4135">
        <f>HYPERLINK("https://www.philgeps.gov.ph/GEPSNONPILOT/Tender/SplashBidNoticeAbstractUI.aspx?menuIndex=3&amp;refID=7075451&amp;Result=3","7075451")</f>
        <v>0</v>
      </c>
      <c r="B4135" t="s">
        <v>1520</v>
      </c>
      <c r="C4135" t="s">
        <v>7352</v>
      </c>
      <c r="D4135" t="s">
        <v>16611</v>
      </c>
      <c r="E4135" t="s">
        <v>17251</v>
      </c>
      <c r="F4135" t="s">
        <v>28669</v>
      </c>
      <c r="G4135" t="s">
        <v>28677</v>
      </c>
      <c r="H4135" t="s">
        <v>9998</v>
      </c>
      <c r="I4135" t="s">
        <v>7352</v>
      </c>
      <c r="J4135" t="s">
        <v>31477</v>
      </c>
      <c r="K4135" t="s">
        <v>37208</v>
      </c>
      <c r="M4135" t="s">
        <v>39094</v>
      </c>
      <c r="N4135" t="s">
        <v>41249</v>
      </c>
      <c r="O4135" t="s">
        <v>41250</v>
      </c>
      <c r="P4135">
        <v>0</v>
      </c>
      <c r="Q4135">
        <v>0</v>
      </c>
      <c r="R4135" t="s">
        <v>41252</v>
      </c>
      <c r="S4135" t="s">
        <v>41383</v>
      </c>
      <c r="T4135" t="s">
        <v>42771</v>
      </c>
      <c r="U4135" t="s">
        <v>46630</v>
      </c>
      <c r="W4135" t="s">
        <v>39094</v>
      </c>
      <c r="X4135" t="s">
        <v>41254</v>
      </c>
    </row>
    <row r="4136" spans="1:24">
      <c r="A4136">
        <f>HYPERLINK("https://www.philgeps.gov.ph/GEPSNONPILOT/Tender/SplashBidNoticeAbstractUI.aspx?menuIndex=3&amp;refID=7075444&amp;Result=3","7075444")</f>
        <v>0</v>
      </c>
      <c r="B4136" t="s">
        <v>1527</v>
      </c>
      <c r="C4136" t="s">
        <v>7353</v>
      </c>
      <c r="D4136" t="s">
        <v>16679</v>
      </c>
      <c r="E4136" t="s">
        <v>20432</v>
      </c>
      <c r="F4136" t="s">
        <v>28669</v>
      </c>
      <c r="G4136" t="s">
        <v>28675</v>
      </c>
      <c r="H4136" t="s">
        <v>9998</v>
      </c>
      <c r="I4136" t="s">
        <v>28708</v>
      </c>
      <c r="J4136" t="s">
        <v>31478</v>
      </c>
      <c r="K4136" t="s">
        <v>37205</v>
      </c>
      <c r="M4136" t="s">
        <v>39101</v>
      </c>
      <c r="N4136" t="s">
        <v>41249</v>
      </c>
      <c r="O4136" t="s">
        <v>41250</v>
      </c>
      <c r="P4136">
        <v>0</v>
      </c>
      <c r="Q4136">
        <v>3</v>
      </c>
      <c r="R4136" t="s">
        <v>41252</v>
      </c>
      <c r="S4136" t="s">
        <v>41383</v>
      </c>
      <c r="T4136" t="s">
        <v>42830</v>
      </c>
      <c r="U4136" t="s">
        <v>46631</v>
      </c>
      <c r="V4136" t="s">
        <v>54706</v>
      </c>
      <c r="W4136" t="s">
        <v>39101</v>
      </c>
      <c r="X4136" t="s">
        <v>41254</v>
      </c>
    </row>
    <row r="4137" spans="1:24">
      <c r="A4137">
        <f>HYPERLINK("https://www.philgeps.gov.ph/GEPSNONPILOT/Tender/SplashBidNoticeAbstractUI.aspx?menuIndex=3&amp;refID=7075475&amp;Result=3","7075475")</f>
        <v>0</v>
      </c>
      <c r="B4137" t="s">
        <v>1528</v>
      </c>
      <c r="C4137" t="s">
        <v>7354</v>
      </c>
      <c r="D4137" t="s">
        <v>16611</v>
      </c>
      <c r="E4137" t="s">
        <v>20433</v>
      </c>
      <c r="F4137" t="s">
        <v>28669</v>
      </c>
      <c r="G4137" t="s">
        <v>28676</v>
      </c>
      <c r="H4137" t="s">
        <v>9998</v>
      </c>
      <c r="I4137" t="s">
        <v>5213</v>
      </c>
      <c r="J4137" t="s">
        <v>29653</v>
      </c>
      <c r="K4137" t="s">
        <v>37206</v>
      </c>
      <c r="M4137" t="s">
        <v>39102</v>
      </c>
      <c r="N4137" t="s">
        <v>41249</v>
      </c>
      <c r="O4137" t="s">
        <v>41250</v>
      </c>
      <c r="P4137">
        <v>0</v>
      </c>
      <c r="Q4137">
        <v>1</v>
      </c>
      <c r="R4137" t="s">
        <v>41252</v>
      </c>
      <c r="S4137" t="s">
        <v>41383</v>
      </c>
      <c r="T4137" t="s">
        <v>42736</v>
      </c>
      <c r="U4137" t="s">
        <v>46632</v>
      </c>
      <c r="W4137" t="s">
        <v>39102</v>
      </c>
      <c r="X4137" t="s">
        <v>41254</v>
      </c>
    </row>
    <row r="4138" spans="1:24">
      <c r="A4138">
        <f>HYPERLINK("https://www.philgeps.gov.ph/GEPSNONPILOT/Tender/SplashBidNoticeAbstractUI.aspx?menuIndex=3&amp;refID=7075473&amp;Result=3","7075473")</f>
        <v>0</v>
      </c>
      <c r="B4138" t="s">
        <v>1335</v>
      </c>
      <c r="C4138" t="s">
        <v>7355</v>
      </c>
      <c r="D4138" t="s">
        <v>16658</v>
      </c>
      <c r="E4138" t="s">
        <v>20434</v>
      </c>
      <c r="F4138" t="s">
        <v>28669</v>
      </c>
      <c r="G4138" t="s">
        <v>28675</v>
      </c>
      <c r="H4138" t="s">
        <v>28686</v>
      </c>
      <c r="I4138" t="s">
        <v>28689</v>
      </c>
      <c r="J4138" t="s">
        <v>31479</v>
      </c>
      <c r="K4138" t="s">
        <v>37215</v>
      </c>
      <c r="M4138" t="s">
        <v>38889</v>
      </c>
      <c r="N4138" t="s">
        <v>41249</v>
      </c>
      <c r="O4138" t="s">
        <v>41250</v>
      </c>
      <c r="P4138">
        <v>0</v>
      </c>
      <c r="Q4138">
        <v>0</v>
      </c>
      <c r="R4138" t="s">
        <v>41252</v>
      </c>
      <c r="S4138" t="s">
        <v>41383</v>
      </c>
      <c r="T4138" t="s">
        <v>42671</v>
      </c>
      <c r="U4138" t="s">
        <v>46614</v>
      </c>
      <c r="W4138" t="s">
        <v>38889</v>
      </c>
      <c r="X4138" t="s">
        <v>41254</v>
      </c>
    </row>
    <row r="4139" spans="1:24">
      <c r="A4139">
        <f>HYPERLINK("https://www.philgeps.gov.ph/GEPSNONPILOT/Tender/SplashBidNoticeAbstractUI.aspx?menuIndex=3&amp;refID=7075471&amp;Result=3","7075471")</f>
        <v>0</v>
      </c>
      <c r="B4139" t="s">
        <v>292</v>
      </c>
      <c r="C4139" t="s">
        <v>3868</v>
      </c>
      <c r="D4139" t="s">
        <v>16678</v>
      </c>
      <c r="E4139" t="s">
        <v>20435</v>
      </c>
      <c r="F4139" t="s">
        <v>28669</v>
      </c>
      <c r="G4139" t="s">
        <v>28676</v>
      </c>
      <c r="H4139" t="s">
        <v>9998</v>
      </c>
      <c r="I4139" t="s">
        <v>28749</v>
      </c>
      <c r="J4139" t="s">
        <v>30567</v>
      </c>
      <c r="K4139" t="s">
        <v>37204</v>
      </c>
      <c r="M4139" t="s">
        <v>37771</v>
      </c>
      <c r="N4139" t="s">
        <v>41249</v>
      </c>
      <c r="O4139" t="s">
        <v>41250</v>
      </c>
      <c r="P4139">
        <v>0</v>
      </c>
      <c r="Q4139">
        <v>1</v>
      </c>
      <c r="R4139" t="s">
        <v>41252</v>
      </c>
      <c r="S4139" t="s">
        <v>41383</v>
      </c>
      <c r="T4139" t="s">
        <v>42686</v>
      </c>
      <c r="U4139" t="s">
        <v>46633</v>
      </c>
      <c r="W4139" t="s">
        <v>37771</v>
      </c>
      <c r="X4139" t="s">
        <v>41254</v>
      </c>
    </row>
    <row r="4140" spans="1:24">
      <c r="A4140">
        <f>HYPERLINK("https://www.philgeps.gov.ph/GEPSNONPILOT/Tender/SplashBidNoticeAbstractUI.aspx?menuIndex=3&amp;refID=7075386&amp;Result=3","7075386")</f>
        <v>0</v>
      </c>
      <c r="B4140" t="s">
        <v>133</v>
      </c>
      <c r="C4140" t="s">
        <v>7356</v>
      </c>
      <c r="E4140" t="s">
        <v>20436</v>
      </c>
      <c r="F4140" t="s">
        <v>28669</v>
      </c>
      <c r="G4140" t="s">
        <v>28676</v>
      </c>
      <c r="H4140" t="s">
        <v>9998</v>
      </c>
      <c r="I4140" t="s">
        <v>11593</v>
      </c>
      <c r="J4140" t="s">
        <v>28854</v>
      </c>
      <c r="K4140" t="s">
        <v>37210</v>
      </c>
      <c r="M4140" t="s">
        <v>37610</v>
      </c>
      <c r="N4140" t="s">
        <v>41249</v>
      </c>
      <c r="O4140" t="s">
        <v>41250</v>
      </c>
      <c r="P4140">
        <v>0</v>
      </c>
      <c r="Q4140">
        <v>1</v>
      </c>
      <c r="R4140" t="s">
        <v>41252</v>
      </c>
      <c r="S4140" t="s">
        <v>41383</v>
      </c>
      <c r="T4140" t="s">
        <v>42783</v>
      </c>
      <c r="U4140" t="s">
        <v>46634</v>
      </c>
      <c r="V4140" t="s">
        <v>54670</v>
      </c>
      <c r="W4140" t="s">
        <v>37610</v>
      </c>
      <c r="X4140" t="s">
        <v>41254</v>
      </c>
    </row>
    <row r="4141" spans="1:24">
      <c r="A4141">
        <f>HYPERLINK("https://www.philgeps.gov.ph/GEPSNONPILOT/Tender/SplashBidNoticeAbstractUI.aspx?menuIndex=3&amp;refID=7075470&amp;Result=3","7075470")</f>
        <v>0</v>
      </c>
      <c r="B4141" t="s">
        <v>1461</v>
      </c>
      <c r="C4141" t="s">
        <v>7357</v>
      </c>
      <c r="D4141" t="s">
        <v>16661</v>
      </c>
      <c r="E4141" t="s">
        <v>20437</v>
      </c>
      <c r="F4141" t="s">
        <v>28669</v>
      </c>
      <c r="G4141" t="s">
        <v>28675</v>
      </c>
      <c r="H4141" t="s">
        <v>28686</v>
      </c>
      <c r="I4141" t="s">
        <v>28689</v>
      </c>
      <c r="J4141" t="s">
        <v>30304</v>
      </c>
      <c r="K4141" t="s">
        <v>37209</v>
      </c>
      <c r="M4141" t="s">
        <v>39027</v>
      </c>
      <c r="N4141" t="s">
        <v>41249</v>
      </c>
      <c r="O4141" t="s">
        <v>41250</v>
      </c>
      <c r="P4141">
        <v>0</v>
      </c>
      <c r="Q4141">
        <v>0</v>
      </c>
      <c r="R4141" t="s">
        <v>41252</v>
      </c>
      <c r="S4141" t="s">
        <v>41383</v>
      </c>
      <c r="T4141" t="s">
        <v>42716</v>
      </c>
      <c r="U4141" t="s">
        <v>46635</v>
      </c>
      <c r="W4141" t="s">
        <v>39027</v>
      </c>
      <c r="X4141" t="s">
        <v>41254</v>
      </c>
    </row>
    <row r="4142" spans="1:24">
      <c r="A4142">
        <f>HYPERLINK("https://www.philgeps.gov.ph/GEPSNONPILOT/Tender/SplashBidNoticeAbstractUI.aspx?menuIndex=3&amp;refID=7075469&amp;Result=3","7075469")</f>
        <v>0</v>
      </c>
      <c r="B4142" t="s">
        <v>1448</v>
      </c>
      <c r="C4142" t="s">
        <v>7358</v>
      </c>
      <c r="D4142" t="s">
        <v>16641</v>
      </c>
      <c r="E4142" t="s">
        <v>20438</v>
      </c>
      <c r="F4142" t="s">
        <v>28669</v>
      </c>
      <c r="G4142" t="s">
        <v>28675</v>
      </c>
      <c r="H4142" t="s">
        <v>28686</v>
      </c>
      <c r="I4142" t="s">
        <v>28689</v>
      </c>
      <c r="J4142" t="s">
        <v>30559</v>
      </c>
      <c r="K4142" t="s">
        <v>37211</v>
      </c>
      <c r="M4142" t="s">
        <v>39013</v>
      </c>
      <c r="N4142" t="s">
        <v>41249</v>
      </c>
      <c r="O4142" t="s">
        <v>41250</v>
      </c>
      <c r="P4142">
        <v>0</v>
      </c>
      <c r="Q4142">
        <v>0</v>
      </c>
      <c r="R4142" t="s">
        <v>41252</v>
      </c>
      <c r="S4142" t="s">
        <v>41383</v>
      </c>
      <c r="T4142" t="s">
        <v>42716</v>
      </c>
      <c r="U4142" t="s">
        <v>46636</v>
      </c>
      <c r="W4142" t="s">
        <v>39013</v>
      </c>
      <c r="X4142" t="s">
        <v>41254</v>
      </c>
    </row>
    <row r="4143" spans="1:24">
      <c r="A4143">
        <f>HYPERLINK("https://www.philgeps.gov.ph/GEPSNONPILOT/Tender/SplashBidNoticeAbstractUI.aspx?menuIndex=3&amp;refID=7075468&amp;Result=3","7075468")</f>
        <v>0</v>
      </c>
      <c r="B4143" t="s">
        <v>1529</v>
      </c>
      <c r="C4143" t="s">
        <v>7359</v>
      </c>
      <c r="D4143" t="s">
        <v>16621</v>
      </c>
      <c r="E4143" t="s">
        <v>20439</v>
      </c>
      <c r="F4143" t="s">
        <v>28669</v>
      </c>
      <c r="G4143" t="s">
        <v>28676</v>
      </c>
      <c r="H4143" t="s">
        <v>9998</v>
      </c>
      <c r="I4143" t="s">
        <v>3718</v>
      </c>
      <c r="J4143" t="s">
        <v>29110</v>
      </c>
      <c r="K4143" t="s">
        <v>37210</v>
      </c>
      <c r="M4143" t="s">
        <v>39103</v>
      </c>
      <c r="N4143" t="s">
        <v>41249</v>
      </c>
      <c r="O4143" t="s">
        <v>41250</v>
      </c>
      <c r="P4143">
        <v>0</v>
      </c>
      <c r="Q4143">
        <v>0</v>
      </c>
      <c r="R4143" t="s">
        <v>41252</v>
      </c>
      <c r="S4143" t="s">
        <v>41383</v>
      </c>
      <c r="T4143" t="s">
        <v>42743</v>
      </c>
      <c r="U4143" t="s">
        <v>46637</v>
      </c>
      <c r="W4143" t="s">
        <v>39103</v>
      </c>
      <c r="X4143" t="s">
        <v>41254</v>
      </c>
    </row>
    <row r="4144" spans="1:24">
      <c r="A4144">
        <f>HYPERLINK("https://www.philgeps.gov.ph/GEPSNONPILOT/Tender/SplashBidNoticeAbstractUI.aspx?menuIndex=3&amp;refID=7075466&amp;Result=3","7075466")</f>
        <v>0</v>
      </c>
      <c r="B4144" t="s">
        <v>1530</v>
      </c>
      <c r="C4144" t="s">
        <v>7360</v>
      </c>
      <c r="D4144" t="s">
        <v>16681</v>
      </c>
      <c r="E4144" t="s">
        <v>20440</v>
      </c>
      <c r="F4144" t="s">
        <v>28669</v>
      </c>
      <c r="G4144" t="s">
        <v>28675</v>
      </c>
      <c r="H4144" t="s">
        <v>28686</v>
      </c>
      <c r="I4144" t="s">
        <v>28689</v>
      </c>
      <c r="J4144" t="s">
        <v>31480</v>
      </c>
      <c r="K4144" t="s">
        <v>37209</v>
      </c>
      <c r="M4144" t="s">
        <v>39104</v>
      </c>
      <c r="N4144" t="s">
        <v>41249</v>
      </c>
      <c r="O4144" t="s">
        <v>41250</v>
      </c>
      <c r="P4144">
        <v>0</v>
      </c>
      <c r="Q4144">
        <v>0</v>
      </c>
      <c r="R4144" t="s">
        <v>41252</v>
      </c>
      <c r="S4144" t="s">
        <v>41383</v>
      </c>
      <c r="T4144" t="s">
        <v>42716</v>
      </c>
      <c r="U4144" t="s">
        <v>46638</v>
      </c>
      <c r="W4144" t="s">
        <v>39104</v>
      </c>
      <c r="X4144" t="s">
        <v>41254</v>
      </c>
    </row>
    <row r="4145" spans="1:24">
      <c r="A4145">
        <f>HYPERLINK("https://www.philgeps.gov.ph/GEPSNONPILOT/Tender/SplashBidNoticeAbstractUI.aspx?menuIndex=3&amp;refID=7075465&amp;Result=3","7075465")</f>
        <v>0</v>
      </c>
      <c r="B4145" t="s">
        <v>317</v>
      </c>
      <c r="C4145" t="s">
        <v>7361</v>
      </c>
      <c r="D4145" t="s">
        <v>16608</v>
      </c>
      <c r="E4145" t="s">
        <v>20441</v>
      </c>
      <c r="F4145" t="s">
        <v>28669</v>
      </c>
      <c r="G4145" t="s">
        <v>28676</v>
      </c>
      <c r="H4145" t="s">
        <v>9998</v>
      </c>
      <c r="I4145" t="s">
        <v>28721</v>
      </c>
      <c r="J4145" t="s">
        <v>31481</v>
      </c>
      <c r="K4145" t="s">
        <v>37204</v>
      </c>
      <c r="M4145" t="s">
        <v>39105</v>
      </c>
      <c r="N4145" t="s">
        <v>41249</v>
      </c>
      <c r="O4145" t="s">
        <v>41250</v>
      </c>
      <c r="P4145">
        <v>0</v>
      </c>
      <c r="Q4145">
        <v>0</v>
      </c>
      <c r="R4145" t="s">
        <v>41252</v>
      </c>
      <c r="S4145" t="s">
        <v>41383</v>
      </c>
      <c r="T4145" t="s">
        <v>42736</v>
      </c>
      <c r="U4145" t="s">
        <v>46639</v>
      </c>
      <c r="W4145" t="s">
        <v>39105</v>
      </c>
      <c r="X4145" t="s">
        <v>41254</v>
      </c>
    </row>
    <row r="4146" spans="1:24">
      <c r="A4146">
        <f>HYPERLINK("https://www.philgeps.gov.ph/GEPSNONPILOT/Tender/SplashBidNoticeAbstractUI.aspx?menuIndex=3&amp;refID=7075464&amp;Result=3","7075464")</f>
        <v>0</v>
      </c>
      <c r="B4146" t="s">
        <v>1531</v>
      </c>
      <c r="C4146" t="s">
        <v>7362</v>
      </c>
      <c r="D4146" t="s">
        <v>16667</v>
      </c>
      <c r="E4146" t="s">
        <v>16820</v>
      </c>
      <c r="F4146" t="s">
        <v>28669</v>
      </c>
      <c r="G4146" t="s">
        <v>28675</v>
      </c>
      <c r="H4146" t="s">
        <v>28686</v>
      </c>
      <c r="I4146" t="s">
        <v>28689</v>
      </c>
      <c r="J4146" t="s">
        <v>31482</v>
      </c>
      <c r="K4146" t="s">
        <v>37206</v>
      </c>
      <c r="M4146" t="s">
        <v>39106</v>
      </c>
      <c r="N4146" t="s">
        <v>41249</v>
      </c>
      <c r="O4146" t="s">
        <v>41250</v>
      </c>
      <c r="P4146">
        <v>0</v>
      </c>
      <c r="Q4146">
        <v>0</v>
      </c>
      <c r="R4146" t="s">
        <v>41252</v>
      </c>
      <c r="S4146" t="s">
        <v>41383</v>
      </c>
      <c r="T4146" t="s">
        <v>42777</v>
      </c>
      <c r="U4146" t="s">
        <v>46640</v>
      </c>
      <c r="W4146" t="s">
        <v>39106</v>
      </c>
      <c r="X4146" t="s">
        <v>41254</v>
      </c>
    </row>
    <row r="4147" spans="1:24">
      <c r="A4147">
        <f>HYPERLINK("https://www.philgeps.gov.ph/GEPSNONPILOT/Tender/SplashBidNoticeAbstractUI.aspx?menuIndex=3&amp;refID=7075442&amp;Result=3","7075442")</f>
        <v>0</v>
      </c>
      <c r="B4147" t="s">
        <v>642</v>
      </c>
      <c r="C4147" t="s">
        <v>7363</v>
      </c>
      <c r="D4147" t="s">
        <v>16642</v>
      </c>
      <c r="E4147" t="s">
        <v>20442</v>
      </c>
      <c r="F4147" t="s">
        <v>28669</v>
      </c>
      <c r="G4147" t="s">
        <v>28676</v>
      </c>
      <c r="H4147" t="s">
        <v>9998</v>
      </c>
      <c r="I4147" t="s">
        <v>28760</v>
      </c>
      <c r="J4147" t="s">
        <v>31483</v>
      </c>
      <c r="K4147" t="s">
        <v>37205</v>
      </c>
      <c r="M4147" t="s">
        <v>38143</v>
      </c>
      <c r="N4147" t="s">
        <v>41249</v>
      </c>
      <c r="O4147" t="s">
        <v>41250</v>
      </c>
      <c r="P4147">
        <v>0</v>
      </c>
      <c r="Q4147">
        <v>2</v>
      </c>
      <c r="R4147" t="s">
        <v>41252</v>
      </c>
      <c r="S4147" t="s">
        <v>41383</v>
      </c>
      <c r="T4147" t="s">
        <v>42742</v>
      </c>
      <c r="U4147" t="s">
        <v>46641</v>
      </c>
      <c r="W4147" t="s">
        <v>38143</v>
      </c>
      <c r="X4147" t="s">
        <v>41254</v>
      </c>
    </row>
    <row r="4148" spans="1:24">
      <c r="A4148">
        <f>HYPERLINK("https://www.philgeps.gov.ph/GEPSNONPILOT/Tender/SplashBidNoticeAbstractUI.aspx?menuIndex=3&amp;refID=7075369&amp;Result=3","7075369")</f>
        <v>0</v>
      </c>
      <c r="B4148" t="s">
        <v>1389</v>
      </c>
      <c r="C4148" t="s">
        <v>7364</v>
      </c>
      <c r="D4148" t="s">
        <v>16617</v>
      </c>
      <c r="E4148" t="s">
        <v>20443</v>
      </c>
      <c r="F4148" t="s">
        <v>28669</v>
      </c>
      <c r="G4148" t="s">
        <v>28675</v>
      </c>
      <c r="H4148" t="s">
        <v>9998</v>
      </c>
      <c r="I4148" t="s">
        <v>28779</v>
      </c>
      <c r="J4148" t="s">
        <v>31484</v>
      </c>
      <c r="K4148" t="s">
        <v>37206</v>
      </c>
      <c r="M4148" t="s">
        <v>38951</v>
      </c>
      <c r="N4148" t="s">
        <v>41249</v>
      </c>
      <c r="O4148" t="s">
        <v>41250</v>
      </c>
      <c r="P4148">
        <v>0</v>
      </c>
      <c r="Q4148">
        <v>1</v>
      </c>
      <c r="R4148" t="s">
        <v>41252</v>
      </c>
      <c r="S4148" t="s">
        <v>41383</v>
      </c>
      <c r="T4148" t="s">
        <v>42782</v>
      </c>
      <c r="U4148" t="s">
        <v>46193</v>
      </c>
      <c r="W4148" t="s">
        <v>38951</v>
      </c>
      <c r="X4148" t="s">
        <v>41254</v>
      </c>
    </row>
    <row r="4149" spans="1:24">
      <c r="A4149">
        <f>HYPERLINK("https://www.philgeps.gov.ph/GEPSNONPILOT/Tender/SplashBidNoticeAbstractUI.aspx?menuIndex=3&amp;refID=7075479&amp;Result=3","7075479")</f>
        <v>0</v>
      </c>
      <c r="B4149" t="s">
        <v>167</v>
      </c>
      <c r="C4149" t="s">
        <v>7365</v>
      </c>
      <c r="D4149" t="s">
        <v>16658</v>
      </c>
      <c r="E4149" t="s">
        <v>20444</v>
      </c>
      <c r="F4149" t="s">
        <v>28669</v>
      </c>
      <c r="G4149" t="s">
        <v>28676</v>
      </c>
      <c r="H4149" t="s">
        <v>9998</v>
      </c>
      <c r="I4149" t="s">
        <v>28758</v>
      </c>
      <c r="J4149" t="s">
        <v>28905</v>
      </c>
      <c r="K4149" t="s">
        <v>37209</v>
      </c>
      <c r="M4149" t="s">
        <v>37644</v>
      </c>
      <c r="N4149" t="s">
        <v>41249</v>
      </c>
      <c r="O4149" t="s">
        <v>41250</v>
      </c>
      <c r="P4149">
        <v>0</v>
      </c>
      <c r="Q4149">
        <v>0</v>
      </c>
      <c r="R4149" t="s">
        <v>41252</v>
      </c>
      <c r="S4149" t="s">
        <v>41383</v>
      </c>
      <c r="T4149" t="s">
        <v>42913</v>
      </c>
      <c r="U4149" t="s">
        <v>46642</v>
      </c>
      <c r="W4149" t="s">
        <v>37644</v>
      </c>
      <c r="X4149" t="s">
        <v>41254</v>
      </c>
    </row>
    <row r="4150" spans="1:24">
      <c r="A4150">
        <f>HYPERLINK("https://www.philgeps.gov.ph/GEPSNONPILOT/Tender/SplashBidNoticeAbstractUI.aspx?menuIndex=3&amp;refID=7075463&amp;Result=3","7075463")</f>
        <v>0</v>
      </c>
      <c r="B4150" t="s">
        <v>1532</v>
      </c>
      <c r="C4150" t="s">
        <v>7366</v>
      </c>
      <c r="D4150" t="s">
        <v>16615</v>
      </c>
      <c r="E4150" t="s">
        <v>20445</v>
      </c>
      <c r="F4150" t="s">
        <v>28669</v>
      </c>
      <c r="G4150" t="s">
        <v>28677</v>
      </c>
      <c r="H4150" t="s">
        <v>9998</v>
      </c>
      <c r="I4150" t="s">
        <v>28687</v>
      </c>
      <c r="J4150" t="s">
        <v>28990</v>
      </c>
      <c r="K4150" t="s">
        <v>37204</v>
      </c>
      <c r="M4150" t="s">
        <v>39107</v>
      </c>
      <c r="N4150" t="s">
        <v>41249</v>
      </c>
      <c r="O4150" t="s">
        <v>41250</v>
      </c>
      <c r="P4150">
        <v>0</v>
      </c>
      <c r="Q4150">
        <v>0</v>
      </c>
      <c r="R4150" t="s">
        <v>41252</v>
      </c>
      <c r="S4150" t="s">
        <v>41383</v>
      </c>
      <c r="T4150" t="s">
        <v>42887</v>
      </c>
      <c r="U4150" t="s">
        <v>46643</v>
      </c>
      <c r="W4150" t="s">
        <v>39107</v>
      </c>
      <c r="X4150" t="s">
        <v>41254</v>
      </c>
    </row>
    <row r="4151" spans="1:24">
      <c r="A4151">
        <f>HYPERLINK("https://www.philgeps.gov.ph/GEPSNONPILOT/Tender/SplashBidNoticeAbstractUI.aspx?menuIndex=3&amp;refID=7075474&amp;Result=3","7075474")</f>
        <v>0</v>
      </c>
      <c r="B4151" t="s">
        <v>1124</v>
      </c>
      <c r="C4151" t="s">
        <v>7367</v>
      </c>
      <c r="E4151" t="s">
        <v>20446</v>
      </c>
      <c r="F4151" t="s">
        <v>28669</v>
      </c>
      <c r="G4151" t="s">
        <v>28676</v>
      </c>
      <c r="H4151" t="s">
        <v>9998</v>
      </c>
      <c r="I4151" t="s">
        <v>28728</v>
      </c>
      <c r="J4151" t="s">
        <v>29225</v>
      </c>
      <c r="K4151" t="s">
        <v>37209</v>
      </c>
      <c r="M4151" t="s">
        <v>38883</v>
      </c>
      <c r="N4151" t="s">
        <v>41249</v>
      </c>
      <c r="O4151" t="s">
        <v>41250</v>
      </c>
      <c r="P4151">
        <v>0</v>
      </c>
      <c r="Q4151">
        <v>0</v>
      </c>
      <c r="R4151" t="s">
        <v>41252</v>
      </c>
      <c r="S4151" t="s">
        <v>41383</v>
      </c>
      <c r="T4151" t="s">
        <v>42729</v>
      </c>
      <c r="U4151" t="s">
        <v>46644</v>
      </c>
      <c r="W4151" t="s">
        <v>38883</v>
      </c>
      <c r="X4151" t="s">
        <v>41254</v>
      </c>
    </row>
    <row r="4152" spans="1:24">
      <c r="A4152">
        <f>HYPERLINK("https://www.philgeps.gov.ph/GEPSNONPILOT/Tender/SplashBidNoticeAbstractUI.aspx?menuIndex=3&amp;refID=7075462&amp;Result=3","7075462")</f>
        <v>0</v>
      </c>
      <c r="B4152" t="s">
        <v>532</v>
      </c>
      <c r="C4152" t="s">
        <v>7368</v>
      </c>
      <c r="D4152" t="s">
        <v>16675</v>
      </c>
      <c r="E4152" t="s">
        <v>20447</v>
      </c>
      <c r="F4152" t="s">
        <v>28669</v>
      </c>
      <c r="G4152" t="s">
        <v>28675</v>
      </c>
      <c r="H4152" t="s">
        <v>9998</v>
      </c>
      <c r="I4152" t="s">
        <v>28751</v>
      </c>
      <c r="J4152" t="s">
        <v>31485</v>
      </c>
      <c r="K4152" t="s">
        <v>37205</v>
      </c>
      <c r="M4152" t="s">
        <v>38023</v>
      </c>
      <c r="N4152" t="s">
        <v>41249</v>
      </c>
      <c r="O4152" t="s">
        <v>41250</v>
      </c>
      <c r="P4152">
        <v>0</v>
      </c>
      <c r="Q4152">
        <v>0</v>
      </c>
      <c r="R4152" t="s">
        <v>41252</v>
      </c>
      <c r="S4152" t="s">
        <v>41383</v>
      </c>
      <c r="T4152" t="s">
        <v>42714</v>
      </c>
      <c r="U4152" t="s">
        <v>46645</v>
      </c>
      <c r="W4152" t="s">
        <v>38023</v>
      </c>
      <c r="X4152" t="s">
        <v>41254</v>
      </c>
    </row>
    <row r="4153" spans="1:24">
      <c r="A4153">
        <f>HYPERLINK("https://www.philgeps.gov.ph/GEPSNONPILOT/Tender/SplashBidNoticeAbstractUI.aspx?menuIndex=3&amp;refID=7075498&amp;Result=3","7075498")</f>
        <v>0</v>
      </c>
      <c r="B4153" t="s">
        <v>1523</v>
      </c>
      <c r="C4153" t="s">
        <v>7369</v>
      </c>
      <c r="D4153" t="s">
        <v>16633</v>
      </c>
      <c r="E4153" t="s">
        <v>20448</v>
      </c>
      <c r="F4153" t="s">
        <v>28669</v>
      </c>
      <c r="G4153" t="s">
        <v>28675</v>
      </c>
      <c r="H4153" t="s">
        <v>9998</v>
      </c>
      <c r="I4153" t="s">
        <v>28769</v>
      </c>
      <c r="J4153" t="s">
        <v>28894</v>
      </c>
      <c r="K4153" t="s">
        <v>37205</v>
      </c>
      <c r="M4153" t="s">
        <v>39097</v>
      </c>
      <c r="N4153" t="s">
        <v>41249</v>
      </c>
      <c r="O4153" t="s">
        <v>41250</v>
      </c>
      <c r="P4153">
        <v>0</v>
      </c>
      <c r="Q4153">
        <v>2</v>
      </c>
      <c r="R4153" t="s">
        <v>41252</v>
      </c>
      <c r="S4153" t="s">
        <v>41383</v>
      </c>
      <c r="T4153" t="s">
        <v>42804</v>
      </c>
      <c r="U4153" t="s">
        <v>46646</v>
      </c>
      <c r="V4153" t="s">
        <v>54707</v>
      </c>
      <c r="W4153" t="s">
        <v>39097</v>
      </c>
      <c r="X4153" t="s">
        <v>41254</v>
      </c>
    </row>
    <row r="4154" spans="1:24">
      <c r="A4154">
        <f>HYPERLINK("https://www.philgeps.gov.ph/GEPSNONPILOT/Tender/SplashBidNoticeAbstractUI.aspx?menuIndex=3&amp;refID=7075461&amp;Result=3","7075461")</f>
        <v>0</v>
      </c>
      <c r="B4154" t="s">
        <v>133</v>
      </c>
      <c r="C4154" t="s">
        <v>7370</v>
      </c>
      <c r="E4154" t="s">
        <v>20449</v>
      </c>
      <c r="F4154" t="s">
        <v>28669</v>
      </c>
      <c r="G4154" t="s">
        <v>28676</v>
      </c>
      <c r="H4154" t="s">
        <v>9998</v>
      </c>
      <c r="I4154" t="s">
        <v>7352</v>
      </c>
      <c r="J4154" t="s">
        <v>31486</v>
      </c>
      <c r="K4154" t="s">
        <v>37210</v>
      </c>
      <c r="M4154" t="s">
        <v>37610</v>
      </c>
      <c r="N4154" t="s">
        <v>41249</v>
      </c>
      <c r="O4154" t="s">
        <v>41250</v>
      </c>
      <c r="P4154">
        <v>0</v>
      </c>
      <c r="Q4154">
        <v>1</v>
      </c>
      <c r="R4154" t="s">
        <v>41252</v>
      </c>
      <c r="S4154" t="s">
        <v>41383</v>
      </c>
      <c r="T4154" t="s">
        <v>42783</v>
      </c>
      <c r="U4154" t="s">
        <v>46647</v>
      </c>
      <c r="V4154" t="s">
        <v>54670</v>
      </c>
      <c r="W4154" t="s">
        <v>37610</v>
      </c>
      <c r="X4154" t="s">
        <v>41254</v>
      </c>
    </row>
    <row r="4155" spans="1:24">
      <c r="A4155">
        <f>HYPERLINK("https://www.philgeps.gov.ph/GEPSNONPILOT/Tender/SplashBidNoticeAbstractUI.aspx?menuIndex=3&amp;refID=7075467&amp;Result=3","7075467")</f>
        <v>0</v>
      </c>
      <c r="B4155" t="s">
        <v>1524</v>
      </c>
      <c r="C4155" t="s">
        <v>7371</v>
      </c>
      <c r="D4155" t="s">
        <v>16625</v>
      </c>
      <c r="E4155" t="s">
        <v>20450</v>
      </c>
      <c r="F4155" t="s">
        <v>28669</v>
      </c>
      <c r="G4155" t="s">
        <v>28677</v>
      </c>
      <c r="H4155" t="s">
        <v>9998</v>
      </c>
      <c r="I4155" t="s">
        <v>28726</v>
      </c>
      <c r="J4155" t="s">
        <v>28894</v>
      </c>
      <c r="K4155" t="s">
        <v>37227</v>
      </c>
      <c r="M4155" t="s">
        <v>39098</v>
      </c>
      <c r="N4155" t="s">
        <v>41249</v>
      </c>
      <c r="O4155" t="s">
        <v>41250</v>
      </c>
      <c r="P4155">
        <v>0</v>
      </c>
      <c r="Q4155">
        <v>0</v>
      </c>
      <c r="R4155" t="s">
        <v>41252</v>
      </c>
      <c r="S4155" t="s">
        <v>41383</v>
      </c>
      <c r="T4155" t="s">
        <v>42758</v>
      </c>
      <c r="U4155" t="s">
        <v>46648</v>
      </c>
      <c r="V4155" t="s">
        <v>54708</v>
      </c>
      <c r="W4155" t="s">
        <v>39098</v>
      </c>
      <c r="X4155" t="s">
        <v>41254</v>
      </c>
    </row>
    <row r="4156" spans="1:24">
      <c r="A4156">
        <f>HYPERLINK("https://www.philgeps.gov.ph/GEPSNONPILOT/Tender/SplashBidNoticeAbstractUI.aspx?menuIndex=3&amp;refID=7075501&amp;Result=3","7075501")</f>
        <v>0</v>
      </c>
      <c r="B4156" t="s">
        <v>1461</v>
      </c>
      <c r="C4156" t="s">
        <v>7372</v>
      </c>
      <c r="D4156" t="s">
        <v>16661</v>
      </c>
      <c r="E4156" t="s">
        <v>20451</v>
      </c>
      <c r="F4156" t="s">
        <v>28669</v>
      </c>
      <c r="G4156" t="s">
        <v>28675</v>
      </c>
      <c r="H4156" t="s">
        <v>28686</v>
      </c>
      <c r="I4156" t="s">
        <v>28689</v>
      </c>
      <c r="J4156" t="s">
        <v>30304</v>
      </c>
      <c r="K4156" t="s">
        <v>37209</v>
      </c>
      <c r="M4156" t="s">
        <v>39027</v>
      </c>
      <c r="N4156" t="s">
        <v>41249</v>
      </c>
      <c r="O4156" t="s">
        <v>41250</v>
      </c>
      <c r="P4156">
        <v>0</v>
      </c>
      <c r="Q4156">
        <v>0</v>
      </c>
      <c r="R4156" t="s">
        <v>41252</v>
      </c>
      <c r="S4156" t="s">
        <v>41383</v>
      </c>
      <c r="T4156" t="s">
        <v>42716</v>
      </c>
      <c r="U4156" t="s">
        <v>46635</v>
      </c>
      <c r="W4156" t="s">
        <v>39027</v>
      </c>
      <c r="X4156" t="s">
        <v>41254</v>
      </c>
    </row>
    <row r="4157" spans="1:24">
      <c r="A4157">
        <f>HYPERLINK("https://www.philgeps.gov.ph/GEPSNONPILOT/Tender/SplashBidNoticeAbstractUI.aspx?menuIndex=3&amp;refID=7075499&amp;Result=3","7075499")</f>
        <v>0</v>
      </c>
      <c r="B4157" t="s">
        <v>662</v>
      </c>
      <c r="C4157" t="s">
        <v>7373</v>
      </c>
      <c r="D4157" t="s">
        <v>16635</v>
      </c>
      <c r="E4157" t="s">
        <v>20452</v>
      </c>
      <c r="F4157" t="s">
        <v>28669</v>
      </c>
      <c r="G4157" t="s">
        <v>28676</v>
      </c>
      <c r="H4157" t="s">
        <v>28686</v>
      </c>
      <c r="I4157" t="s">
        <v>28689</v>
      </c>
      <c r="J4157" t="s">
        <v>30001</v>
      </c>
      <c r="K4157" t="s">
        <v>37206</v>
      </c>
      <c r="M4157" t="s">
        <v>38164</v>
      </c>
      <c r="N4157" t="s">
        <v>41249</v>
      </c>
      <c r="O4157" t="s">
        <v>41250</v>
      </c>
      <c r="P4157">
        <v>0</v>
      </c>
      <c r="Q4157">
        <v>0</v>
      </c>
      <c r="R4157" t="s">
        <v>41252</v>
      </c>
      <c r="S4157" t="s">
        <v>41383</v>
      </c>
      <c r="T4157" t="s">
        <v>42809</v>
      </c>
      <c r="U4157" t="s">
        <v>46649</v>
      </c>
      <c r="W4157" t="s">
        <v>38164</v>
      </c>
      <c r="X4157" t="s">
        <v>41254</v>
      </c>
    </row>
    <row r="4158" spans="1:24">
      <c r="A4158">
        <f>HYPERLINK("https://www.philgeps.gov.ph/GEPSNONPILOT/Tender/SplashBidNoticeAbstractUI.aspx?menuIndex=3&amp;refID=7075496&amp;Result=3","7075496")</f>
        <v>0</v>
      </c>
      <c r="B4158" t="s">
        <v>996</v>
      </c>
      <c r="C4158" t="s">
        <v>7374</v>
      </c>
      <c r="E4158" t="s">
        <v>20453</v>
      </c>
      <c r="F4158" t="s">
        <v>28669</v>
      </c>
      <c r="G4158" t="s">
        <v>28676</v>
      </c>
      <c r="H4158" t="s">
        <v>9998</v>
      </c>
      <c r="I4158" t="s">
        <v>28760</v>
      </c>
      <c r="J4158" t="s">
        <v>29741</v>
      </c>
      <c r="K4158" t="s">
        <v>37209</v>
      </c>
      <c r="M4158" t="s">
        <v>38524</v>
      </c>
      <c r="N4158" t="s">
        <v>41249</v>
      </c>
      <c r="O4158" t="s">
        <v>41250</v>
      </c>
      <c r="P4158">
        <v>0</v>
      </c>
      <c r="Q4158">
        <v>0</v>
      </c>
      <c r="R4158" t="s">
        <v>41252</v>
      </c>
      <c r="S4158" t="s">
        <v>41383</v>
      </c>
      <c r="T4158" t="s">
        <v>42729</v>
      </c>
      <c r="U4158" t="s">
        <v>46650</v>
      </c>
      <c r="W4158" t="s">
        <v>38524</v>
      </c>
      <c r="X4158" t="s">
        <v>41254</v>
      </c>
    </row>
    <row r="4159" spans="1:24">
      <c r="A4159">
        <f>HYPERLINK("https://www.philgeps.gov.ph/GEPSNONPILOT/Tender/SplashBidNoticeAbstractUI.aspx?menuIndex=3&amp;refID=7075495&amp;Result=3","7075495")</f>
        <v>0</v>
      </c>
      <c r="B4159" t="s">
        <v>1533</v>
      </c>
      <c r="C4159" t="s">
        <v>7375</v>
      </c>
      <c r="D4159" t="s">
        <v>16617</v>
      </c>
      <c r="E4159" t="s">
        <v>20454</v>
      </c>
      <c r="F4159" t="s">
        <v>28669</v>
      </c>
      <c r="G4159" t="s">
        <v>28676</v>
      </c>
      <c r="H4159" t="s">
        <v>9998</v>
      </c>
      <c r="I4159" t="s">
        <v>28708</v>
      </c>
      <c r="J4159" t="s">
        <v>31487</v>
      </c>
      <c r="K4159" t="s">
        <v>37209</v>
      </c>
      <c r="M4159" t="s">
        <v>39108</v>
      </c>
      <c r="N4159" t="s">
        <v>41249</v>
      </c>
      <c r="O4159" t="s">
        <v>41250</v>
      </c>
      <c r="P4159">
        <v>0</v>
      </c>
      <c r="Q4159">
        <v>1</v>
      </c>
      <c r="R4159" t="s">
        <v>41252</v>
      </c>
      <c r="S4159" t="s">
        <v>41383</v>
      </c>
      <c r="T4159" t="s">
        <v>42675</v>
      </c>
      <c r="U4159" t="s">
        <v>46651</v>
      </c>
      <c r="V4159" t="s">
        <v>54709</v>
      </c>
      <c r="W4159" t="s">
        <v>39108</v>
      </c>
      <c r="X4159" t="s">
        <v>41254</v>
      </c>
    </row>
    <row r="4160" spans="1:24">
      <c r="A4160">
        <f>HYPERLINK("https://www.philgeps.gov.ph/GEPSNONPILOT/Tender/SplashBidNoticeAbstractUI.aspx?menuIndex=3&amp;refID=7075494&amp;Result=3","7075494")</f>
        <v>0</v>
      </c>
      <c r="B4160" t="s">
        <v>1534</v>
      </c>
      <c r="C4160" t="s">
        <v>7376</v>
      </c>
      <c r="E4160" t="s">
        <v>17363</v>
      </c>
      <c r="F4160" t="s">
        <v>28669</v>
      </c>
      <c r="G4160" t="s">
        <v>28675</v>
      </c>
      <c r="H4160" t="s">
        <v>28686</v>
      </c>
      <c r="I4160" t="s">
        <v>7352</v>
      </c>
      <c r="J4160" t="s">
        <v>29003</v>
      </c>
      <c r="K4160" t="s">
        <v>37209</v>
      </c>
      <c r="M4160" t="s">
        <v>39109</v>
      </c>
      <c r="N4160" t="s">
        <v>41249</v>
      </c>
      <c r="O4160" t="s">
        <v>41250</v>
      </c>
      <c r="P4160">
        <v>0</v>
      </c>
      <c r="Q4160">
        <v>0</v>
      </c>
      <c r="R4160" t="s">
        <v>41252</v>
      </c>
      <c r="S4160" t="s">
        <v>41383</v>
      </c>
      <c r="T4160" t="s">
        <v>42698</v>
      </c>
      <c r="U4160" t="s">
        <v>46652</v>
      </c>
      <c r="W4160" t="s">
        <v>39109</v>
      </c>
      <c r="X4160" t="s">
        <v>41254</v>
      </c>
    </row>
    <row r="4161" spans="1:24">
      <c r="A4161">
        <f>HYPERLINK("https://www.philgeps.gov.ph/GEPSNONPILOT/Tender/SplashBidNoticeAbstractUI.aspx?menuIndex=3&amp;refID=7075492&amp;Result=3","7075492")</f>
        <v>0</v>
      </c>
      <c r="B4161" t="s">
        <v>642</v>
      </c>
      <c r="C4161" t="s">
        <v>7377</v>
      </c>
      <c r="D4161" t="s">
        <v>16642</v>
      </c>
      <c r="E4161" t="s">
        <v>20455</v>
      </c>
      <c r="F4161" t="s">
        <v>28669</v>
      </c>
      <c r="G4161" t="s">
        <v>28676</v>
      </c>
      <c r="H4161" t="s">
        <v>9998</v>
      </c>
      <c r="I4161" t="s">
        <v>28687</v>
      </c>
      <c r="J4161" t="s">
        <v>31488</v>
      </c>
      <c r="K4161" t="s">
        <v>37205</v>
      </c>
      <c r="M4161" t="s">
        <v>38143</v>
      </c>
      <c r="N4161" t="s">
        <v>41249</v>
      </c>
      <c r="O4161" t="s">
        <v>41250</v>
      </c>
      <c r="P4161">
        <v>0</v>
      </c>
      <c r="Q4161">
        <v>1</v>
      </c>
      <c r="R4161" t="s">
        <v>41252</v>
      </c>
      <c r="S4161" t="s">
        <v>41383</v>
      </c>
      <c r="T4161" t="s">
        <v>42686</v>
      </c>
      <c r="U4161" t="s">
        <v>46653</v>
      </c>
      <c r="W4161" t="s">
        <v>38143</v>
      </c>
      <c r="X4161" t="s">
        <v>41254</v>
      </c>
    </row>
    <row r="4162" spans="1:24">
      <c r="A4162">
        <f>HYPERLINK("https://www.philgeps.gov.ph/GEPSNONPILOT/Tender/SplashBidNoticeAbstractUI.aspx?menuIndex=3&amp;refID=7075491&amp;Result=3","7075491")</f>
        <v>0</v>
      </c>
      <c r="B4162" t="s">
        <v>133</v>
      </c>
      <c r="C4162" t="s">
        <v>7378</v>
      </c>
      <c r="E4162" t="s">
        <v>20456</v>
      </c>
      <c r="F4162" t="s">
        <v>28669</v>
      </c>
      <c r="G4162" t="s">
        <v>28676</v>
      </c>
      <c r="H4162" t="s">
        <v>9998</v>
      </c>
      <c r="I4162" t="s">
        <v>7352</v>
      </c>
      <c r="J4162" t="s">
        <v>31489</v>
      </c>
      <c r="K4162" t="s">
        <v>37210</v>
      </c>
      <c r="M4162" t="s">
        <v>37610</v>
      </c>
      <c r="N4162" t="s">
        <v>41249</v>
      </c>
      <c r="O4162" t="s">
        <v>41250</v>
      </c>
      <c r="P4162">
        <v>0</v>
      </c>
      <c r="Q4162">
        <v>1</v>
      </c>
      <c r="R4162" t="s">
        <v>41252</v>
      </c>
      <c r="S4162" t="s">
        <v>41383</v>
      </c>
      <c r="T4162" t="s">
        <v>42783</v>
      </c>
      <c r="U4162" t="s">
        <v>46654</v>
      </c>
      <c r="V4162" t="s">
        <v>54670</v>
      </c>
      <c r="W4162" t="s">
        <v>37610</v>
      </c>
      <c r="X4162" t="s">
        <v>41254</v>
      </c>
    </row>
    <row r="4163" spans="1:24">
      <c r="A4163">
        <f>HYPERLINK("https://www.philgeps.gov.ph/GEPSNONPILOT/Tender/SplashBidNoticeAbstractUI.aspx?menuIndex=3&amp;refID=7075502&amp;Result=3","7075502")</f>
        <v>0</v>
      </c>
      <c r="B4163" t="s">
        <v>1186</v>
      </c>
      <c r="C4163" t="s">
        <v>7379</v>
      </c>
      <c r="D4163" t="s">
        <v>16664</v>
      </c>
      <c r="E4163" t="s">
        <v>19317</v>
      </c>
      <c r="F4163" t="s">
        <v>28669</v>
      </c>
      <c r="G4163" t="s">
        <v>28676</v>
      </c>
      <c r="H4163" t="s">
        <v>9998</v>
      </c>
      <c r="I4163" t="s">
        <v>28722</v>
      </c>
      <c r="J4163" t="s">
        <v>31490</v>
      </c>
      <c r="K4163" t="s">
        <v>37208</v>
      </c>
      <c r="M4163" t="s">
        <v>38726</v>
      </c>
      <c r="N4163" t="s">
        <v>41249</v>
      </c>
      <c r="O4163" t="s">
        <v>41250</v>
      </c>
      <c r="P4163">
        <v>0</v>
      </c>
      <c r="Q4163">
        <v>1</v>
      </c>
      <c r="R4163" t="s">
        <v>41252</v>
      </c>
      <c r="S4163" t="s">
        <v>41383</v>
      </c>
      <c r="T4163" t="s">
        <v>42729</v>
      </c>
      <c r="U4163" t="s">
        <v>46655</v>
      </c>
      <c r="W4163" t="s">
        <v>38726</v>
      </c>
      <c r="X4163" t="s">
        <v>41254</v>
      </c>
    </row>
    <row r="4164" spans="1:24">
      <c r="A4164">
        <f>HYPERLINK("https://www.philgeps.gov.ph/GEPSNONPILOT/Tender/SplashBidNoticeAbstractUI.aspx?menuIndex=3&amp;refID=7075490&amp;Result=3","7075490")</f>
        <v>0</v>
      </c>
      <c r="B4164" t="s">
        <v>1501</v>
      </c>
      <c r="C4164" t="s">
        <v>7380</v>
      </c>
      <c r="D4164" t="s">
        <v>16675</v>
      </c>
      <c r="E4164" t="s">
        <v>20457</v>
      </c>
      <c r="F4164" t="s">
        <v>28669</v>
      </c>
      <c r="G4164" t="s">
        <v>28676</v>
      </c>
      <c r="H4164" t="s">
        <v>9998</v>
      </c>
      <c r="I4164" t="s">
        <v>28708</v>
      </c>
      <c r="J4164" t="s">
        <v>31491</v>
      </c>
      <c r="K4164" t="s">
        <v>37206</v>
      </c>
      <c r="M4164" t="s">
        <v>39074</v>
      </c>
      <c r="N4164" t="s">
        <v>41249</v>
      </c>
      <c r="O4164" t="s">
        <v>41250</v>
      </c>
      <c r="P4164">
        <v>0</v>
      </c>
      <c r="Q4164">
        <v>2</v>
      </c>
      <c r="R4164" t="s">
        <v>41252</v>
      </c>
      <c r="S4164" t="s">
        <v>41383</v>
      </c>
      <c r="T4164" t="s">
        <v>42701</v>
      </c>
      <c r="U4164" t="s">
        <v>46656</v>
      </c>
      <c r="W4164" t="s">
        <v>39074</v>
      </c>
      <c r="X4164" t="s">
        <v>41254</v>
      </c>
    </row>
    <row r="4165" spans="1:24">
      <c r="A4165">
        <f>HYPERLINK("https://www.philgeps.gov.ph/GEPSNONPILOT/Tender/SplashBidNoticeAbstractUI.aspx?menuIndex=3&amp;refID=7075486&amp;Result=3","7075486")</f>
        <v>0</v>
      </c>
      <c r="B4165" t="s">
        <v>582</v>
      </c>
      <c r="C4165" t="s">
        <v>7381</v>
      </c>
      <c r="D4165" t="s">
        <v>16659</v>
      </c>
      <c r="E4165" t="s">
        <v>20458</v>
      </c>
      <c r="F4165" t="s">
        <v>28669</v>
      </c>
      <c r="G4165" t="s">
        <v>28675</v>
      </c>
      <c r="H4165" t="s">
        <v>28686</v>
      </c>
      <c r="I4165" t="s">
        <v>28689</v>
      </c>
      <c r="J4165" t="s">
        <v>31492</v>
      </c>
      <c r="K4165" t="s">
        <v>37213</v>
      </c>
      <c r="M4165" t="s">
        <v>38081</v>
      </c>
      <c r="N4165" t="s">
        <v>41249</v>
      </c>
      <c r="O4165" t="s">
        <v>41250</v>
      </c>
      <c r="P4165">
        <v>0</v>
      </c>
      <c r="Q4165">
        <v>8</v>
      </c>
      <c r="R4165" t="s">
        <v>41252</v>
      </c>
      <c r="S4165" t="s">
        <v>41383</v>
      </c>
      <c r="T4165" t="s">
        <v>42716</v>
      </c>
      <c r="U4165" t="s">
        <v>46657</v>
      </c>
      <c r="W4165" t="s">
        <v>38081</v>
      </c>
      <c r="X4165" t="s">
        <v>41254</v>
      </c>
    </row>
    <row r="4166" spans="1:24">
      <c r="A4166">
        <f>HYPERLINK("https://www.philgeps.gov.ph/GEPSNONPILOT/Tender/SplashBidNoticeAbstractUI.aspx?menuIndex=3&amp;refID=7075500&amp;Result=3","7075500")</f>
        <v>0</v>
      </c>
      <c r="B4166" t="s">
        <v>111</v>
      </c>
      <c r="C4166" t="s">
        <v>7382</v>
      </c>
      <c r="D4166" t="s">
        <v>16619</v>
      </c>
      <c r="E4166" t="s">
        <v>20459</v>
      </c>
      <c r="F4166" t="s">
        <v>28669</v>
      </c>
      <c r="G4166" t="s">
        <v>28675</v>
      </c>
      <c r="H4166" t="s">
        <v>28686</v>
      </c>
      <c r="I4166" t="s">
        <v>28689</v>
      </c>
      <c r="J4166" t="s">
        <v>31493</v>
      </c>
      <c r="K4166" t="s">
        <v>37344</v>
      </c>
      <c r="M4166" t="s">
        <v>37587</v>
      </c>
      <c r="N4166" t="s">
        <v>41249</v>
      </c>
      <c r="O4166" t="s">
        <v>41250</v>
      </c>
      <c r="P4166">
        <v>0</v>
      </c>
      <c r="Q4166">
        <v>0</v>
      </c>
      <c r="R4166" t="s">
        <v>41252</v>
      </c>
      <c r="S4166" t="s">
        <v>41383</v>
      </c>
      <c r="T4166" t="s">
        <v>42723</v>
      </c>
      <c r="U4166" t="s">
        <v>46658</v>
      </c>
      <c r="V4166" t="s">
        <v>54280</v>
      </c>
      <c r="W4166" t="s">
        <v>37587</v>
      </c>
      <c r="X4166" t="s">
        <v>41254</v>
      </c>
    </row>
    <row r="4167" spans="1:24">
      <c r="A4167">
        <f>HYPERLINK("https://www.philgeps.gov.ph/GEPSNONPILOT/Tender/SplashBidNoticeAbstractUI.aspx?menuIndex=3&amp;refID=7075485&amp;Result=3","7075485")</f>
        <v>0</v>
      </c>
      <c r="B4167" t="s">
        <v>1535</v>
      </c>
      <c r="C4167" t="s">
        <v>7383</v>
      </c>
      <c r="D4167" t="s">
        <v>16648</v>
      </c>
      <c r="E4167" t="s">
        <v>20460</v>
      </c>
      <c r="F4167" t="s">
        <v>28669</v>
      </c>
      <c r="G4167" t="s">
        <v>28675</v>
      </c>
      <c r="H4167" t="s">
        <v>9998</v>
      </c>
      <c r="I4167" t="s">
        <v>7352</v>
      </c>
      <c r="J4167" t="s">
        <v>31494</v>
      </c>
      <c r="K4167" t="s">
        <v>37209</v>
      </c>
      <c r="M4167" t="s">
        <v>39110</v>
      </c>
      <c r="N4167" t="s">
        <v>41249</v>
      </c>
      <c r="O4167" t="s">
        <v>41250</v>
      </c>
      <c r="P4167">
        <v>0</v>
      </c>
      <c r="Q4167">
        <v>0</v>
      </c>
      <c r="R4167" t="s">
        <v>41252</v>
      </c>
      <c r="S4167" t="s">
        <v>41383</v>
      </c>
      <c r="T4167" t="s">
        <v>42688</v>
      </c>
      <c r="U4167" t="s">
        <v>46659</v>
      </c>
      <c r="W4167" t="s">
        <v>39110</v>
      </c>
      <c r="X4167" t="s">
        <v>41254</v>
      </c>
    </row>
    <row r="4168" spans="1:24">
      <c r="A4168">
        <f>HYPERLINK("https://www.philgeps.gov.ph/GEPSNONPILOT/Tender/SplashBidNoticeAbstractUI.aspx?menuIndex=3&amp;refID=7075483&amp;Result=3","7075483")</f>
        <v>0</v>
      </c>
      <c r="B4168" t="s">
        <v>478</v>
      </c>
      <c r="C4168" t="s">
        <v>7384</v>
      </c>
      <c r="D4168" t="s">
        <v>16625</v>
      </c>
      <c r="E4168" t="s">
        <v>20461</v>
      </c>
      <c r="F4168" t="s">
        <v>28669</v>
      </c>
      <c r="G4168" t="s">
        <v>28675</v>
      </c>
      <c r="H4168" t="s">
        <v>9998</v>
      </c>
      <c r="I4168" t="s">
        <v>28689</v>
      </c>
      <c r="J4168" t="s">
        <v>31495</v>
      </c>
      <c r="K4168" t="s">
        <v>37213</v>
      </c>
      <c r="M4168" t="s">
        <v>37966</v>
      </c>
      <c r="N4168" t="s">
        <v>41249</v>
      </c>
      <c r="O4168" t="s">
        <v>41250</v>
      </c>
      <c r="P4168">
        <v>0</v>
      </c>
      <c r="Q4168">
        <v>0</v>
      </c>
      <c r="R4168" t="s">
        <v>41252</v>
      </c>
      <c r="S4168" t="s">
        <v>41383</v>
      </c>
      <c r="T4168" t="s">
        <v>42957</v>
      </c>
      <c r="U4168" t="s">
        <v>45711</v>
      </c>
      <c r="V4168" t="s">
        <v>54710</v>
      </c>
      <c r="W4168" t="s">
        <v>37966</v>
      </c>
      <c r="X4168" t="s">
        <v>41254</v>
      </c>
    </row>
    <row r="4169" spans="1:24">
      <c r="A4169">
        <f>HYPERLINK("https://www.philgeps.gov.ph/GEPSNONPILOT/Tender/SplashBidNoticeAbstractUI.aspx?menuIndex=3&amp;refID=7075476&amp;Result=3","7075476")</f>
        <v>0</v>
      </c>
      <c r="B4169" t="s">
        <v>1522</v>
      </c>
      <c r="C4169" t="s">
        <v>7385</v>
      </c>
      <c r="D4169" t="s">
        <v>16686</v>
      </c>
      <c r="E4169" t="s">
        <v>20462</v>
      </c>
      <c r="F4169" t="s">
        <v>28669</v>
      </c>
      <c r="G4169" t="s">
        <v>28675</v>
      </c>
      <c r="H4169" t="s">
        <v>9998</v>
      </c>
      <c r="I4169" t="s">
        <v>28695</v>
      </c>
      <c r="J4169" t="s">
        <v>31496</v>
      </c>
      <c r="K4169" t="s">
        <v>37210</v>
      </c>
      <c r="M4169" t="s">
        <v>39096</v>
      </c>
      <c r="N4169" t="s">
        <v>41249</v>
      </c>
      <c r="O4169" t="s">
        <v>41250</v>
      </c>
      <c r="P4169">
        <v>0</v>
      </c>
      <c r="Q4169">
        <v>0</v>
      </c>
      <c r="R4169" t="s">
        <v>41252</v>
      </c>
      <c r="S4169" t="s">
        <v>41383</v>
      </c>
      <c r="T4169" t="s">
        <v>42778</v>
      </c>
      <c r="U4169" t="s">
        <v>46660</v>
      </c>
      <c r="W4169" t="s">
        <v>39096</v>
      </c>
      <c r="X4169" t="s">
        <v>41254</v>
      </c>
    </row>
    <row r="4170" spans="1:24">
      <c r="A4170">
        <f>HYPERLINK("https://www.philgeps.gov.ph/GEPSNONPILOT/Tender/SplashBidNoticeAbstractUI.aspx?menuIndex=3&amp;refID=7075452&amp;Result=3","7075452")</f>
        <v>0</v>
      </c>
      <c r="B4170" t="s">
        <v>1529</v>
      </c>
      <c r="C4170" t="s">
        <v>7386</v>
      </c>
      <c r="D4170" t="s">
        <v>16621</v>
      </c>
      <c r="E4170" t="s">
        <v>20463</v>
      </c>
      <c r="F4170" t="s">
        <v>28669</v>
      </c>
      <c r="G4170" t="s">
        <v>28676</v>
      </c>
      <c r="H4170" t="s">
        <v>9998</v>
      </c>
      <c r="I4170" t="s">
        <v>28722</v>
      </c>
      <c r="J4170" t="s">
        <v>31497</v>
      </c>
      <c r="K4170" t="s">
        <v>37210</v>
      </c>
      <c r="M4170" t="s">
        <v>39103</v>
      </c>
      <c r="N4170" t="s">
        <v>41249</v>
      </c>
      <c r="O4170" t="s">
        <v>41250</v>
      </c>
      <c r="P4170">
        <v>0</v>
      </c>
      <c r="Q4170">
        <v>2</v>
      </c>
      <c r="R4170" t="s">
        <v>41252</v>
      </c>
      <c r="S4170" t="s">
        <v>41383</v>
      </c>
      <c r="T4170" t="s">
        <v>42743</v>
      </c>
      <c r="U4170" t="s">
        <v>46661</v>
      </c>
      <c r="W4170" t="s">
        <v>39103</v>
      </c>
      <c r="X4170" t="s">
        <v>41254</v>
      </c>
    </row>
    <row r="4171" spans="1:24">
      <c r="A4171">
        <f>HYPERLINK("https://www.philgeps.gov.ph/GEPSNONPILOT/Tender/SplashBidNoticeAbstractUI.aspx?menuIndex=3&amp;refID=7075460&amp;Result=3","7075460")</f>
        <v>0</v>
      </c>
      <c r="B4171" t="s">
        <v>662</v>
      </c>
      <c r="C4171" t="s">
        <v>7387</v>
      </c>
      <c r="D4171" t="s">
        <v>16635</v>
      </c>
      <c r="E4171" t="s">
        <v>20464</v>
      </c>
      <c r="F4171" t="s">
        <v>28669</v>
      </c>
      <c r="G4171" t="s">
        <v>28676</v>
      </c>
      <c r="H4171" t="s">
        <v>28686</v>
      </c>
      <c r="I4171" t="s">
        <v>28689</v>
      </c>
      <c r="J4171" t="s">
        <v>31498</v>
      </c>
      <c r="K4171" t="s">
        <v>37206</v>
      </c>
      <c r="M4171" t="s">
        <v>38164</v>
      </c>
      <c r="N4171" t="s">
        <v>41249</v>
      </c>
      <c r="O4171" t="s">
        <v>41250</v>
      </c>
      <c r="P4171">
        <v>0</v>
      </c>
      <c r="Q4171">
        <v>0</v>
      </c>
      <c r="R4171" t="s">
        <v>41252</v>
      </c>
      <c r="S4171" t="s">
        <v>41383</v>
      </c>
      <c r="T4171" t="s">
        <v>42809</v>
      </c>
      <c r="U4171" t="s">
        <v>46662</v>
      </c>
      <c r="W4171" t="s">
        <v>38164</v>
      </c>
      <c r="X4171" t="s">
        <v>41254</v>
      </c>
    </row>
    <row r="4172" spans="1:24">
      <c r="A4172">
        <f>HYPERLINK("https://www.philgeps.gov.ph/GEPSNONPILOT/Tender/SplashBidNoticeAbstractUI.aspx?menuIndex=3&amp;refID=7075487&amp;Result=3","7075487")</f>
        <v>0</v>
      </c>
      <c r="B4172" t="s">
        <v>1536</v>
      </c>
      <c r="C4172" t="s">
        <v>7388</v>
      </c>
      <c r="D4172" t="s">
        <v>16673</v>
      </c>
      <c r="E4172" t="s">
        <v>20465</v>
      </c>
      <c r="F4172" t="s">
        <v>28669</v>
      </c>
      <c r="G4172" t="s">
        <v>28676</v>
      </c>
      <c r="H4172" t="s">
        <v>9998</v>
      </c>
      <c r="I4172" t="s">
        <v>28704</v>
      </c>
      <c r="J4172" t="s">
        <v>31499</v>
      </c>
      <c r="K4172" t="s">
        <v>37209</v>
      </c>
      <c r="M4172" t="s">
        <v>39111</v>
      </c>
      <c r="N4172" t="s">
        <v>41249</v>
      </c>
      <c r="O4172" t="s">
        <v>41250</v>
      </c>
      <c r="P4172">
        <v>0</v>
      </c>
      <c r="Q4172">
        <v>2</v>
      </c>
      <c r="R4172" t="s">
        <v>41252</v>
      </c>
      <c r="S4172" t="s">
        <v>41383</v>
      </c>
      <c r="T4172" t="s">
        <v>42701</v>
      </c>
      <c r="U4172" t="s">
        <v>46663</v>
      </c>
      <c r="W4172" t="s">
        <v>39111</v>
      </c>
      <c r="X4172" t="s">
        <v>41254</v>
      </c>
    </row>
    <row r="4173" spans="1:24">
      <c r="A4173">
        <f>HYPERLINK("https://www.philgeps.gov.ph/GEPSNONPILOT/Tender/SplashBidNoticeAbstractUI.aspx?menuIndex=3&amp;refID=7075458&amp;Result=3","7075458")</f>
        <v>0</v>
      </c>
      <c r="B4173" t="s">
        <v>1522</v>
      </c>
      <c r="C4173" t="s">
        <v>7389</v>
      </c>
      <c r="D4173" t="s">
        <v>16686</v>
      </c>
      <c r="E4173" t="s">
        <v>20410</v>
      </c>
      <c r="F4173" t="s">
        <v>28669</v>
      </c>
      <c r="G4173" t="s">
        <v>28675</v>
      </c>
      <c r="H4173" t="s">
        <v>9998</v>
      </c>
      <c r="I4173" t="s">
        <v>28695</v>
      </c>
      <c r="J4173" t="s">
        <v>31500</v>
      </c>
      <c r="K4173" t="s">
        <v>37210</v>
      </c>
      <c r="M4173" t="s">
        <v>39096</v>
      </c>
      <c r="N4173" t="s">
        <v>41249</v>
      </c>
      <c r="O4173" t="s">
        <v>41250</v>
      </c>
      <c r="P4173">
        <v>0</v>
      </c>
      <c r="Q4173">
        <v>0</v>
      </c>
      <c r="R4173" t="s">
        <v>41252</v>
      </c>
      <c r="S4173" t="s">
        <v>41383</v>
      </c>
      <c r="T4173" t="s">
        <v>42778</v>
      </c>
      <c r="U4173" t="s">
        <v>46664</v>
      </c>
      <c r="W4173" t="s">
        <v>39096</v>
      </c>
      <c r="X4173" t="s">
        <v>41254</v>
      </c>
    </row>
    <row r="4174" spans="1:24">
      <c r="A4174">
        <f>HYPERLINK("https://www.philgeps.gov.ph/GEPSNONPILOT/Tender/SplashBidNoticeAbstractUI.aspx?menuIndex=3&amp;refID=7075497&amp;Result=3","7075497")</f>
        <v>0</v>
      </c>
      <c r="B4174" t="s">
        <v>520</v>
      </c>
      <c r="C4174" t="s">
        <v>7390</v>
      </c>
      <c r="E4174" t="s">
        <v>20466</v>
      </c>
      <c r="F4174" t="s">
        <v>28669</v>
      </c>
      <c r="G4174" t="s">
        <v>28676</v>
      </c>
      <c r="H4174" t="s">
        <v>9998</v>
      </c>
      <c r="I4174" t="s">
        <v>28696</v>
      </c>
      <c r="J4174" t="s">
        <v>28871</v>
      </c>
      <c r="K4174" t="s">
        <v>37209</v>
      </c>
      <c r="M4174" t="s">
        <v>38011</v>
      </c>
      <c r="N4174" t="s">
        <v>41249</v>
      </c>
      <c r="O4174" t="s">
        <v>41250</v>
      </c>
      <c r="P4174">
        <v>0</v>
      </c>
      <c r="Q4174">
        <v>1</v>
      </c>
      <c r="R4174" t="s">
        <v>41252</v>
      </c>
      <c r="S4174" t="s">
        <v>41383</v>
      </c>
      <c r="T4174" t="s">
        <v>42736</v>
      </c>
      <c r="U4174" t="s">
        <v>46665</v>
      </c>
      <c r="W4174" t="s">
        <v>38011</v>
      </c>
      <c r="X4174" t="s">
        <v>41254</v>
      </c>
    </row>
    <row r="4175" spans="1:24">
      <c r="A4175">
        <f>HYPERLINK("https://www.philgeps.gov.ph/GEPSNONPILOT/Tender/SplashBidNoticeAbstractUI.aspx?menuIndex=3&amp;refID=7075456&amp;Result=3","7075456")</f>
        <v>0</v>
      </c>
      <c r="B4175" t="s">
        <v>1124</v>
      </c>
      <c r="C4175" t="s">
        <v>7391</v>
      </c>
      <c r="E4175" t="s">
        <v>20467</v>
      </c>
      <c r="F4175" t="s">
        <v>28669</v>
      </c>
      <c r="G4175" t="s">
        <v>28676</v>
      </c>
      <c r="H4175" t="s">
        <v>9998</v>
      </c>
      <c r="I4175" t="s">
        <v>28728</v>
      </c>
      <c r="J4175" t="s">
        <v>29225</v>
      </c>
      <c r="K4175" t="s">
        <v>37209</v>
      </c>
      <c r="M4175" t="s">
        <v>38883</v>
      </c>
      <c r="N4175" t="s">
        <v>41249</v>
      </c>
      <c r="O4175" t="s">
        <v>41250</v>
      </c>
      <c r="P4175">
        <v>0</v>
      </c>
      <c r="Q4175">
        <v>0</v>
      </c>
      <c r="R4175" t="s">
        <v>41252</v>
      </c>
      <c r="S4175" t="s">
        <v>41383</v>
      </c>
      <c r="T4175" t="s">
        <v>42729</v>
      </c>
      <c r="U4175" t="s">
        <v>46666</v>
      </c>
      <c r="W4175" t="s">
        <v>38883</v>
      </c>
      <c r="X4175" t="s">
        <v>41254</v>
      </c>
    </row>
    <row r="4176" spans="1:24">
      <c r="A4176">
        <f>HYPERLINK("https://www.philgeps.gov.ph/GEPSNONPILOT/Tender/SplashBidNoticeAbstractUI.aspx?menuIndex=3&amp;refID=7075453&amp;Result=3","7075453")</f>
        <v>0</v>
      </c>
      <c r="B4176" t="s">
        <v>1307</v>
      </c>
      <c r="C4176" t="s">
        <v>7392</v>
      </c>
      <c r="D4176" t="s">
        <v>16693</v>
      </c>
      <c r="E4176" t="s">
        <v>20468</v>
      </c>
      <c r="F4176" t="s">
        <v>28669</v>
      </c>
      <c r="G4176" t="s">
        <v>28675</v>
      </c>
      <c r="H4176" t="s">
        <v>9998</v>
      </c>
      <c r="I4176" t="s">
        <v>28749</v>
      </c>
      <c r="J4176" t="s">
        <v>31501</v>
      </c>
      <c r="K4176" t="s">
        <v>37213</v>
      </c>
      <c r="M4176" t="s">
        <v>38859</v>
      </c>
      <c r="N4176" t="s">
        <v>41249</v>
      </c>
      <c r="O4176" t="s">
        <v>41250</v>
      </c>
      <c r="P4176">
        <v>0</v>
      </c>
      <c r="Q4176">
        <v>0</v>
      </c>
      <c r="R4176" t="s">
        <v>41252</v>
      </c>
      <c r="S4176" t="s">
        <v>41383</v>
      </c>
      <c r="T4176" t="s">
        <v>42684</v>
      </c>
      <c r="U4176" t="s">
        <v>46667</v>
      </c>
      <c r="W4176" t="s">
        <v>38859</v>
      </c>
      <c r="X4176" t="s">
        <v>41254</v>
      </c>
    </row>
    <row r="4177" spans="1:24">
      <c r="A4177">
        <f>HYPERLINK("https://www.philgeps.gov.ph/GEPSNONPILOT/Tender/SplashBidNoticeAbstractUI.aspx?menuIndex=3&amp;refID=7075477&amp;Result=3","7075477")</f>
        <v>0</v>
      </c>
      <c r="B4177" t="s">
        <v>520</v>
      </c>
      <c r="C4177" t="s">
        <v>7393</v>
      </c>
      <c r="E4177" t="s">
        <v>20469</v>
      </c>
      <c r="F4177" t="s">
        <v>28669</v>
      </c>
      <c r="G4177" t="s">
        <v>28676</v>
      </c>
      <c r="H4177" t="s">
        <v>9998</v>
      </c>
      <c r="I4177" t="s">
        <v>28694</v>
      </c>
      <c r="J4177" t="s">
        <v>29544</v>
      </c>
      <c r="K4177" t="s">
        <v>37209</v>
      </c>
      <c r="M4177" t="s">
        <v>38011</v>
      </c>
      <c r="N4177" t="s">
        <v>41249</v>
      </c>
      <c r="O4177" t="s">
        <v>41250</v>
      </c>
      <c r="P4177">
        <v>0</v>
      </c>
      <c r="Q4177">
        <v>0</v>
      </c>
      <c r="R4177" t="s">
        <v>41252</v>
      </c>
      <c r="S4177" t="s">
        <v>41383</v>
      </c>
      <c r="T4177" t="s">
        <v>42736</v>
      </c>
      <c r="U4177" t="s">
        <v>46668</v>
      </c>
      <c r="W4177" t="s">
        <v>38011</v>
      </c>
      <c r="X4177" t="s">
        <v>41254</v>
      </c>
    </row>
    <row r="4178" spans="1:24">
      <c r="A4178">
        <f>HYPERLINK("https://www.philgeps.gov.ph/GEPSNONPILOT/Tender/SplashBidNoticeAbstractUI.aspx?menuIndex=3&amp;refID=7075439&amp;Result=3","7075439")</f>
        <v>0</v>
      </c>
      <c r="B4178" t="s">
        <v>133</v>
      </c>
      <c r="C4178" t="s">
        <v>7394</v>
      </c>
      <c r="E4178" t="s">
        <v>20470</v>
      </c>
      <c r="F4178" t="s">
        <v>28669</v>
      </c>
      <c r="G4178" t="s">
        <v>28676</v>
      </c>
      <c r="H4178" t="s">
        <v>9998</v>
      </c>
      <c r="I4178" t="s">
        <v>7352</v>
      </c>
      <c r="J4178" t="s">
        <v>31502</v>
      </c>
      <c r="K4178" t="s">
        <v>37210</v>
      </c>
      <c r="M4178" t="s">
        <v>37610</v>
      </c>
      <c r="N4178" t="s">
        <v>41249</v>
      </c>
      <c r="O4178" t="s">
        <v>41250</v>
      </c>
      <c r="P4178">
        <v>0</v>
      </c>
      <c r="Q4178">
        <v>1</v>
      </c>
      <c r="R4178" t="s">
        <v>41252</v>
      </c>
      <c r="S4178" t="s">
        <v>41383</v>
      </c>
      <c r="T4178" t="s">
        <v>42783</v>
      </c>
      <c r="U4178" t="s">
        <v>46669</v>
      </c>
      <c r="V4178" t="s">
        <v>54670</v>
      </c>
      <c r="W4178" t="s">
        <v>37610</v>
      </c>
      <c r="X4178" t="s">
        <v>41254</v>
      </c>
    </row>
    <row r="4179" spans="1:24">
      <c r="A4179">
        <f>HYPERLINK("https://www.philgeps.gov.ph/GEPSNONPILOT/Tender/SplashBidNoticeAbstractUI.aspx?menuIndex=3&amp;refID=7075434&amp;Result=3","7075434")</f>
        <v>0</v>
      </c>
      <c r="B4179" t="s">
        <v>59</v>
      </c>
      <c r="C4179" t="s">
        <v>7395</v>
      </c>
      <c r="D4179" t="s">
        <v>16635</v>
      </c>
      <c r="E4179" t="s">
        <v>20471</v>
      </c>
      <c r="F4179" t="s">
        <v>28669</v>
      </c>
      <c r="G4179" t="s">
        <v>28676</v>
      </c>
      <c r="H4179" t="s">
        <v>9998</v>
      </c>
      <c r="I4179" t="s">
        <v>28712</v>
      </c>
      <c r="J4179" t="s">
        <v>29564</v>
      </c>
      <c r="K4179" t="s">
        <v>37209</v>
      </c>
      <c r="M4179" t="s">
        <v>37534</v>
      </c>
      <c r="N4179" t="s">
        <v>41249</v>
      </c>
      <c r="O4179" t="s">
        <v>41250</v>
      </c>
      <c r="P4179">
        <v>0</v>
      </c>
      <c r="Q4179">
        <v>1</v>
      </c>
      <c r="R4179" t="s">
        <v>41252</v>
      </c>
      <c r="S4179" t="s">
        <v>41383</v>
      </c>
      <c r="T4179" t="s">
        <v>42758</v>
      </c>
      <c r="U4179" t="s">
        <v>46670</v>
      </c>
      <c r="W4179" t="s">
        <v>37534</v>
      </c>
      <c r="X4179" t="s">
        <v>41254</v>
      </c>
    </row>
    <row r="4180" spans="1:24">
      <c r="A4180">
        <f>HYPERLINK("https://www.philgeps.gov.ph/GEPSNONPILOT/Tender/SplashBidNoticeAbstractUI.aspx?menuIndex=3&amp;refID=7075436&amp;Result=3","7075436")</f>
        <v>0</v>
      </c>
      <c r="B4180" t="s">
        <v>909</v>
      </c>
      <c r="C4180" t="s">
        <v>4598</v>
      </c>
      <c r="D4180" t="s">
        <v>16662</v>
      </c>
      <c r="E4180" t="s">
        <v>20472</v>
      </c>
      <c r="F4180" t="s">
        <v>28669</v>
      </c>
      <c r="G4180" t="s">
        <v>28678</v>
      </c>
      <c r="H4180" t="s">
        <v>9998</v>
      </c>
      <c r="I4180" t="s">
        <v>6128</v>
      </c>
      <c r="J4180" t="s">
        <v>31503</v>
      </c>
      <c r="K4180" t="s">
        <v>37227</v>
      </c>
      <c r="M4180" t="s">
        <v>38431</v>
      </c>
      <c r="N4180" t="s">
        <v>41249</v>
      </c>
      <c r="O4180" t="s">
        <v>41250</v>
      </c>
      <c r="P4180">
        <v>0</v>
      </c>
      <c r="Q4180">
        <v>0</v>
      </c>
      <c r="R4180" t="s">
        <v>41252</v>
      </c>
      <c r="S4180" t="s">
        <v>41383</v>
      </c>
      <c r="T4180" t="s">
        <v>42736</v>
      </c>
      <c r="U4180" t="s">
        <v>46671</v>
      </c>
      <c r="W4180" t="s">
        <v>38431</v>
      </c>
      <c r="X4180" t="s">
        <v>41254</v>
      </c>
    </row>
    <row r="4181" spans="1:24">
      <c r="A4181">
        <f>HYPERLINK("https://www.philgeps.gov.ph/GEPSNONPILOT/Tender/SplashBidNoticeAbstractUI.aspx?menuIndex=3&amp;refID=7075433&amp;Result=3","7075433")</f>
        <v>0</v>
      </c>
      <c r="B4181" t="s">
        <v>1517</v>
      </c>
      <c r="C4181" t="s">
        <v>7396</v>
      </c>
      <c r="D4181" t="s">
        <v>16632</v>
      </c>
      <c r="E4181" t="s">
        <v>20473</v>
      </c>
      <c r="F4181" t="s">
        <v>28669</v>
      </c>
      <c r="G4181" t="s">
        <v>28675</v>
      </c>
      <c r="H4181" t="s">
        <v>9998</v>
      </c>
      <c r="I4181" t="s">
        <v>28690</v>
      </c>
      <c r="J4181" t="s">
        <v>31504</v>
      </c>
      <c r="K4181" t="s">
        <v>37204</v>
      </c>
      <c r="M4181" t="s">
        <v>39091</v>
      </c>
      <c r="N4181" t="s">
        <v>41249</v>
      </c>
      <c r="O4181" t="s">
        <v>41250</v>
      </c>
      <c r="P4181">
        <v>0</v>
      </c>
      <c r="Q4181">
        <v>2</v>
      </c>
      <c r="R4181" t="s">
        <v>41252</v>
      </c>
      <c r="S4181" t="s">
        <v>41383</v>
      </c>
      <c r="T4181" t="s">
        <v>42759</v>
      </c>
      <c r="U4181" t="s">
        <v>46672</v>
      </c>
      <c r="V4181" t="s">
        <v>54711</v>
      </c>
      <c r="W4181" t="s">
        <v>39091</v>
      </c>
      <c r="X4181" t="s">
        <v>41254</v>
      </c>
    </row>
    <row r="4182" spans="1:24">
      <c r="A4182">
        <f>HYPERLINK("https://www.philgeps.gov.ph/GEPSNONPILOT/Tender/SplashBidNoticeAbstractUI.aspx?menuIndex=3&amp;refID=7075430&amp;Result=3","7075430")</f>
        <v>0</v>
      </c>
      <c r="B4182" t="s">
        <v>1519</v>
      </c>
      <c r="C4182" t="s">
        <v>7397</v>
      </c>
      <c r="D4182" t="s">
        <v>16643</v>
      </c>
      <c r="E4182" t="s">
        <v>20474</v>
      </c>
      <c r="F4182" t="s">
        <v>28669</v>
      </c>
      <c r="G4182" t="s">
        <v>28676</v>
      </c>
      <c r="H4182" t="s">
        <v>9998</v>
      </c>
      <c r="I4182" t="s">
        <v>28761</v>
      </c>
      <c r="J4182" t="s">
        <v>29512</v>
      </c>
      <c r="K4182" t="s">
        <v>37209</v>
      </c>
      <c r="M4182" t="s">
        <v>39093</v>
      </c>
      <c r="N4182" t="s">
        <v>41249</v>
      </c>
      <c r="O4182" t="s">
        <v>41250</v>
      </c>
      <c r="P4182">
        <v>0</v>
      </c>
      <c r="Q4182">
        <v>4</v>
      </c>
      <c r="R4182" t="s">
        <v>41252</v>
      </c>
      <c r="S4182" t="s">
        <v>41383</v>
      </c>
      <c r="T4182" t="s">
        <v>42758</v>
      </c>
      <c r="U4182" t="s">
        <v>46673</v>
      </c>
      <c r="W4182" t="s">
        <v>39093</v>
      </c>
      <c r="X4182" t="s">
        <v>41254</v>
      </c>
    </row>
    <row r="4183" spans="1:24">
      <c r="A4183">
        <f>HYPERLINK("https://www.philgeps.gov.ph/GEPSNONPILOT/Tender/SplashBidNoticeAbstractUI.aspx?menuIndex=3&amp;refID=7075481&amp;Result=3","7075481")</f>
        <v>0</v>
      </c>
      <c r="B4183" t="s">
        <v>72</v>
      </c>
      <c r="C4183" t="s">
        <v>7398</v>
      </c>
      <c r="D4183" t="s">
        <v>16644</v>
      </c>
      <c r="E4183" t="s">
        <v>20475</v>
      </c>
      <c r="F4183" t="s">
        <v>28669</v>
      </c>
      <c r="G4183" t="s">
        <v>28681</v>
      </c>
      <c r="H4183" t="s">
        <v>28685</v>
      </c>
      <c r="I4183" t="s">
        <v>28685</v>
      </c>
      <c r="J4183" t="s">
        <v>31505</v>
      </c>
      <c r="K4183" t="s">
        <v>37221</v>
      </c>
      <c r="M4183" t="s">
        <v>37547</v>
      </c>
      <c r="N4183" t="s">
        <v>41249</v>
      </c>
      <c r="O4183" t="s">
        <v>41250</v>
      </c>
      <c r="P4183">
        <v>0</v>
      </c>
      <c r="Q4183">
        <v>3</v>
      </c>
      <c r="R4183" t="s">
        <v>41252</v>
      </c>
      <c r="S4183" t="s">
        <v>41383</v>
      </c>
      <c r="T4183" t="s">
        <v>42661</v>
      </c>
      <c r="U4183" t="s">
        <v>46674</v>
      </c>
      <c r="V4183" t="s">
        <v>54712</v>
      </c>
      <c r="W4183" t="s">
        <v>55934</v>
      </c>
      <c r="X4183" t="s">
        <v>41254</v>
      </c>
    </row>
    <row r="4184" spans="1:24">
      <c r="A4184">
        <f>HYPERLINK("https://www.philgeps.gov.ph/GEPSNONPILOT/Tender/SplashBidNoticeAbstractUI.aspx?menuIndex=3&amp;refID=7075438&amp;Result=3","7075438")</f>
        <v>0</v>
      </c>
      <c r="B4184" t="s">
        <v>358</v>
      </c>
      <c r="C4184" t="s">
        <v>7399</v>
      </c>
      <c r="D4184" t="s">
        <v>16683</v>
      </c>
      <c r="E4184" t="s">
        <v>20476</v>
      </c>
      <c r="F4184" t="s">
        <v>28669</v>
      </c>
      <c r="G4184" t="s">
        <v>28675</v>
      </c>
      <c r="H4184" t="s">
        <v>9998</v>
      </c>
      <c r="I4184" t="s">
        <v>28757</v>
      </c>
      <c r="J4184" t="s">
        <v>31506</v>
      </c>
      <c r="K4184" t="s">
        <v>37206</v>
      </c>
      <c r="M4184" t="s">
        <v>37839</v>
      </c>
      <c r="N4184" t="s">
        <v>41249</v>
      </c>
      <c r="O4184" t="s">
        <v>41250</v>
      </c>
      <c r="P4184">
        <v>0</v>
      </c>
      <c r="Q4184">
        <v>1</v>
      </c>
      <c r="R4184" t="s">
        <v>41252</v>
      </c>
      <c r="S4184" t="s">
        <v>41383</v>
      </c>
      <c r="T4184" t="s">
        <v>42716</v>
      </c>
      <c r="U4184" t="s">
        <v>46675</v>
      </c>
      <c r="W4184" t="s">
        <v>37839</v>
      </c>
      <c r="X4184" t="s">
        <v>41254</v>
      </c>
    </row>
    <row r="4185" spans="1:24">
      <c r="A4185">
        <f>HYPERLINK("https://www.philgeps.gov.ph/GEPSNONPILOT/Tender/SplashBidNoticeAbstractUI.aspx?menuIndex=3&amp;refID=7075437&amp;Result=3","7075437")</f>
        <v>0</v>
      </c>
      <c r="B4185" t="s">
        <v>1448</v>
      </c>
      <c r="C4185" t="s">
        <v>7400</v>
      </c>
      <c r="D4185" t="s">
        <v>16641</v>
      </c>
      <c r="E4185" t="s">
        <v>20477</v>
      </c>
      <c r="F4185" t="s">
        <v>28669</v>
      </c>
      <c r="G4185" t="s">
        <v>28675</v>
      </c>
      <c r="H4185" t="s">
        <v>28686</v>
      </c>
      <c r="I4185" t="s">
        <v>28689</v>
      </c>
      <c r="J4185" t="s">
        <v>29003</v>
      </c>
      <c r="K4185" t="s">
        <v>37220</v>
      </c>
      <c r="M4185" t="s">
        <v>39013</v>
      </c>
      <c r="N4185" t="s">
        <v>41249</v>
      </c>
      <c r="O4185" t="s">
        <v>41250</v>
      </c>
      <c r="P4185">
        <v>0</v>
      </c>
      <c r="Q4185">
        <v>0</v>
      </c>
      <c r="R4185" t="s">
        <v>41252</v>
      </c>
      <c r="S4185" t="s">
        <v>41383</v>
      </c>
      <c r="T4185" t="s">
        <v>42690</v>
      </c>
      <c r="U4185" t="s">
        <v>46676</v>
      </c>
      <c r="W4185" t="s">
        <v>39013</v>
      </c>
      <c r="X4185" t="s">
        <v>41254</v>
      </c>
    </row>
    <row r="4186" spans="1:24">
      <c r="A4186">
        <f>HYPERLINK("https://www.philgeps.gov.ph/GEPSNONPILOT/Tender/SplashBidNoticeAbstractUI.aspx?menuIndex=3&amp;refID=7075408&amp;Result=3","7075408")</f>
        <v>0</v>
      </c>
      <c r="B4186" t="s">
        <v>532</v>
      </c>
      <c r="C4186" t="s">
        <v>7401</v>
      </c>
      <c r="D4186" t="s">
        <v>16675</v>
      </c>
      <c r="E4186" t="s">
        <v>20478</v>
      </c>
      <c r="F4186" t="s">
        <v>28669</v>
      </c>
      <c r="G4186" t="s">
        <v>28679</v>
      </c>
      <c r="H4186" t="s">
        <v>9998</v>
      </c>
      <c r="I4186" t="s">
        <v>28690</v>
      </c>
      <c r="J4186" t="s">
        <v>29809</v>
      </c>
      <c r="K4186" t="s">
        <v>37205</v>
      </c>
      <c r="M4186" t="s">
        <v>38023</v>
      </c>
      <c r="N4186" t="s">
        <v>41249</v>
      </c>
      <c r="O4186" t="s">
        <v>41250</v>
      </c>
      <c r="P4186">
        <v>0</v>
      </c>
      <c r="Q4186">
        <v>1</v>
      </c>
      <c r="R4186" t="s">
        <v>41252</v>
      </c>
      <c r="S4186" t="s">
        <v>41383</v>
      </c>
      <c r="T4186" t="s">
        <v>42714</v>
      </c>
      <c r="U4186" t="s">
        <v>46677</v>
      </c>
      <c r="W4186" t="s">
        <v>38023</v>
      </c>
      <c r="X4186" t="s">
        <v>41254</v>
      </c>
    </row>
    <row r="4187" spans="1:24">
      <c r="A4187">
        <f>HYPERLINK("https://www.philgeps.gov.ph/GEPSNONPILOT/Tender/SplashBidNoticeAbstractUI.aspx?menuIndex=3&amp;refID=7075405&amp;Result=3","7075405")</f>
        <v>0</v>
      </c>
      <c r="B4187" t="s">
        <v>1537</v>
      </c>
      <c r="C4187" t="s">
        <v>7402</v>
      </c>
      <c r="D4187" t="s">
        <v>16618</v>
      </c>
      <c r="E4187" t="s">
        <v>20479</v>
      </c>
      <c r="F4187" t="s">
        <v>28669</v>
      </c>
      <c r="G4187" t="s">
        <v>28675</v>
      </c>
      <c r="H4187" t="s">
        <v>28686</v>
      </c>
      <c r="I4187" t="s">
        <v>28689</v>
      </c>
      <c r="J4187" t="s">
        <v>31507</v>
      </c>
      <c r="K4187" t="s">
        <v>37205</v>
      </c>
      <c r="M4187" t="s">
        <v>39112</v>
      </c>
      <c r="N4187" t="s">
        <v>41249</v>
      </c>
      <c r="O4187" t="s">
        <v>41250</v>
      </c>
      <c r="P4187">
        <v>0</v>
      </c>
      <c r="Q4187">
        <v>0</v>
      </c>
      <c r="R4187" t="s">
        <v>41252</v>
      </c>
      <c r="S4187" t="s">
        <v>41383</v>
      </c>
      <c r="T4187" t="s">
        <v>42958</v>
      </c>
      <c r="U4187" t="s">
        <v>46678</v>
      </c>
      <c r="W4187" t="s">
        <v>39112</v>
      </c>
      <c r="X4187" t="s">
        <v>41254</v>
      </c>
    </row>
    <row r="4188" spans="1:24">
      <c r="A4188">
        <f>HYPERLINK("https://www.philgeps.gov.ph/GEPSNONPILOT/Tender/SplashBidNoticeAbstractUI.aspx?menuIndex=3&amp;refID=7075382&amp;Result=3","7075382")</f>
        <v>0</v>
      </c>
      <c r="B4188" t="s">
        <v>1186</v>
      </c>
      <c r="C4188" t="s">
        <v>7403</v>
      </c>
      <c r="D4188" t="s">
        <v>16664</v>
      </c>
      <c r="E4188" t="s">
        <v>19317</v>
      </c>
      <c r="F4188" t="s">
        <v>28669</v>
      </c>
      <c r="G4188" t="s">
        <v>28676</v>
      </c>
      <c r="H4188" t="s">
        <v>9998</v>
      </c>
      <c r="I4188" t="s">
        <v>28695</v>
      </c>
      <c r="J4188" t="s">
        <v>31508</v>
      </c>
      <c r="K4188" t="s">
        <v>37208</v>
      </c>
      <c r="M4188" t="s">
        <v>38726</v>
      </c>
      <c r="N4188" t="s">
        <v>41249</v>
      </c>
      <c r="O4188" t="s">
        <v>41250</v>
      </c>
      <c r="P4188">
        <v>0</v>
      </c>
      <c r="Q4188">
        <v>0</v>
      </c>
      <c r="R4188" t="s">
        <v>41252</v>
      </c>
      <c r="S4188" t="s">
        <v>41383</v>
      </c>
      <c r="T4188" t="s">
        <v>42736</v>
      </c>
      <c r="U4188" t="s">
        <v>46679</v>
      </c>
      <c r="W4188" t="s">
        <v>38726</v>
      </c>
      <c r="X4188" t="s">
        <v>41254</v>
      </c>
    </row>
    <row r="4189" spans="1:24">
      <c r="A4189">
        <f>HYPERLINK("https://www.philgeps.gov.ph/GEPSNONPILOT/Tender/SplashBidNoticeAbstractUI.aspx?menuIndex=3&amp;refID=7075431&amp;Result=3","7075431")</f>
        <v>0</v>
      </c>
      <c r="B4189" t="s">
        <v>1466</v>
      </c>
      <c r="C4189" t="s">
        <v>7404</v>
      </c>
      <c r="D4189" t="s">
        <v>16679</v>
      </c>
      <c r="E4189" t="s">
        <v>20480</v>
      </c>
      <c r="F4189" t="s">
        <v>28669</v>
      </c>
      <c r="G4189" t="s">
        <v>28675</v>
      </c>
      <c r="H4189" t="s">
        <v>28686</v>
      </c>
      <c r="I4189" t="s">
        <v>28689</v>
      </c>
      <c r="J4189" t="s">
        <v>31313</v>
      </c>
      <c r="K4189" t="s">
        <v>37206</v>
      </c>
      <c r="M4189" t="s">
        <v>39034</v>
      </c>
      <c r="N4189" t="s">
        <v>41249</v>
      </c>
      <c r="O4189" t="s">
        <v>41250</v>
      </c>
      <c r="P4189">
        <v>0</v>
      </c>
      <c r="Q4189">
        <v>2</v>
      </c>
      <c r="R4189" t="s">
        <v>41252</v>
      </c>
      <c r="S4189" t="s">
        <v>41383</v>
      </c>
      <c r="T4189" t="s">
        <v>42688</v>
      </c>
      <c r="U4189" t="s">
        <v>46413</v>
      </c>
      <c r="W4189" t="s">
        <v>55956</v>
      </c>
      <c r="X4189" t="s">
        <v>41254</v>
      </c>
    </row>
    <row r="4190" spans="1:24">
      <c r="A4190">
        <f>HYPERLINK("https://www.philgeps.gov.ph/GEPSNONPILOT/Tender/SplashBidNoticeAbstractUI.aspx?menuIndex=3&amp;refID=7075415&amp;Result=3","7075415")</f>
        <v>0</v>
      </c>
      <c r="B4190" t="s">
        <v>631</v>
      </c>
      <c r="C4190" t="s">
        <v>7405</v>
      </c>
      <c r="D4190" t="s">
        <v>16617</v>
      </c>
      <c r="E4190" t="s">
        <v>20481</v>
      </c>
      <c r="F4190" t="s">
        <v>28669</v>
      </c>
      <c r="G4190" t="s">
        <v>28676</v>
      </c>
      <c r="H4190" t="s">
        <v>9998</v>
      </c>
      <c r="I4190" t="s">
        <v>8667</v>
      </c>
      <c r="J4190" t="s">
        <v>31509</v>
      </c>
      <c r="K4190" t="s">
        <v>37240</v>
      </c>
      <c r="M4190" t="s">
        <v>38131</v>
      </c>
      <c r="N4190" t="s">
        <v>41249</v>
      </c>
      <c r="O4190" t="s">
        <v>41250</v>
      </c>
      <c r="P4190">
        <v>0</v>
      </c>
      <c r="Q4190">
        <v>0</v>
      </c>
      <c r="R4190" t="s">
        <v>41252</v>
      </c>
      <c r="S4190" t="s">
        <v>41383</v>
      </c>
      <c r="T4190" t="s">
        <v>42748</v>
      </c>
      <c r="U4190" t="s">
        <v>46680</v>
      </c>
      <c r="W4190" t="s">
        <v>38131</v>
      </c>
      <c r="X4190" t="s">
        <v>41254</v>
      </c>
    </row>
    <row r="4191" spans="1:24">
      <c r="A4191">
        <f>HYPERLINK("https://www.philgeps.gov.ph/GEPSNONPILOT/Tender/SplashBidNoticeAbstractUI.aspx?menuIndex=3&amp;refID=7075409&amp;Result=3","7075409")</f>
        <v>0</v>
      </c>
      <c r="B4191" t="s">
        <v>1538</v>
      </c>
      <c r="C4191" t="s">
        <v>7406</v>
      </c>
      <c r="E4191" t="s">
        <v>20482</v>
      </c>
      <c r="F4191" t="s">
        <v>28669</v>
      </c>
      <c r="G4191" t="s">
        <v>28675</v>
      </c>
      <c r="H4191" t="s">
        <v>28686</v>
      </c>
      <c r="I4191" t="s">
        <v>28689</v>
      </c>
      <c r="J4191" t="s">
        <v>31510</v>
      </c>
      <c r="K4191" t="s">
        <v>37206</v>
      </c>
      <c r="M4191" t="s">
        <v>39113</v>
      </c>
      <c r="N4191" t="s">
        <v>41249</v>
      </c>
      <c r="O4191" t="s">
        <v>41250</v>
      </c>
      <c r="P4191">
        <v>0</v>
      </c>
      <c r="Q4191">
        <v>1</v>
      </c>
      <c r="R4191" t="s">
        <v>41252</v>
      </c>
      <c r="S4191" t="s">
        <v>41383</v>
      </c>
      <c r="T4191" t="s">
        <v>42679</v>
      </c>
      <c r="U4191" t="s">
        <v>46681</v>
      </c>
      <c r="W4191" t="s">
        <v>39113</v>
      </c>
      <c r="X4191" t="s">
        <v>41254</v>
      </c>
    </row>
    <row r="4192" spans="1:24">
      <c r="A4192">
        <f>HYPERLINK("https://www.philgeps.gov.ph/GEPSNONPILOT/Tender/SplashBidNoticeAbstractUI.aspx?menuIndex=3&amp;refID=7075455&amp;Result=3","7075455")</f>
        <v>0</v>
      </c>
      <c r="B4192" t="s">
        <v>370</v>
      </c>
      <c r="C4192" t="s">
        <v>7407</v>
      </c>
      <c r="D4192" t="s">
        <v>16630</v>
      </c>
      <c r="E4192" t="s">
        <v>20483</v>
      </c>
      <c r="F4192" t="s">
        <v>28669</v>
      </c>
      <c r="G4192" t="s">
        <v>28676</v>
      </c>
      <c r="H4192" t="s">
        <v>9998</v>
      </c>
      <c r="I4192" t="s">
        <v>28699</v>
      </c>
      <c r="J4192" t="s">
        <v>31511</v>
      </c>
      <c r="K4192" t="s">
        <v>37205</v>
      </c>
      <c r="M4192" t="s">
        <v>37852</v>
      </c>
      <c r="N4192" t="s">
        <v>41249</v>
      </c>
      <c r="O4192" t="s">
        <v>41250</v>
      </c>
      <c r="P4192">
        <v>0</v>
      </c>
      <c r="Q4192">
        <v>1</v>
      </c>
      <c r="R4192" t="s">
        <v>41252</v>
      </c>
      <c r="S4192" t="s">
        <v>41383</v>
      </c>
      <c r="T4192" t="s">
        <v>42748</v>
      </c>
      <c r="U4192" t="s">
        <v>46682</v>
      </c>
      <c r="W4192" t="s">
        <v>37852</v>
      </c>
      <c r="X4192" t="s">
        <v>41254</v>
      </c>
    </row>
    <row r="4193" spans="1:24">
      <c r="A4193">
        <f>HYPERLINK("https://www.philgeps.gov.ph/GEPSNONPILOT/Tender/SplashBidNoticeAbstractUI.aspx?menuIndex=3&amp;refID=7075503&amp;Result=3","7075503")</f>
        <v>0</v>
      </c>
      <c r="B4193" t="s">
        <v>1515</v>
      </c>
      <c r="C4193" t="s">
        <v>7408</v>
      </c>
      <c r="D4193" t="s">
        <v>16678</v>
      </c>
      <c r="E4193" t="s">
        <v>20484</v>
      </c>
      <c r="F4193" t="s">
        <v>28669</v>
      </c>
      <c r="G4193" t="s">
        <v>28676</v>
      </c>
      <c r="H4193" t="s">
        <v>9998</v>
      </c>
      <c r="I4193" t="s">
        <v>6606</v>
      </c>
      <c r="J4193" t="s">
        <v>29193</v>
      </c>
      <c r="K4193" t="s">
        <v>37206</v>
      </c>
      <c r="M4193" t="s">
        <v>39089</v>
      </c>
      <c r="N4193" t="s">
        <v>41249</v>
      </c>
      <c r="O4193" t="s">
        <v>41250</v>
      </c>
      <c r="P4193">
        <v>0</v>
      </c>
      <c r="Q4193">
        <v>0</v>
      </c>
      <c r="R4193" t="s">
        <v>41252</v>
      </c>
      <c r="S4193" t="s">
        <v>41383</v>
      </c>
      <c r="T4193" t="s">
        <v>42959</v>
      </c>
      <c r="U4193" t="s">
        <v>46683</v>
      </c>
      <c r="W4193" t="s">
        <v>39089</v>
      </c>
      <c r="X4193" t="s">
        <v>41254</v>
      </c>
    </row>
    <row r="4194" spans="1:24">
      <c r="A4194">
        <f>HYPERLINK("https://www.philgeps.gov.ph/GEPSNONPILOT/Tender/SplashBidNoticeAbstractUI.aspx?menuIndex=3&amp;refID=7075513&amp;Result=3","7075513")</f>
        <v>0</v>
      </c>
      <c r="B4194" t="s">
        <v>1539</v>
      </c>
      <c r="C4194" t="s">
        <v>7409</v>
      </c>
      <c r="D4194" t="s">
        <v>16671</v>
      </c>
      <c r="E4194" t="s">
        <v>19674</v>
      </c>
      <c r="F4194" t="s">
        <v>28669</v>
      </c>
      <c r="G4194" t="s">
        <v>28675</v>
      </c>
      <c r="H4194" t="s">
        <v>9998</v>
      </c>
      <c r="I4194" t="s">
        <v>7352</v>
      </c>
      <c r="J4194" t="s">
        <v>31512</v>
      </c>
      <c r="K4194" t="s">
        <v>37205</v>
      </c>
      <c r="M4194" t="s">
        <v>39114</v>
      </c>
      <c r="N4194" t="s">
        <v>41249</v>
      </c>
      <c r="O4194" t="s">
        <v>41250</v>
      </c>
      <c r="P4194">
        <v>0</v>
      </c>
      <c r="Q4194">
        <v>0</v>
      </c>
      <c r="R4194" t="s">
        <v>41252</v>
      </c>
      <c r="S4194" t="s">
        <v>41383</v>
      </c>
      <c r="T4194" t="s">
        <v>42690</v>
      </c>
      <c r="U4194" t="s">
        <v>46684</v>
      </c>
      <c r="W4194" t="s">
        <v>39114</v>
      </c>
      <c r="X4194" t="s">
        <v>41254</v>
      </c>
    </row>
    <row r="4195" spans="1:24">
      <c r="A4195">
        <f>HYPERLINK("https://www.philgeps.gov.ph/GEPSNONPILOT/Tender/SplashBidNoticeAbstractUI.aspx?menuIndex=3&amp;refID=7075517&amp;Result=3","7075517")</f>
        <v>0</v>
      </c>
      <c r="B4195" t="s">
        <v>909</v>
      </c>
      <c r="C4195" t="s">
        <v>7410</v>
      </c>
      <c r="D4195" t="s">
        <v>16662</v>
      </c>
      <c r="E4195" t="s">
        <v>20485</v>
      </c>
      <c r="F4195" t="s">
        <v>28669</v>
      </c>
      <c r="G4195" t="s">
        <v>28676</v>
      </c>
      <c r="H4195" t="s">
        <v>9998</v>
      </c>
      <c r="I4195" t="s">
        <v>28729</v>
      </c>
      <c r="J4195" t="s">
        <v>29523</v>
      </c>
      <c r="K4195" t="s">
        <v>37227</v>
      </c>
      <c r="M4195" t="s">
        <v>38431</v>
      </c>
      <c r="N4195" t="s">
        <v>41249</v>
      </c>
      <c r="O4195" t="s">
        <v>41250</v>
      </c>
      <c r="P4195">
        <v>0</v>
      </c>
      <c r="Q4195">
        <v>2</v>
      </c>
      <c r="R4195" t="s">
        <v>41252</v>
      </c>
      <c r="S4195" t="s">
        <v>41383</v>
      </c>
      <c r="T4195" t="s">
        <v>42736</v>
      </c>
      <c r="U4195" t="s">
        <v>46685</v>
      </c>
      <c r="W4195" t="s">
        <v>38431</v>
      </c>
      <c r="X4195" t="s">
        <v>41254</v>
      </c>
    </row>
    <row r="4196" spans="1:24">
      <c r="A4196">
        <f>HYPERLINK("https://www.philgeps.gov.ph/GEPSNONPILOT/Tender/SplashBidNoticeAbstractUI.aspx?menuIndex=3&amp;refID=7075512&amp;Result=3","7075512")</f>
        <v>0</v>
      </c>
      <c r="B4196" t="s">
        <v>317</v>
      </c>
      <c r="C4196" t="s">
        <v>7411</v>
      </c>
      <c r="D4196" t="s">
        <v>16608</v>
      </c>
      <c r="E4196" t="s">
        <v>20486</v>
      </c>
      <c r="F4196" t="s">
        <v>28669</v>
      </c>
      <c r="G4196" t="s">
        <v>28676</v>
      </c>
      <c r="H4196" t="s">
        <v>9998</v>
      </c>
      <c r="I4196" t="s">
        <v>28726</v>
      </c>
      <c r="J4196" t="s">
        <v>31513</v>
      </c>
      <c r="K4196" t="s">
        <v>37204</v>
      </c>
      <c r="M4196" t="s">
        <v>39105</v>
      </c>
      <c r="N4196" t="s">
        <v>41249</v>
      </c>
      <c r="O4196" t="s">
        <v>41250</v>
      </c>
      <c r="P4196">
        <v>0</v>
      </c>
      <c r="Q4196">
        <v>1</v>
      </c>
      <c r="R4196" t="s">
        <v>41252</v>
      </c>
      <c r="S4196" t="s">
        <v>41383</v>
      </c>
      <c r="T4196" t="s">
        <v>42736</v>
      </c>
      <c r="U4196" t="s">
        <v>44659</v>
      </c>
      <c r="W4196" t="s">
        <v>39105</v>
      </c>
      <c r="X4196" t="s">
        <v>41254</v>
      </c>
    </row>
    <row r="4197" spans="1:24">
      <c r="A4197">
        <f>HYPERLINK("https://www.philgeps.gov.ph/GEPSNONPILOT/Tender/SplashBidNoticeAbstractUI.aspx?menuIndex=3&amp;refID=7075516&amp;Result=3","7075516")</f>
        <v>0</v>
      </c>
      <c r="B4197" t="s">
        <v>642</v>
      </c>
      <c r="C4197" t="s">
        <v>7412</v>
      </c>
      <c r="D4197" t="s">
        <v>16642</v>
      </c>
      <c r="E4197" t="s">
        <v>20487</v>
      </c>
      <c r="F4197" t="s">
        <v>28669</v>
      </c>
      <c r="G4197" t="s">
        <v>28676</v>
      </c>
      <c r="H4197" t="s">
        <v>9998</v>
      </c>
      <c r="I4197" t="s">
        <v>28693</v>
      </c>
      <c r="J4197" t="s">
        <v>31514</v>
      </c>
      <c r="K4197" t="s">
        <v>37205</v>
      </c>
      <c r="M4197" t="s">
        <v>38143</v>
      </c>
      <c r="N4197" t="s">
        <v>41249</v>
      </c>
      <c r="O4197" t="s">
        <v>41250</v>
      </c>
      <c r="P4197">
        <v>0</v>
      </c>
      <c r="Q4197">
        <v>15</v>
      </c>
      <c r="R4197" t="s">
        <v>41252</v>
      </c>
      <c r="S4197" t="s">
        <v>41383</v>
      </c>
      <c r="T4197" t="s">
        <v>42686</v>
      </c>
      <c r="U4197" t="s">
        <v>46686</v>
      </c>
      <c r="W4197" t="s">
        <v>38143</v>
      </c>
      <c r="X4197" t="s">
        <v>41254</v>
      </c>
    </row>
    <row r="4198" spans="1:24">
      <c r="A4198">
        <f>HYPERLINK("https://www.philgeps.gov.ph/GEPSNONPILOT/Tender/SplashBidNoticeAbstractUI.aspx?menuIndex=3&amp;refID=7075406&amp;Result=3","7075406")</f>
        <v>0</v>
      </c>
      <c r="B4198" t="s">
        <v>673</v>
      </c>
      <c r="C4198" t="s">
        <v>7413</v>
      </c>
      <c r="D4198" t="s">
        <v>16639</v>
      </c>
      <c r="E4198" t="s">
        <v>20488</v>
      </c>
      <c r="F4198" t="s">
        <v>28669</v>
      </c>
      <c r="G4198" t="s">
        <v>28676</v>
      </c>
      <c r="H4198" t="s">
        <v>9998</v>
      </c>
      <c r="I4198" t="s">
        <v>28699</v>
      </c>
      <c r="J4198" t="s">
        <v>31515</v>
      </c>
      <c r="K4198" t="s">
        <v>37206</v>
      </c>
      <c r="M4198" t="s">
        <v>38176</v>
      </c>
      <c r="N4198" t="s">
        <v>41249</v>
      </c>
      <c r="O4198" t="s">
        <v>41250</v>
      </c>
      <c r="P4198">
        <v>0</v>
      </c>
      <c r="Q4198">
        <v>1</v>
      </c>
      <c r="R4198" t="s">
        <v>41252</v>
      </c>
      <c r="S4198" t="s">
        <v>41383</v>
      </c>
      <c r="T4198" t="s">
        <v>42742</v>
      </c>
      <c r="U4198" t="s">
        <v>46687</v>
      </c>
      <c r="W4198" t="s">
        <v>38176</v>
      </c>
      <c r="X4198" t="s">
        <v>41254</v>
      </c>
    </row>
    <row r="4199" spans="1:24">
      <c r="A4199">
        <f>HYPERLINK("https://www.philgeps.gov.ph/GEPSNONPILOT/Tender/SplashBidNoticeAbstractUI.aspx?menuIndex=3&amp;refID=7075509&amp;Result=3","7075509")</f>
        <v>0</v>
      </c>
      <c r="B4199" t="s">
        <v>990</v>
      </c>
      <c r="C4199" t="s">
        <v>7414</v>
      </c>
      <c r="D4199" t="s">
        <v>16658</v>
      </c>
      <c r="E4199" t="s">
        <v>20489</v>
      </c>
      <c r="F4199" t="s">
        <v>28669</v>
      </c>
      <c r="G4199" t="s">
        <v>28676</v>
      </c>
      <c r="H4199" t="s">
        <v>9998</v>
      </c>
      <c r="I4199" t="s">
        <v>5213</v>
      </c>
      <c r="J4199" t="s">
        <v>31516</v>
      </c>
      <c r="K4199" t="s">
        <v>37209</v>
      </c>
      <c r="M4199" t="s">
        <v>38517</v>
      </c>
      <c r="N4199" t="s">
        <v>41249</v>
      </c>
      <c r="O4199" t="s">
        <v>41250</v>
      </c>
      <c r="P4199">
        <v>0</v>
      </c>
      <c r="Q4199">
        <v>0</v>
      </c>
      <c r="R4199" t="s">
        <v>41252</v>
      </c>
      <c r="S4199" t="s">
        <v>41383</v>
      </c>
      <c r="T4199" t="s">
        <v>42729</v>
      </c>
      <c r="U4199" t="s">
        <v>45220</v>
      </c>
      <c r="W4199" t="s">
        <v>38517</v>
      </c>
      <c r="X4199" t="s">
        <v>41254</v>
      </c>
    </row>
    <row r="4200" spans="1:24">
      <c r="A4200">
        <f>HYPERLINK("https://www.philgeps.gov.ph/GEPSNONPILOT/Tender/SplashBidNoticeAbstractUI.aspx?menuIndex=3&amp;refID=7075507&amp;Result=3","7075507")</f>
        <v>0</v>
      </c>
      <c r="B4200" t="s">
        <v>1522</v>
      </c>
      <c r="C4200" t="s">
        <v>7415</v>
      </c>
      <c r="D4200" t="s">
        <v>16686</v>
      </c>
      <c r="E4200" t="s">
        <v>20490</v>
      </c>
      <c r="F4200" t="s">
        <v>28669</v>
      </c>
      <c r="G4200" t="s">
        <v>28675</v>
      </c>
      <c r="H4200" t="s">
        <v>9998</v>
      </c>
      <c r="I4200" t="s">
        <v>7352</v>
      </c>
      <c r="J4200" t="s">
        <v>31517</v>
      </c>
      <c r="K4200" t="s">
        <v>37210</v>
      </c>
      <c r="M4200" t="s">
        <v>39096</v>
      </c>
      <c r="N4200" t="s">
        <v>41249</v>
      </c>
      <c r="O4200" t="s">
        <v>41250</v>
      </c>
      <c r="P4200">
        <v>0</v>
      </c>
      <c r="Q4200">
        <v>1</v>
      </c>
      <c r="R4200" t="s">
        <v>41252</v>
      </c>
      <c r="S4200" t="s">
        <v>41383</v>
      </c>
      <c r="T4200" t="s">
        <v>42778</v>
      </c>
      <c r="U4200" t="s">
        <v>46688</v>
      </c>
      <c r="W4200" t="s">
        <v>39096</v>
      </c>
      <c r="X4200" t="s">
        <v>41254</v>
      </c>
    </row>
    <row r="4201" spans="1:24">
      <c r="A4201">
        <f>HYPERLINK("https://www.philgeps.gov.ph/GEPSNONPILOT/Tender/SplashBidNoticeAbstractUI.aspx?menuIndex=3&amp;refID=7075505&amp;Result=3","7075505")</f>
        <v>0</v>
      </c>
      <c r="B4201" t="s">
        <v>812</v>
      </c>
      <c r="C4201" t="s">
        <v>7416</v>
      </c>
      <c r="D4201" t="s">
        <v>16658</v>
      </c>
      <c r="E4201" t="s">
        <v>20491</v>
      </c>
      <c r="F4201" t="s">
        <v>28669</v>
      </c>
      <c r="G4201" t="s">
        <v>28675</v>
      </c>
      <c r="H4201" t="s">
        <v>9998</v>
      </c>
      <c r="I4201" t="s">
        <v>3718</v>
      </c>
      <c r="J4201" t="s">
        <v>31518</v>
      </c>
      <c r="K4201" t="s">
        <v>37205</v>
      </c>
      <c r="M4201" t="s">
        <v>38327</v>
      </c>
      <c r="N4201" t="s">
        <v>41249</v>
      </c>
      <c r="O4201" t="s">
        <v>41250</v>
      </c>
      <c r="P4201">
        <v>0</v>
      </c>
      <c r="Q4201">
        <v>7</v>
      </c>
      <c r="R4201" t="s">
        <v>41252</v>
      </c>
      <c r="S4201" t="s">
        <v>41383</v>
      </c>
      <c r="T4201" t="s">
        <v>42855</v>
      </c>
      <c r="U4201" t="s">
        <v>46689</v>
      </c>
      <c r="W4201" t="s">
        <v>38327</v>
      </c>
      <c r="X4201" t="s">
        <v>41254</v>
      </c>
    </row>
    <row r="4202" spans="1:24">
      <c r="A4202">
        <f>HYPERLINK("https://www.philgeps.gov.ph/GEPSNONPILOT/Tender/SplashBidNoticeAbstractUI.aspx?menuIndex=3&amp;refID=7075511&amp;Result=3","7075511")</f>
        <v>0</v>
      </c>
      <c r="B4202" t="s">
        <v>807</v>
      </c>
      <c r="C4202" t="s">
        <v>7417</v>
      </c>
      <c r="D4202" t="s">
        <v>16633</v>
      </c>
      <c r="E4202" t="s">
        <v>20492</v>
      </c>
      <c r="F4202" t="s">
        <v>28669</v>
      </c>
      <c r="G4202" t="s">
        <v>28676</v>
      </c>
      <c r="H4202" t="s">
        <v>28686</v>
      </c>
      <c r="I4202" t="s">
        <v>28689</v>
      </c>
      <c r="J4202" t="s">
        <v>31519</v>
      </c>
      <c r="K4202" t="s">
        <v>37209</v>
      </c>
      <c r="M4202" t="s">
        <v>38322</v>
      </c>
      <c r="N4202" t="s">
        <v>41249</v>
      </c>
      <c r="O4202" t="s">
        <v>41250</v>
      </c>
      <c r="P4202">
        <v>0</v>
      </c>
      <c r="Q4202">
        <v>1</v>
      </c>
      <c r="R4202" t="s">
        <v>41252</v>
      </c>
      <c r="S4202" t="s">
        <v>41383</v>
      </c>
      <c r="T4202" t="s">
        <v>42729</v>
      </c>
      <c r="U4202" t="s">
        <v>46690</v>
      </c>
      <c r="V4202" t="s">
        <v>54630</v>
      </c>
      <c r="W4202" t="s">
        <v>38322</v>
      </c>
      <c r="X4202" t="s">
        <v>41254</v>
      </c>
    </row>
    <row r="4203" spans="1:24">
      <c r="A4203">
        <f>HYPERLINK("https://www.philgeps.gov.ph/GEPSNONPILOT/Tender/SplashBidNoticeAbstractUI.aspx?menuIndex=3&amp;refID=7075510&amp;Result=3","7075510")</f>
        <v>0</v>
      </c>
      <c r="B4203" t="s">
        <v>1124</v>
      </c>
      <c r="C4203" t="s">
        <v>7418</v>
      </c>
      <c r="E4203" t="s">
        <v>20493</v>
      </c>
      <c r="F4203" t="s">
        <v>28669</v>
      </c>
      <c r="G4203" t="s">
        <v>28676</v>
      </c>
      <c r="H4203" t="s">
        <v>9998</v>
      </c>
      <c r="I4203" t="s">
        <v>28728</v>
      </c>
      <c r="J4203" t="s">
        <v>29225</v>
      </c>
      <c r="K4203" t="s">
        <v>37209</v>
      </c>
      <c r="M4203" t="s">
        <v>38883</v>
      </c>
      <c r="N4203" t="s">
        <v>41249</v>
      </c>
      <c r="O4203" t="s">
        <v>41250</v>
      </c>
      <c r="P4203">
        <v>0</v>
      </c>
      <c r="Q4203">
        <v>0</v>
      </c>
      <c r="R4203" t="s">
        <v>41252</v>
      </c>
      <c r="S4203" t="s">
        <v>41383</v>
      </c>
      <c r="T4203" t="s">
        <v>42729</v>
      </c>
      <c r="U4203" t="s">
        <v>46691</v>
      </c>
      <c r="W4203" t="s">
        <v>38883</v>
      </c>
      <c r="X4203" t="s">
        <v>41254</v>
      </c>
    </row>
    <row r="4204" spans="1:24">
      <c r="A4204">
        <f>HYPERLINK("https://www.philgeps.gov.ph/GEPSNONPILOT/Tender/SplashBidNoticeAbstractUI.aspx?menuIndex=3&amp;refID=7075525&amp;Result=3","7075525")</f>
        <v>0</v>
      </c>
      <c r="B4204" t="s">
        <v>1540</v>
      </c>
      <c r="C4204" t="s">
        <v>7419</v>
      </c>
      <c r="D4204" t="s">
        <v>16608</v>
      </c>
      <c r="E4204" t="s">
        <v>20494</v>
      </c>
      <c r="F4204" t="s">
        <v>28669</v>
      </c>
      <c r="G4204" t="s">
        <v>28677</v>
      </c>
      <c r="H4204" t="s">
        <v>28684</v>
      </c>
      <c r="I4204" t="s">
        <v>6458</v>
      </c>
      <c r="J4204" t="s">
        <v>28834</v>
      </c>
      <c r="K4204" t="s">
        <v>37204</v>
      </c>
      <c r="M4204" t="s">
        <v>39115</v>
      </c>
      <c r="N4204" t="s">
        <v>41249</v>
      </c>
      <c r="O4204" t="s">
        <v>41250</v>
      </c>
      <c r="P4204">
        <v>0</v>
      </c>
      <c r="Q4204">
        <v>4</v>
      </c>
      <c r="R4204" t="s">
        <v>41252</v>
      </c>
      <c r="S4204" t="s">
        <v>41383</v>
      </c>
      <c r="T4204" t="s">
        <v>42784</v>
      </c>
      <c r="U4204" t="s">
        <v>46692</v>
      </c>
      <c r="W4204" t="s">
        <v>39115</v>
      </c>
      <c r="X4204" t="s">
        <v>41254</v>
      </c>
    </row>
    <row r="4205" spans="1:24">
      <c r="A4205">
        <f>HYPERLINK("https://www.philgeps.gov.ph/GEPSNONPILOT/Tender/SplashBidNoticeAbstractUI.aspx?menuIndex=3&amp;refID=7075523&amp;Result=3","7075523")</f>
        <v>0</v>
      </c>
      <c r="B4205" t="s">
        <v>582</v>
      </c>
      <c r="C4205" t="s">
        <v>7420</v>
      </c>
      <c r="D4205" t="s">
        <v>16659</v>
      </c>
      <c r="E4205" t="s">
        <v>20495</v>
      </c>
      <c r="F4205" t="s">
        <v>28669</v>
      </c>
      <c r="G4205" t="s">
        <v>28675</v>
      </c>
      <c r="H4205" t="s">
        <v>28686</v>
      </c>
      <c r="I4205" t="s">
        <v>28689</v>
      </c>
      <c r="J4205" t="s">
        <v>31520</v>
      </c>
      <c r="K4205" t="s">
        <v>37213</v>
      </c>
      <c r="M4205" t="s">
        <v>38081</v>
      </c>
      <c r="N4205" t="s">
        <v>41249</v>
      </c>
      <c r="O4205" t="s">
        <v>41250</v>
      </c>
      <c r="P4205">
        <v>0</v>
      </c>
      <c r="Q4205">
        <v>7</v>
      </c>
      <c r="R4205" t="s">
        <v>41252</v>
      </c>
      <c r="S4205" t="s">
        <v>41383</v>
      </c>
      <c r="T4205" t="s">
        <v>42779</v>
      </c>
      <c r="U4205" t="s">
        <v>46693</v>
      </c>
      <c r="W4205" t="s">
        <v>38081</v>
      </c>
      <c r="X4205" t="s">
        <v>41254</v>
      </c>
    </row>
    <row r="4206" spans="1:24">
      <c r="A4206">
        <f>HYPERLINK("https://www.philgeps.gov.ph/GEPSNONPILOT/Tender/SplashBidNoticeAbstractUI.aspx?menuIndex=3&amp;refID=7075514&amp;Result=3","7075514")</f>
        <v>0</v>
      </c>
      <c r="B4206" t="s">
        <v>1541</v>
      </c>
      <c r="C4206" t="s">
        <v>7421</v>
      </c>
      <c r="D4206" t="s">
        <v>16608</v>
      </c>
      <c r="E4206" t="s">
        <v>20496</v>
      </c>
      <c r="F4206" t="s">
        <v>28669</v>
      </c>
      <c r="G4206" t="s">
        <v>28676</v>
      </c>
      <c r="H4206" t="s">
        <v>9998</v>
      </c>
      <c r="I4206" t="s">
        <v>28735</v>
      </c>
      <c r="J4206" t="s">
        <v>31521</v>
      </c>
      <c r="K4206" t="s">
        <v>37204</v>
      </c>
      <c r="M4206" t="s">
        <v>39116</v>
      </c>
      <c r="N4206" t="s">
        <v>41249</v>
      </c>
      <c r="O4206" t="s">
        <v>41250</v>
      </c>
      <c r="P4206">
        <v>0</v>
      </c>
      <c r="Q4206">
        <v>4</v>
      </c>
      <c r="R4206" t="s">
        <v>41252</v>
      </c>
      <c r="S4206" t="s">
        <v>41383</v>
      </c>
      <c r="T4206" t="s">
        <v>42867</v>
      </c>
      <c r="U4206" t="s">
        <v>46694</v>
      </c>
      <c r="W4206" t="s">
        <v>39116</v>
      </c>
      <c r="X4206" t="s">
        <v>41254</v>
      </c>
    </row>
    <row r="4207" spans="1:24">
      <c r="A4207">
        <f>HYPERLINK("https://www.philgeps.gov.ph/GEPSNONPILOT/Tender/SplashBidNoticeAbstractUI.aspx?menuIndex=3&amp;refID=7075522&amp;Result=3","7075522")</f>
        <v>0</v>
      </c>
      <c r="B4207" t="s">
        <v>1542</v>
      </c>
      <c r="C4207" t="s">
        <v>7422</v>
      </c>
      <c r="D4207" t="s">
        <v>16640</v>
      </c>
      <c r="E4207" t="s">
        <v>20497</v>
      </c>
      <c r="F4207" t="s">
        <v>28669</v>
      </c>
      <c r="G4207" t="s">
        <v>28676</v>
      </c>
      <c r="H4207" t="s">
        <v>9998</v>
      </c>
      <c r="I4207" t="s">
        <v>28726</v>
      </c>
      <c r="J4207" t="s">
        <v>28826</v>
      </c>
      <c r="K4207" t="s">
        <v>37209</v>
      </c>
      <c r="M4207" t="s">
        <v>39117</v>
      </c>
      <c r="N4207" t="s">
        <v>41249</v>
      </c>
      <c r="O4207" t="s">
        <v>41250</v>
      </c>
      <c r="P4207">
        <v>0</v>
      </c>
      <c r="Q4207">
        <v>0</v>
      </c>
      <c r="R4207" t="s">
        <v>41252</v>
      </c>
      <c r="S4207" t="s">
        <v>41383</v>
      </c>
      <c r="T4207" t="s">
        <v>42729</v>
      </c>
      <c r="U4207" t="s">
        <v>46695</v>
      </c>
      <c r="W4207" t="s">
        <v>39117</v>
      </c>
      <c r="X4207" t="s">
        <v>41254</v>
      </c>
    </row>
    <row r="4208" spans="1:24">
      <c r="A4208">
        <f>HYPERLINK("https://www.philgeps.gov.ph/GEPSNONPILOT/Tender/SplashBidNoticeAbstractUI.aspx?menuIndex=3&amp;refID=7075521&amp;Result=3","7075521")</f>
        <v>0</v>
      </c>
      <c r="B4208" t="s">
        <v>532</v>
      </c>
      <c r="C4208" t="s">
        <v>7423</v>
      </c>
      <c r="D4208" t="s">
        <v>16675</v>
      </c>
      <c r="E4208" t="s">
        <v>20498</v>
      </c>
      <c r="F4208" t="s">
        <v>28669</v>
      </c>
      <c r="G4208" t="s">
        <v>28675</v>
      </c>
      <c r="H4208" t="s">
        <v>9998</v>
      </c>
      <c r="I4208" t="s">
        <v>28704</v>
      </c>
      <c r="J4208" t="s">
        <v>31522</v>
      </c>
      <c r="K4208" t="s">
        <v>37205</v>
      </c>
      <c r="M4208" t="s">
        <v>38023</v>
      </c>
      <c r="N4208" t="s">
        <v>41249</v>
      </c>
      <c r="O4208" t="s">
        <v>41250</v>
      </c>
      <c r="P4208">
        <v>0</v>
      </c>
      <c r="Q4208">
        <v>0</v>
      </c>
      <c r="R4208" t="s">
        <v>41252</v>
      </c>
      <c r="S4208" t="s">
        <v>41383</v>
      </c>
      <c r="T4208" t="s">
        <v>42714</v>
      </c>
      <c r="U4208" t="s">
        <v>46696</v>
      </c>
      <c r="W4208" t="s">
        <v>38023</v>
      </c>
      <c r="X4208" t="s">
        <v>41254</v>
      </c>
    </row>
    <row r="4209" spans="1:24">
      <c r="A4209">
        <f>HYPERLINK("https://www.philgeps.gov.ph/GEPSNONPILOT/Tender/SplashBidNoticeAbstractUI.aspx?menuIndex=3&amp;refID=7075519&amp;Result=3","7075519")</f>
        <v>0</v>
      </c>
      <c r="B4209" t="s">
        <v>1515</v>
      </c>
      <c r="C4209" t="s">
        <v>7424</v>
      </c>
      <c r="D4209" t="s">
        <v>16678</v>
      </c>
      <c r="E4209" t="s">
        <v>20499</v>
      </c>
      <c r="F4209" t="s">
        <v>28669</v>
      </c>
      <c r="G4209" t="s">
        <v>28676</v>
      </c>
      <c r="H4209" t="s">
        <v>9998</v>
      </c>
      <c r="I4209" t="s">
        <v>15140</v>
      </c>
      <c r="J4209" t="s">
        <v>31523</v>
      </c>
      <c r="K4209" t="s">
        <v>37206</v>
      </c>
      <c r="M4209" t="s">
        <v>39089</v>
      </c>
      <c r="N4209" t="s">
        <v>41249</v>
      </c>
      <c r="O4209" t="s">
        <v>41250</v>
      </c>
      <c r="P4209">
        <v>0</v>
      </c>
      <c r="Q4209">
        <v>0</v>
      </c>
      <c r="R4209" t="s">
        <v>41252</v>
      </c>
      <c r="S4209" t="s">
        <v>41383</v>
      </c>
      <c r="T4209" t="s">
        <v>42736</v>
      </c>
      <c r="U4209" t="s">
        <v>46697</v>
      </c>
      <c r="W4209" t="s">
        <v>39089</v>
      </c>
      <c r="X4209" t="s">
        <v>41254</v>
      </c>
    </row>
    <row r="4210" spans="1:24">
      <c r="A4210">
        <f>HYPERLINK("https://www.philgeps.gov.ph/GEPSNONPILOT/Tender/SplashBidNoticeAbstractUI.aspx?menuIndex=3&amp;refID=7075520&amp;Result=3","7075520")</f>
        <v>0</v>
      </c>
      <c r="B4210" t="s">
        <v>1264</v>
      </c>
      <c r="C4210" t="s">
        <v>7425</v>
      </c>
      <c r="D4210" t="s">
        <v>16608</v>
      </c>
      <c r="E4210" t="s">
        <v>20500</v>
      </c>
      <c r="F4210" t="s">
        <v>28669</v>
      </c>
      <c r="G4210" t="s">
        <v>28676</v>
      </c>
      <c r="H4210" t="s">
        <v>9998</v>
      </c>
      <c r="I4210" t="s">
        <v>28700</v>
      </c>
      <c r="J4210" t="s">
        <v>28894</v>
      </c>
      <c r="K4210" t="s">
        <v>37243</v>
      </c>
      <c r="M4210" t="s">
        <v>38813</v>
      </c>
      <c r="N4210" t="s">
        <v>41249</v>
      </c>
      <c r="O4210" t="s">
        <v>41250</v>
      </c>
      <c r="P4210">
        <v>0</v>
      </c>
      <c r="Q4210">
        <v>8</v>
      </c>
      <c r="R4210" t="s">
        <v>41252</v>
      </c>
      <c r="S4210" t="s">
        <v>41383</v>
      </c>
      <c r="T4210" t="s">
        <v>42867</v>
      </c>
      <c r="U4210" t="s">
        <v>46698</v>
      </c>
      <c r="V4210" t="s">
        <v>54616</v>
      </c>
      <c r="W4210" t="s">
        <v>38813</v>
      </c>
      <c r="X4210" t="s">
        <v>41254</v>
      </c>
    </row>
    <row r="4211" spans="1:24">
      <c r="A4211">
        <f>HYPERLINK("https://www.philgeps.gov.ph/GEPSNONPILOT/Tender/SplashBidNoticeAbstractUI.aspx?menuIndex=3&amp;refID=7075531&amp;Result=3","7075531")</f>
        <v>0</v>
      </c>
      <c r="B4211" t="s">
        <v>1515</v>
      </c>
      <c r="C4211" t="s">
        <v>7313</v>
      </c>
      <c r="D4211" t="s">
        <v>16678</v>
      </c>
      <c r="E4211" t="s">
        <v>20501</v>
      </c>
      <c r="F4211" t="s">
        <v>28669</v>
      </c>
      <c r="G4211" t="s">
        <v>28676</v>
      </c>
      <c r="H4211" t="s">
        <v>9998</v>
      </c>
      <c r="I4211" t="s">
        <v>28695</v>
      </c>
      <c r="J4211" t="s">
        <v>29186</v>
      </c>
      <c r="K4211" t="s">
        <v>37220</v>
      </c>
      <c r="M4211" t="s">
        <v>39089</v>
      </c>
      <c r="N4211" t="s">
        <v>41249</v>
      </c>
      <c r="O4211" t="s">
        <v>41250</v>
      </c>
      <c r="P4211">
        <v>0</v>
      </c>
      <c r="Q4211">
        <v>0</v>
      </c>
      <c r="R4211" t="s">
        <v>41252</v>
      </c>
      <c r="S4211" t="s">
        <v>41383</v>
      </c>
      <c r="T4211" t="s">
        <v>42736</v>
      </c>
      <c r="U4211" t="s">
        <v>46600</v>
      </c>
      <c r="W4211" t="s">
        <v>39089</v>
      </c>
      <c r="X4211" t="s">
        <v>41254</v>
      </c>
    </row>
    <row r="4212" spans="1:24">
      <c r="A4212">
        <f>HYPERLINK("https://www.philgeps.gov.ph/GEPSNONPILOT/Tender/SplashBidNoticeAbstractUI.aspx?menuIndex=3&amp;refID=7075546&amp;Result=3","7075546")</f>
        <v>0</v>
      </c>
      <c r="B4212" t="s">
        <v>642</v>
      </c>
      <c r="C4212" t="s">
        <v>7426</v>
      </c>
      <c r="D4212" t="s">
        <v>16655</v>
      </c>
      <c r="E4212" t="s">
        <v>20502</v>
      </c>
      <c r="F4212" t="s">
        <v>28669</v>
      </c>
      <c r="G4212" t="s">
        <v>28676</v>
      </c>
      <c r="H4212" t="s">
        <v>9998</v>
      </c>
      <c r="I4212" t="s">
        <v>28760</v>
      </c>
      <c r="J4212" t="s">
        <v>31524</v>
      </c>
      <c r="K4212" t="s">
        <v>37205</v>
      </c>
      <c r="M4212" t="s">
        <v>38143</v>
      </c>
      <c r="N4212" t="s">
        <v>41249</v>
      </c>
      <c r="O4212" t="s">
        <v>41250</v>
      </c>
      <c r="P4212">
        <v>0</v>
      </c>
      <c r="Q4212">
        <v>0</v>
      </c>
      <c r="R4212" t="s">
        <v>41252</v>
      </c>
      <c r="S4212" t="s">
        <v>41383</v>
      </c>
      <c r="T4212" t="s">
        <v>42686</v>
      </c>
      <c r="U4212" t="s">
        <v>46699</v>
      </c>
      <c r="W4212" t="s">
        <v>38143</v>
      </c>
      <c r="X4212" t="s">
        <v>41254</v>
      </c>
    </row>
    <row r="4213" spans="1:24">
      <c r="A4213">
        <f>HYPERLINK("https://www.philgeps.gov.ph/GEPSNONPILOT/Tender/SplashBidNoticeAbstractUI.aspx?menuIndex=3&amp;refID=7075518&amp;Result=3","7075518")</f>
        <v>0</v>
      </c>
      <c r="B4213" t="s">
        <v>133</v>
      </c>
      <c r="C4213" t="s">
        <v>7427</v>
      </c>
      <c r="E4213" t="s">
        <v>20503</v>
      </c>
      <c r="F4213" t="s">
        <v>28669</v>
      </c>
      <c r="G4213" t="s">
        <v>28676</v>
      </c>
      <c r="H4213" t="s">
        <v>9998</v>
      </c>
      <c r="I4213" t="s">
        <v>7352</v>
      </c>
      <c r="J4213" t="s">
        <v>31525</v>
      </c>
      <c r="K4213" t="s">
        <v>37210</v>
      </c>
      <c r="M4213" t="s">
        <v>37610</v>
      </c>
      <c r="N4213" t="s">
        <v>41249</v>
      </c>
      <c r="O4213" t="s">
        <v>41250</v>
      </c>
      <c r="P4213">
        <v>0</v>
      </c>
      <c r="Q4213">
        <v>1</v>
      </c>
      <c r="R4213" t="s">
        <v>41252</v>
      </c>
      <c r="S4213" t="s">
        <v>41383</v>
      </c>
      <c r="T4213" t="s">
        <v>42783</v>
      </c>
      <c r="U4213" t="s">
        <v>46700</v>
      </c>
      <c r="V4213" t="s">
        <v>54670</v>
      </c>
      <c r="W4213" t="s">
        <v>37610</v>
      </c>
      <c r="X4213" t="s">
        <v>41254</v>
      </c>
    </row>
    <row r="4214" spans="1:24">
      <c r="A4214">
        <f>HYPERLINK("https://www.philgeps.gov.ph/GEPSNONPILOT/Tender/SplashBidNoticeAbstractUI.aspx?menuIndex=3&amp;refID=7075545&amp;Result=3","7075545")</f>
        <v>0</v>
      </c>
      <c r="B4214" t="s">
        <v>582</v>
      </c>
      <c r="C4214" t="s">
        <v>7428</v>
      </c>
      <c r="D4214" t="s">
        <v>16659</v>
      </c>
      <c r="E4214" t="s">
        <v>20504</v>
      </c>
      <c r="F4214" t="s">
        <v>28669</v>
      </c>
      <c r="G4214" t="s">
        <v>28675</v>
      </c>
      <c r="H4214" t="s">
        <v>28686</v>
      </c>
      <c r="I4214" t="s">
        <v>28689</v>
      </c>
      <c r="J4214" t="s">
        <v>31526</v>
      </c>
      <c r="K4214" t="s">
        <v>37213</v>
      </c>
      <c r="M4214" t="s">
        <v>38081</v>
      </c>
      <c r="N4214" t="s">
        <v>41249</v>
      </c>
      <c r="O4214" t="s">
        <v>41250</v>
      </c>
      <c r="P4214">
        <v>0</v>
      </c>
      <c r="Q4214">
        <v>7</v>
      </c>
      <c r="R4214" t="s">
        <v>41252</v>
      </c>
      <c r="S4214" t="s">
        <v>41383</v>
      </c>
      <c r="T4214" t="s">
        <v>42716</v>
      </c>
      <c r="U4214" t="s">
        <v>46701</v>
      </c>
      <c r="W4214" t="s">
        <v>38081</v>
      </c>
      <c r="X4214" t="s">
        <v>41254</v>
      </c>
    </row>
    <row r="4215" spans="1:24">
      <c r="A4215">
        <f>HYPERLINK("https://www.philgeps.gov.ph/GEPSNONPILOT/Tender/SplashBidNoticeAbstractUI.aspx?menuIndex=3&amp;refID=7075544&amp;Result=3","7075544")</f>
        <v>0</v>
      </c>
      <c r="B4215" t="s">
        <v>1027</v>
      </c>
      <c r="C4215" t="s">
        <v>7429</v>
      </c>
      <c r="D4215" t="s">
        <v>16624</v>
      </c>
      <c r="E4215" t="s">
        <v>20505</v>
      </c>
      <c r="F4215" t="s">
        <v>28669</v>
      </c>
      <c r="G4215" t="s">
        <v>28676</v>
      </c>
      <c r="H4215" t="s">
        <v>9998</v>
      </c>
      <c r="I4215" t="s">
        <v>8667</v>
      </c>
      <c r="J4215" t="s">
        <v>31527</v>
      </c>
      <c r="K4215" t="s">
        <v>37216</v>
      </c>
      <c r="M4215" t="s">
        <v>38558</v>
      </c>
      <c r="N4215" t="s">
        <v>41249</v>
      </c>
      <c r="O4215" t="s">
        <v>41250</v>
      </c>
      <c r="P4215">
        <v>0</v>
      </c>
      <c r="Q4215">
        <v>0</v>
      </c>
      <c r="R4215" t="s">
        <v>41252</v>
      </c>
      <c r="S4215" t="s">
        <v>41383</v>
      </c>
      <c r="T4215" t="s">
        <v>42729</v>
      </c>
      <c r="U4215" t="s">
        <v>46702</v>
      </c>
      <c r="W4215" t="s">
        <v>38558</v>
      </c>
      <c r="X4215" t="s">
        <v>41254</v>
      </c>
    </row>
    <row r="4216" spans="1:24">
      <c r="A4216">
        <f>HYPERLINK("https://www.philgeps.gov.ph/GEPSNONPILOT/Tender/SplashBidNoticeAbstractUI.aspx?menuIndex=3&amp;refID=7075543&amp;Result=3","7075543")</f>
        <v>0</v>
      </c>
      <c r="B4216" t="s">
        <v>1543</v>
      </c>
      <c r="C4216" t="s">
        <v>7430</v>
      </c>
      <c r="D4216" t="s">
        <v>16607</v>
      </c>
      <c r="E4216" t="s">
        <v>20506</v>
      </c>
      <c r="F4216" t="s">
        <v>28669</v>
      </c>
      <c r="G4216" t="s">
        <v>28676</v>
      </c>
      <c r="H4216" t="s">
        <v>9998</v>
      </c>
      <c r="I4216" t="s">
        <v>28690</v>
      </c>
      <c r="J4216" t="s">
        <v>28905</v>
      </c>
      <c r="K4216" t="s">
        <v>37204</v>
      </c>
      <c r="M4216" t="s">
        <v>39118</v>
      </c>
      <c r="N4216" t="s">
        <v>41249</v>
      </c>
      <c r="O4216" t="s">
        <v>41250</v>
      </c>
      <c r="P4216">
        <v>0</v>
      </c>
      <c r="Q4216">
        <v>1</v>
      </c>
      <c r="R4216" t="s">
        <v>41252</v>
      </c>
      <c r="S4216" t="s">
        <v>41383</v>
      </c>
      <c r="T4216" t="s">
        <v>42736</v>
      </c>
      <c r="U4216" t="s">
        <v>46703</v>
      </c>
      <c r="V4216" t="s">
        <v>54713</v>
      </c>
      <c r="W4216" t="s">
        <v>39118</v>
      </c>
      <c r="X4216" t="s">
        <v>41254</v>
      </c>
    </row>
    <row r="4217" spans="1:24">
      <c r="A4217">
        <f>HYPERLINK("https://www.philgeps.gov.ph/GEPSNONPILOT/Tender/SplashBidNoticeAbstractUI.aspx?menuIndex=3&amp;refID=7075542&amp;Result=3","7075542")</f>
        <v>0</v>
      </c>
      <c r="B4217" t="s">
        <v>1059</v>
      </c>
      <c r="C4217" t="s">
        <v>7431</v>
      </c>
      <c r="D4217" t="s">
        <v>16612</v>
      </c>
      <c r="E4217" t="s">
        <v>20507</v>
      </c>
      <c r="F4217" t="s">
        <v>28669</v>
      </c>
      <c r="G4217" t="s">
        <v>28679</v>
      </c>
      <c r="H4217" t="s">
        <v>9998</v>
      </c>
      <c r="I4217" t="s">
        <v>28734</v>
      </c>
      <c r="J4217" t="s">
        <v>28905</v>
      </c>
      <c r="K4217" t="s">
        <v>37205</v>
      </c>
      <c r="M4217" t="s">
        <v>38590</v>
      </c>
      <c r="N4217" t="s">
        <v>41249</v>
      </c>
      <c r="O4217" t="s">
        <v>41250</v>
      </c>
      <c r="P4217">
        <v>0</v>
      </c>
      <c r="Q4217">
        <v>2</v>
      </c>
      <c r="R4217" t="s">
        <v>41252</v>
      </c>
      <c r="S4217" t="s">
        <v>41383</v>
      </c>
      <c r="T4217" t="s">
        <v>42759</v>
      </c>
      <c r="U4217" t="s">
        <v>46704</v>
      </c>
      <c r="W4217" t="s">
        <v>38590</v>
      </c>
      <c r="X4217" t="s">
        <v>41254</v>
      </c>
    </row>
    <row r="4218" spans="1:24">
      <c r="A4218">
        <f>HYPERLINK("https://www.philgeps.gov.ph/GEPSNONPILOT/Tender/SplashBidNoticeAbstractUI.aspx?menuIndex=3&amp;refID=7075541&amp;Result=3","7075541")</f>
        <v>0</v>
      </c>
      <c r="B4218" t="s">
        <v>133</v>
      </c>
      <c r="C4218" t="s">
        <v>7432</v>
      </c>
      <c r="E4218" t="s">
        <v>20508</v>
      </c>
      <c r="F4218" t="s">
        <v>28669</v>
      </c>
      <c r="G4218" t="s">
        <v>28676</v>
      </c>
      <c r="H4218" t="s">
        <v>9998</v>
      </c>
      <c r="I4218" t="s">
        <v>7352</v>
      </c>
      <c r="J4218" t="s">
        <v>31528</v>
      </c>
      <c r="K4218" t="s">
        <v>37210</v>
      </c>
      <c r="M4218" t="s">
        <v>37610</v>
      </c>
      <c r="N4218" t="s">
        <v>41249</v>
      </c>
      <c r="O4218" t="s">
        <v>41250</v>
      </c>
      <c r="P4218">
        <v>0</v>
      </c>
      <c r="Q4218">
        <v>1</v>
      </c>
      <c r="R4218" t="s">
        <v>41252</v>
      </c>
      <c r="S4218" t="s">
        <v>41383</v>
      </c>
      <c r="T4218" t="s">
        <v>42783</v>
      </c>
      <c r="U4218" t="s">
        <v>46705</v>
      </c>
      <c r="V4218" t="s">
        <v>54670</v>
      </c>
      <c r="W4218" t="s">
        <v>37610</v>
      </c>
      <c r="X4218" t="s">
        <v>41254</v>
      </c>
    </row>
    <row r="4219" spans="1:24">
      <c r="A4219">
        <f>HYPERLINK("https://www.philgeps.gov.ph/GEPSNONPILOT/Tender/SplashBidNoticeAbstractUI.aspx?menuIndex=3&amp;refID=7075539&amp;Result=3","7075539")</f>
        <v>0</v>
      </c>
      <c r="B4219" t="s">
        <v>853</v>
      </c>
      <c r="C4219" t="s">
        <v>7433</v>
      </c>
      <c r="D4219" t="s">
        <v>16617</v>
      </c>
      <c r="E4219" t="s">
        <v>20509</v>
      </c>
      <c r="F4219" t="s">
        <v>28669</v>
      </c>
      <c r="G4219" t="s">
        <v>28675</v>
      </c>
      <c r="H4219" t="s">
        <v>28684</v>
      </c>
      <c r="I4219" t="s">
        <v>28779</v>
      </c>
      <c r="J4219" t="s">
        <v>31529</v>
      </c>
      <c r="K4219" t="s">
        <v>37220</v>
      </c>
      <c r="M4219" t="s">
        <v>38369</v>
      </c>
      <c r="N4219" t="s">
        <v>41249</v>
      </c>
      <c r="O4219" t="s">
        <v>41250</v>
      </c>
      <c r="P4219">
        <v>0</v>
      </c>
      <c r="Q4219">
        <v>4</v>
      </c>
      <c r="R4219" t="s">
        <v>41252</v>
      </c>
      <c r="S4219" t="s">
        <v>41383</v>
      </c>
      <c r="T4219" t="s">
        <v>42692</v>
      </c>
      <c r="U4219" t="s">
        <v>44874</v>
      </c>
      <c r="V4219" t="s">
        <v>54665</v>
      </c>
      <c r="W4219" t="s">
        <v>38369</v>
      </c>
      <c r="X4219" t="s">
        <v>41254</v>
      </c>
    </row>
    <row r="4220" spans="1:24">
      <c r="A4220">
        <f>HYPERLINK("https://www.philgeps.gov.ph/GEPSNONPILOT/Tender/SplashBidNoticeAbstractUI.aspx?menuIndex=3&amp;refID=7075547&amp;Result=3","7075547")</f>
        <v>0</v>
      </c>
      <c r="B4220" t="s">
        <v>1124</v>
      </c>
      <c r="C4220" t="s">
        <v>7434</v>
      </c>
      <c r="E4220" t="s">
        <v>20510</v>
      </c>
      <c r="F4220" t="s">
        <v>28669</v>
      </c>
      <c r="G4220" t="s">
        <v>28676</v>
      </c>
      <c r="H4220" t="s">
        <v>9998</v>
      </c>
      <c r="I4220" t="s">
        <v>28728</v>
      </c>
      <c r="J4220" t="s">
        <v>29225</v>
      </c>
      <c r="K4220" t="s">
        <v>37209</v>
      </c>
      <c r="M4220" t="s">
        <v>38883</v>
      </c>
      <c r="N4220" t="s">
        <v>41249</v>
      </c>
      <c r="O4220" t="s">
        <v>41250</v>
      </c>
      <c r="P4220">
        <v>0</v>
      </c>
      <c r="Q4220">
        <v>0</v>
      </c>
      <c r="R4220" t="s">
        <v>41252</v>
      </c>
      <c r="S4220" t="s">
        <v>41383</v>
      </c>
      <c r="T4220" t="s">
        <v>42729</v>
      </c>
      <c r="U4220" t="s">
        <v>46706</v>
      </c>
      <c r="W4220" t="s">
        <v>38883</v>
      </c>
      <c r="X4220" t="s">
        <v>41254</v>
      </c>
    </row>
    <row r="4221" spans="1:24">
      <c r="A4221">
        <f>HYPERLINK("https://www.philgeps.gov.ph/GEPSNONPILOT/Tender/SplashBidNoticeAbstractUI.aspx?menuIndex=3&amp;refID=7075549&amp;Result=3","7075549")</f>
        <v>0</v>
      </c>
      <c r="B4221" t="s">
        <v>1487</v>
      </c>
      <c r="C4221" t="s">
        <v>7435</v>
      </c>
      <c r="D4221" t="s">
        <v>16642</v>
      </c>
      <c r="E4221" t="s">
        <v>20511</v>
      </c>
      <c r="F4221" t="s">
        <v>28669</v>
      </c>
      <c r="G4221" t="s">
        <v>28675</v>
      </c>
      <c r="H4221" t="s">
        <v>28686</v>
      </c>
      <c r="I4221" t="s">
        <v>28689</v>
      </c>
      <c r="J4221" t="s">
        <v>29003</v>
      </c>
      <c r="K4221" t="s">
        <v>37206</v>
      </c>
      <c r="M4221" t="s">
        <v>39057</v>
      </c>
      <c r="N4221" t="s">
        <v>41249</v>
      </c>
      <c r="O4221" t="s">
        <v>41250</v>
      </c>
      <c r="P4221">
        <v>0</v>
      </c>
      <c r="Q4221">
        <v>0</v>
      </c>
      <c r="R4221" t="s">
        <v>41252</v>
      </c>
      <c r="S4221" t="s">
        <v>41383</v>
      </c>
      <c r="T4221" t="s">
        <v>42659</v>
      </c>
      <c r="U4221" t="s">
        <v>46707</v>
      </c>
      <c r="V4221" t="s">
        <v>54693</v>
      </c>
      <c r="W4221" t="s">
        <v>39057</v>
      </c>
      <c r="X4221" t="s">
        <v>41254</v>
      </c>
    </row>
    <row r="4222" spans="1:24">
      <c r="A4222">
        <f>HYPERLINK("https://www.philgeps.gov.ph/GEPSNONPILOT/Tender/SplashBidNoticeAbstractUI.aspx?menuIndex=3&amp;refID=7075548&amp;Result=3","7075548")</f>
        <v>0</v>
      </c>
      <c r="B4222" t="s">
        <v>1542</v>
      </c>
      <c r="C4222" t="s">
        <v>7436</v>
      </c>
      <c r="D4222" t="s">
        <v>16640</v>
      </c>
      <c r="E4222" t="s">
        <v>20512</v>
      </c>
      <c r="F4222" t="s">
        <v>28669</v>
      </c>
      <c r="G4222" t="s">
        <v>28676</v>
      </c>
      <c r="H4222" t="s">
        <v>9998</v>
      </c>
      <c r="I4222" t="s">
        <v>3718</v>
      </c>
      <c r="J4222" t="s">
        <v>31530</v>
      </c>
      <c r="K4222" t="s">
        <v>37209</v>
      </c>
      <c r="M4222" t="s">
        <v>39117</v>
      </c>
      <c r="N4222" t="s">
        <v>41249</v>
      </c>
      <c r="O4222" t="s">
        <v>41250</v>
      </c>
      <c r="P4222">
        <v>0</v>
      </c>
      <c r="Q4222">
        <v>12</v>
      </c>
      <c r="R4222" t="s">
        <v>41252</v>
      </c>
      <c r="S4222" t="s">
        <v>41383</v>
      </c>
      <c r="T4222" t="s">
        <v>42729</v>
      </c>
      <c r="U4222" t="s">
        <v>46695</v>
      </c>
      <c r="W4222" t="s">
        <v>39117</v>
      </c>
      <c r="X4222" t="s">
        <v>41254</v>
      </c>
    </row>
    <row r="4223" spans="1:24">
      <c r="A4223">
        <f>HYPERLINK("https://www.philgeps.gov.ph/GEPSNONPILOT/Tender/SplashBidNoticeAbstractUI.aspx?menuIndex=3&amp;refID=7075538&amp;Result=3","7075538")</f>
        <v>0</v>
      </c>
      <c r="B4223" t="s">
        <v>1539</v>
      </c>
      <c r="C4223" t="s">
        <v>7437</v>
      </c>
      <c r="D4223" t="s">
        <v>16671</v>
      </c>
      <c r="E4223" t="s">
        <v>19863</v>
      </c>
      <c r="F4223" t="s">
        <v>28669</v>
      </c>
      <c r="G4223" t="s">
        <v>28675</v>
      </c>
      <c r="H4223" t="s">
        <v>9998</v>
      </c>
      <c r="I4223" t="s">
        <v>7352</v>
      </c>
      <c r="J4223" t="s">
        <v>31531</v>
      </c>
      <c r="K4223" t="s">
        <v>37205</v>
      </c>
      <c r="M4223" t="s">
        <v>39114</v>
      </c>
      <c r="N4223" t="s">
        <v>41249</v>
      </c>
      <c r="O4223" t="s">
        <v>41250</v>
      </c>
      <c r="P4223">
        <v>0</v>
      </c>
      <c r="Q4223">
        <v>0</v>
      </c>
      <c r="R4223" t="s">
        <v>41252</v>
      </c>
      <c r="S4223" t="s">
        <v>41383</v>
      </c>
      <c r="T4223" t="s">
        <v>42690</v>
      </c>
      <c r="U4223" t="s">
        <v>46708</v>
      </c>
      <c r="W4223" t="s">
        <v>39114</v>
      </c>
      <c r="X4223" t="s">
        <v>41254</v>
      </c>
    </row>
    <row r="4224" spans="1:24">
      <c r="A4224">
        <f>HYPERLINK("https://www.philgeps.gov.ph/GEPSNONPILOT/Tender/SplashBidNoticeAbstractUI.aspx?menuIndex=3&amp;refID=7075506&amp;Result=3","7075506")</f>
        <v>0</v>
      </c>
      <c r="B4224" t="s">
        <v>1027</v>
      </c>
      <c r="C4224" t="s">
        <v>7438</v>
      </c>
      <c r="D4224" t="s">
        <v>16624</v>
      </c>
      <c r="E4224" t="s">
        <v>20513</v>
      </c>
      <c r="F4224" t="s">
        <v>28669</v>
      </c>
      <c r="G4224" t="s">
        <v>28676</v>
      </c>
      <c r="H4224" t="s">
        <v>9998</v>
      </c>
      <c r="I4224" t="s">
        <v>5213</v>
      </c>
      <c r="J4224" t="s">
        <v>31532</v>
      </c>
      <c r="K4224" t="s">
        <v>37216</v>
      </c>
      <c r="M4224" t="s">
        <v>38558</v>
      </c>
      <c r="N4224" t="s">
        <v>41249</v>
      </c>
      <c r="O4224" t="s">
        <v>41250</v>
      </c>
      <c r="P4224">
        <v>0</v>
      </c>
      <c r="Q4224">
        <v>1</v>
      </c>
      <c r="R4224" t="s">
        <v>41252</v>
      </c>
      <c r="S4224" t="s">
        <v>41383</v>
      </c>
      <c r="T4224" t="s">
        <v>42729</v>
      </c>
      <c r="U4224" t="s">
        <v>46709</v>
      </c>
      <c r="W4224" t="s">
        <v>38558</v>
      </c>
      <c r="X4224" t="s">
        <v>41254</v>
      </c>
    </row>
    <row r="4225" spans="1:24">
      <c r="A4225">
        <f>HYPERLINK("https://www.philgeps.gov.ph/GEPSNONPILOT/Tender/SplashBidNoticeAbstractUI.aspx?menuIndex=3&amp;refID=7075537&amp;Result=3","7075537")</f>
        <v>0</v>
      </c>
      <c r="B4225" t="s">
        <v>1307</v>
      </c>
      <c r="C4225" t="s">
        <v>7439</v>
      </c>
      <c r="D4225" t="s">
        <v>16693</v>
      </c>
      <c r="E4225" t="s">
        <v>20514</v>
      </c>
      <c r="F4225" t="s">
        <v>28669</v>
      </c>
      <c r="G4225" t="s">
        <v>28675</v>
      </c>
      <c r="H4225" t="s">
        <v>28685</v>
      </c>
      <c r="I4225" t="s">
        <v>28685</v>
      </c>
      <c r="J4225" t="s">
        <v>31533</v>
      </c>
      <c r="K4225" t="s">
        <v>37248</v>
      </c>
      <c r="M4225" t="s">
        <v>38859</v>
      </c>
      <c r="N4225" t="s">
        <v>41249</v>
      </c>
      <c r="O4225" t="s">
        <v>41250</v>
      </c>
      <c r="P4225">
        <v>0</v>
      </c>
      <c r="Q4225">
        <v>9</v>
      </c>
      <c r="R4225" t="s">
        <v>41252</v>
      </c>
      <c r="S4225" t="s">
        <v>41383</v>
      </c>
      <c r="T4225" t="s">
        <v>42671</v>
      </c>
      <c r="U4225" t="s">
        <v>46710</v>
      </c>
      <c r="W4225" t="s">
        <v>38859</v>
      </c>
      <c r="X4225" t="s">
        <v>41254</v>
      </c>
    </row>
    <row r="4226" spans="1:24">
      <c r="A4226">
        <f>HYPERLINK("https://www.philgeps.gov.ph/GEPSNONPILOT/Tender/SplashBidNoticeAbstractUI.aspx?menuIndex=3&amp;refID=7075535&amp;Result=3","7075535")</f>
        <v>0</v>
      </c>
      <c r="B4226" t="s">
        <v>317</v>
      </c>
      <c r="C4226" t="s">
        <v>7440</v>
      </c>
      <c r="D4226" t="s">
        <v>16608</v>
      </c>
      <c r="E4226" t="s">
        <v>20515</v>
      </c>
      <c r="F4226" t="s">
        <v>28669</v>
      </c>
      <c r="G4226" t="s">
        <v>28676</v>
      </c>
      <c r="H4226" t="s">
        <v>9998</v>
      </c>
      <c r="I4226" t="s">
        <v>28708</v>
      </c>
      <c r="J4226" t="s">
        <v>31534</v>
      </c>
      <c r="K4226" t="s">
        <v>37204</v>
      </c>
      <c r="M4226" t="s">
        <v>39105</v>
      </c>
      <c r="N4226" t="s">
        <v>41249</v>
      </c>
      <c r="O4226" t="s">
        <v>41250</v>
      </c>
      <c r="P4226">
        <v>0</v>
      </c>
      <c r="Q4226">
        <v>0</v>
      </c>
      <c r="R4226" t="s">
        <v>41252</v>
      </c>
      <c r="S4226" t="s">
        <v>41383</v>
      </c>
      <c r="T4226" t="s">
        <v>42736</v>
      </c>
      <c r="U4226" t="s">
        <v>46711</v>
      </c>
      <c r="W4226" t="s">
        <v>39105</v>
      </c>
      <c r="X4226" t="s">
        <v>41254</v>
      </c>
    </row>
    <row r="4227" spans="1:24">
      <c r="A4227">
        <f>HYPERLINK("https://www.philgeps.gov.ph/GEPSNONPILOT/Tender/SplashBidNoticeAbstractUI.aspx?menuIndex=3&amp;refID=7075534&amp;Result=3","7075534")</f>
        <v>0</v>
      </c>
      <c r="B4227" t="s">
        <v>1544</v>
      </c>
      <c r="C4227" t="s">
        <v>7441</v>
      </c>
      <c r="D4227" t="s">
        <v>16676</v>
      </c>
      <c r="E4227" t="s">
        <v>20516</v>
      </c>
      <c r="F4227" t="s">
        <v>28669</v>
      </c>
      <c r="G4227" t="s">
        <v>28676</v>
      </c>
      <c r="H4227" t="s">
        <v>9998</v>
      </c>
      <c r="I4227" t="s">
        <v>28688</v>
      </c>
      <c r="J4227" t="s">
        <v>31535</v>
      </c>
      <c r="K4227" t="s">
        <v>37210</v>
      </c>
      <c r="M4227" t="s">
        <v>39119</v>
      </c>
      <c r="N4227" t="s">
        <v>41249</v>
      </c>
      <c r="O4227" t="s">
        <v>41250</v>
      </c>
      <c r="P4227">
        <v>0</v>
      </c>
      <c r="Q4227">
        <v>2</v>
      </c>
      <c r="R4227" t="s">
        <v>41252</v>
      </c>
      <c r="S4227" t="s">
        <v>41383</v>
      </c>
      <c r="T4227" t="s">
        <v>42701</v>
      </c>
      <c r="U4227" t="s">
        <v>46712</v>
      </c>
      <c r="V4227" t="s">
        <v>54321</v>
      </c>
      <c r="W4227" t="s">
        <v>39119</v>
      </c>
      <c r="X4227" t="s">
        <v>41254</v>
      </c>
    </row>
    <row r="4228" spans="1:24">
      <c r="A4228">
        <f>HYPERLINK("https://www.philgeps.gov.ph/GEPSNONPILOT/Tender/SplashBidNoticeAbstractUI.aspx?menuIndex=3&amp;refID=7075515&amp;Result=3","7075515")</f>
        <v>0</v>
      </c>
      <c r="B4228" t="s">
        <v>1524</v>
      </c>
      <c r="C4228" t="s">
        <v>7442</v>
      </c>
      <c r="D4228" t="s">
        <v>16625</v>
      </c>
      <c r="E4228" t="s">
        <v>20517</v>
      </c>
      <c r="F4228" t="s">
        <v>28669</v>
      </c>
      <c r="G4228" t="s">
        <v>28677</v>
      </c>
      <c r="H4228" t="s">
        <v>9998</v>
      </c>
      <c r="I4228" t="s">
        <v>28722</v>
      </c>
      <c r="J4228" t="s">
        <v>31128</v>
      </c>
      <c r="K4228" t="s">
        <v>37227</v>
      </c>
      <c r="M4228" t="s">
        <v>39098</v>
      </c>
      <c r="N4228" t="s">
        <v>41249</v>
      </c>
      <c r="O4228" t="s">
        <v>41250</v>
      </c>
      <c r="P4228">
        <v>0</v>
      </c>
      <c r="Q4228">
        <v>2</v>
      </c>
      <c r="R4228" t="s">
        <v>41252</v>
      </c>
      <c r="S4228" t="s">
        <v>41383</v>
      </c>
      <c r="T4228" t="s">
        <v>42748</v>
      </c>
      <c r="U4228" t="s">
        <v>46713</v>
      </c>
      <c r="V4228" t="s">
        <v>54714</v>
      </c>
      <c r="W4228" t="s">
        <v>39098</v>
      </c>
      <c r="X4228" t="s">
        <v>41254</v>
      </c>
    </row>
    <row r="4229" spans="1:24">
      <c r="A4229">
        <f>HYPERLINK("https://www.philgeps.gov.ph/GEPSNONPILOT/Tender/SplashBidNoticeAbstractUI.aspx?menuIndex=3&amp;refID=7075532&amp;Result=3","7075532")</f>
        <v>0</v>
      </c>
      <c r="B4229" t="s">
        <v>909</v>
      </c>
      <c r="C4229" t="s">
        <v>7443</v>
      </c>
      <c r="D4229" t="s">
        <v>16662</v>
      </c>
      <c r="E4229" t="s">
        <v>20485</v>
      </c>
      <c r="F4229" t="s">
        <v>28669</v>
      </c>
      <c r="G4229" t="s">
        <v>28678</v>
      </c>
      <c r="H4229" t="s">
        <v>9998</v>
      </c>
      <c r="I4229" t="s">
        <v>6128</v>
      </c>
      <c r="J4229" t="s">
        <v>31536</v>
      </c>
      <c r="K4229" t="s">
        <v>37227</v>
      </c>
      <c r="M4229" t="s">
        <v>38431</v>
      </c>
      <c r="N4229" t="s">
        <v>41249</v>
      </c>
      <c r="O4229" t="s">
        <v>41250</v>
      </c>
      <c r="P4229">
        <v>0</v>
      </c>
      <c r="Q4229">
        <v>1</v>
      </c>
      <c r="R4229" t="s">
        <v>41252</v>
      </c>
      <c r="S4229" t="s">
        <v>41383</v>
      </c>
      <c r="T4229" t="s">
        <v>42736</v>
      </c>
      <c r="U4229" t="s">
        <v>46685</v>
      </c>
      <c r="W4229" t="s">
        <v>38431</v>
      </c>
      <c r="X4229" t="s">
        <v>41254</v>
      </c>
    </row>
    <row r="4230" spans="1:24">
      <c r="A4230">
        <f>HYPERLINK("https://www.philgeps.gov.ph/GEPSNONPILOT/Tender/SplashBidNoticeAbstractUI.aspx?menuIndex=3&amp;refID=7075530&amp;Result=3","7075530")</f>
        <v>0</v>
      </c>
      <c r="B4230" t="s">
        <v>256</v>
      </c>
      <c r="C4230" t="s">
        <v>7444</v>
      </c>
      <c r="D4230" t="s">
        <v>16664</v>
      </c>
      <c r="E4230" t="s">
        <v>20518</v>
      </c>
      <c r="F4230" t="s">
        <v>28669</v>
      </c>
      <c r="G4230" t="s">
        <v>28676</v>
      </c>
      <c r="H4230" t="s">
        <v>9998</v>
      </c>
      <c r="I4230" t="s">
        <v>28690</v>
      </c>
      <c r="J4230" t="s">
        <v>29990</v>
      </c>
      <c r="K4230" t="s">
        <v>37205</v>
      </c>
      <c r="M4230" t="s">
        <v>37734</v>
      </c>
      <c r="N4230" t="s">
        <v>41249</v>
      </c>
      <c r="O4230" t="s">
        <v>41250</v>
      </c>
      <c r="P4230">
        <v>0</v>
      </c>
      <c r="Q4230">
        <v>0</v>
      </c>
      <c r="R4230" t="s">
        <v>41252</v>
      </c>
      <c r="S4230" t="s">
        <v>41383</v>
      </c>
      <c r="T4230" t="s">
        <v>42774</v>
      </c>
      <c r="U4230" t="s">
        <v>46714</v>
      </c>
      <c r="W4230" t="s">
        <v>37734</v>
      </c>
      <c r="X4230" t="s">
        <v>41254</v>
      </c>
    </row>
    <row r="4231" spans="1:24">
      <c r="A4231">
        <f>HYPERLINK("https://www.philgeps.gov.ph/GEPSNONPILOT/Tender/SplashBidNoticeAbstractUI.aspx?menuIndex=3&amp;refID=7075536&amp;Result=3","7075536")</f>
        <v>0</v>
      </c>
      <c r="B4231" t="s">
        <v>1531</v>
      </c>
      <c r="C4231" t="s">
        <v>7445</v>
      </c>
      <c r="D4231" t="s">
        <v>16667</v>
      </c>
      <c r="E4231" t="s">
        <v>16861</v>
      </c>
      <c r="F4231" t="s">
        <v>28669</v>
      </c>
      <c r="G4231" t="s">
        <v>28675</v>
      </c>
      <c r="H4231" t="s">
        <v>28686</v>
      </c>
      <c r="I4231" t="s">
        <v>28689</v>
      </c>
      <c r="J4231" t="s">
        <v>29281</v>
      </c>
      <c r="K4231" t="s">
        <v>37206</v>
      </c>
      <c r="M4231" t="s">
        <v>39106</v>
      </c>
      <c r="N4231" t="s">
        <v>41249</v>
      </c>
      <c r="O4231" t="s">
        <v>41250</v>
      </c>
      <c r="P4231">
        <v>0</v>
      </c>
      <c r="Q4231">
        <v>0</v>
      </c>
      <c r="R4231" t="s">
        <v>41252</v>
      </c>
      <c r="S4231" t="s">
        <v>41383</v>
      </c>
      <c r="T4231" t="s">
        <v>42777</v>
      </c>
      <c r="U4231" t="s">
        <v>46715</v>
      </c>
      <c r="W4231" t="s">
        <v>39106</v>
      </c>
      <c r="X4231" t="s">
        <v>41254</v>
      </c>
    </row>
    <row r="4232" spans="1:24">
      <c r="A4232">
        <f>HYPERLINK("https://www.philgeps.gov.ph/GEPSNONPILOT/Tender/SplashBidNoticeAbstractUI.aspx?menuIndex=3&amp;refID=7075551&amp;Result=3","7075551")</f>
        <v>0</v>
      </c>
      <c r="B4232" t="s">
        <v>80</v>
      </c>
      <c r="C4232" t="s">
        <v>7446</v>
      </c>
      <c r="D4232" t="s">
        <v>16650</v>
      </c>
      <c r="E4232" t="s">
        <v>20519</v>
      </c>
      <c r="F4232" t="s">
        <v>28669</v>
      </c>
      <c r="G4232" t="s">
        <v>28676</v>
      </c>
      <c r="H4232" t="s">
        <v>9998</v>
      </c>
      <c r="I4232" t="s">
        <v>7352</v>
      </c>
      <c r="J4232" t="s">
        <v>31537</v>
      </c>
      <c r="K4232" t="s">
        <v>37209</v>
      </c>
      <c r="M4232" t="s">
        <v>37555</v>
      </c>
      <c r="N4232" t="s">
        <v>41249</v>
      </c>
      <c r="O4232" t="s">
        <v>41250</v>
      </c>
      <c r="P4232">
        <v>0</v>
      </c>
      <c r="Q4232">
        <v>0</v>
      </c>
      <c r="R4232" t="s">
        <v>41252</v>
      </c>
      <c r="S4232" t="s">
        <v>41383</v>
      </c>
      <c r="T4232" t="s">
        <v>42673</v>
      </c>
      <c r="U4232" t="s">
        <v>43288</v>
      </c>
      <c r="W4232" t="s">
        <v>37555</v>
      </c>
      <c r="X4232" t="s">
        <v>41254</v>
      </c>
    </row>
    <row r="4233" spans="1:24">
      <c r="A4233">
        <f>HYPERLINK("https://www.philgeps.gov.ph/GEPSNONPILOT/Tender/SplashBidNoticeAbstractUI.aspx?menuIndex=3&amp;refID=7075562&amp;Result=3","7075562")</f>
        <v>0</v>
      </c>
      <c r="B4233" t="s">
        <v>662</v>
      </c>
      <c r="C4233" t="s">
        <v>7447</v>
      </c>
      <c r="D4233" t="s">
        <v>16635</v>
      </c>
      <c r="E4233" t="s">
        <v>20520</v>
      </c>
      <c r="F4233" t="s">
        <v>28669</v>
      </c>
      <c r="G4233" t="s">
        <v>28676</v>
      </c>
      <c r="H4233" t="s">
        <v>9998</v>
      </c>
      <c r="I4233" t="s">
        <v>28693</v>
      </c>
      <c r="J4233" t="s">
        <v>31538</v>
      </c>
      <c r="K4233" t="s">
        <v>37206</v>
      </c>
      <c r="M4233" t="s">
        <v>38164</v>
      </c>
      <c r="N4233" t="s">
        <v>41249</v>
      </c>
      <c r="O4233" t="s">
        <v>41250</v>
      </c>
      <c r="P4233">
        <v>0</v>
      </c>
      <c r="Q4233">
        <v>1</v>
      </c>
      <c r="R4233" t="s">
        <v>41252</v>
      </c>
      <c r="S4233" t="s">
        <v>41383</v>
      </c>
      <c r="T4233" t="s">
        <v>42809</v>
      </c>
      <c r="U4233" t="s">
        <v>46716</v>
      </c>
      <c r="W4233" t="s">
        <v>38164</v>
      </c>
      <c r="X4233" t="s">
        <v>41254</v>
      </c>
    </row>
    <row r="4234" spans="1:24">
      <c r="A4234">
        <f>HYPERLINK("https://www.philgeps.gov.ph/GEPSNONPILOT/Tender/SplashBidNoticeAbstractUI.aspx?menuIndex=3&amp;refID=7075527&amp;Result=3","7075527")</f>
        <v>0</v>
      </c>
      <c r="B4234" t="s">
        <v>1545</v>
      </c>
      <c r="C4234" t="s">
        <v>7448</v>
      </c>
      <c r="E4234" t="s">
        <v>20521</v>
      </c>
      <c r="F4234" t="s">
        <v>28669</v>
      </c>
      <c r="G4234" t="s">
        <v>28676</v>
      </c>
      <c r="H4234" t="s">
        <v>9998</v>
      </c>
      <c r="I4234" t="s">
        <v>6606</v>
      </c>
      <c r="J4234" t="s">
        <v>30558</v>
      </c>
      <c r="K4234" t="s">
        <v>37209</v>
      </c>
      <c r="M4234" t="s">
        <v>39120</v>
      </c>
      <c r="N4234" t="s">
        <v>41249</v>
      </c>
      <c r="O4234" t="s">
        <v>41250</v>
      </c>
      <c r="P4234">
        <v>0</v>
      </c>
      <c r="Q4234">
        <v>0</v>
      </c>
      <c r="R4234" t="s">
        <v>41252</v>
      </c>
      <c r="S4234" t="s">
        <v>41383</v>
      </c>
      <c r="T4234" t="s">
        <v>42701</v>
      </c>
      <c r="U4234" t="s">
        <v>46717</v>
      </c>
      <c r="W4234" t="s">
        <v>39120</v>
      </c>
      <c r="X4234" t="s">
        <v>41254</v>
      </c>
    </row>
    <row r="4235" spans="1:24">
      <c r="A4235">
        <f>HYPERLINK("https://www.philgeps.gov.ph/GEPSNONPILOT/Tender/SplashBidNoticeAbstractUI.aspx?menuIndex=3&amp;refID=7075561&amp;Result=3","7075561")</f>
        <v>0</v>
      </c>
      <c r="B4235" t="s">
        <v>1487</v>
      </c>
      <c r="C4235" t="s">
        <v>7449</v>
      </c>
      <c r="D4235" t="s">
        <v>16642</v>
      </c>
      <c r="E4235" t="s">
        <v>20522</v>
      </c>
      <c r="F4235" t="s">
        <v>28669</v>
      </c>
      <c r="G4235" t="s">
        <v>28675</v>
      </c>
      <c r="H4235" t="s">
        <v>28686</v>
      </c>
      <c r="I4235" t="s">
        <v>28689</v>
      </c>
      <c r="J4235" t="s">
        <v>29003</v>
      </c>
      <c r="K4235" t="s">
        <v>37345</v>
      </c>
      <c r="M4235" t="s">
        <v>39121</v>
      </c>
      <c r="N4235" t="s">
        <v>41249</v>
      </c>
      <c r="O4235" t="s">
        <v>41250</v>
      </c>
      <c r="P4235">
        <v>0</v>
      </c>
      <c r="Q4235">
        <v>0</v>
      </c>
      <c r="R4235" t="s">
        <v>41252</v>
      </c>
      <c r="S4235" t="s">
        <v>41383</v>
      </c>
      <c r="T4235" t="s">
        <v>42659</v>
      </c>
      <c r="U4235" t="s">
        <v>46718</v>
      </c>
      <c r="V4235" t="s">
        <v>54715</v>
      </c>
      <c r="W4235" t="s">
        <v>39121</v>
      </c>
      <c r="X4235" t="s">
        <v>41254</v>
      </c>
    </row>
    <row r="4236" spans="1:24">
      <c r="A4236">
        <f>HYPERLINK("https://www.philgeps.gov.ph/GEPSNONPILOT/Tender/SplashBidNoticeAbstractUI.aspx?menuIndex=3&amp;refID=7075552&amp;Result=3","7075552")</f>
        <v>0</v>
      </c>
      <c r="B4236" t="s">
        <v>532</v>
      </c>
      <c r="C4236" t="s">
        <v>7450</v>
      </c>
      <c r="D4236" t="s">
        <v>16675</v>
      </c>
      <c r="E4236" t="s">
        <v>20523</v>
      </c>
      <c r="F4236" t="s">
        <v>28669</v>
      </c>
      <c r="G4236" t="s">
        <v>28675</v>
      </c>
      <c r="H4236" t="s">
        <v>9998</v>
      </c>
      <c r="I4236" t="s">
        <v>5213</v>
      </c>
      <c r="J4236" t="s">
        <v>28836</v>
      </c>
      <c r="K4236" t="s">
        <v>37205</v>
      </c>
      <c r="M4236" t="s">
        <v>38023</v>
      </c>
      <c r="N4236" t="s">
        <v>41249</v>
      </c>
      <c r="O4236" t="s">
        <v>41250</v>
      </c>
      <c r="P4236">
        <v>0</v>
      </c>
      <c r="Q4236">
        <v>3</v>
      </c>
      <c r="R4236" t="s">
        <v>41252</v>
      </c>
      <c r="S4236" t="s">
        <v>41383</v>
      </c>
      <c r="T4236" t="s">
        <v>42714</v>
      </c>
      <c r="U4236" t="s">
        <v>46719</v>
      </c>
      <c r="W4236" t="s">
        <v>38023</v>
      </c>
      <c r="X4236" t="s">
        <v>41254</v>
      </c>
    </row>
    <row r="4237" spans="1:24">
      <c r="A4237">
        <f>HYPERLINK("https://www.philgeps.gov.ph/GEPSNONPILOT/Tender/SplashBidNoticeAbstractUI.aspx?menuIndex=3&amp;refID=7075528&amp;Result=3","7075528")</f>
        <v>0</v>
      </c>
      <c r="B4237" t="s">
        <v>1546</v>
      </c>
      <c r="C4237" t="s">
        <v>7451</v>
      </c>
      <c r="D4237" t="s">
        <v>16642</v>
      </c>
      <c r="E4237" t="s">
        <v>20524</v>
      </c>
      <c r="F4237" t="s">
        <v>28669</v>
      </c>
      <c r="G4237" t="s">
        <v>28678</v>
      </c>
      <c r="H4237" t="s">
        <v>9998</v>
      </c>
      <c r="I4237" t="s">
        <v>6128</v>
      </c>
      <c r="J4237" t="s">
        <v>31539</v>
      </c>
      <c r="K4237" t="s">
        <v>37205</v>
      </c>
      <c r="M4237" t="s">
        <v>39122</v>
      </c>
      <c r="N4237" t="s">
        <v>41249</v>
      </c>
      <c r="O4237" t="s">
        <v>41250</v>
      </c>
      <c r="P4237">
        <v>0</v>
      </c>
      <c r="Q4237">
        <v>3</v>
      </c>
      <c r="R4237" t="s">
        <v>41252</v>
      </c>
      <c r="S4237" t="s">
        <v>41383</v>
      </c>
      <c r="T4237" t="s">
        <v>42690</v>
      </c>
      <c r="U4237" t="s">
        <v>46720</v>
      </c>
      <c r="W4237" t="s">
        <v>39122</v>
      </c>
      <c r="X4237" t="s">
        <v>41254</v>
      </c>
    </row>
    <row r="4238" spans="1:24">
      <c r="A4238">
        <f>HYPERLINK("https://www.philgeps.gov.ph/GEPSNONPILOT/Tender/SplashBidNoticeAbstractUI.aspx?menuIndex=3&amp;refID=7075558&amp;Result=3","7075558")</f>
        <v>0</v>
      </c>
      <c r="B4238" t="s">
        <v>235</v>
      </c>
      <c r="C4238" t="s">
        <v>7452</v>
      </c>
      <c r="D4238" t="s">
        <v>16646</v>
      </c>
      <c r="E4238" t="s">
        <v>20525</v>
      </c>
      <c r="F4238" t="s">
        <v>28669</v>
      </c>
      <c r="G4238" t="s">
        <v>28675</v>
      </c>
      <c r="H4238" t="s">
        <v>28686</v>
      </c>
      <c r="I4238" t="s">
        <v>28689</v>
      </c>
      <c r="J4238" t="s">
        <v>31540</v>
      </c>
      <c r="K4238" t="s">
        <v>37294</v>
      </c>
      <c r="M4238" t="s">
        <v>38057</v>
      </c>
      <c r="N4238" t="s">
        <v>41249</v>
      </c>
      <c r="O4238" t="s">
        <v>41250</v>
      </c>
      <c r="P4238">
        <v>0</v>
      </c>
      <c r="Q4238">
        <v>3</v>
      </c>
      <c r="R4238" t="s">
        <v>41252</v>
      </c>
      <c r="S4238" t="s">
        <v>41383</v>
      </c>
      <c r="T4238" t="s">
        <v>42716</v>
      </c>
      <c r="U4238" t="s">
        <v>46721</v>
      </c>
      <c r="W4238" t="s">
        <v>38057</v>
      </c>
      <c r="X4238" t="s">
        <v>41254</v>
      </c>
    </row>
    <row r="4239" spans="1:24">
      <c r="A4239">
        <f>HYPERLINK("https://www.philgeps.gov.ph/GEPSNONPILOT/Tender/SplashBidNoticeAbstractUI.aspx?menuIndex=3&amp;refID=7075557&amp;Result=3","7075557")</f>
        <v>0</v>
      </c>
      <c r="B4239" t="s">
        <v>812</v>
      </c>
      <c r="C4239" t="s">
        <v>7453</v>
      </c>
      <c r="D4239" t="s">
        <v>16658</v>
      </c>
      <c r="E4239" t="s">
        <v>20526</v>
      </c>
      <c r="F4239" t="s">
        <v>28669</v>
      </c>
      <c r="G4239" t="s">
        <v>28675</v>
      </c>
      <c r="H4239" t="s">
        <v>9998</v>
      </c>
      <c r="I4239" t="s">
        <v>28784</v>
      </c>
      <c r="J4239" t="s">
        <v>31541</v>
      </c>
      <c r="K4239" t="s">
        <v>37205</v>
      </c>
      <c r="M4239" t="s">
        <v>38327</v>
      </c>
      <c r="N4239" t="s">
        <v>41249</v>
      </c>
      <c r="O4239" t="s">
        <v>41250</v>
      </c>
      <c r="P4239">
        <v>0</v>
      </c>
      <c r="Q4239">
        <v>1</v>
      </c>
      <c r="R4239" t="s">
        <v>41252</v>
      </c>
      <c r="S4239" t="s">
        <v>41383</v>
      </c>
      <c r="T4239" t="s">
        <v>42855</v>
      </c>
      <c r="U4239" t="s">
        <v>46722</v>
      </c>
      <c r="W4239" t="s">
        <v>38327</v>
      </c>
      <c r="X4239" t="s">
        <v>41254</v>
      </c>
    </row>
    <row r="4240" spans="1:24">
      <c r="A4240">
        <f>HYPERLINK("https://www.philgeps.gov.ph/GEPSNONPILOT/Tender/SplashBidNoticeAbstractUI.aspx?menuIndex=3&amp;refID=7075555&amp;Result=3","7075555")</f>
        <v>0</v>
      </c>
      <c r="B4240" t="s">
        <v>352</v>
      </c>
      <c r="C4240" t="s">
        <v>7454</v>
      </c>
      <c r="D4240" t="s">
        <v>16608</v>
      </c>
      <c r="E4240" t="s">
        <v>20527</v>
      </c>
      <c r="F4240" t="s">
        <v>28669</v>
      </c>
      <c r="G4240" t="s">
        <v>28675</v>
      </c>
      <c r="H4240" t="s">
        <v>28686</v>
      </c>
      <c r="I4240" t="s">
        <v>28689</v>
      </c>
      <c r="J4240" t="s">
        <v>28881</v>
      </c>
      <c r="K4240" t="s">
        <v>37213</v>
      </c>
      <c r="M4240" t="s">
        <v>37832</v>
      </c>
      <c r="N4240" t="s">
        <v>41249</v>
      </c>
      <c r="O4240" t="s">
        <v>41250</v>
      </c>
      <c r="P4240">
        <v>0</v>
      </c>
      <c r="Q4240">
        <v>3</v>
      </c>
      <c r="R4240" t="s">
        <v>41252</v>
      </c>
      <c r="S4240" t="s">
        <v>41383</v>
      </c>
      <c r="T4240" t="s">
        <v>42960</v>
      </c>
      <c r="U4240" t="s">
        <v>46723</v>
      </c>
      <c r="V4240" t="s">
        <v>54716</v>
      </c>
      <c r="W4240" t="s">
        <v>37832</v>
      </c>
      <c r="X4240" t="s">
        <v>41254</v>
      </c>
    </row>
    <row r="4241" spans="1:24">
      <c r="A4241">
        <f>HYPERLINK("https://www.philgeps.gov.ph/GEPSNONPILOT/Tender/SplashBidNoticeAbstractUI.aspx?menuIndex=3&amp;refID=7075560&amp;Result=3","7075560")</f>
        <v>0</v>
      </c>
      <c r="B4241" t="s">
        <v>1540</v>
      </c>
      <c r="C4241" t="s">
        <v>7455</v>
      </c>
      <c r="D4241" t="s">
        <v>16608</v>
      </c>
      <c r="E4241" t="s">
        <v>20528</v>
      </c>
      <c r="F4241" t="s">
        <v>28669</v>
      </c>
      <c r="G4241" t="s">
        <v>28677</v>
      </c>
      <c r="H4241" t="s">
        <v>9998</v>
      </c>
      <c r="I4241" t="s">
        <v>7352</v>
      </c>
      <c r="J4241" t="s">
        <v>28826</v>
      </c>
      <c r="K4241" t="s">
        <v>37204</v>
      </c>
      <c r="M4241" t="s">
        <v>39115</v>
      </c>
      <c r="N4241" t="s">
        <v>41249</v>
      </c>
      <c r="O4241" t="s">
        <v>41250</v>
      </c>
      <c r="P4241">
        <v>0</v>
      </c>
      <c r="Q4241">
        <v>0</v>
      </c>
      <c r="R4241" t="s">
        <v>41252</v>
      </c>
      <c r="S4241" t="s">
        <v>41383</v>
      </c>
      <c r="T4241" t="s">
        <v>42675</v>
      </c>
      <c r="U4241" t="s">
        <v>46724</v>
      </c>
      <c r="W4241" t="s">
        <v>39115</v>
      </c>
      <c r="X4241" t="s">
        <v>41254</v>
      </c>
    </row>
    <row r="4242" spans="1:24">
      <c r="A4242">
        <f>HYPERLINK("https://www.philgeps.gov.ph/GEPSNONPILOT/Tender/SplashBidNoticeAbstractUI.aspx?menuIndex=3&amp;refID=7075553&amp;Result=3","7075553")</f>
        <v>0</v>
      </c>
      <c r="B4242" t="s">
        <v>618</v>
      </c>
      <c r="C4242" t="s">
        <v>7456</v>
      </c>
      <c r="D4242" t="s">
        <v>16654</v>
      </c>
      <c r="E4242" t="s">
        <v>20529</v>
      </c>
      <c r="F4242" t="s">
        <v>28669</v>
      </c>
      <c r="G4242" t="s">
        <v>28678</v>
      </c>
      <c r="H4242" t="s">
        <v>9998</v>
      </c>
      <c r="I4242" t="s">
        <v>6128</v>
      </c>
      <c r="J4242" t="s">
        <v>31542</v>
      </c>
      <c r="K4242" t="s">
        <v>37243</v>
      </c>
      <c r="M4242" t="s">
        <v>38118</v>
      </c>
      <c r="N4242" t="s">
        <v>41249</v>
      </c>
      <c r="O4242" t="s">
        <v>41250</v>
      </c>
      <c r="P4242">
        <v>0</v>
      </c>
      <c r="Q4242">
        <v>1</v>
      </c>
      <c r="R4242" t="s">
        <v>41252</v>
      </c>
      <c r="S4242" t="s">
        <v>41383</v>
      </c>
      <c r="T4242" t="s">
        <v>42675</v>
      </c>
      <c r="U4242" t="s">
        <v>46725</v>
      </c>
      <c r="W4242" t="s">
        <v>38118</v>
      </c>
      <c r="X4242" t="s">
        <v>41254</v>
      </c>
    </row>
    <row r="4243" spans="1:24">
      <c r="A4243">
        <f>HYPERLINK("https://www.philgeps.gov.ph/GEPSNONPILOT/Tender/SplashBidNoticeAbstractUI.aspx?menuIndex=3&amp;refID=7075572&amp;Result=3","7075572")</f>
        <v>0</v>
      </c>
      <c r="B4243" t="s">
        <v>573</v>
      </c>
      <c r="C4243" t="s">
        <v>7457</v>
      </c>
      <c r="D4243" t="s">
        <v>16615</v>
      </c>
      <c r="E4243" t="s">
        <v>20530</v>
      </c>
      <c r="F4243" t="s">
        <v>28669</v>
      </c>
      <c r="G4243" t="s">
        <v>28676</v>
      </c>
      <c r="H4243" t="s">
        <v>9998</v>
      </c>
      <c r="I4243" t="s">
        <v>28776</v>
      </c>
      <c r="J4243" t="s">
        <v>28878</v>
      </c>
      <c r="K4243" t="s">
        <v>37206</v>
      </c>
      <c r="M4243" t="s">
        <v>39123</v>
      </c>
      <c r="N4243" t="s">
        <v>41249</v>
      </c>
      <c r="O4243" t="s">
        <v>41250</v>
      </c>
      <c r="P4243">
        <v>0</v>
      </c>
      <c r="Q4243">
        <v>2</v>
      </c>
      <c r="R4243" t="s">
        <v>41252</v>
      </c>
      <c r="S4243" t="s">
        <v>41383</v>
      </c>
      <c r="T4243" t="s">
        <v>42696</v>
      </c>
      <c r="U4243" t="s">
        <v>46726</v>
      </c>
      <c r="W4243" t="s">
        <v>39123</v>
      </c>
      <c r="X4243" t="s">
        <v>41254</v>
      </c>
    </row>
    <row r="4244" spans="1:24">
      <c r="A4244">
        <f>HYPERLINK("https://www.philgeps.gov.ph/GEPSNONPILOT/Tender/SplashBidNoticeAbstractUI.aspx?menuIndex=3&amp;refID=7075559&amp;Result=3","7075559")</f>
        <v>0</v>
      </c>
      <c r="B4244" t="s">
        <v>1530</v>
      </c>
      <c r="C4244" t="s">
        <v>7458</v>
      </c>
      <c r="D4244" t="s">
        <v>16681</v>
      </c>
      <c r="E4244" t="s">
        <v>20531</v>
      </c>
      <c r="F4244" t="s">
        <v>28669</v>
      </c>
      <c r="G4244" t="s">
        <v>28675</v>
      </c>
      <c r="H4244" t="s">
        <v>28686</v>
      </c>
      <c r="I4244" t="s">
        <v>28689</v>
      </c>
      <c r="J4244" t="s">
        <v>31543</v>
      </c>
      <c r="K4244" t="s">
        <v>37209</v>
      </c>
      <c r="M4244" t="s">
        <v>39104</v>
      </c>
      <c r="N4244" t="s">
        <v>41249</v>
      </c>
      <c r="O4244" t="s">
        <v>41250</v>
      </c>
      <c r="P4244">
        <v>0</v>
      </c>
      <c r="Q4244">
        <v>0</v>
      </c>
      <c r="R4244" t="s">
        <v>41252</v>
      </c>
      <c r="S4244" t="s">
        <v>41383</v>
      </c>
      <c r="T4244" t="s">
        <v>42716</v>
      </c>
      <c r="U4244" t="s">
        <v>46727</v>
      </c>
      <c r="W4244" t="s">
        <v>39104</v>
      </c>
      <c r="X4244" t="s">
        <v>41254</v>
      </c>
    </row>
    <row r="4245" spans="1:24">
      <c r="A4245">
        <f>HYPERLINK("https://www.philgeps.gov.ph/GEPSNONPILOT/Tender/SplashBidNoticeAbstractUI.aspx?menuIndex=3&amp;refID=7075571&amp;Result=3","7075571")</f>
        <v>0</v>
      </c>
      <c r="B4245" t="s">
        <v>1524</v>
      </c>
      <c r="C4245" t="s">
        <v>7459</v>
      </c>
      <c r="D4245" t="s">
        <v>16625</v>
      </c>
      <c r="E4245" t="s">
        <v>20532</v>
      </c>
      <c r="F4245" t="s">
        <v>28669</v>
      </c>
      <c r="G4245" t="s">
        <v>28677</v>
      </c>
      <c r="H4245" t="s">
        <v>9998</v>
      </c>
      <c r="I4245" t="s">
        <v>8667</v>
      </c>
      <c r="J4245" t="s">
        <v>31544</v>
      </c>
      <c r="K4245" t="s">
        <v>37227</v>
      </c>
      <c r="M4245" t="s">
        <v>39098</v>
      </c>
      <c r="N4245" t="s">
        <v>41249</v>
      </c>
      <c r="O4245" t="s">
        <v>41250</v>
      </c>
      <c r="P4245">
        <v>0</v>
      </c>
      <c r="Q4245">
        <v>2</v>
      </c>
      <c r="R4245" t="s">
        <v>41252</v>
      </c>
      <c r="S4245" t="s">
        <v>41383</v>
      </c>
      <c r="T4245" t="s">
        <v>42748</v>
      </c>
      <c r="U4245" t="s">
        <v>46728</v>
      </c>
      <c r="V4245" t="s">
        <v>54717</v>
      </c>
      <c r="W4245" t="s">
        <v>39098</v>
      </c>
      <c r="X4245" t="s">
        <v>41254</v>
      </c>
    </row>
    <row r="4246" spans="1:24">
      <c r="A4246">
        <f>HYPERLINK("https://www.philgeps.gov.ph/GEPSNONPILOT/Tender/SplashBidNoticeAbstractUI.aspx?menuIndex=3&amp;refID=7075568&amp;Result=3","7075568")</f>
        <v>0</v>
      </c>
      <c r="B4246" t="s">
        <v>317</v>
      </c>
      <c r="C4246" t="s">
        <v>7460</v>
      </c>
      <c r="D4246" t="s">
        <v>16608</v>
      </c>
      <c r="E4246" t="s">
        <v>20533</v>
      </c>
      <c r="F4246" t="s">
        <v>28669</v>
      </c>
      <c r="G4246" t="s">
        <v>28678</v>
      </c>
      <c r="H4246" t="s">
        <v>9998</v>
      </c>
      <c r="I4246" t="s">
        <v>6128</v>
      </c>
      <c r="J4246" t="s">
        <v>31545</v>
      </c>
      <c r="K4246" t="s">
        <v>37204</v>
      </c>
      <c r="M4246" t="s">
        <v>39105</v>
      </c>
      <c r="N4246" t="s">
        <v>41249</v>
      </c>
      <c r="O4246" t="s">
        <v>41250</v>
      </c>
      <c r="P4246">
        <v>0</v>
      </c>
      <c r="Q4246">
        <v>0</v>
      </c>
      <c r="R4246" t="s">
        <v>41252</v>
      </c>
      <c r="S4246" t="s">
        <v>41383</v>
      </c>
      <c r="T4246" t="s">
        <v>42736</v>
      </c>
      <c r="U4246" t="s">
        <v>45364</v>
      </c>
      <c r="W4246" t="s">
        <v>39105</v>
      </c>
      <c r="X4246" t="s">
        <v>41254</v>
      </c>
    </row>
    <row r="4247" spans="1:24">
      <c r="A4247">
        <f>HYPERLINK("https://www.philgeps.gov.ph/GEPSNONPILOT/Tender/SplashBidNoticeAbstractUI.aspx?menuIndex=3&amp;refID=7075556&amp;Result=3","7075556")</f>
        <v>0</v>
      </c>
      <c r="B4247" t="s">
        <v>478</v>
      </c>
      <c r="C4247" t="s">
        <v>7461</v>
      </c>
      <c r="D4247" t="s">
        <v>16625</v>
      </c>
      <c r="E4247" t="s">
        <v>20534</v>
      </c>
      <c r="F4247" t="s">
        <v>28669</v>
      </c>
      <c r="G4247" t="s">
        <v>28675</v>
      </c>
      <c r="H4247" t="s">
        <v>28686</v>
      </c>
      <c r="I4247" t="s">
        <v>28689</v>
      </c>
      <c r="J4247" t="s">
        <v>31546</v>
      </c>
      <c r="K4247" t="s">
        <v>37213</v>
      </c>
      <c r="M4247" t="s">
        <v>37966</v>
      </c>
      <c r="N4247" t="s">
        <v>41249</v>
      </c>
      <c r="O4247" t="s">
        <v>41250</v>
      </c>
      <c r="P4247">
        <v>0</v>
      </c>
      <c r="Q4247">
        <v>0</v>
      </c>
      <c r="R4247" t="s">
        <v>41252</v>
      </c>
      <c r="S4247" t="s">
        <v>41383</v>
      </c>
      <c r="T4247" t="s">
        <v>42957</v>
      </c>
      <c r="U4247" t="s">
        <v>45711</v>
      </c>
      <c r="V4247" t="s">
        <v>54710</v>
      </c>
      <c r="W4247" t="s">
        <v>37966</v>
      </c>
      <c r="X4247" t="s">
        <v>41254</v>
      </c>
    </row>
    <row r="4248" spans="1:24">
      <c r="A4248">
        <f>HYPERLINK("https://www.philgeps.gov.ph/GEPSNONPILOT/Tender/SplashBidNoticeAbstractUI.aspx?menuIndex=3&amp;refID=7075554&amp;Result=3","7075554")</f>
        <v>0</v>
      </c>
      <c r="B4248" t="s">
        <v>1547</v>
      </c>
      <c r="C4248" t="s">
        <v>7462</v>
      </c>
      <c r="D4248" t="s">
        <v>16621</v>
      </c>
      <c r="E4248" t="s">
        <v>20535</v>
      </c>
      <c r="F4248" t="s">
        <v>28669</v>
      </c>
      <c r="G4248" t="s">
        <v>28677</v>
      </c>
      <c r="H4248" t="s">
        <v>9998</v>
      </c>
      <c r="I4248" t="s">
        <v>6458</v>
      </c>
      <c r="J4248" t="s">
        <v>31547</v>
      </c>
      <c r="K4248" t="s">
        <v>37243</v>
      </c>
      <c r="M4248" t="s">
        <v>39124</v>
      </c>
      <c r="N4248" t="s">
        <v>41249</v>
      </c>
      <c r="O4248" t="s">
        <v>41250</v>
      </c>
      <c r="P4248">
        <v>0</v>
      </c>
      <c r="Q4248">
        <v>2</v>
      </c>
      <c r="R4248" t="s">
        <v>41252</v>
      </c>
      <c r="S4248" t="s">
        <v>41383</v>
      </c>
      <c r="T4248" t="s">
        <v>42729</v>
      </c>
      <c r="U4248" t="s">
        <v>46729</v>
      </c>
      <c r="W4248" t="s">
        <v>39124</v>
      </c>
      <c r="X4248" t="s">
        <v>41254</v>
      </c>
    </row>
    <row r="4249" spans="1:24">
      <c r="A4249">
        <f>HYPERLINK("https://www.philgeps.gov.ph/GEPSNONPILOT/Tender/SplashBidNoticeAbstractUI.aspx?menuIndex=3&amp;refID=7075569&amp;Result=3","7075569")</f>
        <v>0</v>
      </c>
      <c r="B4249" t="s">
        <v>1515</v>
      </c>
      <c r="C4249" t="s">
        <v>7408</v>
      </c>
      <c r="D4249" t="s">
        <v>16678</v>
      </c>
      <c r="E4249" t="s">
        <v>20536</v>
      </c>
      <c r="F4249" t="s">
        <v>28669</v>
      </c>
      <c r="G4249" t="s">
        <v>28676</v>
      </c>
      <c r="H4249" t="s">
        <v>9998</v>
      </c>
      <c r="I4249" t="s">
        <v>6606</v>
      </c>
      <c r="J4249" t="s">
        <v>31548</v>
      </c>
      <c r="K4249" t="s">
        <v>37206</v>
      </c>
      <c r="M4249" t="s">
        <v>39089</v>
      </c>
      <c r="N4249" t="s">
        <v>41249</v>
      </c>
      <c r="O4249" t="s">
        <v>41250</v>
      </c>
      <c r="P4249">
        <v>0</v>
      </c>
      <c r="Q4249">
        <v>0</v>
      </c>
      <c r="R4249" t="s">
        <v>41252</v>
      </c>
      <c r="S4249" t="s">
        <v>41383</v>
      </c>
      <c r="T4249" t="s">
        <v>42736</v>
      </c>
      <c r="U4249" t="s">
        <v>46683</v>
      </c>
      <c r="W4249" t="s">
        <v>39089</v>
      </c>
      <c r="X4249" t="s">
        <v>41254</v>
      </c>
    </row>
    <row r="4250" spans="1:24">
      <c r="A4250">
        <f>HYPERLINK("https://www.philgeps.gov.ph/GEPSNONPILOT/Tender/SplashBidNoticeAbstractUI.aspx?menuIndex=3&amp;refID=7075564&amp;Result=3","7075564")</f>
        <v>0</v>
      </c>
      <c r="B4250" t="s">
        <v>293</v>
      </c>
      <c r="C4250" t="s">
        <v>7463</v>
      </c>
      <c r="D4250" t="s">
        <v>16668</v>
      </c>
      <c r="E4250" t="s">
        <v>20537</v>
      </c>
      <c r="F4250" t="s">
        <v>28669</v>
      </c>
      <c r="G4250" t="s">
        <v>28675</v>
      </c>
      <c r="H4250" t="s">
        <v>9998</v>
      </c>
      <c r="I4250" t="s">
        <v>28697</v>
      </c>
      <c r="J4250" t="s">
        <v>31549</v>
      </c>
      <c r="K4250" t="s">
        <v>37206</v>
      </c>
      <c r="M4250" t="s">
        <v>37772</v>
      </c>
      <c r="N4250" t="s">
        <v>41249</v>
      </c>
      <c r="O4250" t="s">
        <v>41250</v>
      </c>
      <c r="P4250">
        <v>0</v>
      </c>
      <c r="Q4250">
        <v>0</v>
      </c>
      <c r="R4250" t="s">
        <v>41252</v>
      </c>
      <c r="S4250" t="s">
        <v>41383</v>
      </c>
      <c r="T4250" t="s">
        <v>42700</v>
      </c>
      <c r="U4250" t="s">
        <v>46730</v>
      </c>
      <c r="W4250" t="s">
        <v>37772</v>
      </c>
      <c r="X4250" t="s">
        <v>41254</v>
      </c>
    </row>
    <row r="4251" spans="1:24">
      <c r="A4251">
        <f>HYPERLINK("https://www.philgeps.gov.ph/GEPSNONPILOT/Tender/SplashBidNoticeAbstractUI.aspx?menuIndex=3&amp;refID=7075567&amp;Result=3","7075567")</f>
        <v>0</v>
      </c>
      <c r="B4251" t="s">
        <v>642</v>
      </c>
      <c r="C4251" t="s">
        <v>7464</v>
      </c>
      <c r="D4251" t="s">
        <v>16642</v>
      </c>
      <c r="E4251" t="s">
        <v>20502</v>
      </c>
      <c r="F4251" t="s">
        <v>28669</v>
      </c>
      <c r="G4251" t="s">
        <v>28676</v>
      </c>
      <c r="H4251" t="s">
        <v>9998</v>
      </c>
      <c r="I4251" t="s">
        <v>28687</v>
      </c>
      <c r="J4251" t="s">
        <v>28826</v>
      </c>
      <c r="K4251" t="s">
        <v>37205</v>
      </c>
      <c r="M4251" t="s">
        <v>38143</v>
      </c>
      <c r="N4251" t="s">
        <v>41249</v>
      </c>
      <c r="O4251" t="s">
        <v>41250</v>
      </c>
      <c r="P4251">
        <v>0</v>
      </c>
      <c r="Q4251">
        <v>1</v>
      </c>
      <c r="R4251" t="s">
        <v>41252</v>
      </c>
      <c r="S4251" t="s">
        <v>41383</v>
      </c>
      <c r="T4251" t="s">
        <v>42686</v>
      </c>
      <c r="U4251" t="s">
        <v>46731</v>
      </c>
      <c r="W4251" t="s">
        <v>38143</v>
      </c>
      <c r="X4251" t="s">
        <v>41254</v>
      </c>
    </row>
    <row r="4252" spans="1:24">
      <c r="A4252">
        <f>HYPERLINK("https://www.philgeps.gov.ph/GEPSNONPILOT/Tender/SplashBidNoticeAbstractUI.aspx?menuIndex=3&amp;refID=7075570&amp;Result=3","7075570")</f>
        <v>0</v>
      </c>
      <c r="B4252" t="s">
        <v>1522</v>
      </c>
      <c r="C4252" t="s">
        <v>7465</v>
      </c>
      <c r="D4252" t="s">
        <v>16686</v>
      </c>
      <c r="E4252" t="s">
        <v>20538</v>
      </c>
      <c r="F4252" t="s">
        <v>28669</v>
      </c>
      <c r="G4252" t="s">
        <v>28675</v>
      </c>
      <c r="H4252" t="s">
        <v>9998</v>
      </c>
      <c r="I4252" t="s">
        <v>7352</v>
      </c>
      <c r="J4252" t="s">
        <v>31550</v>
      </c>
      <c r="K4252" t="s">
        <v>37210</v>
      </c>
      <c r="M4252" t="s">
        <v>39096</v>
      </c>
      <c r="N4252" t="s">
        <v>41249</v>
      </c>
      <c r="O4252" t="s">
        <v>41250</v>
      </c>
      <c r="P4252">
        <v>0</v>
      </c>
      <c r="Q4252">
        <v>0</v>
      </c>
      <c r="R4252" t="s">
        <v>41252</v>
      </c>
      <c r="S4252" t="s">
        <v>41383</v>
      </c>
      <c r="T4252" t="s">
        <v>42778</v>
      </c>
      <c r="U4252" t="s">
        <v>46732</v>
      </c>
      <c r="W4252" t="s">
        <v>39096</v>
      </c>
      <c r="X4252" t="s">
        <v>41254</v>
      </c>
    </row>
    <row r="4253" spans="1:24">
      <c r="A4253">
        <f>HYPERLINK("https://www.philgeps.gov.ph/GEPSNONPILOT/Tender/SplashBidNoticeAbstractUI.aspx?menuIndex=3&amp;refID=7075574&amp;Result=3","7075574")</f>
        <v>0</v>
      </c>
      <c r="B4253" t="s">
        <v>1548</v>
      </c>
      <c r="C4253" t="s">
        <v>7466</v>
      </c>
      <c r="D4253" t="s">
        <v>16621</v>
      </c>
      <c r="E4253" t="s">
        <v>20539</v>
      </c>
      <c r="F4253" t="s">
        <v>28669</v>
      </c>
      <c r="G4253" t="s">
        <v>28676</v>
      </c>
      <c r="H4253" t="s">
        <v>9998</v>
      </c>
      <c r="I4253" t="s">
        <v>6128</v>
      </c>
      <c r="J4253" t="s">
        <v>31551</v>
      </c>
      <c r="K4253" t="s">
        <v>37208</v>
      </c>
      <c r="M4253" t="s">
        <v>39125</v>
      </c>
      <c r="N4253" t="s">
        <v>41249</v>
      </c>
      <c r="O4253" t="s">
        <v>41250</v>
      </c>
      <c r="P4253">
        <v>0</v>
      </c>
      <c r="Q4253">
        <v>2</v>
      </c>
      <c r="R4253" t="s">
        <v>41252</v>
      </c>
      <c r="S4253" t="s">
        <v>41383</v>
      </c>
      <c r="T4253" t="s">
        <v>42758</v>
      </c>
      <c r="U4253" t="s">
        <v>46733</v>
      </c>
      <c r="W4253" t="s">
        <v>39125</v>
      </c>
      <c r="X4253" t="s">
        <v>41254</v>
      </c>
    </row>
    <row r="4254" spans="1:24">
      <c r="A4254">
        <f>HYPERLINK("https://www.philgeps.gov.ph/GEPSNONPILOT/Tender/SplashBidNoticeAbstractUI.aspx?menuIndex=3&amp;refID=7075582&amp;Result=3","7075582")</f>
        <v>0</v>
      </c>
      <c r="B4254" t="s">
        <v>111</v>
      </c>
      <c r="C4254" t="s">
        <v>7467</v>
      </c>
      <c r="D4254" t="s">
        <v>16619</v>
      </c>
      <c r="E4254" t="s">
        <v>20540</v>
      </c>
      <c r="F4254" t="s">
        <v>28669</v>
      </c>
      <c r="G4254" t="s">
        <v>28675</v>
      </c>
      <c r="H4254" t="s">
        <v>28686</v>
      </c>
      <c r="I4254" t="s">
        <v>28689</v>
      </c>
      <c r="J4254" t="s">
        <v>31552</v>
      </c>
      <c r="K4254" t="s">
        <v>37215</v>
      </c>
      <c r="M4254" t="s">
        <v>37587</v>
      </c>
      <c r="N4254" t="s">
        <v>41249</v>
      </c>
      <c r="O4254" t="s">
        <v>41250</v>
      </c>
      <c r="P4254">
        <v>0</v>
      </c>
      <c r="Q4254">
        <v>1</v>
      </c>
      <c r="R4254" t="s">
        <v>41252</v>
      </c>
      <c r="S4254" t="s">
        <v>41383</v>
      </c>
      <c r="T4254" t="s">
        <v>42723</v>
      </c>
      <c r="U4254" t="s">
        <v>46734</v>
      </c>
      <c r="V4254" t="s">
        <v>54280</v>
      </c>
      <c r="W4254" t="s">
        <v>37587</v>
      </c>
      <c r="X4254" t="s">
        <v>41254</v>
      </c>
    </row>
    <row r="4255" spans="1:24">
      <c r="A4255">
        <f>HYPERLINK("https://www.philgeps.gov.ph/GEPSNONPILOT/Tender/SplashBidNoticeAbstractUI.aspx?menuIndex=3&amp;refID=7075579&amp;Result=3","7075579")</f>
        <v>0</v>
      </c>
      <c r="B4255" t="s">
        <v>1549</v>
      </c>
      <c r="C4255" t="s">
        <v>7468</v>
      </c>
      <c r="D4255" t="s">
        <v>16621</v>
      </c>
      <c r="E4255" t="s">
        <v>20541</v>
      </c>
      <c r="F4255" t="s">
        <v>28669</v>
      </c>
      <c r="G4255" t="s">
        <v>28676</v>
      </c>
      <c r="H4255" t="s">
        <v>9998</v>
      </c>
      <c r="I4255" t="s">
        <v>7352</v>
      </c>
      <c r="J4255" t="s">
        <v>31553</v>
      </c>
      <c r="K4255" t="s">
        <v>37210</v>
      </c>
      <c r="M4255" t="s">
        <v>39126</v>
      </c>
      <c r="N4255" t="s">
        <v>41249</v>
      </c>
      <c r="O4255" t="s">
        <v>41250</v>
      </c>
      <c r="P4255">
        <v>0</v>
      </c>
      <c r="Q4255">
        <v>0</v>
      </c>
      <c r="R4255" t="s">
        <v>41252</v>
      </c>
      <c r="S4255" t="s">
        <v>41383</v>
      </c>
      <c r="T4255" t="s">
        <v>42743</v>
      </c>
      <c r="U4255" t="s">
        <v>46735</v>
      </c>
      <c r="W4255" t="s">
        <v>39126</v>
      </c>
      <c r="X4255" t="s">
        <v>41254</v>
      </c>
    </row>
    <row r="4256" spans="1:24">
      <c r="A4256">
        <f>HYPERLINK("https://www.philgeps.gov.ph/GEPSNONPILOT/Tender/SplashBidNoticeAbstractUI.aspx?menuIndex=3&amp;refID=7075578&amp;Result=3","7075578")</f>
        <v>0</v>
      </c>
      <c r="B4256" t="s">
        <v>1550</v>
      </c>
      <c r="C4256" t="s">
        <v>7469</v>
      </c>
      <c r="D4256" t="s">
        <v>16664</v>
      </c>
      <c r="E4256" t="s">
        <v>20542</v>
      </c>
      <c r="F4256" t="s">
        <v>28669</v>
      </c>
      <c r="G4256" t="s">
        <v>28677</v>
      </c>
      <c r="H4256" t="s">
        <v>9998</v>
      </c>
      <c r="I4256" t="s">
        <v>28782</v>
      </c>
      <c r="J4256" t="s">
        <v>30168</v>
      </c>
      <c r="K4256" t="s">
        <v>37208</v>
      </c>
      <c r="M4256" t="s">
        <v>39127</v>
      </c>
      <c r="N4256" t="s">
        <v>41249</v>
      </c>
      <c r="O4256" t="s">
        <v>41250</v>
      </c>
      <c r="P4256">
        <v>0</v>
      </c>
      <c r="Q4256">
        <v>0</v>
      </c>
      <c r="R4256" t="s">
        <v>41252</v>
      </c>
      <c r="S4256" t="s">
        <v>41383</v>
      </c>
      <c r="T4256" t="s">
        <v>42771</v>
      </c>
      <c r="U4256" t="s">
        <v>46736</v>
      </c>
      <c r="W4256" t="s">
        <v>39127</v>
      </c>
      <c r="X4256" t="s">
        <v>41254</v>
      </c>
    </row>
    <row r="4257" spans="1:24">
      <c r="A4257">
        <f>HYPERLINK("https://www.philgeps.gov.ph/GEPSNONPILOT/Tender/SplashBidNoticeAbstractUI.aspx?menuIndex=3&amp;refID=7075577&amp;Result=3","7075577")</f>
        <v>0</v>
      </c>
      <c r="B4257" t="s">
        <v>1257</v>
      </c>
      <c r="C4257" t="s">
        <v>7470</v>
      </c>
      <c r="D4257" t="s">
        <v>16639</v>
      </c>
      <c r="E4257" t="s">
        <v>20543</v>
      </c>
      <c r="F4257" t="s">
        <v>28669</v>
      </c>
      <c r="G4257" t="s">
        <v>28676</v>
      </c>
      <c r="H4257" t="s">
        <v>9998</v>
      </c>
      <c r="I4257" t="s">
        <v>6128</v>
      </c>
      <c r="J4257" t="s">
        <v>30106</v>
      </c>
      <c r="K4257" t="s">
        <v>37205</v>
      </c>
      <c r="M4257" t="s">
        <v>38806</v>
      </c>
      <c r="N4257" t="s">
        <v>41249</v>
      </c>
      <c r="O4257" t="s">
        <v>41250</v>
      </c>
      <c r="P4257">
        <v>0</v>
      </c>
      <c r="Q4257">
        <v>0</v>
      </c>
      <c r="R4257" t="s">
        <v>41252</v>
      </c>
      <c r="S4257" t="s">
        <v>41383</v>
      </c>
      <c r="T4257" t="s">
        <v>42748</v>
      </c>
      <c r="U4257" t="s">
        <v>46737</v>
      </c>
      <c r="W4257" t="s">
        <v>38806</v>
      </c>
      <c r="X4257" t="s">
        <v>41254</v>
      </c>
    </row>
    <row r="4258" spans="1:24">
      <c r="A4258">
        <f>HYPERLINK("https://www.philgeps.gov.ph/GEPSNONPILOT/Tender/SplashBidNoticeAbstractUI.aspx?menuIndex=3&amp;refID=7075575&amp;Result=3","7075575")</f>
        <v>0</v>
      </c>
      <c r="B4258" t="s">
        <v>1283</v>
      </c>
      <c r="C4258" t="s">
        <v>7471</v>
      </c>
      <c r="D4258" t="s">
        <v>16665</v>
      </c>
      <c r="E4258" t="s">
        <v>20544</v>
      </c>
      <c r="F4258" t="s">
        <v>28669</v>
      </c>
      <c r="G4258" t="s">
        <v>28676</v>
      </c>
      <c r="H4258" t="s">
        <v>9998</v>
      </c>
      <c r="I4258" t="s">
        <v>11593</v>
      </c>
      <c r="J4258" t="s">
        <v>31554</v>
      </c>
      <c r="K4258" t="s">
        <v>37206</v>
      </c>
      <c r="M4258" t="s">
        <v>38834</v>
      </c>
      <c r="N4258" t="s">
        <v>41249</v>
      </c>
      <c r="O4258" t="s">
        <v>41250</v>
      </c>
      <c r="P4258">
        <v>0</v>
      </c>
      <c r="Q4258">
        <v>3</v>
      </c>
      <c r="R4258" t="s">
        <v>41252</v>
      </c>
      <c r="S4258" t="s">
        <v>41383</v>
      </c>
      <c r="T4258" t="s">
        <v>42758</v>
      </c>
      <c r="U4258" t="s">
        <v>46738</v>
      </c>
      <c r="W4258" t="s">
        <v>38834</v>
      </c>
      <c r="X4258" t="s">
        <v>41254</v>
      </c>
    </row>
    <row r="4259" spans="1:24">
      <c r="A4259">
        <f>HYPERLINK("https://www.philgeps.gov.ph/GEPSNONPILOT/Tender/SplashBidNoticeAbstractUI.aspx?menuIndex=3&amp;refID=7075581&amp;Result=3","7075581")</f>
        <v>0</v>
      </c>
      <c r="B4259" t="s">
        <v>642</v>
      </c>
      <c r="C4259" t="s">
        <v>7472</v>
      </c>
      <c r="D4259" t="s">
        <v>16649</v>
      </c>
      <c r="E4259" t="s">
        <v>20502</v>
      </c>
      <c r="F4259" t="s">
        <v>28669</v>
      </c>
      <c r="G4259" t="s">
        <v>28676</v>
      </c>
      <c r="H4259" t="s">
        <v>9998</v>
      </c>
      <c r="I4259" t="s">
        <v>28760</v>
      </c>
      <c r="J4259" t="s">
        <v>31555</v>
      </c>
      <c r="K4259" t="s">
        <v>37205</v>
      </c>
      <c r="M4259" t="s">
        <v>38143</v>
      </c>
      <c r="N4259" t="s">
        <v>41249</v>
      </c>
      <c r="O4259" t="s">
        <v>41250</v>
      </c>
      <c r="P4259">
        <v>0</v>
      </c>
      <c r="Q4259">
        <v>0</v>
      </c>
      <c r="R4259" t="s">
        <v>41252</v>
      </c>
      <c r="S4259" t="s">
        <v>41383</v>
      </c>
      <c r="T4259" t="s">
        <v>42686</v>
      </c>
      <c r="U4259" t="s">
        <v>46739</v>
      </c>
      <c r="W4259" t="s">
        <v>38143</v>
      </c>
      <c r="X4259" t="s">
        <v>41254</v>
      </c>
    </row>
    <row r="4260" spans="1:24">
      <c r="A4260">
        <f>HYPERLINK("https://www.philgeps.gov.ph/GEPSNONPILOT/Tender/SplashBidNoticeAbstractUI.aspx?menuIndex=3&amp;refID=7075563&amp;Result=3","7075563")</f>
        <v>0</v>
      </c>
      <c r="B4260" t="s">
        <v>807</v>
      </c>
      <c r="C4260" t="s">
        <v>7473</v>
      </c>
      <c r="E4260" t="s">
        <v>20545</v>
      </c>
      <c r="F4260" t="s">
        <v>28669</v>
      </c>
      <c r="G4260" t="s">
        <v>28675</v>
      </c>
      <c r="H4260" t="s">
        <v>28686</v>
      </c>
      <c r="I4260" t="s">
        <v>28689</v>
      </c>
      <c r="J4260" t="s">
        <v>31556</v>
      </c>
      <c r="K4260" t="s">
        <v>37209</v>
      </c>
      <c r="M4260" t="s">
        <v>38322</v>
      </c>
      <c r="N4260" t="s">
        <v>41249</v>
      </c>
      <c r="O4260" t="s">
        <v>41250</v>
      </c>
      <c r="Q4260">
        <v>0</v>
      </c>
      <c r="R4260" t="s">
        <v>41252</v>
      </c>
      <c r="S4260" t="s">
        <v>41405</v>
      </c>
      <c r="T4260" t="s">
        <v>42693</v>
      </c>
      <c r="U4260" t="s">
        <v>46740</v>
      </c>
      <c r="W4260" t="s">
        <v>38322</v>
      </c>
      <c r="X4260" t="s">
        <v>41254</v>
      </c>
    </row>
    <row r="4261" spans="1:24">
      <c r="A4261">
        <f>HYPERLINK("https://www.philgeps.gov.ph/GEPSNONPILOT/Tender/SplashBidNoticeAbstractUI.aspx?menuIndex=3&amp;refID=7075596&amp;Result=3","7075596")</f>
        <v>0</v>
      </c>
      <c r="B4261" t="s">
        <v>114</v>
      </c>
      <c r="C4261" t="s">
        <v>7474</v>
      </c>
      <c r="D4261" t="s">
        <v>16608</v>
      </c>
      <c r="E4261" t="s">
        <v>20546</v>
      </c>
      <c r="F4261" t="s">
        <v>28669</v>
      </c>
      <c r="G4261" t="s">
        <v>28677</v>
      </c>
      <c r="H4261" t="s">
        <v>9998</v>
      </c>
      <c r="I4261" t="s">
        <v>5213</v>
      </c>
      <c r="J4261" t="s">
        <v>31557</v>
      </c>
      <c r="K4261" t="s">
        <v>37210</v>
      </c>
      <c r="M4261" t="s">
        <v>38516</v>
      </c>
      <c r="N4261" t="s">
        <v>41249</v>
      </c>
      <c r="O4261" t="s">
        <v>41250</v>
      </c>
      <c r="P4261">
        <v>0</v>
      </c>
      <c r="Q4261">
        <v>0</v>
      </c>
      <c r="R4261" t="s">
        <v>41252</v>
      </c>
      <c r="S4261" t="s">
        <v>41383</v>
      </c>
      <c r="T4261" t="s">
        <v>42878</v>
      </c>
      <c r="U4261" t="s">
        <v>46741</v>
      </c>
      <c r="V4261" t="s">
        <v>54326</v>
      </c>
      <c r="W4261" t="s">
        <v>38516</v>
      </c>
      <c r="X4261" t="s">
        <v>41254</v>
      </c>
    </row>
    <row r="4262" spans="1:24">
      <c r="A4262">
        <f>HYPERLINK("https://www.philgeps.gov.ph/GEPSNONPILOT/Tender/SplashBidNoticeAbstractUI.aspx?menuIndex=3&amp;refID=7075584&amp;Result=3","7075584")</f>
        <v>0</v>
      </c>
      <c r="B4262" t="s">
        <v>1539</v>
      </c>
      <c r="C4262" t="s">
        <v>7475</v>
      </c>
      <c r="D4262" t="s">
        <v>16671</v>
      </c>
      <c r="E4262" t="s">
        <v>20547</v>
      </c>
      <c r="F4262" t="s">
        <v>28669</v>
      </c>
      <c r="G4262" t="s">
        <v>28675</v>
      </c>
      <c r="H4262" t="s">
        <v>9998</v>
      </c>
      <c r="I4262" t="s">
        <v>7352</v>
      </c>
      <c r="J4262" t="s">
        <v>31558</v>
      </c>
      <c r="K4262" t="s">
        <v>37205</v>
      </c>
      <c r="M4262" t="s">
        <v>39114</v>
      </c>
      <c r="N4262" t="s">
        <v>41249</v>
      </c>
      <c r="O4262" t="s">
        <v>41250</v>
      </c>
      <c r="P4262">
        <v>0</v>
      </c>
      <c r="Q4262">
        <v>0</v>
      </c>
      <c r="R4262" t="s">
        <v>41252</v>
      </c>
      <c r="S4262" t="s">
        <v>41383</v>
      </c>
      <c r="T4262" t="s">
        <v>42690</v>
      </c>
      <c r="U4262" t="s">
        <v>46742</v>
      </c>
      <c r="W4262" t="s">
        <v>39114</v>
      </c>
      <c r="X4262" t="s">
        <v>41254</v>
      </c>
    </row>
    <row r="4263" spans="1:24">
      <c r="A4263">
        <f>HYPERLINK("https://www.philgeps.gov.ph/GEPSNONPILOT/Tender/SplashBidNoticeAbstractUI.aspx?menuIndex=3&amp;refID=7075593&amp;Result=3","7075593")</f>
        <v>0</v>
      </c>
      <c r="B4263" t="s">
        <v>1551</v>
      </c>
      <c r="C4263" t="s">
        <v>7476</v>
      </c>
      <c r="D4263" t="s">
        <v>16636</v>
      </c>
      <c r="E4263" t="s">
        <v>20548</v>
      </c>
      <c r="F4263" t="s">
        <v>28669</v>
      </c>
      <c r="G4263" t="s">
        <v>28675</v>
      </c>
      <c r="H4263" t="s">
        <v>9998</v>
      </c>
      <c r="I4263" t="s">
        <v>28687</v>
      </c>
      <c r="J4263" t="s">
        <v>28847</v>
      </c>
      <c r="K4263" t="s">
        <v>37213</v>
      </c>
      <c r="M4263" t="s">
        <v>39128</v>
      </c>
      <c r="N4263" t="s">
        <v>41249</v>
      </c>
      <c r="O4263" t="s">
        <v>41250</v>
      </c>
      <c r="P4263">
        <v>0</v>
      </c>
      <c r="Q4263">
        <v>4</v>
      </c>
      <c r="R4263" t="s">
        <v>41252</v>
      </c>
      <c r="S4263" t="s">
        <v>41383</v>
      </c>
      <c r="T4263" t="s">
        <v>42808</v>
      </c>
      <c r="U4263" t="s">
        <v>46743</v>
      </c>
      <c r="V4263" t="s">
        <v>54718</v>
      </c>
      <c r="W4263" t="s">
        <v>39128</v>
      </c>
      <c r="X4263" t="s">
        <v>41254</v>
      </c>
    </row>
    <row r="4264" spans="1:24">
      <c r="A4264">
        <f>HYPERLINK("https://www.philgeps.gov.ph/GEPSNONPILOT/Tender/SplashBidNoticeAbstractUI.aspx?menuIndex=3&amp;refID=7075591&amp;Result=3","7075591")</f>
        <v>0</v>
      </c>
      <c r="B4264" t="s">
        <v>1552</v>
      </c>
      <c r="C4264" t="s">
        <v>7477</v>
      </c>
      <c r="D4264" t="s">
        <v>16652</v>
      </c>
      <c r="E4264" t="s">
        <v>20549</v>
      </c>
      <c r="F4264" t="s">
        <v>28669</v>
      </c>
      <c r="G4264" t="s">
        <v>28676</v>
      </c>
      <c r="H4264" t="s">
        <v>9998</v>
      </c>
      <c r="I4264" t="s">
        <v>6128</v>
      </c>
      <c r="J4264" t="s">
        <v>28863</v>
      </c>
      <c r="K4264" t="s">
        <v>37209</v>
      </c>
      <c r="M4264" t="s">
        <v>39129</v>
      </c>
      <c r="N4264" t="s">
        <v>41249</v>
      </c>
      <c r="O4264" t="s">
        <v>41250</v>
      </c>
      <c r="P4264">
        <v>0</v>
      </c>
      <c r="Q4264">
        <v>0</v>
      </c>
      <c r="R4264" t="s">
        <v>41252</v>
      </c>
      <c r="S4264" t="s">
        <v>41383</v>
      </c>
      <c r="T4264" t="s">
        <v>42748</v>
      </c>
      <c r="U4264" t="s">
        <v>46744</v>
      </c>
      <c r="W4264" t="s">
        <v>39129</v>
      </c>
      <c r="X4264" t="s">
        <v>41254</v>
      </c>
    </row>
    <row r="4265" spans="1:24">
      <c r="A4265">
        <f>HYPERLINK("https://www.philgeps.gov.ph/GEPSNONPILOT/Tender/SplashBidNoticeAbstractUI.aspx?menuIndex=3&amp;refID=7075589&amp;Result=3","7075589")</f>
        <v>0</v>
      </c>
      <c r="B4265" t="s">
        <v>1553</v>
      </c>
      <c r="C4265" t="s">
        <v>7478</v>
      </c>
      <c r="D4265" t="s">
        <v>16626</v>
      </c>
      <c r="E4265" t="s">
        <v>20550</v>
      </c>
      <c r="F4265" t="s">
        <v>28669</v>
      </c>
      <c r="G4265" t="s">
        <v>28676</v>
      </c>
      <c r="H4265" t="s">
        <v>28684</v>
      </c>
      <c r="I4265" t="s">
        <v>28772</v>
      </c>
      <c r="J4265" t="s">
        <v>29304</v>
      </c>
      <c r="K4265" t="s">
        <v>37238</v>
      </c>
      <c r="M4265" t="s">
        <v>39130</v>
      </c>
      <c r="N4265" t="s">
        <v>41249</v>
      </c>
      <c r="O4265" t="s">
        <v>41250</v>
      </c>
      <c r="P4265">
        <v>0</v>
      </c>
      <c r="Q4265">
        <v>0</v>
      </c>
      <c r="R4265" t="s">
        <v>41252</v>
      </c>
      <c r="S4265" t="s">
        <v>41383</v>
      </c>
      <c r="T4265" t="s">
        <v>42758</v>
      </c>
      <c r="U4265" t="s">
        <v>46745</v>
      </c>
      <c r="W4265" t="s">
        <v>39130</v>
      </c>
      <c r="X4265" t="s">
        <v>41254</v>
      </c>
    </row>
    <row r="4266" spans="1:24">
      <c r="A4266">
        <f>HYPERLINK("https://www.philgeps.gov.ph/GEPSNONPILOT/Tender/SplashBidNoticeAbstractUI.aspx?menuIndex=3&amp;refID=7075585&amp;Result=3","7075585")</f>
        <v>0</v>
      </c>
      <c r="B4266" t="s">
        <v>80</v>
      </c>
      <c r="C4266" t="s">
        <v>7479</v>
      </c>
      <c r="D4266" t="s">
        <v>16650</v>
      </c>
      <c r="E4266" t="s">
        <v>20551</v>
      </c>
      <c r="F4266" t="s">
        <v>28669</v>
      </c>
      <c r="G4266" t="s">
        <v>28676</v>
      </c>
      <c r="H4266" t="s">
        <v>9998</v>
      </c>
      <c r="I4266" t="s">
        <v>28699</v>
      </c>
      <c r="J4266" t="s">
        <v>29143</v>
      </c>
      <c r="K4266" t="s">
        <v>37209</v>
      </c>
      <c r="M4266" t="s">
        <v>37555</v>
      </c>
      <c r="N4266" t="s">
        <v>41249</v>
      </c>
      <c r="O4266" t="s">
        <v>41250</v>
      </c>
      <c r="P4266">
        <v>0</v>
      </c>
      <c r="Q4266">
        <v>0</v>
      </c>
      <c r="R4266" t="s">
        <v>41252</v>
      </c>
      <c r="S4266" t="s">
        <v>41383</v>
      </c>
      <c r="T4266" t="s">
        <v>42673</v>
      </c>
      <c r="U4266" t="s">
        <v>43288</v>
      </c>
      <c r="W4266" t="s">
        <v>37555</v>
      </c>
      <c r="X4266" t="s">
        <v>41254</v>
      </c>
    </row>
    <row r="4267" spans="1:24">
      <c r="A4267">
        <f>HYPERLINK("https://www.philgeps.gov.ph/GEPSNONPILOT/Tender/SplashBidNoticeAbstractUI.aspx?menuIndex=3&amp;refID=7075588&amp;Result=3","7075588")</f>
        <v>0</v>
      </c>
      <c r="B4267" t="s">
        <v>1515</v>
      </c>
      <c r="C4267" t="s">
        <v>7424</v>
      </c>
      <c r="D4267" t="s">
        <v>16678</v>
      </c>
      <c r="E4267" t="s">
        <v>20552</v>
      </c>
      <c r="F4267" t="s">
        <v>28669</v>
      </c>
      <c r="G4267" t="s">
        <v>28676</v>
      </c>
      <c r="H4267" t="s">
        <v>9998</v>
      </c>
      <c r="I4267" t="s">
        <v>15140</v>
      </c>
      <c r="J4267" t="s">
        <v>29104</v>
      </c>
      <c r="K4267" t="s">
        <v>37206</v>
      </c>
      <c r="M4267" t="s">
        <v>39089</v>
      </c>
      <c r="N4267" t="s">
        <v>41249</v>
      </c>
      <c r="O4267" t="s">
        <v>41250</v>
      </c>
      <c r="P4267">
        <v>0</v>
      </c>
      <c r="Q4267">
        <v>0</v>
      </c>
      <c r="R4267" t="s">
        <v>41252</v>
      </c>
      <c r="S4267" t="s">
        <v>41383</v>
      </c>
      <c r="T4267" t="s">
        <v>42736</v>
      </c>
      <c r="U4267" t="s">
        <v>46697</v>
      </c>
      <c r="W4267" t="s">
        <v>39089</v>
      </c>
      <c r="X4267" t="s">
        <v>41254</v>
      </c>
    </row>
    <row r="4268" spans="1:24">
      <c r="A4268">
        <f>HYPERLINK("https://www.philgeps.gov.ph/GEPSNONPILOT/Tender/SplashBidNoticeAbstractUI.aspx?menuIndex=3&amp;refID=7075613&amp;Result=3","7075613")</f>
        <v>0</v>
      </c>
      <c r="B4268" t="s">
        <v>1343</v>
      </c>
      <c r="C4268" t="s">
        <v>7480</v>
      </c>
      <c r="D4268" t="s">
        <v>16649</v>
      </c>
      <c r="E4268" t="s">
        <v>20553</v>
      </c>
      <c r="F4268" t="s">
        <v>28669</v>
      </c>
      <c r="G4268" t="s">
        <v>28677</v>
      </c>
      <c r="H4268" t="s">
        <v>9998</v>
      </c>
      <c r="I4268" t="s">
        <v>7352</v>
      </c>
      <c r="J4268" t="s">
        <v>31559</v>
      </c>
      <c r="K4268" t="s">
        <v>37210</v>
      </c>
      <c r="M4268" t="s">
        <v>38898</v>
      </c>
      <c r="N4268" t="s">
        <v>41249</v>
      </c>
      <c r="O4268" t="s">
        <v>41250</v>
      </c>
      <c r="P4268">
        <v>0</v>
      </c>
      <c r="Q4268">
        <v>0</v>
      </c>
      <c r="R4268" t="s">
        <v>41252</v>
      </c>
      <c r="S4268" t="s">
        <v>41383</v>
      </c>
      <c r="T4268" t="s">
        <v>42887</v>
      </c>
      <c r="U4268" t="s">
        <v>46746</v>
      </c>
      <c r="W4268" t="s">
        <v>38898</v>
      </c>
      <c r="X4268" t="s">
        <v>41254</v>
      </c>
    </row>
    <row r="4269" spans="1:24">
      <c r="A4269">
        <f>HYPERLINK("https://www.philgeps.gov.ph/GEPSNONPILOT/Tender/SplashBidNoticeAbstractUI.aspx?menuIndex=3&amp;refID=7075592&amp;Result=3","7075592")</f>
        <v>0</v>
      </c>
      <c r="B4269" t="s">
        <v>1554</v>
      </c>
      <c r="C4269" t="s">
        <v>7481</v>
      </c>
      <c r="D4269" t="s">
        <v>16638</v>
      </c>
      <c r="E4269" t="s">
        <v>19409</v>
      </c>
      <c r="F4269" t="s">
        <v>28669</v>
      </c>
      <c r="G4269" t="s">
        <v>28680</v>
      </c>
      <c r="H4269" t="s">
        <v>9998</v>
      </c>
      <c r="I4269" t="s">
        <v>15140</v>
      </c>
      <c r="J4269" t="s">
        <v>31560</v>
      </c>
      <c r="K4269" t="s">
        <v>37209</v>
      </c>
      <c r="M4269" t="s">
        <v>39131</v>
      </c>
      <c r="N4269" t="s">
        <v>41249</v>
      </c>
      <c r="O4269" t="s">
        <v>41250</v>
      </c>
      <c r="P4269">
        <v>0</v>
      </c>
      <c r="Q4269">
        <v>0</v>
      </c>
      <c r="R4269" t="s">
        <v>41252</v>
      </c>
      <c r="S4269" t="s">
        <v>41383</v>
      </c>
      <c r="T4269" t="s">
        <v>42729</v>
      </c>
      <c r="U4269" t="s">
        <v>46747</v>
      </c>
      <c r="W4269" t="s">
        <v>39131</v>
      </c>
      <c r="X4269" t="s">
        <v>41254</v>
      </c>
    </row>
    <row r="4270" spans="1:24">
      <c r="A4270">
        <f>HYPERLINK("https://www.philgeps.gov.ph/GEPSNONPILOT/Tender/SplashBidNoticeAbstractUI.aspx?menuIndex=3&amp;refID=7075597&amp;Result=3","7075597")</f>
        <v>0</v>
      </c>
      <c r="B4270" t="s">
        <v>1555</v>
      </c>
      <c r="C4270" t="s">
        <v>7482</v>
      </c>
      <c r="D4270" t="s">
        <v>16626</v>
      </c>
      <c r="E4270" t="s">
        <v>20554</v>
      </c>
      <c r="F4270" t="s">
        <v>28669</v>
      </c>
      <c r="G4270" t="s">
        <v>28675</v>
      </c>
      <c r="H4270" t="s">
        <v>9998</v>
      </c>
      <c r="I4270" t="s">
        <v>28687</v>
      </c>
      <c r="J4270" t="s">
        <v>31561</v>
      </c>
      <c r="K4270" t="s">
        <v>37209</v>
      </c>
      <c r="M4270" t="s">
        <v>39132</v>
      </c>
      <c r="N4270" t="s">
        <v>41249</v>
      </c>
      <c r="O4270" t="s">
        <v>41250</v>
      </c>
      <c r="P4270">
        <v>0</v>
      </c>
      <c r="Q4270">
        <v>8</v>
      </c>
      <c r="R4270" t="s">
        <v>41252</v>
      </c>
      <c r="S4270" t="s">
        <v>41383</v>
      </c>
      <c r="T4270" t="s">
        <v>42961</v>
      </c>
      <c r="U4270" t="s">
        <v>46748</v>
      </c>
      <c r="W4270" t="s">
        <v>39132</v>
      </c>
      <c r="X4270" t="s">
        <v>41254</v>
      </c>
    </row>
    <row r="4271" spans="1:24">
      <c r="A4271">
        <f>HYPERLINK("https://www.philgeps.gov.ph/GEPSNONPILOT/Tender/SplashBidNoticeAbstractUI.aspx?menuIndex=3&amp;refID=7075594&amp;Result=3","7075594")</f>
        <v>0</v>
      </c>
      <c r="B4271" t="s">
        <v>1556</v>
      </c>
      <c r="C4271" t="s">
        <v>7483</v>
      </c>
      <c r="D4271" t="s">
        <v>16607</v>
      </c>
      <c r="E4271" t="s">
        <v>19625</v>
      </c>
      <c r="F4271" t="s">
        <v>28669</v>
      </c>
      <c r="G4271" t="s">
        <v>28676</v>
      </c>
      <c r="H4271" t="s">
        <v>9998</v>
      </c>
      <c r="I4271" t="s">
        <v>28697</v>
      </c>
      <c r="J4271" t="s">
        <v>31562</v>
      </c>
      <c r="K4271" t="s">
        <v>37205</v>
      </c>
      <c r="M4271" t="s">
        <v>39133</v>
      </c>
      <c r="N4271" t="s">
        <v>41249</v>
      </c>
      <c r="O4271" t="s">
        <v>41250</v>
      </c>
      <c r="P4271">
        <v>0</v>
      </c>
      <c r="Q4271">
        <v>8</v>
      </c>
      <c r="R4271" t="s">
        <v>41252</v>
      </c>
      <c r="S4271" t="s">
        <v>41383</v>
      </c>
      <c r="T4271" t="s">
        <v>42962</v>
      </c>
      <c r="U4271" t="s">
        <v>46749</v>
      </c>
      <c r="W4271" t="s">
        <v>39133</v>
      </c>
      <c r="X4271" t="s">
        <v>41254</v>
      </c>
    </row>
    <row r="4272" spans="1:24">
      <c r="A4272">
        <f>HYPERLINK("https://www.philgeps.gov.ph/GEPSNONPILOT/Tender/SplashBidNoticeAbstractUI.aspx?menuIndex=3&amp;refID=7075598&amp;Result=3","7075598")</f>
        <v>0</v>
      </c>
      <c r="B4272" t="s">
        <v>729</v>
      </c>
      <c r="C4272" t="s">
        <v>7484</v>
      </c>
      <c r="D4272" t="s">
        <v>16608</v>
      </c>
      <c r="E4272" t="s">
        <v>20555</v>
      </c>
      <c r="F4272" t="s">
        <v>28669</v>
      </c>
      <c r="G4272" t="s">
        <v>28676</v>
      </c>
      <c r="H4272" t="s">
        <v>28686</v>
      </c>
      <c r="I4272" t="s">
        <v>28689</v>
      </c>
      <c r="J4272" t="s">
        <v>31563</v>
      </c>
      <c r="K4272" t="s">
        <v>37213</v>
      </c>
      <c r="M4272" t="s">
        <v>38237</v>
      </c>
      <c r="N4272" t="s">
        <v>41249</v>
      </c>
      <c r="O4272" t="s">
        <v>41250</v>
      </c>
      <c r="P4272">
        <v>0</v>
      </c>
      <c r="Q4272">
        <v>1</v>
      </c>
      <c r="R4272" t="s">
        <v>41252</v>
      </c>
      <c r="S4272" t="s">
        <v>41383</v>
      </c>
      <c r="T4272" t="s">
        <v>42743</v>
      </c>
      <c r="U4272" t="s">
        <v>46750</v>
      </c>
      <c r="V4272" t="s">
        <v>54651</v>
      </c>
      <c r="W4272" t="s">
        <v>38237</v>
      </c>
      <c r="X4272" t="s">
        <v>41254</v>
      </c>
    </row>
    <row r="4273" spans="1:24">
      <c r="A4273">
        <f>HYPERLINK("https://www.philgeps.gov.ph/GEPSNONPILOT/Tender/SplashBidNoticeAbstractUI.aspx?menuIndex=3&amp;refID=7075576&amp;Result=3","7075576")</f>
        <v>0</v>
      </c>
      <c r="B4273" t="s">
        <v>582</v>
      </c>
      <c r="C4273" t="s">
        <v>7485</v>
      </c>
      <c r="D4273" t="s">
        <v>16659</v>
      </c>
      <c r="E4273" t="s">
        <v>20556</v>
      </c>
      <c r="F4273" t="s">
        <v>28669</v>
      </c>
      <c r="G4273" t="s">
        <v>28675</v>
      </c>
      <c r="H4273" t="s">
        <v>28686</v>
      </c>
      <c r="I4273" t="s">
        <v>28689</v>
      </c>
      <c r="J4273" t="s">
        <v>31564</v>
      </c>
      <c r="K4273" t="s">
        <v>37213</v>
      </c>
      <c r="M4273" t="s">
        <v>38081</v>
      </c>
      <c r="N4273" t="s">
        <v>41249</v>
      </c>
      <c r="O4273" t="s">
        <v>41250</v>
      </c>
      <c r="P4273">
        <v>0</v>
      </c>
      <c r="Q4273">
        <v>8</v>
      </c>
      <c r="R4273" t="s">
        <v>41252</v>
      </c>
      <c r="S4273" t="s">
        <v>41383</v>
      </c>
      <c r="T4273" t="s">
        <v>42716</v>
      </c>
      <c r="U4273" t="s">
        <v>46751</v>
      </c>
      <c r="W4273" t="s">
        <v>38081</v>
      </c>
      <c r="X4273" t="s">
        <v>41254</v>
      </c>
    </row>
    <row r="4274" spans="1:24">
      <c r="A4274">
        <f>HYPERLINK("https://www.philgeps.gov.ph/GEPSNONPILOT/Tender/SplashBidNoticeAbstractUI.aspx?menuIndex=3&amp;refID=7075595&amp;Result=3","7075595")</f>
        <v>0</v>
      </c>
      <c r="B4274" t="s">
        <v>662</v>
      </c>
      <c r="C4274" t="s">
        <v>7486</v>
      </c>
      <c r="D4274" t="s">
        <v>16635</v>
      </c>
      <c r="E4274" t="s">
        <v>20557</v>
      </c>
      <c r="F4274" t="s">
        <v>28669</v>
      </c>
      <c r="G4274" t="s">
        <v>28676</v>
      </c>
      <c r="H4274" t="s">
        <v>28686</v>
      </c>
      <c r="I4274" t="s">
        <v>28689</v>
      </c>
      <c r="J4274" t="s">
        <v>31565</v>
      </c>
      <c r="K4274" t="s">
        <v>37291</v>
      </c>
      <c r="M4274" t="s">
        <v>38164</v>
      </c>
      <c r="N4274" t="s">
        <v>41249</v>
      </c>
      <c r="O4274" t="s">
        <v>41250</v>
      </c>
      <c r="P4274">
        <v>0</v>
      </c>
      <c r="Q4274">
        <v>0</v>
      </c>
      <c r="R4274" t="s">
        <v>41252</v>
      </c>
      <c r="S4274" t="s">
        <v>41383</v>
      </c>
      <c r="T4274" t="s">
        <v>42809</v>
      </c>
      <c r="U4274" t="s">
        <v>46752</v>
      </c>
      <c r="W4274" t="s">
        <v>38164</v>
      </c>
      <c r="X4274" t="s">
        <v>41254</v>
      </c>
    </row>
    <row r="4275" spans="1:24">
      <c r="A4275">
        <f>HYPERLINK("https://www.philgeps.gov.ph/GEPSNONPILOT/Tender/SplashBidNoticeAbstractUI.aspx?menuIndex=3&amp;refID=7075611&amp;Result=3","7075611")</f>
        <v>0</v>
      </c>
      <c r="B4275" t="s">
        <v>1557</v>
      </c>
      <c r="C4275" t="s">
        <v>7487</v>
      </c>
      <c r="D4275" t="s">
        <v>16678</v>
      </c>
      <c r="E4275" t="s">
        <v>20558</v>
      </c>
      <c r="F4275" t="s">
        <v>28669</v>
      </c>
      <c r="G4275" t="s">
        <v>28676</v>
      </c>
      <c r="H4275" t="s">
        <v>9998</v>
      </c>
      <c r="I4275" t="s">
        <v>28689</v>
      </c>
      <c r="J4275" t="s">
        <v>28863</v>
      </c>
      <c r="K4275" t="s">
        <v>37208</v>
      </c>
      <c r="M4275" t="s">
        <v>39134</v>
      </c>
      <c r="N4275" t="s">
        <v>41249</v>
      </c>
      <c r="O4275" t="s">
        <v>41250</v>
      </c>
      <c r="P4275">
        <v>0</v>
      </c>
      <c r="Q4275">
        <v>0</v>
      </c>
      <c r="R4275" t="s">
        <v>41252</v>
      </c>
      <c r="S4275" t="s">
        <v>41383</v>
      </c>
      <c r="T4275" t="s">
        <v>42701</v>
      </c>
      <c r="U4275" t="s">
        <v>46753</v>
      </c>
      <c r="V4275" t="s">
        <v>54719</v>
      </c>
      <c r="W4275" t="s">
        <v>39134</v>
      </c>
      <c r="X4275" t="s">
        <v>41254</v>
      </c>
    </row>
    <row r="4276" spans="1:24">
      <c r="A4276">
        <f>HYPERLINK("https://www.philgeps.gov.ph/GEPSNONPILOT/Tender/SplashBidNoticeAbstractUI.aspx?menuIndex=3&amp;refID=7075622&amp;Result=3","7075622")</f>
        <v>0</v>
      </c>
      <c r="B4276" t="s">
        <v>1558</v>
      </c>
      <c r="C4276" t="s">
        <v>7488</v>
      </c>
      <c r="D4276" t="s">
        <v>16629</v>
      </c>
      <c r="E4276" t="s">
        <v>20559</v>
      </c>
      <c r="F4276" t="s">
        <v>28669</v>
      </c>
      <c r="G4276" t="s">
        <v>28675</v>
      </c>
      <c r="H4276" t="s">
        <v>28686</v>
      </c>
      <c r="I4276" t="s">
        <v>28689</v>
      </c>
      <c r="J4276" t="s">
        <v>28826</v>
      </c>
      <c r="K4276" t="s">
        <v>37205</v>
      </c>
      <c r="M4276" t="s">
        <v>39135</v>
      </c>
      <c r="N4276" t="s">
        <v>41249</v>
      </c>
      <c r="O4276" t="s">
        <v>41250</v>
      </c>
      <c r="P4276">
        <v>0</v>
      </c>
      <c r="Q4276">
        <v>0</v>
      </c>
      <c r="R4276" t="s">
        <v>41252</v>
      </c>
      <c r="S4276" t="s">
        <v>41383</v>
      </c>
      <c r="T4276" t="s">
        <v>42690</v>
      </c>
      <c r="U4276" t="s">
        <v>46754</v>
      </c>
      <c r="V4276" t="s">
        <v>54720</v>
      </c>
      <c r="W4276" t="s">
        <v>39135</v>
      </c>
      <c r="X4276" t="s">
        <v>41254</v>
      </c>
    </row>
    <row r="4277" spans="1:24">
      <c r="A4277">
        <f>HYPERLINK("https://www.philgeps.gov.ph/GEPSNONPILOT/Tender/SplashBidNoticeAbstractUI.aspx?menuIndex=3&amp;refID=7075620&amp;Result=3","7075620")</f>
        <v>0</v>
      </c>
      <c r="B4277" t="s">
        <v>1559</v>
      </c>
      <c r="C4277" t="s">
        <v>7489</v>
      </c>
      <c r="D4277" t="s">
        <v>16643</v>
      </c>
      <c r="E4277" t="s">
        <v>7489</v>
      </c>
      <c r="F4277" t="s">
        <v>28669</v>
      </c>
      <c r="G4277" t="s">
        <v>28675</v>
      </c>
      <c r="H4277" t="s">
        <v>28686</v>
      </c>
      <c r="I4277" t="s">
        <v>28752</v>
      </c>
      <c r="J4277" t="s">
        <v>31566</v>
      </c>
      <c r="K4277" t="s">
        <v>37209</v>
      </c>
      <c r="M4277" t="s">
        <v>39136</v>
      </c>
      <c r="N4277" t="s">
        <v>41249</v>
      </c>
      <c r="O4277" t="s">
        <v>41250</v>
      </c>
      <c r="P4277">
        <v>0</v>
      </c>
      <c r="Q4277">
        <v>0</v>
      </c>
      <c r="R4277" t="s">
        <v>41252</v>
      </c>
      <c r="S4277" t="s">
        <v>41383</v>
      </c>
      <c r="T4277" t="s">
        <v>42709</v>
      </c>
      <c r="U4277" t="s">
        <v>46755</v>
      </c>
      <c r="W4277" t="s">
        <v>39136</v>
      </c>
      <c r="X4277" t="s">
        <v>41254</v>
      </c>
    </row>
    <row r="4278" spans="1:24">
      <c r="A4278">
        <f>HYPERLINK("https://www.philgeps.gov.ph/GEPSNONPILOT/Tender/SplashBidNoticeAbstractUI.aspx?menuIndex=3&amp;refID=7075617&amp;Result=3","7075617")</f>
        <v>0</v>
      </c>
      <c r="B4278" t="s">
        <v>1088</v>
      </c>
      <c r="C4278" t="s">
        <v>7490</v>
      </c>
      <c r="E4278" t="s">
        <v>20560</v>
      </c>
      <c r="F4278" t="s">
        <v>28669</v>
      </c>
      <c r="G4278" t="s">
        <v>28675</v>
      </c>
      <c r="H4278" t="s">
        <v>9998</v>
      </c>
      <c r="I4278" t="s">
        <v>28687</v>
      </c>
      <c r="J4278" t="s">
        <v>29847</v>
      </c>
      <c r="K4278" t="s">
        <v>37209</v>
      </c>
      <c r="M4278" t="s">
        <v>38620</v>
      </c>
      <c r="N4278" t="s">
        <v>41249</v>
      </c>
      <c r="O4278" t="s">
        <v>41250</v>
      </c>
      <c r="P4278">
        <v>0</v>
      </c>
      <c r="Q4278">
        <v>5</v>
      </c>
      <c r="R4278" t="s">
        <v>41252</v>
      </c>
      <c r="S4278" t="s">
        <v>41383</v>
      </c>
      <c r="T4278" t="s">
        <v>42779</v>
      </c>
      <c r="U4278" t="s">
        <v>46756</v>
      </c>
      <c r="W4278" t="s">
        <v>38620</v>
      </c>
      <c r="X4278" t="s">
        <v>41254</v>
      </c>
    </row>
    <row r="4279" spans="1:24">
      <c r="A4279">
        <f>HYPERLINK("https://www.philgeps.gov.ph/GEPSNONPILOT/Tender/SplashBidNoticeAbstractUI.aspx?menuIndex=3&amp;refID=7075616&amp;Result=3","7075616")</f>
        <v>0</v>
      </c>
      <c r="B4279" t="s">
        <v>631</v>
      </c>
      <c r="C4279" t="s">
        <v>7491</v>
      </c>
      <c r="D4279" t="s">
        <v>16617</v>
      </c>
      <c r="E4279" t="s">
        <v>20561</v>
      </c>
      <c r="F4279" t="s">
        <v>28669</v>
      </c>
      <c r="G4279" t="s">
        <v>28676</v>
      </c>
      <c r="H4279" t="s">
        <v>9998</v>
      </c>
      <c r="I4279" t="s">
        <v>28708</v>
      </c>
      <c r="J4279" t="s">
        <v>28879</v>
      </c>
      <c r="K4279" t="s">
        <v>37204</v>
      </c>
      <c r="M4279" t="s">
        <v>38131</v>
      </c>
      <c r="N4279" t="s">
        <v>41249</v>
      </c>
      <c r="O4279" t="s">
        <v>41250</v>
      </c>
      <c r="P4279">
        <v>0</v>
      </c>
      <c r="Q4279">
        <v>0</v>
      </c>
      <c r="R4279" t="s">
        <v>41252</v>
      </c>
      <c r="S4279" t="s">
        <v>41383</v>
      </c>
      <c r="T4279" t="s">
        <v>42748</v>
      </c>
      <c r="U4279" t="s">
        <v>46757</v>
      </c>
      <c r="W4279" t="s">
        <v>38131</v>
      </c>
      <c r="X4279" t="s">
        <v>41254</v>
      </c>
    </row>
    <row r="4280" spans="1:24">
      <c r="A4280">
        <f>HYPERLINK("https://www.philgeps.gov.ph/GEPSNONPILOT/Tender/SplashBidNoticeAbstractUI.aspx?menuIndex=3&amp;refID=7075615&amp;Result=3","7075615")</f>
        <v>0</v>
      </c>
      <c r="B4280" t="s">
        <v>1549</v>
      </c>
      <c r="C4280" t="s">
        <v>7492</v>
      </c>
      <c r="D4280" t="s">
        <v>16621</v>
      </c>
      <c r="E4280" t="s">
        <v>20562</v>
      </c>
      <c r="F4280" t="s">
        <v>28669</v>
      </c>
      <c r="G4280" t="s">
        <v>28676</v>
      </c>
      <c r="H4280" t="s">
        <v>9998</v>
      </c>
      <c r="I4280" t="s">
        <v>7352</v>
      </c>
      <c r="J4280" t="s">
        <v>31567</v>
      </c>
      <c r="K4280" t="s">
        <v>37210</v>
      </c>
      <c r="M4280" t="s">
        <v>39126</v>
      </c>
      <c r="N4280" t="s">
        <v>41249</v>
      </c>
      <c r="O4280" t="s">
        <v>41250</v>
      </c>
      <c r="P4280">
        <v>0</v>
      </c>
      <c r="Q4280">
        <v>0</v>
      </c>
      <c r="R4280" t="s">
        <v>41252</v>
      </c>
      <c r="S4280" t="s">
        <v>41383</v>
      </c>
      <c r="T4280" t="s">
        <v>42743</v>
      </c>
      <c r="U4280" t="s">
        <v>46758</v>
      </c>
      <c r="W4280" t="s">
        <v>39126</v>
      </c>
      <c r="X4280" t="s">
        <v>41254</v>
      </c>
    </row>
    <row r="4281" spans="1:24">
      <c r="A4281">
        <f>HYPERLINK("https://www.philgeps.gov.ph/GEPSNONPILOT/Tender/SplashBidNoticeAbstractUI.aspx?menuIndex=3&amp;refID=7075614&amp;Result=3","7075614")</f>
        <v>0</v>
      </c>
      <c r="B4281" t="s">
        <v>1560</v>
      </c>
      <c r="C4281" t="s">
        <v>7493</v>
      </c>
      <c r="D4281" t="s">
        <v>16641</v>
      </c>
      <c r="E4281" t="s">
        <v>20563</v>
      </c>
      <c r="F4281" t="s">
        <v>28669</v>
      </c>
      <c r="G4281" t="s">
        <v>28675</v>
      </c>
      <c r="H4281" t="s">
        <v>28686</v>
      </c>
      <c r="I4281" t="s">
        <v>28689</v>
      </c>
      <c r="J4281" t="s">
        <v>31568</v>
      </c>
      <c r="K4281" t="s">
        <v>37220</v>
      </c>
      <c r="M4281" t="s">
        <v>39137</v>
      </c>
      <c r="N4281" t="s">
        <v>41249</v>
      </c>
      <c r="O4281" t="s">
        <v>41250</v>
      </c>
      <c r="P4281">
        <v>0</v>
      </c>
      <c r="Q4281">
        <v>1</v>
      </c>
      <c r="R4281" t="s">
        <v>41252</v>
      </c>
      <c r="S4281" t="s">
        <v>41383</v>
      </c>
      <c r="T4281" t="s">
        <v>42808</v>
      </c>
      <c r="U4281" t="s">
        <v>46759</v>
      </c>
      <c r="W4281" t="s">
        <v>39137</v>
      </c>
      <c r="X4281" t="s">
        <v>41254</v>
      </c>
    </row>
    <row r="4282" spans="1:24">
      <c r="A4282">
        <f>HYPERLINK("https://www.philgeps.gov.ph/GEPSNONPILOT/Tender/SplashBidNoticeAbstractUI.aspx?menuIndex=3&amp;refID=7075605&amp;Result=3","7075605")</f>
        <v>0</v>
      </c>
      <c r="B4282" t="s">
        <v>618</v>
      </c>
      <c r="C4282" t="s">
        <v>7494</v>
      </c>
      <c r="D4282" t="s">
        <v>16654</v>
      </c>
      <c r="E4282" t="s">
        <v>20564</v>
      </c>
      <c r="F4282" t="s">
        <v>28669</v>
      </c>
      <c r="G4282" t="s">
        <v>28676</v>
      </c>
      <c r="H4282" t="s">
        <v>9998</v>
      </c>
      <c r="I4282" t="s">
        <v>28699</v>
      </c>
      <c r="J4282" t="s">
        <v>29622</v>
      </c>
      <c r="K4282" t="s">
        <v>37210</v>
      </c>
      <c r="M4282" t="s">
        <v>38118</v>
      </c>
      <c r="N4282" t="s">
        <v>41249</v>
      </c>
      <c r="O4282" t="s">
        <v>41250</v>
      </c>
      <c r="P4282">
        <v>0</v>
      </c>
      <c r="Q4282">
        <v>1</v>
      </c>
      <c r="R4282" t="s">
        <v>41252</v>
      </c>
      <c r="S4282" t="s">
        <v>41383</v>
      </c>
      <c r="T4282" t="s">
        <v>42675</v>
      </c>
      <c r="U4282" t="s">
        <v>46760</v>
      </c>
      <c r="W4282" t="s">
        <v>38118</v>
      </c>
      <c r="X4282" t="s">
        <v>41254</v>
      </c>
    </row>
    <row r="4283" spans="1:24">
      <c r="A4283">
        <f>HYPERLINK("https://www.philgeps.gov.ph/GEPSNONPILOT/Tender/SplashBidNoticeAbstractUI.aspx?menuIndex=3&amp;refID=7075619&amp;Result=3","7075619")</f>
        <v>0</v>
      </c>
      <c r="B4283" t="s">
        <v>1509</v>
      </c>
      <c r="C4283" t="s">
        <v>7495</v>
      </c>
      <c r="D4283" t="s">
        <v>16609</v>
      </c>
      <c r="E4283" t="s">
        <v>20565</v>
      </c>
      <c r="F4283" t="s">
        <v>28669</v>
      </c>
      <c r="G4283" t="s">
        <v>28678</v>
      </c>
      <c r="H4283" t="s">
        <v>9998</v>
      </c>
      <c r="I4283" t="s">
        <v>5213</v>
      </c>
      <c r="J4283" t="s">
        <v>30657</v>
      </c>
      <c r="K4283" t="s">
        <v>37220</v>
      </c>
      <c r="M4283" t="s">
        <v>39083</v>
      </c>
      <c r="N4283" t="s">
        <v>41249</v>
      </c>
      <c r="O4283" t="s">
        <v>41250</v>
      </c>
      <c r="P4283">
        <v>0</v>
      </c>
      <c r="Q4283">
        <v>4</v>
      </c>
      <c r="R4283" t="s">
        <v>41252</v>
      </c>
      <c r="S4283" t="s">
        <v>41383</v>
      </c>
      <c r="T4283" t="s">
        <v>42754</v>
      </c>
      <c r="U4283" t="s">
        <v>46582</v>
      </c>
      <c r="W4283" t="s">
        <v>39083</v>
      </c>
      <c r="X4283" t="s">
        <v>41254</v>
      </c>
    </row>
    <row r="4284" spans="1:24">
      <c r="A4284">
        <f>HYPERLINK("https://www.philgeps.gov.ph/GEPSNONPILOT/Tender/SplashBidNoticeAbstractUI.aspx?menuIndex=3&amp;refID=7075602&amp;Result=3","7075602")</f>
        <v>0</v>
      </c>
      <c r="B4284" t="s">
        <v>53</v>
      </c>
      <c r="C4284" t="s">
        <v>4538</v>
      </c>
      <c r="D4284" t="s">
        <v>16632</v>
      </c>
      <c r="E4284" t="s">
        <v>20566</v>
      </c>
      <c r="F4284" t="s">
        <v>28669</v>
      </c>
      <c r="G4284" t="s">
        <v>28676</v>
      </c>
      <c r="H4284" t="s">
        <v>9998</v>
      </c>
      <c r="I4284" t="s">
        <v>6606</v>
      </c>
      <c r="J4284" t="s">
        <v>28834</v>
      </c>
      <c r="K4284" t="s">
        <v>37208</v>
      </c>
      <c r="M4284" t="s">
        <v>37528</v>
      </c>
      <c r="N4284" t="s">
        <v>41249</v>
      </c>
      <c r="O4284" t="s">
        <v>41250</v>
      </c>
      <c r="P4284">
        <v>0</v>
      </c>
      <c r="Q4284">
        <v>0</v>
      </c>
      <c r="R4284" t="s">
        <v>41252</v>
      </c>
      <c r="S4284" t="s">
        <v>41383</v>
      </c>
      <c r="T4284" t="s">
        <v>42758</v>
      </c>
      <c r="U4284" t="s">
        <v>46761</v>
      </c>
      <c r="W4284" t="s">
        <v>37528</v>
      </c>
      <c r="X4284" t="s">
        <v>41254</v>
      </c>
    </row>
    <row r="4285" spans="1:24">
      <c r="A4285">
        <f>HYPERLINK("https://www.philgeps.gov.ph/GEPSNONPILOT/Tender/SplashBidNoticeAbstractUI.aspx?menuIndex=3&amp;refID=7075601&amp;Result=3","7075601")</f>
        <v>0</v>
      </c>
      <c r="B4285" t="s">
        <v>1515</v>
      </c>
      <c r="C4285" t="s">
        <v>7313</v>
      </c>
      <c r="D4285" t="s">
        <v>16678</v>
      </c>
      <c r="E4285" t="s">
        <v>20567</v>
      </c>
      <c r="F4285" t="s">
        <v>28669</v>
      </c>
      <c r="G4285" t="s">
        <v>28676</v>
      </c>
      <c r="H4285" t="s">
        <v>9998</v>
      </c>
      <c r="I4285" t="s">
        <v>28695</v>
      </c>
      <c r="J4285" t="s">
        <v>28954</v>
      </c>
      <c r="K4285" t="s">
        <v>37213</v>
      </c>
      <c r="M4285" t="s">
        <v>39089</v>
      </c>
      <c r="N4285" t="s">
        <v>41249</v>
      </c>
      <c r="O4285" t="s">
        <v>41250</v>
      </c>
      <c r="P4285">
        <v>0</v>
      </c>
      <c r="Q4285">
        <v>0</v>
      </c>
      <c r="R4285" t="s">
        <v>41252</v>
      </c>
      <c r="S4285" t="s">
        <v>41383</v>
      </c>
      <c r="T4285" t="s">
        <v>42736</v>
      </c>
      <c r="U4285" t="s">
        <v>46600</v>
      </c>
      <c r="W4285" t="s">
        <v>39089</v>
      </c>
      <c r="X4285" t="s">
        <v>41254</v>
      </c>
    </row>
    <row r="4286" spans="1:24">
      <c r="A4286">
        <f>HYPERLINK("https://www.philgeps.gov.ph/GEPSNONPILOT/Tender/SplashBidNoticeAbstractUI.aspx?menuIndex=3&amp;refID=7075608&amp;Result=3","7075608")</f>
        <v>0</v>
      </c>
      <c r="B4286" t="s">
        <v>812</v>
      </c>
      <c r="C4286" t="s">
        <v>7496</v>
      </c>
      <c r="D4286" t="s">
        <v>16658</v>
      </c>
      <c r="E4286" t="s">
        <v>20568</v>
      </c>
      <c r="F4286" t="s">
        <v>28669</v>
      </c>
      <c r="G4286" t="s">
        <v>28675</v>
      </c>
      <c r="H4286" t="s">
        <v>9998</v>
      </c>
      <c r="I4286" t="s">
        <v>28709</v>
      </c>
      <c r="J4286" t="s">
        <v>28836</v>
      </c>
      <c r="K4286" t="s">
        <v>37206</v>
      </c>
      <c r="M4286" t="s">
        <v>38327</v>
      </c>
      <c r="N4286" t="s">
        <v>41249</v>
      </c>
      <c r="O4286" t="s">
        <v>41250</v>
      </c>
      <c r="P4286">
        <v>0</v>
      </c>
      <c r="Q4286">
        <v>2</v>
      </c>
      <c r="R4286" t="s">
        <v>41252</v>
      </c>
      <c r="S4286" t="s">
        <v>41383</v>
      </c>
      <c r="T4286" t="s">
        <v>42855</v>
      </c>
      <c r="U4286" t="s">
        <v>46762</v>
      </c>
      <c r="W4286" t="s">
        <v>38327</v>
      </c>
      <c r="X4286" t="s">
        <v>41254</v>
      </c>
    </row>
    <row r="4287" spans="1:24">
      <c r="A4287">
        <f>HYPERLINK("https://www.philgeps.gov.ph/GEPSNONPILOT/Tender/SplashBidNoticeAbstractUI.aspx?menuIndex=3&amp;refID=7075623&amp;Result=3","7075623")</f>
        <v>0</v>
      </c>
      <c r="B4287" t="s">
        <v>642</v>
      </c>
      <c r="C4287" t="s">
        <v>7497</v>
      </c>
      <c r="D4287" t="s">
        <v>16683</v>
      </c>
      <c r="E4287" t="s">
        <v>20502</v>
      </c>
      <c r="F4287" t="s">
        <v>28669</v>
      </c>
      <c r="G4287" t="s">
        <v>28676</v>
      </c>
      <c r="H4287" t="s">
        <v>9998</v>
      </c>
      <c r="I4287" t="s">
        <v>28760</v>
      </c>
      <c r="J4287" t="s">
        <v>31569</v>
      </c>
      <c r="K4287" t="s">
        <v>37205</v>
      </c>
      <c r="M4287" t="s">
        <v>38143</v>
      </c>
      <c r="N4287" t="s">
        <v>41249</v>
      </c>
      <c r="O4287" t="s">
        <v>41250</v>
      </c>
      <c r="P4287">
        <v>0</v>
      </c>
      <c r="Q4287">
        <v>0</v>
      </c>
      <c r="R4287" t="s">
        <v>41252</v>
      </c>
      <c r="S4287" t="s">
        <v>41383</v>
      </c>
      <c r="T4287" t="s">
        <v>42686</v>
      </c>
      <c r="U4287" t="s">
        <v>46763</v>
      </c>
      <c r="W4287" t="s">
        <v>38143</v>
      </c>
      <c r="X4287" t="s">
        <v>41254</v>
      </c>
    </row>
    <row r="4288" spans="1:24">
      <c r="A4288">
        <f>HYPERLINK("https://www.philgeps.gov.ph/GEPSNONPILOT/Tender/SplashBidNoticeAbstractUI.aspx?menuIndex=3&amp;refID=7075612&amp;Result=3","7075612")</f>
        <v>0</v>
      </c>
      <c r="B4288" t="s">
        <v>850</v>
      </c>
      <c r="C4288" t="s">
        <v>7498</v>
      </c>
      <c r="D4288" t="s">
        <v>16686</v>
      </c>
      <c r="E4288" t="s">
        <v>20569</v>
      </c>
      <c r="F4288" t="s">
        <v>28669</v>
      </c>
      <c r="G4288" t="s">
        <v>28676</v>
      </c>
      <c r="H4288" t="s">
        <v>9998</v>
      </c>
      <c r="I4288" t="s">
        <v>5286</v>
      </c>
      <c r="J4288" t="s">
        <v>31570</v>
      </c>
      <c r="K4288" t="s">
        <v>37209</v>
      </c>
      <c r="M4288" t="s">
        <v>38366</v>
      </c>
      <c r="N4288" t="s">
        <v>41249</v>
      </c>
      <c r="O4288" t="s">
        <v>41250</v>
      </c>
      <c r="P4288">
        <v>0</v>
      </c>
      <c r="Q4288">
        <v>2</v>
      </c>
      <c r="R4288" t="s">
        <v>41252</v>
      </c>
      <c r="S4288" t="s">
        <v>41383</v>
      </c>
      <c r="T4288" t="s">
        <v>42729</v>
      </c>
      <c r="U4288" t="s">
        <v>46764</v>
      </c>
      <c r="W4288" t="s">
        <v>38366</v>
      </c>
      <c r="X4288" t="s">
        <v>41254</v>
      </c>
    </row>
    <row r="4289" spans="1:24">
      <c r="A4289">
        <f>HYPERLINK("https://www.philgeps.gov.ph/GEPSNONPILOT/Tender/SplashBidNoticeAbstractUI.aspx?menuIndex=3&amp;refID=7075639&amp;Result=3","7075639")</f>
        <v>0</v>
      </c>
      <c r="B4289" t="s">
        <v>778</v>
      </c>
      <c r="C4289" t="s">
        <v>7499</v>
      </c>
      <c r="D4289" t="s">
        <v>16675</v>
      </c>
      <c r="E4289" t="s">
        <v>20570</v>
      </c>
      <c r="F4289" t="s">
        <v>28669</v>
      </c>
      <c r="G4289" t="s">
        <v>28676</v>
      </c>
      <c r="H4289" t="s">
        <v>9998</v>
      </c>
      <c r="I4289" t="s">
        <v>5286</v>
      </c>
      <c r="J4289" t="s">
        <v>31571</v>
      </c>
      <c r="K4289" t="s">
        <v>37210</v>
      </c>
      <c r="M4289" t="s">
        <v>38292</v>
      </c>
      <c r="N4289" t="s">
        <v>41249</v>
      </c>
      <c r="O4289" t="s">
        <v>41250</v>
      </c>
      <c r="P4289">
        <v>0</v>
      </c>
      <c r="Q4289">
        <v>1</v>
      </c>
      <c r="R4289" t="s">
        <v>41252</v>
      </c>
      <c r="S4289" t="s">
        <v>41383</v>
      </c>
      <c r="T4289" t="s">
        <v>42729</v>
      </c>
      <c r="U4289" t="s">
        <v>46765</v>
      </c>
      <c r="W4289" t="s">
        <v>38292</v>
      </c>
      <c r="X4289" t="s">
        <v>41254</v>
      </c>
    </row>
    <row r="4290" spans="1:24">
      <c r="A4290">
        <f>HYPERLINK("https://www.philgeps.gov.ph/GEPSNONPILOT/Tender/SplashBidNoticeAbstractUI.aspx?menuIndex=3&amp;refID=7075636&amp;Result=3","7075636")</f>
        <v>0</v>
      </c>
      <c r="B4290" t="s">
        <v>1561</v>
      </c>
      <c r="C4290" t="s">
        <v>7500</v>
      </c>
      <c r="D4290" t="s">
        <v>16657</v>
      </c>
      <c r="E4290" t="s">
        <v>20571</v>
      </c>
      <c r="F4290" t="s">
        <v>28669</v>
      </c>
      <c r="G4290" t="s">
        <v>28679</v>
      </c>
      <c r="H4290" t="s">
        <v>28686</v>
      </c>
      <c r="I4290" t="s">
        <v>28689</v>
      </c>
      <c r="J4290" t="s">
        <v>28878</v>
      </c>
      <c r="K4290" t="s">
        <v>37209</v>
      </c>
      <c r="M4290" t="s">
        <v>39138</v>
      </c>
      <c r="N4290" t="s">
        <v>41249</v>
      </c>
      <c r="O4290" t="s">
        <v>41250</v>
      </c>
      <c r="P4290">
        <v>0</v>
      </c>
      <c r="Q4290">
        <v>1</v>
      </c>
      <c r="R4290" t="s">
        <v>41252</v>
      </c>
      <c r="S4290" t="s">
        <v>41383</v>
      </c>
      <c r="T4290" t="s">
        <v>42757</v>
      </c>
      <c r="U4290" t="s">
        <v>46766</v>
      </c>
      <c r="W4290" t="s">
        <v>39138</v>
      </c>
      <c r="X4290" t="s">
        <v>41254</v>
      </c>
    </row>
    <row r="4291" spans="1:24">
      <c r="A4291">
        <f>HYPERLINK("https://www.philgeps.gov.ph/GEPSNONPILOT/Tender/SplashBidNoticeAbstractUI.aspx?menuIndex=3&amp;refID=7075634&amp;Result=3","7075634")</f>
        <v>0</v>
      </c>
      <c r="B4291" t="s">
        <v>1257</v>
      </c>
      <c r="C4291" t="s">
        <v>7501</v>
      </c>
      <c r="D4291" t="s">
        <v>16639</v>
      </c>
      <c r="E4291" t="s">
        <v>20572</v>
      </c>
      <c r="F4291" t="s">
        <v>28669</v>
      </c>
      <c r="G4291" t="s">
        <v>28676</v>
      </c>
      <c r="H4291" t="s">
        <v>9998</v>
      </c>
      <c r="I4291" t="s">
        <v>6128</v>
      </c>
      <c r="J4291" t="s">
        <v>31572</v>
      </c>
      <c r="K4291" t="s">
        <v>37206</v>
      </c>
      <c r="M4291" t="s">
        <v>38806</v>
      </c>
      <c r="N4291" t="s">
        <v>41249</v>
      </c>
      <c r="O4291" t="s">
        <v>41250</v>
      </c>
      <c r="P4291">
        <v>0</v>
      </c>
      <c r="Q4291">
        <v>0</v>
      </c>
      <c r="R4291" t="s">
        <v>41252</v>
      </c>
      <c r="S4291" t="s">
        <v>41383</v>
      </c>
      <c r="T4291" t="s">
        <v>42748</v>
      </c>
      <c r="U4291" t="s">
        <v>46767</v>
      </c>
      <c r="W4291" t="s">
        <v>38806</v>
      </c>
      <c r="X4291" t="s">
        <v>41254</v>
      </c>
    </row>
    <row r="4292" spans="1:24">
      <c r="A4292">
        <f>HYPERLINK("https://www.philgeps.gov.ph/GEPSNONPILOT/Tender/SplashBidNoticeAbstractUI.aspx?menuIndex=3&amp;refID=7075600&amp;Result=3","7075600")</f>
        <v>0</v>
      </c>
      <c r="B4292" t="s">
        <v>573</v>
      </c>
      <c r="C4292" t="s">
        <v>7502</v>
      </c>
      <c r="D4292" t="s">
        <v>16609</v>
      </c>
      <c r="E4292" t="s">
        <v>20573</v>
      </c>
      <c r="F4292" t="s">
        <v>28669</v>
      </c>
      <c r="G4292" t="s">
        <v>28676</v>
      </c>
      <c r="H4292" t="s">
        <v>28686</v>
      </c>
      <c r="I4292" t="s">
        <v>28689</v>
      </c>
      <c r="J4292" t="s">
        <v>29104</v>
      </c>
      <c r="K4292" t="s">
        <v>37221</v>
      </c>
      <c r="M4292" t="s">
        <v>39123</v>
      </c>
      <c r="N4292" t="s">
        <v>41249</v>
      </c>
      <c r="O4292" t="s">
        <v>41250</v>
      </c>
      <c r="P4292">
        <v>0</v>
      </c>
      <c r="Q4292">
        <v>2</v>
      </c>
      <c r="R4292" t="s">
        <v>41252</v>
      </c>
      <c r="S4292" t="s">
        <v>41383</v>
      </c>
      <c r="T4292" t="s">
        <v>42696</v>
      </c>
      <c r="U4292" t="s">
        <v>46768</v>
      </c>
      <c r="W4292" t="s">
        <v>39123</v>
      </c>
      <c r="X4292" t="s">
        <v>41254</v>
      </c>
    </row>
    <row r="4293" spans="1:24">
      <c r="A4293">
        <f>HYPERLINK("https://www.philgeps.gov.ph/GEPSNONPILOT/Tender/SplashBidNoticeAbstractUI.aspx?menuIndex=3&amp;refID=7075633&amp;Result=3","7075633")</f>
        <v>0</v>
      </c>
      <c r="B4293" t="s">
        <v>662</v>
      </c>
      <c r="C4293" t="s">
        <v>7503</v>
      </c>
      <c r="D4293" t="s">
        <v>16635</v>
      </c>
      <c r="E4293" t="s">
        <v>20574</v>
      </c>
      <c r="F4293" t="s">
        <v>28669</v>
      </c>
      <c r="G4293" t="s">
        <v>28676</v>
      </c>
      <c r="H4293" t="s">
        <v>9998</v>
      </c>
      <c r="I4293" t="s">
        <v>7352</v>
      </c>
      <c r="J4293" t="s">
        <v>31573</v>
      </c>
      <c r="K4293" t="s">
        <v>37206</v>
      </c>
      <c r="M4293" t="s">
        <v>38164</v>
      </c>
      <c r="N4293" t="s">
        <v>41249</v>
      </c>
      <c r="O4293" t="s">
        <v>41250</v>
      </c>
      <c r="P4293">
        <v>0</v>
      </c>
      <c r="Q4293">
        <v>0</v>
      </c>
      <c r="R4293" t="s">
        <v>41252</v>
      </c>
      <c r="S4293" t="s">
        <v>41383</v>
      </c>
      <c r="T4293" t="s">
        <v>42809</v>
      </c>
      <c r="U4293" t="s">
        <v>46769</v>
      </c>
      <c r="W4293" t="s">
        <v>38164</v>
      </c>
      <c r="X4293" t="s">
        <v>41254</v>
      </c>
    </row>
    <row r="4294" spans="1:24">
      <c r="A4294">
        <f>HYPERLINK("https://www.philgeps.gov.ph/GEPSNONPILOT/Tender/SplashBidNoticeAbstractUI.aspx?menuIndex=3&amp;refID=7075599&amp;Result=3","7075599")</f>
        <v>0</v>
      </c>
      <c r="B4294" t="s">
        <v>1562</v>
      </c>
      <c r="C4294" t="s">
        <v>7504</v>
      </c>
      <c r="D4294" t="s">
        <v>16671</v>
      </c>
      <c r="E4294" t="s">
        <v>20575</v>
      </c>
      <c r="F4294" t="s">
        <v>28669</v>
      </c>
      <c r="G4294" t="s">
        <v>28676</v>
      </c>
      <c r="H4294" t="s">
        <v>9998</v>
      </c>
      <c r="I4294" t="s">
        <v>28725</v>
      </c>
      <c r="J4294" t="s">
        <v>30404</v>
      </c>
      <c r="K4294" t="s">
        <v>37205</v>
      </c>
      <c r="M4294" t="s">
        <v>39139</v>
      </c>
      <c r="N4294" t="s">
        <v>41249</v>
      </c>
      <c r="O4294" t="s">
        <v>41250</v>
      </c>
      <c r="P4294">
        <v>0</v>
      </c>
      <c r="Q4294">
        <v>0</v>
      </c>
      <c r="R4294" t="s">
        <v>41252</v>
      </c>
      <c r="S4294" t="s">
        <v>41383</v>
      </c>
      <c r="T4294" t="s">
        <v>42730</v>
      </c>
      <c r="U4294" t="s">
        <v>46770</v>
      </c>
      <c r="W4294" t="s">
        <v>39139</v>
      </c>
      <c r="X4294" t="s">
        <v>41254</v>
      </c>
    </row>
    <row r="4295" spans="1:24">
      <c r="A4295">
        <f>HYPERLINK("https://www.philgeps.gov.ph/GEPSNONPILOT/Tender/SplashBidNoticeAbstractUI.aspx?menuIndex=3&amp;refID=7075638&amp;Result=3","7075638")</f>
        <v>0</v>
      </c>
      <c r="B4295" t="s">
        <v>1549</v>
      </c>
      <c r="C4295" t="s">
        <v>7505</v>
      </c>
      <c r="D4295" t="s">
        <v>16621</v>
      </c>
      <c r="E4295" t="s">
        <v>20576</v>
      </c>
      <c r="F4295" t="s">
        <v>28669</v>
      </c>
      <c r="G4295" t="s">
        <v>28676</v>
      </c>
      <c r="H4295" t="s">
        <v>9998</v>
      </c>
      <c r="I4295" t="s">
        <v>8667</v>
      </c>
      <c r="J4295" t="s">
        <v>31574</v>
      </c>
      <c r="K4295" t="s">
        <v>37210</v>
      </c>
      <c r="M4295" t="s">
        <v>39140</v>
      </c>
      <c r="N4295" t="s">
        <v>41249</v>
      </c>
      <c r="O4295" t="s">
        <v>41250</v>
      </c>
      <c r="P4295">
        <v>0</v>
      </c>
      <c r="Q4295">
        <v>0</v>
      </c>
      <c r="R4295" t="s">
        <v>41252</v>
      </c>
      <c r="S4295" t="s">
        <v>41383</v>
      </c>
      <c r="T4295" t="s">
        <v>42743</v>
      </c>
      <c r="U4295" t="s">
        <v>46771</v>
      </c>
      <c r="W4295" t="s">
        <v>39140</v>
      </c>
      <c r="X4295" t="s">
        <v>41254</v>
      </c>
    </row>
    <row r="4296" spans="1:24">
      <c r="A4296">
        <f>HYPERLINK("https://www.philgeps.gov.ph/GEPSNONPILOT/Tender/SplashBidNoticeAbstractUI.aspx?menuIndex=3&amp;refID=7075580&amp;Result=3","7075580")</f>
        <v>0</v>
      </c>
      <c r="B4296" t="s">
        <v>133</v>
      </c>
      <c r="C4296" t="s">
        <v>7506</v>
      </c>
      <c r="E4296" t="s">
        <v>20577</v>
      </c>
      <c r="F4296" t="s">
        <v>28669</v>
      </c>
      <c r="G4296" t="s">
        <v>28676</v>
      </c>
      <c r="H4296" t="s">
        <v>9998</v>
      </c>
      <c r="I4296" t="s">
        <v>7352</v>
      </c>
      <c r="J4296" t="s">
        <v>31575</v>
      </c>
      <c r="K4296" t="s">
        <v>37210</v>
      </c>
      <c r="M4296" t="s">
        <v>37610</v>
      </c>
      <c r="N4296" t="s">
        <v>41249</v>
      </c>
      <c r="O4296" t="s">
        <v>41250</v>
      </c>
      <c r="P4296">
        <v>0</v>
      </c>
      <c r="Q4296">
        <v>0</v>
      </c>
      <c r="R4296" t="s">
        <v>41252</v>
      </c>
      <c r="S4296" t="s">
        <v>41383</v>
      </c>
      <c r="T4296" t="s">
        <v>42783</v>
      </c>
      <c r="U4296" t="s">
        <v>46772</v>
      </c>
      <c r="V4296" t="s">
        <v>54670</v>
      </c>
      <c r="W4296" t="s">
        <v>37610</v>
      </c>
      <c r="X4296" t="s">
        <v>41254</v>
      </c>
    </row>
    <row r="4297" spans="1:24">
      <c r="A4297">
        <f>HYPERLINK("https://www.philgeps.gov.ph/GEPSNONPILOT/Tender/SplashBidNoticeAbstractUI.aspx?menuIndex=3&amp;refID=7075606&amp;Result=3","7075606")</f>
        <v>0</v>
      </c>
      <c r="B4297" t="s">
        <v>1539</v>
      </c>
      <c r="C4297" t="s">
        <v>7507</v>
      </c>
      <c r="D4297" t="s">
        <v>16671</v>
      </c>
      <c r="E4297" t="s">
        <v>20578</v>
      </c>
      <c r="F4297" t="s">
        <v>28669</v>
      </c>
      <c r="G4297" t="s">
        <v>28675</v>
      </c>
      <c r="H4297" t="s">
        <v>9998</v>
      </c>
      <c r="I4297" t="s">
        <v>7352</v>
      </c>
      <c r="J4297" t="s">
        <v>31576</v>
      </c>
      <c r="K4297" t="s">
        <v>37205</v>
      </c>
      <c r="M4297" t="s">
        <v>39114</v>
      </c>
      <c r="N4297" t="s">
        <v>41249</v>
      </c>
      <c r="O4297" t="s">
        <v>41250</v>
      </c>
      <c r="P4297">
        <v>0</v>
      </c>
      <c r="Q4297">
        <v>0</v>
      </c>
      <c r="R4297" t="s">
        <v>41252</v>
      </c>
      <c r="S4297" t="s">
        <v>41383</v>
      </c>
      <c r="T4297" t="s">
        <v>42690</v>
      </c>
      <c r="U4297" t="s">
        <v>46773</v>
      </c>
      <c r="W4297" t="s">
        <v>39114</v>
      </c>
      <c r="X4297" t="s">
        <v>41254</v>
      </c>
    </row>
    <row r="4298" spans="1:24">
      <c r="A4298">
        <f>HYPERLINK("https://www.philgeps.gov.ph/GEPSNONPILOT/Tender/SplashBidNoticeAbstractUI.aspx?menuIndex=3&amp;refID=7075643&amp;Result=3","7075643")</f>
        <v>0</v>
      </c>
      <c r="B4298" t="s">
        <v>1563</v>
      </c>
      <c r="C4298" t="s">
        <v>7508</v>
      </c>
      <c r="E4298" t="s">
        <v>20579</v>
      </c>
      <c r="F4298" t="s">
        <v>28669</v>
      </c>
      <c r="G4298" t="s">
        <v>28675</v>
      </c>
      <c r="H4298" t="s">
        <v>9998</v>
      </c>
      <c r="I4298" t="s">
        <v>28738</v>
      </c>
      <c r="J4298" t="s">
        <v>31577</v>
      </c>
      <c r="K4298" t="s">
        <v>37209</v>
      </c>
      <c r="M4298" t="s">
        <v>39141</v>
      </c>
      <c r="N4298" t="s">
        <v>41249</v>
      </c>
      <c r="O4298" t="s">
        <v>41250</v>
      </c>
      <c r="P4298">
        <v>0</v>
      </c>
      <c r="Q4298">
        <v>1</v>
      </c>
      <c r="R4298" t="s">
        <v>41252</v>
      </c>
      <c r="S4298" t="s">
        <v>41383</v>
      </c>
      <c r="T4298" t="s">
        <v>42703</v>
      </c>
      <c r="U4298" t="s">
        <v>46774</v>
      </c>
      <c r="V4298" t="s">
        <v>54721</v>
      </c>
      <c r="W4298" t="s">
        <v>39141</v>
      </c>
      <c r="X4298" t="s">
        <v>41254</v>
      </c>
    </row>
    <row r="4299" spans="1:24">
      <c r="A4299">
        <f>HYPERLINK("https://www.philgeps.gov.ph/GEPSNONPILOT/Tender/SplashBidNoticeAbstractUI.aspx?menuIndex=3&amp;refID=7075632&amp;Result=3","7075632")</f>
        <v>0</v>
      </c>
      <c r="B4299" t="s">
        <v>352</v>
      </c>
      <c r="C4299" t="s">
        <v>7509</v>
      </c>
      <c r="D4299" t="s">
        <v>16608</v>
      </c>
      <c r="E4299" t="s">
        <v>20580</v>
      </c>
      <c r="F4299" t="s">
        <v>28669</v>
      </c>
      <c r="G4299" t="s">
        <v>28675</v>
      </c>
      <c r="H4299" t="s">
        <v>28686</v>
      </c>
      <c r="I4299" t="s">
        <v>28689</v>
      </c>
      <c r="J4299" t="s">
        <v>29059</v>
      </c>
      <c r="K4299" t="s">
        <v>37213</v>
      </c>
      <c r="M4299" t="s">
        <v>37832</v>
      </c>
      <c r="N4299" t="s">
        <v>41249</v>
      </c>
      <c r="O4299" t="s">
        <v>41250</v>
      </c>
      <c r="P4299">
        <v>0</v>
      </c>
      <c r="Q4299">
        <v>2</v>
      </c>
      <c r="R4299" t="s">
        <v>41252</v>
      </c>
      <c r="S4299" t="s">
        <v>41383</v>
      </c>
      <c r="T4299" t="s">
        <v>42963</v>
      </c>
      <c r="U4299" t="s">
        <v>46775</v>
      </c>
      <c r="V4299" t="s">
        <v>54722</v>
      </c>
      <c r="W4299" t="s">
        <v>37832</v>
      </c>
      <c r="X4299" t="s">
        <v>41254</v>
      </c>
    </row>
    <row r="4300" spans="1:24">
      <c r="A4300">
        <f>HYPERLINK("https://www.philgeps.gov.ph/GEPSNONPILOT/Tender/SplashBidNoticeAbstractUI.aspx?menuIndex=3&amp;refID=7075642&amp;Result=3","7075642")</f>
        <v>0</v>
      </c>
      <c r="B4300" t="s">
        <v>850</v>
      </c>
      <c r="C4300" t="s">
        <v>7510</v>
      </c>
      <c r="D4300" t="s">
        <v>16686</v>
      </c>
      <c r="E4300" t="s">
        <v>20581</v>
      </c>
      <c r="F4300" t="s">
        <v>28669</v>
      </c>
      <c r="G4300" t="s">
        <v>28676</v>
      </c>
      <c r="H4300" t="s">
        <v>9998</v>
      </c>
      <c r="I4300" t="s">
        <v>7352</v>
      </c>
      <c r="J4300" t="s">
        <v>31578</v>
      </c>
      <c r="K4300" t="s">
        <v>37209</v>
      </c>
      <c r="M4300" t="s">
        <v>38366</v>
      </c>
      <c r="N4300" t="s">
        <v>41249</v>
      </c>
      <c r="O4300" t="s">
        <v>41250</v>
      </c>
      <c r="P4300">
        <v>0</v>
      </c>
      <c r="Q4300">
        <v>1</v>
      </c>
      <c r="R4300" t="s">
        <v>41252</v>
      </c>
      <c r="S4300" t="s">
        <v>41383</v>
      </c>
      <c r="T4300" t="s">
        <v>42729</v>
      </c>
      <c r="U4300" t="s">
        <v>46776</v>
      </c>
      <c r="W4300" t="s">
        <v>38366</v>
      </c>
      <c r="X4300" t="s">
        <v>41254</v>
      </c>
    </row>
    <row r="4301" spans="1:24">
      <c r="A4301">
        <f>HYPERLINK("https://www.philgeps.gov.ph/GEPSNONPILOT/Tender/SplashBidNoticeAbstractUI.aspx?menuIndex=3&amp;refID=7075631&amp;Result=3","7075631")</f>
        <v>0</v>
      </c>
      <c r="B4301" t="s">
        <v>1509</v>
      </c>
      <c r="C4301" t="s">
        <v>7511</v>
      </c>
      <c r="D4301" t="s">
        <v>16631</v>
      </c>
      <c r="E4301" t="s">
        <v>20582</v>
      </c>
      <c r="F4301" t="s">
        <v>28669</v>
      </c>
      <c r="G4301" t="s">
        <v>28678</v>
      </c>
      <c r="H4301" t="s">
        <v>9998</v>
      </c>
      <c r="I4301" t="s">
        <v>5213</v>
      </c>
      <c r="J4301" t="s">
        <v>31579</v>
      </c>
      <c r="K4301" t="s">
        <v>37206</v>
      </c>
      <c r="M4301" t="s">
        <v>39083</v>
      </c>
      <c r="N4301" t="s">
        <v>41249</v>
      </c>
      <c r="O4301" t="s">
        <v>41250</v>
      </c>
      <c r="P4301">
        <v>0</v>
      </c>
      <c r="Q4301">
        <v>4</v>
      </c>
      <c r="R4301" t="s">
        <v>41252</v>
      </c>
      <c r="S4301" t="s">
        <v>41383</v>
      </c>
      <c r="T4301" t="s">
        <v>42754</v>
      </c>
      <c r="U4301" t="s">
        <v>46582</v>
      </c>
      <c r="W4301" t="s">
        <v>39083</v>
      </c>
      <c r="X4301" t="s">
        <v>41254</v>
      </c>
    </row>
    <row r="4302" spans="1:24">
      <c r="A4302">
        <f>HYPERLINK("https://www.philgeps.gov.ph/GEPSNONPILOT/Tender/SplashBidNoticeAbstractUI.aspx?menuIndex=3&amp;refID=7075630&amp;Result=3","7075630")</f>
        <v>0</v>
      </c>
      <c r="B4302" t="s">
        <v>996</v>
      </c>
      <c r="C4302" t="s">
        <v>7512</v>
      </c>
      <c r="E4302" t="s">
        <v>20583</v>
      </c>
      <c r="F4302" t="s">
        <v>28669</v>
      </c>
      <c r="G4302" t="s">
        <v>28676</v>
      </c>
      <c r="H4302" t="s">
        <v>9998</v>
      </c>
      <c r="I4302" t="s">
        <v>28728</v>
      </c>
      <c r="J4302" t="s">
        <v>29040</v>
      </c>
      <c r="K4302" t="s">
        <v>37209</v>
      </c>
      <c r="M4302" t="s">
        <v>38524</v>
      </c>
      <c r="N4302" t="s">
        <v>41249</v>
      </c>
      <c r="O4302" t="s">
        <v>41250</v>
      </c>
      <c r="P4302">
        <v>0</v>
      </c>
      <c r="Q4302">
        <v>0</v>
      </c>
      <c r="R4302" t="s">
        <v>41252</v>
      </c>
      <c r="S4302" t="s">
        <v>41383</v>
      </c>
      <c r="T4302" t="s">
        <v>42729</v>
      </c>
      <c r="U4302" t="s">
        <v>46777</v>
      </c>
      <c r="W4302" t="s">
        <v>38524</v>
      </c>
      <c r="X4302" t="s">
        <v>41254</v>
      </c>
    </row>
    <row r="4303" spans="1:24">
      <c r="A4303">
        <f>HYPERLINK("https://www.philgeps.gov.ph/GEPSNONPILOT/Tender/SplashBidNoticeAbstractUI.aspx?menuIndex=3&amp;refID=7075645&amp;Result=3","7075645")</f>
        <v>0</v>
      </c>
      <c r="B4303" t="s">
        <v>403</v>
      </c>
      <c r="C4303" t="s">
        <v>7513</v>
      </c>
      <c r="D4303" t="s">
        <v>16618</v>
      </c>
      <c r="E4303" t="s">
        <v>20584</v>
      </c>
      <c r="F4303" t="s">
        <v>28669</v>
      </c>
      <c r="G4303" t="s">
        <v>28677</v>
      </c>
      <c r="H4303" t="s">
        <v>28684</v>
      </c>
      <c r="I4303" t="s">
        <v>28697</v>
      </c>
      <c r="J4303" t="s">
        <v>28894</v>
      </c>
      <c r="K4303" t="s">
        <v>37204</v>
      </c>
      <c r="M4303" t="s">
        <v>37888</v>
      </c>
      <c r="N4303" t="s">
        <v>41249</v>
      </c>
      <c r="O4303" t="s">
        <v>41250</v>
      </c>
      <c r="P4303">
        <v>0</v>
      </c>
      <c r="Q4303">
        <v>2</v>
      </c>
      <c r="R4303" t="s">
        <v>41252</v>
      </c>
      <c r="S4303" t="s">
        <v>41383</v>
      </c>
      <c r="T4303" t="s">
        <v>42738</v>
      </c>
      <c r="U4303" t="s">
        <v>46778</v>
      </c>
      <c r="W4303" t="s">
        <v>37888</v>
      </c>
      <c r="X4303" t="s">
        <v>41254</v>
      </c>
    </row>
    <row r="4304" spans="1:24">
      <c r="A4304">
        <f>HYPERLINK("https://www.philgeps.gov.ph/GEPSNONPILOT/Tender/SplashBidNoticeAbstractUI.aspx?menuIndex=3&amp;refID=7075644&amp;Result=3","7075644")</f>
        <v>0</v>
      </c>
      <c r="B4304" t="s">
        <v>1564</v>
      </c>
      <c r="C4304" t="s">
        <v>7514</v>
      </c>
      <c r="D4304" t="s">
        <v>16630</v>
      </c>
      <c r="E4304" t="s">
        <v>20585</v>
      </c>
      <c r="F4304" t="s">
        <v>28669</v>
      </c>
      <c r="G4304" t="s">
        <v>28676</v>
      </c>
      <c r="H4304" t="s">
        <v>9998</v>
      </c>
      <c r="I4304" t="s">
        <v>7352</v>
      </c>
      <c r="J4304" t="s">
        <v>29522</v>
      </c>
      <c r="K4304" t="s">
        <v>37208</v>
      </c>
      <c r="M4304" t="s">
        <v>39142</v>
      </c>
      <c r="N4304" t="s">
        <v>41249</v>
      </c>
      <c r="O4304" t="s">
        <v>41250</v>
      </c>
      <c r="P4304">
        <v>0</v>
      </c>
      <c r="Q4304">
        <v>0</v>
      </c>
      <c r="R4304" t="s">
        <v>41252</v>
      </c>
      <c r="S4304" t="s">
        <v>41383</v>
      </c>
      <c r="T4304" t="s">
        <v>42701</v>
      </c>
      <c r="U4304" t="s">
        <v>46779</v>
      </c>
      <c r="W4304" t="s">
        <v>39142</v>
      </c>
      <c r="X4304" t="s">
        <v>41254</v>
      </c>
    </row>
    <row r="4305" spans="1:24">
      <c r="A4305">
        <f>HYPERLINK("https://www.philgeps.gov.ph/GEPSNONPILOT/Tender/SplashBidNoticeAbstractUI.aspx?menuIndex=3&amp;refID=7075629&amp;Result=3","7075629")</f>
        <v>0</v>
      </c>
      <c r="B4305" t="s">
        <v>1515</v>
      </c>
      <c r="C4305" t="s">
        <v>4508</v>
      </c>
      <c r="D4305" t="s">
        <v>16678</v>
      </c>
      <c r="E4305" t="s">
        <v>20586</v>
      </c>
      <c r="F4305" t="s">
        <v>28669</v>
      </c>
      <c r="G4305" t="s">
        <v>28676</v>
      </c>
      <c r="H4305" t="s">
        <v>9998</v>
      </c>
      <c r="I4305" t="s">
        <v>3718</v>
      </c>
      <c r="J4305" t="s">
        <v>29190</v>
      </c>
      <c r="K4305" t="s">
        <v>37206</v>
      </c>
      <c r="M4305" t="s">
        <v>39089</v>
      </c>
      <c r="N4305" t="s">
        <v>41249</v>
      </c>
      <c r="O4305" t="s">
        <v>41250</v>
      </c>
      <c r="P4305">
        <v>0</v>
      </c>
      <c r="Q4305">
        <v>3</v>
      </c>
      <c r="R4305" t="s">
        <v>41252</v>
      </c>
      <c r="S4305" t="s">
        <v>41383</v>
      </c>
      <c r="T4305" t="s">
        <v>42736</v>
      </c>
      <c r="U4305" t="s">
        <v>46780</v>
      </c>
      <c r="W4305" t="s">
        <v>39089</v>
      </c>
      <c r="X4305" t="s">
        <v>41254</v>
      </c>
    </row>
    <row r="4306" spans="1:24">
      <c r="A4306">
        <f>HYPERLINK("https://www.philgeps.gov.ph/GEPSNONPILOT/Tender/SplashBidNoticeAbstractUI.aspx?menuIndex=3&amp;refID=7075672&amp;Result=3","7075672")</f>
        <v>0</v>
      </c>
      <c r="B4306" t="s">
        <v>1565</v>
      </c>
      <c r="C4306" t="s">
        <v>7515</v>
      </c>
      <c r="D4306" t="s">
        <v>16657</v>
      </c>
      <c r="E4306" t="s">
        <v>20587</v>
      </c>
      <c r="F4306" t="s">
        <v>28669</v>
      </c>
      <c r="G4306" t="s">
        <v>28675</v>
      </c>
      <c r="H4306" t="s">
        <v>28686</v>
      </c>
      <c r="I4306" t="s">
        <v>28689</v>
      </c>
      <c r="J4306" t="s">
        <v>31580</v>
      </c>
      <c r="K4306" t="s">
        <v>37209</v>
      </c>
      <c r="M4306" t="s">
        <v>39143</v>
      </c>
      <c r="N4306" t="s">
        <v>41249</v>
      </c>
      <c r="O4306" t="s">
        <v>41250</v>
      </c>
      <c r="P4306">
        <v>0</v>
      </c>
      <c r="Q4306">
        <v>1</v>
      </c>
      <c r="R4306" t="s">
        <v>41252</v>
      </c>
      <c r="S4306" t="s">
        <v>41383</v>
      </c>
      <c r="T4306" t="s">
        <v>42757</v>
      </c>
      <c r="U4306" t="s">
        <v>46781</v>
      </c>
      <c r="V4306" t="s">
        <v>54723</v>
      </c>
      <c r="W4306" t="s">
        <v>39143</v>
      </c>
      <c r="X4306" t="s">
        <v>41254</v>
      </c>
    </row>
    <row r="4307" spans="1:24">
      <c r="A4307">
        <f>HYPERLINK("https://www.philgeps.gov.ph/GEPSNONPILOT/Tender/SplashBidNoticeAbstractUI.aspx?menuIndex=3&amp;refID=7075603&amp;Result=3","7075603")</f>
        <v>0</v>
      </c>
      <c r="B4307" t="s">
        <v>989</v>
      </c>
      <c r="C4307" t="s">
        <v>7516</v>
      </c>
      <c r="D4307" t="s">
        <v>16679</v>
      </c>
      <c r="E4307" t="s">
        <v>20588</v>
      </c>
      <c r="F4307" t="s">
        <v>28669</v>
      </c>
      <c r="G4307" t="s">
        <v>28677</v>
      </c>
      <c r="H4307" t="s">
        <v>9998</v>
      </c>
      <c r="I4307" t="s">
        <v>28688</v>
      </c>
      <c r="J4307" t="s">
        <v>31581</v>
      </c>
      <c r="K4307" t="s">
        <v>37205</v>
      </c>
      <c r="M4307" t="s">
        <v>39144</v>
      </c>
      <c r="N4307" t="s">
        <v>41249</v>
      </c>
      <c r="O4307" t="s">
        <v>41250</v>
      </c>
      <c r="P4307">
        <v>0</v>
      </c>
      <c r="Q4307">
        <v>7</v>
      </c>
      <c r="R4307" t="s">
        <v>41252</v>
      </c>
      <c r="S4307" t="s">
        <v>41383</v>
      </c>
      <c r="T4307" t="s">
        <v>42665</v>
      </c>
      <c r="U4307" t="s">
        <v>46782</v>
      </c>
      <c r="V4307" t="s">
        <v>54724</v>
      </c>
      <c r="W4307" t="s">
        <v>39144</v>
      </c>
      <c r="X4307" t="s">
        <v>41254</v>
      </c>
    </row>
    <row r="4308" spans="1:24">
      <c r="A4308">
        <f>HYPERLINK("https://www.philgeps.gov.ph/GEPSNONPILOT/Tender/SplashBidNoticeAbstractUI.aspx?menuIndex=3&amp;refID=7075669&amp;Result=3","7075669")</f>
        <v>0</v>
      </c>
      <c r="B4308" t="s">
        <v>708</v>
      </c>
      <c r="C4308" t="s">
        <v>7517</v>
      </c>
      <c r="D4308" t="s">
        <v>16616</v>
      </c>
      <c r="E4308" t="s">
        <v>20589</v>
      </c>
      <c r="F4308" t="s">
        <v>28671</v>
      </c>
      <c r="G4308" t="s">
        <v>28676</v>
      </c>
      <c r="H4308" t="s">
        <v>28686</v>
      </c>
      <c r="I4308" t="s">
        <v>28689</v>
      </c>
      <c r="J4308" t="s">
        <v>29898</v>
      </c>
      <c r="K4308" t="s">
        <v>37206</v>
      </c>
      <c r="M4308" t="s">
        <v>38215</v>
      </c>
      <c r="N4308" t="s">
        <v>41249</v>
      </c>
      <c r="O4308" t="s">
        <v>41250</v>
      </c>
      <c r="P4308">
        <v>0</v>
      </c>
      <c r="Q4308">
        <v>1</v>
      </c>
      <c r="R4308" t="s">
        <v>41252</v>
      </c>
      <c r="S4308" t="s">
        <v>41383</v>
      </c>
      <c r="T4308" t="s">
        <v>42690</v>
      </c>
      <c r="U4308" t="s">
        <v>46783</v>
      </c>
      <c r="V4308" t="s">
        <v>54725</v>
      </c>
      <c r="W4308" t="s">
        <v>38215</v>
      </c>
      <c r="X4308" t="s">
        <v>41254</v>
      </c>
    </row>
    <row r="4309" spans="1:24">
      <c r="A4309">
        <f>HYPERLINK("https://www.philgeps.gov.ph/GEPSNONPILOT/Tender/SplashBidNoticeAbstractUI.aspx?menuIndex=3&amp;refID=7075641&amp;Result=3","7075641")</f>
        <v>0</v>
      </c>
      <c r="B4309" t="s">
        <v>812</v>
      </c>
      <c r="C4309" t="s">
        <v>7518</v>
      </c>
      <c r="D4309" t="s">
        <v>16658</v>
      </c>
      <c r="E4309" t="s">
        <v>20590</v>
      </c>
      <c r="F4309" t="s">
        <v>28669</v>
      </c>
      <c r="G4309" t="s">
        <v>28676</v>
      </c>
      <c r="H4309" t="s">
        <v>9998</v>
      </c>
      <c r="I4309" t="s">
        <v>28695</v>
      </c>
      <c r="J4309" t="s">
        <v>31582</v>
      </c>
      <c r="K4309" t="s">
        <v>37209</v>
      </c>
      <c r="M4309" t="s">
        <v>38327</v>
      </c>
      <c r="N4309" t="s">
        <v>41249</v>
      </c>
      <c r="O4309" t="s">
        <v>41250</v>
      </c>
      <c r="P4309">
        <v>0</v>
      </c>
      <c r="Q4309">
        <v>0</v>
      </c>
      <c r="R4309" t="s">
        <v>41252</v>
      </c>
      <c r="S4309" t="s">
        <v>41383</v>
      </c>
      <c r="T4309" t="s">
        <v>42736</v>
      </c>
      <c r="U4309" t="s">
        <v>46784</v>
      </c>
      <c r="W4309" t="s">
        <v>38327</v>
      </c>
      <c r="X4309" t="s">
        <v>41254</v>
      </c>
    </row>
    <row r="4310" spans="1:24">
      <c r="A4310">
        <f>HYPERLINK("https://www.philgeps.gov.ph/GEPSNONPILOT/Tender/SplashBidNoticeAbstractUI.aspx?menuIndex=3&amp;refID=7075628&amp;Result=3","7075628")</f>
        <v>0</v>
      </c>
      <c r="B4310" t="s">
        <v>293</v>
      </c>
      <c r="C4310" t="s">
        <v>7519</v>
      </c>
      <c r="D4310" t="s">
        <v>16668</v>
      </c>
      <c r="E4310" t="s">
        <v>20591</v>
      </c>
      <c r="F4310" t="s">
        <v>28669</v>
      </c>
      <c r="G4310" t="s">
        <v>28675</v>
      </c>
      <c r="H4310" t="s">
        <v>28686</v>
      </c>
      <c r="I4310" t="s">
        <v>28689</v>
      </c>
      <c r="J4310" t="s">
        <v>31583</v>
      </c>
      <c r="K4310" t="s">
        <v>37233</v>
      </c>
      <c r="M4310" t="s">
        <v>37772</v>
      </c>
      <c r="N4310" t="s">
        <v>41249</v>
      </c>
      <c r="O4310" t="s">
        <v>41250</v>
      </c>
      <c r="P4310">
        <v>0</v>
      </c>
      <c r="Q4310">
        <v>0</v>
      </c>
      <c r="R4310" t="s">
        <v>41252</v>
      </c>
      <c r="S4310" t="s">
        <v>41383</v>
      </c>
      <c r="T4310" t="s">
        <v>42712</v>
      </c>
      <c r="U4310" t="s">
        <v>46785</v>
      </c>
      <c r="W4310" t="s">
        <v>37772</v>
      </c>
      <c r="X4310" t="s">
        <v>41254</v>
      </c>
    </row>
    <row r="4311" spans="1:24">
      <c r="A4311">
        <f>HYPERLINK("https://www.philgeps.gov.ph/GEPSNONPILOT/Tender/SplashBidNoticeAbstractUI.aspx?menuIndex=3&amp;refID=7075664&amp;Result=3","7075664")</f>
        <v>0</v>
      </c>
      <c r="B4311" t="s">
        <v>1348</v>
      </c>
      <c r="C4311" t="s">
        <v>7520</v>
      </c>
      <c r="E4311" t="s">
        <v>20592</v>
      </c>
      <c r="F4311" t="s">
        <v>28669</v>
      </c>
      <c r="G4311" t="s">
        <v>28676</v>
      </c>
      <c r="H4311" t="s">
        <v>9998</v>
      </c>
      <c r="I4311" t="s">
        <v>28709</v>
      </c>
      <c r="J4311" t="s">
        <v>31584</v>
      </c>
      <c r="K4311" t="s">
        <v>37204</v>
      </c>
      <c r="M4311" t="s">
        <v>39145</v>
      </c>
      <c r="N4311" t="s">
        <v>41249</v>
      </c>
      <c r="O4311" t="s">
        <v>41250</v>
      </c>
      <c r="P4311">
        <v>0</v>
      </c>
      <c r="Q4311">
        <v>0</v>
      </c>
      <c r="R4311" t="s">
        <v>41252</v>
      </c>
      <c r="S4311" t="s">
        <v>41383</v>
      </c>
      <c r="T4311" t="s">
        <v>42884</v>
      </c>
      <c r="U4311" t="s">
        <v>46786</v>
      </c>
      <c r="V4311" t="s">
        <v>54726</v>
      </c>
      <c r="W4311" t="s">
        <v>39145</v>
      </c>
      <c r="X4311" t="s">
        <v>41254</v>
      </c>
    </row>
    <row r="4312" spans="1:24">
      <c r="A4312">
        <f>HYPERLINK("https://www.philgeps.gov.ph/GEPSNONPILOT/Tender/SplashBidNoticeAbstractUI.aspx?menuIndex=3&amp;refID=7075627&amp;Result=3","7075627")</f>
        <v>0</v>
      </c>
      <c r="B4312" t="s">
        <v>1566</v>
      </c>
      <c r="C4312" t="s">
        <v>7521</v>
      </c>
      <c r="D4312" t="s">
        <v>16693</v>
      </c>
      <c r="E4312" t="s">
        <v>19580</v>
      </c>
      <c r="F4312" t="s">
        <v>28669</v>
      </c>
      <c r="G4312" t="s">
        <v>28675</v>
      </c>
      <c r="H4312" t="s">
        <v>9998</v>
      </c>
      <c r="I4312" t="s">
        <v>28687</v>
      </c>
      <c r="J4312" t="s">
        <v>31238</v>
      </c>
      <c r="K4312" t="s">
        <v>37210</v>
      </c>
      <c r="M4312" t="s">
        <v>39146</v>
      </c>
      <c r="N4312" t="s">
        <v>41249</v>
      </c>
      <c r="O4312" t="s">
        <v>41250</v>
      </c>
      <c r="P4312">
        <v>0</v>
      </c>
      <c r="Q4312">
        <v>7</v>
      </c>
      <c r="R4312" t="s">
        <v>41252</v>
      </c>
      <c r="S4312" t="s">
        <v>41383</v>
      </c>
      <c r="T4312" t="s">
        <v>42735</v>
      </c>
      <c r="U4312" t="s">
        <v>46787</v>
      </c>
      <c r="V4312" t="s">
        <v>54727</v>
      </c>
      <c r="W4312" t="s">
        <v>39146</v>
      </c>
      <c r="X4312" t="s">
        <v>41254</v>
      </c>
    </row>
    <row r="4313" spans="1:24">
      <c r="A4313">
        <f>HYPERLINK("https://www.philgeps.gov.ph/GEPSNONPILOT/Tender/SplashBidNoticeAbstractUI.aspx?menuIndex=3&amp;refID=7075646&amp;Result=3","7075646")</f>
        <v>0</v>
      </c>
      <c r="B4313" t="s">
        <v>662</v>
      </c>
      <c r="C4313" t="s">
        <v>7522</v>
      </c>
      <c r="D4313" t="s">
        <v>16635</v>
      </c>
      <c r="E4313" t="s">
        <v>20593</v>
      </c>
      <c r="F4313" t="s">
        <v>28669</v>
      </c>
      <c r="G4313" t="s">
        <v>28676</v>
      </c>
      <c r="H4313" t="s">
        <v>9998</v>
      </c>
      <c r="I4313" t="s">
        <v>28689</v>
      </c>
      <c r="J4313" t="s">
        <v>31585</v>
      </c>
      <c r="K4313" t="s">
        <v>37206</v>
      </c>
      <c r="M4313" t="s">
        <v>38164</v>
      </c>
      <c r="N4313" t="s">
        <v>41249</v>
      </c>
      <c r="O4313" t="s">
        <v>41250</v>
      </c>
      <c r="P4313">
        <v>0</v>
      </c>
      <c r="Q4313">
        <v>0</v>
      </c>
      <c r="R4313" t="s">
        <v>41252</v>
      </c>
      <c r="S4313" t="s">
        <v>41383</v>
      </c>
      <c r="T4313" t="s">
        <v>42809</v>
      </c>
      <c r="U4313" t="s">
        <v>46788</v>
      </c>
      <c r="W4313" t="s">
        <v>38164</v>
      </c>
      <c r="X4313" t="s">
        <v>41254</v>
      </c>
    </row>
    <row r="4314" spans="1:24">
      <c r="A4314">
        <f>HYPERLINK("https://www.philgeps.gov.ph/GEPSNONPILOT/Tender/SplashBidNoticeAbstractUI.aspx?menuIndex=3&amp;refID=7075668&amp;Result=3","7075668")</f>
        <v>0</v>
      </c>
      <c r="B4314" t="s">
        <v>1567</v>
      </c>
      <c r="C4314" t="s">
        <v>7523</v>
      </c>
      <c r="D4314" t="s">
        <v>16617</v>
      </c>
      <c r="E4314" t="s">
        <v>17051</v>
      </c>
      <c r="F4314" t="s">
        <v>28669</v>
      </c>
      <c r="G4314" t="s">
        <v>28676</v>
      </c>
      <c r="H4314" t="s">
        <v>9998</v>
      </c>
      <c r="I4314" t="s">
        <v>28688</v>
      </c>
      <c r="J4314" t="s">
        <v>31586</v>
      </c>
      <c r="K4314" t="s">
        <v>37208</v>
      </c>
      <c r="M4314" t="s">
        <v>39147</v>
      </c>
      <c r="N4314" t="s">
        <v>41249</v>
      </c>
      <c r="O4314" t="s">
        <v>41250</v>
      </c>
      <c r="P4314">
        <v>0</v>
      </c>
      <c r="Q4314">
        <v>0</v>
      </c>
      <c r="R4314" t="s">
        <v>41252</v>
      </c>
      <c r="S4314" t="s">
        <v>41383</v>
      </c>
      <c r="T4314" t="s">
        <v>42748</v>
      </c>
      <c r="U4314" t="s">
        <v>46789</v>
      </c>
      <c r="W4314" t="s">
        <v>39147</v>
      </c>
      <c r="X4314" t="s">
        <v>41254</v>
      </c>
    </row>
    <row r="4315" spans="1:24">
      <c r="A4315">
        <f>HYPERLINK("https://www.philgeps.gov.ph/GEPSNONPILOT/Tender/SplashBidNoticeAbstractUI.aspx?menuIndex=3&amp;refID=7075663&amp;Result=3","7075663")</f>
        <v>0</v>
      </c>
      <c r="B4315" t="s">
        <v>616</v>
      </c>
      <c r="C4315" t="s">
        <v>7524</v>
      </c>
      <c r="D4315" t="s">
        <v>16621</v>
      </c>
      <c r="E4315" t="s">
        <v>20594</v>
      </c>
      <c r="F4315" t="s">
        <v>28669</v>
      </c>
      <c r="G4315" t="s">
        <v>28676</v>
      </c>
      <c r="H4315" t="s">
        <v>9998</v>
      </c>
      <c r="I4315" t="s">
        <v>11593</v>
      </c>
      <c r="J4315" t="s">
        <v>29124</v>
      </c>
      <c r="K4315" t="s">
        <v>37208</v>
      </c>
      <c r="M4315" t="s">
        <v>38116</v>
      </c>
      <c r="N4315" t="s">
        <v>41249</v>
      </c>
      <c r="O4315" t="s">
        <v>41250</v>
      </c>
      <c r="P4315">
        <v>0</v>
      </c>
      <c r="Q4315">
        <v>1</v>
      </c>
      <c r="R4315" t="s">
        <v>41252</v>
      </c>
      <c r="S4315" t="s">
        <v>41383</v>
      </c>
      <c r="T4315" t="s">
        <v>42748</v>
      </c>
      <c r="U4315" t="s">
        <v>46790</v>
      </c>
      <c r="V4315" t="s">
        <v>54401</v>
      </c>
      <c r="W4315" t="s">
        <v>38116</v>
      </c>
      <c r="X4315" t="s">
        <v>41254</v>
      </c>
    </row>
    <row r="4316" spans="1:24">
      <c r="A4316">
        <f>HYPERLINK("https://www.philgeps.gov.ph/GEPSNONPILOT/Tender/SplashBidNoticeAbstractUI.aspx?menuIndex=3&amp;refID=7075659&amp;Result=3","7075659")</f>
        <v>0</v>
      </c>
      <c r="B4316" t="s">
        <v>1116</v>
      </c>
      <c r="C4316" t="s">
        <v>7525</v>
      </c>
      <c r="D4316" t="s">
        <v>16679</v>
      </c>
      <c r="E4316" t="s">
        <v>20595</v>
      </c>
      <c r="F4316" t="s">
        <v>28669</v>
      </c>
      <c r="G4316" t="s">
        <v>28677</v>
      </c>
      <c r="H4316" t="s">
        <v>9998</v>
      </c>
      <c r="I4316" t="s">
        <v>28699</v>
      </c>
      <c r="J4316" t="s">
        <v>28879</v>
      </c>
      <c r="K4316" t="s">
        <v>37210</v>
      </c>
      <c r="M4316" t="s">
        <v>38649</v>
      </c>
      <c r="N4316" t="s">
        <v>41249</v>
      </c>
      <c r="O4316" t="s">
        <v>41250</v>
      </c>
      <c r="P4316">
        <v>0</v>
      </c>
      <c r="Q4316">
        <v>1</v>
      </c>
      <c r="R4316" t="s">
        <v>41252</v>
      </c>
      <c r="S4316" t="s">
        <v>41383</v>
      </c>
      <c r="T4316" t="s">
        <v>42728</v>
      </c>
      <c r="U4316" t="s">
        <v>46791</v>
      </c>
      <c r="W4316" t="s">
        <v>38649</v>
      </c>
      <c r="X4316" t="s">
        <v>41254</v>
      </c>
    </row>
    <row r="4317" spans="1:24">
      <c r="A4317">
        <f>HYPERLINK("https://www.philgeps.gov.ph/GEPSNONPILOT/Tender/SplashBidNoticeAbstractUI.aspx?menuIndex=3&amp;refID=7075665&amp;Result=3","7075665")</f>
        <v>0</v>
      </c>
      <c r="B4317" t="s">
        <v>1568</v>
      </c>
      <c r="C4317" t="s">
        <v>7526</v>
      </c>
      <c r="D4317" t="s">
        <v>16608</v>
      </c>
      <c r="E4317" t="s">
        <v>20596</v>
      </c>
      <c r="F4317" t="s">
        <v>28669</v>
      </c>
      <c r="G4317" t="s">
        <v>28675</v>
      </c>
      <c r="H4317" t="s">
        <v>9998</v>
      </c>
      <c r="I4317" t="s">
        <v>28687</v>
      </c>
      <c r="J4317" t="s">
        <v>31587</v>
      </c>
      <c r="K4317" t="s">
        <v>37209</v>
      </c>
      <c r="M4317" t="s">
        <v>39148</v>
      </c>
      <c r="N4317" t="s">
        <v>41249</v>
      </c>
      <c r="O4317" t="s">
        <v>41250</v>
      </c>
      <c r="Q4317">
        <v>3</v>
      </c>
      <c r="R4317" t="s">
        <v>41252</v>
      </c>
      <c r="S4317" t="s">
        <v>41406</v>
      </c>
      <c r="T4317" t="s">
        <v>42899</v>
      </c>
      <c r="U4317" t="s">
        <v>46792</v>
      </c>
      <c r="W4317" t="s">
        <v>39148</v>
      </c>
      <c r="X4317" t="s">
        <v>41254</v>
      </c>
    </row>
    <row r="4318" spans="1:24">
      <c r="A4318">
        <f>HYPERLINK("https://www.philgeps.gov.ph/GEPSNONPILOT/Tender/SplashBidNoticeAbstractUI.aspx?menuIndex=3&amp;refID=7075658&amp;Result=3","7075658")</f>
        <v>0</v>
      </c>
      <c r="B4318" t="s">
        <v>1569</v>
      </c>
      <c r="C4318" t="s">
        <v>7527</v>
      </c>
      <c r="D4318" t="s">
        <v>16622</v>
      </c>
      <c r="E4318" t="s">
        <v>20597</v>
      </c>
      <c r="F4318" t="s">
        <v>28669</v>
      </c>
      <c r="G4318" t="s">
        <v>28675</v>
      </c>
      <c r="H4318" t="s">
        <v>28686</v>
      </c>
      <c r="I4318" t="s">
        <v>28689</v>
      </c>
      <c r="J4318" t="s">
        <v>31588</v>
      </c>
      <c r="K4318" t="s">
        <v>37209</v>
      </c>
      <c r="M4318" t="s">
        <v>39149</v>
      </c>
      <c r="N4318" t="s">
        <v>41249</v>
      </c>
      <c r="O4318" t="s">
        <v>41250</v>
      </c>
      <c r="P4318">
        <v>0</v>
      </c>
      <c r="Q4318">
        <v>0</v>
      </c>
      <c r="R4318" t="s">
        <v>41252</v>
      </c>
      <c r="S4318" t="s">
        <v>41383</v>
      </c>
      <c r="T4318" t="s">
        <v>42703</v>
      </c>
      <c r="U4318" t="s">
        <v>46793</v>
      </c>
      <c r="W4318" t="s">
        <v>39149</v>
      </c>
      <c r="X4318" t="s">
        <v>41254</v>
      </c>
    </row>
    <row r="4319" spans="1:24">
      <c r="A4319">
        <f>HYPERLINK("https://www.philgeps.gov.ph/GEPSNONPILOT/Tender/SplashBidNoticeAbstractUI.aspx?menuIndex=3&amp;refID=7075657&amp;Result=3","7075657")</f>
        <v>0</v>
      </c>
      <c r="B4319" t="s">
        <v>1570</v>
      </c>
      <c r="C4319" t="s">
        <v>7528</v>
      </c>
      <c r="D4319" t="s">
        <v>16625</v>
      </c>
      <c r="E4319" t="s">
        <v>20598</v>
      </c>
      <c r="F4319" t="s">
        <v>28669</v>
      </c>
      <c r="G4319" t="s">
        <v>28676</v>
      </c>
      <c r="H4319" t="s">
        <v>9998</v>
      </c>
      <c r="I4319" t="s">
        <v>15140</v>
      </c>
      <c r="J4319" t="s">
        <v>29135</v>
      </c>
      <c r="K4319" t="s">
        <v>37243</v>
      </c>
      <c r="M4319" t="s">
        <v>39150</v>
      </c>
      <c r="N4319" t="s">
        <v>41249</v>
      </c>
      <c r="O4319" t="s">
        <v>41250</v>
      </c>
      <c r="P4319">
        <v>0</v>
      </c>
      <c r="Q4319">
        <v>0</v>
      </c>
      <c r="R4319" t="s">
        <v>41252</v>
      </c>
      <c r="S4319" t="s">
        <v>41383</v>
      </c>
      <c r="T4319" t="s">
        <v>42711</v>
      </c>
      <c r="U4319" t="s">
        <v>46794</v>
      </c>
      <c r="W4319" t="s">
        <v>39150</v>
      </c>
      <c r="X4319" t="s">
        <v>41254</v>
      </c>
    </row>
    <row r="4320" spans="1:24">
      <c r="A4320">
        <f>HYPERLINK("https://www.philgeps.gov.ph/GEPSNONPILOT/Tender/SplashBidNoticeAbstractUI.aspx?menuIndex=3&amp;refID=7075655&amp;Result=3","7075655")</f>
        <v>0</v>
      </c>
      <c r="B4320" t="s">
        <v>479</v>
      </c>
      <c r="C4320" t="s">
        <v>7529</v>
      </c>
      <c r="E4320" t="s">
        <v>20599</v>
      </c>
      <c r="F4320" t="s">
        <v>28669</v>
      </c>
      <c r="G4320" t="s">
        <v>28676</v>
      </c>
      <c r="H4320" t="s">
        <v>9998</v>
      </c>
      <c r="I4320" t="s">
        <v>28693</v>
      </c>
      <c r="J4320" t="s">
        <v>29809</v>
      </c>
      <c r="K4320" t="s">
        <v>37209</v>
      </c>
      <c r="M4320" t="s">
        <v>37967</v>
      </c>
      <c r="N4320" t="s">
        <v>41249</v>
      </c>
      <c r="O4320" t="s">
        <v>41250</v>
      </c>
      <c r="P4320">
        <v>0</v>
      </c>
      <c r="Q4320">
        <v>19</v>
      </c>
      <c r="R4320" t="s">
        <v>41252</v>
      </c>
      <c r="S4320" t="s">
        <v>41383</v>
      </c>
      <c r="T4320" t="s">
        <v>42748</v>
      </c>
      <c r="U4320" t="s">
        <v>46795</v>
      </c>
      <c r="W4320" t="s">
        <v>37967</v>
      </c>
      <c r="X4320" t="s">
        <v>41254</v>
      </c>
    </row>
    <row r="4321" spans="1:24">
      <c r="A4321">
        <f>HYPERLINK("https://www.philgeps.gov.ph/GEPSNONPILOT/Tender/SplashBidNoticeAbstractUI.aspx?menuIndex=3&amp;refID=7075695&amp;Result=3","7075695")</f>
        <v>0</v>
      </c>
      <c r="B4321" t="s">
        <v>941</v>
      </c>
      <c r="C4321" t="s">
        <v>7530</v>
      </c>
      <c r="D4321" t="s">
        <v>16608</v>
      </c>
      <c r="E4321" t="s">
        <v>20600</v>
      </c>
      <c r="F4321" t="s">
        <v>28669</v>
      </c>
      <c r="G4321" t="s">
        <v>28675</v>
      </c>
      <c r="H4321" t="s">
        <v>28686</v>
      </c>
      <c r="I4321" t="s">
        <v>28689</v>
      </c>
      <c r="J4321" t="s">
        <v>31589</v>
      </c>
      <c r="K4321" t="s">
        <v>37255</v>
      </c>
      <c r="M4321" t="s">
        <v>38464</v>
      </c>
      <c r="N4321" t="s">
        <v>41249</v>
      </c>
      <c r="O4321" t="s">
        <v>41250</v>
      </c>
      <c r="P4321">
        <v>0</v>
      </c>
      <c r="Q4321">
        <v>5</v>
      </c>
      <c r="R4321" t="s">
        <v>41252</v>
      </c>
      <c r="S4321" t="s">
        <v>41383</v>
      </c>
      <c r="T4321" t="s">
        <v>42716</v>
      </c>
      <c r="U4321" t="s">
        <v>46796</v>
      </c>
      <c r="W4321" t="s">
        <v>38464</v>
      </c>
      <c r="X4321" t="s">
        <v>41254</v>
      </c>
    </row>
    <row r="4322" spans="1:24">
      <c r="A4322">
        <f>HYPERLINK("https://www.philgeps.gov.ph/GEPSNONPILOT/Tender/SplashBidNoticeAbstractUI.aspx?menuIndex=3&amp;refID=7075693&amp;Result=3","7075693")</f>
        <v>0</v>
      </c>
      <c r="B4322" t="s">
        <v>1571</v>
      </c>
      <c r="C4322" t="s">
        <v>7531</v>
      </c>
      <c r="D4322" t="s">
        <v>16636</v>
      </c>
      <c r="E4322" t="s">
        <v>20601</v>
      </c>
      <c r="F4322" t="s">
        <v>28669</v>
      </c>
      <c r="G4322" t="s">
        <v>28675</v>
      </c>
      <c r="H4322" t="s">
        <v>28686</v>
      </c>
      <c r="I4322" t="s">
        <v>28689</v>
      </c>
      <c r="J4322" t="s">
        <v>31590</v>
      </c>
      <c r="K4322" t="s">
        <v>37281</v>
      </c>
      <c r="M4322" t="s">
        <v>39151</v>
      </c>
      <c r="N4322" t="s">
        <v>41249</v>
      </c>
      <c r="O4322" t="s">
        <v>41250</v>
      </c>
      <c r="P4322">
        <v>0</v>
      </c>
      <c r="Q4322">
        <v>0</v>
      </c>
      <c r="R4322" t="s">
        <v>41252</v>
      </c>
      <c r="S4322" t="s">
        <v>41383</v>
      </c>
      <c r="T4322" t="s">
        <v>42716</v>
      </c>
      <c r="U4322" t="s">
        <v>46797</v>
      </c>
      <c r="W4322" t="s">
        <v>39151</v>
      </c>
      <c r="X4322" t="s">
        <v>41254</v>
      </c>
    </row>
    <row r="4323" spans="1:24">
      <c r="A4323">
        <f>HYPERLINK("https://www.philgeps.gov.ph/GEPSNONPILOT/Tender/SplashBidNoticeAbstractUI.aspx?menuIndex=3&amp;refID=7075661&amp;Result=3","7075661")</f>
        <v>0</v>
      </c>
      <c r="B4323" t="s">
        <v>317</v>
      </c>
      <c r="C4323" t="s">
        <v>7532</v>
      </c>
      <c r="D4323" t="s">
        <v>16608</v>
      </c>
      <c r="E4323" t="s">
        <v>20602</v>
      </c>
      <c r="F4323" t="s">
        <v>28669</v>
      </c>
      <c r="G4323" t="s">
        <v>28676</v>
      </c>
      <c r="H4323" t="s">
        <v>9998</v>
      </c>
      <c r="I4323" t="s">
        <v>28689</v>
      </c>
      <c r="J4323" t="s">
        <v>31591</v>
      </c>
      <c r="K4323" t="s">
        <v>37205</v>
      </c>
      <c r="M4323" t="s">
        <v>39105</v>
      </c>
      <c r="N4323" t="s">
        <v>41249</v>
      </c>
      <c r="O4323" t="s">
        <v>41250</v>
      </c>
      <c r="P4323">
        <v>0</v>
      </c>
      <c r="Q4323">
        <v>0</v>
      </c>
      <c r="R4323" t="s">
        <v>41252</v>
      </c>
      <c r="S4323" t="s">
        <v>41383</v>
      </c>
      <c r="T4323" t="s">
        <v>42736</v>
      </c>
      <c r="U4323" t="s">
        <v>46798</v>
      </c>
      <c r="W4323" t="s">
        <v>39105</v>
      </c>
      <c r="X4323" t="s">
        <v>41254</v>
      </c>
    </row>
    <row r="4324" spans="1:24">
      <c r="A4324">
        <f>HYPERLINK("https://www.philgeps.gov.ph/GEPSNONPILOT/Tender/SplashBidNoticeAbstractUI.aspx?menuIndex=3&amp;refID=7075689&amp;Result=3","7075689")</f>
        <v>0</v>
      </c>
      <c r="B4324" t="s">
        <v>276</v>
      </c>
      <c r="C4324" t="s">
        <v>7533</v>
      </c>
      <c r="E4324" t="s">
        <v>20603</v>
      </c>
      <c r="F4324" t="s">
        <v>28669</v>
      </c>
      <c r="G4324" t="s">
        <v>28675</v>
      </c>
      <c r="H4324" t="s">
        <v>9998</v>
      </c>
      <c r="I4324" t="s">
        <v>28713</v>
      </c>
      <c r="J4324" t="s">
        <v>29847</v>
      </c>
      <c r="K4324" t="s">
        <v>37209</v>
      </c>
      <c r="M4324" t="s">
        <v>39152</v>
      </c>
      <c r="N4324" t="s">
        <v>41249</v>
      </c>
      <c r="O4324" t="s">
        <v>41250</v>
      </c>
      <c r="P4324">
        <v>0</v>
      </c>
      <c r="Q4324">
        <v>11</v>
      </c>
      <c r="R4324" t="s">
        <v>41252</v>
      </c>
      <c r="S4324" t="s">
        <v>41383</v>
      </c>
      <c r="T4324" t="s">
        <v>42669</v>
      </c>
      <c r="U4324" t="s">
        <v>46799</v>
      </c>
      <c r="V4324" t="s">
        <v>54728</v>
      </c>
      <c r="W4324" t="s">
        <v>39152</v>
      </c>
      <c r="X4324" t="s">
        <v>41254</v>
      </c>
    </row>
    <row r="4325" spans="1:24">
      <c r="A4325">
        <f>HYPERLINK("https://www.philgeps.gov.ph/GEPSNONPILOT/Tender/SplashBidNoticeAbstractUI.aspx?menuIndex=3&amp;refID=7075688&amp;Result=3","7075688")</f>
        <v>0</v>
      </c>
      <c r="B4325" t="s">
        <v>1572</v>
      </c>
      <c r="C4325" t="s">
        <v>7534</v>
      </c>
      <c r="D4325" t="s">
        <v>16657</v>
      </c>
      <c r="E4325" t="s">
        <v>20604</v>
      </c>
      <c r="F4325" t="s">
        <v>28669</v>
      </c>
      <c r="G4325" t="s">
        <v>28675</v>
      </c>
      <c r="H4325" t="s">
        <v>28686</v>
      </c>
      <c r="I4325" t="s">
        <v>28689</v>
      </c>
      <c r="J4325" t="s">
        <v>31592</v>
      </c>
      <c r="K4325" t="s">
        <v>37209</v>
      </c>
      <c r="M4325" t="s">
        <v>39153</v>
      </c>
      <c r="N4325" t="s">
        <v>41249</v>
      </c>
      <c r="O4325" t="s">
        <v>41250</v>
      </c>
      <c r="P4325">
        <v>0</v>
      </c>
      <c r="Q4325">
        <v>1</v>
      </c>
      <c r="R4325" t="s">
        <v>41252</v>
      </c>
      <c r="S4325" t="s">
        <v>41383</v>
      </c>
      <c r="T4325" t="s">
        <v>42757</v>
      </c>
      <c r="U4325" t="s">
        <v>46800</v>
      </c>
      <c r="V4325" t="s">
        <v>54655</v>
      </c>
      <c r="W4325" t="s">
        <v>39153</v>
      </c>
      <c r="X4325" t="s">
        <v>41254</v>
      </c>
    </row>
    <row r="4326" spans="1:24">
      <c r="A4326">
        <f>HYPERLINK("https://www.philgeps.gov.ph/GEPSNONPILOT/Tender/SplashBidNoticeAbstractUI.aspx?menuIndex=3&amp;refID=7075666&amp;Result=3","7075666")</f>
        <v>0</v>
      </c>
      <c r="B4326" t="s">
        <v>243</v>
      </c>
      <c r="C4326" t="s">
        <v>7535</v>
      </c>
      <c r="D4326" t="s">
        <v>16618</v>
      </c>
      <c r="E4326" t="s">
        <v>20605</v>
      </c>
      <c r="F4326" t="s">
        <v>28669</v>
      </c>
      <c r="G4326" t="s">
        <v>28676</v>
      </c>
      <c r="H4326" t="s">
        <v>9998</v>
      </c>
      <c r="I4326" t="s">
        <v>28770</v>
      </c>
      <c r="J4326" t="s">
        <v>31593</v>
      </c>
      <c r="K4326" t="s">
        <v>37206</v>
      </c>
      <c r="M4326" t="s">
        <v>37721</v>
      </c>
      <c r="N4326" t="s">
        <v>41249</v>
      </c>
      <c r="O4326" t="s">
        <v>41250</v>
      </c>
      <c r="Q4326">
        <v>0</v>
      </c>
      <c r="R4326" t="s">
        <v>41252</v>
      </c>
      <c r="S4326" t="s">
        <v>41407</v>
      </c>
      <c r="T4326" t="s">
        <v>42729</v>
      </c>
      <c r="U4326" t="s">
        <v>46801</v>
      </c>
      <c r="W4326" t="s">
        <v>37721</v>
      </c>
      <c r="X4326" t="s">
        <v>41254</v>
      </c>
    </row>
    <row r="4327" spans="1:24">
      <c r="A4327">
        <f>HYPERLINK("https://www.philgeps.gov.ph/GEPSNONPILOT/Tender/SplashBidNoticeAbstractUI.aspx?menuIndex=3&amp;refID=7075686&amp;Result=3","7075686")</f>
        <v>0</v>
      </c>
      <c r="B4327" t="s">
        <v>1573</v>
      </c>
      <c r="C4327" t="s">
        <v>7536</v>
      </c>
      <c r="D4327" t="s">
        <v>16637</v>
      </c>
      <c r="E4327" t="s">
        <v>20606</v>
      </c>
      <c r="F4327" t="s">
        <v>28669</v>
      </c>
      <c r="G4327" t="s">
        <v>28676</v>
      </c>
      <c r="H4327" t="s">
        <v>9998</v>
      </c>
      <c r="I4327" t="s">
        <v>28696</v>
      </c>
      <c r="J4327" t="s">
        <v>31594</v>
      </c>
      <c r="K4327" t="s">
        <v>37206</v>
      </c>
      <c r="M4327" t="s">
        <v>39154</v>
      </c>
      <c r="N4327" t="s">
        <v>41249</v>
      </c>
      <c r="O4327" t="s">
        <v>41250</v>
      </c>
      <c r="P4327">
        <v>0</v>
      </c>
      <c r="Q4327">
        <v>2</v>
      </c>
      <c r="R4327" t="s">
        <v>41252</v>
      </c>
      <c r="S4327" t="s">
        <v>41383</v>
      </c>
      <c r="T4327" t="s">
        <v>42736</v>
      </c>
      <c r="U4327" t="s">
        <v>46802</v>
      </c>
      <c r="W4327" t="s">
        <v>39154</v>
      </c>
      <c r="X4327" t="s">
        <v>41254</v>
      </c>
    </row>
    <row r="4328" spans="1:24">
      <c r="A4328">
        <f>HYPERLINK("https://www.philgeps.gov.ph/GEPSNONPILOT/Tender/SplashBidNoticeAbstractUI.aspx?menuIndex=3&amp;refID=7075609&amp;Result=3","7075609")</f>
        <v>0</v>
      </c>
      <c r="B4328" t="s">
        <v>642</v>
      </c>
      <c r="C4328" t="s">
        <v>7537</v>
      </c>
      <c r="D4328" t="s">
        <v>16681</v>
      </c>
      <c r="E4328" t="s">
        <v>20502</v>
      </c>
      <c r="F4328" t="s">
        <v>28669</v>
      </c>
      <c r="G4328" t="s">
        <v>28676</v>
      </c>
      <c r="H4328" t="s">
        <v>9998</v>
      </c>
      <c r="I4328" t="s">
        <v>28760</v>
      </c>
      <c r="J4328" t="s">
        <v>31595</v>
      </c>
      <c r="K4328" t="s">
        <v>37205</v>
      </c>
      <c r="M4328" t="s">
        <v>38143</v>
      </c>
      <c r="N4328" t="s">
        <v>41249</v>
      </c>
      <c r="O4328" t="s">
        <v>41250</v>
      </c>
      <c r="P4328">
        <v>0</v>
      </c>
      <c r="Q4328">
        <v>0</v>
      </c>
      <c r="R4328" t="s">
        <v>41252</v>
      </c>
      <c r="S4328" t="s">
        <v>41383</v>
      </c>
      <c r="T4328" t="s">
        <v>42686</v>
      </c>
      <c r="U4328" t="s">
        <v>46803</v>
      </c>
      <c r="W4328" t="s">
        <v>38143</v>
      </c>
      <c r="X4328" t="s">
        <v>41254</v>
      </c>
    </row>
    <row r="4329" spans="1:24">
      <c r="A4329">
        <f>HYPERLINK("https://www.philgeps.gov.ph/GEPSNONPILOT/Tender/SplashBidNoticeAbstractUI.aspx?menuIndex=3&amp;refID=7075692&amp;Result=3","7075692")</f>
        <v>0</v>
      </c>
      <c r="B4329" t="s">
        <v>1570</v>
      </c>
      <c r="C4329" t="s">
        <v>7528</v>
      </c>
      <c r="D4329" t="s">
        <v>16625</v>
      </c>
      <c r="E4329" t="s">
        <v>20607</v>
      </c>
      <c r="F4329" t="s">
        <v>28669</v>
      </c>
      <c r="G4329" t="s">
        <v>28676</v>
      </c>
      <c r="H4329" t="s">
        <v>9998</v>
      </c>
      <c r="I4329" t="s">
        <v>28692</v>
      </c>
      <c r="J4329" t="s">
        <v>31596</v>
      </c>
      <c r="K4329" t="s">
        <v>37243</v>
      </c>
      <c r="M4329" t="s">
        <v>39150</v>
      </c>
      <c r="N4329" t="s">
        <v>41249</v>
      </c>
      <c r="O4329" t="s">
        <v>41250</v>
      </c>
      <c r="P4329">
        <v>0</v>
      </c>
      <c r="Q4329">
        <v>1</v>
      </c>
      <c r="R4329" t="s">
        <v>41252</v>
      </c>
      <c r="S4329" t="s">
        <v>41383</v>
      </c>
      <c r="T4329" t="s">
        <v>42694</v>
      </c>
      <c r="U4329" t="s">
        <v>46794</v>
      </c>
      <c r="W4329" t="s">
        <v>39150</v>
      </c>
      <c r="X4329" t="s">
        <v>41254</v>
      </c>
    </row>
    <row r="4330" spans="1:24">
      <c r="A4330">
        <f>HYPERLINK("https://www.philgeps.gov.ph/GEPSNONPILOT/Tender/SplashBidNoticeAbstractUI.aspx?menuIndex=3&amp;refID=7075684&amp;Result=3","7075684")</f>
        <v>0</v>
      </c>
      <c r="B4330" t="s">
        <v>1348</v>
      </c>
      <c r="C4330" t="s">
        <v>7538</v>
      </c>
      <c r="E4330" t="s">
        <v>20608</v>
      </c>
      <c r="F4330" t="s">
        <v>28669</v>
      </c>
      <c r="G4330" t="s">
        <v>28676</v>
      </c>
      <c r="H4330" t="s">
        <v>9998</v>
      </c>
      <c r="I4330" t="s">
        <v>5286</v>
      </c>
      <c r="J4330" t="s">
        <v>31597</v>
      </c>
      <c r="K4330" t="s">
        <v>37204</v>
      </c>
      <c r="M4330" t="s">
        <v>39145</v>
      </c>
      <c r="N4330" t="s">
        <v>41249</v>
      </c>
      <c r="O4330" t="s">
        <v>41250</v>
      </c>
      <c r="P4330">
        <v>0</v>
      </c>
      <c r="Q4330">
        <v>2</v>
      </c>
      <c r="R4330" t="s">
        <v>41252</v>
      </c>
      <c r="S4330" t="s">
        <v>41383</v>
      </c>
      <c r="T4330" t="s">
        <v>42884</v>
      </c>
      <c r="U4330" t="s">
        <v>46804</v>
      </c>
      <c r="V4330" t="s">
        <v>54726</v>
      </c>
      <c r="W4330" t="s">
        <v>39145</v>
      </c>
      <c r="X4330" t="s">
        <v>41254</v>
      </c>
    </row>
    <row r="4331" spans="1:24">
      <c r="A4331">
        <f>HYPERLINK("https://www.philgeps.gov.ph/GEPSNONPILOT/Tender/SplashBidNoticeAbstractUI.aspx?menuIndex=3&amp;refID=7075682&amp;Result=3","7075682")</f>
        <v>0</v>
      </c>
      <c r="B4331" t="s">
        <v>1574</v>
      </c>
      <c r="C4331" t="s">
        <v>7539</v>
      </c>
      <c r="D4331" t="s">
        <v>16608</v>
      </c>
      <c r="E4331" t="s">
        <v>20609</v>
      </c>
      <c r="F4331" t="s">
        <v>28669</v>
      </c>
      <c r="G4331" t="s">
        <v>28677</v>
      </c>
      <c r="H4331" t="s">
        <v>9998</v>
      </c>
      <c r="I4331" t="s">
        <v>28690</v>
      </c>
      <c r="J4331" t="s">
        <v>29281</v>
      </c>
      <c r="K4331" t="s">
        <v>37210</v>
      </c>
      <c r="M4331" t="s">
        <v>39155</v>
      </c>
      <c r="N4331" t="s">
        <v>41249</v>
      </c>
      <c r="O4331" t="s">
        <v>41250</v>
      </c>
      <c r="P4331">
        <v>0</v>
      </c>
      <c r="Q4331">
        <v>6</v>
      </c>
      <c r="R4331" t="s">
        <v>41252</v>
      </c>
      <c r="S4331" t="s">
        <v>41383</v>
      </c>
      <c r="T4331" t="s">
        <v>42774</v>
      </c>
      <c r="U4331" t="s">
        <v>46805</v>
      </c>
      <c r="V4331" t="s">
        <v>54729</v>
      </c>
      <c r="W4331" t="s">
        <v>39155</v>
      </c>
      <c r="X4331" t="s">
        <v>41254</v>
      </c>
    </row>
    <row r="4332" spans="1:24">
      <c r="A4332">
        <f>HYPERLINK("https://www.philgeps.gov.ph/GEPSNONPILOT/Tender/SplashBidNoticeAbstractUI.aspx?menuIndex=3&amp;refID=7075656&amp;Result=3","7075656")</f>
        <v>0</v>
      </c>
      <c r="B4332" t="s">
        <v>662</v>
      </c>
      <c r="C4332" t="s">
        <v>7540</v>
      </c>
      <c r="D4332" t="s">
        <v>16635</v>
      </c>
      <c r="E4332" t="s">
        <v>20610</v>
      </c>
      <c r="F4332" t="s">
        <v>28669</v>
      </c>
      <c r="G4332" t="s">
        <v>28676</v>
      </c>
      <c r="H4332" t="s">
        <v>9998</v>
      </c>
      <c r="I4332" t="s">
        <v>7352</v>
      </c>
      <c r="J4332" t="s">
        <v>31598</v>
      </c>
      <c r="K4332" t="s">
        <v>37206</v>
      </c>
      <c r="M4332" t="s">
        <v>38164</v>
      </c>
      <c r="N4332" t="s">
        <v>41249</v>
      </c>
      <c r="O4332" t="s">
        <v>41250</v>
      </c>
      <c r="P4332">
        <v>0</v>
      </c>
      <c r="Q4332">
        <v>0</v>
      </c>
      <c r="R4332" t="s">
        <v>41252</v>
      </c>
      <c r="S4332" t="s">
        <v>41383</v>
      </c>
      <c r="T4332" t="s">
        <v>42809</v>
      </c>
      <c r="U4332" t="s">
        <v>46806</v>
      </c>
      <c r="W4332" t="s">
        <v>38164</v>
      </c>
      <c r="X4332" t="s">
        <v>41254</v>
      </c>
    </row>
    <row r="4333" spans="1:24">
      <c r="A4333">
        <f>HYPERLINK("https://www.philgeps.gov.ph/GEPSNONPILOT/Tender/SplashBidNoticeAbstractUI.aspx?menuIndex=3&amp;refID=7075685&amp;Result=3","7075685")</f>
        <v>0</v>
      </c>
      <c r="B4333" t="s">
        <v>1575</v>
      </c>
      <c r="C4333" t="s">
        <v>7541</v>
      </c>
      <c r="D4333" t="s">
        <v>16630</v>
      </c>
      <c r="E4333" t="s">
        <v>20611</v>
      </c>
      <c r="F4333" t="s">
        <v>28669</v>
      </c>
      <c r="G4333" t="s">
        <v>28675</v>
      </c>
      <c r="H4333" t="s">
        <v>28686</v>
      </c>
      <c r="I4333" t="s">
        <v>28689</v>
      </c>
      <c r="J4333" t="s">
        <v>31599</v>
      </c>
      <c r="K4333" t="s">
        <v>37218</v>
      </c>
      <c r="L4333" t="s">
        <v>1575</v>
      </c>
      <c r="M4333" t="s">
        <v>39156</v>
      </c>
      <c r="N4333" t="s">
        <v>41249</v>
      </c>
      <c r="O4333" t="s">
        <v>41250</v>
      </c>
      <c r="P4333">
        <v>0</v>
      </c>
      <c r="Q4333">
        <v>0</v>
      </c>
      <c r="R4333" t="s">
        <v>41252</v>
      </c>
      <c r="S4333" t="s">
        <v>41383</v>
      </c>
      <c r="T4333" t="s">
        <v>42716</v>
      </c>
      <c r="U4333" t="s">
        <v>46807</v>
      </c>
      <c r="V4333" t="s">
        <v>54730</v>
      </c>
      <c r="W4333" t="s">
        <v>39156</v>
      </c>
      <c r="X4333" t="s">
        <v>41254</v>
      </c>
    </row>
    <row r="4334" spans="1:24">
      <c r="A4334">
        <f>HYPERLINK("https://www.philgeps.gov.ph/GEPSNONPILOT/Tender/SplashBidNoticeAbstractUI.aspx?menuIndex=3&amp;refID=7075671&amp;Result=3","7075671")</f>
        <v>0</v>
      </c>
      <c r="B4334" t="s">
        <v>662</v>
      </c>
      <c r="C4334" t="s">
        <v>7542</v>
      </c>
      <c r="D4334" t="s">
        <v>16635</v>
      </c>
      <c r="E4334" t="s">
        <v>20612</v>
      </c>
      <c r="F4334" t="s">
        <v>28669</v>
      </c>
      <c r="G4334" t="s">
        <v>28676</v>
      </c>
      <c r="H4334" t="s">
        <v>9998</v>
      </c>
      <c r="I4334" t="s">
        <v>7352</v>
      </c>
      <c r="J4334" t="s">
        <v>31600</v>
      </c>
      <c r="K4334" t="s">
        <v>37206</v>
      </c>
      <c r="M4334" t="s">
        <v>38164</v>
      </c>
      <c r="N4334" t="s">
        <v>41249</v>
      </c>
      <c r="O4334" t="s">
        <v>41250</v>
      </c>
      <c r="P4334">
        <v>0</v>
      </c>
      <c r="Q4334">
        <v>0</v>
      </c>
      <c r="R4334" t="s">
        <v>41252</v>
      </c>
      <c r="S4334" t="s">
        <v>41383</v>
      </c>
      <c r="T4334" t="s">
        <v>42809</v>
      </c>
      <c r="U4334" t="s">
        <v>46808</v>
      </c>
      <c r="W4334" t="s">
        <v>38164</v>
      </c>
      <c r="X4334" t="s">
        <v>41254</v>
      </c>
    </row>
    <row r="4335" spans="1:24">
      <c r="A4335">
        <f>HYPERLINK("https://www.philgeps.gov.ph/GEPSNONPILOT/Tender/SplashBidNoticeAbstractUI.aspx?menuIndex=3&amp;refID=7075716&amp;Result=3","7075716")</f>
        <v>0</v>
      </c>
      <c r="B4335" t="s">
        <v>1576</v>
      </c>
      <c r="C4335" t="s">
        <v>4590</v>
      </c>
      <c r="D4335" t="s">
        <v>16666</v>
      </c>
      <c r="E4335" t="s">
        <v>20613</v>
      </c>
      <c r="F4335" t="s">
        <v>28669</v>
      </c>
      <c r="G4335" t="s">
        <v>28676</v>
      </c>
      <c r="H4335" t="s">
        <v>9998</v>
      </c>
      <c r="I4335" t="s">
        <v>28690</v>
      </c>
      <c r="J4335" t="s">
        <v>31601</v>
      </c>
      <c r="K4335" t="s">
        <v>37209</v>
      </c>
      <c r="M4335" t="s">
        <v>39157</v>
      </c>
      <c r="N4335" t="s">
        <v>41249</v>
      </c>
      <c r="O4335" t="s">
        <v>41250</v>
      </c>
      <c r="P4335">
        <v>0</v>
      </c>
      <c r="Q4335">
        <v>4</v>
      </c>
      <c r="R4335" t="s">
        <v>41252</v>
      </c>
      <c r="S4335" t="s">
        <v>41383</v>
      </c>
      <c r="T4335" t="s">
        <v>42736</v>
      </c>
      <c r="U4335" t="s">
        <v>46809</v>
      </c>
      <c r="W4335" t="s">
        <v>39157</v>
      </c>
      <c r="X4335" t="s">
        <v>41254</v>
      </c>
    </row>
    <row r="4336" spans="1:24">
      <c r="A4336">
        <f>HYPERLINK("https://www.philgeps.gov.ph/GEPSNONPILOT/Tender/SplashBidNoticeAbstractUI.aspx?menuIndex=3&amp;refID=7075683&amp;Result=3","7075683")</f>
        <v>0</v>
      </c>
      <c r="B4336" t="s">
        <v>1575</v>
      </c>
      <c r="C4336" t="s">
        <v>7543</v>
      </c>
      <c r="D4336" t="s">
        <v>16630</v>
      </c>
      <c r="E4336" t="s">
        <v>20614</v>
      </c>
      <c r="F4336" t="s">
        <v>28669</v>
      </c>
      <c r="G4336" t="s">
        <v>28675</v>
      </c>
      <c r="H4336" t="s">
        <v>28686</v>
      </c>
      <c r="I4336" t="s">
        <v>28689</v>
      </c>
      <c r="J4336" t="s">
        <v>31599</v>
      </c>
      <c r="K4336" t="s">
        <v>37218</v>
      </c>
      <c r="L4336" t="s">
        <v>1575</v>
      </c>
      <c r="M4336" t="s">
        <v>39156</v>
      </c>
      <c r="N4336" t="s">
        <v>41249</v>
      </c>
      <c r="O4336" t="s">
        <v>41250</v>
      </c>
      <c r="P4336">
        <v>0</v>
      </c>
      <c r="Q4336">
        <v>0</v>
      </c>
      <c r="R4336" t="s">
        <v>41252</v>
      </c>
      <c r="S4336" t="s">
        <v>41383</v>
      </c>
      <c r="T4336" t="s">
        <v>42716</v>
      </c>
      <c r="U4336" t="s">
        <v>46810</v>
      </c>
      <c r="V4336" t="s">
        <v>54731</v>
      </c>
      <c r="W4336" t="s">
        <v>39156</v>
      </c>
      <c r="X4336" t="s">
        <v>41254</v>
      </c>
    </row>
    <row r="4337" spans="1:24">
      <c r="A4337">
        <f>HYPERLINK("https://www.philgeps.gov.ph/GEPSNONPILOT/Tender/SplashBidNoticeAbstractUI.aspx?menuIndex=3&amp;refID=7075681&amp;Result=3","7075681")</f>
        <v>0</v>
      </c>
      <c r="B4337" t="s">
        <v>1577</v>
      </c>
      <c r="C4337" t="s">
        <v>7544</v>
      </c>
      <c r="D4337" t="s">
        <v>16608</v>
      </c>
      <c r="E4337" t="s">
        <v>20615</v>
      </c>
      <c r="F4337" t="s">
        <v>28669</v>
      </c>
      <c r="G4337" t="s">
        <v>28675</v>
      </c>
      <c r="H4337" t="s">
        <v>9998</v>
      </c>
      <c r="I4337" t="s">
        <v>28713</v>
      </c>
      <c r="J4337" t="s">
        <v>29112</v>
      </c>
      <c r="K4337" t="s">
        <v>37209</v>
      </c>
      <c r="M4337" t="s">
        <v>39158</v>
      </c>
      <c r="N4337" t="s">
        <v>41249</v>
      </c>
      <c r="O4337" t="s">
        <v>41250</v>
      </c>
      <c r="P4337">
        <v>0</v>
      </c>
      <c r="Q4337">
        <v>11</v>
      </c>
      <c r="R4337" t="s">
        <v>41252</v>
      </c>
      <c r="S4337" t="s">
        <v>41383</v>
      </c>
      <c r="T4337" t="s">
        <v>42735</v>
      </c>
      <c r="U4337" t="s">
        <v>46811</v>
      </c>
      <c r="W4337" t="s">
        <v>39158</v>
      </c>
      <c r="X4337" t="s">
        <v>41254</v>
      </c>
    </row>
    <row r="4338" spans="1:24">
      <c r="A4338">
        <f>HYPERLINK("https://www.philgeps.gov.ph/GEPSNONPILOT/Tender/SplashBidNoticeAbstractUI.aspx?menuIndex=3&amp;refID=7075713&amp;Result=3","7075713")</f>
        <v>0</v>
      </c>
      <c r="B4338" t="s">
        <v>1578</v>
      </c>
      <c r="C4338" t="s">
        <v>5192</v>
      </c>
      <c r="D4338" t="s">
        <v>16657</v>
      </c>
      <c r="E4338" t="s">
        <v>20616</v>
      </c>
      <c r="F4338" t="s">
        <v>28669</v>
      </c>
      <c r="G4338" t="s">
        <v>28675</v>
      </c>
      <c r="H4338" t="s">
        <v>28686</v>
      </c>
      <c r="I4338" t="s">
        <v>28689</v>
      </c>
      <c r="J4338" t="s">
        <v>31602</v>
      </c>
      <c r="K4338" t="s">
        <v>37209</v>
      </c>
      <c r="M4338" t="s">
        <v>39159</v>
      </c>
      <c r="N4338" t="s">
        <v>41249</v>
      </c>
      <c r="O4338" t="s">
        <v>41250</v>
      </c>
      <c r="P4338">
        <v>0</v>
      </c>
      <c r="Q4338">
        <v>2</v>
      </c>
      <c r="R4338" t="s">
        <v>41252</v>
      </c>
      <c r="S4338" t="s">
        <v>41383</v>
      </c>
      <c r="T4338" t="s">
        <v>42757</v>
      </c>
      <c r="U4338" t="s">
        <v>46812</v>
      </c>
      <c r="V4338" t="s">
        <v>54485</v>
      </c>
      <c r="W4338" t="s">
        <v>39159</v>
      </c>
      <c r="X4338" t="s">
        <v>41254</v>
      </c>
    </row>
    <row r="4339" spans="1:24">
      <c r="A4339">
        <f>HYPERLINK("https://www.philgeps.gov.ph/GEPSNONPILOT/Tender/SplashBidNoticeAbstractUI.aspx?menuIndex=3&amp;refID=7075680&amp;Result=3","7075680")</f>
        <v>0</v>
      </c>
      <c r="B4339" t="s">
        <v>185</v>
      </c>
      <c r="C4339" t="s">
        <v>7545</v>
      </c>
      <c r="D4339" t="s">
        <v>16636</v>
      </c>
      <c r="E4339" t="s">
        <v>20617</v>
      </c>
      <c r="F4339" t="s">
        <v>28669</v>
      </c>
      <c r="G4339" t="s">
        <v>28675</v>
      </c>
      <c r="H4339" t="s">
        <v>9998</v>
      </c>
      <c r="I4339" t="s">
        <v>28708</v>
      </c>
      <c r="J4339" t="s">
        <v>31603</v>
      </c>
      <c r="K4339" t="s">
        <v>37205</v>
      </c>
      <c r="M4339" t="s">
        <v>37662</v>
      </c>
      <c r="N4339" t="s">
        <v>41249</v>
      </c>
      <c r="O4339" t="s">
        <v>41250</v>
      </c>
      <c r="P4339">
        <v>0</v>
      </c>
      <c r="Q4339">
        <v>4</v>
      </c>
      <c r="R4339" t="s">
        <v>41252</v>
      </c>
      <c r="S4339" t="s">
        <v>41383</v>
      </c>
      <c r="T4339" t="s">
        <v>42679</v>
      </c>
      <c r="U4339" t="s">
        <v>46813</v>
      </c>
      <c r="V4339" t="s">
        <v>50836</v>
      </c>
      <c r="W4339" t="s">
        <v>37662</v>
      </c>
      <c r="X4339" t="s">
        <v>41254</v>
      </c>
    </row>
    <row r="4340" spans="1:24">
      <c r="A4340">
        <f>HYPERLINK("https://www.philgeps.gov.ph/GEPSNONPILOT/Tender/SplashBidNoticeAbstractUI.aspx?menuIndex=3&amp;refID=7075712&amp;Result=3","7075712")</f>
        <v>0</v>
      </c>
      <c r="B4340" t="s">
        <v>1577</v>
      </c>
      <c r="C4340" t="s">
        <v>7546</v>
      </c>
      <c r="D4340" t="s">
        <v>16608</v>
      </c>
      <c r="E4340" t="s">
        <v>20618</v>
      </c>
      <c r="F4340" t="s">
        <v>28669</v>
      </c>
      <c r="G4340" t="s">
        <v>28675</v>
      </c>
      <c r="H4340" t="s">
        <v>9998</v>
      </c>
      <c r="I4340" t="s">
        <v>28713</v>
      </c>
      <c r="J4340" t="s">
        <v>31604</v>
      </c>
      <c r="K4340" t="s">
        <v>37209</v>
      </c>
      <c r="M4340" t="s">
        <v>39158</v>
      </c>
      <c r="N4340" t="s">
        <v>41249</v>
      </c>
      <c r="O4340" t="s">
        <v>41250</v>
      </c>
      <c r="P4340">
        <v>0</v>
      </c>
      <c r="Q4340">
        <v>20</v>
      </c>
      <c r="R4340" t="s">
        <v>41252</v>
      </c>
      <c r="S4340" t="s">
        <v>41383</v>
      </c>
      <c r="T4340" t="s">
        <v>42899</v>
      </c>
      <c r="U4340" t="s">
        <v>46814</v>
      </c>
      <c r="W4340" t="s">
        <v>39158</v>
      </c>
      <c r="X4340" t="s">
        <v>41254</v>
      </c>
    </row>
    <row r="4341" spans="1:24">
      <c r="A4341">
        <f>HYPERLINK("https://www.philgeps.gov.ph/GEPSNONPILOT/Tender/SplashBidNoticeAbstractUI.aspx?menuIndex=3&amp;refID=7075708&amp;Result=3","7075708")</f>
        <v>0</v>
      </c>
      <c r="B4341" t="s">
        <v>1579</v>
      </c>
      <c r="C4341" t="s">
        <v>7547</v>
      </c>
      <c r="D4341" t="s">
        <v>16616</v>
      </c>
      <c r="E4341" t="s">
        <v>20619</v>
      </c>
      <c r="F4341" t="s">
        <v>28669</v>
      </c>
      <c r="G4341" t="s">
        <v>28675</v>
      </c>
      <c r="H4341" t="s">
        <v>9998</v>
      </c>
      <c r="I4341" t="s">
        <v>7352</v>
      </c>
      <c r="J4341" t="s">
        <v>31605</v>
      </c>
      <c r="K4341" t="s">
        <v>37210</v>
      </c>
      <c r="M4341" t="s">
        <v>39160</v>
      </c>
      <c r="N4341" t="s">
        <v>41249</v>
      </c>
      <c r="O4341" t="s">
        <v>41250</v>
      </c>
      <c r="P4341">
        <v>0</v>
      </c>
      <c r="Q4341">
        <v>0</v>
      </c>
      <c r="R4341" t="s">
        <v>41252</v>
      </c>
      <c r="S4341" t="s">
        <v>41383</v>
      </c>
      <c r="T4341" t="s">
        <v>42679</v>
      </c>
      <c r="U4341" t="s">
        <v>46815</v>
      </c>
      <c r="W4341" t="s">
        <v>39160</v>
      </c>
      <c r="X4341" t="s">
        <v>41254</v>
      </c>
    </row>
    <row r="4342" spans="1:24">
      <c r="A4342">
        <f>HYPERLINK("https://www.philgeps.gov.ph/GEPSNONPILOT/Tender/SplashBidNoticeAbstractUI.aspx?menuIndex=3&amp;refID=7075709&amp;Result=3","7075709")</f>
        <v>0</v>
      </c>
      <c r="B4342" t="s">
        <v>600</v>
      </c>
      <c r="C4342" t="s">
        <v>7548</v>
      </c>
      <c r="D4342" t="s">
        <v>16608</v>
      </c>
      <c r="E4342" t="s">
        <v>20620</v>
      </c>
      <c r="F4342" t="s">
        <v>28669</v>
      </c>
      <c r="G4342" t="s">
        <v>28676</v>
      </c>
      <c r="H4342" t="s">
        <v>9998</v>
      </c>
      <c r="I4342" t="s">
        <v>11593</v>
      </c>
      <c r="J4342" t="s">
        <v>31606</v>
      </c>
      <c r="K4342" t="s">
        <v>37209</v>
      </c>
      <c r="M4342" t="s">
        <v>38876</v>
      </c>
      <c r="N4342" t="s">
        <v>41249</v>
      </c>
      <c r="O4342" t="s">
        <v>41250</v>
      </c>
      <c r="P4342">
        <v>0</v>
      </c>
      <c r="Q4342">
        <v>3</v>
      </c>
      <c r="R4342" t="s">
        <v>41252</v>
      </c>
      <c r="S4342" t="s">
        <v>41383</v>
      </c>
      <c r="T4342" t="s">
        <v>42683</v>
      </c>
      <c r="U4342" t="s">
        <v>46816</v>
      </c>
      <c r="V4342" t="s">
        <v>54732</v>
      </c>
      <c r="W4342" t="s">
        <v>38876</v>
      </c>
      <c r="X4342" t="s">
        <v>41254</v>
      </c>
    </row>
    <row r="4343" spans="1:24">
      <c r="A4343">
        <f>HYPERLINK("https://www.philgeps.gov.ph/GEPSNONPILOT/Tender/SplashBidNoticeAbstractUI.aspx?menuIndex=3&amp;refID=7075690&amp;Result=3","7075690")</f>
        <v>0</v>
      </c>
      <c r="B4343" t="s">
        <v>1580</v>
      </c>
      <c r="C4343" t="s">
        <v>7549</v>
      </c>
      <c r="D4343" t="s">
        <v>16608</v>
      </c>
      <c r="E4343" t="s">
        <v>20621</v>
      </c>
      <c r="F4343" t="s">
        <v>28669</v>
      </c>
      <c r="G4343" t="s">
        <v>28676</v>
      </c>
      <c r="H4343" t="s">
        <v>9998</v>
      </c>
      <c r="I4343" t="s">
        <v>28688</v>
      </c>
      <c r="J4343" t="s">
        <v>31607</v>
      </c>
      <c r="K4343" t="s">
        <v>37204</v>
      </c>
      <c r="M4343" t="s">
        <v>39161</v>
      </c>
      <c r="N4343" t="s">
        <v>41249</v>
      </c>
      <c r="O4343" t="s">
        <v>41250</v>
      </c>
      <c r="P4343">
        <v>0</v>
      </c>
      <c r="Q4343">
        <v>20</v>
      </c>
      <c r="R4343" t="s">
        <v>41252</v>
      </c>
      <c r="S4343" t="s">
        <v>41383</v>
      </c>
      <c r="T4343" t="s">
        <v>42665</v>
      </c>
      <c r="U4343" t="s">
        <v>46817</v>
      </c>
      <c r="W4343" t="s">
        <v>39161</v>
      </c>
      <c r="X4343" t="s">
        <v>41254</v>
      </c>
    </row>
    <row r="4344" spans="1:24">
      <c r="A4344">
        <f>HYPERLINK("https://www.philgeps.gov.ph/GEPSNONPILOT/Tender/SplashBidNoticeAbstractUI.aspx?menuIndex=3&amp;refID=7075706&amp;Result=3","7075706")</f>
        <v>0</v>
      </c>
      <c r="B4344" t="s">
        <v>1581</v>
      </c>
      <c r="C4344" t="s">
        <v>7550</v>
      </c>
      <c r="E4344" t="s">
        <v>20622</v>
      </c>
      <c r="F4344" t="s">
        <v>28669</v>
      </c>
      <c r="G4344" t="s">
        <v>28676</v>
      </c>
      <c r="H4344" t="s">
        <v>9998</v>
      </c>
      <c r="I4344" t="s">
        <v>28709</v>
      </c>
      <c r="J4344" t="s">
        <v>29189</v>
      </c>
      <c r="K4344" t="s">
        <v>37208</v>
      </c>
      <c r="M4344" t="s">
        <v>39162</v>
      </c>
      <c r="N4344" t="s">
        <v>41249</v>
      </c>
      <c r="O4344" t="s">
        <v>41250</v>
      </c>
      <c r="P4344">
        <v>0</v>
      </c>
      <c r="Q4344">
        <v>0</v>
      </c>
      <c r="R4344" t="s">
        <v>41252</v>
      </c>
      <c r="S4344" t="s">
        <v>41383</v>
      </c>
      <c r="T4344" t="s">
        <v>42758</v>
      </c>
      <c r="U4344" t="s">
        <v>46818</v>
      </c>
      <c r="W4344" t="s">
        <v>39162</v>
      </c>
      <c r="X4344" t="s">
        <v>41254</v>
      </c>
    </row>
    <row r="4345" spans="1:24">
      <c r="A4345">
        <f>HYPERLINK("https://www.philgeps.gov.ph/GEPSNONPILOT/Tender/SplashBidNoticeAbstractUI.aspx?menuIndex=3&amp;refID=7075705&amp;Result=3","7075705")</f>
        <v>0</v>
      </c>
      <c r="B4345" t="s">
        <v>1348</v>
      </c>
      <c r="C4345" t="s">
        <v>7551</v>
      </c>
      <c r="E4345" t="s">
        <v>20623</v>
      </c>
      <c r="F4345" t="s">
        <v>28669</v>
      </c>
      <c r="G4345" t="s">
        <v>28678</v>
      </c>
      <c r="H4345" t="s">
        <v>9998</v>
      </c>
      <c r="I4345" t="s">
        <v>8667</v>
      </c>
      <c r="J4345" t="s">
        <v>31608</v>
      </c>
      <c r="K4345" t="s">
        <v>37204</v>
      </c>
      <c r="M4345" t="s">
        <v>39145</v>
      </c>
      <c r="N4345" t="s">
        <v>41249</v>
      </c>
      <c r="O4345" t="s">
        <v>41250</v>
      </c>
      <c r="P4345">
        <v>0</v>
      </c>
      <c r="Q4345">
        <v>0</v>
      </c>
      <c r="R4345" t="s">
        <v>41252</v>
      </c>
      <c r="S4345" t="s">
        <v>41383</v>
      </c>
      <c r="T4345" t="s">
        <v>42884</v>
      </c>
      <c r="U4345" t="s">
        <v>46819</v>
      </c>
      <c r="V4345" t="s">
        <v>54726</v>
      </c>
      <c r="W4345" t="s">
        <v>39145</v>
      </c>
      <c r="X4345" t="s">
        <v>41254</v>
      </c>
    </row>
    <row r="4346" spans="1:24">
      <c r="A4346">
        <f>HYPERLINK("https://www.philgeps.gov.ph/GEPSNONPILOT/Tender/SplashBidNoticeAbstractUI.aspx?menuIndex=3&amp;refID=7075704&amp;Result=3","7075704")</f>
        <v>0</v>
      </c>
      <c r="B4346" t="s">
        <v>1573</v>
      </c>
      <c r="C4346" t="s">
        <v>7552</v>
      </c>
      <c r="D4346" t="s">
        <v>16637</v>
      </c>
      <c r="E4346" t="s">
        <v>20624</v>
      </c>
      <c r="F4346" t="s">
        <v>28669</v>
      </c>
      <c r="G4346" t="s">
        <v>28678</v>
      </c>
      <c r="H4346" t="s">
        <v>9998</v>
      </c>
      <c r="I4346" t="s">
        <v>28717</v>
      </c>
      <c r="J4346" t="s">
        <v>31609</v>
      </c>
      <c r="K4346" t="s">
        <v>37206</v>
      </c>
      <c r="M4346" t="s">
        <v>39154</v>
      </c>
      <c r="N4346" t="s">
        <v>41249</v>
      </c>
      <c r="O4346" t="s">
        <v>41250</v>
      </c>
      <c r="P4346">
        <v>0</v>
      </c>
      <c r="Q4346">
        <v>1</v>
      </c>
      <c r="R4346" t="s">
        <v>41252</v>
      </c>
      <c r="S4346" t="s">
        <v>41383</v>
      </c>
      <c r="T4346" t="s">
        <v>42736</v>
      </c>
      <c r="U4346" t="s">
        <v>46820</v>
      </c>
      <c r="W4346" t="s">
        <v>39154</v>
      </c>
      <c r="X4346" t="s">
        <v>41254</v>
      </c>
    </row>
    <row r="4347" spans="1:24">
      <c r="A4347">
        <f>HYPERLINK("https://www.philgeps.gov.ph/GEPSNONPILOT/Tender/SplashBidNoticeAbstractUI.aspx?menuIndex=3&amp;refID=7075715&amp;Result=3","7075715")</f>
        <v>0</v>
      </c>
      <c r="B4347" t="s">
        <v>996</v>
      </c>
      <c r="C4347" t="s">
        <v>7553</v>
      </c>
      <c r="E4347" t="s">
        <v>18863</v>
      </c>
      <c r="F4347" t="s">
        <v>28669</v>
      </c>
      <c r="G4347" t="s">
        <v>28676</v>
      </c>
      <c r="H4347" t="s">
        <v>9998</v>
      </c>
      <c r="I4347" t="s">
        <v>28760</v>
      </c>
      <c r="J4347" t="s">
        <v>31610</v>
      </c>
      <c r="K4347" t="s">
        <v>37209</v>
      </c>
      <c r="M4347" t="s">
        <v>38524</v>
      </c>
      <c r="N4347" t="s">
        <v>41249</v>
      </c>
      <c r="O4347" t="s">
        <v>41250</v>
      </c>
      <c r="P4347">
        <v>0</v>
      </c>
      <c r="Q4347">
        <v>0</v>
      </c>
      <c r="R4347" t="s">
        <v>41252</v>
      </c>
      <c r="S4347" t="s">
        <v>41383</v>
      </c>
      <c r="T4347" t="s">
        <v>42729</v>
      </c>
      <c r="U4347" t="s">
        <v>46821</v>
      </c>
      <c r="W4347" t="s">
        <v>38524</v>
      </c>
      <c r="X4347" t="s">
        <v>41254</v>
      </c>
    </row>
    <row r="4348" spans="1:24">
      <c r="A4348">
        <f>HYPERLINK("https://www.philgeps.gov.ph/GEPSNONPILOT/Tender/SplashBidNoticeAbstractUI.aspx?menuIndex=3&amp;refID=7075702&amp;Result=3","7075702")</f>
        <v>0</v>
      </c>
      <c r="B4348" t="s">
        <v>185</v>
      </c>
      <c r="C4348" t="s">
        <v>7554</v>
      </c>
      <c r="D4348" t="s">
        <v>16636</v>
      </c>
      <c r="E4348" t="s">
        <v>20625</v>
      </c>
      <c r="F4348" t="s">
        <v>28669</v>
      </c>
      <c r="G4348" t="s">
        <v>28675</v>
      </c>
      <c r="H4348" t="s">
        <v>28686</v>
      </c>
      <c r="I4348" t="s">
        <v>28689</v>
      </c>
      <c r="J4348" t="s">
        <v>31611</v>
      </c>
      <c r="K4348" t="s">
        <v>37346</v>
      </c>
      <c r="M4348" t="s">
        <v>37662</v>
      </c>
      <c r="N4348" t="s">
        <v>41249</v>
      </c>
      <c r="O4348" t="s">
        <v>41250</v>
      </c>
      <c r="P4348">
        <v>0</v>
      </c>
      <c r="Q4348">
        <v>0</v>
      </c>
      <c r="R4348" t="s">
        <v>41252</v>
      </c>
      <c r="S4348" t="s">
        <v>41383</v>
      </c>
      <c r="T4348" t="s">
        <v>42679</v>
      </c>
      <c r="U4348" t="s">
        <v>46822</v>
      </c>
      <c r="V4348" t="s">
        <v>50836</v>
      </c>
      <c r="W4348" t="s">
        <v>37662</v>
      </c>
      <c r="X4348" t="s">
        <v>41254</v>
      </c>
    </row>
    <row r="4349" spans="1:24">
      <c r="A4349">
        <f>HYPERLINK("https://www.philgeps.gov.ph/GEPSNONPILOT/Tender/SplashBidNoticeAbstractUI.aspx?menuIndex=3&amp;refID=7075701&amp;Result=3","7075701")</f>
        <v>0</v>
      </c>
      <c r="B4349" t="s">
        <v>662</v>
      </c>
      <c r="C4349" t="s">
        <v>7555</v>
      </c>
      <c r="D4349" t="s">
        <v>16635</v>
      </c>
      <c r="E4349" t="s">
        <v>20626</v>
      </c>
      <c r="F4349" t="s">
        <v>28669</v>
      </c>
      <c r="G4349" t="s">
        <v>28676</v>
      </c>
      <c r="H4349" t="s">
        <v>9998</v>
      </c>
      <c r="I4349" t="s">
        <v>11593</v>
      </c>
      <c r="J4349" t="s">
        <v>29386</v>
      </c>
      <c r="K4349" t="s">
        <v>37206</v>
      </c>
      <c r="M4349" t="s">
        <v>38164</v>
      </c>
      <c r="N4349" t="s">
        <v>41249</v>
      </c>
      <c r="O4349" t="s">
        <v>41250</v>
      </c>
      <c r="P4349">
        <v>0</v>
      </c>
      <c r="Q4349">
        <v>3</v>
      </c>
      <c r="R4349" t="s">
        <v>41252</v>
      </c>
      <c r="S4349" t="s">
        <v>41383</v>
      </c>
      <c r="T4349" t="s">
        <v>42759</v>
      </c>
      <c r="U4349" t="s">
        <v>46823</v>
      </c>
      <c r="W4349" t="s">
        <v>38164</v>
      </c>
      <c r="X4349" t="s">
        <v>41254</v>
      </c>
    </row>
    <row r="4350" spans="1:24">
      <c r="A4350">
        <f>HYPERLINK("https://www.philgeps.gov.ph/GEPSNONPILOT/Tender/SplashBidNoticeAbstractUI.aspx?menuIndex=3&amp;refID=7075700&amp;Result=3","7075700")</f>
        <v>0</v>
      </c>
      <c r="B4350" t="s">
        <v>1582</v>
      </c>
      <c r="C4350" t="s">
        <v>7556</v>
      </c>
      <c r="D4350" t="s">
        <v>16626</v>
      </c>
      <c r="E4350" t="s">
        <v>20627</v>
      </c>
      <c r="F4350" t="s">
        <v>28669</v>
      </c>
      <c r="G4350" t="s">
        <v>28675</v>
      </c>
      <c r="H4350" t="s">
        <v>9998</v>
      </c>
      <c r="I4350" t="s">
        <v>5213</v>
      </c>
      <c r="J4350" t="s">
        <v>28826</v>
      </c>
      <c r="K4350" t="s">
        <v>37347</v>
      </c>
      <c r="M4350" t="s">
        <v>39163</v>
      </c>
      <c r="N4350" t="s">
        <v>41249</v>
      </c>
      <c r="O4350" t="s">
        <v>41250</v>
      </c>
      <c r="P4350">
        <v>0</v>
      </c>
      <c r="Q4350">
        <v>1</v>
      </c>
      <c r="R4350" t="s">
        <v>41252</v>
      </c>
      <c r="S4350" t="s">
        <v>41383</v>
      </c>
      <c r="T4350" t="s">
        <v>42722</v>
      </c>
      <c r="U4350" t="s">
        <v>46824</v>
      </c>
      <c r="W4350" t="s">
        <v>39163</v>
      </c>
      <c r="X4350" t="s">
        <v>41254</v>
      </c>
    </row>
    <row r="4351" spans="1:24">
      <c r="A4351">
        <f>HYPERLINK("https://www.philgeps.gov.ph/GEPSNONPILOT/Tender/SplashBidNoticeAbstractUI.aspx?menuIndex=3&amp;refID=7075687&amp;Result=3","7075687")</f>
        <v>0</v>
      </c>
      <c r="B4351" t="s">
        <v>662</v>
      </c>
      <c r="C4351" t="s">
        <v>7557</v>
      </c>
      <c r="D4351" t="s">
        <v>16635</v>
      </c>
      <c r="E4351" t="s">
        <v>20628</v>
      </c>
      <c r="F4351" t="s">
        <v>28669</v>
      </c>
      <c r="G4351" t="s">
        <v>28676</v>
      </c>
      <c r="H4351" t="s">
        <v>9998</v>
      </c>
      <c r="I4351" t="s">
        <v>7352</v>
      </c>
      <c r="J4351" t="s">
        <v>31612</v>
      </c>
      <c r="K4351" t="s">
        <v>37206</v>
      </c>
      <c r="M4351" t="s">
        <v>38164</v>
      </c>
      <c r="N4351" t="s">
        <v>41249</v>
      </c>
      <c r="O4351" t="s">
        <v>41250</v>
      </c>
      <c r="P4351">
        <v>0</v>
      </c>
      <c r="Q4351">
        <v>0</v>
      </c>
      <c r="R4351" t="s">
        <v>41252</v>
      </c>
      <c r="S4351" t="s">
        <v>41383</v>
      </c>
      <c r="T4351" t="s">
        <v>42809</v>
      </c>
      <c r="U4351" t="s">
        <v>46825</v>
      </c>
      <c r="W4351" t="s">
        <v>38164</v>
      </c>
      <c r="X4351" t="s">
        <v>41254</v>
      </c>
    </row>
    <row r="4352" spans="1:24">
      <c r="A4352">
        <f>HYPERLINK("https://www.philgeps.gov.ph/GEPSNONPILOT/Tender/SplashBidNoticeAbstractUI.aspx?menuIndex=3&amp;refID=7075699&amp;Result=3","7075699")</f>
        <v>0</v>
      </c>
      <c r="B4352" t="s">
        <v>850</v>
      </c>
      <c r="C4352" t="s">
        <v>7558</v>
      </c>
      <c r="D4352" t="s">
        <v>16686</v>
      </c>
      <c r="E4352" t="s">
        <v>20629</v>
      </c>
      <c r="F4352" t="s">
        <v>28669</v>
      </c>
      <c r="G4352" t="s">
        <v>28676</v>
      </c>
      <c r="H4352" t="s">
        <v>28686</v>
      </c>
      <c r="I4352" t="s">
        <v>28728</v>
      </c>
      <c r="J4352" t="s">
        <v>31613</v>
      </c>
      <c r="K4352" t="s">
        <v>37209</v>
      </c>
      <c r="M4352" t="s">
        <v>38366</v>
      </c>
      <c r="N4352" t="s">
        <v>41249</v>
      </c>
      <c r="O4352" t="s">
        <v>41250</v>
      </c>
      <c r="P4352">
        <v>0</v>
      </c>
      <c r="Q4352">
        <v>0</v>
      </c>
      <c r="R4352" t="s">
        <v>41252</v>
      </c>
      <c r="S4352" t="s">
        <v>41383</v>
      </c>
      <c r="T4352" t="s">
        <v>42729</v>
      </c>
      <c r="U4352" t="s">
        <v>46826</v>
      </c>
      <c r="W4352" t="s">
        <v>38366</v>
      </c>
      <c r="X4352" t="s">
        <v>41254</v>
      </c>
    </row>
    <row r="4353" spans="1:24">
      <c r="A4353">
        <f>HYPERLINK("https://www.philgeps.gov.ph/GEPSNONPILOT/Tender/SplashBidNoticeAbstractUI.aspx?menuIndex=3&amp;refID=7075737&amp;Result=3","7075737")</f>
        <v>0</v>
      </c>
      <c r="B4353" t="s">
        <v>662</v>
      </c>
      <c r="C4353" t="s">
        <v>7559</v>
      </c>
      <c r="D4353" t="s">
        <v>16635</v>
      </c>
      <c r="E4353" t="s">
        <v>20630</v>
      </c>
      <c r="F4353" t="s">
        <v>28669</v>
      </c>
      <c r="G4353" t="s">
        <v>28676</v>
      </c>
      <c r="H4353" t="s">
        <v>9998</v>
      </c>
      <c r="I4353" t="s">
        <v>28693</v>
      </c>
      <c r="J4353" t="s">
        <v>31614</v>
      </c>
      <c r="K4353" t="s">
        <v>37206</v>
      </c>
      <c r="M4353" t="s">
        <v>38164</v>
      </c>
      <c r="N4353" t="s">
        <v>41249</v>
      </c>
      <c r="O4353" t="s">
        <v>41250</v>
      </c>
      <c r="P4353">
        <v>0</v>
      </c>
      <c r="Q4353">
        <v>2</v>
      </c>
      <c r="R4353" t="s">
        <v>41252</v>
      </c>
      <c r="S4353" t="s">
        <v>41383</v>
      </c>
      <c r="T4353" t="s">
        <v>42759</v>
      </c>
      <c r="U4353" t="s">
        <v>46827</v>
      </c>
      <c r="W4353" t="s">
        <v>38164</v>
      </c>
      <c r="X4353" t="s">
        <v>41254</v>
      </c>
    </row>
    <row r="4354" spans="1:24">
      <c r="A4354">
        <f>HYPERLINK("https://www.philgeps.gov.ph/GEPSNONPILOT/Tender/SplashBidNoticeAbstractUI.aspx?menuIndex=3&amp;refID=7075707&amp;Result=3","7075707")</f>
        <v>0</v>
      </c>
      <c r="B4354" t="s">
        <v>1571</v>
      </c>
      <c r="C4354" t="s">
        <v>7560</v>
      </c>
      <c r="D4354" t="s">
        <v>16636</v>
      </c>
      <c r="E4354" t="s">
        <v>20631</v>
      </c>
      <c r="F4354" t="s">
        <v>28669</v>
      </c>
      <c r="G4354" t="s">
        <v>28675</v>
      </c>
      <c r="H4354" t="s">
        <v>28686</v>
      </c>
      <c r="I4354" t="s">
        <v>28689</v>
      </c>
      <c r="J4354" t="s">
        <v>31615</v>
      </c>
      <c r="K4354" t="s">
        <v>37223</v>
      </c>
      <c r="M4354" t="s">
        <v>39151</v>
      </c>
      <c r="N4354" t="s">
        <v>41249</v>
      </c>
      <c r="O4354" t="s">
        <v>41250</v>
      </c>
      <c r="P4354">
        <v>0</v>
      </c>
      <c r="Q4354">
        <v>0</v>
      </c>
      <c r="R4354" t="s">
        <v>41252</v>
      </c>
      <c r="S4354" t="s">
        <v>41383</v>
      </c>
      <c r="T4354" t="s">
        <v>42716</v>
      </c>
      <c r="U4354" t="s">
        <v>46828</v>
      </c>
      <c r="W4354" t="s">
        <v>39151</v>
      </c>
      <c r="X4354" t="s">
        <v>41254</v>
      </c>
    </row>
    <row r="4355" spans="1:24">
      <c r="A4355">
        <f>HYPERLINK("https://www.philgeps.gov.ph/GEPSNONPILOT/Tender/SplashBidNoticeAbstractUI.aspx?menuIndex=3&amp;refID=7075735&amp;Result=3","7075735")</f>
        <v>0</v>
      </c>
      <c r="B4355" t="s">
        <v>1583</v>
      </c>
      <c r="C4355" t="s">
        <v>7561</v>
      </c>
      <c r="D4355" t="s">
        <v>16626</v>
      </c>
      <c r="E4355" t="s">
        <v>20632</v>
      </c>
      <c r="F4355" t="s">
        <v>28669</v>
      </c>
      <c r="G4355" t="s">
        <v>28675</v>
      </c>
      <c r="H4355" t="s">
        <v>9998</v>
      </c>
      <c r="I4355" t="s">
        <v>28764</v>
      </c>
      <c r="J4355" t="s">
        <v>31616</v>
      </c>
      <c r="K4355" t="s">
        <v>37206</v>
      </c>
      <c r="M4355" t="s">
        <v>39164</v>
      </c>
      <c r="N4355" t="s">
        <v>41249</v>
      </c>
      <c r="O4355" t="s">
        <v>41250</v>
      </c>
      <c r="P4355">
        <v>0</v>
      </c>
      <c r="Q4355">
        <v>18</v>
      </c>
      <c r="R4355" t="s">
        <v>41252</v>
      </c>
      <c r="S4355" t="s">
        <v>41383</v>
      </c>
      <c r="T4355" t="s">
        <v>42688</v>
      </c>
      <c r="U4355" t="s">
        <v>46829</v>
      </c>
      <c r="W4355" t="s">
        <v>39164</v>
      </c>
      <c r="X4355" t="s">
        <v>41254</v>
      </c>
    </row>
    <row r="4356" spans="1:24">
      <c r="A4356">
        <f>HYPERLINK("https://www.philgeps.gov.ph/GEPSNONPILOT/Tender/SplashBidNoticeAbstractUI.aspx?menuIndex=3&amp;refID=7075734&amp;Result=3","7075734")</f>
        <v>0</v>
      </c>
      <c r="B4356" t="s">
        <v>662</v>
      </c>
      <c r="C4356" t="s">
        <v>7562</v>
      </c>
      <c r="D4356" t="s">
        <v>16635</v>
      </c>
      <c r="E4356" t="s">
        <v>20633</v>
      </c>
      <c r="F4356" t="s">
        <v>28669</v>
      </c>
      <c r="G4356" t="s">
        <v>28676</v>
      </c>
      <c r="H4356" t="s">
        <v>9998</v>
      </c>
      <c r="I4356" t="s">
        <v>28693</v>
      </c>
      <c r="J4356" t="s">
        <v>31617</v>
      </c>
      <c r="K4356" t="s">
        <v>37206</v>
      </c>
      <c r="M4356" t="s">
        <v>38164</v>
      </c>
      <c r="N4356" t="s">
        <v>41249</v>
      </c>
      <c r="O4356" t="s">
        <v>41250</v>
      </c>
      <c r="P4356">
        <v>0</v>
      </c>
      <c r="Q4356">
        <v>3</v>
      </c>
      <c r="R4356" t="s">
        <v>41252</v>
      </c>
      <c r="S4356" t="s">
        <v>41383</v>
      </c>
      <c r="T4356" t="s">
        <v>42759</v>
      </c>
      <c r="U4356" t="s">
        <v>46830</v>
      </c>
      <c r="W4356" t="s">
        <v>38164</v>
      </c>
      <c r="X4356" t="s">
        <v>41254</v>
      </c>
    </row>
    <row r="4357" spans="1:24">
      <c r="A4357">
        <f>HYPERLINK("https://www.philgeps.gov.ph/GEPSNONPILOT/Tender/SplashBidNoticeAbstractUI.aspx?menuIndex=3&amp;refID=7075733&amp;Result=3","7075733")</f>
        <v>0</v>
      </c>
      <c r="B4357" t="s">
        <v>1348</v>
      </c>
      <c r="C4357" t="s">
        <v>7563</v>
      </c>
      <c r="E4357" t="s">
        <v>20634</v>
      </c>
      <c r="F4357" t="s">
        <v>28669</v>
      </c>
      <c r="G4357" t="s">
        <v>28676</v>
      </c>
      <c r="H4357" t="s">
        <v>9998</v>
      </c>
      <c r="I4357" t="s">
        <v>5213</v>
      </c>
      <c r="J4357" t="s">
        <v>31618</v>
      </c>
      <c r="K4357" t="s">
        <v>37204</v>
      </c>
      <c r="M4357" t="s">
        <v>39145</v>
      </c>
      <c r="N4357" t="s">
        <v>41249</v>
      </c>
      <c r="O4357" t="s">
        <v>41250</v>
      </c>
      <c r="P4357">
        <v>0</v>
      </c>
      <c r="Q4357">
        <v>0</v>
      </c>
      <c r="R4357" t="s">
        <v>41252</v>
      </c>
      <c r="S4357" t="s">
        <v>41383</v>
      </c>
      <c r="T4357" t="s">
        <v>42729</v>
      </c>
      <c r="U4357" t="s">
        <v>46831</v>
      </c>
      <c r="V4357" t="s">
        <v>54726</v>
      </c>
      <c r="W4357" t="s">
        <v>39145</v>
      </c>
      <c r="X4357" t="s">
        <v>41254</v>
      </c>
    </row>
    <row r="4358" spans="1:24">
      <c r="A4358">
        <f>HYPERLINK("https://www.philgeps.gov.ph/GEPSNONPILOT/Tender/SplashBidNoticeAbstractUI.aspx?menuIndex=3&amp;refID=7075732&amp;Result=3","7075732")</f>
        <v>0</v>
      </c>
      <c r="B4358" t="s">
        <v>206</v>
      </c>
      <c r="C4358" t="s">
        <v>7564</v>
      </c>
      <c r="D4358" t="s">
        <v>16617</v>
      </c>
      <c r="E4358" t="s">
        <v>20635</v>
      </c>
      <c r="F4358" t="s">
        <v>28669</v>
      </c>
      <c r="G4358" t="s">
        <v>28677</v>
      </c>
      <c r="H4358" t="s">
        <v>9998</v>
      </c>
      <c r="I4358" t="s">
        <v>28688</v>
      </c>
      <c r="J4358" t="s">
        <v>29547</v>
      </c>
      <c r="K4358" t="s">
        <v>37204</v>
      </c>
      <c r="M4358" t="s">
        <v>38031</v>
      </c>
      <c r="N4358" t="s">
        <v>41249</v>
      </c>
      <c r="O4358" t="s">
        <v>41250</v>
      </c>
      <c r="P4358">
        <v>0</v>
      </c>
      <c r="Q4358">
        <v>0</v>
      </c>
      <c r="R4358" t="s">
        <v>41252</v>
      </c>
      <c r="S4358" t="s">
        <v>41383</v>
      </c>
      <c r="T4358" t="s">
        <v>42771</v>
      </c>
      <c r="U4358" t="s">
        <v>46832</v>
      </c>
      <c r="W4358" t="s">
        <v>38031</v>
      </c>
      <c r="X4358" t="s">
        <v>41254</v>
      </c>
    </row>
    <row r="4359" spans="1:24">
      <c r="A4359">
        <f>HYPERLINK("https://www.philgeps.gov.ph/GEPSNONPILOT/Tender/SplashBidNoticeAbstractUI.aspx?menuIndex=3&amp;refID=7075710&amp;Result=3","7075710")</f>
        <v>0</v>
      </c>
      <c r="B4359" t="s">
        <v>497</v>
      </c>
      <c r="C4359" t="s">
        <v>7565</v>
      </c>
      <c r="D4359" t="s">
        <v>16608</v>
      </c>
      <c r="E4359" t="s">
        <v>20636</v>
      </c>
      <c r="F4359" t="s">
        <v>28669</v>
      </c>
      <c r="G4359" t="s">
        <v>28677</v>
      </c>
      <c r="H4359" t="s">
        <v>9998</v>
      </c>
      <c r="I4359" t="s">
        <v>11593</v>
      </c>
      <c r="J4359" t="s">
        <v>28878</v>
      </c>
      <c r="K4359" t="s">
        <v>37209</v>
      </c>
      <c r="M4359" t="s">
        <v>37986</v>
      </c>
      <c r="N4359" t="s">
        <v>41249</v>
      </c>
      <c r="O4359" t="s">
        <v>41250</v>
      </c>
      <c r="P4359">
        <v>0</v>
      </c>
      <c r="Q4359">
        <v>7</v>
      </c>
      <c r="R4359" t="s">
        <v>41252</v>
      </c>
      <c r="S4359" t="s">
        <v>41383</v>
      </c>
      <c r="T4359" t="s">
        <v>42727</v>
      </c>
      <c r="U4359" t="s">
        <v>46833</v>
      </c>
      <c r="V4359" t="s">
        <v>54733</v>
      </c>
      <c r="W4359" t="s">
        <v>55919</v>
      </c>
      <c r="X4359" t="s">
        <v>41254</v>
      </c>
    </row>
    <row r="4360" spans="1:24">
      <c r="A4360">
        <f>HYPERLINK("https://www.philgeps.gov.ph/GEPSNONPILOT/Tender/SplashBidNoticeAbstractUI.aspx?menuIndex=3&amp;refID=7075731&amp;Result=3","7075731")</f>
        <v>0</v>
      </c>
      <c r="B4360" t="s">
        <v>1584</v>
      </c>
      <c r="C4360" t="s">
        <v>7566</v>
      </c>
      <c r="D4360" t="s">
        <v>16607</v>
      </c>
      <c r="E4360" t="s">
        <v>6919</v>
      </c>
      <c r="F4360" t="s">
        <v>28669</v>
      </c>
      <c r="G4360" t="s">
        <v>28677</v>
      </c>
      <c r="H4360" t="s">
        <v>9998</v>
      </c>
      <c r="I4360" t="s">
        <v>28699</v>
      </c>
      <c r="J4360" t="s">
        <v>28834</v>
      </c>
      <c r="K4360" t="s">
        <v>37209</v>
      </c>
      <c r="M4360" t="s">
        <v>39165</v>
      </c>
      <c r="N4360" t="s">
        <v>41249</v>
      </c>
      <c r="O4360" t="s">
        <v>41250</v>
      </c>
      <c r="P4360">
        <v>0</v>
      </c>
      <c r="Q4360">
        <v>0</v>
      </c>
      <c r="R4360" t="s">
        <v>41252</v>
      </c>
      <c r="S4360" t="s">
        <v>41383</v>
      </c>
      <c r="T4360" t="s">
        <v>42883</v>
      </c>
      <c r="U4360" t="s">
        <v>46834</v>
      </c>
      <c r="W4360" t="s">
        <v>55960</v>
      </c>
      <c r="X4360" t="s">
        <v>41254</v>
      </c>
    </row>
    <row r="4361" spans="1:24">
      <c r="A4361">
        <f>HYPERLINK("https://www.philgeps.gov.ph/GEPSNONPILOT/Tender/SplashBidNoticeAbstractUI.aspx?menuIndex=3&amp;refID=7075730&amp;Result=3","7075730")</f>
        <v>0</v>
      </c>
      <c r="B4361" t="s">
        <v>1585</v>
      </c>
      <c r="C4361" t="s">
        <v>7567</v>
      </c>
      <c r="D4361" t="s">
        <v>16618</v>
      </c>
      <c r="E4361" t="s">
        <v>20637</v>
      </c>
      <c r="F4361" t="s">
        <v>28669</v>
      </c>
      <c r="G4361" t="s">
        <v>28675</v>
      </c>
      <c r="H4361" t="s">
        <v>28686</v>
      </c>
      <c r="I4361" t="s">
        <v>28689</v>
      </c>
      <c r="J4361" t="s">
        <v>30304</v>
      </c>
      <c r="K4361" t="s">
        <v>37348</v>
      </c>
      <c r="M4361" t="s">
        <v>39166</v>
      </c>
      <c r="N4361" t="s">
        <v>41249</v>
      </c>
      <c r="O4361" t="s">
        <v>41250</v>
      </c>
      <c r="P4361">
        <v>0</v>
      </c>
      <c r="Q4361">
        <v>1</v>
      </c>
      <c r="R4361" t="s">
        <v>41252</v>
      </c>
      <c r="S4361" t="s">
        <v>41383</v>
      </c>
      <c r="T4361" t="s">
        <v>42722</v>
      </c>
      <c r="U4361" t="s">
        <v>46835</v>
      </c>
      <c r="W4361" t="s">
        <v>39166</v>
      </c>
      <c r="X4361" t="s">
        <v>41254</v>
      </c>
    </row>
    <row r="4362" spans="1:24">
      <c r="A4362">
        <f>HYPERLINK("https://www.philgeps.gov.ph/GEPSNONPILOT/Tender/SplashBidNoticeAbstractUI.aspx?menuIndex=3&amp;refID=7075729&amp;Result=3","7075729")</f>
        <v>0</v>
      </c>
      <c r="B4362" t="s">
        <v>1568</v>
      </c>
      <c r="C4362" t="s">
        <v>7568</v>
      </c>
      <c r="D4362" t="s">
        <v>16608</v>
      </c>
      <c r="E4362" t="s">
        <v>20638</v>
      </c>
      <c r="F4362" t="s">
        <v>28669</v>
      </c>
      <c r="G4362" t="s">
        <v>28677</v>
      </c>
      <c r="H4362" t="s">
        <v>9998</v>
      </c>
      <c r="I4362" t="s">
        <v>28708</v>
      </c>
      <c r="J4362" t="s">
        <v>31619</v>
      </c>
      <c r="K4362" t="s">
        <v>37209</v>
      </c>
      <c r="M4362" t="s">
        <v>39167</v>
      </c>
      <c r="N4362" t="s">
        <v>41249</v>
      </c>
      <c r="O4362" t="s">
        <v>41250</v>
      </c>
      <c r="P4362">
        <v>0</v>
      </c>
      <c r="Q4362">
        <v>8</v>
      </c>
      <c r="R4362" t="s">
        <v>41252</v>
      </c>
      <c r="S4362" t="s">
        <v>41383</v>
      </c>
      <c r="T4362" t="s">
        <v>42827</v>
      </c>
      <c r="U4362" t="s">
        <v>46836</v>
      </c>
      <c r="W4362" t="s">
        <v>39167</v>
      </c>
      <c r="X4362" t="s">
        <v>41254</v>
      </c>
    </row>
    <row r="4363" spans="1:24">
      <c r="A4363">
        <f>HYPERLINK("https://www.philgeps.gov.ph/GEPSNONPILOT/Tender/SplashBidNoticeAbstractUI.aspx?menuIndex=3&amp;refID=7075727&amp;Result=3","7075727")</f>
        <v>0</v>
      </c>
      <c r="B4363" t="s">
        <v>662</v>
      </c>
      <c r="C4363" t="s">
        <v>7569</v>
      </c>
      <c r="D4363" t="s">
        <v>16635</v>
      </c>
      <c r="E4363" t="s">
        <v>20626</v>
      </c>
      <c r="F4363" t="s">
        <v>28669</v>
      </c>
      <c r="G4363" t="s">
        <v>28676</v>
      </c>
      <c r="H4363" t="s">
        <v>9998</v>
      </c>
      <c r="I4363" t="s">
        <v>3718</v>
      </c>
      <c r="J4363" t="s">
        <v>31620</v>
      </c>
      <c r="K4363" t="s">
        <v>37206</v>
      </c>
      <c r="M4363" t="s">
        <v>38164</v>
      </c>
      <c r="N4363" t="s">
        <v>41249</v>
      </c>
      <c r="O4363" t="s">
        <v>41250</v>
      </c>
      <c r="P4363">
        <v>0</v>
      </c>
      <c r="Q4363">
        <v>6</v>
      </c>
      <c r="R4363" t="s">
        <v>41252</v>
      </c>
      <c r="S4363" t="s">
        <v>41383</v>
      </c>
      <c r="T4363" t="s">
        <v>42759</v>
      </c>
      <c r="U4363" t="s">
        <v>46837</v>
      </c>
      <c r="W4363" t="s">
        <v>38164</v>
      </c>
      <c r="X4363" t="s">
        <v>41254</v>
      </c>
    </row>
    <row r="4364" spans="1:24">
      <c r="A4364">
        <f>HYPERLINK("https://www.philgeps.gov.ph/GEPSNONPILOT/Tender/SplashBidNoticeAbstractUI.aspx?menuIndex=3&amp;refID=7075736&amp;Result=3","7075736")</f>
        <v>0</v>
      </c>
      <c r="B4364" t="s">
        <v>1579</v>
      </c>
      <c r="C4364" t="s">
        <v>7570</v>
      </c>
      <c r="D4364" t="s">
        <v>16616</v>
      </c>
      <c r="E4364" t="s">
        <v>20639</v>
      </c>
      <c r="F4364" t="s">
        <v>28669</v>
      </c>
      <c r="G4364" t="s">
        <v>28676</v>
      </c>
      <c r="H4364" t="s">
        <v>9998</v>
      </c>
      <c r="I4364" t="s">
        <v>7352</v>
      </c>
      <c r="J4364" t="s">
        <v>31621</v>
      </c>
      <c r="K4364" t="s">
        <v>37210</v>
      </c>
      <c r="M4364" t="s">
        <v>39160</v>
      </c>
      <c r="N4364" t="s">
        <v>41249</v>
      </c>
      <c r="O4364" t="s">
        <v>41250</v>
      </c>
      <c r="P4364">
        <v>0</v>
      </c>
      <c r="Q4364">
        <v>0</v>
      </c>
      <c r="R4364" t="s">
        <v>41252</v>
      </c>
      <c r="S4364" t="s">
        <v>41383</v>
      </c>
      <c r="T4364" t="s">
        <v>42736</v>
      </c>
      <c r="U4364" t="s">
        <v>46838</v>
      </c>
      <c r="W4364" t="s">
        <v>39160</v>
      </c>
      <c r="X4364" t="s">
        <v>41254</v>
      </c>
    </row>
    <row r="4365" spans="1:24">
      <c r="A4365">
        <f>HYPERLINK("https://www.philgeps.gov.ph/GEPSNONPILOT/Tender/SplashBidNoticeAbstractUI.aspx?menuIndex=3&amp;refID=7075726&amp;Result=3","7075726")</f>
        <v>0</v>
      </c>
      <c r="B4365" t="s">
        <v>1348</v>
      </c>
      <c r="C4365" t="s">
        <v>7571</v>
      </c>
      <c r="E4365" t="s">
        <v>20640</v>
      </c>
      <c r="F4365" t="s">
        <v>28669</v>
      </c>
      <c r="G4365" t="s">
        <v>28676</v>
      </c>
      <c r="H4365" t="s">
        <v>9998</v>
      </c>
      <c r="I4365" t="s">
        <v>28692</v>
      </c>
      <c r="J4365" t="s">
        <v>31622</v>
      </c>
      <c r="K4365" t="s">
        <v>37204</v>
      </c>
      <c r="M4365" t="s">
        <v>39145</v>
      </c>
      <c r="N4365" t="s">
        <v>41249</v>
      </c>
      <c r="O4365" t="s">
        <v>41250</v>
      </c>
      <c r="P4365">
        <v>0</v>
      </c>
      <c r="Q4365">
        <v>2</v>
      </c>
      <c r="R4365" t="s">
        <v>41252</v>
      </c>
      <c r="S4365" t="s">
        <v>41383</v>
      </c>
      <c r="T4365" t="s">
        <v>42729</v>
      </c>
      <c r="U4365" t="s">
        <v>46839</v>
      </c>
      <c r="V4365" t="s">
        <v>54726</v>
      </c>
      <c r="W4365" t="s">
        <v>39145</v>
      </c>
      <c r="X4365" t="s">
        <v>41254</v>
      </c>
    </row>
    <row r="4366" spans="1:24">
      <c r="A4366">
        <f>HYPERLINK("https://www.philgeps.gov.ph/GEPSNONPILOT/Tender/SplashBidNoticeAbstractUI.aspx?menuIndex=3&amp;refID=7075724&amp;Result=3","7075724")</f>
        <v>0</v>
      </c>
      <c r="B4366" t="s">
        <v>1576</v>
      </c>
      <c r="C4366" t="s">
        <v>3808</v>
      </c>
      <c r="D4366" t="s">
        <v>16666</v>
      </c>
      <c r="E4366" t="s">
        <v>20641</v>
      </c>
      <c r="F4366" t="s">
        <v>28669</v>
      </c>
      <c r="G4366" t="s">
        <v>28676</v>
      </c>
      <c r="H4366" t="s">
        <v>9998</v>
      </c>
      <c r="I4366" t="s">
        <v>28693</v>
      </c>
      <c r="J4366" t="s">
        <v>31623</v>
      </c>
      <c r="K4366" t="s">
        <v>37209</v>
      </c>
      <c r="M4366" t="s">
        <v>39157</v>
      </c>
      <c r="N4366" t="s">
        <v>41249</v>
      </c>
      <c r="O4366" t="s">
        <v>41250</v>
      </c>
      <c r="P4366">
        <v>0</v>
      </c>
      <c r="Q4366">
        <v>11</v>
      </c>
      <c r="R4366" t="s">
        <v>41252</v>
      </c>
      <c r="S4366" t="s">
        <v>41383</v>
      </c>
      <c r="T4366" t="s">
        <v>42736</v>
      </c>
      <c r="U4366" t="s">
        <v>46840</v>
      </c>
      <c r="W4366" t="s">
        <v>39157</v>
      </c>
      <c r="X4366" t="s">
        <v>41254</v>
      </c>
    </row>
    <row r="4367" spans="1:24">
      <c r="A4367">
        <f>HYPERLINK("https://www.philgeps.gov.ph/GEPSNONPILOT/Tender/SplashBidNoticeAbstractUI.aspx?menuIndex=3&amp;refID=7075723&amp;Result=3","7075723")</f>
        <v>0</v>
      </c>
      <c r="B4367" t="s">
        <v>941</v>
      </c>
      <c r="C4367" t="s">
        <v>7572</v>
      </c>
      <c r="D4367" t="s">
        <v>16608</v>
      </c>
      <c r="E4367" t="s">
        <v>20642</v>
      </c>
      <c r="F4367" t="s">
        <v>28669</v>
      </c>
      <c r="G4367" t="s">
        <v>28675</v>
      </c>
      <c r="H4367" t="s">
        <v>9998</v>
      </c>
      <c r="I4367" t="s">
        <v>28693</v>
      </c>
      <c r="J4367" t="s">
        <v>28823</v>
      </c>
      <c r="K4367" t="s">
        <v>37209</v>
      </c>
      <c r="M4367" t="s">
        <v>38464</v>
      </c>
      <c r="N4367" t="s">
        <v>41249</v>
      </c>
      <c r="O4367" t="s">
        <v>41250</v>
      </c>
      <c r="P4367">
        <v>0</v>
      </c>
      <c r="Q4367">
        <v>10</v>
      </c>
      <c r="R4367" t="s">
        <v>41252</v>
      </c>
      <c r="S4367" t="s">
        <v>41383</v>
      </c>
      <c r="T4367" t="s">
        <v>42855</v>
      </c>
      <c r="U4367" t="s">
        <v>46841</v>
      </c>
      <c r="W4367" t="s">
        <v>38464</v>
      </c>
      <c r="X4367" t="s">
        <v>41254</v>
      </c>
    </row>
    <row r="4368" spans="1:24">
      <c r="A4368">
        <f>HYPERLINK("https://www.philgeps.gov.ph/GEPSNONPILOT/Tender/SplashBidNoticeAbstractUI.aspx?menuIndex=3&amp;refID=7075722&amp;Result=3","7075722")</f>
        <v>0</v>
      </c>
      <c r="B4368" t="s">
        <v>1571</v>
      </c>
      <c r="C4368" t="s">
        <v>7573</v>
      </c>
      <c r="D4368" t="s">
        <v>16636</v>
      </c>
      <c r="E4368" t="s">
        <v>20643</v>
      </c>
      <c r="F4368" t="s">
        <v>28669</v>
      </c>
      <c r="G4368" t="s">
        <v>28675</v>
      </c>
      <c r="H4368" t="s">
        <v>9998</v>
      </c>
      <c r="I4368" t="s">
        <v>28689</v>
      </c>
      <c r="J4368" t="s">
        <v>31624</v>
      </c>
      <c r="K4368" t="s">
        <v>37213</v>
      </c>
      <c r="M4368" t="s">
        <v>39151</v>
      </c>
      <c r="N4368" t="s">
        <v>41249</v>
      </c>
      <c r="O4368" t="s">
        <v>41250</v>
      </c>
      <c r="P4368">
        <v>0</v>
      </c>
      <c r="Q4368">
        <v>0</v>
      </c>
      <c r="R4368" t="s">
        <v>41252</v>
      </c>
      <c r="S4368" t="s">
        <v>41383</v>
      </c>
      <c r="T4368" t="s">
        <v>42716</v>
      </c>
      <c r="U4368" t="s">
        <v>46842</v>
      </c>
      <c r="W4368" t="s">
        <v>39151</v>
      </c>
      <c r="X4368" t="s">
        <v>41254</v>
      </c>
    </row>
    <row r="4369" spans="1:24">
      <c r="A4369">
        <f>HYPERLINK("https://www.philgeps.gov.ph/GEPSNONPILOT/Tender/SplashBidNoticeAbstractUI.aspx?menuIndex=3&amp;refID=7075721&amp;Result=3","7075721")</f>
        <v>0</v>
      </c>
      <c r="B4369" t="s">
        <v>1576</v>
      </c>
      <c r="C4369" t="s">
        <v>7574</v>
      </c>
      <c r="D4369" t="s">
        <v>16666</v>
      </c>
      <c r="E4369" t="s">
        <v>20644</v>
      </c>
      <c r="F4369" t="s">
        <v>28669</v>
      </c>
      <c r="G4369" t="s">
        <v>28676</v>
      </c>
      <c r="H4369" t="s">
        <v>9998</v>
      </c>
      <c r="I4369" t="s">
        <v>28700</v>
      </c>
      <c r="J4369" t="s">
        <v>31625</v>
      </c>
      <c r="K4369" t="s">
        <v>37209</v>
      </c>
      <c r="M4369" t="s">
        <v>39157</v>
      </c>
      <c r="N4369" t="s">
        <v>41249</v>
      </c>
      <c r="O4369" t="s">
        <v>41250</v>
      </c>
      <c r="P4369">
        <v>0</v>
      </c>
      <c r="Q4369">
        <v>9</v>
      </c>
      <c r="R4369" t="s">
        <v>41252</v>
      </c>
      <c r="S4369" t="s">
        <v>41383</v>
      </c>
      <c r="T4369" t="s">
        <v>42736</v>
      </c>
      <c r="U4369" t="s">
        <v>46843</v>
      </c>
      <c r="W4369" t="s">
        <v>39157</v>
      </c>
      <c r="X4369" t="s">
        <v>41254</v>
      </c>
    </row>
    <row r="4370" spans="1:24">
      <c r="A4370">
        <f>HYPERLINK("https://www.philgeps.gov.ph/GEPSNONPILOT/Tender/SplashBidNoticeAbstractUI.aspx?menuIndex=3&amp;refID=7075720&amp;Result=3","7075720")</f>
        <v>0</v>
      </c>
      <c r="B4370" t="s">
        <v>1582</v>
      </c>
      <c r="C4370" t="s">
        <v>7575</v>
      </c>
      <c r="D4370" t="s">
        <v>16626</v>
      </c>
      <c r="E4370" t="s">
        <v>20645</v>
      </c>
      <c r="F4370" t="s">
        <v>28669</v>
      </c>
      <c r="G4370" t="s">
        <v>28675</v>
      </c>
      <c r="H4370" t="s">
        <v>9998</v>
      </c>
      <c r="I4370" t="s">
        <v>5213</v>
      </c>
      <c r="J4370" t="s">
        <v>31626</v>
      </c>
      <c r="K4370" t="s">
        <v>37347</v>
      </c>
      <c r="M4370" t="s">
        <v>39163</v>
      </c>
      <c r="N4370" t="s">
        <v>41249</v>
      </c>
      <c r="O4370" t="s">
        <v>41250</v>
      </c>
      <c r="P4370">
        <v>0</v>
      </c>
      <c r="Q4370">
        <v>0</v>
      </c>
      <c r="R4370" t="s">
        <v>41252</v>
      </c>
      <c r="S4370" t="s">
        <v>41383</v>
      </c>
      <c r="T4370" t="s">
        <v>42722</v>
      </c>
      <c r="U4370" t="s">
        <v>46844</v>
      </c>
      <c r="W4370" t="s">
        <v>39163</v>
      </c>
      <c r="X4370" t="s">
        <v>41254</v>
      </c>
    </row>
    <row r="4371" spans="1:24">
      <c r="A4371">
        <f>HYPERLINK("https://www.philgeps.gov.ph/GEPSNONPILOT/Tender/SplashBidNoticeAbstractUI.aspx?menuIndex=3&amp;refID=7075719&amp;Result=3","7075719")</f>
        <v>0</v>
      </c>
      <c r="B4371" t="s">
        <v>1578</v>
      </c>
      <c r="C4371" t="s">
        <v>7576</v>
      </c>
      <c r="D4371" t="s">
        <v>16657</v>
      </c>
      <c r="E4371" t="s">
        <v>20646</v>
      </c>
      <c r="F4371" t="s">
        <v>28669</v>
      </c>
      <c r="G4371" t="s">
        <v>28675</v>
      </c>
      <c r="H4371" t="s">
        <v>28686</v>
      </c>
      <c r="I4371" t="s">
        <v>28689</v>
      </c>
      <c r="J4371" t="s">
        <v>29040</v>
      </c>
      <c r="K4371" t="s">
        <v>37209</v>
      </c>
      <c r="M4371" t="s">
        <v>39159</v>
      </c>
      <c r="N4371" t="s">
        <v>41249</v>
      </c>
      <c r="O4371" t="s">
        <v>41250</v>
      </c>
      <c r="P4371">
        <v>0</v>
      </c>
      <c r="Q4371">
        <v>2</v>
      </c>
      <c r="R4371" t="s">
        <v>41252</v>
      </c>
      <c r="S4371" t="s">
        <v>41383</v>
      </c>
      <c r="T4371" t="s">
        <v>42757</v>
      </c>
      <c r="U4371" t="s">
        <v>46845</v>
      </c>
      <c r="V4371" t="s">
        <v>54485</v>
      </c>
      <c r="W4371" t="s">
        <v>39159</v>
      </c>
      <c r="X4371" t="s">
        <v>41254</v>
      </c>
    </row>
    <row r="4372" spans="1:24">
      <c r="A4372">
        <f>HYPERLINK("https://www.philgeps.gov.ph/GEPSNONPILOT/Tender/SplashBidNoticeAbstractUI.aspx?menuIndex=3&amp;refID=7075697&amp;Result=3","7075697")</f>
        <v>0</v>
      </c>
      <c r="B4372" t="s">
        <v>1222</v>
      </c>
      <c r="C4372" t="s">
        <v>7577</v>
      </c>
      <c r="D4372" t="s">
        <v>16618</v>
      </c>
      <c r="E4372" t="s">
        <v>18429</v>
      </c>
      <c r="F4372" t="s">
        <v>28669</v>
      </c>
      <c r="G4372" t="s">
        <v>28676</v>
      </c>
      <c r="H4372" t="s">
        <v>28684</v>
      </c>
      <c r="I4372" t="s">
        <v>28710</v>
      </c>
      <c r="J4372" t="s">
        <v>29304</v>
      </c>
      <c r="K4372" t="s">
        <v>37210</v>
      </c>
      <c r="M4372" t="s">
        <v>38765</v>
      </c>
      <c r="N4372" t="s">
        <v>41249</v>
      </c>
      <c r="O4372" t="s">
        <v>41250</v>
      </c>
      <c r="P4372">
        <v>0</v>
      </c>
      <c r="Q4372">
        <v>0</v>
      </c>
      <c r="R4372" t="s">
        <v>41252</v>
      </c>
      <c r="S4372" t="s">
        <v>41383</v>
      </c>
      <c r="T4372" t="s">
        <v>42736</v>
      </c>
      <c r="U4372" t="s">
        <v>46846</v>
      </c>
      <c r="W4372" t="s">
        <v>38765</v>
      </c>
      <c r="X4372" t="s">
        <v>41254</v>
      </c>
    </row>
    <row r="4373" spans="1:24">
      <c r="A4373">
        <f>HYPERLINK("https://www.philgeps.gov.ph/GEPSNONPILOT/Tender/SplashBidNoticeAbstractUI.aspx?menuIndex=3&amp;refID=7075696&amp;Result=3","7075696")</f>
        <v>0</v>
      </c>
      <c r="B4373" t="s">
        <v>1348</v>
      </c>
      <c r="C4373" t="s">
        <v>7578</v>
      </c>
      <c r="E4373" t="s">
        <v>20647</v>
      </c>
      <c r="F4373" t="s">
        <v>28669</v>
      </c>
      <c r="G4373" t="s">
        <v>28678</v>
      </c>
      <c r="H4373" t="s">
        <v>9998</v>
      </c>
      <c r="I4373" t="s">
        <v>8667</v>
      </c>
      <c r="J4373" t="s">
        <v>31627</v>
      </c>
      <c r="K4373" t="s">
        <v>37204</v>
      </c>
      <c r="M4373" t="s">
        <v>39145</v>
      </c>
      <c r="N4373" t="s">
        <v>41249</v>
      </c>
      <c r="O4373" t="s">
        <v>41250</v>
      </c>
      <c r="P4373">
        <v>0</v>
      </c>
      <c r="Q4373">
        <v>0</v>
      </c>
      <c r="R4373" t="s">
        <v>41252</v>
      </c>
      <c r="S4373" t="s">
        <v>41383</v>
      </c>
      <c r="T4373" t="s">
        <v>42884</v>
      </c>
      <c r="U4373" t="s">
        <v>46847</v>
      </c>
      <c r="V4373" t="s">
        <v>54726</v>
      </c>
      <c r="W4373" t="s">
        <v>39145</v>
      </c>
      <c r="X4373" t="s">
        <v>41254</v>
      </c>
    </row>
    <row r="4374" spans="1:24">
      <c r="A4374">
        <f>HYPERLINK("https://www.philgeps.gov.ph/GEPSNONPILOT/Tender/SplashBidNoticeAbstractUI.aspx?menuIndex=3&amp;refID=7075679&amp;Result=3","7075679")</f>
        <v>0</v>
      </c>
      <c r="B4374" t="s">
        <v>1586</v>
      </c>
      <c r="C4374" t="s">
        <v>7579</v>
      </c>
      <c r="D4374" t="s">
        <v>16643</v>
      </c>
      <c r="E4374" t="s">
        <v>20648</v>
      </c>
      <c r="F4374" t="s">
        <v>28669</v>
      </c>
      <c r="G4374" t="s">
        <v>28676</v>
      </c>
      <c r="H4374" t="s">
        <v>9998</v>
      </c>
      <c r="I4374" t="s">
        <v>11593</v>
      </c>
      <c r="J4374" t="s">
        <v>29045</v>
      </c>
      <c r="K4374" t="s">
        <v>37205</v>
      </c>
      <c r="M4374" t="s">
        <v>39168</v>
      </c>
      <c r="N4374" t="s">
        <v>41249</v>
      </c>
      <c r="O4374" t="s">
        <v>41250</v>
      </c>
      <c r="P4374">
        <v>0</v>
      </c>
      <c r="Q4374">
        <v>4</v>
      </c>
      <c r="R4374" t="s">
        <v>41252</v>
      </c>
      <c r="S4374" t="s">
        <v>41383</v>
      </c>
      <c r="T4374" t="s">
        <v>42701</v>
      </c>
      <c r="U4374" t="s">
        <v>46848</v>
      </c>
      <c r="W4374" t="s">
        <v>39168</v>
      </c>
      <c r="X4374" t="s">
        <v>41254</v>
      </c>
    </row>
    <row r="4375" spans="1:24">
      <c r="A4375">
        <f>HYPERLINK("https://www.philgeps.gov.ph/GEPSNONPILOT/Tender/SplashBidNoticeAbstractUI.aspx?menuIndex=3&amp;refID=7075725&amp;Result=3","7075725")</f>
        <v>0</v>
      </c>
      <c r="B4375" t="s">
        <v>1579</v>
      </c>
      <c r="C4375" t="s">
        <v>7580</v>
      </c>
      <c r="D4375" t="s">
        <v>16616</v>
      </c>
      <c r="E4375" t="s">
        <v>20649</v>
      </c>
      <c r="F4375" t="s">
        <v>28669</v>
      </c>
      <c r="G4375" t="s">
        <v>28675</v>
      </c>
      <c r="H4375" t="s">
        <v>28686</v>
      </c>
      <c r="I4375" t="s">
        <v>28689</v>
      </c>
      <c r="J4375" t="s">
        <v>31628</v>
      </c>
      <c r="K4375" t="s">
        <v>37217</v>
      </c>
      <c r="M4375" t="s">
        <v>39160</v>
      </c>
      <c r="N4375" t="s">
        <v>41249</v>
      </c>
      <c r="O4375" t="s">
        <v>41250</v>
      </c>
      <c r="P4375">
        <v>0</v>
      </c>
      <c r="Q4375">
        <v>3</v>
      </c>
      <c r="R4375" t="s">
        <v>41252</v>
      </c>
      <c r="S4375" t="s">
        <v>41383</v>
      </c>
      <c r="T4375" t="s">
        <v>42688</v>
      </c>
      <c r="U4375" t="s">
        <v>46849</v>
      </c>
      <c r="W4375" t="s">
        <v>39160</v>
      </c>
      <c r="X4375" t="s">
        <v>41254</v>
      </c>
    </row>
    <row r="4376" spans="1:24">
      <c r="A4376">
        <f>HYPERLINK("https://www.philgeps.gov.ph/GEPSNONPILOT/Tender/SplashBidNoticeAbstractUI.aspx?menuIndex=3&amp;refID=7075678&amp;Result=3","7075678")</f>
        <v>0</v>
      </c>
      <c r="B4376" t="s">
        <v>1587</v>
      </c>
      <c r="C4376" t="s">
        <v>7581</v>
      </c>
      <c r="D4376" t="s">
        <v>16635</v>
      </c>
      <c r="E4376" t="s">
        <v>17546</v>
      </c>
      <c r="F4376" t="s">
        <v>28669</v>
      </c>
      <c r="G4376" t="s">
        <v>28676</v>
      </c>
      <c r="H4376" t="s">
        <v>9998</v>
      </c>
      <c r="I4376" t="s">
        <v>28756</v>
      </c>
      <c r="J4376" t="s">
        <v>31629</v>
      </c>
      <c r="K4376" t="s">
        <v>37208</v>
      </c>
      <c r="M4376" t="s">
        <v>39169</v>
      </c>
      <c r="N4376" t="s">
        <v>41249</v>
      </c>
      <c r="O4376" t="s">
        <v>41250</v>
      </c>
      <c r="P4376">
        <v>0</v>
      </c>
      <c r="Q4376">
        <v>0</v>
      </c>
      <c r="R4376" t="s">
        <v>41252</v>
      </c>
      <c r="S4376" t="s">
        <v>41383</v>
      </c>
      <c r="T4376" t="s">
        <v>42758</v>
      </c>
      <c r="U4376" t="s">
        <v>46850</v>
      </c>
      <c r="W4376" t="s">
        <v>39169</v>
      </c>
      <c r="X4376" t="s">
        <v>41254</v>
      </c>
    </row>
    <row r="4377" spans="1:24">
      <c r="A4377">
        <f>HYPERLINK("https://www.philgeps.gov.ph/GEPSNONPILOT/Tender/SplashBidNoticeAbstractUI.aspx?menuIndex=3&amp;refID=7075703&amp;Result=3","7075703")</f>
        <v>0</v>
      </c>
      <c r="B4377" t="s">
        <v>807</v>
      </c>
      <c r="C4377" t="s">
        <v>7582</v>
      </c>
      <c r="E4377" t="s">
        <v>20650</v>
      </c>
      <c r="F4377" t="s">
        <v>28669</v>
      </c>
      <c r="G4377" t="s">
        <v>28676</v>
      </c>
      <c r="H4377" t="s">
        <v>9998</v>
      </c>
      <c r="I4377" t="s">
        <v>28728</v>
      </c>
      <c r="J4377" t="s">
        <v>31630</v>
      </c>
      <c r="K4377" t="s">
        <v>37209</v>
      </c>
      <c r="M4377" t="s">
        <v>38322</v>
      </c>
      <c r="N4377" t="s">
        <v>41249</v>
      </c>
      <c r="O4377" t="s">
        <v>41250</v>
      </c>
      <c r="P4377">
        <v>0</v>
      </c>
      <c r="Q4377">
        <v>0</v>
      </c>
      <c r="R4377" t="s">
        <v>41252</v>
      </c>
      <c r="S4377" t="s">
        <v>41383</v>
      </c>
      <c r="T4377" t="s">
        <v>42729</v>
      </c>
      <c r="U4377" t="s">
        <v>46851</v>
      </c>
      <c r="V4377" t="s">
        <v>54630</v>
      </c>
      <c r="W4377" t="s">
        <v>38322</v>
      </c>
      <c r="X4377" t="s">
        <v>41254</v>
      </c>
    </row>
    <row r="4378" spans="1:24">
      <c r="A4378">
        <f>HYPERLINK("https://www.philgeps.gov.ph/GEPSNONPILOT/Tender/SplashBidNoticeAbstractUI.aspx?menuIndex=3&amp;refID=7075677&amp;Result=3","7075677")</f>
        <v>0</v>
      </c>
      <c r="B4378" t="s">
        <v>1545</v>
      </c>
      <c r="C4378" t="s">
        <v>7583</v>
      </c>
      <c r="E4378" t="s">
        <v>20651</v>
      </c>
      <c r="F4378" t="s">
        <v>28669</v>
      </c>
      <c r="G4378" t="s">
        <v>28676</v>
      </c>
      <c r="H4378" t="s">
        <v>9998</v>
      </c>
      <c r="I4378" t="s">
        <v>6606</v>
      </c>
      <c r="J4378" t="s">
        <v>31631</v>
      </c>
      <c r="K4378" t="s">
        <v>37209</v>
      </c>
      <c r="M4378" t="s">
        <v>39120</v>
      </c>
      <c r="N4378" t="s">
        <v>41249</v>
      </c>
      <c r="O4378" t="s">
        <v>41250</v>
      </c>
      <c r="P4378">
        <v>0</v>
      </c>
      <c r="Q4378">
        <v>0</v>
      </c>
      <c r="R4378" t="s">
        <v>41252</v>
      </c>
      <c r="S4378" t="s">
        <v>41383</v>
      </c>
      <c r="T4378" t="s">
        <v>42701</v>
      </c>
      <c r="U4378" t="s">
        <v>46852</v>
      </c>
      <c r="W4378" t="s">
        <v>39120</v>
      </c>
      <c r="X4378" t="s">
        <v>41254</v>
      </c>
    </row>
    <row r="4379" spans="1:24">
      <c r="A4379">
        <f>HYPERLINK("https://www.philgeps.gov.ph/GEPSNONPILOT/Tender/SplashBidNoticeAbstractUI.aspx?menuIndex=3&amp;refID=7075674&amp;Result=3","7075674")</f>
        <v>0</v>
      </c>
      <c r="B4379" t="s">
        <v>1348</v>
      </c>
      <c r="C4379" t="s">
        <v>7584</v>
      </c>
      <c r="E4379" t="s">
        <v>20652</v>
      </c>
      <c r="F4379" t="s">
        <v>28669</v>
      </c>
      <c r="G4379" t="s">
        <v>28678</v>
      </c>
      <c r="H4379" t="s">
        <v>9998</v>
      </c>
      <c r="I4379" t="s">
        <v>8667</v>
      </c>
      <c r="J4379" t="s">
        <v>31632</v>
      </c>
      <c r="K4379" t="s">
        <v>37204</v>
      </c>
      <c r="M4379" t="s">
        <v>39145</v>
      </c>
      <c r="N4379" t="s">
        <v>41249</v>
      </c>
      <c r="O4379" t="s">
        <v>41250</v>
      </c>
      <c r="P4379">
        <v>0</v>
      </c>
      <c r="Q4379">
        <v>0</v>
      </c>
      <c r="R4379" t="s">
        <v>41252</v>
      </c>
      <c r="S4379" t="s">
        <v>41383</v>
      </c>
      <c r="T4379" t="s">
        <v>42884</v>
      </c>
      <c r="U4379" t="s">
        <v>46853</v>
      </c>
      <c r="V4379" t="s">
        <v>54726</v>
      </c>
      <c r="W4379" t="s">
        <v>39145</v>
      </c>
      <c r="X4379" t="s">
        <v>41254</v>
      </c>
    </row>
    <row r="4380" spans="1:24">
      <c r="A4380">
        <f>HYPERLINK("https://www.philgeps.gov.ph/GEPSNONPILOT/Tender/SplashBidNoticeAbstractUI.aspx?menuIndex=3&amp;refID=7075653&amp;Result=3","7075653")</f>
        <v>0</v>
      </c>
      <c r="B4380" t="s">
        <v>1588</v>
      </c>
      <c r="C4380" t="s">
        <v>5192</v>
      </c>
      <c r="D4380" t="s">
        <v>16657</v>
      </c>
      <c r="E4380" t="s">
        <v>20653</v>
      </c>
      <c r="F4380" t="s">
        <v>28669</v>
      </c>
      <c r="G4380" t="s">
        <v>28679</v>
      </c>
      <c r="H4380" t="s">
        <v>28686</v>
      </c>
      <c r="I4380" t="s">
        <v>28689</v>
      </c>
      <c r="J4380" t="s">
        <v>31633</v>
      </c>
      <c r="K4380" t="s">
        <v>37209</v>
      </c>
      <c r="M4380" t="s">
        <v>39170</v>
      </c>
      <c r="N4380" t="s">
        <v>41249</v>
      </c>
      <c r="O4380" t="s">
        <v>41250</v>
      </c>
      <c r="P4380">
        <v>0</v>
      </c>
      <c r="Q4380">
        <v>1</v>
      </c>
      <c r="R4380" t="s">
        <v>41252</v>
      </c>
      <c r="S4380" t="s">
        <v>41383</v>
      </c>
      <c r="T4380" t="s">
        <v>42757</v>
      </c>
      <c r="U4380" t="s">
        <v>46854</v>
      </c>
      <c r="W4380" t="s">
        <v>39170</v>
      </c>
      <c r="X4380" t="s">
        <v>41254</v>
      </c>
    </row>
    <row r="4381" spans="1:24">
      <c r="A4381">
        <f>HYPERLINK("https://www.philgeps.gov.ph/GEPSNONPILOT/Tender/SplashBidNoticeAbstractUI.aspx?menuIndex=3&amp;refID=7075652&amp;Result=3","7075652")</f>
        <v>0</v>
      </c>
      <c r="B4381" t="s">
        <v>616</v>
      </c>
      <c r="C4381" t="s">
        <v>7585</v>
      </c>
      <c r="D4381" t="s">
        <v>16621</v>
      </c>
      <c r="E4381" t="s">
        <v>20654</v>
      </c>
      <c r="F4381" t="s">
        <v>28669</v>
      </c>
      <c r="G4381" t="s">
        <v>28676</v>
      </c>
      <c r="H4381" t="s">
        <v>9998</v>
      </c>
      <c r="I4381" t="s">
        <v>28763</v>
      </c>
      <c r="J4381" t="s">
        <v>31634</v>
      </c>
      <c r="K4381" t="s">
        <v>37208</v>
      </c>
      <c r="M4381" t="s">
        <v>38116</v>
      </c>
      <c r="N4381" t="s">
        <v>41249</v>
      </c>
      <c r="O4381" t="s">
        <v>41250</v>
      </c>
      <c r="P4381">
        <v>0</v>
      </c>
      <c r="Q4381">
        <v>2</v>
      </c>
      <c r="R4381" t="s">
        <v>41252</v>
      </c>
      <c r="S4381" t="s">
        <v>41383</v>
      </c>
      <c r="T4381" t="s">
        <v>42748</v>
      </c>
      <c r="U4381" t="s">
        <v>46855</v>
      </c>
      <c r="V4381" t="s">
        <v>54401</v>
      </c>
      <c r="W4381" t="s">
        <v>38116</v>
      </c>
      <c r="X4381" t="s">
        <v>41254</v>
      </c>
    </row>
    <row r="4382" spans="1:24">
      <c r="A4382">
        <f>HYPERLINK("https://www.philgeps.gov.ph/GEPSNONPILOT/Tender/SplashBidNoticeAbstractUI.aspx?menuIndex=3&amp;refID=7075714&amp;Result=3","7075714")</f>
        <v>0</v>
      </c>
      <c r="B4382" t="s">
        <v>1348</v>
      </c>
      <c r="C4382" t="s">
        <v>7586</v>
      </c>
      <c r="E4382" t="s">
        <v>20655</v>
      </c>
      <c r="F4382" t="s">
        <v>28669</v>
      </c>
      <c r="G4382" t="s">
        <v>28676</v>
      </c>
      <c r="H4382" t="s">
        <v>9998</v>
      </c>
      <c r="I4382" t="s">
        <v>7352</v>
      </c>
      <c r="J4382" t="s">
        <v>31635</v>
      </c>
      <c r="K4382" t="s">
        <v>37204</v>
      </c>
      <c r="M4382" t="s">
        <v>39145</v>
      </c>
      <c r="N4382" t="s">
        <v>41249</v>
      </c>
      <c r="O4382" t="s">
        <v>41250</v>
      </c>
      <c r="P4382">
        <v>0</v>
      </c>
      <c r="Q4382">
        <v>0</v>
      </c>
      <c r="R4382" t="s">
        <v>41252</v>
      </c>
      <c r="S4382" t="s">
        <v>41383</v>
      </c>
      <c r="T4382" t="s">
        <v>42884</v>
      </c>
      <c r="U4382" t="s">
        <v>46856</v>
      </c>
      <c r="V4382" t="s">
        <v>54726</v>
      </c>
      <c r="W4382" t="s">
        <v>39145</v>
      </c>
      <c r="X4382" t="s">
        <v>41254</v>
      </c>
    </row>
    <row r="4383" spans="1:24">
      <c r="A4383">
        <f>HYPERLINK("https://www.philgeps.gov.ph/GEPSNONPILOT/Tender/SplashBidNoticeAbstractUI.aspx?menuIndex=3&amp;refID=7075676&amp;Result=3","7075676")</f>
        <v>0</v>
      </c>
      <c r="B4383" t="s">
        <v>1542</v>
      </c>
      <c r="C4383" t="s">
        <v>7587</v>
      </c>
      <c r="D4383" t="s">
        <v>16640</v>
      </c>
      <c r="E4383" t="s">
        <v>20656</v>
      </c>
      <c r="F4383" t="s">
        <v>28669</v>
      </c>
      <c r="G4383" t="s">
        <v>28676</v>
      </c>
      <c r="H4383" t="s">
        <v>9998</v>
      </c>
      <c r="I4383" t="s">
        <v>28729</v>
      </c>
      <c r="J4383" t="s">
        <v>31636</v>
      </c>
      <c r="K4383" t="s">
        <v>37209</v>
      </c>
      <c r="M4383" t="s">
        <v>39171</v>
      </c>
      <c r="N4383" t="s">
        <v>41249</v>
      </c>
      <c r="O4383" t="s">
        <v>41250</v>
      </c>
      <c r="P4383">
        <v>0</v>
      </c>
      <c r="Q4383">
        <v>4</v>
      </c>
      <c r="R4383" t="s">
        <v>41252</v>
      </c>
      <c r="S4383" t="s">
        <v>41383</v>
      </c>
      <c r="T4383" t="s">
        <v>42729</v>
      </c>
      <c r="U4383" t="s">
        <v>46857</v>
      </c>
      <c r="W4383" t="s">
        <v>39171</v>
      </c>
      <c r="X4383" t="s">
        <v>41254</v>
      </c>
    </row>
    <row r="4384" spans="1:24">
      <c r="A4384">
        <f>HYPERLINK("https://www.philgeps.gov.ph/GEPSNONPILOT/Tender/SplashBidNoticeAbstractUI.aspx?menuIndex=3&amp;refID=7075757&amp;Result=3","7075757")</f>
        <v>0</v>
      </c>
      <c r="B4384" t="s">
        <v>1589</v>
      </c>
      <c r="C4384" t="s">
        <v>7588</v>
      </c>
      <c r="D4384" t="s">
        <v>16643</v>
      </c>
      <c r="E4384" t="s">
        <v>20657</v>
      </c>
      <c r="F4384" t="s">
        <v>28669</v>
      </c>
      <c r="G4384" t="s">
        <v>28675</v>
      </c>
      <c r="H4384" t="s">
        <v>28686</v>
      </c>
      <c r="I4384" t="s">
        <v>28689</v>
      </c>
      <c r="J4384" t="s">
        <v>31637</v>
      </c>
      <c r="K4384" t="s">
        <v>37209</v>
      </c>
      <c r="L4384" t="s">
        <v>1589</v>
      </c>
      <c r="M4384" t="s">
        <v>39172</v>
      </c>
      <c r="N4384" t="s">
        <v>41249</v>
      </c>
      <c r="O4384" t="s">
        <v>41250</v>
      </c>
      <c r="P4384">
        <v>0</v>
      </c>
      <c r="Q4384">
        <v>0</v>
      </c>
      <c r="R4384" t="s">
        <v>41252</v>
      </c>
      <c r="S4384" t="s">
        <v>41383</v>
      </c>
      <c r="T4384" t="s">
        <v>42688</v>
      </c>
      <c r="U4384" t="s">
        <v>46858</v>
      </c>
      <c r="V4384" t="s">
        <v>54734</v>
      </c>
      <c r="W4384" t="s">
        <v>39172</v>
      </c>
      <c r="X4384" t="s">
        <v>41254</v>
      </c>
    </row>
    <row r="4385" spans="1:24">
      <c r="A4385">
        <f>HYPERLINK("https://www.philgeps.gov.ph/GEPSNONPILOT/Tender/SplashBidNoticeAbstractUI.aspx?menuIndex=3&amp;refID=7075756&amp;Result=3","7075756")</f>
        <v>0</v>
      </c>
      <c r="B4385" t="s">
        <v>1307</v>
      </c>
      <c r="C4385" t="s">
        <v>7589</v>
      </c>
      <c r="D4385" t="s">
        <v>16608</v>
      </c>
      <c r="E4385" t="s">
        <v>20658</v>
      </c>
      <c r="F4385" t="s">
        <v>28669</v>
      </c>
      <c r="G4385" t="s">
        <v>28676</v>
      </c>
      <c r="H4385" t="s">
        <v>9998</v>
      </c>
      <c r="I4385" t="s">
        <v>3718</v>
      </c>
      <c r="J4385" t="s">
        <v>30782</v>
      </c>
      <c r="K4385" t="s">
        <v>37227</v>
      </c>
      <c r="M4385" t="s">
        <v>39073</v>
      </c>
      <c r="N4385" t="s">
        <v>41249</v>
      </c>
      <c r="O4385" t="s">
        <v>41250</v>
      </c>
      <c r="P4385">
        <v>0</v>
      </c>
      <c r="Q4385">
        <v>1</v>
      </c>
      <c r="R4385" t="s">
        <v>41252</v>
      </c>
      <c r="S4385" t="s">
        <v>41383</v>
      </c>
      <c r="T4385" t="s">
        <v>42701</v>
      </c>
      <c r="U4385" t="s">
        <v>46543</v>
      </c>
      <c r="W4385" t="s">
        <v>39073</v>
      </c>
      <c r="X4385" t="s">
        <v>41254</v>
      </c>
    </row>
    <row r="4386" spans="1:24">
      <c r="A4386">
        <f>HYPERLINK("https://www.philgeps.gov.ph/GEPSNONPILOT/Tender/SplashBidNoticeAbstractUI.aspx?menuIndex=3&amp;refID=7075755&amp;Result=3","7075755")</f>
        <v>0</v>
      </c>
      <c r="B4386" t="s">
        <v>1589</v>
      </c>
      <c r="C4386" t="s">
        <v>7590</v>
      </c>
      <c r="D4386" t="s">
        <v>16643</v>
      </c>
      <c r="E4386" t="s">
        <v>20659</v>
      </c>
      <c r="F4386" t="s">
        <v>28669</v>
      </c>
      <c r="G4386" t="s">
        <v>28675</v>
      </c>
      <c r="H4386" t="s">
        <v>28686</v>
      </c>
      <c r="I4386" t="s">
        <v>28689</v>
      </c>
      <c r="J4386" t="s">
        <v>31638</v>
      </c>
      <c r="K4386" t="s">
        <v>37209</v>
      </c>
      <c r="L4386" t="s">
        <v>1589</v>
      </c>
      <c r="M4386" t="s">
        <v>39172</v>
      </c>
      <c r="N4386" t="s">
        <v>41249</v>
      </c>
      <c r="O4386" t="s">
        <v>41250</v>
      </c>
      <c r="P4386">
        <v>0</v>
      </c>
      <c r="Q4386">
        <v>0</v>
      </c>
      <c r="R4386" t="s">
        <v>41252</v>
      </c>
      <c r="S4386" t="s">
        <v>41383</v>
      </c>
      <c r="T4386" t="s">
        <v>42688</v>
      </c>
      <c r="U4386" t="s">
        <v>46858</v>
      </c>
      <c r="V4386" t="s">
        <v>54734</v>
      </c>
      <c r="W4386" t="s">
        <v>39172</v>
      </c>
      <c r="X4386" t="s">
        <v>41254</v>
      </c>
    </row>
    <row r="4387" spans="1:24">
      <c r="A4387">
        <f>HYPERLINK("https://www.philgeps.gov.ph/GEPSNONPILOT/Tender/SplashBidNoticeAbstractUI.aspx?menuIndex=3&amp;refID=7075754&amp;Result=3","7075754")</f>
        <v>0</v>
      </c>
      <c r="B4387" t="s">
        <v>1590</v>
      </c>
      <c r="C4387" t="s">
        <v>7591</v>
      </c>
      <c r="D4387" t="s">
        <v>16608</v>
      </c>
      <c r="E4387" t="s">
        <v>20660</v>
      </c>
      <c r="F4387" t="s">
        <v>28669</v>
      </c>
      <c r="G4387" t="s">
        <v>28676</v>
      </c>
      <c r="H4387" t="s">
        <v>28686</v>
      </c>
      <c r="I4387" t="s">
        <v>28689</v>
      </c>
      <c r="J4387" t="s">
        <v>31639</v>
      </c>
      <c r="K4387" t="s">
        <v>37205</v>
      </c>
      <c r="M4387" t="s">
        <v>39173</v>
      </c>
      <c r="N4387" t="s">
        <v>41249</v>
      </c>
      <c r="O4387" t="s">
        <v>41250</v>
      </c>
      <c r="P4387">
        <v>0</v>
      </c>
      <c r="Q4387">
        <v>3</v>
      </c>
      <c r="R4387" t="s">
        <v>41252</v>
      </c>
      <c r="S4387" t="s">
        <v>41383</v>
      </c>
      <c r="T4387" t="s">
        <v>42694</v>
      </c>
      <c r="U4387" t="s">
        <v>46859</v>
      </c>
      <c r="V4387" t="s">
        <v>54735</v>
      </c>
      <c r="W4387" t="s">
        <v>39173</v>
      </c>
      <c r="X4387" t="s">
        <v>41254</v>
      </c>
    </row>
    <row r="4388" spans="1:24">
      <c r="A4388">
        <f>HYPERLINK("https://www.philgeps.gov.ph/GEPSNONPILOT/Tender/SplashBidNoticeAbstractUI.aspx?menuIndex=3&amp;refID=7075753&amp;Result=3","7075753")</f>
        <v>0</v>
      </c>
      <c r="B4388" t="s">
        <v>1577</v>
      </c>
      <c r="C4388" t="s">
        <v>7592</v>
      </c>
      <c r="D4388" t="s">
        <v>16608</v>
      </c>
      <c r="E4388" t="s">
        <v>20661</v>
      </c>
      <c r="F4388" t="s">
        <v>28669</v>
      </c>
      <c r="G4388" t="s">
        <v>28675</v>
      </c>
      <c r="H4388" t="s">
        <v>9998</v>
      </c>
      <c r="I4388" t="s">
        <v>28713</v>
      </c>
      <c r="J4388" t="s">
        <v>31640</v>
      </c>
      <c r="K4388" t="s">
        <v>37209</v>
      </c>
      <c r="M4388" t="s">
        <v>39158</v>
      </c>
      <c r="N4388" t="s">
        <v>41249</v>
      </c>
      <c r="O4388" t="s">
        <v>41250</v>
      </c>
      <c r="P4388">
        <v>0</v>
      </c>
      <c r="Q4388">
        <v>20</v>
      </c>
      <c r="R4388" t="s">
        <v>41252</v>
      </c>
      <c r="S4388" t="s">
        <v>41383</v>
      </c>
      <c r="T4388" t="s">
        <v>42810</v>
      </c>
      <c r="U4388" t="s">
        <v>46860</v>
      </c>
      <c r="W4388" t="s">
        <v>39158</v>
      </c>
      <c r="X4388" t="s">
        <v>41254</v>
      </c>
    </row>
    <row r="4389" spans="1:24">
      <c r="A4389">
        <f>HYPERLINK("https://www.philgeps.gov.ph/GEPSNONPILOT/Tender/SplashBidNoticeAbstractUI.aspx?menuIndex=3&amp;refID=7075752&amp;Result=3","7075752")</f>
        <v>0</v>
      </c>
      <c r="B4389" t="s">
        <v>1591</v>
      </c>
      <c r="C4389" t="s">
        <v>7593</v>
      </c>
      <c r="D4389" t="s">
        <v>16630</v>
      </c>
      <c r="E4389" t="s">
        <v>19646</v>
      </c>
      <c r="F4389" t="s">
        <v>28669</v>
      </c>
      <c r="G4389" t="s">
        <v>28676</v>
      </c>
      <c r="H4389" t="s">
        <v>9998</v>
      </c>
      <c r="I4389" t="s">
        <v>28696</v>
      </c>
      <c r="J4389" t="s">
        <v>29790</v>
      </c>
      <c r="K4389" t="s">
        <v>37204</v>
      </c>
      <c r="M4389" t="s">
        <v>39174</v>
      </c>
      <c r="N4389" t="s">
        <v>41249</v>
      </c>
      <c r="O4389" t="s">
        <v>41250</v>
      </c>
      <c r="P4389">
        <v>0</v>
      </c>
      <c r="Q4389">
        <v>0</v>
      </c>
      <c r="R4389" t="s">
        <v>41252</v>
      </c>
      <c r="S4389" t="s">
        <v>41383</v>
      </c>
      <c r="T4389" t="s">
        <v>42729</v>
      </c>
      <c r="U4389" t="s">
        <v>46861</v>
      </c>
      <c r="W4389" t="s">
        <v>39174</v>
      </c>
      <c r="X4389" t="s">
        <v>41254</v>
      </c>
    </row>
    <row r="4390" spans="1:24">
      <c r="A4390">
        <f>HYPERLINK("https://www.philgeps.gov.ph/GEPSNONPILOT/Tender/SplashBidNoticeAbstractUI.aspx?menuIndex=3&amp;refID=7075673&amp;Result=3","7075673")</f>
        <v>0</v>
      </c>
      <c r="B4390" t="s">
        <v>1592</v>
      </c>
      <c r="C4390" t="s">
        <v>4644</v>
      </c>
      <c r="D4390" t="s">
        <v>16619</v>
      </c>
      <c r="E4390" t="s">
        <v>16758</v>
      </c>
      <c r="F4390" t="s">
        <v>28669</v>
      </c>
      <c r="G4390" t="s">
        <v>28677</v>
      </c>
      <c r="H4390" t="s">
        <v>28684</v>
      </c>
      <c r="I4390" t="s">
        <v>6128</v>
      </c>
      <c r="J4390" t="s">
        <v>31641</v>
      </c>
      <c r="K4390" t="s">
        <v>37266</v>
      </c>
      <c r="M4390" t="s">
        <v>39175</v>
      </c>
      <c r="N4390" t="s">
        <v>41249</v>
      </c>
      <c r="O4390" t="s">
        <v>41250</v>
      </c>
      <c r="P4390">
        <v>0</v>
      </c>
      <c r="Q4390">
        <v>0</v>
      </c>
      <c r="R4390" t="s">
        <v>41252</v>
      </c>
      <c r="S4390" t="s">
        <v>41383</v>
      </c>
      <c r="T4390" t="s">
        <v>42887</v>
      </c>
      <c r="U4390" t="s">
        <v>46862</v>
      </c>
      <c r="W4390" t="s">
        <v>39175</v>
      </c>
      <c r="X4390" t="s">
        <v>41254</v>
      </c>
    </row>
    <row r="4391" spans="1:24">
      <c r="A4391">
        <f>HYPERLINK("https://www.philgeps.gov.ph/GEPSNONPILOT/Tender/SplashBidNoticeAbstractUI.aspx?menuIndex=3&amp;refID=7075717&amp;Result=3","7075717")</f>
        <v>0</v>
      </c>
      <c r="B4391" t="s">
        <v>662</v>
      </c>
      <c r="C4391" t="s">
        <v>7594</v>
      </c>
      <c r="D4391" t="s">
        <v>16635</v>
      </c>
      <c r="E4391" t="s">
        <v>20662</v>
      </c>
      <c r="F4391" t="s">
        <v>28669</v>
      </c>
      <c r="G4391" t="s">
        <v>28676</v>
      </c>
      <c r="H4391" t="s">
        <v>9998</v>
      </c>
      <c r="I4391" t="s">
        <v>11593</v>
      </c>
      <c r="J4391" t="s">
        <v>29040</v>
      </c>
      <c r="K4391" t="s">
        <v>37206</v>
      </c>
      <c r="M4391" t="s">
        <v>38164</v>
      </c>
      <c r="N4391" t="s">
        <v>41249</v>
      </c>
      <c r="O4391" t="s">
        <v>41250</v>
      </c>
      <c r="P4391">
        <v>0</v>
      </c>
      <c r="Q4391">
        <v>1</v>
      </c>
      <c r="R4391" t="s">
        <v>41252</v>
      </c>
      <c r="S4391" t="s">
        <v>41383</v>
      </c>
      <c r="T4391" t="s">
        <v>42759</v>
      </c>
      <c r="U4391" t="s">
        <v>46863</v>
      </c>
      <c r="W4391" t="s">
        <v>38164</v>
      </c>
      <c r="X4391" t="s">
        <v>41254</v>
      </c>
    </row>
    <row r="4392" spans="1:24">
      <c r="A4392">
        <f>HYPERLINK("https://www.philgeps.gov.ph/GEPSNONPILOT/Tender/SplashBidNoticeAbstractUI.aspx?menuIndex=3&amp;refID=7075747&amp;Result=3","7075747")</f>
        <v>0</v>
      </c>
      <c r="B4392" t="s">
        <v>1593</v>
      </c>
      <c r="C4392" t="s">
        <v>7595</v>
      </c>
      <c r="D4392" t="s">
        <v>16631</v>
      </c>
      <c r="E4392" t="s">
        <v>20663</v>
      </c>
      <c r="F4392" t="s">
        <v>28669</v>
      </c>
      <c r="G4392" t="s">
        <v>28676</v>
      </c>
      <c r="H4392" t="s">
        <v>9998</v>
      </c>
      <c r="I4392" t="s">
        <v>28725</v>
      </c>
      <c r="J4392" t="s">
        <v>28834</v>
      </c>
      <c r="K4392" t="s">
        <v>37227</v>
      </c>
      <c r="M4392" t="s">
        <v>39176</v>
      </c>
      <c r="N4392" t="s">
        <v>41249</v>
      </c>
      <c r="O4392" t="s">
        <v>41250</v>
      </c>
      <c r="P4392">
        <v>0</v>
      </c>
      <c r="Q4392">
        <v>0</v>
      </c>
      <c r="R4392" t="s">
        <v>41252</v>
      </c>
      <c r="S4392" t="s">
        <v>41383</v>
      </c>
      <c r="T4392" t="s">
        <v>42774</v>
      </c>
      <c r="U4392" t="s">
        <v>46864</v>
      </c>
      <c r="V4392" t="s">
        <v>54736</v>
      </c>
      <c r="W4392" t="s">
        <v>55961</v>
      </c>
      <c r="X4392" t="s">
        <v>41254</v>
      </c>
    </row>
    <row r="4393" spans="1:24">
      <c r="A4393">
        <f>HYPERLINK("https://www.philgeps.gov.ph/GEPSNONPILOT/Tender/SplashBidNoticeAbstractUI.aspx?menuIndex=3&amp;refID=7075786&amp;Result=3","7075786")</f>
        <v>0</v>
      </c>
      <c r="B4393" t="s">
        <v>376</v>
      </c>
      <c r="C4393" t="s">
        <v>7596</v>
      </c>
      <c r="D4393" t="s">
        <v>16608</v>
      </c>
      <c r="E4393" t="s">
        <v>20664</v>
      </c>
      <c r="F4393" t="s">
        <v>28669</v>
      </c>
      <c r="G4393" t="s">
        <v>28676</v>
      </c>
      <c r="H4393" t="s">
        <v>9998</v>
      </c>
      <c r="I4393" t="s">
        <v>28777</v>
      </c>
      <c r="J4393" t="s">
        <v>31642</v>
      </c>
      <c r="K4393" t="s">
        <v>37206</v>
      </c>
      <c r="M4393" t="s">
        <v>38333</v>
      </c>
      <c r="N4393" t="s">
        <v>41249</v>
      </c>
      <c r="O4393" t="s">
        <v>41250</v>
      </c>
      <c r="P4393">
        <v>0</v>
      </c>
      <c r="Q4393">
        <v>2</v>
      </c>
      <c r="R4393" t="s">
        <v>41252</v>
      </c>
      <c r="S4393" t="s">
        <v>41383</v>
      </c>
      <c r="T4393" t="s">
        <v>42743</v>
      </c>
      <c r="U4393" t="s">
        <v>46865</v>
      </c>
      <c r="W4393" t="s">
        <v>38333</v>
      </c>
      <c r="X4393" t="s">
        <v>41254</v>
      </c>
    </row>
    <row r="4394" spans="1:24">
      <c r="A4394">
        <f>HYPERLINK("https://www.philgeps.gov.ph/GEPSNONPILOT/Tender/SplashBidNoticeAbstractUI.aspx?menuIndex=3&amp;refID=7075760&amp;Result=3","7075760")</f>
        <v>0</v>
      </c>
      <c r="B4394" t="s">
        <v>109</v>
      </c>
      <c r="C4394" t="s">
        <v>7597</v>
      </c>
      <c r="D4394" t="s">
        <v>16608</v>
      </c>
      <c r="E4394" t="s">
        <v>20665</v>
      </c>
      <c r="F4394" t="s">
        <v>28669</v>
      </c>
      <c r="G4394" t="s">
        <v>28675</v>
      </c>
      <c r="H4394" t="s">
        <v>9998</v>
      </c>
      <c r="I4394" t="s">
        <v>28804</v>
      </c>
      <c r="J4394" t="s">
        <v>31643</v>
      </c>
      <c r="K4394" t="s">
        <v>37221</v>
      </c>
      <c r="M4394" t="s">
        <v>37585</v>
      </c>
      <c r="N4394" t="s">
        <v>41249</v>
      </c>
      <c r="O4394" t="s">
        <v>41250</v>
      </c>
      <c r="P4394">
        <v>0</v>
      </c>
      <c r="Q4394">
        <v>4</v>
      </c>
      <c r="R4394" t="s">
        <v>41252</v>
      </c>
      <c r="S4394" t="s">
        <v>41383</v>
      </c>
      <c r="T4394" t="s">
        <v>42900</v>
      </c>
      <c r="U4394" t="s">
        <v>46866</v>
      </c>
      <c r="W4394" t="s">
        <v>37585</v>
      </c>
      <c r="X4394" t="s">
        <v>41254</v>
      </c>
    </row>
    <row r="4395" spans="1:24">
      <c r="A4395">
        <f>HYPERLINK("https://www.philgeps.gov.ph/GEPSNONPILOT/Tender/SplashBidNoticeAbstractUI.aspx?menuIndex=3&amp;refID=7075783&amp;Result=3","7075783")</f>
        <v>0</v>
      </c>
      <c r="B4395" t="s">
        <v>1589</v>
      </c>
      <c r="C4395" t="s">
        <v>7598</v>
      </c>
      <c r="D4395" t="s">
        <v>16643</v>
      </c>
      <c r="E4395" t="s">
        <v>20666</v>
      </c>
      <c r="F4395" t="s">
        <v>28669</v>
      </c>
      <c r="G4395" t="s">
        <v>28675</v>
      </c>
      <c r="H4395" t="s">
        <v>28686</v>
      </c>
      <c r="I4395" t="s">
        <v>28689</v>
      </c>
      <c r="J4395" t="s">
        <v>31644</v>
      </c>
      <c r="K4395" t="s">
        <v>37209</v>
      </c>
      <c r="L4395" t="s">
        <v>1589</v>
      </c>
      <c r="M4395" t="s">
        <v>39172</v>
      </c>
      <c r="N4395" t="s">
        <v>41249</v>
      </c>
      <c r="O4395" t="s">
        <v>41250</v>
      </c>
      <c r="P4395">
        <v>0</v>
      </c>
      <c r="Q4395">
        <v>0</v>
      </c>
      <c r="R4395" t="s">
        <v>41252</v>
      </c>
      <c r="S4395" t="s">
        <v>41383</v>
      </c>
      <c r="T4395" t="s">
        <v>42688</v>
      </c>
      <c r="U4395" t="s">
        <v>46858</v>
      </c>
      <c r="V4395" t="s">
        <v>54734</v>
      </c>
      <c r="W4395" t="s">
        <v>39172</v>
      </c>
      <c r="X4395" t="s">
        <v>41254</v>
      </c>
    </row>
    <row r="4396" spans="1:24">
      <c r="A4396">
        <f>HYPERLINK("https://www.philgeps.gov.ph/GEPSNONPILOT/Tender/SplashBidNoticeAbstractUI.aspx?menuIndex=3&amp;refID=7075782&amp;Result=3","7075782")</f>
        <v>0</v>
      </c>
      <c r="B4396" t="s">
        <v>1594</v>
      </c>
      <c r="C4396" t="s">
        <v>7599</v>
      </c>
      <c r="D4396" t="s">
        <v>16626</v>
      </c>
      <c r="E4396" t="s">
        <v>20667</v>
      </c>
      <c r="F4396" t="s">
        <v>28669</v>
      </c>
      <c r="G4396" t="s">
        <v>28675</v>
      </c>
      <c r="H4396" t="s">
        <v>9998</v>
      </c>
      <c r="I4396" t="s">
        <v>28729</v>
      </c>
      <c r="J4396" t="s">
        <v>29523</v>
      </c>
      <c r="K4396" t="s">
        <v>37234</v>
      </c>
      <c r="M4396" t="s">
        <v>39177</v>
      </c>
      <c r="N4396" t="s">
        <v>41249</v>
      </c>
      <c r="O4396" t="s">
        <v>41250</v>
      </c>
      <c r="P4396">
        <v>0</v>
      </c>
      <c r="Q4396">
        <v>0</v>
      </c>
      <c r="R4396" t="s">
        <v>41252</v>
      </c>
      <c r="S4396" t="s">
        <v>41383</v>
      </c>
      <c r="T4396" t="s">
        <v>42777</v>
      </c>
      <c r="U4396" t="s">
        <v>46867</v>
      </c>
      <c r="W4396" t="s">
        <v>39177</v>
      </c>
      <c r="X4396" t="s">
        <v>41254</v>
      </c>
    </row>
    <row r="4397" spans="1:24">
      <c r="A4397">
        <f>HYPERLINK("https://www.philgeps.gov.ph/GEPSNONPILOT/Tender/SplashBidNoticeAbstractUI.aspx?menuIndex=3&amp;refID=7075751&amp;Result=3","7075751")</f>
        <v>0</v>
      </c>
      <c r="B4397" t="s">
        <v>1589</v>
      </c>
      <c r="C4397" t="s">
        <v>7600</v>
      </c>
      <c r="D4397" t="s">
        <v>16643</v>
      </c>
      <c r="E4397" t="s">
        <v>20668</v>
      </c>
      <c r="F4397" t="s">
        <v>28669</v>
      </c>
      <c r="G4397" t="s">
        <v>28675</v>
      </c>
      <c r="H4397" t="s">
        <v>28686</v>
      </c>
      <c r="I4397" t="s">
        <v>28689</v>
      </c>
      <c r="J4397" t="s">
        <v>31645</v>
      </c>
      <c r="K4397" t="s">
        <v>37209</v>
      </c>
      <c r="L4397" t="s">
        <v>1589</v>
      </c>
      <c r="M4397" t="s">
        <v>39172</v>
      </c>
      <c r="N4397" t="s">
        <v>41249</v>
      </c>
      <c r="O4397" t="s">
        <v>41250</v>
      </c>
      <c r="P4397">
        <v>0</v>
      </c>
      <c r="Q4397">
        <v>1</v>
      </c>
      <c r="R4397" t="s">
        <v>41252</v>
      </c>
      <c r="S4397" t="s">
        <v>41383</v>
      </c>
      <c r="T4397" t="s">
        <v>42688</v>
      </c>
      <c r="U4397" t="s">
        <v>46858</v>
      </c>
      <c r="V4397" t="s">
        <v>54734</v>
      </c>
      <c r="W4397" t="s">
        <v>39172</v>
      </c>
      <c r="X4397" t="s">
        <v>41254</v>
      </c>
    </row>
    <row r="4398" spans="1:24">
      <c r="A4398">
        <f>HYPERLINK("https://www.philgeps.gov.ph/GEPSNONPILOT/Tender/SplashBidNoticeAbstractUI.aspx?menuIndex=3&amp;refID=7075778&amp;Result=3","7075778")</f>
        <v>0</v>
      </c>
      <c r="B4398" t="s">
        <v>1595</v>
      </c>
      <c r="C4398" t="s">
        <v>7601</v>
      </c>
      <c r="D4398" t="s">
        <v>16617</v>
      </c>
      <c r="E4398" t="s">
        <v>19187</v>
      </c>
      <c r="F4398" t="s">
        <v>28669</v>
      </c>
      <c r="G4398" t="s">
        <v>28679</v>
      </c>
      <c r="H4398" t="s">
        <v>9998</v>
      </c>
      <c r="I4398" t="s">
        <v>28716</v>
      </c>
      <c r="J4398" t="s">
        <v>28838</v>
      </c>
      <c r="K4398" t="s">
        <v>37204</v>
      </c>
      <c r="M4398" t="s">
        <v>39178</v>
      </c>
      <c r="N4398" t="s">
        <v>41249</v>
      </c>
      <c r="O4398" t="s">
        <v>41250</v>
      </c>
      <c r="P4398">
        <v>0</v>
      </c>
      <c r="Q4398">
        <v>10</v>
      </c>
      <c r="R4398" t="s">
        <v>41252</v>
      </c>
      <c r="S4398" t="s">
        <v>41383</v>
      </c>
      <c r="T4398" t="s">
        <v>42701</v>
      </c>
      <c r="U4398" t="s">
        <v>45773</v>
      </c>
      <c r="W4398" t="s">
        <v>39178</v>
      </c>
      <c r="X4398" t="s">
        <v>41254</v>
      </c>
    </row>
    <row r="4399" spans="1:24">
      <c r="A4399">
        <f>HYPERLINK("https://www.philgeps.gov.ph/GEPSNONPILOT/Tender/SplashBidNoticeAbstractUI.aspx?menuIndex=3&amp;refID=7075777&amp;Result=3","7075777")</f>
        <v>0</v>
      </c>
      <c r="B4399" t="s">
        <v>1596</v>
      </c>
      <c r="C4399" t="s">
        <v>7602</v>
      </c>
      <c r="D4399" t="s">
        <v>16646</v>
      </c>
      <c r="E4399" t="s">
        <v>20669</v>
      </c>
      <c r="F4399" t="s">
        <v>28669</v>
      </c>
      <c r="G4399" t="s">
        <v>28676</v>
      </c>
      <c r="H4399" t="s">
        <v>9998</v>
      </c>
      <c r="I4399" t="s">
        <v>28694</v>
      </c>
      <c r="J4399" t="s">
        <v>31646</v>
      </c>
      <c r="K4399" t="s">
        <v>37208</v>
      </c>
      <c r="M4399" t="s">
        <v>39179</v>
      </c>
      <c r="N4399" t="s">
        <v>41249</v>
      </c>
      <c r="O4399" t="s">
        <v>41250</v>
      </c>
      <c r="P4399">
        <v>0</v>
      </c>
      <c r="Q4399">
        <v>0</v>
      </c>
      <c r="R4399" t="s">
        <v>41252</v>
      </c>
      <c r="S4399" t="s">
        <v>41383</v>
      </c>
      <c r="T4399" t="s">
        <v>42701</v>
      </c>
      <c r="U4399" t="s">
        <v>46868</v>
      </c>
      <c r="W4399" t="s">
        <v>39179</v>
      </c>
      <c r="X4399" t="s">
        <v>41254</v>
      </c>
    </row>
    <row r="4400" spans="1:24">
      <c r="A4400">
        <f>HYPERLINK("https://www.philgeps.gov.ph/GEPSNONPILOT/Tender/SplashBidNoticeAbstractUI.aspx?menuIndex=3&amp;refID=7075776&amp;Result=3","7075776")</f>
        <v>0</v>
      </c>
      <c r="B4400" t="s">
        <v>1597</v>
      </c>
      <c r="C4400" t="s">
        <v>7352</v>
      </c>
      <c r="D4400" t="s">
        <v>16654</v>
      </c>
      <c r="E4400" t="s">
        <v>20670</v>
      </c>
      <c r="F4400" t="s">
        <v>28669</v>
      </c>
      <c r="G4400" t="s">
        <v>28675</v>
      </c>
      <c r="H4400" t="s">
        <v>9998</v>
      </c>
      <c r="I4400" t="s">
        <v>7352</v>
      </c>
      <c r="J4400" t="s">
        <v>28905</v>
      </c>
      <c r="K4400" t="s">
        <v>37204</v>
      </c>
      <c r="M4400" t="s">
        <v>39180</v>
      </c>
      <c r="N4400" t="s">
        <v>41249</v>
      </c>
      <c r="O4400" t="s">
        <v>41250</v>
      </c>
      <c r="P4400">
        <v>0</v>
      </c>
      <c r="Q4400">
        <v>1</v>
      </c>
      <c r="R4400" t="s">
        <v>41252</v>
      </c>
      <c r="S4400" t="s">
        <v>41383</v>
      </c>
      <c r="T4400" t="s">
        <v>42742</v>
      </c>
      <c r="U4400" t="s">
        <v>46869</v>
      </c>
      <c r="W4400" t="s">
        <v>39180</v>
      </c>
      <c r="X4400" t="s">
        <v>41254</v>
      </c>
    </row>
    <row r="4401" spans="1:24">
      <c r="A4401">
        <f>HYPERLINK("https://www.philgeps.gov.ph/GEPSNONPILOT/Tender/SplashBidNoticeAbstractUI.aspx?menuIndex=3&amp;refID=7075775&amp;Result=3","7075775")</f>
        <v>0</v>
      </c>
      <c r="B4401" t="s">
        <v>1598</v>
      </c>
      <c r="C4401" t="s">
        <v>7603</v>
      </c>
      <c r="D4401" t="s">
        <v>16608</v>
      </c>
      <c r="E4401" t="s">
        <v>20671</v>
      </c>
      <c r="F4401" t="s">
        <v>28669</v>
      </c>
      <c r="G4401" t="s">
        <v>28676</v>
      </c>
      <c r="H4401" t="s">
        <v>9998</v>
      </c>
      <c r="I4401" t="s">
        <v>28780</v>
      </c>
      <c r="J4401" t="s">
        <v>31647</v>
      </c>
      <c r="K4401" t="s">
        <v>37301</v>
      </c>
      <c r="M4401" t="s">
        <v>39181</v>
      </c>
      <c r="N4401" t="s">
        <v>41249</v>
      </c>
      <c r="O4401" t="s">
        <v>41250</v>
      </c>
      <c r="P4401">
        <v>0</v>
      </c>
      <c r="Q4401">
        <v>6</v>
      </c>
      <c r="R4401" t="s">
        <v>41252</v>
      </c>
      <c r="S4401" t="s">
        <v>41383</v>
      </c>
      <c r="T4401" t="s">
        <v>42964</v>
      </c>
      <c r="U4401" t="s">
        <v>46870</v>
      </c>
      <c r="V4401" t="s">
        <v>54737</v>
      </c>
      <c r="W4401" t="s">
        <v>39181</v>
      </c>
      <c r="X4401" t="s">
        <v>41254</v>
      </c>
    </row>
    <row r="4402" spans="1:24">
      <c r="A4402">
        <f>HYPERLINK("https://www.philgeps.gov.ph/GEPSNONPILOT/Tender/SplashBidNoticeAbstractUI.aspx?menuIndex=3&amp;refID=7075774&amp;Result=3","7075774")</f>
        <v>0</v>
      </c>
      <c r="B4402" t="s">
        <v>1577</v>
      </c>
      <c r="C4402" t="s">
        <v>7604</v>
      </c>
      <c r="D4402" t="s">
        <v>16608</v>
      </c>
      <c r="E4402" t="s">
        <v>20672</v>
      </c>
      <c r="F4402" t="s">
        <v>28669</v>
      </c>
      <c r="G4402" t="s">
        <v>28675</v>
      </c>
      <c r="H4402" t="s">
        <v>9998</v>
      </c>
      <c r="I4402" t="s">
        <v>28713</v>
      </c>
      <c r="J4402" t="s">
        <v>31648</v>
      </c>
      <c r="K4402" t="s">
        <v>37209</v>
      </c>
      <c r="M4402" t="s">
        <v>39158</v>
      </c>
      <c r="N4402" t="s">
        <v>41249</v>
      </c>
      <c r="O4402" t="s">
        <v>41250</v>
      </c>
      <c r="P4402">
        <v>0</v>
      </c>
      <c r="Q4402">
        <v>17</v>
      </c>
      <c r="R4402" t="s">
        <v>41252</v>
      </c>
      <c r="S4402" t="s">
        <v>41383</v>
      </c>
      <c r="T4402" t="s">
        <v>42965</v>
      </c>
      <c r="U4402" t="s">
        <v>46871</v>
      </c>
      <c r="W4402" t="s">
        <v>39158</v>
      </c>
      <c r="X4402" t="s">
        <v>41254</v>
      </c>
    </row>
    <row r="4403" spans="1:24">
      <c r="A4403">
        <f>HYPERLINK("https://www.philgeps.gov.ph/GEPSNONPILOT/Tender/SplashBidNoticeAbstractUI.aspx?menuIndex=3&amp;refID=7075772&amp;Result=3","7075772")</f>
        <v>0</v>
      </c>
      <c r="B4403" t="s">
        <v>1599</v>
      </c>
      <c r="C4403" t="s">
        <v>7605</v>
      </c>
      <c r="D4403" t="s">
        <v>16616</v>
      </c>
      <c r="E4403" t="s">
        <v>18374</v>
      </c>
      <c r="F4403" t="s">
        <v>28669</v>
      </c>
      <c r="G4403" t="s">
        <v>28675</v>
      </c>
      <c r="H4403" t="s">
        <v>9998</v>
      </c>
      <c r="I4403" t="s">
        <v>3718</v>
      </c>
      <c r="J4403" t="s">
        <v>31649</v>
      </c>
      <c r="K4403" t="s">
        <v>37206</v>
      </c>
      <c r="M4403" t="s">
        <v>39182</v>
      </c>
      <c r="N4403" t="s">
        <v>41249</v>
      </c>
      <c r="O4403" t="s">
        <v>41250</v>
      </c>
      <c r="P4403">
        <v>0</v>
      </c>
      <c r="Q4403">
        <v>6</v>
      </c>
      <c r="R4403" t="s">
        <v>41252</v>
      </c>
      <c r="S4403" t="s">
        <v>41383</v>
      </c>
      <c r="T4403" t="s">
        <v>42966</v>
      </c>
      <c r="U4403" t="s">
        <v>46872</v>
      </c>
      <c r="W4403" t="s">
        <v>39182</v>
      </c>
      <c r="X4403" t="s">
        <v>41254</v>
      </c>
    </row>
    <row r="4404" spans="1:24">
      <c r="A4404">
        <f>HYPERLINK("https://www.philgeps.gov.ph/GEPSNONPILOT/Tender/SplashBidNoticeAbstractUI.aspx?menuIndex=3&amp;refID=7075771&amp;Result=3","7075771")</f>
        <v>0</v>
      </c>
      <c r="B4404" t="s">
        <v>1600</v>
      </c>
      <c r="C4404" t="s">
        <v>7606</v>
      </c>
      <c r="D4404" t="s">
        <v>16608</v>
      </c>
      <c r="E4404" t="s">
        <v>20673</v>
      </c>
      <c r="F4404" t="s">
        <v>28669</v>
      </c>
      <c r="G4404" t="s">
        <v>28675</v>
      </c>
      <c r="H4404" t="s">
        <v>28686</v>
      </c>
      <c r="I4404" t="s">
        <v>28689</v>
      </c>
      <c r="J4404" t="s">
        <v>31650</v>
      </c>
      <c r="K4404" t="s">
        <v>37213</v>
      </c>
      <c r="M4404" t="s">
        <v>39183</v>
      </c>
      <c r="N4404" t="s">
        <v>41249</v>
      </c>
      <c r="O4404" t="s">
        <v>41250</v>
      </c>
      <c r="P4404">
        <v>0</v>
      </c>
      <c r="Q4404">
        <v>4</v>
      </c>
      <c r="R4404" t="s">
        <v>41252</v>
      </c>
      <c r="S4404" t="s">
        <v>41383</v>
      </c>
      <c r="T4404" t="s">
        <v>42907</v>
      </c>
      <c r="U4404" t="s">
        <v>46873</v>
      </c>
      <c r="V4404" t="s">
        <v>54738</v>
      </c>
      <c r="W4404" t="s">
        <v>39183</v>
      </c>
      <c r="X4404" t="s">
        <v>41254</v>
      </c>
    </row>
    <row r="4405" spans="1:24">
      <c r="A4405">
        <f>HYPERLINK("https://www.philgeps.gov.ph/GEPSNONPILOT/Tender/SplashBidNoticeAbstractUI.aspx?menuIndex=3&amp;refID=7075758&amp;Result=3","7075758")</f>
        <v>0</v>
      </c>
      <c r="B4405" t="s">
        <v>1350</v>
      </c>
      <c r="C4405" t="s">
        <v>7607</v>
      </c>
      <c r="D4405" t="s">
        <v>16608</v>
      </c>
      <c r="E4405" t="s">
        <v>20674</v>
      </c>
      <c r="F4405" t="s">
        <v>28669</v>
      </c>
      <c r="G4405" t="s">
        <v>28675</v>
      </c>
      <c r="H4405" t="s">
        <v>28684</v>
      </c>
      <c r="I4405" t="s">
        <v>28728</v>
      </c>
      <c r="J4405" t="s">
        <v>31651</v>
      </c>
      <c r="K4405" t="s">
        <v>37314</v>
      </c>
      <c r="M4405" t="s">
        <v>38905</v>
      </c>
      <c r="N4405" t="s">
        <v>41249</v>
      </c>
      <c r="O4405" t="s">
        <v>41250</v>
      </c>
      <c r="P4405">
        <v>0</v>
      </c>
      <c r="Q4405">
        <v>1</v>
      </c>
      <c r="R4405" t="s">
        <v>41252</v>
      </c>
      <c r="S4405" t="s">
        <v>41383</v>
      </c>
      <c r="T4405" t="s">
        <v>42740</v>
      </c>
      <c r="U4405" t="s">
        <v>46874</v>
      </c>
      <c r="W4405" t="s">
        <v>38905</v>
      </c>
      <c r="X4405" t="s">
        <v>41254</v>
      </c>
    </row>
    <row r="4406" spans="1:24">
      <c r="A4406">
        <f>HYPERLINK("https://www.philgeps.gov.ph/GEPSNONPILOT/Tender/SplashBidNoticeAbstractUI.aspx?menuIndex=3&amp;refID=7075769&amp;Result=3","7075769")</f>
        <v>0</v>
      </c>
      <c r="B4406" t="s">
        <v>1443</v>
      </c>
      <c r="C4406" t="s">
        <v>7608</v>
      </c>
      <c r="D4406" t="s">
        <v>16663</v>
      </c>
      <c r="E4406" t="s">
        <v>20675</v>
      </c>
      <c r="F4406" t="s">
        <v>28669</v>
      </c>
      <c r="G4406" t="s">
        <v>28675</v>
      </c>
      <c r="H4406" t="s">
        <v>9998</v>
      </c>
      <c r="I4406" t="s">
        <v>3679</v>
      </c>
      <c r="J4406" t="s">
        <v>31652</v>
      </c>
      <c r="K4406" t="s">
        <v>37206</v>
      </c>
      <c r="L4406" t="s">
        <v>1443</v>
      </c>
      <c r="M4406" t="s">
        <v>39184</v>
      </c>
      <c r="N4406" t="s">
        <v>41249</v>
      </c>
      <c r="O4406" t="s">
        <v>41250</v>
      </c>
      <c r="P4406">
        <v>0</v>
      </c>
      <c r="Q4406">
        <v>0</v>
      </c>
      <c r="R4406" t="s">
        <v>41252</v>
      </c>
      <c r="S4406" t="s">
        <v>41383</v>
      </c>
      <c r="T4406" t="s">
        <v>42734</v>
      </c>
      <c r="U4406" t="s">
        <v>46875</v>
      </c>
      <c r="W4406" t="s">
        <v>39184</v>
      </c>
      <c r="X4406" t="s">
        <v>41254</v>
      </c>
    </row>
    <row r="4407" spans="1:24">
      <c r="A4407">
        <f>HYPERLINK("https://www.philgeps.gov.ph/GEPSNONPILOT/Tender/SplashBidNoticeAbstractUI.aspx?menuIndex=3&amp;refID=7075768&amp;Result=3","7075768")</f>
        <v>0</v>
      </c>
      <c r="B4407" t="s">
        <v>1597</v>
      </c>
      <c r="C4407" t="s">
        <v>7352</v>
      </c>
      <c r="D4407" t="s">
        <v>16654</v>
      </c>
      <c r="E4407" t="s">
        <v>20676</v>
      </c>
      <c r="F4407" t="s">
        <v>28669</v>
      </c>
      <c r="G4407" t="s">
        <v>28675</v>
      </c>
      <c r="H4407" t="s">
        <v>9998</v>
      </c>
      <c r="I4407" t="s">
        <v>7352</v>
      </c>
      <c r="J4407" t="s">
        <v>28905</v>
      </c>
      <c r="K4407" t="s">
        <v>37204</v>
      </c>
      <c r="M4407" t="s">
        <v>39180</v>
      </c>
      <c r="N4407" t="s">
        <v>41249</v>
      </c>
      <c r="O4407" t="s">
        <v>41250</v>
      </c>
      <c r="P4407">
        <v>0</v>
      </c>
      <c r="Q4407">
        <v>1</v>
      </c>
      <c r="R4407" t="s">
        <v>41252</v>
      </c>
      <c r="S4407" t="s">
        <v>41383</v>
      </c>
      <c r="T4407" t="s">
        <v>42742</v>
      </c>
      <c r="U4407" t="s">
        <v>46876</v>
      </c>
      <c r="W4407" t="s">
        <v>39180</v>
      </c>
      <c r="X4407" t="s">
        <v>41254</v>
      </c>
    </row>
    <row r="4408" spans="1:24">
      <c r="A4408">
        <f>HYPERLINK("https://www.philgeps.gov.ph/GEPSNONPILOT/Tender/SplashBidNoticeAbstractUI.aspx?menuIndex=3&amp;refID=7075767&amp;Result=3","7075767")</f>
        <v>0</v>
      </c>
      <c r="B4408" t="s">
        <v>1601</v>
      </c>
      <c r="C4408" t="s">
        <v>7609</v>
      </c>
      <c r="D4408" t="s">
        <v>16640</v>
      </c>
      <c r="E4408" t="s">
        <v>20677</v>
      </c>
      <c r="F4408" t="s">
        <v>28669</v>
      </c>
      <c r="G4408" t="s">
        <v>28676</v>
      </c>
      <c r="H4408" t="s">
        <v>9998</v>
      </c>
      <c r="I4408" t="s">
        <v>28700</v>
      </c>
      <c r="J4408" t="s">
        <v>28942</v>
      </c>
      <c r="K4408" t="s">
        <v>37206</v>
      </c>
      <c r="M4408" t="s">
        <v>39185</v>
      </c>
      <c r="N4408" t="s">
        <v>41249</v>
      </c>
      <c r="O4408" t="s">
        <v>41250</v>
      </c>
      <c r="P4408">
        <v>0</v>
      </c>
      <c r="Q4408">
        <v>5</v>
      </c>
      <c r="R4408" t="s">
        <v>41252</v>
      </c>
      <c r="S4408" t="s">
        <v>41383</v>
      </c>
      <c r="T4408" t="s">
        <v>42701</v>
      </c>
      <c r="U4408" t="s">
        <v>46877</v>
      </c>
      <c r="V4408" t="s">
        <v>54739</v>
      </c>
      <c r="W4408" t="s">
        <v>39185</v>
      </c>
      <c r="X4408" t="s">
        <v>41254</v>
      </c>
    </row>
    <row r="4409" spans="1:24">
      <c r="A4409">
        <f>HYPERLINK("https://www.philgeps.gov.ph/GEPSNONPILOT/Tender/SplashBidNoticeAbstractUI.aspx?menuIndex=3&amp;refID=7075765&amp;Result=3","7075765")</f>
        <v>0</v>
      </c>
      <c r="B4409" t="s">
        <v>1175</v>
      </c>
      <c r="C4409" t="s">
        <v>7610</v>
      </c>
      <c r="D4409" t="s">
        <v>16653</v>
      </c>
      <c r="E4409" t="s">
        <v>20678</v>
      </c>
      <c r="F4409" t="s">
        <v>28669</v>
      </c>
      <c r="G4409" t="s">
        <v>28676</v>
      </c>
      <c r="H4409" t="s">
        <v>9998</v>
      </c>
      <c r="I4409" t="s">
        <v>3718</v>
      </c>
      <c r="J4409" t="s">
        <v>28914</v>
      </c>
      <c r="K4409" t="s">
        <v>37234</v>
      </c>
      <c r="M4409" t="s">
        <v>38714</v>
      </c>
      <c r="N4409" t="s">
        <v>41249</v>
      </c>
      <c r="O4409" t="s">
        <v>41250</v>
      </c>
      <c r="P4409">
        <v>0</v>
      </c>
      <c r="Q4409">
        <v>5</v>
      </c>
      <c r="R4409" t="s">
        <v>41252</v>
      </c>
      <c r="S4409" t="s">
        <v>41383</v>
      </c>
      <c r="T4409" t="s">
        <v>42758</v>
      </c>
      <c r="U4409" t="s">
        <v>46878</v>
      </c>
      <c r="W4409" t="s">
        <v>38714</v>
      </c>
      <c r="X4409" t="s">
        <v>41254</v>
      </c>
    </row>
    <row r="4410" spans="1:24">
      <c r="A4410">
        <f>HYPERLINK("https://www.philgeps.gov.ph/GEPSNONPILOT/Tender/SplashBidNoticeAbstractUI.aspx?menuIndex=3&amp;refID=7075773&amp;Result=3","7075773")</f>
        <v>0</v>
      </c>
      <c r="B4410" t="s">
        <v>1589</v>
      </c>
      <c r="C4410" t="s">
        <v>7611</v>
      </c>
      <c r="D4410" t="s">
        <v>16643</v>
      </c>
      <c r="E4410" t="s">
        <v>20679</v>
      </c>
      <c r="F4410" t="s">
        <v>28669</v>
      </c>
      <c r="G4410" t="s">
        <v>28675</v>
      </c>
      <c r="H4410" t="s">
        <v>28686</v>
      </c>
      <c r="I4410" t="s">
        <v>28689</v>
      </c>
      <c r="J4410" t="s">
        <v>30888</v>
      </c>
      <c r="K4410" t="s">
        <v>37209</v>
      </c>
      <c r="L4410" t="s">
        <v>1589</v>
      </c>
      <c r="M4410" t="s">
        <v>39172</v>
      </c>
      <c r="N4410" t="s">
        <v>41249</v>
      </c>
      <c r="O4410" t="s">
        <v>41250</v>
      </c>
      <c r="P4410">
        <v>0</v>
      </c>
      <c r="Q4410">
        <v>1</v>
      </c>
      <c r="R4410" t="s">
        <v>41252</v>
      </c>
      <c r="S4410" t="s">
        <v>41383</v>
      </c>
      <c r="T4410" t="s">
        <v>42688</v>
      </c>
      <c r="U4410" t="s">
        <v>46858</v>
      </c>
      <c r="V4410" t="s">
        <v>54734</v>
      </c>
      <c r="W4410" t="s">
        <v>39172</v>
      </c>
      <c r="X4410" t="s">
        <v>41254</v>
      </c>
    </row>
    <row r="4411" spans="1:24">
      <c r="A4411">
        <f>HYPERLINK("https://www.philgeps.gov.ph/GEPSNONPILOT/Tender/SplashBidNoticeAbstractUI.aspx?menuIndex=3&amp;refID=7075762&amp;Result=3","7075762")</f>
        <v>0</v>
      </c>
      <c r="B4411" t="s">
        <v>1602</v>
      </c>
      <c r="C4411" t="s">
        <v>7612</v>
      </c>
      <c r="D4411" t="s">
        <v>16618</v>
      </c>
      <c r="E4411" t="s">
        <v>20680</v>
      </c>
      <c r="F4411" t="s">
        <v>28669</v>
      </c>
      <c r="G4411" t="s">
        <v>28675</v>
      </c>
      <c r="H4411" t="s">
        <v>9998</v>
      </c>
      <c r="I4411" t="s">
        <v>28690</v>
      </c>
      <c r="J4411" t="s">
        <v>31653</v>
      </c>
      <c r="K4411" t="s">
        <v>37205</v>
      </c>
      <c r="M4411" t="s">
        <v>39186</v>
      </c>
      <c r="N4411" t="s">
        <v>41249</v>
      </c>
      <c r="O4411" t="s">
        <v>41250</v>
      </c>
      <c r="P4411">
        <v>0</v>
      </c>
      <c r="Q4411">
        <v>0</v>
      </c>
      <c r="R4411" t="s">
        <v>41252</v>
      </c>
      <c r="S4411" t="s">
        <v>41383</v>
      </c>
      <c r="T4411" t="s">
        <v>42734</v>
      </c>
      <c r="U4411" t="s">
        <v>46879</v>
      </c>
      <c r="W4411" t="s">
        <v>39186</v>
      </c>
      <c r="X4411" t="s">
        <v>41254</v>
      </c>
    </row>
    <row r="4412" spans="1:24">
      <c r="A4412">
        <f>HYPERLINK("https://www.philgeps.gov.ph/GEPSNONPILOT/Tender/SplashBidNoticeAbstractUI.aspx?menuIndex=3&amp;refID=7075750&amp;Result=3","7075750")</f>
        <v>0</v>
      </c>
      <c r="B4412" t="s">
        <v>1603</v>
      </c>
      <c r="C4412" t="s">
        <v>7613</v>
      </c>
      <c r="D4412" t="s">
        <v>16624</v>
      </c>
      <c r="E4412" t="s">
        <v>20681</v>
      </c>
      <c r="F4412" t="s">
        <v>28669</v>
      </c>
      <c r="G4412" t="s">
        <v>28675</v>
      </c>
      <c r="H4412" t="s">
        <v>28686</v>
      </c>
      <c r="I4412" t="s">
        <v>28691</v>
      </c>
      <c r="J4412" t="s">
        <v>31654</v>
      </c>
      <c r="K4412" t="s">
        <v>37211</v>
      </c>
      <c r="M4412" t="s">
        <v>39187</v>
      </c>
      <c r="N4412" t="s">
        <v>41249</v>
      </c>
      <c r="O4412" t="s">
        <v>41250</v>
      </c>
      <c r="P4412">
        <v>0</v>
      </c>
      <c r="Q4412">
        <v>0</v>
      </c>
      <c r="R4412" t="s">
        <v>41252</v>
      </c>
      <c r="S4412" t="s">
        <v>41383</v>
      </c>
      <c r="T4412" t="s">
        <v>42692</v>
      </c>
      <c r="U4412" t="s">
        <v>46880</v>
      </c>
      <c r="W4412" t="s">
        <v>39187</v>
      </c>
      <c r="X4412" t="s">
        <v>41254</v>
      </c>
    </row>
    <row r="4413" spans="1:24">
      <c r="A4413">
        <f>HYPERLINK("https://www.philgeps.gov.ph/GEPSNONPILOT/Tender/SplashBidNoticeAbstractUI.aspx?menuIndex=3&amp;refID=7075745&amp;Result=3","7075745")</f>
        <v>0</v>
      </c>
      <c r="B4413" t="s">
        <v>206</v>
      </c>
      <c r="C4413" t="s">
        <v>7614</v>
      </c>
      <c r="D4413" t="s">
        <v>16617</v>
      </c>
      <c r="E4413" t="s">
        <v>20682</v>
      </c>
      <c r="F4413" t="s">
        <v>28671</v>
      </c>
      <c r="G4413" t="s">
        <v>28677</v>
      </c>
      <c r="H4413" t="s">
        <v>9998</v>
      </c>
      <c r="I4413" t="s">
        <v>28690</v>
      </c>
      <c r="J4413" t="s">
        <v>31012</v>
      </c>
      <c r="K4413" t="s">
        <v>37204</v>
      </c>
      <c r="M4413" t="s">
        <v>38031</v>
      </c>
      <c r="N4413" t="s">
        <v>41249</v>
      </c>
      <c r="O4413" t="s">
        <v>41250</v>
      </c>
      <c r="P4413">
        <v>0</v>
      </c>
      <c r="Q4413">
        <v>1</v>
      </c>
      <c r="R4413" t="s">
        <v>41252</v>
      </c>
      <c r="S4413" t="s">
        <v>41383</v>
      </c>
      <c r="T4413" t="s">
        <v>42771</v>
      </c>
      <c r="U4413" t="s">
        <v>46881</v>
      </c>
      <c r="W4413" t="s">
        <v>38031</v>
      </c>
      <c r="X4413" t="s">
        <v>41254</v>
      </c>
    </row>
    <row r="4414" spans="1:24">
      <c r="A4414">
        <f>HYPERLINK("https://www.philgeps.gov.ph/GEPSNONPILOT/Tender/SplashBidNoticeAbstractUI.aspx?menuIndex=3&amp;refID=7075764&amp;Result=3","7075764")</f>
        <v>0</v>
      </c>
      <c r="B4414" t="s">
        <v>1443</v>
      </c>
      <c r="C4414" t="s">
        <v>7615</v>
      </c>
      <c r="D4414" t="s">
        <v>16663</v>
      </c>
      <c r="E4414" t="s">
        <v>20683</v>
      </c>
      <c r="F4414" t="s">
        <v>28669</v>
      </c>
      <c r="G4414" t="s">
        <v>28675</v>
      </c>
      <c r="H4414" t="s">
        <v>9998</v>
      </c>
      <c r="I4414" t="s">
        <v>8667</v>
      </c>
      <c r="J4414" t="s">
        <v>31655</v>
      </c>
      <c r="K4414" t="s">
        <v>37205</v>
      </c>
      <c r="L4414" t="s">
        <v>1443</v>
      </c>
      <c r="M4414" t="s">
        <v>39184</v>
      </c>
      <c r="N4414" t="s">
        <v>41249</v>
      </c>
      <c r="O4414" t="s">
        <v>41250</v>
      </c>
      <c r="P4414">
        <v>0</v>
      </c>
      <c r="Q4414">
        <v>0</v>
      </c>
      <c r="R4414" t="s">
        <v>41252</v>
      </c>
      <c r="S4414" t="s">
        <v>41383</v>
      </c>
      <c r="T4414" t="s">
        <v>42734</v>
      </c>
      <c r="U4414" t="s">
        <v>46882</v>
      </c>
      <c r="W4414" t="s">
        <v>39184</v>
      </c>
      <c r="X4414" t="s">
        <v>41254</v>
      </c>
    </row>
    <row r="4415" spans="1:24">
      <c r="A4415">
        <f>HYPERLINK("https://www.philgeps.gov.ph/GEPSNONPILOT/Tender/SplashBidNoticeAbstractUI.aspx?menuIndex=3&amp;refID=7075763&amp;Result=3","7075763")</f>
        <v>0</v>
      </c>
      <c r="B4415" t="s">
        <v>1597</v>
      </c>
      <c r="C4415" t="s">
        <v>7352</v>
      </c>
      <c r="D4415" t="s">
        <v>16654</v>
      </c>
      <c r="E4415" t="s">
        <v>20684</v>
      </c>
      <c r="F4415" t="s">
        <v>28669</v>
      </c>
      <c r="G4415" t="s">
        <v>28675</v>
      </c>
      <c r="H4415" t="s">
        <v>9998</v>
      </c>
      <c r="I4415" t="s">
        <v>7352</v>
      </c>
      <c r="J4415" t="s">
        <v>28905</v>
      </c>
      <c r="K4415" t="s">
        <v>37204</v>
      </c>
      <c r="M4415" t="s">
        <v>39180</v>
      </c>
      <c r="N4415" t="s">
        <v>41249</v>
      </c>
      <c r="O4415" t="s">
        <v>41250</v>
      </c>
      <c r="P4415">
        <v>0</v>
      </c>
      <c r="Q4415">
        <v>1</v>
      </c>
      <c r="R4415" t="s">
        <v>41252</v>
      </c>
      <c r="S4415" t="s">
        <v>41383</v>
      </c>
      <c r="T4415" t="s">
        <v>42742</v>
      </c>
      <c r="U4415" t="s">
        <v>46883</v>
      </c>
      <c r="W4415" t="s">
        <v>39180</v>
      </c>
      <c r="X4415" t="s">
        <v>41254</v>
      </c>
    </row>
    <row r="4416" spans="1:24">
      <c r="A4416">
        <f>HYPERLINK("https://www.philgeps.gov.ph/GEPSNONPILOT/Tender/SplashBidNoticeAbstractUI.aspx?menuIndex=3&amp;refID=7075743&amp;Result=3","7075743")</f>
        <v>0</v>
      </c>
      <c r="B4416" t="s">
        <v>1579</v>
      </c>
      <c r="C4416" t="s">
        <v>7616</v>
      </c>
      <c r="D4416" t="s">
        <v>16616</v>
      </c>
      <c r="E4416" t="s">
        <v>20685</v>
      </c>
      <c r="F4416" t="s">
        <v>28669</v>
      </c>
      <c r="G4416" t="s">
        <v>28679</v>
      </c>
      <c r="H4416" t="s">
        <v>9998</v>
      </c>
      <c r="I4416" t="s">
        <v>3718</v>
      </c>
      <c r="J4416" t="s">
        <v>31656</v>
      </c>
      <c r="K4416" t="s">
        <v>37205</v>
      </c>
      <c r="M4416" t="s">
        <v>39160</v>
      </c>
      <c r="N4416" t="s">
        <v>41249</v>
      </c>
      <c r="O4416" t="s">
        <v>41250</v>
      </c>
      <c r="P4416">
        <v>0</v>
      </c>
      <c r="Q4416">
        <v>1</v>
      </c>
      <c r="R4416" t="s">
        <v>41252</v>
      </c>
      <c r="S4416" t="s">
        <v>41383</v>
      </c>
      <c r="T4416" t="s">
        <v>42736</v>
      </c>
      <c r="U4416" t="s">
        <v>46884</v>
      </c>
      <c r="W4416" t="s">
        <v>39160</v>
      </c>
      <c r="X4416" t="s">
        <v>41254</v>
      </c>
    </row>
    <row r="4417" spans="1:24">
      <c r="A4417">
        <f>HYPERLINK("https://www.philgeps.gov.ph/GEPSNONPILOT/Tender/SplashBidNoticeAbstractUI.aspx?menuIndex=3&amp;refID=7075770&amp;Result=3","7075770")</f>
        <v>0</v>
      </c>
      <c r="B4417" t="s">
        <v>1604</v>
      </c>
      <c r="C4417" t="s">
        <v>7617</v>
      </c>
      <c r="D4417" t="s">
        <v>16608</v>
      </c>
      <c r="E4417" t="s">
        <v>20686</v>
      </c>
      <c r="F4417" t="s">
        <v>28669</v>
      </c>
      <c r="G4417" t="s">
        <v>28676</v>
      </c>
      <c r="H4417" t="s">
        <v>28685</v>
      </c>
      <c r="I4417" t="s">
        <v>28685</v>
      </c>
      <c r="J4417" t="s">
        <v>29088</v>
      </c>
      <c r="K4417" t="s">
        <v>37209</v>
      </c>
      <c r="M4417" t="s">
        <v>39188</v>
      </c>
      <c r="N4417" t="s">
        <v>41249</v>
      </c>
      <c r="O4417" t="s">
        <v>41250</v>
      </c>
      <c r="P4417">
        <v>0</v>
      </c>
      <c r="Q4417">
        <v>2</v>
      </c>
      <c r="R4417" t="s">
        <v>41252</v>
      </c>
      <c r="S4417" t="s">
        <v>41383</v>
      </c>
      <c r="T4417" t="s">
        <v>42921</v>
      </c>
      <c r="U4417" t="s">
        <v>46885</v>
      </c>
      <c r="V4417" t="s">
        <v>54740</v>
      </c>
      <c r="W4417" t="s">
        <v>39188</v>
      </c>
      <c r="X4417" t="s">
        <v>41254</v>
      </c>
    </row>
    <row r="4418" spans="1:24">
      <c r="A4418">
        <f>HYPERLINK("https://www.philgeps.gov.ph/GEPSNONPILOT/Tender/SplashBidNoticeAbstractUI.aspx?menuIndex=3&amp;refID=7075728&amp;Result=3","7075728")</f>
        <v>0</v>
      </c>
      <c r="B4418" t="s">
        <v>1272</v>
      </c>
      <c r="C4418" t="s">
        <v>7618</v>
      </c>
      <c r="E4418" t="s">
        <v>20687</v>
      </c>
      <c r="F4418" t="s">
        <v>28669</v>
      </c>
      <c r="G4418" t="s">
        <v>28676</v>
      </c>
      <c r="H4418" t="s">
        <v>9998</v>
      </c>
      <c r="I4418" t="s">
        <v>28721</v>
      </c>
      <c r="J4418" t="s">
        <v>31657</v>
      </c>
      <c r="K4418" t="s">
        <v>37209</v>
      </c>
      <c r="M4418" t="s">
        <v>38822</v>
      </c>
      <c r="N4418" t="s">
        <v>41249</v>
      </c>
      <c r="O4418" t="s">
        <v>41250</v>
      </c>
      <c r="P4418">
        <v>0</v>
      </c>
      <c r="Q4418">
        <v>0</v>
      </c>
      <c r="R4418" t="s">
        <v>41252</v>
      </c>
      <c r="S4418" t="s">
        <v>41383</v>
      </c>
      <c r="T4418" t="s">
        <v>42758</v>
      </c>
      <c r="U4418" t="s">
        <v>46886</v>
      </c>
      <c r="W4418" t="s">
        <v>38822</v>
      </c>
      <c r="X4418" t="s">
        <v>41254</v>
      </c>
    </row>
    <row r="4419" spans="1:24">
      <c r="A4419">
        <f>HYPERLINK("https://www.philgeps.gov.ph/GEPSNONPILOT/Tender/SplashBidNoticeAbstractUI.aspx?menuIndex=3&amp;refID=7075741&amp;Result=3","7075741")</f>
        <v>0</v>
      </c>
      <c r="B4419" t="s">
        <v>1605</v>
      </c>
      <c r="C4419" t="s">
        <v>6771</v>
      </c>
      <c r="D4419" t="s">
        <v>16657</v>
      </c>
      <c r="E4419" t="s">
        <v>20688</v>
      </c>
      <c r="F4419" t="s">
        <v>28669</v>
      </c>
      <c r="G4419" t="s">
        <v>28675</v>
      </c>
      <c r="H4419" t="s">
        <v>28686</v>
      </c>
      <c r="I4419" t="s">
        <v>28689</v>
      </c>
      <c r="J4419" t="s">
        <v>31658</v>
      </c>
      <c r="K4419" t="s">
        <v>37209</v>
      </c>
      <c r="M4419" t="s">
        <v>39189</v>
      </c>
      <c r="N4419" t="s">
        <v>41249</v>
      </c>
      <c r="O4419" t="s">
        <v>41250</v>
      </c>
      <c r="P4419">
        <v>0</v>
      </c>
      <c r="Q4419">
        <v>1</v>
      </c>
      <c r="R4419" t="s">
        <v>41252</v>
      </c>
      <c r="S4419" t="s">
        <v>41383</v>
      </c>
      <c r="T4419" t="s">
        <v>42757</v>
      </c>
      <c r="U4419" t="s">
        <v>46887</v>
      </c>
      <c r="V4419" t="s">
        <v>54557</v>
      </c>
      <c r="W4419" t="s">
        <v>39189</v>
      </c>
      <c r="X4419" t="s">
        <v>41254</v>
      </c>
    </row>
    <row r="4420" spans="1:24">
      <c r="A4420">
        <f>HYPERLINK("https://www.philgeps.gov.ph/GEPSNONPILOT/Tender/SplashBidNoticeAbstractUI.aspx?menuIndex=3&amp;refID=7075740&amp;Result=3","7075740")</f>
        <v>0</v>
      </c>
      <c r="B4420" t="s">
        <v>206</v>
      </c>
      <c r="C4420" t="s">
        <v>7619</v>
      </c>
      <c r="D4420" t="s">
        <v>16617</v>
      </c>
      <c r="E4420" t="s">
        <v>20689</v>
      </c>
      <c r="F4420" t="s">
        <v>28669</v>
      </c>
      <c r="G4420" t="s">
        <v>28677</v>
      </c>
      <c r="H4420" t="s">
        <v>9998</v>
      </c>
      <c r="I4420" t="s">
        <v>7352</v>
      </c>
      <c r="J4420" t="s">
        <v>29547</v>
      </c>
      <c r="K4420" t="s">
        <v>37204</v>
      </c>
      <c r="M4420" t="s">
        <v>38031</v>
      </c>
      <c r="N4420" t="s">
        <v>41249</v>
      </c>
      <c r="O4420" t="s">
        <v>41250</v>
      </c>
      <c r="P4420">
        <v>0</v>
      </c>
      <c r="Q4420">
        <v>0</v>
      </c>
      <c r="R4420" t="s">
        <v>41252</v>
      </c>
      <c r="S4420" t="s">
        <v>41383</v>
      </c>
      <c r="T4420" t="s">
        <v>42771</v>
      </c>
      <c r="U4420" t="s">
        <v>46888</v>
      </c>
      <c r="W4420" t="s">
        <v>38031</v>
      </c>
      <c r="X4420" t="s">
        <v>41254</v>
      </c>
    </row>
    <row r="4421" spans="1:24">
      <c r="A4421">
        <f>HYPERLINK("https://www.philgeps.gov.ph/GEPSNONPILOT/Tender/SplashBidNoticeAbstractUI.aspx?menuIndex=3&amp;refID=7075738&amp;Result=3","7075738")</f>
        <v>0</v>
      </c>
      <c r="B4421" t="s">
        <v>1605</v>
      </c>
      <c r="C4421" t="s">
        <v>5192</v>
      </c>
      <c r="D4421" t="s">
        <v>16657</v>
      </c>
      <c r="E4421" t="s">
        <v>20690</v>
      </c>
      <c r="F4421" t="s">
        <v>28669</v>
      </c>
      <c r="G4421" t="s">
        <v>28675</v>
      </c>
      <c r="H4421" t="s">
        <v>28686</v>
      </c>
      <c r="I4421" t="s">
        <v>28689</v>
      </c>
      <c r="J4421" t="s">
        <v>31659</v>
      </c>
      <c r="K4421" t="s">
        <v>37209</v>
      </c>
      <c r="M4421" t="s">
        <v>39189</v>
      </c>
      <c r="N4421" t="s">
        <v>41249</v>
      </c>
      <c r="O4421" t="s">
        <v>41250</v>
      </c>
      <c r="P4421">
        <v>0</v>
      </c>
      <c r="Q4421">
        <v>1</v>
      </c>
      <c r="R4421" t="s">
        <v>41252</v>
      </c>
      <c r="S4421" t="s">
        <v>41383</v>
      </c>
      <c r="T4421" t="s">
        <v>42757</v>
      </c>
      <c r="U4421" t="s">
        <v>46889</v>
      </c>
      <c r="V4421" t="s">
        <v>54485</v>
      </c>
      <c r="W4421" t="s">
        <v>39189</v>
      </c>
      <c r="X4421" t="s">
        <v>41254</v>
      </c>
    </row>
    <row r="4422" spans="1:24">
      <c r="A4422">
        <f>HYPERLINK("https://www.philgeps.gov.ph/GEPSNONPILOT/Tender/SplashBidNoticeAbstractUI.aspx?menuIndex=3&amp;refID=7075651&amp;Result=3","7075651")</f>
        <v>0</v>
      </c>
      <c r="B4422" t="s">
        <v>1560</v>
      </c>
      <c r="C4422" t="s">
        <v>7620</v>
      </c>
      <c r="D4422" t="s">
        <v>16641</v>
      </c>
      <c r="E4422" t="s">
        <v>20691</v>
      </c>
      <c r="F4422" t="s">
        <v>28669</v>
      </c>
      <c r="G4422" t="s">
        <v>28675</v>
      </c>
      <c r="H4422" t="s">
        <v>28686</v>
      </c>
      <c r="I4422" t="s">
        <v>28689</v>
      </c>
      <c r="J4422" t="s">
        <v>31660</v>
      </c>
      <c r="K4422" t="s">
        <v>37215</v>
      </c>
      <c r="M4422" t="s">
        <v>39137</v>
      </c>
      <c r="N4422" t="s">
        <v>41249</v>
      </c>
      <c r="O4422" t="s">
        <v>41250</v>
      </c>
      <c r="P4422">
        <v>0</v>
      </c>
      <c r="Q4422">
        <v>2</v>
      </c>
      <c r="R4422" t="s">
        <v>41252</v>
      </c>
      <c r="S4422" t="s">
        <v>41383</v>
      </c>
      <c r="T4422" t="s">
        <v>42808</v>
      </c>
      <c r="U4422" t="s">
        <v>46890</v>
      </c>
      <c r="W4422" t="s">
        <v>39137</v>
      </c>
      <c r="X4422" t="s">
        <v>41254</v>
      </c>
    </row>
    <row r="4423" spans="1:24">
      <c r="A4423">
        <f>HYPERLINK("https://www.philgeps.gov.ph/GEPSNONPILOT/Tender/SplashBidNoticeAbstractUI.aspx?menuIndex=3&amp;refID=7075744&amp;Result=3","7075744")</f>
        <v>0</v>
      </c>
      <c r="B4423" t="s">
        <v>1606</v>
      </c>
      <c r="C4423" t="s">
        <v>7621</v>
      </c>
      <c r="E4423" t="s">
        <v>20692</v>
      </c>
      <c r="F4423" t="s">
        <v>28669</v>
      </c>
      <c r="G4423" t="s">
        <v>28675</v>
      </c>
      <c r="H4423" t="s">
        <v>9998</v>
      </c>
      <c r="I4423" t="s">
        <v>28733</v>
      </c>
      <c r="J4423" t="s">
        <v>29332</v>
      </c>
      <c r="K4423" t="s">
        <v>37209</v>
      </c>
      <c r="M4423" t="s">
        <v>39190</v>
      </c>
      <c r="N4423" t="s">
        <v>41249</v>
      </c>
      <c r="O4423" t="s">
        <v>41250</v>
      </c>
      <c r="P4423">
        <v>0</v>
      </c>
      <c r="Q4423">
        <v>11</v>
      </c>
      <c r="R4423" t="s">
        <v>41252</v>
      </c>
      <c r="S4423" t="s">
        <v>41383</v>
      </c>
      <c r="T4423" t="s">
        <v>42855</v>
      </c>
      <c r="U4423" t="s">
        <v>46891</v>
      </c>
      <c r="W4423" t="s">
        <v>39190</v>
      </c>
      <c r="X4423" t="s">
        <v>41254</v>
      </c>
    </row>
    <row r="4424" spans="1:24">
      <c r="A4424">
        <f>HYPERLINK("https://www.philgeps.gov.ph/GEPSNONPILOT/Tender/SplashBidNoticeAbstractUI.aspx?menuIndex=3&amp;refID=7075742&amp;Result=3","7075742")</f>
        <v>0</v>
      </c>
      <c r="B4424" t="s">
        <v>662</v>
      </c>
      <c r="C4424" t="s">
        <v>7622</v>
      </c>
      <c r="D4424" t="s">
        <v>16635</v>
      </c>
      <c r="E4424" t="s">
        <v>20693</v>
      </c>
      <c r="F4424" t="s">
        <v>28669</v>
      </c>
      <c r="G4424" t="s">
        <v>28676</v>
      </c>
      <c r="H4424" t="s">
        <v>9998</v>
      </c>
      <c r="I4424" t="s">
        <v>28690</v>
      </c>
      <c r="J4424" t="s">
        <v>28878</v>
      </c>
      <c r="K4424" t="s">
        <v>37206</v>
      </c>
      <c r="M4424" t="s">
        <v>38164</v>
      </c>
      <c r="N4424" t="s">
        <v>41249</v>
      </c>
      <c r="O4424" t="s">
        <v>41250</v>
      </c>
      <c r="P4424">
        <v>0</v>
      </c>
      <c r="Q4424">
        <v>0</v>
      </c>
      <c r="R4424" t="s">
        <v>41252</v>
      </c>
      <c r="S4424" t="s">
        <v>41383</v>
      </c>
      <c r="T4424" t="s">
        <v>42759</v>
      </c>
      <c r="U4424" t="s">
        <v>46892</v>
      </c>
      <c r="W4424" t="s">
        <v>38164</v>
      </c>
      <c r="X4424" t="s">
        <v>41254</v>
      </c>
    </row>
    <row r="4425" spans="1:24">
      <c r="A4425">
        <f>HYPERLINK("https://www.philgeps.gov.ph/GEPSNONPILOT/Tender/SplashBidNoticeAbstractUI.aspx?menuIndex=3&amp;refID=7075811&amp;Result=3","7075811")</f>
        <v>0</v>
      </c>
      <c r="B4425" t="s">
        <v>1607</v>
      </c>
      <c r="C4425" t="s">
        <v>7623</v>
      </c>
      <c r="D4425" t="s">
        <v>16673</v>
      </c>
      <c r="E4425" t="s">
        <v>20694</v>
      </c>
      <c r="F4425" t="s">
        <v>28669</v>
      </c>
      <c r="G4425" t="s">
        <v>28675</v>
      </c>
      <c r="H4425" t="s">
        <v>28686</v>
      </c>
      <c r="I4425" t="s">
        <v>28689</v>
      </c>
      <c r="J4425" t="s">
        <v>30755</v>
      </c>
      <c r="K4425" t="s">
        <v>37212</v>
      </c>
      <c r="M4425" t="s">
        <v>39191</v>
      </c>
      <c r="N4425" t="s">
        <v>41249</v>
      </c>
      <c r="O4425" t="s">
        <v>41250</v>
      </c>
      <c r="P4425">
        <v>0</v>
      </c>
      <c r="Q4425">
        <v>0</v>
      </c>
      <c r="R4425" t="s">
        <v>41252</v>
      </c>
      <c r="S4425" t="s">
        <v>41383</v>
      </c>
      <c r="T4425" t="s">
        <v>42742</v>
      </c>
      <c r="U4425" t="s">
        <v>46893</v>
      </c>
      <c r="W4425" t="s">
        <v>39191</v>
      </c>
      <c r="X4425" t="s">
        <v>41254</v>
      </c>
    </row>
    <row r="4426" spans="1:24">
      <c r="A4426">
        <f>HYPERLINK("https://www.philgeps.gov.ph/GEPSNONPILOT/Tender/SplashBidNoticeAbstractUI.aspx?menuIndex=3&amp;refID=7075809&amp;Result=3","7075809")</f>
        <v>0</v>
      </c>
      <c r="B4426" t="s">
        <v>1608</v>
      </c>
      <c r="C4426" t="s">
        <v>7624</v>
      </c>
      <c r="E4426" t="s">
        <v>20695</v>
      </c>
      <c r="F4426" t="s">
        <v>28669</v>
      </c>
      <c r="G4426" t="s">
        <v>28676</v>
      </c>
      <c r="H4426" t="s">
        <v>28686</v>
      </c>
      <c r="I4426" t="s">
        <v>28725</v>
      </c>
      <c r="J4426" t="s">
        <v>31661</v>
      </c>
      <c r="K4426" t="s">
        <v>37220</v>
      </c>
      <c r="M4426" t="s">
        <v>39192</v>
      </c>
      <c r="N4426" t="s">
        <v>41249</v>
      </c>
      <c r="O4426" t="s">
        <v>41250</v>
      </c>
      <c r="P4426">
        <v>0</v>
      </c>
      <c r="Q4426">
        <v>0</v>
      </c>
      <c r="R4426" t="s">
        <v>41252</v>
      </c>
      <c r="S4426" t="s">
        <v>41383</v>
      </c>
      <c r="T4426" t="s">
        <v>42836</v>
      </c>
      <c r="U4426" t="s">
        <v>46894</v>
      </c>
      <c r="W4426" t="s">
        <v>55962</v>
      </c>
      <c r="X4426" t="s">
        <v>41254</v>
      </c>
    </row>
    <row r="4427" spans="1:24">
      <c r="A4427">
        <f>HYPERLINK("https://www.philgeps.gov.ph/GEPSNONPILOT/Tender/SplashBidNoticeAbstractUI.aspx?menuIndex=3&amp;refID=7075810&amp;Result=3","7075810")</f>
        <v>0</v>
      </c>
      <c r="B4427" t="s">
        <v>1585</v>
      </c>
      <c r="C4427" t="s">
        <v>7625</v>
      </c>
      <c r="D4427" t="s">
        <v>16618</v>
      </c>
      <c r="E4427" t="s">
        <v>20696</v>
      </c>
      <c r="F4427" t="s">
        <v>28669</v>
      </c>
      <c r="G4427" t="s">
        <v>28675</v>
      </c>
      <c r="H4427" t="s">
        <v>28686</v>
      </c>
      <c r="I4427" t="s">
        <v>28689</v>
      </c>
      <c r="J4427" t="s">
        <v>30304</v>
      </c>
      <c r="K4427" t="s">
        <v>37349</v>
      </c>
      <c r="M4427" t="s">
        <v>39166</v>
      </c>
      <c r="N4427" t="s">
        <v>41249</v>
      </c>
      <c r="O4427" t="s">
        <v>41250</v>
      </c>
      <c r="P4427">
        <v>0</v>
      </c>
      <c r="Q4427">
        <v>1</v>
      </c>
      <c r="R4427" t="s">
        <v>41252</v>
      </c>
      <c r="S4427" t="s">
        <v>41383</v>
      </c>
      <c r="T4427" t="s">
        <v>42722</v>
      </c>
      <c r="U4427" t="s">
        <v>46895</v>
      </c>
      <c r="W4427" t="s">
        <v>39166</v>
      </c>
      <c r="X4427" t="s">
        <v>41254</v>
      </c>
    </row>
    <row r="4428" spans="1:24">
      <c r="A4428">
        <f>HYPERLINK("https://www.philgeps.gov.ph/GEPSNONPILOT/Tender/SplashBidNoticeAbstractUI.aspx?menuIndex=3&amp;refID=7075808&amp;Result=3","7075808")</f>
        <v>0</v>
      </c>
      <c r="B4428" t="s">
        <v>1609</v>
      </c>
      <c r="C4428" t="s">
        <v>7626</v>
      </c>
      <c r="D4428" t="s">
        <v>16619</v>
      </c>
      <c r="E4428" t="s">
        <v>16904</v>
      </c>
      <c r="F4428" t="s">
        <v>28669</v>
      </c>
      <c r="G4428" t="s">
        <v>28680</v>
      </c>
      <c r="H4428" t="s">
        <v>9998</v>
      </c>
      <c r="I4428" t="s">
        <v>28688</v>
      </c>
      <c r="J4428" t="s">
        <v>31662</v>
      </c>
      <c r="K4428" t="s">
        <v>37234</v>
      </c>
      <c r="M4428" t="s">
        <v>39193</v>
      </c>
      <c r="N4428" t="s">
        <v>41249</v>
      </c>
      <c r="O4428" t="s">
        <v>41250</v>
      </c>
      <c r="P4428">
        <v>0</v>
      </c>
      <c r="Q4428">
        <v>1</v>
      </c>
      <c r="R4428" t="s">
        <v>41252</v>
      </c>
      <c r="S4428" t="s">
        <v>41383</v>
      </c>
      <c r="T4428" t="s">
        <v>42741</v>
      </c>
      <c r="U4428" t="s">
        <v>46896</v>
      </c>
      <c r="W4428" t="s">
        <v>39193</v>
      </c>
      <c r="X4428" t="s">
        <v>41254</v>
      </c>
    </row>
    <row r="4429" spans="1:24">
      <c r="A4429">
        <f>HYPERLINK("https://www.philgeps.gov.ph/GEPSNONPILOT/Tender/SplashBidNoticeAbstractUI.aspx?menuIndex=3&amp;refID=7075698&amp;Result=3","7075698")</f>
        <v>0</v>
      </c>
      <c r="B4429" t="s">
        <v>1610</v>
      </c>
      <c r="C4429" t="s">
        <v>7627</v>
      </c>
      <c r="D4429" t="s">
        <v>16677</v>
      </c>
      <c r="E4429" t="s">
        <v>20697</v>
      </c>
      <c r="F4429" t="s">
        <v>28671</v>
      </c>
      <c r="G4429" t="s">
        <v>28677</v>
      </c>
      <c r="H4429" t="s">
        <v>9998</v>
      </c>
      <c r="I4429" t="s">
        <v>28697</v>
      </c>
      <c r="J4429" t="s">
        <v>31663</v>
      </c>
      <c r="K4429" t="s">
        <v>37206</v>
      </c>
      <c r="M4429" t="s">
        <v>39194</v>
      </c>
      <c r="N4429" t="s">
        <v>41249</v>
      </c>
      <c r="O4429" t="s">
        <v>41250</v>
      </c>
      <c r="P4429">
        <v>0</v>
      </c>
      <c r="Q4429">
        <v>8</v>
      </c>
      <c r="R4429" t="s">
        <v>41252</v>
      </c>
      <c r="S4429" t="s">
        <v>41383</v>
      </c>
      <c r="T4429" t="s">
        <v>42827</v>
      </c>
      <c r="U4429" t="s">
        <v>46897</v>
      </c>
      <c r="V4429" t="s">
        <v>54741</v>
      </c>
      <c r="W4429" t="s">
        <v>39194</v>
      </c>
      <c r="X4429" t="s">
        <v>41254</v>
      </c>
    </row>
    <row r="4430" spans="1:24">
      <c r="A4430">
        <f>HYPERLINK("https://www.philgeps.gov.ph/GEPSNONPILOT/Tender/SplashBidNoticeAbstractUI.aspx?menuIndex=3&amp;refID=7075801&amp;Result=3","7075801")</f>
        <v>0</v>
      </c>
      <c r="B4430" t="s">
        <v>1611</v>
      </c>
      <c r="C4430" t="s">
        <v>3808</v>
      </c>
      <c r="D4430" t="s">
        <v>16608</v>
      </c>
      <c r="E4430" t="s">
        <v>20698</v>
      </c>
      <c r="F4430" t="s">
        <v>28669</v>
      </c>
      <c r="G4430" t="s">
        <v>28676</v>
      </c>
      <c r="H4430" t="s">
        <v>9998</v>
      </c>
      <c r="I4430" t="s">
        <v>28693</v>
      </c>
      <c r="J4430" t="s">
        <v>31664</v>
      </c>
      <c r="K4430" t="s">
        <v>37209</v>
      </c>
      <c r="M4430" t="s">
        <v>39195</v>
      </c>
      <c r="N4430" t="s">
        <v>41249</v>
      </c>
      <c r="O4430" t="s">
        <v>41250</v>
      </c>
      <c r="P4430">
        <v>0</v>
      </c>
      <c r="Q4430">
        <v>18</v>
      </c>
      <c r="R4430" t="s">
        <v>41252</v>
      </c>
      <c r="S4430" t="s">
        <v>41383</v>
      </c>
      <c r="T4430" t="s">
        <v>42673</v>
      </c>
      <c r="U4430" t="s">
        <v>46898</v>
      </c>
      <c r="W4430" t="s">
        <v>39195</v>
      </c>
      <c r="X4430" t="s">
        <v>41254</v>
      </c>
    </row>
    <row r="4431" spans="1:24">
      <c r="A4431">
        <f>HYPERLINK("https://www.philgeps.gov.ph/GEPSNONPILOT/Tender/SplashBidNoticeAbstractUI.aspx?menuIndex=3&amp;refID=7075799&amp;Result=3","7075799")</f>
        <v>0</v>
      </c>
      <c r="B4431" t="s">
        <v>1589</v>
      </c>
      <c r="C4431" t="s">
        <v>7628</v>
      </c>
      <c r="D4431" t="s">
        <v>16643</v>
      </c>
      <c r="E4431" t="s">
        <v>20699</v>
      </c>
      <c r="F4431" t="s">
        <v>28669</v>
      </c>
      <c r="G4431" t="s">
        <v>28675</v>
      </c>
      <c r="H4431" t="s">
        <v>28686</v>
      </c>
      <c r="I4431" t="s">
        <v>28689</v>
      </c>
      <c r="J4431" t="s">
        <v>31665</v>
      </c>
      <c r="K4431" t="s">
        <v>37209</v>
      </c>
      <c r="L4431" t="s">
        <v>1589</v>
      </c>
      <c r="M4431" t="s">
        <v>39172</v>
      </c>
      <c r="N4431" t="s">
        <v>41249</v>
      </c>
      <c r="O4431" t="s">
        <v>41250</v>
      </c>
      <c r="P4431">
        <v>0</v>
      </c>
      <c r="Q4431">
        <v>0</v>
      </c>
      <c r="R4431" t="s">
        <v>41252</v>
      </c>
      <c r="S4431" t="s">
        <v>41383</v>
      </c>
      <c r="T4431" t="s">
        <v>42688</v>
      </c>
      <c r="U4431" t="s">
        <v>46858</v>
      </c>
      <c r="V4431" t="s">
        <v>54734</v>
      </c>
      <c r="W4431" t="s">
        <v>39172</v>
      </c>
      <c r="X4431" t="s">
        <v>41254</v>
      </c>
    </row>
    <row r="4432" spans="1:24">
      <c r="A4432">
        <f>HYPERLINK("https://www.philgeps.gov.ph/GEPSNONPILOT/Tender/SplashBidNoticeAbstractUI.aspx?menuIndex=3&amp;refID=7075739&amp;Result=3","7075739")</f>
        <v>0</v>
      </c>
      <c r="B4432" t="s">
        <v>1593</v>
      </c>
      <c r="C4432" t="s">
        <v>7629</v>
      </c>
      <c r="D4432" t="s">
        <v>16631</v>
      </c>
      <c r="E4432" t="s">
        <v>20700</v>
      </c>
      <c r="F4432" t="s">
        <v>28669</v>
      </c>
      <c r="G4432" t="s">
        <v>28676</v>
      </c>
      <c r="H4432" t="s">
        <v>9998</v>
      </c>
      <c r="I4432" t="s">
        <v>28734</v>
      </c>
      <c r="J4432" t="s">
        <v>28877</v>
      </c>
      <c r="K4432" t="s">
        <v>37227</v>
      </c>
      <c r="M4432" t="s">
        <v>39176</v>
      </c>
      <c r="N4432" t="s">
        <v>41249</v>
      </c>
      <c r="O4432" t="s">
        <v>41250</v>
      </c>
      <c r="P4432">
        <v>0</v>
      </c>
      <c r="Q4432">
        <v>0</v>
      </c>
      <c r="R4432" t="s">
        <v>41252</v>
      </c>
      <c r="S4432" t="s">
        <v>41383</v>
      </c>
      <c r="T4432" t="s">
        <v>42774</v>
      </c>
      <c r="U4432" t="s">
        <v>46899</v>
      </c>
      <c r="V4432" t="s">
        <v>54736</v>
      </c>
      <c r="W4432" t="s">
        <v>55961</v>
      </c>
      <c r="X4432" t="s">
        <v>41254</v>
      </c>
    </row>
    <row r="4433" spans="1:24">
      <c r="A4433">
        <f>HYPERLINK("https://www.philgeps.gov.ph/GEPSNONPILOT/Tender/SplashBidNoticeAbstractUI.aspx?menuIndex=3&amp;refID=7075798&amp;Result=3","7075798")</f>
        <v>0</v>
      </c>
      <c r="B4433" t="s">
        <v>1596</v>
      </c>
      <c r="C4433" t="s">
        <v>7630</v>
      </c>
      <c r="D4433" t="s">
        <v>16646</v>
      </c>
      <c r="E4433" t="s">
        <v>20701</v>
      </c>
      <c r="F4433" t="s">
        <v>28669</v>
      </c>
      <c r="G4433" t="s">
        <v>28676</v>
      </c>
      <c r="H4433" t="s">
        <v>9998</v>
      </c>
      <c r="I4433" t="s">
        <v>28694</v>
      </c>
      <c r="J4433" t="s">
        <v>31666</v>
      </c>
      <c r="K4433" t="s">
        <v>37208</v>
      </c>
      <c r="M4433" t="s">
        <v>39179</v>
      </c>
      <c r="N4433" t="s">
        <v>41249</v>
      </c>
      <c r="O4433" t="s">
        <v>41250</v>
      </c>
      <c r="P4433">
        <v>0</v>
      </c>
      <c r="Q4433">
        <v>0</v>
      </c>
      <c r="R4433" t="s">
        <v>41252</v>
      </c>
      <c r="S4433" t="s">
        <v>41383</v>
      </c>
      <c r="T4433" t="s">
        <v>42701</v>
      </c>
      <c r="U4433" t="s">
        <v>46868</v>
      </c>
      <c r="W4433" t="s">
        <v>39179</v>
      </c>
      <c r="X4433" t="s">
        <v>41254</v>
      </c>
    </row>
    <row r="4434" spans="1:24">
      <c r="A4434">
        <f>HYPERLINK("https://www.philgeps.gov.ph/GEPSNONPILOT/Tender/SplashBidNoticeAbstractUI.aspx?menuIndex=3&amp;refID=7075804&amp;Result=3","7075804")</f>
        <v>0</v>
      </c>
      <c r="B4434" t="s">
        <v>1589</v>
      </c>
      <c r="C4434" t="s">
        <v>7631</v>
      </c>
      <c r="D4434" t="s">
        <v>16643</v>
      </c>
      <c r="E4434" t="s">
        <v>20702</v>
      </c>
      <c r="F4434" t="s">
        <v>28669</v>
      </c>
      <c r="G4434" t="s">
        <v>28675</v>
      </c>
      <c r="H4434" t="s">
        <v>28686</v>
      </c>
      <c r="I4434" t="s">
        <v>28689</v>
      </c>
      <c r="J4434" t="s">
        <v>30122</v>
      </c>
      <c r="K4434" t="s">
        <v>37209</v>
      </c>
      <c r="L4434" t="s">
        <v>1589</v>
      </c>
      <c r="M4434" t="s">
        <v>39172</v>
      </c>
      <c r="N4434" t="s">
        <v>41249</v>
      </c>
      <c r="O4434" t="s">
        <v>41250</v>
      </c>
      <c r="P4434">
        <v>0</v>
      </c>
      <c r="Q4434">
        <v>2</v>
      </c>
      <c r="R4434" t="s">
        <v>41252</v>
      </c>
      <c r="S4434" t="s">
        <v>41383</v>
      </c>
      <c r="T4434" t="s">
        <v>42688</v>
      </c>
      <c r="U4434" t="s">
        <v>46858</v>
      </c>
      <c r="V4434" t="s">
        <v>54734</v>
      </c>
      <c r="W4434" t="s">
        <v>39172</v>
      </c>
      <c r="X4434" t="s">
        <v>41254</v>
      </c>
    </row>
    <row r="4435" spans="1:24">
      <c r="A4435">
        <f>HYPERLINK("https://www.philgeps.gov.ph/GEPSNONPILOT/Tender/SplashBidNoticeAbstractUI.aspx?menuIndex=3&amp;refID=7075797&amp;Result=3","7075797")</f>
        <v>0</v>
      </c>
      <c r="B4435" t="s">
        <v>1612</v>
      </c>
      <c r="C4435" t="s">
        <v>7632</v>
      </c>
      <c r="D4435" t="s">
        <v>16608</v>
      </c>
      <c r="E4435" t="s">
        <v>20703</v>
      </c>
      <c r="F4435" t="s">
        <v>28669</v>
      </c>
      <c r="G4435" t="s">
        <v>28675</v>
      </c>
      <c r="H4435" t="s">
        <v>28685</v>
      </c>
      <c r="I4435" t="s">
        <v>28762</v>
      </c>
      <c r="J4435" t="s">
        <v>29040</v>
      </c>
      <c r="K4435" t="s">
        <v>37204</v>
      </c>
      <c r="M4435" t="s">
        <v>39196</v>
      </c>
      <c r="N4435" t="s">
        <v>41249</v>
      </c>
      <c r="O4435" t="s">
        <v>41250</v>
      </c>
      <c r="P4435">
        <v>0</v>
      </c>
      <c r="Q4435">
        <v>0</v>
      </c>
      <c r="R4435" t="s">
        <v>41252</v>
      </c>
      <c r="S4435" t="s">
        <v>41383</v>
      </c>
      <c r="T4435" t="s">
        <v>42764</v>
      </c>
      <c r="U4435" t="s">
        <v>46900</v>
      </c>
      <c r="W4435" t="s">
        <v>39196</v>
      </c>
      <c r="X4435" t="s">
        <v>41254</v>
      </c>
    </row>
    <row r="4436" spans="1:24">
      <c r="A4436">
        <f>HYPERLINK("https://www.philgeps.gov.ph/GEPSNONPILOT/Tender/SplashBidNoticeAbstractUI.aspx?menuIndex=3&amp;refID=7075802&amp;Result=3","7075802")</f>
        <v>0</v>
      </c>
      <c r="B4436" t="s">
        <v>376</v>
      </c>
      <c r="C4436" t="s">
        <v>7633</v>
      </c>
      <c r="D4436" t="s">
        <v>16608</v>
      </c>
      <c r="E4436" t="s">
        <v>20704</v>
      </c>
      <c r="F4436" t="s">
        <v>28669</v>
      </c>
      <c r="G4436" t="s">
        <v>28676</v>
      </c>
      <c r="H4436" t="s">
        <v>9998</v>
      </c>
      <c r="I4436" t="s">
        <v>5213</v>
      </c>
      <c r="J4436" t="s">
        <v>31667</v>
      </c>
      <c r="K4436" t="s">
        <v>37206</v>
      </c>
      <c r="M4436" t="s">
        <v>38333</v>
      </c>
      <c r="N4436" t="s">
        <v>41249</v>
      </c>
      <c r="O4436" t="s">
        <v>41250</v>
      </c>
      <c r="P4436">
        <v>0</v>
      </c>
      <c r="Q4436">
        <v>1</v>
      </c>
      <c r="R4436" t="s">
        <v>41252</v>
      </c>
      <c r="S4436" t="s">
        <v>41383</v>
      </c>
      <c r="T4436" t="s">
        <v>42743</v>
      </c>
      <c r="U4436" t="s">
        <v>46901</v>
      </c>
      <c r="W4436" t="s">
        <v>38333</v>
      </c>
      <c r="X4436" t="s">
        <v>41254</v>
      </c>
    </row>
    <row r="4437" spans="1:24">
      <c r="A4437">
        <f>HYPERLINK("https://www.philgeps.gov.ph/GEPSNONPILOT/Tender/SplashBidNoticeAbstractUI.aspx?menuIndex=3&amp;refID=7075796&amp;Result=3","7075796")</f>
        <v>0</v>
      </c>
      <c r="B4437" t="s">
        <v>376</v>
      </c>
      <c r="C4437" t="s">
        <v>7634</v>
      </c>
      <c r="D4437" t="s">
        <v>16608</v>
      </c>
      <c r="E4437" t="s">
        <v>20705</v>
      </c>
      <c r="F4437" t="s">
        <v>28669</v>
      </c>
      <c r="G4437" t="s">
        <v>28676</v>
      </c>
      <c r="H4437" t="s">
        <v>9998</v>
      </c>
      <c r="I4437" t="s">
        <v>28754</v>
      </c>
      <c r="J4437" t="s">
        <v>31435</v>
      </c>
      <c r="K4437" t="s">
        <v>37205</v>
      </c>
      <c r="M4437" t="s">
        <v>38333</v>
      </c>
      <c r="N4437" t="s">
        <v>41249</v>
      </c>
      <c r="O4437" t="s">
        <v>41250</v>
      </c>
      <c r="P4437">
        <v>0</v>
      </c>
      <c r="Q4437">
        <v>5</v>
      </c>
      <c r="R4437" t="s">
        <v>41252</v>
      </c>
      <c r="S4437" t="s">
        <v>41383</v>
      </c>
      <c r="T4437" t="s">
        <v>42743</v>
      </c>
      <c r="U4437" t="s">
        <v>46902</v>
      </c>
      <c r="W4437" t="s">
        <v>38333</v>
      </c>
      <c r="X4437" t="s">
        <v>41254</v>
      </c>
    </row>
    <row r="4438" spans="1:24">
      <c r="A4438">
        <f>HYPERLINK("https://www.philgeps.gov.ph/GEPSNONPILOT/Tender/SplashBidNoticeAbstractUI.aspx?menuIndex=3&amp;refID=7075824&amp;Result=3","7075824")</f>
        <v>0</v>
      </c>
      <c r="B4438" t="s">
        <v>125</v>
      </c>
      <c r="C4438" t="s">
        <v>3690</v>
      </c>
      <c r="D4438" t="s">
        <v>16660</v>
      </c>
      <c r="E4438" t="s">
        <v>20706</v>
      </c>
      <c r="F4438" t="s">
        <v>28669</v>
      </c>
      <c r="G4438" t="s">
        <v>28677</v>
      </c>
      <c r="H4438" t="s">
        <v>9998</v>
      </c>
      <c r="I4438" t="s">
        <v>28694</v>
      </c>
      <c r="J4438" t="s">
        <v>31668</v>
      </c>
      <c r="K4438" t="s">
        <v>37210</v>
      </c>
      <c r="M4438" t="s">
        <v>37601</v>
      </c>
      <c r="N4438" t="s">
        <v>41249</v>
      </c>
      <c r="O4438" t="s">
        <v>41250</v>
      </c>
      <c r="P4438">
        <v>0</v>
      </c>
      <c r="Q4438">
        <v>1</v>
      </c>
      <c r="R4438" t="s">
        <v>41252</v>
      </c>
      <c r="S4438" t="s">
        <v>41383</v>
      </c>
      <c r="T4438" t="s">
        <v>42729</v>
      </c>
      <c r="U4438" t="s">
        <v>43373</v>
      </c>
      <c r="W4438" t="s">
        <v>37601</v>
      </c>
      <c r="X4438" t="s">
        <v>41254</v>
      </c>
    </row>
    <row r="4439" spans="1:24">
      <c r="A4439">
        <f>HYPERLINK("https://www.philgeps.gov.ph/GEPSNONPILOT/Tender/SplashBidNoticeAbstractUI.aspx?menuIndex=3&amp;refID=7075761&amp;Result=3","7075761")</f>
        <v>0</v>
      </c>
      <c r="B4439" t="s">
        <v>1585</v>
      </c>
      <c r="C4439" t="s">
        <v>7635</v>
      </c>
      <c r="D4439" t="s">
        <v>16618</v>
      </c>
      <c r="E4439" t="s">
        <v>20707</v>
      </c>
      <c r="F4439" t="s">
        <v>28669</v>
      </c>
      <c r="G4439" t="s">
        <v>28675</v>
      </c>
      <c r="H4439" t="s">
        <v>28686</v>
      </c>
      <c r="I4439" t="s">
        <v>28689</v>
      </c>
      <c r="J4439" t="s">
        <v>31669</v>
      </c>
      <c r="K4439" t="s">
        <v>37349</v>
      </c>
      <c r="M4439" t="s">
        <v>39166</v>
      </c>
      <c r="N4439" t="s">
        <v>41249</v>
      </c>
      <c r="O4439" t="s">
        <v>41250</v>
      </c>
      <c r="P4439">
        <v>0</v>
      </c>
      <c r="Q4439">
        <v>3</v>
      </c>
      <c r="R4439" t="s">
        <v>41252</v>
      </c>
      <c r="S4439" t="s">
        <v>41383</v>
      </c>
      <c r="T4439" t="s">
        <v>42722</v>
      </c>
      <c r="U4439" t="s">
        <v>46903</v>
      </c>
      <c r="W4439" t="s">
        <v>39166</v>
      </c>
      <c r="X4439" t="s">
        <v>41254</v>
      </c>
    </row>
    <row r="4440" spans="1:24">
      <c r="A4440">
        <f>HYPERLINK("https://www.philgeps.gov.ph/GEPSNONPILOT/Tender/SplashBidNoticeAbstractUI.aspx?menuIndex=3&amp;refID=7075807&amp;Result=3","7075807")</f>
        <v>0</v>
      </c>
      <c r="B4440" t="s">
        <v>1569</v>
      </c>
      <c r="C4440" t="s">
        <v>7636</v>
      </c>
      <c r="D4440" t="s">
        <v>16622</v>
      </c>
      <c r="E4440" t="s">
        <v>19464</v>
      </c>
      <c r="F4440" t="s">
        <v>28669</v>
      </c>
      <c r="G4440" t="s">
        <v>28675</v>
      </c>
      <c r="H4440" t="s">
        <v>9998</v>
      </c>
      <c r="I4440" t="s">
        <v>7352</v>
      </c>
      <c r="J4440" t="s">
        <v>29104</v>
      </c>
      <c r="K4440" t="s">
        <v>37209</v>
      </c>
      <c r="M4440" t="s">
        <v>39149</v>
      </c>
      <c r="N4440" t="s">
        <v>41249</v>
      </c>
      <c r="O4440" t="s">
        <v>41250</v>
      </c>
      <c r="P4440">
        <v>0</v>
      </c>
      <c r="Q4440">
        <v>0</v>
      </c>
      <c r="R4440" t="s">
        <v>41252</v>
      </c>
      <c r="S4440" t="s">
        <v>41383</v>
      </c>
      <c r="T4440" t="s">
        <v>42703</v>
      </c>
      <c r="U4440" t="s">
        <v>46904</v>
      </c>
      <c r="W4440" t="s">
        <v>39149</v>
      </c>
      <c r="X4440" t="s">
        <v>41254</v>
      </c>
    </row>
    <row r="4441" spans="1:24">
      <c r="A4441">
        <f>HYPERLINK("https://www.philgeps.gov.ph/GEPSNONPILOT/Tender/SplashBidNoticeAbstractUI.aspx?menuIndex=3&amp;refID=7075832&amp;Result=3","7075832")</f>
        <v>0</v>
      </c>
      <c r="B4441" t="s">
        <v>690</v>
      </c>
      <c r="C4441" t="s">
        <v>7637</v>
      </c>
      <c r="D4441" t="s">
        <v>16673</v>
      </c>
      <c r="E4441" t="s">
        <v>20708</v>
      </c>
      <c r="F4441" t="s">
        <v>28669</v>
      </c>
      <c r="G4441" t="s">
        <v>28675</v>
      </c>
      <c r="H4441" t="s">
        <v>9998</v>
      </c>
      <c r="I4441" t="s">
        <v>7352</v>
      </c>
      <c r="J4441" t="s">
        <v>31670</v>
      </c>
      <c r="K4441" t="s">
        <v>37206</v>
      </c>
      <c r="M4441" t="s">
        <v>38195</v>
      </c>
      <c r="N4441" t="s">
        <v>41249</v>
      </c>
      <c r="O4441" t="s">
        <v>41250</v>
      </c>
      <c r="P4441">
        <v>0</v>
      </c>
      <c r="Q4441">
        <v>1</v>
      </c>
      <c r="R4441" t="s">
        <v>41252</v>
      </c>
      <c r="S4441" t="s">
        <v>41383</v>
      </c>
      <c r="T4441" t="s">
        <v>42672</v>
      </c>
      <c r="U4441" t="s">
        <v>46905</v>
      </c>
      <c r="W4441" t="s">
        <v>38195</v>
      </c>
      <c r="X4441" t="s">
        <v>41254</v>
      </c>
    </row>
    <row r="4442" spans="1:24">
      <c r="A4442">
        <f>HYPERLINK("https://www.philgeps.gov.ph/GEPSNONPILOT/Tender/SplashBidNoticeAbstractUI.aspx?menuIndex=3&amp;refID=7075831&amp;Result=3","7075831")</f>
        <v>0</v>
      </c>
      <c r="B4442" t="s">
        <v>428</v>
      </c>
      <c r="C4442" t="s">
        <v>7638</v>
      </c>
      <c r="D4442" t="s">
        <v>16644</v>
      </c>
      <c r="E4442" t="s">
        <v>20709</v>
      </c>
      <c r="F4442" t="s">
        <v>28669</v>
      </c>
      <c r="G4442" t="s">
        <v>28678</v>
      </c>
      <c r="H4442" t="s">
        <v>9998</v>
      </c>
      <c r="I4442" t="s">
        <v>28688</v>
      </c>
      <c r="J4442" t="s">
        <v>31671</v>
      </c>
      <c r="K4442" t="s">
        <v>37209</v>
      </c>
      <c r="M4442" t="s">
        <v>37913</v>
      </c>
      <c r="N4442" t="s">
        <v>41249</v>
      </c>
      <c r="O4442" t="s">
        <v>41250</v>
      </c>
      <c r="P4442">
        <v>0</v>
      </c>
      <c r="Q4442">
        <v>2</v>
      </c>
      <c r="R4442" t="s">
        <v>41252</v>
      </c>
      <c r="S4442" t="s">
        <v>41383</v>
      </c>
      <c r="T4442" t="s">
        <v>42758</v>
      </c>
      <c r="U4442" t="s">
        <v>43363</v>
      </c>
      <c r="W4442" t="s">
        <v>37913</v>
      </c>
      <c r="X4442" t="s">
        <v>41254</v>
      </c>
    </row>
    <row r="4443" spans="1:24">
      <c r="A4443">
        <f>HYPERLINK("https://www.philgeps.gov.ph/GEPSNONPILOT/Tender/SplashBidNoticeAbstractUI.aspx?menuIndex=3&amp;refID=7075830&amp;Result=3","7075830")</f>
        <v>0</v>
      </c>
      <c r="B4443" t="s">
        <v>1307</v>
      </c>
      <c r="C4443" t="s">
        <v>7639</v>
      </c>
      <c r="D4443" t="s">
        <v>16608</v>
      </c>
      <c r="E4443" t="s">
        <v>20710</v>
      </c>
      <c r="F4443" t="s">
        <v>28669</v>
      </c>
      <c r="G4443" t="s">
        <v>28676</v>
      </c>
      <c r="H4443" t="s">
        <v>9998</v>
      </c>
      <c r="I4443" t="s">
        <v>28751</v>
      </c>
      <c r="J4443" t="s">
        <v>29040</v>
      </c>
      <c r="K4443" t="s">
        <v>37206</v>
      </c>
      <c r="M4443" t="s">
        <v>39073</v>
      </c>
      <c r="N4443" t="s">
        <v>41249</v>
      </c>
      <c r="O4443" t="s">
        <v>41250</v>
      </c>
      <c r="P4443">
        <v>0</v>
      </c>
      <c r="Q4443">
        <v>2</v>
      </c>
      <c r="R4443" t="s">
        <v>41252</v>
      </c>
      <c r="S4443" t="s">
        <v>41383</v>
      </c>
      <c r="T4443" t="s">
        <v>42701</v>
      </c>
      <c r="U4443" t="s">
        <v>46906</v>
      </c>
      <c r="W4443" t="s">
        <v>39073</v>
      </c>
      <c r="X4443" t="s">
        <v>41254</v>
      </c>
    </row>
    <row r="4444" spans="1:24">
      <c r="A4444">
        <f>HYPERLINK("https://www.philgeps.gov.ph/GEPSNONPILOT/Tender/SplashBidNoticeAbstractUI.aspx?menuIndex=3&amp;refID=7075828&amp;Result=3","7075828")</f>
        <v>0</v>
      </c>
      <c r="B4444" t="s">
        <v>428</v>
      </c>
      <c r="C4444" t="s">
        <v>7640</v>
      </c>
      <c r="D4444" t="s">
        <v>16644</v>
      </c>
      <c r="E4444" t="s">
        <v>20711</v>
      </c>
      <c r="F4444" t="s">
        <v>28669</v>
      </c>
      <c r="G4444" t="s">
        <v>28678</v>
      </c>
      <c r="H4444" t="s">
        <v>9998</v>
      </c>
      <c r="I4444" t="s">
        <v>6128</v>
      </c>
      <c r="J4444" t="s">
        <v>31672</v>
      </c>
      <c r="K4444" t="s">
        <v>37209</v>
      </c>
      <c r="M4444" t="s">
        <v>37913</v>
      </c>
      <c r="N4444" t="s">
        <v>41249</v>
      </c>
      <c r="O4444" t="s">
        <v>41250</v>
      </c>
      <c r="P4444">
        <v>0</v>
      </c>
      <c r="Q4444">
        <v>4</v>
      </c>
      <c r="R4444" t="s">
        <v>41252</v>
      </c>
      <c r="S4444" t="s">
        <v>41383</v>
      </c>
      <c r="T4444" t="s">
        <v>42758</v>
      </c>
      <c r="U4444" t="s">
        <v>43363</v>
      </c>
      <c r="W4444" t="s">
        <v>37913</v>
      </c>
      <c r="X4444" t="s">
        <v>41254</v>
      </c>
    </row>
    <row r="4445" spans="1:24">
      <c r="A4445">
        <f>HYPERLINK("https://www.philgeps.gov.ph/GEPSNONPILOT/Tender/SplashBidNoticeAbstractUI.aspx?menuIndex=3&amp;refID=7075794&amp;Result=3","7075794")</f>
        <v>0</v>
      </c>
      <c r="B4445" t="s">
        <v>1600</v>
      </c>
      <c r="C4445" t="s">
        <v>7641</v>
      </c>
      <c r="D4445" t="s">
        <v>16608</v>
      </c>
      <c r="E4445" t="s">
        <v>20712</v>
      </c>
      <c r="F4445" t="s">
        <v>28669</v>
      </c>
      <c r="G4445" t="s">
        <v>28675</v>
      </c>
      <c r="H4445" t="s">
        <v>28686</v>
      </c>
      <c r="I4445" t="s">
        <v>28689</v>
      </c>
      <c r="J4445" t="s">
        <v>31673</v>
      </c>
      <c r="K4445" t="s">
        <v>37213</v>
      </c>
      <c r="M4445" t="s">
        <v>39183</v>
      </c>
      <c r="N4445" t="s">
        <v>41249</v>
      </c>
      <c r="O4445" t="s">
        <v>41250</v>
      </c>
      <c r="P4445">
        <v>0</v>
      </c>
      <c r="Q4445">
        <v>2</v>
      </c>
      <c r="R4445" t="s">
        <v>41252</v>
      </c>
      <c r="S4445" t="s">
        <v>41383</v>
      </c>
      <c r="T4445" t="s">
        <v>42903</v>
      </c>
      <c r="U4445" t="s">
        <v>46907</v>
      </c>
      <c r="V4445" t="s">
        <v>54738</v>
      </c>
      <c r="W4445" t="s">
        <v>39183</v>
      </c>
      <c r="X4445" t="s">
        <v>41254</v>
      </c>
    </row>
    <row r="4446" spans="1:24">
      <c r="A4446">
        <f>HYPERLINK("https://www.philgeps.gov.ph/GEPSNONPILOT/Tender/SplashBidNoticeAbstractUI.aspx?menuIndex=3&amp;refID=7075827&amp;Result=3","7075827")</f>
        <v>0</v>
      </c>
      <c r="B4446" t="s">
        <v>1466</v>
      </c>
      <c r="C4446" t="s">
        <v>7642</v>
      </c>
      <c r="D4446" t="s">
        <v>16679</v>
      </c>
      <c r="E4446" t="s">
        <v>20713</v>
      </c>
      <c r="F4446" t="s">
        <v>28669</v>
      </c>
      <c r="G4446" t="s">
        <v>28675</v>
      </c>
      <c r="H4446" t="s">
        <v>28686</v>
      </c>
      <c r="I4446" t="s">
        <v>28689</v>
      </c>
      <c r="J4446" t="s">
        <v>30929</v>
      </c>
      <c r="K4446" t="s">
        <v>37285</v>
      </c>
      <c r="M4446" t="s">
        <v>39034</v>
      </c>
      <c r="N4446" t="s">
        <v>41249</v>
      </c>
      <c r="O4446" t="s">
        <v>41250</v>
      </c>
      <c r="P4446">
        <v>0</v>
      </c>
      <c r="Q4446">
        <v>2</v>
      </c>
      <c r="R4446" t="s">
        <v>41252</v>
      </c>
      <c r="S4446" t="s">
        <v>41383</v>
      </c>
      <c r="T4446" t="s">
        <v>42688</v>
      </c>
      <c r="U4446" t="s">
        <v>46413</v>
      </c>
      <c r="W4446" t="s">
        <v>55956</v>
      </c>
      <c r="X4446" t="s">
        <v>41254</v>
      </c>
    </row>
    <row r="4447" spans="1:24">
      <c r="A4447">
        <f>HYPERLINK("https://www.philgeps.gov.ph/GEPSNONPILOT/Tender/SplashBidNoticeAbstractUI.aspx?menuIndex=3&amp;refID=7075826&amp;Result=3","7075826")</f>
        <v>0</v>
      </c>
      <c r="B4447" t="s">
        <v>1611</v>
      </c>
      <c r="C4447" t="s">
        <v>3808</v>
      </c>
      <c r="D4447" t="s">
        <v>16608</v>
      </c>
      <c r="E4447" t="s">
        <v>20714</v>
      </c>
      <c r="F4447" t="s">
        <v>28669</v>
      </c>
      <c r="G4447" t="s">
        <v>28676</v>
      </c>
      <c r="H4447" t="s">
        <v>9998</v>
      </c>
      <c r="I4447" t="s">
        <v>28693</v>
      </c>
      <c r="J4447" t="s">
        <v>31674</v>
      </c>
      <c r="K4447" t="s">
        <v>37209</v>
      </c>
      <c r="M4447" t="s">
        <v>39195</v>
      </c>
      <c r="N4447" t="s">
        <v>41249</v>
      </c>
      <c r="O4447" t="s">
        <v>41250</v>
      </c>
      <c r="P4447">
        <v>0</v>
      </c>
      <c r="Q4447">
        <v>21</v>
      </c>
      <c r="R4447" t="s">
        <v>41252</v>
      </c>
      <c r="S4447" t="s">
        <v>41383</v>
      </c>
      <c r="T4447" t="s">
        <v>42673</v>
      </c>
      <c r="U4447" t="s">
        <v>46898</v>
      </c>
      <c r="W4447" t="s">
        <v>39195</v>
      </c>
      <c r="X4447" t="s">
        <v>41254</v>
      </c>
    </row>
    <row r="4448" spans="1:24">
      <c r="A4448">
        <f>HYPERLINK("https://www.philgeps.gov.ph/GEPSNONPILOT/Tender/SplashBidNoticeAbstractUI.aspx?menuIndex=3&amp;refID=7075823&amp;Result=3","7075823")</f>
        <v>0</v>
      </c>
      <c r="B4448" t="s">
        <v>1466</v>
      </c>
      <c r="C4448" t="s">
        <v>7643</v>
      </c>
      <c r="D4448" t="s">
        <v>16679</v>
      </c>
      <c r="E4448" t="s">
        <v>20715</v>
      </c>
      <c r="F4448" t="s">
        <v>28669</v>
      </c>
      <c r="G4448" t="s">
        <v>28675</v>
      </c>
      <c r="H4448" t="s">
        <v>28686</v>
      </c>
      <c r="I4448" t="s">
        <v>28689</v>
      </c>
      <c r="J4448" t="s">
        <v>30559</v>
      </c>
      <c r="K4448" t="s">
        <v>37213</v>
      </c>
      <c r="M4448" t="s">
        <v>39034</v>
      </c>
      <c r="N4448" t="s">
        <v>41249</v>
      </c>
      <c r="O4448" t="s">
        <v>41250</v>
      </c>
      <c r="P4448">
        <v>0</v>
      </c>
      <c r="Q4448">
        <v>2</v>
      </c>
      <c r="R4448" t="s">
        <v>41252</v>
      </c>
      <c r="S4448" t="s">
        <v>41383</v>
      </c>
      <c r="T4448" t="s">
        <v>42688</v>
      </c>
      <c r="U4448" t="s">
        <v>46413</v>
      </c>
      <c r="W4448" t="s">
        <v>55956</v>
      </c>
      <c r="X4448" t="s">
        <v>41254</v>
      </c>
    </row>
    <row r="4449" spans="1:24">
      <c r="A4449">
        <f>HYPERLINK("https://www.philgeps.gov.ph/GEPSNONPILOT/Tender/SplashBidNoticeAbstractUI.aspx?menuIndex=3&amp;refID=7075821&amp;Result=3","7075821")</f>
        <v>0</v>
      </c>
      <c r="B4449" t="s">
        <v>1466</v>
      </c>
      <c r="C4449" t="s">
        <v>7644</v>
      </c>
      <c r="D4449" t="s">
        <v>16679</v>
      </c>
      <c r="E4449" t="s">
        <v>20716</v>
      </c>
      <c r="F4449" t="s">
        <v>28669</v>
      </c>
      <c r="G4449" t="s">
        <v>28675</v>
      </c>
      <c r="H4449" t="s">
        <v>28686</v>
      </c>
      <c r="I4449" t="s">
        <v>28689</v>
      </c>
      <c r="J4449" t="s">
        <v>30289</v>
      </c>
      <c r="K4449" t="s">
        <v>37220</v>
      </c>
      <c r="M4449" t="s">
        <v>39034</v>
      </c>
      <c r="N4449" t="s">
        <v>41249</v>
      </c>
      <c r="O4449" t="s">
        <v>41250</v>
      </c>
      <c r="P4449">
        <v>0</v>
      </c>
      <c r="Q4449">
        <v>2</v>
      </c>
      <c r="R4449" t="s">
        <v>41252</v>
      </c>
      <c r="S4449" t="s">
        <v>41383</v>
      </c>
      <c r="T4449" t="s">
        <v>42688</v>
      </c>
      <c r="U4449" t="s">
        <v>46413</v>
      </c>
      <c r="W4449" t="s">
        <v>55956</v>
      </c>
      <c r="X4449" t="s">
        <v>41254</v>
      </c>
    </row>
    <row r="4450" spans="1:24">
      <c r="A4450">
        <f>HYPERLINK("https://www.philgeps.gov.ph/GEPSNONPILOT/Tender/SplashBidNoticeAbstractUI.aspx?menuIndex=3&amp;refID=7075746&amp;Result=3","7075746")</f>
        <v>0</v>
      </c>
      <c r="B4450" t="s">
        <v>101</v>
      </c>
      <c r="C4450" t="s">
        <v>7645</v>
      </c>
      <c r="D4450" t="s">
        <v>16624</v>
      </c>
      <c r="E4450" t="s">
        <v>20717</v>
      </c>
      <c r="F4450" t="s">
        <v>28669</v>
      </c>
      <c r="G4450" t="s">
        <v>28675</v>
      </c>
      <c r="H4450" t="s">
        <v>9998</v>
      </c>
      <c r="I4450" t="s">
        <v>28728</v>
      </c>
      <c r="J4450" t="s">
        <v>31675</v>
      </c>
      <c r="K4450" t="s">
        <v>37204</v>
      </c>
      <c r="M4450" t="s">
        <v>39197</v>
      </c>
      <c r="N4450" t="s">
        <v>41249</v>
      </c>
      <c r="O4450" t="s">
        <v>41250</v>
      </c>
      <c r="P4450">
        <v>0</v>
      </c>
      <c r="Q4450">
        <v>1</v>
      </c>
      <c r="R4450" t="s">
        <v>41252</v>
      </c>
      <c r="S4450" t="s">
        <v>41383</v>
      </c>
      <c r="T4450" t="s">
        <v>42873</v>
      </c>
      <c r="U4450" t="s">
        <v>46908</v>
      </c>
      <c r="W4450" t="s">
        <v>39197</v>
      </c>
      <c r="X4450" t="s">
        <v>41254</v>
      </c>
    </row>
    <row r="4451" spans="1:24">
      <c r="A4451">
        <f>HYPERLINK("https://www.philgeps.gov.ph/GEPSNONPILOT/Tender/SplashBidNoticeAbstractUI.aspx?menuIndex=3&amp;refID=7075820&amp;Result=3","7075820")</f>
        <v>0</v>
      </c>
      <c r="B4451" t="s">
        <v>1613</v>
      </c>
      <c r="C4451" t="s">
        <v>7646</v>
      </c>
      <c r="E4451" t="s">
        <v>20718</v>
      </c>
      <c r="F4451" t="s">
        <v>28669</v>
      </c>
      <c r="G4451" t="s">
        <v>28677</v>
      </c>
      <c r="H4451" t="s">
        <v>9998</v>
      </c>
      <c r="I4451" t="s">
        <v>11593</v>
      </c>
      <c r="J4451" t="s">
        <v>31676</v>
      </c>
      <c r="K4451" t="s">
        <v>37209</v>
      </c>
      <c r="M4451" t="s">
        <v>39198</v>
      </c>
      <c r="N4451" t="s">
        <v>41249</v>
      </c>
      <c r="O4451" t="s">
        <v>41250</v>
      </c>
      <c r="P4451">
        <v>0</v>
      </c>
      <c r="Q4451">
        <v>9</v>
      </c>
      <c r="R4451" t="s">
        <v>41252</v>
      </c>
      <c r="S4451" t="s">
        <v>41383</v>
      </c>
      <c r="T4451" t="s">
        <v>42728</v>
      </c>
      <c r="U4451" t="s">
        <v>46909</v>
      </c>
      <c r="W4451" t="s">
        <v>55963</v>
      </c>
      <c r="X4451" t="s">
        <v>41254</v>
      </c>
    </row>
    <row r="4452" spans="1:24">
      <c r="A4452">
        <f>HYPERLINK("https://www.philgeps.gov.ph/GEPSNONPILOT/Tender/SplashBidNoticeAbstractUI.aspx?menuIndex=3&amp;refID=7075818&amp;Result=3","7075818")</f>
        <v>0</v>
      </c>
      <c r="B4452" t="s">
        <v>1466</v>
      </c>
      <c r="C4452" t="s">
        <v>7647</v>
      </c>
      <c r="D4452" t="s">
        <v>16679</v>
      </c>
      <c r="E4452" t="s">
        <v>20719</v>
      </c>
      <c r="F4452" t="s">
        <v>28669</v>
      </c>
      <c r="G4452" t="s">
        <v>28675</v>
      </c>
      <c r="H4452" t="s">
        <v>28686</v>
      </c>
      <c r="I4452" t="s">
        <v>28689</v>
      </c>
      <c r="J4452" t="s">
        <v>31677</v>
      </c>
      <c r="K4452" t="s">
        <v>37213</v>
      </c>
      <c r="M4452" t="s">
        <v>39034</v>
      </c>
      <c r="N4452" t="s">
        <v>41249</v>
      </c>
      <c r="O4452" t="s">
        <v>41250</v>
      </c>
      <c r="P4452">
        <v>0</v>
      </c>
      <c r="Q4452">
        <v>2</v>
      </c>
      <c r="R4452" t="s">
        <v>41252</v>
      </c>
      <c r="S4452" t="s">
        <v>41383</v>
      </c>
      <c r="T4452" t="s">
        <v>42688</v>
      </c>
      <c r="U4452" t="s">
        <v>46413</v>
      </c>
      <c r="W4452" t="s">
        <v>55956</v>
      </c>
      <c r="X4452" t="s">
        <v>41254</v>
      </c>
    </row>
    <row r="4453" spans="1:24">
      <c r="A4453">
        <f>HYPERLINK("https://www.philgeps.gov.ph/GEPSNONPILOT/Tender/SplashBidNoticeAbstractUI.aspx?menuIndex=3&amp;refID=7075829&amp;Result=3","7075829")</f>
        <v>0</v>
      </c>
      <c r="B4453" t="s">
        <v>1614</v>
      </c>
      <c r="C4453" t="s">
        <v>7648</v>
      </c>
      <c r="D4453" t="s">
        <v>16608</v>
      </c>
      <c r="E4453" t="s">
        <v>20720</v>
      </c>
      <c r="F4453" t="s">
        <v>28669</v>
      </c>
      <c r="G4453" t="s">
        <v>28676</v>
      </c>
      <c r="H4453" t="s">
        <v>28686</v>
      </c>
      <c r="I4453" t="s">
        <v>28689</v>
      </c>
      <c r="J4453" t="s">
        <v>31678</v>
      </c>
      <c r="K4453" t="s">
        <v>37221</v>
      </c>
      <c r="M4453" t="s">
        <v>39199</v>
      </c>
      <c r="N4453" t="s">
        <v>41249</v>
      </c>
      <c r="O4453" t="s">
        <v>41250</v>
      </c>
      <c r="P4453">
        <v>0</v>
      </c>
      <c r="Q4453">
        <v>1</v>
      </c>
      <c r="R4453" t="s">
        <v>41252</v>
      </c>
      <c r="S4453" t="s">
        <v>41383</v>
      </c>
      <c r="T4453" t="s">
        <v>42701</v>
      </c>
      <c r="U4453" t="s">
        <v>46910</v>
      </c>
      <c r="W4453" t="s">
        <v>55964</v>
      </c>
      <c r="X4453" t="s">
        <v>41254</v>
      </c>
    </row>
    <row r="4454" spans="1:24">
      <c r="A4454">
        <f>HYPERLINK("https://www.philgeps.gov.ph/GEPSNONPILOT/Tender/SplashBidNoticeAbstractUI.aspx?menuIndex=3&amp;refID=7075816&amp;Result=3","7075816")</f>
        <v>0</v>
      </c>
      <c r="B4454" t="s">
        <v>1466</v>
      </c>
      <c r="C4454" t="s">
        <v>7649</v>
      </c>
      <c r="D4454" t="s">
        <v>16679</v>
      </c>
      <c r="E4454" t="s">
        <v>20721</v>
      </c>
      <c r="F4454" t="s">
        <v>28669</v>
      </c>
      <c r="G4454" t="s">
        <v>28675</v>
      </c>
      <c r="H4454" t="s">
        <v>28686</v>
      </c>
      <c r="I4454" t="s">
        <v>28689</v>
      </c>
      <c r="J4454" t="s">
        <v>31313</v>
      </c>
      <c r="K4454" t="s">
        <v>37206</v>
      </c>
      <c r="M4454" t="s">
        <v>39034</v>
      </c>
      <c r="N4454" t="s">
        <v>41249</v>
      </c>
      <c r="O4454" t="s">
        <v>41250</v>
      </c>
      <c r="P4454">
        <v>0</v>
      </c>
      <c r="Q4454">
        <v>2</v>
      </c>
      <c r="R4454" t="s">
        <v>41252</v>
      </c>
      <c r="S4454" t="s">
        <v>41383</v>
      </c>
      <c r="T4454" t="s">
        <v>42688</v>
      </c>
      <c r="U4454" t="s">
        <v>46413</v>
      </c>
      <c r="W4454" t="s">
        <v>55956</v>
      </c>
      <c r="X4454" t="s">
        <v>41254</v>
      </c>
    </row>
    <row r="4455" spans="1:24">
      <c r="A4455">
        <f>HYPERLINK("https://www.philgeps.gov.ph/GEPSNONPILOT/Tender/SplashBidNoticeAbstractUI.aspx?menuIndex=3&amp;refID=7075795&amp;Result=3","7075795")</f>
        <v>0</v>
      </c>
      <c r="B4455" t="s">
        <v>478</v>
      </c>
      <c r="C4455" t="s">
        <v>7650</v>
      </c>
      <c r="D4455" t="s">
        <v>16625</v>
      </c>
      <c r="E4455" t="s">
        <v>20722</v>
      </c>
      <c r="F4455" t="s">
        <v>28669</v>
      </c>
      <c r="G4455" t="s">
        <v>28676</v>
      </c>
      <c r="H4455" t="s">
        <v>9998</v>
      </c>
      <c r="I4455" t="s">
        <v>6606</v>
      </c>
      <c r="J4455" t="s">
        <v>31679</v>
      </c>
      <c r="K4455" t="s">
        <v>37205</v>
      </c>
      <c r="M4455" t="s">
        <v>37966</v>
      </c>
      <c r="N4455" t="s">
        <v>41249</v>
      </c>
      <c r="O4455" t="s">
        <v>41250</v>
      </c>
      <c r="P4455">
        <v>0</v>
      </c>
      <c r="Q4455">
        <v>0</v>
      </c>
      <c r="R4455" t="s">
        <v>41252</v>
      </c>
      <c r="S4455" t="s">
        <v>41383</v>
      </c>
      <c r="T4455" t="s">
        <v>42748</v>
      </c>
      <c r="U4455" t="s">
        <v>44003</v>
      </c>
      <c r="W4455" t="s">
        <v>37966</v>
      </c>
      <c r="X4455" t="s">
        <v>41254</v>
      </c>
    </row>
    <row r="4456" spans="1:24">
      <c r="A4456">
        <f>HYPERLINK("https://www.philgeps.gov.ph/GEPSNONPILOT/Tender/SplashBidNoticeAbstractUI.aspx?menuIndex=3&amp;refID=7075815&amp;Result=3","7075815")</f>
        <v>0</v>
      </c>
      <c r="B4456" t="s">
        <v>1611</v>
      </c>
      <c r="C4456" t="s">
        <v>7651</v>
      </c>
      <c r="D4456" t="s">
        <v>16608</v>
      </c>
      <c r="E4456" t="s">
        <v>17639</v>
      </c>
      <c r="F4456" t="s">
        <v>28669</v>
      </c>
      <c r="G4456" t="s">
        <v>28676</v>
      </c>
      <c r="H4456" t="s">
        <v>28684</v>
      </c>
      <c r="I4456" t="s">
        <v>28725</v>
      </c>
      <c r="J4456" t="s">
        <v>29281</v>
      </c>
      <c r="K4456" t="s">
        <v>37204</v>
      </c>
      <c r="M4456" t="s">
        <v>39195</v>
      </c>
      <c r="N4456" t="s">
        <v>41249</v>
      </c>
      <c r="O4456" t="s">
        <v>41250</v>
      </c>
      <c r="P4456">
        <v>0</v>
      </c>
      <c r="Q4456">
        <v>2</v>
      </c>
      <c r="R4456" t="s">
        <v>41252</v>
      </c>
      <c r="S4456" t="s">
        <v>41383</v>
      </c>
      <c r="T4456" t="s">
        <v>42673</v>
      </c>
      <c r="U4456" t="s">
        <v>46898</v>
      </c>
      <c r="W4456" t="s">
        <v>39195</v>
      </c>
      <c r="X4456" t="s">
        <v>41254</v>
      </c>
    </row>
    <row r="4457" spans="1:24">
      <c r="A4457">
        <f>HYPERLINK("https://www.philgeps.gov.ph/GEPSNONPILOT/Tender/SplashBidNoticeAbstractUI.aspx?menuIndex=3&amp;refID=7075850&amp;Result=3","7075850")</f>
        <v>0</v>
      </c>
      <c r="B4457" t="s">
        <v>729</v>
      </c>
      <c r="C4457" t="s">
        <v>7652</v>
      </c>
      <c r="D4457" t="s">
        <v>16608</v>
      </c>
      <c r="E4457" t="s">
        <v>20723</v>
      </c>
      <c r="F4457" t="s">
        <v>28669</v>
      </c>
      <c r="G4457" t="s">
        <v>28676</v>
      </c>
      <c r="H4457" t="s">
        <v>28686</v>
      </c>
      <c r="I4457" t="s">
        <v>28689</v>
      </c>
      <c r="J4457" t="s">
        <v>31680</v>
      </c>
      <c r="K4457" t="s">
        <v>37213</v>
      </c>
      <c r="M4457" t="s">
        <v>38237</v>
      </c>
      <c r="N4457" t="s">
        <v>41249</v>
      </c>
      <c r="O4457" t="s">
        <v>41250</v>
      </c>
      <c r="P4457">
        <v>0</v>
      </c>
      <c r="Q4457">
        <v>1</v>
      </c>
      <c r="R4457" t="s">
        <v>41252</v>
      </c>
      <c r="S4457" t="s">
        <v>41383</v>
      </c>
      <c r="T4457" t="s">
        <v>42743</v>
      </c>
      <c r="U4457" t="s">
        <v>46911</v>
      </c>
      <c r="V4457" t="s">
        <v>54651</v>
      </c>
      <c r="W4457" t="s">
        <v>38237</v>
      </c>
      <c r="X4457" t="s">
        <v>41254</v>
      </c>
    </row>
    <row r="4458" spans="1:24">
      <c r="A4458">
        <f>HYPERLINK("https://www.philgeps.gov.ph/GEPSNONPILOT/Tender/SplashBidNoticeAbstractUI.aspx?menuIndex=3&amp;refID=7075822&amp;Result=3","7075822")</f>
        <v>0</v>
      </c>
      <c r="B4458" t="s">
        <v>1589</v>
      </c>
      <c r="C4458" t="s">
        <v>7653</v>
      </c>
      <c r="D4458" t="s">
        <v>16643</v>
      </c>
      <c r="E4458" t="s">
        <v>20724</v>
      </c>
      <c r="F4458" t="s">
        <v>28669</v>
      </c>
      <c r="G4458" t="s">
        <v>28675</v>
      </c>
      <c r="H4458" t="s">
        <v>28686</v>
      </c>
      <c r="I4458" t="s">
        <v>28689</v>
      </c>
      <c r="J4458" t="s">
        <v>31681</v>
      </c>
      <c r="K4458" t="s">
        <v>37209</v>
      </c>
      <c r="L4458" t="s">
        <v>1589</v>
      </c>
      <c r="M4458" t="s">
        <v>39172</v>
      </c>
      <c r="N4458" t="s">
        <v>41249</v>
      </c>
      <c r="O4458" t="s">
        <v>41250</v>
      </c>
      <c r="P4458">
        <v>0</v>
      </c>
      <c r="Q4458">
        <v>0</v>
      </c>
      <c r="R4458" t="s">
        <v>41252</v>
      </c>
      <c r="S4458" t="s">
        <v>41383</v>
      </c>
      <c r="T4458" t="s">
        <v>42688</v>
      </c>
      <c r="U4458" t="s">
        <v>46858</v>
      </c>
      <c r="V4458" t="s">
        <v>54734</v>
      </c>
      <c r="W4458" t="s">
        <v>39172</v>
      </c>
      <c r="X4458" t="s">
        <v>41254</v>
      </c>
    </row>
    <row r="4459" spans="1:24">
      <c r="A4459">
        <f>HYPERLINK("https://www.philgeps.gov.ph/GEPSNONPILOT/Tender/SplashBidNoticeAbstractUI.aspx?menuIndex=3&amp;refID=7075855&amp;Result=3","7075855")</f>
        <v>0</v>
      </c>
      <c r="B4459" t="s">
        <v>1615</v>
      </c>
      <c r="C4459" t="s">
        <v>7654</v>
      </c>
      <c r="D4459" t="s">
        <v>16635</v>
      </c>
      <c r="E4459" t="s">
        <v>20307</v>
      </c>
      <c r="F4459" t="s">
        <v>28669</v>
      </c>
      <c r="G4459" t="s">
        <v>28676</v>
      </c>
      <c r="H4459" t="s">
        <v>28686</v>
      </c>
      <c r="I4459" t="s">
        <v>28689</v>
      </c>
      <c r="J4459" t="s">
        <v>29003</v>
      </c>
      <c r="K4459" t="s">
        <v>37227</v>
      </c>
      <c r="M4459" t="s">
        <v>39200</v>
      </c>
      <c r="N4459" t="s">
        <v>41249</v>
      </c>
      <c r="O4459" t="s">
        <v>41250</v>
      </c>
      <c r="P4459">
        <v>0</v>
      </c>
      <c r="Q4459">
        <v>0</v>
      </c>
      <c r="R4459" t="s">
        <v>41252</v>
      </c>
      <c r="S4459" t="s">
        <v>41383</v>
      </c>
      <c r="T4459" t="s">
        <v>42679</v>
      </c>
      <c r="U4459" t="s">
        <v>46912</v>
      </c>
      <c r="V4459" t="s">
        <v>54742</v>
      </c>
      <c r="W4459" t="s">
        <v>39200</v>
      </c>
      <c r="X4459" t="s">
        <v>41254</v>
      </c>
    </row>
    <row r="4460" spans="1:24">
      <c r="A4460">
        <f>HYPERLINK("https://www.philgeps.gov.ph/GEPSNONPILOT/Tender/SplashBidNoticeAbstractUI.aspx?menuIndex=3&amp;refID=7075819&amp;Result=3","7075819")</f>
        <v>0</v>
      </c>
      <c r="B4460" t="s">
        <v>1616</v>
      </c>
      <c r="C4460" t="s">
        <v>7655</v>
      </c>
      <c r="D4460" t="s">
        <v>16619</v>
      </c>
      <c r="E4460" t="s">
        <v>17140</v>
      </c>
      <c r="F4460" t="s">
        <v>28671</v>
      </c>
      <c r="G4460" t="s">
        <v>28677</v>
      </c>
      <c r="H4460" t="s">
        <v>9998</v>
      </c>
      <c r="I4460" t="s">
        <v>5213</v>
      </c>
      <c r="J4460" t="s">
        <v>28834</v>
      </c>
      <c r="K4460" t="s">
        <v>37208</v>
      </c>
      <c r="M4460" t="s">
        <v>39201</v>
      </c>
      <c r="N4460" t="s">
        <v>41249</v>
      </c>
      <c r="O4460" t="s">
        <v>41250</v>
      </c>
      <c r="P4460">
        <v>0</v>
      </c>
      <c r="Q4460">
        <v>0</v>
      </c>
      <c r="R4460" t="s">
        <v>41252</v>
      </c>
      <c r="S4460" t="s">
        <v>41383</v>
      </c>
      <c r="T4460" t="s">
        <v>42758</v>
      </c>
      <c r="U4460" t="s">
        <v>46913</v>
      </c>
      <c r="W4460" t="s">
        <v>39201</v>
      </c>
      <c r="X4460" t="s">
        <v>41254</v>
      </c>
    </row>
    <row r="4461" spans="1:24">
      <c r="A4461">
        <f>HYPERLINK("https://www.philgeps.gov.ph/GEPSNONPILOT/Tender/SplashBidNoticeAbstractUI.aspx?menuIndex=3&amp;refID=7075852&amp;Result=3","7075852")</f>
        <v>0</v>
      </c>
      <c r="B4461" t="s">
        <v>1613</v>
      </c>
      <c r="C4461" t="s">
        <v>7656</v>
      </c>
      <c r="E4461" t="s">
        <v>20725</v>
      </c>
      <c r="F4461" t="s">
        <v>28669</v>
      </c>
      <c r="G4461" t="s">
        <v>28677</v>
      </c>
      <c r="H4461" t="s">
        <v>9998</v>
      </c>
      <c r="I4461" t="s">
        <v>28757</v>
      </c>
      <c r="J4461" t="s">
        <v>28838</v>
      </c>
      <c r="K4461" t="s">
        <v>37209</v>
      </c>
      <c r="M4461" t="s">
        <v>39202</v>
      </c>
      <c r="N4461" t="s">
        <v>41249</v>
      </c>
      <c r="O4461" t="s">
        <v>41250</v>
      </c>
      <c r="P4461">
        <v>0</v>
      </c>
      <c r="Q4461">
        <v>1</v>
      </c>
      <c r="R4461" t="s">
        <v>41252</v>
      </c>
      <c r="S4461" t="s">
        <v>41383</v>
      </c>
      <c r="T4461" t="s">
        <v>42728</v>
      </c>
      <c r="U4461" t="s">
        <v>46909</v>
      </c>
      <c r="W4461" t="s">
        <v>55963</v>
      </c>
      <c r="X4461" t="s">
        <v>41254</v>
      </c>
    </row>
    <row r="4462" spans="1:24">
      <c r="A4462">
        <f>HYPERLINK("https://www.philgeps.gov.ph/GEPSNONPILOT/Tender/SplashBidNoticeAbstractUI.aspx?menuIndex=3&amp;refID=7075848&amp;Result=3","7075848")</f>
        <v>0</v>
      </c>
      <c r="B4462" t="s">
        <v>125</v>
      </c>
      <c r="C4462" t="s">
        <v>3570</v>
      </c>
      <c r="D4462" t="s">
        <v>16660</v>
      </c>
      <c r="E4462" t="s">
        <v>20726</v>
      </c>
      <c r="F4462" t="s">
        <v>28669</v>
      </c>
      <c r="G4462" t="s">
        <v>28678</v>
      </c>
      <c r="H4462" t="s">
        <v>9998</v>
      </c>
      <c r="I4462" t="s">
        <v>28688</v>
      </c>
      <c r="J4462" t="s">
        <v>31682</v>
      </c>
      <c r="K4462" t="s">
        <v>37210</v>
      </c>
      <c r="M4462" t="s">
        <v>37601</v>
      </c>
      <c r="N4462" t="s">
        <v>41249</v>
      </c>
      <c r="O4462" t="s">
        <v>41250</v>
      </c>
      <c r="P4462">
        <v>0</v>
      </c>
      <c r="Q4462">
        <v>3</v>
      </c>
      <c r="R4462" t="s">
        <v>41252</v>
      </c>
      <c r="S4462" t="s">
        <v>41383</v>
      </c>
      <c r="T4462" t="s">
        <v>42729</v>
      </c>
      <c r="U4462" t="s">
        <v>43373</v>
      </c>
      <c r="W4462" t="s">
        <v>37601</v>
      </c>
      <c r="X4462" t="s">
        <v>41254</v>
      </c>
    </row>
    <row r="4463" spans="1:24">
      <c r="A4463">
        <f>HYPERLINK("https://www.philgeps.gov.ph/GEPSNONPILOT/Tender/SplashBidNoticeAbstractUI.aspx?menuIndex=3&amp;refID=7075847&amp;Result=3","7075847")</f>
        <v>0</v>
      </c>
      <c r="B4463" t="s">
        <v>820</v>
      </c>
      <c r="C4463" t="s">
        <v>7657</v>
      </c>
      <c r="D4463" t="s">
        <v>16608</v>
      </c>
      <c r="E4463" t="s">
        <v>20727</v>
      </c>
      <c r="F4463" t="s">
        <v>28669</v>
      </c>
      <c r="G4463" t="s">
        <v>28677</v>
      </c>
      <c r="H4463" t="s">
        <v>9998</v>
      </c>
      <c r="I4463" t="s">
        <v>28690</v>
      </c>
      <c r="J4463" t="s">
        <v>28912</v>
      </c>
      <c r="K4463" t="s">
        <v>37205</v>
      </c>
      <c r="M4463" t="s">
        <v>38336</v>
      </c>
      <c r="N4463" t="s">
        <v>41249</v>
      </c>
      <c r="O4463" t="s">
        <v>41250</v>
      </c>
      <c r="P4463">
        <v>0</v>
      </c>
      <c r="Q4463">
        <v>8</v>
      </c>
      <c r="R4463" t="s">
        <v>41252</v>
      </c>
      <c r="S4463" t="s">
        <v>41383</v>
      </c>
      <c r="T4463" t="s">
        <v>42767</v>
      </c>
      <c r="U4463" t="s">
        <v>46914</v>
      </c>
      <c r="W4463" t="s">
        <v>38336</v>
      </c>
      <c r="X4463" t="s">
        <v>41254</v>
      </c>
    </row>
    <row r="4464" spans="1:24">
      <c r="A4464">
        <f>HYPERLINK("https://www.philgeps.gov.ph/GEPSNONPILOT/Tender/SplashBidNoticeAbstractUI.aspx?menuIndex=3&amp;refID=7075851&amp;Result=3","7075851")</f>
        <v>0</v>
      </c>
      <c r="B4464" t="s">
        <v>563</v>
      </c>
      <c r="C4464" t="s">
        <v>7658</v>
      </c>
      <c r="D4464" t="s">
        <v>16616</v>
      </c>
      <c r="E4464" t="s">
        <v>20728</v>
      </c>
      <c r="F4464" t="s">
        <v>28669</v>
      </c>
      <c r="G4464" t="s">
        <v>28675</v>
      </c>
      <c r="H4464" t="s">
        <v>28684</v>
      </c>
      <c r="I4464" t="s">
        <v>28701</v>
      </c>
      <c r="J4464" t="s">
        <v>31683</v>
      </c>
      <c r="K4464" t="s">
        <v>37314</v>
      </c>
      <c r="M4464" t="s">
        <v>38059</v>
      </c>
      <c r="N4464" t="s">
        <v>41249</v>
      </c>
      <c r="O4464" t="s">
        <v>41250</v>
      </c>
      <c r="P4464">
        <v>0</v>
      </c>
      <c r="Q4464">
        <v>1</v>
      </c>
      <c r="R4464" t="s">
        <v>41252</v>
      </c>
      <c r="S4464" t="s">
        <v>41383</v>
      </c>
      <c r="T4464" t="s">
        <v>42722</v>
      </c>
      <c r="U4464" t="s">
        <v>46915</v>
      </c>
      <c r="W4464" t="s">
        <v>38059</v>
      </c>
      <c r="X4464" t="s">
        <v>41254</v>
      </c>
    </row>
    <row r="4465" spans="1:24">
      <c r="A4465">
        <f>HYPERLINK("https://www.philgeps.gov.ph/GEPSNONPILOT/Tender/SplashBidNoticeAbstractUI.aspx?menuIndex=3&amp;refID=7075846&amp;Result=3","7075846")</f>
        <v>0</v>
      </c>
      <c r="B4465" t="s">
        <v>1594</v>
      </c>
      <c r="C4465" t="s">
        <v>7659</v>
      </c>
      <c r="D4465" t="s">
        <v>16626</v>
      </c>
      <c r="E4465" t="s">
        <v>20729</v>
      </c>
      <c r="F4465" t="s">
        <v>28669</v>
      </c>
      <c r="G4465" t="s">
        <v>28682</v>
      </c>
      <c r="H4465" t="s">
        <v>28684</v>
      </c>
      <c r="I4465" t="s">
        <v>28690</v>
      </c>
      <c r="J4465" t="s">
        <v>30407</v>
      </c>
      <c r="K4465" t="s">
        <v>37234</v>
      </c>
      <c r="M4465" t="s">
        <v>39177</v>
      </c>
      <c r="N4465" t="s">
        <v>41249</v>
      </c>
      <c r="O4465" t="s">
        <v>41250</v>
      </c>
      <c r="P4465">
        <v>0</v>
      </c>
      <c r="Q4465">
        <v>5</v>
      </c>
      <c r="R4465" t="s">
        <v>41252</v>
      </c>
      <c r="S4465" t="s">
        <v>41383</v>
      </c>
      <c r="T4465" t="s">
        <v>42777</v>
      </c>
      <c r="U4465" t="s">
        <v>46916</v>
      </c>
      <c r="W4465" t="s">
        <v>39177</v>
      </c>
      <c r="X4465" t="s">
        <v>41254</v>
      </c>
    </row>
    <row r="4466" spans="1:24">
      <c r="A4466">
        <f>HYPERLINK("https://www.philgeps.gov.ph/GEPSNONPILOT/Tender/SplashBidNoticeAbstractUI.aspx?menuIndex=3&amp;refID=7075845&amp;Result=3","7075845")</f>
        <v>0</v>
      </c>
      <c r="B4466" t="s">
        <v>1611</v>
      </c>
      <c r="C4466" t="s">
        <v>3808</v>
      </c>
      <c r="D4466" t="s">
        <v>16608</v>
      </c>
      <c r="E4466" t="s">
        <v>17939</v>
      </c>
      <c r="F4466" t="s">
        <v>28669</v>
      </c>
      <c r="G4466" t="s">
        <v>28676</v>
      </c>
      <c r="H4466" t="s">
        <v>9998</v>
      </c>
      <c r="I4466" t="s">
        <v>28693</v>
      </c>
      <c r="J4466" t="s">
        <v>29208</v>
      </c>
      <c r="K4466" t="s">
        <v>37209</v>
      </c>
      <c r="M4466" t="s">
        <v>39195</v>
      </c>
      <c r="N4466" t="s">
        <v>41249</v>
      </c>
      <c r="O4466" t="s">
        <v>41250</v>
      </c>
      <c r="P4466">
        <v>0</v>
      </c>
      <c r="Q4466">
        <v>13</v>
      </c>
      <c r="R4466" t="s">
        <v>41252</v>
      </c>
      <c r="S4466" t="s">
        <v>41383</v>
      </c>
      <c r="T4466" t="s">
        <v>42673</v>
      </c>
      <c r="U4466" t="s">
        <v>46898</v>
      </c>
      <c r="W4466" t="s">
        <v>39195</v>
      </c>
      <c r="X4466" t="s">
        <v>41254</v>
      </c>
    </row>
    <row r="4467" spans="1:24">
      <c r="A4467">
        <f>HYPERLINK("https://www.philgeps.gov.ph/GEPSNONPILOT/Tender/SplashBidNoticeAbstractUI.aspx?menuIndex=3&amp;refID=7075805&amp;Result=3","7075805")</f>
        <v>0</v>
      </c>
      <c r="B4467" t="s">
        <v>29</v>
      </c>
      <c r="C4467" t="s">
        <v>7660</v>
      </c>
      <c r="D4467" t="s">
        <v>16611</v>
      </c>
      <c r="E4467" t="s">
        <v>20730</v>
      </c>
      <c r="F4467" t="s">
        <v>28669</v>
      </c>
      <c r="G4467" t="s">
        <v>28677</v>
      </c>
      <c r="H4467" t="s">
        <v>9998</v>
      </c>
      <c r="I4467" t="s">
        <v>15140</v>
      </c>
      <c r="J4467" t="s">
        <v>31684</v>
      </c>
      <c r="K4467" t="s">
        <v>37209</v>
      </c>
      <c r="M4467" t="s">
        <v>37931</v>
      </c>
      <c r="N4467" t="s">
        <v>41249</v>
      </c>
      <c r="O4467" t="s">
        <v>41250</v>
      </c>
      <c r="P4467">
        <v>0</v>
      </c>
      <c r="Q4467">
        <v>0</v>
      </c>
      <c r="R4467" t="s">
        <v>41252</v>
      </c>
      <c r="S4467" t="s">
        <v>41383</v>
      </c>
      <c r="T4467" t="s">
        <v>42686</v>
      </c>
      <c r="U4467" t="s">
        <v>46917</v>
      </c>
      <c r="W4467" t="s">
        <v>37931</v>
      </c>
      <c r="X4467" t="s">
        <v>41254</v>
      </c>
    </row>
    <row r="4468" spans="1:24">
      <c r="A4468">
        <f>HYPERLINK("https://www.philgeps.gov.ph/GEPSNONPILOT/Tender/SplashBidNoticeAbstractUI.aspx?menuIndex=3&amp;refID=7075843&amp;Result=3","7075843")</f>
        <v>0</v>
      </c>
      <c r="B4468" t="s">
        <v>1617</v>
      </c>
      <c r="C4468" t="s">
        <v>7661</v>
      </c>
      <c r="D4468" t="s">
        <v>16608</v>
      </c>
      <c r="E4468" t="s">
        <v>20731</v>
      </c>
      <c r="F4468" t="s">
        <v>28669</v>
      </c>
      <c r="G4468" t="s">
        <v>28676</v>
      </c>
      <c r="H4468" t="s">
        <v>9998</v>
      </c>
      <c r="I4468" t="s">
        <v>11142</v>
      </c>
      <c r="J4468" t="s">
        <v>31685</v>
      </c>
      <c r="K4468" t="s">
        <v>37227</v>
      </c>
      <c r="M4468" t="s">
        <v>39203</v>
      </c>
      <c r="N4468" t="s">
        <v>41249</v>
      </c>
      <c r="O4468" t="s">
        <v>41250</v>
      </c>
      <c r="P4468">
        <v>0</v>
      </c>
      <c r="Q4468">
        <v>16</v>
      </c>
      <c r="R4468" t="s">
        <v>41252</v>
      </c>
      <c r="S4468" t="s">
        <v>41383</v>
      </c>
      <c r="T4468" t="s">
        <v>42743</v>
      </c>
      <c r="U4468" t="s">
        <v>46918</v>
      </c>
      <c r="W4468" t="s">
        <v>39203</v>
      </c>
      <c r="X4468" t="s">
        <v>41254</v>
      </c>
    </row>
    <row r="4469" spans="1:24">
      <c r="A4469">
        <f>HYPERLINK("https://www.philgeps.gov.ph/GEPSNONPILOT/Tender/SplashBidNoticeAbstractUI.aspx?menuIndex=3&amp;refID=7075842&amp;Result=3","7075842")</f>
        <v>0</v>
      </c>
      <c r="B4469" t="s">
        <v>1618</v>
      </c>
      <c r="C4469" t="s">
        <v>7662</v>
      </c>
      <c r="D4469" t="s">
        <v>16636</v>
      </c>
      <c r="E4469" t="s">
        <v>20732</v>
      </c>
      <c r="F4469" t="s">
        <v>28669</v>
      </c>
      <c r="G4469" t="s">
        <v>28675</v>
      </c>
      <c r="H4469" t="s">
        <v>9998</v>
      </c>
      <c r="I4469" t="s">
        <v>7352</v>
      </c>
      <c r="J4469" t="s">
        <v>31686</v>
      </c>
      <c r="K4469" t="s">
        <v>37209</v>
      </c>
      <c r="M4469" t="s">
        <v>39204</v>
      </c>
      <c r="N4469" t="s">
        <v>41249</v>
      </c>
      <c r="O4469" t="s">
        <v>41250</v>
      </c>
      <c r="P4469">
        <v>0</v>
      </c>
      <c r="Q4469">
        <v>1</v>
      </c>
      <c r="R4469" t="s">
        <v>41252</v>
      </c>
      <c r="S4469" t="s">
        <v>41383</v>
      </c>
      <c r="T4469" t="s">
        <v>42707</v>
      </c>
      <c r="U4469" t="s">
        <v>46919</v>
      </c>
      <c r="W4469" t="s">
        <v>39204</v>
      </c>
      <c r="X4469" t="s">
        <v>41254</v>
      </c>
    </row>
    <row r="4470" spans="1:24">
      <c r="A4470">
        <f>HYPERLINK("https://www.philgeps.gov.ph/GEPSNONPILOT/Tender/SplashBidNoticeAbstractUI.aspx?menuIndex=3&amp;refID=7075853&amp;Result=3","7075853")</f>
        <v>0</v>
      </c>
      <c r="B4470" t="s">
        <v>1611</v>
      </c>
      <c r="C4470" t="s">
        <v>7663</v>
      </c>
      <c r="D4470" t="s">
        <v>16608</v>
      </c>
      <c r="E4470" t="s">
        <v>20733</v>
      </c>
      <c r="F4470" t="s">
        <v>28669</v>
      </c>
      <c r="G4470" t="s">
        <v>28676</v>
      </c>
      <c r="H4470" t="s">
        <v>9998</v>
      </c>
      <c r="I4470" t="s">
        <v>28693</v>
      </c>
      <c r="J4470" t="s">
        <v>28912</v>
      </c>
      <c r="K4470" t="s">
        <v>37209</v>
      </c>
      <c r="M4470" t="s">
        <v>39195</v>
      </c>
      <c r="N4470" t="s">
        <v>41249</v>
      </c>
      <c r="O4470" t="s">
        <v>41250</v>
      </c>
      <c r="P4470">
        <v>0</v>
      </c>
      <c r="Q4470">
        <v>3</v>
      </c>
      <c r="R4470" t="s">
        <v>41252</v>
      </c>
      <c r="S4470" t="s">
        <v>41383</v>
      </c>
      <c r="T4470" t="s">
        <v>42673</v>
      </c>
      <c r="U4470" t="s">
        <v>46898</v>
      </c>
      <c r="W4470" t="s">
        <v>39195</v>
      </c>
      <c r="X4470" t="s">
        <v>41254</v>
      </c>
    </row>
    <row r="4471" spans="1:24">
      <c r="A4471">
        <f>HYPERLINK("https://www.philgeps.gov.ph/GEPSNONPILOT/Tender/SplashBidNoticeAbstractUI.aspx?menuIndex=3&amp;refID=7075841&amp;Result=3","7075841")</f>
        <v>0</v>
      </c>
      <c r="B4471" t="s">
        <v>1619</v>
      </c>
      <c r="C4471" t="s">
        <v>7664</v>
      </c>
      <c r="D4471" t="s">
        <v>16678</v>
      </c>
      <c r="E4471" t="s">
        <v>20734</v>
      </c>
      <c r="F4471" t="s">
        <v>28669</v>
      </c>
      <c r="G4471" t="s">
        <v>28677</v>
      </c>
      <c r="H4471" t="s">
        <v>9998</v>
      </c>
      <c r="I4471" t="s">
        <v>28704</v>
      </c>
      <c r="J4471" t="s">
        <v>29190</v>
      </c>
      <c r="K4471" t="s">
        <v>37221</v>
      </c>
      <c r="M4471" t="s">
        <v>39205</v>
      </c>
      <c r="N4471" t="s">
        <v>41249</v>
      </c>
      <c r="O4471" t="s">
        <v>41250</v>
      </c>
      <c r="P4471">
        <v>0</v>
      </c>
      <c r="Q4471">
        <v>0</v>
      </c>
      <c r="R4471" t="s">
        <v>41252</v>
      </c>
      <c r="S4471" t="s">
        <v>41383</v>
      </c>
      <c r="T4471" t="s">
        <v>42736</v>
      </c>
      <c r="U4471" t="s">
        <v>44023</v>
      </c>
      <c r="W4471" t="s">
        <v>39205</v>
      </c>
      <c r="X4471" t="s">
        <v>41254</v>
      </c>
    </row>
    <row r="4472" spans="1:24">
      <c r="A4472">
        <f>HYPERLINK("https://www.philgeps.gov.ph/GEPSNONPILOT/Tender/SplashBidNoticeAbstractUI.aspx?menuIndex=3&amp;refID=7075838&amp;Result=3","7075838")</f>
        <v>0</v>
      </c>
      <c r="B4472" t="s">
        <v>1611</v>
      </c>
      <c r="C4472" t="s">
        <v>3808</v>
      </c>
      <c r="D4472" t="s">
        <v>16608</v>
      </c>
      <c r="E4472" t="s">
        <v>20735</v>
      </c>
      <c r="F4472" t="s">
        <v>28669</v>
      </c>
      <c r="G4472" t="s">
        <v>28676</v>
      </c>
      <c r="H4472" t="s">
        <v>9998</v>
      </c>
      <c r="I4472" t="s">
        <v>28693</v>
      </c>
      <c r="J4472" t="s">
        <v>31687</v>
      </c>
      <c r="K4472" t="s">
        <v>37209</v>
      </c>
      <c r="M4472" t="s">
        <v>39195</v>
      </c>
      <c r="N4472" t="s">
        <v>41249</v>
      </c>
      <c r="O4472" t="s">
        <v>41250</v>
      </c>
      <c r="P4472">
        <v>0</v>
      </c>
      <c r="Q4472">
        <v>17</v>
      </c>
      <c r="R4472" t="s">
        <v>41252</v>
      </c>
      <c r="S4472" t="s">
        <v>41383</v>
      </c>
      <c r="T4472" t="s">
        <v>42673</v>
      </c>
      <c r="U4472" t="s">
        <v>46898</v>
      </c>
      <c r="W4472" t="s">
        <v>39195</v>
      </c>
      <c r="X4472" t="s">
        <v>41254</v>
      </c>
    </row>
    <row r="4473" spans="1:24">
      <c r="A4473">
        <f>HYPERLINK("https://www.philgeps.gov.ph/GEPSNONPILOT/Tender/SplashBidNoticeAbstractUI.aspx?menuIndex=3&amp;refID=7075836&amp;Result=3","7075836")</f>
        <v>0</v>
      </c>
      <c r="B4473" t="s">
        <v>1619</v>
      </c>
      <c r="C4473" t="s">
        <v>7665</v>
      </c>
      <c r="D4473" t="s">
        <v>16678</v>
      </c>
      <c r="E4473" t="s">
        <v>20736</v>
      </c>
      <c r="F4473" t="s">
        <v>28669</v>
      </c>
      <c r="G4473" t="s">
        <v>28677</v>
      </c>
      <c r="H4473" t="s">
        <v>9998</v>
      </c>
      <c r="I4473" t="s">
        <v>28756</v>
      </c>
      <c r="J4473" t="s">
        <v>31688</v>
      </c>
      <c r="K4473" t="s">
        <v>37205</v>
      </c>
      <c r="M4473" t="s">
        <v>39205</v>
      </c>
      <c r="N4473" t="s">
        <v>41249</v>
      </c>
      <c r="O4473" t="s">
        <v>41250</v>
      </c>
      <c r="P4473">
        <v>0</v>
      </c>
      <c r="Q4473">
        <v>0</v>
      </c>
      <c r="R4473" t="s">
        <v>41252</v>
      </c>
      <c r="S4473" t="s">
        <v>41383</v>
      </c>
      <c r="T4473" t="s">
        <v>42736</v>
      </c>
      <c r="U4473" t="s">
        <v>44023</v>
      </c>
      <c r="W4473" t="s">
        <v>39205</v>
      </c>
      <c r="X4473" t="s">
        <v>41254</v>
      </c>
    </row>
    <row r="4474" spans="1:24">
      <c r="A4474">
        <f>HYPERLINK("https://www.philgeps.gov.ph/GEPSNONPILOT/Tender/SplashBidNoticeAbstractUI.aspx?menuIndex=3&amp;refID=7075878&amp;Result=3","7075878")</f>
        <v>0</v>
      </c>
      <c r="B4474" t="s">
        <v>820</v>
      </c>
      <c r="C4474" t="s">
        <v>7666</v>
      </c>
      <c r="D4474" t="s">
        <v>16608</v>
      </c>
      <c r="E4474" t="s">
        <v>20737</v>
      </c>
      <c r="F4474" t="s">
        <v>28669</v>
      </c>
      <c r="G4474" t="s">
        <v>28677</v>
      </c>
      <c r="H4474" t="s">
        <v>9998</v>
      </c>
      <c r="I4474" t="s">
        <v>28692</v>
      </c>
      <c r="J4474" t="s">
        <v>31689</v>
      </c>
      <c r="K4474" t="s">
        <v>37205</v>
      </c>
      <c r="M4474" t="s">
        <v>38336</v>
      </c>
      <c r="N4474" t="s">
        <v>41249</v>
      </c>
      <c r="O4474" t="s">
        <v>41250</v>
      </c>
      <c r="P4474">
        <v>0</v>
      </c>
      <c r="Q4474">
        <v>14</v>
      </c>
      <c r="R4474" t="s">
        <v>41252</v>
      </c>
      <c r="S4474" t="s">
        <v>41383</v>
      </c>
      <c r="T4474" t="s">
        <v>42767</v>
      </c>
      <c r="U4474" t="s">
        <v>46920</v>
      </c>
      <c r="W4474" t="s">
        <v>38336</v>
      </c>
      <c r="X4474" t="s">
        <v>41254</v>
      </c>
    </row>
    <row r="4475" spans="1:24">
      <c r="A4475">
        <f>HYPERLINK("https://www.philgeps.gov.ph/GEPSNONPILOT/Tender/SplashBidNoticeAbstractUI.aspx?menuIndex=3&amp;refID=7075877&amp;Result=3","7075877")</f>
        <v>0</v>
      </c>
      <c r="B4475" t="s">
        <v>852</v>
      </c>
      <c r="C4475" t="s">
        <v>7667</v>
      </c>
      <c r="D4475" t="s">
        <v>16679</v>
      </c>
      <c r="E4475" t="s">
        <v>20738</v>
      </c>
      <c r="F4475" t="s">
        <v>28669</v>
      </c>
      <c r="G4475" t="s">
        <v>28677</v>
      </c>
      <c r="H4475" t="s">
        <v>9998</v>
      </c>
      <c r="I4475" t="s">
        <v>5286</v>
      </c>
      <c r="J4475" t="s">
        <v>31690</v>
      </c>
      <c r="K4475" t="s">
        <v>37209</v>
      </c>
      <c r="M4475" t="s">
        <v>38368</v>
      </c>
      <c r="N4475" t="s">
        <v>41249</v>
      </c>
      <c r="O4475" t="s">
        <v>41250</v>
      </c>
      <c r="P4475">
        <v>0</v>
      </c>
      <c r="Q4475">
        <v>11</v>
      </c>
      <c r="R4475" t="s">
        <v>41252</v>
      </c>
      <c r="S4475" t="s">
        <v>41383</v>
      </c>
      <c r="T4475" t="s">
        <v>42770</v>
      </c>
      <c r="U4475" t="s">
        <v>46921</v>
      </c>
      <c r="V4475" t="s">
        <v>54491</v>
      </c>
      <c r="W4475" t="s">
        <v>38368</v>
      </c>
      <c r="X4475" t="s">
        <v>41254</v>
      </c>
    </row>
    <row r="4476" spans="1:24">
      <c r="A4476">
        <f>HYPERLINK("https://www.philgeps.gov.ph/GEPSNONPILOT/Tender/SplashBidNoticeAbstractUI.aspx?menuIndex=3&amp;refID=7075874&amp;Result=3","7075874")</f>
        <v>0</v>
      </c>
      <c r="B4476" t="s">
        <v>1594</v>
      </c>
      <c r="C4476" t="s">
        <v>7668</v>
      </c>
      <c r="D4476" t="s">
        <v>16626</v>
      </c>
      <c r="E4476" t="s">
        <v>20739</v>
      </c>
      <c r="F4476" t="s">
        <v>28669</v>
      </c>
      <c r="G4476" t="s">
        <v>28682</v>
      </c>
      <c r="H4476" t="s">
        <v>28684</v>
      </c>
      <c r="I4476" t="s">
        <v>6128</v>
      </c>
      <c r="J4476" t="s">
        <v>31691</v>
      </c>
      <c r="K4476" t="s">
        <v>37304</v>
      </c>
      <c r="M4476" t="s">
        <v>39177</v>
      </c>
      <c r="N4476" t="s">
        <v>41249</v>
      </c>
      <c r="O4476" t="s">
        <v>41250</v>
      </c>
      <c r="P4476">
        <v>0</v>
      </c>
      <c r="Q4476">
        <v>1</v>
      </c>
      <c r="R4476" t="s">
        <v>41252</v>
      </c>
      <c r="S4476" t="s">
        <v>41383</v>
      </c>
      <c r="T4476" t="s">
        <v>42777</v>
      </c>
      <c r="U4476" t="s">
        <v>46922</v>
      </c>
      <c r="W4476" t="s">
        <v>39177</v>
      </c>
      <c r="X4476" t="s">
        <v>41254</v>
      </c>
    </row>
    <row r="4477" spans="1:24">
      <c r="A4477">
        <f>HYPERLINK("https://www.philgeps.gov.ph/GEPSNONPILOT/Tender/SplashBidNoticeAbstractUI.aspx?menuIndex=3&amp;refID=7075854&amp;Result=3","7075854")</f>
        <v>0</v>
      </c>
      <c r="B4477" t="s">
        <v>1307</v>
      </c>
      <c r="C4477" t="s">
        <v>7669</v>
      </c>
      <c r="D4477" t="s">
        <v>16608</v>
      </c>
      <c r="E4477" t="s">
        <v>20740</v>
      </c>
      <c r="F4477" t="s">
        <v>28669</v>
      </c>
      <c r="G4477" t="s">
        <v>28676</v>
      </c>
      <c r="H4477" t="s">
        <v>28684</v>
      </c>
      <c r="I4477" t="s">
        <v>11593</v>
      </c>
      <c r="J4477" t="s">
        <v>31692</v>
      </c>
      <c r="K4477" t="s">
        <v>37235</v>
      </c>
      <c r="M4477" t="s">
        <v>39073</v>
      </c>
      <c r="N4477" t="s">
        <v>41249</v>
      </c>
      <c r="O4477" t="s">
        <v>41250</v>
      </c>
      <c r="P4477">
        <v>0</v>
      </c>
      <c r="Q4477">
        <v>2</v>
      </c>
      <c r="R4477" t="s">
        <v>41252</v>
      </c>
      <c r="S4477" t="s">
        <v>41383</v>
      </c>
      <c r="T4477" t="s">
        <v>42701</v>
      </c>
      <c r="U4477" t="s">
        <v>46543</v>
      </c>
      <c r="W4477" t="s">
        <v>39073</v>
      </c>
      <c r="X4477" t="s">
        <v>41254</v>
      </c>
    </row>
    <row r="4478" spans="1:24">
      <c r="A4478">
        <f>HYPERLINK("https://www.philgeps.gov.ph/GEPSNONPILOT/Tender/SplashBidNoticeAbstractUI.aspx?menuIndex=3&amp;refID=7075840&amp;Result=3","7075840")</f>
        <v>0</v>
      </c>
      <c r="B4478" t="s">
        <v>1620</v>
      </c>
      <c r="C4478" t="s">
        <v>7670</v>
      </c>
      <c r="D4478" t="s">
        <v>16658</v>
      </c>
      <c r="E4478" t="s">
        <v>20741</v>
      </c>
      <c r="F4478" t="s">
        <v>28669</v>
      </c>
      <c r="G4478" t="s">
        <v>28675</v>
      </c>
      <c r="H4478" t="s">
        <v>28686</v>
      </c>
      <c r="I4478" t="s">
        <v>28689</v>
      </c>
      <c r="J4478" t="s">
        <v>31693</v>
      </c>
      <c r="K4478" t="s">
        <v>37334</v>
      </c>
      <c r="M4478" t="s">
        <v>39206</v>
      </c>
      <c r="N4478" t="s">
        <v>41249</v>
      </c>
      <c r="O4478" t="s">
        <v>41250</v>
      </c>
      <c r="P4478">
        <v>0</v>
      </c>
      <c r="Q4478">
        <v>1</v>
      </c>
      <c r="R4478" t="s">
        <v>41252</v>
      </c>
      <c r="S4478" t="s">
        <v>41383</v>
      </c>
      <c r="T4478" t="s">
        <v>42782</v>
      </c>
      <c r="U4478" t="s">
        <v>46923</v>
      </c>
      <c r="W4478" t="s">
        <v>39206</v>
      </c>
      <c r="X4478" t="s">
        <v>41254</v>
      </c>
    </row>
    <row r="4479" spans="1:24">
      <c r="A4479">
        <f>HYPERLINK("https://www.philgeps.gov.ph/GEPSNONPILOT/Tender/SplashBidNoticeAbstractUI.aspx?menuIndex=3&amp;refID=7075872&amp;Result=3","7075872")</f>
        <v>0</v>
      </c>
      <c r="B4479" t="s">
        <v>1600</v>
      </c>
      <c r="C4479" t="s">
        <v>7671</v>
      </c>
      <c r="D4479" t="s">
        <v>16608</v>
      </c>
      <c r="E4479" t="s">
        <v>20742</v>
      </c>
      <c r="F4479" t="s">
        <v>28669</v>
      </c>
      <c r="G4479" t="s">
        <v>28675</v>
      </c>
      <c r="H4479" t="s">
        <v>28686</v>
      </c>
      <c r="I4479" t="s">
        <v>28689</v>
      </c>
      <c r="J4479" t="s">
        <v>31694</v>
      </c>
      <c r="K4479" t="s">
        <v>37212</v>
      </c>
      <c r="M4479" t="s">
        <v>39183</v>
      </c>
      <c r="N4479" t="s">
        <v>41249</v>
      </c>
      <c r="O4479" t="s">
        <v>41250</v>
      </c>
      <c r="P4479">
        <v>0</v>
      </c>
      <c r="Q4479">
        <v>8</v>
      </c>
      <c r="R4479" t="s">
        <v>41252</v>
      </c>
      <c r="S4479" t="s">
        <v>41383</v>
      </c>
      <c r="T4479" t="s">
        <v>42860</v>
      </c>
      <c r="U4479" t="s">
        <v>46924</v>
      </c>
      <c r="V4479" t="s">
        <v>54738</v>
      </c>
      <c r="W4479" t="s">
        <v>39183</v>
      </c>
      <c r="X4479" t="s">
        <v>41254</v>
      </c>
    </row>
    <row r="4480" spans="1:24">
      <c r="A4480">
        <f>HYPERLINK("https://www.philgeps.gov.ph/GEPSNONPILOT/Tender/SplashBidNoticeAbstractUI.aspx?menuIndex=3&amp;refID=7075870&amp;Result=3","7075870")</f>
        <v>0</v>
      </c>
      <c r="B4480" t="s">
        <v>1621</v>
      </c>
      <c r="C4480" t="s">
        <v>7672</v>
      </c>
      <c r="D4480" t="s">
        <v>16639</v>
      </c>
      <c r="E4480" t="s">
        <v>20743</v>
      </c>
      <c r="F4480" t="s">
        <v>28669</v>
      </c>
      <c r="G4480" t="s">
        <v>28675</v>
      </c>
      <c r="H4480" t="s">
        <v>9998</v>
      </c>
      <c r="I4480" t="s">
        <v>7352</v>
      </c>
      <c r="J4480" t="s">
        <v>31695</v>
      </c>
      <c r="K4480" t="s">
        <v>37209</v>
      </c>
      <c r="M4480" t="s">
        <v>39207</v>
      </c>
      <c r="N4480" t="s">
        <v>41249</v>
      </c>
      <c r="O4480" t="s">
        <v>41250</v>
      </c>
      <c r="P4480">
        <v>0</v>
      </c>
      <c r="Q4480">
        <v>0</v>
      </c>
      <c r="R4480" t="s">
        <v>41252</v>
      </c>
      <c r="S4480" t="s">
        <v>41383</v>
      </c>
      <c r="T4480" t="s">
        <v>42674</v>
      </c>
      <c r="U4480" t="s">
        <v>46925</v>
      </c>
      <c r="W4480" t="s">
        <v>39207</v>
      </c>
      <c r="X4480" t="s">
        <v>41254</v>
      </c>
    </row>
    <row r="4481" spans="1:24">
      <c r="A4481">
        <f>HYPERLINK("https://www.philgeps.gov.ph/GEPSNONPILOT/Tender/SplashBidNoticeAbstractUI.aspx?menuIndex=3&amp;refID=7075869&amp;Result=3","7075869")</f>
        <v>0</v>
      </c>
      <c r="B4481" t="s">
        <v>852</v>
      </c>
      <c r="C4481" t="s">
        <v>7673</v>
      </c>
      <c r="D4481" t="s">
        <v>16679</v>
      </c>
      <c r="E4481" t="s">
        <v>20744</v>
      </c>
      <c r="F4481" t="s">
        <v>28669</v>
      </c>
      <c r="G4481" t="s">
        <v>28677</v>
      </c>
      <c r="H4481" t="s">
        <v>9998</v>
      </c>
      <c r="I4481" t="s">
        <v>28731</v>
      </c>
      <c r="J4481" t="s">
        <v>31696</v>
      </c>
      <c r="K4481" t="s">
        <v>37209</v>
      </c>
      <c r="M4481" t="s">
        <v>38368</v>
      </c>
      <c r="N4481" t="s">
        <v>41249</v>
      </c>
      <c r="O4481" t="s">
        <v>41250</v>
      </c>
      <c r="P4481">
        <v>0</v>
      </c>
      <c r="Q4481">
        <v>6</v>
      </c>
      <c r="R4481" t="s">
        <v>41252</v>
      </c>
      <c r="S4481" t="s">
        <v>41383</v>
      </c>
      <c r="T4481" t="s">
        <v>42770</v>
      </c>
      <c r="U4481" t="s">
        <v>46926</v>
      </c>
      <c r="V4481" t="s">
        <v>54491</v>
      </c>
      <c r="W4481" t="s">
        <v>38368</v>
      </c>
      <c r="X4481" t="s">
        <v>41254</v>
      </c>
    </row>
    <row r="4482" spans="1:24">
      <c r="A4482">
        <f>HYPERLINK("https://www.philgeps.gov.ph/GEPSNONPILOT/Tender/SplashBidNoticeAbstractUI.aspx?menuIndex=3&amp;refID=7075856&amp;Result=3","7075856")</f>
        <v>0</v>
      </c>
      <c r="B4482" t="s">
        <v>1600</v>
      </c>
      <c r="C4482" t="s">
        <v>7674</v>
      </c>
      <c r="D4482" t="s">
        <v>16608</v>
      </c>
      <c r="E4482" t="s">
        <v>20745</v>
      </c>
      <c r="F4482" t="s">
        <v>28669</v>
      </c>
      <c r="G4482" t="s">
        <v>28675</v>
      </c>
      <c r="H4482" t="s">
        <v>28686</v>
      </c>
      <c r="I4482" t="s">
        <v>28710</v>
      </c>
      <c r="J4482" t="s">
        <v>31697</v>
      </c>
      <c r="K4482" t="s">
        <v>37326</v>
      </c>
      <c r="M4482" t="s">
        <v>39183</v>
      </c>
      <c r="N4482" t="s">
        <v>41249</v>
      </c>
      <c r="O4482" t="s">
        <v>41250</v>
      </c>
      <c r="P4482">
        <v>0</v>
      </c>
      <c r="Q4482">
        <v>2</v>
      </c>
      <c r="R4482" t="s">
        <v>41252</v>
      </c>
      <c r="S4482" t="s">
        <v>41383</v>
      </c>
      <c r="T4482" t="s">
        <v>42815</v>
      </c>
      <c r="U4482" t="s">
        <v>46927</v>
      </c>
      <c r="V4482" t="s">
        <v>54738</v>
      </c>
      <c r="W4482" t="s">
        <v>39183</v>
      </c>
      <c r="X4482" t="s">
        <v>41254</v>
      </c>
    </row>
    <row r="4483" spans="1:24">
      <c r="A4483">
        <f>HYPERLINK("https://www.philgeps.gov.ph/GEPSNONPILOT/Tender/SplashBidNoticeAbstractUI.aspx?menuIndex=3&amp;refID=7075866&amp;Result=3","7075866")</f>
        <v>0</v>
      </c>
      <c r="B4483" t="s">
        <v>850</v>
      </c>
      <c r="C4483" t="s">
        <v>7675</v>
      </c>
      <c r="D4483" t="s">
        <v>16686</v>
      </c>
      <c r="E4483" t="s">
        <v>20746</v>
      </c>
      <c r="F4483" t="s">
        <v>28669</v>
      </c>
      <c r="G4483" t="s">
        <v>28676</v>
      </c>
      <c r="H4483" t="s">
        <v>9998</v>
      </c>
      <c r="I4483" t="s">
        <v>28719</v>
      </c>
      <c r="J4483" t="s">
        <v>31698</v>
      </c>
      <c r="K4483" t="s">
        <v>37209</v>
      </c>
      <c r="M4483" t="s">
        <v>38366</v>
      </c>
      <c r="N4483" t="s">
        <v>41249</v>
      </c>
      <c r="O4483" t="s">
        <v>41250</v>
      </c>
      <c r="P4483">
        <v>0</v>
      </c>
      <c r="Q4483">
        <v>3</v>
      </c>
      <c r="R4483" t="s">
        <v>41252</v>
      </c>
      <c r="S4483" t="s">
        <v>41383</v>
      </c>
      <c r="T4483" t="s">
        <v>42729</v>
      </c>
      <c r="U4483" t="s">
        <v>46928</v>
      </c>
      <c r="W4483" t="s">
        <v>38366</v>
      </c>
      <c r="X4483" t="s">
        <v>41254</v>
      </c>
    </row>
    <row r="4484" spans="1:24">
      <c r="A4484">
        <f>HYPERLINK("https://www.philgeps.gov.ph/GEPSNONPILOT/Tender/SplashBidNoticeAbstractUI.aspx?menuIndex=3&amp;refID=7075865&amp;Result=3","7075865")</f>
        <v>0</v>
      </c>
      <c r="B4484" t="s">
        <v>1622</v>
      </c>
      <c r="C4484" t="s">
        <v>7676</v>
      </c>
      <c r="D4484" t="s">
        <v>16621</v>
      </c>
      <c r="E4484" t="s">
        <v>20747</v>
      </c>
      <c r="F4484" t="s">
        <v>28669</v>
      </c>
      <c r="G4484" t="s">
        <v>28676</v>
      </c>
      <c r="H4484" t="s">
        <v>9998</v>
      </c>
      <c r="I4484" t="s">
        <v>28694</v>
      </c>
      <c r="J4484" t="s">
        <v>31699</v>
      </c>
      <c r="K4484" t="s">
        <v>37206</v>
      </c>
      <c r="M4484" t="s">
        <v>39208</v>
      </c>
      <c r="N4484" t="s">
        <v>41249</v>
      </c>
      <c r="O4484" t="s">
        <v>41250</v>
      </c>
      <c r="P4484">
        <v>0</v>
      </c>
      <c r="Q4484">
        <v>3</v>
      </c>
      <c r="R4484" t="s">
        <v>41252</v>
      </c>
      <c r="S4484" t="s">
        <v>41383</v>
      </c>
      <c r="T4484" t="s">
        <v>42711</v>
      </c>
      <c r="U4484" t="s">
        <v>46364</v>
      </c>
      <c r="W4484" t="s">
        <v>39208</v>
      </c>
      <c r="X4484" t="s">
        <v>41254</v>
      </c>
    </row>
    <row r="4485" spans="1:24">
      <c r="A4485">
        <f>HYPERLINK("https://www.philgeps.gov.ph/GEPSNONPILOT/Tender/SplashBidNoticeAbstractUI.aspx?menuIndex=3&amp;refID=7075844&amp;Result=3","7075844")</f>
        <v>0</v>
      </c>
      <c r="B4485" t="s">
        <v>1619</v>
      </c>
      <c r="C4485" t="s">
        <v>7677</v>
      </c>
      <c r="D4485" t="s">
        <v>16678</v>
      </c>
      <c r="E4485" t="s">
        <v>20748</v>
      </c>
      <c r="F4485" t="s">
        <v>28669</v>
      </c>
      <c r="G4485" t="s">
        <v>28677</v>
      </c>
      <c r="H4485" t="s">
        <v>9998</v>
      </c>
      <c r="I4485" t="s">
        <v>28704</v>
      </c>
      <c r="J4485" t="s">
        <v>31700</v>
      </c>
      <c r="K4485" t="s">
        <v>37221</v>
      </c>
      <c r="M4485" t="s">
        <v>39205</v>
      </c>
      <c r="N4485" t="s">
        <v>41249</v>
      </c>
      <c r="O4485" t="s">
        <v>41250</v>
      </c>
      <c r="P4485">
        <v>0</v>
      </c>
      <c r="Q4485">
        <v>0</v>
      </c>
      <c r="R4485" t="s">
        <v>41252</v>
      </c>
      <c r="S4485" t="s">
        <v>41383</v>
      </c>
      <c r="T4485" t="s">
        <v>42736</v>
      </c>
      <c r="U4485" t="s">
        <v>44023</v>
      </c>
      <c r="W4485" t="s">
        <v>39205</v>
      </c>
      <c r="X4485" t="s">
        <v>41254</v>
      </c>
    </row>
    <row r="4486" spans="1:24">
      <c r="A4486">
        <f>HYPERLINK("https://www.philgeps.gov.ph/GEPSNONPILOT/Tender/SplashBidNoticeAbstractUI.aspx?menuIndex=3&amp;refID=7075864&amp;Result=3","7075864")</f>
        <v>0</v>
      </c>
      <c r="B4486" t="s">
        <v>852</v>
      </c>
      <c r="C4486" t="s">
        <v>7678</v>
      </c>
      <c r="D4486" t="s">
        <v>16679</v>
      </c>
      <c r="E4486" t="s">
        <v>20749</v>
      </c>
      <c r="F4486" t="s">
        <v>28669</v>
      </c>
      <c r="G4486" t="s">
        <v>28677</v>
      </c>
      <c r="H4486" t="s">
        <v>9998</v>
      </c>
      <c r="I4486" t="s">
        <v>28699</v>
      </c>
      <c r="J4486" t="s">
        <v>31701</v>
      </c>
      <c r="K4486" t="s">
        <v>37209</v>
      </c>
      <c r="M4486" t="s">
        <v>38368</v>
      </c>
      <c r="N4486" t="s">
        <v>41249</v>
      </c>
      <c r="O4486" t="s">
        <v>41250</v>
      </c>
      <c r="P4486">
        <v>0</v>
      </c>
      <c r="Q4486">
        <v>2</v>
      </c>
      <c r="R4486" t="s">
        <v>41252</v>
      </c>
      <c r="S4486" t="s">
        <v>41383</v>
      </c>
      <c r="T4486" t="s">
        <v>42770</v>
      </c>
      <c r="U4486" t="s">
        <v>46929</v>
      </c>
      <c r="V4486" t="s">
        <v>54491</v>
      </c>
      <c r="W4486" t="s">
        <v>38368</v>
      </c>
      <c r="X4486" t="s">
        <v>41254</v>
      </c>
    </row>
    <row r="4487" spans="1:24">
      <c r="A4487">
        <f>HYPERLINK("https://www.philgeps.gov.ph/GEPSNONPILOT/Tender/SplashBidNoticeAbstractUI.aspx?menuIndex=3&amp;refID=7075863&amp;Result=3","7075863")</f>
        <v>0</v>
      </c>
      <c r="B4487" t="s">
        <v>563</v>
      </c>
      <c r="C4487" t="s">
        <v>7679</v>
      </c>
      <c r="D4487" t="s">
        <v>16616</v>
      </c>
      <c r="E4487" t="s">
        <v>20750</v>
      </c>
      <c r="F4487" t="s">
        <v>28669</v>
      </c>
      <c r="G4487" t="s">
        <v>28676</v>
      </c>
      <c r="H4487" t="s">
        <v>9998</v>
      </c>
      <c r="I4487" t="s">
        <v>28690</v>
      </c>
      <c r="J4487" t="s">
        <v>31702</v>
      </c>
      <c r="K4487" t="s">
        <v>37206</v>
      </c>
      <c r="M4487" t="s">
        <v>38059</v>
      </c>
      <c r="N4487" t="s">
        <v>41249</v>
      </c>
      <c r="O4487" t="s">
        <v>41250</v>
      </c>
      <c r="P4487">
        <v>0</v>
      </c>
      <c r="Q4487">
        <v>5</v>
      </c>
      <c r="R4487" t="s">
        <v>41252</v>
      </c>
      <c r="S4487" t="s">
        <v>41383</v>
      </c>
      <c r="T4487" t="s">
        <v>42757</v>
      </c>
      <c r="U4487" t="s">
        <v>46930</v>
      </c>
      <c r="W4487" t="s">
        <v>38059</v>
      </c>
      <c r="X4487" t="s">
        <v>41254</v>
      </c>
    </row>
    <row r="4488" spans="1:24">
      <c r="A4488">
        <f>HYPERLINK("https://www.philgeps.gov.ph/GEPSNONPILOT/Tender/SplashBidNoticeAbstractUI.aspx?menuIndex=3&amp;refID=7075900&amp;Result=3","7075900")</f>
        <v>0</v>
      </c>
      <c r="B4488" t="s">
        <v>1539</v>
      </c>
      <c r="C4488" t="s">
        <v>7680</v>
      </c>
      <c r="D4488" t="s">
        <v>16671</v>
      </c>
      <c r="E4488" t="s">
        <v>20751</v>
      </c>
      <c r="F4488" t="s">
        <v>28669</v>
      </c>
      <c r="G4488" t="s">
        <v>28675</v>
      </c>
      <c r="H4488" t="s">
        <v>9998</v>
      </c>
      <c r="I4488" t="s">
        <v>28689</v>
      </c>
      <c r="J4488" t="s">
        <v>28847</v>
      </c>
      <c r="K4488" t="s">
        <v>37211</v>
      </c>
      <c r="M4488" t="s">
        <v>39114</v>
      </c>
      <c r="N4488" t="s">
        <v>41249</v>
      </c>
      <c r="O4488" t="s">
        <v>41250</v>
      </c>
      <c r="P4488">
        <v>0</v>
      </c>
      <c r="Q4488">
        <v>1</v>
      </c>
      <c r="R4488" t="s">
        <v>41252</v>
      </c>
      <c r="S4488" t="s">
        <v>41383</v>
      </c>
      <c r="T4488" t="s">
        <v>42716</v>
      </c>
      <c r="U4488" t="s">
        <v>46931</v>
      </c>
      <c r="V4488" t="s">
        <v>54743</v>
      </c>
      <c r="W4488" t="s">
        <v>39114</v>
      </c>
      <c r="X4488" t="s">
        <v>41254</v>
      </c>
    </row>
    <row r="4489" spans="1:24">
      <c r="A4489">
        <f>HYPERLINK("https://www.philgeps.gov.ph/GEPSNONPILOT/Tender/SplashBidNoticeAbstractUI.aspx?menuIndex=3&amp;refID=7075899&amp;Result=3","7075899")</f>
        <v>0</v>
      </c>
      <c r="B4489" t="s">
        <v>1621</v>
      </c>
      <c r="C4489" t="s">
        <v>7681</v>
      </c>
      <c r="D4489" t="s">
        <v>16639</v>
      </c>
      <c r="E4489" t="s">
        <v>20752</v>
      </c>
      <c r="F4489" t="s">
        <v>28669</v>
      </c>
      <c r="G4489" t="s">
        <v>28675</v>
      </c>
      <c r="H4489" t="s">
        <v>28686</v>
      </c>
      <c r="I4489" t="s">
        <v>28689</v>
      </c>
      <c r="J4489" t="s">
        <v>30848</v>
      </c>
      <c r="K4489" t="s">
        <v>37209</v>
      </c>
      <c r="M4489" t="s">
        <v>39207</v>
      </c>
      <c r="N4489" t="s">
        <v>41249</v>
      </c>
      <c r="O4489" t="s">
        <v>41250</v>
      </c>
      <c r="P4489">
        <v>0</v>
      </c>
      <c r="Q4489">
        <v>1</v>
      </c>
      <c r="R4489" t="s">
        <v>41252</v>
      </c>
      <c r="S4489" t="s">
        <v>41383</v>
      </c>
      <c r="T4489" t="s">
        <v>42823</v>
      </c>
      <c r="U4489" t="s">
        <v>46932</v>
      </c>
      <c r="W4489" t="s">
        <v>39207</v>
      </c>
      <c r="X4489" t="s">
        <v>41254</v>
      </c>
    </row>
    <row r="4490" spans="1:24">
      <c r="A4490">
        <f>HYPERLINK("https://www.philgeps.gov.ph/GEPSNONPILOT/Tender/SplashBidNoticeAbstractUI.aspx?menuIndex=3&amp;refID=7075825&amp;Result=3","7075825")</f>
        <v>0</v>
      </c>
      <c r="B4490" t="s">
        <v>672</v>
      </c>
      <c r="C4490" t="s">
        <v>7682</v>
      </c>
      <c r="D4490" t="s">
        <v>16641</v>
      </c>
      <c r="E4490" t="s">
        <v>20753</v>
      </c>
      <c r="F4490" t="s">
        <v>28669</v>
      </c>
      <c r="G4490" t="s">
        <v>28676</v>
      </c>
      <c r="H4490" t="s">
        <v>9998</v>
      </c>
      <c r="I4490" t="s">
        <v>5213</v>
      </c>
      <c r="J4490" t="s">
        <v>31703</v>
      </c>
      <c r="K4490" t="s">
        <v>37206</v>
      </c>
      <c r="M4490" t="s">
        <v>38175</v>
      </c>
      <c r="N4490" t="s">
        <v>41249</v>
      </c>
      <c r="O4490" t="s">
        <v>41250</v>
      </c>
      <c r="P4490">
        <v>0</v>
      </c>
      <c r="Q4490">
        <v>3</v>
      </c>
      <c r="R4490" t="s">
        <v>41252</v>
      </c>
      <c r="S4490" t="s">
        <v>41383</v>
      </c>
      <c r="T4490" t="s">
        <v>42748</v>
      </c>
      <c r="U4490" t="s">
        <v>46933</v>
      </c>
      <c r="W4490" t="s">
        <v>38175</v>
      </c>
      <c r="X4490" t="s">
        <v>41254</v>
      </c>
    </row>
    <row r="4491" spans="1:24">
      <c r="A4491">
        <f>HYPERLINK("https://www.philgeps.gov.ph/GEPSNONPILOT/Tender/SplashBidNoticeAbstractUI.aspx?menuIndex=3&amp;refID=7075898&amp;Result=3","7075898")</f>
        <v>0</v>
      </c>
      <c r="B4491" t="s">
        <v>1623</v>
      </c>
      <c r="C4491" t="s">
        <v>7683</v>
      </c>
      <c r="D4491" t="s">
        <v>16618</v>
      </c>
      <c r="E4491" t="s">
        <v>20754</v>
      </c>
      <c r="F4491" t="s">
        <v>28669</v>
      </c>
      <c r="G4491" t="s">
        <v>28676</v>
      </c>
      <c r="H4491" t="s">
        <v>9998</v>
      </c>
      <c r="I4491" t="s">
        <v>28721</v>
      </c>
      <c r="J4491" t="s">
        <v>31704</v>
      </c>
      <c r="K4491" t="s">
        <v>37227</v>
      </c>
      <c r="M4491" t="s">
        <v>39209</v>
      </c>
      <c r="N4491" t="s">
        <v>41249</v>
      </c>
      <c r="O4491" t="s">
        <v>41250</v>
      </c>
      <c r="P4491">
        <v>0</v>
      </c>
      <c r="Q4491">
        <v>1</v>
      </c>
      <c r="R4491" t="s">
        <v>41252</v>
      </c>
      <c r="S4491" t="s">
        <v>41383</v>
      </c>
      <c r="T4491" t="s">
        <v>42743</v>
      </c>
      <c r="U4491" t="s">
        <v>46934</v>
      </c>
      <c r="W4491" t="s">
        <v>39209</v>
      </c>
      <c r="X4491" t="s">
        <v>41254</v>
      </c>
    </row>
    <row r="4492" spans="1:24">
      <c r="A4492">
        <f>HYPERLINK("https://www.philgeps.gov.ph/GEPSNONPILOT/Tender/SplashBidNoticeAbstractUI.aspx?menuIndex=3&amp;refID=7075868&amp;Result=3","7075868")</f>
        <v>0</v>
      </c>
      <c r="B4492" t="s">
        <v>293</v>
      </c>
      <c r="C4492" t="s">
        <v>7684</v>
      </c>
      <c r="D4492" t="s">
        <v>16668</v>
      </c>
      <c r="E4492" t="s">
        <v>20755</v>
      </c>
      <c r="F4492" t="s">
        <v>28669</v>
      </c>
      <c r="G4492" t="s">
        <v>28675</v>
      </c>
      <c r="H4492" t="s">
        <v>28686</v>
      </c>
      <c r="I4492" t="s">
        <v>28689</v>
      </c>
      <c r="J4492" t="s">
        <v>31705</v>
      </c>
      <c r="K4492" t="s">
        <v>37274</v>
      </c>
      <c r="M4492" t="s">
        <v>37772</v>
      </c>
      <c r="N4492" t="s">
        <v>41249</v>
      </c>
      <c r="O4492" t="s">
        <v>41250</v>
      </c>
      <c r="P4492">
        <v>0</v>
      </c>
      <c r="Q4492">
        <v>0</v>
      </c>
      <c r="R4492" t="s">
        <v>41252</v>
      </c>
      <c r="S4492" t="s">
        <v>41383</v>
      </c>
      <c r="T4492" t="s">
        <v>42712</v>
      </c>
      <c r="U4492" t="s">
        <v>46935</v>
      </c>
      <c r="W4492" t="s">
        <v>37772</v>
      </c>
      <c r="X4492" t="s">
        <v>41254</v>
      </c>
    </row>
    <row r="4493" spans="1:24">
      <c r="A4493">
        <f>HYPERLINK("https://www.philgeps.gov.ph/GEPSNONPILOT/Tender/SplashBidNoticeAbstractUI.aspx?menuIndex=3&amp;refID=7075895&amp;Result=3","7075895")</f>
        <v>0</v>
      </c>
      <c r="B4493" t="s">
        <v>276</v>
      </c>
      <c r="C4493" t="s">
        <v>7685</v>
      </c>
      <c r="E4493" t="s">
        <v>20756</v>
      </c>
      <c r="F4493" t="s">
        <v>28669</v>
      </c>
      <c r="G4493" t="s">
        <v>28675</v>
      </c>
      <c r="H4493" t="s">
        <v>9998</v>
      </c>
      <c r="I4493" t="s">
        <v>28713</v>
      </c>
      <c r="J4493" t="s">
        <v>28850</v>
      </c>
      <c r="K4493" t="s">
        <v>37209</v>
      </c>
      <c r="M4493" t="s">
        <v>39152</v>
      </c>
      <c r="N4493" t="s">
        <v>41249</v>
      </c>
      <c r="O4493" t="s">
        <v>41250</v>
      </c>
      <c r="Q4493">
        <v>9</v>
      </c>
      <c r="R4493" t="s">
        <v>41252</v>
      </c>
      <c r="S4493" t="s">
        <v>41408</v>
      </c>
      <c r="T4493" t="s">
        <v>42669</v>
      </c>
      <c r="U4493" t="s">
        <v>46799</v>
      </c>
      <c r="V4493" t="s">
        <v>54728</v>
      </c>
      <c r="W4493" t="s">
        <v>39152</v>
      </c>
      <c r="X4493" t="s">
        <v>41254</v>
      </c>
    </row>
    <row r="4494" spans="1:24">
      <c r="A4494">
        <f>HYPERLINK("https://www.philgeps.gov.ph/GEPSNONPILOT/Tender/SplashBidNoticeAbstractUI.aspx?menuIndex=3&amp;refID=7075867&amp;Result=3","7075867")</f>
        <v>0</v>
      </c>
      <c r="B4494" t="s">
        <v>121</v>
      </c>
      <c r="C4494" t="s">
        <v>7686</v>
      </c>
      <c r="D4494" t="s">
        <v>16608</v>
      </c>
      <c r="E4494" t="s">
        <v>20757</v>
      </c>
      <c r="F4494" t="s">
        <v>28669</v>
      </c>
      <c r="G4494" t="s">
        <v>28678</v>
      </c>
      <c r="H4494" t="s">
        <v>9998</v>
      </c>
      <c r="I4494" t="s">
        <v>28688</v>
      </c>
      <c r="J4494" t="s">
        <v>31706</v>
      </c>
      <c r="K4494" t="s">
        <v>37204</v>
      </c>
      <c r="M4494" t="s">
        <v>38830</v>
      </c>
      <c r="N4494" t="s">
        <v>41249</v>
      </c>
      <c r="O4494" t="s">
        <v>41250</v>
      </c>
      <c r="P4494">
        <v>0</v>
      </c>
      <c r="Q4494">
        <v>9</v>
      </c>
      <c r="R4494" t="s">
        <v>41252</v>
      </c>
      <c r="S4494" t="s">
        <v>41383</v>
      </c>
      <c r="T4494" t="s">
        <v>42701</v>
      </c>
      <c r="U4494" t="s">
        <v>46936</v>
      </c>
      <c r="W4494" t="s">
        <v>38830</v>
      </c>
      <c r="X4494" t="s">
        <v>41254</v>
      </c>
    </row>
    <row r="4495" spans="1:24">
      <c r="A4495">
        <f>HYPERLINK("https://www.philgeps.gov.ph/GEPSNONPILOT/Tender/SplashBidNoticeAbstractUI.aspx?menuIndex=3&amp;refID=7075894&amp;Result=3","7075894")</f>
        <v>0</v>
      </c>
      <c r="B4495" t="s">
        <v>1624</v>
      </c>
      <c r="C4495" t="s">
        <v>7687</v>
      </c>
      <c r="D4495" t="s">
        <v>16624</v>
      </c>
      <c r="E4495" t="s">
        <v>20758</v>
      </c>
      <c r="F4495" t="s">
        <v>28669</v>
      </c>
      <c r="G4495" t="s">
        <v>28676</v>
      </c>
      <c r="H4495" t="s">
        <v>9998</v>
      </c>
      <c r="I4495" t="s">
        <v>28688</v>
      </c>
      <c r="J4495" t="s">
        <v>29512</v>
      </c>
      <c r="K4495" t="s">
        <v>37205</v>
      </c>
      <c r="M4495" t="s">
        <v>39210</v>
      </c>
      <c r="N4495" t="s">
        <v>41249</v>
      </c>
      <c r="O4495" t="s">
        <v>41250</v>
      </c>
      <c r="P4495">
        <v>0</v>
      </c>
      <c r="Q4495">
        <v>4</v>
      </c>
      <c r="R4495" t="s">
        <v>41252</v>
      </c>
      <c r="S4495" t="s">
        <v>41383</v>
      </c>
      <c r="T4495" t="s">
        <v>42736</v>
      </c>
      <c r="U4495" t="s">
        <v>46937</v>
      </c>
      <c r="W4495" t="s">
        <v>39210</v>
      </c>
      <c r="X4495" t="s">
        <v>41254</v>
      </c>
    </row>
    <row r="4496" spans="1:24">
      <c r="A4496">
        <f>HYPERLINK("https://www.philgeps.gov.ph/GEPSNONPILOT/Tender/SplashBidNoticeAbstractUI.aspx?menuIndex=3&amp;refID=7075893&amp;Result=3","7075893")</f>
        <v>0</v>
      </c>
      <c r="B4496" t="s">
        <v>1625</v>
      </c>
      <c r="C4496" t="s">
        <v>7688</v>
      </c>
      <c r="D4496" t="s">
        <v>16616</v>
      </c>
      <c r="E4496" t="s">
        <v>19863</v>
      </c>
      <c r="F4496" t="s">
        <v>28669</v>
      </c>
      <c r="G4496" t="s">
        <v>28676</v>
      </c>
      <c r="H4496" t="s">
        <v>9998</v>
      </c>
      <c r="I4496" t="s">
        <v>28708</v>
      </c>
      <c r="J4496" t="s">
        <v>31707</v>
      </c>
      <c r="K4496" t="s">
        <v>37205</v>
      </c>
      <c r="M4496" t="s">
        <v>39211</v>
      </c>
      <c r="N4496" t="s">
        <v>41249</v>
      </c>
      <c r="O4496" t="s">
        <v>41250</v>
      </c>
      <c r="P4496">
        <v>0</v>
      </c>
      <c r="Q4496">
        <v>0</v>
      </c>
      <c r="R4496" t="s">
        <v>41252</v>
      </c>
      <c r="S4496" t="s">
        <v>41383</v>
      </c>
      <c r="T4496" t="s">
        <v>42673</v>
      </c>
      <c r="U4496" t="s">
        <v>46938</v>
      </c>
      <c r="V4496" t="s">
        <v>54744</v>
      </c>
      <c r="W4496" t="s">
        <v>39211</v>
      </c>
      <c r="X4496" t="s">
        <v>41254</v>
      </c>
    </row>
    <row r="4497" spans="1:24">
      <c r="A4497">
        <f>HYPERLINK("https://www.philgeps.gov.ph/GEPSNONPILOT/Tender/SplashBidNoticeAbstractUI.aspx?menuIndex=3&amp;refID=7075873&amp;Result=3","7075873")</f>
        <v>0</v>
      </c>
      <c r="B4497" t="s">
        <v>852</v>
      </c>
      <c r="C4497" t="s">
        <v>7689</v>
      </c>
      <c r="D4497" t="s">
        <v>16679</v>
      </c>
      <c r="E4497" t="s">
        <v>20759</v>
      </c>
      <c r="F4497" t="s">
        <v>28669</v>
      </c>
      <c r="G4497" t="s">
        <v>28677</v>
      </c>
      <c r="H4497" t="s">
        <v>9998</v>
      </c>
      <c r="I4497" t="s">
        <v>28714</v>
      </c>
      <c r="J4497" t="s">
        <v>31708</v>
      </c>
      <c r="K4497" t="s">
        <v>37209</v>
      </c>
      <c r="M4497" t="s">
        <v>38368</v>
      </c>
      <c r="N4497" t="s">
        <v>41249</v>
      </c>
      <c r="O4497" t="s">
        <v>41250</v>
      </c>
      <c r="P4497">
        <v>0</v>
      </c>
      <c r="Q4497">
        <v>2</v>
      </c>
      <c r="R4497" t="s">
        <v>41252</v>
      </c>
      <c r="S4497" t="s">
        <v>41383</v>
      </c>
      <c r="T4497" t="s">
        <v>42770</v>
      </c>
      <c r="U4497" t="s">
        <v>46939</v>
      </c>
      <c r="V4497" t="s">
        <v>54491</v>
      </c>
      <c r="W4497" t="s">
        <v>38368</v>
      </c>
      <c r="X4497" t="s">
        <v>41254</v>
      </c>
    </row>
    <row r="4498" spans="1:24">
      <c r="A4498">
        <f>HYPERLINK("https://www.philgeps.gov.ph/GEPSNONPILOT/Tender/SplashBidNoticeAbstractUI.aspx?menuIndex=3&amp;refID=7075892&amp;Result=3","7075892")</f>
        <v>0</v>
      </c>
      <c r="B4498" t="s">
        <v>1626</v>
      </c>
      <c r="C4498" t="s">
        <v>7690</v>
      </c>
      <c r="E4498" t="s">
        <v>20760</v>
      </c>
      <c r="F4498" t="s">
        <v>28669</v>
      </c>
      <c r="G4498" t="s">
        <v>28676</v>
      </c>
      <c r="H4498" t="s">
        <v>9998</v>
      </c>
      <c r="I4498" t="s">
        <v>28693</v>
      </c>
      <c r="J4498" t="s">
        <v>29651</v>
      </c>
      <c r="K4498" t="s">
        <v>37209</v>
      </c>
      <c r="M4498" t="s">
        <v>39212</v>
      </c>
      <c r="N4498" t="s">
        <v>41249</v>
      </c>
      <c r="O4498" t="s">
        <v>41250</v>
      </c>
      <c r="P4498">
        <v>0</v>
      </c>
      <c r="Q4498">
        <v>5</v>
      </c>
      <c r="R4498" t="s">
        <v>41252</v>
      </c>
      <c r="S4498" t="s">
        <v>41383</v>
      </c>
      <c r="T4498" t="s">
        <v>42748</v>
      </c>
      <c r="U4498" t="s">
        <v>46940</v>
      </c>
      <c r="W4498" t="s">
        <v>39212</v>
      </c>
      <c r="X4498" t="s">
        <v>41254</v>
      </c>
    </row>
    <row r="4499" spans="1:24">
      <c r="A4499">
        <f>HYPERLINK("https://www.philgeps.gov.ph/GEPSNONPILOT/Tender/SplashBidNoticeAbstractUI.aspx?menuIndex=3&amp;refID=7075890&amp;Result=3","7075890")</f>
        <v>0</v>
      </c>
      <c r="B4499" t="s">
        <v>293</v>
      </c>
      <c r="C4499" t="s">
        <v>7691</v>
      </c>
      <c r="D4499" t="s">
        <v>16668</v>
      </c>
      <c r="E4499" t="s">
        <v>20761</v>
      </c>
      <c r="F4499" t="s">
        <v>28669</v>
      </c>
      <c r="G4499" t="s">
        <v>28675</v>
      </c>
      <c r="H4499" t="s">
        <v>28686</v>
      </c>
      <c r="I4499" t="s">
        <v>28689</v>
      </c>
      <c r="J4499" t="s">
        <v>31709</v>
      </c>
      <c r="K4499" t="s">
        <v>37271</v>
      </c>
      <c r="M4499" t="s">
        <v>37772</v>
      </c>
      <c r="N4499" t="s">
        <v>41249</v>
      </c>
      <c r="O4499" t="s">
        <v>41250</v>
      </c>
      <c r="P4499">
        <v>0</v>
      </c>
      <c r="Q4499">
        <v>0</v>
      </c>
      <c r="R4499" t="s">
        <v>41252</v>
      </c>
      <c r="S4499" t="s">
        <v>41383</v>
      </c>
      <c r="T4499" t="s">
        <v>42700</v>
      </c>
      <c r="U4499" t="s">
        <v>46941</v>
      </c>
      <c r="W4499" t="s">
        <v>37772</v>
      </c>
      <c r="X4499" t="s">
        <v>41254</v>
      </c>
    </row>
    <row r="4500" spans="1:24">
      <c r="A4500">
        <f>HYPERLINK("https://www.philgeps.gov.ph/GEPSNONPILOT/Tender/SplashBidNoticeAbstractUI.aspx?menuIndex=3&amp;refID=7075897&amp;Result=3","7075897")</f>
        <v>0</v>
      </c>
      <c r="B4500" t="s">
        <v>1627</v>
      </c>
      <c r="C4500" t="s">
        <v>7692</v>
      </c>
      <c r="D4500" t="s">
        <v>16657</v>
      </c>
      <c r="E4500" t="s">
        <v>20762</v>
      </c>
      <c r="F4500" t="s">
        <v>28669</v>
      </c>
      <c r="G4500" t="s">
        <v>28675</v>
      </c>
      <c r="H4500" t="s">
        <v>9998</v>
      </c>
      <c r="I4500" t="s">
        <v>28696</v>
      </c>
      <c r="J4500" t="s">
        <v>31710</v>
      </c>
      <c r="K4500" t="s">
        <v>37210</v>
      </c>
      <c r="M4500" t="s">
        <v>39213</v>
      </c>
      <c r="N4500" t="s">
        <v>41249</v>
      </c>
      <c r="O4500" t="s">
        <v>41250</v>
      </c>
      <c r="P4500">
        <v>0</v>
      </c>
      <c r="Q4500">
        <v>3</v>
      </c>
      <c r="R4500" t="s">
        <v>41252</v>
      </c>
      <c r="S4500" t="s">
        <v>41383</v>
      </c>
      <c r="T4500" t="s">
        <v>42742</v>
      </c>
      <c r="U4500" t="s">
        <v>46942</v>
      </c>
      <c r="W4500" t="s">
        <v>39213</v>
      </c>
      <c r="X4500" t="s">
        <v>41254</v>
      </c>
    </row>
    <row r="4501" spans="1:24">
      <c r="A4501">
        <f>HYPERLINK("https://www.philgeps.gov.ph/GEPSNONPILOT/Tender/SplashBidNoticeAbstractUI.aspx?menuIndex=3&amp;refID=7075875&amp;Result=3","7075875")</f>
        <v>0</v>
      </c>
      <c r="B4501" t="s">
        <v>276</v>
      </c>
      <c r="C4501" t="s">
        <v>7693</v>
      </c>
      <c r="E4501" t="s">
        <v>20763</v>
      </c>
      <c r="F4501" t="s">
        <v>28669</v>
      </c>
      <c r="G4501" t="s">
        <v>28675</v>
      </c>
      <c r="H4501" t="s">
        <v>9998</v>
      </c>
      <c r="I4501" t="s">
        <v>28713</v>
      </c>
      <c r="J4501" t="s">
        <v>29266</v>
      </c>
      <c r="K4501" t="s">
        <v>37209</v>
      </c>
      <c r="M4501" t="s">
        <v>39152</v>
      </c>
      <c r="N4501" t="s">
        <v>41249</v>
      </c>
      <c r="O4501" t="s">
        <v>41250</v>
      </c>
      <c r="Q4501">
        <v>11</v>
      </c>
      <c r="R4501" t="s">
        <v>41252</v>
      </c>
      <c r="S4501" t="s">
        <v>41409</v>
      </c>
      <c r="T4501" t="s">
        <v>42669</v>
      </c>
      <c r="U4501" t="s">
        <v>46799</v>
      </c>
      <c r="V4501" t="s">
        <v>54728</v>
      </c>
      <c r="W4501" t="s">
        <v>39152</v>
      </c>
      <c r="X4501" t="s">
        <v>41254</v>
      </c>
    </row>
    <row r="4502" spans="1:24">
      <c r="A4502">
        <f>HYPERLINK("https://www.philgeps.gov.ph/GEPSNONPILOT/Tender/SplashBidNoticeAbstractUI.aspx?menuIndex=3&amp;refID=7075891&amp;Result=3","7075891")</f>
        <v>0</v>
      </c>
      <c r="B4502" t="s">
        <v>762</v>
      </c>
      <c r="C4502" t="s">
        <v>7694</v>
      </c>
      <c r="E4502" t="s">
        <v>20764</v>
      </c>
      <c r="F4502" t="s">
        <v>28669</v>
      </c>
      <c r="G4502" t="s">
        <v>28676</v>
      </c>
      <c r="H4502" t="s">
        <v>9998</v>
      </c>
      <c r="I4502" t="s">
        <v>28689</v>
      </c>
      <c r="J4502" t="s">
        <v>31711</v>
      </c>
      <c r="K4502" t="s">
        <v>37205</v>
      </c>
      <c r="M4502" t="s">
        <v>39214</v>
      </c>
      <c r="N4502" t="s">
        <v>41249</v>
      </c>
      <c r="O4502" t="s">
        <v>41250</v>
      </c>
      <c r="P4502">
        <v>0</v>
      </c>
      <c r="Q4502">
        <v>6</v>
      </c>
      <c r="R4502" t="s">
        <v>41252</v>
      </c>
      <c r="S4502" t="s">
        <v>41383</v>
      </c>
      <c r="T4502" t="s">
        <v>42827</v>
      </c>
      <c r="U4502" t="s">
        <v>46943</v>
      </c>
      <c r="W4502" t="s">
        <v>39214</v>
      </c>
      <c r="X4502" t="s">
        <v>41254</v>
      </c>
    </row>
    <row r="4503" spans="1:24">
      <c r="A4503">
        <f>HYPERLINK("https://www.philgeps.gov.ph/GEPSNONPILOT/Tender/SplashBidNoticeAbstractUI.aspx?menuIndex=3&amp;refID=7075884&amp;Result=3","7075884")</f>
        <v>0</v>
      </c>
      <c r="B4503" t="s">
        <v>276</v>
      </c>
      <c r="C4503" t="s">
        <v>7695</v>
      </c>
      <c r="E4503" t="s">
        <v>20765</v>
      </c>
      <c r="F4503" t="s">
        <v>28669</v>
      </c>
      <c r="G4503" t="s">
        <v>28675</v>
      </c>
      <c r="H4503" t="s">
        <v>9998</v>
      </c>
      <c r="I4503" t="s">
        <v>28713</v>
      </c>
      <c r="J4503" t="s">
        <v>28924</v>
      </c>
      <c r="K4503" t="s">
        <v>37209</v>
      </c>
      <c r="M4503" t="s">
        <v>39152</v>
      </c>
      <c r="N4503" t="s">
        <v>41249</v>
      </c>
      <c r="O4503" t="s">
        <v>41250</v>
      </c>
      <c r="Q4503">
        <v>10</v>
      </c>
      <c r="R4503" t="s">
        <v>41252</v>
      </c>
      <c r="S4503" t="s">
        <v>41410</v>
      </c>
      <c r="T4503" t="s">
        <v>42669</v>
      </c>
      <c r="U4503" t="s">
        <v>46799</v>
      </c>
      <c r="V4503" t="s">
        <v>54728</v>
      </c>
      <c r="W4503" t="s">
        <v>39152</v>
      </c>
      <c r="X4503" t="s">
        <v>41254</v>
      </c>
    </row>
    <row r="4504" spans="1:24">
      <c r="A4504">
        <f>HYPERLINK("https://www.philgeps.gov.ph/GEPSNONPILOT/Tender/SplashBidNoticeAbstractUI.aspx?menuIndex=3&amp;refID=7075882&amp;Result=3","7075882")</f>
        <v>0</v>
      </c>
      <c r="B4504" t="s">
        <v>852</v>
      </c>
      <c r="C4504" t="s">
        <v>7696</v>
      </c>
      <c r="D4504" t="s">
        <v>16679</v>
      </c>
      <c r="E4504" t="s">
        <v>20766</v>
      </c>
      <c r="F4504" t="s">
        <v>28669</v>
      </c>
      <c r="G4504" t="s">
        <v>28677</v>
      </c>
      <c r="H4504" t="s">
        <v>9998</v>
      </c>
      <c r="I4504" t="s">
        <v>28690</v>
      </c>
      <c r="J4504" t="s">
        <v>31712</v>
      </c>
      <c r="K4504" t="s">
        <v>37209</v>
      </c>
      <c r="M4504" t="s">
        <v>38368</v>
      </c>
      <c r="N4504" t="s">
        <v>41249</v>
      </c>
      <c r="O4504" t="s">
        <v>41250</v>
      </c>
      <c r="P4504">
        <v>0</v>
      </c>
      <c r="Q4504">
        <v>11</v>
      </c>
      <c r="R4504" t="s">
        <v>41252</v>
      </c>
      <c r="S4504" t="s">
        <v>41383</v>
      </c>
      <c r="T4504" t="s">
        <v>42770</v>
      </c>
      <c r="U4504" t="s">
        <v>46944</v>
      </c>
      <c r="V4504" t="s">
        <v>54491</v>
      </c>
      <c r="W4504" t="s">
        <v>38368</v>
      </c>
      <c r="X4504" t="s">
        <v>41254</v>
      </c>
    </row>
    <row r="4505" spans="1:24">
      <c r="A4505">
        <f>HYPERLINK("https://www.philgeps.gov.ph/GEPSNONPILOT/Tender/SplashBidNoticeAbstractUI.aspx?menuIndex=3&amp;refID=7075881&amp;Result=3","7075881")</f>
        <v>0</v>
      </c>
      <c r="B4505" t="s">
        <v>1624</v>
      </c>
      <c r="C4505" t="s">
        <v>7697</v>
      </c>
      <c r="D4505" t="s">
        <v>16624</v>
      </c>
      <c r="E4505" t="s">
        <v>20767</v>
      </c>
      <c r="F4505" t="s">
        <v>28669</v>
      </c>
      <c r="G4505" t="s">
        <v>28676</v>
      </c>
      <c r="H4505" t="s">
        <v>9998</v>
      </c>
      <c r="I4505" t="s">
        <v>28721</v>
      </c>
      <c r="J4505" t="s">
        <v>31713</v>
      </c>
      <c r="K4505" t="s">
        <v>37205</v>
      </c>
      <c r="M4505" t="s">
        <v>39210</v>
      </c>
      <c r="N4505" t="s">
        <v>41249</v>
      </c>
      <c r="O4505" t="s">
        <v>41250</v>
      </c>
      <c r="P4505">
        <v>0</v>
      </c>
      <c r="Q4505">
        <v>2</v>
      </c>
      <c r="R4505" t="s">
        <v>41252</v>
      </c>
      <c r="S4505" t="s">
        <v>41383</v>
      </c>
      <c r="T4505" t="s">
        <v>42736</v>
      </c>
      <c r="U4505" t="s">
        <v>46945</v>
      </c>
      <c r="W4505" t="s">
        <v>39210</v>
      </c>
      <c r="X4505" t="s">
        <v>41254</v>
      </c>
    </row>
    <row r="4506" spans="1:24">
      <c r="A4506">
        <f>HYPERLINK("https://www.philgeps.gov.ph/GEPSNONPILOT/Tender/SplashBidNoticeAbstractUI.aspx?menuIndex=3&amp;refID=7075880&amp;Result=3","7075880")</f>
        <v>0</v>
      </c>
      <c r="B4506" t="s">
        <v>1628</v>
      </c>
      <c r="C4506" t="s">
        <v>7698</v>
      </c>
      <c r="D4506" t="s">
        <v>16652</v>
      </c>
      <c r="E4506" t="s">
        <v>17835</v>
      </c>
      <c r="F4506" t="s">
        <v>28669</v>
      </c>
      <c r="G4506" t="s">
        <v>28676</v>
      </c>
      <c r="H4506" t="s">
        <v>9998</v>
      </c>
      <c r="I4506" t="s">
        <v>3718</v>
      </c>
      <c r="J4506" t="s">
        <v>29309</v>
      </c>
      <c r="K4506" t="s">
        <v>37227</v>
      </c>
      <c r="M4506" t="s">
        <v>39215</v>
      </c>
      <c r="N4506" t="s">
        <v>41249</v>
      </c>
      <c r="O4506" t="s">
        <v>41250</v>
      </c>
      <c r="P4506">
        <v>0</v>
      </c>
      <c r="Q4506">
        <v>0</v>
      </c>
      <c r="R4506" t="s">
        <v>41252</v>
      </c>
      <c r="S4506" t="s">
        <v>41383</v>
      </c>
      <c r="T4506" t="s">
        <v>42736</v>
      </c>
      <c r="U4506" t="s">
        <v>46946</v>
      </c>
      <c r="W4506" t="s">
        <v>39215</v>
      </c>
      <c r="X4506" t="s">
        <v>41254</v>
      </c>
    </row>
    <row r="4507" spans="1:24">
      <c r="A4507">
        <f>HYPERLINK("https://www.philgeps.gov.ph/GEPSNONPILOT/Tender/SplashBidNoticeAbstractUI.aspx?menuIndex=3&amp;refID=7075862&amp;Result=3","7075862")</f>
        <v>0</v>
      </c>
      <c r="B4507" t="s">
        <v>1562</v>
      </c>
      <c r="C4507" t="s">
        <v>7699</v>
      </c>
      <c r="D4507" t="s">
        <v>16671</v>
      </c>
      <c r="E4507" t="s">
        <v>20768</v>
      </c>
      <c r="F4507" t="s">
        <v>28669</v>
      </c>
      <c r="G4507" t="s">
        <v>28676</v>
      </c>
      <c r="H4507" t="s">
        <v>9998</v>
      </c>
      <c r="I4507" t="s">
        <v>6458</v>
      </c>
      <c r="J4507" t="s">
        <v>29205</v>
      </c>
      <c r="K4507" t="s">
        <v>37205</v>
      </c>
      <c r="M4507" t="s">
        <v>39139</v>
      </c>
      <c r="N4507" t="s">
        <v>41249</v>
      </c>
      <c r="O4507" t="s">
        <v>41250</v>
      </c>
      <c r="P4507">
        <v>0</v>
      </c>
      <c r="Q4507">
        <v>0</v>
      </c>
      <c r="R4507" t="s">
        <v>41252</v>
      </c>
      <c r="S4507" t="s">
        <v>41383</v>
      </c>
      <c r="T4507" t="s">
        <v>42802</v>
      </c>
      <c r="U4507" t="s">
        <v>46947</v>
      </c>
      <c r="W4507" t="s">
        <v>39139</v>
      </c>
      <c r="X4507" t="s">
        <v>41254</v>
      </c>
    </row>
    <row r="4508" spans="1:24">
      <c r="A4508">
        <f>HYPERLINK("https://www.philgeps.gov.ph/GEPSNONPILOT/Tender/SplashBidNoticeAbstractUI.aspx?menuIndex=3&amp;refID=7075861&amp;Result=3","7075861")</f>
        <v>0</v>
      </c>
      <c r="B4508" t="s">
        <v>1594</v>
      </c>
      <c r="C4508" t="s">
        <v>7700</v>
      </c>
      <c r="D4508" t="s">
        <v>16626</v>
      </c>
      <c r="E4508" t="s">
        <v>20769</v>
      </c>
      <c r="F4508" t="s">
        <v>28669</v>
      </c>
      <c r="G4508" t="s">
        <v>28682</v>
      </c>
      <c r="H4508" t="s">
        <v>28684</v>
      </c>
      <c r="I4508" t="s">
        <v>28711</v>
      </c>
      <c r="J4508" t="s">
        <v>29205</v>
      </c>
      <c r="K4508" t="s">
        <v>37234</v>
      </c>
      <c r="M4508" t="s">
        <v>39177</v>
      </c>
      <c r="N4508" t="s">
        <v>41249</v>
      </c>
      <c r="O4508" t="s">
        <v>41250</v>
      </c>
      <c r="P4508">
        <v>0</v>
      </c>
      <c r="Q4508">
        <v>1</v>
      </c>
      <c r="R4508" t="s">
        <v>41252</v>
      </c>
      <c r="S4508" t="s">
        <v>41383</v>
      </c>
      <c r="T4508" t="s">
        <v>42777</v>
      </c>
      <c r="U4508" t="s">
        <v>46948</v>
      </c>
      <c r="W4508" t="s">
        <v>39177</v>
      </c>
      <c r="X4508" t="s">
        <v>41254</v>
      </c>
    </row>
    <row r="4509" spans="1:24">
      <c r="A4509">
        <f>HYPERLINK("https://www.philgeps.gov.ph/GEPSNONPILOT/Tender/SplashBidNoticeAbstractUI.aspx?menuIndex=3&amp;refID=7075887&amp;Result=3","7075887")</f>
        <v>0</v>
      </c>
      <c r="B4509" t="s">
        <v>1624</v>
      </c>
      <c r="C4509" t="s">
        <v>7701</v>
      </c>
      <c r="D4509" t="s">
        <v>16624</v>
      </c>
      <c r="E4509" t="s">
        <v>20770</v>
      </c>
      <c r="F4509" t="s">
        <v>28669</v>
      </c>
      <c r="G4509" t="s">
        <v>28676</v>
      </c>
      <c r="H4509" t="s">
        <v>9998</v>
      </c>
      <c r="I4509" t="s">
        <v>28688</v>
      </c>
      <c r="J4509" t="s">
        <v>31714</v>
      </c>
      <c r="K4509" t="s">
        <v>37205</v>
      </c>
      <c r="M4509" t="s">
        <v>39210</v>
      </c>
      <c r="N4509" t="s">
        <v>41249</v>
      </c>
      <c r="O4509" t="s">
        <v>41250</v>
      </c>
      <c r="P4509">
        <v>0</v>
      </c>
      <c r="Q4509">
        <v>6</v>
      </c>
      <c r="R4509" t="s">
        <v>41252</v>
      </c>
      <c r="S4509" t="s">
        <v>41383</v>
      </c>
      <c r="T4509" t="s">
        <v>42736</v>
      </c>
      <c r="U4509" t="s">
        <v>46949</v>
      </c>
      <c r="W4509" t="s">
        <v>39210</v>
      </c>
      <c r="X4509" t="s">
        <v>41254</v>
      </c>
    </row>
    <row r="4510" spans="1:24">
      <c r="A4510">
        <f>HYPERLINK("https://www.philgeps.gov.ph/GEPSNONPILOT/Tender/SplashBidNoticeAbstractUI.aspx?menuIndex=3&amp;refID=7075860&amp;Result=3","7075860")</f>
        <v>0</v>
      </c>
      <c r="B4510" t="s">
        <v>1625</v>
      </c>
      <c r="C4510" t="s">
        <v>7702</v>
      </c>
      <c r="D4510" t="s">
        <v>16616</v>
      </c>
      <c r="E4510" t="s">
        <v>19863</v>
      </c>
      <c r="F4510" t="s">
        <v>28669</v>
      </c>
      <c r="G4510" t="s">
        <v>28675</v>
      </c>
      <c r="H4510" t="s">
        <v>9998</v>
      </c>
      <c r="I4510" t="s">
        <v>28687</v>
      </c>
      <c r="J4510" t="s">
        <v>31399</v>
      </c>
      <c r="K4510" t="s">
        <v>37215</v>
      </c>
      <c r="M4510" t="s">
        <v>39211</v>
      </c>
      <c r="N4510" t="s">
        <v>41249</v>
      </c>
      <c r="O4510" t="s">
        <v>41250</v>
      </c>
      <c r="P4510">
        <v>0</v>
      </c>
      <c r="Q4510">
        <v>3</v>
      </c>
      <c r="R4510" t="s">
        <v>41252</v>
      </c>
      <c r="S4510" t="s">
        <v>41383</v>
      </c>
      <c r="T4510" t="s">
        <v>42661</v>
      </c>
      <c r="U4510" t="s">
        <v>46950</v>
      </c>
      <c r="V4510" t="s">
        <v>54745</v>
      </c>
      <c r="W4510" t="s">
        <v>39211</v>
      </c>
      <c r="X4510" t="s">
        <v>41254</v>
      </c>
    </row>
    <row r="4511" spans="1:24">
      <c r="A4511">
        <f>HYPERLINK("https://www.philgeps.gov.ph/GEPSNONPILOT/Tender/SplashBidNoticeAbstractUI.aspx?menuIndex=3&amp;refID=7075885&amp;Result=3","7075885")</f>
        <v>0</v>
      </c>
      <c r="B4511" t="s">
        <v>125</v>
      </c>
      <c r="C4511" t="s">
        <v>4304</v>
      </c>
      <c r="D4511" t="s">
        <v>16660</v>
      </c>
      <c r="E4511" t="s">
        <v>20771</v>
      </c>
      <c r="F4511" t="s">
        <v>28669</v>
      </c>
      <c r="G4511" t="s">
        <v>28678</v>
      </c>
      <c r="H4511" t="s">
        <v>9998</v>
      </c>
      <c r="I4511" t="s">
        <v>28721</v>
      </c>
      <c r="J4511" t="s">
        <v>31715</v>
      </c>
      <c r="K4511" t="s">
        <v>37210</v>
      </c>
      <c r="M4511" t="s">
        <v>37601</v>
      </c>
      <c r="N4511" t="s">
        <v>41249</v>
      </c>
      <c r="O4511" t="s">
        <v>41250</v>
      </c>
      <c r="P4511">
        <v>0</v>
      </c>
      <c r="Q4511">
        <v>2</v>
      </c>
      <c r="R4511" t="s">
        <v>41252</v>
      </c>
      <c r="S4511" t="s">
        <v>41383</v>
      </c>
      <c r="T4511" t="s">
        <v>42729</v>
      </c>
      <c r="U4511" t="s">
        <v>43373</v>
      </c>
      <c r="W4511" t="s">
        <v>37601</v>
      </c>
      <c r="X4511" t="s">
        <v>41254</v>
      </c>
    </row>
    <row r="4512" spans="1:24">
      <c r="A4512">
        <f>HYPERLINK("https://www.philgeps.gov.ph/GEPSNONPILOT/Tender/SplashBidNoticeAbstractUI.aspx?menuIndex=3&amp;refID=7075858&amp;Result=3","7075858")</f>
        <v>0</v>
      </c>
      <c r="B4512" t="s">
        <v>1149</v>
      </c>
      <c r="C4512" t="s">
        <v>7703</v>
      </c>
      <c r="D4512" t="s">
        <v>16649</v>
      </c>
      <c r="E4512" t="s">
        <v>20772</v>
      </c>
      <c r="F4512" t="s">
        <v>28669</v>
      </c>
      <c r="G4512" t="s">
        <v>28677</v>
      </c>
      <c r="H4512" t="s">
        <v>9998</v>
      </c>
      <c r="I4512" t="s">
        <v>28756</v>
      </c>
      <c r="J4512" t="s">
        <v>29564</v>
      </c>
      <c r="K4512" t="s">
        <v>37208</v>
      </c>
      <c r="M4512" t="s">
        <v>38685</v>
      </c>
      <c r="N4512" t="s">
        <v>41249</v>
      </c>
      <c r="O4512" t="s">
        <v>41250</v>
      </c>
      <c r="P4512">
        <v>0</v>
      </c>
      <c r="Q4512">
        <v>0</v>
      </c>
      <c r="R4512" t="s">
        <v>41252</v>
      </c>
      <c r="S4512" t="s">
        <v>41383</v>
      </c>
      <c r="T4512" t="s">
        <v>42951</v>
      </c>
      <c r="U4512" t="s">
        <v>46951</v>
      </c>
      <c r="W4512" t="s">
        <v>38685</v>
      </c>
      <c r="X4512" t="s">
        <v>41254</v>
      </c>
    </row>
    <row r="4513" spans="1:24">
      <c r="A4513">
        <f>HYPERLINK("https://www.philgeps.gov.ph/GEPSNONPILOT/Tender/SplashBidNoticeAbstractUI.aspx?menuIndex=3&amp;refID=7075904&amp;Result=3","7075904")</f>
        <v>0</v>
      </c>
      <c r="B4513" t="s">
        <v>1629</v>
      </c>
      <c r="C4513" t="s">
        <v>7704</v>
      </c>
      <c r="D4513" t="s">
        <v>16612</v>
      </c>
      <c r="E4513" t="s">
        <v>20773</v>
      </c>
      <c r="F4513" t="s">
        <v>28669</v>
      </c>
      <c r="G4513" t="s">
        <v>28676</v>
      </c>
      <c r="H4513" t="s">
        <v>9998</v>
      </c>
      <c r="I4513" t="s">
        <v>28697</v>
      </c>
      <c r="J4513" t="s">
        <v>31716</v>
      </c>
      <c r="K4513" t="s">
        <v>37234</v>
      </c>
      <c r="M4513" t="s">
        <v>39216</v>
      </c>
      <c r="N4513" t="s">
        <v>41249</v>
      </c>
      <c r="O4513" t="s">
        <v>41250</v>
      </c>
      <c r="P4513">
        <v>0</v>
      </c>
      <c r="Q4513">
        <v>2</v>
      </c>
      <c r="R4513" t="s">
        <v>41252</v>
      </c>
      <c r="S4513" t="s">
        <v>41383</v>
      </c>
      <c r="T4513" t="s">
        <v>42759</v>
      </c>
      <c r="U4513" t="s">
        <v>46952</v>
      </c>
      <c r="W4513" t="s">
        <v>39216</v>
      </c>
      <c r="X4513" t="s">
        <v>41254</v>
      </c>
    </row>
    <row r="4514" spans="1:24">
      <c r="A4514">
        <f>HYPERLINK("https://www.philgeps.gov.ph/GEPSNONPILOT/Tender/SplashBidNoticeAbstractUI.aspx?menuIndex=3&amp;refID=7075883&amp;Result=3","7075883")</f>
        <v>0</v>
      </c>
      <c r="B4514" t="s">
        <v>1413</v>
      </c>
      <c r="C4514" t="s">
        <v>7705</v>
      </c>
      <c r="D4514" t="s">
        <v>16618</v>
      </c>
      <c r="E4514" t="s">
        <v>20774</v>
      </c>
      <c r="F4514" t="s">
        <v>28669</v>
      </c>
      <c r="G4514" t="s">
        <v>28677</v>
      </c>
      <c r="H4514" t="s">
        <v>9998</v>
      </c>
      <c r="I4514" t="s">
        <v>3658</v>
      </c>
      <c r="J4514" t="s">
        <v>28826</v>
      </c>
      <c r="K4514" t="s">
        <v>37269</v>
      </c>
      <c r="M4514" t="s">
        <v>38976</v>
      </c>
      <c r="N4514" t="s">
        <v>41249</v>
      </c>
      <c r="O4514" t="s">
        <v>41250</v>
      </c>
      <c r="P4514">
        <v>0</v>
      </c>
      <c r="Q4514">
        <v>0</v>
      </c>
      <c r="R4514" t="s">
        <v>41252</v>
      </c>
      <c r="S4514" t="s">
        <v>41383</v>
      </c>
      <c r="T4514" t="s">
        <v>42758</v>
      </c>
      <c r="U4514" t="s">
        <v>46953</v>
      </c>
      <c r="V4514" t="s">
        <v>54746</v>
      </c>
      <c r="W4514" t="s">
        <v>38976</v>
      </c>
      <c r="X4514" t="s">
        <v>41254</v>
      </c>
    </row>
    <row r="4515" spans="1:24">
      <c r="A4515">
        <f>HYPERLINK("https://www.philgeps.gov.ph/GEPSNONPILOT/Tender/SplashBidNoticeAbstractUI.aspx?menuIndex=3&amp;refID=7075921&amp;Result=3","7075921")</f>
        <v>0</v>
      </c>
      <c r="B4515" t="s">
        <v>661</v>
      </c>
      <c r="C4515" t="s">
        <v>3485</v>
      </c>
      <c r="D4515" t="s">
        <v>16608</v>
      </c>
      <c r="E4515" t="s">
        <v>20775</v>
      </c>
      <c r="F4515" t="s">
        <v>28669</v>
      </c>
      <c r="G4515" t="s">
        <v>28678</v>
      </c>
      <c r="H4515" t="s">
        <v>9998</v>
      </c>
      <c r="I4515" t="s">
        <v>6128</v>
      </c>
      <c r="J4515" t="s">
        <v>28879</v>
      </c>
      <c r="K4515" t="s">
        <v>37209</v>
      </c>
      <c r="M4515" t="s">
        <v>38163</v>
      </c>
      <c r="N4515" t="s">
        <v>41249</v>
      </c>
      <c r="O4515" t="s">
        <v>41250</v>
      </c>
      <c r="P4515">
        <v>0</v>
      </c>
      <c r="Q4515">
        <v>11</v>
      </c>
      <c r="R4515" t="s">
        <v>41252</v>
      </c>
      <c r="S4515" t="s">
        <v>41383</v>
      </c>
      <c r="T4515" t="s">
        <v>42802</v>
      </c>
      <c r="U4515" t="s">
        <v>46954</v>
      </c>
      <c r="W4515" t="s">
        <v>38163</v>
      </c>
      <c r="X4515" t="s">
        <v>41254</v>
      </c>
    </row>
    <row r="4516" spans="1:24">
      <c r="A4516">
        <f>HYPERLINK("https://www.philgeps.gov.ph/GEPSNONPILOT/Tender/SplashBidNoticeAbstractUI.aspx?menuIndex=3&amp;refID=7075920&amp;Result=3","7075920")</f>
        <v>0</v>
      </c>
      <c r="B4516" t="s">
        <v>1630</v>
      </c>
      <c r="C4516" t="s">
        <v>7706</v>
      </c>
      <c r="D4516" t="s">
        <v>16658</v>
      </c>
      <c r="E4516" t="s">
        <v>17140</v>
      </c>
      <c r="F4516" t="s">
        <v>28669</v>
      </c>
      <c r="G4516" t="s">
        <v>28675</v>
      </c>
      <c r="H4516" t="s">
        <v>9998</v>
      </c>
      <c r="I4516" t="s">
        <v>7352</v>
      </c>
      <c r="J4516" t="s">
        <v>31717</v>
      </c>
      <c r="K4516" t="s">
        <v>37205</v>
      </c>
      <c r="M4516" t="s">
        <v>39217</v>
      </c>
      <c r="N4516" t="s">
        <v>41249</v>
      </c>
      <c r="O4516" t="s">
        <v>41250</v>
      </c>
      <c r="P4516">
        <v>0</v>
      </c>
      <c r="Q4516">
        <v>1</v>
      </c>
      <c r="R4516" t="s">
        <v>41252</v>
      </c>
      <c r="S4516" t="s">
        <v>41383</v>
      </c>
      <c r="T4516" t="s">
        <v>42967</v>
      </c>
      <c r="U4516" t="s">
        <v>46955</v>
      </c>
      <c r="W4516" t="s">
        <v>39217</v>
      </c>
      <c r="X4516" t="s">
        <v>41254</v>
      </c>
    </row>
    <row r="4517" spans="1:24">
      <c r="A4517">
        <f>HYPERLINK("https://www.philgeps.gov.ph/GEPSNONPILOT/Tender/SplashBidNoticeAbstractUI.aspx?menuIndex=3&amp;refID=7075917&amp;Result=3","7075917")</f>
        <v>0</v>
      </c>
      <c r="B4517" t="s">
        <v>1621</v>
      </c>
      <c r="C4517" t="s">
        <v>7707</v>
      </c>
      <c r="D4517" t="s">
        <v>16639</v>
      </c>
      <c r="E4517" t="s">
        <v>20776</v>
      </c>
      <c r="F4517" t="s">
        <v>28669</v>
      </c>
      <c r="G4517" t="s">
        <v>28675</v>
      </c>
      <c r="H4517" t="s">
        <v>9998</v>
      </c>
      <c r="I4517" t="s">
        <v>7352</v>
      </c>
      <c r="J4517" t="s">
        <v>31718</v>
      </c>
      <c r="K4517" t="s">
        <v>37209</v>
      </c>
      <c r="M4517" t="s">
        <v>39207</v>
      </c>
      <c r="N4517" t="s">
        <v>41249</v>
      </c>
      <c r="O4517" t="s">
        <v>41250</v>
      </c>
      <c r="P4517">
        <v>0</v>
      </c>
      <c r="Q4517">
        <v>0</v>
      </c>
      <c r="R4517" t="s">
        <v>41252</v>
      </c>
      <c r="S4517" t="s">
        <v>41383</v>
      </c>
      <c r="T4517" t="s">
        <v>42674</v>
      </c>
      <c r="U4517" t="s">
        <v>46956</v>
      </c>
      <c r="W4517" t="s">
        <v>39207</v>
      </c>
      <c r="X4517" t="s">
        <v>41254</v>
      </c>
    </row>
    <row r="4518" spans="1:24">
      <c r="A4518">
        <f>HYPERLINK("https://www.philgeps.gov.ph/GEPSNONPILOT/Tender/SplashBidNoticeAbstractUI.aspx?menuIndex=3&amp;refID=7075879&amp;Result=3","7075879")</f>
        <v>0</v>
      </c>
      <c r="B4518" t="s">
        <v>1503</v>
      </c>
      <c r="C4518" t="s">
        <v>7708</v>
      </c>
      <c r="D4518" t="s">
        <v>16666</v>
      </c>
      <c r="E4518" t="s">
        <v>20777</v>
      </c>
      <c r="F4518" t="s">
        <v>28669</v>
      </c>
      <c r="G4518" t="s">
        <v>28675</v>
      </c>
      <c r="H4518" t="s">
        <v>28686</v>
      </c>
      <c r="I4518" t="s">
        <v>28689</v>
      </c>
      <c r="J4518" t="s">
        <v>31719</v>
      </c>
      <c r="K4518" t="s">
        <v>37236</v>
      </c>
      <c r="M4518" t="s">
        <v>39076</v>
      </c>
      <c r="N4518" t="s">
        <v>41249</v>
      </c>
      <c r="O4518" t="s">
        <v>41250</v>
      </c>
      <c r="P4518">
        <v>0</v>
      </c>
      <c r="Q4518">
        <v>2</v>
      </c>
      <c r="R4518" t="s">
        <v>41252</v>
      </c>
      <c r="S4518" t="s">
        <v>41383</v>
      </c>
      <c r="T4518" t="s">
        <v>42700</v>
      </c>
      <c r="U4518" t="s">
        <v>46957</v>
      </c>
      <c r="W4518" t="s">
        <v>55959</v>
      </c>
      <c r="X4518" t="s">
        <v>41254</v>
      </c>
    </row>
    <row r="4519" spans="1:24">
      <c r="A4519">
        <f>HYPERLINK("https://www.philgeps.gov.ph/GEPSNONPILOT/Tender/SplashBidNoticeAbstractUI.aspx?menuIndex=3&amp;refID=7075916&amp;Result=3","7075916")</f>
        <v>0</v>
      </c>
      <c r="B4519" t="s">
        <v>276</v>
      </c>
      <c r="C4519" t="s">
        <v>7709</v>
      </c>
      <c r="E4519" t="s">
        <v>20778</v>
      </c>
      <c r="F4519" t="s">
        <v>28669</v>
      </c>
      <c r="G4519" t="s">
        <v>28675</v>
      </c>
      <c r="H4519" t="s">
        <v>9998</v>
      </c>
      <c r="I4519" t="s">
        <v>28713</v>
      </c>
      <c r="J4519" t="s">
        <v>30755</v>
      </c>
      <c r="K4519" t="s">
        <v>37209</v>
      </c>
      <c r="M4519" t="s">
        <v>39218</v>
      </c>
      <c r="N4519" t="s">
        <v>41249</v>
      </c>
      <c r="O4519" t="s">
        <v>41250</v>
      </c>
      <c r="Q4519">
        <v>10</v>
      </c>
      <c r="R4519" t="s">
        <v>41252</v>
      </c>
      <c r="S4519" t="s">
        <v>41411</v>
      </c>
      <c r="T4519" t="s">
        <v>42680</v>
      </c>
      <c r="U4519" t="s">
        <v>46799</v>
      </c>
      <c r="V4519" t="s">
        <v>54747</v>
      </c>
      <c r="W4519" t="s">
        <v>39218</v>
      </c>
      <c r="X4519" t="s">
        <v>41254</v>
      </c>
    </row>
    <row r="4520" spans="1:24">
      <c r="A4520">
        <f>HYPERLINK("https://www.philgeps.gov.ph/GEPSNONPILOT/Tender/SplashBidNoticeAbstractUI.aspx?menuIndex=3&amp;refID=7075896&amp;Result=3","7075896")</f>
        <v>0</v>
      </c>
      <c r="B4520" t="s">
        <v>1503</v>
      </c>
      <c r="C4520" t="s">
        <v>7710</v>
      </c>
      <c r="D4520" t="s">
        <v>16666</v>
      </c>
      <c r="E4520" t="s">
        <v>20779</v>
      </c>
      <c r="F4520" t="s">
        <v>28669</v>
      </c>
      <c r="G4520" t="s">
        <v>28675</v>
      </c>
      <c r="H4520" t="s">
        <v>28686</v>
      </c>
      <c r="I4520" t="s">
        <v>28685</v>
      </c>
      <c r="J4520" t="s">
        <v>31720</v>
      </c>
      <c r="K4520" t="s">
        <v>37226</v>
      </c>
      <c r="M4520" t="s">
        <v>39076</v>
      </c>
      <c r="N4520" t="s">
        <v>41249</v>
      </c>
      <c r="O4520" t="s">
        <v>41250</v>
      </c>
      <c r="P4520">
        <v>0</v>
      </c>
      <c r="Q4520">
        <v>3</v>
      </c>
      <c r="R4520" t="s">
        <v>41252</v>
      </c>
      <c r="S4520" t="s">
        <v>41383</v>
      </c>
      <c r="T4520" t="s">
        <v>42693</v>
      </c>
      <c r="U4520" t="s">
        <v>46562</v>
      </c>
      <c r="W4520" t="s">
        <v>55959</v>
      </c>
      <c r="X4520" t="s">
        <v>41254</v>
      </c>
    </row>
    <row r="4521" spans="1:24">
      <c r="A4521">
        <f>HYPERLINK("https://www.philgeps.gov.ph/GEPSNONPILOT/Tender/SplashBidNoticeAbstractUI.aspx?menuIndex=3&amp;refID=7075914&amp;Result=3","7075914")</f>
        <v>0</v>
      </c>
      <c r="B4521" t="s">
        <v>1631</v>
      </c>
      <c r="C4521" t="s">
        <v>7711</v>
      </c>
      <c r="D4521" t="s">
        <v>16658</v>
      </c>
      <c r="E4521" t="s">
        <v>16758</v>
      </c>
      <c r="F4521" t="s">
        <v>28669</v>
      </c>
      <c r="G4521" t="s">
        <v>28675</v>
      </c>
      <c r="H4521" t="s">
        <v>9998</v>
      </c>
      <c r="I4521" t="s">
        <v>7352</v>
      </c>
      <c r="J4521" t="s">
        <v>31721</v>
      </c>
      <c r="K4521" t="s">
        <v>37210</v>
      </c>
      <c r="M4521" t="s">
        <v>39219</v>
      </c>
      <c r="N4521" t="s">
        <v>41249</v>
      </c>
      <c r="O4521" t="s">
        <v>41250</v>
      </c>
      <c r="P4521">
        <v>0</v>
      </c>
      <c r="Q4521">
        <v>0</v>
      </c>
      <c r="R4521" t="s">
        <v>41252</v>
      </c>
      <c r="S4521" t="s">
        <v>41383</v>
      </c>
      <c r="T4521" t="s">
        <v>42726</v>
      </c>
      <c r="U4521" t="s">
        <v>46958</v>
      </c>
      <c r="W4521" t="s">
        <v>39219</v>
      </c>
      <c r="X4521" t="s">
        <v>41254</v>
      </c>
    </row>
    <row r="4522" spans="1:24">
      <c r="A4522">
        <f>HYPERLINK("https://www.philgeps.gov.ph/GEPSNONPILOT/Tender/SplashBidNoticeAbstractUI.aspx?menuIndex=3&amp;refID=7075859&amp;Result=3","7075859")</f>
        <v>0</v>
      </c>
      <c r="B4522" t="s">
        <v>1527</v>
      </c>
      <c r="C4522" t="s">
        <v>7712</v>
      </c>
      <c r="D4522" t="s">
        <v>16679</v>
      </c>
      <c r="E4522" t="s">
        <v>20780</v>
      </c>
      <c r="F4522" t="s">
        <v>28669</v>
      </c>
      <c r="G4522" t="s">
        <v>28675</v>
      </c>
      <c r="H4522" t="s">
        <v>9998</v>
      </c>
      <c r="I4522" t="s">
        <v>28708</v>
      </c>
      <c r="J4522" t="s">
        <v>31722</v>
      </c>
      <c r="K4522" t="s">
        <v>37205</v>
      </c>
      <c r="L4522" t="s">
        <v>1527</v>
      </c>
      <c r="M4522" t="s">
        <v>39101</v>
      </c>
      <c r="N4522" t="s">
        <v>41249</v>
      </c>
      <c r="O4522" t="s">
        <v>41250</v>
      </c>
      <c r="P4522">
        <v>0</v>
      </c>
      <c r="Q4522">
        <v>1</v>
      </c>
      <c r="R4522" t="s">
        <v>41252</v>
      </c>
      <c r="S4522" t="s">
        <v>41383</v>
      </c>
      <c r="T4522" t="s">
        <v>42830</v>
      </c>
      <c r="U4522" t="s">
        <v>46959</v>
      </c>
      <c r="V4522" t="s">
        <v>54706</v>
      </c>
      <c r="W4522" t="s">
        <v>39101</v>
      </c>
      <c r="X4522" t="s">
        <v>41254</v>
      </c>
    </row>
    <row r="4523" spans="1:24">
      <c r="A4523">
        <f>HYPERLINK("https://www.philgeps.gov.ph/GEPSNONPILOT/Tender/SplashBidNoticeAbstractUI.aspx?menuIndex=3&amp;refID=7075913&amp;Result=3","7075913")</f>
        <v>0</v>
      </c>
      <c r="B4523" t="s">
        <v>125</v>
      </c>
      <c r="C4523" t="s">
        <v>7713</v>
      </c>
      <c r="D4523" t="s">
        <v>16660</v>
      </c>
      <c r="E4523" t="s">
        <v>20781</v>
      </c>
      <c r="F4523" t="s">
        <v>28669</v>
      </c>
      <c r="G4523" t="s">
        <v>28677</v>
      </c>
      <c r="H4523" t="s">
        <v>9998</v>
      </c>
      <c r="I4523" t="s">
        <v>28715</v>
      </c>
      <c r="J4523" t="s">
        <v>31723</v>
      </c>
      <c r="K4523" t="s">
        <v>37210</v>
      </c>
      <c r="M4523" t="s">
        <v>37601</v>
      </c>
      <c r="N4523" t="s">
        <v>41249</v>
      </c>
      <c r="O4523" t="s">
        <v>41250</v>
      </c>
      <c r="P4523">
        <v>0</v>
      </c>
      <c r="Q4523">
        <v>2</v>
      </c>
      <c r="R4523" t="s">
        <v>41252</v>
      </c>
      <c r="S4523" t="s">
        <v>41383</v>
      </c>
      <c r="T4523" t="s">
        <v>42729</v>
      </c>
      <c r="U4523" t="s">
        <v>43373</v>
      </c>
      <c r="W4523" t="s">
        <v>37601</v>
      </c>
      <c r="X4523" t="s">
        <v>41254</v>
      </c>
    </row>
    <row r="4524" spans="1:24">
      <c r="A4524">
        <f>HYPERLINK("https://www.philgeps.gov.ph/GEPSNONPILOT/Tender/SplashBidNoticeAbstractUI.aspx?menuIndex=3&amp;refID=7075912&amp;Result=3","7075912")</f>
        <v>0</v>
      </c>
      <c r="B4524" t="s">
        <v>514</v>
      </c>
      <c r="C4524" t="s">
        <v>7714</v>
      </c>
      <c r="D4524" t="s">
        <v>16618</v>
      </c>
      <c r="E4524" t="s">
        <v>20782</v>
      </c>
      <c r="F4524" t="s">
        <v>28669</v>
      </c>
      <c r="G4524" t="s">
        <v>28682</v>
      </c>
      <c r="H4524" t="s">
        <v>9998</v>
      </c>
      <c r="I4524" t="s">
        <v>28700</v>
      </c>
      <c r="J4524" t="s">
        <v>31724</v>
      </c>
      <c r="K4524" t="s">
        <v>37213</v>
      </c>
      <c r="M4524" t="s">
        <v>39220</v>
      </c>
      <c r="N4524" t="s">
        <v>41249</v>
      </c>
      <c r="O4524" t="s">
        <v>41250</v>
      </c>
      <c r="P4524">
        <v>0</v>
      </c>
      <c r="Q4524">
        <v>18</v>
      </c>
      <c r="R4524" t="s">
        <v>41252</v>
      </c>
      <c r="S4524" t="s">
        <v>41383</v>
      </c>
      <c r="T4524" t="s">
        <v>42779</v>
      </c>
      <c r="U4524" t="s">
        <v>46960</v>
      </c>
      <c r="W4524" t="s">
        <v>39220</v>
      </c>
      <c r="X4524" t="s">
        <v>41254</v>
      </c>
    </row>
    <row r="4525" spans="1:24">
      <c r="A4525">
        <f>HYPERLINK("https://www.philgeps.gov.ph/GEPSNONPILOT/Tender/SplashBidNoticeAbstractUI.aspx?menuIndex=3&amp;refID=7075911&amp;Result=3","7075911")</f>
        <v>0</v>
      </c>
      <c r="B4525" t="s">
        <v>1623</v>
      </c>
      <c r="C4525" t="s">
        <v>7715</v>
      </c>
      <c r="D4525" t="s">
        <v>16618</v>
      </c>
      <c r="E4525" t="s">
        <v>20783</v>
      </c>
      <c r="F4525" t="s">
        <v>28669</v>
      </c>
      <c r="G4525" t="s">
        <v>28676</v>
      </c>
      <c r="H4525" t="s">
        <v>9998</v>
      </c>
      <c r="I4525" t="s">
        <v>6128</v>
      </c>
      <c r="J4525" t="s">
        <v>29513</v>
      </c>
      <c r="K4525" t="s">
        <v>37206</v>
      </c>
      <c r="M4525" t="s">
        <v>39209</v>
      </c>
      <c r="N4525" t="s">
        <v>41249</v>
      </c>
      <c r="O4525" t="s">
        <v>41250</v>
      </c>
      <c r="P4525">
        <v>0</v>
      </c>
      <c r="Q4525">
        <v>0</v>
      </c>
      <c r="R4525" t="s">
        <v>41252</v>
      </c>
      <c r="S4525" t="s">
        <v>41383</v>
      </c>
      <c r="T4525" t="s">
        <v>42743</v>
      </c>
      <c r="U4525" t="s">
        <v>46961</v>
      </c>
      <c r="W4525" t="s">
        <v>39209</v>
      </c>
      <c r="X4525" t="s">
        <v>41254</v>
      </c>
    </row>
    <row r="4526" spans="1:24">
      <c r="A4526">
        <f>HYPERLINK("https://www.philgeps.gov.ph/GEPSNONPILOT/Tender/SplashBidNoticeAbstractUI.aspx?menuIndex=3&amp;refID=7075910&amp;Result=3","7075910")</f>
        <v>0</v>
      </c>
      <c r="B4526" t="s">
        <v>1621</v>
      </c>
      <c r="C4526" t="s">
        <v>7716</v>
      </c>
      <c r="D4526" t="s">
        <v>16639</v>
      </c>
      <c r="E4526" t="s">
        <v>20784</v>
      </c>
      <c r="F4526" t="s">
        <v>28669</v>
      </c>
      <c r="G4526" t="s">
        <v>28675</v>
      </c>
      <c r="H4526" t="s">
        <v>9998</v>
      </c>
      <c r="I4526" t="s">
        <v>28697</v>
      </c>
      <c r="J4526" t="s">
        <v>28854</v>
      </c>
      <c r="K4526" t="s">
        <v>37209</v>
      </c>
      <c r="M4526" t="s">
        <v>39207</v>
      </c>
      <c r="N4526" t="s">
        <v>41249</v>
      </c>
      <c r="O4526" t="s">
        <v>41250</v>
      </c>
      <c r="P4526">
        <v>0</v>
      </c>
      <c r="Q4526">
        <v>0</v>
      </c>
      <c r="R4526" t="s">
        <v>41252</v>
      </c>
      <c r="S4526" t="s">
        <v>41383</v>
      </c>
      <c r="T4526" t="s">
        <v>42674</v>
      </c>
      <c r="U4526" t="s">
        <v>46962</v>
      </c>
      <c r="W4526" t="s">
        <v>39207</v>
      </c>
      <c r="X4526" t="s">
        <v>41254</v>
      </c>
    </row>
    <row r="4527" spans="1:24">
      <c r="A4527">
        <f>HYPERLINK("https://www.philgeps.gov.ph/GEPSNONPILOT/Tender/SplashBidNoticeAbstractUI.aspx?menuIndex=3&amp;refID=7075907&amp;Result=3","7075907")</f>
        <v>0</v>
      </c>
      <c r="B4527" t="s">
        <v>293</v>
      </c>
      <c r="C4527" t="s">
        <v>7717</v>
      </c>
      <c r="D4527" t="s">
        <v>16668</v>
      </c>
      <c r="E4527" t="s">
        <v>20785</v>
      </c>
      <c r="F4527" t="s">
        <v>28669</v>
      </c>
      <c r="G4527" t="s">
        <v>28675</v>
      </c>
      <c r="H4527" t="s">
        <v>28686</v>
      </c>
      <c r="I4527" t="s">
        <v>28689</v>
      </c>
      <c r="J4527" t="s">
        <v>31725</v>
      </c>
      <c r="K4527" t="s">
        <v>37350</v>
      </c>
      <c r="M4527" t="s">
        <v>37772</v>
      </c>
      <c r="N4527" t="s">
        <v>41249</v>
      </c>
      <c r="O4527" t="s">
        <v>41250</v>
      </c>
      <c r="P4527">
        <v>0</v>
      </c>
      <c r="Q4527">
        <v>0</v>
      </c>
      <c r="R4527" t="s">
        <v>41252</v>
      </c>
      <c r="S4527" t="s">
        <v>41383</v>
      </c>
      <c r="T4527" t="s">
        <v>42700</v>
      </c>
      <c r="U4527" t="s">
        <v>46963</v>
      </c>
      <c r="W4527" t="s">
        <v>37772</v>
      </c>
      <c r="X4527" t="s">
        <v>41254</v>
      </c>
    </row>
    <row r="4528" spans="1:24">
      <c r="A4528">
        <f>HYPERLINK("https://www.philgeps.gov.ph/GEPSNONPILOT/Tender/SplashBidNoticeAbstractUI.aspx?menuIndex=3&amp;refID=7075919&amp;Result=3","7075919")</f>
        <v>0</v>
      </c>
      <c r="B4528" t="s">
        <v>1530</v>
      </c>
      <c r="C4528" t="s">
        <v>7718</v>
      </c>
      <c r="D4528" t="s">
        <v>16681</v>
      </c>
      <c r="E4528" t="s">
        <v>20786</v>
      </c>
      <c r="F4528" t="s">
        <v>28669</v>
      </c>
      <c r="G4528" t="s">
        <v>28675</v>
      </c>
      <c r="H4528" t="s">
        <v>28686</v>
      </c>
      <c r="I4528" t="s">
        <v>28689</v>
      </c>
      <c r="J4528" t="s">
        <v>31726</v>
      </c>
      <c r="K4528" t="s">
        <v>37209</v>
      </c>
      <c r="M4528" t="s">
        <v>39104</v>
      </c>
      <c r="N4528" t="s">
        <v>41249</v>
      </c>
      <c r="O4528" t="s">
        <v>41250</v>
      </c>
      <c r="P4528">
        <v>0</v>
      </c>
      <c r="Q4528">
        <v>0</v>
      </c>
      <c r="R4528" t="s">
        <v>41252</v>
      </c>
      <c r="S4528" t="s">
        <v>41383</v>
      </c>
      <c r="T4528" t="s">
        <v>42716</v>
      </c>
      <c r="U4528" t="s">
        <v>46727</v>
      </c>
      <c r="W4528" t="s">
        <v>39104</v>
      </c>
      <c r="X4528" t="s">
        <v>41254</v>
      </c>
    </row>
    <row r="4529" spans="1:24">
      <c r="A4529">
        <f>HYPERLINK("https://www.philgeps.gov.ph/GEPSNONPILOT/Tender/SplashBidNoticeAbstractUI.aspx?menuIndex=3&amp;refID=7075906&amp;Result=3","7075906")</f>
        <v>0</v>
      </c>
      <c r="B4529" t="s">
        <v>1539</v>
      </c>
      <c r="C4529" t="s">
        <v>7680</v>
      </c>
      <c r="D4529" t="s">
        <v>16671</v>
      </c>
      <c r="E4529" t="s">
        <v>20787</v>
      </c>
      <c r="F4529" t="s">
        <v>28669</v>
      </c>
      <c r="G4529" t="s">
        <v>28675</v>
      </c>
      <c r="H4529" t="s">
        <v>9998</v>
      </c>
      <c r="I4529" t="s">
        <v>28689</v>
      </c>
      <c r="J4529" t="s">
        <v>28847</v>
      </c>
      <c r="K4529" t="s">
        <v>37211</v>
      </c>
      <c r="M4529" t="s">
        <v>39114</v>
      </c>
      <c r="N4529" t="s">
        <v>41249</v>
      </c>
      <c r="O4529" t="s">
        <v>41250</v>
      </c>
      <c r="P4529">
        <v>0</v>
      </c>
      <c r="Q4529">
        <v>0</v>
      </c>
      <c r="R4529" t="s">
        <v>41252</v>
      </c>
      <c r="S4529" t="s">
        <v>41383</v>
      </c>
      <c r="T4529" t="s">
        <v>42716</v>
      </c>
      <c r="U4529" t="s">
        <v>46964</v>
      </c>
      <c r="V4529" t="s">
        <v>54748</v>
      </c>
      <c r="W4529" t="s">
        <v>39114</v>
      </c>
      <c r="X4529" t="s">
        <v>41254</v>
      </c>
    </row>
    <row r="4530" spans="1:24">
      <c r="A4530">
        <f>HYPERLINK("https://www.philgeps.gov.ph/GEPSNONPILOT/Tender/SplashBidNoticeAbstractUI.aspx?menuIndex=3&amp;refID=7075905&amp;Result=3","7075905")</f>
        <v>0</v>
      </c>
      <c r="B4530" t="s">
        <v>1632</v>
      </c>
      <c r="C4530" t="s">
        <v>7719</v>
      </c>
      <c r="D4530" t="s">
        <v>16640</v>
      </c>
      <c r="E4530" t="s">
        <v>20788</v>
      </c>
      <c r="F4530" t="s">
        <v>28669</v>
      </c>
      <c r="G4530" t="s">
        <v>28675</v>
      </c>
      <c r="H4530" t="s">
        <v>9998</v>
      </c>
      <c r="I4530" t="s">
        <v>5286</v>
      </c>
      <c r="J4530" t="s">
        <v>28826</v>
      </c>
      <c r="K4530" t="s">
        <v>37208</v>
      </c>
      <c r="M4530" t="s">
        <v>39221</v>
      </c>
      <c r="N4530" t="s">
        <v>41249</v>
      </c>
      <c r="O4530" t="s">
        <v>41250</v>
      </c>
      <c r="P4530">
        <v>0</v>
      </c>
      <c r="Q4530">
        <v>0</v>
      </c>
      <c r="R4530" t="s">
        <v>41252</v>
      </c>
      <c r="S4530" t="s">
        <v>41383</v>
      </c>
      <c r="T4530" t="s">
        <v>42742</v>
      </c>
      <c r="U4530" t="s">
        <v>46965</v>
      </c>
      <c r="W4530" t="s">
        <v>39221</v>
      </c>
      <c r="X4530" t="s">
        <v>41254</v>
      </c>
    </row>
    <row r="4531" spans="1:24">
      <c r="A4531">
        <f>HYPERLINK("https://www.philgeps.gov.ph/GEPSNONPILOT/Tender/SplashBidNoticeAbstractUI.aspx?menuIndex=3&amp;refID=7075924&amp;Result=3","7075924")</f>
        <v>0</v>
      </c>
      <c r="B4531" t="s">
        <v>1621</v>
      </c>
      <c r="C4531" t="s">
        <v>7720</v>
      </c>
      <c r="D4531" t="s">
        <v>16639</v>
      </c>
      <c r="E4531" t="s">
        <v>20789</v>
      </c>
      <c r="F4531" t="s">
        <v>28669</v>
      </c>
      <c r="G4531" t="s">
        <v>28675</v>
      </c>
      <c r="H4531" t="s">
        <v>9998</v>
      </c>
      <c r="I4531" t="s">
        <v>7352</v>
      </c>
      <c r="J4531" t="s">
        <v>31727</v>
      </c>
      <c r="K4531" t="s">
        <v>37209</v>
      </c>
      <c r="M4531" t="s">
        <v>39207</v>
      </c>
      <c r="N4531" t="s">
        <v>41249</v>
      </c>
      <c r="O4531" t="s">
        <v>41250</v>
      </c>
      <c r="P4531">
        <v>0</v>
      </c>
      <c r="Q4531">
        <v>1</v>
      </c>
      <c r="R4531" t="s">
        <v>41252</v>
      </c>
      <c r="S4531" t="s">
        <v>41383</v>
      </c>
      <c r="T4531" t="s">
        <v>42674</v>
      </c>
      <c r="U4531" t="s">
        <v>46966</v>
      </c>
      <c r="W4531" t="s">
        <v>39207</v>
      </c>
      <c r="X4531" t="s">
        <v>41254</v>
      </c>
    </row>
    <row r="4532" spans="1:24">
      <c r="A4532">
        <f>HYPERLINK("https://www.philgeps.gov.ph/GEPSNONPILOT/Tender/SplashBidNoticeAbstractUI.aspx?menuIndex=3&amp;refID=7075940&amp;Result=3","7075940")</f>
        <v>0</v>
      </c>
      <c r="B4532" t="s">
        <v>1621</v>
      </c>
      <c r="C4532" t="s">
        <v>7721</v>
      </c>
      <c r="D4532" t="s">
        <v>16639</v>
      </c>
      <c r="E4532" t="s">
        <v>20790</v>
      </c>
      <c r="F4532" t="s">
        <v>28669</v>
      </c>
      <c r="G4532" t="s">
        <v>28675</v>
      </c>
      <c r="H4532" t="s">
        <v>9998</v>
      </c>
      <c r="I4532" t="s">
        <v>7352</v>
      </c>
      <c r="J4532" t="s">
        <v>31728</v>
      </c>
      <c r="K4532" t="s">
        <v>37209</v>
      </c>
      <c r="M4532" t="s">
        <v>39207</v>
      </c>
      <c r="N4532" t="s">
        <v>41249</v>
      </c>
      <c r="O4532" t="s">
        <v>41250</v>
      </c>
      <c r="P4532">
        <v>0</v>
      </c>
      <c r="Q4532">
        <v>0</v>
      </c>
      <c r="R4532" t="s">
        <v>41252</v>
      </c>
      <c r="S4532" t="s">
        <v>41383</v>
      </c>
      <c r="T4532" t="s">
        <v>42674</v>
      </c>
      <c r="U4532" t="s">
        <v>46967</v>
      </c>
      <c r="W4532" t="s">
        <v>39207</v>
      </c>
      <c r="X4532" t="s">
        <v>41254</v>
      </c>
    </row>
    <row r="4533" spans="1:24">
      <c r="A4533">
        <f>HYPERLINK("https://www.philgeps.gov.ph/GEPSNONPILOT/Tender/SplashBidNoticeAbstractUI.aspx?menuIndex=3&amp;refID=7075915&amp;Result=3","7075915")</f>
        <v>0</v>
      </c>
      <c r="B4533" t="s">
        <v>1633</v>
      </c>
      <c r="C4533" t="s">
        <v>7722</v>
      </c>
      <c r="D4533" t="s">
        <v>16693</v>
      </c>
      <c r="E4533" t="s">
        <v>20791</v>
      </c>
      <c r="F4533" t="s">
        <v>28669</v>
      </c>
      <c r="G4533" t="s">
        <v>28675</v>
      </c>
      <c r="H4533" t="s">
        <v>9998</v>
      </c>
      <c r="I4533" t="s">
        <v>28707</v>
      </c>
      <c r="J4533" t="s">
        <v>31729</v>
      </c>
      <c r="K4533" t="s">
        <v>37213</v>
      </c>
      <c r="M4533" t="s">
        <v>39222</v>
      </c>
      <c r="N4533" t="s">
        <v>41249</v>
      </c>
      <c r="O4533" t="s">
        <v>41250</v>
      </c>
      <c r="P4533">
        <v>0</v>
      </c>
      <c r="Q4533">
        <v>5</v>
      </c>
      <c r="R4533" t="s">
        <v>41252</v>
      </c>
      <c r="S4533" t="s">
        <v>41383</v>
      </c>
      <c r="T4533" t="s">
        <v>42899</v>
      </c>
      <c r="U4533" t="s">
        <v>46968</v>
      </c>
      <c r="V4533" t="s">
        <v>54749</v>
      </c>
      <c r="W4533" t="s">
        <v>39222</v>
      </c>
      <c r="X4533" t="s">
        <v>41254</v>
      </c>
    </row>
    <row r="4534" spans="1:24">
      <c r="A4534">
        <f>HYPERLINK("https://www.philgeps.gov.ph/GEPSNONPILOT/Tender/SplashBidNoticeAbstractUI.aspx?menuIndex=3&amp;refID=7075939&amp;Result=3","7075939")</f>
        <v>0</v>
      </c>
      <c r="B4534" t="s">
        <v>1634</v>
      </c>
      <c r="C4534" t="s">
        <v>7723</v>
      </c>
      <c r="D4534" t="s">
        <v>16660</v>
      </c>
      <c r="E4534" t="s">
        <v>20792</v>
      </c>
      <c r="F4534" t="s">
        <v>28669</v>
      </c>
      <c r="G4534" t="s">
        <v>28677</v>
      </c>
      <c r="H4534" t="s">
        <v>9998</v>
      </c>
      <c r="I4534" t="s">
        <v>7352</v>
      </c>
      <c r="J4534" t="s">
        <v>31730</v>
      </c>
      <c r="K4534" t="s">
        <v>37210</v>
      </c>
      <c r="M4534" t="s">
        <v>39223</v>
      </c>
      <c r="N4534" t="s">
        <v>41249</v>
      </c>
      <c r="O4534" t="s">
        <v>41250</v>
      </c>
      <c r="P4534">
        <v>0</v>
      </c>
      <c r="Q4534">
        <v>1</v>
      </c>
      <c r="R4534" t="s">
        <v>41252</v>
      </c>
      <c r="S4534" t="s">
        <v>41383</v>
      </c>
      <c r="T4534" t="s">
        <v>42968</v>
      </c>
      <c r="U4534" t="s">
        <v>43373</v>
      </c>
      <c r="W4534" t="s">
        <v>39223</v>
      </c>
      <c r="X4534" t="s">
        <v>41254</v>
      </c>
    </row>
    <row r="4535" spans="1:24">
      <c r="A4535">
        <f>HYPERLINK("https://www.philgeps.gov.ph/GEPSNONPILOT/Tender/SplashBidNoticeAbstractUI.aspx?menuIndex=3&amp;refID=7075946&amp;Result=3","7075946")</f>
        <v>0</v>
      </c>
      <c r="B4535" t="s">
        <v>1633</v>
      </c>
      <c r="C4535" t="s">
        <v>7724</v>
      </c>
      <c r="D4535" t="s">
        <v>16693</v>
      </c>
      <c r="E4535" t="s">
        <v>20793</v>
      </c>
      <c r="F4535" t="s">
        <v>28669</v>
      </c>
      <c r="G4535" t="s">
        <v>28675</v>
      </c>
      <c r="H4535" t="s">
        <v>9998</v>
      </c>
      <c r="I4535" t="s">
        <v>28707</v>
      </c>
      <c r="J4535" t="s">
        <v>31731</v>
      </c>
      <c r="K4535" t="s">
        <v>37213</v>
      </c>
      <c r="M4535" t="s">
        <v>39222</v>
      </c>
      <c r="N4535" t="s">
        <v>41249</v>
      </c>
      <c r="O4535" t="s">
        <v>41250</v>
      </c>
      <c r="P4535">
        <v>0</v>
      </c>
      <c r="Q4535">
        <v>6</v>
      </c>
      <c r="R4535" t="s">
        <v>41252</v>
      </c>
      <c r="S4535" t="s">
        <v>41383</v>
      </c>
      <c r="T4535" t="s">
        <v>42899</v>
      </c>
      <c r="U4535" t="s">
        <v>46968</v>
      </c>
      <c r="V4535" t="s">
        <v>54749</v>
      </c>
      <c r="W4535" t="s">
        <v>39222</v>
      </c>
      <c r="X4535" t="s">
        <v>41254</v>
      </c>
    </row>
    <row r="4536" spans="1:24">
      <c r="A4536">
        <f>HYPERLINK("https://www.philgeps.gov.ph/GEPSNONPILOT/Tender/SplashBidNoticeAbstractUI.aspx?menuIndex=3&amp;refID=7075945&amp;Result=3","7075945")</f>
        <v>0</v>
      </c>
      <c r="B4536" t="s">
        <v>752</v>
      </c>
      <c r="C4536" t="s">
        <v>7725</v>
      </c>
      <c r="E4536" t="s">
        <v>20794</v>
      </c>
      <c r="F4536" t="s">
        <v>28669</v>
      </c>
      <c r="G4536" t="s">
        <v>28676</v>
      </c>
      <c r="H4536" t="s">
        <v>9998</v>
      </c>
      <c r="I4536" t="s">
        <v>5213</v>
      </c>
      <c r="J4536" t="s">
        <v>31732</v>
      </c>
      <c r="K4536" t="s">
        <v>37209</v>
      </c>
      <c r="M4536" t="s">
        <v>39224</v>
      </c>
      <c r="N4536" t="s">
        <v>41249</v>
      </c>
      <c r="O4536" t="s">
        <v>41250</v>
      </c>
      <c r="P4536">
        <v>0</v>
      </c>
      <c r="Q4536">
        <v>3</v>
      </c>
      <c r="R4536" t="s">
        <v>41252</v>
      </c>
      <c r="S4536" t="s">
        <v>41383</v>
      </c>
      <c r="T4536" t="s">
        <v>42701</v>
      </c>
      <c r="U4536" t="s">
        <v>46969</v>
      </c>
      <c r="V4536" t="s">
        <v>54750</v>
      </c>
      <c r="W4536" t="s">
        <v>39224</v>
      </c>
      <c r="X4536" t="s">
        <v>41254</v>
      </c>
    </row>
    <row r="4537" spans="1:24">
      <c r="A4537">
        <f>HYPERLINK("https://www.philgeps.gov.ph/GEPSNONPILOT/Tender/SplashBidNoticeAbstractUI.aspx?menuIndex=3&amp;refID=7075943&amp;Result=3","7075943")</f>
        <v>0</v>
      </c>
      <c r="B4537" t="s">
        <v>1635</v>
      </c>
      <c r="C4537" t="s">
        <v>7726</v>
      </c>
      <c r="D4537" t="s">
        <v>16627</v>
      </c>
      <c r="E4537" t="s">
        <v>20795</v>
      </c>
      <c r="F4537" t="s">
        <v>28669</v>
      </c>
      <c r="G4537" t="s">
        <v>28675</v>
      </c>
      <c r="H4537" t="s">
        <v>28686</v>
      </c>
      <c r="I4537" t="s">
        <v>28689</v>
      </c>
      <c r="J4537" t="s">
        <v>31733</v>
      </c>
      <c r="K4537" t="s">
        <v>37215</v>
      </c>
      <c r="M4537" t="s">
        <v>39225</v>
      </c>
      <c r="N4537" t="s">
        <v>41249</v>
      </c>
      <c r="O4537" t="s">
        <v>41250</v>
      </c>
      <c r="P4537">
        <v>0</v>
      </c>
      <c r="Q4537">
        <v>0</v>
      </c>
      <c r="R4537" t="s">
        <v>41252</v>
      </c>
      <c r="S4537" t="s">
        <v>41383</v>
      </c>
      <c r="T4537" t="s">
        <v>42808</v>
      </c>
      <c r="U4537" t="s">
        <v>46970</v>
      </c>
      <c r="W4537" t="s">
        <v>39225</v>
      </c>
      <c r="X4537" t="s">
        <v>41254</v>
      </c>
    </row>
    <row r="4538" spans="1:24">
      <c r="A4538">
        <f>HYPERLINK("https://www.philgeps.gov.ph/GEPSNONPILOT/Tender/SplashBidNoticeAbstractUI.aspx?menuIndex=3&amp;refID=7075908&amp;Result=3","7075908")</f>
        <v>0</v>
      </c>
      <c r="B4538" t="s">
        <v>1636</v>
      </c>
      <c r="C4538" t="s">
        <v>3747</v>
      </c>
      <c r="D4538" t="s">
        <v>16621</v>
      </c>
      <c r="E4538" t="s">
        <v>20796</v>
      </c>
      <c r="F4538" t="s">
        <v>28669</v>
      </c>
      <c r="G4538" t="s">
        <v>28680</v>
      </c>
      <c r="H4538" t="s">
        <v>9998</v>
      </c>
      <c r="I4538" t="s">
        <v>6128</v>
      </c>
      <c r="J4538" t="s">
        <v>29060</v>
      </c>
      <c r="K4538" t="s">
        <v>37210</v>
      </c>
      <c r="M4538" t="s">
        <v>39226</v>
      </c>
      <c r="N4538" t="s">
        <v>41249</v>
      </c>
      <c r="O4538" t="s">
        <v>41250</v>
      </c>
      <c r="P4538">
        <v>0</v>
      </c>
      <c r="Q4538">
        <v>0</v>
      </c>
      <c r="R4538" t="s">
        <v>41252</v>
      </c>
      <c r="S4538" t="s">
        <v>41383</v>
      </c>
      <c r="T4538" t="s">
        <v>42665</v>
      </c>
      <c r="U4538" t="s">
        <v>46971</v>
      </c>
      <c r="W4538" t="s">
        <v>39226</v>
      </c>
      <c r="X4538" t="s">
        <v>41254</v>
      </c>
    </row>
    <row r="4539" spans="1:24">
      <c r="A4539">
        <f>HYPERLINK("https://www.philgeps.gov.ph/GEPSNONPILOT/Tender/SplashBidNoticeAbstractUI.aspx?menuIndex=3&amp;refID=7075942&amp;Result=3","7075942")</f>
        <v>0</v>
      </c>
      <c r="B4539" t="s">
        <v>1503</v>
      </c>
      <c r="C4539" t="s">
        <v>7727</v>
      </c>
      <c r="D4539" t="s">
        <v>16666</v>
      </c>
      <c r="E4539" t="s">
        <v>20797</v>
      </c>
      <c r="F4539" t="s">
        <v>28669</v>
      </c>
      <c r="G4539" t="s">
        <v>28675</v>
      </c>
      <c r="H4539" t="s">
        <v>9998</v>
      </c>
      <c r="I4539" t="s">
        <v>11593</v>
      </c>
      <c r="J4539" t="s">
        <v>29916</v>
      </c>
      <c r="K4539" t="s">
        <v>37227</v>
      </c>
      <c r="M4539" t="s">
        <v>39076</v>
      </c>
      <c r="N4539" t="s">
        <v>41249</v>
      </c>
      <c r="O4539" t="s">
        <v>41250</v>
      </c>
      <c r="P4539">
        <v>0</v>
      </c>
      <c r="Q4539">
        <v>3</v>
      </c>
      <c r="R4539" t="s">
        <v>41252</v>
      </c>
      <c r="S4539" t="s">
        <v>41383</v>
      </c>
      <c r="T4539" t="s">
        <v>42700</v>
      </c>
      <c r="U4539" t="s">
        <v>46972</v>
      </c>
      <c r="W4539" t="s">
        <v>55959</v>
      </c>
      <c r="X4539" t="s">
        <v>41254</v>
      </c>
    </row>
    <row r="4540" spans="1:24">
      <c r="A4540">
        <f>HYPERLINK("https://www.philgeps.gov.ph/GEPSNONPILOT/Tender/SplashBidNoticeAbstractUI.aspx?menuIndex=3&amp;refID=7075937&amp;Result=3","7075937")</f>
        <v>0</v>
      </c>
      <c r="B4540" t="s">
        <v>1628</v>
      </c>
      <c r="C4540" t="s">
        <v>7698</v>
      </c>
      <c r="D4540" t="s">
        <v>16652</v>
      </c>
      <c r="E4540" t="s">
        <v>17947</v>
      </c>
      <c r="F4540" t="s">
        <v>28669</v>
      </c>
      <c r="G4540" t="s">
        <v>28676</v>
      </c>
      <c r="H4540" t="s">
        <v>9998</v>
      </c>
      <c r="I4540" t="s">
        <v>3718</v>
      </c>
      <c r="J4540" t="s">
        <v>29040</v>
      </c>
      <c r="K4540" t="s">
        <v>37227</v>
      </c>
      <c r="M4540" t="s">
        <v>39215</v>
      </c>
      <c r="N4540" t="s">
        <v>41249</v>
      </c>
      <c r="O4540" t="s">
        <v>41250</v>
      </c>
      <c r="P4540">
        <v>0</v>
      </c>
      <c r="Q4540">
        <v>0</v>
      </c>
      <c r="R4540" t="s">
        <v>41252</v>
      </c>
      <c r="S4540" t="s">
        <v>41383</v>
      </c>
      <c r="T4540" t="s">
        <v>42736</v>
      </c>
      <c r="U4540" t="s">
        <v>46973</v>
      </c>
      <c r="W4540" t="s">
        <v>39215</v>
      </c>
      <c r="X4540" t="s">
        <v>41254</v>
      </c>
    </row>
    <row r="4541" spans="1:24">
      <c r="A4541">
        <f>HYPERLINK("https://www.philgeps.gov.ph/GEPSNONPILOT/Tender/SplashBidNoticeAbstractUI.aspx?menuIndex=3&amp;refID=7075935&amp;Result=3","7075935")</f>
        <v>0</v>
      </c>
      <c r="B4541" t="s">
        <v>1530</v>
      </c>
      <c r="C4541" t="s">
        <v>7728</v>
      </c>
      <c r="D4541" t="s">
        <v>16681</v>
      </c>
      <c r="E4541" t="s">
        <v>20798</v>
      </c>
      <c r="F4541" t="s">
        <v>28669</v>
      </c>
      <c r="G4541" t="s">
        <v>28675</v>
      </c>
      <c r="H4541" t="s">
        <v>28686</v>
      </c>
      <c r="I4541" t="s">
        <v>28689</v>
      </c>
      <c r="J4541" t="s">
        <v>31734</v>
      </c>
      <c r="K4541" t="s">
        <v>37209</v>
      </c>
      <c r="M4541" t="s">
        <v>39104</v>
      </c>
      <c r="N4541" t="s">
        <v>41249</v>
      </c>
      <c r="O4541" t="s">
        <v>41250</v>
      </c>
      <c r="P4541">
        <v>0</v>
      </c>
      <c r="Q4541">
        <v>0</v>
      </c>
      <c r="R4541" t="s">
        <v>41252</v>
      </c>
      <c r="S4541" t="s">
        <v>41383</v>
      </c>
      <c r="T4541" t="s">
        <v>42716</v>
      </c>
      <c r="U4541" t="s">
        <v>46727</v>
      </c>
      <c r="W4541" t="s">
        <v>39104</v>
      </c>
      <c r="X4541" t="s">
        <v>41254</v>
      </c>
    </row>
    <row r="4542" spans="1:24">
      <c r="A4542">
        <f>HYPERLINK("https://www.philgeps.gov.ph/GEPSNONPILOT/Tender/SplashBidNoticeAbstractUI.aspx?menuIndex=3&amp;refID=7075903&amp;Result=3","7075903")</f>
        <v>0</v>
      </c>
      <c r="B4542" t="s">
        <v>276</v>
      </c>
      <c r="C4542" t="s">
        <v>7729</v>
      </c>
      <c r="E4542" t="s">
        <v>20799</v>
      </c>
      <c r="F4542" t="s">
        <v>28669</v>
      </c>
      <c r="G4542" t="s">
        <v>28675</v>
      </c>
      <c r="H4542" t="s">
        <v>9998</v>
      </c>
      <c r="I4542" t="s">
        <v>28713</v>
      </c>
      <c r="J4542" t="s">
        <v>31648</v>
      </c>
      <c r="K4542" t="s">
        <v>37209</v>
      </c>
      <c r="M4542" t="s">
        <v>39152</v>
      </c>
      <c r="N4542" t="s">
        <v>41249</v>
      </c>
      <c r="O4542" t="s">
        <v>41250</v>
      </c>
      <c r="Q4542">
        <v>14</v>
      </c>
      <c r="R4542" t="s">
        <v>41252</v>
      </c>
      <c r="S4542" t="s">
        <v>41412</v>
      </c>
      <c r="T4542" t="s">
        <v>42669</v>
      </c>
      <c r="U4542" t="s">
        <v>46799</v>
      </c>
      <c r="V4542" t="s">
        <v>54728</v>
      </c>
      <c r="W4542" t="s">
        <v>39152</v>
      </c>
      <c r="X4542" t="s">
        <v>41254</v>
      </c>
    </row>
    <row r="4543" spans="1:24">
      <c r="A4543">
        <f>HYPERLINK("https://www.philgeps.gov.ph/GEPSNONPILOT/Tender/SplashBidNoticeAbstractUI.aspx?menuIndex=3&amp;refID=7075934&amp;Result=3","7075934")</f>
        <v>0</v>
      </c>
      <c r="B4543" t="s">
        <v>1637</v>
      </c>
      <c r="C4543" t="s">
        <v>7730</v>
      </c>
      <c r="D4543" t="s">
        <v>16644</v>
      </c>
      <c r="E4543" t="s">
        <v>20800</v>
      </c>
      <c r="F4543" t="s">
        <v>28669</v>
      </c>
      <c r="G4543" t="s">
        <v>28677</v>
      </c>
      <c r="H4543" t="s">
        <v>9998</v>
      </c>
      <c r="I4543" t="s">
        <v>7352</v>
      </c>
      <c r="J4543" t="s">
        <v>31735</v>
      </c>
      <c r="K4543" t="s">
        <v>37210</v>
      </c>
      <c r="M4543" t="s">
        <v>39227</v>
      </c>
      <c r="N4543" t="s">
        <v>41249</v>
      </c>
      <c r="O4543" t="s">
        <v>41250</v>
      </c>
      <c r="P4543">
        <v>0</v>
      </c>
      <c r="Q4543">
        <v>0</v>
      </c>
      <c r="R4543" t="s">
        <v>41252</v>
      </c>
      <c r="S4543" t="s">
        <v>41383</v>
      </c>
      <c r="T4543" t="s">
        <v>42883</v>
      </c>
      <c r="U4543" t="s">
        <v>46974</v>
      </c>
      <c r="W4543" t="s">
        <v>39227</v>
      </c>
      <c r="X4543" t="s">
        <v>41254</v>
      </c>
    </row>
    <row r="4544" spans="1:24">
      <c r="A4544">
        <f>HYPERLINK("https://www.philgeps.gov.ph/GEPSNONPILOT/Tender/SplashBidNoticeAbstractUI.aspx?menuIndex=3&amp;refID=7075931&amp;Result=3","7075931")</f>
        <v>0</v>
      </c>
      <c r="B4544" t="s">
        <v>1638</v>
      </c>
      <c r="C4544" t="s">
        <v>7731</v>
      </c>
      <c r="D4544" t="s">
        <v>16635</v>
      </c>
      <c r="E4544" t="s">
        <v>20801</v>
      </c>
      <c r="F4544" t="s">
        <v>28669</v>
      </c>
      <c r="G4544" t="s">
        <v>28675</v>
      </c>
      <c r="H4544" t="s">
        <v>28686</v>
      </c>
      <c r="I4544" t="s">
        <v>28755</v>
      </c>
      <c r="J4544" t="s">
        <v>31736</v>
      </c>
      <c r="K4544" t="s">
        <v>37220</v>
      </c>
      <c r="M4544" t="s">
        <v>39228</v>
      </c>
      <c r="N4544" t="s">
        <v>41249</v>
      </c>
      <c r="O4544" t="s">
        <v>41250</v>
      </c>
      <c r="P4544">
        <v>0</v>
      </c>
      <c r="Q4544">
        <v>0</v>
      </c>
      <c r="R4544" t="s">
        <v>41252</v>
      </c>
      <c r="S4544" t="s">
        <v>41383</v>
      </c>
      <c r="T4544" t="s">
        <v>42923</v>
      </c>
      <c r="U4544" t="s">
        <v>46975</v>
      </c>
      <c r="W4544" t="s">
        <v>39228</v>
      </c>
      <c r="X4544" t="s">
        <v>41254</v>
      </c>
    </row>
    <row r="4545" spans="1:24">
      <c r="A4545">
        <f>HYPERLINK("https://www.philgeps.gov.ph/GEPSNONPILOT/Tender/SplashBidNoticeAbstractUI.aspx?menuIndex=3&amp;refID=7075928&amp;Result=3","7075928")</f>
        <v>0</v>
      </c>
      <c r="B4545" t="s">
        <v>276</v>
      </c>
      <c r="C4545" t="s">
        <v>7732</v>
      </c>
      <c r="E4545" t="s">
        <v>20802</v>
      </c>
      <c r="F4545" t="s">
        <v>28669</v>
      </c>
      <c r="G4545" t="s">
        <v>28675</v>
      </c>
      <c r="H4545" t="s">
        <v>9998</v>
      </c>
      <c r="I4545" t="s">
        <v>28713</v>
      </c>
      <c r="J4545" t="s">
        <v>31737</v>
      </c>
      <c r="K4545" t="s">
        <v>37209</v>
      </c>
      <c r="M4545" t="s">
        <v>39218</v>
      </c>
      <c r="N4545" t="s">
        <v>41249</v>
      </c>
      <c r="O4545" t="s">
        <v>41250</v>
      </c>
      <c r="Q4545">
        <v>7</v>
      </c>
      <c r="R4545" t="s">
        <v>41252</v>
      </c>
      <c r="S4545" t="s">
        <v>41413</v>
      </c>
      <c r="T4545" t="s">
        <v>42680</v>
      </c>
      <c r="U4545" t="s">
        <v>46799</v>
      </c>
      <c r="V4545" t="s">
        <v>54728</v>
      </c>
      <c r="W4545" t="s">
        <v>39218</v>
      </c>
      <c r="X4545" t="s">
        <v>41254</v>
      </c>
    </row>
    <row r="4546" spans="1:24">
      <c r="A4546">
        <f>HYPERLINK("https://www.philgeps.gov.ph/GEPSNONPILOT/Tender/SplashBidNoticeAbstractUI.aspx?menuIndex=3&amp;refID=7075909&amp;Result=3","7075909")</f>
        <v>0</v>
      </c>
      <c r="B4546" t="s">
        <v>276</v>
      </c>
      <c r="C4546" t="s">
        <v>7733</v>
      </c>
      <c r="E4546" t="s">
        <v>20803</v>
      </c>
      <c r="F4546" t="s">
        <v>28669</v>
      </c>
      <c r="G4546" t="s">
        <v>28675</v>
      </c>
      <c r="H4546" t="s">
        <v>9998</v>
      </c>
      <c r="I4546" t="s">
        <v>28713</v>
      </c>
      <c r="J4546" t="s">
        <v>31738</v>
      </c>
      <c r="K4546" t="s">
        <v>37209</v>
      </c>
      <c r="M4546" t="s">
        <v>39218</v>
      </c>
      <c r="N4546" t="s">
        <v>41249</v>
      </c>
      <c r="O4546" t="s">
        <v>41250</v>
      </c>
      <c r="Q4546">
        <v>2</v>
      </c>
      <c r="R4546" t="s">
        <v>41252</v>
      </c>
      <c r="S4546" t="s">
        <v>41414</v>
      </c>
      <c r="T4546" t="s">
        <v>42680</v>
      </c>
      <c r="U4546" t="s">
        <v>46799</v>
      </c>
      <c r="V4546" t="s">
        <v>54728</v>
      </c>
      <c r="W4546" t="s">
        <v>39218</v>
      </c>
      <c r="X4546" t="s">
        <v>41254</v>
      </c>
    </row>
    <row r="4547" spans="1:24">
      <c r="A4547">
        <f>HYPERLINK("https://www.philgeps.gov.ph/GEPSNONPILOT/Tender/SplashBidNoticeAbstractUI.aspx?menuIndex=3&amp;refID=7075927&amp;Result=3","7075927")</f>
        <v>0</v>
      </c>
      <c r="B4547" t="s">
        <v>729</v>
      </c>
      <c r="C4547" t="s">
        <v>7734</v>
      </c>
      <c r="D4547" t="s">
        <v>16608</v>
      </c>
      <c r="E4547" t="s">
        <v>20804</v>
      </c>
      <c r="F4547" t="s">
        <v>28669</v>
      </c>
      <c r="G4547" t="s">
        <v>28676</v>
      </c>
      <c r="H4547" t="s">
        <v>9998</v>
      </c>
      <c r="I4547" t="s">
        <v>28774</v>
      </c>
      <c r="J4547" t="s">
        <v>30036</v>
      </c>
      <c r="K4547" t="s">
        <v>37209</v>
      </c>
      <c r="M4547" t="s">
        <v>38237</v>
      </c>
      <c r="N4547" t="s">
        <v>41249</v>
      </c>
      <c r="O4547" t="s">
        <v>41250</v>
      </c>
      <c r="P4547">
        <v>0</v>
      </c>
      <c r="Q4547">
        <v>1</v>
      </c>
      <c r="R4547" t="s">
        <v>41252</v>
      </c>
      <c r="S4547" t="s">
        <v>41383</v>
      </c>
      <c r="T4547" t="s">
        <v>42743</v>
      </c>
      <c r="U4547" t="s">
        <v>46976</v>
      </c>
      <c r="V4547" t="s">
        <v>54651</v>
      </c>
      <c r="W4547" t="s">
        <v>38237</v>
      </c>
      <c r="X4547" t="s">
        <v>41254</v>
      </c>
    </row>
    <row r="4548" spans="1:24">
      <c r="A4548">
        <f>HYPERLINK("https://www.philgeps.gov.ph/GEPSNONPILOT/Tender/SplashBidNoticeAbstractUI.aspx?menuIndex=3&amp;refID=7075938&amp;Result=3","7075938")</f>
        <v>0</v>
      </c>
      <c r="B4548" t="s">
        <v>1633</v>
      </c>
      <c r="C4548" t="s">
        <v>7735</v>
      </c>
      <c r="D4548" t="s">
        <v>16693</v>
      </c>
      <c r="E4548" t="s">
        <v>20805</v>
      </c>
      <c r="F4548" t="s">
        <v>28669</v>
      </c>
      <c r="G4548" t="s">
        <v>28675</v>
      </c>
      <c r="H4548" t="s">
        <v>9998</v>
      </c>
      <c r="I4548" t="s">
        <v>28707</v>
      </c>
      <c r="J4548" t="s">
        <v>31739</v>
      </c>
      <c r="K4548" t="s">
        <v>37213</v>
      </c>
      <c r="M4548" t="s">
        <v>39222</v>
      </c>
      <c r="N4548" t="s">
        <v>41249</v>
      </c>
      <c r="O4548" t="s">
        <v>41250</v>
      </c>
      <c r="P4548">
        <v>0</v>
      </c>
      <c r="Q4548">
        <v>9</v>
      </c>
      <c r="R4548" t="s">
        <v>41252</v>
      </c>
      <c r="S4548" t="s">
        <v>41383</v>
      </c>
      <c r="T4548" t="s">
        <v>42899</v>
      </c>
      <c r="U4548" t="s">
        <v>46968</v>
      </c>
      <c r="V4548" t="s">
        <v>54749</v>
      </c>
      <c r="W4548" t="s">
        <v>39222</v>
      </c>
      <c r="X4548" t="s">
        <v>41254</v>
      </c>
    </row>
    <row r="4549" spans="1:24">
      <c r="A4549">
        <f>HYPERLINK("https://www.philgeps.gov.ph/GEPSNONPILOT/Tender/SplashBidNoticeAbstractUI.aspx?menuIndex=3&amp;refID=7075923&amp;Result=3","7075923")</f>
        <v>0</v>
      </c>
      <c r="B4549" t="s">
        <v>1639</v>
      </c>
      <c r="C4549" t="s">
        <v>7736</v>
      </c>
      <c r="D4549" t="s">
        <v>16608</v>
      </c>
      <c r="E4549" t="s">
        <v>20806</v>
      </c>
      <c r="F4549" t="s">
        <v>28669</v>
      </c>
      <c r="G4549" t="s">
        <v>28676</v>
      </c>
      <c r="H4549" t="s">
        <v>9998</v>
      </c>
      <c r="I4549" t="s">
        <v>28777</v>
      </c>
      <c r="J4549" t="s">
        <v>30467</v>
      </c>
      <c r="K4549" t="s">
        <v>37209</v>
      </c>
      <c r="M4549" t="s">
        <v>39229</v>
      </c>
      <c r="N4549" t="s">
        <v>41249</v>
      </c>
      <c r="O4549" t="s">
        <v>41250</v>
      </c>
      <c r="P4549">
        <v>0</v>
      </c>
      <c r="Q4549">
        <v>0</v>
      </c>
      <c r="R4549" t="s">
        <v>41252</v>
      </c>
      <c r="S4549" t="s">
        <v>41383</v>
      </c>
      <c r="T4549" t="s">
        <v>42729</v>
      </c>
      <c r="U4549" t="s">
        <v>46977</v>
      </c>
      <c r="W4549" t="s">
        <v>55965</v>
      </c>
      <c r="X4549" t="s">
        <v>41254</v>
      </c>
    </row>
    <row r="4550" spans="1:24">
      <c r="A4550">
        <f>HYPERLINK("https://www.philgeps.gov.ph/GEPSNONPILOT/Tender/SplashBidNoticeAbstractUI.aspx?menuIndex=3&amp;refID=7075936&amp;Result=3","7075936")</f>
        <v>0</v>
      </c>
      <c r="B4550" t="s">
        <v>1621</v>
      </c>
      <c r="C4550" t="s">
        <v>7737</v>
      </c>
      <c r="D4550" t="s">
        <v>16639</v>
      </c>
      <c r="E4550" t="s">
        <v>20807</v>
      </c>
      <c r="F4550" t="s">
        <v>28669</v>
      </c>
      <c r="G4550" t="s">
        <v>28675</v>
      </c>
      <c r="H4550" t="s">
        <v>9998</v>
      </c>
      <c r="I4550" t="s">
        <v>7352</v>
      </c>
      <c r="J4550" t="s">
        <v>31740</v>
      </c>
      <c r="K4550" t="s">
        <v>37209</v>
      </c>
      <c r="M4550" t="s">
        <v>39207</v>
      </c>
      <c r="N4550" t="s">
        <v>41249</v>
      </c>
      <c r="O4550" t="s">
        <v>41250</v>
      </c>
      <c r="P4550">
        <v>0</v>
      </c>
      <c r="Q4550">
        <v>0</v>
      </c>
      <c r="R4550" t="s">
        <v>41252</v>
      </c>
      <c r="S4550" t="s">
        <v>41383</v>
      </c>
      <c r="T4550" t="s">
        <v>42674</v>
      </c>
      <c r="U4550" t="s">
        <v>46978</v>
      </c>
      <c r="W4550" t="s">
        <v>39207</v>
      </c>
      <c r="X4550" t="s">
        <v>41254</v>
      </c>
    </row>
    <row r="4551" spans="1:24">
      <c r="A4551">
        <f>HYPERLINK("https://www.philgeps.gov.ph/GEPSNONPILOT/Tender/SplashBidNoticeAbstractUI.aspx?menuIndex=3&amp;refID=7075933&amp;Result=3","7075933")</f>
        <v>0</v>
      </c>
      <c r="B4551" t="s">
        <v>1629</v>
      </c>
      <c r="C4551" t="s">
        <v>7738</v>
      </c>
      <c r="D4551" t="s">
        <v>16612</v>
      </c>
      <c r="E4551" t="s">
        <v>20808</v>
      </c>
      <c r="F4551" t="s">
        <v>28669</v>
      </c>
      <c r="G4551" t="s">
        <v>28676</v>
      </c>
      <c r="H4551" t="s">
        <v>9998</v>
      </c>
      <c r="I4551" t="s">
        <v>7352</v>
      </c>
      <c r="J4551" t="s">
        <v>31741</v>
      </c>
      <c r="K4551" t="s">
        <v>37234</v>
      </c>
      <c r="M4551" t="s">
        <v>39216</v>
      </c>
      <c r="N4551" t="s">
        <v>41249</v>
      </c>
      <c r="O4551" t="s">
        <v>41250</v>
      </c>
      <c r="P4551">
        <v>0</v>
      </c>
      <c r="Q4551">
        <v>0</v>
      </c>
      <c r="R4551" t="s">
        <v>41252</v>
      </c>
      <c r="S4551" t="s">
        <v>41383</v>
      </c>
      <c r="T4551" t="s">
        <v>42759</v>
      </c>
      <c r="U4551" t="s">
        <v>46979</v>
      </c>
      <c r="W4551" t="s">
        <v>39216</v>
      </c>
      <c r="X4551" t="s">
        <v>41254</v>
      </c>
    </row>
    <row r="4552" spans="1:24">
      <c r="A4552">
        <f>HYPERLINK("https://www.philgeps.gov.ph/GEPSNONPILOT/Tender/SplashBidNoticeAbstractUI.aspx?menuIndex=3&amp;refID=7075972&amp;Result=3","7075972")</f>
        <v>0</v>
      </c>
      <c r="B4552" t="s">
        <v>276</v>
      </c>
      <c r="C4552" t="s">
        <v>7739</v>
      </c>
      <c r="E4552" t="s">
        <v>20809</v>
      </c>
      <c r="F4552" t="s">
        <v>28669</v>
      </c>
      <c r="G4552" t="s">
        <v>28675</v>
      </c>
      <c r="H4552" t="s">
        <v>9998</v>
      </c>
      <c r="I4552" t="s">
        <v>28713</v>
      </c>
      <c r="J4552" t="s">
        <v>28924</v>
      </c>
      <c r="K4552" t="s">
        <v>37209</v>
      </c>
      <c r="M4552" t="s">
        <v>39218</v>
      </c>
      <c r="N4552" t="s">
        <v>41249</v>
      </c>
      <c r="O4552" t="s">
        <v>41250</v>
      </c>
      <c r="Q4552">
        <v>3</v>
      </c>
      <c r="R4552" t="s">
        <v>41252</v>
      </c>
      <c r="S4552" t="s">
        <v>41415</v>
      </c>
      <c r="T4552" t="s">
        <v>42680</v>
      </c>
      <c r="U4552" t="s">
        <v>46799</v>
      </c>
      <c r="V4552" t="s">
        <v>54728</v>
      </c>
      <c r="W4552" t="s">
        <v>39218</v>
      </c>
      <c r="X4552" t="s">
        <v>41254</v>
      </c>
    </row>
    <row r="4553" spans="1:24">
      <c r="A4553">
        <f>HYPERLINK("https://www.philgeps.gov.ph/GEPSNONPILOT/Tender/SplashBidNoticeAbstractUI.aspx?menuIndex=3&amp;refID=7075971&amp;Result=3","7075971")</f>
        <v>0</v>
      </c>
      <c r="B4553" t="s">
        <v>977</v>
      </c>
      <c r="C4553" t="s">
        <v>7740</v>
      </c>
      <c r="D4553" t="s">
        <v>16691</v>
      </c>
      <c r="E4553" t="s">
        <v>20810</v>
      </c>
      <c r="F4553" t="s">
        <v>28669</v>
      </c>
      <c r="G4553" t="s">
        <v>28675</v>
      </c>
      <c r="H4553" t="s">
        <v>28686</v>
      </c>
      <c r="I4553" t="s">
        <v>28689</v>
      </c>
      <c r="J4553" t="s">
        <v>31742</v>
      </c>
      <c r="K4553" t="s">
        <v>37206</v>
      </c>
      <c r="M4553" t="s">
        <v>38502</v>
      </c>
      <c r="N4553" t="s">
        <v>41249</v>
      </c>
      <c r="O4553" t="s">
        <v>41250</v>
      </c>
      <c r="P4553">
        <v>0</v>
      </c>
      <c r="Q4553">
        <v>0</v>
      </c>
      <c r="R4553" t="s">
        <v>41252</v>
      </c>
      <c r="S4553" t="s">
        <v>41383</v>
      </c>
      <c r="T4553" t="s">
        <v>42672</v>
      </c>
      <c r="U4553" t="s">
        <v>46980</v>
      </c>
      <c r="W4553" t="s">
        <v>38502</v>
      </c>
      <c r="X4553" t="s">
        <v>41254</v>
      </c>
    </row>
    <row r="4554" spans="1:24">
      <c r="A4554">
        <f>HYPERLINK("https://www.philgeps.gov.ph/GEPSNONPILOT/Tender/SplashBidNoticeAbstractUI.aspx?menuIndex=3&amp;refID=7075918&amp;Result=3","7075918")</f>
        <v>0</v>
      </c>
      <c r="B4554" t="s">
        <v>1633</v>
      </c>
      <c r="C4554" t="s">
        <v>7741</v>
      </c>
      <c r="D4554" t="s">
        <v>16646</v>
      </c>
      <c r="E4554" t="s">
        <v>20811</v>
      </c>
      <c r="F4554" t="s">
        <v>28669</v>
      </c>
      <c r="G4554" t="s">
        <v>28675</v>
      </c>
      <c r="H4554" t="s">
        <v>28686</v>
      </c>
      <c r="I4554" t="s">
        <v>28689</v>
      </c>
      <c r="J4554" t="s">
        <v>31743</v>
      </c>
      <c r="K4554" t="s">
        <v>37213</v>
      </c>
      <c r="M4554" t="s">
        <v>39222</v>
      </c>
      <c r="N4554" t="s">
        <v>41249</v>
      </c>
      <c r="O4554" t="s">
        <v>41250</v>
      </c>
      <c r="P4554">
        <v>0</v>
      </c>
      <c r="Q4554">
        <v>2</v>
      </c>
      <c r="R4554" t="s">
        <v>41252</v>
      </c>
      <c r="S4554" t="s">
        <v>41383</v>
      </c>
      <c r="T4554" t="s">
        <v>42899</v>
      </c>
      <c r="U4554" t="s">
        <v>46968</v>
      </c>
      <c r="V4554" t="s">
        <v>54751</v>
      </c>
      <c r="W4554" t="s">
        <v>39222</v>
      </c>
      <c r="X4554" t="s">
        <v>41254</v>
      </c>
    </row>
    <row r="4555" spans="1:24">
      <c r="A4555">
        <f>HYPERLINK("https://www.philgeps.gov.ph/GEPSNONPILOT/Tender/SplashBidNoticeAbstractUI.aspx?menuIndex=3&amp;refID=7075970&amp;Result=3","7075970")</f>
        <v>0</v>
      </c>
      <c r="B4555" t="s">
        <v>1640</v>
      </c>
      <c r="C4555" t="s">
        <v>7742</v>
      </c>
      <c r="D4555" t="s">
        <v>16673</v>
      </c>
      <c r="E4555" t="s">
        <v>20812</v>
      </c>
      <c r="F4555" t="s">
        <v>28669</v>
      </c>
      <c r="G4555" t="s">
        <v>28682</v>
      </c>
      <c r="H4555" t="s">
        <v>28686</v>
      </c>
      <c r="I4555" t="s">
        <v>28689</v>
      </c>
      <c r="J4555" t="s">
        <v>31744</v>
      </c>
      <c r="K4555" t="s">
        <v>37351</v>
      </c>
      <c r="M4555" t="s">
        <v>39230</v>
      </c>
      <c r="N4555" t="s">
        <v>41249</v>
      </c>
      <c r="O4555" t="s">
        <v>41250</v>
      </c>
      <c r="P4555">
        <v>0</v>
      </c>
      <c r="Q4555">
        <v>6</v>
      </c>
      <c r="R4555" t="s">
        <v>41252</v>
      </c>
      <c r="S4555" t="s">
        <v>41383</v>
      </c>
      <c r="T4555" t="s">
        <v>42688</v>
      </c>
      <c r="U4555" t="s">
        <v>46981</v>
      </c>
      <c r="V4555" t="s">
        <v>54752</v>
      </c>
      <c r="W4555" t="s">
        <v>39230</v>
      </c>
      <c r="X4555" t="s">
        <v>41254</v>
      </c>
    </row>
    <row r="4556" spans="1:24">
      <c r="A4556">
        <f>HYPERLINK("https://www.philgeps.gov.ph/GEPSNONPILOT/Tender/SplashBidNoticeAbstractUI.aspx?menuIndex=3&amp;refID=7075968&amp;Result=3","7075968")</f>
        <v>0</v>
      </c>
      <c r="B4556" t="s">
        <v>1634</v>
      </c>
      <c r="C4556" t="s">
        <v>7743</v>
      </c>
      <c r="D4556" t="s">
        <v>16660</v>
      </c>
      <c r="E4556" t="s">
        <v>20813</v>
      </c>
      <c r="F4556" t="s">
        <v>28669</v>
      </c>
      <c r="G4556" t="s">
        <v>28678</v>
      </c>
      <c r="H4556" t="s">
        <v>9998</v>
      </c>
      <c r="I4556" t="s">
        <v>28709</v>
      </c>
      <c r="J4556" t="s">
        <v>31745</v>
      </c>
      <c r="K4556" t="s">
        <v>37210</v>
      </c>
      <c r="M4556" t="s">
        <v>39223</v>
      </c>
      <c r="N4556" t="s">
        <v>41249</v>
      </c>
      <c r="O4556" t="s">
        <v>41250</v>
      </c>
      <c r="P4556">
        <v>0</v>
      </c>
      <c r="Q4556">
        <v>2</v>
      </c>
      <c r="R4556" t="s">
        <v>41252</v>
      </c>
      <c r="S4556" t="s">
        <v>41383</v>
      </c>
      <c r="T4556" t="s">
        <v>42968</v>
      </c>
      <c r="U4556" t="s">
        <v>43373</v>
      </c>
      <c r="W4556" t="s">
        <v>39223</v>
      </c>
      <c r="X4556" t="s">
        <v>41254</v>
      </c>
    </row>
    <row r="4557" spans="1:24">
      <c r="A4557">
        <f>HYPERLINK("https://www.philgeps.gov.ph/GEPSNONPILOT/Tender/SplashBidNoticeAbstractUI.aspx?menuIndex=3&amp;refID=7075966&amp;Result=3","7075966")</f>
        <v>0</v>
      </c>
      <c r="B4557" t="s">
        <v>1640</v>
      </c>
      <c r="C4557" t="s">
        <v>7744</v>
      </c>
      <c r="D4557" t="s">
        <v>16673</v>
      </c>
      <c r="E4557" t="s">
        <v>20814</v>
      </c>
      <c r="F4557" t="s">
        <v>28669</v>
      </c>
      <c r="G4557" t="s">
        <v>28682</v>
      </c>
      <c r="H4557" t="s">
        <v>28686</v>
      </c>
      <c r="I4557" t="s">
        <v>28689</v>
      </c>
      <c r="J4557" t="s">
        <v>31746</v>
      </c>
      <c r="K4557" t="s">
        <v>37211</v>
      </c>
      <c r="M4557" t="s">
        <v>39230</v>
      </c>
      <c r="N4557" t="s">
        <v>41249</v>
      </c>
      <c r="O4557" t="s">
        <v>41250</v>
      </c>
      <c r="P4557">
        <v>0</v>
      </c>
      <c r="Q4557">
        <v>8</v>
      </c>
      <c r="R4557" t="s">
        <v>41252</v>
      </c>
      <c r="S4557" t="s">
        <v>41383</v>
      </c>
      <c r="T4557" t="s">
        <v>42688</v>
      </c>
      <c r="U4557" t="s">
        <v>46982</v>
      </c>
      <c r="V4557" t="s">
        <v>54753</v>
      </c>
      <c r="W4557" t="s">
        <v>39230</v>
      </c>
      <c r="X4557" t="s">
        <v>41254</v>
      </c>
    </row>
    <row r="4558" spans="1:24">
      <c r="A4558">
        <f>HYPERLINK("https://www.philgeps.gov.ph/GEPSNONPILOT/Tender/SplashBidNoticeAbstractUI.aspx?menuIndex=3&amp;refID=7075965&amp;Result=3","7075965")</f>
        <v>0</v>
      </c>
      <c r="B4558" t="s">
        <v>1628</v>
      </c>
      <c r="C4558" t="s">
        <v>7698</v>
      </c>
      <c r="D4558" t="s">
        <v>16652</v>
      </c>
      <c r="E4558" t="s">
        <v>17954</v>
      </c>
      <c r="F4558" t="s">
        <v>28669</v>
      </c>
      <c r="G4558" t="s">
        <v>28676</v>
      </c>
      <c r="H4558" t="s">
        <v>9998</v>
      </c>
      <c r="I4558" t="s">
        <v>3718</v>
      </c>
      <c r="J4558" t="s">
        <v>29040</v>
      </c>
      <c r="K4558" t="s">
        <v>37210</v>
      </c>
      <c r="M4558" t="s">
        <v>39215</v>
      </c>
      <c r="N4558" t="s">
        <v>41249</v>
      </c>
      <c r="O4558" t="s">
        <v>41250</v>
      </c>
      <c r="P4558">
        <v>0</v>
      </c>
      <c r="Q4558">
        <v>1</v>
      </c>
      <c r="R4558" t="s">
        <v>41252</v>
      </c>
      <c r="S4558" t="s">
        <v>41383</v>
      </c>
      <c r="T4558" t="s">
        <v>42736</v>
      </c>
      <c r="U4558" t="s">
        <v>46983</v>
      </c>
      <c r="W4558" t="s">
        <v>39215</v>
      </c>
      <c r="X4558" t="s">
        <v>41254</v>
      </c>
    </row>
    <row r="4559" spans="1:24">
      <c r="A4559">
        <f>HYPERLINK("https://www.philgeps.gov.ph/GEPSNONPILOT/Tender/SplashBidNoticeAbstractUI.aspx?menuIndex=3&amp;refID=7075964&amp;Result=3","7075964")</f>
        <v>0</v>
      </c>
      <c r="B4559" t="s">
        <v>977</v>
      </c>
      <c r="C4559" t="s">
        <v>7745</v>
      </c>
      <c r="D4559" t="s">
        <v>16691</v>
      </c>
      <c r="E4559" t="s">
        <v>20815</v>
      </c>
      <c r="F4559" t="s">
        <v>28669</v>
      </c>
      <c r="G4559" t="s">
        <v>28675</v>
      </c>
      <c r="H4559" t="s">
        <v>28686</v>
      </c>
      <c r="I4559" t="s">
        <v>28689</v>
      </c>
      <c r="J4559" t="s">
        <v>31747</v>
      </c>
      <c r="K4559" t="s">
        <v>37315</v>
      </c>
      <c r="M4559" t="s">
        <v>38502</v>
      </c>
      <c r="N4559" t="s">
        <v>41249</v>
      </c>
      <c r="O4559" t="s">
        <v>41250</v>
      </c>
      <c r="P4559">
        <v>0</v>
      </c>
      <c r="Q4559">
        <v>0</v>
      </c>
      <c r="R4559" t="s">
        <v>41252</v>
      </c>
      <c r="S4559" t="s">
        <v>41383</v>
      </c>
      <c r="T4559" t="s">
        <v>42672</v>
      </c>
      <c r="U4559" t="s">
        <v>46984</v>
      </c>
      <c r="W4559" t="s">
        <v>38502</v>
      </c>
      <c r="X4559" t="s">
        <v>41254</v>
      </c>
    </row>
    <row r="4560" spans="1:24">
      <c r="A4560">
        <f>HYPERLINK("https://www.philgeps.gov.ph/GEPSNONPILOT/Tender/SplashBidNoticeAbstractUI.aspx?menuIndex=3&amp;refID=7075974&amp;Result=3","7075974")</f>
        <v>0</v>
      </c>
      <c r="B4560" t="s">
        <v>640</v>
      </c>
      <c r="C4560" t="s">
        <v>7746</v>
      </c>
      <c r="D4560" t="s">
        <v>16608</v>
      </c>
      <c r="E4560" t="s">
        <v>20816</v>
      </c>
      <c r="F4560" t="s">
        <v>28669</v>
      </c>
      <c r="G4560" t="s">
        <v>28675</v>
      </c>
      <c r="H4560" t="s">
        <v>9998</v>
      </c>
      <c r="I4560" t="s">
        <v>11593</v>
      </c>
      <c r="J4560" t="s">
        <v>31748</v>
      </c>
      <c r="K4560" t="s">
        <v>37220</v>
      </c>
      <c r="M4560" t="s">
        <v>38141</v>
      </c>
      <c r="N4560" t="s">
        <v>41249</v>
      </c>
      <c r="O4560" t="s">
        <v>41250</v>
      </c>
      <c r="P4560">
        <v>0</v>
      </c>
      <c r="Q4560">
        <v>11</v>
      </c>
      <c r="R4560" t="s">
        <v>41252</v>
      </c>
      <c r="S4560" t="s">
        <v>41383</v>
      </c>
      <c r="T4560" t="s">
        <v>42715</v>
      </c>
      <c r="U4560" t="s">
        <v>46985</v>
      </c>
      <c r="W4560" t="s">
        <v>38141</v>
      </c>
      <c r="X4560" t="s">
        <v>41254</v>
      </c>
    </row>
    <row r="4561" spans="1:24">
      <c r="A4561">
        <f>HYPERLINK("https://www.philgeps.gov.ph/GEPSNONPILOT/Tender/SplashBidNoticeAbstractUI.aspx?menuIndex=3&amp;refID=7075930&amp;Result=3","7075930")</f>
        <v>0</v>
      </c>
      <c r="B4561" t="s">
        <v>514</v>
      </c>
      <c r="C4561" t="s">
        <v>7747</v>
      </c>
      <c r="D4561" t="s">
        <v>16618</v>
      </c>
      <c r="E4561" t="s">
        <v>20817</v>
      </c>
      <c r="F4561" t="s">
        <v>28669</v>
      </c>
      <c r="G4561" t="s">
        <v>28682</v>
      </c>
      <c r="H4561" t="s">
        <v>9998</v>
      </c>
      <c r="I4561" t="s">
        <v>11593</v>
      </c>
      <c r="J4561" t="s">
        <v>31749</v>
      </c>
      <c r="K4561" t="s">
        <v>37205</v>
      </c>
      <c r="M4561" t="s">
        <v>39220</v>
      </c>
      <c r="N4561" t="s">
        <v>41249</v>
      </c>
      <c r="O4561" t="s">
        <v>41250</v>
      </c>
      <c r="P4561">
        <v>0</v>
      </c>
      <c r="Q4561">
        <v>10</v>
      </c>
      <c r="R4561" t="s">
        <v>41252</v>
      </c>
      <c r="S4561" t="s">
        <v>41383</v>
      </c>
      <c r="T4561" t="s">
        <v>42792</v>
      </c>
      <c r="U4561" t="s">
        <v>46986</v>
      </c>
      <c r="W4561" t="s">
        <v>39220</v>
      </c>
      <c r="X4561" t="s">
        <v>41254</v>
      </c>
    </row>
    <row r="4562" spans="1:24">
      <c r="A4562">
        <f>HYPERLINK("https://www.philgeps.gov.ph/GEPSNONPILOT/Tender/SplashBidNoticeAbstractUI.aspx?menuIndex=3&amp;refID=7075959&amp;Result=3","7075959")</f>
        <v>0</v>
      </c>
      <c r="B4562" t="s">
        <v>640</v>
      </c>
      <c r="C4562" t="s">
        <v>7748</v>
      </c>
      <c r="D4562" t="s">
        <v>16608</v>
      </c>
      <c r="E4562" t="s">
        <v>20818</v>
      </c>
      <c r="F4562" t="s">
        <v>28669</v>
      </c>
      <c r="G4562" t="s">
        <v>28675</v>
      </c>
      <c r="H4562" t="s">
        <v>9998</v>
      </c>
      <c r="I4562" t="s">
        <v>6128</v>
      </c>
      <c r="J4562" t="s">
        <v>31750</v>
      </c>
      <c r="K4562" t="s">
        <v>37220</v>
      </c>
      <c r="M4562" t="s">
        <v>38141</v>
      </c>
      <c r="N4562" t="s">
        <v>41249</v>
      </c>
      <c r="O4562" t="s">
        <v>41250</v>
      </c>
      <c r="P4562">
        <v>0</v>
      </c>
      <c r="Q4562">
        <v>0</v>
      </c>
      <c r="R4562" t="s">
        <v>41252</v>
      </c>
      <c r="S4562" t="s">
        <v>41383</v>
      </c>
      <c r="T4562" t="s">
        <v>42715</v>
      </c>
      <c r="U4562" t="s">
        <v>46987</v>
      </c>
      <c r="W4562" t="s">
        <v>38141</v>
      </c>
      <c r="X4562" t="s">
        <v>41254</v>
      </c>
    </row>
    <row r="4563" spans="1:24">
      <c r="A4563">
        <f>HYPERLINK("https://www.philgeps.gov.ph/GEPSNONPILOT/Tender/SplashBidNoticeAbstractUI.aspx?menuIndex=3&amp;refID=7075967&amp;Result=3","7075967")</f>
        <v>0</v>
      </c>
      <c r="B4563" t="s">
        <v>1635</v>
      </c>
      <c r="C4563" t="s">
        <v>7749</v>
      </c>
      <c r="D4563" t="s">
        <v>16627</v>
      </c>
      <c r="E4563" t="s">
        <v>20819</v>
      </c>
      <c r="F4563" t="s">
        <v>28669</v>
      </c>
      <c r="G4563" t="s">
        <v>28675</v>
      </c>
      <c r="H4563" t="s">
        <v>28686</v>
      </c>
      <c r="I4563" t="s">
        <v>28689</v>
      </c>
      <c r="J4563" t="s">
        <v>31751</v>
      </c>
      <c r="K4563" t="s">
        <v>37290</v>
      </c>
      <c r="M4563" t="s">
        <v>39225</v>
      </c>
      <c r="N4563" t="s">
        <v>41249</v>
      </c>
      <c r="O4563" t="s">
        <v>41250</v>
      </c>
      <c r="P4563">
        <v>0</v>
      </c>
      <c r="Q4563">
        <v>0</v>
      </c>
      <c r="R4563" t="s">
        <v>41252</v>
      </c>
      <c r="S4563" t="s">
        <v>41383</v>
      </c>
      <c r="T4563" t="s">
        <v>42808</v>
      </c>
      <c r="U4563" t="s">
        <v>46970</v>
      </c>
      <c r="W4563" t="s">
        <v>39225</v>
      </c>
      <c r="X4563" t="s">
        <v>41254</v>
      </c>
    </row>
    <row r="4564" spans="1:24">
      <c r="A4564">
        <f>HYPERLINK("https://www.philgeps.gov.ph/GEPSNONPILOT/Tender/SplashBidNoticeAbstractUI.aspx?menuIndex=3&amp;refID=7075962&amp;Result=3","7075962")</f>
        <v>0</v>
      </c>
      <c r="B4564" t="s">
        <v>1641</v>
      </c>
      <c r="C4564" t="s">
        <v>7750</v>
      </c>
      <c r="D4564" t="s">
        <v>16618</v>
      </c>
      <c r="E4564" t="s">
        <v>20820</v>
      </c>
      <c r="F4564" t="s">
        <v>28669</v>
      </c>
      <c r="G4564" t="s">
        <v>28675</v>
      </c>
      <c r="H4564" t="s">
        <v>9998</v>
      </c>
      <c r="I4564" t="s">
        <v>11593</v>
      </c>
      <c r="J4564" t="s">
        <v>31752</v>
      </c>
      <c r="K4564" t="s">
        <v>37209</v>
      </c>
      <c r="L4564" t="s">
        <v>1641</v>
      </c>
      <c r="M4564" t="s">
        <v>39231</v>
      </c>
      <c r="N4564" t="s">
        <v>41249</v>
      </c>
      <c r="O4564" t="s">
        <v>41250</v>
      </c>
      <c r="P4564">
        <v>0</v>
      </c>
      <c r="Q4564">
        <v>8</v>
      </c>
      <c r="R4564" t="s">
        <v>41252</v>
      </c>
      <c r="S4564" t="s">
        <v>41383</v>
      </c>
      <c r="T4564" t="s">
        <v>42672</v>
      </c>
      <c r="U4564" t="s">
        <v>46988</v>
      </c>
      <c r="W4564" t="s">
        <v>39231</v>
      </c>
      <c r="X4564" t="s">
        <v>41254</v>
      </c>
    </row>
    <row r="4565" spans="1:24">
      <c r="A4565">
        <f>HYPERLINK("https://www.philgeps.gov.ph/GEPSNONPILOT/Tender/SplashBidNoticeAbstractUI.aspx?menuIndex=3&amp;refID=7075960&amp;Result=3","7075960")</f>
        <v>0</v>
      </c>
      <c r="B4565" t="s">
        <v>1585</v>
      </c>
      <c r="C4565" t="s">
        <v>7751</v>
      </c>
      <c r="D4565" t="s">
        <v>16618</v>
      </c>
      <c r="E4565" t="s">
        <v>20821</v>
      </c>
      <c r="F4565" t="s">
        <v>28669</v>
      </c>
      <c r="G4565" t="s">
        <v>28675</v>
      </c>
      <c r="H4565" t="s">
        <v>28686</v>
      </c>
      <c r="I4565" t="s">
        <v>28689</v>
      </c>
      <c r="J4565" t="s">
        <v>31753</v>
      </c>
      <c r="K4565" t="s">
        <v>37352</v>
      </c>
      <c r="M4565" t="s">
        <v>39166</v>
      </c>
      <c r="N4565" t="s">
        <v>41249</v>
      </c>
      <c r="O4565" t="s">
        <v>41250</v>
      </c>
      <c r="P4565">
        <v>0</v>
      </c>
      <c r="Q4565">
        <v>1</v>
      </c>
      <c r="R4565" t="s">
        <v>41252</v>
      </c>
      <c r="S4565" t="s">
        <v>41383</v>
      </c>
      <c r="T4565" t="s">
        <v>42722</v>
      </c>
      <c r="U4565" t="s">
        <v>46989</v>
      </c>
      <c r="W4565" t="s">
        <v>39166</v>
      </c>
      <c r="X4565" t="s">
        <v>41254</v>
      </c>
    </row>
    <row r="4566" spans="1:24">
      <c r="A4566">
        <f>HYPERLINK("https://www.philgeps.gov.ph/GEPSNONPILOT/Tender/SplashBidNoticeAbstractUI.aspx?menuIndex=3&amp;refID=7075954&amp;Result=3","7075954")</f>
        <v>0</v>
      </c>
      <c r="B4566" t="s">
        <v>1638</v>
      </c>
      <c r="C4566" t="s">
        <v>7752</v>
      </c>
      <c r="D4566" t="s">
        <v>16635</v>
      </c>
      <c r="E4566" t="s">
        <v>20822</v>
      </c>
      <c r="F4566" t="s">
        <v>28669</v>
      </c>
      <c r="G4566" t="s">
        <v>28675</v>
      </c>
      <c r="H4566" t="s">
        <v>28686</v>
      </c>
      <c r="I4566" t="s">
        <v>28755</v>
      </c>
      <c r="J4566" t="s">
        <v>31754</v>
      </c>
      <c r="K4566" t="s">
        <v>37220</v>
      </c>
      <c r="M4566" t="s">
        <v>39228</v>
      </c>
      <c r="N4566" t="s">
        <v>41249</v>
      </c>
      <c r="O4566" t="s">
        <v>41250</v>
      </c>
      <c r="P4566">
        <v>0</v>
      </c>
      <c r="Q4566">
        <v>0</v>
      </c>
      <c r="R4566" t="s">
        <v>41252</v>
      </c>
      <c r="S4566" t="s">
        <v>41383</v>
      </c>
      <c r="T4566" t="s">
        <v>42969</v>
      </c>
      <c r="U4566" t="s">
        <v>46990</v>
      </c>
      <c r="W4566" t="s">
        <v>39228</v>
      </c>
      <c r="X4566" t="s">
        <v>41254</v>
      </c>
    </row>
    <row r="4567" spans="1:24">
      <c r="A4567">
        <f>HYPERLINK("https://www.philgeps.gov.ph/GEPSNONPILOT/Tender/SplashBidNoticeAbstractUI.aspx?menuIndex=3&amp;refID=7075953&amp;Result=3","7075953")</f>
        <v>0</v>
      </c>
      <c r="B4567" t="s">
        <v>293</v>
      </c>
      <c r="C4567" t="s">
        <v>7753</v>
      </c>
      <c r="D4567" t="s">
        <v>16668</v>
      </c>
      <c r="E4567" t="s">
        <v>20823</v>
      </c>
      <c r="F4567" t="s">
        <v>28669</v>
      </c>
      <c r="G4567" t="s">
        <v>28675</v>
      </c>
      <c r="H4567" t="s">
        <v>28686</v>
      </c>
      <c r="I4567" t="s">
        <v>28689</v>
      </c>
      <c r="J4567" t="s">
        <v>31755</v>
      </c>
      <c r="K4567" t="s">
        <v>37353</v>
      </c>
      <c r="M4567" t="s">
        <v>37772</v>
      </c>
      <c r="N4567" t="s">
        <v>41249</v>
      </c>
      <c r="O4567" t="s">
        <v>41250</v>
      </c>
      <c r="P4567">
        <v>0</v>
      </c>
      <c r="Q4567">
        <v>0</v>
      </c>
      <c r="R4567" t="s">
        <v>41252</v>
      </c>
      <c r="S4567" t="s">
        <v>41383</v>
      </c>
      <c r="T4567" t="s">
        <v>42700</v>
      </c>
      <c r="U4567" t="s">
        <v>46963</v>
      </c>
      <c r="W4567" t="s">
        <v>37772</v>
      </c>
      <c r="X4567" t="s">
        <v>41254</v>
      </c>
    </row>
    <row r="4568" spans="1:24">
      <c r="A4568">
        <f>HYPERLINK("https://www.philgeps.gov.ph/GEPSNONPILOT/Tender/SplashBidNoticeAbstractUI.aspx?menuIndex=3&amp;refID=7075951&amp;Result=3","7075951")</f>
        <v>0</v>
      </c>
      <c r="B4568" t="s">
        <v>1641</v>
      </c>
      <c r="C4568" t="s">
        <v>7754</v>
      </c>
      <c r="D4568" t="s">
        <v>16618</v>
      </c>
      <c r="E4568" t="s">
        <v>20824</v>
      </c>
      <c r="F4568" t="s">
        <v>28669</v>
      </c>
      <c r="G4568" t="s">
        <v>28675</v>
      </c>
      <c r="H4568" t="s">
        <v>9998</v>
      </c>
      <c r="I4568" t="s">
        <v>11593</v>
      </c>
      <c r="J4568" t="s">
        <v>31756</v>
      </c>
      <c r="K4568" t="s">
        <v>37209</v>
      </c>
      <c r="L4568" t="s">
        <v>1641</v>
      </c>
      <c r="M4568" t="s">
        <v>39231</v>
      </c>
      <c r="N4568" t="s">
        <v>41249</v>
      </c>
      <c r="O4568" t="s">
        <v>41250</v>
      </c>
      <c r="P4568">
        <v>0</v>
      </c>
      <c r="Q4568">
        <v>7</v>
      </c>
      <c r="R4568" t="s">
        <v>41252</v>
      </c>
      <c r="S4568" t="s">
        <v>41383</v>
      </c>
      <c r="T4568" t="s">
        <v>42672</v>
      </c>
      <c r="U4568" t="s">
        <v>46991</v>
      </c>
      <c r="W4568" t="s">
        <v>39231</v>
      </c>
      <c r="X4568" t="s">
        <v>41254</v>
      </c>
    </row>
    <row r="4569" spans="1:24">
      <c r="A4569">
        <f>HYPERLINK("https://www.philgeps.gov.ph/GEPSNONPILOT/Tender/SplashBidNoticeAbstractUI.aspx?menuIndex=3&amp;refID=7075949&amp;Result=3","7075949")</f>
        <v>0</v>
      </c>
      <c r="B4569" t="s">
        <v>1621</v>
      </c>
      <c r="C4569" t="s">
        <v>7755</v>
      </c>
      <c r="D4569" t="s">
        <v>16639</v>
      </c>
      <c r="E4569" t="s">
        <v>20825</v>
      </c>
      <c r="F4569" t="s">
        <v>28669</v>
      </c>
      <c r="G4569" t="s">
        <v>28675</v>
      </c>
      <c r="H4569" t="s">
        <v>9998</v>
      </c>
      <c r="I4569" t="s">
        <v>7352</v>
      </c>
      <c r="J4569" t="s">
        <v>31757</v>
      </c>
      <c r="K4569" t="s">
        <v>37209</v>
      </c>
      <c r="M4569" t="s">
        <v>39207</v>
      </c>
      <c r="N4569" t="s">
        <v>41249</v>
      </c>
      <c r="O4569" t="s">
        <v>41250</v>
      </c>
      <c r="P4569">
        <v>0</v>
      </c>
      <c r="Q4569">
        <v>0</v>
      </c>
      <c r="R4569" t="s">
        <v>41252</v>
      </c>
      <c r="S4569" t="s">
        <v>41383</v>
      </c>
      <c r="T4569" t="s">
        <v>42674</v>
      </c>
      <c r="U4569" t="s">
        <v>46992</v>
      </c>
      <c r="W4569" t="s">
        <v>39207</v>
      </c>
      <c r="X4569" t="s">
        <v>41254</v>
      </c>
    </row>
    <row r="4570" spans="1:24">
      <c r="A4570">
        <f>HYPERLINK("https://www.philgeps.gov.ph/GEPSNONPILOT/Tender/SplashBidNoticeAbstractUI.aspx?menuIndex=3&amp;refID=7075922&amp;Result=3","7075922")</f>
        <v>0</v>
      </c>
      <c r="B4570" t="s">
        <v>276</v>
      </c>
      <c r="C4570" t="s">
        <v>7756</v>
      </c>
      <c r="E4570" t="s">
        <v>20826</v>
      </c>
      <c r="F4570" t="s">
        <v>28669</v>
      </c>
      <c r="G4570" t="s">
        <v>28675</v>
      </c>
      <c r="H4570" t="s">
        <v>9998</v>
      </c>
      <c r="I4570" t="s">
        <v>28713</v>
      </c>
      <c r="J4570" t="s">
        <v>31758</v>
      </c>
      <c r="K4570" t="s">
        <v>37209</v>
      </c>
      <c r="M4570" t="s">
        <v>39218</v>
      </c>
      <c r="N4570" t="s">
        <v>41249</v>
      </c>
      <c r="O4570" t="s">
        <v>41250</v>
      </c>
      <c r="Q4570">
        <v>8</v>
      </c>
      <c r="R4570" t="s">
        <v>41252</v>
      </c>
      <c r="S4570" t="s">
        <v>41416</v>
      </c>
      <c r="T4570" t="s">
        <v>42680</v>
      </c>
      <c r="U4570" t="s">
        <v>46799</v>
      </c>
      <c r="V4570" t="s">
        <v>54728</v>
      </c>
      <c r="W4570" t="s">
        <v>39218</v>
      </c>
      <c r="X4570" t="s">
        <v>41254</v>
      </c>
    </row>
    <row r="4571" spans="1:24">
      <c r="A4571">
        <f>HYPERLINK("https://www.philgeps.gov.ph/GEPSNONPILOT/Tender/SplashBidNoticeAbstractUI.aspx?menuIndex=3&amp;refID=7075901&amp;Result=3","7075901")</f>
        <v>0</v>
      </c>
      <c r="B4571" t="s">
        <v>1624</v>
      </c>
      <c r="C4571" t="s">
        <v>7757</v>
      </c>
      <c r="D4571" t="s">
        <v>16624</v>
      </c>
      <c r="E4571" t="s">
        <v>20827</v>
      </c>
      <c r="F4571" t="s">
        <v>28669</v>
      </c>
      <c r="G4571" t="s">
        <v>28676</v>
      </c>
      <c r="H4571" t="s">
        <v>9998</v>
      </c>
      <c r="I4571" t="s">
        <v>6128</v>
      </c>
      <c r="J4571" t="s">
        <v>31759</v>
      </c>
      <c r="K4571" t="s">
        <v>37205</v>
      </c>
      <c r="M4571" t="s">
        <v>39210</v>
      </c>
      <c r="N4571" t="s">
        <v>41249</v>
      </c>
      <c r="O4571" t="s">
        <v>41250</v>
      </c>
      <c r="P4571">
        <v>0</v>
      </c>
      <c r="Q4571">
        <v>3</v>
      </c>
      <c r="R4571" t="s">
        <v>41252</v>
      </c>
      <c r="S4571" t="s">
        <v>41383</v>
      </c>
      <c r="T4571" t="s">
        <v>42736</v>
      </c>
      <c r="U4571" t="s">
        <v>46993</v>
      </c>
      <c r="W4571" t="s">
        <v>39210</v>
      </c>
      <c r="X4571" t="s">
        <v>41254</v>
      </c>
    </row>
    <row r="4572" spans="1:24">
      <c r="A4572">
        <f>HYPERLINK("https://www.philgeps.gov.ph/GEPSNONPILOT/Tender/SplashBidNoticeAbstractUI.aspx?menuIndex=3&amp;refID=7075835&amp;Result=3","7075835")</f>
        <v>0</v>
      </c>
      <c r="B4572" t="s">
        <v>1642</v>
      </c>
      <c r="C4572" t="s">
        <v>5225</v>
      </c>
      <c r="D4572" t="s">
        <v>16617</v>
      </c>
      <c r="E4572" t="s">
        <v>17140</v>
      </c>
      <c r="F4572" t="s">
        <v>28669</v>
      </c>
      <c r="G4572" t="s">
        <v>28676</v>
      </c>
      <c r="H4572" t="s">
        <v>9998</v>
      </c>
      <c r="I4572" t="s">
        <v>7352</v>
      </c>
      <c r="J4572" t="s">
        <v>29124</v>
      </c>
      <c r="K4572" t="s">
        <v>37234</v>
      </c>
      <c r="M4572" t="s">
        <v>39232</v>
      </c>
      <c r="N4572" t="s">
        <v>41249</v>
      </c>
      <c r="O4572" t="s">
        <v>41250</v>
      </c>
      <c r="P4572">
        <v>0</v>
      </c>
      <c r="Q4572">
        <v>0</v>
      </c>
      <c r="R4572" t="s">
        <v>41252</v>
      </c>
      <c r="S4572" t="s">
        <v>41383</v>
      </c>
      <c r="T4572" t="s">
        <v>42757</v>
      </c>
      <c r="U4572" t="s">
        <v>46994</v>
      </c>
      <c r="W4572" t="s">
        <v>39232</v>
      </c>
      <c r="X4572" t="s">
        <v>41254</v>
      </c>
    </row>
    <row r="4573" spans="1:24">
      <c r="A4573">
        <f>HYPERLINK("https://www.philgeps.gov.ph/GEPSNONPILOT/Tender/SplashBidNoticeAbstractUI.aspx?menuIndex=3&amp;refID=7075886&amp;Result=3","7075886")</f>
        <v>0</v>
      </c>
      <c r="B4573" t="s">
        <v>1638</v>
      </c>
      <c r="C4573" t="s">
        <v>7758</v>
      </c>
      <c r="D4573" t="s">
        <v>16635</v>
      </c>
      <c r="E4573" t="s">
        <v>20828</v>
      </c>
      <c r="F4573" t="s">
        <v>28669</v>
      </c>
      <c r="G4573" t="s">
        <v>28675</v>
      </c>
      <c r="H4573" t="s">
        <v>28686</v>
      </c>
      <c r="I4573" t="s">
        <v>28755</v>
      </c>
      <c r="J4573" t="s">
        <v>31760</v>
      </c>
      <c r="K4573" t="s">
        <v>37268</v>
      </c>
      <c r="M4573" t="s">
        <v>39228</v>
      </c>
      <c r="N4573" t="s">
        <v>41249</v>
      </c>
      <c r="O4573" t="s">
        <v>41250</v>
      </c>
      <c r="P4573">
        <v>0</v>
      </c>
      <c r="Q4573">
        <v>0</v>
      </c>
      <c r="R4573" t="s">
        <v>41252</v>
      </c>
      <c r="S4573" t="s">
        <v>41383</v>
      </c>
      <c r="T4573" t="s">
        <v>42970</v>
      </c>
      <c r="U4573" t="s">
        <v>46995</v>
      </c>
      <c r="W4573" t="s">
        <v>39228</v>
      </c>
      <c r="X4573" t="s">
        <v>41254</v>
      </c>
    </row>
    <row r="4574" spans="1:24">
      <c r="A4574">
        <f>HYPERLINK("https://www.philgeps.gov.ph/GEPSNONPILOT/Tender/SplashBidNoticeAbstractUI.aspx?menuIndex=3&amp;refID=7075833&amp;Result=3","7075833")</f>
        <v>0</v>
      </c>
      <c r="B4574" t="s">
        <v>1643</v>
      </c>
      <c r="C4574" t="s">
        <v>7759</v>
      </c>
      <c r="D4574" t="s">
        <v>16658</v>
      </c>
      <c r="E4574" t="s">
        <v>20829</v>
      </c>
      <c r="F4574" t="s">
        <v>28669</v>
      </c>
      <c r="G4574" t="s">
        <v>28675</v>
      </c>
      <c r="H4574" t="s">
        <v>9998</v>
      </c>
      <c r="I4574" t="s">
        <v>7352</v>
      </c>
      <c r="J4574" t="s">
        <v>31761</v>
      </c>
      <c r="K4574" t="s">
        <v>37210</v>
      </c>
      <c r="M4574" t="s">
        <v>39233</v>
      </c>
      <c r="N4574" t="s">
        <v>41249</v>
      </c>
      <c r="O4574" t="s">
        <v>41250</v>
      </c>
      <c r="P4574">
        <v>0</v>
      </c>
      <c r="Q4574">
        <v>0</v>
      </c>
      <c r="R4574" t="s">
        <v>41252</v>
      </c>
      <c r="S4574" t="s">
        <v>41383</v>
      </c>
      <c r="T4574" t="s">
        <v>42703</v>
      </c>
      <c r="U4574" t="s">
        <v>46996</v>
      </c>
      <c r="W4574" t="s">
        <v>39233</v>
      </c>
      <c r="X4574" t="s">
        <v>41254</v>
      </c>
    </row>
    <row r="4575" spans="1:24">
      <c r="A4575">
        <f>HYPERLINK("https://www.philgeps.gov.ph/GEPSNONPILOT/Tender/SplashBidNoticeAbstractUI.aspx?menuIndex=3&amp;refID=7075814&amp;Result=3","7075814")</f>
        <v>0</v>
      </c>
      <c r="B4575" t="s">
        <v>1644</v>
      </c>
      <c r="C4575" t="s">
        <v>7760</v>
      </c>
      <c r="D4575" t="s">
        <v>16608</v>
      </c>
      <c r="E4575" t="s">
        <v>20830</v>
      </c>
      <c r="F4575" t="s">
        <v>28669</v>
      </c>
      <c r="G4575" t="s">
        <v>28676</v>
      </c>
      <c r="H4575" t="s">
        <v>9998</v>
      </c>
      <c r="I4575" t="s">
        <v>5033</v>
      </c>
      <c r="J4575" t="s">
        <v>31762</v>
      </c>
      <c r="K4575" t="s">
        <v>37210</v>
      </c>
      <c r="M4575" t="s">
        <v>39234</v>
      </c>
      <c r="N4575" t="s">
        <v>41249</v>
      </c>
      <c r="O4575" t="s">
        <v>41250</v>
      </c>
      <c r="P4575">
        <v>0</v>
      </c>
      <c r="Q4575">
        <v>3</v>
      </c>
      <c r="R4575" t="s">
        <v>41252</v>
      </c>
      <c r="S4575" t="s">
        <v>41383</v>
      </c>
      <c r="T4575" t="s">
        <v>42757</v>
      </c>
      <c r="U4575" t="s">
        <v>46997</v>
      </c>
      <c r="V4575" t="s">
        <v>54754</v>
      </c>
      <c r="W4575" t="s">
        <v>39234</v>
      </c>
      <c r="X4575" t="s">
        <v>41254</v>
      </c>
    </row>
    <row r="4576" spans="1:24">
      <c r="A4576">
        <f>HYPERLINK("https://www.philgeps.gov.ph/GEPSNONPILOT/Tender/SplashBidNoticeAbstractUI.aspx?menuIndex=3&amp;refID=7075950&amp;Result=3","7075950")</f>
        <v>0</v>
      </c>
      <c r="B4576" t="s">
        <v>1645</v>
      </c>
      <c r="C4576" t="s">
        <v>7761</v>
      </c>
      <c r="D4576" t="s">
        <v>16625</v>
      </c>
      <c r="E4576" t="s">
        <v>20831</v>
      </c>
      <c r="F4576" t="s">
        <v>28669</v>
      </c>
      <c r="G4576" t="s">
        <v>28675</v>
      </c>
      <c r="H4576" t="s">
        <v>28686</v>
      </c>
      <c r="I4576" t="s">
        <v>28689</v>
      </c>
      <c r="J4576" t="s">
        <v>31763</v>
      </c>
      <c r="K4576" t="s">
        <v>37253</v>
      </c>
      <c r="M4576" t="s">
        <v>39235</v>
      </c>
      <c r="N4576" t="s">
        <v>41249</v>
      </c>
      <c r="O4576" t="s">
        <v>41250</v>
      </c>
      <c r="P4576">
        <v>0</v>
      </c>
      <c r="Q4576">
        <v>0</v>
      </c>
      <c r="R4576" t="s">
        <v>41252</v>
      </c>
      <c r="S4576" t="s">
        <v>41383</v>
      </c>
      <c r="T4576" t="s">
        <v>42661</v>
      </c>
      <c r="U4576" t="s">
        <v>46998</v>
      </c>
      <c r="W4576" t="s">
        <v>39235</v>
      </c>
      <c r="X4576" t="s">
        <v>41254</v>
      </c>
    </row>
    <row r="4577" spans="1:24">
      <c r="A4577">
        <f>HYPERLINK("https://www.philgeps.gov.ph/GEPSNONPILOT/Tender/SplashBidNoticeAbstractUI.aspx?menuIndex=3&amp;refID=7075813&amp;Result=3","7075813")</f>
        <v>0</v>
      </c>
      <c r="B4577" t="s">
        <v>1466</v>
      </c>
      <c r="C4577" t="s">
        <v>7762</v>
      </c>
      <c r="D4577" t="s">
        <v>16679</v>
      </c>
      <c r="E4577" t="s">
        <v>20832</v>
      </c>
      <c r="F4577" t="s">
        <v>28669</v>
      </c>
      <c r="G4577" t="s">
        <v>28675</v>
      </c>
      <c r="H4577" t="s">
        <v>28686</v>
      </c>
      <c r="I4577" t="s">
        <v>28689</v>
      </c>
      <c r="J4577" t="s">
        <v>31313</v>
      </c>
      <c r="K4577" t="s">
        <v>37220</v>
      </c>
      <c r="M4577" t="s">
        <v>39034</v>
      </c>
      <c r="N4577" t="s">
        <v>41249</v>
      </c>
      <c r="O4577" t="s">
        <v>41250</v>
      </c>
      <c r="P4577">
        <v>0</v>
      </c>
      <c r="Q4577">
        <v>2</v>
      </c>
      <c r="R4577" t="s">
        <v>41252</v>
      </c>
      <c r="S4577" t="s">
        <v>41383</v>
      </c>
      <c r="T4577" t="s">
        <v>42688</v>
      </c>
      <c r="U4577" t="s">
        <v>46413</v>
      </c>
      <c r="W4577" t="s">
        <v>55956</v>
      </c>
      <c r="X4577" t="s">
        <v>41254</v>
      </c>
    </row>
    <row r="4578" spans="1:24">
      <c r="A4578">
        <f>HYPERLINK("https://www.philgeps.gov.ph/GEPSNONPILOT/Tender/SplashBidNoticeAbstractUI.aspx?menuIndex=3&amp;refID=7075837&amp;Result=3","7075837")</f>
        <v>0</v>
      </c>
      <c r="B4578" t="s">
        <v>1646</v>
      </c>
      <c r="C4578" t="s">
        <v>7763</v>
      </c>
      <c r="D4578" t="s">
        <v>16640</v>
      </c>
      <c r="E4578" t="s">
        <v>20833</v>
      </c>
      <c r="F4578" t="s">
        <v>28669</v>
      </c>
      <c r="G4578" t="s">
        <v>28676</v>
      </c>
      <c r="H4578" t="s">
        <v>9998</v>
      </c>
      <c r="I4578" t="s">
        <v>7352</v>
      </c>
      <c r="J4578" t="s">
        <v>31764</v>
      </c>
      <c r="K4578" t="s">
        <v>37204</v>
      </c>
      <c r="M4578" t="s">
        <v>39236</v>
      </c>
      <c r="N4578" t="s">
        <v>41249</v>
      </c>
      <c r="O4578" t="s">
        <v>41250</v>
      </c>
      <c r="P4578">
        <v>0</v>
      </c>
      <c r="Q4578">
        <v>1</v>
      </c>
      <c r="R4578" t="s">
        <v>41252</v>
      </c>
      <c r="S4578" t="s">
        <v>41383</v>
      </c>
      <c r="T4578" t="s">
        <v>42758</v>
      </c>
      <c r="U4578" t="s">
        <v>46999</v>
      </c>
      <c r="W4578" t="s">
        <v>39236</v>
      </c>
      <c r="X4578" t="s">
        <v>41254</v>
      </c>
    </row>
    <row r="4579" spans="1:24">
      <c r="A4579">
        <f>HYPERLINK("https://www.philgeps.gov.ph/GEPSNONPILOT/Tender/SplashBidNoticeAbstractUI.aspx?menuIndex=3&amp;refID=7075812&amp;Result=3","7075812")</f>
        <v>0</v>
      </c>
      <c r="B4579" t="s">
        <v>1466</v>
      </c>
      <c r="C4579" t="s">
        <v>7764</v>
      </c>
      <c r="D4579" t="s">
        <v>16679</v>
      </c>
      <c r="E4579" t="s">
        <v>20834</v>
      </c>
      <c r="F4579" t="s">
        <v>28669</v>
      </c>
      <c r="G4579" t="s">
        <v>28675</v>
      </c>
      <c r="H4579" t="s">
        <v>28686</v>
      </c>
      <c r="I4579" t="s">
        <v>28689</v>
      </c>
      <c r="J4579" t="s">
        <v>31313</v>
      </c>
      <c r="K4579" t="s">
        <v>37220</v>
      </c>
      <c r="M4579" t="s">
        <v>39034</v>
      </c>
      <c r="N4579" t="s">
        <v>41249</v>
      </c>
      <c r="O4579" t="s">
        <v>41250</v>
      </c>
      <c r="P4579">
        <v>0</v>
      </c>
      <c r="Q4579">
        <v>2</v>
      </c>
      <c r="R4579" t="s">
        <v>41252</v>
      </c>
      <c r="S4579" t="s">
        <v>41383</v>
      </c>
      <c r="T4579" t="s">
        <v>42688</v>
      </c>
      <c r="U4579" t="s">
        <v>46413</v>
      </c>
      <c r="W4579" t="s">
        <v>55956</v>
      </c>
      <c r="X4579" t="s">
        <v>41254</v>
      </c>
    </row>
    <row r="4580" spans="1:24">
      <c r="A4580">
        <f>HYPERLINK("https://www.philgeps.gov.ph/GEPSNONPILOT/Tender/SplashBidNoticeAbstractUI.aspx?menuIndex=3&amp;refID=7075997&amp;Result=3","7075997")</f>
        <v>0</v>
      </c>
      <c r="B4580" t="s">
        <v>1647</v>
      </c>
      <c r="C4580" t="s">
        <v>7765</v>
      </c>
      <c r="D4580" t="s">
        <v>16625</v>
      </c>
      <c r="E4580" t="s">
        <v>20835</v>
      </c>
      <c r="F4580" t="s">
        <v>28669</v>
      </c>
      <c r="G4580" t="s">
        <v>28675</v>
      </c>
      <c r="H4580" t="s">
        <v>9998</v>
      </c>
      <c r="I4580" t="s">
        <v>7352</v>
      </c>
      <c r="J4580" t="s">
        <v>31765</v>
      </c>
      <c r="K4580" t="s">
        <v>37204</v>
      </c>
      <c r="M4580" t="s">
        <v>39237</v>
      </c>
      <c r="N4580" t="s">
        <v>41249</v>
      </c>
      <c r="O4580" t="s">
        <v>41250</v>
      </c>
      <c r="Q4580">
        <v>0</v>
      </c>
      <c r="R4580" t="s">
        <v>41252</v>
      </c>
      <c r="S4580" t="s">
        <v>41417</v>
      </c>
      <c r="T4580" t="s">
        <v>42687</v>
      </c>
      <c r="U4580" t="s">
        <v>47000</v>
      </c>
      <c r="V4580" t="s">
        <v>54755</v>
      </c>
      <c r="W4580" t="s">
        <v>39237</v>
      </c>
      <c r="X4580" t="s">
        <v>41254</v>
      </c>
    </row>
    <row r="4581" spans="1:24">
      <c r="A4581">
        <f>HYPERLINK("https://www.philgeps.gov.ph/GEPSNONPILOT/Tender/SplashBidNoticeAbstractUI.aspx?menuIndex=3&amp;refID=7075996&amp;Result=3","7075996")</f>
        <v>0</v>
      </c>
      <c r="B4581" t="s">
        <v>1648</v>
      </c>
      <c r="C4581" t="s">
        <v>7766</v>
      </c>
      <c r="D4581" t="s">
        <v>16673</v>
      </c>
      <c r="E4581" t="s">
        <v>20836</v>
      </c>
      <c r="F4581" t="s">
        <v>28669</v>
      </c>
      <c r="G4581" t="s">
        <v>28675</v>
      </c>
      <c r="H4581" t="s">
        <v>28686</v>
      </c>
      <c r="I4581" t="s">
        <v>28689</v>
      </c>
      <c r="J4581" t="s">
        <v>31766</v>
      </c>
      <c r="K4581" t="s">
        <v>37209</v>
      </c>
      <c r="M4581" t="s">
        <v>39238</v>
      </c>
      <c r="N4581" t="s">
        <v>41249</v>
      </c>
      <c r="O4581" t="s">
        <v>41250</v>
      </c>
      <c r="P4581">
        <v>0</v>
      </c>
      <c r="Q4581">
        <v>0</v>
      </c>
      <c r="R4581" t="s">
        <v>41252</v>
      </c>
      <c r="S4581" t="s">
        <v>41383</v>
      </c>
      <c r="T4581" t="s">
        <v>42679</v>
      </c>
      <c r="U4581" t="s">
        <v>47001</v>
      </c>
      <c r="W4581" t="s">
        <v>39238</v>
      </c>
      <c r="X4581" t="s">
        <v>41254</v>
      </c>
    </row>
    <row r="4582" spans="1:24">
      <c r="A4582">
        <f>HYPERLINK("https://www.philgeps.gov.ph/GEPSNONPILOT/Tender/SplashBidNoticeAbstractUI.aspx?menuIndex=3&amp;refID=7075948&amp;Result=3","7075948")</f>
        <v>0</v>
      </c>
      <c r="B4582" t="s">
        <v>1625</v>
      </c>
      <c r="C4582" t="s">
        <v>7767</v>
      </c>
      <c r="D4582" t="s">
        <v>16616</v>
      </c>
      <c r="E4582" t="s">
        <v>19884</v>
      </c>
      <c r="F4582" t="s">
        <v>28669</v>
      </c>
      <c r="G4582" t="s">
        <v>28676</v>
      </c>
      <c r="H4582" t="s">
        <v>9998</v>
      </c>
      <c r="I4582" t="s">
        <v>28708</v>
      </c>
      <c r="J4582" t="s">
        <v>29183</v>
      </c>
      <c r="K4582" t="s">
        <v>37205</v>
      </c>
      <c r="M4582" t="s">
        <v>39211</v>
      </c>
      <c r="N4582" t="s">
        <v>41249</v>
      </c>
      <c r="O4582" t="s">
        <v>41250</v>
      </c>
      <c r="P4582">
        <v>0</v>
      </c>
      <c r="Q4582">
        <v>0</v>
      </c>
      <c r="R4582" t="s">
        <v>41252</v>
      </c>
      <c r="S4582" t="s">
        <v>41383</v>
      </c>
      <c r="T4582" t="s">
        <v>42817</v>
      </c>
      <c r="U4582" t="s">
        <v>47002</v>
      </c>
      <c r="V4582" t="s">
        <v>54756</v>
      </c>
      <c r="W4582" t="s">
        <v>39211</v>
      </c>
      <c r="X4582" t="s">
        <v>41254</v>
      </c>
    </row>
    <row r="4583" spans="1:24">
      <c r="A4583">
        <f>HYPERLINK("https://www.philgeps.gov.ph/GEPSNONPILOT/Tender/SplashBidNoticeAbstractUI.aspx?menuIndex=3&amp;refID=7075925&amp;Result=3","7075925")</f>
        <v>0</v>
      </c>
      <c r="B4583" t="s">
        <v>1633</v>
      </c>
      <c r="C4583" t="s">
        <v>7768</v>
      </c>
      <c r="D4583" t="s">
        <v>16693</v>
      </c>
      <c r="E4583" t="s">
        <v>20837</v>
      </c>
      <c r="F4583" t="s">
        <v>28669</v>
      </c>
      <c r="G4583" t="s">
        <v>28675</v>
      </c>
      <c r="H4583" t="s">
        <v>9998</v>
      </c>
      <c r="I4583" t="s">
        <v>28707</v>
      </c>
      <c r="J4583" t="s">
        <v>31767</v>
      </c>
      <c r="K4583" t="s">
        <v>37213</v>
      </c>
      <c r="M4583" t="s">
        <v>39222</v>
      </c>
      <c r="N4583" t="s">
        <v>41249</v>
      </c>
      <c r="O4583" t="s">
        <v>41250</v>
      </c>
      <c r="P4583">
        <v>0</v>
      </c>
      <c r="Q4583">
        <v>8</v>
      </c>
      <c r="R4583" t="s">
        <v>41252</v>
      </c>
      <c r="S4583" t="s">
        <v>41383</v>
      </c>
      <c r="T4583" t="s">
        <v>42899</v>
      </c>
      <c r="U4583" t="s">
        <v>46968</v>
      </c>
      <c r="V4583" t="s">
        <v>54749</v>
      </c>
      <c r="W4583" t="s">
        <v>39222</v>
      </c>
      <c r="X4583" t="s">
        <v>41254</v>
      </c>
    </row>
    <row r="4584" spans="1:24">
      <c r="A4584">
        <f>HYPERLINK("https://www.philgeps.gov.ph/GEPSNONPILOT/Tender/SplashBidNoticeAbstractUI.aspx?menuIndex=3&amp;refID=7075994&amp;Result=3","7075994")</f>
        <v>0</v>
      </c>
      <c r="B4584" t="s">
        <v>1635</v>
      </c>
      <c r="C4584" t="s">
        <v>7769</v>
      </c>
      <c r="D4584" t="s">
        <v>16627</v>
      </c>
      <c r="E4584" t="s">
        <v>20838</v>
      </c>
      <c r="F4584" t="s">
        <v>28669</v>
      </c>
      <c r="G4584" t="s">
        <v>28675</v>
      </c>
      <c r="H4584" t="s">
        <v>28686</v>
      </c>
      <c r="I4584" t="s">
        <v>28689</v>
      </c>
      <c r="J4584" t="s">
        <v>31768</v>
      </c>
      <c r="K4584" t="s">
        <v>37214</v>
      </c>
      <c r="M4584" t="s">
        <v>39225</v>
      </c>
      <c r="N4584" t="s">
        <v>41249</v>
      </c>
      <c r="O4584" t="s">
        <v>41250</v>
      </c>
      <c r="P4584">
        <v>0</v>
      </c>
      <c r="Q4584">
        <v>1</v>
      </c>
      <c r="R4584" t="s">
        <v>41252</v>
      </c>
      <c r="S4584" t="s">
        <v>41383</v>
      </c>
      <c r="T4584" t="s">
        <v>42808</v>
      </c>
      <c r="U4584" t="s">
        <v>46970</v>
      </c>
      <c r="W4584" t="s">
        <v>39225</v>
      </c>
      <c r="X4584" t="s">
        <v>41254</v>
      </c>
    </row>
    <row r="4585" spans="1:24">
      <c r="A4585">
        <f>HYPERLINK("https://www.philgeps.gov.ph/GEPSNONPILOT/Tender/SplashBidNoticeAbstractUI.aspx?menuIndex=3&amp;refID=7075991&amp;Result=3","7075991")</f>
        <v>0</v>
      </c>
      <c r="B4585" t="s">
        <v>1648</v>
      </c>
      <c r="C4585" t="s">
        <v>7770</v>
      </c>
      <c r="D4585" t="s">
        <v>16673</v>
      </c>
      <c r="E4585" t="s">
        <v>17037</v>
      </c>
      <c r="F4585" t="s">
        <v>28669</v>
      </c>
      <c r="G4585" t="s">
        <v>28675</v>
      </c>
      <c r="H4585" t="s">
        <v>28686</v>
      </c>
      <c r="I4585" t="s">
        <v>28689</v>
      </c>
      <c r="J4585" t="s">
        <v>31769</v>
      </c>
      <c r="K4585" t="s">
        <v>37209</v>
      </c>
      <c r="M4585" t="s">
        <v>39238</v>
      </c>
      <c r="N4585" t="s">
        <v>41249</v>
      </c>
      <c r="O4585" t="s">
        <v>41250</v>
      </c>
      <c r="P4585">
        <v>0</v>
      </c>
      <c r="Q4585">
        <v>0</v>
      </c>
      <c r="R4585" t="s">
        <v>41252</v>
      </c>
      <c r="S4585" t="s">
        <v>41383</v>
      </c>
      <c r="T4585" t="s">
        <v>42679</v>
      </c>
      <c r="U4585" t="s">
        <v>47003</v>
      </c>
      <c r="W4585" t="s">
        <v>39238</v>
      </c>
      <c r="X4585" t="s">
        <v>41254</v>
      </c>
    </row>
    <row r="4586" spans="1:24">
      <c r="A4586">
        <f>HYPERLINK("https://www.philgeps.gov.ph/GEPSNONPILOT/Tender/SplashBidNoticeAbstractUI.aspx?menuIndex=3&amp;refID=7075988&amp;Result=3","7075988")</f>
        <v>0</v>
      </c>
      <c r="B4586" t="s">
        <v>1649</v>
      </c>
      <c r="C4586" t="s">
        <v>7771</v>
      </c>
      <c r="D4586" t="s">
        <v>16617</v>
      </c>
      <c r="E4586" t="s">
        <v>20839</v>
      </c>
      <c r="F4586" t="s">
        <v>28669</v>
      </c>
      <c r="G4586" t="s">
        <v>28675</v>
      </c>
      <c r="H4586" t="s">
        <v>28686</v>
      </c>
      <c r="I4586" t="s">
        <v>28689</v>
      </c>
      <c r="J4586" t="s">
        <v>31770</v>
      </c>
      <c r="K4586" t="s">
        <v>37216</v>
      </c>
      <c r="M4586" t="s">
        <v>39239</v>
      </c>
      <c r="N4586" t="s">
        <v>41249</v>
      </c>
      <c r="O4586" t="s">
        <v>41250</v>
      </c>
      <c r="P4586">
        <v>0</v>
      </c>
      <c r="Q4586">
        <v>4</v>
      </c>
      <c r="R4586" t="s">
        <v>41252</v>
      </c>
      <c r="S4586" t="s">
        <v>41383</v>
      </c>
      <c r="T4586" t="s">
        <v>42742</v>
      </c>
      <c r="U4586" t="s">
        <v>47004</v>
      </c>
      <c r="W4586" t="s">
        <v>39239</v>
      </c>
      <c r="X4586" t="s">
        <v>41254</v>
      </c>
    </row>
    <row r="4587" spans="1:24">
      <c r="A4587">
        <f>HYPERLINK("https://www.philgeps.gov.ph/GEPSNONPILOT/Tender/SplashBidNoticeAbstractUI.aspx?menuIndex=3&amp;refID=7075987&amp;Result=3","7075987")</f>
        <v>0</v>
      </c>
      <c r="B4587" t="s">
        <v>640</v>
      </c>
      <c r="C4587" t="s">
        <v>7772</v>
      </c>
      <c r="D4587" t="s">
        <v>16608</v>
      </c>
      <c r="E4587" t="s">
        <v>20840</v>
      </c>
      <c r="F4587" t="s">
        <v>28669</v>
      </c>
      <c r="G4587" t="s">
        <v>28675</v>
      </c>
      <c r="H4587" t="s">
        <v>9998</v>
      </c>
      <c r="I4587" t="s">
        <v>6128</v>
      </c>
      <c r="J4587" t="s">
        <v>31771</v>
      </c>
      <c r="K4587" t="s">
        <v>37220</v>
      </c>
      <c r="M4587" t="s">
        <v>38141</v>
      </c>
      <c r="N4587" t="s">
        <v>41249</v>
      </c>
      <c r="O4587" t="s">
        <v>41250</v>
      </c>
      <c r="P4587">
        <v>0</v>
      </c>
      <c r="Q4587">
        <v>1</v>
      </c>
      <c r="R4587" t="s">
        <v>41252</v>
      </c>
      <c r="S4587" t="s">
        <v>41383</v>
      </c>
      <c r="T4587" t="s">
        <v>42715</v>
      </c>
      <c r="U4587" t="s">
        <v>47005</v>
      </c>
      <c r="W4587" t="s">
        <v>38141</v>
      </c>
      <c r="X4587" t="s">
        <v>41254</v>
      </c>
    </row>
    <row r="4588" spans="1:24">
      <c r="A4588">
        <f>HYPERLINK("https://www.philgeps.gov.ph/GEPSNONPILOT/Tender/SplashBidNoticeAbstractUI.aspx?menuIndex=3&amp;refID=7075955&amp;Result=3","7075955")</f>
        <v>0</v>
      </c>
      <c r="B4588" t="s">
        <v>1634</v>
      </c>
      <c r="C4588" t="s">
        <v>7773</v>
      </c>
      <c r="D4588" t="s">
        <v>16660</v>
      </c>
      <c r="E4588" t="s">
        <v>20841</v>
      </c>
      <c r="F4588" t="s">
        <v>28669</v>
      </c>
      <c r="G4588" t="s">
        <v>28677</v>
      </c>
      <c r="H4588" t="s">
        <v>9998</v>
      </c>
      <c r="I4588" t="s">
        <v>7352</v>
      </c>
      <c r="J4588" t="s">
        <v>31772</v>
      </c>
      <c r="K4588" t="s">
        <v>37210</v>
      </c>
      <c r="M4588" t="s">
        <v>39223</v>
      </c>
      <c r="N4588" t="s">
        <v>41249</v>
      </c>
      <c r="O4588" t="s">
        <v>41250</v>
      </c>
      <c r="P4588">
        <v>0</v>
      </c>
      <c r="Q4588">
        <v>1</v>
      </c>
      <c r="R4588" t="s">
        <v>41252</v>
      </c>
      <c r="S4588" t="s">
        <v>41383</v>
      </c>
      <c r="T4588" t="s">
        <v>42968</v>
      </c>
      <c r="U4588" t="s">
        <v>43373</v>
      </c>
      <c r="W4588" t="s">
        <v>39223</v>
      </c>
      <c r="X4588" t="s">
        <v>41254</v>
      </c>
    </row>
    <row r="4589" spans="1:24">
      <c r="A4589">
        <f>HYPERLINK("https://www.philgeps.gov.ph/GEPSNONPILOT/Tender/SplashBidNoticeAbstractUI.aspx?menuIndex=3&amp;refID=7075993&amp;Result=3","7075993")</f>
        <v>0</v>
      </c>
      <c r="B4589" t="s">
        <v>276</v>
      </c>
      <c r="C4589" t="s">
        <v>7774</v>
      </c>
      <c r="E4589" t="s">
        <v>20842</v>
      </c>
      <c r="F4589" t="s">
        <v>28669</v>
      </c>
      <c r="G4589" t="s">
        <v>28675</v>
      </c>
      <c r="H4589" t="s">
        <v>9998</v>
      </c>
      <c r="I4589" t="s">
        <v>28713</v>
      </c>
      <c r="J4589" t="s">
        <v>31773</v>
      </c>
      <c r="K4589" t="s">
        <v>37209</v>
      </c>
      <c r="M4589" t="s">
        <v>39240</v>
      </c>
      <c r="N4589" t="s">
        <v>41249</v>
      </c>
      <c r="O4589" t="s">
        <v>41250</v>
      </c>
      <c r="Q4589">
        <v>9</v>
      </c>
      <c r="R4589" t="s">
        <v>41252</v>
      </c>
      <c r="S4589" t="s">
        <v>41418</v>
      </c>
      <c r="T4589" t="s">
        <v>42816</v>
      </c>
      <c r="U4589" t="s">
        <v>46799</v>
      </c>
      <c r="V4589" t="s">
        <v>54728</v>
      </c>
      <c r="W4589" t="s">
        <v>39240</v>
      </c>
      <c r="X4589" t="s">
        <v>41254</v>
      </c>
    </row>
    <row r="4590" spans="1:24">
      <c r="A4590">
        <f>HYPERLINK("https://www.philgeps.gov.ph/GEPSNONPILOT/Tender/SplashBidNoticeAbstractUI.aspx?menuIndex=3&amp;refID=7075990&amp;Result=3","7075990")</f>
        <v>0</v>
      </c>
      <c r="B4590" t="s">
        <v>1621</v>
      </c>
      <c r="C4590" t="s">
        <v>7775</v>
      </c>
      <c r="D4590" t="s">
        <v>16639</v>
      </c>
      <c r="E4590" t="s">
        <v>20843</v>
      </c>
      <c r="F4590" t="s">
        <v>28669</v>
      </c>
      <c r="G4590" t="s">
        <v>28675</v>
      </c>
      <c r="H4590" t="s">
        <v>9998</v>
      </c>
      <c r="I4590" t="s">
        <v>7352</v>
      </c>
      <c r="J4590" t="s">
        <v>31774</v>
      </c>
      <c r="K4590" t="s">
        <v>37209</v>
      </c>
      <c r="M4590" t="s">
        <v>39207</v>
      </c>
      <c r="N4590" t="s">
        <v>41249</v>
      </c>
      <c r="O4590" t="s">
        <v>41250</v>
      </c>
      <c r="P4590">
        <v>0</v>
      </c>
      <c r="Q4590">
        <v>0</v>
      </c>
      <c r="R4590" t="s">
        <v>41252</v>
      </c>
      <c r="S4590" t="s">
        <v>41383</v>
      </c>
      <c r="T4590" t="s">
        <v>42674</v>
      </c>
      <c r="U4590" t="s">
        <v>47006</v>
      </c>
      <c r="W4590" t="s">
        <v>39207</v>
      </c>
      <c r="X4590" t="s">
        <v>41254</v>
      </c>
    </row>
    <row r="4591" spans="1:24">
      <c r="A4591">
        <f>HYPERLINK("https://www.philgeps.gov.ph/GEPSNONPILOT/Tender/SplashBidNoticeAbstractUI.aspx?menuIndex=3&amp;refID=7075983&amp;Result=3","7075983")</f>
        <v>0</v>
      </c>
      <c r="B4591" t="s">
        <v>1650</v>
      </c>
      <c r="C4591" t="s">
        <v>7776</v>
      </c>
      <c r="D4591" t="s">
        <v>16675</v>
      </c>
      <c r="E4591" t="s">
        <v>18092</v>
      </c>
      <c r="F4591" t="s">
        <v>28671</v>
      </c>
      <c r="G4591" t="s">
        <v>28675</v>
      </c>
      <c r="H4591" t="s">
        <v>9998</v>
      </c>
      <c r="I4591" t="s">
        <v>7352</v>
      </c>
      <c r="J4591" t="s">
        <v>31775</v>
      </c>
      <c r="K4591" t="s">
        <v>37210</v>
      </c>
      <c r="M4591" t="s">
        <v>39241</v>
      </c>
      <c r="N4591" t="s">
        <v>41249</v>
      </c>
      <c r="O4591" t="s">
        <v>41250</v>
      </c>
      <c r="P4591">
        <v>0</v>
      </c>
      <c r="Q4591">
        <v>0</v>
      </c>
      <c r="R4591" t="s">
        <v>41252</v>
      </c>
      <c r="S4591" t="s">
        <v>41383</v>
      </c>
      <c r="T4591" t="s">
        <v>42755</v>
      </c>
      <c r="U4591" t="s">
        <v>47007</v>
      </c>
      <c r="W4591" t="s">
        <v>39241</v>
      </c>
      <c r="X4591" t="s">
        <v>41254</v>
      </c>
    </row>
    <row r="4592" spans="1:24">
      <c r="A4592">
        <f>HYPERLINK("https://www.philgeps.gov.ph/GEPSNONPILOT/Tender/SplashBidNoticeAbstractUI.aspx?menuIndex=3&amp;refID=7075986&amp;Result=3","7075986")</f>
        <v>0</v>
      </c>
      <c r="B4592" t="s">
        <v>1635</v>
      </c>
      <c r="C4592" t="s">
        <v>7777</v>
      </c>
      <c r="D4592" t="s">
        <v>16627</v>
      </c>
      <c r="E4592" t="s">
        <v>20844</v>
      </c>
      <c r="F4592" t="s">
        <v>28669</v>
      </c>
      <c r="G4592" t="s">
        <v>28675</v>
      </c>
      <c r="H4592" t="s">
        <v>28686</v>
      </c>
      <c r="I4592" t="s">
        <v>28689</v>
      </c>
      <c r="J4592" t="s">
        <v>31776</v>
      </c>
      <c r="K4592" t="s">
        <v>37258</v>
      </c>
      <c r="M4592" t="s">
        <v>39225</v>
      </c>
      <c r="N4592" t="s">
        <v>41249</v>
      </c>
      <c r="O4592" t="s">
        <v>41250</v>
      </c>
      <c r="P4592">
        <v>0</v>
      </c>
      <c r="Q4592">
        <v>0</v>
      </c>
      <c r="R4592" t="s">
        <v>41252</v>
      </c>
      <c r="S4592" t="s">
        <v>41383</v>
      </c>
      <c r="T4592" t="s">
        <v>42808</v>
      </c>
      <c r="U4592" t="s">
        <v>46970</v>
      </c>
      <c r="W4592" t="s">
        <v>39225</v>
      </c>
      <c r="X4592" t="s">
        <v>41254</v>
      </c>
    </row>
    <row r="4593" spans="1:24">
      <c r="A4593">
        <f>HYPERLINK("https://www.philgeps.gov.ph/GEPSNONPILOT/Tender/SplashBidNoticeAbstractUI.aspx?menuIndex=3&amp;refID=7076000&amp;Result=3","7076000")</f>
        <v>0</v>
      </c>
      <c r="B4593" t="s">
        <v>1635</v>
      </c>
      <c r="C4593" t="s">
        <v>7778</v>
      </c>
      <c r="D4593" t="s">
        <v>16627</v>
      </c>
      <c r="E4593" t="s">
        <v>20845</v>
      </c>
      <c r="F4593" t="s">
        <v>28669</v>
      </c>
      <c r="G4593" t="s">
        <v>28675</v>
      </c>
      <c r="H4593" t="s">
        <v>28686</v>
      </c>
      <c r="I4593" t="s">
        <v>28689</v>
      </c>
      <c r="J4593" t="s">
        <v>31777</v>
      </c>
      <c r="K4593" t="s">
        <v>37220</v>
      </c>
      <c r="M4593" t="s">
        <v>39225</v>
      </c>
      <c r="N4593" t="s">
        <v>41249</v>
      </c>
      <c r="O4593" t="s">
        <v>41250</v>
      </c>
      <c r="P4593">
        <v>0</v>
      </c>
      <c r="Q4593">
        <v>0</v>
      </c>
      <c r="R4593" t="s">
        <v>41252</v>
      </c>
      <c r="S4593" t="s">
        <v>41383</v>
      </c>
      <c r="T4593" t="s">
        <v>42808</v>
      </c>
      <c r="U4593" t="s">
        <v>46970</v>
      </c>
      <c r="W4593" t="s">
        <v>39225</v>
      </c>
      <c r="X4593" t="s">
        <v>41254</v>
      </c>
    </row>
    <row r="4594" spans="1:24">
      <c r="A4594">
        <f>HYPERLINK("https://www.philgeps.gov.ph/GEPSNONPILOT/Tender/SplashBidNoticeAbstractUI.aspx?menuIndex=3&amp;refID=7075956&amp;Result=3","7075956")</f>
        <v>0</v>
      </c>
      <c r="B4594" t="s">
        <v>1651</v>
      </c>
      <c r="C4594" t="s">
        <v>7779</v>
      </c>
      <c r="D4594" t="s">
        <v>16678</v>
      </c>
      <c r="E4594" t="s">
        <v>20846</v>
      </c>
      <c r="F4594" t="s">
        <v>28669</v>
      </c>
      <c r="G4594" t="s">
        <v>28676</v>
      </c>
      <c r="H4594" t="s">
        <v>9998</v>
      </c>
      <c r="I4594" t="s">
        <v>6128</v>
      </c>
      <c r="J4594" t="s">
        <v>30778</v>
      </c>
      <c r="K4594" t="s">
        <v>37206</v>
      </c>
      <c r="M4594" t="s">
        <v>39242</v>
      </c>
      <c r="N4594" t="s">
        <v>41249</v>
      </c>
      <c r="O4594" t="s">
        <v>41250</v>
      </c>
      <c r="P4594">
        <v>0</v>
      </c>
      <c r="Q4594">
        <v>4</v>
      </c>
      <c r="R4594" t="s">
        <v>41252</v>
      </c>
      <c r="S4594" t="s">
        <v>41383</v>
      </c>
      <c r="T4594" t="s">
        <v>42766</v>
      </c>
      <c r="U4594" t="s">
        <v>47008</v>
      </c>
      <c r="W4594" t="s">
        <v>39242</v>
      </c>
      <c r="X4594" t="s">
        <v>41254</v>
      </c>
    </row>
    <row r="4595" spans="1:24">
      <c r="A4595">
        <f>HYPERLINK("https://www.philgeps.gov.ph/GEPSNONPILOT/Tender/SplashBidNoticeAbstractUI.aspx?menuIndex=3&amp;refID=7075999&amp;Result=3","7075999")</f>
        <v>0</v>
      </c>
      <c r="B4595" t="s">
        <v>1621</v>
      </c>
      <c r="C4595" t="s">
        <v>7780</v>
      </c>
      <c r="D4595" t="s">
        <v>16639</v>
      </c>
      <c r="E4595" t="s">
        <v>20847</v>
      </c>
      <c r="F4595" t="s">
        <v>28669</v>
      </c>
      <c r="G4595" t="s">
        <v>28675</v>
      </c>
      <c r="H4595" t="s">
        <v>9998</v>
      </c>
      <c r="I4595" t="s">
        <v>7352</v>
      </c>
      <c r="J4595" t="s">
        <v>31778</v>
      </c>
      <c r="K4595" t="s">
        <v>37209</v>
      </c>
      <c r="M4595" t="s">
        <v>39207</v>
      </c>
      <c r="N4595" t="s">
        <v>41249</v>
      </c>
      <c r="O4595" t="s">
        <v>41250</v>
      </c>
      <c r="P4595">
        <v>0</v>
      </c>
      <c r="Q4595">
        <v>0</v>
      </c>
      <c r="R4595" t="s">
        <v>41252</v>
      </c>
      <c r="S4595" t="s">
        <v>41383</v>
      </c>
      <c r="T4595" t="s">
        <v>42674</v>
      </c>
      <c r="U4595" t="s">
        <v>47009</v>
      </c>
      <c r="W4595" t="s">
        <v>39207</v>
      </c>
      <c r="X4595" t="s">
        <v>41254</v>
      </c>
    </row>
    <row r="4596" spans="1:24">
      <c r="A4596">
        <f>HYPERLINK("https://www.philgeps.gov.ph/GEPSNONPILOT/Tender/SplashBidNoticeAbstractUI.aspx?menuIndex=3&amp;refID=7076018&amp;Result=3","7076018")</f>
        <v>0</v>
      </c>
      <c r="B4596" t="s">
        <v>958</v>
      </c>
      <c r="C4596" t="s">
        <v>7781</v>
      </c>
      <c r="D4596" t="s">
        <v>16658</v>
      </c>
      <c r="E4596" t="s">
        <v>20848</v>
      </c>
      <c r="F4596" t="s">
        <v>28669</v>
      </c>
      <c r="G4596" t="s">
        <v>28675</v>
      </c>
      <c r="H4596" t="s">
        <v>28686</v>
      </c>
      <c r="I4596" t="s">
        <v>28689</v>
      </c>
      <c r="J4596" t="s">
        <v>31779</v>
      </c>
      <c r="K4596" t="s">
        <v>37262</v>
      </c>
      <c r="M4596" t="s">
        <v>38483</v>
      </c>
      <c r="N4596" t="s">
        <v>41249</v>
      </c>
      <c r="O4596" t="s">
        <v>41250</v>
      </c>
      <c r="P4596">
        <v>0</v>
      </c>
      <c r="Q4596">
        <v>1</v>
      </c>
      <c r="R4596" t="s">
        <v>41252</v>
      </c>
      <c r="S4596" t="s">
        <v>41383</v>
      </c>
      <c r="T4596" t="s">
        <v>42762</v>
      </c>
      <c r="U4596" t="s">
        <v>47010</v>
      </c>
      <c r="W4596" t="s">
        <v>38483</v>
      </c>
      <c r="X4596" t="s">
        <v>41254</v>
      </c>
    </row>
    <row r="4597" spans="1:24">
      <c r="A4597">
        <f>HYPERLINK("https://www.philgeps.gov.ph/GEPSNONPILOT/Tender/SplashBidNoticeAbstractUI.aspx?menuIndex=3&amp;refID=7075984&amp;Result=3","7075984")</f>
        <v>0</v>
      </c>
      <c r="B4597" t="s">
        <v>1652</v>
      </c>
      <c r="C4597" t="s">
        <v>7782</v>
      </c>
      <c r="D4597" t="s">
        <v>16628</v>
      </c>
      <c r="E4597" t="s">
        <v>16748</v>
      </c>
      <c r="F4597" t="s">
        <v>28669</v>
      </c>
      <c r="G4597" t="s">
        <v>28675</v>
      </c>
      <c r="H4597" t="s">
        <v>9998</v>
      </c>
      <c r="I4597" t="s">
        <v>28689</v>
      </c>
      <c r="J4597" t="s">
        <v>31780</v>
      </c>
      <c r="K4597" t="s">
        <v>37221</v>
      </c>
      <c r="M4597" t="s">
        <v>39243</v>
      </c>
      <c r="N4597" t="s">
        <v>41249</v>
      </c>
      <c r="O4597" t="s">
        <v>41250</v>
      </c>
      <c r="P4597">
        <v>0</v>
      </c>
      <c r="Q4597">
        <v>4</v>
      </c>
      <c r="R4597" t="s">
        <v>41252</v>
      </c>
      <c r="S4597" t="s">
        <v>41383</v>
      </c>
      <c r="T4597" t="s">
        <v>42679</v>
      </c>
      <c r="U4597" t="s">
        <v>47011</v>
      </c>
      <c r="W4597" t="s">
        <v>55966</v>
      </c>
      <c r="X4597" t="s">
        <v>41254</v>
      </c>
    </row>
    <row r="4598" spans="1:24">
      <c r="A4598">
        <f>HYPERLINK("https://www.philgeps.gov.ph/GEPSNONPILOT/Tender/SplashBidNoticeAbstractUI.aspx?menuIndex=3&amp;refID=7076015&amp;Result=3","7076015")</f>
        <v>0</v>
      </c>
      <c r="B4598" t="s">
        <v>762</v>
      </c>
      <c r="C4598" t="s">
        <v>7783</v>
      </c>
      <c r="E4598" t="s">
        <v>20849</v>
      </c>
      <c r="F4598" t="s">
        <v>28669</v>
      </c>
      <c r="G4598" t="s">
        <v>28676</v>
      </c>
      <c r="H4598" t="s">
        <v>9998</v>
      </c>
      <c r="I4598" t="s">
        <v>28729</v>
      </c>
      <c r="J4598" t="s">
        <v>29104</v>
      </c>
      <c r="K4598" t="s">
        <v>37209</v>
      </c>
      <c r="M4598" t="s">
        <v>39214</v>
      </c>
      <c r="N4598" t="s">
        <v>41249</v>
      </c>
      <c r="O4598" t="s">
        <v>41250</v>
      </c>
      <c r="P4598">
        <v>0</v>
      </c>
      <c r="Q4598">
        <v>16</v>
      </c>
      <c r="R4598" t="s">
        <v>41252</v>
      </c>
      <c r="S4598" t="s">
        <v>41383</v>
      </c>
      <c r="T4598" t="s">
        <v>42827</v>
      </c>
      <c r="U4598" t="s">
        <v>47012</v>
      </c>
      <c r="W4598" t="s">
        <v>39214</v>
      </c>
      <c r="X4598" t="s">
        <v>41254</v>
      </c>
    </row>
    <row r="4599" spans="1:24">
      <c r="A4599">
        <f>HYPERLINK("https://www.philgeps.gov.ph/GEPSNONPILOT/Tender/SplashBidNoticeAbstractUI.aspx?menuIndex=3&amp;refID=7076014&amp;Result=3","7076014")</f>
        <v>0</v>
      </c>
      <c r="B4599" t="s">
        <v>897</v>
      </c>
      <c r="C4599" t="s">
        <v>7784</v>
      </c>
      <c r="D4599" t="s">
        <v>16631</v>
      </c>
      <c r="E4599" t="s">
        <v>20850</v>
      </c>
      <c r="F4599" t="s">
        <v>28669</v>
      </c>
      <c r="G4599" t="s">
        <v>28675</v>
      </c>
      <c r="H4599" t="s">
        <v>9998</v>
      </c>
      <c r="I4599" t="s">
        <v>7352</v>
      </c>
      <c r="J4599" t="s">
        <v>31781</v>
      </c>
      <c r="K4599" t="s">
        <v>37206</v>
      </c>
      <c r="M4599" t="s">
        <v>38418</v>
      </c>
      <c r="N4599" t="s">
        <v>41249</v>
      </c>
      <c r="O4599" t="s">
        <v>41250</v>
      </c>
      <c r="P4599">
        <v>0</v>
      </c>
      <c r="Q4599">
        <v>0</v>
      </c>
      <c r="R4599" t="s">
        <v>41252</v>
      </c>
      <c r="S4599" t="s">
        <v>41383</v>
      </c>
      <c r="T4599" t="s">
        <v>42808</v>
      </c>
      <c r="U4599" t="s">
        <v>44959</v>
      </c>
      <c r="W4599" t="s">
        <v>38418</v>
      </c>
      <c r="X4599" t="s">
        <v>41254</v>
      </c>
    </row>
    <row r="4600" spans="1:24">
      <c r="A4600">
        <f>HYPERLINK("https://www.philgeps.gov.ph/GEPSNONPILOT/Tender/SplashBidNoticeAbstractUI.aspx?menuIndex=3&amp;refID=7076012&amp;Result=3","7076012")</f>
        <v>0</v>
      </c>
      <c r="B4600" t="s">
        <v>1647</v>
      </c>
      <c r="C4600" t="s">
        <v>7785</v>
      </c>
      <c r="E4600" t="s">
        <v>20835</v>
      </c>
      <c r="F4600" t="s">
        <v>28669</v>
      </c>
      <c r="G4600" t="s">
        <v>28675</v>
      </c>
      <c r="H4600" t="s">
        <v>9998</v>
      </c>
      <c r="I4600" t="s">
        <v>7352</v>
      </c>
      <c r="J4600" t="s">
        <v>29003</v>
      </c>
      <c r="K4600" t="s">
        <v>37206</v>
      </c>
      <c r="M4600" t="s">
        <v>39237</v>
      </c>
      <c r="N4600" t="s">
        <v>41249</v>
      </c>
      <c r="O4600" t="s">
        <v>41250</v>
      </c>
      <c r="P4600">
        <v>0</v>
      </c>
      <c r="Q4600">
        <v>0</v>
      </c>
      <c r="R4600" t="s">
        <v>41252</v>
      </c>
      <c r="S4600" t="s">
        <v>41383</v>
      </c>
      <c r="T4600" t="s">
        <v>42687</v>
      </c>
      <c r="U4600" t="s">
        <v>47013</v>
      </c>
      <c r="V4600" t="s">
        <v>54755</v>
      </c>
      <c r="W4600" t="s">
        <v>39237</v>
      </c>
      <c r="X4600" t="s">
        <v>41254</v>
      </c>
    </row>
    <row r="4601" spans="1:24">
      <c r="A4601">
        <f>HYPERLINK("https://www.philgeps.gov.ph/GEPSNONPILOT/Tender/SplashBidNoticeAbstractUI.aspx?menuIndex=3&amp;refID=7076017&amp;Result=3","7076017")</f>
        <v>0</v>
      </c>
      <c r="B4601" t="s">
        <v>897</v>
      </c>
      <c r="C4601" t="s">
        <v>7786</v>
      </c>
      <c r="D4601" t="s">
        <v>16631</v>
      </c>
      <c r="E4601" t="s">
        <v>20851</v>
      </c>
      <c r="F4601" t="s">
        <v>28669</v>
      </c>
      <c r="G4601" t="s">
        <v>28675</v>
      </c>
      <c r="H4601" t="s">
        <v>9998</v>
      </c>
      <c r="I4601" t="s">
        <v>7352</v>
      </c>
      <c r="J4601" t="s">
        <v>31782</v>
      </c>
      <c r="K4601" t="s">
        <v>37206</v>
      </c>
      <c r="M4601" t="s">
        <v>38418</v>
      </c>
      <c r="N4601" t="s">
        <v>41249</v>
      </c>
      <c r="O4601" t="s">
        <v>41250</v>
      </c>
      <c r="P4601">
        <v>0</v>
      </c>
      <c r="Q4601">
        <v>0</v>
      </c>
      <c r="R4601" t="s">
        <v>41252</v>
      </c>
      <c r="S4601" t="s">
        <v>41383</v>
      </c>
      <c r="T4601" t="s">
        <v>42808</v>
      </c>
      <c r="U4601" t="s">
        <v>44959</v>
      </c>
      <c r="W4601" t="s">
        <v>38418</v>
      </c>
      <c r="X4601" t="s">
        <v>41254</v>
      </c>
    </row>
    <row r="4602" spans="1:24">
      <c r="A4602">
        <f>HYPERLINK("https://www.philgeps.gov.ph/GEPSNONPILOT/Tender/SplashBidNoticeAbstractUI.aspx?menuIndex=3&amp;refID=7075792&amp;Result=3","7075792")</f>
        <v>0</v>
      </c>
      <c r="B4602" t="s">
        <v>1653</v>
      </c>
      <c r="C4602" t="s">
        <v>7787</v>
      </c>
      <c r="D4602" t="s">
        <v>16608</v>
      </c>
      <c r="E4602" t="s">
        <v>19365</v>
      </c>
      <c r="F4602" t="s">
        <v>28669</v>
      </c>
      <c r="G4602" t="s">
        <v>28676</v>
      </c>
      <c r="H4602" t="s">
        <v>28684</v>
      </c>
      <c r="I4602" t="s">
        <v>28756</v>
      </c>
      <c r="J4602" t="s">
        <v>29943</v>
      </c>
      <c r="K4602" t="s">
        <v>37354</v>
      </c>
      <c r="M4602" t="s">
        <v>39244</v>
      </c>
      <c r="N4602" t="s">
        <v>41249</v>
      </c>
      <c r="O4602" t="s">
        <v>41250</v>
      </c>
      <c r="P4602">
        <v>0</v>
      </c>
      <c r="Q4602">
        <v>0</v>
      </c>
      <c r="R4602" t="s">
        <v>41252</v>
      </c>
      <c r="S4602" t="s">
        <v>41383</v>
      </c>
      <c r="T4602" t="s">
        <v>42742</v>
      </c>
      <c r="U4602" t="s">
        <v>47014</v>
      </c>
      <c r="W4602" t="s">
        <v>39244</v>
      </c>
      <c r="X4602" t="s">
        <v>41254</v>
      </c>
    </row>
    <row r="4603" spans="1:24">
      <c r="A4603">
        <f>HYPERLINK("https://www.philgeps.gov.ph/GEPSNONPILOT/Tender/SplashBidNoticeAbstractUI.aspx?menuIndex=3&amp;refID=7076016&amp;Result=3","7076016")</f>
        <v>0</v>
      </c>
      <c r="B4603" t="s">
        <v>1654</v>
      </c>
      <c r="C4603" t="s">
        <v>7788</v>
      </c>
      <c r="D4603" t="s">
        <v>16608</v>
      </c>
      <c r="E4603" t="s">
        <v>20852</v>
      </c>
      <c r="F4603" t="s">
        <v>28669</v>
      </c>
      <c r="G4603" t="s">
        <v>28676</v>
      </c>
      <c r="H4603" t="s">
        <v>9998</v>
      </c>
      <c r="I4603" t="s">
        <v>28777</v>
      </c>
      <c r="J4603" t="s">
        <v>31026</v>
      </c>
      <c r="K4603" t="s">
        <v>37209</v>
      </c>
      <c r="M4603" t="s">
        <v>39245</v>
      </c>
      <c r="N4603" t="s">
        <v>41249</v>
      </c>
      <c r="O4603" t="s">
        <v>41250</v>
      </c>
      <c r="P4603">
        <v>0</v>
      </c>
      <c r="Q4603">
        <v>0</v>
      </c>
      <c r="R4603" t="s">
        <v>41252</v>
      </c>
      <c r="S4603" t="s">
        <v>41383</v>
      </c>
      <c r="T4603" t="s">
        <v>42701</v>
      </c>
      <c r="U4603" t="s">
        <v>47015</v>
      </c>
      <c r="W4603" t="s">
        <v>39245</v>
      </c>
      <c r="X4603" t="s">
        <v>41254</v>
      </c>
    </row>
    <row r="4604" spans="1:24">
      <c r="A4604">
        <f>HYPERLINK("https://www.philgeps.gov.ph/GEPSNONPILOT/Tender/SplashBidNoticeAbstractUI.aspx?menuIndex=3&amp;refID=7076010&amp;Result=3","7076010")</f>
        <v>0</v>
      </c>
      <c r="B4604" t="s">
        <v>276</v>
      </c>
      <c r="C4604" t="s">
        <v>7789</v>
      </c>
      <c r="E4604" t="s">
        <v>20853</v>
      </c>
      <c r="F4604" t="s">
        <v>28669</v>
      </c>
      <c r="G4604" t="s">
        <v>28675</v>
      </c>
      <c r="H4604" t="s">
        <v>9998</v>
      </c>
      <c r="I4604" t="s">
        <v>28713</v>
      </c>
      <c r="J4604" t="s">
        <v>28836</v>
      </c>
      <c r="K4604" t="s">
        <v>37209</v>
      </c>
      <c r="M4604" t="s">
        <v>39240</v>
      </c>
      <c r="N4604" t="s">
        <v>41249</v>
      </c>
      <c r="O4604" t="s">
        <v>41250</v>
      </c>
      <c r="Q4604">
        <v>6</v>
      </c>
      <c r="R4604" t="s">
        <v>41252</v>
      </c>
      <c r="S4604" t="s">
        <v>41388</v>
      </c>
      <c r="T4604" t="s">
        <v>42816</v>
      </c>
      <c r="U4604" t="s">
        <v>46799</v>
      </c>
      <c r="V4604" t="s">
        <v>54728</v>
      </c>
      <c r="W4604" t="s">
        <v>39240</v>
      </c>
      <c r="X4604" t="s">
        <v>41254</v>
      </c>
    </row>
    <row r="4605" spans="1:24">
      <c r="A4605">
        <f>HYPERLINK("https://www.philgeps.gov.ph/GEPSNONPILOT/Tender/SplashBidNoticeAbstractUI.aspx?menuIndex=3&amp;refID=7076013&amp;Result=3","7076013")</f>
        <v>0</v>
      </c>
      <c r="B4605" t="s">
        <v>1635</v>
      </c>
      <c r="C4605" t="s">
        <v>7790</v>
      </c>
      <c r="D4605" t="s">
        <v>16627</v>
      </c>
      <c r="E4605" t="s">
        <v>20854</v>
      </c>
      <c r="F4605" t="s">
        <v>28669</v>
      </c>
      <c r="G4605" t="s">
        <v>28675</v>
      </c>
      <c r="H4605" t="s">
        <v>9998</v>
      </c>
      <c r="I4605" t="s">
        <v>3718</v>
      </c>
      <c r="J4605" t="s">
        <v>31783</v>
      </c>
      <c r="K4605" t="s">
        <v>37206</v>
      </c>
      <c r="M4605" t="s">
        <v>39225</v>
      </c>
      <c r="N4605" t="s">
        <v>41249</v>
      </c>
      <c r="O4605" t="s">
        <v>41250</v>
      </c>
      <c r="P4605">
        <v>0</v>
      </c>
      <c r="Q4605">
        <v>6</v>
      </c>
      <c r="R4605" t="s">
        <v>41252</v>
      </c>
      <c r="S4605" t="s">
        <v>41383</v>
      </c>
      <c r="T4605" t="s">
        <v>42808</v>
      </c>
      <c r="U4605" t="s">
        <v>46970</v>
      </c>
      <c r="W4605" t="s">
        <v>39225</v>
      </c>
      <c r="X4605" t="s">
        <v>41254</v>
      </c>
    </row>
    <row r="4606" spans="1:24">
      <c r="A4606">
        <f>HYPERLINK("https://www.philgeps.gov.ph/GEPSNONPILOT/Tender/SplashBidNoticeAbstractUI.aspx?menuIndex=3&amp;refID=7076007&amp;Result=3","7076007")</f>
        <v>0</v>
      </c>
      <c r="B4606" t="s">
        <v>1635</v>
      </c>
      <c r="C4606" t="s">
        <v>7791</v>
      </c>
      <c r="D4606" t="s">
        <v>16627</v>
      </c>
      <c r="E4606" t="s">
        <v>20855</v>
      </c>
      <c r="F4606" t="s">
        <v>28669</v>
      </c>
      <c r="G4606" t="s">
        <v>28675</v>
      </c>
      <c r="H4606" t="s">
        <v>28686</v>
      </c>
      <c r="I4606" t="s">
        <v>28689</v>
      </c>
      <c r="J4606" t="s">
        <v>31784</v>
      </c>
      <c r="K4606" t="s">
        <v>37220</v>
      </c>
      <c r="M4606" t="s">
        <v>39225</v>
      </c>
      <c r="N4606" t="s">
        <v>41249</v>
      </c>
      <c r="O4606" t="s">
        <v>41250</v>
      </c>
      <c r="P4606">
        <v>0</v>
      </c>
      <c r="Q4606">
        <v>0</v>
      </c>
      <c r="R4606" t="s">
        <v>41252</v>
      </c>
      <c r="S4606" t="s">
        <v>41383</v>
      </c>
      <c r="T4606" t="s">
        <v>42808</v>
      </c>
      <c r="U4606" t="s">
        <v>46970</v>
      </c>
      <c r="W4606" t="s">
        <v>39225</v>
      </c>
      <c r="X4606" t="s">
        <v>41254</v>
      </c>
    </row>
    <row r="4607" spans="1:24">
      <c r="A4607">
        <f>HYPERLINK("https://www.philgeps.gov.ph/GEPSNONPILOT/Tender/SplashBidNoticeAbstractUI.aspx?menuIndex=3&amp;refID=7076011&amp;Result=3","7076011")</f>
        <v>0</v>
      </c>
      <c r="B4607" t="s">
        <v>958</v>
      </c>
      <c r="C4607" t="s">
        <v>7792</v>
      </c>
      <c r="D4607" t="s">
        <v>16658</v>
      </c>
      <c r="E4607" t="s">
        <v>20856</v>
      </c>
      <c r="F4607" t="s">
        <v>28669</v>
      </c>
      <c r="G4607" t="s">
        <v>28675</v>
      </c>
      <c r="H4607" t="s">
        <v>9998</v>
      </c>
      <c r="I4607" t="s">
        <v>7352</v>
      </c>
      <c r="J4607" t="s">
        <v>31785</v>
      </c>
      <c r="K4607" t="s">
        <v>37206</v>
      </c>
      <c r="M4607" t="s">
        <v>38483</v>
      </c>
      <c r="N4607" t="s">
        <v>41249</v>
      </c>
      <c r="O4607" t="s">
        <v>41250</v>
      </c>
      <c r="P4607">
        <v>0</v>
      </c>
      <c r="Q4607">
        <v>1</v>
      </c>
      <c r="R4607" t="s">
        <v>41252</v>
      </c>
      <c r="S4607" t="s">
        <v>41383</v>
      </c>
      <c r="T4607" t="s">
        <v>42762</v>
      </c>
      <c r="U4607" t="s">
        <v>45120</v>
      </c>
      <c r="W4607" t="s">
        <v>38483</v>
      </c>
      <c r="X4607" t="s">
        <v>41254</v>
      </c>
    </row>
    <row r="4608" spans="1:24">
      <c r="A4608">
        <f>HYPERLINK("https://www.philgeps.gov.ph/GEPSNONPILOT/Tender/SplashBidNoticeAbstractUI.aspx?menuIndex=3&amp;refID=7076008&amp;Result=3","7076008")</f>
        <v>0</v>
      </c>
      <c r="B4608" t="s">
        <v>1621</v>
      </c>
      <c r="C4608" t="s">
        <v>7793</v>
      </c>
      <c r="D4608" t="s">
        <v>16639</v>
      </c>
      <c r="E4608" t="s">
        <v>20857</v>
      </c>
      <c r="F4608" t="s">
        <v>28669</v>
      </c>
      <c r="G4608" t="s">
        <v>28675</v>
      </c>
      <c r="H4608" t="s">
        <v>28686</v>
      </c>
      <c r="I4608" t="s">
        <v>28689</v>
      </c>
      <c r="J4608" t="s">
        <v>29332</v>
      </c>
      <c r="K4608" t="s">
        <v>37209</v>
      </c>
      <c r="M4608" t="s">
        <v>39207</v>
      </c>
      <c r="N4608" t="s">
        <v>41249</v>
      </c>
      <c r="O4608" t="s">
        <v>41250</v>
      </c>
      <c r="P4608">
        <v>0</v>
      </c>
      <c r="Q4608">
        <v>1</v>
      </c>
      <c r="R4608" t="s">
        <v>41252</v>
      </c>
      <c r="S4608" t="s">
        <v>41383</v>
      </c>
      <c r="T4608" t="s">
        <v>42823</v>
      </c>
      <c r="U4608" t="s">
        <v>47016</v>
      </c>
      <c r="W4608" t="s">
        <v>39207</v>
      </c>
      <c r="X4608" t="s">
        <v>41254</v>
      </c>
    </row>
    <row r="4609" spans="1:24">
      <c r="A4609">
        <f>HYPERLINK("https://www.philgeps.gov.ph/GEPSNONPILOT/Tender/SplashBidNoticeAbstractUI.aspx?menuIndex=3&amp;refID=7075981&amp;Result=3","7075981")</f>
        <v>0</v>
      </c>
      <c r="B4609" t="s">
        <v>958</v>
      </c>
      <c r="C4609" t="s">
        <v>7794</v>
      </c>
      <c r="D4609" t="s">
        <v>16658</v>
      </c>
      <c r="E4609" t="s">
        <v>20858</v>
      </c>
      <c r="F4609" t="s">
        <v>28669</v>
      </c>
      <c r="G4609" t="s">
        <v>28675</v>
      </c>
      <c r="H4609" t="s">
        <v>9998</v>
      </c>
      <c r="I4609" t="s">
        <v>28805</v>
      </c>
      <c r="J4609" t="s">
        <v>31786</v>
      </c>
      <c r="K4609" t="s">
        <v>37220</v>
      </c>
      <c r="M4609" t="s">
        <v>38483</v>
      </c>
      <c r="N4609" t="s">
        <v>41249</v>
      </c>
      <c r="O4609" t="s">
        <v>41250</v>
      </c>
      <c r="P4609">
        <v>0</v>
      </c>
      <c r="Q4609">
        <v>0</v>
      </c>
      <c r="R4609" t="s">
        <v>41252</v>
      </c>
      <c r="S4609" t="s">
        <v>41383</v>
      </c>
      <c r="T4609" t="s">
        <v>42762</v>
      </c>
      <c r="U4609" t="s">
        <v>45120</v>
      </c>
      <c r="W4609" t="s">
        <v>38483</v>
      </c>
      <c r="X4609" t="s">
        <v>41254</v>
      </c>
    </row>
    <row r="4610" spans="1:24">
      <c r="A4610">
        <f>HYPERLINK("https://www.philgeps.gov.ph/GEPSNONPILOT/Tender/SplashBidNoticeAbstractUI.aspx?menuIndex=3&amp;refID=7075985&amp;Result=3","7075985")</f>
        <v>0</v>
      </c>
      <c r="B4610" t="s">
        <v>276</v>
      </c>
      <c r="C4610" t="s">
        <v>7795</v>
      </c>
      <c r="E4610" t="s">
        <v>20859</v>
      </c>
      <c r="F4610" t="s">
        <v>28669</v>
      </c>
      <c r="G4610" t="s">
        <v>28675</v>
      </c>
      <c r="H4610" t="s">
        <v>9998</v>
      </c>
      <c r="I4610" t="s">
        <v>28713</v>
      </c>
      <c r="J4610" t="s">
        <v>31787</v>
      </c>
      <c r="K4610" t="s">
        <v>37209</v>
      </c>
      <c r="M4610" t="s">
        <v>39240</v>
      </c>
      <c r="N4610" t="s">
        <v>41249</v>
      </c>
      <c r="O4610" t="s">
        <v>41250</v>
      </c>
      <c r="Q4610">
        <v>6</v>
      </c>
      <c r="R4610" t="s">
        <v>41252</v>
      </c>
      <c r="S4610" t="s">
        <v>41419</v>
      </c>
      <c r="T4610" t="s">
        <v>42816</v>
      </c>
      <c r="U4610" t="s">
        <v>46799</v>
      </c>
      <c r="V4610" t="s">
        <v>54728</v>
      </c>
      <c r="W4610" t="s">
        <v>39240</v>
      </c>
      <c r="X4610" t="s">
        <v>41254</v>
      </c>
    </row>
    <row r="4611" spans="1:24">
      <c r="A4611">
        <f>HYPERLINK("https://www.philgeps.gov.ph/GEPSNONPILOT/Tender/SplashBidNoticeAbstractUI.aspx?menuIndex=3&amp;refID=7076006&amp;Result=3","7076006")</f>
        <v>0</v>
      </c>
      <c r="B4611" t="s">
        <v>729</v>
      </c>
      <c r="C4611" t="s">
        <v>7796</v>
      </c>
      <c r="D4611" t="s">
        <v>16608</v>
      </c>
      <c r="E4611" t="s">
        <v>20860</v>
      </c>
      <c r="F4611" t="s">
        <v>28669</v>
      </c>
      <c r="G4611" t="s">
        <v>28676</v>
      </c>
      <c r="H4611" t="s">
        <v>28684</v>
      </c>
      <c r="I4611" t="s">
        <v>28789</v>
      </c>
      <c r="J4611" t="s">
        <v>31788</v>
      </c>
      <c r="K4611" t="s">
        <v>37272</v>
      </c>
      <c r="M4611" t="s">
        <v>38237</v>
      </c>
      <c r="N4611" t="s">
        <v>41249</v>
      </c>
      <c r="O4611" t="s">
        <v>41250</v>
      </c>
      <c r="P4611">
        <v>0</v>
      </c>
      <c r="Q4611">
        <v>5</v>
      </c>
      <c r="R4611" t="s">
        <v>41252</v>
      </c>
      <c r="S4611" t="s">
        <v>41383</v>
      </c>
      <c r="T4611" t="s">
        <v>42743</v>
      </c>
      <c r="U4611" t="s">
        <v>47017</v>
      </c>
      <c r="V4611" t="s">
        <v>54651</v>
      </c>
      <c r="W4611" t="s">
        <v>38237</v>
      </c>
      <c r="X4611" t="s">
        <v>41254</v>
      </c>
    </row>
    <row r="4612" spans="1:24">
      <c r="A4612">
        <f>HYPERLINK("https://www.philgeps.gov.ph/GEPSNONPILOT/Tender/SplashBidNoticeAbstractUI.aspx?menuIndex=3&amp;refID=7076043&amp;Result=3","7076043")</f>
        <v>0</v>
      </c>
      <c r="B4612" t="s">
        <v>968</v>
      </c>
      <c r="C4612" t="s">
        <v>7797</v>
      </c>
      <c r="E4612" t="s">
        <v>20861</v>
      </c>
      <c r="F4612" t="s">
        <v>28669</v>
      </c>
      <c r="G4612" t="s">
        <v>28676</v>
      </c>
      <c r="H4612" t="s">
        <v>9998</v>
      </c>
      <c r="I4612" t="s">
        <v>28710</v>
      </c>
      <c r="J4612" t="s">
        <v>29448</v>
      </c>
      <c r="K4612" t="s">
        <v>37209</v>
      </c>
      <c r="M4612" t="s">
        <v>38493</v>
      </c>
      <c r="N4612" t="s">
        <v>41249</v>
      </c>
      <c r="O4612" t="s">
        <v>41250</v>
      </c>
      <c r="Q4612">
        <v>6</v>
      </c>
      <c r="R4612" t="s">
        <v>41252</v>
      </c>
      <c r="S4612" t="s">
        <v>41420</v>
      </c>
      <c r="T4612" t="s">
        <v>42754</v>
      </c>
      <c r="U4612" t="s">
        <v>47018</v>
      </c>
      <c r="W4612" t="s">
        <v>38493</v>
      </c>
      <c r="X4612" t="s">
        <v>41254</v>
      </c>
    </row>
    <row r="4613" spans="1:24">
      <c r="A4613">
        <f>HYPERLINK("https://www.philgeps.gov.ph/GEPSNONPILOT/Tender/SplashBidNoticeAbstractUI.aspx?menuIndex=3&amp;refID=7076042&amp;Result=3","7076042")</f>
        <v>0</v>
      </c>
      <c r="B4613" t="s">
        <v>1655</v>
      </c>
      <c r="C4613" t="s">
        <v>7798</v>
      </c>
      <c r="D4613" t="s">
        <v>16639</v>
      </c>
      <c r="E4613" t="s">
        <v>20862</v>
      </c>
      <c r="F4613" t="s">
        <v>28669</v>
      </c>
      <c r="G4613" t="s">
        <v>28675</v>
      </c>
      <c r="H4613" t="s">
        <v>28686</v>
      </c>
      <c r="I4613" t="s">
        <v>28689</v>
      </c>
      <c r="J4613" t="s">
        <v>31789</v>
      </c>
      <c r="K4613" t="s">
        <v>37213</v>
      </c>
      <c r="M4613" t="s">
        <v>39246</v>
      </c>
      <c r="N4613" t="s">
        <v>41249</v>
      </c>
      <c r="O4613" t="s">
        <v>41250</v>
      </c>
      <c r="P4613">
        <v>0</v>
      </c>
      <c r="Q4613">
        <v>0</v>
      </c>
      <c r="R4613" t="s">
        <v>41252</v>
      </c>
      <c r="S4613" t="s">
        <v>41383</v>
      </c>
      <c r="T4613" t="s">
        <v>42715</v>
      </c>
      <c r="U4613" t="s">
        <v>47019</v>
      </c>
      <c r="W4613" t="s">
        <v>39246</v>
      </c>
      <c r="X4613" t="s">
        <v>41254</v>
      </c>
    </row>
    <row r="4614" spans="1:24">
      <c r="A4614">
        <f>HYPERLINK("https://www.philgeps.gov.ph/GEPSNONPILOT/Tender/SplashBidNoticeAbstractUI.aspx?menuIndex=3&amp;refID=7076005&amp;Result=3","7076005")</f>
        <v>0</v>
      </c>
      <c r="B4614" t="s">
        <v>1656</v>
      </c>
      <c r="C4614" t="s">
        <v>7799</v>
      </c>
      <c r="D4614" t="s">
        <v>16644</v>
      </c>
      <c r="E4614" t="s">
        <v>17560</v>
      </c>
      <c r="F4614" t="s">
        <v>28669</v>
      </c>
      <c r="G4614" t="s">
        <v>28676</v>
      </c>
      <c r="H4614" t="s">
        <v>9998</v>
      </c>
      <c r="I4614" t="s">
        <v>28688</v>
      </c>
      <c r="J4614" t="s">
        <v>31790</v>
      </c>
      <c r="K4614" t="s">
        <v>37209</v>
      </c>
      <c r="M4614" t="s">
        <v>39247</v>
      </c>
      <c r="N4614" t="s">
        <v>41249</v>
      </c>
      <c r="O4614" t="s">
        <v>41250</v>
      </c>
      <c r="P4614">
        <v>0</v>
      </c>
      <c r="Q4614">
        <v>1</v>
      </c>
      <c r="R4614" t="s">
        <v>41252</v>
      </c>
      <c r="S4614" t="s">
        <v>41383</v>
      </c>
      <c r="T4614" t="s">
        <v>42758</v>
      </c>
      <c r="U4614" t="s">
        <v>47020</v>
      </c>
      <c r="W4614" t="s">
        <v>39247</v>
      </c>
      <c r="X4614" t="s">
        <v>41254</v>
      </c>
    </row>
    <row r="4615" spans="1:24">
      <c r="A4615">
        <f>HYPERLINK("https://www.philgeps.gov.ph/GEPSNONPILOT/Tender/SplashBidNoticeAbstractUI.aspx?menuIndex=3&amp;refID=7076040&amp;Result=3","7076040")</f>
        <v>0</v>
      </c>
      <c r="B4615" t="s">
        <v>1657</v>
      </c>
      <c r="C4615" t="s">
        <v>7800</v>
      </c>
      <c r="D4615" t="s">
        <v>16657</v>
      </c>
      <c r="E4615" t="s">
        <v>19625</v>
      </c>
      <c r="F4615" t="s">
        <v>28669</v>
      </c>
      <c r="G4615" t="s">
        <v>28675</v>
      </c>
      <c r="H4615" t="s">
        <v>9998</v>
      </c>
      <c r="I4615" t="s">
        <v>7352</v>
      </c>
      <c r="J4615" t="s">
        <v>31791</v>
      </c>
      <c r="K4615" t="s">
        <v>37243</v>
      </c>
      <c r="M4615" t="s">
        <v>39248</v>
      </c>
      <c r="N4615" t="s">
        <v>41249</v>
      </c>
      <c r="O4615" t="s">
        <v>41250</v>
      </c>
      <c r="P4615">
        <v>0</v>
      </c>
      <c r="Q4615">
        <v>1</v>
      </c>
      <c r="R4615" t="s">
        <v>41252</v>
      </c>
      <c r="S4615" t="s">
        <v>41383</v>
      </c>
      <c r="T4615" t="s">
        <v>42747</v>
      </c>
      <c r="U4615" t="s">
        <v>45443</v>
      </c>
      <c r="W4615" t="s">
        <v>39248</v>
      </c>
      <c r="X4615" t="s">
        <v>41254</v>
      </c>
    </row>
    <row r="4616" spans="1:24">
      <c r="A4616">
        <f>HYPERLINK("https://www.philgeps.gov.ph/GEPSNONPILOT/Tender/SplashBidNoticeAbstractUI.aspx?menuIndex=3&amp;refID=7076038&amp;Result=3","7076038")</f>
        <v>0</v>
      </c>
      <c r="B4616" t="s">
        <v>925</v>
      </c>
      <c r="C4616" t="s">
        <v>7801</v>
      </c>
      <c r="D4616" t="s">
        <v>16627</v>
      </c>
      <c r="E4616" t="s">
        <v>20863</v>
      </c>
      <c r="F4616" t="s">
        <v>28669</v>
      </c>
      <c r="G4616" t="s">
        <v>28677</v>
      </c>
      <c r="H4616" t="s">
        <v>9998</v>
      </c>
      <c r="I4616" t="s">
        <v>6128</v>
      </c>
      <c r="J4616" t="s">
        <v>29712</v>
      </c>
      <c r="K4616" t="s">
        <v>37243</v>
      </c>
      <c r="M4616" t="s">
        <v>38447</v>
      </c>
      <c r="N4616" t="s">
        <v>41249</v>
      </c>
      <c r="O4616" t="s">
        <v>41250</v>
      </c>
      <c r="P4616">
        <v>0</v>
      </c>
      <c r="Q4616">
        <v>3</v>
      </c>
      <c r="R4616" t="s">
        <v>41252</v>
      </c>
      <c r="S4616" t="s">
        <v>41383</v>
      </c>
      <c r="T4616" t="s">
        <v>42701</v>
      </c>
      <c r="U4616" t="s">
        <v>47021</v>
      </c>
      <c r="W4616" t="s">
        <v>38447</v>
      </c>
      <c r="X4616" t="s">
        <v>41254</v>
      </c>
    </row>
    <row r="4617" spans="1:24">
      <c r="A4617">
        <f>HYPERLINK("https://www.philgeps.gov.ph/GEPSNONPILOT/Tender/SplashBidNoticeAbstractUI.aspx?menuIndex=3&amp;refID=7076037&amp;Result=3","7076037")</f>
        <v>0</v>
      </c>
      <c r="B4617" t="s">
        <v>276</v>
      </c>
      <c r="C4617" t="s">
        <v>7802</v>
      </c>
      <c r="E4617" t="s">
        <v>20864</v>
      </c>
      <c r="F4617" t="s">
        <v>28669</v>
      </c>
      <c r="G4617" t="s">
        <v>28675</v>
      </c>
      <c r="H4617" t="s">
        <v>9998</v>
      </c>
      <c r="I4617" t="s">
        <v>28713</v>
      </c>
      <c r="J4617" t="s">
        <v>29247</v>
      </c>
      <c r="K4617" t="s">
        <v>37209</v>
      </c>
      <c r="M4617" t="s">
        <v>39240</v>
      </c>
      <c r="N4617" t="s">
        <v>41249</v>
      </c>
      <c r="O4617" t="s">
        <v>41250</v>
      </c>
      <c r="Q4617">
        <v>9</v>
      </c>
      <c r="R4617" t="s">
        <v>41252</v>
      </c>
      <c r="S4617" t="s">
        <v>41421</v>
      </c>
      <c r="T4617" t="s">
        <v>42816</v>
      </c>
      <c r="U4617" t="s">
        <v>46799</v>
      </c>
      <c r="V4617" t="s">
        <v>54728</v>
      </c>
      <c r="W4617" t="s">
        <v>39240</v>
      </c>
      <c r="X4617" t="s">
        <v>41254</v>
      </c>
    </row>
    <row r="4618" spans="1:24">
      <c r="A4618">
        <f>HYPERLINK("https://www.philgeps.gov.ph/GEPSNONPILOT/Tender/SplashBidNoticeAbstractUI.aspx?menuIndex=3&amp;refID=7076036&amp;Result=3","7076036")</f>
        <v>0</v>
      </c>
      <c r="B4618" t="s">
        <v>1658</v>
      </c>
      <c r="C4618" t="s">
        <v>7803</v>
      </c>
      <c r="D4618" t="s">
        <v>16624</v>
      </c>
      <c r="E4618" t="s">
        <v>20865</v>
      </c>
      <c r="F4618" t="s">
        <v>28669</v>
      </c>
      <c r="G4618" t="s">
        <v>28677</v>
      </c>
      <c r="H4618" t="s">
        <v>9998</v>
      </c>
      <c r="I4618" t="s">
        <v>28697</v>
      </c>
      <c r="J4618" t="s">
        <v>31792</v>
      </c>
      <c r="K4618" t="s">
        <v>37206</v>
      </c>
      <c r="M4618" t="s">
        <v>39249</v>
      </c>
      <c r="N4618" t="s">
        <v>41249</v>
      </c>
      <c r="O4618" t="s">
        <v>41250</v>
      </c>
      <c r="P4618">
        <v>0</v>
      </c>
      <c r="Q4618">
        <v>0</v>
      </c>
      <c r="R4618" t="s">
        <v>41252</v>
      </c>
      <c r="S4618" t="s">
        <v>41383</v>
      </c>
      <c r="T4618" t="s">
        <v>42679</v>
      </c>
      <c r="U4618" t="s">
        <v>47022</v>
      </c>
      <c r="W4618" t="s">
        <v>39249</v>
      </c>
      <c r="X4618" t="s">
        <v>41254</v>
      </c>
    </row>
    <row r="4619" spans="1:24">
      <c r="A4619">
        <f>HYPERLINK("https://www.philgeps.gov.ph/GEPSNONPILOT/Tender/SplashBidNoticeAbstractUI.aspx?menuIndex=3&amp;refID=7076035&amp;Result=3","7076035")</f>
        <v>0</v>
      </c>
      <c r="B4619" t="s">
        <v>968</v>
      </c>
      <c r="C4619" t="s">
        <v>7804</v>
      </c>
      <c r="E4619" t="s">
        <v>20866</v>
      </c>
      <c r="F4619" t="s">
        <v>28669</v>
      </c>
      <c r="G4619" t="s">
        <v>28675</v>
      </c>
      <c r="H4619" t="s">
        <v>9998</v>
      </c>
      <c r="I4619" t="s">
        <v>3718</v>
      </c>
      <c r="J4619" t="s">
        <v>31793</v>
      </c>
      <c r="K4619" t="s">
        <v>37209</v>
      </c>
      <c r="M4619" t="s">
        <v>38493</v>
      </c>
      <c r="N4619" t="s">
        <v>41249</v>
      </c>
      <c r="O4619" t="s">
        <v>41250</v>
      </c>
      <c r="P4619">
        <v>0</v>
      </c>
      <c r="Q4619">
        <v>8</v>
      </c>
      <c r="R4619" t="s">
        <v>41252</v>
      </c>
      <c r="S4619" t="s">
        <v>41383</v>
      </c>
      <c r="T4619" t="s">
        <v>42759</v>
      </c>
      <c r="U4619" t="s">
        <v>47023</v>
      </c>
      <c r="W4619" t="s">
        <v>38493</v>
      </c>
      <c r="X4619" t="s">
        <v>41254</v>
      </c>
    </row>
    <row r="4620" spans="1:24">
      <c r="A4620">
        <f>HYPERLINK("https://www.philgeps.gov.ph/GEPSNONPILOT/Tender/SplashBidNoticeAbstractUI.aspx?menuIndex=3&amp;refID=7076034&amp;Result=3","7076034")</f>
        <v>0</v>
      </c>
      <c r="B4620" t="s">
        <v>1657</v>
      </c>
      <c r="C4620" t="s">
        <v>7805</v>
      </c>
      <c r="D4620" t="s">
        <v>16657</v>
      </c>
      <c r="E4620" t="s">
        <v>16803</v>
      </c>
      <c r="F4620" t="s">
        <v>28669</v>
      </c>
      <c r="G4620" t="s">
        <v>28675</v>
      </c>
      <c r="H4620" t="s">
        <v>9998</v>
      </c>
      <c r="I4620" t="s">
        <v>7352</v>
      </c>
      <c r="J4620" t="s">
        <v>31794</v>
      </c>
      <c r="K4620" t="s">
        <v>37243</v>
      </c>
      <c r="M4620" t="s">
        <v>39248</v>
      </c>
      <c r="N4620" t="s">
        <v>41249</v>
      </c>
      <c r="O4620" t="s">
        <v>41250</v>
      </c>
      <c r="P4620">
        <v>0</v>
      </c>
      <c r="Q4620">
        <v>1</v>
      </c>
      <c r="R4620" t="s">
        <v>41252</v>
      </c>
      <c r="S4620" t="s">
        <v>41383</v>
      </c>
      <c r="T4620" t="s">
        <v>42747</v>
      </c>
      <c r="U4620" t="s">
        <v>47024</v>
      </c>
      <c r="W4620" t="s">
        <v>39248</v>
      </c>
      <c r="X4620" t="s">
        <v>41254</v>
      </c>
    </row>
    <row r="4621" spans="1:24">
      <c r="A4621">
        <f>HYPERLINK("https://www.philgeps.gov.ph/GEPSNONPILOT/Tender/SplashBidNoticeAbstractUI.aspx?menuIndex=3&amp;refID=7075995&amp;Result=3","7075995")</f>
        <v>0</v>
      </c>
      <c r="B4621" t="s">
        <v>1659</v>
      </c>
      <c r="C4621" t="s">
        <v>7806</v>
      </c>
      <c r="E4621" t="s">
        <v>20867</v>
      </c>
      <c r="F4621" t="s">
        <v>28669</v>
      </c>
      <c r="G4621" t="s">
        <v>28676</v>
      </c>
      <c r="H4621" t="s">
        <v>9998</v>
      </c>
      <c r="I4621" t="s">
        <v>11593</v>
      </c>
      <c r="J4621" t="s">
        <v>28826</v>
      </c>
      <c r="K4621" t="s">
        <v>37209</v>
      </c>
      <c r="M4621" t="s">
        <v>39250</v>
      </c>
      <c r="N4621" t="s">
        <v>41249</v>
      </c>
      <c r="O4621" t="s">
        <v>41250</v>
      </c>
      <c r="P4621">
        <v>0</v>
      </c>
      <c r="Q4621">
        <v>3</v>
      </c>
      <c r="R4621" t="s">
        <v>41252</v>
      </c>
      <c r="S4621" t="s">
        <v>41383</v>
      </c>
      <c r="T4621" t="s">
        <v>42665</v>
      </c>
      <c r="U4621" t="s">
        <v>47025</v>
      </c>
      <c r="V4621" t="s">
        <v>54757</v>
      </c>
      <c r="W4621" t="s">
        <v>39250</v>
      </c>
      <c r="X4621" t="s">
        <v>41254</v>
      </c>
    </row>
    <row r="4622" spans="1:24">
      <c r="A4622">
        <f>HYPERLINK("https://www.philgeps.gov.ph/GEPSNONPILOT/Tender/SplashBidNoticeAbstractUI.aspx?menuIndex=3&amp;refID=7076032&amp;Result=3","7076032")</f>
        <v>0</v>
      </c>
      <c r="B4622" t="s">
        <v>1655</v>
      </c>
      <c r="C4622" t="s">
        <v>7807</v>
      </c>
      <c r="D4622" t="s">
        <v>16639</v>
      </c>
      <c r="E4622" t="s">
        <v>19911</v>
      </c>
      <c r="F4622" t="s">
        <v>28669</v>
      </c>
      <c r="G4622" t="s">
        <v>28675</v>
      </c>
      <c r="H4622" t="s">
        <v>9998</v>
      </c>
      <c r="I4622" t="s">
        <v>7352</v>
      </c>
      <c r="J4622" t="s">
        <v>31795</v>
      </c>
      <c r="K4622" t="s">
        <v>37227</v>
      </c>
      <c r="M4622" t="s">
        <v>39246</v>
      </c>
      <c r="N4622" t="s">
        <v>41249</v>
      </c>
      <c r="O4622" t="s">
        <v>41250</v>
      </c>
      <c r="P4622">
        <v>0</v>
      </c>
      <c r="Q4622">
        <v>0</v>
      </c>
      <c r="R4622" t="s">
        <v>41252</v>
      </c>
      <c r="S4622" t="s">
        <v>41383</v>
      </c>
      <c r="T4622" t="s">
        <v>42715</v>
      </c>
      <c r="U4622" t="s">
        <v>47026</v>
      </c>
      <c r="W4622" t="s">
        <v>39246</v>
      </c>
      <c r="X4622" t="s">
        <v>41254</v>
      </c>
    </row>
    <row r="4623" spans="1:24">
      <c r="A4623">
        <f>HYPERLINK("https://www.philgeps.gov.ph/GEPSNONPILOT/Tender/SplashBidNoticeAbstractUI.aspx?menuIndex=3&amp;refID=7076028&amp;Result=3","7076028")</f>
        <v>0</v>
      </c>
      <c r="B4623" t="s">
        <v>1621</v>
      </c>
      <c r="C4623" t="s">
        <v>7808</v>
      </c>
      <c r="D4623" t="s">
        <v>16639</v>
      </c>
      <c r="E4623" t="s">
        <v>20868</v>
      </c>
      <c r="F4623" t="s">
        <v>28669</v>
      </c>
      <c r="G4623" t="s">
        <v>28675</v>
      </c>
      <c r="H4623" t="s">
        <v>28686</v>
      </c>
      <c r="I4623" t="s">
        <v>28689</v>
      </c>
      <c r="J4623" t="s">
        <v>31796</v>
      </c>
      <c r="K4623" t="s">
        <v>37209</v>
      </c>
      <c r="M4623" t="s">
        <v>39207</v>
      </c>
      <c r="N4623" t="s">
        <v>41249</v>
      </c>
      <c r="O4623" t="s">
        <v>41250</v>
      </c>
      <c r="P4623">
        <v>0</v>
      </c>
      <c r="Q4623">
        <v>0</v>
      </c>
      <c r="R4623" t="s">
        <v>41252</v>
      </c>
      <c r="S4623" t="s">
        <v>41383</v>
      </c>
      <c r="T4623" t="s">
        <v>42823</v>
      </c>
      <c r="U4623" t="s">
        <v>47027</v>
      </c>
      <c r="W4623" t="s">
        <v>39207</v>
      </c>
      <c r="X4623" t="s">
        <v>41254</v>
      </c>
    </row>
    <row r="4624" spans="1:24">
      <c r="A4624">
        <f>HYPERLINK("https://www.philgeps.gov.ph/GEPSNONPILOT/Tender/SplashBidNoticeAbstractUI.aspx?menuIndex=3&amp;refID=7076027&amp;Result=3","7076027")</f>
        <v>0</v>
      </c>
      <c r="B4624" t="s">
        <v>762</v>
      </c>
      <c r="C4624" t="s">
        <v>7809</v>
      </c>
      <c r="E4624" t="s">
        <v>20869</v>
      </c>
      <c r="F4624" t="s">
        <v>28669</v>
      </c>
      <c r="G4624" t="s">
        <v>28676</v>
      </c>
      <c r="H4624" t="s">
        <v>9998</v>
      </c>
      <c r="I4624" t="s">
        <v>11593</v>
      </c>
      <c r="J4624" t="s">
        <v>28826</v>
      </c>
      <c r="K4624" t="s">
        <v>37209</v>
      </c>
      <c r="M4624" t="s">
        <v>39214</v>
      </c>
      <c r="N4624" t="s">
        <v>41249</v>
      </c>
      <c r="O4624" t="s">
        <v>41250</v>
      </c>
      <c r="P4624">
        <v>0</v>
      </c>
      <c r="Q4624">
        <v>11</v>
      </c>
      <c r="R4624" t="s">
        <v>41252</v>
      </c>
      <c r="S4624" t="s">
        <v>41383</v>
      </c>
      <c r="T4624" t="s">
        <v>42827</v>
      </c>
      <c r="U4624" t="s">
        <v>47028</v>
      </c>
      <c r="W4624" t="s">
        <v>39214</v>
      </c>
      <c r="X4624" t="s">
        <v>41254</v>
      </c>
    </row>
    <row r="4625" spans="1:24">
      <c r="A4625">
        <f>HYPERLINK("https://www.philgeps.gov.ph/GEPSNONPILOT/Tender/SplashBidNoticeAbstractUI.aspx?menuIndex=3&amp;refID=7076039&amp;Result=3","7076039")</f>
        <v>0</v>
      </c>
      <c r="B4625" t="s">
        <v>1655</v>
      </c>
      <c r="C4625" t="s">
        <v>7810</v>
      </c>
      <c r="D4625" t="s">
        <v>16639</v>
      </c>
      <c r="E4625" t="s">
        <v>20870</v>
      </c>
      <c r="F4625" t="s">
        <v>28669</v>
      </c>
      <c r="G4625" t="s">
        <v>28675</v>
      </c>
      <c r="H4625" t="s">
        <v>9998</v>
      </c>
      <c r="I4625" t="s">
        <v>7352</v>
      </c>
      <c r="J4625" t="s">
        <v>31797</v>
      </c>
      <c r="K4625" t="s">
        <v>37210</v>
      </c>
      <c r="M4625" t="s">
        <v>39246</v>
      </c>
      <c r="N4625" t="s">
        <v>41249</v>
      </c>
      <c r="O4625" t="s">
        <v>41250</v>
      </c>
      <c r="P4625">
        <v>0</v>
      </c>
      <c r="Q4625">
        <v>0</v>
      </c>
      <c r="R4625" t="s">
        <v>41252</v>
      </c>
      <c r="S4625" t="s">
        <v>41383</v>
      </c>
      <c r="T4625" t="s">
        <v>42715</v>
      </c>
      <c r="U4625" t="s">
        <v>47026</v>
      </c>
      <c r="W4625" t="s">
        <v>39246</v>
      </c>
      <c r="X4625" t="s">
        <v>41254</v>
      </c>
    </row>
    <row r="4626" spans="1:24">
      <c r="A4626">
        <f>HYPERLINK("https://www.philgeps.gov.ph/GEPSNONPILOT/Tender/SplashBidNoticeAbstractUI.aspx?menuIndex=3&amp;refID=7076004&amp;Result=3","7076004")</f>
        <v>0</v>
      </c>
      <c r="B4626" t="s">
        <v>1657</v>
      </c>
      <c r="C4626" t="s">
        <v>7811</v>
      </c>
      <c r="D4626" t="s">
        <v>16657</v>
      </c>
      <c r="E4626" t="s">
        <v>17140</v>
      </c>
      <c r="F4626" t="s">
        <v>28669</v>
      </c>
      <c r="G4626" t="s">
        <v>28675</v>
      </c>
      <c r="H4626" t="s">
        <v>9998</v>
      </c>
      <c r="I4626" t="s">
        <v>7352</v>
      </c>
      <c r="J4626" t="s">
        <v>31798</v>
      </c>
      <c r="K4626" t="s">
        <v>37243</v>
      </c>
      <c r="M4626" t="s">
        <v>39248</v>
      </c>
      <c r="N4626" t="s">
        <v>41249</v>
      </c>
      <c r="O4626" t="s">
        <v>41250</v>
      </c>
      <c r="P4626">
        <v>0</v>
      </c>
      <c r="Q4626">
        <v>1</v>
      </c>
      <c r="R4626" t="s">
        <v>41252</v>
      </c>
      <c r="S4626" t="s">
        <v>41383</v>
      </c>
      <c r="T4626" t="s">
        <v>42747</v>
      </c>
      <c r="U4626" t="s">
        <v>47029</v>
      </c>
      <c r="W4626" t="s">
        <v>39248</v>
      </c>
      <c r="X4626" t="s">
        <v>41254</v>
      </c>
    </row>
    <row r="4627" spans="1:24">
      <c r="A4627">
        <f>HYPERLINK("https://www.philgeps.gov.ph/GEPSNONPILOT/Tender/SplashBidNoticeAbstractUI.aspx?menuIndex=3&amp;refID=7076022&amp;Result=3","7076022")</f>
        <v>0</v>
      </c>
      <c r="B4627" t="s">
        <v>1503</v>
      </c>
      <c r="C4627" t="s">
        <v>7812</v>
      </c>
      <c r="D4627" t="s">
        <v>16666</v>
      </c>
      <c r="E4627" t="s">
        <v>20777</v>
      </c>
      <c r="F4627" t="s">
        <v>28669</v>
      </c>
      <c r="G4627" t="s">
        <v>28675</v>
      </c>
      <c r="H4627" t="s">
        <v>9998</v>
      </c>
      <c r="I4627" t="s">
        <v>28687</v>
      </c>
      <c r="J4627" t="s">
        <v>31738</v>
      </c>
      <c r="K4627" t="s">
        <v>37221</v>
      </c>
      <c r="M4627" t="s">
        <v>39076</v>
      </c>
      <c r="N4627" t="s">
        <v>41249</v>
      </c>
      <c r="O4627" t="s">
        <v>41250</v>
      </c>
      <c r="P4627">
        <v>0</v>
      </c>
      <c r="Q4627">
        <v>6</v>
      </c>
      <c r="R4627" t="s">
        <v>41252</v>
      </c>
      <c r="S4627" t="s">
        <v>41383</v>
      </c>
      <c r="T4627" t="s">
        <v>42693</v>
      </c>
      <c r="U4627" t="s">
        <v>46972</v>
      </c>
      <c r="W4627" t="s">
        <v>55959</v>
      </c>
      <c r="X4627" t="s">
        <v>41254</v>
      </c>
    </row>
    <row r="4628" spans="1:24">
      <c r="A4628">
        <f>HYPERLINK("https://www.philgeps.gov.ph/GEPSNONPILOT/Tender/SplashBidNoticeAbstractUI.aspx?menuIndex=3&amp;refID=7076003&amp;Result=3","7076003")</f>
        <v>0</v>
      </c>
      <c r="B4628" t="s">
        <v>276</v>
      </c>
      <c r="C4628" t="s">
        <v>7813</v>
      </c>
      <c r="E4628" t="s">
        <v>20871</v>
      </c>
      <c r="F4628" t="s">
        <v>28669</v>
      </c>
      <c r="G4628" t="s">
        <v>28675</v>
      </c>
      <c r="H4628" t="s">
        <v>9998</v>
      </c>
      <c r="I4628" t="s">
        <v>28713</v>
      </c>
      <c r="J4628" t="s">
        <v>31799</v>
      </c>
      <c r="K4628" t="s">
        <v>37209</v>
      </c>
      <c r="M4628" t="s">
        <v>39240</v>
      </c>
      <c r="N4628" t="s">
        <v>41249</v>
      </c>
      <c r="O4628" t="s">
        <v>41250</v>
      </c>
      <c r="Q4628">
        <v>9</v>
      </c>
      <c r="R4628" t="s">
        <v>41252</v>
      </c>
      <c r="S4628" t="s">
        <v>41422</v>
      </c>
      <c r="T4628" t="s">
        <v>42816</v>
      </c>
      <c r="U4628" t="s">
        <v>46799</v>
      </c>
      <c r="V4628" t="s">
        <v>54728</v>
      </c>
      <c r="W4628" t="s">
        <v>39240</v>
      </c>
      <c r="X4628" t="s">
        <v>41254</v>
      </c>
    </row>
    <row r="4629" spans="1:24">
      <c r="A4629">
        <f>HYPERLINK("https://www.philgeps.gov.ph/GEPSNONPILOT/Tender/SplashBidNoticeAbstractUI.aspx?menuIndex=3&amp;refID=7076021&amp;Result=3","7076021")</f>
        <v>0</v>
      </c>
      <c r="B4629" t="s">
        <v>1654</v>
      </c>
      <c r="C4629" t="s">
        <v>7814</v>
      </c>
      <c r="D4629" t="s">
        <v>16608</v>
      </c>
      <c r="E4629" t="s">
        <v>20872</v>
      </c>
      <c r="F4629" t="s">
        <v>28669</v>
      </c>
      <c r="G4629" t="s">
        <v>28676</v>
      </c>
      <c r="H4629" t="s">
        <v>9998</v>
      </c>
      <c r="I4629" t="s">
        <v>28746</v>
      </c>
      <c r="J4629" t="s">
        <v>30274</v>
      </c>
      <c r="K4629" t="s">
        <v>37209</v>
      </c>
      <c r="M4629" t="s">
        <v>39245</v>
      </c>
      <c r="N4629" t="s">
        <v>41249</v>
      </c>
      <c r="O4629" t="s">
        <v>41250</v>
      </c>
      <c r="P4629">
        <v>0</v>
      </c>
      <c r="Q4629">
        <v>3</v>
      </c>
      <c r="R4629" t="s">
        <v>41252</v>
      </c>
      <c r="S4629" t="s">
        <v>41383</v>
      </c>
      <c r="T4629" t="s">
        <v>42701</v>
      </c>
      <c r="U4629" t="s">
        <v>47015</v>
      </c>
      <c r="W4629" t="s">
        <v>39245</v>
      </c>
      <c r="X4629" t="s">
        <v>41254</v>
      </c>
    </row>
    <row r="4630" spans="1:24">
      <c r="A4630">
        <f>HYPERLINK("https://www.philgeps.gov.ph/GEPSNONPILOT/Tender/SplashBidNoticeAbstractUI.aspx?menuIndex=3&amp;refID=7076020&amp;Result=3","7076020")</f>
        <v>0</v>
      </c>
      <c r="B4630" t="s">
        <v>1635</v>
      </c>
      <c r="C4630" t="s">
        <v>7815</v>
      </c>
      <c r="D4630" t="s">
        <v>16627</v>
      </c>
      <c r="E4630" t="s">
        <v>20873</v>
      </c>
      <c r="F4630" t="s">
        <v>28669</v>
      </c>
      <c r="G4630" t="s">
        <v>28675</v>
      </c>
      <c r="H4630" t="s">
        <v>9998</v>
      </c>
      <c r="I4630" t="s">
        <v>28708</v>
      </c>
      <c r="J4630" t="s">
        <v>31800</v>
      </c>
      <c r="K4630" t="s">
        <v>37206</v>
      </c>
      <c r="M4630" t="s">
        <v>39225</v>
      </c>
      <c r="N4630" t="s">
        <v>41249</v>
      </c>
      <c r="O4630" t="s">
        <v>41250</v>
      </c>
      <c r="P4630">
        <v>0</v>
      </c>
      <c r="Q4630">
        <v>7</v>
      </c>
      <c r="R4630" t="s">
        <v>41252</v>
      </c>
      <c r="S4630" t="s">
        <v>41383</v>
      </c>
      <c r="T4630" t="s">
        <v>42808</v>
      </c>
      <c r="U4630" t="s">
        <v>46970</v>
      </c>
      <c r="W4630" t="s">
        <v>39225</v>
      </c>
      <c r="X4630" t="s">
        <v>41254</v>
      </c>
    </row>
    <row r="4631" spans="1:24">
      <c r="A4631">
        <f>HYPERLINK("https://www.philgeps.gov.ph/GEPSNONPILOT/Tender/SplashBidNoticeAbstractUI.aspx?menuIndex=3&amp;refID=7076002&amp;Result=3","7076002")</f>
        <v>0</v>
      </c>
      <c r="B4631" t="s">
        <v>1655</v>
      </c>
      <c r="C4631" t="s">
        <v>7816</v>
      </c>
      <c r="D4631" t="s">
        <v>16639</v>
      </c>
      <c r="E4631" t="s">
        <v>20862</v>
      </c>
      <c r="F4631" t="s">
        <v>28669</v>
      </c>
      <c r="G4631" t="s">
        <v>28675</v>
      </c>
      <c r="H4631" t="s">
        <v>9998</v>
      </c>
      <c r="I4631" t="s">
        <v>7352</v>
      </c>
      <c r="J4631" t="s">
        <v>31801</v>
      </c>
      <c r="K4631" t="s">
        <v>37210</v>
      </c>
      <c r="M4631" t="s">
        <v>39246</v>
      </c>
      <c r="N4631" t="s">
        <v>41249</v>
      </c>
      <c r="O4631" t="s">
        <v>41250</v>
      </c>
      <c r="P4631">
        <v>0</v>
      </c>
      <c r="Q4631">
        <v>1</v>
      </c>
      <c r="R4631" t="s">
        <v>41252</v>
      </c>
      <c r="S4631" t="s">
        <v>41383</v>
      </c>
      <c r="T4631" t="s">
        <v>42715</v>
      </c>
      <c r="U4631" t="s">
        <v>47026</v>
      </c>
      <c r="W4631" t="s">
        <v>39246</v>
      </c>
      <c r="X4631" t="s">
        <v>41254</v>
      </c>
    </row>
    <row r="4632" spans="1:24">
      <c r="A4632">
        <f>HYPERLINK("https://www.philgeps.gov.ph/GEPSNONPILOT/Tender/SplashBidNoticeAbstractUI.aspx?menuIndex=3&amp;refID=7076001&amp;Result=3","7076001")</f>
        <v>0</v>
      </c>
      <c r="B4632" t="s">
        <v>1660</v>
      </c>
      <c r="C4632" t="s">
        <v>7817</v>
      </c>
      <c r="D4632" t="s">
        <v>16675</v>
      </c>
      <c r="E4632" t="s">
        <v>20150</v>
      </c>
      <c r="F4632" t="s">
        <v>28671</v>
      </c>
      <c r="G4632" t="s">
        <v>28675</v>
      </c>
      <c r="H4632" t="s">
        <v>9998</v>
      </c>
      <c r="I4632" t="s">
        <v>7352</v>
      </c>
      <c r="J4632" t="s">
        <v>31802</v>
      </c>
      <c r="K4632" t="s">
        <v>37220</v>
      </c>
      <c r="M4632" t="s">
        <v>39251</v>
      </c>
      <c r="N4632" t="s">
        <v>41249</v>
      </c>
      <c r="O4632" t="s">
        <v>41250</v>
      </c>
      <c r="P4632">
        <v>0</v>
      </c>
      <c r="Q4632">
        <v>0</v>
      </c>
      <c r="R4632" t="s">
        <v>41252</v>
      </c>
      <c r="S4632" t="s">
        <v>41383</v>
      </c>
      <c r="T4632" t="s">
        <v>42719</v>
      </c>
      <c r="U4632" t="s">
        <v>47030</v>
      </c>
      <c r="W4632" t="s">
        <v>39251</v>
      </c>
      <c r="X4632" t="s">
        <v>41254</v>
      </c>
    </row>
    <row r="4633" spans="1:24">
      <c r="A4633">
        <f>HYPERLINK("https://www.philgeps.gov.ph/GEPSNONPILOT/Tender/SplashBidNoticeAbstractUI.aspx?menuIndex=3&amp;refID=7076026&amp;Result=3","7076026")</f>
        <v>0</v>
      </c>
      <c r="B4633" t="s">
        <v>1661</v>
      </c>
      <c r="C4633" t="s">
        <v>7818</v>
      </c>
      <c r="D4633" t="s">
        <v>16692</v>
      </c>
      <c r="E4633" t="s">
        <v>16708</v>
      </c>
      <c r="F4633" t="s">
        <v>28669</v>
      </c>
      <c r="G4633" t="s">
        <v>28675</v>
      </c>
      <c r="H4633" t="s">
        <v>9998</v>
      </c>
      <c r="I4633" t="s">
        <v>7352</v>
      </c>
      <c r="J4633" t="s">
        <v>31803</v>
      </c>
      <c r="K4633" t="s">
        <v>37204</v>
      </c>
      <c r="M4633" t="s">
        <v>39252</v>
      </c>
      <c r="N4633" t="s">
        <v>41249</v>
      </c>
      <c r="O4633" t="s">
        <v>41250</v>
      </c>
      <c r="P4633">
        <v>0</v>
      </c>
      <c r="Q4633">
        <v>0</v>
      </c>
      <c r="R4633" t="s">
        <v>41252</v>
      </c>
      <c r="S4633" t="s">
        <v>41383</v>
      </c>
      <c r="T4633" t="s">
        <v>42679</v>
      </c>
      <c r="U4633" t="s">
        <v>47031</v>
      </c>
      <c r="W4633" t="s">
        <v>39252</v>
      </c>
      <c r="X4633" t="s">
        <v>41254</v>
      </c>
    </row>
    <row r="4634" spans="1:24">
      <c r="A4634">
        <f>HYPERLINK("https://www.philgeps.gov.ph/GEPSNONPILOT/Tender/SplashBidNoticeAbstractUI.aspx?menuIndex=3&amp;refID=7075998&amp;Result=3","7075998")</f>
        <v>0</v>
      </c>
      <c r="B4634" t="s">
        <v>276</v>
      </c>
      <c r="C4634" t="s">
        <v>7819</v>
      </c>
      <c r="E4634" t="s">
        <v>20874</v>
      </c>
      <c r="F4634" t="s">
        <v>28669</v>
      </c>
      <c r="G4634" t="s">
        <v>28675</v>
      </c>
      <c r="H4634" t="s">
        <v>9998</v>
      </c>
      <c r="I4634" t="s">
        <v>28713</v>
      </c>
      <c r="J4634" t="s">
        <v>31804</v>
      </c>
      <c r="K4634" t="s">
        <v>37209</v>
      </c>
      <c r="M4634" t="s">
        <v>39240</v>
      </c>
      <c r="N4634" t="s">
        <v>41249</v>
      </c>
      <c r="O4634" t="s">
        <v>41250</v>
      </c>
      <c r="Q4634">
        <v>5</v>
      </c>
      <c r="R4634" t="s">
        <v>41252</v>
      </c>
      <c r="S4634" t="s">
        <v>41423</v>
      </c>
      <c r="T4634" t="s">
        <v>42816</v>
      </c>
      <c r="U4634" t="s">
        <v>46799</v>
      </c>
      <c r="V4634" t="s">
        <v>54728</v>
      </c>
      <c r="W4634" t="s">
        <v>39240</v>
      </c>
      <c r="X4634" t="s">
        <v>41254</v>
      </c>
    </row>
    <row r="4635" spans="1:24">
      <c r="A4635">
        <f>HYPERLINK("https://www.philgeps.gov.ph/GEPSNONPILOT/Tender/SplashBidNoticeAbstractUI.aspx?menuIndex=3&amp;refID=7075980&amp;Result=3","7075980")</f>
        <v>0</v>
      </c>
      <c r="B4635" t="s">
        <v>1635</v>
      </c>
      <c r="C4635" t="s">
        <v>7820</v>
      </c>
      <c r="D4635" t="s">
        <v>16627</v>
      </c>
      <c r="E4635" t="s">
        <v>20875</v>
      </c>
      <c r="F4635" t="s">
        <v>28669</v>
      </c>
      <c r="G4635" t="s">
        <v>28675</v>
      </c>
      <c r="H4635" t="s">
        <v>28686</v>
      </c>
      <c r="I4635" t="s">
        <v>28689</v>
      </c>
      <c r="J4635" t="s">
        <v>31805</v>
      </c>
      <c r="K4635" t="s">
        <v>37221</v>
      </c>
      <c r="M4635" t="s">
        <v>39225</v>
      </c>
      <c r="N4635" t="s">
        <v>41249</v>
      </c>
      <c r="O4635" t="s">
        <v>41250</v>
      </c>
      <c r="P4635">
        <v>0</v>
      </c>
      <c r="Q4635">
        <v>0</v>
      </c>
      <c r="R4635" t="s">
        <v>41252</v>
      </c>
      <c r="S4635" t="s">
        <v>41383</v>
      </c>
      <c r="T4635" t="s">
        <v>42808</v>
      </c>
      <c r="U4635" t="s">
        <v>46970</v>
      </c>
      <c r="W4635" t="s">
        <v>39225</v>
      </c>
      <c r="X4635" t="s">
        <v>41254</v>
      </c>
    </row>
    <row r="4636" spans="1:24">
      <c r="A4636">
        <f>HYPERLINK("https://www.philgeps.gov.ph/GEPSNONPILOT/Tender/SplashBidNoticeAbstractUI.aspx?menuIndex=3&amp;refID=7075979&amp;Result=3","7075979")</f>
        <v>0</v>
      </c>
      <c r="B4636" t="s">
        <v>1621</v>
      </c>
      <c r="C4636" t="s">
        <v>7821</v>
      </c>
      <c r="D4636" t="s">
        <v>16639</v>
      </c>
      <c r="E4636" t="s">
        <v>20876</v>
      </c>
      <c r="F4636" t="s">
        <v>28669</v>
      </c>
      <c r="G4636" t="s">
        <v>28675</v>
      </c>
      <c r="H4636" t="s">
        <v>9998</v>
      </c>
      <c r="I4636" t="s">
        <v>7352</v>
      </c>
      <c r="J4636" t="s">
        <v>31806</v>
      </c>
      <c r="K4636" t="s">
        <v>37209</v>
      </c>
      <c r="M4636" t="s">
        <v>39207</v>
      </c>
      <c r="N4636" t="s">
        <v>41249</v>
      </c>
      <c r="O4636" t="s">
        <v>41250</v>
      </c>
      <c r="P4636">
        <v>0</v>
      </c>
      <c r="Q4636">
        <v>2</v>
      </c>
      <c r="R4636" t="s">
        <v>41252</v>
      </c>
      <c r="S4636" t="s">
        <v>41383</v>
      </c>
      <c r="T4636" t="s">
        <v>42823</v>
      </c>
      <c r="U4636" t="s">
        <v>47032</v>
      </c>
      <c r="W4636" t="s">
        <v>39207</v>
      </c>
      <c r="X4636" t="s">
        <v>41254</v>
      </c>
    </row>
    <row r="4637" spans="1:24">
      <c r="A4637">
        <f>HYPERLINK("https://www.philgeps.gov.ph/GEPSNONPILOT/Tender/SplashBidNoticeAbstractUI.aspx?menuIndex=3&amp;refID=7076024&amp;Result=3","7076024")</f>
        <v>0</v>
      </c>
      <c r="B4637" t="s">
        <v>1635</v>
      </c>
      <c r="C4637" t="s">
        <v>7822</v>
      </c>
      <c r="D4637" t="s">
        <v>16627</v>
      </c>
      <c r="E4637" t="s">
        <v>20877</v>
      </c>
      <c r="F4637" t="s">
        <v>28669</v>
      </c>
      <c r="G4637" t="s">
        <v>28675</v>
      </c>
      <c r="H4637" t="s">
        <v>9998</v>
      </c>
      <c r="I4637" t="s">
        <v>28709</v>
      </c>
      <c r="J4637" t="s">
        <v>31807</v>
      </c>
      <c r="K4637" t="s">
        <v>37206</v>
      </c>
      <c r="M4637" t="s">
        <v>39225</v>
      </c>
      <c r="N4637" t="s">
        <v>41249</v>
      </c>
      <c r="O4637" t="s">
        <v>41250</v>
      </c>
      <c r="P4637">
        <v>0</v>
      </c>
      <c r="Q4637">
        <v>0</v>
      </c>
      <c r="R4637" t="s">
        <v>41252</v>
      </c>
      <c r="S4637" t="s">
        <v>41383</v>
      </c>
      <c r="T4637" t="s">
        <v>42808</v>
      </c>
      <c r="U4637" t="s">
        <v>46970</v>
      </c>
      <c r="W4637" t="s">
        <v>39225</v>
      </c>
      <c r="X4637" t="s">
        <v>41254</v>
      </c>
    </row>
    <row r="4638" spans="1:24">
      <c r="A4638">
        <f>HYPERLINK("https://www.philgeps.gov.ph/GEPSNONPILOT/Tender/SplashBidNoticeAbstractUI.aspx?menuIndex=3&amp;refID=7075976&amp;Result=3","7075976")</f>
        <v>0</v>
      </c>
      <c r="B4638" t="s">
        <v>1641</v>
      </c>
      <c r="C4638" t="s">
        <v>7823</v>
      </c>
      <c r="D4638" t="s">
        <v>16618</v>
      </c>
      <c r="E4638" t="s">
        <v>20878</v>
      </c>
      <c r="F4638" t="s">
        <v>28669</v>
      </c>
      <c r="G4638" t="s">
        <v>28675</v>
      </c>
      <c r="H4638" t="s">
        <v>9998</v>
      </c>
      <c r="I4638" t="s">
        <v>11593</v>
      </c>
      <c r="J4638" t="s">
        <v>28881</v>
      </c>
      <c r="K4638" t="s">
        <v>37209</v>
      </c>
      <c r="L4638" t="s">
        <v>1641</v>
      </c>
      <c r="M4638" t="s">
        <v>39231</v>
      </c>
      <c r="N4638" t="s">
        <v>41249</v>
      </c>
      <c r="O4638" t="s">
        <v>41250</v>
      </c>
      <c r="P4638">
        <v>0</v>
      </c>
      <c r="Q4638">
        <v>11</v>
      </c>
      <c r="R4638" t="s">
        <v>41252</v>
      </c>
      <c r="S4638" t="s">
        <v>41383</v>
      </c>
      <c r="T4638" t="s">
        <v>42672</v>
      </c>
      <c r="U4638" t="s">
        <v>47033</v>
      </c>
      <c r="W4638" t="s">
        <v>39231</v>
      </c>
      <c r="X4638" t="s">
        <v>41254</v>
      </c>
    </row>
    <row r="4639" spans="1:24">
      <c r="A4639">
        <f>HYPERLINK("https://www.philgeps.gov.ph/GEPSNONPILOT/Tender/SplashBidNoticeAbstractUI.aspx?menuIndex=3&amp;refID=7076033&amp;Result=3","7076033")</f>
        <v>0</v>
      </c>
      <c r="B4639" t="s">
        <v>762</v>
      </c>
      <c r="C4639" t="s">
        <v>7824</v>
      </c>
      <c r="E4639" t="s">
        <v>20879</v>
      </c>
      <c r="F4639" t="s">
        <v>28669</v>
      </c>
      <c r="G4639" t="s">
        <v>28676</v>
      </c>
      <c r="H4639" t="s">
        <v>9998</v>
      </c>
      <c r="I4639" t="s">
        <v>28693</v>
      </c>
      <c r="J4639" t="s">
        <v>31808</v>
      </c>
      <c r="K4639" t="s">
        <v>37209</v>
      </c>
      <c r="M4639" t="s">
        <v>39214</v>
      </c>
      <c r="N4639" t="s">
        <v>41249</v>
      </c>
      <c r="O4639" t="s">
        <v>41250</v>
      </c>
      <c r="P4639">
        <v>0</v>
      </c>
      <c r="Q4639">
        <v>21</v>
      </c>
      <c r="R4639" t="s">
        <v>41252</v>
      </c>
      <c r="S4639" t="s">
        <v>41383</v>
      </c>
      <c r="T4639" t="s">
        <v>42827</v>
      </c>
      <c r="U4639" t="s">
        <v>47034</v>
      </c>
      <c r="W4639" t="s">
        <v>39214</v>
      </c>
      <c r="X4639" t="s">
        <v>41254</v>
      </c>
    </row>
    <row r="4640" spans="1:24">
      <c r="A4640">
        <f>HYPERLINK("https://www.philgeps.gov.ph/GEPSNONPILOT/Tender/SplashBidNoticeAbstractUI.aspx?menuIndex=3&amp;refID=7076019&amp;Result=3","7076019")</f>
        <v>0</v>
      </c>
      <c r="B4640" t="s">
        <v>1662</v>
      </c>
      <c r="C4640" t="s">
        <v>7825</v>
      </c>
      <c r="D4640" t="s">
        <v>16608</v>
      </c>
      <c r="E4640" t="s">
        <v>16820</v>
      </c>
      <c r="F4640" t="s">
        <v>28669</v>
      </c>
      <c r="G4640" t="s">
        <v>28676</v>
      </c>
      <c r="H4640" t="s">
        <v>9998</v>
      </c>
      <c r="I4640" t="s">
        <v>28709</v>
      </c>
      <c r="J4640" t="s">
        <v>28859</v>
      </c>
      <c r="K4640" t="s">
        <v>37204</v>
      </c>
      <c r="M4640" t="s">
        <v>39253</v>
      </c>
      <c r="N4640" t="s">
        <v>41249</v>
      </c>
      <c r="O4640" t="s">
        <v>41250</v>
      </c>
      <c r="P4640">
        <v>0</v>
      </c>
      <c r="Q4640">
        <v>2</v>
      </c>
      <c r="R4640" t="s">
        <v>41252</v>
      </c>
      <c r="S4640" t="s">
        <v>41383</v>
      </c>
      <c r="T4640" t="s">
        <v>42738</v>
      </c>
      <c r="U4640" t="s">
        <v>47035</v>
      </c>
      <c r="V4640" t="s">
        <v>54758</v>
      </c>
      <c r="W4640" t="s">
        <v>39253</v>
      </c>
      <c r="X4640" t="s">
        <v>41254</v>
      </c>
    </row>
    <row r="4641" spans="1:24">
      <c r="A4641">
        <f>HYPERLINK("https://www.philgeps.gov.ph/GEPSNONPILOT/Tender/SplashBidNoticeAbstractUI.aspx?menuIndex=3&amp;refID=7075791&amp;Result=3","7075791")</f>
        <v>0</v>
      </c>
      <c r="B4641" t="s">
        <v>1589</v>
      </c>
      <c r="C4641" t="s">
        <v>7826</v>
      </c>
      <c r="D4641" t="s">
        <v>16643</v>
      </c>
      <c r="E4641" t="s">
        <v>20880</v>
      </c>
      <c r="F4641" t="s">
        <v>28669</v>
      </c>
      <c r="G4641" t="s">
        <v>28675</v>
      </c>
      <c r="H4641" t="s">
        <v>28686</v>
      </c>
      <c r="I4641" t="s">
        <v>28689</v>
      </c>
      <c r="J4641" t="s">
        <v>29346</v>
      </c>
      <c r="K4641" t="s">
        <v>37209</v>
      </c>
      <c r="L4641" t="s">
        <v>1589</v>
      </c>
      <c r="M4641" t="s">
        <v>39172</v>
      </c>
      <c r="N4641" t="s">
        <v>41249</v>
      </c>
      <c r="O4641" t="s">
        <v>41250</v>
      </c>
      <c r="P4641">
        <v>0</v>
      </c>
      <c r="Q4641">
        <v>0</v>
      </c>
      <c r="R4641" t="s">
        <v>41252</v>
      </c>
      <c r="S4641" t="s">
        <v>41383</v>
      </c>
      <c r="T4641" t="s">
        <v>42688</v>
      </c>
      <c r="U4641" t="s">
        <v>46858</v>
      </c>
      <c r="V4641" t="s">
        <v>54734</v>
      </c>
      <c r="W4641" t="s">
        <v>39172</v>
      </c>
      <c r="X4641" t="s">
        <v>41254</v>
      </c>
    </row>
    <row r="4642" spans="1:24">
      <c r="A4642">
        <f>HYPERLINK("https://www.philgeps.gov.ph/GEPSNONPILOT/Tender/SplashBidNoticeAbstractUI.aspx?menuIndex=3&amp;refID=7076025&amp;Result=3","7076025")</f>
        <v>0</v>
      </c>
      <c r="B4642" t="s">
        <v>1663</v>
      </c>
      <c r="C4642" t="s">
        <v>7827</v>
      </c>
      <c r="D4642" t="s">
        <v>16668</v>
      </c>
      <c r="E4642" t="s">
        <v>20881</v>
      </c>
      <c r="F4642" t="s">
        <v>28669</v>
      </c>
      <c r="G4642" t="s">
        <v>28675</v>
      </c>
      <c r="H4642" t="s">
        <v>28684</v>
      </c>
      <c r="I4642" t="s">
        <v>28696</v>
      </c>
      <c r="J4642" t="s">
        <v>31809</v>
      </c>
      <c r="K4642" t="s">
        <v>37204</v>
      </c>
      <c r="L4642" t="s">
        <v>1663</v>
      </c>
      <c r="M4642" t="s">
        <v>39254</v>
      </c>
      <c r="N4642" t="s">
        <v>41249</v>
      </c>
      <c r="O4642" t="s">
        <v>41250</v>
      </c>
      <c r="P4642">
        <v>0</v>
      </c>
      <c r="Q4642">
        <v>0</v>
      </c>
      <c r="R4642" t="s">
        <v>41252</v>
      </c>
      <c r="S4642" t="s">
        <v>41383</v>
      </c>
      <c r="T4642" t="s">
        <v>42679</v>
      </c>
      <c r="U4642" t="s">
        <v>47036</v>
      </c>
      <c r="W4642" t="s">
        <v>39254</v>
      </c>
      <c r="X4642" t="s">
        <v>41254</v>
      </c>
    </row>
    <row r="4643" spans="1:24">
      <c r="A4643">
        <f>HYPERLINK("https://www.philgeps.gov.ph/GEPSNONPILOT/Tender/SplashBidNoticeAbstractUI.aspx?menuIndex=3&amp;refID=7075787&amp;Result=3","7075787")</f>
        <v>0</v>
      </c>
      <c r="B4643" t="s">
        <v>1664</v>
      </c>
      <c r="C4643" t="s">
        <v>7828</v>
      </c>
      <c r="D4643" t="s">
        <v>16640</v>
      </c>
      <c r="E4643" t="s">
        <v>20882</v>
      </c>
      <c r="F4643" t="s">
        <v>28669</v>
      </c>
      <c r="G4643" t="s">
        <v>28676</v>
      </c>
      <c r="H4643" t="s">
        <v>9998</v>
      </c>
      <c r="I4643" t="s">
        <v>7352</v>
      </c>
      <c r="J4643" t="s">
        <v>31810</v>
      </c>
      <c r="K4643" t="s">
        <v>37209</v>
      </c>
      <c r="M4643" t="s">
        <v>39255</v>
      </c>
      <c r="N4643" t="s">
        <v>41249</v>
      </c>
      <c r="O4643" t="s">
        <v>41250</v>
      </c>
      <c r="P4643">
        <v>0</v>
      </c>
      <c r="Q4643">
        <v>0</v>
      </c>
      <c r="R4643" t="s">
        <v>41252</v>
      </c>
      <c r="S4643" t="s">
        <v>41383</v>
      </c>
      <c r="T4643" t="s">
        <v>42729</v>
      </c>
      <c r="U4643" t="s">
        <v>47037</v>
      </c>
      <c r="W4643" t="s">
        <v>39255</v>
      </c>
      <c r="X4643" t="s">
        <v>41254</v>
      </c>
    </row>
    <row r="4644" spans="1:24">
      <c r="A4644">
        <f>HYPERLINK("https://www.philgeps.gov.ph/GEPSNONPILOT/Tender/SplashBidNoticeAbstractUI.aspx?menuIndex=3&amp;refID=7075650&amp;Result=3","7075650")</f>
        <v>0</v>
      </c>
      <c r="B4644" t="s">
        <v>1585</v>
      </c>
      <c r="C4644" t="s">
        <v>7829</v>
      </c>
      <c r="D4644" t="s">
        <v>16618</v>
      </c>
      <c r="E4644" t="s">
        <v>20883</v>
      </c>
      <c r="F4644" t="s">
        <v>28669</v>
      </c>
      <c r="G4644" t="s">
        <v>28675</v>
      </c>
      <c r="H4644" t="s">
        <v>28686</v>
      </c>
      <c r="I4644" t="s">
        <v>28689</v>
      </c>
      <c r="J4644" t="s">
        <v>30122</v>
      </c>
      <c r="K4644" t="s">
        <v>37355</v>
      </c>
      <c r="M4644" t="s">
        <v>39166</v>
      </c>
      <c r="N4644" t="s">
        <v>41249</v>
      </c>
      <c r="O4644" t="s">
        <v>41250</v>
      </c>
      <c r="P4644">
        <v>0</v>
      </c>
      <c r="Q4644">
        <v>1</v>
      </c>
      <c r="R4644" t="s">
        <v>41252</v>
      </c>
      <c r="S4644" t="s">
        <v>41383</v>
      </c>
      <c r="T4644" t="s">
        <v>42722</v>
      </c>
      <c r="U4644" t="s">
        <v>46895</v>
      </c>
      <c r="W4644" t="s">
        <v>39166</v>
      </c>
      <c r="X4644" t="s">
        <v>41254</v>
      </c>
    </row>
    <row r="4645" spans="1:24">
      <c r="A4645">
        <f>HYPERLINK("https://www.philgeps.gov.ph/GEPSNONPILOT/Tender/SplashBidNoticeAbstractUI.aspx?menuIndex=3&amp;refID=7075978&amp;Result=3","7075978")</f>
        <v>0</v>
      </c>
      <c r="B4645" t="s">
        <v>1634</v>
      </c>
      <c r="C4645" t="s">
        <v>7830</v>
      </c>
      <c r="D4645" t="s">
        <v>16660</v>
      </c>
      <c r="E4645" t="s">
        <v>20884</v>
      </c>
      <c r="F4645" t="s">
        <v>28669</v>
      </c>
      <c r="G4645" t="s">
        <v>28678</v>
      </c>
      <c r="H4645" t="s">
        <v>9998</v>
      </c>
      <c r="I4645" t="s">
        <v>28709</v>
      </c>
      <c r="J4645" t="s">
        <v>31811</v>
      </c>
      <c r="K4645" t="s">
        <v>37210</v>
      </c>
      <c r="M4645" t="s">
        <v>39223</v>
      </c>
      <c r="N4645" t="s">
        <v>41249</v>
      </c>
      <c r="O4645" t="s">
        <v>41250</v>
      </c>
      <c r="P4645">
        <v>0</v>
      </c>
      <c r="Q4645">
        <v>1</v>
      </c>
      <c r="R4645" t="s">
        <v>41252</v>
      </c>
      <c r="S4645" t="s">
        <v>41383</v>
      </c>
      <c r="T4645" t="s">
        <v>42968</v>
      </c>
      <c r="U4645" t="s">
        <v>43373</v>
      </c>
      <c r="W4645" t="s">
        <v>39223</v>
      </c>
      <c r="X4645" t="s">
        <v>41254</v>
      </c>
    </row>
    <row r="4646" spans="1:24">
      <c r="A4646">
        <f>HYPERLINK("https://www.philgeps.gov.ph/GEPSNONPILOT/Tender/SplashBidNoticeAbstractUI.aspx?menuIndex=3&amp;refID=7075977&amp;Result=3","7075977")</f>
        <v>0</v>
      </c>
      <c r="B4646" t="s">
        <v>276</v>
      </c>
      <c r="C4646" t="s">
        <v>7831</v>
      </c>
      <c r="E4646" t="s">
        <v>20885</v>
      </c>
      <c r="F4646" t="s">
        <v>28669</v>
      </c>
      <c r="G4646" t="s">
        <v>28675</v>
      </c>
      <c r="H4646" t="s">
        <v>9998</v>
      </c>
      <c r="I4646" t="s">
        <v>28713</v>
      </c>
      <c r="J4646" t="s">
        <v>28836</v>
      </c>
      <c r="K4646" t="s">
        <v>37209</v>
      </c>
      <c r="M4646" t="s">
        <v>39218</v>
      </c>
      <c r="N4646" t="s">
        <v>41249</v>
      </c>
      <c r="O4646" t="s">
        <v>41250</v>
      </c>
      <c r="Q4646">
        <v>6</v>
      </c>
      <c r="R4646" t="s">
        <v>41252</v>
      </c>
      <c r="S4646" t="s">
        <v>41403</v>
      </c>
      <c r="T4646" t="s">
        <v>42680</v>
      </c>
      <c r="U4646" t="s">
        <v>46799</v>
      </c>
      <c r="V4646" t="s">
        <v>54728</v>
      </c>
      <c r="W4646" t="s">
        <v>39218</v>
      </c>
      <c r="X4646" t="s">
        <v>41254</v>
      </c>
    </row>
    <row r="4647" spans="1:24">
      <c r="A4647">
        <f>HYPERLINK("https://www.philgeps.gov.ph/GEPSNONPILOT/Tender/SplashBidNoticeAbstractUI.aspx?menuIndex=3&amp;refID=7075626&amp;Result=3","7075626")</f>
        <v>0</v>
      </c>
      <c r="B4647" t="s">
        <v>185</v>
      </c>
      <c r="C4647" t="s">
        <v>7832</v>
      </c>
      <c r="D4647" t="s">
        <v>16636</v>
      </c>
      <c r="E4647" t="s">
        <v>20886</v>
      </c>
      <c r="F4647" t="s">
        <v>28669</v>
      </c>
      <c r="G4647" t="s">
        <v>28676</v>
      </c>
      <c r="H4647" t="s">
        <v>9998</v>
      </c>
      <c r="I4647" t="s">
        <v>7352</v>
      </c>
      <c r="J4647" t="s">
        <v>31812</v>
      </c>
      <c r="K4647" t="s">
        <v>37210</v>
      </c>
      <c r="M4647" t="s">
        <v>37662</v>
      </c>
      <c r="N4647" t="s">
        <v>41249</v>
      </c>
      <c r="O4647" t="s">
        <v>41250</v>
      </c>
      <c r="P4647">
        <v>0</v>
      </c>
      <c r="Q4647">
        <v>0</v>
      </c>
      <c r="R4647" t="s">
        <v>41252</v>
      </c>
      <c r="S4647" t="s">
        <v>41383</v>
      </c>
      <c r="T4647" t="s">
        <v>42673</v>
      </c>
      <c r="U4647" t="s">
        <v>45901</v>
      </c>
      <c r="V4647" t="s">
        <v>50836</v>
      </c>
      <c r="W4647" t="s">
        <v>37662</v>
      </c>
      <c r="X4647" t="s">
        <v>41254</v>
      </c>
    </row>
    <row r="4648" spans="1:24">
      <c r="A4648">
        <f>HYPERLINK("https://www.philgeps.gov.ph/GEPSNONPILOT/Tender/SplashBidNoticeAbstractUI.aspx?menuIndex=3&amp;refID=7075625&amp;Result=3","7075625")</f>
        <v>0</v>
      </c>
      <c r="B4648" t="s">
        <v>853</v>
      </c>
      <c r="C4648" t="s">
        <v>7833</v>
      </c>
      <c r="D4648" t="s">
        <v>16617</v>
      </c>
      <c r="E4648" t="s">
        <v>20887</v>
      </c>
      <c r="F4648" t="s">
        <v>28669</v>
      </c>
      <c r="G4648" t="s">
        <v>28675</v>
      </c>
      <c r="H4648" t="s">
        <v>28684</v>
      </c>
      <c r="I4648" t="s">
        <v>28726</v>
      </c>
      <c r="J4648" t="s">
        <v>31813</v>
      </c>
      <c r="K4648" t="s">
        <v>37215</v>
      </c>
      <c r="M4648" t="s">
        <v>38369</v>
      </c>
      <c r="N4648" t="s">
        <v>41249</v>
      </c>
      <c r="O4648" t="s">
        <v>41250</v>
      </c>
      <c r="P4648">
        <v>0</v>
      </c>
      <c r="Q4648">
        <v>2</v>
      </c>
      <c r="R4648" t="s">
        <v>41252</v>
      </c>
      <c r="S4648" t="s">
        <v>41383</v>
      </c>
      <c r="T4648" t="s">
        <v>42692</v>
      </c>
      <c r="U4648" t="s">
        <v>44874</v>
      </c>
      <c r="V4648" t="s">
        <v>54494</v>
      </c>
      <c r="W4648" t="s">
        <v>38369</v>
      </c>
      <c r="X4648" t="s">
        <v>41254</v>
      </c>
    </row>
    <row r="4649" spans="1:24">
      <c r="A4649">
        <f>HYPERLINK("https://www.philgeps.gov.ph/GEPSNONPILOT/Tender/SplashBidNoticeAbstractUI.aspx?menuIndex=3&amp;refID=7075975&amp;Result=3","7075975")</f>
        <v>0</v>
      </c>
      <c r="B4649" t="s">
        <v>1635</v>
      </c>
      <c r="C4649" t="s">
        <v>7834</v>
      </c>
      <c r="D4649" t="s">
        <v>16627</v>
      </c>
      <c r="E4649" t="s">
        <v>20888</v>
      </c>
      <c r="F4649" t="s">
        <v>28669</v>
      </c>
      <c r="G4649" t="s">
        <v>28675</v>
      </c>
      <c r="H4649" t="s">
        <v>28686</v>
      </c>
      <c r="I4649" t="s">
        <v>28689</v>
      </c>
      <c r="J4649" t="s">
        <v>31814</v>
      </c>
      <c r="K4649" t="s">
        <v>37213</v>
      </c>
      <c r="M4649" t="s">
        <v>39225</v>
      </c>
      <c r="N4649" t="s">
        <v>41249</v>
      </c>
      <c r="O4649" t="s">
        <v>41250</v>
      </c>
      <c r="P4649">
        <v>0</v>
      </c>
      <c r="Q4649">
        <v>0</v>
      </c>
      <c r="R4649" t="s">
        <v>41252</v>
      </c>
      <c r="S4649" t="s">
        <v>41383</v>
      </c>
      <c r="T4649" t="s">
        <v>42808</v>
      </c>
      <c r="U4649" t="s">
        <v>46970</v>
      </c>
      <c r="W4649" t="s">
        <v>39225</v>
      </c>
      <c r="X4649" t="s">
        <v>41254</v>
      </c>
    </row>
    <row r="4650" spans="1:24">
      <c r="A4650">
        <f>HYPERLINK("https://www.philgeps.gov.ph/GEPSNONPILOT/Tender/SplashBidNoticeAbstractUI.aspx?menuIndex=3&amp;refID=7075790&amp;Result=3","7075790")</f>
        <v>0</v>
      </c>
      <c r="B4650" t="s">
        <v>1620</v>
      </c>
      <c r="C4650" t="s">
        <v>7835</v>
      </c>
      <c r="D4650" t="s">
        <v>16658</v>
      </c>
      <c r="E4650" t="s">
        <v>20889</v>
      </c>
      <c r="F4650" t="s">
        <v>28669</v>
      </c>
      <c r="G4650" t="s">
        <v>28679</v>
      </c>
      <c r="H4650" t="s">
        <v>9998</v>
      </c>
      <c r="I4650" t="s">
        <v>7352</v>
      </c>
      <c r="J4650" t="s">
        <v>31815</v>
      </c>
      <c r="K4650" t="s">
        <v>37205</v>
      </c>
      <c r="M4650" t="s">
        <v>39206</v>
      </c>
      <c r="N4650" t="s">
        <v>41249</v>
      </c>
      <c r="O4650" t="s">
        <v>41250</v>
      </c>
      <c r="P4650">
        <v>0</v>
      </c>
      <c r="Q4650">
        <v>0</v>
      </c>
      <c r="R4650" t="s">
        <v>41252</v>
      </c>
      <c r="S4650" t="s">
        <v>41383</v>
      </c>
      <c r="T4650" t="s">
        <v>42736</v>
      </c>
      <c r="U4650" t="s">
        <v>47038</v>
      </c>
      <c r="W4650" t="s">
        <v>39206</v>
      </c>
      <c r="X4650" t="s">
        <v>41254</v>
      </c>
    </row>
    <row r="4651" spans="1:24">
      <c r="A4651">
        <f>HYPERLINK("https://www.philgeps.gov.ph/GEPSNONPILOT/Tender/SplashBidNoticeAbstractUI.aspx?menuIndex=3&amp;refID=7075788&amp;Result=3","7075788")</f>
        <v>0</v>
      </c>
      <c r="B4651" t="s">
        <v>1589</v>
      </c>
      <c r="C4651" t="s">
        <v>7836</v>
      </c>
      <c r="D4651" t="s">
        <v>16643</v>
      </c>
      <c r="E4651" t="s">
        <v>20890</v>
      </c>
      <c r="F4651" t="s">
        <v>28669</v>
      </c>
      <c r="G4651" t="s">
        <v>28675</v>
      </c>
      <c r="H4651" t="s">
        <v>28686</v>
      </c>
      <c r="I4651" t="s">
        <v>28689</v>
      </c>
      <c r="J4651" t="s">
        <v>29338</v>
      </c>
      <c r="K4651" t="s">
        <v>37209</v>
      </c>
      <c r="L4651" t="s">
        <v>1589</v>
      </c>
      <c r="M4651" t="s">
        <v>39172</v>
      </c>
      <c r="N4651" t="s">
        <v>41249</v>
      </c>
      <c r="O4651" t="s">
        <v>41250</v>
      </c>
      <c r="P4651">
        <v>0</v>
      </c>
      <c r="Q4651">
        <v>0</v>
      </c>
      <c r="R4651" t="s">
        <v>41252</v>
      </c>
      <c r="S4651" t="s">
        <v>41383</v>
      </c>
      <c r="T4651" t="s">
        <v>42688</v>
      </c>
      <c r="U4651" t="s">
        <v>46858</v>
      </c>
      <c r="V4651" t="s">
        <v>54734</v>
      </c>
      <c r="W4651" t="s">
        <v>39172</v>
      </c>
      <c r="X4651" t="s">
        <v>41254</v>
      </c>
    </row>
    <row r="4652" spans="1:24">
      <c r="A4652">
        <f>HYPERLINK("https://www.philgeps.gov.ph/GEPSNONPILOT/Tender/SplashBidNoticeAbstractUI.aspx?menuIndex=3&amp;refID=7075648&amp;Result=3","7075648")</f>
        <v>0</v>
      </c>
      <c r="B4652" t="s">
        <v>853</v>
      </c>
      <c r="C4652" t="s">
        <v>7837</v>
      </c>
      <c r="D4652" t="s">
        <v>16617</v>
      </c>
      <c r="E4652" t="s">
        <v>20887</v>
      </c>
      <c r="F4652" t="s">
        <v>28669</v>
      </c>
      <c r="G4652" t="s">
        <v>28675</v>
      </c>
      <c r="H4652" t="s">
        <v>28684</v>
      </c>
      <c r="I4652" t="s">
        <v>28726</v>
      </c>
      <c r="J4652" t="s">
        <v>31816</v>
      </c>
      <c r="K4652" t="s">
        <v>37215</v>
      </c>
      <c r="M4652" t="s">
        <v>38369</v>
      </c>
      <c r="N4652" t="s">
        <v>41249</v>
      </c>
      <c r="O4652" t="s">
        <v>41250</v>
      </c>
      <c r="P4652">
        <v>0</v>
      </c>
      <c r="Q4652">
        <v>2</v>
      </c>
      <c r="R4652" t="s">
        <v>41252</v>
      </c>
      <c r="S4652" t="s">
        <v>41383</v>
      </c>
      <c r="T4652" t="s">
        <v>42692</v>
      </c>
      <c r="U4652" t="s">
        <v>44874</v>
      </c>
      <c r="V4652" t="s">
        <v>54665</v>
      </c>
      <c r="W4652" t="s">
        <v>38369</v>
      </c>
      <c r="X4652" t="s">
        <v>41254</v>
      </c>
    </row>
    <row r="4653" spans="1:24">
      <c r="A4653">
        <f>HYPERLINK("https://www.philgeps.gov.ph/GEPSNONPILOT/Tender/SplashBidNoticeAbstractUI.aspx?menuIndex=3&amp;refID=7075647&amp;Result=3","7075647")</f>
        <v>0</v>
      </c>
      <c r="B4653" t="s">
        <v>1665</v>
      </c>
      <c r="C4653" t="s">
        <v>7838</v>
      </c>
      <c r="D4653" t="s">
        <v>16630</v>
      </c>
      <c r="E4653" t="s">
        <v>16889</v>
      </c>
      <c r="F4653" t="s">
        <v>28669</v>
      </c>
      <c r="G4653" t="s">
        <v>28676</v>
      </c>
      <c r="H4653" t="s">
        <v>9998</v>
      </c>
      <c r="I4653" t="s">
        <v>3718</v>
      </c>
      <c r="J4653" t="s">
        <v>29040</v>
      </c>
      <c r="K4653" t="s">
        <v>37262</v>
      </c>
      <c r="L4653" t="s">
        <v>1665</v>
      </c>
      <c r="M4653" t="s">
        <v>39256</v>
      </c>
      <c r="N4653" t="s">
        <v>41249</v>
      </c>
      <c r="O4653" t="s">
        <v>41250</v>
      </c>
      <c r="P4653">
        <v>0</v>
      </c>
      <c r="Q4653">
        <v>1</v>
      </c>
      <c r="R4653" t="s">
        <v>41252</v>
      </c>
      <c r="S4653" t="s">
        <v>41383</v>
      </c>
      <c r="T4653" t="s">
        <v>42734</v>
      </c>
      <c r="U4653" t="s">
        <v>47039</v>
      </c>
      <c r="W4653" t="s">
        <v>39256</v>
      </c>
      <c r="X4653" t="s">
        <v>41254</v>
      </c>
    </row>
    <row r="4654" spans="1:24">
      <c r="A4654">
        <f>HYPERLINK("https://www.philgeps.gov.ph/GEPSNONPILOT/Tender/SplashBidNoticeAbstractUI.aspx?menuIndex=3&amp;refID=7076044&amp;Result=3","7076044")</f>
        <v>0</v>
      </c>
      <c r="B4654" t="s">
        <v>1658</v>
      </c>
      <c r="C4654" t="s">
        <v>7839</v>
      </c>
      <c r="D4654" t="s">
        <v>16624</v>
      </c>
      <c r="E4654" t="s">
        <v>20891</v>
      </c>
      <c r="F4654" t="s">
        <v>28669</v>
      </c>
      <c r="G4654" t="s">
        <v>28677</v>
      </c>
      <c r="H4654" t="s">
        <v>9998</v>
      </c>
      <c r="I4654" t="s">
        <v>3718</v>
      </c>
      <c r="J4654" t="s">
        <v>29191</v>
      </c>
      <c r="K4654" t="s">
        <v>37206</v>
      </c>
      <c r="M4654" t="s">
        <v>39249</v>
      </c>
      <c r="N4654" t="s">
        <v>41249</v>
      </c>
      <c r="O4654" t="s">
        <v>41250</v>
      </c>
      <c r="P4654">
        <v>0</v>
      </c>
      <c r="Q4654">
        <v>1</v>
      </c>
      <c r="R4654" t="s">
        <v>41252</v>
      </c>
      <c r="S4654" t="s">
        <v>41383</v>
      </c>
      <c r="T4654" t="s">
        <v>42679</v>
      </c>
      <c r="U4654" t="s">
        <v>47040</v>
      </c>
      <c r="W4654" t="s">
        <v>39249</v>
      </c>
      <c r="X4654" t="s">
        <v>41254</v>
      </c>
    </row>
    <row r="4655" spans="1:24">
      <c r="A4655">
        <f>HYPERLINK("https://www.philgeps.gov.ph/GEPSNONPILOT/Tender/SplashBidNoticeAbstractUI.aspx?menuIndex=3&amp;refID=7076059&amp;Result=3","7076059")</f>
        <v>0</v>
      </c>
      <c r="B4655" t="s">
        <v>1666</v>
      </c>
      <c r="C4655" t="s">
        <v>7840</v>
      </c>
      <c r="D4655" t="s">
        <v>16666</v>
      </c>
      <c r="E4655" t="s">
        <v>20892</v>
      </c>
      <c r="F4655" t="s">
        <v>28669</v>
      </c>
      <c r="G4655" t="s">
        <v>28676</v>
      </c>
      <c r="H4655" t="s">
        <v>28686</v>
      </c>
      <c r="I4655" t="s">
        <v>28689</v>
      </c>
      <c r="J4655" t="s">
        <v>31817</v>
      </c>
      <c r="K4655" t="s">
        <v>37209</v>
      </c>
      <c r="M4655" t="s">
        <v>39257</v>
      </c>
      <c r="N4655" t="s">
        <v>41249</v>
      </c>
      <c r="O4655" t="s">
        <v>41250</v>
      </c>
      <c r="P4655">
        <v>0</v>
      </c>
      <c r="Q4655">
        <v>0</v>
      </c>
      <c r="R4655" t="s">
        <v>41252</v>
      </c>
      <c r="S4655" t="s">
        <v>41383</v>
      </c>
      <c r="T4655" t="s">
        <v>42884</v>
      </c>
      <c r="U4655" t="s">
        <v>47041</v>
      </c>
      <c r="W4655" t="s">
        <v>39257</v>
      </c>
      <c r="X4655" t="s">
        <v>41254</v>
      </c>
    </row>
    <row r="4656" spans="1:24">
      <c r="A4656">
        <f>HYPERLINK("https://www.philgeps.gov.ph/GEPSNONPILOT/Tender/SplashBidNoticeAbstractUI.aspx?menuIndex=3&amp;refID=7076054&amp;Result=3","7076054")</f>
        <v>0</v>
      </c>
      <c r="B4656" t="s">
        <v>1667</v>
      </c>
      <c r="C4656" t="s">
        <v>7841</v>
      </c>
      <c r="E4656" t="s">
        <v>20893</v>
      </c>
      <c r="F4656" t="s">
        <v>28669</v>
      </c>
      <c r="G4656" t="s">
        <v>28676</v>
      </c>
      <c r="H4656" t="s">
        <v>9998</v>
      </c>
      <c r="I4656" t="s">
        <v>28716</v>
      </c>
      <c r="J4656" t="s">
        <v>31818</v>
      </c>
      <c r="K4656" t="s">
        <v>37209</v>
      </c>
      <c r="M4656" t="s">
        <v>39258</v>
      </c>
      <c r="N4656" t="s">
        <v>41249</v>
      </c>
      <c r="O4656" t="s">
        <v>41250</v>
      </c>
      <c r="P4656">
        <v>0</v>
      </c>
      <c r="Q4656">
        <v>14</v>
      </c>
      <c r="R4656" t="s">
        <v>41252</v>
      </c>
      <c r="S4656" t="s">
        <v>41383</v>
      </c>
      <c r="T4656" t="s">
        <v>42673</v>
      </c>
      <c r="U4656" t="s">
        <v>47042</v>
      </c>
      <c r="W4656" t="s">
        <v>55967</v>
      </c>
      <c r="X4656" t="s">
        <v>41254</v>
      </c>
    </row>
    <row r="4657" spans="1:24">
      <c r="A4657">
        <f>HYPERLINK("https://www.philgeps.gov.ph/GEPSNONPILOT/Tender/SplashBidNoticeAbstractUI.aspx?menuIndex=3&amp;refID=7076052&amp;Result=3","7076052")</f>
        <v>0</v>
      </c>
      <c r="B4657" t="s">
        <v>600</v>
      </c>
      <c r="C4657" t="s">
        <v>7842</v>
      </c>
      <c r="E4657" t="s">
        <v>20894</v>
      </c>
      <c r="F4657" t="s">
        <v>28669</v>
      </c>
      <c r="G4657" t="s">
        <v>28676</v>
      </c>
      <c r="H4657" t="s">
        <v>9998</v>
      </c>
      <c r="I4657" t="s">
        <v>6128</v>
      </c>
      <c r="J4657" t="s">
        <v>31819</v>
      </c>
      <c r="K4657" t="s">
        <v>37209</v>
      </c>
      <c r="M4657" t="s">
        <v>39259</v>
      </c>
      <c r="N4657" t="s">
        <v>41249</v>
      </c>
      <c r="O4657" t="s">
        <v>41250</v>
      </c>
      <c r="P4657">
        <v>0</v>
      </c>
      <c r="Q4657">
        <v>5</v>
      </c>
      <c r="R4657" t="s">
        <v>41252</v>
      </c>
      <c r="S4657" t="s">
        <v>41383</v>
      </c>
      <c r="T4657" t="s">
        <v>42802</v>
      </c>
      <c r="U4657" t="s">
        <v>47043</v>
      </c>
      <c r="V4657" t="s">
        <v>54759</v>
      </c>
      <c r="W4657" t="s">
        <v>39259</v>
      </c>
      <c r="X4657" t="s">
        <v>41254</v>
      </c>
    </row>
    <row r="4658" spans="1:24">
      <c r="A4658">
        <f>HYPERLINK("https://www.philgeps.gov.ph/GEPSNONPILOT/Tender/SplashBidNoticeAbstractUI.aspx?menuIndex=3&amp;refID=7076050&amp;Result=3","7076050")</f>
        <v>0</v>
      </c>
      <c r="B4658" t="s">
        <v>1666</v>
      </c>
      <c r="C4658" t="s">
        <v>7843</v>
      </c>
      <c r="D4658" t="s">
        <v>16655</v>
      </c>
      <c r="E4658" t="s">
        <v>20895</v>
      </c>
      <c r="F4658" t="s">
        <v>28669</v>
      </c>
      <c r="G4658" t="s">
        <v>28676</v>
      </c>
      <c r="H4658" t="s">
        <v>28686</v>
      </c>
      <c r="I4658" t="s">
        <v>28689</v>
      </c>
      <c r="J4658" t="s">
        <v>31820</v>
      </c>
      <c r="K4658" t="s">
        <v>37209</v>
      </c>
      <c r="M4658" t="s">
        <v>39257</v>
      </c>
      <c r="N4658" t="s">
        <v>41249</v>
      </c>
      <c r="O4658" t="s">
        <v>41250</v>
      </c>
      <c r="P4658">
        <v>0</v>
      </c>
      <c r="Q4658">
        <v>0</v>
      </c>
      <c r="R4658" t="s">
        <v>41252</v>
      </c>
      <c r="S4658" t="s">
        <v>41383</v>
      </c>
      <c r="T4658" t="s">
        <v>42884</v>
      </c>
      <c r="U4658" t="s">
        <v>47044</v>
      </c>
      <c r="W4658" t="s">
        <v>39257</v>
      </c>
      <c r="X4658" t="s">
        <v>41254</v>
      </c>
    </row>
    <row r="4659" spans="1:24">
      <c r="A4659">
        <f>HYPERLINK("https://www.philgeps.gov.ph/GEPSNONPILOT/Tender/SplashBidNoticeAbstractUI.aspx?menuIndex=3&amp;refID=7076049&amp;Result=3","7076049")</f>
        <v>0</v>
      </c>
      <c r="B4659" t="s">
        <v>1655</v>
      </c>
      <c r="C4659" t="s">
        <v>7844</v>
      </c>
      <c r="D4659" t="s">
        <v>16639</v>
      </c>
      <c r="E4659" t="s">
        <v>19911</v>
      </c>
      <c r="F4659" t="s">
        <v>28669</v>
      </c>
      <c r="G4659" t="s">
        <v>28675</v>
      </c>
      <c r="H4659" t="s">
        <v>28686</v>
      </c>
      <c r="I4659" t="s">
        <v>28689</v>
      </c>
      <c r="J4659" t="s">
        <v>31821</v>
      </c>
      <c r="K4659" t="s">
        <v>37213</v>
      </c>
      <c r="M4659" t="s">
        <v>39246</v>
      </c>
      <c r="N4659" t="s">
        <v>41249</v>
      </c>
      <c r="O4659" t="s">
        <v>41250</v>
      </c>
      <c r="Q4659">
        <v>0</v>
      </c>
      <c r="R4659" t="s">
        <v>41252</v>
      </c>
      <c r="S4659" t="s">
        <v>41424</v>
      </c>
      <c r="T4659" t="s">
        <v>42715</v>
      </c>
      <c r="U4659" t="s">
        <v>47019</v>
      </c>
      <c r="W4659" t="s">
        <v>39246</v>
      </c>
      <c r="X4659" t="s">
        <v>41254</v>
      </c>
    </row>
    <row r="4660" spans="1:24">
      <c r="A4660">
        <f>HYPERLINK("https://www.philgeps.gov.ph/GEPSNONPILOT/Tender/SplashBidNoticeAbstractUI.aspx?menuIndex=3&amp;refID=7076048&amp;Result=3","7076048")</f>
        <v>0</v>
      </c>
      <c r="B4660" t="s">
        <v>1658</v>
      </c>
      <c r="C4660" t="s">
        <v>7845</v>
      </c>
      <c r="D4660" t="s">
        <v>16624</v>
      </c>
      <c r="E4660" t="s">
        <v>20896</v>
      </c>
      <c r="F4660" t="s">
        <v>28669</v>
      </c>
      <c r="G4660" t="s">
        <v>28677</v>
      </c>
      <c r="H4660" t="s">
        <v>9998</v>
      </c>
      <c r="I4660" t="s">
        <v>3718</v>
      </c>
      <c r="J4660" t="s">
        <v>29225</v>
      </c>
      <c r="K4660" t="s">
        <v>37206</v>
      </c>
      <c r="M4660" t="s">
        <v>39249</v>
      </c>
      <c r="N4660" t="s">
        <v>41249</v>
      </c>
      <c r="O4660" t="s">
        <v>41250</v>
      </c>
      <c r="P4660">
        <v>0</v>
      </c>
      <c r="Q4660">
        <v>2</v>
      </c>
      <c r="R4660" t="s">
        <v>41252</v>
      </c>
      <c r="S4660" t="s">
        <v>41383</v>
      </c>
      <c r="T4660" t="s">
        <v>42679</v>
      </c>
      <c r="U4660" t="s">
        <v>47045</v>
      </c>
      <c r="W4660" t="s">
        <v>39249</v>
      </c>
      <c r="X4660" t="s">
        <v>41254</v>
      </c>
    </row>
    <row r="4661" spans="1:24">
      <c r="A4661">
        <f>HYPERLINK("https://www.philgeps.gov.ph/GEPSNONPILOT/Tender/SplashBidNoticeAbstractUI.aspx?menuIndex=3&amp;refID=7076045&amp;Result=3","7076045")</f>
        <v>0</v>
      </c>
      <c r="B4661" t="s">
        <v>762</v>
      </c>
      <c r="C4661" t="s">
        <v>7846</v>
      </c>
      <c r="E4661" t="s">
        <v>20897</v>
      </c>
      <c r="F4661" t="s">
        <v>28669</v>
      </c>
      <c r="G4661" t="s">
        <v>28676</v>
      </c>
      <c r="H4661" t="s">
        <v>9998</v>
      </c>
      <c r="I4661" t="s">
        <v>28690</v>
      </c>
      <c r="J4661" t="s">
        <v>29512</v>
      </c>
      <c r="K4661" t="s">
        <v>37220</v>
      </c>
      <c r="M4661" t="s">
        <v>39214</v>
      </c>
      <c r="N4661" t="s">
        <v>41249</v>
      </c>
      <c r="O4661" t="s">
        <v>41250</v>
      </c>
      <c r="P4661">
        <v>0</v>
      </c>
      <c r="Q4661">
        <v>7</v>
      </c>
      <c r="R4661" t="s">
        <v>41252</v>
      </c>
      <c r="S4661" t="s">
        <v>41383</v>
      </c>
      <c r="T4661" t="s">
        <v>42827</v>
      </c>
      <c r="U4661" t="s">
        <v>47046</v>
      </c>
      <c r="W4661" t="s">
        <v>39214</v>
      </c>
      <c r="X4661" t="s">
        <v>41254</v>
      </c>
    </row>
    <row r="4662" spans="1:24">
      <c r="A4662">
        <f>HYPERLINK("https://www.philgeps.gov.ph/GEPSNONPILOT/Tender/SplashBidNoticeAbstractUI.aspx?menuIndex=3&amp;refID=7076046&amp;Result=3","7076046")</f>
        <v>0</v>
      </c>
      <c r="B4662" t="s">
        <v>897</v>
      </c>
      <c r="C4662" t="s">
        <v>7847</v>
      </c>
      <c r="D4662" t="s">
        <v>16631</v>
      </c>
      <c r="E4662" t="s">
        <v>20898</v>
      </c>
      <c r="F4662" t="s">
        <v>28669</v>
      </c>
      <c r="G4662" t="s">
        <v>28675</v>
      </c>
      <c r="H4662" t="s">
        <v>9998</v>
      </c>
      <c r="I4662" t="s">
        <v>7352</v>
      </c>
      <c r="J4662" t="s">
        <v>31822</v>
      </c>
      <c r="K4662" t="s">
        <v>37206</v>
      </c>
      <c r="M4662" t="s">
        <v>38418</v>
      </c>
      <c r="N4662" t="s">
        <v>41249</v>
      </c>
      <c r="O4662" t="s">
        <v>41250</v>
      </c>
      <c r="P4662">
        <v>0</v>
      </c>
      <c r="Q4662">
        <v>0</v>
      </c>
      <c r="R4662" t="s">
        <v>41252</v>
      </c>
      <c r="S4662" t="s">
        <v>41383</v>
      </c>
      <c r="T4662" t="s">
        <v>42808</v>
      </c>
      <c r="U4662" t="s">
        <v>44959</v>
      </c>
      <c r="W4662" t="s">
        <v>38418</v>
      </c>
      <c r="X4662" t="s">
        <v>41254</v>
      </c>
    </row>
    <row r="4663" spans="1:24">
      <c r="A4663">
        <f>HYPERLINK("https://www.philgeps.gov.ph/GEPSNONPILOT/Tender/SplashBidNoticeAbstractUI.aspx?menuIndex=3&amp;refID=7076058&amp;Result=3","7076058")</f>
        <v>0</v>
      </c>
      <c r="B4663" t="s">
        <v>1658</v>
      </c>
      <c r="C4663" t="s">
        <v>7848</v>
      </c>
      <c r="D4663" t="s">
        <v>16624</v>
      </c>
      <c r="E4663" t="s">
        <v>20899</v>
      </c>
      <c r="F4663" t="s">
        <v>28669</v>
      </c>
      <c r="G4663" t="s">
        <v>28677</v>
      </c>
      <c r="H4663" t="s">
        <v>9998</v>
      </c>
      <c r="I4663" t="s">
        <v>3718</v>
      </c>
      <c r="J4663" t="s">
        <v>31823</v>
      </c>
      <c r="K4663" t="s">
        <v>37206</v>
      </c>
      <c r="M4663" t="s">
        <v>39249</v>
      </c>
      <c r="N4663" t="s">
        <v>41249</v>
      </c>
      <c r="O4663" t="s">
        <v>41250</v>
      </c>
      <c r="P4663">
        <v>0</v>
      </c>
      <c r="Q4663">
        <v>3</v>
      </c>
      <c r="R4663" t="s">
        <v>41252</v>
      </c>
      <c r="S4663" t="s">
        <v>41383</v>
      </c>
      <c r="T4663" t="s">
        <v>42679</v>
      </c>
      <c r="U4663" t="s">
        <v>47047</v>
      </c>
      <c r="W4663" t="s">
        <v>39249</v>
      </c>
      <c r="X4663" t="s">
        <v>41254</v>
      </c>
    </row>
    <row r="4664" spans="1:24">
      <c r="A4664">
        <f>HYPERLINK("https://www.philgeps.gov.ph/GEPSNONPILOT/Tender/SplashBidNoticeAbstractUI.aspx?menuIndex=3&amp;refID=7076066&amp;Result=3","7076066")</f>
        <v>0</v>
      </c>
      <c r="B4664" t="s">
        <v>896</v>
      </c>
      <c r="C4664" t="s">
        <v>7849</v>
      </c>
      <c r="D4664" t="s">
        <v>16626</v>
      </c>
      <c r="E4664" t="s">
        <v>20900</v>
      </c>
      <c r="F4664" t="s">
        <v>28669</v>
      </c>
      <c r="G4664" t="s">
        <v>28675</v>
      </c>
      <c r="H4664" t="s">
        <v>28684</v>
      </c>
      <c r="I4664" t="s">
        <v>6128</v>
      </c>
      <c r="J4664" t="s">
        <v>31824</v>
      </c>
      <c r="K4664" t="s">
        <v>37234</v>
      </c>
      <c r="M4664" t="s">
        <v>38417</v>
      </c>
      <c r="N4664" t="s">
        <v>41249</v>
      </c>
      <c r="O4664" t="s">
        <v>41250</v>
      </c>
      <c r="P4664">
        <v>0</v>
      </c>
      <c r="Q4664">
        <v>0</v>
      </c>
      <c r="R4664" t="s">
        <v>41252</v>
      </c>
      <c r="S4664" t="s">
        <v>41383</v>
      </c>
      <c r="T4664" t="s">
        <v>42722</v>
      </c>
      <c r="U4664" t="s">
        <v>47048</v>
      </c>
      <c r="W4664" t="s">
        <v>38417</v>
      </c>
      <c r="X4664" t="s">
        <v>41254</v>
      </c>
    </row>
    <row r="4665" spans="1:24">
      <c r="A4665">
        <f>HYPERLINK("https://www.philgeps.gov.ph/GEPSNONPILOT/Tender/SplashBidNoticeAbstractUI.aspx?menuIndex=3&amp;refID=7076047&amp;Result=3","7076047")</f>
        <v>0</v>
      </c>
      <c r="B4665" t="s">
        <v>968</v>
      </c>
      <c r="C4665" t="s">
        <v>7850</v>
      </c>
      <c r="E4665" t="s">
        <v>20901</v>
      </c>
      <c r="F4665" t="s">
        <v>28669</v>
      </c>
      <c r="G4665" t="s">
        <v>28676</v>
      </c>
      <c r="H4665" t="s">
        <v>9998</v>
      </c>
      <c r="I4665" t="s">
        <v>5286</v>
      </c>
      <c r="J4665" t="s">
        <v>31825</v>
      </c>
      <c r="K4665" t="s">
        <v>37209</v>
      </c>
      <c r="M4665" t="s">
        <v>38493</v>
      </c>
      <c r="N4665" t="s">
        <v>41249</v>
      </c>
      <c r="O4665" t="s">
        <v>41250</v>
      </c>
      <c r="P4665">
        <v>0</v>
      </c>
      <c r="Q4665">
        <v>1</v>
      </c>
      <c r="R4665" t="s">
        <v>41252</v>
      </c>
      <c r="S4665" t="s">
        <v>41383</v>
      </c>
      <c r="T4665" t="s">
        <v>42754</v>
      </c>
      <c r="U4665" t="s">
        <v>47049</v>
      </c>
      <c r="W4665" t="s">
        <v>38493</v>
      </c>
      <c r="X4665" t="s">
        <v>41254</v>
      </c>
    </row>
    <row r="4666" spans="1:24">
      <c r="A4666">
        <f>HYPERLINK("https://www.philgeps.gov.ph/GEPSNONPILOT/Tender/SplashBidNoticeAbstractUI.aspx?menuIndex=3&amp;refID=7076056&amp;Result=3","7076056")</f>
        <v>0</v>
      </c>
      <c r="B4666" t="s">
        <v>1655</v>
      </c>
      <c r="C4666" t="s">
        <v>7851</v>
      </c>
      <c r="D4666" t="s">
        <v>16639</v>
      </c>
      <c r="E4666" t="s">
        <v>20870</v>
      </c>
      <c r="F4666" t="s">
        <v>28669</v>
      </c>
      <c r="G4666" t="s">
        <v>28675</v>
      </c>
      <c r="H4666" t="s">
        <v>28686</v>
      </c>
      <c r="I4666" t="s">
        <v>28689</v>
      </c>
      <c r="J4666" t="s">
        <v>31826</v>
      </c>
      <c r="K4666" t="s">
        <v>37271</v>
      </c>
      <c r="M4666" t="s">
        <v>39246</v>
      </c>
      <c r="N4666" t="s">
        <v>41249</v>
      </c>
      <c r="O4666" t="s">
        <v>41250</v>
      </c>
      <c r="P4666">
        <v>0</v>
      </c>
      <c r="Q4666">
        <v>0</v>
      </c>
      <c r="R4666" t="s">
        <v>41252</v>
      </c>
      <c r="S4666" t="s">
        <v>41383</v>
      </c>
      <c r="T4666" t="s">
        <v>42715</v>
      </c>
      <c r="U4666" t="s">
        <v>47019</v>
      </c>
      <c r="W4666" t="s">
        <v>39246</v>
      </c>
      <c r="X4666" t="s">
        <v>41254</v>
      </c>
    </row>
    <row r="4667" spans="1:24">
      <c r="A4667">
        <f>HYPERLINK("https://www.philgeps.gov.ph/GEPSNONPILOT/Tender/SplashBidNoticeAbstractUI.aspx?menuIndex=3&amp;refID=7076062&amp;Result=3","7076062")</f>
        <v>0</v>
      </c>
      <c r="B4667" t="s">
        <v>600</v>
      </c>
      <c r="C4667" t="s">
        <v>7852</v>
      </c>
      <c r="D4667" t="s">
        <v>16613</v>
      </c>
      <c r="E4667" t="s">
        <v>20902</v>
      </c>
      <c r="F4667" t="s">
        <v>28669</v>
      </c>
      <c r="G4667" t="s">
        <v>28677</v>
      </c>
      <c r="H4667" t="s">
        <v>9998</v>
      </c>
      <c r="I4667" t="s">
        <v>28728</v>
      </c>
      <c r="J4667" t="s">
        <v>31827</v>
      </c>
      <c r="K4667" t="s">
        <v>37209</v>
      </c>
      <c r="M4667" t="s">
        <v>39259</v>
      </c>
      <c r="N4667" t="s">
        <v>41249</v>
      </c>
      <c r="O4667" t="s">
        <v>41250</v>
      </c>
      <c r="P4667">
        <v>0</v>
      </c>
      <c r="Q4667">
        <v>0</v>
      </c>
      <c r="R4667" t="s">
        <v>41252</v>
      </c>
      <c r="S4667" t="s">
        <v>41383</v>
      </c>
      <c r="T4667" t="s">
        <v>42694</v>
      </c>
      <c r="U4667" t="s">
        <v>47050</v>
      </c>
      <c r="V4667" t="s">
        <v>54760</v>
      </c>
      <c r="W4667" t="s">
        <v>39259</v>
      </c>
      <c r="X4667" t="s">
        <v>41254</v>
      </c>
    </row>
    <row r="4668" spans="1:24">
      <c r="A4668">
        <f>HYPERLINK("https://www.philgeps.gov.ph/GEPSNONPILOT/Tender/SplashBidNoticeAbstractUI.aspx?menuIndex=3&amp;refID=7076061&amp;Result=3","7076061")</f>
        <v>0</v>
      </c>
      <c r="B4668" t="s">
        <v>896</v>
      </c>
      <c r="C4668" t="s">
        <v>7853</v>
      </c>
      <c r="D4668" t="s">
        <v>16626</v>
      </c>
      <c r="E4668" t="s">
        <v>20903</v>
      </c>
      <c r="F4668" t="s">
        <v>28669</v>
      </c>
      <c r="G4668" t="s">
        <v>28675</v>
      </c>
      <c r="H4668" t="s">
        <v>28684</v>
      </c>
      <c r="I4668" t="s">
        <v>6128</v>
      </c>
      <c r="J4668" t="s">
        <v>29388</v>
      </c>
      <c r="K4668" t="s">
        <v>37234</v>
      </c>
      <c r="M4668" t="s">
        <v>38417</v>
      </c>
      <c r="N4668" t="s">
        <v>41249</v>
      </c>
      <c r="O4668" t="s">
        <v>41250</v>
      </c>
      <c r="P4668">
        <v>0</v>
      </c>
      <c r="Q4668">
        <v>0</v>
      </c>
      <c r="R4668" t="s">
        <v>41252</v>
      </c>
      <c r="S4668" t="s">
        <v>41383</v>
      </c>
      <c r="T4668" t="s">
        <v>42722</v>
      </c>
      <c r="U4668" t="s">
        <v>47051</v>
      </c>
      <c r="W4668" t="s">
        <v>38417</v>
      </c>
      <c r="X4668" t="s">
        <v>41254</v>
      </c>
    </row>
    <row r="4669" spans="1:24">
      <c r="A4669">
        <f>HYPERLINK("https://www.philgeps.gov.ph/GEPSNONPILOT/Tender/SplashBidNoticeAbstractUI.aspx?menuIndex=3&amp;refID=7076064&amp;Result=3","7076064")</f>
        <v>0</v>
      </c>
      <c r="B4669" t="s">
        <v>897</v>
      </c>
      <c r="C4669" t="s">
        <v>7854</v>
      </c>
      <c r="D4669" t="s">
        <v>16631</v>
      </c>
      <c r="E4669" t="s">
        <v>20904</v>
      </c>
      <c r="F4669" t="s">
        <v>28669</v>
      </c>
      <c r="G4669" t="s">
        <v>28675</v>
      </c>
      <c r="H4669" t="s">
        <v>9998</v>
      </c>
      <c r="I4669" t="s">
        <v>7352</v>
      </c>
      <c r="J4669" t="s">
        <v>31828</v>
      </c>
      <c r="K4669" t="s">
        <v>37206</v>
      </c>
      <c r="M4669" t="s">
        <v>38418</v>
      </c>
      <c r="N4669" t="s">
        <v>41249</v>
      </c>
      <c r="O4669" t="s">
        <v>41250</v>
      </c>
      <c r="P4669">
        <v>0</v>
      </c>
      <c r="Q4669">
        <v>0</v>
      </c>
      <c r="R4669" t="s">
        <v>41252</v>
      </c>
      <c r="S4669" t="s">
        <v>41383</v>
      </c>
      <c r="T4669" t="s">
        <v>42779</v>
      </c>
      <c r="U4669" t="s">
        <v>44959</v>
      </c>
      <c r="W4669" t="s">
        <v>38418</v>
      </c>
      <c r="X4669" t="s">
        <v>41254</v>
      </c>
    </row>
    <row r="4670" spans="1:24">
      <c r="A4670">
        <f>HYPERLINK("https://www.philgeps.gov.ph/GEPSNONPILOT/Tender/SplashBidNoticeAbstractUI.aspx?menuIndex=3&amp;refID=7076071&amp;Result=3","7076071")</f>
        <v>0</v>
      </c>
      <c r="B4670" t="s">
        <v>1668</v>
      </c>
      <c r="C4670" t="s">
        <v>7855</v>
      </c>
      <c r="D4670" t="s">
        <v>16644</v>
      </c>
      <c r="E4670" t="s">
        <v>20905</v>
      </c>
      <c r="F4670" t="s">
        <v>28669</v>
      </c>
      <c r="G4670" t="s">
        <v>28675</v>
      </c>
      <c r="H4670" t="s">
        <v>28684</v>
      </c>
      <c r="I4670" t="s">
        <v>28792</v>
      </c>
      <c r="J4670" t="s">
        <v>28847</v>
      </c>
      <c r="K4670" t="s">
        <v>37272</v>
      </c>
      <c r="M4670" t="s">
        <v>39260</v>
      </c>
      <c r="N4670" t="s">
        <v>41249</v>
      </c>
      <c r="O4670" t="s">
        <v>41250</v>
      </c>
      <c r="P4670">
        <v>0</v>
      </c>
      <c r="Q4670">
        <v>1</v>
      </c>
      <c r="R4670" t="s">
        <v>41252</v>
      </c>
      <c r="S4670" t="s">
        <v>41383</v>
      </c>
      <c r="T4670" t="s">
        <v>42757</v>
      </c>
      <c r="U4670" t="s">
        <v>47052</v>
      </c>
      <c r="V4670" t="s">
        <v>54761</v>
      </c>
      <c r="W4670" t="s">
        <v>55968</v>
      </c>
      <c r="X4670" t="s">
        <v>41254</v>
      </c>
    </row>
    <row r="4671" spans="1:24">
      <c r="A4671">
        <f>HYPERLINK("https://www.philgeps.gov.ph/GEPSNONPILOT/Tender/SplashBidNoticeAbstractUI.aspx?menuIndex=3&amp;refID=7076065&amp;Result=3","7076065")</f>
        <v>0</v>
      </c>
      <c r="B4671" t="s">
        <v>1655</v>
      </c>
      <c r="C4671" t="s">
        <v>7856</v>
      </c>
      <c r="D4671" t="s">
        <v>16639</v>
      </c>
      <c r="E4671" t="s">
        <v>20906</v>
      </c>
      <c r="F4671" t="s">
        <v>28669</v>
      </c>
      <c r="G4671" t="s">
        <v>28675</v>
      </c>
      <c r="H4671" t="s">
        <v>28686</v>
      </c>
      <c r="I4671" t="s">
        <v>28689</v>
      </c>
      <c r="J4671" t="s">
        <v>31829</v>
      </c>
      <c r="K4671" t="s">
        <v>37215</v>
      </c>
      <c r="M4671" t="s">
        <v>39246</v>
      </c>
      <c r="N4671" t="s">
        <v>41249</v>
      </c>
      <c r="O4671" t="s">
        <v>41250</v>
      </c>
      <c r="P4671">
        <v>0</v>
      </c>
      <c r="Q4671">
        <v>1</v>
      </c>
      <c r="R4671" t="s">
        <v>41252</v>
      </c>
      <c r="S4671" t="s">
        <v>41383</v>
      </c>
      <c r="T4671" t="s">
        <v>42715</v>
      </c>
      <c r="U4671" t="s">
        <v>47019</v>
      </c>
      <c r="W4671" t="s">
        <v>39246</v>
      </c>
      <c r="X4671" t="s">
        <v>41254</v>
      </c>
    </row>
    <row r="4672" spans="1:24">
      <c r="A4672">
        <f>HYPERLINK("https://www.philgeps.gov.ph/GEPSNONPILOT/Tender/SplashBidNoticeAbstractUI.aspx?menuIndex=3&amp;refID=6987964&amp;Result=3","6987964")</f>
        <v>0</v>
      </c>
      <c r="B4672" t="s">
        <v>1669</v>
      </c>
      <c r="C4672" t="s">
        <v>7857</v>
      </c>
      <c r="E4672" t="s">
        <v>20907</v>
      </c>
      <c r="F4672" t="s">
        <v>28669</v>
      </c>
      <c r="G4672" t="s">
        <v>28676</v>
      </c>
      <c r="H4672" t="s">
        <v>9998</v>
      </c>
      <c r="I4672" t="s">
        <v>28717</v>
      </c>
      <c r="J4672" t="s">
        <v>30258</v>
      </c>
      <c r="K4672" t="s">
        <v>37206</v>
      </c>
      <c r="M4672" t="s">
        <v>39261</v>
      </c>
      <c r="N4672" t="s">
        <v>41249</v>
      </c>
      <c r="O4672" t="s">
        <v>41250</v>
      </c>
      <c r="P4672">
        <v>0</v>
      </c>
      <c r="Q4672">
        <v>8</v>
      </c>
      <c r="R4672" t="s">
        <v>41254</v>
      </c>
      <c r="S4672" t="s">
        <v>41425</v>
      </c>
      <c r="T4672" t="s">
        <v>42701</v>
      </c>
      <c r="U4672" t="s">
        <v>47053</v>
      </c>
      <c r="W4672" t="s">
        <v>39261</v>
      </c>
      <c r="X4672" t="s">
        <v>41289</v>
      </c>
    </row>
    <row r="4673" spans="1:24">
      <c r="A4673">
        <f>HYPERLINK("https://www.philgeps.gov.ph/GEPSNONPILOT/Tender/SplashBidNoticeAbstractUI.aspx?menuIndex=3&amp;refID=7076060&amp;Result=3","7076060")</f>
        <v>0</v>
      </c>
      <c r="B4673" t="s">
        <v>1655</v>
      </c>
      <c r="C4673" t="s">
        <v>7858</v>
      </c>
      <c r="D4673" t="s">
        <v>16639</v>
      </c>
      <c r="E4673" t="s">
        <v>20908</v>
      </c>
      <c r="F4673" t="s">
        <v>28669</v>
      </c>
      <c r="G4673" t="s">
        <v>28675</v>
      </c>
      <c r="H4673" t="s">
        <v>28686</v>
      </c>
      <c r="I4673" t="s">
        <v>28689</v>
      </c>
      <c r="J4673" t="s">
        <v>31830</v>
      </c>
      <c r="K4673" t="s">
        <v>37213</v>
      </c>
      <c r="M4673" t="s">
        <v>39246</v>
      </c>
      <c r="N4673" t="s">
        <v>41249</v>
      </c>
      <c r="O4673" t="s">
        <v>41250</v>
      </c>
      <c r="P4673">
        <v>0</v>
      </c>
      <c r="Q4673">
        <v>1</v>
      </c>
      <c r="R4673" t="s">
        <v>41252</v>
      </c>
      <c r="S4673" t="s">
        <v>41383</v>
      </c>
      <c r="T4673" t="s">
        <v>42715</v>
      </c>
      <c r="U4673" t="s">
        <v>47019</v>
      </c>
      <c r="W4673" t="s">
        <v>39246</v>
      </c>
      <c r="X4673" t="s">
        <v>41254</v>
      </c>
    </row>
    <row r="4674" spans="1:24">
      <c r="A4674">
        <f>HYPERLINK("https://www.philgeps.gov.ph/GEPSNONPILOT/Tender/SplashBidNoticeAbstractUI.aspx?menuIndex=3&amp;refID=6987014&amp;Result=3","6987014")</f>
        <v>0</v>
      </c>
      <c r="B4674" t="s">
        <v>1036</v>
      </c>
      <c r="C4674" t="s">
        <v>7859</v>
      </c>
      <c r="D4674" t="s">
        <v>16677</v>
      </c>
      <c r="E4674" t="s">
        <v>19790</v>
      </c>
      <c r="F4674" t="s">
        <v>28669</v>
      </c>
      <c r="G4674" t="s">
        <v>28675</v>
      </c>
      <c r="H4674" t="s">
        <v>9998</v>
      </c>
      <c r="I4674" t="s">
        <v>5286</v>
      </c>
      <c r="J4674" t="s">
        <v>31831</v>
      </c>
      <c r="K4674" t="s">
        <v>37205</v>
      </c>
      <c r="M4674" t="s">
        <v>38567</v>
      </c>
      <c r="N4674" t="s">
        <v>41249</v>
      </c>
      <c r="O4674" t="s">
        <v>41250</v>
      </c>
      <c r="P4674">
        <v>0</v>
      </c>
      <c r="Q4674">
        <v>14</v>
      </c>
      <c r="R4674" t="s">
        <v>41254</v>
      </c>
      <c r="S4674" t="s">
        <v>41425</v>
      </c>
      <c r="T4674" t="s">
        <v>42808</v>
      </c>
      <c r="U4674" t="s">
        <v>47054</v>
      </c>
      <c r="V4674" t="s">
        <v>54762</v>
      </c>
      <c r="W4674" t="s">
        <v>38567</v>
      </c>
      <c r="X4674" t="s">
        <v>41289</v>
      </c>
    </row>
    <row r="4675" spans="1:24">
      <c r="A4675">
        <f>HYPERLINK("https://www.philgeps.gov.ph/GEPSNONPILOT/Tender/SplashBidNoticeAbstractUI.aspx?menuIndex=3&amp;refID=6903870&amp;Result=3","6903870")</f>
        <v>0</v>
      </c>
      <c r="B4675" t="s">
        <v>1175</v>
      </c>
      <c r="C4675" t="s">
        <v>7860</v>
      </c>
      <c r="D4675" t="s">
        <v>16653</v>
      </c>
      <c r="E4675" t="s">
        <v>20909</v>
      </c>
      <c r="F4675" t="s">
        <v>28669</v>
      </c>
      <c r="G4675" t="s">
        <v>28676</v>
      </c>
      <c r="H4675" t="s">
        <v>9998</v>
      </c>
      <c r="I4675" t="s">
        <v>28765</v>
      </c>
      <c r="J4675" t="s">
        <v>29190</v>
      </c>
      <c r="K4675" t="s">
        <v>37234</v>
      </c>
      <c r="M4675" t="s">
        <v>38714</v>
      </c>
      <c r="N4675" t="s">
        <v>41249</v>
      </c>
      <c r="O4675" t="s">
        <v>41250</v>
      </c>
      <c r="P4675">
        <v>0</v>
      </c>
      <c r="Q4675">
        <v>0</v>
      </c>
      <c r="R4675" t="s">
        <v>41254</v>
      </c>
      <c r="S4675" t="s">
        <v>41425</v>
      </c>
      <c r="T4675" t="s">
        <v>42727</v>
      </c>
      <c r="U4675" t="s">
        <v>47055</v>
      </c>
      <c r="W4675" t="s">
        <v>38714</v>
      </c>
      <c r="X4675" t="s">
        <v>56042</v>
      </c>
    </row>
    <row r="4676" spans="1:24">
      <c r="A4676">
        <f>HYPERLINK("https://www.philgeps.gov.ph/GEPSNONPILOT/Tender/SplashBidNoticeAbstractUI.aspx?menuIndex=3&amp;refID=6781805&amp;Result=3","6781805")</f>
        <v>0</v>
      </c>
      <c r="B4676" t="s">
        <v>1670</v>
      </c>
      <c r="C4676" t="s">
        <v>7861</v>
      </c>
      <c r="D4676" t="s">
        <v>16678</v>
      </c>
      <c r="E4676" t="s">
        <v>16780</v>
      </c>
      <c r="F4676" t="s">
        <v>28669</v>
      </c>
      <c r="G4676" t="s">
        <v>28675</v>
      </c>
      <c r="H4676" t="s">
        <v>9998</v>
      </c>
      <c r="I4676" t="s">
        <v>7352</v>
      </c>
      <c r="J4676" t="s">
        <v>29902</v>
      </c>
      <c r="K4676" t="s">
        <v>37206</v>
      </c>
      <c r="M4676" t="s">
        <v>39262</v>
      </c>
      <c r="N4676" t="s">
        <v>41249</v>
      </c>
      <c r="O4676" t="s">
        <v>41250</v>
      </c>
      <c r="P4676">
        <v>0</v>
      </c>
      <c r="Q4676">
        <v>0</v>
      </c>
      <c r="R4676" t="s">
        <v>41254</v>
      </c>
      <c r="S4676" t="s">
        <v>41425</v>
      </c>
      <c r="T4676" t="s">
        <v>42860</v>
      </c>
      <c r="U4676" t="s">
        <v>47056</v>
      </c>
      <c r="W4676" t="s">
        <v>39262</v>
      </c>
      <c r="X4676" t="s">
        <v>56043</v>
      </c>
    </row>
    <row r="4677" spans="1:24">
      <c r="A4677">
        <f>HYPERLINK("https://www.philgeps.gov.ph/GEPSNONPILOT/Tender/SplashBidNoticeAbstractUI.aspx?menuIndex=3&amp;refID=7009730&amp;Result=3","7009730")</f>
        <v>0</v>
      </c>
      <c r="B4677" t="s">
        <v>1670</v>
      </c>
      <c r="C4677" t="s">
        <v>7862</v>
      </c>
      <c r="D4677" t="s">
        <v>16678</v>
      </c>
      <c r="E4677" t="s">
        <v>17029</v>
      </c>
      <c r="F4677" t="s">
        <v>28669</v>
      </c>
      <c r="G4677" t="s">
        <v>28675</v>
      </c>
      <c r="H4677" t="s">
        <v>9998</v>
      </c>
      <c r="I4677" t="s">
        <v>7352</v>
      </c>
      <c r="J4677" t="s">
        <v>31832</v>
      </c>
      <c r="K4677" t="s">
        <v>37206</v>
      </c>
      <c r="M4677" t="s">
        <v>39262</v>
      </c>
      <c r="N4677" t="s">
        <v>41249</v>
      </c>
      <c r="O4677" t="s">
        <v>41250</v>
      </c>
      <c r="P4677">
        <v>0</v>
      </c>
      <c r="Q4677">
        <v>0</v>
      </c>
      <c r="R4677" t="s">
        <v>41254</v>
      </c>
      <c r="S4677" t="s">
        <v>41425</v>
      </c>
      <c r="T4677" t="s">
        <v>42860</v>
      </c>
      <c r="U4677" t="s">
        <v>47057</v>
      </c>
      <c r="W4677" t="s">
        <v>39262</v>
      </c>
      <c r="X4677" t="s">
        <v>41285</v>
      </c>
    </row>
    <row r="4678" spans="1:24">
      <c r="A4678">
        <f>HYPERLINK("https://www.philgeps.gov.ph/GEPSNONPILOT/Tender/SplashBidNoticeAbstractUI.aspx?menuIndex=3&amp;refID=7076085&amp;Result=3","7076085")</f>
        <v>0</v>
      </c>
      <c r="B4678" t="s">
        <v>896</v>
      </c>
      <c r="C4678" t="s">
        <v>7863</v>
      </c>
      <c r="D4678" t="s">
        <v>16626</v>
      </c>
      <c r="E4678" t="s">
        <v>20910</v>
      </c>
      <c r="F4678" t="s">
        <v>28669</v>
      </c>
      <c r="G4678" t="s">
        <v>28675</v>
      </c>
      <c r="H4678" t="s">
        <v>9998</v>
      </c>
      <c r="I4678" t="s">
        <v>7352</v>
      </c>
      <c r="J4678" t="s">
        <v>29225</v>
      </c>
      <c r="K4678" t="s">
        <v>37234</v>
      </c>
      <c r="M4678" t="s">
        <v>38417</v>
      </c>
      <c r="N4678" t="s">
        <v>41249</v>
      </c>
      <c r="O4678" t="s">
        <v>41250</v>
      </c>
      <c r="P4678">
        <v>0</v>
      </c>
      <c r="Q4678">
        <v>0</v>
      </c>
      <c r="R4678" t="s">
        <v>41252</v>
      </c>
      <c r="S4678" t="s">
        <v>41383</v>
      </c>
      <c r="T4678" t="s">
        <v>42722</v>
      </c>
      <c r="U4678" t="s">
        <v>47058</v>
      </c>
      <c r="W4678" t="s">
        <v>38417</v>
      </c>
      <c r="X4678" t="s">
        <v>41254</v>
      </c>
    </row>
    <row r="4679" spans="1:24">
      <c r="A4679">
        <f>HYPERLINK("https://www.philgeps.gov.ph/GEPSNONPILOT/Tender/SplashBidNoticeAbstractUI.aspx?menuIndex=3&amp;refID=7076083&amp;Result=3","7076083")</f>
        <v>0</v>
      </c>
      <c r="B4679" t="s">
        <v>1340</v>
      </c>
      <c r="C4679" t="s">
        <v>7864</v>
      </c>
      <c r="D4679" t="s">
        <v>16621</v>
      </c>
      <c r="E4679" t="s">
        <v>20911</v>
      </c>
      <c r="F4679" t="s">
        <v>28669</v>
      </c>
      <c r="G4679" t="s">
        <v>28676</v>
      </c>
      <c r="H4679" t="s">
        <v>9998</v>
      </c>
      <c r="I4679" t="s">
        <v>28704</v>
      </c>
      <c r="J4679" t="s">
        <v>31833</v>
      </c>
      <c r="K4679" t="s">
        <v>37227</v>
      </c>
      <c r="M4679" t="s">
        <v>38895</v>
      </c>
      <c r="N4679" t="s">
        <v>41249</v>
      </c>
      <c r="O4679" t="s">
        <v>41250</v>
      </c>
      <c r="P4679">
        <v>0</v>
      </c>
      <c r="Q4679">
        <v>0</v>
      </c>
      <c r="R4679" t="s">
        <v>41252</v>
      </c>
      <c r="S4679" t="s">
        <v>41383</v>
      </c>
      <c r="T4679" t="s">
        <v>42679</v>
      </c>
      <c r="U4679" t="s">
        <v>47059</v>
      </c>
      <c r="W4679" t="s">
        <v>38895</v>
      </c>
      <c r="X4679" t="s">
        <v>41254</v>
      </c>
    </row>
    <row r="4680" spans="1:24">
      <c r="A4680">
        <f>HYPERLINK("https://www.philgeps.gov.ph/GEPSNONPILOT/Tender/SplashBidNoticeAbstractUI.aspx?menuIndex=3&amp;refID=7044007&amp;Result=3","7044007")</f>
        <v>0</v>
      </c>
      <c r="B4680" t="s">
        <v>425</v>
      </c>
      <c r="C4680" t="s">
        <v>7865</v>
      </c>
      <c r="D4680" t="s">
        <v>16653</v>
      </c>
      <c r="E4680" t="s">
        <v>20912</v>
      </c>
      <c r="F4680" t="s">
        <v>28669</v>
      </c>
      <c r="G4680" t="s">
        <v>28675</v>
      </c>
      <c r="H4680" t="s">
        <v>28686</v>
      </c>
      <c r="I4680" t="s">
        <v>28689</v>
      </c>
      <c r="J4680" t="s">
        <v>28924</v>
      </c>
      <c r="K4680" t="s">
        <v>37213</v>
      </c>
      <c r="M4680" t="s">
        <v>37910</v>
      </c>
      <c r="N4680" t="s">
        <v>41249</v>
      </c>
      <c r="O4680" t="s">
        <v>41250</v>
      </c>
      <c r="P4680">
        <v>0</v>
      </c>
      <c r="Q4680">
        <v>0</v>
      </c>
      <c r="R4680" t="s">
        <v>41254</v>
      </c>
      <c r="S4680" t="s">
        <v>41425</v>
      </c>
      <c r="T4680" t="s">
        <v>42688</v>
      </c>
      <c r="U4680" t="s">
        <v>47060</v>
      </c>
      <c r="W4680" t="s">
        <v>37910</v>
      </c>
      <c r="X4680" t="s">
        <v>41269</v>
      </c>
    </row>
    <row r="4681" spans="1:24">
      <c r="A4681">
        <f>HYPERLINK("https://www.philgeps.gov.ph/GEPSNONPILOT/Tender/SplashBidNoticeAbstractUI.aspx?menuIndex=3&amp;refID=6986873&amp;Result=3","6986873")</f>
        <v>0</v>
      </c>
      <c r="B4681" t="s">
        <v>1669</v>
      </c>
      <c r="C4681" t="s">
        <v>7866</v>
      </c>
      <c r="E4681" t="s">
        <v>20913</v>
      </c>
      <c r="F4681" t="s">
        <v>28669</v>
      </c>
      <c r="G4681" t="s">
        <v>28676</v>
      </c>
      <c r="H4681" t="s">
        <v>9998</v>
      </c>
      <c r="I4681" t="s">
        <v>28717</v>
      </c>
      <c r="J4681" t="s">
        <v>28877</v>
      </c>
      <c r="K4681" t="s">
        <v>37206</v>
      </c>
      <c r="M4681" t="s">
        <v>39261</v>
      </c>
      <c r="N4681" t="s">
        <v>41249</v>
      </c>
      <c r="O4681" t="s">
        <v>41250</v>
      </c>
      <c r="P4681">
        <v>0</v>
      </c>
      <c r="Q4681">
        <v>8</v>
      </c>
      <c r="R4681" t="s">
        <v>41254</v>
      </c>
      <c r="S4681" t="s">
        <v>41425</v>
      </c>
      <c r="T4681" t="s">
        <v>42771</v>
      </c>
      <c r="U4681" t="s">
        <v>47061</v>
      </c>
      <c r="W4681" t="s">
        <v>39261</v>
      </c>
      <c r="X4681" t="s">
        <v>41367</v>
      </c>
    </row>
    <row r="4682" spans="1:24">
      <c r="A4682">
        <f>HYPERLINK("https://www.philgeps.gov.ph/GEPSNONPILOT/Tender/SplashBidNoticeAbstractUI.aspx?menuIndex=3&amp;refID=7035276&amp;Result=3","7035276")</f>
        <v>0</v>
      </c>
      <c r="B4682" t="s">
        <v>1671</v>
      </c>
      <c r="C4682" t="s">
        <v>7867</v>
      </c>
      <c r="D4682" t="s">
        <v>16611</v>
      </c>
      <c r="E4682" t="s">
        <v>20914</v>
      </c>
      <c r="F4682" t="s">
        <v>28669</v>
      </c>
      <c r="G4682" t="s">
        <v>28675</v>
      </c>
      <c r="H4682" t="s">
        <v>9998</v>
      </c>
      <c r="I4682" t="s">
        <v>28798</v>
      </c>
      <c r="J4682" t="s">
        <v>31834</v>
      </c>
      <c r="K4682" t="s">
        <v>37215</v>
      </c>
      <c r="M4682" t="s">
        <v>39263</v>
      </c>
      <c r="N4682" t="s">
        <v>41249</v>
      </c>
      <c r="O4682" t="s">
        <v>41250</v>
      </c>
      <c r="P4682">
        <v>0</v>
      </c>
      <c r="Q4682">
        <v>5</v>
      </c>
      <c r="R4682" t="s">
        <v>41254</v>
      </c>
      <c r="S4682" t="s">
        <v>41425</v>
      </c>
      <c r="T4682" t="s">
        <v>42899</v>
      </c>
      <c r="U4682" t="s">
        <v>47062</v>
      </c>
      <c r="V4682" t="s">
        <v>54763</v>
      </c>
      <c r="W4682" t="s">
        <v>39263</v>
      </c>
      <c r="X4682" t="s">
        <v>41275</v>
      </c>
    </row>
    <row r="4683" spans="1:24">
      <c r="A4683">
        <f>HYPERLINK("https://www.philgeps.gov.ph/GEPSNONPILOT/Tender/SplashBidNoticeAbstractUI.aspx?menuIndex=3&amp;refID=7030076&amp;Result=3","7030076")</f>
        <v>0</v>
      </c>
      <c r="B4683" t="s">
        <v>962</v>
      </c>
      <c r="C4683" t="s">
        <v>7868</v>
      </c>
      <c r="D4683" t="s">
        <v>16611</v>
      </c>
      <c r="E4683" t="s">
        <v>20915</v>
      </c>
      <c r="F4683" t="s">
        <v>28669</v>
      </c>
      <c r="G4683" t="s">
        <v>28675</v>
      </c>
      <c r="H4683" t="s">
        <v>9998</v>
      </c>
      <c r="I4683" t="s">
        <v>28687</v>
      </c>
      <c r="J4683" t="s">
        <v>31835</v>
      </c>
      <c r="K4683" t="s">
        <v>37221</v>
      </c>
      <c r="M4683" t="s">
        <v>38487</v>
      </c>
      <c r="N4683" t="s">
        <v>41249</v>
      </c>
      <c r="O4683" t="s">
        <v>41250</v>
      </c>
      <c r="P4683">
        <v>0</v>
      </c>
      <c r="Q4683">
        <v>6</v>
      </c>
      <c r="R4683" t="s">
        <v>41254</v>
      </c>
      <c r="S4683" t="s">
        <v>41425</v>
      </c>
      <c r="T4683" t="s">
        <v>42754</v>
      </c>
      <c r="U4683" t="s">
        <v>47063</v>
      </c>
      <c r="W4683" t="s">
        <v>55946</v>
      </c>
      <c r="X4683" t="s">
        <v>41278</v>
      </c>
    </row>
    <row r="4684" spans="1:24">
      <c r="A4684">
        <f>HYPERLINK("https://www.philgeps.gov.ph/GEPSNONPILOT/Tender/SplashBidNoticeAbstractUI.aspx?menuIndex=3&amp;refID=7076067&amp;Result=3","7076067")</f>
        <v>0</v>
      </c>
      <c r="B4684" t="s">
        <v>109</v>
      </c>
      <c r="C4684" t="s">
        <v>7869</v>
      </c>
      <c r="D4684" t="s">
        <v>16608</v>
      </c>
      <c r="E4684" t="s">
        <v>20916</v>
      </c>
      <c r="F4684" t="s">
        <v>28669</v>
      </c>
      <c r="G4684" t="s">
        <v>28676</v>
      </c>
      <c r="H4684" t="s">
        <v>9998</v>
      </c>
      <c r="I4684" t="s">
        <v>6128</v>
      </c>
      <c r="J4684" t="s">
        <v>29355</v>
      </c>
      <c r="K4684" t="s">
        <v>37205</v>
      </c>
      <c r="M4684" t="s">
        <v>37585</v>
      </c>
      <c r="N4684" t="s">
        <v>41249</v>
      </c>
      <c r="O4684" t="s">
        <v>41250</v>
      </c>
      <c r="P4684">
        <v>0</v>
      </c>
      <c r="Q4684">
        <v>1</v>
      </c>
      <c r="R4684" t="s">
        <v>41252</v>
      </c>
      <c r="S4684" t="s">
        <v>41383</v>
      </c>
      <c r="T4684" t="s">
        <v>42701</v>
      </c>
      <c r="U4684" t="s">
        <v>47064</v>
      </c>
      <c r="W4684" t="s">
        <v>37585</v>
      </c>
      <c r="X4684" t="s">
        <v>41254</v>
      </c>
    </row>
    <row r="4685" spans="1:24">
      <c r="A4685">
        <f>HYPERLINK("https://www.philgeps.gov.ph/GEPSNONPILOT/Tender/SplashBidNoticeAbstractUI.aspx?menuIndex=3&amp;refID=7023306&amp;Result=3","7023306")</f>
        <v>0</v>
      </c>
      <c r="B4685" t="s">
        <v>1672</v>
      </c>
      <c r="C4685" t="s">
        <v>7870</v>
      </c>
      <c r="D4685" t="s">
        <v>16616</v>
      </c>
      <c r="E4685" t="s">
        <v>20917</v>
      </c>
      <c r="F4685" t="s">
        <v>28671</v>
      </c>
      <c r="G4685" t="s">
        <v>28677</v>
      </c>
      <c r="H4685" t="s">
        <v>9998</v>
      </c>
      <c r="I4685" t="s">
        <v>6128</v>
      </c>
      <c r="J4685" t="s">
        <v>31836</v>
      </c>
      <c r="K4685" t="s">
        <v>37204</v>
      </c>
      <c r="M4685" t="s">
        <v>39264</v>
      </c>
      <c r="N4685" t="s">
        <v>41249</v>
      </c>
      <c r="O4685" t="s">
        <v>41250</v>
      </c>
      <c r="P4685">
        <v>0</v>
      </c>
      <c r="Q4685">
        <v>1</v>
      </c>
      <c r="R4685" t="s">
        <v>41254</v>
      </c>
      <c r="S4685" t="s">
        <v>41425</v>
      </c>
      <c r="T4685" t="s">
        <v>42884</v>
      </c>
      <c r="U4685" t="s">
        <v>47065</v>
      </c>
      <c r="W4685" t="s">
        <v>39264</v>
      </c>
      <c r="X4685" t="s">
        <v>41281</v>
      </c>
    </row>
    <row r="4686" spans="1:24">
      <c r="A4686">
        <f>HYPERLINK("https://www.philgeps.gov.ph/GEPSNONPILOT/Tender/SplashBidNoticeAbstractUI.aspx?menuIndex=3&amp;refID=7076082&amp;Result=3","7076082")</f>
        <v>0</v>
      </c>
      <c r="B4686" t="s">
        <v>896</v>
      </c>
      <c r="C4686" t="s">
        <v>7871</v>
      </c>
      <c r="D4686" t="s">
        <v>16626</v>
      </c>
      <c r="E4686" t="s">
        <v>20918</v>
      </c>
      <c r="F4686" t="s">
        <v>28669</v>
      </c>
      <c r="G4686" t="s">
        <v>28675</v>
      </c>
      <c r="H4686" t="s">
        <v>28684</v>
      </c>
      <c r="I4686" t="s">
        <v>7352</v>
      </c>
      <c r="J4686" t="s">
        <v>29225</v>
      </c>
      <c r="K4686" t="s">
        <v>37234</v>
      </c>
      <c r="M4686" t="s">
        <v>38417</v>
      </c>
      <c r="N4686" t="s">
        <v>41249</v>
      </c>
      <c r="O4686" t="s">
        <v>41250</v>
      </c>
      <c r="P4686">
        <v>0</v>
      </c>
      <c r="Q4686">
        <v>0</v>
      </c>
      <c r="R4686" t="s">
        <v>41252</v>
      </c>
      <c r="S4686" t="s">
        <v>41383</v>
      </c>
      <c r="T4686" t="s">
        <v>42722</v>
      </c>
      <c r="U4686" t="s">
        <v>47066</v>
      </c>
      <c r="W4686" t="s">
        <v>38417</v>
      </c>
      <c r="X4686" t="s">
        <v>41254</v>
      </c>
    </row>
    <row r="4687" spans="1:24">
      <c r="A4687">
        <f>HYPERLINK("https://www.philgeps.gov.ph/GEPSNONPILOT/Tender/SplashBidNoticeAbstractUI.aspx?menuIndex=3&amp;refID=7076055&amp;Result=3","7076055")</f>
        <v>0</v>
      </c>
      <c r="B4687" t="s">
        <v>1658</v>
      </c>
      <c r="C4687" t="s">
        <v>7872</v>
      </c>
      <c r="D4687" t="s">
        <v>16624</v>
      </c>
      <c r="E4687" t="s">
        <v>20919</v>
      </c>
      <c r="F4687" t="s">
        <v>28669</v>
      </c>
      <c r="G4687" t="s">
        <v>28677</v>
      </c>
      <c r="H4687" t="s">
        <v>9998</v>
      </c>
      <c r="I4687" t="s">
        <v>7352</v>
      </c>
      <c r="J4687" t="s">
        <v>31837</v>
      </c>
      <c r="K4687" t="s">
        <v>37206</v>
      </c>
      <c r="M4687" t="s">
        <v>39249</v>
      </c>
      <c r="N4687" t="s">
        <v>41249</v>
      </c>
      <c r="O4687" t="s">
        <v>41250</v>
      </c>
      <c r="P4687">
        <v>0</v>
      </c>
      <c r="Q4687">
        <v>0</v>
      </c>
      <c r="R4687" t="s">
        <v>41252</v>
      </c>
      <c r="S4687" t="s">
        <v>41383</v>
      </c>
      <c r="T4687" t="s">
        <v>42679</v>
      </c>
      <c r="U4687" t="s">
        <v>47067</v>
      </c>
      <c r="W4687" t="s">
        <v>39249</v>
      </c>
      <c r="X4687" t="s">
        <v>41254</v>
      </c>
    </row>
    <row r="4688" spans="1:24">
      <c r="A4688">
        <f>HYPERLINK("https://www.philgeps.gov.ph/GEPSNONPILOT/Tender/SplashBidNoticeAbstractUI.aspx?menuIndex=3&amp;refID=7076072&amp;Result=3","7076072")</f>
        <v>0</v>
      </c>
      <c r="B4688" t="s">
        <v>1600</v>
      </c>
      <c r="C4688" t="s">
        <v>7873</v>
      </c>
      <c r="D4688" t="s">
        <v>16608</v>
      </c>
      <c r="E4688" t="s">
        <v>20920</v>
      </c>
      <c r="F4688" t="s">
        <v>28669</v>
      </c>
      <c r="G4688" t="s">
        <v>28675</v>
      </c>
      <c r="H4688" t="s">
        <v>28686</v>
      </c>
      <c r="I4688" t="s">
        <v>28689</v>
      </c>
      <c r="J4688" t="s">
        <v>31838</v>
      </c>
      <c r="K4688" t="s">
        <v>37220</v>
      </c>
      <c r="M4688" t="s">
        <v>39183</v>
      </c>
      <c r="N4688" t="s">
        <v>41249</v>
      </c>
      <c r="O4688" t="s">
        <v>41250</v>
      </c>
      <c r="P4688">
        <v>0</v>
      </c>
      <c r="Q4688">
        <v>3</v>
      </c>
      <c r="R4688" t="s">
        <v>41252</v>
      </c>
      <c r="S4688" t="s">
        <v>41383</v>
      </c>
      <c r="T4688" t="s">
        <v>42704</v>
      </c>
      <c r="U4688" t="s">
        <v>47068</v>
      </c>
      <c r="V4688" t="s">
        <v>54738</v>
      </c>
      <c r="W4688" t="s">
        <v>39183</v>
      </c>
      <c r="X4688" t="s">
        <v>41254</v>
      </c>
    </row>
    <row r="4689" spans="1:24">
      <c r="A4689">
        <f>HYPERLINK("https://www.philgeps.gov.ph/GEPSNONPILOT/Tender/SplashBidNoticeAbstractUI.aspx?menuIndex=3&amp;refID=7058177&amp;Result=3","7058177")</f>
        <v>0</v>
      </c>
      <c r="B4689" t="s">
        <v>313</v>
      </c>
      <c r="C4689" t="s">
        <v>7874</v>
      </c>
      <c r="D4689" t="s">
        <v>16642</v>
      </c>
      <c r="E4689" t="s">
        <v>20921</v>
      </c>
      <c r="F4689" t="s">
        <v>28669</v>
      </c>
      <c r="G4689" t="s">
        <v>28675</v>
      </c>
      <c r="H4689" t="s">
        <v>28686</v>
      </c>
      <c r="I4689" t="s">
        <v>28689</v>
      </c>
      <c r="J4689" t="s">
        <v>31839</v>
      </c>
      <c r="K4689" t="s">
        <v>37222</v>
      </c>
      <c r="M4689" t="s">
        <v>39265</v>
      </c>
      <c r="N4689" t="s">
        <v>41249</v>
      </c>
      <c r="O4689" t="s">
        <v>41250</v>
      </c>
      <c r="P4689">
        <v>0</v>
      </c>
      <c r="Q4689">
        <v>0</v>
      </c>
      <c r="R4689" t="s">
        <v>41254</v>
      </c>
      <c r="S4689" t="s">
        <v>41425</v>
      </c>
      <c r="T4689" t="s">
        <v>42675</v>
      </c>
      <c r="U4689" t="s">
        <v>47069</v>
      </c>
      <c r="W4689" t="s">
        <v>39265</v>
      </c>
      <c r="X4689" t="s">
        <v>41263</v>
      </c>
    </row>
    <row r="4690" spans="1:24">
      <c r="A4690">
        <f>HYPERLINK("https://www.philgeps.gov.ph/GEPSNONPILOT/Tender/SplashBidNoticeAbstractUI.aspx?menuIndex=3&amp;refID=7058176&amp;Result=3","7058176")</f>
        <v>0</v>
      </c>
      <c r="B4690" t="s">
        <v>313</v>
      </c>
      <c r="C4690" t="s">
        <v>7875</v>
      </c>
      <c r="D4690" t="s">
        <v>16642</v>
      </c>
      <c r="E4690" t="s">
        <v>20922</v>
      </c>
      <c r="F4690" t="s">
        <v>28669</v>
      </c>
      <c r="G4690" t="s">
        <v>28675</v>
      </c>
      <c r="H4690" t="s">
        <v>28686</v>
      </c>
      <c r="I4690" t="s">
        <v>28689</v>
      </c>
      <c r="J4690" t="s">
        <v>31840</v>
      </c>
      <c r="K4690" t="s">
        <v>37207</v>
      </c>
      <c r="M4690" t="s">
        <v>39265</v>
      </c>
      <c r="N4690" t="s">
        <v>41249</v>
      </c>
      <c r="O4690" t="s">
        <v>41250</v>
      </c>
      <c r="P4690">
        <v>0</v>
      </c>
      <c r="Q4690">
        <v>0</v>
      </c>
      <c r="R4690" t="s">
        <v>41254</v>
      </c>
      <c r="S4690" t="s">
        <v>41425</v>
      </c>
      <c r="T4690" t="s">
        <v>42675</v>
      </c>
      <c r="U4690" t="s">
        <v>47069</v>
      </c>
      <c r="W4690" t="s">
        <v>39265</v>
      </c>
      <c r="X4690" t="s">
        <v>41263</v>
      </c>
    </row>
    <row r="4691" spans="1:24">
      <c r="A4691">
        <f>HYPERLINK("https://www.philgeps.gov.ph/GEPSNONPILOT/Tender/SplashBidNoticeAbstractUI.aspx?menuIndex=3&amp;refID=7058174&amp;Result=3","7058174")</f>
        <v>0</v>
      </c>
      <c r="B4691" t="s">
        <v>313</v>
      </c>
      <c r="C4691" t="s">
        <v>7876</v>
      </c>
      <c r="D4691" t="s">
        <v>16642</v>
      </c>
      <c r="E4691" t="s">
        <v>20923</v>
      </c>
      <c r="F4691" t="s">
        <v>28669</v>
      </c>
      <c r="G4691" t="s">
        <v>28675</v>
      </c>
      <c r="H4691" t="s">
        <v>28686</v>
      </c>
      <c r="I4691" t="s">
        <v>28689</v>
      </c>
      <c r="J4691" t="s">
        <v>28877</v>
      </c>
      <c r="K4691" t="s">
        <v>37302</v>
      </c>
      <c r="M4691" t="s">
        <v>39265</v>
      </c>
      <c r="N4691" t="s">
        <v>41249</v>
      </c>
      <c r="O4691" t="s">
        <v>41250</v>
      </c>
      <c r="P4691">
        <v>0</v>
      </c>
      <c r="Q4691">
        <v>0</v>
      </c>
      <c r="R4691" t="s">
        <v>41254</v>
      </c>
      <c r="S4691" t="s">
        <v>41425</v>
      </c>
      <c r="T4691" t="s">
        <v>42675</v>
      </c>
      <c r="U4691" t="s">
        <v>47069</v>
      </c>
      <c r="W4691" t="s">
        <v>39265</v>
      </c>
      <c r="X4691" t="s">
        <v>41263</v>
      </c>
    </row>
    <row r="4692" spans="1:24">
      <c r="A4692">
        <f>HYPERLINK("https://www.philgeps.gov.ph/GEPSNONPILOT/Tender/SplashBidNoticeAbstractUI.aspx?menuIndex=3&amp;refID=7044005&amp;Result=3","7044005")</f>
        <v>0</v>
      </c>
      <c r="B4692" t="s">
        <v>425</v>
      </c>
      <c r="C4692" t="s">
        <v>7877</v>
      </c>
      <c r="D4692" t="s">
        <v>16653</v>
      </c>
      <c r="E4692" t="s">
        <v>20924</v>
      </c>
      <c r="F4692" t="s">
        <v>28669</v>
      </c>
      <c r="G4692" t="s">
        <v>28675</v>
      </c>
      <c r="H4692" t="s">
        <v>28686</v>
      </c>
      <c r="I4692" t="s">
        <v>28689</v>
      </c>
      <c r="J4692" t="s">
        <v>28924</v>
      </c>
      <c r="K4692" t="s">
        <v>37213</v>
      </c>
      <c r="M4692" t="s">
        <v>37910</v>
      </c>
      <c r="N4692" t="s">
        <v>41249</v>
      </c>
      <c r="O4692" t="s">
        <v>41250</v>
      </c>
      <c r="P4692">
        <v>0</v>
      </c>
      <c r="Q4692">
        <v>0</v>
      </c>
      <c r="R4692" t="s">
        <v>41254</v>
      </c>
      <c r="S4692" t="s">
        <v>41425</v>
      </c>
      <c r="T4692" t="s">
        <v>42688</v>
      </c>
      <c r="U4692" t="s">
        <v>47070</v>
      </c>
      <c r="W4692" t="s">
        <v>37910</v>
      </c>
      <c r="X4692" t="s">
        <v>41269</v>
      </c>
    </row>
    <row r="4693" spans="1:24">
      <c r="A4693">
        <f>HYPERLINK("https://www.philgeps.gov.ph/GEPSNONPILOT/Tender/SplashBidNoticeAbstractUI.aspx?menuIndex=3&amp;refID=7058169&amp;Result=3","7058169")</f>
        <v>0</v>
      </c>
      <c r="B4693" t="s">
        <v>313</v>
      </c>
      <c r="C4693" t="s">
        <v>7878</v>
      </c>
      <c r="D4693" t="s">
        <v>16642</v>
      </c>
      <c r="E4693" t="s">
        <v>20925</v>
      </c>
      <c r="F4693" t="s">
        <v>28669</v>
      </c>
      <c r="G4693" t="s">
        <v>28675</v>
      </c>
      <c r="H4693" t="s">
        <v>28686</v>
      </c>
      <c r="I4693" t="s">
        <v>28689</v>
      </c>
      <c r="J4693" t="s">
        <v>28914</v>
      </c>
      <c r="K4693" t="s">
        <v>37206</v>
      </c>
      <c r="M4693" t="s">
        <v>39265</v>
      </c>
      <c r="N4693" t="s">
        <v>41249</v>
      </c>
      <c r="O4693" t="s">
        <v>41250</v>
      </c>
      <c r="P4693">
        <v>0</v>
      </c>
      <c r="Q4693">
        <v>0</v>
      </c>
      <c r="R4693" t="s">
        <v>41254</v>
      </c>
      <c r="S4693" t="s">
        <v>41425</v>
      </c>
      <c r="T4693" t="s">
        <v>42675</v>
      </c>
      <c r="U4693" t="s">
        <v>47069</v>
      </c>
      <c r="W4693" t="s">
        <v>39265</v>
      </c>
      <c r="X4693" t="s">
        <v>41263</v>
      </c>
    </row>
    <row r="4694" spans="1:24">
      <c r="A4694">
        <f>HYPERLINK("https://www.philgeps.gov.ph/GEPSNONPILOT/Tender/SplashBidNoticeAbstractUI.aspx?menuIndex=3&amp;refID=7058163&amp;Result=3","7058163")</f>
        <v>0</v>
      </c>
      <c r="B4694" t="s">
        <v>313</v>
      </c>
      <c r="C4694" t="s">
        <v>7879</v>
      </c>
      <c r="D4694" t="s">
        <v>16642</v>
      </c>
      <c r="E4694" t="s">
        <v>20926</v>
      </c>
      <c r="F4694" t="s">
        <v>28669</v>
      </c>
      <c r="G4694" t="s">
        <v>28675</v>
      </c>
      <c r="H4694" t="s">
        <v>28686</v>
      </c>
      <c r="I4694" t="s">
        <v>28689</v>
      </c>
      <c r="J4694" t="s">
        <v>29655</v>
      </c>
      <c r="K4694" t="s">
        <v>37244</v>
      </c>
      <c r="M4694" t="s">
        <v>39265</v>
      </c>
      <c r="N4694" t="s">
        <v>41249</v>
      </c>
      <c r="O4694" t="s">
        <v>41250</v>
      </c>
      <c r="P4694">
        <v>0</v>
      </c>
      <c r="Q4694">
        <v>1</v>
      </c>
      <c r="R4694" t="s">
        <v>41254</v>
      </c>
      <c r="S4694" t="s">
        <v>41425</v>
      </c>
      <c r="T4694" t="s">
        <v>42675</v>
      </c>
      <c r="U4694" t="s">
        <v>47069</v>
      </c>
      <c r="W4694" t="s">
        <v>39265</v>
      </c>
      <c r="X4694" t="s">
        <v>41263</v>
      </c>
    </row>
    <row r="4695" spans="1:24">
      <c r="A4695">
        <f>HYPERLINK("https://www.philgeps.gov.ph/GEPSNONPILOT/Tender/SplashBidNoticeAbstractUI.aspx?menuIndex=3&amp;refID=7061300&amp;Result=3","7061300")</f>
        <v>0</v>
      </c>
      <c r="B4695" t="s">
        <v>1379</v>
      </c>
      <c r="C4695" t="s">
        <v>7880</v>
      </c>
      <c r="D4695" t="s">
        <v>16648</v>
      </c>
      <c r="E4695" t="s">
        <v>20927</v>
      </c>
      <c r="F4695" t="s">
        <v>28669</v>
      </c>
      <c r="G4695" t="s">
        <v>28675</v>
      </c>
      <c r="H4695" t="s">
        <v>28686</v>
      </c>
      <c r="I4695" t="s">
        <v>28689</v>
      </c>
      <c r="J4695" t="s">
        <v>31841</v>
      </c>
      <c r="K4695" t="s">
        <v>37258</v>
      </c>
      <c r="M4695" t="s">
        <v>38938</v>
      </c>
      <c r="N4695" t="s">
        <v>41249</v>
      </c>
      <c r="O4695" t="s">
        <v>41250</v>
      </c>
      <c r="P4695">
        <v>0</v>
      </c>
      <c r="Q4695">
        <v>0</v>
      </c>
      <c r="R4695" t="s">
        <v>41254</v>
      </c>
      <c r="S4695" t="s">
        <v>41425</v>
      </c>
      <c r="T4695" t="s">
        <v>42744</v>
      </c>
      <c r="U4695" t="s">
        <v>47071</v>
      </c>
      <c r="W4695" t="s">
        <v>38938</v>
      </c>
      <c r="X4695" t="s">
        <v>41261</v>
      </c>
    </row>
    <row r="4696" spans="1:24">
      <c r="A4696">
        <f>HYPERLINK("https://www.philgeps.gov.ph/GEPSNONPILOT/Tender/SplashBidNoticeAbstractUI.aspx?menuIndex=3&amp;refID=7058251&amp;Result=3","7058251")</f>
        <v>0</v>
      </c>
      <c r="B4696" t="s">
        <v>313</v>
      </c>
      <c r="C4696" t="s">
        <v>7881</v>
      </c>
      <c r="D4696" t="s">
        <v>16642</v>
      </c>
      <c r="E4696" t="s">
        <v>20928</v>
      </c>
      <c r="F4696" t="s">
        <v>28669</v>
      </c>
      <c r="G4696" t="s">
        <v>28675</v>
      </c>
      <c r="H4696" t="s">
        <v>28686</v>
      </c>
      <c r="I4696" t="s">
        <v>28689</v>
      </c>
      <c r="J4696" t="s">
        <v>31842</v>
      </c>
      <c r="K4696" t="s">
        <v>37317</v>
      </c>
      <c r="M4696" t="s">
        <v>39265</v>
      </c>
      <c r="N4696" t="s">
        <v>41249</v>
      </c>
      <c r="O4696" t="s">
        <v>41250</v>
      </c>
      <c r="P4696">
        <v>0</v>
      </c>
      <c r="Q4696">
        <v>2</v>
      </c>
      <c r="R4696" t="s">
        <v>41254</v>
      </c>
      <c r="S4696" t="s">
        <v>41425</v>
      </c>
      <c r="T4696" t="s">
        <v>42820</v>
      </c>
      <c r="U4696" t="s">
        <v>47069</v>
      </c>
      <c r="W4696" t="s">
        <v>39265</v>
      </c>
      <c r="X4696" t="s">
        <v>41263</v>
      </c>
    </row>
    <row r="4697" spans="1:24">
      <c r="A4697">
        <f>HYPERLINK("https://www.philgeps.gov.ph/GEPSNONPILOT/Tender/SplashBidNoticeAbstractUI.aspx?menuIndex=3&amp;refID=7058191&amp;Result=3","7058191")</f>
        <v>0</v>
      </c>
      <c r="B4697" t="s">
        <v>313</v>
      </c>
      <c r="C4697" t="s">
        <v>7882</v>
      </c>
      <c r="D4697" t="s">
        <v>16642</v>
      </c>
      <c r="E4697" t="s">
        <v>20929</v>
      </c>
      <c r="F4697" t="s">
        <v>28669</v>
      </c>
      <c r="G4697" t="s">
        <v>28675</v>
      </c>
      <c r="H4697" t="s">
        <v>28686</v>
      </c>
      <c r="I4697" t="s">
        <v>28689</v>
      </c>
      <c r="J4697" t="s">
        <v>28914</v>
      </c>
      <c r="K4697" t="s">
        <v>37269</v>
      </c>
      <c r="M4697" t="s">
        <v>39265</v>
      </c>
      <c r="N4697" t="s">
        <v>41249</v>
      </c>
      <c r="O4697" t="s">
        <v>41250</v>
      </c>
      <c r="P4697">
        <v>0</v>
      </c>
      <c r="Q4697">
        <v>0</v>
      </c>
      <c r="R4697" t="s">
        <v>41254</v>
      </c>
      <c r="S4697" t="s">
        <v>41425</v>
      </c>
      <c r="T4697" t="s">
        <v>42675</v>
      </c>
      <c r="U4697" t="s">
        <v>47069</v>
      </c>
      <c r="W4697" t="s">
        <v>39265</v>
      </c>
      <c r="X4697" t="s">
        <v>41263</v>
      </c>
    </row>
    <row r="4698" spans="1:24">
      <c r="A4698">
        <f>HYPERLINK("https://www.philgeps.gov.ph/GEPSNONPILOT/Tender/SplashBidNoticeAbstractUI.aspx?menuIndex=3&amp;refID=7044009&amp;Result=3","7044009")</f>
        <v>0</v>
      </c>
      <c r="B4698" t="s">
        <v>425</v>
      </c>
      <c r="C4698" t="s">
        <v>7883</v>
      </c>
      <c r="D4698" t="s">
        <v>16653</v>
      </c>
      <c r="E4698" t="s">
        <v>20930</v>
      </c>
      <c r="F4698" t="s">
        <v>28669</v>
      </c>
      <c r="G4698" t="s">
        <v>28675</v>
      </c>
      <c r="H4698" t="s">
        <v>28686</v>
      </c>
      <c r="I4698" t="s">
        <v>28689</v>
      </c>
      <c r="J4698" t="s">
        <v>28836</v>
      </c>
      <c r="K4698" t="s">
        <v>37214</v>
      </c>
      <c r="M4698" t="s">
        <v>37910</v>
      </c>
      <c r="N4698" t="s">
        <v>41249</v>
      </c>
      <c r="O4698" t="s">
        <v>41250</v>
      </c>
      <c r="P4698">
        <v>0</v>
      </c>
      <c r="Q4698">
        <v>0</v>
      </c>
      <c r="R4698" t="s">
        <v>41254</v>
      </c>
      <c r="S4698" t="s">
        <v>41425</v>
      </c>
      <c r="T4698" t="s">
        <v>42688</v>
      </c>
      <c r="U4698" t="s">
        <v>47072</v>
      </c>
      <c r="W4698" t="s">
        <v>37910</v>
      </c>
      <c r="X4698" t="s">
        <v>41269</v>
      </c>
    </row>
    <row r="4699" spans="1:24">
      <c r="A4699">
        <f>HYPERLINK("https://www.philgeps.gov.ph/GEPSNONPILOT/Tender/SplashBidNoticeAbstractUI.aspx?menuIndex=3&amp;refID=6469261&amp;Result=3","6469261")</f>
        <v>0</v>
      </c>
      <c r="B4699" t="s">
        <v>1670</v>
      </c>
      <c r="C4699" t="s">
        <v>7884</v>
      </c>
      <c r="D4699" t="s">
        <v>16678</v>
      </c>
      <c r="E4699" t="s">
        <v>17029</v>
      </c>
      <c r="F4699" t="s">
        <v>28669</v>
      </c>
      <c r="G4699" t="s">
        <v>28675</v>
      </c>
      <c r="H4699" t="s">
        <v>9998</v>
      </c>
      <c r="I4699" t="s">
        <v>7352</v>
      </c>
      <c r="J4699" t="s">
        <v>30137</v>
      </c>
      <c r="K4699" t="s">
        <v>37206</v>
      </c>
      <c r="M4699" t="s">
        <v>39262</v>
      </c>
      <c r="N4699" t="s">
        <v>41249</v>
      </c>
      <c r="O4699" t="s">
        <v>41250</v>
      </c>
      <c r="P4699">
        <v>0</v>
      </c>
      <c r="Q4699">
        <v>0</v>
      </c>
      <c r="R4699" t="s">
        <v>41254</v>
      </c>
      <c r="S4699" t="s">
        <v>41425</v>
      </c>
      <c r="T4699" t="s">
        <v>42860</v>
      </c>
      <c r="U4699" t="s">
        <v>47073</v>
      </c>
      <c r="W4699" t="s">
        <v>39262</v>
      </c>
      <c r="X4699" t="s">
        <v>56044</v>
      </c>
    </row>
    <row r="4700" spans="1:24">
      <c r="A4700">
        <f>HYPERLINK("https://www.philgeps.gov.ph/GEPSNONPILOT/Tender/SplashBidNoticeAbstractUI.aspx?menuIndex=3&amp;refID=7058181&amp;Result=3","7058181")</f>
        <v>0</v>
      </c>
      <c r="B4700" t="s">
        <v>313</v>
      </c>
      <c r="C4700" t="s">
        <v>7885</v>
      </c>
      <c r="D4700" t="s">
        <v>16642</v>
      </c>
      <c r="E4700" t="s">
        <v>20931</v>
      </c>
      <c r="F4700" t="s">
        <v>28669</v>
      </c>
      <c r="G4700" t="s">
        <v>28675</v>
      </c>
      <c r="H4700" t="s">
        <v>28686</v>
      </c>
      <c r="I4700" t="s">
        <v>28689</v>
      </c>
      <c r="J4700" t="s">
        <v>31843</v>
      </c>
      <c r="K4700" t="s">
        <v>37258</v>
      </c>
      <c r="M4700" t="s">
        <v>39265</v>
      </c>
      <c r="N4700" t="s">
        <v>41249</v>
      </c>
      <c r="O4700" t="s">
        <v>41250</v>
      </c>
      <c r="P4700">
        <v>0</v>
      </c>
      <c r="Q4700">
        <v>0</v>
      </c>
      <c r="R4700" t="s">
        <v>41254</v>
      </c>
      <c r="S4700" t="s">
        <v>41425</v>
      </c>
      <c r="T4700" t="s">
        <v>42675</v>
      </c>
      <c r="U4700" t="s">
        <v>47069</v>
      </c>
      <c r="W4700" t="s">
        <v>39265</v>
      </c>
      <c r="X4700" t="s">
        <v>41263</v>
      </c>
    </row>
    <row r="4701" spans="1:24">
      <c r="A4701">
        <f>HYPERLINK("https://www.philgeps.gov.ph/GEPSNONPILOT/Tender/SplashBidNoticeAbstractUI.aspx?menuIndex=3&amp;refID=7076068&amp;Result=3","7076068")</f>
        <v>0</v>
      </c>
      <c r="B4701" t="s">
        <v>1673</v>
      </c>
      <c r="C4701" t="s">
        <v>7886</v>
      </c>
      <c r="D4701" t="s">
        <v>16616</v>
      </c>
      <c r="E4701" t="s">
        <v>20932</v>
      </c>
      <c r="F4701" t="s">
        <v>28669</v>
      </c>
      <c r="G4701" t="s">
        <v>28675</v>
      </c>
      <c r="H4701" t="s">
        <v>9998</v>
      </c>
      <c r="I4701" t="s">
        <v>28690</v>
      </c>
      <c r="J4701" t="s">
        <v>31844</v>
      </c>
      <c r="K4701" t="s">
        <v>37209</v>
      </c>
      <c r="M4701" t="s">
        <v>39266</v>
      </c>
      <c r="N4701" t="s">
        <v>41249</v>
      </c>
      <c r="O4701" t="s">
        <v>41250</v>
      </c>
      <c r="P4701">
        <v>0</v>
      </c>
      <c r="Q4701">
        <v>13</v>
      </c>
      <c r="R4701" t="s">
        <v>41252</v>
      </c>
      <c r="S4701" t="s">
        <v>41383</v>
      </c>
      <c r="T4701" t="s">
        <v>42716</v>
      </c>
      <c r="U4701" t="s">
        <v>47074</v>
      </c>
      <c r="W4701" t="s">
        <v>39266</v>
      </c>
      <c r="X4701" t="s">
        <v>41254</v>
      </c>
    </row>
    <row r="4702" spans="1:24">
      <c r="A4702">
        <f>HYPERLINK("https://www.philgeps.gov.ph/GEPSNONPILOT/Tender/SplashBidNoticeAbstractUI.aspx?menuIndex=3&amp;refID=7076057&amp;Result=3","7076057")</f>
        <v>0</v>
      </c>
      <c r="B4702" t="s">
        <v>278</v>
      </c>
      <c r="C4702" t="s">
        <v>7887</v>
      </c>
      <c r="D4702" t="s">
        <v>16608</v>
      </c>
      <c r="E4702" t="s">
        <v>20933</v>
      </c>
      <c r="F4702" t="s">
        <v>28669</v>
      </c>
      <c r="G4702" t="s">
        <v>28676</v>
      </c>
      <c r="H4702" t="s">
        <v>9998</v>
      </c>
      <c r="I4702" t="s">
        <v>28687</v>
      </c>
      <c r="J4702" t="s">
        <v>31845</v>
      </c>
      <c r="K4702" t="s">
        <v>37206</v>
      </c>
      <c r="M4702" t="s">
        <v>39267</v>
      </c>
      <c r="N4702" t="s">
        <v>41249</v>
      </c>
      <c r="O4702" t="s">
        <v>41250</v>
      </c>
      <c r="P4702">
        <v>0</v>
      </c>
      <c r="Q4702">
        <v>0</v>
      </c>
      <c r="R4702" t="s">
        <v>41252</v>
      </c>
      <c r="S4702" t="s">
        <v>41383</v>
      </c>
      <c r="T4702" t="s">
        <v>42734</v>
      </c>
      <c r="U4702" t="s">
        <v>47075</v>
      </c>
      <c r="W4702" t="s">
        <v>39267</v>
      </c>
      <c r="X4702" t="s">
        <v>41254</v>
      </c>
    </row>
    <row r="4703" spans="1:24">
      <c r="A4703">
        <f>HYPERLINK("https://www.philgeps.gov.ph/GEPSNONPILOT/Tender/SplashBidNoticeAbstractUI.aspx?menuIndex=3&amp;refID=7058187&amp;Result=3","7058187")</f>
        <v>0</v>
      </c>
      <c r="B4703" t="s">
        <v>313</v>
      </c>
      <c r="C4703" t="s">
        <v>7888</v>
      </c>
      <c r="D4703" t="s">
        <v>16642</v>
      </c>
      <c r="E4703" t="s">
        <v>20934</v>
      </c>
      <c r="F4703" t="s">
        <v>28669</v>
      </c>
      <c r="G4703" t="s">
        <v>28675</v>
      </c>
      <c r="H4703" t="s">
        <v>28686</v>
      </c>
      <c r="I4703" t="s">
        <v>28689</v>
      </c>
      <c r="J4703" t="s">
        <v>31846</v>
      </c>
      <c r="K4703" t="s">
        <v>37231</v>
      </c>
      <c r="M4703" t="s">
        <v>39265</v>
      </c>
      <c r="N4703" t="s">
        <v>41249</v>
      </c>
      <c r="O4703" t="s">
        <v>41250</v>
      </c>
      <c r="P4703">
        <v>0</v>
      </c>
      <c r="Q4703">
        <v>0</v>
      </c>
      <c r="R4703" t="s">
        <v>41254</v>
      </c>
      <c r="S4703" t="s">
        <v>41425</v>
      </c>
      <c r="T4703" t="s">
        <v>42675</v>
      </c>
      <c r="U4703" t="s">
        <v>47069</v>
      </c>
      <c r="W4703" t="s">
        <v>39265</v>
      </c>
      <c r="X4703" t="s">
        <v>41263</v>
      </c>
    </row>
    <row r="4704" spans="1:24">
      <c r="A4704">
        <f>HYPERLINK("https://www.philgeps.gov.ph/GEPSNONPILOT/Tender/SplashBidNoticeAbstractUI.aspx?menuIndex=3&amp;refID=7058157&amp;Result=3","7058157")</f>
        <v>0</v>
      </c>
      <c r="B4704" t="s">
        <v>313</v>
      </c>
      <c r="C4704" t="s">
        <v>7889</v>
      </c>
      <c r="D4704" t="s">
        <v>16642</v>
      </c>
      <c r="E4704" t="s">
        <v>20935</v>
      </c>
      <c r="F4704" t="s">
        <v>28669</v>
      </c>
      <c r="G4704" t="s">
        <v>28675</v>
      </c>
      <c r="H4704" t="s">
        <v>28686</v>
      </c>
      <c r="I4704" t="s">
        <v>28689</v>
      </c>
      <c r="J4704" t="s">
        <v>31847</v>
      </c>
      <c r="K4704" t="s">
        <v>37258</v>
      </c>
      <c r="M4704" t="s">
        <v>39265</v>
      </c>
      <c r="N4704" t="s">
        <v>41249</v>
      </c>
      <c r="O4704" t="s">
        <v>41250</v>
      </c>
      <c r="P4704">
        <v>0</v>
      </c>
      <c r="Q4704">
        <v>0</v>
      </c>
      <c r="R4704" t="s">
        <v>41254</v>
      </c>
      <c r="S4704" t="s">
        <v>41425</v>
      </c>
      <c r="T4704" t="s">
        <v>42675</v>
      </c>
      <c r="U4704" t="s">
        <v>47069</v>
      </c>
      <c r="W4704" t="s">
        <v>39265</v>
      </c>
      <c r="X4704" t="s">
        <v>41263</v>
      </c>
    </row>
    <row r="4705" spans="1:24">
      <c r="A4705">
        <f>HYPERLINK("https://www.philgeps.gov.ph/GEPSNONPILOT/Tender/SplashBidNoticeAbstractUI.aspx?menuIndex=3&amp;refID=7058154&amp;Result=3","7058154")</f>
        <v>0</v>
      </c>
      <c r="B4705" t="s">
        <v>313</v>
      </c>
      <c r="C4705" t="s">
        <v>7890</v>
      </c>
      <c r="D4705" t="s">
        <v>16642</v>
      </c>
      <c r="E4705" t="s">
        <v>20936</v>
      </c>
      <c r="F4705" t="s">
        <v>28669</v>
      </c>
      <c r="G4705" t="s">
        <v>28675</v>
      </c>
      <c r="H4705" t="s">
        <v>28686</v>
      </c>
      <c r="I4705" t="s">
        <v>28689</v>
      </c>
      <c r="J4705" t="s">
        <v>31848</v>
      </c>
      <c r="K4705" t="s">
        <v>37207</v>
      </c>
      <c r="M4705" t="s">
        <v>39265</v>
      </c>
      <c r="N4705" t="s">
        <v>41249</v>
      </c>
      <c r="O4705" t="s">
        <v>41250</v>
      </c>
      <c r="P4705">
        <v>0</v>
      </c>
      <c r="Q4705">
        <v>0</v>
      </c>
      <c r="R4705" t="s">
        <v>41254</v>
      </c>
      <c r="S4705" t="s">
        <v>41425</v>
      </c>
      <c r="T4705" t="s">
        <v>42675</v>
      </c>
      <c r="U4705" t="s">
        <v>47076</v>
      </c>
      <c r="W4705" t="s">
        <v>39265</v>
      </c>
      <c r="X4705" t="s">
        <v>41263</v>
      </c>
    </row>
    <row r="4706" spans="1:24">
      <c r="A4706">
        <f>HYPERLINK("https://www.philgeps.gov.ph/GEPSNONPILOT/Tender/SplashBidNoticeAbstractUI.aspx?menuIndex=3&amp;refID=7055512&amp;Result=3","7055512")</f>
        <v>0</v>
      </c>
      <c r="B4706" t="s">
        <v>1674</v>
      </c>
      <c r="C4706" t="s">
        <v>7891</v>
      </c>
      <c r="D4706" t="s">
        <v>16619</v>
      </c>
      <c r="E4706" t="s">
        <v>17029</v>
      </c>
      <c r="F4706" t="s">
        <v>28669</v>
      </c>
      <c r="G4706" t="s">
        <v>28676</v>
      </c>
      <c r="H4706" t="s">
        <v>9998</v>
      </c>
      <c r="I4706" t="s">
        <v>28688</v>
      </c>
      <c r="J4706" t="s">
        <v>29133</v>
      </c>
      <c r="K4706" t="s">
        <v>37243</v>
      </c>
      <c r="M4706" t="s">
        <v>39268</v>
      </c>
      <c r="N4706" t="s">
        <v>41249</v>
      </c>
      <c r="O4706" t="s">
        <v>41250</v>
      </c>
      <c r="P4706">
        <v>0</v>
      </c>
      <c r="Q4706">
        <v>2</v>
      </c>
      <c r="R4706" t="s">
        <v>41254</v>
      </c>
      <c r="S4706" t="s">
        <v>41425</v>
      </c>
      <c r="T4706" t="s">
        <v>42675</v>
      </c>
      <c r="U4706" t="s">
        <v>47077</v>
      </c>
      <c r="V4706" t="s">
        <v>54764</v>
      </c>
      <c r="W4706" t="s">
        <v>39268</v>
      </c>
      <c r="X4706" t="s">
        <v>41265</v>
      </c>
    </row>
    <row r="4707" spans="1:24">
      <c r="A4707">
        <f>HYPERLINK("https://www.philgeps.gov.ph/GEPSNONPILOT/Tender/SplashBidNoticeAbstractUI.aspx?menuIndex=3&amp;refID=7053593&amp;Result=3","7053593")</f>
        <v>0</v>
      </c>
      <c r="B4707" t="s">
        <v>1675</v>
      </c>
      <c r="C4707" t="s">
        <v>7892</v>
      </c>
      <c r="D4707" t="s">
        <v>16644</v>
      </c>
      <c r="E4707" t="s">
        <v>20937</v>
      </c>
      <c r="F4707" t="s">
        <v>28669</v>
      </c>
      <c r="G4707" t="s">
        <v>28675</v>
      </c>
      <c r="H4707" t="s">
        <v>9998</v>
      </c>
      <c r="I4707" t="s">
        <v>7352</v>
      </c>
      <c r="J4707" t="s">
        <v>31849</v>
      </c>
      <c r="K4707" t="s">
        <v>37210</v>
      </c>
      <c r="M4707" t="s">
        <v>39269</v>
      </c>
      <c r="N4707" t="s">
        <v>41249</v>
      </c>
      <c r="O4707" t="s">
        <v>41250</v>
      </c>
      <c r="P4707">
        <v>0</v>
      </c>
      <c r="Q4707">
        <v>2</v>
      </c>
      <c r="R4707" t="s">
        <v>41254</v>
      </c>
      <c r="S4707" t="s">
        <v>41425</v>
      </c>
      <c r="T4707" t="s">
        <v>42971</v>
      </c>
      <c r="U4707" t="s">
        <v>47078</v>
      </c>
      <c r="V4707" t="s">
        <v>54765</v>
      </c>
      <c r="W4707" t="s">
        <v>39269</v>
      </c>
      <c r="X4707" t="s">
        <v>41265</v>
      </c>
    </row>
    <row r="4708" spans="1:24">
      <c r="A4708">
        <f>HYPERLINK("https://www.philgeps.gov.ph/GEPSNONPILOT/Tender/SplashBidNoticeAbstractUI.aspx?menuIndex=3&amp;refID=7044012&amp;Result=3","7044012")</f>
        <v>0</v>
      </c>
      <c r="B4708" t="s">
        <v>425</v>
      </c>
      <c r="C4708" t="s">
        <v>7893</v>
      </c>
      <c r="D4708" t="s">
        <v>16653</v>
      </c>
      <c r="E4708" t="s">
        <v>20938</v>
      </c>
      <c r="F4708" t="s">
        <v>28669</v>
      </c>
      <c r="G4708" t="s">
        <v>28675</v>
      </c>
      <c r="H4708" t="s">
        <v>28686</v>
      </c>
      <c r="I4708" t="s">
        <v>28689</v>
      </c>
      <c r="J4708" t="s">
        <v>28836</v>
      </c>
      <c r="K4708" t="s">
        <v>37214</v>
      </c>
      <c r="M4708" t="s">
        <v>37910</v>
      </c>
      <c r="N4708" t="s">
        <v>41249</v>
      </c>
      <c r="O4708" t="s">
        <v>41250</v>
      </c>
      <c r="P4708">
        <v>0</v>
      </c>
      <c r="Q4708">
        <v>0</v>
      </c>
      <c r="R4708" t="s">
        <v>41254</v>
      </c>
      <c r="S4708" t="s">
        <v>41425</v>
      </c>
      <c r="T4708" t="s">
        <v>42688</v>
      </c>
      <c r="U4708" t="s">
        <v>47079</v>
      </c>
      <c r="W4708" t="s">
        <v>37910</v>
      </c>
      <c r="X4708" t="s">
        <v>41269</v>
      </c>
    </row>
    <row r="4709" spans="1:24">
      <c r="A4709">
        <f>HYPERLINK("https://www.philgeps.gov.ph/GEPSNONPILOT/Tender/SplashBidNoticeAbstractUI.aspx?menuIndex=3&amp;refID=7058185&amp;Result=3","7058185")</f>
        <v>0</v>
      </c>
      <c r="B4709" t="s">
        <v>313</v>
      </c>
      <c r="C4709" t="s">
        <v>7894</v>
      </c>
      <c r="D4709" t="s">
        <v>16642</v>
      </c>
      <c r="E4709" t="s">
        <v>20939</v>
      </c>
      <c r="F4709" t="s">
        <v>28669</v>
      </c>
      <c r="G4709" t="s">
        <v>28675</v>
      </c>
      <c r="H4709" t="s">
        <v>28686</v>
      </c>
      <c r="I4709" t="s">
        <v>28689</v>
      </c>
      <c r="J4709" t="s">
        <v>31850</v>
      </c>
      <c r="K4709" t="s">
        <v>37312</v>
      </c>
      <c r="M4709" t="s">
        <v>39265</v>
      </c>
      <c r="N4709" t="s">
        <v>41249</v>
      </c>
      <c r="O4709" t="s">
        <v>41250</v>
      </c>
      <c r="P4709">
        <v>0</v>
      </c>
      <c r="Q4709">
        <v>0</v>
      </c>
      <c r="R4709" t="s">
        <v>41254</v>
      </c>
      <c r="S4709" t="s">
        <v>41425</v>
      </c>
      <c r="T4709" t="s">
        <v>42675</v>
      </c>
      <c r="U4709" t="s">
        <v>47069</v>
      </c>
      <c r="W4709" t="s">
        <v>39265</v>
      </c>
      <c r="X4709" t="s">
        <v>41263</v>
      </c>
    </row>
    <row r="4710" spans="1:24">
      <c r="A4710">
        <f>HYPERLINK("https://www.philgeps.gov.ph/GEPSNONPILOT/Tender/SplashBidNoticeAbstractUI.aspx?menuIndex=3&amp;refID=7061310&amp;Result=3","7061310")</f>
        <v>0</v>
      </c>
      <c r="B4710" t="s">
        <v>1379</v>
      </c>
      <c r="C4710" t="s">
        <v>7895</v>
      </c>
      <c r="D4710" t="s">
        <v>16648</v>
      </c>
      <c r="E4710" t="s">
        <v>20940</v>
      </c>
      <c r="F4710" t="s">
        <v>28669</v>
      </c>
      <c r="G4710" t="s">
        <v>28675</v>
      </c>
      <c r="H4710" t="s">
        <v>28686</v>
      </c>
      <c r="I4710" t="s">
        <v>28689</v>
      </c>
      <c r="J4710" t="s">
        <v>31851</v>
      </c>
      <c r="K4710" t="s">
        <v>37356</v>
      </c>
      <c r="M4710" t="s">
        <v>38938</v>
      </c>
      <c r="N4710" t="s">
        <v>41249</v>
      </c>
      <c r="O4710" t="s">
        <v>41250</v>
      </c>
      <c r="P4710">
        <v>0</v>
      </c>
      <c r="Q4710">
        <v>0</v>
      </c>
      <c r="R4710" t="s">
        <v>41254</v>
      </c>
      <c r="S4710" t="s">
        <v>41425</v>
      </c>
      <c r="T4710" t="s">
        <v>42841</v>
      </c>
      <c r="U4710" t="s">
        <v>47080</v>
      </c>
      <c r="W4710" t="s">
        <v>38938</v>
      </c>
      <c r="X4710" t="s">
        <v>41261</v>
      </c>
    </row>
    <row r="4711" spans="1:24">
      <c r="A4711">
        <f>HYPERLINK("https://www.philgeps.gov.ph/GEPSNONPILOT/Tender/SplashBidNoticeAbstractUI.aspx?menuIndex=3&amp;refID=7058152&amp;Result=3","7058152")</f>
        <v>0</v>
      </c>
      <c r="B4711" t="s">
        <v>313</v>
      </c>
      <c r="C4711" t="s">
        <v>7896</v>
      </c>
      <c r="D4711" t="s">
        <v>16642</v>
      </c>
      <c r="E4711" t="s">
        <v>20941</v>
      </c>
      <c r="F4711" t="s">
        <v>28669</v>
      </c>
      <c r="G4711" t="s">
        <v>28675</v>
      </c>
      <c r="H4711" t="s">
        <v>28686</v>
      </c>
      <c r="I4711" t="s">
        <v>28689</v>
      </c>
      <c r="J4711" t="s">
        <v>29227</v>
      </c>
      <c r="K4711" t="s">
        <v>37206</v>
      </c>
      <c r="M4711" t="s">
        <v>39265</v>
      </c>
      <c r="N4711" t="s">
        <v>41249</v>
      </c>
      <c r="O4711" t="s">
        <v>41250</v>
      </c>
      <c r="P4711">
        <v>0</v>
      </c>
      <c r="Q4711">
        <v>0</v>
      </c>
      <c r="R4711" t="s">
        <v>41254</v>
      </c>
      <c r="S4711" t="s">
        <v>41425</v>
      </c>
      <c r="T4711" t="s">
        <v>42675</v>
      </c>
      <c r="U4711" t="s">
        <v>47069</v>
      </c>
      <c r="W4711" t="s">
        <v>39265</v>
      </c>
      <c r="X4711" t="s">
        <v>41263</v>
      </c>
    </row>
    <row r="4712" spans="1:24">
      <c r="A4712">
        <f>HYPERLINK("https://www.philgeps.gov.ph/GEPSNONPILOT/Tender/SplashBidNoticeAbstractUI.aspx?menuIndex=3&amp;refID=7063687&amp;Result=3","7063687")</f>
        <v>0</v>
      </c>
      <c r="B4712" t="s">
        <v>1676</v>
      </c>
      <c r="C4712" t="s">
        <v>7897</v>
      </c>
      <c r="D4712" t="s">
        <v>16654</v>
      </c>
      <c r="E4712" t="s">
        <v>20942</v>
      </c>
      <c r="F4712" t="s">
        <v>28669</v>
      </c>
      <c r="G4712" t="s">
        <v>28675</v>
      </c>
      <c r="H4712" t="s">
        <v>28686</v>
      </c>
      <c r="I4712" t="s">
        <v>28689</v>
      </c>
      <c r="J4712" t="s">
        <v>31852</v>
      </c>
      <c r="K4712" t="s">
        <v>37209</v>
      </c>
      <c r="M4712" t="s">
        <v>39270</v>
      </c>
      <c r="N4712" t="s">
        <v>41249</v>
      </c>
      <c r="O4712" t="s">
        <v>41250</v>
      </c>
      <c r="P4712">
        <v>0</v>
      </c>
      <c r="Q4712">
        <v>3</v>
      </c>
      <c r="R4712" t="s">
        <v>41254</v>
      </c>
      <c r="S4712" t="s">
        <v>41425</v>
      </c>
      <c r="T4712" t="s">
        <v>42751</v>
      </c>
      <c r="U4712" t="s">
        <v>47081</v>
      </c>
      <c r="V4712" t="s">
        <v>54766</v>
      </c>
      <c r="W4712" t="s">
        <v>39270</v>
      </c>
      <c r="X4712" t="s">
        <v>41260</v>
      </c>
    </row>
    <row r="4713" spans="1:24">
      <c r="A4713">
        <f>HYPERLINK("https://www.philgeps.gov.ph/GEPSNONPILOT/Tender/SplashBidNoticeAbstractUI.aspx?menuIndex=3&amp;refID=7062942&amp;Result=3","7062942")</f>
        <v>0</v>
      </c>
      <c r="B4713" t="s">
        <v>469</v>
      </c>
      <c r="C4713" t="s">
        <v>7898</v>
      </c>
      <c r="D4713" t="s">
        <v>16687</v>
      </c>
      <c r="E4713" t="s">
        <v>20943</v>
      </c>
      <c r="F4713" t="s">
        <v>28669</v>
      </c>
      <c r="G4713" t="s">
        <v>28676</v>
      </c>
      <c r="H4713" t="s">
        <v>9998</v>
      </c>
      <c r="I4713" t="s">
        <v>28688</v>
      </c>
      <c r="J4713" t="s">
        <v>31853</v>
      </c>
      <c r="K4713" t="s">
        <v>37204</v>
      </c>
      <c r="M4713" t="s">
        <v>37957</v>
      </c>
      <c r="N4713" t="s">
        <v>41249</v>
      </c>
      <c r="O4713" t="s">
        <v>41250</v>
      </c>
      <c r="P4713">
        <v>0</v>
      </c>
      <c r="Q4713">
        <v>0</v>
      </c>
      <c r="R4713" t="s">
        <v>41254</v>
      </c>
      <c r="S4713" t="s">
        <v>41425</v>
      </c>
      <c r="T4713" t="s">
        <v>42675</v>
      </c>
      <c r="U4713" t="s">
        <v>47082</v>
      </c>
      <c r="W4713" t="s">
        <v>37957</v>
      </c>
      <c r="X4713" t="s">
        <v>41260</v>
      </c>
    </row>
    <row r="4714" spans="1:24">
      <c r="A4714">
        <f>HYPERLINK("https://www.philgeps.gov.ph/GEPSNONPILOT/Tender/SplashBidNoticeAbstractUI.aspx?menuIndex=3&amp;refID=7062824&amp;Result=3","7062824")</f>
        <v>0</v>
      </c>
      <c r="B4714" t="s">
        <v>1677</v>
      </c>
      <c r="C4714" t="s">
        <v>7899</v>
      </c>
      <c r="D4714" t="s">
        <v>16608</v>
      </c>
      <c r="E4714" t="s">
        <v>20944</v>
      </c>
      <c r="F4714" t="s">
        <v>28669</v>
      </c>
      <c r="G4714" t="s">
        <v>28675</v>
      </c>
      <c r="H4714" t="s">
        <v>9998</v>
      </c>
      <c r="I4714" t="s">
        <v>5213</v>
      </c>
      <c r="J4714" t="s">
        <v>28905</v>
      </c>
      <c r="K4714" t="s">
        <v>37243</v>
      </c>
      <c r="M4714" t="s">
        <v>39271</v>
      </c>
      <c r="N4714" t="s">
        <v>41249</v>
      </c>
      <c r="O4714" t="s">
        <v>41250</v>
      </c>
      <c r="P4714">
        <v>0</v>
      </c>
      <c r="Q4714">
        <v>0</v>
      </c>
      <c r="R4714" t="s">
        <v>41254</v>
      </c>
      <c r="S4714" t="s">
        <v>41425</v>
      </c>
      <c r="T4714" t="s">
        <v>42675</v>
      </c>
      <c r="U4714" t="s">
        <v>47083</v>
      </c>
      <c r="W4714" t="s">
        <v>39271</v>
      </c>
      <c r="X4714" t="s">
        <v>41260</v>
      </c>
    </row>
    <row r="4715" spans="1:24">
      <c r="A4715">
        <f>HYPERLINK("https://www.philgeps.gov.ph/GEPSNONPILOT/Tender/SplashBidNoticeAbstractUI.aspx?menuIndex=3&amp;refID=7053195&amp;Result=3","7053195")</f>
        <v>0</v>
      </c>
      <c r="B4715" t="s">
        <v>1678</v>
      </c>
      <c r="C4715" t="s">
        <v>7900</v>
      </c>
      <c r="D4715" t="s">
        <v>16667</v>
      </c>
      <c r="E4715" t="s">
        <v>20945</v>
      </c>
      <c r="F4715" t="s">
        <v>28669</v>
      </c>
      <c r="G4715" t="s">
        <v>28675</v>
      </c>
      <c r="H4715" t="s">
        <v>28686</v>
      </c>
      <c r="I4715" t="s">
        <v>28689</v>
      </c>
      <c r="J4715" t="s">
        <v>31854</v>
      </c>
      <c r="K4715" t="s">
        <v>37283</v>
      </c>
      <c r="M4715" t="s">
        <v>39272</v>
      </c>
      <c r="N4715" t="s">
        <v>41249</v>
      </c>
      <c r="O4715" t="s">
        <v>41250</v>
      </c>
      <c r="P4715">
        <v>0</v>
      </c>
      <c r="Q4715">
        <v>0</v>
      </c>
      <c r="R4715" t="s">
        <v>41254</v>
      </c>
      <c r="S4715" t="s">
        <v>41425</v>
      </c>
      <c r="T4715" t="s">
        <v>42673</v>
      </c>
      <c r="U4715" t="s">
        <v>47084</v>
      </c>
      <c r="W4715" t="s">
        <v>39272</v>
      </c>
      <c r="X4715" t="s">
        <v>41265</v>
      </c>
    </row>
    <row r="4716" spans="1:24">
      <c r="A4716">
        <f>HYPERLINK("https://www.philgeps.gov.ph/GEPSNONPILOT/Tender/SplashBidNoticeAbstractUI.aspx?menuIndex=3&amp;refID=7062766&amp;Result=3","7062766")</f>
        <v>0</v>
      </c>
      <c r="B4716" t="s">
        <v>1348</v>
      </c>
      <c r="C4716" t="s">
        <v>7901</v>
      </c>
      <c r="D4716" t="s">
        <v>16608</v>
      </c>
      <c r="E4716" t="s">
        <v>20946</v>
      </c>
      <c r="F4716" t="s">
        <v>28669</v>
      </c>
      <c r="G4716" t="s">
        <v>28676</v>
      </c>
      <c r="H4716" t="s">
        <v>9998</v>
      </c>
      <c r="I4716" t="s">
        <v>28709</v>
      </c>
      <c r="J4716" t="s">
        <v>31855</v>
      </c>
      <c r="K4716" t="s">
        <v>37204</v>
      </c>
      <c r="M4716" t="s">
        <v>37627</v>
      </c>
      <c r="N4716" t="s">
        <v>41249</v>
      </c>
      <c r="O4716" t="s">
        <v>41250</v>
      </c>
      <c r="P4716">
        <v>0</v>
      </c>
      <c r="Q4716">
        <v>0</v>
      </c>
      <c r="R4716" t="s">
        <v>41254</v>
      </c>
      <c r="S4716" t="s">
        <v>41425</v>
      </c>
      <c r="T4716" t="s">
        <v>42727</v>
      </c>
      <c r="U4716" t="s">
        <v>47085</v>
      </c>
      <c r="V4716" t="s">
        <v>54644</v>
      </c>
      <c r="W4716" t="s">
        <v>37627</v>
      </c>
      <c r="X4716" t="s">
        <v>41260</v>
      </c>
    </row>
    <row r="4717" spans="1:24">
      <c r="A4717">
        <f>HYPERLINK("https://www.philgeps.gov.ph/GEPSNONPILOT/Tender/SplashBidNoticeAbstractUI.aspx?menuIndex=3&amp;refID=7062765&amp;Result=3","7062765")</f>
        <v>0</v>
      </c>
      <c r="B4717" t="s">
        <v>1679</v>
      </c>
      <c r="C4717" t="s">
        <v>7902</v>
      </c>
      <c r="D4717" t="s">
        <v>16608</v>
      </c>
      <c r="E4717" t="s">
        <v>20947</v>
      </c>
      <c r="F4717" t="s">
        <v>28669</v>
      </c>
      <c r="G4717" t="s">
        <v>28675</v>
      </c>
      <c r="H4717" t="s">
        <v>9998</v>
      </c>
      <c r="I4717" t="s">
        <v>5213</v>
      </c>
      <c r="J4717" t="s">
        <v>29189</v>
      </c>
      <c r="K4717" t="s">
        <v>37243</v>
      </c>
      <c r="M4717" t="s">
        <v>39273</v>
      </c>
      <c r="N4717" t="s">
        <v>41249</v>
      </c>
      <c r="O4717" t="s">
        <v>41250</v>
      </c>
      <c r="P4717">
        <v>0</v>
      </c>
      <c r="Q4717">
        <v>0</v>
      </c>
      <c r="R4717" t="s">
        <v>41254</v>
      </c>
      <c r="S4717" t="s">
        <v>41425</v>
      </c>
      <c r="T4717" t="s">
        <v>42675</v>
      </c>
      <c r="U4717" t="s">
        <v>47086</v>
      </c>
      <c r="W4717" t="s">
        <v>39273</v>
      </c>
      <c r="X4717" t="s">
        <v>41260</v>
      </c>
    </row>
    <row r="4718" spans="1:24">
      <c r="A4718">
        <f>HYPERLINK("https://www.philgeps.gov.ph/GEPSNONPILOT/Tender/SplashBidNoticeAbstractUI.aspx?menuIndex=3&amp;refID=7062722&amp;Result=3","7062722")</f>
        <v>0</v>
      </c>
      <c r="B4718" t="s">
        <v>1680</v>
      </c>
      <c r="C4718" t="s">
        <v>7903</v>
      </c>
      <c r="D4718" t="s">
        <v>16608</v>
      </c>
      <c r="E4718" t="s">
        <v>20948</v>
      </c>
      <c r="F4718" t="s">
        <v>28669</v>
      </c>
      <c r="G4718" t="s">
        <v>28675</v>
      </c>
      <c r="H4718" t="s">
        <v>9998</v>
      </c>
      <c r="I4718" t="s">
        <v>5213</v>
      </c>
      <c r="J4718" t="s">
        <v>29104</v>
      </c>
      <c r="K4718" t="s">
        <v>37243</v>
      </c>
      <c r="M4718" t="s">
        <v>39274</v>
      </c>
      <c r="N4718" t="s">
        <v>41249</v>
      </c>
      <c r="O4718" t="s">
        <v>41250</v>
      </c>
      <c r="P4718">
        <v>0</v>
      </c>
      <c r="Q4718">
        <v>1</v>
      </c>
      <c r="R4718" t="s">
        <v>41254</v>
      </c>
      <c r="S4718" t="s">
        <v>41425</v>
      </c>
      <c r="T4718" t="s">
        <v>42675</v>
      </c>
      <c r="U4718" t="s">
        <v>47087</v>
      </c>
      <c r="W4718" t="s">
        <v>39274</v>
      </c>
      <c r="X4718" t="s">
        <v>41260</v>
      </c>
    </row>
    <row r="4719" spans="1:24">
      <c r="A4719">
        <f>HYPERLINK("https://www.philgeps.gov.ph/GEPSNONPILOT/Tender/SplashBidNoticeAbstractUI.aspx?menuIndex=3&amp;refID=7062700&amp;Result=3","7062700")</f>
        <v>0</v>
      </c>
      <c r="B4719" t="s">
        <v>1681</v>
      </c>
      <c r="C4719" t="s">
        <v>7899</v>
      </c>
      <c r="D4719" t="s">
        <v>16608</v>
      </c>
      <c r="E4719" t="s">
        <v>20949</v>
      </c>
      <c r="F4719" t="s">
        <v>28669</v>
      </c>
      <c r="G4719" t="s">
        <v>28675</v>
      </c>
      <c r="H4719" t="s">
        <v>9998</v>
      </c>
      <c r="I4719" t="s">
        <v>28687</v>
      </c>
      <c r="J4719" t="s">
        <v>29189</v>
      </c>
      <c r="K4719" t="s">
        <v>37243</v>
      </c>
      <c r="M4719" t="s">
        <v>39275</v>
      </c>
      <c r="N4719" t="s">
        <v>41249</v>
      </c>
      <c r="O4719" t="s">
        <v>41250</v>
      </c>
      <c r="P4719">
        <v>0</v>
      </c>
      <c r="Q4719">
        <v>3</v>
      </c>
      <c r="R4719" t="s">
        <v>41254</v>
      </c>
      <c r="S4719" t="s">
        <v>41425</v>
      </c>
      <c r="T4719" t="s">
        <v>42675</v>
      </c>
      <c r="U4719" t="s">
        <v>47088</v>
      </c>
      <c r="W4719" t="s">
        <v>39275</v>
      </c>
      <c r="X4719" t="s">
        <v>41260</v>
      </c>
    </row>
    <row r="4720" spans="1:24">
      <c r="A4720">
        <f>HYPERLINK("https://www.philgeps.gov.ph/GEPSNONPILOT/Tender/SplashBidNoticeAbstractUI.aspx?menuIndex=3&amp;refID=7063253&amp;Result=3","7063253")</f>
        <v>0</v>
      </c>
      <c r="B4720" t="s">
        <v>1682</v>
      </c>
      <c r="C4720" t="s">
        <v>7904</v>
      </c>
      <c r="D4720" t="s">
        <v>16658</v>
      </c>
      <c r="E4720" t="s">
        <v>20950</v>
      </c>
      <c r="F4720" t="s">
        <v>28669</v>
      </c>
      <c r="G4720" t="s">
        <v>28678</v>
      </c>
      <c r="H4720" t="s">
        <v>9998</v>
      </c>
      <c r="I4720" t="s">
        <v>6128</v>
      </c>
      <c r="J4720" t="s">
        <v>29260</v>
      </c>
      <c r="K4720" t="s">
        <v>37205</v>
      </c>
      <c r="M4720" t="s">
        <v>39276</v>
      </c>
      <c r="N4720" t="s">
        <v>41249</v>
      </c>
      <c r="O4720" t="s">
        <v>41250</v>
      </c>
      <c r="P4720">
        <v>0</v>
      </c>
      <c r="Q4720">
        <v>2</v>
      </c>
      <c r="R4720" t="s">
        <v>41254</v>
      </c>
      <c r="S4720" t="s">
        <v>41425</v>
      </c>
      <c r="T4720" t="s">
        <v>42729</v>
      </c>
      <c r="U4720" t="s">
        <v>47089</v>
      </c>
      <c r="W4720" t="s">
        <v>39276</v>
      </c>
      <c r="X4720" t="s">
        <v>41260</v>
      </c>
    </row>
    <row r="4721" spans="1:24">
      <c r="A4721">
        <f>HYPERLINK("https://www.philgeps.gov.ph/GEPSNONPILOT/Tender/SplashBidNoticeAbstractUI.aspx?menuIndex=3&amp;refID=7062812&amp;Result=3","7062812")</f>
        <v>0</v>
      </c>
      <c r="B4721" t="s">
        <v>1683</v>
      </c>
      <c r="C4721" t="s">
        <v>7905</v>
      </c>
      <c r="D4721" t="s">
        <v>16608</v>
      </c>
      <c r="E4721" t="s">
        <v>20951</v>
      </c>
      <c r="F4721" t="s">
        <v>28669</v>
      </c>
      <c r="G4721" t="s">
        <v>28675</v>
      </c>
      <c r="H4721" t="s">
        <v>9998</v>
      </c>
      <c r="I4721" t="s">
        <v>5213</v>
      </c>
      <c r="J4721" t="s">
        <v>31856</v>
      </c>
      <c r="K4721" t="s">
        <v>37243</v>
      </c>
      <c r="M4721" t="s">
        <v>39277</v>
      </c>
      <c r="N4721" t="s">
        <v>41249</v>
      </c>
      <c r="O4721" t="s">
        <v>41250</v>
      </c>
      <c r="P4721">
        <v>0</v>
      </c>
      <c r="Q4721">
        <v>1</v>
      </c>
      <c r="R4721" t="s">
        <v>41254</v>
      </c>
      <c r="S4721" t="s">
        <v>41425</v>
      </c>
      <c r="T4721" t="s">
        <v>42675</v>
      </c>
      <c r="U4721" t="s">
        <v>47090</v>
      </c>
      <c r="W4721" t="s">
        <v>39277</v>
      </c>
      <c r="X4721" t="s">
        <v>41260</v>
      </c>
    </row>
    <row r="4722" spans="1:24">
      <c r="A4722">
        <f>HYPERLINK("https://www.philgeps.gov.ph/GEPSNONPILOT/Tender/SplashBidNoticeAbstractUI.aspx?menuIndex=3&amp;refID=7065483&amp;Result=3","7065483")</f>
        <v>0</v>
      </c>
      <c r="B4722" t="s">
        <v>1684</v>
      </c>
      <c r="C4722" t="s">
        <v>7906</v>
      </c>
      <c r="D4722" t="s">
        <v>16622</v>
      </c>
      <c r="E4722" t="s">
        <v>16869</v>
      </c>
      <c r="F4722" t="s">
        <v>28669</v>
      </c>
      <c r="G4722" t="s">
        <v>28675</v>
      </c>
      <c r="H4722" t="s">
        <v>28686</v>
      </c>
      <c r="I4722" t="s">
        <v>28689</v>
      </c>
      <c r="J4722" t="s">
        <v>28924</v>
      </c>
      <c r="K4722" t="s">
        <v>37213</v>
      </c>
      <c r="M4722" t="s">
        <v>39278</v>
      </c>
      <c r="N4722" t="s">
        <v>41249</v>
      </c>
      <c r="O4722" t="s">
        <v>41250</v>
      </c>
      <c r="P4722">
        <v>0</v>
      </c>
      <c r="Q4722">
        <v>0</v>
      </c>
      <c r="R4722" t="s">
        <v>41254</v>
      </c>
      <c r="S4722" t="s">
        <v>41425</v>
      </c>
      <c r="T4722" t="s">
        <v>42716</v>
      </c>
      <c r="U4722" t="s">
        <v>47091</v>
      </c>
      <c r="V4722" t="s">
        <v>54767</v>
      </c>
      <c r="W4722" t="s">
        <v>39278</v>
      </c>
      <c r="X4722" t="s">
        <v>41259</v>
      </c>
    </row>
    <row r="4723" spans="1:24">
      <c r="A4723">
        <f>HYPERLINK("https://www.philgeps.gov.ph/GEPSNONPILOT/Tender/SplashBidNoticeAbstractUI.aspx?menuIndex=3&amp;refID=7052583&amp;Result=3","7052583")</f>
        <v>0</v>
      </c>
      <c r="B4723" t="s">
        <v>1685</v>
      </c>
      <c r="C4723" t="s">
        <v>7907</v>
      </c>
      <c r="D4723" t="s">
        <v>16619</v>
      </c>
      <c r="E4723" t="s">
        <v>17296</v>
      </c>
      <c r="F4723" t="s">
        <v>28669</v>
      </c>
      <c r="G4723" t="s">
        <v>28675</v>
      </c>
      <c r="H4723" t="s">
        <v>9998</v>
      </c>
      <c r="I4723" t="s">
        <v>6128</v>
      </c>
      <c r="J4723" t="s">
        <v>31857</v>
      </c>
      <c r="K4723" t="s">
        <v>37243</v>
      </c>
      <c r="M4723" t="s">
        <v>39279</v>
      </c>
      <c r="N4723" t="s">
        <v>41249</v>
      </c>
      <c r="O4723" t="s">
        <v>41250</v>
      </c>
      <c r="P4723">
        <v>0</v>
      </c>
      <c r="Q4723">
        <v>1</v>
      </c>
      <c r="R4723" t="s">
        <v>41254</v>
      </c>
      <c r="S4723" t="s">
        <v>41425</v>
      </c>
      <c r="T4723" t="s">
        <v>42757</v>
      </c>
      <c r="U4723" t="s">
        <v>47092</v>
      </c>
      <c r="W4723" t="s">
        <v>39279</v>
      </c>
      <c r="X4723" t="s">
        <v>41266</v>
      </c>
    </row>
    <row r="4724" spans="1:24">
      <c r="A4724">
        <f>HYPERLINK("https://www.philgeps.gov.ph/GEPSNONPILOT/Tender/SplashBidNoticeAbstractUI.aspx?menuIndex=3&amp;refID=7065416&amp;Result=3","7065416")</f>
        <v>0</v>
      </c>
      <c r="B4724" t="s">
        <v>1684</v>
      </c>
      <c r="C4724" t="s">
        <v>7908</v>
      </c>
      <c r="D4724" t="s">
        <v>16622</v>
      </c>
      <c r="E4724" t="s">
        <v>20952</v>
      </c>
      <c r="F4724" t="s">
        <v>28669</v>
      </c>
      <c r="G4724" t="s">
        <v>28675</v>
      </c>
      <c r="H4724" t="s">
        <v>28686</v>
      </c>
      <c r="I4724" t="s">
        <v>28689</v>
      </c>
      <c r="J4724" t="s">
        <v>28847</v>
      </c>
      <c r="K4724" t="s">
        <v>37215</v>
      </c>
      <c r="M4724" t="s">
        <v>39278</v>
      </c>
      <c r="N4724" t="s">
        <v>41249</v>
      </c>
      <c r="O4724" t="s">
        <v>41250</v>
      </c>
      <c r="P4724">
        <v>0</v>
      </c>
      <c r="Q4724">
        <v>0</v>
      </c>
      <c r="R4724" t="s">
        <v>41254</v>
      </c>
      <c r="S4724" t="s">
        <v>41425</v>
      </c>
      <c r="T4724" t="s">
        <v>42722</v>
      </c>
      <c r="U4724" t="s">
        <v>43343</v>
      </c>
      <c r="V4724" t="s">
        <v>54767</v>
      </c>
      <c r="W4724" t="s">
        <v>39278</v>
      </c>
      <c r="X4724" t="s">
        <v>41259</v>
      </c>
    </row>
    <row r="4725" spans="1:24">
      <c r="A4725">
        <f>HYPERLINK("https://www.philgeps.gov.ph/GEPSNONPILOT/Tender/SplashBidNoticeAbstractUI.aspx?menuIndex=3&amp;refID=7062741&amp;Result=3","7062741")</f>
        <v>0</v>
      </c>
      <c r="B4725" t="s">
        <v>1348</v>
      </c>
      <c r="C4725" t="s">
        <v>7909</v>
      </c>
      <c r="D4725" t="s">
        <v>16608</v>
      </c>
      <c r="E4725" t="s">
        <v>20953</v>
      </c>
      <c r="F4725" t="s">
        <v>28669</v>
      </c>
      <c r="G4725" t="s">
        <v>28676</v>
      </c>
      <c r="H4725" t="s">
        <v>9998</v>
      </c>
      <c r="I4725" t="s">
        <v>8667</v>
      </c>
      <c r="J4725" t="s">
        <v>31858</v>
      </c>
      <c r="K4725" t="s">
        <v>37204</v>
      </c>
      <c r="M4725" t="s">
        <v>37627</v>
      </c>
      <c r="N4725" t="s">
        <v>41249</v>
      </c>
      <c r="O4725" t="s">
        <v>41250</v>
      </c>
      <c r="P4725">
        <v>0</v>
      </c>
      <c r="Q4725">
        <v>0</v>
      </c>
      <c r="R4725" t="s">
        <v>41254</v>
      </c>
      <c r="S4725" t="s">
        <v>41425</v>
      </c>
      <c r="T4725" t="s">
        <v>42727</v>
      </c>
      <c r="U4725" t="s">
        <v>47093</v>
      </c>
      <c r="V4725" t="s">
        <v>54644</v>
      </c>
      <c r="W4725" t="s">
        <v>37627</v>
      </c>
      <c r="X4725" t="s">
        <v>41260</v>
      </c>
    </row>
    <row r="4726" spans="1:24">
      <c r="A4726">
        <f>HYPERLINK("https://www.philgeps.gov.ph/GEPSNONPILOT/Tender/SplashBidNoticeAbstractUI.aspx?menuIndex=3&amp;refID=7076080&amp;Result=3","7076080")</f>
        <v>0</v>
      </c>
      <c r="B4726" t="s">
        <v>1686</v>
      </c>
      <c r="C4726" t="s">
        <v>7910</v>
      </c>
      <c r="E4726" t="s">
        <v>20954</v>
      </c>
      <c r="F4726" t="s">
        <v>28669</v>
      </c>
      <c r="G4726" t="s">
        <v>28675</v>
      </c>
      <c r="H4726" t="s">
        <v>28686</v>
      </c>
      <c r="I4726" t="s">
        <v>28752</v>
      </c>
      <c r="J4726" t="s">
        <v>31859</v>
      </c>
      <c r="K4726" t="s">
        <v>37205</v>
      </c>
      <c r="M4726" t="s">
        <v>39280</v>
      </c>
      <c r="N4726" t="s">
        <v>41249</v>
      </c>
      <c r="O4726" t="s">
        <v>41250</v>
      </c>
      <c r="P4726">
        <v>0</v>
      </c>
      <c r="Q4726">
        <v>0</v>
      </c>
      <c r="R4726" t="s">
        <v>41252</v>
      </c>
      <c r="S4726" t="s">
        <v>41383</v>
      </c>
      <c r="T4726" t="s">
        <v>42679</v>
      </c>
      <c r="U4726" t="s">
        <v>47094</v>
      </c>
      <c r="W4726" t="s">
        <v>39280</v>
      </c>
      <c r="X4726" t="s">
        <v>41254</v>
      </c>
    </row>
    <row r="4727" spans="1:24">
      <c r="A4727">
        <f>HYPERLINK("https://www.philgeps.gov.ph/GEPSNONPILOT/Tender/SplashBidNoticeAbstractUI.aspx?menuIndex=3&amp;refID=7063710&amp;Result=3","7063710")</f>
        <v>0</v>
      </c>
      <c r="B4727" t="s">
        <v>1676</v>
      </c>
      <c r="C4727" t="s">
        <v>7911</v>
      </c>
      <c r="D4727" t="s">
        <v>16654</v>
      </c>
      <c r="E4727" t="s">
        <v>20955</v>
      </c>
      <c r="F4727" t="s">
        <v>28669</v>
      </c>
      <c r="G4727" t="s">
        <v>28675</v>
      </c>
      <c r="H4727" t="s">
        <v>28686</v>
      </c>
      <c r="I4727" t="s">
        <v>28689</v>
      </c>
      <c r="J4727" t="s">
        <v>31860</v>
      </c>
      <c r="K4727" t="s">
        <v>37209</v>
      </c>
      <c r="M4727" t="s">
        <v>39270</v>
      </c>
      <c r="N4727" t="s">
        <v>41249</v>
      </c>
      <c r="O4727" t="s">
        <v>41250</v>
      </c>
      <c r="P4727">
        <v>0</v>
      </c>
      <c r="Q4727">
        <v>3</v>
      </c>
      <c r="R4727" t="s">
        <v>41254</v>
      </c>
      <c r="S4727" t="s">
        <v>41425</v>
      </c>
      <c r="T4727" t="s">
        <v>42751</v>
      </c>
      <c r="U4727" t="s">
        <v>47095</v>
      </c>
      <c r="V4727" t="s">
        <v>54768</v>
      </c>
      <c r="W4727" t="s">
        <v>39270</v>
      </c>
      <c r="X4727" t="s">
        <v>41260</v>
      </c>
    </row>
    <row r="4728" spans="1:24">
      <c r="A4728">
        <f>HYPERLINK("https://www.philgeps.gov.ph/GEPSNONPILOT/Tender/SplashBidNoticeAbstractUI.aspx?menuIndex=3&amp;refID=7064783&amp;Result=3","7064783")</f>
        <v>0</v>
      </c>
      <c r="B4728" t="s">
        <v>1096</v>
      </c>
      <c r="C4728" t="s">
        <v>7912</v>
      </c>
      <c r="D4728" t="s">
        <v>16643</v>
      </c>
      <c r="E4728" t="s">
        <v>20956</v>
      </c>
      <c r="F4728" t="s">
        <v>28669</v>
      </c>
      <c r="G4728" t="s">
        <v>28675</v>
      </c>
      <c r="H4728" t="s">
        <v>28686</v>
      </c>
      <c r="I4728" t="s">
        <v>28689</v>
      </c>
      <c r="J4728" t="s">
        <v>31861</v>
      </c>
      <c r="K4728" t="s">
        <v>37220</v>
      </c>
      <c r="M4728" t="s">
        <v>38628</v>
      </c>
      <c r="N4728" t="s">
        <v>41249</v>
      </c>
      <c r="O4728" t="s">
        <v>41250</v>
      </c>
      <c r="P4728">
        <v>0</v>
      </c>
      <c r="Q4728">
        <v>0</v>
      </c>
      <c r="R4728" t="s">
        <v>41254</v>
      </c>
      <c r="S4728" t="s">
        <v>41425</v>
      </c>
      <c r="T4728" t="s">
        <v>42754</v>
      </c>
      <c r="U4728" t="s">
        <v>47096</v>
      </c>
      <c r="W4728" t="s">
        <v>38628</v>
      </c>
      <c r="X4728" t="s">
        <v>41259</v>
      </c>
    </row>
    <row r="4729" spans="1:24">
      <c r="A4729">
        <f>HYPERLINK("https://www.philgeps.gov.ph/GEPSNONPILOT/Tender/SplashBidNoticeAbstractUI.aspx?menuIndex=3&amp;refID=7065711&amp;Result=3","7065711")</f>
        <v>0</v>
      </c>
      <c r="B4729" t="s">
        <v>937</v>
      </c>
      <c r="C4729" t="s">
        <v>7913</v>
      </c>
      <c r="E4729" t="s">
        <v>20957</v>
      </c>
      <c r="F4729" t="s">
        <v>28669</v>
      </c>
      <c r="G4729" t="s">
        <v>28679</v>
      </c>
      <c r="H4729" t="s">
        <v>9998</v>
      </c>
      <c r="I4729" t="s">
        <v>28704</v>
      </c>
      <c r="J4729" t="s">
        <v>31862</v>
      </c>
      <c r="K4729" t="s">
        <v>37227</v>
      </c>
      <c r="M4729" t="s">
        <v>39281</v>
      </c>
      <c r="N4729" t="s">
        <v>41249</v>
      </c>
      <c r="O4729" t="s">
        <v>41250</v>
      </c>
      <c r="P4729">
        <v>0</v>
      </c>
      <c r="Q4729">
        <v>4</v>
      </c>
      <c r="R4729" t="s">
        <v>41254</v>
      </c>
      <c r="S4729" t="s">
        <v>41425</v>
      </c>
      <c r="T4729" t="s">
        <v>42754</v>
      </c>
      <c r="U4729" t="s">
        <v>47097</v>
      </c>
      <c r="W4729" t="s">
        <v>39281</v>
      </c>
      <c r="X4729" t="s">
        <v>41259</v>
      </c>
    </row>
    <row r="4730" spans="1:24">
      <c r="A4730">
        <f>HYPERLINK("https://www.philgeps.gov.ph/GEPSNONPILOT/Tender/SplashBidNoticeAbstractUI.aspx?menuIndex=3&amp;refID=7067000&amp;Result=3","7067000")</f>
        <v>0</v>
      </c>
      <c r="B4730" t="s">
        <v>791</v>
      </c>
      <c r="C4730" t="s">
        <v>7914</v>
      </c>
      <c r="D4730" t="s">
        <v>16679</v>
      </c>
      <c r="E4730" t="s">
        <v>20958</v>
      </c>
      <c r="F4730" t="s">
        <v>28669</v>
      </c>
      <c r="G4730" t="s">
        <v>28677</v>
      </c>
      <c r="H4730" t="s">
        <v>28686</v>
      </c>
      <c r="I4730" t="s">
        <v>28689</v>
      </c>
      <c r="J4730" t="s">
        <v>31863</v>
      </c>
      <c r="K4730" t="s">
        <v>37204</v>
      </c>
      <c r="M4730" t="s">
        <v>38305</v>
      </c>
      <c r="N4730" t="s">
        <v>41249</v>
      </c>
      <c r="O4730" t="s">
        <v>41250</v>
      </c>
      <c r="P4730">
        <v>0</v>
      </c>
      <c r="Q4730">
        <v>0</v>
      </c>
      <c r="R4730" t="s">
        <v>41254</v>
      </c>
      <c r="S4730" t="s">
        <v>41425</v>
      </c>
      <c r="T4730" t="s">
        <v>42754</v>
      </c>
      <c r="U4730" t="s">
        <v>47098</v>
      </c>
      <c r="W4730" t="s">
        <v>38305</v>
      </c>
      <c r="X4730" t="s">
        <v>41259</v>
      </c>
    </row>
    <row r="4731" spans="1:24">
      <c r="A4731">
        <f>HYPERLINK("https://www.philgeps.gov.ph/GEPSNONPILOT/Tender/SplashBidNoticeAbstractUI.aspx?menuIndex=3&amp;refID=7061552&amp;Result=3","7061552")</f>
        <v>0</v>
      </c>
      <c r="B4731" t="s">
        <v>962</v>
      </c>
      <c r="C4731" t="s">
        <v>7915</v>
      </c>
      <c r="D4731" t="s">
        <v>16611</v>
      </c>
      <c r="E4731" t="s">
        <v>20959</v>
      </c>
      <c r="F4731" t="s">
        <v>28669</v>
      </c>
      <c r="G4731" t="s">
        <v>28675</v>
      </c>
      <c r="H4731" t="s">
        <v>28686</v>
      </c>
      <c r="I4731" t="s">
        <v>28689</v>
      </c>
      <c r="J4731" t="s">
        <v>31864</v>
      </c>
      <c r="K4731" t="s">
        <v>37213</v>
      </c>
      <c r="M4731" t="s">
        <v>38487</v>
      </c>
      <c r="N4731" t="s">
        <v>41249</v>
      </c>
      <c r="O4731" t="s">
        <v>41250</v>
      </c>
      <c r="P4731">
        <v>0</v>
      </c>
      <c r="Q4731">
        <v>1</v>
      </c>
      <c r="R4731" t="s">
        <v>41254</v>
      </c>
      <c r="S4731" t="s">
        <v>41425</v>
      </c>
      <c r="T4731" t="s">
        <v>42759</v>
      </c>
      <c r="U4731" t="s">
        <v>47099</v>
      </c>
      <c r="W4731" t="s">
        <v>38487</v>
      </c>
      <c r="X4731" t="s">
        <v>41261</v>
      </c>
    </row>
    <row r="4732" spans="1:24">
      <c r="A4732">
        <f>HYPERLINK("https://www.philgeps.gov.ph/GEPSNONPILOT/Tender/SplashBidNoticeAbstractUI.aspx?menuIndex=3&amp;refID=7067460&amp;Result=3","7067460")</f>
        <v>0</v>
      </c>
      <c r="B4732" t="s">
        <v>1687</v>
      </c>
      <c r="C4732" t="s">
        <v>7916</v>
      </c>
      <c r="D4732" t="s">
        <v>16627</v>
      </c>
      <c r="E4732" t="s">
        <v>20960</v>
      </c>
      <c r="F4732" t="s">
        <v>28669</v>
      </c>
      <c r="G4732" t="s">
        <v>28675</v>
      </c>
      <c r="H4732" t="s">
        <v>9998</v>
      </c>
      <c r="I4732" t="s">
        <v>28713</v>
      </c>
      <c r="J4732" t="s">
        <v>30588</v>
      </c>
      <c r="K4732" t="s">
        <v>37220</v>
      </c>
      <c r="M4732" t="s">
        <v>39282</v>
      </c>
      <c r="N4732" t="s">
        <v>41249</v>
      </c>
      <c r="O4732" t="s">
        <v>41250</v>
      </c>
      <c r="P4732">
        <v>0</v>
      </c>
      <c r="Q4732">
        <v>8</v>
      </c>
      <c r="R4732" t="s">
        <v>41254</v>
      </c>
      <c r="S4732" t="s">
        <v>41425</v>
      </c>
      <c r="T4732" t="s">
        <v>42717</v>
      </c>
      <c r="U4732" t="s">
        <v>47100</v>
      </c>
      <c r="W4732" t="s">
        <v>39282</v>
      </c>
      <c r="X4732" t="s">
        <v>41258</v>
      </c>
    </row>
    <row r="4733" spans="1:24">
      <c r="A4733">
        <f>HYPERLINK("https://www.philgeps.gov.ph/GEPSNONPILOT/Tender/SplashBidNoticeAbstractUI.aspx?menuIndex=3&amp;refID=7066990&amp;Result=3","7066990")</f>
        <v>0</v>
      </c>
      <c r="B4733" t="s">
        <v>791</v>
      </c>
      <c r="C4733" t="s">
        <v>7917</v>
      </c>
      <c r="D4733" t="s">
        <v>16679</v>
      </c>
      <c r="E4733" t="s">
        <v>20961</v>
      </c>
      <c r="F4733" t="s">
        <v>28669</v>
      </c>
      <c r="G4733" t="s">
        <v>28677</v>
      </c>
      <c r="H4733" t="s">
        <v>9998</v>
      </c>
      <c r="I4733" t="s">
        <v>28709</v>
      </c>
      <c r="J4733" t="s">
        <v>31865</v>
      </c>
      <c r="K4733" t="s">
        <v>37204</v>
      </c>
      <c r="M4733" t="s">
        <v>38305</v>
      </c>
      <c r="N4733" t="s">
        <v>41249</v>
      </c>
      <c r="O4733" t="s">
        <v>41250</v>
      </c>
      <c r="P4733">
        <v>0</v>
      </c>
      <c r="Q4733">
        <v>6</v>
      </c>
      <c r="R4733" t="s">
        <v>41254</v>
      </c>
      <c r="S4733" t="s">
        <v>41425</v>
      </c>
      <c r="T4733" t="s">
        <v>42754</v>
      </c>
      <c r="U4733" t="s">
        <v>47101</v>
      </c>
      <c r="W4733" t="s">
        <v>38305</v>
      </c>
      <c r="X4733" t="s">
        <v>41259</v>
      </c>
    </row>
    <row r="4734" spans="1:24">
      <c r="A4734">
        <f>HYPERLINK("https://www.philgeps.gov.ph/GEPSNONPILOT/Tender/SplashBidNoticeAbstractUI.aspx?menuIndex=3&amp;refID=7064371&amp;Result=3","7064371")</f>
        <v>0</v>
      </c>
      <c r="B4734" t="s">
        <v>1688</v>
      </c>
      <c r="C4734" t="s">
        <v>7918</v>
      </c>
      <c r="D4734" t="s">
        <v>16643</v>
      </c>
      <c r="E4734" t="s">
        <v>16737</v>
      </c>
      <c r="F4734" t="s">
        <v>28669</v>
      </c>
      <c r="G4734" t="s">
        <v>28677</v>
      </c>
      <c r="H4734" t="s">
        <v>9998</v>
      </c>
      <c r="I4734" t="s">
        <v>5213</v>
      </c>
      <c r="J4734" t="s">
        <v>31866</v>
      </c>
      <c r="K4734" t="s">
        <v>37205</v>
      </c>
      <c r="M4734" t="s">
        <v>39283</v>
      </c>
      <c r="N4734" t="s">
        <v>41249</v>
      </c>
      <c r="O4734" t="s">
        <v>41250</v>
      </c>
      <c r="P4734">
        <v>0</v>
      </c>
      <c r="Q4734">
        <v>0</v>
      </c>
      <c r="R4734" t="s">
        <v>41254</v>
      </c>
      <c r="S4734" t="s">
        <v>41425</v>
      </c>
      <c r="T4734" t="s">
        <v>42972</v>
      </c>
      <c r="U4734" t="s">
        <v>44003</v>
      </c>
      <c r="W4734" t="s">
        <v>39283</v>
      </c>
      <c r="X4734" t="s">
        <v>41260</v>
      </c>
    </row>
    <row r="4735" spans="1:24">
      <c r="A4735">
        <f>HYPERLINK("https://www.philgeps.gov.ph/GEPSNONPILOT/Tender/SplashBidNoticeAbstractUI.aspx?menuIndex=3&amp;refID=7066665&amp;Result=3","7066665")</f>
        <v>0</v>
      </c>
      <c r="B4735" t="s">
        <v>1689</v>
      </c>
      <c r="C4735" t="s">
        <v>7919</v>
      </c>
      <c r="D4735" t="s">
        <v>16641</v>
      </c>
      <c r="E4735" t="s">
        <v>20962</v>
      </c>
      <c r="F4735" t="s">
        <v>28669</v>
      </c>
      <c r="G4735" t="s">
        <v>28676</v>
      </c>
      <c r="H4735" t="s">
        <v>9998</v>
      </c>
      <c r="I4735" t="s">
        <v>3679</v>
      </c>
      <c r="J4735" t="s">
        <v>31867</v>
      </c>
      <c r="K4735" t="s">
        <v>37210</v>
      </c>
      <c r="M4735" t="s">
        <v>39284</v>
      </c>
      <c r="N4735" t="s">
        <v>41249</v>
      </c>
      <c r="O4735" t="s">
        <v>41250</v>
      </c>
      <c r="P4735">
        <v>0</v>
      </c>
      <c r="Q4735">
        <v>0</v>
      </c>
      <c r="R4735" t="s">
        <v>41254</v>
      </c>
      <c r="S4735" t="s">
        <v>41425</v>
      </c>
      <c r="T4735" t="s">
        <v>42727</v>
      </c>
      <c r="U4735" t="s">
        <v>47102</v>
      </c>
      <c r="W4735" t="s">
        <v>39284</v>
      </c>
      <c r="X4735" t="s">
        <v>41259</v>
      </c>
    </row>
    <row r="4736" spans="1:24">
      <c r="A4736">
        <f>HYPERLINK("https://www.philgeps.gov.ph/GEPSNONPILOT/Tender/SplashBidNoticeAbstractUI.aspx?menuIndex=3&amp;refID=7066640&amp;Result=3","7066640")</f>
        <v>0</v>
      </c>
      <c r="B4736" t="s">
        <v>1689</v>
      </c>
      <c r="C4736" t="s">
        <v>7920</v>
      </c>
      <c r="D4736" t="s">
        <v>16641</v>
      </c>
      <c r="E4736" t="s">
        <v>20963</v>
      </c>
      <c r="F4736" t="s">
        <v>28669</v>
      </c>
      <c r="G4736" t="s">
        <v>28676</v>
      </c>
      <c r="H4736" t="s">
        <v>9998</v>
      </c>
      <c r="I4736" t="s">
        <v>6606</v>
      </c>
      <c r="J4736" t="s">
        <v>29552</v>
      </c>
      <c r="K4736" t="s">
        <v>37210</v>
      </c>
      <c r="M4736" t="s">
        <v>39284</v>
      </c>
      <c r="N4736" t="s">
        <v>41249</v>
      </c>
      <c r="O4736" t="s">
        <v>41250</v>
      </c>
      <c r="P4736">
        <v>0</v>
      </c>
      <c r="Q4736">
        <v>0</v>
      </c>
      <c r="R4736" t="s">
        <v>41254</v>
      </c>
      <c r="S4736" t="s">
        <v>41425</v>
      </c>
      <c r="T4736" t="s">
        <v>42727</v>
      </c>
      <c r="U4736" t="s">
        <v>47103</v>
      </c>
      <c r="W4736" t="s">
        <v>39284</v>
      </c>
      <c r="X4736" t="s">
        <v>41259</v>
      </c>
    </row>
    <row r="4737" spans="1:24">
      <c r="A4737">
        <f>HYPERLINK("https://www.philgeps.gov.ph/GEPSNONPILOT/Tender/SplashBidNoticeAbstractUI.aspx?menuIndex=3&amp;refID=7065564&amp;Result=3","7065564")</f>
        <v>0</v>
      </c>
      <c r="B4737" t="s">
        <v>1690</v>
      </c>
      <c r="C4737" t="s">
        <v>7921</v>
      </c>
      <c r="D4737" t="s">
        <v>16676</v>
      </c>
      <c r="E4737" t="s">
        <v>20964</v>
      </c>
      <c r="F4737" t="s">
        <v>28669</v>
      </c>
      <c r="G4737" t="s">
        <v>28675</v>
      </c>
      <c r="H4737" t="s">
        <v>9998</v>
      </c>
      <c r="I4737" t="s">
        <v>7352</v>
      </c>
      <c r="J4737" t="s">
        <v>31868</v>
      </c>
      <c r="K4737" t="s">
        <v>37210</v>
      </c>
      <c r="M4737" t="s">
        <v>39285</v>
      </c>
      <c r="N4737" t="s">
        <v>41249</v>
      </c>
      <c r="O4737" t="s">
        <v>41250</v>
      </c>
      <c r="P4737">
        <v>0</v>
      </c>
      <c r="Q4737">
        <v>1</v>
      </c>
      <c r="R4737" t="s">
        <v>41254</v>
      </c>
      <c r="S4737" t="s">
        <v>41425</v>
      </c>
      <c r="T4737" t="s">
        <v>42754</v>
      </c>
      <c r="U4737" t="s">
        <v>47104</v>
      </c>
      <c r="V4737" t="s">
        <v>54769</v>
      </c>
      <c r="W4737" t="s">
        <v>39285</v>
      </c>
      <c r="X4737" t="s">
        <v>41259</v>
      </c>
    </row>
    <row r="4738" spans="1:24">
      <c r="A4738">
        <f>HYPERLINK("https://www.philgeps.gov.ph/GEPSNONPILOT/Tender/SplashBidNoticeAbstractUI.aspx?menuIndex=3&amp;refID=7066345&amp;Result=3","7066345")</f>
        <v>0</v>
      </c>
      <c r="B4738" t="s">
        <v>1689</v>
      </c>
      <c r="C4738" t="s">
        <v>7922</v>
      </c>
      <c r="D4738" t="s">
        <v>16641</v>
      </c>
      <c r="E4738" t="s">
        <v>20965</v>
      </c>
      <c r="F4738" t="s">
        <v>28669</v>
      </c>
      <c r="G4738" t="s">
        <v>28676</v>
      </c>
      <c r="H4738" t="s">
        <v>9998</v>
      </c>
      <c r="I4738" t="s">
        <v>28687</v>
      </c>
      <c r="J4738" t="s">
        <v>31869</v>
      </c>
      <c r="K4738" t="s">
        <v>37210</v>
      </c>
      <c r="M4738" t="s">
        <v>39284</v>
      </c>
      <c r="N4738" t="s">
        <v>41249</v>
      </c>
      <c r="O4738" t="s">
        <v>41250</v>
      </c>
      <c r="P4738">
        <v>0</v>
      </c>
      <c r="Q4738">
        <v>0</v>
      </c>
      <c r="R4738" t="s">
        <v>41254</v>
      </c>
      <c r="S4738" t="s">
        <v>41425</v>
      </c>
      <c r="T4738" t="s">
        <v>42727</v>
      </c>
      <c r="U4738" t="s">
        <v>47105</v>
      </c>
      <c r="W4738" t="s">
        <v>39284</v>
      </c>
      <c r="X4738" t="s">
        <v>41259</v>
      </c>
    </row>
    <row r="4739" spans="1:24">
      <c r="A4739">
        <f>HYPERLINK("https://www.philgeps.gov.ph/GEPSNONPILOT/Tender/SplashBidNoticeAbstractUI.aspx?menuIndex=3&amp;refID=7061540&amp;Result=3","7061540")</f>
        <v>0</v>
      </c>
      <c r="B4739" t="s">
        <v>962</v>
      </c>
      <c r="C4739" t="s">
        <v>7923</v>
      </c>
      <c r="D4739" t="s">
        <v>16611</v>
      </c>
      <c r="E4739" t="s">
        <v>20966</v>
      </c>
      <c r="F4739" t="s">
        <v>28669</v>
      </c>
      <c r="G4739" t="s">
        <v>28675</v>
      </c>
      <c r="H4739" t="s">
        <v>28686</v>
      </c>
      <c r="I4739" t="s">
        <v>28689</v>
      </c>
      <c r="J4739" t="s">
        <v>31870</v>
      </c>
      <c r="K4739" t="s">
        <v>37220</v>
      </c>
      <c r="M4739" t="s">
        <v>38487</v>
      </c>
      <c r="N4739" t="s">
        <v>41249</v>
      </c>
      <c r="O4739" t="s">
        <v>41250</v>
      </c>
      <c r="P4739">
        <v>0</v>
      </c>
      <c r="Q4739">
        <v>0</v>
      </c>
      <c r="R4739" t="s">
        <v>41254</v>
      </c>
      <c r="S4739" t="s">
        <v>41425</v>
      </c>
      <c r="T4739" t="s">
        <v>42759</v>
      </c>
      <c r="U4739" t="s">
        <v>47106</v>
      </c>
      <c r="W4739" t="s">
        <v>38487</v>
      </c>
      <c r="X4739" t="s">
        <v>41261</v>
      </c>
    </row>
    <row r="4740" spans="1:24">
      <c r="A4740">
        <f>HYPERLINK("https://www.philgeps.gov.ph/GEPSNONPILOT/Tender/SplashBidNoticeAbstractUI.aspx?menuIndex=3&amp;refID=7067832&amp;Result=3","7067832")</f>
        <v>0</v>
      </c>
      <c r="B4740" t="s">
        <v>1691</v>
      </c>
      <c r="C4740" t="s">
        <v>7924</v>
      </c>
      <c r="D4740" t="s">
        <v>16654</v>
      </c>
      <c r="E4740" t="s">
        <v>20967</v>
      </c>
      <c r="F4740" t="s">
        <v>28669</v>
      </c>
      <c r="G4740" t="s">
        <v>28675</v>
      </c>
      <c r="H4740" t="s">
        <v>9998</v>
      </c>
      <c r="I4740" t="s">
        <v>5286</v>
      </c>
      <c r="J4740" t="s">
        <v>31871</v>
      </c>
      <c r="K4740" t="s">
        <v>37206</v>
      </c>
      <c r="M4740" t="s">
        <v>39286</v>
      </c>
      <c r="N4740" t="s">
        <v>41249</v>
      </c>
      <c r="O4740" t="s">
        <v>41250</v>
      </c>
      <c r="P4740">
        <v>0</v>
      </c>
      <c r="Q4740">
        <v>1</v>
      </c>
      <c r="R4740" t="s">
        <v>41254</v>
      </c>
      <c r="S4740" t="s">
        <v>41425</v>
      </c>
      <c r="T4740" t="s">
        <v>42973</v>
      </c>
      <c r="U4740" t="s">
        <v>47107</v>
      </c>
      <c r="W4740" t="s">
        <v>39286</v>
      </c>
      <c r="X4740" t="s">
        <v>41258</v>
      </c>
    </row>
    <row r="4741" spans="1:24">
      <c r="A4741">
        <f>HYPERLINK("https://www.philgeps.gov.ph/GEPSNONPILOT/Tender/SplashBidNoticeAbstractUI.aspx?menuIndex=3&amp;refID=7067830&amp;Result=3","7067830")</f>
        <v>0</v>
      </c>
      <c r="B4741" t="s">
        <v>937</v>
      </c>
      <c r="C4741" t="s">
        <v>7925</v>
      </c>
      <c r="E4741" t="s">
        <v>20968</v>
      </c>
      <c r="F4741" t="s">
        <v>28669</v>
      </c>
      <c r="G4741" t="s">
        <v>28676</v>
      </c>
      <c r="H4741" t="s">
        <v>9998</v>
      </c>
      <c r="I4741" t="s">
        <v>3679</v>
      </c>
      <c r="J4741" t="s">
        <v>29191</v>
      </c>
      <c r="K4741" t="s">
        <v>37227</v>
      </c>
      <c r="M4741" t="s">
        <v>39281</v>
      </c>
      <c r="N4741" t="s">
        <v>41249</v>
      </c>
      <c r="O4741" t="s">
        <v>41250</v>
      </c>
      <c r="P4741">
        <v>0</v>
      </c>
      <c r="Q4741">
        <v>0</v>
      </c>
      <c r="R4741" t="s">
        <v>41254</v>
      </c>
      <c r="S4741" t="s">
        <v>41425</v>
      </c>
      <c r="T4741" t="s">
        <v>42754</v>
      </c>
      <c r="U4741" t="s">
        <v>47097</v>
      </c>
      <c r="W4741" t="s">
        <v>39281</v>
      </c>
      <c r="X4741" t="s">
        <v>41258</v>
      </c>
    </row>
    <row r="4742" spans="1:24">
      <c r="A4742">
        <f>HYPERLINK("https://www.philgeps.gov.ph/GEPSNONPILOT/Tender/SplashBidNoticeAbstractUI.aspx?menuIndex=3&amp;refID=7067711&amp;Result=3","7067711")</f>
        <v>0</v>
      </c>
      <c r="B4742" t="s">
        <v>1692</v>
      </c>
      <c r="C4742" t="s">
        <v>7926</v>
      </c>
      <c r="E4742" t="s">
        <v>20969</v>
      </c>
      <c r="F4742" t="s">
        <v>28669</v>
      </c>
      <c r="G4742" t="s">
        <v>28676</v>
      </c>
      <c r="H4742" t="s">
        <v>9998</v>
      </c>
      <c r="I4742" t="s">
        <v>28731</v>
      </c>
      <c r="J4742" t="s">
        <v>31872</v>
      </c>
      <c r="K4742" t="s">
        <v>37210</v>
      </c>
      <c r="M4742" t="s">
        <v>39287</v>
      </c>
      <c r="N4742" t="s">
        <v>41249</v>
      </c>
      <c r="O4742" t="s">
        <v>41250</v>
      </c>
      <c r="P4742">
        <v>0</v>
      </c>
      <c r="Q4742">
        <v>6</v>
      </c>
      <c r="R4742" t="s">
        <v>41254</v>
      </c>
      <c r="S4742" t="s">
        <v>41425</v>
      </c>
      <c r="T4742" t="s">
        <v>42887</v>
      </c>
      <c r="U4742" t="s">
        <v>47108</v>
      </c>
      <c r="W4742" t="s">
        <v>39287</v>
      </c>
      <c r="X4742" t="s">
        <v>41258</v>
      </c>
    </row>
    <row r="4743" spans="1:24">
      <c r="A4743">
        <f>HYPERLINK("https://www.philgeps.gov.ph/GEPSNONPILOT/Tender/SplashBidNoticeAbstractUI.aspx?menuIndex=3&amp;refID=7067525&amp;Result=3","7067525")</f>
        <v>0</v>
      </c>
      <c r="B4743" t="s">
        <v>988</v>
      </c>
      <c r="C4743" t="s">
        <v>7927</v>
      </c>
      <c r="D4743" t="s">
        <v>16635</v>
      </c>
      <c r="E4743" t="s">
        <v>20970</v>
      </c>
      <c r="F4743" t="s">
        <v>28669</v>
      </c>
      <c r="G4743" t="s">
        <v>28677</v>
      </c>
      <c r="H4743" t="s">
        <v>9998</v>
      </c>
      <c r="I4743" t="s">
        <v>28696</v>
      </c>
      <c r="J4743" t="s">
        <v>30567</v>
      </c>
      <c r="K4743" t="s">
        <v>37220</v>
      </c>
      <c r="M4743" t="s">
        <v>39288</v>
      </c>
      <c r="N4743" t="s">
        <v>41249</v>
      </c>
      <c r="O4743" t="s">
        <v>41250</v>
      </c>
      <c r="P4743">
        <v>0</v>
      </c>
      <c r="Q4743">
        <v>2</v>
      </c>
      <c r="R4743" t="s">
        <v>41254</v>
      </c>
      <c r="S4743" t="s">
        <v>41425</v>
      </c>
      <c r="T4743" t="s">
        <v>42673</v>
      </c>
      <c r="U4743" t="s">
        <v>47109</v>
      </c>
      <c r="V4743" t="s">
        <v>54770</v>
      </c>
      <c r="W4743" t="s">
        <v>39288</v>
      </c>
      <c r="X4743" t="s">
        <v>41258</v>
      </c>
    </row>
    <row r="4744" spans="1:24">
      <c r="A4744">
        <f>HYPERLINK("https://www.philgeps.gov.ph/GEPSNONPILOT/Tender/SplashBidNoticeAbstractUI.aspx?menuIndex=3&amp;refID=7066602&amp;Result=3","7066602")</f>
        <v>0</v>
      </c>
      <c r="B4744" t="s">
        <v>1693</v>
      </c>
      <c r="C4744" t="s">
        <v>7928</v>
      </c>
      <c r="D4744" t="s">
        <v>16684</v>
      </c>
      <c r="E4744" t="s">
        <v>19785</v>
      </c>
      <c r="F4744" t="s">
        <v>28669</v>
      </c>
      <c r="G4744" t="s">
        <v>28675</v>
      </c>
      <c r="H4744" t="s">
        <v>9998</v>
      </c>
      <c r="I4744" t="s">
        <v>28695</v>
      </c>
      <c r="J4744" t="s">
        <v>31873</v>
      </c>
      <c r="K4744" t="s">
        <v>37204</v>
      </c>
      <c r="M4744" t="s">
        <v>39289</v>
      </c>
      <c r="N4744" t="s">
        <v>41249</v>
      </c>
      <c r="O4744" t="s">
        <v>41250</v>
      </c>
      <c r="P4744">
        <v>0</v>
      </c>
      <c r="Q4744">
        <v>0</v>
      </c>
      <c r="R4744" t="s">
        <v>41254</v>
      </c>
      <c r="S4744" t="s">
        <v>41425</v>
      </c>
      <c r="T4744" t="s">
        <v>42974</v>
      </c>
      <c r="U4744" t="s">
        <v>47110</v>
      </c>
      <c r="V4744" t="s">
        <v>54340</v>
      </c>
      <c r="W4744" t="s">
        <v>39289</v>
      </c>
      <c r="X4744" t="s">
        <v>41259</v>
      </c>
    </row>
    <row r="4745" spans="1:24">
      <c r="A4745">
        <f>HYPERLINK("https://www.philgeps.gov.ph/GEPSNONPILOT/Tender/SplashBidNoticeAbstractUI.aspx?menuIndex=3&amp;refID=7063569&amp;Result=3","7063569")</f>
        <v>0</v>
      </c>
      <c r="B4745" t="s">
        <v>1676</v>
      </c>
      <c r="C4745" t="s">
        <v>7929</v>
      </c>
      <c r="D4745" t="s">
        <v>16654</v>
      </c>
      <c r="E4745" t="s">
        <v>20971</v>
      </c>
      <c r="F4745" t="s">
        <v>28669</v>
      </c>
      <c r="G4745" t="s">
        <v>28675</v>
      </c>
      <c r="H4745" t="s">
        <v>28686</v>
      </c>
      <c r="I4745" t="s">
        <v>28689</v>
      </c>
      <c r="J4745" t="s">
        <v>31874</v>
      </c>
      <c r="K4745" t="s">
        <v>37209</v>
      </c>
      <c r="M4745" t="s">
        <v>39270</v>
      </c>
      <c r="N4745" t="s">
        <v>41249</v>
      </c>
      <c r="O4745" t="s">
        <v>41250</v>
      </c>
      <c r="P4745">
        <v>0</v>
      </c>
      <c r="Q4745">
        <v>2</v>
      </c>
      <c r="R4745" t="s">
        <v>41254</v>
      </c>
      <c r="S4745" t="s">
        <v>41425</v>
      </c>
      <c r="T4745" t="s">
        <v>42751</v>
      </c>
      <c r="U4745" t="s">
        <v>47111</v>
      </c>
      <c r="V4745" t="s">
        <v>54771</v>
      </c>
      <c r="W4745" t="s">
        <v>39270</v>
      </c>
      <c r="X4745" t="s">
        <v>41260</v>
      </c>
    </row>
    <row r="4746" spans="1:24">
      <c r="A4746">
        <f>HYPERLINK("https://www.philgeps.gov.ph/GEPSNONPILOT/Tender/SplashBidNoticeAbstractUI.aspx?menuIndex=3&amp;refID=7067520&amp;Result=3","7067520")</f>
        <v>0</v>
      </c>
      <c r="B4746" t="s">
        <v>1687</v>
      </c>
      <c r="C4746" t="s">
        <v>7930</v>
      </c>
      <c r="D4746" t="s">
        <v>16627</v>
      </c>
      <c r="E4746" t="s">
        <v>20972</v>
      </c>
      <c r="F4746" t="s">
        <v>28669</v>
      </c>
      <c r="G4746" t="s">
        <v>28675</v>
      </c>
      <c r="H4746" t="s">
        <v>9998</v>
      </c>
      <c r="I4746" t="s">
        <v>28690</v>
      </c>
      <c r="J4746" t="s">
        <v>31875</v>
      </c>
      <c r="K4746" t="s">
        <v>37220</v>
      </c>
      <c r="M4746" t="s">
        <v>39282</v>
      </c>
      <c r="N4746" t="s">
        <v>41249</v>
      </c>
      <c r="O4746" t="s">
        <v>41250</v>
      </c>
      <c r="P4746">
        <v>0</v>
      </c>
      <c r="Q4746">
        <v>4</v>
      </c>
      <c r="R4746" t="s">
        <v>41254</v>
      </c>
      <c r="S4746" t="s">
        <v>41425</v>
      </c>
      <c r="T4746" t="s">
        <v>42717</v>
      </c>
      <c r="U4746" t="s">
        <v>47112</v>
      </c>
      <c r="W4746" t="s">
        <v>39282</v>
      </c>
      <c r="X4746" t="s">
        <v>41258</v>
      </c>
    </row>
    <row r="4747" spans="1:24">
      <c r="A4747">
        <f>HYPERLINK("https://www.philgeps.gov.ph/GEPSNONPILOT/Tender/SplashBidNoticeAbstractUI.aspx?menuIndex=3&amp;refID=7066032&amp;Result=3","7066032")</f>
        <v>0</v>
      </c>
      <c r="B4747" t="s">
        <v>1421</v>
      </c>
      <c r="C4747" t="s">
        <v>7931</v>
      </c>
      <c r="D4747" t="s">
        <v>16619</v>
      </c>
      <c r="E4747" t="s">
        <v>20973</v>
      </c>
      <c r="F4747" t="s">
        <v>28669</v>
      </c>
      <c r="G4747" t="s">
        <v>28675</v>
      </c>
      <c r="H4747" t="s">
        <v>9998</v>
      </c>
      <c r="I4747" t="s">
        <v>28697</v>
      </c>
      <c r="J4747" t="s">
        <v>31876</v>
      </c>
      <c r="K4747" t="s">
        <v>37221</v>
      </c>
      <c r="M4747" t="s">
        <v>38984</v>
      </c>
      <c r="N4747" t="s">
        <v>41249</v>
      </c>
      <c r="O4747" t="s">
        <v>41250</v>
      </c>
      <c r="P4747">
        <v>0</v>
      </c>
      <c r="Q4747">
        <v>7</v>
      </c>
      <c r="R4747" t="s">
        <v>41254</v>
      </c>
      <c r="S4747" t="s">
        <v>41425</v>
      </c>
      <c r="T4747" t="s">
        <v>42757</v>
      </c>
      <c r="U4747" t="s">
        <v>47113</v>
      </c>
      <c r="W4747" t="s">
        <v>38984</v>
      </c>
      <c r="X4747" t="s">
        <v>41259</v>
      </c>
    </row>
    <row r="4748" spans="1:24">
      <c r="A4748">
        <f>HYPERLINK("https://www.philgeps.gov.ph/GEPSNONPILOT/Tender/SplashBidNoticeAbstractUI.aspx?menuIndex=3&amp;refID=7065735&amp;Result=3","7065735")</f>
        <v>0</v>
      </c>
      <c r="B4748" t="s">
        <v>937</v>
      </c>
      <c r="C4748" t="s">
        <v>7932</v>
      </c>
      <c r="E4748" t="s">
        <v>20974</v>
      </c>
      <c r="F4748" t="s">
        <v>28669</v>
      </c>
      <c r="G4748" t="s">
        <v>28676</v>
      </c>
      <c r="H4748" t="s">
        <v>9998</v>
      </c>
      <c r="I4748" t="s">
        <v>3679</v>
      </c>
      <c r="J4748" t="s">
        <v>31877</v>
      </c>
      <c r="K4748" t="s">
        <v>37227</v>
      </c>
      <c r="M4748" t="s">
        <v>39281</v>
      </c>
      <c r="N4748" t="s">
        <v>41249</v>
      </c>
      <c r="O4748" t="s">
        <v>41250</v>
      </c>
      <c r="P4748">
        <v>0</v>
      </c>
      <c r="Q4748">
        <v>1</v>
      </c>
      <c r="R4748" t="s">
        <v>41254</v>
      </c>
      <c r="S4748" t="s">
        <v>41425</v>
      </c>
      <c r="T4748" t="s">
        <v>42754</v>
      </c>
      <c r="U4748" t="s">
        <v>47097</v>
      </c>
      <c r="W4748" t="s">
        <v>39281</v>
      </c>
      <c r="X4748" t="s">
        <v>41259</v>
      </c>
    </row>
    <row r="4749" spans="1:24">
      <c r="A4749">
        <f>HYPERLINK("https://www.philgeps.gov.ph/GEPSNONPILOT/Tender/SplashBidNoticeAbstractUI.aspx?menuIndex=3&amp;refID=7067862&amp;Result=3","7067862")</f>
        <v>0</v>
      </c>
      <c r="B4749" t="s">
        <v>937</v>
      </c>
      <c r="C4749" t="s">
        <v>7933</v>
      </c>
      <c r="E4749" t="s">
        <v>20975</v>
      </c>
      <c r="F4749" t="s">
        <v>28669</v>
      </c>
      <c r="G4749" t="s">
        <v>28676</v>
      </c>
      <c r="H4749" t="s">
        <v>9998</v>
      </c>
      <c r="I4749" t="s">
        <v>28688</v>
      </c>
      <c r="J4749" t="s">
        <v>31878</v>
      </c>
      <c r="K4749" t="s">
        <v>37204</v>
      </c>
      <c r="M4749" t="s">
        <v>39281</v>
      </c>
      <c r="N4749" t="s">
        <v>41249</v>
      </c>
      <c r="O4749" t="s">
        <v>41250</v>
      </c>
      <c r="P4749">
        <v>0</v>
      </c>
      <c r="Q4749">
        <v>9</v>
      </c>
      <c r="R4749" t="s">
        <v>41254</v>
      </c>
      <c r="S4749" t="s">
        <v>41425</v>
      </c>
      <c r="T4749" t="s">
        <v>42754</v>
      </c>
      <c r="U4749" t="s">
        <v>47097</v>
      </c>
      <c r="W4749" t="s">
        <v>39281</v>
      </c>
      <c r="X4749" t="s">
        <v>41258</v>
      </c>
    </row>
    <row r="4750" spans="1:24">
      <c r="A4750">
        <f>HYPERLINK("https://www.philgeps.gov.ph/GEPSNONPILOT/Tender/SplashBidNoticeAbstractUI.aspx?menuIndex=3&amp;refID=7067860&amp;Result=3","7067860")</f>
        <v>0</v>
      </c>
      <c r="B4750" t="s">
        <v>145</v>
      </c>
      <c r="C4750" t="s">
        <v>7934</v>
      </c>
      <c r="D4750" t="s">
        <v>16619</v>
      </c>
      <c r="E4750" t="s">
        <v>20976</v>
      </c>
      <c r="F4750" t="s">
        <v>28669</v>
      </c>
      <c r="G4750" t="s">
        <v>28676</v>
      </c>
      <c r="H4750" t="s">
        <v>28686</v>
      </c>
      <c r="I4750" t="s">
        <v>28689</v>
      </c>
      <c r="J4750" t="s">
        <v>29522</v>
      </c>
      <c r="K4750" t="s">
        <v>37206</v>
      </c>
      <c r="M4750" t="s">
        <v>37622</v>
      </c>
      <c r="N4750" t="s">
        <v>41249</v>
      </c>
      <c r="O4750" t="s">
        <v>41250</v>
      </c>
      <c r="P4750">
        <v>0</v>
      </c>
      <c r="Q4750">
        <v>1</v>
      </c>
      <c r="R4750" t="s">
        <v>41254</v>
      </c>
      <c r="S4750" t="s">
        <v>41425</v>
      </c>
      <c r="T4750" t="s">
        <v>42767</v>
      </c>
      <c r="U4750" t="s">
        <v>47114</v>
      </c>
      <c r="V4750" t="s">
        <v>54286</v>
      </c>
      <c r="W4750" t="s">
        <v>37622</v>
      </c>
      <c r="X4750" t="s">
        <v>41258</v>
      </c>
    </row>
    <row r="4751" spans="1:24">
      <c r="A4751">
        <f>HYPERLINK("https://www.philgeps.gov.ph/GEPSNONPILOT/Tender/SplashBidNoticeAbstractUI.aspx?menuIndex=3&amp;refID=7068459&amp;Result=3","7068459")</f>
        <v>0</v>
      </c>
      <c r="B4751" t="s">
        <v>1694</v>
      </c>
      <c r="C4751" t="s">
        <v>7935</v>
      </c>
      <c r="E4751" t="s">
        <v>20977</v>
      </c>
      <c r="F4751" t="s">
        <v>28669</v>
      </c>
      <c r="G4751" t="s">
        <v>28675</v>
      </c>
      <c r="H4751" t="s">
        <v>9998</v>
      </c>
      <c r="I4751" t="s">
        <v>28775</v>
      </c>
      <c r="J4751" t="s">
        <v>31879</v>
      </c>
      <c r="K4751" t="s">
        <v>37209</v>
      </c>
      <c r="M4751" t="s">
        <v>39290</v>
      </c>
      <c r="N4751" t="s">
        <v>41249</v>
      </c>
      <c r="O4751" t="s">
        <v>41250</v>
      </c>
      <c r="P4751">
        <v>0</v>
      </c>
      <c r="Q4751">
        <v>0</v>
      </c>
      <c r="R4751" t="s">
        <v>41254</v>
      </c>
      <c r="S4751" t="s">
        <v>41425</v>
      </c>
      <c r="T4751" t="s">
        <v>42692</v>
      </c>
      <c r="U4751" t="s">
        <v>47115</v>
      </c>
      <c r="V4751" t="s">
        <v>54772</v>
      </c>
      <c r="W4751" t="s">
        <v>39290</v>
      </c>
      <c r="X4751" t="s">
        <v>41258</v>
      </c>
    </row>
    <row r="4752" spans="1:24">
      <c r="A4752">
        <f>HYPERLINK("https://www.philgeps.gov.ph/GEPSNONPILOT/Tender/SplashBidNoticeAbstractUI.aspx?menuIndex=3&amp;refID=7067810&amp;Result=3","7067810")</f>
        <v>0</v>
      </c>
      <c r="B4752" t="s">
        <v>1691</v>
      </c>
      <c r="C4752" t="s">
        <v>7936</v>
      </c>
      <c r="D4752" t="s">
        <v>16654</v>
      </c>
      <c r="E4752" t="s">
        <v>20978</v>
      </c>
      <c r="F4752" t="s">
        <v>28669</v>
      </c>
      <c r="G4752" t="s">
        <v>28675</v>
      </c>
      <c r="H4752" t="s">
        <v>9998</v>
      </c>
      <c r="I4752" t="s">
        <v>5286</v>
      </c>
      <c r="J4752" t="s">
        <v>31880</v>
      </c>
      <c r="K4752" t="s">
        <v>37206</v>
      </c>
      <c r="M4752" t="s">
        <v>39286</v>
      </c>
      <c r="N4752" t="s">
        <v>41249</v>
      </c>
      <c r="O4752" t="s">
        <v>41250</v>
      </c>
      <c r="P4752">
        <v>0</v>
      </c>
      <c r="Q4752">
        <v>1</v>
      </c>
      <c r="R4752" t="s">
        <v>41254</v>
      </c>
      <c r="S4752" t="s">
        <v>41425</v>
      </c>
      <c r="T4752" t="s">
        <v>42754</v>
      </c>
      <c r="U4752" t="s">
        <v>47107</v>
      </c>
      <c r="W4752" t="s">
        <v>39286</v>
      </c>
      <c r="X4752" t="s">
        <v>41258</v>
      </c>
    </row>
    <row r="4753" spans="1:24">
      <c r="A4753">
        <f>HYPERLINK("https://www.philgeps.gov.ph/GEPSNONPILOT/Tender/SplashBidNoticeAbstractUI.aspx?menuIndex=3&amp;refID=7068448&amp;Result=3","7068448")</f>
        <v>0</v>
      </c>
      <c r="B4753" t="s">
        <v>1694</v>
      </c>
      <c r="C4753" t="s">
        <v>7937</v>
      </c>
      <c r="D4753" t="s">
        <v>16616</v>
      </c>
      <c r="E4753" t="s">
        <v>20979</v>
      </c>
      <c r="F4753" t="s">
        <v>28669</v>
      </c>
      <c r="G4753" t="s">
        <v>28675</v>
      </c>
      <c r="H4753" t="s">
        <v>9998</v>
      </c>
      <c r="I4753" t="s">
        <v>11593</v>
      </c>
      <c r="J4753" t="s">
        <v>31881</v>
      </c>
      <c r="K4753" t="s">
        <v>37209</v>
      </c>
      <c r="M4753" t="s">
        <v>39290</v>
      </c>
      <c r="N4753" t="s">
        <v>41249</v>
      </c>
      <c r="O4753" t="s">
        <v>41250</v>
      </c>
      <c r="P4753">
        <v>0</v>
      </c>
      <c r="Q4753">
        <v>4</v>
      </c>
      <c r="R4753" t="s">
        <v>41254</v>
      </c>
      <c r="S4753" t="s">
        <v>41425</v>
      </c>
      <c r="T4753" t="s">
        <v>42692</v>
      </c>
      <c r="U4753" t="s">
        <v>47116</v>
      </c>
      <c r="V4753" t="s">
        <v>54773</v>
      </c>
      <c r="W4753" t="s">
        <v>39290</v>
      </c>
      <c r="X4753" t="s">
        <v>41258</v>
      </c>
    </row>
    <row r="4754" spans="1:24">
      <c r="A4754">
        <f>HYPERLINK("https://www.philgeps.gov.ph/GEPSNONPILOT/Tender/SplashBidNoticeAbstractUI.aspx?menuIndex=3&amp;refID=7068438&amp;Result=3","7068438")</f>
        <v>0</v>
      </c>
      <c r="B4754" t="s">
        <v>1694</v>
      </c>
      <c r="C4754" t="s">
        <v>7938</v>
      </c>
      <c r="D4754" t="s">
        <v>16616</v>
      </c>
      <c r="E4754" t="s">
        <v>18438</v>
      </c>
      <c r="F4754" t="s">
        <v>28669</v>
      </c>
      <c r="G4754" t="s">
        <v>28675</v>
      </c>
      <c r="H4754" t="s">
        <v>9998</v>
      </c>
      <c r="I4754" t="s">
        <v>5213</v>
      </c>
      <c r="J4754" t="s">
        <v>31882</v>
      </c>
      <c r="K4754" t="s">
        <v>37209</v>
      </c>
      <c r="M4754" t="s">
        <v>39290</v>
      </c>
      <c r="N4754" t="s">
        <v>41249</v>
      </c>
      <c r="O4754" t="s">
        <v>41250</v>
      </c>
      <c r="P4754">
        <v>0</v>
      </c>
      <c r="Q4754">
        <v>7</v>
      </c>
      <c r="R4754" t="s">
        <v>41254</v>
      </c>
      <c r="S4754" t="s">
        <v>41425</v>
      </c>
      <c r="T4754" t="s">
        <v>42692</v>
      </c>
      <c r="U4754" t="s">
        <v>47117</v>
      </c>
      <c r="V4754" t="s">
        <v>54774</v>
      </c>
      <c r="W4754" t="s">
        <v>39290</v>
      </c>
      <c r="X4754" t="s">
        <v>41258</v>
      </c>
    </row>
    <row r="4755" spans="1:24">
      <c r="A4755">
        <f>HYPERLINK("https://www.philgeps.gov.ph/GEPSNONPILOT/Tender/SplashBidNoticeAbstractUI.aspx?menuIndex=3&amp;refID=7068432&amp;Result=3","7068432")</f>
        <v>0</v>
      </c>
      <c r="B4755" t="s">
        <v>1694</v>
      </c>
      <c r="C4755" t="s">
        <v>7939</v>
      </c>
      <c r="E4755" t="s">
        <v>20980</v>
      </c>
      <c r="F4755" t="s">
        <v>28669</v>
      </c>
      <c r="G4755" t="s">
        <v>28675</v>
      </c>
      <c r="H4755" t="s">
        <v>9998</v>
      </c>
      <c r="I4755" t="s">
        <v>28775</v>
      </c>
      <c r="J4755" t="s">
        <v>31761</v>
      </c>
      <c r="K4755" t="s">
        <v>37209</v>
      </c>
      <c r="M4755" t="s">
        <v>39290</v>
      </c>
      <c r="N4755" t="s">
        <v>41249</v>
      </c>
      <c r="O4755" t="s">
        <v>41250</v>
      </c>
      <c r="P4755">
        <v>0</v>
      </c>
      <c r="Q4755">
        <v>0</v>
      </c>
      <c r="R4755" t="s">
        <v>41254</v>
      </c>
      <c r="S4755" t="s">
        <v>41425</v>
      </c>
      <c r="T4755" t="s">
        <v>42692</v>
      </c>
      <c r="U4755" t="s">
        <v>47118</v>
      </c>
      <c r="V4755" t="s">
        <v>54775</v>
      </c>
      <c r="W4755" t="s">
        <v>39290</v>
      </c>
      <c r="X4755" t="s">
        <v>41258</v>
      </c>
    </row>
    <row r="4756" spans="1:24">
      <c r="A4756">
        <f>HYPERLINK("https://www.philgeps.gov.ph/GEPSNONPILOT/Tender/SplashBidNoticeAbstractUI.aspx?menuIndex=3&amp;refID=7067481&amp;Result=3","7067481")</f>
        <v>0</v>
      </c>
      <c r="B4756" t="s">
        <v>1687</v>
      </c>
      <c r="C4756" t="s">
        <v>7940</v>
      </c>
      <c r="D4756" t="s">
        <v>16627</v>
      </c>
      <c r="E4756" t="s">
        <v>20981</v>
      </c>
      <c r="F4756" t="s">
        <v>28669</v>
      </c>
      <c r="G4756" t="s">
        <v>28675</v>
      </c>
      <c r="H4756" t="s">
        <v>9998</v>
      </c>
      <c r="I4756" t="s">
        <v>5286</v>
      </c>
      <c r="J4756" t="s">
        <v>29077</v>
      </c>
      <c r="K4756" t="s">
        <v>37220</v>
      </c>
      <c r="M4756" t="s">
        <v>39282</v>
      </c>
      <c r="N4756" t="s">
        <v>41249</v>
      </c>
      <c r="O4756" t="s">
        <v>41250</v>
      </c>
      <c r="P4756">
        <v>0</v>
      </c>
      <c r="Q4756">
        <v>3</v>
      </c>
      <c r="R4756" t="s">
        <v>41254</v>
      </c>
      <c r="S4756" t="s">
        <v>41425</v>
      </c>
      <c r="T4756" t="s">
        <v>42717</v>
      </c>
      <c r="U4756" t="s">
        <v>47119</v>
      </c>
      <c r="W4756" t="s">
        <v>39282</v>
      </c>
      <c r="X4756" t="s">
        <v>41258</v>
      </c>
    </row>
    <row r="4757" spans="1:24">
      <c r="A4757">
        <f>HYPERLINK("https://www.philgeps.gov.ph/GEPSNONPILOT/Tender/SplashBidNoticeAbstractUI.aspx?menuIndex=3&amp;refID=7068295&amp;Result=3","7068295")</f>
        <v>0</v>
      </c>
      <c r="B4757" t="s">
        <v>1695</v>
      </c>
      <c r="C4757" t="s">
        <v>7941</v>
      </c>
      <c r="D4757" t="s">
        <v>16675</v>
      </c>
      <c r="E4757" t="s">
        <v>20982</v>
      </c>
      <c r="F4757" t="s">
        <v>28669</v>
      </c>
      <c r="G4757" t="s">
        <v>28675</v>
      </c>
      <c r="H4757" t="s">
        <v>9998</v>
      </c>
      <c r="I4757" t="s">
        <v>11593</v>
      </c>
      <c r="J4757" t="s">
        <v>31883</v>
      </c>
      <c r="K4757" t="s">
        <v>37213</v>
      </c>
      <c r="M4757" t="s">
        <v>39291</v>
      </c>
      <c r="N4757" t="s">
        <v>41249</v>
      </c>
      <c r="O4757" t="s">
        <v>41250</v>
      </c>
      <c r="P4757">
        <v>0</v>
      </c>
      <c r="Q4757">
        <v>4</v>
      </c>
      <c r="R4757" t="s">
        <v>41254</v>
      </c>
      <c r="S4757" t="s">
        <v>41425</v>
      </c>
      <c r="T4757" t="s">
        <v>42682</v>
      </c>
      <c r="U4757" t="s">
        <v>47120</v>
      </c>
      <c r="W4757" t="s">
        <v>39291</v>
      </c>
      <c r="X4757" t="s">
        <v>41258</v>
      </c>
    </row>
    <row r="4758" spans="1:24">
      <c r="A4758">
        <f>HYPERLINK("https://www.philgeps.gov.ph/GEPSNONPILOT/Tender/SplashBidNoticeAbstractUI.aspx?menuIndex=3&amp;refID=7065904&amp;Result=3","7065904")</f>
        <v>0</v>
      </c>
      <c r="B4758" t="s">
        <v>892</v>
      </c>
      <c r="C4758" t="s">
        <v>7942</v>
      </c>
      <c r="D4758" t="s">
        <v>16664</v>
      </c>
      <c r="E4758" t="s">
        <v>20983</v>
      </c>
      <c r="F4758" t="s">
        <v>28669</v>
      </c>
      <c r="G4758" t="s">
        <v>28676</v>
      </c>
      <c r="H4758" t="s">
        <v>9998</v>
      </c>
      <c r="I4758" t="s">
        <v>28695</v>
      </c>
      <c r="J4758" t="s">
        <v>31884</v>
      </c>
      <c r="K4758" t="s">
        <v>37205</v>
      </c>
      <c r="M4758" t="s">
        <v>38413</v>
      </c>
      <c r="N4758" t="s">
        <v>41249</v>
      </c>
      <c r="O4758" t="s">
        <v>41250</v>
      </c>
      <c r="P4758">
        <v>0</v>
      </c>
      <c r="Q4758">
        <v>0</v>
      </c>
      <c r="R4758" t="s">
        <v>41254</v>
      </c>
      <c r="S4758" t="s">
        <v>41425</v>
      </c>
      <c r="T4758" t="s">
        <v>42727</v>
      </c>
      <c r="U4758" t="s">
        <v>47121</v>
      </c>
      <c r="W4758" t="s">
        <v>38413</v>
      </c>
      <c r="X4758" t="s">
        <v>41259</v>
      </c>
    </row>
    <row r="4759" spans="1:24">
      <c r="A4759">
        <f>HYPERLINK("https://www.philgeps.gov.ph/GEPSNONPILOT/Tender/SplashBidNoticeAbstractUI.aspx?menuIndex=3&amp;refID=7068493&amp;Result=3","7068493")</f>
        <v>0</v>
      </c>
      <c r="B4759" t="s">
        <v>1694</v>
      </c>
      <c r="C4759" t="s">
        <v>7943</v>
      </c>
      <c r="E4759" t="s">
        <v>18535</v>
      </c>
      <c r="F4759" t="s">
        <v>28669</v>
      </c>
      <c r="G4759" t="s">
        <v>28675</v>
      </c>
      <c r="H4759" t="s">
        <v>9998</v>
      </c>
      <c r="I4759" t="s">
        <v>28688</v>
      </c>
      <c r="J4759" t="s">
        <v>28878</v>
      </c>
      <c r="K4759" t="s">
        <v>37209</v>
      </c>
      <c r="M4759" t="s">
        <v>39290</v>
      </c>
      <c r="N4759" t="s">
        <v>41249</v>
      </c>
      <c r="O4759" t="s">
        <v>41250</v>
      </c>
      <c r="P4759">
        <v>0</v>
      </c>
      <c r="Q4759">
        <v>1</v>
      </c>
      <c r="R4759" t="s">
        <v>41254</v>
      </c>
      <c r="S4759" t="s">
        <v>41425</v>
      </c>
      <c r="T4759" t="s">
        <v>42703</v>
      </c>
      <c r="U4759" t="s">
        <v>47122</v>
      </c>
      <c r="V4759" t="s">
        <v>54776</v>
      </c>
      <c r="W4759" t="s">
        <v>39290</v>
      </c>
      <c r="X4759" t="s">
        <v>41258</v>
      </c>
    </row>
    <row r="4760" spans="1:24">
      <c r="A4760">
        <f>HYPERLINK("https://www.philgeps.gov.ph/GEPSNONPILOT/Tender/SplashBidNoticeAbstractUI.aspx?menuIndex=3&amp;refID=7066722&amp;Result=3","7066722")</f>
        <v>0</v>
      </c>
      <c r="B4760" t="s">
        <v>1689</v>
      </c>
      <c r="C4760" t="s">
        <v>7944</v>
      </c>
      <c r="D4760" t="s">
        <v>16641</v>
      </c>
      <c r="E4760" t="s">
        <v>20984</v>
      </c>
      <c r="F4760" t="s">
        <v>28669</v>
      </c>
      <c r="G4760" t="s">
        <v>28676</v>
      </c>
      <c r="H4760" t="s">
        <v>9998</v>
      </c>
      <c r="I4760" t="s">
        <v>3718</v>
      </c>
      <c r="J4760" t="s">
        <v>30853</v>
      </c>
      <c r="K4760" t="s">
        <v>37210</v>
      </c>
      <c r="M4760" t="s">
        <v>39284</v>
      </c>
      <c r="N4760" t="s">
        <v>41249</v>
      </c>
      <c r="O4760" t="s">
        <v>41250</v>
      </c>
      <c r="P4760">
        <v>0</v>
      </c>
      <c r="Q4760">
        <v>1</v>
      </c>
      <c r="R4760" t="s">
        <v>41254</v>
      </c>
      <c r="S4760" t="s">
        <v>41425</v>
      </c>
      <c r="T4760" t="s">
        <v>42727</v>
      </c>
      <c r="U4760" t="s">
        <v>47123</v>
      </c>
      <c r="W4760" t="s">
        <v>39284</v>
      </c>
      <c r="X4760" t="s">
        <v>41259</v>
      </c>
    </row>
    <row r="4761" spans="1:24">
      <c r="A4761">
        <f>HYPERLINK("https://www.philgeps.gov.ph/GEPSNONPILOT/Tender/SplashBidNoticeAbstractUI.aspx?menuIndex=3&amp;refID=7068466&amp;Result=3","7068466")</f>
        <v>0</v>
      </c>
      <c r="B4761" t="s">
        <v>1696</v>
      </c>
      <c r="C4761" t="s">
        <v>7945</v>
      </c>
      <c r="D4761" t="s">
        <v>16658</v>
      </c>
      <c r="E4761" t="s">
        <v>20985</v>
      </c>
      <c r="F4761" t="s">
        <v>28669</v>
      </c>
      <c r="G4761" t="s">
        <v>28679</v>
      </c>
      <c r="H4761" t="s">
        <v>9998</v>
      </c>
      <c r="I4761" t="s">
        <v>11593</v>
      </c>
      <c r="J4761" t="s">
        <v>31885</v>
      </c>
      <c r="K4761" t="s">
        <v>37209</v>
      </c>
      <c r="M4761" t="s">
        <v>39292</v>
      </c>
      <c r="N4761" t="s">
        <v>41249</v>
      </c>
      <c r="O4761" t="s">
        <v>41250</v>
      </c>
      <c r="P4761">
        <v>0</v>
      </c>
      <c r="Q4761">
        <v>1</v>
      </c>
      <c r="R4761" t="s">
        <v>41254</v>
      </c>
      <c r="S4761" t="s">
        <v>41425</v>
      </c>
      <c r="T4761" t="s">
        <v>42738</v>
      </c>
      <c r="U4761" t="s">
        <v>47124</v>
      </c>
      <c r="W4761" t="s">
        <v>55969</v>
      </c>
      <c r="X4761" t="s">
        <v>41258</v>
      </c>
    </row>
    <row r="4762" spans="1:24">
      <c r="A4762">
        <f>HYPERLINK("https://www.philgeps.gov.ph/GEPSNONPILOT/Tender/SplashBidNoticeAbstractUI.aspx?menuIndex=3&amp;refID=7068108&amp;Result=3","7068108")</f>
        <v>0</v>
      </c>
      <c r="B4762" t="s">
        <v>1694</v>
      </c>
      <c r="C4762" t="s">
        <v>7946</v>
      </c>
      <c r="D4762" t="s">
        <v>16616</v>
      </c>
      <c r="E4762" t="s">
        <v>20986</v>
      </c>
      <c r="F4762" t="s">
        <v>28669</v>
      </c>
      <c r="G4762" t="s">
        <v>28675</v>
      </c>
      <c r="H4762" t="s">
        <v>9998</v>
      </c>
      <c r="I4762" t="s">
        <v>28739</v>
      </c>
      <c r="J4762" t="s">
        <v>29110</v>
      </c>
      <c r="K4762" t="s">
        <v>37209</v>
      </c>
      <c r="M4762" t="s">
        <v>39290</v>
      </c>
      <c r="N4762" t="s">
        <v>41249</v>
      </c>
      <c r="O4762" t="s">
        <v>41250</v>
      </c>
      <c r="P4762">
        <v>0</v>
      </c>
      <c r="Q4762">
        <v>1</v>
      </c>
      <c r="R4762" t="s">
        <v>41254</v>
      </c>
      <c r="S4762" t="s">
        <v>41425</v>
      </c>
      <c r="T4762" t="s">
        <v>42703</v>
      </c>
      <c r="U4762" t="s">
        <v>47125</v>
      </c>
      <c r="V4762" t="s">
        <v>54777</v>
      </c>
      <c r="W4762" t="s">
        <v>39290</v>
      </c>
      <c r="X4762" t="s">
        <v>41258</v>
      </c>
    </row>
    <row r="4763" spans="1:24">
      <c r="A4763">
        <f>HYPERLINK("https://www.philgeps.gov.ph/GEPSNONPILOT/Tender/SplashBidNoticeAbstractUI.aspx?menuIndex=3&amp;refID=7068423&amp;Result=3","7068423")</f>
        <v>0</v>
      </c>
      <c r="B4763" t="s">
        <v>1694</v>
      </c>
      <c r="C4763" t="s">
        <v>7947</v>
      </c>
      <c r="D4763" t="s">
        <v>16616</v>
      </c>
      <c r="E4763" t="s">
        <v>20987</v>
      </c>
      <c r="F4763" t="s">
        <v>28669</v>
      </c>
      <c r="G4763" t="s">
        <v>28675</v>
      </c>
      <c r="H4763" t="s">
        <v>9998</v>
      </c>
      <c r="I4763" t="s">
        <v>28708</v>
      </c>
      <c r="J4763" t="s">
        <v>31886</v>
      </c>
      <c r="K4763" t="s">
        <v>37209</v>
      </c>
      <c r="M4763" t="s">
        <v>39290</v>
      </c>
      <c r="N4763" t="s">
        <v>41249</v>
      </c>
      <c r="O4763" t="s">
        <v>41250</v>
      </c>
      <c r="P4763">
        <v>0</v>
      </c>
      <c r="Q4763">
        <v>5</v>
      </c>
      <c r="R4763" t="s">
        <v>41254</v>
      </c>
      <c r="S4763" t="s">
        <v>41425</v>
      </c>
      <c r="T4763" t="s">
        <v>42692</v>
      </c>
      <c r="U4763" t="s">
        <v>47126</v>
      </c>
      <c r="V4763" t="s">
        <v>54778</v>
      </c>
      <c r="W4763" t="s">
        <v>39290</v>
      </c>
      <c r="X4763" t="s">
        <v>41258</v>
      </c>
    </row>
    <row r="4764" spans="1:24">
      <c r="A4764">
        <f>HYPERLINK("https://www.philgeps.gov.ph/GEPSNONPILOT/Tender/SplashBidNoticeAbstractUI.aspx?menuIndex=3&amp;refID=7067945&amp;Result=3","7067945")</f>
        <v>0</v>
      </c>
      <c r="B4764" t="s">
        <v>278</v>
      </c>
      <c r="C4764" t="s">
        <v>7948</v>
      </c>
      <c r="D4764" t="s">
        <v>16608</v>
      </c>
      <c r="E4764" t="s">
        <v>20988</v>
      </c>
      <c r="F4764" t="s">
        <v>28669</v>
      </c>
      <c r="G4764" t="s">
        <v>28676</v>
      </c>
      <c r="H4764" t="s">
        <v>9998</v>
      </c>
      <c r="I4764" t="s">
        <v>11142</v>
      </c>
      <c r="J4764" t="s">
        <v>31887</v>
      </c>
      <c r="K4764" t="s">
        <v>37206</v>
      </c>
      <c r="M4764" t="s">
        <v>39267</v>
      </c>
      <c r="N4764" t="s">
        <v>41249</v>
      </c>
      <c r="O4764" t="s">
        <v>41250</v>
      </c>
      <c r="P4764">
        <v>0</v>
      </c>
      <c r="Q4764">
        <v>9</v>
      </c>
      <c r="R4764" t="s">
        <v>41254</v>
      </c>
      <c r="S4764" t="s">
        <v>41425</v>
      </c>
      <c r="T4764" t="s">
        <v>42811</v>
      </c>
      <c r="U4764" t="s">
        <v>47127</v>
      </c>
      <c r="W4764" t="s">
        <v>39267</v>
      </c>
      <c r="X4764" t="s">
        <v>41258</v>
      </c>
    </row>
    <row r="4765" spans="1:24">
      <c r="A4765">
        <f>HYPERLINK("https://www.philgeps.gov.ph/GEPSNONPILOT/Tender/SplashBidNoticeAbstractUI.aspx?menuIndex=3&amp;refID=7068476&amp;Result=3","7068476")</f>
        <v>0</v>
      </c>
      <c r="B4765" t="s">
        <v>1696</v>
      </c>
      <c r="C4765" t="s">
        <v>7949</v>
      </c>
      <c r="D4765" t="s">
        <v>16658</v>
      </c>
      <c r="E4765" t="s">
        <v>20989</v>
      </c>
      <c r="F4765" t="s">
        <v>28669</v>
      </c>
      <c r="G4765" t="s">
        <v>28679</v>
      </c>
      <c r="H4765" t="s">
        <v>9998</v>
      </c>
      <c r="I4765" t="s">
        <v>28729</v>
      </c>
      <c r="J4765" t="s">
        <v>28877</v>
      </c>
      <c r="K4765" t="s">
        <v>37209</v>
      </c>
      <c r="M4765" t="s">
        <v>39292</v>
      </c>
      <c r="N4765" t="s">
        <v>41249</v>
      </c>
      <c r="O4765" t="s">
        <v>41250</v>
      </c>
      <c r="P4765">
        <v>0</v>
      </c>
      <c r="Q4765">
        <v>10</v>
      </c>
      <c r="R4765" t="s">
        <v>41254</v>
      </c>
      <c r="S4765" t="s">
        <v>41425</v>
      </c>
      <c r="T4765" t="s">
        <v>42738</v>
      </c>
      <c r="U4765" t="s">
        <v>47128</v>
      </c>
      <c r="W4765" t="s">
        <v>55969</v>
      </c>
      <c r="X4765" t="s">
        <v>41258</v>
      </c>
    </row>
    <row r="4766" spans="1:24">
      <c r="A4766">
        <f>HYPERLINK("https://www.philgeps.gov.ph/GEPSNONPILOT/Tender/SplashBidNoticeAbstractUI.aspx?menuIndex=3&amp;refID=7066712&amp;Result=3","7066712")</f>
        <v>0</v>
      </c>
      <c r="B4766" t="s">
        <v>1676</v>
      </c>
      <c r="C4766" t="s">
        <v>7950</v>
      </c>
      <c r="D4766" t="s">
        <v>16654</v>
      </c>
      <c r="E4766" t="s">
        <v>20990</v>
      </c>
      <c r="F4766" t="s">
        <v>28669</v>
      </c>
      <c r="G4766" t="s">
        <v>28675</v>
      </c>
      <c r="H4766" t="s">
        <v>28686</v>
      </c>
      <c r="I4766" t="s">
        <v>28689</v>
      </c>
      <c r="J4766" t="s">
        <v>28924</v>
      </c>
      <c r="K4766" t="s">
        <v>37209</v>
      </c>
      <c r="M4766" t="s">
        <v>39270</v>
      </c>
      <c r="N4766" t="s">
        <v>41249</v>
      </c>
      <c r="O4766" t="s">
        <v>41250</v>
      </c>
      <c r="P4766">
        <v>0</v>
      </c>
      <c r="Q4766">
        <v>4</v>
      </c>
      <c r="R4766" t="s">
        <v>41254</v>
      </c>
      <c r="S4766" t="s">
        <v>41425</v>
      </c>
      <c r="T4766" t="s">
        <v>42751</v>
      </c>
      <c r="U4766" t="s">
        <v>47129</v>
      </c>
      <c r="V4766" t="s">
        <v>54779</v>
      </c>
      <c r="W4766" t="s">
        <v>39270</v>
      </c>
      <c r="X4766" t="s">
        <v>41259</v>
      </c>
    </row>
    <row r="4767" spans="1:24">
      <c r="A4767">
        <f>HYPERLINK("https://www.philgeps.gov.ph/GEPSNONPILOT/Tender/SplashBidNoticeAbstractUI.aspx?menuIndex=3&amp;refID=7068488&amp;Result=3","7068488")</f>
        <v>0</v>
      </c>
      <c r="B4767" t="s">
        <v>1696</v>
      </c>
      <c r="C4767" t="s">
        <v>7951</v>
      </c>
      <c r="D4767" t="s">
        <v>16658</v>
      </c>
      <c r="E4767" t="s">
        <v>20991</v>
      </c>
      <c r="F4767" t="s">
        <v>28669</v>
      </c>
      <c r="G4767" t="s">
        <v>28679</v>
      </c>
      <c r="H4767" t="s">
        <v>9998</v>
      </c>
      <c r="I4767" t="s">
        <v>28687</v>
      </c>
      <c r="J4767" t="s">
        <v>30506</v>
      </c>
      <c r="K4767" t="s">
        <v>37209</v>
      </c>
      <c r="M4767" t="s">
        <v>39292</v>
      </c>
      <c r="N4767" t="s">
        <v>41249</v>
      </c>
      <c r="O4767" t="s">
        <v>41250</v>
      </c>
      <c r="P4767">
        <v>0</v>
      </c>
      <c r="Q4767">
        <v>2</v>
      </c>
      <c r="R4767" t="s">
        <v>41254</v>
      </c>
      <c r="S4767" t="s">
        <v>41425</v>
      </c>
      <c r="T4767" t="s">
        <v>42738</v>
      </c>
      <c r="U4767" t="s">
        <v>47130</v>
      </c>
      <c r="W4767" t="s">
        <v>55969</v>
      </c>
      <c r="X4767" t="s">
        <v>41258</v>
      </c>
    </row>
    <row r="4768" spans="1:24">
      <c r="A4768">
        <f>HYPERLINK("https://www.philgeps.gov.ph/GEPSNONPILOT/Tender/SplashBidNoticeAbstractUI.aspx?menuIndex=3&amp;refID=7068453&amp;Result=3","7068453")</f>
        <v>0</v>
      </c>
      <c r="B4768" t="s">
        <v>1696</v>
      </c>
      <c r="C4768" t="s">
        <v>7952</v>
      </c>
      <c r="D4768" t="s">
        <v>16658</v>
      </c>
      <c r="E4768" t="s">
        <v>20992</v>
      </c>
      <c r="F4768" t="s">
        <v>28669</v>
      </c>
      <c r="G4768" t="s">
        <v>28679</v>
      </c>
      <c r="H4768" t="s">
        <v>9998</v>
      </c>
      <c r="I4768" t="s">
        <v>28739</v>
      </c>
      <c r="J4768" t="s">
        <v>31888</v>
      </c>
      <c r="K4768" t="s">
        <v>37209</v>
      </c>
      <c r="M4768" t="s">
        <v>39292</v>
      </c>
      <c r="N4768" t="s">
        <v>41249</v>
      </c>
      <c r="O4768" t="s">
        <v>41250</v>
      </c>
      <c r="P4768">
        <v>0</v>
      </c>
      <c r="Q4768">
        <v>4</v>
      </c>
      <c r="R4768" t="s">
        <v>41254</v>
      </c>
      <c r="S4768" t="s">
        <v>41425</v>
      </c>
      <c r="T4768" t="s">
        <v>42738</v>
      </c>
      <c r="U4768" t="s">
        <v>47131</v>
      </c>
      <c r="W4768" t="s">
        <v>55969</v>
      </c>
      <c r="X4768" t="s">
        <v>41258</v>
      </c>
    </row>
    <row r="4769" spans="1:24">
      <c r="A4769">
        <f>HYPERLINK("https://www.philgeps.gov.ph/GEPSNONPILOT/Tender/SplashBidNoticeAbstractUI.aspx?menuIndex=3&amp;refID=7068511&amp;Result=3","7068511")</f>
        <v>0</v>
      </c>
      <c r="B4769" t="s">
        <v>1694</v>
      </c>
      <c r="C4769" t="s">
        <v>7953</v>
      </c>
      <c r="E4769" t="s">
        <v>19712</v>
      </c>
      <c r="F4769" t="s">
        <v>28669</v>
      </c>
      <c r="G4769" t="s">
        <v>28675</v>
      </c>
      <c r="H4769" t="s">
        <v>9998</v>
      </c>
      <c r="I4769" t="s">
        <v>28788</v>
      </c>
      <c r="J4769" t="s">
        <v>29916</v>
      </c>
      <c r="K4769" t="s">
        <v>37209</v>
      </c>
      <c r="M4769" t="s">
        <v>39290</v>
      </c>
      <c r="N4769" t="s">
        <v>41249</v>
      </c>
      <c r="O4769" t="s">
        <v>41250</v>
      </c>
      <c r="P4769">
        <v>0</v>
      </c>
      <c r="Q4769">
        <v>1</v>
      </c>
      <c r="R4769" t="s">
        <v>41254</v>
      </c>
      <c r="S4769" t="s">
        <v>41425</v>
      </c>
      <c r="T4769" t="s">
        <v>42692</v>
      </c>
      <c r="U4769" t="s">
        <v>47132</v>
      </c>
      <c r="V4769" t="s">
        <v>54780</v>
      </c>
      <c r="W4769" t="s">
        <v>39290</v>
      </c>
      <c r="X4769" t="s">
        <v>41258</v>
      </c>
    </row>
    <row r="4770" spans="1:24">
      <c r="A4770">
        <f>HYPERLINK("https://www.philgeps.gov.ph/GEPSNONPILOT/Tender/SplashBidNoticeAbstractUI.aspx?menuIndex=3&amp;refID=7068253&amp;Result=3","7068253")</f>
        <v>0</v>
      </c>
      <c r="B4770" t="s">
        <v>1692</v>
      </c>
      <c r="C4770" t="s">
        <v>7954</v>
      </c>
      <c r="E4770" t="s">
        <v>20993</v>
      </c>
      <c r="F4770" t="s">
        <v>28669</v>
      </c>
      <c r="G4770" t="s">
        <v>28676</v>
      </c>
      <c r="H4770" t="s">
        <v>9998</v>
      </c>
      <c r="I4770" t="s">
        <v>28786</v>
      </c>
      <c r="J4770" t="s">
        <v>31889</v>
      </c>
      <c r="K4770" t="s">
        <v>37210</v>
      </c>
      <c r="M4770" t="s">
        <v>39287</v>
      </c>
      <c r="N4770" t="s">
        <v>41249</v>
      </c>
      <c r="O4770" t="s">
        <v>41250</v>
      </c>
      <c r="P4770">
        <v>0</v>
      </c>
      <c r="Q4770">
        <v>0</v>
      </c>
      <c r="R4770" t="s">
        <v>41254</v>
      </c>
      <c r="S4770" t="s">
        <v>41425</v>
      </c>
      <c r="T4770" t="s">
        <v>42771</v>
      </c>
      <c r="U4770" t="s">
        <v>47108</v>
      </c>
      <c r="W4770" t="s">
        <v>39287</v>
      </c>
      <c r="X4770" t="s">
        <v>41258</v>
      </c>
    </row>
    <row r="4771" spans="1:24">
      <c r="A4771">
        <f>HYPERLINK("https://www.philgeps.gov.ph/GEPSNONPILOT/Tender/SplashBidNoticeAbstractUI.aspx?menuIndex=3&amp;refID=7069339&amp;Result=3","7069339")</f>
        <v>0</v>
      </c>
      <c r="B4771" t="s">
        <v>797</v>
      </c>
      <c r="C4771" t="s">
        <v>7955</v>
      </c>
      <c r="D4771" t="s">
        <v>16677</v>
      </c>
      <c r="E4771" t="s">
        <v>20994</v>
      </c>
      <c r="F4771" t="s">
        <v>28669</v>
      </c>
      <c r="G4771" t="s">
        <v>28675</v>
      </c>
      <c r="H4771" t="s">
        <v>28686</v>
      </c>
      <c r="I4771" t="s">
        <v>28689</v>
      </c>
      <c r="J4771" t="s">
        <v>31890</v>
      </c>
      <c r="K4771" t="s">
        <v>37255</v>
      </c>
      <c r="M4771" t="s">
        <v>39293</v>
      </c>
      <c r="N4771" t="s">
        <v>41249</v>
      </c>
      <c r="O4771" t="s">
        <v>41250</v>
      </c>
      <c r="P4771">
        <v>0</v>
      </c>
      <c r="Q4771">
        <v>1</v>
      </c>
      <c r="R4771" t="s">
        <v>41254</v>
      </c>
      <c r="S4771" t="s">
        <v>41425</v>
      </c>
      <c r="T4771" t="s">
        <v>42929</v>
      </c>
      <c r="U4771" t="s">
        <v>47133</v>
      </c>
      <c r="W4771" t="s">
        <v>39293</v>
      </c>
      <c r="X4771" t="s">
        <v>41258</v>
      </c>
    </row>
    <row r="4772" spans="1:24">
      <c r="A4772">
        <f>HYPERLINK("https://www.philgeps.gov.ph/GEPSNONPILOT/Tender/SplashBidNoticeAbstractUI.aspx?menuIndex=3&amp;refID=7068142&amp;Result=3","7068142")</f>
        <v>0</v>
      </c>
      <c r="B4772" t="s">
        <v>1692</v>
      </c>
      <c r="C4772" t="s">
        <v>7956</v>
      </c>
      <c r="E4772" t="s">
        <v>20995</v>
      </c>
      <c r="F4772" t="s">
        <v>28669</v>
      </c>
      <c r="G4772" t="s">
        <v>28676</v>
      </c>
      <c r="H4772" t="s">
        <v>9998</v>
      </c>
      <c r="I4772" t="s">
        <v>7352</v>
      </c>
      <c r="J4772" t="s">
        <v>29366</v>
      </c>
      <c r="K4772" t="s">
        <v>37210</v>
      </c>
      <c r="M4772" t="s">
        <v>39287</v>
      </c>
      <c r="N4772" t="s">
        <v>41249</v>
      </c>
      <c r="O4772" t="s">
        <v>41250</v>
      </c>
      <c r="P4772">
        <v>0</v>
      </c>
      <c r="Q4772">
        <v>0</v>
      </c>
      <c r="R4772" t="s">
        <v>41254</v>
      </c>
      <c r="S4772" t="s">
        <v>41425</v>
      </c>
      <c r="T4772" t="s">
        <v>42887</v>
      </c>
      <c r="U4772" t="s">
        <v>47108</v>
      </c>
      <c r="W4772" t="s">
        <v>39287</v>
      </c>
      <c r="X4772" t="s">
        <v>41258</v>
      </c>
    </row>
    <row r="4773" spans="1:24">
      <c r="A4773">
        <f>HYPERLINK("https://www.philgeps.gov.ph/GEPSNONPILOT/Tender/SplashBidNoticeAbstractUI.aspx?menuIndex=3&amp;refID=7068059&amp;Result=3","7068059")</f>
        <v>0</v>
      </c>
      <c r="B4773" t="s">
        <v>1694</v>
      </c>
      <c r="C4773" t="s">
        <v>7957</v>
      </c>
      <c r="D4773" t="s">
        <v>16616</v>
      </c>
      <c r="E4773" t="s">
        <v>19884</v>
      </c>
      <c r="F4773" t="s">
        <v>28669</v>
      </c>
      <c r="G4773" t="s">
        <v>28675</v>
      </c>
      <c r="H4773" t="s">
        <v>9998</v>
      </c>
      <c r="I4773" t="s">
        <v>28739</v>
      </c>
      <c r="J4773" t="s">
        <v>28826</v>
      </c>
      <c r="K4773" t="s">
        <v>37209</v>
      </c>
      <c r="M4773" t="s">
        <v>39290</v>
      </c>
      <c r="N4773" t="s">
        <v>41249</v>
      </c>
      <c r="O4773" t="s">
        <v>41250</v>
      </c>
      <c r="P4773">
        <v>0</v>
      </c>
      <c r="Q4773">
        <v>1</v>
      </c>
      <c r="R4773" t="s">
        <v>41254</v>
      </c>
      <c r="S4773" t="s">
        <v>41425</v>
      </c>
      <c r="T4773" t="s">
        <v>42703</v>
      </c>
      <c r="U4773" t="s">
        <v>47134</v>
      </c>
      <c r="V4773" t="s">
        <v>54781</v>
      </c>
      <c r="W4773" t="s">
        <v>39290</v>
      </c>
      <c r="X4773" t="s">
        <v>41258</v>
      </c>
    </row>
    <row r="4774" spans="1:24">
      <c r="A4774">
        <f>HYPERLINK("https://www.philgeps.gov.ph/GEPSNONPILOT/Tender/SplashBidNoticeAbstractUI.aspx?menuIndex=3&amp;refID=7069378&amp;Result=3","7069378")</f>
        <v>0</v>
      </c>
      <c r="B4774" t="s">
        <v>797</v>
      </c>
      <c r="C4774" t="s">
        <v>7958</v>
      </c>
      <c r="D4774" t="s">
        <v>16677</v>
      </c>
      <c r="E4774" t="s">
        <v>20996</v>
      </c>
      <c r="F4774" t="s">
        <v>28669</v>
      </c>
      <c r="G4774" t="s">
        <v>28675</v>
      </c>
      <c r="H4774" t="s">
        <v>28686</v>
      </c>
      <c r="I4774" t="s">
        <v>28689</v>
      </c>
      <c r="J4774" t="s">
        <v>31891</v>
      </c>
      <c r="K4774" t="s">
        <v>37255</v>
      </c>
      <c r="M4774" t="s">
        <v>39293</v>
      </c>
      <c r="N4774" t="s">
        <v>41249</v>
      </c>
      <c r="O4774" t="s">
        <v>41250</v>
      </c>
      <c r="P4774">
        <v>0</v>
      </c>
      <c r="Q4774">
        <v>0</v>
      </c>
      <c r="R4774" t="s">
        <v>41254</v>
      </c>
      <c r="S4774" t="s">
        <v>41425</v>
      </c>
      <c r="T4774" t="s">
        <v>42929</v>
      </c>
      <c r="U4774" t="s">
        <v>47135</v>
      </c>
      <c r="W4774" t="s">
        <v>39293</v>
      </c>
      <c r="X4774" t="s">
        <v>41258</v>
      </c>
    </row>
    <row r="4775" spans="1:24">
      <c r="A4775">
        <f>HYPERLINK("https://www.philgeps.gov.ph/GEPSNONPILOT/Tender/SplashBidNoticeAbstractUI.aspx?menuIndex=3&amp;refID=7069365&amp;Result=3","7069365")</f>
        <v>0</v>
      </c>
      <c r="B4775" t="s">
        <v>1697</v>
      </c>
      <c r="C4775" t="s">
        <v>7959</v>
      </c>
      <c r="D4775" t="s">
        <v>16639</v>
      </c>
      <c r="E4775" t="s">
        <v>20997</v>
      </c>
      <c r="F4775" t="s">
        <v>28669</v>
      </c>
      <c r="G4775" t="s">
        <v>28676</v>
      </c>
      <c r="H4775" t="s">
        <v>9998</v>
      </c>
      <c r="I4775" t="s">
        <v>28704</v>
      </c>
      <c r="J4775" t="s">
        <v>31892</v>
      </c>
      <c r="K4775" t="s">
        <v>37209</v>
      </c>
      <c r="L4775" t="s">
        <v>1697</v>
      </c>
      <c r="M4775" t="s">
        <v>39294</v>
      </c>
      <c r="N4775" t="s">
        <v>41249</v>
      </c>
      <c r="O4775" t="s">
        <v>41250</v>
      </c>
      <c r="P4775">
        <v>0</v>
      </c>
      <c r="Q4775">
        <v>0</v>
      </c>
      <c r="R4775" t="s">
        <v>41254</v>
      </c>
      <c r="S4775" t="s">
        <v>41425</v>
      </c>
      <c r="T4775" t="s">
        <v>42727</v>
      </c>
      <c r="U4775" t="s">
        <v>47136</v>
      </c>
      <c r="W4775" t="s">
        <v>39294</v>
      </c>
      <c r="X4775" t="s">
        <v>41258</v>
      </c>
    </row>
    <row r="4776" spans="1:24">
      <c r="A4776">
        <f>HYPERLINK("https://www.philgeps.gov.ph/GEPSNONPILOT/Tender/SplashBidNoticeAbstractUI.aspx?menuIndex=3&amp;refID=7067907&amp;Result=3","7067907")</f>
        <v>0</v>
      </c>
      <c r="B4776" t="s">
        <v>1692</v>
      </c>
      <c r="C4776" t="s">
        <v>7960</v>
      </c>
      <c r="E4776" t="s">
        <v>20998</v>
      </c>
      <c r="F4776" t="s">
        <v>28669</v>
      </c>
      <c r="G4776" t="s">
        <v>28676</v>
      </c>
      <c r="H4776" t="s">
        <v>9998</v>
      </c>
      <c r="I4776" t="s">
        <v>28786</v>
      </c>
      <c r="J4776" t="s">
        <v>31893</v>
      </c>
      <c r="K4776" t="s">
        <v>37210</v>
      </c>
      <c r="M4776" t="s">
        <v>39287</v>
      </c>
      <c r="N4776" t="s">
        <v>41249</v>
      </c>
      <c r="O4776" t="s">
        <v>41250</v>
      </c>
      <c r="P4776">
        <v>0</v>
      </c>
      <c r="Q4776">
        <v>3</v>
      </c>
      <c r="R4776" t="s">
        <v>41254</v>
      </c>
      <c r="S4776" t="s">
        <v>41425</v>
      </c>
      <c r="T4776" t="s">
        <v>42887</v>
      </c>
      <c r="U4776" t="s">
        <v>47108</v>
      </c>
      <c r="W4776" t="s">
        <v>39287</v>
      </c>
      <c r="X4776" t="s">
        <v>41258</v>
      </c>
    </row>
    <row r="4777" spans="1:24">
      <c r="A4777">
        <f>HYPERLINK("https://www.philgeps.gov.ph/GEPSNONPILOT/Tender/SplashBidNoticeAbstractUI.aspx?menuIndex=3&amp;refID=7068499&amp;Result=3","7068499")</f>
        <v>0</v>
      </c>
      <c r="B4777" t="s">
        <v>1698</v>
      </c>
      <c r="C4777" t="s">
        <v>7961</v>
      </c>
      <c r="E4777" t="s">
        <v>17022</v>
      </c>
      <c r="F4777" t="s">
        <v>28669</v>
      </c>
      <c r="G4777" t="s">
        <v>28675</v>
      </c>
      <c r="H4777" t="s">
        <v>9998</v>
      </c>
      <c r="I4777" t="s">
        <v>15140</v>
      </c>
      <c r="J4777" t="s">
        <v>31894</v>
      </c>
      <c r="K4777" t="s">
        <v>37209</v>
      </c>
      <c r="M4777" t="s">
        <v>39295</v>
      </c>
      <c r="N4777" t="s">
        <v>41249</v>
      </c>
      <c r="O4777" t="s">
        <v>41250</v>
      </c>
      <c r="P4777">
        <v>0</v>
      </c>
      <c r="Q4777">
        <v>2</v>
      </c>
      <c r="R4777" t="s">
        <v>41254</v>
      </c>
      <c r="S4777" t="s">
        <v>41425</v>
      </c>
      <c r="T4777" t="s">
        <v>42716</v>
      </c>
      <c r="U4777" t="s">
        <v>44398</v>
      </c>
      <c r="W4777" t="s">
        <v>55970</v>
      </c>
      <c r="X4777" t="s">
        <v>41258</v>
      </c>
    </row>
    <row r="4778" spans="1:24">
      <c r="A4778">
        <f>HYPERLINK("https://www.philgeps.gov.ph/GEPSNONPILOT/Tender/SplashBidNoticeAbstractUI.aspx?menuIndex=3&amp;refID=7069346&amp;Result=3","7069346")</f>
        <v>0</v>
      </c>
      <c r="B4778" t="s">
        <v>1697</v>
      </c>
      <c r="C4778" t="s">
        <v>7962</v>
      </c>
      <c r="D4778" t="s">
        <v>16639</v>
      </c>
      <c r="E4778" t="s">
        <v>20999</v>
      </c>
      <c r="F4778" t="s">
        <v>28669</v>
      </c>
      <c r="G4778" t="s">
        <v>28676</v>
      </c>
      <c r="H4778" t="s">
        <v>9998</v>
      </c>
      <c r="I4778" t="s">
        <v>28706</v>
      </c>
      <c r="J4778" t="s">
        <v>31895</v>
      </c>
      <c r="K4778" t="s">
        <v>37209</v>
      </c>
      <c r="L4778" t="s">
        <v>1697</v>
      </c>
      <c r="M4778" t="s">
        <v>39294</v>
      </c>
      <c r="N4778" t="s">
        <v>41249</v>
      </c>
      <c r="O4778" t="s">
        <v>41250</v>
      </c>
      <c r="P4778">
        <v>0</v>
      </c>
      <c r="Q4778">
        <v>5</v>
      </c>
      <c r="R4778" t="s">
        <v>41254</v>
      </c>
      <c r="S4778" t="s">
        <v>41425</v>
      </c>
      <c r="T4778" t="s">
        <v>42727</v>
      </c>
      <c r="U4778" t="s">
        <v>47137</v>
      </c>
      <c r="W4778" t="s">
        <v>39294</v>
      </c>
      <c r="X4778" t="s">
        <v>41258</v>
      </c>
    </row>
    <row r="4779" spans="1:24">
      <c r="A4779">
        <f>HYPERLINK("https://www.philgeps.gov.ph/GEPSNONPILOT/Tender/SplashBidNoticeAbstractUI.aspx?menuIndex=3&amp;refID=7069058&amp;Result=3","7069058")</f>
        <v>0</v>
      </c>
      <c r="B4779" t="s">
        <v>1693</v>
      </c>
      <c r="C4779" t="s">
        <v>7963</v>
      </c>
      <c r="D4779" t="s">
        <v>16684</v>
      </c>
      <c r="E4779" t="s">
        <v>18732</v>
      </c>
      <c r="F4779" t="s">
        <v>28669</v>
      </c>
      <c r="G4779" t="s">
        <v>28675</v>
      </c>
      <c r="H4779" t="s">
        <v>9998</v>
      </c>
      <c r="I4779" t="s">
        <v>28695</v>
      </c>
      <c r="J4779" t="s">
        <v>31896</v>
      </c>
      <c r="K4779" t="s">
        <v>37204</v>
      </c>
      <c r="M4779" t="s">
        <v>39289</v>
      </c>
      <c r="N4779" t="s">
        <v>41249</v>
      </c>
      <c r="O4779" t="s">
        <v>41250</v>
      </c>
      <c r="P4779">
        <v>0</v>
      </c>
      <c r="Q4779">
        <v>0</v>
      </c>
      <c r="R4779" t="s">
        <v>41254</v>
      </c>
      <c r="S4779" t="s">
        <v>41425</v>
      </c>
      <c r="T4779" t="s">
        <v>42975</v>
      </c>
      <c r="U4779" t="s">
        <v>47138</v>
      </c>
      <c r="V4779" t="s">
        <v>54782</v>
      </c>
      <c r="W4779" t="s">
        <v>39289</v>
      </c>
      <c r="X4779" t="s">
        <v>41258</v>
      </c>
    </row>
    <row r="4780" spans="1:24">
      <c r="A4780">
        <f>HYPERLINK("https://www.philgeps.gov.ph/GEPSNONPILOT/Tender/SplashBidNoticeAbstractUI.aspx?menuIndex=3&amp;refID=7069297&amp;Result=3","7069297")</f>
        <v>0</v>
      </c>
      <c r="B4780" t="s">
        <v>1697</v>
      </c>
      <c r="C4780" t="s">
        <v>7964</v>
      </c>
      <c r="D4780" t="s">
        <v>16639</v>
      </c>
      <c r="E4780" t="s">
        <v>21000</v>
      </c>
      <c r="F4780" t="s">
        <v>28669</v>
      </c>
      <c r="G4780" t="s">
        <v>28676</v>
      </c>
      <c r="H4780" t="s">
        <v>9998</v>
      </c>
      <c r="I4780" t="s">
        <v>3679</v>
      </c>
      <c r="J4780" t="s">
        <v>31897</v>
      </c>
      <c r="K4780" t="s">
        <v>37209</v>
      </c>
      <c r="L4780" t="s">
        <v>1697</v>
      </c>
      <c r="M4780" t="s">
        <v>39294</v>
      </c>
      <c r="N4780" t="s">
        <v>41249</v>
      </c>
      <c r="O4780" t="s">
        <v>41250</v>
      </c>
      <c r="P4780">
        <v>0</v>
      </c>
      <c r="Q4780">
        <v>0</v>
      </c>
      <c r="R4780" t="s">
        <v>41254</v>
      </c>
      <c r="S4780" t="s">
        <v>41425</v>
      </c>
      <c r="T4780" t="s">
        <v>42727</v>
      </c>
      <c r="U4780" t="s">
        <v>47139</v>
      </c>
      <c r="W4780" t="s">
        <v>39294</v>
      </c>
      <c r="X4780" t="s">
        <v>41258</v>
      </c>
    </row>
    <row r="4781" spans="1:24">
      <c r="A4781">
        <f>HYPERLINK("https://www.philgeps.gov.ph/GEPSNONPILOT/Tender/SplashBidNoticeAbstractUI.aspx?menuIndex=3&amp;refID=7068829&amp;Result=3","7068829")</f>
        <v>0</v>
      </c>
      <c r="B4781" t="s">
        <v>1694</v>
      </c>
      <c r="C4781" t="s">
        <v>7965</v>
      </c>
      <c r="E4781" t="s">
        <v>17724</v>
      </c>
      <c r="F4781" t="s">
        <v>28669</v>
      </c>
      <c r="G4781" t="s">
        <v>28675</v>
      </c>
      <c r="H4781" t="s">
        <v>9998</v>
      </c>
      <c r="I4781" t="s">
        <v>28751</v>
      </c>
      <c r="J4781" t="s">
        <v>29120</v>
      </c>
      <c r="K4781" t="s">
        <v>37209</v>
      </c>
      <c r="M4781" t="s">
        <v>39290</v>
      </c>
      <c r="N4781" t="s">
        <v>41249</v>
      </c>
      <c r="O4781" t="s">
        <v>41250</v>
      </c>
      <c r="P4781">
        <v>0</v>
      </c>
      <c r="Q4781">
        <v>4</v>
      </c>
      <c r="R4781" t="s">
        <v>41254</v>
      </c>
      <c r="S4781" t="s">
        <v>41425</v>
      </c>
      <c r="T4781" t="s">
        <v>42692</v>
      </c>
      <c r="U4781" t="s">
        <v>47140</v>
      </c>
      <c r="V4781" t="s">
        <v>54783</v>
      </c>
      <c r="W4781" t="s">
        <v>39290</v>
      </c>
      <c r="X4781" t="s">
        <v>41258</v>
      </c>
    </row>
    <row r="4782" spans="1:24">
      <c r="A4782">
        <f>HYPERLINK("https://www.philgeps.gov.ph/GEPSNONPILOT/Tender/SplashBidNoticeAbstractUI.aspx?menuIndex=3&amp;refID=7069268&amp;Result=3","7069268")</f>
        <v>0</v>
      </c>
      <c r="B4782" t="s">
        <v>1697</v>
      </c>
      <c r="C4782" t="s">
        <v>7966</v>
      </c>
      <c r="D4782" t="s">
        <v>16639</v>
      </c>
      <c r="E4782" t="s">
        <v>21001</v>
      </c>
      <c r="F4782" t="s">
        <v>28669</v>
      </c>
      <c r="G4782" t="s">
        <v>28676</v>
      </c>
      <c r="H4782" t="s">
        <v>9998</v>
      </c>
      <c r="I4782" t="s">
        <v>28704</v>
      </c>
      <c r="J4782" t="s">
        <v>31898</v>
      </c>
      <c r="K4782" t="s">
        <v>37209</v>
      </c>
      <c r="L4782" t="s">
        <v>1697</v>
      </c>
      <c r="M4782" t="s">
        <v>39294</v>
      </c>
      <c r="N4782" t="s">
        <v>41249</v>
      </c>
      <c r="O4782" t="s">
        <v>41250</v>
      </c>
      <c r="P4782">
        <v>0</v>
      </c>
      <c r="Q4782">
        <v>0</v>
      </c>
      <c r="R4782" t="s">
        <v>41254</v>
      </c>
      <c r="S4782" t="s">
        <v>41425</v>
      </c>
      <c r="T4782" t="s">
        <v>42727</v>
      </c>
      <c r="U4782" t="s">
        <v>47141</v>
      </c>
      <c r="W4782" t="s">
        <v>39294</v>
      </c>
      <c r="X4782" t="s">
        <v>41258</v>
      </c>
    </row>
    <row r="4783" spans="1:24">
      <c r="A4783">
        <f>HYPERLINK("https://www.philgeps.gov.ph/GEPSNONPILOT/Tender/SplashBidNoticeAbstractUI.aspx?menuIndex=3&amp;refID=7068808&amp;Result=3","7068808")</f>
        <v>0</v>
      </c>
      <c r="B4783" t="s">
        <v>1699</v>
      </c>
      <c r="C4783" t="s">
        <v>7967</v>
      </c>
      <c r="D4783" t="s">
        <v>16655</v>
      </c>
      <c r="E4783" t="s">
        <v>21002</v>
      </c>
      <c r="F4783" t="s">
        <v>28669</v>
      </c>
      <c r="G4783" t="s">
        <v>28675</v>
      </c>
      <c r="H4783" t="s">
        <v>28686</v>
      </c>
      <c r="I4783" t="s">
        <v>28689</v>
      </c>
      <c r="J4783" t="s">
        <v>31899</v>
      </c>
      <c r="K4783" t="s">
        <v>37282</v>
      </c>
      <c r="M4783" t="s">
        <v>39296</v>
      </c>
      <c r="N4783" t="s">
        <v>41249</v>
      </c>
      <c r="O4783" t="s">
        <v>41250</v>
      </c>
      <c r="P4783">
        <v>0</v>
      </c>
      <c r="Q4783">
        <v>0</v>
      </c>
      <c r="R4783" t="s">
        <v>41254</v>
      </c>
      <c r="S4783" t="s">
        <v>41425</v>
      </c>
      <c r="T4783" t="s">
        <v>42738</v>
      </c>
      <c r="U4783" t="s">
        <v>47142</v>
      </c>
      <c r="V4783" t="s">
        <v>54784</v>
      </c>
      <c r="W4783" t="s">
        <v>39296</v>
      </c>
      <c r="X4783" t="s">
        <v>41258</v>
      </c>
    </row>
    <row r="4784" spans="1:24">
      <c r="A4784">
        <f>HYPERLINK("https://www.philgeps.gov.ph/GEPSNONPILOT/Tender/SplashBidNoticeAbstractUI.aspx?menuIndex=3&amp;refID=7068558&amp;Result=3","7068558")</f>
        <v>0</v>
      </c>
      <c r="B4784" t="s">
        <v>1013</v>
      </c>
      <c r="C4784" t="s">
        <v>7968</v>
      </c>
      <c r="D4784" t="s">
        <v>16628</v>
      </c>
      <c r="E4784" t="s">
        <v>21003</v>
      </c>
      <c r="F4784" t="s">
        <v>28670</v>
      </c>
      <c r="G4784" t="s">
        <v>28677</v>
      </c>
      <c r="H4784" t="s">
        <v>9998</v>
      </c>
      <c r="I4784" t="s">
        <v>28687</v>
      </c>
      <c r="J4784" t="s">
        <v>30665</v>
      </c>
      <c r="K4784" t="s">
        <v>37220</v>
      </c>
      <c r="M4784" t="s">
        <v>38543</v>
      </c>
      <c r="N4784" t="s">
        <v>41249</v>
      </c>
      <c r="O4784" t="s">
        <v>41250</v>
      </c>
      <c r="P4784">
        <v>0</v>
      </c>
      <c r="Q4784">
        <v>5</v>
      </c>
      <c r="R4784" t="s">
        <v>41254</v>
      </c>
      <c r="S4784" t="s">
        <v>41425</v>
      </c>
      <c r="T4784" t="s">
        <v>42938</v>
      </c>
      <c r="U4784" t="s">
        <v>47143</v>
      </c>
      <c r="W4784" t="s">
        <v>38543</v>
      </c>
      <c r="X4784" t="s">
        <v>41258</v>
      </c>
    </row>
    <row r="4785" spans="1:24">
      <c r="A4785">
        <f>HYPERLINK("https://www.philgeps.gov.ph/GEPSNONPILOT/Tender/SplashBidNoticeAbstractUI.aspx?menuIndex=3&amp;refID=7068539&amp;Result=3","7068539")</f>
        <v>0</v>
      </c>
      <c r="B4785" t="s">
        <v>1696</v>
      </c>
      <c r="C4785" t="s">
        <v>7969</v>
      </c>
      <c r="D4785" t="s">
        <v>16658</v>
      </c>
      <c r="E4785" t="s">
        <v>21004</v>
      </c>
      <c r="F4785" t="s">
        <v>28669</v>
      </c>
      <c r="G4785" t="s">
        <v>28679</v>
      </c>
      <c r="H4785" t="s">
        <v>9998</v>
      </c>
      <c r="I4785" t="s">
        <v>28687</v>
      </c>
      <c r="J4785" t="s">
        <v>30506</v>
      </c>
      <c r="K4785" t="s">
        <v>37209</v>
      </c>
      <c r="M4785" t="s">
        <v>39292</v>
      </c>
      <c r="N4785" t="s">
        <v>41249</v>
      </c>
      <c r="O4785" t="s">
        <v>41250</v>
      </c>
      <c r="P4785">
        <v>0</v>
      </c>
      <c r="Q4785">
        <v>1</v>
      </c>
      <c r="R4785" t="s">
        <v>41254</v>
      </c>
      <c r="S4785" t="s">
        <v>41425</v>
      </c>
      <c r="T4785" t="s">
        <v>42738</v>
      </c>
      <c r="U4785" t="s">
        <v>47130</v>
      </c>
      <c r="W4785" t="s">
        <v>55969</v>
      </c>
      <c r="X4785" t="s">
        <v>41258</v>
      </c>
    </row>
    <row r="4786" spans="1:24">
      <c r="A4786">
        <f>HYPERLINK("https://www.philgeps.gov.ph/GEPSNONPILOT/Tender/SplashBidNoticeAbstractUI.aspx?menuIndex=3&amp;refID=7068531&amp;Result=3","7068531")</f>
        <v>0</v>
      </c>
      <c r="B4786" t="s">
        <v>1696</v>
      </c>
      <c r="C4786" t="s">
        <v>7970</v>
      </c>
      <c r="D4786" t="s">
        <v>16658</v>
      </c>
      <c r="E4786" t="s">
        <v>21005</v>
      </c>
      <c r="F4786" t="s">
        <v>28669</v>
      </c>
      <c r="G4786" t="s">
        <v>28679</v>
      </c>
      <c r="H4786" t="s">
        <v>9998</v>
      </c>
      <c r="I4786" t="s">
        <v>5286</v>
      </c>
      <c r="J4786" t="s">
        <v>31900</v>
      </c>
      <c r="K4786" t="s">
        <v>37209</v>
      </c>
      <c r="M4786" t="s">
        <v>39292</v>
      </c>
      <c r="N4786" t="s">
        <v>41249</v>
      </c>
      <c r="O4786" t="s">
        <v>41250</v>
      </c>
      <c r="P4786">
        <v>0</v>
      </c>
      <c r="Q4786">
        <v>1</v>
      </c>
      <c r="R4786" t="s">
        <v>41254</v>
      </c>
      <c r="S4786" t="s">
        <v>41425</v>
      </c>
      <c r="T4786" t="s">
        <v>42738</v>
      </c>
      <c r="U4786" t="s">
        <v>47144</v>
      </c>
      <c r="W4786" t="s">
        <v>55969</v>
      </c>
      <c r="X4786" t="s">
        <v>41258</v>
      </c>
    </row>
    <row r="4787" spans="1:24">
      <c r="A4787">
        <f>HYPERLINK("https://www.philgeps.gov.ph/GEPSNONPILOT/Tender/SplashBidNoticeAbstractUI.aspx?menuIndex=3&amp;refID=7068519&amp;Result=3","7068519")</f>
        <v>0</v>
      </c>
      <c r="B4787" t="s">
        <v>1696</v>
      </c>
      <c r="C4787" t="s">
        <v>7971</v>
      </c>
      <c r="D4787" t="s">
        <v>16658</v>
      </c>
      <c r="E4787" t="s">
        <v>21006</v>
      </c>
      <c r="F4787" t="s">
        <v>28669</v>
      </c>
      <c r="G4787" t="s">
        <v>28679</v>
      </c>
      <c r="H4787" t="s">
        <v>9998</v>
      </c>
      <c r="I4787" t="s">
        <v>28717</v>
      </c>
      <c r="J4787" t="s">
        <v>31901</v>
      </c>
      <c r="K4787" t="s">
        <v>37209</v>
      </c>
      <c r="M4787" t="s">
        <v>39292</v>
      </c>
      <c r="N4787" t="s">
        <v>41249</v>
      </c>
      <c r="O4787" t="s">
        <v>41250</v>
      </c>
      <c r="P4787">
        <v>0</v>
      </c>
      <c r="Q4787">
        <v>3</v>
      </c>
      <c r="R4787" t="s">
        <v>41254</v>
      </c>
      <c r="S4787" t="s">
        <v>41425</v>
      </c>
      <c r="T4787" t="s">
        <v>42738</v>
      </c>
      <c r="U4787" t="s">
        <v>47145</v>
      </c>
      <c r="W4787" t="s">
        <v>55969</v>
      </c>
      <c r="X4787" t="s">
        <v>41258</v>
      </c>
    </row>
    <row r="4788" spans="1:24">
      <c r="A4788">
        <f>HYPERLINK("https://www.philgeps.gov.ph/GEPSNONPILOT/Tender/SplashBidNoticeAbstractUI.aspx?menuIndex=3&amp;refID=7069417&amp;Result=3","7069417")</f>
        <v>0</v>
      </c>
      <c r="B4788" t="s">
        <v>1697</v>
      </c>
      <c r="C4788" t="s">
        <v>7972</v>
      </c>
      <c r="D4788" t="s">
        <v>16639</v>
      </c>
      <c r="E4788" t="s">
        <v>21007</v>
      </c>
      <c r="F4788" t="s">
        <v>28669</v>
      </c>
      <c r="G4788" t="s">
        <v>28676</v>
      </c>
      <c r="H4788" t="s">
        <v>9998</v>
      </c>
      <c r="I4788" t="s">
        <v>28700</v>
      </c>
      <c r="J4788" t="s">
        <v>31902</v>
      </c>
      <c r="K4788" t="s">
        <v>37209</v>
      </c>
      <c r="L4788" t="s">
        <v>1697</v>
      </c>
      <c r="M4788" t="s">
        <v>39294</v>
      </c>
      <c r="N4788" t="s">
        <v>41249</v>
      </c>
      <c r="O4788" t="s">
        <v>41250</v>
      </c>
      <c r="P4788">
        <v>0</v>
      </c>
      <c r="Q4788">
        <v>1</v>
      </c>
      <c r="R4788" t="s">
        <v>41254</v>
      </c>
      <c r="S4788" t="s">
        <v>41425</v>
      </c>
      <c r="T4788" t="s">
        <v>42727</v>
      </c>
      <c r="U4788" t="s">
        <v>47146</v>
      </c>
      <c r="W4788" t="s">
        <v>39294</v>
      </c>
      <c r="X4788" t="s">
        <v>41258</v>
      </c>
    </row>
    <row r="4789" spans="1:24">
      <c r="A4789">
        <f>HYPERLINK("https://www.philgeps.gov.ph/GEPSNONPILOT/Tender/SplashBidNoticeAbstractUI.aspx?menuIndex=3&amp;refID=7068881&amp;Result=3","7068881")</f>
        <v>0</v>
      </c>
      <c r="B4789" t="s">
        <v>1694</v>
      </c>
      <c r="C4789" t="s">
        <v>7973</v>
      </c>
      <c r="E4789" t="s">
        <v>21008</v>
      </c>
      <c r="F4789" t="s">
        <v>28669</v>
      </c>
      <c r="G4789" t="s">
        <v>28675</v>
      </c>
      <c r="H4789" t="s">
        <v>9998</v>
      </c>
      <c r="I4789" t="s">
        <v>5213</v>
      </c>
      <c r="J4789" t="s">
        <v>29003</v>
      </c>
      <c r="K4789" t="s">
        <v>37209</v>
      </c>
      <c r="M4789" t="s">
        <v>39290</v>
      </c>
      <c r="N4789" t="s">
        <v>41249</v>
      </c>
      <c r="O4789" t="s">
        <v>41250</v>
      </c>
      <c r="P4789">
        <v>0</v>
      </c>
      <c r="Q4789">
        <v>3</v>
      </c>
      <c r="R4789" t="s">
        <v>41254</v>
      </c>
      <c r="S4789" t="s">
        <v>41425</v>
      </c>
      <c r="T4789" t="s">
        <v>42692</v>
      </c>
      <c r="U4789" t="s">
        <v>47147</v>
      </c>
      <c r="V4789" t="s">
        <v>54785</v>
      </c>
      <c r="W4789" t="s">
        <v>39290</v>
      </c>
      <c r="X4789" t="s">
        <v>41258</v>
      </c>
    </row>
    <row r="4790" spans="1:24">
      <c r="A4790">
        <f>HYPERLINK("https://www.philgeps.gov.ph/GEPSNONPILOT/Tender/SplashBidNoticeAbstractUI.aspx?menuIndex=3&amp;refID=7069655&amp;Result=3","7069655")</f>
        <v>0</v>
      </c>
      <c r="B4790" t="s">
        <v>1697</v>
      </c>
      <c r="C4790" t="s">
        <v>7974</v>
      </c>
      <c r="D4790" t="s">
        <v>16619</v>
      </c>
      <c r="E4790" t="s">
        <v>21009</v>
      </c>
      <c r="F4790" t="s">
        <v>28669</v>
      </c>
      <c r="G4790" t="s">
        <v>28676</v>
      </c>
      <c r="H4790" t="s">
        <v>28685</v>
      </c>
      <c r="I4790" t="s">
        <v>28685</v>
      </c>
      <c r="J4790" t="s">
        <v>31903</v>
      </c>
      <c r="K4790" t="s">
        <v>37209</v>
      </c>
      <c r="L4790" t="s">
        <v>1697</v>
      </c>
      <c r="M4790" t="s">
        <v>39297</v>
      </c>
      <c r="N4790" t="s">
        <v>41249</v>
      </c>
      <c r="O4790" t="s">
        <v>41250</v>
      </c>
      <c r="P4790">
        <v>0</v>
      </c>
      <c r="Q4790">
        <v>1</v>
      </c>
      <c r="R4790" t="s">
        <v>41254</v>
      </c>
      <c r="S4790" t="s">
        <v>41425</v>
      </c>
      <c r="T4790" t="s">
        <v>42754</v>
      </c>
      <c r="U4790" t="s">
        <v>47148</v>
      </c>
      <c r="W4790" t="s">
        <v>39297</v>
      </c>
      <c r="X4790" t="s">
        <v>41258</v>
      </c>
    </row>
    <row r="4791" spans="1:24">
      <c r="A4791">
        <f>HYPERLINK("https://www.philgeps.gov.ph/GEPSNONPILOT/Tender/SplashBidNoticeAbstractUI.aspx?menuIndex=3&amp;refID=7069374&amp;Result=3","7069374")</f>
        <v>0</v>
      </c>
      <c r="B4791" t="s">
        <v>1700</v>
      </c>
      <c r="C4791" t="s">
        <v>7975</v>
      </c>
      <c r="E4791" t="s">
        <v>16877</v>
      </c>
      <c r="F4791" t="s">
        <v>28670</v>
      </c>
      <c r="G4791" t="s">
        <v>28675</v>
      </c>
      <c r="H4791" t="s">
        <v>9998</v>
      </c>
      <c r="I4791" t="s">
        <v>28709</v>
      </c>
      <c r="J4791" t="s">
        <v>30665</v>
      </c>
      <c r="K4791" t="s">
        <v>37209</v>
      </c>
      <c r="M4791" t="s">
        <v>39298</v>
      </c>
      <c r="N4791" t="s">
        <v>41249</v>
      </c>
      <c r="O4791" t="s">
        <v>41250</v>
      </c>
      <c r="P4791">
        <v>0</v>
      </c>
      <c r="Q4791">
        <v>1</v>
      </c>
      <c r="R4791" t="s">
        <v>41254</v>
      </c>
      <c r="S4791" t="s">
        <v>41425</v>
      </c>
      <c r="T4791" t="s">
        <v>42976</v>
      </c>
      <c r="U4791" t="s">
        <v>47149</v>
      </c>
      <c r="W4791" t="s">
        <v>39298</v>
      </c>
      <c r="X4791" t="s">
        <v>41258</v>
      </c>
    </row>
    <row r="4792" spans="1:24">
      <c r="A4792">
        <f>HYPERLINK("https://www.philgeps.gov.ph/GEPSNONPILOT/Tender/SplashBidNoticeAbstractUI.aspx?menuIndex=3&amp;refID=7069648&amp;Result=3","7069648")</f>
        <v>0</v>
      </c>
      <c r="B4792" t="s">
        <v>797</v>
      </c>
      <c r="C4792" t="s">
        <v>7976</v>
      </c>
      <c r="D4792" t="s">
        <v>16677</v>
      </c>
      <c r="E4792" t="s">
        <v>21010</v>
      </c>
      <c r="F4792" t="s">
        <v>28669</v>
      </c>
      <c r="G4792" t="s">
        <v>28675</v>
      </c>
      <c r="H4792" t="s">
        <v>28686</v>
      </c>
      <c r="I4792" t="s">
        <v>28689</v>
      </c>
      <c r="J4792" t="s">
        <v>31904</v>
      </c>
      <c r="K4792" t="s">
        <v>37233</v>
      </c>
      <c r="M4792" t="s">
        <v>39293</v>
      </c>
      <c r="N4792" t="s">
        <v>41249</v>
      </c>
      <c r="O4792" t="s">
        <v>41250</v>
      </c>
      <c r="P4792">
        <v>0</v>
      </c>
      <c r="Q4792">
        <v>0</v>
      </c>
      <c r="R4792" t="s">
        <v>41254</v>
      </c>
      <c r="S4792" t="s">
        <v>41425</v>
      </c>
      <c r="T4792" t="s">
        <v>42929</v>
      </c>
      <c r="U4792" t="s">
        <v>47150</v>
      </c>
      <c r="W4792" t="s">
        <v>39293</v>
      </c>
      <c r="X4792" t="s">
        <v>41258</v>
      </c>
    </row>
    <row r="4793" spans="1:24">
      <c r="A4793">
        <f>HYPERLINK("https://www.philgeps.gov.ph/GEPSNONPILOT/Tender/SplashBidNoticeAbstractUI.aspx?menuIndex=3&amp;refID=7069618&amp;Result=3","7069618")</f>
        <v>0</v>
      </c>
      <c r="B4793" t="s">
        <v>797</v>
      </c>
      <c r="C4793" t="s">
        <v>7977</v>
      </c>
      <c r="D4793" t="s">
        <v>16677</v>
      </c>
      <c r="E4793" t="s">
        <v>21011</v>
      </c>
      <c r="F4793" t="s">
        <v>28669</v>
      </c>
      <c r="G4793" t="s">
        <v>28675</v>
      </c>
      <c r="H4793" t="s">
        <v>28686</v>
      </c>
      <c r="I4793" t="s">
        <v>28689</v>
      </c>
      <c r="J4793" t="s">
        <v>31905</v>
      </c>
      <c r="K4793" t="s">
        <v>37357</v>
      </c>
      <c r="M4793" t="s">
        <v>39293</v>
      </c>
      <c r="N4793" t="s">
        <v>41249</v>
      </c>
      <c r="O4793" t="s">
        <v>41250</v>
      </c>
      <c r="P4793">
        <v>0</v>
      </c>
      <c r="Q4793">
        <v>0</v>
      </c>
      <c r="R4793" t="s">
        <v>41254</v>
      </c>
      <c r="S4793" t="s">
        <v>41425</v>
      </c>
      <c r="T4793" t="s">
        <v>42929</v>
      </c>
      <c r="U4793" t="s">
        <v>47151</v>
      </c>
      <c r="W4793" t="s">
        <v>39293</v>
      </c>
      <c r="X4793" t="s">
        <v>41258</v>
      </c>
    </row>
    <row r="4794" spans="1:24">
      <c r="A4794">
        <f>HYPERLINK("https://www.philgeps.gov.ph/GEPSNONPILOT/Tender/SplashBidNoticeAbstractUI.aspx?menuIndex=3&amp;refID=7069594&amp;Result=3","7069594")</f>
        <v>0</v>
      </c>
      <c r="B4794" t="s">
        <v>1697</v>
      </c>
      <c r="C4794" t="s">
        <v>7978</v>
      </c>
      <c r="D4794" t="s">
        <v>16639</v>
      </c>
      <c r="E4794" t="s">
        <v>21012</v>
      </c>
      <c r="F4794" t="s">
        <v>28669</v>
      </c>
      <c r="G4794" t="s">
        <v>28676</v>
      </c>
      <c r="H4794" t="s">
        <v>28685</v>
      </c>
      <c r="I4794" t="s">
        <v>28685</v>
      </c>
      <c r="J4794" t="s">
        <v>31906</v>
      </c>
      <c r="K4794" t="s">
        <v>37209</v>
      </c>
      <c r="L4794" t="s">
        <v>1697</v>
      </c>
      <c r="M4794" t="s">
        <v>39297</v>
      </c>
      <c r="N4794" t="s">
        <v>41249</v>
      </c>
      <c r="O4794" t="s">
        <v>41250</v>
      </c>
      <c r="P4794">
        <v>0</v>
      </c>
      <c r="Q4794">
        <v>1</v>
      </c>
      <c r="R4794" t="s">
        <v>41254</v>
      </c>
      <c r="S4794" t="s">
        <v>41425</v>
      </c>
      <c r="T4794" t="s">
        <v>42754</v>
      </c>
      <c r="U4794" t="s">
        <v>47152</v>
      </c>
      <c r="W4794" t="s">
        <v>39297</v>
      </c>
      <c r="X4794" t="s">
        <v>41258</v>
      </c>
    </row>
    <row r="4795" spans="1:24">
      <c r="A4795">
        <f>HYPERLINK("https://www.philgeps.gov.ph/GEPSNONPILOT/Tender/SplashBidNoticeAbstractUI.aspx?menuIndex=3&amp;refID=7069516&amp;Result=3","7069516")</f>
        <v>0</v>
      </c>
      <c r="B4795" t="s">
        <v>1697</v>
      </c>
      <c r="C4795" t="s">
        <v>7979</v>
      </c>
      <c r="D4795" t="s">
        <v>16639</v>
      </c>
      <c r="E4795" t="s">
        <v>21013</v>
      </c>
      <c r="F4795" t="s">
        <v>28669</v>
      </c>
      <c r="G4795" t="s">
        <v>28676</v>
      </c>
      <c r="H4795" t="s">
        <v>9998</v>
      </c>
      <c r="I4795" t="s">
        <v>3679</v>
      </c>
      <c r="J4795" t="s">
        <v>31907</v>
      </c>
      <c r="K4795" t="s">
        <v>37209</v>
      </c>
      <c r="L4795" t="s">
        <v>1697</v>
      </c>
      <c r="M4795" t="s">
        <v>39294</v>
      </c>
      <c r="N4795" t="s">
        <v>41249</v>
      </c>
      <c r="O4795" t="s">
        <v>41250</v>
      </c>
      <c r="P4795">
        <v>0</v>
      </c>
      <c r="Q4795">
        <v>0</v>
      </c>
      <c r="R4795" t="s">
        <v>41254</v>
      </c>
      <c r="S4795" t="s">
        <v>41425</v>
      </c>
      <c r="T4795" t="s">
        <v>42727</v>
      </c>
      <c r="U4795" t="s">
        <v>47153</v>
      </c>
      <c r="W4795" t="s">
        <v>39294</v>
      </c>
      <c r="X4795" t="s">
        <v>41258</v>
      </c>
    </row>
    <row r="4796" spans="1:24">
      <c r="A4796">
        <f>HYPERLINK("https://www.philgeps.gov.ph/GEPSNONPILOT/Tender/SplashBidNoticeAbstractUI.aspx?menuIndex=3&amp;refID=7069502&amp;Result=3","7069502")</f>
        <v>0</v>
      </c>
      <c r="B4796" t="s">
        <v>797</v>
      </c>
      <c r="C4796" t="s">
        <v>7980</v>
      </c>
      <c r="D4796" t="s">
        <v>16677</v>
      </c>
      <c r="E4796" t="s">
        <v>21014</v>
      </c>
      <c r="F4796" t="s">
        <v>28669</v>
      </c>
      <c r="G4796" t="s">
        <v>28675</v>
      </c>
      <c r="H4796" t="s">
        <v>28686</v>
      </c>
      <c r="I4796" t="s">
        <v>28689</v>
      </c>
      <c r="J4796" t="s">
        <v>31908</v>
      </c>
      <c r="K4796" t="s">
        <v>37322</v>
      </c>
      <c r="M4796" t="s">
        <v>39293</v>
      </c>
      <c r="N4796" t="s">
        <v>41249</v>
      </c>
      <c r="O4796" t="s">
        <v>41250</v>
      </c>
      <c r="P4796">
        <v>0</v>
      </c>
      <c r="Q4796">
        <v>0</v>
      </c>
      <c r="R4796" t="s">
        <v>41254</v>
      </c>
      <c r="S4796" t="s">
        <v>41425</v>
      </c>
      <c r="T4796" t="s">
        <v>42929</v>
      </c>
      <c r="U4796" t="s">
        <v>47154</v>
      </c>
      <c r="W4796" t="s">
        <v>39293</v>
      </c>
      <c r="X4796" t="s">
        <v>41258</v>
      </c>
    </row>
    <row r="4797" spans="1:24">
      <c r="A4797">
        <f>HYPERLINK("https://www.philgeps.gov.ph/GEPSNONPILOT/Tender/SplashBidNoticeAbstractUI.aspx?menuIndex=3&amp;refID=7068861&amp;Result=3","7068861")</f>
        <v>0</v>
      </c>
      <c r="B4797" t="s">
        <v>1694</v>
      </c>
      <c r="C4797" t="s">
        <v>7981</v>
      </c>
      <c r="E4797" t="s">
        <v>18732</v>
      </c>
      <c r="F4797" t="s">
        <v>28669</v>
      </c>
      <c r="G4797" t="s">
        <v>28675</v>
      </c>
      <c r="H4797" t="s">
        <v>9998</v>
      </c>
      <c r="I4797" t="s">
        <v>28708</v>
      </c>
      <c r="J4797" t="s">
        <v>29040</v>
      </c>
      <c r="K4797" t="s">
        <v>37209</v>
      </c>
      <c r="M4797" t="s">
        <v>39290</v>
      </c>
      <c r="N4797" t="s">
        <v>41249</v>
      </c>
      <c r="O4797" t="s">
        <v>41250</v>
      </c>
      <c r="P4797">
        <v>0</v>
      </c>
      <c r="Q4797">
        <v>3</v>
      </c>
      <c r="R4797" t="s">
        <v>41254</v>
      </c>
      <c r="S4797" t="s">
        <v>41425</v>
      </c>
      <c r="T4797" t="s">
        <v>42703</v>
      </c>
      <c r="U4797" t="s">
        <v>47155</v>
      </c>
      <c r="V4797" t="s">
        <v>54786</v>
      </c>
      <c r="W4797" t="s">
        <v>39290</v>
      </c>
      <c r="X4797" t="s">
        <v>41258</v>
      </c>
    </row>
    <row r="4798" spans="1:24">
      <c r="A4798">
        <f>HYPERLINK("https://www.philgeps.gov.ph/GEPSNONPILOT/Tender/SplashBidNoticeAbstractUI.aspx?menuIndex=3&amp;refID=7067879&amp;Result=3","7067879")</f>
        <v>0</v>
      </c>
      <c r="B4798" t="s">
        <v>937</v>
      </c>
      <c r="C4798" t="s">
        <v>7982</v>
      </c>
      <c r="E4798" t="s">
        <v>21015</v>
      </c>
      <c r="F4798" t="s">
        <v>28669</v>
      </c>
      <c r="G4798" t="s">
        <v>28676</v>
      </c>
      <c r="H4798" t="s">
        <v>9998</v>
      </c>
      <c r="I4798" t="s">
        <v>7352</v>
      </c>
      <c r="J4798" t="s">
        <v>29916</v>
      </c>
      <c r="K4798" t="s">
        <v>37204</v>
      </c>
      <c r="M4798" t="s">
        <v>39281</v>
      </c>
      <c r="N4798" t="s">
        <v>41249</v>
      </c>
      <c r="O4798" t="s">
        <v>41250</v>
      </c>
      <c r="P4798">
        <v>0</v>
      </c>
      <c r="Q4798">
        <v>2</v>
      </c>
      <c r="R4798" t="s">
        <v>41254</v>
      </c>
      <c r="S4798" t="s">
        <v>41425</v>
      </c>
      <c r="T4798" t="s">
        <v>42754</v>
      </c>
      <c r="U4798" t="s">
        <v>47097</v>
      </c>
      <c r="W4798" t="s">
        <v>39281</v>
      </c>
      <c r="X4798" t="s">
        <v>41258</v>
      </c>
    </row>
    <row r="4799" spans="1:24">
      <c r="A4799">
        <f>HYPERLINK("https://www.philgeps.gov.ph/GEPSNONPILOT/Tender/SplashBidNoticeAbstractUI.aspx?menuIndex=3&amp;refID=7068750&amp;Result=3","7068750")</f>
        <v>0</v>
      </c>
      <c r="B4799" t="s">
        <v>1694</v>
      </c>
      <c r="C4799" t="s">
        <v>7983</v>
      </c>
      <c r="E4799" t="s">
        <v>19785</v>
      </c>
      <c r="F4799" t="s">
        <v>28669</v>
      </c>
      <c r="G4799" t="s">
        <v>28675</v>
      </c>
      <c r="H4799" t="s">
        <v>9998</v>
      </c>
      <c r="I4799" t="s">
        <v>28724</v>
      </c>
      <c r="J4799" t="s">
        <v>29332</v>
      </c>
      <c r="K4799" t="s">
        <v>37209</v>
      </c>
      <c r="M4799" t="s">
        <v>39290</v>
      </c>
      <c r="N4799" t="s">
        <v>41249</v>
      </c>
      <c r="O4799" t="s">
        <v>41250</v>
      </c>
      <c r="P4799">
        <v>0</v>
      </c>
      <c r="Q4799">
        <v>1</v>
      </c>
      <c r="R4799" t="s">
        <v>41254</v>
      </c>
      <c r="S4799" t="s">
        <v>41425</v>
      </c>
      <c r="T4799" t="s">
        <v>42692</v>
      </c>
      <c r="U4799" t="s">
        <v>47156</v>
      </c>
      <c r="V4799" t="s">
        <v>54787</v>
      </c>
      <c r="W4799" t="s">
        <v>39290</v>
      </c>
      <c r="X4799" t="s">
        <v>41258</v>
      </c>
    </row>
    <row r="4800" spans="1:24">
      <c r="A4800">
        <f>HYPERLINK("https://www.philgeps.gov.ph/GEPSNONPILOT/Tender/SplashBidNoticeAbstractUI.aspx?menuIndex=3&amp;refID=7069796&amp;Result=3","7069796")</f>
        <v>0</v>
      </c>
      <c r="B4800" t="s">
        <v>797</v>
      </c>
      <c r="C4800" t="s">
        <v>7984</v>
      </c>
      <c r="D4800" t="s">
        <v>16677</v>
      </c>
      <c r="E4800" t="s">
        <v>21016</v>
      </c>
      <c r="F4800" t="s">
        <v>28669</v>
      </c>
      <c r="G4800" t="s">
        <v>28675</v>
      </c>
      <c r="H4800" t="s">
        <v>28686</v>
      </c>
      <c r="I4800" t="s">
        <v>28689</v>
      </c>
      <c r="J4800" t="s">
        <v>31909</v>
      </c>
      <c r="K4800" t="s">
        <v>37220</v>
      </c>
      <c r="M4800" t="s">
        <v>39293</v>
      </c>
      <c r="N4800" t="s">
        <v>41249</v>
      </c>
      <c r="O4800" t="s">
        <v>41250</v>
      </c>
      <c r="P4800">
        <v>0</v>
      </c>
      <c r="Q4800">
        <v>0</v>
      </c>
      <c r="R4800" t="s">
        <v>41254</v>
      </c>
      <c r="S4800" t="s">
        <v>41425</v>
      </c>
      <c r="T4800" t="s">
        <v>42929</v>
      </c>
      <c r="U4800" t="s">
        <v>47157</v>
      </c>
      <c r="W4800" t="s">
        <v>39293</v>
      </c>
      <c r="X4800" t="s">
        <v>41258</v>
      </c>
    </row>
    <row r="4801" spans="1:24">
      <c r="A4801">
        <f>HYPERLINK("https://www.philgeps.gov.ph/GEPSNONPILOT/Tender/SplashBidNoticeAbstractUI.aspx?menuIndex=3&amp;refID=7069651&amp;Result=3","7069651")</f>
        <v>0</v>
      </c>
      <c r="B4801" t="s">
        <v>1693</v>
      </c>
      <c r="C4801" t="s">
        <v>7985</v>
      </c>
      <c r="D4801" t="s">
        <v>16684</v>
      </c>
      <c r="E4801" t="s">
        <v>21008</v>
      </c>
      <c r="F4801" t="s">
        <v>28669</v>
      </c>
      <c r="G4801" t="s">
        <v>28675</v>
      </c>
      <c r="H4801" t="s">
        <v>28686</v>
      </c>
      <c r="I4801" t="s">
        <v>28689</v>
      </c>
      <c r="J4801" t="s">
        <v>31910</v>
      </c>
      <c r="K4801" t="s">
        <v>37223</v>
      </c>
      <c r="M4801" t="s">
        <v>39289</v>
      </c>
      <c r="N4801" t="s">
        <v>41249</v>
      </c>
      <c r="O4801" t="s">
        <v>41250</v>
      </c>
      <c r="P4801">
        <v>0</v>
      </c>
      <c r="Q4801">
        <v>0</v>
      </c>
      <c r="R4801" t="s">
        <v>41254</v>
      </c>
      <c r="S4801" t="s">
        <v>41425</v>
      </c>
      <c r="T4801" t="s">
        <v>42977</v>
      </c>
      <c r="U4801" t="s">
        <v>47158</v>
      </c>
      <c r="V4801" t="s">
        <v>54782</v>
      </c>
      <c r="W4801" t="s">
        <v>39289</v>
      </c>
      <c r="X4801" t="s">
        <v>41258</v>
      </c>
    </row>
    <row r="4802" spans="1:24">
      <c r="A4802">
        <f>HYPERLINK("https://www.philgeps.gov.ph/GEPSNONPILOT/Tender/SplashBidNoticeAbstractUI.aspx?menuIndex=3&amp;refID=7069744&amp;Result=3","7069744")</f>
        <v>0</v>
      </c>
      <c r="B4802" t="s">
        <v>996</v>
      </c>
      <c r="C4802" t="s">
        <v>7986</v>
      </c>
      <c r="E4802" t="s">
        <v>19752</v>
      </c>
      <c r="F4802" t="s">
        <v>28669</v>
      </c>
      <c r="G4802" t="s">
        <v>28682</v>
      </c>
      <c r="H4802" t="s">
        <v>9998</v>
      </c>
      <c r="I4802" t="s">
        <v>5213</v>
      </c>
      <c r="J4802" t="s">
        <v>31911</v>
      </c>
      <c r="K4802" t="s">
        <v>37209</v>
      </c>
      <c r="M4802" t="s">
        <v>38524</v>
      </c>
      <c r="N4802" t="s">
        <v>41249</v>
      </c>
      <c r="O4802" t="s">
        <v>41250</v>
      </c>
      <c r="P4802">
        <v>0</v>
      </c>
      <c r="Q4802">
        <v>6</v>
      </c>
      <c r="R4802" t="s">
        <v>41254</v>
      </c>
      <c r="S4802" t="s">
        <v>41425</v>
      </c>
      <c r="T4802" t="s">
        <v>42709</v>
      </c>
      <c r="U4802" t="s">
        <v>47159</v>
      </c>
      <c r="W4802" t="s">
        <v>38524</v>
      </c>
      <c r="X4802" t="s">
        <v>41258</v>
      </c>
    </row>
    <row r="4803" spans="1:24">
      <c r="A4803">
        <f>HYPERLINK("https://www.philgeps.gov.ph/GEPSNONPILOT/Tender/SplashBidNoticeAbstractUI.aspx?menuIndex=3&amp;refID=7069717&amp;Result=3","7069717")</f>
        <v>0</v>
      </c>
      <c r="B4803" t="s">
        <v>1693</v>
      </c>
      <c r="C4803" t="s">
        <v>7987</v>
      </c>
      <c r="D4803" t="s">
        <v>16684</v>
      </c>
      <c r="E4803" t="s">
        <v>21017</v>
      </c>
      <c r="F4803" t="s">
        <v>28669</v>
      </c>
      <c r="G4803" t="s">
        <v>28675</v>
      </c>
      <c r="H4803" t="s">
        <v>9998</v>
      </c>
      <c r="I4803" t="s">
        <v>28689</v>
      </c>
      <c r="J4803" t="s">
        <v>31912</v>
      </c>
      <c r="K4803" t="s">
        <v>37204</v>
      </c>
      <c r="M4803" t="s">
        <v>39289</v>
      </c>
      <c r="N4803" t="s">
        <v>41249</v>
      </c>
      <c r="O4803" t="s">
        <v>41250</v>
      </c>
      <c r="P4803">
        <v>0</v>
      </c>
      <c r="Q4803">
        <v>0</v>
      </c>
      <c r="R4803" t="s">
        <v>41254</v>
      </c>
      <c r="S4803" t="s">
        <v>41425</v>
      </c>
      <c r="T4803" t="s">
        <v>42978</v>
      </c>
      <c r="U4803" t="s">
        <v>47160</v>
      </c>
      <c r="V4803" t="s">
        <v>54782</v>
      </c>
      <c r="W4803" t="s">
        <v>39289</v>
      </c>
      <c r="X4803" t="s">
        <v>41258</v>
      </c>
    </row>
    <row r="4804" spans="1:24">
      <c r="A4804">
        <f>HYPERLINK("https://www.philgeps.gov.ph/GEPSNONPILOT/Tender/SplashBidNoticeAbstractUI.aspx?menuIndex=3&amp;refID=7069678&amp;Result=3","7069678")</f>
        <v>0</v>
      </c>
      <c r="B4804" t="s">
        <v>797</v>
      </c>
      <c r="C4804" t="s">
        <v>7988</v>
      </c>
      <c r="D4804" t="s">
        <v>16677</v>
      </c>
      <c r="E4804" t="s">
        <v>21018</v>
      </c>
      <c r="F4804" t="s">
        <v>28669</v>
      </c>
      <c r="G4804" t="s">
        <v>28675</v>
      </c>
      <c r="H4804" t="s">
        <v>28686</v>
      </c>
      <c r="I4804" t="s">
        <v>28689</v>
      </c>
      <c r="J4804" t="s">
        <v>31913</v>
      </c>
      <c r="K4804" t="s">
        <v>37215</v>
      </c>
      <c r="M4804" t="s">
        <v>39293</v>
      </c>
      <c r="N4804" t="s">
        <v>41249</v>
      </c>
      <c r="O4804" t="s">
        <v>41250</v>
      </c>
      <c r="P4804">
        <v>0</v>
      </c>
      <c r="Q4804">
        <v>0</v>
      </c>
      <c r="R4804" t="s">
        <v>41254</v>
      </c>
      <c r="S4804" t="s">
        <v>41425</v>
      </c>
      <c r="T4804" t="s">
        <v>42929</v>
      </c>
      <c r="U4804" t="s">
        <v>47161</v>
      </c>
      <c r="W4804" t="s">
        <v>39293</v>
      </c>
      <c r="X4804" t="s">
        <v>41258</v>
      </c>
    </row>
    <row r="4805" spans="1:24">
      <c r="A4805">
        <f>HYPERLINK("https://www.philgeps.gov.ph/GEPSNONPILOT/Tender/SplashBidNoticeAbstractUI.aspx?menuIndex=3&amp;refID=7069498&amp;Result=3","7069498")</f>
        <v>0</v>
      </c>
      <c r="B4805" t="s">
        <v>1697</v>
      </c>
      <c r="C4805" t="s">
        <v>7989</v>
      </c>
      <c r="D4805" t="s">
        <v>16639</v>
      </c>
      <c r="E4805" t="s">
        <v>21019</v>
      </c>
      <c r="F4805" t="s">
        <v>28669</v>
      </c>
      <c r="G4805" t="s">
        <v>28676</v>
      </c>
      <c r="H4805" t="s">
        <v>9998</v>
      </c>
      <c r="I4805" t="s">
        <v>28714</v>
      </c>
      <c r="J4805" t="s">
        <v>31914</v>
      </c>
      <c r="K4805" t="s">
        <v>37209</v>
      </c>
      <c r="L4805" t="s">
        <v>1697</v>
      </c>
      <c r="M4805" t="s">
        <v>39294</v>
      </c>
      <c r="N4805" t="s">
        <v>41249</v>
      </c>
      <c r="O4805" t="s">
        <v>41250</v>
      </c>
      <c r="P4805">
        <v>0</v>
      </c>
      <c r="Q4805">
        <v>6</v>
      </c>
      <c r="R4805" t="s">
        <v>41254</v>
      </c>
      <c r="S4805" t="s">
        <v>41425</v>
      </c>
      <c r="T4805" t="s">
        <v>42727</v>
      </c>
      <c r="U4805" t="s">
        <v>47162</v>
      </c>
      <c r="W4805" t="s">
        <v>39294</v>
      </c>
      <c r="X4805" t="s">
        <v>41258</v>
      </c>
    </row>
    <row r="4806" spans="1:24">
      <c r="A4806">
        <f>HYPERLINK("https://www.philgeps.gov.ph/GEPSNONPILOT/Tender/SplashBidNoticeAbstractUI.aspx?menuIndex=3&amp;refID=7069466&amp;Result=3","7069466")</f>
        <v>0</v>
      </c>
      <c r="B4806" t="s">
        <v>1697</v>
      </c>
      <c r="C4806" t="s">
        <v>7990</v>
      </c>
      <c r="D4806" t="s">
        <v>16639</v>
      </c>
      <c r="E4806" t="s">
        <v>21020</v>
      </c>
      <c r="F4806" t="s">
        <v>28669</v>
      </c>
      <c r="G4806" t="s">
        <v>28676</v>
      </c>
      <c r="H4806" t="s">
        <v>9998</v>
      </c>
      <c r="I4806" t="s">
        <v>28688</v>
      </c>
      <c r="J4806" t="s">
        <v>31915</v>
      </c>
      <c r="K4806" t="s">
        <v>37209</v>
      </c>
      <c r="L4806" t="s">
        <v>1697</v>
      </c>
      <c r="M4806" t="s">
        <v>39294</v>
      </c>
      <c r="N4806" t="s">
        <v>41249</v>
      </c>
      <c r="O4806" t="s">
        <v>41250</v>
      </c>
      <c r="P4806">
        <v>0</v>
      </c>
      <c r="Q4806">
        <v>10</v>
      </c>
      <c r="R4806" t="s">
        <v>41254</v>
      </c>
      <c r="S4806" t="s">
        <v>41425</v>
      </c>
      <c r="T4806" t="s">
        <v>42727</v>
      </c>
      <c r="U4806" t="s">
        <v>47163</v>
      </c>
      <c r="W4806" t="s">
        <v>39294</v>
      </c>
      <c r="X4806" t="s">
        <v>41258</v>
      </c>
    </row>
    <row r="4807" spans="1:24">
      <c r="A4807">
        <f>HYPERLINK("https://www.philgeps.gov.ph/GEPSNONPILOT/Tender/SplashBidNoticeAbstractUI.aspx?menuIndex=3&amp;refID=7069829&amp;Result=3","7069829")</f>
        <v>0</v>
      </c>
      <c r="B4807" t="s">
        <v>482</v>
      </c>
      <c r="C4807" t="s">
        <v>7991</v>
      </c>
      <c r="D4807" t="s">
        <v>16654</v>
      </c>
      <c r="E4807" t="s">
        <v>17587</v>
      </c>
      <c r="F4807" t="s">
        <v>28669</v>
      </c>
      <c r="G4807" t="s">
        <v>28675</v>
      </c>
      <c r="H4807" t="s">
        <v>9998</v>
      </c>
      <c r="I4807" t="s">
        <v>28706</v>
      </c>
      <c r="J4807" t="s">
        <v>31916</v>
      </c>
      <c r="K4807" t="s">
        <v>37220</v>
      </c>
      <c r="M4807" t="s">
        <v>37970</v>
      </c>
      <c r="N4807" t="s">
        <v>41249</v>
      </c>
      <c r="O4807" t="s">
        <v>41250</v>
      </c>
      <c r="P4807">
        <v>0</v>
      </c>
      <c r="Q4807">
        <v>2</v>
      </c>
      <c r="R4807" t="s">
        <v>41254</v>
      </c>
      <c r="S4807" t="s">
        <v>41425</v>
      </c>
      <c r="T4807" t="s">
        <v>42694</v>
      </c>
      <c r="U4807" t="s">
        <v>47164</v>
      </c>
      <c r="W4807" t="s">
        <v>37970</v>
      </c>
      <c r="X4807" t="s">
        <v>41258</v>
      </c>
    </row>
    <row r="4808" spans="1:24">
      <c r="A4808">
        <f>HYPERLINK("https://www.philgeps.gov.ph/GEPSNONPILOT/Tender/SplashBidNoticeAbstractUI.aspx?menuIndex=3&amp;refID=7069421&amp;Result=3","7069421")</f>
        <v>0</v>
      </c>
      <c r="B4808" t="s">
        <v>797</v>
      </c>
      <c r="C4808" t="s">
        <v>7992</v>
      </c>
      <c r="D4808" t="s">
        <v>16677</v>
      </c>
      <c r="E4808" t="s">
        <v>21021</v>
      </c>
      <c r="F4808" t="s">
        <v>28669</v>
      </c>
      <c r="G4808" t="s">
        <v>28675</v>
      </c>
      <c r="H4808" t="s">
        <v>28686</v>
      </c>
      <c r="I4808" t="s">
        <v>28689</v>
      </c>
      <c r="J4808" t="s">
        <v>31917</v>
      </c>
      <c r="K4808" t="s">
        <v>37212</v>
      </c>
      <c r="M4808" t="s">
        <v>39293</v>
      </c>
      <c r="N4808" t="s">
        <v>41249</v>
      </c>
      <c r="O4808" t="s">
        <v>41250</v>
      </c>
      <c r="P4808">
        <v>0</v>
      </c>
      <c r="Q4808">
        <v>0</v>
      </c>
      <c r="R4808" t="s">
        <v>41254</v>
      </c>
      <c r="S4808" t="s">
        <v>41425</v>
      </c>
      <c r="T4808" t="s">
        <v>42929</v>
      </c>
      <c r="U4808" t="s">
        <v>47165</v>
      </c>
      <c r="W4808" t="s">
        <v>39293</v>
      </c>
      <c r="X4808" t="s">
        <v>41258</v>
      </c>
    </row>
    <row r="4809" spans="1:24">
      <c r="A4809">
        <f>HYPERLINK("https://www.philgeps.gov.ph/GEPSNONPILOT/Tender/SplashBidNoticeAbstractUI.aspx?menuIndex=3&amp;refID=7069740&amp;Result=3","7069740")</f>
        <v>0</v>
      </c>
      <c r="B4809" t="s">
        <v>797</v>
      </c>
      <c r="C4809" t="s">
        <v>7993</v>
      </c>
      <c r="D4809" t="s">
        <v>16677</v>
      </c>
      <c r="E4809" t="s">
        <v>21022</v>
      </c>
      <c r="F4809" t="s">
        <v>28669</v>
      </c>
      <c r="G4809" t="s">
        <v>28675</v>
      </c>
      <c r="H4809" t="s">
        <v>28686</v>
      </c>
      <c r="I4809" t="s">
        <v>28689</v>
      </c>
      <c r="J4809" t="s">
        <v>31918</v>
      </c>
      <c r="K4809" t="s">
        <v>37281</v>
      </c>
      <c r="M4809" t="s">
        <v>39293</v>
      </c>
      <c r="N4809" t="s">
        <v>41249</v>
      </c>
      <c r="O4809" t="s">
        <v>41250</v>
      </c>
      <c r="P4809">
        <v>0</v>
      </c>
      <c r="Q4809">
        <v>0</v>
      </c>
      <c r="R4809" t="s">
        <v>41254</v>
      </c>
      <c r="S4809" t="s">
        <v>41425</v>
      </c>
      <c r="T4809" t="s">
        <v>42929</v>
      </c>
      <c r="U4809" t="s">
        <v>47166</v>
      </c>
      <c r="W4809" t="s">
        <v>39293</v>
      </c>
      <c r="X4809" t="s">
        <v>41258</v>
      </c>
    </row>
    <row r="4810" spans="1:24">
      <c r="A4810">
        <f>HYPERLINK("https://www.philgeps.gov.ph/GEPSNONPILOT/Tender/SplashBidNoticeAbstractUI.aspx?menuIndex=3&amp;refID=7069569&amp;Result=3","7069569")</f>
        <v>0</v>
      </c>
      <c r="B4810" t="s">
        <v>797</v>
      </c>
      <c r="C4810" t="s">
        <v>7994</v>
      </c>
      <c r="D4810" t="s">
        <v>16677</v>
      </c>
      <c r="E4810" t="s">
        <v>21023</v>
      </c>
      <c r="F4810" t="s">
        <v>28669</v>
      </c>
      <c r="G4810" t="s">
        <v>28675</v>
      </c>
      <c r="H4810" t="s">
        <v>28686</v>
      </c>
      <c r="I4810" t="s">
        <v>28689</v>
      </c>
      <c r="J4810" t="s">
        <v>31919</v>
      </c>
      <c r="K4810" t="s">
        <v>37271</v>
      </c>
      <c r="M4810" t="s">
        <v>39293</v>
      </c>
      <c r="N4810" t="s">
        <v>41249</v>
      </c>
      <c r="O4810" t="s">
        <v>41250</v>
      </c>
      <c r="P4810">
        <v>0</v>
      </c>
      <c r="Q4810">
        <v>0</v>
      </c>
      <c r="R4810" t="s">
        <v>41254</v>
      </c>
      <c r="S4810" t="s">
        <v>41425</v>
      </c>
      <c r="T4810" t="s">
        <v>42929</v>
      </c>
      <c r="U4810" t="s">
        <v>47167</v>
      </c>
      <c r="W4810" t="s">
        <v>39293</v>
      </c>
      <c r="X4810" t="s">
        <v>41258</v>
      </c>
    </row>
    <row r="4811" spans="1:24">
      <c r="A4811">
        <f>HYPERLINK("https://www.philgeps.gov.ph/GEPSNONPILOT/Tender/SplashBidNoticeAbstractUI.aspx?menuIndex=3&amp;refID=7069693&amp;Result=3","7069693")</f>
        <v>0</v>
      </c>
      <c r="B4811" t="s">
        <v>1697</v>
      </c>
      <c r="C4811" t="s">
        <v>7995</v>
      </c>
      <c r="D4811" t="s">
        <v>16639</v>
      </c>
      <c r="E4811" t="s">
        <v>21024</v>
      </c>
      <c r="F4811" t="s">
        <v>28669</v>
      </c>
      <c r="G4811" t="s">
        <v>28676</v>
      </c>
      <c r="H4811" t="s">
        <v>28685</v>
      </c>
      <c r="I4811" t="s">
        <v>28685</v>
      </c>
      <c r="J4811" t="s">
        <v>31920</v>
      </c>
      <c r="K4811" t="s">
        <v>37209</v>
      </c>
      <c r="L4811" t="s">
        <v>1697</v>
      </c>
      <c r="M4811" t="s">
        <v>39297</v>
      </c>
      <c r="N4811" t="s">
        <v>41249</v>
      </c>
      <c r="O4811" t="s">
        <v>41250</v>
      </c>
      <c r="P4811">
        <v>0</v>
      </c>
      <c r="Q4811">
        <v>1</v>
      </c>
      <c r="R4811" t="s">
        <v>41254</v>
      </c>
      <c r="S4811" t="s">
        <v>41425</v>
      </c>
      <c r="T4811" t="s">
        <v>42673</v>
      </c>
      <c r="U4811" t="s">
        <v>47148</v>
      </c>
      <c r="W4811" t="s">
        <v>39297</v>
      </c>
      <c r="X4811" t="s">
        <v>41258</v>
      </c>
    </row>
    <row r="4812" spans="1:24">
      <c r="A4812">
        <f>HYPERLINK("https://www.philgeps.gov.ph/GEPSNONPILOT/Tender/SplashBidNoticeAbstractUI.aspx?menuIndex=3&amp;refID=7069835&amp;Result=3","7069835")</f>
        <v>0</v>
      </c>
      <c r="B4812" t="s">
        <v>797</v>
      </c>
      <c r="C4812" t="s">
        <v>7996</v>
      </c>
      <c r="D4812" t="s">
        <v>16677</v>
      </c>
      <c r="E4812" t="s">
        <v>21025</v>
      </c>
      <c r="F4812" t="s">
        <v>28669</v>
      </c>
      <c r="G4812" t="s">
        <v>28675</v>
      </c>
      <c r="H4812" t="s">
        <v>28686</v>
      </c>
      <c r="I4812" t="s">
        <v>28689</v>
      </c>
      <c r="J4812" t="s">
        <v>31921</v>
      </c>
      <c r="K4812" t="s">
        <v>37259</v>
      </c>
      <c r="M4812" t="s">
        <v>39293</v>
      </c>
      <c r="N4812" t="s">
        <v>41249</v>
      </c>
      <c r="O4812" t="s">
        <v>41250</v>
      </c>
      <c r="P4812">
        <v>0</v>
      </c>
      <c r="Q4812">
        <v>0</v>
      </c>
      <c r="R4812" t="s">
        <v>41254</v>
      </c>
      <c r="S4812" t="s">
        <v>41425</v>
      </c>
      <c r="T4812" t="s">
        <v>42929</v>
      </c>
      <c r="U4812" t="s">
        <v>47168</v>
      </c>
      <c r="W4812" t="s">
        <v>39293</v>
      </c>
      <c r="X4812" t="s">
        <v>41258</v>
      </c>
    </row>
    <row r="4813" spans="1:24">
      <c r="A4813">
        <f>HYPERLINK("https://www.philgeps.gov.ph/GEPSNONPILOT/Tender/SplashBidNoticeAbstractUI.aspx?menuIndex=3&amp;refID=7069464&amp;Result=3","7069464")</f>
        <v>0</v>
      </c>
      <c r="B4813" t="s">
        <v>550</v>
      </c>
      <c r="C4813" t="s">
        <v>7997</v>
      </c>
      <c r="D4813" t="s">
        <v>16663</v>
      </c>
      <c r="E4813" t="s">
        <v>19012</v>
      </c>
      <c r="F4813" t="s">
        <v>28669</v>
      </c>
      <c r="G4813" t="s">
        <v>28675</v>
      </c>
      <c r="H4813" t="s">
        <v>9998</v>
      </c>
      <c r="I4813" t="s">
        <v>28806</v>
      </c>
      <c r="J4813" t="s">
        <v>31922</v>
      </c>
      <c r="K4813" t="s">
        <v>37221</v>
      </c>
      <c r="M4813" t="s">
        <v>38043</v>
      </c>
      <c r="N4813" t="s">
        <v>41249</v>
      </c>
      <c r="O4813" t="s">
        <v>41250</v>
      </c>
      <c r="P4813">
        <v>0</v>
      </c>
      <c r="Q4813">
        <v>3</v>
      </c>
      <c r="R4813" t="s">
        <v>41254</v>
      </c>
      <c r="S4813" t="s">
        <v>41425</v>
      </c>
      <c r="T4813" t="s">
        <v>42740</v>
      </c>
      <c r="U4813" t="s">
        <v>47169</v>
      </c>
      <c r="V4813" t="s">
        <v>54788</v>
      </c>
      <c r="W4813" t="s">
        <v>38043</v>
      </c>
      <c r="X4813" t="s">
        <v>41258</v>
      </c>
    </row>
    <row r="4814" spans="1:24">
      <c r="A4814">
        <f>HYPERLINK("https://www.philgeps.gov.ph/GEPSNONPILOT/Tender/SplashBidNoticeAbstractUI.aspx?menuIndex=3&amp;refID=7070306&amp;Result=3","7070306")</f>
        <v>0</v>
      </c>
      <c r="B4814" t="s">
        <v>1701</v>
      </c>
      <c r="C4814" t="s">
        <v>7998</v>
      </c>
      <c r="D4814" t="s">
        <v>16673</v>
      </c>
      <c r="E4814" t="s">
        <v>17037</v>
      </c>
      <c r="F4814" t="s">
        <v>28669</v>
      </c>
      <c r="G4814" t="s">
        <v>28675</v>
      </c>
      <c r="H4814" t="s">
        <v>28686</v>
      </c>
      <c r="I4814" t="s">
        <v>28689</v>
      </c>
      <c r="J4814" t="s">
        <v>31923</v>
      </c>
      <c r="K4814" t="s">
        <v>37209</v>
      </c>
      <c r="M4814" t="s">
        <v>39299</v>
      </c>
      <c r="N4814" t="s">
        <v>41249</v>
      </c>
      <c r="O4814" t="s">
        <v>41250</v>
      </c>
      <c r="P4814">
        <v>0</v>
      </c>
      <c r="Q4814">
        <v>0</v>
      </c>
      <c r="R4814" t="s">
        <v>41254</v>
      </c>
      <c r="S4814" t="s">
        <v>41425</v>
      </c>
      <c r="T4814" t="s">
        <v>42673</v>
      </c>
      <c r="U4814" t="s">
        <v>47170</v>
      </c>
      <c r="W4814" t="s">
        <v>39299</v>
      </c>
      <c r="X4814" t="s">
        <v>41257</v>
      </c>
    </row>
    <row r="4815" spans="1:24">
      <c r="A4815">
        <f>HYPERLINK("https://www.philgeps.gov.ph/GEPSNONPILOT/Tender/SplashBidNoticeAbstractUI.aspx?menuIndex=3&amp;refID=7070273&amp;Result=3","7070273")</f>
        <v>0</v>
      </c>
      <c r="B4815" t="s">
        <v>752</v>
      </c>
      <c r="C4815" t="s">
        <v>7999</v>
      </c>
      <c r="D4815" t="s">
        <v>16679</v>
      </c>
      <c r="E4815" t="s">
        <v>21026</v>
      </c>
      <c r="F4815" t="s">
        <v>28669</v>
      </c>
      <c r="G4815" t="s">
        <v>28676</v>
      </c>
      <c r="H4815" t="s">
        <v>9998</v>
      </c>
      <c r="I4815" t="s">
        <v>5213</v>
      </c>
      <c r="J4815" t="s">
        <v>29593</v>
      </c>
      <c r="K4815" t="s">
        <v>37205</v>
      </c>
      <c r="M4815" t="s">
        <v>38679</v>
      </c>
      <c r="N4815" t="s">
        <v>41249</v>
      </c>
      <c r="O4815" t="s">
        <v>41250</v>
      </c>
      <c r="P4815">
        <v>0</v>
      </c>
      <c r="Q4815">
        <v>0</v>
      </c>
      <c r="R4815" t="s">
        <v>41254</v>
      </c>
      <c r="S4815" t="s">
        <v>41425</v>
      </c>
      <c r="T4815" t="s">
        <v>42883</v>
      </c>
      <c r="U4815" t="s">
        <v>47171</v>
      </c>
      <c r="V4815" t="s">
        <v>54457</v>
      </c>
      <c r="W4815" t="s">
        <v>38679</v>
      </c>
      <c r="X4815" t="s">
        <v>41257</v>
      </c>
    </row>
    <row r="4816" spans="1:24">
      <c r="A4816">
        <f>HYPERLINK("https://www.philgeps.gov.ph/GEPSNONPILOT/Tender/SplashBidNoticeAbstractUI.aspx?menuIndex=3&amp;refID=7069978&amp;Result=3","7069978")</f>
        <v>0</v>
      </c>
      <c r="B4816" t="s">
        <v>797</v>
      </c>
      <c r="C4816" t="s">
        <v>8000</v>
      </c>
      <c r="D4816" t="s">
        <v>16677</v>
      </c>
      <c r="E4816" t="s">
        <v>21027</v>
      </c>
      <c r="F4816" t="s">
        <v>28669</v>
      </c>
      <c r="G4816" t="s">
        <v>28675</v>
      </c>
      <c r="H4816" t="s">
        <v>28686</v>
      </c>
      <c r="I4816" t="s">
        <v>28689</v>
      </c>
      <c r="J4816" t="s">
        <v>31924</v>
      </c>
      <c r="K4816" t="s">
        <v>37281</v>
      </c>
      <c r="M4816" t="s">
        <v>39293</v>
      </c>
      <c r="N4816" t="s">
        <v>41249</v>
      </c>
      <c r="O4816" t="s">
        <v>41250</v>
      </c>
      <c r="P4816">
        <v>0</v>
      </c>
      <c r="Q4816">
        <v>0</v>
      </c>
      <c r="R4816" t="s">
        <v>41254</v>
      </c>
      <c r="S4816" t="s">
        <v>41425</v>
      </c>
      <c r="T4816" t="s">
        <v>42929</v>
      </c>
      <c r="U4816" t="s">
        <v>47172</v>
      </c>
      <c r="W4816" t="s">
        <v>39293</v>
      </c>
      <c r="X4816" t="s">
        <v>41258</v>
      </c>
    </row>
    <row r="4817" spans="1:24">
      <c r="A4817">
        <f>HYPERLINK("https://www.philgeps.gov.ph/GEPSNONPILOT/Tender/SplashBidNoticeAbstractUI.aspx?menuIndex=3&amp;refID=7069972&amp;Result=3","7069972")</f>
        <v>0</v>
      </c>
      <c r="B4817" t="s">
        <v>797</v>
      </c>
      <c r="C4817" t="s">
        <v>8001</v>
      </c>
      <c r="D4817" t="s">
        <v>16677</v>
      </c>
      <c r="E4817" t="s">
        <v>21028</v>
      </c>
      <c r="F4817" t="s">
        <v>28669</v>
      </c>
      <c r="G4817" t="s">
        <v>28675</v>
      </c>
      <c r="H4817" t="s">
        <v>28686</v>
      </c>
      <c r="I4817" t="s">
        <v>28689</v>
      </c>
      <c r="J4817" t="s">
        <v>31925</v>
      </c>
      <c r="K4817" t="s">
        <v>37305</v>
      </c>
      <c r="M4817" t="s">
        <v>39293</v>
      </c>
      <c r="N4817" t="s">
        <v>41249</v>
      </c>
      <c r="O4817" t="s">
        <v>41250</v>
      </c>
      <c r="P4817">
        <v>0</v>
      </c>
      <c r="Q4817">
        <v>0</v>
      </c>
      <c r="R4817" t="s">
        <v>41254</v>
      </c>
      <c r="S4817" t="s">
        <v>41425</v>
      </c>
      <c r="T4817" t="s">
        <v>42929</v>
      </c>
      <c r="U4817" t="s">
        <v>47173</v>
      </c>
      <c r="W4817" t="s">
        <v>39293</v>
      </c>
      <c r="X4817" t="s">
        <v>41258</v>
      </c>
    </row>
    <row r="4818" spans="1:24">
      <c r="A4818">
        <f>HYPERLINK("https://www.philgeps.gov.ph/GEPSNONPILOT/Tender/SplashBidNoticeAbstractUI.aspx?menuIndex=3&amp;refID=7069959&amp;Result=3","7069959")</f>
        <v>0</v>
      </c>
      <c r="B4818" t="s">
        <v>797</v>
      </c>
      <c r="C4818" t="s">
        <v>8002</v>
      </c>
      <c r="D4818" t="s">
        <v>16677</v>
      </c>
      <c r="E4818" t="s">
        <v>21029</v>
      </c>
      <c r="F4818" t="s">
        <v>28669</v>
      </c>
      <c r="G4818" t="s">
        <v>28675</v>
      </c>
      <c r="H4818" t="s">
        <v>28686</v>
      </c>
      <c r="I4818" t="s">
        <v>28689</v>
      </c>
      <c r="J4818" t="s">
        <v>31926</v>
      </c>
      <c r="K4818" t="s">
        <v>37259</v>
      </c>
      <c r="M4818" t="s">
        <v>39293</v>
      </c>
      <c r="N4818" t="s">
        <v>41249</v>
      </c>
      <c r="O4818" t="s">
        <v>41250</v>
      </c>
      <c r="P4818">
        <v>0</v>
      </c>
      <c r="Q4818">
        <v>0</v>
      </c>
      <c r="R4818" t="s">
        <v>41254</v>
      </c>
      <c r="S4818" t="s">
        <v>41425</v>
      </c>
      <c r="T4818" t="s">
        <v>42929</v>
      </c>
      <c r="U4818" t="s">
        <v>47174</v>
      </c>
      <c r="W4818" t="s">
        <v>39293</v>
      </c>
      <c r="X4818" t="s">
        <v>41258</v>
      </c>
    </row>
    <row r="4819" spans="1:24">
      <c r="A4819">
        <f>HYPERLINK("https://www.philgeps.gov.ph/GEPSNONPILOT/Tender/SplashBidNoticeAbstractUI.aspx?menuIndex=3&amp;refID=7069943&amp;Result=3","7069943")</f>
        <v>0</v>
      </c>
      <c r="B4819" t="s">
        <v>797</v>
      </c>
      <c r="C4819" t="s">
        <v>8003</v>
      </c>
      <c r="D4819" t="s">
        <v>16677</v>
      </c>
      <c r="E4819" t="s">
        <v>21030</v>
      </c>
      <c r="F4819" t="s">
        <v>28669</v>
      </c>
      <c r="G4819" t="s">
        <v>28675</v>
      </c>
      <c r="H4819" t="s">
        <v>28686</v>
      </c>
      <c r="I4819" t="s">
        <v>28689</v>
      </c>
      <c r="J4819" t="s">
        <v>31927</v>
      </c>
      <c r="K4819" t="s">
        <v>37233</v>
      </c>
      <c r="M4819" t="s">
        <v>39293</v>
      </c>
      <c r="N4819" t="s">
        <v>41249</v>
      </c>
      <c r="O4819" t="s">
        <v>41250</v>
      </c>
      <c r="P4819">
        <v>0</v>
      </c>
      <c r="Q4819">
        <v>0</v>
      </c>
      <c r="R4819" t="s">
        <v>41254</v>
      </c>
      <c r="S4819" t="s">
        <v>41425</v>
      </c>
      <c r="T4819" t="s">
        <v>42929</v>
      </c>
      <c r="U4819" t="s">
        <v>47175</v>
      </c>
      <c r="W4819" t="s">
        <v>39293</v>
      </c>
      <c r="X4819" t="s">
        <v>41258</v>
      </c>
    </row>
    <row r="4820" spans="1:24">
      <c r="A4820">
        <f>HYPERLINK("https://www.philgeps.gov.ph/GEPSNONPILOT/Tender/SplashBidNoticeAbstractUI.aspx?menuIndex=3&amp;refID=7069915&amp;Result=3","7069915")</f>
        <v>0</v>
      </c>
      <c r="B4820" t="s">
        <v>601</v>
      </c>
      <c r="C4820" t="s">
        <v>8004</v>
      </c>
      <c r="D4820" t="s">
        <v>16608</v>
      </c>
      <c r="E4820" t="s">
        <v>21031</v>
      </c>
      <c r="F4820" t="s">
        <v>28669</v>
      </c>
      <c r="G4820" t="s">
        <v>28676</v>
      </c>
      <c r="H4820" t="s">
        <v>9998</v>
      </c>
      <c r="I4820" t="s">
        <v>5213</v>
      </c>
      <c r="J4820" t="s">
        <v>28826</v>
      </c>
      <c r="K4820" t="s">
        <v>37209</v>
      </c>
      <c r="M4820" t="s">
        <v>38101</v>
      </c>
      <c r="N4820" t="s">
        <v>41249</v>
      </c>
      <c r="O4820" t="s">
        <v>41250</v>
      </c>
      <c r="P4820">
        <v>0</v>
      </c>
      <c r="Q4820">
        <v>8</v>
      </c>
      <c r="R4820" t="s">
        <v>41254</v>
      </c>
      <c r="S4820" t="s">
        <v>41425</v>
      </c>
      <c r="T4820" t="s">
        <v>42771</v>
      </c>
      <c r="U4820" t="s">
        <v>47176</v>
      </c>
      <c r="V4820" t="s">
        <v>54789</v>
      </c>
      <c r="W4820" t="s">
        <v>38101</v>
      </c>
      <c r="X4820" t="s">
        <v>41258</v>
      </c>
    </row>
    <row r="4821" spans="1:24">
      <c r="A4821">
        <f>HYPERLINK("https://www.philgeps.gov.ph/GEPSNONPILOT/Tender/SplashBidNoticeAbstractUI.aspx?menuIndex=3&amp;refID=7070378&amp;Result=3","7070378")</f>
        <v>0</v>
      </c>
      <c r="B4821" t="s">
        <v>1702</v>
      </c>
      <c r="C4821" t="s">
        <v>7900</v>
      </c>
      <c r="D4821" t="s">
        <v>16667</v>
      </c>
      <c r="E4821" t="s">
        <v>21032</v>
      </c>
      <c r="F4821" t="s">
        <v>28669</v>
      </c>
      <c r="G4821" t="s">
        <v>28675</v>
      </c>
      <c r="H4821" t="s">
        <v>28686</v>
      </c>
      <c r="I4821" t="s">
        <v>28689</v>
      </c>
      <c r="J4821" t="s">
        <v>28878</v>
      </c>
      <c r="K4821" t="s">
        <v>37332</v>
      </c>
      <c r="M4821" t="s">
        <v>39300</v>
      </c>
      <c r="N4821" t="s">
        <v>41249</v>
      </c>
      <c r="O4821" t="s">
        <v>41250</v>
      </c>
      <c r="P4821">
        <v>0</v>
      </c>
      <c r="Q4821">
        <v>0</v>
      </c>
      <c r="R4821" t="s">
        <v>41254</v>
      </c>
      <c r="S4821" t="s">
        <v>41425</v>
      </c>
      <c r="T4821" t="s">
        <v>42673</v>
      </c>
      <c r="U4821" t="s">
        <v>47177</v>
      </c>
      <c r="W4821" t="s">
        <v>39300</v>
      </c>
      <c r="X4821" t="s">
        <v>41257</v>
      </c>
    </row>
    <row r="4822" spans="1:24">
      <c r="A4822">
        <f>HYPERLINK("https://www.philgeps.gov.ph/GEPSNONPILOT/Tender/SplashBidNoticeAbstractUI.aspx?menuIndex=3&amp;refID=7070374&amp;Result=3","7070374")</f>
        <v>0</v>
      </c>
      <c r="B4822" t="s">
        <v>136</v>
      </c>
      <c r="C4822" t="s">
        <v>8005</v>
      </c>
      <c r="E4822" t="s">
        <v>21033</v>
      </c>
      <c r="F4822" t="s">
        <v>28669</v>
      </c>
      <c r="G4822" t="s">
        <v>28676</v>
      </c>
      <c r="H4822" t="s">
        <v>9998</v>
      </c>
      <c r="I4822" t="s">
        <v>11593</v>
      </c>
      <c r="J4822" t="s">
        <v>28905</v>
      </c>
      <c r="K4822" t="s">
        <v>37206</v>
      </c>
      <c r="M4822" t="s">
        <v>37613</v>
      </c>
      <c r="N4822" t="s">
        <v>41249</v>
      </c>
      <c r="O4822" t="s">
        <v>41250</v>
      </c>
      <c r="P4822">
        <v>0</v>
      </c>
      <c r="Q4822">
        <v>5</v>
      </c>
      <c r="R4822" t="s">
        <v>41254</v>
      </c>
      <c r="S4822" t="s">
        <v>41425</v>
      </c>
      <c r="T4822" t="s">
        <v>42766</v>
      </c>
      <c r="U4822" t="s">
        <v>47178</v>
      </c>
      <c r="V4822" t="s">
        <v>54790</v>
      </c>
      <c r="W4822" t="s">
        <v>38557</v>
      </c>
      <c r="X4822" t="s">
        <v>41257</v>
      </c>
    </row>
    <row r="4823" spans="1:24">
      <c r="A4823">
        <f>HYPERLINK("https://www.philgeps.gov.ph/GEPSNONPILOT/Tender/SplashBidNoticeAbstractUI.aspx?menuIndex=3&amp;refID=7070370&amp;Result=3","7070370")</f>
        <v>0</v>
      </c>
      <c r="B4823" t="s">
        <v>393</v>
      </c>
      <c r="C4823" t="s">
        <v>8006</v>
      </c>
      <c r="D4823" t="s">
        <v>16615</v>
      </c>
      <c r="E4823" t="s">
        <v>21034</v>
      </c>
      <c r="F4823" t="s">
        <v>28669</v>
      </c>
      <c r="G4823" t="s">
        <v>28676</v>
      </c>
      <c r="H4823" t="s">
        <v>9998</v>
      </c>
      <c r="I4823" t="s">
        <v>6128</v>
      </c>
      <c r="J4823" t="s">
        <v>29805</v>
      </c>
      <c r="K4823" t="s">
        <v>37205</v>
      </c>
      <c r="M4823" t="s">
        <v>37877</v>
      </c>
      <c r="N4823" t="s">
        <v>41249</v>
      </c>
      <c r="O4823" t="s">
        <v>41250</v>
      </c>
      <c r="P4823">
        <v>0</v>
      </c>
      <c r="Q4823">
        <v>0</v>
      </c>
      <c r="R4823" t="s">
        <v>41254</v>
      </c>
      <c r="S4823" t="s">
        <v>41425</v>
      </c>
      <c r="T4823" t="s">
        <v>42728</v>
      </c>
      <c r="U4823" t="s">
        <v>43839</v>
      </c>
      <c r="V4823" t="s">
        <v>54791</v>
      </c>
      <c r="W4823" t="s">
        <v>37877</v>
      </c>
      <c r="X4823" t="s">
        <v>41257</v>
      </c>
    </row>
    <row r="4824" spans="1:24">
      <c r="A4824">
        <f>HYPERLINK("https://www.philgeps.gov.ph/GEPSNONPILOT/Tender/SplashBidNoticeAbstractUI.aspx?menuIndex=3&amp;refID=7070340&amp;Result=3","7070340")</f>
        <v>0</v>
      </c>
      <c r="B4824" t="s">
        <v>1703</v>
      </c>
      <c r="C4824" t="s">
        <v>8007</v>
      </c>
      <c r="D4824" t="s">
        <v>16618</v>
      </c>
      <c r="E4824" t="s">
        <v>21035</v>
      </c>
      <c r="F4824" t="s">
        <v>28669</v>
      </c>
      <c r="G4824" t="s">
        <v>28675</v>
      </c>
      <c r="H4824" t="s">
        <v>9998</v>
      </c>
      <c r="I4824" t="s">
        <v>5213</v>
      </c>
      <c r="J4824" t="s">
        <v>28834</v>
      </c>
      <c r="K4824" t="s">
        <v>37209</v>
      </c>
      <c r="M4824" t="s">
        <v>39301</v>
      </c>
      <c r="N4824" t="s">
        <v>41249</v>
      </c>
      <c r="O4824" t="s">
        <v>41250</v>
      </c>
      <c r="P4824">
        <v>0</v>
      </c>
      <c r="Q4824">
        <v>0</v>
      </c>
      <c r="R4824" t="s">
        <v>41254</v>
      </c>
      <c r="S4824" t="s">
        <v>41425</v>
      </c>
      <c r="T4824" t="s">
        <v>42730</v>
      </c>
      <c r="U4824" t="s">
        <v>47179</v>
      </c>
      <c r="W4824" t="s">
        <v>39301</v>
      </c>
      <c r="X4824" t="s">
        <v>41257</v>
      </c>
    </row>
    <row r="4825" spans="1:24">
      <c r="A4825">
        <f>HYPERLINK("https://www.philgeps.gov.ph/GEPSNONPILOT/Tender/SplashBidNoticeAbstractUI.aspx?menuIndex=3&amp;refID=7070367&amp;Result=3","7070367")</f>
        <v>0</v>
      </c>
      <c r="B4825" t="s">
        <v>150</v>
      </c>
      <c r="C4825" t="s">
        <v>8008</v>
      </c>
      <c r="D4825" t="s">
        <v>16617</v>
      </c>
      <c r="E4825" t="s">
        <v>8008</v>
      </c>
      <c r="F4825" t="s">
        <v>28669</v>
      </c>
      <c r="G4825" t="s">
        <v>28676</v>
      </c>
      <c r="H4825" t="s">
        <v>9998</v>
      </c>
      <c r="I4825" t="s">
        <v>28690</v>
      </c>
      <c r="J4825" t="s">
        <v>31928</v>
      </c>
      <c r="K4825" t="s">
        <v>37206</v>
      </c>
      <c r="M4825" t="s">
        <v>37627</v>
      </c>
      <c r="N4825" t="s">
        <v>41249</v>
      </c>
      <c r="O4825" t="s">
        <v>41250</v>
      </c>
      <c r="P4825">
        <v>0</v>
      </c>
      <c r="Q4825">
        <v>2</v>
      </c>
      <c r="R4825" t="s">
        <v>41254</v>
      </c>
      <c r="S4825" t="s">
        <v>41425</v>
      </c>
      <c r="T4825" t="s">
        <v>42728</v>
      </c>
      <c r="U4825" t="s">
        <v>47180</v>
      </c>
      <c r="W4825" t="s">
        <v>37627</v>
      </c>
      <c r="X4825" t="s">
        <v>41257</v>
      </c>
    </row>
    <row r="4826" spans="1:24">
      <c r="A4826">
        <f>HYPERLINK("https://www.philgeps.gov.ph/GEPSNONPILOT/Tender/SplashBidNoticeAbstractUI.aspx?menuIndex=3&amp;refID=7070281&amp;Result=3","7070281")</f>
        <v>0</v>
      </c>
      <c r="B4826" t="s">
        <v>1704</v>
      </c>
      <c r="C4826" t="s">
        <v>8009</v>
      </c>
      <c r="D4826" t="s">
        <v>16654</v>
      </c>
      <c r="E4826" t="s">
        <v>21036</v>
      </c>
      <c r="F4826" t="s">
        <v>28669</v>
      </c>
      <c r="G4826" t="s">
        <v>28675</v>
      </c>
      <c r="H4826" t="s">
        <v>28686</v>
      </c>
      <c r="I4826" t="s">
        <v>28696</v>
      </c>
      <c r="J4826" t="s">
        <v>31929</v>
      </c>
      <c r="K4826" t="s">
        <v>37243</v>
      </c>
      <c r="M4826" t="s">
        <v>39302</v>
      </c>
      <c r="N4826" t="s">
        <v>41249</v>
      </c>
      <c r="O4826" t="s">
        <v>41250</v>
      </c>
      <c r="P4826">
        <v>0</v>
      </c>
      <c r="Q4826">
        <v>1</v>
      </c>
      <c r="R4826" t="s">
        <v>41254</v>
      </c>
      <c r="S4826" t="s">
        <v>41425</v>
      </c>
      <c r="T4826" t="s">
        <v>42738</v>
      </c>
      <c r="U4826" t="s">
        <v>47181</v>
      </c>
      <c r="W4826" t="s">
        <v>39302</v>
      </c>
      <c r="X4826" t="s">
        <v>41257</v>
      </c>
    </row>
    <row r="4827" spans="1:24">
      <c r="A4827">
        <f>HYPERLINK("https://www.philgeps.gov.ph/GEPSNONPILOT/Tender/SplashBidNoticeAbstractUI.aspx?menuIndex=3&amp;refID=7070365&amp;Result=3","7070365")</f>
        <v>0</v>
      </c>
      <c r="B4827" t="s">
        <v>1705</v>
      </c>
      <c r="C4827" t="s">
        <v>8010</v>
      </c>
      <c r="D4827" t="s">
        <v>16654</v>
      </c>
      <c r="E4827" t="s">
        <v>21037</v>
      </c>
      <c r="F4827" t="s">
        <v>28669</v>
      </c>
      <c r="G4827" t="s">
        <v>28676</v>
      </c>
      <c r="H4827" t="s">
        <v>9998</v>
      </c>
      <c r="I4827" t="s">
        <v>28729</v>
      </c>
      <c r="J4827" t="s">
        <v>28826</v>
      </c>
      <c r="K4827" t="s">
        <v>37208</v>
      </c>
      <c r="M4827" t="s">
        <v>39303</v>
      </c>
      <c r="N4827" t="s">
        <v>41249</v>
      </c>
      <c r="O4827" t="s">
        <v>41250</v>
      </c>
      <c r="P4827">
        <v>0</v>
      </c>
      <c r="Q4827">
        <v>2</v>
      </c>
      <c r="R4827" t="s">
        <v>41254</v>
      </c>
      <c r="S4827" t="s">
        <v>41425</v>
      </c>
      <c r="T4827" t="s">
        <v>42979</v>
      </c>
      <c r="U4827" t="s">
        <v>47182</v>
      </c>
      <c r="W4827" t="s">
        <v>39303</v>
      </c>
      <c r="X4827" t="s">
        <v>41257</v>
      </c>
    </row>
    <row r="4828" spans="1:24">
      <c r="A4828">
        <f>HYPERLINK("https://www.philgeps.gov.ph/GEPSNONPILOT/Tender/SplashBidNoticeAbstractUI.aspx?menuIndex=3&amp;refID=7070354&amp;Result=3","7070354")</f>
        <v>0</v>
      </c>
      <c r="B4828" t="s">
        <v>1706</v>
      </c>
      <c r="C4828" t="s">
        <v>8011</v>
      </c>
      <c r="D4828" t="s">
        <v>16664</v>
      </c>
      <c r="E4828" t="s">
        <v>21038</v>
      </c>
      <c r="F4828" t="s">
        <v>28669</v>
      </c>
      <c r="G4828" t="s">
        <v>28676</v>
      </c>
      <c r="H4828" t="s">
        <v>9998</v>
      </c>
      <c r="I4828" t="s">
        <v>28806</v>
      </c>
      <c r="J4828" t="s">
        <v>31930</v>
      </c>
      <c r="K4828" t="s">
        <v>37206</v>
      </c>
      <c r="M4828" t="s">
        <v>39304</v>
      </c>
      <c r="N4828" t="s">
        <v>41249</v>
      </c>
      <c r="O4828" t="s">
        <v>41250</v>
      </c>
      <c r="P4828">
        <v>0</v>
      </c>
      <c r="Q4828">
        <v>3</v>
      </c>
      <c r="R4828" t="s">
        <v>41254</v>
      </c>
      <c r="S4828" t="s">
        <v>41425</v>
      </c>
      <c r="T4828" t="s">
        <v>42676</v>
      </c>
      <c r="U4828" t="s">
        <v>47183</v>
      </c>
      <c r="W4828" t="s">
        <v>39304</v>
      </c>
      <c r="X4828" t="s">
        <v>41257</v>
      </c>
    </row>
    <row r="4829" spans="1:24">
      <c r="A4829">
        <f>HYPERLINK("https://www.philgeps.gov.ph/GEPSNONPILOT/Tender/SplashBidNoticeAbstractUI.aspx?menuIndex=3&amp;refID=7068595&amp;Result=3","7068595")</f>
        <v>0</v>
      </c>
      <c r="B4829" t="s">
        <v>1693</v>
      </c>
      <c r="C4829" t="s">
        <v>8012</v>
      </c>
      <c r="D4829" t="s">
        <v>16684</v>
      </c>
      <c r="E4829" t="s">
        <v>17724</v>
      </c>
      <c r="F4829" t="s">
        <v>28669</v>
      </c>
      <c r="G4829" t="s">
        <v>28675</v>
      </c>
      <c r="H4829" t="s">
        <v>9998</v>
      </c>
      <c r="I4829" t="s">
        <v>28695</v>
      </c>
      <c r="J4829" t="s">
        <v>31931</v>
      </c>
      <c r="K4829" t="s">
        <v>37204</v>
      </c>
      <c r="M4829" t="s">
        <v>39289</v>
      </c>
      <c r="N4829" t="s">
        <v>41249</v>
      </c>
      <c r="O4829" t="s">
        <v>41250</v>
      </c>
      <c r="P4829">
        <v>0</v>
      </c>
      <c r="Q4829">
        <v>0</v>
      </c>
      <c r="R4829" t="s">
        <v>41254</v>
      </c>
      <c r="S4829" t="s">
        <v>41425</v>
      </c>
      <c r="T4829" t="s">
        <v>42980</v>
      </c>
      <c r="U4829" t="s">
        <v>47138</v>
      </c>
      <c r="V4829" t="s">
        <v>54782</v>
      </c>
      <c r="W4829" t="s">
        <v>39289</v>
      </c>
      <c r="X4829" t="s">
        <v>41258</v>
      </c>
    </row>
    <row r="4830" spans="1:24">
      <c r="A4830">
        <f>HYPERLINK("https://www.philgeps.gov.ph/GEPSNONPILOT/Tender/SplashBidNoticeAbstractUI.aspx?menuIndex=3&amp;refID=7070334&amp;Result=3","7070334")</f>
        <v>0</v>
      </c>
      <c r="B4830" t="s">
        <v>1707</v>
      </c>
      <c r="C4830" t="s">
        <v>8013</v>
      </c>
      <c r="D4830" t="s">
        <v>16625</v>
      </c>
      <c r="E4830" t="s">
        <v>21008</v>
      </c>
      <c r="F4830" t="s">
        <v>28669</v>
      </c>
      <c r="G4830" t="s">
        <v>28675</v>
      </c>
      <c r="H4830" t="s">
        <v>9998</v>
      </c>
      <c r="I4830" t="s">
        <v>28728</v>
      </c>
      <c r="J4830" t="s">
        <v>31932</v>
      </c>
      <c r="K4830" t="s">
        <v>37205</v>
      </c>
      <c r="M4830" t="s">
        <v>39305</v>
      </c>
      <c r="N4830" t="s">
        <v>41249</v>
      </c>
      <c r="O4830" t="s">
        <v>41250</v>
      </c>
      <c r="P4830">
        <v>0</v>
      </c>
      <c r="Q4830">
        <v>0</v>
      </c>
      <c r="R4830" t="s">
        <v>41254</v>
      </c>
      <c r="S4830" t="s">
        <v>41425</v>
      </c>
      <c r="T4830" t="s">
        <v>42716</v>
      </c>
      <c r="U4830" t="s">
        <v>47184</v>
      </c>
      <c r="V4830" t="s">
        <v>54792</v>
      </c>
      <c r="W4830" t="s">
        <v>39305</v>
      </c>
      <c r="X4830" t="s">
        <v>41257</v>
      </c>
    </row>
    <row r="4831" spans="1:24">
      <c r="A4831">
        <f>HYPERLINK("https://www.philgeps.gov.ph/GEPSNONPILOT/Tender/SplashBidNoticeAbstractUI.aspx?menuIndex=3&amp;refID=7070357&amp;Result=3","7070357")</f>
        <v>0</v>
      </c>
      <c r="B4831" t="s">
        <v>136</v>
      </c>
      <c r="C4831" t="s">
        <v>8014</v>
      </c>
      <c r="E4831" t="s">
        <v>21039</v>
      </c>
      <c r="F4831" t="s">
        <v>28669</v>
      </c>
      <c r="G4831" t="s">
        <v>28676</v>
      </c>
      <c r="H4831" t="s">
        <v>9998</v>
      </c>
      <c r="I4831" t="s">
        <v>11593</v>
      </c>
      <c r="J4831" t="s">
        <v>29538</v>
      </c>
      <c r="K4831" t="s">
        <v>37206</v>
      </c>
      <c r="M4831" t="s">
        <v>37613</v>
      </c>
      <c r="N4831" t="s">
        <v>41249</v>
      </c>
      <c r="O4831" t="s">
        <v>41250</v>
      </c>
      <c r="P4831">
        <v>0</v>
      </c>
      <c r="Q4831">
        <v>2</v>
      </c>
      <c r="R4831" t="s">
        <v>41254</v>
      </c>
      <c r="S4831" t="s">
        <v>41425</v>
      </c>
      <c r="T4831" t="s">
        <v>42766</v>
      </c>
      <c r="U4831" t="s">
        <v>47185</v>
      </c>
      <c r="V4831" t="s">
        <v>54790</v>
      </c>
      <c r="W4831" t="s">
        <v>38557</v>
      </c>
      <c r="X4831" t="s">
        <v>41257</v>
      </c>
    </row>
    <row r="4832" spans="1:24">
      <c r="A4832">
        <f>HYPERLINK("https://www.philgeps.gov.ph/GEPSNONPILOT/Tender/SplashBidNoticeAbstractUI.aspx?menuIndex=3&amp;refID=7070364&amp;Result=3","7070364")</f>
        <v>0</v>
      </c>
      <c r="B4832" t="s">
        <v>1687</v>
      </c>
      <c r="C4832" t="s">
        <v>8015</v>
      </c>
      <c r="D4832" t="s">
        <v>16627</v>
      </c>
      <c r="E4832" t="s">
        <v>21040</v>
      </c>
      <c r="F4832" t="s">
        <v>28669</v>
      </c>
      <c r="G4832" t="s">
        <v>28675</v>
      </c>
      <c r="H4832" t="s">
        <v>9998</v>
      </c>
      <c r="I4832" t="s">
        <v>5286</v>
      </c>
      <c r="J4832" t="s">
        <v>30377</v>
      </c>
      <c r="K4832" t="s">
        <v>37220</v>
      </c>
      <c r="M4832" t="s">
        <v>39282</v>
      </c>
      <c r="N4832" t="s">
        <v>41249</v>
      </c>
      <c r="O4832" t="s">
        <v>41250</v>
      </c>
      <c r="P4832">
        <v>0</v>
      </c>
      <c r="Q4832">
        <v>2</v>
      </c>
      <c r="R4832" t="s">
        <v>41254</v>
      </c>
      <c r="S4832" t="s">
        <v>41425</v>
      </c>
      <c r="T4832" t="s">
        <v>42717</v>
      </c>
      <c r="U4832" t="s">
        <v>47186</v>
      </c>
      <c r="W4832" t="s">
        <v>39282</v>
      </c>
      <c r="X4832" t="s">
        <v>41257</v>
      </c>
    </row>
    <row r="4833" spans="1:24">
      <c r="A4833">
        <f>HYPERLINK("https://www.philgeps.gov.ph/GEPSNONPILOT/Tender/SplashBidNoticeAbstractUI.aspx?menuIndex=3&amp;refID=7070287&amp;Result=3","7070287")</f>
        <v>0</v>
      </c>
      <c r="B4833" t="s">
        <v>1708</v>
      </c>
      <c r="C4833" t="s">
        <v>8016</v>
      </c>
      <c r="D4833" t="s">
        <v>16626</v>
      </c>
      <c r="E4833" t="s">
        <v>21041</v>
      </c>
      <c r="F4833" t="s">
        <v>28669</v>
      </c>
      <c r="G4833" t="s">
        <v>28676</v>
      </c>
      <c r="H4833" t="s">
        <v>9998</v>
      </c>
      <c r="I4833" t="s">
        <v>28709</v>
      </c>
      <c r="J4833" t="s">
        <v>31933</v>
      </c>
      <c r="K4833" t="s">
        <v>37209</v>
      </c>
      <c r="M4833" t="s">
        <v>39306</v>
      </c>
      <c r="N4833" t="s">
        <v>41249</v>
      </c>
      <c r="O4833" t="s">
        <v>41250</v>
      </c>
      <c r="P4833">
        <v>0</v>
      </c>
      <c r="Q4833">
        <v>1</v>
      </c>
      <c r="R4833" t="s">
        <v>41254</v>
      </c>
      <c r="S4833" t="s">
        <v>41425</v>
      </c>
      <c r="T4833" t="s">
        <v>42758</v>
      </c>
      <c r="U4833" t="s">
        <v>47187</v>
      </c>
      <c r="W4833" t="s">
        <v>39306</v>
      </c>
      <c r="X4833" t="s">
        <v>41257</v>
      </c>
    </row>
    <row r="4834" spans="1:24">
      <c r="A4834">
        <f>HYPERLINK("https://www.philgeps.gov.ph/GEPSNONPILOT/Tender/SplashBidNoticeAbstractUI.aspx?menuIndex=3&amp;refID=7070379&amp;Result=3","7070379")</f>
        <v>0</v>
      </c>
      <c r="B4834" t="s">
        <v>1687</v>
      </c>
      <c r="C4834" t="s">
        <v>8017</v>
      </c>
      <c r="D4834" t="s">
        <v>16627</v>
      </c>
      <c r="E4834" t="s">
        <v>21042</v>
      </c>
      <c r="F4834" t="s">
        <v>28669</v>
      </c>
      <c r="G4834" t="s">
        <v>28675</v>
      </c>
      <c r="H4834" t="s">
        <v>9998</v>
      </c>
      <c r="I4834" t="s">
        <v>28773</v>
      </c>
      <c r="J4834" t="s">
        <v>31934</v>
      </c>
      <c r="K4834" t="s">
        <v>37220</v>
      </c>
      <c r="M4834" t="s">
        <v>39282</v>
      </c>
      <c r="N4834" t="s">
        <v>41249</v>
      </c>
      <c r="O4834" t="s">
        <v>41250</v>
      </c>
      <c r="P4834">
        <v>0</v>
      </c>
      <c r="Q4834">
        <v>0</v>
      </c>
      <c r="R4834" t="s">
        <v>41254</v>
      </c>
      <c r="S4834" t="s">
        <v>41425</v>
      </c>
      <c r="T4834" t="s">
        <v>42717</v>
      </c>
      <c r="U4834" t="s">
        <v>47188</v>
      </c>
      <c r="W4834" t="s">
        <v>39282</v>
      </c>
      <c r="X4834" t="s">
        <v>41257</v>
      </c>
    </row>
    <row r="4835" spans="1:24">
      <c r="A4835">
        <f>HYPERLINK("https://www.philgeps.gov.ph/GEPSNONPILOT/Tender/SplashBidNoticeAbstractUI.aspx?menuIndex=3&amp;refID=7070400&amp;Result=3","7070400")</f>
        <v>0</v>
      </c>
      <c r="B4835" t="s">
        <v>1709</v>
      </c>
      <c r="C4835" t="s">
        <v>8018</v>
      </c>
      <c r="D4835" t="s">
        <v>16633</v>
      </c>
      <c r="E4835" t="s">
        <v>17140</v>
      </c>
      <c r="F4835" t="s">
        <v>28669</v>
      </c>
      <c r="G4835" t="s">
        <v>28675</v>
      </c>
      <c r="H4835" t="s">
        <v>28686</v>
      </c>
      <c r="I4835" t="s">
        <v>28689</v>
      </c>
      <c r="J4835" t="s">
        <v>31935</v>
      </c>
      <c r="K4835" t="s">
        <v>37209</v>
      </c>
      <c r="M4835" t="s">
        <v>39307</v>
      </c>
      <c r="N4835" t="s">
        <v>41249</v>
      </c>
      <c r="O4835" t="s">
        <v>41250</v>
      </c>
      <c r="P4835">
        <v>0</v>
      </c>
      <c r="Q4835">
        <v>0</v>
      </c>
      <c r="R4835" t="s">
        <v>41254</v>
      </c>
      <c r="S4835" t="s">
        <v>41425</v>
      </c>
      <c r="T4835" t="s">
        <v>42694</v>
      </c>
      <c r="U4835" t="s">
        <v>44777</v>
      </c>
      <c r="W4835" t="s">
        <v>39307</v>
      </c>
      <c r="X4835" t="s">
        <v>41257</v>
      </c>
    </row>
    <row r="4836" spans="1:24">
      <c r="A4836">
        <f>HYPERLINK("https://www.philgeps.gov.ph/GEPSNONPILOT/Tender/SplashBidNoticeAbstractUI.aspx?menuIndex=3&amp;refID=7070427&amp;Result=3","7070427")</f>
        <v>0</v>
      </c>
      <c r="B4836" t="s">
        <v>1217</v>
      </c>
      <c r="C4836" t="s">
        <v>4125</v>
      </c>
      <c r="D4836" t="s">
        <v>16631</v>
      </c>
      <c r="E4836" t="s">
        <v>21043</v>
      </c>
      <c r="F4836" t="s">
        <v>28669</v>
      </c>
      <c r="G4836" t="s">
        <v>28675</v>
      </c>
      <c r="H4836" t="s">
        <v>9998</v>
      </c>
      <c r="I4836" t="s">
        <v>11593</v>
      </c>
      <c r="J4836" t="s">
        <v>31936</v>
      </c>
      <c r="K4836" t="s">
        <v>37301</v>
      </c>
      <c r="M4836" t="s">
        <v>38760</v>
      </c>
      <c r="N4836" t="s">
        <v>41249</v>
      </c>
      <c r="O4836" t="s">
        <v>41250</v>
      </c>
      <c r="P4836">
        <v>0</v>
      </c>
      <c r="Q4836">
        <v>1</v>
      </c>
      <c r="R4836" t="s">
        <v>41254</v>
      </c>
      <c r="S4836" t="s">
        <v>41425</v>
      </c>
      <c r="T4836" t="s">
        <v>42711</v>
      </c>
      <c r="U4836" t="s">
        <v>47189</v>
      </c>
      <c r="V4836" t="s">
        <v>54599</v>
      </c>
      <c r="W4836" t="s">
        <v>38760</v>
      </c>
      <c r="X4836" t="s">
        <v>41257</v>
      </c>
    </row>
    <row r="4837" spans="1:24">
      <c r="A4837">
        <f>HYPERLINK("https://www.philgeps.gov.ph/GEPSNONPILOT/Tender/SplashBidNoticeAbstractUI.aspx?menuIndex=3&amp;refID=7070399&amp;Result=3","7070399")</f>
        <v>0</v>
      </c>
      <c r="B4837" t="s">
        <v>469</v>
      </c>
      <c r="C4837" t="s">
        <v>8019</v>
      </c>
      <c r="D4837" t="s">
        <v>16687</v>
      </c>
      <c r="E4837" t="s">
        <v>21044</v>
      </c>
      <c r="F4837" t="s">
        <v>28669</v>
      </c>
      <c r="G4837" t="s">
        <v>28676</v>
      </c>
      <c r="H4837" t="s">
        <v>9998</v>
      </c>
      <c r="I4837" t="s">
        <v>28688</v>
      </c>
      <c r="J4837" t="s">
        <v>31937</v>
      </c>
      <c r="K4837" t="s">
        <v>37204</v>
      </c>
      <c r="M4837" t="s">
        <v>37957</v>
      </c>
      <c r="N4837" t="s">
        <v>41249</v>
      </c>
      <c r="O4837" t="s">
        <v>41250</v>
      </c>
      <c r="P4837">
        <v>0</v>
      </c>
      <c r="Q4837">
        <v>3</v>
      </c>
      <c r="R4837" t="s">
        <v>41254</v>
      </c>
      <c r="S4837" t="s">
        <v>41425</v>
      </c>
      <c r="T4837" t="s">
        <v>42754</v>
      </c>
      <c r="U4837" t="s">
        <v>47082</v>
      </c>
      <c r="W4837" t="s">
        <v>37957</v>
      </c>
      <c r="X4837" t="s">
        <v>41257</v>
      </c>
    </row>
    <row r="4838" spans="1:24">
      <c r="A4838">
        <f>HYPERLINK("https://www.philgeps.gov.ph/GEPSNONPILOT/Tender/SplashBidNoticeAbstractUI.aspx?menuIndex=3&amp;refID=7070394&amp;Result=3","7070394")</f>
        <v>0</v>
      </c>
      <c r="B4838" t="s">
        <v>1710</v>
      </c>
      <c r="C4838" t="s">
        <v>8020</v>
      </c>
      <c r="D4838" t="s">
        <v>16615</v>
      </c>
      <c r="E4838" t="s">
        <v>21045</v>
      </c>
      <c r="F4838" t="s">
        <v>28669</v>
      </c>
      <c r="G4838" t="s">
        <v>28676</v>
      </c>
      <c r="H4838" t="s">
        <v>9998</v>
      </c>
      <c r="I4838" t="s">
        <v>28731</v>
      </c>
      <c r="J4838" t="s">
        <v>31938</v>
      </c>
      <c r="K4838" t="s">
        <v>37209</v>
      </c>
      <c r="M4838" t="s">
        <v>39308</v>
      </c>
      <c r="N4838" t="s">
        <v>41249</v>
      </c>
      <c r="O4838" t="s">
        <v>41250</v>
      </c>
      <c r="P4838">
        <v>0</v>
      </c>
      <c r="Q4838">
        <v>4</v>
      </c>
      <c r="R4838" t="s">
        <v>41254</v>
      </c>
      <c r="S4838" t="s">
        <v>41425</v>
      </c>
      <c r="T4838" t="s">
        <v>42883</v>
      </c>
      <c r="U4838" t="s">
        <v>47190</v>
      </c>
      <c r="W4838" t="s">
        <v>39308</v>
      </c>
      <c r="X4838" t="s">
        <v>41257</v>
      </c>
    </row>
    <row r="4839" spans="1:24">
      <c r="A4839">
        <f>HYPERLINK("https://www.philgeps.gov.ph/GEPSNONPILOT/Tender/SplashBidNoticeAbstractUI.aspx?menuIndex=3&amp;refID=7070383&amp;Result=3","7070383")</f>
        <v>0</v>
      </c>
      <c r="B4839" t="s">
        <v>393</v>
      </c>
      <c r="C4839" t="s">
        <v>8021</v>
      </c>
      <c r="D4839" t="s">
        <v>16615</v>
      </c>
      <c r="E4839" t="s">
        <v>21046</v>
      </c>
      <c r="F4839" t="s">
        <v>28669</v>
      </c>
      <c r="G4839" t="s">
        <v>28676</v>
      </c>
      <c r="H4839" t="s">
        <v>9998</v>
      </c>
      <c r="I4839" t="s">
        <v>28699</v>
      </c>
      <c r="J4839" t="s">
        <v>28912</v>
      </c>
      <c r="K4839" t="s">
        <v>37205</v>
      </c>
      <c r="M4839" t="s">
        <v>37877</v>
      </c>
      <c r="N4839" t="s">
        <v>41249</v>
      </c>
      <c r="O4839" t="s">
        <v>41250</v>
      </c>
      <c r="P4839">
        <v>0</v>
      </c>
      <c r="Q4839">
        <v>1</v>
      </c>
      <c r="R4839" t="s">
        <v>41254</v>
      </c>
      <c r="S4839" t="s">
        <v>41425</v>
      </c>
      <c r="T4839" t="s">
        <v>42728</v>
      </c>
      <c r="U4839" t="s">
        <v>47191</v>
      </c>
      <c r="V4839" t="s">
        <v>54791</v>
      </c>
      <c r="W4839" t="s">
        <v>37877</v>
      </c>
      <c r="X4839" t="s">
        <v>41257</v>
      </c>
    </row>
    <row r="4840" spans="1:24">
      <c r="A4840">
        <f>HYPERLINK("https://www.philgeps.gov.ph/GEPSNONPILOT/Tender/SplashBidNoticeAbstractUI.aspx?menuIndex=3&amp;refID=7070405&amp;Result=3","7070405")</f>
        <v>0</v>
      </c>
      <c r="B4840" t="s">
        <v>1711</v>
      </c>
      <c r="C4840" t="s">
        <v>7900</v>
      </c>
      <c r="D4840" t="s">
        <v>16667</v>
      </c>
      <c r="E4840" t="s">
        <v>21047</v>
      </c>
      <c r="F4840" t="s">
        <v>28669</v>
      </c>
      <c r="G4840" t="s">
        <v>28675</v>
      </c>
      <c r="H4840" t="s">
        <v>28686</v>
      </c>
      <c r="I4840" t="s">
        <v>28689</v>
      </c>
      <c r="J4840" t="s">
        <v>28905</v>
      </c>
      <c r="K4840" t="s">
        <v>37289</v>
      </c>
      <c r="M4840" t="s">
        <v>39309</v>
      </c>
      <c r="N4840" t="s">
        <v>41249</v>
      </c>
      <c r="O4840" t="s">
        <v>41250</v>
      </c>
      <c r="P4840">
        <v>0</v>
      </c>
      <c r="Q4840">
        <v>0</v>
      </c>
      <c r="R4840" t="s">
        <v>41254</v>
      </c>
      <c r="S4840" t="s">
        <v>41425</v>
      </c>
      <c r="T4840" t="s">
        <v>42673</v>
      </c>
      <c r="U4840" t="s">
        <v>47192</v>
      </c>
      <c r="W4840" t="s">
        <v>39309</v>
      </c>
      <c r="X4840" t="s">
        <v>41257</v>
      </c>
    </row>
    <row r="4841" spans="1:24">
      <c r="A4841">
        <f>HYPERLINK("https://www.philgeps.gov.ph/GEPSNONPILOT/Tender/SplashBidNoticeAbstractUI.aspx?menuIndex=3&amp;refID=7070398&amp;Result=3","7070398")</f>
        <v>0</v>
      </c>
      <c r="B4841" t="s">
        <v>393</v>
      </c>
      <c r="C4841" t="s">
        <v>8022</v>
      </c>
      <c r="D4841" t="s">
        <v>16615</v>
      </c>
      <c r="E4841" t="s">
        <v>21048</v>
      </c>
      <c r="F4841" t="s">
        <v>28669</v>
      </c>
      <c r="G4841" t="s">
        <v>28676</v>
      </c>
      <c r="H4841" t="s">
        <v>9998</v>
      </c>
      <c r="I4841" t="s">
        <v>28708</v>
      </c>
      <c r="J4841" t="s">
        <v>31939</v>
      </c>
      <c r="K4841" t="s">
        <v>37205</v>
      </c>
      <c r="M4841" t="s">
        <v>37877</v>
      </c>
      <c r="N4841" t="s">
        <v>41249</v>
      </c>
      <c r="O4841" t="s">
        <v>41250</v>
      </c>
      <c r="P4841">
        <v>0</v>
      </c>
      <c r="Q4841">
        <v>4</v>
      </c>
      <c r="R4841" t="s">
        <v>41254</v>
      </c>
      <c r="S4841" t="s">
        <v>41425</v>
      </c>
      <c r="T4841" t="s">
        <v>42728</v>
      </c>
      <c r="U4841" t="s">
        <v>47193</v>
      </c>
      <c r="V4841" t="s">
        <v>54791</v>
      </c>
      <c r="W4841" t="s">
        <v>37877</v>
      </c>
      <c r="X4841" t="s">
        <v>41257</v>
      </c>
    </row>
    <row r="4842" spans="1:24">
      <c r="A4842">
        <f>HYPERLINK("https://www.philgeps.gov.ph/GEPSNONPILOT/Tender/SplashBidNoticeAbstractUI.aspx?menuIndex=3&amp;refID=7070463&amp;Result=3","7070463")</f>
        <v>0</v>
      </c>
      <c r="B4842" t="s">
        <v>1217</v>
      </c>
      <c r="C4842" t="s">
        <v>3818</v>
      </c>
      <c r="D4842" t="s">
        <v>16631</v>
      </c>
      <c r="E4842" t="s">
        <v>21049</v>
      </c>
      <c r="F4842" t="s">
        <v>28669</v>
      </c>
      <c r="G4842" t="s">
        <v>28675</v>
      </c>
      <c r="H4842" t="s">
        <v>9998</v>
      </c>
      <c r="I4842" t="s">
        <v>3679</v>
      </c>
      <c r="J4842" t="s">
        <v>31940</v>
      </c>
      <c r="K4842" t="s">
        <v>37299</v>
      </c>
      <c r="M4842" t="s">
        <v>38760</v>
      </c>
      <c r="N4842" t="s">
        <v>41249</v>
      </c>
      <c r="O4842" t="s">
        <v>41250</v>
      </c>
      <c r="P4842">
        <v>0</v>
      </c>
      <c r="Q4842">
        <v>0</v>
      </c>
      <c r="R4842" t="s">
        <v>41254</v>
      </c>
      <c r="S4842" t="s">
        <v>41425</v>
      </c>
      <c r="T4842" t="s">
        <v>42711</v>
      </c>
      <c r="U4842" t="s">
        <v>47194</v>
      </c>
      <c r="V4842" t="s">
        <v>54599</v>
      </c>
      <c r="W4842" t="s">
        <v>38760</v>
      </c>
      <c r="X4842" t="s">
        <v>41257</v>
      </c>
    </row>
    <row r="4843" spans="1:24">
      <c r="A4843">
        <f>HYPERLINK("https://www.philgeps.gov.ph/GEPSNONPILOT/Tender/SplashBidNoticeAbstractUI.aspx?menuIndex=3&amp;refID=7070459&amp;Result=3","7070459")</f>
        <v>0</v>
      </c>
      <c r="B4843" t="s">
        <v>1712</v>
      </c>
      <c r="C4843" t="s">
        <v>8023</v>
      </c>
      <c r="D4843" t="s">
        <v>16639</v>
      </c>
      <c r="E4843" t="s">
        <v>21050</v>
      </c>
      <c r="F4843" t="s">
        <v>28669</v>
      </c>
      <c r="G4843" t="s">
        <v>28676</v>
      </c>
      <c r="H4843" t="s">
        <v>9998</v>
      </c>
      <c r="I4843" t="s">
        <v>28691</v>
      </c>
      <c r="J4843" t="s">
        <v>31941</v>
      </c>
      <c r="K4843" t="s">
        <v>37210</v>
      </c>
      <c r="M4843" t="s">
        <v>39310</v>
      </c>
      <c r="N4843" t="s">
        <v>41249</v>
      </c>
      <c r="O4843" t="s">
        <v>41250</v>
      </c>
      <c r="P4843">
        <v>0</v>
      </c>
      <c r="Q4843">
        <v>0</v>
      </c>
      <c r="R4843" t="s">
        <v>41254</v>
      </c>
      <c r="S4843" t="s">
        <v>41425</v>
      </c>
      <c r="T4843" t="s">
        <v>42705</v>
      </c>
      <c r="U4843" t="s">
        <v>47195</v>
      </c>
      <c r="W4843" t="s">
        <v>39310</v>
      </c>
      <c r="X4843" t="s">
        <v>41257</v>
      </c>
    </row>
    <row r="4844" spans="1:24">
      <c r="A4844">
        <f>HYPERLINK("https://www.philgeps.gov.ph/GEPSNONPILOT/Tender/SplashBidNoticeAbstractUI.aspx?menuIndex=3&amp;refID=7070450&amp;Result=3","7070450")</f>
        <v>0</v>
      </c>
      <c r="B4844" t="s">
        <v>550</v>
      </c>
      <c r="C4844" t="s">
        <v>8024</v>
      </c>
      <c r="D4844" t="s">
        <v>16663</v>
      </c>
      <c r="E4844" t="s">
        <v>8024</v>
      </c>
      <c r="F4844" t="s">
        <v>28669</v>
      </c>
      <c r="G4844" t="s">
        <v>28676</v>
      </c>
      <c r="H4844" t="s">
        <v>9998</v>
      </c>
      <c r="I4844" t="s">
        <v>28697</v>
      </c>
      <c r="J4844" t="s">
        <v>28834</v>
      </c>
      <c r="K4844" t="s">
        <v>37206</v>
      </c>
      <c r="M4844" t="s">
        <v>38043</v>
      </c>
      <c r="N4844" t="s">
        <v>41249</v>
      </c>
      <c r="O4844" t="s">
        <v>41250</v>
      </c>
      <c r="P4844">
        <v>0</v>
      </c>
      <c r="Q4844">
        <v>7</v>
      </c>
      <c r="R4844" t="s">
        <v>41254</v>
      </c>
      <c r="S4844" t="s">
        <v>41425</v>
      </c>
      <c r="T4844" t="s">
        <v>42883</v>
      </c>
      <c r="U4844" t="s">
        <v>47196</v>
      </c>
      <c r="V4844" t="s">
        <v>54793</v>
      </c>
      <c r="W4844" t="s">
        <v>38043</v>
      </c>
      <c r="X4844" t="s">
        <v>41257</v>
      </c>
    </row>
    <row r="4845" spans="1:24">
      <c r="A4845">
        <f>HYPERLINK("https://www.philgeps.gov.ph/GEPSNONPILOT/Tender/SplashBidNoticeAbstractUI.aspx?menuIndex=3&amp;refID=7070390&amp;Result=3","7070390")</f>
        <v>0</v>
      </c>
      <c r="B4845" t="s">
        <v>1687</v>
      </c>
      <c r="C4845" t="s">
        <v>8025</v>
      </c>
      <c r="D4845" t="s">
        <v>16627</v>
      </c>
      <c r="E4845" t="s">
        <v>21051</v>
      </c>
      <c r="F4845" t="s">
        <v>28669</v>
      </c>
      <c r="G4845" t="s">
        <v>28675</v>
      </c>
      <c r="H4845" t="s">
        <v>9998</v>
      </c>
      <c r="I4845" t="s">
        <v>7352</v>
      </c>
      <c r="J4845" t="s">
        <v>31942</v>
      </c>
      <c r="K4845" t="s">
        <v>37220</v>
      </c>
      <c r="M4845" t="s">
        <v>39282</v>
      </c>
      <c r="N4845" t="s">
        <v>41249</v>
      </c>
      <c r="O4845" t="s">
        <v>41250</v>
      </c>
      <c r="P4845">
        <v>0</v>
      </c>
      <c r="Q4845">
        <v>1</v>
      </c>
      <c r="R4845" t="s">
        <v>41254</v>
      </c>
      <c r="S4845" t="s">
        <v>41425</v>
      </c>
      <c r="T4845" t="s">
        <v>42717</v>
      </c>
      <c r="U4845" t="s">
        <v>47197</v>
      </c>
      <c r="W4845" t="s">
        <v>39282</v>
      </c>
      <c r="X4845" t="s">
        <v>41257</v>
      </c>
    </row>
    <row r="4846" spans="1:24">
      <c r="A4846">
        <f>HYPERLINK("https://www.philgeps.gov.ph/GEPSNONPILOT/Tender/SplashBidNoticeAbstractUI.aspx?menuIndex=3&amp;refID=7070404&amp;Result=3","7070404")</f>
        <v>0</v>
      </c>
      <c r="B4846" t="s">
        <v>136</v>
      </c>
      <c r="C4846" t="s">
        <v>8026</v>
      </c>
      <c r="E4846" t="s">
        <v>21052</v>
      </c>
      <c r="F4846" t="s">
        <v>28669</v>
      </c>
      <c r="G4846" t="s">
        <v>28675</v>
      </c>
      <c r="H4846" t="s">
        <v>9998</v>
      </c>
      <c r="I4846" t="s">
        <v>28710</v>
      </c>
      <c r="J4846" t="s">
        <v>29332</v>
      </c>
      <c r="K4846" t="s">
        <v>37221</v>
      </c>
      <c r="M4846" t="s">
        <v>37613</v>
      </c>
      <c r="N4846" t="s">
        <v>41249</v>
      </c>
      <c r="O4846" t="s">
        <v>41250</v>
      </c>
      <c r="P4846">
        <v>0</v>
      </c>
      <c r="Q4846">
        <v>1</v>
      </c>
      <c r="R4846" t="s">
        <v>41254</v>
      </c>
      <c r="S4846" t="s">
        <v>41425</v>
      </c>
      <c r="T4846" t="s">
        <v>42735</v>
      </c>
      <c r="U4846" t="s">
        <v>47198</v>
      </c>
      <c r="W4846" t="s">
        <v>38557</v>
      </c>
      <c r="X4846" t="s">
        <v>41257</v>
      </c>
    </row>
    <row r="4847" spans="1:24">
      <c r="A4847">
        <f>HYPERLINK("https://www.philgeps.gov.ph/GEPSNONPILOT/Tender/SplashBidNoticeAbstractUI.aspx?menuIndex=3&amp;refID=7070434&amp;Result=3","7070434")</f>
        <v>0</v>
      </c>
      <c r="B4847" t="s">
        <v>1713</v>
      </c>
      <c r="C4847" t="s">
        <v>8027</v>
      </c>
      <c r="D4847" t="s">
        <v>16633</v>
      </c>
      <c r="E4847" t="s">
        <v>17140</v>
      </c>
      <c r="F4847" t="s">
        <v>28669</v>
      </c>
      <c r="G4847" t="s">
        <v>28675</v>
      </c>
      <c r="H4847" t="s">
        <v>28686</v>
      </c>
      <c r="I4847" t="s">
        <v>28689</v>
      </c>
      <c r="J4847" t="s">
        <v>31943</v>
      </c>
      <c r="K4847" t="s">
        <v>37209</v>
      </c>
      <c r="M4847" t="s">
        <v>39311</v>
      </c>
      <c r="N4847" t="s">
        <v>41249</v>
      </c>
      <c r="O4847" t="s">
        <v>41250</v>
      </c>
      <c r="P4847">
        <v>0</v>
      </c>
      <c r="Q4847">
        <v>0</v>
      </c>
      <c r="R4847" t="s">
        <v>41254</v>
      </c>
      <c r="S4847" t="s">
        <v>41425</v>
      </c>
      <c r="T4847" t="s">
        <v>42694</v>
      </c>
      <c r="U4847" t="s">
        <v>44777</v>
      </c>
      <c r="W4847" t="s">
        <v>39311</v>
      </c>
      <c r="X4847" t="s">
        <v>41257</v>
      </c>
    </row>
    <row r="4848" spans="1:24">
      <c r="A4848">
        <f>HYPERLINK("https://www.philgeps.gov.ph/GEPSNONPILOT/Tender/SplashBidNoticeAbstractUI.aspx?menuIndex=3&amp;refID=7070458&amp;Result=3","7070458")</f>
        <v>0</v>
      </c>
      <c r="B4848" t="s">
        <v>550</v>
      </c>
      <c r="C4848" t="s">
        <v>8028</v>
      </c>
      <c r="D4848" t="s">
        <v>16663</v>
      </c>
      <c r="E4848" t="s">
        <v>8028</v>
      </c>
      <c r="F4848" t="s">
        <v>28669</v>
      </c>
      <c r="G4848" t="s">
        <v>28676</v>
      </c>
      <c r="H4848" t="s">
        <v>9998</v>
      </c>
      <c r="I4848" t="s">
        <v>28697</v>
      </c>
      <c r="J4848" t="s">
        <v>30803</v>
      </c>
      <c r="K4848" t="s">
        <v>37206</v>
      </c>
      <c r="M4848" t="s">
        <v>38043</v>
      </c>
      <c r="N4848" t="s">
        <v>41249</v>
      </c>
      <c r="O4848" t="s">
        <v>41250</v>
      </c>
      <c r="P4848">
        <v>0</v>
      </c>
      <c r="Q4848">
        <v>5</v>
      </c>
      <c r="R4848" t="s">
        <v>41254</v>
      </c>
      <c r="S4848" t="s">
        <v>41425</v>
      </c>
      <c r="T4848" t="s">
        <v>42883</v>
      </c>
      <c r="U4848" t="s">
        <v>47196</v>
      </c>
      <c r="V4848" t="s">
        <v>54794</v>
      </c>
      <c r="W4848" t="s">
        <v>38043</v>
      </c>
      <c r="X4848" t="s">
        <v>41257</v>
      </c>
    </row>
    <row r="4849" spans="1:24">
      <c r="A4849">
        <f>HYPERLINK("https://www.philgeps.gov.ph/GEPSNONPILOT/Tender/SplashBidNoticeAbstractUI.aspx?menuIndex=3&amp;refID=7070448&amp;Result=3","7070448")</f>
        <v>0</v>
      </c>
      <c r="B4849" t="s">
        <v>1714</v>
      </c>
      <c r="C4849" t="s">
        <v>8029</v>
      </c>
      <c r="D4849" t="s">
        <v>16640</v>
      </c>
      <c r="E4849" t="s">
        <v>21053</v>
      </c>
      <c r="F4849" t="s">
        <v>28669</v>
      </c>
      <c r="G4849" t="s">
        <v>28677</v>
      </c>
      <c r="H4849" t="s">
        <v>9998</v>
      </c>
      <c r="I4849" t="s">
        <v>28697</v>
      </c>
      <c r="J4849" t="s">
        <v>31944</v>
      </c>
      <c r="K4849" t="s">
        <v>37234</v>
      </c>
      <c r="M4849" t="s">
        <v>39312</v>
      </c>
      <c r="N4849" t="s">
        <v>41249</v>
      </c>
      <c r="O4849" t="s">
        <v>41250</v>
      </c>
      <c r="P4849">
        <v>0</v>
      </c>
      <c r="Q4849">
        <v>0</v>
      </c>
      <c r="R4849" t="s">
        <v>41254</v>
      </c>
      <c r="S4849" t="s">
        <v>41425</v>
      </c>
      <c r="T4849" t="s">
        <v>42981</v>
      </c>
      <c r="U4849" t="s">
        <v>44399</v>
      </c>
      <c r="W4849" t="s">
        <v>39312</v>
      </c>
      <c r="X4849" t="s">
        <v>41257</v>
      </c>
    </row>
    <row r="4850" spans="1:24">
      <c r="A4850">
        <f>HYPERLINK("https://www.philgeps.gov.ph/GEPSNONPILOT/Tender/SplashBidNoticeAbstractUI.aspx?menuIndex=3&amp;refID=7070436&amp;Result=3","7070436")</f>
        <v>0</v>
      </c>
      <c r="B4850" t="s">
        <v>1687</v>
      </c>
      <c r="C4850" t="s">
        <v>8030</v>
      </c>
      <c r="D4850" t="s">
        <v>16627</v>
      </c>
      <c r="E4850" t="s">
        <v>21054</v>
      </c>
      <c r="F4850" t="s">
        <v>28669</v>
      </c>
      <c r="G4850" t="s">
        <v>28675</v>
      </c>
      <c r="H4850" t="s">
        <v>9998</v>
      </c>
      <c r="I4850" t="s">
        <v>7352</v>
      </c>
      <c r="J4850" t="s">
        <v>31945</v>
      </c>
      <c r="K4850" t="s">
        <v>37220</v>
      </c>
      <c r="M4850" t="s">
        <v>39282</v>
      </c>
      <c r="N4850" t="s">
        <v>41249</v>
      </c>
      <c r="O4850" t="s">
        <v>41250</v>
      </c>
      <c r="P4850">
        <v>0</v>
      </c>
      <c r="Q4850">
        <v>1</v>
      </c>
      <c r="R4850" t="s">
        <v>41254</v>
      </c>
      <c r="S4850" t="s">
        <v>41425</v>
      </c>
      <c r="T4850" t="s">
        <v>42717</v>
      </c>
      <c r="U4850" t="s">
        <v>47197</v>
      </c>
      <c r="W4850" t="s">
        <v>39282</v>
      </c>
      <c r="X4850" t="s">
        <v>41257</v>
      </c>
    </row>
    <row r="4851" spans="1:24">
      <c r="A4851">
        <f>HYPERLINK("https://www.philgeps.gov.ph/GEPSNONPILOT/Tender/SplashBidNoticeAbstractUI.aspx?menuIndex=3&amp;refID=7070520&amp;Result=3","7070520")</f>
        <v>0</v>
      </c>
      <c r="B4851" t="s">
        <v>603</v>
      </c>
      <c r="C4851" t="s">
        <v>8031</v>
      </c>
      <c r="D4851" t="s">
        <v>16615</v>
      </c>
      <c r="E4851" t="s">
        <v>21055</v>
      </c>
      <c r="F4851" t="s">
        <v>28669</v>
      </c>
      <c r="G4851" t="s">
        <v>28676</v>
      </c>
      <c r="H4851" t="s">
        <v>9998</v>
      </c>
      <c r="I4851" t="s">
        <v>11142</v>
      </c>
      <c r="J4851" t="s">
        <v>29104</v>
      </c>
      <c r="K4851" t="s">
        <v>37205</v>
      </c>
      <c r="M4851" t="s">
        <v>38103</v>
      </c>
      <c r="N4851" t="s">
        <v>41249</v>
      </c>
      <c r="O4851" t="s">
        <v>41250</v>
      </c>
      <c r="P4851">
        <v>0</v>
      </c>
      <c r="Q4851">
        <v>3</v>
      </c>
      <c r="R4851" t="s">
        <v>41254</v>
      </c>
      <c r="S4851" t="s">
        <v>41425</v>
      </c>
      <c r="T4851" t="s">
        <v>42771</v>
      </c>
      <c r="U4851" t="s">
        <v>47199</v>
      </c>
      <c r="W4851" t="s">
        <v>38103</v>
      </c>
      <c r="X4851" t="s">
        <v>41257</v>
      </c>
    </row>
    <row r="4852" spans="1:24">
      <c r="A4852">
        <f>HYPERLINK("https://www.philgeps.gov.ph/GEPSNONPILOT/Tender/SplashBidNoticeAbstractUI.aspx?menuIndex=3&amp;refID=7070513&amp;Result=3","7070513")</f>
        <v>0</v>
      </c>
      <c r="B4852" t="s">
        <v>1715</v>
      </c>
      <c r="C4852" t="s">
        <v>8032</v>
      </c>
      <c r="D4852" t="s">
        <v>16678</v>
      </c>
      <c r="E4852" t="s">
        <v>17029</v>
      </c>
      <c r="F4852" t="s">
        <v>28669</v>
      </c>
      <c r="G4852" t="s">
        <v>28675</v>
      </c>
      <c r="H4852" t="s">
        <v>28686</v>
      </c>
      <c r="I4852" t="s">
        <v>28689</v>
      </c>
      <c r="J4852" t="s">
        <v>31946</v>
      </c>
      <c r="K4852" t="s">
        <v>37206</v>
      </c>
      <c r="M4852" t="s">
        <v>39313</v>
      </c>
      <c r="N4852" t="s">
        <v>41249</v>
      </c>
      <c r="O4852" t="s">
        <v>41250</v>
      </c>
      <c r="P4852">
        <v>0</v>
      </c>
      <c r="Q4852">
        <v>0</v>
      </c>
      <c r="R4852" t="s">
        <v>41254</v>
      </c>
      <c r="S4852" t="s">
        <v>41425</v>
      </c>
      <c r="T4852" t="s">
        <v>42815</v>
      </c>
      <c r="U4852" t="s">
        <v>47200</v>
      </c>
      <c r="W4852" t="s">
        <v>39313</v>
      </c>
      <c r="X4852" t="s">
        <v>41257</v>
      </c>
    </row>
    <row r="4853" spans="1:24">
      <c r="A4853">
        <f>HYPERLINK("https://www.philgeps.gov.ph/GEPSNONPILOT/Tender/SplashBidNoticeAbstractUI.aspx?menuIndex=3&amp;refID=7070472&amp;Result=3","7070472")</f>
        <v>0</v>
      </c>
      <c r="B4853" t="s">
        <v>1716</v>
      </c>
      <c r="C4853" t="s">
        <v>8033</v>
      </c>
      <c r="D4853" t="s">
        <v>16675</v>
      </c>
      <c r="E4853" t="s">
        <v>21056</v>
      </c>
      <c r="F4853" t="s">
        <v>28669</v>
      </c>
      <c r="G4853" t="s">
        <v>28677</v>
      </c>
      <c r="H4853" t="s">
        <v>9998</v>
      </c>
      <c r="I4853" t="s">
        <v>28688</v>
      </c>
      <c r="J4853" t="s">
        <v>31947</v>
      </c>
      <c r="K4853" t="s">
        <v>37205</v>
      </c>
      <c r="M4853" t="s">
        <v>39314</v>
      </c>
      <c r="N4853" t="s">
        <v>41249</v>
      </c>
      <c r="O4853" t="s">
        <v>41250</v>
      </c>
      <c r="P4853">
        <v>0</v>
      </c>
      <c r="Q4853">
        <v>0</v>
      </c>
      <c r="R4853" t="s">
        <v>41254</v>
      </c>
      <c r="S4853" t="s">
        <v>41425</v>
      </c>
      <c r="T4853" t="s">
        <v>42743</v>
      </c>
      <c r="U4853" t="s">
        <v>47201</v>
      </c>
      <c r="W4853" t="s">
        <v>39314</v>
      </c>
      <c r="X4853" t="s">
        <v>41257</v>
      </c>
    </row>
    <row r="4854" spans="1:24">
      <c r="A4854">
        <f>HYPERLINK("https://www.philgeps.gov.ph/GEPSNONPILOT/Tender/SplashBidNoticeAbstractUI.aspx?menuIndex=3&amp;refID=7070510&amp;Result=3","7070510")</f>
        <v>0</v>
      </c>
      <c r="B4854" t="s">
        <v>1717</v>
      </c>
      <c r="C4854" t="s">
        <v>8034</v>
      </c>
      <c r="D4854" t="s">
        <v>16616</v>
      </c>
      <c r="E4854" t="s">
        <v>21057</v>
      </c>
      <c r="F4854" t="s">
        <v>28669</v>
      </c>
      <c r="G4854" t="s">
        <v>28675</v>
      </c>
      <c r="H4854" t="s">
        <v>9998</v>
      </c>
      <c r="I4854" t="s">
        <v>28687</v>
      </c>
      <c r="J4854" t="s">
        <v>31948</v>
      </c>
      <c r="K4854" t="s">
        <v>37206</v>
      </c>
      <c r="M4854" t="s">
        <v>39315</v>
      </c>
      <c r="N4854" t="s">
        <v>41249</v>
      </c>
      <c r="O4854" t="s">
        <v>41250</v>
      </c>
      <c r="P4854">
        <v>0</v>
      </c>
      <c r="Q4854">
        <v>2</v>
      </c>
      <c r="R4854" t="s">
        <v>41254</v>
      </c>
      <c r="S4854" t="s">
        <v>41425</v>
      </c>
      <c r="T4854" t="s">
        <v>42982</v>
      </c>
      <c r="U4854" t="s">
        <v>47202</v>
      </c>
      <c r="W4854" t="s">
        <v>39315</v>
      </c>
      <c r="X4854" t="s">
        <v>41257</v>
      </c>
    </row>
    <row r="4855" spans="1:24">
      <c r="A4855">
        <f>HYPERLINK("https://www.philgeps.gov.ph/GEPSNONPILOT/Tender/SplashBidNoticeAbstractUI.aspx?menuIndex=3&amp;refID=7070501&amp;Result=3","7070501")</f>
        <v>0</v>
      </c>
      <c r="B4855" t="s">
        <v>340</v>
      </c>
      <c r="C4855" t="s">
        <v>8035</v>
      </c>
      <c r="D4855" t="s">
        <v>16666</v>
      </c>
      <c r="E4855" t="s">
        <v>21058</v>
      </c>
      <c r="F4855" t="s">
        <v>28669</v>
      </c>
      <c r="G4855" t="s">
        <v>28678</v>
      </c>
      <c r="H4855" t="s">
        <v>9998</v>
      </c>
      <c r="I4855" t="s">
        <v>28688</v>
      </c>
      <c r="J4855" t="s">
        <v>28834</v>
      </c>
      <c r="K4855" t="s">
        <v>37227</v>
      </c>
      <c r="L4855" t="s">
        <v>340</v>
      </c>
      <c r="M4855" t="s">
        <v>37820</v>
      </c>
      <c r="N4855" t="s">
        <v>41249</v>
      </c>
      <c r="O4855" t="s">
        <v>41250</v>
      </c>
      <c r="P4855">
        <v>0</v>
      </c>
      <c r="Q4855">
        <v>12</v>
      </c>
      <c r="R4855" t="s">
        <v>41254</v>
      </c>
      <c r="S4855" t="s">
        <v>41425</v>
      </c>
      <c r="T4855" t="s">
        <v>42938</v>
      </c>
      <c r="U4855" t="s">
        <v>43741</v>
      </c>
      <c r="W4855" t="s">
        <v>37820</v>
      </c>
      <c r="X4855" t="s">
        <v>41257</v>
      </c>
    </row>
    <row r="4856" spans="1:24">
      <c r="A4856">
        <f>HYPERLINK("https://www.philgeps.gov.ph/GEPSNONPILOT/Tender/SplashBidNoticeAbstractUI.aspx?menuIndex=3&amp;refID=7070492&amp;Result=3","7070492")</f>
        <v>0</v>
      </c>
      <c r="B4856" t="s">
        <v>550</v>
      </c>
      <c r="C4856" t="s">
        <v>8036</v>
      </c>
      <c r="D4856" t="s">
        <v>16663</v>
      </c>
      <c r="E4856" t="s">
        <v>8036</v>
      </c>
      <c r="F4856" t="s">
        <v>28669</v>
      </c>
      <c r="G4856" t="s">
        <v>28676</v>
      </c>
      <c r="H4856" t="s">
        <v>9998</v>
      </c>
      <c r="I4856" t="s">
        <v>28697</v>
      </c>
      <c r="J4856" t="s">
        <v>29191</v>
      </c>
      <c r="K4856" t="s">
        <v>37206</v>
      </c>
      <c r="M4856" t="s">
        <v>38043</v>
      </c>
      <c r="N4856" t="s">
        <v>41249</v>
      </c>
      <c r="O4856" t="s">
        <v>41250</v>
      </c>
      <c r="P4856">
        <v>0</v>
      </c>
      <c r="Q4856">
        <v>4</v>
      </c>
      <c r="R4856" t="s">
        <v>41254</v>
      </c>
      <c r="S4856" t="s">
        <v>41425</v>
      </c>
      <c r="T4856" t="s">
        <v>42883</v>
      </c>
      <c r="U4856" t="s">
        <v>47203</v>
      </c>
      <c r="V4856" t="s">
        <v>54795</v>
      </c>
      <c r="W4856" t="s">
        <v>38043</v>
      </c>
      <c r="X4856" t="s">
        <v>41257</v>
      </c>
    </row>
    <row r="4857" spans="1:24">
      <c r="A4857">
        <f>HYPERLINK("https://www.philgeps.gov.ph/GEPSNONPILOT/Tender/SplashBidNoticeAbstractUI.aspx?menuIndex=3&amp;refID=7070433&amp;Result=3","7070433")</f>
        <v>0</v>
      </c>
      <c r="B4857" t="s">
        <v>797</v>
      </c>
      <c r="C4857" t="s">
        <v>8037</v>
      </c>
      <c r="D4857" t="s">
        <v>16677</v>
      </c>
      <c r="E4857" t="s">
        <v>21059</v>
      </c>
      <c r="F4857" t="s">
        <v>28669</v>
      </c>
      <c r="G4857" t="s">
        <v>28675</v>
      </c>
      <c r="H4857" t="s">
        <v>28686</v>
      </c>
      <c r="I4857" t="s">
        <v>28689</v>
      </c>
      <c r="J4857" t="s">
        <v>31949</v>
      </c>
      <c r="K4857" t="s">
        <v>37329</v>
      </c>
      <c r="M4857" t="s">
        <v>39293</v>
      </c>
      <c r="N4857" t="s">
        <v>41249</v>
      </c>
      <c r="O4857" t="s">
        <v>41250</v>
      </c>
      <c r="P4857">
        <v>0</v>
      </c>
      <c r="Q4857">
        <v>0</v>
      </c>
      <c r="R4857" t="s">
        <v>41254</v>
      </c>
      <c r="S4857" t="s">
        <v>41425</v>
      </c>
      <c r="T4857" t="s">
        <v>42929</v>
      </c>
      <c r="U4857" t="s">
        <v>47204</v>
      </c>
      <c r="W4857" t="s">
        <v>39293</v>
      </c>
      <c r="X4857" t="s">
        <v>41257</v>
      </c>
    </row>
    <row r="4858" spans="1:24">
      <c r="A4858">
        <f>HYPERLINK("https://www.philgeps.gov.ph/GEPSNONPILOT/Tender/SplashBidNoticeAbstractUI.aspx?menuIndex=3&amp;refID=7070487&amp;Result=3","7070487")</f>
        <v>0</v>
      </c>
      <c r="B4858" t="s">
        <v>788</v>
      </c>
      <c r="C4858" t="s">
        <v>8038</v>
      </c>
      <c r="D4858" t="s">
        <v>16648</v>
      </c>
      <c r="E4858" t="s">
        <v>21060</v>
      </c>
      <c r="F4858" t="s">
        <v>28669</v>
      </c>
      <c r="G4858" t="s">
        <v>28676</v>
      </c>
      <c r="H4858" t="s">
        <v>9998</v>
      </c>
      <c r="I4858" t="s">
        <v>28699</v>
      </c>
      <c r="J4858" t="s">
        <v>29278</v>
      </c>
      <c r="K4858" t="s">
        <v>37210</v>
      </c>
      <c r="M4858" t="s">
        <v>38302</v>
      </c>
      <c r="N4858" t="s">
        <v>41249</v>
      </c>
      <c r="O4858" t="s">
        <v>41250</v>
      </c>
      <c r="P4858">
        <v>0</v>
      </c>
      <c r="Q4858">
        <v>0</v>
      </c>
      <c r="R4858" t="s">
        <v>41254</v>
      </c>
      <c r="S4858" t="s">
        <v>41425</v>
      </c>
      <c r="T4858" t="s">
        <v>42728</v>
      </c>
      <c r="U4858" t="s">
        <v>47205</v>
      </c>
      <c r="W4858" t="s">
        <v>38302</v>
      </c>
      <c r="X4858" t="s">
        <v>41257</v>
      </c>
    </row>
    <row r="4859" spans="1:24">
      <c r="A4859">
        <f>HYPERLINK("https://www.philgeps.gov.ph/GEPSNONPILOT/Tender/SplashBidNoticeAbstractUI.aspx?menuIndex=3&amp;refID=7070486&amp;Result=3","7070486")</f>
        <v>0</v>
      </c>
      <c r="B4859" t="s">
        <v>1718</v>
      </c>
      <c r="C4859" t="s">
        <v>8039</v>
      </c>
      <c r="D4859" t="s">
        <v>16618</v>
      </c>
      <c r="E4859" t="s">
        <v>21061</v>
      </c>
      <c r="F4859" t="s">
        <v>28669</v>
      </c>
      <c r="G4859" t="s">
        <v>28675</v>
      </c>
      <c r="H4859" t="s">
        <v>9998</v>
      </c>
      <c r="I4859" t="s">
        <v>5213</v>
      </c>
      <c r="J4859" t="s">
        <v>28878</v>
      </c>
      <c r="K4859" t="s">
        <v>37209</v>
      </c>
      <c r="M4859" t="s">
        <v>39316</v>
      </c>
      <c r="N4859" t="s">
        <v>41249</v>
      </c>
      <c r="O4859" t="s">
        <v>41250</v>
      </c>
      <c r="P4859">
        <v>0</v>
      </c>
      <c r="Q4859">
        <v>2</v>
      </c>
      <c r="R4859" t="s">
        <v>41254</v>
      </c>
      <c r="S4859" t="s">
        <v>41425</v>
      </c>
      <c r="T4859" t="s">
        <v>42714</v>
      </c>
      <c r="U4859" t="s">
        <v>47206</v>
      </c>
      <c r="W4859" t="s">
        <v>39316</v>
      </c>
      <c r="X4859" t="s">
        <v>41257</v>
      </c>
    </row>
    <row r="4860" spans="1:24">
      <c r="A4860">
        <f>HYPERLINK("https://www.philgeps.gov.ph/GEPSNONPILOT/Tender/SplashBidNoticeAbstractUI.aspx?menuIndex=3&amp;refID=7070481&amp;Result=3","7070481")</f>
        <v>0</v>
      </c>
      <c r="B4860" t="s">
        <v>539</v>
      </c>
      <c r="C4860" t="s">
        <v>8040</v>
      </c>
      <c r="D4860" t="s">
        <v>16665</v>
      </c>
      <c r="E4860" t="s">
        <v>21062</v>
      </c>
      <c r="F4860" t="s">
        <v>28669</v>
      </c>
      <c r="G4860" t="s">
        <v>28675</v>
      </c>
      <c r="H4860" t="s">
        <v>28686</v>
      </c>
      <c r="I4860" t="s">
        <v>28689</v>
      </c>
      <c r="J4860" t="s">
        <v>30036</v>
      </c>
      <c r="K4860" t="s">
        <v>37229</v>
      </c>
      <c r="M4860" t="s">
        <v>38032</v>
      </c>
      <c r="N4860" t="s">
        <v>41249</v>
      </c>
      <c r="O4860" t="s">
        <v>41250</v>
      </c>
      <c r="P4860">
        <v>0</v>
      </c>
      <c r="Q4860">
        <v>0</v>
      </c>
      <c r="R4860" t="s">
        <v>41254</v>
      </c>
      <c r="S4860" t="s">
        <v>41425</v>
      </c>
      <c r="T4860" t="s">
        <v>42742</v>
      </c>
      <c r="U4860" t="s">
        <v>47207</v>
      </c>
      <c r="V4860" t="s">
        <v>54796</v>
      </c>
      <c r="W4860" t="s">
        <v>38032</v>
      </c>
      <c r="X4860" t="s">
        <v>41257</v>
      </c>
    </row>
    <row r="4861" spans="1:24">
      <c r="A4861">
        <f>HYPERLINK("https://www.philgeps.gov.ph/GEPSNONPILOT/Tender/SplashBidNoticeAbstractUI.aspx?menuIndex=3&amp;refID=7070541&amp;Result=3","7070541")</f>
        <v>0</v>
      </c>
      <c r="B4861" t="s">
        <v>1719</v>
      </c>
      <c r="C4861" t="s">
        <v>8041</v>
      </c>
      <c r="D4861" t="s">
        <v>16652</v>
      </c>
      <c r="E4861" t="s">
        <v>21063</v>
      </c>
      <c r="F4861" t="s">
        <v>28669</v>
      </c>
      <c r="G4861" t="s">
        <v>28676</v>
      </c>
      <c r="H4861" t="s">
        <v>9998</v>
      </c>
      <c r="I4861" t="s">
        <v>3679</v>
      </c>
      <c r="J4861" t="s">
        <v>29914</v>
      </c>
      <c r="K4861" t="s">
        <v>37204</v>
      </c>
      <c r="M4861" t="s">
        <v>39317</v>
      </c>
      <c r="N4861" t="s">
        <v>41249</v>
      </c>
      <c r="O4861" t="s">
        <v>41250</v>
      </c>
      <c r="P4861">
        <v>0</v>
      </c>
      <c r="Q4861">
        <v>2</v>
      </c>
      <c r="R4861" t="s">
        <v>41254</v>
      </c>
      <c r="S4861" t="s">
        <v>41425</v>
      </c>
      <c r="T4861" t="s">
        <v>42728</v>
      </c>
      <c r="U4861" t="s">
        <v>47208</v>
      </c>
      <c r="V4861" t="s">
        <v>54797</v>
      </c>
      <c r="W4861" t="s">
        <v>39317</v>
      </c>
      <c r="X4861" t="s">
        <v>41257</v>
      </c>
    </row>
    <row r="4862" spans="1:24">
      <c r="A4862">
        <f>HYPERLINK("https://www.philgeps.gov.ph/GEPSNONPILOT/Tender/SplashBidNoticeAbstractUI.aspx?menuIndex=3&amp;refID=7070526&amp;Result=3","7070526")</f>
        <v>0</v>
      </c>
      <c r="B4862" t="s">
        <v>743</v>
      </c>
      <c r="C4862" t="s">
        <v>8042</v>
      </c>
      <c r="D4862" t="s">
        <v>16629</v>
      </c>
      <c r="E4862" t="s">
        <v>21064</v>
      </c>
      <c r="F4862" t="s">
        <v>28669</v>
      </c>
      <c r="G4862" t="s">
        <v>28675</v>
      </c>
      <c r="H4862" t="s">
        <v>28686</v>
      </c>
      <c r="I4862" t="s">
        <v>28689</v>
      </c>
      <c r="J4862" t="s">
        <v>31950</v>
      </c>
      <c r="K4862" t="s">
        <v>37332</v>
      </c>
      <c r="M4862" t="s">
        <v>39318</v>
      </c>
      <c r="N4862" t="s">
        <v>41249</v>
      </c>
      <c r="O4862" t="s">
        <v>41250</v>
      </c>
      <c r="P4862">
        <v>0</v>
      </c>
      <c r="Q4862">
        <v>0</v>
      </c>
      <c r="R4862" t="s">
        <v>41254</v>
      </c>
      <c r="S4862" t="s">
        <v>41425</v>
      </c>
      <c r="T4862" t="s">
        <v>42671</v>
      </c>
      <c r="U4862" t="s">
        <v>47209</v>
      </c>
      <c r="V4862" t="s">
        <v>54798</v>
      </c>
      <c r="W4862" t="s">
        <v>39318</v>
      </c>
      <c r="X4862" t="s">
        <v>41257</v>
      </c>
    </row>
    <row r="4863" spans="1:24">
      <c r="A4863">
        <f>HYPERLINK("https://www.philgeps.gov.ph/GEPSNONPILOT/Tender/SplashBidNoticeAbstractUI.aspx?menuIndex=3&amp;refID=7070524&amp;Result=3","7070524")</f>
        <v>0</v>
      </c>
      <c r="B4863" t="s">
        <v>1217</v>
      </c>
      <c r="C4863" t="s">
        <v>8043</v>
      </c>
      <c r="D4863" t="s">
        <v>16631</v>
      </c>
      <c r="E4863" t="s">
        <v>21065</v>
      </c>
      <c r="F4863" t="s">
        <v>28669</v>
      </c>
      <c r="G4863" t="s">
        <v>28675</v>
      </c>
      <c r="H4863" t="s">
        <v>9998</v>
      </c>
      <c r="I4863" t="s">
        <v>28697</v>
      </c>
      <c r="J4863" t="s">
        <v>31951</v>
      </c>
      <c r="K4863" t="s">
        <v>37301</v>
      </c>
      <c r="M4863" t="s">
        <v>38760</v>
      </c>
      <c r="N4863" t="s">
        <v>41249</v>
      </c>
      <c r="O4863" t="s">
        <v>41250</v>
      </c>
      <c r="P4863">
        <v>0</v>
      </c>
      <c r="Q4863">
        <v>1</v>
      </c>
      <c r="R4863" t="s">
        <v>41254</v>
      </c>
      <c r="S4863" t="s">
        <v>41425</v>
      </c>
      <c r="T4863" t="s">
        <v>42722</v>
      </c>
      <c r="U4863" t="s">
        <v>47210</v>
      </c>
      <c r="V4863" t="s">
        <v>54599</v>
      </c>
      <c r="W4863" t="s">
        <v>38760</v>
      </c>
      <c r="X4863" t="s">
        <v>41257</v>
      </c>
    </row>
    <row r="4864" spans="1:24">
      <c r="A4864">
        <f>HYPERLINK("https://www.philgeps.gov.ph/GEPSNONPILOT/Tender/SplashBidNoticeAbstractUI.aspx?menuIndex=3&amp;refID=7070426&amp;Result=3","7070426")</f>
        <v>0</v>
      </c>
      <c r="B4864" t="s">
        <v>797</v>
      </c>
      <c r="C4864" t="s">
        <v>8044</v>
      </c>
      <c r="D4864" t="s">
        <v>16677</v>
      </c>
      <c r="E4864" t="s">
        <v>21066</v>
      </c>
      <c r="F4864" t="s">
        <v>28669</v>
      </c>
      <c r="G4864" t="s">
        <v>28675</v>
      </c>
      <c r="H4864" t="s">
        <v>28686</v>
      </c>
      <c r="I4864" t="s">
        <v>28689</v>
      </c>
      <c r="J4864" t="s">
        <v>31952</v>
      </c>
      <c r="K4864" t="s">
        <v>37255</v>
      </c>
      <c r="M4864" t="s">
        <v>39293</v>
      </c>
      <c r="N4864" t="s">
        <v>41249</v>
      </c>
      <c r="O4864" t="s">
        <v>41250</v>
      </c>
      <c r="P4864">
        <v>0</v>
      </c>
      <c r="Q4864">
        <v>0</v>
      </c>
      <c r="R4864" t="s">
        <v>41254</v>
      </c>
      <c r="S4864" t="s">
        <v>41425</v>
      </c>
      <c r="T4864" t="s">
        <v>42929</v>
      </c>
      <c r="U4864" t="s">
        <v>47211</v>
      </c>
      <c r="W4864" t="s">
        <v>39293</v>
      </c>
      <c r="X4864" t="s">
        <v>41257</v>
      </c>
    </row>
    <row r="4865" spans="1:24">
      <c r="A4865">
        <f>HYPERLINK("https://www.philgeps.gov.ph/GEPSNONPILOT/Tender/SplashBidNoticeAbstractUI.aspx?menuIndex=3&amp;refID=7070478&amp;Result=3","7070478")</f>
        <v>0</v>
      </c>
      <c r="B4865" t="s">
        <v>1720</v>
      </c>
      <c r="C4865" t="s">
        <v>7900</v>
      </c>
      <c r="D4865" t="s">
        <v>16667</v>
      </c>
      <c r="E4865" t="s">
        <v>21067</v>
      </c>
      <c r="F4865" t="s">
        <v>28669</v>
      </c>
      <c r="G4865" t="s">
        <v>28675</v>
      </c>
      <c r="H4865" t="s">
        <v>28686</v>
      </c>
      <c r="I4865" t="s">
        <v>28689</v>
      </c>
      <c r="J4865" t="s">
        <v>28878</v>
      </c>
      <c r="K4865" t="s">
        <v>37316</v>
      </c>
      <c r="M4865" t="s">
        <v>39319</v>
      </c>
      <c r="N4865" t="s">
        <v>41249</v>
      </c>
      <c r="O4865" t="s">
        <v>41250</v>
      </c>
      <c r="P4865">
        <v>0</v>
      </c>
      <c r="Q4865">
        <v>0</v>
      </c>
      <c r="R4865" t="s">
        <v>41254</v>
      </c>
      <c r="S4865" t="s">
        <v>41425</v>
      </c>
      <c r="T4865" t="s">
        <v>42673</v>
      </c>
      <c r="U4865" t="s">
        <v>47212</v>
      </c>
      <c r="W4865" t="s">
        <v>39319</v>
      </c>
      <c r="X4865" t="s">
        <v>41257</v>
      </c>
    </row>
    <row r="4866" spans="1:24">
      <c r="A4866">
        <f>HYPERLINK("https://www.philgeps.gov.ph/GEPSNONPILOT/Tender/SplashBidNoticeAbstractUI.aspx?menuIndex=3&amp;refID=7070476&amp;Result=3","7070476")</f>
        <v>0</v>
      </c>
      <c r="B4866" t="s">
        <v>550</v>
      </c>
      <c r="C4866" t="s">
        <v>8045</v>
      </c>
      <c r="D4866" t="s">
        <v>16663</v>
      </c>
      <c r="E4866" t="s">
        <v>8045</v>
      </c>
      <c r="F4866" t="s">
        <v>28669</v>
      </c>
      <c r="G4866" t="s">
        <v>28676</v>
      </c>
      <c r="H4866" t="s">
        <v>9998</v>
      </c>
      <c r="I4866" t="s">
        <v>28697</v>
      </c>
      <c r="J4866" t="s">
        <v>31953</v>
      </c>
      <c r="K4866" t="s">
        <v>37206</v>
      </c>
      <c r="M4866" t="s">
        <v>38043</v>
      </c>
      <c r="N4866" t="s">
        <v>41249</v>
      </c>
      <c r="O4866" t="s">
        <v>41250</v>
      </c>
      <c r="P4866">
        <v>0</v>
      </c>
      <c r="Q4866">
        <v>5</v>
      </c>
      <c r="R4866" t="s">
        <v>41254</v>
      </c>
      <c r="S4866" t="s">
        <v>41425</v>
      </c>
      <c r="T4866" t="s">
        <v>42883</v>
      </c>
      <c r="U4866" t="s">
        <v>47203</v>
      </c>
      <c r="V4866" t="s">
        <v>54799</v>
      </c>
      <c r="W4866" t="s">
        <v>38043</v>
      </c>
      <c r="X4866" t="s">
        <v>41257</v>
      </c>
    </row>
    <row r="4867" spans="1:24">
      <c r="A4867">
        <f>HYPERLINK("https://www.philgeps.gov.ph/GEPSNONPILOT/Tender/SplashBidNoticeAbstractUI.aspx?menuIndex=3&amp;refID=7070473&amp;Result=3","7070473")</f>
        <v>0</v>
      </c>
      <c r="B4867" t="s">
        <v>1719</v>
      </c>
      <c r="C4867" t="s">
        <v>8046</v>
      </c>
      <c r="D4867" t="s">
        <v>16652</v>
      </c>
      <c r="E4867" t="s">
        <v>21068</v>
      </c>
      <c r="F4867" t="s">
        <v>28669</v>
      </c>
      <c r="G4867" t="s">
        <v>28676</v>
      </c>
      <c r="H4867" t="s">
        <v>9998</v>
      </c>
      <c r="I4867" t="s">
        <v>28690</v>
      </c>
      <c r="J4867" t="s">
        <v>31954</v>
      </c>
      <c r="K4867" t="s">
        <v>37216</v>
      </c>
      <c r="M4867" t="s">
        <v>39317</v>
      </c>
      <c r="N4867" t="s">
        <v>41249</v>
      </c>
      <c r="O4867" t="s">
        <v>41250</v>
      </c>
      <c r="P4867">
        <v>0</v>
      </c>
      <c r="Q4867">
        <v>1</v>
      </c>
      <c r="R4867" t="s">
        <v>41254</v>
      </c>
      <c r="S4867" t="s">
        <v>41425</v>
      </c>
      <c r="T4867" t="s">
        <v>42728</v>
      </c>
      <c r="U4867" t="s">
        <v>47208</v>
      </c>
      <c r="V4867" t="s">
        <v>54797</v>
      </c>
      <c r="W4867" t="s">
        <v>39317</v>
      </c>
      <c r="X4867" t="s">
        <v>41257</v>
      </c>
    </row>
    <row r="4868" spans="1:24">
      <c r="A4868">
        <f>HYPERLINK("https://www.philgeps.gov.ph/GEPSNONPILOT/Tender/SplashBidNoticeAbstractUI.aspx?menuIndex=3&amp;refID=7070543&amp;Result=3","7070543")</f>
        <v>0</v>
      </c>
      <c r="B4868" t="s">
        <v>1721</v>
      </c>
      <c r="C4868" t="s">
        <v>8047</v>
      </c>
      <c r="D4868" t="s">
        <v>16636</v>
      </c>
      <c r="E4868" t="s">
        <v>21069</v>
      </c>
      <c r="F4868" t="s">
        <v>28669</v>
      </c>
      <c r="G4868" t="s">
        <v>28675</v>
      </c>
      <c r="H4868" t="s">
        <v>9998</v>
      </c>
      <c r="I4868" t="s">
        <v>7352</v>
      </c>
      <c r="J4868" t="s">
        <v>31955</v>
      </c>
      <c r="K4868" t="s">
        <v>37206</v>
      </c>
      <c r="M4868" t="s">
        <v>39320</v>
      </c>
      <c r="N4868" t="s">
        <v>41249</v>
      </c>
      <c r="O4868" t="s">
        <v>41250</v>
      </c>
      <c r="P4868">
        <v>0</v>
      </c>
      <c r="Q4868">
        <v>1</v>
      </c>
      <c r="R4868" t="s">
        <v>41254</v>
      </c>
      <c r="S4868" t="s">
        <v>41425</v>
      </c>
      <c r="T4868" t="s">
        <v>42670</v>
      </c>
      <c r="U4868" t="s">
        <v>47213</v>
      </c>
      <c r="W4868" t="s">
        <v>39320</v>
      </c>
      <c r="X4868" t="s">
        <v>41257</v>
      </c>
    </row>
    <row r="4869" spans="1:24">
      <c r="A4869">
        <f>HYPERLINK("https://www.philgeps.gov.ph/GEPSNONPILOT/Tender/SplashBidNoticeAbstractUI.aspx?menuIndex=3&amp;refID=7070415&amp;Result=3","7070415")</f>
        <v>0</v>
      </c>
      <c r="B4869" t="s">
        <v>1687</v>
      </c>
      <c r="C4869" t="s">
        <v>8048</v>
      </c>
      <c r="D4869" t="s">
        <v>16627</v>
      </c>
      <c r="E4869" t="s">
        <v>21070</v>
      </c>
      <c r="F4869" t="s">
        <v>28669</v>
      </c>
      <c r="G4869" t="s">
        <v>28675</v>
      </c>
      <c r="H4869" t="s">
        <v>9998</v>
      </c>
      <c r="I4869" t="s">
        <v>7352</v>
      </c>
      <c r="J4869" t="s">
        <v>31956</v>
      </c>
      <c r="K4869" t="s">
        <v>37220</v>
      </c>
      <c r="M4869" t="s">
        <v>39282</v>
      </c>
      <c r="N4869" t="s">
        <v>41249</v>
      </c>
      <c r="O4869" t="s">
        <v>41250</v>
      </c>
      <c r="P4869">
        <v>0</v>
      </c>
      <c r="Q4869">
        <v>1</v>
      </c>
      <c r="R4869" t="s">
        <v>41254</v>
      </c>
      <c r="S4869" t="s">
        <v>41425</v>
      </c>
      <c r="T4869" t="s">
        <v>42717</v>
      </c>
      <c r="U4869" t="s">
        <v>47197</v>
      </c>
      <c r="W4869" t="s">
        <v>39282</v>
      </c>
      <c r="X4869" t="s">
        <v>41257</v>
      </c>
    </row>
    <row r="4870" spans="1:24">
      <c r="A4870">
        <f>HYPERLINK("https://www.philgeps.gov.ph/GEPSNONPILOT/Tender/SplashBidNoticeAbstractUI.aspx?menuIndex=3&amp;refID=7070523&amp;Result=3","7070523")</f>
        <v>0</v>
      </c>
      <c r="B4870" t="s">
        <v>1722</v>
      </c>
      <c r="C4870" t="s">
        <v>8049</v>
      </c>
      <c r="D4870" t="s">
        <v>16660</v>
      </c>
      <c r="E4870" t="s">
        <v>21071</v>
      </c>
      <c r="F4870" t="s">
        <v>28669</v>
      </c>
      <c r="G4870" t="s">
        <v>28677</v>
      </c>
      <c r="H4870" t="s">
        <v>9998</v>
      </c>
      <c r="I4870" t="s">
        <v>7352</v>
      </c>
      <c r="J4870" t="s">
        <v>28993</v>
      </c>
      <c r="K4870" t="s">
        <v>37266</v>
      </c>
      <c r="M4870" t="s">
        <v>39321</v>
      </c>
      <c r="N4870" t="s">
        <v>41249</v>
      </c>
      <c r="O4870" t="s">
        <v>41250</v>
      </c>
      <c r="P4870">
        <v>0</v>
      </c>
      <c r="Q4870">
        <v>2</v>
      </c>
      <c r="R4870" t="s">
        <v>41254</v>
      </c>
      <c r="S4870" t="s">
        <v>41425</v>
      </c>
      <c r="T4870" t="s">
        <v>42675</v>
      </c>
      <c r="U4870" t="s">
        <v>47214</v>
      </c>
      <c r="W4870" t="s">
        <v>39321</v>
      </c>
      <c r="X4870" t="s">
        <v>41257</v>
      </c>
    </row>
    <row r="4871" spans="1:24">
      <c r="A4871">
        <f>HYPERLINK("https://www.philgeps.gov.ph/GEPSNONPILOT/Tender/SplashBidNoticeAbstractUI.aspx?menuIndex=3&amp;refID=7070589&amp;Result=3","7070589")</f>
        <v>0</v>
      </c>
      <c r="B4871" t="s">
        <v>1723</v>
      </c>
      <c r="C4871" t="s">
        <v>3747</v>
      </c>
      <c r="D4871" t="s">
        <v>16611</v>
      </c>
      <c r="E4871" t="s">
        <v>16807</v>
      </c>
      <c r="F4871" t="s">
        <v>28669</v>
      </c>
      <c r="G4871" t="s">
        <v>28676</v>
      </c>
      <c r="H4871" t="s">
        <v>9998</v>
      </c>
      <c r="I4871" t="s">
        <v>6128</v>
      </c>
      <c r="J4871" t="s">
        <v>28912</v>
      </c>
      <c r="K4871" t="s">
        <v>37204</v>
      </c>
      <c r="M4871" t="s">
        <v>39322</v>
      </c>
      <c r="N4871" t="s">
        <v>41249</v>
      </c>
      <c r="O4871" t="s">
        <v>41250</v>
      </c>
      <c r="P4871">
        <v>0</v>
      </c>
      <c r="Q4871">
        <v>1</v>
      </c>
      <c r="R4871" t="s">
        <v>41254</v>
      </c>
      <c r="S4871" t="s">
        <v>41425</v>
      </c>
      <c r="T4871" t="s">
        <v>42670</v>
      </c>
      <c r="U4871" t="s">
        <v>47215</v>
      </c>
      <c r="W4871" t="s">
        <v>39322</v>
      </c>
      <c r="X4871" t="s">
        <v>41257</v>
      </c>
    </row>
    <row r="4872" spans="1:24">
      <c r="A4872">
        <f>HYPERLINK("https://www.philgeps.gov.ph/GEPSNONPILOT/Tender/SplashBidNoticeAbstractUI.aspx?menuIndex=3&amp;refID=7070518&amp;Result=3","7070518")</f>
        <v>0</v>
      </c>
      <c r="B4872" t="s">
        <v>550</v>
      </c>
      <c r="C4872" t="s">
        <v>8050</v>
      </c>
      <c r="D4872" t="s">
        <v>16663</v>
      </c>
      <c r="E4872" t="s">
        <v>8050</v>
      </c>
      <c r="F4872" t="s">
        <v>28669</v>
      </c>
      <c r="G4872" t="s">
        <v>28676</v>
      </c>
      <c r="H4872" t="s">
        <v>9998</v>
      </c>
      <c r="I4872" t="s">
        <v>28697</v>
      </c>
      <c r="J4872" t="s">
        <v>29034</v>
      </c>
      <c r="K4872" t="s">
        <v>37206</v>
      </c>
      <c r="M4872" t="s">
        <v>38043</v>
      </c>
      <c r="N4872" t="s">
        <v>41249</v>
      </c>
      <c r="O4872" t="s">
        <v>41250</v>
      </c>
      <c r="P4872">
        <v>0</v>
      </c>
      <c r="Q4872">
        <v>4</v>
      </c>
      <c r="R4872" t="s">
        <v>41254</v>
      </c>
      <c r="S4872" t="s">
        <v>41425</v>
      </c>
      <c r="T4872" t="s">
        <v>42883</v>
      </c>
      <c r="U4872" t="s">
        <v>47203</v>
      </c>
      <c r="V4872" t="s">
        <v>54800</v>
      </c>
      <c r="W4872" t="s">
        <v>38043</v>
      </c>
      <c r="X4872" t="s">
        <v>41257</v>
      </c>
    </row>
    <row r="4873" spans="1:24">
      <c r="A4873">
        <f>HYPERLINK("https://www.philgeps.gov.ph/GEPSNONPILOT/Tender/SplashBidNoticeAbstractUI.aspx?menuIndex=3&amp;refID=7070535&amp;Result=3","7070535")</f>
        <v>0</v>
      </c>
      <c r="B4873" t="s">
        <v>1723</v>
      </c>
      <c r="C4873" t="s">
        <v>8051</v>
      </c>
      <c r="D4873" t="s">
        <v>16611</v>
      </c>
      <c r="E4873" t="s">
        <v>16877</v>
      </c>
      <c r="F4873" t="s">
        <v>28669</v>
      </c>
      <c r="G4873" t="s">
        <v>28676</v>
      </c>
      <c r="H4873" t="s">
        <v>9998</v>
      </c>
      <c r="I4873" t="s">
        <v>28739</v>
      </c>
      <c r="J4873" t="s">
        <v>28894</v>
      </c>
      <c r="K4873" t="s">
        <v>37204</v>
      </c>
      <c r="M4873" t="s">
        <v>39322</v>
      </c>
      <c r="N4873" t="s">
        <v>41249</v>
      </c>
      <c r="O4873" t="s">
        <v>41250</v>
      </c>
      <c r="P4873">
        <v>0</v>
      </c>
      <c r="Q4873">
        <v>1</v>
      </c>
      <c r="R4873" t="s">
        <v>41254</v>
      </c>
      <c r="S4873" t="s">
        <v>41425</v>
      </c>
      <c r="T4873" t="s">
        <v>42670</v>
      </c>
      <c r="U4873" t="s">
        <v>47216</v>
      </c>
      <c r="W4873" t="s">
        <v>39322</v>
      </c>
      <c r="X4873" t="s">
        <v>41257</v>
      </c>
    </row>
    <row r="4874" spans="1:24">
      <c r="A4874">
        <f>HYPERLINK("https://www.philgeps.gov.ph/GEPSNONPILOT/Tender/SplashBidNoticeAbstractUI.aspx?menuIndex=3&amp;refID=7070585&amp;Result=3","7070585")</f>
        <v>0</v>
      </c>
      <c r="B4874" t="s">
        <v>851</v>
      </c>
      <c r="C4874" t="s">
        <v>8052</v>
      </c>
      <c r="D4874" t="s">
        <v>16654</v>
      </c>
      <c r="E4874" t="s">
        <v>21072</v>
      </c>
      <c r="F4874" t="s">
        <v>28669</v>
      </c>
      <c r="G4874" t="s">
        <v>28676</v>
      </c>
      <c r="H4874" t="s">
        <v>9998</v>
      </c>
      <c r="I4874" t="s">
        <v>3718</v>
      </c>
      <c r="J4874" t="s">
        <v>28942</v>
      </c>
      <c r="K4874" t="s">
        <v>37204</v>
      </c>
      <c r="M4874" t="s">
        <v>38367</v>
      </c>
      <c r="N4874" t="s">
        <v>41249</v>
      </c>
      <c r="O4874" t="s">
        <v>41250</v>
      </c>
      <c r="P4874">
        <v>0</v>
      </c>
      <c r="Q4874">
        <v>1</v>
      </c>
      <c r="R4874" t="s">
        <v>41254</v>
      </c>
      <c r="S4874" t="s">
        <v>41425</v>
      </c>
      <c r="T4874" t="s">
        <v>42883</v>
      </c>
      <c r="U4874" t="s">
        <v>47217</v>
      </c>
      <c r="W4874" t="s">
        <v>38367</v>
      </c>
      <c r="X4874" t="s">
        <v>41257</v>
      </c>
    </row>
    <row r="4875" spans="1:24">
      <c r="A4875">
        <f>HYPERLINK("https://www.philgeps.gov.ph/GEPSNONPILOT/Tender/SplashBidNoticeAbstractUI.aspx?menuIndex=3&amp;refID=7070579&amp;Result=3","7070579")</f>
        <v>0</v>
      </c>
      <c r="B4875" t="s">
        <v>1687</v>
      </c>
      <c r="C4875" t="s">
        <v>8053</v>
      </c>
      <c r="D4875" t="s">
        <v>16627</v>
      </c>
      <c r="E4875" t="s">
        <v>21073</v>
      </c>
      <c r="F4875" t="s">
        <v>28669</v>
      </c>
      <c r="G4875" t="s">
        <v>28675</v>
      </c>
      <c r="H4875" t="s">
        <v>9998</v>
      </c>
      <c r="I4875" t="s">
        <v>7352</v>
      </c>
      <c r="J4875" t="s">
        <v>31957</v>
      </c>
      <c r="K4875" t="s">
        <v>37220</v>
      </c>
      <c r="M4875" t="s">
        <v>39282</v>
      </c>
      <c r="N4875" t="s">
        <v>41249</v>
      </c>
      <c r="O4875" t="s">
        <v>41250</v>
      </c>
      <c r="P4875">
        <v>0</v>
      </c>
      <c r="Q4875">
        <v>1</v>
      </c>
      <c r="R4875" t="s">
        <v>41254</v>
      </c>
      <c r="S4875" t="s">
        <v>41425</v>
      </c>
      <c r="T4875" t="s">
        <v>42717</v>
      </c>
      <c r="U4875" t="s">
        <v>47197</v>
      </c>
      <c r="W4875" t="s">
        <v>39282</v>
      </c>
      <c r="X4875" t="s">
        <v>41257</v>
      </c>
    </row>
    <row r="4876" spans="1:24">
      <c r="A4876">
        <f>HYPERLINK("https://www.philgeps.gov.ph/GEPSNONPILOT/Tender/SplashBidNoticeAbstractUI.aspx?menuIndex=3&amp;refID=7070517&amp;Result=3","7070517")</f>
        <v>0</v>
      </c>
      <c r="B4876" t="s">
        <v>1719</v>
      </c>
      <c r="C4876" t="s">
        <v>8054</v>
      </c>
      <c r="D4876" t="s">
        <v>16652</v>
      </c>
      <c r="E4876" t="s">
        <v>21074</v>
      </c>
      <c r="F4876" t="s">
        <v>28669</v>
      </c>
      <c r="G4876" t="s">
        <v>28676</v>
      </c>
      <c r="H4876" t="s">
        <v>9998</v>
      </c>
      <c r="I4876" t="s">
        <v>28696</v>
      </c>
      <c r="J4876" t="s">
        <v>31958</v>
      </c>
      <c r="K4876" t="s">
        <v>37216</v>
      </c>
      <c r="M4876" t="s">
        <v>39317</v>
      </c>
      <c r="N4876" t="s">
        <v>41249</v>
      </c>
      <c r="O4876" t="s">
        <v>41250</v>
      </c>
      <c r="P4876">
        <v>0</v>
      </c>
      <c r="Q4876">
        <v>2</v>
      </c>
      <c r="R4876" t="s">
        <v>41254</v>
      </c>
      <c r="S4876" t="s">
        <v>41425</v>
      </c>
      <c r="T4876" t="s">
        <v>42728</v>
      </c>
      <c r="U4876" t="s">
        <v>47208</v>
      </c>
      <c r="V4876" t="s">
        <v>54801</v>
      </c>
      <c r="W4876" t="s">
        <v>39317</v>
      </c>
      <c r="X4876" t="s">
        <v>41257</v>
      </c>
    </row>
    <row r="4877" spans="1:24">
      <c r="A4877">
        <f>HYPERLINK("https://www.philgeps.gov.ph/GEPSNONPILOT/Tender/SplashBidNoticeAbstractUI.aspx?menuIndex=3&amp;refID=7070545&amp;Result=3","7070545")</f>
        <v>0</v>
      </c>
      <c r="B4877" t="s">
        <v>603</v>
      </c>
      <c r="C4877" t="s">
        <v>8055</v>
      </c>
      <c r="D4877" t="s">
        <v>16615</v>
      </c>
      <c r="E4877" t="s">
        <v>21075</v>
      </c>
      <c r="F4877" t="s">
        <v>28669</v>
      </c>
      <c r="G4877" t="s">
        <v>28676</v>
      </c>
      <c r="H4877" t="s">
        <v>9998</v>
      </c>
      <c r="I4877" t="s">
        <v>7352</v>
      </c>
      <c r="J4877" t="s">
        <v>31959</v>
      </c>
      <c r="K4877" t="s">
        <v>37205</v>
      </c>
      <c r="M4877" t="s">
        <v>38103</v>
      </c>
      <c r="N4877" t="s">
        <v>41249</v>
      </c>
      <c r="O4877" t="s">
        <v>41250</v>
      </c>
      <c r="P4877">
        <v>0</v>
      </c>
      <c r="Q4877">
        <v>1</v>
      </c>
      <c r="R4877" t="s">
        <v>41254</v>
      </c>
      <c r="S4877" t="s">
        <v>41425</v>
      </c>
      <c r="T4877" t="s">
        <v>42771</v>
      </c>
      <c r="U4877" t="s">
        <v>47218</v>
      </c>
      <c r="W4877" t="s">
        <v>38103</v>
      </c>
      <c r="X4877" t="s">
        <v>41257</v>
      </c>
    </row>
    <row r="4878" spans="1:24">
      <c r="A4878">
        <f>HYPERLINK("https://www.philgeps.gov.ph/GEPSNONPILOT/Tender/SplashBidNoticeAbstractUI.aspx?menuIndex=3&amp;refID=7070597&amp;Result=3","7070597")</f>
        <v>0</v>
      </c>
      <c r="B4878" t="s">
        <v>1687</v>
      </c>
      <c r="C4878" t="s">
        <v>8056</v>
      </c>
      <c r="D4878" t="s">
        <v>16627</v>
      </c>
      <c r="E4878" t="s">
        <v>21076</v>
      </c>
      <c r="F4878" t="s">
        <v>28669</v>
      </c>
      <c r="G4878" t="s">
        <v>28675</v>
      </c>
      <c r="H4878" t="s">
        <v>9998</v>
      </c>
      <c r="I4878" t="s">
        <v>7352</v>
      </c>
      <c r="J4878" t="s">
        <v>31960</v>
      </c>
      <c r="K4878" t="s">
        <v>37220</v>
      </c>
      <c r="M4878" t="s">
        <v>39282</v>
      </c>
      <c r="N4878" t="s">
        <v>41249</v>
      </c>
      <c r="O4878" t="s">
        <v>41250</v>
      </c>
      <c r="P4878">
        <v>0</v>
      </c>
      <c r="Q4878">
        <v>1</v>
      </c>
      <c r="R4878" t="s">
        <v>41254</v>
      </c>
      <c r="S4878" t="s">
        <v>41425</v>
      </c>
      <c r="T4878" t="s">
        <v>42717</v>
      </c>
      <c r="U4878" t="s">
        <v>47197</v>
      </c>
      <c r="W4878" t="s">
        <v>39282</v>
      </c>
      <c r="X4878" t="s">
        <v>41257</v>
      </c>
    </row>
    <row r="4879" spans="1:24">
      <c r="A4879">
        <f>HYPERLINK("https://www.philgeps.gov.ph/GEPSNONPILOT/Tender/SplashBidNoticeAbstractUI.aspx?menuIndex=3&amp;refID=7070599&amp;Result=3","7070599")</f>
        <v>0</v>
      </c>
      <c r="B4879" t="s">
        <v>603</v>
      </c>
      <c r="C4879" t="s">
        <v>8057</v>
      </c>
      <c r="D4879" t="s">
        <v>16615</v>
      </c>
      <c r="E4879" t="s">
        <v>21077</v>
      </c>
      <c r="F4879" t="s">
        <v>28669</v>
      </c>
      <c r="G4879" t="s">
        <v>28676</v>
      </c>
      <c r="H4879" t="s">
        <v>9998</v>
      </c>
      <c r="I4879" t="s">
        <v>28699</v>
      </c>
      <c r="J4879" t="s">
        <v>29027</v>
      </c>
      <c r="K4879" t="s">
        <v>37205</v>
      </c>
      <c r="M4879" t="s">
        <v>38103</v>
      </c>
      <c r="N4879" t="s">
        <v>41249</v>
      </c>
      <c r="O4879" t="s">
        <v>41250</v>
      </c>
      <c r="P4879">
        <v>0</v>
      </c>
      <c r="Q4879">
        <v>1</v>
      </c>
      <c r="R4879" t="s">
        <v>41254</v>
      </c>
      <c r="S4879" t="s">
        <v>41425</v>
      </c>
      <c r="T4879" t="s">
        <v>42771</v>
      </c>
      <c r="U4879" t="s">
        <v>47219</v>
      </c>
      <c r="W4879" t="s">
        <v>38103</v>
      </c>
      <c r="X4879" t="s">
        <v>41257</v>
      </c>
    </row>
    <row r="4880" spans="1:24">
      <c r="A4880">
        <f>HYPERLINK("https://www.philgeps.gov.ph/GEPSNONPILOT/Tender/SplashBidNoticeAbstractUI.aspx?menuIndex=3&amp;refID=7070577&amp;Result=3","7070577")</f>
        <v>0</v>
      </c>
      <c r="B4880" t="s">
        <v>1724</v>
      </c>
      <c r="C4880" t="s">
        <v>8058</v>
      </c>
      <c r="D4880" t="s">
        <v>16625</v>
      </c>
      <c r="E4880" t="s">
        <v>21078</v>
      </c>
      <c r="F4880" t="s">
        <v>28669</v>
      </c>
      <c r="G4880" t="s">
        <v>28676</v>
      </c>
      <c r="H4880" t="s">
        <v>9998</v>
      </c>
      <c r="I4880" t="s">
        <v>5213</v>
      </c>
      <c r="J4880" t="s">
        <v>31961</v>
      </c>
      <c r="K4880" t="s">
        <v>37210</v>
      </c>
      <c r="M4880" t="s">
        <v>39323</v>
      </c>
      <c r="N4880" t="s">
        <v>41249</v>
      </c>
      <c r="O4880" t="s">
        <v>41250</v>
      </c>
      <c r="P4880">
        <v>0</v>
      </c>
      <c r="Q4880">
        <v>0</v>
      </c>
      <c r="R4880" t="s">
        <v>41254</v>
      </c>
      <c r="S4880" t="s">
        <v>41425</v>
      </c>
      <c r="T4880" t="s">
        <v>42827</v>
      </c>
      <c r="U4880" t="s">
        <v>47220</v>
      </c>
      <c r="W4880" t="s">
        <v>39323</v>
      </c>
      <c r="X4880" t="s">
        <v>41257</v>
      </c>
    </row>
    <row r="4881" spans="1:24">
      <c r="A4881">
        <f>HYPERLINK("https://www.philgeps.gov.ph/GEPSNONPILOT/Tender/SplashBidNoticeAbstractUI.aspx?menuIndex=3&amp;refID=7070586&amp;Result=3","7070586")</f>
        <v>0</v>
      </c>
      <c r="B4881" t="s">
        <v>1725</v>
      </c>
      <c r="C4881" t="s">
        <v>8059</v>
      </c>
      <c r="D4881" t="s">
        <v>16655</v>
      </c>
      <c r="E4881" t="s">
        <v>21079</v>
      </c>
      <c r="F4881" t="s">
        <v>28669</v>
      </c>
      <c r="G4881" t="s">
        <v>28677</v>
      </c>
      <c r="H4881" t="s">
        <v>9998</v>
      </c>
      <c r="I4881" t="s">
        <v>28687</v>
      </c>
      <c r="J4881" t="s">
        <v>28826</v>
      </c>
      <c r="K4881" t="s">
        <v>37205</v>
      </c>
      <c r="M4881" t="s">
        <v>39324</v>
      </c>
      <c r="N4881" t="s">
        <v>41249</v>
      </c>
      <c r="O4881" t="s">
        <v>41250</v>
      </c>
      <c r="P4881">
        <v>0</v>
      </c>
      <c r="Q4881">
        <v>0</v>
      </c>
      <c r="R4881" t="s">
        <v>41254</v>
      </c>
      <c r="S4881" t="s">
        <v>41425</v>
      </c>
      <c r="T4881" t="s">
        <v>42811</v>
      </c>
      <c r="U4881" t="s">
        <v>47221</v>
      </c>
      <c r="W4881" t="s">
        <v>39324</v>
      </c>
      <c r="X4881" t="s">
        <v>41257</v>
      </c>
    </row>
    <row r="4882" spans="1:24">
      <c r="A4882">
        <f>HYPERLINK("https://www.philgeps.gov.ph/GEPSNONPILOT/Tender/SplashBidNoticeAbstractUI.aspx?menuIndex=3&amp;refID=7070575&amp;Result=3","7070575")</f>
        <v>0</v>
      </c>
      <c r="B4882" t="s">
        <v>1175</v>
      </c>
      <c r="C4882" t="s">
        <v>8060</v>
      </c>
      <c r="D4882" t="s">
        <v>16653</v>
      </c>
      <c r="E4882" t="s">
        <v>21080</v>
      </c>
      <c r="F4882" t="s">
        <v>28669</v>
      </c>
      <c r="G4882" t="s">
        <v>28676</v>
      </c>
      <c r="H4882" t="s">
        <v>9998</v>
      </c>
      <c r="I4882" t="s">
        <v>28704</v>
      </c>
      <c r="J4882" t="s">
        <v>29027</v>
      </c>
      <c r="K4882" t="s">
        <v>37234</v>
      </c>
      <c r="M4882" t="s">
        <v>38714</v>
      </c>
      <c r="N4882" t="s">
        <v>41249</v>
      </c>
      <c r="O4882" t="s">
        <v>41250</v>
      </c>
      <c r="P4882">
        <v>0</v>
      </c>
      <c r="Q4882">
        <v>0</v>
      </c>
      <c r="R4882" t="s">
        <v>41254</v>
      </c>
      <c r="S4882" t="s">
        <v>41425</v>
      </c>
      <c r="T4882" t="s">
        <v>42727</v>
      </c>
      <c r="U4882" t="s">
        <v>47222</v>
      </c>
      <c r="W4882" t="s">
        <v>38714</v>
      </c>
      <c r="X4882" t="s">
        <v>41257</v>
      </c>
    </row>
    <row r="4883" spans="1:24">
      <c r="A4883">
        <f>HYPERLINK("https://www.philgeps.gov.ph/GEPSNONPILOT/Tender/SplashBidNoticeAbstractUI.aspx?menuIndex=3&amp;refID=7070573&amp;Result=3","7070573")</f>
        <v>0</v>
      </c>
      <c r="B4883" t="s">
        <v>1726</v>
      </c>
      <c r="C4883" t="s">
        <v>8061</v>
      </c>
      <c r="D4883" t="s">
        <v>16684</v>
      </c>
      <c r="E4883" t="s">
        <v>21081</v>
      </c>
      <c r="F4883" t="s">
        <v>28669</v>
      </c>
      <c r="G4883" t="s">
        <v>28676</v>
      </c>
      <c r="H4883" t="s">
        <v>9998</v>
      </c>
      <c r="I4883" t="s">
        <v>7352</v>
      </c>
      <c r="J4883" t="s">
        <v>31962</v>
      </c>
      <c r="K4883" t="s">
        <v>37208</v>
      </c>
      <c r="M4883" t="s">
        <v>39325</v>
      </c>
      <c r="N4883" t="s">
        <v>41249</v>
      </c>
      <c r="O4883" t="s">
        <v>41250</v>
      </c>
      <c r="P4883">
        <v>0</v>
      </c>
      <c r="Q4883">
        <v>0</v>
      </c>
      <c r="R4883" t="s">
        <v>41254</v>
      </c>
      <c r="S4883" t="s">
        <v>41425</v>
      </c>
      <c r="T4883" t="s">
        <v>42727</v>
      </c>
      <c r="U4883" t="s">
        <v>47223</v>
      </c>
      <c r="W4883" t="s">
        <v>39325</v>
      </c>
      <c r="X4883" t="s">
        <v>41257</v>
      </c>
    </row>
    <row r="4884" spans="1:24">
      <c r="A4884">
        <f>HYPERLINK("https://www.philgeps.gov.ph/GEPSNONPILOT/Tender/SplashBidNoticeAbstractUI.aspx?menuIndex=3&amp;refID=7070569&amp;Result=3","7070569")</f>
        <v>0</v>
      </c>
      <c r="B4884" t="s">
        <v>743</v>
      </c>
      <c r="C4884" t="s">
        <v>8062</v>
      </c>
      <c r="D4884" t="s">
        <v>16629</v>
      </c>
      <c r="E4884" t="s">
        <v>21082</v>
      </c>
      <c r="F4884" t="s">
        <v>28669</v>
      </c>
      <c r="G4884" t="s">
        <v>28675</v>
      </c>
      <c r="H4884" t="s">
        <v>28686</v>
      </c>
      <c r="I4884" t="s">
        <v>28689</v>
      </c>
      <c r="J4884" t="s">
        <v>31963</v>
      </c>
      <c r="K4884" t="s">
        <v>37289</v>
      </c>
      <c r="M4884" t="s">
        <v>39318</v>
      </c>
      <c r="N4884" t="s">
        <v>41249</v>
      </c>
      <c r="O4884" t="s">
        <v>41250</v>
      </c>
      <c r="P4884">
        <v>0</v>
      </c>
      <c r="Q4884">
        <v>0</v>
      </c>
      <c r="R4884" t="s">
        <v>41254</v>
      </c>
      <c r="S4884" t="s">
        <v>41425</v>
      </c>
      <c r="T4884" t="s">
        <v>42671</v>
      </c>
      <c r="U4884" t="s">
        <v>47224</v>
      </c>
      <c r="V4884" t="s">
        <v>54802</v>
      </c>
      <c r="W4884" t="s">
        <v>39318</v>
      </c>
      <c r="X4884" t="s">
        <v>41257</v>
      </c>
    </row>
    <row r="4885" spans="1:24">
      <c r="A4885">
        <f>HYPERLINK("https://www.philgeps.gov.ph/GEPSNONPILOT/Tender/SplashBidNoticeAbstractUI.aspx?menuIndex=3&amp;refID=7070563&amp;Result=3","7070563")</f>
        <v>0</v>
      </c>
      <c r="B4885" t="s">
        <v>1697</v>
      </c>
      <c r="C4885" t="s">
        <v>8063</v>
      </c>
      <c r="D4885" t="s">
        <v>16619</v>
      </c>
      <c r="E4885" t="s">
        <v>21083</v>
      </c>
      <c r="F4885" t="s">
        <v>28669</v>
      </c>
      <c r="G4885" t="s">
        <v>28682</v>
      </c>
      <c r="H4885" t="s">
        <v>28685</v>
      </c>
      <c r="I4885" t="s">
        <v>28685</v>
      </c>
      <c r="J4885" t="s">
        <v>31964</v>
      </c>
      <c r="K4885" t="s">
        <v>37209</v>
      </c>
      <c r="L4885" t="s">
        <v>1697</v>
      </c>
      <c r="M4885" t="s">
        <v>39297</v>
      </c>
      <c r="N4885" t="s">
        <v>41249</v>
      </c>
      <c r="O4885" t="s">
        <v>41250</v>
      </c>
      <c r="P4885">
        <v>0</v>
      </c>
      <c r="Q4885">
        <v>4</v>
      </c>
      <c r="R4885" t="s">
        <v>41254</v>
      </c>
      <c r="S4885" t="s">
        <v>41425</v>
      </c>
      <c r="T4885" t="s">
        <v>42888</v>
      </c>
      <c r="U4885" t="s">
        <v>47225</v>
      </c>
      <c r="W4885" t="s">
        <v>39297</v>
      </c>
      <c r="X4885" t="s">
        <v>41257</v>
      </c>
    </row>
    <row r="4886" spans="1:24">
      <c r="A4886">
        <f>HYPERLINK("https://www.philgeps.gov.ph/GEPSNONPILOT/Tender/SplashBidNoticeAbstractUI.aspx?menuIndex=3&amp;refID=7070595&amp;Result=3","7070595")</f>
        <v>0</v>
      </c>
      <c r="B4886" t="s">
        <v>1379</v>
      </c>
      <c r="C4886" t="s">
        <v>8064</v>
      </c>
      <c r="D4886" t="s">
        <v>16648</v>
      </c>
      <c r="E4886" t="s">
        <v>21084</v>
      </c>
      <c r="F4886" t="s">
        <v>28669</v>
      </c>
      <c r="G4886" t="s">
        <v>28678</v>
      </c>
      <c r="H4886" t="s">
        <v>9998</v>
      </c>
      <c r="I4886" t="s">
        <v>28699</v>
      </c>
      <c r="J4886" t="s">
        <v>28989</v>
      </c>
      <c r="K4886" t="s">
        <v>37204</v>
      </c>
      <c r="M4886" t="s">
        <v>38938</v>
      </c>
      <c r="N4886" t="s">
        <v>41249</v>
      </c>
      <c r="O4886" t="s">
        <v>41250</v>
      </c>
      <c r="P4886">
        <v>0</v>
      </c>
      <c r="Q4886">
        <v>0</v>
      </c>
      <c r="R4886" t="s">
        <v>41254</v>
      </c>
      <c r="S4886" t="s">
        <v>41425</v>
      </c>
      <c r="T4886" t="s">
        <v>42767</v>
      </c>
      <c r="U4886" t="s">
        <v>47226</v>
      </c>
      <c r="W4886" t="s">
        <v>38938</v>
      </c>
      <c r="X4886" t="s">
        <v>41257</v>
      </c>
    </row>
    <row r="4887" spans="1:24">
      <c r="A4887">
        <f>HYPERLINK("https://www.philgeps.gov.ph/GEPSNONPILOT/Tender/SplashBidNoticeAbstractUI.aspx?menuIndex=3&amp;refID=7070621&amp;Result=3","7070621")</f>
        <v>0</v>
      </c>
      <c r="B4887" t="s">
        <v>938</v>
      </c>
      <c r="C4887" t="s">
        <v>8065</v>
      </c>
      <c r="D4887" t="s">
        <v>16658</v>
      </c>
      <c r="E4887" t="s">
        <v>18700</v>
      </c>
      <c r="F4887" t="s">
        <v>28671</v>
      </c>
      <c r="G4887" t="s">
        <v>28675</v>
      </c>
      <c r="H4887" t="s">
        <v>28686</v>
      </c>
      <c r="I4887" t="s">
        <v>28689</v>
      </c>
      <c r="J4887" t="s">
        <v>30326</v>
      </c>
      <c r="K4887" t="s">
        <v>37282</v>
      </c>
      <c r="L4887" t="s">
        <v>938</v>
      </c>
      <c r="M4887" t="s">
        <v>38461</v>
      </c>
      <c r="N4887" t="s">
        <v>41249</v>
      </c>
      <c r="O4887" t="s">
        <v>41250</v>
      </c>
      <c r="P4887">
        <v>0</v>
      </c>
      <c r="Q4887">
        <v>0</v>
      </c>
      <c r="R4887" t="s">
        <v>41254</v>
      </c>
      <c r="S4887" t="s">
        <v>41425</v>
      </c>
      <c r="T4887" t="s">
        <v>42716</v>
      </c>
      <c r="U4887" t="s">
        <v>47227</v>
      </c>
      <c r="W4887" t="s">
        <v>38461</v>
      </c>
      <c r="X4887" t="s">
        <v>41257</v>
      </c>
    </row>
    <row r="4888" spans="1:24">
      <c r="A4888">
        <f>HYPERLINK("https://www.philgeps.gov.ph/GEPSNONPILOT/Tender/SplashBidNoticeAbstractUI.aspx?menuIndex=3&amp;refID=7070687&amp;Result=3","7070687")</f>
        <v>0</v>
      </c>
      <c r="B4888" t="s">
        <v>165</v>
      </c>
      <c r="C4888" t="s">
        <v>3636</v>
      </c>
      <c r="D4888" t="s">
        <v>16677</v>
      </c>
      <c r="E4888" t="s">
        <v>21085</v>
      </c>
      <c r="F4888" t="s">
        <v>28669</v>
      </c>
      <c r="G4888" t="s">
        <v>28676</v>
      </c>
      <c r="H4888" t="s">
        <v>9998</v>
      </c>
      <c r="I4888" t="s">
        <v>5213</v>
      </c>
      <c r="J4888" t="s">
        <v>29183</v>
      </c>
      <c r="K4888" t="s">
        <v>37205</v>
      </c>
      <c r="M4888" t="s">
        <v>37642</v>
      </c>
      <c r="N4888" t="s">
        <v>41249</v>
      </c>
      <c r="O4888" t="s">
        <v>41250</v>
      </c>
      <c r="P4888">
        <v>0</v>
      </c>
      <c r="Q4888">
        <v>0</v>
      </c>
      <c r="R4888" t="s">
        <v>41254</v>
      </c>
      <c r="S4888" t="s">
        <v>41425</v>
      </c>
      <c r="T4888" t="s">
        <v>42727</v>
      </c>
      <c r="U4888" t="s">
        <v>47228</v>
      </c>
      <c r="V4888" t="s">
        <v>54803</v>
      </c>
      <c r="W4888" t="s">
        <v>37642</v>
      </c>
      <c r="X4888" t="s">
        <v>41257</v>
      </c>
    </row>
    <row r="4889" spans="1:24">
      <c r="A4889">
        <f>HYPERLINK("https://www.philgeps.gov.ph/GEPSNONPILOT/Tender/SplashBidNoticeAbstractUI.aspx?menuIndex=3&amp;refID=7070692&amp;Result=3","7070692")</f>
        <v>0</v>
      </c>
      <c r="B4889" t="s">
        <v>743</v>
      </c>
      <c r="C4889" t="s">
        <v>8066</v>
      </c>
      <c r="D4889" t="s">
        <v>16629</v>
      </c>
      <c r="E4889" t="s">
        <v>21086</v>
      </c>
      <c r="F4889" t="s">
        <v>28669</v>
      </c>
      <c r="G4889" t="s">
        <v>28675</v>
      </c>
      <c r="H4889" t="s">
        <v>28686</v>
      </c>
      <c r="I4889" t="s">
        <v>28689</v>
      </c>
      <c r="J4889" t="s">
        <v>31965</v>
      </c>
      <c r="K4889" t="s">
        <v>37239</v>
      </c>
      <c r="M4889" t="s">
        <v>39318</v>
      </c>
      <c r="N4889" t="s">
        <v>41249</v>
      </c>
      <c r="O4889" t="s">
        <v>41250</v>
      </c>
      <c r="P4889">
        <v>0</v>
      </c>
      <c r="Q4889">
        <v>0</v>
      </c>
      <c r="R4889" t="s">
        <v>41254</v>
      </c>
      <c r="S4889" t="s">
        <v>41425</v>
      </c>
      <c r="T4889" t="s">
        <v>42671</v>
      </c>
      <c r="U4889" t="s">
        <v>47229</v>
      </c>
      <c r="V4889" t="s">
        <v>54804</v>
      </c>
      <c r="W4889" t="s">
        <v>39318</v>
      </c>
      <c r="X4889" t="s">
        <v>41257</v>
      </c>
    </row>
    <row r="4890" spans="1:24">
      <c r="A4890">
        <f>HYPERLINK("https://www.philgeps.gov.ph/GEPSNONPILOT/Tender/SplashBidNoticeAbstractUI.aspx?menuIndex=3&amp;refID=7070691&amp;Result=3","7070691")</f>
        <v>0</v>
      </c>
      <c r="B4890" t="s">
        <v>136</v>
      </c>
      <c r="C4890" t="s">
        <v>8067</v>
      </c>
      <c r="E4890" t="s">
        <v>21087</v>
      </c>
      <c r="F4890" t="s">
        <v>28669</v>
      </c>
      <c r="G4890" t="s">
        <v>28675</v>
      </c>
      <c r="H4890" t="s">
        <v>9998</v>
      </c>
      <c r="I4890" t="s">
        <v>7352</v>
      </c>
      <c r="J4890" t="s">
        <v>31966</v>
      </c>
      <c r="K4890" t="s">
        <v>37206</v>
      </c>
      <c r="M4890" t="s">
        <v>37613</v>
      </c>
      <c r="N4890" t="s">
        <v>41249</v>
      </c>
      <c r="O4890" t="s">
        <v>41250</v>
      </c>
      <c r="P4890">
        <v>0</v>
      </c>
      <c r="Q4890">
        <v>2</v>
      </c>
      <c r="R4890" t="s">
        <v>41254</v>
      </c>
      <c r="S4890" t="s">
        <v>41425</v>
      </c>
      <c r="T4890" t="s">
        <v>42735</v>
      </c>
      <c r="U4890" t="s">
        <v>47230</v>
      </c>
      <c r="W4890" t="s">
        <v>38557</v>
      </c>
      <c r="X4890" t="s">
        <v>41257</v>
      </c>
    </row>
    <row r="4891" spans="1:24">
      <c r="A4891">
        <f>HYPERLINK("https://www.philgeps.gov.ph/GEPSNONPILOT/Tender/SplashBidNoticeAbstractUI.aspx?menuIndex=3&amp;refID=7070688&amp;Result=3","7070688")</f>
        <v>0</v>
      </c>
      <c r="B4891" t="s">
        <v>1727</v>
      </c>
      <c r="C4891" t="s">
        <v>8068</v>
      </c>
      <c r="D4891" t="s">
        <v>16621</v>
      </c>
      <c r="E4891" t="s">
        <v>21088</v>
      </c>
      <c r="F4891" t="s">
        <v>28669</v>
      </c>
      <c r="G4891" t="s">
        <v>28675</v>
      </c>
      <c r="H4891" t="s">
        <v>9998</v>
      </c>
      <c r="I4891" t="s">
        <v>11593</v>
      </c>
      <c r="J4891" t="s">
        <v>31967</v>
      </c>
      <c r="K4891" t="s">
        <v>37206</v>
      </c>
      <c r="M4891" t="s">
        <v>39326</v>
      </c>
      <c r="N4891" t="s">
        <v>41249</v>
      </c>
      <c r="O4891" t="s">
        <v>41250</v>
      </c>
      <c r="P4891">
        <v>0</v>
      </c>
      <c r="Q4891">
        <v>6</v>
      </c>
      <c r="R4891" t="s">
        <v>41254</v>
      </c>
      <c r="S4891" t="s">
        <v>41425</v>
      </c>
      <c r="T4891" t="s">
        <v>42983</v>
      </c>
      <c r="U4891" t="s">
        <v>47231</v>
      </c>
      <c r="W4891" t="s">
        <v>39326</v>
      </c>
      <c r="X4891" t="s">
        <v>41257</v>
      </c>
    </row>
    <row r="4892" spans="1:24">
      <c r="A4892">
        <f>HYPERLINK("https://www.philgeps.gov.ph/GEPSNONPILOT/Tender/SplashBidNoticeAbstractUI.aspx?menuIndex=3&amp;refID=7070574&amp;Result=3","7070574")</f>
        <v>0</v>
      </c>
      <c r="B4892" t="s">
        <v>603</v>
      </c>
      <c r="C4892" t="s">
        <v>8069</v>
      </c>
      <c r="D4892" t="s">
        <v>16615</v>
      </c>
      <c r="E4892" t="s">
        <v>21089</v>
      </c>
      <c r="F4892" t="s">
        <v>28669</v>
      </c>
      <c r="G4892" t="s">
        <v>28676</v>
      </c>
      <c r="H4892" t="s">
        <v>9998</v>
      </c>
      <c r="I4892" t="s">
        <v>7352</v>
      </c>
      <c r="J4892" t="s">
        <v>31968</v>
      </c>
      <c r="K4892" t="s">
        <v>37205</v>
      </c>
      <c r="M4892" t="s">
        <v>38103</v>
      </c>
      <c r="N4892" t="s">
        <v>41249</v>
      </c>
      <c r="O4892" t="s">
        <v>41250</v>
      </c>
      <c r="P4892">
        <v>0</v>
      </c>
      <c r="Q4892">
        <v>1</v>
      </c>
      <c r="R4892" t="s">
        <v>41254</v>
      </c>
      <c r="S4892" t="s">
        <v>41425</v>
      </c>
      <c r="T4892" t="s">
        <v>42771</v>
      </c>
      <c r="U4892" t="s">
        <v>47232</v>
      </c>
      <c r="W4892" t="s">
        <v>38103</v>
      </c>
      <c r="X4892" t="s">
        <v>41257</v>
      </c>
    </row>
    <row r="4893" spans="1:24">
      <c r="A4893">
        <f>HYPERLINK("https://www.philgeps.gov.ph/GEPSNONPILOT/Tender/SplashBidNoticeAbstractUI.aspx?menuIndex=3&amp;refID=7070682&amp;Result=3","7070682")</f>
        <v>0</v>
      </c>
      <c r="B4893" t="s">
        <v>1687</v>
      </c>
      <c r="C4893" t="s">
        <v>8070</v>
      </c>
      <c r="D4893" t="s">
        <v>16627</v>
      </c>
      <c r="E4893" t="s">
        <v>21090</v>
      </c>
      <c r="F4893" t="s">
        <v>28669</v>
      </c>
      <c r="G4893" t="s">
        <v>28675</v>
      </c>
      <c r="H4893" t="s">
        <v>9998</v>
      </c>
      <c r="I4893" t="s">
        <v>28717</v>
      </c>
      <c r="J4893" t="s">
        <v>31969</v>
      </c>
      <c r="K4893" t="s">
        <v>37220</v>
      </c>
      <c r="M4893" t="s">
        <v>39282</v>
      </c>
      <c r="N4893" t="s">
        <v>41249</v>
      </c>
      <c r="O4893" t="s">
        <v>41250</v>
      </c>
      <c r="P4893">
        <v>0</v>
      </c>
      <c r="Q4893">
        <v>3</v>
      </c>
      <c r="R4893" t="s">
        <v>41254</v>
      </c>
      <c r="S4893" t="s">
        <v>41425</v>
      </c>
      <c r="T4893" t="s">
        <v>42717</v>
      </c>
      <c r="U4893" t="s">
        <v>47233</v>
      </c>
      <c r="W4893" t="s">
        <v>39282</v>
      </c>
      <c r="X4893" t="s">
        <v>41257</v>
      </c>
    </row>
    <row r="4894" spans="1:24">
      <c r="A4894">
        <f>HYPERLINK("https://www.philgeps.gov.ph/GEPSNONPILOT/Tender/SplashBidNoticeAbstractUI.aspx?menuIndex=3&amp;refID=7070672&amp;Result=3","7070672")</f>
        <v>0</v>
      </c>
      <c r="B4894" t="s">
        <v>743</v>
      </c>
      <c r="C4894" t="s">
        <v>8071</v>
      </c>
      <c r="D4894" t="s">
        <v>16629</v>
      </c>
      <c r="E4894" t="s">
        <v>21091</v>
      </c>
      <c r="F4894" t="s">
        <v>28669</v>
      </c>
      <c r="G4894" t="s">
        <v>28675</v>
      </c>
      <c r="H4894" t="s">
        <v>28686</v>
      </c>
      <c r="I4894" t="s">
        <v>28689</v>
      </c>
      <c r="J4894" t="s">
        <v>31970</v>
      </c>
      <c r="K4894" t="s">
        <v>37332</v>
      </c>
      <c r="M4894" t="s">
        <v>39318</v>
      </c>
      <c r="N4894" t="s">
        <v>41249</v>
      </c>
      <c r="O4894" t="s">
        <v>41250</v>
      </c>
      <c r="P4894">
        <v>0</v>
      </c>
      <c r="Q4894">
        <v>0</v>
      </c>
      <c r="R4894" t="s">
        <v>41254</v>
      </c>
      <c r="S4894" t="s">
        <v>41425</v>
      </c>
      <c r="T4894" t="s">
        <v>42671</v>
      </c>
      <c r="U4894" t="s">
        <v>47234</v>
      </c>
      <c r="V4894" t="s">
        <v>54805</v>
      </c>
      <c r="W4894" t="s">
        <v>39318</v>
      </c>
      <c r="X4894" t="s">
        <v>41257</v>
      </c>
    </row>
    <row r="4895" spans="1:24">
      <c r="A4895">
        <f>HYPERLINK("https://www.philgeps.gov.ph/GEPSNONPILOT/Tender/SplashBidNoticeAbstractUI.aspx?menuIndex=3&amp;refID=7070605&amp;Result=3","7070605")</f>
        <v>0</v>
      </c>
      <c r="B4895" t="s">
        <v>156</v>
      </c>
      <c r="C4895" t="s">
        <v>8072</v>
      </c>
      <c r="D4895" t="s">
        <v>16663</v>
      </c>
      <c r="E4895" t="s">
        <v>21092</v>
      </c>
      <c r="F4895" t="s">
        <v>28669</v>
      </c>
      <c r="G4895" t="s">
        <v>28676</v>
      </c>
      <c r="H4895" t="s">
        <v>9998</v>
      </c>
      <c r="I4895" t="s">
        <v>28751</v>
      </c>
      <c r="J4895" t="s">
        <v>31971</v>
      </c>
      <c r="K4895" t="s">
        <v>37209</v>
      </c>
      <c r="M4895" t="s">
        <v>37633</v>
      </c>
      <c r="N4895" t="s">
        <v>41249</v>
      </c>
      <c r="O4895" t="s">
        <v>41250</v>
      </c>
      <c r="P4895">
        <v>0</v>
      </c>
      <c r="Q4895">
        <v>0</v>
      </c>
      <c r="R4895" t="s">
        <v>41254</v>
      </c>
      <c r="S4895" t="s">
        <v>41425</v>
      </c>
      <c r="T4895" t="s">
        <v>42728</v>
      </c>
      <c r="U4895" t="s">
        <v>47235</v>
      </c>
      <c r="V4895" t="s">
        <v>54289</v>
      </c>
      <c r="W4895" t="s">
        <v>37633</v>
      </c>
      <c r="X4895" t="s">
        <v>41257</v>
      </c>
    </row>
    <row r="4896" spans="1:24">
      <c r="A4896">
        <f>HYPERLINK("https://www.philgeps.gov.ph/GEPSNONPILOT/Tender/SplashBidNoticeAbstractUI.aspx?menuIndex=3&amp;refID=7070670&amp;Result=3","7070670")</f>
        <v>0</v>
      </c>
      <c r="B4896" t="s">
        <v>1723</v>
      </c>
      <c r="C4896" t="s">
        <v>8073</v>
      </c>
      <c r="D4896" t="s">
        <v>16611</v>
      </c>
      <c r="E4896" t="s">
        <v>17407</v>
      </c>
      <c r="F4896" t="s">
        <v>28669</v>
      </c>
      <c r="G4896" t="s">
        <v>28676</v>
      </c>
      <c r="H4896" t="s">
        <v>9998</v>
      </c>
      <c r="I4896" t="s">
        <v>28740</v>
      </c>
      <c r="J4896" t="s">
        <v>29790</v>
      </c>
      <c r="K4896" t="s">
        <v>37204</v>
      </c>
      <c r="M4896" t="s">
        <v>39322</v>
      </c>
      <c r="N4896" t="s">
        <v>41249</v>
      </c>
      <c r="O4896" t="s">
        <v>41250</v>
      </c>
      <c r="P4896">
        <v>0</v>
      </c>
      <c r="Q4896">
        <v>1</v>
      </c>
      <c r="R4896" t="s">
        <v>41254</v>
      </c>
      <c r="S4896" t="s">
        <v>41425</v>
      </c>
      <c r="T4896" t="s">
        <v>42682</v>
      </c>
      <c r="U4896" t="s">
        <v>47236</v>
      </c>
      <c r="W4896" t="s">
        <v>39322</v>
      </c>
      <c r="X4896" t="s">
        <v>41257</v>
      </c>
    </row>
    <row r="4897" spans="1:24">
      <c r="A4897">
        <f>HYPERLINK("https://www.philgeps.gov.ph/GEPSNONPILOT/Tender/SplashBidNoticeAbstractUI.aspx?menuIndex=3&amp;refID=7070665&amp;Result=3","7070665")</f>
        <v>0</v>
      </c>
      <c r="B4897" t="s">
        <v>603</v>
      </c>
      <c r="C4897" t="s">
        <v>3485</v>
      </c>
      <c r="D4897" t="s">
        <v>16615</v>
      </c>
      <c r="E4897" t="s">
        <v>21093</v>
      </c>
      <c r="F4897" t="s">
        <v>28669</v>
      </c>
      <c r="G4897" t="s">
        <v>28677</v>
      </c>
      <c r="H4897" t="s">
        <v>9998</v>
      </c>
      <c r="I4897" t="s">
        <v>28688</v>
      </c>
      <c r="J4897" t="s">
        <v>31972</v>
      </c>
      <c r="K4897" t="s">
        <v>37205</v>
      </c>
      <c r="M4897" t="s">
        <v>38103</v>
      </c>
      <c r="N4897" t="s">
        <v>41249</v>
      </c>
      <c r="O4897" t="s">
        <v>41250</v>
      </c>
      <c r="P4897">
        <v>0</v>
      </c>
      <c r="Q4897">
        <v>13</v>
      </c>
      <c r="R4897" t="s">
        <v>41254</v>
      </c>
      <c r="S4897" t="s">
        <v>41425</v>
      </c>
      <c r="T4897" t="s">
        <v>42771</v>
      </c>
      <c r="U4897" t="s">
        <v>47237</v>
      </c>
      <c r="W4897" t="s">
        <v>38103</v>
      </c>
      <c r="X4897" t="s">
        <v>41257</v>
      </c>
    </row>
    <row r="4898" spans="1:24">
      <c r="A4898">
        <f>HYPERLINK("https://www.philgeps.gov.ph/GEPSNONPILOT/Tender/SplashBidNoticeAbstractUI.aspx?menuIndex=3&amp;refID=7070637&amp;Result=3","7070637")</f>
        <v>0</v>
      </c>
      <c r="B4898" t="s">
        <v>1687</v>
      </c>
      <c r="C4898" t="s">
        <v>8074</v>
      </c>
      <c r="D4898" t="s">
        <v>16627</v>
      </c>
      <c r="E4898" t="s">
        <v>21094</v>
      </c>
      <c r="F4898" t="s">
        <v>28669</v>
      </c>
      <c r="G4898" t="s">
        <v>28675</v>
      </c>
      <c r="H4898" t="s">
        <v>9998</v>
      </c>
      <c r="I4898" t="s">
        <v>7352</v>
      </c>
      <c r="J4898" t="s">
        <v>31973</v>
      </c>
      <c r="K4898" t="s">
        <v>37220</v>
      </c>
      <c r="M4898" t="s">
        <v>39282</v>
      </c>
      <c r="N4898" t="s">
        <v>41249</v>
      </c>
      <c r="O4898" t="s">
        <v>41250</v>
      </c>
      <c r="P4898">
        <v>0</v>
      </c>
      <c r="Q4898">
        <v>1</v>
      </c>
      <c r="R4898" t="s">
        <v>41254</v>
      </c>
      <c r="S4898" t="s">
        <v>41425</v>
      </c>
      <c r="T4898" t="s">
        <v>42717</v>
      </c>
      <c r="U4898" t="s">
        <v>47197</v>
      </c>
      <c r="W4898" t="s">
        <v>39282</v>
      </c>
      <c r="X4898" t="s">
        <v>41257</v>
      </c>
    </row>
    <row r="4899" spans="1:24">
      <c r="A4899">
        <f>HYPERLINK("https://www.philgeps.gov.ph/GEPSNONPILOT/Tender/SplashBidNoticeAbstractUI.aspx?menuIndex=3&amp;refID=7070634&amp;Result=3","7070634")</f>
        <v>0</v>
      </c>
      <c r="B4899" t="s">
        <v>1728</v>
      </c>
      <c r="C4899" t="s">
        <v>8075</v>
      </c>
      <c r="D4899" t="s">
        <v>16608</v>
      </c>
      <c r="E4899" t="s">
        <v>21095</v>
      </c>
      <c r="F4899" t="s">
        <v>28669</v>
      </c>
      <c r="G4899" t="s">
        <v>28676</v>
      </c>
      <c r="H4899" t="s">
        <v>9998</v>
      </c>
      <c r="I4899" t="s">
        <v>6128</v>
      </c>
      <c r="J4899" t="s">
        <v>28845</v>
      </c>
      <c r="K4899" t="s">
        <v>37204</v>
      </c>
      <c r="M4899" t="s">
        <v>39327</v>
      </c>
      <c r="N4899" t="s">
        <v>41249</v>
      </c>
      <c r="O4899" t="s">
        <v>41250</v>
      </c>
      <c r="P4899">
        <v>0</v>
      </c>
      <c r="Q4899">
        <v>1</v>
      </c>
      <c r="R4899" t="s">
        <v>41254</v>
      </c>
      <c r="S4899" t="s">
        <v>41425</v>
      </c>
      <c r="T4899" t="s">
        <v>42736</v>
      </c>
      <c r="U4899" t="s">
        <v>47238</v>
      </c>
      <c r="V4899" t="s">
        <v>54806</v>
      </c>
      <c r="W4899" t="s">
        <v>39327</v>
      </c>
      <c r="X4899" t="s">
        <v>41257</v>
      </c>
    </row>
    <row r="4900" spans="1:24">
      <c r="A4900">
        <f>HYPERLINK("https://www.philgeps.gov.ph/GEPSNONPILOT/Tender/SplashBidNoticeAbstractUI.aspx?menuIndex=3&amp;refID=7070596&amp;Result=3","7070596")</f>
        <v>0</v>
      </c>
      <c r="B4900" t="s">
        <v>136</v>
      </c>
      <c r="C4900" t="s">
        <v>8076</v>
      </c>
      <c r="E4900" t="s">
        <v>21096</v>
      </c>
      <c r="F4900" t="s">
        <v>28669</v>
      </c>
      <c r="G4900" t="s">
        <v>28675</v>
      </c>
      <c r="H4900" t="s">
        <v>9998</v>
      </c>
      <c r="I4900" t="s">
        <v>28710</v>
      </c>
      <c r="J4900" t="s">
        <v>29655</v>
      </c>
      <c r="K4900" t="s">
        <v>37221</v>
      </c>
      <c r="M4900" t="s">
        <v>37613</v>
      </c>
      <c r="N4900" t="s">
        <v>41249</v>
      </c>
      <c r="O4900" t="s">
        <v>41250</v>
      </c>
      <c r="P4900">
        <v>0</v>
      </c>
      <c r="Q4900">
        <v>0</v>
      </c>
      <c r="R4900" t="s">
        <v>41254</v>
      </c>
      <c r="S4900" t="s">
        <v>41425</v>
      </c>
      <c r="T4900" t="s">
        <v>42735</v>
      </c>
      <c r="U4900" t="s">
        <v>47239</v>
      </c>
      <c r="W4900" t="s">
        <v>38557</v>
      </c>
      <c r="X4900" t="s">
        <v>41257</v>
      </c>
    </row>
    <row r="4901" spans="1:24">
      <c r="A4901">
        <f>HYPERLINK("https://www.philgeps.gov.ph/GEPSNONPILOT/Tender/SplashBidNoticeAbstractUI.aspx?menuIndex=3&amp;refID=7070678&amp;Result=3","7070678")</f>
        <v>0</v>
      </c>
      <c r="B4901" t="s">
        <v>1726</v>
      </c>
      <c r="C4901" t="s">
        <v>8077</v>
      </c>
      <c r="D4901" t="s">
        <v>16684</v>
      </c>
      <c r="E4901" t="s">
        <v>20125</v>
      </c>
      <c r="F4901" t="s">
        <v>28669</v>
      </c>
      <c r="G4901" t="s">
        <v>28676</v>
      </c>
      <c r="H4901" t="s">
        <v>9998</v>
      </c>
      <c r="I4901" t="s">
        <v>7352</v>
      </c>
      <c r="J4901" t="s">
        <v>31974</v>
      </c>
      <c r="K4901" t="s">
        <v>37208</v>
      </c>
      <c r="M4901" t="s">
        <v>39325</v>
      </c>
      <c r="N4901" t="s">
        <v>41249</v>
      </c>
      <c r="O4901" t="s">
        <v>41250</v>
      </c>
      <c r="P4901">
        <v>0</v>
      </c>
      <c r="Q4901">
        <v>0</v>
      </c>
      <c r="R4901" t="s">
        <v>41254</v>
      </c>
      <c r="S4901" t="s">
        <v>41425</v>
      </c>
      <c r="T4901" t="s">
        <v>42727</v>
      </c>
      <c r="U4901" t="s">
        <v>47240</v>
      </c>
      <c r="W4901" t="s">
        <v>39325</v>
      </c>
      <c r="X4901" t="s">
        <v>41257</v>
      </c>
    </row>
    <row r="4902" spans="1:24">
      <c r="A4902">
        <f>HYPERLINK("https://www.philgeps.gov.ph/GEPSNONPILOT/Tender/SplashBidNoticeAbstractUI.aspx?menuIndex=3&amp;refID=7070590&amp;Result=3","7070590")</f>
        <v>0</v>
      </c>
      <c r="B4902" t="s">
        <v>217</v>
      </c>
      <c r="C4902" t="s">
        <v>8078</v>
      </c>
      <c r="D4902" t="s">
        <v>16618</v>
      </c>
      <c r="E4902" t="s">
        <v>21097</v>
      </c>
      <c r="F4902" t="s">
        <v>28669</v>
      </c>
      <c r="G4902" t="s">
        <v>28676</v>
      </c>
      <c r="H4902" t="s">
        <v>9998</v>
      </c>
      <c r="I4902" t="s">
        <v>28766</v>
      </c>
      <c r="J4902" t="s">
        <v>28879</v>
      </c>
      <c r="K4902" t="s">
        <v>37206</v>
      </c>
      <c r="M4902" t="s">
        <v>37695</v>
      </c>
      <c r="N4902" t="s">
        <v>41249</v>
      </c>
      <c r="O4902" t="s">
        <v>41250</v>
      </c>
      <c r="P4902">
        <v>0</v>
      </c>
      <c r="Q4902">
        <v>2</v>
      </c>
      <c r="R4902" t="s">
        <v>41254</v>
      </c>
      <c r="S4902" t="s">
        <v>41425</v>
      </c>
      <c r="T4902" t="s">
        <v>42675</v>
      </c>
      <c r="U4902" t="s">
        <v>47241</v>
      </c>
      <c r="W4902" t="s">
        <v>37695</v>
      </c>
      <c r="X4902" t="s">
        <v>41257</v>
      </c>
    </row>
    <row r="4903" spans="1:24">
      <c r="A4903">
        <f>HYPERLINK("https://www.philgeps.gov.ph/GEPSNONPILOT/Tender/SplashBidNoticeAbstractUI.aspx?menuIndex=3&amp;refID=7070629&amp;Result=3","7070629")</f>
        <v>0</v>
      </c>
      <c r="B4903" t="s">
        <v>743</v>
      </c>
      <c r="C4903" t="s">
        <v>8079</v>
      </c>
      <c r="D4903" t="s">
        <v>16629</v>
      </c>
      <c r="E4903" t="s">
        <v>21098</v>
      </c>
      <c r="F4903" t="s">
        <v>28669</v>
      </c>
      <c r="G4903" t="s">
        <v>28675</v>
      </c>
      <c r="H4903" t="s">
        <v>28686</v>
      </c>
      <c r="I4903" t="s">
        <v>28689</v>
      </c>
      <c r="J4903" t="s">
        <v>31975</v>
      </c>
      <c r="K4903" t="s">
        <v>37289</v>
      </c>
      <c r="M4903" t="s">
        <v>39318</v>
      </c>
      <c r="N4903" t="s">
        <v>41249</v>
      </c>
      <c r="O4903" t="s">
        <v>41250</v>
      </c>
      <c r="P4903">
        <v>0</v>
      </c>
      <c r="Q4903">
        <v>0</v>
      </c>
      <c r="R4903" t="s">
        <v>41254</v>
      </c>
      <c r="S4903" t="s">
        <v>41425</v>
      </c>
      <c r="T4903" t="s">
        <v>42671</v>
      </c>
      <c r="U4903" t="s">
        <v>47242</v>
      </c>
      <c r="V4903" t="s">
        <v>54807</v>
      </c>
      <c r="W4903" t="s">
        <v>39318</v>
      </c>
      <c r="X4903" t="s">
        <v>41257</v>
      </c>
    </row>
    <row r="4904" spans="1:24">
      <c r="A4904">
        <f>HYPERLINK("https://www.philgeps.gov.ph/GEPSNONPILOT/Tender/SplashBidNoticeAbstractUI.aspx?menuIndex=3&amp;refID=7070624&amp;Result=3","7070624")</f>
        <v>0</v>
      </c>
      <c r="B4904" t="s">
        <v>603</v>
      </c>
      <c r="C4904" t="s">
        <v>8080</v>
      </c>
      <c r="D4904" t="s">
        <v>16615</v>
      </c>
      <c r="E4904" t="s">
        <v>21099</v>
      </c>
      <c r="F4904" t="s">
        <v>28669</v>
      </c>
      <c r="G4904" t="s">
        <v>28676</v>
      </c>
      <c r="H4904" t="s">
        <v>9998</v>
      </c>
      <c r="I4904" t="s">
        <v>7352</v>
      </c>
      <c r="J4904" t="s">
        <v>31976</v>
      </c>
      <c r="K4904" t="s">
        <v>37205</v>
      </c>
      <c r="M4904" t="s">
        <v>38103</v>
      </c>
      <c r="N4904" t="s">
        <v>41249</v>
      </c>
      <c r="O4904" t="s">
        <v>41250</v>
      </c>
      <c r="P4904">
        <v>0</v>
      </c>
      <c r="Q4904">
        <v>1</v>
      </c>
      <c r="R4904" t="s">
        <v>41254</v>
      </c>
      <c r="S4904" t="s">
        <v>41425</v>
      </c>
      <c r="T4904" t="s">
        <v>42771</v>
      </c>
      <c r="U4904" t="s">
        <v>47243</v>
      </c>
      <c r="W4904" t="s">
        <v>38103</v>
      </c>
      <c r="X4904" t="s">
        <v>41257</v>
      </c>
    </row>
    <row r="4905" spans="1:24">
      <c r="A4905">
        <f>HYPERLINK("https://www.philgeps.gov.ph/GEPSNONPILOT/Tender/SplashBidNoticeAbstractUI.aspx?menuIndex=3&amp;refID=7070763&amp;Result=3","7070763")</f>
        <v>0</v>
      </c>
      <c r="B4905" t="s">
        <v>1729</v>
      </c>
      <c r="C4905" t="s">
        <v>8081</v>
      </c>
      <c r="D4905" t="s">
        <v>16608</v>
      </c>
      <c r="E4905" t="s">
        <v>21100</v>
      </c>
      <c r="F4905" t="s">
        <v>28669</v>
      </c>
      <c r="G4905" t="s">
        <v>28676</v>
      </c>
      <c r="H4905" t="s">
        <v>9998</v>
      </c>
      <c r="I4905" t="s">
        <v>28758</v>
      </c>
      <c r="J4905" t="s">
        <v>31977</v>
      </c>
      <c r="K4905" t="s">
        <v>37205</v>
      </c>
      <c r="M4905" t="s">
        <v>39328</v>
      </c>
      <c r="N4905" t="s">
        <v>41249</v>
      </c>
      <c r="O4905" t="s">
        <v>41250</v>
      </c>
      <c r="P4905">
        <v>0</v>
      </c>
      <c r="Q4905">
        <v>2</v>
      </c>
      <c r="R4905" t="s">
        <v>41254</v>
      </c>
      <c r="S4905" t="s">
        <v>41425</v>
      </c>
      <c r="T4905" t="s">
        <v>42951</v>
      </c>
      <c r="U4905" t="s">
        <v>47244</v>
      </c>
      <c r="W4905" t="s">
        <v>39328</v>
      </c>
      <c r="X4905" t="s">
        <v>41257</v>
      </c>
    </row>
    <row r="4906" spans="1:24">
      <c r="A4906">
        <f>HYPERLINK("https://www.philgeps.gov.ph/GEPSNONPILOT/Tender/SplashBidNoticeAbstractUI.aspx?menuIndex=3&amp;refID=7070690&amp;Result=3","7070690")</f>
        <v>0</v>
      </c>
      <c r="B4906" t="s">
        <v>1723</v>
      </c>
      <c r="C4906" t="s">
        <v>8082</v>
      </c>
      <c r="D4906" t="s">
        <v>16611</v>
      </c>
      <c r="E4906" t="s">
        <v>21101</v>
      </c>
      <c r="F4906" t="s">
        <v>28669</v>
      </c>
      <c r="G4906" t="s">
        <v>28676</v>
      </c>
      <c r="H4906" t="s">
        <v>9998</v>
      </c>
      <c r="I4906" t="s">
        <v>28740</v>
      </c>
      <c r="J4906" t="s">
        <v>29110</v>
      </c>
      <c r="K4906" t="s">
        <v>37204</v>
      </c>
      <c r="M4906" t="s">
        <v>39322</v>
      </c>
      <c r="N4906" t="s">
        <v>41249</v>
      </c>
      <c r="O4906" t="s">
        <v>41250</v>
      </c>
      <c r="P4906">
        <v>0</v>
      </c>
      <c r="Q4906">
        <v>1</v>
      </c>
      <c r="R4906" t="s">
        <v>41254</v>
      </c>
      <c r="S4906" t="s">
        <v>41425</v>
      </c>
      <c r="T4906" t="s">
        <v>42670</v>
      </c>
      <c r="U4906" t="s">
        <v>47245</v>
      </c>
      <c r="W4906" t="s">
        <v>39322</v>
      </c>
      <c r="X4906" t="s">
        <v>41257</v>
      </c>
    </row>
    <row r="4907" spans="1:24">
      <c r="A4907">
        <f>HYPERLINK("https://www.philgeps.gov.ph/GEPSNONPILOT/Tender/SplashBidNoticeAbstractUI.aspx?menuIndex=3&amp;refID=7070758&amp;Result=3","7070758")</f>
        <v>0</v>
      </c>
      <c r="B4907" t="s">
        <v>1687</v>
      </c>
      <c r="C4907" t="s">
        <v>8083</v>
      </c>
      <c r="D4907" t="s">
        <v>16627</v>
      </c>
      <c r="E4907" t="s">
        <v>21102</v>
      </c>
      <c r="F4907" t="s">
        <v>28669</v>
      </c>
      <c r="G4907" t="s">
        <v>28675</v>
      </c>
      <c r="H4907" t="s">
        <v>9998</v>
      </c>
      <c r="I4907" t="s">
        <v>11593</v>
      </c>
      <c r="J4907" t="s">
        <v>29040</v>
      </c>
      <c r="K4907" t="s">
        <v>37220</v>
      </c>
      <c r="M4907" t="s">
        <v>39282</v>
      </c>
      <c r="N4907" t="s">
        <v>41249</v>
      </c>
      <c r="O4907" t="s">
        <v>41250</v>
      </c>
      <c r="P4907">
        <v>0</v>
      </c>
      <c r="Q4907">
        <v>2</v>
      </c>
      <c r="R4907" t="s">
        <v>41254</v>
      </c>
      <c r="S4907" t="s">
        <v>41425</v>
      </c>
      <c r="T4907" t="s">
        <v>42717</v>
      </c>
      <c r="U4907" t="s">
        <v>47246</v>
      </c>
      <c r="W4907" t="s">
        <v>39282</v>
      </c>
      <c r="X4907" t="s">
        <v>41257</v>
      </c>
    </row>
    <row r="4908" spans="1:24">
      <c r="A4908">
        <f>HYPERLINK("https://www.philgeps.gov.ph/GEPSNONPILOT/Tender/SplashBidNoticeAbstractUI.aspx?menuIndex=3&amp;refID=7070632&amp;Result=3","7070632")</f>
        <v>0</v>
      </c>
      <c r="B4908" t="s">
        <v>217</v>
      </c>
      <c r="C4908" t="s">
        <v>8084</v>
      </c>
      <c r="D4908" t="s">
        <v>16618</v>
      </c>
      <c r="E4908" t="s">
        <v>21103</v>
      </c>
      <c r="F4908" t="s">
        <v>28669</v>
      </c>
      <c r="G4908" t="s">
        <v>28676</v>
      </c>
      <c r="H4908" t="s">
        <v>9998</v>
      </c>
      <c r="I4908" t="s">
        <v>28739</v>
      </c>
      <c r="J4908" t="s">
        <v>29203</v>
      </c>
      <c r="K4908" t="s">
        <v>37206</v>
      </c>
      <c r="M4908" t="s">
        <v>37695</v>
      </c>
      <c r="N4908" t="s">
        <v>41249</v>
      </c>
      <c r="O4908" t="s">
        <v>41250</v>
      </c>
      <c r="P4908">
        <v>0</v>
      </c>
      <c r="Q4908">
        <v>9</v>
      </c>
      <c r="R4908" t="s">
        <v>41254</v>
      </c>
      <c r="S4908" t="s">
        <v>41425</v>
      </c>
      <c r="T4908" t="s">
        <v>42675</v>
      </c>
      <c r="U4908" t="s">
        <v>47247</v>
      </c>
      <c r="W4908" t="s">
        <v>37695</v>
      </c>
      <c r="X4908" t="s">
        <v>41257</v>
      </c>
    </row>
    <row r="4909" spans="1:24">
      <c r="A4909">
        <f>HYPERLINK("https://www.philgeps.gov.ph/GEPSNONPILOT/Tender/SplashBidNoticeAbstractUI.aspx?menuIndex=3&amp;refID=7070630&amp;Result=3","7070630")</f>
        <v>0</v>
      </c>
      <c r="B4909" t="s">
        <v>1723</v>
      </c>
      <c r="C4909" t="s">
        <v>8085</v>
      </c>
      <c r="D4909" t="s">
        <v>16611</v>
      </c>
      <c r="E4909" t="s">
        <v>8085</v>
      </c>
      <c r="F4909" t="s">
        <v>28669</v>
      </c>
      <c r="G4909" t="s">
        <v>28676</v>
      </c>
      <c r="H4909" t="s">
        <v>9998</v>
      </c>
      <c r="I4909" t="s">
        <v>28690</v>
      </c>
      <c r="J4909" t="s">
        <v>28894</v>
      </c>
      <c r="K4909" t="s">
        <v>37204</v>
      </c>
      <c r="M4909" t="s">
        <v>39322</v>
      </c>
      <c r="N4909" t="s">
        <v>41249</v>
      </c>
      <c r="O4909" t="s">
        <v>41250</v>
      </c>
      <c r="P4909">
        <v>0</v>
      </c>
      <c r="Q4909">
        <v>0</v>
      </c>
      <c r="R4909" t="s">
        <v>41254</v>
      </c>
      <c r="S4909" t="s">
        <v>41425</v>
      </c>
      <c r="T4909" t="s">
        <v>42682</v>
      </c>
      <c r="U4909" t="s">
        <v>47248</v>
      </c>
      <c r="W4909" t="s">
        <v>39322</v>
      </c>
      <c r="X4909" t="s">
        <v>41257</v>
      </c>
    </row>
    <row r="4910" spans="1:24">
      <c r="A4910">
        <f>HYPERLINK("https://www.philgeps.gov.ph/GEPSNONPILOT/Tender/SplashBidNoticeAbstractUI.aspx?menuIndex=3&amp;refID=7070757&amp;Result=3","7070757")</f>
        <v>0</v>
      </c>
      <c r="B4910" t="s">
        <v>145</v>
      </c>
      <c r="C4910" t="s">
        <v>8086</v>
      </c>
      <c r="D4910" t="s">
        <v>16619</v>
      </c>
      <c r="E4910" t="s">
        <v>21104</v>
      </c>
      <c r="F4910" t="s">
        <v>28669</v>
      </c>
      <c r="G4910" t="s">
        <v>28676</v>
      </c>
      <c r="H4910" t="s">
        <v>28686</v>
      </c>
      <c r="I4910" t="s">
        <v>28689</v>
      </c>
      <c r="J4910" t="s">
        <v>29143</v>
      </c>
      <c r="K4910" t="s">
        <v>37205</v>
      </c>
      <c r="M4910" t="s">
        <v>37622</v>
      </c>
      <c r="N4910" t="s">
        <v>41249</v>
      </c>
      <c r="O4910" t="s">
        <v>41250</v>
      </c>
      <c r="P4910">
        <v>0</v>
      </c>
      <c r="Q4910">
        <v>0</v>
      </c>
      <c r="R4910" t="s">
        <v>41254</v>
      </c>
      <c r="S4910" t="s">
        <v>41425</v>
      </c>
      <c r="T4910" t="s">
        <v>42767</v>
      </c>
      <c r="U4910" t="s">
        <v>47249</v>
      </c>
      <c r="V4910" t="s">
        <v>54286</v>
      </c>
      <c r="W4910" t="s">
        <v>37622</v>
      </c>
      <c r="X4910" t="s">
        <v>41257</v>
      </c>
    </row>
    <row r="4911" spans="1:24">
      <c r="A4911">
        <f>HYPERLINK("https://www.philgeps.gov.ph/GEPSNONPILOT/Tender/SplashBidNoticeAbstractUI.aspx?menuIndex=3&amp;refID=7070750&amp;Result=3","7070750")</f>
        <v>0</v>
      </c>
      <c r="B4911" t="s">
        <v>217</v>
      </c>
      <c r="C4911" t="s">
        <v>8087</v>
      </c>
      <c r="D4911" t="s">
        <v>16618</v>
      </c>
      <c r="E4911" t="s">
        <v>17893</v>
      </c>
      <c r="F4911" t="s">
        <v>28669</v>
      </c>
      <c r="G4911" t="s">
        <v>28676</v>
      </c>
      <c r="H4911" t="s">
        <v>9998</v>
      </c>
      <c r="I4911" t="s">
        <v>28708</v>
      </c>
      <c r="J4911" t="s">
        <v>31978</v>
      </c>
      <c r="K4911" t="s">
        <v>37206</v>
      </c>
      <c r="M4911" t="s">
        <v>37695</v>
      </c>
      <c r="N4911" t="s">
        <v>41249</v>
      </c>
      <c r="O4911" t="s">
        <v>41250</v>
      </c>
      <c r="P4911">
        <v>0</v>
      </c>
      <c r="Q4911">
        <v>4</v>
      </c>
      <c r="R4911" t="s">
        <v>41254</v>
      </c>
      <c r="S4911" t="s">
        <v>41425</v>
      </c>
      <c r="T4911" t="s">
        <v>42675</v>
      </c>
      <c r="U4911" t="s">
        <v>47250</v>
      </c>
      <c r="W4911" t="s">
        <v>37695</v>
      </c>
      <c r="X4911" t="s">
        <v>41257</v>
      </c>
    </row>
    <row r="4912" spans="1:24">
      <c r="A4912">
        <f>HYPERLINK("https://www.philgeps.gov.ph/GEPSNONPILOT/Tender/SplashBidNoticeAbstractUI.aspx?menuIndex=3&amp;refID=7070748&amp;Result=3","7070748")</f>
        <v>0</v>
      </c>
      <c r="B4912" t="s">
        <v>1687</v>
      </c>
      <c r="C4912" t="s">
        <v>8088</v>
      </c>
      <c r="D4912" t="s">
        <v>16627</v>
      </c>
      <c r="E4912" t="s">
        <v>21105</v>
      </c>
      <c r="F4912" t="s">
        <v>28669</v>
      </c>
      <c r="G4912" t="s">
        <v>28675</v>
      </c>
      <c r="H4912" t="s">
        <v>9998</v>
      </c>
      <c r="I4912" t="s">
        <v>11593</v>
      </c>
      <c r="J4912" t="s">
        <v>29040</v>
      </c>
      <c r="K4912" t="s">
        <v>37220</v>
      </c>
      <c r="M4912" t="s">
        <v>39282</v>
      </c>
      <c r="N4912" t="s">
        <v>41249</v>
      </c>
      <c r="O4912" t="s">
        <v>41250</v>
      </c>
      <c r="P4912">
        <v>0</v>
      </c>
      <c r="Q4912">
        <v>5</v>
      </c>
      <c r="R4912" t="s">
        <v>41254</v>
      </c>
      <c r="S4912" t="s">
        <v>41425</v>
      </c>
      <c r="T4912" t="s">
        <v>42717</v>
      </c>
      <c r="U4912" t="s">
        <v>47246</v>
      </c>
      <c r="W4912" t="s">
        <v>39282</v>
      </c>
      <c r="X4912" t="s">
        <v>41257</v>
      </c>
    </row>
    <row r="4913" spans="1:24">
      <c r="A4913">
        <f>HYPERLINK("https://www.philgeps.gov.ph/GEPSNONPILOT/Tender/SplashBidNoticeAbstractUI.aspx?menuIndex=3&amp;refID=7070694&amp;Result=3","7070694")</f>
        <v>0</v>
      </c>
      <c r="B4913" t="s">
        <v>217</v>
      </c>
      <c r="C4913" t="s">
        <v>8089</v>
      </c>
      <c r="D4913" t="s">
        <v>16618</v>
      </c>
      <c r="E4913" t="s">
        <v>21106</v>
      </c>
      <c r="F4913" t="s">
        <v>28669</v>
      </c>
      <c r="G4913" t="s">
        <v>28676</v>
      </c>
      <c r="H4913" t="s">
        <v>9998</v>
      </c>
      <c r="I4913" t="s">
        <v>28708</v>
      </c>
      <c r="J4913" t="s">
        <v>31979</v>
      </c>
      <c r="K4913" t="s">
        <v>37206</v>
      </c>
      <c r="M4913" t="s">
        <v>37695</v>
      </c>
      <c r="N4913" t="s">
        <v>41249</v>
      </c>
      <c r="O4913" t="s">
        <v>41250</v>
      </c>
      <c r="P4913">
        <v>0</v>
      </c>
      <c r="Q4913">
        <v>2</v>
      </c>
      <c r="R4913" t="s">
        <v>41254</v>
      </c>
      <c r="S4913" t="s">
        <v>41425</v>
      </c>
      <c r="T4913" t="s">
        <v>42675</v>
      </c>
      <c r="U4913" t="s">
        <v>47251</v>
      </c>
      <c r="W4913" t="s">
        <v>37695</v>
      </c>
      <c r="X4913" t="s">
        <v>41257</v>
      </c>
    </row>
    <row r="4914" spans="1:24">
      <c r="A4914">
        <f>HYPERLINK("https://www.philgeps.gov.ph/GEPSNONPILOT/Tender/SplashBidNoticeAbstractUI.aspx?menuIndex=3&amp;refID=7070745&amp;Result=3","7070745")</f>
        <v>0</v>
      </c>
      <c r="B4914" t="s">
        <v>743</v>
      </c>
      <c r="C4914" t="s">
        <v>8090</v>
      </c>
      <c r="D4914" t="s">
        <v>16629</v>
      </c>
      <c r="E4914" t="s">
        <v>21107</v>
      </c>
      <c r="F4914" t="s">
        <v>28669</v>
      </c>
      <c r="G4914" t="s">
        <v>28675</v>
      </c>
      <c r="H4914" t="s">
        <v>28686</v>
      </c>
      <c r="I4914" t="s">
        <v>28689</v>
      </c>
      <c r="J4914" t="s">
        <v>29003</v>
      </c>
      <c r="K4914" t="s">
        <v>37236</v>
      </c>
      <c r="M4914" t="s">
        <v>39318</v>
      </c>
      <c r="N4914" t="s">
        <v>41249</v>
      </c>
      <c r="O4914" t="s">
        <v>41250</v>
      </c>
      <c r="P4914">
        <v>0</v>
      </c>
      <c r="Q4914">
        <v>0</v>
      </c>
      <c r="R4914" t="s">
        <v>41254</v>
      </c>
      <c r="S4914" t="s">
        <v>41425</v>
      </c>
      <c r="T4914" t="s">
        <v>42671</v>
      </c>
      <c r="U4914" t="s">
        <v>47252</v>
      </c>
      <c r="V4914" t="s">
        <v>54808</v>
      </c>
      <c r="W4914" t="s">
        <v>39318</v>
      </c>
      <c r="X4914" t="s">
        <v>41257</v>
      </c>
    </row>
    <row r="4915" spans="1:24">
      <c r="A4915">
        <f>HYPERLINK("https://www.philgeps.gov.ph/GEPSNONPILOT/Tender/SplashBidNoticeAbstractUI.aspx?menuIndex=3&amp;refID=7070738&amp;Result=3","7070738")</f>
        <v>0</v>
      </c>
      <c r="B4915" t="s">
        <v>1726</v>
      </c>
      <c r="C4915" t="s">
        <v>8091</v>
      </c>
      <c r="D4915" t="s">
        <v>16684</v>
      </c>
      <c r="E4915" t="s">
        <v>21108</v>
      </c>
      <c r="F4915" t="s">
        <v>28669</v>
      </c>
      <c r="G4915" t="s">
        <v>28676</v>
      </c>
      <c r="H4915" t="s">
        <v>9998</v>
      </c>
      <c r="I4915" t="s">
        <v>7352</v>
      </c>
      <c r="J4915" t="s">
        <v>31980</v>
      </c>
      <c r="K4915" t="s">
        <v>37208</v>
      </c>
      <c r="M4915" t="s">
        <v>39325</v>
      </c>
      <c r="N4915" t="s">
        <v>41249</v>
      </c>
      <c r="O4915" t="s">
        <v>41250</v>
      </c>
      <c r="P4915">
        <v>0</v>
      </c>
      <c r="Q4915">
        <v>0</v>
      </c>
      <c r="R4915" t="s">
        <v>41254</v>
      </c>
      <c r="S4915" t="s">
        <v>41425</v>
      </c>
      <c r="T4915" t="s">
        <v>42727</v>
      </c>
      <c r="U4915" t="s">
        <v>47253</v>
      </c>
      <c r="W4915" t="s">
        <v>39325</v>
      </c>
      <c r="X4915" t="s">
        <v>41257</v>
      </c>
    </row>
    <row r="4916" spans="1:24">
      <c r="A4916">
        <f>HYPERLINK("https://www.philgeps.gov.ph/GEPSNONPILOT/Tender/SplashBidNoticeAbstractUI.aspx?menuIndex=3&amp;refID=7070760&amp;Result=3","7070760")</f>
        <v>0</v>
      </c>
      <c r="B4916" t="s">
        <v>594</v>
      </c>
      <c r="C4916" t="s">
        <v>8092</v>
      </c>
      <c r="D4916" t="s">
        <v>16673</v>
      </c>
      <c r="E4916" t="s">
        <v>21109</v>
      </c>
      <c r="F4916" t="s">
        <v>28669</v>
      </c>
      <c r="G4916" t="s">
        <v>28677</v>
      </c>
      <c r="H4916" t="s">
        <v>9998</v>
      </c>
      <c r="I4916" t="s">
        <v>28787</v>
      </c>
      <c r="J4916" t="s">
        <v>28845</v>
      </c>
      <c r="K4916" t="s">
        <v>37210</v>
      </c>
      <c r="M4916" t="s">
        <v>38093</v>
      </c>
      <c r="N4916" t="s">
        <v>41249</v>
      </c>
      <c r="O4916" t="s">
        <v>41250</v>
      </c>
      <c r="P4916">
        <v>0</v>
      </c>
      <c r="Q4916">
        <v>10</v>
      </c>
      <c r="R4916" t="s">
        <v>41254</v>
      </c>
      <c r="S4916" t="s">
        <v>41425</v>
      </c>
      <c r="T4916" t="s">
        <v>42679</v>
      </c>
      <c r="U4916" t="s">
        <v>47254</v>
      </c>
      <c r="W4916" t="s">
        <v>38093</v>
      </c>
      <c r="X4916" t="s">
        <v>41257</v>
      </c>
    </row>
    <row r="4917" spans="1:24">
      <c r="A4917">
        <f>HYPERLINK("https://www.philgeps.gov.ph/GEPSNONPILOT/Tender/SplashBidNoticeAbstractUI.aspx?menuIndex=3&amp;refID=7070730&amp;Result=3","7070730")</f>
        <v>0</v>
      </c>
      <c r="B4917" t="s">
        <v>655</v>
      </c>
      <c r="C4917" t="s">
        <v>8093</v>
      </c>
      <c r="D4917" t="s">
        <v>16624</v>
      </c>
      <c r="E4917" t="s">
        <v>19530</v>
      </c>
      <c r="F4917" t="s">
        <v>28669</v>
      </c>
      <c r="G4917" t="s">
        <v>28676</v>
      </c>
      <c r="H4917" t="s">
        <v>9998</v>
      </c>
      <c r="I4917" t="s">
        <v>28724</v>
      </c>
      <c r="J4917" t="s">
        <v>28879</v>
      </c>
      <c r="K4917" t="s">
        <v>37221</v>
      </c>
      <c r="M4917" t="s">
        <v>38156</v>
      </c>
      <c r="N4917" t="s">
        <v>41249</v>
      </c>
      <c r="O4917" t="s">
        <v>41250</v>
      </c>
      <c r="P4917">
        <v>0</v>
      </c>
      <c r="Q4917">
        <v>4</v>
      </c>
      <c r="R4917" t="s">
        <v>41254</v>
      </c>
      <c r="S4917" t="s">
        <v>41425</v>
      </c>
      <c r="T4917" t="s">
        <v>42883</v>
      </c>
      <c r="U4917" t="s">
        <v>47255</v>
      </c>
      <c r="W4917" t="s">
        <v>38156</v>
      </c>
      <c r="X4917" t="s">
        <v>41257</v>
      </c>
    </row>
    <row r="4918" spans="1:24">
      <c r="A4918">
        <f>HYPERLINK("https://www.philgeps.gov.ph/GEPSNONPILOT/Tender/SplashBidNoticeAbstractUI.aspx?menuIndex=3&amp;refID=7070756&amp;Result=3","7070756")</f>
        <v>0</v>
      </c>
      <c r="B4918" t="s">
        <v>851</v>
      </c>
      <c r="C4918" t="s">
        <v>8094</v>
      </c>
      <c r="D4918" t="s">
        <v>16654</v>
      </c>
      <c r="E4918" t="s">
        <v>21110</v>
      </c>
      <c r="F4918" t="s">
        <v>28669</v>
      </c>
      <c r="G4918" t="s">
        <v>28678</v>
      </c>
      <c r="H4918" t="s">
        <v>9998</v>
      </c>
      <c r="I4918" t="s">
        <v>28688</v>
      </c>
      <c r="J4918" t="s">
        <v>31332</v>
      </c>
      <c r="K4918" t="s">
        <v>37204</v>
      </c>
      <c r="M4918" t="s">
        <v>38367</v>
      </c>
      <c r="N4918" t="s">
        <v>41249</v>
      </c>
      <c r="O4918" t="s">
        <v>41250</v>
      </c>
      <c r="P4918">
        <v>0</v>
      </c>
      <c r="Q4918">
        <v>0</v>
      </c>
      <c r="R4918" t="s">
        <v>41254</v>
      </c>
      <c r="S4918" t="s">
        <v>41425</v>
      </c>
      <c r="T4918" t="s">
        <v>42883</v>
      </c>
      <c r="U4918" t="s">
        <v>47256</v>
      </c>
      <c r="W4918" t="s">
        <v>38367</v>
      </c>
      <c r="X4918" t="s">
        <v>41257</v>
      </c>
    </row>
    <row r="4919" spans="1:24">
      <c r="A4919">
        <f>HYPERLINK("https://www.philgeps.gov.ph/GEPSNONPILOT/Tender/SplashBidNoticeAbstractUI.aspx?menuIndex=3&amp;refID=7070731&amp;Result=3","7070731")</f>
        <v>0</v>
      </c>
      <c r="B4919" t="s">
        <v>743</v>
      </c>
      <c r="C4919" t="s">
        <v>8095</v>
      </c>
      <c r="D4919" t="s">
        <v>16629</v>
      </c>
      <c r="E4919" t="s">
        <v>21111</v>
      </c>
      <c r="F4919" t="s">
        <v>28669</v>
      </c>
      <c r="G4919" t="s">
        <v>28675</v>
      </c>
      <c r="H4919" t="s">
        <v>28686</v>
      </c>
      <c r="I4919" t="s">
        <v>28689</v>
      </c>
      <c r="J4919" t="s">
        <v>31981</v>
      </c>
      <c r="K4919" t="s">
        <v>37293</v>
      </c>
      <c r="M4919" t="s">
        <v>39318</v>
      </c>
      <c r="N4919" t="s">
        <v>41249</v>
      </c>
      <c r="O4919" t="s">
        <v>41250</v>
      </c>
      <c r="P4919">
        <v>0</v>
      </c>
      <c r="Q4919">
        <v>0</v>
      </c>
      <c r="R4919" t="s">
        <v>41254</v>
      </c>
      <c r="S4919" t="s">
        <v>41425</v>
      </c>
      <c r="T4919" t="s">
        <v>42671</v>
      </c>
      <c r="U4919" t="s">
        <v>47257</v>
      </c>
      <c r="V4919" t="s">
        <v>54809</v>
      </c>
      <c r="W4919" t="s">
        <v>39318</v>
      </c>
      <c r="X4919" t="s">
        <v>41257</v>
      </c>
    </row>
    <row r="4920" spans="1:24">
      <c r="A4920">
        <f>HYPERLINK("https://www.philgeps.gov.ph/GEPSNONPILOT/Tender/SplashBidNoticeAbstractUI.aspx?menuIndex=3&amp;refID=7070707&amp;Result=3","7070707")</f>
        <v>0</v>
      </c>
      <c r="B4920" t="s">
        <v>1723</v>
      </c>
      <c r="C4920" t="s">
        <v>8096</v>
      </c>
      <c r="D4920" t="s">
        <v>16611</v>
      </c>
      <c r="E4920" t="s">
        <v>18464</v>
      </c>
      <c r="F4920" t="s">
        <v>28669</v>
      </c>
      <c r="G4920" t="s">
        <v>28676</v>
      </c>
      <c r="H4920" t="s">
        <v>9998</v>
      </c>
      <c r="I4920" t="s">
        <v>28716</v>
      </c>
      <c r="J4920" t="s">
        <v>28894</v>
      </c>
      <c r="K4920" t="s">
        <v>37204</v>
      </c>
      <c r="M4920" t="s">
        <v>39322</v>
      </c>
      <c r="N4920" t="s">
        <v>41249</v>
      </c>
      <c r="O4920" t="s">
        <v>41250</v>
      </c>
      <c r="P4920">
        <v>0</v>
      </c>
      <c r="Q4920">
        <v>1</v>
      </c>
      <c r="R4920" t="s">
        <v>41254</v>
      </c>
      <c r="S4920" t="s">
        <v>41425</v>
      </c>
      <c r="T4920" t="s">
        <v>42670</v>
      </c>
      <c r="U4920" t="s">
        <v>47258</v>
      </c>
      <c r="W4920" t="s">
        <v>39322</v>
      </c>
      <c r="X4920" t="s">
        <v>41257</v>
      </c>
    </row>
    <row r="4921" spans="1:24">
      <c r="A4921">
        <f>HYPERLINK("https://www.philgeps.gov.ph/GEPSNONPILOT/Tender/SplashBidNoticeAbstractUI.aspx?menuIndex=3&amp;refID=7070744&amp;Result=3","7070744")</f>
        <v>0</v>
      </c>
      <c r="B4921" t="s">
        <v>1730</v>
      </c>
      <c r="C4921" t="s">
        <v>8097</v>
      </c>
      <c r="D4921" t="s">
        <v>16628</v>
      </c>
      <c r="E4921" t="s">
        <v>21112</v>
      </c>
      <c r="F4921" t="s">
        <v>28671</v>
      </c>
      <c r="G4921" t="s">
        <v>28676</v>
      </c>
      <c r="H4921" t="s">
        <v>9998</v>
      </c>
      <c r="I4921" t="s">
        <v>28716</v>
      </c>
      <c r="J4921" t="s">
        <v>29404</v>
      </c>
      <c r="K4921" t="s">
        <v>37204</v>
      </c>
      <c r="L4921" t="s">
        <v>1730</v>
      </c>
      <c r="M4921" t="s">
        <v>39329</v>
      </c>
      <c r="N4921" t="s">
        <v>41249</v>
      </c>
      <c r="O4921" t="s">
        <v>41250</v>
      </c>
      <c r="P4921">
        <v>0</v>
      </c>
      <c r="Q4921">
        <v>0</v>
      </c>
      <c r="R4921" t="s">
        <v>41254</v>
      </c>
      <c r="S4921" t="s">
        <v>41425</v>
      </c>
      <c r="T4921" t="s">
        <v>42814</v>
      </c>
      <c r="U4921" t="s">
        <v>47259</v>
      </c>
      <c r="W4921" t="s">
        <v>39329</v>
      </c>
      <c r="X4921" t="s">
        <v>41257</v>
      </c>
    </row>
    <row r="4922" spans="1:24">
      <c r="A4922">
        <f>HYPERLINK("https://www.philgeps.gov.ph/GEPSNONPILOT/Tender/SplashBidNoticeAbstractUI.aspx?menuIndex=3&amp;refID=7070702&amp;Result=3","7070702")</f>
        <v>0</v>
      </c>
      <c r="B4922" t="s">
        <v>603</v>
      </c>
      <c r="C4922" t="s">
        <v>8098</v>
      </c>
      <c r="D4922" t="s">
        <v>16615</v>
      </c>
      <c r="E4922" t="s">
        <v>21113</v>
      </c>
      <c r="F4922" t="s">
        <v>28669</v>
      </c>
      <c r="G4922" t="s">
        <v>28676</v>
      </c>
      <c r="H4922" t="s">
        <v>9998</v>
      </c>
      <c r="I4922" t="s">
        <v>5213</v>
      </c>
      <c r="J4922" t="s">
        <v>31982</v>
      </c>
      <c r="K4922" t="s">
        <v>37205</v>
      </c>
      <c r="M4922" t="s">
        <v>38103</v>
      </c>
      <c r="N4922" t="s">
        <v>41249</v>
      </c>
      <c r="O4922" t="s">
        <v>41250</v>
      </c>
      <c r="P4922">
        <v>0</v>
      </c>
      <c r="Q4922">
        <v>3</v>
      </c>
      <c r="R4922" t="s">
        <v>41254</v>
      </c>
      <c r="S4922" t="s">
        <v>41425</v>
      </c>
      <c r="T4922" t="s">
        <v>42771</v>
      </c>
      <c r="U4922" t="s">
        <v>47260</v>
      </c>
      <c r="W4922" t="s">
        <v>38103</v>
      </c>
      <c r="X4922" t="s">
        <v>41257</v>
      </c>
    </row>
    <row r="4923" spans="1:24">
      <c r="A4923">
        <f>HYPERLINK("https://www.philgeps.gov.ph/GEPSNONPILOT/Tender/SplashBidNoticeAbstractUI.aspx?menuIndex=3&amp;refID=7070743&amp;Result=3","7070743")</f>
        <v>0</v>
      </c>
      <c r="B4923" t="s">
        <v>1731</v>
      </c>
      <c r="C4923" t="s">
        <v>8099</v>
      </c>
      <c r="D4923" t="s">
        <v>16646</v>
      </c>
      <c r="E4923" t="s">
        <v>21114</v>
      </c>
      <c r="F4923" t="s">
        <v>28669</v>
      </c>
      <c r="G4923" t="s">
        <v>28678</v>
      </c>
      <c r="H4923" t="s">
        <v>9998</v>
      </c>
      <c r="I4923" t="s">
        <v>11142</v>
      </c>
      <c r="J4923" t="s">
        <v>29512</v>
      </c>
      <c r="K4923" t="s">
        <v>37206</v>
      </c>
      <c r="M4923" t="s">
        <v>39330</v>
      </c>
      <c r="N4923" t="s">
        <v>41249</v>
      </c>
      <c r="O4923" t="s">
        <v>41250</v>
      </c>
      <c r="P4923">
        <v>0</v>
      </c>
      <c r="Q4923">
        <v>5</v>
      </c>
      <c r="R4923" t="s">
        <v>41254</v>
      </c>
      <c r="S4923" t="s">
        <v>41425</v>
      </c>
      <c r="T4923" t="s">
        <v>42727</v>
      </c>
      <c r="U4923" t="s">
        <v>47261</v>
      </c>
      <c r="W4923" t="s">
        <v>39330</v>
      </c>
      <c r="X4923" t="s">
        <v>41257</v>
      </c>
    </row>
    <row r="4924" spans="1:24">
      <c r="A4924">
        <f>HYPERLINK("https://www.philgeps.gov.ph/GEPSNONPILOT/Tender/SplashBidNoticeAbstractUI.aspx?menuIndex=3&amp;refID=7070700&amp;Result=3","7070700")</f>
        <v>0</v>
      </c>
      <c r="B4924" t="s">
        <v>1732</v>
      </c>
      <c r="C4924" t="s">
        <v>8100</v>
      </c>
      <c r="D4924" t="s">
        <v>16633</v>
      </c>
      <c r="E4924" t="s">
        <v>21115</v>
      </c>
      <c r="F4924" t="s">
        <v>28669</v>
      </c>
      <c r="G4924" t="s">
        <v>28675</v>
      </c>
      <c r="H4924" t="s">
        <v>28686</v>
      </c>
      <c r="I4924" t="s">
        <v>28689</v>
      </c>
      <c r="J4924" t="s">
        <v>31983</v>
      </c>
      <c r="K4924" t="s">
        <v>37288</v>
      </c>
      <c r="M4924" t="s">
        <v>39331</v>
      </c>
      <c r="N4924" t="s">
        <v>41249</v>
      </c>
      <c r="O4924" t="s">
        <v>41250</v>
      </c>
      <c r="P4924">
        <v>0</v>
      </c>
      <c r="Q4924">
        <v>1</v>
      </c>
      <c r="R4924" t="s">
        <v>41254</v>
      </c>
      <c r="S4924" t="s">
        <v>41425</v>
      </c>
      <c r="T4924" t="s">
        <v>42716</v>
      </c>
      <c r="U4924" t="s">
        <v>47262</v>
      </c>
      <c r="W4924" t="s">
        <v>39331</v>
      </c>
      <c r="X4924" t="s">
        <v>41257</v>
      </c>
    </row>
    <row r="4925" spans="1:24">
      <c r="A4925">
        <f>HYPERLINK("https://www.philgeps.gov.ph/GEPSNONPILOT/Tender/SplashBidNoticeAbstractUI.aspx?menuIndex=3&amp;refID=7070736&amp;Result=3","7070736")</f>
        <v>0</v>
      </c>
      <c r="B4925" t="s">
        <v>1687</v>
      </c>
      <c r="C4925" t="s">
        <v>8101</v>
      </c>
      <c r="D4925" t="s">
        <v>16627</v>
      </c>
      <c r="E4925" t="s">
        <v>21116</v>
      </c>
      <c r="F4925" t="s">
        <v>28669</v>
      </c>
      <c r="G4925" t="s">
        <v>28675</v>
      </c>
      <c r="H4925" t="s">
        <v>9998</v>
      </c>
      <c r="I4925" t="s">
        <v>28708</v>
      </c>
      <c r="J4925" t="s">
        <v>28863</v>
      </c>
      <c r="K4925" t="s">
        <v>37220</v>
      </c>
      <c r="M4925" t="s">
        <v>39282</v>
      </c>
      <c r="N4925" t="s">
        <v>41249</v>
      </c>
      <c r="O4925" t="s">
        <v>41250</v>
      </c>
      <c r="P4925">
        <v>0</v>
      </c>
      <c r="Q4925">
        <v>3</v>
      </c>
      <c r="R4925" t="s">
        <v>41254</v>
      </c>
      <c r="S4925" t="s">
        <v>41425</v>
      </c>
      <c r="T4925" t="s">
        <v>42717</v>
      </c>
      <c r="U4925" t="s">
        <v>47246</v>
      </c>
      <c r="W4925" t="s">
        <v>39282</v>
      </c>
      <c r="X4925" t="s">
        <v>41257</v>
      </c>
    </row>
    <row r="4926" spans="1:24">
      <c r="A4926">
        <f>HYPERLINK("https://www.philgeps.gov.ph/GEPSNONPILOT/Tender/SplashBidNoticeAbstractUI.aspx?menuIndex=3&amp;refID=7070555&amp;Result=3","7070555")</f>
        <v>0</v>
      </c>
      <c r="B4926" t="s">
        <v>1733</v>
      </c>
      <c r="C4926" t="s">
        <v>8102</v>
      </c>
      <c r="D4926" t="s">
        <v>16668</v>
      </c>
      <c r="E4926" t="s">
        <v>21117</v>
      </c>
      <c r="F4926" t="s">
        <v>28669</v>
      </c>
      <c r="G4926" t="s">
        <v>28675</v>
      </c>
      <c r="H4926" t="s">
        <v>28686</v>
      </c>
      <c r="I4926" t="s">
        <v>28689</v>
      </c>
      <c r="J4926" t="s">
        <v>31984</v>
      </c>
      <c r="K4926" t="s">
        <v>37224</v>
      </c>
      <c r="M4926" t="s">
        <v>39332</v>
      </c>
      <c r="N4926" t="s">
        <v>41249</v>
      </c>
      <c r="O4926" t="s">
        <v>41250</v>
      </c>
      <c r="P4926">
        <v>0</v>
      </c>
      <c r="Q4926">
        <v>0</v>
      </c>
      <c r="R4926" t="s">
        <v>41254</v>
      </c>
      <c r="S4926" t="s">
        <v>41425</v>
      </c>
      <c r="T4926" t="s">
        <v>42871</v>
      </c>
      <c r="U4926" t="s">
        <v>47263</v>
      </c>
      <c r="W4926" t="s">
        <v>39332</v>
      </c>
      <c r="X4926" t="s">
        <v>41257</v>
      </c>
    </row>
    <row r="4927" spans="1:24">
      <c r="A4927">
        <f>HYPERLINK("https://www.philgeps.gov.ph/GEPSNONPILOT/Tender/SplashBidNoticeAbstractUI.aspx?menuIndex=3&amp;refID=7070764&amp;Result=3","7070764")</f>
        <v>0</v>
      </c>
      <c r="B4927" t="s">
        <v>1734</v>
      </c>
      <c r="C4927" t="s">
        <v>8103</v>
      </c>
      <c r="D4927" t="s">
        <v>16623</v>
      </c>
      <c r="E4927" t="s">
        <v>21118</v>
      </c>
      <c r="F4927" t="s">
        <v>28670</v>
      </c>
      <c r="G4927" t="s">
        <v>28675</v>
      </c>
      <c r="H4927" t="s">
        <v>9998</v>
      </c>
      <c r="I4927" t="s">
        <v>28743</v>
      </c>
      <c r="J4927" t="s">
        <v>31985</v>
      </c>
      <c r="K4927" t="s">
        <v>37206</v>
      </c>
      <c r="M4927" t="s">
        <v>39333</v>
      </c>
      <c r="N4927" t="s">
        <v>41249</v>
      </c>
      <c r="O4927" t="s">
        <v>41250</v>
      </c>
      <c r="P4927">
        <v>0</v>
      </c>
      <c r="Q4927">
        <v>0</v>
      </c>
      <c r="R4927" t="s">
        <v>41254</v>
      </c>
      <c r="S4927" t="s">
        <v>41425</v>
      </c>
      <c r="T4927" t="s">
        <v>42716</v>
      </c>
      <c r="U4927" t="s">
        <v>47264</v>
      </c>
      <c r="W4927" t="s">
        <v>39333</v>
      </c>
      <c r="X4927" t="s">
        <v>41257</v>
      </c>
    </row>
    <row r="4928" spans="1:24">
      <c r="A4928">
        <f>HYPERLINK("https://www.philgeps.gov.ph/GEPSNONPILOT/Tender/SplashBidNoticeAbstractUI.aspx?menuIndex=3&amp;refID=7070654&amp;Result=3","7070654")</f>
        <v>0</v>
      </c>
      <c r="B4928" t="s">
        <v>743</v>
      </c>
      <c r="C4928" t="s">
        <v>8104</v>
      </c>
      <c r="D4928" t="s">
        <v>16629</v>
      </c>
      <c r="E4928" t="s">
        <v>21119</v>
      </c>
      <c r="F4928" t="s">
        <v>28669</v>
      </c>
      <c r="G4928" t="s">
        <v>28675</v>
      </c>
      <c r="H4928" t="s">
        <v>28686</v>
      </c>
      <c r="I4928" t="s">
        <v>28689</v>
      </c>
      <c r="J4928" t="s">
        <v>31986</v>
      </c>
      <c r="K4928" t="s">
        <v>37210</v>
      </c>
      <c r="M4928" t="s">
        <v>39318</v>
      </c>
      <c r="N4928" t="s">
        <v>41249</v>
      </c>
      <c r="O4928" t="s">
        <v>41250</v>
      </c>
      <c r="P4928">
        <v>0</v>
      </c>
      <c r="Q4928">
        <v>0</v>
      </c>
      <c r="R4928" t="s">
        <v>41254</v>
      </c>
      <c r="S4928" t="s">
        <v>41425</v>
      </c>
      <c r="T4928" t="s">
        <v>42671</v>
      </c>
      <c r="U4928" t="s">
        <v>47265</v>
      </c>
      <c r="V4928" t="s">
        <v>54810</v>
      </c>
      <c r="W4928" t="s">
        <v>39318</v>
      </c>
      <c r="X4928" t="s">
        <v>41257</v>
      </c>
    </row>
    <row r="4929" spans="1:24">
      <c r="A4929">
        <f>HYPERLINK("https://www.philgeps.gov.ph/GEPSNONPILOT/Tender/SplashBidNoticeAbstractUI.aspx?menuIndex=3&amp;refID=7070804&amp;Result=3","7070804")</f>
        <v>0</v>
      </c>
      <c r="B4929" t="s">
        <v>1735</v>
      </c>
      <c r="C4929" t="s">
        <v>8105</v>
      </c>
      <c r="D4929" t="s">
        <v>16670</v>
      </c>
      <c r="E4929" t="s">
        <v>21120</v>
      </c>
      <c r="F4929" t="s">
        <v>28669</v>
      </c>
      <c r="G4929" t="s">
        <v>28675</v>
      </c>
      <c r="H4929" t="s">
        <v>9998</v>
      </c>
      <c r="I4929" t="s">
        <v>28694</v>
      </c>
      <c r="J4929" t="s">
        <v>31987</v>
      </c>
      <c r="K4929" t="s">
        <v>37206</v>
      </c>
      <c r="M4929" t="s">
        <v>39334</v>
      </c>
      <c r="N4929" t="s">
        <v>41249</v>
      </c>
      <c r="O4929" t="s">
        <v>41250</v>
      </c>
      <c r="P4929">
        <v>0</v>
      </c>
      <c r="Q4929">
        <v>0</v>
      </c>
      <c r="R4929" t="s">
        <v>41254</v>
      </c>
      <c r="S4929" t="s">
        <v>41425</v>
      </c>
      <c r="T4929" t="s">
        <v>42879</v>
      </c>
      <c r="U4929" t="s">
        <v>45224</v>
      </c>
      <c r="V4929" t="s">
        <v>54811</v>
      </c>
      <c r="W4929" t="s">
        <v>39334</v>
      </c>
      <c r="X4929" t="s">
        <v>41257</v>
      </c>
    </row>
    <row r="4930" spans="1:24">
      <c r="A4930">
        <f>HYPERLINK("https://www.philgeps.gov.ph/GEPSNONPILOT/Tender/SplashBidNoticeAbstractUI.aspx?menuIndex=3&amp;refID=7070720&amp;Result=3","7070720")</f>
        <v>0</v>
      </c>
      <c r="B4930" t="s">
        <v>1687</v>
      </c>
      <c r="C4930" t="s">
        <v>8106</v>
      </c>
      <c r="D4930" t="s">
        <v>16627</v>
      </c>
      <c r="E4930" t="s">
        <v>21121</v>
      </c>
      <c r="F4930" t="s">
        <v>28669</v>
      </c>
      <c r="G4930" t="s">
        <v>28675</v>
      </c>
      <c r="H4930" t="s">
        <v>9998</v>
      </c>
      <c r="I4930" t="s">
        <v>28708</v>
      </c>
      <c r="J4930" t="s">
        <v>31988</v>
      </c>
      <c r="K4930" t="s">
        <v>37220</v>
      </c>
      <c r="M4930" t="s">
        <v>39282</v>
      </c>
      <c r="N4930" t="s">
        <v>41249</v>
      </c>
      <c r="O4930" t="s">
        <v>41250</v>
      </c>
      <c r="P4930">
        <v>0</v>
      </c>
      <c r="Q4930">
        <v>3</v>
      </c>
      <c r="R4930" t="s">
        <v>41254</v>
      </c>
      <c r="S4930" t="s">
        <v>41425</v>
      </c>
      <c r="T4930" t="s">
        <v>42717</v>
      </c>
      <c r="U4930" t="s">
        <v>47246</v>
      </c>
      <c r="W4930" t="s">
        <v>39282</v>
      </c>
      <c r="X4930" t="s">
        <v>41257</v>
      </c>
    </row>
    <row r="4931" spans="1:24">
      <c r="A4931">
        <f>HYPERLINK("https://www.philgeps.gov.ph/GEPSNONPILOT/Tender/SplashBidNoticeAbstractUI.aspx?menuIndex=3&amp;refID=7070825&amp;Result=3","7070825")</f>
        <v>0</v>
      </c>
      <c r="B4931" t="s">
        <v>1728</v>
      </c>
      <c r="C4931" t="s">
        <v>8107</v>
      </c>
      <c r="D4931" t="s">
        <v>16608</v>
      </c>
      <c r="E4931" t="s">
        <v>21122</v>
      </c>
      <c r="F4931" t="s">
        <v>28669</v>
      </c>
      <c r="G4931" t="s">
        <v>28676</v>
      </c>
      <c r="H4931" t="s">
        <v>9998</v>
      </c>
      <c r="I4931" t="s">
        <v>6128</v>
      </c>
      <c r="J4931" t="s">
        <v>31989</v>
      </c>
      <c r="K4931" t="s">
        <v>37204</v>
      </c>
      <c r="M4931" t="s">
        <v>39327</v>
      </c>
      <c r="N4931" t="s">
        <v>41249</v>
      </c>
      <c r="O4931" t="s">
        <v>41250</v>
      </c>
      <c r="P4931">
        <v>0</v>
      </c>
      <c r="Q4931">
        <v>1</v>
      </c>
      <c r="R4931" t="s">
        <v>41254</v>
      </c>
      <c r="S4931" t="s">
        <v>41425</v>
      </c>
      <c r="T4931" t="s">
        <v>42736</v>
      </c>
      <c r="U4931" t="s">
        <v>47266</v>
      </c>
      <c r="V4931" t="s">
        <v>54806</v>
      </c>
      <c r="W4931" t="s">
        <v>39327</v>
      </c>
      <c r="X4931" t="s">
        <v>41257</v>
      </c>
    </row>
    <row r="4932" spans="1:24">
      <c r="A4932">
        <f>HYPERLINK("https://www.philgeps.gov.ph/GEPSNONPILOT/Tender/SplashBidNoticeAbstractUI.aspx?menuIndex=3&amp;refID=7070620&amp;Result=3","7070620")</f>
        <v>0</v>
      </c>
      <c r="B4932" t="s">
        <v>1730</v>
      </c>
      <c r="C4932" t="s">
        <v>8108</v>
      </c>
      <c r="D4932" t="s">
        <v>16628</v>
      </c>
      <c r="E4932" t="s">
        <v>21123</v>
      </c>
      <c r="F4932" t="s">
        <v>28671</v>
      </c>
      <c r="G4932" t="s">
        <v>28675</v>
      </c>
      <c r="H4932" t="s">
        <v>9998</v>
      </c>
      <c r="I4932" t="s">
        <v>3718</v>
      </c>
      <c r="J4932" t="s">
        <v>31990</v>
      </c>
      <c r="K4932" t="s">
        <v>37204</v>
      </c>
      <c r="L4932" t="s">
        <v>1730</v>
      </c>
      <c r="M4932" t="s">
        <v>39329</v>
      </c>
      <c r="N4932" t="s">
        <v>41249</v>
      </c>
      <c r="O4932" t="s">
        <v>41250</v>
      </c>
      <c r="P4932">
        <v>0</v>
      </c>
      <c r="Q4932">
        <v>0</v>
      </c>
      <c r="R4932" t="s">
        <v>41254</v>
      </c>
      <c r="S4932" t="s">
        <v>41425</v>
      </c>
      <c r="T4932" t="s">
        <v>42984</v>
      </c>
      <c r="U4932" t="s">
        <v>47267</v>
      </c>
      <c r="W4932" t="s">
        <v>39329</v>
      </c>
      <c r="X4932" t="s">
        <v>41257</v>
      </c>
    </row>
    <row r="4933" spans="1:24">
      <c r="A4933">
        <f>HYPERLINK("https://www.philgeps.gov.ph/GEPSNONPILOT/Tender/SplashBidNoticeAbstractUI.aspx?menuIndex=3&amp;refID=7070821&amp;Result=3","7070821")</f>
        <v>0</v>
      </c>
      <c r="B4933" t="s">
        <v>851</v>
      </c>
      <c r="C4933" t="s">
        <v>8109</v>
      </c>
      <c r="D4933" t="s">
        <v>16654</v>
      </c>
      <c r="E4933" t="s">
        <v>21124</v>
      </c>
      <c r="F4933" t="s">
        <v>28669</v>
      </c>
      <c r="G4933" t="s">
        <v>28676</v>
      </c>
      <c r="H4933" t="s">
        <v>9998</v>
      </c>
      <c r="I4933" t="s">
        <v>6458</v>
      </c>
      <c r="J4933" t="s">
        <v>29088</v>
      </c>
      <c r="K4933" t="s">
        <v>37204</v>
      </c>
      <c r="M4933" t="s">
        <v>38367</v>
      </c>
      <c r="N4933" t="s">
        <v>41249</v>
      </c>
      <c r="O4933" t="s">
        <v>41250</v>
      </c>
      <c r="P4933">
        <v>0</v>
      </c>
      <c r="Q4933">
        <v>0</v>
      </c>
      <c r="R4933" t="s">
        <v>41254</v>
      </c>
      <c r="S4933" t="s">
        <v>41425</v>
      </c>
      <c r="T4933" t="s">
        <v>42883</v>
      </c>
      <c r="U4933" t="s">
        <v>47268</v>
      </c>
      <c r="W4933" t="s">
        <v>38367</v>
      </c>
      <c r="X4933" t="s">
        <v>41257</v>
      </c>
    </row>
    <row r="4934" spans="1:24">
      <c r="A4934">
        <f>HYPERLINK("https://www.philgeps.gov.ph/GEPSNONPILOT/Tender/SplashBidNoticeAbstractUI.aspx?menuIndex=3&amp;refID=7070820&amp;Result=3","7070820")</f>
        <v>0</v>
      </c>
      <c r="B4934" t="s">
        <v>1670</v>
      </c>
      <c r="C4934" t="s">
        <v>8110</v>
      </c>
      <c r="D4934" t="s">
        <v>16678</v>
      </c>
      <c r="E4934" t="s">
        <v>17028</v>
      </c>
      <c r="F4934" t="s">
        <v>28669</v>
      </c>
      <c r="G4934" t="s">
        <v>28675</v>
      </c>
      <c r="H4934" t="s">
        <v>9998</v>
      </c>
      <c r="I4934" t="s">
        <v>7352</v>
      </c>
      <c r="J4934" t="s">
        <v>30890</v>
      </c>
      <c r="K4934" t="s">
        <v>37206</v>
      </c>
      <c r="M4934" t="s">
        <v>39262</v>
      </c>
      <c r="N4934" t="s">
        <v>41249</v>
      </c>
      <c r="O4934" t="s">
        <v>41250</v>
      </c>
      <c r="P4934">
        <v>0</v>
      </c>
      <c r="Q4934">
        <v>0</v>
      </c>
      <c r="R4934" t="s">
        <v>41254</v>
      </c>
      <c r="S4934" t="s">
        <v>41425</v>
      </c>
      <c r="T4934" t="s">
        <v>42860</v>
      </c>
      <c r="U4934" t="s">
        <v>47269</v>
      </c>
      <c r="W4934" t="s">
        <v>39262</v>
      </c>
      <c r="X4934" t="s">
        <v>41257</v>
      </c>
    </row>
    <row r="4935" spans="1:24">
      <c r="A4935">
        <f>HYPERLINK("https://www.philgeps.gov.ph/GEPSNONPILOT/Tender/SplashBidNoticeAbstractUI.aspx?menuIndex=3&amp;refID=7070816&amp;Result=3","7070816")</f>
        <v>0</v>
      </c>
      <c r="B4935" t="s">
        <v>1280</v>
      </c>
      <c r="C4935" t="s">
        <v>8111</v>
      </c>
      <c r="D4935" t="s">
        <v>16683</v>
      </c>
      <c r="E4935" t="s">
        <v>21125</v>
      </c>
      <c r="F4935" t="s">
        <v>28669</v>
      </c>
      <c r="G4935" t="s">
        <v>28676</v>
      </c>
      <c r="H4935" t="s">
        <v>9998</v>
      </c>
      <c r="I4935" t="s">
        <v>28696</v>
      </c>
      <c r="J4935" t="s">
        <v>31991</v>
      </c>
      <c r="K4935" t="s">
        <v>37210</v>
      </c>
      <c r="M4935" t="s">
        <v>39335</v>
      </c>
      <c r="N4935" t="s">
        <v>41249</v>
      </c>
      <c r="O4935" t="s">
        <v>41250</v>
      </c>
      <c r="P4935">
        <v>0</v>
      </c>
      <c r="Q4935">
        <v>0</v>
      </c>
      <c r="R4935" t="s">
        <v>41254</v>
      </c>
      <c r="S4935" t="s">
        <v>41425</v>
      </c>
      <c r="T4935" t="s">
        <v>42767</v>
      </c>
      <c r="U4935" t="s">
        <v>47270</v>
      </c>
      <c r="W4935" t="s">
        <v>39335</v>
      </c>
      <c r="X4935" t="s">
        <v>41257</v>
      </c>
    </row>
    <row r="4936" spans="1:24">
      <c r="A4936">
        <f>HYPERLINK("https://www.philgeps.gov.ph/GEPSNONPILOT/Tender/SplashBidNoticeAbstractUI.aspx?menuIndex=3&amp;refID=7070815&amp;Result=3","7070815")</f>
        <v>0</v>
      </c>
      <c r="B4936" t="s">
        <v>1670</v>
      </c>
      <c r="C4936" t="s">
        <v>8112</v>
      </c>
      <c r="D4936" t="s">
        <v>16678</v>
      </c>
      <c r="E4936" t="s">
        <v>17029</v>
      </c>
      <c r="F4936" t="s">
        <v>28669</v>
      </c>
      <c r="G4936" t="s">
        <v>28675</v>
      </c>
      <c r="H4936" t="s">
        <v>9998</v>
      </c>
      <c r="I4936" t="s">
        <v>7352</v>
      </c>
      <c r="J4936" t="s">
        <v>29902</v>
      </c>
      <c r="K4936" t="s">
        <v>37206</v>
      </c>
      <c r="M4936" t="s">
        <v>39262</v>
      </c>
      <c r="N4936" t="s">
        <v>41249</v>
      </c>
      <c r="O4936" t="s">
        <v>41250</v>
      </c>
      <c r="P4936">
        <v>0</v>
      </c>
      <c r="Q4936">
        <v>0</v>
      </c>
      <c r="R4936" t="s">
        <v>41254</v>
      </c>
      <c r="S4936" t="s">
        <v>41425</v>
      </c>
      <c r="T4936" t="s">
        <v>42860</v>
      </c>
      <c r="U4936" t="s">
        <v>47271</v>
      </c>
      <c r="W4936" t="s">
        <v>39262</v>
      </c>
      <c r="X4936" t="s">
        <v>41257</v>
      </c>
    </row>
    <row r="4937" spans="1:24">
      <c r="A4937">
        <f>HYPERLINK("https://www.philgeps.gov.ph/GEPSNONPILOT/Tender/SplashBidNoticeAbstractUI.aspx?menuIndex=3&amp;refID=7070805&amp;Result=3","7070805")</f>
        <v>0</v>
      </c>
      <c r="B4937" t="s">
        <v>1687</v>
      </c>
      <c r="C4937" t="s">
        <v>8113</v>
      </c>
      <c r="D4937" t="s">
        <v>16627</v>
      </c>
      <c r="E4937" t="s">
        <v>21126</v>
      </c>
      <c r="F4937" t="s">
        <v>28669</v>
      </c>
      <c r="G4937" t="s">
        <v>28675</v>
      </c>
      <c r="H4937" t="s">
        <v>9998</v>
      </c>
      <c r="I4937" t="s">
        <v>28710</v>
      </c>
      <c r="J4937" t="s">
        <v>28905</v>
      </c>
      <c r="K4937" t="s">
        <v>37220</v>
      </c>
      <c r="M4937" t="s">
        <v>39282</v>
      </c>
      <c r="N4937" t="s">
        <v>41249</v>
      </c>
      <c r="O4937" t="s">
        <v>41250</v>
      </c>
      <c r="P4937">
        <v>0</v>
      </c>
      <c r="Q4937">
        <v>1</v>
      </c>
      <c r="R4937" t="s">
        <v>41254</v>
      </c>
      <c r="S4937" t="s">
        <v>41425</v>
      </c>
      <c r="T4937" t="s">
        <v>42717</v>
      </c>
      <c r="U4937" t="s">
        <v>47272</v>
      </c>
      <c r="W4937" t="s">
        <v>39282</v>
      </c>
      <c r="X4937" t="s">
        <v>41257</v>
      </c>
    </row>
    <row r="4938" spans="1:24">
      <c r="A4938">
        <f>HYPERLINK("https://www.philgeps.gov.ph/GEPSNONPILOT/Tender/SplashBidNoticeAbstractUI.aspx?menuIndex=3&amp;refID=7070795&amp;Result=3","7070795")</f>
        <v>0</v>
      </c>
      <c r="B4938" t="s">
        <v>136</v>
      </c>
      <c r="C4938" t="s">
        <v>8114</v>
      </c>
      <c r="E4938" t="s">
        <v>21127</v>
      </c>
      <c r="F4938" t="s">
        <v>28669</v>
      </c>
      <c r="G4938" t="s">
        <v>28676</v>
      </c>
      <c r="H4938" t="s">
        <v>9998</v>
      </c>
      <c r="I4938" t="s">
        <v>28717</v>
      </c>
      <c r="J4938" t="s">
        <v>31620</v>
      </c>
      <c r="K4938" t="s">
        <v>37216</v>
      </c>
      <c r="M4938" t="s">
        <v>37613</v>
      </c>
      <c r="N4938" t="s">
        <v>41249</v>
      </c>
      <c r="O4938" t="s">
        <v>41250</v>
      </c>
      <c r="P4938">
        <v>0</v>
      </c>
      <c r="Q4938">
        <v>4</v>
      </c>
      <c r="R4938" t="s">
        <v>41254</v>
      </c>
      <c r="S4938" t="s">
        <v>41425</v>
      </c>
      <c r="T4938" t="s">
        <v>42766</v>
      </c>
      <c r="U4938" t="s">
        <v>47273</v>
      </c>
      <c r="V4938" t="s">
        <v>54812</v>
      </c>
      <c r="W4938" t="s">
        <v>38557</v>
      </c>
      <c r="X4938" t="s">
        <v>41257</v>
      </c>
    </row>
    <row r="4939" spans="1:24">
      <c r="A4939">
        <f>HYPERLINK("https://www.philgeps.gov.ph/GEPSNONPILOT/Tender/SplashBidNoticeAbstractUI.aspx?menuIndex=3&amp;refID=7070792&amp;Result=3","7070792")</f>
        <v>0</v>
      </c>
      <c r="B4939" t="s">
        <v>1724</v>
      </c>
      <c r="C4939" t="s">
        <v>8115</v>
      </c>
      <c r="D4939" t="s">
        <v>16625</v>
      </c>
      <c r="E4939" t="s">
        <v>21128</v>
      </c>
      <c r="F4939" t="s">
        <v>28669</v>
      </c>
      <c r="G4939" t="s">
        <v>28675</v>
      </c>
      <c r="H4939" t="s">
        <v>9998</v>
      </c>
      <c r="I4939" t="s">
        <v>5213</v>
      </c>
      <c r="J4939" t="s">
        <v>31992</v>
      </c>
      <c r="K4939" t="s">
        <v>37210</v>
      </c>
      <c r="M4939" t="s">
        <v>39323</v>
      </c>
      <c r="N4939" t="s">
        <v>41249</v>
      </c>
      <c r="O4939" t="s">
        <v>41250</v>
      </c>
      <c r="P4939">
        <v>0</v>
      </c>
      <c r="Q4939">
        <v>0</v>
      </c>
      <c r="R4939" t="s">
        <v>41254</v>
      </c>
      <c r="S4939" t="s">
        <v>41425</v>
      </c>
      <c r="T4939" t="s">
        <v>42734</v>
      </c>
      <c r="U4939" t="s">
        <v>47274</v>
      </c>
      <c r="W4939" t="s">
        <v>39323</v>
      </c>
      <c r="X4939" t="s">
        <v>41257</v>
      </c>
    </row>
    <row r="4940" spans="1:24">
      <c r="A4940">
        <f>HYPERLINK("https://www.philgeps.gov.ph/GEPSNONPILOT/Tender/SplashBidNoticeAbstractUI.aspx?menuIndex=3&amp;refID=7070829&amp;Result=3","7070829")</f>
        <v>0</v>
      </c>
      <c r="B4940" t="s">
        <v>1217</v>
      </c>
      <c r="C4940" t="s">
        <v>8116</v>
      </c>
      <c r="D4940" t="s">
        <v>16631</v>
      </c>
      <c r="E4940" t="s">
        <v>21129</v>
      </c>
      <c r="F4940" t="s">
        <v>28669</v>
      </c>
      <c r="G4940" t="s">
        <v>28675</v>
      </c>
      <c r="H4940" t="s">
        <v>9998</v>
      </c>
      <c r="I4940" t="s">
        <v>7352</v>
      </c>
      <c r="J4940" t="s">
        <v>31993</v>
      </c>
      <c r="K4940" t="s">
        <v>37301</v>
      </c>
      <c r="M4940" t="s">
        <v>38760</v>
      </c>
      <c r="N4940" t="s">
        <v>41249</v>
      </c>
      <c r="O4940" t="s">
        <v>41250</v>
      </c>
      <c r="P4940">
        <v>0</v>
      </c>
      <c r="Q4940">
        <v>0</v>
      </c>
      <c r="R4940" t="s">
        <v>41254</v>
      </c>
      <c r="S4940" t="s">
        <v>41425</v>
      </c>
      <c r="T4940" t="s">
        <v>42722</v>
      </c>
      <c r="U4940" t="s">
        <v>47275</v>
      </c>
      <c r="V4940" t="s">
        <v>54599</v>
      </c>
      <c r="W4940" t="s">
        <v>38760</v>
      </c>
      <c r="X4940" t="s">
        <v>41257</v>
      </c>
    </row>
    <row r="4941" spans="1:24">
      <c r="A4941">
        <f>HYPERLINK("https://www.philgeps.gov.ph/GEPSNONPILOT/Tender/SplashBidNoticeAbstractUI.aspx?menuIndex=3&amp;refID=7070786&amp;Result=3","7070786")</f>
        <v>0</v>
      </c>
      <c r="B4941" t="s">
        <v>1736</v>
      </c>
      <c r="C4941" t="s">
        <v>8117</v>
      </c>
      <c r="D4941" t="s">
        <v>16624</v>
      </c>
      <c r="E4941" t="s">
        <v>21130</v>
      </c>
      <c r="F4941" t="s">
        <v>28669</v>
      </c>
      <c r="G4941" t="s">
        <v>28675</v>
      </c>
      <c r="H4941" t="s">
        <v>9998</v>
      </c>
      <c r="I4941" t="s">
        <v>5213</v>
      </c>
      <c r="J4941" t="s">
        <v>30506</v>
      </c>
      <c r="K4941" t="s">
        <v>37204</v>
      </c>
      <c r="M4941" t="s">
        <v>39336</v>
      </c>
      <c r="N4941" t="s">
        <v>41249</v>
      </c>
      <c r="O4941" t="s">
        <v>41250</v>
      </c>
      <c r="P4941">
        <v>0</v>
      </c>
      <c r="Q4941">
        <v>1</v>
      </c>
      <c r="R4941" t="s">
        <v>41254</v>
      </c>
      <c r="S4941" t="s">
        <v>41425</v>
      </c>
      <c r="T4941" t="s">
        <v>42714</v>
      </c>
      <c r="U4941" t="s">
        <v>47276</v>
      </c>
      <c r="W4941" t="s">
        <v>39336</v>
      </c>
      <c r="X4941" t="s">
        <v>41257</v>
      </c>
    </row>
    <row r="4942" spans="1:24">
      <c r="A4942">
        <f>HYPERLINK("https://www.philgeps.gov.ph/GEPSNONPILOT/Tender/SplashBidNoticeAbstractUI.aspx?menuIndex=3&amp;refID=7070783&amp;Result=3","7070783")</f>
        <v>0</v>
      </c>
      <c r="B4942" t="s">
        <v>694</v>
      </c>
      <c r="C4942" t="s">
        <v>8118</v>
      </c>
      <c r="D4942" t="s">
        <v>16686</v>
      </c>
      <c r="E4942" t="s">
        <v>21131</v>
      </c>
      <c r="F4942" t="s">
        <v>28669</v>
      </c>
      <c r="G4942" t="s">
        <v>28675</v>
      </c>
      <c r="H4942" t="s">
        <v>28686</v>
      </c>
      <c r="I4942" t="s">
        <v>28689</v>
      </c>
      <c r="J4942" t="s">
        <v>31994</v>
      </c>
      <c r="K4942" t="s">
        <v>37213</v>
      </c>
      <c r="M4942" t="s">
        <v>38199</v>
      </c>
      <c r="N4942" t="s">
        <v>41249</v>
      </c>
      <c r="O4942" t="s">
        <v>41250</v>
      </c>
      <c r="P4942">
        <v>0</v>
      </c>
      <c r="Q4942">
        <v>0</v>
      </c>
      <c r="R4942" t="s">
        <v>41254</v>
      </c>
      <c r="S4942" t="s">
        <v>41425</v>
      </c>
      <c r="T4942" t="s">
        <v>42985</v>
      </c>
      <c r="U4942" t="s">
        <v>47277</v>
      </c>
      <c r="V4942" t="s">
        <v>54813</v>
      </c>
      <c r="W4942" t="s">
        <v>38199</v>
      </c>
      <c r="X4942" t="s">
        <v>41257</v>
      </c>
    </row>
    <row r="4943" spans="1:24">
      <c r="A4943">
        <f>HYPERLINK("https://www.philgeps.gov.ph/GEPSNONPILOT/Tender/SplashBidNoticeAbstractUI.aspx?menuIndex=3&amp;refID=7070778&amp;Result=3","7070778")</f>
        <v>0</v>
      </c>
      <c r="B4943" t="s">
        <v>986</v>
      </c>
      <c r="C4943" t="s">
        <v>8119</v>
      </c>
      <c r="D4943" t="s">
        <v>16620</v>
      </c>
      <c r="E4943" t="s">
        <v>21132</v>
      </c>
      <c r="F4943" t="s">
        <v>28669</v>
      </c>
      <c r="G4943" t="s">
        <v>28675</v>
      </c>
      <c r="H4943" t="s">
        <v>9998</v>
      </c>
      <c r="I4943" t="s">
        <v>6458</v>
      </c>
      <c r="J4943" t="s">
        <v>31995</v>
      </c>
      <c r="K4943" t="s">
        <v>37206</v>
      </c>
      <c r="M4943" t="s">
        <v>38900</v>
      </c>
      <c r="N4943" t="s">
        <v>41249</v>
      </c>
      <c r="O4943" t="s">
        <v>41250</v>
      </c>
      <c r="P4943">
        <v>0</v>
      </c>
      <c r="Q4943">
        <v>2</v>
      </c>
      <c r="R4943" t="s">
        <v>41254</v>
      </c>
      <c r="S4943" t="s">
        <v>41425</v>
      </c>
      <c r="T4943" t="s">
        <v>42703</v>
      </c>
      <c r="U4943" t="s">
        <v>45210</v>
      </c>
      <c r="V4943" t="s">
        <v>54542</v>
      </c>
      <c r="W4943" t="s">
        <v>38900</v>
      </c>
      <c r="X4943" t="s">
        <v>41257</v>
      </c>
    </row>
    <row r="4944" spans="1:24">
      <c r="A4944">
        <f>HYPERLINK("https://www.philgeps.gov.ph/GEPSNONPILOT/Tender/SplashBidNoticeAbstractUI.aspx?menuIndex=3&amp;refID=7070776&amp;Result=3","7070776")</f>
        <v>0</v>
      </c>
      <c r="B4944" t="s">
        <v>1735</v>
      </c>
      <c r="C4944" t="s">
        <v>8120</v>
      </c>
      <c r="D4944" t="s">
        <v>16670</v>
      </c>
      <c r="E4944" t="s">
        <v>18855</v>
      </c>
      <c r="F4944" t="s">
        <v>28669</v>
      </c>
      <c r="G4944" t="s">
        <v>28675</v>
      </c>
      <c r="H4944" t="s">
        <v>9998</v>
      </c>
      <c r="I4944" t="s">
        <v>28694</v>
      </c>
      <c r="J4944" t="s">
        <v>31996</v>
      </c>
      <c r="K4944" t="s">
        <v>37206</v>
      </c>
      <c r="M4944" t="s">
        <v>39334</v>
      </c>
      <c r="N4944" t="s">
        <v>41249</v>
      </c>
      <c r="O4944" t="s">
        <v>41250</v>
      </c>
      <c r="P4944">
        <v>0</v>
      </c>
      <c r="Q4944">
        <v>0</v>
      </c>
      <c r="R4944" t="s">
        <v>41254</v>
      </c>
      <c r="S4944" t="s">
        <v>41425</v>
      </c>
      <c r="T4944" t="s">
        <v>42879</v>
      </c>
      <c r="U4944" t="s">
        <v>45224</v>
      </c>
      <c r="V4944" t="s">
        <v>54814</v>
      </c>
      <c r="W4944" t="s">
        <v>39334</v>
      </c>
      <c r="X4944" t="s">
        <v>41257</v>
      </c>
    </row>
    <row r="4945" spans="1:24">
      <c r="A4945">
        <f>HYPERLINK("https://www.philgeps.gov.ph/GEPSNONPILOT/Tender/SplashBidNoticeAbstractUI.aspx?menuIndex=3&amp;refID=7070775&amp;Result=3","7070775")</f>
        <v>0</v>
      </c>
      <c r="B4945" t="s">
        <v>1217</v>
      </c>
      <c r="C4945" t="s">
        <v>8121</v>
      </c>
      <c r="D4945" t="s">
        <v>16631</v>
      </c>
      <c r="E4945" t="s">
        <v>21133</v>
      </c>
      <c r="F4945" t="s">
        <v>28669</v>
      </c>
      <c r="G4945" t="s">
        <v>28675</v>
      </c>
      <c r="H4945" t="s">
        <v>9998</v>
      </c>
      <c r="I4945" t="s">
        <v>28704</v>
      </c>
      <c r="J4945" t="s">
        <v>31997</v>
      </c>
      <c r="K4945" t="s">
        <v>37304</v>
      </c>
      <c r="M4945" t="s">
        <v>38760</v>
      </c>
      <c r="N4945" t="s">
        <v>41249</v>
      </c>
      <c r="O4945" t="s">
        <v>41250</v>
      </c>
      <c r="P4945">
        <v>0</v>
      </c>
      <c r="Q4945">
        <v>0</v>
      </c>
      <c r="R4945" t="s">
        <v>41254</v>
      </c>
      <c r="S4945" t="s">
        <v>41425</v>
      </c>
      <c r="T4945" t="s">
        <v>42711</v>
      </c>
      <c r="U4945" t="s">
        <v>47278</v>
      </c>
      <c r="V4945" t="s">
        <v>54599</v>
      </c>
      <c r="W4945" t="s">
        <v>38760</v>
      </c>
      <c r="X4945" t="s">
        <v>41257</v>
      </c>
    </row>
    <row r="4946" spans="1:24">
      <c r="A4946">
        <f>HYPERLINK("https://www.philgeps.gov.ph/GEPSNONPILOT/Tender/SplashBidNoticeAbstractUI.aspx?menuIndex=3&amp;refID=7070765&amp;Result=3","7070765")</f>
        <v>0</v>
      </c>
      <c r="B4946" t="s">
        <v>411</v>
      </c>
      <c r="C4946" t="s">
        <v>8122</v>
      </c>
      <c r="D4946" t="s">
        <v>16616</v>
      </c>
      <c r="E4946" t="s">
        <v>21134</v>
      </c>
      <c r="F4946" t="s">
        <v>28669</v>
      </c>
      <c r="G4946" t="s">
        <v>28676</v>
      </c>
      <c r="H4946" t="s">
        <v>9998</v>
      </c>
      <c r="I4946" t="s">
        <v>28688</v>
      </c>
      <c r="J4946" t="s">
        <v>31998</v>
      </c>
      <c r="K4946" t="s">
        <v>37205</v>
      </c>
      <c r="M4946" t="s">
        <v>39337</v>
      </c>
      <c r="N4946" t="s">
        <v>41249</v>
      </c>
      <c r="O4946" t="s">
        <v>41250</v>
      </c>
      <c r="P4946">
        <v>0</v>
      </c>
      <c r="Q4946">
        <v>6</v>
      </c>
      <c r="R4946" t="s">
        <v>41254</v>
      </c>
      <c r="S4946" t="s">
        <v>41425</v>
      </c>
      <c r="T4946" t="s">
        <v>42706</v>
      </c>
      <c r="U4946" t="s">
        <v>47279</v>
      </c>
      <c r="W4946" t="s">
        <v>39337</v>
      </c>
      <c r="X4946" t="s">
        <v>41257</v>
      </c>
    </row>
    <row r="4947" spans="1:24">
      <c r="A4947">
        <f>HYPERLINK("https://www.philgeps.gov.ph/GEPSNONPILOT/Tender/SplashBidNoticeAbstractUI.aspx?menuIndex=3&amp;refID=7070844&amp;Result=3","7070844")</f>
        <v>0</v>
      </c>
      <c r="B4947" t="s">
        <v>1401</v>
      </c>
      <c r="C4947" t="s">
        <v>8123</v>
      </c>
      <c r="D4947" t="s">
        <v>16671</v>
      </c>
      <c r="E4947" t="s">
        <v>19989</v>
      </c>
      <c r="F4947" t="s">
        <v>28669</v>
      </c>
      <c r="G4947" t="s">
        <v>28677</v>
      </c>
      <c r="H4947" t="s">
        <v>9998</v>
      </c>
      <c r="I4947" t="s">
        <v>28695</v>
      </c>
      <c r="J4947" t="s">
        <v>28877</v>
      </c>
      <c r="K4947" t="s">
        <v>37209</v>
      </c>
      <c r="M4947" t="s">
        <v>38964</v>
      </c>
      <c r="N4947" t="s">
        <v>41249</v>
      </c>
      <c r="O4947" t="s">
        <v>41250</v>
      </c>
      <c r="P4947">
        <v>0</v>
      </c>
      <c r="Q4947">
        <v>0</v>
      </c>
      <c r="R4947" t="s">
        <v>41254</v>
      </c>
      <c r="S4947" t="s">
        <v>41425</v>
      </c>
      <c r="T4947" t="s">
        <v>42673</v>
      </c>
      <c r="U4947" t="s">
        <v>47280</v>
      </c>
      <c r="W4947" t="s">
        <v>55952</v>
      </c>
      <c r="X4947" t="s">
        <v>41257</v>
      </c>
    </row>
    <row r="4948" spans="1:24">
      <c r="A4948">
        <f>HYPERLINK("https://www.philgeps.gov.ph/GEPSNONPILOT/Tender/SplashBidNoticeAbstractUI.aspx?menuIndex=3&amp;refID=7070609&amp;Result=3","7070609")</f>
        <v>0</v>
      </c>
      <c r="B4948" t="s">
        <v>1726</v>
      </c>
      <c r="C4948" t="s">
        <v>8124</v>
      </c>
      <c r="D4948" t="s">
        <v>16684</v>
      </c>
      <c r="E4948" t="s">
        <v>20125</v>
      </c>
      <c r="F4948" t="s">
        <v>28669</v>
      </c>
      <c r="G4948" t="s">
        <v>28676</v>
      </c>
      <c r="H4948" t="s">
        <v>9998</v>
      </c>
      <c r="I4948" t="s">
        <v>7352</v>
      </c>
      <c r="J4948" t="s">
        <v>31999</v>
      </c>
      <c r="K4948" t="s">
        <v>37208</v>
      </c>
      <c r="M4948" t="s">
        <v>39325</v>
      </c>
      <c r="N4948" t="s">
        <v>41249</v>
      </c>
      <c r="O4948" t="s">
        <v>41250</v>
      </c>
      <c r="P4948">
        <v>0</v>
      </c>
      <c r="Q4948">
        <v>0</v>
      </c>
      <c r="R4948" t="s">
        <v>41254</v>
      </c>
      <c r="S4948" t="s">
        <v>41425</v>
      </c>
      <c r="T4948" t="s">
        <v>42764</v>
      </c>
      <c r="U4948" t="s">
        <v>47281</v>
      </c>
      <c r="W4948" t="s">
        <v>39325</v>
      </c>
      <c r="X4948" t="s">
        <v>41257</v>
      </c>
    </row>
    <row r="4949" spans="1:24">
      <c r="A4949">
        <f>HYPERLINK("https://www.philgeps.gov.ph/GEPSNONPILOT/Tender/SplashBidNoticeAbstractUI.aspx?menuIndex=3&amp;refID=7070835&amp;Result=3","7070835")</f>
        <v>0</v>
      </c>
      <c r="B4949" t="s">
        <v>1670</v>
      </c>
      <c r="C4949" t="s">
        <v>8125</v>
      </c>
      <c r="D4949" t="s">
        <v>16678</v>
      </c>
      <c r="E4949" t="s">
        <v>21135</v>
      </c>
      <c r="F4949" t="s">
        <v>28669</v>
      </c>
      <c r="G4949" t="s">
        <v>28675</v>
      </c>
      <c r="H4949" t="s">
        <v>9998</v>
      </c>
      <c r="I4949" t="s">
        <v>7352</v>
      </c>
      <c r="J4949" t="s">
        <v>29546</v>
      </c>
      <c r="K4949" t="s">
        <v>37206</v>
      </c>
      <c r="M4949" t="s">
        <v>39262</v>
      </c>
      <c r="N4949" t="s">
        <v>41249</v>
      </c>
      <c r="O4949" t="s">
        <v>41250</v>
      </c>
      <c r="P4949">
        <v>0</v>
      </c>
      <c r="Q4949">
        <v>0</v>
      </c>
      <c r="R4949" t="s">
        <v>41254</v>
      </c>
      <c r="S4949" t="s">
        <v>41425</v>
      </c>
      <c r="T4949" t="s">
        <v>42860</v>
      </c>
      <c r="U4949" t="s">
        <v>47282</v>
      </c>
      <c r="W4949" t="s">
        <v>39262</v>
      </c>
      <c r="X4949" t="s">
        <v>41257</v>
      </c>
    </row>
    <row r="4950" spans="1:24">
      <c r="A4950">
        <f>HYPERLINK("https://www.philgeps.gov.ph/GEPSNONPILOT/Tender/SplashBidNoticeAbstractUI.aspx?menuIndex=3&amp;refID=7070789&amp;Result=3","7070789")</f>
        <v>0</v>
      </c>
      <c r="B4950" t="s">
        <v>1687</v>
      </c>
      <c r="C4950" t="s">
        <v>8126</v>
      </c>
      <c r="D4950" t="s">
        <v>16627</v>
      </c>
      <c r="E4950" t="s">
        <v>21136</v>
      </c>
      <c r="F4950" t="s">
        <v>28669</v>
      </c>
      <c r="G4950" t="s">
        <v>28675</v>
      </c>
      <c r="H4950" t="s">
        <v>9998</v>
      </c>
      <c r="I4950" t="s">
        <v>28726</v>
      </c>
      <c r="J4950" t="s">
        <v>28826</v>
      </c>
      <c r="K4950" t="s">
        <v>37220</v>
      </c>
      <c r="M4950" t="s">
        <v>39282</v>
      </c>
      <c r="N4950" t="s">
        <v>41249</v>
      </c>
      <c r="O4950" t="s">
        <v>41250</v>
      </c>
      <c r="P4950">
        <v>0</v>
      </c>
      <c r="Q4950">
        <v>2</v>
      </c>
      <c r="R4950" t="s">
        <v>41254</v>
      </c>
      <c r="S4950" t="s">
        <v>41425</v>
      </c>
      <c r="T4950" t="s">
        <v>42717</v>
      </c>
      <c r="U4950" t="s">
        <v>47283</v>
      </c>
      <c r="W4950" t="s">
        <v>39282</v>
      </c>
      <c r="X4950" t="s">
        <v>41257</v>
      </c>
    </row>
    <row r="4951" spans="1:24">
      <c r="A4951">
        <f>HYPERLINK("https://www.philgeps.gov.ph/GEPSNONPILOT/Tender/SplashBidNoticeAbstractUI.aspx?menuIndex=3&amp;refID=7070769&amp;Result=3","7070769")</f>
        <v>0</v>
      </c>
      <c r="B4951" t="s">
        <v>1728</v>
      </c>
      <c r="C4951" t="s">
        <v>8127</v>
      </c>
      <c r="D4951" t="s">
        <v>16608</v>
      </c>
      <c r="E4951" t="s">
        <v>21137</v>
      </c>
      <c r="F4951" t="s">
        <v>28669</v>
      </c>
      <c r="G4951" t="s">
        <v>28676</v>
      </c>
      <c r="H4951" t="s">
        <v>9998</v>
      </c>
      <c r="I4951" t="s">
        <v>6458</v>
      </c>
      <c r="J4951" t="s">
        <v>30026</v>
      </c>
      <c r="K4951" t="s">
        <v>37204</v>
      </c>
      <c r="M4951" t="s">
        <v>39327</v>
      </c>
      <c r="N4951" t="s">
        <v>41249</v>
      </c>
      <c r="O4951" t="s">
        <v>41250</v>
      </c>
      <c r="P4951">
        <v>0</v>
      </c>
      <c r="Q4951">
        <v>3</v>
      </c>
      <c r="R4951" t="s">
        <v>41254</v>
      </c>
      <c r="S4951" t="s">
        <v>41425</v>
      </c>
      <c r="T4951" t="s">
        <v>42736</v>
      </c>
      <c r="U4951" t="s">
        <v>47266</v>
      </c>
      <c r="V4951" t="s">
        <v>54815</v>
      </c>
      <c r="W4951" t="s">
        <v>39327</v>
      </c>
      <c r="X4951" t="s">
        <v>41257</v>
      </c>
    </row>
    <row r="4952" spans="1:24">
      <c r="A4952">
        <f>HYPERLINK("https://www.philgeps.gov.ph/GEPSNONPILOT/Tender/SplashBidNoticeAbstractUI.aspx?menuIndex=3&amp;refID=7070910&amp;Result=3","7070910")</f>
        <v>0</v>
      </c>
      <c r="B4952" t="s">
        <v>1728</v>
      </c>
      <c r="C4952" t="s">
        <v>8128</v>
      </c>
      <c r="D4952" t="s">
        <v>16608</v>
      </c>
      <c r="E4952" t="s">
        <v>21138</v>
      </c>
      <c r="F4952" t="s">
        <v>28669</v>
      </c>
      <c r="G4952" t="s">
        <v>28676</v>
      </c>
      <c r="H4952" t="s">
        <v>9998</v>
      </c>
      <c r="I4952" t="s">
        <v>15140</v>
      </c>
      <c r="J4952" t="s">
        <v>30048</v>
      </c>
      <c r="K4952" t="s">
        <v>37204</v>
      </c>
      <c r="M4952" t="s">
        <v>39327</v>
      </c>
      <c r="N4952" t="s">
        <v>41249</v>
      </c>
      <c r="O4952" t="s">
        <v>41250</v>
      </c>
      <c r="P4952">
        <v>0</v>
      </c>
      <c r="Q4952">
        <v>3</v>
      </c>
      <c r="R4952" t="s">
        <v>41254</v>
      </c>
      <c r="S4952" t="s">
        <v>41425</v>
      </c>
      <c r="T4952" t="s">
        <v>42736</v>
      </c>
      <c r="U4952" t="s">
        <v>47284</v>
      </c>
      <c r="V4952" t="s">
        <v>54815</v>
      </c>
      <c r="W4952" t="s">
        <v>39327</v>
      </c>
      <c r="X4952" t="s">
        <v>41257</v>
      </c>
    </row>
    <row r="4953" spans="1:24">
      <c r="A4953">
        <f>HYPERLINK("https://www.philgeps.gov.ph/GEPSNONPILOT/Tender/SplashBidNoticeAbstractUI.aspx?menuIndex=3&amp;refID=7070909&amp;Result=3","7070909")</f>
        <v>0</v>
      </c>
      <c r="B4953" t="s">
        <v>1687</v>
      </c>
      <c r="C4953" t="s">
        <v>8129</v>
      </c>
      <c r="D4953" t="s">
        <v>16627</v>
      </c>
      <c r="E4953" t="s">
        <v>21139</v>
      </c>
      <c r="F4953" t="s">
        <v>28669</v>
      </c>
      <c r="G4953" t="s">
        <v>28675</v>
      </c>
      <c r="H4953" t="s">
        <v>9998</v>
      </c>
      <c r="I4953" t="s">
        <v>28773</v>
      </c>
      <c r="J4953" t="s">
        <v>32000</v>
      </c>
      <c r="K4953" t="s">
        <v>37220</v>
      </c>
      <c r="M4953" t="s">
        <v>39282</v>
      </c>
      <c r="N4953" t="s">
        <v>41249</v>
      </c>
      <c r="O4953" t="s">
        <v>41250</v>
      </c>
      <c r="P4953">
        <v>0</v>
      </c>
      <c r="Q4953">
        <v>0</v>
      </c>
      <c r="R4953" t="s">
        <v>41254</v>
      </c>
      <c r="S4953" t="s">
        <v>41425</v>
      </c>
      <c r="T4953" t="s">
        <v>42717</v>
      </c>
      <c r="U4953" t="s">
        <v>47285</v>
      </c>
      <c r="W4953" t="s">
        <v>39282</v>
      </c>
      <c r="X4953" t="s">
        <v>41257</v>
      </c>
    </row>
    <row r="4954" spans="1:24">
      <c r="A4954">
        <f>HYPERLINK("https://www.philgeps.gov.ph/GEPSNONPILOT/Tender/SplashBidNoticeAbstractUI.aspx?menuIndex=3&amp;refID=7070906&amp;Result=3","7070906")</f>
        <v>0</v>
      </c>
      <c r="B4954" t="s">
        <v>1379</v>
      </c>
      <c r="C4954" t="s">
        <v>8130</v>
      </c>
      <c r="D4954" t="s">
        <v>16648</v>
      </c>
      <c r="E4954" t="s">
        <v>21140</v>
      </c>
      <c r="F4954" t="s">
        <v>28669</v>
      </c>
      <c r="G4954" t="s">
        <v>28678</v>
      </c>
      <c r="H4954" t="s">
        <v>9998</v>
      </c>
      <c r="I4954" t="s">
        <v>7352</v>
      </c>
      <c r="J4954" t="s">
        <v>32001</v>
      </c>
      <c r="K4954" t="s">
        <v>37204</v>
      </c>
      <c r="M4954" t="s">
        <v>38938</v>
      </c>
      <c r="N4954" t="s">
        <v>41249</v>
      </c>
      <c r="O4954" t="s">
        <v>41250</v>
      </c>
      <c r="P4954">
        <v>0</v>
      </c>
      <c r="Q4954">
        <v>0</v>
      </c>
      <c r="R4954" t="s">
        <v>41254</v>
      </c>
      <c r="S4954" t="s">
        <v>41425</v>
      </c>
      <c r="T4954" t="s">
        <v>42767</v>
      </c>
      <c r="U4954" t="s">
        <v>47286</v>
      </c>
      <c r="W4954" t="s">
        <v>38938</v>
      </c>
      <c r="X4954" t="s">
        <v>41257</v>
      </c>
    </row>
    <row r="4955" spans="1:24">
      <c r="A4955">
        <f>HYPERLINK("https://www.philgeps.gov.ph/GEPSNONPILOT/Tender/SplashBidNoticeAbstractUI.aspx?menuIndex=3&amp;refID=7070900&amp;Result=3","7070900")</f>
        <v>0</v>
      </c>
      <c r="B4955" t="s">
        <v>1737</v>
      </c>
      <c r="C4955" t="s">
        <v>8131</v>
      </c>
      <c r="D4955" t="s">
        <v>16619</v>
      </c>
      <c r="E4955" t="s">
        <v>21101</v>
      </c>
      <c r="F4955" t="s">
        <v>28669</v>
      </c>
      <c r="G4955" t="s">
        <v>28675</v>
      </c>
      <c r="H4955" t="s">
        <v>9998</v>
      </c>
      <c r="I4955" t="s">
        <v>28699</v>
      </c>
      <c r="J4955" t="s">
        <v>28879</v>
      </c>
      <c r="K4955" t="s">
        <v>37206</v>
      </c>
      <c r="M4955" t="s">
        <v>39338</v>
      </c>
      <c r="N4955" t="s">
        <v>41249</v>
      </c>
      <c r="O4955" t="s">
        <v>41250</v>
      </c>
      <c r="P4955">
        <v>0</v>
      </c>
      <c r="Q4955">
        <v>0</v>
      </c>
      <c r="R4955" t="s">
        <v>41254</v>
      </c>
      <c r="S4955" t="s">
        <v>41425</v>
      </c>
      <c r="T4955" t="s">
        <v>42659</v>
      </c>
      <c r="U4955" t="s">
        <v>47287</v>
      </c>
      <c r="W4955" t="s">
        <v>39338</v>
      </c>
      <c r="X4955" t="s">
        <v>41257</v>
      </c>
    </row>
    <row r="4956" spans="1:24">
      <c r="A4956">
        <f>HYPERLINK("https://www.philgeps.gov.ph/GEPSNONPILOT/Tender/SplashBidNoticeAbstractUI.aspx?menuIndex=3&amp;refID=7070914&amp;Result=3","7070914")</f>
        <v>0</v>
      </c>
      <c r="B4956" t="s">
        <v>655</v>
      </c>
      <c r="C4956" t="s">
        <v>8132</v>
      </c>
      <c r="D4956" t="s">
        <v>16624</v>
      </c>
      <c r="E4956" t="s">
        <v>21141</v>
      </c>
      <c r="F4956" t="s">
        <v>28669</v>
      </c>
      <c r="G4956" t="s">
        <v>28677</v>
      </c>
      <c r="H4956" t="s">
        <v>9998</v>
      </c>
      <c r="I4956" t="s">
        <v>28707</v>
      </c>
      <c r="J4956" t="s">
        <v>29744</v>
      </c>
      <c r="K4956" t="s">
        <v>37206</v>
      </c>
      <c r="M4956" t="s">
        <v>38156</v>
      </c>
      <c r="N4956" t="s">
        <v>41249</v>
      </c>
      <c r="O4956" t="s">
        <v>41250</v>
      </c>
      <c r="P4956">
        <v>0</v>
      </c>
      <c r="Q4956">
        <v>8</v>
      </c>
      <c r="R4956" t="s">
        <v>41254</v>
      </c>
      <c r="S4956" t="s">
        <v>41425</v>
      </c>
      <c r="T4956" t="s">
        <v>42883</v>
      </c>
      <c r="U4956" t="s">
        <v>47288</v>
      </c>
      <c r="W4956" t="s">
        <v>38156</v>
      </c>
      <c r="X4956" t="s">
        <v>41257</v>
      </c>
    </row>
    <row r="4957" spans="1:24">
      <c r="A4957">
        <f>HYPERLINK("https://www.philgeps.gov.ph/GEPSNONPILOT/Tender/SplashBidNoticeAbstractUI.aspx?menuIndex=3&amp;refID=7070912&amp;Result=3","7070912")</f>
        <v>0</v>
      </c>
      <c r="B4957" t="s">
        <v>411</v>
      </c>
      <c r="C4957" t="s">
        <v>8133</v>
      </c>
      <c r="D4957" t="s">
        <v>16695</v>
      </c>
      <c r="E4957" t="s">
        <v>21142</v>
      </c>
      <c r="F4957" t="s">
        <v>28669</v>
      </c>
      <c r="G4957" t="s">
        <v>28676</v>
      </c>
      <c r="H4957" t="s">
        <v>9998</v>
      </c>
      <c r="I4957" t="s">
        <v>28722</v>
      </c>
      <c r="J4957" t="s">
        <v>32002</v>
      </c>
      <c r="K4957" t="s">
        <v>37206</v>
      </c>
      <c r="M4957" t="s">
        <v>39337</v>
      </c>
      <c r="N4957" t="s">
        <v>41249</v>
      </c>
      <c r="O4957" t="s">
        <v>41250</v>
      </c>
      <c r="P4957">
        <v>0</v>
      </c>
      <c r="Q4957">
        <v>0</v>
      </c>
      <c r="R4957" t="s">
        <v>41254</v>
      </c>
      <c r="S4957" t="s">
        <v>41425</v>
      </c>
      <c r="T4957" t="s">
        <v>42811</v>
      </c>
      <c r="U4957" t="s">
        <v>47289</v>
      </c>
      <c r="W4957" t="s">
        <v>39337</v>
      </c>
      <c r="X4957" t="s">
        <v>41257</v>
      </c>
    </row>
    <row r="4958" spans="1:24">
      <c r="A4958">
        <f>HYPERLINK("https://www.philgeps.gov.ph/GEPSNONPILOT/Tender/SplashBidNoticeAbstractUI.aspx?menuIndex=3&amp;refID=7070767&amp;Result=3","7070767")</f>
        <v>0</v>
      </c>
      <c r="B4958" t="s">
        <v>1337</v>
      </c>
      <c r="C4958" t="s">
        <v>8134</v>
      </c>
      <c r="E4958" t="s">
        <v>16820</v>
      </c>
      <c r="F4958" t="s">
        <v>28669</v>
      </c>
      <c r="G4958" t="s">
        <v>28677</v>
      </c>
      <c r="H4958" t="s">
        <v>9998</v>
      </c>
      <c r="I4958" t="s">
        <v>28709</v>
      </c>
      <c r="J4958" t="s">
        <v>32003</v>
      </c>
      <c r="K4958" t="s">
        <v>37209</v>
      </c>
      <c r="M4958" t="s">
        <v>38892</v>
      </c>
      <c r="N4958" t="s">
        <v>41249</v>
      </c>
      <c r="O4958" t="s">
        <v>41250</v>
      </c>
      <c r="P4958">
        <v>0</v>
      </c>
      <c r="Q4958">
        <v>0</v>
      </c>
      <c r="R4958" t="s">
        <v>41254</v>
      </c>
      <c r="S4958" t="s">
        <v>41425</v>
      </c>
      <c r="T4958" t="s">
        <v>42771</v>
      </c>
      <c r="U4958" t="s">
        <v>47290</v>
      </c>
      <c r="W4958" t="s">
        <v>38892</v>
      </c>
      <c r="X4958" t="s">
        <v>41257</v>
      </c>
    </row>
    <row r="4959" spans="1:24">
      <c r="A4959">
        <f>HYPERLINK("https://www.philgeps.gov.ph/GEPSNONPILOT/Tender/SplashBidNoticeAbstractUI.aspx?menuIndex=3&amp;refID=7070888&amp;Result=3","7070888")</f>
        <v>0</v>
      </c>
      <c r="B4959" t="s">
        <v>1687</v>
      </c>
      <c r="C4959" t="s">
        <v>8135</v>
      </c>
      <c r="D4959" t="s">
        <v>16627</v>
      </c>
      <c r="E4959" t="s">
        <v>21143</v>
      </c>
      <c r="F4959" t="s">
        <v>28669</v>
      </c>
      <c r="G4959" t="s">
        <v>28675</v>
      </c>
      <c r="H4959" t="s">
        <v>9998</v>
      </c>
      <c r="I4959" t="s">
        <v>28722</v>
      </c>
      <c r="J4959" t="s">
        <v>29809</v>
      </c>
      <c r="K4959" t="s">
        <v>37220</v>
      </c>
      <c r="M4959" t="s">
        <v>39282</v>
      </c>
      <c r="N4959" t="s">
        <v>41249</v>
      </c>
      <c r="O4959" t="s">
        <v>41250</v>
      </c>
      <c r="P4959">
        <v>0</v>
      </c>
      <c r="Q4959">
        <v>0</v>
      </c>
      <c r="R4959" t="s">
        <v>41254</v>
      </c>
      <c r="S4959" t="s">
        <v>41425</v>
      </c>
      <c r="T4959" t="s">
        <v>42717</v>
      </c>
      <c r="U4959" t="s">
        <v>47291</v>
      </c>
      <c r="W4959" t="s">
        <v>39282</v>
      </c>
      <c r="X4959" t="s">
        <v>41257</v>
      </c>
    </row>
    <row r="4960" spans="1:24">
      <c r="A4960">
        <f>HYPERLINK("https://www.philgeps.gov.ph/GEPSNONPILOT/Tender/SplashBidNoticeAbstractUI.aspx?menuIndex=3&amp;refID=7070877&amp;Result=3","7070877")</f>
        <v>0</v>
      </c>
      <c r="B4960" t="s">
        <v>1401</v>
      </c>
      <c r="C4960" t="s">
        <v>8123</v>
      </c>
      <c r="D4960" t="s">
        <v>16671</v>
      </c>
      <c r="E4960" t="s">
        <v>21144</v>
      </c>
      <c r="F4960" t="s">
        <v>28669</v>
      </c>
      <c r="G4960" t="s">
        <v>28677</v>
      </c>
      <c r="H4960" t="s">
        <v>9998</v>
      </c>
      <c r="I4960" t="s">
        <v>28695</v>
      </c>
      <c r="J4960" t="s">
        <v>28877</v>
      </c>
      <c r="K4960" t="s">
        <v>37209</v>
      </c>
      <c r="M4960" t="s">
        <v>38964</v>
      </c>
      <c r="N4960" t="s">
        <v>41249</v>
      </c>
      <c r="O4960" t="s">
        <v>41250</v>
      </c>
      <c r="P4960">
        <v>0</v>
      </c>
      <c r="Q4960">
        <v>0</v>
      </c>
      <c r="R4960" t="s">
        <v>41254</v>
      </c>
      <c r="S4960" t="s">
        <v>41425</v>
      </c>
      <c r="T4960" t="s">
        <v>42673</v>
      </c>
      <c r="U4960" t="s">
        <v>47280</v>
      </c>
      <c r="W4960" t="s">
        <v>55952</v>
      </c>
      <c r="X4960" t="s">
        <v>41257</v>
      </c>
    </row>
    <row r="4961" spans="1:24">
      <c r="A4961">
        <f>HYPERLINK("https://www.philgeps.gov.ph/GEPSNONPILOT/Tender/SplashBidNoticeAbstractUI.aspx?menuIndex=3&amp;refID=7070865&amp;Result=3","7070865")</f>
        <v>0</v>
      </c>
      <c r="B4961" t="s">
        <v>1280</v>
      </c>
      <c r="C4961" t="s">
        <v>8136</v>
      </c>
      <c r="D4961" t="s">
        <v>16683</v>
      </c>
      <c r="E4961" t="s">
        <v>21145</v>
      </c>
      <c r="F4961" t="s">
        <v>28669</v>
      </c>
      <c r="G4961" t="s">
        <v>28676</v>
      </c>
      <c r="H4961" t="s">
        <v>9998</v>
      </c>
      <c r="I4961" t="s">
        <v>28717</v>
      </c>
      <c r="J4961" t="s">
        <v>29448</v>
      </c>
      <c r="K4961" t="s">
        <v>37210</v>
      </c>
      <c r="M4961" t="s">
        <v>39335</v>
      </c>
      <c r="N4961" t="s">
        <v>41249</v>
      </c>
      <c r="O4961" t="s">
        <v>41250</v>
      </c>
      <c r="P4961">
        <v>0</v>
      </c>
      <c r="Q4961">
        <v>0</v>
      </c>
      <c r="R4961" t="s">
        <v>41254</v>
      </c>
      <c r="S4961" t="s">
        <v>41425</v>
      </c>
      <c r="T4961" t="s">
        <v>42767</v>
      </c>
      <c r="U4961" t="s">
        <v>47270</v>
      </c>
      <c r="W4961" t="s">
        <v>39335</v>
      </c>
      <c r="X4961" t="s">
        <v>41257</v>
      </c>
    </row>
    <row r="4962" spans="1:24">
      <c r="A4962">
        <f>HYPERLINK("https://www.philgeps.gov.ph/GEPSNONPILOT/Tender/SplashBidNoticeAbstractUI.aspx?menuIndex=3&amp;refID=7070863&amp;Result=3","7070863")</f>
        <v>0</v>
      </c>
      <c r="B4962" t="s">
        <v>136</v>
      </c>
      <c r="C4962" t="s">
        <v>8137</v>
      </c>
      <c r="E4962" t="s">
        <v>21146</v>
      </c>
      <c r="F4962" t="s">
        <v>28669</v>
      </c>
      <c r="G4962" t="s">
        <v>28676</v>
      </c>
      <c r="H4962" t="s">
        <v>9998</v>
      </c>
      <c r="I4962" t="s">
        <v>11593</v>
      </c>
      <c r="J4962" t="s">
        <v>28879</v>
      </c>
      <c r="K4962" t="s">
        <v>37206</v>
      </c>
      <c r="M4962" t="s">
        <v>37613</v>
      </c>
      <c r="N4962" t="s">
        <v>41249</v>
      </c>
      <c r="O4962" t="s">
        <v>41250</v>
      </c>
      <c r="P4962">
        <v>0</v>
      </c>
      <c r="Q4962">
        <v>1</v>
      </c>
      <c r="R4962" t="s">
        <v>41254</v>
      </c>
      <c r="S4962" t="s">
        <v>41425</v>
      </c>
      <c r="T4962" t="s">
        <v>42766</v>
      </c>
      <c r="U4962" t="s">
        <v>47292</v>
      </c>
      <c r="V4962" t="s">
        <v>54816</v>
      </c>
      <c r="W4962" t="s">
        <v>38557</v>
      </c>
      <c r="X4962" t="s">
        <v>41257</v>
      </c>
    </row>
    <row r="4963" spans="1:24">
      <c r="A4963">
        <f>HYPERLINK("https://www.philgeps.gov.ph/GEPSNONPILOT/Tender/SplashBidNoticeAbstractUI.aspx?menuIndex=3&amp;refID=7070860&amp;Result=3","7070860")</f>
        <v>0</v>
      </c>
      <c r="B4963" t="s">
        <v>1401</v>
      </c>
      <c r="C4963" t="s">
        <v>8138</v>
      </c>
      <c r="D4963" t="s">
        <v>16671</v>
      </c>
      <c r="E4963" t="s">
        <v>21147</v>
      </c>
      <c r="F4963" t="s">
        <v>28669</v>
      </c>
      <c r="G4963" t="s">
        <v>28677</v>
      </c>
      <c r="H4963" t="s">
        <v>9998</v>
      </c>
      <c r="I4963" t="s">
        <v>3718</v>
      </c>
      <c r="J4963" t="s">
        <v>32004</v>
      </c>
      <c r="K4963" t="s">
        <v>37209</v>
      </c>
      <c r="M4963" t="s">
        <v>38964</v>
      </c>
      <c r="N4963" t="s">
        <v>41249</v>
      </c>
      <c r="O4963" t="s">
        <v>41250</v>
      </c>
      <c r="P4963">
        <v>0</v>
      </c>
      <c r="Q4963">
        <v>0</v>
      </c>
      <c r="R4963" t="s">
        <v>41254</v>
      </c>
      <c r="S4963" t="s">
        <v>41425</v>
      </c>
      <c r="T4963" t="s">
        <v>42673</v>
      </c>
      <c r="U4963" t="s">
        <v>47293</v>
      </c>
      <c r="W4963" t="s">
        <v>55952</v>
      </c>
      <c r="X4963" t="s">
        <v>41257</v>
      </c>
    </row>
    <row r="4964" spans="1:24">
      <c r="A4964">
        <f>HYPERLINK("https://www.philgeps.gov.ph/GEPSNONPILOT/Tender/SplashBidNoticeAbstractUI.aspx?menuIndex=3&amp;refID=7070856&amp;Result=3","7070856")</f>
        <v>0</v>
      </c>
      <c r="B4964" t="s">
        <v>1687</v>
      </c>
      <c r="C4964" t="s">
        <v>8139</v>
      </c>
      <c r="D4964" t="s">
        <v>16627</v>
      </c>
      <c r="E4964" t="s">
        <v>21148</v>
      </c>
      <c r="F4964" t="s">
        <v>28669</v>
      </c>
      <c r="G4964" t="s">
        <v>28675</v>
      </c>
      <c r="H4964" t="s">
        <v>9998</v>
      </c>
      <c r="I4964" t="s">
        <v>28706</v>
      </c>
      <c r="J4964" t="s">
        <v>32005</v>
      </c>
      <c r="K4964" t="s">
        <v>37220</v>
      </c>
      <c r="M4964" t="s">
        <v>39282</v>
      </c>
      <c r="N4964" t="s">
        <v>41249</v>
      </c>
      <c r="O4964" t="s">
        <v>41250</v>
      </c>
      <c r="P4964">
        <v>0</v>
      </c>
      <c r="Q4964">
        <v>2</v>
      </c>
      <c r="R4964" t="s">
        <v>41254</v>
      </c>
      <c r="S4964" t="s">
        <v>41425</v>
      </c>
      <c r="T4964" t="s">
        <v>42717</v>
      </c>
      <c r="U4964" t="s">
        <v>47294</v>
      </c>
      <c r="W4964" t="s">
        <v>39282</v>
      </c>
      <c r="X4964" t="s">
        <v>41257</v>
      </c>
    </row>
    <row r="4965" spans="1:24">
      <c r="A4965">
        <f>HYPERLINK("https://www.philgeps.gov.ph/GEPSNONPILOT/Tender/SplashBidNoticeAbstractUI.aspx?menuIndex=3&amp;refID=7070854&amp;Result=3","7070854")</f>
        <v>0</v>
      </c>
      <c r="B4965" t="s">
        <v>411</v>
      </c>
      <c r="C4965" t="s">
        <v>8140</v>
      </c>
      <c r="D4965" t="s">
        <v>16637</v>
      </c>
      <c r="E4965" t="s">
        <v>21149</v>
      </c>
      <c r="F4965" t="s">
        <v>28669</v>
      </c>
      <c r="G4965" t="s">
        <v>28676</v>
      </c>
      <c r="H4965" t="s">
        <v>28684</v>
      </c>
      <c r="I4965" t="s">
        <v>28761</v>
      </c>
      <c r="J4965" t="s">
        <v>30882</v>
      </c>
      <c r="K4965" t="s">
        <v>37241</v>
      </c>
      <c r="M4965" t="s">
        <v>39337</v>
      </c>
      <c r="N4965" t="s">
        <v>41249</v>
      </c>
      <c r="O4965" t="s">
        <v>41250</v>
      </c>
      <c r="P4965">
        <v>0</v>
      </c>
      <c r="Q4965">
        <v>1</v>
      </c>
      <c r="R4965" t="s">
        <v>41254</v>
      </c>
      <c r="S4965" t="s">
        <v>41425</v>
      </c>
      <c r="T4965" t="s">
        <v>42811</v>
      </c>
      <c r="U4965" t="s">
        <v>47295</v>
      </c>
      <c r="W4965" t="s">
        <v>39337</v>
      </c>
      <c r="X4965" t="s">
        <v>41257</v>
      </c>
    </row>
    <row r="4966" spans="1:24">
      <c r="A4966">
        <f>HYPERLINK("https://www.philgeps.gov.ph/GEPSNONPILOT/Tender/SplashBidNoticeAbstractUI.aspx?menuIndex=3&amp;refID=7070850&amp;Result=3","7070850")</f>
        <v>0</v>
      </c>
      <c r="B4966" t="s">
        <v>1280</v>
      </c>
      <c r="C4966" t="s">
        <v>8141</v>
      </c>
      <c r="D4966" t="s">
        <v>16683</v>
      </c>
      <c r="E4966" t="s">
        <v>21150</v>
      </c>
      <c r="F4966" t="s">
        <v>28669</v>
      </c>
      <c r="G4966" t="s">
        <v>28676</v>
      </c>
      <c r="H4966" t="s">
        <v>9998</v>
      </c>
      <c r="I4966" t="s">
        <v>11593</v>
      </c>
      <c r="J4966" t="s">
        <v>29679</v>
      </c>
      <c r="K4966" t="s">
        <v>37210</v>
      </c>
      <c r="M4966" t="s">
        <v>39335</v>
      </c>
      <c r="N4966" t="s">
        <v>41249</v>
      </c>
      <c r="O4966" t="s">
        <v>41250</v>
      </c>
      <c r="P4966">
        <v>0</v>
      </c>
      <c r="Q4966">
        <v>0</v>
      </c>
      <c r="R4966" t="s">
        <v>41254</v>
      </c>
      <c r="S4966" t="s">
        <v>41425</v>
      </c>
      <c r="T4966" t="s">
        <v>42767</v>
      </c>
      <c r="U4966" t="s">
        <v>47270</v>
      </c>
      <c r="W4966" t="s">
        <v>39335</v>
      </c>
      <c r="X4966" t="s">
        <v>41257</v>
      </c>
    </row>
    <row r="4967" spans="1:24">
      <c r="A4967">
        <f>HYPERLINK("https://www.philgeps.gov.ph/GEPSNONPILOT/Tender/SplashBidNoticeAbstractUI.aspx?menuIndex=3&amp;refID=7070846&amp;Result=3","7070846")</f>
        <v>0</v>
      </c>
      <c r="B4967" t="s">
        <v>217</v>
      </c>
      <c r="C4967" t="s">
        <v>8142</v>
      </c>
      <c r="E4967" t="s">
        <v>21151</v>
      </c>
      <c r="F4967" t="s">
        <v>28669</v>
      </c>
      <c r="G4967" t="s">
        <v>28676</v>
      </c>
      <c r="H4967" t="s">
        <v>9998</v>
      </c>
      <c r="I4967" t="s">
        <v>28728</v>
      </c>
      <c r="J4967" t="s">
        <v>32006</v>
      </c>
      <c r="K4967" t="s">
        <v>37206</v>
      </c>
      <c r="M4967" t="s">
        <v>37695</v>
      </c>
      <c r="N4967" t="s">
        <v>41249</v>
      </c>
      <c r="O4967" t="s">
        <v>41250</v>
      </c>
      <c r="P4967">
        <v>0</v>
      </c>
      <c r="Q4967">
        <v>4</v>
      </c>
      <c r="R4967" t="s">
        <v>41254</v>
      </c>
      <c r="S4967" t="s">
        <v>41425</v>
      </c>
      <c r="T4967" t="s">
        <v>42675</v>
      </c>
      <c r="U4967" t="s">
        <v>47296</v>
      </c>
      <c r="W4967" t="s">
        <v>37695</v>
      </c>
      <c r="X4967" t="s">
        <v>41257</v>
      </c>
    </row>
    <row r="4968" spans="1:24">
      <c r="A4968">
        <f>HYPERLINK("https://www.philgeps.gov.ph/GEPSNONPILOT/Tender/SplashBidNoticeAbstractUI.aspx?menuIndex=3&amp;refID=7070845&amp;Result=3","7070845")</f>
        <v>0</v>
      </c>
      <c r="B4968" t="s">
        <v>655</v>
      </c>
      <c r="C4968" t="s">
        <v>8143</v>
      </c>
      <c r="D4968" t="s">
        <v>16624</v>
      </c>
      <c r="E4968" t="s">
        <v>21152</v>
      </c>
      <c r="F4968" t="s">
        <v>28669</v>
      </c>
      <c r="G4968" t="s">
        <v>28676</v>
      </c>
      <c r="H4968" t="s">
        <v>9998</v>
      </c>
      <c r="I4968" t="s">
        <v>28724</v>
      </c>
      <c r="J4968" t="s">
        <v>29191</v>
      </c>
      <c r="K4968" t="s">
        <v>37221</v>
      </c>
      <c r="M4968" t="s">
        <v>38156</v>
      </c>
      <c r="N4968" t="s">
        <v>41249</v>
      </c>
      <c r="O4968" t="s">
        <v>41250</v>
      </c>
      <c r="P4968">
        <v>0</v>
      </c>
      <c r="Q4968">
        <v>4</v>
      </c>
      <c r="R4968" t="s">
        <v>41254</v>
      </c>
      <c r="S4968" t="s">
        <v>41425</v>
      </c>
      <c r="T4968" t="s">
        <v>42883</v>
      </c>
      <c r="U4968" t="s">
        <v>47297</v>
      </c>
      <c r="W4968" t="s">
        <v>38156</v>
      </c>
      <c r="X4968" t="s">
        <v>41257</v>
      </c>
    </row>
    <row r="4969" spans="1:24">
      <c r="A4969">
        <f>HYPERLINK("https://www.philgeps.gov.ph/GEPSNONPILOT/Tender/SplashBidNoticeAbstractUI.aspx?menuIndex=3&amp;refID=7070838&amp;Result=3","7070838")</f>
        <v>0</v>
      </c>
      <c r="B4969" t="s">
        <v>233</v>
      </c>
      <c r="C4969" t="s">
        <v>8144</v>
      </c>
      <c r="D4969" t="s">
        <v>16654</v>
      </c>
      <c r="E4969" t="s">
        <v>21153</v>
      </c>
      <c r="F4969" t="s">
        <v>28669</v>
      </c>
      <c r="G4969" t="s">
        <v>28676</v>
      </c>
      <c r="H4969" t="s">
        <v>28686</v>
      </c>
      <c r="I4969" t="s">
        <v>28689</v>
      </c>
      <c r="J4969" t="s">
        <v>32007</v>
      </c>
      <c r="K4969" t="s">
        <v>37231</v>
      </c>
      <c r="M4969" t="s">
        <v>37711</v>
      </c>
      <c r="N4969" t="s">
        <v>41249</v>
      </c>
      <c r="O4969" t="s">
        <v>41250</v>
      </c>
      <c r="P4969">
        <v>0</v>
      </c>
      <c r="Q4969">
        <v>4</v>
      </c>
      <c r="R4969" t="s">
        <v>41254</v>
      </c>
      <c r="S4969" t="s">
        <v>41425</v>
      </c>
      <c r="T4969" t="s">
        <v>42727</v>
      </c>
      <c r="U4969" t="s">
        <v>43558</v>
      </c>
      <c r="W4969" t="s">
        <v>37711</v>
      </c>
      <c r="X4969" t="s">
        <v>41257</v>
      </c>
    </row>
    <row r="4970" spans="1:24">
      <c r="A4970">
        <f>HYPERLINK("https://www.philgeps.gov.ph/GEPSNONPILOT/Tender/SplashBidNoticeAbstractUI.aspx?menuIndex=3&amp;refID=7070931&amp;Result=3","7070931")</f>
        <v>0</v>
      </c>
      <c r="B4970" t="s">
        <v>1217</v>
      </c>
      <c r="C4970" t="s">
        <v>4125</v>
      </c>
      <c r="D4970" t="s">
        <v>16631</v>
      </c>
      <c r="E4970" t="s">
        <v>21154</v>
      </c>
      <c r="F4970" t="s">
        <v>28669</v>
      </c>
      <c r="G4970" t="s">
        <v>28675</v>
      </c>
      <c r="H4970" t="s">
        <v>9998</v>
      </c>
      <c r="I4970" t="s">
        <v>11593</v>
      </c>
      <c r="J4970" t="s">
        <v>32008</v>
      </c>
      <c r="K4970" t="s">
        <v>37301</v>
      </c>
      <c r="M4970" t="s">
        <v>38760</v>
      </c>
      <c r="N4970" t="s">
        <v>41249</v>
      </c>
      <c r="O4970" t="s">
        <v>41250</v>
      </c>
      <c r="P4970">
        <v>0</v>
      </c>
      <c r="Q4970">
        <v>0</v>
      </c>
      <c r="R4970" t="s">
        <v>41254</v>
      </c>
      <c r="S4970" t="s">
        <v>41425</v>
      </c>
      <c r="T4970" t="s">
        <v>42711</v>
      </c>
      <c r="U4970" t="s">
        <v>47298</v>
      </c>
      <c r="V4970" t="s">
        <v>54599</v>
      </c>
      <c r="W4970" t="s">
        <v>38760</v>
      </c>
      <c r="X4970" t="s">
        <v>41257</v>
      </c>
    </row>
    <row r="4971" spans="1:24">
      <c r="A4971">
        <f>HYPERLINK("https://www.philgeps.gov.ph/GEPSNONPILOT/Tender/SplashBidNoticeAbstractUI.aspx?menuIndex=3&amp;refID=7071023&amp;Result=3","7071023")</f>
        <v>0</v>
      </c>
      <c r="B4971" t="s">
        <v>1042</v>
      </c>
      <c r="C4971" t="s">
        <v>8145</v>
      </c>
      <c r="D4971" t="s">
        <v>16625</v>
      </c>
      <c r="E4971" t="s">
        <v>21155</v>
      </c>
      <c r="F4971" t="s">
        <v>28669</v>
      </c>
      <c r="G4971" t="s">
        <v>28676</v>
      </c>
      <c r="H4971" t="s">
        <v>9998</v>
      </c>
      <c r="I4971" t="s">
        <v>5033</v>
      </c>
      <c r="J4971" t="s">
        <v>32009</v>
      </c>
      <c r="K4971" t="s">
        <v>37209</v>
      </c>
      <c r="M4971" t="s">
        <v>38573</v>
      </c>
      <c r="N4971" t="s">
        <v>41249</v>
      </c>
      <c r="O4971" t="s">
        <v>41250</v>
      </c>
      <c r="P4971">
        <v>0</v>
      </c>
      <c r="Q4971">
        <v>3</v>
      </c>
      <c r="R4971" t="s">
        <v>41254</v>
      </c>
      <c r="S4971" t="s">
        <v>41425</v>
      </c>
      <c r="T4971" t="s">
        <v>42742</v>
      </c>
      <c r="U4971" t="s">
        <v>45409</v>
      </c>
      <c r="W4971" t="s">
        <v>38573</v>
      </c>
      <c r="X4971" t="s">
        <v>41257</v>
      </c>
    </row>
    <row r="4972" spans="1:24">
      <c r="A4972">
        <f>HYPERLINK("https://www.philgeps.gov.ph/GEPSNONPILOT/Tender/SplashBidNoticeAbstractUI.aspx?menuIndex=3&amp;refID=7071000&amp;Result=3","7071000")</f>
        <v>0</v>
      </c>
      <c r="B4972" t="s">
        <v>386</v>
      </c>
      <c r="C4972" t="s">
        <v>8146</v>
      </c>
      <c r="D4972" t="s">
        <v>16615</v>
      </c>
      <c r="E4972" t="s">
        <v>21156</v>
      </c>
      <c r="F4972" t="s">
        <v>28669</v>
      </c>
      <c r="G4972" t="s">
        <v>28676</v>
      </c>
      <c r="H4972" t="s">
        <v>9998</v>
      </c>
      <c r="I4972" t="s">
        <v>28695</v>
      </c>
      <c r="J4972" t="s">
        <v>32010</v>
      </c>
      <c r="K4972" t="s">
        <v>37209</v>
      </c>
      <c r="M4972" t="s">
        <v>37870</v>
      </c>
      <c r="N4972" t="s">
        <v>41249</v>
      </c>
      <c r="O4972" t="s">
        <v>41250</v>
      </c>
      <c r="P4972">
        <v>0</v>
      </c>
      <c r="Q4972">
        <v>0</v>
      </c>
      <c r="R4972" t="s">
        <v>41254</v>
      </c>
      <c r="S4972" t="s">
        <v>41425</v>
      </c>
      <c r="T4972" t="s">
        <v>42883</v>
      </c>
      <c r="U4972" t="s">
        <v>47299</v>
      </c>
      <c r="W4972" t="s">
        <v>37870</v>
      </c>
      <c r="X4972" t="s">
        <v>41257</v>
      </c>
    </row>
    <row r="4973" spans="1:24">
      <c r="A4973">
        <f>HYPERLINK("https://www.philgeps.gov.ph/GEPSNONPILOT/Tender/SplashBidNoticeAbstractUI.aspx?menuIndex=3&amp;refID=7070833&amp;Result=3","7070833")</f>
        <v>0</v>
      </c>
      <c r="B4973" t="s">
        <v>1736</v>
      </c>
      <c r="C4973" t="s">
        <v>8147</v>
      </c>
      <c r="D4973" t="s">
        <v>16624</v>
      </c>
      <c r="E4973" t="s">
        <v>21157</v>
      </c>
      <c r="F4973" t="s">
        <v>28669</v>
      </c>
      <c r="G4973" t="s">
        <v>28675</v>
      </c>
      <c r="H4973" t="s">
        <v>9998</v>
      </c>
      <c r="I4973" t="s">
        <v>28700</v>
      </c>
      <c r="J4973" t="s">
        <v>32011</v>
      </c>
      <c r="K4973" t="s">
        <v>37206</v>
      </c>
      <c r="M4973" t="s">
        <v>39336</v>
      </c>
      <c r="N4973" t="s">
        <v>41249</v>
      </c>
      <c r="O4973" t="s">
        <v>41250</v>
      </c>
      <c r="P4973">
        <v>0</v>
      </c>
      <c r="Q4973">
        <v>6</v>
      </c>
      <c r="R4973" t="s">
        <v>41254</v>
      </c>
      <c r="S4973" t="s">
        <v>41425</v>
      </c>
      <c r="T4973" t="s">
        <v>42812</v>
      </c>
      <c r="U4973" t="s">
        <v>47300</v>
      </c>
      <c r="V4973" t="s">
        <v>54817</v>
      </c>
      <c r="W4973" t="s">
        <v>39336</v>
      </c>
      <c r="X4973" t="s">
        <v>41257</v>
      </c>
    </row>
    <row r="4974" spans="1:24">
      <c r="A4974">
        <f>HYPERLINK("https://www.philgeps.gov.ph/GEPSNONPILOT/Tender/SplashBidNoticeAbstractUI.aspx?menuIndex=3&amp;refID=7070985&amp;Result=3","7070985")</f>
        <v>0</v>
      </c>
      <c r="B4974" t="s">
        <v>411</v>
      </c>
      <c r="C4974" t="s">
        <v>8148</v>
      </c>
      <c r="D4974" t="s">
        <v>16616</v>
      </c>
      <c r="E4974" t="s">
        <v>21158</v>
      </c>
      <c r="F4974" t="s">
        <v>28669</v>
      </c>
      <c r="G4974" t="s">
        <v>28676</v>
      </c>
      <c r="H4974" t="s">
        <v>9998</v>
      </c>
      <c r="I4974" t="s">
        <v>5213</v>
      </c>
      <c r="J4974" t="s">
        <v>29040</v>
      </c>
      <c r="K4974" t="s">
        <v>37205</v>
      </c>
      <c r="M4974" t="s">
        <v>39337</v>
      </c>
      <c r="N4974" t="s">
        <v>41249</v>
      </c>
      <c r="O4974" t="s">
        <v>41250</v>
      </c>
      <c r="P4974">
        <v>0</v>
      </c>
      <c r="Q4974">
        <v>2</v>
      </c>
      <c r="R4974" t="s">
        <v>41254</v>
      </c>
      <c r="S4974" t="s">
        <v>41425</v>
      </c>
      <c r="T4974" t="s">
        <v>42706</v>
      </c>
      <c r="U4974" t="s">
        <v>47301</v>
      </c>
      <c r="W4974" t="s">
        <v>39337</v>
      </c>
      <c r="X4974" t="s">
        <v>41257</v>
      </c>
    </row>
    <row r="4975" spans="1:24">
      <c r="A4975">
        <f>HYPERLINK("https://www.philgeps.gov.ph/GEPSNONPILOT/Tender/SplashBidNoticeAbstractUI.aspx?menuIndex=3&amp;refID=7070984&amp;Result=3","7070984")</f>
        <v>0</v>
      </c>
      <c r="B4975" t="s">
        <v>386</v>
      </c>
      <c r="C4975" t="s">
        <v>8146</v>
      </c>
      <c r="D4975" t="s">
        <v>16615</v>
      </c>
      <c r="E4975" t="s">
        <v>21159</v>
      </c>
      <c r="F4975" t="s">
        <v>28669</v>
      </c>
      <c r="G4975" t="s">
        <v>28676</v>
      </c>
      <c r="H4975" t="s">
        <v>9998</v>
      </c>
      <c r="I4975" t="s">
        <v>28695</v>
      </c>
      <c r="J4975" t="s">
        <v>30104</v>
      </c>
      <c r="K4975" t="s">
        <v>37209</v>
      </c>
      <c r="M4975" t="s">
        <v>37870</v>
      </c>
      <c r="N4975" t="s">
        <v>41249</v>
      </c>
      <c r="O4975" t="s">
        <v>41250</v>
      </c>
      <c r="P4975">
        <v>0</v>
      </c>
      <c r="Q4975">
        <v>0</v>
      </c>
      <c r="R4975" t="s">
        <v>41254</v>
      </c>
      <c r="S4975" t="s">
        <v>41425</v>
      </c>
      <c r="T4975" t="s">
        <v>42883</v>
      </c>
      <c r="U4975" t="s">
        <v>47302</v>
      </c>
      <c r="W4975" t="s">
        <v>37870</v>
      </c>
      <c r="X4975" t="s">
        <v>41257</v>
      </c>
    </row>
    <row r="4976" spans="1:24">
      <c r="A4976">
        <f>HYPERLINK("https://www.philgeps.gov.ph/GEPSNONPILOT/Tender/SplashBidNoticeAbstractUI.aspx?menuIndex=3&amp;refID=7070980&amp;Result=3","7070980")</f>
        <v>0</v>
      </c>
      <c r="B4976" t="s">
        <v>1217</v>
      </c>
      <c r="C4976" t="s">
        <v>8149</v>
      </c>
      <c r="D4976" t="s">
        <v>16631</v>
      </c>
      <c r="E4976" t="s">
        <v>21160</v>
      </c>
      <c r="F4976" t="s">
        <v>28669</v>
      </c>
      <c r="G4976" t="s">
        <v>28675</v>
      </c>
      <c r="H4976" t="s">
        <v>28686</v>
      </c>
      <c r="I4976" t="s">
        <v>28689</v>
      </c>
      <c r="J4976" t="s">
        <v>28924</v>
      </c>
      <c r="K4976" t="s">
        <v>37298</v>
      </c>
      <c r="M4976" t="s">
        <v>38760</v>
      </c>
      <c r="N4976" t="s">
        <v>41249</v>
      </c>
      <c r="O4976" t="s">
        <v>41250</v>
      </c>
      <c r="P4976">
        <v>0</v>
      </c>
      <c r="Q4976">
        <v>1</v>
      </c>
      <c r="R4976" t="s">
        <v>41254</v>
      </c>
      <c r="S4976" t="s">
        <v>41425</v>
      </c>
      <c r="T4976" t="s">
        <v>42722</v>
      </c>
      <c r="U4976" t="s">
        <v>47303</v>
      </c>
      <c r="V4976" t="s">
        <v>54599</v>
      </c>
      <c r="W4976" t="s">
        <v>38760</v>
      </c>
      <c r="X4976" t="s">
        <v>41257</v>
      </c>
    </row>
    <row r="4977" spans="1:24">
      <c r="A4977">
        <f>HYPERLINK("https://www.philgeps.gov.ph/GEPSNONPILOT/Tender/SplashBidNoticeAbstractUI.aspx?menuIndex=3&amp;refID=7070967&amp;Result=3","7070967")</f>
        <v>0</v>
      </c>
      <c r="B4977" t="s">
        <v>348</v>
      </c>
      <c r="C4977" t="s">
        <v>8150</v>
      </c>
      <c r="D4977" t="s">
        <v>16657</v>
      </c>
      <c r="E4977" t="s">
        <v>21161</v>
      </c>
      <c r="F4977" t="s">
        <v>28669</v>
      </c>
      <c r="G4977" t="s">
        <v>28676</v>
      </c>
      <c r="H4977" t="s">
        <v>9998</v>
      </c>
      <c r="I4977" t="s">
        <v>28706</v>
      </c>
      <c r="J4977" t="s">
        <v>29538</v>
      </c>
      <c r="K4977" t="s">
        <v>37206</v>
      </c>
      <c r="M4977" t="s">
        <v>37828</v>
      </c>
      <c r="N4977" t="s">
        <v>41249</v>
      </c>
      <c r="O4977" t="s">
        <v>41250</v>
      </c>
      <c r="P4977">
        <v>0</v>
      </c>
      <c r="Q4977">
        <v>2</v>
      </c>
      <c r="R4977" t="s">
        <v>41254</v>
      </c>
      <c r="S4977" t="s">
        <v>41425</v>
      </c>
      <c r="T4977" t="s">
        <v>42675</v>
      </c>
      <c r="U4977" t="s">
        <v>47304</v>
      </c>
      <c r="W4977" t="s">
        <v>37828</v>
      </c>
      <c r="X4977" t="s">
        <v>41257</v>
      </c>
    </row>
    <row r="4978" spans="1:24">
      <c r="A4978">
        <f>HYPERLINK("https://www.philgeps.gov.ph/GEPSNONPILOT/Tender/SplashBidNoticeAbstractUI.aspx?menuIndex=3&amp;refID=7070954&amp;Result=3","7070954")</f>
        <v>0</v>
      </c>
      <c r="B4978" t="s">
        <v>1710</v>
      </c>
      <c r="C4978" t="s">
        <v>8151</v>
      </c>
      <c r="D4978" t="s">
        <v>16615</v>
      </c>
      <c r="E4978" t="s">
        <v>21162</v>
      </c>
      <c r="F4978" t="s">
        <v>28669</v>
      </c>
      <c r="G4978" t="s">
        <v>28676</v>
      </c>
      <c r="H4978" t="s">
        <v>9998</v>
      </c>
      <c r="I4978" t="s">
        <v>28694</v>
      </c>
      <c r="J4978" t="s">
        <v>32012</v>
      </c>
      <c r="K4978" t="s">
        <v>37209</v>
      </c>
      <c r="M4978" t="s">
        <v>39308</v>
      </c>
      <c r="N4978" t="s">
        <v>41249</v>
      </c>
      <c r="O4978" t="s">
        <v>41250</v>
      </c>
      <c r="P4978">
        <v>0</v>
      </c>
      <c r="Q4978">
        <v>0</v>
      </c>
      <c r="R4978" t="s">
        <v>41254</v>
      </c>
      <c r="S4978" t="s">
        <v>41425</v>
      </c>
      <c r="T4978" t="s">
        <v>42883</v>
      </c>
      <c r="U4978" t="s">
        <v>47305</v>
      </c>
      <c r="W4978" t="s">
        <v>39308</v>
      </c>
      <c r="X4978" t="s">
        <v>41257</v>
      </c>
    </row>
    <row r="4979" spans="1:24">
      <c r="A4979">
        <f>HYPERLINK("https://www.philgeps.gov.ph/GEPSNONPILOT/Tender/SplashBidNoticeAbstractUI.aspx?menuIndex=3&amp;refID=7071035&amp;Result=3","7071035")</f>
        <v>0</v>
      </c>
      <c r="B4979" t="s">
        <v>1217</v>
      </c>
      <c r="C4979" t="s">
        <v>8152</v>
      </c>
      <c r="D4979" t="s">
        <v>16631</v>
      </c>
      <c r="E4979" t="s">
        <v>21163</v>
      </c>
      <c r="F4979" t="s">
        <v>28669</v>
      </c>
      <c r="G4979" t="s">
        <v>28675</v>
      </c>
      <c r="H4979" t="s">
        <v>28686</v>
      </c>
      <c r="I4979" t="s">
        <v>28689</v>
      </c>
      <c r="J4979" t="s">
        <v>28924</v>
      </c>
      <c r="K4979" t="s">
        <v>37298</v>
      </c>
      <c r="M4979" t="s">
        <v>38760</v>
      </c>
      <c r="N4979" t="s">
        <v>41249</v>
      </c>
      <c r="O4979" t="s">
        <v>41250</v>
      </c>
      <c r="P4979">
        <v>0</v>
      </c>
      <c r="Q4979">
        <v>0</v>
      </c>
      <c r="R4979" t="s">
        <v>41254</v>
      </c>
      <c r="S4979" t="s">
        <v>41425</v>
      </c>
      <c r="T4979" t="s">
        <v>42722</v>
      </c>
      <c r="U4979" t="s">
        <v>47306</v>
      </c>
      <c r="V4979" t="s">
        <v>54599</v>
      </c>
      <c r="W4979" t="s">
        <v>38760</v>
      </c>
      <c r="X4979" t="s">
        <v>41257</v>
      </c>
    </row>
    <row r="4980" spans="1:24">
      <c r="A4980">
        <f>HYPERLINK("https://www.philgeps.gov.ph/GEPSNONPILOT/Tender/SplashBidNoticeAbstractUI.aspx?menuIndex=3&amp;refID=7070922&amp;Result=3","7070922")</f>
        <v>0</v>
      </c>
      <c r="B4980" t="s">
        <v>1738</v>
      </c>
      <c r="C4980" t="s">
        <v>8153</v>
      </c>
      <c r="D4980" t="s">
        <v>16651</v>
      </c>
      <c r="E4980" t="s">
        <v>21164</v>
      </c>
      <c r="F4980" t="s">
        <v>28669</v>
      </c>
      <c r="G4980" t="s">
        <v>28677</v>
      </c>
      <c r="H4980" t="s">
        <v>9998</v>
      </c>
      <c r="I4980" t="s">
        <v>7352</v>
      </c>
      <c r="J4980" t="s">
        <v>32013</v>
      </c>
      <c r="K4980" t="s">
        <v>37234</v>
      </c>
      <c r="M4980" t="s">
        <v>39339</v>
      </c>
      <c r="N4980" t="s">
        <v>41249</v>
      </c>
      <c r="O4980" t="s">
        <v>41250</v>
      </c>
      <c r="P4980">
        <v>0</v>
      </c>
      <c r="Q4980">
        <v>0</v>
      </c>
      <c r="R4980" t="s">
        <v>41254</v>
      </c>
      <c r="S4980" t="s">
        <v>41425</v>
      </c>
      <c r="T4980" t="s">
        <v>42758</v>
      </c>
      <c r="U4980" t="s">
        <v>47307</v>
      </c>
      <c r="W4980" t="s">
        <v>39339</v>
      </c>
      <c r="X4980" t="s">
        <v>41257</v>
      </c>
    </row>
    <row r="4981" spans="1:24">
      <c r="A4981">
        <f>HYPERLINK("https://www.philgeps.gov.ph/GEPSNONPILOT/Tender/SplashBidNoticeAbstractUI.aspx?menuIndex=3&amp;refID=7071027&amp;Result=3","7071027")</f>
        <v>0</v>
      </c>
      <c r="B4981" t="s">
        <v>219</v>
      </c>
      <c r="C4981" t="s">
        <v>8154</v>
      </c>
      <c r="D4981" t="s">
        <v>16658</v>
      </c>
      <c r="E4981" t="s">
        <v>21165</v>
      </c>
      <c r="F4981" t="s">
        <v>28669</v>
      </c>
      <c r="G4981" t="s">
        <v>28677</v>
      </c>
      <c r="H4981" t="s">
        <v>9998</v>
      </c>
      <c r="I4981" t="s">
        <v>28690</v>
      </c>
      <c r="J4981" t="s">
        <v>28838</v>
      </c>
      <c r="K4981" t="s">
        <v>37205</v>
      </c>
      <c r="M4981" t="s">
        <v>37697</v>
      </c>
      <c r="N4981" t="s">
        <v>41249</v>
      </c>
      <c r="O4981" t="s">
        <v>41250</v>
      </c>
      <c r="P4981">
        <v>0</v>
      </c>
      <c r="Q4981">
        <v>1</v>
      </c>
      <c r="R4981" t="s">
        <v>41254</v>
      </c>
      <c r="S4981" t="s">
        <v>41425</v>
      </c>
      <c r="T4981" t="s">
        <v>42883</v>
      </c>
      <c r="U4981" t="s">
        <v>47308</v>
      </c>
      <c r="W4981" t="s">
        <v>37697</v>
      </c>
      <c r="X4981" t="s">
        <v>41257</v>
      </c>
    </row>
    <row r="4982" spans="1:24">
      <c r="A4982">
        <f>HYPERLINK("https://www.philgeps.gov.ph/GEPSNONPILOT/Tender/SplashBidNoticeAbstractUI.aspx?menuIndex=3&amp;refID=7070951&amp;Result=3","7070951")</f>
        <v>0</v>
      </c>
      <c r="B4982" t="s">
        <v>1687</v>
      </c>
      <c r="C4982" t="s">
        <v>8155</v>
      </c>
      <c r="D4982" t="s">
        <v>16627</v>
      </c>
      <c r="E4982" t="s">
        <v>21166</v>
      </c>
      <c r="F4982" t="s">
        <v>28669</v>
      </c>
      <c r="G4982" t="s">
        <v>28675</v>
      </c>
      <c r="H4982" t="s">
        <v>9998</v>
      </c>
      <c r="I4982" t="s">
        <v>7352</v>
      </c>
      <c r="J4982" t="s">
        <v>32014</v>
      </c>
      <c r="K4982" t="s">
        <v>37220</v>
      </c>
      <c r="M4982" t="s">
        <v>39282</v>
      </c>
      <c r="N4982" t="s">
        <v>41249</v>
      </c>
      <c r="O4982" t="s">
        <v>41250</v>
      </c>
      <c r="P4982">
        <v>0</v>
      </c>
      <c r="Q4982">
        <v>1</v>
      </c>
      <c r="R4982" t="s">
        <v>41254</v>
      </c>
      <c r="S4982" t="s">
        <v>41425</v>
      </c>
      <c r="T4982" t="s">
        <v>42694</v>
      </c>
      <c r="U4982" t="s">
        <v>47197</v>
      </c>
      <c r="W4982" t="s">
        <v>39282</v>
      </c>
      <c r="X4982" t="s">
        <v>41257</v>
      </c>
    </row>
    <row r="4983" spans="1:24">
      <c r="A4983">
        <f>HYPERLINK("https://www.philgeps.gov.ph/GEPSNONPILOT/Tender/SplashBidNoticeAbstractUI.aspx?menuIndex=3&amp;refID=7070945&amp;Result=3","7070945")</f>
        <v>0</v>
      </c>
      <c r="B4983" t="s">
        <v>1739</v>
      </c>
      <c r="C4983" t="s">
        <v>8156</v>
      </c>
      <c r="D4983" t="s">
        <v>16687</v>
      </c>
      <c r="E4983" t="s">
        <v>21167</v>
      </c>
      <c r="F4983" t="s">
        <v>28669</v>
      </c>
      <c r="G4983" t="s">
        <v>28678</v>
      </c>
      <c r="H4983" t="s">
        <v>9998</v>
      </c>
      <c r="I4983" t="s">
        <v>6128</v>
      </c>
      <c r="J4983" t="s">
        <v>32015</v>
      </c>
      <c r="K4983" t="s">
        <v>37289</v>
      </c>
      <c r="M4983" t="s">
        <v>39340</v>
      </c>
      <c r="N4983" t="s">
        <v>41249</v>
      </c>
      <c r="O4983" t="s">
        <v>41250</v>
      </c>
      <c r="P4983">
        <v>0</v>
      </c>
      <c r="Q4983">
        <v>0</v>
      </c>
      <c r="R4983" t="s">
        <v>41254</v>
      </c>
      <c r="S4983" t="s">
        <v>41425</v>
      </c>
      <c r="T4983" t="s">
        <v>42771</v>
      </c>
      <c r="U4983" t="s">
        <v>47309</v>
      </c>
      <c r="W4983" t="s">
        <v>39340</v>
      </c>
      <c r="X4983" t="s">
        <v>41257</v>
      </c>
    </row>
    <row r="4984" spans="1:24">
      <c r="A4984">
        <f>HYPERLINK("https://www.philgeps.gov.ph/GEPSNONPILOT/Tender/SplashBidNoticeAbstractUI.aspx?menuIndex=3&amp;refID=7070943&amp;Result=3","7070943")</f>
        <v>0</v>
      </c>
      <c r="B4984" t="s">
        <v>411</v>
      </c>
      <c r="C4984" t="s">
        <v>8157</v>
      </c>
      <c r="D4984" t="s">
        <v>16616</v>
      </c>
      <c r="E4984" t="s">
        <v>21168</v>
      </c>
      <c r="F4984" t="s">
        <v>28669</v>
      </c>
      <c r="G4984" t="s">
        <v>28676</v>
      </c>
      <c r="H4984" t="s">
        <v>9998</v>
      </c>
      <c r="I4984" t="s">
        <v>28736</v>
      </c>
      <c r="J4984" t="s">
        <v>32016</v>
      </c>
      <c r="K4984" t="s">
        <v>37220</v>
      </c>
      <c r="M4984" t="s">
        <v>39337</v>
      </c>
      <c r="N4984" t="s">
        <v>41249</v>
      </c>
      <c r="O4984" t="s">
        <v>41250</v>
      </c>
      <c r="P4984">
        <v>0</v>
      </c>
      <c r="Q4984">
        <v>0</v>
      </c>
      <c r="R4984" t="s">
        <v>41254</v>
      </c>
      <c r="S4984" t="s">
        <v>41425</v>
      </c>
      <c r="T4984" t="s">
        <v>42811</v>
      </c>
      <c r="U4984" t="s">
        <v>47310</v>
      </c>
      <c r="W4984" t="s">
        <v>39337</v>
      </c>
      <c r="X4984" t="s">
        <v>41257</v>
      </c>
    </row>
    <row r="4985" spans="1:24">
      <c r="A4985">
        <f>HYPERLINK("https://www.philgeps.gov.ph/GEPSNONPILOT/Tender/SplashBidNoticeAbstractUI.aspx?menuIndex=3&amp;refID=7070941&amp;Result=3","7070941")</f>
        <v>0</v>
      </c>
      <c r="B4985" t="s">
        <v>386</v>
      </c>
      <c r="C4985" t="s">
        <v>8158</v>
      </c>
      <c r="D4985" t="s">
        <v>16615</v>
      </c>
      <c r="E4985" t="s">
        <v>21169</v>
      </c>
      <c r="F4985" t="s">
        <v>28669</v>
      </c>
      <c r="G4985" t="s">
        <v>28676</v>
      </c>
      <c r="H4985" t="s">
        <v>9998</v>
      </c>
      <c r="I4985" t="s">
        <v>28704</v>
      </c>
      <c r="J4985" t="s">
        <v>29487</v>
      </c>
      <c r="K4985" t="s">
        <v>37209</v>
      </c>
      <c r="M4985" t="s">
        <v>37870</v>
      </c>
      <c r="N4985" t="s">
        <v>41249</v>
      </c>
      <c r="O4985" t="s">
        <v>41250</v>
      </c>
      <c r="P4985">
        <v>0</v>
      </c>
      <c r="Q4985">
        <v>0</v>
      </c>
      <c r="R4985" t="s">
        <v>41254</v>
      </c>
      <c r="S4985" t="s">
        <v>41425</v>
      </c>
      <c r="T4985" t="s">
        <v>42883</v>
      </c>
      <c r="U4985" t="s">
        <v>47311</v>
      </c>
      <c r="W4985" t="s">
        <v>37870</v>
      </c>
      <c r="X4985" t="s">
        <v>41257</v>
      </c>
    </row>
    <row r="4986" spans="1:24">
      <c r="A4986">
        <f>HYPERLINK("https://www.philgeps.gov.ph/GEPSNONPILOT/Tender/SplashBidNoticeAbstractUI.aspx?menuIndex=3&amp;refID=7070940&amp;Result=3","7070940")</f>
        <v>0</v>
      </c>
      <c r="B4986" t="s">
        <v>1740</v>
      </c>
      <c r="C4986" t="s">
        <v>8159</v>
      </c>
      <c r="D4986" t="s">
        <v>16626</v>
      </c>
      <c r="E4986" t="s">
        <v>21170</v>
      </c>
      <c r="F4986" t="s">
        <v>28669</v>
      </c>
      <c r="G4986" t="s">
        <v>28676</v>
      </c>
      <c r="H4986" t="s">
        <v>9998</v>
      </c>
      <c r="I4986" t="s">
        <v>28728</v>
      </c>
      <c r="J4986" t="s">
        <v>29083</v>
      </c>
      <c r="K4986" t="s">
        <v>37272</v>
      </c>
      <c r="M4986" t="s">
        <v>39341</v>
      </c>
      <c r="N4986" t="s">
        <v>41249</v>
      </c>
      <c r="O4986" t="s">
        <v>41250</v>
      </c>
      <c r="P4986">
        <v>0</v>
      </c>
      <c r="Q4986">
        <v>0</v>
      </c>
      <c r="R4986" t="s">
        <v>41254</v>
      </c>
      <c r="S4986" t="s">
        <v>41425</v>
      </c>
      <c r="T4986" t="s">
        <v>42771</v>
      </c>
      <c r="U4986" t="s">
        <v>47312</v>
      </c>
      <c r="W4986" t="s">
        <v>39341</v>
      </c>
      <c r="X4986" t="s">
        <v>41257</v>
      </c>
    </row>
    <row r="4987" spans="1:24">
      <c r="A4987">
        <f>HYPERLINK("https://www.philgeps.gov.ph/GEPSNONPILOT/Tender/SplashBidNoticeAbstractUI.aspx?menuIndex=3&amp;refID=7070935&amp;Result=3","7070935")</f>
        <v>0</v>
      </c>
      <c r="B4987" t="s">
        <v>89</v>
      </c>
      <c r="C4987" t="s">
        <v>8160</v>
      </c>
      <c r="D4987" t="s">
        <v>16637</v>
      </c>
      <c r="E4987" t="s">
        <v>21171</v>
      </c>
      <c r="F4987" t="s">
        <v>28669</v>
      </c>
      <c r="G4987" t="s">
        <v>28678</v>
      </c>
      <c r="H4987" t="s">
        <v>9998</v>
      </c>
      <c r="I4987" t="s">
        <v>28697</v>
      </c>
      <c r="J4987" t="s">
        <v>32017</v>
      </c>
      <c r="K4987" t="s">
        <v>37206</v>
      </c>
      <c r="M4987" t="s">
        <v>37564</v>
      </c>
      <c r="N4987" t="s">
        <v>41249</v>
      </c>
      <c r="O4987" t="s">
        <v>41250</v>
      </c>
      <c r="P4987">
        <v>0</v>
      </c>
      <c r="Q4987">
        <v>7</v>
      </c>
      <c r="R4987" t="s">
        <v>41254</v>
      </c>
      <c r="S4987" t="s">
        <v>41425</v>
      </c>
      <c r="T4987" t="s">
        <v>42827</v>
      </c>
      <c r="U4987" t="s">
        <v>47313</v>
      </c>
      <c r="W4987" t="s">
        <v>37564</v>
      </c>
      <c r="X4987" t="s">
        <v>41257</v>
      </c>
    </row>
    <row r="4988" spans="1:24">
      <c r="A4988">
        <f>HYPERLINK("https://www.philgeps.gov.ph/GEPSNONPILOT/Tender/SplashBidNoticeAbstractUI.aspx?menuIndex=3&amp;refID=7071053&amp;Result=3","7071053")</f>
        <v>0</v>
      </c>
      <c r="B4988" t="s">
        <v>1741</v>
      </c>
      <c r="C4988" t="s">
        <v>8161</v>
      </c>
      <c r="D4988" t="s">
        <v>16626</v>
      </c>
      <c r="E4988" t="s">
        <v>21172</v>
      </c>
      <c r="F4988" t="s">
        <v>28669</v>
      </c>
      <c r="G4988" t="s">
        <v>28675</v>
      </c>
      <c r="H4988" t="s">
        <v>9998</v>
      </c>
      <c r="I4988" t="s">
        <v>28704</v>
      </c>
      <c r="J4988" t="s">
        <v>32018</v>
      </c>
      <c r="K4988" t="s">
        <v>37206</v>
      </c>
      <c r="M4988" t="s">
        <v>39342</v>
      </c>
      <c r="N4988" t="s">
        <v>41249</v>
      </c>
      <c r="O4988" t="s">
        <v>41250</v>
      </c>
      <c r="P4988">
        <v>0</v>
      </c>
      <c r="Q4988">
        <v>1</v>
      </c>
      <c r="R4988" t="s">
        <v>41254</v>
      </c>
      <c r="S4988" t="s">
        <v>41425</v>
      </c>
      <c r="T4988" t="s">
        <v>42673</v>
      </c>
      <c r="U4988" t="s">
        <v>47314</v>
      </c>
      <c r="W4988" t="s">
        <v>39342</v>
      </c>
      <c r="X4988" t="s">
        <v>41257</v>
      </c>
    </row>
    <row r="4989" spans="1:24">
      <c r="A4989">
        <f>HYPERLINK("https://www.philgeps.gov.ph/GEPSNONPILOT/Tender/SplashBidNoticeAbstractUI.aspx?menuIndex=3&amp;refID=7071050&amp;Result=3","7071050")</f>
        <v>0</v>
      </c>
      <c r="B4989" t="s">
        <v>1692</v>
      </c>
      <c r="C4989" t="s">
        <v>8162</v>
      </c>
      <c r="E4989" t="s">
        <v>21173</v>
      </c>
      <c r="F4989" t="s">
        <v>28669</v>
      </c>
      <c r="G4989" t="s">
        <v>28676</v>
      </c>
      <c r="H4989" t="s">
        <v>9998</v>
      </c>
      <c r="I4989" t="s">
        <v>28688</v>
      </c>
      <c r="J4989" t="s">
        <v>29552</v>
      </c>
      <c r="K4989" t="s">
        <v>37210</v>
      </c>
      <c r="M4989" t="s">
        <v>39287</v>
      </c>
      <c r="N4989" t="s">
        <v>41249</v>
      </c>
      <c r="O4989" t="s">
        <v>41250</v>
      </c>
      <c r="P4989">
        <v>0</v>
      </c>
      <c r="Q4989">
        <v>2</v>
      </c>
      <c r="R4989" t="s">
        <v>41254</v>
      </c>
      <c r="S4989" t="s">
        <v>41425</v>
      </c>
      <c r="T4989" t="s">
        <v>42887</v>
      </c>
      <c r="U4989" t="s">
        <v>47315</v>
      </c>
      <c r="W4989" t="s">
        <v>39287</v>
      </c>
      <c r="X4989" t="s">
        <v>41257</v>
      </c>
    </row>
    <row r="4990" spans="1:24">
      <c r="A4990">
        <f>HYPERLINK("https://www.philgeps.gov.ph/GEPSNONPILOT/Tender/SplashBidNoticeAbstractUI.aspx?menuIndex=3&amp;refID=7071037&amp;Result=3","7071037")</f>
        <v>0</v>
      </c>
      <c r="B4990" t="s">
        <v>386</v>
      </c>
      <c r="C4990" t="s">
        <v>8163</v>
      </c>
      <c r="D4990" t="s">
        <v>16615</v>
      </c>
      <c r="E4990" t="s">
        <v>21174</v>
      </c>
      <c r="F4990" t="s">
        <v>28669</v>
      </c>
      <c r="G4990" t="s">
        <v>28676</v>
      </c>
      <c r="H4990" t="s">
        <v>9998</v>
      </c>
      <c r="I4990" t="s">
        <v>28699</v>
      </c>
      <c r="J4990" t="s">
        <v>28834</v>
      </c>
      <c r="K4990" t="s">
        <v>37209</v>
      </c>
      <c r="M4990" t="s">
        <v>37870</v>
      </c>
      <c r="N4990" t="s">
        <v>41249</v>
      </c>
      <c r="O4990" t="s">
        <v>41250</v>
      </c>
      <c r="P4990">
        <v>0</v>
      </c>
      <c r="Q4990">
        <v>1</v>
      </c>
      <c r="R4990" t="s">
        <v>41254</v>
      </c>
      <c r="S4990" t="s">
        <v>41425</v>
      </c>
      <c r="T4990" t="s">
        <v>42883</v>
      </c>
      <c r="U4990" t="s">
        <v>47316</v>
      </c>
      <c r="W4990" t="s">
        <v>37870</v>
      </c>
      <c r="X4990" t="s">
        <v>41257</v>
      </c>
    </row>
    <row r="4991" spans="1:24">
      <c r="A4991">
        <f>HYPERLINK("https://www.philgeps.gov.ph/GEPSNONPILOT/Tender/SplashBidNoticeAbstractUI.aspx?menuIndex=3&amp;refID=7071102&amp;Result=3","7071102")</f>
        <v>0</v>
      </c>
      <c r="B4991" t="s">
        <v>459</v>
      </c>
      <c r="C4991" t="s">
        <v>8164</v>
      </c>
      <c r="D4991" t="s">
        <v>16616</v>
      </c>
      <c r="E4991" t="s">
        <v>21175</v>
      </c>
      <c r="F4991" t="s">
        <v>28669</v>
      </c>
      <c r="G4991" t="s">
        <v>28676</v>
      </c>
      <c r="H4991" t="s">
        <v>9998</v>
      </c>
      <c r="I4991" t="s">
        <v>28742</v>
      </c>
      <c r="J4991" t="s">
        <v>28905</v>
      </c>
      <c r="K4991" t="s">
        <v>37206</v>
      </c>
      <c r="M4991" t="s">
        <v>37947</v>
      </c>
      <c r="N4991" t="s">
        <v>41249</v>
      </c>
      <c r="O4991" t="s">
        <v>41250</v>
      </c>
      <c r="P4991">
        <v>0</v>
      </c>
      <c r="Q4991">
        <v>5</v>
      </c>
      <c r="R4991" t="s">
        <v>41254</v>
      </c>
      <c r="S4991" t="s">
        <v>41425</v>
      </c>
      <c r="T4991" t="s">
        <v>42767</v>
      </c>
      <c r="U4991" t="s">
        <v>47317</v>
      </c>
      <c r="W4991" t="s">
        <v>37947</v>
      </c>
      <c r="X4991" t="s">
        <v>41257</v>
      </c>
    </row>
    <row r="4992" spans="1:24">
      <c r="A4992">
        <f>HYPERLINK("https://www.philgeps.gov.ph/GEPSNONPILOT/Tender/SplashBidNoticeAbstractUI.aspx?menuIndex=3&amp;refID=7071101&amp;Result=3","7071101")</f>
        <v>0</v>
      </c>
      <c r="B4992" t="s">
        <v>447</v>
      </c>
      <c r="C4992" t="s">
        <v>8165</v>
      </c>
      <c r="D4992" t="s">
        <v>16608</v>
      </c>
      <c r="E4992" t="s">
        <v>21176</v>
      </c>
      <c r="F4992" t="s">
        <v>28669</v>
      </c>
      <c r="G4992" t="s">
        <v>28676</v>
      </c>
      <c r="H4992" t="s">
        <v>9998</v>
      </c>
      <c r="I4992" t="s">
        <v>7352</v>
      </c>
      <c r="J4992" t="s">
        <v>32019</v>
      </c>
      <c r="K4992" t="s">
        <v>37209</v>
      </c>
      <c r="M4992" t="s">
        <v>39343</v>
      </c>
      <c r="N4992" t="s">
        <v>41249</v>
      </c>
      <c r="O4992" t="s">
        <v>41250</v>
      </c>
      <c r="P4992">
        <v>0</v>
      </c>
      <c r="Q4992">
        <v>0</v>
      </c>
      <c r="R4992" t="s">
        <v>41254</v>
      </c>
      <c r="S4992" t="s">
        <v>41425</v>
      </c>
      <c r="T4992" t="s">
        <v>42711</v>
      </c>
      <c r="U4992" t="s">
        <v>47318</v>
      </c>
      <c r="W4992" t="s">
        <v>39343</v>
      </c>
      <c r="X4992" t="s">
        <v>41257</v>
      </c>
    </row>
    <row r="4993" spans="1:24">
      <c r="A4993">
        <f>HYPERLINK("https://www.philgeps.gov.ph/GEPSNONPILOT/Tender/SplashBidNoticeAbstractUI.aspx?menuIndex=3&amp;refID=7070955&amp;Result=3","7070955")</f>
        <v>0</v>
      </c>
      <c r="B4993" t="s">
        <v>1737</v>
      </c>
      <c r="C4993" t="s">
        <v>8166</v>
      </c>
      <c r="D4993" t="s">
        <v>16619</v>
      </c>
      <c r="E4993" t="s">
        <v>18464</v>
      </c>
      <c r="F4993" t="s">
        <v>28669</v>
      </c>
      <c r="G4993" t="s">
        <v>28675</v>
      </c>
      <c r="H4993" t="s">
        <v>9998</v>
      </c>
      <c r="I4993" t="s">
        <v>7352</v>
      </c>
      <c r="J4993" t="s">
        <v>32020</v>
      </c>
      <c r="K4993" t="s">
        <v>37206</v>
      </c>
      <c r="M4993" t="s">
        <v>39338</v>
      </c>
      <c r="N4993" t="s">
        <v>41249</v>
      </c>
      <c r="O4993" t="s">
        <v>41250</v>
      </c>
      <c r="P4993">
        <v>0</v>
      </c>
      <c r="Q4993">
        <v>1</v>
      </c>
      <c r="R4993" t="s">
        <v>41254</v>
      </c>
      <c r="S4993" t="s">
        <v>41425</v>
      </c>
      <c r="T4993" t="s">
        <v>42659</v>
      </c>
      <c r="U4993" t="s">
        <v>47319</v>
      </c>
      <c r="W4993" t="s">
        <v>39338</v>
      </c>
      <c r="X4993" t="s">
        <v>41257</v>
      </c>
    </row>
    <row r="4994" spans="1:24">
      <c r="A4994">
        <f>HYPERLINK("https://www.philgeps.gov.ph/GEPSNONPILOT/Tender/SplashBidNoticeAbstractUI.aspx?menuIndex=3&amp;refID=7071116&amp;Result=3","7071116")</f>
        <v>0</v>
      </c>
      <c r="B4994" t="s">
        <v>1742</v>
      </c>
      <c r="C4994" t="s">
        <v>8167</v>
      </c>
      <c r="E4994" t="s">
        <v>16877</v>
      </c>
      <c r="F4994" t="s">
        <v>28669</v>
      </c>
      <c r="G4994" t="s">
        <v>28675</v>
      </c>
      <c r="H4994" t="s">
        <v>9998</v>
      </c>
      <c r="I4994" t="s">
        <v>7352</v>
      </c>
      <c r="J4994" t="s">
        <v>32021</v>
      </c>
      <c r="K4994" t="s">
        <v>37209</v>
      </c>
      <c r="M4994" t="s">
        <v>39344</v>
      </c>
      <c r="N4994" t="s">
        <v>41249</v>
      </c>
      <c r="O4994" t="s">
        <v>41250</v>
      </c>
      <c r="P4994">
        <v>0</v>
      </c>
      <c r="Q4994">
        <v>0</v>
      </c>
      <c r="R4994" t="s">
        <v>41254</v>
      </c>
      <c r="S4994" t="s">
        <v>41425</v>
      </c>
      <c r="T4994" t="s">
        <v>42986</v>
      </c>
      <c r="U4994" t="s">
        <v>47320</v>
      </c>
      <c r="W4994" t="s">
        <v>39344</v>
      </c>
      <c r="X4994" t="s">
        <v>41257</v>
      </c>
    </row>
    <row r="4995" spans="1:24">
      <c r="A4995">
        <f>HYPERLINK("https://www.philgeps.gov.ph/GEPSNONPILOT/Tender/SplashBidNoticeAbstractUI.aspx?menuIndex=3&amp;refID=7070920&amp;Result=3","7070920")</f>
        <v>0</v>
      </c>
      <c r="B4995" t="s">
        <v>1743</v>
      </c>
      <c r="C4995" t="s">
        <v>8168</v>
      </c>
      <c r="D4995" t="s">
        <v>16654</v>
      </c>
      <c r="E4995" t="s">
        <v>21177</v>
      </c>
      <c r="F4995" t="s">
        <v>28669</v>
      </c>
      <c r="G4995" t="s">
        <v>28676</v>
      </c>
      <c r="H4995" t="s">
        <v>9998</v>
      </c>
      <c r="I4995" t="s">
        <v>28697</v>
      </c>
      <c r="J4995" t="s">
        <v>32022</v>
      </c>
      <c r="K4995" t="s">
        <v>37208</v>
      </c>
      <c r="M4995" t="s">
        <v>39345</v>
      </c>
      <c r="N4995" t="s">
        <v>41249</v>
      </c>
      <c r="O4995" t="s">
        <v>41250</v>
      </c>
      <c r="P4995">
        <v>0</v>
      </c>
      <c r="Q4995">
        <v>1</v>
      </c>
      <c r="R4995" t="s">
        <v>41254</v>
      </c>
      <c r="S4995" t="s">
        <v>41425</v>
      </c>
      <c r="T4995" t="s">
        <v>42727</v>
      </c>
      <c r="U4995" t="s">
        <v>47321</v>
      </c>
      <c r="W4995" t="s">
        <v>39345</v>
      </c>
      <c r="X4995" t="s">
        <v>41257</v>
      </c>
    </row>
    <row r="4996" spans="1:24">
      <c r="A4996">
        <f>HYPERLINK("https://www.philgeps.gov.ph/GEPSNONPILOT/Tender/SplashBidNoticeAbstractUI.aspx?menuIndex=3&amp;refID=7071112&amp;Result=3","7071112")</f>
        <v>0</v>
      </c>
      <c r="B4996" t="s">
        <v>1728</v>
      </c>
      <c r="C4996" t="s">
        <v>8169</v>
      </c>
      <c r="D4996" t="s">
        <v>16608</v>
      </c>
      <c r="E4996" t="s">
        <v>21178</v>
      </c>
      <c r="F4996" t="s">
        <v>28669</v>
      </c>
      <c r="G4996" t="s">
        <v>28676</v>
      </c>
      <c r="H4996" t="s">
        <v>28684</v>
      </c>
      <c r="I4996" t="s">
        <v>28761</v>
      </c>
      <c r="J4996" t="s">
        <v>32023</v>
      </c>
      <c r="K4996" t="s">
        <v>37205</v>
      </c>
      <c r="M4996" t="s">
        <v>39327</v>
      </c>
      <c r="N4996" t="s">
        <v>41249</v>
      </c>
      <c r="O4996" t="s">
        <v>41250</v>
      </c>
      <c r="P4996">
        <v>0</v>
      </c>
      <c r="Q4996">
        <v>3</v>
      </c>
      <c r="R4996" t="s">
        <v>41254</v>
      </c>
      <c r="S4996" t="s">
        <v>41425</v>
      </c>
      <c r="T4996" t="s">
        <v>42736</v>
      </c>
      <c r="U4996" t="s">
        <v>47284</v>
      </c>
      <c r="V4996" t="s">
        <v>54815</v>
      </c>
      <c r="W4996" t="s">
        <v>39327</v>
      </c>
      <c r="X4996" t="s">
        <v>41257</v>
      </c>
    </row>
    <row r="4997" spans="1:24">
      <c r="A4997">
        <f>HYPERLINK("https://www.philgeps.gov.ph/GEPSNONPILOT/Tender/SplashBidNoticeAbstractUI.aspx?menuIndex=3&amp;refID=7071109&amp;Result=3","7071109")</f>
        <v>0</v>
      </c>
      <c r="B4997" t="s">
        <v>86</v>
      </c>
      <c r="C4997" t="s">
        <v>8170</v>
      </c>
      <c r="D4997" t="s">
        <v>16624</v>
      </c>
      <c r="E4997" t="s">
        <v>21179</v>
      </c>
      <c r="F4997" t="s">
        <v>28669</v>
      </c>
      <c r="G4997" t="s">
        <v>28675</v>
      </c>
      <c r="H4997" t="s">
        <v>9998</v>
      </c>
      <c r="I4997" t="s">
        <v>28687</v>
      </c>
      <c r="J4997" t="s">
        <v>32024</v>
      </c>
      <c r="K4997" t="s">
        <v>37213</v>
      </c>
      <c r="M4997" t="s">
        <v>37561</v>
      </c>
      <c r="N4997" t="s">
        <v>41249</v>
      </c>
      <c r="O4997" t="s">
        <v>41250</v>
      </c>
      <c r="P4997">
        <v>0</v>
      </c>
      <c r="Q4997">
        <v>15</v>
      </c>
      <c r="R4997" t="s">
        <v>41254</v>
      </c>
      <c r="S4997" t="s">
        <v>41425</v>
      </c>
      <c r="T4997" t="s">
        <v>42815</v>
      </c>
      <c r="U4997" t="s">
        <v>47322</v>
      </c>
      <c r="W4997" t="s">
        <v>37561</v>
      </c>
      <c r="X4997" t="s">
        <v>41257</v>
      </c>
    </row>
    <row r="4998" spans="1:24">
      <c r="A4998">
        <f>HYPERLINK("https://www.philgeps.gov.ph/GEPSNONPILOT/Tender/SplashBidNoticeAbstractUI.aspx?menuIndex=3&amp;refID=7071104&amp;Result=3","7071104")</f>
        <v>0</v>
      </c>
      <c r="B4998" t="s">
        <v>1337</v>
      </c>
      <c r="C4998" t="s">
        <v>8171</v>
      </c>
      <c r="E4998" t="s">
        <v>16820</v>
      </c>
      <c r="F4998" t="s">
        <v>28669</v>
      </c>
      <c r="G4998" t="s">
        <v>28677</v>
      </c>
      <c r="H4998" t="s">
        <v>9998</v>
      </c>
      <c r="I4998" t="s">
        <v>28709</v>
      </c>
      <c r="J4998" t="s">
        <v>32025</v>
      </c>
      <c r="K4998" t="s">
        <v>37209</v>
      </c>
      <c r="M4998" t="s">
        <v>38892</v>
      </c>
      <c r="N4998" t="s">
        <v>41249</v>
      </c>
      <c r="O4998" t="s">
        <v>41250</v>
      </c>
      <c r="P4998">
        <v>0</v>
      </c>
      <c r="Q4998">
        <v>0</v>
      </c>
      <c r="R4998" t="s">
        <v>41254</v>
      </c>
      <c r="S4998" t="s">
        <v>41425</v>
      </c>
      <c r="T4998" t="s">
        <v>42758</v>
      </c>
      <c r="U4998" t="s">
        <v>47323</v>
      </c>
      <c r="W4998" t="s">
        <v>38892</v>
      </c>
      <c r="X4998" t="s">
        <v>41257</v>
      </c>
    </row>
    <row r="4999" spans="1:24">
      <c r="A4999">
        <f>HYPERLINK("https://www.philgeps.gov.ph/GEPSNONPILOT/Tender/SplashBidNoticeAbstractUI.aspx?menuIndex=3&amp;refID=7071096&amp;Result=3","7071096")</f>
        <v>0</v>
      </c>
      <c r="B4999" t="s">
        <v>807</v>
      </c>
      <c r="C4999" t="s">
        <v>8172</v>
      </c>
      <c r="D4999" t="s">
        <v>16666</v>
      </c>
      <c r="E4999" t="s">
        <v>21180</v>
      </c>
      <c r="F4999" t="s">
        <v>28669</v>
      </c>
      <c r="G4999" t="s">
        <v>28678</v>
      </c>
      <c r="H4999" t="s">
        <v>9998</v>
      </c>
      <c r="I4999" t="s">
        <v>6128</v>
      </c>
      <c r="J4999" t="s">
        <v>32026</v>
      </c>
      <c r="K4999" t="s">
        <v>37209</v>
      </c>
      <c r="M4999" t="s">
        <v>38322</v>
      </c>
      <c r="N4999" t="s">
        <v>41249</v>
      </c>
      <c r="O4999" t="s">
        <v>41250</v>
      </c>
      <c r="P4999">
        <v>0</v>
      </c>
      <c r="Q4999">
        <v>3</v>
      </c>
      <c r="R4999" t="s">
        <v>41254</v>
      </c>
      <c r="S4999" t="s">
        <v>41425</v>
      </c>
      <c r="T4999" t="s">
        <v>42728</v>
      </c>
      <c r="U4999" t="s">
        <v>47324</v>
      </c>
      <c r="V4999" t="s">
        <v>54630</v>
      </c>
      <c r="W4999" t="s">
        <v>38322</v>
      </c>
      <c r="X4999" t="s">
        <v>41257</v>
      </c>
    </row>
    <row r="5000" spans="1:24">
      <c r="A5000">
        <f>HYPERLINK("https://www.philgeps.gov.ph/GEPSNONPILOT/Tender/SplashBidNoticeAbstractUI.aspx?menuIndex=3&amp;refID=7071095&amp;Result=3","7071095")</f>
        <v>0</v>
      </c>
      <c r="B5000" t="s">
        <v>447</v>
      </c>
      <c r="C5000" t="s">
        <v>8173</v>
      </c>
      <c r="D5000" t="s">
        <v>16608</v>
      </c>
      <c r="E5000" t="s">
        <v>21181</v>
      </c>
      <c r="F5000" t="s">
        <v>28669</v>
      </c>
      <c r="G5000" t="s">
        <v>28676</v>
      </c>
      <c r="H5000" t="s">
        <v>9998</v>
      </c>
      <c r="I5000" t="s">
        <v>28711</v>
      </c>
      <c r="J5000" t="s">
        <v>30103</v>
      </c>
      <c r="K5000" t="s">
        <v>37209</v>
      </c>
      <c r="M5000" t="s">
        <v>39343</v>
      </c>
      <c r="N5000" t="s">
        <v>41249</v>
      </c>
      <c r="O5000" t="s">
        <v>41250</v>
      </c>
      <c r="P5000">
        <v>0</v>
      </c>
      <c r="Q5000">
        <v>0</v>
      </c>
      <c r="R5000" t="s">
        <v>41254</v>
      </c>
      <c r="S5000" t="s">
        <v>41425</v>
      </c>
      <c r="T5000" t="s">
        <v>42711</v>
      </c>
      <c r="U5000" t="s">
        <v>47325</v>
      </c>
      <c r="W5000" t="s">
        <v>39343</v>
      </c>
      <c r="X5000" t="s">
        <v>41257</v>
      </c>
    </row>
    <row r="5001" spans="1:24">
      <c r="A5001">
        <f>HYPERLINK("https://www.philgeps.gov.ph/GEPSNONPILOT/Tender/SplashBidNoticeAbstractUI.aspx?menuIndex=3&amp;refID=7071090&amp;Result=3","7071090")</f>
        <v>0</v>
      </c>
      <c r="B5001" t="s">
        <v>607</v>
      </c>
      <c r="C5001" t="s">
        <v>5169</v>
      </c>
      <c r="D5001" t="s">
        <v>16657</v>
      </c>
      <c r="E5001" t="s">
        <v>21182</v>
      </c>
      <c r="F5001" t="s">
        <v>28669</v>
      </c>
      <c r="G5001" t="s">
        <v>28678</v>
      </c>
      <c r="H5001" t="s">
        <v>9998</v>
      </c>
      <c r="I5001" t="s">
        <v>28699</v>
      </c>
      <c r="J5001" t="s">
        <v>32027</v>
      </c>
      <c r="K5001" t="s">
        <v>37209</v>
      </c>
      <c r="M5001" t="s">
        <v>38107</v>
      </c>
      <c r="N5001" t="s">
        <v>41249</v>
      </c>
      <c r="O5001" t="s">
        <v>41250</v>
      </c>
      <c r="P5001">
        <v>0</v>
      </c>
      <c r="Q5001">
        <v>0</v>
      </c>
      <c r="R5001" t="s">
        <v>41254</v>
      </c>
      <c r="S5001" t="s">
        <v>41425</v>
      </c>
      <c r="T5001" t="s">
        <v>42728</v>
      </c>
      <c r="U5001" t="s">
        <v>47326</v>
      </c>
      <c r="W5001" t="s">
        <v>38107</v>
      </c>
      <c r="X5001" t="s">
        <v>41257</v>
      </c>
    </row>
    <row r="5002" spans="1:24">
      <c r="A5002">
        <f>HYPERLINK("https://www.philgeps.gov.ph/GEPSNONPILOT/Tender/SplashBidNoticeAbstractUI.aspx?menuIndex=3&amp;refID=7070547&amp;Result=3","7070547")</f>
        <v>0</v>
      </c>
      <c r="B5002" t="s">
        <v>743</v>
      </c>
      <c r="C5002" t="s">
        <v>8174</v>
      </c>
      <c r="D5002" t="s">
        <v>16629</v>
      </c>
      <c r="E5002" t="s">
        <v>21183</v>
      </c>
      <c r="F5002" t="s">
        <v>28669</v>
      </c>
      <c r="G5002" t="s">
        <v>28675</v>
      </c>
      <c r="H5002" t="s">
        <v>28686</v>
      </c>
      <c r="I5002" t="s">
        <v>28689</v>
      </c>
      <c r="J5002" t="s">
        <v>29003</v>
      </c>
      <c r="K5002" t="s">
        <v>37356</v>
      </c>
      <c r="M5002" t="s">
        <v>39318</v>
      </c>
      <c r="N5002" t="s">
        <v>41249</v>
      </c>
      <c r="O5002" t="s">
        <v>41250</v>
      </c>
      <c r="P5002">
        <v>0</v>
      </c>
      <c r="Q5002">
        <v>0</v>
      </c>
      <c r="R5002" t="s">
        <v>41254</v>
      </c>
      <c r="S5002" t="s">
        <v>41425</v>
      </c>
      <c r="T5002" t="s">
        <v>42671</v>
      </c>
      <c r="U5002" t="s">
        <v>47327</v>
      </c>
      <c r="V5002" t="s">
        <v>54818</v>
      </c>
      <c r="W5002" t="s">
        <v>39318</v>
      </c>
      <c r="X5002" t="s">
        <v>41257</v>
      </c>
    </row>
    <row r="5003" spans="1:24">
      <c r="A5003">
        <f>HYPERLINK("https://www.philgeps.gov.ph/GEPSNONPILOT/Tender/SplashBidNoticeAbstractUI.aspx?menuIndex=3&amp;refID=7071085&amp;Result=3","7071085")</f>
        <v>0</v>
      </c>
      <c r="B5003" t="s">
        <v>1744</v>
      </c>
      <c r="C5003" t="s">
        <v>8175</v>
      </c>
      <c r="D5003" t="s">
        <v>16608</v>
      </c>
      <c r="E5003" t="s">
        <v>21184</v>
      </c>
      <c r="F5003" t="s">
        <v>28669</v>
      </c>
      <c r="G5003" t="s">
        <v>28675</v>
      </c>
      <c r="H5003" t="s">
        <v>9998</v>
      </c>
      <c r="I5003" t="s">
        <v>28688</v>
      </c>
      <c r="J5003" t="s">
        <v>32028</v>
      </c>
      <c r="K5003" t="s">
        <v>37209</v>
      </c>
      <c r="M5003" t="s">
        <v>39346</v>
      </c>
      <c r="N5003" t="s">
        <v>41249</v>
      </c>
      <c r="O5003" t="s">
        <v>41250</v>
      </c>
      <c r="P5003">
        <v>0</v>
      </c>
      <c r="Q5003">
        <v>8</v>
      </c>
      <c r="R5003" t="s">
        <v>41254</v>
      </c>
      <c r="S5003" t="s">
        <v>41425</v>
      </c>
      <c r="T5003" t="s">
        <v>42688</v>
      </c>
      <c r="U5003" t="s">
        <v>47328</v>
      </c>
      <c r="V5003" t="s">
        <v>54819</v>
      </c>
      <c r="W5003" t="s">
        <v>39346</v>
      </c>
      <c r="X5003" t="s">
        <v>41257</v>
      </c>
    </row>
    <row r="5004" spans="1:24">
      <c r="A5004">
        <f>HYPERLINK("https://www.philgeps.gov.ph/GEPSNONPILOT/Tender/SplashBidNoticeAbstractUI.aspx?menuIndex=3&amp;refID=7071080&amp;Result=3","7071080")</f>
        <v>0</v>
      </c>
      <c r="B5004" t="s">
        <v>386</v>
      </c>
      <c r="C5004" t="s">
        <v>8176</v>
      </c>
      <c r="D5004" t="s">
        <v>16615</v>
      </c>
      <c r="E5004" t="s">
        <v>21185</v>
      </c>
      <c r="F5004" t="s">
        <v>28669</v>
      </c>
      <c r="G5004" t="s">
        <v>28676</v>
      </c>
      <c r="H5004" t="s">
        <v>9998</v>
      </c>
      <c r="I5004" t="s">
        <v>28704</v>
      </c>
      <c r="J5004" t="s">
        <v>32029</v>
      </c>
      <c r="K5004" t="s">
        <v>37209</v>
      </c>
      <c r="M5004" t="s">
        <v>37870</v>
      </c>
      <c r="N5004" t="s">
        <v>41249</v>
      </c>
      <c r="O5004" t="s">
        <v>41250</v>
      </c>
      <c r="P5004">
        <v>0</v>
      </c>
      <c r="Q5004">
        <v>0</v>
      </c>
      <c r="R5004" t="s">
        <v>41254</v>
      </c>
      <c r="S5004" t="s">
        <v>41425</v>
      </c>
      <c r="T5004" t="s">
        <v>42883</v>
      </c>
      <c r="U5004" t="s">
        <v>47329</v>
      </c>
      <c r="W5004" t="s">
        <v>37870</v>
      </c>
      <c r="X5004" t="s">
        <v>41257</v>
      </c>
    </row>
    <row r="5005" spans="1:24">
      <c r="A5005">
        <f>HYPERLINK("https://www.philgeps.gov.ph/GEPSNONPILOT/Tender/SplashBidNoticeAbstractUI.aspx?menuIndex=3&amp;refID=7071029&amp;Result=3","7071029")</f>
        <v>0</v>
      </c>
      <c r="B5005" t="s">
        <v>1745</v>
      </c>
      <c r="C5005" t="s">
        <v>8177</v>
      </c>
      <c r="D5005" t="s">
        <v>16626</v>
      </c>
      <c r="E5005" t="s">
        <v>21186</v>
      </c>
      <c r="F5005" t="s">
        <v>28669</v>
      </c>
      <c r="G5005" t="s">
        <v>28676</v>
      </c>
      <c r="H5005" t="s">
        <v>28686</v>
      </c>
      <c r="I5005" t="s">
        <v>7352</v>
      </c>
      <c r="J5005" t="s">
        <v>32030</v>
      </c>
      <c r="K5005" t="s">
        <v>37234</v>
      </c>
      <c r="M5005" t="s">
        <v>39347</v>
      </c>
      <c r="N5005" t="s">
        <v>41249</v>
      </c>
      <c r="O5005" t="s">
        <v>41250</v>
      </c>
      <c r="P5005">
        <v>0</v>
      </c>
      <c r="Q5005">
        <v>0</v>
      </c>
      <c r="R5005" t="s">
        <v>41254</v>
      </c>
      <c r="S5005" t="s">
        <v>41425</v>
      </c>
      <c r="T5005" t="s">
        <v>42771</v>
      </c>
      <c r="U5005" t="s">
        <v>45235</v>
      </c>
      <c r="V5005" t="s">
        <v>54820</v>
      </c>
      <c r="W5005" t="s">
        <v>39347</v>
      </c>
      <c r="X5005" t="s">
        <v>41257</v>
      </c>
    </row>
    <row r="5006" spans="1:24">
      <c r="A5006">
        <f>HYPERLINK("https://www.philgeps.gov.ph/GEPSNONPILOT/Tender/SplashBidNoticeAbstractUI.aspx?menuIndex=3&amp;refID=7071079&amp;Result=3","7071079")</f>
        <v>0</v>
      </c>
      <c r="B5006" t="s">
        <v>1728</v>
      </c>
      <c r="C5006" t="s">
        <v>8178</v>
      </c>
      <c r="D5006" t="s">
        <v>16608</v>
      </c>
      <c r="E5006" t="s">
        <v>21187</v>
      </c>
      <c r="F5006" t="s">
        <v>28669</v>
      </c>
      <c r="G5006" t="s">
        <v>28676</v>
      </c>
      <c r="H5006" t="s">
        <v>9998</v>
      </c>
      <c r="I5006" t="s">
        <v>6458</v>
      </c>
      <c r="J5006" t="s">
        <v>28985</v>
      </c>
      <c r="K5006" t="s">
        <v>37204</v>
      </c>
      <c r="M5006" t="s">
        <v>39327</v>
      </c>
      <c r="N5006" t="s">
        <v>41249</v>
      </c>
      <c r="O5006" t="s">
        <v>41250</v>
      </c>
      <c r="P5006">
        <v>0</v>
      </c>
      <c r="Q5006">
        <v>2</v>
      </c>
      <c r="R5006" t="s">
        <v>41254</v>
      </c>
      <c r="S5006" t="s">
        <v>41425</v>
      </c>
      <c r="T5006" t="s">
        <v>42736</v>
      </c>
      <c r="U5006" t="s">
        <v>47284</v>
      </c>
      <c r="V5006" t="s">
        <v>54806</v>
      </c>
      <c r="W5006" t="s">
        <v>39327</v>
      </c>
      <c r="X5006" t="s">
        <v>41257</v>
      </c>
    </row>
    <row r="5007" spans="1:24">
      <c r="A5007">
        <f>HYPERLINK("https://www.philgeps.gov.ph/GEPSNONPILOT/Tender/SplashBidNoticeAbstractUI.aspx?menuIndex=3&amp;refID=7071070&amp;Result=3","7071070")</f>
        <v>0</v>
      </c>
      <c r="B5007" t="s">
        <v>72</v>
      </c>
      <c r="C5007" t="s">
        <v>8179</v>
      </c>
      <c r="D5007" t="s">
        <v>16644</v>
      </c>
      <c r="E5007" t="s">
        <v>21188</v>
      </c>
      <c r="F5007" t="s">
        <v>28669</v>
      </c>
      <c r="G5007" t="s">
        <v>28681</v>
      </c>
      <c r="H5007" t="s">
        <v>28685</v>
      </c>
      <c r="I5007" t="s">
        <v>28685</v>
      </c>
      <c r="J5007" t="s">
        <v>29792</v>
      </c>
      <c r="K5007" t="s">
        <v>37214</v>
      </c>
      <c r="M5007" t="s">
        <v>37547</v>
      </c>
      <c r="N5007" t="s">
        <v>41249</v>
      </c>
      <c r="O5007" t="s">
        <v>41250</v>
      </c>
      <c r="P5007">
        <v>0</v>
      </c>
      <c r="Q5007">
        <v>5</v>
      </c>
      <c r="R5007" t="s">
        <v>41254</v>
      </c>
      <c r="S5007" t="s">
        <v>41425</v>
      </c>
      <c r="T5007" t="s">
        <v>42688</v>
      </c>
      <c r="U5007" t="s">
        <v>47330</v>
      </c>
      <c r="V5007" t="s">
        <v>54821</v>
      </c>
      <c r="W5007" t="s">
        <v>55934</v>
      </c>
      <c r="X5007" t="s">
        <v>41257</v>
      </c>
    </row>
    <row r="5008" spans="1:24">
      <c r="A5008">
        <f>HYPERLINK("https://www.philgeps.gov.ph/GEPSNONPILOT/Tender/SplashBidNoticeAbstractUI.aspx?menuIndex=3&amp;refID=7071056&amp;Result=3","7071056")</f>
        <v>0</v>
      </c>
      <c r="B5008" t="s">
        <v>386</v>
      </c>
      <c r="C5008" t="s">
        <v>8180</v>
      </c>
      <c r="D5008" t="s">
        <v>16615</v>
      </c>
      <c r="E5008" t="s">
        <v>21189</v>
      </c>
      <c r="F5008" t="s">
        <v>28669</v>
      </c>
      <c r="G5008" t="s">
        <v>28676</v>
      </c>
      <c r="H5008" t="s">
        <v>9998</v>
      </c>
      <c r="I5008" t="s">
        <v>11142</v>
      </c>
      <c r="J5008" t="s">
        <v>32031</v>
      </c>
      <c r="K5008" t="s">
        <v>37209</v>
      </c>
      <c r="M5008" t="s">
        <v>37870</v>
      </c>
      <c r="N5008" t="s">
        <v>41249</v>
      </c>
      <c r="O5008" t="s">
        <v>41250</v>
      </c>
      <c r="P5008">
        <v>0</v>
      </c>
      <c r="Q5008">
        <v>0</v>
      </c>
      <c r="R5008" t="s">
        <v>41254</v>
      </c>
      <c r="S5008" t="s">
        <v>41425</v>
      </c>
      <c r="T5008" t="s">
        <v>42883</v>
      </c>
      <c r="U5008" t="s">
        <v>47331</v>
      </c>
      <c r="W5008" t="s">
        <v>37870</v>
      </c>
      <c r="X5008" t="s">
        <v>41257</v>
      </c>
    </row>
    <row r="5009" spans="1:24">
      <c r="A5009">
        <f>HYPERLINK("https://www.philgeps.gov.ph/GEPSNONPILOT/Tender/SplashBidNoticeAbstractUI.aspx?menuIndex=3&amp;refID=7071108&amp;Result=3","7071108")</f>
        <v>0</v>
      </c>
      <c r="B5009" t="s">
        <v>447</v>
      </c>
      <c r="C5009" t="s">
        <v>8181</v>
      </c>
      <c r="D5009" t="s">
        <v>16608</v>
      </c>
      <c r="E5009" t="s">
        <v>18712</v>
      </c>
      <c r="F5009" t="s">
        <v>28669</v>
      </c>
      <c r="G5009" t="s">
        <v>28676</v>
      </c>
      <c r="H5009" t="s">
        <v>9998</v>
      </c>
      <c r="I5009" t="s">
        <v>5213</v>
      </c>
      <c r="J5009" t="s">
        <v>32032</v>
      </c>
      <c r="K5009" t="s">
        <v>37209</v>
      </c>
      <c r="M5009" t="s">
        <v>39343</v>
      </c>
      <c r="N5009" t="s">
        <v>41249</v>
      </c>
      <c r="O5009" t="s">
        <v>41250</v>
      </c>
      <c r="P5009">
        <v>0</v>
      </c>
      <c r="Q5009">
        <v>0</v>
      </c>
      <c r="R5009" t="s">
        <v>41254</v>
      </c>
      <c r="S5009" t="s">
        <v>41425</v>
      </c>
      <c r="T5009" t="s">
        <v>42711</v>
      </c>
      <c r="U5009" t="s">
        <v>47332</v>
      </c>
      <c r="W5009" t="s">
        <v>39343</v>
      </c>
      <c r="X5009" t="s">
        <v>41257</v>
      </c>
    </row>
    <row r="5010" spans="1:24">
      <c r="A5010">
        <f>HYPERLINK("https://www.philgeps.gov.ph/GEPSNONPILOT/Tender/SplashBidNoticeAbstractUI.aspx?menuIndex=3&amp;refID=7071054&amp;Result=3","7071054")</f>
        <v>0</v>
      </c>
      <c r="B5010" t="s">
        <v>655</v>
      </c>
      <c r="C5010" t="s">
        <v>8182</v>
      </c>
      <c r="D5010" t="s">
        <v>16624</v>
      </c>
      <c r="E5010" t="s">
        <v>21190</v>
      </c>
      <c r="F5010" t="s">
        <v>28669</v>
      </c>
      <c r="G5010" t="s">
        <v>28676</v>
      </c>
      <c r="H5010" t="s">
        <v>9998</v>
      </c>
      <c r="I5010" t="s">
        <v>11142</v>
      </c>
      <c r="J5010" t="s">
        <v>32033</v>
      </c>
      <c r="K5010" t="s">
        <v>37227</v>
      </c>
      <c r="M5010" t="s">
        <v>38156</v>
      </c>
      <c r="N5010" t="s">
        <v>41249</v>
      </c>
      <c r="O5010" t="s">
        <v>41250</v>
      </c>
      <c r="P5010">
        <v>0</v>
      </c>
      <c r="Q5010">
        <v>6</v>
      </c>
      <c r="R5010" t="s">
        <v>41254</v>
      </c>
      <c r="S5010" t="s">
        <v>41425</v>
      </c>
      <c r="T5010" t="s">
        <v>42883</v>
      </c>
      <c r="U5010" t="s">
        <v>47333</v>
      </c>
      <c r="W5010" t="s">
        <v>38156</v>
      </c>
      <c r="X5010" t="s">
        <v>41257</v>
      </c>
    </row>
    <row r="5011" spans="1:24">
      <c r="A5011">
        <f>HYPERLINK("https://www.philgeps.gov.ph/GEPSNONPILOT/Tender/SplashBidNoticeAbstractUI.aspx?menuIndex=3&amp;refID=7071117&amp;Result=3","7071117")</f>
        <v>0</v>
      </c>
      <c r="B5011" t="s">
        <v>219</v>
      </c>
      <c r="C5011" t="s">
        <v>8183</v>
      </c>
      <c r="D5011" t="s">
        <v>16658</v>
      </c>
      <c r="E5011" t="s">
        <v>21191</v>
      </c>
      <c r="F5011" t="s">
        <v>28669</v>
      </c>
      <c r="G5011" t="s">
        <v>28675</v>
      </c>
      <c r="H5011" t="s">
        <v>9998</v>
      </c>
      <c r="I5011" t="s">
        <v>28687</v>
      </c>
      <c r="J5011" t="s">
        <v>32034</v>
      </c>
      <c r="K5011" t="s">
        <v>37213</v>
      </c>
      <c r="M5011" t="s">
        <v>37697</v>
      </c>
      <c r="N5011" t="s">
        <v>41249</v>
      </c>
      <c r="O5011" t="s">
        <v>41250</v>
      </c>
      <c r="P5011">
        <v>0</v>
      </c>
      <c r="Q5011">
        <v>6</v>
      </c>
      <c r="R5011" t="s">
        <v>41254</v>
      </c>
      <c r="S5011" t="s">
        <v>41425</v>
      </c>
      <c r="T5011" t="s">
        <v>42987</v>
      </c>
      <c r="U5011" t="s">
        <v>47334</v>
      </c>
      <c r="W5011" t="s">
        <v>37697</v>
      </c>
      <c r="X5011" t="s">
        <v>41257</v>
      </c>
    </row>
    <row r="5012" spans="1:24">
      <c r="A5012">
        <f>HYPERLINK("https://www.philgeps.gov.ph/GEPSNONPILOT/Tender/SplashBidNoticeAbstractUI.aspx?menuIndex=3&amp;refID=7071226&amp;Result=3","7071226")</f>
        <v>0</v>
      </c>
      <c r="B5012" t="s">
        <v>1746</v>
      </c>
      <c r="C5012" t="s">
        <v>8184</v>
      </c>
      <c r="D5012" t="s">
        <v>16625</v>
      </c>
      <c r="E5012" t="s">
        <v>21192</v>
      </c>
      <c r="F5012" t="s">
        <v>28669</v>
      </c>
      <c r="G5012" t="s">
        <v>28676</v>
      </c>
      <c r="H5012" t="s">
        <v>9998</v>
      </c>
      <c r="I5012" t="s">
        <v>28760</v>
      </c>
      <c r="J5012" t="s">
        <v>32035</v>
      </c>
      <c r="K5012" t="s">
        <v>37243</v>
      </c>
      <c r="M5012" t="s">
        <v>39348</v>
      </c>
      <c r="N5012" t="s">
        <v>41249</v>
      </c>
      <c r="O5012" t="s">
        <v>41250</v>
      </c>
      <c r="P5012">
        <v>0</v>
      </c>
      <c r="Q5012">
        <v>2</v>
      </c>
      <c r="R5012" t="s">
        <v>41254</v>
      </c>
      <c r="S5012" t="s">
        <v>41425</v>
      </c>
      <c r="T5012" t="s">
        <v>42727</v>
      </c>
      <c r="U5012" t="s">
        <v>47335</v>
      </c>
      <c r="W5012" t="s">
        <v>39348</v>
      </c>
      <c r="X5012" t="s">
        <v>41257</v>
      </c>
    </row>
    <row r="5013" spans="1:24">
      <c r="A5013">
        <f>HYPERLINK("https://www.philgeps.gov.ph/GEPSNONPILOT/Tender/SplashBidNoticeAbstractUI.aspx?menuIndex=3&amp;refID=7071211&amp;Result=3","7071211")</f>
        <v>0</v>
      </c>
      <c r="B5013" t="s">
        <v>1746</v>
      </c>
      <c r="C5013" t="s">
        <v>8185</v>
      </c>
      <c r="D5013" t="s">
        <v>16625</v>
      </c>
      <c r="E5013" t="s">
        <v>21193</v>
      </c>
      <c r="F5013" t="s">
        <v>28669</v>
      </c>
      <c r="G5013" t="s">
        <v>28676</v>
      </c>
      <c r="H5013" t="s">
        <v>9998</v>
      </c>
      <c r="I5013" t="s">
        <v>28708</v>
      </c>
      <c r="J5013" t="s">
        <v>32036</v>
      </c>
      <c r="K5013" t="s">
        <v>37206</v>
      </c>
      <c r="M5013" t="s">
        <v>39348</v>
      </c>
      <c r="N5013" t="s">
        <v>41249</v>
      </c>
      <c r="O5013" t="s">
        <v>41250</v>
      </c>
      <c r="P5013">
        <v>0</v>
      </c>
      <c r="Q5013">
        <v>4</v>
      </c>
      <c r="R5013" t="s">
        <v>41254</v>
      </c>
      <c r="S5013" t="s">
        <v>41425</v>
      </c>
      <c r="T5013" t="s">
        <v>42727</v>
      </c>
      <c r="U5013" t="s">
        <v>47335</v>
      </c>
      <c r="W5013" t="s">
        <v>39348</v>
      </c>
      <c r="X5013" t="s">
        <v>41257</v>
      </c>
    </row>
    <row r="5014" spans="1:24">
      <c r="A5014">
        <f>HYPERLINK("https://www.philgeps.gov.ph/GEPSNONPILOT/Tender/SplashBidNoticeAbstractUI.aspx?menuIndex=3&amp;refID=7071203&amp;Result=3","7071203")</f>
        <v>0</v>
      </c>
      <c r="B5014" t="s">
        <v>1747</v>
      </c>
      <c r="C5014" t="s">
        <v>8186</v>
      </c>
      <c r="D5014" t="s">
        <v>16616</v>
      </c>
      <c r="E5014" t="s">
        <v>21194</v>
      </c>
      <c r="F5014" t="s">
        <v>28669</v>
      </c>
      <c r="G5014" t="s">
        <v>28675</v>
      </c>
      <c r="H5014" t="s">
        <v>9998</v>
      </c>
      <c r="I5014" t="s">
        <v>28769</v>
      </c>
      <c r="J5014" t="s">
        <v>28826</v>
      </c>
      <c r="K5014" t="s">
        <v>37204</v>
      </c>
      <c r="M5014" t="s">
        <v>39349</v>
      </c>
      <c r="N5014" t="s">
        <v>41249</v>
      </c>
      <c r="O5014" t="s">
        <v>41250</v>
      </c>
      <c r="P5014">
        <v>0</v>
      </c>
      <c r="Q5014">
        <v>0</v>
      </c>
      <c r="R5014" t="s">
        <v>41254</v>
      </c>
      <c r="S5014" t="s">
        <v>41425</v>
      </c>
      <c r="T5014" t="s">
        <v>42675</v>
      </c>
      <c r="U5014" t="s">
        <v>47336</v>
      </c>
      <c r="W5014" t="s">
        <v>39349</v>
      </c>
      <c r="X5014" t="s">
        <v>41257</v>
      </c>
    </row>
    <row r="5015" spans="1:24">
      <c r="A5015">
        <f>HYPERLINK("https://www.philgeps.gov.ph/GEPSNONPILOT/Tender/SplashBidNoticeAbstractUI.aspx?menuIndex=3&amp;refID=7071199&amp;Result=3","7071199")</f>
        <v>0</v>
      </c>
      <c r="B5015" t="s">
        <v>600</v>
      </c>
      <c r="C5015" t="s">
        <v>8187</v>
      </c>
      <c r="D5015" t="s">
        <v>16608</v>
      </c>
      <c r="E5015" t="s">
        <v>21195</v>
      </c>
      <c r="F5015" t="s">
        <v>28669</v>
      </c>
      <c r="G5015" t="s">
        <v>28675</v>
      </c>
      <c r="H5015" t="s">
        <v>9998</v>
      </c>
      <c r="I5015" t="s">
        <v>28796</v>
      </c>
      <c r="J5015" t="s">
        <v>30588</v>
      </c>
      <c r="K5015" t="s">
        <v>37209</v>
      </c>
      <c r="M5015" t="s">
        <v>38876</v>
      </c>
      <c r="N5015" t="s">
        <v>41249</v>
      </c>
      <c r="O5015" t="s">
        <v>41250</v>
      </c>
      <c r="P5015">
        <v>0</v>
      </c>
      <c r="Q5015">
        <v>11</v>
      </c>
      <c r="R5015" t="s">
        <v>41254</v>
      </c>
      <c r="S5015" t="s">
        <v>41425</v>
      </c>
      <c r="T5015" t="s">
        <v>42716</v>
      </c>
      <c r="U5015" t="s">
        <v>47337</v>
      </c>
      <c r="V5015" t="s">
        <v>54822</v>
      </c>
      <c r="W5015" t="s">
        <v>38876</v>
      </c>
      <c r="X5015" t="s">
        <v>41257</v>
      </c>
    </row>
    <row r="5016" spans="1:24">
      <c r="A5016">
        <f>HYPERLINK("https://www.philgeps.gov.ph/GEPSNONPILOT/Tender/SplashBidNoticeAbstractUI.aspx?menuIndex=3&amp;refID=7071197&amp;Result=3","7071197")</f>
        <v>0</v>
      </c>
      <c r="B5016" t="s">
        <v>1217</v>
      </c>
      <c r="C5016" t="s">
        <v>8188</v>
      </c>
      <c r="D5016" t="s">
        <v>16631</v>
      </c>
      <c r="E5016" t="s">
        <v>21196</v>
      </c>
      <c r="F5016" t="s">
        <v>28669</v>
      </c>
      <c r="G5016" t="s">
        <v>28675</v>
      </c>
      <c r="H5016" t="s">
        <v>28686</v>
      </c>
      <c r="I5016" t="s">
        <v>28689</v>
      </c>
      <c r="J5016" t="s">
        <v>29033</v>
      </c>
      <c r="K5016" t="s">
        <v>37213</v>
      </c>
      <c r="M5016" t="s">
        <v>38760</v>
      </c>
      <c r="N5016" t="s">
        <v>41249</v>
      </c>
      <c r="O5016" t="s">
        <v>41250</v>
      </c>
      <c r="P5016">
        <v>0</v>
      </c>
      <c r="Q5016">
        <v>1</v>
      </c>
      <c r="R5016" t="s">
        <v>41254</v>
      </c>
      <c r="S5016" t="s">
        <v>41425</v>
      </c>
      <c r="T5016" t="s">
        <v>42722</v>
      </c>
      <c r="U5016" t="s">
        <v>47338</v>
      </c>
      <c r="V5016" t="s">
        <v>54599</v>
      </c>
      <c r="W5016" t="s">
        <v>38760</v>
      </c>
      <c r="X5016" t="s">
        <v>41257</v>
      </c>
    </row>
    <row r="5017" spans="1:24">
      <c r="A5017">
        <f>HYPERLINK("https://www.philgeps.gov.ph/GEPSNONPILOT/Tender/SplashBidNoticeAbstractUI.aspx?menuIndex=3&amp;refID=7071194&amp;Result=3","7071194")</f>
        <v>0</v>
      </c>
      <c r="B5017" t="s">
        <v>1746</v>
      </c>
      <c r="C5017" t="s">
        <v>8189</v>
      </c>
      <c r="D5017" t="s">
        <v>16625</v>
      </c>
      <c r="E5017" t="s">
        <v>21197</v>
      </c>
      <c r="F5017" t="s">
        <v>28669</v>
      </c>
      <c r="G5017" t="s">
        <v>28676</v>
      </c>
      <c r="H5017" t="s">
        <v>9998</v>
      </c>
      <c r="I5017" t="s">
        <v>28709</v>
      </c>
      <c r="J5017" t="s">
        <v>32037</v>
      </c>
      <c r="K5017" t="s">
        <v>37206</v>
      </c>
      <c r="M5017" t="s">
        <v>39348</v>
      </c>
      <c r="N5017" t="s">
        <v>41249</v>
      </c>
      <c r="O5017" t="s">
        <v>41250</v>
      </c>
      <c r="P5017">
        <v>0</v>
      </c>
      <c r="Q5017">
        <v>0</v>
      </c>
      <c r="R5017" t="s">
        <v>41254</v>
      </c>
      <c r="S5017" t="s">
        <v>41425</v>
      </c>
      <c r="T5017" t="s">
        <v>42727</v>
      </c>
      <c r="U5017" t="s">
        <v>47335</v>
      </c>
      <c r="W5017" t="s">
        <v>39348</v>
      </c>
      <c r="X5017" t="s">
        <v>41257</v>
      </c>
    </row>
    <row r="5018" spans="1:24">
      <c r="A5018">
        <f>HYPERLINK("https://www.philgeps.gov.ph/GEPSNONPILOT/Tender/SplashBidNoticeAbstractUI.aspx?menuIndex=3&amp;refID=7071173&amp;Result=3","7071173")</f>
        <v>0</v>
      </c>
      <c r="B5018" t="s">
        <v>1748</v>
      </c>
      <c r="C5018" t="s">
        <v>8190</v>
      </c>
      <c r="D5018" t="s">
        <v>16615</v>
      </c>
      <c r="E5018" t="s">
        <v>16877</v>
      </c>
      <c r="F5018" t="s">
        <v>28669</v>
      </c>
      <c r="G5018" t="s">
        <v>28676</v>
      </c>
      <c r="H5018" t="s">
        <v>9998</v>
      </c>
      <c r="I5018" t="s">
        <v>28688</v>
      </c>
      <c r="J5018" t="s">
        <v>32038</v>
      </c>
      <c r="K5018" t="s">
        <v>37204</v>
      </c>
      <c r="M5018" t="s">
        <v>39350</v>
      </c>
      <c r="N5018" t="s">
        <v>41249</v>
      </c>
      <c r="O5018" t="s">
        <v>41250</v>
      </c>
      <c r="P5018">
        <v>0</v>
      </c>
      <c r="Q5018">
        <v>1</v>
      </c>
      <c r="R5018" t="s">
        <v>41254</v>
      </c>
      <c r="S5018" t="s">
        <v>41425</v>
      </c>
      <c r="T5018" t="s">
        <v>42682</v>
      </c>
      <c r="U5018" t="s">
        <v>47339</v>
      </c>
      <c r="W5018" t="s">
        <v>39350</v>
      </c>
      <c r="X5018" t="s">
        <v>41257</v>
      </c>
    </row>
    <row r="5019" spans="1:24">
      <c r="A5019">
        <f>HYPERLINK("https://www.philgeps.gov.ph/GEPSNONPILOT/Tender/SplashBidNoticeAbstractUI.aspx?menuIndex=3&amp;refID=7071165&amp;Result=3","7071165")</f>
        <v>0</v>
      </c>
      <c r="B5019" t="s">
        <v>1217</v>
      </c>
      <c r="C5019" t="s">
        <v>8191</v>
      </c>
      <c r="D5019" t="s">
        <v>16631</v>
      </c>
      <c r="E5019" t="s">
        <v>21198</v>
      </c>
      <c r="F5019" t="s">
        <v>28669</v>
      </c>
      <c r="G5019" t="s">
        <v>28675</v>
      </c>
      <c r="H5019" t="s">
        <v>28686</v>
      </c>
      <c r="I5019" t="s">
        <v>28689</v>
      </c>
      <c r="J5019" t="s">
        <v>30575</v>
      </c>
      <c r="K5019" t="s">
        <v>37298</v>
      </c>
      <c r="M5019" t="s">
        <v>38760</v>
      </c>
      <c r="N5019" t="s">
        <v>41249</v>
      </c>
      <c r="O5019" t="s">
        <v>41250</v>
      </c>
      <c r="P5019">
        <v>0</v>
      </c>
      <c r="Q5019">
        <v>0</v>
      </c>
      <c r="R5019" t="s">
        <v>41254</v>
      </c>
      <c r="S5019" t="s">
        <v>41425</v>
      </c>
      <c r="T5019" t="s">
        <v>42722</v>
      </c>
      <c r="U5019" t="s">
        <v>47340</v>
      </c>
      <c r="V5019" t="s">
        <v>54599</v>
      </c>
      <c r="W5019" t="s">
        <v>38760</v>
      </c>
      <c r="X5019" t="s">
        <v>41257</v>
      </c>
    </row>
    <row r="5020" spans="1:24">
      <c r="A5020">
        <f>HYPERLINK("https://www.philgeps.gov.ph/GEPSNONPILOT/Tender/SplashBidNoticeAbstractUI.aspx?menuIndex=3&amp;refID=7071273&amp;Result=3","7071273")</f>
        <v>0</v>
      </c>
      <c r="B5020" t="s">
        <v>1749</v>
      </c>
      <c r="C5020" t="s">
        <v>8192</v>
      </c>
      <c r="D5020" t="s">
        <v>16625</v>
      </c>
      <c r="E5020" t="s">
        <v>21199</v>
      </c>
      <c r="F5020" t="s">
        <v>28669</v>
      </c>
      <c r="G5020" t="s">
        <v>28676</v>
      </c>
      <c r="H5020" t="s">
        <v>9998</v>
      </c>
      <c r="I5020" t="s">
        <v>28688</v>
      </c>
      <c r="J5020" t="s">
        <v>28863</v>
      </c>
      <c r="K5020" t="s">
        <v>37204</v>
      </c>
      <c r="M5020" t="s">
        <v>39351</v>
      </c>
      <c r="N5020" t="s">
        <v>41249</v>
      </c>
      <c r="O5020" t="s">
        <v>41250</v>
      </c>
      <c r="P5020">
        <v>0</v>
      </c>
      <c r="Q5020">
        <v>3</v>
      </c>
      <c r="R5020" t="s">
        <v>41254</v>
      </c>
      <c r="S5020" t="s">
        <v>41425</v>
      </c>
      <c r="T5020" t="s">
        <v>42883</v>
      </c>
      <c r="U5020" t="s">
        <v>47341</v>
      </c>
      <c r="V5020" t="s">
        <v>54823</v>
      </c>
      <c r="W5020" t="s">
        <v>39351</v>
      </c>
      <c r="X5020" t="s">
        <v>41257</v>
      </c>
    </row>
    <row r="5021" spans="1:24">
      <c r="A5021">
        <f>HYPERLINK("https://www.philgeps.gov.ph/GEPSNONPILOT/Tender/SplashBidNoticeAbstractUI.aspx?menuIndex=3&amp;refID=7071257&amp;Result=3","7071257")</f>
        <v>0</v>
      </c>
      <c r="B5021" t="s">
        <v>454</v>
      </c>
      <c r="C5021" t="s">
        <v>8193</v>
      </c>
      <c r="D5021" t="s">
        <v>16669</v>
      </c>
      <c r="E5021" t="s">
        <v>21200</v>
      </c>
      <c r="F5021" t="s">
        <v>28669</v>
      </c>
      <c r="G5021" t="s">
        <v>28676</v>
      </c>
      <c r="H5021" t="s">
        <v>9998</v>
      </c>
      <c r="I5021" t="s">
        <v>6606</v>
      </c>
      <c r="J5021" t="s">
        <v>32039</v>
      </c>
      <c r="K5021" t="s">
        <v>37209</v>
      </c>
      <c r="M5021" t="s">
        <v>37942</v>
      </c>
      <c r="N5021" t="s">
        <v>41249</v>
      </c>
      <c r="O5021" t="s">
        <v>41250</v>
      </c>
      <c r="P5021">
        <v>0</v>
      </c>
      <c r="Q5021">
        <v>0</v>
      </c>
      <c r="R5021" t="s">
        <v>41254</v>
      </c>
      <c r="S5021" t="s">
        <v>41425</v>
      </c>
      <c r="T5021" t="s">
        <v>42827</v>
      </c>
      <c r="U5021" t="s">
        <v>47342</v>
      </c>
      <c r="W5021" t="s">
        <v>37942</v>
      </c>
      <c r="X5021" t="s">
        <v>41257</v>
      </c>
    </row>
    <row r="5022" spans="1:24">
      <c r="A5022">
        <f>HYPERLINK("https://www.philgeps.gov.ph/GEPSNONPILOT/Tender/SplashBidNoticeAbstractUI.aspx?menuIndex=3&amp;refID=7071086&amp;Result=3","7071086")</f>
        <v>0</v>
      </c>
      <c r="B5022" t="s">
        <v>807</v>
      </c>
      <c r="C5022" t="s">
        <v>8194</v>
      </c>
      <c r="D5022" t="s">
        <v>16633</v>
      </c>
      <c r="E5022" t="s">
        <v>21201</v>
      </c>
      <c r="F5022" t="s">
        <v>28669</v>
      </c>
      <c r="G5022" t="s">
        <v>28677</v>
      </c>
      <c r="H5022" t="s">
        <v>9998</v>
      </c>
      <c r="I5022" t="s">
        <v>28717</v>
      </c>
      <c r="J5022" t="s">
        <v>29134</v>
      </c>
      <c r="K5022" t="s">
        <v>37209</v>
      </c>
      <c r="M5022" t="s">
        <v>38322</v>
      </c>
      <c r="N5022" t="s">
        <v>41249</v>
      </c>
      <c r="O5022" t="s">
        <v>41250</v>
      </c>
      <c r="P5022">
        <v>0</v>
      </c>
      <c r="Q5022">
        <v>11</v>
      </c>
      <c r="R5022" t="s">
        <v>41254</v>
      </c>
      <c r="S5022" t="s">
        <v>41425</v>
      </c>
      <c r="T5022" t="s">
        <v>42728</v>
      </c>
      <c r="U5022" t="s">
        <v>47343</v>
      </c>
      <c r="V5022" t="s">
        <v>54630</v>
      </c>
      <c r="W5022" t="s">
        <v>38322</v>
      </c>
      <c r="X5022" t="s">
        <v>41257</v>
      </c>
    </row>
    <row r="5023" spans="1:24">
      <c r="A5023">
        <f>HYPERLINK("https://www.philgeps.gov.ph/GEPSNONPILOT/Tender/SplashBidNoticeAbstractUI.aspx?menuIndex=3&amp;refID=7071235&amp;Result=3","7071235")</f>
        <v>0</v>
      </c>
      <c r="B5023" t="s">
        <v>1750</v>
      </c>
      <c r="C5023" t="s">
        <v>8195</v>
      </c>
      <c r="D5023" t="s">
        <v>16618</v>
      </c>
      <c r="E5023" t="s">
        <v>16855</v>
      </c>
      <c r="F5023" t="s">
        <v>28669</v>
      </c>
      <c r="G5023" t="s">
        <v>28675</v>
      </c>
      <c r="H5023" t="s">
        <v>28686</v>
      </c>
      <c r="I5023" t="s">
        <v>28689</v>
      </c>
      <c r="J5023" t="s">
        <v>28905</v>
      </c>
      <c r="K5023" t="s">
        <v>37206</v>
      </c>
      <c r="M5023" t="s">
        <v>39352</v>
      </c>
      <c r="N5023" t="s">
        <v>41249</v>
      </c>
      <c r="O5023" t="s">
        <v>41250</v>
      </c>
      <c r="P5023">
        <v>0</v>
      </c>
      <c r="Q5023">
        <v>0</v>
      </c>
      <c r="R5023" t="s">
        <v>41254</v>
      </c>
      <c r="S5023" t="s">
        <v>41425</v>
      </c>
      <c r="T5023" t="s">
        <v>42751</v>
      </c>
      <c r="U5023" t="s">
        <v>47344</v>
      </c>
      <c r="W5023" t="s">
        <v>39352</v>
      </c>
      <c r="X5023" t="s">
        <v>41257</v>
      </c>
    </row>
    <row r="5024" spans="1:24">
      <c r="A5024">
        <f>HYPERLINK("https://www.philgeps.gov.ph/GEPSNONPILOT/Tender/SplashBidNoticeAbstractUI.aspx?menuIndex=3&amp;refID=7071230&amp;Result=3","7071230")</f>
        <v>0</v>
      </c>
      <c r="B5024" t="s">
        <v>843</v>
      </c>
      <c r="C5024" t="s">
        <v>8196</v>
      </c>
      <c r="D5024" t="s">
        <v>16638</v>
      </c>
      <c r="E5024" t="s">
        <v>21202</v>
      </c>
      <c r="F5024" t="s">
        <v>28669</v>
      </c>
      <c r="G5024" t="s">
        <v>28677</v>
      </c>
      <c r="H5024" t="s">
        <v>9998</v>
      </c>
      <c r="I5024" t="s">
        <v>5213</v>
      </c>
      <c r="J5024" t="s">
        <v>32040</v>
      </c>
      <c r="K5024" t="s">
        <v>37204</v>
      </c>
      <c r="M5024" t="s">
        <v>38359</v>
      </c>
      <c r="N5024" t="s">
        <v>41249</v>
      </c>
      <c r="O5024" t="s">
        <v>41250</v>
      </c>
      <c r="P5024">
        <v>0</v>
      </c>
      <c r="Q5024">
        <v>0</v>
      </c>
      <c r="R5024" t="s">
        <v>41254</v>
      </c>
      <c r="S5024" t="s">
        <v>41425</v>
      </c>
      <c r="T5024" t="s">
        <v>42728</v>
      </c>
      <c r="U5024" t="s">
        <v>47345</v>
      </c>
      <c r="W5024" t="s">
        <v>38359</v>
      </c>
      <c r="X5024" t="s">
        <v>41257</v>
      </c>
    </row>
    <row r="5025" spans="1:24">
      <c r="A5025">
        <f>HYPERLINK("https://www.philgeps.gov.ph/GEPSNONPILOT/Tender/SplashBidNoticeAbstractUI.aspx?menuIndex=3&amp;refID=7071229&amp;Result=3","7071229")</f>
        <v>0</v>
      </c>
      <c r="B5025" t="s">
        <v>1379</v>
      </c>
      <c r="C5025" t="s">
        <v>8197</v>
      </c>
      <c r="D5025" t="s">
        <v>16648</v>
      </c>
      <c r="E5025" t="s">
        <v>21203</v>
      </c>
      <c r="F5025" t="s">
        <v>28669</v>
      </c>
      <c r="G5025" t="s">
        <v>28678</v>
      </c>
      <c r="H5025" t="s">
        <v>9998</v>
      </c>
      <c r="I5025" t="s">
        <v>28734</v>
      </c>
      <c r="J5025" t="s">
        <v>32041</v>
      </c>
      <c r="K5025" t="s">
        <v>37204</v>
      </c>
      <c r="M5025" t="s">
        <v>38938</v>
      </c>
      <c r="N5025" t="s">
        <v>41249</v>
      </c>
      <c r="O5025" t="s">
        <v>41250</v>
      </c>
      <c r="P5025">
        <v>0</v>
      </c>
      <c r="Q5025">
        <v>1</v>
      </c>
      <c r="R5025" t="s">
        <v>41254</v>
      </c>
      <c r="S5025" t="s">
        <v>41425</v>
      </c>
      <c r="T5025" t="s">
        <v>42767</v>
      </c>
      <c r="U5025" t="s">
        <v>47346</v>
      </c>
      <c r="W5025" t="s">
        <v>38938</v>
      </c>
      <c r="X5025" t="s">
        <v>41257</v>
      </c>
    </row>
    <row r="5026" spans="1:24">
      <c r="A5026">
        <f>HYPERLINK("https://www.philgeps.gov.ph/GEPSNONPILOT/Tender/SplashBidNoticeAbstractUI.aspx?menuIndex=3&amp;refID=7071150&amp;Result=3","7071150")</f>
        <v>0</v>
      </c>
      <c r="B5026" t="s">
        <v>843</v>
      </c>
      <c r="C5026" t="s">
        <v>8198</v>
      </c>
      <c r="D5026" t="s">
        <v>16638</v>
      </c>
      <c r="E5026" t="s">
        <v>21204</v>
      </c>
      <c r="F5026" t="s">
        <v>28669</v>
      </c>
      <c r="G5026" t="s">
        <v>28676</v>
      </c>
      <c r="H5026" t="s">
        <v>9998</v>
      </c>
      <c r="I5026" t="s">
        <v>28807</v>
      </c>
      <c r="J5026" t="s">
        <v>30429</v>
      </c>
      <c r="K5026" t="s">
        <v>37204</v>
      </c>
      <c r="M5026" t="s">
        <v>38359</v>
      </c>
      <c r="N5026" t="s">
        <v>41249</v>
      </c>
      <c r="O5026" t="s">
        <v>41250</v>
      </c>
      <c r="P5026">
        <v>0</v>
      </c>
      <c r="Q5026">
        <v>2</v>
      </c>
      <c r="R5026" t="s">
        <v>41254</v>
      </c>
      <c r="S5026" t="s">
        <v>41425</v>
      </c>
      <c r="T5026" t="s">
        <v>42728</v>
      </c>
      <c r="U5026" t="s">
        <v>47345</v>
      </c>
      <c r="W5026" t="s">
        <v>38359</v>
      </c>
      <c r="X5026" t="s">
        <v>41257</v>
      </c>
    </row>
    <row r="5027" spans="1:24">
      <c r="A5027">
        <f>HYPERLINK("https://www.philgeps.gov.ph/GEPSNONPILOT/Tender/SplashBidNoticeAbstractUI.aspx?menuIndex=3&amp;refID=7070714&amp;Result=3","7070714")</f>
        <v>0</v>
      </c>
      <c r="B5027" t="s">
        <v>743</v>
      </c>
      <c r="C5027" t="s">
        <v>8199</v>
      </c>
      <c r="D5027" t="s">
        <v>16629</v>
      </c>
      <c r="E5027" t="s">
        <v>21205</v>
      </c>
      <c r="F5027" t="s">
        <v>28669</v>
      </c>
      <c r="G5027" t="s">
        <v>28675</v>
      </c>
      <c r="H5027" t="s">
        <v>28686</v>
      </c>
      <c r="I5027" t="s">
        <v>28689</v>
      </c>
      <c r="J5027" t="s">
        <v>32042</v>
      </c>
      <c r="K5027" t="s">
        <v>37247</v>
      </c>
      <c r="M5027" t="s">
        <v>39318</v>
      </c>
      <c r="N5027" t="s">
        <v>41249</v>
      </c>
      <c r="O5027" t="s">
        <v>41250</v>
      </c>
      <c r="P5027">
        <v>0</v>
      </c>
      <c r="Q5027">
        <v>0</v>
      </c>
      <c r="R5027" t="s">
        <v>41254</v>
      </c>
      <c r="S5027" t="s">
        <v>41425</v>
      </c>
      <c r="T5027" t="s">
        <v>42671</v>
      </c>
      <c r="U5027" t="s">
        <v>47347</v>
      </c>
      <c r="V5027" t="s">
        <v>54824</v>
      </c>
      <c r="W5027" t="s">
        <v>39318</v>
      </c>
      <c r="X5027" t="s">
        <v>41257</v>
      </c>
    </row>
    <row r="5028" spans="1:24">
      <c r="A5028">
        <f>HYPERLINK("https://www.philgeps.gov.ph/GEPSNONPILOT/Tender/SplashBidNoticeAbstractUI.aspx?menuIndex=3&amp;refID=7071126&amp;Result=3","7071126")</f>
        <v>0</v>
      </c>
      <c r="B5028" t="s">
        <v>89</v>
      </c>
      <c r="C5028" t="s">
        <v>8200</v>
      </c>
      <c r="D5028" t="s">
        <v>16637</v>
      </c>
      <c r="E5028" t="s">
        <v>21206</v>
      </c>
      <c r="F5028" t="s">
        <v>28669</v>
      </c>
      <c r="G5028" t="s">
        <v>28678</v>
      </c>
      <c r="H5028" t="s">
        <v>9998</v>
      </c>
      <c r="I5028" t="s">
        <v>28697</v>
      </c>
      <c r="J5028" t="s">
        <v>32043</v>
      </c>
      <c r="K5028" t="s">
        <v>37206</v>
      </c>
      <c r="M5028" t="s">
        <v>37564</v>
      </c>
      <c r="N5028" t="s">
        <v>41249</v>
      </c>
      <c r="O5028" t="s">
        <v>41250</v>
      </c>
      <c r="P5028">
        <v>0</v>
      </c>
      <c r="Q5028">
        <v>9</v>
      </c>
      <c r="R5028" t="s">
        <v>41254</v>
      </c>
      <c r="S5028" t="s">
        <v>41425</v>
      </c>
      <c r="T5028" t="s">
        <v>42827</v>
      </c>
      <c r="U5028" t="s">
        <v>47348</v>
      </c>
      <c r="W5028" t="s">
        <v>37564</v>
      </c>
      <c r="X5028" t="s">
        <v>41257</v>
      </c>
    </row>
    <row r="5029" spans="1:24">
      <c r="A5029">
        <f>HYPERLINK("https://www.philgeps.gov.ph/GEPSNONPILOT/Tender/SplashBidNoticeAbstractUI.aspx?menuIndex=3&amp;refID=7071246&amp;Result=3","7071246")</f>
        <v>0</v>
      </c>
      <c r="B5029" t="s">
        <v>1751</v>
      </c>
      <c r="C5029" t="s">
        <v>8201</v>
      </c>
      <c r="D5029" t="s">
        <v>16625</v>
      </c>
      <c r="E5029" t="s">
        <v>21207</v>
      </c>
      <c r="F5029" t="s">
        <v>28669</v>
      </c>
      <c r="G5029" t="s">
        <v>28676</v>
      </c>
      <c r="H5029" t="s">
        <v>9998</v>
      </c>
      <c r="I5029" t="s">
        <v>6606</v>
      </c>
      <c r="J5029" t="s">
        <v>29820</v>
      </c>
      <c r="K5029" t="s">
        <v>37205</v>
      </c>
      <c r="M5029" t="s">
        <v>39353</v>
      </c>
      <c r="N5029" t="s">
        <v>41249</v>
      </c>
      <c r="O5029" t="s">
        <v>41250</v>
      </c>
      <c r="P5029">
        <v>0</v>
      </c>
      <c r="Q5029">
        <v>0</v>
      </c>
      <c r="R5029" t="s">
        <v>41254</v>
      </c>
      <c r="S5029" t="s">
        <v>41425</v>
      </c>
      <c r="T5029" t="s">
        <v>42694</v>
      </c>
      <c r="U5029" t="s">
        <v>47349</v>
      </c>
      <c r="V5029" t="s">
        <v>54825</v>
      </c>
      <c r="W5029" t="s">
        <v>39353</v>
      </c>
      <c r="X5029" t="s">
        <v>41257</v>
      </c>
    </row>
    <row r="5030" spans="1:24">
      <c r="A5030">
        <f>HYPERLINK("https://www.philgeps.gov.ph/GEPSNONPILOT/Tender/SplashBidNoticeAbstractUI.aspx?menuIndex=3&amp;refID=7071378&amp;Result=3","7071378")</f>
        <v>0</v>
      </c>
      <c r="B5030" t="s">
        <v>454</v>
      </c>
      <c r="C5030" t="s">
        <v>8202</v>
      </c>
      <c r="D5030" t="s">
        <v>16669</v>
      </c>
      <c r="E5030" t="s">
        <v>21208</v>
      </c>
      <c r="F5030" t="s">
        <v>28669</v>
      </c>
      <c r="G5030" t="s">
        <v>28676</v>
      </c>
      <c r="H5030" t="s">
        <v>9998</v>
      </c>
      <c r="I5030" t="s">
        <v>6606</v>
      </c>
      <c r="J5030" t="s">
        <v>32044</v>
      </c>
      <c r="K5030" t="s">
        <v>37209</v>
      </c>
      <c r="M5030" t="s">
        <v>37942</v>
      </c>
      <c r="N5030" t="s">
        <v>41249</v>
      </c>
      <c r="O5030" t="s">
        <v>41250</v>
      </c>
      <c r="P5030">
        <v>0</v>
      </c>
      <c r="Q5030">
        <v>0</v>
      </c>
      <c r="R5030" t="s">
        <v>41254</v>
      </c>
      <c r="S5030" t="s">
        <v>41425</v>
      </c>
      <c r="T5030" t="s">
        <v>42827</v>
      </c>
      <c r="U5030" t="s">
        <v>47350</v>
      </c>
      <c r="W5030" t="s">
        <v>37942</v>
      </c>
      <c r="X5030" t="s">
        <v>41257</v>
      </c>
    </row>
    <row r="5031" spans="1:24">
      <c r="A5031">
        <f>HYPERLINK("https://www.philgeps.gov.ph/GEPSNONPILOT/Tender/SplashBidNoticeAbstractUI.aspx?menuIndex=3&amp;refID=7071356&amp;Result=3","7071356")</f>
        <v>0</v>
      </c>
      <c r="B5031" t="s">
        <v>1752</v>
      </c>
      <c r="C5031" t="s">
        <v>8203</v>
      </c>
      <c r="D5031" t="s">
        <v>16686</v>
      </c>
      <c r="E5031" t="s">
        <v>21209</v>
      </c>
      <c r="F5031" t="s">
        <v>28669</v>
      </c>
      <c r="G5031" t="s">
        <v>28677</v>
      </c>
      <c r="H5031" t="s">
        <v>9998</v>
      </c>
      <c r="I5031" t="s">
        <v>28697</v>
      </c>
      <c r="J5031" t="s">
        <v>32045</v>
      </c>
      <c r="K5031" t="s">
        <v>37206</v>
      </c>
      <c r="M5031" t="s">
        <v>39354</v>
      </c>
      <c r="N5031" t="s">
        <v>41249</v>
      </c>
      <c r="O5031" t="s">
        <v>41250</v>
      </c>
      <c r="P5031">
        <v>0</v>
      </c>
      <c r="Q5031">
        <v>7</v>
      </c>
      <c r="R5031" t="s">
        <v>41254</v>
      </c>
      <c r="S5031" t="s">
        <v>41425</v>
      </c>
      <c r="T5031" t="s">
        <v>42706</v>
      </c>
      <c r="U5031" t="s">
        <v>47351</v>
      </c>
      <c r="W5031" t="s">
        <v>39354</v>
      </c>
      <c r="X5031" t="s">
        <v>41257</v>
      </c>
    </row>
    <row r="5032" spans="1:24">
      <c r="A5032">
        <f>HYPERLINK("https://www.philgeps.gov.ph/GEPSNONPILOT/Tender/SplashBidNoticeAbstractUI.aspx?menuIndex=3&amp;refID=7070499&amp;Result=3","7070499")</f>
        <v>0</v>
      </c>
      <c r="B5032" t="s">
        <v>539</v>
      </c>
      <c r="C5032" t="s">
        <v>8204</v>
      </c>
      <c r="D5032" t="s">
        <v>16665</v>
      </c>
      <c r="E5032" t="s">
        <v>21210</v>
      </c>
      <c r="F5032" t="s">
        <v>28669</v>
      </c>
      <c r="G5032" t="s">
        <v>28675</v>
      </c>
      <c r="H5032" t="s">
        <v>28686</v>
      </c>
      <c r="I5032" t="s">
        <v>28689</v>
      </c>
      <c r="J5032" t="s">
        <v>28953</v>
      </c>
      <c r="K5032" t="s">
        <v>37289</v>
      </c>
      <c r="M5032" t="s">
        <v>38032</v>
      </c>
      <c r="N5032" t="s">
        <v>41249</v>
      </c>
      <c r="O5032" t="s">
        <v>41250</v>
      </c>
      <c r="P5032">
        <v>0</v>
      </c>
      <c r="Q5032">
        <v>0</v>
      </c>
      <c r="R5032" t="s">
        <v>41254</v>
      </c>
      <c r="S5032" t="s">
        <v>41425</v>
      </c>
      <c r="T5032" t="s">
        <v>42742</v>
      </c>
      <c r="U5032" t="s">
        <v>47352</v>
      </c>
      <c r="V5032" t="s">
        <v>54796</v>
      </c>
      <c r="W5032" t="s">
        <v>38032</v>
      </c>
      <c r="X5032" t="s">
        <v>41257</v>
      </c>
    </row>
    <row r="5033" spans="1:24">
      <c r="A5033">
        <f>HYPERLINK("https://www.philgeps.gov.ph/GEPSNONPILOT/Tender/SplashBidNoticeAbstractUI.aspx?menuIndex=3&amp;refID=7071163&amp;Result=3","7071163")</f>
        <v>0</v>
      </c>
      <c r="B5033" t="s">
        <v>1545</v>
      </c>
      <c r="C5033" t="s">
        <v>8205</v>
      </c>
      <c r="E5033" t="s">
        <v>21211</v>
      </c>
      <c r="F5033" t="s">
        <v>28669</v>
      </c>
      <c r="G5033" t="s">
        <v>28676</v>
      </c>
      <c r="H5033" t="s">
        <v>9998</v>
      </c>
      <c r="I5033" t="s">
        <v>6606</v>
      </c>
      <c r="J5033" t="s">
        <v>32046</v>
      </c>
      <c r="K5033" t="s">
        <v>37209</v>
      </c>
      <c r="M5033" t="s">
        <v>39120</v>
      </c>
      <c r="N5033" t="s">
        <v>41249</v>
      </c>
      <c r="O5033" t="s">
        <v>41250</v>
      </c>
      <c r="P5033">
        <v>0</v>
      </c>
      <c r="Q5033">
        <v>0</v>
      </c>
      <c r="R5033" t="s">
        <v>41254</v>
      </c>
      <c r="S5033" t="s">
        <v>41425</v>
      </c>
      <c r="T5033" t="s">
        <v>42701</v>
      </c>
      <c r="U5033" t="s">
        <v>47353</v>
      </c>
      <c r="W5033" t="s">
        <v>39120</v>
      </c>
      <c r="X5033" t="s">
        <v>41257</v>
      </c>
    </row>
    <row r="5034" spans="1:24">
      <c r="A5034">
        <f>HYPERLINK("https://www.philgeps.gov.ph/GEPSNONPILOT/Tender/SplashBidNoticeAbstractUI.aspx?menuIndex=3&amp;refID=7071408&amp;Result=3","7071408")</f>
        <v>0</v>
      </c>
      <c r="B5034" t="s">
        <v>1753</v>
      </c>
      <c r="C5034" t="s">
        <v>8206</v>
      </c>
      <c r="D5034" t="s">
        <v>16620</v>
      </c>
      <c r="E5034" t="s">
        <v>21212</v>
      </c>
      <c r="F5034" t="s">
        <v>28669</v>
      </c>
      <c r="G5034" t="s">
        <v>28676</v>
      </c>
      <c r="H5034" t="s">
        <v>9998</v>
      </c>
      <c r="I5034" t="s">
        <v>7352</v>
      </c>
      <c r="J5034" t="s">
        <v>32047</v>
      </c>
      <c r="K5034" t="s">
        <v>37229</v>
      </c>
      <c r="M5034" t="s">
        <v>39355</v>
      </c>
      <c r="N5034" t="s">
        <v>41249</v>
      </c>
      <c r="O5034" t="s">
        <v>41250</v>
      </c>
      <c r="P5034">
        <v>0</v>
      </c>
      <c r="Q5034">
        <v>0</v>
      </c>
      <c r="R5034" t="s">
        <v>41254</v>
      </c>
      <c r="S5034" t="s">
        <v>41425</v>
      </c>
      <c r="T5034" t="s">
        <v>42696</v>
      </c>
      <c r="U5034" t="s">
        <v>47354</v>
      </c>
      <c r="W5034" t="s">
        <v>39355</v>
      </c>
      <c r="X5034" t="s">
        <v>41257</v>
      </c>
    </row>
    <row r="5035" spans="1:24">
      <c r="A5035">
        <f>HYPERLINK("https://www.philgeps.gov.ph/GEPSNONPILOT/Tender/SplashBidNoticeAbstractUI.aspx?menuIndex=3&amp;refID=7071287&amp;Result=3","7071287")</f>
        <v>0</v>
      </c>
      <c r="B5035" t="s">
        <v>454</v>
      </c>
      <c r="C5035" t="s">
        <v>8207</v>
      </c>
      <c r="D5035" t="s">
        <v>16669</v>
      </c>
      <c r="E5035" t="s">
        <v>21213</v>
      </c>
      <c r="F5035" t="s">
        <v>28669</v>
      </c>
      <c r="G5035" t="s">
        <v>28676</v>
      </c>
      <c r="H5035" t="s">
        <v>9998</v>
      </c>
      <c r="I5035" t="s">
        <v>6606</v>
      </c>
      <c r="J5035" t="s">
        <v>32048</v>
      </c>
      <c r="K5035" t="s">
        <v>37209</v>
      </c>
      <c r="M5035" t="s">
        <v>37942</v>
      </c>
      <c r="N5035" t="s">
        <v>41249</v>
      </c>
      <c r="O5035" t="s">
        <v>41250</v>
      </c>
      <c r="P5035">
        <v>0</v>
      </c>
      <c r="Q5035">
        <v>0</v>
      </c>
      <c r="R5035" t="s">
        <v>41254</v>
      </c>
      <c r="S5035" t="s">
        <v>41425</v>
      </c>
      <c r="T5035" t="s">
        <v>42827</v>
      </c>
      <c r="U5035" t="s">
        <v>47355</v>
      </c>
      <c r="W5035" t="s">
        <v>37942</v>
      </c>
      <c r="X5035" t="s">
        <v>41257</v>
      </c>
    </row>
    <row r="5036" spans="1:24">
      <c r="A5036">
        <f>HYPERLINK("https://www.philgeps.gov.ph/GEPSNONPILOT/Tender/SplashBidNoticeAbstractUI.aspx?menuIndex=3&amp;refID=7071351&amp;Result=3","7071351")</f>
        <v>0</v>
      </c>
      <c r="B5036" t="s">
        <v>454</v>
      </c>
      <c r="C5036" t="s">
        <v>8208</v>
      </c>
      <c r="D5036" t="s">
        <v>16669</v>
      </c>
      <c r="E5036" t="s">
        <v>21214</v>
      </c>
      <c r="F5036" t="s">
        <v>28669</v>
      </c>
      <c r="G5036" t="s">
        <v>28676</v>
      </c>
      <c r="H5036" t="s">
        <v>9998</v>
      </c>
      <c r="I5036" t="s">
        <v>6606</v>
      </c>
      <c r="J5036" t="s">
        <v>32049</v>
      </c>
      <c r="K5036" t="s">
        <v>37209</v>
      </c>
      <c r="M5036" t="s">
        <v>37942</v>
      </c>
      <c r="N5036" t="s">
        <v>41249</v>
      </c>
      <c r="O5036" t="s">
        <v>41250</v>
      </c>
      <c r="P5036">
        <v>0</v>
      </c>
      <c r="Q5036">
        <v>0</v>
      </c>
      <c r="R5036" t="s">
        <v>41254</v>
      </c>
      <c r="S5036" t="s">
        <v>41425</v>
      </c>
      <c r="T5036" t="s">
        <v>42827</v>
      </c>
      <c r="U5036" t="s">
        <v>47356</v>
      </c>
      <c r="W5036" t="s">
        <v>37942</v>
      </c>
      <c r="X5036" t="s">
        <v>41257</v>
      </c>
    </row>
    <row r="5037" spans="1:24">
      <c r="A5037">
        <f>HYPERLINK("https://www.philgeps.gov.ph/GEPSNONPILOT/Tender/SplashBidNoticeAbstractUI.aspx?menuIndex=3&amp;refID=7071350&amp;Result=3","7071350")</f>
        <v>0</v>
      </c>
      <c r="B5037" t="s">
        <v>1217</v>
      </c>
      <c r="C5037" t="s">
        <v>8116</v>
      </c>
      <c r="D5037" t="s">
        <v>16631</v>
      </c>
      <c r="E5037" t="s">
        <v>21215</v>
      </c>
      <c r="F5037" t="s">
        <v>28669</v>
      </c>
      <c r="G5037" t="s">
        <v>28675</v>
      </c>
      <c r="H5037" t="s">
        <v>9998</v>
      </c>
      <c r="I5037" t="s">
        <v>7352</v>
      </c>
      <c r="J5037" t="s">
        <v>32050</v>
      </c>
      <c r="K5037" t="s">
        <v>37301</v>
      </c>
      <c r="M5037" t="s">
        <v>38760</v>
      </c>
      <c r="N5037" t="s">
        <v>41249</v>
      </c>
      <c r="O5037" t="s">
        <v>41250</v>
      </c>
      <c r="P5037">
        <v>0</v>
      </c>
      <c r="Q5037">
        <v>0</v>
      </c>
      <c r="R5037" t="s">
        <v>41254</v>
      </c>
      <c r="S5037" t="s">
        <v>41425</v>
      </c>
      <c r="T5037" t="s">
        <v>42711</v>
      </c>
      <c r="U5037" t="s">
        <v>47357</v>
      </c>
      <c r="V5037" t="s">
        <v>54599</v>
      </c>
      <c r="W5037" t="s">
        <v>38760</v>
      </c>
      <c r="X5037" t="s">
        <v>41257</v>
      </c>
    </row>
    <row r="5038" spans="1:24">
      <c r="A5038">
        <f>HYPERLINK("https://www.philgeps.gov.ph/GEPSNONPILOT/Tender/SplashBidNoticeAbstractUI.aspx?menuIndex=3&amp;refID=7071278&amp;Result=3","7071278")</f>
        <v>0</v>
      </c>
      <c r="B5038" t="s">
        <v>1217</v>
      </c>
      <c r="C5038" t="s">
        <v>4125</v>
      </c>
      <c r="D5038" t="s">
        <v>16631</v>
      </c>
      <c r="E5038" t="s">
        <v>21216</v>
      </c>
      <c r="F5038" t="s">
        <v>28669</v>
      </c>
      <c r="G5038" t="s">
        <v>28675</v>
      </c>
      <c r="H5038" t="s">
        <v>9998</v>
      </c>
      <c r="I5038" t="s">
        <v>11593</v>
      </c>
      <c r="J5038" t="s">
        <v>32051</v>
      </c>
      <c r="K5038" t="s">
        <v>37301</v>
      </c>
      <c r="M5038" t="s">
        <v>38760</v>
      </c>
      <c r="N5038" t="s">
        <v>41249</v>
      </c>
      <c r="O5038" t="s">
        <v>41250</v>
      </c>
      <c r="P5038">
        <v>0</v>
      </c>
      <c r="Q5038">
        <v>1</v>
      </c>
      <c r="R5038" t="s">
        <v>41254</v>
      </c>
      <c r="S5038" t="s">
        <v>41425</v>
      </c>
      <c r="T5038" t="s">
        <v>42711</v>
      </c>
      <c r="U5038" t="s">
        <v>47358</v>
      </c>
      <c r="V5038" t="s">
        <v>54599</v>
      </c>
      <c r="W5038" t="s">
        <v>38760</v>
      </c>
      <c r="X5038" t="s">
        <v>41257</v>
      </c>
    </row>
    <row r="5039" spans="1:24">
      <c r="A5039">
        <f>HYPERLINK("https://www.philgeps.gov.ph/GEPSNONPILOT/Tender/SplashBidNoticeAbstractUI.aspx?menuIndex=3&amp;refID=7071397&amp;Result=3","7071397")</f>
        <v>0</v>
      </c>
      <c r="B5039" t="s">
        <v>1754</v>
      </c>
      <c r="C5039" t="s">
        <v>8209</v>
      </c>
      <c r="D5039" t="s">
        <v>16683</v>
      </c>
      <c r="E5039" t="s">
        <v>21217</v>
      </c>
      <c r="F5039" t="s">
        <v>28669</v>
      </c>
      <c r="G5039" t="s">
        <v>28675</v>
      </c>
      <c r="H5039" t="s">
        <v>28686</v>
      </c>
      <c r="I5039" t="s">
        <v>28689</v>
      </c>
      <c r="J5039" t="s">
        <v>32052</v>
      </c>
      <c r="K5039" t="s">
        <v>37211</v>
      </c>
      <c r="M5039" t="s">
        <v>39356</v>
      </c>
      <c r="N5039" t="s">
        <v>41249</v>
      </c>
      <c r="O5039" t="s">
        <v>41250</v>
      </c>
      <c r="P5039">
        <v>0</v>
      </c>
      <c r="Q5039">
        <v>0</v>
      </c>
      <c r="R5039" t="s">
        <v>41254</v>
      </c>
      <c r="S5039" t="s">
        <v>41425</v>
      </c>
      <c r="T5039" t="s">
        <v>42988</v>
      </c>
      <c r="U5039" t="s">
        <v>47359</v>
      </c>
      <c r="W5039" t="s">
        <v>39356</v>
      </c>
      <c r="X5039" t="s">
        <v>41257</v>
      </c>
    </row>
    <row r="5040" spans="1:24">
      <c r="A5040">
        <f>HYPERLINK("https://www.philgeps.gov.ph/GEPSNONPILOT/Tender/SplashBidNoticeAbstractUI.aspx?menuIndex=3&amp;refID=7071253&amp;Result=3","7071253")</f>
        <v>0</v>
      </c>
      <c r="B5040" t="s">
        <v>696</v>
      </c>
      <c r="C5040" t="s">
        <v>8210</v>
      </c>
      <c r="D5040" t="s">
        <v>16611</v>
      </c>
      <c r="E5040" t="s">
        <v>21218</v>
      </c>
      <c r="F5040" t="s">
        <v>28669</v>
      </c>
      <c r="G5040" t="s">
        <v>28675</v>
      </c>
      <c r="H5040" t="s">
        <v>9998</v>
      </c>
      <c r="I5040" t="s">
        <v>28693</v>
      </c>
      <c r="J5040" t="s">
        <v>32053</v>
      </c>
      <c r="K5040" t="s">
        <v>37206</v>
      </c>
      <c r="M5040" t="s">
        <v>38201</v>
      </c>
      <c r="N5040" t="s">
        <v>41249</v>
      </c>
      <c r="O5040" t="s">
        <v>41250</v>
      </c>
      <c r="P5040">
        <v>0</v>
      </c>
      <c r="Q5040">
        <v>29</v>
      </c>
      <c r="R5040" t="s">
        <v>41254</v>
      </c>
      <c r="S5040" t="s">
        <v>41425</v>
      </c>
      <c r="T5040" t="s">
        <v>42899</v>
      </c>
      <c r="U5040" t="s">
        <v>47360</v>
      </c>
      <c r="W5040" t="s">
        <v>38201</v>
      </c>
      <c r="X5040" t="s">
        <v>41257</v>
      </c>
    </row>
    <row r="5041" spans="1:24">
      <c r="A5041">
        <f>HYPERLINK("https://www.philgeps.gov.ph/GEPSNONPILOT/Tender/SplashBidNoticeAbstractUI.aspx?menuIndex=3&amp;refID=7071209&amp;Result=3","7071209")</f>
        <v>0</v>
      </c>
      <c r="B5041" t="s">
        <v>1545</v>
      </c>
      <c r="C5041" t="s">
        <v>8211</v>
      </c>
      <c r="E5041" t="s">
        <v>21219</v>
      </c>
      <c r="F5041" t="s">
        <v>28669</v>
      </c>
      <c r="G5041" t="s">
        <v>28676</v>
      </c>
      <c r="H5041" t="s">
        <v>9998</v>
      </c>
      <c r="I5041" t="s">
        <v>6606</v>
      </c>
      <c r="J5041" t="s">
        <v>32054</v>
      </c>
      <c r="K5041" t="s">
        <v>37209</v>
      </c>
      <c r="M5041" t="s">
        <v>39120</v>
      </c>
      <c r="N5041" t="s">
        <v>41249</v>
      </c>
      <c r="O5041" t="s">
        <v>41250</v>
      </c>
      <c r="P5041">
        <v>0</v>
      </c>
      <c r="Q5041">
        <v>0</v>
      </c>
      <c r="R5041" t="s">
        <v>41254</v>
      </c>
      <c r="S5041" t="s">
        <v>41425</v>
      </c>
      <c r="T5041" t="s">
        <v>42701</v>
      </c>
      <c r="U5041" t="s">
        <v>47361</v>
      </c>
      <c r="W5041" t="s">
        <v>39120</v>
      </c>
      <c r="X5041" t="s">
        <v>41257</v>
      </c>
    </row>
    <row r="5042" spans="1:24">
      <c r="A5042">
        <f>HYPERLINK("https://www.philgeps.gov.ph/GEPSNONPILOT/Tender/SplashBidNoticeAbstractUI.aspx?menuIndex=3&amp;refID=7071379&amp;Result=3","7071379")</f>
        <v>0</v>
      </c>
      <c r="B5042" t="s">
        <v>1217</v>
      </c>
      <c r="C5042" t="s">
        <v>8212</v>
      </c>
      <c r="D5042" t="s">
        <v>16631</v>
      </c>
      <c r="E5042" t="s">
        <v>21220</v>
      </c>
      <c r="F5042" t="s">
        <v>28669</v>
      </c>
      <c r="G5042" t="s">
        <v>28675</v>
      </c>
      <c r="H5042" t="s">
        <v>9998</v>
      </c>
      <c r="I5042" t="s">
        <v>28722</v>
      </c>
      <c r="J5042" t="s">
        <v>29003</v>
      </c>
      <c r="K5042" t="s">
        <v>37301</v>
      </c>
      <c r="M5042" t="s">
        <v>38760</v>
      </c>
      <c r="N5042" t="s">
        <v>41249</v>
      </c>
      <c r="O5042" t="s">
        <v>41250</v>
      </c>
      <c r="P5042">
        <v>0</v>
      </c>
      <c r="Q5042">
        <v>1</v>
      </c>
      <c r="R5042" t="s">
        <v>41254</v>
      </c>
      <c r="S5042" t="s">
        <v>41425</v>
      </c>
      <c r="T5042" t="s">
        <v>42711</v>
      </c>
      <c r="U5042" t="s">
        <v>47362</v>
      </c>
      <c r="V5042" t="s">
        <v>54599</v>
      </c>
      <c r="W5042" t="s">
        <v>38760</v>
      </c>
      <c r="X5042" t="s">
        <v>41257</v>
      </c>
    </row>
    <row r="5043" spans="1:24">
      <c r="A5043">
        <f>HYPERLINK("https://www.philgeps.gov.ph/GEPSNONPILOT/Tender/SplashBidNoticeAbstractUI.aspx?menuIndex=3&amp;refID=7071333&amp;Result=3","7071333")</f>
        <v>0</v>
      </c>
      <c r="B5043" t="s">
        <v>835</v>
      </c>
      <c r="C5043" t="s">
        <v>8213</v>
      </c>
      <c r="D5043" t="s">
        <v>16615</v>
      </c>
      <c r="E5043" t="s">
        <v>21221</v>
      </c>
      <c r="F5043" t="s">
        <v>28669</v>
      </c>
      <c r="G5043" t="s">
        <v>28675</v>
      </c>
      <c r="H5043" t="s">
        <v>9998</v>
      </c>
      <c r="I5043" t="s">
        <v>5213</v>
      </c>
      <c r="J5043" t="s">
        <v>32055</v>
      </c>
      <c r="K5043" t="s">
        <v>37209</v>
      </c>
      <c r="M5043" t="s">
        <v>38351</v>
      </c>
      <c r="N5043" t="s">
        <v>41249</v>
      </c>
      <c r="O5043" t="s">
        <v>41250</v>
      </c>
      <c r="P5043">
        <v>0</v>
      </c>
      <c r="Q5043">
        <v>0</v>
      </c>
      <c r="R5043" t="s">
        <v>41254</v>
      </c>
      <c r="S5043" t="s">
        <v>41425</v>
      </c>
      <c r="T5043" t="s">
        <v>42863</v>
      </c>
      <c r="U5043" t="s">
        <v>47363</v>
      </c>
      <c r="W5043" t="s">
        <v>38351</v>
      </c>
      <c r="X5043" t="s">
        <v>41257</v>
      </c>
    </row>
    <row r="5044" spans="1:24">
      <c r="A5044">
        <f>HYPERLINK("https://www.philgeps.gov.ph/GEPSNONPILOT/Tender/SplashBidNoticeAbstractUI.aspx?menuIndex=3&amp;refID=7071327&amp;Result=3","7071327")</f>
        <v>0</v>
      </c>
      <c r="B5044" t="s">
        <v>1750</v>
      </c>
      <c r="C5044" t="s">
        <v>8214</v>
      </c>
      <c r="D5044" t="s">
        <v>16618</v>
      </c>
      <c r="E5044" t="s">
        <v>16855</v>
      </c>
      <c r="F5044" t="s">
        <v>28669</v>
      </c>
      <c r="G5044" t="s">
        <v>28675</v>
      </c>
      <c r="H5044" t="s">
        <v>9998</v>
      </c>
      <c r="I5044" t="s">
        <v>28696</v>
      </c>
      <c r="J5044" t="s">
        <v>28905</v>
      </c>
      <c r="K5044" t="s">
        <v>37206</v>
      </c>
      <c r="M5044" t="s">
        <v>39352</v>
      </c>
      <c r="N5044" t="s">
        <v>41249</v>
      </c>
      <c r="O5044" t="s">
        <v>41250</v>
      </c>
      <c r="P5044">
        <v>0</v>
      </c>
      <c r="Q5044">
        <v>1</v>
      </c>
      <c r="R5044" t="s">
        <v>41254</v>
      </c>
      <c r="S5044" t="s">
        <v>41425</v>
      </c>
      <c r="T5044" t="s">
        <v>42694</v>
      </c>
      <c r="U5044" t="s">
        <v>47364</v>
      </c>
      <c r="W5044" t="s">
        <v>39352</v>
      </c>
      <c r="X5044" t="s">
        <v>41257</v>
      </c>
    </row>
    <row r="5045" spans="1:24">
      <c r="A5045">
        <f>HYPERLINK("https://www.philgeps.gov.ph/GEPSNONPILOT/Tender/SplashBidNoticeAbstractUI.aspx?menuIndex=3&amp;refID=7071309&amp;Result=3","7071309")</f>
        <v>0</v>
      </c>
      <c r="B5045" t="s">
        <v>1755</v>
      </c>
      <c r="C5045" t="s">
        <v>4847</v>
      </c>
      <c r="D5045" t="s">
        <v>16619</v>
      </c>
      <c r="E5045" t="s">
        <v>17140</v>
      </c>
      <c r="F5045" t="s">
        <v>28669</v>
      </c>
      <c r="G5045" t="s">
        <v>28677</v>
      </c>
      <c r="H5045" t="s">
        <v>9998</v>
      </c>
      <c r="I5045" t="s">
        <v>28688</v>
      </c>
      <c r="J5045" t="s">
        <v>32056</v>
      </c>
      <c r="K5045" t="s">
        <v>37209</v>
      </c>
      <c r="M5045" t="s">
        <v>39357</v>
      </c>
      <c r="N5045" t="s">
        <v>41249</v>
      </c>
      <c r="O5045" t="s">
        <v>41250</v>
      </c>
      <c r="P5045">
        <v>0</v>
      </c>
      <c r="Q5045">
        <v>1</v>
      </c>
      <c r="R5045" t="s">
        <v>41254</v>
      </c>
      <c r="S5045" t="s">
        <v>41425</v>
      </c>
      <c r="T5045" t="s">
        <v>42738</v>
      </c>
      <c r="U5045" t="s">
        <v>47365</v>
      </c>
      <c r="W5045" t="s">
        <v>39357</v>
      </c>
      <c r="X5045" t="s">
        <v>41257</v>
      </c>
    </row>
    <row r="5046" spans="1:24">
      <c r="A5046">
        <f>HYPERLINK("https://www.philgeps.gov.ph/GEPSNONPILOT/Tender/SplashBidNoticeAbstractUI.aspx?menuIndex=3&amp;refID=7071317&amp;Result=3","7071317")</f>
        <v>0</v>
      </c>
      <c r="B5046" t="s">
        <v>454</v>
      </c>
      <c r="C5046" t="s">
        <v>8215</v>
      </c>
      <c r="D5046" t="s">
        <v>16669</v>
      </c>
      <c r="E5046" t="s">
        <v>19771</v>
      </c>
      <c r="F5046" t="s">
        <v>28669</v>
      </c>
      <c r="G5046" t="s">
        <v>28676</v>
      </c>
      <c r="H5046" t="s">
        <v>9998</v>
      </c>
      <c r="I5046" t="s">
        <v>6606</v>
      </c>
      <c r="J5046" t="s">
        <v>32057</v>
      </c>
      <c r="K5046" t="s">
        <v>37209</v>
      </c>
      <c r="M5046" t="s">
        <v>37942</v>
      </c>
      <c r="N5046" t="s">
        <v>41249</v>
      </c>
      <c r="O5046" t="s">
        <v>41250</v>
      </c>
      <c r="P5046">
        <v>0</v>
      </c>
      <c r="Q5046">
        <v>0</v>
      </c>
      <c r="R5046" t="s">
        <v>41254</v>
      </c>
      <c r="S5046" t="s">
        <v>41425</v>
      </c>
      <c r="T5046" t="s">
        <v>42827</v>
      </c>
      <c r="U5046" t="s">
        <v>47366</v>
      </c>
      <c r="W5046" t="s">
        <v>37942</v>
      </c>
      <c r="X5046" t="s">
        <v>41257</v>
      </c>
    </row>
    <row r="5047" spans="1:24">
      <c r="A5047">
        <f>HYPERLINK("https://www.philgeps.gov.ph/GEPSNONPILOT/Tender/SplashBidNoticeAbstractUI.aspx?menuIndex=3&amp;refID=7071493&amp;Result=3","7071493")</f>
        <v>0</v>
      </c>
      <c r="B5047" t="s">
        <v>1756</v>
      </c>
      <c r="C5047" t="s">
        <v>8216</v>
      </c>
      <c r="D5047" t="s">
        <v>16616</v>
      </c>
      <c r="E5047" t="s">
        <v>21222</v>
      </c>
      <c r="F5047" t="s">
        <v>28671</v>
      </c>
      <c r="G5047" t="s">
        <v>28677</v>
      </c>
      <c r="H5047" t="s">
        <v>9998</v>
      </c>
      <c r="I5047" t="s">
        <v>6128</v>
      </c>
      <c r="J5047" t="s">
        <v>32058</v>
      </c>
      <c r="K5047" t="s">
        <v>37204</v>
      </c>
      <c r="M5047" t="s">
        <v>39358</v>
      </c>
      <c r="N5047" t="s">
        <v>41249</v>
      </c>
      <c r="O5047" t="s">
        <v>41250</v>
      </c>
      <c r="P5047">
        <v>0</v>
      </c>
      <c r="Q5047">
        <v>2</v>
      </c>
      <c r="R5047" t="s">
        <v>41254</v>
      </c>
      <c r="S5047" t="s">
        <v>41425</v>
      </c>
      <c r="T5047" t="s">
        <v>42742</v>
      </c>
      <c r="U5047" t="s">
        <v>47367</v>
      </c>
      <c r="W5047" t="s">
        <v>39358</v>
      </c>
      <c r="X5047" t="s">
        <v>41257</v>
      </c>
    </row>
    <row r="5048" spans="1:24">
      <c r="A5048">
        <f>HYPERLINK("https://www.philgeps.gov.ph/GEPSNONPILOT/Tender/SplashBidNoticeAbstractUI.aspx?menuIndex=3&amp;refID=7071325&amp;Result=3","7071325")</f>
        <v>0</v>
      </c>
      <c r="B5048" t="s">
        <v>685</v>
      </c>
      <c r="C5048" t="s">
        <v>8217</v>
      </c>
      <c r="D5048" t="s">
        <v>16640</v>
      </c>
      <c r="E5048" t="s">
        <v>21223</v>
      </c>
      <c r="F5048" t="s">
        <v>28669</v>
      </c>
      <c r="G5048" t="s">
        <v>28675</v>
      </c>
      <c r="H5048" t="s">
        <v>9998</v>
      </c>
      <c r="I5048" t="s">
        <v>28786</v>
      </c>
      <c r="J5048" t="s">
        <v>29245</v>
      </c>
      <c r="K5048" t="s">
        <v>37208</v>
      </c>
      <c r="M5048" t="s">
        <v>38189</v>
      </c>
      <c r="N5048" t="s">
        <v>41249</v>
      </c>
      <c r="O5048" t="s">
        <v>41250</v>
      </c>
      <c r="P5048">
        <v>0</v>
      </c>
      <c r="Q5048">
        <v>1</v>
      </c>
      <c r="R5048" t="s">
        <v>41254</v>
      </c>
      <c r="S5048" t="s">
        <v>41425</v>
      </c>
      <c r="T5048" t="s">
        <v>42679</v>
      </c>
      <c r="U5048" t="s">
        <v>47368</v>
      </c>
      <c r="W5048" t="s">
        <v>38189</v>
      </c>
      <c r="X5048" t="s">
        <v>41257</v>
      </c>
    </row>
    <row r="5049" spans="1:24">
      <c r="A5049">
        <f>HYPERLINK("https://www.philgeps.gov.ph/GEPSNONPILOT/Tender/SplashBidNoticeAbstractUI.aspx?menuIndex=3&amp;refID=7071521&amp;Result=3","7071521")</f>
        <v>0</v>
      </c>
      <c r="B5049" t="s">
        <v>1757</v>
      </c>
      <c r="C5049" t="s">
        <v>8218</v>
      </c>
      <c r="D5049" t="s">
        <v>16624</v>
      </c>
      <c r="E5049" t="s">
        <v>16803</v>
      </c>
      <c r="F5049" t="s">
        <v>28669</v>
      </c>
      <c r="G5049" t="s">
        <v>28675</v>
      </c>
      <c r="H5049" t="s">
        <v>28686</v>
      </c>
      <c r="I5049" t="s">
        <v>28691</v>
      </c>
      <c r="J5049" t="s">
        <v>32059</v>
      </c>
      <c r="K5049" t="s">
        <v>37211</v>
      </c>
      <c r="M5049" t="s">
        <v>39359</v>
      </c>
      <c r="N5049" t="s">
        <v>41249</v>
      </c>
      <c r="O5049" t="s">
        <v>41250</v>
      </c>
      <c r="Q5049">
        <v>0</v>
      </c>
      <c r="R5049" t="s">
        <v>41254</v>
      </c>
      <c r="S5049" t="s">
        <v>41426</v>
      </c>
      <c r="T5049" t="s">
        <v>42693</v>
      </c>
      <c r="U5049" t="s">
        <v>47369</v>
      </c>
      <c r="W5049" t="s">
        <v>39359</v>
      </c>
      <c r="X5049" t="s">
        <v>41257</v>
      </c>
    </row>
    <row r="5050" spans="1:24">
      <c r="A5050">
        <f>HYPERLINK("https://www.philgeps.gov.ph/GEPSNONPILOT/Tender/SplashBidNoticeAbstractUI.aspx?menuIndex=3&amp;refID=7071508&amp;Result=3","7071508")</f>
        <v>0</v>
      </c>
      <c r="B5050" t="s">
        <v>1758</v>
      </c>
      <c r="C5050" t="s">
        <v>8219</v>
      </c>
      <c r="D5050" t="s">
        <v>16609</v>
      </c>
      <c r="E5050" t="s">
        <v>21224</v>
      </c>
      <c r="F5050" t="s">
        <v>28669</v>
      </c>
      <c r="G5050" t="s">
        <v>28676</v>
      </c>
      <c r="H5050" t="s">
        <v>9998</v>
      </c>
      <c r="I5050" t="s">
        <v>7352</v>
      </c>
      <c r="J5050" t="s">
        <v>32060</v>
      </c>
      <c r="K5050" t="s">
        <v>37204</v>
      </c>
      <c r="M5050" t="s">
        <v>39360</v>
      </c>
      <c r="N5050" t="s">
        <v>41249</v>
      </c>
      <c r="O5050" t="s">
        <v>41250</v>
      </c>
      <c r="P5050">
        <v>0</v>
      </c>
      <c r="Q5050">
        <v>0</v>
      </c>
      <c r="R5050" t="s">
        <v>41254</v>
      </c>
      <c r="S5050" t="s">
        <v>41425</v>
      </c>
      <c r="T5050" t="s">
        <v>42727</v>
      </c>
      <c r="U5050" t="s">
        <v>47370</v>
      </c>
      <c r="W5050" t="s">
        <v>39360</v>
      </c>
      <c r="X5050" t="s">
        <v>41257</v>
      </c>
    </row>
    <row r="5051" spans="1:24">
      <c r="A5051">
        <f>HYPERLINK("https://www.philgeps.gov.ph/GEPSNONPILOT/Tender/SplashBidNoticeAbstractUI.aspx?menuIndex=3&amp;refID=7071314&amp;Result=3","7071314")</f>
        <v>0</v>
      </c>
      <c r="B5051" t="s">
        <v>1217</v>
      </c>
      <c r="C5051" t="s">
        <v>8116</v>
      </c>
      <c r="D5051" t="s">
        <v>16631</v>
      </c>
      <c r="E5051" t="s">
        <v>21225</v>
      </c>
      <c r="F5051" t="s">
        <v>28669</v>
      </c>
      <c r="G5051" t="s">
        <v>28675</v>
      </c>
      <c r="H5051" t="s">
        <v>9998</v>
      </c>
      <c r="I5051" t="s">
        <v>7352</v>
      </c>
      <c r="J5051" t="s">
        <v>32061</v>
      </c>
      <c r="K5051" t="s">
        <v>37301</v>
      </c>
      <c r="M5051" t="s">
        <v>38760</v>
      </c>
      <c r="N5051" t="s">
        <v>41249</v>
      </c>
      <c r="O5051" t="s">
        <v>41250</v>
      </c>
      <c r="P5051">
        <v>0</v>
      </c>
      <c r="Q5051">
        <v>0</v>
      </c>
      <c r="R5051" t="s">
        <v>41254</v>
      </c>
      <c r="S5051" t="s">
        <v>41425</v>
      </c>
      <c r="T5051" t="s">
        <v>42711</v>
      </c>
      <c r="U5051" t="s">
        <v>47371</v>
      </c>
      <c r="V5051" t="s">
        <v>54599</v>
      </c>
      <c r="W5051" t="s">
        <v>38760</v>
      </c>
      <c r="X5051" t="s">
        <v>41257</v>
      </c>
    </row>
    <row r="5052" spans="1:24">
      <c r="A5052">
        <f>HYPERLINK("https://www.philgeps.gov.ph/GEPSNONPILOT/Tender/SplashBidNoticeAbstractUI.aspx?menuIndex=3&amp;refID=7071503&amp;Result=3","7071503")</f>
        <v>0</v>
      </c>
      <c r="B5052" t="s">
        <v>483</v>
      </c>
      <c r="C5052" t="s">
        <v>8220</v>
      </c>
      <c r="D5052" t="s">
        <v>16676</v>
      </c>
      <c r="E5052" t="s">
        <v>21226</v>
      </c>
      <c r="F5052" t="s">
        <v>28669</v>
      </c>
      <c r="G5052" t="s">
        <v>28675</v>
      </c>
      <c r="H5052" t="s">
        <v>9998</v>
      </c>
      <c r="I5052" t="s">
        <v>28695</v>
      </c>
      <c r="J5052" t="s">
        <v>29003</v>
      </c>
      <c r="K5052" t="s">
        <v>37213</v>
      </c>
      <c r="M5052" t="s">
        <v>37971</v>
      </c>
      <c r="N5052" t="s">
        <v>41249</v>
      </c>
      <c r="O5052" t="s">
        <v>41250</v>
      </c>
      <c r="P5052">
        <v>0</v>
      </c>
      <c r="Q5052">
        <v>0</v>
      </c>
      <c r="R5052" t="s">
        <v>41254</v>
      </c>
      <c r="S5052" t="s">
        <v>41425</v>
      </c>
      <c r="T5052" t="s">
        <v>42690</v>
      </c>
      <c r="U5052" t="s">
        <v>47372</v>
      </c>
      <c r="W5052" t="s">
        <v>37971</v>
      </c>
      <c r="X5052" t="s">
        <v>41257</v>
      </c>
    </row>
    <row r="5053" spans="1:24">
      <c r="A5053">
        <f>HYPERLINK("https://www.philgeps.gov.ph/GEPSNONPILOT/Tender/SplashBidNoticeAbstractUI.aspx?menuIndex=3&amp;refID=7071305&amp;Result=3","7071305")</f>
        <v>0</v>
      </c>
      <c r="B5053" t="s">
        <v>1750</v>
      </c>
      <c r="C5053" t="s">
        <v>8221</v>
      </c>
      <c r="D5053" t="s">
        <v>16618</v>
      </c>
      <c r="E5053" t="s">
        <v>16855</v>
      </c>
      <c r="F5053" t="s">
        <v>28669</v>
      </c>
      <c r="G5053" t="s">
        <v>28675</v>
      </c>
      <c r="H5053" t="s">
        <v>28686</v>
      </c>
      <c r="I5053" t="s">
        <v>28689</v>
      </c>
      <c r="J5053" t="s">
        <v>28859</v>
      </c>
      <c r="K5053" t="s">
        <v>37221</v>
      </c>
      <c r="M5053" t="s">
        <v>39352</v>
      </c>
      <c r="N5053" t="s">
        <v>41249</v>
      </c>
      <c r="O5053" t="s">
        <v>41250</v>
      </c>
      <c r="P5053">
        <v>0</v>
      </c>
      <c r="Q5053">
        <v>0</v>
      </c>
      <c r="R5053" t="s">
        <v>41254</v>
      </c>
      <c r="S5053" t="s">
        <v>41425</v>
      </c>
      <c r="T5053" t="s">
        <v>42751</v>
      </c>
      <c r="U5053" t="s">
        <v>47373</v>
      </c>
      <c r="W5053" t="s">
        <v>39352</v>
      </c>
      <c r="X5053" t="s">
        <v>41257</v>
      </c>
    </row>
    <row r="5054" spans="1:24">
      <c r="A5054">
        <f>HYPERLINK("https://www.philgeps.gov.ph/GEPSNONPILOT/Tender/SplashBidNoticeAbstractUI.aspx?menuIndex=3&amp;refID=7071484&amp;Result=3","7071484")</f>
        <v>0</v>
      </c>
      <c r="B5054" t="s">
        <v>752</v>
      </c>
      <c r="C5054" t="s">
        <v>8222</v>
      </c>
      <c r="D5054" t="s">
        <v>16679</v>
      </c>
      <c r="E5054" t="s">
        <v>21227</v>
      </c>
      <c r="F5054" t="s">
        <v>28669</v>
      </c>
      <c r="G5054" t="s">
        <v>28676</v>
      </c>
      <c r="H5054" t="s">
        <v>9998</v>
      </c>
      <c r="I5054" t="s">
        <v>28754</v>
      </c>
      <c r="J5054" t="s">
        <v>32062</v>
      </c>
      <c r="K5054" t="s">
        <v>37205</v>
      </c>
      <c r="M5054" t="s">
        <v>38263</v>
      </c>
      <c r="N5054" t="s">
        <v>41249</v>
      </c>
      <c r="O5054" t="s">
        <v>41250</v>
      </c>
      <c r="P5054">
        <v>0</v>
      </c>
      <c r="Q5054">
        <v>4</v>
      </c>
      <c r="R5054" t="s">
        <v>41254</v>
      </c>
      <c r="S5054" t="s">
        <v>41425</v>
      </c>
      <c r="T5054" t="s">
        <v>42883</v>
      </c>
      <c r="U5054" t="s">
        <v>47374</v>
      </c>
      <c r="V5054" t="s">
        <v>54826</v>
      </c>
      <c r="W5054" t="s">
        <v>38263</v>
      </c>
      <c r="X5054" t="s">
        <v>41257</v>
      </c>
    </row>
    <row r="5055" spans="1:24">
      <c r="A5055">
        <f>HYPERLINK("https://www.philgeps.gov.ph/GEPSNONPILOT/Tender/SplashBidNoticeAbstractUI.aspx?menuIndex=3&amp;refID=7071471&amp;Result=3","7071471")</f>
        <v>0</v>
      </c>
      <c r="B5055" t="s">
        <v>1759</v>
      </c>
      <c r="C5055" t="s">
        <v>8223</v>
      </c>
      <c r="D5055" t="s">
        <v>16636</v>
      </c>
      <c r="E5055" t="s">
        <v>8223</v>
      </c>
      <c r="F5055" t="s">
        <v>28669</v>
      </c>
      <c r="G5055" t="s">
        <v>28676</v>
      </c>
      <c r="H5055" t="s">
        <v>9998</v>
      </c>
      <c r="I5055" t="s">
        <v>28704</v>
      </c>
      <c r="J5055" t="s">
        <v>31609</v>
      </c>
      <c r="K5055" t="s">
        <v>37205</v>
      </c>
      <c r="M5055" t="s">
        <v>39361</v>
      </c>
      <c r="N5055" t="s">
        <v>41249</v>
      </c>
      <c r="O5055" t="s">
        <v>41250</v>
      </c>
      <c r="P5055">
        <v>0</v>
      </c>
      <c r="Q5055">
        <v>0</v>
      </c>
      <c r="R5055" t="s">
        <v>41254</v>
      </c>
      <c r="S5055" t="s">
        <v>41425</v>
      </c>
      <c r="T5055" t="s">
        <v>42754</v>
      </c>
      <c r="U5055" t="s">
        <v>47375</v>
      </c>
      <c r="W5055" t="s">
        <v>39361</v>
      </c>
      <c r="X5055" t="s">
        <v>41257</v>
      </c>
    </row>
    <row r="5056" spans="1:24">
      <c r="A5056">
        <f>HYPERLINK("https://www.philgeps.gov.ph/GEPSNONPILOT/Tender/SplashBidNoticeAbstractUI.aspx?menuIndex=3&amp;refID=7071463&amp;Result=3","7071463")</f>
        <v>0</v>
      </c>
      <c r="B5056" t="s">
        <v>851</v>
      </c>
      <c r="C5056" t="s">
        <v>8224</v>
      </c>
      <c r="D5056" t="s">
        <v>16654</v>
      </c>
      <c r="E5056" t="s">
        <v>21228</v>
      </c>
      <c r="F5056" t="s">
        <v>28669</v>
      </c>
      <c r="G5056" t="s">
        <v>28676</v>
      </c>
      <c r="H5056" t="s">
        <v>9998</v>
      </c>
      <c r="I5056" t="s">
        <v>3718</v>
      </c>
      <c r="J5056" t="s">
        <v>28826</v>
      </c>
      <c r="K5056" t="s">
        <v>37204</v>
      </c>
      <c r="M5056" t="s">
        <v>38367</v>
      </c>
      <c r="N5056" t="s">
        <v>41249</v>
      </c>
      <c r="O5056" t="s">
        <v>41250</v>
      </c>
      <c r="P5056">
        <v>0</v>
      </c>
      <c r="Q5056">
        <v>1</v>
      </c>
      <c r="R5056" t="s">
        <v>41254</v>
      </c>
      <c r="S5056" t="s">
        <v>41425</v>
      </c>
      <c r="T5056" t="s">
        <v>42883</v>
      </c>
      <c r="U5056" t="s">
        <v>47376</v>
      </c>
      <c r="W5056" t="s">
        <v>38367</v>
      </c>
      <c r="X5056" t="s">
        <v>41257</v>
      </c>
    </row>
    <row r="5057" spans="1:24">
      <c r="A5057">
        <f>HYPERLINK("https://www.philgeps.gov.ph/GEPSNONPILOT/Tender/SplashBidNoticeAbstractUI.aspx?menuIndex=3&amp;refID=7071456&amp;Result=3","7071456")</f>
        <v>0</v>
      </c>
      <c r="B5057" t="s">
        <v>1733</v>
      </c>
      <c r="C5057" t="s">
        <v>8225</v>
      </c>
      <c r="D5057" t="s">
        <v>16668</v>
      </c>
      <c r="E5057" t="s">
        <v>21229</v>
      </c>
      <c r="F5057" t="s">
        <v>28669</v>
      </c>
      <c r="G5057" t="s">
        <v>28675</v>
      </c>
      <c r="H5057" t="s">
        <v>28686</v>
      </c>
      <c r="I5057" t="s">
        <v>28689</v>
      </c>
      <c r="J5057" t="s">
        <v>32063</v>
      </c>
      <c r="K5057" t="s">
        <v>37305</v>
      </c>
      <c r="M5057" t="s">
        <v>39332</v>
      </c>
      <c r="N5057" t="s">
        <v>41249</v>
      </c>
      <c r="O5057" t="s">
        <v>41250</v>
      </c>
      <c r="P5057">
        <v>0</v>
      </c>
      <c r="Q5057">
        <v>1</v>
      </c>
      <c r="R5057" t="s">
        <v>41254</v>
      </c>
      <c r="S5057" t="s">
        <v>41425</v>
      </c>
      <c r="T5057" t="s">
        <v>42871</v>
      </c>
      <c r="U5057" t="s">
        <v>47377</v>
      </c>
      <c r="W5057" t="s">
        <v>39332</v>
      </c>
      <c r="X5057" t="s">
        <v>41257</v>
      </c>
    </row>
    <row r="5058" spans="1:24">
      <c r="A5058">
        <f>HYPERLINK("https://www.philgeps.gov.ph/GEPSNONPILOT/Tender/SplashBidNoticeAbstractUI.aspx?menuIndex=3&amp;refID=7071438&amp;Result=3","7071438")</f>
        <v>0</v>
      </c>
      <c r="B5058" t="s">
        <v>454</v>
      </c>
      <c r="C5058" t="s">
        <v>8226</v>
      </c>
      <c r="D5058" t="s">
        <v>16669</v>
      </c>
      <c r="E5058" t="s">
        <v>21230</v>
      </c>
      <c r="F5058" t="s">
        <v>28669</v>
      </c>
      <c r="G5058" t="s">
        <v>28676</v>
      </c>
      <c r="H5058" t="s">
        <v>9998</v>
      </c>
      <c r="I5058" t="s">
        <v>6606</v>
      </c>
      <c r="J5058" t="s">
        <v>29712</v>
      </c>
      <c r="K5058" t="s">
        <v>37209</v>
      </c>
      <c r="M5058" t="s">
        <v>37942</v>
      </c>
      <c r="N5058" t="s">
        <v>41249</v>
      </c>
      <c r="O5058" t="s">
        <v>41250</v>
      </c>
      <c r="P5058">
        <v>0</v>
      </c>
      <c r="Q5058">
        <v>0</v>
      </c>
      <c r="R5058" t="s">
        <v>41254</v>
      </c>
      <c r="S5058" t="s">
        <v>41425</v>
      </c>
      <c r="T5058" t="s">
        <v>42827</v>
      </c>
      <c r="U5058" t="s">
        <v>47378</v>
      </c>
      <c r="W5058" t="s">
        <v>37942</v>
      </c>
      <c r="X5058" t="s">
        <v>41257</v>
      </c>
    </row>
    <row r="5059" spans="1:24">
      <c r="A5059">
        <f>HYPERLINK("https://www.philgeps.gov.ph/GEPSNONPILOT/Tender/SplashBidNoticeAbstractUI.aspx?menuIndex=3&amp;refID=7071340&amp;Result=3","7071340")</f>
        <v>0</v>
      </c>
      <c r="B5059" t="s">
        <v>714</v>
      </c>
      <c r="C5059" t="s">
        <v>8227</v>
      </c>
      <c r="D5059" t="s">
        <v>16608</v>
      </c>
      <c r="E5059" t="s">
        <v>21231</v>
      </c>
      <c r="F5059" t="s">
        <v>28669</v>
      </c>
      <c r="G5059" t="s">
        <v>28676</v>
      </c>
      <c r="H5059" t="s">
        <v>9998</v>
      </c>
      <c r="I5059" t="s">
        <v>5213</v>
      </c>
      <c r="J5059" t="s">
        <v>32064</v>
      </c>
      <c r="K5059" t="s">
        <v>37243</v>
      </c>
      <c r="M5059" t="s">
        <v>38221</v>
      </c>
      <c r="N5059" t="s">
        <v>41249</v>
      </c>
      <c r="O5059" t="s">
        <v>41250</v>
      </c>
      <c r="P5059">
        <v>0</v>
      </c>
      <c r="Q5059">
        <v>5</v>
      </c>
      <c r="R5059" t="s">
        <v>41254</v>
      </c>
      <c r="S5059" t="s">
        <v>41425</v>
      </c>
      <c r="T5059" t="s">
        <v>42727</v>
      </c>
      <c r="U5059" t="s">
        <v>47379</v>
      </c>
      <c r="W5059" t="s">
        <v>38221</v>
      </c>
      <c r="X5059" t="s">
        <v>41257</v>
      </c>
    </row>
    <row r="5060" spans="1:24">
      <c r="A5060">
        <f>HYPERLINK("https://www.philgeps.gov.ph/GEPSNONPILOT/Tender/SplashBidNoticeAbstractUI.aspx?menuIndex=3&amp;refID=7071481&amp;Result=3","7071481")</f>
        <v>0</v>
      </c>
      <c r="B5060" t="s">
        <v>1760</v>
      </c>
      <c r="C5060" t="s">
        <v>8228</v>
      </c>
      <c r="D5060" t="s">
        <v>16612</v>
      </c>
      <c r="E5060" t="s">
        <v>21232</v>
      </c>
      <c r="F5060" t="s">
        <v>28669</v>
      </c>
      <c r="G5060" t="s">
        <v>28676</v>
      </c>
      <c r="H5060" t="s">
        <v>9998</v>
      </c>
      <c r="I5060" t="s">
        <v>7352</v>
      </c>
      <c r="J5060" t="s">
        <v>32065</v>
      </c>
      <c r="K5060" t="s">
        <v>37210</v>
      </c>
      <c r="M5060" t="s">
        <v>39362</v>
      </c>
      <c r="N5060" t="s">
        <v>41249</v>
      </c>
      <c r="O5060" t="s">
        <v>41250</v>
      </c>
      <c r="P5060">
        <v>0</v>
      </c>
      <c r="Q5060">
        <v>0</v>
      </c>
      <c r="R5060" t="s">
        <v>41254</v>
      </c>
      <c r="S5060" t="s">
        <v>41425</v>
      </c>
      <c r="T5060" t="s">
        <v>42742</v>
      </c>
      <c r="U5060" t="s">
        <v>47380</v>
      </c>
      <c r="W5060" t="s">
        <v>39362</v>
      </c>
      <c r="X5060" t="s">
        <v>41257</v>
      </c>
    </row>
    <row r="5061" spans="1:24">
      <c r="A5061">
        <f>HYPERLINK("https://www.philgeps.gov.ph/GEPSNONPILOT/Tender/SplashBidNoticeAbstractUI.aspx?menuIndex=3&amp;refID=7071437&amp;Result=3","7071437")</f>
        <v>0</v>
      </c>
      <c r="B5061" t="s">
        <v>1761</v>
      </c>
      <c r="C5061" t="s">
        <v>8229</v>
      </c>
      <c r="D5061" t="s">
        <v>16608</v>
      </c>
      <c r="E5061" t="s">
        <v>21233</v>
      </c>
      <c r="F5061" t="s">
        <v>28669</v>
      </c>
      <c r="G5061" t="s">
        <v>28676</v>
      </c>
      <c r="H5061" t="s">
        <v>9998</v>
      </c>
      <c r="I5061" t="s">
        <v>28690</v>
      </c>
      <c r="J5061" t="s">
        <v>32066</v>
      </c>
      <c r="K5061" t="s">
        <v>37205</v>
      </c>
      <c r="M5061" t="s">
        <v>39363</v>
      </c>
      <c r="N5061" t="s">
        <v>41249</v>
      </c>
      <c r="O5061" t="s">
        <v>41250</v>
      </c>
      <c r="P5061">
        <v>0</v>
      </c>
      <c r="Q5061">
        <v>12</v>
      </c>
      <c r="R5061" t="s">
        <v>41254</v>
      </c>
      <c r="S5061" t="s">
        <v>41425</v>
      </c>
      <c r="T5061" t="s">
        <v>42827</v>
      </c>
      <c r="U5061" t="s">
        <v>47381</v>
      </c>
      <c r="W5061" t="s">
        <v>39363</v>
      </c>
      <c r="X5061" t="s">
        <v>41257</v>
      </c>
    </row>
    <row r="5062" spans="1:24">
      <c r="A5062">
        <f>HYPERLINK("https://www.philgeps.gov.ph/GEPSNONPILOT/Tender/SplashBidNoticeAbstractUI.aspx?menuIndex=3&amp;refID=7071432&amp;Result=3","7071432")</f>
        <v>0</v>
      </c>
      <c r="B5062" t="s">
        <v>1762</v>
      </c>
      <c r="C5062" t="s">
        <v>8230</v>
      </c>
      <c r="D5062" t="s">
        <v>16644</v>
      </c>
      <c r="E5062" t="s">
        <v>21234</v>
      </c>
      <c r="F5062" t="s">
        <v>28669</v>
      </c>
      <c r="G5062" t="s">
        <v>28676</v>
      </c>
      <c r="H5062" t="s">
        <v>9998</v>
      </c>
      <c r="I5062" t="s">
        <v>28693</v>
      </c>
      <c r="J5062" t="s">
        <v>32067</v>
      </c>
      <c r="K5062" t="s">
        <v>37209</v>
      </c>
      <c r="M5062" t="s">
        <v>39364</v>
      </c>
      <c r="N5062" t="s">
        <v>41249</v>
      </c>
      <c r="O5062" t="s">
        <v>41250</v>
      </c>
      <c r="P5062">
        <v>0</v>
      </c>
      <c r="Q5062">
        <v>12</v>
      </c>
      <c r="R5062" t="s">
        <v>41254</v>
      </c>
      <c r="S5062" t="s">
        <v>41425</v>
      </c>
      <c r="T5062" t="s">
        <v>42989</v>
      </c>
      <c r="U5062" t="s">
        <v>47382</v>
      </c>
      <c r="W5062" t="s">
        <v>39364</v>
      </c>
      <c r="X5062" t="s">
        <v>41257</v>
      </c>
    </row>
    <row r="5063" spans="1:24">
      <c r="A5063">
        <f>HYPERLINK("https://www.philgeps.gov.ph/GEPSNONPILOT/Tender/SplashBidNoticeAbstractUI.aspx?menuIndex=3&amp;refID=7071426&amp;Result=3","7071426")</f>
        <v>0</v>
      </c>
      <c r="B5063" t="s">
        <v>525</v>
      </c>
      <c r="C5063" t="s">
        <v>8231</v>
      </c>
      <c r="D5063" t="s">
        <v>16608</v>
      </c>
      <c r="E5063" t="s">
        <v>21235</v>
      </c>
      <c r="F5063" t="s">
        <v>28669</v>
      </c>
      <c r="G5063" t="s">
        <v>28676</v>
      </c>
      <c r="H5063" t="s">
        <v>9998</v>
      </c>
      <c r="I5063" t="s">
        <v>28757</v>
      </c>
      <c r="J5063" t="s">
        <v>32068</v>
      </c>
      <c r="K5063" t="s">
        <v>37209</v>
      </c>
      <c r="M5063" t="s">
        <v>38016</v>
      </c>
      <c r="N5063" t="s">
        <v>41249</v>
      </c>
      <c r="O5063" t="s">
        <v>41250</v>
      </c>
      <c r="P5063">
        <v>0</v>
      </c>
      <c r="Q5063">
        <v>2</v>
      </c>
      <c r="R5063" t="s">
        <v>41254</v>
      </c>
      <c r="S5063" t="s">
        <v>41425</v>
      </c>
      <c r="T5063" t="s">
        <v>42883</v>
      </c>
      <c r="U5063" t="s">
        <v>47383</v>
      </c>
      <c r="V5063" t="s">
        <v>54366</v>
      </c>
      <c r="W5063" t="s">
        <v>55920</v>
      </c>
      <c r="X5063" t="s">
        <v>41257</v>
      </c>
    </row>
    <row r="5064" spans="1:24">
      <c r="A5064">
        <f>HYPERLINK("https://www.philgeps.gov.ph/GEPSNONPILOT/Tender/SplashBidNoticeAbstractUI.aspx?menuIndex=3&amp;refID=7071422&amp;Result=3","7071422")</f>
        <v>0</v>
      </c>
      <c r="B5064" t="s">
        <v>1760</v>
      </c>
      <c r="C5064" t="s">
        <v>8232</v>
      </c>
      <c r="D5064" t="s">
        <v>16612</v>
      </c>
      <c r="E5064" t="s">
        <v>21236</v>
      </c>
      <c r="F5064" t="s">
        <v>28669</v>
      </c>
      <c r="G5064" t="s">
        <v>28675</v>
      </c>
      <c r="H5064" t="s">
        <v>9998</v>
      </c>
      <c r="I5064" t="s">
        <v>7352</v>
      </c>
      <c r="J5064" t="s">
        <v>32069</v>
      </c>
      <c r="K5064" t="s">
        <v>37210</v>
      </c>
      <c r="M5064" t="s">
        <v>39362</v>
      </c>
      <c r="N5064" t="s">
        <v>41249</v>
      </c>
      <c r="O5064" t="s">
        <v>41250</v>
      </c>
      <c r="P5064">
        <v>0</v>
      </c>
      <c r="Q5064">
        <v>0</v>
      </c>
      <c r="R5064" t="s">
        <v>41254</v>
      </c>
      <c r="S5064" t="s">
        <v>41425</v>
      </c>
      <c r="T5064" t="s">
        <v>42679</v>
      </c>
      <c r="U5064" t="s">
        <v>47384</v>
      </c>
      <c r="W5064" t="s">
        <v>39362</v>
      </c>
      <c r="X5064" t="s">
        <v>41257</v>
      </c>
    </row>
    <row r="5065" spans="1:24">
      <c r="A5065">
        <f>HYPERLINK("https://www.philgeps.gov.ph/GEPSNONPILOT/Tender/SplashBidNoticeAbstractUI.aspx?menuIndex=3&amp;refID=7071384&amp;Result=3","7071384")</f>
        <v>0</v>
      </c>
      <c r="B5065" t="s">
        <v>164</v>
      </c>
      <c r="C5065" t="s">
        <v>8233</v>
      </c>
      <c r="D5065" t="s">
        <v>16624</v>
      </c>
      <c r="E5065" t="s">
        <v>21237</v>
      </c>
      <c r="F5065" t="s">
        <v>28669</v>
      </c>
      <c r="G5065" t="s">
        <v>28677</v>
      </c>
      <c r="H5065" t="s">
        <v>9998</v>
      </c>
      <c r="I5065" t="s">
        <v>5033</v>
      </c>
      <c r="J5065" t="s">
        <v>29713</v>
      </c>
      <c r="K5065" t="s">
        <v>37206</v>
      </c>
      <c r="M5065" t="s">
        <v>37641</v>
      </c>
      <c r="N5065" t="s">
        <v>41249</v>
      </c>
      <c r="O5065" t="s">
        <v>41250</v>
      </c>
      <c r="P5065">
        <v>0</v>
      </c>
      <c r="Q5065">
        <v>0</v>
      </c>
      <c r="R5065" t="s">
        <v>41254</v>
      </c>
      <c r="S5065" t="s">
        <v>41425</v>
      </c>
      <c r="T5065" t="s">
        <v>42817</v>
      </c>
      <c r="U5065" t="s">
        <v>47385</v>
      </c>
      <c r="W5065" t="s">
        <v>37641</v>
      </c>
      <c r="X5065" t="s">
        <v>41257</v>
      </c>
    </row>
    <row r="5066" spans="1:24">
      <c r="A5066">
        <f>HYPERLINK("https://www.philgeps.gov.ph/GEPSNONPILOT/Tender/SplashBidNoticeAbstractUI.aspx?menuIndex=3&amp;refID=7071472&amp;Result=3","7071472")</f>
        <v>0</v>
      </c>
      <c r="B5066" t="s">
        <v>1763</v>
      </c>
      <c r="C5066" t="s">
        <v>8234</v>
      </c>
      <c r="D5066" t="s">
        <v>16663</v>
      </c>
      <c r="E5066" t="s">
        <v>21238</v>
      </c>
      <c r="F5066" t="s">
        <v>28669</v>
      </c>
      <c r="G5066" t="s">
        <v>28677</v>
      </c>
      <c r="H5066" t="s">
        <v>9998</v>
      </c>
      <c r="I5066" t="s">
        <v>28726</v>
      </c>
      <c r="J5066" t="s">
        <v>32070</v>
      </c>
      <c r="K5066" t="s">
        <v>37206</v>
      </c>
      <c r="M5066" t="s">
        <v>39365</v>
      </c>
      <c r="N5066" t="s">
        <v>41249</v>
      </c>
      <c r="O5066" t="s">
        <v>41250</v>
      </c>
      <c r="P5066">
        <v>0</v>
      </c>
      <c r="Q5066">
        <v>0</v>
      </c>
      <c r="R5066" t="s">
        <v>41254</v>
      </c>
      <c r="S5066" t="s">
        <v>41425</v>
      </c>
      <c r="T5066" t="s">
        <v>42771</v>
      </c>
      <c r="U5066" t="s">
        <v>47386</v>
      </c>
      <c r="W5066" t="s">
        <v>39365</v>
      </c>
      <c r="X5066" t="s">
        <v>41257</v>
      </c>
    </row>
    <row r="5067" spans="1:24">
      <c r="A5067">
        <f>HYPERLINK("https://www.philgeps.gov.ph/GEPSNONPILOT/Tender/SplashBidNoticeAbstractUI.aspx?menuIndex=3&amp;refID=7071612&amp;Result=3","7071612")</f>
        <v>0</v>
      </c>
      <c r="B5067" t="s">
        <v>1749</v>
      </c>
      <c r="C5067" t="s">
        <v>8235</v>
      </c>
      <c r="D5067" t="s">
        <v>16663</v>
      </c>
      <c r="E5067" t="s">
        <v>21239</v>
      </c>
      <c r="F5067" t="s">
        <v>28669</v>
      </c>
      <c r="G5067" t="s">
        <v>28676</v>
      </c>
      <c r="H5067" t="s">
        <v>9998</v>
      </c>
      <c r="I5067" t="s">
        <v>28760</v>
      </c>
      <c r="J5067" t="s">
        <v>32071</v>
      </c>
      <c r="K5067" t="s">
        <v>37256</v>
      </c>
      <c r="M5067" t="s">
        <v>39351</v>
      </c>
      <c r="N5067" t="s">
        <v>41249</v>
      </c>
      <c r="O5067" t="s">
        <v>41250</v>
      </c>
      <c r="P5067">
        <v>0</v>
      </c>
      <c r="Q5067">
        <v>3</v>
      </c>
      <c r="R5067" t="s">
        <v>41254</v>
      </c>
      <c r="S5067" t="s">
        <v>41425</v>
      </c>
      <c r="T5067" t="s">
        <v>42883</v>
      </c>
      <c r="U5067" t="s">
        <v>47387</v>
      </c>
      <c r="V5067" t="s">
        <v>54827</v>
      </c>
      <c r="W5067" t="s">
        <v>39351</v>
      </c>
      <c r="X5067" t="s">
        <v>41257</v>
      </c>
    </row>
    <row r="5068" spans="1:24">
      <c r="A5068">
        <f>HYPERLINK("https://www.philgeps.gov.ph/GEPSNONPILOT/Tender/SplashBidNoticeAbstractUI.aspx?menuIndex=3&amp;refID=7071610&amp;Result=3","7071610")</f>
        <v>0</v>
      </c>
      <c r="B5068" t="s">
        <v>1309</v>
      </c>
      <c r="C5068" t="s">
        <v>8236</v>
      </c>
      <c r="D5068" t="s">
        <v>16616</v>
      </c>
      <c r="E5068" t="s">
        <v>21240</v>
      </c>
      <c r="F5068" t="s">
        <v>28669</v>
      </c>
      <c r="G5068" t="s">
        <v>28675</v>
      </c>
      <c r="H5068" t="s">
        <v>9998</v>
      </c>
      <c r="I5068" t="s">
        <v>7352</v>
      </c>
      <c r="J5068" t="s">
        <v>32072</v>
      </c>
      <c r="K5068" t="s">
        <v>37206</v>
      </c>
      <c r="M5068" t="s">
        <v>38861</v>
      </c>
      <c r="N5068" t="s">
        <v>41249</v>
      </c>
      <c r="O5068" t="s">
        <v>41250</v>
      </c>
      <c r="P5068">
        <v>0</v>
      </c>
      <c r="Q5068">
        <v>0</v>
      </c>
      <c r="R5068" t="s">
        <v>41254</v>
      </c>
      <c r="S5068" t="s">
        <v>41425</v>
      </c>
      <c r="T5068" t="s">
        <v>42990</v>
      </c>
      <c r="U5068" t="s">
        <v>47388</v>
      </c>
      <c r="V5068" t="s">
        <v>54828</v>
      </c>
      <c r="W5068" t="s">
        <v>38861</v>
      </c>
      <c r="X5068" t="s">
        <v>41257</v>
      </c>
    </row>
    <row r="5069" spans="1:24">
      <c r="A5069">
        <f>HYPERLINK("https://www.philgeps.gov.ph/GEPSNONPILOT/Tender/SplashBidNoticeAbstractUI.aspx?menuIndex=3&amp;refID=7071606&amp;Result=3","7071606")</f>
        <v>0</v>
      </c>
      <c r="B5069" t="s">
        <v>791</v>
      </c>
      <c r="C5069" t="s">
        <v>8237</v>
      </c>
      <c r="D5069" t="s">
        <v>16679</v>
      </c>
      <c r="E5069" t="s">
        <v>21241</v>
      </c>
      <c r="F5069" t="s">
        <v>28669</v>
      </c>
      <c r="G5069" t="s">
        <v>28677</v>
      </c>
      <c r="H5069" t="s">
        <v>9998</v>
      </c>
      <c r="I5069" t="s">
        <v>28757</v>
      </c>
      <c r="J5069" t="s">
        <v>29034</v>
      </c>
      <c r="K5069" t="s">
        <v>37204</v>
      </c>
      <c r="M5069" t="s">
        <v>38305</v>
      </c>
      <c r="N5069" t="s">
        <v>41249</v>
      </c>
      <c r="O5069" t="s">
        <v>41250</v>
      </c>
      <c r="P5069">
        <v>0</v>
      </c>
      <c r="Q5069">
        <v>3</v>
      </c>
      <c r="R5069" t="s">
        <v>41254</v>
      </c>
      <c r="S5069" t="s">
        <v>41425</v>
      </c>
      <c r="T5069" t="s">
        <v>42759</v>
      </c>
      <c r="U5069" t="s">
        <v>47389</v>
      </c>
      <c r="W5069" t="s">
        <v>38305</v>
      </c>
      <c r="X5069" t="s">
        <v>41257</v>
      </c>
    </row>
    <row r="5070" spans="1:24">
      <c r="A5070">
        <f>HYPERLINK("https://www.philgeps.gov.ph/GEPSNONPILOT/Tender/SplashBidNoticeAbstractUI.aspx?menuIndex=3&amp;refID=7071603&amp;Result=3","7071603")</f>
        <v>0</v>
      </c>
      <c r="B5070" t="s">
        <v>1036</v>
      </c>
      <c r="C5070" t="s">
        <v>8238</v>
      </c>
      <c r="D5070" t="s">
        <v>16677</v>
      </c>
      <c r="E5070" t="s">
        <v>19682</v>
      </c>
      <c r="F5070" t="s">
        <v>28669</v>
      </c>
      <c r="G5070" t="s">
        <v>28677</v>
      </c>
      <c r="H5070" t="s">
        <v>9998</v>
      </c>
      <c r="I5070" t="s">
        <v>5213</v>
      </c>
      <c r="J5070" t="s">
        <v>30467</v>
      </c>
      <c r="K5070" t="s">
        <v>37209</v>
      </c>
      <c r="M5070" t="s">
        <v>38567</v>
      </c>
      <c r="N5070" t="s">
        <v>41249</v>
      </c>
      <c r="O5070" t="s">
        <v>41250</v>
      </c>
      <c r="P5070">
        <v>0</v>
      </c>
      <c r="Q5070">
        <v>2</v>
      </c>
      <c r="R5070" t="s">
        <v>41254</v>
      </c>
      <c r="S5070" t="s">
        <v>41425</v>
      </c>
      <c r="T5070" t="s">
        <v>42883</v>
      </c>
      <c r="U5070" t="s">
        <v>47390</v>
      </c>
      <c r="V5070" t="s">
        <v>54561</v>
      </c>
      <c r="W5070" t="s">
        <v>38567</v>
      </c>
      <c r="X5070" t="s">
        <v>41257</v>
      </c>
    </row>
    <row r="5071" spans="1:24">
      <c r="A5071">
        <f>HYPERLINK("https://www.philgeps.gov.ph/GEPSNONPILOT/Tender/SplashBidNoticeAbstractUI.aspx?menuIndex=3&amp;refID=7071494&amp;Result=3","7071494")</f>
        <v>0</v>
      </c>
      <c r="B5071" t="s">
        <v>1764</v>
      </c>
      <c r="C5071" t="s">
        <v>8239</v>
      </c>
      <c r="D5071" t="s">
        <v>16642</v>
      </c>
      <c r="E5071" t="s">
        <v>21242</v>
      </c>
      <c r="F5071" t="s">
        <v>28669</v>
      </c>
      <c r="G5071" t="s">
        <v>28675</v>
      </c>
      <c r="H5071" t="s">
        <v>28686</v>
      </c>
      <c r="I5071" t="s">
        <v>28689</v>
      </c>
      <c r="J5071" t="s">
        <v>29077</v>
      </c>
      <c r="K5071" t="s">
        <v>37220</v>
      </c>
      <c r="M5071" t="s">
        <v>39366</v>
      </c>
      <c r="N5071" t="s">
        <v>41249</v>
      </c>
      <c r="O5071" t="s">
        <v>41250</v>
      </c>
      <c r="P5071">
        <v>0</v>
      </c>
      <c r="Q5071">
        <v>0</v>
      </c>
      <c r="R5071" t="s">
        <v>41254</v>
      </c>
      <c r="S5071" t="s">
        <v>41425</v>
      </c>
      <c r="T5071" t="s">
        <v>42803</v>
      </c>
      <c r="U5071" t="s">
        <v>47391</v>
      </c>
      <c r="V5071" t="s">
        <v>54829</v>
      </c>
      <c r="W5071" t="s">
        <v>39366</v>
      </c>
      <c r="X5071" t="s">
        <v>41257</v>
      </c>
    </row>
    <row r="5072" spans="1:24">
      <c r="A5072">
        <f>HYPERLINK("https://www.philgeps.gov.ph/GEPSNONPILOT/Tender/SplashBidNoticeAbstractUI.aspx?menuIndex=3&amp;refID=7071596&amp;Result=3","7071596")</f>
        <v>0</v>
      </c>
      <c r="B5072" t="s">
        <v>1765</v>
      </c>
      <c r="C5072" t="s">
        <v>8240</v>
      </c>
      <c r="D5072" t="s">
        <v>16639</v>
      </c>
      <c r="E5072" t="s">
        <v>21243</v>
      </c>
      <c r="F5072" t="s">
        <v>28669</v>
      </c>
      <c r="G5072" t="s">
        <v>28676</v>
      </c>
      <c r="H5072" t="s">
        <v>9998</v>
      </c>
      <c r="I5072" t="s">
        <v>3718</v>
      </c>
      <c r="J5072" t="s">
        <v>29040</v>
      </c>
      <c r="K5072" t="s">
        <v>37208</v>
      </c>
      <c r="M5072" t="s">
        <v>39367</v>
      </c>
      <c r="N5072" t="s">
        <v>41249</v>
      </c>
      <c r="O5072" t="s">
        <v>41250</v>
      </c>
      <c r="P5072">
        <v>0</v>
      </c>
      <c r="Q5072">
        <v>0</v>
      </c>
      <c r="R5072" t="s">
        <v>41254</v>
      </c>
      <c r="S5072" t="s">
        <v>41425</v>
      </c>
      <c r="T5072" t="s">
        <v>42728</v>
      </c>
      <c r="U5072" t="s">
        <v>47392</v>
      </c>
      <c r="V5072" t="s">
        <v>54830</v>
      </c>
      <c r="W5072" t="s">
        <v>39367</v>
      </c>
      <c r="X5072" t="s">
        <v>41257</v>
      </c>
    </row>
    <row r="5073" spans="1:24">
      <c r="A5073">
        <f>HYPERLINK("https://www.philgeps.gov.ph/GEPSNONPILOT/Tender/SplashBidNoticeAbstractUI.aspx?menuIndex=3&amp;refID=7071581&amp;Result=3","7071581")</f>
        <v>0</v>
      </c>
      <c r="B5073" t="s">
        <v>791</v>
      </c>
      <c r="C5073" t="s">
        <v>8241</v>
      </c>
      <c r="D5073" t="s">
        <v>16679</v>
      </c>
      <c r="E5073" t="s">
        <v>21244</v>
      </c>
      <c r="F5073" t="s">
        <v>28669</v>
      </c>
      <c r="G5073" t="s">
        <v>28677</v>
      </c>
      <c r="H5073" t="s">
        <v>9998</v>
      </c>
      <c r="I5073" t="s">
        <v>28729</v>
      </c>
      <c r="J5073" t="s">
        <v>28834</v>
      </c>
      <c r="K5073" t="s">
        <v>37204</v>
      </c>
      <c r="M5073" t="s">
        <v>38305</v>
      </c>
      <c r="N5073" t="s">
        <v>41249</v>
      </c>
      <c r="O5073" t="s">
        <v>41250</v>
      </c>
      <c r="P5073">
        <v>0</v>
      </c>
      <c r="Q5073">
        <v>7</v>
      </c>
      <c r="R5073" t="s">
        <v>41254</v>
      </c>
      <c r="S5073" t="s">
        <v>41425</v>
      </c>
      <c r="T5073" t="s">
        <v>42759</v>
      </c>
      <c r="U5073" t="s">
        <v>47393</v>
      </c>
      <c r="W5073" t="s">
        <v>38305</v>
      </c>
      <c r="X5073" t="s">
        <v>41257</v>
      </c>
    </row>
    <row r="5074" spans="1:24">
      <c r="A5074">
        <f>HYPERLINK("https://www.philgeps.gov.ph/GEPSNONPILOT/Tender/SplashBidNoticeAbstractUI.aspx?menuIndex=3&amp;refID=7071431&amp;Result=3","7071431")</f>
        <v>0</v>
      </c>
      <c r="B5074" t="s">
        <v>1766</v>
      </c>
      <c r="C5074" t="s">
        <v>8242</v>
      </c>
      <c r="D5074" t="s">
        <v>16608</v>
      </c>
      <c r="E5074" t="s">
        <v>21245</v>
      </c>
      <c r="F5074" t="s">
        <v>28669</v>
      </c>
      <c r="G5074" t="s">
        <v>28676</v>
      </c>
      <c r="H5074" t="s">
        <v>9998</v>
      </c>
      <c r="I5074" t="s">
        <v>28690</v>
      </c>
      <c r="J5074" t="s">
        <v>28859</v>
      </c>
      <c r="K5074" t="s">
        <v>37243</v>
      </c>
      <c r="M5074" t="s">
        <v>39368</v>
      </c>
      <c r="N5074" t="s">
        <v>41249</v>
      </c>
      <c r="O5074" t="s">
        <v>41250</v>
      </c>
      <c r="P5074">
        <v>0</v>
      </c>
      <c r="Q5074">
        <v>7</v>
      </c>
      <c r="R5074" t="s">
        <v>41254</v>
      </c>
      <c r="S5074" t="s">
        <v>41425</v>
      </c>
      <c r="T5074" t="s">
        <v>42694</v>
      </c>
      <c r="U5074" t="s">
        <v>47394</v>
      </c>
      <c r="W5074" t="s">
        <v>39368</v>
      </c>
      <c r="X5074" t="s">
        <v>41257</v>
      </c>
    </row>
    <row r="5075" spans="1:24">
      <c r="A5075">
        <f>HYPERLINK("https://www.philgeps.gov.ph/GEPSNONPILOT/Tender/SplashBidNoticeAbstractUI.aspx?menuIndex=3&amp;refID=7071573&amp;Result=3","7071573")</f>
        <v>0</v>
      </c>
      <c r="B5075" t="s">
        <v>752</v>
      </c>
      <c r="C5075" t="s">
        <v>8243</v>
      </c>
      <c r="D5075" t="s">
        <v>16679</v>
      </c>
      <c r="E5075" t="s">
        <v>21246</v>
      </c>
      <c r="F5075" t="s">
        <v>28669</v>
      </c>
      <c r="G5075" t="s">
        <v>28676</v>
      </c>
      <c r="H5075" t="s">
        <v>9998</v>
      </c>
      <c r="I5075" t="s">
        <v>28708</v>
      </c>
      <c r="J5075" t="s">
        <v>29083</v>
      </c>
      <c r="K5075" t="s">
        <v>37205</v>
      </c>
      <c r="M5075" t="s">
        <v>38263</v>
      </c>
      <c r="N5075" t="s">
        <v>41249</v>
      </c>
      <c r="O5075" t="s">
        <v>41250</v>
      </c>
      <c r="P5075">
        <v>0</v>
      </c>
      <c r="Q5075">
        <v>3</v>
      </c>
      <c r="R5075" t="s">
        <v>41254</v>
      </c>
      <c r="S5075" t="s">
        <v>41425</v>
      </c>
      <c r="T5075" t="s">
        <v>42883</v>
      </c>
      <c r="U5075" t="s">
        <v>47395</v>
      </c>
      <c r="V5075" t="s">
        <v>54457</v>
      </c>
      <c r="W5075" t="s">
        <v>38263</v>
      </c>
      <c r="X5075" t="s">
        <v>41257</v>
      </c>
    </row>
    <row r="5076" spans="1:24">
      <c r="A5076">
        <f>HYPERLINK("https://www.philgeps.gov.ph/GEPSNONPILOT/Tender/SplashBidNoticeAbstractUI.aspx?menuIndex=3&amp;refID=7071445&amp;Result=3","7071445")</f>
        <v>0</v>
      </c>
      <c r="B5076" t="s">
        <v>1764</v>
      </c>
      <c r="C5076" t="s">
        <v>8244</v>
      </c>
      <c r="D5076" t="s">
        <v>16642</v>
      </c>
      <c r="E5076" t="s">
        <v>21247</v>
      </c>
      <c r="F5076" t="s">
        <v>28669</v>
      </c>
      <c r="G5076" t="s">
        <v>28675</v>
      </c>
      <c r="H5076" t="s">
        <v>9998</v>
      </c>
      <c r="I5076" t="s">
        <v>28687</v>
      </c>
      <c r="J5076" t="s">
        <v>30575</v>
      </c>
      <c r="K5076" t="s">
        <v>37229</v>
      </c>
      <c r="M5076" t="s">
        <v>39366</v>
      </c>
      <c r="N5076" t="s">
        <v>41249</v>
      </c>
      <c r="O5076" t="s">
        <v>41250</v>
      </c>
      <c r="P5076">
        <v>0</v>
      </c>
      <c r="Q5076">
        <v>4</v>
      </c>
      <c r="R5076" t="s">
        <v>41254</v>
      </c>
      <c r="S5076" t="s">
        <v>41425</v>
      </c>
      <c r="T5076" t="s">
        <v>42820</v>
      </c>
      <c r="U5076" t="s">
        <v>47396</v>
      </c>
      <c r="V5076" t="s">
        <v>54829</v>
      </c>
      <c r="W5076" t="s">
        <v>39366</v>
      </c>
      <c r="X5076" t="s">
        <v>41257</v>
      </c>
    </row>
    <row r="5077" spans="1:24">
      <c r="A5077">
        <f>HYPERLINK("https://www.philgeps.gov.ph/GEPSNONPILOT/Tender/SplashBidNoticeAbstractUI.aspx?menuIndex=3&amp;refID=7071569&amp;Result=3","7071569")</f>
        <v>0</v>
      </c>
      <c r="B5077" t="s">
        <v>1764</v>
      </c>
      <c r="C5077" t="s">
        <v>8245</v>
      </c>
      <c r="D5077" t="s">
        <v>16642</v>
      </c>
      <c r="E5077" t="s">
        <v>21248</v>
      </c>
      <c r="F5077" t="s">
        <v>28669</v>
      </c>
      <c r="G5077" t="s">
        <v>28675</v>
      </c>
      <c r="H5077" t="s">
        <v>28686</v>
      </c>
      <c r="I5077" t="s">
        <v>28689</v>
      </c>
      <c r="J5077" t="s">
        <v>32073</v>
      </c>
      <c r="K5077" t="s">
        <v>37220</v>
      </c>
      <c r="M5077" t="s">
        <v>39366</v>
      </c>
      <c r="N5077" t="s">
        <v>41249</v>
      </c>
      <c r="O5077" t="s">
        <v>41250</v>
      </c>
      <c r="P5077">
        <v>0</v>
      </c>
      <c r="Q5077">
        <v>1</v>
      </c>
      <c r="R5077" t="s">
        <v>41254</v>
      </c>
      <c r="S5077" t="s">
        <v>41425</v>
      </c>
      <c r="T5077" t="s">
        <v>42803</v>
      </c>
      <c r="U5077" t="s">
        <v>47397</v>
      </c>
      <c r="V5077" t="s">
        <v>54829</v>
      </c>
      <c r="W5077" t="s">
        <v>39366</v>
      </c>
      <c r="X5077" t="s">
        <v>41257</v>
      </c>
    </row>
    <row r="5078" spans="1:24">
      <c r="A5078">
        <f>HYPERLINK("https://www.philgeps.gov.ph/GEPSNONPILOT/Tender/SplashBidNoticeAbstractUI.aspx?menuIndex=3&amp;refID=7071404&amp;Result=3","7071404")</f>
        <v>0</v>
      </c>
      <c r="B5078" t="s">
        <v>483</v>
      </c>
      <c r="C5078" t="s">
        <v>8246</v>
      </c>
      <c r="D5078" t="s">
        <v>16676</v>
      </c>
      <c r="E5078" t="s">
        <v>21249</v>
      </c>
      <c r="F5078" t="s">
        <v>28669</v>
      </c>
      <c r="G5078" t="s">
        <v>28675</v>
      </c>
      <c r="H5078" t="s">
        <v>9998</v>
      </c>
      <c r="I5078" t="s">
        <v>28695</v>
      </c>
      <c r="J5078" t="s">
        <v>32074</v>
      </c>
      <c r="K5078" t="s">
        <v>37213</v>
      </c>
      <c r="M5078" t="s">
        <v>37971</v>
      </c>
      <c r="N5078" t="s">
        <v>41249</v>
      </c>
      <c r="O5078" t="s">
        <v>41250</v>
      </c>
      <c r="P5078">
        <v>0</v>
      </c>
      <c r="Q5078">
        <v>0</v>
      </c>
      <c r="R5078" t="s">
        <v>41254</v>
      </c>
      <c r="S5078" t="s">
        <v>41425</v>
      </c>
      <c r="T5078" t="s">
        <v>42716</v>
      </c>
      <c r="U5078" t="s">
        <v>47398</v>
      </c>
      <c r="W5078" t="s">
        <v>37971</v>
      </c>
      <c r="X5078" t="s">
        <v>41257</v>
      </c>
    </row>
    <row r="5079" spans="1:24">
      <c r="A5079">
        <f>HYPERLINK("https://www.philgeps.gov.ph/GEPSNONPILOT/Tender/SplashBidNoticeAbstractUI.aspx?menuIndex=3&amp;refID=7071556&amp;Result=3","7071556")</f>
        <v>0</v>
      </c>
      <c r="B5079" t="s">
        <v>791</v>
      </c>
      <c r="C5079" t="s">
        <v>8247</v>
      </c>
      <c r="D5079" t="s">
        <v>16679</v>
      </c>
      <c r="E5079" t="s">
        <v>21250</v>
      </c>
      <c r="F5079" t="s">
        <v>28669</v>
      </c>
      <c r="G5079" t="s">
        <v>28677</v>
      </c>
      <c r="H5079" t="s">
        <v>9998</v>
      </c>
      <c r="I5079" t="s">
        <v>3718</v>
      </c>
      <c r="J5079" t="s">
        <v>29448</v>
      </c>
      <c r="K5079" t="s">
        <v>37204</v>
      </c>
      <c r="M5079" t="s">
        <v>38305</v>
      </c>
      <c r="N5079" t="s">
        <v>41249</v>
      </c>
      <c r="O5079" t="s">
        <v>41250</v>
      </c>
      <c r="P5079">
        <v>0</v>
      </c>
      <c r="Q5079">
        <v>5</v>
      </c>
      <c r="R5079" t="s">
        <v>41254</v>
      </c>
      <c r="S5079" t="s">
        <v>41425</v>
      </c>
      <c r="T5079" t="s">
        <v>42754</v>
      </c>
      <c r="U5079" t="s">
        <v>47399</v>
      </c>
      <c r="W5079" t="s">
        <v>38305</v>
      </c>
      <c r="X5079" t="s">
        <v>41257</v>
      </c>
    </row>
    <row r="5080" spans="1:24">
      <c r="A5080">
        <f>HYPERLINK("https://www.philgeps.gov.ph/GEPSNONPILOT/Tender/SplashBidNoticeAbstractUI.aspx?menuIndex=3&amp;refID=7071554&amp;Result=3","7071554")</f>
        <v>0</v>
      </c>
      <c r="B5080" t="s">
        <v>1767</v>
      </c>
      <c r="C5080" t="s">
        <v>8248</v>
      </c>
      <c r="D5080" t="s">
        <v>16676</v>
      </c>
      <c r="E5080" t="s">
        <v>21251</v>
      </c>
      <c r="F5080" t="s">
        <v>28669</v>
      </c>
      <c r="G5080" t="s">
        <v>28675</v>
      </c>
      <c r="H5080" t="s">
        <v>28686</v>
      </c>
      <c r="I5080" t="s">
        <v>28689</v>
      </c>
      <c r="J5080" t="s">
        <v>32075</v>
      </c>
      <c r="K5080" t="s">
        <v>37220</v>
      </c>
      <c r="M5080" t="s">
        <v>39369</v>
      </c>
      <c r="N5080" t="s">
        <v>41249</v>
      </c>
      <c r="O5080" t="s">
        <v>41250</v>
      </c>
      <c r="P5080">
        <v>0</v>
      </c>
      <c r="Q5080">
        <v>2</v>
      </c>
      <c r="R5080" t="s">
        <v>41254</v>
      </c>
      <c r="S5080" t="s">
        <v>41425</v>
      </c>
      <c r="T5080" t="s">
        <v>42855</v>
      </c>
      <c r="U5080" t="s">
        <v>47400</v>
      </c>
      <c r="V5080" t="s">
        <v>54831</v>
      </c>
      <c r="W5080" t="s">
        <v>39369</v>
      </c>
      <c r="X5080" t="s">
        <v>41257</v>
      </c>
    </row>
    <row r="5081" spans="1:24">
      <c r="A5081">
        <f>HYPERLINK("https://www.philgeps.gov.ph/GEPSNONPILOT/Tender/SplashBidNoticeAbstractUI.aspx?menuIndex=3&amp;refID=7071548&amp;Result=3","7071548")</f>
        <v>0</v>
      </c>
      <c r="B5081" t="s">
        <v>1768</v>
      </c>
      <c r="C5081" t="s">
        <v>8249</v>
      </c>
      <c r="D5081" t="s">
        <v>16644</v>
      </c>
      <c r="E5081" t="s">
        <v>21252</v>
      </c>
      <c r="F5081" t="s">
        <v>28669</v>
      </c>
      <c r="G5081" t="s">
        <v>28676</v>
      </c>
      <c r="H5081" t="s">
        <v>9998</v>
      </c>
      <c r="I5081" t="s">
        <v>6128</v>
      </c>
      <c r="J5081" t="s">
        <v>32076</v>
      </c>
      <c r="K5081" t="s">
        <v>37205</v>
      </c>
      <c r="M5081" t="s">
        <v>39370</v>
      </c>
      <c r="N5081" t="s">
        <v>41249</v>
      </c>
      <c r="O5081" t="s">
        <v>41250</v>
      </c>
      <c r="P5081">
        <v>0</v>
      </c>
      <c r="Q5081">
        <v>0</v>
      </c>
      <c r="R5081" t="s">
        <v>41254</v>
      </c>
      <c r="S5081" t="s">
        <v>41425</v>
      </c>
      <c r="T5081" t="s">
        <v>42767</v>
      </c>
      <c r="U5081" t="s">
        <v>47401</v>
      </c>
      <c r="W5081" t="s">
        <v>39370</v>
      </c>
      <c r="X5081" t="s">
        <v>41257</v>
      </c>
    </row>
    <row r="5082" spans="1:24">
      <c r="A5082">
        <f>HYPERLINK("https://www.philgeps.gov.ph/GEPSNONPILOT/Tender/SplashBidNoticeAbstractUI.aspx?menuIndex=3&amp;refID=7071538&amp;Result=3","7071538")</f>
        <v>0</v>
      </c>
      <c r="B5082" t="s">
        <v>1758</v>
      </c>
      <c r="C5082" t="s">
        <v>8250</v>
      </c>
      <c r="D5082" t="s">
        <v>16609</v>
      </c>
      <c r="E5082" t="s">
        <v>21253</v>
      </c>
      <c r="F5082" t="s">
        <v>28669</v>
      </c>
      <c r="G5082" t="s">
        <v>28676</v>
      </c>
      <c r="H5082" t="s">
        <v>9998</v>
      </c>
      <c r="I5082" t="s">
        <v>7352</v>
      </c>
      <c r="J5082" t="s">
        <v>32077</v>
      </c>
      <c r="K5082" t="s">
        <v>37204</v>
      </c>
      <c r="M5082" t="s">
        <v>39360</v>
      </c>
      <c r="N5082" t="s">
        <v>41249</v>
      </c>
      <c r="O5082" t="s">
        <v>41250</v>
      </c>
      <c r="P5082">
        <v>0</v>
      </c>
      <c r="Q5082">
        <v>0</v>
      </c>
      <c r="R5082" t="s">
        <v>41254</v>
      </c>
      <c r="S5082" t="s">
        <v>41425</v>
      </c>
      <c r="T5082" t="s">
        <v>42727</v>
      </c>
      <c r="U5082" t="s">
        <v>47370</v>
      </c>
      <c r="W5082" t="s">
        <v>39360</v>
      </c>
      <c r="X5082" t="s">
        <v>41257</v>
      </c>
    </row>
    <row r="5083" spans="1:24">
      <c r="A5083">
        <f>HYPERLINK("https://www.philgeps.gov.ph/GEPSNONPILOT/Tender/SplashBidNoticeAbstractUI.aspx?menuIndex=3&amp;refID=7071599&amp;Result=3","7071599")</f>
        <v>0</v>
      </c>
      <c r="B5083" t="s">
        <v>1758</v>
      </c>
      <c r="C5083" t="s">
        <v>8251</v>
      </c>
      <c r="D5083" t="s">
        <v>16609</v>
      </c>
      <c r="E5083" t="s">
        <v>21254</v>
      </c>
      <c r="F5083" t="s">
        <v>28669</v>
      </c>
      <c r="G5083" t="s">
        <v>28676</v>
      </c>
      <c r="H5083" t="s">
        <v>9998</v>
      </c>
      <c r="I5083" t="s">
        <v>3718</v>
      </c>
      <c r="J5083" t="s">
        <v>32078</v>
      </c>
      <c r="K5083" t="s">
        <v>37204</v>
      </c>
      <c r="M5083" t="s">
        <v>39360</v>
      </c>
      <c r="N5083" t="s">
        <v>41249</v>
      </c>
      <c r="O5083" t="s">
        <v>41250</v>
      </c>
      <c r="P5083">
        <v>0</v>
      </c>
      <c r="Q5083">
        <v>5</v>
      </c>
      <c r="R5083" t="s">
        <v>41254</v>
      </c>
      <c r="S5083" t="s">
        <v>41425</v>
      </c>
      <c r="T5083" t="s">
        <v>42727</v>
      </c>
      <c r="U5083" t="s">
        <v>47402</v>
      </c>
      <c r="W5083" t="s">
        <v>39360</v>
      </c>
      <c r="X5083" t="s">
        <v>41257</v>
      </c>
    </row>
    <row r="5084" spans="1:24">
      <c r="A5084">
        <f>HYPERLINK("https://www.philgeps.gov.ph/GEPSNONPILOT/Tender/SplashBidNoticeAbstractUI.aspx?menuIndex=3&amp;refID=7071598&amp;Result=3","7071598")</f>
        <v>0</v>
      </c>
      <c r="B5084" t="s">
        <v>1768</v>
      </c>
      <c r="C5084" t="s">
        <v>8252</v>
      </c>
      <c r="D5084" t="s">
        <v>16644</v>
      </c>
      <c r="E5084" t="s">
        <v>21255</v>
      </c>
      <c r="F5084" t="s">
        <v>28669</v>
      </c>
      <c r="G5084" t="s">
        <v>28676</v>
      </c>
      <c r="H5084" t="s">
        <v>9998</v>
      </c>
      <c r="I5084" t="s">
        <v>15140</v>
      </c>
      <c r="J5084" t="s">
        <v>32079</v>
      </c>
      <c r="K5084" t="s">
        <v>37205</v>
      </c>
      <c r="M5084" t="s">
        <v>39370</v>
      </c>
      <c r="N5084" t="s">
        <v>41249</v>
      </c>
      <c r="O5084" t="s">
        <v>41250</v>
      </c>
      <c r="P5084">
        <v>0</v>
      </c>
      <c r="Q5084">
        <v>0</v>
      </c>
      <c r="R5084" t="s">
        <v>41254</v>
      </c>
      <c r="S5084" t="s">
        <v>41425</v>
      </c>
      <c r="T5084" t="s">
        <v>42767</v>
      </c>
      <c r="U5084" t="s">
        <v>47401</v>
      </c>
      <c r="W5084" t="s">
        <v>39370</v>
      </c>
      <c r="X5084" t="s">
        <v>41257</v>
      </c>
    </row>
    <row r="5085" spans="1:24">
      <c r="A5085">
        <f>HYPERLINK("https://www.philgeps.gov.ph/GEPSNONPILOT/Tender/SplashBidNoticeAbstractUI.aspx?menuIndex=3&amp;refID=7071783&amp;Result=3","7071783")</f>
        <v>0</v>
      </c>
      <c r="B5085" t="s">
        <v>1769</v>
      </c>
      <c r="C5085" t="s">
        <v>8253</v>
      </c>
      <c r="D5085" t="s">
        <v>16648</v>
      </c>
      <c r="E5085" t="s">
        <v>21256</v>
      </c>
      <c r="F5085" t="s">
        <v>28669</v>
      </c>
      <c r="G5085" t="s">
        <v>28677</v>
      </c>
      <c r="H5085" t="s">
        <v>9998</v>
      </c>
      <c r="I5085" t="s">
        <v>11142</v>
      </c>
      <c r="J5085" t="s">
        <v>32080</v>
      </c>
      <c r="K5085" t="s">
        <v>37205</v>
      </c>
      <c r="M5085" t="s">
        <v>39371</v>
      </c>
      <c r="N5085" t="s">
        <v>41249</v>
      </c>
      <c r="O5085" t="s">
        <v>41250</v>
      </c>
      <c r="P5085">
        <v>0</v>
      </c>
      <c r="Q5085">
        <v>0</v>
      </c>
      <c r="R5085" t="s">
        <v>41254</v>
      </c>
      <c r="S5085" t="s">
        <v>41425</v>
      </c>
      <c r="T5085" t="s">
        <v>42711</v>
      </c>
      <c r="U5085" t="s">
        <v>47403</v>
      </c>
      <c r="W5085" t="s">
        <v>39371</v>
      </c>
      <c r="X5085" t="s">
        <v>41257</v>
      </c>
    </row>
    <row r="5086" spans="1:24">
      <c r="A5086">
        <f>HYPERLINK("https://www.philgeps.gov.ph/GEPSNONPILOT/Tender/SplashBidNoticeAbstractUI.aspx?menuIndex=3&amp;refID=7071551&amp;Result=3","7071551")</f>
        <v>0</v>
      </c>
      <c r="B5086" t="s">
        <v>600</v>
      </c>
      <c r="C5086" t="s">
        <v>8254</v>
      </c>
      <c r="E5086" t="s">
        <v>8254</v>
      </c>
      <c r="F5086" t="s">
        <v>28669</v>
      </c>
      <c r="G5086" t="s">
        <v>28676</v>
      </c>
      <c r="H5086" t="s">
        <v>9998</v>
      </c>
      <c r="I5086" t="s">
        <v>28687</v>
      </c>
      <c r="J5086" t="s">
        <v>29644</v>
      </c>
      <c r="K5086" t="s">
        <v>37209</v>
      </c>
      <c r="M5086" t="s">
        <v>38100</v>
      </c>
      <c r="N5086" t="s">
        <v>41249</v>
      </c>
      <c r="O5086" t="s">
        <v>41250</v>
      </c>
      <c r="P5086">
        <v>0</v>
      </c>
      <c r="Q5086">
        <v>2</v>
      </c>
      <c r="R5086" t="s">
        <v>41254</v>
      </c>
      <c r="S5086" t="s">
        <v>41425</v>
      </c>
      <c r="T5086" t="s">
        <v>42758</v>
      </c>
      <c r="U5086" t="s">
        <v>47404</v>
      </c>
      <c r="V5086" t="s">
        <v>54393</v>
      </c>
      <c r="W5086" t="s">
        <v>38100</v>
      </c>
      <c r="X5086" t="s">
        <v>41257</v>
      </c>
    </row>
    <row r="5087" spans="1:24">
      <c r="A5087">
        <f>HYPERLINK("https://www.philgeps.gov.ph/GEPSNONPILOT/Tender/SplashBidNoticeAbstractUI.aspx?menuIndex=3&amp;refID=7071778&amp;Result=3","7071778")</f>
        <v>0</v>
      </c>
      <c r="B5087" t="s">
        <v>1770</v>
      </c>
      <c r="C5087" t="s">
        <v>8255</v>
      </c>
      <c r="D5087" t="s">
        <v>16608</v>
      </c>
      <c r="E5087" t="s">
        <v>21257</v>
      </c>
      <c r="F5087" t="s">
        <v>28669</v>
      </c>
      <c r="G5087" t="s">
        <v>28675</v>
      </c>
      <c r="H5087" t="s">
        <v>9998</v>
      </c>
      <c r="I5087" t="s">
        <v>28751</v>
      </c>
      <c r="J5087" t="s">
        <v>32081</v>
      </c>
      <c r="K5087" t="s">
        <v>37206</v>
      </c>
      <c r="M5087" t="s">
        <v>39372</v>
      </c>
      <c r="N5087" t="s">
        <v>41249</v>
      </c>
      <c r="O5087" t="s">
        <v>41250</v>
      </c>
      <c r="P5087">
        <v>0</v>
      </c>
      <c r="Q5087">
        <v>2</v>
      </c>
      <c r="R5087" t="s">
        <v>41254</v>
      </c>
      <c r="S5087" t="s">
        <v>41425</v>
      </c>
      <c r="T5087" t="s">
        <v>42779</v>
      </c>
      <c r="U5087" t="s">
        <v>47405</v>
      </c>
      <c r="W5087" t="s">
        <v>39372</v>
      </c>
      <c r="X5087" t="s">
        <v>41257</v>
      </c>
    </row>
    <row r="5088" spans="1:24">
      <c r="A5088">
        <f>HYPERLINK("https://www.philgeps.gov.ph/GEPSNONPILOT/Tender/SplashBidNoticeAbstractUI.aspx?menuIndex=3&amp;refID=7071772&amp;Result=3","7071772")</f>
        <v>0</v>
      </c>
      <c r="B5088" t="s">
        <v>1771</v>
      </c>
      <c r="C5088" t="s">
        <v>8256</v>
      </c>
      <c r="D5088" t="s">
        <v>16673</v>
      </c>
      <c r="E5088" t="s">
        <v>17653</v>
      </c>
      <c r="F5088" t="s">
        <v>28671</v>
      </c>
      <c r="G5088" t="s">
        <v>28675</v>
      </c>
      <c r="H5088" t="s">
        <v>28686</v>
      </c>
      <c r="I5088" t="s">
        <v>28689</v>
      </c>
      <c r="J5088" t="s">
        <v>32082</v>
      </c>
      <c r="K5088" t="s">
        <v>37205</v>
      </c>
      <c r="M5088" t="s">
        <v>39373</v>
      </c>
      <c r="N5088" t="s">
        <v>41249</v>
      </c>
      <c r="O5088" t="s">
        <v>41250</v>
      </c>
      <c r="P5088">
        <v>0</v>
      </c>
      <c r="Q5088">
        <v>0</v>
      </c>
      <c r="R5088" t="s">
        <v>41254</v>
      </c>
      <c r="S5088" t="s">
        <v>41425</v>
      </c>
      <c r="T5088" t="s">
        <v>42855</v>
      </c>
      <c r="U5088" t="s">
        <v>47406</v>
      </c>
      <c r="V5088" t="s">
        <v>54252</v>
      </c>
      <c r="W5088" t="s">
        <v>39373</v>
      </c>
      <c r="X5088" t="s">
        <v>41257</v>
      </c>
    </row>
    <row r="5089" spans="1:24">
      <c r="A5089">
        <f>HYPERLINK("https://www.philgeps.gov.ph/GEPSNONPILOT/Tender/SplashBidNoticeAbstractUI.aspx?menuIndex=3&amp;refID=7071572&amp;Result=3","7071572")</f>
        <v>0</v>
      </c>
      <c r="B5089" t="s">
        <v>1758</v>
      </c>
      <c r="C5089" t="s">
        <v>8257</v>
      </c>
      <c r="D5089" t="s">
        <v>16609</v>
      </c>
      <c r="E5089" t="s">
        <v>21258</v>
      </c>
      <c r="F5089" t="s">
        <v>28669</v>
      </c>
      <c r="G5089" t="s">
        <v>28676</v>
      </c>
      <c r="H5089" t="s">
        <v>9998</v>
      </c>
      <c r="I5089" t="s">
        <v>28704</v>
      </c>
      <c r="J5089" t="s">
        <v>29512</v>
      </c>
      <c r="K5089" t="s">
        <v>37206</v>
      </c>
      <c r="M5089" t="s">
        <v>39360</v>
      </c>
      <c r="N5089" t="s">
        <v>41249</v>
      </c>
      <c r="O5089" t="s">
        <v>41250</v>
      </c>
      <c r="P5089">
        <v>0</v>
      </c>
      <c r="Q5089">
        <v>0</v>
      </c>
      <c r="R5089" t="s">
        <v>41254</v>
      </c>
      <c r="S5089" t="s">
        <v>41425</v>
      </c>
      <c r="T5089" t="s">
        <v>42727</v>
      </c>
      <c r="U5089" t="s">
        <v>47407</v>
      </c>
      <c r="W5089" t="s">
        <v>39360</v>
      </c>
      <c r="X5089" t="s">
        <v>41257</v>
      </c>
    </row>
    <row r="5090" spans="1:24">
      <c r="A5090">
        <f>HYPERLINK("https://www.philgeps.gov.ph/GEPSNONPILOT/Tender/SplashBidNoticeAbstractUI.aspx?menuIndex=3&amp;refID=7071771&amp;Result=3","7071771")</f>
        <v>0</v>
      </c>
      <c r="B5090" t="s">
        <v>752</v>
      </c>
      <c r="C5090" t="s">
        <v>8258</v>
      </c>
      <c r="D5090" t="s">
        <v>16679</v>
      </c>
      <c r="E5090" t="s">
        <v>21259</v>
      </c>
      <c r="F5090" t="s">
        <v>28669</v>
      </c>
      <c r="G5090" t="s">
        <v>28676</v>
      </c>
      <c r="H5090" t="s">
        <v>9998</v>
      </c>
      <c r="I5090" t="s">
        <v>5213</v>
      </c>
      <c r="J5090" t="s">
        <v>32083</v>
      </c>
      <c r="K5090" t="s">
        <v>37205</v>
      </c>
      <c r="M5090" t="s">
        <v>38263</v>
      </c>
      <c r="N5090" t="s">
        <v>41249</v>
      </c>
      <c r="O5090" t="s">
        <v>41250</v>
      </c>
      <c r="P5090">
        <v>0</v>
      </c>
      <c r="Q5090">
        <v>3</v>
      </c>
      <c r="R5090" t="s">
        <v>41254</v>
      </c>
      <c r="S5090" t="s">
        <v>41425</v>
      </c>
      <c r="T5090" t="s">
        <v>42883</v>
      </c>
      <c r="U5090" t="s">
        <v>47408</v>
      </c>
      <c r="V5090" t="s">
        <v>54457</v>
      </c>
      <c r="W5090" t="s">
        <v>38263</v>
      </c>
      <c r="X5090" t="s">
        <v>41257</v>
      </c>
    </row>
    <row r="5091" spans="1:24">
      <c r="A5091">
        <f>HYPERLINK("https://www.philgeps.gov.ph/GEPSNONPILOT/Tender/SplashBidNoticeAbstractUI.aspx?menuIndex=3&amp;refID=7071629&amp;Result=3","7071629")</f>
        <v>0</v>
      </c>
      <c r="B5091" t="s">
        <v>525</v>
      </c>
      <c r="C5091" t="s">
        <v>8259</v>
      </c>
      <c r="D5091" t="s">
        <v>16608</v>
      </c>
      <c r="E5091" t="s">
        <v>21260</v>
      </c>
      <c r="F5091" t="s">
        <v>28669</v>
      </c>
      <c r="G5091" t="s">
        <v>28676</v>
      </c>
      <c r="H5091" t="s">
        <v>9998</v>
      </c>
      <c r="I5091" t="s">
        <v>3718</v>
      </c>
      <c r="J5091" t="s">
        <v>32084</v>
      </c>
      <c r="K5091" t="s">
        <v>37209</v>
      </c>
      <c r="M5091" t="s">
        <v>38016</v>
      </c>
      <c r="N5091" t="s">
        <v>41249</v>
      </c>
      <c r="O5091" t="s">
        <v>41250</v>
      </c>
      <c r="P5091">
        <v>0</v>
      </c>
      <c r="Q5091">
        <v>12</v>
      </c>
      <c r="R5091" t="s">
        <v>41254</v>
      </c>
      <c r="S5091" t="s">
        <v>41425</v>
      </c>
      <c r="T5091" t="s">
        <v>42883</v>
      </c>
      <c r="U5091" t="s">
        <v>47409</v>
      </c>
      <c r="V5091" t="s">
        <v>54366</v>
      </c>
      <c r="W5091" t="s">
        <v>55920</v>
      </c>
      <c r="X5091" t="s">
        <v>41257</v>
      </c>
    </row>
    <row r="5092" spans="1:24">
      <c r="A5092">
        <f>HYPERLINK("https://www.philgeps.gov.ph/GEPSNONPILOT/Tender/SplashBidNoticeAbstractUI.aspx?menuIndex=3&amp;refID=7071758&amp;Result=3","7071758")</f>
        <v>0</v>
      </c>
      <c r="B5092" t="s">
        <v>1772</v>
      </c>
      <c r="C5092" t="s">
        <v>8260</v>
      </c>
      <c r="D5092" t="s">
        <v>16608</v>
      </c>
      <c r="E5092" t="s">
        <v>8260</v>
      </c>
      <c r="F5092" t="s">
        <v>28669</v>
      </c>
      <c r="G5092" t="s">
        <v>28675</v>
      </c>
      <c r="H5092" t="s">
        <v>9998</v>
      </c>
      <c r="I5092" t="s">
        <v>28774</v>
      </c>
      <c r="J5092" t="s">
        <v>28850</v>
      </c>
      <c r="K5092" t="s">
        <v>37299</v>
      </c>
      <c r="M5092" t="s">
        <v>39374</v>
      </c>
      <c r="N5092" t="s">
        <v>41249</v>
      </c>
      <c r="O5092" t="s">
        <v>41250</v>
      </c>
      <c r="P5092">
        <v>0</v>
      </c>
      <c r="Q5092">
        <v>13</v>
      </c>
      <c r="R5092" t="s">
        <v>41254</v>
      </c>
      <c r="S5092" t="s">
        <v>41425</v>
      </c>
      <c r="T5092" t="s">
        <v>42899</v>
      </c>
      <c r="U5092" t="s">
        <v>47410</v>
      </c>
      <c r="V5092" t="s">
        <v>54832</v>
      </c>
      <c r="W5092" t="s">
        <v>39374</v>
      </c>
      <c r="X5092" t="s">
        <v>41257</v>
      </c>
    </row>
    <row r="5093" spans="1:24">
      <c r="A5093">
        <f>HYPERLINK("https://www.philgeps.gov.ph/GEPSNONPILOT/Tender/SplashBidNoticeAbstractUI.aspx?menuIndex=3&amp;refID=7071768&amp;Result=3","7071768")</f>
        <v>0</v>
      </c>
      <c r="B5093" t="s">
        <v>1768</v>
      </c>
      <c r="C5093" t="s">
        <v>8261</v>
      </c>
      <c r="D5093" t="s">
        <v>16644</v>
      </c>
      <c r="E5093" t="s">
        <v>21261</v>
      </c>
      <c r="F5093" t="s">
        <v>28669</v>
      </c>
      <c r="G5093" t="s">
        <v>28676</v>
      </c>
      <c r="H5093" t="s">
        <v>9998</v>
      </c>
      <c r="I5093" t="s">
        <v>7352</v>
      </c>
      <c r="J5093" t="s">
        <v>30816</v>
      </c>
      <c r="K5093" t="s">
        <v>37204</v>
      </c>
      <c r="M5093" t="s">
        <v>39370</v>
      </c>
      <c r="N5093" t="s">
        <v>41249</v>
      </c>
      <c r="O5093" t="s">
        <v>41250</v>
      </c>
      <c r="P5093">
        <v>0</v>
      </c>
      <c r="Q5093">
        <v>0</v>
      </c>
      <c r="R5093" t="s">
        <v>41254</v>
      </c>
      <c r="S5093" t="s">
        <v>41425</v>
      </c>
      <c r="T5093" t="s">
        <v>42754</v>
      </c>
      <c r="U5093" t="s">
        <v>47401</v>
      </c>
      <c r="W5093" t="s">
        <v>39370</v>
      </c>
      <c r="X5093" t="s">
        <v>41257</v>
      </c>
    </row>
    <row r="5094" spans="1:24">
      <c r="A5094">
        <f>HYPERLINK("https://www.philgeps.gov.ph/GEPSNONPILOT/Tender/SplashBidNoticeAbstractUI.aspx?menuIndex=3&amp;refID=7071752&amp;Result=3","7071752")</f>
        <v>0</v>
      </c>
      <c r="B5094" t="s">
        <v>689</v>
      </c>
      <c r="C5094" t="s">
        <v>8262</v>
      </c>
      <c r="E5094" t="s">
        <v>21262</v>
      </c>
      <c r="F5094" t="s">
        <v>28669</v>
      </c>
      <c r="G5094" t="s">
        <v>28676</v>
      </c>
      <c r="H5094" t="s">
        <v>28684</v>
      </c>
      <c r="I5094" t="s">
        <v>28806</v>
      </c>
      <c r="J5094" t="s">
        <v>29605</v>
      </c>
      <c r="K5094" t="s">
        <v>37206</v>
      </c>
      <c r="M5094" t="s">
        <v>38194</v>
      </c>
      <c r="N5094" t="s">
        <v>41249</v>
      </c>
      <c r="O5094" t="s">
        <v>41250</v>
      </c>
      <c r="P5094">
        <v>0</v>
      </c>
      <c r="Q5094">
        <v>1</v>
      </c>
      <c r="R5094" t="s">
        <v>41254</v>
      </c>
      <c r="S5094" t="s">
        <v>41425</v>
      </c>
      <c r="T5094" t="s">
        <v>42878</v>
      </c>
      <c r="U5094" t="s">
        <v>47411</v>
      </c>
      <c r="W5094" t="s">
        <v>38205</v>
      </c>
      <c r="X5094" t="s">
        <v>41257</v>
      </c>
    </row>
    <row r="5095" spans="1:24">
      <c r="A5095">
        <f>HYPERLINK("https://www.philgeps.gov.ph/GEPSNONPILOT/Tender/SplashBidNoticeAbstractUI.aspx?menuIndex=3&amp;refID=7071751&amp;Result=3","7071751")</f>
        <v>0</v>
      </c>
      <c r="B5095" t="s">
        <v>139</v>
      </c>
      <c r="C5095" t="s">
        <v>8263</v>
      </c>
      <c r="D5095" t="s">
        <v>16654</v>
      </c>
      <c r="E5095" t="s">
        <v>18874</v>
      </c>
      <c r="F5095" t="s">
        <v>28669</v>
      </c>
      <c r="G5095" t="s">
        <v>28677</v>
      </c>
      <c r="H5095" t="s">
        <v>9998</v>
      </c>
      <c r="I5095" t="s">
        <v>28693</v>
      </c>
      <c r="J5095" t="s">
        <v>28889</v>
      </c>
      <c r="K5095" t="s">
        <v>37209</v>
      </c>
      <c r="M5095" t="s">
        <v>37616</v>
      </c>
      <c r="N5095" t="s">
        <v>41249</v>
      </c>
      <c r="O5095" t="s">
        <v>41250</v>
      </c>
      <c r="P5095">
        <v>0</v>
      </c>
      <c r="Q5095">
        <v>3</v>
      </c>
      <c r="R5095" t="s">
        <v>41254</v>
      </c>
      <c r="S5095" t="s">
        <v>41425</v>
      </c>
      <c r="T5095" t="s">
        <v>42727</v>
      </c>
      <c r="U5095" t="s">
        <v>47412</v>
      </c>
      <c r="W5095" t="s">
        <v>37616</v>
      </c>
      <c r="X5095" t="s">
        <v>41257</v>
      </c>
    </row>
    <row r="5096" spans="1:24">
      <c r="A5096">
        <f>HYPERLINK("https://www.philgeps.gov.ph/GEPSNONPILOT/Tender/SplashBidNoticeAbstractUI.aspx?menuIndex=3&amp;refID=7071740&amp;Result=3","7071740")</f>
        <v>0</v>
      </c>
      <c r="B5096" t="s">
        <v>1773</v>
      </c>
      <c r="C5096" t="s">
        <v>8264</v>
      </c>
      <c r="D5096" t="s">
        <v>16643</v>
      </c>
      <c r="E5096" t="s">
        <v>21263</v>
      </c>
      <c r="F5096" t="s">
        <v>28669</v>
      </c>
      <c r="G5096" t="s">
        <v>28677</v>
      </c>
      <c r="H5096" t="s">
        <v>9998</v>
      </c>
      <c r="I5096" t="s">
        <v>28711</v>
      </c>
      <c r="J5096" t="s">
        <v>32085</v>
      </c>
      <c r="K5096" t="s">
        <v>37210</v>
      </c>
      <c r="M5096" t="s">
        <v>39375</v>
      </c>
      <c r="N5096" t="s">
        <v>41249</v>
      </c>
      <c r="O5096" t="s">
        <v>41250</v>
      </c>
      <c r="P5096">
        <v>0</v>
      </c>
      <c r="Q5096">
        <v>2</v>
      </c>
      <c r="R5096" t="s">
        <v>41254</v>
      </c>
      <c r="S5096" t="s">
        <v>41425</v>
      </c>
      <c r="T5096" t="s">
        <v>42664</v>
      </c>
      <c r="U5096" t="s">
        <v>47413</v>
      </c>
      <c r="V5096" t="s">
        <v>54833</v>
      </c>
      <c r="W5096" t="s">
        <v>39375</v>
      </c>
      <c r="X5096" t="s">
        <v>41257</v>
      </c>
    </row>
    <row r="5097" spans="1:24">
      <c r="A5097">
        <f>HYPERLINK("https://www.philgeps.gov.ph/GEPSNONPILOT/Tender/SplashBidNoticeAbstractUI.aspx?menuIndex=3&amp;refID=7071726&amp;Result=3","7071726")</f>
        <v>0</v>
      </c>
      <c r="B5097" t="s">
        <v>689</v>
      </c>
      <c r="C5097" t="s">
        <v>8265</v>
      </c>
      <c r="D5097" t="s">
        <v>16608</v>
      </c>
      <c r="E5097" t="s">
        <v>21264</v>
      </c>
      <c r="F5097" t="s">
        <v>28669</v>
      </c>
      <c r="G5097" t="s">
        <v>28676</v>
      </c>
      <c r="H5097" t="s">
        <v>9998</v>
      </c>
      <c r="I5097" t="s">
        <v>28708</v>
      </c>
      <c r="J5097" t="s">
        <v>30036</v>
      </c>
      <c r="K5097" t="s">
        <v>37209</v>
      </c>
      <c r="M5097" t="s">
        <v>38194</v>
      </c>
      <c r="N5097" t="s">
        <v>41249</v>
      </c>
      <c r="O5097" t="s">
        <v>41250</v>
      </c>
      <c r="P5097">
        <v>0</v>
      </c>
      <c r="Q5097">
        <v>22</v>
      </c>
      <c r="R5097" t="s">
        <v>41254</v>
      </c>
      <c r="S5097" t="s">
        <v>41425</v>
      </c>
      <c r="T5097" t="s">
        <v>42878</v>
      </c>
      <c r="U5097" t="s">
        <v>47414</v>
      </c>
      <c r="W5097" t="s">
        <v>38205</v>
      </c>
      <c r="X5097" t="s">
        <v>41257</v>
      </c>
    </row>
    <row r="5098" spans="1:24">
      <c r="A5098">
        <f>HYPERLINK("https://www.philgeps.gov.ph/GEPSNONPILOT/Tender/SplashBidNoticeAbstractUI.aspx?menuIndex=3&amp;refID=7071707&amp;Result=3","7071707")</f>
        <v>0</v>
      </c>
      <c r="B5098" t="s">
        <v>1774</v>
      </c>
      <c r="C5098" t="s">
        <v>8266</v>
      </c>
      <c r="D5098" t="s">
        <v>16658</v>
      </c>
      <c r="E5098" t="s">
        <v>21265</v>
      </c>
      <c r="F5098" t="s">
        <v>28669</v>
      </c>
      <c r="G5098" t="s">
        <v>28675</v>
      </c>
      <c r="H5098" t="s">
        <v>9998</v>
      </c>
      <c r="I5098" t="s">
        <v>3718</v>
      </c>
      <c r="J5098" t="s">
        <v>32086</v>
      </c>
      <c r="K5098" t="s">
        <v>37206</v>
      </c>
      <c r="M5098" t="s">
        <v>39376</v>
      </c>
      <c r="N5098" t="s">
        <v>41249</v>
      </c>
      <c r="O5098" t="s">
        <v>41250</v>
      </c>
      <c r="P5098">
        <v>0</v>
      </c>
      <c r="Q5098">
        <v>1</v>
      </c>
      <c r="R5098" t="s">
        <v>41254</v>
      </c>
      <c r="S5098" t="s">
        <v>41425</v>
      </c>
      <c r="T5098" t="s">
        <v>42973</v>
      </c>
      <c r="U5098" t="s">
        <v>47415</v>
      </c>
      <c r="W5098" t="s">
        <v>39376</v>
      </c>
      <c r="X5098" t="s">
        <v>41257</v>
      </c>
    </row>
    <row r="5099" spans="1:24">
      <c r="A5099">
        <f>HYPERLINK("https://www.philgeps.gov.ph/GEPSNONPILOT/Tender/SplashBidNoticeAbstractUI.aspx?menuIndex=3&amp;refID=7071706&amp;Result=3","7071706")</f>
        <v>0</v>
      </c>
      <c r="B5099" t="s">
        <v>313</v>
      </c>
      <c r="C5099" t="s">
        <v>8267</v>
      </c>
      <c r="D5099" t="s">
        <v>16642</v>
      </c>
      <c r="E5099" t="s">
        <v>21266</v>
      </c>
      <c r="F5099" t="s">
        <v>28669</v>
      </c>
      <c r="G5099" t="s">
        <v>28675</v>
      </c>
      <c r="H5099" t="s">
        <v>28686</v>
      </c>
      <c r="I5099" t="s">
        <v>28689</v>
      </c>
      <c r="J5099" t="s">
        <v>28924</v>
      </c>
      <c r="K5099" t="s">
        <v>37258</v>
      </c>
      <c r="M5099" t="s">
        <v>39265</v>
      </c>
      <c r="N5099" t="s">
        <v>41249</v>
      </c>
      <c r="O5099" t="s">
        <v>41250</v>
      </c>
      <c r="P5099">
        <v>0</v>
      </c>
      <c r="Q5099">
        <v>1</v>
      </c>
      <c r="R5099" t="s">
        <v>41254</v>
      </c>
      <c r="S5099" t="s">
        <v>41425</v>
      </c>
      <c r="T5099" t="s">
        <v>42820</v>
      </c>
      <c r="U5099" t="s">
        <v>47069</v>
      </c>
      <c r="W5099" t="s">
        <v>39265</v>
      </c>
      <c r="X5099" t="s">
        <v>41257</v>
      </c>
    </row>
    <row r="5100" spans="1:24">
      <c r="A5100">
        <f>HYPERLINK("https://www.philgeps.gov.ph/GEPSNONPILOT/Tender/SplashBidNoticeAbstractUI.aspx?menuIndex=3&amp;refID=7071679&amp;Result=3","7071679")</f>
        <v>0</v>
      </c>
      <c r="B5100" t="s">
        <v>1775</v>
      </c>
      <c r="C5100" t="s">
        <v>8268</v>
      </c>
      <c r="D5100" t="s">
        <v>16624</v>
      </c>
      <c r="E5100" t="s">
        <v>21267</v>
      </c>
      <c r="F5100" t="s">
        <v>28669</v>
      </c>
      <c r="G5100" t="s">
        <v>28676</v>
      </c>
      <c r="H5100" t="s">
        <v>9998</v>
      </c>
      <c r="I5100" t="s">
        <v>28697</v>
      </c>
      <c r="J5100" t="s">
        <v>29513</v>
      </c>
      <c r="K5100" t="s">
        <v>37205</v>
      </c>
      <c r="M5100" t="s">
        <v>39377</v>
      </c>
      <c r="N5100" t="s">
        <v>41249</v>
      </c>
      <c r="O5100" t="s">
        <v>41250</v>
      </c>
      <c r="P5100">
        <v>0</v>
      </c>
      <c r="Q5100">
        <v>10</v>
      </c>
      <c r="R5100" t="s">
        <v>41254</v>
      </c>
      <c r="S5100" t="s">
        <v>41425</v>
      </c>
      <c r="T5100" t="s">
        <v>42883</v>
      </c>
      <c r="U5100" t="s">
        <v>47416</v>
      </c>
      <c r="V5100" t="s">
        <v>54834</v>
      </c>
      <c r="W5100" t="s">
        <v>39377</v>
      </c>
      <c r="X5100" t="s">
        <v>41257</v>
      </c>
    </row>
    <row r="5101" spans="1:24">
      <c r="A5101">
        <f>HYPERLINK("https://www.philgeps.gov.ph/GEPSNONPILOT/Tender/SplashBidNoticeAbstractUI.aspx?menuIndex=3&amp;refID=7071788&amp;Result=3","7071788")</f>
        <v>0</v>
      </c>
      <c r="B5101" t="s">
        <v>1768</v>
      </c>
      <c r="C5101" t="s">
        <v>8269</v>
      </c>
      <c r="D5101" t="s">
        <v>16644</v>
      </c>
      <c r="E5101" t="s">
        <v>21268</v>
      </c>
      <c r="F5101" t="s">
        <v>28669</v>
      </c>
      <c r="G5101" t="s">
        <v>28676</v>
      </c>
      <c r="H5101" t="s">
        <v>9998</v>
      </c>
      <c r="I5101" t="s">
        <v>7352</v>
      </c>
      <c r="J5101" t="s">
        <v>32087</v>
      </c>
      <c r="K5101" t="s">
        <v>37204</v>
      </c>
      <c r="M5101" t="s">
        <v>39370</v>
      </c>
      <c r="N5101" t="s">
        <v>41249</v>
      </c>
      <c r="O5101" t="s">
        <v>41250</v>
      </c>
      <c r="P5101">
        <v>0</v>
      </c>
      <c r="Q5101">
        <v>0</v>
      </c>
      <c r="R5101" t="s">
        <v>41254</v>
      </c>
      <c r="S5101" t="s">
        <v>41425</v>
      </c>
      <c r="T5101" t="s">
        <v>42754</v>
      </c>
      <c r="U5101" t="s">
        <v>47401</v>
      </c>
      <c r="W5101" t="s">
        <v>39370</v>
      </c>
      <c r="X5101" t="s">
        <v>41257</v>
      </c>
    </row>
    <row r="5102" spans="1:24">
      <c r="A5102">
        <f>HYPERLINK("https://www.philgeps.gov.ph/GEPSNONPILOT/Tender/SplashBidNoticeAbstractUI.aspx?menuIndex=3&amp;refID=7071766&amp;Result=3","7071766")</f>
        <v>0</v>
      </c>
      <c r="B5102" t="s">
        <v>807</v>
      </c>
      <c r="C5102" t="s">
        <v>8270</v>
      </c>
      <c r="E5102" t="s">
        <v>21269</v>
      </c>
      <c r="F5102" t="s">
        <v>28669</v>
      </c>
      <c r="G5102" t="s">
        <v>28677</v>
      </c>
      <c r="H5102" t="s">
        <v>9998</v>
      </c>
      <c r="I5102" t="s">
        <v>28706</v>
      </c>
      <c r="J5102" t="s">
        <v>28879</v>
      </c>
      <c r="K5102" t="s">
        <v>37209</v>
      </c>
      <c r="M5102" t="s">
        <v>38322</v>
      </c>
      <c r="N5102" t="s">
        <v>41249</v>
      </c>
      <c r="O5102" t="s">
        <v>41250</v>
      </c>
      <c r="P5102">
        <v>0</v>
      </c>
      <c r="Q5102">
        <v>2</v>
      </c>
      <c r="R5102" t="s">
        <v>41254</v>
      </c>
      <c r="S5102" t="s">
        <v>41425</v>
      </c>
      <c r="T5102" t="s">
        <v>42728</v>
      </c>
      <c r="U5102" t="s">
        <v>47417</v>
      </c>
      <c r="V5102" t="s">
        <v>54630</v>
      </c>
      <c r="W5102" t="s">
        <v>38322</v>
      </c>
      <c r="X5102" t="s">
        <v>41257</v>
      </c>
    </row>
    <row r="5103" spans="1:24">
      <c r="A5103">
        <f>HYPERLINK("https://www.philgeps.gov.ph/GEPSNONPILOT/Tender/SplashBidNoticeAbstractUI.aspx?menuIndex=3&amp;refID=7071900&amp;Result=3","7071900")</f>
        <v>0</v>
      </c>
      <c r="B5103" t="s">
        <v>178</v>
      </c>
      <c r="C5103" t="s">
        <v>8271</v>
      </c>
      <c r="E5103" t="s">
        <v>21270</v>
      </c>
      <c r="F5103" t="s">
        <v>28669</v>
      </c>
      <c r="G5103" t="s">
        <v>28676</v>
      </c>
      <c r="H5103" t="s">
        <v>9998</v>
      </c>
      <c r="I5103" t="s">
        <v>28690</v>
      </c>
      <c r="J5103" t="s">
        <v>32088</v>
      </c>
      <c r="K5103" t="s">
        <v>37209</v>
      </c>
      <c r="M5103" t="s">
        <v>39378</v>
      </c>
      <c r="N5103" t="s">
        <v>41249</v>
      </c>
      <c r="O5103" t="s">
        <v>41250</v>
      </c>
      <c r="P5103">
        <v>0</v>
      </c>
      <c r="Q5103">
        <v>18</v>
      </c>
      <c r="R5103" t="s">
        <v>41254</v>
      </c>
      <c r="S5103" t="s">
        <v>41425</v>
      </c>
      <c r="T5103" t="s">
        <v>42991</v>
      </c>
      <c r="U5103" t="s">
        <v>47418</v>
      </c>
      <c r="W5103" t="s">
        <v>39378</v>
      </c>
      <c r="X5103" t="s">
        <v>41257</v>
      </c>
    </row>
    <row r="5104" spans="1:24">
      <c r="A5104">
        <f>HYPERLINK("https://www.philgeps.gov.ph/GEPSNONPILOT/Tender/SplashBidNoticeAbstractUI.aspx?menuIndex=3&amp;refID=7071924&amp;Result=3","7071924")</f>
        <v>0</v>
      </c>
      <c r="B5104" t="s">
        <v>715</v>
      </c>
      <c r="C5104" t="s">
        <v>8272</v>
      </c>
      <c r="D5104" t="s">
        <v>16622</v>
      </c>
      <c r="E5104" t="s">
        <v>21271</v>
      </c>
      <c r="F5104" t="s">
        <v>28669</v>
      </c>
      <c r="G5104" t="s">
        <v>28676</v>
      </c>
      <c r="H5104" t="s">
        <v>28684</v>
      </c>
      <c r="I5104" t="s">
        <v>6606</v>
      </c>
      <c r="J5104" t="s">
        <v>31332</v>
      </c>
      <c r="K5104" t="s">
        <v>37206</v>
      </c>
      <c r="M5104" t="s">
        <v>38222</v>
      </c>
      <c r="N5104" t="s">
        <v>41249</v>
      </c>
      <c r="O5104" t="s">
        <v>41250</v>
      </c>
      <c r="P5104">
        <v>0</v>
      </c>
      <c r="Q5104">
        <v>0</v>
      </c>
      <c r="R5104" t="s">
        <v>41254</v>
      </c>
      <c r="S5104" t="s">
        <v>41425</v>
      </c>
      <c r="T5104" t="s">
        <v>42897</v>
      </c>
      <c r="U5104" t="s">
        <v>47419</v>
      </c>
      <c r="V5104" t="s">
        <v>54440</v>
      </c>
      <c r="W5104" t="s">
        <v>38222</v>
      </c>
      <c r="X5104" t="s">
        <v>41257</v>
      </c>
    </row>
    <row r="5105" spans="1:24">
      <c r="A5105">
        <f>HYPERLINK("https://www.philgeps.gov.ph/GEPSNONPILOT/Tender/SplashBidNoticeAbstractUI.aspx?menuIndex=3&amp;refID=7071678&amp;Result=3","7071678")</f>
        <v>0</v>
      </c>
      <c r="B5105" t="s">
        <v>752</v>
      </c>
      <c r="C5105" t="s">
        <v>8273</v>
      </c>
      <c r="D5105" t="s">
        <v>16679</v>
      </c>
      <c r="E5105" t="s">
        <v>21272</v>
      </c>
      <c r="F5105" t="s">
        <v>28669</v>
      </c>
      <c r="G5105" t="s">
        <v>28676</v>
      </c>
      <c r="H5105" t="s">
        <v>9998</v>
      </c>
      <c r="I5105" t="s">
        <v>28693</v>
      </c>
      <c r="J5105" t="s">
        <v>29249</v>
      </c>
      <c r="K5105" t="s">
        <v>37205</v>
      </c>
      <c r="M5105" t="s">
        <v>38263</v>
      </c>
      <c r="N5105" t="s">
        <v>41249</v>
      </c>
      <c r="O5105" t="s">
        <v>41250</v>
      </c>
      <c r="P5105">
        <v>0</v>
      </c>
      <c r="Q5105">
        <v>11</v>
      </c>
      <c r="R5105" t="s">
        <v>41254</v>
      </c>
      <c r="S5105" t="s">
        <v>41425</v>
      </c>
      <c r="T5105" t="s">
        <v>42883</v>
      </c>
      <c r="U5105" t="s">
        <v>44654</v>
      </c>
      <c r="V5105" t="s">
        <v>54457</v>
      </c>
      <c r="W5105" t="s">
        <v>38263</v>
      </c>
      <c r="X5105" t="s">
        <v>41257</v>
      </c>
    </row>
    <row r="5106" spans="1:24">
      <c r="A5106">
        <f>HYPERLINK("https://www.philgeps.gov.ph/GEPSNONPILOT/Tender/SplashBidNoticeAbstractUI.aspx?menuIndex=3&amp;refID=7071915&amp;Result=3","7071915")</f>
        <v>0</v>
      </c>
      <c r="B5106" t="s">
        <v>1770</v>
      </c>
      <c r="C5106" t="s">
        <v>8274</v>
      </c>
      <c r="D5106" t="s">
        <v>16608</v>
      </c>
      <c r="E5106" t="s">
        <v>21273</v>
      </c>
      <c r="F5106" t="s">
        <v>28669</v>
      </c>
      <c r="G5106" t="s">
        <v>28675</v>
      </c>
      <c r="H5106" t="s">
        <v>9998</v>
      </c>
      <c r="I5106" t="s">
        <v>28779</v>
      </c>
      <c r="J5106" t="s">
        <v>32089</v>
      </c>
      <c r="K5106" t="s">
        <v>37205</v>
      </c>
      <c r="M5106" t="s">
        <v>39372</v>
      </c>
      <c r="N5106" t="s">
        <v>41249</v>
      </c>
      <c r="O5106" t="s">
        <v>41250</v>
      </c>
      <c r="P5106">
        <v>0</v>
      </c>
      <c r="Q5106">
        <v>3</v>
      </c>
      <c r="R5106" t="s">
        <v>41254</v>
      </c>
      <c r="S5106" t="s">
        <v>41425</v>
      </c>
      <c r="T5106" t="s">
        <v>42808</v>
      </c>
      <c r="U5106" t="s">
        <v>47420</v>
      </c>
      <c r="W5106" t="s">
        <v>39372</v>
      </c>
      <c r="X5106" t="s">
        <v>41257</v>
      </c>
    </row>
    <row r="5107" spans="1:24">
      <c r="A5107">
        <f>HYPERLINK("https://www.philgeps.gov.ph/GEPSNONPILOT/Tender/SplashBidNoticeAbstractUI.aspx?menuIndex=3&amp;refID=7071910&amp;Result=3","7071910")</f>
        <v>0</v>
      </c>
      <c r="B5107" t="s">
        <v>956</v>
      </c>
      <c r="C5107" t="s">
        <v>8275</v>
      </c>
      <c r="D5107" t="s">
        <v>16679</v>
      </c>
      <c r="E5107" t="s">
        <v>21274</v>
      </c>
      <c r="F5107" t="s">
        <v>28669</v>
      </c>
      <c r="G5107" t="s">
        <v>28675</v>
      </c>
      <c r="H5107" t="s">
        <v>9998</v>
      </c>
      <c r="I5107" t="s">
        <v>28699</v>
      </c>
      <c r="J5107" t="s">
        <v>32090</v>
      </c>
      <c r="K5107" t="s">
        <v>37206</v>
      </c>
      <c r="M5107" t="s">
        <v>38480</v>
      </c>
      <c r="N5107" t="s">
        <v>41249</v>
      </c>
      <c r="O5107" t="s">
        <v>41250</v>
      </c>
      <c r="P5107">
        <v>0</v>
      </c>
      <c r="Q5107">
        <v>14</v>
      </c>
      <c r="R5107" t="s">
        <v>41254</v>
      </c>
      <c r="S5107" t="s">
        <v>41425</v>
      </c>
      <c r="T5107" t="s">
        <v>42808</v>
      </c>
      <c r="U5107" t="s">
        <v>47421</v>
      </c>
      <c r="V5107" t="s">
        <v>54528</v>
      </c>
      <c r="W5107" t="s">
        <v>38480</v>
      </c>
      <c r="X5107" t="s">
        <v>41257</v>
      </c>
    </row>
    <row r="5108" spans="1:24">
      <c r="A5108">
        <f>HYPERLINK("https://www.philgeps.gov.ph/GEPSNONPILOT/Tender/SplashBidNoticeAbstractUI.aspx?menuIndex=3&amp;refID=7071905&amp;Result=3","7071905")</f>
        <v>0</v>
      </c>
      <c r="B5108" t="s">
        <v>411</v>
      </c>
      <c r="C5108" t="s">
        <v>8276</v>
      </c>
      <c r="D5108" t="s">
        <v>16694</v>
      </c>
      <c r="E5108" t="s">
        <v>21275</v>
      </c>
      <c r="F5108" t="s">
        <v>28669</v>
      </c>
      <c r="G5108" t="s">
        <v>28675</v>
      </c>
      <c r="H5108" t="s">
        <v>9998</v>
      </c>
      <c r="I5108" t="s">
        <v>28722</v>
      </c>
      <c r="J5108" t="s">
        <v>31640</v>
      </c>
      <c r="K5108" t="s">
        <v>37206</v>
      </c>
      <c r="M5108" t="s">
        <v>37896</v>
      </c>
      <c r="N5108" t="s">
        <v>41249</v>
      </c>
      <c r="O5108" t="s">
        <v>41250</v>
      </c>
      <c r="P5108">
        <v>0</v>
      </c>
      <c r="Q5108">
        <v>1</v>
      </c>
      <c r="R5108" t="s">
        <v>41254</v>
      </c>
      <c r="S5108" t="s">
        <v>41425</v>
      </c>
      <c r="T5108" t="s">
        <v>42693</v>
      </c>
      <c r="U5108" t="s">
        <v>47422</v>
      </c>
      <c r="W5108" t="s">
        <v>37896</v>
      </c>
      <c r="X5108" t="s">
        <v>41257</v>
      </c>
    </row>
    <row r="5109" spans="1:24">
      <c r="A5109">
        <f>HYPERLINK("https://www.philgeps.gov.ph/GEPSNONPILOT/Tender/SplashBidNoticeAbstractUI.aspx?menuIndex=3&amp;refID=7071901&amp;Result=3","7071901")</f>
        <v>0</v>
      </c>
      <c r="B5109" t="s">
        <v>313</v>
      </c>
      <c r="C5109" t="s">
        <v>8277</v>
      </c>
      <c r="D5109" t="s">
        <v>16642</v>
      </c>
      <c r="E5109" t="s">
        <v>21276</v>
      </c>
      <c r="F5109" t="s">
        <v>28669</v>
      </c>
      <c r="G5109" t="s">
        <v>28675</v>
      </c>
      <c r="H5109" t="s">
        <v>28686</v>
      </c>
      <c r="I5109" t="s">
        <v>28689</v>
      </c>
      <c r="J5109" t="s">
        <v>32091</v>
      </c>
      <c r="K5109" t="s">
        <v>37290</v>
      </c>
      <c r="M5109" t="s">
        <v>39265</v>
      </c>
      <c r="N5109" t="s">
        <v>41249</v>
      </c>
      <c r="O5109" t="s">
        <v>41250</v>
      </c>
      <c r="P5109">
        <v>0</v>
      </c>
      <c r="Q5109">
        <v>3</v>
      </c>
      <c r="R5109" t="s">
        <v>41254</v>
      </c>
      <c r="S5109" t="s">
        <v>41425</v>
      </c>
      <c r="T5109" t="s">
        <v>42820</v>
      </c>
      <c r="U5109" t="s">
        <v>47069</v>
      </c>
      <c r="W5109" t="s">
        <v>39265</v>
      </c>
      <c r="X5109" t="s">
        <v>41257</v>
      </c>
    </row>
    <row r="5110" spans="1:24">
      <c r="A5110">
        <f>HYPERLINK("https://www.philgeps.gov.ph/GEPSNONPILOT/Tender/SplashBidNoticeAbstractUI.aspx?menuIndex=3&amp;refID=7071918&amp;Result=3","7071918")</f>
        <v>0</v>
      </c>
      <c r="B5110" t="s">
        <v>1776</v>
      </c>
      <c r="C5110" t="s">
        <v>8278</v>
      </c>
      <c r="D5110" t="s">
        <v>16623</v>
      </c>
      <c r="E5110" t="s">
        <v>21277</v>
      </c>
      <c r="F5110" t="s">
        <v>28669</v>
      </c>
      <c r="G5110" t="s">
        <v>28675</v>
      </c>
      <c r="H5110" t="s">
        <v>9998</v>
      </c>
      <c r="I5110" t="s">
        <v>28714</v>
      </c>
      <c r="J5110" t="s">
        <v>29943</v>
      </c>
      <c r="K5110" t="s">
        <v>37221</v>
      </c>
      <c r="M5110" t="s">
        <v>39379</v>
      </c>
      <c r="N5110" t="s">
        <v>41249</v>
      </c>
      <c r="O5110" t="s">
        <v>41250</v>
      </c>
      <c r="P5110">
        <v>0</v>
      </c>
      <c r="Q5110">
        <v>9</v>
      </c>
      <c r="R5110" t="s">
        <v>41254</v>
      </c>
      <c r="S5110" t="s">
        <v>41425</v>
      </c>
      <c r="T5110" t="s">
        <v>42688</v>
      </c>
      <c r="U5110" t="s">
        <v>47423</v>
      </c>
      <c r="W5110" t="s">
        <v>39379</v>
      </c>
      <c r="X5110" t="s">
        <v>41257</v>
      </c>
    </row>
    <row r="5111" spans="1:24">
      <c r="A5111">
        <f>HYPERLINK("https://www.philgeps.gov.ph/GEPSNONPILOT/Tender/SplashBidNoticeAbstractUI.aspx?menuIndex=3&amp;refID=7071868&amp;Result=3","7071868")</f>
        <v>0</v>
      </c>
      <c r="B5111" t="s">
        <v>1777</v>
      </c>
      <c r="C5111" t="s">
        <v>8279</v>
      </c>
      <c r="D5111" t="s">
        <v>16608</v>
      </c>
      <c r="E5111" t="s">
        <v>21278</v>
      </c>
      <c r="F5111" t="s">
        <v>28669</v>
      </c>
      <c r="G5111" t="s">
        <v>28676</v>
      </c>
      <c r="H5111" t="s">
        <v>9998</v>
      </c>
      <c r="I5111" t="s">
        <v>28769</v>
      </c>
      <c r="J5111" t="s">
        <v>29034</v>
      </c>
      <c r="K5111" t="s">
        <v>37227</v>
      </c>
      <c r="M5111" t="s">
        <v>39380</v>
      </c>
      <c r="N5111" t="s">
        <v>41249</v>
      </c>
      <c r="O5111" t="s">
        <v>41250</v>
      </c>
      <c r="P5111">
        <v>0</v>
      </c>
      <c r="Q5111">
        <v>8</v>
      </c>
      <c r="R5111" t="s">
        <v>41254</v>
      </c>
      <c r="S5111" t="s">
        <v>41425</v>
      </c>
      <c r="T5111" t="s">
        <v>42743</v>
      </c>
      <c r="U5111" t="s">
        <v>47424</v>
      </c>
      <c r="W5111" t="s">
        <v>39380</v>
      </c>
      <c r="X5111" t="s">
        <v>41257</v>
      </c>
    </row>
    <row r="5112" spans="1:24">
      <c r="A5112">
        <f>HYPERLINK("https://www.philgeps.gov.ph/GEPSNONPILOT/Tender/SplashBidNoticeAbstractUI.aspx?menuIndex=3&amp;refID=7071535&amp;Result=3","7071535")</f>
        <v>0</v>
      </c>
      <c r="B5112" t="s">
        <v>791</v>
      </c>
      <c r="C5112" t="s">
        <v>8280</v>
      </c>
      <c r="D5112" t="s">
        <v>16679</v>
      </c>
      <c r="E5112" t="s">
        <v>21279</v>
      </c>
      <c r="F5112" t="s">
        <v>28669</v>
      </c>
      <c r="G5112" t="s">
        <v>28677</v>
      </c>
      <c r="H5112" t="s">
        <v>9998</v>
      </c>
      <c r="I5112" t="s">
        <v>28697</v>
      </c>
      <c r="J5112" t="s">
        <v>29183</v>
      </c>
      <c r="K5112" t="s">
        <v>37204</v>
      </c>
      <c r="M5112" t="s">
        <v>38305</v>
      </c>
      <c r="N5112" t="s">
        <v>41249</v>
      </c>
      <c r="O5112" t="s">
        <v>41250</v>
      </c>
      <c r="P5112">
        <v>0</v>
      </c>
      <c r="Q5112">
        <v>1</v>
      </c>
      <c r="R5112" t="s">
        <v>41254</v>
      </c>
      <c r="S5112" t="s">
        <v>41425</v>
      </c>
      <c r="T5112" t="s">
        <v>42754</v>
      </c>
      <c r="U5112" t="s">
        <v>47425</v>
      </c>
      <c r="W5112" t="s">
        <v>38305</v>
      </c>
      <c r="X5112" t="s">
        <v>41257</v>
      </c>
    </row>
    <row r="5113" spans="1:24">
      <c r="A5113">
        <f>HYPERLINK("https://www.philgeps.gov.ph/GEPSNONPILOT/Tender/SplashBidNoticeAbstractUI.aspx?menuIndex=3&amp;refID=7071864&amp;Result=3","7071864")</f>
        <v>0</v>
      </c>
      <c r="B5113" t="s">
        <v>280</v>
      </c>
      <c r="C5113" t="s">
        <v>8281</v>
      </c>
      <c r="D5113" t="s">
        <v>16611</v>
      </c>
      <c r="E5113" t="s">
        <v>21280</v>
      </c>
      <c r="F5113" t="s">
        <v>28669</v>
      </c>
      <c r="G5113" t="s">
        <v>28676</v>
      </c>
      <c r="H5113" t="s">
        <v>9998</v>
      </c>
      <c r="I5113" t="s">
        <v>5286</v>
      </c>
      <c r="J5113" t="s">
        <v>28826</v>
      </c>
      <c r="K5113" t="s">
        <v>37204</v>
      </c>
      <c r="M5113" t="s">
        <v>37758</v>
      </c>
      <c r="N5113" t="s">
        <v>41249</v>
      </c>
      <c r="O5113" t="s">
        <v>41250</v>
      </c>
      <c r="P5113">
        <v>0</v>
      </c>
      <c r="Q5113">
        <v>0</v>
      </c>
      <c r="R5113" t="s">
        <v>41254</v>
      </c>
      <c r="S5113" t="s">
        <v>41425</v>
      </c>
      <c r="T5113" t="s">
        <v>42992</v>
      </c>
      <c r="U5113" t="s">
        <v>47426</v>
      </c>
      <c r="W5113" t="s">
        <v>37758</v>
      </c>
      <c r="X5113" t="s">
        <v>41257</v>
      </c>
    </row>
    <row r="5114" spans="1:24">
      <c r="A5114">
        <f>HYPERLINK("https://www.philgeps.gov.ph/GEPSNONPILOT/Tender/SplashBidNoticeAbstractUI.aspx?menuIndex=3&amp;refID=7071856&amp;Result=3","7071856")</f>
        <v>0</v>
      </c>
      <c r="B5114" t="s">
        <v>1770</v>
      </c>
      <c r="C5114" t="s">
        <v>8282</v>
      </c>
      <c r="D5114" t="s">
        <v>16608</v>
      </c>
      <c r="E5114" t="s">
        <v>21281</v>
      </c>
      <c r="F5114" t="s">
        <v>28669</v>
      </c>
      <c r="G5114" t="s">
        <v>28675</v>
      </c>
      <c r="H5114" t="s">
        <v>9998</v>
      </c>
      <c r="I5114" t="s">
        <v>28704</v>
      </c>
      <c r="J5114" t="s">
        <v>32092</v>
      </c>
      <c r="K5114" t="s">
        <v>37206</v>
      </c>
      <c r="M5114" t="s">
        <v>39372</v>
      </c>
      <c r="N5114" t="s">
        <v>41249</v>
      </c>
      <c r="O5114" t="s">
        <v>41250</v>
      </c>
      <c r="P5114">
        <v>0</v>
      </c>
      <c r="Q5114">
        <v>2</v>
      </c>
      <c r="R5114" t="s">
        <v>41254</v>
      </c>
      <c r="S5114" t="s">
        <v>41425</v>
      </c>
      <c r="T5114" t="s">
        <v>42808</v>
      </c>
      <c r="U5114" t="s">
        <v>47427</v>
      </c>
      <c r="W5114" t="s">
        <v>39372</v>
      </c>
      <c r="X5114" t="s">
        <v>41257</v>
      </c>
    </row>
    <row r="5115" spans="1:24">
      <c r="A5115">
        <f>HYPERLINK("https://www.philgeps.gov.ph/GEPSNONPILOT/Tender/SplashBidNoticeAbstractUI.aspx?menuIndex=3&amp;refID=7071705&amp;Result=3","7071705")</f>
        <v>0</v>
      </c>
      <c r="B5115" t="s">
        <v>1778</v>
      </c>
      <c r="C5115" t="s">
        <v>8283</v>
      </c>
      <c r="D5115" t="s">
        <v>16637</v>
      </c>
      <c r="E5115" t="s">
        <v>21282</v>
      </c>
      <c r="F5115" t="s">
        <v>28669</v>
      </c>
      <c r="G5115" t="s">
        <v>28675</v>
      </c>
      <c r="H5115" t="s">
        <v>9998</v>
      </c>
      <c r="I5115" t="s">
        <v>7352</v>
      </c>
      <c r="J5115" t="s">
        <v>32093</v>
      </c>
      <c r="K5115" t="s">
        <v>37206</v>
      </c>
      <c r="M5115" t="s">
        <v>39381</v>
      </c>
      <c r="N5115" t="s">
        <v>41249</v>
      </c>
      <c r="O5115" t="s">
        <v>41250</v>
      </c>
      <c r="P5115">
        <v>0</v>
      </c>
      <c r="Q5115">
        <v>0</v>
      </c>
      <c r="R5115" t="s">
        <v>41254</v>
      </c>
      <c r="S5115" t="s">
        <v>41425</v>
      </c>
      <c r="T5115" t="s">
        <v>42738</v>
      </c>
      <c r="U5115" t="s">
        <v>47428</v>
      </c>
      <c r="V5115" t="s">
        <v>54361</v>
      </c>
      <c r="W5115" t="s">
        <v>39381</v>
      </c>
      <c r="X5115" t="s">
        <v>41257</v>
      </c>
    </row>
    <row r="5116" spans="1:24">
      <c r="A5116">
        <f>HYPERLINK("https://www.philgeps.gov.ph/GEPSNONPILOT/Tender/SplashBidNoticeAbstractUI.aspx?menuIndex=3&amp;refID=7071932&amp;Result=3","7071932")</f>
        <v>0</v>
      </c>
      <c r="B5116" t="s">
        <v>411</v>
      </c>
      <c r="C5116" t="s">
        <v>8284</v>
      </c>
      <c r="D5116" t="s">
        <v>16696</v>
      </c>
      <c r="E5116" t="s">
        <v>21283</v>
      </c>
      <c r="F5116" t="s">
        <v>28669</v>
      </c>
      <c r="G5116" t="s">
        <v>28675</v>
      </c>
      <c r="H5116" t="s">
        <v>9998</v>
      </c>
      <c r="I5116" t="s">
        <v>28736</v>
      </c>
      <c r="J5116" t="s">
        <v>32094</v>
      </c>
      <c r="K5116" t="s">
        <v>37220</v>
      </c>
      <c r="M5116" t="s">
        <v>37896</v>
      </c>
      <c r="N5116" t="s">
        <v>41249</v>
      </c>
      <c r="O5116" t="s">
        <v>41250</v>
      </c>
      <c r="P5116">
        <v>0</v>
      </c>
      <c r="Q5116">
        <v>2</v>
      </c>
      <c r="R5116" t="s">
        <v>41254</v>
      </c>
      <c r="S5116" t="s">
        <v>41425</v>
      </c>
      <c r="T5116" t="s">
        <v>42693</v>
      </c>
      <c r="U5116" t="s">
        <v>47429</v>
      </c>
      <c r="W5116" t="s">
        <v>37896</v>
      </c>
      <c r="X5116" t="s">
        <v>41257</v>
      </c>
    </row>
    <row r="5117" spans="1:24">
      <c r="A5117">
        <f>HYPERLINK("https://www.philgeps.gov.ph/GEPSNONPILOT/Tender/SplashBidNoticeAbstractUI.aspx?menuIndex=3&amp;refID=7071870&amp;Result=3","7071870")</f>
        <v>0</v>
      </c>
      <c r="B5117" t="s">
        <v>178</v>
      </c>
      <c r="C5117" t="s">
        <v>8285</v>
      </c>
      <c r="D5117" t="s">
        <v>16608</v>
      </c>
      <c r="E5117" t="s">
        <v>21284</v>
      </c>
      <c r="F5117" t="s">
        <v>28669</v>
      </c>
      <c r="G5117" t="s">
        <v>28676</v>
      </c>
      <c r="H5117" t="s">
        <v>9998</v>
      </c>
      <c r="I5117" t="s">
        <v>28694</v>
      </c>
      <c r="J5117" t="s">
        <v>32095</v>
      </c>
      <c r="K5117" t="s">
        <v>37210</v>
      </c>
      <c r="M5117" t="s">
        <v>37655</v>
      </c>
      <c r="N5117" t="s">
        <v>41249</v>
      </c>
      <c r="O5117" t="s">
        <v>41250</v>
      </c>
      <c r="P5117">
        <v>0</v>
      </c>
      <c r="Q5117">
        <v>6</v>
      </c>
      <c r="R5117" t="s">
        <v>41254</v>
      </c>
      <c r="S5117" t="s">
        <v>41425</v>
      </c>
      <c r="T5117" t="s">
        <v>42883</v>
      </c>
      <c r="U5117" t="s">
        <v>47418</v>
      </c>
      <c r="W5117" t="s">
        <v>37655</v>
      </c>
      <c r="X5117" t="s">
        <v>41257</v>
      </c>
    </row>
    <row r="5118" spans="1:24">
      <c r="A5118">
        <f>HYPERLINK("https://www.philgeps.gov.ph/GEPSNONPILOT/Tender/SplashBidNoticeAbstractUI.aspx?menuIndex=3&amp;refID=7072008&amp;Result=3","7072008")</f>
        <v>0</v>
      </c>
      <c r="B5118" t="s">
        <v>715</v>
      </c>
      <c r="C5118" t="s">
        <v>8286</v>
      </c>
      <c r="D5118" t="s">
        <v>16622</v>
      </c>
      <c r="E5118" t="s">
        <v>21285</v>
      </c>
      <c r="F5118" t="s">
        <v>28669</v>
      </c>
      <c r="G5118" t="s">
        <v>28676</v>
      </c>
      <c r="H5118" t="s">
        <v>9998</v>
      </c>
      <c r="I5118" t="s">
        <v>28749</v>
      </c>
      <c r="J5118" t="s">
        <v>32096</v>
      </c>
      <c r="K5118" t="s">
        <v>37206</v>
      </c>
      <c r="M5118" t="s">
        <v>38222</v>
      </c>
      <c r="N5118" t="s">
        <v>41249</v>
      </c>
      <c r="O5118" t="s">
        <v>41250</v>
      </c>
      <c r="P5118">
        <v>0</v>
      </c>
      <c r="Q5118">
        <v>2</v>
      </c>
      <c r="R5118" t="s">
        <v>41254</v>
      </c>
      <c r="S5118" t="s">
        <v>41425</v>
      </c>
      <c r="T5118" t="s">
        <v>42694</v>
      </c>
      <c r="U5118" t="s">
        <v>47430</v>
      </c>
      <c r="V5118" t="s">
        <v>54440</v>
      </c>
      <c r="W5118" t="s">
        <v>38222</v>
      </c>
      <c r="X5118" t="s">
        <v>41257</v>
      </c>
    </row>
    <row r="5119" spans="1:24">
      <c r="A5119">
        <f>HYPERLINK("https://www.philgeps.gov.ph/GEPSNONPILOT/Tender/SplashBidNoticeAbstractUI.aspx?menuIndex=3&amp;refID=7072031&amp;Result=3","7072031")</f>
        <v>0</v>
      </c>
      <c r="B5119" t="s">
        <v>164</v>
      </c>
      <c r="C5119" t="s">
        <v>8287</v>
      </c>
      <c r="D5119" t="s">
        <v>16624</v>
      </c>
      <c r="E5119" t="s">
        <v>21286</v>
      </c>
      <c r="F5119" t="s">
        <v>28669</v>
      </c>
      <c r="G5119" t="s">
        <v>28677</v>
      </c>
      <c r="H5119" t="s">
        <v>9998</v>
      </c>
      <c r="I5119" t="s">
        <v>28690</v>
      </c>
      <c r="J5119" t="s">
        <v>29191</v>
      </c>
      <c r="K5119" t="s">
        <v>37204</v>
      </c>
      <c r="M5119" t="s">
        <v>37641</v>
      </c>
      <c r="N5119" t="s">
        <v>41249</v>
      </c>
      <c r="O5119" t="s">
        <v>41250</v>
      </c>
      <c r="P5119">
        <v>0</v>
      </c>
      <c r="Q5119">
        <v>0</v>
      </c>
      <c r="R5119" t="s">
        <v>41254</v>
      </c>
      <c r="S5119" t="s">
        <v>41425</v>
      </c>
      <c r="T5119" t="s">
        <v>42738</v>
      </c>
      <c r="U5119" t="s">
        <v>47431</v>
      </c>
      <c r="W5119" t="s">
        <v>37641</v>
      </c>
      <c r="X5119" t="s">
        <v>41257</v>
      </c>
    </row>
    <row r="5120" spans="1:24">
      <c r="A5120">
        <f>HYPERLINK("https://www.philgeps.gov.ph/GEPSNONPILOT/Tender/SplashBidNoticeAbstractUI.aspx?menuIndex=3&amp;refID=7071577&amp;Result=3","7071577")</f>
        <v>0</v>
      </c>
      <c r="B5120" t="s">
        <v>714</v>
      </c>
      <c r="C5120" t="s">
        <v>8288</v>
      </c>
      <c r="D5120" t="s">
        <v>16608</v>
      </c>
      <c r="E5120" t="s">
        <v>21287</v>
      </c>
      <c r="F5120" t="s">
        <v>28669</v>
      </c>
      <c r="G5120" t="s">
        <v>28676</v>
      </c>
      <c r="H5120" t="s">
        <v>9998</v>
      </c>
      <c r="I5120" t="s">
        <v>3658</v>
      </c>
      <c r="J5120" t="s">
        <v>32097</v>
      </c>
      <c r="K5120" t="s">
        <v>37243</v>
      </c>
      <c r="M5120" t="s">
        <v>38221</v>
      </c>
      <c r="N5120" t="s">
        <v>41249</v>
      </c>
      <c r="O5120" t="s">
        <v>41250</v>
      </c>
      <c r="P5120">
        <v>0</v>
      </c>
      <c r="Q5120">
        <v>2</v>
      </c>
      <c r="R5120" t="s">
        <v>41254</v>
      </c>
      <c r="S5120" t="s">
        <v>41425</v>
      </c>
      <c r="T5120" t="s">
        <v>42727</v>
      </c>
      <c r="U5120" t="s">
        <v>47432</v>
      </c>
      <c r="W5120" t="s">
        <v>38221</v>
      </c>
      <c r="X5120" t="s">
        <v>41257</v>
      </c>
    </row>
    <row r="5121" spans="1:24">
      <c r="A5121">
        <f>HYPERLINK("https://www.philgeps.gov.ph/GEPSNONPILOT/Tender/SplashBidNoticeAbstractUI.aspx?menuIndex=3&amp;refID=7072027&amp;Result=3","7072027")</f>
        <v>0</v>
      </c>
      <c r="B5121" t="s">
        <v>715</v>
      </c>
      <c r="C5121" t="s">
        <v>8289</v>
      </c>
      <c r="D5121" t="s">
        <v>16622</v>
      </c>
      <c r="E5121" t="s">
        <v>21288</v>
      </c>
      <c r="F5121" t="s">
        <v>28669</v>
      </c>
      <c r="G5121" t="s">
        <v>28676</v>
      </c>
      <c r="H5121" t="s">
        <v>9998</v>
      </c>
      <c r="I5121" t="s">
        <v>28721</v>
      </c>
      <c r="J5121" t="s">
        <v>32098</v>
      </c>
      <c r="K5121" t="s">
        <v>37205</v>
      </c>
      <c r="M5121" t="s">
        <v>38222</v>
      </c>
      <c r="N5121" t="s">
        <v>41249</v>
      </c>
      <c r="O5121" t="s">
        <v>41250</v>
      </c>
      <c r="P5121">
        <v>0</v>
      </c>
      <c r="Q5121">
        <v>4</v>
      </c>
      <c r="R5121" t="s">
        <v>41254</v>
      </c>
      <c r="S5121" t="s">
        <v>41425</v>
      </c>
      <c r="T5121" t="s">
        <v>42863</v>
      </c>
      <c r="U5121" t="s">
        <v>47433</v>
      </c>
      <c r="V5121" t="s">
        <v>54440</v>
      </c>
      <c r="W5121" t="s">
        <v>38222</v>
      </c>
      <c r="X5121" t="s">
        <v>41257</v>
      </c>
    </row>
    <row r="5122" spans="1:24">
      <c r="A5122">
        <f>HYPERLINK("https://www.philgeps.gov.ph/GEPSNONPILOT/Tender/SplashBidNoticeAbstractUI.aspx?menuIndex=3&amp;refID=7072014&amp;Result=3","7072014")</f>
        <v>0</v>
      </c>
      <c r="B5122" t="s">
        <v>1503</v>
      </c>
      <c r="C5122" t="s">
        <v>8290</v>
      </c>
      <c r="D5122" t="s">
        <v>16666</v>
      </c>
      <c r="E5122" t="s">
        <v>21289</v>
      </c>
      <c r="F5122" t="s">
        <v>28669</v>
      </c>
      <c r="G5122" t="s">
        <v>28676</v>
      </c>
      <c r="H5122" t="s">
        <v>9998</v>
      </c>
      <c r="I5122" t="s">
        <v>28694</v>
      </c>
      <c r="J5122" t="s">
        <v>29040</v>
      </c>
      <c r="K5122" t="s">
        <v>37208</v>
      </c>
      <c r="M5122" t="s">
        <v>39382</v>
      </c>
      <c r="N5122" t="s">
        <v>41249</v>
      </c>
      <c r="O5122" t="s">
        <v>41250</v>
      </c>
      <c r="P5122">
        <v>0</v>
      </c>
      <c r="Q5122">
        <v>0</v>
      </c>
      <c r="R5122" t="s">
        <v>41254</v>
      </c>
      <c r="S5122" t="s">
        <v>41425</v>
      </c>
      <c r="T5122" t="s">
        <v>42883</v>
      </c>
      <c r="U5122" t="s">
        <v>47434</v>
      </c>
      <c r="W5122" t="s">
        <v>39382</v>
      </c>
      <c r="X5122" t="s">
        <v>41257</v>
      </c>
    </row>
    <row r="5123" spans="1:24">
      <c r="A5123">
        <f>HYPERLINK("https://www.philgeps.gov.ph/GEPSNONPILOT/Tender/SplashBidNoticeAbstractUI.aspx?menuIndex=3&amp;refID=7072005&amp;Result=3","7072005")</f>
        <v>0</v>
      </c>
      <c r="B5123" t="s">
        <v>1503</v>
      </c>
      <c r="C5123" t="s">
        <v>8291</v>
      </c>
      <c r="D5123" t="s">
        <v>16666</v>
      </c>
      <c r="E5123" t="s">
        <v>21290</v>
      </c>
      <c r="F5123" t="s">
        <v>28669</v>
      </c>
      <c r="G5123" t="s">
        <v>28676</v>
      </c>
      <c r="H5123" t="s">
        <v>9998</v>
      </c>
      <c r="I5123" t="s">
        <v>28717</v>
      </c>
      <c r="J5123" t="s">
        <v>29040</v>
      </c>
      <c r="K5123" t="s">
        <v>37208</v>
      </c>
      <c r="M5123" t="s">
        <v>39382</v>
      </c>
      <c r="N5123" t="s">
        <v>41249</v>
      </c>
      <c r="O5123" t="s">
        <v>41250</v>
      </c>
      <c r="P5123">
        <v>0</v>
      </c>
      <c r="Q5123">
        <v>0</v>
      </c>
      <c r="R5123" t="s">
        <v>41254</v>
      </c>
      <c r="S5123" t="s">
        <v>41425</v>
      </c>
      <c r="T5123" t="s">
        <v>42883</v>
      </c>
      <c r="U5123" t="s">
        <v>47435</v>
      </c>
      <c r="W5123" t="s">
        <v>39382</v>
      </c>
      <c r="X5123" t="s">
        <v>41257</v>
      </c>
    </row>
    <row r="5124" spans="1:24">
      <c r="A5124">
        <f>HYPERLINK("https://www.philgeps.gov.ph/GEPSNONPILOT/Tender/SplashBidNoticeAbstractUI.aspx?menuIndex=3&amp;refID=7071992&amp;Result=3","7071992")</f>
        <v>0</v>
      </c>
      <c r="B5124" t="s">
        <v>1503</v>
      </c>
      <c r="C5124" t="s">
        <v>8292</v>
      </c>
      <c r="D5124" t="s">
        <v>16666</v>
      </c>
      <c r="E5124" t="s">
        <v>21291</v>
      </c>
      <c r="F5124" t="s">
        <v>28669</v>
      </c>
      <c r="G5124" t="s">
        <v>28676</v>
      </c>
      <c r="H5124" t="s">
        <v>9998</v>
      </c>
      <c r="I5124" t="s">
        <v>28694</v>
      </c>
      <c r="J5124" t="s">
        <v>28826</v>
      </c>
      <c r="K5124" t="s">
        <v>37208</v>
      </c>
      <c r="M5124" t="s">
        <v>39382</v>
      </c>
      <c r="N5124" t="s">
        <v>41249</v>
      </c>
      <c r="O5124" t="s">
        <v>41250</v>
      </c>
      <c r="P5124">
        <v>0</v>
      </c>
      <c r="Q5124">
        <v>0</v>
      </c>
      <c r="R5124" t="s">
        <v>41254</v>
      </c>
      <c r="S5124" t="s">
        <v>41425</v>
      </c>
      <c r="T5124" t="s">
        <v>42883</v>
      </c>
      <c r="U5124" t="s">
        <v>47436</v>
      </c>
      <c r="W5124" t="s">
        <v>39382</v>
      </c>
      <c r="X5124" t="s">
        <v>41257</v>
      </c>
    </row>
    <row r="5125" spans="1:24">
      <c r="A5125">
        <f>HYPERLINK("https://www.philgeps.gov.ph/GEPSNONPILOT/Tender/SplashBidNoticeAbstractUI.aspx?menuIndex=3&amp;refID=7072039&amp;Result=3","7072039")</f>
        <v>0</v>
      </c>
      <c r="B5125" t="s">
        <v>1779</v>
      </c>
      <c r="C5125" t="s">
        <v>8293</v>
      </c>
      <c r="D5125" t="s">
        <v>16608</v>
      </c>
      <c r="E5125" t="s">
        <v>21292</v>
      </c>
      <c r="F5125" t="s">
        <v>28669</v>
      </c>
      <c r="G5125" t="s">
        <v>28675</v>
      </c>
      <c r="H5125" t="s">
        <v>9998</v>
      </c>
      <c r="I5125" t="s">
        <v>28685</v>
      </c>
      <c r="J5125" t="s">
        <v>32099</v>
      </c>
      <c r="K5125" t="s">
        <v>37215</v>
      </c>
      <c r="M5125" t="s">
        <v>39383</v>
      </c>
      <c r="N5125" t="s">
        <v>41249</v>
      </c>
      <c r="O5125" t="s">
        <v>41250</v>
      </c>
      <c r="Q5125">
        <v>5</v>
      </c>
      <c r="R5125" t="s">
        <v>41254</v>
      </c>
      <c r="S5125" t="s">
        <v>41427</v>
      </c>
      <c r="T5125" t="s">
        <v>42993</v>
      </c>
      <c r="U5125" t="s">
        <v>47437</v>
      </c>
      <c r="V5125" t="s">
        <v>54835</v>
      </c>
      <c r="W5125" t="s">
        <v>39383</v>
      </c>
      <c r="X5125" t="s">
        <v>41257</v>
      </c>
    </row>
    <row r="5126" spans="1:24">
      <c r="A5126">
        <f>HYPERLINK("https://www.philgeps.gov.ph/GEPSNONPILOT/Tender/SplashBidNoticeAbstractUI.aspx?menuIndex=3&amp;refID=7071862&amp;Result=3","7071862")</f>
        <v>0</v>
      </c>
      <c r="B5126" t="s">
        <v>1780</v>
      </c>
      <c r="C5126" t="s">
        <v>8294</v>
      </c>
      <c r="D5126" t="s">
        <v>16672</v>
      </c>
      <c r="E5126" t="s">
        <v>21293</v>
      </c>
      <c r="F5126" t="s">
        <v>28669</v>
      </c>
      <c r="G5126" t="s">
        <v>28682</v>
      </c>
      <c r="H5126" t="s">
        <v>9998</v>
      </c>
      <c r="I5126" t="s">
        <v>7352</v>
      </c>
      <c r="J5126" t="s">
        <v>32100</v>
      </c>
      <c r="K5126" t="s">
        <v>37205</v>
      </c>
      <c r="M5126" t="s">
        <v>39384</v>
      </c>
      <c r="N5126" t="s">
        <v>41249</v>
      </c>
      <c r="O5126" t="s">
        <v>41250</v>
      </c>
      <c r="P5126">
        <v>0</v>
      </c>
      <c r="Q5126">
        <v>0</v>
      </c>
      <c r="R5126" t="s">
        <v>41254</v>
      </c>
      <c r="S5126" t="s">
        <v>41425</v>
      </c>
      <c r="T5126" t="s">
        <v>42760</v>
      </c>
      <c r="U5126" t="s">
        <v>47438</v>
      </c>
      <c r="W5126" t="s">
        <v>39384</v>
      </c>
      <c r="X5126" t="s">
        <v>41257</v>
      </c>
    </row>
    <row r="5127" spans="1:24">
      <c r="A5127">
        <f>HYPERLINK("https://www.philgeps.gov.ph/GEPSNONPILOT/Tender/SplashBidNoticeAbstractUI.aspx?menuIndex=3&amp;refID=7072025&amp;Result=3","7072025")</f>
        <v>0</v>
      </c>
      <c r="B5127" t="s">
        <v>520</v>
      </c>
      <c r="C5127" t="s">
        <v>8295</v>
      </c>
      <c r="E5127" t="s">
        <v>21294</v>
      </c>
      <c r="F5127" t="s">
        <v>28669</v>
      </c>
      <c r="G5127" t="s">
        <v>28678</v>
      </c>
      <c r="H5127" t="s">
        <v>9998</v>
      </c>
      <c r="I5127" t="s">
        <v>6128</v>
      </c>
      <c r="J5127" t="s">
        <v>29278</v>
      </c>
      <c r="K5127" t="s">
        <v>37209</v>
      </c>
      <c r="M5127" t="s">
        <v>38011</v>
      </c>
      <c r="N5127" t="s">
        <v>41249</v>
      </c>
      <c r="O5127" t="s">
        <v>41250</v>
      </c>
      <c r="P5127">
        <v>0</v>
      </c>
      <c r="Q5127">
        <v>3</v>
      </c>
      <c r="R5127" t="s">
        <v>41254</v>
      </c>
      <c r="S5127" t="s">
        <v>41425</v>
      </c>
      <c r="T5127" t="s">
        <v>42727</v>
      </c>
      <c r="U5127" t="s">
        <v>47439</v>
      </c>
      <c r="W5127" t="s">
        <v>38011</v>
      </c>
      <c r="X5127" t="s">
        <v>41257</v>
      </c>
    </row>
    <row r="5128" spans="1:24">
      <c r="A5128">
        <f>HYPERLINK("https://www.philgeps.gov.ph/GEPSNONPILOT/Tender/SplashBidNoticeAbstractUI.aspx?menuIndex=3&amp;refID=7071978&amp;Result=3","7071978")</f>
        <v>0</v>
      </c>
      <c r="B5128" t="s">
        <v>1693</v>
      </c>
      <c r="C5128" t="s">
        <v>8296</v>
      </c>
      <c r="D5128" t="s">
        <v>16684</v>
      </c>
      <c r="E5128" t="s">
        <v>21295</v>
      </c>
      <c r="F5128" t="s">
        <v>28669</v>
      </c>
      <c r="G5128" t="s">
        <v>28679</v>
      </c>
      <c r="H5128" t="s">
        <v>9998</v>
      </c>
      <c r="I5128" t="s">
        <v>3718</v>
      </c>
      <c r="J5128" t="s">
        <v>32101</v>
      </c>
      <c r="K5128" t="s">
        <v>37208</v>
      </c>
      <c r="M5128" t="s">
        <v>39289</v>
      </c>
      <c r="N5128" t="s">
        <v>41249</v>
      </c>
      <c r="O5128" t="s">
        <v>41250</v>
      </c>
      <c r="P5128">
        <v>0</v>
      </c>
      <c r="Q5128">
        <v>3</v>
      </c>
      <c r="R5128" t="s">
        <v>41254</v>
      </c>
      <c r="S5128" t="s">
        <v>41425</v>
      </c>
      <c r="T5128" t="s">
        <v>42992</v>
      </c>
      <c r="U5128" t="s">
        <v>47440</v>
      </c>
      <c r="V5128" t="s">
        <v>54782</v>
      </c>
      <c r="W5128" t="s">
        <v>39289</v>
      </c>
      <c r="X5128" t="s">
        <v>41257</v>
      </c>
    </row>
    <row r="5129" spans="1:24">
      <c r="A5129">
        <f>HYPERLINK("https://www.philgeps.gov.ph/GEPSNONPILOT/Tender/SplashBidNoticeAbstractUI.aspx?menuIndex=3&amp;refID=7071996&amp;Result=3","7071996")</f>
        <v>0</v>
      </c>
      <c r="B5129" t="s">
        <v>1719</v>
      </c>
      <c r="C5129" t="s">
        <v>8297</v>
      </c>
      <c r="D5129" t="s">
        <v>16652</v>
      </c>
      <c r="E5129" t="s">
        <v>21296</v>
      </c>
      <c r="F5129" t="s">
        <v>28669</v>
      </c>
      <c r="G5129" t="s">
        <v>28675</v>
      </c>
      <c r="H5129" t="s">
        <v>9998</v>
      </c>
      <c r="I5129" t="s">
        <v>28708</v>
      </c>
      <c r="J5129" t="s">
        <v>32102</v>
      </c>
      <c r="K5129" t="s">
        <v>37206</v>
      </c>
      <c r="M5129" t="s">
        <v>39317</v>
      </c>
      <c r="N5129" t="s">
        <v>41249</v>
      </c>
      <c r="O5129" t="s">
        <v>41250</v>
      </c>
      <c r="P5129">
        <v>0</v>
      </c>
      <c r="Q5129">
        <v>4</v>
      </c>
      <c r="R5129" t="s">
        <v>41254</v>
      </c>
      <c r="S5129" t="s">
        <v>41425</v>
      </c>
      <c r="T5129" t="s">
        <v>42722</v>
      </c>
      <c r="U5129" t="s">
        <v>47441</v>
      </c>
      <c r="V5129" t="s">
        <v>54836</v>
      </c>
      <c r="W5129" t="s">
        <v>39317</v>
      </c>
      <c r="X5129" t="s">
        <v>41257</v>
      </c>
    </row>
    <row r="5130" spans="1:24">
      <c r="A5130">
        <f>HYPERLINK("https://www.philgeps.gov.ph/GEPSNONPILOT/Tender/SplashBidNoticeAbstractUI.aspx?menuIndex=3&amp;refID=7071971&amp;Result=3","7071971")</f>
        <v>0</v>
      </c>
      <c r="B5130" t="s">
        <v>715</v>
      </c>
      <c r="C5130" t="s">
        <v>8298</v>
      </c>
      <c r="D5130" t="s">
        <v>16622</v>
      </c>
      <c r="E5130" t="s">
        <v>21297</v>
      </c>
      <c r="F5130" t="s">
        <v>28669</v>
      </c>
      <c r="G5130" t="s">
        <v>28676</v>
      </c>
      <c r="H5130" t="s">
        <v>9998</v>
      </c>
      <c r="I5130" t="s">
        <v>28722</v>
      </c>
      <c r="J5130" t="s">
        <v>32103</v>
      </c>
      <c r="K5130" t="s">
        <v>37206</v>
      </c>
      <c r="M5130" t="s">
        <v>38222</v>
      </c>
      <c r="N5130" t="s">
        <v>41249</v>
      </c>
      <c r="O5130" t="s">
        <v>41250</v>
      </c>
      <c r="P5130">
        <v>0</v>
      </c>
      <c r="Q5130">
        <v>4</v>
      </c>
      <c r="R5130" t="s">
        <v>41254</v>
      </c>
      <c r="S5130" t="s">
        <v>41425</v>
      </c>
      <c r="T5130" t="s">
        <v>42863</v>
      </c>
      <c r="U5130" t="s">
        <v>47442</v>
      </c>
      <c r="V5130" t="s">
        <v>54440</v>
      </c>
      <c r="W5130" t="s">
        <v>38222</v>
      </c>
      <c r="X5130" t="s">
        <v>41257</v>
      </c>
    </row>
    <row r="5131" spans="1:24">
      <c r="A5131">
        <f>HYPERLINK("https://www.philgeps.gov.ph/GEPSNONPILOT/Tender/SplashBidNoticeAbstractUI.aspx?menuIndex=3&amp;refID=7071988&amp;Result=3","7071988")</f>
        <v>0</v>
      </c>
      <c r="B5131" t="s">
        <v>715</v>
      </c>
      <c r="C5131" t="s">
        <v>8299</v>
      </c>
      <c r="D5131" t="s">
        <v>16622</v>
      </c>
      <c r="E5131" t="s">
        <v>21298</v>
      </c>
      <c r="F5131" t="s">
        <v>28669</v>
      </c>
      <c r="G5131" t="s">
        <v>28676</v>
      </c>
      <c r="H5131" t="s">
        <v>9998</v>
      </c>
      <c r="I5131" t="s">
        <v>28740</v>
      </c>
      <c r="J5131" t="s">
        <v>28880</v>
      </c>
      <c r="K5131" t="s">
        <v>37206</v>
      </c>
      <c r="M5131" t="s">
        <v>38222</v>
      </c>
      <c r="N5131" t="s">
        <v>41249</v>
      </c>
      <c r="O5131" t="s">
        <v>41250</v>
      </c>
      <c r="P5131">
        <v>0</v>
      </c>
      <c r="Q5131">
        <v>8</v>
      </c>
      <c r="R5131" t="s">
        <v>41254</v>
      </c>
      <c r="S5131" t="s">
        <v>41425</v>
      </c>
      <c r="T5131" t="s">
        <v>42863</v>
      </c>
      <c r="U5131" t="s">
        <v>47443</v>
      </c>
      <c r="V5131" t="s">
        <v>54440</v>
      </c>
      <c r="W5131" t="s">
        <v>38222</v>
      </c>
      <c r="X5131" t="s">
        <v>41257</v>
      </c>
    </row>
    <row r="5132" spans="1:24">
      <c r="A5132">
        <f>HYPERLINK("https://www.philgeps.gov.ph/GEPSNONPILOT/Tender/SplashBidNoticeAbstractUI.aspx?menuIndex=3&amp;refID=7071961&amp;Result=3","7071961")</f>
        <v>0</v>
      </c>
      <c r="B5132" t="s">
        <v>1781</v>
      </c>
      <c r="C5132" t="s">
        <v>8300</v>
      </c>
      <c r="D5132" t="s">
        <v>16621</v>
      </c>
      <c r="E5132" t="s">
        <v>21299</v>
      </c>
      <c r="F5132" t="s">
        <v>28669</v>
      </c>
      <c r="G5132" t="s">
        <v>28675</v>
      </c>
      <c r="H5132" t="s">
        <v>9998</v>
      </c>
      <c r="I5132" t="s">
        <v>5286</v>
      </c>
      <c r="J5132" t="s">
        <v>32104</v>
      </c>
      <c r="K5132" t="s">
        <v>37206</v>
      </c>
      <c r="M5132" t="s">
        <v>39385</v>
      </c>
      <c r="N5132" t="s">
        <v>41249</v>
      </c>
      <c r="O5132" t="s">
        <v>41250</v>
      </c>
      <c r="P5132">
        <v>0</v>
      </c>
      <c r="Q5132">
        <v>3</v>
      </c>
      <c r="R5132" t="s">
        <v>41254</v>
      </c>
      <c r="S5132" t="s">
        <v>41425</v>
      </c>
      <c r="T5132" t="s">
        <v>42672</v>
      </c>
      <c r="U5132" t="s">
        <v>47444</v>
      </c>
      <c r="W5132" t="s">
        <v>39385</v>
      </c>
      <c r="X5132" t="s">
        <v>41257</v>
      </c>
    </row>
    <row r="5133" spans="1:24">
      <c r="A5133">
        <f>HYPERLINK("https://www.philgeps.gov.ph/GEPSNONPILOT/Tender/SplashBidNoticeAbstractUI.aspx?menuIndex=3&amp;refID=7071972&amp;Result=3","7071972")</f>
        <v>0</v>
      </c>
      <c r="B5133" t="s">
        <v>1782</v>
      </c>
      <c r="C5133" t="s">
        <v>8301</v>
      </c>
      <c r="D5133" t="s">
        <v>16616</v>
      </c>
      <c r="E5133" t="s">
        <v>18548</v>
      </c>
      <c r="F5133" t="s">
        <v>28669</v>
      </c>
      <c r="G5133" t="s">
        <v>28675</v>
      </c>
      <c r="H5133" t="s">
        <v>28686</v>
      </c>
      <c r="I5133" t="s">
        <v>28689</v>
      </c>
      <c r="J5133" t="s">
        <v>28879</v>
      </c>
      <c r="K5133" t="s">
        <v>37205</v>
      </c>
      <c r="M5133" t="s">
        <v>39386</v>
      </c>
      <c r="N5133" t="s">
        <v>41249</v>
      </c>
      <c r="O5133" t="s">
        <v>41250</v>
      </c>
      <c r="P5133">
        <v>0</v>
      </c>
      <c r="Q5133">
        <v>0</v>
      </c>
      <c r="R5133" t="s">
        <v>41254</v>
      </c>
      <c r="S5133" t="s">
        <v>41425</v>
      </c>
      <c r="T5133" t="s">
        <v>42679</v>
      </c>
      <c r="U5133" t="s">
        <v>47445</v>
      </c>
      <c r="V5133" t="s">
        <v>54837</v>
      </c>
      <c r="W5133" t="s">
        <v>39386</v>
      </c>
      <c r="X5133" t="s">
        <v>41257</v>
      </c>
    </row>
    <row r="5134" spans="1:24">
      <c r="A5134">
        <f>HYPERLINK("https://www.philgeps.gov.ph/GEPSNONPILOT/Tender/SplashBidNoticeAbstractUI.aspx?menuIndex=3&amp;refID=7071898&amp;Result=3","7071898")</f>
        <v>0</v>
      </c>
      <c r="B5134" t="s">
        <v>956</v>
      </c>
      <c r="C5134" t="s">
        <v>8302</v>
      </c>
      <c r="D5134" t="s">
        <v>16679</v>
      </c>
      <c r="E5134" t="s">
        <v>21300</v>
      </c>
      <c r="F5134" t="s">
        <v>28669</v>
      </c>
      <c r="G5134" t="s">
        <v>28675</v>
      </c>
      <c r="H5134" t="s">
        <v>9998</v>
      </c>
      <c r="I5134" t="s">
        <v>11593</v>
      </c>
      <c r="J5134" t="s">
        <v>32105</v>
      </c>
      <c r="K5134" t="s">
        <v>37220</v>
      </c>
      <c r="M5134" t="s">
        <v>38480</v>
      </c>
      <c r="N5134" t="s">
        <v>41249</v>
      </c>
      <c r="O5134" t="s">
        <v>41250</v>
      </c>
      <c r="P5134">
        <v>0</v>
      </c>
      <c r="Q5134">
        <v>17</v>
      </c>
      <c r="R5134" t="s">
        <v>41254</v>
      </c>
      <c r="S5134" t="s">
        <v>41425</v>
      </c>
      <c r="T5134" t="s">
        <v>42716</v>
      </c>
      <c r="U5134" t="s">
        <v>47446</v>
      </c>
      <c r="V5134" t="s">
        <v>54528</v>
      </c>
      <c r="W5134" t="s">
        <v>38480</v>
      </c>
      <c r="X5134" t="s">
        <v>41257</v>
      </c>
    </row>
    <row r="5135" spans="1:24">
      <c r="A5135">
        <f>HYPERLINK("https://www.philgeps.gov.ph/GEPSNONPILOT/Tender/SplashBidNoticeAbstractUI.aspx?menuIndex=3&amp;refID=7072221&amp;Result=3","7072221")</f>
        <v>0</v>
      </c>
      <c r="B5135" t="s">
        <v>1783</v>
      </c>
      <c r="C5135" t="s">
        <v>8303</v>
      </c>
      <c r="D5135" t="s">
        <v>16660</v>
      </c>
      <c r="E5135" t="s">
        <v>21301</v>
      </c>
      <c r="F5135" t="s">
        <v>28669</v>
      </c>
      <c r="G5135" t="s">
        <v>28678</v>
      </c>
      <c r="H5135" t="s">
        <v>9998</v>
      </c>
      <c r="I5135" t="s">
        <v>28730</v>
      </c>
      <c r="J5135" t="s">
        <v>32106</v>
      </c>
      <c r="K5135" t="s">
        <v>37208</v>
      </c>
      <c r="M5135" t="s">
        <v>39387</v>
      </c>
      <c r="N5135" t="s">
        <v>41249</v>
      </c>
      <c r="O5135" t="s">
        <v>41250</v>
      </c>
      <c r="P5135">
        <v>0</v>
      </c>
      <c r="Q5135">
        <v>2</v>
      </c>
      <c r="R5135" t="s">
        <v>41254</v>
      </c>
      <c r="S5135" t="s">
        <v>41425</v>
      </c>
      <c r="T5135" t="s">
        <v>42758</v>
      </c>
      <c r="U5135" t="s">
        <v>43328</v>
      </c>
      <c r="W5135" t="s">
        <v>39387</v>
      </c>
      <c r="X5135" t="s">
        <v>41257</v>
      </c>
    </row>
    <row r="5136" spans="1:24">
      <c r="A5136">
        <f>HYPERLINK("https://www.philgeps.gov.ph/GEPSNONPILOT/Tender/SplashBidNoticeAbstractUI.aspx?menuIndex=3&amp;refID=7072248&amp;Result=3","7072248")</f>
        <v>0</v>
      </c>
      <c r="B5136" t="s">
        <v>1784</v>
      </c>
      <c r="C5136" t="s">
        <v>8304</v>
      </c>
      <c r="D5136" t="s">
        <v>16666</v>
      </c>
      <c r="E5136" t="s">
        <v>16820</v>
      </c>
      <c r="F5136" t="s">
        <v>28669</v>
      </c>
      <c r="G5136" t="s">
        <v>28675</v>
      </c>
      <c r="H5136" t="s">
        <v>28686</v>
      </c>
      <c r="I5136" t="s">
        <v>28689</v>
      </c>
      <c r="J5136" t="s">
        <v>31008</v>
      </c>
      <c r="K5136" t="s">
        <v>37205</v>
      </c>
      <c r="M5136" t="s">
        <v>39388</v>
      </c>
      <c r="N5136" t="s">
        <v>41249</v>
      </c>
      <c r="O5136" t="s">
        <v>41250</v>
      </c>
      <c r="P5136">
        <v>0</v>
      </c>
      <c r="Q5136">
        <v>0</v>
      </c>
      <c r="R5136" t="s">
        <v>41254</v>
      </c>
      <c r="S5136" t="s">
        <v>41425</v>
      </c>
      <c r="T5136" t="s">
        <v>42742</v>
      </c>
      <c r="U5136" t="s">
        <v>47447</v>
      </c>
      <c r="W5136" t="s">
        <v>39388</v>
      </c>
      <c r="X5136" t="s">
        <v>41257</v>
      </c>
    </row>
    <row r="5137" spans="1:24">
      <c r="A5137">
        <f>HYPERLINK("https://www.philgeps.gov.ph/GEPSNONPILOT/Tender/SplashBidNoticeAbstractUI.aspx?menuIndex=3&amp;refID=7071982&amp;Result=3","7071982")</f>
        <v>0</v>
      </c>
      <c r="B5137" t="s">
        <v>962</v>
      </c>
      <c r="C5137" t="s">
        <v>8305</v>
      </c>
      <c r="D5137" t="s">
        <v>16611</v>
      </c>
      <c r="E5137" t="s">
        <v>21302</v>
      </c>
      <c r="F5137" t="s">
        <v>28669</v>
      </c>
      <c r="G5137" t="s">
        <v>28675</v>
      </c>
      <c r="H5137" t="s">
        <v>9998</v>
      </c>
      <c r="I5137" t="s">
        <v>5213</v>
      </c>
      <c r="J5137" t="s">
        <v>32107</v>
      </c>
      <c r="K5137" t="s">
        <v>37209</v>
      </c>
      <c r="M5137" t="s">
        <v>39389</v>
      </c>
      <c r="N5137" t="s">
        <v>41249</v>
      </c>
      <c r="O5137" t="s">
        <v>41250</v>
      </c>
      <c r="P5137">
        <v>0</v>
      </c>
      <c r="Q5137">
        <v>0</v>
      </c>
      <c r="R5137" t="s">
        <v>41254</v>
      </c>
      <c r="S5137" t="s">
        <v>41425</v>
      </c>
      <c r="T5137" t="s">
        <v>42994</v>
      </c>
      <c r="U5137" t="s">
        <v>47448</v>
      </c>
      <c r="W5137" t="s">
        <v>39389</v>
      </c>
      <c r="X5137" t="s">
        <v>41257</v>
      </c>
    </row>
    <row r="5138" spans="1:24">
      <c r="A5138">
        <f>HYPERLINK("https://www.philgeps.gov.ph/GEPSNONPILOT/Tender/SplashBidNoticeAbstractUI.aspx?menuIndex=3&amp;refID=7072236&amp;Result=3","7072236")</f>
        <v>0</v>
      </c>
      <c r="B5138" t="s">
        <v>147</v>
      </c>
      <c r="C5138" t="s">
        <v>8306</v>
      </c>
      <c r="D5138" t="s">
        <v>16631</v>
      </c>
      <c r="E5138" t="s">
        <v>21303</v>
      </c>
      <c r="F5138" t="s">
        <v>28669</v>
      </c>
      <c r="G5138" t="s">
        <v>28675</v>
      </c>
      <c r="H5138" t="s">
        <v>9998</v>
      </c>
      <c r="I5138" t="s">
        <v>7352</v>
      </c>
      <c r="J5138" t="s">
        <v>32108</v>
      </c>
      <c r="K5138" t="s">
        <v>37206</v>
      </c>
      <c r="M5138" t="s">
        <v>37624</v>
      </c>
      <c r="N5138" t="s">
        <v>41249</v>
      </c>
      <c r="O5138" t="s">
        <v>41250</v>
      </c>
      <c r="P5138">
        <v>0</v>
      </c>
      <c r="Q5138">
        <v>0</v>
      </c>
      <c r="R5138" t="s">
        <v>41254</v>
      </c>
      <c r="S5138" t="s">
        <v>41425</v>
      </c>
      <c r="T5138" t="s">
        <v>42714</v>
      </c>
      <c r="U5138" t="s">
        <v>47449</v>
      </c>
      <c r="W5138" t="s">
        <v>37624</v>
      </c>
      <c r="X5138" t="s">
        <v>41257</v>
      </c>
    </row>
    <row r="5139" spans="1:24">
      <c r="A5139">
        <f>HYPERLINK("https://www.philgeps.gov.ph/GEPSNONPILOT/Tender/SplashBidNoticeAbstractUI.aspx?menuIndex=3&amp;refID=7072061&amp;Result=3","7072061")</f>
        <v>0</v>
      </c>
      <c r="B5139" t="s">
        <v>1785</v>
      </c>
      <c r="C5139" t="s">
        <v>8307</v>
      </c>
      <c r="D5139" t="s">
        <v>16643</v>
      </c>
      <c r="E5139" t="s">
        <v>21304</v>
      </c>
      <c r="F5139" t="s">
        <v>28669</v>
      </c>
      <c r="G5139" t="s">
        <v>28675</v>
      </c>
      <c r="H5139" t="s">
        <v>28684</v>
      </c>
      <c r="I5139" t="s">
        <v>28757</v>
      </c>
      <c r="J5139" t="s">
        <v>32109</v>
      </c>
      <c r="K5139" t="s">
        <v>37238</v>
      </c>
      <c r="M5139" t="s">
        <v>39390</v>
      </c>
      <c r="N5139" t="s">
        <v>41249</v>
      </c>
      <c r="O5139" t="s">
        <v>41250</v>
      </c>
      <c r="P5139">
        <v>0</v>
      </c>
      <c r="Q5139">
        <v>1</v>
      </c>
      <c r="R5139" t="s">
        <v>41254</v>
      </c>
      <c r="S5139" t="s">
        <v>41425</v>
      </c>
      <c r="T5139" t="s">
        <v>42722</v>
      </c>
      <c r="U5139" t="s">
        <v>47450</v>
      </c>
      <c r="W5139" t="s">
        <v>39390</v>
      </c>
      <c r="X5139" t="s">
        <v>41257</v>
      </c>
    </row>
    <row r="5140" spans="1:24">
      <c r="A5140">
        <f>HYPERLINK("https://www.philgeps.gov.ph/GEPSNONPILOT/Tender/SplashBidNoticeAbstractUI.aspx?menuIndex=3&amp;refID=7072231&amp;Result=3","7072231")</f>
        <v>0</v>
      </c>
      <c r="B5140" t="s">
        <v>147</v>
      </c>
      <c r="C5140" t="s">
        <v>8308</v>
      </c>
      <c r="D5140" t="s">
        <v>16631</v>
      </c>
      <c r="E5140" t="s">
        <v>21305</v>
      </c>
      <c r="F5140" t="s">
        <v>28669</v>
      </c>
      <c r="G5140" t="s">
        <v>28675</v>
      </c>
      <c r="H5140" t="s">
        <v>9998</v>
      </c>
      <c r="I5140" t="s">
        <v>28704</v>
      </c>
      <c r="J5140" t="s">
        <v>32110</v>
      </c>
      <c r="K5140" t="s">
        <v>37206</v>
      </c>
      <c r="M5140" t="s">
        <v>37624</v>
      </c>
      <c r="N5140" t="s">
        <v>41249</v>
      </c>
      <c r="O5140" t="s">
        <v>41250</v>
      </c>
      <c r="P5140">
        <v>0</v>
      </c>
      <c r="Q5140">
        <v>0</v>
      </c>
      <c r="R5140" t="s">
        <v>41254</v>
      </c>
      <c r="S5140" t="s">
        <v>41425</v>
      </c>
      <c r="T5140" t="s">
        <v>42714</v>
      </c>
      <c r="U5140" t="s">
        <v>47451</v>
      </c>
      <c r="W5140" t="s">
        <v>37624</v>
      </c>
      <c r="X5140" t="s">
        <v>41257</v>
      </c>
    </row>
    <row r="5141" spans="1:24">
      <c r="A5141">
        <f>HYPERLINK("https://www.philgeps.gov.ph/GEPSNONPILOT/Tender/SplashBidNoticeAbstractUI.aspx?menuIndex=3&amp;refID=7071761&amp;Result=3","7071761")</f>
        <v>0</v>
      </c>
      <c r="B5141" t="s">
        <v>1353</v>
      </c>
      <c r="C5141" t="s">
        <v>8116</v>
      </c>
      <c r="D5141" t="s">
        <v>16627</v>
      </c>
      <c r="E5141" t="s">
        <v>21306</v>
      </c>
      <c r="F5141" t="s">
        <v>28669</v>
      </c>
      <c r="G5141" t="s">
        <v>28676</v>
      </c>
      <c r="H5141" t="s">
        <v>9998</v>
      </c>
      <c r="I5141" t="s">
        <v>7352</v>
      </c>
      <c r="J5141" t="s">
        <v>32111</v>
      </c>
      <c r="K5141" t="s">
        <v>37208</v>
      </c>
      <c r="M5141" t="s">
        <v>39391</v>
      </c>
      <c r="N5141" t="s">
        <v>41249</v>
      </c>
      <c r="O5141" t="s">
        <v>41250</v>
      </c>
      <c r="P5141">
        <v>0</v>
      </c>
      <c r="Q5141">
        <v>2</v>
      </c>
      <c r="R5141" t="s">
        <v>41254</v>
      </c>
      <c r="S5141" t="s">
        <v>41425</v>
      </c>
      <c r="T5141" t="s">
        <v>42701</v>
      </c>
      <c r="U5141" t="s">
        <v>47452</v>
      </c>
      <c r="W5141" t="s">
        <v>39391</v>
      </c>
      <c r="X5141" t="s">
        <v>41257</v>
      </c>
    </row>
    <row r="5142" spans="1:24">
      <c r="A5142">
        <f>HYPERLINK("https://www.philgeps.gov.ph/GEPSNONPILOT/Tender/SplashBidNoticeAbstractUI.aspx?menuIndex=3&amp;refID=7072229&amp;Result=3","7072229")</f>
        <v>0</v>
      </c>
      <c r="B5142" t="s">
        <v>447</v>
      </c>
      <c r="C5142" t="s">
        <v>8309</v>
      </c>
      <c r="D5142" t="s">
        <v>16608</v>
      </c>
      <c r="E5142" t="s">
        <v>17902</v>
      </c>
      <c r="F5142" t="s">
        <v>28669</v>
      </c>
      <c r="G5142" t="s">
        <v>28676</v>
      </c>
      <c r="H5142" t="s">
        <v>9998</v>
      </c>
      <c r="I5142" t="s">
        <v>28735</v>
      </c>
      <c r="J5142" t="s">
        <v>28878</v>
      </c>
      <c r="K5142" t="s">
        <v>37209</v>
      </c>
      <c r="M5142" t="s">
        <v>39392</v>
      </c>
      <c r="N5142" t="s">
        <v>41249</v>
      </c>
      <c r="O5142" t="s">
        <v>41250</v>
      </c>
      <c r="P5142">
        <v>0</v>
      </c>
      <c r="Q5142">
        <v>6</v>
      </c>
      <c r="R5142" t="s">
        <v>41254</v>
      </c>
      <c r="S5142" t="s">
        <v>41425</v>
      </c>
      <c r="T5142" t="s">
        <v>42711</v>
      </c>
      <c r="U5142" t="s">
        <v>47453</v>
      </c>
      <c r="V5142" t="s">
        <v>54838</v>
      </c>
      <c r="W5142" t="s">
        <v>39392</v>
      </c>
      <c r="X5142" t="s">
        <v>41257</v>
      </c>
    </row>
    <row r="5143" spans="1:24">
      <c r="A5143">
        <f>HYPERLINK("https://www.philgeps.gov.ph/GEPSNONPILOT/Tender/SplashBidNoticeAbstractUI.aspx?menuIndex=3&amp;refID=7072253&amp;Result=3","7072253")</f>
        <v>0</v>
      </c>
      <c r="B5143" t="s">
        <v>1786</v>
      </c>
      <c r="C5143" t="s">
        <v>8310</v>
      </c>
      <c r="D5143" t="s">
        <v>16638</v>
      </c>
      <c r="E5143" t="s">
        <v>21307</v>
      </c>
      <c r="F5143" t="s">
        <v>28669</v>
      </c>
      <c r="G5143" t="s">
        <v>28675</v>
      </c>
      <c r="H5143" t="s">
        <v>28686</v>
      </c>
      <c r="I5143" t="s">
        <v>28689</v>
      </c>
      <c r="J5143" t="s">
        <v>30342</v>
      </c>
      <c r="K5143" t="s">
        <v>37211</v>
      </c>
      <c r="M5143" t="s">
        <v>39393</v>
      </c>
      <c r="N5143" t="s">
        <v>41249</v>
      </c>
      <c r="O5143" t="s">
        <v>41250</v>
      </c>
      <c r="P5143">
        <v>0</v>
      </c>
      <c r="Q5143">
        <v>3</v>
      </c>
      <c r="R5143" t="s">
        <v>41254</v>
      </c>
      <c r="S5143" t="s">
        <v>41425</v>
      </c>
      <c r="T5143" t="s">
        <v>42683</v>
      </c>
      <c r="U5143" t="s">
        <v>47454</v>
      </c>
      <c r="W5143" t="s">
        <v>39393</v>
      </c>
      <c r="X5143" t="s">
        <v>41257</v>
      </c>
    </row>
    <row r="5144" spans="1:24">
      <c r="A5144">
        <f>HYPERLINK("https://www.philgeps.gov.ph/GEPSNONPILOT/Tender/SplashBidNoticeAbstractUI.aspx?menuIndex=3&amp;refID=7072224&amp;Result=3","7072224")</f>
        <v>0</v>
      </c>
      <c r="B5144" t="s">
        <v>1783</v>
      </c>
      <c r="C5144" t="s">
        <v>8311</v>
      </c>
      <c r="D5144" t="s">
        <v>16660</v>
      </c>
      <c r="E5144" t="s">
        <v>21308</v>
      </c>
      <c r="F5144" t="s">
        <v>28669</v>
      </c>
      <c r="G5144" t="s">
        <v>28678</v>
      </c>
      <c r="H5144" t="s">
        <v>9998</v>
      </c>
      <c r="I5144" t="s">
        <v>28693</v>
      </c>
      <c r="J5144" t="s">
        <v>32112</v>
      </c>
      <c r="K5144" t="s">
        <v>37208</v>
      </c>
      <c r="M5144" t="s">
        <v>39387</v>
      </c>
      <c r="N5144" t="s">
        <v>41249</v>
      </c>
      <c r="O5144" t="s">
        <v>41250</v>
      </c>
      <c r="P5144">
        <v>0</v>
      </c>
      <c r="Q5144">
        <v>11</v>
      </c>
      <c r="R5144" t="s">
        <v>41254</v>
      </c>
      <c r="S5144" t="s">
        <v>41425</v>
      </c>
      <c r="T5144" t="s">
        <v>42758</v>
      </c>
      <c r="U5144" t="s">
        <v>43328</v>
      </c>
      <c r="W5144" t="s">
        <v>39387</v>
      </c>
      <c r="X5144" t="s">
        <v>41257</v>
      </c>
    </row>
    <row r="5145" spans="1:24">
      <c r="A5145">
        <f>HYPERLINK("https://www.philgeps.gov.ph/GEPSNONPILOT/Tender/SplashBidNoticeAbstractUI.aspx?menuIndex=3&amp;refID=7072246&amp;Result=3","7072246")</f>
        <v>0</v>
      </c>
      <c r="B5145" t="s">
        <v>147</v>
      </c>
      <c r="C5145" t="s">
        <v>8312</v>
      </c>
      <c r="D5145" t="s">
        <v>16631</v>
      </c>
      <c r="E5145" t="s">
        <v>21309</v>
      </c>
      <c r="F5145" t="s">
        <v>28669</v>
      </c>
      <c r="G5145" t="s">
        <v>28675</v>
      </c>
      <c r="H5145" t="s">
        <v>28686</v>
      </c>
      <c r="I5145" t="s">
        <v>28689</v>
      </c>
      <c r="J5145" t="s">
        <v>29943</v>
      </c>
      <c r="K5145" t="s">
        <v>37212</v>
      </c>
      <c r="M5145" t="s">
        <v>37624</v>
      </c>
      <c r="N5145" t="s">
        <v>41249</v>
      </c>
      <c r="O5145" t="s">
        <v>41250</v>
      </c>
      <c r="P5145">
        <v>0</v>
      </c>
      <c r="Q5145">
        <v>1</v>
      </c>
      <c r="R5145" t="s">
        <v>41254</v>
      </c>
      <c r="S5145" t="s">
        <v>41425</v>
      </c>
      <c r="T5145" t="s">
        <v>42808</v>
      </c>
      <c r="U5145" t="s">
        <v>47455</v>
      </c>
      <c r="W5145" t="s">
        <v>37624</v>
      </c>
      <c r="X5145" t="s">
        <v>41257</v>
      </c>
    </row>
    <row r="5146" spans="1:24">
      <c r="A5146">
        <f>HYPERLINK("https://www.philgeps.gov.ph/GEPSNONPILOT/Tender/SplashBidNoticeAbstractUI.aspx?menuIndex=3&amp;refID=7072244&amp;Result=3","7072244")</f>
        <v>0</v>
      </c>
      <c r="B5146" t="s">
        <v>147</v>
      </c>
      <c r="C5146" t="s">
        <v>8313</v>
      </c>
      <c r="D5146" t="s">
        <v>16631</v>
      </c>
      <c r="E5146" t="s">
        <v>21310</v>
      </c>
      <c r="F5146" t="s">
        <v>28669</v>
      </c>
      <c r="G5146" t="s">
        <v>28675</v>
      </c>
      <c r="H5146" t="s">
        <v>9998</v>
      </c>
      <c r="I5146" t="s">
        <v>5213</v>
      </c>
      <c r="J5146" t="s">
        <v>32113</v>
      </c>
      <c r="K5146" t="s">
        <v>37206</v>
      </c>
      <c r="M5146" t="s">
        <v>37624</v>
      </c>
      <c r="N5146" t="s">
        <v>41249</v>
      </c>
      <c r="O5146" t="s">
        <v>41250</v>
      </c>
      <c r="P5146">
        <v>0</v>
      </c>
      <c r="Q5146">
        <v>0</v>
      </c>
      <c r="R5146" t="s">
        <v>41254</v>
      </c>
      <c r="S5146" t="s">
        <v>41425</v>
      </c>
      <c r="T5146" t="s">
        <v>42714</v>
      </c>
      <c r="U5146" t="s">
        <v>47456</v>
      </c>
      <c r="W5146" t="s">
        <v>37624</v>
      </c>
      <c r="X5146" t="s">
        <v>41257</v>
      </c>
    </row>
    <row r="5147" spans="1:24">
      <c r="A5147">
        <f>HYPERLINK("https://www.philgeps.gov.ph/GEPSNONPILOT/Tender/SplashBidNoticeAbstractUI.aspx?menuIndex=3&amp;refID=7072219&amp;Result=3","7072219")</f>
        <v>0</v>
      </c>
      <c r="B5147" t="s">
        <v>1783</v>
      </c>
      <c r="C5147" t="s">
        <v>8314</v>
      </c>
      <c r="D5147" t="s">
        <v>16660</v>
      </c>
      <c r="E5147" t="s">
        <v>21311</v>
      </c>
      <c r="F5147" t="s">
        <v>28669</v>
      </c>
      <c r="G5147" t="s">
        <v>28678</v>
      </c>
      <c r="H5147" t="s">
        <v>9998</v>
      </c>
      <c r="I5147" t="s">
        <v>28688</v>
      </c>
      <c r="J5147" t="s">
        <v>32114</v>
      </c>
      <c r="K5147" t="s">
        <v>37208</v>
      </c>
      <c r="M5147" t="s">
        <v>39387</v>
      </c>
      <c r="N5147" t="s">
        <v>41249</v>
      </c>
      <c r="O5147" t="s">
        <v>41250</v>
      </c>
      <c r="P5147">
        <v>0</v>
      </c>
      <c r="Q5147">
        <v>5</v>
      </c>
      <c r="R5147" t="s">
        <v>41254</v>
      </c>
      <c r="S5147" t="s">
        <v>41425</v>
      </c>
      <c r="T5147" t="s">
        <v>42758</v>
      </c>
      <c r="U5147" t="s">
        <v>43328</v>
      </c>
      <c r="W5147" t="s">
        <v>39387</v>
      </c>
      <c r="X5147" t="s">
        <v>41257</v>
      </c>
    </row>
    <row r="5148" spans="1:24">
      <c r="A5148">
        <f>HYPERLINK("https://www.philgeps.gov.ph/GEPSNONPILOT/Tender/SplashBidNoticeAbstractUI.aspx?menuIndex=3&amp;refID=7072203&amp;Result=3","7072203")</f>
        <v>0</v>
      </c>
      <c r="B5148" t="s">
        <v>1787</v>
      </c>
      <c r="C5148" t="s">
        <v>8315</v>
      </c>
      <c r="D5148" t="s">
        <v>16617</v>
      </c>
      <c r="E5148" t="s">
        <v>21312</v>
      </c>
      <c r="F5148" t="s">
        <v>28669</v>
      </c>
      <c r="G5148" t="s">
        <v>28676</v>
      </c>
      <c r="H5148" t="s">
        <v>9998</v>
      </c>
      <c r="I5148" t="s">
        <v>28689</v>
      </c>
      <c r="J5148" t="s">
        <v>32115</v>
      </c>
      <c r="K5148" t="s">
        <v>37294</v>
      </c>
      <c r="M5148" t="s">
        <v>39394</v>
      </c>
      <c r="N5148" t="s">
        <v>41249</v>
      </c>
      <c r="O5148" t="s">
        <v>41250</v>
      </c>
      <c r="P5148">
        <v>0</v>
      </c>
      <c r="Q5148">
        <v>2</v>
      </c>
      <c r="R5148" t="s">
        <v>41254</v>
      </c>
      <c r="S5148" t="s">
        <v>41425</v>
      </c>
      <c r="T5148" t="s">
        <v>42675</v>
      </c>
      <c r="U5148" t="s">
        <v>47457</v>
      </c>
      <c r="V5148" t="s">
        <v>54839</v>
      </c>
      <c r="W5148" t="s">
        <v>39394</v>
      </c>
      <c r="X5148" t="s">
        <v>41257</v>
      </c>
    </row>
    <row r="5149" spans="1:24">
      <c r="A5149">
        <f>HYPERLINK("https://www.philgeps.gov.ph/GEPSNONPILOT/Tender/SplashBidNoticeAbstractUI.aspx?menuIndex=3&amp;refID=7072184&amp;Result=3","7072184")</f>
        <v>0</v>
      </c>
      <c r="B5149" t="s">
        <v>1225</v>
      </c>
      <c r="C5149" t="s">
        <v>8316</v>
      </c>
      <c r="D5149" t="s">
        <v>16613</v>
      </c>
      <c r="E5149" t="s">
        <v>21313</v>
      </c>
      <c r="F5149" t="s">
        <v>28669</v>
      </c>
      <c r="G5149" t="s">
        <v>28675</v>
      </c>
      <c r="H5149" t="s">
        <v>28686</v>
      </c>
      <c r="I5149" t="s">
        <v>28689</v>
      </c>
      <c r="J5149" t="s">
        <v>32116</v>
      </c>
      <c r="K5149" t="s">
        <v>37328</v>
      </c>
      <c r="M5149" t="s">
        <v>38768</v>
      </c>
      <c r="N5149" t="s">
        <v>41249</v>
      </c>
      <c r="O5149" t="s">
        <v>41250</v>
      </c>
      <c r="P5149">
        <v>0</v>
      </c>
      <c r="Q5149">
        <v>0</v>
      </c>
      <c r="R5149" t="s">
        <v>41254</v>
      </c>
      <c r="S5149" t="s">
        <v>41425</v>
      </c>
      <c r="T5149" t="s">
        <v>42915</v>
      </c>
      <c r="U5149" t="s">
        <v>47458</v>
      </c>
      <c r="W5149" t="s">
        <v>38768</v>
      </c>
      <c r="X5149" t="s">
        <v>41257</v>
      </c>
    </row>
    <row r="5150" spans="1:24">
      <c r="A5150">
        <f>HYPERLINK("https://www.philgeps.gov.ph/GEPSNONPILOT/Tender/SplashBidNoticeAbstractUI.aspx?menuIndex=3&amp;refID=7072112&amp;Result=3","7072112")</f>
        <v>0</v>
      </c>
      <c r="B5150" t="s">
        <v>86</v>
      </c>
      <c r="C5150" t="s">
        <v>8317</v>
      </c>
      <c r="D5150" t="s">
        <v>16624</v>
      </c>
      <c r="E5150" t="s">
        <v>21314</v>
      </c>
      <c r="F5150" t="s">
        <v>28669</v>
      </c>
      <c r="G5150" t="s">
        <v>28677</v>
      </c>
      <c r="H5150" t="s">
        <v>9998</v>
      </c>
      <c r="I5150" t="s">
        <v>28697</v>
      </c>
      <c r="J5150" t="s">
        <v>32117</v>
      </c>
      <c r="K5150" t="s">
        <v>37206</v>
      </c>
      <c r="M5150" t="s">
        <v>37561</v>
      </c>
      <c r="N5150" t="s">
        <v>41249</v>
      </c>
      <c r="O5150" t="s">
        <v>41250</v>
      </c>
      <c r="P5150">
        <v>0</v>
      </c>
      <c r="Q5150">
        <v>0</v>
      </c>
      <c r="R5150" t="s">
        <v>41254</v>
      </c>
      <c r="S5150" t="s">
        <v>41425</v>
      </c>
      <c r="T5150" t="s">
        <v>42673</v>
      </c>
      <c r="U5150" t="s">
        <v>47459</v>
      </c>
      <c r="W5150" t="s">
        <v>37561</v>
      </c>
      <c r="X5150" t="s">
        <v>41257</v>
      </c>
    </row>
    <row r="5151" spans="1:24">
      <c r="A5151">
        <f>HYPERLINK("https://www.philgeps.gov.ph/GEPSNONPILOT/Tender/SplashBidNoticeAbstractUI.aspx?menuIndex=3&amp;refID=7072108&amp;Result=3","7072108")</f>
        <v>0</v>
      </c>
      <c r="B5151" t="s">
        <v>660</v>
      </c>
      <c r="C5151" t="s">
        <v>8318</v>
      </c>
      <c r="D5151" t="s">
        <v>16626</v>
      </c>
      <c r="E5151" t="s">
        <v>21315</v>
      </c>
      <c r="F5151" t="s">
        <v>28669</v>
      </c>
      <c r="G5151" t="s">
        <v>28675</v>
      </c>
      <c r="H5151" t="s">
        <v>9998</v>
      </c>
      <c r="I5151" t="s">
        <v>7352</v>
      </c>
      <c r="J5151" t="s">
        <v>32118</v>
      </c>
      <c r="K5151" t="s">
        <v>37215</v>
      </c>
      <c r="M5151" t="s">
        <v>38162</v>
      </c>
      <c r="N5151" t="s">
        <v>41249</v>
      </c>
      <c r="O5151" t="s">
        <v>41250</v>
      </c>
      <c r="P5151">
        <v>0</v>
      </c>
      <c r="Q5151">
        <v>2</v>
      </c>
      <c r="R5151" t="s">
        <v>41254</v>
      </c>
      <c r="S5151" t="s">
        <v>41425</v>
      </c>
      <c r="T5151" t="s">
        <v>42688</v>
      </c>
      <c r="U5151" t="s">
        <v>47460</v>
      </c>
      <c r="V5151" t="s">
        <v>54840</v>
      </c>
      <c r="W5151" t="s">
        <v>38162</v>
      </c>
      <c r="X5151" t="s">
        <v>41257</v>
      </c>
    </row>
    <row r="5152" spans="1:24">
      <c r="A5152">
        <f>HYPERLINK("https://www.philgeps.gov.ph/GEPSNONPILOT/Tender/SplashBidNoticeAbstractUI.aspx?menuIndex=3&amp;refID=7072089&amp;Result=3","7072089")</f>
        <v>0</v>
      </c>
      <c r="B5152" t="s">
        <v>1788</v>
      </c>
      <c r="C5152" t="s">
        <v>8319</v>
      </c>
      <c r="D5152" t="s">
        <v>16621</v>
      </c>
      <c r="E5152" t="s">
        <v>21316</v>
      </c>
      <c r="F5152" t="s">
        <v>28669</v>
      </c>
      <c r="G5152" t="s">
        <v>28676</v>
      </c>
      <c r="H5152" t="s">
        <v>9998</v>
      </c>
      <c r="I5152" t="s">
        <v>28726</v>
      </c>
      <c r="J5152" t="s">
        <v>32119</v>
      </c>
      <c r="K5152" t="s">
        <v>37221</v>
      </c>
      <c r="M5152" t="s">
        <v>39395</v>
      </c>
      <c r="N5152" t="s">
        <v>41249</v>
      </c>
      <c r="O5152" t="s">
        <v>41250</v>
      </c>
      <c r="P5152">
        <v>0</v>
      </c>
      <c r="Q5152">
        <v>1</v>
      </c>
      <c r="R5152" t="s">
        <v>41254</v>
      </c>
      <c r="S5152" t="s">
        <v>41425</v>
      </c>
      <c r="T5152" t="s">
        <v>42995</v>
      </c>
      <c r="U5152" t="s">
        <v>47461</v>
      </c>
      <c r="W5152" t="s">
        <v>39395</v>
      </c>
      <c r="X5152" t="s">
        <v>41257</v>
      </c>
    </row>
    <row r="5153" spans="1:24">
      <c r="A5153">
        <f>HYPERLINK("https://www.philgeps.gov.ph/GEPSNONPILOT/Tender/SplashBidNoticeAbstractUI.aspx?menuIndex=3&amp;refID=7071534&amp;Result=3","7071534")</f>
        <v>0</v>
      </c>
      <c r="B5153" t="s">
        <v>1764</v>
      </c>
      <c r="C5153" t="s">
        <v>8320</v>
      </c>
      <c r="D5153" t="s">
        <v>16642</v>
      </c>
      <c r="E5153" t="s">
        <v>21317</v>
      </c>
      <c r="F5153" t="s">
        <v>28669</v>
      </c>
      <c r="G5153" t="s">
        <v>28675</v>
      </c>
      <c r="H5153" t="s">
        <v>28686</v>
      </c>
      <c r="I5153" t="s">
        <v>28689</v>
      </c>
      <c r="J5153" t="s">
        <v>32120</v>
      </c>
      <c r="K5153" t="s">
        <v>37233</v>
      </c>
      <c r="M5153" t="s">
        <v>39366</v>
      </c>
      <c r="N5153" t="s">
        <v>41249</v>
      </c>
      <c r="O5153" t="s">
        <v>41250</v>
      </c>
      <c r="P5153">
        <v>0</v>
      </c>
      <c r="Q5153">
        <v>0</v>
      </c>
      <c r="R5153" t="s">
        <v>41254</v>
      </c>
      <c r="S5153" t="s">
        <v>41425</v>
      </c>
      <c r="T5153" t="s">
        <v>42803</v>
      </c>
      <c r="U5153" t="s">
        <v>47462</v>
      </c>
      <c r="V5153" t="s">
        <v>54829</v>
      </c>
      <c r="W5153" t="s">
        <v>39366</v>
      </c>
      <c r="X5153" t="s">
        <v>41257</v>
      </c>
    </row>
    <row r="5154" spans="1:24">
      <c r="A5154">
        <f>HYPERLINK("https://www.philgeps.gov.ph/GEPSNONPILOT/Tender/SplashBidNoticeAbstractUI.aspx?menuIndex=3&amp;refID=7071957&amp;Result=3","7071957")</f>
        <v>0</v>
      </c>
      <c r="B5154" t="s">
        <v>411</v>
      </c>
      <c r="C5154" t="s">
        <v>8321</v>
      </c>
      <c r="D5154" t="s">
        <v>16616</v>
      </c>
      <c r="E5154" t="s">
        <v>21318</v>
      </c>
      <c r="F5154" t="s">
        <v>28669</v>
      </c>
      <c r="G5154" t="s">
        <v>28675</v>
      </c>
      <c r="H5154" t="s">
        <v>28684</v>
      </c>
      <c r="I5154" t="s">
        <v>28729</v>
      </c>
      <c r="J5154" t="s">
        <v>32121</v>
      </c>
      <c r="K5154" t="s">
        <v>37213</v>
      </c>
      <c r="M5154" t="s">
        <v>37896</v>
      </c>
      <c r="N5154" t="s">
        <v>41249</v>
      </c>
      <c r="O5154" t="s">
        <v>41250</v>
      </c>
      <c r="P5154">
        <v>0</v>
      </c>
      <c r="Q5154">
        <v>11</v>
      </c>
      <c r="R5154" t="s">
        <v>41254</v>
      </c>
      <c r="S5154" t="s">
        <v>41425</v>
      </c>
      <c r="T5154" t="s">
        <v>42693</v>
      </c>
      <c r="U5154" t="s">
        <v>47463</v>
      </c>
      <c r="W5154" t="s">
        <v>37896</v>
      </c>
      <c r="X5154" t="s">
        <v>41257</v>
      </c>
    </row>
    <row r="5155" spans="1:24">
      <c r="A5155">
        <f>HYPERLINK("https://www.philgeps.gov.ph/GEPSNONPILOT/Tender/SplashBidNoticeAbstractUI.aspx?menuIndex=3&amp;refID=7071929&amp;Result=3","7071929")</f>
        <v>0</v>
      </c>
      <c r="B5155" t="s">
        <v>1789</v>
      </c>
      <c r="C5155" t="s">
        <v>8322</v>
      </c>
      <c r="D5155" t="s">
        <v>16617</v>
      </c>
      <c r="E5155" t="s">
        <v>21319</v>
      </c>
      <c r="F5155" t="s">
        <v>28669</v>
      </c>
      <c r="G5155" t="s">
        <v>28675</v>
      </c>
      <c r="H5155" t="s">
        <v>9998</v>
      </c>
      <c r="I5155" t="s">
        <v>6606</v>
      </c>
      <c r="J5155" t="s">
        <v>32122</v>
      </c>
      <c r="K5155" t="s">
        <v>37209</v>
      </c>
      <c r="M5155" t="s">
        <v>39396</v>
      </c>
      <c r="N5155" t="s">
        <v>41249</v>
      </c>
      <c r="O5155" t="s">
        <v>41250</v>
      </c>
      <c r="P5155">
        <v>0</v>
      </c>
      <c r="Q5155">
        <v>1</v>
      </c>
      <c r="R5155" t="s">
        <v>41254</v>
      </c>
      <c r="S5155" t="s">
        <v>41425</v>
      </c>
      <c r="T5155" t="s">
        <v>42754</v>
      </c>
      <c r="U5155" t="s">
        <v>47464</v>
      </c>
      <c r="W5155" t="s">
        <v>39396</v>
      </c>
      <c r="X5155" t="s">
        <v>41257</v>
      </c>
    </row>
    <row r="5156" spans="1:24">
      <c r="A5156">
        <f>HYPERLINK("https://www.philgeps.gov.ph/GEPSNONPILOT/Tender/SplashBidNoticeAbstractUI.aspx?menuIndex=3&amp;refID=7071927&amp;Result=3","7071927")</f>
        <v>0</v>
      </c>
      <c r="B5156" t="s">
        <v>1782</v>
      </c>
      <c r="C5156" t="s">
        <v>8323</v>
      </c>
      <c r="D5156" t="s">
        <v>16616</v>
      </c>
      <c r="E5156" t="s">
        <v>18464</v>
      </c>
      <c r="F5156" t="s">
        <v>28669</v>
      </c>
      <c r="G5156" t="s">
        <v>28675</v>
      </c>
      <c r="H5156" t="s">
        <v>28686</v>
      </c>
      <c r="I5156" t="s">
        <v>28689</v>
      </c>
      <c r="J5156" t="s">
        <v>32123</v>
      </c>
      <c r="K5156" t="s">
        <v>37206</v>
      </c>
      <c r="M5156" t="s">
        <v>39386</v>
      </c>
      <c r="N5156" t="s">
        <v>41249</v>
      </c>
      <c r="O5156" t="s">
        <v>41250</v>
      </c>
      <c r="P5156">
        <v>0</v>
      </c>
      <c r="Q5156">
        <v>0</v>
      </c>
      <c r="R5156" t="s">
        <v>41254</v>
      </c>
      <c r="S5156" t="s">
        <v>41425</v>
      </c>
      <c r="T5156" t="s">
        <v>42679</v>
      </c>
      <c r="U5156" t="s">
        <v>47465</v>
      </c>
      <c r="V5156" t="s">
        <v>54837</v>
      </c>
      <c r="W5156" t="s">
        <v>39386</v>
      </c>
      <c r="X5156" t="s">
        <v>41257</v>
      </c>
    </row>
    <row r="5157" spans="1:24">
      <c r="A5157">
        <f>HYPERLINK("https://www.philgeps.gov.ph/GEPSNONPILOT/Tender/SplashBidNoticeAbstractUI.aspx?menuIndex=3&amp;refID=7072208&amp;Result=3","7072208")</f>
        <v>0</v>
      </c>
      <c r="B5157" t="s">
        <v>1225</v>
      </c>
      <c r="C5157" t="s">
        <v>8324</v>
      </c>
      <c r="D5157" t="s">
        <v>16613</v>
      </c>
      <c r="E5157" t="s">
        <v>21320</v>
      </c>
      <c r="F5157" t="s">
        <v>28669</v>
      </c>
      <c r="G5157" t="s">
        <v>28675</v>
      </c>
      <c r="H5157" t="s">
        <v>28686</v>
      </c>
      <c r="I5157" t="s">
        <v>28689</v>
      </c>
      <c r="J5157" t="s">
        <v>32124</v>
      </c>
      <c r="K5157" t="s">
        <v>37358</v>
      </c>
      <c r="M5157" t="s">
        <v>38768</v>
      </c>
      <c r="N5157" t="s">
        <v>41249</v>
      </c>
      <c r="O5157" t="s">
        <v>41250</v>
      </c>
      <c r="P5157">
        <v>0</v>
      </c>
      <c r="Q5157">
        <v>0</v>
      </c>
      <c r="R5157" t="s">
        <v>41254</v>
      </c>
      <c r="S5157" t="s">
        <v>41425</v>
      </c>
      <c r="T5157" t="s">
        <v>42915</v>
      </c>
      <c r="U5157" t="s">
        <v>47466</v>
      </c>
      <c r="W5157" t="s">
        <v>38768</v>
      </c>
      <c r="X5157" t="s">
        <v>41257</v>
      </c>
    </row>
    <row r="5158" spans="1:24">
      <c r="A5158">
        <f>HYPERLINK("https://www.philgeps.gov.ph/GEPSNONPILOT/Tender/SplashBidNoticeAbstractUI.aspx?menuIndex=3&amp;refID=7072201&amp;Result=3","7072201")</f>
        <v>0</v>
      </c>
      <c r="B5158" t="s">
        <v>1783</v>
      </c>
      <c r="C5158" t="s">
        <v>8325</v>
      </c>
      <c r="D5158" t="s">
        <v>16660</v>
      </c>
      <c r="E5158" t="s">
        <v>21321</v>
      </c>
      <c r="F5158" t="s">
        <v>28669</v>
      </c>
      <c r="G5158" t="s">
        <v>28678</v>
      </c>
      <c r="H5158" t="s">
        <v>9998</v>
      </c>
      <c r="I5158" t="s">
        <v>7352</v>
      </c>
      <c r="J5158" t="s">
        <v>29352</v>
      </c>
      <c r="K5158" t="s">
        <v>37208</v>
      </c>
      <c r="M5158" t="s">
        <v>39387</v>
      </c>
      <c r="N5158" t="s">
        <v>41249</v>
      </c>
      <c r="O5158" t="s">
        <v>41250</v>
      </c>
      <c r="P5158">
        <v>0</v>
      </c>
      <c r="Q5158">
        <v>1</v>
      </c>
      <c r="R5158" t="s">
        <v>41254</v>
      </c>
      <c r="S5158" t="s">
        <v>41425</v>
      </c>
      <c r="T5158" t="s">
        <v>42758</v>
      </c>
      <c r="U5158" t="s">
        <v>43328</v>
      </c>
      <c r="W5158" t="s">
        <v>39387</v>
      </c>
      <c r="X5158" t="s">
        <v>41257</v>
      </c>
    </row>
    <row r="5159" spans="1:24">
      <c r="A5159">
        <f>HYPERLINK("https://www.philgeps.gov.ph/GEPSNONPILOT/Tender/SplashBidNoticeAbstractUI.aspx?menuIndex=3&amp;refID=7072120&amp;Result=3","7072120")</f>
        <v>0</v>
      </c>
      <c r="B5159" t="s">
        <v>1790</v>
      </c>
      <c r="C5159" t="s">
        <v>8326</v>
      </c>
      <c r="D5159" t="s">
        <v>16622</v>
      </c>
      <c r="E5159" t="s">
        <v>21322</v>
      </c>
      <c r="F5159" t="s">
        <v>28669</v>
      </c>
      <c r="G5159" t="s">
        <v>28676</v>
      </c>
      <c r="H5159" t="s">
        <v>9998</v>
      </c>
      <c r="I5159" t="s">
        <v>28757</v>
      </c>
      <c r="J5159" t="s">
        <v>28845</v>
      </c>
      <c r="K5159" t="s">
        <v>37205</v>
      </c>
      <c r="M5159" t="s">
        <v>39397</v>
      </c>
      <c r="N5159" t="s">
        <v>41249</v>
      </c>
      <c r="O5159" t="s">
        <v>41250</v>
      </c>
      <c r="P5159">
        <v>0</v>
      </c>
      <c r="Q5159">
        <v>1</v>
      </c>
      <c r="R5159" t="s">
        <v>41254</v>
      </c>
      <c r="S5159" t="s">
        <v>41425</v>
      </c>
      <c r="T5159" t="s">
        <v>42679</v>
      </c>
      <c r="U5159" t="s">
        <v>47467</v>
      </c>
      <c r="W5159" t="s">
        <v>55971</v>
      </c>
      <c r="X5159" t="s">
        <v>41257</v>
      </c>
    </row>
    <row r="5160" spans="1:24">
      <c r="A5160">
        <f>HYPERLINK("https://www.philgeps.gov.ph/GEPSNONPILOT/Tender/SplashBidNoticeAbstractUI.aspx?menuIndex=3&amp;refID=7071940&amp;Result=3","7071940")</f>
        <v>0</v>
      </c>
      <c r="B5160" t="s">
        <v>1791</v>
      </c>
      <c r="C5160" t="s">
        <v>8327</v>
      </c>
      <c r="D5160" t="s">
        <v>16636</v>
      </c>
      <c r="E5160" t="s">
        <v>21323</v>
      </c>
      <c r="F5160" t="s">
        <v>28669</v>
      </c>
      <c r="G5160" t="s">
        <v>28675</v>
      </c>
      <c r="H5160" t="s">
        <v>9998</v>
      </c>
      <c r="I5160" t="s">
        <v>7352</v>
      </c>
      <c r="J5160" t="s">
        <v>32125</v>
      </c>
      <c r="K5160" t="s">
        <v>37206</v>
      </c>
      <c r="M5160" t="s">
        <v>39398</v>
      </c>
      <c r="N5160" t="s">
        <v>41249</v>
      </c>
      <c r="O5160" t="s">
        <v>41250</v>
      </c>
      <c r="P5160">
        <v>0</v>
      </c>
      <c r="Q5160">
        <v>0</v>
      </c>
      <c r="R5160" t="s">
        <v>41254</v>
      </c>
      <c r="S5160" t="s">
        <v>41425</v>
      </c>
      <c r="T5160" t="s">
        <v>42682</v>
      </c>
      <c r="U5160" t="s">
        <v>47468</v>
      </c>
      <c r="W5160" t="s">
        <v>39398</v>
      </c>
      <c r="X5160" t="s">
        <v>41257</v>
      </c>
    </row>
    <row r="5161" spans="1:24">
      <c r="A5161">
        <f>HYPERLINK("https://www.philgeps.gov.ph/GEPSNONPILOT/Tender/SplashBidNoticeAbstractUI.aspx?menuIndex=3&amp;refID=7071654&amp;Result=3","7071654")</f>
        <v>0</v>
      </c>
      <c r="B5161" t="s">
        <v>1736</v>
      </c>
      <c r="C5161" t="s">
        <v>8328</v>
      </c>
      <c r="D5161" t="s">
        <v>16624</v>
      </c>
      <c r="E5161" t="s">
        <v>21324</v>
      </c>
      <c r="F5161" t="s">
        <v>28669</v>
      </c>
      <c r="G5161" t="s">
        <v>28675</v>
      </c>
      <c r="H5161" t="s">
        <v>9998</v>
      </c>
      <c r="I5161" t="s">
        <v>28784</v>
      </c>
      <c r="J5161" t="s">
        <v>32126</v>
      </c>
      <c r="K5161" t="s">
        <v>37204</v>
      </c>
      <c r="M5161" t="s">
        <v>39336</v>
      </c>
      <c r="N5161" t="s">
        <v>41249</v>
      </c>
      <c r="O5161" t="s">
        <v>41250</v>
      </c>
      <c r="P5161">
        <v>0</v>
      </c>
      <c r="Q5161">
        <v>3</v>
      </c>
      <c r="R5161" t="s">
        <v>41254</v>
      </c>
      <c r="S5161" t="s">
        <v>41425</v>
      </c>
      <c r="T5161" t="s">
        <v>42821</v>
      </c>
      <c r="U5161" t="s">
        <v>47469</v>
      </c>
      <c r="W5161" t="s">
        <v>39336</v>
      </c>
      <c r="X5161" t="s">
        <v>41257</v>
      </c>
    </row>
    <row r="5162" spans="1:24">
      <c r="A5162">
        <f>HYPERLINK("https://www.philgeps.gov.ph/GEPSNONPILOT/Tender/SplashBidNoticeAbstractUI.aspx?menuIndex=3&amp;refID=7071646&amp;Result=3","7071646")</f>
        <v>0</v>
      </c>
      <c r="B5162" t="s">
        <v>139</v>
      </c>
      <c r="C5162" t="s">
        <v>8329</v>
      </c>
      <c r="D5162" t="s">
        <v>16654</v>
      </c>
      <c r="E5162" t="s">
        <v>18839</v>
      </c>
      <c r="F5162" t="s">
        <v>28669</v>
      </c>
      <c r="G5162" t="s">
        <v>28677</v>
      </c>
      <c r="H5162" t="s">
        <v>9998</v>
      </c>
      <c r="I5162" t="s">
        <v>28714</v>
      </c>
      <c r="J5162" t="s">
        <v>29513</v>
      </c>
      <c r="K5162" t="s">
        <v>37209</v>
      </c>
      <c r="M5162" t="s">
        <v>37616</v>
      </c>
      <c r="N5162" t="s">
        <v>41249</v>
      </c>
      <c r="O5162" t="s">
        <v>41250</v>
      </c>
      <c r="P5162">
        <v>0</v>
      </c>
      <c r="Q5162">
        <v>2</v>
      </c>
      <c r="R5162" t="s">
        <v>41254</v>
      </c>
      <c r="S5162" t="s">
        <v>41425</v>
      </c>
      <c r="T5162" t="s">
        <v>42727</v>
      </c>
      <c r="U5162" t="s">
        <v>47470</v>
      </c>
      <c r="W5162" t="s">
        <v>37616</v>
      </c>
      <c r="X5162" t="s">
        <v>41257</v>
      </c>
    </row>
    <row r="5163" spans="1:24">
      <c r="A5163">
        <f>HYPERLINK("https://www.philgeps.gov.ph/GEPSNONPILOT/Tender/SplashBidNoticeAbstractUI.aspx?menuIndex=3&amp;refID=7071850&amp;Result=3","7071850")</f>
        <v>0</v>
      </c>
      <c r="B5163" t="s">
        <v>1777</v>
      </c>
      <c r="C5163" t="s">
        <v>8330</v>
      </c>
      <c r="D5163" t="s">
        <v>16608</v>
      </c>
      <c r="E5163" t="s">
        <v>21325</v>
      </c>
      <c r="F5163" t="s">
        <v>28669</v>
      </c>
      <c r="G5163" t="s">
        <v>28678</v>
      </c>
      <c r="H5163" t="s">
        <v>9998</v>
      </c>
      <c r="I5163" t="s">
        <v>28708</v>
      </c>
      <c r="J5163" t="s">
        <v>32127</v>
      </c>
      <c r="K5163" t="s">
        <v>37227</v>
      </c>
      <c r="M5163" t="s">
        <v>39380</v>
      </c>
      <c r="N5163" t="s">
        <v>41249</v>
      </c>
      <c r="O5163" t="s">
        <v>41250</v>
      </c>
      <c r="P5163">
        <v>0</v>
      </c>
      <c r="Q5163">
        <v>10</v>
      </c>
      <c r="R5163" t="s">
        <v>41254</v>
      </c>
      <c r="S5163" t="s">
        <v>41425</v>
      </c>
      <c r="T5163" t="s">
        <v>42743</v>
      </c>
      <c r="U5163" t="s">
        <v>47471</v>
      </c>
      <c r="W5163" t="s">
        <v>39380</v>
      </c>
      <c r="X5163" t="s">
        <v>41257</v>
      </c>
    </row>
    <row r="5164" spans="1:24">
      <c r="A5164">
        <f>HYPERLINK("https://www.philgeps.gov.ph/GEPSNONPILOT/Tender/SplashBidNoticeAbstractUI.aspx?menuIndex=3&amp;refID=7071419&amp;Result=3","7071419")</f>
        <v>0</v>
      </c>
      <c r="B5164" t="s">
        <v>607</v>
      </c>
      <c r="C5164" t="s">
        <v>4598</v>
      </c>
      <c r="D5164" t="s">
        <v>16657</v>
      </c>
      <c r="E5164" t="s">
        <v>21326</v>
      </c>
      <c r="F5164" t="s">
        <v>28669</v>
      </c>
      <c r="G5164" t="s">
        <v>28678</v>
      </c>
      <c r="H5164" t="s">
        <v>9998</v>
      </c>
      <c r="I5164" t="s">
        <v>6128</v>
      </c>
      <c r="J5164" t="s">
        <v>32128</v>
      </c>
      <c r="K5164" t="s">
        <v>37209</v>
      </c>
      <c r="M5164" t="s">
        <v>38107</v>
      </c>
      <c r="N5164" t="s">
        <v>41249</v>
      </c>
      <c r="O5164" t="s">
        <v>41250</v>
      </c>
      <c r="P5164">
        <v>0</v>
      </c>
      <c r="Q5164">
        <v>1</v>
      </c>
      <c r="R5164" t="s">
        <v>41254</v>
      </c>
      <c r="S5164" t="s">
        <v>41425</v>
      </c>
      <c r="T5164" t="s">
        <v>42728</v>
      </c>
      <c r="U5164" t="s">
        <v>47472</v>
      </c>
      <c r="W5164" t="s">
        <v>38107</v>
      </c>
      <c r="X5164" t="s">
        <v>41257</v>
      </c>
    </row>
    <row r="5165" spans="1:24">
      <c r="A5165">
        <f>HYPERLINK("https://www.philgeps.gov.ph/GEPSNONPILOT/Tender/SplashBidNoticeAbstractUI.aspx?menuIndex=3&amp;refID=7071853&amp;Result=3","7071853")</f>
        <v>0</v>
      </c>
      <c r="B5165" t="s">
        <v>178</v>
      </c>
      <c r="C5165" t="s">
        <v>8331</v>
      </c>
      <c r="E5165" t="s">
        <v>21327</v>
      </c>
      <c r="F5165" t="s">
        <v>28669</v>
      </c>
      <c r="G5165" t="s">
        <v>28676</v>
      </c>
      <c r="H5165" t="s">
        <v>9998</v>
      </c>
      <c r="I5165" t="s">
        <v>28715</v>
      </c>
      <c r="J5165" t="s">
        <v>32129</v>
      </c>
      <c r="K5165" t="s">
        <v>37209</v>
      </c>
      <c r="M5165" t="s">
        <v>39378</v>
      </c>
      <c r="N5165" t="s">
        <v>41249</v>
      </c>
      <c r="O5165" t="s">
        <v>41250</v>
      </c>
      <c r="P5165">
        <v>0</v>
      </c>
      <c r="Q5165">
        <v>10</v>
      </c>
      <c r="R5165" t="s">
        <v>41254</v>
      </c>
      <c r="S5165" t="s">
        <v>41425</v>
      </c>
      <c r="T5165" t="s">
        <v>42883</v>
      </c>
      <c r="U5165" t="s">
        <v>47418</v>
      </c>
      <c r="W5165" t="s">
        <v>39378</v>
      </c>
      <c r="X5165" t="s">
        <v>41257</v>
      </c>
    </row>
    <row r="5166" spans="1:24">
      <c r="A5166">
        <f>HYPERLINK("https://www.philgeps.gov.ph/GEPSNONPILOT/Tender/SplashBidNoticeAbstractUI.aspx?menuIndex=3&amp;refID=7071412&amp;Result=3","7071412")</f>
        <v>0</v>
      </c>
      <c r="B5166" t="s">
        <v>1217</v>
      </c>
      <c r="C5166" t="s">
        <v>5320</v>
      </c>
      <c r="D5166" t="s">
        <v>16631</v>
      </c>
      <c r="E5166" t="s">
        <v>21328</v>
      </c>
      <c r="F5166" t="s">
        <v>28669</v>
      </c>
      <c r="G5166" t="s">
        <v>28675</v>
      </c>
      <c r="H5166" t="s">
        <v>9998</v>
      </c>
      <c r="I5166" t="s">
        <v>5213</v>
      </c>
      <c r="J5166" t="s">
        <v>32130</v>
      </c>
      <c r="K5166" t="s">
        <v>37301</v>
      </c>
      <c r="M5166" t="s">
        <v>38760</v>
      </c>
      <c r="N5166" t="s">
        <v>41249</v>
      </c>
      <c r="O5166" t="s">
        <v>41250</v>
      </c>
      <c r="P5166">
        <v>0</v>
      </c>
      <c r="Q5166">
        <v>0</v>
      </c>
      <c r="R5166" t="s">
        <v>41254</v>
      </c>
      <c r="S5166" t="s">
        <v>41425</v>
      </c>
      <c r="T5166" t="s">
        <v>42711</v>
      </c>
      <c r="U5166" t="s">
        <v>47473</v>
      </c>
      <c r="V5166" t="s">
        <v>54599</v>
      </c>
      <c r="W5166" t="s">
        <v>38760</v>
      </c>
      <c r="X5166" t="s">
        <v>41257</v>
      </c>
    </row>
    <row r="5167" spans="1:24">
      <c r="A5167">
        <f>HYPERLINK("https://www.philgeps.gov.ph/GEPSNONPILOT/Tender/SplashBidNoticeAbstractUI.aspx?menuIndex=3&amp;refID=7071291&amp;Result=3","7071291")</f>
        <v>0</v>
      </c>
      <c r="B5167" t="s">
        <v>843</v>
      </c>
      <c r="C5167" t="s">
        <v>3707</v>
      </c>
      <c r="D5167" t="s">
        <v>16638</v>
      </c>
      <c r="E5167" t="s">
        <v>21329</v>
      </c>
      <c r="F5167" t="s">
        <v>28669</v>
      </c>
      <c r="G5167" t="s">
        <v>28676</v>
      </c>
      <c r="H5167" t="s">
        <v>9998</v>
      </c>
      <c r="I5167" t="s">
        <v>6128</v>
      </c>
      <c r="J5167" t="s">
        <v>32131</v>
      </c>
      <c r="K5167" t="s">
        <v>37204</v>
      </c>
      <c r="M5167" t="s">
        <v>38359</v>
      </c>
      <c r="N5167" t="s">
        <v>41249</v>
      </c>
      <c r="O5167" t="s">
        <v>41250</v>
      </c>
      <c r="P5167">
        <v>0</v>
      </c>
      <c r="Q5167">
        <v>0</v>
      </c>
      <c r="R5167" t="s">
        <v>41254</v>
      </c>
      <c r="S5167" t="s">
        <v>41425</v>
      </c>
      <c r="T5167" t="s">
        <v>42771</v>
      </c>
      <c r="U5167" t="s">
        <v>47345</v>
      </c>
      <c r="W5167" t="s">
        <v>38359</v>
      </c>
      <c r="X5167" t="s">
        <v>41257</v>
      </c>
    </row>
    <row r="5168" spans="1:24">
      <c r="A5168">
        <f>HYPERLINK("https://www.philgeps.gov.ph/GEPSNONPILOT/Tender/SplashBidNoticeAbstractUI.aspx?menuIndex=3&amp;refID=7071638&amp;Result=3","7071638")</f>
        <v>0</v>
      </c>
      <c r="B5168" t="s">
        <v>1768</v>
      </c>
      <c r="C5168" t="s">
        <v>8332</v>
      </c>
      <c r="D5168" t="s">
        <v>16644</v>
      </c>
      <c r="E5168" t="s">
        <v>21330</v>
      </c>
      <c r="F5168" t="s">
        <v>28669</v>
      </c>
      <c r="G5168" t="s">
        <v>28676</v>
      </c>
      <c r="H5168" t="s">
        <v>9998</v>
      </c>
      <c r="I5168" t="s">
        <v>28715</v>
      </c>
      <c r="J5168" t="s">
        <v>29133</v>
      </c>
      <c r="K5168" t="s">
        <v>37205</v>
      </c>
      <c r="M5168" t="s">
        <v>39370</v>
      </c>
      <c r="N5168" t="s">
        <v>41249</v>
      </c>
      <c r="O5168" t="s">
        <v>41250</v>
      </c>
      <c r="P5168">
        <v>0</v>
      </c>
      <c r="Q5168">
        <v>0</v>
      </c>
      <c r="R5168" t="s">
        <v>41254</v>
      </c>
      <c r="S5168" t="s">
        <v>41425</v>
      </c>
      <c r="T5168" t="s">
        <v>42743</v>
      </c>
      <c r="U5168" t="s">
        <v>47401</v>
      </c>
      <c r="W5168" t="s">
        <v>39370</v>
      </c>
      <c r="X5168" t="s">
        <v>41257</v>
      </c>
    </row>
    <row r="5169" spans="1:24">
      <c r="A5169">
        <f>HYPERLINK("https://www.philgeps.gov.ph/GEPSNONPILOT/Tender/SplashBidNoticeAbstractUI.aspx?menuIndex=3&amp;refID=7072275&amp;Result=3","7072275")</f>
        <v>0</v>
      </c>
      <c r="B5169" t="s">
        <v>1786</v>
      </c>
      <c r="C5169" t="s">
        <v>8333</v>
      </c>
      <c r="D5169" t="s">
        <v>16638</v>
      </c>
      <c r="E5169" t="s">
        <v>21331</v>
      </c>
      <c r="F5169" t="s">
        <v>28669</v>
      </c>
      <c r="G5169" t="s">
        <v>28676</v>
      </c>
      <c r="H5169" t="s">
        <v>9998</v>
      </c>
      <c r="I5169" t="s">
        <v>3718</v>
      </c>
      <c r="J5169" t="s">
        <v>28870</v>
      </c>
      <c r="K5169" t="s">
        <v>37210</v>
      </c>
      <c r="M5169" t="s">
        <v>39393</v>
      </c>
      <c r="N5169" t="s">
        <v>41249</v>
      </c>
      <c r="O5169" t="s">
        <v>41250</v>
      </c>
      <c r="P5169">
        <v>0</v>
      </c>
      <c r="Q5169">
        <v>2</v>
      </c>
      <c r="R5169" t="s">
        <v>41254</v>
      </c>
      <c r="S5169" t="s">
        <v>41425</v>
      </c>
      <c r="T5169" t="s">
        <v>42883</v>
      </c>
      <c r="U5169" t="s">
        <v>47474</v>
      </c>
      <c r="W5169" t="s">
        <v>39393</v>
      </c>
      <c r="X5169" t="s">
        <v>41257</v>
      </c>
    </row>
    <row r="5170" spans="1:24">
      <c r="A5170">
        <f>HYPERLINK("https://www.philgeps.gov.ph/GEPSNONPILOT/Tender/SplashBidNoticeAbstractUI.aspx?menuIndex=3&amp;refID=7072350&amp;Result=3","7072350")</f>
        <v>0</v>
      </c>
      <c r="B5170" t="s">
        <v>1787</v>
      </c>
      <c r="C5170" t="s">
        <v>8334</v>
      </c>
      <c r="D5170" t="s">
        <v>16617</v>
      </c>
      <c r="E5170" t="s">
        <v>21332</v>
      </c>
      <c r="F5170" t="s">
        <v>28669</v>
      </c>
      <c r="G5170" t="s">
        <v>28677</v>
      </c>
      <c r="H5170" t="s">
        <v>9998</v>
      </c>
      <c r="I5170" t="s">
        <v>7352</v>
      </c>
      <c r="J5170" t="s">
        <v>32132</v>
      </c>
      <c r="K5170" t="s">
        <v>37205</v>
      </c>
      <c r="M5170" t="s">
        <v>39394</v>
      </c>
      <c r="N5170" t="s">
        <v>41249</v>
      </c>
      <c r="O5170" t="s">
        <v>41250</v>
      </c>
      <c r="P5170">
        <v>0</v>
      </c>
      <c r="Q5170">
        <v>5</v>
      </c>
      <c r="R5170" t="s">
        <v>41254</v>
      </c>
      <c r="S5170" t="s">
        <v>41425</v>
      </c>
      <c r="T5170" t="s">
        <v>42675</v>
      </c>
      <c r="U5170" t="s">
        <v>47475</v>
      </c>
      <c r="V5170" t="s">
        <v>54839</v>
      </c>
      <c r="W5170" t="s">
        <v>39394</v>
      </c>
      <c r="X5170" t="s">
        <v>41256</v>
      </c>
    </row>
    <row r="5171" spans="1:24">
      <c r="A5171">
        <f>HYPERLINK("https://www.philgeps.gov.ph/GEPSNONPILOT/Tender/SplashBidNoticeAbstractUI.aspx?menuIndex=3&amp;refID=7072286&amp;Result=3","7072286")</f>
        <v>0</v>
      </c>
      <c r="B5171" t="s">
        <v>1786</v>
      </c>
      <c r="C5171" t="s">
        <v>8335</v>
      </c>
      <c r="D5171" t="s">
        <v>16638</v>
      </c>
      <c r="E5171" t="s">
        <v>21333</v>
      </c>
      <c r="F5171" t="s">
        <v>28669</v>
      </c>
      <c r="G5171" t="s">
        <v>28676</v>
      </c>
      <c r="H5171" t="s">
        <v>9998</v>
      </c>
      <c r="I5171" t="s">
        <v>5286</v>
      </c>
      <c r="J5171" t="s">
        <v>32133</v>
      </c>
      <c r="K5171" t="s">
        <v>37210</v>
      </c>
      <c r="M5171" t="s">
        <v>39393</v>
      </c>
      <c r="N5171" t="s">
        <v>41249</v>
      </c>
      <c r="O5171" t="s">
        <v>41250</v>
      </c>
      <c r="P5171">
        <v>0</v>
      </c>
      <c r="Q5171">
        <v>4</v>
      </c>
      <c r="R5171" t="s">
        <v>41254</v>
      </c>
      <c r="S5171" t="s">
        <v>41425</v>
      </c>
      <c r="T5171" t="s">
        <v>42883</v>
      </c>
      <c r="U5171" t="s">
        <v>47476</v>
      </c>
      <c r="W5171" t="s">
        <v>39393</v>
      </c>
      <c r="X5171" t="s">
        <v>41257</v>
      </c>
    </row>
    <row r="5172" spans="1:24">
      <c r="A5172">
        <f>HYPERLINK("https://www.philgeps.gov.ph/GEPSNONPILOT/Tender/SplashBidNoticeAbstractUI.aspx?menuIndex=3&amp;refID=7072347&amp;Result=3","7072347")</f>
        <v>0</v>
      </c>
      <c r="B5172" t="s">
        <v>1787</v>
      </c>
      <c r="C5172" t="s">
        <v>8336</v>
      </c>
      <c r="D5172" t="s">
        <v>16617</v>
      </c>
      <c r="E5172" t="s">
        <v>21334</v>
      </c>
      <c r="F5172" t="s">
        <v>28669</v>
      </c>
      <c r="G5172" t="s">
        <v>28676</v>
      </c>
      <c r="H5172" t="s">
        <v>9998</v>
      </c>
      <c r="I5172" t="s">
        <v>28689</v>
      </c>
      <c r="J5172" t="s">
        <v>32134</v>
      </c>
      <c r="K5172" t="s">
        <v>37220</v>
      </c>
      <c r="M5172" t="s">
        <v>39394</v>
      </c>
      <c r="N5172" t="s">
        <v>41249</v>
      </c>
      <c r="O5172" t="s">
        <v>41250</v>
      </c>
      <c r="P5172">
        <v>0</v>
      </c>
      <c r="Q5172">
        <v>2</v>
      </c>
      <c r="R5172" t="s">
        <v>41254</v>
      </c>
      <c r="S5172" t="s">
        <v>41425</v>
      </c>
      <c r="T5172" t="s">
        <v>42675</v>
      </c>
      <c r="U5172" t="s">
        <v>47477</v>
      </c>
      <c r="V5172" t="s">
        <v>54839</v>
      </c>
      <c r="W5172" t="s">
        <v>39394</v>
      </c>
      <c r="X5172" t="s">
        <v>41256</v>
      </c>
    </row>
    <row r="5173" spans="1:24">
      <c r="A5173">
        <f>HYPERLINK("https://www.philgeps.gov.ph/GEPSNONPILOT/Tender/SplashBidNoticeAbstractUI.aspx?menuIndex=3&amp;refID=7072346&amp;Result=3","7072346")</f>
        <v>0</v>
      </c>
      <c r="B5173" t="s">
        <v>1792</v>
      </c>
      <c r="C5173" t="s">
        <v>5868</v>
      </c>
      <c r="D5173" t="s">
        <v>16660</v>
      </c>
      <c r="E5173" t="s">
        <v>21335</v>
      </c>
      <c r="F5173" t="s">
        <v>28669</v>
      </c>
      <c r="G5173" t="s">
        <v>28677</v>
      </c>
      <c r="H5173" t="s">
        <v>9998</v>
      </c>
      <c r="I5173" t="s">
        <v>7352</v>
      </c>
      <c r="J5173" t="s">
        <v>31500</v>
      </c>
      <c r="K5173" t="s">
        <v>37204</v>
      </c>
      <c r="M5173" t="s">
        <v>39399</v>
      </c>
      <c r="N5173" t="s">
        <v>41249</v>
      </c>
      <c r="O5173" t="s">
        <v>41250</v>
      </c>
      <c r="P5173">
        <v>0</v>
      </c>
      <c r="Q5173">
        <v>0</v>
      </c>
      <c r="R5173" t="s">
        <v>41254</v>
      </c>
      <c r="S5173" t="s">
        <v>41425</v>
      </c>
      <c r="T5173" t="s">
        <v>42742</v>
      </c>
      <c r="U5173" t="s">
        <v>47478</v>
      </c>
      <c r="W5173" t="s">
        <v>39399</v>
      </c>
      <c r="X5173" t="s">
        <v>41256</v>
      </c>
    </row>
    <row r="5174" spans="1:24">
      <c r="A5174">
        <f>HYPERLINK("https://www.philgeps.gov.ph/GEPSNONPILOT/Tender/SplashBidNoticeAbstractUI.aspx?menuIndex=3&amp;refID=7072343&amp;Result=3","7072343")</f>
        <v>0</v>
      </c>
      <c r="B5174" t="s">
        <v>1792</v>
      </c>
      <c r="C5174" t="s">
        <v>5868</v>
      </c>
      <c r="D5174" t="s">
        <v>16660</v>
      </c>
      <c r="E5174" t="s">
        <v>21336</v>
      </c>
      <c r="F5174" t="s">
        <v>28669</v>
      </c>
      <c r="G5174" t="s">
        <v>28677</v>
      </c>
      <c r="H5174" t="s">
        <v>9998</v>
      </c>
      <c r="I5174" t="s">
        <v>7352</v>
      </c>
      <c r="J5174" t="s">
        <v>32135</v>
      </c>
      <c r="K5174" t="s">
        <v>37204</v>
      </c>
      <c r="M5174" t="s">
        <v>39399</v>
      </c>
      <c r="N5174" t="s">
        <v>41249</v>
      </c>
      <c r="O5174" t="s">
        <v>41250</v>
      </c>
      <c r="P5174">
        <v>0</v>
      </c>
      <c r="Q5174">
        <v>0</v>
      </c>
      <c r="R5174" t="s">
        <v>41254</v>
      </c>
      <c r="S5174" t="s">
        <v>41425</v>
      </c>
      <c r="T5174" t="s">
        <v>42742</v>
      </c>
      <c r="U5174" t="s">
        <v>47479</v>
      </c>
      <c r="W5174" t="s">
        <v>39399</v>
      </c>
      <c r="X5174" t="s">
        <v>41256</v>
      </c>
    </row>
    <row r="5175" spans="1:24">
      <c r="A5175">
        <f>HYPERLINK("https://www.philgeps.gov.ph/GEPSNONPILOT/Tender/SplashBidNoticeAbstractUI.aspx?menuIndex=3&amp;refID=7072342&amp;Result=3","7072342")</f>
        <v>0</v>
      </c>
      <c r="B5175" t="s">
        <v>1787</v>
      </c>
      <c r="C5175" t="s">
        <v>8337</v>
      </c>
      <c r="D5175" t="s">
        <v>16617</v>
      </c>
      <c r="E5175" t="s">
        <v>21337</v>
      </c>
      <c r="F5175" t="s">
        <v>28669</v>
      </c>
      <c r="G5175" t="s">
        <v>28677</v>
      </c>
      <c r="H5175" t="s">
        <v>9998</v>
      </c>
      <c r="I5175" t="s">
        <v>7352</v>
      </c>
      <c r="J5175" t="s">
        <v>32136</v>
      </c>
      <c r="K5175" t="s">
        <v>37205</v>
      </c>
      <c r="M5175" t="s">
        <v>39394</v>
      </c>
      <c r="N5175" t="s">
        <v>41249</v>
      </c>
      <c r="O5175" t="s">
        <v>41250</v>
      </c>
      <c r="P5175">
        <v>0</v>
      </c>
      <c r="Q5175">
        <v>4</v>
      </c>
      <c r="R5175" t="s">
        <v>41254</v>
      </c>
      <c r="S5175" t="s">
        <v>41425</v>
      </c>
      <c r="T5175" t="s">
        <v>42675</v>
      </c>
      <c r="U5175" t="s">
        <v>47480</v>
      </c>
      <c r="V5175" t="s">
        <v>54839</v>
      </c>
      <c r="W5175" t="s">
        <v>39394</v>
      </c>
      <c r="X5175" t="s">
        <v>41256</v>
      </c>
    </row>
    <row r="5176" spans="1:24">
      <c r="A5176">
        <f>HYPERLINK("https://www.philgeps.gov.ph/GEPSNONPILOT/Tender/SplashBidNoticeAbstractUI.aspx?menuIndex=3&amp;refID=7072341&amp;Result=3","7072341")</f>
        <v>0</v>
      </c>
      <c r="B5176" t="s">
        <v>1793</v>
      </c>
      <c r="C5176" t="s">
        <v>8338</v>
      </c>
      <c r="D5176" t="s">
        <v>16659</v>
      </c>
      <c r="E5176" t="s">
        <v>21338</v>
      </c>
      <c r="F5176" t="s">
        <v>28669</v>
      </c>
      <c r="G5176" t="s">
        <v>28675</v>
      </c>
      <c r="H5176" t="s">
        <v>9998</v>
      </c>
      <c r="I5176" t="s">
        <v>28690</v>
      </c>
      <c r="J5176" t="s">
        <v>32137</v>
      </c>
      <c r="K5176" t="s">
        <v>37206</v>
      </c>
      <c r="M5176" t="s">
        <v>39400</v>
      </c>
      <c r="N5176" t="s">
        <v>41249</v>
      </c>
      <c r="O5176" t="s">
        <v>41250</v>
      </c>
      <c r="P5176">
        <v>0</v>
      </c>
      <c r="Q5176">
        <v>0</v>
      </c>
      <c r="R5176" t="s">
        <v>41254</v>
      </c>
      <c r="S5176" t="s">
        <v>41425</v>
      </c>
      <c r="T5176" t="s">
        <v>42670</v>
      </c>
      <c r="U5176" t="s">
        <v>47481</v>
      </c>
      <c r="V5176" t="s">
        <v>54841</v>
      </c>
      <c r="W5176" t="s">
        <v>39400</v>
      </c>
      <c r="X5176" t="s">
        <v>41256</v>
      </c>
    </row>
    <row r="5177" spans="1:24">
      <c r="A5177">
        <f>HYPERLINK("https://www.philgeps.gov.ph/GEPSNONPILOT/Tender/SplashBidNoticeAbstractUI.aspx?menuIndex=3&amp;refID=7072340&amp;Result=3","7072340")</f>
        <v>0</v>
      </c>
      <c r="B5177" t="s">
        <v>1792</v>
      </c>
      <c r="C5177" t="s">
        <v>5868</v>
      </c>
      <c r="D5177" t="s">
        <v>16660</v>
      </c>
      <c r="E5177" t="s">
        <v>21339</v>
      </c>
      <c r="F5177" t="s">
        <v>28669</v>
      </c>
      <c r="G5177" t="s">
        <v>28677</v>
      </c>
      <c r="H5177" t="s">
        <v>9998</v>
      </c>
      <c r="I5177" t="s">
        <v>7352</v>
      </c>
      <c r="J5177" t="s">
        <v>29352</v>
      </c>
      <c r="K5177" t="s">
        <v>37243</v>
      </c>
      <c r="M5177" t="s">
        <v>39399</v>
      </c>
      <c r="N5177" t="s">
        <v>41249</v>
      </c>
      <c r="O5177" t="s">
        <v>41250</v>
      </c>
      <c r="P5177">
        <v>0</v>
      </c>
      <c r="Q5177">
        <v>0</v>
      </c>
      <c r="R5177" t="s">
        <v>41254</v>
      </c>
      <c r="S5177" t="s">
        <v>41425</v>
      </c>
      <c r="T5177" t="s">
        <v>42758</v>
      </c>
      <c r="U5177" t="s">
        <v>47482</v>
      </c>
      <c r="W5177" t="s">
        <v>39399</v>
      </c>
      <c r="X5177" t="s">
        <v>41256</v>
      </c>
    </row>
    <row r="5178" spans="1:24">
      <c r="A5178">
        <f>HYPERLINK("https://www.philgeps.gov.ph/GEPSNONPILOT/Tender/SplashBidNoticeAbstractUI.aspx?menuIndex=3&amp;refID=7072335&amp;Result=3","7072335")</f>
        <v>0</v>
      </c>
      <c r="B5178" t="s">
        <v>1792</v>
      </c>
      <c r="C5178" t="s">
        <v>5868</v>
      </c>
      <c r="D5178" t="s">
        <v>16660</v>
      </c>
      <c r="E5178" t="s">
        <v>21340</v>
      </c>
      <c r="F5178" t="s">
        <v>28669</v>
      </c>
      <c r="G5178" t="s">
        <v>28677</v>
      </c>
      <c r="H5178" t="s">
        <v>9998</v>
      </c>
      <c r="I5178" t="s">
        <v>7352</v>
      </c>
      <c r="J5178" t="s">
        <v>32138</v>
      </c>
      <c r="K5178" t="s">
        <v>37243</v>
      </c>
      <c r="M5178" t="s">
        <v>39399</v>
      </c>
      <c r="N5178" t="s">
        <v>41249</v>
      </c>
      <c r="O5178" t="s">
        <v>41250</v>
      </c>
      <c r="P5178">
        <v>0</v>
      </c>
      <c r="Q5178">
        <v>0</v>
      </c>
      <c r="R5178" t="s">
        <v>41254</v>
      </c>
      <c r="S5178" t="s">
        <v>41425</v>
      </c>
      <c r="T5178" t="s">
        <v>42758</v>
      </c>
      <c r="U5178" t="s">
        <v>47483</v>
      </c>
      <c r="W5178" t="s">
        <v>39399</v>
      </c>
      <c r="X5178" t="s">
        <v>41256</v>
      </c>
    </row>
    <row r="5179" spans="1:24">
      <c r="A5179">
        <f>HYPERLINK("https://www.philgeps.gov.ph/GEPSNONPILOT/Tender/SplashBidNoticeAbstractUI.aspx?menuIndex=3&amp;refID=7072334&amp;Result=3","7072334")</f>
        <v>0</v>
      </c>
      <c r="B5179" t="s">
        <v>1794</v>
      </c>
      <c r="C5179" t="s">
        <v>4408</v>
      </c>
      <c r="D5179" t="s">
        <v>16684</v>
      </c>
      <c r="E5179" t="s">
        <v>17728</v>
      </c>
      <c r="F5179" t="s">
        <v>28669</v>
      </c>
      <c r="G5179" t="s">
        <v>28675</v>
      </c>
      <c r="H5179" t="s">
        <v>9998</v>
      </c>
      <c r="I5179" t="s">
        <v>28719</v>
      </c>
      <c r="J5179" t="s">
        <v>31035</v>
      </c>
      <c r="K5179" t="s">
        <v>37204</v>
      </c>
      <c r="M5179" t="s">
        <v>39401</v>
      </c>
      <c r="N5179" t="s">
        <v>41249</v>
      </c>
      <c r="O5179" t="s">
        <v>41250</v>
      </c>
      <c r="P5179">
        <v>0</v>
      </c>
      <c r="Q5179">
        <v>1</v>
      </c>
      <c r="R5179" t="s">
        <v>41254</v>
      </c>
      <c r="S5179" t="s">
        <v>41425</v>
      </c>
      <c r="T5179" t="s">
        <v>42679</v>
      </c>
      <c r="U5179" t="s">
        <v>47484</v>
      </c>
      <c r="W5179" t="s">
        <v>39401</v>
      </c>
      <c r="X5179" t="s">
        <v>41256</v>
      </c>
    </row>
    <row r="5180" spans="1:24">
      <c r="A5180">
        <f>HYPERLINK("https://www.philgeps.gov.ph/GEPSNONPILOT/Tender/SplashBidNoticeAbstractUI.aspx?menuIndex=3&amp;refID=7072333&amp;Result=3","7072333")</f>
        <v>0</v>
      </c>
      <c r="B5180" t="s">
        <v>1795</v>
      </c>
      <c r="C5180" t="s">
        <v>8339</v>
      </c>
      <c r="D5180" t="s">
        <v>16628</v>
      </c>
      <c r="E5180" t="s">
        <v>21341</v>
      </c>
      <c r="F5180" t="s">
        <v>28672</v>
      </c>
      <c r="G5180" t="s">
        <v>28679</v>
      </c>
      <c r="H5180" t="s">
        <v>9998</v>
      </c>
      <c r="I5180" t="s">
        <v>28707</v>
      </c>
      <c r="J5180" t="s">
        <v>30406</v>
      </c>
      <c r="K5180" t="s">
        <v>37210</v>
      </c>
      <c r="M5180" t="s">
        <v>39402</v>
      </c>
      <c r="N5180" t="s">
        <v>41249</v>
      </c>
      <c r="O5180" t="s">
        <v>41250</v>
      </c>
      <c r="P5180">
        <v>0</v>
      </c>
      <c r="Q5180">
        <v>1</v>
      </c>
      <c r="R5180" t="s">
        <v>41254</v>
      </c>
      <c r="S5180" t="s">
        <v>41425</v>
      </c>
      <c r="T5180" t="s">
        <v>42738</v>
      </c>
      <c r="U5180" t="s">
        <v>47485</v>
      </c>
      <c r="W5180" t="s">
        <v>39402</v>
      </c>
      <c r="X5180" t="s">
        <v>41256</v>
      </c>
    </row>
    <row r="5181" spans="1:24">
      <c r="A5181">
        <f>HYPERLINK("https://www.philgeps.gov.ph/GEPSNONPILOT/Tender/SplashBidNoticeAbstractUI.aspx?menuIndex=3&amp;refID=7072331&amp;Result=3","7072331")</f>
        <v>0</v>
      </c>
      <c r="B5181" t="s">
        <v>1795</v>
      </c>
      <c r="C5181" t="s">
        <v>8240</v>
      </c>
      <c r="D5181" t="s">
        <v>16628</v>
      </c>
      <c r="E5181" t="s">
        <v>21342</v>
      </c>
      <c r="F5181" t="s">
        <v>28672</v>
      </c>
      <c r="G5181" t="s">
        <v>28679</v>
      </c>
      <c r="H5181" t="s">
        <v>9998</v>
      </c>
      <c r="I5181" t="s">
        <v>28708</v>
      </c>
      <c r="J5181" t="s">
        <v>29225</v>
      </c>
      <c r="K5181" t="s">
        <v>37210</v>
      </c>
      <c r="M5181" t="s">
        <v>39402</v>
      </c>
      <c r="N5181" t="s">
        <v>41249</v>
      </c>
      <c r="O5181" t="s">
        <v>41250</v>
      </c>
      <c r="P5181">
        <v>0</v>
      </c>
      <c r="Q5181">
        <v>0</v>
      </c>
      <c r="R5181" t="s">
        <v>41254</v>
      </c>
      <c r="S5181" t="s">
        <v>41425</v>
      </c>
      <c r="T5181" t="s">
        <v>42738</v>
      </c>
      <c r="U5181" t="s">
        <v>47486</v>
      </c>
      <c r="W5181" t="s">
        <v>39402</v>
      </c>
      <c r="X5181" t="s">
        <v>41256</v>
      </c>
    </row>
    <row r="5182" spans="1:24">
      <c r="A5182">
        <f>HYPERLINK("https://www.philgeps.gov.ph/GEPSNONPILOT/Tender/SplashBidNoticeAbstractUI.aspx?menuIndex=3&amp;refID=7072351&amp;Result=3","7072351")</f>
        <v>0</v>
      </c>
      <c r="B5182" t="s">
        <v>1796</v>
      </c>
      <c r="C5182" t="s">
        <v>5868</v>
      </c>
      <c r="D5182" t="s">
        <v>16660</v>
      </c>
      <c r="E5182" t="s">
        <v>21343</v>
      </c>
      <c r="F5182" t="s">
        <v>28669</v>
      </c>
      <c r="G5182" t="s">
        <v>28677</v>
      </c>
      <c r="H5182" t="s">
        <v>9998</v>
      </c>
      <c r="I5182" t="s">
        <v>7352</v>
      </c>
      <c r="J5182" t="s">
        <v>32139</v>
      </c>
      <c r="K5182" t="s">
        <v>37243</v>
      </c>
      <c r="M5182" t="s">
        <v>39403</v>
      </c>
      <c r="N5182" t="s">
        <v>41249</v>
      </c>
      <c r="O5182" t="s">
        <v>41250</v>
      </c>
      <c r="P5182">
        <v>0</v>
      </c>
      <c r="Q5182">
        <v>0</v>
      </c>
      <c r="R5182" t="s">
        <v>41254</v>
      </c>
      <c r="S5182" t="s">
        <v>41425</v>
      </c>
      <c r="T5182" t="s">
        <v>42758</v>
      </c>
      <c r="U5182" t="s">
        <v>47487</v>
      </c>
      <c r="W5182" t="s">
        <v>39403</v>
      </c>
      <c r="X5182" t="s">
        <v>41256</v>
      </c>
    </row>
    <row r="5183" spans="1:24">
      <c r="A5183">
        <f>HYPERLINK("https://www.philgeps.gov.ph/GEPSNONPILOT/Tender/SplashBidNoticeAbstractUI.aspx?menuIndex=3&amp;refID=7072394&amp;Result=3","7072394")</f>
        <v>0</v>
      </c>
      <c r="B5183" t="s">
        <v>1779</v>
      </c>
      <c r="C5183" t="s">
        <v>8293</v>
      </c>
      <c r="D5183" t="s">
        <v>16608</v>
      </c>
      <c r="E5183" t="s">
        <v>21344</v>
      </c>
      <c r="F5183" t="s">
        <v>28669</v>
      </c>
      <c r="G5183" t="s">
        <v>28675</v>
      </c>
      <c r="H5183" t="s">
        <v>9998</v>
      </c>
      <c r="I5183" t="s">
        <v>28685</v>
      </c>
      <c r="J5183" t="s">
        <v>32099</v>
      </c>
      <c r="K5183" t="s">
        <v>37215</v>
      </c>
      <c r="M5183" t="s">
        <v>39383</v>
      </c>
      <c r="N5183" t="s">
        <v>41249</v>
      </c>
      <c r="O5183" t="s">
        <v>41250</v>
      </c>
      <c r="Q5183">
        <v>1</v>
      </c>
      <c r="R5183" t="s">
        <v>41254</v>
      </c>
      <c r="S5183" t="s">
        <v>41428</v>
      </c>
      <c r="T5183" t="s">
        <v>42993</v>
      </c>
      <c r="U5183" t="s">
        <v>47488</v>
      </c>
      <c r="V5183" t="s">
        <v>54842</v>
      </c>
      <c r="W5183" t="s">
        <v>39383</v>
      </c>
      <c r="X5183" t="s">
        <v>41256</v>
      </c>
    </row>
    <row r="5184" spans="1:24">
      <c r="A5184">
        <f>HYPERLINK("https://www.philgeps.gov.ph/GEPSNONPILOT/Tender/SplashBidNoticeAbstractUI.aspx?menuIndex=3&amp;refID=7072348&amp;Result=3","7072348")</f>
        <v>0</v>
      </c>
      <c r="B5184" t="s">
        <v>1792</v>
      </c>
      <c r="C5184" t="s">
        <v>5868</v>
      </c>
      <c r="D5184" t="s">
        <v>16660</v>
      </c>
      <c r="E5184" t="s">
        <v>21345</v>
      </c>
      <c r="F5184" t="s">
        <v>28669</v>
      </c>
      <c r="G5184" t="s">
        <v>28677</v>
      </c>
      <c r="H5184" t="s">
        <v>9998</v>
      </c>
      <c r="I5184" t="s">
        <v>28688</v>
      </c>
      <c r="J5184" t="s">
        <v>32140</v>
      </c>
      <c r="K5184" t="s">
        <v>37204</v>
      </c>
      <c r="M5184" t="s">
        <v>39399</v>
      </c>
      <c r="N5184" t="s">
        <v>41249</v>
      </c>
      <c r="O5184" t="s">
        <v>41250</v>
      </c>
      <c r="P5184">
        <v>0</v>
      </c>
      <c r="Q5184">
        <v>0</v>
      </c>
      <c r="R5184" t="s">
        <v>41254</v>
      </c>
      <c r="S5184" t="s">
        <v>41425</v>
      </c>
      <c r="T5184" t="s">
        <v>42742</v>
      </c>
      <c r="U5184" t="s">
        <v>47489</v>
      </c>
      <c r="W5184" t="s">
        <v>39399</v>
      </c>
      <c r="X5184" t="s">
        <v>41256</v>
      </c>
    </row>
    <row r="5185" spans="1:24">
      <c r="A5185">
        <f>HYPERLINK("https://www.philgeps.gov.ph/GEPSNONPILOT/Tender/SplashBidNoticeAbstractUI.aspx?menuIndex=3&amp;refID=7071849&amp;Result=3","7071849")</f>
        <v>0</v>
      </c>
      <c r="B5185" t="s">
        <v>411</v>
      </c>
      <c r="C5185" t="s">
        <v>8122</v>
      </c>
      <c r="D5185" t="s">
        <v>16616</v>
      </c>
      <c r="E5185" t="s">
        <v>21346</v>
      </c>
      <c r="F5185" t="s">
        <v>28669</v>
      </c>
      <c r="G5185" t="s">
        <v>28676</v>
      </c>
      <c r="H5185" t="s">
        <v>9998</v>
      </c>
      <c r="I5185" t="s">
        <v>28688</v>
      </c>
      <c r="J5185" t="s">
        <v>29206</v>
      </c>
      <c r="K5185" t="s">
        <v>37205</v>
      </c>
      <c r="M5185" t="s">
        <v>39337</v>
      </c>
      <c r="N5185" t="s">
        <v>41249</v>
      </c>
      <c r="O5185" t="s">
        <v>41250</v>
      </c>
      <c r="P5185">
        <v>0</v>
      </c>
      <c r="Q5185">
        <v>5</v>
      </c>
      <c r="R5185" t="s">
        <v>41254</v>
      </c>
      <c r="S5185" t="s">
        <v>41425</v>
      </c>
      <c r="T5185" t="s">
        <v>42706</v>
      </c>
      <c r="U5185" t="s">
        <v>47490</v>
      </c>
      <c r="W5185" t="s">
        <v>39337</v>
      </c>
      <c r="X5185" t="s">
        <v>41257</v>
      </c>
    </row>
    <row r="5186" spans="1:24">
      <c r="A5186">
        <f>HYPERLINK("https://www.philgeps.gov.ph/GEPSNONPILOT/Tender/SplashBidNoticeAbstractUI.aspx?menuIndex=3&amp;refID=7072379&amp;Result=3","7072379")</f>
        <v>0</v>
      </c>
      <c r="B5186" t="s">
        <v>1787</v>
      </c>
      <c r="C5186" t="s">
        <v>8340</v>
      </c>
      <c r="D5186" t="s">
        <v>16617</v>
      </c>
      <c r="E5186" t="s">
        <v>21347</v>
      </c>
      <c r="F5186" t="s">
        <v>28669</v>
      </c>
      <c r="G5186" t="s">
        <v>28677</v>
      </c>
      <c r="H5186" t="s">
        <v>9998</v>
      </c>
      <c r="I5186" t="s">
        <v>6128</v>
      </c>
      <c r="J5186" t="s">
        <v>32141</v>
      </c>
      <c r="K5186" t="s">
        <v>37205</v>
      </c>
      <c r="M5186" t="s">
        <v>39394</v>
      </c>
      <c r="N5186" t="s">
        <v>41249</v>
      </c>
      <c r="O5186" t="s">
        <v>41250</v>
      </c>
      <c r="P5186">
        <v>0</v>
      </c>
      <c r="Q5186">
        <v>6</v>
      </c>
      <c r="R5186" t="s">
        <v>41254</v>
      </c>
      <c r="S5186" t="s">
        <v>41425</v>
      </c>
      <c r="T5186" t="s">
        <v>42675</v>
      </c>
      <c r="U5186" t="s">
        <v>47491</v>
      </c>
      <c r="V5186" t="s">
        <v>54839</v>
      </c>
      <c r="W5186" t="s">
        <v>39394</v>
      </c>
      <c r="X5186" t="s">
        <v>41256</v>
      </c>
    </row>
    <row r="5187" spans="1:24">
      <c r="A5187">
        <f>HYPERLINK("https://www.philgeps.gov.ph/GEPSNONPILOT/Tender/SplashBidNoticeAbstractUI.aspx?menuIndex=3&amp;refID=7072378&amp;Result=3","7072378")</f>
        <v>0</v>
      </c>
      <c r="B5187" t="s">
        <v>313</v>
      </c>
      <c r="C5187" t="s">
        <v>8341</v>
      </c>
      <c r="D5187" t="s">
        <v>16642</v>
      </c>
      <c r="E5187" t="s">
        <v>21348</v>
      </c>
      <c r="F5187" t="s">
        <v>28669</v>
      </c>
      <c r="G5187" t="s">
        <v>28675</v>
      </c>
      <c r="H5187" t="s">
        <v>28686</v>
      </c>
      <c r="I5187" t="s">
        <v>28689</v>
      </c>
      <c r="J5187" t="s">
        <v>32142</v>
      </c>
      <c r="K5187" t="s">
        <v>37255</v>
      </c>
      <c r="M5187" t="s">
        <v>39265</v>
      </c>
      <c r="N5187" t="s">
        <v>41249</v>
      </c>
      <c r="O5187" t="s">
        <v>41250</v>
      </c>
      <c r="P5187">
        <v>0</v>
      </c>
      <c r="Q5187">
        <v>1</v>
      </c>
      <c r="R5187" t="s">
        <v>41254</v>
      </c>
      <c r="S5187" t="s">
        <v>41425</v>
      </c>
      <c r="T5187" t="s">
        <v>42820</v>
      </c>
      <c r="U5187" t="s">
        <v>47069</v>
      </c>
      <c r="W5187" t="s">
        <v>39265</v>
      </c>
      <c r="X5187" t="s">
        <v>41256</v>
      </c>
    </row>
    <row r="5188" spans="1:24">
      <c r="A5188">
        <f>HYPERLINK("https://www.philgeps.gov.ph/GEPSNONPILOT/Tender/SplashBidNoticeAbstractUI.aspx?menuIndex=3&amp;refID=7072377&amp;Result=3","7072377")</f>
        <v>0</v>
      </c>
      <c r="B5188" t="s">
        <v>1787</v>
      </c>
      <c r="C5188" t="s">
        <v>8342</v>
      </c>
      <c r="D5188" t="s">
        <v>16617</v>
      </c>
      <c r="E5188" t="s">
        <v>21349</v>
      </c>
      <c r="F5188" t="s">
        <v>28669</v>
      </c>
      <c r="G5188" t="s">
        <v>28677</v>
      </c>
      <c r="H5188" t="s">
        <v>9998</v>
      </c>
      <c r="I5188" t="s">
        <v>3718</v>
      </c>
      <c r="J5188" t="s">
        <v>28863</v>
      </c>
      <c r="K5188" t="s">
        <v>37205</v>
      </c>
      <c r="M5188" t="s">
        <v>39394</v>
      </c>
      <c r="N5188" t="s">
        <v>41249</v>
      </c>
      <c r="O5188" t="s">
        <v>41250</v>
      </c>
      <c r="P5188">
        <v>0</v>
      </c>
      <c r="Q5188">
        <v>3</v>
      </c>
      <c r="R5188" t="s">
        <v>41254</v>
      </c>
      <c r="S5188" t="s">
        <v>41425</v>
      </c>
      <c r="T5188" t="s">
        <v>42675</v>
      </c>
      <c r="U5188" t="s">
        <v>47492</v>
      </c>
      <c r="V5188" t="s">
        <v>54839</v>
      </c>
      <c r="W5188" t="s">
        <v>39394</v>
      </c>
      <c r="X5188" t="s">
        <v>41256</v>
      </c>
    </row>
    <row r="5189" spans="1:24">
      <c r="A5189">
        <f>HYPERLINK("https://www.philgeps.gov.ph/GEPSNONPILOT/Tender/SplashBidNoticeAbstractUI.aspx?menuIndex=3&amp;refID=7072376&amp;Result=3","7072376")</f>
        <v>0</v>
      </c>
      <c r="B5189" t="s">
        <v>1797</v>
      </c>
      <c r="C5189" t="s">
        <v>5868</v>
      </c>
      <c r="D5189" t="s">
        <v>16660</v>
      </c>
      <c r="E5189" t="s">
        <v>21350</v>
      </c>
      <c r="F5189" t="s">
        <v>28669</v>
      </c>
      <c r="G5189" t="s">
        <v>28677</v>
      </c>
      <c r="H5189" t="s">
        <v>9998</v>
      </c>
      <c r="I5189" t="s">
        <v>28688</v>
      </c>
      <c r="J5189" t="s">
        <v>32143</v>
      </c>
      <c r="K5189" t="s">
        <v>37204</v>
      </c>
      <c r="M5189" t="s">
        <v>39404</v>
      </c>
      <c r="N5189" t="s">
        <v>41249</v>
      </c>
      <c r="O5189" t="s">
        <v>41250</v>
      </c>
      <c r="P5189">
        <v>0</v>
      </c>
      <c r="Q5189">
        <v>2</v>
      </c>
      <c r="R5189" t="s">
        <v>41254</v>
      </c>
      <c r="S5189" t="s">
        <v>41425</v>
      </c>
      <c r="T5189" t="s">
        <v>42742</v>
      </c>
      <c r="U5189" t="s">
        <v>47493</v>
      </c>
      <c r="W5189" t="s">
        <v>39404</v>
      </c>
      <c r="X5189" t="s">
        <v>41256</v>
      </c>
    </row>
    <row r="5190" spans="1:24">
      <c r="A5190">
        <f>HYPERLINK("https://www.philgeps.gov.ph/GEPSNONPILOT/Tender/SplashBidNoticeAbstractUI.aspx?menuIndex=3&amp;refID=7072375&amp;Result=3","7072375")</f>
        <v>0</v>
      </c>
      <c r="B5190" t="s">
        <v>1779</v>
      </c>
      <c r="C5190" t="s">
        <v>8343</v>
      </c>
      <c r="D5190" t="s">
        <v>16608</v>
      </c>
      <c r="E5190" t="s">
        <v>21351</v>
      </c>
      <c r="F5190" t="s">
        <v>28669</v>
      </c>
      <c r="G5190" t="s">
        <v>28675</v>
      </c>
      <c r="H5190" t="s">
        <v>9998</v>
      </c>
      <c r="I5190" t="s">
        <v>28685</v>
      </c>
      <c r="J5190" t="s">
        <v>32099</v>
      </c>
      <c r="K5190" t="s">
        <v>37215</v>
      </c>
      <c r="M5190" t="s">
        <v>39383</v>
      </c>
      <c r="N5190" t="s">
        <v>41249</v>
      </c>
      <c r="O5190" t="s">
        <v>41250</v>
      </c>
      <c r="Q5190">
        <v>1</v>
      </c>
      <c r="R5190" t="s">
        <v>41254</v>
      </c>
      <c r="S5190" t="s">
        <v>41429</v>
      </c>
      <c r="T5190" t="s">
        <v>42993</v>
      </c>
      <c r="U5190" t="s">
        <v>47494</v>
      </c>
      <c r="V5190" t="s">
        <v>54842</v>
      </c>
      <c r="W5190" t="s">
        <v>39383</v>
      </c>
      <c r="X5190" t="s">
        <v>41256</v>
      </c>
    </row>
    <row r="5191" spans="1:24">
      <c r="A5191">
        <f>HYPERLINK("https://www.philgeps.gov.ph/GEPSNONPILOT/Tender/SplashBidNoticeAbstractUI.aspx?menuIndex=3&amp;refID=7072374&amp;Result=3","7072374")</f>
        <v>0</v>
      </c>
      <c r="B5191" t="s">
        <v>1787</v>
      </c>
      <c r="C5191" t="s">
        <v>8344</v>
      </c>
      <c r="D5191" t="s">
        <v>16617</v>
      </c>
      <c r="E5191" t="s">
        <v>21352</v>
      </c>
      <c r="F5191" t="s">
        <v>28669</v>
      </c>
      <c r="G5191" t="s">
        <v>28677</v>
      </c>
      <c r="H5191" t="s">
        <v>9998</v>
      </c>
      <c r="I5191" t="s">
        <v>7352</v>
      </c>
      <c r="J5191" t="s">
        <v>32144</v>
      </c>
      <c r="K5191" t="s">
        <v>37205</v>
      </c>
      <c r="M5191" t="s">
        <v>39394</v>
      </c>
      <c r="N5191" t="s">
        <v>41249</v>
      </c>
      <c r="O5191" t="s">
        <v>41250</v>
      </c>
      <c r="P5191">
        <v>0</v>
      </c>
      <c r="Q5191">
        <v>3</v>
      </c>
      <c r="R5191" t="s">
        <v>41254</v>
      </c>
      <c r="S5191" t="s">
        <v>41425</v>
      </c>
      <c r="T5191" t="s">
        <v>42675</v>
      </c>
      <c r="U5191" t="s">
        <v>47495</v>
      </c>
      <c r="V5191" t="s">
        <v>54839</v>
      </c>
      <c r="W5191" t="s">
        <v>39394</v>
      </c>
      <c r="X5191" t="s">
        <v>41256</v>
      </c>
    </row>
    <row r="5192" spans="1:24">
      <c r="A5192">
        <f>HYPERLINK("https://www.philgeps.gov.ph/GEPSNONPILOT/Tender/SplashBidNoticeAbstractUI.aspx?menuIndex=3&amp;refID=7072373&amp;Result=3","7072373")</f>
        <v>0</v>
      </c>
      <c r="B5192" t="s">
        <v>1797</v>
      </c>
      <c r="C5192" t="s">
        <v>5868</v>
      </c>
      <c r="D5192" t="s">
        <v>16660</v>
      </c>
      <c r="E5192" t="s">
        <v>21353</v>
      </c>
      <c r="F5192" t="s">
        <v>28669</v>
      </c>
      <c r="G5192" t="s">
        <v>28677</v>
      </c>
      <c r="H5192" t="s">
        <v>9998</v>
      </c>
      <c r="I5192" t="s">
        <v>28688</v>
      </c>
      <c r="J5192" t="s">
        <v>32145</v>
      </c>
      <c r="K5192" t="s">
        <v>37204</v>
      </c>
      <c r="M5192" t="s">
        <v>39404</v>
      </c>
      <c r="N5192" t="s">
        <v>41249</v>
      </c>
      <c r="O5192" t="s">
        <v>41250</v>
      </c>
      <c r="P5192">
        <v>0</v>
      </c>
      <c r="Q5192">
        <v>2</v>
      </c>
      <c r="R5192" t="s">
        <v>41254</v>
      </c>
      <c r="S5192" t="s">
        <v>41425</v>
      </c>
      <c r="T5192" t="s">
        <v>42742</v>
      </c>
      <c r="U5192" t="s">
        <v>47496</v>
      </c>
      <c r="W5192" t="s">
        <v>39404</v>
      </c>
      <c r="X5192" t="s">
        <v>41256</v>
      </c>
    </row>
    <row r="5193" spans="1:24">
      <c r="A5193">
        <f>HYPERLINK("https://www.philgeps.gov.ph/GEPSNONPILOT/Tender/SplashBidNoticeAbstractUI.aspx?menuIndex=3&amp;refID=7072370&amp;Result=3","7072370")</f>
        <v>0</v>
      </c>
      <c r="B5193" t="s">
        <v>1797</v>
      </c>
      <c r="C5193" t="s">
        <v>5868</v>
      </c>
      <c r="D5193" t="s">
        <v>16660</v>
      </c>
      <c r="E5193" t="s">
        <v>21354</v>
      </c>
      <c r="F5193" t="s">
        <v>28669</v>
      </c>
      <c r="G5193" t="s">
        <v>28677</v>
      </c>
      <c r="H5193" t="s">
        <v>9998</v>
      </c>
      <c r="I5193" t="s">
        <v>7352</v>
      </c>
      <c r="J5193" t="s">
        <v>32146</v>
      </c>
      <c r="K5193" t="s">
        <v>37243</v>
      </c>
      <c r="M5193" t="s">
        <v>39404</v>
      </c>
      <c r="N5193" t="s">
        <v>41249</v>
      </c>
      <c r="O5193" t="s">
        <v>41250</v>
      </c>
      <c r="P5193">
        <v>0</v>
      </c>
      <c r="Q5193">
        <v>0</v>
      </c>
      <c r="R5193" t="s">
        <v>41254</v>
      </c>
      <c r="S5193" t="s">
        <v>41425</v>
      </c>
      <c r="T5193" t="s">
        <v>42758</v>
      </c>
      <c r="U5193" t="s">
        <v>47497</v>
      </c>
      <c r="W5193" t="s">
        <v>39404</v>
      </c>
      <c r="X5193" t="s">
        <v>41256</v>
      </c>
    </row>
    <row r="5194" spans="1:24">
      <c r="A5194">
        <f>HYPERLINK("https://www.philgeps.gov.ph/GEPSNONPILOT/Tender/SplashBidNoticeAbstractUI.aspx?menuIndex=3&amp;refID=7072385&amp;Result=3","7072385")</f>
        <v>0</v>
      </c>
      <c r="B5194" t="s">
        <v>1779</v>
      </c>
      <c r="C5194" t="s">
        <v>8345</v>
      </c>
      <c r="D5194" t="s">
        <v>16608</v>
      </c>
      <c r="E5194" t="s">
        <v>21355</v>
      </c>
      <c r="F5194" t="s">
        <v>28669</v>
      </c>
      <c r="G5194" t="s">
        <v>28675</v>
      </c>
      <c r="H5194" t="s">
        <v>9998</v>
      </c>
      <c r="I5194" t="s">
        <v>28685</v>
      </c>
      <c r="J5194" t="s">
        <v>32099</v>
      </c>
      <c r="K5194" t="s">
        <v>37215</v>
      </c>
      <c r="M5194" t="s">
        <v>39383</v>
      </c>
      <c r="N5194" t="s">
        <v>41249</v>
      </c>
      <c r="O5194" t="s">
        <v>41250</v>
      </c>
      <c r="Q5194">
        <v>1</v>
      </c>
      <c r="R5194" t="s">
        <v>41254</v>
      </c>
      <c r="S5194" t="s">
        <v>41430</v>
      </c>
      <c r="T5194" t="s">
        <v>42993</v>
      </c>
      <c r="U5194" t="s">
        <v>47498</v>
      </c>
      <c r="V5194" t="s">
        <v>54842</v>
      </c>
      <c r="W5194" t="s">
        <v>39383</v>
      </c>
      <c r="X5194" t="s">
        <v>41256</v>
      </c>
    </row>
    <row r="5195" spans="1:24">
      <c r="A5195">
        <f>HYPERLINK("https://www.philgeps.gov.ph/GEPSNONPILOT/Tender/SplashBidNoticeAbstractUI.aspx?menuIndex=3&amp;refID=7072369&amp;Result=3","7072369")</f>
        <v>0</v>
      </c>
      <c r="B5195" t="s">
        <v>1797</v>
      </c>
      <c r="C5195" t="s">
        <v>5868</v>
      </c>
      <c r="D5195" t="s">
        <v>16660</v>
      </c>
      <c r="E5195" t="s">
        <v>21356</v>
      </c>
      <c r="F5195" t="s">
        <v>28669</v>
      </c>
      <c r="G5195" t="s">
        <v>28677</v>
      </c>
      <c r="H5195" t="s">
        <v>9998</v>
      </c>
      <c r="I5195" t="s">
        <v>7352</v>
      </c>
      <c r="J5195" t="s">
        <v>32147</v>
      </c>
      <c r="K5195" t="s">
        <v>37243</v>
      </c>
      <c r="M5195" t="s">
        <v>39404</v>
      </c>
      <c r="N5195" t="s">
        <v>41249</v>
      </c>
      <c r="O5195" t="s">
        <v>41250</v>
      </c>
      <c r="P5195">
        <v>0</v>
      </c>
      <c r="Q5195">
        <v>0</v>
      </c>
      <c r="R5195" t="s">
        <v>41254</v>
      </c>
      <c r="S5195" t="s">
        <v>41425</v>
      </c>
      <c r="T5195" t="s">
        <v>42758</v>
      </c>
      <c r="U5195" t="s">
        <v>47499</v>
      </c>
      <c r="W5195" t="s">
        <v>39404</v>
      </c>
      <c r="X5195" t="s">
        <v>41256</v>
      </c>
    </row>
    <row r="5196" spans="1:24">
      <c r="A5196">
        <f>HYPERLINK("https://www.philgeps.gov.ph/GEPSNONPILOT/Tender/SplashBidNoticeAbstractUI.aspx?menuIndex=3&amp;refID=7072366&amp;Result=3","7072366")</f>
        <v>0</v>
      </c>
      <c r="B5196" t="s">
        <v>1787</v>
      </c>
      <c r="C5196" t="s">
        <v>8346</v>
      </c>
      <c r="D5196" t="s">
        <v>16617</v>
      </c>
      <c r="E5196" t="s">
        <v>21357</v>
      </c>
      <c r="F5196" t="s">
        <v>28669</v>
      </c>
      <c r="G5196" t="s">
        <v>28676</v>
      </c>
      <c r="H5196" t="s">
        <v>9998</v>
      </c>
      <c r="I5196" t="s">
        <v>28689</v>
      </c>
      <c r="J5196" t="s">
        <v>32148</v>
      </c>
      <c r="K5196" t="s">
        <v>37214</v>
      </c>
      <c r="M5196" t="s">
        <v>39394</v>
      </c>
      <c r="N5196" t="s">
        <v>41249</v>
      </c>
      <c r="O5196" t="s">
        <v>41250</v>
      </c>
      <c r="P5196">
        <v>0</v>
      </c>
      <c r="Q5196">
        <v>2</v>
      </c>
      <c r="R5196" t="s">
        <v>41254</v>
      </c>
      <c r="S5196" t="s">
        <v>41425</v>
      </c>
      <c r="T5196" t="s">
        <v>42675</v>
      </c>
      <c r="U5196" t="s">
        <v>47500</v>
      </c>
      <c r="V5196" t="s">
        <v>54839</v>
      </c>
      <c r="W5196" t="s">
        <v>39394</v>
      </c>
      <c r="X5196" t="s">
        <v>41256</v>
      </c>
    </row>
    <row r="5197" spans="1:24">
      <c r="A5197">
        <f>HYPERLINK("https://www.philgeps.gov.ph/GEPSNONPILOT/Tender/SplashBidNoticeAbstractUI.aspx?menuIndex=3&amp;refID=7072403&amp;Result=3","7072403")</f>
        <v>0</v>
      </c>
      <c r="B5197" t="s">
        <v>1696</v>
      </c>
      <c r="C5197" t="s">
        <v>8347</v>
      </c>
      <c r="D5197" t="s">
        <v>16658</v>
      </c>
      <c r="E5197" t="s">
        <v>21358</v>
      </c>
      <c r="F5197" t="s">
        <v>28669</v>
      </c>
      <c r="G5197" t="s">
        <v>28675</v>
      </c>
      <c r="H5197" t="s">
        <v>9998</v>
      </c>
      <c r="I5197" t="s">
        <v>28687</v>
      </c>
      <c r="J5197" t="s">
        <v>32105</v>
      </c>
      <c r="K5197" t="s">
        <v>37209</v>
      </c>
      <c r="M5197" t="s">
        <v>39292</v>
      </c>
      <c r="N5197" t="s">
        <v>41249</v>
      </c>
      <c r="O5197" t="s">
        <v>41250</v>
      </c>
      <c r="P5197">
        <v>0</v>
      </c>
      <c r="Q5197">
        <v>4</v>
      </c>
      <c r="R5197" t="s">
        <v>41254</v>
      </c>
      <c r="S5197" t="s">
        <v>41425</v>
      </c>
      <c r="T5197" t="s">
        <v>42738</v>
      </c>
      <c r="U5197" t="s">
        <v>47501</v>
      </c>
      <c r="W5197" t="s">
        <v>55969</v>
      </c>
      <c r="X5197" t="s">
        <v>41256</v>
      </c>
    </row>
    <row r="5198" spans="1:24">
      <c r="A5198">
        <f>HYPERLINK("https://www.philgeps.gov.ph/GEPSNONPILOT/Tender/SplashBidNoticeAbstractUI.aspx?menuIndex=3&amp;refID=7072433&amp;Result=3","7072433")</f>
        <v>0</v>
      </c>
      <c r="B5198" t="s">
        <v>1798</v>
      </c>
      <c r="C5198" t="s">
        <v>8348</v>
      </c>
      <c r="D5198" t="s">
        <v>16658</v>
      </c>
      <c r="E5198" t="s">
        <v>21359</v>
      </c>
      <c r="F5198" t="s">
        <v>28669</v>
      </c>
      <c r="G5198" t="s">
        <v>28676</v>
      </c>
      <c r="H5198" t="s">
        <v>9998</v>
      </c>
      <c r="I5198" t="s">
        <v>28688</v>
      </c>
      <c r="J5198" t="s">
        <v>32149</v>
      </c>
      <c r="K5198" t="s">
        <v>37209</v>
      </c>
      <c r="M5198" t="s">
        <v>39405</v>
      </c>
      <c r="N5198" t="s">
        <v>41249</v>
      </c>
      <c r="O5198" t="s">
        <v>41250</v>
      </c>
      <c r="P5198">
        <v>0</v>
      </c>
      <c r="Q5198">
        <v>0</v>
      </c>
      <c r="R5198" t="s">
        <v>41254</v>
      </c>
      <c r="S5198" t="s">
        <v>41425</v>
      </c>
      <c r="T5198" t="s">
        <v>42728</v>
      </c>
      <c r="U5198" t="s">
        <v>47502</v>
      </c>
      <c r="W5198" t="s">
        <v>39405</v>
      </c>
      <c r="X5198" t="s">
        <v>41256</v>
      </c>
    </row>
    <row r="5199" spans="1:24">
      <c r="A5199">
        <f>HYPERLINK("https://www.philgeps.gov.ph/GEPSNONPILOT/Tender/SplashBidNoticeAbstractUI.aspx?menuIndex=3&amp;refID=7072431&amp;Result=3","7072431")</f>
        <v>0</v>
      </c>
      <c r="B5199" t="s">
        <v>1696</v>
      </c>
      <c r="C5199" t="s">
        <v>8349</v>
      </c>
      <c r="D5199" t="s">
        <v>16658</v>
      </c>
      <c r="E5199" t="s">
        <v>21360</v>
      </c>
      <c r="F5199" t="s">
        <v>28669</v>
      </c>
      <c r="G5199" t="s">
        <v>28675</v>
      </c>
      <c r="H5199" t="s">
        <v>9998</v>
      </c>
      <c r="I5199" t="s">
        <v>6128</v>
      </c>
      <c r="J5199" t="s">
        <v>32150</v>
      </c>
      <c r="K5199" t="s">
        <v>37209</v>
      </c>
      <c r="M5199" t="s">
        <v>39292</v>
      </c>
      <c r="N5199" t="s">
        <v>41249</v>
      </c>
      <c r="O5199" t="s">
        <v>41250</v>
      </c>
      <c r="P5199">
        <v>0</v>
      </c>
      <c r="Q5199">
        <v>0</v>
      </c>
      <c r="R5199" t="s">
        <v>41254</v>
      </c>
      <c r="S5199" t="s">
        <v>41425</v>
      </c>
      <c r="T5199" t="s">
        <v>42738</v>
      </c>
      <c r="U5199" t="s">
        <v>47503</v>
      </c>
      <c r="W5199" t="s">
        <v>55969</v>
      </c>
      <c r="X5199" t="s">
        <v>41256</v>
      </c>
    </row>
    <row r="5200" spans="1:24">
      <c r="A5200">
        <f>HYPERLINK("https://www.philgeps.gov.ph/GEPSNONPILOT/Tender/SplashBidNoticeAbstractUI.aspx?menuIndex=3&amp;refID=7072393&amp;Result=3","7072393")</f>
        <v>0</v>
      </c>
      <c r="B5200" t="s">
        <v>1798</v>
      </c>
      <c r="C5200" t="s">
        <v>8350</v>
      </c>
      <c r="D5200" t="s">
        <v>16658</v>
      </c>
      <c r="E5200" t="s">
        <v>21361</v>
      </c>
      <c r="F5200" t="s">
        <v>28669</v>
      </c>
      <c r="G5200" t="s">
        <v>28676</v>
      </c>
      <c r="H5200" t="s">
        <v>9998</v>
      </c>
      <c r="I5200" t="s">
        <v>3679</v>
      </c>
      <c r="J5200" t="s">
        <v>31008</v>
      </c>
      <c r="K5200" t="s">
        <v>37209</v>
      </c>
      <c r="M5200" t="s">
        <v>39405</v>
      </c>
      <c r="N5200" t="s">
        <v>41249</v>
      </c>
      <c r="O5200" t="s">
        <v>41250</v>
      </c>
      <c r="P5200">
        <v>0</v>
      </c>
      <c r="Q5200">
        <v>0</v>
      </c>
      <c r="R5200" t="s">
        <v>41254</v>
      </c>
      <c r="S5200" t="s">
        <v>41425</v>
      </c>
      <c r="T5200" t="s">
        <v>42728</v>
      </c>
      <c r="U5200" t="s">
        <v>47504</v>
      </c>
      <c r="W5200" t="s">
        <v>39405</v>
      </c>
      <c r="X5200" t="s">
        <v>41256</v>
      </c>
    </row>
    <row r="5201" spans="1:24">
      <c r="A5201">
        <f>HYPERLINK("https://www.philgeps.gov.ph/GEPSNONPILOT/Tender/SplashBidNoticeAbstractUI.aspx?menuIndex=3&amp;refID=7072424&amp;Result=3","7072424")</f>
        <v>0</v>
      </c>
      <c r="B5201" t="s">
        <v>1696</v>
      </c>
      <c r="C5201" t="s">
        <v>8351</v>
      </c>
      <c r="D5201" t="s">
        <v>16658</v>
      </c>
      <c r="E5201" t="s">
        <v>21362</v>
      </c>
      <c r="F5201" t="s">
        <v>28669</v>
      </c>
      <c r="G5201" t="s">
        <v>28675</v>
      </c>
      <c r="H5201" t="s">
        <v>9998</v>
      </c>
      <c r="I5201" t="s">
        <v>6606</v>
      </c>
      <c r="J5201" t="s">
        <v>29027</v>
      </c>
      <c r="K5201" t="s">
        <v>37209</v>
      </c>
      <c r="M5201" t="s">
        <v>39292</v>
      </c>
      <c r="N5201" t="s">
        <v>41249</v>
      </c>
      <c r="O5201" t="s">
        <v>41250</v>
      </c>
      <c r="P5201">
        <v>0</v>
      </c>
      <c r="Q5201">
        <v>0</v>
      </c>
      <c r="R5201" t="s">
        <v>41254</v>
      </c>
      <c r="S5201" t="s">
        <v>41425</v>
      </c>
      <c r="T5201" t="s">
        <v>42738</v>
      </c>
      <c r="U5201" t="s">
        <v>47505</v>
      </c>
      <c r="W5201" t="s">
        <v>55969</v>
      </c>
      <c r="X5201" t="s">
        <v>41256</v>
      </c>
    </row>
    <row r="5202" spans="1:24">
      <c r="A5202">
        <f>HYPERLINK("https://www.philgeps.gov.ph/GEPSNONPILOT/Tender/SplashBidNoticeAbstractUI.aspx?menuIndex=3&amp;refID=7072423&amp;Result=3","7072423")</f>
        <v>0</v>
      </c>
      <c r="B5202" t="s">
        <v>1626</v>
      </c>
      <c r="C5202" t="s">
        <v>8352</v>
      </c>
      <c r="E5202" t="s">
        <v>21363</v>
      </c>
      <c r="F5202" t="s">
        <v>28669</v>
      </c>
      <c r="G5202" t="s">
        <v>28676</v>
      </c>
      <c r="H5202" t="s">
        <v>9998</v>
      </c>
      <c r="I5202" t="s">
        <v>28784</v>
      </c>
      <c r="J5202" t="s">
        <v>28854</v>
      </c>
      <c r="K5202" t="s">
        <v>37209</v>
      </c>
      <c r="M5202" t="s">
        <v>39212</v>
      </c>
      <c r="N5202" t="s">
        <v>41249</v>
      </c>
      <c r="O5202" t="s">
        <v>41250</v>
      </c>
      <c r="P5202">
        <v>0</v>
      </c>
      <c r="Q5202">
        <v>3</v>
      </c>
      <c r="R5202" t="s">
        <v>41254</v>
      </c>
      <c r="S5202" t="s">
        <v>41425</v>
      </c>
      <c r="T5202" t="s">
        <v>42938</v>
      </c>
      <c r="U5202" t="s">
        <v>47506</v>
      </c>
      <c r="W5202" t="s">
        <v>39212</v>
      </c>
      <c r="X5202" t="s">
        <v>41256</v>
      </c>
    </row>
    <row r="5203" spans="1:24">
      <c r="A5203">
        <f>HYPERLINK("https://www.philgeps.gov.ph/GEPSNONPILOT/Tender/SplashBidNoticeAbstractUI.aspx?menuIndex=3&amp;refID=7072422&amp;Result=3","7072422")</f>
        <v>0</v>
      </c>
      <c r="B5203" t="s">
        <v>1696</v>
      </c>
      <c r="C5203" t="s">
        <v>8353</v>
      </c>
      <c r="D5203" t="s">
        <v>16658</v>
      </c>
      <c r="E5203" t="s">
        <v>21364</v>
      </c>
      <c r="F5203" t="s">
        <v>28669</v>
      </c>
      <c r="G5203" t="s">
        <v>28675</v>
      </c>
      <c r="H5203" t="s">
        <v>9998</v>
      </c>
      <c r="I5203" t="s">
        <v>28704</v>
      </c>
      <c r="J5203" t="s">
        <v>28879</v>
      </c>
      <c r="K5203" t="s">
        <v>37209</v>
      </c>
      <c r="M5203" t="s">
        <v>39292</v>
      </c>
      <c r="N5203" t="s">
        <v>41249</v>
      </c>
      <c r="O5203" t="s">
        <v>41250</v>
      </c>
      <c r="P5203">
        <v>0</v>
      </c>
      <c r="Q5203">
        <v>0</v>
      </c>
      <c r="R5203" t="s">
        <v>41254</v>
      </c>
      <c r="S5203" t="s">
        <v>41425</v>
      </c>
      <c r="T5203" t="s">
        <v>42738</v>
      </c>
      <c r="U5203" t="s">
        <v>47507</v>
      </c>
      <c r="W5203" t="s">
        <v>55969</v>
      </c>
      <c r="X5203" t="s">
        <v>41256</v>
      </c>
    </row>
    <row r="5204" spans="1:24">
      <c r="A5204">
        <f>HYPERLINK("https://www.philgeps.gov.ph/GEPSNONPILOT/Tender/SplashBidNoticeAbstractUI.aspx?menuIndex=3&amp;refID=7072421&amp;Result=3","7072421")</f>
        <v>0</v>
      </c>
      <c r="B5204" t="s">
        <v>1798</v>
      </c>
      <c r="C5204" t="s">
        <v>8354</v>
      </c>
      <c r="D5204" t="s">
        <v>16658</v>
      </c>
      <c r="E5204" t="s">
        <v>21365</v>
      </c>
      <c r="F5204" t="s">
        <v>28669</v>
      </c>
      <c r="G5204" t="s">
        <v>28676</v>
      </c>
      <c r="H5204" t="s">
        <v>9998</v>
      </c>
      <c r="I5204" t="s">
        <v>28728</v>
      </c>
      <c r="J5204" t="s">
        <v>32151</v>
      </c>
      <c r="K5204" t="s">
        <v>37209</v>
      </c>
      <c r="M5204" t="s">
        <v>39405</v>
      </c>
      <c r="N5204" t="s">
        <v>41249</v>
      </c>
      <c r="O5204" t="s">
        <v>41250</v>
      </c>
      <c r="P5204">
        <v>0</v>
      </c>
      <c r="Q5204">
        <v>0</v>
      </c>
      <c r="R5204" t="s">
        <v>41254</v>
      </c>
      <c r="S5204" t="s">
        <v>41425</v>
      </c>
      <c r="T5204" t="s">
        <v>42728</v>
      </c>
      <c r="U5204" t="s">
        <v>47508</v>
      </c>
      <c r="W5204" t="s">
        <v>39405</v>
      </c>
      <c r="X5204" t="s">
        <v>41256</v>
      </c>
    </row>
    <row r="5205" spans="1:24">
      <c r="A5205">
        <f>HYPERLINK("https://www.philgeps.gov.ph/GEPSNONPILOT/Tender/SplashBidNoticeAbstractUI.aspx?menuIndex=3&amp;refID=7072420&amp;Result=3","7072420")</f>
        <v>0</v>
      </c>
      <c r="B5205" t="s">
        <v>1696</v>
      </c>
      <c r="C5205" t="s">
        <v>8355</v>
      </c>
      <c r="D5205" t="s">
        <v>16658</v>
      </c>
      <c r="E5205" t="s">
        <v>21366</v>
      </c>
      <c r="F5205" t="s">
        <v>28669</v>
      </c>
      <c r="G5205" t="s">
        <v>28675</v>
      </c>
      <c r="H5205" t="s">
        <v>9998</v>
      </c>
      <c r="I5205" t="s">
        <v>28700</v>
      </c>
      <c r="J5205" t="s">
        <v>32152</v>
      </c>
      <c r="K5205" t="s">
        <v>37209</v>
      </c>
      <c r="M5205" t="s">
        <v>39292</v>
      </c>
      <c r="N5205" t="s">
        <v>41249</v>
      </c>
      <c r="O5205" t="s">
        <v>41250</v>
      </c>
      <c r="P5205">
        <v>0</v>
      </c>
      <c r="Q5205">
        <v>5</v>
      </c>
      <c r="R5205" t="s">
        <v>41254</v>
      </c>
      <c r="S5205" t="s">
        <v>41425</v>
      </c>
      <c r="T5205" t="s">
        <v>42738</v>
      </c>
      <c r="U5205" t="s">
        <v>47509</v>
      </c>
      <c r="W5205" t="s">
        <v>55969</v>
      </c>
      <c r="X5205" t="s">
        <v>41256</v>
      </c>
    </row>
    <row r="5206" spans="1:24">
      <c r="A5206">
        <f>HYPERLINK("https://www.philgeps.gov.ph/GEPSNONPILOT/Tender/SplashBidNoticeAbstractUI.aspx?menuIndex=3&amp;refID=7072427&amp;Result=3","7072427")</f>
        <v>0</v>
      </c>
      <c r="B5206" t="s">
        <v>1696</v>
      </c>
      <c r="C5206" t="s">
        <v>8356</v>
      </c>
      <c r="D5206" t="s">
        <v>16658</v>
      </c>
      <c r="E5206" t="s">
        <v>21367</v>
      </c>
      <c r="F5206" t="s">
        <v>28669</v>
      </c>
      <c r="G5206" t="s">
        <v>28675</v>
      </c>
      <c r="H5206" t="s">
        <v>9998</v>
      </c>
      <c r="I5206" t="s">
        <v>28688</v>
      </c>
      <c r="J5206" t="s">
        <v>32153</v>
      </c>
      <c r="K5206" t="s">
        <v>37209</v>
      </c>
      <c r="M5206" t="s">
        <v>39292</v>
      </c>
      <c r="N5206" t="s">
        <v>41249</v>
      </c>
      <c r="O5206" t="s">
        <v>41250</v>
      </c>
      <c r="P5206">
        <v>0</v>
      </c>
      <c r="Q5206">
        <v>0</v>
      </c>
      <c r="R5206" t="s">
        <v>41254</v>
      </c>
      <c r="S5206" t="s">
        <v>41425</v>
      </c>
      <c r="T5206" t="s">
        <v>42738</v>
      </c>
      <c r="U5206" t="s">
        <v>47510</v>
      </c>
      <c r="W5206" t="s">
        <v>55969</v>
      </c>
      <c r="X5206" t="s">
        <v>41256</v>
      </c>
    </row>
    <row r="5207" spans="1:24">
      <c r="A5207">
        <f>HYPERLINK("https://www.philgeps.gov.ph/GEPSNONPILOT/Tender/SplashBidNoticeAbstractUI.aspx?menuIndex=3&amp;refID=7072417&amp;Result=3","7072417")</f>
        <v>0</v>
      </c>
      <c r="B5207" t="s">
        <v>1696</v>
      </c>
      <c r="C5207" t="s">
        <v>8357</v>
      </c>
      <c r="D5207" t="s">
        <v>16658</v>
      </c>
      <c r="E5207" t="s">
        <v>21368</v>
      </c>
      <c r="F5207" t="s">
        <v>28669</v>
      </c>
      <c r="G5207" t="s">
        <v>28675</v>
      </c>
      <c r="H5207" t="s">
        <v>9998</v>
      </c>
      <c r="I5207" t="s">
        <v>8667</v>
      </c>
      <c r="J5207" t="s">
        <v>32154</v>
      </c>
      <c r="K5207" t="s">
        <v>37209</v>
      </c>
      <c r="M5207" t="s">
        <v>39292</v>
      </c>
      <c r="N5207" t="s">
        <v>41249</v>
      </c>
      <c r="O5207" t="s">
        <v>41250</v>
      </c>
      <c r="P5207">
        <v>0</v>
      </c>
      <c r="Q5207">
        <v>0</v>
      </c>
      <c r="R5207" t="s">
        <v>41254</v>
      </c>
      <c r="S5207" t="s">
        <v>41425</v>
      </c>
      <c r="T5207" t="s">
        <v>42738</v>
      </c>
      <c r="U5207" t="s">
        <v>47511</v>
      </c>
      <c r="W5207" t="s">
        <v>55969</v>
      </c>
      <c r="X5207" t="s">
        <v>41256</v>
      </c>
    </row>
    <row r="5208" spans="1:24">
      <c r="A5208">
        <f>HYPERLINK("https://www.philgeps.gov.ph/GEPSNONPILOT/Tender/SplashBidNoticeAbstractUI.aspx?menuIndex=3&amp;refID=7072415&amp;Result=3","7072415")</f>
        <v>0</v>
      </c>
      <c r="B5208" t="s">
        <v>1799</v>
      </c>
      <c r="C5208" t="s">
        <v>8358</v>
      </c>
      <c r="D5208" t="s">
        <v>16617</v>
      </c>
      <c r="E5208" t="s">
        <v>21369</v>
      </c>
      <c r="F5208" t="s">
        <v>28669</v>
      </c>
      <c r="G5208" t="s">
        <v>28675</v>
      </c>
      <c r="H5208" t="s">
        <v>9998</v>
      </c>
      <c r="I5208" t="s">
        <v>28690</v>
      </c>
      <c r="J5208" t="s">
        <v>30882</v>
      </c>
      <c r="K5208" t="s">
        <v>37266</v>
      </c>
      <c r="M5208" t="s">
        <v>39406</v>
      </c>
      <c r="N5208" t="s">
        <v>41249</v>
      </c>
      <c r="O5208" t="s">
        <v>41250</v>
      </c>
      <c r="P5208">
        <v>0</v>
      </c>
      <c r="Q5208">
        <v>1</v>
      </c>
      <c r="R5208" t="s">
        <v>41254</v>
      </c>
      <c r="S5208" t="s">
        <v>41425</v>
      </c>
      <c r="T5208" t="s">
        <v>42694</v>
      </c>
      <c r="U5208" t="s">
        <v>47512</v>
      </c>
      <c r="W5208" t="s">
        <v>39406</v>
      </c>
      <c r="X5208" t="s">
        <v>41256</v>
      </c>
    </row>
    <row r="5209" spans="1:24">
      <c r="A5209">
        <f>HYPERLINK("https://www.philgeps.gov.ph/GEPSNONPILOT/Tender/SplashBidNoticeAbstractUI.aspx?menuIndex=3&amp;refID=7072429&amp;Result=3","7072429")</f>
        <v>0</v>
      </c>
      <c r="B5209" t="s">
        <v>1696</v>
      </c>
      <c r="C5209" t="s">
        <v>8359</v>
      </c>
      <c r="D5209" t="s">
        <v>16658</v>
      </c>
      <c r="E5209" t="s">
        <v>21370</v>
      </c>
      <c r="F5209" t="s">
        <v>28669</v>
      </c>
      <c r="G5209" t="s">
        <v>28675</v>
      </c>
      <c r="H5209" t="s">
        <v>9998</v>
      </c>
      <c r="I5209" t="s">
        <v>28694</v>
      </c>
      <c r="J5209" t="s">
        <v>32155</v>
      </c>
      <c r="K5209" t="s">
        <v>37209</v>
      </c>
      <c r="M5209" t="s">
        <v>39292</v>
      </c>
      <c r="N5209" t="s">
        <v>41249</v>
      </c>
      <c r="O5209" t="s">
        <v>41250</v>
      </c>
      <c r="P5209">
        <v>0</v>
      </c>
      <c r="Q5209">
        <v>1</v>
      </c>
      <c r="R5209" t="s">
        <v>41254</v>
      </c>
      <c r="S5209" t="s">
        <v>41425</v>
      </c>
      <c r="T5209" t="s">
        <v>42738</v>
      </c>
      <c r="U5209" t="s">
        <v>47513</v>
      </c>
      <c r="W5209" t="s">
        <v>55969</v>
      </c>
      <c r="X5209" t="s">
        <v>41256</v>
      </c>
    </row>
    <row r="5210" spans="1:24">
      <c r="A5210">
        <f>HYPERLINK("https://www.philgeps.gov.ph/GEPSNONPILOT/Tender/SplashBidNoticeAbstractUI.aspx?menuIndex=3&amp;refID=7072426&amp;Result=3","7072426")</f>
        <v>0</v>
      </c>
      <c r="B5210" t="s">
        <v>1800</v>
      </c>
      <c r="C5210" t="s">
        <v>8360</v>
      </c>
      <c r="D5210" t="s">
        <v>16617</v>
      </c>
      <c r="E5210" t="s">
        <v>21371</v>
      </c>
      <c r="F5210" t="s">
        <v>28669</v>
      </c>
      <c r="G5210" t="s">
        <v>28675</v>
      </c>
      <c r="H5210" t="s">
        <v>9998</v>
      </c>
      <c r="I5210" t="s">
        <v>28690</v>
      </c>
      <c r="J5210" t="s">
        <v>32156</v>
      </c>
      <c r="K5210" t="s">
        <v>37266</v>
      </c>
      <c r="M5210" t="s">
        <v>39407</v>
      </c>
      <c r="N5210" t="s">
        <v>41249</v>
      </c>
      <c r="O5210" t="s">
        <v>41250</v>
      </c>
      <c r="P5210">
        <v>0</v>
      </c>
      <c r="Q5210">
        <v>1</v>
      </c>
      <c r="R5210" t="s">
        <v>41254</v>
      </c>
      <c r="S5210" t="s">
        <v>41425</v>
      </c>
      <c r="T5210" t="s">
        <v>42694</v>
      </c>
      <c r="U5210" t="s">
        <v>47514</v>
      </c>
      <c r="W5210" t="s">
        <v>39407</v>
      </c>
      <c r="X5210" t="s">
        <v>41256</v>
      </c>
    </row>
    <row r="5211" spans="1:24">
      <c r="A5211">
        <f>HYPERLINK("https://www.philgeps.gov.ph/GEPSNONPILOT/Tender/SplashBidNoticeAbstractUI.aspx?menuIndex=3&amp;refID=7072470&amp;Result=3","7072470")</f>
        <v>0</v>
      </c>
      <c r="B5211" t="s">
        <v>447</v>
      </c>
      <c r="C5211" t="s">
        <v>8361</v>
      </c>
      <c r="D5211" t="s">
        <v>16608</v>
      </c>
      <c r="E5211" t="s">
        <v>17824</v>
      </c>
      <c r="F5211" t="s">
        <v>28669</v>
      </c>
      <c r="G5211" t="s">
        <v>28676</v>
      </c>
      <c r="H5211" t="s">
        <v>9998</v>
      </c>
      <c r="I5211" t="s">
        <v>6128</v>
      </c>
      <c r="J5211" t="s">
        <v>32157</v>
      </c>
      <c r="K5211" t="s">
        <v>37209</v>
      </c>
      <c r="M5211" t="s">
        <v>39408</v>
      </c>
      <c r="N5211" t="s">
        <v>41249</v>
      </c>
      <c r="O5211" t="s">
        <v>41250</v>
      </c>
      <c r="P5211">
        <v>0</v>
      </c>
      <c r="Q5211">
        <v>1</v>
      </c>
      <c r="R5211" t="s">
        <v>41254</v>
      </c>
      <c r="S5211" t="s">
        <v>41425</v>
      </c>
      <c r="T5211" t="s">
        <v>42711</v>
      </c>
      <c r="U5211" t="s">
        <v>47515</v>
      </c>
      <c r="W5211" t="s">
        <v>39408</v>
      </c>
      <c r="X5211" t="s">
        <v>41256</v>
      </c>
    </row>
    <row r="5212" spans="1:24">
      <c r="A5212">
        <f>HYPERLINK("https://www.philgeps.gov.ph/GEPSNONPILOT/Tender/SplashBidNoticeAbstractUI.aspx?menuIndex=3&amp;refID=7072468&amp;Result=3","7072468")</f>
        <v>0</v>
      </c>
      <c r="B5212" t="s">
        <v>1798</v>
      </c>
      <c r="C5212" t="s">
        <v>8362</v>
      </c>
      <c r="D5212" t="s">
        <v>16658</v>
      </c>
      <c r="E5212" t="s">
        <v>21372</v>
      </c>
      <c r="F5212" t="s">
        <v>28669</v>
      </c>
      <c r="G5212" t="s">
        <v>28679</v>
      </c>
      <c r="H5212" t="s">
        <v>9998</v>
      </c>
      <c r="I5212" t="s">
        <v>5286</v>
      </c>
      <c r="J5212" t="s">
        <v>32158</v>
      </c>
      <c r="K5212" t="s">
        <v>37209</v>
      </c>
      <c r="M5212" t="s">
        <v>39405</v>
      </c>
      <c r="N5212" t="s">
        <v>41249</v>
      </c>
      <c r="O5212" t="s">
        <v>41250</v>
      </c>
      <c r="Q5212">
        <v>4</v>
      </c>
      <c r="R5212" t="s">
        <v>41254</v>
      </c>
      <c r="S5212" t="s">
        <v>41431</v>
      </c>
      <c r="T5212" t="s">
        <v>42728</v>
      </c>
      <c r="U5212" t="s">
        <v>47516</v>
      </c>
      <c r="W5212" t="s">
        <v>39405</v>
      </c>
      <c r="X5212" t="s">
        <v>41256</v>
      </c>
    </row>
    <row r="5213" spans="1:24">
      <c r="A5213">
        <f>HYPERLINK("https://www.philgeps.gov.ph/GEPSNONPILOT/Tender/SplashBidNoticeAbstractUI.aspx?menuIndex=3&amp;refID=7072414&amp;Result=3","7072414")</f>
        <v>0</v>
      </c>
      <c r="B5213" t="s">
        <v>1696</v>
      </c>
      <c r="C5213" t="s">
        <v>8363</v>
      </c>
      <c r="D5213" t="s">
        <v>16658</v>
      </c>
      <c r="E5213" t="s">
        <v>21373</v>
      </c>
      <c r="F5213" t="s">
        <v>28669</v>
      </c>
      <c r="G5213" t="s">
        <v>28675</v>
      </c>
      <c r="H5213" t="s">
        <v>9998</v>
      </c>
      <c r="I5213" t="s">
        <v>28694</v>
      </c>
      <c r="J5213" t="s">
        <v>32159</v>
      </c>
      <c r="K5213" t="s">
        <v>37209</v>
      </c>
      <c r="M5213" t="s">
        <v>39292</v>
      </c>
      <c r="N5213" t="s">
        <v>41249</v>
      </c>
      <c r="O5213" t="s">
        <v>41250</v>
      </c>
      <c r="P5213">
        <v>0</v>
      </c>
      <c r="Q5213">
        <v>0</v>
      </c>
      <c r="R5213" t="s">
        <v>41254</v>
      </c>
      <c r="S5213" t="s">
        <v>41425</v>
      </c>
      <c r="T5213" t="s">
        <v>42738</v>
      </c>
      <c r="U5213" t="s">
        <v>47517</v>
      </c>
      <c r="W5213" t="s">
        <v>55969</v>
      </c>
      <c r="X5213" t="s">
        <v>41256</v>
      </c>
    </row>
    <row r="5214" spans="1:24">
      <c r="A5214">
        <f>HYPERLINK("https://www.philgeps.gov.ph/GEPSNONPILOT/Tender/SplashBidNoticeAbstractUI.aspx?menuIndex=3&amp;refID=7072466&amp;Result=3","7072466")</f>
        <v>0</v>
      </c>
      <c r="B5214" t="s">
        <v>1798</v>
      </c>
      <c r="C5214" t="s">
        <v>8364</v>
      </c>
      <c r="D5214" t="s">
        <v>16658</v>
      </c>
      <c r="E5214" t="s">
        <v>21374</v>
      </c>
      <c r="F5214" t="s">
        <v>28669</v>
      </c>
      <c r="G5214" t="s">
        <v>28679</v>
      </c>
      <c r="H5214" t="s">
        <v>9998</v>
      </c>
      <c r="I5214" t="s">
        <v>28690</v>
      </c>
      <c r="J5214" t="s">
        <v>32160</v>
      </c>
      <c r="K5214" t="s">
        <v>37209</v>
      </c>
      <c r="M5214" t="s">
        <v>39405</v>
      </c>
      <c r="N5214" t="s">
        <v>41249</v>
      </c>
      <c r="O5214" t="s">
        <v>41250</v>
      </c>
      <c r="P5214">
        <v>0</v>
      </c>
      <c r="Q5214">
        <v>2</v>
      </c>
      <c r="R5214" t="s">
        <v>41254</v>
      </c>
      <c r="S5214" t="s">
        <v>41425</v>
      </c>
      <c r="T5214" t="s">
        <v>42728</v>
      </c>
      <c r="U5214" t="s">
        <v>47518</v>
      </c>
      <c r="W5214" t="s">
        <v>39405</v>
      </c>
      <c r="X5214" t="s">
        <v>41256</v>
      </c>
    </row>
    <row r="5215" spans="1:24">
      <c r="A5215">
        <f>HYPERLINK("https://www.philgeps.gov.ph/GEPSNONPILOT/Tender/SplashBidNoticeAbstractUI.aspx?menuIndex=3&amp;refID=7072460&amp;Result=3","7072460")</f>
        <v>0</v>
      </c>
      <c r="B5215" t="s">
        <v>1798</v>
      </c>
      <c r="C5215" t="s">
        <v>8365</v>
      </c>
      <c r="D5215" t="s">
        <v>16658</v>
      </c>
      <c r="E5215" t="s">
        <v>21375</v>
      </c>
      <c r="F5215" t="s">
        <v>28669</v>
      </c>
      <c r="G5215" t="s">
        <v>28679</v>
      </c>
      <c r="H5215" t="s">
        <v>9998</v>
      </c>
      <c r="I5215" t="s">
        <v>11593</v>
      </c>
      <c r="J5215" t="s">
        <v>32161</v>
      </c>
      <c r="K5215" t="s">
        <v>37209</v>
      </c>
      <c r="M5215" t="s">
        <v>39405</v>
      </c>
      <c r="N5215" t="s">
        <v>41249</v>
      </c>
      <c r="O5215" t="s">
        <v>41250</v>
      </c>
      <c r="P5215">
        <v>0</v>
      </c>
      <c r="Q5215">
        <v>1</v>
      </c>
      <c r="R5215" t="s">
        <v>41254</v>
      </c>
      <c r="S5215" t="s">
        <v>41425</v>
      </c>
      <c r="T5215" t="s">
        <v>42728</v>
      </c>
      <c r="U5215" t="s">
        <v>47519</v>
      </c>
      <c r="W5215" t="s">
        <v>39405</v>
      </c>
      <c r="X5215" t="s">
        <v>41256</v>
      </c>
    </row>
    <row r="5216" spans="1:24">
      <c r="A5216">
        <f>HYPERLINK("https://www.philgeps.gov.ph/GEPSNONPILOT/Tender/SplashBidNoticeAbstractUI.aspx?menuIndex=3&amp;refID=7071839&amp;Result=3","7071839")</f>
        <v>0</v>
      </c>
      <c r="B5216" t="s">
        <v>1770</v>
      </c>
      <c r="C5216" t="s">
        <v>8366</v>
      </c>
      <c r="D5216" t="s">
        <v>16608</v>
      </c>
      <c r="E5216" t="s">
        <v>21376</v>
      </c>
      <c r="F5216" t="s">
        <v>28669</v>
      </c>
      <c r="G5216" t="s">
        <v>28675</v>
      </c>
      <c r="H5216" t="s">
        <v>9998</v>
      </c>
      <c r="I5216" t="s">
        <v>11593</v>
      </c>
      <c r="J5216" t="s">
        <v>32162</v>
      </c>
      <c r="K5216" t="s">
        <v>37221</v>
      </c>
      <c r="M5216" t="s">
        <v>39372</v>
      </c>
      <c r="N5216" t="s">
        <v>41249</v>
      </c>
      <c r="O5216" t="s">
        <v>41250</v>
      </c>
      <c r="P5216">
        <v>0</v>
      </c>
      <c r="Q5216">
        <v>8</v>
      </c>
      <c r="R5216" t="s">
        <v>41254</v>
      </c>
      <c r="S5216" t="s">
        <v>41425</v>
      </c>
      <c r="T5216" t="s">
        <v>42808</v>
      </c>
      <c r="U5216" t="s">
        <v>47520</v>
      </c>
      <c r="W5216" t="s">
        <v>39372</v>
      </c>
      <c r="X5216" t="s">
        <v>41257</v>
      </c>
    </row>
    <row r="5217" spans="1:24">
      <c r="A5217">
        <f>HYPERLINK("https://www.philgeps.gov.ph/GEPSNONPILOT/Tender/SplashBidNoticeAbstractUI.aspx?menuIndex=3&amp;refID=7072459&amp;Result=3","7072459")</f>
        <v>0</v>
      </c>
      <c r="B5217" t="s">
        <v>1798</v>
      </c>
      <c r="C5217" t="s">
        <v>8367</v>
      </c>
      <c r="D5217" t="s">
        <v>16658</v>
      </c>
      <c r="E5217" t="s">
        <v>21377</v>
      </c>
      <c r="F5217" t="s">
        <v>28669</v>
      </c>
      <c r="G5217" t="s">
        <v>28676</v>
      </c>
      <c r="H5217" t="s">
        <v>9998</v>
      </c>
      <c r="I5217" t="s">
        <v>6128</v>
      </c>
      <c r="J5217" t="s">
        <v>32163</v>
      </c>
      <c r="K5217" t="s">
        <v>37209</v>
      </c>
      <c r="M5217" t="s">
        <v>39405</v>
      </c>
      <c r="N5217" t="s">
        <v>41249</v>
      </c>
      <c r="O5217" t="s">
        <v>41250</v>
      </c>
      <c r="P5217">
        <v>0</v>
      </c>
      <c r="Q5217">
        <v>1</v>
      </c>
      <c r="R5217" t="s">
        <v>41254</v>
      </c>
      <c r="S5217" t="s">
        <v>41425</v>
      </c>
      <c r="T5217" t="s">
        <v>42728</v>
      </c>
      <c r="U5217" t="s">
        <v>47521</v>
      </c>
      <c r="W5217" t="s">
        <v>39405</v>
      </c>
      <c r="X5217" t="s">
        <v>41256</v>
      </c>
    </row>
    <row r="5218" spans="1:24">
      <c r="A5218">
        <f>HYPERLINK("https://www.philgeps.gov.ph/GEPSNONPILOT/Tender/SplashBidNoticeAbstractUI.aspx?menuIndex=3&amp;refID=7072457&amp;Result=3","7072457")</f>
        <v>0</v>
      </c>
      <c r="B5218" t="s">
        <v>1798</v>
      </c>
      <c r="C5218" t="s">
        <v>8368</v>
      </c>
      <c r="D5218" t="s">
        <v>16658</v>
      </c>
      <c r="E5218" t="s">
        <v>21378</v>
      </c>
      <c r="F5218" t="s">
        <v>28669</v>
      </c>
      <c r="G5218" t="s">
        <v>28676</v>
      </c>
      <c r="H5218" t="s">
        <v>9998</v>
      </c>
      <c r="I5218" t="s">
        <v>11593</v>
      </c>
      <c r="J5218" t="s">
        <v>32164</v>
      </c>
      <c r="K5218" t="s">
        <v>37209</v>
      </c>
      <c r="M5218" t="s">
        <v>39405</v>
      </c>
      <c r="N5218" t="s">
        <v>41249</v>
      </c>
      <c r="O5218" t="s">
        <v>41250</v>
      </c>
      <c r="P5218">
        <v>0</v>
      </c>
      <c r="Q5218">
        <v>0</v>
      </c>
      <c r="R5218" t="s">
        <v>41254</v>
      </c>
      <c r="S5218" t="s">
        <v>41425</v>
      </c>
      <c r="T5218" t="s">
        <v>42728</v>
      </c>
      <c r="U5218" t="s">
        <v>47522</v>
      </c>
      <c r="W5218" t="s">
        <v>39405</v>
      </c>
      <c r="X5218" t="s">
        <v>41256</v>
      </c>
    </row>
    <row r="5219" spans="1:24">
      <c r="A5219">
        <f>HYPERLINK("https://www.philgeps.gov.ph/GEPSNONPILOT/Tender/SplashBidNoticeAbstractUI.aspx?menuIndex=3&amp;refID=7072452&amp;Result=3","7072452")</f>
        <v>0</v>
      </c>
      <c r="B5219" t="s">
        <v>1798</v>
      </c>
      <c r="C5219" t="s">
        <v>8369</v>
      </c>
      <c r="D5219" t="s">
        <v>16658</v>
      </c>
      <c r="E5219" t="s">
        <v>21379</v>
      </c>
      <c r="F5219" t="s">
        <v>28669</v>
      </c>
      <c r="G5219" t="s">
        <v>28676</v>
      </c>
      <c r="H5219" t="s">
        <v>9998</v>
      </c>
      <c r="I5219" t="s">
        <v>11593</v>
      </c>
      <c r="J5219" t="s">
        <v>32165</v>
      </c>
      <c r="K5219" t="s">
        <v>37209</v>
      </c>
      <c r="M5219" t="s">
        <v>39405</v>
      </c>
      <c r="N5219" t="s">
        <v>41249</v>
      </c>
      <c r="O5219" t="s">
        <v>41250</v>
      </c>
      <c r="P5219">
        <v>0</v>
      </c>
      <c r="Q5219">
        <v>1</v>
      </c>
      <c r="R5219" t="s">
        <v>41254</v>
      </c>
      <c r="S5219" t="s">
        <v>41425</v>
      </c>
      <c r="T5219" t="s">
        <v>42728</v>
      </c>
      <c r="U5219" t="s">
        <v>47523</v>
      </c>
      <c r="W5219" t="s">
        <v>39405</v>
      </c>
      <c r="X5219" t="s">
        <v>41256</v>
      </c>
    </row>
    <row r="5220" spans="1:24">
      <c r="A5220">
        <f>HYPERLINK("https://www.philgeps.gov.ph/GEPSNONPILOT/Tender/SplashBidNoticeAbstractUI.aspx?menuIndex=3&amp;refID=7072465&amp;Result=3","7072465")</f>
        <v>0</v>
      </c>
      <c r="B5220" t="s">
        <v>160</v>
      </c>
      <c r="C5220" t="s">
        <v>8370</v>
      </c>
      <c r="D5220" t="s">
        <v>16615</v>
      </c>
      <c r="E5220" t="s">
        <v>21380</v>
      </c>
      <c r="F5220" t="s">
        <v>28669</v>
      </c>
      <c r="G5220" t="s">
        <v>28676</v>
      </c>
      <c r="H5220" t="s">
        <v>28686</v>
      </c>
      <c r="I5220" t="s">
        <v>28689</v>
      </c>
      <c r="J5220" t="s">
        <v>32166</v>
      </c>
      <c r="K5220" t="s">
        <v>37206</v>
      </c>
      <c r="M5220" t="s">
        <v>37637</v>
      </c>
      <c r="N5220" t="s">
        <v>41249</v>
      </c>
      <c r="O5220" t="s">
        <v>41250</v>
      </c>
      <c r="P5220">
        <v>0</v>
      </c>
      <c r="Q5220">
        <v>0</v>
      </c>
      <c r="R5220" t="s">
        <v>41254</v>
      </c>
      <c r="S5220" t="s">
        <v>41425</v>
      </c>
      <c r="T5220" t="s">
        <v>42883</v>
      </c>
      <c r="U5220" t="s">
        <v>47524</v>
      </c>
      <c r="V5220" t="s">
        <v>54367</v>
      </c>
      <c r="W5220" t="s">
        <v>37637</v>
      </c>
      <c r="X5220" t="s">
        <v>41256</v>
      </c>
    </row>
    <row r="5221" spans="1:24">
      <c r="A5221">
        <f>HYPERLINK("https://www.philgeps.gov.ph/GEPSNONPILOT/Tender/SplashBidNoticeAbstractUI.aspx?menuIndex=3&amp;refID=7071845&amp;Result=3","7071845")</f>
        <v>0</v>
      </c>
      <c r="B5221" t="s">
        <v>164</v>
      </c>
      <c r="C5221" t="s">
        <v>8371</v>
      </c>
      <c r="D5221" t="s">
        <v>16624</v>
      </c>
      <c r="E5221" t="s">
        <v>21381</v>
      </c>
      <c r="F5221" t="s">
        <v>28669</v>
      </c>
      <c r="G5221" t="s">
        <v>28675</v>
      </c>
      <c r="H5221" t="s">
        <v>9998</v>
      </c>
      <c r="I5221" t="s">
        <v>5033</v>
      </c>
      <c r="J5221" t="s">
        <v>32167</v>
      </c>
      <c r="K5221" t="s">
        <v>37206</v>
      </c>
      <c r="M5221" t="s">
        <v>37641</v>
      </c>
      <c r="N5221" t="s">
        <v>41249</v>
      </c>
      <c r="O5221" t="s">
        <v>41250</v>
      </c>
      <c r="P5221">
        <v>0</v>
      </c>
      <c r="Q5221">
        <v>0</v>
      </c>
      <c r="R5221" t="s">
        <v>41254</v>
      </c>
      <c r="S5221" t="s">
        <v>41425</v>
      </c>
      <c r="T5221" t="s">
        <v>42966</v>
      </c>
      <c r="U5221" t="s">
        <v>47525</v>
      </c>
      <c r="W5221" t="s">
        <v>37641</v>
      </c>
      <c r="X5221" t="s">
        <v>41257</v>
      </c>
    </row>
    <row r="5222" spans="1:24">
      <c r="A5222">
        <f>HYPERLINK("https://www.philgeps.gov.ph/GEPSNONPILOT/Tender/SplashBidNoticeAbstractUI.aspx?menuIndex=3&amp;refID=7072463&amp;Result=3","7072463")</f>
        <v>0</v>
      </c>
      <c r="B5222" t="s">
        <v>1798</v>
      </c>
      <c r="C5222" t="s">
        <v>8372</v>
      </c>
      <c r="D5222" t="s">
        <v>16658</v>
      </c>
      <c r="E5222" t="s">
        <v>21382</v>
      </c>
      <c r="F5222" t="s">
        <v>28669</v>
      </c>
      <c r="G5222" t="s">
        <v>28679</v>
      </c>
      <c r="H5222" t="s">
        <v>9998</v>
      </c>
      <c r="I5222" t="s">
        <v>28730</v>
      </c>
      <c r="J5222" t="s">
        <v>32168</v>
      </c>
      <c r="K5222" t="s">
        <v>37209</v>
      </c>
      <c r="M5222" t="s">
        <v>39405</v>
      </c>
      <c r="N5222" t="s">
        <v>41249</v>
      </c>
      <c r="O5222" t="s">
        <v>41250</v>
      </c>
      <c r="P5222">
        <v>0</v>
      </c>
      <c r="Q5222">
        <v>2</v>
      </c>
      <c r="R5222" t="s">
        <v>41254</v>
      </c>
      <c r="S5222" t="s">
        <v>41425</v>
      </c>
      <c r="T5222" t="s">
        <v>42728</v>
      </c>
      <c r="U5222" t="s">
        <v>47526</v>
      </c>
      <c r="W5222" t="s">
        <v>39405</v>
      </c>
      <c r="X5222" t="s">
        <v>41256</v>
      </c>
    </row>
    <row r="5223" spans="1:24">
      <c r="A5223">
        <f>HYPERLINK("https://www.philgeps.gov.ph/GEPSNONPILOT/Tender/SplashBidNoticeAbstractUI.aspx?menuIndex=3&amp;refID=7072448&amp;Result=3","7072448")</f>
        <v>0</v>
      </c>
      <c r="B5223" t="s">
        <v>1798</v>
      </c>
      <c r="C5223" t="s">
        <v>8373</v>
      </c>
      <c r="D5223" t="s">
        <v>16658</v>
      </c>
      <c r="E5223" t="s">
        <v>21383</v>
      </c>
      <c r="F5223" t="s">
        <v>28669</v>
      </c>
      <c r="G5223" t="s">
        <v>28676</v>
      </c>
      <c r="H5223" t="s">
        <v>9998</v>
      </c>
      <c r="I5223" t="s">
        <v>28688</v>
      </c>
      <c r="J5223" t="s">
        <v>29027</v>
      </c>
      <c r="K5223" t="s">
        <v>37209</v>
      </c>
      <c r="M5223" t="s">
        <v>39405</v>
      </c>
      <c r="N5223" t="s">
        <v>41249</v>
      </c>
      <c r="O5223" t="s">
        <v>41250</v>
      </c>
      <c r="P5223">
        <v>0</v>
      </c>
      <c r="Q5223">
        <v>0</v>
      </c>
      <c r="R5223" t="s">
        <v>41254</v>
      </c>
      <c r="S5223" t="s">
        <v>41425</v>
      </c>
      <c r="T5223" t="s">
        <v>42728</v>
      </c>
      <c r="U5223" t="s">
        <v>47527</v>
      </c>
      <c r="W5223" t="s">
        <v>39405</v>
      </c>
      <c r="X5223" t="s">
        <v>41256</v>
      </c>
    </row>
    <row r="5224" spans="1:24">
      <c r="A5224">
        <f>HYPERLINK("https://www.philgeps.gov.ph/GEPSNONPILOT/Tender/SplashBidNoticeAbstractUI.aspx?menuIndex=3&amp;refID=7072446&amp;Result=3","7072446")</f>
        <v>0</v>
      </c>
      <c r="B5224" t="s">
        <v>1696</v>
      </c>
      <c r="C5224" t="s">
        <v>8374</v>
      </c>
      <c r="D5224" t="s">
        <v>16658</v>
      </c>
      <c r="E5224" t="s">
        <v>21384</v>
      </c>
      <c r="F5224" t="s">
        <v>28669</v>
      </c>
      <c r="G5224" t="s">
        <v>28675</v>
      </c>
      <c r="H5224" t="s">
        <v>9998</v>
      </c>
      <c r="I5224" t="s">
        <v>11593</v>
      </c>
      <c r="J5224" t="s">
        <v>32169</v>
      </c>
      <c r="K5224" t="s">
        <v>37209</v>
      </c>
      <c r="M5224" t="s">
        <v>39292</v>
      </c>
      <c r="N5224" t="s">
        <v>41249</v>
      </c>
      <c r="O5224" t="s">
        <v>41250</v>
      </c>
      <c r="P5224">
        <v>0</v>
      </c>
      <c r="Q5224">
        <v>0</v>
      </c>
      <c r="R5224" t="s">
        <v>41254</v>
      </c>
      <c r="S5224" t="s">
        <v>41425</v>
      </c>
      <c r="T5224" t="s">
        <v>42738</v>
      </c>
      <c r="U5224" t="s">
        <v>47528</v>
      </c>
      <c r="W5224" t="s">
        <v>55969</v>
      </c>
      <c r="X5224" t="s">
        <v>41256</v>
      </c>
    </row>
    <row r="5225" spans="1:24">
      <c r="A5225">
        <f>HYPERLINK("https://www.philgeps.gov.ph/GEPSNONPILOT/Tender/SplashBidNoticeAbstractUI.aspx?menuIndex=3&amp;refID=7072444&amp;Result=3","7072444")</f>
        <v>0</v>
      </c>
      <c r="B5225" t="s">
        <v>1696</v>
      </c>
      <c r="C5225" t="s">
        <v>8375</v>
      </c>
      <c r="D5225" t="s">
        <v>16658</v>
      </c>
      <c r="E5225" t="s">
        <v>21385</v>
      </c>
      <c r="F5225" t="s">
        <v>28669</v>
      </c>
      <c r="G5225" t="s">
        <v>28675</v>
      </c>
      <c r="H5225" t="s">
        <v>9998</v>
      </c>
      <c r="I5225" t="s">
        <v>28717</v>
      </c>
      <c r="J5225" t="s">
        <v>32170</v>
      </c>
      <c r="K5225" t="s">
        <v>37209</v>
      </c>
      <c r="M5225" t="s">
        <v>39292</v>
      </c>
      <c r="N5225" t="s">
        <v>41249</v>
      </c>
      <c r="O5225" t="s">
        <v>41250</v>
      </c>
      <c r="Q5225">
        <v>3</v>
      </c>
      <c r="R5225" t="s">
        <v>41254</v>
      </c>
      <c r="S5225" t="s">
        <v>41432</v>
      </c>
      <c r="T5225" t="s">
        <v>42738</v>
      </c>
      <c r="U5225" t="s">
        <v>47529</v>
      </c>
      <c r="W5225" t="s">
        <v>55969</v>
      </c>
      <c r="X5225" t="s">
        <v>41256</v>
      </c>
    </row>
    <row r="5226" spans="1:24">
      <c r="A5226">
        <f>HYPERLINK("https://www.philgeps.gov.ph/GEPSNONPILOT/Tender/SplashBidNoticeAbstractUI.aspx?menuIndex=3&amp;refID=7072451&amp;Result=3","7072451")</f>
        <v>0</v>
      </c>
      <c r="B5226" t="s">
        <v>1696</v>
      </c>
      <c r="C5226" t="s">
        <v>8376</v>
      </c>
      <c r="D5226" t="s">
        <v>16658</v>
      </c>
      <c r="E5226" t="s">
        <v>21386</v>
      </c>
      <c r="F5226" t="s">
        <v>28669</v>
      </c>
      <c r="G5226" t="s">
        <v>28675</v>
      </c>
      <c r="H5226" t="s">
        <v>9998</v>
      </c>
      <c r="I5226" t="s">
        <v>28717</v>
      </c>
      <c r="J5226" t="s">
        <v>32171</v>
      </c>
      <c r="K5226" t="s">
        <v>37209</v>
      </c>
      <c r="M5226" t="s">
        <v>39292</v>
      </c>
      <c r="N5226" t="s">
        <v>41249</v>
      </c>
      <c r="O5226" t="s">
        <v>41250</v>
      </c>
      <c r="P5226">
        <v>0</v>
      </c>
      <c r="Q5226">
        <v>2</v>
      </c>
      <c r="R5226" t="s">
        <v>41254</v>
      </c>
      <c r="S5226" t="s">
        <v>41425</v>
      </c>
      <c r="T5226" t="s">
        <v>42738</v>
      </c>
      <c r="U5226" t="s">
        <v>47530</v>
      </c>
      <c r="W5226" t="s">
        <v>55969</v>
      </c>
      <c r="X5226" t="s">
        <v>41256</v>
      </c>
    </row>
    <row r="5227" spans="1:24">
      <c r="A5227">
        <f>HYPERLINK("https://www.philgeps.gov.ph/GEPSNONPILOT/Tender/SplashBidNoticeAbstractUI.aspx?menuIndex=3&amp;refID=7072438&amp;Result=3","7072438")</f>
        <v>0</v>
      </c>
      <c r="B5227" t="s">
        <v>1798</v>
      </c>
      <c r="C5227" t="s">
        <v>8377</v>
      </c>
      <c r="D5227" t="s">
        <v>16658</v>
      </c>
      <c r="E5227" t="s">
        <v>21359</v>
      </c>
      <c r="F5227" t="s">
        <v>28669</v>
      </c>
      <c r="G5227" t="s">
        <v>28676</v>
      </c>
      <c r="H5227" t="s">
        <v>9998</v>
      </c>
      <c r="I5227" t="s">
        <v>28687</v>
      </c>
      <c r="J5227" t="s">
        <v>29104</v>
      </c>
      <c r="K5227" t="s">
        <v>37209</v>
      </c>
      <c r="M5227" t="s">
        <v>39405</v>
      </c>
      <c r="N5227" t="s">
        <v>41249</v>
      </c>
      <c r="O5227" t="s">
        <v>41250</v>
      </c>
      <c r="P5227">
        <v>0</v>
      </c>
      <c r="Q5227">
        <v>1</v>
      </c>
      <c r="R5227" t="s">
        <v>41254</v>
      </c>
      <c r="S5227" t="s">
        <v>41425</v>
      </c>
      <c r="T5227" t="s">
        <v>42728</v>
      </c>
      <c r="U5227" t="s">
        <v>47531</v>
      </c>
      <c r="W5227" t="s">
        <v>39405</v>
      </c>
      <c r="X5227" t="s">
        <v>41256</v>
      </c>
    </row>
    <row r="5228" spans="1:24">
      <c r="A5228">
        <f>HYPERLINK("https://www.philgeps.gov.ph/GEPSNONPILOT/Tender/SplashBidNoticeAbstractUI.aspx?menuIndex=3&amp;refID=7072437&amp;Result=3","7072437")</f>
        <v>0</v>
      </c>
      <c r="B5228" t="s">
        <v>1696</v>
      </c>
      <c r="C5228" t="s">
        <v>8378</v>
      </c>
      <c r="D5228" t="s">
        <v>16658</v>
      </c>
      <c r="E5228" t="s">
        <v>20447</v>
      </c>
      <c r="F5228" t="s">
        <v>28669</v>
      </c>
      <c r="G5228" t="s">
        <v>28675</v>
      </c>
      <c r="H5228" t="s">
        <v>9998</v>
      </c>
      <c r="I5228" t="s">
        <v>6128</v>
      </c>
      <c r="J5228" t="s">
        <v>32172</v>
      </c>
      <c r="K5228" t="s">
        <v>37209</v>
      </c>
      <c r="M5228" t="s">
        <v>39292</v>
      </c>
      <c r="N5228" t="s">
        <v>41249</v>
      </c>
      <c r="O5228" t="s">
        <v>41250</v>
      </c>
      <c r="P5228">
        <v>0</v>
      </c>
      <c r="Q5228">
        <v>1</v>
      </c>
      <c r="R5228" t="s">
        <v>41254</v>
      </c>
      <c r="S5228" t="s">
        <v>41425</v>
      </c>
      <c r="T5228" t="s">
        <v>42738</v>
      </c>
      <c r="U5228" t="s">
        <v>47532</v>
      </c>
      <c r="W5228" t="s">
        <v>55969</v>
      </c>
      <c r="X5228" t="s">
        <v>41256</v>
      </c>
    </row>
    <row r="5229" spans="1:24">
      <c r="A5229">
        <f>HYPERLINK("https://www.philgeps.gov.ph/GEPSNONPILOT/Tender/SplashBidNoticeAbstractUI.aspx?menuIndex=3&amp;refID=7071814&amp;Result=3","7071814")</f>
        <v>0</v>
      </c>
      <c r="B5229" t="s">
        <v>1777</v>
      </c>
      <c r="C5229" t="s">
        <v>8379</v>
      </c>
      <c r="D5229" t="s">
        <v>16608</v>
      </c>
      <c r="E5229" t="s">
        <v>21387</v>
      </c>
      <c r="F5229" t="s">
        <v>28669</v>
      </c>
      <c r="G5229" t="s">
        <v>28678</v>
      </c>
      <c r="H5229" t="s">
        <v>9998</v>
      </c>
      <c r="I5229" t="s">
        <v>3718</v>
      </c>
      <c r="J5229" t="s">
        <v>32173</v>
      </c>
      <c r="K5229" t="s">
        <v>37227</v>
      </c>
      <c r="M5229" t="s">
        <v>39380</v>
      </c>
      <c r="N5229" t="s">
        <v>41249</v>
      </c>
      <c r="O5229" t="s">
        <v>41250</v>
      </c>
      <c r="P5229">
        <v>0</v>
      </c>
      <c r="Q5229">
        <v>16</v>
      </c>
      <c r="R5229" t="s">
        <v>41254</v>
      </c>
      <c r="S5229" t="s">
        <v>41425</v>
      </c>
      <c r="T5229" t="s">
        <v>42758</v>
      </c>
      <c r="U5229" t="s">
        <v>47533</v>
      </c>
      <c r="W5229" t="s">
        <v>39380</v>
      </c>
      <c r="X5229" t="s">
        <v>41257</v>
      </c>
    </row>
    <row r="5230" spans="1:24">
      <c r="A5230">
        <f>HYPERLINK("https://www.philgeps.gov.ph/GEPSNONPILOT/Tender/SplashBidNoticeAbstractUI.aspx?menuIndex=3&amp;refID=7072535&amp;Result=3","7072535")</f>
        <v>0</v>
      </c>
      <c r="B5230" t="s">
        <v>447</v>
      </c>
      <c r="C5230" t="s">
        <v>8380</v>
      </c>
      <c r="D5230" t="s">
        <v>16608</v>
      </c>
      <c r="E5230" t="s">
        <v>17145</v>
      </c>
      <c r="F5230" t="s">
        <v>28669</v>
      </c>
      <c r="G5230" t="s">
        <v>28679</v>
      </c>
      <c r="H5230" t="s">
        <v>9998</v>
      </c>
      <c r="I5230" t="s">
        <v>28708</v>
      </c>
      <c r="J5230" t="s">
        <v>31948</v>
      </c>
      <c r="K5230" t="s">
        <v>37209</v>
      </c>
      <c r="M5230" t="s">
        <v>38960</v>
      </c>
      <c r="N5230" t="s">
        <v>41249</v>
      </c>
      <c r="O5230" t="s">
        <v>41250</v>
      </c>
      <c r="P5230">
        <v>0</v>
      </c>
      <c r="Q5230">
        <v>5</v>
      </c>
      <c r="R5230" t="s">
        <v>41254</v>
      </c>
      <c r="S5230" t="s">
        <v>41425</v>
      </c>
      <c r="T5230" t="s">
        <v>42711</v>
      </c>
      <c r="U5230" t="s">
        <v>47534</v>
      </c>
      <c r="W5230" t="s">
        <v>38960</v>
      </c>
      <c r="X5230" t="s">
        <v>41256</v>
      </c>
    </row>
    <row r="5231" spans="1:24">
      <c r="A5231">
        <f>HYPERLINK("https://www.philgeps.gov.ph/GEPSNONPILOT/Tender/SplashBidNoticeAbstractUI.aspx?menuIndex=3&amp;refID=7072445&amp;Result=3","7072445")</f>
        <v>0</v>
      </c>
      <c r="B5231" t="s">
        <v>160</v>
      </c>
      <c r="C5231" t="s">
        <v>8370</v>
      </c>
      <c r="D5231" t="s">
        <v>16615</v>
      </c>
      <c r="E5231" t="s">
        <v>21388</v>
      </c>
      <c r="F5231" t="s">
        <v>28669</v>
      </c>
      <c r="G5231" t="s">
        <v>28676</v>
      </c>
      <c r="H5231" t="s">
        <v>28686</v>
      </c>
      <c r="I5231" t="s">
        <v>28689</v>
      </c>
      <c r="J5231" t="s">
        <v>31108</v>
      </c>
      <c r="K5231" t="s">
        <v>37206</v>
      </c>
      <c r="M5231" t="s">
        <v>37637</v>
      </c>
      <c r="N5231" t="s">
        <v>41249</v>
      </c>
      <c r="O5231" t="s">
        <v>41250</v>
      </c>
      <c r="P5231">
        <v>0</v>
      </c>
      <c r="Q5231">
        <v>0</v>
      </c>
      <c r="R5231" t="s">
        <v>41254</v>
      </c>
      <c r="S5231" t="s">
        <v>41425</v>
      </c>
      <c r="T5231" t="s">
        <v>42883</v>
      </c>
      <c r="U5231" t="s">
        <v>47535</v>
      </c>
      <c r="V5231" t="s">
        <v>54367</v>
      </c>
      <c r="W5231" t="s">
        <v>37637</v>
      </c>
      <c r="X5231" t="s">
        <v>41256</v>
      </c>
    </row>
    <row r="5232" spans="1:24">
      <c r="A5232">
        <f>HYPERLINK("https://www.philgeps.gov.ph/GEPSNONPILOT/Tender/SplashBidNoticeAbstractUI.aspx?menuIndex=3&amp;refID=7072453&amp;Result=3","7072453")</f>
        <v>0</v>
      </c>
      <c r="B5232" t="s">
        <v>1801</v>
      </c>
      <c r="C5232" t="s">
        <v>8381</v>
      </c>
      <c r="D5232" t="s">
        <v>16643</v>
      </c>
      <c r="E5232" t="s">
        <v>17029</v>
      </c>
      <c r="F5232" t="s">
        <v>28669</v>
      </c>
      <c r="G5232" t="s">
        <v>28677</v>
      </c>
      <c r="H5232" t="s">
        <v>9998</v>
      </c>
      <c r="I5232" t="s">
        <v>6128</v>
      </c>
      <c r="J5232" t="s">
        <v>32174</v>
      </c>
      <c r="K5232" t="s">
        <v>37209</v>
      </c>
      <c r="M5232" t="s">
        <v>39409</v>
      </c>
      <c r="N5232" t="s">
        <v>41249</v>
      </c>
      <c r="O5232" t="s">
        <v>41250</v>
      </c>
      <c r="P5232">
        <v>0</v>
      </c>
      <c r="Q5232">
        <v>4</v>
      </c>
      <c r="R5232" t="s">
        <v>41254</v>
      </c>
      <c r="S5232" t="s">
        <v>41425</v>
      </c>
      <c r="T5232" t="s">
        <v>42909</v>
      </c>
      <c r="U5232" t="s">
        <v>47536</v>
      </c>
      <c r="W5232" t="s">
        <v>39409</v>
      </c>
      <c r="X5232" t="s">
        <v>41256</v>
      </c>
    </row>
    <row r="5233" spans="1:24">
      <c r="A5233">
        <f>HYPERLINK("https://www.philgeps.gov.ph/GEPSNONPILOT/Tender/SplashBidNoticeAbstractUI.aspx?menuIndex=3&amp;refID=7072531&amp;Result=3","7072531")</f>
        <v>0</v>
      </c>
      <c r="B5233" t="s">
        <v>1689</v>
      </c>
      <c r="C5233" t="s">
        <v>8382</v>
      </c>
      <c r="D5233" t="s">
        <v>16641</v>
      </c>
      <c r="E5233" t="s">
        <v>21389</v>
      </c>
      <c r="F5233" t="s">
        <v>28669</v>
      </c>
      <c r="G5233" t="s">
        <v>28675</v>
      </c>
      <c r="H5233" t="s">
        <v>9998</v>
      </c>
      <c r="I5233" t="s">
        <v>28693</v>
      </c>
      <c r="J5233" t="s">
        <v>32175</v>
      </c>
      <c r="K5233" t="s">
        <v>37210</v>
      </c>
      <c r="M5233" t="s">
        <v>39410</v>
      </c>
      <c r="N5233" t="s">
        <v>41249</v>
      </c>
      <c r="O5233" t="s">
        <v>41250</v>
      </c>
      <c r="P5233">
        <v>0</v>
      </c>
      <c r="Q5233">
        <v>16</v>
      </c>
      <c r="R5233" t="s">
        <v>41254</v>
      </c>
      <c r="S5233" t="s">
        <v>41425</v>
      </c>
      <c r="T5233" t="s">
        <v>42688</v>
      </c>
      <c r="U5233" t="s">
        <v>47537</v>
      </c>
      <c r="W5233" t="s">
        <v>39410</v>
      </c>
      <c r="X5233" t="s">
        <v>41256</v>
      </c>
    </row>
    <row r="5234" spans="1:24">
      <c r="A5234">
        <f>HYPERLINK("https://www.philgeps.gov.ph/GEPSNONPILOT/Tender/SplashBidNoticeAbstractUI.aspx?menuIndex=3&amp;refID=7072527&amp;Result=3","7072527")</f>
        <v>0</v>
      </c>
      <c r="B5234" t="s">
        <v>1689</v>
      </c>
      <c r="C5234" t="s">
        <v>8383</v>
      </c>
      <c r="D5234" t="s">
        <v>16641</v>
      </c>
      <c r="E5234" t="s">
        <v>21390</v>
      </c>
      <c r="F5234" t="s">
        <v>28669</v>
      </c>
      <c r="G5234" t="s">
        <v>28675</v>
      </c>
      <c r="H5234" t="s">
        <v>9998</v>
      </c>
      <c r="I5234" t="s">
        <v>5286</v>
      </c>
      <c r="J5234" t="s">
        <v>32176</v>
      </c>
      <c r="K5234" t="s">
        <v>37210</v>
      </c>
      <c r="M5234" t="s">
        <v>39410</v>
      </c>
      <c r="N5234" t="s">
        <v>41249</v>
      </c>
      <c r="O5234" t="s">
        <v>41250</v>
      </c>
      <c r="P5234">
        <v>0</v>
      </c>
      <c r="Q5234">
        <v>10</v>
      </c>
      <c r="R5234" t="s">
        <v>41254</v>
      </c>
      <c r="S5234" t="s">
        <v>41425</v>
      </c>
      <c r="T5234" t="s">
        <v>42688</v>
      </c>
      <c r="U5234" t="s">
        <v>47538</v>
      </c>
      <c r="W5234" t="s">
        <v>39410</v>
      </c>
      <c r="X5234" t="s">
        <v>41256</v>
      </c>
    </row>
    <row r="5235" spans="1:24">
      <c r="A5235">
        <f>HYPERLINK("https://www.philgeps.gov.ph/GEPSNONPILOT/Tender/SplashBidNoticeAbstractUI.aspx?menuIndex=3&amp;refID=7072449&amp;Result=3","7072449")</f>
        <v>0</v>
      </c>
      <c r="B5235" t="s">
        <v>1696</v>
      </c>
      <c r="C5235" t="s">
        <v>8384</v>
      </c>
      <c r="D5235" t="s">
        <v>16658</v>
      </c>
      <c r="E5235" t="s">
        <v>21391</v>
      </c>
      <c r="F5235" t="s">
        <v>28669</v>
      </c>
      <c r="G5235" t="s">
        <v>28675</v>
      </c>
      <c r="H5235" t="s">
        <v>9998</v>
      </c>
      <c r="I5235" t="s">
        <v>28692</v>
      </c>
      <c r="J5235" t="s">
        <v>32177</v>
      </c>
      <c r="K5235" t="s">
        <v>37209</v>
      </c>
      <c r="M5235" t="s">
        <v>39292</v>
      </c>
      <c r="N5235" t="s">
        <v>41249</v>
      </c>
      <c r="O5235" t="s">
        <v>41250</v>
      </c>
      <c r="P5235">
        <v>0</v>
      </c>
      <c r="Q5235">
        <v>1</v>
      </c>
      <c r="R5235" t="s">
        <v>41254</v>
      </c>
      <c r="S5235" t="s">
        <v>41425</v>
      </c>
      <c r="T5235" t="s">
        <v>42738</v>
      </c>
      <c r="U5235" t="s">
        <v>47539</v>
      </c>
      <c r="W5235" t="s">
        <v>55969</v>
      </c>
      <c r="X5235" t="s">
        <v>41256</v>
      </c>
    </row>
    <row r="5236" spans="1:24">
      <c r="A5236">
        <f>HYPERLINK("https://www.philgeps.gov.ph/GEPSNONPILOT/Tender/SplashBidNoticeAbstractUI.aspx?menuIndex=3&amp;refID=7072518&amp;Result=3","7072518")</f>
        <v>0</v>
      </c>
      <c r="B5236" t="s">
        <v>411</v>
      </c>
      <c r="C5236" t="s">
        <v>8385</v>
      </c>
      <c r="D5236" t="s">
        <v>16616</v>
      </c>
      <c r="E5236" t="s">
        <v>21392</v>
      </c>
      <c r="F5236" t="s">
        <v>28669</v>
      </c>
      <c r="G5236" t="s">
        <v>28676</v>
      </c>
      <c r="H5236" t="s">
        <v>9998</v>
      </c>
      <c r="I5236" t="s">
        <v>28736</v>
      </c>
      <c r="J5236" t="s">
        <v>28905</v>
      </c>
      <c r="K5236" t="s">
        <v>37205</v>
      </c>
      <c r="M5236" t="s">
        <v>39337</v>
      </c>
      <c r="N5236" t="s">
        <v>41249</v>
      </c>
      <c r="O5236" t="s">
        <v>41250</v>
      </c>
      <c r="P5236">
        <v>0</v>
      </c>
      <c r="Q5236">
        <v>0</v>
      </c>
      <c r="R5236" t="s">
        <v>41254</v>
      </c>
      <c r="S5236" t="s">
        <v>41425</v>
      </c>
      <c r="T5236" t="s">
        <v>42706</v>
      </c>
      <c r="U5236" t="s">
        <v>47540</v>
      </c>
      <c r="W5236" t="s">
        <v>39337</v>
      </c>
      <c r="X5236" t="s">
        <v>41256</v>
      </c>
    </row>
    <row r="5237" spans="1:24">
      <c r="A5237">
        <f>HYPERLINK("https://www.philgeps.gov.ph/GEPSNONPILOT/Tender/SplashBidNoticeAbstractUI.aspx?menuIndex=3&amp;refID=7072548&amp;Result=3","7072548")</f>
        <v>0</v>
      </c>
      <c r="B5237" t="s">
        <v>1802</v>
      </c>
      <c r="C5237" t="s">
        <v>8386</v>
      </c>
      <c r="D5237" t="s">
        <v>16608</v>
      </c>
      <c r="E5237" t="s">
        <v>21393</v>
      </c>
      <c r="F5237" t="s">
        <v>28669</v>
      </c>
      <c r="G5237" t="s">
        <v>28676</v>
      </c>
      <c r="H5237" t="s">
        <v>28685</v>
      </c>
      <c r="I5237" t="s">
        <v>28685</v>
      </c>
      <c r="J5237" t="s">
        <v>28889</v>
      </c>
      <c r="K5237" t="s">
        <v>37314</v>
      </c>
      <c r="M5237" t="s">
        <v>39411</v>
      </c>
      <c r="N5237" t="s">
        <v>41249</v>
      </c>
      <c r="O5237" t="s">
        <v>41250</v>
      </c>
      <c r="P5237">
        <v>0</v>
      </c>
      <c r="Q5237">
        <v>6</v>
      </c>
      <c r="R5237" t="s">
        <v>41254</v>
      </c>
      <c r="S5237" t="s">
        <v>41425</v>
      </c>
      <c r="T5237" t="s">
        <v>42675</v>
      </c>
      <c r="U5237" t="s">
        <v>47541</v>
      </c>
      <c r="W5237" t="s">
        <v>39411</v>
      </c>
      <c r="X5237" t="s">
        <v>41256</v>
      </c>
    </row>
    <row r="5238" spans="1:24">
      <c r="A5238">
        <f>HYPERLINK("https://www.philgeps.gov.ph/GEPSNONPILOT/Tender/SplashBidNoticeAbstractUI.aspx?menuIndex=3&amp;refID=7072443&amp;Result=3","7072443")</f>
        <v>0</v>
      </c>
      <c r="B5238" t="s">
        <v>1798</v>
      </c>
      <c r="C5238" t="s">
        <v>8387</v>
      </c>
      <c r="D5238" t="s">
        <v>16658</v>
      </c>
      <c r="E5238" t="s">
        <v>21394</v>
      </c>
      <c r="F5238" t="s">
        <v>28669</v>
      </c>
      <c r="G5238" t="s">
        <v>28676</v>
      </c>
      <c r="H5238" t="s">
        <v>9998</v>
      </c>
      <c r="I5238" t="s">
        <v>28688</v>
      </c>
      <c r="J5238" t="s">
        <v>29412</v>
      </c>
      <c r="K5238" t="s">
        <v>37209</v>
      </c>
      <c r="M5238" t="s">
        <v>39405</v>
      </c>
      <c r="N5238" t="s">
        <v>41249</v>
      </c>
      <c r="O5238" t="s">
        <v>41250</v>
      </c>
      <c r="P5238">
        <v>0</v>
      </c>
      <c r="Q5238">
        <v>0</v>
      </c>
      <c r="R5238" t="s">
        <v>41254</v>
      </c>
      <c r="S5238" t="s">
        <v>41425</v>
      </c>
      <c r="T5238" t="s">
        <v>42728</v>
      </c>
      <c r="U5238" t="s">
        <v>47542</v>
      </c>
      <c r="W5238" t="s">
        <v>39405</v>
      </c>
      <c r="X5238" t="s">
        <v>41256</v>
      </c>
    </row>
    <row r="5239" spans="1:24">
      <c r="A5239">
        <f>HYPERLINK("https://www.philgeps.gov.ph/GEPSNONPILOT/Tender/SplashBidNoticeAbstractUI.aspx?menuIndex=3&amp;refID=7072530&amp;Result=3","7072530")</f>
        <v>0</v>
      </c>
      <c r="B5239" t="s">
        <v>1803</v>
      </c>
      <c r="C5239" t="s">
        <v>8388</v>
      </c>
      <c r="D5239" t="s">
        <v>16684</v>
      </c>
      <c r="E5239" t="s">
        <v>20125</v>
      </c>
      <c r="F5239" t="s">
        <v>28669</v>
      </c>
      <c r="G5239" t="s">
        <v>28676</v>
      </c>
      <c r="H5239" t="s">
        <v>9998</v>
      </c>
      <c r="I5239" t="s">
        <v>5213</v>
      </c>
      <c r="J5239" t="s">
        <v>29151</v>
      </c>
      <c r="K5239" t="s">
        <v>37208</v>
      </c>
      <c r="M5239" t="s">
        <v>39412</v>
      </c>
      <c r="N5239" t="s">
        <v>41249</v>
      </c>
      <c r="O5239" t="s">
        <v>41250</v>
      </c>
      <c r="P5239">
        <v>0</v>
      </c>
      <c r="Q5239">
        <v>0</v>
      </c>
      <c r="R5239" t="s">
        <v>41254</v>
      </c>
      <c r="S5239" t="s">
        <v>41425</v>
      </c>
      <c r="T5239" t="s">
        <v>42727</v>
      </c>
      <c r="U5239" t="s">
        <v>47543</v>
      </c>
      <c r="W5239" t="s">
        <v>39412</v>
      </c>
      <c r="X5239" t="s">
        <v>41256</v>
      </c>
    </row>
    <row r="5240" spans="1:24">
      <c r="A5240">
        <f>HYPERLINK("https://www.philgeps.gov.ph/GEPSNONPILOT/Tender/SplashBidNoticeAbstractUI.aspx?menuIndex=3&amp;refID=7072215&amp;Result=3","7072215")</f>
        <v>0</v>
      </c>
      <c r="B5240" t="s">
        <v>1783</v>
      </c>
      <c r="C5240" t="s">
        <v>8314</v>
      </c>
      <c r="D5240" t="s">
        <v>16660</v>
      </c>
      <c r="E5240" t="s">
        <v>21395</v>
      </c>
      <c r="F5240" t="s">
        <v>28669</v>
      </c>
      <c r="G5240" t="s">
        <v>28678</v>
      </c>
      <c r="H5240" t="s">
        <v>9998</v>
      </c>
      <c r="I5240" t="s">
        <v>28688</v>
      </c>
      <c r="J5240" t="s">
        <v>32178</v>
      </c>
      <c r="K5240" t="s">
        <v>37208</v>
      </c>
      <c r="M5240" t="s">
        <v>39387</v>
      </c>
      <c r="N5240" t="s">
        <v>41249</v>
      </c>
      <c r="O5240" t="s">
        <v>41250</v>
      </c>
      <c r="P5240">
        <v>0</v>
      </c>
      <c r="Q5240">
        <v>6</v>
      </c>
      <c r="R5240" t="s">
        <v>41254</v>
      </c>
      <c r="S5240" t="s">
        <v>41425</v>
      </c>
      <c r="T5240" t="s">
        <v>42758</v>
      </c>
      <c r="U5240" t="s">
        <v>43328</v>
      </c>
      <c r="W5240" t="s">
        <v>39387</v>
      </c>
      <c r="X5240" t="s">
        <v>41257</v>
      </c>
    </row>
    <row r="5241" spans="1:24">
      <c r="A5241">
        <f>HYPERLINK("https://www.philgeps.gov.ph/GEPSNONPILOT/Tender/SplashBidNoticeAbstractUI.aspx?menuIndex=3&amp;refID=7072502&amp;Result=3","7072502")</f>
        <v>0</v>
      </c>
      <c r="B5241" t="s">
        <v>411</v>
      </c>
      <c r="C5241" t="s">
        <v>8389</v>
      </c>
      <c r="D5241" t="s">
        <v>16616</v>
      </c>
      <c r="E5241" t="s">
        <v>21396</v>
      </c>
      <c r="F5241" t="s">
        <v>28669</v>
      </c>
      <c r="G5241" t="s">
        <v>28676</v>
      </c>
      <c r="H5241" t="s">
        <v>9998</v>
      </c>
      <c r="I5241" t="s">
        <v>28706</v>
      </c>
      <c r="J5241" t="s">
        <v>32179</v>
      </c>
      <c r="K5241" t="s">
        <v>37205</v>
      </c>
      <c r="M5241" t="s">
        <v>39337</v>
      </c>
      <c r="N5241" t="s">
        <v>41249</v>
      </c>
      <c r="O5241" t="s">
        <v>41250</v>
      </c>
      <c r="P5241">
        <v>0</v>
      </c>
      <c r="Q5241">
        <v>3</v>
      </c>
      <c r="R5241" t="s">
        <v>41254</v>
      </c>
      <c r="S5241" t="s">
        <v>41425</v>
      </c>
      <c r="T5241" t="s">
        <v>42706</v>
      </c>
      <c r="U5241" t="s">
        <v>47544</v>
      </c>
      <c r="W5241" t="s">
        <v>39337</v>
      </c>
      <c r="X5241" t="s">
        <v>41256</v>
      </c>
    </row>
    <row r="5242" spans="1:24">
      <c r="A5242">
        <f>HYPERLINK("https://www.philgeps.gov.ph/GEPSNONPILOT/Tender/SplashBidNoticeAbstractUI.aspx?menuIndex=3&amp;refID=7072523&amp;Result=3","7072523")</f>
        <v>0</v>
      </c>
      <c r="B5242" t="s">
        <v>1803</v>
      </c>
      <c r="C5242" t="s">
        <v>6824</v>
      </c>
      <c r="D5242" t="s">
        <v>16684</v>
      </c>
      <c r="E5242" t="s">
        <v>21081</v>
      </c>
      <c r="F5242" t="s">
        <v>28669</v>
      </c>
      <c r="G5242" t="s">
        <v>28676</v>
      </c>
      <c r="H5242" t="s">
        <v>9998</v>
      </c>
      <c r="I5242" t="s">
        <v>5213</v>
      </c>
      <c r="J5242" t="s">
        <v>29545</v>
      </c>
      <c r="K5242" t="s">
        <v>37208</v>
      </c>
      <c r="M5242" t="s">
        <v>39412</v>
      </c>
      <c r="N5242" t="s">
        <v>41249</v>
      </c>
      <c r="O5242" t="s">
        <v>41250</v>
      </c>
      <c r="P5242">
        <v>0</v>
      </c>
      <c r="Q5242">
        <v>0</v>
      </c>
      <c r="R5242" t="s">
        <v>41254</v>
      </c>
      <c r="S5242" t="s">
        <v>41425</v>
      </c>
      <c r="T5242" t="s">
        <v>42727</v>
      </c>
      <c r="U5242" t="s">
        <v>47545</v>
      </c>
      <c r="W5242" t="s">
        <v>39412</v>
      </c>
      <c r="X5242" t="s">
        <v>41256</v>
      </c>
    </row>
    <row r="5243" spans="1:24">
      <c r="A5243">
        <f>HYPERLINK("https://www.philgeps.gov.ph/GEPSNONPILOT/Tender/SplashBidNoticeAbstractUI.aspx?menuIndex=3&amp;refID=7072501&amp;Result=3","7072501")</f>
        <v>0</v>
      </c>
      <c r="B5243" t="s">
        <v>313</v>
      </c>
      <c r="C5243" t="s">
        <v>8390</v>
      </c>
      <c r="D5243" t="s">
        <v>16642</v>
      </c>
      <c r="E5243" t="s">
        <v>21397</v>
      </c>
      <c r="F5243" t="s">
        <v>28669</v>
      </c>
      <c r="G5243" t="s">
        <v>28675</v>
      </c>
      <c r="H5243" t="s">
        <v>9998</v>
      </c>
      <c r="I5243" t="s">
        <v>28749</v>
      </c>
      <c r="J5243" t="s">
        <v>29003</v>
      </c>
      <c r="K5243" t="s">
        <v>37227</v>
      </c>
      <c r="M5243" t="s">
        <v>39413</v>
      </c>
      <c r="N5243" t="s">
        <v>41249</v>
      </c>
      <c r="O5243" t="s">
        <v>41250</v>
      </c>
      <c r="P5243">
        <v>0</v>
      </c>
      <c r="Q5243">
        <v>2</v>
      </c>
      <c r="R5243" t="s">
        <v>41254</v>
      </c>
      <c r="S5243" t="s">
        <v>41425</v>
      </c>
      <c r="T5243" t="s">
        <v>42711</v>
      </c>
      <c r="U5243" t="s">
        <v>47546</v>
      </c>
      <c r="W5243" t="s">
        <v>39413</v>
      </c>
      <c r="X5243" t="s">
        <v>41256</v>
      </c>
    </row>
    <row r="5244" spans="1:24">
      <c r="A5244">
        <f>HYPERLINK("https://www.philgeps.gov.ph/GEPSNONPILOT/Tender/SplashBidNoticeAbstractUI.aspx?menuIndex=3&amp;refID=7072497&amp;Result=3","7072497")</f>
        <v>0</v>
      </c>
      <c r="B5244" t="s">
        <v>313</v>
      </c>
      <c r="C5244" t="s">
        <v>8391</v>
      </c>
      <c r="D5244" t="s">
        <v>16642</v>
      </c>
      <c r="E5244" t="s">
        <v>21398</v>
      </c>
      <c r="F5244" t="s">
        <v>28669</v>
      </c>
      <c r="G5244" t="s">
        <v>28675</v>
      </c>
      <c r="H5244" t="s">
        <v>9998</v>
      </c>
      <c r="I5244" t="s">
        <v>28694</v>
      </c>
      <c r="J5244" t="s">
        <v>32180</v>
      </c>
      <c r="K5244" t="s">
        <v>37210</v>
      </c>
      <c r="M5244" t="s">
        <v>39413</v>
      </c>
      <c r="N5244" t="s">
        <v>41249</v>
      </c>
      <c r="O5244" t="s">
        <v>41250</v>
      </c>
      <c r="P5244">
        <v>0</v>
      </c>
      <c r="Q5244">
        <v>1</v>
      </c>
      <c r="R5244" t="s">
        <v>41254</v>
      </c>
      <c r="S5244" t="s">
        <v>41425</v>
      </c>
      <c r="T5244" t="s">
        <v>42711</v>
      </c>
      <c r="U5244" t="s">
        <v>47546</v>
      </c>
      <c r="W5244" t="s">
        <v>39413</v>
      </c>
      <c r="X5244" t="s">
        <v>41256</v>
      </c>
    </row>
    <row r="5245" spans="1:24">
      <c r="A5245">
        <f>HYPERLINK("https://www.philgeps.gov.ph/GEPSNONPILOT/Tender/SplashBidNoticeAbstractUI.aspx?menuIndex=3&amp;refID=7072514&amp;Result=3","7072514")</f>
        <v>0</v>
      </c>
      <c r="B5245" t="s">
        <v>1484</v>
      </c>
      <c r="C5245" t="s">
        <v>8392</v>
      </c>
      <c r="D5245" t="s">
        <v>16608</v>
      </c>
      <c r="E5245" t="s">
        <v>17319</v>
      </c>
      <c r="F5245" t="s">
        <v>28669</v>
      </c>
      <c r="G5245" t="s">
        <v>28675</v>
      </c>
      <c r="H5245" t="s">
        <v>28684</v>
      </c>
      <c r="I5245" t="s">
        <v>28701</v>
      </c>
      <c r="J5245" t="s">
        <v>29053</v>
      </c>
      <c r="K5245" t="s">
        <v>37326</v>
      </c>
      <c r="M5245" t="s">
        <v>39054</v>
      </c>
      <c r="N5245" t="s">
        <v>41249</v>
      </c>
      <c r="O5245" t="s">
        <v>41250</v>
      </c>
      <c r="P5245">
        <v>0</v>
      </c>
      <c r="Q5245">
        <v>7</v>
      </c>
      <c r="R5245" t="s">
        <v>41254</v>
      </c>
      <c r="S5245" t="s">
        <v>41425</v>
      </c>
      <c r="T5245" t="s">
        <v>42793</v>
      </c>
      <c r="U5245" t="s">
        <v>47547</v>
      </c>
      <c r="V5245" t="s">
        <v>54843</v>
      </c>
      <c r="W5245" t="s">
        <v>39054</v>
      </c>
      <c r="X5245" t="s">
        <v>41256</v>
      </c>
    </row>
    <row r="5246" spans="1:24">
      <c r="A5246">
        <f>HYPERLINK("https://www.philgeps.gov.ph/GEPSNONPILOT/Tender/SplashBidNoticeAbstractUI.aspx?menuIndex=3&amp;refID=7072482&amp;Result=3","7072482")</f>
        <v>0</v>
      </c>
      <c r="B5246" t="s">
        <v>1804</v>
      </c>
      <c r="C5246" t="s">
        <v>8393</v>
      </c>
      <c r="D5246" t="s">
        <v>16643</v>
      </c>
      <c r="E5246" t="s">
        <v>21399</v>
      </c>
      <c r="F5246" t="s">
        <v>28669</v>
      </c>
      <c r="G5246" t="s">
        <v>28675</v>
      </c>
      <c r="H5246" t="s">
        <v>28686</v>
      </c>
      <c r="I5246" t="s">
        <v>28689</v>
      </c>
      <c r="J5246" t="s">
        <v>28878</v>
      </c>
      <c r="K5246" t="s">
        <v>37221</v>
      </c>
      <c r="L5246" t="s">
        <v>1804</v>
      </c>
      <c r="M5246" t="s">
        <v>39414</v>
      </c>
      <c r="N5246" t="s">
        <v>41249</v>
      </c>
      <c r="O5246" t="s">
        <v>41250</v>
      </c>
      <c r="P5246">
        <v>0</v>
      </c>
      <c r="Q5246">
        <v>0</v>
      </c>
      <c r="R5246" t="s">
        <v>41254</v>
      </c>
      <c r="S5246" t="s">
        <v>41425</v>
      </c>
      <c r="T5246" t="s">
        <v>42696</v>
      </c>
      <c r="U5246" t="s">
        <v>47548</v>
      </c>
      <c r="V5246" t="s">
        <v>54844</v>
      </c>
      <c r="W5246" t="s">
        <v>39414</v>
      </c>
      <c r="X5246" t="s">
        <v>41256</v>
      </c>
    </row>
    <row r="5247" spans="1:24">
      <c r="A5247">
        <f>HYPERLINK("https://www.philgeps.gov.ph/GEPSNONPILOT/Tender/SplashBidNoticeAbstractUI.aspx?menuIndex=3&amp;refID=7072513&amp;Result=3","7072513")</f>
        <v>0</v>
      </c>
      <c r="B5247" t="s">
        <v>313</v>
      </c>
      <c r="C5247" t="s">
        <v>8394</v>
      </c>
      <c r="D5247" t="s">
        <v>16642</v>
      </c>
      <c r="E5247" t="s">
        <v>21400</v>
      </c>
      <c r="F5247" t="s">
        <v>28669</v>
      </c>
      <c r="G5247" t="s">
        <v>28675</v>
      </c>
      <c r="H5247" t="s">
        <v>9998</v>
      </c>
      <c r="I5247" t="s">
        <v>28687</v>
      </c>
      <c r="J5247" t="s">
        <v>32181</v>
      </c>
      <c r="K5247" t="s">
        <v>37221</v>
      </c>
      <c r="M5247" t="s">
        <v>39413</v>
      </c>
      <c r="N5247" t="s">
        <v>41249</v>
      </c>
      <c r="O5247" t="s">
        <v>41250</v>
      </c>
      <c r="P5247">
        <v>0</v>
      </c>
      <c r="Q5247">
        <v>4</v>
      </c>
      <c r="R5247" t="s">
        <v>41254</v>
      </c>
      <c r="S5247" t="s">
        <v>41425</v>
      </c>
      <c r="T5247" t="s">
        <v>42711</v>
      </c>
      <c r="U5247" t="s">
        <v>47546</v>
      </c>
      <c r="W5247" t="s">
        <v>39413</v>
      </c>
      <c r="X5247" t="s">
        <v>41256</v>
      </c>
    </row>
    <row r="5248" spans="1:24">
      <c r="A5248">
        <f>HYPERLINK("https://www.philgeps.gov.ph/GEPSNONPILOT/Tender/SplashBidNoticeAbstractUI.aspx?menuIndex=3&amp;refID=7072481&amp;Result=3","7072481")</f>
        <v>0</v>
      </c>
      <c r="B5248" t="s">
        <v>411</v>
      </c>
      <c r="C5248" t="s">
        <v>8395</v>
      </c>
      <c r="D5248" t="s">
        <v>16626</v>
      </c>
      <c r="E5248" t="s">
        <v>21401</v>
      </c>
      <c r="F5248" t="s">
        <v>28669</v>
      </c>
      <c r="G5248" t="s">
        <v>28676</v>
      </c>
      <c r="H5248" t="s">
        <v>28684</v>
      </c>
      <c r="I5248" t="s">
        <v>6606</v>
      </c>
      <c r="J5248" t="s">
        <v>29616</v>
      </c>
      <c r="K5248" t="s">
        <v>37256</v>
      </c>
      <c r="M5248" t="s">
        <v>39337</v>
      </c>
      <c r="N5248" t="s">
        <v>41249</v>
      </c>
      <c r="O5248" t="s">
        <v>41250</v>
      </c>
      <c r="P5248">
        <v>0</v>
      </c>
      <c r="Q5248">
        <v>0</v>
      </c>
      <c r="R5248" t="s">
        <v>41254</v>
      </c>
      <c r="S5248" t="s">
        <v>41425</v>
      </c>
      <c r="T5248" t="s">
        <v>42811</v>
      </c>
      <c r="U5248" t="s">
        <v>47549</v>
      </c>
      <c r="W5248" t="s">
        <v>39337</v>
      </c>
      <c r="X5248" t="s">
        <v>41256</v>
      </c>
    </row>
    <row r="5249" spans="1:24">
      <c r="A5249">
        <f>HYPERLINK("https://www.philgeps.gov.ph/GEPSNONPILOT/Tender/SplashBidNoticeAbstractUI.aspx?menuIndex=3&amp;refID=7072504&amp;Result=3","7072504")</f>
        <v>0</v>
      </c>
      <c r="B5249" t="s">
        <v>313</v>
      </c>
      <c r="C5249" t="s">
        <v>8396</v>
      </c>
      <c r="D5249" t="s">
        <v>16642</v>
      </c>
      <c r="E5249" t="s">
        <v>21402</v>
      </c>
      <c r="F5249" t="s">
        <v>28669</v>
      </c>
      <c r="G5249" t="s">
        <v>28675</v>
      </c>
      <c r="H5249" t="s">
        <v>9998</v>
      </c>
      <c r="I5249" t="s">
        <v>28731</v>
      </c>
      <c r="J5249" t="s">
        <v>32182</v>
      </c>
      <c r="K5249" t="s">
        <v>37205</v>
      </c>
      <c r="M5249" t="s">
        <v>39413</v>
      </c>
      <c r="N5249" t="s">
        <v>41249</v>
      </c>
      <c r="O5249" t="s">
        <v>41250</v>
      </c>
      <c r="P5249">
        <v>0</v>
      </c>
      <c r="Q5249">
        <v>9</v>
      </c>
      <c r="R5249" t="s">
        <v>41254</v>
      </c>
      <c r="S5249" t="s">
        <v>41425</v>
      </c>
      <c r="T5249" t="s">
        <v>42711</v>
      </c>
      <c r="U5249" t="s">
        <v>47546</v>
      </c>
      <c r="W5249" t="s">
        <v>39413</v>
      </c>
      <c r="X5249" t="s">
        <v>41256</v>
      </c>
    </row>
    <row r="5250" spans="1:24">
      <c r="A5250">
        <f>HYPERLINK("https://www.philgeps.gov.ph/GEPSNONPILOT/Tender/SplashBidNoticeAbstractUI.aspx?menuIndex=3&amp;refID=7072633&amp;Result=3","7072633")</f>
        <v>0</v>
      </c>
      <c r="B5250" t="s">
        <v>1429</v>
      </c>
      <c r="C5250" t="s">
        <v>8397</v>
      </c>
      <c r="D5250" t="s">
        <v>16643</v>
      </c>
      <c r="E5250" t="s">
        <v>21403</v>
      </c>
      <c r="F5250" t="s">
        <v>28669</v>
      </c>
      <c r="G5250" t="s">
        <v>28675</v>
      </c>
      <c r="H5250" t="s">
        <v>28686</v>
      </c>
      <c r="I5250" t="s">
        <v>28689</v>
      </c>
      <c r="J5250" t="s">
        <v>32183</v>
      </c>
      <c r="K5250" t="s">
        <v>37219</v>
      </c>
      <c r="M5250" t="s">
        <v>38993</v>
      </c>
      <c r="N5250" t="s">
        <v>41249</v>
      </c>
      <c r="O5250" t="s">
        <v>41250</v>
      </c>
      <c r="P5250">
        <v>0</v>
      </c>
      <c r="Q5250">
        <v>0</v>
      </c>
      <c r="R5250" t="s">
        <v>41254</v>
      </c>
      <c r="S5250" t="s">
        <v>41425</v>
      </c>
      <c r="T5250" t="s">
        <v>42669</v>
      </c>
      <c r="U5250" t="s">
        <v>47550</v>
      </c>
      <c r="W5250" t="s">
        <v>38993</v>
      </c>
      <c r="X5250" t="s">
        <v>41256</v>
      </c>
    </row>
    <row r="5251" spans="1:24">
      <c r="A5251">
        <f>HYPERLINK("https://www.philgeps.gov.ph/GEPSNONPILOT/Tender/SplashBidNoticeAbstractUI.aspx?menuIndex=3&amp;refID=7072499&amp;Result=3","7072499")</f>
        <v>0</v>
      </c>
      <c r="B5251" t="s">
        <v>313</v>
      </c>
      <c r="C5251" t="s">
        <v>8398</v>
      </c>
      <c r="D5251" t="s">
        <v>16642</v>
      </c>
      <c r="E5251" t="s">
        <v>21404</v>
      </c>
      <c r="F5251" t="s">
        <v>28669</v>
      </c>
      <c r="G5251" t="s">
        <v>28675</v>
      </c>
      <c r="H5251" t="s">
        <v>9998</v>
      </c>
      <c r="I5251" t="s">
        <v>28687</v>
      </c>
      <c r="J5251" t="s">
        <v>32184</v>
      </c>
      <c r="K5251" t="s">
        <v>37221</v>
      </c>
      <c r="M5251" t="s">
        <v>39413</v>
      </c>
      <c r="N5251" t="s">
        <v>41249</v>
      </c>
      <c r="O5251" t="s">
        <v>41250</v>
      </c>
      <c r="P5251">
        <v>0</v>
      </c>
      <c r="Q5251">
        <v>4</v>
      </c>
      <c r="R5251" t="s">
        <v>41254</v>
      </c>
      <c r="S5251" t="s">
        <v>41425</v>
      </c>
      <c r="T5251" t="s">
        <v>42711</v>
      </c>
      <c r="U5251" t="s">
        <v>47546</v>
      </c>
      <c r="W5251" t="s">
        <v>39413</v>
      </c>
      <c r="X5251" t="s">
        <v>41256</v>
      </c>
    </row>
    <row r="5252" spans="1:24">
      <c r="A5252">
        <f>HYPERLINK("https://www.philgeps.gov.ph/GEPSNONPILOT/Tender/SplashBidNoticeAbstractUI.aspx?menuIndex=3&amp;refID=7072507&amp;Result=3","7072507")</f>
        <v>0</v>
      </c>
      <c r="B5252" t="s">
        <v>313</v>
      </c>
      <c r="C5252" t="s">
        <v>8399</v>
      </c>
      <c r="D5252" t="s">
        <v>16642</v>
      </c>
      <c r="E5252" t="s">
        <v>21405</v>
      </c>
      <c r="F5252" t="s">
        <v>28669</v>
      </c>
      <c r="G5252" t="s">
        <v>28675</v>
      </c>
      <c r="H5252" t="s">
        <v>9998</v>
      </c>
      <c r="I5252" t="s">
        <v>28687</v>
      </c>
      <c r="J5252" t="s">
        <v>29112</v>
      </c>
      <c r="K5252" t="s">
        <v>37221</v>
      </c>
      <c r="M5252" t="s">
        <v>39413</v>
      </c>
      <c r="N5252" t="s">
        <v>41249</v>
      </c>
      <c r="O5252" t="s">
        <v>41250</v>
      </c>
      <c r="P5252">
        <v>0</v>
      </c>
      <c r="Q5252">
        <v>4</v>
      </c>
      <c r="R5252" t="s">
        <v>41254</v>
      </c>
      <c r="S5252" t="s">
        <v>41425</v>
      </c>
      <c r="T5252" t="s">
        <v>42711</v>
      </c>
      <c r="U5252" t="s">
        <v>47546</v>
      </c>
      <c r="W5252" t="s">
        <v>39413</v>
      </c>
      <c r="X5252" t="s">
        <v>41256</v>
      </c>
    </row>
    <row r="5253" spans="1:24">
      <c r="A5253">
        <f>HYPERLINK("https://www.philgeps.gov.ph/GEPSNONPILOT/Tender/SplashBidNoticeAbstractUI.aspx?menuIndex=3&amp;refID=7072613&amp;Result=3","7072613")</f>
        <v>0</v>
      </c>
      <c r="B5253" t="s">
        <v>1805</v>
      </c>
      <c r="C5253" t="s">
        <v>8400</v>
      </c>
      <c r="E5253" t="s">
        <v>21406</v>
      </c>
      <c r="F5253" t="s">
        <v>28669</v>
      </c>
      <c r="G5253" t="s">
        <v>28675</v>
      </c>
      <c r="H5253" t="s">
        <v>9998</v>
      </c>
      <c r="I5253" t="s">
        <v>7352</v>
      </c>
      <c r="J5253" t="s">
        <v>30563</v>
      </c>
      <c r="K5253" t="s">
        <v>37209</v>
      </c>
      <c r="M5253" t="s">
        <v>39415</v>
      </c>
      <c r="N5253" t="s">
        <v>41249</v>
      </c>
      <c r="O5253" t="s">
        <v>41250</v>
      </c>
      <c r="P5253">
        <v>0</v>
      </c>
      <c r="Q5253">
        <v>0</v>
      </c>
      <c r="R5253" t="s">
        <v>41254</v>
      </c>
      <c r="S5253" t="s">
        <v>41425</v>
      </c>
      <c r="T5253" t="s">
        <v>42711</v>
      </c>
      <c r="U5253" t="s">
        <v>47551</v>
      </c>
      <c r="W5253" t="s">
        <v>39415</v>
      </c>
      <c r="X5253" t="s">
        <v>41256</v>
      </c>
    </row>
    <row r="5254" spans="1:24">
      <c r="A5254">
        <f>HYPERLINK("https://www.philgeps.gov.ph/GEPSNONPILOT/Tender/SplashBidNoticeAbstractUI.aspx?menuIndex=3&amp;refID=7072597&amp;Result=3","7072597")</f>
        <v>0</v>
      </c>
      <c r="B5254" t="s">
        <v>1806</v>
      </c>
      <c r="C5254" t="s">
        <v>8401</v>
      </c>
      <c r="D5254" t="s">
        <v>16625</v>
      </c>
      <c r="E5254" t="s">
        <v>16803</v>
      </c>
      <c r="F5254" t="s">
        <v>28669</v>
      </c>
      <c r="G5254" t="s">
        <v>28675</v>
      </c>
      <c r="H5254" t="s">
        <v>28686</v>
      </c>
      <c r="I5254" t="s">
        <v>28689</v>
      </c>
      <c r="J5254" t="s">
        <v>31515</v>
      </c>
      <c r="K5254" t="s">
        <v>37205</v>
      </c>
      <c r="M5254" t="s">
        <v>39416</v>
      </c>
      <c r="N5254" t="s">
        <v>41249</v>
      </c>
      <c r="O5254" t="s">
        <v>41250</v>
      </c>
      <c r="P5254">
        <v>0</v>
      </c>
      <c r="Q5254">
        <v>0</v>
      </c>
      <c r="R5254" t="s">
        <v>41254</v>
      </c>
      <c r="S5254" t="s">
        <v>41425</v>
      </c>
      <c r="T5254" t="s">
        <v>42796</v>
      </c>
      <c r="U5254" t="s">
        <v>47552</v>
      </c>
      <c r="W5254" t="s">
        <v>39416</v>
      </c>
      <c r="X5254" t="s">
        <v>41256</v>
      </c>
    </row>
    <row r="5255" spans="1:24">
      <c r="A5255">
        <f>HYPERLINK("https://www.philgeps.gov.ph/GEPSNONPILOT/Tender/SplashBidNoticeAbstractUI.aspx?menuIndex=3&amp;refID=7072616&amp;Result=3","7072616")</f>
        <v>0</v>
      </c>
      <c r="B5255" t="s">
        <v>1807</v>
      </c>
      <c r="C5255" t="s">
        <v>8402</v>
      </c>
      <c r="D5255" t="s">
        <v>16660</v>
      </c>
      <c r="E5255" t="s">
        <v>16820</v>
      </c>
      <c r="F5255" t="s">
        <v>28669</v>
      </c>
      <c r="G5255" t="s">
        <v>28675</v>
      </c>
      <c r="H5255" t="s">
        <v>9998</v>
      </c>
      <c r="I5255" t="s">
        <v>7352</v>
      </c>
      <c r="J5255" t="s">
        <v>32185</v>
      </c>
      <c r="K5255" t="s">
        <v>37209</v>
      </c>
      <c r="M5255" t="s">
        <v>39417</v>
      </c>
      <c r="N5255" t="s">
        <v>41249</v>
      </c>
      <c r="O5255" t="s">
        <v>41250</v>
      </c>
      <c r="P5255">
        <v>0</v>
      </c>
      <c r="Q5255">
        <v>4</v>
      </c>
      <c r="R5255" t="s">
        <v>41254</v>
      </c>
      <c r="S5255" t="s">
        <v>41425</v>
      </c>
      <c r="T5255" t="s">
        <v>42808</v>
      </c>
      <c r="U5255" t="s">
        <v>47553</v>
      </c>
      <c r="W5255" t="s">
        <v>39417</v>
      </c>
      <c r="X5255" t="s">
        <v>41256</v>
      </c>
    </row>
    <row r="5256" spans="1:24">
      <c r="A5256">
        <f>HYPERLINK("https://www.philgeps.gov.ph/GEPSNONPILOT/Tender/SplashBidNoticeAbstractUI.aspx?menuIndex=3&amp;refID=7072584&amp;Result=3","7072584")</f>
        <v>0</v>
      </c>
      <c r="B5256" t="s">
        <v>1380</v>
      </c>
      <c r="C5256" t="s">
        <v>6824</v>
      </c>
      <c r="D5256" t="s">
        <v>16684</v>
      </c>
      <c r="E5256" t="s">
        <v>21407</v>
      </c>
      <c r="F5256" t="s">
        <v>28669</v>
      </c>
      <c r="G5256" t="s">
        <v>28676</v>
      </c>
      <c r="H5256" t="s">
        <v>9998</v>
      </c>
      <c r="I5256" t="s">
        <v>5213</v>
      </c>
      <c r="J5256" t="s">
        <v>29404</v>
      </c>
      <c r="K5256" t="s">
        <v>37208</v>
      </c>
      <c r="M5256" t="s">
        <v>38940</v>
      </c>
      <c r="N5256" t="s">
        <v>41249</v>
      </c>
      <c r="O5256" t="s">
        <v>41250</v>
      </c>
      <c r="P5256">
        <v>0</v>
      </c>
      <c r="Q5256">
        <v>0</v>
      </c>
      <c r="R5256" t="s">
        <v>41254</v>
      </c>
      <c r="S5256" t="s">
        <v>41425</v>
      </c>
      <c r="T5256" t="s">
        <v>42727</v>
      </c>
      <c r="U5256" t="s">
        <v>47554</v>
      </c>
      <c r="W5256" t="s">
        <v>38940</v>
      </c>
      <c r="X5256" t="s">
        <v>41256</v>
      </c>
    </row>
    <row r="5257" spans="1:24">
      <c r="A5257">
        <f>HYPERLINK("https://www.philgeps.gov.ph/GEPSNONPILOT/Tender/SplashBidNoticeAbstractUI.aspx?menuIndex=3&amp;refID=7072583&amp;Result=3","7072583")</f>
        <v>0</v>
      </c>
      <c r="B5257" t="s">
        <v>1806</v>
      </c>
      <c r="C5257" t="s">
        <v>8403</v>
      </c>
      <c r="D5257" t="s">
        <v>16625</v>
      </c>
      <c r="E5257" t="s">
        <v>17140</v>
      </c>
      <c r="F5257" t="s">
        <v>28669</v>
      </c>
      <c r="G5257" t="s">
        <v>28675</v>
      </c>
      <c r="H5257" t="s">
        <v>28686</v>
      </c>
      <c r="I5257" t="s">
        <v>28689</v>
      </c>
      <c r="J5257" t="s">
        <v>28905</v>
      </c>
      <c r="K5257" t="s">
        <v>37205</v>
      </c>
      <c r="M5257" t="s">
        <v>39416</v>
      </c>
      <c r="N5257" t="s">
        <v>41249</v>
      </c>
      <c r="O5257" t="s">
        <v>41250</v>
      </c>
      <c r="P5257">
        <v>0</v>
      </c>
      <c r="Q5257">
        <v>0</v>
      </c>
      <c r="R5257" t="s">
        <v>41254</v>
      </c>
      <c r="S5257" t="s">
        <v>41425</v>
      </c>
      <c r="T5257" t="s">
        <v>42796</v>
      </c>
      <c r="U5257" t="s">
        <v>47555</v>
      </c>
      <c r="W5257" t="s">
        <v>39416</v>
      </c>
      <c r="X5257" t="s">
        <v>41256</v>
      </c>
    </row>
    <row r="5258" spans="1:24">
      <c r="A5258">
        <f>HYPERLINK("https://www.philgeps.gov.ph/GEPSNONPILOT/Tender/SplashBidNoticeAbstractUI.aspx?menuIndex=3&amp;refID=7072591&amp;Result=3","7072591")</f>
        <v>0</v>
      </c>
      <c r="B5258" t="s">
        <v>1808</v>
      </c>
      <c r="C5258" t="s">
        <v>8404</v>
      </c>
      <c r="D5258" t="s">
        <v>16618</v>
      </c>
      <c r="E5258" t="s">
        <v>21408</v>
      </c>
      <c r="F5258" t="s">
        <v>28669</v>
      </c>
      <c r="G5258" t="s">
        <v>28675</v>
      </c>
      <c r="H5258" t="s">
        <v>9998</v>
      </c>
      <c r="I5258" t="s">
        <v>28707</v>
      </c>
      <c r="J5258" t="s">
        <v>32186</v>
      </c>
      <c r="K5258" t="s">
        <v>37205</v>
      </c>
      <c r="M5258" t="s">
        <v>39418</v>
      </c>
      <c r="N5258" t="s">
        <v>41249</v>
      </c>
      <c r="O5258" t="s">
        <v>41250</v>
      </c>
      <c r="P5258">
        <v>0</v>
      </c>
      <c r="Q5258">
        <v>6</v>
      </c>
      <c r="R5258" t="s">
        <v>41254</v>
      </c>
      <c r="S5258" t="s">
        <v>41425</v>
      </c>
      <c r="T5258" t="s">
        <v>42996</v>
      </c>
      <c r="U5258" t="s">
        <v>47556</v>
      </c>
      <c r="W5258" t="s">
        <v>39418</v>
      </c>
      <c r="X5258" t="s">
        <v>41256</v>
      </c>
    </row>
    <row r="5259" spans="1:24">
      <c r="A5259">
        <f>HYPERLINK("https://www.philgeps.gov.ph/GEPSNONPILOT/Tender/SplashBidNoticeAbstractUI.aspx?menuIndex=3&amp;refID=7072575&amp;Result=3","7072575")</f>
        <v>0</v>
      </c>
      <c r="B5259" t="s">
        <v>1809</v>
      </c>
      <c r="C5259" t="s">
        <v>3747</v>
      </c>
      <c r="D5259" t="s">
        <v>16684</v>
      </c>
      <c r="E5259" t="s">
        <v>20032</v>
      </c>
      <c r="F5259" t="s">
        <v>28669</v>
      </c>
      <c r="G5259" t="s">
        <v>28676</v>
      </c>
      <c r="H5259" t="s">
        <v>9998</v>
      </c>
      <c r="I5259" t="s">
        <v>6128</v>
      </c>
      <c r="J5259" t="s">
        <v>32187</v>
      </c>
      <c r="K5259" t="s">
        <v>37208</v>
      </c>
      <c r="M5259" t="s">
        <v>39419</v>
      </c>
      <c r="N5259" t="s">
        <v>41249</v>
      </c>
      <c r="O5259" t="s">
        <v>41250</v>
      </c>
      <c r="P5259">
        <v>0</v>
      </c>
      <c r="Q5259">
        <v>0</v>
      </c>
      <c r="R5259" t="s">
        <v>41254</v>
      </c>
      <c r="S5259" t="s">
        <v>41425</v>
      </c>
      <c r="T5259" t="s">
        <v>42727</v>
      </c>
      <c r="U5259" t="s">
        <v>47557</v>
      </c>
      <c r="W5259" t="s">
        <v>39419</v>
      </c>
      <c r="X5259" t="s">
        <v>41256</v>
      </c>
    </row>
    <row r="5260" spans="1:24">
      <c r="A5260">
        <f>HYPERLINK("https://www.philgeps.gov.ph/GEPSNONPILOT/Tender/SplashBidNoticeAbstractUI.aspx?menuIndex=3&amp;refID=7072608&amp;Result=3","7072608")</f>
        <v>0</v>
      </c>
      <c r="B5260" t="s">
        <v>1810</v>
      </c>
      <c r="C5260" t="s">
        <v>8405</v>
      </c>
      <c r="D5260" t="s">
        <v>16624</v>
      </c>
      <c r="E5260" t="s">
        <v>21409</v>
      </c>
      <c r="F5260" t="s">
        <v>28669</v>
      </c>
      <c r="G5260" t="s">
        <v>28677</v>
      </c>
      <c r="H5260" t="s">
        <v>9998</v>
      </c>
      <c r="I5260" t="s">
        <v>28689</v>
      </c>
      <c r="J5260" t="s">
        <v>32188</v>
      </c>
      <c r="K5260" t="s">
        <v>37204</v>
      </c>
      <c r="M5260" t="s">
        <v>39420</v>
      </c>
      <c r="N5260" t="s">
        <v>41249</v>
      </c>
      <c r="O5260" t="s">
        <v>41250</v>
      </c>
      <c r="P5260">
        <v>0</v>
      </c>
      <c r="Q5260">
        <v>2</v>
      </c>
      <c r="R5260" t="s">
        <v>41254</v>
      </c>
      <c r="S5260" t="s">
        <v>41425</v>
      </c>
      <c r="T5260" t="s">
        <v>42754</v>
      </c>
      <c r="U5260" t="s">
        <v>47558</v>
      </c>
      <c r="W5260" t="s">
        <v>39420</v>
      </c>
      <c r="X5260" t="s">
        <v>41256</v>
      </c>
    </row>
    <row r="5261" spans="1:24">
      <c r="A5261">
        <f>HYPERLINK("https://www.philgeps.gov.ph/GEPSNONPILOT/Tender/SplashBidNoticeAbstractUI.aspx?menuIndex=3&amp;refID=7072567&amp;Result=3","7072567")</f>
        <v>0</v>
      </c>
      <c r="B5261" t="s">
        <v>160</v>
      </c>
      <c r="C5261" t="s">
        <v>8406</v>
      </c>
      <c r="D5261" t="s">
        <v>16615</v>
      </c>
      <c r="E5261" t="s">
        <v>21410</v>
      </c>
      <c r="F5261" t="s">
        <v>28669</v>
      </c>
      <c r="G5261" t="s">
        <v>28675</v>
      </c>
      <c r="H5261" t="s">
        <v>9998</v>
      </c>
      <c r="I5261" t="s">
        <v>28754</v>
      </c>
      <c r="J5261" t="s">
        <v>32189</v>
      </c>
      <c r="K5261" t="s">
        <v>37314</v>
      </c>
      <c r="M5261" t="s">
        <v>37637</v>
      </c>
      <c r="N5261" t="s">
        <v>41249</v>
      </c>
      <c r="O5261" t="s">
        <v>41250</v>
      </c>
      <c r="Q5261">
        <v>5</v>
      </c>
      <c r="R5261" t="s">
        <v>41254</v>
      </c>
      <c r="S5261" t="s">
        <v>41433</v>
      </c>
      <c r="T5261" t="s">
        <v>42672</v>
      </c>
      <c r="U5261" t="s">
        <v>47559</v>
      </c>
      <c r="V5261" t="s">
        <v>54845</v>
      </c>
      <c r="W5261" t="s">
        <v>37637</v>
      </c>
      <c r="X5261" t="s">
        <v>41256</v>
      </c>
    </row>
    <row r="5262" spans="1:24">
      <c r="A5262">
        <f>HYPERLINK("https://www.philgeps.gov.ph/GEPSNONPILOT/Tender/SplashBidNoticeAbstractUI.aspx?menuIndex=3&amp;refID=7072579&amp;Result=3","7072579")</f>
        <v>0</v>
      </c>
      <c r="B5262" t="s">
        <v>1809</v>
      </c>
      <c r="C5262" t="s">
        <v>6824</v>
      </c>
      <c r="D5262" t="s">
        <v>16684</v>
      </c>
      <c r="E5262" t="s">
        <v>21407</v>
      </c>
      <c r="F5262" t="s">
        <v>28669</v>
      </c>
      <c r="G5262" t="s">
        <v>28676</v>
      </c>
      <c r="H5262" t="s">
        <v>9998</v>
      </c>
      <c r="I5262" t="s">
        <v>5213</v>
      </c>
      <c r="J5262" t="s">
        <v>29404</v>
      </c>
      <c r="K5262" t="s">
        <v>37208</v>
      </c>
      <c r="M5262" t="s">
        <v>39419</v>
      </c>
      <c r="N5262" t="s">
        <v>41249</v>
      </c>
      <c r="O5262" t="s">
        <v>41250</v>
      </c>
      <c r="P5262">
        <v>0</v>
      </c>
      <c r="Q5262">
        <v>0</v>
      </c>
      <c r="R5262" t="s">
        <v>41254</v>
      </c>
      <c r="S5262" t="s">
        <v>41425</v>
      </c>
      <c r="T5262" t="s">
        <v>42727</v>
      </c>
      <c r="U5262" t="s">
        <v>47554</v>
      </c>
      <c r="W5262" t="s">
        <v>39419</v>
      </c>
      <c r="X5262" t="s">
        <v>41256</v>
      </c>
    </row>
    <row r="5263" spans="1:24">
      <c r="A5263">
        <f>HYPERLINK("https://www.philgeps.gov.ph/GEPSNONPILOT/Tender/SplashBidNoticeAbstractUI.aspx?menuIndex=3&amp;refID=7072559&amp;Result=3","7072559")</f>
        <v>0</v>
      </c>
      <c r="B5263" t="s">
        <v>1811</v>
      </c>
      <c r="C5263" t="s">
        <v>3747</v>
      </c>
      <c r="D5263" t="s">
        <v>16684</v>
      </c>
      <c r="E5263" t="s">
        <v>21411</v>
      </c>
      <c r="F5263" t="s">
        <v>28669</v>
      </c>
      <c r="G5263" t="s">
        <v>28676</v>
      </c>
      <c r="H5263" t="s">
        <v>9998</v>
      </c>
      <c r="I5263" t="s">
        <v>6128</v>
      </c>
      <c r="J5263" t="s">
        <v>32190</v>
      </c>
      <c r="K5263" t="s">
        <v>37208</v>
      </c>
      <c r="M5263" t="s">
        <v>39421</v>
      </c>
      <c r="N5263" t="s">
        <v>41249</v>
      </c>
      <c r="O5263" t="s">
        <v>41250</v>
      </c>
      <c r="P5263">
        <v>0</v>
      </c>
      <c r="Q5263">
        <v>0</v>
      </c>
      <c r="R5263" t="s">
        <v>41254</v>
      </c>
      <c r="S5263" t="s">
        <v>41425</v>
      </c>
      <c r="T5263" t="s">
        <v>42727</v>
      </c>
      <c r="U5263" t="s">
        <v>47560</v>
      </c>
      <c r="W5263" t="s">
        <v>39421</v>
      </c>
      <c r="X5263" t="s">
        <v>41256</v>
      </c>
    </row>
    <row r="5264" spans="1:24">
      <c r="A5264">
        <f>HYPERLINK("https://www.philgeps.gov.ph/GEPSNONPILOT/Tender/SplashBidNoticeAbstractUI.aspx?menuIndex=3&amp;refID=7072492&amp;Result=3","7072492")</f>
        <v>0</v>
      </c>
      <c r="B5264" t="s">
        <v>843</v>
      </c>
      <c r="C5264" t="s">
        <v>8407</v>
      </c>
      <c r="D5264" t="s">
        <v>16638</v>
      </c>
      <c r="E5264" t="s">
        <v>21412</v>
      </c>
      <c r="F5264" t="s">
        <v>28669</v>
      </c>
      <c r="G5264" t="s">
        <v>28676</v>
      </c>
      <c r="H5264" t="s">
        <v>9998</v>
      </c>
      <c r="I5264" t="s">
        <v>5213</v>
      </c>
      <c r="J5264" t="s">
        <v>32191</v>
      </c>
      <c r="K5264" t="s">
        <v>37204</v>
      </c>
      <c r="M5264" t="s">
        <v>38359</v>
      </c>
      <c r="N5264" t="s">
        <v>41249</v>
      </c>
      <c r="O5264" t="s">
        <v>41250</v>
      </c>
      <c r="P5264">
        <v>0</v>
      </c>
      <c r="Q5264">
        <v>0</v>
      </c>
      <c r="R5264" t="s">
        <v>41254</v>
      </c>
      <c r="S5264" t="s">
        <v>41425</v>
      </c>
      <c r="T5264" t="s">
        <v>42771</v>
      </c>
      <c r="U5264" t="s">
        <v>47345</v>
      </c>
      <c r="W5264" t="s">
        <v>38359</v>
      </c>
      <c r="X5264" t="s">
        <v>41256</v>
      </c>
    </row>
    <row r="5265" spans="1:24">
      <c r="A5265">
        <f>HYPERLINK("https://www.philgeps.gov.ph/GEPSNONPILOT/Tender/SplashBidNoticeAbstractUI.aspx?menuIndex=3&amp;refID=7072555&amp;Result=3","7072555")</f>
        <v>0</v>
      </c>
      <c r="B5265" t="s">
        <v>1812</v>
      </c>
      <c r="C5265" t="s">
        <v>8408</v>
      </c>
      <c r="D5265" t="s">
        <v>16616</v>
      </c>
      <c r="E5265" t="s">
        <v>21413</v>
      </c>
      <c r="F5265" t="s">
        <v>28669</v>
      </c>
      <c r="G5265" t="s">
        <v>28675</v>
      </c>
      <c r="H5265" t="s">
        <v>9998</v>
      </c>
      <c r="I5265" t="s">
        <v>28688</v>
      </c>
      <c r="J5265" t="s">
        <v>32192</v>
      </c>
      <c r="K5265" t="s">
        <v>37206</v>
      </c>
      <c r="M5265" t="s">
        <v>39422</v>
      </c>
      <c r="N5265" t="s">
        <v>41249</v>
      </c>
      <c r="O5265" t="s">
        <v>41250</v>
      </c>
      <c r="Q5265">
        <v>4</v>
      </c>
      <c r="R5265" t="s">
        <v>41254</v>
      </c>
      <c r="S5265" t="s">
        <v>41434</v>
      </c>
      <c r="T5265" t="s">
        <v>42929</v>
      </c>
      <c r="U5265" t="s">
        <v>47561</v>
      </c>
      <c r="V5265" t="s">
        <v>54846</v>
      </c>
      <c r="W5265" t="s">
        <v>39422</v>
      </c>
      <c r="X5265" t="s">
        <v>41256</v>
      </c>
    </row>
    <row r="5266" spans="1:24">
      <c r="A5266">
        <f>HYPERLINK("https://www.philgeps.gov.ph/GEPSNONPILOT/Tender/SplashBidNoticeAbstractUI.aspx?menuIndex=3&amp;refID=7072563&amp;Result=3","7072563")</f>
        <v>0</v>
      </c>
      <c r="B5266" t="s">
        <v>1811</v>
      </c>
      <c r="C5266" t="s">
        <v>8409</v>
      </c>
      <c r="D5266" t="s">
        <v>16684</v>
      </c>
      <c r="E5266" t="s">
        <v>21414</v>
      </c>
      <c r="F5266" t="s">
        <v>28669</v>
      </c>
      <c r="G5266" t="s">
        <v>28676</v>
      </c>
      <c r="H5266" t="s">
        <v>9998</v>
      </c>
      <c r="I5266" t="s">
        <v>5213</v>
      </c>
      <c r="J5266" t="s">
        <v>29404</v>
      </c>
      <c r="K5266" t="s">
        <v>37208</v>
      </c>
      <c r="M5266" t="s">
        <v>39421</v>
      </c>
      <c r="N5266" t="s">
        <v>41249</v>
      </c>
      <c r="O5266" t="s">
        <v>41250</v>
      </c>
      <c r="P5266">
        <v>0</v>
      </c>
      <c r="Q5266">
        <v>0</v>
      </c>
      <c r="R5266" t="s">
        <v>41254</v>
      </c>
      <c r="S5266" t="s">
        <v>41425</v>
      </c>
      <c r="T5266" t="s">
        <v>42727</v>
      </c>
      <c r="U5266" t="s">
        <v>47562</v>
      </c>
      <c r="W5266" t="s">
        <v>39421</v>
      </c>
      <c r="X5266" t="s">
        <v>41256</v>
      </c>
    </row>
    <row r="5267" spans="1:24">
      <c r="A5267">
        <f>HYPERLINK("https://www.philgeps.gov.ph/GEPSNONPILOT/Tender/SplashBidNoticeAbstractUI.aspx?menuIndex=3&amp;refID=7072486&amp;Result=3","7072486")</f>
        <v>0</v>
      </c>
      <c r="B5267" t="s">
        <v>1804</v>
      </c>
      <c r="C5267" t="s">
        <v>8410</v>
      </c>
      <c r="D5267" t="s">
        <v>16643</v>
      </c>
      <c r="E5267" t="s">
        <v>21415</v>
      </c>
      <c r="F5267" t="s">
        <v>28669</v>
      </c>
      <c r="G5267" t="s">
        <v>28675</v>
      </c>
      <c r="H5267" t="s">
        <v>28686</v>
      </c>
      <c r="I5267" t="s">
        <v>28689</v>
      </c>
      <c r="J5267" t="s">
        <v>29003</v>
      </c>
      <c r="K5267" t="s">
        <v>37221</v>
      </c>
      <c r="L5267" t="s">
        <v>1804</v>
      </c>
      <c r="M5267" t="s">
        <v>39414</v>
      </c>
      <c r="N5267" t="s">
        <v>41249</v>
      </c>
      <c r="O5267" t="s">
        <v>41250</v>
      </c>
      <c r="P5267">
        <v>0</v>
      </c>
      <c r="Q5267">
        <v>0</v>
      </c>
      <c r="R5267" t="s">
        <v>41254</v>
      </c>
      <c r="S5267" t="s">
        <v>41425</v>
      </c>
      <c r="T5267" t="s">
        <v>42696</v>
      </c>
      <c r="U5267" t="s">
        <v>47563</v>
      </c>
      <c r="V5267" t="s">
        <v>54844</v>
      </c>
      <c r="W5267" t="s">
        <v>39414</v>
      </c>
      <c r="X5267" t="s">
        <v>41256</v>
      </c>
    </row>
    <row r="5268" spans="1:24">
      <c r="A5268">
        <f>HYPERLINK("https://www.philgeps.gov.ph/GEPSNONPILOT/Tender/SplashBidNoticeAbstractUI.aspx?menuIndex=3&amp;refID=7072705&amp;Result=3","7072705")</f>
        <v>0</v>
      </c>
      <c r="B5268" t="s">
        <v>1813</v>
      </c>
      <c r="C5268" t="s">
        <v>8411</v>
      </c>
      <c r="E5268" t="s">
        <v>21416</v>
      </c>
      <c r="F5268" t="s">
        <v>28669</v>
      </c>
      <c r="G5268" t="s">
        <v>28676</v>
      </c>
      <c r="H5268" t="s">
        <v>9998</v>
      </c>
      <c r="I5268" t="s">
        <v>3718</v>
      </c>
      <c r="J5268" t="s">
        <v>32193</v>
      </c>
      <c r="K5268" t="s">
        <v>37209</v>
      </c>
      <c r="M5268" t="s">
        <v>39423</v>
      </c>
      <c r="N5268" t="s">
        <v>41249</v>
      </c>
      <c r="O5268" t="s">
        <v>41250</v>
      </c>
      <c r="P5268">
        <v>0</v>
      </c>
      <c r="Q5268">
        <v>3</v>
      </c>
      <c r="R5268" t="s">
        <v>41254</v>
      </c>
      <c r="S5268" t="s">
        <v>41425</v>
      </c>
      <c r="T5268" t="s">
        <v>42736</v>
      </c>
      <c r="U5268" t="s">
        <v>47564</v>
      </c>
      <c r="W5268" t="s">
        <v>39423</v>
      </c>
      <c r="X5268" t="s">
        <v>41256</v>
      </c>
    </row>
    <row r="5269" spans="1:24">
      <c r="A5269">
        <f>HYPERLINK("https://www.philgeps.gov.ph/GEPSNONPILOT/Tender/SplashBidNoticeAbstractUI.aspx?menuIndex=3&amp;refID=7072565&amp;Result=3","7072565")</f>
        <v>0</v>
      </c>
      <c r="B5269" t="s">
        <v>1814</v>
      </c>
      <c r="C5269" t="s">
        <v>8412</v>
      </c>
      <c r="D5269" t="s">
        <v>16639</v>
      </c>
      <c r="E5269" t="s">
        <v>17029</v>
      </c>
      <c r="F5269" t="s">
        <v>28669</v>
      </c>
      <c r="G5269" t="s">
        <v>28675</v>
      </c>
      <c r="H5269" t="s">
        <v>9998</v>
      </c>
      <c r="I5269" t="s">
        <v>7352</v>
      </c>
      <c r="J5269" t="s">
        <v>32194</v>
      </c>
      <c r="K5269" t="s">
        <v>37209</v>
      </c>
      <c r="M5269" t="s">
        <v>39424</v>
      </c>
      <c r="N5269" t="s">
        <v>41249</v>
      </c>
      <c r="O5269" t="s">
        <v>41250</v>
      </c>
      <c r="P5269">
        <v>0</v>
      </c>
      <c r="Q5269">
        <v>1</v>
      </c>
      <c r="R5269" t="s">
        <v>41254</v>
      </c>
      <c r="S5269" t="s">
        <v>41425</v>
      </c>
      <c r="T5269" t="s">
        <v>42683</v>
      </c>
      <c r="U5269" t="s">
        <v>47565</v>
      </c>
      <c r="V5269" t="s">
        <v>54847</v>
      </c>
      <c r="W5269" t="s">
        <v>39424</v>
      </c>
      <c r="X5269" t="s">
        <v>41256</v>
      </c>
    </row>
    <row r="5270" spans="1:24">
      <c r="A5270">
        <f>HYPERLINK("https://www.philgeps.gov.ph/GEPSNONPILOT/Tender/SplashBidNoticeAbstractUI.aspx?menuIndex=3&amp;refID=7072589&amp;Result=3","7072589")</f>
        <v>0</v>
      </c>
      <c r="B5270" t="s">
        <v>1815</v>
      </c>
      <c r="C5270" t="s">
        <v>8413</v>
      </c>
      <c r="D5270" t="s">
        <v>16643</v>
      </c>
      <c r="E5270" t="s">
        <v>21417</v>
      </c>
      <c r="F5270" t="s">
        <v>28672</v>
      </c>
      <c r="G5270" t="s">
        <v>28675</v>
      </c>
      <c r="H5270" t="s">
        <v>9998</v>
      </c>
      <c r="I5270" t="s">
        <v>28687</v>
      </c>
      <c r="J5270" t="s">
        <v>30025</v>
      </c>
      <c r="K5270" t="s">
        <v>37206</v>
      </c>
      <c r="M5270" t="s">
        <v>39425</v>
      </c>
      <c r="N5270" t="s">
        <v>41249</v>
      </c>
      <c r="O5270" t="s">
        <v>41250</v>
      </c>
      <c r="P5270">
        <v>0</v>
      </c>
      <c r="Q5270">
        <v>3</v>
      </c>
      <c r="R5270" t="s">
        <v>41254</v>
      </c>
      <c r="S5270" t="s">
        <v>41425</v>
      </c>
      <c r="T5270" t="s">
        <v>42836</v>
      </c>
      <c r="U5270" t="s">
        <v>47566</v>
      </c>
      <c r="V5270" t="s">
        <v>54848</v>
      </c>
      <c r="W5270" t="s">
        <v>39425</v>
      </c>
      <c r="X5270" t="s">
        <v>41256</v>
      </c>
    </row>
    <row r="5271" spans="1:24">
      <c r="A5271">
        <f>HYPERLINK("https://www.philgeps.gov.ph/GEPSNONPILOT/Tender/SplashBidNoticeAbstractUI.aspx?menuIndex=3&amp;refID=7072704&amp;Result=3","7072704")</f>
        <v>0</v>
      </c>
      <c r="B5271" t="s">
        <v>800</v>
      </c>
      <c r="C5271" t="s">
        <v>8414</v>
      </c>
      <c r="D5271" t="s">
        <v>16681</v>
      </c>
      <c r="E5271" t="s">
        <v>20987</v>
      </c>
      <c r="F5271" t="s">
        <v>28669</v>
      </c>
      <c r="G5271" t="s">
        <v>28675</v>
      </c>
      <c r="H5271" t="s">
        <v>28686</v>
      </c>
      <c r="I5271" t="s">
        <v>28689</v>
      </c>
      <c r="J5271" t="s">
        <v>32195</v>
      </c>
      <c r="K5271" t="s">
        <v>37267</v>
      </c>
      <c r="M5271" t="s">
        <v>38315</v>
      </c>
      <c r="N5271" t="s">
        <v>41249</v>
      </c>
      <c r="O5271" t="s">
        <v>41250</v>
      </c>
      <c r="P5271">
        <v>0</v>
      </c>
      <c r="Q5271">
        <v>0</v>
      </c>
      <c r="R5271" t="s">
        <v>41254</v>
      </c>
      <c r="S5271" t="s">
        <v>41425</v>
      </c>
      <c r="T5271" t="s">
        <v>42716</v>
      </c>
      <c r="U5271" t="s">
        <v>47567</v>
      </c>
      <c r="W5271" t="s">
        <v>38315</v>
      </c>
      <c r="X5271" t="s">
        <v>41256</v>
      </c>
    </row>
    <row r="5272" spans="1:24">
      <c r="A5272">
        <f>HYPERLINK("https://www.philgeps.gov.ph/GEPSNONPILOT/Tender/SplashBidNoticeAbstractUI.aspx?menuIndex=3&amp;refID=7072703&amp;Result=3","7072703")</f>
        <v>0</v>
      </c>
      <c r="B5272" t="s">
        <v>1816</v>
      </c>
      <c r="C5272" t="s">
        <v>8415</v>
      </c>
      <c r="D5272" t="s">
        <v>16681</v>
      </c>
      <c r="E5272" t="s">
        <v>17149</v>
      </c>
      <c r="F5272" t="s">
        <v>28669</v>
      </c>
      <c r="G5272" t="s">
        <v>28675</v>
      </c>
      <c r="H5272" t="s">
        <v>9998</v>
      </c>
      <c r="I5272" t="s">
        <v>7352</v>
      </c>
      <c r="J5272" t="s">
        <v>32196</v>
      </c>
      <c r="K5272" t="s">
        <v>37206</v>
      </c>
      <c r="M5272" t="s">
        <v>39426</v>
      </c>
      <c r="N5272" t="s">
        <v>41249</v>
      </c>
      <c r="O5272" t="s">
        <v>41250</v>
      </c>
      <c r="P5272">
        <v>0</v>
      </c>
      <c r="Q5272">
        <v>0</v>
      </c>
      <c r="R5272" t="s">
        <v>41254</v>
      </c>
      <c r="S5272" t="s">
        <v>41425</v>
      </c>
      <c r="T5272" t="s">
        <v>42673</v>
      </c>
      <c r="U5272" t="s">
        <v>47568</v>
      </c>
      <c r="W5272" t="s">
        <v>39426</v>
      </c>
      <c r="X5272" t="s">
        <v>41256</v>
      </c>
    </row>
    <row r="5273" spans="1:24">
      <c r="A5273">
        <f>HYPERLINK("https://www.philgeps.gov.ph/GEPSNONPILOT/Tender/SplashBidNoticeAbstractUI.aspx?menuIndex=3&amp;refID=7072689&amp;Result=3","7072689")</f>
        <v>0</v>
      </c>
      <c r="B5273" t="s">
        <v>1817</v>
      </c>
      <c r="C5273" t="s">
        <v>8416</v>
      </c>
      <c r="D5273" t="s">
        <v>16608</v>
      </c>
      <c r="E5273" t="s">
        <v>16820</v>
      </c>
      <c r="F5273" t="s">
        <v>28669</v>
      </c>
      <c r="G5273" t="s">
        <v>28675</v>
      </c>
      <c r="H5273" t="s">
        <v>9998</v>
      </c>
      <c r="I5273" t="s">
        <v>28687</v>
      </c>
      <c r="J5273" t="s">
        <v>28905</v>
      </c>
      <c r="K5273" t="s">
        <v>37243</v>
      </c>
      <c r="M5273" t="s">
        <v>39427</v>
      </c>
      <c r="N5273" t="s">
        <v>41249</v>
      </c>
      <c r="O5273" t="s">
        <v>41250</v>
      </c>
      <c r="P5273">
        <v>0</v>
      </c>
      <c r="Q5273">
        <v>3</v>
      </c>
      <c r="R5273" t="s">
        <v>41254</v>
      </c>
      <c r="S5273" t="s">
        <v>41425</v>
      </c>
      <c r="T5273" t="s">
        <v>42673</v>
      </c>
      <c r="U5273" t="s">
        <v>47569</v>
      </c>
      <c r="V5273" t="s">
        <v>54547</v>
      </c>
      <c r="W5273" t="s">
        <v>39427</v>
      </c>
      <c r="X5273" t="s">
        <v>41256</v>
      </c>
    </row>
    <row r="5274" spans="1:24">
      <c r="A5274">
        <f>HYPERLINK("https://www.philgeps.gov.ph/GEPSNONPILOT/Tender/SplashBidNoticeAbstractUI.aspx?menuIndex=3&amp;refID=7072680&amp;Result=3","7072680")</f>
        <v>0</v>
      </c>
      <c r="B5274" t="s">
        <v>1818</v>
      </c>
      <c r="C5274" t="s">
        <v>8417</v>
      </c>
      <c r="D5274" t="s">
        <v>16622</v>
      </c>
      <c r="E5274" t="s">
        <v>21418</v>
      </c>
      <c r="F5274" t="s">
        <v>28669</v>
      </c>
      <c r="G5274" t="s">
        <v>28679</v>
      </c>
      <c r="H5274" t="s">
        <v>9998</v>
      </c>
      <c r="I5274" t="s">
        <v>28687</v>
      </c>
      <c r="J5274" t="s">
        <v>31724</v>
      </c>
      <c r="K5274" t="s">
        <v>37206</v>
      </c>
      <c r="M5274" t="s">
        <v>39428</v>
      </c>
      <c r="N5274" t="s">
        <v>41249</v>
      </c>
      <c r="O5274" t="s">
        <v>41250</v>
      </c>
      <c r="P5274">
        <v>0</v>
      </c>
      <c r="Q5274">
        <v>3</v>
      </c>
      <c r="R5274" t="s">
        <v>41254</v>
      </c>
      <c r="S5274" t="s">
        <v>41425</v>
      </c>
      <c r="T5274" t="s">
        <v>42711</v>
      </c>
      <c r="U5274" t="s">
        <v>44679</v>
      </c>
      <c r="W5274" t="s">
        <v>39428</v>
      </c>
      <c r="X5274" t="s">
        <v>41256</v>
      </c>
    </row>
    <row r="5275" spans="1:24">
      <c r="A5275">
        <f>HYPERLINK("https://www.philgeps.gov.ph/GEPSNONPILOT/Tender/SplashBidNoticeAbstractUI.aspx?menuIndex=3&amp;refID=7072708&amp;Result=3","7072708")</f>
        <v>0</v>
      </c>
      <c r="B5275" t="s">
        <v>1819</v>
      </c>
      <c r="C5275" t="s">
        <v>8418</v>
      </c>
      <c r="D5275" t="s">
        <v>16619</v>
      </c>
      <c r="E5275" t="s">
        <v>21419</v>
      </c>
      <c r="F5275" t="s">
        <v>28669</v>
      </c>
      <c r="G5275" t="s">
        <v>28676</v>
      </c>
      <c r="H5275" t="s">
        <v>9998</v>
      </c>
      <c r="I5275" t="s">
        <v>28721</v>
      </c>
      <c r="J5275" t="s">
        <v>32197</v>
      </c>
      <c r="K5275" t="s">
        <v>37234</v>
      </c>
      <c r="M5275" t="s">
        <v>39429</v>
      </c>
      <c r="N5275" t="s">
        <v>41249</v>
      </c>
      <c r="O5275" t="s">
        <v>41250</v>
      </c>
      <c r="P5275">
        <v>0</v>
      </c>
      <c r="Q5275">
        <v>1</v>
      </c>
      <c r="R5275" t="s">
        <v>41254</v>
      </c>
      <c r="S5275" t="s">
        <v>41425</v>
      </c>
      <c r="T5275" t="s">
        <v>42758</v>
      </c>
      <c r="U5275" t="s">
        <v>47570</v>
      </c>
      <c r="W5275" t="s">
        <v>39429</v>
      </c>
      <c r="X5275" t="s">
        <v>41256</v>
      </c>
    </row>
    <row r="5276" spans="1:24">
      <c r="A5276">
        <f>HYPERLINK("https://www.philgeps.gov.ph/GEPSNONPILOT/Tender/SplashBidNoticeAbstractUI.aspx?menuIndex=3&amp;refID=7072671&amp;Result=3","7072671")</f>
        <v>0</v>
      </c>
      <c r="B5276" t="s">
        <v>1429</v>
      </c>
      <c r="C5276" t="s">
        <v>8419</v>
      </c>
      <c r="D5276" t="s">
        <v>16643</v>
      </c>
      <c r="E5276" t="s">
        <v>21420</v>
      </c>
      <c r="F5276" t="s">
        <v>28669</v>
      </c>
      <c r="G5276" t="s">
        <v>28676</v>
      </c>
      <c r="H5276" t="s">
        <v>9998</v>
      </c>
      <c r="I5276" t="s">
        <v>7352</v>
      </c>
      <c r="J5276" t="s">
        <v>29167</v>
      </c>
      <c r="K5276" t="s">
        <v>37210</v>
      </c>
      <c r="M5276" t="s">
        <v>38993</v>
      </c>
      <c r="N5276" t="s">
        <v>41249</v>
      </c>
      <c r="O5276" t="s">
        <v>41250</v>
      </c>
      <c r="P5276">
        <v>0</v>
      </c>
      <c r="Q5276">
        <v>0</v>
      </c>
      <c r="R5276" t="s">
        <v>41254</v>
      </c>
      <c r="S5276" t="s">
        <v>41425</v>
      </c>
      <c r="T5276" t="s">
        <v>42728</v>
      </c>
      <c r="U5276" t="s">
        <v>45642</v>
      </c>
      <c r="W5276" t="s">
        <v>38993</v>
      </c>
      <c r="X5276" t="s">
        <v>41256</v>
      </c>
    </row>
    <row r="5277" spans="1:24">
      <c r="A5277">
        <f>HYPERLINK("https://www.philgeps.gov.ph/GEPSNONPILOT/Tender/SplashBidNoticeAbstractUI.aspx?menuIndex=3&amp;refID=7072590&amp;Result=3","7072590")</f>
        <v>0</v>
      </c>
      <c r="B5277" t="s">
        <v>1820</v>
      </c>
      <c r="C5277" t="s">
        <v>7148</v>
      </c>
      <c r="D5277" t="s">
        <v>16684</v>
      </c>
      <c r="E5277" t="s">
        <v>20028</v>
      </c>
      <c r="F5277" t="s">
        <v>28669</v>
      </c>
      <c r="G5277" t="s">
        <v>28676</v>
      </c>
      <c r="H5277" t="s">
        <v>9998</v>
      </c>
      <c r="I5277" t="s">
        <v>7352</v>
      </c>
      <c r="J5277" t="s">
        <v>32198</v>
      </c>
      <c r="K5277" t="s">
        <v>37208</v>
      </c>
      <c r="M5277" t="s">
        <v>39430</v>
      </c>
      <c r="N5277" t="s">
        <v>41249</v>
      </c>
      <c r="O5277" t="s">
        <v>41250</v>
      </c>
      <c r="P5277">
        <v>0</v>
      </c>
      <c r="Q5277">
        <v>0</v>
      </c>
      <c r="R5277" t="s">
        <v>41254</v>
      </c>
      <c r="S5277" t="s">
        <v>41425</v>
      </c>
      <c r="T5277" t="s">
        <v>42727</v>
      </c>
      <c r="U5277" t="s">
        <v>47571</v>
      </c>
      <c r="W5277" t="s">
        <v>39430</v>
      </c>
      <c r="X5277" t="s">
        <v>41256</v>
      </c>
    </row>
    <row r="5278" spans="1:24">
      <c r="A5278">
        <f>HYPERLINK("https://www.philgeps.gov.ph/GEPSNONPILOT/Tender/SplashBidNoticeAbstractUI.aspx?menuIndex=3&amp;refID=7072551&amp;Result=3","7072551")</f>
        <v>0</v>
      </c>
      <c r="B5278" t="s">
        <v>1812</v>
      </c>
      <c r="C5278" t="s">
        <v>8420</v>
      </c>
      <c r="D5278" t="s">
        <v>16616</v>
      </c>
      <c r="E5278" t="s">
        <v>21421</v>
      </c>
      <c r="F5278" t="s">
        <v>28669</v>
      </c>
      <c r="G5278" t="s">
        <v>28675</v>
      </c>
      <c r="H5278" t="s">
        <v>9998</v>
      </c>
      <c r="I5278" t="s">
        <v>28688</v>
      </c>
      <c r="J5278" t="s">
        <v>32199</v>
      </c>
      <c r="K5278" t="s">
        <v>37206</v>
      </c>
      <c r="M5278" t="s">
        <v>39422</v>
      </c>
      <c r="N5278" t="s">
        <v>41249</v>
      </c>
      <c r="O5278" t="s">
        <v>41250</v>
      </c>
      <c r="Q5278">
        <v>2</v>
      </c>
      <c r="R5278" t="s">
        <v>41254</v>
      </c>
      <c r="S5278" t="s">
        <v>41435</v>
      </c>
      <c r="T5278" t="s">
        <v>42972</v>
      </c>
      <c r="U5278" t="s">
        <v>47572</v>
      </c>
      <c r="V5278" t="s">
        <v>54849</v>
      </c>
      <c r="W5278" t="s">
        <v>39422</v>
      </c>
      <c r="X5278" t="s">
        <v>41256</v>
      </c>
    </row>
    <row r="5279" spans="1:24">
      <c r="A5279">
        <f>HYPERLINK("https://www.philgeps.gov.ph/GEPSNONPILOT/Tender/SplashBidNoticeAbstractUI.aspx?menuIndex=3&amp;refID=7072784&amp;Result=3","7072784")</f>
        <v>0</v>
      </c>
      <c r="B5279" t="s">
        <v>1821</v>
      </c>
      <c r="C5279" t="s">
        <v>8421</v>
      </c>
      <c r="D5279" t="s">
        <v>16671</v>
      </c>
      <c r="E5279" t="s">
        <v>21422</v>
      </c>
      <c r="F5279" t="s">
        <v>28669</v>
      </c>
      <c r="G5279" t="s">
        <v>28675</v>
      </c>
      <c r="H5279" t="s">
        <v>9998</v>
      </c>
      <c r="I5279" t="s">
        <v>28687</v>
      </c>
      <c r="J5279" t="s">
        <v>28847</v>
      </c>
      <c r="K5279" t="s">
        <v>37206</v>
      </c>
      <c r="M5279" t="s">
        <v>39431</v>
      </c>
      <c r="N5279" t="s">
        <v>41249</v>
      </c>
      <c r="O5279" t="s">
        <v>41250</v>
      </c>
      <c r="P5279">
        <v>0</v>
      </c>
      <c r="Q5279">
        <v>4</v>
      </c>
      <c r="R5279" t="s">
        <v>41254</v>
      </c>
      <c r="S5279" t="s">
        <v>41425</v>
      </c>
      <c r="T5279" t="s">
        <v>42808</v>
      </c>
      <c r="U5279" t="s">
        <v>47573</v>
      </c>
      <c r="V5279" t="s">
        <v>54850</v>
      </c>
      <c r="W5279" t="s">
        <v>39431</v>
      </c>
      <c r="X5279" t="s">
        <v>41256</v>
      </c>
    </row>
    <row r="5280" spans="1:24">
      <c r="A5280">
        <f>HYPERLINK("https://www.philgeps.gov.ph/GEPSNONPILOT/Tender/SplashBidNoticeAbstractUI.aspx?menuIndex=3&amp;refID=7072581&amp;Result=3","7072581")</f>
        <v>0</v>
      </c>
      <c r="B5280" t="s">
        <v>1684</v>
      </c>
      <c r="C5280" t="s">
        <v>8422</v>
      </c>
      <c r="D5280" t="s">
        <v>16622</v>
      </c>
      <c r="E5280" t="s">
        <v>16709</v>
      </c>
      <c r="F5280" t="s">
        <v>28669</v>
      </c>
      <c r="G5280" t="s">
        <v>28675</v>
      </c>
      <c r="H5280" t="s">
        <v>28684</v>
      </c>
      <c r="I5280" t="s">
        <v>28708</v>
      </c>
      <c r="J5280" t="s">
        <v>32200</v>
      </c>
      <c r="K5280" t="s">
        <v>37221</v>
      </c>
      <c r="M5280" t="s">
        <v>39278</v>
      </c>
      <c r="N5280" t="s">
        <v>41249</v>
      </c>
      <c r="O5280" t="s">
        <v>41250</v>
      </c>
      <c r="P5280">
        <v>0</v>
      </c>
      <c r="Q5280">
        <v>5</v>
      </c>
      <c r="R5280" t="s">
        <v>41254</v>
      </c>
      <c r="S5280" t="s">
        <v>41425</v>
      </c>
      <c r="T5280" t="s">
        <v>42792</v>
      </c>
      <c r="U5280" t="s">
        <v>47574</v>
      </c>
      <c r="V5280" t="s">
        <v>54767</v>
      </c>
      <c r="W5280" t="s">
        <v>39278</v>
      </c>
      <c r="X5280" t="s">
        <v>41256</v>
      </c>
    </row>
    <row r="5281" spans="1:24">
      <c r="A5281">
        <f>HYPERLINK("https://www.philgeps.gov.ph/GEPSNONPILOT/Tender/SplashBidNoticeAbstractUI.aspx?menuIndex=3&amp;refID=7072707&amp;Result=3","7072707")</f>
        <v>0</v>
      </c>
      <c r="B5281" t="s">
        <v>1175</v>
      </c>
      <c r="C5281" t="s">
        <v>8423</v>
      </c>
      <c r="D5281" t="s">
        <v>16653</v>
      </c>
      <c r="E5281" t="s">
        <v>21423</v>
      </c>
      <c r="F5281" t="s">
        <v>28669</v>
      </c>
      <c r="G5281" t="s">
        <v>28676</v>
      </c>
      <c r="H5281" t="s">
        <v>9998</v>
      </c>
      <c r="I5281" t="s">
        <v>6606</v>
      </c>
      <c r="J5281" t="s">
        <v>32201</v>
      </c>
      <c r="K5281" t="s">
        <v>37234</v>
      </c>
      <c r="M5281" t="s">
        <v>38714</v>
      </c>
      <c r="N5281" t="s">
        <v>41249</v>
      </c>
      <c r="O5281" t="s">
        <v>41250</v>
      </c>
      <c r="P5281">
        <v>0</v>
      </c>
      <c r="Q5281">
        <v>0</v>
      </c>
      <c r="R5281" t="s">
        <v>41254</v>
      </c>
      <c r="S5281" t="s">
        <v>41425</v>
      </c>
      <c r="T5281" t="s">
        <v>42727</v>
      </c>
      <c r="U5281" t="s">
        <v>47575</v>
      </c>
      <c r="W5281" t="s">
        <v>38714</v>
      </c>
      <c r="X5281" t="s">
        <v>41256</v>
      </c>
    </row>
    <row r="5282" spans="1:24">
      <c r="A5282">
        <f>HYPERLINK("https://www.philgeps.gov.ph/GEPSNONPILOT/Tender/SplashBidNoticeAbstractUI.aspx?menuIndex=3&amp;refID=7072662&amp;Result=3","7072662")</f>
        <v>0</v>
      </c>
      <c r="B5282" t="s">
        <v>1429</v>
      </c>
      <c r="C5282" t="s">
        <v>8424</v>
      </c>
      <c r="D5282" t="s">
        <v>16643</v>
      </c>
      <c r="E5282" t="s">
        <v>21424</v>
      </c>
      <c r="F5282" t="s">
        <v>28669</v>
      </c>
      <c r="G5282" t="s">
        <v>28676</v>
      </c>
      <c r="H5282" t="s">
        <v>9998</v>
      </c>
      <c r="I5282" t="s">
        <v>7352</v>
      </c>
      <c r="J5282" t="s">
        <v>31316</v>
      </c>
      <c r="K5282" t="s">
        <v>37210</v>
      </c>
      <c r="M5282" t="s">
        <v>38993</v>
      </c>
      <c r="N5282" t="s">
        <v>41249</v>
      </c>
      <c r="O5282" t="s">
        <v>41250</v>
      </c>
      <c r="P5282">
        <v>0</v>
      </c>
      <c r="Q5282">
        <v>0</v>
      </c>
      <c r="R5282" t="s">
        <v>41254</v>
      </c>
      <c r="S5282" t="s">
        <v>41425</v>
      </c>
      <c r="T5282" t="s">
        <v>42728</v>
      </c>
      <c r="U5282" t="s">
        <v>46324</v>
      </c>
      <c r="W5282" t="s">
        <v>38993</v>
      </c>
      <c r="X5282" t="s">
        <v>41256</v>
      </c>
    </row>
    <row r="5283" spans="1:24">
      <c r="A5283">
        <f>HYPERLINK("https://www.philgeps.gov.ph/GEPSNONPILOT/Tender/SplashBidNoticeAbstractUI.aspx?menuIndex=3&amp;refID=7072768&amp;Result=3","7072768")</f>
        <v>0</v>
      </c>
      <c r="B5283" t="s">
        <v>1689</v>
      </c>
      <c r="C5283" t="s">
        <v>8425</v>
      </c>
      <c r="D5283" t="s">
        <v>16641</v>
      </c>
      <c r="E5283" t="s">
        <v>21425</v>
      </c>
      <c r="F5283" t="s">
        <v>28669</v>
      </c>
      <c r="G5283" t="s">
        <v>28675</v>
      </c>
      <c r="H5283" t="s">
        <v>28686</v>
      </c>
      <c r="I5283" t="s">
        <v>28689</v>
      </c>
      <c r="J5283" t="s">
        <v>32202</v>
      </c>
      <c r="K5283" t="s">
        <v>37220</v>
      </c>
      <c r="M5283" t="s">
        <v>39410</v>
      </c>
      <c r="N5283" t="s">
        <v>41249</v>
      </c>
      <c r="O5283" t="s">
        <v>41250</v>
      </c>
      <c r="P5283">
        <v>0</v>
      </c>
      <c r="Q5283">
        <v>0</v>
      </c>
      <c r="R5283" t="s">
        <v>41254</v>
      </c>
      <c r="S5283" t="s">
        <v>41425</v>
      </c>
      <c r="T5283" t="s">
        <v>42688</v>
      </c>
      <c r="U5283" t="s">
        <v>47576</v>
      </c>
      <c r="W5283" t="s">
        <v>39410</v>
      </c>
      <c r="X5283" t="s">
        <v>41256</v>
      </c>
    </row>
    <row r="5284" spans="1:24">
      <c r="A5284">
        <f>HYPERLINK("https://www.philgeps.gov.ph/GEPSNONPILOT/Tender/SplashBidNoticeAbstractUI.aspx?menuIndex=3&amp;refID=7072765&amp;Result=3","7072765")</f>
        <v>0</v>
      </c>
      <c r="B5284" t="s">
        <v>1689</v>
      </c>
      <c r="C5284" t="s">
        <v>8426</v>
      </c>
      <c r="D5284" t="s">
        <v>16641</v>
      </c>
      <c r="E5284" t="s">
        <v>21426</v>
      </c>
      <c r="F5284" t="s">
        <v>28669</v>
      </c>
      <c r="G5284" t="s">
        <v>28675</v>
      </c>
      <c r="H5284" t="s">
        <v>28686</v>
      </c>
      <c r="I5284" t="s">
        <v>28689</v>
      </c>
      <c r="J5284" t="s">
        <v>32203</v>
      </c>
      <c r="K5284" t="s">
        <v>37211</v>
      </c>
      <c r="M5284" t="s">
        <v>39410</v>
      </c>
      <c r="N5284" t="s">
        <v>41249</v>
      </c>
      <c r="O5284" t="s">
        <v>41250</v>
      </c>
      <c r="P5284">
        <v>0</v>
      </c>
      <c r="Q5284">
        <v>0</v>
      </c>
      <c r="R5284" t="s">
        <v>41254</v>
      </c>
      <c r="S5284" t="s">
        <v>41425</v>
      </c>
      <c r="T5284" t="s">
        <v>42688</v>
      </c>
      <c r="U5284" t="s">
        <v>47577</v>
      </c>
      <c r="W5284" t="s">
        <v>39410</v>
      </c>
      <c r="X5284" t="s">
        <v>41256</v>
      </c>
    </row>
    <row r="5285" spans="1:24">
      <c r="A5285">
        <f>HYPERLINK("https://www.philgeps.gov.ph/GEPSNONPILOT/Tender/SplashBidNoticeAbstractUI.aspx?menuIndex=3&amp;refID=7072762&amp;Result=3","7072762")</f>
        <v>0</v>
      </c>
      <c r="B5285" t="s">
        <v>1822</v>
      </c>
      <c r="C5285" t="s">
        <v>8427</v>
      </c>
      <c r="D5285" t="s">
        <v>16618</v>
      </c>
      <c r="E5285" t="s">
        <v>16877</v>
      </c>
      <c r="F5285" t="s">
        <v>28669</v>
      </c>
      <c r="G5285" t="s">
        <v>28675</v>
      </c>
      <c r="H5285" t="s">
        <v>9998</v>
      </c>
      <c r="I5285" t="s">
        <v>7352</v>
      </c>
      <c r="J5285" t="s">
        <v>32204</v>
      </c>
      <c r="K5285" t="s">
        <v>37205</v>
      </c>
      <c r="M5285" t="s">
        <v>39432</v>
      </c>
      <c r="N5285" t="s">
        <v>41249</v>
      </c>
      <c r="O5285" t="s">
        <v>41250</v>
      </c>
      <c r="P5285">
        <v>0</v>
      </c>
      <c r="Q5285">
        <v>1</v>
      </c>
      <c r="R5285" t="s">
        <v>41254</v>
      </c>
      <c r="S5285" t="s">
        <v>41425</v>
      </c>
      <c r="T5285" t="s">
        <v>42679</v>
      </c>
      <c r="U5285" t="s">
        <v>47578</v>
      </c>
      <c r="W5285" t="s">
        <v>39432</v>
      </c>
      <c r="X5285" t="s">
        <v>41256</v>
      </c>
    </row>
    <row r="5286" spans="1:24">
      <c r="A5286">
        <f>HYPERLINK("https://www.philgeps.gov.ph/GEPSNONPILOT/Tender/SplashBidNoticeAbstractUI.aspx?menuIndex=3&amp;refID=7072667&amp;Result=3","7072667")</f>
        <v>0</v>
      </c>
      <c r="B5286" t="s">
        <v>1429</v>
      </c>
      <c r="C5286" t="s">
        <v>8428</v>
      </c>
      <c r="D5286" t="s">
        <v>16643</v>
      </c>
      <c r="E5286" t="s">
        <v>21427</v>
      </c>
      <c r="F5286" t="s">
        <v>28669</v>
      </c>
      <c r="G5286" t="s">
        <v>28676</v>
      </c>
      <c r="H5286" t="s">
        <v>9998</v>
      </c>
      <c r="I5286" t="s">
        <v>28695</v>
      </c>
      <c r="J5286" t="s">
        <v>29424</v>
      </c>
      <c r="K5286" t="s">
        <v>37210</v>
      </c>
      <c r="M5286" t="s">
        <v>38993</v>
      </c>
      <c r="N5286" t="s">
        <v>41249</v>
      </c>
      <c r="O5286" t="s">
        <v>41250</v>
      </c>
      <c r="P5286">
        <v>0</v>
      </c>
      <c r="Q5286">
        <v>0</v>
      </c>
      <c r="R5286" t="s">
        <v>41254</v>
      </c>
      <c r="S5286" t="s">
        <v>41425</v>
      </c>
      <c r="T5286" t="s">
        <v>42728</v>
      </c>
      <c r="U5286" t="s">
        <v>45642</v>
      </c>
      <c r="W5286" t="s">
        <v>38993</v>
      </c>
      <c r="X5286" t="s">
        <v>41256</v>
      </c>
    </row>
    <row r="5287" spans="1:24">
      <c r="A5287">
        <f>HYPERLINK("https://www.philgeps.gov.ph/GEPSNONPILOT/Tender/SplashBidNoticeAbstractUI.aspx?menuIndex=3&amp;refID=7072694&amp;Result=3","7072694")</f>
        <v>0</v>
      </c>
      <c r="B5287" t="s">
        <v>1823</v>
      </c>
      <c r="C5287" t="s">
        <v>8429</v>
      </c>
      <c r="D5287" t="s">
        <v>16608</v>
      </c>
      <c r="E5287" t="s">
        <v>16861</v>
      </c>
      <c r="F5287" t="s">
        <v>28669</v>
      </c>
      <c r="G5287" t="s">
        <v>28675</v>
      </c>
      <c r="H5287" t="s">
        <v>9998</v>
      </c>
      <c r="I5287" t="s">
        <v>28694</v>
      </c>
      <c r="J5287" t="s">
        <v>28905</v>
      </c>
      <c r="K5287" t="s">
        <v>37243</v>
      </c>
      <c r="M5287" t="s">
        <v>39433</v>
      </c>
      <c r="N5287" t="s">
        <v>41249</v>
      </c>
      <c r="O5287" t="s">
        <v>41250</v>
      </c>
      <c r="P5287">
        <v>0</v>
      </c>
      <c r="Q5287">
        <v>0</v>
      </c>
      <c r="R5287" t="s">
        <v>41254</v>
      </c>
      <c r="S5287" t="s">
        <v>41425</v>
      </c>
      <c r="T5287" t="s">
        <v>42738</v>
      </c>
      <c r="U5287" t="s">
        <v>47579</v>
      </c>
      <c r="V5287" t="s">
        <v>54547</v>
      </c>
      <c r="W5287" t="s">
        <v>39433</v>
      </c>
      <c r="X5287" t="s">
        <v>41256</v>
      </c>
    </row>
    <row r="5288" spans="1:24">
      <c r="A5288">
        <f>HYPERLINK("https://www.philgeps.gov.ph/GEPSNONPILOT/Tender/SplashBidNoticeAbstractUI.aspx?menuIndex=3&amp;refID=7072754&amp;Result=3","7072754")</f>
        <v>0</v>
      </c>
      <c r="B5288" t="s">
        <v>1824</v>
      </c>
      <c r="C5288" t="s">
        <v>8430</v>
      </c>
      <c r="D5288" t="s">
        <v>16626</v>
      </c>
      <c r="E5288" t="s">
        <v>21193</v>
      </c>
      <c r="F5288" t="s">
        <v>28669</v>
      </c>
      <c r="G5288" t="s">
        <v>28675</v>
      </c>
      <c r="H5288" t="s">
        <v>9998</v>
      </c>
      <c r="I5288" t="s">
        <v>28709</v>
      </c>
      <c r="J5288" t="s">
        <v>32205</v>
      </c>
      <c r="K5288" t="s">
        <v>37234</v>
      </c>
      <c r="M5288" t="s">
        <v>39434</v>
      </c>
      <c r="N5288" t="s">
        <v>41249</v>
      </c>
      <c r="O5288" t="s">
        <v>41250</v>
      </c>
      <c r="P5288">
        <v>0</v>
      </c>
      <c r="Q5288">
        <v>1</v>
      </c>
      <c r="R5288" t="s">
        <v>41254</v>
      </c>
      <c r="S5288" t="s">
        <v>41425</v>
      </c>
      <c r="T5288" t="s">
        <v>42997</v>
      </c>
      <c r="U5288" t="s">
        <v>47580</v>
      </c>
      <c r="W5288" t="s">
        <v>39434</v>
      </c>
      <c r="X5288" t="s">
        <v>41256</v>
      </c>
    </row>
    <row r="5289" spans="1:24">
      <c r="A5289">
        <f>HYPERLINK("https://www.philgeps.gov.ph/GEPSNONPILOT/Tender/SplashBidNoticeAbstractUI.aspx?menuIndex=3&amp;refID=7072764&amp;Result=3","7072764")</f>
        <v>0</v>
      </c>
      <c r="B5289" t="s">
        <v>1825</v>
      </c>
      <c r="C5289" t="s">
        <v>8431</v>
      </c>
      <c r="D5289" t="s">
        <v>16627</v>
      </c>
      <c r="E5289" t="s">
        <v>21428</v>
      </c>
      <c r="F5289" t="s">
        <v>28669</v>
      </c>
      <c r="G5289" t="s">
        <v>28675</v>
      </c>
      <c r="H5289" t="s">
        <v>9998</v>
      </c>
      <c r="I5289" t="s">
        <v>28699</v>
      </c>
      <c r="J5289" t="s">
        <v>28826</v>
      </c>
      <c r="K5289" t="s">
        <v>37205</v>
      </c>
      <c r="M5289" t="s">
        <v>39435</v>
      </c>
      <c r="N5289" t="s">
        <v>41249</v>
      </c>
      <c r="O5289" t="s">
        <v>41250</v>
      </c>
      <c r="P5289">
        <v>0</v>
      </c>
      <c r="Q5289">
        <v>4</v>
      </c>
      <c r="R5289" t="s">
        <v>41254</v>
      </c>
      <c r="S5289" t="s">
        <v>41425</v>
      </c>
      <c r="T5289" t="s">
        <v>42673</v>
      </c>
      <c r="U5289" t="s">
        <v>47581</v>
      </c>
      <c r="W5289" t="s">
        <v>39435</v>
      </c>
      <c r="X5289" t="s">
        <v>41256</v>
      </c>
    </row>
    <row r="5290" spans="1:24">
      <c r="A5290">
        <f>HYPERLINK("https://www.philgeps.gov.ph/GEPSNONPILOT/Tender/SplashBidNoticeAbstractUI.aspx?menuIndex=3&amp;refID=7072766&amp;Result=3","7072766")</f>
        <v>0</v>
      </c>
      <c r="B5290" t="s">
        <v>732</v>
      </c>
      <c r="C5290" t="s">
        <v>8432</v>
      </c>
      <c r="D5290" t="s">
        <v>16608</v>
      </c>
      <c r="E5290" t="s">
        <v>17311</v>
      </c>
      <c r="F5290" t="s">
        <v>28669</v>
      </c>
      <c r="G5290" t="s">
        <v>28675</v>
      </c>
      <c r="H5290" t="s">
        <v>9998</v>
      </c>
      <c r="I5290" t="s">
        <v>5213</v>
      </c>
      <c r="J5290" t="s">
        <v>32206</v>
      </c>
      <c r="K5290" t="s">
        <v>37221</v>
      </c>
      <c r="M5290" t="s">
        <v>39436</v>
      </c>
      <c r="N5290" t="s">
        <v>41249</v>
      </c>
      <c r="O5290" t="s">
        <v>41250</v>
      </c>
      <c r="P5290">
        <v>0</v>
      </c>
      <c r="Q5290">
        <v>11</v>
      </c>
      <c r="R5290" t="s">
        <v>41254</v>
      </c>
      <c r="S5290" t="s">
        <v>41425</v>
      </c>
      <c r="T5290" t="s">
        <v>42692</v>
      </c>
      <c r="U5290" t="s">
        <v>47582</v>
      </c>
      <c r="W5290" t="s">
        <v>39436</v>
      </c>
      <c r="X5290" t="s">
        <v>41256</v>
      </c>
    </row>
    <row r="5291" spans="1:24">
      <c r="A5291">
        <f>HYPERLINK("https://www.philgeps.gov.ph/GEPSNONPILOT/Tender/SplashBidNoticeAbstractUI.aspx?menuIndex=3&amp;refID=7072781&amp;Result=3","7072781")</f>
        <v>0</v>
      </c>
      <c r="B5291" t="s">
        <v>1821</v>
      </c>
      <c r="C5291" t="s">
        <v>8433</v>
      </c>
      <c r="D5291" t="s">
        <v>16671</v>
      </c>
      <c r="E5291" t="s">
        <v>21429</v>
      </c>
      <c r="F5291" t="s">
        <v>28669</v>
      </c>
      <c r="G5291" t="s">
        <v>28675</v>
      </c>
      <c r="H5291" t="s">
        <v>9998</v>
      </c>
      <c r="I5291" t="s">
        <v>28743</v>
      </c>
      <c r="J5291" t="s">
        <v>32207</v>
      </c>
      <c r="K5291" t="s">
        <v>37206</v>
      </c>
      <c r="M5291" t="s">
        <v>39431</v>
      </c>
      <c r="N5291" t="s">
        <v>41249</v>
      </c>
      <c r="O5291" t="s">
        <v>41250</v>
      </c>
      <c r="P5291">
        <v>0</v>
      </c>
      <c r="Q5291">
        <v>1</v>
      </c>
      <c r="R5291" t="s">
        <v>41254</v>
      </c>
      <c r="S5291" t="s">
        <v>41425</v>
      </c>
      <c r="T5291" t="s">
        <v>42808</v>
      </c>
      <c r="U5291" t="s">
        <v>47583</v>
      </c>
      <c r="V5291" t="s">
        <v>54850</v>
      </c>
      <c r="W5291" t="s">
        <v>39431</v>
      </c>
      <c r="X5291" t="s">
        <v>41256</v>
      </c>
    </row>
    <row r="5292" spans="1:24">
      <c r="A5292">
        <f>HYPERLINK("https://www.philgeps.gov.ph/GEPSNONPILOT/Tender/SplashBidNoticeAbstractUI.aspx?menuIndex=3&amp;refID=7072772&amp;Result=3","7072772")</f>
        <v>0</v>
      </c>
      <c r="B5292" t="s">
        <v>1689</v>
      </c>
      <c r="C5292" t="s">
        <v>8434</v>
      </c>
      <c r="D5292" t="s">
        <v>16641</v>
      </c>
      <c r="E5292" t="s">
        <v>21430</v>
      </c>
      <c r="F5292" t="s">
        <v>28669</v>
      </c>
      <c r="G5292" t="s">
        <v>28675</v>
      </c>
      <c r="H5292" t="s">
        <v>28686</v>
      </c>
      <c r="I5292" t="s">
        <v>28689</v>
      </c>
      <c r="J5292" t="s">
        <v>28847</v>
      </c>
      <c r="K5292" t="s">
        <v>37221</v>
      </c>
      <c r="M5292" t="s">
        <v>39410</v>
      </c>
      <c r="N5292" t="s">
        <v>41249</v>
      </c>
      <c r="O5292" t="s">
        <v>41250</v>
      </c>
      <c r="P5292">
        <v>0</v>
      </c>
      <c r="Q5292">
        <v>0</v>
      </c>
      <c r="R5292" t="s">
        <v>41254</v>
      </c>
      <c r="S5292" t="s">
        <v>41425</v>
      </c>
      <c r="T5292" t="s">
        <v>42688</v>
      </c>
      <c r="U5292" t="s">
        <v>47584</v>
      </c>
      <c r="W5292" t="s">
        <v>39410</v>
      </c>
      <c r="X5292" t="s">
        <v>41256</v>
      </c>
    </row>
    <row r="5293" spans="1:24">
      <c r="A5293">
        <f>HYPERLINK("https://www.philgeps.gov.ph/GEPSNONPILOT/Tender/SplashBidNoticeAbstractUI.aspx?menuIndex=3&amp;refID=7072760&amp;Result=3","7072760")</f>
        <v>0</v>
      </c>
      <c r="B5293" t="s">
        <v>1824</v>
      </c>
      <c r="C5293" t="s">
        <v>8435</v>
      </c>
      <c r="D5293" t="s">
        <v>16626</v>
      </c>
      <c r="E5293" t="s">
        <v>21431</v>
      </c>
      <c r="F5293" t="s">
        <v>28669</v>
      </c>
      <c r="G5293" t="s">
        <v>28675</v>
      </c>
      <c r="H5293" t="s">
        <v>9998</v>
      </c>
      <c r="I5293" t="s">
        <v>28757</v>
      </c>
      <c r="J5293" t="s">
        <v>29469</v>
      </c>
      <c r="K5293" t="s">
        <v>37234</v>
      </c>
      <c r="M5293" t="s">
        <v>39434</v>
      </c>
      <c r="N5293" t="s">
        <v>41249</v>
      </c>
      <c r="O5293" t="s">
        <v>41250</v>
      </c>
      <c r="P5293">
        <v>0</v>
      </c>
      <c r="Q5293">
        <v>0</v>
      </c>
      <c r="R5293" t="s">
        <v>41254</v>
      </c>
      <c r="S5293" t="s">
        <v>41425</v>
      </c>
      <c r="T5293" t="s">
        <v>42998</v>
      </c>
      <c r="U5293" t="s">
        <v>47585</v>
      </c>
      <c r="W5293" t="s">
        <v>39434</v>
      </c>
      <c r="X5293" t="s">
        <v>41256</v>
      </c>
    </row>
    <row r="5294" spans="1:24">
      <c r="A5294">
        <f>HYPERLINK("https://www.philgeps.gov.ph/GEPSNONPILOT/Tender/SplashBidNoticeAbstractUI.aspx?menuIndex=3&amp;refID=7072816&amp;Result=3","7072816")</f>
        <v>0</v>
      </c>
      <c r="B5294" t="s">
        <v>1614</v>
      </c>
      <c r="C5294" t="s">
        <v>8436</v>
      </c>
      <c r="D5294" t="s">
        <v>16608</v>
      </c>
      <c r="E5294" t="s">
        <v>21432</v>
      </c>
      <c r="F5294" t="s">
        <v>28669</v>
      </c>
      <c r="G5294" t="s">
        <v>28675</v>
      </c>
      <c r="H5294" t="s">
        <v>28684</v>
      </c>
      <c r="I5294" t="s">
        <v>28784</v>
      </c>
      <c r="J5294" t="s">
        <v>30815</v>
      </c>
      <c r="K5294" t="s">
        <v>37215</v>
      </c>
      <c r="M5294" t="s">
        <v>39199</v>
      </c>
      <c r="N5294" t="s">
        <v>41249</v>
      </c>
      <c r="O5294" t="s">
        <v>41250</v>
      </c>
      <c r="P5294">
        <v>0</v>
      </c>
      <c r="Q5294">
        <v>2</v>
      </c>
      <c r="R5294" t="s">
        <v>41254</v>
      </c>
      <c r="S5294" t="s">
        <v>41425</v>
      </c>
      <c r="T5294" t="s">
        <v>42692</v>
      </c>
      <c r="U5294" t="s">
        <v>47586</v>
      </c>
      <c r="W5294" t="s">
        <v>55972</v>
      </c>
      <c r="X5294" t="s">
        <v>41255</v>
      </c>
    </row>
    <row r="5295" spans="1:24">
      <c r="A5295">
        <f>HYPERLINK("https://www.philgeps.gov.ph/GEPSNONPILOT/Tender/SplashBidNoticeAbstractUI.aspx?menuIndex=3&amp;refID=7072755&amp;Result=3","7072755")</f>
        <v>0</v>
      </c>
      <c r="B5295" t="s">
        <v>1824</v>
      </c>
      <c r="C5295" t="s">
        <v>8437</v>
      </c>
      <c r="D5295" t="s">
        <v>16626</v>
      </c>
      <c r="E5295" t="s">
        <v>21192</v>
      </c>
      <c r="F5295" t="s">
        <v>28669</v>
      </c>
      <c r="G5295" t="s">
        <v>28675</v>
      </c>
      <c r="H5295" t="s">
        <v>9998</v>
      </c>
      <c r="I5295" t="s">
        <v>28697</v>
      </c>
      <c r="J5295" t="s">
        <v>30092</v>
      </c>
      <c r="K5295" t="s">
        <v>37234</v>
      </c>
      <c r="M5295" t="s">
        <v>39434</v>
      </c>
      <c r="N5295" t="s">
        <v>41249</v>
      </c>
      <c r="O5295" t="s">
        <v>41250</v>
      </c>
      <c r="P5295">
        <v>0</v>
      </c>
      <c r="Q5295">
        <v>0</v>
      </c>
      <c r="R5295" t="s">
        <v>41254</v>
      </c>
      <c r="S5295" t="s">
        <v>41425</v>
      </c>
      <c r="T5295" t="s">
        <v>42997</v>
      </c>
      <c r="U5295" t="s">
        <v>47587</v>
      </c>
      <c r="W5295" t="s">
        <v>39434</v>
      </c>
      <c r="X5295" t="s">
        <v>41256</v>
      </c>
    </row>
    <row r="5296" spans="1:24">
      <c r="A5296">
        <f>HYPERLINK("https://www.philgeps.gov.ph/GEPSNONPILOT/Tender/SplashBidNoticeAbstractUI.aspx?menuIndex=3&amp;refID=7072815&amp;Result=3","7072815")</f>
        <v>0</v>
      </c>
      <c r="B5296" t="s">
        <v>1732</v>
      </c>
      <c r="C5296" t="s">
        <v>8438</v>
      </c>
      <c r="D5296" t="s">
        <v>16633</v>
      </c>
      <c r="E5296" t="s">
        <v>21433</v>
      </c>
      <c r="F5296" t="s">
        <v>28669</v>
      </c>
      <c r="G5296" t="s">
        <v>28676</v>
      </c>
      <c r="H5296" t="s">
        <v>9998</v>
      </c>
      <c r="I5296" t="s">
        <v>3718</v>
      </c>
      <c r="J5296" t="s">
        <v>28989</v>
      </c>
      <c r="K5296" t="s">
        <v>37204</v>
      </c>
      <c r="M5296" t="s">
        <v>39331</v>
      </c>
      <c r="N5296" t="s">
        <v>41249</v>
      </c>
      <c r="O5296" t="s">
        <v>41250</v>
      </c>
      <c r="P5296">
        <v>0</v>
      </c>
      <c r="Q5296">
        <v>3</v>
      </c>
      <c r="R5296" t="s">
        <v>41254</v>
      </c>
      <c r="S5296" t="s">
        <v>41425</v>
      </c>
      <c r="T5296" t="s">
        <v>42727</v>
      </c>
      <c r="U5296" t="s">
        <v>47588</v>
      </c>
      <c r="W5296" t="s">
        <v>39331</v>
      </c>
      <c r="X5296" t="s">
        <v>41255</v>
      </c>
    </row>
    <row r="5297" spans="1:24">
      <c r="A5297">
        <f>HYPERLINK("https://www.philgeps.gov.ph/GEPSNONPILOT/Tender/SplashBidNoticeAbstractUI.aspx?menuIndex=3&amp;refID=7072779&amp;Result=3","7072779")</f>
        <v>0</v>
      </c>
      <c r="B5297" t="s">
        <v>1172</v>
      </c>
      <c r="C5297" t="s">
        <v>8439</v>
      </c>
      <c r="D5297" t="s">
        <v>16649</v>
      </c>
      <c r="E5297" t="s">
        <v>21434</v>
      </c>
      <c r="F5297" t="s">
        <v>28669</v>
      </c>
      <c r="G5297" t="s">
        <v>28676</v>
      </c>
      <c r="H5297" t="s">
        <v>9998</v>
      </c>
      <c r="I5297" t="s">
        <v>11593</v>
      </c>
      <c r="J5297" t="s">
        <v>32208</v>
      </c>
      <c r="K5297" t="s">
        <v>37209</v>
      </c>
      <c r="M5297" t="s">
        <v>38711</v>
      </c>
      <c r="N5297" t="s">
        <v>41249</v>
      </c>
      <c r="O5297" t="s">
        <v>41250</v>
      </c>
      <c r="P5297">
        <v>0</v>
      </c>
      <c r="Q5297">
        <v>0</v>
      </c>
      <c r="R5297" t="s">
        <v>41254</v>
      </c>
      <c r="S5297" t="s">
        <v>41425</v>
      </c>
      <c r="T5297" t="s">
        <v>42717</v>
      </c>
      <c r="U5297" t="s">
        <v>47589</v>
      </c>
      <c r="W5297" t="s">
        <v>38711</v>
      </c>
      <c r="X5297" t="s">
        <v>41256</v>
      </c>
    </row>
    <row r="5298" spans="1:24">
      <c r="A5298">
        <f>HYPERLINK("https://www.philgeps.gov.ph/GEPSNONPILOT/Tender/SplashBidNoticeAbstractUI.aspx?menuIndex=3&amp;refID=7072819&amp;Result=3","7072819")</f>
        <v>0</v>
      </c>
      <c r="B5298" t="s">
        <v>1826</v>
      </c>
      <c r="C5298" t="s">
        <v>8440</v>
      </c>
      <c r="D5298" t="s">
        <v>16654</v>
      </c>
      <c r="E5298" t="s">
        <v>21435</v>
      </c>
      <c r="F5298" t="s">
        <v>28669</v>
      </c>
      <c r="G5298" t="s">
        <v>28676</v>
      </c>
      <c r="H5298" t="s">
        <v>9998</v>
      </c>
      <c r="I5298" t="s">
        <v>3679</v>
      </c>
      <c r="J5298" t="s">
        <v>28826</v>
      </c>
      <c r="K5298" t="s">
        <v>37243</v>
      </c>
      <c r="M5298" t="s">
        <v>39437</v>
      </c>
      <c r="N5298" t="s">
        <v>41249</v>
      </c>
      <c r="O5298" t="s">
        <v>41250</v>
      </c>
      <c r="P5298">
        <v>0</v>
      </c>
      <c r="Q5298">
        <v>1</v>
      </c>
      <c r="R5298" t="s">
        <v>41254</v>
      </c>
      <c r="S5298" t="s">
        <v>41425</v>
      </c>
      <c r="T5298" t="s">
        <v>42887</v>
      </c>
      <c r="U5298" t="s">
        <v>47590</v>
      </c>
      <c r="W5298" t="s">
        <v>39437</v>
      </c>
      <c r="X5298" t="s">
        <v>41255</v>
      </c>
    </row>
    <row r="5299" spans="1:24">
      <c r="A5299">
        <f>HYPERLINK("https://www.philgeps.gov.ph/GEPSNONPILOT/Tender/SplashBidNoticeAbstractUI.aspx?menuIndex=3&amp;refID=7072811&amp;Result=3","7072811")</f>
        <v>0</v>
      </c>
      <c r="B5299" t="s">
        <v>1732</v>
      </c>
      <c r="C5299" t="s">
        <v>8441</v>
      </c>
      <c r="D5299" t="s">
        <v>16633</v>
      </c>
      <c r="E5299" t="s">
        <v>21436</v>
      </c>
      <c r="F5299" t="s">
        <v>28669</v>
      </c>
      <c r="G5299" t="s">
        <v>28678</v>
      </c>
      <c r="H5299" t="s">
        <v>9998</v>
      </c>
      <c r="I5299" t="s">
        <v>6128</v>
      </c>
      <c r="J5299" t="s">
        <v>32209</v>
      </c>
      <c r="K5299" t="s">
        <v>37204</v>
      </c>
      <c r="M5299" t="s">
        <v>39331</v>
      </c>
      <c r="N5299" t="s">
        <v>41249</v>
      </c>
      <c r="O5299" t="s">
        <v>41250</v>
      </c>
      <c r="P5299">
        <v>0</v>
      </c>
      <c r="Q5299">
        <v>2</v>
      </c>
      <c r="R5299" t="s">
        <v>41254</v>
      </c>
      <c r="S5299" t="s">
        <v>41425</v>
      </c>
      <c r="T5299" t="s">
        <v>42727</v>
      </c>
      <c r="U5299" t="s">
        <v>47588</v>
      </c>
      <c r="W5299" t="s">
        <v>39331</v>
      </c>
      <c r="X5299" t="s">
        <v>41255</v>
      </c>
    </row>
    <row r="5300" spans="1:24">
      <c r="A5300">
        <f>HYPERLINK("https://www.philgeps.gov.ph/GEPSNONPILOT/Tender/SplashBidNoticeAbstractUI.aspx?menuIndex=3&amp;refID=7072817&amp;Result=3","7072817")</f>
        <v>0</v>
      </c>
      <c r="B5300" t="s">
        <v>142</v>
      </c>
      <c r="C5300" t="s">
        <v>8442</v>
      </c>
      <c r="D5300" t="s">
        <v>16608</v>
      </c>
      <c r="E5300" t="s">
        <v>21437</v>
      </c>
      <c r="F5300" t="s">
        <v>28669</v>
      </c>
      <c r="G5300" t="s">
        <v>28675</v>
      </c>
      <c r="H5300" t="s">
        <v>9998</v>
      </c>
      <c r="I5300" t="s">
        <v>28695</v>
      </c>
      <c r="J5300" t="s">
        <v>32210</v>
      </c>
      <c r="K5300" t="s">
        <v>37238</v>
      </c>
      <c r="M5300" t="s">
        <v>39438</v>
      </c>
      <c r="N5300" t="s">
        <v>41249</v>
      </c>
      <c r="O5300" t="s">
        <v>41250</v>
      </c>
      <c r="P5300">
        <v>0</v>
      </c>
      <c r="Q5300">
        <v>1</v>
      </c>
      <c r="R5300" t="s">
        <v>41254</v>
      </c>
      <c r="S5300" t="s">
        <v>41425</v>
      </c>
      <c r="T5300" t="s">
        <v>42669</v>
      </c>
      <c r="U5300" t="s">
        <v>47591</v>
      </c>
      <c r="V5300" t="s">
        <v>54851</v>
      </c>
      <c r="W5300" t="s">
        <v>39438</v>
      </c>
      <c r="X5300" t="s">
        <v>41255</v>
      </c>
    </row>
    <row r="5301" spans="1:24">
      <c r="A5301">
        <f>HYPERLINK("https://www.philgeps.gov.ph/GEPSNONPILOT/Tender/SplashBidNoticeAbstractUI.aspx?menuIndex=3&amp;refID=7072809&amp;Result=3","7072809")</f>
        <v>0</v>
      </c>
      <c r="B5301" t="s">
        <v>1732</v>
      </c>
      <c r="C5301" t="s">
        <v>8443</v>
      </c>
      <c r="D5301" t="s">
        <v>16633</v>
      </c>
      <c r="E5301" t="s">
        <v>21438</v>
      </c>
      <c r="F5301" t="s">
        <v>28669</v>
      </c>
      <c r="G5301" t="s">
        <v>28677</v>
      </c>
      <c r="H5301" t="s">
        <v>9998</v>
      </c>
      <c r="I5301" t="s">
        <v>28695</v>
      </c>
      <c r="J5301" t="s">
        <v>29612</v>
      </c>
      <c r="K5301" t="s">
        <v>37204</v>
      </c>
      <c r="M5301" t="s">
        <v>39331</v>
      </c>
      <c r="N5301" t="s">
        <v>41249</v>
      </c>
      <c r="O5301" t="s">
        <v>41250</v>
      </c>
      <c r="P5301">
        <v>0</v>
      </c>
      <c r="Q5301">
        <v>0</v>
      </c>
      <c r="R5301" t="s">
        <v>41254</v>
      </c>
      <c r="S5301" t="s">
        <v>41425</v>
      </c>
      <c r="T5301" t="s">
        <v>42727</v>
      </c>
      <c r="U5301" t="s">
        <v>47588</v>
      </c>
      <c r="W5301" t="s">
        <v>39331</v>
      </c>
      <c r="X5301" t="s">
        <v>41255</v>
      </c>
    </row>
    <row r="5302" spans="1:24">
      <c r="A5302">
        <f>HYPERLINK("https://www.philgeps.gov.ph/GEPSNONPILOT/Tender/SplashBidNoticeAbstractUI.aspx?menuIndex=3&amp;refID=7072808&amp;Result=3","7072808")</f>
        <v>0</v>
      </c>
      <c r="B5302" t="s">
        <v>1732</v>
      </c>
      <c r="C5302" t="s">
        <v>8444</v>
      </c>
      <c r="D5302" t="s">
        <v>16633</v>
      </c>
      <c r="E5302" t="s">
        <v>21439</v>
      </c>
      <c r="F5302" t="s">
        <v>28669</v>
      </c>
      <c r="G5302" t="s">
        <v>28677</v>
      </c>
      <c r="H5302" t="s">
        <v>9998</v>
      </c>
      <c r="I5302" t="s">
        <v>28695</v>
      </c>
      <c r="J5302" t="s">
        <v>29325</v>
      </c>
      <c r="K5302" t="s">
        <v>37204</v>
      </c>
      <c r="M5302" t="s">
        <v>39331</v>
      </c>
      <c r="N5302" t="s">
        <v>41249</v>
      </c>
      <c r="O5302" t="s">
        <v>41250</v>
      </c>
      <c r="P5302">
        <v>0</v>
      </c>
      <c r="Q5302">
        <v>0</v>
      </c>
      <c r="R5302" t="s">
        <v>41254</v>
      </c>
      <c r="S5302" t="s">
        <v>41425</v>
      </c>
      <c r="T5302" t="s">
        <v>42727</v>
      </c>
      <c r="U5302" t="s">
        <v>47588</v>
      </c>
      <c r="W5302" t="s">
        <v>39331</v>
      </c>
      <c r="X5302" t="s">
        <v>41255</v>
      </c>
    </row>
    <row r="5303" spans="1:24">
      <c r="A5303">
        <f>HYPERLINK("https://www.philgeps.gov.ph/GEPSNONPILOT/Tender/SplashBidNoticeAbstractUI.aspx?menuIndex=3&amp;refID=7072806&amp;Result=3","7072806")</f>
        <v>0</v>
      </c>
      <c r="B5303" t="s">
        <v>1827</v>
      </c>
      <c r="C5303" t="s">
        <v>8445</v>
      </c>
      <c r="D5303" t="s">
        <v>16643</v>
      </c>
      <c r="E5303" t="s">
        <v>21440</v>
      </c>
      <c r="F5303" t="s">
        <v>28669</v>
      </c>
      <c r="G5303" t="s">
        <v>28676</v>
      </c>
      <c r="H5303" t="s">
        <v>9998</v>
      </c>
      <c r="I5303" t="s">
        <v>28693</v>
      </c>
      <c r="J5303" t="s">
        <v>30620</v>
      </c>
      <c r="K5303" t="s">
        <v>37220</v>
      </c>
      <c r="M5303" t="s">
        <v>39439</v>
      </c>
      <c r="N5303" t="s">
        <v>41249</v>
      </c>
      <c r="O5303" t="s">
        <v>41250</v>
      </c>
      <c r="P5303">
        <v>0</v>
      </c>
      <c r="Q5303">
        <v>5</v>
      </c>
      <c r="R5303" t="s">
        <v>41254</v>
      </c>
      <c r="S5303" t="s">
        <v>41425</v>
      </c>
      <c r="T5303" t="s">
        <v>42883</v>
      </c>
      <c r="U5303" t="s">
        <v>47592</v>
      </c>
      <c r="W5303" t="s">
        <v>39439</v>
      </c>
      <c r="X5303" t="s">
        <v>41255</v>
      </c>
    </row>
    <row r="5304" spans="1:24">
      <c r="A5304">
        <f>HYPERLINK("https://www.philgeps.gov.ph/GEPSNONPILOT/Tender/SplashBidNoticeAbstractUI.aspx?menuIndex=3&amp;refID=7072820&amp;Result=3","7072820")</f>
        <v>0</v>
      </c>
      <c r="B5304" t="s">
        <v>732</v>
      </c>
      <c r="C5304" t="s">
        <v>8446</v>
      </c>
      <c r="D5304" t="s">
        <v>16608</v>
      </c>
      <c r="E5304" t="s">
        <v>21441</v>
      </c>
      <c r="F5304" t="s">
        <v>28669</v>
      </c>
      <c r="G5304" t="s">
        <v>28675</v>
      </c>
      <c r="H5304" t="s">
        <v>9998</v>
      </c>
      <c r="I5304" t="s">
        <v>28693</v>
      </c>
      <c r="J5304" t="s">
        <v>32211</v>
      </c>
      <c r="K5304" t="s">
        <v>37213</v>
      </c>
      <c r="M5304" t="s">
        <v>39440</v>
      </c>
      <c r="N5304" t="s">
        <v>41249</v>
      </c>
      <c r="O5304" t="s">
        <v>41250</v>
      </c>
      <c r="P5304">
        <v>0</v>
      </c>
      <c r="Q5304">
        <v>9</v>
      </c>
      <c r="R5304" t="s">
        <v>41254</v>
      </c>
      <c r="S5304" t="s">
        <v>41425</v>
      </c>
      <c r="T5304" t="s">
        <v>42669</v>
      </c>
      <c r="U5304" t="s">
        <v>47593</v>
      </c>
      <c r="W5304" t="s">
        <v>39440</v>
      </c>
      <c r="X5304" t="s">
        <v>41255</v>
      </c>
    </row>
    <row r="5305" spans="1:24">
      <c r="A5305">
        <f>HYPERLINK("https://www.philgeps.gov.ph/GEPSNONPILOT/Tender/SplashBidNoticeAbstractUI.aspx?menuIndex=3&amp;refID=7072813&amp;Result=3","7072813")</f>
        <v>0</v>
      </c>
      <c r="B5305" t="s">
        <v>1732</v>
      </c>
      <c r="C5305" t="s">
        <v>8447</v>
      </c>
      <c r="D5305" t="s">
        <v>16633</v>
      </c>
      <c r="E5305" t="s">
        <v>21442</v>
      </c>
      <c r="F5305" t="s">
        <v>28669</v>
      </c>
      <c r="G5305" t="s">
        <v>28676</v>
      </c>
      <c r="H5305" t="s">
        <v>9998</v>
      </c>
      <c r="I5305" t="s">
        <v>11593</v>
      </c>
      <c r="J5305" t="s">
        <v>29787</v>
      </c>
      <c r="K5305" t="s">
        <v>37204</v>
      </c>
      <c r="M5305" t="s">
        <v>39331</v>
      </c>
      <c r="N5305" t="s">
        <v>41249</v>
      </c>
      <c r="O5305" t="s">
        <v>41250</v>
      </c>
      <c r="P5305">
        <v>0</v>
      </c>
      <c r="Q5305">
        <v>4</v>
      </c>
      <c r="R5305" t="s">
        <v>41254</v>
      </c>
      <c r="S5305" t="s">
        <v>41425</v>
      </c>
      <c r="T5305" t="s">
        <v>42727</v>
      </c>
      <c r="U5305" t="s">
        <v>47588</v>
      </c>
      <c r="W5305" t="s">
        <v>39331</v>
      </c>
      <c r="X5305" t="s">
        <v>41255</v>
      </c>
    </row>
    <row r="5306" spans="1:24">
      <c r="A5306">
        <f>HYPERLINK("https://www.philgeps.gov.ph/GEPSNONPILOT/Tender/SplashBidNoticeAbstractUI.aspx?menuIndex=3&amp;refID=7072866&amp;Result=3","7072866")</f>
        <v>0</v>
      </c>
      <c r="B5306" t="s">
        <v>1828</v>
      </c>
      <c r="C5306" t="s">
        <v>8448</v>
      </c>
      <c r="D5306" t="s">
        <v>16622</v>
      </c>
      <c r="E5306" t="s">
        <v>21443</v>
      </c>
      <c r="F5306" t="s">
        <v>28669</v>
      </c>
      <c r="G5306" t="s">
        <v>28675</v>
      </c>
      <c r="H5306" t="s">
        <v>9998</v>
      </c>
      <c r="I5306" t="s">
        <v>28704</v>
      </c>
      <c r="J5306" t="s">
        <v>32212</v>
      </c>
      <c r="K5306" t="s">
        <v>37206</v>
      </c>
      <c r="M5306" t="s">
        <v>39441</v>
      </c>
      <c r="N5306" t="s">
        <v>41249</v>
      </c>
      <c r="O5306" t="s">
        <v>41250</v>
      </c>
      <c r="P5306">
        <v>0</v>
      </c>
      <c r="Q5306">
        <v>2</v>
      </c>
      <c r="R5306" t="s">
        <v>41254</v>
      </c>
      <c r="S5306" t="s">
        <v>41425</v>
      </c>
      <c r="T5306" t="s">
        <v>42692</v>
      </c>
      <c r="U5306" t="s">
        <v>47594</v>
      </c>
      <c r="W5306" t="s">
        <v>39441</v>
      </c>
      <c r="X5306" t="s">
        <v>41255</v>
      </c>
    </row>
    <row r="5307" spans="1:24">
      <c r="A5307">
        <f>HYPERLINK("https://www.philgeps.gov.ph/GEPSNONPILOT/Tender/SplashBidNoticeAbstractUI.aspx?menuIndex=3&amp;refID=7072863&amp;Result=3","7072863")</f>
        <v>0</v>
      </c>
      <c r="B5307" t="s">
        <v>1829</v>
      </c>
      <c r="C5307" t="s">
        <v>8449</v>
      </c>
      <c r="D5307" t="s">
        <v>16661</v>
      </c>
      <c r="E5307" t="s">
        <v>21444</v>
      </c>
      <c r="F5307" t="s">
        <v>28669</v>
      </c>
      <c r="G5307" t="s">
        <v>28676</v>
      </c>
      <c r="H5307" t="s">
        <v>9998</v>
      </c>
      <c r="I5307" t="s">
        <v>6606</v>
      </c>
      <c r="J5307" t="s">
        <v>31044</v>
      </c>
      <c r="K5307" t="s">
        <v>37210</v>
      </c>
      <c r="M5307" t="s">
        <v>39442</v>
      </c>
      <c r="N5307" t="s">
        <v>41249</v>
      </c>
      <c r="O5307" t="s">
        <v>41250</v>
      </c>
      <c r="P5307">
        <v>0</v>
      </c>
      <c r="Q5307">
        <v>0</v>
      </c>
      <c r="R5307" t="s">
        <v>41254</v>
      </c>
      <c r="S5307" t="s">
        <v>41425</v>
      </c>
      <c r="T5307" t="s">
        <v>42887</v>
      </c>
      <c r="U5307" t="s">
        <v>47595</v>
      </c>
      <c r="W5307" t="s">
        <v>39442</v>
      </c>
      <c r="X5307" t="s">
        <v>41255</v>
      </c>
    </row>
    <row r="5308" spans="1:24">
      <c r="A5308">
        <f>HYPERLINK("https://www.philgeps.gov.ph/GEPSNONPILOT/Tender/SplashBidNoticeAbstractUI.aspx?menuIndex=3&amp;refID=7072807&amp;Result=3","7072807")</f>
        <v>0</v>
      </c>
      <c r="B5308" t="s">
        <v>1732</v>
      </c>
      <c r="C5308" t="s">
        <v>8450</v>
      </c>
      <c r="D5308" t="s">
        <v>16633</v>
      </c>
      <c r="E5308" t="s">
        <v>21445</v>
      </c>
      <c r="F5308" t="s">
        <v>28669</v>
      </c>
      <c r="G5308" t="s">
        <v>28677</v>
      </c>
      <c r="H5308" t="s">
        <v>9998</v>
      </c>
      <c r="I5308" t="s">
        <v>28695</v>
      </c>
      <c r="J5308" t="s">
        <v>28905</v>
      </c>
      <c r="K5308" t="s">
        <v>37204</v>
      </c>
      <c r="M5308" t="s">
        <v>39331</v>
      </c>
      <c r="N5308" t="s">
        <v>41249</v>
      </c>
      <c r="O5308" t="s">
        <v>41250</v>
      </c>
      <c r="P5308">
        <v>0</v>
      </c>
      <c r="Q5308">
        <v>0</v>
      </c>
      <c r="R5308" t="s">
        <v>41254</v>
      </c>
      <c r="S5308" t="s">
        <v>41425</v>
      </c>
      <c r="T5308" t="s">
        <v>42727</v>
      </c>
      <c r="U5308" t="s">
        <v>47588</v>
      </c>
      <c r="W5308" t="s">
        <v>39331</v>
      </c>
      <c r="X5308" t="s">
        <v>41255</v>
      </c>
    </row>
    <row r="5309" spans="1:24">
      <c r="A5309">
        <f>HYPERLINK("https://www.philgeps.gov.ph/GEPSNONPILOT/Tender/SplashBidNoticeAbstractUI.aspx?menuIndex=3&amp;refID=7072824&amp;Result=3","7072824")</f>
        <v>0</v>
      </c>
      <c r="B5309" t="s">
        <v>1830</v>
      </c>
      <c r="C5309" t="s">
        <v>8451</v>
      </c>
      <c r="D5309" t="s">
        <v>16630</v>
      </c>
      <c r="E5309" t="s">
        <v>21446</v>
      </c>
      <c r="F5309" t="s">
        <v>28669</v>
      </c>
      <c r="G5309" t="s">
        <v>28675</v>
      </c>
      <c r="H5309" t="s">
        <v>28686</v>
      </c>
      <c r="I5309" t="s">
        <v>28689</v>
      </c>
      <c r="J5309" t="s">
        <v>32213</v>
      </c>
      <c r="K5309" t="s">
        <v>37209</v>
      </c>
      <c r="M5309" t="s">
        <v>39443</v>
      </c>
      <c r="N5309" t="s">
        <v>41249</v>
      </c>
      <c r="O5309" t="s">
        <v>41250</v>
      </c>
      <c r="P5309">
        <v>0</v>
      </c>
      <c r="Q5309">
        <v>0</v>
      </c>
      <c r="R5309" t="s">
        <v>41254</v>
      </c>
      <c r="S5309" t="s">
        <v>41425</v>
      </c>
      <c r="T5309" t="s">
        <v>42999</v>
      </c>
      <c r="U5309" t="s">
        <v>47596</v>
      </c>
      <c r="W5309" t="s">
        <v>39443</v>
      </c>
      <c r="X5309" t="s">
        <v>41255</v>
      </c>
    </row>
    <row r="5310" spans="1:24">
      <c r="A5310">
        <f>HYPERLINK("https://www.philgeps.gov.ph/GEPSNONPILOT/Tender/SplashBidNoticeAbstractUI.aspx?menuIndex=3&amp;refID=7072856&amp;Result=3","7072856")</f>
        <v>0</v>
      </c>
      <c r="B5310" t="s">
        <v>1829</v>
      </c>
      <c r="C5310" t="s">
        <v>8452</v>
      </c>
      <c r="D5310" t="s">
        <v>16661</v>
      </c>
      <c r="E5310" t="s">
        <v>21444</v>
      </c>
      <c r="F5310" t="s">
        <v>28669</v>
      </c>
      <c r="G5310" t="s">
        <v>28677</v>
      </c>
      <c r="H5310" t="s">
        <v>9998</v>
      </c>
      <c r="I5310" t="s">
        <v>6606</v>
      </c>
      <c r="J5310" t="s">
        <v>32214</v>
      </c>
      <c r="K5310" t="s">
        <v>37210</v>
      </c>
      <c r="M5310" t="s">
        <v>39442</v>
      </c>
      <c r="N5310" t="s">
        <v>41249</v>
      </c>
      <c r="O5310" t="s">
        <v>41250</v>
      </c>
      <c r="P5310">
        <v>0</v>
      </c>
      <c r="Q5310">
        <v>0</v>
      </c>
      <c r="R5310" t="s">
        <v>41254</v>
      </c>
      <c r="S5310" t="s">
        <v>41425</v>
      </c>
      <c r="T5310" t="s">
        <v>42728</v>
      </c>
      <c r="U5310" t="s">
        <v>47597</v>
      </c>
      <c r="W5310" t="s">
        <v>39442</v>
      </c>
      <c r="X5310" t="s">
        <v>41255</v>
      </c>
    </row>
    <row r="5311" spans="1:24">
      <c r="A5311">
        <f>HYPERLINK("https://www.philgeps.gov.ph/GEPSNONPILOT/Tender/SplashBidNoticeAbstractUI.aspx?menuIndex=3&amp;refID=7072840&amp;Result=3","7072840")</f>
        <v>0</v>
      </c>
      <c r="B5311" t="s">
        <v>1831</v>
      </c>
      <c r="C5311" t="s">
        <v>8453</v>
      </c>
      <c r="D5311" t="s">
        <v>16665</v>
      </c>
      <c r="E5311" t="s">
        <v>21447</v>
      </c>
      <c r="F5311" t="s">
        <v>28669</v>
      </c>
      <c r="G5311" t="s">
        <v>28676</v>
      </c>
      <c r="H5311" t="s">
        <v>9998</v>
      </c>
      <c r="I5311" t="s">
        <v>28695</v>
      </c>
      <c r="J5311" t="s">
        <v>32215</v>
      </c>
      <c r="K5311" t="s">
        <v>37205</v>
      </c>
      <c r="M5311" t="s">
        <v>39444</v>
      </c>
      <c r="N5311" t="s">
        <v>41249</v>
      </c>
      <c r="O5311" t="s">
        <v>41250</v>
      </c>
      <c r="P5311">
        <v>0</v>
      </c>
      <c r="Q5311">
        <v>0</v>
      </c>
      <c r="R5311" t="s">
        <v>41254</v>
      </c>
      <c r="S5311" t="s">
        <v>41425</v>
      </c>
      <c r="T5311" t="s">
        <v>42727</v>
      </c>
      <c r="U5311" t="s">
        <v>47598</v>
      </c>
      <c r="W5311" t="s">
        <v>39444</v>
      </c>
      <c r="X5311" t="s">
        <v>41255</v>
      </c>
    </row>
    <row r="5312" spans="1:24">
      <c r="A5312">
        <f>HYPERLINK("https://www.philgeps.gov.ph/GEPSNONPILOT/Tender/SplashBidNoticeAbstractUI.aspx?menuIndex=3&amp;refID=7072835&amp;Result=3","7072835")</f>
        <v>0</v>
      </c>
      <c r="B5312" t="s">
        <v>1832</v>
      </c>
      <c r="C5312" t="s">
        <v>8454</v>
      </c>
      <c r="D5312" t="s">
        <v>16625</v>
      </c>
      <c r="E5312" t="s">
        <v>21448</v>
      </c>
      <c r="F5312" t="s">
        <v>28669</v>
      </c>
      <c r="G5312" t="s">
        <v>28676</v>
      </c>
      <c r="H5312" t="s">
        <v>9998</v>
      </c>
      <c r="I5312" t="s">
        <v>6128</v>
      </c>
      <c r="J5312" t="s">
        <v>32216</v>
      </c>
      <c r="K5312" t="s">
        <v>37205</v>
      </c>
      <c r="M5312" t="s">
        <v>39445</v>
      </c>
      <c r="N5312" t="s">
        <v>41249</v>
      </c>
      <c r="O5312" t="s">
        <v>41250</v>
      </c>
      <c r="P5312">
        <v>0</v>
      </c>
      <c r="Q5312">
        <v>3</v>
      </c>
      <c r="R5312" t="s">
        <v>41254</v>
      </c>
      <c r="S5312" t="s">
        <v>41425</v>
      </c>
      <c r="T5312" t="s">
        <v>42727</v>
      </c>
      <c r="U5312" t="s">
        <v>47599</v>
      </c>
      <c r="W5312" t="s">
        <v>39445</v>
      </c>
      <c r="X5312" t="s">
        <v>41255</v>
      </c>
    </row>
    <row r="5313" spans="1:24">
      <c r="A5313">
        <f>HYPERLINK("https://www.philgeps.gov.ph/GEPSNONPILOT/Tender/SplashBidNoticeAbstractUI.aspx?menuIndex=3&amp;refID=7072859&amp;Result=3","7072859")</f>
        <v>0</v>
      </c>
      <c r="B5313" t="s">
        <v>1829</v>
      </c>
      <c r="C5313" t="s">
        <v>8455</v>
      </c>
      <c r="D5313" t="s">
        <v>16661</v>
      </c>
      <c r="E5313" t="s">
        <v>21444</v>
      </c>
      <c r="F5313" t="s">
        <v>28669</v>
      </c>
      <c r="G5313" t="s">
        <v>28677</v>
      </c>
      <c r="H5313" t="s">
        <v>9998</v>
      </c>
      <c r="I5313" t="s">
        <v>28695</v>
      </c>
      <c r="J5313" t="s">
        <v>31035</v>
      </c>
      <c r="K5313" t="s">
        <v>37210</v>
      </c>
      <c r="M5313" t="s">
        <v>39442</v>
      </c>
      <c r="N5313" t="s">
        <v>41249</v>
      </c>
      <c r="O5313" t="s">
        <v>41250</v>
      </c>
      <c r="P5313">
        <v>0</v>
      </c>
      <c r="Q5313">
        <v>0</v>
      </c>
      <c r="R5313" t="s">
        <v>41254</v>
      </c>
      <c r="S5313" t="s">
        <v>41425</v>
      </c>
      <c r="T5313" t="s">
        <v>42728</v>
      </c>
      <c r="U5313" t="s">
        <v>47600</v>
      </c>
      <c r="W5313" t="s">
        <v>39442</v>
      </c>
      <c r="X5313" t="s">
        <v>41255</v>
      </c>
    </row>
    <row r="5314" spans="1:24">
      <c r="A5314">
        <f>HYPERLINK("https://www.philgeps.gov.ph/GEPSNONPILOT/Tender/SplashBidNoticeAbstractUI.aspx?menuIndex=3&amp;refID=7072834&amp;Result=3","7072834")</f>
        <v>0</v>
      </c>
      <c r="B5314" t="s">
        <v>1689</v>
      </c>
      <c r="C5314" t="s">
        <v>8456</v>
      </c>
      <c r="D5314" t="s">
        <v>16641</v>
      </c>
      <c r="E5314" t="s">
        <v>21449</v>
      </c>
      <c r="F5314" t="s">
        <v>28669</v>
      </c>
      <c r="G5314" t="s">
        <v>28675</v>
      </c>
      <c r="H5314" t="s">
        <v>28686</v>
      </c>
      <c r="I5314" t="s">
        <v>28689</v>
      </c>
      <c r="J5314" t="s">
        <v>32217</v>
      </c>
      <c r="K5314" t="s">
        <v>37227</v>
      </c>
      <c r="M5314" t="s">
        <v>39410</v>
      </c>
      <c r="N5314" t="s">
        <v>41249</v>
      </c>
      <c r="O5314" t="s">
        <v>41250</v>
      </c>
      <c r="P5314">
        <v>0</v>
      </c>
      <c r="Q5314">
        <v>0</v>
      </c>
      <c r="R5314" t="s">
        <v>41254</v>
      </c>
      <c r="S5314" t="s">
        <v>41425</v>
      </c>
      <c r="T5314" t="s">
        <v>42688</v>
      </c>
      <c r="U5314" t="s">
        <v>47601</v>
      </c>
      <c r="W5314" t="s">
        <v>39410</v>
      </c>
      <c r="X5314" t="s">
        <v>41255</v>
      </c>
    </row>
    <row r="5315" spans="1:24">
      <c r="A5315">
        <f>HYPERLINK("https://www.philgeps.gov.ph/GEPSNONPILOT/Tender/SplashBidNoticeAbstractUI.aspx?menuIndex=3&amp;refID=7072870&amp;Result=3","7072870")</f>
        <v>0</v>
      </c>
      <c r="B5315" t="s">
        <v>1074</v>
      </c>
      <c r="C5315" t="s">
        <v>8457</v>
      </c>
      <c r="D5315" t="s">
        <v>16639</v>
      </c>
      <c r="E5315" t="s">
        <v>21450</v>
      </c>
      <c r="F5315" t="s">
        <v>28669</v>
      </c>
      <c r="G5315" t="s">
        <v>28675</v>
      </c>
      <c r="H5315" t="s">
        <v>9998</v>
      </c>
      <c r="I5315" t="s">
        <v>28696</v>
      </c>
      <c r="J5315" t="s">
        <v>29112</v>
      </c>
      <c r="K5315" t="s">
        <v>37206</v>
      </c>
      <c r="M5315" t="s">
        <v>38606</v>
      </c>
      <c r="N5315" t="s">
        <v>41249</v>
      </c>
      <c r="O5315" t="s">
        <v>41250</v>
      </c>
      <c r="P5315">
        <v>0</v>
      </c>
      <c r="Q5315">
        <v>6</v>
      </c>
      <c r="R5315" t="s">
        <v>41254</v>
      </c>
      <c r="S5315" t="s">
        <v>41425</v>
      </c>
      <c r="T5315" t="s">
        <v>43000</v>
      </c>
      <c r="U5315" t="s">
        <v>47602</v>
      </c>
      <c r="W5315" t="s">
        <v>38606</v>
      </c>
      <c r="X5315" t="s">
        <v>41255</v>
      </c>
    </row>
    <row r="5316" spans="1:24">
      <c r="A5316">
        <f>HYPERLINK("https://www.philgeps.gov.ph/GEPSNONPILOT/Tender/SplashBidNoticeAbstractUI.aspx?menuIndex=3&amp;refID=7072832&amp;Result=3","7072832")</f>
        <v>0</v>
      </c>
      <c r="B5316" t="s">
        <v>1689</v>
      </c>
      <c r="C5316" t="s">
        <v>8458</v>
      </c>
      <c r="D5316" t="s">
        <v>16641</v>
      </c>
      <c r="E5316" t="s">
        <v>21451</v>
      </c>
      <c r="F5316" t="s">
        <v>28669</v>
      </c>
      <c r="G5316" t="s">
        <v>28675</v>
      </c>
      <c r="H5316" t="s">
        <v>28686</v>
      </c>
      <c r="I5316" t="s">
        <v>28689</v>
      </c>
      <c r="J5316" t="s">
        <v>32218</v>
      </c>
      <c r="K5316" t="s">
        <v>37206</v>
      </c>
      <c r="M5316" t="s">
        <v>39410</v>
      </c>
      <c r="N5316" t="s">
        <v>41249</v>
      </c>
      <c r="O5316" t="s">
        <v>41250</v>
      </c>
      <c r="P5316">
        <v>0</v>
      </c>
      <c r="Q5316">
        <v>2</v>
      </c>
      <c r="R5316" t="s">
        <v>41254</v>
      </c>
      <c r="S5316" t="s">
        <v>41425</v>
      </c>
      <c r="T5316" t="s">
        <v>42688</v>
      </c>
      <c r="U5316" t="s">
        <v>47603</v>
      </c>
      <c r="W5316" t="s">
        <v>39410</v>
      </c>
      <c r="X5316" t="s">
        <v>41255</v>
      </c>
    </row>
    <row r="5317" spans="1:24">
      <c r="A5317">
        <f>HYPERLINK("https://www.philgeps.gov.ph/GEPSNONPILOT/Tender/SplashBidNoticeAbstractUI.aspx?menuIndex=3&amp;refID=7072845&amp;Result=3","7072845")</f>
        <v>0</v>
      </c>
      <c r="B5317" t="s">
        <v>1833</v>
      </c>
      <c r="C5317" t="s">
        <v>8459</v>
      </c>
      <c r="D5317" t="s">
        <v>16678</v>
      </c>
      <c r="E5317" t="s">
        <v>21452</v>
      </c>
      <c r="F5317" t="s">
        <v>28669</v>
      </c>
      <c r="G5317" t="s">
        <v>28675</v>
      </c>
      <c r="H5317" t="s">
        <v>28686</v>
      </c>
      <c r="I5317" t="s">
        <v>28689</v>
      </c>
      <c r="J5317" t="s">
        <v>32219</v>
      </c>
      <c r="K5317" t="s">
        <v>37215</v>
      </c>
      <c r="M5317" t="s">
        <v>39446</v>
      </c>
      <c r="N5317" t="s">
        <v>41249</v>
      </c>
      <c r="O5317" t="s">
        <v>41250</v>
      </c>
      <c r="P5317">
        <v>0</v>
      </c>
      <c r="Q5317">
        <v>2</v>
      </c>
      <c r="R5317" t="s">
        <v>41254</v>
      </c>
      <c r="S5317" t="s">
        <v>41425</v>
      </c>
      <c r="T5317" t="s">
        <v>42688</v>
      </c>
      <c r="U5317" t="s">
        <v>47604</v>
      </c>
      <c r="W5317" t="s">
        <v>39446</v>
      </c>
      <c r="X5317" t="s">
        <v>41255</v>
      </c>
    </row>
    <row r="5318" spans="1:24">
      <c r="A5318">
        <f>HYPERLINK("https://www.philgeps.gov.ph/GEPSNONPILOT/Tender/SplashBidNoticeAbstractUI.aspx?menuIndex=3&amp;refID=7072862&amp;Result=3","7072862")</f>
        <v>0</v>
      </c>
      <c r="B5318" t="s">
        <v>1834</v>
      </c>
      <c r="C5318" t="s">
        <v>8460</v>
      </c>
      <c r="D5318" t="s">
        <v>16654</v>
      </c>
      <c r="E5318" t="s">
        <v>21453</v>
      </c>
      <c r="F5318" t="s">
        <v>28669</v>
      </c>
      <c r="G5318" t="s">
        <v>28675</v>
      </c>
      <c r="H5318" t="s">
        <v>9998</v>
      </c>
      <c r="I5318" t="s">
        <v>3658</v>
      </c>
      <c r="J5318" t="s">
        <v>29712</v>
      </c>
      <c r="K5318" t="s">
        <v>37204</v>
      </c>
      <c r="M5318" t="s">
        <v>39447</v>
      </c>
      <c r="N5318" t="s">
        <v>41249</v>
      </c>
      <c r="O5318" t="s">
        <v>41250</v>
      </c>
      <c r="P5318">
        <v>0</v>
      </c>
      <c r="Q5318">
        <v>0</v>
      </c>
      <c r="R5318" t="s">
        <v>41254</v>
      </c>
      <c r="S5318" t="s">
        <v>41425</v>
      </c>
      <c r="T5318" t="s">
        <v>42673</v>
      </c>
      <c r="U5318" t="s">
        <v>47605</v>
      </c>
      <c r="W5318" t="s">
        <v>39447</v>
      </c>
      <c r="X5318" t="s">
        <v>41255</v>
      </c>
    </row>
    <row r="5319" spans="1:24">
      <c r="A5319">
        <f>HYPERLINK("https://www.philgeps.gov.ph/GEPSNONPILOT/Tender/SplashBidNoticeAbstractUI.aspx?menuIndex=3&amp;refID=7072814&amp;Result=3","7072814")</f>
        <v>0</v>
      </c>
      <c r="B5319" t="s">
        <v>1732</v>
      </c>
      <c r="C5319" t="s">
        <v>8461</v>
      </c>
      <c r="D5319" t="s">
        <v>16633</v>
      </c>
      <c r="E5319" t="s">
        <v>21454</v>
      </c>
      <c r="F5319" t="s">
        <v>28669</v>
      </c>
      <c r="G5319" t="s">
        <v>28676</v>
      </c>
      <c r="H5319" t="s">
        <v>9998</v>
      </c>
      <c r="I5319" t="s">
        <v>28708</v>
      </c>
      <c r="J5319" t="s">
        <v>32220</v>
      </c>
      <c r="K5319" t="s">
        <v>37204</v>
      </c>
      <c r="M5319" t="s">
        <v>39331</v>
      </c>
      <c r="N5319" t="s">
        <v>41249</v>
      </c>
      <c r="O5319" t="s">
        <v>41250</v>
      </c>
      <c r="P5319">
        <v>0</v>
      </c>
      <c r="Q5319">
        <v>2</v>
      </c>
      <c r="R5319" t="s">
        <v>41254</v>
      </c>
      <c r="S5319" t="s">
        <v>41425</v>
      </c>
      <c r="T5319" t="s">
        <v>42727</v>
      </c>
      <c r="U5319" t="s">
        <v>47588</v>
      </c>
      <c r="W5319" t="s">
        <v>39331</v>
      </c>
      <c r="X5319" t="s">
        <v>41255</v>
      </c>
    </row>
    <row r="5320" spans="1:24">
      <c r="A5320">
        <f>HYPERLINK("https://www.philgeps.gov.ph/GEPSNONPILOT/Tender/SplashBidNoticeAbstractUI.aspx?menuIndex=3&amp;refID=7072939&amp;Result=3","7072939")</f>
        <v>0</v>
      </c>
      <c r="B5320" t="s">
        <v>1835</v>
      </c>
      <c r="C5320" t="s">
        <v>8462</v>
      </c>
      <c r="D5320" t="s">
        <v>16627</v>
      </c>
      <c r="E5320" t="s">
        <v>17248</v>
      </c>
      <c r="F5320" t="s">
        <v>28672</v>
      </c>
      <c r="G5320" t="s">
        <v>28675</v>
      </c>
      <c r="H5320" t="s">
        <v>9998</v>
      </c>
      <c r="I5320" t="s">
        <v>3718</v>
      </c>
      <c r="J5320" t="s">
        <v>29491</v>
      </c>
      <c r="K5320" t="s">
        <v>37204</v>
      </c>
      <c r="M5320" t="s">
        <v>39448</v>
      </c>
      <c r="N5320" t="s">
        <v>41249</v>
      </c>
      <c r="O5320" t="s">
        <v>41250</v>
      </c>
      <c r="P5320">
        <v>0</v>
      </c>
      <c r="Q5320">
        <v>4</v>
      </c>
      <c r="R5320" t="s">
        <v>41254</v>
      </c>
      <c r="S5320" t="s">
        <v>41425</v>
      </c>
      <c r="T5320" t="s">
        <v>42987</v>
      </c>
      <c r="U5320" t="s">
        <v>47606</v>
      </c>
      <c r="V5320" t="s">
        <v>54852</v>
      </c>
      <c r="W5320" t="s">
        <v>39448</v>
      </c>
      <c r="X5320" t="s">
        <v>41255</v>
      </c>
    </row>
    <row r="5321" spans="1:24">
      <c r="A5321">
        <f>HYPERLINK("https://www.philgeps.gov.ph/GEPSNONPILOT/Tender/SplashBidNoticeAbstractUI.aspx?menuIndex=3&amp;refID=7072935&amp;Result=3","7072935")</f>
        <v>0</v>
      </c>
      <c r="B5321" t="s">
        <v>568</v>
      </c>
      <c r="C5321" t="s">
        <v>8463</v>
      </c>
      <c r="D5321" t="s">
        <v>16608</v>
      </c>
      <c r="E5321" t="s">
        <v>21455</v>
      </c>
      <c r="F5321" t="s">
        <v>28669</v>
      </c>
      <c r="G5321" t="s">
        <v>28675</v>
      </c>
      <c r="H5321" t="s">
        <v>28686</v>
      </c>
      <c r="I5321" t="s">
        <v>28806</v>
      </c>
      <c r="J5321" t="s">
        <v>32221</v>
      </c>
      <c r="K5321" t="s">
        <v>37212</v>
      </c>
      <c r="M5321" t="s">
        <v>39449</v>
      </c>
      <c r="N5321" t="s">
        <v>41249</v>
      </c>
      <c r="O5321" t="s">
        <v>41250</v>
      </c>
      <c r="P5321">
        <v>0</v>
      </c>
      <c r="Q5321">
        <v>9</v>
      </c>
      <c r="R5321" t="s">
        <v>41254</v>
      </c>
      <c r="S5321" t="s">
        <v>41425</v>
      </c>
      <c r="T5321" t="s">
        <v>42855</v>
      </c>
      <c r="U5321" t="s">
        <v>47607</v>
      </c>
      <c r="W5321" t="s">
        <v>39449</v>
      </c>
      <c r="X5321" t="s">
        <v>41255</v>
      </c>
    </row>
    <row r="5322" spans="1:24">
      <c r="A5322">
        <f>HYPERLINK("https://www.philgeps.gov.ph/GEPSNONPILOT/Tender/SplashBidNoticeAbstractUI.aspx?menuIndex=3&amp;refID=7072864&amp;Result=3","7072864")</f>
        <v>0</v>
      </c>
      <c r="B5322" t="s">
        <v>1074</v>
      </c>
      <c r="C5322" t="s">
        <v>8464</v>
      </c>
      <c r="D5322" t="s">
        <v>16639</v>
      </c>
      <c r="E5322" t="s">
        <v>21456</v>
      </c>
      <c r="F5322" t="s">
        <v>28669</v>
      </c>
      <c r="G5322" t="s">
        <v>28675</v>
      </c>
      <c r="H5322" t="s">
        <v>9998</v>
      </c>
      <c r="I5322" t="s">
        <v>28690</v>
      </c>
      <c r="J5322" t="s">
        <v>32222</v>
      </c>
      <c r="K5322" t="s">
        <v>37206</v>
      </c>
      <c r="M5322" t="s">
        <v>38606</v>
      </c>
      <c r="N5322" t="s">
        <v>41249</v>
      </c>
      <c r="O5322" t="s">
        <v>41250</v>
      </c>
      <c r="P5322">
        <v>0</v>
      </c>
      <c r="Q5322">
        <v>3</v>
      </c>
      <c r="R5322" t="s">
        <v>41254</v>
      </c>
      <c r="S5322" t="s">
        <v>41425</v>
      </c>
      <c r="T5322" t="s">
        <v>43000</v>
      </c>
      <c r="U5322" t="s">
        <v>47608</v>
      </c>
      <c r="W5322" t="s">
        <v>38606</v>
      </c>
      <c r="X5322" t="s">
        <v>41255</v>
      </c>
    </row>
    <row r="5323" spans="1:24">
      <c r="A5323">
        <f>HYPERLINK("https://www.philgeps.gov.ph/GEPSNONPILOT/Tender/SplashBidNoticeAbstractUI.aspx?menuIndex=3&amp;refID=7072932&amp;Result=3","7072932")</f>
        <v>0</v>
      </c>
      <c r="B5323" t="s">
        <v>1836</v>
      </c>
      <c r="C5323" t="s">
        <v>8465</v>
      </c>
      <c r="D5323" t="s">
        <v>16662</v>
      </c>
      <c r="E5323" t="s">
        <v>20918</v>
      </c>
      <c r="F5323" t="s">
        <v>28669</v>
      </c>
      <c r="G5323" t="s">
        <v>28675</v>
      </c>
      <c r="H5323" t="s">
        <v>9998</v>
      </c>
      <c r="I5323" t="s">
        <v>11593</v>
      </c>
      <c r="J5323" t="s">
        <v>29522</v>
      </c>
      <c r="K5323" t="s">
        <v>37206</v>
      </c>
      <c r="M5323" t="s">
        <v>39450</v>
      </c>
      <c r="N5323" t="s">
        <v>41249</v>
      </c>
      <c r="O5323" t="s">
        <v>41250</v>
      </c>
      <c r="P5323">
        <v>0</v>
      </c>
      <c r="Q5323">
        <v>3</v>
      </c>
      <c r="R5323" t="s">
        <v>41254</v>
      </c>
      <c r="S5323" t="s">
        <v>41425</v>
      </c>
      <c r="T5323" t="s">
        <v>42899</v>
      </c>
      <c r="U5323" t="s">
        <v>47609</v>
      </c>
      <c r="W5323" t="s">
        <v>39450</v>
      </c>
      <c r="X5323" t="s">
        <v>41255</v>
      </c>
    </row>
    <row r="5324" spans="1:24">
      <c r="A5324">
        <f>HYPERLINK("https://www.philgeps.gov.ph/GEPSNONPILOT/Tender/SplashBidNoticeAbstractUI.aspx?menuIndex=3&amp;refID=7072929&amp;Result=3","7072929")</f>
        <v>0</v>
      </c>
      <c r="B5324" t="s">
        <v>140</v>
      </c>
      <c r="C5324" t="s">
        <v>8466</v>
      </c>
      <c r="D5324" t="s">
        <v>16652</v>
      </c>
      <c r="E5324" t="s">
        <v>21457</v>
      </c>
      <c r="F5324" t="s">
        <v>28669</v>
      </c>
      <c r="G5324" t="s">
        <v>28675</v>
      </c>
      <c r="H5324" t="s">
        <v>28686</v>
      </c>
      <c r="I5324" t="s">
        <v>28689</v>
      </c>
      <c r="J5324" t="s">
        <v>29003</v>
      </c>
      <c r="K5324" t="s">
        <v>37221</v>
      </c>
      <c r="M5324" t="s">
        <v>37617</v>
      </c>
      <c r="N5324" t="s">
        <v>41249</v>
      </c>
      <c r="O5324" t="s">
        <v>41250</v>
      </c>
      <c r="P5324">
        <v>0</v>
      </c>
      <c r="Q5324">
        <v>0</v>
      </c>
      <c r="R5324" t="s">
        <v>41254</v>
      </c>
      <c r="S5324" t="s">
        <v>41425</v>
      </c>
      <c r="T5324" t="s">
        <v>42768</v>
      </c>
      <c r="U5324" t="s">
        <v>46007</v>
      </c>
      <c r="W5324" t="s">
        <v>37617</v>
      </c>
      <c r="X5324" t="s">
        <v>41255</v>
      </c>
    </row>
    <row r="5325" spans="1:24">
      <c r="A5325">
        <f>HYPERLINK("https://www.philgeps.gov.ph/GEPSNONPILOT/Tender/SplashBidNoticeAbstractUI.aspx?menuIndex=3&amp;refID=7072818&amp;Result=3","7072818")</f>
        <v>0</v>
      </c>
      <c r="B5325" t="s">
        <v>1826</v>
      </c>
      <c r="C5325" t="s">
        <v>8467</v>
      </c>
      <c r="D5325" t="s">
        <v>16654</v>
      </c>
      <c r="E5325" t="s">
        <v>21458</v>
      </c>
      <c r="F5325" t="s">
        <v>28669</v>
      </c>
      <c r="G5325" t="s">
        <v>28676</v>
      </c>
      <c r="H5325" t="s">
        <v>9998</v>
      </c>
      <c r="I5325" t="s">
        <v>7352</v>
      </c>
      <c r="J5325" t="s">
        <v>29027</v>
      </c>
      <c r="K5325" t="s">
        <v>37208</v>
      </c>
      <c r="M5325" t="s">
        <v>39437</v>
      </c>
      <c r="N5325" t="s">
        <v>41249</v>
      </c>
      <c r="O5325" t="s">
        <v>41250</v>
      </c>
      <c r="P5325">
        <v>0</v>
      </c>
      <c r="Q5325">
        <v>0</v>
      </c>
      <c r="R5325" t="s">
        <v>41254</v>
      </c>
      <c r="S5325" t="s">
        <v>41425</v>
      </c>
      <c r="T5325" t="s">
        <v>42887</v>
      </c>
      <c r="U5325" t="s">
        <v>47610</v>
      </c>
      <c r="W5325" t="s">
        <v>39437</v>
      </c>
      <c r="X5325" t="s">
        <v>41255</v>
      </c>
    </row>
    <row r="5326" spans="1:24">
      <c r="A5326">
        <f>HYPERLINK("https://www.philgeps.gov.ph/GEPSNONPILOT/Tender/SplashBidNoticeAbstractUI.aspx?menuIndex=3&amp;refID=7072916&amp;Result=3","7072916")</f>
        <v>0</v>
      </c>
      <c r="B5326" t="s">
        <v>1153</v>
      </c>
      <c r="C5326" t="s">
        <v>8468</v>
      </c>
      <c r="D5326" t="s">
        <v>16654</v>
      </c>
      <c r="E5326" t="s">
        <v>21459</v>
      </c>
      <c r="F5326" t="s">
        <v>28669</v>
      </c>
      <c r="G5326" t="s">
        <v>28676</v>
      </c>
      <c r="H5326" t="s">
        <v>9998</v>
      </c>
      <c r="I5326" t="s">
        <v>28722</v>
      </c>
      <c r="J5326" t="s">
        <v>32223</v>
      </c>
      <c r="K5326" t="s">
        <v>37209</v>
      </c>
      <c r="M5326" t="s">
        <v>38690</v>
      </c>
      <c r="N5326" t="s">
        <v>41249</v>
      </c>
      <c r="O5326" t="s">
        <v>41250</v>
      </c>
      <c r="P5326">
        <v>0</v>
      </c>
      <c r="Q5326">
        <v>3</v>
      </c>
      <c r="R5326" t="s">
        <v>41254</v>
      </c>
      <c r="S5326" t="s">
        <v>41425</v>
      </c>
      <c r="T5326" t="s">
        <v>42758</v>
      </c>
      <c r="U5326" t="s">
        <v>47611</v>
      </c>
      <c r="W5326" t="s">
        <v>38690</v>
      </c>
      <c r="X5326" t="s">
        <v>41255</v>
      </c>
    </row>
    <row r="5327" spans="1:24">
      <c r="A5327">
        <f>HYPERLINK("https://www.philgeps.gov.ph/GEPSNONPILOT/Tender/SplashBidNoticeAbstractUI.aspx?menuIndex=3&amp;refID=7072908&amp;Result=3","7072908")</f>
        <v>0</v>
      </c>
      <c r="B5327" t="s">
        <v>1153</v>
      </c>
      <c r="C5327" t="s">
        <v>8469</v>
      </c>
      <c r="D5327" t="s">
        <v>16654</v>
      </c>
      <c r="E5327" t="s">
        <v>21460</v>
      </c>
      <c r="F5327" t="s">
        <v>28669</v>
      </c>
      <c r="G5327" t="s">
        <v>28676</v>
      </c>
      <c r="H5327" t="s">
        <v>9998</v>
      </c>
      <c r="I5327" t="s">
        <v>28722</v>
      </c>
      <c r="J5327" t="s">
        <v>32224</v>
      </c>
      <c r="K5327" t="s">
        <v>37209</v>
      </c>
      <c r="M5327" t="s">
        <v>38690</v>
      </c>
      <c r="N5327" t="s">
        <v>41249</v>
      </c>
      <c r="O5327" t="s">
        <v>41250</v>
      </c>
      <c r="P5327">
        <v>0</v>
      </c>
      <c r="Q5327">
        <v>1</v>
      </c>
      <c r="R5327" t="s">
        <v>41254</v>
      </c>
      <c r="S5327" t="s">
        <v>41425</v>
      </c>
      <c r="T5327" t="s">
        <v>42758</v>
      </c>
      <c r="U5327" t="s">
        <v>47612</v>
      </c>
      <c r="W5327" t="s">
        <v>38690</v>
      </c>
      <c r="X5327" t="s">
        <v>41255</v>
      </c>
    </row>
    <row r="5328" spans="1:24">
      <c r="A5328">
        <f>HYPERLINK("https://www.philgeps.gov.ph/GEPSNONPILOT/Tender/SplashBidNoticeAbstractUI.aspx?menuIndex=3&amp;refID=7072940&amp;Result=3","7072940")</f>
        <v>0</v>
      </c>
      <c r="B5328" t="s">
        <v>568</v>
      </c>
      <c r="C5328" t="s">
        <v>8470</v>
      </c>
      <c r="D5328" t="s">
        <v>16608</v>
      </c>
      <c r="E5328" t="s">
        <v>21461</v>
      </c>
      <c r="F5328" t="s">
        <v>28669</v>
      </c>
      <c r="G5328" t="s">
        <v>28675</v>
      </c>
      <c r="H5328" t="s">
        <v>28686</v>
      </c>
      <c r="I5328" t="s">
        <v>28707</v>
      </c>
      <c r="J5328" t="s">
        <v>32225</v>
      </c>
      <c r="K5328" t="s">
        <v>37213</v>
      </c>
      <c r="M5328" t="s">
        <v>39449</v>
      </c>
      <c r="N5328" t="s">
        <v>41249</v>
      </c>
      <c r="O5328" t="s">
        <v>41250</v>
      </c>
      <c r="P5328">
        <v>0</v>
      </c>
      <c r="Q5328">
        <v>11</v>
      </c>
      <c r="R5328" t="s">
        <v>41254</v>
      </c>
      <c r="S5328" t="s">
        <v>41425</v>
      </c>
      <c r="T5328" t="s">
        <v>42855</v>
      </c>
      <c r="U5328" t="s">
        <v>47607</v>
      </c>
      <c r="W5328" t="s">
        <v>39449</v>
      </c>
      <c r="X5328" t="s">
        <v>41255</v>
      </c>
    </row>
    <row r="5329" spans="1:24">
      <c r="A5329">
        <f>HYPERLINK("https://www.philgeps.gov.ph/GEPSNONPILOT/Tender/SplashBidNoticeAbstractUI.aspx?menuIndex=3&amp;refID=7072905&amp;Result=3","7072905")</f>
        <v>0</v>
      </c>
      <c r="B5329" t="s">
        <v>1837</v>
      </c>
      <c r="C5329" t="s">
        <v>8471</v>
      </c>
      <c r="D5329" t="s">
        <v>16678</v>
      </c>
      <c r="E5329" t="s">
        <v>21462</v>
      </c>
      <c r="F5329" t="s">
        <v>28669</v>
      </c>
      <c r="G5329" t="s">
        <v>28675</v>
      </c>
      <c r="H5329" t="s">
        <v>28686</v>
      </c>
      <c r="I5329" t="s">
        <v>28689</v>
      </c>
      <c r="J5329" t="s">
        <v>32226</v>
      </c>
      <c r="K5329" t="s">
        <v>37221</v>
      </c>
      <c r="M5329" t="s">
        <v>39451</v>
      </c>
      <c r="N5329" t="s">
        <v>41249</v>
      </c>
      <c r="O5329" t="s">
        <v>41250</v>
      </c>
      <c r="P5329">
        <v>0</v>
      </c>
      <c r="Q5329">
        <v>2</v>
      </c>
      <c r="R5329" t="s">
        <v>41254</v>
      </c>
      <c r="S5329" t="s">
        <v>41425</v>
      </c>
      <c r="T5329" t="s">
        <v>42716</v>
      </c>
      <c r="U5329" t="s">
        <v>47613</v>
      </c>
      <c r="W5329" t="s">
        <v>39451</v>
      </c>
      <c r="X5329" t="s">
        <v>41255</v>
      </c>
    </row>
    <row r="5330" spans="1:24">
      <c r="A5330">
        <f>HYPERLINK("https://www.philgeps.gov.ph/GEPSNONPILOT/Tender/SplashBidNoticeAbstractUI.aspx?menuIndex=3&amp;refID=7072902&amp;Result=3","7072902")</f>
        <v>0</v>
      </c>
      <c r="B5330" t="s">
        <v>1838</v>
      </c>
      <c r="C5330" t="s">
        <v>8472</v>
      </c>
      <c r="D5330" t="s">
        <v>16629</v>
      </c>
      <c r="E5330" t="s">
        <v>21463</v>
      </c>
      <c r="F5330" t="s">
        <v>28669</v>
      </c>
      <c r="G5330" t="s">
        <v>28675</v>
      </c>
      <c r="H5330" t="s">
        <v>9998</v>
      </c>
      <c r="I5330" t="s">
        <v>7352</v>
      </c>
      <c r="J5330" t="s">
        <v>32227</v>
      </c>
      <c r="K5330" t="s">
        <v>37204</v>
      </c>
      <c r="M5330" t="s">
        <v>39452</v>
      </c>
      <c r="N5330" t="s">
        <v>41249</v>
      </c>
      <c r="O5330" t="s">
        <v>41250</v>
      </c>
      <c r="P5330">
        <v>0</v>
      </c>
      <c r="Q5330">
        <v>0</v>
      </c>
      <c r="R5330" t="s">
        <v>41254</v>
      </c>
      <c r="S5330" t="s">
        <v>41425</v>
      </c>
      <c r="T5330" t="s">
        <v>42673</v>
      </c>
      <c r="U5330" t="s">
        <v>47614</v>
      </c>
      <c r="W5330" t="s">
        <v>39452</v>
      </c>
      <c r="X5330" t="s">
        <v>41255</v>
      </c>
    </row>
    <row r="5331" spans="1:24">
      <c r="A5331">
        <f>HYPERLINK("https://www.philgeps.gov.ph/GEPSNONPILOT/Tender/SplashBidNoticeAbstractUI.aspx?menuIndex=3&amp;refID=7072914&amp;Result=3","7072914")</f>
        <v>0</v>
      </c>
      <c r="B5331" t="s">
        <v>1839</v>
      </c>
      <c r="C5331" t="s">
        <v>8473</v>
      </c>
      <c r="E5331" t="s">
        <v>16708</v>
      </c>
      <c r="F5331" t="s">
        <v>28669</v>
      </c>
      <c r="G5331" t="s">
        <v>28675</v>
      </c>
      <c r="H5331" t="s">
        <v>9998</v>
      </c>
      <c r="I5331" t="s">
        <v>11593</v>
      </c>
      <c r="J5331" t="s">
        <v>32228</v>
      </c>
      <c r="K5331" t="s">
        <v>37209</v>
      </c>
      <c r="M5331" t="s">
        <v>39453</v>
      </c>
      <c r="N5331" t="s">
        <v>41249</v>
      </c>
      <c r="O5331" t="s">
        <v>41250</v>
      </c>
      <c r="P5331">
        <v>0</v>
      </c>
      <c r="Q5331">
        <v>16</v>
      </c>
      <c r="R5331" t="s">
        <v>41254</v>
      </c>
      <c r="S5331" t="s">
        <v>41425</v>
      </c>
      <c r="T5331" t="s">
        <v>42940</v>
      </c>
      <c r="U5331" t="s">
        <v>47615</v>
      </c>
      <c r="W5331" t="s">
        <v>39453</v>
      </c>
      <c r="X5331" t="s">
        <v>41255</v>
      </c>
    </row>
    <row r="5332" spans="1:24">
      <c r="A5332">
        <f>HYPERLINK("https://www.philgeps.gov.ph/GEPSNONPILOT/Tender/SplashBidNoticeAbstractUI.aspx?menuIndex=3&amp;refID=7072899&amp;Result=3","7072899")</f>
        <v>0</v>
      </c>
      <c r="B5332" t="s">
        <v>1838</v>
      </c>
      <c r="C5332" t="s">
        <v>8474</v>
      </c>
      <c r="D5332" t="s">
        <v>16629</v>
      </c>
      <c r="E5332" t="s">
        <v>21464</v>
      </c>
      <c r="F5332" t="s">
        <v>28669</v>
      </c>
      <c r="G5332" t="s">
        <v>28675</v>
      </c>
      <c r="H5332" t="s">
        <v>9998</v>
      </c>
      <c r="I5332" t="s">
        <v>7352</v>
      </c>
      <c r="J5332" t="s">
        <v>32229</v>
      </c>
      <c r="K5332" t="s">
        <v>37204</v>
      </c>
      <c r="M5332" t="s">
        <v>39452</v>
      </c>
      <c r="N5332" t="s">
        <v>41249</v>
      </c>
      <c r="O5332" t="s">
        <v>41250</v>
      </c>
      <c r="P5332">
        <v>0</v>
      </c>
      <c r="Q5332">
        <v>0</v>
      </c>
      <c r="R5332" t="s">
        <v>41254</v>
      </c>
      <c r="S5332" t="s">
        <v>41425</v>
      </c>
      <c r="T5332" t="s">
        <v>42673</v>
      </c>
      <c r="U5332" t="s">
        <v>47616</v>
      </c>
      <c r="W5332" t="s">
        <v>39452</v>
      </c>
      <c r="X5332" t="s">
        <v>41255</v>
      </c>
    </row>
    <row r="5333" spans="1:24">
      <c r="A5333">
        <f>HYPERLINK("https://www.philgeps.gov.ph/GEPSNONPILOT/Tender/SplashBidNoticeAbstractUI.aspx?menuIndex=3&amp;refID=7072910&amp;Result=3","7072910")</f>
        <v>0</v>
      </c>
      <c r="B5333" t="s">
        <v>1840</v>
      </c>
      <c r="C5333" t="s">
        <v>8475</v>
      </c>
      <c r="D5333" t="s">
        <v>16626</v>
      </c>
      <c r="E5333" t="s">
        <v>21465</v>
      </c>
      <c r="F5333" t="s">
        <v>28669</v>
      </c>
      <c r="G5333" t="s">
        <v>28676</v>
      </c>
      <c r="H5333" t="s">
        <v>28684</v>
      </c>
      <c r="I5333" t="s">
        <v>28688</v>
      </c>
      <c r="J5333" t="s">
        <v>32230</v>
      </c>
      <c r="K5333" t="s">
        <v>37243</v>
      </c>
      <c r="M5333" t="s">
        <v>39454</v>
      </c>
      <c r="N5333" t="s">
        <v>41249</v>
      </c>
      <c r="O5333" t="s">
        <v>41250</v>
      </c>
      <c r="P5333">
        <v>0</v>
      </c>
      <c r="Q5333">
        <v>4</v>
      </c>
      <c r="R5333" t="s">
        <v>41254</v>
      </c>
      <c r="S5333" t="s">
        <v>41425</v>
      </c>
      <c r="T5333" t="s">
        <v>42771</v>
      </c>
      <c r="U5333" t="s">
        <v>47617</v>
      </c>
      <c r="V5333" t="s">
        <v>54853</v>
      </c>
      <c r="W5333" t="s">
        <v>39454</v>
      </c>
      <c r="X5333" t="s">
        <v>41255</v>
      </c>
    </row>
    <row r="5334" spans="1:24">
      <c r="A5334">
        <f>HYPERLINK("https://www.philgeps.gov.ph/GEPSNONPILOT/Tender/SplashBidNoticeAbstractUI.aspx?menuIndex=3&amp;refID=7072898&amp;Result=3","7072898")</f>
        <v>0</v>
      </c>
      <c r="B5334" t="s">
        <v>1841</v>
      </c>
      <c r="C5334" t="s">
        <v>8476</v>
      </c>
      <c r="D5334" t="s">
        <v>16608</v>
      </c>
      <c r="E5334" t="s">
        <v>21466</v>
      </c>
      <c r="F5334" t="s">
        <v>28669</v>
      </c>
      <c r="G5334" t="s">
        <v>28675</v>
      </c>
      <c r="H5334" t="s">
        <v>9998</v>
      </c>
      <c r="I5334" t="s">
        <v>28719</v>
      </c>
      <c r="J5334" t="s">
        <v>30333</v>
      </c>
      <c r="K5334" t="s">
        <v>37204</v>
      </c>
      <c r="M5334" t="s">
        <v>39455</v>
      </c>
      <c r="N5334" t="s">
        <v>41249</v>
      </c>
      <c r="O5334" t="s">
        <v>41250</v>
      </c>
      <c r="P5334">
        <v>0</v>
      </c>
      <c r="Q5334">
        <v>3</v>
      </c>
      <c r="R5334" t="s">
        <v>41254</v>
      </c>
      <c r="S5334" t="s">
        <v>41425</v>
      </c>
      <c r="T5334" t="s">
        <v>42683</v>
      </c>
      <c r="U5334" t="s">
        <v>47618</v>
      </c>
      <c r="W5334" t="s">
        <v>39455</v>
      </c>
      <c r="X5334" t="s">
        <v>41255</v>
      </c>
    </row>
    <row r="5335" spans="1:24">
      <c r="A5335">
        <f>HYPERLINK("https://www.philgeps.gov.ph/GEPSNONPILOT/Tender/SplashBidNoticeAbstractUI.aspx?menuIndex=3&amp;refID=7072903&amp;Result=3","7072903")</f>
        <v>0</v>
      </c>
      <c r="B5335" t="s">
        <v>1842</v>
      </c>
      <c r="C5335" t="s">
        <v>5134</v>
      </c>
      <c r="D5335" t="s">
        <v>16678</v>
      </c>
      <c r="E5335" t="s">
        <v>21467</v>
      </c>
      <c r="F5335" t="s">
        <v>28669</v>
      </c>
      <c r="G5335" t="s">
        <v>28675</v>
      </c>
      <c r="H5335" t="s">
        <v>28686</v>
      </c>
      <c r="I5335" t="s">
        <v>28689</v>
      </c>
      <c r="J5335" t="s">
        <v>32231</v>
      </c>
      <c r="K5335" t="s">
        <v>37213</v>
      </c>
      <c r="M5335" t="s">
        <v>39456</v>
      </c>
      <c r="N5335" t="s">
        <v>41249</v>
      </c>
      <c r="O5335" t="s">
        <v>41250</v>
      </c>
      <c r="P5335">
        <v>0</v>
      </c>
      <c r="Q5335">
        <v>1</v>
      </c>
      <c r="R5335" t="s">
        <v>41254</v>
      </c>
      <c r="S5335" t="s">
        <v>41425</v>
      </c>
      <c r="T5335" t="s">
        <v>42716</v>
      </c>
      <c r="U5335" t="s">
        <v>47619</v>
      </c>
      <c r="W5335" t="s">
        <v>39456</v>
      </c>
      <c r="X5335" t="s">
        <v>41255</v>
      </c>
    </row>
    <row r="5336" spans="1:24">
      <c r="A5336">
        <f>HYPERLINK("https://www.philgeps.gov.ph/GEPSNONPILOT/Tender/SplashBidNoticeAbstractUI.aspx?menuIndex=3&amp;refID=7072969&amp;Result=3","7072969")</f>
        <v>0</v>
      </c>
      <c r="B5336" t="s">
        <v>909</v>
      </c>
      <c r="C5336" t="s">
        <v>8477</v>
      </c>
      <c r="D5336" t="s">
        <v>16662</v>
      </c>
      <c r="E5336" t="s">
        <v>21468</v>
      </c>
      <c r="F5336" t="s">
        <v>28669</v>
      </c>
      <c r="G5336" t="s">
        <v>28678</v>
      </c>
      <c r="H5336" t="s">
        <v>9998</v>
      </c>
      <c r="I5336" t="s">
        <v>11593</v>
      </c>
      <c r="J5336" t="s">
        <v>32232</v>
      </c>
      <c r="K5336" t="s">
        <v>37227</v>
      </c>
      <c r="M5336" t="s">
        <v>38431</v>
      </c>
      <c r="N5336" t="s">
        <v>41249</v>
      </c>
      <c r="O5336" t="s">
        <v>41250</v>
      </c>
      <c r="P5336">
        <v>0</v>
      </c>
      <c r="Q5336">
        <v>2</v>
      </c>
      <c r="R5336" t="s">
        <v>41254</v>
      </c>
      <c r="S5336" t="s">
        <v>41425</v>
      </c>
      <c r="T5336" t="s">
        <v>42736</v>
      </c>
      <c r="U5336" t="s">
        <v>47620</v>
      </c>
      <c r="W5336" t="s">
        <v>38431</v>
      </c>
      <c r="X5336" t="s">
        <v>41255</v>
      </c>
    </row>
    <row r="5337" spans="1:24">
      <c r="A5337">
        <f>HYPERLINK("https://www.philgeps.gov.ph/GEPSNONPILOT/Tender/SplashBidNoticeAbstractUI.aspx?menuIndex=3&amp;refID=7072833&amp;Result=3","7072833")</f>
        <v>0</v>
      </c>
      <c r="B5337" t="s">
        <v>1151</v>
      </c>
      <c r="C5337" t="s">
        <v>8478</v>
      </c>
      <c r="D5337" t="s">
        <v>16643</v>
      </c>
      <c r="E5337" t="s">
        <v>21469</v>
      </c>
      <c r="F5337" t="s">
        <v>28669</v>
      </c>
      <c r="G5337" t="s">
        <v>28675</v>
      </c>
      <c r="H5337" t="s">
        <v>9998</v>
      </c>
      <c r="I5337" t="s">
        <v>7352</v>
      </c>
      <c r="J5337" t="s">
        <v>32233</v>
      </c>
      <c r="K5337" t="s">
        <v>37206</v>
      </c>
      <c r="M5337" t="s">
        <v>38939</v>
      </c>
      <c r="N5337" t="s">
        <v>41249</v>
      </c>
      <c r="O5337" t="s">
        <v>41250</v>
      </c>
      <c r="P5337">
        <v>0</v>
      </c>
      <c r="Q5337">
        <v>1</v>
      </c>
      <c r="R5337" t="s">
        <v>41254</v>
      </c>
      <c r="S5337" t="s">
        <v>41425</v>
      </c>
      <c r="T5337" t="s">
        <v>42716</v>
      </c>
      <c r="U5337" t="s">
        <v>47621</v>
      </c>
      <c r="W5337" t="s">
        <v>38939</v>
      </c>
      <c r="X5337" t="s">
        <v>41255</v>
      </c>
    </row>
    <row r="5338" spans="1:24">
      <c r="A5338">
        <f>HYPERLINK("https://www.philgeps.gov.ph/GEPSNONPILOT/Tender/SplashBidNoticeAbstractUI.aspx?menuIndex=3&amp;refID=7072945&amp;Result=3","7072945")</f>
        <v>0</v>
      </c>
      <c r="B5338" t="s">
        <v>752</v>
      </c>
      <c r="C5338" t="s">
        <v>8479</v>
      </c>
      <c r="D5338" t="s">
        <v>16679</v>
      </c>
      <c r="E5338" t="s">
        <v>21470</v>
      </c>
      <c r="F5338" t="s">
        <v>28669</v>
      </c>
      <c r="G5338" t="s">
        <v>28676</v>
      </c>
      <c r="H5338" t="s">
        <v>9998</v>
      </c>
      <c r="I5338" t="s">
        <v>28704</v>
      </c>
      <c r="J5338" t="s">
        <v>32234</v>
      </c>
      <c r="K5338" t="s">
        <v>37205</v>
      </c>
      <c r="M5338" t="s">
        <v>39457</v>
      </c>
      <c r="N5338" t="s">
        <v>41249</v>
      </c>
      <c r="O5338" t="s">
        <v>41250</v>
      </c>
      <c r="P5338">
        <v>0</v>
      </c>
      <c r="Q5338">
        <v>1</v>
      </c>
      <c r="R5338" t="s">
        <v>41254</v>
      </c>
      <c r="S5338" t="s">
        <v>41425</v>
      </c>
      <c r="T5338" t="s">
        <v>42883</v>
      </c>
      <c r="U5338" t="s">
        <v>47622</v>
      </c>
      <c r="V5338" t="s">
        <v>54854</v>
      </c>
      <c r="W5338" t="s">
        <v>39457</v>
      </c>
      <c r="X5338" t="s">
        <v>41255</v>
      </c>
    </row>
    <row r="5339" spans="1:24">
      <c r="A5339">
        <f>HYPERLINK("https://www.philgeps.gov.ph/GEPSNONPILOT/Tender/SplashBidNoticeAbstractUI.aspx?menuIndex=3&amp;refID=7072966&amp;Result=3","7072966")</f>
        <v>0</v>
      </c>
      <c r="B5339" t="s">
        <v>909</v>
      </c>
      <c r="C5339" t="s">
        <v>8480</v>
      </c>
      <c r="D5339" t="s">
        <v>16662</v>
      </c>
      <c r="E5339" t="s">
        <v>21468</v>
      </c>
      <c r="F5339" t="s">
        <v>28669</v>
      </c>
      <c r="G5339" t="s">
        <v>28678</v>
      </c>
      <c r="H5339" t="s">
        <v>9998</v>
      </c>
      <c r="I5339" t="s">
        <v>5213</v>
      </c>
      <c r="J5339" t="s">
        <v>32235</v>
      </c>
      <c r="K5339" t="s">
        <v>37227</v>
      </c>
      <c r="M5339" t="s">
        <v>38431</v>
      </c>
      <c r="N5339" t="s">
        <v>41249</v>
      </c>
      <c r="O5339" t="s">
        <v>41250</v>
      </c>
      <c r="P5339">
        <v>0</v>
      </c>
      <c r="Q5339">
        <v>0</v>
      </c>
      <c r="R5339" t="s">
        <v>41254</v>
      </c>
      <c r="S5339" t="s">
        <v>41425</v>
      </c>
      <c r="T5339" t="s">
        <v>42736</v>
      </c>
      <c r="U5339" t="s">
        <v>47620</v>
      </c>
      <c r="W5339" t="s">
        <v>38431</v>
      </c>
      <c r="X5339" t="s">
        <v>41255</v>
      </c>
    </row>
    <row r="5340" spans="1:24">
      <c r="A5340">
        <f>HYPERLINK("https://www.philgeps.gov.ph/GEPSNONPILOT/Tender/SplashBidNoticeAbstractUI.aspx?menuIndex=3&amp;refID=7072924&amp;Result=3","7072924")</f>
        <v>0</v>
      </c>
      <c r="B5340" t="s">
        <v>100</v>
      </c>
      <c r="C5340" t="s">
        <v>8481</v>
      </c>
      <c r="D5340" t="s">
        <v>16608</v>
      </c>
      <c r="E5340" t="s">
        <v>21471</v>
      </c>
      <c r="F5340" t="s">
        <v>28669</v>
      </c>
      <c r="G5340" t="s">
        <v>28675</v>
      </c>
      <c r="H5340" t="s">
        <v>9998</v>
      </c>
      <c r="I5340" t="s">
        <v>28726</v>
      </c>
      <c r="J5340" t="s">
        <v>32236</v>
      </c>
      <c r="K5340" t="s">
        <v>37327</v>
      </c>
      <c r="M5340" t="s">
        <v>39458</v>
      </c>
      <c r="N5340" t="s">
        <v>41249</v>
      </c>
      <c r="O5340" t="s">
        <v>41250</v>
      </c>
      <c r="P5340">
        <v>0</v>
      </c>
      <c r="Q5340">
        <v>3</v>
      </c>
      <c r="R5340" t="s">
        <v>41254</v>
      </c>
      <c r="S5340" t="s">
        <v>41425</v>
      </c>
      <c r="T5340" t="s">
        <v>42693</v>
      </c>
      <c r="U5340" t="s">
        <v>47623</v>
      </c>
      <c r="W5340" t="s">
        <v>39458</v>
      </c>
      <c r="X5340" t="s">
        <v>41255</v>
      </c>
    </row>
    <row r="5341" spans="1:24">
      <c r="A5341">
        <f>HYPERLINK("https://www.philgeps.gov.ph/GEPSNONPILOT/Tender/SplashBidNoticeAbstractUI.aspx?menuIndex=3&amp;refID=7072964&amp;Result=3","7072964")</f>
        <v>0</v>
      </c>
      <c r="B5341" t="s">
        <v>1843</v>
      </c>
      <c r="C5341" t="s">
        <v>8482</v>
      </c>
      <c r="D5341" t="s">
        <v>16607</v>
      </c>
      <c r="E5341" t="s">
        <v>21472</v>
      </c>
      <c r="F5341" t="s">
        <v>28669</v>
      </c>
      <c r="G5341" t="s">
        <v>28676</v>
      </c>
      <c r="H5341" t="s">
        <v>9998</v>
      </c>
      <c r="I5341" t="s">
        <v>28704</v>
      </c>
      <c r="J5341" t="s">
        <v>32237</v>
      </c>
      <c r="K5341" t="s">
        <v>37205</v>
      </c>
      <c r="M5341" t="s">
        <v>39459</v>
      </c>
      <c r="N5341" t="s">
        <v>41249</v>
      </c>
      <c r="O5341" t="s">
        <v>41250</v>
      </c>
      <c r="P5341">
        <v>0</v>
      </c>
      <c r="Q5341">
        <v>0</v>
      </c>
      <c r="R5341" t="s">
        <v>41254</v>
      </c>
      <c r="S5341" t="s">
        <v>41425</v>
      </c>
      <c r="T5341" t="s">
        <v>42887</v>
      </c>
      <c r="U5341" t="s">
        <v>47624</v>
      </c>
      <c r="W5341" t="s">
        <v>39459</v>
      </c>
      <c r="X5341" t="s">
        <v>41255</v>
      </c>
    </row>
    <row r="5342" spans="1:24">
      <c r="A5342">
        <f>HYPERLINK("https://www.philgeps.gov.ph/GEPSNONPILOT/Tender/SplashBidNoticeAbstractUI.aspx?menuIndex=3&amp;refID=7072961&amp;Result=3","7072961")</f>
        <v>0</v>
      </c>
      <c r="B5342" t="s">
        <v>909</v>
      </c>
      <c r="C5342" t="s">
        <v>8483</v>
      </c>
      <c r="D5342" t="s">
        <v>16662</v>
      </c>
      <c r="E5342" t="s">
        <v>21473</v>
      </c>
      <c r="F5342" t="s">
        <v>28669</v>
      </c>
      <c r="G5342" t="s">
        <v>28676</v>
      </c>
      <c r="H5342" t="s">
        <v>9998</v>
      </c>
      <c r="I5342" t="s">
        <v>28692</v>
      </c>
      <c r="J5342" t="s">
        <v>28894</v>
      </c>
      <c r="K5342" t="s">
        <v>37227</v>
      </c>
      <c r="M5342" t="s">
        <v>38431</v>
      </c>
      <c r="N5342" t="s">
        <v>41249</v>
      </c>
      <c r="O5342" t="s">
        <v>41250</v>
      </c>
      <c r="P5342">
        <v>0</v>
      </c>
      <c r="Q5342">
        <v>2</v>
      </c>
      <c r="R5342" t="s">
        <v>41254</v>
      </c>
      <c r="S5342" t="s">
        <v>41425</v>
      </c>
      <c r="T5342" t="s">
        <v>42736</v>
      </c>
      <c r="U5342" t="s">
        <v>47625</v>
      </c>
      <c r="W5342" t="s">
        <v>38431</v>
      </c>
      <c r="X5342" t="s">
        <v>41255</v>
      </c>
    </row>
    <row r="5343" spans="1:24">
      <c r="A5343">
        <f>HYPERLINK("https://www.philgeps.gov.ph/GEPSNONPILOT/Tender/SplashBidNoticeAbstractUI.aspx?menuIndex=3&amp;refID=7072960&amp;Result=3","7072960")</f>
        <v>0</v>
      </c>
      <c r="B5343" t="s">
        <v>206</v>
      </c>
      <c r="C5343" t="s">
        <v>8484</v>
      </c>
      <c r="D5343" t="s">
        <v>16617</v>
      </c>
      <c r="E5343" t="s">
        <v>21474</v>
      </c>
      <c r="F5343" t="s">
        <v>28669</v>
      </c>
      <c r="G5343" t="s">
        <v>28677</v>
      </c>
      <c r="H5343" t="s">
        <v>9998</v>
      </c>
      <c r="I5343" t="s">
        <v>28729</v>
      </c>
      <c r="J5343" t="s">
        <v>29438</v>
      </c>
      <c r="K5343" t="s">
        <v>37208</v>
      </c>
      <c r="M5343" t="s">
        <v>39460</v>
      </c>
      <c r="N5343" t="s">
        <v>41249</v>
      </c>
      <c r="O5343" t="s">
        <v>41250</v>
      </c>
      <c r="P5343">
        <v>0</v>
      </c>
      <c r="Q5343">
        <v>1</v>
      </c>
      <c r="R5343" t="s">
        <v>41254</v>
      </c>
      <c r="S5343" t="s">
        <v>41425</v>
      </c>
      <c r="T5343" t="s">
        <v>42771</v>
      </c>
      <c r="U5343" t="s">
        <v>47626</v>
      </c>
      <c r="W5343" t="s">
        <v>39460</v>
      </c>
      <c r="X5343" t="s">
        <v>41255</v>
      </c>
    </row>
    <row r="5344" spans="1:24">
      <c r="A5344">
        <f>HYPERLINK("https://www.philgeps.gov.ph/GEPSNONPILOT/Tender/SplashBidNoticeAbstractUI.aspx?menuIndex=3&amp;refID=7072917&amp;Result=3","7072917")</f>
        <v>0</v>
      </c>
      <c r="B5344" t="s">
        <v>140</v>
      </c>
      <c r="C5344" t="s">
        <v>8485</v>
      </c>
      <c r="D5344" t="s">
        <v>16652</v>
      </c>
      <c r="E5344" t="s">
        <v>21475</v>
      </c>
      <c r="F5344" t="s">
        <v>28669</v>
      </c>
      <c r="G5344" t="s">
        <v>28675</v>
      </c>
      <c r="H5344" t="s">
        <v>28686</v>
      </c>
      <c r="I5344" t="s">
        <v>28689</v>
      </c>
      <c r="J5344" t="s">
        <v>29003</v>
      </c>
      <c r="K5344" t="s">
        <v>37221</v>
      </c>
      <c r="M5344" t="s">
        <v>37617</v>
      </c>
      <c r="N5344" t="s">
        <v>41249</v>
      </c>
      <c r="O5344" t="s">
        <v>41250</v>
      </c>
      <c r="P5344">
        <v>0</v>
      </c>
      <c r="Q5344">
        <v>0</v>
      </c>
      <c r="R5344" t="s">
        <v>41254</v>
      </c>
      <c r="S5344" t="s">
        <v>41425</v>
      </c>
      <c r="T5344" t="s">
        <v>42768</v>
      </c>
      <c r="U5344" t="s">
        <v>46007</v>
      </c>
      <c r="W5344" t="s">
        <v>37617</v>
      </c>
      <c r="X5344" t="s">
        <v>41255</v>
      </c>
    </row>
    <row r="5345" spans="1:24">
      <c r="A5345">
        <f>HYPERLINK("https://www.philgeps.gov.ph/GEPSNONPILOT/Tender/SplashBidNoticeAbstractUI.aspx?menuIndex=3&amp;refID=7072959&amp;Result=3","7072959")</f>
        <v>0</v>
      </c>
      <c r="B5345" t="s">
        <v>909</v>
      </c>
      <c r="C5345" t="s">
        <v>7443</v>
      </c>
      <c r="D5345" t="s">
        <v>16662</v>
      </c>
      <c r="E5345" t="s">
        <v>21473</v>
      </c>
      <c r="F5345" t="s">
        <v>28669</v>
      </c>
      <c r="G5345" t="s">
        <v>28678</v>
      </c>
      <c r="H5345" t="s">
        <v>9998</v>
      </c>
      <c r="I5345" t="s">
        <v>6128</v>
      </c>
      <c r="J5345" t="s">
        <v>32238</v>
      </c>
      <c r="K5345" t="s">
        <v>37227</v>
      </c>
      <c r="M5345" t="s">
        <v>38431</v>
      </c>
      <c r="N5345" t="s">
        <v>41249</v>
      </c>
      <c r="O5345" t="s">
        <v>41250</v>
      </c>
      <c r="P5345">
        <v>0</v>
      </c>
      <c r="Q5345">
        <v>0</v>
      </c>
      <c r="R5345" t="s">
        <v>41254</v>
      </c>
      <c r="S5345" t="s">
        <v>41425</v>
      </c>
      <c r="T5345" t="s">
        <v>42736</v>
      </c>
      <c r="U5345" t="s">
        <v>47625</v>
      </c>
      <c r="W5345" t="s">
        <v>38431</v>
      </c>
      <c r="X5345" t="s">
        <v>41255</v>
      </c>
    </row>
    <row r="5346" spans="1:24">
      <c r="A5346">
        <f>HYPERLINK("https://www.philgeps.gov.ph/GEPSNONPILOT/Tender/SplashBidNoticeAbstractUI.aspx?menuIndex=3&amp;refID=7072958&amp;Result=3","7072958")</f>
        <v>0</v>
      </c>
      <c r="B5346" t="s">
        <v>1146</v>
      </c>
      <c r="C5346" t="s">
        <v>8486</v>
      </c>
      <c r="D5346" t="s">
        <v>16640</v>
      </c>
      <c r="E5346" t="s">
        <v>21476</v>
      </c>
      <c r="F5346" t="s">
        <v>28669</v>
      </c>
      <c r="G5346" t="s">
        <v>28675</v>
      </c>
      <c r="H5346" t="s">
        <v>9998</v>
      </c>
      <c r="I5346" t="s">
        <v>28699</v>
      </c>
      <c r="J5346" t="s">
        <v>32239</v>
      </c>
      <c r="K5346" t="s">
        <v>37206</v>
      </c>
      <c r="M5346" t="s">
        <v>38682</v>
      </c>
      <c r="N5346" t="s">
        <v>41249</v>
      </c>
      <c r="O5346" t="s">
        <v>41250</v>
      </c>
      <c r="P5346">
        <v>0</v>
      </c>
      <c r="Q5346">
        <v>6</v>
      </c>
      <c r="R5346" t="s">
        <v>41254</v>
      </c>
      <c r="S5346" t="s">
        <v>41425</v>
      </c>
      <c r="T5346" t="s">
        <v>42855</v>
      </c>
      <c r="U5346" t="s">
        <v>47627</v>
      </c>
      <c r="W5346" t="s">
        <v>38682</v>
      </c>
      <c r="X5346" t="s">
        <v>41255</v>
      </c>
    </row>
    <row r="5347" spans="1:24">
      <c r="A5347">
        <f>HYPERLINK("https://www.philgeps.gov.ph/GEPSNONPILOT/Tender/SplashBidNoticeAbstractUI.aspx?menuIndex=3&amp;refID=7072962&amp;Result=3","7072962")</f>
        <v>0</v>
      </c>
      <c r="B5347" t="s">
        <v>909</v>
      </c>
      <c r="C5347" t="s">
        <v>8487</v>
      </c>
      <c r="D5347" t="s">
        <v>16662</v>
      </c>
      <c r="E5347" t="s">
        <v>21477</v>
      </c>
      <c r="F5347" t="s">
        <v>28669</v>
      </c>
      <c r="G5347" t="s">
        <v>28676</v>
      </c>
      <c r="H5347" t="s">
        <v>9998</v>
      </c>
      <c r="I5347" t="s">
        <v>28773</v>
      </c>
      <c r="J5347" t="s">
        <v>32240</v>
      </c>
      <c r="K5347" t="s">
        <v>37227</v>
      </c>
      <c r="M5347" t="s">
        <v>38431</v>
      </c>
      <c r="N5347" t="s">
        <v>41249</v>
      </c>
      <c r="O5347" t="s">
        <v>41250</v>
      </c>
      <c r="P5347">
        <v>0</v>
      </c>
      <c r="Q5347">
        <v>1</v>
      </c>
      <c r="R5347" t="s">
        <v>41254</v>
      </c>
      <c r="S5347" t="s">
        <v>41425</v>
      </c>
      <c r="T5347" t="s">
        <v>42758</v>
      </c>
      <c r="U5347" t="s">
        <v>47628</v>
      </c>
      <c r="W5347" t="s">
        <v>38431</v>
      </c>
      <c r="X5347" t="s">
        <v>41255</v>
      </c>
    </row>
    <row r="5348" spans="1:24">
      <c r="A5348">
        <f>HYPERLINK("https://www.philgeps.gov.ph/GEPSNONPILOT/Tender/SplashBidNoticeAbstractUI.aspx?menuIndex=3&amp;refID=7072990&amp;Result=3","7072990")</f>
        <v>0</v>
      </c>
      <c r="B5348" t="s">
        <v>1626</v>
      </c>
      <c r="C5348" t="s">
        <v>8488</v>
      </c>
      <c r="E5348" t="s">
        <v>21478</v>
      </c>
      <c r="F5348" t="s">
        <v>28669</v>
      </c>
      <c r="G5348" t="s">
        <v>28678</v>
      </c>
      <c r="H5348" t="s">
        <v>9998</v>
      </c>
      <c r="I5348" t="s">
        <v>3718</v>
      </c>
      <c r="J5348" t="s">
        <v>29779</v>
      </c>
      <c r="K5348" t="s">
        <v>37209</v>
      </c>
      <c r="M5348" t="s">
        <v>39212</v>
      </c>
      <c r="N5348" t="s">
        <v>41249</v>
      </c>
      <c r="O5348" t="s">
        <v>41250</v>
      </c>
      <c r="P5348">
        <v>0</v>
      </c>
      <c r="Q5348">
        <v>6</v>
      </c>
      <c r="R5348" t="s">
        <v>41254</v>
      </c>
      <c r="S5348" t="s">
        <v>41425</v>
      </c>
      <c r="T5348" t="s">
        <v>42938</v>
      </c>
      <c r="U5348" t="s">
        <v>47629</v>
      </c>
      <c r="W5348" t="s">
        <v>39212</v>
      </c>
      <c r="X5348" t="s">
        <v>41255</v>
      </c>
    </row>
    <row r="5349" spans="1:24">
      <c r="A5349">
        <f>HYPERLINK("https://www.philgeps.gov.ph/GEPSNONPILOT/Tender/SplashBidNoticeAbstractUI.aspx?menuIndex=3&amp;refID=7072967&amp;Result=3","7072967")</f>
        <v>0</v>
      </c>
      <c r="B5349" t="s">
        <v>447</v>
      </c>
      <c r="C5349" t="s">
        <v>8489</v>
      </c>
      <c r="D5349" t="s">
        <v>16608</v>
      </c>
      <c r="E5349" t="s">
        <v>21479</v>
      </c>
      <c r="F5349" t="s">
        <v>28669</v>
      </c>
      <c r="G5349" t="s">
        <v>28679</v>
      </c>
      <c r="H5349" t="s">
        <v>9998</v>
      </c>
      <c r="I5349" t="s">
        <v>28725</v>
      </c>
      <c r="J5349" t="s">
        <v>32241</v>
      </c>
      <c r="K5349" t="s">
        <v>37209</v>
      </c>
      <c r="M5349" t="s">
        <v>39461</v>
      </c>
      <c r="N5349" t="s">
        <v>41249</v>
      </c>
      <c r="O5349" t="s">
        <v>41250</v>
      </c>
      <c r="P5349">
        <v>0</v>
      </c>
      <c r="Q5349">
        <v>0</v>
      </c>
      <c r="R5349" t="s">
        <v>41254</v>
      </c>
      <c r="S5349" t="s">
        <v>41425</v>
      </c>
      <c r="T5349" t="s">
        <v>42711</v>
      </c>
      <c r="U5349" t="s">
        <v>47630</v>
      </c>
      <c r="W5349" t="s">
        <v>39461</v>
      </c>
      <c r="X5349" t="s">
        <v>41255</v>
      </c>
    </row>
    <row r="5350" spans="1:24">
      <c r="A5350">
        <f>HYPERLINK("https://www.philgeps.gov.ph/GEPSNONPILOT/Tender/SplashBidNoticeAbstractUI.aspx?menuIndex=3&amp;refID=7072988&amp;Result=3","7072988")</f>
        <v>0</v>
      </c>
      <c r="B5350" t="s">
        <v>1626</v>
      </c>
      <c r="C5350" t="s">
        <v>8490</v>
      </c>
      <c r="E5350" t="s">
        <v>21480</v>
      </c>
      <c r="F5350" t="s">
        <v>28669</v>
      </c>
      <c r="G5350" t="s">
        <v>28676</v>
      </c>
      <c r="H5350" t="s">
        <v>9998</v>
      </c>
      <c r="I5350" t="s">
        <v>28744</v>
      </c>
      <c r="J5350" t="s">
        <v>32242</v>
      </c>
      <c r="K5350" t="s">
        <v>37209</v>
      </c>
      <c r="M5350" t="s">
        <v>39212</v>
      </c>
      <c r="N5350" t="s">
        <v>41249</v>
      </c>
      <c r="O5350" t="s">
        <v>41250</v>
      </c>
      <c r="P5350">
        <v>0</v>
      </c>
      <c r="Q5350">
        <v>1</v>
      </c>
      <c r="R5350" t="s">
        <v>41254</v>
      </c>
      <c r="S5350" t="s">
        <v>41425</v>
      </c>
      <c r="T5350" t="s">
        <v>42938</v>
      </c>
      <c r="U5350" t="s">
        <v>47629</v>
      </c>
      <c r="W5350" t="s">
        <v>39212</v>
      </c>
      <c r="X5350" t="s">
        <v>41255</v>
      </c>
    </row>
    <row r="5351" spans="1:24">
      <c r="A5351">
        <f>HYPERLINK("https://www.philgeps.gov.ph/GEPSNONPILOT/Tender/SplashBidNoticeAbstractUI.aspx?menuIndex=3&amp;refID=7072831&amp;Result=3","7072831")</f>
        <v>0</v>
      </c>
      <c r="B5351" t="s">
        <v>1832</v>
      </c>
      <c r="C5351" t="s">
        <v>8491</v>
      </c>
      <c r="D5351" t="s">
        <v>16625</v>
      </c>
      <c r="E5351" t="s">
        <v>21481</v>
      </c>
      <c r="F5351" t="s">
        <v>28669</v>
      </c>
      <c r="G5351" t="s">
        <v>28676</v>
      </c>
      <c r="H5351" t="s">
        <v>9998</v>
      </c>
      <c r="I5351" t="s">
        <v>6128</v>
      </c>
      <c r="J5351" t="s">
        <v>32243</v>
      </c>
      <c r="K5351" t="s">
        <v>37205</v>
      </c>
      <c r="M5351" t="s">
        <v>39445</v>
      </c>
      <c r="N5351" t="s">
        <v>41249</v>
      </c>
      <c r="O5351" t="s">
        <v>41250</v>
      </c>
      <c r="P5351">
        <v>0</v>
      </c>
      <c r="Q5351">
        <v>3</v>
      </c>
      <c r="R5351" t="s">
        <v>41254</v>
      </c>
      <c r="S5351" t="s">
        <v>41425</v>
      </c>
      <c r="T5351" t="s">
        <v>42727</v>
      </c>
      <c r="U5351" t="s">
        <v>47631</v>
      </c>
      <c r="W5351" t="s">
        <v>39445</v>
      </c>
      <c r="X5351" t="s">
        <v>41255</v>
      </c>
    </row>
    <row r="5352" spans="1:24">
      <c r="A5352">
        <f>HYPERLINK("https://www.philgeps.gov.ph/GEPSNONPILOT/Tender/SplashBidNoticeAbstractUI.aspx?menuIndex=3&amp;refID=7072987&amp;Result=3","7072987")</f>
        <v>0</v>
      </c>
      <c r="B5352" t="s">
        <v>1844</v>
      </c>
      <c r="C5352" t="s">
        <v>8492</v>
      </c>
      <c r="D5352" t="s">
        <v>16678</v>
      </c>
      <c r="E5352" t="s">
        <v>21482</v>
      </c>
      <c r="F5352" t="s">
        <v>28669</v>
      </c>
      <c r="G5352" t="s">
        <v>28675</v>
      </c>
      <c r="H5352" t="s">
        <v>28686</v>
      </c>
      <c r="I5352" t="s">
        <v>28689</v>
      </c>
      <c r="J5352" t="s">
        <v>32244</v>
      </c>
      <c r="K5352" t="s">
        <v>37215</v>
      </c>
      <c r="M5352" t="s">
        <v>39462</v>
      </c>
      <c r="N5352" t="s">
        <v>41249</v>
      </c>
      <c r="O5352" t="s">
        <v>41250</v>
      </c>
      <c r="Q5352">
        <v>1</v>
      </c>
      <c r="R5352" t="s">
        <v>41254</v>
      </c>
      <c r="S5352" t="s">
        <v>41436</v>
      </c>
      <c r="T5352" t="s">
        <v>42688</v>
      </c>
      <c r="U5352" t="s">
        <v>47632</v>
      </c>
      <c r="W5352" t="s">
        <v>39462</v>
      </c>
      <c r="X5352" t="s">
        <v>41255</v>
      </c>
    </row>
    <row r="5353" spans="1:24">
      <c r="A5353">
        <f>HYPERLINK("https://www.philgeps.gov.ph/GEPSNONPILOT/Tender/SplashBidNoticeAbstractUI.aspx?menuIndex=3&amp;refID=7072963&amp;Result=3","7072963")</f>
        <v>0</v>
      </c>
      <c r="B5353" t="s">
        <v>206</v>
      </c>
      <c r="C5353" t="s">
        <v>8493</v>
      </c>
      <c r="D5353" t="s">
        <v>16617</v>
      </c>
      <c r="E5353" t="s">
        <v>21483</v>
      </c>
      <c r="F5353" t="s">
        <v>28669</v>
      </c>
      <c r="G5353" t="s">
        <v>28677</v>
      </c>
      <c r="H5353" t="s">
        <v>9998</v>
      </c>
      <c r="I5353" t="s">
        <v>28729</v>
      </c>
      <c r="J5353" t="s">
        <v>29438</v>
      </c>
      <c r="K5353" t="s">
        <v>37208</v>
      </c>
      <c r="M5353" t="s">
        <v>39460</v>
      </c>
      <c r="N5353" t="s">
        <v>41249</v>
      </c>
      <c r="O5353" t="s">
        <v>41250</v>
      </c>
      <c r="P5353">
        <v>0</v>
      </c>
      <c r="Q5353">
        <v>1</v>
      </c>
      <c r="R5353" t="s">
        <v>41254</v>
      </c>
      <c r="S5353" t="s">
        <v>41425</v>
      </c>
      <c r="T5353" t="s">
        <v>42771</v>
      </c>
      <c r="U5353" t="s">
        <v>47633</v>
      </c>
      <c r="W5353" t="s">
        <v>39460</v>
      </c>
      <c r="X5353" t="s">
        <v>41255</v>
      </c>
    </row>
    <row r="5354" spans="1:24">
      <c r="A5354">
        <f>HYPERLINK("https://www.philgeps.gov.ph/GEPSNONPILOT/Tender/SplashBidNoticeAbstractUI.aspx?menuIndex=3&amp;refID=7072983&amp;Result=3","7072983")</f>
        <v>0</v>
      </c>
      <c r="B5354" t="s">
        <v>926</v>
      </c>
      <c r="C5354" t="s">
        <v>8494</v>
      </c>
      <c r="D5354" t="s">
        <v>16625</v>
      </c>
      <c r="E5354" t="s">
        <v>21484</v>
      </c>
      <c r="F5354" t="s">
        <v>28669</v>
      </c>
      <c r="G5354" t="s">
        <v>28676</v>
      </c>
      <c r="H5354" t="s">
        <v>9998</v>
      </c>
      <c r="I5354" t="s">
        <v>28742</v>
      </c>
      <c r="J5354" t="s">
        <v>31537</v>
      </c>
      <c r="K5354" t="s">
        <v>37208</v>
      </c>
      <c r="M5354" t="s">
        <v>38448</v>
      </c>
      <c r="N5354" t="s">
        <v>41249</v>
      </c>
      <c r="O5354" t="s">
        <v>41250</v>
      </c>
      <c r="P5354">
        <v>0</v>
      </c>
      <c r="Q5354">
        <v>6</v>
      </c>
      <c r="R5354" t="s">
        <v>41254</v>
      </c>
      <c r="S5354" t="s">
        <v>41425</v>
      </c>
      <c r="T5354" t="s">
        <v>42728</v>
      </c>
      <c r="U5354" t="s">
        <v>47634</v>
      </c>
      <c r="W5354" t="s">
        <v>38448</v>
      </c>
      <c r="X5354" t="s">
        <v>41255</v>
      </c>
    </row>
    <row r="5355" spans="1:24">
      <c r="A5355">
        <f>HYPERLINK("https://www.philgeps.gov.ph/GEPSNONPILOT/Tender/SplashBidNoticeAbstractUI.aspx?menuIndex=3&amp;refID=7072981&amp;Result=3","7072981")</f>
        <v>0</v>
      </c>
      <c r="B5355" t="s">
        <v>1845</v>
      </c>
      <c r="C5355" t="s">
        <v>8495</v>
      </c>
      <c r="D5355" t="s">
        <v>16668</v>
      </c>
      <c r="E5355" t="s">
        <v>16807</v>
      </c>
      <c r="F5355" t="s">
        <v>28669</v>
      </c>
      <c r="G5355" t="s">
        <v>28675</v>
      </c>
      <c r="H5355" t="s">
        <v>9998</v>
      </c>
      <c r="I5355" t="s">
        <v>28706</v>
      </c>
      <c r="J5355" t="s">
        <v>28826</v>
      </c>
      <c r="K5355" t="s">
        <v>37204</v>
      </c>
      <c r="M5355" t="s">
        <v>39463</v>
      </c>
      <c r="N5355" t="s">
        <v>41249</v>
      </c>
      <c r="O5355" t="s">
        <v>41250</v>
      </c>
      <c r="P5355">
        <v>0</v>
      </c>
      <c r="Q5355">
        <v>1</v>
      </c>
      <c r="R5355" t="s">
        <v>41254</v>
      </c>
      <c r="S5355" t="s">
        <v>41425</v>
      </c>
      <c r="T5355" t="s">
        <v>43001</v>
      </c>
      <c r="U5355" t="s">
        <v>47635</v>
      </c>
      <c r="W5355" t="s">
        <v>39463</v>
      </c>
      <c r="X5355" t="s">
        <v>41255</v>
      </c>
    </row>
    <row r="5356" spans="1:24">
      <c r="A5356">
        <f>HYPERLINK("https://www.philgeps.gov.ph/GEPSNONPILOT/Tender/SplashBidNoticeAbstractUI.aspx?menuIndex=3&amp;refID=7072968&amp;Result=3","7072968")</f>
        <v>0</v>
      </c>
      <c r="B5356" t="s">
        <v>206</v>
      </c>
      <c r="C5356" t="s">
        <v>8496</v>
      </c>
      <c r="E5356" t="s">
        <v>21485</v>
      </c>
      <c r="F5356" t="s">
        <v>28669</v>
      </c>
      <c r="G5356" t="s">
        <v>28677</v>
      </c>
      <c r="H5356" t="s">
        <v>9998</v>
      </c>
      <c r="I5356" t="s">
        <v>7352</v>
      </c>
      <c r="J5356" t="s">
        <v>31715</v>
      </c>
      <c r="K5356" t="s">
        <v>37208</v>
      </c>
      <c r="M5356" t="s">
        <v>39460</v>
      </c>
      <c r="N5356" t="s">
        <v>41249</v>
      </c>
      <c r="O5356" t="s">
        <v>41250</v>
      </c>
      <c r="P5356">
        <v>0</v>
      </c>
      <c r="Q5356">
        <v>1</v>
      </c>
      <c r="R5356" t="s">
        <v>41254</v>
      </c>
      <c r="S5356" t="s">
        <v>41425</v>
      </c>
      <c r="T5356" t="s">
        <v>42771</v>
      </c>
      <c r="U5356" t="s">
        <v>47636</v>
      </c>
      <c r="W5356" t="s">
        <v>39460</v>
      </c>
      <c r="X5356" t="s">
        <v>41255</v>
      </c>
    </row>
    <row r="5357" spans="1:24">
      <c r="A5357">
        <f>HYPERLINK("https://www.philgeps.gov.ph/GEPSNONPILOT/Tender/SplashBidNoticeAbstractUI.aspx?menuIndex=3&amp;refID=7072989&amp;Result=3","7072989")</f>
        <v>0</v>
      </c>
      <c r="B5357" t="s">
        <v>220</v>
      </c>
      <c r="C5357" t="s">
        <v>8497</v>
      </c>
      <c r="D5357" t="s">
        <v>16627</v>
      </c>
      <c r="E5357" t="s">
        <v>21486</v>
      </c>
      <c r="F5357" t="s">
        <v>28669</v>
      </c>
      <c r="G5357" t="s">
        <v>28676</v>
      </c>
      <c r="H5357" t="s">
        <v>9998</v>
      </c>
      <c r="I5357" t="s">
        <v>28736</v>
      </c>
      <c r="J5357" t="s">
        <v>32245</v>
      </c>
      <c r="K5357" t="s">
        <v>37210</v>
      </c>
      <c r="M5357" t="s">
        <v>37698</v>
      </c>
      <c r="N5357" t="s">
        <v>41249</v>
      </c>
      <c r="O5357" t="s">
        <v>41250</v>
      </c>
      <c r="P5357">
        <v>0</v>
      </c>
      <c r="Q5357">
        <v>0</v>
      </c>
      <c r="R5357" t="s">
        <v>41254</v>
      </c>
      <c r="S5357" t="s">
        <v>41425</v>
      </c>
      <c r="T5357" t="s">
        <v>43002</v>
      </c>
      <c r="U5357" t="s">
        <v>47637</v>
      </c>
      <c r="W5357" t="s">
        <v>37698</v>
      </c>
      <c r="X5357" t="s">
        <v>41255</v>
      </c>
    </row>
    <row r="5358" spans="1:24">
      <c r="A5358">
        <f>HYPERLINK("https://www.philgeps.gov.ph/GEPSNONPILOT/Tender/SplashBidNoticeAbstractUI.aspx?menuIndex=3&amp;refID=7072980&amp;Result=3","7072980")</f>
        <v>0</v>
      </c>
      <c r="B5358" t="s">
        <v>1626</v>
      </c>
      <c r="C5358" t="s">
        <v>8498</v>
      </c>
      <c r="E5358" t="s">
        <v>21487</v>
      </c>
      <c r="F5358" t="s">
        <v>28669</v>
      </c>
      <c r="G5358" t="s">
        <v>28676</v>
      </c>
      <c r="H5358" t="s">
        <v>9998</v>
      </c>
      <c r="I5358" t="s">
        <v>28693</v>
      </c>
      <c r="J5358" t="s">
        <v>31715</v>
      </c>
      <c r="K5358" t="s">
        <v>37209</v>
      </c>
      <c r="M5358" t="s">
        <v>39212</v>
      </c>
      <c r="N5358" t="s">
        <v>41249</v>
      </c>
      <c r="O5358" t="s">
        <v>41250</v>
      </c>
      <c r="P5358">
        <v>0</v>
      </c>
      <c r="Q5358">
        <v>3</v>
      </c>
      <c r="R5358" t="s">
        <v>41254</v>
      </c>
      <c r="S5358" t="s">
        <v>41425</v>
      </c>
      <c r="T5358" t="s">
        <v>42938</v>
      </c>
      <c r="U5358" t="s">
        <v>47629</v>
      </c>
      <c r="W5358" t="s">
        <v>39212</v>
      </c>
      <c r="X5358" t="s">
        <v>41255</v>
      </c>
    </row>
    <row r="5359" spans="1:24">
      <c r="A5359">
        <f>HYPERLINK("https://www.philgeps.gov.ph/GEPSNONPILOT/Tender/SplashBidNoticeAbstractUI.aspx?menuIndex=3&amp;refID=7072985&amp;Result=3","7072985")</f>
        <v>0</v>
      </c>
      <c r="B5359" t="s">
        <v>1626</v>
      </c>
      <c r="C5359" t="s">
        <v>8499</v>
      </c>
      <c r="E5359" t="s">
        <v>21488</v>
      </c>
      <c r="F5359" t="s">
        <v>28669</v>
      </c>
      <c r="G5359" t="s">
        <v>28676</v>
      </c>
      <c r="H5359" t="s">
        <v>9998</v>
      </c>
      <c r="I5359" t="s">
        <v>28693</v>
      </c>
      <c r="J5359" t="s">
        <v>32246</v>
      </c>
      <c r="K5359" t="s">
        <v>37209</v>
      </c>
      <c r="M5359" t="s">
        <v>39212</v>
      </c>
      <c r="N5359" t="s">
        <v>41249</v>
      </c>
      <c r="O5359" t="s">
        <v>41250</v>
      </c>
      <c r="P5359">
        <v>0</v>
      </c>
      <c r="Q5359">
        <v>2</v>
      </c>
      <c r="R5359" t="s">
        <v>41254</v>
      </c>
      <c r="S5359" t="s">
        <v>41425</v>
      </c>
      <c r="T5359" t="s">
        <v>42938</v>
      </c>
      <c r="U5359" t="s">
        <v>47629</v>
      </c>
      <c r="W5359" t="s">
        <v>39212</v>
      </c>
      <c r="X5359" t="s">
        <v>41255</v>
      </c>
    </row>
    <row r="5360" spans="1:24">
      <c r="A5360">
        <f>HYPERLINK("https://www.philgeps.gov.ph/GEPSNONPILOT/Tender/SplashBidNoticeAbstractUI.aspx?menuIndex=3&amp;refID=7072984&amp;Result=3","7072984")</f>
        <v>0</v>
      </c>
      <c r="B5360" t="s">
        <v>1846</v>
      </c>
      <c r="C5360" t="s">
        <v>8500</v>
      </c>
      <c r="D5360" t="s">
        <v>16658</v>
      </c>
      <c r="E5360" t="s">
        <v>16871</v>
      </c>
      <c r="F5360" t="s">
        <v>28669</v>
      </c>
      <c r="G5360" t="s">
        <v>28675</v>
      </c>
      <c r="H5360" t="s">
        <v>28686</v>
      </c>
      <c r="I5360" t="s">
        <v>28689</v>
      </c>
      <c r="J5360" t="s">
        <v>32247</v>
      </c>
      <c r="K5360" t="s">
        <v>37216</v>
      </c>
      <c r="M5360" t="s">
        <v>39464</v>
      </c>
      <c r="N5360" t="s">
        <v>41249</v>
      </c>
      <c r="O5360" t="s">
        <v>41250</v>
      </c>
      <c r="P5360">
        <v>0</v>
      </c>
      <c r="Q5360">
        <v>0</v>
      </c>
      <c r="R5360" t="s">
        <v>41254</v>
      </c>
      <c r="S5360" t="s">
        <v>41425</v>
      </c>
      <c r="T5360" t="s">
        <v>42673</v>
      </c>
      <c r="U5360" t="s">
        <v>47638</v>
      </c>
      <c r="W5360" t="s">
        <v>39464</v>
      </c>
      <c r="X5360" t="s">
        <v>41255</v>
      </c>
    </row>
    <row r="5361" spans="1:24">
      <c r="A5361">
        <f>HYPERLINK("https://www.philgeps.gov.ph/GEPSNONPILOT/Tender/SplashBidNoticeAbstractUI.aspx?menuIndex=3&amp;refID=7072976&amp;Result=3","7072976")</f>
        <v>0</v>
      </c>
      <c r="B5361" t="s">
        <v>909</v>
      </c>
      <c r="C5361" t="s">
        <v>8501</v>
      </c>
      <c r="D5361" t="s">
        <v>16662</v>
      </c>
      <c r="E5361" t="s">
        <v>21489</v>
      </c>
      <c r="F5361" t="s">
        <v>28669</v>
      </c>
      <c r="G5361" t="s">
        <v>28676</v>
      </c>
      <c r="H5361" t="s">
        <v>9998</v>
      </c>
      <c r="I5361" t="s">
        <v>28717</v>
      </c>
      <c r="J5361" t="s">
        <v>29646</v>
      </c>
      <c r="K5361" t="s">
        <v>37227</v>
      </c>
      <c r="M5361" t="s">
        <v>38431</v>
      </c>
      <c r="N5361" t="s">
        <v>41249</v>
      </c>
      <c r="O5361" t="s">
        <v>41250</v>
      </c>
      <c r="P5361">
        <v>0</v>
      </c>
      <c r="Q5361">
        <v>4</v>
      </c>
      <c r="R5361" t="s">
        <v>41254</v>
      </c>
      <c r="S5361" t="s">
        <v>41425</v>
      </c>
      <c r="T5361" t="s">
        <v>42736</v>
      </c>
      <c r="U5361" t="s">
        <v>47639</v>
      </c>
      <c r="W5361" t="s">
        <v>38431</v>
      </c>
      <c r="X5361" t="s">
        <v>41255</v>
      </c>
    </row>
    <row r="5362" spans="1:24">
      <c r="A5362">
        <f>HYPERLINK("https://www.philgeps.gov.ph/GEPSNONPILOT/Tender/SplashBidNoticeAbstractUI.aspx?menuIndex=3&amp;refID=7072979&amp;Result=3","7072979")</f>
        <v>0</v>
      </c>
      <c r="B5362" t="s">
        <v>1626</v>
      </c>
      <c r="C5362" t="s">
        <v>8502</v>
      </c>
      <c r="E5362" t="s">
        <v>21490</v>
      </c>
      <c r="F5362" t="s">
        <v>28669</v>
      </c>
      <c r="G5362" t="s">
        <v>28676</v>
      </c>
      <c r="H5362" t="s">
        <v>9998</v>
      </c>
      <c r="I5362" t="s">
        <v>28693</v>
      </c>
      <c r="J5362" t="s">
        <v>32248</v>
      </c>
      <c r="K5362" t="s">
        <v>37209</v>
      </c>
      <c r="M5362" t="s">
        <v>39212</v>
      </c>
      <c r="N5362" t="s">
        <v>41249</v>
      </c>
      <c r="O5362" t="s">
        <v>41250</v>
      </c>
      <c r="P5362">
        <v>0</v>
      </c>
      <c r="Q5362">
        <v>4</v>
      </c>
      <c r="R5362" t="s">
        <v>41254</v>
      </c>
      <c r="S5362" t="s">
        <v>41425</v>
      </c>
      <c r="T5362" t="s">
        <v>42938</v>
      </c>
      <c r="U5362" t="s">
        <v>47629</v>
      </c>
      <c r="W5362" t="s">
        <v>39212</v>
      </c>
      <c r="X5362" t="s">
        <v>41255</v>
      </c>
    </row>
    <row r="5363" spans="1:24">
      <c r="A5363">
        <f>HYPERLINK("https://www.philgeps.gov.ph/GEPSNONPILOT/Tender/SplashBidNoticeAbstractUI.aspx?menuIndex=3&amp;refID=7072977&amp;Result=3","7072977")</f>
        <v>0</v>
      </c>
      <c r="B5363" t="s">
        <v>909</v>
      </c>
      <c r="C5363" t="s">
        <v>8503</v>
      </c>
      <c r="D5363" t="s">
        <v>16662</v>
      </c>
      <c r="E5363" t="s">
        <v>21489</v>
      </c>
      <c r="F5363" t="s">
        <v>28669</v>
      </c>
      <c r="G5363" t="s">
        <v>28676</v>
      </c>
      <c r="H5363" t="s">
        <v>9998</v>
      </c>
      <c r="I5363" t="s">
        <v>28713</v>
      </c>
      <c r="J5363" t="s">
        <v>29990</v>
      </c>
      <c r="K5363" t="s">
        <v>37227</v>
      </c>
      <c r="M5363" t="s">
        <v>38431</v>
      </c>
      <c r="N5363" t="s">
        <v>41249</v>
      </c>
      <c r="O5363" t="s">
        <v>41250</v>
      </c>
      <c r="P5363">
        <v>0</v>
      </c>
      <c r="Q5363">
        <v>1</v>
      </c>
      <c r="R5363" t="s">
        <v>41254</v>
      </c>
      <c r="S5363" t="s">
        <v>41425</v>
      </c>
      <c r="T5363" t="s">
        <v>42736</v>
      </c>
      <c r="U5363" t="s">
        <v>47639</v>
      </c>
      <c r="W5363" t="s">
        <v>38431</v>
      </c>
      <c r="X5363" t="s">
        <v>41255</v>
      </c>
    </row>
    <row r="5364" spans="1:24">
      <c r="A5364">
        <f>HYPERLINK("https://www.philgeps.gov.ph/GEPSNONPILOT/Tender/SplashBidNoticeAbstractUI.aspx?menuIndex=3&amp;refID=7072975&amp;Result=3","7072975")</f>
        <v>0</v>
      </c>
      <c r="B5364" t="s">
        <v>206</v>
      </c>
      <c r="C5364" t="s">
        <v>8504</v>
      </c>
      <c r="D5364" t="s">
        <v>16617</v>
      </c>
      <c r="E5364" t="s">
        <v>21491</v>
      </c>
      <c r="F5364" t="s">
        <v>28669</v>
      </c>
      <c r="G5364" t="s">
        <v>28677</v>
      </c>
      <c r="H5364" t="s">
        <v>9998</v>
      </c>
      <c r="I5364" t="s">
        <v>5213</v>
      </c>
      <c r="J5364" t="s">
        <v>29523</v>
      </c>
      <c r="K5364" t="s">
        <v>37208</v>
      </c>
      <c r="M5364" t="s">
        <v>39460</v>
      </c>
      <c r="N5364" t="s">
        <v>41249</v>
      </c>
      <c r="O5364" t="s">
        <v>41250</v>
      </c>
      <c r="P5364">
        <v>0</v>
      </c>
      <c r="Q5364">
        <v>6</v>
      </c>
      <c r="R5364" t="s">
        <v>41254</v>
      </c>
      <c r="S5364" t="s">
        <v>41425</v>
      </c>
      <c r="T5364" t="s">
        <v>42771</v>
      </c>
      <c r="U5364" t="s">
        <v>47640</v>
      </c>
      <c r="W5364" t="s">
        <v>39460</v>
      </c>
      <c r="X5364" t="s">
        <v>41255</v>
      </c>
    </row>
    <row r="5365" spans="1:24">
      <c r="A5365">
        <f>HYPERLINK("https://www.philgeps.gov.ph/GEPSNONPILOT/Tender/SplashBidNoticeAbstractUI.aspx?menuIndex=3&amp;refID=7072982&amp;Result=3","7072982")</f>
        <v>0</v>
      </c>
      <c r="B5365" t="s">
        <v>1626</v>
      </c>
      <c r="C5365" t="s">
        <v>8505</v>
      </c>
      <c r="E5365" t="s">
        <v>21492</v>
      </c>
      <c r="F5365" t="s">
        <v>28669</v>
      </c>
      <c r="G5365" t="s">
        <v>28676</v>
      </c>
      <c r="H5365" t="s">
        <v>9998</v>
      </c>
      <c r="I5365" t="s">
        <v>28693</v>
      </c>
      <c r="J5365" t="s">
        <v>30675</v>
      </c>
      <c r="K5365" t="s">
        <v>37209</v>
      </c>
      <c r="M5365" t="s">
        <v>39212</v>
      </c>
      <c r="N5365" t="s">
        <v>41249</v>
      </c>
      <c r="O5365" t="s">
        <v>41250</v>
      </c>
      <c r="P5365">
        <v>0</v>
      </c>
      <c r="Q5365">
        <v>3</v>
      </c>
      <c r="R5365" t="s">
        <v>41254</v>
      </c>
      <c r="S5365" t="s">
        <v>41425</v>
      </c>
      <c r="T5365" t="s">
        <v>42938</v>
      </c>
      <c r="U5365" t="s">
        <v>47629</v>
      </c>
      <c r="W5365" t="s">
        <v>39212</v>
      </c>
      <c r="X5365" t="s">
        <v>41255</v>
      </c>
    </row>
    <row r="5366" spans="1:24">
      <c r="A5366">
        <f>HYPERLINK("https://www.philgeps.gov.ph/GEPSNONPILOT/Tender/SplashBidNoticeAbstractUI.aspx?menuIndex=3&amp;refID=7072971&amp;Result=3","7072971")</f>
        <v>0</v>
      </c>
      <c r="B5366" t="s">
        <v>1847</v>
      </c>
      <c r="C5366" t="s">
        <v>8506</v>
      </c>
      <c r="D5366" t="s">
        <v>16610</v>
      </c>
      <c r="E5366" t="s">
        <v>21493</v>
      </c>
      <c r="F5366" t="s">
        <v>28669</v>
      </c>
      <c r="G5366" t="s">
        <v>28675</v>
      </c>
      <c r="H5366" t="s">
        <v>28686</v>
      </c>
      <c r="I5366" t="s">
        <v>28689</v>
      </c>
      <c r="J5366" t="s">
        <v>32249</v>
      </c>
      <c r="K5366" t="s">
        <v>37212</v>
      </c>
      <c r="M5366" t="s">
        <v>39465</v>
      </c>
      <c r="N5366" t="s">
        <v>41249</v>
      </c>
      <c r="O5366" t="s">
        <v>41250</v>
      </c>
      <c r="P5366">
        <v>0</v>
      </c>
      <c r="Q5366">
        <v>0</v>
      </c>
      <c r="R5366" t="s">
        <v>41254</v>
      </c>
      <c r="S5366" t="s">
        <v>41425</v>
      </c>
      <c r="T5366" t="s">
        <v>42911</v>
      </c>
      <c r="U5366" t="s">
        <v>47641</v>
      </c>
      <c r="W5366" t="s">
        <v>39465</v>
      </c>
      <c r="X5366" t="s">
        <v>41255</v>
      </c>
    </row>
    <row r="5367" spans="1:24">
      <c r="A5367">
        <f>HYPERLINK("https://www.philgeps.gov.ph/GEPSNONPILOT/Tender/SplashBidNoticeAbstractUI.aspx?menuIndex=3&amp;refID=7072974&amp;Result=3","7072974")</f>
        <v>0</v>
      </c>
      <c r="B5367" t="s">
        <v>1848</v>
      </c>
      <c r="C5367" t="s">
        <v>8507</v>
      </c>
      <c r="D5367" t="s">
        <v>16643</v>
      </c>
      <c r="E5367" t="s">
        <v>21494</v>
      </c>
      <c r="F5367" t="s">
        <v>28669</v>
      </c>
      <c r="G5367" t="s">
        <v>28677</v>
      </c>
      <c r="H5367" t="s">
        <v>9998</v>
      </c>
      <c r="I5367" t="s">
        <v>5213</v>
      </c>
      <c r="J5367" t="s">
        <v>32250</v>
      </c>
      <c r="K5367" t="s">
        <v>37243</v>
      </c>
      <c r="M5367" t="s">
        <v>39466</v>
      </c>
      <c r="N5367" t="s">
        <v>41249</v>
      </c>
      <c r="O5367" t="s">
        <v>41250</v>
      </c>
      <c r="P5367">
        <v>0</v>
      </c>
      <c r="Q5367">
        <v>0</v>
      </c>
      <c r="R5367" t="s">
        <v>41254</v>
      </c>
      <c r="S5367" t="s">
        <v>41425</v>
      </c>
      <c r="T5367" t="s">
        <v>42742</v>
      </c>
      <c r="U5367" t="s">
        <v>47642</v>
      </c>
      <c r="W5367" t="s">
        <v>39466</v>
      </c>
      <c r="X5367" t="s">
        <v>41255</v>
      </c>
    </row>
    <row r="5368" spans="1:24">
      <c r="A5368">
        <f>HYPERLINK("https://www.philgeps.gov.ph/GEPSNONPILOT/Tender/SplashBidNoticeAbstractUI.aspx?menuIndex=3&amp;refID=7072970&amp;Result=3","7072970")</f>
        <v>0</v>
      </c>
      <c r="B5368" t="s">
        <v>909</v>
      </c>
      <c r="C5368" t="s">
        <v>8508</v>
      </c>
      <c r="D5368" t="s">
        <v>16662</v>
      </c>
      <c r="E5368" t="s">
        <v>21468</v>
      </c>
      <c r="F5368" t="s">
        <v>28669</v>
      </c>
      <c r="G5368" t="s">
        <v>28676</v>
      </c>
      <c r="H5368" t="s">
        <v>9998</v>
      </c>
      <c r="I5368" t="s">
        <v>28717</v>
      </c>
      <c r="J5368" t="s">
        <v>32251</v>
      </c>
      <c r="K5368" t="s">
        <v>37227</v>
      </c>
      <c r="M5368" t="s">
        <v>38431</v>
      </c>
      <c r="N5368" t="s">
        <v>41249</v>
      </c>
      <c r="O5368" t="s">
        <v>41250</v>
      </c>
      <c r="P5368">
        <v>0</v>
      </c>
      <c r="Q5368">
        <v>0</v>
      </c>
      <c r="R5368" t="s">
        <v>41254</v>
      </c>
      <c r="S5368" t="s">
        <v>41425</v>
      </c>
      <c r="T5368" t="s">
        <v>42736</v>
      </c>
      <c r="U5368" t="s">
        <v>47620</v>
      </c>
      <c r="W5368" t="s">
        <v>38431</v>
      </c>
      <c r="X5368" t="s">
        <v>41255</v>
      </c>
    </row>
    <row r="5369" spans="1:24">
      <c r="A5369">
        <f>HYPERLINK("https://www.philgeps.gov.ph/GEPSNONPILOT/Tender/SplashBidNoticeAbstractUI.aspx?menuIndex=3&amp;refID=7072955&amp;Result=3","7072955")</f>
        <v>0</v>
      </c>
      <c r="B5369" t="s">
        <v>909</v>
      </c>
      <c r="C5369" t="s">
        <v>8509</v>
      </c>
      <c r="D5369" t="s">
        <v>16662</v>
      </c>
      <c r="E5369" t="s">
        <v>21495</v>
      </c>
      <c r="F5369" t="s">
        <v>28669</v>
      </c>
      <c r="G5369" t="s">
        <v>28678</v>
      </c>
      <c r="H5369" t="s">
        <v>9998</v>
      </c>
      <c r="I5369" t="s">
        <v>28699</v>
      </c>
      <c r="J5369" t="s">
        <v>28905</v>
      </c>
      <c r="K5369" t="s">
        <v>37227</v>
      </c>
      <c r="M5369" t="s">
        <v>38431</v>
      </c>
      <c r="N5369" t="s">
        <v>41249</v>
      </c>
      <c r="O5369" t="s">
        <v>41250</v>
      </c>
      <c r="P5369">
        <v>0</v>
      </c>
      <c r="Q5369">
        <v>1</v>
      </c>
      <c r="R5369" t="s">
        <v>41254</v>
      </c>
      <c r="S5369" t="s">
        <v>41425</v>
      </c>
      <c r="T5369" t="s">
        <v>42736</v>
      </c>
      <c r="U5369" t="s">
        <v>47643</v>
      </c>
      <c r="W5369" t="s">
        <v>38431</v>
      </c>
      <c r="X5369" t="s">
        <v>41255</v>
      </c>
    </row>
    <row r="5370" spans="1:24">
      <c r="A5370">
        <f>HYPERLINK("https://www.philgeps.gov.ph/GEPSNONPILOT/Tender/SplashBidNoticeAbstractUI.aspx?menuIndex=3&amp;refID=7072953&amp;Result=3","7072953")</f>
        <v>0</v>
      </c>
      <c r="B5370" t="s">
        <v>206</v>
      </c>
      <c r="C5370" t="s">
        <v>8510</v>
      </c>
      <c r="D5370" t="s">
        <v>16617</v>
      </c>
      <c r="E5370" t="s">
        <v>21496</v>
      </c>
      <c r="F5370" t="s">
        <v>28669</v>
      </c>
      <c r="G5370" t="s">
        <v>28677</v>
      </c>
      <c r="H5370" t="s">
        <v>9998</v>
      </c>
      <c r="I5370" t="s">
        <v>5213</v>
      </c>
      <c r="J5370" t="s">
        <v>29110</v>
      </c>
      <c r="K5370" t="s">
        <v>37208</v>
      </c>
      <c r="M5370" t="s">
        <v>39460</v>
      </c>
      <c r="N5370" t="s">
        <v>41249</v>
      </c>
      <c r="O5370" t="s">
        <v>41250</v>
      </c>
      <c r="P5370">
        <v>0</v>
      </c>
      <c r="Q5370">
        <v>6</v>
      </c>
      <c r="R5370" t="s">
        <v>41254</v>
      </c>
      <c r="S5370" t="s">
        <v>41425</v>
      </c>
      <c r="T5370" t="s">
        <v>42771</v>
      </c>
      <c r="U5370" t="s">
        <v>47644</v>
      </c>
      <c r="W5370" t="s">
        <v>39460</v>
      </c>
      <c r="X5370" t="s">
        <v>41255</v>
      </c>
    </row>
    <row r="5371" spans="1:24">
      <c r="A5371">
        <f>HYPERLINK("https://www.philgeps.gov.ph/GEPSNONPILOT/Tender/SplashBidNoticeAbstractUI.aspx?menuIndex=3&amp;refID=7072973&amp;Result=3","7072973")</f>
        <v>0</v>
      </c>
      <c r="B5371" t="s">
        <v>909</v>
      </c>
      <c r="C5371" t="s">
        <v>8511</v>
      </c>
      <c r="D5371" t="s">
        <v>16662</v>
      </c>
      <c r="E5371" t="s">
        <v>21489</v>
      </c>
      <c r="F5371" t="s">
        <v>28669</v>
      </c>
      <c r="G5371" t="s">
        <v>28678</v>
      </c>
      <c r="H5371" t="s">
        <v>9998</v>
      </c>
      <c r="I5371" t="s">
        <v>3718</v>
      </c>
      <c r="J5371" t="s">
        <v>29497</v>
      </c>
      <c r="K5371" t="s">
        <v>37227</v>
      </c>
      <c r="M5371" t="s">
        <v>38431</v>
      </c>
      <c r="N5371" t="s">
        <v>41249</v>
      </c>
      <c r="O5371" t="s">
        <v>41250</v>
      </c>
      <c r="P5371">
        <v>0</v>
      </c>
      <c r="Q5371">
        <v>2</v>
      </c>
      <c r="R5371" t="s">
        <v>41254</v>
      </c>
      <c r="S5371" t="s">
        <v>41425</v>
      </c>
      <c r="T5371" t="s">
        <v>42736</v>
      </c>
      <c r="U5371" t="s">
        <v>47639</v>
      </c>
      <c r="W5371" t="s">
        <v>38431</v>
      </c>
      <c r="X5371" t="s">
        <v>41255</v>
      </c>
    </row>
    <row r="5372" spans="1:24">
      <c r="A5372">
        <f>HYPERLINK("https://www.philgeps.gov.ph/GEPSNONPILOT/Tender/SplashBidNoticeAbstractUI.aspx?menuIndex=3&amp;refID=7072972&amp;Result=3","7072972")</f>
        <v>0</v>
      </c>
      <c r="B5372" t="s">
        <v>909</v>
      </c>
      <c r="C5372" t="s">
        <v>8512</v>
      </c>
      <c r="D5372" t="s">
        <v>16662</v>
      </c>
      <c r="E5372" t="s">
        <v>21489</v>
      </c>
      <c r="F5372" t="s">
        <v>28669</v>
      </c>
      <c r="G5372" t="s">
        <v>28678</v>
      </c>
      <c r="H5372" t="s">
        <v>9998</v>
      </c>
      <c r="I5372" t="s">
        <v>11593</v>
      </c>
      <c r="J5372" t="s">
        <v>29518</v>
      </c>
      <c r="K5372" t="s">
        <v>37227</v>
      </c>
      <c r="M5372" t="s">
        <v>38431</v>
      </c>
      <c r="N5372" t="s">
        <v>41249</v>
      </c>
      <c r="O5372" t="s">
        <v>41250</v>
      </c>
      <c r="P5372">
        <v>0</v>
      </c>
      <c r="Q5372">
        <v>1</v>
      </c>
      <c r="R5372" t="s">
        <v>41254</v>
      </c>
      <c r="S5372" t="s">
        <v>41425</v>
      </c>
      <c r="T5372" t="s">
        <v>42736</v>
      </c>
      <c r="U5372" t="s">
        <v>47639</v>
      </c>
      <c r="W5372" t="s">
        <v>38431</v>
      </c>
      <c r="X5372" t="s">
        <v>41255</v>
      </c>
    </row>
    <row r="5373" spans="1:24">
      <c r="A5373">
        <f>HYPERLINK("https://www.philgeps.gov.ph/GEPSNONPILOT/Tender/SplashBidNoticeAbstractUI.aspx?menuIndex=3&amp;refID=7072952&amp;Result=3","7072952")</f>
        <v>0</v>
      </c>
      <c r="B5373" t="s">
        <v>909</v>
      </c>
      <c r="C5373" t="s">
        <v>8513</v>
      </c>
      <c r="D5373" t="s">
        <v>16662</v>
      </c>
      <c r="E5373" t="s">
        <v>21497</v>
      </c>
      <c r="F5373" t="s">
        <v>28669</v>
      </c>
      <c r="G5373" t="s">
        <v>28676</v>
      </c>
      <c r="H5373" t="s">
        <v>9998</v>
      </c>
      <c r="I5373" t="s">
        <v>28773</v>
      </c>
      <c r="J5373" t="s">
        <v>29295</v>
      </c>
      <c r="K5373" t="s">
        <v>37227</v>
      </c>
      <c r="M5373" t="s">
        <v>38431</v>
      </c>
      <c r="N5373" t="s">
        <v>41249</v>
      </c>
      <c r="O5373" t="s">
        <v>41250</v>
      </c>
      <c r="P5373">
        <v>0</v>
      </c>
      <c r="Q5373">
        <v>0</v>
      </c>
      <c r="R5373" t="s">
        <v>41254</v>
      </c>
      <c r="S5373" t="s">
        <v>41425</v>
      </c>
      <c r="T5373" t="s">
        <v>42736</v>
      </c>
      <c r="U5373" t="s">
        <v>47645</v>
      </c>
      <c r="W5373" t="s">
        <v>38431</v>
      </c>
      <c r="X5373" t="s">
        <v>41255</v>
      </c>
    </row>
    <row r="5374" spans="1:24">
      <c r="A5374">
        <f>HYPERLINK("https://www.philgeps.gov.ph/GEPSNONPILOT/Tender/SplashBidNoticeAbstractUI.aspx?menuIndex=3&amp;refID=7072951&amp;Result=3","7072951")</f>
        <v>0</v>
      </c>
      <c r="B5374" t="s">
        <v>1849</v>
      </c>
      <c r="C5374" t="s">
        <v>8514</v>
      </c>
      <c r="D5374" t="s">
        <v>16615</v>
      </c>
      <c r="E5374" t="s">
        <v>19625</v>
      </c>
      <c r="F5374" t="s">
        <v>28669</v>
      </c>
      <c r="G5374" t="s">
        <v>28675</v>
      </c>
      <c r="H5374" t="s">
        <v>9998</v>
      </c>
      <c r="I5374" t="s">
        <v>7352</v>
      </c>
      <c r="J5374" t="s">
        <v>32252</v>
      </c>
      <c r="K5374" t="s">
        <v>37206</v>
      </c>
      <c r="M5374" t="s">
        <v>39467</v>
      </c>
      <c r="N5374" t="s">
        <v>41249</v>
      </c>
      <c r="O5374" t="s">
        <v>41250</v>
      </c>
      <c r="P5374">
        <v>0</v>
      </c>
      <c r="Q5374">
        <v>0</v>
      </c>
      <c r="R5374" t="s">
        <v>41254</v>
      </c>
      <c r="S5374" t="s">
        <v>41425</v>
      </c>
      <c r="T5374" t="s">
        <v>42752</v>
      </c>
      <c r="U5374" t="s">
        <v>47646</v>
      </c>
      <c r="W5374" t="s">
        <v>39467</v>
      </c>
      <c r="X5374" t="s">
        <v>41255</v>
      </c>
    </row>
    <row r="5375" spans="1:24">
      <c r="A5375">
        <f>HYPERLINK("https://www.philgeps.gov.ph/GEPSNONPILOT/Tender/SplashBidNoticeAbstractUI.aspx?menuIndex=3&amp;refID=7072948&amp;Result=3","7072948")</f>
        <v>0</v>
      </c>
      <c r="B5375" t="s">
        <v>752</v>
      </c>
      <c r="C5375" t="s">
        <v>8515</v>
      </c>
      <c r="D5375" t="s">
        <v>16644</v>
      </c>
      <c r="E5375" t="s">
        <v>21498</v>
      </c>
      <c r="F5375" t="s">
        <v>28669</v>
      </c>
      <c r="G5375" t="s">
        <v>28676</v>
      </c>
      <c r="H5375" t="s">
        <v>9998</v>
      </c>
      <c r="I5375" t="s">
        <v>5213</v>
      </c>
      <c r="J5375" t="s">
        <v>32253</v>
      </c>
      <c r="K5375" t="s">
        <v>37208</v>
      </c>
      <c r="M5375" t="s">
        <v>39457</v>
      </c>
      <c r="N5375" t="s">
        <v>41249</v>
      </c>
      <c r="O5375" t="s">
        <v>41250</v>
      </c>
      <c r="P5375">
        <v>0</v>
      </c>
      <c r="Q5375">
        <v>3</v>
      </c>
      <c r="R5375" t="s">
        <v>41254</v>
      </c>
      <c r="S5375" t="s">
        <v>41425</v>
      </c>
      <c r="T5375" t="s">
        <v>42883</v>
      </c>
      <c r="U5375" t="s">
        <v>47647</v>
      </c>
      <c r="V5375" t="s">
        <v>54854</v>
      </c>
      <c r="W5375" t="s">
        <v>39457</v>
      </c>
      <c r="X5375" t="s">
        <v>41255</v>
      </c>
    </row>
    <row r="5376" spans="1:24">
      <c r="A5376">
        <f>HYPERLINK("https://www.philgeps.gov.ph/GEPSNONPILOT/Tender/SplashBidNoticeAbstractUI.aspx?menuIndex=3&amp;refID=7072895&amp;Result=3","7072895")</f>
        <v>0</v>
      </c>
      <c r="B5376" t="s">
        <v>1850</v>
      </c>
      <c r="C5376" t="s">
        <v>8516</v>
      </c>
      <c r="D5376" t="s">
        <v>16675</v>
      </c>
      <c r="E5376" t="s">
        <v>18003</v>
      </c>
      <c r="F5376" t="s">
        <v>28671</v>
      </c>
      <c r="G5376" t="s">
        <v>28680</v>
      </c>
      <c r="H5376" t="s">
        <v>9998</v>
      </c>
      <c r="I5376" t="s">
        <v>7352</v>
      </c>
      <c r="J5376" t="s">
        <v>28852</v>
      </c>
      <c r="K5376" t="s">
        <v>37204</v>
      </c>
      <c r="M5376" t="s">
        <v>39468</v>
      </c>
      <c r="N5376" t="s">
        <v>41249</v>
      </c>
      <c r="O5376" t="s">
        <v>41250</v>
      </c>
      <c r="P5376">
        <v>0</v>
      </c>
      <c r="Q5376">
        <v>0</v>
      </c>
      <c r="R5376" t="s">
        <v>41254</v>
      </c>
      <c r="S5376" t="s">
        <v>41425</v>
      </c>
      <c r="T5376" t="s">
        <v>42659</v>
      </c>
      <c r="U5376" t="s">
        <v>47648</v>
      </c>
      <c r="W5376" t="s">
        <v>39468</v>
      </c>
      <c r="X5376" t="s">
        <v>41255</v>
      </c>
    </row>
    <row r="5377" spans="1:24">
      <c r="A5377">
        <f>HYPERLINK("https://www.philgeps.gov.ph/GEPSNONPILOT/Tender/SplashBidNoticeAbstractUI.aspx?menuIndex=3&amp;refID=7072887&amp;Result=3","7072887")</f>
        <v>0</v>
      </c>
      <c r="B5377" t="s">
        <v>1851</v>
      </c>
      <c r="C5377" t="s">
        <v>8517</v>
      </c>
      <c r="D5377" t="s">
        <v>16636</v>
      </c>
      <c r="E5377" t="s">
        <v>21499</v>
      </c>
      <c r="F5377" t="s">
        <v>28669</v>
      </c>
      <c r="G5377" t="s">
        <v>28675</v>
      </c>
      <c r="H5377" t="s">
        <v>9998</v>
      </c>
      <c r="I5377" t="s">
        <v>7352</v>
      </c>
      <c r="J5377" t="s">
        <v>32254</v>
      </c>
      <c r="K5377" t="s">
        <v>37206</v>
      </c>
      <c r="M5377" t="s">
        <v>39469</v>
      </c>
      <c r="N5377" t="s">
        <v>41249</v>
      </c>
      <c r="O5377" t="s">
        <v>41250</v>
      </c>
      <c r="P5377">
        <v>0</v>
      </c>
      <c r="Q5377">
        <v>0</v>
      </c>
      <c r="R5377" t="s">
        <v>41254</v>
      </c>
      <c r="S5377" t="s">
        <v>41425</v>
      </c>
      <c r="T5377" t="s">
        <v>42899</v>
      </c>
      <c r="U5377" t="s">
        <v>47649</v>
      </c>
      <c r="W5377" t="s">
        <v>39469</v>
      </c>
      <c r="X5377" t="s">
        <v>41255</v>
      </c>
    </row>
    <row r="5378" spans="1:24">
      <c r="A5378">
        <f>HYPERLINK("https://www.philgeps.gov.ph/GEPSNONPILOT/Tender/SplashBidNoticeAbstractUI.aspx?menuIndex=3&amp;refID=7072886&amp;Result=3","7072886")</f>
        <v>0</v>
      </c>
      <c r="B5378" t="s">
        <v>1852</v>
      </c>
      <c r="C5378" t="s">
        <v>5134</v>
      </c>
      <c r="D5378" t="s">
        <v>16678</v>
      </c>
      <c r="E5378" t="s">
        <v>21500</v>
      </c>
      <c r="F5378" t="s">
        <v>28669</v>
      </c>
      <c r="G5378" t="s">
        <v>28675</v>
      </c>
      <c r="H5378" t="s">
        <v>28686</v>
      </c>
      <c r="I5378" t="s">
        <v>28689</v>
      </c>
      <c r="J5378" t="s">
        <v>32255</v>
      </c>
      <c r="K5378" t="s">
        <v>37213</v>
      </c>
      <c r="M5378" t="s">
        <v>39470</v>
      </c>
      <c r="N5378" t="s">
        <v>41249</v>
      </c>
      <c r="O5378" t="s">
        <v>41250</v>
      </c>
      <c r="P5378">
        <v>0</v>
      </c>
      <c r="Q5378">
        <v>0</v>
      </c>
      <c r="R5378" t="s">
        <v>41254</v>
      </c>
      <c r="S5378" t="s">
        <v>41425</v>
      </c>
      <c r="T5378" t="s">
        <v>42688</v>
      </c>
      <c r="U5378" t="s">
        <v>47650</v>
      </c>
      <c r="W5378" t="s">
        <v>39470</v>
      </c>
      <c r="X5378" t="s">
        <v>41255</v>
      </c>
    </row>
    <row r="5379" spans="1:24">
      <c r="A5379">
        <f>HYPERLINK("https://www.philgeps.gov.ph/GEPSNONPILOT/Tender/SplashBidNoticeAbstractUI.aspx?menuIndex=3&amp;refID=7072830&amp;Result=3","7072830")</f>
        <v>0</v>
      </c>
      <c r="B5379" t="s">
        <v>1689</v>
      </c>
      <c r="C5379" t="s">
        <v>8518</v>
      </c>
      <c r="D5379" t="s">
        <v>16641</v>
      </c>
      <c r="E5379" t="s">
        <v>21501</v>
      </c>
      <c r="F5379" t="s">
        <v>28669</v>
      </c>
      <c r="G5379" t="s">
        <v>28675</v>
      </c>
      <c r="H5379" t="s">
        <v>28686</v>
      </c>
      <c r="I5379" t="s">
        <v>28689</v>
      </c>
      <c r="J5379" t="s">
        <v>32256</v>
      </c>
      <c r="K5379" t="s">
        <v>37206</v>
      </c>
      <c r="M5379" t="s">
        <v>39410</v>
      </c>
      <c r="N5379" t="s">
        <v>41249</v>
      </c>
      <c r="O5379" t="s">
        <v>41250</v>
      </c>
      <c r="P5379">
        <v>0</v>
      </c>
      <c r="Q5379">
        <v>0</v>
      </c>
      <c r="R5379" t="s">
        <v>41254</v>
      </c>
      <c r="S5379" t="s">
        <v>41425</v>
      </c>
      <c r="T5379" t="s">
        <v>42688</v>
      </c>
      <c r="U5379" t="s">
        <v>47651</v>
      </c>
      <c r="W5379" t="s">
        <v>39410</v>
      </c>
      <c r="X5379" t="s">
        <v>41255</v>
      </c>
    </row>
    <row r="5380" spans="1:24">
      <c r="A5380">
        <f>HYPERLINK("https://www.philgeps.gov.ph/GEPSNONPILOT/Tender/SplashBidNoticeAbstractUI.aspx?menuIndex=3&amp;refID=7072950&amp;Result=3","7072950")</f>
        <v>0</v>
      </c>
      <c r="B5380" t="s">
        <v>1824</v>
      </c>
      <c r="C5380" t="s">
        <v>8519</v>
      </c>
      <c r="D5380" t="s">
        <v>16626</v>
      </c>
      <c r="E5380" t="s">
        <v>21502</v>
      </c>
      <c r="F5380" t="s">
        <v>28669</v>
      </c>
      <c r="G5380" t="s">
        <v>28675</v>
      </c>
      <c r="H5380" t="s">
        <v>9998</v>
      </c>
      <c r="I5380" t="s">
        <v>28729</v>
      </c>
      <c r="J5380" t="s">
        <v>32257</v>
      </c>
      <c r="K5380" t="s">
        <v>37234</v>
      </c>
      <c r="M5380" t="s">
        <v>39434</v>
      </c>
      <c r="N5380" t="s">
        <v>41249</v>
      </c>
      <c r="O5380" t="s">
        <v>41250</v>
      </c>
      <c r="P5380">
        <v>0</v>
      </c>
      <c r="Q5380">
        <v>0</v>
      </c>
      <c r="R5380" t="s">
        <v>41254</v>
      </c>
      <c r="S5380" t="s">
        <v>41425</v>
      </c>
      <c r="T5380" t="s">
        <v>42997</v>
      </c>
      <c r="U5380" t="s">
        <v>47652</v>
      </c>
      <c r="W5380" t="s">
        <v>39434</v>
      </c>
      <c r="X5380" t="s">
        <v>41255</v>
      </c>
    </row>
    <row r="5381" spans="1:24">
      <c r="A5381">
        <f>HYPERLINK("https://www.philgeps.gov.ph/GEPSNONPILOT/Tender/SplashBidNoticeAbstractUI.aspx?menuIndex=3&amp;refID=7072827&amp;Result=3","7072827")</f>
        <v>0</v>
      </c>
      <c r="B5381" t="s">
        <v>1832</v>
      </c>
      <c r="C5381" t="s">
        <v>8520</v>
      </c>
      <c r="D5381" t="s">
        <v>16625</v>
      </c>
      <c r="E5381" t="s">
        <v>21503</v>
      </c>
      <c r="F5381" t="s">
        <v>28669</v>
      </c>
      <c r="G5381" t="s">
        <v>28676</v>
      </c>
      <c r="H5381" t="s">
        <v>9998</v>
      </c>
      <c r="I5381" t="s">
        <v>6128</v>
      </c>
      <c r="J5381" t="s">
        <v>30255</v>
      </c>
      <c r="K5381" t="s">
        <v>37205</v>
      </c>
      <c r="M5381" t="s">
        <v>39445</v>
      </c>
      <c r="N5381" t="s">
        <v>41249</v>
      </c>
      <c r="O5381" t="s">
        <v>41250</v>
      </c>
      <c r="P5381">
        <v>0</v>
      </c>
      <c r="Q5381">
        <v>4</v>
      </c>
      <c r="R5381" t="s">
        <v>41254</v>
      </c>
      <c r="S5381" t="s">
        <v>41425</v>
      </c>
      <c r="T5381" t="s">
        <v>42727</v>
      </c>
      <c r="U5381" t="s">
        <v>47653</v>
      </c>
      <c r="W5381" t="s">
        <v>39445</v>
      </c>
      <c r="X5381" t="s">
        <v>41255</v>
      </c>
    </row>
    <row r="5382" spans="1:24">
      <c r="A5382">
        <f>HYPERLINK("https://www.philgeps.gov.ph/GEPSNONPILOT/Tender/SplashBidNoticeAbstractUI.aspx?menuIndex=3&amp;refID=7072954&amp;Result=3","7072954")</f>
        <v>0</v>
      </c>
      <c r="B5382" t="s">
        <v>1824</v>
      </c>
      <c r="C5382" t="s">
        <v>8521</v>
      </c>
      <c r="D5382" t="s">
        <v>16626</v>
      </c>
      <c r="E5382" t="s">
        <v>17701</v>
      </c>
      <c r="F5382" t="s">
        <v>28669</v>
      </c>
      <c r="G5382" t="s">
        <v>28675</v>
      </c>
      <c r="H5382" t="s">
        <v>9998</v>
      </c>
      <c r="I5382" t="s">
        <v>28688</v>
      </c>
      <c r="J5382" t="s">
        <v>32258</v>
      </c>
      <c r="K5382" t="s">
        <v>37234</v>
      </c>
      <c r="M5382" t="s">
        <v>39434</v>
      </c>
      <c r="N5382" t="s">
        <v>41249</v>
      </c>
      <c r="O5382" t="s">
        <v>41250</v>
      </c>
      <c r="P5382">
        <v>0</v>
      </c>
      <c r="Q5382">
        <v>4</v>
      </c>
      <c r="R5382" t="s">
        <v>41254</v>
      </c>
      <c r="S5382" t="s">
        <v>41425</v>
      </c>
      <c r="T5382" t="s">
        <v>42997</v>
      </c>
      <c r="U5382" t="s">
        <v>47654</v>
      </c>
      <c r="W5382" t="s">
        <v>39434</v>
      </c>
      <c r="X5382" t="s">
        <v>41255</v>
      </c>
    </row>
    <row r="5383" spans="1:24">
      <c r="A5383">
        <f>HYPERLINK("https://www.philgeps.gov.ph/GEPSNONPILOT/Tender/SplashBidNoticeAbstractUI.aspx?menuIndex=3&amp;refID=7072826&amp;Result=3","7072826")</f>
        <v>0</v>
      </c>
      <c r="B5383" t="s">
        <v>1151</v>
      </c>
      <c r="C5383" t="s">
        <v>8522</v>
      </c>
      <c r="D5383" t="s">
        <v>16643</v>
      </c>
      <c r="E5383" t="s">
        <v>21504</v>
      </c>
      <c r="F5383" t="s">
        <v>28669</v>
      </c>
      <c r="G5383" t="s">
        <v>28675</v>
      </c>
      <c r="H5383" t="s">
        <v>9998</v>
      </c>
      <c r="I5383" t="s">
        <v>7352</v>
      </c>
      <c r="J5383" t="s">
        <v>32259</v>
      </c>
      <c r="K5383" t="s">
        <v>37206</v>
      </c>
      <c r="M5383" t="s">
        <v>38939</v>
      </c>
      <c r="N5383" t="s">
        <v>41249</v>
      </c>
      <c r="O5383" t="s">
        <v>41250</v>
      </c>
      <c r="P5383">
        <v>0</v>
      </c>
      <c r="Q5383">
        <v>1</v>
      </c>
      <c r="R5383" t="s">
        <v>41254</v>
      </c>
      <c r="S5383" t="s">
        <v>41425</v>
      </c>
      <c r="T5383" t="s">
        <v>42679</v>
      </c>
      <c r="U5383" t="s">
        <v>47655</v>
      </c>
      <c r="W5383" t="s">
        <v>38939</v>
      </c>
      <c r="X5383" t="s">
        <v>41255</v>
      </c>
    </row>
    <row r="5384" spans="1:24">
      <c r="A5384">
        <f>HYPERLINK("https://www.philgeps.gov.ph/GEPSNONPILOT/Tender/SplashBidNoticeAbstractUI.aspx?menuIndex=3&amp;refID=7072825&amp;Result=3","7072825")</f>
        <v>0</v>
      </c>
      <c r="B5384" t="s">
        <v>1151</v>
      </c>
      <c r="C5384" t="s">
        <v>8523</v>
      </c>
      <c r="D5384" t="s">
        <v>16643</v>
      </c>
      <c r="E5384" t="s">
        <v>21505</v>
      </c>
      <c r="F5384" t="s">
        <v>28669</v>
      </c>
      <c r="G5384" t="s">
        <v>28676</v>
      </c>
      <c r="H5384" t="s">
        <v>9998</v>
      </c>
      <c r="I5384" t="s">
        <v>28728</v>
      </c>
      <c r="J5384" t="s">
        <v>32260</v>
      </c>
      <c r="K5384" t="s">
        <v>37227</v>
      </c>
      <c r="M5384" t="s">
        <v>38939</v>
      </c>
      <c r="N5384" t="s">
        <v>41249</v>
      </c>
      <c r="O5384" t="s">
        <v>41250</v>
      </c>
      <c r="P5384">
        <v>0</v>
      </c>
      <c r="Q5384">
        <v>0</v>
      </c>
      <c r="R5384" t="s">
        <v>41254</v>
      </c>
      <c r="S5384" t="s">
        <v>41425</v>
      </c>
      <c r="T5384" t="s">
        <v>42673</v>
      </c>
      <c r="U5384" t="s">
        <v>47656</v>
      </c>
      <c r="W5384" t="s">
        <v>38939</v>
      </c>
      <c r="X5384" t="s">
        <v>41255</v>
      </c>
    </row>
    <row r="5385" spans="1:24">
      <c r="A5385">
        <f>HYPERLINK("https://www.philgeps.gov.ph/GEPSNONPILOT/Tender/SplashBidNoticeAbstractUI.aspx?menuIndex=3&amp;refID=7072804&amp;Result=3","7072804")</f>
        <v>0</v>
      </c>
      <c r="B5385" t="s">
        <v>1732</v>
      </c>
      <c r="C5385" t="s">
        <v>8524</v>
      </c>
      <c r="D5385" t="s">
        <v>16633</v>
      </c>
      <c r="E5385" t="s">
        <v>21506</v>
      </c>
      <c r="F5385" t="s">
        <v>28669</v>
      </c>
      <c r="G5385" t="s">
        <v>28678</v>
      </c>
      <c r="H5385" t="s">
        <v>9998</v>
      </c>
      <c r="I5385" t="s">
        <v>6128</v>
      </c>
      <c r="J5385" t="s">
        <v>32261</v>
      </c>
      <c r="K5385" t="s">
        <v>37204</v>
      </c>
      <c r="M5385" t="s">
        <v>39331</v>
      </c>
      <c r="N5385" t="s">
        <v>41249</v>
      </c>
      <c r="O5385" t="s">
        <v>41250</v>
      </c>
      <c r="P5385">
        <v>0</v>
      </c>
      <c r="Q5385">
        <v>2</v>
      </c>
      <c r="R5385" t="s">
        <v>41254</v>
      </c>
      <c r="S5385" t="s">
        <v>41425</v>
      </c>
      <c r="T5385" t="s">
        <v>42727</v>
      </c>
      <c r="U5385" t="s">
        <v>47588</v>
      </c>
      <c r="W5385" t="s">
        <v>39331</v>
      </c>
      <c r="X5385" t="s">
        <v>41255</v>
      </c>
    </row>
    <row r="5386" spans="1:24">
      <c r="A5386">
        <f>HYPERLINK("https://www.philgeps.gov.ph/GEPSNONPILOT/Tender/SplashBidNoticeAbstractUI.aspx?menuIndex=3&amp;refID=7072801&amp;Result=3","7072801")</f>
        <v>0</v>
      </c>
      <c r="B5386" t="s">
        <v>1827</v>
      </c>
      <c r="C5386" t="s">
        <v>8525</v>
      </c>
      <c r="D5386" t="s">
        <v>16643</v>
      </c>
      <c r="E5386" t="s">
        <v>21507</v>
      </c>
      <c r="F5386" t="s">
        <v>28669</v>
      </c>
      <c r="G5386" t="s">
        <v>28676</v>
      </c>
      <c r="H5386" t="s">
        <v>9998</v>
      </c>
      <c r="I5386" t="s">
        <v>28693</v>
      </c>
      <c r="J5386" t="s">
        <v>28887</v>
      </c>
      <c r="K5386" t="s">
        <v>37220</v>
      </c>
      <c r="M5386" t="s">
        <v>39439</v>
      </c>
      <c r="N5386" t="s">
        <v>41249</v>
      </c>
      <c r="O5386" t="s">
        <v>41250</v>
      </c>
      <c r="P5386">
        <v>0</v>
      </c>
      <c r="Q5386">
        <v>20</v>
      </c>
      <c r="R5386" t="s">
        <v>41254</v>
      </c>
      <c r="S5386" t="s">
        <v>41425</v>
      </c>
      <c r="T5386" t="s">
        <v>42883</v>
      </c>
      <c r="U5386" t="s">
        <v>47657</v>
      </c>
      <c r="W5386" t="s">
        <v>39439</v>
      </c>
      <c r="X5386" t="s">
        <v>41255</v>
      </c>
    </row>
    <row r="5387" spans="1:24">
      <c r="A5387">
        <f>HYPERLINK("https://www.philgeps.gov.ph/GEPSNONPILOT/Tender/SplashBidNoticeAbstractUI.aspx?menuIndex=3&amp;refID=7072896&amp;Result=3","7072896")</f>
        <v>0</v>
      </c>
      <c r="B5387" t="s">
        <v>1225</v>
      </c>
      <c r="C5387" t="s">
        <v>8526</v>
      </c>
      <c r="D5387" t="s">
        <v>16613</v>
      </c>
      <c r="E5387" t="s">
        <v>21508</v>
      </c>
      <c r="F5387" t="s">
        <v>28669</v>
      </c>
      <c r="G5387" t="s">
        <v>28675</v>
      </c>
      <c r="H5387" t="s">
        <v>28686</v>
      </c>
      <c r="I5387" t="s">
        <v>28689</v>
      </c>
      <c r="J5387" t="s">
        <v>32262</v>
      </c>
      <c r="K5387" t="s">
        <v>37359</v>
      </c>
      <c r="M5387" t="s">
        <v>38768</v>
      </c>
      <c r="N5387" t="s">
        <v>41249</v>
      </c>
      <c r="O5387" t="s">
        <v>41250</v>
      </c>
      <c r="P5387">
        <v>0</v>
      </c>
      <c r="Q5387">
        <v>0</v>
      </c>
      <c r="R5387" t="s">
        <v>41254</v>
      </c>
      <c r="S5387" t="s">
        <v>41425</v>
      </c>
      <c r="T5387" t="s">
        <v>42915</v>
      </c>
      <c r="U5387" t="s">
        <v>47658</v>
      </c>
      <c r="W5387" t="s">
        <v>38768</v>
      </c>
      <c r="X5387" t="s">
        <v>41255</v>
      </c>
    </row>
    <row r="5388" spans="1:24">
      <c r="A5388">
        <f>HYPERLINK("https://www.philgeps.gov.ph/GEPSNONPILOT/Tender/SplashBidNoticeAbstractUI.aspx?menuIndex=3&amp;refID=7072829&amp;Result=3","7072829")</f>
        <v>0</v>
      </c>
      <c r="B5388" t="s">
        <v>1832</v>
      </c>
      <c r="C5388" t="s">
        <v>8527</v>
      </c>
      <c r="D5388" t="s">
        <v>16625</v>
      </c>
      <c r="E5388" t="s">
        <v>21509</v>
      </c>
      <c r="F5388" t="s">
        <v>28669</v>
      </c>
      <c r="G5388" t="s">
        <v>28676</v>
      </c>
      <c r="H5388" t="s">
        <v>9998</v>
      </c>
      <c r="I5388" t="s">
        <v>6128</v>
      </c>
      <c r="J5388" t="s">
        <v>32263</v>
      </c>
      <c r="K5388" t="s">
        <v>37205</v>
      </c>
      <c r="M5388" t="s">
        <v>39445</v>
      </c>
      <c r="N5388" t="s">
        <v>41249</v>
      </c>
      <c r="O5388" t="s">
        <v>41250</v>
      </c>
      <c r="P5388">
        <v>0</v>
      </c>
      <c r="Q5388">
        <v>3</v>
      </c>
      <c r="R5388" t="s">
        <v>41254</v>
      </c>
      <c r="S5388" t="s">
        <v>41425</v>
      </c>
      <c r="T5388" t="s">
        <v>42727</v>
      </c>
      <c r="U5388" t="s">
        <v>47659</v>
      </c>
      <c r="W5388" t="s">
        <v>39445</v>
      </c>
      <c r="X5388" t="s">
        <v>41255</v>
      </c>
    </row>
    <row r="5389" spans="1:24">
      <c r="A5389">
        <f>HYPERLINK("https://www.philgeps.gov.ph/GEPSNONPILOT/Tender/SplashBidNoticeAbstractUI.aspx?menuIndex=3&amp;refID=7072785&amp;Result=3","7072785")</f>
        <v>0</v>
      </c>
      <c r="B5389" t="s">
        <v>1821</v>
      </c>
      <c r="C5389" t="s">
        <v>8528</v>
      </c>
      <c r="D5389" t="s">
        <v>16671</v>
      </c>
      <c r="E5389" t="s">
        <v>21510</v>
      </c>
      <c r="F5389" t="s">
        <v>28669</v>
      </c>
      <c r="G5389" t="s">
        <v>28675</v>
      </c>
      <c r="H5389" t="s">
        <v>28686</v>
      </c>
      <c r="I5389" t="s">
        <v>28689</v>
      </c>
      <c r="J5389" t="s">
        <v>32264</v>
      </c>
      <c r="K5389" t="s">
        <v>37215</v>
      </c>
      <c r="M5389" t="s">
        <v>39431</v>
      </c>
      <c r="N5389" t="s">
        <v>41249</v>
      </c>
      <c r="O5389" t="s">
        <v>41250</v>
      </c>
      <c r="P5389">
        <v>0</v>
      </c>
      <c r="Q5389">
        <v>0</v>
      </c>
      <c r="R5389" t="s">
        <v>41254</v>
      </c>
      <c r="S5389" t="s">
        <v>41425</v>
      </c>
      <c r="T5389" t="s">
        <v>42808</v>
      </c>
      <c r="U5389" t="s">
        <v>47660</v>
      </c>
      <c r="V5389" t="s">
        <v>54855</v>
      </c>
      <c r="W5389" t="s">
        <v>39431</v>
      </c>
      <c r="X5389" t="s">
        <v>41256</v>
      </c>
    </row>
    <row r="5390" spans="1:24">
      <c r="A5390">
        <f>HYPERLINK("https://www.philgeps.gov.ph/GEPSNONPILOT/Tender/SplashBidNoticeAbstractUI.aspx?menuIndex=3&amp;refID=7072802&amp;Result=3","7072802")</f>
        <v>0</v>
      </c>
      <c r="B5390" t="s">
        <v>1827</v>
      </c>
      <c r="C5390" t="s">
        <v>8529</v>
      </c>
      <c r="D5390" t="s">
        <v>16643</v>
      </c>
      <c r="E5390" t="s">
        <v>21511</v>
      </c>
      <c r="F5390" t="s">
        <v>28669</v>
      </c>
      <c r="G5390" t="s">
        <v>28676</v>
      </c>
      <c r="H5390" t="s">
        <v>9998</v>
      </c>
      <c r="I5390" t="s">
        <v>28766</v>
      </c>
      <c r="J5390" t="s">
        <v>29952</v>
      </c>
      <c r="K5390" t="s">
        <v>37220</v>
      </c>
      <c r="M5390" t="s">
        <v>39439</v>
      </c>
      <c r="N5390" t="s">
        <v>41249</v>
      </c>
      <c r="O5390" t="s">
        <v>41250</v>
      </c>
      <c r="P5390">
        <v>0</v>
      </c>
      <c r="Q5390">
        <v>0</v>
      </c>
      <c r="R5390" t="s">
        <v>41254</v>
      </c>
      <c r="S5390" t="s">
        <v>41425</v>
      </c>
      <c r="T5390" t="s">
        <v>42883</v>
      </c>
      <c r="U5390" t="s">
        <v>47661</v>
      </c>
      <c r="W5390" t="s">
        <v>39439</v>
      </c>
      <c r="X5390" t="s">
        <v>41255</v>
      </c>
    </row>
    <row r="5391" spans="1:24">
      <c r="A5391">
        <f>HYPERLINK("https://www.philgeps.gov.ph/GEPSNONPILOT/Tender/SplashBidNoticeAbstractUI.aspx?menuIndex=3&amp;refID=7072747&amp;Result=3","7072747")</f>
        <v>0</v>
      </c>
      <c r="B5391" t="s">
        <v>150</v>
      </c>
      <c r="C5391" t="s">
        <v>5213</v>
      </c>
      <c r="D5391" t="s">
        <v>16617</v>
      </c>
      <c r="E5391" t="s">
        <v>21512</v>
      </c>
      <c r="F5391" t="s">
        <v>28669</v>
      </c>
      <c r="G5391" t="s">
        <v>28676</v>
      </c>
      <c r="H5391" t="s">
        <v>9998</v>
      </c>
      <c r="I5391" t="s">
        <v>5213</v>
      </c>
      <c r="J5391" t="s">
        <v>32265</v>
      </c>
      <c r="K5391" t="s">
        <v>37206</v>
      </c>
      <c r="M5391" t="s">
        <v>37627</v>
      </c>
      <c r="N5391" t="s">
        <v>41249</v>
      </c>
      <c r="O5391" t="s">
        <v>41250</v>
      </c>
      <c r="P5391">
        <v>0</v>
      </c>
      <c r="Q5391">
        <v>1</v>
      </c>
      <c r="R5391" t="s">
        <v>41254</v>
      </c>
      <c r="S5391" t="s">
        <v>41425</v>
      </c>
      <c r="T5391" t="s">
        <v>42992</v>
      </c>
      <c r="U5391" t="s">
        <v>47662</v>
      </c>
      <c r="W5391" t="s">
        <v>37627</v>
      </c>
      <c r="X5391" t="s">
        <v>41256</v>
      </c>
    </row>
    <row r="5392" spans="1:24">
      <c r="A5392">
        <f>HYPERLINK("https://www.philgeps.gov.ph/GEPSNONPILOT/Tender/SplashBidNoticeAbstractUI.aspx?menuIndex=3&amp;refID=7072957&amp;Result=3","7072957")</f>
        <v>0</v>
      </c>
      <c r="B5392" t="s">
        <v>909</v>
      </c>
      <c r="C5392" t="s">
        <v>8530</v>
      </c>
      <c r="D5392" t="s">
        <v>16662</v>
      </c>
      <c r="E5392" t="s">
        <v>21473</v>
      </c>
      <c r="F5392" t="s">
        <v>28669</v>
      </c>
      <c r="G5392" t="s">
        <v>28676</v>
      </c>
      <c r="H5392" t="s">
        <v>9998</v>
      </c>
      <c r="I5392" t="s">
        <v>6606</v>
      </c>
      <c r="J5392" t="s">
        <v>30406</v>
      </c>
      <c r="K5392" t="s">
        <v>37227</v>
      </c>
      <c r="M5392" t="s">
        <v>38431</v>
      </c>
      <c r="N5392" t="s">
        <v>41249</v>
      </c>
      <c r="O5392" t="s">
        <v>41250</v>
      </c>
      <c r="P5392">
        <v>0</v>
      </c>
      <c r="Q5392">
        <v>0</v>
      </c>
      <c r="R5392" t="s">
        <v>41254</v>
      </c>
      <c r="S5392" t="s">
        <v>41425</v>
      </c>
      <c r="T5392" t="s">
        <v>42736</v>
      </c>
      <c r="U5392" t="s">
        <v>47625</v>
      </c>
      <c r="W5392" t="s">
        <v>38431</v>
      </c>
      <c r="X5392" t="s">
        <v>41255</v>
      </c>
    </row>
    <row r="5393" spans="1:24">
      <c r="A5393">
        <f>HYPERLINK("https://www.philgeps.gov.ph/GEPSNONPILOT/Tender/SplashBidNoticeAbstractUI.aspx?menuIndex=3&amp;refID=7072793&amp;Result=3","7072793")</f>
        <v>0</v>
      </c>
      <c r="B5393" t="s">
        <v>1689</v>
      </c>
      <c r="C5393" t="s">
        <v>8531</v>
      </c>
      <c r="D5393" t="s">
        <v>16641</v>
      </c>
      <c r="E5393" t="s">
        <v>21513</v>
      </c>
      <c r="F5393" t="s">
        <v>28669</v>
      </c>
      <c r="G5393" t="s">
        <v>28675</v>
      </c>
      <c r="H5393" t="s">
        <v>28686</v>
      </c>
      <c r="I5393" t="s">
        <v>28689</v>
      </c>
      <c r="J5393" t="s">
        <v>29059</v>
      </c>
      <c r="K5393" t="s">
        <v>37221</v>
      </c>
      <c r="M5393" t="s">
        <v>39410</v>
      </c>
      <c r="N5393" t="s">
        <v>41249</v>
      </c>
      <c r="O5393" t="s">
        <v>41250</v>
      </c>
      <c r="P5393">
        <v>0</v>
      </c>
      <c r="Q5393">
        <v>0</v>
      </c>
      <c r="R5393" t="s">
        <v>41254</v>
      </c>
      <c r="S5393" t="s">
        <v>41425</v>
      </c>
      <c r="T5393" t="s">
        <v>42688</v>
      </c>
      <c r="U5393" t="s">
        <v>47663</v>
      </c>
      <c r="W5393" t="s">
        <v>39410</v>
      </c>
      <c r="X5393" t="s">
        <v>41256</v>
      </c>
    </row>
    <row r="5394" spans="1:24">
      <c r="A5394">
        <f>HYPERLINK("https://www.philgeps.gov.ph/GEPSNONPILOT/Tender/SplashBidNoticeAbstractUI.aspx?menuIndex=3&amp;refID=7072740&amp;Result=3","7072740")</f>
        <v>0</v>
      </c>
      <c r="B5394" t="s">
        <v>1821</v>
      </c>
      <c r="C5394" t="s">
        <v>8532</v>
      </c>
      <c r="D5394" t="s">
        <v>16671</v>
      </c>
      <c r="E5394" t="s">
        <v>21514</v>
      </c>
      <c r="F5394" t="s">
        <v>28669</v>
      </c>
      <c r="G5394" t="s">
        <v>28676</v>
      </c>
      <c r="H5394" t="s">
        <v>9998</v>
      </c>
      <c r="I5394" t="s">
        <v>3718</v>
      </c>
      <c r="J5394" t="s">
        <v>28894</v>
      </c>
      <c r="K5394" t="s">
        <v>37206</v>
      </c>
      <c r="M5394" t="s">
        <v>39431</v>
      </c>
      <c r="N5394" t="s">
        <v>41249</v>
      </c>
      <c r="O5394" t="s">
        <v>41250</v>
      </c>
      <c r="P5394">
        <v>0</v>
      </c>
      <c r="Q5394">
        <v>10</v>
      </c>
      <c r="R5394" t="s">
        <v>41254</v>
      </c>
      <c r="S5394" t="s">
        <v>41425</v>
      </c>
      <c r="T5394" t="s">
        <v>42767</v>
      </c>
      <c r="U5394" t="s">
        <v>47664</v>
      </c>
      <c r="V5394" t="s">
        <v>54856</v>
      </c>
      <c r="W5394" t="s">
        <v>39431</v>
      </c>
      <c r="X5394" t="s">
        <v>41256</v>
      </c>
    </row>
    <row r="5395" spans="1:24">
      <c r="A5395">
        <f>HYPERLINK("https://www.philgeps.gov.ph/GEPSNONPILOT/Tender/SplashBidNoticeAbstractUI.aspx?menuIndex=3&amp;refID=7072730&amp;Result=3","7072730")</f>
        <v>0</v>
      </c>
      <c r="B5395" t="s">
        <v>278</v>
      </c>
      <c r="C5395" t="s">
        <v>8533</v>
      </c>
      <c r="D5395" t="s">
        <v>16608</v>
      </c>
      <c r="E5395" t="s">
        <v>21515</v>
      </c>
      <c r="F5395" t="s">
        <v>28669</v>
      </c>
      <c r="G5395" t="s">
        <v>28679</v>
      </c>
      <c r="H5395" t="s">
        <v>28684</v>
      </c>
      <c r="I5395" t="s">
        <v>28777</v>
      </c>
      <c r="J5395" t="s">
        <v>32266</v>
      </c>
      <c r="K5395" t="s">
        <v>37238</v>
      </c>
      <c r="M5395" t="s">
        <v>39471</v>
      </c>
      <c r="N5395" t="s">
        <v>41249</v>
      </c>
      <c r="O5395" t="s">
        <v>41250</v>
      </c>
      <c r="P5395">
        <v>0</v>
      </c>
      <c r="Q5395">
        <v>3</v>
      </c>
      <c r="R5395" t="s">
        <v>41254</v>
      </c>
      <c r="S5395" t="s">
        <v>41425</v>
      </c>
      <c r="T5395" t="s">
        <v>42673</v>
      </c>
      <c r="U5395" t="s">
        <v>47665</v>
      </c>
      <c r="W5395" t="s">
        <v>39471</v>
      </c>
      <c r="X5395" t="s">
        <v>41256</v>
      </c>
    </row>
    <row r="5396" spans="1:24">
      <c r="A5396">
        <f>HYPERLINK("https://www.philgeps.gov.ph/GEPSNONPILOT/Tender/SplashBidNoticeAbstractUI.aspx?menuIndex=3&amp;refID=7072723&amp;Result=3","7072723")</f>
        <v>0</v>
      </c>
      <c r="B5396" t="s">
        <v>1824</v>
      </c>
      <c r="C5396" t="s">
        <v>8534</v>
      </c>
      <c r="D5396" t="s">
        <v>16626</v>
      </c>
      <c r="E5396" t="s">
        <v>21516</v>
      </c>
      <c r="F5396" t="s">
        <v>28669</v>
      </c>
      <c r="G5396" t="s">
        <v>28675</v>
      </c>
      <c r="H5396" t="s">
        <v>9998</v>
      </c>
      <c r="I5396" t="s">
        <v>28688</v>
      </c>
      <c r="J5396" t="s">
        <v>32267</v>
      </c>
      <c r="K5396" t="s">
        <v>37234</v>
      </c>
      <c r="M5396" t="s">
        <v>39434</v>
      </c>
      <c r="N5396" t="s">
        <v>41249</v>
      </c>
      <c r="O5396" t="s">
        <v>41250</v>
      </c>
      <c r="P5396">
        <v>0</v>
      </c>
      <c r="Q5396">
        <v>2</v>
      </c>
      <c r="R5396" t="s">
        <v>41254</v>
      </c>
      <c r="S5396" t="s">
        <v>41425</v>
      </c>
      <c r="T5396" t="s">
        <v>42997</v>
      </c>
      <c r="U5396" t="s">
        <v>47666</v>
      </c>
      <c r="W5396" t="s">
        <v>39434</v>
      </c>
      <c r="X5396" t="s">
        <v>41256</v>
      </c>
    </row>
    <row r="5397" spans="1:24">
      <c r="A5397">
        <f>HYPERLINK("https://www.philgeps.gov.ph/GEPSNONPILOT/Tender/SplashBidNoticeAbstractUI.aspx?menuIndex=3&amp;refID=7073011&amp;Result=3","7073011")</f>
        <v>0</v>
      </c>
      <c r="B5397" t="s">
        <v>1626</v>
      </c>
      <c r="C5397" t="s">
        <v>8535</v>
      </c>
      <c r="E5397" t="s">
        <v>21517</v>
      </c>
      <c r="F5397" t="s">
        <v>28669</v>
      </c>
      <c r="G5397" t="s">
        <v>28676</v>
      </c>
      <c r="H5397" t="s">
        <v>9998</v>
      </c>
      <c r="I5397" t="s">
        <v>28693</v>
      </c>
      <c r="J5397" t="s">
        <v>29712</v>
      </c>
      <c r="K5397" t="s">
        <v>37209</v>
      </c>
      <c r="M5397" t="s">
        <v>39212</v>
      </c>
      <c r="N5397" t="s">
        <v>41249</v>
      </c>
      <c r="O5397" t="s">
        <v>41250</v>
      </c>
      <c r="P5397">
        <v>0</v>
      </c>
      <c r="Q5397">
        <v>5</v>
      </c>
      <c r="R5397" t="s">
        <v>41254</v>
      </c>
      <c r="S5397" t="s">
        <v>41425</v>
      </c>
      <c r="T5397" t="s">
        <v>42938</v>
      </c>
      <c r="U5397" t="s">
        <v>47629</v>
      </c>
      <c r="W5397" t="s">
        <v>39212</v>
      </c>
      <c r="X5397" t="s">
        <v>41255</v>
      </c>
    </row>
    <row r="5398" spans="1:24">
      <c r="A5398">
        <f>HYPERLINK("https://www.philgeps.gov.ph/GEPSNONPILOT/Tender/SplashBidNoticeAbstractUI.aspx?menuIndex=3&amp;refID=7073009&amp;Result=3","7073009")</f>
        <v>0</v>
      </c>
      <c r="B5398" t="s">
        <v>1853</v>
      </c>
      <c r="C5398" t="s">
        <v>8536</v>
      </c>
      <c r="D5398" t="s">
        <v>16618</v>
      </c>
      <c r="E5398" t="s">
        <v>17435</v>
      </c>
      <c r="F5398" t="s">
        <v>28669</v>
      </c>
      <c r="G5398" t="s">
        <v>28675</v>
      </c>
      <c r="H5398" t="s">
        <v>28686</v>
      </c>
      <c r="I5398" t="s">
        <v>28689</v>
      </c>
      <c r="J5398" t="s">
        <v>28905</v>
      </c>
      <c r="K5398" t="s">
        <v>37206</v>
      </c>
      <c r="M5398" t="s">
        <v>39472</v>
      </c>
      <c r="N5398" t="s">
        <v>41249</v>
      </c>
      <c r="O5398" t="s">
        <v>41250</v>
      </c>
      <c r="P5398">
        <v>0</v>
      </c>
      <c r="Q5398">
        <v>0</v>
      </c>
      <c r="R5398" t="s">
        <v>41254</v>
      </c>
      <c r="S5398" t="s">
        <v>41425</v>
      </c>
      <c r="T5398" t="s">
        <v>42738</v>
      </c>
      <c r="U5398" t="s">
        <v>47667</v>
      </c>
      <c r="W5398" t="s">
        <v>39472</v>
      </c>
      <c r="X5398" t="s">
        <v>41255</v>
      </c>
    </row>
    <row r="5399" spans="1:24">
      <c r="A5399">
        <f>HYPERLINK("https://www.philgeps.gov.ph/GEPSNONPILOT/Tender/SplashBidNoticeAbstractUI.aspx?menuIndex=3&amp;refID=7072828&amp;Result=3","7072828")</f>
        <v>0</v>
      </c>
      <c r="B5399" t="s">
        <v>1689</v>
      </c>
      <c r="C5399" t="s">
        <v>8537</v>
      </c>
      <c r="D5399" t="s">
        <v>16641</v>
      </c>
      <c r="E5399" t="s">
        <v>21518</v>
      </c>
      <c r="F5399" t="s">
        <v>28669</v>
      </c>
      <c r="G5399" t="s">
        <v>28675</v>
      </c>
      <c r="H5399" t="s">
        <v>28686</v>
      </c>
      <c r="I5399" t="s">
        <v>28689</v>
      </c>
      <c r="J5399" t="s">
        <v>30575</v>
      </c>
      <c r="K5399" t="s">
        <v>37221</v>
      </c>
      <c r="M5399" t="s">
        <v>39410</v>
      </c>
      <c r="N5399" t="s">
        <v>41249</v>
      </c>
      <c r="O5399" t="s">
        <v>41250</v>
      </c>
      <c r="P5399">
        <v>0</v>
      </c>
      <c r="Q5399">
        <v>1</v>
      </c>
      <c r="R5399" t="s">
        <v>41254</v>
      </c>
      <c r="S5399" t="s">
        <v>41425</v>
      </c>
      <c r="T5399" t="s">
        <v>42688</v>
      </c>
      <c r="U5399" t="s">
        <v>47668</v>
      </c>
      <c r="W5399" t="s">
        <v>39410</v>
      </c>
      <c r="X5399" t="s">
        <v>41255</v>
      </c>
    </row>
    <row r="5400" spans="1:24">
      <c r="A5400">
        <f>HYPERLINK("https://www.philgeps.gov.ph/GEPSNONPILOT/Tender/SplashBidNoticeAbstractUI.aspx?menuIndex=3&amp;refID=7073008&amp;Result=3","7073008")</f>
        <v>0</v>
      </c>
      <c r="B5400" t="s">
        <v>1847</v>
      </c>
      <c r="C5400" t="s">
        <v>8538</v>
      </c>
      <c r="D5400" t="s">
        <v>16610</v>
      </c>
      <c r="E5400" t="s">
        <v>21519</v>
      </c>
      <c r="F5400" t="s">
        <v>28669</v>
      </c>
      <c r="G5400" t="s">
        <v>28675</v>
      </c>
      <c r="H5400" t="s">
        <v>28686</v>
      </c>
      <c r="I5400" t="s">
        <v>28689</v>
      </c>
      <c r="J5400" t="s">
        <v>32268</v>
      </c>
      <c r="K5400" t="s">
        <v>37206</v>
      </c>
      <c r="M5400" t="s">
        <v>39465</v>
      </c>
      <c r="N5400" t="s">
        <v>41249</v>
      </c>
      <c r="O5400" t="s">
        <v>41250</v>
      </c>
      <c r="P5400">
        <v>0</v>
      </c>
      <c r="Q5400">
        <v>0</v>
      </c>
      <c r="R5400" t="s">
        <v>41254</v>
      </c>
      <c r="S5400" t="s">
        <v>41425</v>
      </c>
      <c r="T5400" t="s">
        <v>43003</v>
      </c>
      <c r="U5400" t="s">
        <v>47669</v>
      </c>
      <c r="W5400" t="s">
        <v>39465</v>
      </c>
      <c r="X5400" t="s">
        <v>41255</v>
      </c>
    </row>
    <row r="5401" spans="1:24">
      <c r="A5401">
        <f>HYPERLINK("https://www.philgeps.gov.ph/GEPSNONPILOT/Tender/SplashBidNoticeAbstractUI.aspx?menuIndex=3&amp;refID=7073007&amp;Result=3","7073007")</f>
        <v>0</v>
      </c>
      <c r="B5401" t="s">
        <v>220</v>
      </c>
      <c r="C5401" t="s">
        <v>8539</v>
      </c>
      <c r="D5401" t="s">
        <v>16627</v>
      </c>
      <c r="E5401" t="s">
        <v>21520</v>
      </c>
      <c r="F5401" t="s">
        <v>28669</v>
      </c>
      <c r="G5401" t="s">
        <v>28676</v>
      </c>
      <c r="H5401" t="s">
        <v>9998</v>
      </c>
      <c r="I5401" t="s">
        <v>5033</v>
      </c>
      <c r="J5401" t="s">
        <v>29518</v>
      </c>
      <c r="K5401" t="s">
        <v>37210</v>
      </c>
      <c r="M5401" t="s">
        <v>37698</v>
      </c>
      <c r="N5401" t="s">
        <v>41249</v>
      </c>
      <c r="O5401" t="s">
        <v>41250</v>
      </c>
      <c r="P5401">
        <v>0</v>
      </c>
      <c r="Q5401">
        <v>1</v>
      </c>
      <c r="R5401" t="s">
        <v>41254</v>
      </c>
      <c r="S5401" t="s">
        <v>41425</v>
      </c>
      <c r="T5401" t="s">
        <v>43002</v>
      </c>
      <c r="U5401" t="s">
        <v>47670</v>
      </c>
      <c r="W5401" t="s">
        <v>37698</v>
      </c>
      <c r="X5401" t="s">
        <v>41255</v>
      </c>
    </row>
    <row r="5402" spans="1:24">
      <c r="A5402">
        <f>HYPERLINK("https://www.philgeps.gov.ph/GEPSNONPILOT/Tender/SplashBidNoticeAbstractUI.aspx?menuIndex=3&amp;refID=7073006&amp;Result=3","7073006")</f>
        <v>0</v>
      </c>
      <c r="B5402" t="s">
        <v>1777</v>
      </c>
      <c r="C5402" t="s">
        <v>8540</v>
      </c>
      <c r="D5402" t="s">
        <v>16608</v>
      </c>
      <c r="E5402" t="s">
        <v>21521</v>
      </c>
      <c r="F5402" t="s">
        <v>28669</v>
      </c>
      <c r="G5402" t="s">
        <v>28678</v>
      </c>
      <c r="H5402" t="s">
        <v>9998</v>
      </c>
      <c r="I5402" t="s">
        <v>28688</v>
      </c>
      <c r="J5402" t="s">
        <v>32269</v>
      </c>
      <c r="K5402" t="s">
        <v>37210</v>
      </c>
      <c r="M5402" t="s">
        <v>39380</v>
      </c>
      <c r="N5402" t="s">
        <v>41249</v>
      </c>
      <c r="O5402" t="s">
        <v>41250</v>
      </c>
      <c r="P5402">
        <v>0</v>
      </c>
      <c r="Q5402">
        <v>9</v>
      </c>
      <c r="R5402" t="s">
        <v>41254</v>
      </c>
      <c r="S5402" t="s">
        <v>41425</v>
      </c>
      <c r="T5402" t="s">
        <v>42743</v>
      </c>
      <c r="U5402" t="s">
        <v>47671</v>
      </c>
      <c r="W5402" t="s">
        <v>39380</v>
      </c>
      <c r="X5402" t="s">
        <v>41255</v>
      </c>
    </row>
    <row r="5403" spans="1:24">
      <c r="A5403">
        <f>HYPERLINK("https://www.philgeps.gov.ph/GEPSNONPILOT/Tender/SplashBidNoticeAbstractUI.aspx?menuIndex=3&amp;refID=7073005&amp;Result=3","7073005")</f>
        <v>0</v>
      </c>
      <c r="B5403" t="s">
        <v>1854</v>
      </c>
      <c r="C5403" t="s">
        <v>8541</v>
      </c>
      <c r="D5403" t="s">
        <v>16608</v>
      </c>
      <c r="E5403" t="s">
        <v>16803</v>
      </c>
      <c r="F5403" t="s">
        <v>28669</v>
      </c>
      <c r="G5403" t="s">
        <v>28675</v>
      </c>
      <c r="H5403" t="s">
        <v>9998</v>
      </c>
      <c r="I5403" t="s">
        <v>5213</v>
      </c>
      <c r="J5403" t="s">
        <v>28905</v>
      </c>
      <c r="K5403" t="s">
        <v>37204</v>
      </c>
      <c r="M5403" t="s">
        <v>39473</v>
      </c>
      <c r="N5403" t="s">
        <v>41249</v>
      </c>
      <c r="O5403" t="s">
        <v>41250</v>
      </c>
      <c r="P5403">
        <v>0</v>
      </c>
      <c r="Q5403">
        <v>0</v>
      </c>
      <c r="R5403" t="s">
        <v>41254</v>
      </c>
      <c r="S5403" t="s">
        <v>41425</v>
      </c>
      <c r="T5403" t="s">
        <v>42809</v>
      </c>
      <c r="U5403" t="s">
        <v>47672</v>
      </c>
      <c r="V5403" t="s">
        <v>54857</v>
      </c>
      <c r="W5403" t="s">
        <v>39473</v>
      </c>
      <c r="X5403" t="s">
        <v>41255</v>
      </c>
    </row>
    <row r="5404" spans="1:24">
      <c r="A5404">
        <f>HYPERLINK("https://www.philgeps.gov.ph/GEPSNONPILOT/Tender/SplashBidNoticeAbstractUI.aspx?menuIndex=3&amp;refID=7073010&amp;Result=3","7073010")</f>
        <v>0</v>
      </c>
      <c r="B5404" t="s">
        <v>1854</v>
      </c>
      <c r="C5404" t="s">
        <v>8542</v>
      </c>
      <c r="D5404" t="s">
        <v>16608</v>
      </c>
      <c r="E5404" t="s">
        <v>19625</v>
      </c>
      <c r="F5404" t="s">
        <v>28669</v>
      </c>
      <c r="G5404" t="s">
        <v>28675</v>
      </c>
      <c r="H5404" t="s">
        <v>9998</v>
      </c>
      <c r="I5404" t="s">
        <v>5213</v>
      </c>
      <c r="J5404" t="s">
        <v>28878</v>
      </c>
      <c r="K5404" t="s">
        <v>37204</v>
      </c>
      <c r="M5404" t="s">
        <v>39473</v>
      </c>
      <c r="N5404" t="s">
        <v>41249</v>
      </c>
      <c r="O5404" t="s">
        <v>41250</v>
      </c>
      <c r="P5404">
        <v>0</v>
      </c>
      <c r="Q5404">
        <v>2</v>
      </c>
      <c r="R5404" t="s">
        <v>41254</v>
      </c>
      <c r="S5404" t="s">
        <v>41425</v>
      </c>
      <c r="T5404" t="s">
        <v>42809</v>
      </c>
      <c r="U5404" t="s">
        <v>47673</v>
      </c>
      <c r="V5404" t="s">
        <v>54858</v>
      </c>
      <c r="W5404" t="s">
        <v>39473</v>
      </c>
      <c r="X5404" t="s">
        <v>41255</v>
      </c>
    </row>
    <row r="5405" spans="1:24">
      <c r="A5405">
        <f>HYPERLINK("https://www.philgeps.gov.ph/GEPSNONPILOT/Tender/SplashBidNoticeAbstractUI.aspx?menuIndex=3&amp;refID=7072746&amp;Result=3","7072746")</f>
        <v>0</v>
      </c>
      <c r="B5405" t="s">
        <v>1824</v>
      </c>
      <c r="C5405" t="s">
        <v>8521</v>
      </c>
      <c r="D5405" t="s">
        <v>16626</v>
      </c>
      <c r="E5405" t="s">
        <v>21197</v>
      </c>
      <c r="F5405" t="s">
        <v>28669</v>
      </c>
      <c r="G5405" t="s">
        <v>28675</v>
      </c>
      <c r="H5405" t="s">
        <v>9998</v>
      </c>
      <c r="I5405" t="s">
        <v>28688</v>
      </c>
      <c r="J5405" t="s">
        <v>32270</v>
      </c>
      <c r="K5405" t="s">
        <v>37234</v>
      </c>
      <c r="M5405" t="s">
        <v>39434</v>
      </c>
      <c r="N5405" t="s">
        <v>41249</v>
      </c>
      <c r="O5405" t="s">
        <v>41250</v>
      </c>
      <c r="P5405">
        <v>0</v>
      </c>
      <c r="Q5405">
        <v>2</v>
      </c>
      <c r="R5405" t="s">
        <v>41254</v>
      </c>
      <c r="S5405" t="s">
        <v>41425</v>
      </c>
      <c r="T5405" t="s">
        <v>42997</v>
      </c>
      <c r="U5405" t="s">
        <v>47580</v>
      </c>
      <c r="W5405" t="s">
        <v>39434</v>
      </c>
      <c r="X5405" t="s">
        <v>41256</v>
      </c>
    </row>
    <row r="5406" spans="1:24">
      <c r="A5406">
        <f>HYPERLINK("https://www.philgeps.gov.ph/GEPSNONPILOT/Tender/SplashBidNoticeAbstractUI.aspx?menuIndex=3&amp;refID=7072737&amp;Result=3","7072737")</f>
        <v>0</v>
      </c>
      <c r="B5406" t="s">
        <v>1689</v>
      </c>
      <c r="C5406" t="s">
        <v>8543</v>
      </c>
      <c r="D5406" t="s">
        <v>16641</v>
      </c>
      <c r="E5406" t="s">
        <v>21522</v>
      </c>
      <c r="F5406" t="s">
        <v>28669</v>
      </c>
      <c r="G5406" t="s">
        <v>28675</v>
      </c>
      <c r="H5406" t="s">
        <v>9998</v>
      </c>
      <c r="I5406" t="s">
        <v>28687</v>
      </c>
      <c r="J5406" t="s">
        <v>32271</v>
      </c>
      <c r="K5406" t="s">
        <v>37206</v>
      </c>
      <c r="M5406" t="s">
        <v>39410</v>
      </c>
      <c r="N5406" t="s">
        <v>41249</v>
      </c>
      <c r="O5406" t="s">
        <v>41250</v>
      </c>
      <c r="P5406">
        <v>0</v>
      </c>
      <c r="Q5406">
        <v>1</v>
      </c>
      <c r="R5406" t="s">
        <v>41254</v>
      </c>
      <c r="S5406" t="s">
        <v>41425</v>
      </c>
      <c r="T5406" t="s">
        <v>42688</v>
      </c>
      <c r="U5406" t="s">
        <v>47674</v>
      </c>
      <c r="W5406" t="s">
        <v>39410</v>
      </c>
      <c r="X5406" t="s">
        <v>41256</v>
      </c>
    </row>
    <row r="5407" spans="1:24">
      <c r="A5407">
        <f>HYPERLINK("https://www.philgeps.gov.ph/GEPSNONPILOT/Tender/SplashBidNoticeAbstractUI.aspx?menuIndex=3&amp;refID=7073001&amp;Result=3","7073001")</f>
        <v>0</v>
      </c>
      <c r="B5407" t="s">
        <v>1626</v>
      </c>
      <c r="C5407" t="s">
        <v>8544</v>
      </c>
      <c r="E5407" t="s">
        <v>21523</v>
      </c>
      <c r="F5407" t="s">
        <v>28669</v>
      </c>
      <c r="G5407" t="s">
        <v>28676</v>
      </c>
      <c r="H5407" t="s">
        <v>9998</v>
      </c>
      <c r="I5407" t="s">
        <v>28693</v>
      </c>
      <c r="J5407" t="s">
        <v>29040</v>
      </c>
      <c r="K5407" t="s">
        <v>37209</v>
      </c>
      <c r="M5407" t="s">
        <v>39212</v>
      </c>
      <c r="N5407" t="s">
        <v>41249</v>
      </c>
      <c r="O5407" t="s">
        <v>41250</v>
      </c>
      <c r="P5407">
        <v>0</v>
      </c>
      <c r="Q5407">
        <v>2</v>
      </c>
      <c r="R5407" t="s">
        <v>41254</v>
      </c>
      <c r="S5407" t="s">
        <v>41425</v>
      </c>
      <c r="T5407" t="s">
        <v>42938</v>
      </c>
      <c r="U5407" t="s">
        <v>47629</v>
      </c>
      <c r="W5407" t="s">
        <v>39212</v>
      </c>
      <c r="X5407" t="s">
        <v>41255</v>
      </c>
    </row>
    <row r="5408" spans="1:24">
      <c r="A5408">
        <f>HYPERLINK("https://www.philgeps.gov.ph/GEPSNONPILOT/Tender/SplashBidNoticeAbstractUI.aspx?menuIndex=3&amp;refID=7072790&amp;Result=3","7072790")</f>
        <v>0</v>
      </c>
      <c r="B5408" t="s">
        <v>1781</v>
      </c>
      <c r="C5408" t="s">
        <v>8545</v>
      </c>
      <c r="D5408" t="s">
        <v>16621</v>
      </c>
      <c r="E5408" t="s">
        <v>21524</v>
      </c>
      <c r="F5408" t="s">
        <v>28669</v>
      </c>
      <c r="G5408" t="s">
        <v>28679</v>
      </c>
      <c r="H5408" t="s">
        <v>9998</v>
      </c>
      <c r="I5408" t="s">
        <v>5286</v>
      </c>
      <c r="J5408" t="s">
        <v>32272</v>
      </c>
      <c r="K5408" t="s">
        <v>37206</v>
      </c>
      <c r="M5408" t="s">
        <v>39385</v>
      </c>
      <c r="N5408" t="s">
        <v>41249</v>
      </c>
      <c r="O5408" t="s">
        <v>41250</v>
      </c>
      <c r="P5408">
        <v>0</v>
      </c>
      <c r="Q5408">
        <v>4</v>
      </c>
      <c r="R5408" t="s">
        <v>41254</v>
      </c>
      <c r="S5408" t="s">
        <v>41425</v>
      </c>
      <c r="T5408" t="s">
        <v>42767</v>
      </c>
      <c r="U5408" t="s">
        <v>47675</v>
      </c>
      <c r="W5408" t="s">
        <v>39385</v>
      </c>
      <c r="X5408" t="s">
        <v>41256</v>
      </c>
    </row>
    <row r="5409" spans="1:24">
      <c r="A5409">
        <f>HYPERLINK("https://www.philgeps.gov.ph/GEPSNONPILOT/Tender/SplashBidNoticeAbstractUI.aspx?menuIndex=3&amp;refID=7073004&amp;Result=3","7073004")</f>
        <v>0</v>
      </c>
      <c r="B5409" t="s">
        <v>220</v>
      </c>
      <c r="C5409" t="s">
        <v>8546</v>
      </c>
      <c r="D5409" t="s">
        <v>16627</v>
      </c>
      <c r="E5409" t="s">
        <v>21525</v>
      </c>
      <c r="F5409" t="s">
        <v>28669</v>
      </c>
      <c r="G5409" t="s">
        <v>28676</v>
      </c>
      <c r="H5409" t="s">
        <v>9998</v>
      </c>
      <c r="I5409" t="s">
        <v>28699</v>
      </c>
      <c r="J5409" t="s">
        <v>30467</v>
      </c>
      <c r="K5409" t="s">
        <v>37210</v>
      </c>
      <c r="M5409" t="s">
        <v>37698</v>
      </c>
      <c r="N5409" t="s">
        <v>41249</v>
      </c>
      <c r="O5409" t="s">
        <v>41250</v>
      </c>
      <c r="P5409">
        <v>0</v>
      </c>
      <c r="Q5409">
        <v>2</v>
      </c>
      <c r="R5409" t="s">
        <v>41254</v>
      </c>
      <c r="S5409" t="s">
        <v>41425</v>
      </c>
      <c r="T5409" t="s">
        <v>43002</v>
      </c>
      <c r="U5409" t="s">
        <v>47676</v>
      </c>
      <c r="W5409" t="s">
        <v>37698</v>
      </c>
      <c r="X5409" t="s">
        <v>41255</v>
      </c>
    </row>
    <row r="5410" spans="1:24">
      <c r="A5410">
        <f>HYPERLINK("https://www.philgeps.gov.ph/GEPSNONPILOT/Tender/SplashBidNoticeAbstractUI.aspx?menuIndex=3&amp;refID=7073003&amp;Result=3","7073003")</f>
        <v>0</v>
      </c>
      <c r="B5410" t="s">
        <v>1626</v>
      </c>
      <c r="C5410" t="s">
        <v>8547</v>
      </c>
      <c r="E5410" t="s">
        <v>21526</v>
      </c>
      <c r="F5410" t="s">
        <v>28669</v>
      </c>
      <c r="G5410" t="s">
        <v>28678</v>
      </c>
      <c r="H5410" t="s">
        <v>9998</v>
      </c>
      <c r="I5410" t="s">
        <v>6128</v>
      </c>
      <c r="J5410" t="s">
        <v>29151</v>
      </c>
      <c r="K5410" t="s">
        <v>37209</v>
      </c>
      <c r="M5410" t="s">
        <v>39212</v>
      </c>
      <c r="N5410" t="s">
        <v>41249</v>
      </c>
      <c r="O5410" t="s">
        <v>41250</v>
      </c>
      <c r="P5410">
        <v>0</v>
      </c>
      <c r="Q5410">
        <v>4</v>
      </c>
      <c r="R5410" t="s">
        <v>41254</v>
      </c>
      <c r="S5410" t="s">
        <v>41425</v>
      </c>
      <c r="T5410" t="s">
        <v>42938</v>
      </c>
      <c r="U5410" t="s">
        <v>47629</v>
      </c>
      <c r="W5410" t="s">
        <v>39212</v>
      </c>
      <c r="X5410" t="s">
        <v>41255</v>
      </c>
    </row>
    <row r="5411" spans="1:24">
      <c r="A5411">
        <f>HYPERLINK("https://www.philgeps.gov.ph/GEPSNONPILOT/Tender/SplashBidNoticeAbstractUI.aspx?menuIndex=3&amp;refID=7072997&amp;Result=3","7072997")</f>
        <v>0</v>
      </c>
      <c r="B5411" t="s">
        <v>220</v>
      </c>
      <c r="C5411" t="s">
        <v>8548</v>
      </c>
      <c r="D5411" t="s">
        <v>16627</v>
      </c>
      <c r="E5411" t="s">
        <v>21527</v>
      </c>
      <c r="F5411" t="s">
        <v>28669</v>
      </c>
      <c r="G5411" t="s">
        <v>28676</v>
      </c>
      <c r="H5411" t="s">
        <v>9998</v>
      </c>
      <c r="I5411" t="s">
        <v>28722</v>
      </c>
      <c r="J5411" t="s">
        <v>29003</v>
      </c>
      <c r="K5411" t="s">
        <v>37210</v>
      </c>
      <c r="M5411" t="s">
        <v>37698</v>
      </c>
      <c r="N5411" t="s">
        <v>41249</v>
      </c>
      <c r="O5411" t="s">
        <v>41250</v>
      </c>
      <c r="P5411">
        <v>0</v>
      </c>
      <c r="Q5411">
        <v>3</v>
      </c>
      <c r="R5411" t="s">
        <v>41254</v>
      </c>
      <c r="S5411" t="s">
        <v>41425</v>
      </c>
      <c r="T5411" t="s">
        <v>43002</v>
      </c>
      <c r="U5411" t="s">
        <v>47677</v>
      </c>
      <c r="W5411" t="s">
        <v>37698</v>
      </c>
      <c r="X5411" t="s">
        <v>41255</v>
      </c>
    </row>
    <row r="5412" spans="1:24">
      <c r="A5412">
        <f>HYPERLINK("https://www.philgeps.gov.ph/GEPSNONPILOT/Tender/SplashBidNoticeAbstractUI.aspx?menuIndex=3&amp;refID=7072995&amp;Result=3","7072995")</f>
        <v>0</v>
      </c>
      <c r="B5412" t="s">
        <v>1626</v>
      </c>
      <c r="C5412" t="s">
        <v>8549</v>
      </c>
      <c r="E5412" t="s">
        <v>21528</v>
      </c>
      <c r="F5412" t="s">
        <v>28669</v>
      </c>
      <c r="G5412" t="s">
        <v>28676</v>
      </c>
      <c r="H5412" t="s">
        <v>9998</v>
      </c>
      <c r="I5412" t="s">
        <v>28693</v>
      </c>
      <c r="J5412" t="s">
        <v>31715</v>
      </c>
      <c r="K5412" t="s">
        <v>37209</v>
      </c>
      <c r="M5412" t="s">
        <v>39212</v>
      </c>
      <c r="N5412" t="s">
        <v>41249</v>
      </c>
      <c r="O5412" t="s">
        <v>41250</v>
      </c>
      <c r="P5412">
        <v>0</v>
      </c>
      <c r="Q5412">
        <v>2</v>
      </c>
      <c r="R5412" t="s">
        <v>41254</v>
      </c>
      <c r="S5412" t="s">
        <v>41425</v>
      </c>
      <c r="T5412" t="s">
        <v>42938</v>
      </c>
      <c r="U5412" t="s">
        <v>47629</v>
      </c>
      <c r="W5412" t="s">
        <v>39212</v>
      </c>
      <c r="X5412" t="s">
        <v>41255</v>
      </c>
    </row>
    <row r="5413" spans="1:24">
      <c r="A5413">
        <f>HYPERLINK("https://www.philgeps.gov.ph/GEPSNONPILOT/Tender/SplashBidNoticeAbstractUI.aspx?menuIndex=3&amp;refID=7072994&amp;Result=3","7072994")</f>
        <v>0</v>
      </c>
      <c r="B5413" t="s">
        <v>1853</v>
      </c>
      <c r="C5413" t="s">
        <v>5257</v>
      </c>
      <c r="D5413" t="s">
        <v>16618</v>
      </c>
      <c r="E5413" t="s">
        <v>19665</v>
      </c>
      <c r="F5413" t="s">
        <v>28669</v>
      </c>
      <c r="G5413" t="s">
        <v>28675</v>
      </c>
      <c r="H5413" t="s">
        <v>9998</v>
      </c>
      <c r="I5413" t="s">
        <v>28687</v>
      </c>
      <c r="J5413" t="s">
        <v>29332</v>
      </c>
      <c r="K5413" t="s">
        <v>37227</v>
      </c>
      <c r="M5413" t="s">
        <v>39472</v>
      </c>
      <c r="N5413" t="s">
        <v>41249</v>
      </c>
      <c r="O5413" t="s">
        <v>41250</v>
      </c>
      <c r="P5413">
        <v>0</v>
      </c>
      <c r="Q5413">
        <v>3</v>
      </c>
      <c r="R5413" t="s">
        <v>41254</v>
      </c>
      <c r="S5413" t="s">
        <v>41425</v>
      </c>
      <c r="T5413" t="s">
        <v>42999</v>
      </c>
      <c r="U5413" t="s">
        <v>47667</v>
      </c>
      <c r="W5413" t="s">
        <v>39472</v>
      </c>
      <c r="X5413" t="s">
        <v>41255</v>
      </c>
    </row>
    <row r="5414" spans="1:24">
      <c r="A5414">
        <f>HYPERLINK("https://www.philgeps.gov.ph/GEPSNONPILOT/Tender/SplashBidNoticeAbstractUI.aspx?menuIndex=3&amp;refID=7072993&amp;Result=3","7072993")</f>
        <v>0</v>
      </c>
      <c r="B5414" t="s">
        <v>220</v>
      </c>
      <c r="C5414" t="s">
        <v>8550</v>
      </c>
      <c r="D5414" t="s">
        <v>16627</v>
      </c>
      <c r="E5414" t="s">
        <v>21529</v>
      </c>
      <c r="F5414" t="s">
        <v>28669</v>
      </c>
      <c r="G5414" t="s">
        <v>28676</v>
      </c>
      <c r="H5414" t="s">
        <v>9998</v>
      </c>
      <c r="I5414" t="s">
        <v>28722</v>
      </c>
      <c r="J5414" t="s">
        <v>28879</v>
      </c>
      <c r="K5414" t="s">
        <v>37210</v>
      </c>
      <c r="M5414" t="s">
        <v>37698</v>
      </c>
      <c r="N5414" t="s">
        <v>41249</v>
      </c>
      <c r="O5414" t="s">
        <v>41250</v>
      </c>
      <c r="P5414">
        <v>0</v>
      </c>
      <c r="Q5414">
        <v>1</v>
      </c>
      <c r="R5414" t="s">
        <v>41254</v>
      </c>
      <c r="S5414" t="s">
        <v>41425</v>
      </c>
      <c r="T5414" t="s">
        <v>43002</v>
      </c>
      <c r="U5414" t="s">
        <v>47678</v>
      </c>
      <c r="W5414" t="s">
        <v>37698</v>
      </c>
      <c r="X5414" t="s">
        <v>41255</v>
      </c>
    </row>
    <row r="5415" spans="1:24">
      <c r="A5415">
        <f>HYPERLINK("https://www.philgeps.gov.ph/GEPSNONPILOT/Tender/SplashBidNoticeAbstractUI.aspx?menuIndex=3&amp;refID=7072992&amp;Result=3","7072992")</f>
        <v>0</v>
      </c>
      <c r="B5415" t="s">
        <v>1580</v>
      </c>
      <c r="C5415" t="s">
        <v>8551</v>
      </c>
      <c r="D5415" t="s">
        <v>16616</v>
      </c>
      <c r="E5415" t="s">
        <v>21530</v>
      </c>
      <c r="F5415" t="s">
        <v>28669</v>
      </c>
      <c r="G5415" t="s">
        <v>28676</v>
      </c>
      <c r="H5415" t="s">
        <v>9998</v>
      </c>
      <c r="I5415" t="s">
        <v>28696</v>
      </c>
      <c r="J5415" t="s">
        <v>32273</v>
      </c>
      <c r="K5415" t="s">
        <v>37205</v>
      </c>
      <c r="M5415" t="s">
        <v>39161</v>
      </c>
      <c r="N5415" t="s">
        <v>41249</v>
      </c>
      <c r="O5415" t="s">
        <v>41250</v>
      </c>
      <c r="P5415">
        <v>0</v>
      </c>
      <c r="Q5415">
        <v>1</v>
      </c>
      <c r="R5415" t="s">
        <v>41254</v>
      </c>
      <c r="S5415" t="s">
        <v>41425</v>
      </c>
      <c r="T5415" t="s">
        <v>42771</v>
      </c>
      <c r="U5415" t="s">
        <v>47679</v>
      </c>
      <c r="W5415" t="s">
        <v>39161</v>
      </c>
      <c r="X5415" t="s">
        <v>41255</v>
      </c>
    </row>
    <row r="5416" spans="1:24">
      <c r="A5416">
        <f>HYPERLINK("https://www.philgeps.gov.ph/GEPSNONPILOT/Tender/SplashBidNoticeAbstractUI.aspx?menuIndex=3&amp;refID=7072991&amp;Result=3","7072991")</f>
        <v>0</v>
      </c>
      <c r="B5416" t="s">
        <v>220</v>
      </c>
      <c r="C5416" t="s">
        <v>8552</v>
      </c>
      <c r="D5416" t="s">
        <v>16627</v>
      </c>
      <c r="E5416" t="s">
        <v>21531</v>
      </c>
      <c r="F5416" t="s">
        <v>28669</v>
      </c>
      <c r="G5416" t="s">
        <v>28676</v>
      </c>
      <c r="H5416" t="s">
        <v>9998</v>
      </c>
      <c r="I5416" t="s">
        <v>5033</v>
      </c>
      <c r="J5416" t="s">
        <v>29088</v>
      </c>
      <c r="K5416" t="s">
        <v>37210</v>
      </c>
      <c r="M5416" t="s">
        <v>37698</v>
      </c>
      <c r="N5416" t="s">
        <v>41249</v>
      </c>
      <c r="O5416" t="s">
        <v>41250</v>
      </c>
      <c r="P5416">
        <v>0</v>
      </c>
      <c r="Q5416">
        <v>1</v>
      </c>
      <c r="R5416" t="s">
        <v>41254</v>
      </c>
      <c r="S5416" t="s">
        <v>41425</v>
      </c>
      <c r="T5416" t="s">
        <v>43002</v>
      </c>
      <c r="U5416" t="s">
        <v>47680</v>
      </c>
      <c r="W5416" t="s">
        <v>37698</v>
      </c>
      <c r="X5416" t="s">
        <v>41255</v>
      </c>
    </row>
    <row r="5417" spans="1:24">
      <c r="A5417">
        <f>HYPERLINK("https://www.philgeps.gov.ph/GEPSNONPILOT/Tender/SplashBidNoticeAbstractUI.aspx?menuIndex=3&amp;refID=7072710&amp;Result=3","7072710")</f>
        <v>0</v>
      </c>
      <c r="B5417" t="s">
        <v>1175</v>
      </c>
      <c r="C5417" t="s">
        <v>8553</v>
      </c>
      <c r="D5417" t="s">
        <v>16653</v>
      </c>
      <c r="E5417" t="s">
        <v>21532</v>
      </c>
      <c r="F5417" t="s">
        <v>28669</v>
      </c>
      <c r="G5417" t="s">
        <v>28676</v>
      </c>
      <c r="H5417" t="s">
        <v>9998</v>
      </c>
      <c r="I5417" t="s">
        <v>3718</v>
      </c>
      <c r="J5417" t="s">
        <v>28826</v>
      </c>
      <c r="K5417" t="s">
        <v>37234</v>
      </c>
      <c r="M5417" t="s">
        <v>38714</v>
      </c>
      <c r="N5417" t="s">
        <v>41249</v>
      </c>
      <c r="O5417" t="s">
        <v>41250</v>
      </c>
      <c r="P5417">
        <v>0</v>
      </c>
      <c r="Q5417">
        <v>5</v>
      </c>
      <c r="R5417" t="s">
        <v>41254</v>
      </c>
      <c r="S5417" t="s">
        <v>41425</v>
      </c>
      <c r="T5417" t="s">
        <v>42727</v>
      </c>
      <c r="U5417" t="s">
        <v>47681</v>
      </c>
      <c r="W5417" t="s">
        <v>38714</v>
      </c>
      <c r="X5417" t="s">
        <v>41256</v>
      </c>
    </row>
    <row r="5418" spans="1:24">
      <c r="A5418">
        <f>HYPERLINK("https://www.philgeps.gov.ph/GEPSNONPILOT/Tender/SplashBidNoticeAbstractUI.aspx?menuIndex=3&amp;refID=7072999&amp;Result=3","7072999")</f>
        <v>0</v>
      </c>
      <c r="B5418" t="s">
        <v>1626</v>
      </c>
      <c r="C5418" t="s">
        <v>8554</v>
      </c>
      <c r="E5418" t="s">
        <v>21533</v>
      </c>
      <c r="F5418" t="s">
        <v>28669</v>
      </c>
      <c r="G5418" t="s">
        <v>28678</v>
      </c>
      <c r="H5418" t="s">
        <v>9998</v>
      </c>
      <c r="I5418" t="s">
        <v>6128</v>
      </c>
      <c r="J5418" t="s">
        <v>32274</v>
      </c>
      <c r="K5418" t="s">
        <v>37209</v>
      </c>
      <c r="M5418" t="s">
        <v>39212</v>
      </c>
      <c r="N5418" t="s">
        <v>41249</v>
      </c>
      <c r="O5418" t="s">
        <v>41250</v>
      </c>
      <c r="P5418">
        <v>0</v>
      </c>
      <c r="Q5418">
        <v>10</v>
      </c>
      <c r="R5418" t="s">
        <v>41254</v>
      </c>
      <c r="S5418" t="s">
        <v>41425</v>
      </c>
      <c r="T5418" t="s">
        <v>42938</v>
      </c>
      <c r="U5418" t="s">
        <v>47629</v>
      </c>
      <c r="W5418" t="s">
        <v>39212</v>
      </c>
      <c r="X5418" t="s">
        <v>41255</v>
      </c>
    </row>
    <row r="5419" spans="1:24">
      <c r="A5419">
        <f>HYPERLINK("https://www.philgeps.gov.ph/GEPSNONPILOT/Tender/SplashBidNoticeAbstractUI.aspx?menuIndex=3&amp;refID=7072709&amp;Result=3","7072709")</f>
        <v>0</v>
      </c>
      <c r="B5419" t="s">
        <v>1813</v>
      </c>
      <c r="C5419" t="s">
        <v>8555</v>
      </c>
      <c r="E5419" t="s">
        <v>21534</v>
      </c>
      <c r="F5419" t="s">
        <v>28669</v>
      </c>
      <c r="G5419" t="s">
        <v>28676</v>
      </c>
      <c r="H5419" t="s">
        <v>9998</v>
      </c>
      <c r="I5419" t="s">
        <v>28777</v>
      </c>
      <c r="J5419" t="s">
        <v>28863</v>
      </c>
      <c r="K5419" t="s">
        <v>37209</v>
      </c>
      <c r="M5419" t="s">
        <v>39423</v>
      </c>
      <c r="N5419" t="s">
        <v>41249</v>
      </c>
      <c r="O5419" t="s">
        <v>41250</v>
      </c>
      <c r="P5419">
        <v>0</v>
      </c>
      <c r="Q5419">
        <v>1</v>
      </c>
      <c r="R5419" t="s">
        <v>41254</v>
      </c>
      <c r="S5419" t="s">
        <v>41425</v>
      </c>
      <c r="T5419" t="s">
        <v>42736</v>
      </c>
      <c r="U5419" t="s">
        <v>47682</v>
      </c>
      <c r="W5419" t="s">
        <v>39423</v>
      </c>
      <c r="X5419" t="s">
        <v>41256</v>
      </c>
    </row>
    <row r="5420" spans="1:24">
      <c r="A5420">
        <f>HYPERLINK("https://www.philgeps.gov.ph/GEPSNONPILOT/Tender/SplashBidNoticeAbstractUI.aspx?menuIndex=3&amp;refID=7072658&amp;Result=3","7072658")</f>
        <v>0</v>
      </c>
      <c r="B5420" t="s">
        <v>962</v>
      </c>
      <c r="C5420" t="s">
        <v>8556</v>
      </c>
      <c r="D5420" t="s">
        <v>16611</v>
      </c>
      <c r="E5420" t="s">
        <v>21535</v>
      </c>
      <c r="F5420" t="s">
        <v>28669</v>
      </c>
      <c r="G5420" t="s">
        <v>28675</v>
      </c>
      <c r="H5420" t="s">
        <v>28686</v>
      </c>
      <c r="I5420" t="s">
        <v>28689</v>
      </c>
      <c r="J5420" t="s">
        <v>32275</v>
      </c>
      <c r="K5420" t="s">
        <v>37215</v>
      </c>
      <c r="M5420" t="s">
        <v>38487</v>
      </c>
      <c r="N5420" t="s">
        <v>41249</v>
      </c>
      <c r="O5420" t="s">
        <v>41250</v>
      </c>
      <c r="P5420">
        <v>0</v>
      </c>
      <c r="Q5420">
        <v>2</v>
      </c>
      <c r="R5420" t="s">
        <v>41254</v>
      </c>
      <c r="S5420" t="s">
        <v>41425</v>
      </c>
      <c r="T5420" t="s">
        <v>42759</v>
      </c>
      <c r="U5420" t="s">
        <v>47683</v>
      </c>
      <c r="W5420" t="s">
        <v>38487</v>
      </c>
      <c r="X5420" t="s">
        <v>41256</v>
      </c>
    </row>
    <row r="5421" spans="1:24">
      <c r="A5421">
        <f>HYPERLINK("https://www.philgeps.gov.ph/GEPSNONPILOT/Tender/SplashBidNoticeAbstractUI.aspx?menuIndex=3&amp;refID=7072654&amp;Result=3","7072654")</f>
        <v>0</v>
      </c>
      <c r="B5421" t="s">
        <v>962</v>
      </c>
      <c r="C5421" t="s">
        <v>8557</v>
      </c>
      <c r="D5421" t="s">
        <v>16611</v>
      </c>
      <c r="E5421" t="s">
        <v>21536</v>
      </c>
      <c r="F5421" t="s">
        <v>28669</v>
      </c>
      <c r="G5421" t="s">
        <v>28675</v>
      </c>
      <c r="H5421" t="s">
        <v>28686</v>
      </c>
      <c r="I5421" t="s">
        <v>28689</v>
      </c>
      <c r="J5421" t="s">
        <v>32276</v>
      </c>
      <c r="K5421" t="s">
        <v>37215</v>
      </c>
      <c r="M5421" t="s">
        <v>38487</v>
      </c>
      <c r="N5421" t="s">
        <v>41249</v>
      </c>
      <c r="O5421" t="s">
        <v>41250</v>
      </c>
      <c r="P5421">
        <v>0</v>
      </c>
      <c r="Q5421">
        <v>1</v>
      </c>
      <c r="R5421" t="s">
        <v>41254</v>
      </c>
      <c r="S5421" t="s">
        <v>41425</v>
      </c>
      <c r="T5421" t="s">
        <v>42759</v>
      </c>
      <c r="U5421" t="s">
        <v>47684</v>
      </c>
      <c r="W5421" t="s">
        <v>38487</v>
      </c>
      <c r="X5421" t="s">
        <v>41256</v>
      </c>
    </row>
    <row r="5422" spans="1:24">
      <c r="A5422">
        <f>HYPERLINK("https://www.philgeps.gov.ph/GEPSNONPILOT/Tender/SplashBidNoticeAbstractUI.aspx?menuIndex=3&amp;refID=7072646&amp;Result=3","7072646")</f>
        <v>0</v>
      </c>
      <c r="B5422" t="s">
        <v>1429</v>
      </c>
      <c r="C5422" t="s">
        <v>8558</v>
      </c>
      <c r="D5422" t="s">
        <v>16643</v>
      </c>
      <c r="E5422" t="s">
        <v>21537</v>
      </c>
      <c r="F5422" t="s">
        <v>28669</v>
      </c>
      <c r="G5422" t="s">
        <v>28675</v>
      </c>
      <c r="H5422" t="s">
        <v>28686</v>
      </c>
      <c r="I5422" t="s">
        <v>28689</v>
      </c>
      <c r="J5422" t="s">
        <v>32277</v>
      </c>
      <c r="K5422" t="s">
        <v>37269</v>
      </c>
      <c r="M5422" t="s">
        <v>38993</v>
      </c>
      <c r="N5422" t="s">
        <v>41249</v>
      </c>
      <c r="O5422" t="s">
        <v>41250</v>
      </c>
      <c r="P5422">
        <v>0</v>
      </c>
      <c r="Q5422">
        <v>0</v>
      </c>
      <c r="R5422" t="s">
        <v>41254</v>
      </c>
      <c r="S5422" t="s">
        <v>41425</v>
      </c>
      <c r="T5422" t="s">
        <v>42669</v>
      </c>
      <c r="U5422" t="s">
        <v>47685</v>
      </c>
      <c r="W5422" t="s">
        <v>38993</v>
      </c>
      <c r="X5422" t="s">
        <v>41256</v>
      </c>
    </row>
    <row r="5423" spans="1:24">
      <c r="A5423">
        <f>HYPERLINK("https://www.philgeps.gov.ph/GEPSNONPILOT/Tender/SplashBidNoticeAbstractUI.aspx?menuIndex=3&amp;refID=7073000&amp;Result=3","7073000")</f>
        <v>0</v>
      </c>
      <c r="B5423" t="s">
        <v>220</v>
      </c>
      <c r="C5423" t="s">
        <v>8559</v>
      </c>
      <c r="D5423" t="s">
        <v>16627</v>
      </c>
      <c r="E5423" t="s">
        <v>21538</v>
      </c>
      <c r="F5423" t="s">
        <v>28669</v>
      </c>
      <c r="G5423" t="s">
        <v>28676</v>
      </c>
      <c r="H5423" t="s">
        <v>9998</v>
      </c>
      <c r="I5423" t="s">
        <v>28722</v>
      </c>
      <c r="J5423" t="s">
        <v>28826</v>
      </c>
      <c r="K5423" t="s">
        <v>37210</v>
      </c>
      <c r="M5423" t="s">
        <v>37698</v>
      </c>
      <c r="N5423" t="s">
        <v>41249</v>
      </c>
      <c r="O5423" t="s">
        <v>41250</v>
      </c>
      <c r="P5423">
        <v>0</v>
      </c>
      <c r="Q5423">
        <v>3</v>
      </c>
      <c r="R5423" t="s">
        <v>41254</v>
      </c>
      <c r="S5423" t="s">
        <v>41425</v>
      </c>
      <c r="T5423" t="s">
        <v>43002</v>
      </c>
      <c r="U5423" t="s">
        <v>47686</v>
      </c>
      <c r="W5423" t="s">
        <v>37698</v>
      </c>
      <c r="X5423" t="s">
        <v>41255</v>
      </c>
    </row>
    <row r="5424" spans="1:24">
      <c r="A5424">
        <f>HYPERLINK("https://www.philgeps.gov.ph/GEPSNONPILOT/Tender/SplashBidNoticeAbstractUI.aspx?menuIndex=3&amp;refID=7072651&amp;Result=3","7072651")</f>
        <v>0</v>
      </c>
      <c r="B5424" t="s">
        <v>1855</v>
      </c>
      <c r="C5424" t="s">
        <v>8560</v>
      </c>
      <c r="D5424" t="s">
        <v>16639</v>
      </c>
      <c r="E5424" t="s">
        <v>21539</v>
      </c>
      <c r="F5424" t="s">
        <v>28671</v>
      </c>
      <c r="G5424" t="s">
        <v>28676</v>
      </c>
      <c r="H5424" t="s">
        <v>9998</v>
      </c>
      <c r="I5424" t="s">
        <v>6128</v>
      </c>
      <c r="J5424" t="s">
        <v>32278</v>
      </c>
      <c r="K5424" t="s">
        <v>37206</v>
      </c>
      <c r="M5424" t="s">
        <v>39474</v>
      </c>
      <c r="N5424" t="s">
        <v>41249</v>
      </c>
      <c r="O5424" t="s">
        <v>41250</v>
      </c>
      <c r="P5424">
        <v>0</v>
      </c>
      <c r="Q5424">
        <v>1</v>
      </c>
      <c r="R5424" t="s">
        <v>41254</v>
      </c>
      <c r="S5424" t="s">
        <v>41425</v>
      </c>
      <c r="T5424" t="s">
        <v>42699</v>
      </c>
      <c r="U5424" t="s">
        <v>47687</v>
      </c>
      <c r="W5424" t="s">
        <v>39474</v>
      </c>
      <c r="X5424" t="s">
        <v>41256</v>
      </c>
    </row>
    <row r="5425" spans="1:24">
      <c r="A5425">
        <f>HYPERLINK("https://www.philgeps.gov.ph/GEPSNONPILOT/Tender/SplashBidNoticeAbstractUI.aspx?menuIndex=3&amp;refID=7072642&amp;Result=3","7072642")</f>
        <v>0</v>
      </c>
      <c r="B5425" t="s">
        <v>962</v>
      </c>
      <c r="C5425" t="s">
        <v>8561</v>
      </c>
      <c r="D5425" t="s">
        <v>16611</v>
      </c>
      <c r="E5425" t="s">
        <v>21540</v>
      </c>
      <c r="F5425" t="s">
        <v>28669</v>
      </c>
      <c r="G5425" t="s">
        <v>28675</v>
      </c>
      <c r="H5425" t="s">
        <v>28686</v>
      </c>
      <c r="I5425" t="s">
        <v>28689</v>
      </c>
      <c r="J5425" t="s">
        <v>32279</v>
      </c>
      <c r="K5425" t="s">
        <v>37221</v>
      </c>
      <c r="M5425" t="s">
        <v>38487</v>
      </c>
      <c r="N5425" t="s">
        <v>41249</v>
      </c>
      <c r="O5425" t="s">
        <v>41250</v>
      </c>
      <c r="P5425">
        <v>0</v>
      </c>
      <c r="Q5425">
        <v>0</v>
      </c>
      <c r="R5425" t="s">
        <v>41254</v>
      </c>
      <c r="S5425" t="s">
        <v>41425</v>
      </c>
      <c r="T5425" t="s">
        <v>42754</v>
      </c>
      <c r="U5425" t="s">
        <v>47688</v>
      </c>
      <c r="W5425" t="s">
        <v>38487</v>
      </c>
      <c r="X5425" t="s">
        <v>41256</v>
      </c>
    </row>
    <row r="5426" spans="1:24">
      <c r="A5426">
        <f>HYPERLINK("https://www.philgeps.gov.ph/GEPSNONPILOT/Tender/SplashBidNoticeAbstractUI.aspx?menuIndex=3&amp;refID=7073002&amp;Result=3","7073002")</f>
        <v>0</v>
      </c>
      <c r="B5426" t="s">
        <v>1856</v>
      </c>
      <c r="C5426" t="s">
        <v>8562</v>
      </c>
      <c r="D5426" t="s">
        <v>16691</v>
      </c>
      <c r="E5426" t="s">
        <v>21541</v>
      </c>
      <c r="F5426" t="s">
        <v>28669</v>
      </c>
      <c r="G5426" t="s">
        <v>28676</v>
      </c>
      <c r="H5426" t="s">
        <v>28686</v>
      </c>
      <c r="I5426" t="s">
        <v>28689</v>
      </c>
      <c r="J5426" t="s">
        <v>32280</v>
      </c>
      <c r="K5426" t="s">
        <v>37205</v>
      </c>
      <c r="M5426" t="s">
        <v>39475</v>
      </c>
      <c r="N5426" t="s">
        <v>41249</v>
      </c>
      <c r="O5426" t="s">
        <v>41250</v>
      </c>
      <c r="P5426">
        <v>0</v>
      </c>
      <c r="Q5426">
        <v>0</v>
      </c>
      <c r="R5426" t="s">
        <v>41254</v>
      </c>
      <c r="S5426" t="s">
        <v>41425</v>
      </c>
      <c r="T5426" t="s">
        <v>42728</v>
      </c>
      <c r="U5426" t="s">
        <v>47689</v>
      </c>
      <c r="W5426" t="s">
        <v>39475</v>
      </c>
      <c r="X5426" t="s">
        <v>41255</v>
      </c>
    </row>
    <row r="5427" spans="1:24">
      <c r="A5427">
        <f>HYPERLINK("https://www.philgeps.gov.ph/GEPSNONPILOT/Tender/SplashBidNoticeAbstractUI.aspx?menuIndex=3&amp;refID=7072650&amp;Result=3","7072650")</f>
        <v>0</v>
      </c>
      <c r="B5427" t="s">
        <v>1429</v>
      </c>
      <c r="C5427" t="s">
        <v>8563</v>
      </c>
      <c r="D5427" t="s">
        <v>16643</v>
      </c>
      <c r="E5427" t="s">
        <v>21542</v>
      </c>
      <c r="F5427" t="s">
        <v>28669</v>
      </c>
      <c r="G5427" t="s">
        <v>28675</v>
      </c>
      <c r="H5427" t="s">
        <v>28686</v>
      </c>
      <c r="I5427" t="s">
        <v>28689</v>
      </c>
      <c r="J5427" t="s">
        <v>32281</v>
      </c>
      <c r="K5427" t="s">
        <v>37285</v>
      </c>
      <c r="M5427" t="s">
        <v>38993</v>
      </c>
      <c r="N5427" t="s">
        <v>41249</v>
      </c>
      <c r="O5427" t="s">
        <v>41250</v>
      </c>
      <c r="P5427">
        <v>0</v>
      </c>
      <c r="Q5427">
        <v>0</v>
      </c>
      <c r="R5427" t="s">
        <v>41254</v>
      </c>
      <c r="S5427" t="s">
        <v>41425</v>
      </c>
      <c r="T5427" t="s">
        <v>42669</v>
      </c>
      <c r="U5427" t="s">
        <v>47690</v>
      </c>
      <c r="W5427" t="s">
        <v>38993</v>
      </c>
      <c r="X5427" t="s">
        <v>41256</v>
      </c>
    </row>
    <row r="5428" spans="1:24">
      <c r="A5428">
        <f>HYPERLINK("https://www.philgeps.gov.ph/GEPSNONPILOT/Tender/SplashBidNoticeAbstractUI.aspx?menuIndex=3&amp;refID=7072477&amp;Result=3","7072477")</f>
        <v>0</v>
      </c>
      <c r="B5428" t="s">
        <v>1804</v>
      </c>
      <c r="C5428" t="s">
        <v>8564</v>
      </c>
      <c r="D5428" t="s">
        <v>16643</v>
      </c>
      <c r="E5428" t="s">
        <v>21543</v>
      </c>
      <c r="F5428" t="s">
        <v>28669</v>
      </c>
      <c r="G5428" t="s">
        <v>28675</v>
      </c>
      <c r="H5428" t="s">
        <v>28686</v>
      </c>
      <c r="I5428" t="s">
        <v>28689</v>
      </c>
      <c r="J5428" t="s">
        <v>29003</v>
      </c>
      <c r="K5428" t="s">
        <v>37220</v>
      </c>
      <c r="L5428" t="s">
        <v>1804</v>
      </c>
      <c r="M5428" t="s">
        <v>39414</v>
      </c>
      <c r="N5428" t="s">
        <v>41249</v>
      </c>
      <c r="O5428" t="s">
        <v>41250</v>
      </c>
      <c r="P5428">
        <v>0</v>
      </c>
      <c r="Q5428">
        <v>0</v>
      </c>
      <c r="R5428" t="s">
        <v>41254</v>
      </c>
      <c r="S5428" t="s">
        <v>41425</v>
      </c>
      <c r="T5428" t="s">
        <v>42696</v>
      </c>
      <c r="U5428" t="s">
        <v>47691</v>
      </c>
      <c r="V5428" t="s">
        <v>54844</v>
      </c>
      <c r="W5428" t="s">
        <v>39414</v>
      </c>
      <c r="X5428" t="s">
        <v>41256</v>
      </c>
    </row>
    <row r="5429" spans="1:24">
      <c r="A5429">
        <f>HYPERLINK("https://www.philgeps.gov.ph/GEPSNONPILOT/Tender/SplashBidNoticeAbstractUI.aspx?menuIndex=3&amp;refID=7072434&amp;Result=3","7072434")</f>
        <v>0</v>
      </c>
      <c r="B5429" t="s">
        <v>1696</v>
      </c>
      <c r="C5429" t="s">
        <v>8565</v>
      </c>
      <c r="D5429" t="s">
        <v>16658</v>
      </c>
      <c r="E5429" t="s">
        <v>20478</v>
      </c>
      <c r="F5429" t="s">
        <v>28669</v>
      </c>
      <c r="G5429" t="s">
        <v>28675</v>
      </c>
      <c r="H5429" t="s">
        <v>9998</v>
      </c>
      <c r="I5429" t="s">
        <v>11593</v>
      </c>
      <c r="J5429" t="s">
        <v>32282</v>
      </c>
      <c r="K5429" t="s">
        <v>37209</v>
      </c>
      <c r="M5429" t="s">
        <v>39292</v>
      </c>
      <c r="N5429" t="s">
        <v>41249</v>
      </c>
      <c r="O5429" t="s">
        <v>41250</v>
      </c>
      <c r="P5429">
        <v>0</v>
      </c>
      <c r="Q5429">
        <v>0</v>
      </c>
      <c r="R5429" t="s">
        <v>41254</v>
      </c>
      <c r="S5429" t="s">
        <v>41425</v>
      </c>
      <c r="T5429" t="s">
        <v>42738</v>
      </c>
      <c r="U5429" t="s">
        <v>47692</v>
      </c>
      <c r="W5429" t="s">
        <v>55969</v>
      </c>
      <c r="X5429" t="s">
        <v>41256</v>
      </c>
    </row>
    <row r="5430" spans="1:24">
      <c r="A5430">
        <f>HYPERLINK("https://www.philgeps.gov.ph/GEPSNONPILOT/Tender/SplashBidNoticeAbstractUI.aspx?menuIndex=3&amp;refID=7072549&amp;Result=3","7072549")</f>
        <v>0</v>
      </c>
      <c r="B5430" t="s">
        <v>1812</v>
      </c>
      <c r="C5430" t="s">
        <v>8566</v>
      </c>
      <c r="D5430" t="s">
        <v>16616</v>
      </c>
      <c r="E5430" t="s">
        <v>21544</v>
      </c>
      <c r="F5430" t="s">
        <v>28669</v>
      </c>
      <c r="G5430" t="s">
        <v>28675</v>
      </c>
      <c r="H5430" t="s">
        <v>9998</v>
      </c>
      <c r="I5430" t="s">
        <v>7352</v>
      </c>
      <c r="J5430" t="s">
        <v>32283</v>
      </c>
      <c r="K5430" t="s">
        <v>37206</v>
      </c>
      <c r="M5430" t="s">
        <v>39422</v>
      </c>
      <c r="N5430" t="s">
        <v>41249</v>
      </c>
      <c r="O5430" t="s">
        <v>41250</v>
      </c>
      <c r="P5430">
        <v>0</v>
      </c>
      <c r="Q5430">
        <v>0</v>
      </c>
      <c r="R5430" t="s">
        <v>41254</v>
      </c>
      <c r="S5430" t="s">
        <v>41425</v>
      </c>
      <c r="T5430" t="s">
        <v>42673</v>
      </c>
      <c r="U5430" t="s">
        <v>47693</v>
      </c>
      <c r="V5430" t="s">
        <v>54859</v>
      </c>
      <c r="W5430" t="s">
        <v>39422</v>
      </c>
      <c r="X5430" t="s">
        <v>41256</v>
      </c>
    </row>
    <row r="5431" spans="1:24">
      <c r="A5431">
        <f>HYPERLINK("https://www.philgeps.gov.ph/GEPSNONPILOT/Tender/SplashBidNoticeAbstractUI.aspx?menuIndex=3&amp;refID=7072645&amp;Result=3","7072645")</f>
        <v>0</v>
      </c>
      <c r="B5431" t="s">
        <v>962</v>
      </c>
      <c r="C5431" t="s">
        <v>8567</v>
      </c>
      <c r="D5431" t="s">
        <v>16611</v>
      </c>
      <c r="E5431" t="s">
        <v>21545</v>
      </c>
      <c r="F5431" t="s">
        <v>28669</v>
      </c>
      <c r="G5431" t="s">
        <v>28675</v>
      </c>
      <c r="H5431" t="s">
        <v>28686</v>
      </c>
      <c r="I5431" t="s">
        <v>28689</v>
      </c>
      <c r="J5431" t="s">
        <v>32284</v>
      </c>
      <c r="K5431" t="s">
        <v>37220</v>
      </c>
      <c r="M5431" t="s">
        <v>38487</v>
      </c>
      <c r="N5431" t="s">
        <v>41249</v>
      </c>
      <c r="O5431" t="s">
        <v>41250</v>
      </c>
      <c r="P5431">
        <v>0</v>
      </c>
      <c r="Q5431">
        <v>0</v>
      </c>
      <c r="R5431" t="s">
        <v>41254</v>
      </c>
      <c r="S5431" t="s">
        <v>41425</v>
      </c>
      <c r="T5431" t="s">
        <v>42754</v>
      </c>
      <c r="U5431" t="s">
        <v>47694</v>
      </c>
      <c r="W5431" t="s">
        <v>38487</v>
      </c>
      <c r="X5431" t="s">
        <v>41256</v>
      </c>
    </row>
    <row r="5432" spans="1:24">
      <c r="A5432">
        <f>HYPERLINK("https://www.philgeps.gov.ph/GEPSNONPILOT/Tender/SplashBidNoticeAbstractUI.aspx?menuIndex=3&amp;refID=7072409&amp;Result=3","7072409")</f>
        <v>0</v>
      </c>
      <c r="B5432" t="s">
        <v>1779</v>
      </c>
      <c r="C5432" t="s">
        <v>8568</v>
      </c>
      <c r="D5432" t="s">
        <v>16608</v>
      </c>
      <c r="E5432" t="s">
        <v>21546</v>
      </c>
      <c r="F5432" t="s">
        <v>28669</v>
      </c>
      <c r="G5432" t="s">
        <v>28675</v>
      </c>
      <c r="H5432" t="s">
        <v>9998</v>
      </c>
      <c r="I5432" t="s">
        <v>28685</v>
      </c>
      <c r="J5432" t="s">
        <v>32099</v>
      </c>
      <c r="K5432" t="s">
        <v>37215</v>
      </c>
      <c r="M5432" t="s">
        <v>39383</v>
      </c>
      <c r="N5432" t="s">
        <v>41249</v>
      </c>
      <c r="O5432" t="s">
        <v>41250</v>
      </c>
      <c r="Q5432">
        <v>1</v>
      </c>
      <c r="R5432" t="s">
        <v>41254</v>
      </c>
      <c r="S5432" t="s">
        <v>41437</v>
      </c>
      <c r="T5432" t="s">
        <v>42993</v>
      </c>
      <c r="U5432" t="s">
        <v>47695</v>
      </c>
      <c r="V5432" t="s">
        <v>54860</v>
      </c>
      <c r="W5432" t="s">
        <v>39383</v>
      </c>
      <c r="X5432" t="s">
        <v>41256</v>
      </c>
    </row>
    <row r="5433" spans="1:24">
      <c r="A5433">
        <f>HYPERLINK("https://www.philgeps.gov.ph/GEPSNONPILOT/Tender/SplashBidNoticeAbstractUI.aspx?menuIndex=3&amp;refID=7072412&amp;Result=3","7072412")</f>
        <v>0</v>
      </c>
      <c r="B5433" t="s">
        <v>1696</v>
      </c>
      <c r="C5433" t="s">
        <v>8569</v>
      </c>
      <c r="D5433" t="s">
        <v>16658</v>
      </c>
      <c r="E5433" t="s">
        <v>21547</v>
      </c>
      <c r="F5433" t="s">
        <v>28669</v>
      </c>
      <c r="G5433" t="s">
        <v>28675</v>
      </c>
      <c r="H5433" t="s">
        <v>9998</v>
      </c>
      <c r="I5433" t="s">
        <v>8667</v>
      </c>
      <c r="J5433" t="s">
        <v>32285</v>
      </c>
      <c r="K5433" t="s">
        <v>37209</v>
      </c>
      <c r="M5433" t="s">
        <v>39292</v>
      </c>
      <c r="N5433" t="s">
        <v>41249</v>
      </c>
      <c r="O5433" t="s">
        <v>41250</v>
      </c>
      <c r="P5433">
        <v>0</v>
      </c>
      <c r="Q5433">
        <v>0</v>
      </c>
      <c r="R5433" t="s">
        <v>41254</v>
      </c>
      <c r="S5433" t="s">
        <v>41425</v>
      </c>
      <c r="T5433" t="s">
        <v>42738</v>
      </c>
      <c r="U5433" t="s">
        <v>47696</v>
      </c>
      <c r="W5433" t="s">
        <v>55969</v>
      </c>
      <c r="X5433" t="s">
        <v>41256</v>
      </c>
    </row>
    <row r="5434" spans="1:24">
      <c r="A5434">
        <f>HYPERLINK("https://www.philgeps.gov.ph/GEPSNONPILOT/Tender/SplashBidNoticeAbstractUI.aspx?menuIndex=3&amp;refID=7072401&amp;Result=3","7072401")</f>
        <v>0</v>
      </c>
      <c r="B5434" t="s">
        <v>1696</v>
      </c>
      <c r="C5434" t="s">
        <v>8570</v>
      </c>
      <c r="D5434" t="s">
        <v>16658</v>
      </c>
      <c r="E5434" t="s">
        <v>21548</v>
      </c>
      <c r="F5434" t="s">
        <v>28669</v>
      </c>
      <c r="G5434" t="s">
        <v>28675</v>
      </c>
      <c r="H5434" t="s">
        <v>9998</v>
      </c>
      <c r="I5434" t="s">
        <v>11593</v>
      </c>
      <c r="J5434" t="s">
        <v>32286</v>
      </c>
      <c r="K5434" t="s">
        <v>37209</v>
      </c>
      <c r="M5434" t="s">
        <v>39292</v>
      </c>
      <c r="N5434" t="s">
        <v>41249</v>
      </c>
      <c r="O5434" t="s">
        <v>41250</v>
      </c>
      <c r="P5434">
        <v>0</v>
      </c>
      <c r="Q5434">
        <v>4</v>
      </c>
      <c r="R5434" t="s">
        <v>41254</v>
      </c>
      <c r="S5434" t="s">
        <v>41425</v>
      </c>
      <c r="T5434" t="s">
        <v>42738</v>
      </c>
      <c r="U5434" t="s">
        <v>47697</v>
      </c>
      <c r="W5434" t="s">
        <v>55969</v>
      </c>
      <c r="X5434" t="s">
        <v>41256</v>
      </c>
    </row>
    <row r="5435" spans="1:24">
      <c r="A5435">
        <f>HYPERLINK("https://www.philgeps.gov.ph/GEPSNONPILOT/Tender/SplashBidNoticeAbstractUI.aspx?menuIndex=3&amp;refID=7072637&amp;Result=3","7072637")</f>
        <v>0</v>
      </c>
      <c r="B5435" t="s">
        <v>962</v>
      </c>
      <c r="C5435" t="s">
        <v>8571</v>
      </c>
      <c r="D5435" t="s">
        <v>16611</v>
      </c>
      <c r="E5435" t="s">
        <v>21549</v>
      </c>
      <c r="F5435" t="s">
        <v>28669</v>
      </c>
      <c r="G5435" t="s">
        <v>28675</v>
      </c>
      <c r="H5435" t="s">
        <v>28686</v>
      </c>
      <c r="I5435" t="s">
        <v>28689</v>
      </c>
      <c r="J5435" t="s">
        <v>32287</v>
      </c>
      <c r="K5435" t="s">
        <v>37221</v>
      </c>
      <c r="M5435" t="s">
        <v>38487</v>
      </c>
      <c r="N5435" t="s">
        <v>41249</v>
      </c>
      <c r="O5435" t="s">
        <v>41250</v>
      </c>
      <c r="P5435">
        <v>0</v>
      </c>
      <c r="Q5435">
        <v>0</v>
      </c>
      <c r="R5435" t="s">
        <v>41254</v>
      </c>
      <c r="S5435" t="s">
        <v>41425</v>
      </c>
      <c r="T5435" t="s">
        <v>42754</v>
      </c>
      <c r="U5435" t="s">
        <v>47698</v>
      </c>
      <c r="W5435" t="s">
        <v>38487</v>
      </c>
      <c r="X5435" t="s">
        <v>41256</v>
      </c>
    </row>
    <row r="5436" spans="1:24">
      <c r="A5436">
        <f>HYPERLINK("https://www.philgeps.gov.ph/GEPSNONPILOT/Tender/SplashBidNoticeAbstractUI.aspx?menuIndex=3&amp;refID=7072364&amp;Result=3","7072364")</f>
        <v>0</v>
      </c>
      <c r="B5436" t="s">
        <v>1793</v>
      </c>
      <c r="C5436" t="s">
        <v>8572</v>
      </c>
      <c r="D5436" t="s">
        <v>16659</v>
      </c>
      <c r="E5436" t="s">
        <v>21550</v>
      </c>
      <c r="F5436" t="s">
        <v>28669</v>
      </c>
      <c r="G5436" t="s">
        <v>28675</v>
      </c>
      <c r="H5436" t="s">
        <v>9998</v>
      </c>
      <c r="I5436" t="s">
        <v>28699</v>
      </c>
      <c r="J5436" t="s">
        <v>29281</v>
      </c>
      <c r="K5436" t="s">
        <v>37227</v>
      </c>
      <c r="M5436" t="s">
        <v>39400</v>
      </c>
      <c r="N5436" t="s">
        <v>41249</v>
      </c>
      <c r="O5436" t="s">
        <v>41250</v>
      </c>
      <c r="P5436">
        <v>0</v>
      </c>
      <c r="Q5436">
        <v>0</v>
      </c>
      <c r="R5436" t="s">
        <v>41254</v>
      </c>
      <c r="S5436" t="s">
        <v>41425</v>
      </c>
      <c r="T5436" t="s">
        <v>42702</v>
      </c>
      <c r="U5436" t="s">
        <v>47699</v>
      </c>
      <c r="V5436" t="s">
        <v>54861</v>
      </c>
      <c r="W5436" t="s">
        <v>39400</v>
      </c>
      <c r="X5436" t="s">
        <v>41256</v>
      </c>
    </row>
    <row r="5437" spans="1:24">
      <c r="A5437">
        <f>HYPERLINK("https://www.philgeps.gov.ph/GEPSNONPILOT/Tender/SplashBidNoticeAbstractUI.aspx?menuIndex=3&amp;refID=7072359&amp;Result=3","7072359")</f>
        <v>0</v>
      </c>
      <c r="B5437" t="s">
        <v>1779</v>
      </c>
      <c r="C5437" t="s">
        <v>8343</v>
      </c>
      <c r="D5437" t="s">
        <v>16608</v>
      </c>
      <c r="E5437" t="s">
        <v>21351</v>
      </c>
      <c r="F5437" t="s">
        <v>28669</v>
      </c>
      <c r="G5437" t="s">
        <v>28675</v>
      </c>
      <c r="H5437" t="s">
        <v>9998</v>
      </c>
      <c r="I5437" t="s">
        <v>28685</v>
      </c>
      <c r="J5437" t="s">
        <v>32099</v>
      </c>
      <c r="K5437" t="s">
        <v>37215</v>
      </c>
      <c r="M5437" t="s">
        <v>39383</v>
      </c>
      <c r="N5437" t="s">
        <v>41249</v>
      </c>
      <c r="O5437" t="s">
        <v>41250</v>
      </c>
      <c r="Q5437">
        <v>2</v>
      </c>
      <c r="R5437" t="s">
        <v>41254</v>
      </c>
      <c r="S5437" t="s">
        <v>41438</v>
      </c>
      <c r="T5437" t="s">
        <v>42993</v>
      </c>
      <c r="U5437" t="s">
        <v>47700</v>
      </c>
      <c r="V5437" t="s">
        <v>54842</v>
      </c>
      <c r="W5437" t="s">
        <v>39383</v>
      </c>
      <c r="X5437" t="s">
        <v>41256</v>
      </c>
    </row>
    <row r="5438" spans="1:24">
      <c r="A5438">
        <f>HYPERLINK("https://www.philgeps.gov.ph/GEPSNONPILOT/Tender/SplashBidNoticeAbstractUI.aspx?menuIndex=3&amp;refID=7072641&amp;Result=3","7072641")</f>
        <v>0</v>
      </c>
      <c r="B5438" t="s">
        <v>1429</v>
      </c>
      <c r="C5438" t="s">
        <v>8573</v>
      </c>
      <c r="D5438" t="s">
        <v>16643</v>
      </c>
      <c r="E5438" t="s">
        <v>21551</v>
      </c>
      <c r="F5438" t="s">
        <v>28669</v>
      </c>
      <c r="G5438" t="s">
        <v>28675</v>
      </c>
      <c r="H5438" t="s">
        <v>28686</v>
      </c>
      <c r="I5438" t="s">
        <v>28689</v>
      </c>
      <c r="J5438" t="s">
        <v>29003</v>
      </c>
      <c r="K5438" t="s">
        <v>37206</v>
      </c>
      <c r="M5438" t="s">
        <v>38993</v>
      </c>
      <c r="N5438" t="s">
        <v>41249</v>
      </c>
      <c r="O5438" t="s">
        <v>41250</v>
      </c>
      <c r="P5438">
        <v>0</v>
      </c>
      <c r="Q5438">
        <v>3</v>
      </c>
      <c r="R5438" t="s">
        <v>41254</v>
      </c>
      <c r="S5438" t="s">
        <v>41425</v>
      </c>
      <c r="T5438" t="s">
        <v>42669</v>
      </c>
      <c r="U5438" t="s">
        <v>47701</v>
      </c>
      <c r="W5438" t="s">
        <v>38993</v>
      </c>
      <c r="X5438" t="s">
        <v>41256</v>
      </c>
    </row>
    <row r="5439" spans="1:24">
      <c r="A5439">
        <f>HYPERLINK("https://www.philgeps.gov.ph/GEPSNONPILOT/Tender/SplashBidNoticeAbstractUI.aspx?menuIndex=3&amp;refID=7072405&amp;Result=3","7072405")</f>
        <v>0</v>
      </c>
      <c r="B5439" t="s">
        <v>1798</v>
      </c>
      <c r="C5439" t="s">
        <v>8574</v>
      </c>
      <c r="D5439" t="s">
        <v>16658</v>
      </c>
      <c r="E5439" t="s">
        <v>21552</v>
      </c>
      <c r="F5439" t="s">
        <v>28669</v>
      </c>
      <c r="G5439" t="s">
        <v>28676</v>
      </c>
      <c r="H5439" t="s">
        <v>9998</v>
      </c>
      <c r="I5439" t="s">
        <v>28728</v>
      </c>
      <c r="J5439" t="s">
        <v>32288</v>
      </c>
      <c r="K5439" t="s">
        <v>37209</v>
      </c>
      <c r="M5439" t="s">
        <v>39405</v>
      </c>
      <c r="N5439" t="s">
        <v>41249</v>
      </c>
      <c r="O5439" t="s">
        <v>41250</v>
      </c>
      <c r="P5439">
        <v>0</v>
      </c>
      <c r="Q5439">
        <v>0</v>
      </c>
      <c r="R5439" t="s">
        <v>41254</v>
      </c>
      <c r="S5439" t="s">
        <v>41425</v>
      </c>
      <c r="T5439" t="s">
        <v>42728</v>
      </c>
      <c r="U5439" t="s">
        <v>47702</v>
      </c>
      <c r="W5439" t="s">
        <v>39405</v>
      </c>
      <c r="X5439" t="s">
        <v>41256</v>
      </c>
    </row>
    <row r="5440" spans="1:24">
      <c r="A5440">
        <f>HYPERLINK("https://www.philgeps.gov.ph/GEPSNONPILOT/Tender/SplashBidNoticeAbstractUI.aspx?menuIndex=3&amp;refID=7072998&amp;Result=3","7072998")</f>
        <v>0</v>
      </c>
      <c r="B5440" t="s">
        <v>1854</v>
      </c>
      <c r="C5440" t="s">
        <v>8575</v>
      </c>
      <c r="D5440" t="s">
        <v>16608</v>
      </c>
      <c r="E5440" t="s">
        <v>17140</v>
      </c>
      <c r="F5440" t="s">
        <v>28669</v>
      </c>
      <c r="G5440" t="s">
        <v>28675</v>
      </c>
      <c r="H5440" t="s">
        <v>9998</v>
      </c>
      <c r="I5440" t="s">
        <v>5213</v>
      </c>
      <c r="J5440" t="s">
        <v>29203</v>
      </c>
      <c r="K5440" t="s">
        <v>37204</v>
      </c>
      <c r="M5440" t="s">
        <v>39473</v>
      </c>
      <c r="N5440" t="s">
        <v>41249</v>
      </c>
      <c r="O5440" t="s">
        <v>41250</v>
      </c>
      <c r="P5440">
        <v>0</v>
      </c>
      <c r="Q5440">
        <v>1</v>
      </c>
      <c r="R5440" t="s">
        <v>41254</v>
      </c>
      <c r="S5440" t="s">
        <v>41425</v>
      </c>
      <c r="T5440" t="s">
        <v>42809</v>
      </c>
      <c r="U5440" t="s">
        <v>47703</v>
      </c>
      <c r="V5440" t="s">
        <v>54858</v>
      </c>
      <c r="W5440" t="s">
        <v>39473</v>
      </c>
      <c r="X5440" t="s">
        <v>41255</v>
      </c>
    </row>
    <row r="5441" spans="1:24">
      <c r="A5441">
        <f>HYPERLINK("https://www.philgeps.gov.ph/GEPSNONPILOT/Tender/SplashBidNoticeAbstractUI.aspx?menuIndex=3&amp;refID=7073035&amp;Result=3","7073035")</f>
        <v>0</v>
      </c>
      <c r="B5441" t="s">
        <v>220</v>
      </c>
      <c r="C5441" t="s">
        <v>8576</v>
      </c>
      <c r="D5441" t="s">
        <v>16627</v>
      </c>
      <c r="E5441" t="s">
        <v>21553</v>
      </c>
      <c r="F5441" t="s">
        <v>28669</v>
      </c>
      <c r="G5441" t="s">
        <v>28676</v>
      </c>
      <c r="H5441" t="s">
        <v>9998</v>
      </c>
      <c r="I5441" t="s">
        <v>28792</v>
      </c>
      <c r="J5441" t="s">
        <v>32289</v>
      </c>
      <c r="K5441" t="s">
        <v>37210</v>
      </c>
      <c r="M5441" t="s">
        <v>37698</v>
      </c>
      <c r="N5441" t="s">
        <v>41249</v>
      </c>
      <c r="O5441" t="s">
        <v>41250</v>
      </c>
      <c r="P5441">
        <v>0</v>
      </c>
      <c r="Q5441">
        <v>0</v>
      </c>
      <c r="R5441" t="s">
        <v>41254</v>
      </c>
      <c r="S5441" t="s">
        <v>41425</v>
      </c>
      <c r="T5441" t="s">
        <v>43002</v>
      </c>
      <c r="U5441" t="s">
        <v>47704</v>
      </c>
      <c r="W5441" t="s">
        <v>37698</v>
      </c>
      <c r="X5441" t="s">
        <v>41255</v>
      </c>
    </row>
    <row r="5442" spans="1:24">
      <c r="A5442">
        <f>HYPERLINK("https://www.philgeps.gov.ph/GEPSNONPILOT/Tender/SplashBidNoticeAbstractUI.aspx?menuIndex=3&amp;refID=7073034&amp;Result=3","7073034")</f>
        <v>0</v>
      </c>
      <c r="B5442" t="s">
        <v>1777</v>
      </c>
      <c r="C5442" t="s">
        <v>8577</v>
      </c>
      <c r="D5442" t="s">
        <v>16608</v>
      </c>
      <c r="E5442" t="s">
        <v>21554</v>
      </c>
      <c r="F5442" t="s">
        <v>28669</v>
      </c>
      <c r="G5442" t="s">
        <v>28678</v>
      </c>
      <c r="H5442" t="s">
        <v>9998</v>
      </c>
      <c r="I5442" t="s">
        <v>3718</v>
      </c>
      <c r="J5442" t="s">
        <v>29040</v>
      </c>
      <c r="K5442" t="s">
        <v>37227</v>
      </c>
      <c r="M5442" t="s">
        <v>39380</v>
      </c>
      <c r="N5442" t="s">
        <v>41249</v>
      </c>
      <c r="O5442" t="s">
        <v>41250</v>
      </c>
      <c r="P5442">
        <v>0</v>
      </c>
      <c r="Q5442">
        <v>5</v>
      </c>
      <c r="R5442" t="s">
        <v>41254</v>
      </c>
      <c r="S5442" t="s">
        <v>41425</v>
      </c>
      <c r="T5442" t="s">
        <v>42743</v>
      </c>
      <c r="U5442" t="s">
        <v>47705</v>
      </c>
      <c r="W5442" t="s">
        <v>39380</v>
      </c>
      <c r="X5442" t="s">
        <v>41255</v>
      </c>
    </row>
    <row r="5443" spans="1:24">
      <c r="A5443">
        <f>HYPERLINK("https://www.philgeps.gov.ph/GEPSNONPILOT/Tender/SplashBidNoticeAbstractUI.aspx?menuIndex=3&amp;refID=7072407&amp;Result=3","7072407")</f>
        <v>0</v>
      </c>
      <c r="B5443" t="s">
        <v>1696</v>
      </c>
      <c r="C5443" t="s">
        <v>8578</v>
      </c>
      <c r="D5443" t="s">
        <v>16658</v>
      </c>
      <c r="E5443" t="s">
        <v>21555</v>
      </c>
      <c r="F5443" t="s">
        <v>28669</v>
      </c>
      <c r="G5443" t="s">
        <v>28675</v>
      </c>
      <c r="H5443" t="s">
        <v>9998</v>
      </c>
      <c r="I5443" t="s">
        <v>8667</v>
      </c>
      <c r="J5443" t="s">
        <v>32290</v>
      </c>
      <c r="K5443" t="s">
        <v>37209</v>
      </c>
      <c r="M5443" t="s">
        <v>39292</v>
      </c>
      <c r="N5443" t="s">
        <v>41249</v>
      </c>
      <c r="O5443" t="s">
        <v>41250</v>
      </c>
      <c r="P5443">
        <v>0</v>
      </c>
      <c r="Q5443">
        <v>0</v>
      </c>
      <c r="R5443" t="s">
        <v>41254</v>
      </c>
      <c r="S5443" t="s">
        <v>41425</v>
      </c>
      <c r="T5443" t="s">
        <v>42738</v>
      </c>
      <c r="U5443" t="s">
        <v>47706</v>
      </c>
      <c r="W5443" t="s">
        <v>55969</v>
      </c>
      <c r="X5443" t="s">
        <v>41256</v>
      </c>
    </row>
    <row r="5444" spans="1:24">
      <c r="A5444">
        <f>HYPERLINK("https://www.philgeps.gov.ph/GEPSNONPILOT/Tender/SplashBidNoticeAbstractUI.aspx?menuIndex=3&amp;refID=7073032&amp;Result=3","7073032")</f>
        <v>0</v>
      </c>
      <c r="B5444" t="s">
        <v>1212</v>
      </c>
      <c r="C5444" t="s">
        <v>8579</v>
      </c>
      <c r="D5444" t="s">
        <v>16678</v>
      </c>
      <c r="E5444" t="s">
        <v>21556</v>
      </c>
      <c r="F5444" t="s">
        <v>28669</v>
      </c>
      <c r="G5444" t="s">
        <v>28677</v>
      </c>
      <c r="H5444" t="s">
        <v>9998</v>
      </c>
      <c r="I5444" t="s">
        <v>7352</v>
      </c>
      <c r="J5444" t="s">
        <v>32291</v>
      </c>
      <c r="K5444" t="s">
        <v>37209</v>
      </c>
      <c r="M5444" t="s">
        <v>39476</v>
      </c>
      <c r="N5444" t="s">
        <v>41249</v>
      </c>
      <c r="O5444" t="s">
        <v>41250</v>
      </c>
      <c r="P5444">
        <v>0</v>
      </c>
      <c r="Q5444">
        <v>0</v>
      </c>
      <c r="R5444" t="s">
        <v>41254</v>
      </c>
      <c r="S5444" t="s">
        <v>41425</v>
      </c>
      <c r="T5444" t="s">
        <v>42665</v>
      </c>
      <c r="U5444" t="s">
        <v>47707</v>
      </c>
      <c r="W5444" t="s">
        <v>39476</v>
      </c>
      <c r="X5444" t="s">
        <v>41255</v>
      </c>
    </row>
    <row r="5445" spans="1:24">
      <c r="A5445">
        <f>HYPERLINK("https://www.philgeps.gov.ph/GEPSNONPILOT/Tender/SplashBidNoticeAbstractUI.aspx?menuIndex=3&amp;refID=7072358&amp;Result=3","7072358")</f>
        <v>0</v>
      </c>
      <c r="B5445" t="s">
        <v>1787</v>
      </c>
      <c r="C5445" t="s">
        <v>8580</v>
      </c>
      <c r="D5445" t="s">
        <v>16617</v>
      </c>
      <c r="E5445" t="s">
        <v>21557</v>
      </c>
      <c r="F5445" t="s">
        <v>28669</v>
      </c>
      <c r="G5445" t="s">
        <v>28677</v>
      </c>
      <c r="H5445" t="s">
        <v>9998</v>
      </c>
      <c r="I5445" t="s">
        <v>7352</v>
      </c>
      <c r="J5445" t="s">
        <v>32292</v>
      </c>
      <c r="K5445" t="s">
        <v>37205</v>
      </c>
      <c r="M5445" t="s">
        <v>39394</v>
      </c>
      <c r="N5445" t="s">
        <v>41249</v>
      </c>
      <c r="O5445" t="s">
        <v>41250</v>
      </c>
      <c r="P5445">
        <v>0</v>
      </c>
      <c r="Q5445">
        <v>3</v>
      </c>
      <c r="R5445" t="s">
        <v>41254</v>
      </c>
      <c r="S5445" t="s">
        <v>41425</v>
      </c>
      <c r="T5445" t="s">
        <v>42675</v>
      </c>
      <c r="U5445" t="s">
        <v>47708</v>
      </c>
      <c r="V5445" t="s">
        <v>54839</v>
      </c>
      <c r="W5445" t="s">
        <v>39394</v>
      </c>
      <c r="X5445" t="s">
        <v>41256</v>
      </c>
    </row>
    <row r="5446" spans="1:24">
      <c r="A5446">
        <f>HYPERLINK("https://www.philgeps.gov.ph/GEPSNONPILOT/Tender/SplashBidNoticeAbstractUI.aspx?menuIndex=3&amp;refID=7072410&amp;Result=3","7072410")</f>
        <v>0</v>
      </c>
      <c r="B5446" t="s">
        <v>1798</v>
      </c>
      <c r="C5446" t="s">
        <v>8581</v>
      </c>
      <c r="D5446" t="s">
        <v>16658</v>
      </c>
      <c r="E5446" t="s">
        <v>21558</v>
      </c>
      <c r="F5446" t="s">
        <v>28669</v>
      </c>
      <c r="G5446" t="s">
        <v>28676</v>
      </c>
      <c r="H5446" t="s">
        <v>9998</v>
      </c>
      <c r="I5446" t="s">
        <v>28688</v>
      </c>
      <c r="J5446" t="s">
        <v>32293</v>
      </c>
      <c r="K5446" t="s">
        <v>37209</v>
      </c>
      <c r="M5446" t="s">
        <v>39405</v>
      </c>
      <c r="N5446" t="s">
        <v>41249</v>
      </c>
      <c r="O5446" t="s">
        <v>41250</v>
      </c>
      <c r="P5446">
        <v>0</v>
      </c>
      <c r="Q5446">
        <v>0</v>
      </c>
      <c r="R5446" t="s">
        <v>41254</v>
      </c>
      <c r="S5446" t="s">
        <v>41425</v>
      </c>
      <c r="T5446" t="s">
        <v>42728</v>
      </c>
      <c r="U5446" t="s">
        <v>47709</v>
      </c>
      <c r="W5446" t="s">
        <v>39405</v>
      </c>
      <c r="X5446" t="s">
        <v>41256</v>
      </c>
    </row>
    <row r="5447" spans="1:24">
      <c r="A5447">
        <f>HYPERLINK("https://www.philgeps.gov.ph/GEPSNONPILOT/Tender/SplashBidNoticeAbstractUI.aspx?menuIndex=3&amp;refID=7073028&amp;Result=3","7073028")</f>
        <v>0</v>
      </c>
      <c r="B5447" t="s">
        <v>1580</v>
      </c>
      <c r="C5447" t="s">
        <v>8582</v>
      </c>
      <c r="D5447" t="s">
        <v>16608</v>
      </c>
      <c r="E5447" t="s">
        <v>21559</v>
      </c>
      <c r="F5447" t="s">
        <v>28669</v>
      </c>
      <c r="G5447" t="s">
        <v>28676</v>
      </c>
      <c r="H5447" t="s">
        <v>9998</v>
      </c>
      <c r="I5447" t="s">
        <v>28741</v>
      </c>
      <c r="J5447" t="s">
        <v>29191</v>
      </c>
      <c r="K5447" t="s">
        <v>37205</v>
      </c>
      <c r="M5447" t="s">
        <v>39161</v>
      </c>
      <c r="N5447" t="s">
        <v>41249</v>
      </c>
      <c r="O5447" t="s">
        <v>41250</v>
      </c>
      <c r="P5447">
        <v>0</v>
      </c>
      <c r="Q5447">
        <v>8</v>
      </c>
      <c r="R5447" t="s">
        <v>41254</v>
      </c>
      <c r="S5447" t="s">
        <v>41425</v>
      </c>
      <c r="T5447" t="s">
        <v>42992</v>
      </c>
      <c r="U5447" t="s">
        <v>47710</v>
      </c>
      <c r="W5447" t="s">
        <v>39161</v>
      </c>
      <c r="X5447" t="s">
        <v>41255</v>
      </c>
    </row>
    <row r="5448" spans="1:24">
      <c r="A5448">
        <f>HYPERLINK("https://www.philgeps.gov.ph/GEPSNONPILOT/Tender/SplashBidNoticeAbstractUI.aspx?menuIndex=3&amp;refID=7073027&amp;Result=3","7073027")</f>
        <v>0</v>
      </c>
      <c r="B5448" t="s">
        <v>1856</v>
      </c>
      <c r="C5448" t="s">
        <v>8583</v>
      </c>
      <c r="D5448" t="s">
        <v>16691</v>
      </c>
      <c r="E5448" t="s">
        <v>21560</v>
      </c>
      <c r="F5448" t="s">
        <v>28669</v>
      </c>
      <c r="G5448" t="s">
        <v>28676</v>
      </c>
      <c r="H5448" t="s">
        <v>28686</v>
      </c>
      <c r="I5448" t="s">
        <v>28689</v>
      </c>
      <c r="J5448" t="s">
        <v>32294</v>
      </c>
      <c r="K5448" t="s">
        <v>37282</v>
      </c>
      <c r="M5448" t="s">
        <v>39475</v>
      </c>
      <c r="N5448" t="s">
        <v>41249</v>
      </c>
      <c r="O5448" t="s">
        <v>41250</v>
      </c>
      <c r="P5448">
        <v>0</v>
      </c>
      <c r="Q5448">
        <v>0</v>
      </c>
      <c r="R5448" t="s">
        <v>41254</v>
      </c>
      <c r="S5448" t="s">
        <v>41425</v>
      </c>
      <c r="T5448" t="s">
        <v>42728</v>
      </c>
      <c r="U5448" t="s">
        <v>47689</v>
      </c>
      <c r="W5448" t="s">
        <v>39475</v>
      </c>
      <c r="X5448" t="s">
        <v>41255</v>
      </c>
    </row>
    <row r="5449" spans="1:24">
      <c r="A5449">
        <f>HYPERLINK("https://www.philgeps.gov.ph/GEPSNONPILOT/Tender/SplashBidNoticeAbstractUI.aspx?menuIndex=3&amp;refID=7073026&amp;Result=3","7073026")</f>
        <v>0</v>
      </c>
      <c r="B5449" t="s">
        <v>1212</v>
      </c>
      <c r="C5449" t="s">
        <v>4730</v>
      </c>
      <c r="D5449" t="s">
        <v>16678</v>
      </c>
      <c r="E5449" t="s">
        <v>21561</v>
      </c>
      <c r="F5449" t="s">
        <v>28669</v>
      </c>
      <c r="G5449" t="s">
        <v>28677</v>
      </c>
      <c r="H5449" t="s">
        <v>9998</v>
      </c>
      <c r="I5449" t="s">
        <v>28693</v>
      </c>
      <c r="J5449" t="s">
        <v>29183</v>
      </c>
      <c r="K5449" t="s">
        <v>37209</v>
      </c>
      <c r="M5449" t="s">
        <v>39476</v>
      </c>
      <c r="N5449" t="s">
        <v>41249</v>
      </c>
      <c r="O5449" t="s">
        <v>41250</v>
      </c>
      <c r="P5449">
        <v>0</v>
      </c>
      <c r="Q5449">
        <v>17</v>
      </c>
      <c r="R5449" t="s">
        <v>41254</v>
      </c>
      <c r="S5449" t="s">
        <v>41425</v>
      </c>
      <c r="T5449" t="s">
        <v>42665</v>
      </c>
      <c r="U5449" t="s">
        <v>47707</v>
      </c>
      <c r="W5449" t="s">
        <v>39476</v>
      </c>
      <c r="X5449" t="s">
        <v>41255</v>
      </c>
    </row>
    <row r="5450" spans="1:24">
      <c r="A5450">
        <f>HYPERLINK("https://www.philgeps.gov.ph/GEPSNONPILOT/Tender/SplashBidNoticeAbstractUI.aspx?menuIndex=3&amp;refID=7072357&amp;Result=3","7072357")</f>
        <v>0</v>
      </c>
      <c r="B5450" t="s">
        <v>1796</v>
      </c>
      <c r="C5450" t="s">
        <v>5868</v>
      </c>
      <c r="D5450" t="s">
        <v>16660</v>
      </c>
      <c r="E5450" t="s">
        <v>21562</v>
      </c>
      <c r="F5450" t="s">
        <v>28669</v>
      </c>
      <c r="G5450" t="s">
        <v>28677</v>
      </c>
      <c r="H5450" t="s">
        <v>9998</v>
      </c>
      <c r="I5450" t="s">
        <v>28688</v>
      </c>
      <c r="J5450" t="s">
        <v>30015</v>
      </c>
      <c r="K5450" t="s">
        <v>37243</v>
      </c>
      <c r="M5450" t="s">
        <v>39403</v>
      </c>
      <c r="N5450" t="s">
        <v>41249</v>
      </c>
      <c r="O5450" t="s">
        <v>41250</v>
      </c>
      <c r="P5450">
        <v>0</v>
      </c>
      <c r="Q5450">
        <v>1</v>
      </c>
      <c r="R5450" t="s">
        <v>41254</v>
      </c>
      <c r="S5450" t="s">
        <v>41425</v>
      </c>
      <c r="T5450" t="s">
        <v>42742</v>
      </c>
      <c r="U5450" t="s">
        <v>47711</v>
      </c>
      <c r="W5450" t="s">
        <v>39403</v>
      </c>
      <c r="X5450" t="s">
        <v>41256</v>
      </c>
    </row>
    <row r="5451" spans="1:24">
      <c r="A5451">
        <f>HYPERLINK("https://www.philgeps.gov.ph/GEPSNONPILOT/Tender/SplashBidNoticeAbstractUI.aspx?menuIndex=3&amp;refID=7073024&amp;Result=3","7073024")</f>
        <v>0</v>
      </c>
      <c r="B5451" t="s">
        <v>220</v>
      </c>
      <c r="C5451" t="s">
        <v>8584</v>
      </c>
      <c r="D5451" t="s">
        <v>16627</v>
      </c>
      <c r="E5451" t="s">
        <v>21563</v>
      </c>
      <c r="F5451" t="s">
        <v>28669</v>
      </c>
      <c r="G5451" t="s">
        <v>28676</v>
      </c>
      <c r="H5451" t="s">
        <v>9998</v>
      </c>
      <c r="I5451" t="s">
        <v>28770</v>
      </c>
      <c r="J5451" t="s">
        <v>29109</v>
      </c>
      <c r="K5451" t="s">
        <v>37210</v>
      </c>
      <c r="M5451" t="s">
        <v>37698</v>
      </c>
      <c r="N5451" t="s">
        <v>41249</v>
      </c>
      <c r="O5451" t="s">
        <v>41250</v>
      </c>
      <c r="P5451">
        <v>0</v>
      </c>
      <c r="Q5451">
        <v>1</v>
      </c>
      <c r="R5451" t="s">
        <v>41254</v>
      </c>
      <c r="S5451" t="s">
        <v>41425</v>
      </c>
      <c r="T5451" t="s">
        <v>43002</v>
      </c>
      <c r="U5451" t="s">
        <v>47712</v>
      </c>
      <c r="W5451" t="s">
        <v>37698</v>
      </c>
      <c r="X5451" t="s">
        <v>41255</v>
      </c>
    </row>
    <row r="5452" spans="1:24">
      <c r="A5452">
        <f>HYPERLINK("https://www.philgeps.gov.ph/GEPSNONPILOT/Tender/SplashBidNoticeAbstractUI.aspx?menuIndex=3&amp;refID=7073023&amp;Result=3","7073023")</f>
        <v>0</v>
      </c>
      <c r="B5452" t="s">
        <v>1129</v>
      </c>
      <c r="C5452" t="s">
        <v>8585</v>
      </c>
      <c r="D5452" t="s">
        <v>16612</v>
      </c>
      <c r="E5452" t="s">
        <v>17149</v>
      </c>
      <c r="F5452" t="s">
        <v>28669</v>
      </c>
      <c r="G5452" t="s">
        <v>28675</v>
      </c>
      <c r="H5452" t="s">
        <v>28686</v>
      </c>
      <c r="I5452" t="s">
        <v>28689</v>
      </c>
      <c r="J5452" t="s">
        <v>32295</v>
      </c>
      <c r="K5452" t="s">
        <v>37206</v>
      </c>
      <c r="M5452" t="s">
        <v>38663</v>
      </c>
      <c r="N5452" t="s">
        <v>41249</v>
      </c>
      <c r="O5452" t="s">
        <v>41250</v>
      </c>
      <c r="P5452">
        <v>0</v>
      </c>
      <c r="Q5452">
        <v>0</v>
      </c>
      <c r="R5452" t="s">
        <v>41254</v>
      </c>
      <c r="S5452" t="s">
        <v>41425</v>
      </c>
      <c r="T5452" t="s">
        <v>42899</v>
      </c>
      <c r="U5452" t="s">
        <v>47713</v>
      </c>
      <c r="W5452" t="s">
        <v>38663</v>
      </c>
      <c r="X5452" t="s">
        <v>41255</v>
      </c>
    </row>
    <row r="5453" spans="1:24">
      <c r="A5453">
        <f>HYPERLINK("https://www.philgeps.gov.ph/GEPSNONPILOT/Tender/SplashBidNoticeAbstractUI.aspx?menuIndex=3&amp;refID=7073022&amp;Result=3","7073022")</f>
        <v>0</v>
      </c>
      <c r="B5453" t="s">
        <v>1854</v>
      </c>
      <c r="C5453" t="s">
        <v>8586</v>
      </c>
      <c r="D5453" t="s">
        <v>16608</v>
      </c>
      <c r="E5453" t="s">
        <v>17248</v>
      </c>
      <c r="F5453" t="s">
        <v>28669</v>
      </c>
      <c r="G5453" t="s">
        <v>28675</v>
      </c>
      <c r="H5453" t="s">
        <v>9998</v>
      </c>
      <c r="I5453" t="s">
        <v>28717</v>
      </c>
      <c r="J5453" t="s">
        <v>31291</v>
      </c>
      <c r="K5453" t="s">
        <v>37205</v>
      </c>
      <c r="M5453" t="s">
        <v>39473</v>
      </c>
      <c r="N5453" t="s">
        <v>41249</v>
      </c>
      <c r="O5453" t="s">
        <v>41250</v>
      </c>
      <c r="P5453">
        <v>0</v>
      </c>
      <c r="Q5453">
        <v>3</v>
      </c>
      <c r="R5453" t="s">
        <v>41254</v>
      </c>
      <c r="S5453" t="s">
        <v>41425</v>
      </c>
      <c r="T5453" t="s">
        <v>42809</v>
      </c>
      <c r="U5453" t="s">
        <v>47714</v>
      </c>
      <c r="V5453" t="s">
        <v>54862</v>
      </c>
      <c r="W5453" t="s">
        <v>39473</v>
      </c>
      <c r="X5453" t="s">
        <v>41255</v>
      </c>
    </row>
    <row r="5454" spans="1:24">
      <c r="A5454">
        <f>HYPERLINK("https://www.philgeps.gov.ph/GEPSNONPILOT/Tender/SplashBidNoticeAbstractUI.aspx?menuIndex=3&amp;refID=7073033&amp;Result=3","7073033")</f>
        <v>0</v>
      </c>
      <c r="B5454" t="s">
        <v>1857</v>
      </c>
      <c r="C5454" t="s">
        <v>3817</v>
      </c>
      <c r="D5454" t="s">
        <v>16668</v>
      </c>
      <c r="E5454" t="s">
        <v>16807</v>
      </c>
      <c r="F5454" t="s">
        <v>28669</v>
      </c>
      <c r="G5454" t="s">
        <v>28675</v>
      </c>
      <c r="H5454" t="s">
        <v>28686</v>
      </c>
      <c r="I5454" t="s">
        <v>7352</v>
      </c>
      <c r="J5454" t="s">
        <v>32296</v>
      </c>
      <c r="K5454" t="s">
        <v>37204</v>
      </c>
      <c r="M5454" t="s">
        <v>39477</v>
      </c>
      <c r="N5454" t="s">
        <v>41249</v>
      </c>
      <c r="O5454" t="s">
        <v>41250</v>
      </c>
      <c r="P5454">
        <v>0</v>
      </c>
      <c r="Q5454">
        <v>0</v>
      </c>
      <c r="R5454" t="s">
        <v>41254</v>
      </c>
      <c r="S5454" t="s">
        <v>41425</v>
      </c>
      <c r="T5454" t="s">
        <v>43004</v>
      </c>
      <c r="U5454" t="s">
        <v>47715</v>
      </c>
      <c r="W5454" t="s">
        <v>39477</v>
      </c>
      <c r="X5454" t="s">
        <v>41255</v>
      </c>
    </row>
    <row r="5455" spans="1:24">
      <c r="A5455">
        <f>HYPERLINK("https://www.philgeps.gov.ph/GEPSNONPILOT/Tender/SplashBidNoticeAbstractUI.aspx?menuIndex=3&amp;refID=7073019&amp;Result=3","7073019")</f>
        <v>0</v>
      </c>
      <c r="B5455" t="s">
        <v>220</v>
      </c>
      <c r="C5455" t="s">
        <v>8587</v>
      </c>
      <c r="D5455" t="s">
        <v>16627</v>
      </c>
      <c r="E5455" t="s">
        <v>21564</v>
      </c>
      <c r="F5455" t="s">
        <v>28669</v>
      </c>
      <c r="G5455" t="s">
        <v>28676</v>
      </c>
      <c r="H5455" t="s">
        <v>9998</v>
      </c>
      <c r="I5455" t="s">
        <v>3679</v>
      </c>
      <c r="J5455" t="s">
        <v>32297</v>
      </c>
      <c r="K5455" t="s">
        <v>37210</v>
      </c>
      <c r="M5455" t="s">
        <v>37698</v>
      </c>
      <c r="N5455" t="s">
        <v>41249</v>
      </c>
      <c r="O5455" t="s">
        <v>41250</v>
      </c>
      <c r="P5455">
        <v>0</v>
      </c>
      <c r="Q5455">
        <v>0</v>
      </c>
      <c r="R5455" t="s">
        <v>41254</v>
      </c>
      <c r="S5455" t="s">
        <v>41425</v>
      </c>
      <c r="T5455" t="s">
        <v>43002</v>
      </c>
      <c r="U5455" t="s">
        <v>47716</v>
      </c>
      <c r="W5455" t="s">
        <v>37698</v>
      </c>
      <c r="X5455" t="s">
        <v>41255</v>
      </c>
    </row>
    <row r="5456" spans="1:24">
      <c r="A5456">
        <f>HYPERLINK("https://www.philgeps.gov.ph/GEPSNONPILOT/Tender/SplashBidNoticeAbstractUI.aspx?menuIndex=3&amp;refID=7073017&amp;Result=3","7073017")</f>
        <v>0</v>
      </c>
      <c r="B5456" t="s">
        <v>1777</v>
      </c>
      <c r="C5456" t="s">
        <v>8540</v>
      </c>
      <c r="D5456" t="s">
        <v>16608</v>
      </c>
      <c r="E5456" t="s">
        <v>21565</v>
      </c>
      <c r="F5456" t="s">
        <v>28669</v>
      </c>
      <c r="G5456" t="s">
        <v>28678</v>
      </c>
      <c r="H5456" t="s">
        <v>9998</v>
      </c>
      <c r="I5456" t="s">
        <v>28688</v>
      </c>
      <c r="J5456" t="s">
        <v>32298</v>
      </c>
      <c r="K5456" t="s">
        <v>37210</v>
      </c>
      <c r="M5456" t="s">
        <v>39380</v>
      </c>
      <c r="N5456" t="s">
        <v>41249</v>
      </c>
      <c r="O5456" t="s">
        <v>41250</v>
      </c>
      <c r="P5456">
        <v>0</v>
      </c>
      <c r="Q5456">
        <v>10</v>
      </c>
      <c r="R5456" t="s">
        <v>41254</v>
      </c>
      <c r="S5456" t="s">
        <v>41425</v>
      </c>
      <c r="T5456" t="s">
        <v>42743</v>
      </c>
      <c r="U5456" t="s">
        <v>47717</v>
      </c>
      <c r="W5456" t="s">
        <v>39380</v>
      </c>
      <c r="X5456" t="s">
        <v>41255</v>
      </c>
    </row>
    <row r="5457" spans="1:24">
      <c r="A5457">
        <f>HYPERLINK("https://www.philgeps.gov.ph/GEPSNONPILOT/Tender/SplashBidNoticeAbstractUI.aspx?menuIndex=3&amp;refID=7073030&amp;Result=3","7073030")</f>
        <v>0</v>
      </c>
      <c r="B5457" t="s">
        <v>1212</v>
      </c>
      <c r="C5457" t="s">
        <v>8588</v>
      </c>
      <c r="D5457" t="s">
        <v>16678</v>
      </c>
      <c r="E5457" t="s">
        <v>21566</v>
      </c>
      <c r="F5457" t="s">
        <v>28669</v>
      </c>
      <c r="G5457" t="s">
        <v>28677</v>
      </c>
      <c r="H5457" t="s">
        <v>9998</v>
      </c>
      <c r="I5457" t="s">
        <v>28688</v>
      </c>
      <c r="J5457" t="s">
        <v>29088</v>
      </c>
      <c r="K5457" t="s">
        <v>37209</v>
      </c>
      <c r="M5457" t="s">
        <v>39476</v>
      </c>
      <c r="N5457" t="s">
        <v>41249</v>
      </c>
      <c r="O5457" t="s">
        <v>41250</v>
      </c>
      <c r="P5457">
        <v>0</v>
      </c>
      <c r="Q5457">
        <v>1</v>
      </c>
      <c r="R5457" t="s">
        <v>41254</v>
      </c>
      <c r="S5457" t="s">
        <v>41425</v>
      </c>
      <c r="T5457" t="s">
        <v>42665</v>
      </c>
      <c r="U5457" t="s">
        <v>47707</v>
      </c>
      <c r="W5457" t="s">
        <v>39476</v>
      </c>
      <c r="X5457" t="s">
        <v>41255</v>
      </c>
    </row>
    <row r="5458" spans="1:24">
      <c r="A5458">
        <f>HYPERLINK("https://www.philgeps.gov.ph/GEPSNONPILOT/Tender/SplashBidNoticeAbstractUI.aspx?menuIndex=3&amp;refID=7073015&amp;Result=3","7073015")</f>
        <v>0</v>
      </c>
      <c r="B5458" t="s">
        <v>1856</v>
      </c>
      <c r="C5458" t="s">
        <v>8589</v>
      </c>
      <c r="D5458" t="s">
        <v>16691</v>
      </c>
      <c r="E5458" t="s">
        <v>21567</v>
      </c>
      <c r="F5458" t="s">
        <v>28669</v>
      </c>
      <c r="G5458" t="s">
        <v>28676</v>
      </c>
      <c r="H5458" t="s">
        <v>28686</v>
      </c>
      <c r="I5458" t="s">
        <v>28689</v>
      </c>
      <c r="J5458" t="s">
        <v>32299</v>
      </c>
      <c r="K5458" t="s">
        <v>37216</v>
      </c>
      <c r="M5458" t="s">
        <v>39475</v>
      </c>
      <c r="N5458" t="s">
        <v>41249</v>
      </c>
      <c r="O5458" t="s">
        <v>41250</v>
      </c>
      <c r="P5458">
        <v>0</v>
      </c>
      <c r="Q5458">
        <v>0</v>
      </c>
      <c r="R5458" t="s">
        <v>41254</v>
      </c>
      <c r="S5458" t="s">
        <v>41425</v>
      </c>
      <c r="T5458" t="s">
        <v>42728</v>
      </c>
      <c r="U5458" t="s">
        <v>47689</v>
      </c>
      <c r="W5458" t="s">
        <v>39475</v>
      </c>
      <c r="X5458" t="s">
        <v>41255</v>
      </c>
    </row>
    <row r="5459" spans="1:24">
      <c r="A5459">
        <f>HYPERLINK("https://www.philgeps.gov.ph/GEPSNONPILOT/Tender/SplashBidNoticeAbstractUI.aspx?menuIndex=3&amp;refID=7073031&amp;Result=3","7073031")</f>
        <v>0</v>
      </c>
      <c r="B5459" t="s">
        <v>1858</v>
      </c>
      <c r="C5459" t="s">
        <v>8590</v>
      </c>
      <c r="D5459" t="s">
        <v>16618</v>
      </c>
      <c r="E5459" t="s">
        <v>21568</v>
      </c>
      <c r="F5459" t="s">
        <v>28669</v>
      </c>
      <c r="G5459" t="s">
        <v>28675</v>
      </c>
      <c r="H5459" t="s">
        <v>28686</v>
      </c>
      <c r="I5459" t="s">
        <v>28689</v>
      </c>
      <c r="J5459" t="s">
        <v>32300</v>
      </c>
      <c r="K5459" t="s">
        <v>37206</v>
      </c>
      <c r="M5459" t="s">
        <v>39478</v>
      </c>
      <c r="N5459" t="s">
        <v>41249</v>
      </c>
      <c r="O5459" t="s">
        <v>41250</v>
      </c>
      <c r="P5459">
        <v>0</v>
      </c>
      <c r="Q5459">
        <v>0</v>
      </c>
      <c r="R5459" t="s">
        <v>41254</v>
      </c>
      <c r="S5459" t="s">
        <v>41425</v>
      </c>
      <c r="T5459" t="s">
        <v>42738</v>
      </c>
      <c r="U5459" t="s">
        <v>47718</v>
      </c>
      <c r="W5459" t="s">
        <v>39478</v>
      </c>
      <c r="X5459" t="s">
        <v>41255</v>
      </c>
    </row>
    <row r="5460" spans="1:24">
      <c r="A5460">
        <f>HYPERLINK("https://www.philgeps.gov.ph/GEPSNONPILOT/Tender/SplashBidNoticeAbstractUI.aspx?menuIndex=3&amp;refID=7072355&amp;Result=3","7072355")</f>
        <v>0</v>
      </c>
      <c r="B5460" t="s">
        <v>1787</v>
      </c>
      <c r="C5460" t="s">
        <v>8591</v>
      </c>
      <c r="D5460" t="s">
        <v>16617</v>
      </c>
      <c r="E5460" t="s">
        <v>21569</v>
      </c>
      <c r="F5460" t="s">
        <v>28669</v>
      </c>
      <c r="G5460" t="s">
        <v>28677</v>
      </c>
      <c r="H5460" t="s">
        <v>9998</v>
      </c>
      <c r="I5460" t="s">
        <v>11593</v>
      </c>
      <c r="J5460" t="s">
        <v>29193</v>
      </c>
      <c r="K5460" t="s">
        <v>37205</v>
      </c>
      <c r="M5460" t="s">
        <v>39394</v>
      </c>
      <c r="N5460" t="s">
        <v>41249</v>
      </c>
      <c r="O5460" t="s">
        <v>41250</v>
      </c>
      <c r="P5460">
        <v>0</v>
      </c>
      <c r="Q5460">
        <v>9</v>
      </c>
      <c r="R5460" t="s">
        <v>41254</v>
      </c>
      <c r="S5460" t="s">
        <v>41425</v>
      </c>
      <c r="T5460" t="s">
        <v>42675</v>
      </c>
      <c r="U5460" t="s">
        <v>47719</v>
      </c>
      <c r="V5460" t="s">
        <v>54839</v>
      </c>
      <c r="W5460" t="s">
        <v>39394</v>
      </c>
      <c r="X5460" t="s">
        <v>41256</v>
      </c>
    </row>
    <row r="5461" spans="1:24">
      <c r="A5461">
        <f>HYPERLINK("https://www.philgeps.gov.ph/GEPSNONPILOT/Tender/SplashBidNoticeAbstractUI.aspx?menuIndex=3&amp;refID=7072354&amp;Result=3","7072354")</f>
        <v>0</v>
      </c>
      <c r="B5461" t="s">
        <v>1796</v>
      </c>
      <c r="C5461" t="s">
        <v>5868</v>
      </c>
      <c r="D5461" t="s">
        <v>16660</v>
      </c>
      <c r="E5461" t="s">
        <v>21570</v>
      </c>
      <c r="F5461" t="s">
        <v>28669</v>
      </c>
      <c r="G5461" t="s">
        <v>28677</v>
      </c>
      <c r="H5461" t="s">
        <v>9998</v>
      </c>
      <c r="I5461" t="s">
        <v>7352</v>
      </c>
      <c r="J5461" t="s">
        <v>32301</v>
      </c>
      <c r="K5461" t="s">
        <v>37243</v>
      </c>
      <c r="M5461" t="s">
        <v>39403</v>
      </c>
      <c r="N5461" t="s">
        <v>41249</v>
      </c>
      <c r="O5461" t="s">
        <v>41250</v>
      </c>
      <c r="P5461">
        <v>0</v>
      </c>
      <c r="Q5461">
        <v>0</v>
      </c>
      <c r="R5461" t="s">
        <v>41254</v>
      </c>
      <c r="S5461" t="s">
        <v>41425</v>
      </c>
      <c r="T5461" t="s">
        <v>42758</v>
      </c>
      <c r="U5461" t="s">
        <v>47720</v>
      </c>
      <c r="W5461" t="s">
        <v>39403</v>
      </c>
      <c r="X5461" t="s">
        <v>41256</v>
      </c>
    </row>
    <row r="5462" spans="1:24">
      <c r="A5462">
        <f>HYPERLINK("https://www.philgeps.gov.ph/GEPSNONPILOT/Tender/SplashBidNoticeAbstractUI.aspx?menuIndex=3&amp;refID=7072317&amp;Result=3","7072317")</f>
        <v>0</v>
      </c>
      <c r="B5462" t="s">
        <v>1859</v>
      </c>
      <c r="C5462" t="s">
        <v>8592</v>
      </c>
      <c r="D5462" t="s">
        <v>16665</v>
      </c>
      <c r="E5462" t="s">
        <v>21571</v>
      </c>
      <c r="F5462" t="s">
        <v>28669</v>
      </c>
      <c r="G5462" t="s">
        <v>28675</v>
      </c>
      <c r="H5462" t="s">
        <v>28686</v>
      </c>
      <c r="I5462" t="s">
        <v>28696</v>
      </c>
      <c r="J5462" t="s">
        <v>28823</v>
      </c>
      <c r="K5462" t="s">
        <v>37221</v>
      </c>
      <c r="M5462" t="s">
        <v>39479</v>
      </c>
      <c r="N5462" t="s">
        <v>41249</v>
      </c>
      <c r="O5462" t="s">
        <v>41250</v>
      </c>
      <c r="P5462">
        <v>0</v>
      </c>
      <c r="Q5462">
        <v>3</v>
      </c>
      <c r="R5462" t="s">
        <v>41254</v>
      </c>
      <c r="S5462" t="s">
        <v>41425</v>
      </c>
      <c r="T5462" t="s">
        <v>42722</v>
      </c>
      <c r="U5462" t="s">
        <v>47721</v>
      </c>
      <c r="W5462" t="s">
        <v>39479</v>
      </c>
      <c r="X5462" t="s">
        <v>41256</v>
      </c>
    </row>
    <row r="5463" spans="1:24">
      <c r="A5463">
        <f>HYPERLINK("https://www.philgeps.gov.ph/GEPSNONPILOT/Tender/SplashBidNoticeAbstractUI.aspx?menuIndex=3&amp;refID=7072313&amp;Result=3","7072313")</f>
        <v>0</v>
      </c>
      <c r="B5463" t="s">
        <v>1860</v>
      </c>
      <c r="C5463" t="s">
        <v>8593</v>
      </c>
      <c r="D5463" t="s">
        <v>16639</v>
      </c>
      <c r="E5463" t="s">
        <v>21572</v>
      </c>
      <c r="F5463" t="s">
        <v>28669</v>
      </c>
      <c r="G5463" t="s">
        <v>28676</v>
      </c>
      <c r="H5463" t="s">
        <v>9998</v>
      </c>
      <c r="I5463" t="s">
        <v>28687</v>
      </c>
      <c r="J5463" t="s">
        <v>28878</v>
      </c>
      <c r="K5463" t="s">
        <v>37205</v>
      </c>
      <c r="M5463" t="s">
        <v>39480</v>
      </c>
      <c r="N5463" t="s">
        <v>41249</v>
      </c>
      <c r="O5463" t="s">
        <v>41250</v>
      </c>
      <c r="P5463">
        <v>0</v>
      </c>
      <c r="Q5463">
        <v>0</v>
      </c>
      <c r="R5463" t="s">
        <v>41254</v>
      </c>
      <c r="S5463" t="s">
        <v>41425</v>
      </c>
      <c r="T5463" t="s">
        <v>42883</v>
      </c>
      <c r="U5463" t="s">
        <v>47722</v>
      </c>
      <c r="V5463" t="s">
        <v>54863</v>
      </c>
      <c r="W5463" t="s">
        <v>39480</v>
      </c>
      <c r="X5463" t="s">
        <v>41256</v>
      </c>
    </row>
    <row r="5464" spans="1:24">
      <c r="A5464">
        <f>HYPERLINK("https://www.philgeps.gov.ph/GEPSNONPILOT/Tender/SplashBidNoticeAbstractUI.aspx?menuIndex=3&amp;refID=7073016&amp;Result=3","7073016")</f>
        <v>0</v>
      </c>
      <c r="B5464" t="s">
        <v>1854</v>
      </c>
      <c r="C5464" t="s">
        <v>8594</v>
      </c>
      <c r="D5464" t="s">
        <v>16608</v>
      </c>
      <c r="E5464" t="s">
        <v>18338</v>
      </c>
      <c r="F5464" t="s">
        <v>28669</v>
      </c>
      <c r="G5464" t="s">
        <v>28675</v>
      </c>
      <c r="H5464" t="s">
        <v>9998</v>
      </c>
      <c r="I5464" t="s">
        <v>5213</v>
      </c>
      <c r="J5464" t="s">
        <v>30690</v>
      </c>
      <c r="K5464" t="s">
        <v>37205</v>
      </c>
      <c r="M5464" t="s">
        <v>39473</v>
      </c>
      <c r="N5464" t="s">
        <v>41249</v>
      </c>
      <c r="O5464" t="s">
        <v>41250</v>
      </c>
      <c r="P5464">
        <v>0</v>
      </c>
      <c r="Q5464">
        <v>1</v>
      </c>
      <c r="R5464" t="s">
        <v>41254</v>
      </c>
      <c r="S5464" t="s">
        <v>41425</v>
      </c>
      <c r="T5464" t="s">
        <v>42809</v>
      </c>
      <c r="U5464" t="s">
        <v>47723</v>
      </c>
      <c r="V5464" t="s">
        <v>54862</v>
      </c>
      <c r="W5464" t="s">
        <v>39473</v>
      </c>
      <c r="X5464" t="s">
        <v>41255</v>
      </c>
    </row>
    <row r="5465" spans="1:24">
      <c r="A5465">
        <f>HYPERLINK("https://www.philgeps.gov.ph/GEPSNONPILOT/Tender/SplashBidNoticeAbstractUI.aspx?menuIndex=3&amp;refID=7072978&amp;Result=3","7072978")</f>
        <v>0</v>
      </c>
      <c r="B5465" t="s">
        <v>1856</v>
      </c>
      <c r="C5465" t="s">
        <v>8595</v>
      </c>
      <c r="D5465" t="s">
        <v>16691</v>
      </c>
      <c r="E5465" t="s">
        <v>21573</v>
      </c>
      <c r="F5465" t="s">
        <v>28669</v>
      </c>
      <c r="G5465" t="s">
        <v>28676</v>
      </c>
      <c r="H5465" t="s">
        <v>28686</v>
      </c>
      <c r="I5465" t="s">
        <v>28689</v>
      </c>
      <c r="J5465" t="s">
        <v>32302</v>
      </c>
      <c r="K5465" t="s">
        <v>37205</v>
      </c>
      <c r="M5465" t="s">
        <v>39475</v>
      </c>
      <c r="N5465" t="s">
        <v>41249</v>
      </c>
      <c r="O5465" t="s">
        <v>41250</v>
      </c>
      <c r="P5465">
        <v>0</v>
      </c>
      <c r="Q5465">
        <v>0</v>
      </c>
      <c r="R5465" t="s">
        <v>41254</v>
      </c>
      <c r="S5465" t="s">
        <v>41425</v>
      </c>
      <c r="T5465" t="s">
        <v>42728</v>
      </c>
      <c r="U5465" t="s">
        <v>47689</v>
      </c>
      <c r="W5465" t="s">
        <v>39475</v>
      </c>
      <c r="X5465" t="s">
        <v>41255</v>
      </c>
    </row>
    <row r="5466" spans="1:24">
      <c r="A5466">
        <f>HYPERLINK("https://www.philgeps.gov.ph/GEPSNONPILOT/Tender/SplashBidNoticeAbstractUI.aspx?menuIndex=3&amp;refID=7072266&amp;Result=3","7072266")</f>
        <v>0</v>
      </c>
      <c r="B5466" t="s">
        <v>1786</v>
      </c>
      <c r="C5466" t="s">
        <v>8596</v>
      </c>
      <c r="D5466" t="s">
        <v>16638</v>
      </c>
      <c r="E5466" t="s">
        <v>21574</v>
      </c>
      <c r="F5466" t="s">
        <v>28669</v>
      </c>
      <c r="G5466" t="s">
        <v>28676</v>
      </c>
      <c r="H5466" t="s">
        <v>9998</v>
      </c>
      <c r="I5466" t="s">
        <v>3718</v>
      </c>
      <c r="J5466" t="s">
        <v>32303</v>
      </c>
      <c r="K5466" t="s">
        <v>37210</v>
      </c>
      <c r="M5466" t="s">
        <v>39393</v>
      </c>
      <c r="N5466" t="s">
        <v>41249</v>
      </c>
      <c r="O5466" t="s">
        <v>41250</v>
      </c>
      <c r="P5466">
        <v>0</v>
      </c>
      <c r="Q5466">
        <v>6</v>
      </c>
      <c r="R5466" t="s">
        <v>41254</v>
      </c>
      <c r="S5466" t="s">
        <v>41425</v>
      </c>
      <c r="T5466" t="s">
        <v>42883</v>
      </c>
      <c r="U5466" t="s">
        <v>47724</v>
      </c>
      <c r="W5466" t="s">
        <v>39393</v>
      </c>
      <c r="X5466" t="s">
        <v>41257</v>
      </c>
    </row>
    <row r="5467" spans="1:24">
      <c r="A5467">
        <f>HYPERLINK("https://www.philgeps.gov.ph/GEPSNONPILOT/Tender/SplashBidNoticeAbstractUI.aspx?menuIndex=3&amp;refID=7072327&amp;Result=3","7072327")</f>
        <v>0</v>
      </c>
      <c r="B5467" t="s">
        <v>1861</v>
      </c>
      <c r="C5467" t="s">
        <v>8597</v>
      </c>
      <c r="D5467" t="s">
        <v>16619</v>
      </c>
      <c r="E5467" t="s">
        <v>20909</v>
      </c>
      <c r="F5467" t="s">
        <v>28669</v>
      </c>
      <c r="G5467" t="s">
        <v>28675</v>
      </c>
      <c r="H5467" t="s">
        <v>28686</v>
      </c>
      <c r="I5467" t="s">
        <v>28734</v>
      </c>
      <c r="J5467" t="s">
        <v>32304</v>
      </c>
      <c r="K5467" t="s">
        <v>37218</v>
      </c>
      <c r="M5467" t="s">
        <v>39481</v>
      </c>
      <c r="N5467" t="s">
        <v>41249</v>
      </c>
      <c r="O5467" t="s">
        <v>41250</v>
      </c>
      <c r="P5467">
        <v>0</v>
      </c>
      <c r="Q5467">
        <v>2</v>
      </c>
      <c r="R5467" t="s">
        <v>41254</v>
      </c>
      <c r="S5467" t="s">
        <v>41425</v>
      </c>
      <c r="T5467" t="s">
        <v>42899</v>
      </c>
      <c r="U5467" t="s">
        <v>47725</v>
      </c>
      <c r="W5467" t="s">
        <v>39481</v>
      </c>
      <c r="X5467" t="s">
        <v>41256</v>
      </c>
    </row>
    <row r="5468" spans="1:24">
      <c r="A5468">
        <f>HYPERLINK("https://www.philgeps.gov.ph/GEPSNONPILOT/Tender/SplashBidNoticeAbstractUI.aspx?menuIndex=3&amp;refID=7073013&amp;Result=3","7073013")</f>
        <v>0</v>
      </c>
      <c r="B5468" t="s">
        <v>220</v>
      </c>
      <c r="C5468" t="s">
        <v>8598</v>
      </c>
      <c r="D5468" t="s">
        <v>16627</v>
      </c>
      <c r="E5468" t="s">
        <v>21575</v>
      </c>
      <c r="F5468" t="s">
        <v>28669</v>
      </c>
      <c r="G5468" t="s">
        <v>28676</v>
      </c>
      <c r="H5468" t="s">
        <v>9998</v>
      </c>
      <c r="I5468" t="s">
        <v>28717</v>
      </c>
      <c r="J5468" t="s">
        <v>30429</v>
      </c>
      <c r="K5468" t="s">
        <v>37210</v>
      </c>
      <c r="M5468" t="s">
        <v>37698</v>
      </c>
      <c r="N5468" t="s">
        <v>41249</v>
      </c>
      <c r="O5468" t="s">
        <v>41250</v>
      </c>
      <c r="P5468">
        <v>0</v>
      </c>
      <c r="Q5468">
        <v>1</v>
      </c>
      <c r="R5468" t="s">
        <v>41254</v>
      </c>
      <c r="S5468" t="s">
        <v>41425</v>
      </c>
      <c r="T5468" t="s">
        <v>43002</v>
      </c>
      <c r="U5468" t="s">
        <v>47726</v>
      </c>
      <c r="W5468" t="s">
        <v>37698</v>
      </c>
      <c r="X5468" t="s">
        <v>41255</v>
      </c>
    </row>
    <row r="5469" spans="1:24">
      <c r="A5469">
        <f>HYPERLINK("https://www.philgeps.gov.ph/GEPSNONPILOT/Tender/SplashBidNoticeAbstractUI.aspx?menuIndex=3&amp;refID=7073037&amp;Result=3","7073037")</f>
        <v>0</v>
      </c>
      <c r="B5469" t="s">
        <v>1212</v>
      </c>
      <c r="C5469" t="s">
        <v>8599</v>
      </c>
      <c r="D5469" t="s">
        <v>16678</v>
      </c>
      <c r="E5469" t="s">
        <v>21576</v>
      </c>
      <c r="F5469" t="s">
        <v>28669</v>
      </c>
      <c r="G5469" t="s">
        <v>28677</v>
      </c>
      <c r="H5469" t="s">
        <v>9998</v>
      </c>
      <c r="I5469" t="s">
        <v>28704</v>
      </c>
      <c r="J5469" t="s">
        <v>29183</v>
      </c>
      <c r="K5469" t="s">
        <v>37209</v>
      </c>
      <c r="M5469" t="s">
        <v>39476</v>
      </c>
      <c r="N5469" t="s">
        <v>41249</v>
      </c>
      <c r="O5469" t="s">
        <v>41250</v>
      </c>
      <c r="P5469">
        <v>0</v>
      </c>
      <c r="Q5469">
        <v>2</v>
      </c>
      <c r="R5469" t="s">
        <v>41254</v>
      </c>
      <c r="S5469" t="s">
        <v>41425</v>
      </c>
      <c r="T5469" t="s">
        <v>42665</v>
      </c>
      <c r="U5469" t="s">
        <v>47707</v>
      </c>
      <c r="W5469" t="s">
        <v>39476</v>
      </c>
      <c r="X5469" t="s">
        <v>41255</v>
      </c>
    </row>
    <row r="5470" spans="1:24">
      <c r="A5470">
        <f>HYPERLINK("https://www.philgeps.gov.ph/GEPSNONPILOT/Tender/SplashBidNoticeAbstractUI.aspx?menuIndex=3&amp;refID=7073059&amp;Result=3","7073059")</f>
        <v>0</v>
      </c>
      <c r="B5470" t="s">
        <v>1862</v>
      </c>
      <c r="C5470" t="s">
        <v>3696</v>
      </c>
      <c r="D5470" t="s">
        <v>16668</v>
      </c>
      <c r="E5470" t="s">
        <v>16807</v>
      </c>
      <c r="F5470" t="s">
        <v>28669</v>
      </c>
      <c r="G5470" t="s">
        <v>28675</v>
      </c>
      <c r="H5470" t="s">
        <v>28686</v>
      </c>
      <c r="I5470" t="s">
        <v>7352</v>
      </c>
      <c r="J5470" t="s">
        <v>32305</v>
      </c>
      <c r="K5470" t="s">
        <v>37204</v>
      </c>
      <c r="M5470" t="s">
        <v>39482</v>
      </c>
      <c r="N5470" t="s">
        <v>41249</v>
      </c>
      <c r="O5470" t="s">
        <v>41250</v>
      </c>
      <c r="P5470">
        <v>0</v>
      </c>
      <c r="Q5470">
        <v>0</v>
      </c>
      <c r="R5470" t="s">
        <v>41254</v>
      </c>
      <c r="S5470" t="s">
        <v>41425</v>
      </c>
      <c r="T5470" t="s">
        <v>42660</v>
      </c>
      <c r="U5470" t="s">
        <v>47727</v>
      </c>
      <c r="W5470" t="s">
        <v>39482</v>
      </c>
      <c r="X5470" t="s">
        <v>41255</v>
      </c>
    </row>
    <row r="5471" spans="1:24">
      <c r="A5471">
        <f>HYPERLINK("https://www.philgeps.gov.ph/GEPSNONPILOT/Tender/SplashBidNoticeAbstractUI.aspx?menuIndex=3&amp;refID=7073029&amp;Result=3","7073029")</f>
        <v>0</v>
      </c>
      <c r="B5471" t="s">
        <v>1854</v>
      </c>
      <c r="C5471" t="s">
        <v>8600</v>
      </c>
      <c r="D5471" t="s">
        <v>16608</v>
      </c>
      <c r="E5471" t="s">
        <v>16855</v>
      </c>
      <c r="F5471" t="s">
        <v>28669</v>
      </c>
      <c r="G5471" t="s">
        <v>28675</v>
      </c>
      <c r="H5471" t="s">
        <v>9998</v>
      </c>
      <c r="I5471" t="s">
        <v>28688</v>
      </c>
      <c r="J5471" t="s">
        <v>29594</v>
      </c>
      <c r="K5471" t="s">
        <v>37205</v>
      </c>
      <c r="M5471" t="s">
        <v>39473</v>
      </c>
      <c r="N5471" t="s">
        <v>41249</v>
      </c>
      <c r="O5471" t="s">
        <v>41250</v>
      </c>
      <c r="P5471">
        <v>0</v>
      </c>
      <c r="Q5471">
        <v>3</v>
      </c>
      <c r="R5471" t="s">
        <v>41254</v>
      </c>
      <c r="S5471" t="s">
        <v>41425</v>
      </c>
      <c r="T5471" t="s">
        <v>42809</v>
      </c>
      <c r="U5471" t="s">
        <v>47728</v>
      </c>
      <c r="V5471" t="s">
        <v>54862</v>
      </c>
      <c r="W5471" t="s">
        <v>39473</v>
      </c>
      <c r="X5471" t="s">
        <v>41255</v>
      </c>
    </row>
    <row r="5472" spans="1:24">
      <c r="A5472">
        <f>HYPERLINK("https://www.philgeps.gov.ph/GEPSNONPILOT/Tender/SplashBidNoticeAbstractUI.aspx?menuIndex=3&amp;refID=7073055&amp;Result=3","7073055")</f>
        <v>0</v>
      </c>
      <c r="B5472" t="s">
        <v>1863</v>
      </c>
      <c r="C5472" t="s">
        <v>8601</v>
      </c>
      <c r="D5472" t="s">
        <v>16618</v>
      </c>
      <c r="E5472" t="s">
        <v>16855</v>
      </c>
      <c r="F5472" t="s">
        <v>28669</v>
      </c>
      <c r="G5472" t="s">
        <v>28675</v>
      </c>
      <c r="H5472" t="s">
        <v>28686</v>
      </c>
      <c r="I5472" t="s">
        <v>28689</v>
      </c>
      <c r="J5472" t="s">
        <v>28905</v>
      </c>
      <c r="K5472" t="s">
        <v>37227</v>
      </c>
      <c r="M5472" t="s">
        <v>39483</v>
      </c>
      <c r="N5472" t="s">
        <v>41249</v>
      </c>
      <c r="O5472" t="s">
        <v>41250</v>
      </c>
      <c r="P5472">
        <v>0</v>
      </c>
      <c r="Q5472">
        <v>0</v>
      </c>
      <c r="R5472" t="s">
        <v>41254</v>
      </c>
      <c r="S5472" t="s">
        <v>41425</v>
      </c>
      <c r="T5472" t="s">
        <v>42738</v>
      </c>
      <c r="U5472" t="s">
        <v>47729</v>
      </c>
      <c r="W5472" t="s">
        <v>39483</v>
      </c>
      <c r="X5472" t="s">
        <v>41255</v>
      </c>
    </row>
    <row r="5473" spans="1:24">
      <c r="A5473">
        <f>HYPERLINK("https://www.philgeps.gov.ph/GEPSNONPILOT/Tender/SplashBidNoticeAbstractUI.aspx?menuIndex=3&amp;refID=7073053&amp;Result=3","7073053")</f>
        <v>0</v>
      </c>
      <c r="B5473" t="s">
        <v>1863</v>
      </c>
      <c r="C5473" t="s">
        <v>8602</v>
      </c>
      <c r="D5473" t="s">
        <v>16618</v>
      </c>
      <c r="E5473" t="s">
        <v>16799</v>
      </c>
      <c r="F5473" t="s">
        <v>28669</v>
      </c>
      <c r="G5473" t="s">
        <v>28675</v>
      </c>
      <c r="H5473" t="s">
        <v>28686</v>
      </c>
      <c r="I5473" t="s">
        <v>28689</v>
      </c>
      <c r="J5473" t="s">
        <v>28905</v>
      </c>
      <c r="K5473" t="s">
        <v>37227</v>
      </c>
      <c r="M5473" t="s">
        <v>39483</v>
      </c>
      <c r="N5473" t="s">
        <v>41249</v>
      </c>
      <c r="O5473" t="s">
        <v>41250</v>
      </c>
      <c r="P5473">
        <v>0</v>
      </c>
      <c r="Q5473">
        <v>0</v>
      </c>
      <c r="R5473" t="s">
        <v>41254</v>
      </c>
      <c r="S5473" t="s">
        <v>41425</v>
      </c>
      <c r="T5473" t="s">
        <v>42738</v>
      </c>
      <c r="U5473" t="s">
        <v>47729</v>
      </c>
      <c r="W5473" t="s">
        <v>39483</v>
      </c>
      <c r="X5473" t="s">
        <v>41255</v>
      </c>
    </row>
    <row r="5474" spans="1:24">
      <c r="A5474">
        <f>HYPERLINK("https://www.philgeps.gov.ph/GEPSNONPILOT/Tender/SplashBidNoticeAbstractUI.aspx?menuIndex=3&amp;refID=7073012&amp;Result=3","7073012")</f>
        <v>0</v>
      </c>
      <c r="B5474" t="s">
        <v>1777</v>
      </c>
      <c r="C5474" t="s">
        <v>8603</v>
      </c>
      <c r="D5474" t="s">
        <v>16608</v>
      </c>
      <c r="E5474" t="s">
        <v>21577</v>
      </c>
      <c r="F5474" t="s">
        <v>28669</v>
      </c>
      <c r="G5474" t="s">
        <v>28676</v>
      </c>
      <c r="H5474" t="s">
        <v>9998</v>
      </c>
      <c r="I5474" t="s">
        <v>3679</v>
      </c>
      <c r="J5474" t="s">
        <v>28854</v>
      </c>
      <c r="K5474" t="s">
        <v>37227</v>
      </c>
      <c r="M5474" t="s">
        <v>39380</v>
      </c>
      <c r="N5474" t="s">
        <v>41249</v>
      </c>
      <c r="O5474" t="s">
        <v>41250</v>
      </c>
      <c r="P5474">
        <v>0</v>
      </c>
      <c r="Q5474">
        <v>2</v>
      </c>
      <c r="R5474" t="s">
        <v>41254</v>
      </c>
      <c r="S5474" t="s">
        <v>41425</v>
      </c>
      <c r="T5474" t="s">
        <v>42743</v>
      </c>
      <c r="U5474" t="s">
        <v>47730</v>
      </c>
      <c r="W5474" t="s">
        <v>39380</v>
      </c>
      <c r="X5474" t="s">
        <v>41255</v>
      </c>
    </row>
    <row r="5475" spans="1:24">
      <c r="A5475">
        <f>HYPERLINK("https://www.philgeps.gov.ph/GEPSNONPILOT/Tender/SplashBidNoticeAbstractUI.aspx?menuIndex=3&amp;refID=7073050&amp;Result=3","7073050")</f>
        <v>0</v>
      </c>
      <c r="B5475" t="s">
        <v>1864</v>
      </c>
      <c r="C5475" t="s">
        <v>8604</v>
      </c>
      <c r="D5475" t="s">
        <v>16643</v>
      </c>
      <c r="E5475" t="s">
        <v>21578</v>
      </c>
      <c r="F5475" t="s">
        <v>28669</v>
      </c>
      <c r="G5475" t="s">
        <v>28682</v>
      </c>
      <c r="H5475" t="s">
        <v>9998</v>
      </c>
      <c r="I5475" t="s">
        <v>28754</v>
      </c>
      <c r="J5475" t="s">
        <v>32306</v>
      </c>
      <c r="K5475" t="s">
        <v>37206</v>
      </c>
      <c r="M5475" t="s">
        <v>39484</v>
      </c>
      <c r="N5475" t="s">
        <v>41249</v>
      </c>
      <c r="O5475" t="s">
        <v>41250</v>
      </c>
      <c r="P5475">
        <v>0</v>
      </c>
      <c r="Q5475">
        <v>1</v>
      </c>
      <c r="R5475" t="s">
        <v>41254</v>
      </c>
      <c r="S5475" t="s">
        <v>41425</v>
      </c>
      <c r="T5475" t="s">
        <v>42709</v>
      </c>
      <c r="U5475" t="s">
        <v>47731</v>
      </c>
      <c r="W5475" t="s">
        <v>39484</v>
      </c>
      <c r="X5475" t="s">
        <v>41255</v>
      </c>
    </row>
    <row r="5476" spans="1:24">
      <c r="A5476">
        <f>HYPERLINK("https://www.philgeps.gov.ph/GEPSNONPILOT/Tender/SplashBidNoticeAbstractUI.aspx?menuIndex=3&amp;refID=7073058&amp;Result=3","7073058")</f>
        <v>0</v>
      </c>
      <c r="B5476" t="s">
        <v>842</v>
      </c>
      <c r="C5476" t="s">
        <v>8605</v>
      </c>
      <c r="D5476" t="s">
        <v>16658</v>
      </c>
      <c r="E5476" t="s">
        <v>21579</v>
      </c>
      <c r="F5476" t="s">
        <v>28669</v>
      </c>
      <c r="G5476" t="s">
        <v>28675</v>
      </c>
      <c r="H5476" t="s">
        <v>28686</v>
      </c>
      <c r="I5476" t="s">
        <v>28689</v>
      </c>
      <c r="J5476" t="s">
        <v>31665</v>
      </c>
      <c r="K5476" t="s">
        <v>37263</v>
      </c>
      <c r="M5476" t="s">
        <v>39485</v>
      </c>
      <c r="N5476" t="s">
        <v>41249</v>
      </c>
      <c r="O5476" t="s">
        <v>41250</v>
      </c>
      <c r="P5476">
        <v>0</v>
      </c>
      <c r="Q5476">
        <v>2</v>
      </c>
      <c r="R5476" t="s">
        <v>41254</v>
      </c>
      <c r="S5476" t="s">
        <v>41425</v>
      </c>
      <c r="T5476" t="s">
        <v>42911</v>
      </c>
      <c r="U5476" t="s">
        <v>47732</v>
      </c>
      <c r="W5476" t="s">
        <v>39485</v>
      </c>
      <c r="X5476" t="s">
        <v>41255</v>
      </c>
    </row>
    <row r="5477" spans="1:24">
      <c r="A5477">
        <f>HYPERLINK("https://www.philgeps.gov.ph/GEPSNONPILOT/Tender/SplashBidNoticeAbstractUI.aspx?menuIndex=3&amp;refID=7073056&amp;Result=3","7073056")</f>
        <v>0</v>
      </c>
      <c r="B5477" t="s">
        <v>630</v>
      </c>
      <c r="C5477" t="s">
        <v>8606</v>
      </c>
      <c r="D5477" t="s">
        <v>16608</v>
      </c>
      <c r="E5477" t="s">
        <v>21580</v>
      </c>
      <c r="F5477" t="s">
        <v>28669</v>
      </c>
      <c r="G5477" t="s">
        <v>28676</v>
      </c>
      <c r="H5477" t="s">
        <v>9998</v>
      </c>
      <c r="I5477" t="s">
        <v>11593</v>
      </c>
      <c r="J5477" t="s">
        <v>30685</v>
      </c>
      <c r="K5477" t="s">
        <v>37210</v>
      </c>
      <c r="M5477" t="s">
        <v>39486</v>
      </c>
      <c r="N5477" t="s">
        <v>41249</v>
      </c>
      <c r="O5477" t="s">
        <v>41250</v>
      </c>
      <c r="P5477">
        <v>0</v>
      </c>
      <c r="Q5477">
        <v>5</v>
      </c>
      <c r="R5477" t="s">
        <v>41254</v>
      </c>
      <c r="S5477" t="s">
        <v>41425</v>
      </c>
      <c r="T5477" t="s">
        <v>42989</v>
      </c>
      <c r="U5477" t="s">
        <v>47733</v>
      </c>
      <c r="V5477" t="s">
        <v>54864</v>
      </c>
      <c r="W5477" t="s">
        <v>39486</v>
      </c>
      <c r="X5477" t="s">
        <v>41255</v>
      </c>
    </row>
    <row r="5478" spans="1:24">
      <c r="A5478">
        <f>HYPERLINK("https://www.philgeps.gov.ph/GEPSNONPILOT/Tender/SplashBidNoticeAbstractUI.aspx?menuIndex=3&amp;refID=7073049&amp;Result=3","7073049")</f>
        <v>0</v>
      </c>
      <c r="B5478" t="s">
        <v>1865</v>
      </c>
      <c r="C5478" t="s">
        <v>8607</v>
      </c>
      <c r="D5478" t="s">
        <v>16618</v>
      </c>
      <c r="E5478" t="s">
        <v>19594</v>
      </c>
      <c r="F5478" t="s">
        <v>28669</v>
      </c>
      <c r="G5478" t="s">
        <v>28675</v>
      </c>
      <c r="H5478" t="s">
        <v>28686</v>
      </c>
      <c r="I5478" t="s">
        <v>28696</v>
      </c>
      <c r="J5478" t="s">
        <v>32307</v>
      </c>
      <c r="K5478" t="s">
        <v>37227</v>
      </c>
      <c r="M5478" t="s">
        <v>39487</v>
      </c>
      <c r="N5478" t="s">
        <v>41249</v>
      </c>
      <c r="O5478" t="s">
        <v>41250</v>
      </c>
      <c r="P5478">
        <v>0</v>
      </c>
      <c r="Q5478">
        <v>0</v>
      </c>
      <c r="R5478" t="s">
        <v>41254</v>
      </c>
      <c r="S5478" t="s">
        <v>41425</v>
      </c>
      <c r="T5478" t="s">
        <v>42738</v>
      </c>
      <c r="U5478" t="s">
        <v>47734</v>
      </c>
      <c r="W5478" t="s">
        <v>39487</v>
      </c>
      <c r="X5478" t="s">
        <v>41255</v>
      </c>
    </row>
    <row r="5479" spans="1:24">
      <c r="A5479">
        <f>HYPERLINK("https://www.philgeps.gov.ph/GEPSNONPILOT/Tender/SplashBidNoticeAbstractUI.aspx?menuIndex=3&amp;refID=7073054&amp;Result=3","7073054")</f>
        <v>0</v>
      </c>
      <c r="B5479" t="s">
        <v>842</v>
      </c>
      <c r="C5479" t="s">
        <v>8608</v>
      </c>
      <c r="D5479" t="s">
        <v>16658</v>
      </c>
      <c r="E5479" t="s">
        <v>21581</v>
      </c>
      <c r="F5479" t="s">
        <v>28669</v>
      </c>
      <c r="G5479" t="s">
        <v>28675</v>
      </c>
      <c r="H5479" t="s">
        <v>28686</v>
      </c>
      <c r="I5479" t="s">
        <v>28689</v>
      </c>
      <c r="J5479" t="s">
        <v>32308</v>
      </c>
      <c r="K5479" t="s">
        <v>37213</v>
      </c>
      <c r="M5479" t="s">
        <v>39485</v>
      </c>
      <c r="N5479" t="s">
        <v>41249</v>
      </c>
      <c r="O5479" t="s">
        <v>41250</v>
      </c>
      <c r="P5479">
        <v>0</v>
      </c>
      <c r="Q5479">
        <v>2</v>
      </c>
      <c r="R5479" t="s">
        <v>41254</v>
      </c>
      <c r="S5479" t="s">
        <v>41425</v>
      </c>
      <c r="T5479" t="s">
        <v>42911</v>
      </c>
      <c r="U5479" t="s">
        <v>47732</v>
      </c>
      <c r="W5479" t="s">
        <v>39485</v>
      </c>
      <c r="X5479" t="s">
        <v>41255</v>
      </c>
    </row>
    <row r="5480" spans="1:24">
      <c r="A5480">
        <f>HYPERLINK("https://www.philgeps.gov.ph/GEPSNONPILOT/Tender/SplashBidNoticeAbstractUI.aspx?menuIndex=3&amp;refID=7073045&amp;Result=3","7073045")</f>
        <v>0</v>
      </c>
      <c r="B5480" t="s">
        <v>1866</v>
      </c>
      <c r="C5480" t="s">
        <v>8609</v>
      </c>
      <c r="D5480" t="s">
        <v>16608</v>
      </c>
      <c r="E5480" t="s">
        <v>21582</v>
      </c>
      <c r="F5480" t="s">
        <v>28669</v>
      </c>
      <c r="G5480" t="s">
        <v>28676</v>
      </c>
      <c r="H5480" t="s">
        <v>9998</v>
      </c>
      <c r="I5480" t="s">
        <v>28709</v>
      </c>
      <c r="J5480" t="s">
        <v>29538</v>
      </c>
      <c r="K5480" t="s">
        <v>37206</v>
      </c>
      <c r="M5480" t="s">
        <v>39488</v>
      </c>
      <c r="N5480" t="s">
        <v>41249</v>
      </c>
      <c r="O5480" t="s">
        <v>41250</v>
      </c>
      <c r="P5480">
        <v>0</v>
      </c>
      <c r="Q5480">
        <v>5</v>
      </c>
      <c r="R5480" t="s">
        <v>41254</v>
      </c>
      <c r="S5480" t="s">
        <v>41425</v>
      </c>
      <c r="T5480" t="s">
        <v>42728</v>
      </c>
      <c r="U5480" t="s">
        <v>47735</v>
      </c>
      <c r="W5480" t="s">
        <v>55973</v>
      </c>
      <c r="X5480" t="s">
        <v>41255</v>
      </c>
    </row>
    <row r="5481" spans="1:24">
      <c r="A5481">
        <f>HYPERLINK("https://www.philgeps.gov.ph/GEPSNONPILOT/Tender/SplashBidNoticeAbstractUI.aspx?menuIndex=3&amp;refID=7073021&amp;Result=3","7073021")</f>
        <v>0</v>
      </c>
      <c r="B5481" t="s">
        <v>1777</v>
      </c>
      <c r="C5481" t="s">
        <v>8610</v>
      </c>
      <c r="D5481" t="s">
        <v>16608</v>
      </c>
      <c r="E5481" t="s">
        <v>21583</v>
      </c>
      <c r="F5481" t="s">
        <v>28669</v>
      </c>
      <c r="G5481" t="s">
        <v>28678</v>
      </c>
      <c r="H5481" t="s">
        <v>9998</v>
      </c>
      <c r="I5481" t="s">
        <v>28688</v>
      </c>
      <c r="J5481" t="s">
        <v>32309</v>
      </c>
      <c r="K5481" t="s">
        <v>37210</v>
      </c>
      <c r="M5481" t="s">
        <v>39380</v>
      </c>
      <c r="N5481" t="s">
        <v>41249</v>
      </c>
      <c r="O5481" t="s">
        <v>41250</v>
      </c>
      <c r="P5481">
        <v>0</v>
      </c>
      <c r="Q5481">
        <v>14</v>
      </c>
      <c r="R5481" t="s">
        <v>41254</v>
      </c>
      <c r="S5481" t="s">
        <v>41425</v>
      </c>
      <c r="T5481" t="s">
        <v>42743</v>
      </c>
      <c r="U5481" t="s">
        <v>47736</v>
      </c>
      <c r="W5481" t="s">
        <v>39380</v>
      </c>
      <c r="X5481" t="s">
        <v>41255</v>
      </c>
    </row>
    <row r="5482" spans="1:24">
      <c r="A5482">
        <f>HYPERLINK("https://www.philgeps.gov.ph/GEPSNONPILOT/Tender/SplashBidNoticeAbstractUI.aspx?menuIndex=3&amp;refID=7073044&amp;Result=3","7073044")</f>
        <v>0</v>
      </c>
      <c r="B5482" t="s">
        <v>1857</v>
      </c>
      <c r="C5482" t="s">
        <v>8611</v>
      </c>
      <c r="D5482" t="s">
        <v>16668</v>
      </c>
      <c r="E5482" t="s">
        <v>16807</v>
      </c>
      <c r="F5482" t="s">
        <v>28669</v>
      </c>
      <c r="G5482" t="s">
        <v>28675</v>
      </c>
      <c r="H5482" t="s">
        <v>9998</v>
      </c>
      <c r="I5482" t="s">
        <v>28706</v>
      </c>
      <c r="J5482" t="s">
        <v>28912</v>
      </c>
      <c r="K5482" t="s">
        <v>37204</v>
      </c>
      <c r="M5482" t="s">
        <v>39477</v>
      </c>
      <c r="N5482" t="s">
        <v>41249</v>
      </c>
      <c r="O5482" t="s">
        <v>41250</v>
      </c>
      <c r="P5482">
        <v>0</v>
      </c>
      <c r="Q5482">
        <v>1</v>
      </c>
      <c r="R5482" t="s">
        <v>41254</v>
      </c>
      <c r="S5482" t="s">
        <v>41425</v>
      </c>
      <c r="T5482" t="s">
        <v>43005</v>
      </c>
      <c r="U5482" t="s">
        <v>47737</v>
      </c>
      <c r="W5482" t="s">
        <v>39477</v>
      </c>
      <c r="X5482" t="s">
        <v>41255</v>
      </c>
    </row>
    <row r="5483" spans="1:24">
      <c r="A5483">
        <f>HYPERLINK("https://www.philgeps.gov.ph/GEPSNONPILOT/Tender/SplashBidNoticeAbstractUI.aspx?menuIndex=3&amp;refID=7073075&amp;Result=3","7073075")</f>
        <v>0</v>
      </c>
      <c r="B5483" t="s">
        <v>909</v>
      </c>
      <c r="C5483" t="s">
        <v>8612</v>
      </c>
      <c r="D5483" t="s">
        <v>16662</v>
      </c>
      <c r="E5483" t="s">
        <v>21584</v>
      </c>
      <c r="F5483" t="s">
        <v>28669</v>
      </c>
      <c r="G5483" t="s">
        <v>28676</v>
      </c>
      <c r="H5483" t="s">
        <v>9998</v>
      </c>
      <c r="I5483" t="s">
        <v>5213</v>
      </c>
      <c r="J5483" t="s">
        <v>32310</v>
      </c>
      <c r="K5483" t="s">
        <v>37227</v>
      </c>
      <c r="M5483" t="s">
        <v>38431</v>
      </c>
      <c r="N5483" t="s">
        <v>41249</v>
      </c>
      <c r="O5483" t="s">
        <v>41250</v>
      </c>
      <c r="P5483">
        <v>0</v>
      </c>
      <c r="Q5483">
        <v>0</v>
      </c>
      <c r="R5483" t="s">
        <v>41254</v>
      </c>
      <c r="S5483" t="s">
        <v>41425</v>
      </c>
      <c r="T5483" t="s">
        <v>42736</v>
      </c>
      <c r="U5483" t="s">
        <v>47738</v>
      </c>
      <c r="W5483" t="s">
        <v>38431</v>
      </c>
      <c r="X5483" t="s">
        <v>41255</v>
      </c>
    </row>
    <row r="5484" spans="1:24">
      <c r="A5484">
        <f>HYPERLINK("https://www.philgeps.gov.ph/GEPSNONPILOT/Tender/SplashBidNoticeAbstractUI.aspx?menuIndex=3&amp;refID=7073080&amp;Result=3","7073080")</f>
        <v>0</v>
      </c>
      <c r="B5484" t="s">
        <v>909</v>
      </c>
      <c r="C5484" t="s">
        <v>8613</v>
      </c>
      <c r="D5484" t="s">
        <v>16662</v>
      </c>
      <c r="E5484" t="s">
        <v>21585</v>
      </c>
      <c r="F5484" t="s">
        <v>28669</v>
      </c>
      <c r="G5484" t="s">
        <v>28676</v>
      </c>
      <c r="H5484" t="s">
        <v>9998</v>
      </c>
      <c r="I5484" t="s">
        <v>28696</v>
      </c>
      <c r="J5484" t="s">
        <v>32311</v>
      </c>
      <c r="K5484" t="s">
        <v>37227</v>
      </c>
      <c r="M5484" t="s">
        <v>38431</v>
      </c>
      <c r="N5484" t="s">
        <v>41249</v>
      </c>
      <c r="O5484" t="s">
        <v>41250</v>
      </c>
      <c r="P5484">
        <v>0</v>
      </c>
      <c r="Q5484">
        <v>1</v>
      </c>
      <c r="R5484" t="s">
        <v>41254</v>
      </c>
      <c r="S5484" t="s">
        <v>41425</v>
      </c>
      <c r="T5484" t="s">
        <v>42736</v>
      </c>
      <c r="U5484" t="s">
        <v>47739</v>
      </c>
      <c r="W5484" t="s">
        <v>38431</v>
      </c>
      <c r="X5484" t="s">
        <v>41255</v>
      </c>
    </row>
    <row r="5485" spans="1:24">
      <c r="A5485">
        <f>HYPERLINK("https://www.philgeps.gov.ph/GEPSNONPILOT/Tender/SplashBidNoticeAbstractUI.aspx?menuIndex=3&amp;refID=7073079&amp;Result=3","7073079")</f>
        <v>0</v>
      </c>
      <c r="B5485" t="s">
        <v>1153</v>
      </c>
      <c r="C5485" t="s">
        <v>8614</v>
      </c>
      <c r="D5485" t="s">
        <v>16654</v>
      </c>
      <c r="E5485" t="s">
        <v>21182</v>
      </c>
      <c r="F5485" t="s">
        <v>28669</v>
      </c>
      <c r="G5485" t="s">
        <v>28676</v>
      </c>
      <c r="H5485" t="s">
        <v>9998</v>
      </c>
      <c r="I5485" t="s">
        <v>28722</v>
      </c>
      <c r="J5485" t="s">
        <v>31071</v>
      </c>
      <c r="K5485" t="s">
        <v>37209</v>
      </c>
      <c r="M5485" t="s">
        <v>38690</v>
      </c>
      <c r="N5485" t="s">
        <v>41249</v>
      </c>
      <c r="O5485" t="s">
        <v>41250</v>
      </c>
      <c r="P5485">
        <v>0</v>
      </c>
      <c r="Q5485">
        <v>1</v>
      </c>
      <c r="R5485" t="s">
        <v>41254</v>
      </c>
      <c r="S5485" t="s">
        <v>41425</v>
      </c>
      <c r="T5485" t="s">
        <v>42758</v>
      </c>
      <c r="U5485" t="s">
        <v>47740</v>
      </c>
      <c r="W5485" t="s">
        <v>38690</v>
      </c>
      <c r="X5485" t="s">
        <v>41255</v>
      </c>
    </row>
    <row r="5486" spans="1:24">
      <c r="A5486">
        <f>HYPERLINK("https://www.philgeps.gov.ph/GEPSNONPILOT/Tender/SplashBidNoticeAbstractUI.aspx?menuIndex=3&amp;refID=7073047&amp;Result=3","7073047")</f>
        <v>0</v>
      </c>
      <c r="B5486" t="s">
        <v>1867</v>
      </c>
      <c r="C5486" t="s">
        <v>8615</v>
      </c>
      <c r="D5486" t="s">
        <v>16608</v>
      </c>
      <c r="E5486" t="s">
        <v>21586</v>
      </c>
      <c r="F5486" t="s">
        <v>28669</v>
      </c>
      <c r="G5486" t="s">
        <v>28675</v>
      </c>
      <c r="H5486" t="s">
        <v>9998</v>
      </c>
      <c r="I5486" t="s">
        <v>28733</v>
      </c>
      <c r="J5486" t="s">
        <v>32312</v>
      </c>
      <c r="K5486" t="s">
        <v>37210</v>
      </c>
      <c r="M5486" t="s">
        <v>39489</v>
      </c>
      <c r="N5486" t="s">
        <v>41249</v>
      </c>
      <c r="O5486" t="s">
        <v>41250</v>
      </c>
      <c r="P5486">
        <v>0</v>
      </c>
      <c r="Q5486">
        <v>7</v>
      </c>
      <c r="R5486" t="s">
        <v>41254</v>
      </c>
      <c r="S5486" t="s">
        <v>41425</v>
      </c>
      <c r="T5486" t="s">
        <v>42673</v>
      </c>
      <c r="U5486" t="s">
        <v>47741</v>
      </c>
      <c r="W5486" t="s">
        <v>39489</v>
      </c>
      <c r="X5486" t="s">
        <v>41255</v>
      </c>
    </row>
    <row r="5487" spans="1:24">
      <c r="A5487">
        <f>HYPERLINK("https://www.philgeps.gov.ph/GEPSNONPILOT/Tender/SplashBidNoticeAbstractUI.aspx?menuIndex=3&amp;refID=7073078&amp;Result=3","7073078")</f>
        <v>0</v>
      </c>
      <c r="B5487" t="s">
        <v>1868</v>
      </c>
      <c r="C5487" t="s">
        <v>8616</v>
      </c>
      <c r="D5487" t="s">
        <v>16621</v>
      </c>
      <c r="E5487" t="s">
        <v>21587</v>
      </c>
      <c r="F5487" t="s">
        <v>28669</v>
      </c>
      <c r="G5487" t="s">
        <v>28676</v>
      </c>
      <c r="H5487" t="s">
        <v>9998</v>
      </c>
      <c r="I5487" t="s">
        <v>3718</v>
      </c>
      <c r="J5487" t="s">
        <v>29034</v>
      </c>
      <c r="K5487" t="s">
        <v>37205</v>
      </c>
      <c r="M5487" t="s">
        <v>39490</v>
      </c>
      <c r="N5487" t="s">
        <v>41249</v>
      </c>
      <c r="O5487" t="s">
        <v>41250</v>
      </c>
      <c r="P5487">
        <v>0</v>
      </c>
      <c r="Q5487">
        <v>1</v>
      </c>
      <c r="R5487" t="s">
        <v>41254</v>
      </c>
      <c r="S5487" t="s">
        <v>41425</v>
      </c>
      <c r="T5487" t="s">
        <v>42711</v>
      </c>
      <c r="U5487" t="s">
        <v>47742</v>
      </c>
      <c r="W5487" t="s">
        <v>39490</v>
      </c>
      <c r="X5487" t="s">
        <v>41255</v>
      </c>
    </row>
    <row r="5488" spans="1:24">
      <c r="A5488">
        <f>HYPERLINK("https://www.philgeps.gov.ph/GEPSNONPILOT/Tender/SplashBidNoticeAbstractUI.aspx?menuIndex=3&amp;refID=7073077&amp;Result=3","7073077")</f>
        <v>0</v>
      </c>
      <c r="B5488" t="s">
        <v>909</v>
      </c>
      <c r="C5488" t="s">
        <v>8617</v>
      </c>
      <c r="D5488" t="s">
        <v>16662</v>
      </c>
      <c r="E5488" t="s">
        <v>21588</v>
      </c>
      <c r="F5488" t="s">
        <v>28669</v>
      </c>
      <c r="G5488" t="s">
        <v>28676</v>
      </c>
      <c r="H5488" t="s">
        <v>9998</v>
      </c>
      <c r="I5488" t="s">
        <v>28722</v>
      </c>
      <c r="J5488" t="s">
        <v>29263</v>
      </c>
      <c r="K5488" t="s">
        <v>37227</v>
      </c>
      <c r="M5488" t="s">
        <v>38431</v>
      </c>
      <c r="N5488" t="s">
        <v>41249</v>
      </c>
      <c r="O5488" t="s">
        <v>41250</v>
      </c>
      <c r="P5488">
        <v>0</v>
      </c>
      <c r="Q5488">
        <v>1</v>
      </c>
      <c r="R5488" t="s">
        <v>41254</v>
      </c>
      <c r="S5488" t="s">
        <v>41425</v>
      </c>
      <c r="T5488" t="s">
        <v>42736</v>
      </c>
      <c r="U5488" t="s">
        <v>47743</v>
      </c>
      <c r="W5488" t="s">
        <v>38431</v>
      </c>
      <c r="X5488" t="s">
        <v>41255</v>
      </c>
    </row>
    <row r="5489" spans="1:24">
      <c r="A5489">
        <f>HYPERLINK("https://www.philgeps.gov.ph/GEPSNONPILOT/Tender/SplashBidNoticeAbstractUI.aspx?menuIndex=3&amp;refID=7073076&amp;Result=3","7073076")</f>
        <v>0</v>
      </c>
      <c r="B5489" t="s">
        <v>909</v>
      </c>
      <c r="C5489" t="s">
        <v>8618</v>
      </c>
      <c r="D5489" t="s">
        <v>16662</v>
      </c>
      <c r="E5489" t="s">
        <v>21589</v>
      </c>
      <c r="F5489" t="s">
        <v>28669</v>
      </c>
      <c r="G5489" t="s">
        <v>28678</v>
      </c>
      <c r="H5489" t="s">
        <v>9998</v>
      </c>
      <c r="I5489" t="s">
        <v>5213</v>
      </c>
      <c r="J5489" t="s">
        <v>32313</v>
      </c>
      <c r="K5489" t="s">
        <v>37227</v>
      </c>
      <c r="M5489" t="s">
        <v>38431</v>
      </c>
      <c r="N5489" t="s">
        <v>41249</v>
      </c>
      <c r="O5489" t="s">
        <v>41250</v>
      </c>
      <c r="P5489">
        <v>0</v>
      </c>
      <c r="Q5489">
        <v>0</v>
      </c>
      <c r="R5489" t="s">
        <v>41254</v>
      </c>
      <c r="S5489" t="s">
        <v>41425</v>
      </c>
      <c r="T5489" t="s">
        <v>42736</v>
      </c>
      <c r="U5489" t="s">
        <v>47744</v>
      </c>
      <c r="W5489" t="s">
        <v>38431</v>
      </c>
      <c r="X5489" t="s">
        <v>41255</v>
      </c>
    </row>
    <row r="5490" spans="1:24">
      <c r="A5490">
        <f>HYPERLINK("https://www.philgeps.gov.ph/GEPSNONPILOT/Tender/SplashBidNoticeAbstractUI.aspx?menuIndex=3&amp;refID=7073074&amp;Result=3","7073074")</f>
        <v>0</v>
      </c>
      <c r="B5490" t="s">
        <v>972</v>
      </c>
      <c r="C5490" t="s">
        <v>8619</v>
      </c>
      <c r="D5490" t="s">
        <v>16658</v>
      </c>
      <c r="E5490" t="s">
        <v>21590</v>
      </c>
      <c r="F5490" t="s">
        <v>28669</v>
      </c>
      <c r="G5490" t="s">
        <v>28676</v>
      </c>
      <c r="H5490" t="s">
        <v>9998</v>
      </c>
      <c r="I5490" t="s">
        <v>10128</v>
      </c>
      <c r="J5490" t="s">
        <v>32314</v>
      </c>
      <c r="K5490" t="s">
        <v>37238</v>
      </c>
      <c r="M5490" t="s">
        <v>38497</v>
      </c>
      <c r="N5490" t="s">
        <v>41249</v>
      </c>
      <c r="O5490" t="s">
        <v>41250</v>
      </c>
      <c r="P5490">
        <v>0</v>
      </c>
      <c r="Q5490">
        <v>1</v>
      </c>
      <c r="R5490" t="s">
        <v>41254</v>
      </c>
      <c r="S5490" t="s">
        <v>41425</v>
      </c>
      <c r="T5490" t="s">
        <v>43006</v>
      </c>
      <c r="U5490" t="s">
        <v>47745</v>
      </c>
      <c r="V5490" t="s">
        <v>54865</v>
      </c>
      <c r="W5490" t="s">
        <v>38497</v>
      </c>
      <c r="X5490" t="s">
        <v>41255</v>
      </c>
    </row>
    <row r="5491" spans="1:24">
      <c r="A5491">
        <f>HYPERLINK("https://www.philgeps.gov.ph/GEPSNONPILOT/Tender/SplashBidNoticeAbstractUI.aspx?menuIndex=3&amp;refID=7073051&amp;Result=3","7073051")</f>
        <v>0</v>
      </c>
      <c r="B5491" t="s">
        <v>630</v>
      </c>
      <c r="C5491" t="s">
        <v>8620</v>
      </c>
      <c r="D5491" t="s">
        <v>16608</v>
      </c>
      <c r="E5491" t="s">
        <v>21591</v>
      </c>
      <c r="F5491" t="s">
        <v>28669</v>
      </c>
      <c r="G5491" t="s">
        <v>28676</v>
      </c>
      <c r="H5491" t="s">
        <v>9998</v>
      </c>
      <c r="I5491" t="s">
        <v>28761</v>
      </c>
      <c r="J5491" t="s">
        <v>29785</v>
      </c>
      <c r="K5491" t="s">
        <v>37216</v>
      </c>
      <c r="M5491" t="s">
        <v>39486</v>
      </c>
      <c r="N5491" t="s">
        <v>41249</v>
      </c>
      <c r="O5491" t="s">
        <v>41250</v>
      </c>
      <c r="P5491">
        <v>0</v>
      </c>
      <c r="Q5491">
        <v>7</v>
      </c>
      <c r="R5491" t="s">
        <v>41254</v>
      </c>
      <c r="S5491" t="s">
        <v>41425</v>
      </c>
      <c r="T5491" t="s">
        <v>43007</v>
      </c>
      <c r="U5491" t="s">
        <v>47746</v>
      </c>
      <c r="V5491" t="s">
        <v>54864</v>
      </c>
      <c r="W5491" t="s">
        <v>39486</v>
      </c>
      <c r="X5491" t="s">
        <v>41255</v>
      </c>
    </row>
    <row r="5492" spans="1:24">
      <c r="A5492">
        <f>HYPERLINK("https://www.philgeps.gov.ph/GEPSNONPILOT/Tender/SplashBidNoticeAbstractUI.aspx?menuIndex=3&amp;refID=7073073&amp;Result=3","7073073")</f>
        <v>0</v>
      </c>
      <c r="B5492" t="s">
        <v>1869</v>
      </c>
      <c r="C5492" t="s">
        <v>8492</v>
      </c>
      <c r="D5492" t="s">
        <v>16678</v>
      </c>
      <c r="E5492" t="s">
        <v>21592</v>
      </c>
      <c r="F5492" t="s">
        <v>28669</v>
      </c>
      <c r="G5492" t="s">
        <v>28675</v>
      </c>
      <c r="H5492" t="s">
        <v>28686</v>
      </c>
      <c r="I5492" t="s">
        <v>28689</v>
      </c>
      <c r="J5492" t="s">
        <v>32315</v>
      </c>
      <c r="K5492" t="s">
        <v>37215</v>
      </c>
      <c r="M5492" t="s">
        <v>39491</v>
      </c>
      <c r="N5492" t="s">
        <v>41249</v>
      </c>
      <c r="O5492" t="s">
        <v>41250</v>
      </c>
      <c r="P5492">
        <v>0</v>
      </c>
      <c r="Q5492">
        <v>0</v>
      </c>
      <c r="R5492" t="s">
        <v>41254</v>
      </c>
      <c r="S5492" t="s">
        <v>41425</v>
      </c>
      <c r="T5492" t="s">
        <v>42693</v>
      </c>
      <c r="U5492" t="s">
        <v>47747</v>
      </c>
      <c r="W5492" t="s">
        <v>39491</v>
      </c>
      <c r="X5492" t="s">
        <v>41255</v>
      </c>
    </row>
    <row r="5493" spans="1:24">
      <c r="A5493">
        <f>HYPERLINK("https://www.philgeps.gov.ph/GEPSNONPILOT/Tender/SplashBidNoticeAbstractUI.aspx?menuIndex=3&amp;refID=7073072&amp;Result=3","7073072")</f>
        <v>0</v>
      </c>
      <c r="B5493" t="s">
        <v>909</v>
      </c>
      <c r="C5493" t="s">
        <v>8621</v>
      </c>
      <c r="D5493" t="s">
        <v>16662</v>
      </c>
      <c r="E5493" t="s">
        <v>21593</v>
      </c>
      <c r="F5493" t="s">
        <v>28669</v>
      </c>
      <c r="G5493" t="s">
        <v>28676</v>
      </c>
      <c r="H5493" t="s">
        <v>9998</v>
      </c>
      <c r="I5493" t="s">
        <v>28740</v>
      </c>
      <c r="J5493" t="s">
        <v>29124</v>
      </c>
      <c r="K5493" t="s">
        <v>37227</v>
      </c>
      <c r="M5493" t="s">
        <v>38431</v>
      </c>
      <c r="N5493" t="s">
        <v>41249</v>
      </c>
      <c r="O5493" t="s">
        <v>41250</v>
      </c>
      <c r="P5493">
        <v>0</v>
      </c>
      <c r="Q5493">
        <v>0</v>
      </c>
      <c r="R5493" t="s">
        <v>41254</v>
      </c>
      <c r="S5493" t="s">
        <v>41425</v>
      </c>
      <c r="T5493" t="s">
        <v>42736</v>
      </c>
      <c r="U5493" t="s">
        <v>47748</v>
      </c>
      <c r="W5493" t="s">
        <v>38431</v>
      </c>
      <c r="X5493" t="s">
        <v>41255</v>
      </c>
    </row>
    <row r="5494" spans="1:24">
      <c r="A5494">
        <f>HYPERLINK("https://www.philgeps.gov.ph/GEPSNONPILOT/Tender/SplashBidNoticeAbstractUI.aspx?menuIndex=3&amp;refID=7073069&amp;Result=3","7073069")</f>
        <v>0</v>
      </c>
      <c r="B5494" t="s">
        <v>842</v>
      </c>
      <c r="C5494" t="s">
        <v>8622</v>
      </c>
      <c r="D5494" t="s">
        <v>16658</v>
      </c>
      <c r="E5494" t="s">
        <v>21594</v>
      </c>
      <c r="F5494" t="s">
        <v>28669</v>
      </c>
      <c r="G5494" t="s">
        <v>28675</v>
      </c>
      <c r="H5494" t="s">
        <v>28686</v>
      </c>
      <c r="I5494" t="s">
        <v>28689</v>
      </c>
      <c r="J5494" t="s">
        <v>32316</v>
      </c>
      <c r="K5494" t="s">
        <v>37360</v>
      </c>
      <c r="M5494" t="s">
        <v>39485</v>
      </c>
      <c r="N5494" t="s">
        <v>41249</v>
      </c>
      <c r="O5494" t="s">
        <v>41250</v>
      </c>
      <c r="P5494">
        <v>0</v>
      </c>
      <c r="Q5494">
        <v>2</v>
      </c>
      <c r="R5494" t="s">
        <v>41254</v>
      </c>
      <c r="S5494" t="s">
        <v>41425</v>
      </c>
      <c r="T5494" t="s">
        <v>42911</v>
      </c>
      <c r="U5494" t="s">
        <v>47732</v>
      </c>
      <c r="W5494" t="s">
        <v>39485</v>
      </c>
      <c r="X5494" t="s">
        <v>41255</v>
      </c>
    </row>
    <row r="5495" spans="1:24">
      <c r="A5495">
        <f>HYPERLINK("https://www.philgeps.gov.ph/GEPSNONPILOT/Tender/SplashBidNoticeAbstractUI.aspx?menuIndex=3&amp;refID=7073068&amp;Result=3","7073068")</f>
        <v>0</v>
      </c>
      <c r="B5495" t="s">
        <v>909</v>
      </c>
      <c r="C5495" t="s">
        <v>8623</v>
      </c>
      <c r="D5495" t="s">
        <v>16662</v>
      </c>
      <c r="E5495" t="s">
        <v>21595</v>
      </c>
      <c r="F5495" t="s">
        <v>28669</v>
      </c>
      <c r="G5495" t="s">
        <v>28676</v>
      </c>
      <c r="H5495" t="s">
        <v>9998</v>
      </c>
      <c r="I5495" t="s">
        <v>28734</v>
      </c>
      <c r="J5495" t="s">
        <v>32317</v>
      </c>
      <c r="K5495" t="s">
        <v>37227</v>
      </c>
      <c r="M5495" t="s">
        <v>38431</v>
      </c>
      <c r="N5495" t="s">
        <v>41249</v>
      </c>
      <c r="O5495" t="s">
        <v>41250</v>
      </c>
      <c r="P5495">
        <v>0</v>
      </c>
      <c r="Q5495">
        <v>0</v>
      </c>
      <c r="R5495" t="s">
        <v>41254</v>
      </c>
      <c r="S5495" t="s">
        <v>41425</v>
      </c>
      <c r="T5495" t="s">
        <v>42736</v>
      </c>
      <c r="U5495" t="s">
        <v>47749</v>
      </c>
      <c r="W5495" t="s">
        <v>38431</v>
      </c>
      <c r="X5495" t="s">
        <v>41255</v>
      </c>
    </row>
    <row r="5496" spans="1:24">
      <c r="A5496">
        <f>HYPERLINK("https://www.philgeps.gov.ph/GEPSNONPILOT/Tender/SplashBidNoticeAbstractUI.aspx?menuIndex=3&amp;refID=7073067&amp;Result=3","7073067")</f>
        <v>0</v>
      </c>
      <c r="B5496" t="s">
        <v>1868</v>
      </c>
      <c r="C5496" t="s">
        <v>8624</v>
      </c>
      <c r="D5496" t="s">
        <v>16621</v>
      </c>
      <c r="E5496" t="s">
        <v>21596</v>
      </c>
      <c r="F5496" t="s">
        <v>28669</v>
      </c>
      <c r="G5496" t="s">
        <v>28677</v>
      </c>
      <c r="H5496" t="s">
        <v>9998</v>
      </c>
      <c r="I5496" t="s">
        <v>28732</v>
      </c>
      <c r="J5496" t="s">
        <v>29133</v>
      </c>
      <c r="K5496" t="s">
        <v>37205</v>
      </c>
      <c r="M5496" t="s">
        <v>39490</v>
      </c>
      <c r="N5496" t="s">
        <v>41249</v>
      </c>
      <c r="O5496" t="s">
        <v>41250</v>
      </c>
      <c r="P5496">
        <v>0</v>
      </c>
      <c r="Q5496">
        <v>1</v>
      </c>
      <c r="R5496" t="s">
        <v>41254</v>
      </c>
      <c r="S5496" t="s">
        <v>41425</v>
      </c>
      <c r="T5496" t="s">
        <v>42711</v>
      </c>
      <c r="U5496" t="s">
        <v>47750</v>
      </c>
      <c r="W5496" t="s">
        <v>39490</v>
      </c>
      <c r="X5496" t="s">
        <v>41255</v>
      </c>
    </row>
    <row r="5497" spans="1:24">
      <c r="A5497">
        <f>HYPERLINK("https://www.philgeps.gov.ph/GEPSNONPILOT/Tender/SplashBidNoticeAbstractUI.aspx?menuIndex=3&amp;refID=7073066&amp;Result=3","7073066")</f>
        <v>0</v>
      </c>
      <c r="B5497" t="s">
        <v>909</v>
      </c>
      <c r="C5497" t="s">
        <v>8625</v>
      </c>
      <c r="D5497" t="s">
        <v>16662</v>
      </c>
      <c r="E5497" t="s">
        <v>21597</v>
      </c>
      <c r="F5497" t="s">
        <v>28669</v>
      </c>
      <c r="G5497" t="s">
        <v>28676</v>
      </c>
      <c r="H5497" t="s">
        <v>9998</v>
      </c>
      <c r="I5497" t="s">
        <v>28714</v>
      </c>
      <c r="J5497" t="s">
        <v>30407</v>
      </c>
      <c r="K5497" t="s">
        <v>37227</v>
      </c>
      <c r="M5497" t="s">
        <v>38431</v>
      </c>
      <c r="N5497" t="s">
        <v>41249</v>
      </c>
      <c r="O5497" t="s">
        <v>41250</v>
      </c>
      <c r="P5497">
        <v>0</v>
      </c>
      <c r="Q5497">
        <v>2</v>
      </c>
      <c r="R5497" t="s">
        <v>41254</v>
      </c>
      <c r="S5497" t="s">
        <v>41425</v>
      </c>
      <c r="T5497" t="s">
        <v>42736</v>
      </c>
      <c r="U5497" t="s">
        <v>47751</v>
      </c>
      <c r="W5497" t="s">
        <v>38431</v>
      </c>
      <c r="X5497" t="s">
        <v>41255</v>
      </c>
    </row>
    <row r="5498" spans="1:24">
      <c r="A5498">
        <f>HYPERLINK("https://www.philgeps.gov.ph/GEPSNONPILOT/Tender/SplashBidNoticeAbstractUI.aspx?menuIndex=3&amp;refID=7073043&amp;Result=3","7073043")</f>
        <v>0</v>
      </c>
      <c r="B5498" t="s">
        <v>1212</v>
      </c>
      <c r="C5498" t="s">
        <v>8626</v>
      </c>
      <c r="D5498" t="s">
        <v>16678</v>
      </c>
      <c r="E5498" t="s">
        <v>21598</v>
      </c>
      <c r="F5498" t="s">
        <v>28669</v>
      </c>
      <c r="G5498" t="s">
        <v>28677</v>
      </c>
      <c r="H5498" t="s">
        <v>9998</v>
      </c>
      <c r="I5498" t="s">
        <v>28690</v>
      </c>
      <c r="J5498" t="s">
        <v>32318</v>
      </c>
      <c r="K5498" t="s">
        <v>37209</v>
      </c>
      <c r="M5498" t="s">
        <v>39476</v>
      </c>
      <c r="N5498" t="s">
        <v>41249</v>
      </c>
      <c r="O5498" t="s">
        <v>41250</v>
      </c>
      <c r="P5498">
        <v>0</v>
      </c>
      <c r="Q5498">
        <v>7</v>
      </c>
      <c r="R5498" t="s">
        <v>41254</v>
      </c>
      <c r="S5498" t="s">
        <v>41425</v>
      </c>
      <c r="T5498" t="s">
        <v>42665</v>
      </c>
      <c r="U5498" t="s">
        <v>47707</v>
      </c>
      <c r="W5498" t="s">
        <v>39476</v>
      </c>
      <c r="X5498" t="s">
        <v>41255</v>
      </c>
    </row>
    <row r="5499" spans="1:24">
      <c r="A5499">
        <f>HYPERLINK("https://www.philgeps.gov.ph/GEPSNONPILOT/Tender/SplashBidNoticeAbstractUI.aspx?menuIndex=3&amp;refID=7073115&amp;Result=3","7073115")</f>
        <v>0</v>
      </c>
      <c r="B5499" t="s">
        <v>1870</v>
      </c>
      <c r="C5499" t="s">
        <v>8627</v>
      </c>
      <c r="D5499" t="s">
        <v>16621</v>
      </c>
      <c r="E5499" t="s">
        <v>21599</v>
      </c>
      <c r="F5499" t="s">
        <v>28669</v>
      </c>
      <c r="G5499" t="s">
        <v>28675</v>
      </c>
      <c r="H5499" t="s">
        <v>9998</v>
      </c>
      <c r="I5499" t="s">
        <v>7352</v>
      </c>
      <c r="J5499" t="s">
        <v>32319</v>
      </c>
      <c r="K5499" t="s">
        <v>37205</v>
      </c>
      <c r="M5499" t="s">
        <v>39492</v>
      </c>
      <c r="N5499" t="s">
        <v>41249</v>
      </c>
      <c r="O5499" t="s">
        <v>41250</v>
      </c>
      <c r="P5499">
        <v>0</v>
      </c>
      <c r="Q5499">
        <v>0</v>
      </c>
      <c r="R5499" t="s">
        <v>41254</v>
      </c>
      <c r="S5499" t="s">
        <v>41425</v>
      </c>
      <c r="T5499" t="s">
        <v>42754</v>
      </c>
      <c r="U5499" t="s">
        <v>47752</v>
      </c>
      <c r="W5499" t="s">
        <v>39492</v>
      </c>
      <c r="X5499" t="s">
        <v>41255</v>
      </c>
    </row>
    <row r="5500" spans="1:24">
      <c r="A5500">
        <f>HYPERLINK("https://www.philgeps.gov.ph/GEPSNONPILOT/Tender/SplashBidNoticeAbstractUI.aspx?menuIndex=3&amp;refID=7073114&amp;Result=3","7073114")</f>
        <v>0</v>
      </c>
      <c r="B5500" t="s">
        <v>1871</v>
      </c>
      <c r="C5500" t="s">
        <v>6213</v>
      </c>
      <c r="D5500" t="s">
        <v>16626</v>
      </c>
      <c r="E5500" t="s">
        <v>21600</v>
      </c>
      <c r="F5500" t="s">
        <v>28669</v>
      </c>
      <c r="G5500" t="s">
        <v>28676</v>
      </c>
      <c r="H5500" t="s">
        <v>9998</v>
      </c>
      <c r="I5500" t="s">
        <v>6128</v>
      </c>
      <c r="J5500" t="s">
        <v>32320</v>
      </c>
      <c r="K5500" t="s">
        <v>37208</v>
      </c>
      <c r="M5500" t="s">
        <v>39493</v>
      </c>
      <c r="N5500" t="s">
        <v>41249</v>
      </c>
      <c r="O5500" t="s">
        <v>41250</v>
      </c>
      <c r="P5500">
        <v>0</v>
      </c>
      <c r="Q5500">
        <v>0</v>
      </c>
      <c r="R5500" t="s">
        <v>41254</v>
      </c>
      <c r="S5500" t="s">
        <v>41425</v>
      </c>
      <c r="T5500" t="s">
        <v>42887</v>
      </c>
      <c r="U5500" t="s">
        <v>47753</v>
      </c>
      <c r="W5500" t="s">
        <v>39493</v>
      </c>
      <c r="X5500" t="s">
        <v>41255</v>
      </c>
    </row>
    <row r="5501" spans="1:24">
      <c r="A5501">
        <f>HYPERLINK("https://www.philgeps.gov.ph/GEPSNONPILOT/Tender/SplashBidNoticeAbstractUI.aspx?menuIndex=3&amp;refID=7072302&amp;Result=3","7072302")</f>
        <v>0</v>
      </c>
      <c r="B5501" t="s">
        <v>1860</v>
      </c>
      <c r="C5501" t="s">
        <v>8628</v>
      </c>
      <c r="D5501" t="s">
        <v>16639</v>
      </c>
      <c r="E5501" t="s">
        <v>21601</v>
      </c>
      <c r="F5501" t="s">
        <v>28669</v>
      </c>
      <c r="G5501" t="s">
        <v>28682</v>
      </c>
      <c r="H5501" t="s">
        <v>9998</v>
      </c>
      <c r="I5501" t="s">
        <v>28710</v>
      </c>
      <c r="J5501" t="s">
        <v>29847</v>
      </c>
      <c r="K5501" t="s">
        <v>37206</v>
      </c>
      <c r="M5501" t="s">
        <v>39480</v>
      </c>
      <c r="N5501" t="s">
        <v>41249</v>
      </c>
      <c r="O5501" t="s">
        <v>41250</v>
      </c>
      <c r="P5501">
        <v>0</v>
      </c>
      <c r="Q5501">
        <v>4</v>
      </c>
      <c r="R5501" t="s">
        <v>41254</v>
      </c>
      <c r="S5501" t="s">
        <v>41425</v>
      </c>
      <c r="T5501" t="s">
        <v>42675</v>
      </c>
      <c r="U5501" t="s">
        <v>47754</v>
      </c>
      <c r="V5501" t="s">
        <v>54866</v>
      </c>
      <c r="W5501" t="s">
        <v>39480</v>
      </c>
      <c r="X5501" t="s">
        <v>41256</v>
      </c>
    </row>
    <row r="5502" spans="1:24">
      <c r="A5502">
        <f>HYPERLINK("https://www.philgeps.gov.ph/GEPSNONPILOT/Tender/SplashBidNoticeAbstractUI.aspx?menuIndex=3&amp;refID=7073109&amp;Result=3","7073109")</f>
        <v>0</v>
      </c>
      <c r="B5502" t="s">
        <v>1872</v>
      </c>
      <c r="C5502" t="s">
        <v>8629</v>
      </c>
      <c r="D5502" t="s">
        <v>16607</v>
      </c>
      <c r="E5502" t="s">
        <v>21602</v>
      </c>
      <c r="F5502" t="s">
        <v>28669</v>
      </c>
      <c r="G5502" t="s">
        <v>28675</v>
      </c>
      <c r="H5502" t="s">
        <v>9998</v>
      </c>
      <c r="I5502" t="s">
        <v>28719</v>
      </c>
      <c r="J5502" t="s">
        <v>32321</v>
      </c>
      <c r="K5502" t="s">
        <v>37205</v>
      </c>
      <c r="M5502" t="s">
        <v>39494</v>
      </c>
      <c r="N5502" t="s">
        <v>41249</v>
      </c>
      <c r="O5502" t="s">
        <v>41250</v>
      </c>
      <c r="P5502">
        <v>0</v>
      </c>
      <c r="Q5502">
        <v>6</v>
      </c>
      <c r="R5502" t="s">
        <v>41254</v>
      </c>
      <c r="S5502" t="s">
        <v>41425</v>
      </c>
      <c r="T5502" t="s">
        <v>42692</v>
      </c>
      <c r="U5502" t="s">
        <v>47755</v>
      </c>
      <c r="V5502" t="s">
        <v>54340</v>
      </c>
      <c r="W5502" t="s">
        <v>39494</v>
      </c>
      <c r="X5502" t="s">
        <v>41255</v>
      </c>
    </row>
    <row r="5503" spans="1:24">
      <c r="A5503">
        <f>HYPERLINK("https://www.philgeps.gov.ph/GEPSNONPILOT/Tender/SplashBidNoticeAbstractUI.aspx?menuIndex=3&amp;refID=7073106&amp;Result=3","7073106")</f>
        <v>0</v>
      </c>
      <c r="B5503" t="s">
        <v>1873</v>
      </c>
      <c r="C5503" t="s">
        <v>8630</v>
      </c>
      <c r="E5503" t="s">
        <v>21603</v>
      </c>
      <c r="F5503" t="s">
        <v>28669</v>
      </c>
      <c r="G5503" t="s">
        <v>28678</v>
      </c>
      <c r="H5503" t="s">
        <v>9998</v>
      </c>
      <c r="I5503" t="s">
        <v>28688</v>
      </c>
      <c r="J5503" t="s">
        <v>32322</v>
      </c>
      <c r="K5503" t="s">
        <v>37205</v>
      </c>
      <c r="M5503" t="s">
        <v>39495</v>
      </c>
      <c r="N5503" t="s">
        <v>41249</v>
      </c>
      <c r="O5503" t="s">
        <v>41250</v>
      </c>
      <c r="P5503">
        <v>0</v>
      </c>
      <c r="Q5503">
        <v>18</v>
      </c>
      <c r="R5503" t="s">
        <v>41254</v>
      </c>
      <c r="S5503" t="s">
        <v>41425</v>
      </c>
      <c r="T5503" t="s">
        <v>42811</v>
      </c>
      <c r="U5503" t="s">
        <v>47756</v>
      </c>
      <c r="W5503" t="s">
        <v>39495</v>
      </c>
      <c r="X5503" t="s">
        <v>41255</v>
      </c>
    </row>
    <row r="5504" spans="1:24">
      <c r="A5504">
        <f>HYPERLINK("https://www.philgeps.gov.ph/GEPSNONPILOT/Tender/SplashBidNoticeAbstractUI.aspx?menuIndex=3&amp;refID=7073048&amp;Result=3","7073048")</f>
        <v>0</v>
      </c>
      <c r="B5504" t="s">
        <v>1867</v>
      </c>
      <c r="C5504" t="s">
        <v>8631</v>
      </c>
      <c r="D5504" t="s">
        <v>16608</v>
      </c>
      <c r="E5504" t="s">
        <v>21604</v>
      </c>
      <c r="F5504" t="s">
        <v>28669</v>
      </c>
      <c r="G5504" t="s">
        <v>28675</v>
      </c>
      <c r="H5504" t="s">
        <v>9998</v>
      </c>
      <c r="I5504" t="s">
        <v>11142</v>
      </c>
      <c r="J5504" t="s">
        <v>29068</v>
      </c>
      <c r="K5504" t="s">
        <v>37210</v>
      </c>
      <c r="M5504" t="s">
        <v>39489</v>
      </c>
      <c r="N5504" t="s">
        <v>41249</v>
      </c>
      <c r="O5504" t="s">
        <v>41250</v>
      </c>
      <c r="P5504">
        <v>0</v>
      </c>
      <c r="Q5504">
        <v>6</v>
      </c>
      <c r="R5504" t="s">
        <v>41254</v>
      </c>
      <c r="S5504" t="s">
        <v>41425</v>
      </c>
      <c r="T5504" t="s">
        <v>42673</v>
      </c>
      <c r="U5504" t="s">
        <v>47741</v>
      </c>
      <c r="W5504" t="s">
        <v>39489</v>
      </c>
      <c r="X5504" t="s">
        <v>41255</v>
      </c>
    </row>
    <row r="5505" spans="1:24">
      <c r="A5505">
        <f>HYPERLINK("https://www.philgeps.gov.ph/GEPSNONPILOT/Tender/SplashBidNoticeAbstractUI.aspx?menuIndex=3&amp;refID=7073105&amp;Result=3","7073105")</f>
        <v>0</v>
      </c>
      <c r="B5505" t="s">
        <v>1870</v>
      </c>
      <c r="C5505" t="s">
        <v>8632</v>
      </c>
      <c r="E5505" t="s">
        <v>21605</v>
      </c>
      <c r="F5505" t="s">
        <v>28669</v>
      </c>
      <c r="G5505" t="s">
        <v>28675</v>
      </c>
      <c r="H5505" t="s">
        <v>9998</v>
      </c>
      <c r="I5505" t="s">
        <v>7352</v>
      </c>
      <c r="J5505" t="s">
        <v>32323</v>
      </c>
      <c r="K5505" t="s">
        <v>37205</v>
      </c>
      <c r="M5505" t="s">
        <v>39492</v>
      </c>
      <c r="N5505" t="s">
        <v>41249</v>
      </c>
      <c r="O5505" t="s">
        <v>41250</v>
      </c>
      <c r="P5505">
        <v>0</v>
      </c>
      <c r="Q5505">
        <v>0</v>
      </c>
      <c r="R5505" t="s">
        <v>41254</v>
      </c>
      <c r="S5505" t="s">
        <v>41425</v>
      </c>
      <c r="T5505" t="s">
        <v>42754</v>
      </c>
      <c r="U5505" t="s">
        <v>47757</v>
      </c>
      <c r="W5505" t="s">
        <v>39492</v>
      </c>
      <c r="X5505" t="s">
        <v>41255</v>
      </c>
    </row>
    <row r="5506" spans="1:24">
      <c r="A5506">
        <f>HYPERLINK("https://www.philgeps.gov.ph/GEPSNONPILOT/Tender/SplashBidNoticeAbstractUI.aspx?menuIndex=3&amp;refID=7073070&amp;Result=3","7073070")</f>
        <v>0</v>
      </c>
      <c r="B5506" t="s">
        <v>909</v>
      </c>
      <c r="C5506" t="s">
        <v>8633</v>
      </c>
      <c r="D5506" t="s">
        <v>16662</v>
      </c>
      <c r="E5506" t="s">
        <v>21606</v>
      </c>
      <c r="F5506" t="s">
        <v>28669</v>
      </c>
      <c r="G5506" t="s">
        <v>28678</v>
      </c>
      <c r="H5506" t="s">
        <v>9998</v>
      </c>
      <c r="I5506" t="s">
        <v>11593</v>
      </c>
      <c r="J5506" t="s">
        <v>32324</v>
      </c>
      <c r="K5506" t="s">
        <v>37227</v>
      </c>
      <c r="M5506" t="s">
        <v>38431</v>
      </c>
      <c r="N5506" t="s">
        <v>41249</v>
      </c>
      <c r="O5506" t="s">
        <v>41250</v>
      </c>
      <c r="P5506">
        <v>0</v>
      </c>
      <c r="Q5506">
        <v>0</v>
      </c>
      <c r="R5506" t="s">
        <v>41254</v>
      </c>
      <c r="S5506" t="s">
        <v>41425</v>
      </c>
      <c r="T5506" t="s">
        <v>42736</v>
      </c>
      <c r="U5506" t="s">
        <v>47758</v>
      </c>
      <c r="W5506" t="s">
        <v>38431</v>
      </c>
      <c r="X5506" t="s">
        <v>41255</v>
      </c>
    </row>
    <row r="5507" spans="1:24">
      <c r="A5507">
        <f>HYPERLINK("https://www.philgeps.gov.ph/GEPSNONPILOT/Tender/SplashBidNoticeAbstractUI.aspx?menuIndex=3&amp;refID=7073103&amp;Result=3","7073103")</f>
        <v>0</v>
      </c>
      <c r="B5507" t="s">
        <v>1871</v>
      </c>
      <c r="C5507" t="s">
        <v>4705</v>
      </c>
      <c r="D5507" t="s">
        <v>16626</v>
      </c>
      <c r="E5507" t="s">
        <v>21607</v>
      </c>
      <c r="F5507" t="s">
        <v>28669</v>
      </c>
      <c r="G5507" t="s">
        <v>28676</v>
      </c>
      <c r="H5507" t="s">
        <v>9998</v>
      </c>
      <c r="I5507" t="s">
        <v>28690</v>
      </c>
      <c r="J5507" t="s">
        <v>32325</v>
      </c>
      <c r="K5507" t="s">
        <v>37208</v>
      </c>
      <c r="M5507" t="s">
        <v>39493</v>
      </c>
      <c r="N5507" t="s">
        <v>41249</v>
      </c>
      <c r="O5507" t="s">
        <v>41250</v>
      </c>
      <c r="P5507">
        <v>0</v>
      </c>
      <c r="Q5507">
        <v>0</v>
      </c>
      <c r="R5507" t="s">
        <v>41254</v>
      </c>
      <c r="S5507" t="s">
        <v>41425</v>
      </c>
      <c r="T5507" t="s">
        <v>42887</v>
      </c>
      <c r="U5507" t="s">
        <v>47759</v>
      </c>
      <c r="W5507" t="s">
        <v>39493</v>
      </c>
      <c r="X5507" t="s">
        <v>41255</v>
      </c>
    </row>
    <row r="5508" spans="1:24">
      <c r="A5508">
        <f>HYPERLINK("https://www.philgeps.gov.ph/GEPSNONPILOT/Tender/SplashBidNoticeAbstractUI.aspx?menuIndex=3&amp;refID=7073100&amp;Result=3","7073100")</f>
        <v>0</v>
      </c>
      <c r="B5508" t="s">
        <v>1874</v>
      </c>
      <c r="C5508" t="s">
        <v>8634</v>
      </c>
      <c r="D5508" t="s">
        <v>16626</v>
      </c>
      <c r="E5508" t="s">
        <v>21608</v>
      </c>
      <c r="F5508" t="s">
        <v>28669</v>
      </c>
      <c r="G5508" t="s">
        <v>28675</v>
      </c>
      <c r="H5508" t="s">
        <v>9998</v>
      </c>
      <c r="I5508" t="s">
        <v>28688</v>
      </c>
      <c r="J5508" t="s">
        <v>32326</v>
      </c>
      <c r="K5508" t="s">
        <v>37234</v>
      </c>
      <c r="M5508" t="s">
        <v>39496</v>
      </c>
      <c r="N5508" t="s">
        <v>41249</v>
      </c>
      <c r="O5508" t="s">
        <v>41250</v>
      </c>
      <c r="P5508">
        <v>0</v>
      </c>
      <c r="Q5508">
        <v>2</v>
      </c>
      <c r="R5508" t="s">
        <v>41254</v>
      </c>
      <c r="S5508" t="s">
        <v>41425</v>
      </c>
      <c r="T5508" t="s">
        <v>42785</v>
      </c>
      <c r="U5508" t="s">
        <v>47760</v>
      </c>
      <c r="V5508" t="s">
        <v>54867</v>
      </c>
      <c r="W5508" t="s">
        <v>39496</v>
      </c>
      <c r="X5508" t="s">
        <v>41255</v>
      </c>
    </row>
    <row r="5509" spans="1:24">
      <c r="A5509">
        <f>HYPERLINK("https://www.philgeps.gov.ph/GEPSNONPILOT/Tender/SplashBidNoticeAbstractUI.aspx?menuIndex=3&amp;refID=7073098&amp;Result=3","7073098")</f>
        <v>0</v>
      </c>
      <c r="B5509" t="s">
        <v>1871</v>
      </c>
      <c r="C5509" t="s">
        <v>8635</v>
      </c>
      <c r="D5509" t="s">
        <v>16626</v>
      </c>
      <c r="E5509" t="s">
        <v>21609</v>
      </c>
      <c r="F5509" t="s">
        <v>28669</v>
      </c>
      <c r="G5509" t="s">
        <v>28676</v>
      </c>
      <c r="H5509" t="s">
        <v>9998</v>
      </c>
      <c r="I5509" t="s">
        <v>28708</v>
      </c>
      <c r="J5509" t="s">
        <v>29651</v>
      </c>
      <c r="K5509" t="s">
        <v>37208</v>
      </c>
      <c r="M5509" t="s">
        <v>39493</v>
      </c>
      <c r="N5509" t="s">
        <v>41249</v>
      </c>
      <c r="O5509" t="s">
        <v>41250</v>
      </c>
      <c r="P5509">
        <v>0</v>
      </c>
      <c r="Q5509">
        <v>0</v>
      </c>
      <c r="R5509" t="s">
        <v>41254</v>
      </c>
      <c r="S5509" t="s">
        <v>41425</v>
      </c>
      <c r="T5509" t="s">
        <v>42771</v>
      </c>
      <c r="U5509" t="s">
        <v>47761</v>
      </c>
      <c r="W5509" t="s">
        <v>39493</v>
      </c>
      <c r="X5509" t="s">
        <v>41255</v>
      </c>
    </row>
    <row r="5510" spans="1:24">
      <c r="A5510">
        <f>HYPERLINK("https://www.philgeps.gov.ph/GEPSNONPILOT/Tender/SplashBidNoticeAbstractUI.aspx?menuIndex=3&amp;refID=7073071&amp;Result=3","7073071")</f>
        <v>0</v>
      </c>
      <c r="B5510" t="s">
        <v>1875</v>
      </c>
      <c r="C5510" t="s">
        <v>8636</v>
      </c>
      <c r="D5510" t="s">
        <v>16681</v>
      </c>
      <c r="E5510" t="s">
        <v>8636</v>
      </c>
      <c r="F5510" t="s">
        <v>28669</v>
      </c>
      <c r="G5510" t="s">
        <v>28676</v>
      </c>
      <c r="H5510" t="s">
        <v>9998</v>
      </c>
      <c r="I5510" t="s">
        <v>5213</v>
      </c>
      <c r="J5510" t="s">
        <v>32327</v>
      </c>
      <c r="K5510" t="s">
        <v>37210</v>
      </c>
      <c r="M5510" t="s">
        <v>39497</v>
      </c>
      <c r="N5510" t="s">
        <v>41249</v>
      </c>
      <c r="O5510" t="s">
        <v>41250</v>
      </c>
      <c r="P5510">
        <v>0</v>
      </c>
      <c r="Q5510">
        <v>2</v>
      </c>
      <c r="R5510" t="s">
        <v>41254</v>
      </c>
      <c r="S5510" t="s">
        <v>41425</v>
      </c>
      <c r="T5510" t="s">
        <v>42727</v>
      </c>
      <c r="U5510" t="s">
        <v>47762</v>
      </c>
      <c r="W5510" t="s">
        <v>39497</v>
      </c>
      <c r="X5510" t="s">
        <v>41255</v>
      </c>
    </row>
    <row r="5511" spans="1:24">
      <c r="A5511">
        <f>HYPERLINK("https://www.philgeps.gov.ph/GEPSNONPILOT/Tender/SplashBidNoticeAbstractUI.aspx?menuIndex=3&amp;refID=7073096&amp;Result=3","7073096")</f>
        <v>0</v>
      </c>
      <c r="B5511" t="s">
        <v>1871</v>
      </c>
      <c r="C5511" t="s">
        <v>8637</v>
      </c>
      <c r="D5511" t="s">
        <v>16626</v>
      </c>
      <c r="E5511" t="s">
        <v>21610</v>
      </c>
      <c r="F5511" t="s">
        <v>28669</v>
      </c>
      <c r="G5511" t="s">
        <v>28676</v>
      </c>
      <c r="H5511" t="s">
        <v>9998</v>
      </c>
      <c r="I5511" t="s">
        <v>28716</v>
      </c>
      <c r="J5511" t="s">
        <v>32328</v>
      </c>
      <c r="K5511" t="s">
        <v>37208</v>
      </c>
      <c r="M5511" t="s">
        <v>39493</v>
      </c>
      <c r="N5511" t="s">
        <v>41249</v>
      </c>
      <c r="O5511" t="s">
        <v>41250</v>
      </c>
      <c r="P5511">
        <v>0</v>
      </c>
      <c r="Q5511">
        <v>0</v>
      </c>
      <c r="R5511" t="s">
        <v>41254</v>
      </c>
      <c r="S5511" t="s">
        <v>41425</v>
      </c>
      <c r="T5511" t="s">
        <v>42887</v>
      </c>
      <c r="U5511" t="s">
        <v>47763</v>
      </c>
      <c r="W5511" t="s">
        <v>39493</v>
      </c>
      <c r="X5511" t="s">
        <v>41255</v>
      </c>
    </row>
    <row r="5512" spans="1:24">
      <c r="A5512">
        <f>HYPERLINK("https://www.philgeps.gov.ph/GEPSNONPILOT/Tender/SplashBidNoticeAbstractUI.aspx?menuIndex=3&amp;refID=7073102&amp;Result=3","7073102")</f>
        <v>0</v>
      </c>
      <c r="B5512" t="s">
        <v>818</v>
      </c>
      <c r="C5512" t="s">
        <v>8638</v>
      </c>
      <c r="D5512" t="s">
        <v>16664</v>
      </c>
      <c r="E5512" t="s">
        <v>21611</v>
      </c>
      <c r="F5512" t="s">
        <v>28669</v>
      </c>
      <c r="G5512" t="s">
        <v>28676</v>
      </c>
      <c r="H5512" t="s">
        <v>9998</v>
      </c>
      <c r="I5512" t="s">
        <v>15140</v>
      </c>
      <c r="J5512" t="s">
        <v>28879</v>
      </c>
      <c r="K5512" t="s">
        <v>37284</v>
      </c>
      <c r="M5512" t="s">
        <v>38334</v>
      </c>
      <c r="N5512" t="s">
        <v>41249</v>
      </c>
      <c r="O5512" t="s">
        <v>41250</v>
      </c>
      <c r="P5512">
        <v>0</v>
      </c>
      <c r="Q5512">
        <v>0</v>
      </c>
      <c r="R5512" t="s">
        <v>41254</v>
      </c>
      <c r="S5512" t="s">
        <v>41425</v>
      </c>
      <c r="T5512" t="s">
        <v>42736</v>
      </c>
      <c r="U5512" t="s">
        <v>47764</v>
      </c>
      <c r="W5512" t="s">
        <v>38334</v>
      </c>
      <c r="X5512" t="s">
        <v>41255</v>
      </c>
    </row>
    <row r="5513" spans="1:24">
      <c r="A5513">
        <f>HYPERLINK("https://www.philgeps.gov.ph/GEPSNONPILOT/Tender/SplashBidNoticeAbstractUI.aspx?menuIndex=3&amp;refID=7073141&amp;Result=3","7073141")</f>
        <v>0</v>
      </c>
      <c r="B5513" t="s">
        <v>1876</v>
      </c>
      <c r="C5513" t="s">
        <v>8639</v>
      </c>
      <c r="E5513" t="s">
        <v>21612</v>
      </c>
      <c r="F5513" t="s">
        <v>28672</v>
      </c>
      <c r="G5513" t="s">
        <v>28675</v>
      </c>
      <c r="H5513" t="s">
        <v>9998</v>
      </c>
      <c r="I5513" t="s">
        <v>28687</v>
      </c>
      <c r="J5513" t="s">
        <v>29088</v>
      </c>
      <c r="K5513" t="s">
        <v>37206</v>
      </c>
      <c r="M5513" t="s">
        <v>39498</v>
      </c>
      <c r="N5513" t="s">
        <v>41249</v>
      </c>
      <c r="O5513" t="s">
        <v>41250</v>
      </c>
      <c r="P5513">
        <v>0</v>
      </c>
      <c r="Q5513">
        <v>0</v>
      </c>
      <c r="R5513" t="s">
        <v>41254</v>
      </c>
      <c r="S5513" t="s">
        <v>41425</v>
      </c>
      <c r="T5513" t="s">
        <v>42836</v>
      </c>
      <c r="U5513" t="s">
        <v>47765</v>
      </c>
      <c r="W5513" t="s">
        <v>39498</v>
      </c>
      <c r="X5513" t="s">
        <v>41255</v>
      </c>
    </row>
    <row r="5514" spans="1:24">
      <c r="A5514">
        <f>HYPERLINK("https://www.philgeps.gov.ph/GEPSNONPILOT/Tender/SplashBidNoticeAbstractUI.aspx?menuIndex=3&amp;refID=7073082&amp;Result=3","7073082")</f>
        <v>0</v>
      </c>
      <c r="B5514" t="s">
        <v>909</v>
      </c>
      <c r="C5514" t="s">
        <v>8640</v>
      </c>
      <c r="D5514" t="s">
        <v>16662</v>
      </c>
      <c r="E5514" t="s">
        <v>21613</v>
      </c>
      <c r="F5514" t="s">
        <v>28669</v>
      </c>
      <c r="G5514" t="s">
        <v>28676</v>
      </c>
      <c r="H5514" t="s">
        <v>9998</v>
      </c>
      <c r="I5514" t="s">
        <v>3679</v>
      </c>
      <c r="J5514" t="s">
        <v>28989</v>
      </c>
      <c r="K5514" t="s">
        <v>37227</v>
      </c>
      <c r="M5514" t="s">
        <v>38431</v>
      </c>
      <c r="N5514" t="s">
        <v>41249</v>
      </c>
      <c r="O5514" t="s">
        <v>41250</v>
      </c>
      <c r="P5514">
        <v>0</v>
      </c>
      <c r="Q5514">
        <v>0</v>
      </c>
      <c r="R5514" t="s">
        <v>41254</v>
      </c>
      <c r="S5514" t="s">
        <v>41425</v>
      </c>
      <c r="T5514" t="s">
        <v>42736</v>
      </c>
      <c r="U5514" t="s">
        <v>47766</v>
      </c>
      <c r="W5514" t="s">
        <v>38431</v>
      </c>
      <c r="X5514" t="s">
        <v>41255</v>
      </c>
    </row>
    <row r="5515" spans="1:24">
      <c r="A5515">
        <f>HYPERLINK("https://www.philgeps.gov.ph/GEPSNONPILOT/Tender/SplashBidNoticeAbstractUI.aspx?menuIndex=3&amp;refID=7073140&amp;Result=3","7073140")</f>
        <v>0</v>
      </c>
      <c r="B5515" t="s">
        <v>1781</v>
      </c>
      <c r="C5515" t="s">
        <v>8641</v>
      </c>
      <c r="D5515" t="s">
        <v>16621</v>
      </c>
      <c r="E5515" t="s">
        <v>21614</v>
      </c>
      <c r="F5515" t="s">
        <v>28669</v>
      </c>
      <c r="G5515" t="s">
        <v>28675</v>
      </c>
      <c r="H5515" t="s">
        <v>28686</v>
      </c>
      <c r="I5515" t="s">
        <v>28689</v>
      </c>
      <c r="J5515" t="s">
        <v>32329</v>
      </c>
      <c r="K5515" t="s">
        <v>37220</v>
      </c>
      <c r="M5515" t="s">
        <v>39385</v>
      </c>
      <c r="N5515" t="s">
        <v>41249</v>
      </c>
      <c r="O5515" t="s">
        <v>41250</v>
      </c>
      <c r="P5515">
        <v>0</v>
      </c>
      <c r="Q5515">
        <v>3</v>
      </c>
      <c r="R5515" t="s">
        <v>41254</v>
      </c>
      <c r="S5515" t="s">
        <v>41425</v>
      </c>
      <c r="T5515" t="s">
        <v>42672</v>
      </c>
      <c r="U5515" t="s">
        <v>47767</v>
      </c>
      <c r="W5515" t="s">
        <v>39385</v>
      </c>
      <c r="X5515" t="s">
        <v>41255</v>
      </c>
    </row>
    <row r="5516" spans="1:24">
      <c r="A5516">
        <f>HYPERLINK("https://www.philgeps.gov.ph/GEPSNONPILOT/Tender/SplashBidNoticeAbstractUI.aspx?menuIndex=3&amp;refID=7073137&amp;Result=3","7073137")</f>
        <v>0</v>
      </c>
      <c r="B5516" t="s">
        <v>1287</v>
      </c>
      <c r="C5516" t="s">
        <v>8642</v>
      </c>
      <c r="D5516" t="s">
        <v>16666</v>
      </c>
      <c r="E5516" t="s">
        <v>21615</v>
      </c>
      <c r="F5516" t="s">
        <v>28669</v>
      </c>
      <c r="G5516" t="s">
        <v>28675</v>
      </c>
      <c r="H5516" t="s">
        <v>9998</v>
      </c>
      <c r="I5516" t="s">
        <v>28688</v>
      </c>
      <c r="J5516" t="s">
        <v>32330</v>
      </c>
      <c r="K5516" t="s">
        <v>37206</v>
      </c>
      <c r="M5516" t="s">
        <v>38838</v>
      </c>
      <c r="N5516" t="s">
        <v>41249</v>
      </c>
      <c r="O5516" t="s">
        <v>41250</v>
      </c>
      <c r="Q5516">
        <v>4</v>
      </c>
      <c r="R5516" t="s">
        <v>41254</v>
      </c>
      <c r="S5516" t="s">
        <v>41439</v>
      </c>
      <c r="T5516" t="s">
        <v>42681</v>
      </c>
      <c r="U5516" t="s">
        <v>47768</v>
      </c>
      <c r="W5516" t="s">
        <v>38838</v>
      </c>
      <c r="X5516" t="s">
        <v>41255</v>
      </c>
    </row>
    <row r="5517" spans="1:24">
      <c r="A5517">
        <f>HYPERLINK("https://www.philgeps.gov.ph/GEPSNONPILOT/Tender/SplashBidNoticeAbstractUI.aspx?menuIndex=3&amp;refID=7072305&amp;Result=3","7072305")</f>
        <v>0</v>
      </c>
      <c r="B5517" t="s">
        <v>1860</v>
      </c>
      <c r="C5517" t="s">
        <v>8643</v>
      </c>
      <c r="D5517" t="s">
        <v>16648</v>
      </c>
      <c r="E5517" t="s">
        <v>21616</v>
      </c>
      <c r="F5517" t="s">
        <v>28669</v>
      </c>
      <c r="G5517" t="s">
        <v>28682</v>
      </c>
      <c r="H5517" t="s">
        <v>9998</v>
      </c>
      <c r="I5517" t="s">
        <v>28687</v>
      </c>
      <c r="J5517" t="s">
        <v>32331</v>
      </c>
      <c r="K5517" t="s">
        <v>37206</v>
      </c>
      <c r="M5517" t="s">
        <v>39480</v>
      </c>
      <c r="N5517" t="s">
        <v>41249</v>
      </c>
      <c r="O5517" t="s">
        <v>41250</v>
      </c>
      <c r="P5517">
        <v>0</v>
      </c>
      <c r="Q5517">
        <v>4</v>
      </c>
      <c r="R5517" t="s">
        <v>41254</v>
      </c>
      <c r="S5517" t="s">
        <v>41425</v>
      </c>
      <c r="T5517" t="s">
        <v>42675</v>
      </c>
      <c r="U5517" t="s">
        <v>47769</v>
      </c>
      <c r="V5517" t="s">
        <v>54868</v>
      </c>
      <c r="W5517" t="s">
        <v>39480</v>
      </c>
      <c r="X5517" t="s">
        <v>41256</v>
      </c>
    </row>
    <row r="5518" spans="1:24">
      <c r="A5518">
        <f>HYPERLINK("https://www.philgeps.gov.ph/GEPSNONPILOT/Tender/SplashBidNoticeAbstractUI.aspx?menuIndex=3&amp;refID=7073139&amp;Result=3","7073139")</f>
        <v>0</v>
      </c>
      <c r="B5518" t="s">
        <v>473</v>
      </c>
      <c r="C5518" t="s">
        <v>8644</v>
      </c>
      <c r="D5518" t="s">
        <v>16647</v>
      </c>
      <c r="E5518" t="s">
        <v>21617</v>
      </c>
      <c r="F5518" t="s">
        <v>28669</v>
      </c>
      <c r="G5518" t="s">
        <v>28675</v>
      </c>
      <c r="H5518" t="s">
        <v>9998</v>
      </c>
      <c r="I5518" t="s">
        <v>28773</v>
      </c>
      <c r="J5518" t="s">
        <v>29040</v>
      </c>
      <c r="K5518" t="s">
        <v>37243</v>
      </c>
      <c r="M5518" t="s">
        <v>37961</v>
      </c>
      <c r="N5518" t="s">
        <v>41249</v>
      </c>
      <c r="O5518" t="s">
        <v>41250</v>
      </c>
      <c r="P5518">
        <v>0</v>
      </c>
      <c r="Q5518">
        <v>1</v>
      </c>
      <c r="R5518" t="s">
        <v>41254</v>
      </c>
      <c r="S5518" t="s">
        <v>41425</v>
      </c>
      <c r="T5518" t="s">
        <v>42673</v>
      </c>
      <c r="U5518" t="s">
        <v>47770</v>
      </c>
      <c r="W5518" t="s">
        <v>37961</v>
      </c>
      <c r="X5518" t="s">
        <v>41255</v>
      </c>
    </row>
    <row r="5519" spans="1:24">
      <c r="A5519">
        <f>HYPERLINK("https://www.philgeps.gov.ph/GEPSNONPILOT/Tender/SplashBidNoticeAbstractUI.aspx?menuIndex=3&amp;refID=7073133&amp;Result=3","7073133")</f>
        <v>0</v>
      </c>
      <c r="B5519" t="s">
        <v>1871</v>
      </c>
      <c r="C5519" t="s">
        <v>8645</v>
      </c>
      <c r="D5519" t="s">
        <v>16626</v>
      </c>
      <c r="E5519" t="s">
        <v>21618</v>
      </c>
      <c r="F5519" t="s">
        <v>28669</v>
      </c>
      <c r="G5519" t="s">
        <v>28676</v>
      </c>
      <c r="H5519" t="s">
        <v>9998</v>
      </c>
      <c r="I5519" t="s">
        <v>28696</v>
      </c>
      <c r="J5519" t="s">
        <v>32332</v>
      </c>
      <c r="K5519" t="s">
        <v>37208</v>
      </c>
      <c r="M5519" t="s">
        <v>39493</v>
      </c>
      <c r="N5519" t="s">
        <v>41249</v>
      </c>
      <c r="O5519" t="s">
        <v>41250</v>
      </c>
      <c r="P5519">
        <v>0</v>
      </c>
      <c r="Q5519">
        <v>0</v>
      </c>
      <c r="R5519" t="s">
        <v>41254</v>
      </c>
      <c r="S5519" t="s">
        <v>41425</v>
      </c>
      <c r="T5519" t="s">
        <v>42771</v>
      </c>
      <c r="U5519" t="s">
        <v>47771</v>
      </c>
      <c r="W5519" t="s">
        <v>39493</v>
      </c>
      <c r="X5519" t="s">
        <v>41255</v>
      </c>
    </row>
    <row r="5520" spans="1:24">
      <c r="A5520">
        <f>HYPERLINK("https://www.philgeps.gov.ph/GEPSNONPILOT/Tender/SplashBidNoticeAbstractUI.aspx?menuIndex=3&amp;refID=7073135&amp;Result=3","7073135")</f>
        <v>0</v>
      </c>
      <c r="B5520" t="s">
        <v>1877</v>
      </c>
      <c r="C5520" t="s">
        <v>8646</v>
      </c>
      <c r="E5520" t="s">
        <v>21619</v>
      </c>
      <c r="F5520" t="s">
        <v>28669</v>
      </c>
      <c r="G5520" t="s">
        <v>28676</v>
      </c>
      <c r="H5520" t="s">
        <v>9998</v>
      </c>
      <c r="I5520" t="s">
        <v>28773</v>
      </c>
      <c r="J5520" t="s">
        <v>28912</v>
      </c>
      <c r="K5520" t="s">
        <v>37210</v>
      </c>
      <c r="M5520" t="s">
        <v>39499</v>
      </c>
      <c r="N5520" t="s">
        <v>41249</v>
      </c>
      <c r="O5520" t="s">
        <v>41250</v>
      </c>
      <c r="P5520">
        <v>0</v>
      </c>
      <c r="Q5520">
        <v>1</v>
      </c>
      <c r="R5520" t="s">
        <v>41254</v>
      </c>
      <c r="S5520" t="s">
        <v>41425</v>
      </c>
      <c r="T5520" t="s">
        <v>42992</v>
      </c>
      <c r="U5520" t="s">
        <v>47772</v>
      </c>
      <c r="W5520" t="s">
        <v>39499</v>
      </c>
      <c r="X5520" t="s">
        <v>41255</v>
      </c>
    </row>
    <row r="5521" spans="1:24">
      <c r="A5521">
        <f>HYPERLINK("https://www.philgeps.gov.ph/GEPSNONPILOT/Tender/SplashBidNoticeAbstractUI.aspx?menuIndex=3&amp;refID=7073142&amp;Result=3","7073142")</f>
        <v>0</v>
      </c>
      <c r="B5521" t="s">
        <v>100</v>
      </c>
      <c r="C5521" t="s">
        <v>8647</v>
      </c>
      <c r="D5521" t="s">
        <v>16608</v>
      </c>
      <c r="E5521" t="s">
        <v>21620</v>
      </c>
      <c r="F5521" t="s">
        <v>28669</v>
      </c>
      <c r="G5521" t="s">
        <v>28675</v>
      </c>
      <c r="H5521" t="s">
        <v>28684</v>
      </c>
      <c r="I5521" t="s">
        <v>28704</v>
      </c>
      <c r="J5521" t="s">
        <v>30062</v>
      </c>
      <c r="K5521" t="s">
        <v>37215</v>
      </c>
      <c r="M5521" t="s">
        <v>39500</v>
      </c>
      <c r="N5521" t="s">
        <v>41249</v>
      </c>
      <c r="O5521" t="s">
        <v>41250</v>
      </c>
      <c r="Q5521">
        <v>2</v>
      </c>
      <c r="R5521" t="s">
        <v>41254</v>
      </c>
      <c r="S5521" t="s">
        <v>41440</v>
      </c>
      <c r="T5521" t="s">
        <v>42693</v>
      </c>
      <c r="U5521" t="s">
        <v>47773</v>
      </c>
      <c r="W5521" t="s">
        <v>39500</v>
      </c>
      <c r="X5521" t="s">
        <v>41255</v>
      </c>
    </row>
    <row r="5522" spans="1:24">
      <c r="A5522">
        <f>HYPERLINK("https://www.philgeps.gov.ph/GEPSNONPILOT/Tender/SplashBidNoticeAbstractUI.aspx?menuIndex=3&amp;refID=7073128&amp;Result=3","7073128")</f>
        <v>0</v>
      </c>
      <c r="B5522" t="s">
        <v>1877</v>
      </c>
      <c r="C5522" t="s">
        <v>4615</v>
      </c>
      <c r="E5522" t="s">
        <v>21621</v>
      </c>
      <c r="F5522" t="s">
        <v>28669</v>
      </c>
      <c r="G5522" t="s">
        <v>28676</v>
      </c>
      <c r="H5522" t="s">
        <v>9998</v>
      </c>
      <c r="I5522" t="s">
        <v>7352</v>
      </c>
      <c r="J5522" t="s">
        <v>31353</v>
      </c>
      <c r="K5522" t="s">
        <v>37243</v>
      </c>
      <c r="M5522" t="s">
        <v>39499</v>
      </c>
      <c r="N5522" t="s">
        <v>41249</v>
      </c>
      <c r="O5522" t="s">
        <v>41250</v>
      </c>
      <c r="P5522">
        <v>0</v>
      </c>
      <c r="Q5522">
        <v>0</v>
      </c>
      <c r="R5522" t="s">
        <v>41254</v>
      </c>
      <c r="S5522" t="s">
        <v>41425</v>
      </c>
      <c r="T5522" t="s">
        <v>42992</v>
      </c>
      <c r="U5522" t="s">
        <v>47774</v>
      </c>
      <c r="W5522" t="s">
        <v>39499</v>
      </c>
      <c r="X5522" t="s">
        <v>41255</v>
      </c>
    </row>
    <row r="5523" spans="1:24">
      <c r="A5523">
        <f>HYPERLINK("https://www.philgeps.gov.ph/GEPSNONPILOT/Tender/SplashBidNoticeAbstractUI.aspx?menuIndex=3&amp;refID=7073126&amp;Result=3","7073126")</f>
        <v>0</v>
      </c>
      <c r="B5523" t="s">
        <v>1878</v>
      </c>
      <c r="C5523" t="s">
        <v>8648</v>
      </c>
      <c r="D5523" t="s">
        <v>16628</v>
      </c>
      <c r="E5523" t="s">
        <v>21622</v>
      </c>
      <c r="F5523" t="s">
        <v>28669</v>
      </c>
      <c r="G5523" t="s">
        <v>28676</v>
      </c>
      <c r="H5523" t="s">
        <v>9998</v>
      </c>
      <c r="I5523" t="s">
        <v>28695</v>
      </c>
      <c r="J5523" t="s">
        <v>32333</v>
      </c>
      <c r="K5523" t="s">
        <v>37301</v>
      </c>
      <c r="M5523" t="s">
        <v>39501</v>
      </c>
      <c r="N5523" t="s">
        <v>41249</v>
      </c>
      <c r="O5523" t="s">
        <v>41250</v>
      </c>
      <c r="P5523">
        <v>0</v>
      </c>
      <c r="Q5523">
        <v>0</v>
      </c>
      <c r="R5523" t="s">
        <v>41254</v>
      </c>
      <c r="S5523" t="s">
        <v>41425</v>
      </c>
      <c r="T5523" t="s">
        <v>43008</v>
      </c>
      <c r="U5523" t="s">
        <v>47775</v>
      </c>
      <c r="W5523" t="s">
        <v>39501</v>
      </c>
      <c r="X5523" t="s">
        <v>41255</v>
      </c>
    </row>
    <row r="5524" spans="1:24">
      <c r="A5524">
        <f>HYPERLINK("https://www.philgeps.gov.ph/GEPSNONPILOT/Tender/SplashBidNoticeAbstractUI.aspx?menuIndex=3&amp;refID=7073125&amp;Result=3","7073125")</f>
        <v>0</v>
      </c>
      <c r="B5524" t="s">
        <v>972</v>
      </c>
      <c r="C5524" t="s">
        <v>8649</v>
      </c>
      <c r="D5524" t="s">
        <v>16658</v>
      </c>
      <c r="E5524" t="s">
        <v>21623</v>
      </c>
      <c r="F5524" t="s">
        <v>28669</v>
      </c>
      <c r="G5524" t="s">
        <v>28676</v>
      </c>
      <c r="H5524" t="s">
        <v>9998</v>
      </c>
      <c r="I5524" t="s">
        <v>28701</v>
      </c>
      <c r="J5524" t="s">
        <v>32334</v>
      </c>
      <c r="K5524" t="s">
        <v>37238</v>
      </c>
      <c r="M5524" t="s">
        <v>38497</v>
      </c>
      <c r="N5524" t="s">
        <v>41249</v>
      </c>
      <c r="O5524" t="s">
        <v>41250</v>
      </c>
      <c r="P5524">
        <v>0</v>
      </c>
      <c r="Q5524">
        <v>1</v>
      </c>
      <c r="R5524" t="s">
        <v>41254</v>
      </c>
      <c r="S5524" t="s">
        <v>41425</v>
      </c>
      <c r="T5524" t="s">
        <v>43009</v>
      </c>
      <c r="U5524" t="s">
        <v>47776</v>
      </c>
      <c r="V5524" t="s">
        <v>54865</v>
      </c>
      <c r="W5524" t="s">
        <v>38497</v>
      </c>
      <c r="X5524" t="s">
        <v>41255</v>
      </c>
    </row>
    <row r="5525" spans="1:24">
      <c r="A5525">
        <f>HYPERLINK("https://www.philgeps.gov.ph/GEPSNONPILOT/Tender/SplashBidNoticeAbstractUI.aspx?menuIndex=3&amp;refID=7073108&amp;Result=3","7073108")</f>
        <v>0</v>
      </c>
      <c r="B5525" t="s">
        <v>1871</v>
      </c>
      <c r="C5525" t="s">
        <v>8650</v>
      </c>
      <c r="D5525" t="s">
        <v>16626</v>
      </c>
      <c r="E5525" t="s">
        <v>21624</v>
      </c>
      <c r="F5525" t="s">
        <v>28669</v>
      </c>
      <c r="G5525" t="s">
        <v>28676</v>
      </c>
      <c r="H5525" t="s">
        <v>9998</v>
      </c>
      <c r="I5525" t="s">
        <v>28716</v>
      </c>
      <c r="J5525" t="s">
        <v>31294</v>
      </c>
      <c r="K5525" t="s">
        <v>37208</v>
      </c>
      <c r="M5525" t="s">
        <v>39493</v>
      </c>
      <c r="N5525" t="s">
        <v>41249</v>
      </c>
      <c r="O5525" t="s">
        <v>41250</v>
      </c>
      <c r="P5525">
        <v>0</v>
      </c>
      <c r="Q5525">
        <v>0</v>
      </c>
      <c r="R5525" t="s">
        <v>41254</v>
      </c>
      <c r="S5525" t="s">
        <v>41425</v>
      </c>
      <c r="T5525" t="s">
        <v>42887</v>
      </c>
      <c r="U5525" t="s">
        <v>47777</v>
      </c>
      <c r="W5525" t="s">
        <v>39493</v>
      </c>
      <c r="X5525" t="s">
        <v>41255</v>
      </c>
    </row>
    <row r="5526" spans="1:24">
      <c r="A5526">
        <f>HYPERLINK("https://www.philgeps.gov.ph/GEPSNONPILOT/Tender/SplashBidNoticeAbstractUI.aspx?menuIndex=3&amp;refID=7073123&amp;Result=3","7073123")</f>
        <v>0</v>
      </c>
      <c r="B5526" t="s">
        <v>1871</v>
      </c>
      <c r="C5526" t="s">
        <v>8651</v>
      </c>
      <c r="D5526" t="s">
        <v>16626</v>
      </c>
      <c r="E5526" t="s">
        <v>21625</v>
      </c>
      <c r="F5526" t="s">
        <v>28669</v>
      </c>
      <c r="G5526" t="s">
        <v>28676</v>
      </c>
      <c r="H5526" t="s">
        <v>9998</v>
      </c>
      <c r="I5526" t="s">
        <v>3718</v>
      </c>
      <c r="J5526" t="s">
        <v>29151</v>
      </c>
      <c r="K5526" t="s">
        <v>37208</v>
      </c>
      <c r="M5526" t="s">
        <v>39493</v>
      </c>
      <c r="N5526" t="s">
        <v>41249</v>
      </c>
      <c r="O5526" t="s">
        <v>41250</v>
      </c>
      <c r="P5526">
        <v>0</v>
      </c>
      <c r="Q5526">
        <v>0</v>
      </c>
      <c r="R5526" t="s">
        <v>41254</v>
      </c>
      <c r="S5526" t="s">
        <v>41425</v>
      </c>
      <c r="T5526" t="s">
        <v>42887</v>
      </c>
      <c r="U5526" t="s">
        <v>47778</v>
      </c>
      <c r="W5526" t="s">
        <v>39493</v>
      </c>
      <c r="X5526" t="s">
        <v>41255</v>
      </c>
    </row>
    <row r="5527" spans="1:24">
      <c r="A5527">
        <f>HYPERLINK("https://www.philgeps.gov.ph/GEPSNONPILOT/Tender/SplashBidNoticeAbstractUI.aspx?menuIndex=3&amp;refID=7073129&amp;Result=3","7073129")</f>
        <v>0</v>
      </c>
      <c r="B5527" t="s">
        <v>1287</v>
      </c>
      <c r="C5527" t="s">
        <v>8652</v>
      </c>
      <c r="D5527" t="s">
        <v>16666</v>
      </c>
      <c r="E5527" t="s">
        <v>21626</v>
      </c>
      <c r="F5527" t="s">
        <v>28669</v>
      </c>
      <c r="G5527" t="s">
        <v>28675</v>
      </c>
      <c r="H5527" t="s">
        <v>9998</v>
      </c>
      <c r="I5527" t="s">
        <v>28708</v>
      </c>
      <c r="J5527" t="s">
        <v>32335</v>
      </c>
      <c r="K5527" t="s">
        <v>37206</v>
      </c>
      <c r="M5527" t="s">
        <v>38838</v>
      </c>
      <c r="N5527" t="s">
        <v>41249</v>
      </c>
      <c r="O5527" t="s">
        <v>41250</v>
      </c>
      <c r="Q5527">
        <v>5</v>
      </c>
      <c r="R5527" t="s">
        <v>41254</v>
      </c>
      <c r="S5527" t="s">
        <v>41441</v>
      </c>
      <c r="T5527" t="s">
        <v>42681</v>
      </c>
      <c r="U5527" t="s">
        <v>47768</v>
      </c>
      <c r="W5527" t="s">
        <v>38838</v>
      </c>
      <c r="X5527" t="s">
        <v>41255</v>
      </c>
    </row>
    <row r="5528" spans="1:24">
      <c r="A5528">
        <f>HYPERLINK("https://www.philgeps.gov.ph/GEPSNONPILOT/Tender/SplashBidNoticeAbstractUI.aspx?menuIndex=3&amp;refID=7073122&amp;Result=3","7073122")</f>
        <v>0</v>
      </c>
      <c r="B5528" t="s">
        <v>1878</v>
      </c>
      <c r="C5528" t="s">
        <v>8653</v>
      </c>
      <c r="D5528" t="s">
        <v>16628</v>
      </c>
      <c r="E5528" t="s">
        <v>21627</v>
      </c>
      <c r="F5528" t="s">
        <v>28669</v>
      </c>
      <c r="G5528" t="s">
        <v>28676</v>
      </c>
      <c r="H5528" t="s">
        <v>9998</v>
      </c>
      <c r="I5528" t="s">
        <v>28695</v>
      </c>
      <c r="J5528" t="s">
        <v>32336</v>
      </c>
      <c r="K5528" t="s">
        <v>37301</v>
      </c>
      <c r="M5528" t="s">
        <v>39501</v>
      </c>
      <c r="N5528" t="s">
        <v>41249</v>
      </c>
      <c r="O5528" t="s">
        <v>41250</v>
      </c>
      <c r="P5528">
        <v>0</v>
      </c>
      <c r="Q5528">
        <v>0</v>
      </c>
      <c r="R5528" t="s">
        <v>41254</v>
      </c>
      <c r="S5528" t="s">
        <v>41425</v>
      </c>
      <c r="T5528" t="s">
        <v>43008</v>
      </c>
      <c r="U5528" t="s">
        <v>47779</v>
      </c>
      <c r="W5528" t="s">
        <v>39501</v>
      </c>
      <c r="X5528" t="s">
        <v>41255</v>
      </c>
    </row>
    <row r="5529" spans="1:24">
      <c r="A5529">
        <f>HYPERLINK("https://www.philgeps.gov.ph/GEPSNONPILOT/Tender/SplashBidNoticeAbstractUI.aspx?menuIndex=3&amp;refID=7073124&amp;Result=3","7073124")</f>
        <v>0</v>
      </c>
      <c r="B5529" t="s">
        <v>1877</v>
      </c>
      <c r="C5529" t="s">
        <v>8654</v>
      </c>
      <c r="E5529" t="s">
        <v>21628</v>
      </c>
      <c r="F5529" t="s">
        <v>28669</v>
      </c>
      <c r="G5529" t="s">
        <v>28676</v>
      </c>
      <c r="H5529" t="s">
        <v>9998</v>
      </c>
      <c r="I5529" t="s">
        <v>28731</v>
      </c>
      <c r="J5529" t="s">
        <v>29088</v>
      </c>
      <c r="K5529" t="s">
        <v>37210</v>
      </c>
      <c r="M5529" t="s">
        <v>39499</v>
      </c>
      <c r="N5529" t="s">
        <v>41249</v>
      </c>
      <c r="O5529" t="s">
        <v>41250</v>
      </c>
      <c r="P5529">
        <v>0</v>
      </c>
      <c r="Q5529">
        <v>2</v>
      </c>
      <c r="R5529" t="s">
        <v>41254</v>
      </c>
      <c r="S5529" t="s">
        <v>41425</v>
      </c>
      <c r="T5529" t="s">
        <v>42992</v>
      </c>
      <c r="U5529" t="s">
        <v>47780</v>
      </c>
      <c r="W5529" t="s">
        <v>39499</v>
      </c>
      <c r="X5529" t="s">
        <v>41255</v>
      </c>
    </row>
    <row r="5530" spans="1:24">
      <c r="A5530">
        <f>HYPERLINK("https://www.philgeps.gov.ph/GEPSNONPILOT/Tender/SplashBidNoticeAbstractUI.aspx?menuIndex=3&amp;refID=7073167&amp;Result=3","7073167")</f>
        <v>0</v>
      </c>
      <c r="B5530" t="s">
        <v>1514</v>
      </c>
      <c r="C5530" t="s">
        <v>8655</v>
      </c>
      <c r="D5530" t="s">
        <v>16621</v>
      </c>
      <c r="E5530" t="s">
        <v>21629</v>
      </c>
      <c r="F5530" t="s">
        <v>28669</v>
      </c>
      <c r="G5530" t="s">
        <v>28677</v>
      </c>
      <c r="H5530" t="s">
        <v>9998</v>
      </c>
      <c r="I5530" t="s">
        <v>28695</v>
      </c>
      <c r="J5530" t="s">
        <v>32337</v>
      </c>
      <c r="K5530" t="s">
        <v>37213</v>
      </c>
      <c r="M5530" t="s">
        <v>39088</v>
      </c>
      <c r="N5530" t="s">
        <v>41249</v>
      </c>
      <c r="O5530" t="s">
        <v>41250</v>
      </c>
      <c r="P5530">
        <v>0</v>
      </c>
      <c r="Q5530">
        <v>1</v>
      </c>
      <c r="R5530" t="s">
        <v>41254</v>
      </c>
      <c r="S5530" t="s">
        <v>41425</v>
      </c>
      <c r="T5530" t="s">
        <v>42673</v>
      </c>
      <c r="U5530" t="s">
        <v>47781</v>
      </c>
      <c r="W5530" t="s">
        <v>39088</v>
      </c>
      <c r="X5530" t="s">
        <v>41255</v>
      </c>
    </row>
    <row r="5531" spans="1:24">
      <c r="A5531">
        <f>HYPERLINK("https://www.philgeps.gov.ph/GEPSNONPILOT/Tender/SplashBidNoticeAbstractUI.aspx?menuIndex=3&amp;refID=7073099&amp;Result=3","7073099")</f>
        <v>0</v>
      </c>
      <c r="B5531" t="s">
        <v>1879</v>
      </c>
      <c r="C5531" t="s">
        <v>8656</v>
      </c>
      <c r="D5531" t="s">
        <v>16624</v>
      </c>
      <c r="E5531" t="s">
        <v>21630</v>
      </c>
      <c r="F5531" t="s">
        <v>28669</v>
      </c>
      <c r="G5531" t="s">
        <v>28675</v>
      </c>
      <c r="H5531" t="s">
        <v>28686</v>
      </c>
      <c r="I5531" t="s">
        <v>28689</v>
      </c>
      <c r="J5531" t="s">
        <v>30289</v>
      </c>
      <c r="K5531" t="s">
        <v>37213</v>
      </c>
      <c r="M5531" t="s">
        <v>39502</v>
      </c>
      <c r="N5531" t="s">
        <v>41249</v>
      </c>
      <c r="O5531" t="s">
        <v>41250</v>
      </c>
      <c r="P5531">
        <v>0</v>
      </c>
      <c r="Q5531">
        <v>0</v>
      </c>
      <c r="R5531" t="s">
        <v>41254</v>
      </c>
      <c r="S5531" t="s">
        <v>41425</v>
      </c>
      <c r="T5531" t="s">
        <v>42929</v>
      </c>
      <c r="U5531" t="s">
        <v>47782</v>
      </c>
      <c r="W5531" t="s">
        <v>39502</v>
      </c>
      <c r="X5531" t="s">
        <v>41255</v>
      </c>
    </row>
    <row r="5532" spans="1:24">
      <c r="A5532">
        <f>HYPERLINK("https://www.philgeps.gov.ph/GEPSNONPILOT/Tender/SplashBidNoticeAbstractUI.aspx?menuIndex=3&amp;refID=7073120&amp;Result=3","7073120")</f>
        <v>0</v>
      </c>
      <c r="B5532" t="s">
        <v>1880</v>
      </c>
      <c r="C5532" t="s">
        <v>8657</v>
      </c>
      <c r="D5532" t="s">
        <v>16643</v>
      </c>
      <c r="E5532" t="s">
        <v>21263</v>
      </c>
      <c r="F5532" t="s">
        <v>28669</v>
      </c>
      <c r="G5532" t="s">
        <v>28677</v>
      </c>
      <c r="H5532" t="s">
        <v>9998</v>
      </c>
      <c r="I5532" t="s">
        <v>5286</v>
      </c>
      <c r="J5532" t="s">
        <v>32338</v>
      </c>
      <c r="K5532" t="s">
        <v>37210</v>
      </c>
      <c r="M5532" t="s">
        <v>39503</v>
      </c>
      <c r="N5532" t="s">
        <v>41249</v>
      </c>
      <c r="O5532" t="s">
        <v>41250</v>
      </c>
      <c r="P5532">
        <v>0</v>
      </c>
      <c r="Q5532">
        <v>0</v>
      </c>
      <c r="R5532" t="s">
        <v>41254</v>
      </c>
      <c r="S5532" t="s">
        <v>41425</v>
      </c>
      <c r="T5532" t="s">
        <v>43010</v>
      </c>
      <c r="U5532" t="s">
        <v>47783</v>
      </c>
      <c r="W5532" t="s">
        <v>39503</v>
      </c>
      <c r="X5532" t="s">
        <v>41255</v>
      </c>
    </row>
    <row r="5533" spans="1:24">
      <c r="A5533">
        <f>HYPERLINK("https://www.philgeps.gov.ph/GEPSNONPILOT/Tender/SplashBidNoticeAbstractUI.aspx?menuIndex=3&amp;refID=7073162&amp;Result=3","7073162")</f>
        <v>0</v>
      </c>
      <c r="B5533" t="s">
        <v>1881</v>
      </c>
      <c r="C5533" t="s">
        <v>8658</v>
      </c>
      <c r="D5533" t="s">
        <v>16662</v>
      </c>
      <c r="E5533" t="s">
        <v>6569</v>
      </c>
      <c r="F5533" t="s">
        <v>28669</v>
      </c>
      <c r="G5533" t="s">
        <v>28675</v>
      </c>
      <c r="H5533" t="s">
        <v>9998</v>
      </c>
      <c r="I5533" t="s">
        <v>28718</v>
      </c>
      <c r="J5533" t="s">
        <v>28879</v>
      </c>
      <c r="K5533" t="s">
        <v>37243</v>
      </c>
      <c r="M5533" t="s">
        <v>39504</v>
      </c>
      <c r="N5533" t="s">
        <v>41249</v>
      </c>
      <c r="O5533" t="s">
        <v>41250</v>
      </c>
      <c r="P5533">
        <v>0</v>
      </c>
      <c r="Q5533">
        <v>1</v>
      </c>
      <c r="R5533" t="s">
        <v>41254</v>
      </c>
      <c r="S5533" t="s">
        <v>41425</v>
      </c>
      <c r="T5533" t="s">
        <v>42711</v>
      </c>
      <c r="U5533" t="s">
        <v>47784</v>
      </c>
      <c r="W5533" t="s">
        <v>39504</v>
      </c>
      <c r="X5533" t="s">
        <v>41255</v>
      </c>
    </row>
    <row r="5534" spans="1:24">
      <c r="A5534">
        <f>HYPERLINK("https://www.philgeps.gov.ph/GEPSNONPILOT/Tender/SplashBidNoticeAbstractUI.aspx?menuIndex=3&amp;refID=7073143&amp;Result=3","7073143")</f>
        <v>0</v>
      </c>
      <c r="B5534" t="s">
        <v>1514</v>
      </c>
      <c r="C5534" t="s">
        <v>8659</v>
      </c>
      <c r="E5534" t="s">
        <v>21631</v>
      </c>
      <c r="F5534" t="s">
        <v>28669</v>
      </c>
      <c r="G5534" t="s">
        <v>28677</v>
      </c>
      <c r="H5534" t="s">
        <v>9998</v>
      </c>
      <c r="I5534" t="s">
        <v>6128</v>
      </c>
      <c r="J5534" t="s">
        <v>30036</v>
      </c>
      <c r="K5534" t="s">
        <v>37205</v>
      </c>
      <c r="M5534" t="s">
        <v>39088</v>
      </c>
      <c r="N5534" t="s">
        <v>41249</v>
      </c>
      <c r="O5534" t="s">
        <v>41250</v>
      </c>
      <c r="P5534">
        <v>0</v>
      </c>
      <c r="Q5534">
        <v>1</v>
      </c>
      <c r="R5534" t="s">
        <v>41254</v>
      </c>
      <c r="S5534" t="s">
        <v>41425</v>
      </c>
      <c r="T5534" t="s">
        <v>42673</v>
      </c>
      <c r="U5534" t="s">
        <v>47781</v>
      </c>
      <c r="W5534" t="s">
        <v>39088</v>
      </c>
      <c r="X5534" t="s">
        <v>41255</v>
      </c>
    </row>
    <row r="5535" spans="1:24">
      <c r="A5535">
        <f>HYPERLINK("https://www.philgeps.gov.ph/GEPSNONPILOT/Tender/SplashBidNoticeAbstractUI.aspx?menuIndex=3&amp;refID=7073160&amp;Result=3","7073160")</f>
        <v>0</v>
      </c>
      <c r="B5535" t="s">
        <v>1829</v>
      </c>
      <c r="C5535" t="s">
        <v>8660</v>
      </c>
      <c r="D5535" t="s">
        <v>16661</v>
      </c>
      <c r="E5535" t="s">
        <v>21444</v>
      </c>
      <c r="F5535" t="s">
        <v>28669</v>
      </c>
      <c r="G5535" t="s">
        <v>28677</v>
      </c>
      <c r="H5535" t="s">
        <v>9998</v>
      </c>
      <c r="I5535" t="s">
        <v>28695</v>
      </c>
      <c r="J5535" t="s">
        <v>32339</v>
      </c>
      <c r="K5535" t="s">
        <v>37210</v>
      </c>
      <c r="M5535" t="s">
        <v>39442</v>
      </c>
      <c r="N5535" t="s">
        <v>41249</v>
      </c>
      <c r="O5535" t="s">
        <v>41250</v>
      </c>
      <c r="P5535">
        <v>0</v>
      </c>
      <c r="Q5535">
        <v>0</v>
      </c>
      <c r="R5535" t="s">
        <v>41254</v>
      </c>
      <c r="S5535" t="s">
        <v>41425</v>
      </c>
      <c r="T5535" t="s">
        <v>42728</v>
      </c>
      <c r="U5535" t="s">
        <v>47785</v>
      </c>
      <c r="W5535" t="s">
        <v>39442</v>
      </c>
      <c r="X5535" t="s">
        <v>41255</v>
      </c>
    </row>
    <row r="5536" spans="1:24">
      <c r="A5536">
        <f>HYPERLINK("https://www.philgeps.gov.ph/GEPSNONPILOT/Tender/SplashBidNoticeAbstractUI.aspx?menuIndex=3&amp;refID=7073159&amp;Result=3","7073159")</f>
        <v>0</v>
      </c>
      <c r="B5536" t="s">
        <v>1829</v>
      </c>
      <c r="C5536" t="s">
        <v>8661</v>
      </c>
      <c r="D5536" t="s">
        <v>16661</v>
      </c>
      <c r="E5536" t="s">
        <v>21444</v>
      </c>
      <c r="F5536" t="s">
        <v>28669</v>
      </c>
      <c r="G5536" t="s">
        <v>28677</v>
      </c>
      <c r="H5536" t="s">
        <v>9998</v>
      </c>
      <c r="I5536" t="s">
        <v>6128</v>
      </c>
      <c r="J5536" t="s">
        <v>32340</v>
      </c>
      <c r="K5536" t="s">
        <v>37210</v>
      </c>
      <c r="M5536" t="s">
        <v>39442</v>
      </c>
      <c r="N5536" t="s">
        <v>41249</v>
      </c>
      <c r="O5536" t="s">
        <v>41250</v>
      </c>
      <c r="P5536">
        <v>0</v>
      </c>
      <c r="Q5536">
        <v>2</v>
      </c>
      <c r="R5536" t="s">
        <v>41254</v>
      </c>
      <c r="S5536" t="s">
        <v>41425</v>
      </c>
      <c r="T5536" t="s">
        <v>42728</v>
      </c>
      <c r="U5536" t="s">
        <v>47786</v>
      </c>
      <c r="W5536" t="s">
        <v>39442</v>
      </c>
      <c r="X5536" t="s">
        <v>41255</v>
      </c>
    </row>
    <row r="5537" spans="1:24">
      <c r="A5537">
        <f>HYPERLINK("https://www.philgeps.gov.ph/GEPSNONPILOT/Tender/SplashBidNoticeAbstractUI.aspx?menuIndex=3&amp;refID=7073130&amp;Result=3","7073130")</f>
        <v>0</v>
      </c>
      <c r="B5537" t="s">
        <v>1878</v>
      </c>
      <c r="C5537" t="s">
        <v>8662</v>
      </c>
      <c r="D5537" t="s">
        <v>16628</v>
      </c>
      <c r="E5537" t="s">
        <v>21632</v>
      </c>
      <c r="F5537" t="s">
        <v>28669</v>
      </c>
      <c r="G5537" t="s">
        <v>28676</v>
      </c>
      <c r="H5537" t="s">
        <v>9998</v>
      </c>
      <c r="I5537" t="s">
        <v>28695</v>
      </c>
      <c r="J5537" t="s">
        <v>32341</v>
      </c>
      <c r="K5537" t="s">
        <v>37301</v>
      </c>
      <c r="M5537" t="s">
        <v>39501</v>
      </c>
      <c r="N5537" t="s">
        <v>41249</v>
      </c>
      <c r="O5537" t="s">
        <v>41250</v>
      </c>
      <c r="P5537">
        <v>0</v>
      </c>
      <c r="Q5537">
        <v>0</v>
      </c>
      <c r="R5537" t="s">
        <v>41254</v>
      </c>
      <c r="S5537" t="s">
        <v>41425</v>
      </c>
      <c r="T5537" t="s">
        <v>43008</v>
      </c>
      <c r="U5537" t="s">
        <v>47787</v>
      </c>
      <c r="W5537" t="s">
        <v>39501</v>
      </c>
      <c r="X5537" t="s">
        <v>41255</v>
      </c>
    </row>
    <row r="5538" spans="1:24">
      <c r="A5538">
        <f>HYPERLINK("https://www.philgeps.gov.ph/GEPSNONPILOT/Tender/SplashBidNoticeAbstractUI.aspx?menuIndex=3&amp;refID=7073156&amp;Result=3","7073156")</f>
        <v>0</v>
      </c>
      <c r="B5538" t="s">
        <v>1882</v>
      </c>
      <c r="C5538" t="s">
        <v>8663</v>
      </c>
      <c r="E5538" t="s">
        <v>4276</v>
      </c>
      <c r="F5538" t="s">
        <v>28669</v>
      </c>
      <c r="G5538" t="s">
        <v>28678</v>
      </c>
      <c r="H5538" t="s">
        <v>9998</v>
      </c>
      <c r="I5538" t="s">
        <v>7352</v>
      </c>
      <c r="J5538" t="s">
        <v>32342</v>
      </c>
      <c r="K5538" t="s">
        <v>37208</v>
      </c>
      <c r="N5538" t="s">
        <v>41249</v>
      </c>
      <c r="O5538" t="s">
        <v>41250</v>
      </c>
      <c r="P5538">
        <v>0</v>
      </c>
      <c r="Q5538">
        <v>0</v>
      </c>
      <c r="R5538" t="s">
        <v>41254</v>
      </c>
      <c r="S5538" t="s">
        <v>41425</v>
      </c>
      <c r="T5538" t="s">
        <v>42682</v>
      </c>
      <c r="U5538" t="s">
        <v>47788</v>
      </c>
      <c r="V5538" t="s">
        <v>54869</v>
      </c>
      <c r="W5538" t="s">
        <v>55974</v>
      </c>
      <c r="X5538" t="s">
        <v>41255</v>
      </c>
    </row>
    <row r="5539" spans="1:24">
      <c r="A5539">
        <f>HYPERLINK("https://www.philgeps.gov.ph/GEPSNONPILOT/Tender/SplashBidNoticeAbstractUI.aspx?menuIndex=3&amp;refID=7073164&amp;Result=3","7073164")</f>
        <v>0</v>
      </c>
      <c r="B5539" t="s">
        <v>1883</v>
      </c>
      <c r="C5539" t="s">
        <v>8664</v>
      </c>
      <c r="D5539" t="s">
        <v>16633</v>
      </c>
      <c r="E5539" t="s">
        <v>21633</v>
      </c>
      <c r="F5539" t="s">
        <v>28669</v>
      </c>
      <c r="G5539" t="s">
        <v>28675</v>
      </c>
      <c r="H5539" t="s">
        <v>9998</v>
      </c>
      <c r="I5539" t="s">
        <v>28694</v>
      </c>
      <c r="J5539" t="s">
        <v>32343</v>
      </c>
      <c r="K5539" t="s">
        <v>37205</v>
      </c>
      <c r="M5539" t="s">
        <v>39505</v>
      </c>
      <c r="N5539" t="s">
        <v>41249</v>
      </c>
      <c r="O5539" t="s">
        <v>41250</v>
      </c>
      <c r="P5539">
        <v>0</v>
      </c>
      <c r="Q5539">
        <v>1</v>
      </c>
      <c r="R5539" t="s">
        <v>41254</v>
      </c>
      <c r="S5539" t="s">
        <v>41425</v>
      </c>
      <c r="T5539" t="s">
        <v>42694</v>
      </c>
      <c r="U5539" t="s">
        <v>47789</v>
      </c>
      <c r="W5539" t="s">
        <v>39505</v>
      </c>
      <c r="X5539" t="s">
        <v>41255</v>
      </c>
    </row>
    <row r="5540" spans="1:24">
      <c r="A5540">
        <f>HYPERLINK("https://www.philgeps.gov.ph/GEPSNONPILOT/Tender/SplashBidNoticeAbstractUI.aspx?menuIndex=3&amp;refID=7073163&amp;Result=3","7073163")</f>
        <v>0</v>
      </c>
      <c r="B5540" t="s">
        <v>1514</v>
      </c>
      <c r="C5540" t="s">
        <v>8665</v>
      </c>
      <c r="D5540" t="s">
        <v>16621</v>
      </c>
      <c r="E5540" t="s">
        <v>21634</v>
      </c>
      <c r="F5540" t="s">
        <v>28669</v>
      </c>
      <c r="G5540" t="s">
        <v>28677</v>
      </c>
      <c r="H5540" t="s">
        <v>9998</v>
      </c>
      <c r="I5540" t="s">
        <v>28704</v>
      </c>
      <c r="J5540" t="s">
        <v>32344</v>
      </c>
      <c r="K5540" t="s">
        <v>37205</v>
      </c>
      <c r="M5540" t="s">
        <v>39088</v>
      </c>
      <c r="N5540" t="s">
        <v>41249</v>
      </c>
      <c r="O5540" t="s">
        <v>41250</v>
      </c>
      <c r="P5540">
        <v>0</v>
      </c>
      <c r="Q5540">
        <v>2</v>
      </c>
      <c r="R5540" t="s">
        <v>41254</v>
      </c>
      <c r="S5540" t="s">
        <v>41425</v>
      </c>
      <c r="T5540" t="s">
        <v>42673</v>
      </c>
      <c r="U5540" t="s">
        <v>47781</v>
      </c>
      <c r="W5540" t="s">
        <v>39088</v>
      </c>
      <c r="X5540" t="s">
        <v>41255</v>
      </c>
    </row>
    <row r="5541" spans="1:24">
      <c r="A5541">
        <f>HYPERLINK("https://www.philgeps.gov.ph/GEPSNONPILOT/Tender/SplashBidNoticeAbstractUI.aspx?menuIndex=3&amp;refID=7073153&amp;Result=3","7073153")</f>
        <v>0</v>
      </c>
      <c r="B5541" t="s">
        <v>1884</v>
      </c>
      <c r="C5541" t="s">
        <v>8666</v>
      </c>
      <c r="D5541" t="s">
        <v>16644</v>
      </c>
      <c r="E5541" t="s">
        <v>17028</v>
      </c>
      <c r="F5541" t="s">
        <v>28669</v>
      </c>
      <c r="G5541" t="s">
        <v>28679</v>
      </c>
      <c r="H5541" t="s">
        <v>9998</v>
      </c>
      <c r="I5541" t="s">
        <v>28749</v>
      </c>
      <c r="J5541" t="s">
        <v>29191</v>
      </c>
      <c r="K5541" t="s">
        <v>37208</v>
      </c>
      <c r="M5541" t="s">
        <v>39506</v>
      </c>
      <c r="N5541" t="s">
        <v>41249</v>
      </c>
      <c r="O5541" t="s">
        <v>41250</v>
      </c>
      <c r="P5541">
        <v>0</v>
      </c>
      <c r="Q5541">
        <v>1</v>
      </c>
      <c r="R5541" t="s">
        <v>41254</v>
      </c>
      <c r="S5541" t="s">
        <v>41425</v>
      </c>
      <c r="T5541" t="s">
        <v>42908</v>
      </c>
      <c r="U5541" t="s">
        <v>47790</v>
      </c>
      <c r="V5541" t="s">
        <v>54870</v>
      </c>
      <c r="W5541" t="s">
        <v>39506</v>
      </c>
      <c r="X5541" t="s">
        <v>41255</v>
      </c>
    </row>
    <row r="5542" spans="1:24">
      <c r="A5542">
        <f>HYPERLINK("https://www.philgeps.gov.ph/GEPSNONPILOT/Tender/SplashBidNoticeAbstractUI.aspx?menuIndex=3&amp;refID=7073132&amp;Result=3","7073132")</f>
        <v>0</v>
      </c>
      <c r="B5542" t="s">
        <v>1877</v>
      </c>
      <c r="C5542" t="s">
        <v>8667</v>
      </c>
      <c r="E5542" t="s">
        <v>21635</v>
      </c>
      <c r="F5542" t="s">
        <v>28669</v>
      </c>
      <c r="G5542" t="s">
        <v>28676</v>
      </c>
      <c r="H5542" t="s">
        <v>9998</v>
      </c>
      <c r="I5542" t="s">
        <v>8667</v>
      </c>
      <c r="J5542" t="s">
        <v>29104</v>
      </c>
      <c r="K5542" t="s">
        <v>37243</v>
      </c>
      <c r="M5542" t="s">
        <v>39499</v>
      </c>
      <c r="N5542" t="s">
        <v>41249</v>
      </c>
      <c r="O5542" t="s">
        <v>41250</v>
      </c>
      <c r="P5542">
        <v>0</v>
      </c>
      <c r="Q5542">
        <v>0</v>
      </c>
      <c r="R5542" t="s">
        <v>41254</v>
      </c>
      <c r="S5542" t="s">
        <v>41425</v>
      </c>
      <c r="T5542" t="s">
        <v>42992</v>
      </c>
      <c r="U5542" t="s">
        <v>47791</v>
      </c>
      <c r="W5542" t="s">
        <v>39499</v>
      </c>
      <c r="X5542" t="s">
        <v>41255</v>
      </c>
    </row>
    <row r="5543" spans="1:24">
      <c r="A5543">
        <f>HYPERLINK("https://www.philgeps.gov.ph/GEPSNONPILOT/Tender/SplashBidNoticeAbstractUI.aspx?menuIndex=3&amp;refID=7073113&amp;Result=3","7073113")</f>
        <v>0</v>
      </c>
      <c r="B5543" t="s">
        <v>1878</v>
      </c>
      <c r="C5543" t="s">
        <v>8668</v>
      </c>
      <c r="D5543" t="s">
        <v>16628</v>
      </c>
      <c r="E5543" t="s">
        <v>21636</v>
      </c>
      <c r="F5543" t="s">
        <v>28669</v>
      </c>
      <c r="G5543" t="s">
        <v>28676</v>
      </c>
      <c r="H5543" t="s">
        <v>9998</v>
      </c>
      <c r="I5543" t="s">
        <v>28695</v>
      </c>
      <c r="J5543" t="s">
        <v>32345</v>
      </c>
      <c r="K5543" t="s">
        <v>37301</v>
      </c>
      <c r="M5543" t="s">
        <v>39501</v>
      </c>
      <c r="N5543" t="s">
        <v>41249</v>
      </c>
      <c r="O5543" t="s">
        <v>41250</v>
      </c>
      <c r="P5543">
        <v>0</v>
      </c>
      <c r="Q5543">
        <v>0</v>
      </c>
      <c r="R5543" t="s">
        <v>41254</v>
      </c>
      <c r="S5543" t="s">
        <v>41425</v>
      </c>
      <c r="T5543" t="s">
        <v>43008</v>
      </c>
      <c r="U5543" t="s">
        <v>47792</v>
      </c>
      <c r="W5543" t="s">
        <v>39501</v>
      </c>
      <c r="X5543" t="s">
        <v>41255</v>
      </c>
    </row>
    <row r="5544" spans="1:24">
      <c r="A5544">
        <f>HYPERLINK("https://www.philgeps.gov.ph/GEPSNONPILOT/Tender/SplashBidNoticeAbstractUI.aspx?menuIndex=3&amp;refID=7073194&amp;Result=3","7073194")</f>
        <v>0</v>
      </c>
      <c r="B5544" t="s">
        <v>1829</v>
      </c>
      <c r="C5544" t="s">
        <v>8669</v>
      </c>
      <c r="D5544" t="s">
        <v>16661</v>
      </c>
      <c r="E5544" t="s">
        <v>21444</v>
      </c>
      <c r="F5544" t="s">
        <v>28669</v>
      </c>
      <c r="G5544" t="s">
        <v>28677</v>
      </c>
      <c r="H5544" t="s">
        <v>9998</v>
      </c>
      <c r="I5544" t="s">
        <v>28695</v>
      </c>
      <c r="J5544" t="s">
        <v>31854</v>
      </c>
      <c r="K5544" t="s">
        <v>37210</v>
      </c>
      <c r="M5544" t="s">
        <v>39442</v>
      </c>
      <c r="N5544" t="s">
        <v>41249</v>
      </c>
      <c r="O5544" t="s">
        <v>41250</v>
      </c>
      <c r="P5544">
        <v>0</v>
      </c>
      <c r="Q5544">
        <v>0</v>
      </c>
      <c r="R5544" t="s">
        <v>41254</v>
      </c>
      <c r="S5544" t="s">
        <v>41425</v>
      </c>
      <c r="T5544" t="s">
        <v>42728</v>
      </c>
      <c r="U5544" t="s">
        <v>47793</v>
      </c>
      <c r="W5544" t="s">
        <v>39442</v>
      </c>
      <c r="X5544" t="s">
        <v>41255</v>
      </c>
    </row>
    <row r="5545" spans="1:24">
      <c r="A5545">
        <f>HYPERLINK("https://www.philgeps.gov.ph/GEPSNONPILOT/Tender/SplashBidNoticeAbstractUI.aspx?menuIndex=3&amp;refID=7073154&amp;Result=3","7073154")</f>
        <v>0</v>
      </c>
      <c r="B5545" t="s">
        <v>1885</v>
      </c>
      <c r="C5545" t="s">
        <v>8670</v>
      </c>
      <c r="D5545" t="s">
        <v>16633</v>
      </c>
      <c r="E5545" t="s">
        <v>17051</v>
      </c>
      <c r="F5545" t="s">
        <v>28669</v>
      </c>
      <c r="G5545" t="s">
        <v>28675</v>
      </c>
      <c r="H5545" t="s">
        <v>9998</v>
      </c>
      <c r="I5545" t="s">
        <v>7352</v>
      </c>
      <c r="J5545" t="s">
        <v>32346</v>
      </c>
      <c r="K5545" t="s">
        <v>37205</v>
      </c>
      <c r="M5545" t="s">
        <v>39507</v>
      </c>
      <c r="N5545" t="s">
        <v>41249</v>
      </c>
      <c r="O5545" t="s">
        <v>41250</v>
      </c>
      <c r="P5545">
        <v>0</v>
      </c>
      <c r="Q5545">
        <v>1</v>
      </c>
      <c r="R5545" t="s">
        <v>41254</v>
      </c>
      <c r="S5545" t="s">
        <v>41425</v>
      </c>
      <c r="T5545" t="s">
        <v>42694</v>
      </c>
      <c r="U5545" t="s">
        <v>47794</v>
      </c>
      <c r="W5545" t="s">
        <v>39507</v>
      </c>
      <c r="X5545" t="s">
        <v>41255</v>
      </c>
    </row>
    <row r="5546" spans="1:24">
      <c r="A5546">
        <f>HYPERLINK("https://www.philgeps.gov.ph/GEPSNONPILOT/Tender/SplashBidNoticeAbstractUI.aspx?menuIndex=3&amp;refID=7073193&amp;Result=3","7073193")</f>
        <v>0</v>
      </c>
      <c r="B5546" t="s">
        <v>696</v>
      </c>
      <c r="C5546" t="s">
        <v>8671</v>
      </c>
      <c r="D5546" t="s">
        <v>16611</v>
      </c>
      <c r="E5546" t="s">
        <v>21637</v>
      </c>
      <c r="F5546" t="s">
        <v>28669</v>
      </c>
      <c r="G5546" t="s">
        <v>28676</v>
      </c>
      <c r="H5546" t="s">
        <v>28686</v>
      </c>
      <c r="I5546" t="s">
        <v>28689</v>
      </c>
      <c r="J5546" t="s">
        <v>28905</v>
      </c>
      <c r="K5546" t="s">
        <v>37206</v>
      </c>
      <c r="M5546" t="s">
        <v>39508</v>
      </c>
      <c r="N5546" t="s">
        <v>41249</v>
      </c>
      <c r="O5546" t="s">
        <v>41250</v>
      </c>
      <c r="P5546">
        <v>0</v>
      </c>
      <c r="Q5546">
        <v>2</v>
      </c>
      <c r="R5546" t="s">
        <v>41254</v>
      </c>
      <c r="S5546" t="s">
        <v>41425</v>
      </c>
      <c r="T5546" t="s">
        <v>42884</v>
      </c>
      <c r="U5546" t="s">
        <v>47795</v>
      </c>
      <c r="W5546" t="s">
        <v>39508</v>
      </c>
      <c r="X5546" t="s">
        <v>41255</v>
      </c>
    </row>
    <row r="5547" spans="1:24">
      <c r="A5547">
        <f>HYPERLINK("https://www.philgeps.gov.ph/GEPSNONPILOT/Tender/SplashBidNoticeAbstractUI.aspx?menuIndex=3&amp;refID=7073190&amp;Result=3","7073190")</f>
        <v>0</v>
      </c>
      <c r="B5547" t="s">
        <v>1886</v>
      </c>
      <c r="C5547" t="s">
        <v>8672</v>
      </c>
      <c r="D5547" t="s">
        <v>16637</v>
      </c>
      <c r="E5547" t="s">
        <v>21638</v>
      </c>
      <c r="F5547" t="s">
        <v>28669</v>
      </c>
      <c r="G5547" t="s">
        <v>28676</v>
      </c>
      <c r="H5547" t="s">
        <v>9998</v>
      </c>
      <c r="I5547" t="s">
        <v>11142</v>
      </c>
      <c r="J5547" t="s">
        <v>28985</v>
      </c>
      <c r="K5547" t="s">
        <v>37213</v>
      </c>
      <c r="M5547" t="s">
        <v>39509</v>
      </c>
      <c r="N5547" t="s">
        <v>41249</v>
      </c>
      <c r="O5547" t="s">
        <v>41250</v>
      </c>
      <c r="P5547">
        <v>0</v>
      </c>
      <c r="Q5547">
        <v>5</v>
      </c>
      <c r="R5547" t="s">
        <v>41254</v>
      </c>
      <c r="S5547" t="s">
        <v>41425</v>
      </c>
      <c r="T5547" t="s">
        <v>42673</v>
      </c>
      <c r="U5547" t="s">
        <v>47796</v>
      </c>
      <c r="V5547" t="s">
        <v>54871</v>
      </c>
      <c r="W5547" t="s">
        <v>39509</v>
      </c>
      <c r="X5547" t="s">
        <v>41255</v>
      </c>
    </row>
    <row r="5548" spans="1:24">
      <c r="A5548">
        <f>HYPERLINK("https://www.philgeps.gov.ph/GEPSNONPILOT/Tender/SplashBidNoticeAbstractUI.aspx?menuIndex=3&amp;refID=7073187&amp;Result=3","7073187")</f>
        <v>0</v>
      </c>
      <c r="B5548" t="s">
        <v>1829</v>
      </c>
      <c r="C5548" t="s">
        <v>8673</v>
      </c>
      <c r="D5548" t="s">
        <v>16661</v>
      </c>
      <c r="E5548" t="s">
        <v>21444</v>
      </c>
      <c r="F5548" t="s">
        <v>28669</v>
      </c>
      <c r="G5548" t="s">
        <v>28677</v>
      </c>
      <c r="H5548" t="s">
        <v>9998</v>
      </c>
      <c r="I5548" t="s">
        <v>6128</v>
      </c>
      <c r="J5548" t="s">
        <v>32347</v>
      </c>
      <c r="K5548" t="s">
        <v>37210</v>
      </c>
      <c r="M5548" t="s">
        <v>39442</v>
      </c>
      <c r="N5548" t="s">
        <v>41249</v>
      </c>
      <c r="O5548" t="s">
        <v>41250</v>
      </c>
      <c r="P5548">
        <v>0</v>
      </c>
      <c r="Q5548">
        <v>3</v>
      </c>
      <c r="R5548" t="s">
        <v>41254</v>
      </c>
      <c r="S5548" t="s">
        <v>41425</v>
      </c>
      <c r="T5548" t="s">
        <v>42728</v>
      </c>
      <c r="U5548" t="s">
        <v>47797</v>
      </c>
      <c r="W5548" t="s">
        <v>39442</v>
      </c>
      <c r="X5548" t="s">
        <v>41255</v>
      </c>
    </row>
    <row r="5549" spans="1:24">
      <c r="A5549">
        <f>HYPERLINK("https://www.philgeps.gov.ph/GEPSNONPILOT/Tender/SplashBidNoticeAbstractUI.aspx?menuIndex=3&amp;refID=7073196&amp;Result=3","7073196")</f>
        <v>0</v>
      </c>
      <c r="B5549" t="s">
        <v>1887</v>
      </c>
      <c r="C5549" t="s">
        <v>8674</v>
      </c>
      <c r="D5549" t="s">
        <v>16625</v>
      </c>
      <c r="E5549" t="s">
        <v>21639</v>
      </c>
      <c r="F5549" t="s">
        <v>28669</v>
      </c>
      <c r="G5549" t="s">
        <v>28675</v>
      </c>
      <c r="H5549" t="s">
        <v>9998</v>
      </c>
      <c r="I5549" t="s">
        <v>28706</v>
      </c>
      <c r="J5549" t="s">
        <v>32348</v>
      </c>
      <c r="K5549" t="s">
        <v>37206</v>
      </c>
      <c r="M5549" t="s">
        <v>39510</v>
      </c>
      <c r="N5549" t="s">
        <v>41249</v>
      </c>
      <c r="O5549" t="s">
        <v>41250</v>
      </c>
      <c r="P5549">
        <v>0</v>
      </c>
      <c r="Q5549">
        <v>6</v>
      </c>
      <c r="R5549" t="s">
        <v>41254</v>
      </c>
      <c r="S5549" t="s">
        <v>41425</v>
      </c>
      <c r="T5549" t="s">
        <v>42663</v>
      </c>
      <c r="U5549" t="s">
        <v>47798</v>
      </c>
      <c r="W5549" t="s">
        <v>55975</v>
      </c>
      <c r="X5549" t="s">
        <v>41255</v>
      </c>
    </row>
    <row r="5550" spans="1:24">
      <c r="A5550">
        <f>HYPERLINK("https://www.philgeps.gov.ph/GEPSNONPILOT/Tender/SplashBidNoticeAbstractUI.aspx?menuIndex=3&amp;refID=7073195&amp;Result=3","7073195")</f>
        <v>0</v>
      </c>
      <c r="B5550" t="s">
        <v>1829</v>
      </c>
      <c r="C5550" t="s">
        <v>8675</v>
      </c>
      <c r="D5550" t="s">
        <v>16661</v>
      </c>
      <c r="E5550" t="s">
        <v>21444</v>
      </c>
      <c r="F5550" t="s">
        <v>28669</v>
      </c>
      <c r="G5550" t="s">
        <v>28677</v>
      </c>
      <c r="H5550" t="s">
        <v>9998</v>
      </c>
      <c r="I5550" t="s">
        <v>28694</v>
      </c>
      <c r="J5550" t="s">
        <v>32349</v>
      </c>
      <c r="K5550" t="s">
        <v>37210</v>
      </c>
      <c r="M5550" t="s">
        <v>39442</v>
      </c>
      <c r="N5550" t="s">
        <v>41249</v>
      </c>
      <c r="O5550" t="s">
        <v>41250</v>
      </c>
      <c r="P5550">
        <v>0</v>
      </c>
      <c r="Q5550">
        <v>1</v>
      </c>
      <c r="R5550" t="s">
        <v>41254</v>
      </c>
      <c r="S5550" t="s">
        <v>41425</v>
      </c>
      <c r="T5550" t="s">
        <v>42728</v>
      </c>
      <c r="U5550" t="s">
        <v>47799</v>
      </c>
      <c r="W5550" t="s">
        <v>39442</v>
      </c>
      <c r="X5550" t="s">
        <v>41255</v>
      </c>
    </row>
    <row r="5551" spans="1:24">
      <c r="A5551">
        <f>HYPERLINK("https://www.philgeps.gov.ph/GEPSNONPILOT/Tender/SplashBidNoticeAbstractUI.aspx?menuIndex=3&amp;refID=7073180&amp;Result=3","7073180")</f>
        <v>0</v>
      </c>
      <c r="B5551" t="s">
        <v>1888</v>
      </c>
      <c r="C5551" t="s">
        <v>4108</v>
      </c>
      <c r="D5551" t="s">
        <v>16633</v>
      </c>
      <c r="E5551" t="s">
        <v>21568</v>
      </c>
      <c r="F5551" t="s">
        <v>28669</v>
      </c>
      <c r="G5551" t="s">
        <v>28675</v>
      </c>
      <c r="H5551" t="s">
        <v>9998</v>
      </c>
      <c r="I5551" t="s">
        <v>3718</v>
      </c>
      <c r="J5551" t="s">
        <v>29600</v>
      </c>
      <c r="K5551" t="s">
        <v>37205</v>
      </c>
      <c r="M5551" t="s">
        <v>39511</v>
      </c>
      <c r="N5551" t="s">
        <v>41249</v>
      </c>
      <c r="O5551" t="s">
        <v>41250</v>
      </c>
      <c r="P5551">
        <v>0</v>
      </c>
      <c r="Q5551">
        <v>6</v>
      </c>
      <c r="R5551" t="s">
        <v>41254</v>
      </c>
      <c r="S5551" t="s">
        <v>41425</v>
      </c>
      <c r="T5551" t="s">
        <v>42694</v>
      </c>
      <c r="U5551" t="s">
        <v>47800</v>
      </c>
      <c r="W5551" t="s">
        <v>39511</v>
      </c>
      <c r="X5551" t="s">
        <v>41255</v>
      </c>
    </row>
    <row r="5552" spans="1:24">
      <c r="A5552">
        <f>HYPERLINK("https://www.philgeps.gov.ph/GEPSNONPILOT/Tender/SplashBidNoticeAbstractUI.aspx?menuIndex=3&amp;refID=7073155&amp;Result=3","7073155")</f>
        <v>0</v>
      </c>
      <c r="B5552" t="s">
        <v>1514</v>
      </c>
      <c r="C5552" t="s">
        <v>8676</v>
      </c>
      <c r="D5552" t="s">
        <v>16621</v>
      </c>
      <c r="E5552" t="s">
        <v>21640</v>
      </c>
      <c r="F5552" t="s">
        <v>28669</v>
      </c>
      <c r="G5552" t="s">
        <v>28677</v>
      </c>
      <c r="H5552" t="s">
        <v>9998</v>
      </c>
      <c r="I5552" t="s">
        <v>6128</v>
      </c>
      <c r="J5552" t="s">
        <v>30907</v>
      </c>
      <c r="K5552" t="s">
        <v>37205</v>
      </c>
      <c r="M5552" t="s">
        <v>39088</v>
      </c>
      <c r="N5552" t="s">
        <v>41249</v>
      </c>
      <c r="O5552" t="s">
        <v>41250</v>
      </c>
      <c r="P5552">
        <v>0</v>
      </c>
      <c r="Q5552">
        <v>1</v>
      </c>
      <c r="R5552" t="s">
        <v>41254</v>
      </c>
      <c r="S5552" t="s">
        <v>41425</v>
      </c>
      <c r="T5552" t="s">
        <v>42673</v>
      </c>
      <c r="U5552" t="s">
        <v>47781</v>
      </c>
      <c r="W5552" t="s">
        <v>39088</v>
      </c>
      <c r="X5552" t="s">
        <v>41255</v>
      </c>
    </row>
    <row r="5553" spans="1:24">
      <c r="A5553">
        <f>HYPERLINK("https://www.philgeps.gov.ph/GEPSNONPILOT/Tender/SplashBidNoticeAbstractUI.aspx?menuIndex=3&amp;refID=7073179&amp;Result=3","7073179")</f>
        <v>0</v>
      </c>
      <c r="B5553" t="s">
        <v>696</v>
      </c>
      <c r="C5553" t="s">
        <v>8677</v>
      </c>
      <c r="D5553" t="s">
        <v>16611</v>
      </c>
      <c r="E5553" t="s">
        <v>21641</v>
      </c>
      <c r="F5553" t="s">
        <v>28669</v>
      </c>
      <c r="G5553" t="s">
        <v>28676</v>
      </c>
      <c r="H5553" t="s">
        <v>9998</v>
      </c>
      <c r="I5553" t="s">
        <v>28706</v>
      </c>
      <c r="J5553" t="s">
        <v>29203</v>
      </c>
      <c r="K5553" t="s">
        <v>37206</v>
      </c>
      <c r="M5553" t="s">
        <v>39508</v>
      </c>
      <c r="N5553" t="s">
        <v>41249</v>
      </c>
      <c r="O5553" t="s">
        <v>41250</v>
      </c>
      <c r="P5553">
        <v>0</v>
      </c>
      <c r="Q5553">
        <v>4</v>
      </c>
      <c r="R5553" t="s">
        <v>41254</v>
      </c>
      <c r="S5553" t="s">
        <v>41425</v>
      </c>
      <c r="T5553" t="s">
        <v>42884</v>
      </c>
      <c r="U5553" t="s">
        <v>47801</v>
      </c>
      <c r="W5553" t="s">
        <v>39508</v>
      </c>
      <c r="X5553" t="s">
        <v>41255</v>
      </c>
    </row>
    <row r="5554" spans="1:24">
      <c r="A5554">
        <f>HYPERLINK("https://www.philgeps.gov.ph/GEPSNONPILOT/Tender/SplashBidNoticeAbstractUI.aspx?menuIndex=3&amp;refID=7073176&amp;Result=3","7073176")</f>
        <v>0</v>
      </c>
      <c r="B5554" t="s">
        <v>1829</v>
      </c>
      <c r="C5554" t="s">
        <v>8678</v>
      </c>
      <c r="D5554" t="s">
        <v>16661</v>
      </c>
      <c r="E5554" t="s">
        <v>21444</v>
      </c>
      <c r="F5554" t="s">
        <v>28669</v>
      </c>
      <c r="G5554" t="s">
        <v>28676</v>
      </c>
      <c r="H5554" t="s">
        <v>9998</v>
      </c>
      <c r="I5554" t="s">
        <v>28695</v>
      </c>
      <c r="J5554" t="s">
        <v>32350</v>
      </c>
      <c r="K5554" t="s">
        <v>37210</v>
      </c>
      <c r="M5554" t="s">
        <v>39442</v>
      </c>
      <c r="N5554" t="s">
        <v>41249</v>
      </c>
      <c r="O5554" t="s">
        <v>41250</v>
      </c>
      <c r="P5554">
        <v>0</v>
      </c>
      <c r="Q5554">
        <v>0</v>
      </c>
      <c r="R5554" t="s">
        <v>41254</v>
      </c>
      <c r="S5554" t="s">
        <v>41425</v>
      </c>
      <c r="T5554" t="s">
        <v>42728</v>
      </c>
      <c r="U5554" t="s">
        <v>47802</v>
      </c>
      <c r="W5554" t="s">
        <v>39442</v>
      </c>
      <c r="X5554" t="s">
        <v>41255</v>
      </c>
    </row>
    <row r="5555" spans="1:24">
      <c r="A5555">
        <f>HYPERLINK("https://www.philgeps.gov.ph/GEPSNONPILOT/Tender/SplashBidNoticeAbstractUI.aspx?menuIndex=3&amp;refID=7073189&amp;Result=3","7073189")</f>
        <v>0</v>
      </c>
      <c r="B5555" t="s">
        <v>696</v>
      </c>
      <c r="C5555" t="s">
        <v>8679</v>
      </c>
      <c r="D5555" t="s">
        <v>16647</v>
      </c>
      <c r="E5555" t="s">
        <v>21642</v>
      </c>
      <c r="F5555" t="s">
        <v>28669</v>
      </c>
      <c r="G5555" t="s">
        <v>28676</v>
      </c>
      <c r="H5555" t="s">
        <v>9998</v>
      </c>
      <c r="I5555" t="s">
        <v>28706</v>
      </c>
      <c r="J5555" t="s">
        <v>32351</v>
      </c>
      <c r="K5555" t="s">
        <v>37205</v>
      </c>
      <c r="M5555" t="s">
        <v>39508</v>
      </c>
      <c r="N5555" t="s">
        <v>41249</v>
      </c>
      <c r="O5555" t="s">
        <v>41250</v>
      </c>
      <c r="P5555">
        <v>0</v>
      </c>
      <c r="Q5555">
        <v>3</v>
      </c>
      <c r="R5555" t="s">
        <v>41254</v>
      </c>
      <c r="S5555" t="s">
        <v>41425</v>
      </c>
      <c r="T5555" t="s">
        <v>42884</v>
      </c>
      <c r="U5555" t="s">
        <v>47803</v>
      </c>
      <c r="W5555" t="s">
        <v>39508</v>
      </c>
      <c r="X5555" t="s">
        <v>41255</v>
      </c>
    </row>
    <row r="5556" spans="1:24">
      <c r="A5556">
        <f>HYPERLINK("https://www.philgeps.gov.ph/GEPSNONPILOT/Tender/SplashBidNoticeAbstractUI.aspx?menuIndex=3&amp;refID=7073201&amp;Result=3","7073201")</f>
        <v>0</v>
      </c>
      <c r="B5556" t="s">
        <v>1887</v>
      </c>
      <c r="C5556" t="s">
        <v>8680</v>
      </c>
      <c r="D5556" t="s">
        <v>16625</v>
      </c>
      <c r="E5556" t="s">
        <v>21643</v>
      </c>
      <c r="F5556" t="s">
        <v>28669</v>
      </c>
      <c r="G5556" t="s">
        <v>28675</v>
      </c>
      <c r="H5556" t="s">
        <v>9998</v>
      </c>
      <c r="I5556" t="s">
        <v>28695</v>
      </c>
      <c r="J5556" t="s">
        <v>32352</v>
      </c>
      <c r="K5556" t="s">
        <v>37213</v>
      </c>
      <c r="M5556" t="s">
        <v>39510</v>
      </c>
      <c r="N5556" t="s">
        <v>41249</v>
      </c>
      <c r="O5556" t="s">
        <v>41250</v>
      </c>
      <c r="P5556">
        <v>0</v>
      </c>
      <c r="Q5556">
        <v>0</v>
      </c>
      <c r="R5556" t="s">
        <v>41254</v>
      </c>
      <c r="S5556" t="s">
        <v>41425</v>
      </c>
      <c r="T5556" t="s">
        <v>42663</v>
      </c>
      <c r="U5556" t="s">
        <v>47804</v>
      </c>
      <c r="W5556" t="s">
        <v>55975</v>
      </c>
      <c r="X5556" t="s">
        <v>41255</v>
      </c>
    </row>
    <row r="5557" spans="1:24">
      <c r="A5557">
        <f>HYPERLINK("https://www.philgeps.gov.ph/GEPSNONPILOT/Tender/SplashBidNoticeAbstractUI.aspx?menuIndex=3&amp;refID=7073182&amp;Result=3","7073182")</f>
        <v>0</v>
      </c>
      <c r="B5557" t="s">
        <v>1829</v>
      </c>
      <c r="C5557" t="s">
        <v>8681</v>
      </c>
      <c r="D5557" t="s">
        <v>16661</v>
      </c>
      <c r="E5557" t="s">
        <v>21444</v>
      </c>
      <c r="F5557" t="s">
        <v>28669</v>
      </c>
      <c r="G5557" t="s">
        <v>28677</v>
      </c>
      <c r="H5557" t="s">
        <v>9998</v>
      </c>
      <c r="I5557" t="s">
        <v>28699</v>
      </c>
      <c r="J5557" t="s">
        <v>29317</v>
      </c>
      <c r="K5557" t="s">
        <v>37210</v>
      </c>
      <c r="M5557" t="s">
        <v>39442</v>
      </c>
      <c r="N5557" t="s">
        <v>41249</v>
      </c>
      <c r="O5557" t="s">
        <v>41250</v>
      </c>
      <c r="P5557">
        <v>0</v>
      </c>
      <c r="Q5557">
        <v>0</v>
      </c>
      <c r="R5557" t="s">
        <v>41254</v>
      </c>
      <c r="S5557" t="s">
        <v>41425</v>
      </c>
      <c r="T5557" t="s">
        <v>42728</v>
      </c>
      <c r="U5557" t="s">
        <v>47805</v>
      </c>
      <c r="W5557" t="s">
        <v>39442</v>
      </c>
      <c r="X5557" t="s">
        <v>41255</v>
      </c>
    </row>
    <row r="5558" spans="1:24">
      <c r="A5558">
        <f>HYPERLINK("https://www.philgeps.gov.ph/GEPSNONPILOT/Tender/SplashBidNoticeAbstractUI.aspx?menuIndex=3&amp;refID=7073228&amp;Result=3","7073228")</f>
        <v>0</v>
      </c>
      <c r="B5558" t="s">
        <v>1889</v>
      </c>
      <c r="C5558" t="s">
        <v>8682</v>
      </c>
      <c r="D5558" t="s">
        <v>16680</v>
      </c>
      <c r="E5558" t="s">
        <v>21644</v>
      </c>
      <c r="F5558" t="s">
        <v>28669</v>
      </c>
      <c r="G5558" t="s">
        <v>28675</v>
      </c>
      <c r="H5558" t="s">
        <v>9998</v>
      </c>
      <c r="I5558" t="s">
        <v>5213</v>
      </c>
      <c r="J5558" t="s">
        <v>32353</v>
      </c>
      <c r="K5558" t="s">
        <v>37205</v>
      </c>
      <c r="M5558" t="s">
        <v>39512</v>
      </c>
      <c r="N5558" t="s">
        <v>41249</v>
      </c>
      <c r="O5558" t="s">
        <v>41250</v>
      </c>
      <c r="P5558">
        <v>0</v>
      </c>
      <c r="Q5558">
        <v>0</v>
      </c>
      <c r="R5558" t="s">
        <v>41254</v>
      </c>
      <c r="S5558" t="s">
        <v>41425</v>
      </c>
      <c r="T5558" t="s">
        <v>42858</v>
      </c>
      <c r="U5558" t="s">
        <v>47806</v>
      </c>
      <c r="W5558" t="s">
        <v>39512</v>
      </c>
      <c r="X5558" t="s">
        <v>41255</v>
      </c>
    </row>
    <row r="5559" spans="1:24">
      <c r="A5559">
        <f>HYPERLINK("https://www.philgeps.gov.ph/GEPSNONPILOT/Tender/SplashBidNoticeAbstractUI.aspx?menuIndex=3&amp;refID=7073178&amp;Result=3","7073178")</f>
        <v>0</v>
      </c>
      <c r="B5559" t="s">
        <v>1887</v>
      </c>
      <c r="C5559" t="s">
        <v>8683</v>
      </c>
      <c r="D5559" t="s">
        <v>16625</v>
      </c>
      <c r="E5559" t="s">
        <v>21645</v>
      </c>
      <c r="F5559" t="s">
        <v>28669</v>
      </c>
      <c r="G5559" t="s">
        <v>28675</v>
      </c>
      <c r="H5559" t="s">
        <v>9998</v>
      </c>
      <c r="I5559" t="s">
        <v>5286</v>
      </c>
      <c r="J5559" t="s">
        <v>32354</v>
      </c>
      <c r="K5559" t="s">
        <v>37205</v>
      </c>
      <c r="M5559" t="s">
        <v>39510</v>
      </c>
      <c r="N5559" t="s">
        <v>41249</v>
      </c>
      <c r="O5559" t="s">
        <v>41250</v>
      </c>
      <c r="P5559">
        <v>0</v>
      </c>
      <c r="Q5559">
        <v>3</v>
      </c>
      <c r="R5559" t="s">
        <v>41254</v>
      </c>
      <c r="S5559" t="s">
        <v>41425</v>
      </c>
      <c r="T5559" t="s">
        <v>42663</v>
      </c>
      <c r="U5559" t="s">
        <v>47807</v>
      </c>
      <c r="W5559" t="s">
        <v>55975</v>
      </c>
      <c r="X5559" t="s">
        <v>41255</v>
      </c>
    </row>
    <row r="5560" spans="1:24">
      <c r="A5560">
        <f>HYPERLINK("https://www.philgeps.gov.ph/GEPSNONPILOT/Tender/SplashBidNoticeAbstractUI.aspx?menuIndex=3&amp;refID=7073225&amp;Result=3","7073225")</f>
        <v>0</v>
      </c>
      <c r="B5560" t="s">
        <v>1889</v>
      </c>
      <c r="C5560" t="s">
        <v>8684</v>
      </c>
      <c r="D5560" t="s">
        <v>16680</v>
      </c>
      <c r="E5560" t="s">
        <v>21646</v>
      </c>
      <c r="F5560" t="s">
        <v>28669</v>
      </c>
      <c r="G5560" t="s">
        <v>28675</v>
      </c>
      <c r="H5560" t="s">
        <v>9998</v>
      </c>
      <c r="I5560" t="s">
        <v>6458</v>
      </c>
      <c r="J5560" t="s">
        <v>32355</v>
      </c>
      <c r="K5560" t="s">
        <v>37205</v>
      </c>
      <c r="M5560" t="s">
        <v>39512</v>
      </c>
      <c r="N5560" t="s">
        <v>41249</v>
      </c>
      <c r="O5560" t="s">
        <v>41250</v>
      </c>
      <c r="P5560">
        <v>0</v>
      </c>
      <c r="Q5560">
        <v>1</v>
      </c>
      <c r="R5560" t="s">
        <v>41254</v>
      </c>
      <c r="S5560" t="s">
        <v>41425</v>
      </c>
      <c r="T5560" t="s">
        <v>42858</v>
      </c>
      <c r="U5560" t="s">
        <v>47808</v>
      </c>
      <c r="W5560" t="s">
        <v>39512</v>
      </c>
      <c r="X5560" t="s">
        <v>41255</v>
      </c>
    </row>
    <row r="5561" spans="1:24">
      <c r="A5561">
        <f>HYPERLINK("https://www.philgeps.gov.ph/GEPSNONPILOT/Tender/SplashBidNoticeAbstractUI.aspx?menuIndex=3&amp;refID=7073174&amp;Result=3","7073174")</f>
        <v>0</v>
      </c>
      <c r="B5561" t="s">
        <v>696</v>
      </c>
      <c r="C5561" t="s">
        <v>8685</v>
      </c>
      <c r="D5561" t="s">
        <v>16611</v>
      </c>
      <c r="E5561" t="s">
        <v>21647</v>
      </c>
      <c r="F5561" t="s">
        <v>28669</v>
      </c>
      <c r="G5561" t="s">
        <v>28676</v>
      </c>
      <c r="H5561" t="s">
        <v>9998</v>
      </c>
      <c r="I5561" t="s">
        <v>28706</v>
      </c>
      <c r="J5561" t="s">
        <v>32356</v>
      </c>
      <c r="K5561" t="s">
        <v>37206</v>
      </c>
      <c r="M5561" t="s">
        <v>39508</v>
      </c>
      <c r="N5561" t="s">
        <v>41249</v>
      </c>
      <c r="O5561" t="s">
        <v>41250</v>
      </c>
      <c r="P5561">
        <v>0</v>
      </c>
      <c r="Q5561">
        <v>4</v>
      </c>
      <c r="R5561" t="s">
        <v>41254</v>
      </c>
      <c r="S5561" t="s">
        <v>41425</v>
      </c>
      <c r="T5561" t="s">
        <v>42884</v>
      </c>
      <c r="U5561" t="s">
        <v>47809</v>
      </c>
      <c r="W5561" t="s">
        <v>39508</v>
      </c>
      <c r="X5561" t="s">
        <v>41255</v>
      </c>
    </row>
    <row r="5562" spans="1:24">
      <c r="A5562">
        <f>HYPERLINK("https://www.philgeps.gov.ph/GEPSNONPILOT/Tender/SplashBidNoticeAbstractUI.aspx?menuIndex=3&amp;refID=7073224&amp;Result=3","7073224")</f>
        <v>0</v>
      </c>
      <c r="B5562" t="s">
        <v>1889</v>
      </c>
      <c r="C5562" t="s">
        <v>8686</v>
      </c>
      <c r="D5562" t="s">
        <v>16680</v>
      </c>
      <c r="E5562" t="s">
        <v>21646</v>
      </c>
      <c r="F5562" t="s">
        <v>28669</v>
      </c>
      <c r="G5562" t="s">
        <v>28675</v>
      </c>
      <c r="H5562" t="s">
        <v>9998</v>
      </c>
      <c r="I5562" t="s">
        <v>6128</v>
      </c>
      <c r="J5562" t="s">
        <v>32357</v>
      </c>
      <c r="K5562" t="s">
        <v>37205</v>
      </c>
      <c r="M5562" t="s">
        <v>39512</v>
      </c>
      <c r="N5562" t="s">
        <v>41249</v>
      </c>
      <c r="O5562" t="s">
        <v>41250</v>
      </c>
      <c r="P5562">
        <v>0</v>
      </c>
      <c r="Q5562">
        <v>1</v>
      </c>
      <c r="R5562" t="s">
        <v>41254</v>
      </c>
      <c r="S5562" t="s">
        <v>41425</v>
      </c>
      <c r="T5562" t="s">
        <v>42858</v>
      </c>
      <c r="U5562" t="s">
        <v>47810</v>
      </c>
      <c r="W5562" t="s">
        <v>39512</v>
      </c>
      <c r="X5562" t="s">
        <v>41255</v>
      </c>
    </row>
    <row r="5563" spans="1:24">
      <c r="A5563">
        <f>HYPERLINK("https://www.philgeps.gov.ph/GEPSNONPILOT/Tender/SplashBidNoticeAbstractUI.aspx?menuIndex=3&amp;refID=7073222&amp;Result=3","7073222")</f>
        <v>0</v>
      </c>
      <c r="B5563" t="s">
        <v>1829</v>
      </c>
      <c r="C5563" t="s">
        <v>8687</v>
      </c>
      <c r="D5563" t="s">
        <v>16661</v>
      </c>
      <c r="E5563" t="s">
        <v>21444</v>
      </c>
      <c r="F5563" t="s">
        <v>28672</v>
      </c>
      <c r="G5563" t="s">
        <v>28677</v>
      </c>
      <c r="H5563" t="s">
        <v>9998</v>
      </c>
      <c r="I5563" t="s">
        <v>5286</v>
      </c>
      <c r="J5563" t="s">
        <v>32358</v>
      </c>
      <c r="K5563" t="s">
        <v>37210</v>
      </c>
      <c r="M5563" t="s">
        <v>39442</v>
      </c>
      <c r="N5563" t="s">
        <v>41249</v>
      </c>
      <c r="O5563" t="s">
        <v>41250</v>
      </c>
      <c r="P5563">
        <v>0</v>
      </c>
      <c r="Q5563">
        <v>1</v>
      </c>
      <c r="R5563" t="s">
        <v>41254</v>
      </c>
      <c r="S5563" t="s">
        <v>41425</v>
      </c>
      <c r="T5563" t="s">
        <v>42728</v>
      </c>
      <c r="U5563" t="s">
        <v>47811</v>
      </c>
      <c r="W5563" t="s">
        <v>39442</v>
      </c>
      <c r="X5563" t="s">
        <v>41255</v>
      </c>
    </row>
    <row r="5564" spans="1:24">
      <c r="A5564">
        <f>HYPERLINK("https://www.philgeps.gov.ph/GEPSNONPILOT/Tender/SplashBidNoticeAbstractUI.aspx?menuIndex=3&amp;refID=7073184&amp;Result=3","7073184")</f>
        <v>0</v>
      </c>
      <c r="B5564" t="s">
        <v>696</v>
      </c>
      <c r="C5564" t="s">
        <v>8688</v>
      </c>
      <c r="D5564" t="s">
        <v>16611</v>
      </c>
      <c r="E5564" t="s">
        <v>21648</v>
      </c>
      <c r="F5564" t="s">
        <v>28669</v>
      </c>
      <c r="G5564" t="s">
        <v>28676</v>
      </c>
      <c r="H5564" t="s">
        <v>9998</v>
      </c>
      <c r="I5564" t="s">
        <v>28706</v>
      </c>
      <c r="J5564" t="s">
        <v>28826</v>
      </c>
      <c r="K5564" t="s">
        <v>37206</v>
      </c>
      <c r="M5564" t="s">
        <v>39508</v>
      </c>
      <c r="N5564" t="s">
        <v>41249</v>
      </c>
      <c r="O5564" t="s">
        <v>41250</v>
      </c>
      <c r="P5564">
        <v>0</v>
      </c>
      <c r="Q5564">
        <v>2</v>
      </c>
      <c r="R5564" t="s">
        <v>41254</v>
      </c>
      <c r="S5564" t="s">
        <v>41425</v>
      </c>
      <c r="T5564" t="s">
        <v>42884</v>
      </c>
      <c r="U5564" t="s">
        <v>47812</v>
      </c>
      <c r="W5564" t="s">
        <v>39508</v>
      </c>
      <c r="X5564" t="s">
        <v>41255</v>
      </c>
    </row>
    <row r="5565" spans="1:24">
      <c r="A5565">
        <f>HYPERLINK("https://www.philgeps.gov.ph/GEPSNONPILOT/Tender/SplashBidNoticeAbstractUI.aspx?menuIndex=3&amp;refID=7073220&amp;Result=3","7073220")</f>
        <v>0</v>
      </c>
      <c r="B5565" t="s">
        <v>1890</v>
      </c>
      <c r="C5565" t="s">
        <v>8689</v>
      </c>
      <c r="D5565" t="s">
        <v>16619</v>
      </c>
      <c r="E5565" t="s">
        <v>16758</v>
      </c>
      <c r="F5565" t="s">
        <v>28669</v>
      </c>
      <c r="G5565" t="s">
        <v>28677</v>
      </c>
      <c r="H5565" t="s">
        <v>9998</v>
      </c>
      <c r="I5565" t="s">
        <v>28709</v>
      </c>
      <c r="J5565" t="s">
        <v>32359</v>
      </c>
      <c r="K5565" t="s">
        <v>37204</v>
      </c>
      <c r="M5565" t="s">
        <v>39513</v>
      </c>
      <c r="N5565" t="s">
        <v>41249</v>
      </c>
      <c r="O5565" t="s">
        <v>41250</v>
      </c>
      <c r="P5565">
        <v>0</v>
      </c>
      <c r="Q5565">
        <v>1</v>
      </c>
      <c r="R5565" t="s">
        <v>41254</v>
      </c>
      <c r="S5565" t="s">
        <v>41425</v>
      </c>
      <c r="T5565" t="s">
        <v>42771</v>
      </c>
      <c r="U5565" t="s">
        <v>47813</v>
      </c>
      <c r="W5565" t="s">
        <v>39513</v>
      </c>
      <c r="X5565" t="s">
        <v>41255</v>
      </c>
    </row>
    <row r="5566" spans="1:24">
      <c r="A5566">
        <f>HYPERLINK("https://www.philgeps.gov.ph/GEPSNONPILOT/Tender/SplashBidNoticeAbstractUI.aspx?menuIndex=3&amp;refID=7073215&amp;Result=3","7073215")</f>
        <v>0</v>
      </c>
      <c r="B5566" t="s">
        <v>752</v>
      </c>
      <c r="C5566" t="s">
        <v>8690</v>
      </c>
      <c r="E5566" t="s">
        <v>20794</v>
      </c>
      <c r="F5566" t="s">
        <v>28669</v>
      </c>
      <c r="G5566" t="s">
        <v>28679</v>
      </c>
      <c r="H5566" t="s">
        <v>9998</v>
      </c>
      <c r="I5566" t="s">
        <v>28706</v>
      </c>
      <c r="J5566" t="s">
        <v>32360</v>
      </c>
      <c r="K5566" t="s">
        <v>37209</v>
      </c>
      <c r="M5566" t="s">
        <v>39224</v>
      </c>
      <c r="N5566" t="s">
        <v>41249</v>
      </c>
      <c r="O5566" t="s">
        <v>41250</v>
      </c>
      <c r="P5566">
        <v>0</v>
      </c>
      <c r="Q5566">
        <v>4</v>
      </c>
      <c r="R5566" t="s">
        <v>41254</v>
      </c>
      <c r="S5566" t="s">
        <v>41425</v>
      </c>
      <c r="T5566" t="s">
        <v>42729</v>
      </c>
      <c r="U5566" t="s">
        <v>47814</v>
      </c>
      <c r="V5566" t="s">
        <v>54872</v>
      </c>
      <c r="W5566" t="s">
        <v>39224</v>
      </c>
      <c r="X5566" t="s">
        <v>41255</v>
      </c>
    </row>
    <row r="5567" spans="1:24">
      <c r="A5567">
        <f>HYPERLINK("https://www.philgeps.gov.ph/GEPSNONPILOT/Tender/SplashBidNoticeAbstractUI.aspx?menuIndex=3&amp;refID=7073213&amp;Result=3","7073213")</f>
        <v>0</v>
      </c>
      <c r="B5567" t="s">
        <v>1887</v>
      </c>
      <c r="C5567" t="s">
        <v>8691</v>
      </c>
      <c r="D5567" t="s">
        <v>16625</v>
      </c>
      <c r="E5567" t="s">
        <v>21649</v>
      </c>
      <c r="F5567" t="s">
        <v>28669</v>
      </c>
      <c r="G5567" t="s">
        <v>28675</v>
      </c>
      <c r="H5567" t="s">
        <v>9998</v>
      </c>
      <c r="I5567" t="s">
        <v>28764</v>
      </c>
      <c r="J5567" t="s">
        <v>32361</v>
      </c>
      <c r="K5567" t="s">
        <v>37205</v>
      </c>
      <c r="M5567" t="s">
        <v>39510</v>
      </c>
      <c r="N5567" t="s">
        <v>41249</v>
      </c>
      <c r="O5567" t="s">
        <v>41250</v>
      </c>
      <c r="P5567">
        <v>0</v>
      </c>
      <c r="Q5567">
        <v>5</v>
      </c>
      <c r="R5567" t="s">
        <v>41254</v>
      </c>
      <c r="S5567" t="s">
        <v>41425</v>
      </c>
      <c r="T5567" t="s">
        <v>42792</v>
      </c>
      <c r="U5567" t="s">
        <v>47815</v>
      </c>
      <c r="W5567" t="s">
        <v>55975</v>
      </c>
      <c r="X5567" t="s">
        <v>41255</v>
      </c>
    </row>
    <row r="5568" spans="1:24">
      <c r="A5568">
        <f>HYPERLINK("https://www.philgeps.gov.ph/GEPSNONPILOT/Tender/SplashBidNoticeAbstractUI.aspx?menuIndex=3&amp;refID=7073226&amp;Result=3","7073226")</f>
        <v>0</v>
      </c>
      <c r="B5568" t="s">
        <v>1891</v>
      </c>
      <c r="C5568" t="s">
        <v>8692</v>
      </c>
      <c r="D5568" t="s">
        <v>16673</v>
      </c>
      <c r="E5568" t="s">
        <v>21650</v>
      </c>
      <c r="F5568" t="s">
        <v>28669</v>
      </c>
      <c r="G5568" t="s">
        <v>28676</v>
      </c>
      <c r="H5568" t="s">
        <v>28686</v>
      </c>
      <c r="I5568" t="s">
        <v>28725</v>
      </c>
      <c r="J5568" t="s">
        <v>28854</v>
      </c>
      <c r="K5568" t="s">
        <v>37205</v>
      </c>
      <c r="M5568" t="s">
        <v>39514</v>
      </c>
      <c r="N5568" t="s">
        <v>41249</v>
      </c>
      <c r="O5568" t="s">
        <v>41250</v>
      </c>
      <c r="P5568">
        <v>0</v>
      </c>
      <c r="Q5568">
        <v>1</v>
      </c>
      <c r="R5568" t="s">
        <v>41254</v>
      </c>
      <c r="S5568" t="s">
        <v>41425</v>
      </c>
      <c r="T5568" t="s">
        <v>42758</v>
      </c>
      <c r="U5568" t="s">
        <v>47816</v>
      </c>
      <c r="W5568" t="s">
        <v>39514</v>
      </c>
      <c r="X5568" t="s">
        <v>41255</v>
      </c>
    </row>
    <row r="5569" spans="1:24">
      <c r="A5569">
        <f>HYPERLINK("https://www.philgeps.gov.ph/GEPSNONPILOT/Tender/SplashBidNoticeAbstractUI.aspx?menuIndex=3&amp;refID=7073211&amp;Result=3","7073211")</f>
        <v>0</v>
      </c>
      <c r="B5569" t="s">
        <v>1892</v>
      </c>
      <c r="C5569" t="s">
        <v>8693</v>
      </c>
      <c r="D5569" t="s">
        <v>16608</v>
      </c>
      <c r="E5569" t="s">
        <v>21651</v>
      </c>
      <c r="F5569" t="s">
        <v>28669</v>
      </c>
      <c r="G5569" t="s">
        <v>28675</v>
      </c>
      <c r="H5569" t="s">
        <v>28684</v>
      </c>
      <c r="I5569" t="s">
        <v>5286</v>
      </c>
      <c r="J5569" t="s">
        <v>28905</v>
      </c>
      <c r="K5569" t="s">
        <v>37206</v>
      </c>
      <c r="M5569" t="s">
        <v>39515</v>
      </c>
      <c r="N5569" t="s">
        <v>41249</v>
      </c>
      <c r="O5569" t="s">
        <v>41250</v>
      </c>
      <c r="P5569">
        <v>0</v>
      </c>
      <c r="Q5569">
        <v>2</v>
      </c>
      <c r="R5569" t="s">
        <v>41254</v>
      </c>
      <c r="S5569" t="s">
        <v>41425</v>
      </c>
      <c r="T5569" t="s">
        <v>42698</v>
      </c>
      <c r="U5569" t="s">
        <v>47817</v>
      </c>
      <c r="V5569" t="s">
        <v>54873</v>
      </c>
      <c r="W5569" t="s">
        <v>39515</v>
      </c>
      <c r="X5569" t="s">
        <v>41255</v>
      </c>
    </row>
    <row r="5570" spans="1:24">
      <c r="A5570">
        <f>HYPERLINK("https://www.philgeps.gov.ph/GEPSNONPILOT/Tender/SplashBidNoticeAbstractUI.aspx?menuIndex=3&amp;refID=7073157&amp;Result=3","7073157")</f>
        <v>0</v>
      </c>
      <c r="B5570" t="s">
        <v>1893</v>
      </c>
      <c r="C5570" t="s">
        <v>8694</v>
      </c>
      <c r="D5570" t="s">
        <v>16608</v>
      </c>
      <c r="E5570" t="s">
        <v>21652</v>
      </c>
      <c r="F5570" t="s">
        <v>28669</v>
      </c>
      <c r="G5570" t="s">
        <v>28676</v>
      </c>
      <c r="H5570" t="s">
        <v>9998</v>
      </c>
      <c r="I5570" t="s">
        <v>28708</v>
      </c>
      <c r="J5570" t="s">
        <v>32362</v>
      </c>
      <c r="K5570" t="s">
        <v>37204</v>
      </c>
      <c r="M5570" t="s">
        <v>39516</v>
      </c>
      <c r="N5570" t="s">
        <v>41249</v>
      </c>
      <c r="O5570" t="s">
        <v>41250</v>
      </c>
      <c r="P5570">
        <v>0</v>
      </c>
      <c r="Q5570">
        <v>7</v>
      </c>
      <c r="R5570" t="s">
        <v>41254</v>
      </c>
      <c r="S5570" t="s">
        <v>41425</v>
      </c>
      <c r="T5570" t="s">
        <v>42675</v>
      </c>
      <c r="U5570" t="s">
        <v>47818</v>
      </c>
      <c r="V5570" t="s">
        <v>54874</v>
      </c>
      <c r="W5570" t="s">
        <v>39516</v>
      </c>
      <c r="X5570" t="s">
        <v>41255</v>
      </c>
    </row>
    <row r="5571" spans="1:24">
      <c r="A5571">
        <f>HYPERLINK("https://www.philgeps.gov.ph/GEPSNONPILOT/Tender/SplashBidNoticeAbstractUI.aspx?menuIndex=3&amp;refID=7073221&amp;Result=3","7073221")</f>
        <v>0</v>
      </c>
      <c r="B5571" t="s">
        <v>1894</v>
      </c>
      <c r="C5571" t="s">
        <v>8695</v>
      </c>
      <c r="D5571" t="s">
        <v>16617</v>
      </c>
      <c r="E5571" t="s">
        <v>21653</v>
      </c>
      <c r="F5571" t="s">
        <v>28669</v>
      </c>
      <c r="G5571" t="s">
        <v>28675</v>
      </c>
      <c r="H5571" t="s">
        <v>28686</v>
      </c>
      <c r="I5571" t="s">
        <v>28689</v>
      </c>
      <c r="J5571" t="s">
        <v>32363</v>
      </c>
      <c r="K5571" t="s">
        <v>37227</v>
      </c>
      <c r="M5571" t="s">
        <v>39517</v>
      </c>
      <c r="N5571" t="s">
        <v>41249</v>
      </c>
      <c r="O5571" t="s">
        <v>41250</v>
      </c>
      <c r="P5571">
        <v>0</v>
      </c>
      <c r="Q5571">
        <v>1</v>
      </c>
      <c r="R5571" t="s">
        <v>41254</v>
      </c>
      <c r="S5571" t="s">
        <v>41425</v>
      </c>
      <c r="T5571" t="s">
        <v>42754</v>
      </c>
      <c r="U5571" t="s">
        <v>47819</v>
      </c>
      <c r="W5571" t="s">
        <v>39517</v>
      </c>
      <c r="X5571" t="s">
        <v>41255</v>
      </c>
    </row>
    <row r="5572" spans="1:24">
      <c r="A5572">
        <f>HYPERLINK("https://www.philgeps.gov.ph/GEPSNONPILOT/Tender/SplashBidNoticeAbstractUI.aspx?menuIndex=3&amp;refID=7065199&amp;Result=3","7065199")</f>
        <v>0</v>
      </c>
      <c r="B5572" t="s">
        <v>1895</v>
      </c>
      <c r="C5572" t="s">
        <v>8696</v>
      </c>
      <c r="D5572" t="s">
        <v>16609</v>
      </c>
      <c r="E5572" t="s">
        <v>21654</v>
      </c>
      <c r="F5572" t="s">
        <v>28669</v>
      </c>
      <c r="G5572" t="s">
        <v>28675</v>
      </c>
      <c r="H5572" t="s">
        <v>28686</v>
      </c>
      <c r="I5572" t="s">
        <v>28689</v>
      </c>
      <c r="J5572" t="s">
        <v>29317</v>
      </c>
      <c r="K5572" t="s">
        <v>37220</v>
      </c>
      <c r="M5572" t="s">
        <v>39518</v>
      </c>
      <c r="N5572" t="s">
        <v>41249</v>
      </c>
      <c r="O5572" t="s">
        <v>41250</v>
      </c>
      <c r="P5572">
        <v>0</v>
      </c>
      <c r="Q5572">
        <v>0</v>
      </c>
      <c r="R5572" t="s">
        <v>41255</v>
      </c>
      <c r="S5572" t="s">
        <v>41442</v>
      </c>
      <c r="T5572" t="s">
        <v>42754</v>
      </c>
      <c r="U5572" t="s">
        <v>47820</v>
      </c>
      <c r="W5572" t="s">
        <v>39518</v>
      </c>
      <c r="X5572" t="s">
        <v>41259</v>
      </c>
    </row>
    <row r="5573" spans="1:24">
      <c r="A5573">
        <f>HYPERLINK("https://www.philgeps.gov.ph/GEPSNONPILOT/Tender/SplashBidNoticeAbstractUI.aspx?menuIndex=3&amp;refID=7073218&amp;Result=3","7073218")</f>
        <v>0</v>
      </c>
      <c r="B5573" t="s">
        <v>1829</v>
      </c>
      <c r="C5573" t="s">
        <v>8697</v>
      </c>
      <c r="D5573" t="s">
        <v>16661</v>
      </c>
      <c r="E5573" t="s">
        <v>21444</v>
      </c>
      <c r="F5573" t="s">
        <v>28669</v>
      </c>
      <c r="G5573" t="s">
        <v>28677</v>
      </c>
      <c r="H5573" t="s">
        <v>9998</v>
      </c>
      <c r="I5573" t="s">
        <v>28694</v>
      </c>
      <c r="J5573" t="s">
        <v>32364</v>
      </c>
      <c r="K5573" t="s">
        <v>37210</v>
      </c>
      <c r="M5573" t="s">
        <v>39442</v>
      </c>
      <c r="N5573" t="s">
        <v>41249</v>
      </c>
      <c r="O5573" t="s">
        <v>41250</v>
      </c>
      <c r="P5573">
        <v>0</v>
      </c>
      <c r="Q5573">
        <v>1</v>
      </c>
      <c r="R5573" t="s">
        <v>41254</v>
      </c>
      <c r="S5573" t="s">
        <v>41425</v>
      </c>
      <c r="T5573" t="s">
        <v>42728</v>
      </c>
      <c r="U5573" t="s">
        <v>47821</v>
      </c>
      <c r="W5573" t="s">
        <v>39442</v>
      </c>
      <c r="X5573" t="s">
        <v>41255</v>
      </c>
    </row>
    <row r="5574" spans="1:24">
      <c r="A5574">
        <f>HYPERLINK("https://www.philgeps.gov.ph/GEPSNONPILOT/Tender/SplashBidNoticeAbstractUI.aspx?menuIndex=3&amp;refID=7063862&amp;Result=3","7063862")</f>
        <v>0</v>
      </c>
      <c r="B5574" t="s">
        <v>1896</v>
      </c>
      <c r="C5574" t="s">
        <v>8698</v>
      </c>
      <c r="D5574" t="s">
        <v>16671</v>
      </c>
      <c r="E5574" t="s">
        <v>21655</v>
      </c>
      <c r="F5574" t="s">
        <v>28669</v>
      </c>
      <c r="G5574" t="s">
        <v>28675</v>
      </c>
      <c r="H5574" t="s">
        <v>9998</v>
      </c>
      <c r="I5574" t="s">
        <v>28694</v>
      </c>
      <c r="J5574" t="s">
        <v>32365</v>
      </c>
      <c r="K5574" t="s">
        <v>37210</v>
      </c>
      <c r="M5574" t="s">
        <v>39519</v>
      </c>
      <c r="N5574" t="s">
        <v>41249</v>
      </c>
      <c r="O5574" t="s">
        <v>41250</v>
      </c>
      <c r="P5574">
        <v>0</v>
      </c>
      <c r="Q5574">
        <v>1</v>
      </c>
      <c r="R5574" t="s">
        <v>41255</v>
      </c>
      <c r="S5574" t="s">
        <v>41442</v>
      </c>
      <c r="T5574" t="s">
        <v>42675</v>
      </c>
      <c r="U5574" t="s">
        <v>47822</v>
      </c>
      <c r="V5574" t="s">
        <v>54875</v>
      </c>
      <c r="W5574" t="s">
        <v>39519</v>
      </c>
      <c r="X5574" t="s">
        <v>41260</v>
      </c>
    </row>
    <row r="5575" spans="1:24">
      <c r="A5575">
        <f>HYPERLINK("https://www.philgeps.gov.ph/GEPSNONPILOT/Tender/SplashBidNoticeAbstractUI.aspx?menuIndex=3&amp;refID=7062329&amp;Result=3","7062329")</f>
        <v>0</v>
      </c>
      <c r="B5575" t="s">
        <v>1897</v>
      </c>
      <c r="C5575" t="s">
        <v>8699</v>
      </c>
      <c r="D5575" t="s">
        <v>16621</v>
      </c>
      <c r="E5575" t="s">
        <v>21656</v>
      </c>
      <c r="F5575" t="s">
        <v>28669</v>
      </c>
      <c r="G5575" t="s">
        <v>28675</v>
      </c>
      <c r="H5575" t="s">
        <v>28686</v>
      </c>
      <c r="I5575" t="s">
        <v>28689</v>
      </c>
      <c r="J5575" t="s">
        <v>29227</v>
      </c>
      <c r="K5575" t="s">
        <v>37206</v>
      </c>
      <c r="M5575" t="s">
        <v>39520</v>
      </c>
      <c r="N5575" t="s">
        <v>41249</v>
      </c>
      <c r="O5575" t="s">
        <v>41250</v>
      </c>
      <c r="P5575">
        <v>0</v>
      </c>
      <c r="Q5575">
        <v>0</v>
      </c>
      <c r="R5575" t="s">
        <v>41255</v>
      </c>
      <c r="S5575" t="s">
        <v>41442</v>
      </c>
      <c r="T5575" t="s">
        <v>42717</v>
      </c>
      <c r="U5575" t="s">
        <v>47823</v>
      </c>
      <c r="W5575" t="s">
        <v>39520</v>
      </c>
      <c r="X5575" t="s">
        <v>41260</v>
      </c>
    </row>
    <row r="5576" spans="1:24">
      <c r="A5576">
        <f>HYPERLINK("https://www.philgeps.gov.ph/GEPSNONPILOT/Tender/SplashBidNoticeAbstractUI.aspx?menuIndex=3&amp;refID=7073158&amp;Result=3","7073158")</f>
        <v>0</v>
      </c>
      <c r="B5576" t="s">
        <v>1898</v>
      </c>
      <c r="C5576" t="s">
        <v>8700</v>
      </c>
      <c r="E5576" t="s">
        <v>21657</v>
      </c>
      <c r="F5576" t="s">
        <v>28669</v>
      </c>
      <c r="G5576" t="s">
        <v>28675</v>
      </c>
      <c r="H5576" t="s">
        <v>28686</v>
      </c>
      <c r="I5576" t="s">
        <v>28689</v>
      </c>
      <c r="J5576" t="s">
        <v>32366</v>
      </c>
      <c r="K5576" t="s">
        <v>37270</v>
      </c>
      <c r="M5576" t="s">
        <v>39521</v>
      </c>
      <c r="N5576" t="s">
        <v>41249</v>
      </c>
      <c r="O5576" t="s">
        <v>41250</v>
      </c>
      <c r="P5576">
        <v>0</v>
      </c>
      <c r="Q5576">
        <v>1</v>
      </c>
      <c r="R5576" t="s">
        <v>41254</v>
      </c>
      <c r="S5576" t="s">
        <v>41425</v>
      </c>
      <c r="T5576" t="s">
        <v>42759</v>
      </c>
      <c r="U5576" t="s">
        <v>47824</v>
      </c>
      <c r="W5576" t="s">
        <v>39521</v>
      </c>
      <c r="X5576" t="s">
        <v>41255</v>
      </c>
    </row>
    <row r="5577" spans="1:24">
      <c r="A5577">
        <f>HYPERLINK("https://www.philgeps.gov.ph/GEPSNONPILOT/Tender/SplashBidNoticeAbstractUI.aspx?menuIndex=3&amp;refID=7063788&amp;Result=3","7063788")</f>
        <v>0</v>
      </c>
      <c r="B5577" t="s">
        <v>1899</v>
      </c>
      <c r="C5577" t="s">
        <v>8701</v>
      </c>
      <c r="D5577" t="s">
        <v>16684</v>
      </c>
      <c r="E5577" t="s">
        <v>21658</v>
      </c>
      <c r="F5577" t="s">
        <v>28669</v>
      </c>
      <c r="G5577" t="s">
        <v>28675</v>
      </c>
      <c r="H5577" t="s">
        <v>9998</v>
      </c>
      <c r="I5577" t="s">
        <v>28687</v>
      </c>
      <c r="J5577" t="s">
        <v>29724</v>
      </c>
      <c r="K5577" t="s">
        <v>37220</v>
      </c>
      <c r="M5577" t="s">
        <v>39522</v>
      </c>
      <c r="N5577" t="s">
        <v>41249</v>
      </c>
      <c r="O5577" t="s">
        <v>41250</v>
      </c>
      <c r="P5577">
        <v>0</v>
      </c>
      <c r="Q5577">
        <v>5</v>
      </c>
      <c r="R5577" t="s">
        <v>41255</v>
      </c>
      <c r="S5577" t="s">
        <v>41442</v>
      </c>
      <c r="T5577" t="s">
        <v>42987</v>
      </c>
      <c r="U5577" t="s">
        <v>47825</v>
      </c>
      <c r="W5577" t="s">
        <v>39522</v>
      </c>
      <c r="X5577" t="s">
        <v>41260</v>
      </c>
    </row>
    <row r="5578" spans="1:24">
      <c r="A5578">
        <f>HYPERLINK("https://www.philgeps.gov.ph/GEPSNONPILOT/Tender/SplashBidNoticeAbstractUI.aspx?menuIndex=3&amp;refID=7062326&amp;Result=3","7062326")</f>
        <v>0</v>
      </c>
      <c r="B5578" t="s">
        <v>1900</v>
      </c>
      <c r="C5578" t="s">
        <v>8702</v>
      </c>
      <c r="D5578" t="s">
        <v>16658</v>
      </c>
      <c r="E5578" t="s">
        <v>21659</v>
      </c>
      <c r="F5578" t="s">
        <v>28669</v>
      </c>
      <c r="G5578" t="s">
        <v>28675</v>
      </c>
      <c r="H5578" t="s">
        <v>9998</v>
      </c>
      <c r="I5578" t="s">
        <v>5286</v>
      </c>
      <c r="J5578" t="s">
        <v>32367</v>
      </c>
      <c r="K5578" t="s">
        <v>37206</v>
      </c>
      <c r="M5578" t="s">
        <v>39523</v>
      </c>
      <c r="N5578" t="s">
        <v>41249</v>
      </c>
      <c r="O5578" t="s">
        <v>41250</v>
      </c>
      <c r="P5578">
        <v>0</v>
      </c>
      <c r="Q5578">
        <v>4</v>
      </c>
      <c r="R5578" t="s">
        <v>41255</v>
      </c>
      <c r="S5578" t="s">
        <v>41442</v>
      </c>
      <c r="T5578" t="s">
        <v>42716</v>
      </c>
      <c r="U5578" t="s">
        <v>47826</v>
      </c>
      <c r="V5578" t="s">
        <v>54876</v>
      </c>
      <c r="W5578" t="s">
        <v>39523</v>
      </c>
      <c r="X5578" t="s">
        <v>41260</v>
      </c>
    </row>
    <row r="5579" spans="1:24">
      <c r="A5579">
        <f>HYPERLINK("https://www.philgeps.gov.ph/GEPSNONPILOT/Tender/SplashBidNoticeAbstractUI.aspx?menuIndex=3&amp;refID=7063881&amp;Result=3","7063881")</f>
        <v>0</v>
      </c>
      <c r="B5579" t="s">
        <v>1896</v>
      </c>
      <c r="C5579" t="s">
        <v>8703</v>
      </c>
      <c r="D5579" t="s">
        <v>16671</v>
      </c>
      <c r="E5579" t="s">
        <v>21660</v>
      </c>
      <c r="F5579" t="s">
        <v>28669</v>
      </c>
      <c r="G5579" t="s">
        <v>28675</v>
      </c>
      <c r="H5579" t="s">
        <v>9998</v>
      </c>
      <c r="I5579" t="s">
        <v>28694</v>
      </c>
      <c r="J5579" t="s">
        <v>32368</v>
      </c>
      <c r="K5579" t="s">
        <v>37210</v>
      </c>
      <c r="M5579" t="s">
        <v>39519</v>
      </c>
      <c r="N5579" t="s">
        <v>41249</v>
      </c>
      <c r="O5579" t="s">
        <v>41250</v>
      </c>
      <c r="P5579">
        <v>0</v>
      </c>
      <c r="Q5579">
        <v>1</v>
      </c>
      <c r="R5579" t="s">
        <v>41255</v>
      </c>
      <c r="S5579" t="s">
        <v>41442</v>
      </c>
      <c r="T5579" t="s">
        <v>42675</v>
      </c>
      <c r="U5579" t="s">
        <v>47827</v>
      </c>
      <c r="V5579" t="s">
        <v>54875</v>
      </c>
      <c r="W5579" t="s">
        <v>39519</v>
      </c>
      <c r="X5579" t="s">
        <v>41260</v>
      </c>
    </row>
    <row r="5580" spans="1:24">
      <c r="A5580">
        <f>HYPERLINK("https://www.philgeps.gov.ph/GEPSNONPILOT/Tender/SplashBidNoticeAbstractUI.aspx?menuIndex=3&amp;refID=7060133&amp;Result=3","7060133")</f>
        <v>0</v>
      </c>
      <c r="B5580" t="s">
        <v>1900</v>
      </c>
      <c r="C5580" t="s">
        <v>8704</v>
      </c>
      <c r="D5580" t="s">
        <v>16658</v>
      </c>
      <c r="E5580" t="s">
        <v>21661</v>
      </c>
      <c r="F5580" t="s">
        <v>28669</v>
      </c>
      <c r="G5580" t="s">
        <v>28675</v>
      </c>
      <c r="H5580" t="s">
        <v>9998</v>
      </c>
      <c r="I5580" t="s">
        <v>28690</v>
      </c>
      <c r="J5580" t="s">
        <v>32369</v>
      </c>
      <c r="K5580" t="s">
        <v>37206</v>
      </c>
      <c r="M5580" t="s">
        <v>39523</v>
      </c>
      <c r="N5580" t="s">
        <v>41249</v>
      </c>
      <c r="O5580" t="s">
        <v>41250</v>
      </c>
      <c r="Q5580">
        <v>0</v>
      </c>
      <c r="R5580" t="s">
        <v>41255</v>
      </c>
      <c r="S5580" t="s">
        <v>41443</v>
      </c>
      <c r="T5580" t="s">
        <v>42716</v>
      </c>
      <c r="U5580" t="s">
        <v>47828</v>
      </c>
      <c r="V5580" t="s">
        <v>54877</v>
      </c>
      <c r="W5580" t="s">
        <v>39523</v>
      </c>
      <c r="X5580" t="s">
        <v>41261</v>
      </c>
    </row>
    <row r="5581" spans="1:24">
      <c r="A5581">
        <f>HYPERLINK("https://www.philgeps.gov.ph/GEPSNONPILOT/Tender/SplashBidNoticeAbstractUI.aspx?menuIndex=3&amp;refID=7073214&amp;Result=3","7073214")</f>
        <v>0</v>
      </c>
      <c r="B5581" t="s">
        <v>1901</v>
      </c>
      <c r="C5581" t="s">
        <v>8705</v>
      </c>
      <c r="D5581" t="s">
        <v>16643</v>
      </c>
      <c r="E5581" t="s">
        <v>21662</v>
      </c>
      <c r="F5581" t="s">
        <v>28669</v>
      </c>
      <c r="G5581" t="s">
        <v>28675</v>
      </c>
      <c r="H5581" t="s">
        <v>9998</v>
      </c>
      <c r="I5581" t="s">
        <v>28687</v>
      </c>
      <c r="J5581" t="s">
        <v>29744</v>
      </c>
      <c r="K5581" t="s">
        <v>37205</v>
      </c>
      <c r="M5581" t="s">
        <v>39524</v>
      </c>
      <c r="N5581" t="s">
        <v>41249</v>
      </c>
      <c r="O5581" t="s">
        <v>41250</v>
      </c>
      <c r="P5581">
        <v>0</v>
      </c>
      <c r="Q5581">
        <v>1</v>
      </c>
      <c r="R5581" t="s">
        <v>41254</v>
      </c>
      <c r="S5581" t="s">
        <v>41425</v>
      </c>
      <c r="T5581" t="s">
        <v>42742</v>
      </c>
      <c r="U5581" t="s">
        <v>47829</v>
      </c>
      <c r="W5581" t="s">
        <v>39524</v>
      </c>
      <c r="X5581" t="s">
        <v>41255</v>
      </c>
    </row>
    <row r="5582" spans="1:24">
      <c r="A5582">
        <f>HYPERLINK("https://www.philgeps.gov.ph/GEPSNONPILOT/Tender/SplashBidNoticeAbstractUI.aspx?menuIndex=3&amp;refID=7057450&amp;Result=3","7057450")</f>
        <v>0</v>
      </c>
      <c r="B5582" t="s">
        <v>416</v>
      </c>
      <c r="C5582" t="s">
        <v>8706</v>
      </c>
      <c r="D5582" t="s">
        <v>16615</v>
      </c>
      <c r="E5582" t="s">
        <v>17029</v>
      </c>
      <c r="F5582" t="s">
        <v>28669</v>
      </c>
      <c r="G5582" t="s">
        <v>28675</v>
      </c>
      <c r="H5582" t="s">
        <v>9998</v>
      </c>
      <c r="I5582" t="s">
        <v>7352</v>
      </c>
      <c r="J5582" t="s">
        <v>32370</v>
      </c>
      <c r="K5582" t="s">
        <v>37206</v>
      </c>
      <c r="M5582" t="s">
        <v>37901</v>
      </c>
      <c r="N5582" t="s">
        <v>41249</v>
      </c>
      <c r="O5582" t="s">
        <v>41250</v>
      </c>
      <c r="P5582">
        <v>0</v>
      </c>
      <c r="Q5582">
        <v>3</v>
      </c>
      <c r="R5582" t="s">
        <v>41255</v>
      </c>
      <c r="S5582" t="s">
        <v>41442</v>
      </c>
      <c r="T5582" t="s">
        <v>43011</v>
      </c>
      <c r="U5582" t="s">
        <v>47830</v>
      </c>
      <c r="W5582" t="s">
        <v>37901</v>
      </c>
      <c r="X5582" t="s">
        <v>41264</v>
      </c>
    </row>
    <row r="5583" spans="1:24">
      <c r="A5583">
        <f>HYPERLINK("https://www.philgeps.gov.ph/GEPSNONPILOT/Tender/SplashBidNoticeAbstractUI.aspx?menuIndex=3&amp;refID=7062384&amp;Result=3","7062384")</f>
        <v>0</v>
      </c>
      <c r="B5583" t="s">
        <v>1900</v>
      </c>
      <c r="C5583" t="s">
        <v>8707</v>
      </c>
      <c r="D5583" t="s">
        <v>16658</v>
      </c>
      <c r="E5583" t="s">
        <v>21663</v>
      </c>
      <c r="F5583" t="s">
        <v>28669</v>
      </c>
      <c r="G5583" t="s">
        <v>28675</v>
      </c>
      <c r="H5583" t="s">
        <v>9998</v>
      </c>
      <c r="I5583" t="s">
        <v>28690</v>
      </c>
      <c r="J5583" t="s">
        <v>32371</v>
      </c>
      <c r="K5583" t="s">
        <v>37206</v>
      </c>
      <c r="M5583" t="s">
        <v>39523</v>
      </c>
      <c r="N5583" t="s">
        <v>41249</v>
      </c>
      <c r="O5583" t="s">
        <v>41250</v>
      </c>
      <c r="Q5583">
        <v>0</v>
      </c>
      <c r="R5583" t="s">
        <v>41255</v>
      </c>
      <c r="S5583" t="s">
        <v>41444</v>
      </c>
      <c r="T5583" t="s">
        <v>42716</v>
      </c>
      <c r="U5583" t="s">
        <v>47831</v>
      </c>
      <c r="V5583" t="s">
        <v>54877</v>
      </c>
      <c r="W5583" t="s">
        <v>39523</v>
      </c>
      <c r="X5583" t="s">
        <v>41260</v>
      </c>
    </row>
    <row r="5584" spans="1:24">
      <c r="A5584">
        <f>HYPERLINK("https://www.philgeps.gov.ph/GEPSNONPILOT/Tender/SplashBidNoticeAbstractUI.aspx?menuIndex=3&amp;refID=7023994-2&amp;Result=3","7023994-2")</f>
        <v>0</v>
      </c>
      <c r="B5584" t="s">
        <v>789</v>
      </c>
      <c r="C5584" t="s">
        <v>8708</v>
      </c>
      <c r="E5584" t="s">
        <v>21664</v>
      </c>
      <c r="F5584" t="s">
        <v>28669</v>
      </c>
      <c r="G5584" t="s">
        <v>28675</v>
      </c>
      <c r="H5584" t="s">
        <v>28685</v>
      </c>
      <c r="I5584" t="s">
        <v>28685</v>
      </c>
      <c r="J5584" t="s">
        <v>31648</v>
      </c>
      <c r="K5584" t="s">
        <v>37314</v>
      </c>
      <c r="M5584" t="s">
        <v>39525</v>
      </c>
      <c r="N5584" t="s">
        <v>41249</v>
      </c>
      <c r="O5584" t="s">
        <v>41250</v>
      </c>
      <c r="P5584">
        <v>0</v>
      </c>
      <c r="Q5584">
        <v>1</v>
      </c>
      <c r="R5584" t="s">
        <v>41255</v>
      </c>
      <c r="S5584" t="s">
        <v>41442</v>
      </c>
      <c r="T5584" t="s">
        <v>42716</v>
      </c>
      <c r="U5584" t="s">
        <v>47832</v>
      </c>
      <c r="W5584" t="s">
        <v>39525</v>
      </c>
      <c r="X5584" t="s">
        <v>41256</v>
      </c>
    </row>
    <row r="5585" spans="1:24">
      <c r="A5585">
        <f>HYPERLINK("https://www.philgeps.gov.ph/GEPSNONPILOT/Tender/SplashBidNoticeAbstractUI.aspx?menuIndex=3&amp;refID=7073234&amp;Result=3","7073234")</f>
        <v>0</v>
      </c>
      <c r="B5585" t="s">
        <v>1902</v>
      </c>
      <c r="C5585" t="s">
        <v>8709</v>
      </c>
      <c r="D5585" t="s">
        <v>16643</v>
      </c>
      <c r="E5585" t="s">
        <v>21665</v>
      </c>
      <c r="F5585" t="s">
        <v>28669</v>
      </c>
      <c r="G5585" t="s">
        <v>28676</v>
      </c>
      <c r="H5585" t="s">
        <v>9998</v>
      </c>
      <c r="I5585" t="s">
        <v>7352</v>
      </c>
      <c r="J5585" t="s">
        <v>28878</v>
      </c>
      <c r="K5585" t="s">
        <v>37209</v>
      </c>
      <c r="M5585" t="s">
        <v>39526</v>
      </c>
      <c r="N5585" t="s">
        <v>41249</v>
      </c>
      <c r="O5585" t="s">
        <v>41250</v>
      </c>
      <c r="P5585">
        <v>0</v>
      </c>
      <c r="Q5585">
        <v>0</v>
      </c>
      <c r="R5585" t="s">
        <v>41254</v>
      </c>
      <c r="S5585" t="s">
        <v>41425</v>
      </c>
      <c r="T5585" t="s">
        <v>42673</v>
      </c>
      <c r="U5585" t="s">
        <v>47833</v>
      </c>
      <c r="W5585" t="s">
        <v>39526</v>
      </c>
      <c r="X5585" t="s">
        <v>41255</v>
      </c>
    </row>
    <row r="5586" spans="1:24">
      <c r="A5586">
        <f>HYPERLINK("https://www.philgeps.gov.ph/GEPSNONPILOT/Tender/SplashBidNoticeAbstractUI.aspx?menuIndex=3&amp;refID=7071584&amp;Result=3","7071584")</f>
        <v>0</v>
      </c>
      <c r="B5586" t="s">
        <v>1896</v>
      </c>
      <c r="C5586" t="s">
        <v>8710</v>
      </c>
      <c r="D5586" t="s">
        <v>16671</v>
      </c>
      <c r="E5586" t="s">
        <v>21666</v>
      </c>
      <c r="F5586" t="s">
        <v>28669</v>
      </c>
      <c r="G5586" t="s">
        <v>28675</v>
      </c>
      <c r="H5586" t="s">
        <v>9998</v>
      </c>
      <c r="I5586" t="s">
        <v>28704</v>
      </c>
      <c r="J5586" t="s">
        <v>32372</v>
      </c>
      <c r="K5586" t="s">
        <v>37210</v>
      </c>
      <c r="M5586" t="s">
        <v>39519</v>
      </c>
      <c r="N5586" t="s">
        <v>41249</v>
      </c>
      <c r="O5586" t="s">
        <v>41250</v>
      </c>
      <c r="P5586">
        <v>0</v>
      </c>
      <c r="Q5586">
        <v>2</v>
      </c>
      <c r="R5586" t="s">
        <v>41255</v>
      </c>
      <c r="S5586" t="s">
        <v>41442</v>
      </c>
      <c r="T5586" t="s">
        <v>42675</v>
      </c>
      <c r="U5586" t="s">
        <v>47834</v>
      </c>
      <c r="V5586" t="s">
        <v>54875</v>
      </c>
      <c r="W5586" t="s">
        <v>39519</v>
      </c>
      <c r="X5586" t="s">
        <v>41257</v>
      </c>
    </row>
    <row r="5587" spans="1:24">
      <c r="A5587">
        <f>HYPERLINK("https://www.philgeps.gov.ph/GEPSNONPILOT/Tender/SplashBidNoticeAbstractUI.aspx?menuIndex=3&amp;refID=7062264&amp;Result=3","7062264")</f>
        <v>0</v>
      </c>
      <c r="B5587" t="s">
        <v>1897</v>
      </c>
      <c r="C5587" t="s">
        <v>8711</v>
      </c>
      <c r="D5587" t="s">
        <v>16621</v>
      </c>
      <c r="E5587" t="s">
        <v>21667</v>
      </c>
      <c r="F5587" t="s">
        <v>28669</v>
      </c>
      <c r="G5587" t="s">
        <v>28675</v>
      </c>
      <c r="H5587" t="s">
        <v>28686</v>
      </c>
      <c r="I5587" t="s">
        <v>28689</v>
      </c>
      <c r="J5587" t="s">
        <v>32373</v>
      </c>
      <c r="K5587" t="s">
        <v>37205</v>
      </c>
      <c r="M5587" t="s">
        <v>39520</v>
      </c>
      <c r="N5587" t="s">
        <v>41249</v>
      </c>
      <c r="O5587" t="s">
        <v>41250</v>
      </c>
      <c r="P5587">
        <v>0</v>
      </c>
      <c r="Q5587">
        <v>0</v>
      </c>
      <c r="R5587" t="s">
        <v>41255</v>
      </c>
      <c r="S5587" t="s">
        <v>41442</v>
      </c>
      <c r="T5587" t="s">
        <v>42717</v>
      </c>
      <c r="U5587" t="s">
        <v>47835</v>
      </c>
      <c r="W5587" t="s">
        <v>39520</v>
      </c>
      <c r="X5587" t="s">
        <v>41260</v>
      </c>
    </row>
    <row r="5588" spans="1:24">
      <c r="A5588">
        <f>HYPERLINK("https://www.philgeps.gov.ph/GEPSNONPILOT/Tender/SplashBidNoticeAbstractUI.aspx?menuIndex=3&amp;refID=7070780&amp;Result=3","7070780")</f>
        <v>0</v>
      </c>
      <c r="B5588" t="s">
        <v>1903</v>
      </c>
      <c r="C5588" t="s">
        <v>8712</v>
      </c>
      <c r="D5588" t="s">
        <v>16679</v>
      </c>
      <c r="E5588" t="s">
        <v>21668</v>
      </c>
      <c r="F5588" t="s">
        <v>28669</v>
      </c>
      <c r="G5588" t="s">
        <v>28676</v>
      </c>
      <c r="H5588" t="s">
        <v>9998</v>
      </c>
      <c r="I5588" t="s">
        <v>28689</v>
      </c>
      <c r="J5588" t="s">
        <v>32374</v>
      </c>
      <c r="K5588" t="s">
        <v>37221</v>
      </c>
      <c r="M5588" t="s">
        <v>39527</v>
      </c>
      <c r="N5588" t="s">
        <v>41249</v>
      </c>
      <c r="O5588" t="s">
        <v>41250</v>
      </c>
      <c r="P5588">
        <v>0</v>
      </c>
      <c r="Q5588">
        <v>3</v>
      </c>
      <c r="R5588" t="s">
        <v>41255</v>
      </c>
      <c r="S5588" t="s">
        <v>41442</v>
      </c>
      <c r="T5588" t="s">
        <v>42883</v>
      </c>
      <c r="U5588" t="s">
        <v>47836</v>
      </c>
      <c r="W5588" t="s">
        <v>39527</v>
      </c>
      <c r="X5588" t="s">
        <v>41257</v>
      </c>
    </row>
    <row r="5589" spans="1:24">
      <c r="A5589">
        <f>HYPERLINK("https://www.philgeps.gov.ph/GEPSNONPILOT/Tender/SplashBidNoticeAbstractUI.aspx?menuIndex=3&amp;refID=7070751&amp;Result=3","7070751")</f>
        <v>0</v>
      </c>
      <c r="B5589" t="s">
        <v>1903</v>
      </c>
      <c r="C5589" t="s">
        <v>8713</v>
      </c>
      <c r="D5589" t="s">
        <v>16679</v>
      </c>
      <c r="E5589" t="s">
        <v>21669</v>
      </c>
      <c r="F5589" t="s">
        <v>28669</v>
      </c>
      <c r="G5589" t="s">
        <v>28676</v>
      </c>
      <c r="H5589" t="s">
        <v>9998</v>
      </c>
      <c r="I5589" t="s">
        <v>28729</v>
      </c>
      <c r="J5589" t="s">
        <v>32375</v>
      </c>
      <c r="K5589" t="s">
        <v>37205</v>
      </c>
      <c r="M5589" t="s">
        <v>39527</v>
      </c>
      <c r="N5589" t="s">
        <v>41249</v>
      </c>
      <c r="O5589" t="s">
        <v>41250</v>
      </c>
      <c r="P5589">
        <v>0</v>
      </c>
      <c r="Q5589">
        <v>11</v>
      </c>
      <c r="R5589" t="s">
        <v>41255</v>
      </c>
      <c r="S5589" t="s">
        <v>41442</v>
      </c>
      <c r="T5589" t="s">
        <v>42883</v>
      </c>
      <c r="U5589" t="s">
        <v>47837</v>
      </c>
      <c r="W5589" t="s">
        <v>39527</v>
      </c>
      <c r="X5589" t="s">
        <v>41257</v>
      </c>
    </row>
    <row r="5590" spans="1:24">
      <c r="A5590">
        <f>HYPERLINK("https://www.philgeps.gov.ph/GEPSNONPILOT/Tender/SplashBidNoticeAbstractUI.aspx?menuIndex=3&amp;refID=7070695&amp;Result=3","7070695")</f>
        <v>0</v>
      </c>
      <c r="B5590" t="s">
        <v>1903</v>
      </c>
      <c r="C5590" t="s">
        <v>8714</v>
      </c>
      <c r="D5590" t="s">
        <v>16679</v>
      </c>
      <c r="E5590" t="s">
        <v>21670</v>
      </c>
      <c r="F5590" t="s">
        <v>28669</v>
      </c>
      <c r="G5590" t="s">
        <v>28676</v>
      </c>
      <c r="H5590" t="s">
        <v>9998</v>
      </c>
      <c r="I5590" t="s">
        <v>28688</v>
      </c>
      <c r="J5590" t="s">
        <v>32376</v>
      </c>
      <c r="K5590" t="s">
        <v>37204</v>
      </c>
      <c r="M5590" t="s">
        <v>39527</v>
      </c>
      <c r="N5590" t="s">
        <v>41249</v>
      </c>
      <c r="O5590" t="s">
        <v>41250</v>
      </c>
      <c r="P5590">
        <v>0</v>
      </c>
      <c r="Q5590">
        <v>17</v>
      </c>
      <c r="R5590" t="s">
        <v>41255</v>
      </c>
      <c r="S5590" t="s">
        <v>41442</v>
      </c>
      <c r="T5590" t="s">
        <v>43012</v>
      </c>
      <c r="U5590" t="s">
        <v>47838</v>
      </c>
      <c r="W5590" t="s">
        <v>39527</v>
      </c>
      <c r="X5590" t="s">
        <v>41257</v>
      </c>
    </row>
    <row r="5591" spans="1:24">
      <c r="A5591">
        <f>HYPERLINK("https://www.philgeps.gov.ph/GEPSNONPILOT/Tender/SplashBidNoticeAbstractUI.aspx?menuIndex=3&amp;refID=7056121&amp;Result=3","7056121")</f>
        <v>0</v>
      </c>
      <c r="B5591" t="s">
        <v>1900</v>
      </c>
      <c r="C5591" t="s">
        <v>8715</v>
      </c>
      <c r="D5591" t="s">
        <v>16658</v>
      </c>
      <c r="E5591" t="s">
        <v>21671</v>
      </c>
      <c r="F5591" t="s">
        <v>28669</v>
      </c>
      <c r="G5591" t="s">
        <v>28675</v>
      </c>
      <c r="H5591" t="s">
        <v>9998</v>
      </c>
      <c r="I5591" t="s">
        <v>6128</v>
      </c>
      <c r="J5591" t="s">
        <v>31916</v>
      </c>
      <c r="K5591" t="s">
        <v>37206</v>
      </c>
      <c r="M5591" t="s">
        <v>39523</v>
      </c>
      <c r="N5591" t="s">
        <v>41249</v>
      </c>
      <c r="O5591" t="s">
        <v>41250</v>
      </c>
      <c r="P5591">
        <v>0</v>
      </c>
      <c r="Q5591">
        <v>0</v>
      </c>
      <c r="R5591" t="s">
        <v>41255</v>
      </c>
      <c r="S5591" t="s">
        <v>41442</v>
      </c>
      <c r="T5591" t="s">
        <v>42673</v>
      </c>
      <c r="U5591" t="s">
        <v>47839</v>
      </c>
      <c r="V5591" t="s">
        <v>54878</v>
      </c>
      <c r="W5591" t="s">
        <v>39523</v>
      </c>
      <c r="X5591" t="s">
        <v>41264</v>
      </c>
    </row>
    <row r="5592" spans="1:24">
      <c r="A5592">
        <f>HYPERLINK("https://www.philgeps.gov.ph/GEPSNONPILOT/Tender/SplashBidNoticeAbstractUI.aspx?menuIndex=3&amp;refID=7062363&amp;Result=3","7062363")</f>
        <v>0</v>
      </c>
      <c r="B5592" t="s">
        <v>1900</v>
      </c>
      <c r="C5592" t="s">
        <v>8716</v>
      </c>
      <c r="D5592" t="s">
        <v>16658</v>
      </c>
      <c r="E5592" t="s">
        <v>21672</v>
      </c>
      <c r="F5592" t="s">
        <v>28669</v>
      </c>
      <c r="G5592" t="s">
        <v>28675</v>
      </c>
      <c r="H5592" t="s">
        <v>9998</v>
      </c>
      <c r="I5592" t="s">
        <v>28690</v>
      </c>
      <c r="J5592" t="s">
        <v>32377</v>
      </c>
      <c r="K5592" t="s">
        <v>37206</v>
      </c>
      <c r="M5592" t="s">
        <v>39523</v>
      </c>
      <c r="N5592" t="s">
        <v>41249</v>
      </c>
      <c r="O5592" t="s">
        <v>41250</v>
      </c>
      <c r="Q5592">
        <v>1</v>
      </c>
      <c r="R5592" t="s">
        <v>41255</v>
      </c>
      <c r="S5592" t="s">
        <v>41445</v>
      </c>
      <c r="T5592" t="s">
        <v>42716</v>
      </c>
      <c r="U5592" t="s">
        <v>47840</v>
      </c>
      <c r="V5592" t="s">
        <v>54877</v>
      </c>
      <c r="W5592" t="s">
        <v>39523</v>
      </c>
      <c r="X5592" t="s">
        <v>41260</v>
      </c>
    </row>
    <row r="5593" spans="1:24">
      <c r="A5593">
        <f>HYPERLINK("https://www.philgeps.gov.ph/GEPSNONPILOT/Tender/SplashBidNoticeAbstractUI.aspx?menuIndex=3&amp;refID=7068671&amp;Result=3","7068671")</f>
        <v>0</v>
      </c>
      <c r="B5593" t="s">
        <v>1900</v>
      </c>
      <c r="C5593" t="s">
        <v>8717</v>
      </c>
      <c r="D5593" t="s">
        <v>16658</v>
      </c>
      <c r="E5593" t="s">
        <v>21673</v>
      </c>
      <c r="F5593" t="s">
        <v>28669</v>
      </c>
      <c r="G5593" t="s">
        <v>28675</v>
      </c>
      <c r="H5593" t="s">
        <v>9998</v>
      </c>
      <c r="I5593" t="s">
        <v>28722</v>
      </c>
      <c r="J5593" t="s">
        <v>32378</v>
      </c>
      <c r="K5593" t="s">
        <v>37206</v>
      </c>
      <c r="M5593" t="s">
        <v>39523</v>
      </c>
      <c r="N5593" t="s">
        <v>41249</v>
      </c>
      <c r="O5593" t="s">
        <v>41250</v>
      </c>
      <c r="P5593">
        <v>0</v>
      </c>
      <c r="Q5593">
        <v>2</v>
      </c>
      <c r="R5593" t="s">
        <v>41255</v>
      </c>
      <c r="S5593" t="s">
        <v>41442</v>
      </c>
      <c r="T5593" t="s">
        <v>42673</v>
      </c>
      <c r="U5593" t="s">
        <v>47841</v>
      </c>
      <c r="V5593" t="s">
        <v>54879</v>
      </c>
      <c r="W5593" t="s">
        <v>39523</v>
      </c>
      <c r="X5593" t="s">
        <v>41258</v>
      </c>
    </row>
    <row r="5594" spans="1:24">
      <c r="A5594">
        <f>HYPERLINK("https://www.philgeps.gov.ph/GEPSNONPILOT/Tender/SplashBidNoticeAbstractUI.aspx?menuIndex=3&amp;refID=7062206&amp;Result=3","7062206")</f>
        <v>0</v>
      </c>
      <c r="B5594" t="s">
        <v>1897</v>
      </c>
      <c r="C5594" t="s">
        <v>8718</v>
      </c>
      <c r="D5594" t="s">
        <v>16621</v>
      </c>
      <c r="E5594" t="s">
        <v>21674</v>
      </c>
      <c r="F5594" t="s">
        <v>28669</v>
      </c>
      <c r="G5594" t="s">
        <v>28675</v>
      </c>
      <c r="H5594" t="s">
        <v>28686</v>
      </c>
      <c r="I5594" t="s">
        <v>28689</v>
      </c>
      <c r="J5594" t="s">
        <v>28878</v>
      </c>
      <c r="K5594" t="s">
        <v>37206</v>
      </c>
      <c r="M5594" t="s">
        <v>39520</v>
      </c>
      <c r="N5594" t="s">
        <v>41249</v>
      </c>
      <c r="O5594" t="s">
        <v>41250</v>
      </c>
      <c r="P5594">
        <v>0</v>
      </c>
      <c r="Q5594">
        <v>0</v>
      </c>
      <c r="R5594" t="s">
        <v>41255</v>
      </c>
      <c r="S5594" t="s">
        <v>41442</v>
      </c>
      <c r="T5594" t="s">
        <v>42717</v>
      </c>
      <c r="U5594" t="s">
        <v>47842</v>
      </c>
      <c r="W5594" t="s">
        <v>39520</v>
      </c>
      <c r="X5594" t="s">
        <v>41260</v>
      </c>
    </row>
    <row r="5595" spans="1:24">
      <c r="A5595">
        <f>HYPERLINK("https://www.philgeps.gov.ph/GEPSNONPILOT/Tender/SplashBidNoticeAbstractUI.aspx?menuIndex=3&amp;refID=7068560&amp;Result=3","7068560")</f>
        <v>0</v>
      </c>
      <c r="B5595" t="s">
        <v>1900</v>
      </c>
      <c r="C5595" t="s">
        <v>8719</v>
      </c>
      <c r="D5595" t="s">
        <v>16658</v>
      </c>
      <c r="E5595" t="s">
        <v>21675</v>
      </c>
      <c r="F5595" t="s">
        <v>28669</v>
      </c>
      <c r="G5595" t="s">
        <v>28675</v>
      </c>
      <c r="H5595" t="s">
        <v>9998</v>
      </c>
      <c r="I5595" t="s">
        <v>28736</v>
      </c>
      <c r="J5595" t="s">
        <v>32379</v>
      </c>
      <c r="K5595" t="s">
        <v>37206</v>
      </c>
      <c r="M5595" t="s">
        <v>39523</v>
      </c>
      <c r="N5595" t="s">
        <v>41249</v>
      </c>
      <c r="O5595" t="s">
        <v>41250</v>
      </c>
      <c r="P5595">
        <v>0</v>
      </c>
      <c r="Q5595">
        <v>1</v>
      </c>
      <c r="R5595" t="s">
        <v>41255</v>
      </c>
      <c r="S5595" t="s">
        <v>41442</v>
      </c>
      <c r="T5595" t="s">
        <v>42673</v>
      </c>
      <c r="U5595" t="s">
        <v>47843</v>
      </c>
      <c r="V5595" t="s">
        <v>54879</v>
      </c>
      <c r="W5595" t="s">
        <v>39523</v>
      </c>
      <c r="X5595" t="s">
        <v>41258</v>
      </c>
    </row>
    <row r="5596" spans="1:24">
      <c r="A5596">
        <f>HYPERLINK("https://www.philgeps.gov.ph/GEPSNONPILOT/Tender/SplashBidNoticeAbstractUI.aspx?menuIndex=3&amp;refID=7068507&amp;Result=3","7068507")</f>
        <v>0</v>
      </c>
      <c r="B5596" t="s">
        <v>1900</v>
      </c>
      <c r="C5596" t="s">
        <v>8720</v>
      </c>
      <c r="D5596" t="s">
        <v>16658</v>
      </c>
      <c r="E5596" t="s">
        <v>21676</v>
      </c>
      <c r="F5596" t="s">
        <v>28669</v>
      </c>
      <c r="G5596" t="s">
        <v>28675</v>
      </c>
      <c r="H5596" t="s">
        <v>9998</v>
      </c>
      <c r="I5596" t="s">
        <v>28736</v>
      </c>
      <c r="J5596" t="s">
        <v>32380</v>
      </c>
      <c r="K5596" t="s">
        <v>37206</v>
      </c>
      <c r="M5596" t="s">
        <v>39523</v>
      </c>
      <c r="N5596" t="s">
        <v>41249</v>
      </c>
      <c r="O5596" t="s">
        <v>41250</v>
      </c>
      <c r="P5596">
        <v>0</v>
      </c>
      <c r="Q5596">
        <v>1</v>
      </c>
      <c r="R5596" t="s">
        <v>41255</v>
      </c>
      <c r="S5596" t="s">
        <v>41442</v>
      </c>
      <c r="T5596" t="s">
        <v>42673</v>
      </c>
      <c r="U5596" t="s">
        <v>47844</v>
      </c>
      <c r="V5596" t="s">
        <v>54879</v>
      </c>
      <c r="W5596" t="s">
        <v>39523</v>
      </c>
      <c r="X5596" t="s">
        <v>41258</v>
      </c>
    </row>
    <row r="5597" spans="1:24">
      <c r="A5597">
        <f>HYPERLINK("https://www.philgeps.gov.ph/GEPSNONPILOT/Tender/SplashBidNoticeAbstractUI.aspx?menuIndex=3&amp;refID=7068485&amp;Result=3","7068485")</f>
        <v>0</v>
      </c>
      <c r="B5597" t="s">
        <v>1900</v>
      </c>
      <c r="C5597" t="s">
        <v>8721</v>
      </c>
      <c r="D5597" t="s">
        <v>16658</v>
      </c>
      <c r="E5597" t="s">
        <v>21677</v>
      </c>
      <c r="F5597" t="s">
        <v>28669</v>
      </c>
      <c r="G5597" t="s">
        <v>28675</v>
      </c>
      <c r="H5597" t="s">
        <v>9998</v>
      </c>
      <c r="I5597" t="s">
        <v>28722</v>
      </c>
      <c r="J5597" t="s">
        <v>28905</v>
      </c>
      <c r="K5597" t="s">
        <v>37206</v>
      </c>
      <c r="M5597" t="s">
        <v>39523</v>
      </c>
      <c r="N5597" t="s">
        <v>41249</v>
      </c>
      <c r="O5597" t="s">
        <v>41250</v>
      </c>
      <c r="P5597">
        <v>0</v>
      </c>
      <c r="Q5597">
        <v>0</v>
      </c>
      <c r="R5597" t="s">
        <v>41255</v>
      </c>
      <c r="S5597" t="s">
        <v>41442</v>
      </c>
      <c r="T5597" t="s">
        <v>42673</v>
      </c>
      <c r="U5597" t="s">
        <v>47845</v>
      </c>
      <c r="V5597" t="s">
        <v>54879</v>
      </c>
      <c r="W5597" t="s">
        <v>39523</v>
      </c>
      <c r="X5597" t="s">
        <v>41258</v>
      </c>
    </row>
    <row r="5598" spans="1:24">
      <c r="A5598">
        <f>HYPERLINK("https://www.philgeps.gov.ph/GEPSNONPILOT/Tender/SplashBidNoticeAbstractUI.aspx?menuIndex=3&amp;refID=7070480&amp;Result=3","7070480")</f>
        <v>0</v>
      </c>
      <c r="B5598" t="s">
        <v>596</v>
      </c>
      <c r="C5598" t="s">
        <v>8722</v>
      </c>
      <c r="E5598" t="s">
        <v>21678</v>
      </c>
      <c r="F5598" t="s">
        <v>28669</v>
      </c>
      <c r="G5598" t="s">
        <v>28675</v>
      </c>
      <c r="H5598" t="s">
        <v>9998</v>
      </c>
      <c r="I5598" t="s">
        <v>28717</v>
      </c>
      <c r="J5598" t="s">
        <v>32381</v>
      </c>
      <c r="K5598" t="s">
        <v>37206</v>
      </c>
      <c r="M5598" t="s">
        <v>39528</v>
      </c>
      <c r="N5598" t="s">
        <v>41249</v>
      </c>
      <c r="O5598" t="s">
        <v>41250</v>
      </c>
      <c r="Q5598">
        <v>5</v>
      </c>
      <c r="R5598" t="s">
        <v>41255</v>
      </c>
      <c r="S5598" t="s">
        <v>41446</v>
      </c>
      <c r="T5598" t="s">
        <v>42716</v>
      </c>
      <c r="U5598" t="s">
        <v>44286</v>
      </c>
      <c r="W5598" t="s">
        <v>39528</v>
      </c>
      <c r="X5598" t="s">
        <v>41257</v>
      </c>
    </row>
    <row r="5599" spans="1:24">
      <c r="A5599">
        <f>HYPERLINK("https://www.philgeps.gov.ph/GEPSNONPILOT/Tender/SplashBidNoticeAbstractUI.aspx?menuIndex=3&amp;refID=7071616&amp;Result=3","7071616")</f>
        <v>0</v>
      </c>
      <c r="B5599" t="s">
        <v>1896</v>
      </c>
      <c r="C5599" t="s">
        <v>8723</v>
      </c>
      <c r="D5599" t="s">
        <v>16671</v>
      </c>
      <c r="E5599" t="s">
        <v>21679</v>
      </c>
      <c r="F5599" t="s">
        <v>28669</v>
      </c>
      <c r="G5599" t="s">
        <v>28675</v>
      </c>
      <c r="H5599" t="s">
        <v>9998</v>
      </c>
      <c r="I5599" t="s">
        <v>3718</v>
      </c>
      <c r="J5599" t="s">
        <v>32382</v>
      </c>
      <c r="K5599" t="s">
        <v>37210</v>
      </c>
      <c r="M5599" t="s">
        <v>39519</v>
      </c>
      <c r="N5599" t="s">
        <v>41249</v>
      </c>
      <c r="O5599" t="s">
        <v>41250</v>
      </c>
      <c r="P5599">
        <v>0</v>
      </c>
      <c r="Q5599">
        <v>4</v>
      </c>
      <c r="R5599" t="s">
        <v>41255</v>
      </c>
      <c r="S5599" t="s">
        <v>41442</v>
      </c>
      <c r="T5599" t="s">
        <v>42675</v>
      </c>
      <c r="U5599" t="s">
        <v>47846</v>
      </c>
      <c r="V5599" t="s">
        <v>54875</v>
      </c>
      <c r="W5599" t="s">
        <v>39519</v>
      </c>
      <c r="X5599" t="s">
        <v>41257</v>
      </c>
    </row>
    <row r="5600" spans="1:24">
      <c r="A5600">
        <f>HYPERLINK("https://www.philgeps.gov.ph/GEPSNONPILOT/Tender/SplashBidNoticeAbstractUI.aspx?menuIndex=3&amp;refID=7068412&amp;Result=3","7068412")</f>
        <v>0</v>
      </c>
      <c r="B5600" t="s">
        <v>1900</v>
      </c>
      <c r="C5600" t="s">
        <v>8724</v>
      </c>
      <c r="D5600" t="s">
        <v>16658</v>
      </c>
      <c r="E5600" t="s">
        <v>21680</v>
      </c>
      <c r="F5600" t="s">
        <v>28669</v>
      </c>
      <c r="G5600" t="s">
        <v>28675</v>
      </c>
      <c r="H5600" t="s">
        <v>9998</v>
      </c>
      <c r="I5600" t="s">
        <v>28706</v>
      </c>
      <c r="J5600" t="s">
        <v>32383</v>
      </c>
      <c r="K5600" t="s">
        <v>37206</v>
      </c>
      <c r="M5600" t="s">
        <v>39523</v>
      </c>
      <c r="N5600" t="s">
        <v>41249</v>
      </c>
      <c r="O5600" t="s">
        <v>41250</v>
      </c>
      <c r="P5600">
        <v>0</v>
      </c>
      <c r="Q5600">
        <v>3</v>
      </c>
      <c r="R5600" t="s">
        <v>41255</v>
      </c>
      <c r="S5600" t="s">
        <v>41442</v>
      </c>
      <c r="T5600" t="s">
        <v>42673</v>
      </c>
      <c r="U5600" t="s">
        <v>47847</v>
      </c>
      <c r="V5600" t="s">
        <v>54879</v>
      </c>
      <c r="W5600" t="s">
        <v>39523</v>
      </c>
      <c r="X5600" t="s">
        <v>41258</v>
      </c>
    </row>
    <row r="5601" spans="1:24">
      <c r="A5601">
        <f>HYPERLINK("https://www.philgeps.gov.ph/GEPSNONPILOT/Tender/SplashBidNoticeAbstractUI.aspx?menuIndex=3&amp;refID=7068600&amp;Result=3","7068600")</f>
        <v>0</v>
      </c>
      <c r="B5601" t="s">
        <v>1900</v>
      </c>
      <c r="C5601" t="s">
        <v>8725</v>
      </c>
      <c r="D5601" t="s">
        <v>16658</v>
      </c>
      <c r="E5601" t="s">
        <v>21681</v>
      </c>
      <c r="F5601" t="s">
        <v>28669</v>
      </c>
      <c r="G5601" t="s">
        <v>28675</v>
      </c>
      <c r="H5601" t="s">
        <v>9998</v>
      </c>
      <c r="I5601" t="s">
        <v>28706</v>
      </c>
      <c r="J5601" t="s">
        <v>32384</v>
      </c>
      <c r="K5601" t="s">
        <v>37206</v>
      </c>
      <c r="M5601" t="s">
        <v>39523</v>
      </c>
      <c r="N5601" t="s">
        <v>41249</v>
      </c>
      <c r="O5601" t="s">
        <v>41250</v>
      </c>
      <c r="P5601">
        <v>0</v>
      </c>
      <c r="Q5601">
        <v>0</v>
      </c>
      <c r="R5601" t="s">
        <v>41255</v>
      </c>
      <c r="S5601" t="s">
        <v>41442</v>
      </c>
      <c r="T5601" t="s">
        <v>42673</v>
      </c>
      <c r="U5601" t="s">
        <v>47848</v>
      </c>
      <c r="V5601" t="s">
        <v>54879</v>
      </c>
      <c r="W5601" t="s">
        <v>39523</v>
      </c>
      <c r="X5601" t="s">
        <v>41258</v>
      </c>
    </row>
    <row r="5602" spans="1:24">
      <c r="A5602">
        <f>HYPERLINK("https://www.philgeps.gov.ph/GEPSNONPILOT/Tender/SplashBidNoticeAbstractUI.aspx?menuIndex=3&amp;refID=7068406&amp;Result=3","7068406")</f>
        <v>0</v>
      </c>
      <c r="B5602" t="s">
        <v>1900</v>
      </c>
      <c r="C5602" t="s">
        <v>8726</v>
      </c>
      <c r="D5602" t="s">
        <v>16658</v>
      </c>
      <c r="E5602" t="s">
        <v>21682</v>
      </c>
      <c r="F5602" t="s">
        <v>28669</v>
      </c>
      <c r="G5602" t="s">
        <v>28675</v>
      </c>
      <c r="H5602" t="s">
        <v>9998</v>
      </c>
      <c r="I5602" t="s">
        <v>28706</v>
      </c>
      <c r="J5602" t="s">
        <v>32385</v>
      </c>
      <c r="K5602" t="s">
        <v>37206</v>
      </c>
      <c r="M5602" t="s">
        <v>39523</v>
      </c>
      <c r="N5602" t="s">
        <v>41249</v>
      </c>
      <c r="O5602" t="s">
        <v>41250</v>
      </c>
      <c r="P5602">
        <v>0</v>
      </c>
      <c r="Q5602">
        <v>3</v>
      </c>
      <c r="R5602" t="s">
        <v>41255</v>
      </c>
      <c r="S5602" t="s">
        <v>41442</v>
      </c>
      <c r="T5602" t="s">
        <v>42673</v>
      </c>
      <c r="U5602" t="s">
        <v>47849</v>
      </c>
      <c r="V5602" t="s">
        <v>54879</v>
      </c>
      <c r="W5602" t="s">
        <v>39523</v>
      </c>
      <c r="X5602" t="s">
        <v>41258</v>
      </c>
    </row>
    <row r="5603" spans="1:24">
      <c r="A5603">
        <f>HYPERLINK("https://www.philgeps.gov.ph/GEPSNONPILOT/Tender/SplashBidNoticeAbstractUI.aspx?menuIndex=3&amp;refID=7068703&amp;Result=3","7068703")</f>
        <v>0</v>
      </c>
      <c r="B5603" t="s">
        <v>1900</v>
      </c>
      <c r="C5603" t="s">
        <v>8727</v>
      </c>
      <c r="D5603" t="s">
        <v>16658</v>
      </c>
      <c r="E5603" t="s">
        <v>21683</v>
      </c>
      <c r="F5603" t="s">
        <v>28669</v>
      </c>
      <c r="G5603" t="s">
        <v>28675</v>
      </c>
      <c r="H5603" t="s">
        <v>9998</v>
      </c>
      <c r="I5603" t="s">
        <v>28706</v>
      </c>
      <c r="J5603" t="s">
        <v>29976</v>
      </c>
      <c r="K5603" t="s">
        <v>37206</v>
      </c>
      <c r="M5603" t="s">
        <v>39523</v>
      </c>
      <c r="N5603" t="s">
        <v>41249</v>
      </c>
      <c r="O5603" t="s">
        <v>41250</v>
      </c>
      <c r="P5603">
        <v>0</v>
      </c>
      <c r="Q5603">
        <v>0</v>
      </c>
      <c r="R5603" t="s">
        <v>41255</v>
      </c>
      <c r="S5603" t="s">
        <v>41442</v>
      </c>
      <c r="T5603" t="s">
        <v>42673</v>
      </c>
      <c r="U5603" t="s">
        <v>47850</v>
      </c>
      <c r="V5603" t="s">
        <v>54879</v>
      </c>
      <c r="W5603" t="s">
        <v>39523</v>
      </c>
      <c r="X5603" t="s">
        <v>41258</v>
      </c>
    </row>
    <row r="5604" spans="1:24">
      <c r="A5604">
        <f>HYPERLINK("https://www.philgeps.gov.ph/GEPSNONPILOT/Tender/SplashBidNoticeAbstractUI.aspx?menuIndex=3&amp;refID=7065243&amp;Result=3","7065243")</f>
        <v>0</v>
      </c>
      <c r="B5604" t="s">
        <v>1895</v>
      </c>
      <c r="C5604" t="s">
        <v>8728</v>
      </c>
      <c r="D5604" t="s">
        <v>16609</v>
      </c>
      <c r="E5604" t="s">
        <v>21684</v>
      </c>
      <c r="F5604" t="s">
        <v>28669</v>
      </c>
      <c r="G5604" t="s">
        <v>28675</v>
      </c>
      <c r="H5604" t="s">
        <v>9998</v>
      </c>
      <c r="I5604" t="s">
        <v>28707</v>
      </c>
      <c r="J5604" t="s">
        <v>29051</v>
      </c>
      <c r="K5604" t="s">
        <v>37206</v>
      </c>
      <c r="M5604" t="s">
        <v>39518</v>
      </c>
      <c r="N5604" t="s">
        <v>41249</v>
      </c>
      <c r="O5604" t="s">
        <v>41250</v>
      </c>
      <c r="P5604">
        <v>0</v>
      </c>
      <c r="Q5604">
        <v>2</v>
      </c>
      <c r="R5604" t="s">
        <v>41255</v>
      </c>
      <c r="S5604" t="s">
        <v>41442</v>
      </c>
      <c r="T5604" t="s">
        <v>42754</v>
      </c>
      <c r="U5604" t="s">
        <v>47851</v>
      </c>
      <c r="W5604" t="s">
        <v>39518</v>
      </c>
      <c r="X5604" t="s">
        <v>41259</v>
      </c>
    </row>
    <row r="5605" spans="1:24">
      <c r="A5605">
        <f>HYPERLINK("https://www.philgeps.gov.ph/GEPSNONPILOT/Tender/SplashBidNoticeAbstractUI.aspx?menuIndex=3&amp;refID=7065219&amp;Result=3","7065219")</f>
        <v>0</v>
      </c>
      <c r="B5605" t="s">
        <v>1895</v>
      </c>
      <c r="C5605" t="s">
        <v>8729</v>
      </c>
      <c r="D5605" t="s">
        <v>16609</v>
      </c>
      <c r="E5605" t="s">
        <v>21685</v>
      </c>
      <c r="F5605" t="s">
        <v>28669</v>
      </c>
      <c r="G5605" t="s">
        <v>28675</v>
      </c>
      <c r="H5605" t="s">
        <v>28686</v>
      </c>
      <c r="I5605" t="s">
        <v>28689</v>
      </c>
      <c r="J5605" t="s">
        <v>28851</v>
      </c>
      <c r="K5605" t="s">
        <v>37213</v>
      </c>
      <c r="M5605" t="s">
        <v>39518</v>
      </c>
      <c r="N5605" t="s">
        <v>41249</v>
      </c>
      <c r="O5605" t="s">
        <v>41250</v>
      </c>
      <c r="P5605">
        <v>0</v>
      </c>
      <c r="Q5605">
        <v>0</v>
      </c>
      <c r="R5605" t="s">
        <v>41255</v>
      </c>
      <c r="S5605" t="s">
        <v>41442</v>
      </c>
      <c r="T5605" t="s">
        <v>42754</v>
      </c>
      <c r="U5605" t="s">
        <v>47852</v>
      </c>
      <c r="W5605" t="s">
        <v>39518</v>
      </c>
      <c r="X5605" t="s">
        <v>41259</v>
      </c>
    </row>
    <row r="5606" spans="1:24">
      <c r="A5606">
        <f>HYPERLINK("https://www.philgeps.gov.ph/GEPSNONPILOT/Tender/SplashBidNoticeAbstractUI.aspx?menuIndex=3&amp;refID=7073233&amp;Result=3","7073233")</f>
        <v>0</v>
      </c>
      <c r="B5606" t="s">
        <v>1872</v>
      </c>
      <c r="C5606" t="s">
        <v>8730</v>
      </c>
      <c r="D5606" t="s">
        <v>16607</v>
      </c>
      <c r="E5606" t="s">
        <v>21686</v>
      </c>
      <c r="F5606" t="s">
        <v>28669</v>
      </c>
      <c r="G5606" t="s">
        <v>28676</v>
      </c>
      <c r="H5606" t="s">
        <v>9998</v>
      </c>
      <c r="I5606" t="s">
        <v>28694</v>
      </c>
      <c r="J5606" t="s">
        <v>32386</v>
      </c>
      <c r="K5606" t="s">
        <v>37205</v>
      </c>
      <c r="M5606" t="s">
        <v>39494</v>
      </c>
      <c r="N5606" t="s">
        <v>41249</v>
      </c>
      <c r="O5606" t="s">
        <v>41250</v>
      </c>
      <c r="P5606">
        <v>0</v>
      </c>
      <c r="Q5606">
        <v>1</v>
      </c>
      <c r="R5606" t="s">
        <v>41254</v>
      </c>
      <c r="S5606" t="s">
        <v>41425</v>
      </c>
      <c r="T5606" t="s">
        <v>42729</v>
      </c>
      <c r="U5606" t="s">
        <v>47853</v>
      </c>
      <c r="V5606" t="s">
        <v>54880</v>
      </c>
      <c r="W5606" t="s">
        <v>39494</v>
      </c>
      <c r="X5606" t="s">
        <v>41255</v>
      </c>
    </row>
    <row r="5607" spans="1:24">
      <c r="A5607">
        <f>HYPERLINK("https://www.philgeps.gov.ph/GEPSNONPILOT/Tender/SplashBidNoticeAbstractUI.aspx?menuIndex=3&amp;refID=7073227&amp;Result=3","7073227")</f>
        <v>0</v>
      </c>
      <c r="B5607" t="s">
        <v>1171</v>
      </c>
      <c r="C5607" t="s">
        <v>8731</v>
      </c>
      <c r="D5607" t="s">
        <v>16611</v>
      </c>
      <c r="E5607" t="s">
        <v>21687</v>
      </c>
      <c r="F5607" t="s">
        <v>28669</v>
      </c>
      <c r="G5607" t="s">
        <v>28676</v>
      </c>
      <c r="H5607" t="s">
        <v>9998</v>
      </c>
      <c r="I5607" t="s">
        <v>28692</v>
      </c>
      <c r="J5607" t="s">
        <v>32387</v>
      </c>
      <c r="K5607" t="s">
        <v>37209</v>
      </c>
      <c r="M5607" t="s">
        <v>38710</v>
      </c>
      <c r="N5607" t="s">
        <v>41249</v>
      </c>
      <c r="O5607" t="s">
        <v>41250</v>
      </c>
      <c r="P5607">
        <v>0</v>
      </c>
      <c r="Q5607">
        <v>6</v>
      </c>
      <c r="R5607" t="s">
        <v>41254</v>
      </c>
      <c r="S5607" t="s">
        <v>41425</v>
      </c>
      <c r="T5607" t="s">
        <v>42887</v>
      </c>
      <c r="U5607" t="s">
        <v>47854</v>
      </c>
      <c r="W5607" t="s">
        <v>38710</v>
      </c>
      <c r="X5607" t="s">
        <v>41255</v>
      </c>
    </row>
    <row r="5608" spans="1:24">
      <c r="A5608">
        <f>HYPERLINK("https://www.philgeps.gov.ph/GEPSNONPILOT/Tender/SplashBidNoticeAbstractUI.aspx?menuIndex=3&amp;refID=7073231&amp;Result=3","7073231")</f>
        <v>0</v>
      </c>
      <c r="B5608" t="s">
        <v>1872</v>
      </c>
      <c r="C5608" t="s">
        <v>8732</v>
      </c>
      <c r="D5608" t="s">
        <v>16607</v>
      </c>
      <c r="E5608" t="s">
        <v>21688</v>
      </c>
      <c r="F5608" t="s">
        <v>28669</v>
      </c>
      <c r="G5608" t="s">
        <v>28676</v>
      </c>
      <c r="H5608" t="s">
        <v>9998</v>
      </c>
      <c r="I5608" t="s">
        <v>28694</v>
      </c>
      <c r="J5608" t="s">
        <v>32388</v>
      </c>
      <c r="K5608" t="s">
        <v>37205</v>
      </c>
      <c r="M5608" t="s">
        <v>39494</v>
      </c>
      <c r="N5608" t="s">
        <v>41249</v>
      </c>
      <c r="O5608" t="s">
        <v>41250</v>
      </c>
      <c r="P5608">
        <v>0</v>
      </c>
      <c r="Q5608">
        <v>1</v>
      </c>
      <c r="R5608" t="s">
        <v>41254</v>
      </c>
      <c r="S5608" t="s">
        <v>41425</v>
      </c>
      <c r="T5608" t="s">
        <v>42729</v>
      </c>
      <c r="U5608" t="s">
        <v>47855</v>
      </c>
      <c r="V5608" t="s">
        <v>54880</v>
      </c>
      <c r="W5608" t="s">
        <v>39494</v>
      </c>
      <c r="X5608" t="s">
        <v>41255</v>
      </c>
    </row>
    <row r="5609" spans="1:24">
      <c r="A5609">
        <f>HYPERLINK("https://www.philgeps.gov.ph/GEPSNONPILOT/Tender/SplashBidNoticeAbstractUI.aspx?menuIndex=3&amp;refID=7073230&amp;Result=3","7073230")</f>
        <v>0</v>
      </c>
      <c r="B5609" t="s">
        <v>1902</v>
      </c>
      <c r="C5609" t="s">
        <v>8733</v>
      </c>
      <c r="D5609" t="s">
        <v>16643</v>
      </c>
      <c r="E5609" t="s">
        <v>21689</v>
      </c>
      <c r="F5609" t="s">
        <v>28669</v>
      </c>
      <c r="G5609" t="s">
        <v>28676</v>
      </c>
      <c r="H5609" t="s">
        <v>9998</v>
      </c>
      <c r="I5609" t="s">
        <v>28706</v>
      </c>
      <c r="J5609" t="s">
        <v>28834</v>
      </c>
      <c r="K5609" t="s">
        <v>37209</v>
      </c>
      <c r="M5609" t="s">
        <v>39526</v>
      </c>
      <c r="N5609" t="s">
        <v>41249</v>
      </c>
      <c r="O5609" t="s">
        <v>41250</v>
      </c>
      <c r="P5609">
        <v>0</v>
      </c>
      <c r="Q5609">
        <v>4</v>
      </c>
      <c r="R5609" t="s">
        <v>41254</v>
      </c>
      <c r="S5609" t="s">
        <v>41425</v>
      </c>
      <c r="T5609" t="s">
        <v>42673</v>
      </c>
      <c r="U5609" t="s">
        <v>47856</v>
      </c>
      <c r="W5609" t="s">
        <v>39526</v>
      </c>
      <c r="X5609" t="s">
        <v>41255</v>
      </c>
    </row>
    <row r="5610" spans="1:24">
      <c r="A5610">
        <f>HYPERLINK("https://www.philgeps.gov.ph/GEPSNONPILOT/Tender/SplashBidNoticeAbstractUI.aspx?menuIndex=3&amp;refID=7065257&amp;Result=3","7065257")</f>
        <v>0</v>
      </c>
      <c r="B5610" t="s">
        <v>1895</v>
      </c>
      <c r="C5610" t="s">
        <v>8734</v>
      </c>
      <c r="D5610" t="s">
        <v>16609</v>
      </c>
      <c r="E5610" t="s">
        <v>21690</v>
      </c>
      <c r="F5610" t="s">
        <v>28669</v>
      </c>
      <c r="G5610" t="s">
        <v>28675</v>
      </c>
      <c r="H5610" t="s">
        <v>9998</v>
      </c>
      <c r="I5610" t="s">
        <v>28707</v>
      </c>
      <c r="J5610" t="s">
        <v>28877</v>
      </c>
      <c r="K5610" t="s">
        <v>37206</v>
      </c>
      <c r="M5610" t="s">
        <v>39518</v>
      </c>
      <c r="N5610" t="s">
        <v>41249</v>
      </c>
      <c r="O5610" t="s">
        <v>41250</v>
      </c>
      <c r="P5610">
        <v>0</v>
      </c>
      <c r="Q5610">
        <v>1</v>
      </c>
      <c r="R5610" t="s">
        <v>41255</v>
      </c>
      <c r="S5610" t="s">
        <v>41442</v>
      </c>
      <c r="T5610" t="s">
        <v>42754</v>
      </c>
      <c r="U5610" t="s">
        <v>47857</v>
      </c>
      <c r="W5610" t="s">
        <v>39518</v>
      </c>
      <c r="X5610" t="s">
        <v>41259</v>
      </c>
    </row>
    <row r="5611" spans="1:24">
      <c r="A5611">
        <f>HYPERLINK("https://www.philgeps.gov.ph/GEPSNONPILOT/Tender/SplashBidNoticeAbstractUI.aspx?menuIndex=3&amp;refID=7073210&amp;Result=3","7073210")</f>
        <v>0</v>
      </c>
      <c r="B5611" t="s">
        <v>1829</v>
      </c>
      <c r="C5611" t="s">
        <v>8735</v>
      </c>
      <c r="D5611" t="s">
        <v>16661</v>
      </c>
      <c r="E5611" t="s">
        <v>21444</v>
      </c>
      <c r="F5611" t="s">
        <v>28669</v>
      </c>
      <c r="G5611" t="s">
        <v>28677</v>
      </c>
      <c r="H5611" t="s">
        <v>9998</v>
      </c>
      <c r="I5611" t="s">
        <v>28694</v>
      </c>
      <c r="J5611" t="s">
        <v>29040</v>
      </c>
      <c r="K5611" t="s">
        <v>37210</v>
      </c>
      <c r="M5611" t="s">
        <v>39442</v>
      </c>
      <c r="N5611" t="s">
        <v>41249</v>
      </c>
      <c r="O5611" t="s">
        <v>41250</v>
      </c>
      <c r="P5611">
        <v>0</v>
      </c>
      <c r="Q5611">
        <v>1</v>
      </c>
      <c r="R5611" t="s">
        <v>41254</v>
      </c>
      <c r="S5611" t="s">
        <v>41425</v>
      </c>
      <c r="T5611" t="s">
        <v>42728</v>
      </c>
      <c r="U5611" t="s">
        <v>47858</v>
      </c>
      <c r="W5611" t="s">
        <v>39442</v>
      </c>
      <c r="X5611" t="s">
        <v>41255</v>
      </c>
    </row>
    <row r="5612" spans="1:24">
      <c r="A5612">
        <f>HYPERLINK("https://www.philgeps.gov.ph/GEPSNONPILOT/Tender/SplashBidNoticeAbstractUI.aspx?menuIndex=3&amp;refID=7073205&amp;Result=3","7073205")</f>
        <v>0</v>
      </c>
      <c r="B5612" t="s">
        <v>1904</v>
      </c>
      <c r="C5612" t="s">
        <v>8736</v>
      </c>
      <c r="E5612" t="s">
        <v>21691</v>
      </c>
      <c r="F5612" t="s">
        <v>28669</v>
      </c>
      <c r="G5612" t="s">
        <v>28676</v>
      </c>
      <c r="H5612" t="s">
        <v>9998</v>
      </c>
      <c r="I5612" t="s">
        <v>28723</v>
      </c>
      <c r="J5612" t="s">
        <v>29151</v>
      </c>
      <c r="K5612" t="s">
        <v>37209</v>
      </c>
      <c r="M5612" t="s">
        <v>39529</v>
      </c>
      <c r="N5612" t="s">
        <v>41249</v>
      </c>
      <c r="O5612" t="s">
        <v>41250</v>
      </c>
      <c r="P5612">
        <v>0</v>
      </c>
      <c r="Q5612">
        <v>1</v>
      </c>
      <c r="R5612" t="s">
        <v>41254</v>
      </c>
      <c r="S5612" t="s">
        <v>41425</v>
      </c>
      <c r="T5612" t="s">
        <v>42728</v>
      </c>
      <c r="U5612" t="s">
        <v>47859</v>
      </c>
      <c r="W5612" t="s">
        <v>39529</v>
      </c>
      <c r="X5612" t="s">
        <v>41255</v>
      </c>
    </row>
    <row r="5613" spans="1:24">
      <c r="A5613">
        <f>HYPERLINK("https://www.philgeps.gov.ph/GEPSNONPILOT/Tender/SplashBidNoticeAbstractUI.aspx?menuIndex=3&amp;refID=7068445&amp;Result=3","7068445")</f>
        <v>0</v>
      </c>
      <c r="B5613" t="s">
        <v>1900</v>
      </c>
      <c r="C5613" t="s">
        <v>8737</v>
      </c>
      <c r="D5613" t="s">
        <v>16658</v>
      </c>
      <c r="E5613" t="s">
        <v>21692</v>
      </c>
      <c r="F5613" t="s">
        <v>28669</v>
      </c>
      <c r="G5613" t="s">
        <v>28675</v>
      </c>
      <c r="H5613" t="s">
        <v>9998</v>
      </c>
      <c r="I5613" t="s">
        <v>6458</v>
      </c>
      <c r="J5613" t="s">
        <v>32389</v>
      </c>
      <c r="K5613" t="s">
        <v>37206</v>
      </c>
      <c r="M5613" t="s">
        <v>39523</v>
      </c>
      <c r="N5613" t="s">
        <v>41249</v>
      </c>
      <c r="O5613" t="s">
        <v>41250</v>
      </c>
      <c r="P5613">
        <v>0</v>
      </c>
      <c r="Q5613">
        <v>0</v>
      </c>
      <c r="R5613" t="s">
        <v>41255</v>
      </c>
      <c r="S5613" t="s">
        <v>41442</v>
      </c>
      <c r="T5613" t="s">
        <v>42673</v>
      </c>
      <c r="U5613" t="s">
        <v>47860</v>
      </c>
      <c r="V5613" t="s">
        <v>54879</v>
      </c>
      <c r="W5613" t="s">
        <v>39523</v>
      </c>
      <c r="X5613" t="s">
        <v>41258</v>
      </c>
    </row>
    <row r="5614" spans="1:24">
      <c r="A5614">
        <f>HYPERLINK("https://www.philgeps.gov.ph/GEPSNONPILOT/Tender/SplashBidNoticeAbstractUI.aspx?menuIndex=3&amp;refID=7073202&amp;Result=3","7073202")</f>
        <v>0</v>
      </c>
      <c r="B5614" t="s">
        <v>1829</v>
      </c>
      <c r="C5614" t="s">
        <v>8738</v>
      </c>
      <c r="D5614" t="s">
        <v>16661</v>
      </c>
      <c r="E5614" t="s">
        <v>21444</v>
      </c>
      <c r="F5614" t="s">
        <v>28669</v>
      </c>
      <c r="G5614" t="s">
        <v>28677</v>
      </c>
      <c r="H5614" t="s">
        <v>9998</v>
      </c>
      <c r="I5614" t="s">
        <v>28695</v>
      </c>
      <c r="J5614" t="s">
        <v>32390</v>
      </c>
      <c r="K5614" t="s">
        <v>37210</v>
      </c>
      <c r="M5614" t="s">
        <v>39442</v>
      </c>
      <c r="N5614" t="s">
        <v>41249</v>
      </c>
      <c r="O5614" t="s">
        <v>41250</v>
      </c>
      <c r="P5614">
        <v>0</v>
      </c>
      <c r="Q5614">
        <v>0</v>
      </c>
      <c r="R5614" t="s">
        <v>41254</v>
      </c>
      <c r="S5614" t="s">
        <v>41425</v>
      </c>
      <c r="T5614" t="s">
        <v>42728</v>
      </c>
      <c r="U5614" t="s">
        <v>47861</v>
      </c>
      <c r="W5614" t="s">
        <v>39442</v>
      </c>
      <c r="X5614" t="s">
        <v>41255</v>
      </c>
    </row>
    <row r="5615" spans="1:24">
      <c r="A5615">
        <f>HYPERLINK("https://www.philgeps.gov.ph/GEPSNONPILOT/Tender/SplashBidNoticeAbstractUI.aspx?menuIndex=3&amp;refID=7073232&amp;Result=3","7073232")</f>
        <v>0</v>
      </c>
      <c r="B5615" t="s">
        <v>1171</v>
      </c>
      <c r="C5615" t="s">
        <v>8739</v>
      </c>
      <c r="D5615" t="s">
        <v>16611</v>
      </c>
      <c r="E5615" t="s">
        <v>21693</v>
      </c>
      <c r="F5615" t="s">
        <v>28669</v>
      </c>
      <c r="G5615" t="s">
        <v>28676</v>
      </c>
      <c r="H5615" t="s">
        <v>9998</v>
      </c>
      <c r="I5615" t="s">
        <v>3718</v>
      </c>
      <c r="J5615" t="s">
        <v>32391</v>
      </c>
      <c r="K5615" t="s">
        <v>37209</v>
      </c>
      <c r="M5615" t="s">
        <v>38710</v>
      </c>
      <c r="N5615" t="s">
        <v>41249</v>
      </c>
      <c r="O5615" t="s">
        <v>41250</v>
      </c>
      <c r="Q5615">
        <v>6</v>
      </c>
      <c r="R5615" t="s">
        <v>41254</v>
      </c>
      <c r="S5615" t="s">
        <v>41447</v>
      </c>
      <c r="T5615" t="s">
        <v>42887</v>
      </c>
      <c r="U5615" t="s">
        <v>47862</v>
      </c>
      <c r="W5615" t="s">
        <v>38710</v>
      </c>
      <c r="X5615" t="s">
        <v>41255</v>
      </c>
    </row>
    <row r="5616" spans="1:24">
      <c r="A5616">
        <f>HYPERLINK("https://www.philgeps.gov.ph/GEPSNONPILOT/Tender/SplashBidNoticeAbstractUI.aspx?menuIndex=3&amp;refID=7073198&amp;Result=3","7073198")</f>
        <v>0</v>
      </c>
      <c r="B5616" t="s">
        <v>1781</v>
      </c>
      <c r="C5616" t="s">
        <v>8740</v>
      </c>
      <c r="D5616" t="s">
        <v>16621</v>
      </c>
      <c r="E5616" t="s">
        <v>21694</v>
      </c>
      <c r="F5616" t="s">
        <v>28669</v>
      </c>
      <c r="G5616" t="s">
        <v>28675</v>
      </c>
      <c r="H5616" t="s">
        <v>9998</v>
      </c>
      <c r="I5616" t="s">
        <v>28722</v>
      </c>
      <c r="J5616" t="s">
        <v>32392</v>
      </c>
      <c r="K5616" t="s">
        <v>37206</v>
      </c>
      <c r="M5616" t="s">
        <v>39385</v>
      </c>
      <c r="N5616" t="s">
        <v>41249</v>
      </c>
      <c r="O5616" t="s">
        <v>41250</v>
      </c>
      <c r="P5616">
        <v>0</v>
      </c>
      <c r="Q5616">
        <v>2</v>
      </c>
      <c r="R5616" t="s">
        <v>41254</v>
      </c>
      <c r="S5616" t="s">
        <v>41425</v>
      </c>
      <c r="T5616" t="s">
        <v>42672</v>
      </c>
      <c r="U5616" t="s">
        <v>47863</v>
      </c>
      <c r="W5616" t="s">
        <v>39385</v>
      </c>
      <c r="X5616" t="s">
        <v>41255</v>
      </c>
    </row>
    <row r="5617" spans="1:24">
      <c r="A5617">
        <f>HYPERLINK("https://www.philgeps.gov.ph/GEPSNONPILOT/Tender/SplashBidNoticeAbstractUI.aspx?menuIndex=3&amp;refID=7073173&amp;Result=3","7073173")</f>
        <v>0</v>
      </c>
      <c r="B5617" t="s">
        <v>1887</v>
      </c>
      <c r="C5617" t="s">
        <v>8741</v>
      </c>
      <c r="D5617" t="s">
        <v>16625</v>
      </c>
      <c r="E5617" t="s">
        <v>21695</v>
      </c>
      <c r="F5617" t="s">
        <v>28669</v>
      </c>
      <c r="G5617" t="s">
        <v>28675</v>
      </c>
      <c r="H5617" t="s">
        <v>9998</v>
      </c>
      <c r="I5617" t="s">
        <v>28690</v>
      </c>
      <c r="J5617" t="s">
        <v>32393</v>
      </c>
      <c r="K5617" t="s">
        <v>37205</v>
      </c>
      <c r="M5617" t="s">
        <v>39510</v>
      </c>
      <c r="N5617" t="s">
        <v>41249</v>
      </c>
      <c r="O5617" t="s">
        <v>41250</v>
      </c>
      <c r="P5617">
        <v>0</v>
      </c>
      <c r="Q5617">
        <v>15</v>
      </c>
      <c r="R5617" t="s">
        <v>41254</v>
      </c>
      <c r="S5617" t="s">
        <v>41425</v>
      </c>
      <c r="T5617" t="s">
        <v>42792</v>
      </c>
      <c r="U5617" t="s">
        <v>47864</v>
      </c>
      <c r="W5617" t="s">
        <v>55975</v>
      </c>
      <c r="X5617" t="s">
        <v>41255</v>
      </c>
    </row>
    <row r="5618" spans="1:24">
      <c r="A5618">
        <f>HYPERLINK("https://www.philgeps.gov.ph/GEPSNONPILOT/Tender/SplashBidNoticeAbstractUI.aspx?menuIndex=3&amp;refID=7073172&amp;Result=3","7073172")</f>
        <v>0</v>
      </c>
      <c r="B5618" t="s">
        <v>1887</v>
      </c>
      <c r="C5618" t="s">
        <v>8742</v>
      </c>
      <c r="D5618" t="s">
        <v>16625</v>
      </c>
      <c r="E5618" t="s">
        <v>21696</v>
      </c>
      <c r="F5618" t="s">
        <v>28669</v>
      </c>
      <c r="G5618" t="s">
        <v>28675</v>
      </c>
      <c r="H5618" t="s">
        <v>9998</v>
      </c>
      <c r="I5618" t="s">
        <v>5286</v>
      </c>
      <c r="J5618" t="s">
        <v>32394</v>
      </c>
      <c r="K5618" t="s">
        <v>37205</v>
      </c>
      <c r="M5618" t="s">
        <v>39510</v>
      </c>
      <c r="N5618" t="s">
        <v>41249</v>
      </c>
      <c r="O5618" t="s">
        <v>41250</v>
      </c>
      <c r="P5618">
        <v>0</v>
      </c>
      <c r="Q5618">
        <v>2</v>
      </c>
      <c r="R5618" t="s">
        <v>41254</v>
      </c>
      <c r="S5618" t="s">
        <v>41425</v>
      </c>
      <c r="T5618" t="s">
        <v>42663</v>
      </c>
      <c r="U5618" t="s">
        <v>47865</v>
      </c>
      <c r="W5618" t="s">
        <v>55975</v>
      </c>
      <c r="X5618" t="s">
        <v>41255</v>
      </c>
    </row>
    <row r="5619" spans="1:24">
      <c r="A5619">
        <f>HYPERLINK("https://www.philgeps.gov.ph/GEPSNONPILOT/Tender/SplashBidNoticeAbstractUI.aspx?menuIndex=3&amp;refID=7073170&amp;Result=3","7073170")</f>
        <v>0</v>
      </c>
      <c r="B5619" t="s">
        <v>1829</v>
      </c>
      <c r="C5619" t="s">
        <v>8743</v>
      </c>
      <c r="D5619" t="s">
        <v>16661</v>
      </c>
      <c r="E5619" t="s">
        <v>21444</v>
      </c>
      <c r="F5619" t="s">
        <v>28669</v>
      </c>
      <c r="G5619" t="s">
        <v>28677</v>
      </c>
      <c r="H5619" t="s">
        <v>9998</v>
      </c>
      <c r="I5619" t="s">
        <v>28732</v>
      </c>
      <c r="J5619" t="s">
        <v>29191</v>
      </c>
      <c r="K5619" t="s">
        <v>37210</v>
      </c>
      <c r="M5619" t="s">
        <v>39442</v>
      </c>
      <c r="N5619" t="s">
        <v>41249</v>
      </c>
      <c r="O5619" t="s">
        <v>41250</v>
      </c>
      <c r="P5619">
        <v>0</v>
      </c>
      <c r="Q5619">
        <v>1</v>
      </c>
      <c r="R5619" t="s">
        <v>41254</v>
      </c>
      <c r="S5619" t="s">
        <v>41425</v>
      </c>
      <c r="T5619" t="s">
        <v>42728</v>
      </c>
      <c r="U5619" t="s">
        <v>47866</v>
      </c>
      <c r="W5619" t="s">
        <v>39442</v>
      </c>
      <c r="X5619" t="s">
        <v>41255</v>
      </c>
    </row>
    <row r="5620" spans="1:24">
      <c r="A5620">
        <f>HYPERLINK("https://www.philgeps.gov.ph/GEPSNONPILOT/Tender/SplashBidNoticeAbstractUI.aspx?menuIndex=3&amp;refID=7073207&amp;Result=3","7073207")</f>
        <v>0</v>
      </c>
      <c r="B5620" t="s">
        <v>1829</v>
      </c>
      <c r="C5620" t="s">
        <v>8744</v>
      </c>
      <c r="D5620" t="s">
        <v>16661</v>
      </c>
      <c r="E5620" t="s">
        <v>21444</v>
      </c>
      <c r="F5620" t="s">
        <v>28669</v>
      </c>
      <c r="G5620" t="s">
        <v>28677</v>
      </c>
      <c r="H5620" t="s">
        <v>9998</v>
      </c>
      <c r="I5620" t="s">
        <v>28804</v>
      </c>
      <c r="J5620" t="s">
        <v>28863</v>
      </c>
      <c r="K5620" t="s">
        <v>37210</v>
      </c>
      <c r="M5620" t="s">
        <v>39442</v>
      </c>
      <c r="N5620" t="s">
        <v>41249</v>
      </c>
      <c r="O5620" t="s">
        <v>41250</v>
      </c>
      <c r="P5620">
        <v>0</v>
      </c>
      <c r="Q5620">
        <v>1</v>
      </c>
      <c r="R5620" t="s">
        <v>41254</v>
      </c>
      <c r="S5620" t="s">
        <v>41425</v>
      </c>
      <c r="T5620" t="s">
        <v>42728</v>
      </c>
      <c r="U5620" t="s">
        <v>47867</v>
      </c>
      <c r="W5620" t="s">
        <v>39442</v>
      </c>
      <c r="X5620" t="s">
        <v>41255</v>
      </c>
    </row>
    <row r="5621" spans="1:24">
      <c r="A5621">
        <f>HYPERLINK("https://www.philgeps.gov.ph/GEPSNONPILOT/Tender/SplashBidNoticeAbstractUI.aspx?menuIndex=3&amp;refID=7073169&amp;Result=3","7073169")</f>
        <v>0</v>
      </c>
      <c r="B5621" t="s">
        <v>1887</v>
      </c>
      <c r="C5621" t="s">
        <v>8745</v>
      </c>
      <c r="D5621" t="s">
        <v>16625</v>
      </c>
      <c r="E5621" t="s">
        <v>21697</v>
      </c>
      <c r="F5621" t="s">
        <v>28669</v>
      </c>
      <c r="G5621" t="s">
        <v>28675</v>
      </c>
      <c r="H5621" t="s">
        <v>9998</v>
      </c>
      <c r="I5621" t="s">
        <v>28751</v>
      </c>
      <c r="J5621" t="s">
        <v>32395</v>
      </c>
      <c r="K5621" t="s">
        <v>37205</v>
      </c>
      <c r="M5621" t="s">
        <v>39510</v>
      </c>
      <c r="N5621" t="s">
        <v>41249</v>
      </c>
      <c r="O5621" t="s">
        <v>41250</v>
      </c>
      <c r="P5621">
        <v>0</v>
      </c>
      <c r="Q5621">
        <v>1</v>
      </c>
      <c r="R5621" t="s">
        <v>41254</v>
      </c>
      <c r="S5621" t="s">
        <v>41425</v>
      </c>
      <c r="T5621" t="s">
        <v>42663</v>
      </c>
      <c r="U5621" t="s">
        <v>47868</v>
      </c>
      <c r="W5621" t="s">
        <v>55975</v>
      </c>
      <c r="X5621" t="s">
        <v>41255</v>
      </c>
    </row>
    <row r="5622" spans="1:24">
      <c r="A5622">
        <f>HYPERLINK("https://www.philgeps.gov.ph/GEPSNONPILOT/Tender/SplashBidNoticeAbstractUI.aspx?menuIndex=3&amp;refID=7073168&amp;Result=3","7073168")</f>
        <v>0</v>
      </c>
      <c r="B5622" t="s">
        <v>1887</v>
      </c>
      <c r="C5622" t="s">
        <v>8746</v>
      </c>
      <c r="D5622" t="s">
        <v>16625</v>
      </c>
      <c r="E5622" t="s">
        <v>21698</v>
      </c>
      <c r="F5622" t="s">
        <v>28669</v>
      </c>
      <c r="G5622" t="s">
        <v>28675</v>
      </c>
      <c r="H5622" t="s">
        <v>9998</v>
      </c>
      <c r="I5622" t="s">
        <v>28743</v>
      </c>
      <c r="J5622" t="s">
        <v>29112</v>
      </c>
      <c r="K5622" t="s">
        <v>37205</v>
      </c>
      <c r="M5622" t="s">
        <v>39510</v>
      </c>
      <c r="N5622" t="s">
        <v>41249</v>
      </c>
      <c r="O5622" t="s">
        <v>41250</v>
      </c>
      <c r="P5622">
        <v>0</v>
      </c>
      <c r="Q5622">
        <v>1</v>
      </c>
      <c r="R5622" t="s">
        <v>41254</v>
      </c>
      <c r="S5622" t="s">
        <v>41425</v>
      </c>
      <c r="T5622" t="s">
        <v>42792</v>
      </c>
      <c r="U5622" t="s">
        <v>47869</v>
      </c>
      <c r="W5622" t="s">
        <v>55975</v>
      </c>
      <c r="X5622" t="s">
        <v>41255</v>
      </c>
    </row>
    <row r="5623" spans="1:24">
      <c r="A5623">
        <f>HYPERLINK("https://www.philgeps.gov.ph/GEPSNONPILOT/Tender/SplashBidNoticeAbstractUI.aspx?menuIndex=3&amp;refID=7073204&amp;Result=3","7073204")</f>
        <v>0</v>
      </c>
      <c r="B5623" t="s">
        <v>1829</v>
      </c>
      <c r="C5623" t="s">
        <v>8747</v>
      </c>
      <c r="D5623" t="s">
        <v>16661</v>
      </c>
      <c r="E5623" t="s">
        <v>21444</v>
      </c>
      <c r="F5623" t="s">
        <v>28669</v>
      </c>
      <c r="G5623" t="s">
        <v>28677</v>
      </c>
      <c r="H5623" t="s">
        <v>9998</v>
      </c>
      <c r="I5623" t="s">
        <v>6128</v>
      </c>
      <c r="J5623" t="s">
        <v>32396</v>
      </c>
      <c r="K5623" t="s">
        <v>37210</v>
      </c>
      <c r="M5623" t="s">
        <v>39442</v>
      </c>
      <c r="N5623" t="s">
        <v>41249</v>
      </c>
      <c r="O5623" t="s">
        <v>41250</v>
      </c>
      <c r="P5623">
        <v>0</v>
      </c>
      <c r="Q5623">
        <v>3</v>
      </c>
      <c r="R5623" t="s">
        <v>41254</v>
      </c>
      <c r="S5623" t="s">
        <v>41425</v>
      </c>
      <c r="T5623" t="s">
        <v>42728</v>
      </c>
      <c r="U5623" t="s">
        <v>47870</v>
      </c>
      <c r="W5623" t="s">
        <v>39442</v>
      </c>
      <c r="X5623" t="s">
        <v>41255</v>
      </c>
    </row>
    <row r="5624" spans="1:24">
      <c r="A5624">
        <f>HYPERLINK("https://www.philgeps.gov.ph/GEPSNONPILOT/Tender/SplashBidNoticeAbstractUI.aspx?menuIndex=3&amp;refID=7072323&amp;Result=3","7072323")</f>
        <v>0</v>
      </c>
      <c r="B5624" t="s">
        <v>1905</v>
      </c>
      <c r="C5624" t="s">
        <v>8748</v>
      </c>
      <c r="D5624" t="s">
        <v>16630</v>
      </c>
      <c r="E5624" t="s">
        <v>18472</v>
      </c>
      <c r="F5624" t="s">
        <v>28669</v>
      </c>
      <c r="G5624" t="s">
        <v>28675</v>
      </c>
      <c r="H5624" t="s">
        <v>9998</v>
      </c>
      <c r="I5624" t="s">
        <v>7352</v>
      </c>
      <c r="J5624" t="s">
        <v>32397</v>
      </c>
      <c r="K5624" t="s">
        <v>37204</v>
      </c>
      <c r="M5624" t="s">
        <v>39530</v>
      </c>
      <c r="N5624" t="s">
        <v>41249</v>
      </c>
      <c r="O5624" t="s">
        <v>41250</v>
      </c>
      <c r="P5624">
        <v>0</v>
      </c>
      <c r="Q5624">
        <v>0</v>
      </c>
      <c r="R5624" t="s">
        <v>41255</v>
      </c>
      <c r="S5624" t="s">
        <v>41442</v>
      </c>
      <c r="T5624" t="s">
        <v>42679</v>
      </c>
      <c r="U5624" t="s">
        <v>47871</v>
      </c>
      <c r="W5624" t="s">
        <v>39530</v>
      </c>
      <c r="X5624" t="s">
        <v>41256</v>
      </c>
    </row>
    <row r="5625" spans="1:24">
      <c r="A5625">
        <f>HYPERLINK("https://www.philgeps.gov.ph/GEPSNONPILOT/Tender/SplashBidNoticeAbstractUI.aspx?menuIndex=3&amp;refID=7073229&amp;Result=3","7073229")</f>
        <v>0</v>
      </c>
      <c r="B5625" t="s">
        <v>1906</v>
      </c>
      <c r="C5625" t="s">
        <v>8749</v>
      </c>
      <c r="D5625" t="s">
        <v>16668</v>
      </c>
      <c r="E5625" t="s">
        <v>8749</v>
      </c>
      <c r="F5625" t="s">
        <v>28669</v>
      </c>
      <c r="G5625" t="s">
        <v>28677</v>
      </c>
      <c r="H5625" t="s">
        <v>9998</v>
      </c>
      <c r="I5625" t="s">
        <v>28697</v>
      </c>
      <c r="J5625" t="s">
        <v>32398</v>
      </c>
      <c r="K5625" t="s">
        <v>37205</v>
      </c>
      <c r="M5625" t="s">
        <v>39531</v>
      </c>
      <c r="N5625" t="s">
        <v>41249</v>
      </c>
      <c r="O5625" t="s">
        <v>41250</v>
      </c>
      <c r="P5625">
        <v>0</v>
      </c>
      <c r="Q5625">
        <v>17</v>
      </c>
      <c r="R5625" t="s">
        <v>41254</v>
      </c>
      <c r="S5625" t="s">
        <v>41425</v>
      </c>
      <c r="T5625" t="s">
        <v>42827</v>
      </c>
      <c r="U5625" t="s">
        <v>47872</v>
      </c>
      <c r="W5625" t="s">
        <v>39531</v>
      </c>
      <c r="X5625" t="s">
        <v>41255</v>
      </c>
    </row>
    <row r="5626" spans="1:24">
      <c r="A5626">
        <f>HYPERLINK("https://www.philgeps.gov.ph/GEPSNONPILOT/Tender/SplashBidNoticeAbstractUI.aspx?menuIndex=3&amp;refID=7068431&amp;Result=3","7068431")</f>
        <v>0</v>
      </c>
      <c r="B5626" t="s">
        <v>1900</v>
      </c>
      <c r="C5626" t="s">
        <v>8750</v>
      </c>
      <c r="D5626" t="s">
        <v>16658</v>
      </c>
      <c r="E5626" t="s">
        <v>21699</v>
      </c>
      <c r="F5626" t="s">
        <v>28669</v>
      </c>
      <c r="G5626" t="s">
        <v>28675</v>
      </c>
      <c r="H5626" t="s">
        <v>9998</v>
      </c>
      <c r="I5626" t="s">
        <v>28736</v>
      </c>
      <c r="J5626" t="s">
        <v>32399</v>
      </c>
      <c r="K5626" t="s">
        <v>37206</v>
      </c>
      <c r="M5626" t="s">
        <v>39523</v>
      </c>
      <c r="N5626" t="s">
        <v>41249</v>
      </c>
      <c r="O5626" t="s">
        <v>41250</v>
      </c>
      <c r="P5626">
        <v>0</v>
      </c>
      <c r="Q5626">
        <v>1</v>
      </c>
      <c r="R5626" t="s">
        <v>41255</v>
      </c>
      <c r="S5626" t="s">
        <v>41442</v>
      </c>
      <c r="T5626" t="s">
        <v>42673</v>
      </c>
      <c r="U5626" t="s">
        <v>47873</v>
      </c>
      <c r="V5626" t="s">
        <v>54879</v>
      </c>
      <c r="W5626" t="s">
        <v>39523</v>
      </c>
      <c r="X5626" t="s">
        <v>41258</v>
      </c>
    </row>
    <row r="5627" spans="1:24">
      <c r="A5627">
        <f>HYPERLINK("https://www.philgeps.gov.ph/GEPSNONPILOT/Tender/SplashBidNoticeAbstractUI.aspx?menuIndex=3&amp;refID=7072310&amp;Result=3","7072310")</f>
        <v>0</v>
      </c>
      <c r="B5627" t="s">
        <v>1907</v>
      </c>
      <c r="C5627" t="s">
        <v>8751</v>
      </c>
      <c r="D5627" t="s">
        <v>16672</v>
      </c>
      <c r="E5627" t="s">
        <v>21700</v>
      </c>
      <c r="F5627" t="s">
        <v>28669</v>
      </c>
      <c r="G5627" t="s">
        <v>28675</v>
      </c>
      <c r="H5627" t="s">
        <v>9998</v>
      </c>
      <c r="I5627" t="s">
        <v>7352</v>
      </c>
      <c r="J5627" t="s">
        <v>32400</v>
      </c>
      <c r="K5627" t="s">
        <v>37220</v>
      </c>
      <c r="M5627" t="s">
        <v>39532</v>
      </c>
      <c r="N5627" t="s">
        <v>41249</v>
      </c>
      <c r="O5627" t="s">
        <v>41250</v>
      </c>
      <c r="P5627">
        <v>0</v>
      </c>
      <c r="Q5627">
        <v>0</v>
      </c>
      <c r="R5627" t="s">
        <v>41255</v>
      </c>
      <c r="S5627" t="s">
        <v>41442</v>
      </c>
      <c r="T5627" t="s">
        <v>43013</v>
      </c>
      <c r="U5627" t="s">
        <v>47874</v>
      </c>
      <c r="V5627" t="s">
        <v>54881</v>
      </c>
      <c r="W5627" t="s">
        <v>39532</v>
      </c>
      <c r="X5627" t="s">
        <v>41256</v>
      </c>
    </row>
    <row r="5628" spans="1:24">
      <c r="A5628">
        <f>HYPERLINK("https://www.philgeps.gov.ph/GEPSNONPILOT/Tender/SplashBidNoticeAbstractUI.aspx?menuIndex=3&amp;refID=7072306&amp;Result=3","7072306")</f>
        <v>0</v>
      </c>
      <c r="B5628" t="s">
        <v>1907</v>
      </c>
      <c r="C5628" t="s">
        <v>8752</v>
      </c>
      <c r="D5628" t="s">
        <v>16672</v>
      </c>
      <c r="E5628" t="s">
        <v>19231</v>
      </c>
      <c r="F5628" t="s">
        <v>28669</v>
      </c>
      <c r="G5628" t="s">
        <v>28682</v>
      </c>
      <c r="H5628" t="s">
        <v>9998</v>
      </c>
      <c r="I5628" t="s">
        <v>7352</v>
      </c>
      <c r="J5628" t="s">
        <v>32401</v>
      </c>
      <c r="K5628" t="s">
        <v>37206</v>
      </c>
      <c r="M5628" t="s">
        <v>39532</v>
      </c>
      <c r="N5628" t="s">
        <v>41249</v>
      </c>
      <c r="O5628" t="s">
        <v>41250</v>
      </c>
      <c r="P5628">
        <v>0</v>
      </c>
      <c r="Q5628">
        <v>0</v>
      </c>
      <c r="R5628" t="s">
        <v>41255</v>
      </c>
      <c r="S5628" t="s">
        <v>41442</v>
      </c>
      <c r="T5628" t="s">
        <v>42973</v>
      </c>
      <c r="U5628" t="s">
        <v>47875</v>
      </c>
      <c r="V5628" t="s">
        <v>54881</v>
      </c>
      <c r="W5628" t="s">
        <v>39532</v>
      </c>
      <c r="X5628" t="s">
        <v>41256</v>
      </c>
    </row>
    <row r="5629" spans="1:24">
      <c r="A5629">
        <f>HYPERLINK("https://www.philgeps.gov.ph/GEPSNONPILOT/Tender/SplashBidNoticeAbstractUI.aspx?menuIndex=3&amp;refID=7072303&amp;Result=3","7072303")</f>
        <v>0</v>
      </c>
      <c r="B5629" t="s">
        <v>1908</v>
      </c>
      <c r="C5629" t="s">
        <v>8753</v>
      </c>
      <c r="D5629" t="s">
        <v>16619</v>
      </c>
      <c r="E5629" t="s">
        <v>21701</v>
      </c>
      <c r="F5629" t="s">
        <v>28669</v>
      </c>
      <c r="G5629" t="s">
        <v>28678</v>
      </c>
      <c r="H5629" t="s">
        <v>9998</v>
      </c>
      <c r="I5629" t="s">
        <v>28708</v>
      </c>
      <c r="J5629" t="s">
        <v>32402</v>
      </c>
      <c r="K5629" t="s">
        <v>37206</v>
      </c>
      <c r="M5629" t="s">
        <v>39533</v>
      </c>
      <c r="N5629" t="s">
        <v>41249</v>
      </c>
      <c r="O5629" t="s">
        <v>41250</v>
      </c>
      <c r="P5629">
        <v>0</v>
      </c>
      <c r="Q5629">
        <v>4</v>
      </c>
      <c r="R5629" t="s">
        <v>41255</v>
      </c>
      <c r="S5629" t="s">
        <v>41442</v>
      </c>
      <c r="T5629" t="s">
        <v>42673</v>
      </c>
      <c r="U5629" t="s">
        <v>47876</v>
      </c>
      <c r="W5629" t="s">
        <v>39533</v>
      </c>
      <c r="X5629" t="s">
        <v>41256</v>
      </c>
    </row>
    <row r="5630" spans="1:24">
      <c r="A5630">
        <f>HYPERLINK("https://www.philgeps.gov.ph/GEPSNONPILOT/Tender/SplashBidNoticeAbstractUI.aspx?menuIndex=3&amp;refID=7072301&amp;Result=3","7072301")</f>
        <v>0</v>
      </c>
      <c r="B5630" t="s">
        <v>1909</v>
      </c>
      <c r="C5630" t="s">
        <v>8754</v>
      </c>
      <c r="D5630" t="s">
        <v>16653</v>
      </c>
      <c r="E5630" t="s">
        <v>21702</v>
      </c>
      <c r="F5630" t="s">
        <v>28669</v>
      </c>
      <c r="G5630" t="s">
        <v>28676</v>
      </c>
      <c r="H5630" t="s">
        <v>28684</v>
      </c>
      <c r="I5630" t="s">
        <v>28777</v>
      </c>
      <c r="J5630" t="s">
        <v>29088</v>
      </c>
      <c r="K5630" t="s">
        <v>37205</v>
      </c>
      <c r="M5630" t="s">
        <v>39534</v>
      </c>
      <c r="N5630" t="s">
        <v>41249</v>
      </c>
      <c r="O5630" t="s">
        <v>41250</v>
      </c>
      <c r="P5630">
        <v>0</v>
      </c>
      <c r="Q5630">
        <v>0</v>
      </c>
      <c r="R5630" t="s">
        <v>41255</v>
      </c>
      <c r="S5630" t="s">
        <v>41442</v>
      </c>
      <c r="T5630" t="s">
        <v>42694</v>
      </c>
      <c r="U5630" t="s">
        <v>47877</v>
      </c>
      <c r="W5630" t="s">
        <v>39534</v>
      </c>
      <c r="X5630" t="s">
        <v>41256</v>
      </c>
    </row>
    <row r="5631" spans="1:24">
      <c r="A5631">
        <f>HYPERLINK("https://www.philgeps.gov.ph/GEPSNONPILOT/Tender/SplashBidNoticeAbstractUI.aspx?menuIndex=3&amp;refID=7072299&amp;Result=3","7072299")</f>
        <v>0</v>
      </c>
      <c r="B5631" t="s">
        <v>1910</v>
      </c>
      <c r="C5631" t="s">
        <v>8755</v>
      </c>
      <c r="D5631" t="s">
        <v>16679</v>
      </c>
      <c r="E5631" t="s">
        <v>21703</v>
      </c>
      <c r="F5631" t="s">
        <v>28669</v>
      </c>
      <c r="G5631" t="s">
        <v>28675</v>
      </c>
      <c r="H5631" t="s">
        <v>28684</v>
      </c>
      <c r="I5631" t="s">
        <v>28697</v>
      </c>
      <c r="J5631" t="s">
        <v>32403</v>
      </c>
      <c r="K5631" t="s">
        <v>37213</v>
      </c>
      <c r="M5631" t="s">
        <v>39535</v>
      </c>
      <c r="N5631" t="s">
        <v>41249</v>
      </c>
      <c r="O5631" t="s">
        <v>41250</v>
      </c>
      <c r="P5631">
        <v>0</v>
      </c>
      <c r="Q5631">
        <v>2</v>
      </c>
      <c r="R5631" t="s">
        <v>41255</v>
      </c>
      <c r="S5631" t="s">
        <v>41442</v>
      </c>
      <c r="T5631" t="s">
        <v>42711</v>
      </c>
      <c r="U5631" t="s">
        <v>47878</v>
      </c>
      <c r="W5631" t="s">
        <v>39535</v>
      </c>
      <c r="X5631" t="s">
        <v>41256</v>
      </c>
    </row>
    <row r="5632" spans="1:24">
      <c r="A5632">
        <f>HYPERLINK("https://www.philgeps.gov.ph/GEPSNONPILOT/Tender/SplashBidNoticeAbstractUI.aspx?menuIndex=3&amp;refID=7072319&amp;Result=3","7072319")</f>
        <v>0</v>
      </c>
      <c r="B5632" t="s">
        <v>565</v>
      </c>
      <c r="C5632" t="s">
        <v>8756</v>
      </c>
      <c r="E5632" t="s">
        <v>21704</v>
      </c>
      <c r="F5632" t="s">
        <v>28669</v>
      </c>
      <c r="G5632" t="s">
        <v>28675</v>
      </c>
      <c r="H5632" t="s">
        <v>9998</v>
      </c>
      <c r="I5632" t="s">
        <v>28757</v>
      </c>
      <c r="J5632" t="s">
        <v>32404</v>
      </c>
      <c r="K5632" t="s">
        <v>37209</v>
      </c>
      <c r="M5632" t="s">
        <v>39536</v>
      </c>
      <c r="N5632" t="s">
        <v>41249</v>
      </c>
      <c r="O5632" t="s">
        <v>41250</v>
      </c>
      <c r="P5632">
        <v>0</v>
      </c>
      <c r="Q5632">
        <v>2</v>
      </c>
      <c r="R5632" t="s">
        <v>41255</v>
      </c>
      <c r="S5632" t="s">
        <v>41442</v>
      </c>
      <c r="T5632" t="s">
        <v>42692</v>
      </c>
      <c r="U5632" t="s">
        <v>47879</v>
      </c>
      <c r="W5632" t="s">
        <v>39536</v>
      </c>
      <c r="X5632" t="s">
        <v>41256</v>
      </c>
    </row>
    <row r="5633" spans="1:24">
      <c r="A5633">
        <f>HYPERLINK("https://www.philgeps.gov.ph/GEPSNONPILOT/Tender/SplashBidNoticeAbstractUI.aspx?menuIndex=3&amp;refID=7072298&amp;Result=3","7072298")</f>
        <v>0</v>
      </c>
      <c r="B5633" t="s">
        <v>1911</v>
      </c>
      <c r="C5633" t="s">
        <v>8757</v>
      </c>
      <c r="D5633" t="s">
        <v>16643</v>
      </c>
      <c r="E5633" t="s">
        <v>21705</v>
      </c>
      <c r="F5633" t="s">
        <v>28669</v>
      </c>
      <c r="G5633" t="s">
        <v>28675</v>
      </c>
      <c r="H5633" t="s">
        <v>9998</v>
      </c>
      <c r="I5633" t="s">
        <v>28717</v>
      </c>
      <c r="J5633" t="s">
        <v>29364</v>
      </c>
      <c r="K5633" t="s">
        <v>37205</v>
      </c>
      <c r="M5633" t="s">
        <v>39537</v>
      </c>
      <c r="N5633" t="s">
        <v>41249</v>
      </c>
      <c r="O5633" t="s">
        <v>41250</v>
      </c>
      <c r="P5633">
        <v>0</v>
      </c>
      <c r="Q5633">
        <v>4</v>
      </c>
      <c r="R5633" t="s">
        <v>41255</v>
      </c>
      <c r="S5633" t="s">
        <v>41442</v>
      </c>
      <c r="T5633" t="s">
        <v>42668</v>
      </c>
      <c r="U5633" t="s">
        <v>47880</v>
      </c>
      <c r="V5633" t="s">
        <v>54882</v>
      </c>
      <c r="W5633" t="s">
        <v>39537</v>
      </c>
      <c r="X5633" t="s">
        <v>41256</v>
      </c>
    </row>
    <row r="5634" spans="1:24">
      <c r="A5634">
        <f>HYPERLINK("https://www.philgeps.gov.ph/GEPSNONPILOT/Tender/SplashBidNoticeAbstractUI.aspx?menuIndex=3&amp;refID=7072315&amp;Result=3","7072315")</f>
        <v>0</v>
      </c>
      <c r="B5634" t="s">
        <v>1907</v>
      </c>
      <c r="C5634" t="s">
        <v>8758</v>
      </c>
      <c r="D5634" t="s">
        <v>16672</v>
      </c>
      <c r="E5634" t="s">
        <v>21706</v>
      </c>
      <c r="F5634" t="s">
        <v>28669</v>
      </c>
      <c r="G5634" t="s">
        <v>28682</v>
      </c>
      <c r="H5634" t="s">
        <v>9998</v>
      </c>
      <c r="I5634" t="s">
        <v>28695</v>
      </c>
      <c r="J5634" t="s">
        <v>28877</v>
      </c>
      <c r="K5634" t="s">
        <v>37206</v>
      </c>
      <c r="M5634" t="s">
        <v>39532</v>
      </c>
      <c r="N5634" t="s">
        <v>41249</v>
      </c>
      <c r="O5634" t="s">
        <v>41250</v>
      </c>
      <c r="P5634">
        <v>0</v>
      </c>
      <c r="Q5634">
        <v>0</v>
      </c>
      <c r="R5634" t="s">
        <v>41255</v>
      </c>
      <c r="S5634" t="s">
        <v>41442</v>
      </c>
      <c r="T5634" t="s">
        <v>42973</v>
      </c>
      <c r="U5634" t="s">
        <v>47881</v>
      </c>
      <c r="V5634" t="s">
        <v>54881</v>
      </c>
      <c r="W5634" t="s">
        <v>39532</v>
      </c>
      <c r="X5634" t="s">
        <v>41256</v>
      </c>
    </row>
    <row r="5635" spans="1:24">
      <c r="A5635">
        <f>HYPERLINK("https://www.philgeps.gov.ph/GEPSNONPILOT/Tender/SplashBidNoticeAbstractUI.aspx?menuIndex=3&amp;refID=7072292&amp;Result=3","7072292")</f>
        <v>0</v>
      </c>
      <c r="B5635" t="s">
        <v>1912</v>
      </c>
      <c r="C5635" t="s">
        <v>8759</v>
      </c>
      <c r="D5635" t="s">
        <v>16684</v>
      </c>
      <c r="E5635" t="s">
        <v>6569</v>
      </c>
      <c r="F5635" t="s">
        <v>28669</v>
      </c>
      <c r="G5635" t="s">
        <v>28675</v>
      </c>
      <c r="H5635" t="s">
        <v>9998</v>
      </c>
      <c r="I5635" t="s">
        <v>7352</v>
      </c>
      <c r="J5635" t="s">
        <v>30843</v>
      </c>
      <c r="K5635" t="s">
        <v>37204</v>
      </c>
      <c r="M5635" t="s">
        <v>39538</v>
      </c>
      <c r="N5635" t="s">
        <v>41249</v>
      </c>
      <c r="O5635" t="s">
        <v>41250</v>
      </c>
      <c r="P5635">
        <v>0</v>
      </c>
      <c r="Q5635">
        <v>0</v>
      </c>
      <c r="R5635" t="s">
        <v>41255</v>
      </c>
      <c r="S5635" t="s">
        <v>41442</v>
      </c>
      <c r="T5635" t="s">
        <v>42673</v>
      </c>
      <c r="U5635" t="s">
        <v>47882</v>
      </c>
      <c r="V5635" t="s">
        <v>54883</v>
      </c>
      <c r="W5635" t="s">
        <v>39538</v>
      </c>
      <c r="X5635" t="s">
        <v>41257</v>
      </c>
    </row>
    <row r="5636" spans="1:24">
      <c r="A5636">
        <f>HYPERLINK("https://www.philgeps.gov.ph/GEPSNONPILOT/Tender/SplashBidNoticeAbstractUI.aspx?menuIndex=3&amp;refID=7072308&amp;Result=3","7072308")</f>
        <v>0</v>
      </c>
      <c r="B5636" t="s">
        <v>1907</v>
      </c>
      <c r="C5636" t="s">
        <v>8760</v>
      </c>
      <c r="D5636" t="s">
        <v>16672</v>
      </c>
      <c r="E5636" t="s">
        <v>21707</v>
      </c>
      <c r="F5636" t="s">
        <v>28669</v>
      </c>
      <c r="G5636" t="s">
        <v>28677</v>
      </c>
      <c r="H5636" t="s">
        <v>9998</v>
      </c>
      <c r="I5636" t="s">
        <v>7352</v>
      </c>
      <c r="J5636" t="s">
        <v>32405</v>
      </c>
      <c r="K5636" t="s">
        <v>37205</v>
      </c>
      <c r="M5636" t="s">
        <v>39532</v>
      </c>
      <c r="N5636" t="s">
        <v>41249</v>
      </c>
      <c r="O5636" t="s">
        <v>41250</v>
      </c>
      <c r="P5636">
        <v>0</v>
      </c>
      <c r="Q5636">
        <v>0</v>
      </c>
      <c r="R5636" t="s">
        <v>41255</v>
      </c>
      <c r="S5636" t="s">
        <v>41442</v>
      </c>
      <c r="T5636" t="s">
        <v>42973</v>
      </c>
      <c r="U5636" t="s">
        <v>47883</v>
      </c>
      <c r="V5636" t="s">
        <v>54881</v>
      </c>
      <c r="W5636" t="s">
        <v>39532</v>
      </c>
      <c r="X5636" t="s">
        <v>41256</v>
      </c>
    </row>
    <row r="5637" spans="1:24">
      <c r="A5637">
        <f>HYPERLINK("https://www.philgeps.gov.ph/GEPSNONPILOT/Tender/SplashBidNoticeAbstractUI.aspx?menuIndex=3&amp;refID=7071888&amp;Result=3","7071888")</f>
        <v>0</v>
      </c>
      <c r="B5637" t="s">
        <v>1913</v>
      </c>
      <c r="C5637" t="s">
        <v>8761</v>
      </c>
      <c r="D5637" t="s">
        <v>16620</v>
      </c>
      <c r="E5637" t="s">
        <v>21708</v>
      </c>
      <c r="F5637" t="s">
        <v>28669</v>
      </c>
      <c r="G5637" t="s">
        <v>28675</v>
      </c>
      <c r="H5637" t="s">
        <v>28686</v>
      </c>
      <c r="I5637" t="s">
        <v>7352</v>
      </c>
      <c r="J5637" t="s">
        <v>28845</v>
      </c>
      <c r="K5637" t="s">
        <v>37231</v>
      </c>
      <c r="M5637" t="s">
        <v>39539</v>
      </c>
      <c r="N5637" t="s">
        <v>41249</v>
      </c>
      <c r="O5637" t="s">
        <v>41250</v>
      </c>
      <c r="P5637">
        <v>0</v>
      </c>
      <c r="Q5637">
        <v>2</v>
      </c>
      <c r="R5637" t="s">
        <v>41255</v>
      </c>
      <c r="S5637" t="s">
        <v>41442</v>
      </c>
      <c r="T5637" t="s">
        <v>42738</v>
      </c>
      <c r="U5637" t="s">
        <v>47884</v>
      </c>
      <c r="W5637" t="s">
        <v>39539</v>
      </c>
      <c r="X5637" t="s">
        <v>41257</v>
      </c>
    </row>
    <row r="5638" spans="1:24">
      <c r="A5638">
        <f>HYPERLINK("https://www.philgeps.gov.ph/GEPSNONPILOT/Tender/SplashBidNoticeAbstractUI.aspx?menuIndex=3&amp;refID=7073171&amp;Result=3","7073171")</f>
        <v>0</v>
      </c>
      <c r="B5638" t="s">
        <v>696</v>
      </c>
      <c r="C5638" t="s">
        <v>8762</v>
      </c>
      <c r="D5638" t="s">
        <v>16611</v>
      </c>
      <c r="E5638" t="s">
        <v>21709</v>
      </c>
      <c r="F5638" t="s">
        <v>28669</v>
      </c>
      <c r="G5638" t="s">
        <v>28676</v>
      </c>
      <c r="H5638" t="s">
        <v>9998</v>
      </c>
      <c r="I5638" t="s">
        <v>28706</v>
      </c>
      <c r="J5638" t="s">
        <v>28905</v>
      </c>
      <c r="K5638" t="s">
        <v>37206</v>
      </c>
      <c r="M5638" t="s">
        <v>39508</v>
      </c>
      <c r="N5638" t="s">
        <v>41249</v>
      </c>
      <c r="O5638" t="s">
        <v>41250</v>
      </c>
      <c r="P5638">
        <v>0</v>
      </c>
      <c r="Q5638">
        <v>2</v>
      </c>
      <c r="R5638" t="s">
        <v>41254</v>
      </c>
      <c r="S5638" t="s">
        <v>41425</v>
      </c>
      <c r="T5638" t="s">
        <v>42884</v>
      </c>
      <c r="U5638" t="s">
        <v>47885</v>
      </c>
      <c r="W5638" t="s">
        <v>39508</v>
      </c>
      <c r="X5638" t="s">
        <v>41255</v>
      </c>
    </row>
    <row r="5639" spans="1:24">
      <c r="A5639">
        <f>HYPERLINK("https://www.philgeps.gov.ph/GEPSNONPILOT/Tender/SplashBidNoticeAbstractUI.aspx?menuIndex=3&amp;refID=7072296&amp;Result=3","7072296")</f>
        <v>0</v>
      </c>
      <c r="B5639" t="s">
        <v>1914</v>
      </c>
      <c r="C5639" t="s">
        <v>8763</v>
      </c>
      <c r="D5639" t="s">
        <v>16626</v>
      </c>
      <c r="E5639" t="s">
        <v>17435</v>
      </c>
      <c r="F5639" t="s">
        <v>28669</v>
      </c>
      <c r="G5639" t="s">
        <v>28676</v>
      </c>
      <c r="H5639" t="s">
        <v>9998</v>
      </c>
      <c r="I5639" t="s">
        <v>28690</v>
      </c>
      <c r="J5639" t="s">
        <v>32406</v>
      </c>
      <c r="K5639" t="s">
        <v>37206</v>
      </c>
      <c r="M5639" t="s">
        <v>39540</v>
      </c>
      <c r="N5639" t="s">
        <v>41249</v>
      </c>
      <c r="O5639" t="s">
        <v>41250</v>
      </c>
      <c r="P5639">
        <v>0</v>
      </c>
      <c r="Q5639">
        <v>4</v>
      </c>
      <c r="R5639" t="s">
        <v>41255</v>
      </c>
      <c r="S5639" t="s">
        <v>41442</v>
      </c>
      <c r="T5639" t="s">
        <v>42694</v>
      </c>
      <c r="U5639" t="s">
        <v>47886</v>
      </c>
      <c r="V5639" t="s">
        <v>54884</v>
      </c>
      <c r="W5639" t="s">
        <v>39540</v>
      </c>
      <c r="X5639" t="s">
        <v>41256</v>
      </c>
    </row>
    <row r="5640" spans="1:24">
      <c r="A5640">
        <f>HYPERLINK("https://www.philgeps.gov.ph/GEPSNONPILOT/Tender/SplashBidNoticeAbstractUI.aspx?menuIndex=3&amp;refID=7072413&amp;Result=3","7072413")</f>
        <v>0</v>
      </c>
      <c r="B5640" t="s">
        <v>1626</v>
      </c>
      <c r="C5640" t="s">
        <v>8764</v>
      </c>
      <c r="E5640" t="s">
        <v>21710</v>
      </c>
      <c r="F5640" t="s">
        <v>28669</v>
      </c>
      <c r="G5640" t="s">
        <v>28676</v>
      </c>
      <c r="H5640" t="s">
        <v>9998</v>
      </c>
      <c r="I5640" t="s">
        <v>28693</v>
      </c>
      <c r="J5640" t="s">
        <v>32407</v>
      </c>
      <c r="K5640" t="s">
        <v>37209</v>
      </c>
      <c r="M5640" t="s">
        <v>39212</v>
      </c>
      <c r="N5640" t="s">
        <v>41249</v>
      </c>
      <c r="O5640" t="s">
        <v>41250</v>
      </c>
      <c r="P5640">
        <v>0</v>
      </c>
      <c r="Q5640">
        <v>6</v>
      </c>
      <c r="R5640" t="s">
        <v>41255</v>
      </c>
      <c r="S5640" t="s">
        <v>41442</v>
      </c>
      <c r="T5640" t="s">
        <v>42938</v>
      </c>
      <c r="U5640" t="s">
        <v>47506</v>
      </c>
      <c r="W5640" t="s">
        <v>39212</v>
      </c>
      <c r="X5640" t="s">
        <v>41256</v>
      </c>
    </row>
    <row r="5641" spans="1:24">
      <c r="A5641">
        <f>HYPERLINK("https://www.philgeps.gov.ph/GEPSNONPILOT/Tender/SplashBidNoticeAbstractUI.aspx?menuIndex=3&amp;refID=7072057&amp;Result=3","7072057")</f>
        <v>0</v>
      </c>
      <c r="B5641" t="s">
        <v>1915</v>
      </c>
      <c r="C5641" t="s">
        <v>8765</v>
      </c>
      <c r="D5641" t="s">
        <v>16667</v>
      </c>
      <c r="E5641" t="s">
        <v>21711</v>
      </c>
      <c r="F5641" t="s">
        <v>28669</v>
      </c>
      <c r="G5641" t="s">
        <v>28675</v>
      </c>
      <c r="H5641" t="s">
        <v>28686</v>
      </c>
      <c r="I5641" t="s">
        <v>28689</v>
      </c>
      <c r="J5641" t="s">
        <v>32408</v>
      </c>
      <c r="K5641" t="s">
        <v>37285</v>
      </c>
      <c r="M5641" t="s">
        <v>39541</v>
      </c>
      <c r="N5641" t="s">
        <v>41249</v>
      </c>
      <c r="O5641" t="s">
        <v>41250</v>
      </c>
      <c r="P5641">
        <v>0</v>
      </c>
      <c r="Q5641">
        <v>0</v>
      </c>
      <c r="R5641" t="s">
        <v>41255</v>
      </c>
      <c r="S5641" t="s">
        <v>41442</v>
      </c>
      <c r="T5641" t="s">
        <v>42997</v>
      </c>
      <c r="U5641" t="s">
        <v>47887</v>
      </c>
      <c r="W5641" t="s">
        <v>39541</v>
      </c>
      <c r="X5641" t="s">
        <v>41257</v>
      </c>
    </row>
    <row r="5642" spans="1:24">
      <c r="A5642">
        <f>HYPERLINK("https://www.philgeps.gov.ph/GEPSNONPILOT/Tender/SplashBidNoticeAbstractUI.aspx?menuIndex=3&amp;refID=7072300&amp;Result=3","7072300")</f>
        <v>0</v>
      </c>
      <c r="B5642" t="s">
        <v>1911</v>
      </c>
      <c r="C5642" t="s">
        <v>8766</v>
      </c>
      <c r="D5642" t="s">
        <v>16643</v>
      </c>
      <c r="E5642" t="s">
        <v>21712</v>
      </c>
      <c r="F5642" t="s">
        <v>28669</v>
      </c>
      <c r="G5642" t="s">
        <v>28675</v>
      </c>
      <c r="H5642" t="s">
        <v>9998</v>
      </c>
      <c r="I5642" t="s">
        <v>28726</v>
      </c>
      <c r="J5642" t="s">
        <v>29317</v>
      </c>
      <c r="K5642" t="s">
        <v>37205</v>
      </c>
      <c r="M5642" t="s">
        <v>39537</v>
      </c>
      <c r="N5642" t="s">
        <v>41249</v>
      </c>
      <c r="O5642" t="s">
        <v>41250</v>
      </c>
      <c r="P5642">
        <v>0</v>
      </c>
      <c r="Q5642">
        <v>3</v>
      </c>
      <c r="R5642" t="s">
        <v>41255</v>
      </c>
      <c r="S5642" t="s">
        <v>41442</v>
      </c>
      <c r="T5642" t="s">
        <v>42668</v>
      </c>
      <c r="U5642" t="s">
        <v>47888</v>
      </c>
      <c r="V5642" t="s">
        <v>54882</v>
      </c>
      <c r="W5642" t="s">
        <v>39537</v>
      </c>
      <c r="X5642" t="s">
        <v>41256</v>
      </c>
    </row>
    <row r="5643" spans="1:24">
      <c r="A5643">
        <f>HYPERLINK("https://www.philgeps.gov.ph/GEPSNONPILOT/Tender/SplashBidNoticeAbstractUI.aspx?menuIndex=3&amp;refID=7072467&amp;Result=3","7072467")</f>
        <v>0</v>
      </c>
      <c r="B5643" t="s">
        <v>1916</v>
      </c>
      <c r="C5643" t="s">
        <v>8767</v>
      </c>
      <c r="D5643" t="s">
        <v>16618</v>
      </c>
      <c r="E5643" t="s">
        <v>16820</v>
      </c>
      <c r="F5643" t="s">
        <v>28669</v>
      </c>
      <c r="G5643" t="s">
        <v>28675</v>
      </c>
      <c r="H5643" t="s">
        <v>28686</v>
      </c>
      <c r="I5643" t="s">
        <v>28689</v>
      </c>
      <c r="J5643" t="s">
        <v>32409</v>
      </c>
      <c r="K5643" t="s">
        <v>37229</v>
      </c>
      <c r="M5643" t="s">
        <v>39542</v>
      </c>
      <c r="N5643" t="s">
        <v>41249</v>
      </c>
      <c r="O5643" t="s">
        <v>41250</v>
      </c>
      <c r="P5643">
        <v>0</v>
      </c>
      <c r="Q5643">
        <v>0</v>
      </c>
      <c r="R5643" t="s">
        <v>41255</v>
      </c>
      <c r="S5643" t="s">
        <v>41442</v>
      </c>
      <c r="T5643" t="s">
        <v>42738</v>
      </c>
      <c r="U5643" t="s">
        <v>47889</v>
      </c>
      <c r="W5643" t="s">
        <v>39542</v>
      </c>
      <c r="X5643" t="s">
        <v>41256</v>
      </c>
    </row>
    <row r="5644" spans="1:24">
      <c r="A5644">
        <f>HYPERLINK("https://www.philgeps.gov.ph/GEPSNONPILOT/Tender/SplashBidNoticeAbstractUI.aspx?menuIndex=3&amp;refID=7068319&amp;Result=3","7068319")</f>
        <v>0</v>
      </c>
      <c r="B5644" t="s">
        <v>1900</v>
      </c>
      <c r="C5644" t="s">
        <v>8768</v>
      </c>
      <c r="D5644" t="s">
        <v>16658</v>
      </c>
      <c r="E5644" t="s">
        <v>21713</v>
      </c>
      <c r="F5644" t="s">
        <v>28669</v>
      </c>
      <c r="G5644" t="s">
        <v>28675</v>
      </c>
      <c r="H5644" t="s">
        <v>9998</v>
      </c>
      <c r="I5644" t="s">
        <v>28706</v>
      </c>
      <c r="J5644" t="s">
        <v>32410</v>
      </c>
      <c r="K5644" t="s">
        <v>37206</v>
      </c>
      <c r="M5644" t="s">
        <v>39523</v>
      </c>
      <c r="N5644" t="s">
        <v>41249</v>
      </c>
      <c r="O5644" t="s">
        <v>41250</v>
      </c>
      <c r="P5644">
        <v>0</v>
      </c>
      <c r="Q5644">
        <v>2</v>
      </c>
      <c r="R5644" t="s">
        <v>41255</v>
      </c>
      <c r="S5644" t="s">
        <v>41442</v>
      </c>
      <c r="T5644" t="s">
        <v>42673</v>
      </c>
      <c r="U5644" t="s">
        <v>47890</v>
      </c>
      <c r="V5644" t="s">
        <v>54879</v>
      </c>
      <c r="W5644" t="s">
        <v>39523</v>
      </c>
      <c r="X5644" t="s">
        <v>41258</v>
      </c>
    </row>
    <row r="5645" spans="1:24">
      <c r="A5645">
        <f>HYPERLINK("https://www.philgeps.gov.ph/GEPSNONPILOT/Tender/SplashBidNoticeAbstractUI.aspx?menuIndex=3&amp;refID=7072440&amp;Result=3","7072440")</f>
        <v>0</v>
      </c>
      <c r="B5645" t="s">
        <v>369</v>
      </c>
      <c r="C5645" t="s">
        <v>8769</v>
      </c>
      <c r="D5645" t="s">
        <v>16619</v>
      </c>
      <c r="E5645" t="s">
        <v>21714</v>
      </c>
      <c r="F5645" t="s">
        <v>28669</v>
      </c>
      <c r="G5645" t="s">
        <v>28676</v>
      </c>
      <c r="H5645" t="s">
        <v>9998</v>
      </c>
      <c r="I5645" t="s">
        <v>28714</v>
      </c>
      <c r="J5645" t="s">
        <v>32411</v>
      </c>
      <c r="K5645" t="s">
        <v>37205</v>
      </c>
      <c r="M5645" t="s">
        <v>39543</v>
      </c>
      <c r="N5645" t="s">
        <v>41249</v>
      </c>
      <c r="O5645" t="s">
        <v>41250</v>
      </c>
      <c r="Q5645">
        <v>41</v>
      </c>
      <c r="R5645" t="s">
        <v>41255</v>
      </c>
      <c r="S5645" t="s">
        <v>41448</v>
      </c>
      <c r="T5645" t="s">
        <v>42679</v>
      </c>
      <c r="U5645" t="s">
        <v>47891</v>
      </c>
      <c r="V5645" t="s">
        <v>54885</v>
      </c>
      <c r="W5645" t="s">
        <v>39543</v>
      </c>
      <c r="X5645" t="s">
        <v>41256</v>
      </c>
    </row>
    <row r="5646" spans="1:24">
      <c r="A5646">
        <f>HYPERLINK("https://www.philgeps.gov.ph/GEPSNONPILOT/Tender/SplashBidNoticeAbstractUI.aspx?menuIndex=3&amp;refID=7071854&amp;Result=3","7071854")</f>
        <v>0</v>
      </c>
      <c r="B5646" t="s">
        <v>1917</v>
      </c>
      <c r="C5646" t="s">
        <v>8770</v>
      </c>
      <c r="D5646" t="s">
        <v>16620</v>
      </c>
      <c r="E5646" t="s">
        <v>21715</v>
      </c>
      <c r="F5646" t="s">
        <v>28669</v>
      </c>
      <c r="G5646" t="s">
        <v>28675</v>
      </c>
      <c r="H5646" t="s">
        <v>9998</v>
      </c>
      <c r="I5646" t="s">
        <v>28690</v>
      </c>
      <c r="J5646" t="s">
        <v>32406</v>
      </c>
      <c r="K5646" t="s">
        <v>37209</v>
      </c>
      <c r="M5646" t="s">
        <v>39544</v>
      </c>
      <c r="N5646" t="s">
        <v>41249</v>
      </c>
      <c r="O5646" t="s">
        <v>41250</v>
      </c>
      <c r="P5646">
        <v>0</v>
      </c>
      <c r="Q5646">
        <v>0</v>
      </c>
      <c r="R5646" t="s">
        <v>41255</v>
      </c>
      <c r="S5646" t="s">
        <v>41442</v>
      </c>
      <c r="T5646" t="s">
        <v>42858</v>
      </c>
      <c r="U5646" t="s">
        <v>47892</v>
      </c>
      <c r="W5646" t="s">
        <v>39544</v>
      </c>
      <c r="X5646" t="s">
        <v>41257</v>
      </c>
    </row>
    <row r="5647" spans="1:24">
      <c r="A5647">
        <f>HYPERLINK("https://www.philgeps.gov.ph/GEPSNONPILOT/Tender/SplashBidNoticeAbstractUI.aspx?menuIndex=3&amp;refID=7072322&amp;Result=3","7072322")</f>
        <v>0</v>
      </c>
      <c r="B5647" t="s">
        <v>1918</v>
      </c>
      <c r="C5647" t="s">
        <v>8771</v>
      </c>
      <c r="D5647" t="s">
        <v>16630</v>
      </c>
      <c r="E5647" t="s">
        <v>18652</v>
      </c>
      <c r="F5647" t="s">
        <v>28669</v>
      </c>
      <c r="G5647" t="s">
        <v>28675</v>
      </c>
      <c r="H5647" t="s">
        <v>9998</v>
      </c>
      <c r="I5647" t="s">
        <v>7352</v>
      </c>
      <c r="J5647" t="s">
        <v>32412</v>
      </c>
      <c r="K5647" t="s">
        <v>37204</v>
      </c>
      <c r="M5647" t="s">
        <v>39545</v>
      </c>
      <c r="N5647" t="s">
        <v>41249</v>
      </c>
      <c r="O5647" t="s">
        <v>41250</v>
      </c>
      <c r="P5647">
        <v>0</v>
      </c>
      <c r="Q5647">
        <v>0</v>
      </c>
      <c r="R5647" t="s">
        <v>41255</v>
      </c>
      <c r="S5647" t="s">
        <v>41442</v>
      </c>
      <c r="T5647" t="s">
        <v>42759</v>
      </c>
      <c r="U5647" t="s">
        <v>47893</v>
      </c>
      <c r="W5647" t="s">
        <v>39545</v>
      </c>
      <c r="X5647" t="s">
        <v>41256</v>
      </c>
    </row>
    <row r="5648" spans="1:24">
      <c r="A5648">
        <f>HYPERLINK("https://www.philgeps.gov.ph/GEPSNONPILOT/Tender/SplashBidNoticeAbstractUI.aspx?menuIndex=3&amp;refID=7072472&amp;Result=3","7072472")</f>
        <v>0</v>
      </c>
      <c r="B5648" t="s">
        <v>140</v>
      </c>
      <c r="C5648" t="s">
        <v>8772</v>
      </c>
      <c r="D5648" t="s">
        <v>16652</v>
      </c>
      <c r="E5648" t="s">
        <v>21716</v>
      </c>
      <c r="F5648" t="s">
        <v>28669</v>
      </c>
      <c r="G5648" t="s">
        <v>28675</v>
      </c>
      <c r="H5648" t="s">
        <v>28686</v>
      </c>
      <c r="I5648" t="s">
        <v>28689</v>
      </c>
      <c r="J5648" t="s">
        <v>29003</v>
      </c>
      <c r="K5648" t="s">
        <v>37221</v>
      </c>
      <c r="M5648" t="s">
        <v>37617</v>
      </c>
      <c r="N5648" t="s">
        <v>41249</v>
      </c>
      <c r="O5648" t="s">
        <v>41250</v>
      </c>
      <c r="P5648">
        <v>0</v>
      </c>
      <c r="Q5648">
        <v>0</v>
      </c>
      <c r="R5648" t="s">
        <v>41255</v>
      </c>
      <c r="S5648" t="s">
        <v>41442</v>
      </c>
      <c r="T5648" t="s">
        <v>42810</v>
      </c>
      <c r="U5648" t="s">
        <v>46007</v>
      </c>
      <c r="W5648" t="s">
        <v>37617</v>
      </c>
      <c r="X5648" t="s">
        <v>41256</v>
      </c>
    </row>
    <row r="5649" spans="1:24">
      <c r="A5649">
        <f>HYPERLINK("https://www.philgeps.gov.ph/GEPSNONPILOT/Tender/SplashBidNoticeAbstractUI.aspx?menuIndex=3&amp;refID=7072145&amp;Result=3","7072145")</f>
        <v>0</v>
      </c>
      <c r="B5649" t="s">
        <v>1919</v>
      </c>
      <c r="C5649" t="s">
        <v>8773</v>
      </c>
      <c r="D5649" t="s">
        <v>16627</v>
      </c>
      <c r="E5649" t="s">
        <v>21717</v>
      </c>
      <c r="F5649" t="s">
        <v>28669</v>
      </c>
      <c r="G5649" t="s">
        <v>28675</v>
      </c>
      <c r="H5649" t="s">
        <v>9998</v>
      </c>
      <c r="I5649" t="s">
        <v>28696</v>
      </c>
      <c r="J5649" t="s">
        <v>30952</v>
      </c>
      <c r="K5649" t="s">
        <v>37205</v>
      </c>
      <c r="M5649" t="s">
        <v>39546</v>
      </c>
      <c r="N5649" t="s">
        <v>41249</v>
      </c>
      <c r="O5649" t="s">
        <v>41250</v>
      </c>
      <c r="P5649">
        <v>0</v>
      </c>
      <c r="Q5649">
        <v>0</v>
      </c>
      <c r="R5649" t="s">
        <v>41255</v>
      </c>
      <c r="S5649" t="s">
        <v>41442</v>
      </c>
      <c r="T5649" t="s">
        <v>42923</v>
      </c>
      <c r="U5649" t="s">
        <v>47894</v>
      </c>
      <c r="V5649" t="s">
        <v>54886</v>
      </c>
      <c r="W5649" t="s">
        <v>39546</v>
      </c>
      <c r="X5649" t="s">
        <v>41257</v>
      </c>
    </row>
    <row r="5650" spans="1:24">
      <c r="A5650">
        <f>HYPERLINK("https://www.philgeps.gov.ph/GEPSNONPILOT/Tender/SplashBidNoticeAbstractUI.aspx?menuIndex=3&amp;refID=7072402&amp;Result=3","7072402")</f>
        <v>0</v>
      </c>
      <c r="B5650" t="s">
        <v>222</v>
      </c>
      <c r="C5650" t="s">
        <v>8774</v>
      </c>
      <c r="D5650" t="s">
        <v>16611</v>
      </c>
      <c r="E5650" t="s">
        <v>19420</v>
      </c>
      <c r="F5650" t="s">
        <v>28669</v>
      </c>
      <c r="G5650" t="s">
        <v>28675</v>
      </c>
      <c r="H5650" t="s">
        <v>9998</v>
      </c>
      <c r="I5650" t="s">
        <v>28687</v>
      </c>
      <c r="J5650" t="s">
        <v>32413</v>
      </c>
      <c r="K5650" t="s">
        <v>37221</v>
      </c>
      <c r="M5650" t="s">
        <v>37700</v>
      </c>
      <c r="N5650" t="s">
        <v>41249</v>
      </c>
      <c r="O5650" t="s">
        <v>41250</v>
      </c>
      <c r="P5650">
        <v>0</v>
      </c>
      <c r="Q5650">
        <v>2</v>
      </c>
      <c r="R5650" t="s">
        <v>41255</v>
      </c>
      <c r="S5650" t="s">
        <v>41442</v>
      </c>
      <c r="T5650" t="s">
        <v>42855</v>
      </c>
      <c r="U5650" t="s">
        <v>47895</v>
      </c>
      <c r="W5650" t="s">
        <v>37700</v>
      </c>
      <c r="X5650" t="s">
        <v>41256</v>
      </c>
    </row>
    <row r="5651" spans="1:24">
      <c r="A5651">
        <f>HYPERLINK("https://www.philgeps.gov.ph/GEPSNONPILOT/Tender/SplashBidNoticeAbstractUI.aspx?menuIndex=3&amp;refID=7072400&amp;Result=3","7072400")</f>
        <v>0</v>
      </c>
      <c r="B5651" t="s">
        <v>140</v>
      </c>
      <c r="C5651" t="s">
        <v>8775</v>
      </c>
      <c r="D5651" t="s">
        <v>16652</v>
      </c>
      <c r="E5651" t="s">
        <v>21718</v>
      </c>
      <c r="F5651" t="s">
        <v>28669</v>
      </c>
      <c r="G5651" t="s">
        <v>28675</v>
      </c>
      <c r="H5651" t="s">
        <v>28686</v>
      </c>
      <c r="I5651" t="s">
        <v>28689</v>
      </c>
      <c r="J5651" t="s">
        <v>29003</v>
      </c>
      <c r="K5651" t="s">
        <v>37221</v>
      </c>
      <c r="M5651" t="s">
        <v>37617</v>
      </c>
      <c r="N5651" t="s">
        <v>41249</v>
      </c>
      <c r="O5651" t="s">
        <v>41250</v>
      </c>
      <c r="P5651">
        <v>0</v>
      </c>
      <c r="Q5651">
        <v>0</v>
      </c>
      <c r="R5651" t="s">
        <v>41255</v>
      </c>
      <c r="S5651" t="s">
        <v>41442</v>
      </c>
      <c r="T5651" t="s">
        <v>42810</v>
      </c>
      <c r="U5651" t="s">
        <v>46007</v>
      </c>
      <c r="W5651" t="s">
        <v>37617</v>
      </c>
      <c r="X5651" t="s">
        <v>41256</v>
      </c>
    </row>
    <row r="5652" spans="1:24">
      <c r="A5652">
        <f>HYPERLINK("https://www.philgeps.gov.ph/GEPSNONPILOT/Tender/SplashBidNoticeAbstractUI.aspx?menuIndex=3&amp;refID=7072389&amp;Result=3","7072389")</f>
        <v>0</v>
      </c>
      <c r="B5652" t="s">
        <v>1626</v>
      </c>
      <c r="C5652" t="s">
        <v>8776</v>
      </c>
      <c r="E5652" t="s">
        <v>21719</v>
      </c>
      <c r="F5652" t="s">
        <v>28669</v>
      </c>
      <c r="G5652" t="s">
        <v>28676</v>
      </c>
      <c r="H5652" t="s">
        <v>9998</v>
      </c>
      <c r="I5652" t="s">
        <v>28693</v>
      </c>
      <c r="J5652" t="s">
        <v>29225</v>
      </c>
      <c r="K5652" t="s">
        <v>37209</v>
      </c>
      <c r="M5652" t="s">
        <v>39212</v>
      </c>
      <c r="N5652" t="s">
        <v>41249</v>
      </c>
      <c r="O5652" t="s">
        <v>41250</v>
      </c>
      <c r="P5652">
        <v>0</v>
      </c>
      <c r="Q5652">
        <v>2</v>
      </c>
      <c r="R5652" t="s">
        <v>41255</v>
      </c>
      <c r="S5652" t="s">
        <v>41442</v>
      </c>
      <c r="T5652" t="s">
        <v>42938</v>
      </c>
      <c r="U5652" t="s">
        <v>47506</v>
      </c>
      <c r="W5652" t="s">
        <v>39212</v>
      </c>
      <c r="X5652" t="s">
        <v>41256</v>
      </c>
    </row>
    <row r="5653" spans="1:24">
      <c r="A5653">
        <f>HYPERLINK("https://www.philgeps.gov.ph/GEPSNONPILOT/Tender/SplashBidNoticeAbstractUI.aspx?menuIndex=3&amp;refID=7072419&amp;Result=3","7072419")</f>
        <v>0</v>
      </c>
      <c r="B5653" t="s">
        <v>1626</v>
      </c>
      <c r="C5653" t="s">
        <v>8777</v>
      </c>
      <c r="E5653" t="s">
        <v>21720</v>
      </c>
      <c r="F5653" t="s">
        <v>28669</v>
      </c>
      <c r="G5653" t="s">
        <v>28676</v>
      </c>
      <c r="H5653" t="s">
        <v>9998</v>
      </c>
      <c r="I5653" t="s">
        <v>28744</v>
      </c>
      <c r="J5653" t="s">
        <v>32414</v>
      </c>
      <c r="K5653" t="s">
        <v>37209</v>
      </c>
      <c r="M5653" t="s">
        <v>39212</v>
      </c>
      <c r="N5653" t="s">
        <v>41249</v>
      </c>
      <c r="O5653" t="s">
        <v>41250</v>
      </c>
      <c r="P5653">
        <v>0</v>
      </c>
      <c r="Q5653">
        <v>0</v>
      </c>
      <c r="R5653" t="s">
        <v>41255</v>
      </c>
      <c r="S5653" t="s">
        <v>41442</v>
      </c>
      <c r="T5653" t="s">
        <v>42938</v>
      </c>
      <c r="U5653" t="s">
        <v>47506</v>
      </c>
      <c r="W5653" t="s">
        <v>39212</v>
      </c>
      <c r="X5653" t="s">
        <v>41256</v>
      </c>
    </row>
    <row r="5654" spans="1:24">
      <c r="A5654">
        <f>HYPERLINK("https://www.philgeps.gov.ph/GEPSNONPILOT/Tender/SplashBidNoticeAbstractUI.aspx?menuIndex=3&amp;refID=7072386&amp;Result=3","7072386")</f>
        <v>0</v>
      </c>
      <c r="B5654" t="s">
        <v>1626</v>
      </c>
      <c r="C5654" t="s">
        <v>8778</v>
      </c>
      <c r="E5654" t="s">
        <v>21721</v>
      </c>
      <c r="F5654" t="s">
        <v>28669</v>
      </c>
      <c r="G5654" t="s">
        <v>28676</v>
      </c>
      <c r="H5654" t="s">
        <v>9998</v>
      </c>
      <c r="I5654" t="s">
        <v>28693</v>
      </c>
      <c r="J5654" t="s">
        <v>29263</v>
      </c>
      <c r="K5654" t="s">
        <v>37209</v>
      </c>
      <c r="M5654" t="s">
        <v>39212</v>
      </c>
      <c r="N5654" t="s">
        <v>41249</v>
      </c>
      <c r="O5654" t="s">
        <v>41250</v>
      </c>
      <c r="P5654">
        <v>0</v>
      </c>
      <c r="Q5654">
        <v>4</v>
      </c>
      <c r="R5654" t="s">
        <v>41255</v>
      </c>
      <c r="S5654" t="s">
        <v>41442</v>
      </c>
      <c r="T5654" t="s">
        <v>42938</v>
      </c>
      <c r="U5654" t="s">
        <v>47506</v>
      </c>
      <c r="W5654" t="s">
        <v>39212</v>
      </c>
      <c r="X5654" t="s">
        <v>41256</v>
      </c>
    </row>
    <row r="5655" spans="1:24">
      <c r="A5655">
        <f>HYPERLINK("https://www.philgeps.gov.ph/GEPSNONPILOT/Tender/SplashBidNoticeAbstractUI.aspx?menuIndex=3&amp;refID=7072411&amp;Result=3","7072411")</f>
        <v>0</v>
      </c>
      <c r="B5655" t="s">
        <v>1920</v>
      </c>
      <c r="C5655" t="s">
        <v>8779</v>
      </c>
      <c r="D5655" t="s">
        <v>16648</v>
      </c>
      <c r="E5655" t="s">
        <v>21722</v>
      </c>
      <c r="F5655" t="s">
        <v>28669</v>
      </c>
      <c r="G5655" t="s">
        <v>28679</v>
      </c>
      <c r="H5655" t="s">
        <v>9998</v>
      </c>
      <c r="I5655" t="s">
        <v>28808</v>
      </c>
      <c r="J5655" t="s">
        <v>32415</v>
      </c>
      <c r="K5655" t="s">
        <v>37209</v>
      </c>
      <c r="M5655" t="s">
        <v>39547</v>
      </c>
      <c r="N5655" t="s">
        <v>41249</v>
      </c>
      <c r="O5655" t="s">
        <v>41250</v>
      </c>
      <c r="Q5655">
        <v>5</v>
      </c>
      <c r="R5655" t="s">
        <v>41255</v>
      </c>
      <c r="S5655" t="s">
        <v>41449</v>
      </c>
      <c r="T5655" t="s">
        <v>42792</v>
      </c>
      <c r="U5655" t="s">
        <v>47896</v>
      </c>
      <c r="W5655" t="s">
        <v>39547</v>
      </c>
      <c r="X5655" t="s">
        <v>41256</v>
      </c>
    </row>
    <row r="5656" spans="1:24">
      <c r="A5656">
        <f>HYPERLINK("https://www.philgeps.gov.ph/GEPSNONPILOT/Tender/SplashBidNoticeAbstractUI.aspx?menuIndex=3&amp;refID=7072534&amp;Result=3","7072534")</f>
        <v>0</v>
      </c>
      <c r="B5656" t="s">
        <v>416</v>
      </c>
      <c r="C5656" t="s">
        <v>8780</v>
      </c>
      <c r="D5656" t="s">
        <v>16615</v>
      </c>
      <c r="E5656" t="s">
        <v>21723</v>
      </c>
      <c r="F5656" t="s">
        <v>28669</v>
      </c>
      <c r="G5656" t="s">
        <v>28675</v>
      </c>
      <c r="H5656" t="s">
        <v>9998</v>
      </c>
      <c r="I5656" t="s">
        <v>7352</v>
      </c>
      <c r="J5656" t="s">
        <v>32416</v>
      </c>
      <c r="K5656" t="s">
        <v>37206</v>
      </c>
      <c r="M5656" t="s">
        <v>37901</v>
      </c>
      <c r="N5656" t="s">
        <v>41249</v>
      </c>
      <c r="O5656" t="s">
        <v>41250</v>
      </c>
      <c r="P5656">
        <v>0</v>
      </c>
      <c r="Q5656">
        <v>2</v>
      </c>
      <c r="R5656" t="s">
        <v>41255</v>
      </c>
      <c r="S5656" t="s">
        <v>41442</v>
      </c>
      <c r="T5656" t="s">
        <v>42694</v>
      </c>
      <c r="U5656" t="s">
        <v>47897</v>
      </c>
      <c r="W5656" t="s">
        <v>37901</v>
      </c>
      <c r="X5656" t="s">
        <v>41256</v>
      </c>
    </row>
    <row r="5657" spans="1:24">
      <c r="A5657">
        <f>HYPERLINK("https://www.philgeps.gov.ph/GEPSNONPILOT/Tender/SplashBidNoticeAbstractUI.aspx?menuIndex=3&amp;refID=7072387&amp;Result=3","7072387")</f>
        <v>0</v>
      </c>
      <c r="B5657" t="s">
        <v>1626</v>
      </c>
      <c r="C5657" t="s">
        <v>8781</v>
      </c>
      <c r="E5657" t="s">
        <v>21724</v>
      </c>
      <c r="F5657" t="s">
        <v>28669</v>
      </c>
      <c r="G5657" t="s">
        <v>28676</v>
      </c>
      <c r="H5657" t="s">
        <v>9998</v>
      </c>
      <c r="I5657" t="s">
        <v>28693</v>
      </c>
      <c r="J5657" t="s">
        <v>28879</v>
      </c>
      <c r="K5657" t="s">
        <v>37209</v>
      </c>
      <c r="M5657" t="s">
        <v>39212</v>
      </c>
      <c r="N5657" t="s">
        <v>41249</v>
      </c>
      <c r="O5657" t="s">
        <v>41250</v>
      </c>
      <c r="P5657">
        <v>0</v>
      </c>
      <c r="Q5657">
        <v>2</v>
      </c>
      <c r="R5657" t="s">
        <v>41255</v>
      </c>
      <c r="S5657" t="s">
        <v>41442</v>
      </c>
      <c r="T5657" t="s">
        <v>42938</v>
      </c>
      <c r="U5657" t="s">
        <v>47506</v>
      </c>
      <c r="W5657" t="s">
        <v>39212</v>
      </c>
      <c r="X5657" t="s">
        <v>41256</v>
      </c>
    </row>
    <row r="5658" spans="1:24">
      <c r="A5658">
        <f>HYPERLINK("https://www.philgeps.gov.ph/GEPSNONPILOT/Tender/SplashBidNoticeAbstractUI.aspx?menuIndex=3&amp;refID=7072397&amp;Result=3","7072397")</f>
        <v>0</v>
      </c>
      <c r="B5658" t="s">
        <v>222</v>
      </c>
      <c r="C5658" t="s">
        <v>8782</v>
      </c>
      <c r="D5658" t="s">
        <v>16611</v>
      </c>
      <c r="E5658" t="s">
        <v>21725</v>
      </c>
      <c r="F5658" t="s">
        <v>28669</v>
      </c>
      <c r="G5658" t="s">
        <v>28675</v>
      </c>
      <c r="H5658" t="s">
        <v>9998</v>
      </c>
      <c r="I5658" t="s">
        <v>28687</v>
      </c>
      <c r="J5658" t="s">
        <v>30025</v>
      </c>
      <c r="K5658" t="s">
        <v>37221</v>
      </c>
      <c r="M5658" t="s">
        <v>37700</v>
      </c>
      <c r="N5658" t="s">
        <v>41249</v>
      </c>
      <c r="O5658" t="s">
        <v>41250</v>
      </c>
      <c r="P5658">
        <v>0</v>
      </c>
      <c r="Q5658">
        <v>3</v>
      </c>
      <c r="R5658" t="s">
        <v>41255</v>
      </c>
      <c r="S5658" t="s">
        <v>41442</v>
      </c>
      <c r="T5658" t="s">
        <v>42855</v>
      </c>
      <c r="U5658" t="s">
        <v>47898</v>
      </c>
      <c r="W5658" t="s">
        <v>37700</v>
      </c>
      <c r="X5658" t="s">
        <v>41256</v>
      </c>
    </row>
    <row r="5659" spans="1:24">
      <c r="A5659">
        <f>HYPERLINK("https://www.philgeps.gov.ph/GEPSNONPILOT/Tender/SplashBidNoticeAbstractUI.aspx?menuIndex=3&amp;refID=7072528&amp;Result=3","7072528")</f>
        <v>0</v>
      </c>
      <c r="B5659" t="s">
        <v>416</v>
      </c>
      <c r="C5659" t="s">
        <v>8783</v>
      </c>
      <c r="D5659" t="s">
        <v>16615</v>
      </c>
      <c r="E5659" t="s">
        <v>21135</v>
      </c>
      <c r="F5659" t="s">
        <v>28669</v>
      </c>
      <c r="G5659" t="s">
        <v>28675</v>
      </c>
      <c r="H5659" t="s">
        <v>9998</v>
      </c>
      <c r="I5659" t="s">
        <v>7352</v>
      </c>
      <c r="J5659" t="s">
        <v>29512</v>
      </c>
      <c r="K5659" t="s">
        <v>37206</v>
      </c>
      <c r="M5659" t="s">
        <v>37901</v>
      </c>
      <c r="N5659" t="s">
        <v>41249</v>
      </c>
      <c r="O5659" t="s">
        <v>41250</v>
      </c>
      <c r="P5659">
        <v>0</v>
      </c>
      <c r="Q5659">
        <v>2</v>
      </c>
      <c r="R5659" t="s">
        <v>41255</v>
      </c>
      <c r="S5659" t="s">
        <v>41442</v>
      </c>
      <c r="T5659" t="s">
        <v>42694</v>
      </c>
      <c r="U5659" t="s">
        <v>47899</v>
      </c>
      <c r="W5659" t="s">
        <v>37901</v>
      </c>
      <c r="X5659" t="s">
        <v>41256</v>
      </c>
    </row>
    <row r="5660" spans="1:24">
      <c r="A5660">
        <f>HYPERLINK("https://www.philgeps.gov.ph/GEPSNONPILOT/Tender/SplashBidNoticeAbstractUI.aspx?menuIndex=3&amp;refID=7072520&amp;Result=3","7072520")</f>
        <v>0</v>
      </c>
      <c r="B5660" t="s">
        <v>1921</v>
      </c>
      <c r="C5660" t="s">
        <v>8784</v>
      </c>
      <c r="D5660" t="s">
        <v>16692</v>
      </c>
      <c r="E5660" t="s">
        <v>21726</v>
      </c>
      <c r="F5660" t="s">
        <v>28669</v>
      </c>
      <c r="G5660" t="s">
        <v>28675</v>
      </c>
      <c r="H5660" t="s">
        <v>9998</v>
      </c>
      <c r="I5660" t="s">
        <v>28687</v>
      </c>
      <c r="J5660" t="s">
        <v>28847</v>
      </c>
      <c r="K5660" t="s">
        <v>37204</v>
      </c>
      <c r="M5660" t="s">
        <v>39548</v>
      </c>
      <c r="N5660" t="s">
        <v>41249</v>
      </c>
      <c r="O5660" t="s">
        <v>41250</v>
      </c>
      <c r="P5660">
        <v>0</v>
      </c>
      <c r="Q5660">
        <v>6</v>
      </c>
      <c r="R5660" t="s">
        <v>41255</v>
      </c>
      <c r="S5660" t="s">
        <v>41442</v>
      </c>
      <c r="T5660" t="s">
        <v>42747</v>
      </c>
      <c r="U5660" t="s">
        <v>47900</v>
      </c>
      <c r="V5660" t="s">
        <v>54887</v>
      </c>
      <c r="W5660" t="s">
        <v>39548</v>
      </c>
      <c r="X5660" t="s">
        <v>41256</v>
      </c>
    </row>
    <row r="5661" spans="1:24">
      <c r="A5661">
        <f>HYPERLINK("https://www.philgeps.gov.ph/GEPSNONPILOT/Tender/SplashBidNoticeAbstractUI.aspx?menuIndex=3&amp;refID=7072533&amp;Result=3","7072533")</f>
        <v>0</v>
      </c>
      <c r="B5661" t="s">
        <v>1922</v>
      </c>
      <c r="C5661" t="s">
        <v>8785</v>
      </c>
      <c r="D5661" t="s">
        <v>16658</v>
      </c>
      <c r="E5661" t="s">
        <v>16707</v>
      </c>
      <c r="F5661" t="s">
        <v>28669</v>
      </c>
      <c r="G5661" t="s">
        <v>28675</v>
      </c>
      <c r="H5661" t="s">
        <v>9998</v>
      </c>
      <c r="I5661" t="s">
        <v>7352</v>
      </c>
      <c r="J5661" t="s">
        <v>32417</v>
      </c>
      <c r="K5661" t="s">
        <v>37210</v>
      </c>
      <c r="M5661" t="s">
        <v>39549</v>
      </c>
      <c r="N5661" t="s">
        <v>41249</v>
      </c>
      <c r="O5661" t="s">
        <v>41250</v>
      </c>
      <c r="P5661">
        <v>0</v>
      </c>
      <c r="Q5661">
        <v>0</v>
      </c>
      <c r="R5661" t="s">
        <v>41255</v>
      </c>
      <c r="S5661" t="s">
        <v>41442</v>
      </c>
      <c r="T5661" t="s">
        <v>42754</v>
      </c>
      <c r="U5661" t="s">
        <v>47901</v>
      </c>
      <c r="W5661" t="s">
        <v>39549</v>
      </c>
      <c r="X5661" t="s">
        <v>41256</v>
      </c>
    </row>
    <row r="5662" spans="1:24">
      <c r="A5662">
        <f>HYPERLINK("https://www.philgeps.gov.ph/GEPSNONPILOT/Tender/SplashBidNoticeAbstractUI.aspx?menuIndex=3&amp;refID=7072512&amp;Result=3","7072512")</f>
        <v>0</v>
      </c>
      <c r="B5662" t="s">
        <v>1917</v>
      </c>
      <c r="C5662" t="s">
        <v>8786</v>
      </c>
      <c r="D5662" t="s">
        <v>16620</v>
      </c>
      <c r="E5662" t="s">
        <v>21727</v>
      </c>
      <c r="F5662" t="s">
        <v>28669</v>
      </c>
      <c r="G5662" t="s">
        <v>28676</v>
      </c>
      <c r="H5662" t="s">
        <v>9998</v>
      </c>
      <c r="I5662" t="s">
        <v>6128</v>
      </c>
      <c r="J5662" t="s">
        <v>32418</v>
      </c>
      <c r="K5662" t="s">
        <v>37209</v>
      </c>
      <c r="M5662" t="s">
        <v>39544</v>
      </c>
      <c r="N5662" t="s">
        <v>41249</v>
      </c>
      <c r="O5662" t="s">
        <v>41250</v>
      </c>
      <c r="P5662">
        <v>0</v>
      </c>
      <c r="Q5662">
        <v>1</v>
      </c>
      <c r="R5662" t="s">
        <v>41255</v>
      </c>
      <c r="S5662" t="s">
        <v>41442</v>
      </c>
      <c r="T5662" t="s">
        <v>42858</v>
      </c>
      <c r="U5662" t="s">
        <v>47902</v>
      </c>
      <c r="W5662" t="s">
        <v>39544</v>
      </c>
      <c r="X5662" t="s">
        <v>41256</v>
      </c>
    </row>
    <row r="5663" spans="1:24">
      <c r="A5663">
        <f>HYPERLINK("https://www.philgeps.gov.ph/GEPSNONPILOT/Tender/SplashBidNoticeAbstractUI.aspx?menuIndex=3&amp;refID=7072391&amp;Result=3","7072391")</f>
        <v>0</v>
      </c>
      <c r="B5663" t="s">
        <v>1920</v>
      </c>
      <c r="C5663" t="s">
        <v>8787</v>
      </c>
      <c r="D5663" t="s">
        <v>16648</v>
      </c>
      <c r="E5663" t="s">
        <v>21728</v>
      </c>
      <c r="F5663" t="s">
        <v>28669</v>
      </c>
      <c r="G5663" t="s">
        <v>28675</v>
      </c>
      <c r="H5663" t="s">
        <v>9998</v>
      </c>
      <c r="I5663" t="s">
        <v>11593</v>
      </c>
      <c r="J5663" t="s">
        <v>28847</v>
      </c>
      <c r="K5663" t="s">
        <v>37209</v>
      </c>
      <c r="M5663" t="s">
        <v>39547</v>
      </c>
      <c r="N5663" t="s">
        <v>41249</v>
      </c>
      <c r="O5663" t="s">
        <v>41250</v>
      </c>
      <c r="P5663">
        <v>0</v>
      </c>
      <c r="Q5663">
        <v>7</v>
      </c>
      <c r="R5663" t="s">
        <v>41255</v>
      </c>
      <c r="S5663" t="s">
        <v>41442</v>
      </c>
      <c r="T5663" t="s">
        <v>42716</v>
      </c>
      <c r="U5663" t="s">
        <v>47903</v>
      </c>
      <c r="W5663" t="s">
        <v>39547</v>
      </c>
      <c r="X5663" t="s">
        <v>41256</v>
      </c>
    </row>
    <row r="5664" spans="1:24">
      <c r="A5664">
        <f>HYPERLINK("https://www.philgeps.gov.ph/GEPSNONPILOT/Tender/SplashBidNoticeAbstractUI.aspx?menuIndex=3&amp;refID=7072505&amp;Result=3","7072505")</f>
        <v>0</v>
      </c>
      <c r="B5664" t="s">
        <v>1917</v>
      </c>
      <c r="C5664" t="s">
        <v>8788</v>
      </c>
      <c r="D5664" t="s">
        <v>16620</v>
      </c>
      <c r="E5664" t="s">
        <v>21729</v>
      </c>
      <c r="F5664" t="s">
        <v>28669</v>
      </c>
      <c r="G5664" t="s">
        <v>28676</v>
      </c>
      <c r="H5664" t="s">
        <v>9998</v>
      </c>
      <c r="I5664" t="s">
        <v>6606</v>
      </c>
      <c r="J5664" t="s">
        <v>32419</v>
      </c>
      <c r="K5664" t="s">
        <v>37209</v>
      </c>
      <c r="M5664" t="s">
        <v>39544</v>
      </c>
      <c r="N5664" t="s">
        <v>41249</v>
      </c>
      <c r="O5664" t="s">
        <v>41250</v>
      </c>
      <c r="P5664">
        <v>0</v>
      </c>
      <c r="Q5664">
        <v>0</v>
      </c>
      <c r="R5664" t="s">
        <v>41255</v>
      </c>
      <c r="S5664" t="s">
        <v>41442</v>
      </c>
      <c r="T5664" t="s">
        <v>42858</v>
      </c>
      <c r="U5664" t="s">
        <v>47902</v>
      </c>
      <c r="W5664" t="s">
        <v>39544</v>
      </c>
      <c r="X5664" t="s">
        <v>41256</v>
      </c>
    </row>
    <row r="5665" spans="1:24">
      <c r="A5665">
        <f>HYPERLINK("https://www.philgeps.gov.ph/GEPSNONPILOT/Tender/SplashBidNoticeAbstractUI.aspx?menuIndex=3&amp;refID=7072404&amp;Result=3","7072404")</f>
        <v>0</v>
      </c>
      <c r="B5665" t="s">
        <v>1626</v>
      </c>
      <c r="C5665" t="s">
        <v>8789</v>
      </c>
      <c r="E5665" t="s">
        <v>21730</v>
      </c>
      <c r="F5665" t="s">
        <v>28669</v>
      </c>
      <c r="G5665" t="s">
        <v>28676</v>
      </c>
      <c r="H5665" t="s">
        <v>9998</v>
      </c>
      <c r="I5665" t="s">
        <v>28744</v>
      </c>
      <c r="J5665" t="s">
        <v>32420</v>
      </c>
      <c r="K5665" t="s">
        <v>37209</v>
      </c>
      <c r="M5665" t="s">
        <v>39212</v>
      </c>
      <c r="N5665" t="s">
        <v>41249</v>
      </c>
      <c r="O5665" t="s">
        <v>41250</v>
      </c>
      <c r="P5665">
        <v>0</v>
      </c>
      <c r="Q5665">
        <v>1</v>
      </c>
      <c r="R5665" t="s">
        <v>41255</v>
      </c>
      <c r="S5665" t="s">
        <v>41442</v>
      </c>
      <c r="T5665" t="s">
        <v>42938</v>
      </c>
      <c r="U5665" t="s">
        <v>47506</v>
      </c>
      <c r="W5665" t="s">
        <v>39212</v>
      </c>
      <c r="X5665" t="s">
        <v>41256</v>
      </c>
    </row>
    <row r="5666" spans="1:24">
      <c r="A5666">
        <f>HYPERLINK("https://www.philgeps.gov.ph/GEPSNONPILOT/Tender/SplashBidNoticeAbstractUI.aspx?menuIndex=3&amp;refID=7072493&amp;Result=3","7072493")</f>
        <v>0</v>
      </c>
      <c r="B5666" t="s">
        <v>1917</v>
      </c>
      <c r="C5666" t="s">
        <v>8790</v>
      </c>
      <c r="D5666" t="s">
        <v>16620</v>
      </c>
      <c r="E5666" t="s">
        <v>21731</v>
      </c>
      <c r="F5666" t="s">
        <v>28669</v>
      </c>
      <c r="G5666" t="s">
        <v>28675</v>
      </c>
      <c r="H5666" t="s">
        <v>9998</v>
      </c>
      <c r="I5666" t="s">
        <v>11593</v>
      </c>
      <c r="J5666" t="s">
        <v>29225</v>
      </c>
      <c r="K5666" t="s">
        <v>37209</v>
      </c>
      <c r="M5666" t="s">
        <v>39544</v>
      </c>
      <c r="N5666" t="s">
        <v>41249</v>
      </c>
      <c r="O5666" t="s">
        <v>41250</v>
      </c>
      <c r="P5666">
        <v>0</v>
      </c>
      <c r="Q5666">
        <v>0</v>
      </c>
      <c r="R5666" t="s">
        <v>41255</v>
      </c>
      <c r="S5666" t="s">
        <v>41442</v>
      </c>
      <c r="T5666" t="s">
        <v>42858</v>
      </c>
      <c r="U5666" t="s">
        <v>47904</v>
      </c>
      <c r="W5666" t="s">
        <v>39544</v>
      </c>
      <c r="X5666" t="s">
        <v>41256</v>
      </c>
    </row>
    <row r="5667" spans="1:24">
      <c r="A5667">
        <f>HYPERLINK("https://www.philgeps.gov.ph/GEPSNONPILOT/Tender/SplashBidNoticeAbstractUI.aspx?menuIndex=3&amp;refID=7072673&amp;Result=3","7072673")</f>
        <v>0</v>
      </c>
      <c r="B5667" t="s">
        <v>1923</v>
      </c>
      <c r="C5667" t="s">
        <v>8791</v>
      </c>
      <c r="D5667" t="s">
        <v>16664</v>
      </c>
      <c r="E5667" t="s">
        <v>21732</v>
      </c>
      <c r="F5667" t="s">
        <v>28669</v>
      </c>
      <c r="G5667" t="s">
        <v>28679</v>
      </c>
      <c r="H5667" t="s">
        <v>9998</v>
      </c>
      <c r="I5667" t="s">
        <v>6128</v>
      </c>
      <c r="J5667" t="s">
        <v>32421</v>
      </c>
      <c r="K5667" t="s">
        <v>37206</v>
      </c>
      <c r="M5667" t="s">
        <v>39550</v>
      </c>
      <c r="N5667" t="s">
        <v>41249</v>
      </c>
      <c r="O5667" t="s">
        <v>41250</v>
      </c>
      <c r="P5667">
        <v>0</v>
      </c>
      <c r="Q5667">
        <v>0</v>
      </c>
      <c r="R5667" t="s">
        <v>41255</v>
      </c>
      <c r="S5667" t="s">
        <v>41442</v>
      </c>
      <c r="T5667" t="s">
        <v>42673</v>
      </c>
      <c r="U5667" t="s">
        <v>47905</v>
      </c>
      <c r="W5667" t="s">
        <v>39550</v>
      </c>
      <c r="X5667" t="s">
        <v>41256</v>
      </c>
    </row>
    <row r="5668" spans="1:24">
      <c r="A5668">
        <f>HYPERLINK("https://www.philgeps.gov.ph/GEPSNONPILOT/Tender/SplashBidNoticeAbstractUI.aspx?menuIndex=3&amp;refID=7072516&amp;Result=3","7072516")</f>
        <v>0</v>
      </c>
      <c r="B5668" t="s">
        <v>1917</v>
      </c>
      <c r="C5668" t="s">
        <v>8792</v>
      </c>
      <c r="D5668" t="s">
        <v>16620</v>
      </c>
      <c r="E5668" t="s">
        <v>21733</v>
      </c>
      <c r="F5668" t="s">
        <v>28669</v>
      </c>
      <c r="G5668" t="s">
        <v>28676</v>
      </c>
      <c r="H5668" t="s">
        <v>9998</v>
      </c>
      <c r="I5668" t="s">
        <v>28809</v>
      </c>
      <c r="J5668" t="s">
        <v>30675</v>
      </c>
      <c r="K5668" t="s">
        <v>37209</v>
      </c>
      <c r="M5668" t="s">
        <v>39544</v>
      </c>
      <c r="N5668" t="s">
        <v>41249</v>
      </c>
      <c r="O5668" t="s">
        <v>41250</v>
      </c>
      <c r="P5668">
        <v>0</v>
      </c>
      <c r="Q5668">
        <v>1</v>
      </c>
      <c r="R5668" t="s">
        <v>41255</v>
      </c>
      <c r="S5668" t="s">
        <v>41442</v>
      </c>
      <c r="T5668" t="s">
        <v>42858</v>
      </c>
      <c r="U5668" t="s">
        <v>47902</v>
      </c>
      <c r="W5668" t="s">
        <v>39544</v>
      </c>
      <c r="X5668" t="s">
        <v>41256</v>
      </c>
    </row>
    <row r="5669" spans="1:24">
      <c r="A5669">
        <f>HYPERLINK("https://www.philgeps.gov.ph/GEPSNONPILOT/Tender/SplashBidNoticeAbstractUI.aspx?menuIndex=3&amp;refID=7072416&amp;Result=3","7072416")</f>
        <v>0</v>
      </c>
      <c r="B5669" t="s">
        <v>1924</v>
      </c>
      <c r="C5669" t="s">
        <v>8793</v>
      </c>
      <c r="D5669" t="s">
        <v>16608</v>
      </c>
      <c r="E5669" t="s">
        <v>21734</v>
      </c>
      <c r="F5669" t="s">
        <v>28669</v>
      </c>
      <c r="G5669" t="s">
        <v>28675</v>
      </c>
      <c r="H5669" t="s">
        <v>9998</v>
      </c>
      <c r="I5669" t="s">
        <v>5213</v>
      </c>
      <c r="J5669" t="s">
        <v>32422</v>
      </c>
      <c r="K5669" t="s">
        <v>37208</v>
      </c>
      <c r="M5669" t="s">
        <v>39551</v>
      </c>
      <c r="N5669" t="s">
        <v>41249</v>
      </c>
      <c r="O5669" t="s">
        <v>41250</v>
      </c>
      <c r="P5669">
        <v>0</v>
      </c>
      <c r="Q5669">
        <v>0</v>
      </c>
      <c r="R5669" t="s">
        <v>41255</v>
      </c>
      <c r="S5669" t="s">
        <v>41442</v>
      </c>
      <c r="T5669" t="s">
        <v>42675</v>
      </c>
      <c r="U5669" t="s">
        <v>47906</v>
      </c>
      <c r="W5669" t="s">
        <v>39551</v>
      </c>
      <c r="X5669" t="s">
        <v>41256</v>
      </c>
    </row>
    <row r="5670" spans="1:24">
      <c r="A5670">
        <f>HYPERLINK("https://www.philgeps.gov.ph/GEPSNONPILOT/Tender/SplashBidNoticeAbstractUI.aspx?menuIndex=3&amp;refID=7072532&amp;Result=3","7072532")</f>
        <v>0</v>
      </c>
      <c r="B5670" t="s">
        <v>1925</v>
      </c>
      <c r="C5670" t="s">
        <v>8794</v>
      </c>
      <c r="D5670" t="s">
        <v>16654</v>
      </c>
      <c r="E5670" t="s">
        <v>21735</v>
      </c>
      <c r="F5670" t="s">
        <v>28669</v>
      </c>
      <c r="G5670" t="s">
        <v>28675</v>
      </c>
      <c r="H5670" t="s">
        <v>28686</v>
      </c>
      <c r="I5670" t="s">
        <v>28689</v>
      </c>
      <c r="J5670" t="s">
        <v>32423</v>
      </c>
      <c r="K5670" t="s">
        <v>37204</v>
      </c>
      <c r="M5670" t="s">
        <v>39552</v>
      </c>
      <c r="N5670" t="s">
        <v>41249</v>
      </c>
      <c r="O5670" t="s">
        <v>41250</v>
      </c>
      <c r="P5670">
        <v>0</v>
      </c>
      <c r="Q5670">
        <v>0</v>
      </c>
      <c r="R5670" t="s">
        <v>41255</v>
      </c>
      <c r="S5670" t="s">
        <v>41442</v>
      </c>
      <c r="T5670" t="s">
        <v>42717</v>
      </c>
      <c r="U5670" t="s">
        <v>47907</v>
      </c>
      <c r="W5670" t="s">
        <v>39552</v>
      </c>
      <c r="X5670" t="s">
        <v>41256</v>
      </c>
    </row>
    <row r="5671" spans="1:24">
      <c r="A5671">
        <f>HYPERLINK("https://www.philgeps.gov.ph/GEPSNONPILOT/Tender/SplashBidNoticeAbstractUI.aspx?menuIndex=3&amp;refID=7072655&amp;Result=3","7072655")</f>
        <v>0</v>
      </c>
      <c r="B5671" t="s">
        <v>1926</v>
      </c>
      <c r="C5671" t="s">
        <v>8795</v>
      </c>
      <c r="D5671" t="s">
        <v>16654</v>
      </c>
      <c r="E5671" t="s">
        <v>21736</v>
      </c>
      <c r="F5671" t="s">
        <v>28669</v>
      </c>
      <c r="G5671" t="s">
        <v>28676</v>
      </c>
      <c r="H5671" t="s">
        <v>9998</v>
      </c>
      <c r="I5671" t="s">
        <v>28695</v>
      </c>
      <c r="J5671" t="s">
        <v>28879</v>
      </c>
      <c r="K5671" t="s">
        <v>37209</v>
      </c>
      <c r="M5671" t="s">
        <v>39553</v>
      </c>
      <c r="N5671" t="s">
        <v>41249</v>
      </c>
      <c r="O5671" t="s">
        <v>41250</v>
      </c>
      <c r="P5671">
        <v>0</v>
      </c>
      <c r="Q5671">
        <v>0</v>
      </c>
      <c r="R5671" t="s">
        <v>41255</v>
      </c>
      <c r="S5671" t="s">
        <v>41442</v>
      </c>
      <c r="T5671" t="s">
        <v>42883</v>
      </c>
      <c r="U5671" t="s">
        <v>45588</v>
      </c>
      <c r="W5671" t="s">
        <v>39553</v>
      </c>
      <c r="X5671" t="s">
        <v>41256</v>
      </c>
    </row>
    <row r="5672" spans="1:24">
      <c r="A5672">
        <f>HYPERLINK("https://www.philgeps.gov.ph/GEPSNONPILOT/Tender/SplashBidNoticeAbstractUI.aspx?menuIndex=3&amp;refID=7072653&amp;Result=3","7072653")</f>
        <v>0</v>
      </c>
      <c r="B5672" t="s">
        <v>1923</v>
      </c>
      <c r="C5672" t="s">
        <v>8796</v>
      </c>
      <c r="D5672" t="s">
        <v>16664</v>
      </c>
      <c r="E5672" t="s">
        <v>21737</v>
      </c>
      <c r="F5672" t="s">
        <v>28669</v>
      </c>
      <c r="G5672" t="s">
        <v>28675</v>
      </c>
      <c r="H5672" t="s">
        <v>28686</v>
      </c>
      <c r="I5672" t="s">
        <v>28689</v>
      </c>
      <c r="J5672" t="s">
        <v>28877</v>
      </c>
      <c r="K5672" t="s">
        <v>37227</v>
      </c>
      <c r="M5672" t="s">
        <v>39550</v>
      </c>
      <c r="N5672" t="s">
        <v>41249</v>
      </c>
      <c r="O5672" t="s">
        <v>41250</v>
      </c>
      <c r="P5672">
        <v>0</v>
      </c>
      <c r="Q5672">
        <v>0</v>
      </c>
      <c r="R5672" t="s">
        <v>41255</v>
      </c>
      <c r="S5672" t="s">
        <v>41442</v>
      </c>
      <c r="T5672" t="s">
        <v>42673</v>
      </c>
      <c r="U5672" t="s">
        <v>47908</v>
      </c>
      <c r="W5672" t="s">
        <v>39550</v>
      </c>
      <c r="X5672" t="s">
        <v>41256</v>
      </c>
    </row>
    <row r="5673" spans="1:24">
      <c r="A5673">
        <f>HYPERLINK("https://www.philgeps.gov.ph/GEPSNONPILOT/Tender/SplashBidNoticeAbstractUI.aspx?menuIndex=3&amp;refID=7072395&amp;Result=3","7072395")</f>
        <v>0</v>
      </c>
      <c r="B5673" t="s">
        <v>1626</v>
      </c>
      <c r="C5673" t="s">
        <v>8797</v>
      </c>
      <c r="E5673" t="s">
        <v>21738</v>
      </c>
      <c r="F5673" t="s">
        <v>28669</v>
      </c>
      <c r="G5673" t="s">
        <v>28676</v>
      </c>
      <c r="H5673" t="s">
        <v>9998</v>
      </c>
      <c r="I5673" t="s">
        <v>28693</v>
      </c>
      <c r="J5673" t="s">
        <v>31046</v>
      </c>
      <c r="K5673" t="s">
        <v>37209</v>
      </c>
      <c r="M5673" t="s">
        <v>39212</v>
      </c>
      <c r="N5673" t="s">
        <v>41249</v>
      </c>
      <c r="O5673" t="s">
        <v>41250</v>
      </c>
      <c r="P5673">
        <v>0</v>
      </c>
      <c r="Q5673">
        <v>4</v>
      </c>
      <c r="R5673" t="s">
        <v>41255</v>
      </c>
      <c r="S5673" t="s">
        <v>41442</v>
      </c>
      <c r="T5673" t="s">
        <v>42938</v>
      </c>
      <c r="U5673" t="s">
        <v>47506</v>
      </c>
      <c r="W5673" t="s">
        <v>39212</v>
      </c>
      <c r="X5673" t="s">
        <v>41256</v>
      </c>
    </row>
    <row r="5674" spans="1:24">
      <c r="A5674">
        <f>HYPERLINK("https://www.philgeps.gov.ph/GEPSNONPILOT/Tender/SplashBidNoticeAbstractUI.aspx?menuIndex=3&amp;refID=7072663&amp;Result=3","7072663")</f>
        <v>0</v>
      </c>
      <c r="B5674" t="s">
        <v>1923</v>
      </c>
      <c r="C5674" t="s">
        <v>8798</v>
      </c>
      <c r="D5674" t="s">
        <v>16664</v>
      </c>
      <c r="E5674" t="s">
        <v>21739</v>
      </c>
      <c r="F5674" t="s">
        <v>28669</v>
      </c>
      <c r="G5674" t="s">
        <v>28675</v>
      </c>
      <c r="H5674" t="s">
        <v>28686</v>
      </c>
      <c r="I5674" t="s">
        <v>28689</v>
      </c>
      <c r="J5674" t="s">
        <v>28877</v>
      </c>
      <c r="K5674" t="s">
        <v>37205</v>
      </c>
      <c r="M5674" t="s">
        <v>39550</v>
      </c>
      <c r="N5674" t="s">
        <v>41249</v>
      </c>
      <c r="O5674" t="s">
        <v>41250</v>
      </c>
      <c r="P5674">
        <v>0</v>
      </c>
      <c r="Q5674">
        <v>0</v>
      </c>
      <c r="R5674" t="s">
        <v>41255</v>
      </c>
      <c r="S5674" t="s">
        <v>41442</v>
      </c>
      <c r="T5674" t="s">
        <v>42673</v>
      </c>
      <c r="U5674" t="s">
        <v>47909</v>
      </c>
      <c r="W5674" t="s">
        <v>39550</v>
      </c>
      <c r="X5674" t="s">
        <v>41256</v>
      </c>
    </row>
    <row r="5675" spans="1:24">
      <c r="A5675">
        <f>HYPERLINK("https://www.philgeps.gov.ph/GEPSNONPILOT/Tender/SplashBidNoticeAbstractUI.aspx?menuIndex=3&amp;refID=7072628&amp;Result=3","7072628")</f>
        <v>0</v>
      </c>
      <c r="B5675" t="s">
        <v>1927</v>
      </c>
      <c r="C5675" t="s">
        <v>8799</v>
      </c>
      <c r="D5675" t="s">
        <v>16608</v>
      </c>
      <c r="E5675" t="s">
        <v>21740</v>
      </c>
      <c r="F5675" t="s">
        <v>28669</v>
      </c>
      <c r="G5675" t="s">
        <v>28676</v>
      </c>
      <c r="H5675" t="s">
        <v>9998</v>
      </c>
      <c r="I5675" t="s">
        <v>11593</v>
      </c>
      <c r="J5675" t="s">
        <v>29247</v>
      </c>
      <c r="K5675" t="s">
        <v>37272</v>
      </c>
      <c r="M5675" t="s">
        <v>39554</v>
      </c>
      <c r="N5675" t="s">
        <v>41249</v>
      </c>
      <c r="O5675" t="s">
        <v>41250</v>
      </c>
      <c r="P5675">
        <v>0</v>
      </c>
      <c r="Q5675">
        <v>6</v>
      </c>
      <c r="R5675" t="s">
        <v>41255</v>
      </c>
      <c r="S5675" t="s">
        <v>41442</v>
      </c>
      <c r="T5675" t="s">
        <v>42883</v>
      </c>
      <c r="U5675" t="s">
        <v>47910</v>
      </c>
      <c r="V5675" t="s">
        <v>54888</v>
      </c>
      <c r="W5675" t="s">
        <v>39554</v>
      </c>
      <c r="X5675" t="s">
        <v>41256</v>
      </c>
    </row>
    <row r="5676" spans="1:24">
      <c r="A5676">
        <f>HYPERLINK("https://www.philgeps.gov.ph/GEPSNONPILOT/Tender/SplashBidNoticeAbstractUI.aspx?menuIndex=3&amp;refID=7072490&amp;Result=3","7072490")</f>
        <v>0</v>
      </c>
      <c r="B5676" t="s">
        <v>1917</v>
      </c>
      <c r="C5676" t="s">
        <v>8800</v>
      </c>
      <c r="D5676" t="s">
        <v>16620</v>
      </c>
      <c r="E5676" t="s">
        <v>21741</v>
      </c>
      <c r="F5676" t="s">
        <v>28669</v>
      </c>
      <c r="G5676" t="s">
        <v>28675</v>
      </c>
      <c r="H5676" t="s">
        <v>9998</v>
      </c>
      <c r="I5676" t="s">
        <v>3718</v>
      </c>
      <c r="J5676" t="s">
        <v>32424</v>
      </c>
      <c r="K5676" t="s">
        <v>37209</v>
      </c>
      <c r="M5676" t="s">
        <v>39544</v>
      </c>
      <c r="N5676" t="s">
        <v>41249</v>
      </c>
      <c r="O5676" t="s">
        <v>41250</v>
      </c>
      <c r="P5676">
        <v>0</v>
      </c>
      <c r="Q5676">
        <v>1</v>
      </c>
      <c r="R5676" t="s">
        <v>41255</v>
      </c>
      <c r="S5676" t="s">
        <v>41442</v>
      </c>
      <c r="T5676" t="s">
        <v>42858</v>
      </c>
      <c r="U5676" t="s">
        <v>47904</v>
      </c>
      <c r="W5676" t="s">
        <v>39544</v>
      </c>
      <c r="X5676" t="s">
        <v>41256</v>
      </c>
    </row>
    <row r="5677" spans="1:24">
      <c r="A5677">
        <f>HYPERLINK("https://www.philgeps.gov.ph/GEPSNONPILOT/Tender/SplashBidNoticeAbstractUI.aspx?menuIndex=3&amp;refID=7072643&amp;Result=3","7072643")</f>
        <v>0</v>
      </c>
      <c r="B5677" t="s">
        <v>1926</v>
      </c>
      <c r="C5677" t="s">
        <v>8801</v>
      </c>
      <c r="D5677" t="s">
        <v>16654</v>
      </c>
      <c r="E5677" t="s">
        <v>21742</v>
      </c>
      <c r="F5677" t="s">
        <v>28669</v>
      </c>
      <c r="G5677" t="s">
        <v>28675</v>
      </c>
      <c r="H5677" t="s">
        <v>9998</v>
      </c>
      <c r="I5677" t="s">
        <v>28754</v>
      </c>
      <c r="J5677" t="s">
        <v>28914</v>
      </c>
      <c r="K5677" t="s">
        <v>37209</v>
      </c>
      <c r="M5677" t="s">
        <v>39553</v>
      </c>
      <c r="N5677" t="s">
        <v>41249</v>
      </c>
      <c r="O5677" t="s">
        <v>41250</v>
      </c>
      <c r="P5677">
        <v>0</v>
      </c>
      <c r="Q5677">
        <v>1</v>
      </c>
      <c r="R5677" t="s">
        <v>41255</v>
      </c>
      <c r="S5677" t="s">
        <v>41442</v>
      </c>
      <c r="T5677" t="s">
        <v>42757</v>
      </c>
      <c r="U5677" t="s">
        <v>47911</v>
      </c>
      <c r="W5677" t="s">
        <v>39553</v>
      </c>
      <c r="X5677" t="s">
        <v>41256</v>
      </c>
    </row>
    <row r="5678" spans="1:24">
      <c r="A5678">
        <f>HYPERLINK("https://www.philgeps.gov.ph/GEPSNONPILOT/Tender/SplashBidNoticeAbstractUI.aspx?menuIndex=3&amp;refID=7072593&amp;Result=3","7072593")</f>
        <v>0</v>
      </c>
      <c r="B5678" t="s">
        <v>1928</v>
      </c>
      <c r="C5678" t="s">
        <v>8802</v>
      </c>
      <c r="D5678" t="s">
        <v>16673</v>
      </c>
      <c r="E5678" t="s">
        <v>21743</v>
      </c>
      <c r="F5678" t="s">
        <v>28669</v>
      </c>
      <c r="G5678" t="s">
        <v>28675</v>
      </c>
      <c r="H5678" t="s">
        <v>9998</v>
      </c>
      <c r="I5678" t="s">
        <v>3718</v>
      </c>
      <c r="J5678" t="s">
        <v>32425</v>
      </c>
      <c r="K5678" t="s">
        <v>37205</v>
      </c>
      <c r="M5678" t="s">
        <v>39555</v>
      </c>
      <c r="N5678" t="s">
        <v>41249</v>
      </c>
      <c r="O5678" t="s">
        <v>41250</v>
      </c>
      <c r="P5678">
        <v>0</v>
      </c>
      <c r="Q5678">
        <v>5</v>
      </c>
      <c r="R5678" t="s">
        <v>41255</v>
      </c>
      <c r="S5678" t="s">
        <v>41442</v>
      </c>
      <c r="T5678" t="s">
        <v>42694</v>
      </c>
      <c r="U5678" t="s">
        <v>47912</v>
      </c>
      <c r="W5678" t="s">
        <v>39555</v>
      </c>
      <c r="X5678" t="s">
        <v>41256</v>
      </c>
    </row>
    <row r="5679" spans="1:24">
      <c r="A5679">
        <f>HYPERLINK("https://www.philgeps.gov.ph/GEPSNONPILOT/Tender/SplashBidNoticeAbstractUI.aspx?menuIndex=3&amp;refID=7072668&amp;Result=3","7072668")</f>
        <v>0</v>
      </c>
      <c r="B5679" t="s">
        <v>1926</v>
      </c>
      <c r="C5679" t="s">
        <v>8803</v>
      </c>
      <c r="D5679" t="s">
        <v>16654</v>
      </c>
      <c r="E5679" t="s">
        <v>21744</v>
      </c>
      <c r="F5679" t="s">
        <v>28669</v>
      </c>
      <c r="G5679" t="s">
        <v>28676</v>
      </c>
      <c r="H5679" t="s">
        <v>9998</v>
      </c>
      <c r="I5679" t="s">
        <v>5286</v>
      </c>
      <c r="J5679" t="s">
        <v>32426</v>
      </c>
      <c r="K5679" t="s">
        <v>37209</v>
      </c>
      <c r="M5679" t="s">
        <v>39553</v>
      </c>
      <c r="N5679" t="s">
        <v>41249</v>
      </c>
      <c r="O5679" t="s">
        <v>41250</v>
      </c>
      <c r="P5679">
        <v>0</v>
      </c>
      <c r="Q5679">
        <v>2</v>
      </c>
      <c r="R5679" t="s">
        <v>41255</v>
      </c>
      <c r="S5679" t="s">
        <v>41442</v>
      </c>
      <c r="T5679" t="s">
        <v>42701</v>
      </c>
      <c r="U5679" t="s">
        <v>45588</v>
      </c>
      <c r="V5679" t="s">
        <v>54889</v>
      </c>
      <c r="W5679" t="s">
        <v>39553</v>
      </c>
      <c r="X5679" t="s">
        <v>41256</v>
      </c>
    </row>
    <row r="5680" spans="1:24">
      <c r="A5680">
        <f>HYPERLINK("https://www.philgeps.gov.ph/GEPSNONPILOT/Tender/SplashBidNoticeAbstractUI.aspx?menuIndex=3&amp;refID=7072660&amp;Result=3","7072660")</f>
        <v>0</v>
      </c>
      <c r="B5680" t="s">
        <v>1926</v>
      </c>
      <c r="C5680" t="s">
        <v>8804</v>
      </c>
      <c r="D5680" t="s">
        <v>16654</v>
      </c>
      <c r="E5680" t="s">
        <v>21745</v>
      </c>
      <c r="F5680" t="s">
        <v>28669</v>
      </c>
      <c r="G5680" t="s">
        <v>28676</v>
      </c>
      <c r="H5680" t="s">
        <v>28686</v>
      </c>
      <c r="I5680" t="s">
        <v>28689</v>
      </c>
      <c r="J5680" t="s">
        <v>28826</v>
      </c>
      <c r="K5680" t="s">
        <v>37243</v>
      </c>
      <c r="M5680" t="s">
        <v>39553</v>
      </c>
      <c r="N5680" t="s">
        <v>41249</v>
      </c>
      <c r="O5680" t="s">
        <v>41250</v>
      </c>
      <c r="P5680">
        <v>0</v>
      </c>
      <c r="Q5680">
        <v>0</v>
      </c>
      <c r="R5680" t="s">
        <v>41255</v>
      </c>
      <c r="S5680" t="s">
        <v>41442</v>
      </c>
      <c r="T5680" t="s">
        <v>42701</v>
      </c>
      <c r="U5680" t="s">
        <v>45588</v>
      </c>
      <c r="W5680" t="s">
        <v>39553</v>
      </c>
      <c r="X5680" t="s">
        <v>41256</v>
      </c>
    </row>
    <row r="5681" spans="1:24">
      <c r="A5681">
        <f>HYPERLINK("https://www.philgeps.gov.ph/GEPSNONPILOT/Tender/SplashBidNoticeAbstractUI.aspx?menuIndex=3&amp;refID=7072582&amp;Result=3","7072582")</f>
        <v>0</v>
      </c>
      <c r="B5681" t="s">
        <v>1928</v>
      </c>
      <c r="C5681" t="s">
        <v>4663</v>
      </c>
      <c r="D5681" t="s">
        <v>16673</v>
      </c>
      <c r="E5681" t="s">
        <v>21746</v>
      </c>
      <c r="F5681" t="s">
        <v>28669</v>
      </c>
      <c r="G5681" t="s">
        <v>28675</v>
      </c>
      <c r="H5681" t="s">
        <v>9998</v>
      </c>
      <c r="I5681" t="s">
        <v>6128</v>
      </c>
      <c r="J5681" t="s">
        <v>32427</v>
      </c>
      <c r="K5681" t="s">
        <v>37205</v>
      </c>
      <c r="M5681" t="s">
        <v>39555</v>
      </c>
      <c r="N5681" t="s">
        <v>41249</v>
      </c>
      <c r="O5681" t="s">
        <v>41250</v>
      </c>
      <c r="P5681">
        <v>0</v>
      </c>
      <c r="Q5681">
        <v>3</v>
      </c>
      <c r="R5681" t="s">
        <v>41255</v>
      </c>
      <c r="S5681" t="s">
        <v>41442</v>
      </c>
      <c r="T5681" t="s">
        <v>42694</v>
      </c>
      <c r="U5681" t="s">
        <v>47912</v>
      </c>
      <c r="W5681" t="s">
        <v>39555</v>
      </c>
      <c r="X5681" t="s">
        <v>41256</v>
      </c>
    </row>
    <row r="5682" spans="1:24">
      <c r="A5682">
        <f>HYPERLINK("https://www.philgeps.gov.ph/GEPSNONPILOT/Tender/SplashBidNoticeAbstractUI.aspx?menuIndex=3&amp;refID=7072640&amp;Result=3","7072640")</f>
        <v>0</v>
      </c>
      <c r="B5682" t="s">
        <v>1923</v>
      </c>
      <c r="C5682" t="s">
        <v>8805</v>
      </c>
      <c r="D5682" t="s">
        <v>16664</v>
      </c>
      <c r="E5682" t="s">
        <v>21747</v>
      </c>
      <c r="F5682" t="s">
        <v>28669</v>
      </c>
      <c r="G5682" t="s">
        <v>28675</v>
      </c>
      <c r="H5682" t="s">
        <v>28686</v>
      </c>
      <c r="I5682" t="s">
        <v>28689</v>
      </c>
      <c r="J5682" t="s">
        <v>28877</v>
      </c>
      <c r="K5682" t="s">
        <v>37205</v>
      </c>
      <c r="M5682" t="s">
        <v>39550</v>
      </c>
      <c r="N5682" t="s">
        <v>41249</v>
      </c>
      <c r="O5682" t="s">
        <v>41250</v>
      </c>
      <c r="P5682">
        <v>0</v>
      </c>
      <c r="Q5682">
        <v>0</v>
      </c>
      <c r="R5682" t="s">
        <v>41255</v>
      </c>
      <c r="S5682" t="s">
        <v>41442</v>
      </c>
      <c r="T5682" t="s">
        <v>42673</v>
      </c>
      <c r="U5682" t="s">
        <v>47913</v>
      </c>
      <c r="W5682" t="s">
        <v>39550</v>
      </c>
      <c r="X5682" t="s">
        <v>41256</v>
      </c>
    </row>
    <row r="5683" spans="1:24">
      <c r="A5683">
        <f>HYPERLINK("https://www.philgeps.gov.ph/GEPSNONPILOT/Tender/SplashBidNoticeAbstractUI.aspx?menuIndex=3&amp;refID=7072652&amp;Result=3","7072652")</f>
        <v>0</v>
      </c>
      <c r="B5683" t="s">
        <v>1926</v>
      </c>
      <c r="C5683" t="s">
        <v>8806</v>
      </c>
      <c r="D5683" t="s">
        <v>16654</v>
      </c>
      <c r="E5683" t="s">
        <v>21748</v>
      </c>
      <c r="F5683" t="s">
        <v>28669</v>
      </c>
      <c r="G5683" t="s">
        <v>28676</v>
      </c>
      <c r="H5683" t="s">
        <v>9998</v>
      </c>
      <c r="I5683" t="s">
        <v>28792</v>
      </c>
      <c r="J5683" t="s">
        <v>29657</v>
      </c>
      <c r="K5683" t="s">
        <v>37209</v>
      </c>
      <c r="M5683" t="s">
        <v>39553</v>
      </c>
      <c r="N5683" t="s">
        <v>41249</v>
      </c>
      <c r="O5683" t="s">
        <v>41250</v>
      </c>
      <c r="P5683">
        <v>0</v>
      </c>
      <c r="Q5683">
        <v>3</v>
      </c>
      <c r="R5683" t="s">
        <v>41255</v>
      </c>
      <c r="S5683" t="s">
        <v>41442</v>
      </c>
      <c r="T5683" t="s">
        <v>42883</v>
      </c>
      <c r="U5683" t="s">
        <v>45588</v>
      </c>
      <c r="W5683" t="s">
        <v>39553</v>
      </c>
      <c r="X5683" t="s">
        <v>41256</v>
      </c>
    </row>
    <row r="5684" spans="1:24">
      <c r="A5684">
        <f>HYPERLINK("https://www.philgeps.gov.ph/GEPSNONPILOT/Tender/SplashBidNoticeAbstractUI.aspx?menuIndex=3&amp;refID=7072734&amp;Result=3","7072734")</f>
        <v>0</v>
      </c>
      <c r="B5684" t="s">
        <v>1929</v>
      </c>
      <c r="C5684" t="s">
        <v>8807</v>
      </c>
      <c r="D5684" t="s">
        <v>16643</v>
      </c>
      <c r="E5684" t="s">
        <v>21749</v>
      </c>
      <c r="F5684" t="s">
        <v>28669</v>
      </c>
      <c r="G5684" t="s">
        <v>28675</v>
      </c>
      <c r="H5684" t="s">
        <v>28686</v>
      </c>
      <c r="I5684" t="s">
        <v>28689</v>
      </c>
      <c r="J5684" t="s">
        <v>32428</v>
      </c>
      <c r="K5684" t="s">
        <v>37255</v>
      </c>
      <c r="M5684" t="s">
        <v>39556</v>
      </c>
      <c r="N5684" t="s">
        <v>41249</v>
      </c>
      <c r="O5684" t="s">
        <v>41250</v>
      </c>
      <c r="P5684">
        <v>0</v>
      </c>
      <c r="Q5684">
        <v>0</v>
      </c>
      <c r="R5684" t="s">
        <v>41255</v>
      </c>
      <c r="S5684" t="s">
        <v>41442</v>
      </c>
      <c r="T5684" t="s">
        <v>42742</v>
      </c>
      <c r="U5684" t="s">
        <v>47914</v>
      </c>
      <c r="W5684" t="s">
        <v>39556</v>
      </c>
      <c r="X5684" t="s">
        <v>41256</v>
      </c>
    </row>
    <row r="5685" spans="1:24">
      <c r="A5685">
        <f>HYPERLINK("https://www.philgeps.gov.ph/GEPSNONPILOT/Tender/SplashBidNoticeAbstractUI.aspx?menuIndex=3&amp;refID=7072606&amp;Result=3","7072606")</f>
        <v>0</v>
      </c>
      <c r="B5685" t="s">
        <v>1930</v>
      </c>
      <c r="C5685" t="s">
        <v>8808</v>
      </c>
      <c r="D5685" t="s">
        <v>16678</v>
      </c>
      <c r="E5685" t="s">
        <v>21750</v>
      </c>
      <c r="F5685" t="s">
        <v>28669</v>
      </c>
      <c r="G5685" t="s">
        <v>28676</v>
      </c>
      <c r="H5685" t="s">
        <v>9998</v>
      </c>
      <c r="I5685" t="s">
        <v>28704</v>
      </c>
      <c r="J5685" t="s">
        <v>32429</v>
      </c>
      <c r="K5685" t="s">
        <v>37206</v>
      </c>
      <c r="M5685" t="s">
        <v>39557</v>
      </c>
      <c r="N5685" t="s">
        <v>41249</v>
      </c>
      <c r="O5685" t="s">
        <v>41250</v>
      </c>
      <c r="P5685">
        <v>0</v>
      </c>
      <c r="Q5685">
        <v>0</v>
      </c>
      <c r="R5685" t="s">
        <v>41255</v>
      </c>
      <c r="S5685" t="s">
        <v>41442</v>
      </c>
      <c r="T5685" t="s">
        <v>42711</v>
      </c>
      <c r="U5685" t="s">
        <v>47915</v>
      </c>
      <c r="W5685" t="s">
        <v>39557</v>
      </c>
      <c r="X5685" t="s">
        <v>41256</v>
      </c>
    </row>
    <row r="5686" spans="1:24">
      <c r="A5686">
        <f>HYPERLINK("https://www.philgeps.gov.ph/GEPSNONPILOT/Tender/SplashBidNoticeAbstractUI.aspx?menuIndex=3&amp;refID=7072732&amp;Result=3","7072732")</f>
        <v>0</v>
      </c>
      <c r="B5686" t="s">
        <v>1931</v>
      </c>
      <c r="C5686" t="s">
        <v>8809</v>
      </c>
      <c r="E5686" t="s">
        <v>21751</v>
      </c>
      <c r="F5686" t="s">
        <v>28669</v>
      </c>
      <c r="G5686" t="s">
        <v>28675</v>
      </c>
      <c r="H5686" t="s">
        <v>28686</v>
      </c>
      <c r="I5686" t="s">
        <v>28689</v>
      </c>
      <c r="J5686" t="s">
        <v>32430</v>
      </c>
      <c r="K5686" t="s">
        <v>37220</v>
      </c>
      <c r="M5686" t="s">
        <v>39558</v>
      </c>
      <c r="N5686" t="s">
        <v>41249</v>
      </c>
      <c r="O5686" t="s">
        <v>41250</v>
      </c>
      <c r="P5686">
        <v>0</v>
      </c>
      <c r="Q5686">
        <v>0</v>
      </c>
      <c r="R5686" t="s">
        <v>41255</v>
      </c>
      <c r="S5686" t="s">
        <v>41442</v>
      </c>
      <c r="T5686" t="s">
        <v>42700</v>
      </c>
      <c r="U5686" t="s">
        <v>47916</v>
      </c>
      <c r="W5686" t="s">
        <v>39558</v>
      </c>
      <c r="X5686" t="s">
        <v>41256</v>
      </c>
    </row>
    <row r="5687" spans="1:24">
      <c r="A5687">
        <f>HYPERLINK("https://www.philgeps.gov.ph/GEPSNONPILOT/Tender/SplashBidNoticeAbstractUI.aspx?menuIndex=3&amp;refID=7072727&amp;Result=3","7072727")</f>
        <v>0</v>
      </c>
      <c r="B5687" t="s">
        <v>850</v>
      </c>
      <c r="C5687" t="s">
        <v>8810</v>
      </c>
      <c r="D5687" t="s">
        <v>16686</v>
      </c>
      <c r="E5687" t="s">
        <v>21752</v>
      </c>
      <c r="F5687" t="s">
        <v>28669</v>
      </c>
      <c r="G5687" t="s">
        <v>28675</v>
      </c>
      <c r="H5687" t="s">
        <v>9998</v>
      </c>
      <c r="I5687" t="s">
        <v>28787</v>
      </c>
      <c r="J5687" t="s">
        <v>32431</v>
      </c>
      <c r="K5687" t="s">
        <v>37209</v>
      </c>
      <c r="M5687" t="s">
        <v>38366</v>
      </c>
      <c r="N5687" t="s">
        <v>41249</v>
      </c>
      <c r="O5687" t="s">
        <v>41250</v>
      </c>
      <c r="P5687">
        <v>0</v>
      </c>
      <c r="Q5687">
        <v>2</v>
      </c>
      <c r="R5687" t="s">
        <v>41255</v>
      </c>
      <c r="S5687" t="s">
        <v>41442</v>
      </c>
      <c r="T5687" t="s">
        <v>42696</v>
      </c>
      <c r="U5687" t="s">
        <v>47917</v>
      </c>
      <c r="W5687" t="s">
        <v>38366</v>
      </c>
      <c r="X5687" t="s">
        <v>41256</v>
      </c>
    </row>
    <row r="5688" spans="1:24">
      <c r="A5688">
        <f>HYPERLINK("https://www.philgeps.gov.ph/GEPSNONPILOT/Tender/SplashBidNoticeAbstractUI.aspx?menuIndex=3&amp;refID=7072741&amp;Result=3","7072741")</f>
        <v>0</v>
      </c>
      <c r="B5688" t="s">
        <v>1931</v>
      </c>
      <c r="C5688" t="s">
        <v>8811</v>
      </c>
      <c r="E5688" t="s">
        <v>21753</v>
      </c>
      <c r="F5688" t="s">
        <v>28669</v>
      </c>
      <c r="G5688" t="s">
        <v>28675</v>
      </c>
      <c r="H5688" t="s">
        <v>28686</v>
      </c>
      <c r="I5688" t="s">
        <v>28689</v>
      </c>
      <c r="J5688" t="s">
        <v>32432</v>
      </c>
      <c r="K5688" t="s">
        <v>37206</v>
      </c>
      <c r="M5688" t="s">
        <v>39558</v>
      </c>
      <c r="N5688" t="s">
        <v>41249</v>
      </c>
      <c r="O5688" t="s">
        <v>41250</v>
      </c>
      <c r="P5688">
        <v>0</v>
      </c>
      <c r="Q5688">
        <v>0</v>
      </c>
      <c r="R5688" t="s">
        <v>41255</v>
      </c>
      <c r="S5688" t="s">
        <v>41442</v>
      </c>
      <c r="T5688" t="s">
        <v>42700</v>
      </c>
      <c r="U5688" t="s">
        <v>47918</v>
      </c>
      <c r="W5688" t="s">
        <v>39558</v>
      </c>
      <c r="X5688" t="s">
        <v>41256</v>
      </c>
    </row>
    <row r="5689" spans="1:24">
      <c r="A5689">
        <f>HYPERLINK("https://www.philgeps.gov.ph/GEPSNONPILOT/Tender/SplashBidNoticeAbstractUI.aspx?menuIndex=3&amp;refID=7072739&amp;Result=3","7072739")</f>
        <v>0</v>
      </c>
      <c r="B5689" t="s">
        <v>1331</v>
      </c>
      <c r="C5689" t="s">
        <v>8812</v>
      </c>
      <c r="D5689" t="s">
        <v>16634</v>
      </c>
      <c r="E5689" t="s">
        <v>21754</v>
      </c>
      <c r="F5689" t="s">
        <v>28669</v>
      </c>
      <c r="G5689" t="s">
        <v>28675</v>
      </c>
      <c r="H5689" t="s">
        <v>28686</v>
      </c>
      <c r="I5689" t="s">
        <v>28689</v>
      </c>
      <c r="J5689" t="s">
        <v>32433</v>
      </c>
      <c r="K5689" t="s">
        <v>37211</v>
      </c>
      <c r="L5689" t="s">
        <v>1331</v>
      </c>
      <c r="M5689" t="s">
        <v>38885</v>
      </c>
      <c r="N5689" t="s">
        <v>41249</v>
      </c>
      <c r="O5689" t="s">
        <v>41250</v>
      </c>
      <c r="P5689">
        <v>0</v>
      </c>
      <c r="Q5689">
        <v>0</v>
      </c>
      <c r="R5689" t="s">
        <v>41255</v>
      </c>
      <c r="S5689" t="s">
        <v>41442</v>
      </c>
      <c r="T5689" t="s">
        <v>42873</v>
      </c>
      <c r="U5689" t="s">
        <v>47919</v>
      </c>
      <c r="W5689" t="s">
        <v>38885</v>
      </c>
      <c r="X5689" t="s">
        <v>41256</v>
      </c>
    </row>
    <row r="5690" spans="1:24">
      <c r="A5690">
        <f>HYPERLINK("https://www.philgeps.gov.ph/GEPSNONPILOT/Tender/SplashBidNoticeAbstractUI.aspx?menuIndex=3&amp;refID=7072721&amp;Result=3","7072721")</f>
        <v>0</v>
      </c>
      <c r="B5690" t="s">
        <v>850</v>
      </c>
      <c r="C5690" t="s">
        <v>8813</v>
      </c>
      <c r="D5690" t="s">
        <v>16686</v>
      </c>
      <c r="E5690" t="s">
        <v>21755</v>
      </c>
      <c r="F5690" t="s">
        <v>28669</v>
      </c>
      <c r="G5690" t="s">
        <v>28675</v>
      </c>
      <c r="H5690" t="s">
        <v>28686</v>
      </c>
      <c r="I5690" t="s">
        <v>28689</v>
      </c>
      <c r="J5690" t="s">
        <v>28924</v>
      </c>
      <c r="K5690" t="s">
        <v>37209</v>
      </c>
      <c r="M5690" t="s">
        <v>38366</v>
      </c>
      <c r="N5690" t="s">
        <v>41249</v>
      </c>
      <c r="O5690" t="s">
        <v>41250</v>
      </c>
      <c r="P5690">
        <v>0</v>
      </c>
      <c r="Q5690">
        <v>0</v>
      </c>
      <c r="R5690" t="s">
        <v>41255</v>
      </c>
      <c r="S5690" t="s">
        <v>41442</v>
      </c>
      <c r="T5690" t="s">
        <v>42692</v>
      </c>
      <c r="U5690" t="s">
        <v>47920</v>
      </c>
      <c r="W5690" t="s">
        <v>38366</v>
      </c>
      <c r="X5690" t="s">
        <v>41256</v>
      </c>
    </row>
    <row r="5691" spans="1:24">
      <c r="A5691">
        <f>HYPERLINK("https://www.philgeps.gov.ph/GEPSNONPILOT/Tender/SplashBidNoticeAbstractUI.aspx?menuIndex=3&amp;refID=7072726&amp;Result=3","7072726")</f>
        <v>0</v>
      </c>
      <c r="B5691" t="s">
        <v>1932</v>
      </c>
      <c r="C5691" t="s">
        <v>8814</v>
      </c>
      <c r="D5691" t="s">
        <v>16642</v>
      </c>
      <c r="E5691" t="s">
        <v>17415</v>
      </c>
      <c r="F5691" t="s">
        <v>28669</v>
      </c>
      <c r="G5691" t="s">
        <v>28677</v>
      </c>
      <c r="H5691" t="s">
        <v>9998</v>
      </c>
      <c r="I5691" t="s">
        <v>28741</v>
      </c>
      <c r="J5691" t="s">
        <v>32434</v>
      </c>
      <c r="K5691" t="s">
        <v>37234</v>
      </c>
      <c r="M5691" t="s">
        <v>39559</v>
      </c>
      <c r="N5691" t="s">
        <v>41249</v>
      </c>
      <c r="O5691" t="s">
        <v>41250</v>
      </c>
      <c r="P5691">
        <v>0</v>
      </c>
      <c r="Q5691">
        <v>2</v>
      </c>
      <c r="R5691" t="s">
        <v>41255</v>
      </c>
      <c r="S5691" t="s">
        <v>41442</v>
      </c>
      <c r="T5691" t="s">
        <v>42767</v>
      </c>
      <c r="U5691" t="s">
        <v>47921</v>
      </c>
      <c r="W5691" t="s">
        <v>39559</v>
      </c>
      <c r="X5691" t="s">
        <v>41256</v>
      </c>
    </row>
    <row r="5692" spans="1:24">
      <c r="A5692">
        <f>HYPERLINK("https://www.philgeps.gov.ph/GEPSNONPILOT/Tender/SplashBidNoticeAbstractUI.aspx?menuIndex=3&amp;refID=7072722&amp;Result=3","7072722")</f>
        <v>0</v>
      </c>
      <c r="B5692" t="s">
        <v>1933</v>
      </c>
      <c r="C5692" t="s">
        <v>8815</v>
      </c>
      <c r="D5692" t="s">
        <v>16617</v>
      </c>
      <c r="E5692" t="s">
        <v>21135</v>
      </c>
      <c r="F5692" t="s">
        <v>28669</v>
      </c>
      <c r="G5692" t="s">
        <v>28675</v>
      </c>
      <c r="H5692" t="s">
        <v>9998</v>
      </c>
      <c r="I5692" t="s">
        <v>28708</v>
      </c>
      <c r="J5692" t="s">
        <v>29496</v>
      </c>
      <c r="K5692" t="s">
        <v>37206</v>
      </c>
      <c r="M5692" t="s">
        <v>39560</v>
      </c>
      <c r="N5692" t="s">
        <v>41249</v>
      </c>
      <c r="O5692" t="s">
        <v>41250</v>
      </c>
      <c r="P5692">
        <v>0</v>
      </c>
      <c r="Q5692">
        <v>1</v>
      </c>
      <c r="R5692" t="s">
        <v>41255</v>
      </c>
      <c r="S5692" t="s">
        <v>41442</v>
      </c>
      <c r="T5692" t="s">
        <v>42761</v>
      </c>
      <c r="U5692" t="s">
        <v>47922</v>
      </c>
      <c r="W5692" t="s">
        <v>39560</v>
      </c>
      <c r="X5692" t="s">
        <v>41256</v>
      </c>
    </row>
    <row r="5693" spans="1:24">
      <c r="A5693">
        <f>HYPERLINK("https://www.philgeps.gov.ph/GEPSNONPILOT/Tender/SplashBidNoticeAbstractUI.aspx?menuIndex=3&amp;refID=7072716&amp;Result=3","7072716")</f>
        <v>0</v>
      </c>
      <c r="B5693" t="s">
        <v>1934</v>
      </c>
      <c r="C5693" t="s">
        <v>8816</v>
      </c>
      <c r="D5693" t="s">
        <v>16644</v>
      </c>
      <c r="E5693" t="s">
        <v>21756</v>
      </c>
      <c r="F5693" t="s">
        <v>28669</v>
      </c>
      <c r="G5693" t="s">
        <v>28676</v>
      </c>
      <c r="H5693" t="s">
        <v>9998</v>
      </c>
      <c r="I5693" t="s">
        <v>15140</v>
      </c>
      <c r="J5693" t="s">
        <v>30904</v>
      </c>
      <c r="K5693" t="s">
        <v>37204</v>
      </c>
      <c r="M5693" t="s">
        <v>39561</v>
      </c>
      <c r="N5693" t="s">
        <v>41249</v>
      </c>
      <c r="O5693" t="s">
        <v>41250</v>
      </c>
      <c r="P5693">
        <v>0</v>
      </c>
      <c r="Q5693">
        <v>2</v>
      </c>
      <c r="R5693" t="s">
        <v>41255</v>
      </c>
      <c r="S5693" t="s">
        <v>41442</v>
      </c>
      <c r="T5693" t="s">
        <v>42729</v>
      </c>
      <c r="U5693" t="s">
        <v>47923</v>
      </c>
      <c r="W5693" t="s">
        <v>39561</v>
      </c>
      <c r="X5693" t="s">
        <v>41256</v>
      </c>
    </row>
    <row r="5694" spans="1:24">
      <c r="A5694">
        <f>HYPERLINK("https://www.philgeps.gov.ph/GEPSNONPILOT/Tender/SplashBidNoticeAbstractUI.aspx?menuIndex=3&amp;refID=7072715&amp;Result=3","7072715")</f>
        <v>0</v>
      </c>
      <c r="B5694" t="s">
        <v>1935</v>
      </c>
      <c r="C5694" t="s">
        <v>8817</v>
      </c>
      <c r="E5694" t="s">
        <v>21757</v>
      </c>
      <c r="F5694" t="s">
        <v>28669</v>
      </c>
      <c r="G5694" t="s">
        <v>28675</v>
      </c>
      <c r="H5694" t="s">
        <v>9998</v>
      </c>
      <c r="I5694" t="s">
        <v>6128</v>
      </c>
      <c r="J5694" t="s">
        <v>32435</v>
      </c>
      <c r="K5694" t="s">
        <v>37209</v>
      </c>
      <c r="M5694" t="s">
        <v>39562</v>
      </c>
      <c r="N5694" t="s">
        <v>41249</v>
      </c>
      <c r="O5694" t="s">
        <v>41250</v>
      </c>
      <c r="P5694">
        <v>0</v>
      </c>
      <c r="Q5694">
        <v>0</v>
      </c>
      <c r="R5694" t="s">
        <v>41255</v>
      </c>
      <c r="S5694" t="s">
        <v>41442</v>
      </c>
      <c r="T5694" t="s">
        <v>42738</v>
      </c>
      <c r="U5694" t="s">
        <v>47924</v>
      </c>
      <c r="W5694" t="s">
        <v>39562</v>
      </c>
      <c r="X5694" t="s">
        <v>41256</v>
      </c>
    </row>
    <row r="5695" spans="1:24">
      <c r="A5695">
        <f>HYPERLINK("https://www.philgeps.gov.ph/GEPSNONPILOT/Tender/SplashBidNoticeAbstractUI.aspx?menuIndex=3&amp;refID=7072729&amp;Result=3","7072729")</f>
        <v>0</v>
      </c>
      <c r="B5695" t="s">
        <v>1932</v>
      </c>
      <c r="C5695" t="s">
        <v>8814</v>
      </c>
      <c r="D5695" t="s">
        <v>16642</v>
      </c>
      <c r="E5695" t="s">
        <v>17415</v>
      </c>
      <c r="F5695" t="s">
        <v>28669</v>
      </c>
      <c r="G5695" t="s">
        <v>28677</v>
      </c>
      <c r="H5695" t="s">
        <v>9998</v>
      </c>
      <c r="I5695" t="s">
        <v>28741</v>
      </c>
      <c r="J5695" t="s">
        <v>32434</v>
      </c>
      <c r="K5695" t="s">
        <v>37234</v>
      </c>
      <c r="M5695" t="s">
        <v>39559</v>
      </c>
      <c r="N5695" t="s">
        <v>41249</v>
      </c>
      <c r="O5695" t="s">
        <v>41250</v>
      </c>
      <c r="P5695">
        <v>0</v>
      </c>
      <c r="Q5695">
        <v>0</v>
      </c>
      <c r="R5695" t="s">
        <v>41255</v>
      </c>
      <c r="S5695" t="s">
        <v>41442</v>
      </c>
      <c r="T5695" t="s">
        <v>42767</v>
      </c>
      <c r="U5695" t="s">
        <v>47925</v>
      </c>
      <c r="W5695" t="s">
        <v>39559</v>
      </c>
      <c r="X5695" t="s">
        <v>41256</v>
      </c>
    </row>
    <row r="5696" spans="1:24">
      <c r="A5696">
        <f>HYPERLINK("https://www.philgeps.gov.ph/GEPSNONPILOT/Tender/SplashBidNoticeAbstractUI.aspx?menuIndex=3&amp;refID=7072749&amp;Result=3","7072749")</f>
        <v>0</v>
      </c>
      <c r="B5696" t="s">
        <v>235</v>
      </c>
      <c r="C5696" t="s">
        <v>8818</v>
      </c>
      <c r="D5696" t="s">
        <v>16617</v>
      </c>
      <c r="E5696" t="s">
        <v>21758</v>
      </c>
      <c r="F5696" t="s">
        <v>28669</v>
      </c>
      <c r="G5696" t="s">
        <v>28675</v>
      </c>
      <c r="H5696" t="s">
        <v>9998</v>
      </c>
      <c r="I5696" t="s">
        <v>28752</v>
      </c>
      <c r="J5696" t="s">
        <v>32436</v>
      </c>
      <c r="K5696" t="s">
        <v>37207</v>
      </c>
      <c r="M5696" t="s">
        <v>39563</v>
      </c>
      <c r="N5696" t="s">
        <v>41249</v>
      </c>
      <c r="O5696" t="s">
        <v>41250</v>
      </c>
      <c r="P5696">
        <v>0</v>
      </c>
      <c r="Q5696">
        <v>1</v>
      </c>
      <c r="R5696" t="s">
        <v>41255</v>
      </c>
      <c r="S5696" t="s">
        <v>41442</v>
      </c>
      <c r="T5696" t="s">
        <v>42754</v>
      </c>
      <c r="U5696" t="s">
        <v>47926</v>
      </c>
      <c r="V5696" t="s">
        <v>54890</v>
      </c>
      <c r="W5696" t="s">
        <v>39563</v>
      </c>
      <c r="X5696" t="s">
        <v>41256</v>
      </c>
    </row>
    <row r="5697" spans="1:24">
      <c r="A5697">
        <f>HYPERLINK("https://www.philgeps.gov.ph/GEPSNONPILOT/Tender/SplashBidNoticeAbstractUI.aspx?menuIndex=3&amp;refID=7072718&amp;Result=3","7072718")</f>
        <v>0</v>
      </c>
      <c r="B5697" t="s">
        <v>1934</v>
      </c>
      <c r="C5697" t="s">
        <v>8819</v>
      </c>
      <c r="D5697" t="s">
        <v>16644</v>
      </c>
      <c r="E5697" t="s">
        <v>21759</v>
      </c>
      <c r="F5697" t="s">
        <v>28669</v>
      </c>
      <c r="G5697" t="s">
        <v>28676</v>
      </c>
      <c r="H5697" t="s">
        <v>9998</v>
      </c>
      <c r="I5697" t="s">
        <v>28745</v>
      </c>
      <c r="J5697" t="s">
        <v>29088</v>
      </c>
      <c r="K5697" t="s">
        <v>37205</v>
      </c>
      <c r="M5697" t="s">
        <v>39561</v>
      </c>
      <c r="N5697" t="s">
        <v>41249</v>
      </c>
      <c r="O5697" t="s">
        <v>41250</v>
      </c>
      <c r="P5697">
        <v>0</v>
      </c>
      <c r="Q5697">
        <v>1</v>
      </c>
      <c r="R5697" t="s">
        <v>41255</v>
      </c>
      <c r="S5697" t="s">
        <v>41442</v>
      </c>
      <c r="T5697" t="s">
        <v>42729</v>
      </c>
      <c r="U5697" t="s">
        <v>47923</v>
      </c>
      <c r="W5697" t="s">
        <v>39561</v>
      </c>
      <c r="X5697" t="s">
        <v>41256</v>
      </c>
    </row>
    <row r="5698" spans="1:24">
      <c r="A5698">
        <f>HYPERLINK("https://www.philgeps.gov.ph/GEPSNONPILOT/Tender/SplashBidNoticeAbstractUI.aspx?menuIndex=3&amp;refID=7065030&amp;Result=3","7065030")</f>
        <v>0</v>
      </c>
      <c r="B5698" t="s">
        <v>1936</v>
      </c>
      <c r="C5698" t="s">
        <v>8820</v>
      </c>
      <c r="D5698" t="s">
        <v>16667</v>
      </c>
      <c r="E5698" t="s">
        <v>21760</v>
      </c>
      <c r="F5698" t="s">
        <v>28669</v>
      </c>
      <c r="G5698" t="s">
        <v>28675</v>
      </c>
      <c r="H5698" t="s">
        <v>28686</v>
      </c>
      <c r="I5698" t="s">
        <v>28689</v>
      </c>
      <c r="J5698" t="s">
        <v>28879</v>
      </c>
      <c r="K5698" t="s">
        <v>37283</v>
      </c>
      <c r="M5698" t="s">
        <v>39564</v>
      </c>
      <c r="N5698" t="s">
        <v>41249</v>
      </c>
      <c r="O5698" t="s">
        <v>41250</v>
      </c>
      <c r="P5698">
        <v>0</v>
      </c>
      <c r="Q5698">
        <v>0</v>
      </c>
      <c r="R5698" t="s">
        <v>41256</v>
      </c>
      <c r="S5698" t="s">
        <v>41450</v>
      </c>
      <c r="T5698" t="s">
        <v>42997</v>
      </c>
      <c r="U5698" t="s">
        <v>47927</v>
      </c>
      <c r="W5698" t="s">
        <v>39564</v>
      </c>
      <c r="X5698" t="s">
        <v>41259</v>
      </c>
    </row>
    <row r="5699" spans="1:24">
      <c r="A5699">
        <f>HYPERLINK("https://www.philgeps.gov.ph/GEPSNONPILOT/Tender/SplashBidNoticeAbstractUI.aspx?menuIndex=3&amp;refID=7072714&amp;Result=3","7072714")</f>
        <v>0</v>
      </c>
      <c r="B5699" t="s">
        <v>1934</v>
      </c>
      <c r="C5699" t="s">
        <v>8821</v>
      </c>
      <c r="D5699" t="s">
        <v>16644</v>
      </c>
      <c r="E5699" t="s">
        <v>21761</v>
      </c>
      <c r="F5699" t="s">
        <v>28669</v>
      </c>
      <c r="G5699" t="s">
        <v>28676</v>
      </c>
      <c r="H5699" t="s">
        <v>9998</v>
      </c>
      <c r="I5699" t="s">
        <v>28773</v>
      </c>
      <c r="J5699" t="s">
        <v>28836</v>
      </c>
      <c r="K5699" t="s">
        <v>37206</v>
      </c>
      <c r="M5699" t="s">
        <v>39561</v>
      </c>
      <c r="N5699" t="s">
        <v>41249</v>
      </c>
      <c r="O5699" t="s">
        <v>41250</v>
      </c>
      <c r="P5699">
        <v>0</v>
      </c>
      <c r="Q5699">
        <v>4</v>
      </c>
      <c r="R5699" t="s">
        <v>41255</v>
      </c>
      <c r="S5699" t="s">
        <v>41442</v>
      </c>
      <c r="T5699" t="s">
        <v>42729</v>
      </c>
      <c r="U5699" t="s">
        <v>47923</v>
      </c>
      <c r="W5699" t="s">
        <v>39561</v>
      </c>
      <c r="X5699" t="s">
        <v>41256</v>
      </c>
    </row>
    <row r="5700" spans="1:24">
      <c r="A5700">
        <f>HYPERLINK("https://www.philgeps.gov.ph/GEPSNONPILOT/Tender/SplashBidNoticeAbstractUI.aspx?menuIndex=3&amp;refID=7072586&amp;Result=3","7072586")</f>
        <v>0</v>
      </c>
      <c r="B5700" t="s">
        <v>1928</v>
      </c>
      <c r="C5700" t="s">
        <v>8822</v>
      </c>
      <c r="D5700" t="s">
        <v>16673</v>
      </c>
      <c r="E5700" t="s">
        <v>21762</v>
      </c>
      <c r="F5700" t="s">
        <v>28669</v>
      </c>
      <c r="G5700" t="s">
        <v>28675</v>
      </c>
      <c r="H5700" t="s">
        <v>9998</v>
      </c>
      <c r="I5700" t="s">
        <v>6458</v>
      </c>
      <c r="J5700" t="s">
        <v>32437</v>
      </c>
      <c r="K5700" t="s">
        <v>37205</v>
      </c>
      <c r="M5700" t="s">
        <v>39555</v>
      </c>
      <c r="N5700" t="s">
        <v>41249</v>
      </c>
      <c r="O5700" t="s">
        <v>41250</v>
      </c>
      <c r="P5700">
        <v>0</v>
      </c>
      <c r="Q5700">
        <v>2</v>
      </c>
      <c r="R5700" t="s">
        <v>41255</v>
      </c>
      <c r="S5700" t="s">
        <v>41442</v>
      </c>
      <c r="T5700" t="s">
        <v>42694</v>
      </c>
      <c r="U5700" t="s">
        <v>47912</v>
      </c>
      <c r="W5700" t="s">
        <v>39555</v>
      </c>
      <c r="X5700" t="s">
        <v>41256</v>
      </c>
    </row>
    <row r="5701" spans="1:24">
      <c r="A5701">
        <f>HYPERLINK("https://www.philgeps.gov.ph/GEPSNONPILOT/Tender/SplashBidNoticeAbstractUI.aspx?menuIndex=3&amp;refID=7060555&amp;Result=3","7060555")</f>
        <v>0</v>
      </c>
      <c r="B5701" t="s">
        <v>1937</v>
      </c>
      <c r="C5701" t="s">
        <v>8823</v>
      </c>
      <c r="D5701" t="s">
        <v>16679</v>
      </c>
      <c r="E5701" t="s">
        <v>16820</v>
      </c>
      <c r="F5701" t="s">
        <v>28669</v>
      </c>
      <c r="G5701" t="s">
        <v>28677</v>
      </c>
      <c r="H5701" t="s">
        <v>9998</v>
      </c>
      <c r="I5701" t="s">
        <v>28690</v>
      </c>
      <c r="J5701" t="s">
        <v>29644</v>
      </c>
      <c r="K5701" t="s">
        <v>37204</v>
      </c>
      <c r="M5701" t="s">
        <v>39565</v>
      </c>
      <c r="N5701" t="s">
        <v>41249</v>
      </c>
      <c r="O5701" t="s">
        <v>41250</v>
      </c>
      <c r="P5701">
        <v>0</v>
      </c>
      <c r="Q5701">
        <v>1</v>
      </c>
      <c r="R5701" t="s">
        <v>41256</v>
      </c>
      <c r="S5701" t="s">
        <v>41450</v>
      </c>
      <c r="T5701" t="s">
        <v>42758</v>
      </c>
      <c r="U5701" t="s">
        <v>47928</v>
      </c>
      <c r="W5701" t="s">
        <v>39565</v>
      </c>
      <c r="X5701" t="s">
        <v>41261</v>
      </c>
    </row>
    <row r="5702" spans="1:24">
      <c r="A5702">
        <f>HYPERLINK("https://www.philgeps.gov.ph/GEPSNONPILOT/Tender/SplashBidNoticeAbstractUI.aspx?menuIndex=3&amp;refID=7047734&amp;Result=3","7047734")</f>
        <v>0</v>
      </c>
      <c r="B5702" t="s">
        <v>1938</v>
      </c>
      <c r="C5702" t="s">
        <v>8824</v>
      </c>
      <c r="D5702" t="s">
        <v>16624</v>
      </c>
      <c r="E5702" t="s">
        <v>21763</v>
      </c>
      <c r="F5702" t="s">
        <v>28669</v>
      </c>
      <c r="G5702" t="s">
        <v>28675</v>
      </c>
      <c r="H5702" t="s">
        <v>9998</v>
      </c>
      <c r="I5702" t="s">
        <v>28693</v>
      </c>
      <c r="J5702" t="s">
        <v>29724</v>
      </c>
      <c r="K5702" t="s">
        <v>37206</v>
      </c>
      <c r="M5702" t="s">
        <v>39566</v>
      </c>
      <c r="N5702" t="s">
        <v>41249</v>
      </c>
      <c r="O5702" t="s">
        <v>41250</v>
      </c>
      <c r="P5702">
        <v>0</v>
      </c>
      <c r="Q5702">
        <v>17</v>
      </c>
      <c r="R5702" t="s">
        <v>41256</v>
      </c>
      <c r="S5702" t="s">
        <v>41450</v>
      </c>
      <c r="T5702" t="s">
        <v>42820</v>
      </c>
      <c r="U5702" t="s">
        <v>47929</v>
      </c>
      <c r="V5702" t="s">
        <v>54891</v>
      </c>
      <c r="W5702" t="s">
        <v>39566</v>
      </c>
      <c r="X5702" t="s">
        <v>41267</v>
      </c>
    </row>
    <row r="5703" spans="1:24">
      <c r="A5703">
        <f>HYPERLINK("https://www.philgeps.gov.ph/GEPSNONPILOT/Tender/SplashBidNoticeAbstractUI.aspx?menuIndex=3&amp;refID=7045988-2&amp;Result=3","7045988-2")</f>
        <v>0</v>
      </c>
      <c r="B5703" t="s">
        <v>912</v>
      </c>
      <c r="C5703" t="s">
        <v>8825</v>
      </c>
      <c r="D5703" t="s">
        <v>16664</v>
      </c>
      <c r="E5703" t="s">
        <v>21764</v>
      </c>
      <c r="F5703" t="s">
        <v>28669</v>
      </c>
      <c r="G5703" t="s">
        <v>28676</v>
      </c>
      <c r="H5703" t="s">
        <v>28685</v>
      </c>
      <c r="I5703" t="s">
        <v>28685</v>
      </c>
      <c r="J5703" t="s">
        <v>31537</v>
      </c>
      <c r="K5703" t="s">
        <v>37238</v>
      </c>
      <c r="M5703" t="s">
        <v>38434</v>
      </c>
      <c r="N5703" t="s">
        <v>41249</v>
      </c>
      <c r="O5703" t="s">
        <v>41250</v>
      </c>
      <c r="P5703">
        <v>0</v>
      </c>
      <c r="Q5703">
        <v>1</v>
      </c>
      <c r="R5703" t="s">
        <v>41256</v>
      </c>
      <c r="S5703" t="s">
        <v>41450</v>
      </c>
      <c r="T5703" t="s">
        <v>42705</v>
      </c>
      <c r="U5703" t="s">
        <v>47930</v>
      </c>
      <c r="W5703" t="s">
        <v>38434</v>
      </c>
      <c r="X5703" t="s">
        <v>41257</v>
      </c>
    </row>
    <row r="5704" spans="1:24">
      <c r="A5704">
        <f>HYPERLINK("https://www.philgeps.gov.ph/GEPSNONPILOT/Tender/SplashBidNoticeAbstractUI.aspx?menuIndex=3&amp;refID=7063568&amp;Result=3","7063568")</f>
        <v>0</v>
      </c>
      <c r="B5704" t="s">
        <v>1939</v>
      </c>
      <c r="C5704" t="s">
        <v>4897</v>
      </c>
      <c r="D5704" t="s">
        <v>16658</v>
      </c>
      <c r="E5704" t="s">
        <v>20870</v>
      </c>
      <c r="F5704" t="s">
        <v>28672</v>
      </c>
      <c r="G5704" t="s">
        <v>28675</v>
      </c>
      <c r="H5704" t="s">
        <v>28686</v>
      </c>
      <c r="I5704" t="s">
        <v>28689</v>
      </c>
      <c r="J5704" t="s">
        <v>28878</v>
      </c>
      <c r="K5704" t="s">
        <v>37206</v>
      </c>
      <c r="M5704" t="s">
        <v>39567</v>
      </c>
      <c r="N5704" t="s">
        <v>41249</v>
      </c>
      <c r="O5704" t="s">
        <v>41250</v>
      </c>
      <c r="P5704">
        <v>0</v>
      </c>
      <c r="Q5704">
        <v>0</v>
      </c>
      <c r="R5704" t="s">
        <v>41256</v>
      </c>
      <c r="S5704" t="s">
        <v>41450</v>
      </c>
      <c r="T5704" t="s">
        <v>42659</v>
      </c>
      <c r="U5704" t="s">
        <v>47931</v>
      </c>
      <c r="W5704" t="s">
        <v>39567</v>
      </c>
      <c r="X5704" t="s">
        <v>41260</v>
      </c>
    </row>
    <row r="5705" spans="1:24">
      <c r="A5705">
        <f>HYPERLINK("https://www.philgeps.gov.ph/GEPSNONPILOT/Tender/SplashBidNoticeAbstractUI.aspx?menuIndex=3&amp;refID=7072720&amp;Result=3","7072720")</f>
        <v>0</v>
      </c>
      <c r="B5705" t="s">
        <v>1940</v>
      </c>
      <c r="C5705" t="s">
        <v>8826</v>
      </c>
      <c r="D5705" t="s">
        <v>16670</v>
      </c>
      <c r="E5705" t="s">
        <v>18472</v>
      </c>
      <c r="F5705" t="s">
        <v>28669</v>
      </c>
      <c r="G5705" t="s">
        <v>28675</v>
      </c>
      <c r="H5705" t="s">
        <v>9998</v>
      </c>
      <c r="I5705" t="s">
        <v>7352</v>
      </c>
      <c r="J5705" t="s">
        <v>32438</v>
      </c>
      <c r="K5705" t="s">
        <v>37206</v>
      </c>
      <c r="M5705" t="s">
        <v>39568</v>
      </c>
      <c r="N5705" t="s">
        <v>41249</v>
      </c>
      <c r="O5705" t="s">
        <v>41250</v>
      </c>
      <c r="P5705">
        <v>0</v>
      </c>
      <c r="Q5705">
        <v>0</v>
      </c>
      <c r="R5705" t="s">
        <v>41255</v>
      </c>
      <c r="S5705" t="s">
        <v>41442</v>
      </c>
      <c r="T5705" t="s">
        <v>42663</v>
      </c>
      <c r="U5705" t="s">
        <v>47932</v>
      </c>
      <c r="W5705" t="s">
        <v>39568</v>
      </c>
      <c r="X5705" t="s">
        <v>41256</v>
      </c>
    </row>
    <row r="5706" spans="1:24">
      <c r="A5706">
        <f>HYPERLINK("https://www.philgeps.gov.ph/GEPSNONPILOT/Tender/SplashBidNoticeAbstractUI.aspx?menuIndex=3&amp;refID=6941585-2&amp;Result=3","6941585-2")</f>
        <v>0</v>
      </c>
      <c r="B5706" t="s">
        <v>1266</v>
      </c>
      <c r="C5706" t="s">
        <v>8827</v>
      </c>
      <c r="E5706" t="s">
        <v>21765</v>
      </c>
      <c r="F5706" t="s">
        <v>28669</v>
      </c>
      <c r="G5706" t="s">
        <v>28675</v>
      </c>
      <c r="H5706" t="s">
        <v>28685</v>
      </c>
      <c r="I5706" t="s">
        <v>28689</v>
      </c>
      <c r="J5706" t="s">
        <v>32439</v>
      </c>
      <c r="K5706" t="s">
        <v>37209</v>
      </c>
      <c r="M5706" t="s">
        <v>38815</v>
      </c>
      <c r="N5706" t="s">
        <v>41249</v>
      </c>
      <c r="O5706" t="s">
        <v>41250</v>
      </c>
      <c r="P5706">
        <v>0</v>
      </c>
      <c r="Q5706">
        <v>2</v>
      </c>
      <c r="R5706" t="s">
        <v>41256</v>
      </c>
      <c r="S5706" t="s">
        <v>41450</v>
      </c>
      <c r="T5706" t="s">
        <v>42739</v>
      </c>
      <c r="U5706" t="s">
        <v>47933</v>
      </c>
      <c r="V5706" t="s">
        <v>54892</v>
      </c>
      <c r="W5706" t="s">
        <v>41240</v>
      </c>
      <c r="X5706" t="s">
        <v>41257</v>
      </c>
    </row>
    <row r="5707" spans="1:24">
      <c r="A5707">
        <f>HYPERLINK("https://www.philgeps.gov.ph/GEPSNONPILOT/Tender/SplashBidNoticeAbstractUI.aspx?menuIndex=3&amp;refID=7072794&amp;Result=3","7072794")</f>
        <v>0</v>
      </c>
      <c r="B5707" t="s">
        <v>1941</v>
      </c>
      <c r="C5707" t="s">
        <v>8828</v>
      </c>
      <c r="D5707" t="s">
        <v>16631</v>
      </c>
      <c r="E5707" t="s">
        <v>6876</v>
      </c>
      <c r="F5707" t="s">
        <v>28669</v>
      </c>
      <c r="G5707" t="s">
        <v>28675</v>
      </c>
      <c r="H5707" t="s">
        <v>9998</v>
      </c>
      <c r="I5707" t="s">
        <v>7352</v>
      </c>
      <c r="J5707" t="s">
        <v>28826</v>
      </c>
      <c r="K5707" t="s">
        <v>37206</v>
      </c>
      <c r="M5707" t="s">
        <v>39569</v>
      </c>
      <c r="N5707" t="s">
        <v>41249</v>
      </c>
      <c r="O5707" t="s">
        <v>41250</v>
      </c>
      <c r="P5707">
        <v>0</v>
      </c>
      <c r="Q5707">
        <v>0</v>
      </c>
      <c r="R5707" t="s">
        <v>41255</v>
      </c>
      <c r="S5707" t="s">
        <v>41442</v>
      </c>
      <c r="T5707" t="s">
        <v>42714</v>
      </c>
      <c r="U5707" t="s">
        <v>47934</v>
      </c>
      <c r="W5707" t="s">
        <v>39569</v>
      </c>
      <c r="X5707" t="s">
        <v>41256</v>
      </c>
    </row>
    <row r="5708" spans="1:24">
      <c r="A5708">
        <f>HYPERLINK("https://www.philgeps.gov.ph/GEPSNONPILOT/Tender/SplashBidNoticeAbstractUI.aspx?menuIndex=3&amp;refID=7072770&amp;Result=3","7072770")</f>
        <v>0</v>
      </c>
      <c r="B5708" t="s">
        <v>1931</v>
      </c>
      <c r="C5708" t="s">
        <v>8829</v>
      </c>
      <c r="E5708" t="s">
        <v>21766</v>
      </c>
      <c r="F5708" t="s">
        <v>28669</v>
      </c>
      <c r="G5708" t="s">
        <v>28675</v>
      </c>
      <c r="H5708" t="s">
        <v>28686</v>
      </c>
      <c r="I5708" t="s">
        <v>28689</v>
      </c>
      <c r="J5708" t="s">
        <v>32440</v>
      </c>
      <c r="K5708" t="s">
        <v>37356</v>
      </c>
      <c r="M5708" t="s">
        <v>39558</v>
      </c>
      <c r="N5708" t="s">
        <v>41249</v>
      </c>
      <c r="O5708" t="s">
        <v>41250</v>
      </c>
      <c r="P5708">
        <v>0</v>
      </c>
      <c r="Q5708">
        <v>0</v>
      </c>
      <c r="R5708" t="s">
        <v>41255</v>
      </c>
      <c r="S5708" t="s">
        <v>41442</v>
      </c>
      <c r="T5708" t="s">
        <v>42700</v>
      </c>
      <c r="U5708" t="s">
        <v>47935</v>
      </c>
      <c r="W5708" t="s">
        <v>39558</v>
      </c>
      <c r="X5708" t="s">
        <v>41256</v>
      </c>
    </row>
    <row r="5709" spans="1:24">
      <c r="A5709">
        <f>HYPERLINK("https://www.philgeps.gov.ph/GEPSNONPILOT/Tender/SplashBidNoticeAbstractUI.aspx?menuIndex=3&amp;refID=7072509&amp;Result=3","7072509")</f>
        <v>0</v>
      </c>
      <c r="B5709" t="s">
        <v>416</v>
      </c>
      <c r="C5709" t="s">
        <v>8830</v>
      </c>
      <c r="D5709" t="s">
        <v>16615</v>
      </c>
      <c r="E5709" t="s">
        <v>17028</v>
      </c>
      <c r="F5709" t="s">
        <v>28669</v>
      </c>
      <c r="G5709" t="s">
        <v>28675</v>
      </c>
      <c r="H5709" t="s">
        <v>9998</v>
      </c>
      <c r="I5709" t="s">
        <v>7352</v>
      </c>
      <c r="J5709" t="s">
        <v>32441</v>
      </c>
      <c r="K5709" t="s">
        <v>37206</v>
      </c>
      <c r="M5709" t="s">
        <v>37901</v>
      </c>
      <c r="N5709" t="s">
        <v>41249</v>
      </c>
      <c r="O5709" t="s">
        <v>41250</v>
      </c>
      <c r="P5709">
        <v>0</v>
      </c>
      <c r="Q5709">
        <v>3</v>
      </c>
      <c r="R5709" t="s">
        <v>41255</v>
      </c>
      <c r="S5709" t="s">
        <v>41442</v>
      </c>
      <c r="T5709" t="s">
        <v>42673</v>
      </c>
      <c r="U5709" t="s">
        <v>47936</v>
      </c>
      <c r="W5709" t="s">
        <v>37901</v>
      </c>
      <c r="X5709" t="s">
        <v>41256</v>
      </c>
    </row>
    <row r="5710" spans="1:24">
      <c r="A5710">
        <f>HYPERLINK("https://www.philgeps.gov.ph/GEPSNONPILOT/Tender/SplashBidNoticeAbstractUI.aspx?menuIndex=3&amp;refID=7047990&amp;Result=3","7047990")</f>
        <v>0</v>
      </c>
      <c r="B5710" t="s">
        <v>1938</v>
      </c>
      <c r="C5710" t="s">
        <v>8831</v>
      </c>
      <c r="D5710" t="s">
        <v>16624</v>
      </c>
      <c r="E5710" t="s">
        <v>21767</v>
      </c>
      <c r="F5710" t="s">
        <v>28669</v>
      </c>
      <c r="G5710" t="s">
        <v>28675</v>
      </c>
      <c r="H5710" t="s">
        <v>9998</v>
      </c>
      <c r="I5710" t="s">
        <v>28693</v>
      </c>
      <c r="J5710" t="s">
        <v>30227</v>
      </c>
      <c r="K5710" t="s">
        <v>37206</v>
      </c>
      <c r="M5710" t="s">
        <v>39566</v>
      </c>
      <c r="N5710" t="s">
        <v>41249</v>
      </c>
      <c r="O5710" t="s">
        <v>41250</v>
      </c>
      <c r="P5710">
        <v>0</v>
      </c>
      <c r="Q5710">
        <v>10</v>
      </c>
      <c r="R5710" t="s">
        <v>41256</v>
      </c>
      <c r="S5710" t="s">
        <v>41450</v>
      </c>
      <c r="T5710" t="s">
        <v>42820</v>
      </c>
      <c r="U5710" t="s">
        <v>47937</v>
      </c>
      <c r="V5710" t="s">
        <v>54891</v>
      </c>
      <c r="W5710" t="s">
        <v>39566</v>
      </c>
      <c r="X5710" t="s">
        <v>41267</v>
      </c>
    </row>
    <row r="5711" spans="1:24">
      <c r="A5711">
        <f>HYPERLINK("https://www.philgeps.gov.ph/GEPSNONPILOT/Tender/SplashBidNoticeAbstractUI.aspx?menuIndex=3&amp;refID=7066043&amp;Result=3","7066043")</f>
        <v>0</v>
      </c>
      <c r="B5711" t="s">
        <v>1942</v>
      </c>
      <c r="C5711" t="s">
        <v>8832</v>
      </c>
      <c r="D5711" t="s">
        <v>16643</v>
      </c>
      <c r="E5711" t="s">
        <v>21768</v>
      </c>
      <c r="F5711" t="s">
        <v>28669</v>
      </c>
      <c r="G5711" t="s">
        <v>28675</v>
      </c>
      <c r="H5711" t="s">
        <v>28684</v>
      </c>
      <c r="I5711" t="s">
        <v>28771</v>
      </c>
      <c r="J5711" t="s">
        <v>32442</v>
      </c>
      <c r="K5711" t="s">
        <v>37221</v>
      </c>
      <c r="M5711" t="s">
        <v>39570</v>
      </c>
      <c r="N5711" t="s">
        <v>41249</v>
      </c>
      <c r="O5711" t="s">
        <v>41250</v>
      </c>
      <c r="P5711">
        <v>0</v>
      </c>
      <c r="Q5711">
        <v>3</v>
      </c>
      <c r="R5711" t="s">
        <v>41256</v>
      </c>
      <c r="S5711" t="s">
        <v>41450</v>
      </c>
      <c r="T5711" t="s">
        <v>42692</v>
      </c>
      <c r="U5711" t="s">
        <v>47938</v>
      </c>
      <c r="V5711" t="s">
        <v>54893</v>
      </c>
      <c r="W5711" t="s">
        <v>39570</v>
      </c>
      <c r="X5711" t="s">
        <v>41259</v>
      </c>
    </row>
    <row r="5712" spans="1:24">
      <c r="A5712">
        <f>HYPERLINK("https://www.philgeps.gov.ph/GEPSNONPILOT/Tender/SplashBidNoticeAbstractUI.aspx?menuIndex=3&amp;refID=7043161-2&amp;Result=3","7043161-2")</f>
        <v>0</v>
      </c>
      <c r="B5712" t="s">
        <v>1266</v>
      </c>
      <c r="C5712" t="s">
        <v>8833</v>
      </c>
      <c r="E5712" t="s">
        <v>21769</v>
      </c>
      <c r="F5712" t="s">
        <v>28669</v>
      </c>
      <c r="G5712" t="s">
        <v>28675</v>
      </c>
      <c r="H5712" t="s">
        <v>28685</v>
      </c>
      <c r="I5712" t="s">
        <v>28685</v>
      </c>
      <c r="J5712" t="s">
        <v>31879</v>
      </c>
      <c r="K5712" t="s">
        <v>37209</v>
      </c>
      <c r="M5712" t="s">
        <v>38815</v>
      </c>
      <c r="N5712" t="s">
        <v>41249</v>
      </c>
      <c r="O5712" t="s">
        <v>41250</v>
      </c>
      <c r="P5712">
        <v>0</v>
      </c>
      <c r="Q5712">
        <v>1</v>
      </c>
      <c r="R5712" t="s">
        <v>41256</v>
      </c>
      <c r="S5712" t="s">
        <v>41450</v>
      </c>
      <c r="T5712" t="s">
        <v>42739</v>
      </c>
      <c r="U5712" t="s">
        <v>47939</v>
      </c>
      <c r="V5712" t="s">
        <v>54894</v>
      </c>
      <c r="W5712" t="s">
        <v>41240</v>
      </c>
      <c r="X5712" t="s">
        <v>41257</v>
      </c>
    </row>
    <row r="5713" spans="1:24">
      <c r="A5713">
        <f>HYPERLINK("https://www.philgeps.gov.ph/GEPSNONPILOT/Tender/SplashBidNoticeAbstractUI.aspx?menuIndex=3&amp;refID=7070278&amp;Result=3","7070278")</f>
        <v>0</v>
      </c>
      <c r="B5713" t="s">
        <v>1943</v>
      </c>
      <c r="C5713" t="s">
        <v>8834</v>
      </c>
      <c r="D5713" t="s">
        <v>16618</v>
      </c>
      <c r="E5713" t="s">
        <v>21770</v>
      </c>
      <c r="F5713" t="s">
        <v>28669</v>
      </c>
      <c r="G5713" t="s">
        <v>28675</v>
      </c>
      <c r="H5713" t="s">
        <v>28686</v>
      </c>
      <c r="I5713" t="s">
        <v>28689</v>
      </c>
      <c r="J5713" t="s">
        <v>29068</v>
      </c>
      <c r="K5713" t="s">
        <v>37312</v>
      </c>
      <c r="M5713" t="s">
        <v>39571</v>
      </c>
      <c r="N5713" t="s">
        <v>41249</v>
      </c>
      <c r="O5713" t="s">
        <v>41250</v>
      </c>
      <c r="P5713">
        <v>0</v>
      </c>
      <c r="Q5713">
        <v>0</v>
      </c>
      <c r="R5713" t="s">
        <v>41256</v>
      </c>
      <c r="S5713" t="s">
        <v>41450</v>
      </c>
      <c r="T5713" t="s">
        <v>42754</v>
      </c>
      <c r="U5713" t="s">
        <v>47940</v>
      </c>
      <c r="W5713" t="s">
        <v>39571</v>
      </c>
      <c r="X5713" t="s">
        <v>41257</v>
      </c>
    </row>
    <row r="5714" spans="1:24">
      <c r="A5714">
        <f>HYPERLINK("https://www.philgeps.gov.ph/GEPSNONPILOT/Tender/SplashBidNoticeAbstractUI.aspx?menuIndex=3&amp;refID=7070277&amp;Result=3","7070277")</f>
        <v>0</v>
      </c>
      <c r="B5714" t="s">
        <v>1944</v>
      </c>
      <c r="C5714" t="s">
        <v>8835</v>
      </c>
      <c r="D5714" t="s">
        <v>16668</v>
      </c>
      <c r="E5714" t="s">
        <v>17955</v>
      </c>
      <c r="F5714" t="s">
        <v>28669</v>
      </c>
      <c r="G5714" t="s">
        <v>28675</v>
      </c>
      <c r="H5714" t="s">
        <v>9998</v>
      </c>
      <c r="I5714" t="s">
        <v>28687</v>
      </c>
      <c r="J5714" t="s">
        <v>28912</v>
      </c>
      <c r="K5714" t="s">
        <v>37204</v>
      </c>
      <c r="M5714" t="s">
        <v>39572</v>
      </c>
      <c r="N5714" t="s">
        <v>41249</v>
      </c>
      <c r="O5714" t="s">
        <v>41250</v>
      </c>
      <c r="P5714">
        <v>0</v>
      </c>
      <c r="Q5714">
        <v>3</v>
      </c>
      <c r="R5714" t="s">
        <v>41256</v>
      </c>
      <c r="S5714" t="s">
        <v>41450</v>
      </c>
      <c r="T5714" t="s">
        <v>42997</v>
      </c>
      <c r="U5714" t="s">
        <v>47941</v>
      </c>
      <c r="W5714" t="s">
        <v>39572</v>
      </c>
      <c r="X5714" t="s">
        <v>41257</v>
      </c>
    </row>
    <row r="5715" spans="1:24">
      <c r="A5715">
        <f>HYPERLINK("https://www.philgeps.gov.ph/GEPSNONPILOT/Tender/SplashBidNoticeAbstractUI.aspx?menuIndex=3&amp;refID=7072767&amp;Result=3","7072767")</f>
        <v>0</v>
      </c>
      <c r="B5715" t="s">
        <v>1931</v>
      </c>
      <c r="C5715" t="s">
        <v>8836</v>
      </c>
      <c r="E5715" t="s">
        <v>21771</v>
      </c>
      <c r="F5715" t="s">
        <v>28669</v>
      </c>
      <c r="G5715" t="s">
        <v>28675</v>
      </c>
      <c r="H5715" t="s">
        <v>28686</v>
      </c>
      <c r="I5715" t="s">
        <v>28689</v>
      </c>
      <c r="J5715" t="s">
        <v>32443</v>
      </c>
      <c r="K5715" t="s">
        <v>37206</v>
      </c>
      <c r="M5715" t="s">
        <v>39558</v>
      </c>
      <c r="N5715" t="s">
        <v>41249</v>
      </c>
      <c r="O5715" t="s">
        <v>41250</v>
      </c>
      <c r="P5715">
        <v>0</v>
      </c>
      <c r="Q5715">
        <v>0</v>
      </c>
      <c r="R5715" t="s">
        <v>41255</v>
      </c>
      <c r="S5715" t="s">
        <v>41442</v>
      </c>
      <c r="T5715" t="s">
        <v>42700</v>
      </c>
      <c r="U5715" t="s">
        <v>47942</v>
      </c>
      <c r="W5715" t="s">
        <v>39558</v>
      </c>
      <c r="X5715" t="s">
        <v>41256</v>
      </c>
    </row>
    <row r="5716" spans="1:24">
      <c r="A5716">
        <f>HYPERLINK("https://www.philgeps.gov.ph/GEPSNONPILOT/Tender/SplashBidNoticeAbstractUI.aspx?menuIndex=3&amp;refID=7070271&amp;Result=3","7070271")</f>
        <v>0</v>
      </c>
      <c r="B5716" t="s">
        <v>1911</v>
      </c>
      <c r="C5716" t="s">
        <v>8837</v>
      </c>
      <c r="D5716" t="s">
        <v>16643</v>
      </c>
      <c r="E5716" t="s">
        <v>21772</v>
      </c>
      <c r="F5716" t="s">
        <v>28669</v>
      </c>
      <c r="G5716" t="s">
        <v>28675</v>
      </c>
      <c r="H5716" t="s">
        <v>9998</v>
      </c>
      <c r="I5716" t="s">
        <v>28687</v>
      </c>
      <c r="J5716" t="s">
        <v>28877</v>
      </c>
      <c r="K5716" t="s">
        <v>37205</v>
      </c>
      <c r="M5716" t="s">
        <v>39537</v>
      </c>
      <c r="N5716" t="s">
        <v>41249</v>
      </c>
      <c r="O5716" t="s">
        <v>41250</v>
      </c>
      <c r="P5716">
        <v>0</v>
      </c>
      <c r="Q5716">
        <v>2</v>
      </c>
      <c r="R5716" t="s">
        <v>41256</v>
      </c>
      <c r="S5716" t="s">
        <v>41450</v>
      </c>
      <c r="T5716" t="s">
        <v>42668</v>
      </c>
      <c r="U5716" t="s">
        <v>47943</v>
      </c>
      <c r="V5716" t="s">
        <v>54895</v>
      </c>
      <c r="W5716" t="s">
        <v>39537</v>
      </c>
      <c r="X5716" t="s">
        <v>41258</v>
      </c>
    </row>
    <row r="5717" spans="1:24">
      <c r="A5717">
        <f>HYPERLINK("https://www.philgeps.gov.ph/GEPSNONPILOT/Tender/SplashBidNoticeAbstractUI.aspx?menuIndex=3&amp;refID=7072725&amp;Result=3","7072725")</f>
        <v>0</v>
      </c>
      <c r="B5717" t="s">
        <v>1932</v>
      </c>
      <c r="C5717" t="s">
        <v>8814</v>
      </c>
      <c r="D5717" t="s">
        <v>16642</v>
      </c>
      <c r="E5717" t="s">
        <v>17415</v>
      </c>
      <c r="F5717" t="s">
        <v>28669</v>
      </c>
      <c r="G5717" t="s">
        <v>28677</v>
      </c>
      <c r="H5717" t="s">
        <v>9998</v>
      </c>
      <c r="I5717" t="s">
        <v>28741</v>
      </c>
      <c r="J5717" t="s">
        <v>32434</v>
      </c>
      <c r="K5717" t="s">
        <v>37234</v>
      </c>
      <c r="M5717" t="s">
        <v>39559</v>
      </c>
      <c r="N5717" t="s">
        <v>41249</v>
      </c>
      <c r="O5717" t="s">
        <v>41250</v>
      </c>
      <c r="P5717">
        <v>0</v>
      </c>
      <c r="Q5717">
        <v>1</v>
      </c>
      <c r="R5717" t="s">
        <v>41255</v>
      </c>
      <c r="S5717" t="s">
        <v>41442</v>
      </c>
      <c r="T5717" t="s">
        <v>42767</v>
      </c>
      <c r="U5717" t="s">
        <v>47944</v>
      </c>
      <c r="W5717" t="s">
        <v>39559</v>
      </c>
      <c r="X5717" t="s">
        <v>41256</v>
      </c>
    </row>
    <row r="5718" spans="1:24">
      <c r="A5718">
        <f>HYPERLINK("https://www.philgeps.gov.ph/GEPSNONPILOT/Tender/SplashBidNoticeAbstractUI.aspx?menuIndex=3&amp;refID=7070224&amp;Result=3","7070224")</f>
        <v>0</v>
      </c>
      <c r="B5718" t="s">
        <v>729</v>
      </c>
      <c r="C5718" t="s">
        <v>8838</v>
      </c>
      <c r="D5718" t="s">
        <v>16608</v>
      </c>
      <c r="E5718" t="s">
        <v>21773</v>
      </c>
      <c r="F5718" t="s">
        <v>28669</v>
      </c>
      <c r="G5718" t="s">
        <v>28675</v>
      </c>
      <c r="H5718" t="s">
        <v>9998</v>
      </c>
      <c r="I5718" t="s">
        <v>11593</v>
      </c>
      <c r="J5718" t="s">
        <v>32444</v>
      </c>
      <c r="K5718" t="s">
        <v>37220</v>
      </c>
      <c r="M5718" t="s">
        <v>38237</v>
      </c>
      <c r="N5718" t="s">
        <v>41249</v>
      </c>
      <c r="O5718" t="s">
        <v>41250</v>
      </c>
      <c r="P5718">
        <v>0</v>
      </c>
      <c r="Q5718">
        <v>14</v>
      </c>
      <c r="R5718" t="s">
        <v>41256</v>
      </c>
      <c r="S5718" t="s">
        <v>41450</v>
      </c>
      <c r="T5718" t="s">
        <v>43014</v>
      </c>
      <c r="U5718" t="s">
        <v>47945</v>
      </c>
      <c r="W5718" t="s">
        <v>38237</v>
      </c>
      <c r="X5718" t="s">
        <v>41258</v>
      </c>
    </row>
    <row r="5719" spans="1:24">
      <c r="A5719">
        <f>HYPERLINK("https://www.philgeps.gov.ph/GEPSNONPILOT/Tender/SplashBidNoticeAbstractUI.aspx?menuIndex=3&amp;refID=7069841&amp;Result=3","7069841")</f>
        <v>0</v>
      </c>
      <c r="B5719" t="s">
        <v>1522</v>
      </c>
      <c r="C5719" t="s">
        <v>8839</v>
      </c>
      <c r="D5719" t="s">
        <v>16686</v>
      </c>
      <c r="E5719" t="s">
        <v>21774</v>
      </c>
      <c r="F5719" t="s">
        <v>28669</v>
      </c>
      <c r="G5719" t="s">
        <v>28675</v>
      </c>
      <c r="H5719" t="s">
        <v>9998</v>
      </c>
      <c r="I5719" t="s">
        <v>6458</v>
      </c>
      <c r="J5719" t="s">
        <v>32445</v>
      </c>
      <c r="K5719" t="s">
        <v>37210</v>
      </c>
      <c r="M5719" t="s">
        <v>39573</v>
      </c>
      <c r="N5719" t="s">
        <v>41249</v>
      </c>
      <c r="O5719" t="s">
        <v>41250</v>
      </c>
      <c r="P5719">
        <v>0</v>
      </c>
      <c r="Q5719">
        <v>0</v>
      </c>
      <c r="R5719" t="s">
        <v>41256</v>
      </c>
      <c r="S5719" t="s">
        <v>41450</v>
      </c>
      <c r="T5719" t="s">
        <v>42663</v>
      </c>
      <c r="U5719" t="s">
        <v>47946</v>
      </c>
      <c r="W5719" t="s">
        <v>39573</v>
      </c>
      <c r="X5719" t="s">
        <v>41258</v>
      </c>
    </row>
    <row r="5720" spans="1:24">
      <c r="A5720">
        <f>HYPERLINK("https://www.philgeps.gov.ph/GEPSNONPILOT/Tender/SplashBidNoticeAbstractUI.aspx?menuIndex=3&amp;refID=7043167-2&amp;Result=3","7043167-2")</f>
        <v>0</v>
      </c>
      <c r="B5720" t="s">
        <v>1266</v>
      </c>
      <c r="C5720" t="s">
        <v>8840</v>
      </c>
      <c r="E5720" t="s">
        <v>21775</v>
      </c>
      <c r="F5720" t="s">
        <v>28669</v>
      </c>
      <c r="G5720" t="s">
        <v>28675</v>
      </c>
      <c r="H5720" t="s">
        <v>28685</v>
      </c>
      <c r="I5720" t="s">
        <v>28689</v>
      </c>
      <c r="J5720" t="s">
        <v>32446</v>
      </c>
      <c r="K5720" t="s">
        <v>37209</v>
      </c>
      <c r="M5720" t="s">
        <v>38815</v>
      </c>
      <c r="N5720" t="s">
        <v>41249</v>
      </c>
      <c r="O5720" t="s">
        <v>41250</v>
      </c>
      <c r="P5720">
        <v>0</v>
      </c>
      <c r="Q5720">
        <v>1</v>
      </c>
      <c r="R5720" t="s">
        <v>41256</v>
      </c>
      <c r="S5720" t="s">
        <v>41450</v>
      </c>
      <c r="T5720" t="s">
        <v>42739</v>
      </c>
      <c r="U5720" t="s">
        <v>47939</v>
      </c>
      <c r="V5720" t="s">
        <v>54896</v>
      </c>
      <c r="W5720" t="s">
        <v>41240</v>
      </c>
      <c r="X5720" t="s">
        <v>41257</v>
      </c>
    </row>
    <row r="5721" spans="1:24">
      <c r="A5721">
        <f>HYPERLINK("https://www.philgeps.gov.ph/GEPSNONPILOT/Tender/SplashBidNoticeAbstractUI.aspx?menuIndex=3&amp;refID=7069401&amp;Result=3","7069401")</f>
        <v>0</v>
      </c>
      <c r="B5721" t="s">
        <v>1945</v>
      </c>
      <c r="C5721" t="s">
        <v>4598</v>
      </c>
      <c r="D5721" t="s">
        <v>16674</v>
      </c>
      <c r="E5721" t="s">
        <v>21776</v>
      </c>
      <c r="F5721" t="s">
        <v>28669</v>
      </c>
      <c r="G5721" t="s">
        <v>28676</v>
      </c>
      <c r="H5721" t="s">
        <v>9998</v>
      </c>
      <c r="I5721" t="s">
        <v>28688</v>
      </c>
      <c r="J5721" t="s">
        <v>32447</v>
      </c>
      <c r="K5721" t="s">
        <v>37205</v>
      </c>
      <c r="M5721" t="s">
        <v>39574</v>
      </c>
      <c r="N5721" t="s">
        <v>41249</v>
      </c>
      <c r="O5721" t="s">
        <v>41250</v>
      </c>
      <c r="P5721">
        <v>0</v>
      </c>
      <c r="Q5721">
        <v>0</v>
      </c>
      <c r="R5721" t="s">
        <v>41256</v>
      </c>
      <c r="S5721" t="s">
        <v>41450</v>
      </c>
      <c r="T5721" t="s">
        <v>42728</v>
      </c>
      <c r="U5721" t="s">
        <v>47947</v>
      </c>
      <c r="W5721" t="s">
        <v>39574</v>
      </c>
      <c r="X5721" t="s">
        <v>41258</v>
      </c>
    </row>
    <row r="5722" spans="1:24">
      <c r="A5722">
        <f>HYPERLINK("https://www.philgeps.gov.ph/GEPSNONPILOT/Tender/SplashBidNoticeAbstractUI.aspx?menuIndex=3&amp;refID=7069133&amp;Result=3","7069133")</f>
        <v>0</v>
      </c>
      <c r="B5722" t="s">
        <v>1946</v>
      </c>
      <c r="C5722" t="s">
        <v>8841</v>
      </c>
      <c r="D5722" t="s">
        <v>16635</v>
      </c>
      <c r="E5722" t="s">
        <v>21777</v>
      </c>
      <c r="F5722" t="s">
        <v>28669</v>
      </c>
      <c r="G5722" t="s">
        <v>28676</v>
      </c>
      <c r="H5722" t="s">
        <v>9998</v>
      </c>
      <c r="I5722" t="s">
        <v>6128</v>
      </c>
      <c r="J5722" t="s">
        <v>32448</v>
      </c>
      <c r="K5722" t="s">
        <v>37206</v>
      </c>
      <c r="M5722" t="s">
        <v>39575</v>
      </c>
      <c r="N5722" t="s">
        <v>41249</v>
      </c>
      <c r="O5722" t="s">
        <v>41250</v>
      </c>
      <c r="P5722">
        <v>0</v>
      </c>
      <c r="Q5722">
        <v>1</v>
      </c>
      <c r="R5722" t="s">
        <v>41256</v>
      </c>
      <c r="S5722" t="s">
        <v>41450</v>
      </c>
      <c r="T5722" t="s">
        <v>42798</v>
      </c>
      <c r="U5722" t="s">
        <v>47948</v>
      </c>
      <c r="V5722" t="s">
        <v>54897</v>
      </c>
      <c r="W5722" t="s">
        <v>39575</v>
      </c>
      <c r="X5722" t="s">
        <v>41258</v>
      </c>
    </row>
    <row r="5723" spans="1:24">
      <c r="A5723">
        <f>HYPERLINK("https://www.philgeps.gov.ph/GEPSNONPILOT/Tender/SplashBidNoticeAbstractUI.aspx?menuIndex=3&amp;refID=7068404&amp;Result=3","7068404")</f>
        <v>0</v>
      </c>
      <c r="B5723" t="s">
        <v>1353</v>
      </c>
      <c r="C5723" t="s">
        <v>8842</v>
      </c>
      <c r="D5723" t="s">
        <v>16627</v>
      </c>
      <c r="E5723" t="s">
        <v>21778</v>
      </c>
      <c r="F5723" t="s">
        <v>28669</v>
      </c>
      <c r="G5723" t="s">
        <v>28675</v>
      </c>
      <c r="H5723" t="s">
        <v>9998</v>
      </c>
      <c r="I5723" t="s">
        <v>28708</v>
      </c>
      <c r="J5723" t="s">
        <v>32449</v>
      </c>
      <c r="K5723" t="s">
        <v>37221</v>
      </c>
      <c r="M5723" t="s">
        <v>39576</v>
      </c>
      <c r="N5723" t="s">
        <v>41249</v>
      </c>
      <c r="O5723" t="s">
        <v>41250</v>
      </c>
      <c r="Q5723">
        <v>8</v>
      </c>
      <c r="R5723" t="s">
        <v>41256</v>
      </c>
      <c r="S5723" t="s">
        <v>41451</v>
      </c>
      <c r="T5723" t="s">
        <v>42792</v>
      </c>
      <c r="U5723" t="s">
        <v>47949</v>
      </c>
      <c r="W5723" t="s">
        <v>39576</v>
      </c>
      <c r="X5723" t="s">
        <v>41258</v>
      </c>
    </row>
    <row r="5724" spans="1:24">
      <c r="A5724">
        <f>HYPERLINK("https://www.philgeps.gov.ph/GEPSNONPILOT/Tender/SplashBidNoticeAbstractUI.aspx?menuIndex=3&amp;refID=7069480&amp;Result=3","7069480")</f>
        <v>0</v>
      </c>
      <c r="B5724" t="s">
        <v>1935</v>
      </c>
      <c r="C5724" t="s">
        <v>8843</v>
      </c>
      <c r="E5724" t="s">
        <v>21779</v>
      </c>
      <c r="F5724" t="s">
        <v>28669</v>
      </c>
      <c r="G5724" t="s">
        <v>28675</v>
      </c>
      <c r="H5724" t="s">
        <v>9998</v>
      </c>
      <c r="I5724" t="s">
        <v>3679</v>
      </c>
      <c r="J5724" t="s">
        <v>32450</v>
      </c>
      <c r="K5724" t="s">
        <v>37209</v>
      </c>
      <c r="M5724" t="s">
        <v>39562</v>
      </c>
      <c r="N5724" t="s">
        <v>41249</v>
      </c>
      <c r="O5724" t="s">
        <v>41250</v>
      </c>
      <c r="P5724">
        <v>0</v>
      </c>
      <c r="Q5724">
        <v>0</v>
      </c>
      <c r="R5724" t="s">
        <v>41256</v>
      </c>
      <c r="S5724" t="s">
        <v>41450</v>
      </c>
      <c r="T5724" t="s">
        <v>42738</v>
      </c>
      <c r="U5724" t="s">
        <v>47924</v>
      </c>
      <c r="W5724" t="s">
        <v>39562</v>
      </c>
      <c r="X5724" t="s">
        <v>41258</v>
      </c>
    </row>
    <row r="5725" spans="1:24">
      <c r="A5725">
        <f>HYPERLINK("https://www.philgeps.gov.ph/GEPSNONPILOT/Tender/SplashBidNoticeAbstractUI.aspx?menuIndex=3&amp;refID=7069137&amp;Result=3","7069137")</f>
        <v>0</v>
      </c>
      <c r="B5725" t="s">
        <v>1947</v>
      </c>
      <c r="C5725" t="s">
        <v>8844</v>
      </c>
      <c r="D5725" t="s">
        <v>16626</v>
      </c>
      <c r="E5725" t="s">
        <v>21780</v>
      </c>
      <c r="F5725" t="s">
        <v>28669</v>
      </c>
      <c r="G5725" t="s">
        <v>28676</v>
      </c>
      <c r="H5725" t="s">
        <v>9998</v>
      </c>
      <c r="I5725" t="s">
        <v>11142</v>
      </c>
      <c r="J5725" t="s">
        <v>32451</v>
      </c>
      <c r="K5725" t="s">
        <v>37206</v>
      </c>
      <c r="M5725" t="s">
        <v>39577</v>
      </c>
      <c r="N5725" t="s">
        <v>41249</v>
      </c>
      <c r="O5725" t="s">
        <v>41250</v>
      </c>
      <c r="P5725">
        <v>0</v>
      </c>
      <c r="Q5725">
        <v>3</v>
      </c>
      <c r="R5725" t="s">
        <v>41256</v>
      </c>
      <c r="S5725" t="s">
        <v>41450</v>
      </c>
      <c r="T5725" t="s">
        <v>42675</v>
      </c>
      <c r="U5725" t="s">
        <v>47950</v>
      </c>
      <c r="W5725" t="s">
        <v>39577</v>
      </c>
      <c r="X5725" t="s">
        <v>41258</v>
      </c>
    </row>
    <row r="5726" spans="1:24">
      <c r="A5726">
        <f>HYPERLINK("https://www.philgeps.gov.ph/GEPSNONPILOT/Tender/SplashBidNoticeAbstractUI.aspx?menuIndex=3&amp;refID=7068030&amp;Result=3","7068030")</f>
        <v>0</v>
      </c>
      <c r="B5726" t="s">
        <v>1948</v>
      </c>
      <c r="C5726" t="s">
        <v>8845</v>
      </c>
      <c r="D5726" t="s">
        <v>16627</v>
      </c>
      <c r="E5726" t="s">
        <v>8845</v>
      </c>
      <c r="F5726" t="s">
        <v>28671</v>
      </c>
      <c r="G5726" t="s">
        <v>28675</v>
      </c>
      <c r="H5726" t="s">
        <v>9998</v>
      </c>
      <c r="I5726" t="s">
        <v>28687</v>
      </c>
      <c r="J5726" t="s">
        <v>28924</v>
      </c>
      <c r="K5726" t="s">
        <v>37205</v>
      </c>
      <c r="M5726" t="s">
        <v>39578</v>
      </c>
      <c r="N5726" t="s">
        <v>41249</v>
      </c>
      <c r="O5726" t="s">
        <v>41250</v>
      </c>
      <c r="P5726">
        <v>0</v>
      </c>
      <c r="Q5726">
        <v>4</v>
      </c>
      <c r="R5726" t="s">
        <v>41256</v>
      </c>
      <c r="S5726" t="s">
        <v>41450</v>
      </c>
      <c r="T5726" t="s">
        <v>43014</v>
      </c>
      <c r="U5726" t="s">
        <v>47951</v>
      </c>
      <c r="W5726" t="s">
        <v>39578</v>
      </c>
      <c r="X5726" t="s">
        <v>41258</v>
      </c>
    </row>
    <row r="5727" spans="1:24">
      <c r="A5727">
        <f>HYPERLINK("https://www.philgeps.gov.ph/GEPSNONPILOT/Tender/SplashBidNoticeAbstractUI.aspx?menuIndex=3&amp;refID=7069439&amp;Result=3","7069439")</f>
        <v>0</v>
      </c>
      <c r="B5727" t="s">
        <v>310</v>
      </c>
      <c r="C5727" t="s">
        <v>3898</v>
      </c>
      <c r="D5727" t="s">
        <v>16635</v>
      </c>
      <c r="E5727" t="s">
        <v>21781</v>
      </c>
      <c r="F5727" t="s">
        <v>28669</v>
      </c>
      <c r="G5727" t="s">
        <v>28676</v>
      </c>
      <c r="H5727" t="s">
        <v>9998</v>
      </c>
      <c r="I5727" t="s">
        <v>28704</v>
      </c>
      <c r="J5727" t="s">
        <v>29016</v>
      </c>
      <c r="K5727" t="s">
        <v>37209</v>
      </c>
      <c r="M5727" t="s">
        <v>37789</v>
      </c>
      <c r="N5727" t="s">
        <v>41249</v>
      </c>
      <c r="O5727" t="s">
        <v>41250</v>
      </c>
      <c r="P5727">
        <v>0</v>
      </c>
      <c r="Q5727">
        <v>1</v>
      </c>
      <c r="R5727" t="s">
        <v>41256</v>
      </c>
      <c r="S5727" t="s">
        <v>41450</v>
      </c>
      <c r="T5727" t="s">
        <v>42992</v>
      </c>
      <c r="U5727" t="s">
        <v>47952</v>
      </c>
      <c r="W5727" t="s">
        <v>37789</v>
      </c>
      <c r="X5727" t="s">
        <v>41258</v>
      </c>
    </row>
    <row r="5728" spans="1:24">
      <c r="A5728">
        <f>HYPERLINK("https://www.philgeps.gov.ph/GEPSNONPILOT/Tender/SplashBidNoticeAbstractUI.aspx?menuIndex=3&amp;refID=7072791&amp;Result=3","7072791")</f>
        <v>0</v>
      </c>
      <c r="B5728" t="s">
        <v>1941</v>
      </c>
      <c r="C5728" t="s">
        <v>8846</v>
      </c>
      <c r="D5728" t="s">
        <v>16631</v>
      </c>
      <c r="E5728" t="s">
        <v>17855</v>
      </c>
      <c r="F5728" t="s">
        <v>28669</v>
      </c>
      <c r="G5728" t="s">
        <v>28675</v>
      </c>
      <c r="H5728" t="s">
        <v>9998</v>
      </c>
      <c r="I5728" t="s">
        <v>7352</v>
      </c>
      <c r="J5728" t="s">
        <v>28826</v>
      </c>
      <c r="K5728" t="s">
        <v>37206</v>
      </c>
      <c r="M5728" t="s">
        <v>39569</v>
      </c>
      <c r="N5728" t="s">
        <v>41249</v>
      </c>
      <c r="O5728" t="s">
        <v>41250</v>
      </c>
      <c r="P5728">
        <v>0</v>
      </c>
      <c r="Q5728">
        <v>0</v>
      </c>
      <c r="R5728" t="s">
        <v>41255</v>
      </c>
      <c r="S5728" t="s">
        <v>41442</v>
      </c>
      <c r="T5728" t="s">
        <v>42714</v>
      </c>
      <c r="U5728" t="s">
        <v>47953</v>
      </c>
      <c r="W5728" t="s">
        <v>39569</v>
      </c>
      <c r="X5728" t="s">
        <v>41256</v>
      </c>
    </row>
    <row r="5729" spans="1:24">
      <c r="A5729">
        <f>HYPERLINK("https://www.philgeps.gov.ph/GEPSNONPILOT/Tender/SplashBidNoticeAbstractUI.aspx?menuIndex=3&amp;refID=7067291&amp;Result=3","7067291")</f>
        <v>0</v>
      </c>
      <c r="B5729" t="s">
        <v>1949</v>
      </c>
      <c r="C5729" t="s">
        <v>8847</v>
      </c>
      <c r="D5729" t="s">
        <v>16650</v>
      </c>
      <c r="E5729" t="s">
        <v>21782</v>
      </c>
      <c r="F5729" t="s">
        <v>28669</v>
      </c>
      <c r="G5729" t="s">
        <v>28676</v>
      </c>
      <c r="H5729" t="s">
        <v>9998</v>
      </c>
      <c r="I5729" t="s">
        <v>5033</v>
      </c>
      <c r="J5729" t="s">
        <v>29600</v>
      </c>
      <c r="K5729" t="s">
        <v>37209</v>
      </c>
      <c r="M5729" t="s">
        <v>39579</v>
      </c>
      <c r="N5729" t="s">
        <v>41249</v>
      </c>
      <c r="O5729" t="s">
        <v>41250</v>
      </c>
      <c r="P5729">
        <v>0</v>
      </c>
      <c r="Q5729">
        <v>0</v>
      </c>
      <c r="R5729" t="s">
        <v>41256</v>
      </c>
      <c r="S5729" t="s">
        <v>41450</v>
      </c>
      <c r="T5729" t="s">
        <v>42926</v>
      </c>
      <c r="U5729" t="s">
        <v>47954</v>
      </c>
      <c r="W5729" t="s">
        <v>39579</v>
      </c>
      <c r="X5729" t="s">
        <v>41259</v>
      </c>
    </row>
    <row r="5730" spans="1:24">
      <c r="A5730">
        <f>HYPERLINK("https://www.philgeps.gov.ph/GEPSNONPILOT/Tender/SplashBidNoticeAbstractUI.aspx?menuIndex=3&amp;refID=7072763&amp;Result=3","7072763")</f>
        <v>0</v>
      </c>
      <c r="B5730" t="s">
        <v>1931</v>
      </c>
      <c r="C5730" t="s">
        <v>8848</v>
      </c>
      <c r="E5730" t="s">
        <v>21783</v>
      </c>
      <c r="F5730" t="s">
        <v>28669</v>
      </c>
      <c r="G5730" t="s">
        <v>28675</v>
      </c>
      <c r="H5730" t="s">
        <v>28686</v>
      </c>
      <c r="I5730" t="s">
        <v>28689</v>
      </c>
      <c r="J5730" t="s">
        <v>32452</v>
      </c>
      <c r="K5730" t="s">
        <v>37206</v>
      </c>
      <c r="M5730" t="s">
        <v>39558</v>
      </c>
      <c r="N5730" t="s">
        <v>41249</v>
      </c>
      <c r="O5730" t="s">
        <v>41250</v>
      </c>
      <c r="P5730">
        <v>0</v>
      </c>
      <c r="Q5730">
        <v>0</v>
      </c>
      <c r="R5730" t="s">
        <v>41255</v>
      </c>
      <c r="S5730" t="s">
        <v>41442</v>
      </c>
      <c r="T5730" t="s">
        <v>42700</v>
      </c>
      <c r="U5730" t="s">
        <v>47955</v>
      </c>
      <c r="W5730" t="s">
        <v>39558</v>
      </c>
      <c r="X5730" t="s">
        <v>41256</v>
      </c>
    </row>
    <row r="5731" spans="1:24">
      <c r="A5731">
        <f>HYPERLINK("https://www.philgeps.gov.ph/GEPSNONPILOT/Tender/SplashBidNoticeAbstractUI.aspx?menuIndex=3&amp;refID=7072761&amp;Result=3","7072761")</f>
        <v>0</v>
      </c>
      <c r="B5731" t="s">
        <v>1931</v>
      </c>
      <c r="C5731" t="s">
        <v>8849</v>
      </c>
      <c r="E5731" t="s">
        <v>21784</v>
      </c>
      <c r="F5731" t="s">
        <v>28669</v>
      </c>
      <c r="G5731" t="s">
        <v>28675</v>
      </c>
      <c r="H5731" t="s">
        <v>28686</v>
      </c>
      <c r="I5731" t="s">
        <v>28689</v>
      </c>
      <c r="J5731" t="s">
        <v>32453</v>
      </c>
      <c r="K5731" t="s">
        <v>37206</v>
      </c>
      <c r="M5731" t="s">
        <v>39558</v>
      </c>
      <c r="N5731" t="s">
        <v>41249</v>
      </c>
      <c r="O5731" t="s">
        <v>41250</v>
      </c>
      <c r="P5731">
        <v>0</v>
      </c>
      <c r="Q5731">
        <v>0</v>
      </c>
      <c r="R5731" t="s">
        <v>41255</v>
      </c>
      <c r="S5731" t="s">
        <v>41442</v>
      </c>
      <c r="T5731" t="s">
        <v>42700</v>
      </c>
      <c r="U5731" t="s">
        <v>47956</v>
      </c>
      <c r="W5731" t="s">
        <v>39558</v>
      </c>
      <c r="X5731" t="s">
        <v>41256</v>
      </c>
    </row>
    <row r="5732" spans="1:24">
      <c r="A5732">
        <f>HYPERLINK("https://www.philgeps.gov.ph/GEPSNONPILOT/Tender/SplashBidNoticeAbstractUI.aspx?menuIndex=3&amp;refID=7072753&amp;Result=3","7072753")</f>
        <v>0</v>
      </c>
      <c r="B5732" t="s">
        <v>1931</v>
      </c>
      <c r="C5732" t="s">
        <v>8850</v>
      </c>
      <c r="E5732" t="s">
        <v>21785</v>
      </c>
      <c r="F5732" t="s">
        <v>28669</v>
      </c>
      <c r="G5732" t="s">
        <v>28675</v>
      </c>
      <c r="H5732" t="s">
        <v>28686</v>
      </c>
      <c r="I5732" t="s">
        <v>28689</v>
      </c>
      <c r="J5732" t="s">
        <v>32454</v>
      </c>
      <c r="K5732" t="s">
        <v>37206</v>
      </c>
      <c r="M5732" t="s">
        <v>39558</v>
      </c>
      <c r="N5732" t="s">
        <v>41249</v>
      </c>
      <c r="O5732" t="s">
        <v>41250</v>
      </c>
      <c r="P5732">
        <v>0</v>
      </c>
      <c r="Q5732">
        <v>0</v>
      </c>
      <c r="R5732" t="s">
        <v>41255</v>
      </c>
      <c r="S5732" t="s">
        <v>41442</v>
      </c>
      <c r="T5732" t="s">
        <v>42700</v>
      </c>
      <c r="U5732" t="s">
        <v>47957</v>
      </c>
      <c r="W5732" t="s">
        <v>39558</v>
      </c>
      <c r="X5732" t="s">
        <v>41256</v>
      </c>
    </row>
    <row r="5733" spans="1:24">
      <c r="A5733">
        <f>HYPERLINK("https://www.philgeps.gov.ph/GEPSNONPILOT/Tender/SplashBidNoticeAbstractUI.aspx?menuIndex=3&amp;refID=7067557&amp;Result=3","7067557")</f>
        <v>0</v>
      </c>
      <c r="B5733" t="s">
        <v>1939</v>
      </c>
      <c r="C5733" t="s">
        <v>8851</v>
      </c>
      <c r="D5733" t="s">
        <v>16658</v>
      </c>
      <c r="E5733" t="s">
        <v>20908</v>
      </c>
      <c r="F5733" t="s">
        <v>28672</v>
      </c>
      <c r="G5733" t="s">
        <v>28675</v>
      </c>
      <c r="H5733" t="s">
        <v>28686</v>
      </c>
      <c r="I5733" t="s">
        <v>28689</v>
      </c>
      <c r="J5733" t="s">
        <v>32455</v>
      </c>
      <c r="K5733" t="s">
        <v>37231</v>
      </c>
      <c r="M5733" t="s">
        <v>39567</v>
      </c>
      <c r="N5733" t="s">
        <v>41249</v>
      </c>
      <c r="O5733" t="s">
        <v>41250</v>
      </c>
      <c r="P5733">
        <v>0</v>
      </c>
      <c r="Q5733">
        <v>0</v>
      </c>
      <c r="R5733" t="s">
        <v>41256</v>
      </c>
      <c r="S5733" t="s">
        <v>41450</v>
      </c>
      <c r="T5733" t="s">
        <v>42659</v>
      </c>
      <c r="U5733" t="s">
        <v>47931</v>
      </c>
      <c r="W5733" t="s">
        <v>39567</v>
      </c>
      <c r="X5733" t="s">
        <v>41258</v>
      </c>
    </row>
    <row r="5734" spans="1:24">
      <c r="A5734">
        <f>HYPERLINK("https://www.philgeps.gov.ph/GEPSNONPILOT/Tender/SplashBidNoticeAbstractUI.aspx?menuIndex=3&amp;refID=7070316&amp;Result=3","7070316")</f>
        <v>0</v>
      </c>
      <c r="B5734" t="s">
        <v>1633</v>
      </c>
      <c r="C5734" t="s">
        <v>8852</v>
      </c>
      <c r="D5734" t="s">
        <v>16608</v>
      </c>
      <c r="E5734" t="s">
        <v>21786</v>
      </c>
      <c r="F5734" t="s">
        <v>28669</v>
      </c>
      <c r="G5734" t="s">
        <v>28678</v>
      </c>
      <c r="H5734" t="s">
        <v>9998</v>
      </c>
      <c r="I5734" t="s">
        <v>28764</v>
      </c>
      <c r="J5734" t="s">
        <v>32456</v>
      </c>
      <c r="K5734" t="s">
        <v>37205</v>
      </c>
      <c r="M5734" t="s">
        <v>39580</v>
      </c>
      <c r="N5734" t="s">
        <v>41249</v>
      </c>
      <c r="O5734" t="s">
        <v>41250</v>
      </c>
      <c r="P5734">
        <v>0</v>
      </c>
      <c r="Q5734">
        <v>5</v>
      </c>
      <c r="R5734" t="s">
        <v>41256</v>
      </c>
      <c r="S5734" t="s">
        <v>41450</v>
      </c>
      <c r="T5734" t="s">
        <v>42743</v>
      </c>
      <c r="U5734" t="s">
        <v>47958</v>
      </c>
      <c r="V5734" t="s">
        <v>54898</v>
      </c>
      <c r="W5734" t="s">
        <v>39580</v>
      </c>
      <c r="X5734" t="s">
        <v>41257</v>
      </c>
    </row>
    <row r="5735" spans="1:24">
      <c r="A5735">
        <f>HYPERLINK("https://www.philgeps.gov.ph/GEPSNONPILOT/Tender/SplashBidNoticeAbstractUI.aspx?menuIndex=3&amp;refID=7070311&amp;Result=3","7070311")</f>
        <v>0</v>
      </c>
      <c r="B5735" t="s">
        <v>1619</v>
      </c>
      <c r="C5735" t="s">
        <v>8853</v>
      </c>
      <c r="D5735" t="s">
        <v>16678</v>
      </c>
      <c r="E5735" t="s">
        <v>21787</v>
      </c>
      <c r="F5735" t="s">
        <v>28669</v>
      </c>
      <c r="G5735" t="s">
        <v>28675</v>
      </c>
      <c r="H5735" t="s">
        <v>28686</v>
      </c>
      <c r="I5735" t="s">
        <v>28689</v>
      </c>
      <c r="J5735" t="s">
        <v>30289</v>
      </c>
      <c r="K5735" t="s">
        <v>37215</v>
      </c>
      <c r="M5735" t="s">
        <v>39205</v>
      </c>
      <c r="N5735" t="s">
        <v>41249</v>
      </c>
      <c r="O5735" t="s">
        <v>41250</v>
      </c>
      <c r="P5735">
        <v>0</v>
      </c>
      <c r="Q5735">
        <v>0</v>
      </c>
      <c r="R5735" t="s">
        <v>41256</v>
      </c>
      <c r="S5735" t="s">
        <v>41450</v>
      </c>
      <c r="T5735" t="s">
        <v>42769</v>
      </c>
      <c r="U5735" t="s">
        <v>47959</v>
      </c>
      <c r="W5735" t="s">
        <v>39205</v>
      </c>
      <c r="X5735" t="s">
        <v>41257</v>
      </c>
    </row>
    <row r="5736" spans="1:24">
      <c r="A5736">
        <f>HYPERLINK("https://www.philgeps.gov.ph/GEPSNONPILOT/Tender/SplashBidNoticeAbstractUI.aspx?menuIndex=3&amp;refID=7068063&amp;Result=3","7068063")</f>
        <v>0</v>
      </c>
      <c r="B5736" t="s">
        <v>1948</v>
      </c>
      <c r="C5736" t="s">
        <v>8854</v>
      </c>
      <c r="D5736" t="s">
        <v>16627</v>
      </c>
      <c r="E5736" t="s">
        <v>8854</v>
      </c>
      <c r="F5736" t="s">
        <v>28671</v>
      </c>
      <c r="G5736" t="s">
        <v>28677</v>
      </c>
      <c r="H5736" t="s">
        <v>9998</v>
      </c>
      <c r="I5736" t="s">
        <v>11142</v>
      </c>
      <c r="J5736" t="s">
        <v>30579</v>
      </c>
      <c r="K5736" t="s">
        <v>37205</v>
      </c>
      <c r="M5736" t="s">
        <v>39578</v>
      </c>
      <c r="N5736" t="s">
        <v>41249</v>
      </c>
      <c r="O5736" t="s">
        <v>41250</v>
      </c>
      <c r="P5736">
        <v>0</v>
      </c>
      <c r="Q5736">
        <v>1</v>
      </c>
      <c r="R5736" t="s">
        <v>41256</v>
      </c>
      <c r="S5736" t="s">
        <v>41450</v>
      </c>
      <c r="T5736" t="s">
        <v>43014</v>
      </c>
      <c r="U5736" t="s">
        <v>47960</v>
      </c>
      <c r="W5736" t="s">
        <v>39578</v>
      </c>
      <c r="X5736" t="s">
        <v>41258</v>
      </c>
    </row>
    <row r="5737" spans="1:24">
      <c r="A5737">
        <f>HYPERLINK("https://www.philgeps.gov.ph/GEPSNONPILOT/Tender/SplashBidNoticeAbstractUI.aspx?menuIndex=3&amp;refID=7070304&amp;Result=3","7070304")</f>
        <v>0</v>
      </c>
      <c r="B5737" t="s">
        <v>1950</v>
      </c>
      <c r="C5737" t="s">
        <v>8855</v>
      </c>
      <c r="D5737" t="s">
        <v>16608</v>
      </c>
      <c r="E5737" t="s">
        <v>21788</v>
      </c>
      <c r="F5737" t="s">
        <v>28669</v>
      </c>
      <c r="G5737" t="s">
        <v>28676</v>
      </c>
      <c r="H5737" t="s">
        <v>9998</v>
      </c>
      <c r="I5737" t="s">
        <v>28708</v>
      </c>
      <c r="J5737" t="s">
        <v>30814</v>
      </c>
      <c r="K5737" t="s">
        <v>37304</v>
      </c>
      <c r="M5737" t="s">
        <v>39581</v>
      </c>
      <c r="N5737" t="s">
        <v>41249</v>
      </c>
      <c r="O5737" t="s">
        <v>41250</v>
      </c>
      <c r="P5737">
        <v>0</v>
      </c>
      <c r="Q5737">
        <v>5</v>
      </c>
      <c r="R5737" t="s">
        <v>41256</v>
      </c>
      <c r="S5737" t="s">
        <v>41450</v>
      </c>
      <c r="T5737" t="s">
        <v>42701</v>
      </c>
      <c r="U5737" t="s">
        <v>47961</v>
      </c>
      <c r="W5737" t="s">
        <v>39581</v>
      </c>
      <c r="X5737" t="s">
        <v>41257</v>
      </c>
    </row>
    <row r="5738" spans="1:24">
      <c r="A5738">
        <f>HYPERLINK("https://www.philgeps.gov.ph/GEPSNONPILOT/Tender/SplashBidNoticeAbstractUI.aspx?menuIndex=3&amp;refID=7070302&amp;Result=3","7070302")</f>
        <v>0</v>
      </c>
      <c r="B5738" t="s">
        <v>1619</v>
      </c>
      <c r="C5738" t="s">
        <v>8856</v>
      </c>
      <c r="D5738" t="s">
        <v>16678</v>
      </c>
      <c r="E5738" t="s">
        <v>21789</v>
      </c>
      <c r="F5738" t="s">
        <v>28669</v>
      </c>
      <c r="G5738" t="s">
        <v>28675</v>
      </c>
      <c r="H5738" t="s">
        <v>28686</v>
      </c>
      <c r="I5738" t="s">
        <v>28689</v>
      </c>
      <c r="J5738" t="s">
        <v>30289</v>
      </c>
      <c r="K5738" t="s">
        <v>37215</v>
      </c>
      <c r="M5738" t="s">
        <v>39205</v>
      </c>
      <c r="N5738" t="s">
        <v>41249</v>
      </c>
      <c r="O5738" t="s">
        <v>41250</v>
      </c>
      <c r="P5738">
        <v>0</v>
      </c>
      <c r="Q5738">
        <v>0</v>
      </c>
      <c r="R5738" t="s">
        <v>41256</v>
      </c>
      <c r="S5738" t="s">
        <v>41450</v>
      </c>
      <c r="T5738" t="s">
        <v>42769</v>
      </c>
      <c r="U5738" t="s">
        <v>47959</v>
      </c>
      <c r="W5738" t="s">
        <v>39205</v>
      </c>
      <c r="X5738" t="s">
        <v>41257</v>
      </c>
    </row>
    <row r="5739" spans="1:24">
      <c r="A5739">
        <f>HYPERLINK("https://www.philgeps.gov.ph/GEPSNONPILOT/Tender/SplashBidNoticeAbstractUI.aspx?menuIndex=3&amp;refID=7070312&amp;Result=3","7070312")</f>
        <v>0</v>
      </c>
      <c r="B5739" t="s">
        <v>1950</v>
      </c>
      <c r="C5739" t="s">
        <v>8857</v>
      </c>
      <c r="D5739" t="s">
        <v>16608</v>
      </c>
      <c r="E5739" t="s">
        <v>21790</v>
      </c>
      <c r="F5739" t="s">
        <v>28669</v>
      </c>
      <c r="G5739" t="s">
        <v>28676</v>
      </c>
      <c r="H5739" t="s">
        <v>28684</v>
      </c>
      <c r="I5739" t="s">
        <v>28757</v>
      </c>
      <c r="J5739" t="s">
        <v>32457</v>
      </c>
      <c r="K5739" t="s">
        <v>37272</v>
      </c>
      <c r="M5739" t="s">
        <v>39581</v>
      </c>
      <c r="N5739" t="s">
        <v>41249</v>
      </c>
      <c r="O5739" t="s">
        <v>41250</v>
      </c>
      <c r="P5739">
        <v>0</v>
      </c>
      <c r="Q5739">
        <v>2</v>
      </c>
      <c r="R5739" t="s">
        <v>41256</v>
      </c>
      <c r="S5739" t="s">
        <v>41450</v>
      </c>
      <c r="T5739" t="s">
        <v>42701</v>
      </c>
      <c r="U5739" t="s">
        <v>47961</v>
      </c>
      <c r="W5739" t="s">
        <v>39581</v>
      </c>
      <c r="X5739" t="s">
        <v>41257</v>
      </c>
    </row>
    <row r="5740" spans="1:24">
      <c r="A5740">
        <f>HYPERLINK("https://www.philgeps.gov.ph/GEPSNONPILOT/Tender/SplashBidNoticeAbstractUI.aspx?menuIndex=3&amp;refID=7070274&amp;Result=3","7070274")</f>
        <v>0</v>
      </c>
      <c r="B5740" t="s">
        <v>1951</v>
      </c>
      <c r="C5740" t="s">
        <v>8858</v>
      </c>
      <c r="D5740" t="s">
        <v>16610</v>
      </c>
      <c r="E5740" t="s">
        <v>19682</v>
      </c>
      <c r="F5740" t="s">
        <v>28669</v>
      </c>
      <c r="G5740" t="s">
        <v>28675</v>
      </c>
      <c r="H5740" t="s">
        <v>28686</v>
      </c>
      <c r="I5740" t="s">
        <v>28689</v>
      </c>
      <c r="J5740" t="s">
        <v>32458</v>
      </c>
      <c r="K5740" t="s">
        <v>37211</v>
      </c>
      <c r="M5740" t="s">
        <v>39582</v>
      </c>
      <c r="N5740" t="s">
        <v>41249</v>
      </c>
      <c r="O5740" t="s">
        <v>41250</v>
      </c>
      <c r="P5740">
        <v>0</v>
      </c>
      <c r="Q5740">
        <v>0</v>
      </c>
      <c r="R5740" t="s">
        <v>41256</v>
      </c>
      <c r="S5740" t="s">
        <v>41450</v>
      </c>
      <c r="T5740" t="s">
        <v>42911</v>
      </c>
      <c r="U5740" t="s">
        <v>47962</v>
      </c>
      <c r="W5740" t="s">
        <v>39582</v>
      </c>
      <c r="X5740" t="s">
        <v>41257</v>
      </c>
    </row>
    <row r="5741" spans="1:24">
      <c r="A5741">
        <f>HYPERLINK("https://www.philgeps.gov.ph/GEPSNONPILOT/Tender/SplashBidNoticeAbstractUI.aspx?menuIndex=3&amp;refID=7070299&amp;Result=3","7070299")</f>
        <v>0</v>
      </c>
      <c r="B5741" t="s">
        <v>1952</v>
      </c>
      <c r="C5741" t="s">
        <v>8859</v>
      </c>
      <c r="D5741" t="s">
        <v>16622</v>
      </c>
      <c r="E5741" t="s">
        <v>17629</v>
      </c>
      <c r="F5741" t="s">
        <v>28669</v>
      </c>
      <c r="G5741" t="s">
        <v>28675</v>
      </c>
      <c r="H5741" t="s">
        <v>9998</v>
      </c>
      <c r="I5741" t="s">
        <v>7352</v>
      </c>
      <c r="J5741" t="s">
        <v>32459</v>
      </c>
      <c r="K5741" t="s">
        <v>37206</v>
      </c>
      <c r="M5741" t="s">
        <v>39583</v>
      </c>
      <c r="N5741" t="s">
        <v>41249</v>
      </c>
      <c r="O5741" t="s">
        <v>41250</v>
      </c>
      <c r="P5741">
        <v>0</v>
      </c>
      <c r="Q5741">
        <v>1</v>
      </c>
      <c r="R5741" t="s">
        <v>41256</v>
      </c>
      <c r="S5741" t="s">
        <v>41450</v>
      </c>
      <c r="T5741" t="s">
        <v>43015</v>
      </c>
      <c r="U5741" t="s">
        <v>47963</v>
      </c>
      <c r="W5741" t="s">
        <v>39583</v>
      </c>
      <c r="X5741" t="s">
        <v>41257</v>
      </c>
    </row>
    <row r="5742" spans="1:24">
      <c r="A5742">
        <f>HYPERLINK("https://www.philgeps.gov.ph/GEPSNONPILOT/Tender/SplashBidNoticeAbstractUI.aspx?menuIndex=3&amp;refID=7070295&amp;Result=3","7070295")</f>
        <v>0</v>
      </c>
      <c r="B5742" t="s">
        <v>150</v>
      </c>
      <c r="C5742" t="s">
        <v>8860</v>
      </c>
      <c r="D5742" t="s">
        <v>16617</v>
      </c>
      <c r="E5742" t="s">
        <v>21791</v>
      </c>
      <c r="F5742" t="s">
        <v>28669</v>
      </c>
      <c r="G5742" t="s">
        <v>28676</v>
      </c>
      <c r="H5742" t="s">
        <v>9998</v>
      </c>
      <c r="I5742" t="s">
        <v>5213</v>
      </c>
      <c r="J5742" t="s">
        <v>32460</v>
      </c>
      <c r="K5742" t="s">
        <v>37220</v>
      </c>
      <c r="M5742" t="s">
        <v>37627</v>
      </c>
      <c r="N5742" t="s">
        <v>41249</v>
      </c>
      <c r="O5742" t="s">
        <v>41250</v>
      </c>
      <c r="P5742">
        <v>0</v>
      </c>
      <c r="Q5742">
        <v>0</v>
      </c>
      <c r="R5742" t="s">
        <v>41256</v>
      </c>
      <c r="S5742" t="s">
        <v>41450</v>
      </c>
      <c r="T5742" t="s">
        <v>42992</v>
      </c>
      <c r="U5742" t="s">
        <v>47964</v>
      </c>
      <c r="W5742" t="s">
        <v>37627</v>
      </c>
      <c r="X5742" t="s">
        <v>41257</v>
      </c>
    </row>
    <row r="5743" spans="1:24">
      <c r="A5743">
        <f>HYPERLINK("https://www.philgeps.gov.ph/GEPSNONPILOT/Tender/SplashBidNoticeAbstractUI.aspx?menuIndex=3&amp;refID=7070294&amp;Result=3","7070294")</f>
        <v>0</v>
      </c>
      <c r="B5743" t="s">
        <v>150</v>
      </c>
      <c r="C5743" t="s">
        <v>8861</v>
      </c>
      <c r="D5743" t="s">
        <v>16617</v>
      </c>
      <c r="E5743" t="s">
        <v>21792</v>
      </c>
      <c r="F5743" t="s">
        <v>28669</v>
      </c>
      <c r="G5743" t="s">
        <v>28679</v>
      </c>
      <c r="H5743" t="s">
        <v>9998</v>
      </c>
      <c r="I5743" t="s">
        <v>5213</v>
      </c>
      <c r="J5743" t="s">
        <v>32461</v>
      </c>
      <c r="K5743" t="s">
        <v>37220</v>
      </c>
      <c r="M5743" t="s">
        <v>37627</v>
      </c>
      <c r="N5743" t="s">
        <v>41249</v>
      </c>
      <c r="O5743" t="s">
        <v>41250</v>
      </c>
      <c r="P5743">
        <v>0</v>
      </c>
      <c r="Q5743">
        <v>0</v>
      </c>
      <c r="R5743" t="s">
        <v>41256</v>
      </c>
      <c r="S5743" t="s">
        <v>41450</v>
      </c>
      <c r="T5743" t="s">
        <v>42992</v>
      </c>
      <c r="U5743" t="s">
        <v>47965</v>
      </c>
      <c r="W5743" t="s">
        <v>37627</v>
      </c>
      <c r="X5743" t="s">
        <v>41257</v>
      </c>
    </row>
    <row r="5744" spans="1:24">
      <c r="A5744">
        <f>HYPERLINK("https://www.philgeps.gov.ph/GEPSNONPILOT/Tender/SplashBidNoticeAbstractUI.aspx?menuIndex=3&amp;refID=7070388&amp;Result=3","7070388")</f>
        <v>0</v>
      </c>
      <c r="B5744" t="s">
        <v>101</v>
      </c>
      <c r="C5744" t="s">
        <v>8862</v>
      </c>
      <c r="D5744" t="s">
        <v>16644</v>
      </c>
      <c r="E5744" t="s">
        <v>21793</v>
      </c>
      <c r="F5744" t="s">
        <v>28669</v>
      </c>
      <c r="G5744" t="s">
        <v>28676</v>
      </c>
      <c r="H5744" t="s">
        <v>9998</v>
      </c>
      <c r="I5744" t="s">
        <v>28693</v>
      </c>
      <c r="J5744" t="s">
        <v>32462</v>
      </c>
      <c r="K5744" t="s">
        <v>37206</v>
      </c>
      <c r="M5744" t="s">
        <v>38633</v>
      </c>
      <c r="N5744" t="s">
        <v>41249</v>
      </c>
      <c r="O5744" t="s">
        <v>41250</v>
      </c>
      <c r="Q5744">
        <v>5</v>
      </c>
      <c r="R5744" t="s">
        <v>41256</v>
      </c>
      <c r="S5744" t="s">
        <v>41452</v>
      </c>
      <c r="T5744" t="s">
        <v>42748</v>
      </c>
      <c r="U5744" t="s">
        <v>47966</v>
      </c>
      <c r="W5744" t="s">
        <v>38633</v>
      </c>
      <c r="X5744" t="s">
        <v>41257</v>
      </c>
    </row>
    <row r="5745" spans="1:24">
      <c r="A5745">
        <f>HYPERLINK("https://www.philgeps.gov.ph/GEPSNONPILOT/Tender/SplashBidNoticeAbstractUI.aspx?menuIndex=3&amp;refID=7070387&amp;Result=3","7070387")</f>
        <v>0</v>
      </c>
      <c r="B5745" t="s">
        <v>1770</v>
      </c>
      <c r="C5745" t="s">
        <v>8863</v>
      </c>
      <c r="D5745" t="s">
        <v>16608</v>
      </c>
      <c r="E5745" t="s">
        <v>21794</v>
      </c>
      <c r="F5745" t="s">
        <v>28669</v>
      </c>
      <c r="G5745" t="s">
        <v>28676</v>
      </c>
      <c r="H5745" t="s">
        <v>9998</v>
      </c>
      <c r="I5745" t="s">
        <v>28779</v>
      </c>
      <c r="J5745" t="s">
        <v>28824</v>
      </c>
      <c r="K5745" t="s">
        <v>37204</v>
      </c>
      <c r="M5745" t="s">
        <v>39584</v>
      </c>
      <c r="N5745" t="s">
        <v>41249</v>
      </c>
      <c r="O5745" t="s">
        <v>41250</v>
      </c>
      <c r="P5745">
        <v>0</v>
      </c>
      <c r="Q5745">
        <v>2</v>
      </c>
      <c r="R5745" t="s">
        <v>41256</v>
      </c>
      <c r="S5745" t="s">
        <v>41450</v>
      </c>
      <c r="T5745" t="s">
        <v>42751</v>
      </c>
      <c r="U5745" t="s">
        <v>47967</v>
      </c>
      <c r="W5745" t="s">
        <v>39584</v>
      </c>
      <c r="X5745" t="s">
        <v>41257</v>
      </c>
    </row>
    <row r="5746" spans="1:24">
      <c r="A5746">
        <f>HYPERLINK("https://www.philgeps.gov.ph/GEPSNONPILOT/Tender/SplashBidNoticeAbstractUI.aspx?menuIndex=3&amp;refID=7070301&amp;Result=3","7070301")</f>
        <v>0</v>
      </c>
      <c r="B5746" t="s">
        <v>1619</v>
      </c>
      <c r="C5746" t="s">
        <v>8864</v>
      </c>
      <c r="D5746" t="s">
        <v>16678</v>
      </c>
      <c r="E5746" t="s">
        <v>21795</v>
      </c>
      <c r="F5746" t="s">
        <v>28669</v>
      </c>
      <c r="G5746" t="s">
        <v>28675</v>
      </c>
      <c r="H5746" t="s">
        <v>28686</v>
      </c>
      <c r="I5746" t="s">
        <v>28689</v>
      </c>
      <c r="J5746" t="s">
        <v>32463</v>
      </c>
      <c r="K5746" t="s">
        <v>37214</v>
      </c>
      <c r="M5746" t="s">
        <v>39205</v>
      </c>
      <c r="N5746" t="s">
        <v>41249</v>
      </c>
      <c r="O5746" t="s">
        <v>41250</v>
      </c>
      <c r="P5746">
        <v>0</v>
      </c>
      <c r="Q5746">
        <v>0</v>
      </c>
      <c r="R5746" t="s">
        <v>41256</v>
      </c>
      <c r="S5746" t="s">
        <v>41450</v>
      </c>
      <c r="T5746" t="s">
        <v>42769</v>
      </c>
      <c r="U5746" t="s">
        <v>47959</v>
      </c>
      <c r="W5746" t="s">
        <v>39205</v>
      </c>
      <c r="X5746" t="s">
        <v>41257</v>
      </c>
    </row>
    <row r="5747" spans="1:24">
      <c r="A5747">
        <f>HYPERLINK("https://www.philgeps.gov.ph/GEPSNONPILOT/Tender/SplashBidNoticeAbstractUI.aspx?menuIndex=3&amp;refID=7070385&amp;Result=3","7070385")</f>
        <v>0</v>
      </c>
      <c r="B5747" t="s">
        <v>492</v>
      </c>
      <c r="C5747" t="s">
        <v>8865</v>
      </c>
      <c r="D5747" t="s">
        <v>16621</v>
      </c>
      <c r="E5747" t="s">
        <v>21796</v>
      </c>
      <c r="F5747" t="s">
        <v>28669</v>
      </c>
      <c r="G5747" t="s">
        <v>28675</v>
      </c>
      <c r="H5747" t="s">
        <v>9998</v>
      </c>
      <c r="I5747" t="s">
        <v>5213</v>
      </c>
      <c r="J5747" t="s">
        <v>32464</v>
      </c>
      <c r="K5747" t="s">
        <v>37210</v>
      </c>
      <c r="M5747" t="s">
        <v>37981</v>
      </c>
      <c r="N5747" t="s">
        <v>41249</v>
      </c>
      <c r="O5747" t="s">
        <v>41250</v>
      </c>
      <c r="P5747">
        <v>0</v>
      </c>
      <c r="Q5747">
        <v>0</v>
      </c>
      <c r="R5747" t="s">
        <v>41256</v>
      </c>
      <c r="S5747" t="s">
        <v>41450</v>
      </c>
      <c r="T5747" t="s">
        <v>42808</v>
      </c>
      <c r="U5747" t="s">
        <v>47968</v>
      </c>
      <c r="W5747" t="s">
        <v>37981</v>
      </c>
      <c r="X5747" t="s">
        <v>41257</v>
      </c>
    </row>
    <row r="5748" spans="1:24">
      <c r="A5748">
        <f>HYPERLINK("https://www.philgeps.gov.ph/GEPSNONPILOT/Tender/SplashBidNoticeAbstractUI.aspx?menuIndex=3&amp;refID=7070373&amp;Result=3","7070373")</f>
        <v>0</v>
      </c>
      <c r="B5748" t="s">
        <v>1953</v>
      </c>
      <c r="C5748" t="s">
        <v>8866</v>
      </c>
      <c r="D5748" t="s">
        <v>16611</v>
      </c>
      <c r="E5748" t="s">
        <v>21797</v>
      </c>
      <c r="F5748" t="s">
        <v>28669</v>
      </c>
      <c r="G5748" t="s">
        <v>28679</v>
      </c>
      <c r="H5748" t="s">
        <v>9998</v>
      </c>
      <c r="I5748" t="s">
        <v>28810</v>
      </c>
      <c r="J5748" t="s">
        <v>29187</v>
      </c>
      <c r="K5748" t="s">
        <v>37220</v>
      </c>
      <c r="M5748" t="s">
        <v>39585</v>
      </c>
      <c r="N5748" t="s">
        <v>41249</v>
      </c>
      <c r="O5748" t="s">
        <v>41250</v>
      </c>
      <c r="P5748">
        <v>0</v>
      </c>
      <c r="Q5748">
        <v>3</v>
      </c>
      <c r="R5748" t="s">
        <v>41256</v>
      </c>
      <c r="S5748" t="s">
        <v>41450</v>
      </c>
      <c r="T5748" t="s">
        <v>42857</v>
      </c>
      <c r="U5748" t="s">
        <v>47969</v>
      </c>
      <c r="V5748" t="s">
        <v>54899</v>
      </c>
      <c r="W5748" t="s">
        <v>39585</v>
      </c>
      <c r="X5748" t="s">
        <v>41257</v>
      </c>
    </row>
    <row r="5749" spans="1:24">
      <c r="A5749">
        <f>HYPERLINK("https://www.philgeps.gov.ph/GEPSNONPILOT/Tender/SplashBidNoticeAbstractUI.aspx?menuIndex=3&amp;refID=7070371&amp;Result=3","7070371")</f>
        <v>0</v>
      </c>
      <c r="B5749" t="s">
        <v>1770</v>
      </c>
      <c r="C5749" t="s">
        <v>8867</v>
      </c>
      <c r="D5749" t="s">
        <v>16608</v>
      </c>
      <c r="E5749" t="s">
        <v>21798</v>
      </c>
      <c r="F5749" t="s">
        <v>28669</v>
      </c>
      <c r="G5749" t="s">
        <v>28676</v>
      </c>
      <c r="H5749" t="s">
        <v>9998</v>
      </c>
      <c r="I5749" t="s">
        <v>28708</v>
      </c>
      <c r="J5749" t="s">
        <v>32465</v>
      </c>
      <c r="K5749" t="s">
        <v>37206</v>
      </c>
      <c r="M5749" t="s">
        <v>39584</v>
      </c>
      <c r="N5749" t="s">
        <v>41249</v>
      </c>
      <c r="O5749" t="s">
        <v>41250</v>
      </c>
      <c r="P5749">
        <v>0</v>
      </c>
      <c r="Q5749">
        <v>12</v>
      </c>
      <c r="R5749" t="s">
        <v>41256</v>
      </c>
      <c r="S5749" t="s">
        <v>41450</v>
      </c>
      <c r="T5749" t="s">
        <v>42751</v>
      </c>
      <c r="U5749" t="s">
        <v>47967</v>
      </c>
      <c r="W5749" t="s">
        <v>39584</v>
      </c>
      <c r="X5749" t="s">
        <v>41257</v>
      </c>
    </row>
    <row r="5750" spans="1:24">
      <c r="A5750">
        <f>HYPERLINK("https://www.philgeps.gov.ph/GEPSNONPILOT/Tender/SplashBidNoticeAbstractUI.aspx?menuIndex=3&amp;refID=7070369&amp;Result=3","7070369")</f>
        <v>0</v>
      </c>
      <c r="B5750" t="s">
        <v>1954</v>
      </c>
      <c r="C5750" t="s">
        <v>8868</v>
      </c>
      <c r="D5750" t="s">
        <v>16632</v>
      </c>
      <c r="E5750" t="s">
        <v>21799</v>
      </c>
      <c r="F5750" t="s">
        <v>28671</v>
      </c>
      <c r="G5750" t="s">
        <v>28677</v>
      </c>
      <c r="H5750" t="s">
        <v>9998</v>
      </c>
      <c r="I5750" t="s">
        <v>28754</v>
      </c>
      <c r="J5750" t="s">
        <v>29364</v>
      </c>
      <c r="K5750" t="s">
        <v>37209</v>
      </c>
      <c r="M5750" t="s">
        <v>39586</v>
      </c>
      <c r="N5750" t="s">
        <v>41249</v>
      </c>
      <c r="O5750" t="s">
        <v>41250</v>
      </c>
      <c r="P5750">
        <v>0</v>
      </c>
      <c r="Q5750">
        <v>5</v>
      </c>
      <c r="R5750" t="s">
        <v>41256</v>
      </c>
      <c r="S5750" t="s">
        <v>41450</v>
      </c>
      <c r="T5750" t="s">
        <v>42758</v>
      </c>
      <c r="U5750" t="s">
        <v>47970</v>
      </c>
      <c r="W5750" t="s">
        <v>39586</v>
      </c>
      <c r="X5750" t="s">
        <v>41257</v>
      </c>
    </row>
    <row r="5751" spans="1:24">
      <c r="A5751">
        <f>HYPERLINK("https://www.philgeps.gov.ph/GEPSNONPILOT/Tender/SplashBidNoticeAbstractUI.aspx?menuIndex=3&amp;refID=7070384&amp;Result=3","7070384")</f>
        <v>0</v>
      </c>
      <c r="B5751" t="s">
        <v>1955</v>
      </c>
      <c r="C5751" t="s">
        <v>8869</v>
      </c>
      <c r="D5751" t="s">
        <v>16644</v>
      </c>
      <c r="E5751" t="s">
        <v>21800</v>
      </c>
      <c r="F5751" t="s">
        <v>28669</v>
      </c>
      <c r="G5751" t="s">
        <v>28675</v>
      </c>
      <c r="H5751" t="s">
        <v>9998</v>
      </c>
      <c r="I5751" t="s">
        <v>28717</v>
      </c>
      <c r="J5751" t="s">
        <v>29186</v>
      </c>
      <c r="K5751" t="s">
        <v>37210</v>
      </c>
      <c r="M5751" t="s">
        <v>39587</v>
      </c>
      <c r="N5751" t="s">
        <v>41249</v>
      </c>
      <c r="O5751" t="s">
        <v>41250</v>
      </c>
      <c r="P5751">
        <v>0</v>
      </c>
      <c r="Q5751">
        <v>0</v>
      </c>
      <c r="R5751" t="s">
        <v>41256</v>
      </c>
      <c r="S5751" t="s">
        <v>41450</v>
      </c>
      <c r="T5751" t="s">
        <v>42673</v>
      </c>
      <c r="U5751" t="s">
        <v>47971</v>
      </c>
      <c r="W5751" t="s">
        <v>39587</v>
      </c>
      <c r="X5751" t="s">
        <v>41257</v>
      </c>
    </row>
    <row r="5752" spans="1:24">
      <c r="A5752">
        <f>HYPERLINK("https://www.philgeps.gov.ph/GEPSNONPILOT/Tender/SplashBidNoticeAbstractUI.aspx?menuIndex=3&amp;refID=7070363&amp;Result=3","7070363")</f>
        <v>0</v>
      </c>
      <c r="B5752" t="s">
        <v>1953</v>
      </c>
      <c r="C5752" t="s">
        <v>8870</v>
      </c>
      <c r="D5752" t="s">
        <v>16611</v>
      </c>
      <c r="E5752" t="s">
        <v>21801</v>
      </c>
      <c r="F5752" t="s">
        <v>28669</v>
      </c>
      <c r="G5752" t="s">
        <v>28679</v>
      </c>
      <c r="H5752" t="s">
        <v>9998</v>
      </c>
      <c r="I5752" t="s">
        <v>11142</v>
      </c>
      <c r="J5752" t="s">
        <v>32466</v>
      </c>
      <c r="K5752" t="s">
        <v>37220</v>
      </c>
      <c r="M5752" t="s">
        <v>39585</v>
      </c>
      <c r="N5752" t="s">
        <v>41249</v>
      </c>
      <c r="O5752" t="s">
        <v>41250</v>
      </c>
      <c r="P5752">
        <v>0</v>
      </c>
      <c r="Q5752">
        <v>2</v>
      </c>
      <c r="R5752" t="s">
        <v>41256</v>
      </c>
      <c r="S5752" t="s">
        <v>41450</v>
      </c>
      <c r="T5752" t="s">
        <v>42857</v>
      </c>
      <c r="U5752" t="s">
        <v>47969</v>
      </c>
      <c r="V5752" t="s">
        <v>54899</v>
      </c>
      <c r="W5752" t="s">
        <v>39585</v>
      </c>
      <c r="X5752" t="s">
        <v>41257</v>
      </c>
    </row>
    <row r="5753" spans="1:24">
      <c r="A5753">
        <f>HYPERLINK("https://www.philgeps.gov.ph/GEPSNONPILOT/Tender/SplashBidNoticeAbstractUI.aspx?menuIndex=3&amp;refID=7070360&amp;Result=3","7070360")</f>
        <v>0</v>
      </c>
      <c r="B5753" t="s">
        <v>1956</v>
      </c>
      <c r="C5753" t="s">
        <v>8871</v>
      </c>
      <c r="D5753" t="s">
        <v>16615</v>
      </c>
      <c r="E5753" t="s">
        <v>21802</v>
      </c>
      <c r="F5753" t="s">
        <v>28669</v>
      </c>
      <c r="G5753" t="s">
        <v>28675</v>
      </c>
      <c r="H5753" t="s">
        <v>9998</v>
      </c>
      <c r="I5753" t="s">
        <v>28695</v>
      </c>
      <c r="J5753" t="s">
        <v>32467</v>
      </c>
      <c r="K5753" t="s">
        <v>37206</v>
      </c>
      <c r="M5753" t="s">
        <v>39588</v>
      </c>
      <c r="N5753" t="s">
        <v>41249</v>
      </c>
      <c r="O5753" t="s">
        <v>41250</v>
      </c>
      <c r="P5753">
        <v>0</v>
      </c>
      <c r="Q5753">
        <v>0</v>
      </c>
      <c r="R5753" t="s">
        <v>41256</v>
      </c>
      <c r="S5753" t="s">
        <v>41450</v>
      </c>
      <c r="T5753" t="s">
        <v>42766</v>
      </c>
      <c r="U5753" t="s">
        <v>47972</v>
      </c>
      <c r="W5753" t="s">
        <v>39588</v>
      </c>
      <c r="X5753" t="s">
        <v>41257</v>
      </c>
    </row>
    <row r="5754" spans="1:24">
      <c r="A5754">
        <f>HYPERLINK("https://www.philgeps.gov.ph/GEPSNONPILOT/Tender/SplashBidNoticeAbstractUI.aspx?menuIndex=3&amp;refID=7070358&amp;Result=3","7070358")</f>
        <v>0</v>
      </c>
      <c r="B5754" t="s">
        <v>1947</v>
      </c>
      <c r="C5754" t="s">
        <v>8872</v>
      </c>
      <c r="D5754" t="s">
        <v>16626</v>
      </c>
      <c r="E5754" t="s">
        <v>21803</v>
      </c>
      <c r="F5754" t="s">
        <v>28669</v>
      </c>
      <c r="G5754" t="s">
        <v>28676</v>
      </c>
      <c r="H5754" t="s">
        <v>9998</v>
      </c>
      <c r="I5754" t="s">
        <v>6128</v>
      </c>
      <c r="J5754" t="s">
        <v>32468</v>
      </c>
      <c r="K5754" t="s">
        <v>37206</v>
      </c>
      <c r="M5754" t="s">
        <v>39577</v>
      </c>
      <c r="N5754" t="s">
        <v>41249</v>
      </c>
      <c r="O5754" t="s">
        <v>41250</v>
      </c>
      <c r="P5754">
        <v>0</v>
      </c>
      <c r="Q5754">
        <v>2</v>
      </c>
      <c r="R5754" t="s">
        <v>41256</v>
      </c>
      <c r="S5754" t="s">
        <v>41450</v>
      </c>
      <c r="T5754" t="s">
        <v>42883</v>
      </c>
      <c r="U5754" t="s">
        <v>47973</v>
      </c>
      <c r="W5754" t="s">
        <v>39577</v>
      </c>
      <c r="X5754" t="s">
        <v>41257</v>
      </c>
    </row>
    <row r="5755" spans="1:24">
      <c r="A5755">
        <f>HYPERLINK("https://www.philgeps.gov.ph/GEPSNONPILOT/Tender/SplashBidNoticeAbstractUI.aspx?menuIndex=3&amp;refID=7070351&amp;Result=3","7070351")</f>
        <v>0</v>
      </c>
      <c r="B5755" t="s">
        <v>1957</v>
      </c>
      <c r="C5755" t="s">
        <v>8873</v>
      </c>
      <c r="D5755" t="s">
        <v>16620</v>
      </c>
      <c r="E5755" t="s">
        <v>21804</v>
      </c>
      <c r="F5755" t="s">
        <v>28669</v>
      </c>
      <c r="G5755" t="s">
        <v>28675</v>
      </c>
      <c r="H5755" t="s">
        <v>9998</v>
      </c>
      <c r="I5755" t="s">
        <v>11593</v>
      </c>
      <c r="J5755" t="s">
        <v>30907</v>
      </c>
      <c r="K5755" t="s">
        <v>37206</v>
      </c>
      <c r="M5755" t="s">
        <v>39589</v>
      </c>
      <c r="N5755" t="s">
        <v>41249</v>
      </c>
      <c r="O5755" t="s">
        <v>41250</v>
      </c>
      <c r="P5755">
        <v>0</v>
      </c>
      <c r="Q5755">
        <v>0</v>
      </c>
      <c r="R5755" t="s">
        <v>41256</v>
      </c>
      <c r="S5755" t="s">
        <v>41450</v>
      </c>
      <c r="T5755" t="s">
        <v>42696</v>
      </c>
      <c r="U5755" t="s">
        <v>47974</v>
      </c>
      <c r="W5755" t="s">
        <v>39589</v>
      </c>
      <c r="X5755" t="s">
        <v>41257</v>
      </c>
    </row>
    <row r="5756" spans="1:24">
      <c r="A5756">
        <f>HYPERLINK("https://www.philgeps.gov.ph/GEPSNONPILOT/Tender/SplashBidNoticeAbstractUI.aspx?menuIndex=3&amp;refID=7070350&amp;Result=3","7070350")</f>
        <v>0</v>
      </c>
      <c r="B5756" t="s">
        <v>1633</v>
      </c>
      <c r="C5756" t="s">
        <v>8874</v>
      </c>
      <c r="D5756" t="s">
        <v>16608</v>
      </c>
      <c r="E5756" t="s">
        <v>21805</v>
      </c>
      <c r="F5756" t="s">
        <v>28669</v>
      </c>
      <c r="G5756" t="s">
        <v>28676</v>
      </c>
      <c r="H5756" t="s">
        <v>9998</v>
      </c>
      <c r="I5756" t="s">
        <v>3679</v>
      </c>
      <c r="J5756" t="s">
        <v>29263</v>
      </c>
      <c r="K5756" t="s">
        <v>37227</v>
      </c>
      <c r="M5756" t="s">
        <v>39590</v>
      </c>
      <c r="N5756" t="s">
        <v>41249</v>
      </c>
      <c r="O5756" t="s">
        <v>41250</v>
      </c>
      <c r="P5756">
        <v>0</v>
      </c>
      <c r="Q5756">
        <v>1</v>
      </c>
      <c r="R5756" t="s">
        <v>41256</v>
      </c>
      <c r="S5756" t="s">
        <v>41450</v>
      </c>
      <c r="T5756" t="s">
        <v>42743</v>
      </c>
      <c r="U5756" t="s">
        <v>47958</v>
      </c>
      <c r="V5756" t="s">
        <v>54900</v>
      </c>
      <c r="W5756" t="s">
        <v>39590</v>
      </c>
      <c r="X5756" t="s">
        <v>41257</v>
      </c>
    </row>
    <row r="5757" spans="1:24">
      <c r="A5757">
        <f>HYPERLINK("https://www.philgeps.gov.ph/GEPSNONPILOT/Tender/SplashBidNoticeAbstractUI.aspx?menuIndex=3&amp;refID=7070300&amp;Result=3","7070300")</f>
        <v>0</v>
      </c>
      <c r="B5757" t="s">
        <v>1958</v>
      </c>
      <c r="C5757" t="s">
        <v>8875</v>
      </c>
      <c r="D5757" t="s">
        <v>16657</v>
      </c>
      <c r="E5757" t="s">
        <v>21806</v>
      </c>
      <c r="F5757" t="s">
        <v>28669</v>
      </c>
      <c r="G5757" t="s">
        <v>28675</v>
      </c>
      <c r="H5757" t="s">
        <v>9998</v>
      </c>
      <c r="I5757" t="s">
        <v>28694</v>
      </c>
      <c r="J5757" t="s">
        <v>32469</v>
      </c>
      <c r="K5757" t="s">
        <v>37204</v>
      </c>
      <c r="M5757" t="s">
        <v>39591</v>
      </c>
      <c r="N5757" t="s">
        <v>41249</v>
      </c>
      <c r="O5757" t="s">
        <v>41250</v>
      </c>
      <c r="P5757">
        <v>0</v>
      </c>
      <c r="Q5757">
        <v>1</v>
      </c>
      <c r="R5757" t="s">
        <v>41256</v>
      </c>
      <c r="S5757" t="s">
        <v>41450</v>
      </c>
      <c r="T5757" t="s">
        <v>42673</v>
      </c>
      <c r="U5757" t="s">
        <v>47975</v>
      </c>
      <c r="W5757" t="s">
        <v>39591</v>
      </c>
      <c r="X5757" t="s">
        <v>41257</v>
      </c>
    </row>
    <row r="5758" spans="1:24">
      <c r="A5758">
        <f>HYPERLINK("https://www.philgeps.gov.ph/GEPSNONPILOT/Tender/SplashBidNoticeAbstractUI.aspx?menuIndex=3&amp;refID=7070342&amp;Result=3","7070342")</f>
        <v>0</v>
      </c>
      <c r="B5758" t="s">
        <v>1953</v>
      </c>
      <c r="C5758" t="s">
        <v>8876</v>
      </c>
      <c r="D5758" t="s">
        <v>16656</v>
      </c>
      <c r="E5758" t="s">
        <v>21807</v>
      </c>
      <c r="F5758" t="s">
        <v>28669</v>
      </c>
      <c r="G5758" t="s">
        <v>28679</v>
      </c>
      <c r="H5758" t="s">
        <v>9998</v>
      </c>
      <c r="I5758" t="s">
        <v>28752</v>
      </c>
      <c r="J5758" t="s">
        <v>30377</v>
      </c>
      <c r="K5758" t="s">
        <v>37206</v>
      </c>
      <c r="M5758" t="s">
        <v>39585</v>
      </c>
      <c r="N5758" t="s">
        <v>41249</v>
      </c>
      <c r="O5758" t="s">
        <v>41250</v>
      </c>
      <c r="P5758">
        <v>0</v>
      </c>
      <c r="Q5758">
        <v>1</v>
      </c>
      <c r="R5758" t="s">
        <v>41256</v>
      </c>
      <c r="S5758" t="s">
        <v>41450</v>
      </c>
      <c r="T5758" t="s">
        <v>42857</v>
      </c>
      <c r="U5758" t="s">
        <v>47969</v>
      </c>
      <c r="V5758" t="s">
        <v>54901</v>
      </c>
      <c r="W5758" t="s">
        <v>39585</v>
      </c>
      <c r="X5758" t="s">
        <v>41257</v>
      </c>
    </row>
    <row r="5759" spans="1:24">
      <c r="A5759">
        <f>HYPERLINK("https://www.philgeps.gov.ph/GEPSNONPILOT/Tender/SplashBidNoticeAbstractUI.aspx?menuIndex=3&amp;refID=7070341&amp;Result=3","7070341")</f>
        <v>0</v>
      </c>
      <c r="B5759" t="s">
        <v>132</v>
      </c>
      <c r="C5759" t="s">
        <v>8877</v>
      </c>
      <c r="D5759" t="s">
        <v>16639</v>
      </c>
      <c r="E5759" t="s">
        <v>21808</v>
      </c>
      <c r="F5759" t="s">
        <v>28669</v>
      </c>
      <c r="G5759" t="s">
        <v>28678</v>
      </c>
      <c r="H5759" t="s">
        <v>9998</v>
      </c>
      <c r="I5759" t="s">
        <v>6128</v>
      </c>
      <c r="J5759" t="s">
        <v>32470</v>
      </c>
      <c r="K5759" t="s">
        <v>37204</v>
      </c>
      <c r="M5759" t="s">
        <v>37608</v>
      </c>
      <c r="N5759" t="s">
        <v>41249</v>
      </c>
      <c r="O5759" t="s">
        <v>41250</v>
      </c>
      <c r="P5759">
        <v>0</v>
      </c>
      <c r="Q5759">
        <v>0</v>
      </c>
      <c r="R5759" t="s">
        <v>41256</v>
      </c>
      <c r="S5759" t="s">
        <v>41450</v>
      </c>
      <c r="T5759" t="s">
        <v>42665</v>
      </c>
      <c r="U5759" t="s">
        <v>47976</v>
      </c>
      <c r="W5759" t="s">
        <v>37608</v>
      </c>
      <c r="X5759" t="s">
        <v>41257</v>
      </c>
    </row>
    <row r="5760" spans="1:24">
      <c r="A5760">
        <f>HYPERLINK("https://www.philgeps.gov.ph/GEPSNONPILOT/Tender/SplashBidNoticeAbstractUI.aspx?menuIndex=3&amp;refID=7070328&amp;Result=3","7070328")</f>
        <v>0</v>
      </c>
      <c r="B5760" t="s">
        <v>1633</v>
      </c>
      <c r="C5760" t="s">
        <v>8878</v>
      </c>
      <c r="D5760" t="s">
        <v>16640</v>
      </c>
      <c r="E5760" t="s">
        <v>21809</v>
      </c>
      <c r="F5760" t="s">
        <v>28669</v>
      </c>
      <c r="G5760" t="s">
        <v>28678</v>
      </c>
      <c r="H5760" t="s">
        <v>9998</v>
      </c>
      <c r="I5760" t="s">
        <v>5213</v>
      </c>
      <c r="J5760" t="s">
        <v>32471</v>
      </c>
      <c r="K5760" t="s">
        <v>37227</v>
      </c>
      <c r="M5760" t="s">
        <v>39580</v>
      </c>
      <c r="N5760" t="s">
        <v>41249</v>
      </c>
      <c r="O5760" t="s">
        <v>41250</v>
      </c>
      <c r="P5760">
        <v>0</v>
      </c>
      <c r="Q5760">
        <v>8</v>
      </c>
      <c r="R5760" t="s">
        <v>41256</v>
      </c>
      <c r="S5760" t="s">
        <v>41450</v>
      </c>
      <c r="T5760" t="s">
        <v>42754</v>
      </c>
      <c r="U5760" t="s">
        <v>47958</v>
      </c>
      <c r="V5760" t="s">
        <v>54902</v>
      </c>
      <c r="W5760" t="s">
        <v>39580</v>
      </c>
      <c r="X5760" t="s">
        <v>41257</v>
      </c>
    </row>
    <row r="5761" spans="1:24">
      <c r="A5761">
        <f>HYPERLINK("https://www.philgeps.gov.ph/GEPSNONPILOT/Tender/SplashBidNoticeAbstractUI.aspx?menuIndex=3&amp;refID=7070353&amp;Result=3","7070353")</f>
        <v>0</v>
      </c>
      <c r="B5761" t="s">
        <v>1229</v>
      </c>
      <c r="C5761" t="s">
        <v>8879</v>
      </c>
      <c r="D5761" t="s">
        <v>16675</v>
      </c>
      <c r="E5761" t="s">
        <v>21810</v>
      </c>
      <c r="F5761" t="s">
        <v>28669</v>
      </c>
      <c r="G5761" t="s">
        <v>28675</v>
      </c>
      <c r="H5761" t="s">
        <v>28686</v>
      </c>
      <c r="I5761" t="s">
        <v>28689</v>
      </c>
      <c r="J5761" t="s">
        <v>32472</v>
      </c>
      <c r="K5761" t="s">
        <v>37220</v>
      </c>
      <c r="M5761" t="s">
        <v>38773</v>
      </c>
      <c r="N5761" t="s">
        <v>41249</v>
      </c>
      <c r="O5761" t="s">
        <v>41250</v>
      </c>
      <c r="P5761">
        <v>0</v>
      </c>
      <c r="Q5761">
        <v>0</v>
      </c>
      <c r="R5761" t="s">
        <v>41256</v>
      </c>
      <c r="S5761" t="s">
        <v>41450</v>
      </c>
      <c r="T5761" t="s">
        <v>43013</v>
      </c>
      <c r="U5761" t="s">
        <v>47977</v>
      </c>
      <c r="W5761" t="s">
        <v>38773</v>
      </c>
      <c r="X5761" t="s">
        <v>41257</v>
      </c>
    </row>
    <row r="5762" spans="1:24">
      <c r="A5762">
        <f>HYPERLINK("https://www.philgeps.gov.ph/GEPSNONPILOT/Tender/SplashBidNoticeAbstractUI.aspx?menuIndex=3&amp;refID=7070322&amp;Result=3","7070322")</f>
        <v>0</v>
      </c>
      <c r="B5762" t="s">
        <v>1229</v>
      </c>
      <c r="C5762" t="s">
        <v>8880</v>
      </c>
      <c r="D5762" t="s">
        <v>16675</v>
      </c>
      <c r="E5762" t="s">
        <v>21811</v>
      </c>
      <c r="F5762" t="s">
        <v>28669</v>
      </c>
      <c r="G5762" t="s">
        <v>28675</v>
      </c>
      <c r="H5762" t="s">
        <v>28686</v>
      </c>
      <c r="I5762" t="s">
        <v>28689</v>
      </c>
      <c r="J5762" t="s">
        <v>28836</v>
      </c>
      <c r="K5762" t="s">
        <v>37220</v>
      </c>
      <c r="M5762" t="s">
        <v>38773</v>
      </c>
      <c r="N5762" t="s">
        <v>41249</v>
      </c>
      <c r="O5762" t="s">
        <v>41250</v>
      </c>
      <c r="Q5762">
        <v>0</v>
      </c>
      <c r="R5762" t="s">
        <v>41256</v>
      </c>
      <c r="S5762" t="s">
        <v>41423</v>
      </c>
      <c r="T5762" t="s">
        <v>42855</v>
      </c>
      <c r="U5762" t="s">
        <v>47977</v>
      </c>
      <c r="W5762" t="s">
        <v>38773</v>
      </c>
      <c r="X5762" t="s">
        <v>41257</v>
      </c>
    </row>
    <row r="5763" spans="1:24">
      <c r="A5763">
        <f>HYPERLINK("https://www.philgeps.gov.ph/GEPSNONPILOT/Tender/SplashBidNoticeAbstractUI.aspx?menuIndex=3&amp;refID=7070321&amp;Result=3","7070321")</f>
        <v>0</v>
      </c>
      <c r="B5763" t="s">
        <v>1957</v>
      </c>
      <c r="C5763" t="s">
        <v>8881</v>
      </c>
      <c r="D5763" t="s">
        <v>16620</v>
      </c>
      <c r="E5763" t="s">
        <v>21812</v>
      </c>
      <c r="F5763" t="s">
        <v>28669</v>
      </c>
      <c r="G5763" t="s">
        <v>28676</v>
      </c>
      <c r="H5763" t="s">
        <v>9998</v>
      </c>
      <c r="I5763" t="s">
        <v>7352</v>
      </c>
      <c r="J5763" t="s">
        <v>32473</v>
      </c>
      <c r="K5763" t="s">
        <v>37231</v>
      </c>
      <c r="M5763" t="s">
        <v>39589</v>
      </c>
      <c r="N5763" t="s">
        <v>41249</v>
      </c>
      <c r="O5763" t="s">
        <v>41250</v>
      </c>
      <c r="P5763">
        <v>0</v>
      </c>
      <c r="Q5763">
        <v>0</v>
      </c>
      <c r="R5763" t="s">
        <v>41256</v>
      </c>
      <c r="S5763" t="s">
        <v>41450</v>
      </c>
      <c r="T5763" t="s">
        <v>42729</v>
      </c>
      <c r="U5763" t="s">
        <v>47978</v>
      </c>
      <c r="W5763" t="s">
        <v>39589</v>
      </c>
      <c r="X5763" t="s">
        <v>41257</v>
      </c>
    </row>
    <row r="5764" spans="1:24">
      <c r="A5764">
        <f>HYPERLINK("https://www.philgeps.gov.ph/GEPSNONPILOT/Tender/SplashBidNoticeAbstractUI.aspx?menuIndex=3&amp;refID=7070331&amp;Result=3","7070331")</f>
        <v>0</v>
      </c>
      <c r="B5764" t="s">
        <v>1959</v>
      </c>
      <c r="C5764" t="s">
        <v>8882</v>
      </c>
      <c r="D5764" t="s">
        <v>16615</v>
      </c>
      <c r="E5764" t="s">
        <v>21813</v>
      </c>
      <c r="F5764" t="s">
        <v>28669</v>
      </c>
      <c r="G5764" t="s">
        <v>28676</v>
      </c>
      <c r="H5764" t="s">
        <v>9998</v>
      </c>
      <c r="I5764" t="s">
        <v>28692</v>
      </c>
      <c r="J5764" t="s">
        <v>32474</v>
      </c>
      <c r="K5764" t="s">
        <v>37220</v>
      </c>
      <c r="M5764" t="s">
        <v>39592</v>
      </c>
      <c r="N5764" t="s">
        <v>41249</v>
      </c>
      <c r="O5764" t="s">
        <v>41250</v>
      </c>
      <c r="P5764">
        <v>0</v>
      </c>
      <c r="Q5764">
        <v>3</v>
      </c>
      <c r="R5764" t="s">
        <v>41256</v>
      </c>
      <c r="S5764" t="s">
        <v>41450</v>
      </c>
      <c r="T5764" t="s">
        <v>42989</v>
      </c>
      <c r="U5764" t="s">
        <v>47979</v>
      </c>
      <c r="W5764" t="s">
        <v>39592</v>
      </c>
      <c r="X5764" t="s">
        <v>41257</v>
      </c>
    </row>
    <row r="5765" spans="1:24">
      <c r="A5765">
        <f>HYPERLINK("https://www.philgeps.gov.ph/GEPSNONPILOT/Tender/SplashBidNoticeAbstractUI.aspx?menuIndex=3&amp;refID=7070453&amp;Result=3","7070453")</f>
        <v>0</v>
      </c>
      <c r="B5765" t="s">
        <v>492</v>
      </c>
      <c r="C5765" t="s">
        <v>8883</v>
      </c>
      <c r="D5765" t="s">
        <v>16621</v>
      </c>
      <c r="E5765" t="s">
        <v>21814</v>
      </c>
      <c r="F5765" t="s">
        <v>28669</v>
      </c>
      <c r="G5765" t="s">
        <v>28675</v>
      </c>
      <c r="H5765" t="s">
        <v>9998</v>
      </c>
      <c r="I5765" t="s">
        <v>5213</v>
      </c>
      <c r="J5765" t="s">
        <v>32475</v>
      </c>
      <c r="K5765" t="s">
        <v>37210</v>
      </c>
      <c r="M5765" t="s">
        <v>37981</v>
      </c>
      <c r="N5765" t="s">
        <v>41249</v>
      </c>
      <c r="O5765" t="s">
        <v>41250</v>
      </c>
      <c r="P5765">
        <v>0</v>
      </c>
      <c r="Q5765">
        <v>0</v>
      </c>
      <c r="R5765" t="s">
        <v>41256</v>
      </c>
      <c r="S5765" t="s">
        <v>41450</v>
      </c>
      <c r="T5765" t="s">
        <v>42808</v>
      </c>
      <c r="U5765" t="s">
        <v>47980</v>
      </c>
      <c r="W5765" t="s">
        <v>37981</v>
      </c>
      <c r="X5765" t="s">
        <v>41257</v>
      </c>
    </row>
    <row r="5766" spans="1:24">
      <c r="A5766">
        <f>HYPERLINK("https://www.philgeps.gov.ph/GEPSNONPILOT/Tender/SplashBidNoticeAbstractUI.aspx?menuIndex=3&amp;refID=7070324&amp;Result=3","7070324")</f>
        <v>0</v>
      </c>
      <c r="B5766" t="s">
        <v>1953</v>
      </c>
      <c r="C5766" t="s">
        <v>8884</v>
      </c>
      <c r="D5766" t="s">
        <v>16650</v>
      </c>
      <c r="E5766" t="s">
        <v>21815</v>
      </c>
      <c r="F5766" t="s">
        <v>28669</v>
      </c>
      <c r="G5766" t="s">
        <v>28679</v>
      </c>
      <c r="H5766" t="s">
        <v>9998</v>
      </c>
      <c r="I5766" t="s">
        <v>11142</v>
      </c>
      <c r="J5766" t="s">
        <v>29540</v>
      </c>
      <c r="K5766" t="s">
        <v>37220</v>
      </c>
      <c r="M5766" t="s">
        <v>39585</v>
      </c>
      <c r="N5766" t="s">
        <v>41249</v>
      </c>
      <c r="O5766" t="s">
        <v>41250</v>
      </c>
      <c r="P5766">
        <v>0</v>
      </c>
      <c r="Q5766">
        <v>1</v>
      </c>
      <c r="R5766" t="s">
        <v>41256</v>
      </c>
      <c r="S5766" t="s">
        <v>41450</v>
      </c>
      <c r="T5766" t="s">
        <v>42857</v>
      </c>
      <c r="U5766" t="s">
        <v>47969</v>
      </c>
      <c r="V5766" t="s">
        <v>54903</v>
      </c>
      <c r="W5766" t="s">
        <v>39585</v>
      </c>
      <c r="X5766" t="s">
        <v>41257</v>
      </c>
    </row>
    <row r="5767" spans="1:24">
      <c r="A5767">
        <f>HYPERLINK("https://www.philgeps.gov.ph/GEPSNONPILOT/Tender/SplashBidNoticeAbstractUI.aspx?menuIndex=3&amp;refID=7070490&amp;Result=3","7070490")</f>
        <v>0</v>
      </c>
      <c r="B5767" t="s">
        <v>1522</v>
      </c>
      <c r="C5767" t="s">
        <v>8885</v>
      </c>
      <c r="D5767" t="s">
        <v>16686</v>
      </c>
      <c r="E5767" t="s">
        <v>21816</v>
      </c>
      <c r="F5767" t="s">
        <v>28669</v>
      </c>
      <c r="G5767" t="s">
        <v>28675</v>
      </c>
      <c r="H5767" t="s">
        <v>9998</v>
      </c>
      <c r="I5767" t="s">
        <v>6458</v>
      </c>
      <c r="J5767" t="s">
        <v>32476</v>
      </c>
      <c r="K5767" t="s">
        <v>37210</v>
      </c>
      <c r="M5767" t="s">
        <v>39573</v>
      </c>
      <c r="N5767" t="s">
        <v>41249</v>
      </c>
      <c r="O5767" t="s">
        <v>41250</v>
      </c>
      <c r="P5767">
        <v>0</v>
      </c>
      <c r="Q5767">
        <v>0</v>
      </c>
      <c r="R5767" t="s">
        <v>41256</v>
      </c>
      <c r="S5767" t="s">
        <v>41450</v>
      </c>
      <c r="T5767" t="s">
        <v>42663</v>
      </c>
      <c r="U5767" t="s">
        <v>47981</v>
      </c>
      <c r="W5767" t="s">
        <v>39573</v>
      </c>
      <c r="X5767" t="s">
        <v>41257</v>
      </c>
    </row>
    <row r="5768" spans="1:24">
      <c r="A5768">
        <f>HYPERLINK("https://www.philgeps.gov.ph/GEPSNONPILOT/Tender/SplashBidNoticeAbstractUI.aspx?menuIndex=3&amp;refID=7067646&amp;Result=3","7067646")</f>
        <v>0</v>
      </c>
      <c r="B5768" t="s">
        <v>1960</v>
      </c>
      <c r="C5768" t="s">
        <v>8886</v>
      </c>
      <c r="D5768" t="s">
        <v>16676</v>
      </c>
      <c r="E5768" t="s">
        <v>21817</v>
      </c>
      <c r="F5768" t="s">
        <v>28669</v>
      </c>
      <c r="G5768" t="s">
        <v>28677</v>
      </c>
      <c r="H5768" t="s">
        <v>9998</v>
      </c>
      <c r="I5768" t="s">
        <v>28726</v>
      </c>
      <c r="J5768" t="s">
        <v>28914</v>
      </c>
      <c r="K5768" t="s">
        <v>37204</v>
      </c>
      <c r="M5768" t="s">
        <v>39593</v>
      </c>
      <c r="N5768" t="s">
        <v>41249</v>
      </c>
      <c r="O5768" t="s">
        <v>41250</v>
      </c>
      <c r="P5768">
        <v>0</v>
      </c>
      <c r="Q5768">
        <v>0</v>
      </c>
      <c r="R5768" t="s">
        <v>41256</v>
      </c>
      <c r="S5768" t="s">
        <v>41450</v>
      </c>
      <c r="T5768" t="s">
        <v>42728</v>
      </c>
      <c r="U5768" t="s">
        <v>47982</v>
      </c>
      <c r="W5768" t="s">
        <v>39593</v>
      </c>
      <c r="X5768" t="s">
        <v>41258</v>
      </c>
    </row>
    <row r="5769" spans="1:24">
      <c r="A5769">
        <f>HYPERLINK("https://www.philgeps.gov.ph/GEPSNONPILOT/Tender/SplashBidNoticeAbstractUI.aspx?menuIndex=3&amp;refID=7070293&amp;Result=3","7070293")</f>
        <v>0</v>
      </c>
      <c r="B5769" t="s">
        <v>150</v>
      </c>
      <c r="C5769" t="s">
        <v>8887</v>
      </c>
      <c r="D5769" t="s">
        <v>16617</v>
      </c>
      <c r="E5769" t="s">
        <v>21818</v>
      </c>
      <c r="F5769" t="s">
        <v>28669</v>
      </c>
      <c r="G5769" t="s">
        <v>28676</v>
      </c>
      <c r="H5769" t="s">
        <v>9998</v>
      </c>
      <c r="I5769" t="s">
        <v>5213</v>
      </c>
      <c r="J5769" t="s">
        <v>32477</v>
      </c>
      <c r="K5769" t="s">
        <v>37206</v>
      </c>
      <c r="M5769" t="s">
        <v>37627</v>
      </c>
      <c r="N5769" t="s">
        <v>41249</v>
      </c>
      <c r="O5769" t="s">
        <v>41250</v>
      </c>
      <c r="P5769">
        <v>0</v>
      </c>
      <c r="Q5769">
        <v>0</v>
      </c>
      <c r="R5769" t="s">
        <v>41256</v>
      </c>
      <c r="S5769" t="s">
        <v>41450</v>
      </c>
      <c r="T5769" t="s">
        <v>42992</v>
      </c>
      <c r="U5769" t="s">
        <v>47983</v>
      </c>
      <c r="W5769" t="s">
        <v>37627</v>
      </c>
      <c r="X5769" t="s">
        <v>41257</v>
      </c>
    </row>
    <row r="5770" spans="1:24">
      <c r="A5770">
        <f>HYPERLINK("https://www.philgeps.gov.ph/GEPSNONPILOT/Tender/SplashBidNoticeAbstractUI.aspx?menuIndex=3&amp;refID=7070469&amp;Result=3","7070469")</f>
        <v>0</v>
      </c>
      <c r="B5770" t="s">
        <v>1956</v>
      </c>
      <c r="C5770" t="s">
        <v>8888</v>
      </c>
      <c r="D5770" t="s">
        <v>16615</v>
      </c>
      <c r="E5770" t="s">
        <v>21819</v>
      </c>
      <c r="F5770" t="s">
        <v>28669</v>
      </c>
      <c r="G5770" t="s">
        <v>28675</v>
      </c>
      <c r="H5770" t="s">
        <v>28686</v>
      </c>
      <c r="I5770" t="s">
        <v>28696</v>
      </c>
      <c r="J5770" t="s">
        <v>32478</v>
      </c>
      <c r="K5770" t="s">
        <v>37213</v>
      </c>
      <c r="M5770" t="s">
        <v>39588</v>
      </c>
      <c r="N5770" t="s">
        <v>41249</v>
      </c>
      <c r="O5770" t="s">
        <v>41250</v>
      </c>
      <c r="P5770">
        <v>0</v>
      </c>
      <c r="Q5770">
        <v>5</v>
      </c>
      <c r="R5770" t="s">
        <v>41256</v>
      </c>
      <c r="S5770" t="s">
        <v>41450</v>
      </c>
      <c r="T5770" t="s">
        <v>42735</v>
      </c>
      <c r="U5770" t="s">
        <v>47984</v>
      </c>
      <c r="W5770" t="s">
        <v>39588</v>
      </c>
      <c r="X5770" t="s">
        <v>41257</v>
      </c>
    </row>
    <row r="5771" spans="1:24">
      <c r="A5771">
        <f>HYPERLINK("https://www.philgeps.gov.ph/GEPSNONPILOT/Tender/SplashBidNoticeAbstractUI.aspx?menuIndex=3&amp;refID=7070464&amp;Result=3","7070464")</f>
        <v>0</v>
      </c>
      <c r="B5771" t="s">
        <v>1961</v>
      </c>
      <c r="C5771" t="s">
        <v>8889</v>
      </c>
      <c r="D5771" t="s">
        <v>16608</v>
      </c>
      <c r="E5771" t="s">
        <v>21820</v>
      </c>
      <c r="F5771" t="s">
        <v>28669</v>
      </c>
      <c r="G5771" t="s">
        <v>28676</v>
      </c>
      <c r="H5771" t="s">
        <v>9998</v>
      </c>
      <c r="I5771" t="s">
        <v>28693</v>
      </c>
      <c r="J5771" t="s">
        <v>32479</v>
      </c>
      <c r="K5771" t="s">
        <v>37209</v>
      </c>
      <c r="M5771" t="s">
        <v>39594</v>
      </c>
      <c r="N5771" t="s">
        <v>41249</v>
      </c>
      <c r="O5771" t="s">
        <v>41250</v>
      </c>
      <c r="P5771">
        <v>0</v>
      </c>
      <c r="Q5771">
        <v>7</v>
      </c>
      <c r="R5771" t="s">
        <v>41256</v>
      </c>
      <c r="S5771" t="s">
        <v>41450</v>
      </c>
      <c r="T5771" t="s">
        <v>42701</v>
      </c>
      <c r="U5771" t="s">
        <v>47985</v>
      </c>
      <c r="W5771" t="s">
        <v>39594</v>
      </c>
      <c r="X5771" t="s">
        <v>41257</v>
      </c>
    </row>
    <row r="5772" spans="1:24">
      <c r="A5772">
        <f>HYPERLINK("https://www.philgeps.gov.ph/GEPSNONPILOT/Tender/SplashBidNoticeAbstractUI.aspx?menuIndex=3&amp;refID=7070479&amp;Result=3","7070479")</f>
        <v>0</v>
      </c>
      <c r="B5772" t="s">
        <v>1962</v>
      </c>
      <c r="C5772" t="s">
        <v>8890</v>
      </c>
      <c r="D5772" t="s">
        <v>16661</v>
      </c>
      <c r="E5772" t="s">
        <v>8890</v>
      </c>
      <c r="F5772" t="s">
        <v>28669</v>
      </c>
      <c r="G5772" t="s">
        <v>28676</v>
      </c>
      <c r="H5772" t="s">
        <v>28684</v>
      </c>
      <c r="I5772" t="s">
        <v>3658</v>
      </c>
      <c r="J5772" t="s">
        <v>32480</v>
      </c>
      <c r="K5772" t="s">
        <v>37220</v>
      </c>
      <c r="M5772" t="s">
        <v>39595</v>
      </c>
      <c r="N5772" t="s">
        <v>41249</v>
      </c>
      <c r="O5772" t="s">
        <v>41250</v>
      </c>
      <c r="P5772">
        <v>0</v>
      </c>
      <c r="Q5772">
        <v>1</v>
      </c>
      <c r="R5772" t="s">
        <v>41256</v>
      </c>
      <c r="S5772" t="s">
        <v>41450</v>
      </c>
      <c r="T5772" t="s">
        <v>42711</v>
      </c>
      <c r="U5772" t="s">
        <v>47986</v>
      </c>
      <c r="W5772" t="s">
        <v>39595</v>
      </c>
      <c r="X5772" t="s">
        <v>41257</v>
      </c>
    </row>
    <row r="5773" spans="1:24">
      <c r="A5773">
        <f>HYPERLINK("https://www.philgeps.gov.ph/GEPSNONPILOT/Tender/SplashBidNoticeAbstractUI.aspx?menuIndex=3&amp;refID=7068397&amp;Result=3","7068397")</f>
        <v>0</v>
      </c>
      <c r="B5773" t="s">
        <v>1353</v>
      </c>
      <c r="C5773" t="s">
        <v>8891</v>
      </c>
      <c r="D5773" t="s">
        <v>16627</v>
      </c>
      <c r="E5773" t="s">
        <v>21821</v>
      </c>
      <c r="F5773" t="s">
        <v>28669</v>
      </c>
      <c r="G5773" t="s">
        <v>28675</v>
      </c>
      <c r="H5773" t="s">
        <v>9998</v>
      </c>
      <c r="I5773" t="s">
        <v>11593</v>
      </c>
      <c r="J5773" t="s">
        <v>32481</v>
      </c>
      <c r="K5773" t="s">
        <v>37221</v>
      </c>
      <c r="M5773" t="s">
        <v>39576</v>
      </c>
      <c r="N5773" t="s">
        <v>41249</v>
      </c>
      <c r="O5773" t="s">
        <v>41250</v>
      </c>
      <c r="Q5773">
        <v>9</v>
      </c>
      <c r="R5773" t="s">
        <v>41256</v>
      </c>
      <c r="S5773" t="s">
        <v>41453</v>
      </c>
      <c r="T5773" t="s">
        <v>42716</v>
      </c>
      <c r="U5773" t="s">
        <v>47987</v>
      </c>
      <c r="W5773" t="s">
        <v>39576</v>
      </c>
      <c r="X5773" t="s">
        <v>41258</v>
      </c>
    </row>
    <row r="5774" spans="1:24">
      <c r="A5774">
        <f>HYPERLINK("https://www.philgeps.gov.ph/GEPSNONPILOT/Tender/SplashBidNoticeAbstractUI.aspx?menuIndex=3&amp;refID=7070451&amp;Result=3","7070451")</f>
        <v>0</v>
      </c>
      <c r="B5774" t="s">
        <v>1963</v>
      </c>
      <c r="C5774" t="s">
        <v>8892</v>
      </c>
      <c r="D5774" t="s">
        <v>16675</v>
      </c>
      <c r="E5774" t="s">
        <v>21822</v>
      </c>
      <c r="F5774" t="s">
        <v>28669</v>
      </c>
      <c r="G5774" t="s">
        <v>28676</v>
      </c>
      <c r="H5774" t="s">
        <v>9998</v>
      </c>
      <c r="I5774" t="s">
        <v>28687</v>
      </c>
      <c r="J5774" t="s">
        <v>29952</v>
      </c>
      <c r="K5774" t="s">
        <v>37205</v>
      </c>
      <c r="M5774" t="s">
        <v>39596</v>
      </c>
      <c r="N5774" t="s">
        <v>41249</v>
      </c>
      <c r="O5774" t="s">
        <v>41250</v>
      </c>
      <c r="P5774">
        <v>0</v>
      </c>
      <c r="Q5774">
        <v>0</v>
      </c>
      <c r="R5774" t="s">
        <v>41256</v>
      </c>
      <c r="S5774" t="s">
        <v>41450</v>
      </c>
      <c r="T5774" t="s">
        <v>42736</v>
      </c>
      <c r="U5774" t="s">
        <v>47988</v>
      </c>
      <c r="W5774" t="s">
        <v>39596</v>
      </c>
      <c r="X5774" t="s">
        <v>41257</v>
      </c>
    </row>
    <row r="5775" spans="1:24">
      <c r="A5775">
        <f>HYPERLINK("https://www.philgeps.gov.ph/GEPSNONPILOT/Tender/SplashBidNoticeAbstractUI.aspx?menuIndex=3&amp;refID=7070454&amp;Result=3","7070454")</f>
        <v>0</v>
      </c>
      <c r="B5775" t="s">
        <v>1964</v>
      </c>
      <c r="C5775" t="s">
        <v>8893</v>
      </c>
      <c r="D5775" t="s">
        <v>16654</v>
      </c>
      <c r="E5775" t="s">
        <v>21823</v>
      </c>
      <c r="F5775" t="s">
        <v>28669</v>
      </c>
      <c r="G5775" t="s">
        <v>28679</v>
      </c>
      <c r="H5775" t="s">
        <v>9998</v>
      </c>
      <c r="I5775" t="s">
        <v>28687</v>
      </c>
      <c r="J5775" t="s">
        <v>29002</v>
      </c>
      <c r="K5775" t="s">
        <v>37227</v>
      </c>
      <c r="M5775" t="s">
        <v>39597</v>
      </c>
      <c r="N5775" t="s">
        <v>41249</v>
      </c>
      <c r="O5775" t="s">
        <v>41250</v>
      </c>
      <c r="P5775">
        <v>0</v>
      </c>
      <c r="Q5775">
        <v>7</v>
      </c>
      <c r="R5775" t="s">
        <v>41256</v>
      </c>
      <c r="S5775" t="s">
        <v>41450</v>
      </c>
      <c r="T5775" t="s">
        <v>42727</v>
      </c>
      <c r="U5775" t="s">
        <v>47989</v>
      </c>
      <c r="V5775" t="s">
        <v>54904</v>
      </c>
      <c r="W5775" t="s">
        <v>39597</v>
      </c>
      <c r="X5775" t="s">
        <v>41257</v>
      </c>
    </row>
    <row r="5776" spans="1:24">
      <c r="A5776">
        <f>HYPERLINK("https://www.philgeps.gov.ph/GEPSNONPILOT/Tender/SplashBidNoticeAbstractUI.aspx?menuIndex=3&amp;refID=7070442&amp;Result=3","7070442")</f>
        <v>0</v>
      </c>
      <c r="B5776" t="s">
        <v>562</v>
      </c>
      <c r="C5776" t="s">
        <v>8894</v>
      </c>
      <c r="D5776" t="s">
        <v>16648</v>
      </c>
      <c r="E5776" t="s">
        <v>21824</v>
      </c>
      <c r="F5776" t="s">
        <v>28671</v>
      </c>
      <c r="G5776" t="s">
        <v>28675</v>
      </c>
      <c r="H5776" t="s">
        <v>9998</v>
      </c>
      <c r="I5776" t="s">
        <v>28733</v>
      </c>
      <c r="J5776" t="s">
        <v>29134</v>
      </c>
      <c r="K5776" t="s">
        <v>37206</v>
      </c>
      <c r="M5776" t="s">
        <v>38058</v>
      </c>
      <c r="N5776" t="s">
        <v>41249</v>
      </c>
      <c r="O5776" t="s">
        <v>41250</v>
      </c>
      <c r="P5776">
        <v>0</v>
      </c>
      <c r="Q5776">
        <v>4</v>
      </c>
      <c r="R5776" t="s">
        <v>41256</v>
      </c>
      <c r="S5776" t="s">
        <v>41450</v>
      </c>
      <c r="T5776" t="s">
        <v>42739</v>
      </c>
      <c r="U5776" t="s">
        <v>47990</v>
      </c>
      <c r="W5776" t="s">
        <v>38058</v>
      </c>
      <c r="X5776" t="s">
        <v>41257</v>
      </c>
    </row>
    <row r="5777" spans="1:24">
      <c r="A5777">
        <f>HYPERLINK("https://www.philgeps.gov.ph/GEPSNONPILOT/Tender/SplashBidNoticeAbstractUI.aspx?menuIndex=3&amp;refID=7062864&amp;Result=3","7062864")</f>
        <v>0</v>
      </c>
      <c r="B5777" t="s">
        <v>1942</v>
      </c>
      <c r="C5777" t="s">
        <v>8895</v>
      </c>
      <c r="D5777" t="s">
        <v>16643</v>
      </c>
      <c r="E5777" t="s">
        <v>21825</v>
      </c>
      <c r="F5777" t="s">
        <v>28669</v>
      </c>
      <c r="G5777" t="s">
        <v>28675</v>
      </c>
      <c r="H5777" t="s">
        <v>28684</v>
      </c>
      <c r="I5777" t="s">
        <v>28804</v>
      </c>
      <c r="J5777" t="s">
        <v>32442</v>
      </c>
      <c r="K5777" t="s">
        <v>37221</v>
      </c>
      <c r="M5777" t="s">
        <v>39570</v>
      </c>
      <c r="N5777" t="s">
        <v>41249</v>
      </c>
      <c r="O5777" t="s">
        <v>41250</v>
      </c>
      <c r="P5777">
        <v>0</v>
      </c>
      <c r="Q5777">
        <v>1</v>
      </c>
      <c r="R5777" t="s">
        <v>41256</v>
      </c>
      <c r="S5777" t="s">
        <v>41450</v>
      </c>
      <c r="T5777" t="s">
        <v>42692</v>
      </c>
      <c r="U5777" t="s">
        <v>47991</v>
      </c>
      <c r="V5777" t="s">
        <v>54905</v>
      </c>
      <c r="W5777" t="s">
        <v>39570</v>
      </c>
      <c r="X5777" t="s">
        <v>41260</v>
      </c>
    </row>
    <row r="5778" spans="1:24">
      <c r="A5778">
        <f>HYPERLINK("https://www.philgeps.gov.ph/GEPSNONPILOT/Tender/SplashBidNoticeAbstractUI.aspx?menuIndex=3&amp;refID=7070413&amp;Result=3","7070413")</f>
        <v>0</v>
      </c>
      <c r="B5778" t="s">
        <v>1965</v>
      </c>
      <c r="C5778" t="s">
        <v>8896</v>
      </c>
      <c r="D5778" t="s">
        <v>16670</v>
      </c>
      <c r="E5778" t="s">
        <v>21826</v>
      </c>
      <c r="F5778" t="s">
        <v>28669</v>
      </c>
      <c r="G5778" t="s">
        <v>28676</v>
      </c>
      <c r="H5778" t="s">
        <v>9998</v>
      </c>
      <c r="I5778" t="s">
        <v>28695</v>
      </c>
      <c r="J5778" t="s">
        <v>32482</v>
      </c>
      <c r="K5778" t="s">
        <v>37206</v>
      </c>
      <c r="M5778" t="s">
        <v>39598</v>
      </c>
      <c r="N5778" t="s">
        <v>41249</v>
      </c>
      <c r="O5778" t="s">
        <v>41250</v>
      </c>
      <c r="P5778">
        <v>0</v>
      </c>
      <c r="Q5778">
        <v>0</v>
      </c>
      <c r="R5778" t="s">
        <v>41256</v>
      </c>
      <c r="S5778" t="s">
        <v>41450</v>
      </c>
      <c r="T5778" t="s">
        <v>42678</v>
      </c>
      <c r="U5778" t="s">
        <v>47992</v>
      </c>
      <c r="V5778" t="s">
        <v>54906</v>
      </c>
      <c r="W5778" t="s">
        <v>39598</v>
      </c>
      <c r="X5778" t="s">
        <v>41257</v>
      </c>
    </row>
    <row r="5779" spans="1:24">
      <c r="A5779">
        <f>HYPERLINK("https://www.philgeps.gov.ph/GEPSNONPILOT/Tender/SplashBidNoticeAbstractUI.aspx?menuIndex=3&amp;refID=7070447&amp;Result=3","7070447")</f>
        <v>0</v>
      </c>
      <c r="B5779" t="s">
        <v>1966</v>
      </c>
      <c r="C5779" t="s">
        <v>8897</v>
      </c>
      <c r="D5779" t="s">
        <v>16619</v>
      </c>
      <c r="E5779" t="s">
        <v>21827</v>
      </c>
      <c r="F5779" t="s">
        <v>28669</v>
      </c>
      <c r="G5779" t="s">
        <v>28676</v>
      </c>
      <c r="H5779" t="s">
        <v>9998</v>
      </c>
      <c r="I5779" t="s">
        <v>28755</v>
      </c>
      <c r="J5779" t="s">
        <v>32483</v>
      </c>
      <c r="K5779" t="s">
        <v>37221</v>
      </c>
      <c r="L5779" t="s">
        <v>1966</v>
      </c>
      <c r="M5779" t="s">
        <v>39599</v>
      </c>
      <c r="N5779" t="s">
        <v>41249</v>
      </c>
      <c r="O5779" t="s">
        <v>41250</v>
      </c>
      <c r="P5779">
        <v>0</v>
      </c>
      <c r="Q5779">
        <v>1</v>
      </c>
      <c r="R5779" t="s">
        <v>41256</v>
      </c>
      <c r="S5779" t="s">
        <v>41450</v>
      </c>
      <c r="T5779" t="s">
        <v>42748</v>
      </c>
      <c r="U5779" t="s">
        <v>47993</v>
      </c>
      <c r="V5779" t="s">
        <v>54907</v>
      </c>
      <c r="W5779" t="s">
        <v>39599</v>
      </c>
      <c r="X5779" t="s">
        <v>41257</v>
      </c>
    </row>
    <row r="5780" spans="1:24">
      <c r="A5780">
        <f>HYPERLINK("https://www.philgeps.gov.ph/GEPSNONPILOT/Tender/SplashBidNoticeAbstractUI.aspx?menuIndex=3&amp;refID=7070456&amp;Result=3","7070456")</f>
        <v>0</v>
      </c>
      <c r="B5780" t="s">
        <v>1967</v>
      </c>
      <c r="C5780" t="s">
        <v>8898</v>
      </c>
      <c r="D5780" t="s">
        <v>16647</v>
      </c>
      <c r="E5780" t="s">
        <v>21828</v>
      </c>
      <c r="F5780" t="s">
        <v>28669</v>
      </c>
      <c r="G5780" t="s">
        <v>28675</v>
      </c>
      <c r="H5780" t="s">
        <v>9998</v>
      </c>
      <c r="I5780" t="s">
        <v>15140</v>
      </c>
      <c r="J5780" t="s">
        <v>30904</v>
      </c>
      <c r="K5780" t="s">
        <v>37205</v>
      </c>
      <c r="M5780" t="s">
        <v>39600</v>
      </c>
      <c r="N5780" t="s">
        <v>41249</v>
      </c>
      <c r="O5780" t="s">
        <v>41250</v>
      </c>
      <c r="P5780">
        <v>0</v>
      </c>
      <c r="Q5780">
        <v>0</v>
      </c>
      <c r="R5780" t="s">
        <v>41256</v>
      </c>
      <c r="S5780" t="s">
        <v>41450</v>
      </c>
      <c r="T5780" t="s">
        <v>42751</v>
      </c>
      <c r="U5780" t="s">
        <v>47994</v>
      </c>
      <c r="W5780" t="s">
        <v>39600</v>
      </c>
      <c r="X5780" t="s">
        <v>41257</v>
      </c>
    </row>
    <row r="5781" spans="1:24">
      <c r="A5781">
        <f>HYPERLINK("https://www.philgeps.gov.ph/GEPSNONPILOT/Tender/SplashBidNoticeAbstractUI.aspx?menuIndex=3&amp;refID=7070534&amp;Result=3","7070534")</f>
        <v>0</v>
      </c>
      <c r="B5781" t="s">
        <v>142</v>
      </c>
      <c r="C5781" t="s">
        <v>8899</v>
      </c>
      <c r="D5781" t="s">
        <v>16608</v>
      </c>
      <c r="E5781" t="s">
        <v>21829</v>
      </c>
      <c r="F5781" t="s">
        <v>28669</v>
      </c>
      <c r="G5781" t="s">
        <v>28676</v>
      </c>
      <c r="H5781" t="s">
        <v>9998</v>
      </c>
      <c r="I5781" t="s">
        <v>28795</v>
      </c>
      <c r="J5781" t="s">
        <v>32484</v>
      </c>
      <c r="K5781" t="s">
        <v>37209</v>
      </c>
      <c r="M5781" t="s">
        <v>39601</v>
      </c>
      <c r="N5781" t="s">
        <v>41249</v>
      </c>
      <c r="O5781" t="s">
        <v>41250</v>
      </c>
      <c r="P5781">
        <v>0</v>
      </c>
      <c r="Q5781">
        <v>1</v>
      </c>
      <c r="R5781" t="s">
        <v>41256</v>
      </c>
      <c r="S5781" t="s">
        <v>41450</v>
      </c>
      <c r="T5781" t="s">
        <v>42665</v>
      </c>
      <c r="U5781" t="s">
        <v>47995</v>
      </c>
      <c r="V5781" t="s">
        <v>54908</v>
      </c>
      <c r="W5781" t="s">
        <v>39601</v>
      </c>
      <c r="X5781" t="s">
        <v>41257</v>
      </c>
    </row>
    <row r="5782" spans="1:24">
      <c r="A5782">
        <f>HYPERLINK("https://www.philgeps.gov.ph/GEPSNONPILOT/Tender/SplashBidNoticeAbstractUI.aspx?menuIndex=3&amp;refID=7070546&amp;Result=3","7070546")</f>
        <v>0</v>
      </c>
      <c r="B5782" t="s">
        <v>1947</v>
      </c>
      <c r="C5782" t="s">
        <v>8900</v>
      </c>
      <c r="D5782" t="s">
        <v>16626</v>
      </c>
      <c r="E5782" t="s">
        <v>21830</v>
      </c>
      <c r="F5782" t="s">
        <v>28669</v>
      </c>
      <c r="G5782" t="s">
        <v>28676</v>
      </c>
      <c r="H5782" t="s">
        <v>9998</v>
      </c>
      <c r="I5782" t="s">
        <v>3718</v>
      </c>
      <c r="J5782" t="s">
        <v>29902</v>
      </c>
      <c r="K5782" t="s">
        <v>37206</v>
      </c>
      <c r="M5782" t="s">
        <v>39577</v>
      </c>
      <c r="N5782" t="s">
        <v>41249</v>
      </c>
      <c r="O5782" t="s">
        <v>41250</v>
      </c>
      <c r="P5782">
        <v>0</v>
      </c>
      <c r="Q5782">
        <v>1</v>
      </c>
      <c r="R5782" t="s">
        <v>41256</v>
      </c>
      <c r="S5782" t="s">
        <v>41450</v>
      </c>
      <c r="T5782" t="s">
        <v>42675</v>
      </c>
      <c r="U5782" t="s">
        <v>47996</v>
      </c>
      <c r="W5782" t="s">
        <v>39577</v>
      </c>
      <c r="X5782" t="s">
        <v>41257</v>
      </c>
    </row>
    <row r="5783" spans="1:24">
      <c r="A5783">
        <f>HYPERLINK("https://www.philgeps.gov.ph/GEPSNONPILOT/Tender/SplashBidNoticeAbstractUI.aspx?menuIndex=3&amp;refID=7070452&amp;Result=3","7070452")</f>
        <v>0</v>
      </c>
      <c r="B5783" t="s">
        <v>1947</v>
      </c>
      <c r="C5783" t="s">
        <v>8901</v>
      </c>
      <c r="D5783" t="s">
        <v>16626</v>
      </c>
      <c r="E5783" t="s">
        <v>21830</v>
      </c>
      <c r="F5783" t="s">
        <v>28669</v>
      </c>
      <c r="G5783" t="s">
        <v>28675</v>
      </c>
      <c r="H5783" t="s">
        <v>9998</v>
      </c>
      <c r="I5783" t="s">
        <v>28736</v>
      </c>
      <c r="J5783" t="s">
        <v>32485</v>
      </c>
      <c r="K5783" t="s">
        <v>37206</v>
      </c>
      <c r="M5783" t="s">
        <v>39577</v>
      </c>
      <c r="N5783" t="s">
        <v>41249</v>
      </c>
      <c r="O5783" t="s">
        <v>41250</v>
      </c>
      <c r="P5783">
        <v>0</v>
      </c>
      <c r="Q5783">
        <v>3</v>
      </c>
      <c r="R5783" t="s">
        <v>41256</v>
      </c>
      <c r="S5783" t="s">
        <v>41450</v>
      </c>
      <c r="T5783" t="s">
        <v>42779</v>
      </c>
      <c r="U5783" t="s">
        <v>47997</v>
      </c>
      <c r="W5783" t="s">
        <v>39577</v>
      </c>
      <c r="X5783" t="s">
        <v>41257</v>
      </c>
    </row>
    <row r="5784" spans="1:24">
      <c r="A5784">
        <f>HYPERLINK("https://www.philgeps.gov.ph/GEPSNONPILOT/Tender/SplashBidNoticeAbstractUI.aspx?menuIndex=3&amp;refID=7070539&amp;Result=3","7070539")</f>
        <v>0</v>
      </c>
      <c r="B5784" t="s">
        <v>1962</v>
      </c>
      <c r="C5784" t="s">
        <v>8902</v>
      </c>
      <c r="D5784" t="s">
        <v>16661</v>
      </c>
      <c r="E5784" t="s">
        <v>8902</v>
      </c>
      <c r="F5784" t="s">
        <v>28669</v>
      </c>
      <c r="G5784" t="s">
        <v>28676</v>
      </c>
      <c r="H5784" t="s">
        <v>9998</v>
      </c>
      <c r="I5784" t="s">
        <v>28704</v>
      </c>
      <c r="J5784" t="s">
        <v>32486</v>
      </c>
      <c r="K5784" t="s">
        <v>37220</v>
      </c>
      <c r="M5784" t="s">
        <v>39595</v>
      </c>
      <c r="N5784" t="s">
        <v>41249</v>
      </c>
      <c r="O5784" t="s">
        <v>41250</v>
      </c>
      <c r="P5784">
        <v>0</v>
      </c>
      <c r="Q5784">
        <v>0</v>
      </c>
      <c r="R5784" t="s">
        <v>41256</v>
      </c>
      <c r="S5784" t="s">
        <v>41450</v>
      </c>
      <c r="T5784" t="s">
        <v>42711</v>
      </c>
      <c r="U5784" t="s">
        <v>47986</v>
      </c>
      <c r="W5784" t="s">
        <v>39595</v>
      </c>
      <c r="X5784" t="s">
        <v>41257</v>
      </c>
    </row>
    <row r="5785" spans="1:24">
      <c r="A5785">
        <f>HYPERLINK("https://www.philgeps.gov.ph/GEPSNONPILOT/Tender/SplashBidNoticeAbstractUI.aspx?menuIndex=3&amp;refID=7070424&amp;Result=3","7070424")</f>
        <v>0</v>
      </c>
      <c r="B5785" t="s">
        <v>1962</v>
      </c>
      <c r="C5785" t="s">
        <v>8903</v>
      </c>
      <c r="D5785" t="s">
        <v>16661</v>
      </c>
      <c r="E5785" t="s">
        <v>8903</v>
      </c>
      <c r="F5785" t="s">
        <v>28669</v>
      </c>
      <c r="G5785" t="s">
        <v>28676</v>
      </c>
      <c r="H5785" t="s">
        <v>28684</v>
      </c>
      <c r="I5785" t="s">
        <v>3718</v>
      </c>
      <c r="J5785" t="s">
        <v>32487</v>
      </c>
      <c r="K5785" t="s">
        <v>37220</v>
      </c>
      <c r="M5785" t="s">
        <v>39595</v>
      </c>
      <c r="N5785" t="s">
        <v>41249</v>
      </c>
      <c r="O5785" t="s">
        <v>41250</v>
      </c>
      <c r="P5785">
        <v>0</v>
      </c>
      <c r="Q5785">
        <v>1</v>
      </c>
      <c r="R5785" t="s">
        <v>41256</v>
      </c>
      <c r="S5785" t="s">
        <v>41450</v>
      </c>
      <c r="T5785" t="s">
        <v>42711</v>
      </c>
      <c r="U5785" t="s">
        <v>47986</v>
      </c>
      <c r="W5785" t="s">
        <v>39595</v>
      </c>
      <c r="X5785" t="s">
        <v>41257</v>
      </c>
    </row>
    <row r="5786" spans="1:24">
      <c r="A5786">
        <f>HYPERLINK("https://www.philgeps.gov.ph/GEPSNONPILOT/Tender/SplashBidNoticeAbstractUI.aspx?menuIndex=3&amp;refID=7070536&amp;Result=3","7070536")</f>
        <v>0</v>
      </c>
      <c r="B5786" t="s">
        <v>1968</v>
      </c>
      <c r="C5786" t="s">
        <v>4075</v>
      </c>
      <c r="E5786" t="s">
        <v>21831</v>
      </c>
      <c r="F5786" t="s">
        <v>28669</v>
      </c>
      <c r="G5786" t="s">
        <v>28675</v>
      </c>
      <c r="H5786" t="s">
        <v>28686</v>
      </c>
      <c r="I5786" t="s">
        <v>28689</v>
      </c>
      <c r="J5786" t="s">
        <v>28878</v>
      </c>
      <c r="K5786" t="s">
        <v>37316</v>
      </c>
      <c r="M5786" t="s">
        <v>39602</v>
      </c>
      <c r="N5786" t="s">
        <v>41249</v>
      </c>
      <c r="O5786" t="s">
        <v>41250</v>
      </c>
      <c r="P5786">
        <v>0</v>
      </c>
      <c r="Q5786">
        <v>0</v>
      </c>
      <c r="R5786" t="s">
        <v>41256</v>
      </c>
      <c r="S5786" t="s">
        <v>41450</v>
      </c>
      <c r="T5786" t="s">
        <v>42717</v>
      </c>
      <c r="U5786" t="s">
        <v>47998</v>
      </c>
      <c r="W5786" t="s">
        <v>39602</v>
      </c>
      <c r="X5786" t="s">
        <v>41257</v>
      </c>
    </row>
    <row r="5787" spans="1:24">
      <c r="A5787">
        <f>HYPERLINK("https://www.philgeps.gov.ph/GEPSNONPILOT/Tender/SplashBidNoticeAbstractUI.aspx?menuIndex=3&amp;refID=7070532&amp;Result=3","7070532")</f>
        <v>0</v>
      </c>
      <c r="B5787" t="s">
        <v>1964</v>
      </c>
      <c r="C5787" t="s">
        <v>8904</v>
      </c>
      <c r="D5787" t="s">
        <v>16654</v>
      </c>
      <c r="E5787" t="s">
        <v>21832</v>
      </c>
      <c r="F5787" t="s">
        <v>28669</v>
      </c>
      <c r="G5787" t="s">
        <v>28679</v>
      </c>
      <c r="H5787" t="s">
        <v>9998</v>
      </c>
      <c r="I5787" t="s">
        <v>28687</v>
      </c>
      <c r="J5787" t="s">
        <v>32488</v>
      </c>
      <c r="K5787" t="s">
        <v>37227</v>
      </c>
      <c r="M5787" t="s">
        <v>39597</v>
      </c>
      <c r="N5787" t="s">
        <v>41249</v>
      </c>
      <c r="O5787" t="s">
        <v>41250</v>
      </c>
      <c r="P5787">
        <v>0</v>
      </c>
      <c r="Q5787">
        <v>2</v>
      </c>
      <c r="R5787" t="s">
        <v>41256</v>
      </c>
      <c r="S5787" t="s">
        <v>41450</v>
      </c>
      <c r="T5787" t="s">
        <v>42771</v>
      </c>
      <c r="U5787" t="s">
        <v>47999</v>
      </c>
      <c r="V5787" t="s">
        <v>54909</v>
      </c>
      <c r="W5787" t="s">
        <v>39597</v>
      </c>
      <c r="X5787" t="s">
        <v>41257</v>
      </c>
    </row>
    <row r="5788" spans="1:24">
      <c r="A5788">
        <f>HYPERLINK("https://www.philgeps.gov.ph/GEPSNONPILOT/Tender/SplashBidNoticeAbstractUI.aspx?menuIndex=3&amp;refID=7070529&amp;Result=3","7070529")</f>
        <v>0</v>
      </c>
      <c r="B5788" t="s">
        <v>1956</v>
      </c>
      <c r="C5788" t="s">
        <v>8905</v>
      </c>
      <c r="D5788" t="s">
        <v>16615</v>
      </c>
      <c r="E5788" t="s">
        <v>21833</v>
      </c>
      <c r="F5788" t="s">
        <v>28669</v>
      </c>
      <c r="G5788" t="s">
        <v>28675</v>
      </c>
      <c r="H5788" t="s">
        <v>9998</v>
      </c>
      <c r="I5788" t="s">
        <v>15140</v>
      </c>
      <c r="J5788" t="s">
        <v>32489</v>
      </c>
      <c r="K5788" t="s">
        <v>37206</v>
      </c>
      <c r="M5788" t="s">
        <v>39588</v>
      </c>
      <c r="N5788" t="s">
        <v>41249</v>
      </c>
      <c r="O5788" t="s">
        <v>41250</v>
      </c>
      <c r="P5788">
        <v>0</v>
      </c>
      <c r="Q5788">
        <v>0</v>
      </c>
      <c r="R5788" t="s">
        <v>41256</v>
      </c>
      <c r="S5788" t="s">
        <v>41450</v>
      </c>
      <c r="T5788" t="s">
        <v>42766</v>
      </c>
      <c r="U5788" t="s">
        <v>48000</v>
      </c>
      <c r="W5788" t="s">
        <v>39588</v>
      </c>
      <c r="X5788" t="s">
        <v>41257</v>
      </c>
    </row>
    <row r="5789" spans="1:24">
      <c r="A5789">
        <f>HYPERLINK("https://www.philgeps.gov.ph/GEPSNONPILOT/Tender/SplashBidNoticeAbstractUI.aspx?menuIndex=3&amp;refID=7070519&amp;Result=3","7070519")</f>
        <v>0</v>
      </c>
      <c r="B5789" t="s">
        <v>617</v>
      </c>
      <c r="C5789" t="s">
        <v>8906</v>
      </c>
      <c r="D5789" t="s">
        <v>16608</v>
      </c>
      <c r="E5789" t="s">
        <v>21834</v>
      </c>
      <c r="F5789" t="s">
        <v>28669</v>
      </c>
      <c r="G5789" t="s">
        <v>28677</v>
      </c>
      <c r="H5789" t="s">
        <v>9998</v>
      </c>
      <c r="I5789" t="s">
        <v>5213</v>
      </c>
      <c r="J5789" t="s">
        <v>29404</v>
      </c>
      <c r="K5789" t="s">
        <v>37204</v>
      </c>
      <c r="M5789" t="s">
        <v>38117</v>
      </c>
      <c r="N5789" t="s">
        <v>41249</v>
      </c>
      <c r="O5789" t="s">
        <v>41250</v>
      </c>
      <c r="P5789">
        <v>0</v>
      </c>
      <c r="Q5789">
        <v>1</v>
      </c>
      <c r="R5789" t="s">
        <v>41256</v>
      </c>
      <c r="S5789" t="s">
        <v>41450</v>
      </c>
      <c r="T5789" t="s">
        <v>42701</v>
      </c>
      <c r="U5789" t="s">
        <v>48001</v>
      </c>
      <c r="V5789" t="s">
        <v>54402</v>
      </c>
      <c r="W5789" t="s">
        <v>38117</v>
      </c>
      <c r="X5789" t="s">
        <v>41257</v>
      </c>
    </row>
    <row r="5790" spans="1:24">
      <c r="A5790">
        <f>HYPERLINK("https://www.philgeps.gov.ph/GEPSNONPILOT/Tender/SplashBidNoticeAbstractUI.aspx?menuIndex=3&amp;refID=7068292&amp;Result=3","7068292")</f>
        <v>0</v>
      </c>
      <c r="B5790" t="s">
        <v>1969</v>
      </c>
      <c r="C5790" t="s">
        <v>8907</v>
      </c>
      <c r="D5790" t="s">
        <v>16639</v>
      </c>
      <c r="E5790" t="s">
        <v>18409</v>
      </c>
      <c r="F5790" t="s">
        <v>28669</v>
      </c>
      <c r="G5790" t="s">
        <v>28679</v>
      </c>
      <c r="H5790" t="s">
        <v>9998</v>
      </c>
      <c r="I5790" t="s">
        <v>28724</v>
      </c>
      <c r="J5790" t="s">
        <v>32490</v>
      </c>
      <c r="K5790" t="s">
        <v>37206</v>
      </c>
      <c r="M5790" t="s">
        <v>39603</v>
      </c>
      <c r="N5790" t="s">
        <v>41249</v>
      </c>
      <c r="O5790" t="s">
        <v>41250</v>
      </c>
      <c r="P5790">
        <v>0</v>
      </c>
      <c r="Q5790">
        <v>2</v>
      </c>
      <c r="R5790" t="s">
        <v>41256</v>
      </c>
      <c r="S5790" t="s">
        <v>41450</v>
      </c>
      <c r="T5790" t="s">
        <v>42681</v>
      </c>
      <c r="U5790" t="s">
        <v>48002</v>
      </c>
      <c r="V5790" t="s">
        <v>54910</v>
      </c>
      <c r="W5790" t="s">
        <v>39603</v>
      </c>
      <c r="X5790" t="s">
        <v>41258</v>
      </c>
    </row>
    <row r="5791" spans="1:24">
      <c r="A5791">
        <f>HYPERLINK("https://www.philgeps.gov.ph/GEPSNONPILOT/Tender/SplashBidNoticeAbstractUI.aspx?menuIndex=3&amp;refID=7070515&amp;Result=3","7070515")</f>
        <v>0</v>
      </c>
      <c r="B5791" t="s">
        <v>216</v>
      </c>
      <c r="C5791" t="s">
        <v>8908</v>
      </c>
      <c r="D5791" t="s">
        <v>16615</v>
      </c>
      <c r="E5791" t="s">
        <v>17763</v>
      </c>
      <c r="F5791" t="s">
        <v>28669</v>
      </c>
      <c r="G5791" t="s">
        <v>28677</v>
      </c>
      <c r="H5791" t="s">
        <v>28685</v>
      </c>
      <c r="I5791" t="s">
        <v>11593</v>
      </c>
      <c r="J5791" t="s">
        <v>29513</v>
      </c>
      <c r="K5791" t="s">
        <v>37220</v>
      </c>
      <c r="M5791" t="s">
        <v>37694</v>
      </c>
      <c r="N5791" t="s">
        <v>41249</v>
      </c>
      <c r="O5791" t="s">
        <v>41250</v>
      </c>
      <c r="P5791">
        <v>0</v>
      </c>
      <c r="Q5791">
        <v>5</v>
      </c>
      <c r="R5791" t="s">
        <v>41256</v>
      </c>
      <c r="S5791" t="s">
        <v>41450</v>
      </c>
      <c r="T5791" t="s">
        <v>42701</v>
      </c>
      <c r="U5791" t="s">
        <v>48003</v>
      </c>
      <c r="W5791" t="s">
        <v>37694</v>
      </c>
      <c r="X5791" t="s">
        <v>41257</v>
      </c>
    </row>
    <row r="5792" spans="1:24">
      <c r="A5792">
        <f>HYPERLINK("https://www.philgeps.gov.ph/GEPSNONPILOT/Tender/SplashBidNoticeAbstractUI.aspx?menuIndex=3&amp;refID=7070514&amp;Result=3","7070514")</f>
        <v>0</v>
      </c>
      <c r="B5792" t="s">
        <v>575</v>
      </c>
      <c r="C5792" t="s">
        <v>8909</v>
      </c>
      <c r="D5792" t="s">
        <v>16660</v>
      </c>
      <c r="E5792" t="s">
        <v>21835</v>
      </c>
      <c r="F5792" t="s">
        <v>28669</v>
      </c>
      <c r="G5792" t="s">
        <v>28676</v>
      </c>
      <c r="H5792" t="s">
        <v>9998</v>
      </c>
      <c r="I5792" t="s">
        <v>28738</v>
      </c>
      <c r="J5792" t="s">
        <v>28878</v>
      </c>
      <c r="K5792" t="s">
        <v>37209</v>
      </c>
      <c r="M5792" t="s">
        <v>38074</v>
      </c>
      <c r="N5792" t="s">
        <v>41249</v>
      </c>
      <c r="O5792" t="s">
        <v>41250</v>
      </c>
      <c r="P5792">
        <v>0</v>
      </c>
      <c r="Q5792">
        <v>10</v>
      </c>
      <c r="R5792" t="s">
        <v>41256</v>
      </c>
      <c r="S5792" t="s">
        <v>41450</v>
      </c>
      <c r="T5792" t="s">
        <v>42767</v>
      </c>
      <c r="U5792" t="s">
        <v>44358</v>
      </c>
      <c r="W5792" t="s">
        <v>38074</v>
      </c>
      <c r="X5792" t="s">
        <v>41257</v>
      </c>
    </row>
    <row r="5793" spans="1:24">
      <c r="A5793">
        <f>HYPERLINK("https://www.philgeps.gov.ph/GEPSNONPILOT/Tender/SplashBidNoticeAbstractUI.aspx?menuIndex=3&amp;refID=7070512&amp;Result=3","7070512")</f>
        <v>0</v>
      </c>
      <c r="B5793" t="s">
        <v>1962</v>
      </c>
      <c r="C5793" t="s">
        <v>8910</v>
      </c>
      <c r="D5793" t="s">
        <v>16661</v>
      </c>
      <c r="E5793" t="s">
        <v>8910</v>
      </c>
      <c r="F5793" t="s">
        <v>28669</v>
      </c>
      <c r="G5793" t="s">
        <v>28676</v>
      </c>
      <c r="H5793" t="s">
        <v>9998</v>
      </c>
      <c r="I5793" t="s">
        <v>28704</v>
      </c>
      <c r="J5793" t="s">
        <v>32491</v>
      </c>
      <c r="K5793" t="s">
        <v>37220</v>
      </c>
      <c r="M5793" t="s">
        <v>39595</v>
      </c>
      <c r="N5793" t="s">
        <v>41249</v>
      </c>
      <c r="O5793" t="s">
        <v>41250</v>
      </c>
      <c r="P5793">
        <v>0</v>
      </c>
      <c r="Q5793">
        <v>0</v>
      </c>
      <c r="R5793" t="s">
        <v>41256</v>
      </c>
      <c r="S5793" t="s">
        <v>41450</v>
      </c>
      <c r="T5793" t="s">
        <v>42673</v>
      </c>
      <c r="U5793" t="s">
        <v>47986</v>
      </c>
      <c r="W5793" t="s">
        <v>39595</v>
      </c>
      <c r="X5793" t="s">
        <v>41257</v>
      </c>
    </row>
    <row r="5794" spans="1:24">
      <c r="A5794">
        <f>HYPERLINK("https://www.philgeps.gov.ph/GEPSNONPILOT/Tender/SplashBidNoticeAbstractUI.aspx?menuIndex=3&amp;refID=7070505&amp;Result=3","7070505")</f>
        <v>0</v>
      </c>
      <c r="B5794" t="s">
        <v>1970</v>
      </c>
      <c r="C5794" t="s">
        <v>8911</v>
      </c>
      <c r="D5794" t="s">
        <v>16651</v>
      </c>
      <c r="E5794" t="s">
        <v>21836</v>
      </c>
      <c r="F5794" t="s">
        <v>28669</v>
      </c>
      <c r="G5794" t="s">
        <v>28677</v>
      </c>
      <c r="H5794" t="s">
        <v>9998</v>
      </c>
      <c r="I5794" t="s">
        <v>6128</v>
      </c>
      <c r="J5794" t="s">
        <v>32492</v>
      </c>
      <c r="K5794" t="s">
        <v>37205</v>
      </c>
      <c r="M5794" t="s">
        <v>39604</v>
      </c>
      <c r="N5794" t="s">
        <v>41249</v>
      </c>
      <c r="O5794" t="s">
        <v>41250</v>
      </c>
      <c r="P5794">
        <v>0</v>
      </c>
      <c r="Q5794">
        <v>8</v>
      </c>
      <c r="R5794" t="s">
        <v>41256</v>
      </c>
      <c r="S5794" t="s">
        <v>41450</v>
      </c>
      <c r="T5794" t="s">
        <v>42698</v>
      </c>
      <c r="U5794" t="s">
        <v>48004</v>
      </c>
      <c r="W5794" t="s">
        <v>39604</v>
      </c>
      <c r="X5794" t="s">
        <v>41257</v>
      </c>
    </row>
    <row r="5795" spans="1:24">
      <c r="A5795">
        <f>HYPERLINK("https://www.philgeps.gov.ph/GEPSNONPILOT/Tender/SplashBidNoticeAbstractUI.aspx?menuIndex=3&amp;refID=7070530&amp;Result=3","7070530")</f>
        <v>0</v>
      </c>
      <c r="B5795" t="s">
        <v>1971</v>
      </c>
      <c r="C5795" t="s">
        <v>8912</v>
      </c>
      <c r="D5795" t="s">
        <v>16621</v>
      </c>
      <c r="E5795" t="s">
        <v>21837</v>
      </c>
      <c r="F5795" t="s">
        <v>28669</v>
      </c>
      <c r="G5795" t="s">
        <v>28675</v>
      </c>
      <c r="H5795" t="s">
        <v>28686</v>
      </c>
      <c r="I5795" t="s">
        <v>28689</v>
      </c>
      <c r="J5795" t="s">
        <v>32493</v>
      </c>
      <c r="K5795" t="s">
        <v>37291</v>
      </c>
      <c r="M5795" t="s">
        <v>39605</v>
      </c>
      <c r="N5795" t="s">
        <v>41249</v>
      </c>
      <c r="O5795" t="s">
        <v>41250</v>
      </c>
      <c r="P5795">
        <v>0</v>
      </c>
      <c r="Q5795">
        <v>0</v>
      </c>
      <c r="R5795" t="s">
        <v>41256</v>
      </c>
      <c r="S5795" t="s">
        <v>41450</v>
      </c>
      <c r="T5795" t="s">
        <v>42879</v>
      </c>
      <c r="U5795" t="s">
        <v>48005</v>
      </c>
      <c r="V5795" t="s">
        <v>54911</v>
      </c>
      <c r="W5795" t="s">
        <v>39605</v>
      </c>
      <c r="X5795" t="s">
        <v>41257</v>
      </c>
    </row>
    <row r="5796" spans="1:24">
      <c r="A5796">
        <f>HYPERLINK("https://www.philgeps.gov.ph/GEPSNONPILOT/Tender/SplashBidNoticeAbstractUI.aspx?menuIndex=3&amp;refID=7070521&amp;Result=3","7070521")</f>
        <v>0</v>
      </c>
      <c r="B5796" t="s">
        <v>1522</v>
      </c>
      <c r="C5796" t="s">
        <v>8913</v>
      </c>
      <c r="D5796" t="s">
        <v>16686</v>
      </c>
      <c r="E5796" t="s">
        <v>21838</v>
      </c>
      <c r="F5796" t="s">
        <v>28669</v>
      </c>
      <c r="G5796" t="s">
        <v>28675</v>
      </c>
      <c r="H5796" t="s">
        <v>9998</v>
      </c>
      <c r="I5796" t="s">
        <v>6128</v>
      </c>
      <c r="J5796" t="s">
        <v>32494</v>
      </c>
      <c r="K5796" t="s">
        <v>37210</v>
      </c>
      <c r="M5796" t="s">
        <v>39573</v>
      </c>
      <c r="N5796" t="s">
        <v>41249</v>
      </c>
      <c r="O5796" t="s">
        <v>41250</v>
      </c>
      <c r="P5796">
        <v>0</v>
      </c>
      <c r="Q5796">
        <v>0</v>
      </c>
      <c r="R5796" t="s">
        <v>41256</v>
      </c>
      <c r="S5796" t="s">
        <v>41450</v>
      </c>
      <c r="T5796" t="s">
        <v>42663</v>
      </c>
      <c r="U5796" t="s">
        <v>48006</v>
      </c>
      <c r="W5796" t="s">
        <v>39573</v>
      </c>
      <c r="X5796" t="s">
        <v>41257</v>
      </c>
    </row>
    <row r="5797" spans="1:24">
      <c r="A5797">
        <f>HYPERLINK("https://www.philgeps.gov.ph/GEPSNONPILOT/Tender/SplashBidNoticeAbstractUI.aspx?menuIndex=3&amp;refID=7070502&amp;Result=3","7070502")</f>
        <v>0</v>
      </c>
      <c r="B5797" t="s">
        <v>1972</v>
      </c>
      <c r="C5797" t="s">
        <v>8914</v>
      </c>
      <c r="E5797" t="s">
        <v>21839</v>
      </c>
      <c r="F5797" t="s">
        <v>28669</v>
      </c>
      <c r="G5797" t="s">
        <v>28675</v>
      </c>
      <c r="H5797" t="s">
        <v>9998</v>
      </c>
      <c r="I5797" t="s">
        <v>28702</v>
      </c>
      <c r="J5797" t="s">
        <v>32495</v>
      </c>
      <c r="K5797" t="s">
        <v>37205</v>
      </c>
      <c r="M5797" t="s">
        <v>39606</v>
      </c>
      <c r="N5797" t="s">
        <v>41249</v>
      </c>
      <c r="O5797" t="s">
        <v>41250</v>
      </c>
      <c r="P5797">
        <v>0</v>
      </c>
      <c r="Q5797">
        <v>0</v>
      </c>
      <c r="R5797" t="s">
        <v>41256</v>
      </c>
      <c r="S5797" t="s">
        <v>41450</v>
      </c>
      <c r="T5797" t="s">
        <v>42673</v>
      </c>
      <c r="U5797" t="s">
        <v>48007</v>
      </c>
      <c r="W5797" t="s">
        <v>39606</v>
      </c>
      <c r="X5797" t="s">
        <v>41257</v>
      </c>
    </row>
    <row r="5798" spans="1:24">
      <c r="A5798">
        <f>HYPERLINK("https://www.philgeps.gov.ph/GEPSNONPILOT/Tender/SplashBidNoticeAbstractUI.aspx?menuIndex=3&amp;refID=7070507&amp;Result=3","7070507")</f>
        <v>0</v>
      </c>
      <c r="B5798" t="s">
        <v>1522</v>
      </c>
      <c r="C5798" t="s">
        <v>8915</v>
      </c>
      <c r="D5798" t="s">
        <v>16686</v>
      </c>
      <c r="E5798" t="s">
        <v>21840</v>
      </c>
      <c r="F5798" t="s">
        <v>28669</v>
      </c>
      <c r="G5798" t="s">
        <v>28675</v>
      </c>
      <c r="H5798" t="s">
        <v>9998</v>
      </c>
      <c r="I5798" t="s">
        <v>3718</v>
      </c>
      <c r="J5798" t="s">
        <v>31272</v>
      </c>
      <c r="K5798" t="s">
        <v>37210</v>
      </c>
      <c r="M5798" t="s">
        <v>39573</v>
      </c>
      <c r="N5798" t="s">
        <v>41249</v>
      </c>
      <c r="O5798" t="s">
        <v>41250</v>
      </c>
      <c r="P5798">
        <v>0</v>
      </c>
      <c r="Q5798">
        <v>0</v>
      </c>
      <c r="R5798" t="s">
        <v>41256</v>
      </c>
      <c r="S5798" t="s">
        <v>41450</v>
      </c>
      <c r="T5798" t="s">
        <v>42663</v>
      </c>
      <c r="U5798" t="s">
        <v>48008</v>
      </c>
      <c r="W5798" t="s">
        <v>39573</v>
      </c>
      <c r="X5798" t="s">
        <v>41257</v>
      </c>
    </row>
    <row r="5799" spans="1:24">
      <c r="A5799">
        <f>HYPERLINK("https://www.philgeps.gov.ph/GEPSNONPILOT/Tender/SplashBidNoticeAbstractUI.aspx?menuIndex=3&amp;refID=7070491&amp;Result=3","7070491")</f>
        <v>0</v>
      </c>
      <c r="B5799" t="s">
        <v>1973</v>
      </c>
      <c r="C5799" t="s">
        <v>8916</v>
      </c>
      <c r="D5799" t="s">
        <v>16662</v>
      </c>
      <c r="E5799" t="s">
        <v>21841</v>
      </c>
      <c r="F5799" t="s">
        <v>28669</v>
      </c>
      <c r="G5799" t="s">
        <v>28675</v>
      </c>
      <c r="H5799" t="s">
        <v>9998</v>
      </c>
      <c r="I5799" t="s">
        <v>28736</v>
      </c>
      <c r="J5799" t="s">
        <v>32496</v>
      </c>
      <c r="K5799" t="s">
        <v>37205</v>
      </c>
      <c r="M5799" t="s">
        <v>39607</v>
      </c>
      <c r="N5799" t="s">
        <v>41249</v>
      </c>
      <c r="O5799" t="s">
        <v>41250</v>
      </c>
      <c r="P5799">
        <v>0</v>
      </c>
      <c r="Q5799">
        <v>1</v>
      </c>
      <c r="R5799" t="s">
        <v>41256</v>
      </c>
      <c r="S5799" t="s">
        <v>41450</v>
      </c>
      <c r="T5799" t="s">
        <v>42722</v>
      </c>
      <c r="U5799" t="s">
        <v>48009</v>
      </c>
      <c r="W5799" t="s">
        <v>39607</v>
      </c>
      <c r="X5799" t="s">
        <v>41257</v>
      </c>
    </row>
    <row r="5800" spans="1:24">
      <c r="A5800">
        <f>HYPERLINK("https://www.philgeps.gov.ph/GEPSNONPILOT/Tender/SplashBidNoticeAbstractUI.aspx?menuIndex=3&amp;refID=7070484&amp;Result=3","7070484")</f>
        <v>0</v>
      </c>
      <c r="B5800" t="s">
        <v>1974</v>
      </c>
      <c r="C5800" t="s">
        <v>8917</v>
      </c>
      <c r="D5800" t="s">
        <v>16616</v>
      </c>
      <c r="E5800" t="s">
        <v>21842</v>
      </c>
      <c r="F5800" t="s">
        <v>28669</v>
      </c>
      <c r="G5800" t="s">
        <v>28676</v>
      </c>
      <c r="H5800" t="s">
        <v>9998</v>
      </c>
      <c r="I5800" t="s">
        <v>28693</v>
      </c>
      <c r="J5800" t="s">
        <v>32497</v>
      </c>
      <c r="K5800" t="s">
        <v>37243</v>
      </c>
      <c r="M5800" t="s">
        <v>39608</v>
      </c>
      <c r="N5800" t="s">
        <v>41249</v>
      </c>
      <c r="O5800" t="s">
        <v>41250</v>
      </c>
      <c r="P5800">
        <v>0</v>
      </c>
      <c r="Q5800">
        <v>7</v>
      </c>
      <c r="R5800" t="s">
        <v>41256</v>
      </c>
      <c r="S5800" t="s">
        <v>41450</v>
      </c>
      <c r="T5800" t="s">
        <v>42883</v>
      </c>
      <c r="U5800" t="s">
        <v>48010</v>
      </c>
      <c r="V5800" t="s">
        <v>54912</v>
      </c>
      <c r="W5800" t="s">
        <v>39608</v>
      </c>
      <c r="X5800" t="s">
        <v>41257</v>
      </c>
    </row>
    <row r="5801" spans="1:24">
      <c r="A5801">
        <f>HYPERLINK("https://www.philgeps.gov.ph/GEPSNONPILOT/Tender/SplashBidNoticeAbstractUI.aspx?menuIndex=3&amp;refID=7070407&amp;Result=3","7070407")</f>
        <v>0</v>
      </c>
      <c r="B5801" t="s">
        <v>1770</v>
      </c>
      <c r="C5801" t="s">
        <v>8918</v>
      </c>
      <c r="D5801" t="s">
        <v>16608</v>
      </c>
      <c r="E5801" t="s">
        <v>21843</v>
      </c>
      <c r="F5801" t="s">
        <v>28669</v>
      </c>
      <c r="G5801" t="s">
        <v>28676</v>
      </c>
      <c r="H5801" t="s">
        <v>9998</v>
      </c>
      <c r="I5801" t="s">
        <v>28779</v>
      </c>
      <c r="J5801" t="s">
        <v>29418</v>
      </c>
      <c r="K5801" t="s">
        <v>37204</v>
      </c>
      <c r="M5801" t="s">
        <v>39584</v>
      </c>
      <c r="N5801" t="s">
        <v>41249</v>
      </c>
      <c r="O5801" t="s">
        <v>41250</v>
      </c>
      <c r="P5801">
        <v>0</v>
      </c>
      <c r="Q5801">
        <v>1</v>
      </c>
      <c r="R5801" t="s">
        <v>41256</v>
      </c>
      <c r="S5801" t="s">
        <v>41450</v>
      </c>
      <c r="T5801" t="s">
        <v>42751</v>
      </c>
      <c r="U5801" t="s">
        <v>47967</v>
      </c>
      <c r="W5801" t="s">
        <v>39584</v>
      </c>
      <c r="X5801" t="s">
        <v>41257</v>
      </c>
    </row>
    <row r="5802" spans="1:24">
      <c r="A5802">
        <f>HYPERLINK("https://www.philgeps.gov.ph/GEPSNONPILOT/Tender/SplashBidNoticeAbstractUI.aspx?menuIndex=3&amp;refID=7070406&amp;Result=3","7070406")</f>
        <v>0</v>
      </c>
      <c r="B5802" t="s">
        <v>1975</v>
      </c>
      <c r="C5802" t="s">
        <v>8919</v>
      </c>
      <c r="D5802" t="s">
        <v>16626</v>
      </c>
      <c r="E5802" t="s">
        <v>21844</v>
      </c>
      <c r="F5802" t="s">
        <v>28671</v>
      </c>
      <c r="G5802" t="s">
        <v>28676</v>
      </c>
      <c r="H5802" t="s">
        <v>28684</v>
      </c>
      <c r="I5802" t="s">
        <v>28811</v>
      </c>
      <c r="J5802" t="s">
        <v>32498</v>
      </c>
      <c r="K5802" t="s">
        <v>37205</v>
      </c>
      <c r="M5802" t="s">
        <v>39609</v>
      </c>
      <c r="N5802" t="s">
        <v>41249</v>
      </c>
      <c r="O5802" t="s">
        <v>41250</v>
      </c>
      <c r="P5802">
        <v>0</v>
      </c>
      <c r="Q5802">
        <v>0</v>
      </c>
      <c r="R5802" t="s">
        <v>41256</v>
      </c>
      <c r="S5802" t="s">
        <v>41450</v>
      </c>
      <c r="T5802" t="s">
        <v>42694</v>
      </c>
      <c r="U5802" t="s">
        <v>48011</v>
      </c>
      <c r="W5802" t="s">
        <v>39609</v>
      </c>
      <c r="X5802" t="s">
        <v>41257</v>
      </c>
    </row>
    <row r="5803" spans="1:24">
      <c r="A5803">
        <f>HYPERLINK("https://www.philgeps.gov.ph/GEPSNONPILOT/Tender/SplashBidNoticeAbstractUI.aspx?menuIndex=3&amp;refID=7070500&amp;Result=3","7070500")</f>
        <v>0</v>
      </c>
      <c r="B5803" t="s">
        <v>1964</v>
      </c>
      <c r="C5803" t="s">
        <v>8920</v>
      </c>
      <c r="D5803" t="s">
        <v>16654</v>
      </c>
      <c r="E5803" t="s">
        <v>21845</v>
      </c>
      <c r="F5803" t="s">
        <v>28669</v>
      </c>
      <c r="G5803" t="s">
        <v>28676</v>
      </c>
      <c r="H5803" t="s">
        <v>9998</v>
      </c>
      <c r="I5803" t="s">
        <v>3679</v>
      </c>
      <c r="J5803" t="s">
        <v>29088</v>
      </c>
      <c r="K5803" t="s">
        <v>37204</v>
      </c>
      <c r="M5803" t="s">
        <v>39597</v>
      </c>
      <c r="N5803" t="s">
        <v>41249</v>
      </c>
      <c r="O5803" t="s">
        <v>41250</v>
      </c>
      <c r="P5803">
        <v>0</v>
      </c>
      <c r="Q5803">
        <v>2</v>
      </c>
      <c r="R5803" t="s">
        <v>41256</v>
      </c>
      <c r="S5803" t="s">
        <v>41450</v>
      </c>
      <c r="T5803" t="s">
        <v>42727</v>
      </c>
      <c r="U5803" t="s">
        <v>48012</v>
      </c>
      <c r="V5803" t="s">
        <v>54913</v>
      </c>
      <c r="W5803" t="s">
        <v>39597</v>
      </c>
      <c r="X5803" t="s">
        <v>41257</v>
      </c>
    </row>
    <row r="5804" spans="1:24">
      <c r="A5804">
        <f>HYPERLINK("https://www.philgeps.gov.ph/GEPSNONPILOT/Tender/SplashBidNoticeAbstractUI.aspx?menuIndex=3&amp;refID=7070391&amp;Result=3","7070391")</f>
        <v>0</v>
      </c>
      <c r="B5804" t="s">
        <v>1956</v>
      </c>
      <c r="C5804" t="s">
        <v>8921</v>
      </c>
      <c r="D5804" t="s">
        <v>16615</v>
      </c>
      <c r="E5804" t="s">
        <v>21846</v>
      </c>
      <c r="F5804" t="s">
        <v>28669</v>
      </c>
      <c r="G5804" t="s">
        <v>28675</v>
      </c>
      <c r="H5804" t="s">
        <v>9998</v>
      </c>
      <c r="I5804" t="s">
        <v>28692</v>
      </c>
      <c r="J5804" t="s">
        <v>30245</v>
      </c>
      <c r="K5804" t="s">
        <v>37206</v>
      </c>
      <c r="M5804" t="s">
        <v>39588</v>
      </c>
      <c r="N5804" t="s">
        <v>41249</v>
      </c>
      <c r="O5804" t="s">
        <v>41250</v>
      </c>
      <c r="P5804">
        <v>0</v>
      </c>
      <c r="Q5804">
        <v>4</v>
      </c>
      <c r="R5804" t="s">
        <v>41256</v>
      </c>
      <c r="S5804" t="s">
        <v>41450</v>
      </c>
      <c r="T5804" t="s">
        <v>42766</v>
      </c>
      <c r="U5804" t="s">
        <v>48013</v>
      </c>
      <c r="W5804" t="s">
        <v>39588</v>
      </c>
      <c r="X5804" t="s">
        <v>41257</v>
      </c>
    </row>
    <row r="5805" spans="1:24">
      <c r="A5805">
        <f>HYPERLINK("https://www.philgeps.gov.ph/GEPSNONPILOT/Tender/SplashBidNoticeAbstractUI.aspx?menuIndex=3&amp;refID=7070292&amp;Result=3","7070292")</f>
        <v>0</v>
      </c>
      <c r="B5805" t="s">
        <v>150</v>
      </c>
      <c r="C5805" t="s">
        <v>8922</v>
      </c>
      <c r="D5805" t="s">
        <v>16617</v>
      </c>
      <c r="E5805" t="s">
        <v>21847</v>
      </c>
      <c r="F5805" t="s">
        <v>28669</v>
      </c>
      <c r="G5805" t="s">
        <v>28676</v>
      </c>
      <c r="H5805" t="s">
        <v>9998</v>
      </c>
      <c r="I5805" t="s">
        <v>28728</v>
      </c>
      <c r="J5805" t="s">
        <v>32499</v>
      </c>
      <c r="K5805" t="s">
        <v>37206</v>
      </c>
      <c r="M5805" t="s">
        <v>37627</v>
      </c>
      <c r="N5805" t="s">
        <v>41249</v>
      </c>
      <c r="O5805" t="s">
        <v>41250</v>
      </c>
      <c r="P5805">
        <v>0</v>
      </c>
      <c r="Q5805">
        <v>0</v>
      </c>
      <c r="R5805" t="s">
        <v>41256</v>
      </c>
      <c r="S5805" t="s">
        <v>41450</v>
      </c>
      <c r="T5805" t="s">
        <v>42992</v>
      </c>
      <c r="U5805" t="s">
        <v>48014</v>
      </c>
      <c r="W5805" t="s">
        <v>37627</v>
      </c>
      <c r="X5805" t="s">
        <v>41257</v>
      </c>
    </row>
    <row r="5806" spans="1:24">
      <c r="A5806">
        <f>HYPERLINK("https://www.philgeps.gov.ph/GEPSNONPILOT/Tender/SplashBidNoticeAbstractUI.aspx?menuIndex=3&amp;refID=7070410&amp;Result=3","7070410")</f>
        <v>0</v>
      </c>
      <c r="B5806" t="s">
        <v>1976</v>
      </c>
      <c r="C5806" t="s">
        <v>8923</v>
      </c>
      <c r="E5806" t="s">
        <v>21848</v>
      </c>
      <c r="F5806" t="s">
        <v>28669</v>
      </c>
      <c r="G5806" t="s">
        <v>28675</v>
      </c>
      <c r="H5806" t="s">
        <v>9998</v>
      </c>
      <c r="I5806" t="s">
        <v>7352</v>
      </c>
      <c r="J5806" t="s">
        <v>32500</v>
      </c>
      <c r="K5806" t="s">
        <v>37209</v>
      </c>
      <c r="M5806" t="s">
        <v>39610</v>
      </c>
      <c r="N5806" t="s">
        <v>41249</v>
      </c>
      <c r="O5806" t="s">
        <v>41250</v>
      </c>
      <c r="P5806">
        <v>0</v>
      </c>
      <c r="Q5806">
        <v>1</v>
      </c>
      <c r="R5806" t="s">
        <v>41256</v>
      </c>
      <c r="S5806" t="s">
        <v>41450</v>
      </c>
      <c r="T5806" t="s">
        <v>42911</v>
      </c>
      <c r="U5806" t="s">
        <v>48015</v>
      </c>
      <c r="W5806" t="s">
        <v>39610</v>
      </c>
      <c r="X5806" t="s">
        <v>41257</v>
      </c>
    </row>
    <row r="5807" spans="1:24">
      <c r="A5807">
        <f>HYPERLINK("https://www.philgeps.gov.ph/GEPSNONPILOT/Tender/SplashBidNoticeAbstractUI.aspx?menuIndex=3&amp;refID=7070495&amp;Result=3","7070495")</f>
        <v>0</v>
      </c>
      <c r="B5807" t="s">
        <v>289</v>
      </c>
      <c r="C5807" t="s">
        <v>8924</v>
      </c>
      <c r="E5807" t="s">
        <v>21849</v>
      </c>
      <c r="F5807" t="s">
        <v>28669</v>
      </c>
      <c r="G5807" t="s">
        <v>28676</v>
      </c>
      <c r="H5807" t="s">
        <v>9998</v>
      </c>
      <c r="I5807" t="s">
        <v>5213</v>
      </c>
      <c r="J5807" t="s">
        <v>32501</v>
      </c>
      <c r="K5807" t="s">
        <v>37209</v>
      </c>
      <c r="M5807" t="s">
        <v>38066</v>
      </c>
      <c r="N5807" t="s">
        <v>41249</v>
      </c>
      <c r="O5807" t="s">
        <v>41250</v>
      </c>
      <c r="P5807">
        <v>0</v>
      </c>
      <c r="Q5807">
        <v>3</v>
      </c>
      <c r="R5807" t="s">
        <v>41256</v>
      </c>
      <c r="S5807" t="s">
        <v>41450</v>
      </c>
      <c r="T5807" t="s">
        <v>42758</v>
      </c>
      <c r="U5807" t="s">
        <v>48016</v>
      </c>
      <c r="W5807" t="s">
        <v>38066</v>
      </c>
      <c r="X5807" t="s">
        <v>41257</v>
      </c>
    </row>
    <row r="5808" spans="1:24">
      <c r="A5808">
        <f>HYPERLINK("https://www.philgeps.gov.ph/GEPSNONPILOT/Tender/SplashBidNoticeAbstractUI.aspx?menuIndex=3&amp;refID=7070289&amp;Result=3","7070289")</f>
        <v>0</v>
      </c>
      <c r="B5808" t="s">
        <v>150</v>
      </c>
      <c r="C5808" t="s">
        <v>8925</v>
      </c>
      <c r="D5808" t="s">
        <v>16617</v>
      </c>
      <c r="E5808" t="s">
        <v>21850</v>
      </c>
      <c r="F5808" t="s">
        <v>28669</v>
      </c>
      <c r="G5808" t="s">
        <v>28676</v>
      </c>
      <c r="H5808" t="s">
        <v>9998</v>
      </c>
      <c r="I5808" t="s">
        <v>28728</v>
      </c>
      <c r="J5808" t="s">
        <v>32502</v>
      </c>
      <c r="K5808" t="s">
        <v>37221</v>
      </c>
      <c r="M5808" t="s">
        <v>37627</v>
      </c>
      <c r="N5808" t="s">
        <v>41249</v>
      </c>
      <c r="O5808" t="s">
        <v>41250</v>
      </c>
      <c r="P5808">
        <v>0</v>
      </c>
      <c r="Q5808">
        <v>0</v>
      </c>
      <c r="R5808" t="s">
        <v>41256</v>
      </c>
      <c r="S5808" t="s">
        <v>41450</v>
      </c>
      <c r="T5808" t="s">
        <v>42992</v>
      </c>
      <c r="U5808" t="s">
        <v>48017</v>
      </c>
      <c r="W5808" t="s">
        <v>37627</v>
      </c>
      <c r="X5808" t="s">
        <v>41257</v>
      </c>
    </row>
    <row r="5809" spans="1:24">
      <c r="A5809">
        <f>HYPERLINK("https://www.philgeps.gov.ph/GEPSNONPILOT/Tender/SplashBidNoticeAbstractUI.aspx?menuIndex=3&amp;refID=7070503&amp;Result=3","7070503")</f>
        <v>0</v>
      </c>
      <c r="B5809" t="s">
        <v>743</v>
      </c>
      <c r="C5809" t="s">
        <v>8926</v>
      </c>
      <c r="D5809" t="s">
        <v>16629</v>
      </c>
      <c r="E5809" t="s">
        <v>21851</v>
      </c>
      <c r="F5809" t="s">
        <v>28669</v>
      </c>
      <c r="G5809" t="s">
        <v>28675</v>
      </c>
      <c r="H5809" t="s">
        <v>28686</v>
      </c>
      <c r="I5809" t="s">
        <v>28689</v>
      </c>
      <c r="J5809" t="s">
        <v>32503</v>
      </c>
      <c r="K5809" t="s">
        <v>37229</v>
      </c>
      <c r="M5809" t="s">
        <v>39318</v>
      </c>
      <c r="N5809" t="s">
        <v>41249</v>
      </c>
      <c r="O5809" t="s">
        <v>41250</v>
      </c>
      <c r="P5809">
        <v>0</v>
      </c>
      <c r="Q5809">
        <v>0</v>
      </c>
      <c r="R5809" t="s">
        <v>41256</v>
      </c>
      <c r="S5809" t="s">
        <v>41450</v>
      </c>
      <c r="T5809" t="s">
        <v>42671</v>
      </c>
      <c r="U5809" t="s">
        <v>48018</v>
      </c>
      <c r="V5809" t="s">
        <v>54914</v>
      </c>
      <c r="W5809" t="s">
        <v>39318</v>
      </c>
      <c r="X5809" t="s">
        <v>41257</v>
      </c>
    </row>
    <row r="5810" spans="1:24">
      <c r="A5810">
        <f>HYPERLINK("https://www.philgeps.gov.ph/GEPSNONPILOT/Tender/SplashBidNoticeAbstractUI.aspx?menuIndex=3&amp;refID=7070497&amp;Result=3","7070497")</f>
        <v>0</v>
      </c>
      <c r="B5810" t="s">
        <v>1934</v>
      </c>
      <c r="C5810" t="s">
        <v>8927</v>
      </c>
      <c r="D5810" t="s">
        <v>16644</v>
      </c>
      <c r="E5810" t="s">
        <v>21852</v>
      </c>
      <c r="F5810" t="s">
        <v>28669</v>
      </c>
      <c r="G5810" t="s">
        <v>28676</v>
      </c>
      <c r="H5810" t="s">
        <v>9998</v>
      </c>
      <c r="I5810" t="s">
        <v>28706</v>
      </c>
      <c r="J5810" t="s">
        <v>28879</v>
      </c>
      <c r="K5810" t="s">
        <v>37206</v>
      </c>
      <c r="M5810" t="s">
        <v>39561</v>
      </c>
      <c r="N5810" t="s">
        <v>41249</v>
      </c>
      <c r="O5810" t="s">
        <v>41250</v>
      </c>
      <c r="P5810">
        <v>0</v>
      </c>
      <c r="Q5810">
        <v>4</v>
      </c>
      <c r="R5810" t="s">
        <v>41256</v>
      </c>
      <c r="S5810" t="s">
        <v>41450</v>
      </c>
      <c r="T5810" t="s">
        <v>42729</v>
      </c>
      <c r="U5810" t="s">
        <v>47923</v>
      </c>
      <c r="W5810" t="s">
        <v>39561</v>
      </c>
      <c r="X5810" t="s">
        <v>41257</v>
      </c>
    </row>
    <row r="5811" spans="1:24">
      <c r="A5811">
        <f>HYPERLINK("https://www.philgeps.gov.ph/GEPSNONPILOT/Tender/SplashBidNoticeAbstractUI.aspx?menuIndex=3&amp;refID=7070615&amp;Result=3","7070615")</f>
        <v>0</v>
      </c>
      <c r="B5811" t="s">
        <v>1522</v>
      </c>
      <c r="C5811" t="s">
        <v>8928</v>
      </c>
      <c r="D5811" t="s">
        <v>16686</v>
      </c>
      <c r="E5811" t="s">
        <v>21853</v>
      </c>
      <c r="F5811" t="s">
        <v>28669</v>
      </c>
      <c r="G5811" t="s">
        <v>28675</v>
      </c>
      <c r="H5811" t="s">
        <v>9998</v>
      </c>
      <c r="I5811" t="s">
        <v>3718</v>
      </c>
      <c r="J5811" t="s">
        <v>29790</v>
      </c>
      <c r="K5811" t="s">
        <v>37210</v>
      </c>
      <c r="M5811" t="s">
        <v>39573</v>
      </c>
      <c r="N5811" t="s">
        <v>41249</v>
      </c>
      <c r="O5811" t="s">
        <v>41250</v>
      </c>
      <c r="P5811">
        <v>0</v>
      </c>
      <c r="Q5811">
        <v>0</v>
      </c>
      <c r="R5811" t="s">
        <v>41256</v>
      </c>
      <c r="S5811" t="s">
        <v>41450</v>
      </c>
      <c r="T5811" t="s">
        <v>42663</v>
      </c>
      <c r="U5811" t="s">
        <v>48019</v>
      </c>
      <c r="W5811" t="s">
        <v>39573</v>
      </c>
      <c r="X5811" t="s">
        <v>41257</v>
      </c>
    </row>
    <row r="5812" spans="1:24">
      <c r="A5812">
        <f>HYPERLINK("https://www.philgeps.gov.ph/GEPSNONPILOT/Tender/SplashBidNoticeAbstractUI.aspx?menuIndex=3&amp;refID=7070614&amp;Result=3","7070614")</f>
        <v>0</v>
      </c>
      <c r="B5812" t="s">
        <v>1965</v>
      </c>
      <c r="C5812" t="s">
        <v>8929</v>
      </c>
      <c r="D5812" t="s">
        <v>16670</v>
      </c>
      <c r="E5812" t="s">
        <v>21854</v>
      </c>
      <c r="F5812" t="s">
        <v>28669</v>
      </c>
      <c r="G5812" t="s">
        <v>28676</v>
      </c>
      <c r="H5812" t="s">
        <v>9998</v>
      </c>
      <c r="I5812" t="s">
        <v>6128</v>
      </c>
      <c r="J5812" t="s">
        <v>32504</v>
      </c>
      <c r="K5812" t="s">
        <v>37206</v>
      </c>
      <c r="M5812" t="s">
        <v>39598</v>
      </c>
      <c r="N5812" t="s">
        <v>41249</v>
      </c>
      <c r="O5812" t="s">
        <v>41250</v>
      </c>
      <c r="P5812">
        <v>0</v>
      </c>
      <c r="Q5812">
        <v>0</v>
      </c>
      <c r="R5812" t="s">
        <v>41256</v>
      </c>
      <c r="S5812" t="s">
        <v>41450</v>
      </c>
      <c r="T5812" t="s">
        <v>42678</v>
      </c>
      <c r="U5812" t="s">
        <v>44022</v>
      </c>
      <c r="V5812" t="s">
        <v>54906</v>
      </c>
      <c r="W5812" t="s">
        <v>39598</v>
      </c>
      <c r="X5812" t="s">
        <v>41257</v>
      </c>
    </row>
    <row r="5813" spans="1:24">
      <c r="A5813">
        <f>HYPERLINK("https://www.philgeps.gov.ph/GEPSNONPILOT/Tender/SplashBidNoticeAbstractUI.aspx?menuIndex=3&amp;refID=7070444&amp;Result=3","7070444")</f>
        <v>0</v>
      </c>
      <c r="B5813" t="s">
        <v>1977</v>
      </c>
      <c r="C5813" t="s">
        <v>8930</v>
      </c>
      <c r="D5813" t="s">
        <v>16658</v>
      </c>
      <c r="E5813" t="s">
        <v>16803</v>
      </c>
      <c r="F5813" t="s">
        <v>28669</v>
      </c>
      <c r="G5813" t="s">
        <v>28675</v>
      </c>
      <c r="H5813" t="s">
        <v>9998</v>
      </c>
      <c r="I5813" t="s">
        <v>7352</v>
      </c>
      <c r="J5813" t="s">
        <v>32505</v>
      </c>
      <c r="K5813" t="s">
        <v>37204</v>
      </c>
      <c r="M5813" t="s">
        <v>39611</v>
      </c>
      <c r="N5813" t="s">
        <v>41249</v>
      </c>
      <c r="O5813" t="s">
        <v>41250</v>
      </c>
      <c r="P5813">
        <v>0</v>
      </c>
      <c r="Q5813">
        <v>0</v>
      </c>
      <c r="R5813" t="s">
        <v>41256</v>
      </c>
      <c r="S5813" t="s">
        <v>41450</v>
      </c>
      <c r="T5813" t="s">
        <v>42717</v>
      </c>
      <c r="U5813" t="s">
        <v>48020</v>
      </c>
      <c r="W5813" t="s">
        <v>39611</v>
      </c>
      <c r="X5813" t="s">
        <v>41257</v>
      </c>
    </row>
    <row r="5814" spans="1:24">
      <c r="A5814">
        <f>HYPERLINK("https://www.philgeps.gov.ph/GEPSNONPILOT/Tender/SplashBidNoticeAbstractUI.aspx?menuIndex=3&amp;refID=7070606&amp;Result=3","7070606")</f>
        <v>0</v>
      </c>
      <c r="B5814" t="s">
        <v>1060</v>
      </c>
      <c r="C5814" t="s">
        <v>8931</v>
      </c>
      <c r="D5814" t="s">
        <v>16643</v>
      </c>
      <c r="E5814" t="s">
        <v>21855</v>
      </c>
      <c r="F5814" t="s">
        <v>28669</v>
      </c>
      <c r="G5814" t="s">
        <v>28676</v>
      </c>
      <c r="H5814" t="s">
        <v>9998</v>
      </c>
      <c r="I5814" t="s">
        <v>28692</v>
      </c>
      <c r="J5814" t="s">
        <v>29135</v>
      </c>
      <c r="K5814" t="s">
        <v>37209</v>
      </c>
      <c r="M5814" t="s">
        <v>38591</v>
      </c>
      <c r="N5814" t="s">
        <v>41249</v>
      </c>
      <c r="O5814" t="s">
        <v>41250</v>
      </c>
      <c r="P5814">
        <v>0</v>
      </c>
      <c r="Q5814">
        <v>3</v>
      </c>
      <c r="R5814" t="s">
        <v>41256</v>
      </c>
      <c r="S5814" t="s">
        <v>41450</v>
      </c>
      <c r="T5814" t="s">
        <v>42876</v>
      </c>
      <c r="U5814" t="s">
        <v>45344</v>
      </c>
      <c r="W5814" t="s">
        <v>38591</v>
      </c>
      <c r="X5814" t="s">
        <v>41257</v>
      </c>
    </row>
    <row r="5815" spans="1:24">
      <c r="A5815">
        <f>HYPERLINK("https://www.philgeps.gov.ph/GEPSNONPILOT/Tender/SplashBidNoticeAbstractUI.aspx?menuIndex=3&amp;refID=7070389&amp;Result=3","7070389")</f>
        <v>0</v>
      </c>
      <c r="B5815" t="s">
        <v>212</v>
      </c>
      <c r="C5815" t="s">
        <v>8932</v>
      </c>
      <c r="D5815" t="s">
        <v>16642</v>
      </c>
      <c r="E5815" t="s">
        <v>21856</v>
      </c>
      <c r="F5815" t="s">
        <v>28669</v>
      </c>
      <c r="G5815" t="s">
        <v>28676</v>
      </c>
      <c r="H5815" t="s">
        <v>9998</v>
      </c>
      <c r="I5815" t="s">
        <v>6128</v>
      </c>
      <c r="J5815" t="s">
        <v>32506</v>
      </c>
      <c r="K5815" t="s">
        <v>37205</v>
      </c>
      <c r="M5815" t="s">
        <v>38165</v>
      </c>
      <c r="N5815" t="s">
        <v>41249</v>
      </c>
      <c r="O5815" t="s">
        <v>41250</v>
      </c>
      <c r="P5815">
        <v>0</v>
      </c>
      <c r="Q5815">
        <v>3</v>
      </c>
      <c r="R5815" t="s">
        <v>41256</v>
      </c>
      <c r="S5815" t="s">
        <v>41450</v>
      </c>
      <c r="T5815" t="s">
        <v>42757</v>
      </c>
      <c r="U5815" t="s">
        <v>48021</v>
      </c>
      <c r="W5815" t="s">
        <v>38165</v>
      </c>
      <c r="X5815" t="s">
        <v>41257</v>
      </c>
    </row>
    <row r="5816" spans="1:24">
      <c r="A5816">
        <f>HYPERLINK("https://www.philgeps.gov.ph/GEPSNONPILOT/Tender/SplashBidNoticeAbstractUI.aspx?menuIndex=3&amp;refID=7070604&amp;Result=3","7070604")</f>
        <v>0</v>
      </c>
      <c r="B5816" t="s">
        <v>216</v>
      </c>
      <c r="C5816" t="s">
        <v>8933</v>
      </c>
      <c r="D5816" t="s">
        <v>16615</v>
      </c>
      <c r="E5816" t="s">
        <v>17802</v>
      </c>
      <c r="F5816" t="s">
        <v>28669</v>
      </c>
      <c r="G5816" t="s">
        <v>28677</v>
      </c>
      <c r="H5816" t="s">
        <v>9998</v>
      </c>
      <c r="I5816" t="s">
        <v>28743</v>
      </c>
      <c r="J5816" t="s">
        <v>32505</v>
      </c>
      <c r="K5816" t="s">
        <v>37206</v>
      </c>
      <c r="M5816" t="s">
        <v>37694</v>
      </c>
      <c r="N5816" t="s">
        <v>41249</v>
      </c>
      <c r="O5816" t="s">
        <v>41250</v>
      </c>
      <c r="P5816">
        <v>0</v>
      </c>
      <c r="Q5816">
        <v>0</v>
      </c>
      <c r="R5816" t="s">
        <v>41256</v>
      </c>
      <c r="S5816" t="s">
        <v>41450</v>
      </c>
      <c r="T5816" t="s">
        <v>42701</v>
      </c>
      <c r="U5816" t="s">
        <v>48022</v>
      </c>
      <c r="W5816" t="s">
        <v>37694</v>
      </c>
      <c r="X5816" t="s">
        <v>41257</v>
      </c>
    </row>
    <row r="5817" spans="1:24">
      <c r="A5817">
        <f>HYPERLINK("https://www.philgeps.gov.ph/GEPSNONPILOT/Tender/SplashBidNoticeAbstractUI.aspx?menuIndex=3&amp;refID=7070594&amp;Result=3","7070594")</f>
        <v>0</v>
      </c>
      <c r="B5817" t="s">
        <v>1962</v>
      </c>
      <c r="C5817" t="s">
        <v>8934</v>
      </c>
      <c r="D5817" t="s">
        <v>16661</v>
      </c>
      <c r="E5817" t="s">
        <v>8934</v>
      </c>
      <c r="F5817" t="s">
        <v>28669</v>
      </c>
      <c r="G5817" t="s">
        <v>28676</v>
      </c>
      <c r="H5817" t="s">
        <v>9998</v>
      </c>
      <c r="I5817" t="s">
        <v>28704</v>
      </c>
      <c r="J5817" t="s">
        <v>32507</v>
      </c>
      <c r="K5817" t="s">
        <v>37220</v>
      </c>
      <c r="M5817" t="s">
        <v>39595</v>
      </c>
      <c r="N5817" t="s">
        <v>41249</v>
      </c>
      <c r="O5817" t="s">
        <v>41250</v>
      </c>
      <c r="P5817">
        <v>0</v>
      </c>
      <c r="Q5817">
        <v>0</v>
      </c>
      <c r="R5817" t="s">
        <v>41256</v>
      </c>
      <c r="S5817" t="s">
        <v>41450</v>
      </c>
      <c r="T5817" t="s">
        <v>42711</v>
      </c>
      <c r="U5817" t="s">
        <v>47986</v>
      </c>
      <c r="W5817" t="s">
        <v>39595</v>
      </c>
      <c r="X5817" t="s">
        <v>41257</v>
      </c>
    </row>
    <row r="5818" spans="1:24">
      <c r="A5818">
        <f>HYPERLINK("https://www.philgeps.gov.ph/GEPSNONPILOT/Tender/SplashBidNoticeAbstractUI.aspx?menuIndex=3&amp;refID=7070591&amp;Result=3","7070591")</f>
        <v>0</v>
      </c>
      <c r="B5818" t="s">
        <v>1978</v>
      </c>
      <c r="C5818" t="s">
        <v>8935</v>
      </c>
      <c r="D5818" t="s">
        <v>16666</v>
      </c>
      <c r="E5818" t="s">
        <v>16890</v>
      </c>
      <c r="F5818" t="s">
        <v>28669</v>
      </c>
      <c r="G5818" t="s">
        <v>28675</v>
      </c>
      <c r="H5818" t="s">
        <v>28686</v>
      </c>
      <c r="I5818" t="s">
        <v>28689</v>
      </c>
      <c r="J5818" t="s">
        <v>29003</v>
      </c>
      <c r="K5818" t="s">
        <v>37209</v>
      </c>
      <c r="M5818" t="s">
        <v>39612</v>
      </c>
      <c r="N5818" t="s">
        <v>41249</v>
      </c>
      <c r="O5818" t="s">
        <v>41250</v>
      </c>
      <c r="P5818">
        <v>0</v>
      </c>
      <c r="Q5818">
        <v>0</v>
      </c>
      <c r="R5818" t="s">
        <v>41256</v>
      </c>
      <c r="S5818" t="s">
        <v>41450</v>
      </c>
      <c r="T5818" t="s">
        <v>42711</v>
      </c>
      <c r="U5818" t="s">
        <v>48023</v>
      </c>
      <c r="W5818" t="s">
        <v>39612</v>
      </c>
      <c r="X5818" t="s">
        <v>41257</v>
      </c>
    </row>
    <row r="5819" spans="1:24">
      <c r="A5819">
        <f>HYPERLINK("https://www.philgeps.gov.ph/GEPSNONPILOT/Tender/SplashBidNoticeAbstractUI.aspx?menuIndex=3&amp;refID=7070610&amp;Result=3","7070610")</f>
        <v>0</v>
      </c>
      <c r="B5819" t="s">
        <v>278</v>
      </c>
      <c r="C5819" t="s">
        <v>8936</v>
      </c>
      <c r="D5819" t="s">
        <v>16608</v>
      </c>
      <c r="E5819" t="s">
        <v>21857</v>
      </c>
      <c r="F5819" t="s">
        <v>28669</v>
      </c>
      <c r="G5819" t="s">
        <v>28676</v>
      </c>
      <c r="H5819" t="s">
        <v>9998</v>
      </c>
      <c r="I5819" t="s">
        <v>7352</v>
      </c>
      <c r="J5819" t="s">
        <v>32508</v>
      </c>
      <c r="K5819" t="s">
        <v>37205</v>
      </c>
      <c r="M5819" t="s">
        <v>39267</v>
      </c>
      <c r="N5819" t="s">
        <v>41249</v>
      </c>
      <c r="O5819" t="s">
        <v>41250</v>
      </c>
      <c r="P5819">
        <v>0</v>
      </c>
      <c r="Q5819">
        <v>7</v>
      </c>
      <c r="R5819" t="s">
        <v>41256</v>
      </c>
      <c r="S5819" t="s">
        <v>41450</v>
      </c>
      <c r="T5819" t="s">
        <v>42827</v>
      </c>
      <c r="U5819" t="s">
        <v>44137</v>
      </c>
      <c r="W5819" t="s">
        <v>39267</v>
      </c>
      <c r="X5819" t="s">
        <v>41257</v>
      </c>
    </row>
    <row r="5820" spans="1:24">
      <c r="A5820">
        <f>HYPERLINK("https://www.philgeps.gov.ph/GEPSNONPILOT/Tender/SplashBidNoticeAbstractUI.aspx?menuIndex=3&amp;refID=7070588&amp;Result=3","7070588")</f>
        <v>0</v>
      </c>
      <c r="B5820" t="s">
        <v>1979</v>
      </c>
      <c r="C5820" t="s">
        <v>8937</v>
      </c>
      <c r="E5820" t="s">
        <v>21858</v>
      </c>
      <c r="F5820" t="s">
        <v>28669</v>
      </c>
      <c r="G5820" t="s">
        <v>28675</v>
      </c>
      <c r="H5820" t="s">
        <v>28686</v>
      </c>
      <c r="I5820" t="s">
        <v>28689</v>
      </c>
      <c r="J5820" t="s">
        <v>28879</v>
      </c>
      <c r="K5820" t="s">
        <v>37282</v>
      </c>
      <c r="M5820" t="s">
        <v>39613</v>
      </c>
      <c r="N5820" t="s">
        <v>41249</v>
      </c>
      <c r="O5820" t="s">
        <v>41250</v>
      </c>
      <c r="P5820">
        <v>0</v>
      </c>
      <c r="Q5820">
        <v>1</v>
      </c>
      <c r="R5820" t="s">
        <v>41256</v>
      </c>
      <c r="S5820" t="s">
        <v>41450</v>
      </c>
      <c r="T5820" t="s">
        <v>42751</v>
      </c>
      <c r="U5820" t="s">
        <v>48024</v>
      </c>
      <c r="W5820" t="s">
        <v>39613</v>
      </c>
      <c r="X5820" t="s">
        <v>41257</v>
      </c>
    </row>
    <row r="5821" spans="1:24">
      <c r="A5821">
        <f>HYPERLINK("https://www.philgeps.gov.ph/GEPSNONPILOT/Tender/SplashBidNoticeAbstractUI.aspx?menuIndex=3&amp;refID=7070583&amp;Result=3","7070583")</f>
        <v>0</v>
      </c>
      <c r="B5821" t="s">
        <v>1060</v>
      </c>
      <c r="C5821" t="s">
        <v>8938</v>
      </c>
      <c r="D5821" t="s">
        <v>16643</v>
      </c>
      <c r="E5821" t="s">
        <v>21859</v>
      </c>
      <c r="F5821" t="s">
        <v>28669</v>
      </c>
      <c r="G5821" t="s">
        <v>28676</v>
      </c>
      <c r="H5821" t="s">
        <v>9998</v>
      </c>
      <c r="I5821" t="s">
        <v>6606</v>
      </c>
      <c r="J5821" t="s">
        <v>32509</v>
      </c>
      <c r="K5821" t="s">
        <v>37209</v>
      </c>
      <c r="M5821" t="s">
        <v>38591</v>
      </c>
      <c r="N5821" t="s">
        <v>41249</v>
      </c>
      <c r="O5821" t="s">
        <v>41250</v>
      </c>
      <c r="P5821">
        <v>0</v>
      </c>
      <c r="Q5821">
        <v>0</v>
      </c>
      <c r="R5821" t="s">
        <v>41256</v>
      </c>
      <c r="S5821" t="s">
        <v>41450</v>
      </c>
      <c r="T5821" t="s">
        <v>42876</v>
      </c>
      <c r="U5821" t="s">
        <v>45344</v>
      </c>
      <c r="W5821" t="s">
        <v>38591</v>
      </c>
      <c r="X5821" t="s">
        <v>41257</v>
      </c>
    </row>
    <row r="5822" spans="1:24">
      <c r="A5822">
        <f>HYPERLINK("https://www.philgeps.gov.ph/GEPSNONPILOT/Tender/SplashBidNoticeAbstractUI.aspx?menuIndex=3&amp;refID=7070581&amp;Result=3","7070581")</f>
        <v>0</v>
      </c>
      <c r="B5822" t="s">
        <v>1522</v>
      </c>
      <c r="C5822" t="s">
        <v>8939</v>
      </c>
      <c r="D5822" t="s">
        <v>16686</v>
      </c>
      <c r="E5822" t="s">
        <v>21860</v>
      </c>
      <c r="F5822" t="s">
        <v>28669</v>
      </c>
      <c r="G5822" t="s">
        <v>28675</v>
      </c>
      <c r="H5822" t="s">
        <v>9998</v>
      </c>
      <c r="I5822" t="s">
        <v>6128</v>
      </c>
      <c r="J5822" t="s">
        <v>32510</v>
      </c>
      <c r="K5822" t="s">
        <v>37210</v>
      </c>
      <c r="M5822" t="s">
        <v>39573</v>
      </c>
      <c r="N5822" t="s">
        <v>41249</v>
      </c>
      <c r="O5822" t="s">
        <v>41250</v>
      </c>
      <c r="P5822">
        <v>0</v>
      </c>
      <c r="Q5822">
        <v>0</v>
      </c>
      <c r="R5822" t="s">
        <v>41256</v>
      </c>
      <c r="S5822" t="s">
        <v>41450</v>
      </c>
      <c r="T5822" t="s">
        <v>42663</v>
      </c>
      <c r="U5822" t="s">
        <v>48025</v>
      </c>
      <c r="W5822" t="s">
        <v>39573</v>
      </c>
      <c r="X5822" t="s">
        <v>41257</v>
      </c>
    </row>
    <row r="5823" spans="1:24">
      <c r="A5823">
        <f>HYPERLINK("https://www.philgeps.gov.ph/GEPSNONPILOT/Tender/SplashBidNoticeAbstractUI.aspx?menuIndex=3&amp;refID=7070578&amp;Result=3","7070578")</f>
        <v>0</v>
      </c>
      <c r="B5823" t="s">
        <v>492</v>
      </c>
      <c r="C5823" t="s">
        <v>8940</v>
      </c>
      <c r="D5823" t="s">
        <v>16621</v>
      </c>
      <c r="E5823" t="s">
        <v>21861</v>
      </c>
      <c r="F5823" t="s">
        <v>28669</v>
      </c>
      <c r="G5823" t="s">
        <v>28675</v>
      </c>
      <c r="H5823" t="s">
        <v>9998</v>
      </c>
      <c r="I5823" t="s">
        <v>28717</v>
      </c>
      <c r="J5823" t="s">
        <v>29546</v>
      </c>
      <c r="K5823" t="s">
        <v>37206</v>
      </c>
      <c r="M5823" t="s">
        <v>37981</v>
      </c>
      <c r="N5823" t="s">
        <v>41249</v>
      </c>
      <c r="O5823" t="s">
        <v>41250</v>
      </c>
      <c r="P5823">
        <v>0</v>
      </c>
      <c r="Q5823">
        <v>3</v>
      </c>
      <c r="R5823" t="s">
        <v>41256</v>
      </c>
      <c r="S5823" t="s">
        <v>41450</v>
      </c>
      <c r="T5823" t="s">
        <v>42808</v>
      </c>
      <c r="U5823" t="s">
        <v>48026</v>
      </c>
      <c r="W5823" t="s">
        <v>37981</v>
      </c>
      <c r="X5823" t="s">
        <v>41257</v>
      </c>
    </row>
    <row r="5824" spans="1:24">
      <c r="A5824">
        <f>HYPERLINK("https://www.philgeps.gov.ph/GEPSNONPILOT/Tender/SplashBidNoticeAbstractUI.aspx?menuIndex=3&amp;refID=7070570&amp;Result=3","7070570")</f>
        <v>0</v>
      </c>
      <c r="B5824" t="s">
        <v>1980</v>
      </c>
      <c r="C5824" t="s">
        <v>8941</v>
      </c>
      <c r="D5824" t="s">
        <v>16642</v>
      </c>
      <c r="E5824" t="s">
        <v>21862</v>
      </c>
      <c r="F5824" t="s">
        <v>28669</v>
      </c>
      <c r="G5824" t="s">
        <v>28675</v>
      </c>
      <c r="H5824" t="s">
        <v>9998</v>
      </c>
      <c r="I5824" t="s">
        <v>15140</v>
      </c>
      <c r="J5824" t="s">
        <v>32511</v>
      </c>
      <c r="K5824" t="s">
        <v>37209</v>
      </c>
      <c r="M5824" t="s">
        <v>39614</v>
      </c>
      <c r="N5824" t="s">
        <v>41249</v>
      </c>
      <c r="O5824" t="s">
        <v>41250</v>
      </c>
      <c r="P5824">
        <v>0</v>
      </c>
      <c r="Q5824">
        <v>0</v>
      </c>
      <c r="R5824" t="s">
        <v>41256</v>
      </c>
      <c r="S5824" t="s">
        <v>41450</v>
      </c>
      <c r="T5824" t="s">
        <v>42999</v>
      </c>
      <c r="U5824" t="s">
        <v>48027</v>
      </c>
      <c r="V5824" t="s">
        <v>54915</v>
      </c>
      <c r="W5824" t="s">
        <v>39614</v>
      </c>
      <c r="X5824" t="s">
        <v>41257</v>
      </c>
    </row>
    <row r="5825" spans="1:24">
      <c r="A5825">
        <f>HYPERLINK("https://www.philgeps.gov.ph/GEPSNONPILOT/Tender/SplashBidNoticeAbstractUI.aspx?menuIndex=3&amp;refID=7070566&amp;Result=3","7070566")</f>
        <v>0</v>
      </c>
      <c r="B5825" t="s">
        <v>1947</v>
      </c>
      <c r="C5825" t="s">
        <v>8942</v>
      </c>
      <c r="D5825" t="s">
        <v>16626</v>
      </c>
      <c r="E5825" t="s">
        <v>21863</v>
      </c>
      <c r="F5825" t="s">
        <v>28669</v>
      </c>
      <c r="G5825" t="s">
        <v>28676</v>
      </c>
      <c r="H5825" t="s">
        <v>9998</v>
      </c>
      <c r="I5825" t="s">
        <v>3718</v>
      </c>
      <c r="J5825" t="s">
        <v>28923</v>
      </c>
      <c r="K5825" t="s">
        <v>37206</v>
      </c>
      <c r="M5825" t="s">
        <v>39577</v>
      </c>
      <c r="N5825" t="s">
        <v>41249</v>
      </c>
      <c r="O5825" t="s">
        <v>41250</v>
      </c>
      <c r="P5825">
        <v>0</v>
      </c>
      <c r="Q5825">
        <v>2</v>
      </c>
      <c r="R5825" t="s">
        <v>41256</v>
      </c>
      <c r="S5825" t="s">
        <v>41450</v>
      </c>
      <c r="T5825" t="s">
        <v>42675</v>
      </c>
      <c r="U5825" t="s">
        <v>48028</v>
      </c>
      <c r="W5825" t="s">
        <v>39577</v>
      </c>
      <c r="X5825" t="s">
        <v>41257</v>
      </c>
    </row>
    <row r="5826" spans="1:24">
      <c r="A5826">
        <f>HYPERLINK("https://www.philgeps.gov.ph/GEPSNONPILOT/Tender/SplashBidNoticeAbstractUI.aspx?menuIndex=3&amp;refID=7070564&amp;Result=3","7070564")</f>
        <v>0</v>
      </c>
      <c r="B5826" t="s">
        <v>1979</v>
      </c>
      <c r="C5826" t="s">
        <v>8943</v>
      </c>
      <c r="E5826" t="s">
        <v>21864</v>
      </c>
      <c r="F5826" t="s">
        <v>28669</v>
      </c>
      <c r="G5826" t="s">
        <v>28675</v>
      </c>
      <c r="H5826" t="s">
        <v>28686</v>
      </c>
      <c r="I5826" t="s">
        <v>28689</v>
      </c>
      <c r="J5826" t="s">
        <v>28851</v>
      </c>
      <c r="K5826" t="s">
        <v>37258</v>
      </c>
      <c r="M5826" t="s">
        <v>39613</v>
      </c>
      <c r="N5826" t="s">
        <v>41249</v>
      </c>
      <c r="O5826" t="s">
        <v>41250</v>
      </c>
      <c r="P5826">
        <v>0</v>
      </c>
      <c r="Q5826">
        <v>1</v>
      </c>
      <c r="R5826" t="s">
        <v>41256</v>
      </c>
      <c r="S5826" t="s">
        <v>41450</v>
      </c>
      <c r="T5826" t="s">
        <v>42751</v>
      </c>
      <c r="U5826" t="s">
        <v>48029</v>
      </c>
      <c r="W5826" t="s">
        <v>39613</v>
      </c>
      <c r="X5826" t="s">
        <v>41257</v>
      </c>
    </row>
    <row r="5827" spans="1:24">
      <c r="A5827">
        <f>HYPERLINK("https://www.philgeps.gov.ph/GEPSNONPILOT/Tender/SplashBidNoticeAbstractUI.aspx?menuIndex=3&amp;refID=7070562&amp;Result=3","7070562")</f>
        <v>0</v>
      </c>
      <c r="B5827" t="s">
        <v>1060</v>
      </c>
      <c r="C5827" t="s">
        <v>8938</v>
      </c>
      <c r="D5827" t="s">
        <v>16643</v>
      </c>
      <c r="E5827" t="s">
        <v>21865</v>
      </c>
      <c r="F5827" t="s">
        <v>28669</v>
      </c>
      <c r="G5827" t="s">
        <v>28676</v>
      </c>
      <c r="H5827" t="s">
        <v>9998</v>
      </c>
      <c r="I5827" t="s">
        <v>6606</v>
      </c>
      <c r="J5827" t="s">
        <v>32509</v>
      </c>
      <c r="K5827" t="s">
        <v>37209</v>
      </c>
      <c r="M5827" t="s">
        <v>38591</v>
      </c>
      <c r="N5827" t="s">
        <v>41249</v>
      </c>
      <c r="O5827" t="s">
        <v>41250</v>
      </c>
      <c r="P5827">
        <v>0</v>
      </c>
      <c r="Q5827">
        <v>1</v>
      </c>
      <c r="R5827" t="s">
        <v>41256</v>
      </c>
      <c r="S5827" t="s">
        <v>41450</v>
      </c>
      <c r="T5827" t="s">
        <v>42876</v>
      </c>
      <c r="U5827" t="s">
        <v>45344</v>
      </c>
      <c r="W5827" t="s">
        <v>38591</v>
      </c>
      <c r="X5827" t="s">
        <v>41257</v>
      </c>
    </row>
    <row r="5828" spans="1:24">
      <c r="A5828">
        <f>HYPERLINK("https://www.philgeps.gov.ph/GEPSNONPILOT/Tender/SplashBidNoticeAbstractUI.aspx?menuIndex=3&amp;refID=7070557&amp;Result=3","7070557")</f>
        <v>0</v>
      </c>
      <c r="B5828" t="s">
        <v>1085</v>
      </c>
      <c r="C5828" t="s">
        <v>8944</v>
      </c>
      <c r="D5828" t="s">
        <v>16611</v>
      </c>
      <c r="E5828" t="s">
        <v>21866</v>
      </c>
      <c r="F5828" t="s">
        <v>28669</v>
      </c>
      <c r="G5828" t="s">
        <v>28676</v>
      </c>
      <c r="H5828" t="s">
        <v>9998</v>
      </c>
      <c r="I5828" t="s">
        <v>28696</v>
      </c>
      <c r="J5828" t="s">
        <v>32512</v>
      </c>
      <c r="K5828" t="s">
        <v>37204</v>
      </c>
      <c r="M5828" t="s">
        <v>38617</v>
      </c>
      <c r="N5828" t="s">
        <v>41249</v>
      </c>
      <c r="O5828" t="s">
        <v>41250</v>
      </c>
      <c r="P5828">
        <v>0</v>
      </c>
      <c r="Q5828">
        <v>1</v>
      </c>
      <c r="R5828" t="s">
        <v>41256</v>
      </c>
      <c r="S5828" t="s">
        <v>41450</v>
      </c>
      <c r="T5828" t="s">
        <v>42686</v>
      </c>
      <c r="U5828" t="s">
        <v>48030</v>
      </c>
      <c r="W5828" t="s">
        <v>38617</v>
      </c>
      <c r="X5828" t="s">
        <v>41257</v>
      </c>
    </row>
    <row r="5829" spans="1:24">
      <c r="A5829">
        <f>HYPERLINK("https://www.philgeps.gov.ph/GEPSNONPILOT/Tender/SplashBidNoticeAbstractUI.aspx?menuIndex=3&amp;refID=7070288&amp;Result=3","7070288")</f>
        <v>0</v>
      </c>
      <c r="B5829" t="s">
        <v>150</v>
      </c>
      <c r="C5829" t="s">
        <v>8945</v>
      </c>
      <c r="D5829" t="s">
        <v>16617</v>
      </c>
      <c r="E5829" t="s">
        <v>21867</v>
      </c>
      <c r="F5829" t="s">
        <v>28669</v>
      </c>
      <c r="G5829" t="s">
        <v>28676</v>
      </c>
      <c r="H5829" t="s">
        <v>9998</v>
      </c>
      <c r="I5829" t="s">
        <v>7352</v>
      </c>
      <c r="J5829" t="s">
        <v>32513</v>
      </c>
      <c r="K5829" t="s">
        <v>37206</v>
      </c>
      <c r="M5829" t="s">
        <v>37627</v>
      </c>
      <c r="N5829" t="s">
        <v>41249</v>
      </c>
      <c r="O5829" t="s">
        <v>41250</v>
      </c>
      <c r="P5829">
        <v>0</v>
      </c>
      <c r="Q5829">
        <v>0</v>
      </c>
      <c r="R5829" t="s">
        <v>41256</v>
      </c>
      <c r="S5829" t="s">
        <v>41450</v>
      </c>
      <c r="T5829" t="s">
        <v>42992</v>
      </c>
      <c r="U5829" t="s">
        <v>48031</v>
      </c>
      <c r="W5829" t="s">
        <v>37627</v>
      </c>
      <c r="X5829" t="s">
        <v>41257</v>
      </c>
    </row>
    <row r="5830" spans="1:24">
      <c r="A5830">
        <f>HYPERLINK("https://www.philgeps.gov.ph/GEPSNONPILOT/Tender/SplashBidNoticeAbstractUI.aspx?menuIndex=3&amp;refID=7070602&amp;Result=3","7070602")</f>
        <v>0</v>
      </c>
      <c r="B5830" t="s">
        <v>267</v>
      </c>
      <c r="C5830" t="s">
        <v>8946</v>
      </c>
      <c r="D5830" t="s">
        <v>16679</v>
      </c>
      <c r="E5830" t="s">
        <v>21868</v>
      </c>
      <c r="F5830" t="s">
        <v>28669</v>
      </c>
      <c r="G5830" t="s">
        <v>28675</v>
      </c>
      <c r="H5830" t="s">
        <v>28686</v>
      </c>
      <c r="I5830" t="s">
        <v>28689</v>
      </c>
      <c r="J5830" t="s">
        <v>29053</v>
      </c>
      <c r="K5830" t="s">
        <v>37255</v>
      </c>
      <c r="M5830" t="s">
        <v>38133</v>
      </c>
      <c r="N5830" t="s">
        <v>41249</v>
      </c>
      <c r="O5830" t="s">
        <v>41250</v>
      </c>
      <c r="P5830">
        <v>0</v>
      </c>
      <c r="Q5830">
        <v>11</v>
      </c>
      <c r="R5830" t="s">
        <v>41256</v>
      </c>
      <c r="S5830" t="s">
        <v>41450</v>
      </c>
      <c r="T5830" t="s">
        <v>42818</v>
      </c>
      <c r="U5830" t="s">
        <v>48032</v>
      </c>
      <c r="V5830" t="s">
        <v>54916</v>
      </c>
      <c r="W5830" t="s">
        <v>55923</v>
      </c>
      <c r="X5830" t="s">
        <v>41257</v>
      </c>
    </row>
    <row r="5831" spans="1:24">
      <c r="A5831">
        <f>HYPERLINK("https://www.philgeps.gov.ph/GEPSNONPILOT/Tender/SplashBidNoticeAbstractUI.aspx?menuIndex=3&amp;refID=7070284&amp;Result=3","7070284")</f>
        <v>0</v>
      </c>
      <c r="B5831" t="s">
        <v>150</v>
      </c>
      <c r="C5831" t="s">
        <v>8947</v>
      </c>
      <c r="D5831" t="s">
        <v>16617</v>
      </c>
      <c r="E5831" t="s">
        <v>21869</v>
      </c>
      <c r="F5831" t="s">
        <v>28669</v>
      </c>
      <c r="G5831" t="s">
        <v>28676</v>
      </c>
      <c r="H5831" t="s">
        <v>9998</v>
      </c>
      <c r="I5831" t="s">
        <v>5213</v>
      </c>
      <c r="J5831" t="s">
        <v>32514</v>
      </c>
      <c r="K5831" t="s">
        <v>37206</v>
      </c>
      <c r="M5831" t="s">
        <v>37627</v>
      </c>
      <c r="N5831" t="s">
        <v>41249</v>
      </c>
      <c r="O5831" t="s">
        <v>41250</v>
      </c>
      <c r="P5831">
        <v>0</v>
      </c>
      <c r="Q5831">
        <v>0</v>
      </c>
      <c r="R5831" t="s">
        <v>41256</v>
      </c>
      <c r="S5831" t="s">
        <v>41450</v>
      </c>
      <c r="T5831" t="s">
        <v>42992</v>
      </c>
      <c r="U5831" t="s">
        <v>48033</v>
      </c>
      <c r="W5831" t="s">
        <v>37627</v>
      </c>
      <c r="X5831" t="s">
        <v>41257</v>
      </c>
    </row>
    <row r="5832" spans="1:24">
      <c r="A5832">
        <f>HYPERLINK("https://www.philgeps.gov.ph/GEPSNONPILOT/Tender/SplashBidNoticeAbstractUI.aspx?menuIndex=3&amp;refID=7070553&amp;Result=3","7070553")</f>
        <v>0</v>
      </c>
      <c r="B5832" t="s">
        <v>267</v>
      </c>
      <c r="C5832" t="s">
        <v>8948</v>
      </c>
      <c r="D5832" t="s">
        <v>16679</v>
      </c>
      <c r="E5832" t="s">
        <v>21870</v>
      </c>
      <c r="F5832" t="s">
        <v>28669</v>
      </c>
      <c r="G5832" t="s">
        <v>28675</v>
      </c>
      <c r="H5832" t="s">
        <v>28686</v>
      </c>
      <c r="I5832" t="s">
        <v>28689</v>
      </c>
      <c r="J5832" t="s">
        <v>28847</v>
      </c>
      <c r="K5832" t="s">
        <v>37220</v>
      </c>
      <c r="M5832" t="s">
        <v>38133</v>
      </c>
      <c r="N5832" t="s">
        <v>41249</v>
      </c>
      <c r="O5832" t="s">
        <v>41250</v>
      </c>
      <c r="P5832">
        <v>0</v>
      </c>
      <c r="Q5832">
        <v>15</v>
      </c>
      <c r="R5832" t="s">
        <v>41256</v>
      </c>
      <c r="S5832" t="s">
        <v>41450</v>
      </c>
      <c r="T5832" t="s">
        <v>42818</v>
      </c>
      <c r="U5832" t="s">
        <v>48032</v>
      </c>
      <c r="V5832" t="s">
        <v>54916</v>
      </c>
      <c r="W5832" t="s">
        <v>55923</v>
      </c>
      <c r="X5832" t="s">
        <v>41257</v>
      </c>
    </row>
    <row r="5833" spans="1:24">
      <c r="A5833">
        <f>HYPERLINK("https://www.philgeps.gov.ph/GEPSNONPILOT/Tender/SplashBidNoticeAbstractUI.aspx?menuIndex=3&amp;refID=7070279&amp;Result=3","7070279")</f>
        <v>0</v>
      </c>
      <c r="B5833" t="s">
        <v>1981</v>
      </c>
      <c r="C5833" t="s">
        <v>8835</v>
      </c>
      <c r="D5833" t="s">
        <v>16668</v>
      </c>
      <c r="E5833" t="s">
        <v>17955</v>
      </c>
      <c r="F5833" t="s">
        <v>28669</v>
      </c>
      <c r="G5833" t="s">
        <v>28675</v>
      </c>
      <c r="H5833" t="s">
        <v>9998</v>
      </c>
      <c r="I5833" t="s">
        <v>28687</v>
      </c>
      <c r="J5833" t="s">
        <v>28912</v>
      </c>
      <c r="K5833" t="s">
        <v>37204</v>
      </c>
      <c r="M5833" t="s">
        <v>39615</v>
      </c>
      <c r="N5833" t="s">
        <v>41249</v>
      </c>
      <c r="O5833" t="s">
        <v>41250</v>
      </c>
      <c r="P5833">
        <v>0</v>
      </c>
      <c r="Q5833">
        <v>2</v>
      </c>
      <c r="R5833" t="s">
        <v>41256</v>
      </c>
      <c r="S5833" t="s">
        <v>41450</v>
      </c>
      <c r="T5833" t="s">
        <v>43016</v>
      </c>
      <c r="U5833" t="s">
        <v>48034</v>
      </c>
      <c r="W5833" t="s">
        <v>39615</v>
      </c>
      <c r="X5833" t="s">
        <v>41257</v>
      </c>
    </row>
    <row r="5834" spans="1:24">
      <c r="A5834">
        <f>HYPERLINK("https://www.philgeps.gov.ph/GEPSNONPILOT/Tender/SplashBidNoticeAbstractUI.aspx?menuIndex=3&amp;refID=7072751&amp;Result=3","7072751")</f>
        <v>0</v>
      </c>
      <c r="B5834" t="s">
        <v>70</v>
      </c>
      <c r="C5834" t="s">
        <v>8949</v>
      </c>
      <c r="D5834" t="s">
        <v>16643</v>
      </c>
      <c r="E5834" t="s">
        <v>21871</v>
      </c>
      <c r="F5834" t="s">
        <v>28669</v>
      </c>
      <c r="G5834" t="s">
        <v>28675</v>
      </c>
      <c r="H5834" t="s">
        <v>28686</v>
      </c>
      <c r="I5834" t="s">
        <v>28689</v>
      </c>
      <c r="J5834" t="s">
        <v>32515</v>
      </c>
      <c r="K5834" t="s">
        <v>37206</v>
      </c>
      <c r="M5834" t="s">
        <v>37545</v>
      </c>
      <c r="N5834" t="s">
        <v>41249</v>
      </c>
      <c r="O5834" t="s">
        <v>41250</v>
      </c>
      <c r="P5834">
        <v>0</v>
      </c>
      <c r="Q5834">
        <v>0</v>
      </c>
      <c r="R5834" t="s">
        <v>41255</v>
      </c>
      <c r="S5834" t="s">
        <v>41442</v>
      </c>
      <c r="T5834" t="s">
        <v>42759</v>
      </c>
      <c r="U5834" t="s">
        <v>48035</v>
      </c>
      <c r="W5834" t="s">
        <v>37545</v>
      </c>
      <c r="X5834" t="s">
        <v>41256</v>
      </c>
    </row>
    <row r="5835" spans="1:24">
      <c r="A5835">
        <f>HYPERLINK("https://www.philgeps.gov.ph/GEPSNONPILOT/Tender/SplashBidNoticeAbstractUI.aspx?menuIndex=3&amp;refID=7072748&amp;Result=3","7072748")</f>
        <v>0</v>
      </c>
      <c r="B5835" t="s">
        <v>1931</v>
      </c>
      <c r="C5835" t="s">
        <v>8950</v>
      </c>
      <c r="E5835" t="s">
        <v>21872</v>
      </c>
      <c r="F5835" t="s">
        <v>28669</v>
      </c>
      <c r="G5835" t="s">
        <v>28675</v>
      </c>
      <c r="H5835" t="s">
        <v>28686</v>
      </c>
      <c r="I5835" t="s">
        <v>28689</v>
      </c>
      <c r="J5835" t="s">
        <v>32516</v>
      </c>
      <c r="K5835" t="s">
        <v>37206</v>
      </c>
      <c r="M5835" t="s">
        <v>39558</v>
      </c>
      <c r="N5835" t="s">
        <v>41249</v>
      </c>
      <c r="O5835" t="s">
        <v>41250</v>
      </c>
      <c r="P5835">
        <v>0</v>
      </c>
      <c r="Q5835">
        <v>0</v>
      </c>
      <c r="R5835" t="s">
        <v>41255</v>
      </c>
      <c r="S5835" t="s">
        <v>41442</v>
      </c>
      <c r="T5835" t="s">
        <v>42700</v>
      </c>
      <c r="U5835" t="s">
        <v>48036</v>
      </c>
      <c r="W5835" t="s">
        <v>39558</v>
      </c>
      <c r="X5835" t="s">
        <v>41256</v>
      </c>
    </row>
    <row r="5836" spans="1:24">
      <c r="A5836">
        <f>HYPERLINK("https://www.philgeps.gov.ph/GEPSNONPILOT/Tender/SplashBidNoticeAbstractUI.aspx?menuIndex=3&amp;refID=7072713&amp;Result=3","7072713")</f>
        <v>0</v>
      </c>
      <c r="B5836" t="s">
        <v>1935</v>
      </c>
      <c r="C5836" t="s">
        <v>8951</v>
      </c>
      <c r="E5836" t="s">
        <v>21873</v>
      </c>
      <c r="F5836" t="s">
        <v>28669</v>
      </c>
      <c r="G5836" t="s">
        <v>28675</v>
      </c>
      <c r="H5836" t="s">
        <v>9998</v>
      </c>
      <c r="I5836" t="s">
        <v>6128</v>
      </c>
      <c r="J5836" t="s">
        <v>32517</v>
      </c>
      <c r="K5836" t="s">
        <v>37209</v>
      </c>
      <c r="M5836" t="s">
        <v>39562</v>
      </c>
      <c r="N5836" t="s">
        <v>41249</v>
      </c>
      <c r="O5836" t="s">
        <v>41250</v>
      </c>
      <c r="P5836">
        <v>0</v>
      </c>
      <c r="Q5836">
        <v>3</v>
      </c>
      <c r="R5836" t="s">
        <v>41255</v>
      </c>
      <c r="S5836" t="s">
        <v>41442</v>
      </c>
      <c r="T5836" t="s">
        <v>42738</v>
      </c>
      <c r="U5836" t="s">
        <v>47924</v>
      </c>
      <c r="W5836" t="s">
        <v>39562</v>
      </c>
      <c r="X5836" t="s">
        <v>41256</v>
      </c>
    </row>
    <row r="5837" spans="1:24">
      <c r="A5837">
        <f>HYPERLINK("https://www.philgeps.gov.ph/GEPSNONPILOT/Tender/SplashBidNoticeAbstractUI.aspx?menuIndex=3&amp;refID=7070282&amp;Result=3","7070282")</f>
        <v>0</v>
      </c>
      <c r="B5837" t="s">
        <v>150</v>
      </c>
      <c r="C5837" t="s">
        <v>8952</v>
      </c>
      <c r="D5837" t="s">
        <v>16617</v>
      </c>
      <c r="E5837" t="s">
        <v>21874</v>
      </c>
      <c r="F5837" t="s">
        <v>28669</v>
      </c>
      <c r="G5837" t="s">
        <v>28676</v>
      </c>
      <c r="H5837" t="s">
        <v>9998</v>
      </c>
      <c r="I5837" t="s">
        <v>28728</v>
      </c>
      <c r="J5837" t="s">
        <v>29051</v>
      </c>
      <c r="K5837" t="s">
        <v>37206</v>
      </c>
      <c r="M5837" t="s">
        <v>37627</v>
      </c>
      <c r="N5837" t="s">
        <v>41249</v>
      </c>
      <c r="O5837" t="s">
        <v>41250</v>
      </c>
      <c r="P5837">
        <v>0</v>
      </c>
      <c r="Q5837">
        <v>0</v>
      </c>
      <c r="R5837" t="s">
        <v>41256</v>
      </c>
      <c r="S5837" t="s">
        <v>41450</v>
      </c>
      <c r="T5837" t="s">
        <v>42938</v>
      </c>
      <c r="U5837" t="s">
        <v>48037</v>
      </c>
      <c r="W5837" t="s">
        <v>37627</v>
      </c>
      <c r="X5837" t="s">
        <v>41257</v>
      </c>
    </row>
    <row r="5838" spans="1:24">
      <c r="A5838">
        <f>HYPERLINK("https://www.philgeps.gov.ph/GEPSNONPILOT/Tender/SplashBidNoticeAbstractUI.aspx?menuIndex=3&amp;refID=7072712&amp;Result=3","7072712")</f>
        <v>0</v>
      </c>
      <c r="B5838" t="s">
        <v>1934</v>
      </c>
      <c r="C5838" t="s">
        <v>8953</v>
      </c>
      <c r="D5838" t="s">
        <v>16644</v>
      </c>
      <c r="E5838" t="s">
        <v>21875</v>
      </c>
      <c r="F5838" t="s">
        <v>28669</v>
      </c>
      <c r="G5838" t="s">
        <v>28676</v>
      </c>
      <c r="H5838" t="s">
        <v>9998</v>
      </c>
      <c r="I5838" t="s">
        <v>28690</v>
      </c>
      <c r="J5838" t="s">
        <v>32518</v>
      </c>
      <c r="K5838" t="s">
        <v>37206</v>
      </c>
      <c r="M5838" t="s">
        <v>39561</v>
      </c>
      <c r="N5838" t="s">
        <v>41249</v>
      </c>
      <c r="O5838" t="s">
        <v>41250</v>
      </c>
      <c r="P5838">
        <v>0</v>
      </c>
      <c r="Q5838">
        <v>6</v>
      </c>
      <c r="R5838" t="s">
        <v>41255</v>
      </c>
      <c r="S5838" t="s">
        <v>41442</v>
      </c>
      <c r="T5838" t="s">
        <v>42729</v>
      </c>
      <c r="U5838" t="s">
        <v>47923</v>
      </c>
      <c r="W5838" t="s">
        <v>39561</v>
      </c>
      <c r="X5838" t="s">
        <v>41256</v>
      </c>
    </row>
    <row r="5839" spans="1:24">
      <c r="A5839">
        <f>HYPERLINK("https://www.philgeps.gov.ph/GEPSNONPILOT/Tender/SplashBidNoticeAbstractUI.aspx?menuIndex=3&amp;refID=7072711&amp;Result=3","7072711")</f>
        <v>0</v>
      </c>
      <c r="B5839" t="s">
        <v>1934</v>
      </c>
      <c r="C5839" t="s">
        <v>8954</v>
      </c>
      <c r="D5839" t="s">
        <v>16644</v>
      </c>
      <c r="E5839" t="s">
        <v>21876</v>
      </c>
      <c r="F5839" t="s">
        <v>28669</v>
      </c>
      <c r="G5839" t="s">
        <v>28676</v>
      </c>
      <c r="H5839" t="s">
        <v>9998</v>
      </c>
      <c r="I5839" t="s">
        <v>28740</v>
      </c>
      <c r="J5839" t="s">
        <v>32519</v>
      </c>
      <c r="K5839" t="s">
        <v>37206</v>
      </c>
      <c r="M5839" t="s">
        <v>39561</v>
      </c>
      <c r="N5839" t="s">
        <v>41249</v>
      </c>
      <c r="O5839" t="s">
        <v>41250</v>
      </c>
      <c r="P5839">
        <v>0</v>
      </c>
      <c r="Q5839">
        <v>5</v>
      </c>
      <c r="R5839" t="s">
        <v>41255</v>
      </c>
      <c r="S5839" t="s">
        <v>41442</v>
      </c>
      <c r="T5839" t="s">
        <v>42729</v>
      </c>
      <c r="U5839" t="s">
        <v>47923</v>
      </c>
      <c r="W5839" t="s">
        <v>39561</v>
      </c>
      <c r="X5839" t="s">
        <v>41256</v>
      </c>
    </row>
    <row r="5840" spans="1:24">
      <c r="A5840">
        <f>HYPERLINK("https://www.philgeps.gov.ph/GEPSNONPILOT/Tender/SplashBidNoticeAbstractUI.aspx?menuIndex=3&amp;refID=7072554&amp;Result=3","7072554")</f>
        <v>0</v>
      </c>
      <c r="B5840" t="s">
        <v>1312</v>
      </c>
      <c r="C5840" t="s">
        <v>8955</v>
      </c>
      <c r="E5840" t="s">
        <v>21877</v>
      </c>
      <c r="F5840" t="s">
        <v>28669</v>
      </c>
      <c r="G5840" t="s">
        <v>28675</v>
      </c>
      <c r="H5840" t="s">
        <v>9998</v>
      </c>
      <c r="I5840" t="s">
        <v>28708</v>
      </c>
      <c r="J5840" t="s">
        <v>32520</v>
      </c>
      <c r="K5840" t="s">
        <v>37209</v>
      </c>
      <c r="M5840" t="s">
        <v>38864</v>
      </c>
      <c r="N5840" t="s">
        <v>41249</v>
      </c>
      <c r="O5840" t="s">
        <v>41250</v>
      </c>
      <c r="Q5840">
        <v>6</v>
      </c>
      <c r="R5840" t="s">
        <v>41255</v>
      </c>
      <c r="S5840" t="s">
        <v>41454</v>
      </c>
      <c r="T5840" t="s">
        <v>42677</v>
      </c>
      <c r="U5840" t="s">
        <v>48038</v>
      </c>
      <c r="W5840" t="s">
        <v>38864</v>
      </c>
      <c r="X5840" t="s">
        <v>41256</v>
      </c>
    </row>
    <row r="5841" spans="1:24">
      <c r="A5841">
        <f>HYPERLINK("https://www.philgeps.gov.ph/GEPSNONPILOT/Tender/SplashBidNoticeAbstractUI.aspx?menuIndex=3&amp;refID=7070601&amp;Result=3","7070601")</f>
        <v>0</v>
      </c>
      <c r="B5841" t="s">
        <v>1956</v>
      </c>
      <c r="C5841" t="s">
        <v>8956</v>
      </c>
      <c r="D5841" t="s">
        <v>16615</v>
      </c>
      <c r="E5841" t="s">
        <v>21878</v>
      </c>
      <c r="F5841" t="s">
        <v>28669</v>
      </c>
      <c r="G5841" t="s">
        <v>28675</v>
      </c>
      <c r="H5841" t="s">
        <v>9998</v>
      </c>
      <c r="I5841" t="s">
        <v>5213</v>
      </c>
      <c r="J5841" t="s">
        <v>32521</v>
      </c>
      <c r="K5841" t="s">
        <v>37206</v>
      </c>
      <c r="M5841" t="s">
        <v>39588</v>
      </c>
      <c r="N5841" t="s">
        <v>41249</v>
      </c>
      <c r="O5841" t="s">
        <v>41250</v>
      </c>
      <c r="P5841">
        <v>0</v>
      </c>
      <c r="Q5841">
        <v>3</v>
      </c>
      <c r="R5841" t="s">
        <v>41256</v>
      </c>
      <c r="S5841" t="s">
        <v>41450</v>
      </c>
      <c r="T5841" t="s">
        <v>42766</v>
      </c>
      <c r="U5841" t="s">
        <v>48039</v>
      </c>
      <c r="W5841" t="s">
        <v>39588</v>
      </c>
      <c r="X5841" t="s">
        <v>41257</v>
      </c>
    </row>
    <row r="5842" spans="1:24">
      <c r="A5842">
        <f>HYPERLINK("https://www.philgeps.gov.ph/GEPSNONPILOT/Tender/SplashBidNoticeAbstractUI.aspx?menuIndex=3&amp;refID=7070286&amp;Result=3","7070286")</f>
        <v>0</v>
      </c>
      <c r="B5842" t="s">
        <v>574</v>
      </c>
      <c r="C5842" t="s">
        <v>8957</v>
      </c>
      <c r="D5842" t="s">
        <v>16642</v>
      </c>
      <c r="E5842" t="s">
        <v>21879</v>
      </c>
      <c r="F5842" t="s">
        <v>28669</v>
      </c>
      <c r="G5842" t="s">
        <v>28675</v>
      </c>
      <c r="H5842" t="s">
        <v>28686</v>
      </c>
      <c r="I5842" t="s">
        <v>28689</v>
      </c>
      <c r="J5842" t="s">
        <v>32522</v>
      </c>
      <c r="K5842" t="s">
        <v>37213</v>
      </c>
      <c r="M5842" t="s">
        <v>39616</v>
      </c>
      <c r="N5842" t="s">
        <v>41249</v>
      </c>
      <c r="O5842" t="s">
        <v>41250</v>
      </c>
      <c r="P5842">
        <v>0</v>
      </c>
      <c r="Q5842">
        <v>0</v>
      </c>
      <c r="R5842" t="s">
        <v>41256</v>
      </c>
      <c r="S5842" t="s">
        <v>41450</v>
      </c>
      <c r="T5842" t="s">
        <v>42760</v>
      </c>
      <c r="U5842" t="s">
        <v>48040</v>
      </c>
      <c r="W5842" t="s">
        <v>39616</v>
      </c>
      <c r="X5842" t="s">
        <v>41257</v>
      </c>
    </row>
    <row r="5843" spans="1:24">
      <c r="A5843">
        <f>HYPERLINK("https://www.philgeps.gov.ph/GEPSNONPILOT/Tender/SplashBidNoticeAbstractUI.aspx?menuIndex=3&amp;refID=7070612&amp;Result=3","7070612")</f>
        <v>0</v>
      </c>
      <c r="B5843" t="s">
        <v>1978</v>
      </c>
      <c r="C5843" t="s">
        <v>8958</v>
      </c>
      <c r="D5843" t="s">
        <v>16666</v>
      </c>
      <c r="E5843" t="s">
        <v>21880</v>
      </c>
      <c r="F5843" t="s">
        <v>28669</v>
      </c>
      <c r="G5843" t="s">
        <v>28675</v>
      </c>
      <c r="H5843" t="s">
        <v>28686</v>
      </c>
      <c r="I5843" t="s">
        <v>28689</v>
      </c>
      <c r="J5843" t="s">
        <v>29003</v>
      </c>
      <c r="K5843" t="s">
        <v>37209</v>
      </c>
      <c r="M5843" t="s">
        <v>39612</v>
      </c>
      <c r="N5843" t="s">
        <v>41249</v>
      </c>
      <c r="O5843" t="s">
        <v>41250</v>
      </c>
      <c r="P5843">
        <v>0</v>
      </c>
      <c r="Q5843">
        <v>0</v>
      </c>
      <c r="R5843" t="s">
        <v>41256</v>
      </c>
      <c r="S5843" t="s">
        <v>41450</v>
      </c>
      <c r="T5843" t="s">
        <v>42711</v>
      </c>
      <c r="U5843" t="s">
        <v>48041</v>
      </c>
      <c r="W5843" t="s">
        <v>39612</v>
      </c>
      <c r="X5843" t="s">
        <v>41257</v>
      </c>
    </row>
    <row r="5844" spans="1:24">
      <c r="A5844">
        <f>HYPERLINK("https://www.philgeps.gov.ph/GEPSNONPILOT/Tender/SplashBidNoticeAbstractUI.aspx?menuIndex=3&amp;refID=7070684&amp;Result=3","7070684")</f>
        <v>0</v>
      </c>
      <c r="B5844" t="s">
        <v>1965</v>
      </c>
      <c r="C5844" t="s">
        <v>8959</v>
      </c>
      <c r="D5844" t="s">
        <v>16670</v>
      </c>
      <c r="E5844" t="s">
        <v>21881</v>
      </c>
      <c r="F5844" t="s">
        <v>28669</v>
      </c>
      <c r="G5844" t="s">
        <v>28676</v>
      </c>
      <c r="H5844" t="s">
        <v>9998</v>
      </c>
      <c r="I5844" t="s">
        <v>28694</v>
      </c>
      <c r="J5844" t="s">
        <v>32523</v>
      </c>
      <c r="K5844" t="s">
        <v>37206</v>
      </c>
      <c r="M5844" t="s">
        <v>39598</v>
      </c>
      <c r="N5844" t="s">
        <v>41249</v>
      </c>
      <c r="O5844" t="s">
        <v>41250</v>
      </c>
      <c r="P5844">
        <v>0</v>
      </c>
      <c r="Q5844">
        <v>0</v>
      </c>
      <c r="R5844" t="s">
        <v>41256</v>
      </c>
      <c r="S5844" t="s">
        <v>41450</v>
      </c>
      <c r="T5844" t="s">
        <v>42678</v>
      </c>
      <c r="U5844" t="s">
        <v>48042</v>
      </c>
      <c r="V5844" t="s">
        <v>54906</v>
      </c>
      <c r="W5844" t="s">
        <v>39598</v>
      </c>
      <c r="X5844" t="s">
        <v>41257</v>
      </c>
    </row>
    <row r="5845" spans="1:24">
      <c r="A5845">
        <f>HYPERLINK("https://www.philgeps.gov.ph/GEPSNONPILOT/Tender/SplashBidNoticeAbstractUI.aspx?menuIndex=3&amp;refID=7070290&amp;Result=3","7070290")</f>
        <v>0</v>
      </c>
      <c r="B5845" t="s">
        <v>150</v>
      </c>
      <c r="C5845" t="s">
        <v>8960</v>
      </c>
      <c r="D5845" t="s">
        <v>16617</v>
      </c>
      <c r="E5845" t="s">
        <v>21882</v>
      </c>
      <c r="F5845" t="s">
        <v>28669</v>
      </c>
      <c r="G5845" t="s">
        <v>28677</v>
      </c>
      <c r="H5845" t="s">
        <v>9998</v>
      </c>
      <c r="I5845" t="s">
        <v>5213</v>
      </c>
      <c r="J5845" t="s">
        <v>32524</v>
      </c>
      <c r="K5845" t="s">
        <v>37206</v>
      </c>
      <c r="M5845" t="s">
        <v>37627</v>
      </c>
      <c r="N5845" t="s">
        <v>41249</v>
      </c>
      <c r="O5845" t="s">
        <v>41250</v>
      </c>
      <c r="P5845">
        <v>0</v>
      </c>
      <c r="Q5845">
        <v>0</v>
      </c>
      <c r="R5845" t="s">
        <v>41256</v>
      </c>
      <c r="S5845" t="s">
        <v>41450</v>
      </c>
      <c r="T5845" t="s">
        <v>42992</v>
      </c>
      <c r="U5845" t="s">
        <v>48043</v>
      </c>
      <c r="W5845" t="s">
        <v>37627</v>
      </c>
      <c r="X5845" t="s">
        <v>41257</v>
      </c>
    </row>
    <row r="5846" spans="1:24">
      <c r="A5846">
        <f>HYPERLINK("https://www.philgeps.gov.ph/GEPSNONPILOT/Tender/SplashBidNoticeAbstractUI.aspx?menuIndex=3&amp;refID=7070677&amp;Result=3","7070677")</f>
        <v>0</v>
      </c>
      <c r="B5846" t="s">
        <v>1982</v>
      </c>
      <c r="C5846" t="s">
        <v>3485</v>
      </c>
      <c r="D5846" t="s">
        <v>16608</v>
      </c>
      <c r="E5846" t="s">
        <v>21883</v>
      </c>
      <c r="F5846" t="s">
        <v>28669</v>
      </c>
      <c r="G5846" t="s">
        <v>28675</v>
      </c>
      <c r="H5846" t="s">
        <v>9998</v>
      </c>
      <c r="I5846" t="s">
        <v>6128</v>
      </c>
      <c r="J5846" t="s">
        <v>28905</v>
      </c>
      <c r="K5846" t="s">
        <v>37208</v>
      </c>
      <c r="M5846" t="s">
        <v>39617</v>
      </c>
      <c r="N5846" t="s">
        <v>41249</v>
      </c>
      <c r="O5846" t="s">
        <v>41250</v>
      </c>
      <c r="P5846">
        <v>0</v>
      </c>
      <c r="Q5846">
        <v>0</v>
      </c>
      <c r="R5846" t="s">
        <v>41256</v>
      </c>
      <c r="S5846" t="s">
        <v>41450</v>
      </c>
      <c r="T5846" t="s">
        <v>42675</v>
      </c>
      <c r="U5846" t="s">
        <v>48044</v>
      </c>
      <c r="W5846" t="s">
        <v>39617</v>
      </c>
      <c r="X5846" t="s">
        <v>41257</v>
      </c>
    </row>
    <row r="5847" spans="1:24">
      <c r="A5847">
        <f>HYPERLINK("https://www.philgeps.gov.ph/GEPSNONPILOT/Tender/SplashBidNoticeAbstractUI.aspx?menuIndex=3&amp;refID=7072552&amp;Result=3","7072552")</f>
        <v>0</v>
      </c>
      <c r="B5847" t="s">
        <v>1983</v>
      </c>
      <c r="C5847" t="s">
        <v>8961</v>
      </c>
      <c r="D5847" t="s">
        <v>16646</v>
      </c>
      <c r="E5847" t="s">
        <v>21884</v>
      </c>
      <c r="F5847" t="s">
        <v>28671</v>
      </c>
      <c r="G5847" t="s">
        <v>28678</v>
      </c>
      <c r="H5847" t="s">
        <v>9998</v>
      </c>
      <c r="I5847" t="s">
        <v>28690</v>
      </c>
      <c r="J5847" t="s">
        <v>32525</v>
      </c>
      <c r="K5847" t="s">
        <v>37234</v>
      </c>
      <c r="L5847" t="s">
        <v>1983</v>
      </c>
      <c r="M5847" t="s">
        <v>39618</v>
      </c>
      <c r="N5847" t="s">
        <v>41249</v>
      </c>
      <c r="O5847" t="s">
        <v>41250</v>
      </c>
      <c r="P5847">
        <v>0</v>
      </c>
      <c r="Q5847">
        <v>2</v>
      </c>
      <c r="R5847" t="s">
        <v>41255</v>
      </c>
      <c r="S5847" t="s">
        <v>41442</v>
      </c>
      <c r="T5847" t="s">
        <v>42694</v>
      </c>
      <c r="U5847" t="s">
        <v>48045</v>
      </c>
      <c r="W5847" t="s">
        <v>39618</v>
      </c>
      <c r="X5847" t="s">
        <v>41256</v>
      </c>
    </row>
    <row r="5848" spans="1:24">
      <c r="A5848">
        <f>HYPERLINK("https://www.philgeps.gov.ph/GEPSNONPILOT/Tender/SplashBidNoticeAbstractUI.aspx?menuIndex=3&amp;refID=7070623&amp;Result=3","7070623")</f>
        <v>0</v>
      </c>
      <c r="B5848" t="s">
        <v>267</v>
      </c>
      <c r="C5848" t="s">
        <v>8962</v>
      </c>
      <c r="D5848" t="s">
        <v>16679</v>
      </c>
      <c r="E5848" t="s">
        <v>21885</v>
      </c>
      <c r="F5848" t="s">
        <v>28669</v>
      </c>
      <c r="G5848" t="s">
        <v>28675</v>
      </c>
      <c r="H5848" t="s">
        <v>28686</v>
      </c>
      <c r="I5848" t="s">
        <v>28689</v>
      </c>
      <c r="J5848" t="s">
        <v>28881</v>
      </c>
      <c r="K5848" t="s">
        <v>37255</v>
      </c>
      <c r="M5848" t="s">
        <v>38099</v>
      </c>
      <c r="N5848" t="s">
        <v>41249</v>
      </c>
      <c r="O5848" t="s">
        <v>41250</v>
      </c>
      <c r="P5848">
        <v>0</v>
      </c>
      <c r="Q5848">
        <v>14</v>
      </c>
      <c r="R5848" t="s">
        <v>41256</v>
      </c>
      <c r="S5848" t="s">
        <v>41450</v>
      </c>
      <c r="T5848" t="s">
        <v>42818</v>
      </c>
      <c r="U5848" t="s">
        <v>48032</v>
      </c>
      <c r="V5848" t="s">
        <v>54916</v>
      </c>
      <c r="W5848" t="s">
        <v>55923</v>
      </c>
      <c r="X5848" t="s">
        <v>41257</v>
      </c>
    </row>
    <row r="5849" spans="1:24">
      <c r="A5849">
        <f>HYPERLINK("https://www.philgeps.gov.ph/GEPSNONPILOT/Tender/SplashBidNoticeAbstractUI.aspx?menuIndex=3&amp;refID=7070667&amp;Result=3","7070667")</f>
        <v>0</v>
      </c>
      <c r="B5849" t="s">
        <v>1962</v>
      </c>
      <c r="C5849" t="s">
        <v>8963</v>
      </c>
      <c r="D5849" t="s">
        <v>16661</v>
      </c>
      <c r="E5849" t="s">
        <v>8963</v>
      </c>
      <c r="F5849" t="s">
        <v>28669</v>
      </c>
      <c r="G5849" t="s">
        <v>28676</v>
      </c>
      <c r="H5849" t="s">
        <v>9998</v>
      </c>
      <c r="I5849" t="s">
        <v>28704</v>
      </c>
      <c r="J5849" t="s">
        <v>29479</v>
      </c>
      <c r="K5849" t="s">
        <v>37220</v>
      </c>
      <c r="M5849" t="s">
        <v>39595</v>
      </c>
      <c r="N5849" t="s">
        <v>41249</v>
      </c>
      <c r="O5849" t="s">
        <v>41250</v>
      </c>
      <c r="P5849">
        <v>0</v>
      </c>
      <c r="Q5849">
        <v>0</v>
      </c>
      <c r="R5849" t="s">
        <v>41256</v>
      </c>
      <c r="S5849" t="s">
        <v>41450</v>
      </c>
      <c r="T5849" t="s">
        <v>42711</v>
      </c>
      <c r="U5849" t="s">
        <v>47986</v>
      </c>
      <c r="W5849" t="s">
        <v>39595</v>
      </c>
      <c r="X5849" t="s">
        <v>41257</v>
      </c>
    </row>
    <row r="5850" spans="1:24">
      <c r="A5850">
        <f>HYPERLINK("https://www.philgeps.gov.ph/GEPSNONPILOT/Tender/SplashBidNoticeAbstractUI.aspx?menuIndex=3&amp;refID=7070661&amp;Result=3","7070661")</f>
        <v>0</v>
      </c>
      <c r="B5850" t="s">
        <v>1984</v>
      </c>
      <c r="C5850" t="s">
        <v>8964</v>
      </c>
      <c r="D5850" t="s">
        <v>16640</v>
      </c>
      <c r="E5850" t="s">
        <v>21886</v>
      </c>
      <c r="F5850" t="s">
        <v>28669</v>
      </c>
      <c r="G5850" t="s">
        <v>28677</v>
      </c>
      <c r="H5850" t="s">
        <v>9998</v>
      </c>
      <c r="I5850" t="s">
        <v>28697</v>
      </c>
      <c r="J5850" t="s">
        <v>32526</v>
      </c>
      <c r="K5850" t="s">
        <v>37205</v>
      </c>
      <c r="M5850" t="s">
        <v>39619</v>
      </c>
      <c r="N5850" t="s">
        <v>41249</v>
      </c>
      <c r="O5850" t="s">
        <v>41250</v>
      </c>
      <c r="P5850">
        <v>0</v>
      </c>
      <c r="Q5850">
        <v>10</v>
      </c>
      <c r="R5850" t="s">
        <v>41256</v>
      </c>
      <c r="S5850" t="s">
        <v>41450</v>
      </c>
      <c r="T5850" t="s">
        <v>42743</v>
      </c>
      <c r="U5850" t="s">
        <v>48046</v>
      </c>
      <c r="W5850" t="s">
        <v>39619</v>
      </c>
      <c r="X5850" t="s">
        <v>41257</v>
      </c>
    </row>
    <row r="5851" spans="1:24">
      <c r="A5851">
        <f>HYPERLINK("https://www.philgeps.gov.ph/GEPSNONPILOT/Tender/SplashBidNoticeAbstractUI.aspx?menuIndex=3&amp;refID=7072702&amp;Result=3","7072702")</f>
        <v>0</v>
      </c>
      <c r="B5851" t="s">
        <v>1985</v>
      </c>
      <c r="C5851" t="s">
        <v>8401</v>
      </c>
      <c r="D5851" t="s">
        <v>16658</v>
      </c>
      <c r="E5851" t="s">
        <v>16707</v>
      </c>
      <c r="F5851" t="s">
        <v>28669</v>
      </c>
      <c r="G5851" t="s">
        <v>28675</v>
      </c>
      <c r="H5851" t="s">
        <v>9998</v>
      </c>
      <c r="I5851" t="s">
        <v>7352</v>
      </c>
      <c r="J5851" t="s">
        <v>32527</v>
      </c>
      <c r="K5851" t="s">
        <v>37210</v>
      </c>
      <c r="M5851" t="s">
        <v>39620</v>
      </c>
      <c r="N5851" t="s">
        <v>41249</v>
      </c>
      <c r="O5851" t="s">
        <v>41250</v>
      </c>
      <c r="P5851">
        <v>0</v>
      </c>
      <c r="Q5851">
        <v>0</v>
      </c>
      <c r="R5851" t="s">
        <v>41255</v>
      </c>
      <c r="S5851" t="s">
        <v>41442</v>
      </c>
      <c r="T5851" t="s">
        <v>42754</v>
      </c>
      <c r="U5851" t="s">
        <v>48047</v>
      </c>
      <c r="W5851" t="s">
        <v>39620</v>
      </c>
      <c r="X5851" t="s">
        <v>41256</v>
      </c>
    </row>
    <row r="5852" spans="1:24">
      <c r="A5852">
        <f>HYPERLINK("https://www.philgeps.gov.ph/GEPSNONPILOT/Tender/SplashBidNoticeAbstractUI.aspx?menuIndex=3&amp;refID=7070657&amp;Result=3","7070657")</f>
        <v>0</v>
      </c>
      <c r="B5852" t="s">
        <v>1522</v>
      </c>
      <c r="C5852" t="s">
        <v>8965</v>
      </c>
      <c r="D5852" t="s">
        <v>16686</v>
      </c>
      <c r="E5852" t="s">
        <v>21887</v>
      </c>
      <c r="F5852" t="s">
        <v>28669</v>
      </c>
      <c r="G5852" t="s">
        <v>28675</v>
      </c>
      <c r="H5852" t="s">
        <v>9998</v>
      </c>
      <c r="I5852" t="s">
        <v>6128</v>
      </c>
      <c r="J5852" t="s">
        <v>32528</v>
      </c>
      <c r="K5852" t="s">
        <v>37210</v>
      </c>
      <c r="M5852" t="s">
        <v>39573</v>
      </c>
      <c r="N5852" t="s">
        <v>41249</v>
      </c>
      <c r="O5852" t="s">
        <v>41250</v>
      </c>
      <c r="P5852">
        <v>0</v>
      </c>
      <c r="Q5852">
        <v>0</v>
      </c>
      <c r="R5852" t="s">
        <v>41256</v>
      </c>
      <c r="S5852" t="s">
        <v>41450</v>
      </c>
      <c r="T5852" t="s">
        <v>42663</v>
      </c>
      <c r="U5852" t="s">
        <v>48048</v>
      </c>
      <c r="W5852" t="s">
        <v>39573</v>
      </c>
      <c r="X5852" t="s">
        <v>41257</v>
      </c>
    </row>
    <row r="5853" spans="1:24">
      <c r="A5853">
        <f>HYPERLINK("https://www.philgeps.gov.ph/GEPSNONPILOT/Tender/SplashBidNoticeAbstractUI.aspx?menuIndex=3&amp;refID=7070656&amp;Result=3","7070656")</f>
        <v>0</v>
      </c>
      <c r="B5853" t="s">
        <v>267</v>
      </c>
      <c r="C5853" t="s">
        <v>8966</v>
      </c>
      <c r="D5853" t="s">
        <v>16679</v>
      </c>
      <c r="E5853" t="s">
        <v>21888</v>
      </c>
      <c r="F5853" t="s">
        <v>28669</v>
      </c>
      <c r="G5853" t="s">
        <v>28675</v>
      </c>
      <c r="H5853" t="s">
        <v>28686</v>
      </c>
      <c r="I5853" t="s">
        <v>28689</v>
      </c>
      <c r="J5853" t="s">
        <v>31648</v>
      </c>
      <c r="K5853" t="s">
        <v>37215</v>
      </c>
      <c r="M5853" t="s">
        <v>38160</v>
      </c>
      <c r="N5853" t="s">
        <v>41249</v>
      </c>
      <c r="O5853" t="s">
        <v>41250</v>
      </c>
      <c r="P5853">
        <v>0</v>
      </c>
      <c r="Q5853">
        <v>11</v>
      </c>
      <c r="R5853" t="s">
        <v>41256</v>
      </c>
      <c r="S5853" t="s">
        <v>41450</v>
      </c>
      <c r="T5853" t="s">
        <v>42818</v>
      </c>
      <c r="U5853" t="s">
        <v>48032</v>
      </c>
      <c r="V5853" t="s">
        <v>54916</v>
      </c>
      <c r="W5853" t="s">
        <v>55923</v>
      </c>
      <c r="X5853" t="s">
        <v>41257</v>
      </c>
    </row>
    <row r="5854" spans="1:24">
      <c r="A5854">
        <f>HYPERLINK("https://www.philgeps.gov.ph/GEPSNONPILOT/Tender/SplashBidNoticeAbstractUI.aspx?menuIndex=3&amp;refID=7070666&amp;Result=3","7070666")</f>
        <v>0</v>
      </c>
      <c r="B5854" t="s">
        <v>947</v>
      </c>
      <c r="C5854" t="s">
        <v>8967</v>
      </c>
      <c r="D5854" t="s">
        <v>16631</v>
      </c>
      <c r="E5854" t="s">
        <v>21889</v>
      </c>
      <c r="F5854" t="s">
        <v>28669</v>
      </c>
      <c r="G5854" t="s">
        <v>28676</v>
      </c>
      <c r="H5854" t="s">
        <v>28684</v>
      </c>
      <c r="I5854" t="s">
        <v>28725</v>
      </c>
      <c r="J5854" t="s">
        <v>28879</v>
      </c>
      <c r="K5854" t="s">
        <v>37220</v>
      </c>
      <c r="M5854" t="s">
        <v>38471</v>
      </c>
      <c r="N5854" t="s">
        <v>41249</v>
      </c>
      <c r="O5854" t="s">
        <v>41250</v>
      </c>
      <c r="P5854">
        <v>0</v>
      </c>
      <c r="Q5854">
        <v>1</v>
      </c>
      <c r="R5854" t="s">
        <v>41256</v>
      </c>
      <c r="S5854" t="s">
        <v>41450</v>
      </c>
      <c r="T5854" t="s">
        <v>42736</v>
      </c>
      <c r="U5854" t="s">
        <v>48049</v>
      </c>
      <c r="V5854" t="s">
        <v>54917</v>
      </c>
      <c r="W5854" t="s">
        <v>38471</v>
      </c>
      <c r="X5854" t="s">
        <v>41257</v>
      </c>
    </row>
    <row r="5855" spans="1:24">
      <c r="A5855">
        <f>HYPERLINK("https://www.philgeps.gov.ph/GEPSNONPILOT/Tender/SplashBidNoticeAbstractUI.aspx?menuIndex=3&amp;refID=7070663&amp;Result=3","7070663")</f>
        <v>0</v>
      </c>
      <c r="B5855" t="s">
        <v>492</v>
      </c>
      <c r="C5855" t="s">
        <v>6534</v>
      </c>
      <c r="D5855" t="s">
        <v>16621</v>
      </c>
      <c r="E5855" t="s">
        <v>21890</v>
      </c>
      <c r="F5855" t="s">
        <v>28669</v>
      </c>
      <c r="G5855" t="s">
        <v>28675</v>
      </c>
      <c r="H5855" t="s">
        <v>9998</v>
      </c>
      <c r="I5855" t="s">
        <v>6128</v>
      </c>
      <c r="J5855" t="s">
        <v>32529</v>
      </c>
      <c r="K5855" t="s">
        <v>37210</v>
      </c>
      <c r="M5855" t="s">
        <v>37981</v>
      </c>
      <c r="N5855" t="s">
        <v>41249</v>
      </c>
      <c r="O5855" t="s">
        <v>41250</v>
      </c>
      <c r="P5855">
        <v>0</v>
      </c>
      <c r="Q5855">
        <v>1</v>
      </c>
      <c r="R5855" t="s">
        <v>41256</v>
      </c>
      <c r="S5855" t="s">
        <v>41450</v>
      </c>
      <c r="T5855" t="s">
        <v>42808</v>
      </c>
      <c r="U5855" t="s">
        <v>48050</v>
      </c>
      <c r="W5855" t="s">
        <v>37981</v>
      </c>
      <c r="X5855" t="s">
        <v>41257</v>
      </c>
    </row>
    <row r="5856" spans="1:24">
      <c r="A5856">
        <f>HYPERLINK("https://www.philgeps.gov.ph/GEPSNONPILOT/Tender/SplashBidNoticeAbstractUI.aspx?menuIndex=3&amp;refID=7070650&amp;Result=3","7070650")</f>
        <v>0</v>
      </c>
      <c r="B5856" t="s">
        <v>1060</v>
      </c>
      <c r="C5856" t="s">
        <v>8968</v>
      </c>
      <c r="D5856" t="s">
        <v>16643</v>
      </c>
      <c r="E5856" t="s">
        <v>21891</v>
      </c>
      <c r="F5856" t="s">
        <v>28669</v>
      </c>
      <c r="G5856" t="s">
        <v>28677</v>
      </c>
      <c r="H5856" t="s">
        <v>9998</v>
      </c>
      <c r="I5856" t="s">
        <v>6128</v>
      </c>
      <c r="J5856" t="s">
        <v>32530</v>
      </c>
      <c r="K5856" t="s">
        <v>37209</v>
      </c>
      <c r="M5856" t="s">
        <v>38591</v>
      </c>
      <c r="N5856" t="s">
        <v>41249</v>
      </c>
      <c r="O5856" t="s">
        <v>41250</v>
      </c>
      <c r="P5856">
        <v>0</v>
      </c>
      <c r="Q5856">
        <v>2</v>
      </c>
      <c r="R5856" t="s">
        <v>41256</v>
      </c>
      <c r="S5856" t="s">
        <v>41450</v>
      </c>
      <c r="T5856" t="s">
        <v>42876</v>
      </c>
      <c r="U5856" t="s">
        <v>45344</v>
      </c>
      <c r="W5856" t="s">
        <v>38591</v>
      </c>
      <c r="X5856" t="s">
        <v>41257</v>
      </c>
    </row>
    <row r="5857" spans="1:24">
      <c r="A5857">
        <f>HYPERLINK("https://www.philgeps.gov.ph/GEPSNONPILOT/Tender/SplashBidNoticeAbstractUI.aspx?menuIndex=3&amp;refID=7070676&amp;Result=3","7070676")</f>
        <v>0</v>
      </c>
      <c r="B5857" t="s">
        <v>1986</v>
      </c>
      <c r="C5857" t="s">
        <v>8969</v>
      </c>
      <c r="D5857" t="s">
        <v>16608</v>
      </c>
      <c r="E5857" t="s">
        <v>21892</v>
      </c>
      <c r="F5857" t="s">
        <v>28669</v>
      </c>
      <c r="G5857" t="s">
        <v>28676</v>
      </c>
      <c r="H5857" t="s">
        <v>9998</v>
      </c>
      <c r="I5857" t="s">
        <v>28708</v>
      </c>
      <c r="J5857" t="s">
        <v>29540</v>
      </c>
      <c r="K5857" t="s">
        <v>37206</v>
      </c>
      <c r="M5857" t="s">
        <v>39621</v>
      </c>
      <c r="N5857" t="s">
        <v>41249</v>
      </c>
      <c r="O5857" t="s">
        <v>41250</v>
      </c>
      <c r="P5857">
        <v>0</v>
      </c>
      <c r="Q5857">
        <v>4</v>
      </c>
      <c r="R5857" t="s">
        <v>41256</v>
      </c>
      <c r="S5857" t="s">
        <v>41450</v>
      </c>
      <c r="T5857" t="s">
        <v>42938</v>
      </c>
      <c r="U5857" t="s">
        <v>48051</v>
      </c>
      <c r="W5857" t="s">
        <v>39621</v>
      </c>
      <c r="X5857" t="s">
        <v>41257</v>
      </c>
    </row>
    <row r="5858" spans="1:24">
      <c r="A5858">
        <f>HYPERLINK("https://www.philgeps.gov.ph/GEPSNONPILOT/Tender/SplashBidNoticeAbstractUI.aspx?menuIndex=3&amp;refID=7070643&amp;Result=3","7070643")</f>
        <v>0</v>
      </c>
      <c r="B5858" t="s">
        <v>1161</v>
      </c>
      <c r="C5858" t="s">
        <v>8970</v>
      </c>
      <c r="D5858" t="s">
        <v>16643</v>
      </c>
      <c r="E5858" t="s">
        <v>16877</v>
      </c>
      <c r="F5858" t="s">
        <v>28669</v>
      </c>
      <c r="G5858" t="s">
        <v>28675</v>
      </c>
      <c r="H5858" t="s">
        <v>9998</v>
      </c>
      <c r="I5858" t="s">
        <v>28687</v>
      </c>
      <c r="J5858" t="s">
        <v>32531</v>
      </c>
      <c r="K5858" t="s">
        <v>37243</v>
      </c>
      <c r="M5858" t="s">
        <v>38698</v>
      </c>
      <c r="N5858" t="s">
        <v>41249</v>
      </c>
      <c r="O5858" t="s">
        <v>41250</v>
      </c>
      <c r="P5858">
        <v>0</v>
      </c>
      <c r="Q5858">
        <v>4</v>
      </c>
      <c r="R5858" t="s">
        <v>41256</v>
      </c>
      <c r="S5858" t="s">
        <v>41450</v>
      </c>
      <c r="T5858" t="s">
        <v>42679</v>
      </c>
      <c r="U5858" t="s">
        <v>48052</v>
      </c>
      <c r="V5858" t="s">
        <v>54918</v>
      </c>
      <c r="W5858" t="s">
        <v>38698</v>
      </c>
      <c r="X5858" t="s">
        <v>41257</v>
      </c>
    </row>
    <row r="5859" spans="1:24">
      <c r="A5859">
        <f>HYPERLINK("https://www.philgeps.gov.ph/GEPSNONPILOT/Tender/SplashBidNoticeAbstractUI.aspx?menuIndex=3&amp;refID=7070638&amp;Result=3","7070638")</f>
        <v>0</v>
      </c>
      <c r="B5859" t="s">
        <v>1962</v>
      </c>
      <c r="C5859" t="s">
        <v>8971</v>
      </c>
      <c r="D5859" t="s">
        <v>16661</v>
      </c>
      <c r="E5859" t="s">
        <v>8971</v>
      </c>
      <c r="F5859" t="s">
        <v>28669</v>
      </c>
      <c r="G5859" t="s">
        <v>28676</v>
      </c>
      <c r="H5859" t="s">
        <v>9998</v>
      </c>
      <c r="I5859" t="s">
        <v>28704</v>
      </c>
      <c r="J5859" t="s">
        <v>32532</v>
      </c>
      <c r="K5859" t="s">
        <v>37220</v>
      </c>
      <c r="M5859" t="s">
        <v>39595</v>
      </c>
      <c r="N5859" t="s">
        <v>41249</v>
      </c>
      <c r="O5859" t="s">
        <v>41250</v>
      </c>
      <c r="P5859">
        <v>0</v>
      </c>
      <c r="Q5859">
        <v>0</v>
      </c>
      <c r="R5859" t="s">
        <v>41256</v>
      </c>
      <c r="S5859" t="s">
        <v>41450</v>
      </c>
      <c r="T5859" t="s">
        <v>42711</v>
      </c>
      <c r="U5859" t="s">
        <v>47986</v>
      </c>
      <c r="W5859" t="s">
        <v>39595</v>
      </c>
      <c r="X5859" t="s">
        <v>41257</v>
      </c>
    </row>
    <row r="5860" spans="1:24">
      <c r="A5860">
        <f>HYPERLINK("https://www.philgeps.gov.ph/GEPSNONPILOT/Tender/SplashBidNoticeAbstractUI.aspx?menuIndex=3&amp;refID=7070651&amp;Result=3","7070651")</f>
        <v>0</v>
      </c>
      <c r="B5860" t="s">
        <v>903</v>
      </c>
      <c r="C5860" t="s">
        <v>8972</v>
      </c>
      <c r="D5860" t="s">
        <v>16678</v>
      </c>
      <c r="E5860" t="s">
        <v>21893</v>
      </c>
      <c r="F5860" t="s">
        <v>28669</v>
      </c>
      <c r="G5860" t="s">
        <v>28675</v>
      </c>
      <c r="H5860" t="s">
        <v>9998</v>
      </c>
      <c r="I5860" t="s">
        <v>8667</v>
      </c>
      <c r="J5860" t="s">
        <v>32533</v>
      </c>
      <c r="K5860" t="s">
        <v>37206</v>
      </c>
      <c r="M5860" t="s">
        <v>38424</v>
      </c>
      <c r="N5860" t="s">
        <v>41249</v>
      </c>
      <c r="O5860" t="s">
        <v>41250</v>
      </c>
      <c r="P5860">
        <v>0</v>
      </c>
      <c r="Q5860">
        <v>1</v>
      </c>
      <c r="R5860" t="s">
        <v>41256</v>
      </c>
      <c r="S5860" t="s">
        <v>41450</v>
      </c>
      <c r="T5860" t="s">
        <v>42755</v>
      </c>
      <c r="U5860" t="s">
        <v>48053</v>
      </c>
      <c r="W5860" t="s">
        <v>38424</v>
      </c>
      <c r="X5860" t="s">
        <v>41257</v>
      </c>
    </row>
    <row r="5861" spans="1:24">
      <c r="A5861">
        <f>HYPERLINK("https://www.philgeps.gov.ph/GEPSNONPILOT/Tender/SplashBidNoticeAbstractUI.aspx?menuIndex=3&amp;refID=7072706&amp;Result=3","7072706")</f>
        <v>0</v>
      </c>
      <c r="B5861" t="s">
        <v>565</v>
      </c>
      <c r="C5861" t="s">
        <v>8973</v>
      </c>
      <c r="E5861" t="s">
        <v>21894</v>
      </c>
      <c r="F5861" t="s">
        <v>28669</v>
      </c>
      <c r="G5861" t="s">
        <v>28676</v>
      </c>
      <c r="H5861" t="s">
        <v>28686</v>
      </c>
      <c r="I5861" t="s">
        <v>28689</v>
      </c>
      <c r="J5861" t="s">
        <v>32534</v>
      </c>
      <c r="K5861" t="s">
        <v>37209</v>
      </c>
      <c r="M5861" t="s">
        <v>39622</v>
      </c>
      <c r="N5861" t="s">
        <v>41249</v>
      </c>
      <c r="O5861" t="s">
        <v>41250</v>
      </c>
      <c r="P5861">
        <v>0</v>
      </c>
      <c r="Q5861">
        <v>0</v>
      </c>
      <c r="R5861" t="s">
        <v>41255</v>
      </c>
      <c r="S5861" t="s">
        <v>41442</v>
      </c>
      <c r="T5861" t="s">
        <v>42736</v>
      </c>
      <c r="U5861" t="s">
        <v>48054</v>
      </c>
      <c r="W5861" t="s">
        <v>39622</v>
      </c>
      <c r="X5861" t="s">
        <v>41256</v>
      </c>
    </row>
    <row r="5862" spans="1:24">
      <c r="A5862">
        <f>HYPERLINK("https://www.philgeps.gov.ph/GEPSNONPILOT/Tender/SplashBidNoticeAbstractUI.aspx?menuIndex=3&amp;refID=7070770&amp;Result=3","7070770")</f>
        <v>0</v>
      </c>
      <c r="B5862" t="s">
        <v>1522</v>
      </c>
      <c r="C5862" t="s">
        <v>8974</v>
      </c>
      <c r="D5862" t="s">
        <v>16686</v>
      </c>
      <c r="E5862" t="s">
        <v>21895</v>
      </c>
      <c r="F5862" t="s">
        <v>28669</v>
      </c>
      <c r="G5862" t="s">
        <v>28675</v>
      </c>
      <c r="H5862" t="s">
        <v>9998</v>
      </c>
      <c r="I5862" t="s">
        <v>6458</v>
      </c>
      <c r="J5862" t="s">
        <v>32535</v>
      </c>
      <c r="K5862" t="s">
        <v>37210</v>
      </c>
      <c r="M5862" t="s">
        <v>39573</v>
      </c>
      <c r="N5862" t="s">
        <v>41249</v>
      </c>
      <c r="O5862" t="s">
        <v>41250</v>
      </c>
      <c r="P5862">
        <v>0</v>
      </c>
      <c r="Q5862">
        <v>1</v>
      </c>
      <c r="R5862" t="s">
        <v>41256</v>
      </c>
      <c r="S5862" t="s">
        <v>41450</v>
      </c>
      <c r="T5862" t="s">
        <v>42663</v>
      </c>
      <c r="U5862" t="s">
        <v>48055</v>
      </c>
      <c r="W5862" t="s">
        <v>39573</v>
      </c>
      <c r="X5862" t="s">
        <v>41257</v>
      </c>
    </row>
    <row r="5863" spans="1:24">
      <c r="A5863">
        <f>HYPERLINK("https://www.philgeps.gov.ph/GEPSNONPILOT/Tender/SplashBidNoticeAbstractUI.aspx?menuIndex=3&amp;refID=7070766&amp;Result=3","7070766")</f>
        <v>0</v>
      </c>
      <c r="B5863" t="s">
        <v>1340</v>
      </c>
      <c r="C5863" t="s">
        <v>8975</v>
      </c>
      <c r="D5863" t="s">
        <v>16621</v>
      </c>
      <c r="E5863" t="s">
        <v>21896</v>
      </c>
      <c r="F5863" t="s">
        <v>28669</v>
      </c>
      <c r="G5863" t="s">
        <v>28676</v>
      </c>
      <c r="H5863" t="s">
        <v>28684</v>
      </c>
      <c r="I5863" t="s">
        <v>6606</v>
      </c>
      <c r="J5863" t="s">
        <v>28863</v>
      </c>
      <c r="K5863" t="s">
        <v>37234</v>
      </c>
      <c r="M5863" t="s">
        <v>38895</v>
      </c>
      <c r="N5863" t="s">
        <v>41249</v>
      </c>
      <c r="O5863" t="s">
        <v>41250</v>
      </c>
      <c r="P5863">
        <v>0</v>
      </c>
      <c r="Q5863">
        <v>1</v>
      </c>
      <c r="R5863" t="s">
        <v>41256</v>
      </c>
      <c r="S5863" t="s">
        <v>41450</v>
      </c>
      <c r="T5863" t="s">
        <v>42679</v>
      </c>
      <c r="U5863" t="s">
        <v>48056</v>
      </c>
      <c r="W5863" t="s">
        <v>38895</v>
      </c>
      <c r="X5863" t="s">
        <v>41257</v>
      </c>
    </row>
    <row r="5864" spans="1:24">
      <c r="A5864">
        <f>HYPERLINK("https://www.philgeps.gov.ph/GEPSNONPILOT/Tender/SplashBidNoticeAbstractUI.aspx?menuIndex=3&amp;refID=7070755&amp;Result=3","7070755")</f>
        <v>0</v>
      </c>
      <c r="B5864" t="s">
        <v>1984</v>
      </c>
      <c r="C5864" t="s">
        <v>8976</v>
      </c>
      <c r="D5864" t="s">
        <v>16640</v>
      </c>
      <c r="E5864" t="s">
        <v>21897</v>
      </c>
      <c r="F5864" t="s">
        <v>28669</v>
      </c>
      <c r="G5864" t="s">
        <v>28677</v>
      </c>
      <c r="H5864" t="s">
        <v>9998</v>
      </c>
      <c r="I5864" t="s">
        <v>28697</v>
      </c>
      <c r="J5864" t="s">
        <v>32536</v>
      </c>
      <c r="K5864" t="s">
        <v>37205</v>
      </c>
      <c r="M5864" t="s">
        <v>39619</v>
      </c>
      <c r="N5864" t="s">
        <v>41249</v>
      </c>
      <c r="O5864" t="s">
        <v>41250</v>
      </c>
      <c r="P5864">
        <v>0</v>
      </c>
      <c r="Q5864">
        <v>9</v>
      </c>
      <c r="R5864" t="s">
        <v>41256</v>
      </c>
      <c r="S5864" t="s">
        <v>41450</v>
      </c>
      <c r="T5864" t="s">
        <v>42758</v>
      </c>
      <c r="U5864" t="s">
        <v>48057</v>
      </c>
      <c r="W5864" t="s">
        <v>39619</v>
      </c>
      <c r="X5864" t="s">
        <v>41257</v>
      </c>
    </row>
    <row r="5865" spans="1:24">
      <c r="A5865">
        <f>HYPERLINK("https://www.philgeps.gov.ph/GEPSNONPILOT/Tender/SplashBidNoticeAbstractUI.aspx?menuIndex=3&amp;refID=7070639&amp;Result=3","7070639")</f>
        <v>0</v>
      </c>
      <c r="B5865" t="s">
        <v>998</v>
      </c>
      <c r="C5865" t="s">
        <v>8977</v>
      </c>
      <c r="D5865" t="s">
        <v>16620</v>
      </c>
      <c r="E5865" t="s">
        <v>21898</v>
      </c>
      <c r="F5865" t="s">
        <v>28669</v>
      </c>
      <c r="G5865" t="s">
        <v>28676</v>
      </c>
      <c r="H5865" t="s">
        <v>9998</v>
      </c>
      <c r="I5865" t="s">
        <v>3718</v>
      </c>
      <c r="J5865" t="s">
        <v>29044</v>
      </c>
      <c r="K5865" t="s">
        <v>37206</v>
      </c>
      <c r="L5865" t="s">
        <v>998</v>
      </c>
      <c r="M5865" t="s">
        <v>38526</v>
      </c>
      <c r="N5865" t="s">
        <v>41249</v>
      </c>
      <c r="O5865" t="s">
        <v>41250</v>
      </c>
      <c r="P5865">
        <v>0</v>
      </c>
      <c r="Q5865">
        <v>1</v>
      </c>
      <c r="R5865" t="s">
        <v>41256</v>
      </c>
      <c r="S5865" t="s">
        <v>41450</v>
      </c>
      <c r="T5865" t="s">
        <v>42703</v>
      </c>
      <c r="U5865" t="s">
        <v>48058</v>
      </c>
      <c r="V5865" t="s">
        <v>54548</v>
      </c>
      <c r="W5865" t="s">
        <v>38526</v>
      </c>
      <c r="X5865" t="s">
        <v>41257</v>
      </c>
    </row>
    <row r="5866" spans="1:24">
      <c r="A5866">
        <f>HYPERLINK("https://www.philgeps.gov.ph/GEPSNONPILOT/Tender/SplashBidNoticeAbstractUI.aspx?menuIndex=3&amp;refID=7070747&amp;Result=3","7070747")</f>
        <v>0</v>
      </c>
      <c r="B5866" t="s">
        <v>1522</v>
      </c>
      <c r="C5866" t="s">
        <v>8978</v>
      </c>
      <c r="D5866" t="s">
        <v>16686</v>
      </c>
      <c r="E5866" t="s">
        <v>21899</v>
      </c>
      <c r="F5866" t="s">
        <v>28669</v>
      </c>
      <c r="G5866" t="s">
        <v>28675</v>
      </c>
      <c r="H5866" t="s">
        <v>9998</v>
      </c>
      <c r="I5866" t="s">
        <v>6128</v>
      </c>
      <c r="J5866" t="s">
        <v>29438</v>
      </c>
      <c r="K5866" t="s">
        <v>37210</v>
      </c>
      <c r="M5866" t="s">
        <v>39573</v>
      </c>
      <c r="N5866" t="s">
        <v>41249</v>
      </c>
      <c r="O5866" t="s">
        <v>41250</v>
      </c>
      <c r="P5866">
        <v>0</v>
      </c>
      <c r="Q5866">
        <v>0</v>
      </c>
      <c r="R5866" t="s">
        <v>41256</v>
      </c>
      <c r="S5866" t="s">
        <v>41450</v>
      </c>
      <c r="T5866" t="s">
        <v>42663</v>
      </c>
      <c r="U5866" t="s">
        <v>48059</v>
      </c>
      <c r="W5866" t="s">
        <v>39573</v>
      </c>
      <c r="X5866" t="s">
        <v>41257</v>
      </c>
    </row>
    <row r="5867" spans="1:24">
      <c r="A5867">
        <f>HYPERLINK("https://www.philgeps.gov.ph/GEPSNONPILOT/Tender/SplashBidNoticeAbstractUI.aspx?menuIndex=3&amp;refID=7070759&amp;Result=3","7070759")</f>
        <v>0</v>
      </c>
      <c r="B5867" t="s">
        <v>1986</v>
      </c>
      <c r="C5867" t="s">
        <v>8979</v>
      </c>
      <c r="D5867" t="s">
        <v>16608</v>
      </c>
      <c r="E5867" t="s">
        <v>21900</v>
      </c>
      <c r="F5867" t="s">
        <v>28669</v>
      </c>
      <c r="G5867" t="s">
        <v>28676</v>
      </c>
      <c r="H5867" t="s">
        <v>9998</v>
      </c>
      <c r="I5867" t="s">
        <v>28729</v>
      </c>
      <c r="J5867" t="s">
        <v>32537</v>
      </c>
      <c r="K5867" t="s">
        <v>37206</v>
      </c>
      <c r="M5867" t="s">
        <v>39621</v>
      </c>
      <c r="N5867" t="s">
        <v>41249</v>
      </c>
      <c r="O5867" t="s">
        <v>41250</v>
      </c>
      <c r="P5867">
        <v>0</v>
      </c>
      <c r="Q5867">
        <v>17</v>
      </c>
      <c r="R5867" t="s">
        <v>41256</v>
      </c>
      <c r="S5867" t="s">
        <v>41450</v>
      </c>
      <c r="T5867" t="s">
        <v>42938</v>
      </c>
      <c r="U5867" t="s">
        <v>48060</v>
      </c>
      <c r="W5867" t="s">
        <v>39621</v>
      </c>
      <c r="X5867" t="s">
        <v>41257</v>
      </c>
    </row>
    <row r="5868" spans="1:24">
      <c r="A5868">
        <f>HYPERLINK("https://www.philgeps.gov.ph/GEPSNONPILOT/Tender/SplashBidNoticeAbstractUI.aspx?menuIndex=3&amp;refID=7070752&amp;Result=3","7070752")</f>
        <v>0</v>
      </c>
      <c r="B5868" t="s">
        <v>1060</v>
      </c>
      <c r="C5868" t="s">
        <v>8980</v>
      </c>
      <c r="D5868" t="s">
        <v>16643</v>
      </c>
      <c r="E5868" t="s">
        <v>21901</v>
      </c>
      <c r="F5868" t="s">
        <v>28669</v>
      </c>
      <c r="G5868" t="s">
        <v>28677</v>
      </c>
      <c r="H5868" t="s">
        <v>9998</v>
      </c>
      <c r="I5868" t="s">
        <v>6128</v>
      </c>
      <c r="J5868" t="s">
        <v>32538</v>
      </c>
      <c r="K5868" t="s">
        <v>37209</v>
      </c>
      <c r="M5868" t="s">
        <v>38591</v>
      </c>
      <c r="N5868" t="s">
        <v>41249</v>
      </c>
      <c r="O5868" t="s">
        <v>41250</v>
      </c>
      <c r="P5868">
        <v>0</v>
      </c>
      <c r="Q5868">
        <v>1</v>
      </c>
      <c r="R5868" t="s">
        <v>41256</v>
      </c>
      <c r="S5868" t="s">
        <v>41450</v>
      </c>
      <c r="T5868" t="s">
        <v>42876</v>
      </c>
      <c r="U5868" t="s">
        <v>45344</v>
      </c>
      <c r="W5868" t="s">
        <v>38591</v>
      </c>
      <c r="X5868" t="s">
        <v>41257</v>
      </c>
    </row>
    <row r="5869" spans="1:24">
      <c r="A5869">
        <f>HYPERLINK("https://www.philgeps.gov.ph/GEPSNONPILOT/Tender/SplashBidNoticeAbstractUI.aspx?menuIndex=3&amp;refID=7070726&amp;Result=3","7070726")</f>
        <v>0</v>
      </c>
      <c r="B5869" t="s">
        <v>1522</v>
      </c>
      <c r="C5869" t="s">
        <v>8981</v>
      </c>
      <c r="D5869" t="s">
        <v>16686</v>
      </c>
      <c r="E5869" t="s">
        <v>21902</v>
      </c>
      <c r="F5869" t="s">
        <v>28669</v>
      </c>
      <c r="G5869" t="s">
        <v>28675</v>
      </c>
      <c r="H5869" t="s">
        <v>9998</v>
      </c>
      <c r="I5869" t="s">
        <v>6128</v>
      </c>
      <c r="J5869" t="s">
        <v>32539</v>
      </c>
      <c r="K5869" t="s">
        <v>37210</v>
      </c>
      <c r="M5869" t="s">
        <v>39573</v>
      </c>
      <c r="N5869" t="s">
        <v>41249</v>
      </c>
      <c r="O5869" t="s">
        <v>41250</v>
      </c>
      <c r="P5869">
        <v>0</v>
      </c>
      <c r="Q5869">
        <v>0</v>
      </c>
      <c r="R5869" t="s">
        <v>41256</v>
      </c>
      <c r="S5869" t="s">
        <v>41450</v>
      </c>
      <c r="T5869" t="s">
        <v>42663</v>
      </c>
      <c r="U5869" t="s">
        <v>48061</v>
      </c>
      <c r="W5869" t="s">
        <v>39573</v>
      </c>
      <c r="X5869" t="s">
        <v>41257</v>
      </c>
    </row>
    <row r="5870" spans="1:24">
      <c r="A5870">
        <f>HYPERLINK("https://www.philgeps.gov.ph/GEPSNONPILOT/Tender/SplashBidNoticeAbstractUI.aspx?menuIndex=3&amp;refID=7070725&amp;Result=3","7070725")</f>
        <v>0</v>
      </c>
      <c r="B5870" t="s">
        <v>947</v>
      </c>
      <c r="C5870" t="s">
        <v>8982</v>
      </c>
      <c r="D5870" t="s">
        <v>16631</v>
      </c>
      <c r="E5870" t="s">
        <v>21903</v>
      </c>
      <c r="F5870" t="s">
        <v>28669</v>
      </c>
      <c r="G5870" t="s">
        <v>28677</v>
      </c>
      <c r="H5870" t="s">
        <v>9998</v>
      </c>
      <c r="I5870" t="s">
        <v>5213</v>
      </c>
      <c r="J5870" t="s">
        <v>30587</v>
      </c>
      <c r="K5870" t="s">
        <v>37206</v>
      </c>
      <c r="M5870" t="s">
        <v>38471</v>
      </c>
      <c r="N5870" t="s">
        <v>41249</v>
      </c>
      <c r="O5870" t="s">
        <v>41250</v>
      </c>
      <c r="P5870">
        <v>0</v>
      </c>
      <c r="Q5870">
        <v>3</v>
      </c>
      <c r="R5870" t="s">
        <v>41256</v>
      </c>
      <c r="S5870" t="s">
        <v>41450</v>
      </c>
      <c r="T5870" t="s">
        <v>42736</v>
      </c>
      <c r="U5870" t="s">
        <v>48062</v>
      </c>
      <c r="V5870" t="s">
        <v>54917</v>
      </c>
      <c r="W5870" t="s">
        <v>38471</v>
      </c>
      <c r="X5870" t="s">
        <v>41257</v>
      </c>
    </row>
    <row r="5871" spans="1:24">
      <c r="A5871">
        <f>HYPERLINK("https://www.philgeps.gov.ph/GEPSNONPILOT/Tender/SplashBidNoticeAbstractUI.aspx?menuIndex=3&amp;refID=7070724&amp;Result=3","7070724")</f>
        <v>0</v>
      </c>
      <c r="B5871" t="s">
        <v>216</v>
      </c>
      <c r="C5871" t="s">
        <v>8983</v>
      </c>
      <c r="D5871" t="s">
        <v>16615</v>
      </c>
      <c r="E5871" t="s">
        <v>17802</v>
      </c>
      <c r="F5871" t="s">
        <v>28669</v>
      </c>
      <c r="G5871" t="s">
        <v>28677</v>
      </c>
      <c r="H5871" t="s">
        <v>9998</v>
      </c>
      <c r="I5871" t="s">
        <v>28698</v>
      </c>
      <c r="J5871" t="s">
        <v>31544</v>
      </c>
      <c r="K5871" t="s">
        <v>37206</v>
      </c>
      <c r="M5871" t="s">
        <v>37694</v>
      </c>
      <c r="N5871" t="s">
        <v>41249</v>
      </c>
      <c r="O5871" t="s">
        <v>41250</v>
      </c>
      <c r="P5871">
        <v>0</v>
      </c>
      <c r="Q5871">
        <v>0</v>
      </c>
      <c r="R5871" t="s">
        <v>41256</v>
      </c>
      <c r="S5871" t="s">
        <v>41450</v>
      </c>
      <c r="T5871" t="s">
        <v>42701</v>
      </c>
      <c r="U5871" t="s">
        <v>48063</v>
      </c>
      <c r="W5871" t="s">
        <v>37694</v>
      </c>
      <c r="X5871" t="s">
        <v>41257</v>
      </c>
    </row>
    <row r="5872" spans="1:24">
      <c r="A5872">
        <f>HYPERLINK("https://www.philgeps.gov.ph/GEPSNONPILOT/Tender/SplashBidNoticeAbstractUI.aspx?menuIndex=3&amp;refID=7070653&amp;Result=3","7070653")</f>
        <v>0</v>
      </c>
      <c r="B5872" t="s">
        <v>1956</v>
      </c>
      <c r="C5872" t="s">
        <v>8984</v>
      </c>
      <c r="D5872" t="s">
        <v>16615</v>
      </c>
      <c r="E5872" t="s">
        <v>21904</v>
      </c>
      <c r="F5872" t="s">
        <v>28669</v>
      </c>
      <c r="G5872" t="s">
        <v>28675</v>
      </c>
      <c r="H5872" t="s">
        <v>9998</v>
      </c>
      <c r="I5872" t="s">
        <v>6606</v>
      </c>
      <c r="J5872" t="s">
        <v>32540</v>
      </c>
      <c r="K5872" t="s">
        <v>37206</v>
      </c>
      <c r="M5872" t="s">
        <v>39588</v>
      </c>
      <c r="N5872" t="s">
        <v>41249</v>
      </c>
      <c r="O5872" t="s">
        <v>41250</v>
      </c>
      <c r="P5872">
        <v>0</v>
      </c>
      <c r="Q5872">
        <v>0</v>
      </c>
      <c r="R5872" t="s">
        <v>41256</v>
      </c>
      <c r="S5872" t="s">
        <v>41450</v>
      </c>
      <c r="T5872" t="s">
        <v>42766</v>
      </c>
      <c r="U5872" t="s">
        <v>48064</v>
      </c>
      <c r="W5872" t="s">
        <v>39588</v>
      </c>
      <c r="X5872" t="s">
        <v>41257</v>
      </c>
    </row>
    <row r="5873" spans="1:24">
      <c r="A5873">
        <f>HYPERLINK("https://www.philgeps.gov.ph/GEPSNONPILOT/Tender/SplashBidNoticeAbstractUI.aspx?menuIndex=3&amp;refID=7070721&amp;Result=3","7070721")</f>
        <v>0</v>
      </c>
      <c r="B5873" t="s">
        <v>1986</v>
      </c>
      <c r="C5873" t="s">
        <v>8985</v>
      </c>
      <c r="D5873" t="s">
        <v>16608</v>
      </c>
      <c r="E5873" t="s">
        <v>21905</v>
      </c>
      <c r="F5873" t="s">
        <v>28669</v>
      </c>
      <c r="G5873" t="s">
        <v>28676</v>
      </c>
      <c r="H5873" t="s">
        <v>9998</v>
      </c>
      <c r="I5873" t="s">
        <v>28711</v>
      </c>
      <c r="J5873" t="s">
        <v>32541</v>
      </c>
      <c r="K5873" t="s">
        <v>37206</v>
      </c>
      <c r="M5873" t="s">
        <v>39621</v>
      </c>
      <c r="N5873" t="s">
        <v>41249</v>
      </c>
      <c r="O5873" t="s">
        <v>41250</v>
      </c>
      <c r="P5873">
        <v>0</v>
      </c>
      <c r="Q5873">
        <v>19</v>
      </c>
      <c r="R5873" t="s">
        <v>41256</v>
      </c>
      <c r="S5873" t="s">
        <v>41450</v>
      </c>
      <c r="T5873" t="s">
        <v>42938</v>
      </c>
      <c r="U5873" t="s">
        <v>48065</v>
      </c>
      <c r="W5873" t="s">
        <v>39621</v>
      </c>
      <c r="X5873" t="s">
        <v>41257</v>
      </c>
    </row>
    <row r="5874" spans="1:24">
      <c r="A5874">
        <f>HYPERLINK("https://www.philgeps.gov.ph/GEPSNONPILOT/Tender/SplashBidNoticeAbstractUI.aspx?menuIndex=3&amp;refID=7070771&amp;Result=3","7070771")</f>
        <v>0</v>
      </c>
      <c r="B5874" t="s">
        <v>1987</v>
      </c>
      <c r="C5874" t="s">
        <v>8986</v>
      </c>
      <c r="D5874" t="s">
        <v>16608</v>
      </c>
      <c r="E5874" t="s">
        <v>21906</v>
      </c>
      <c r="F5874" t="s">
        <v>28669</v>
      </c>
      <c r="G5874" t="s">
        <v>28675</v>
      </c>
      <c r="H5874" t="s">
        <v>9998</v>
      </c>
      <c r="I5874" t="s">
        <v>5286</v>
      </c>
      <c r="J5874" t="s">
        <v>31879</v>
      </c>
      <c r="K5874" t="s">
        <v>37216</v>
      </c>
      <c r="M5874" t="s">
        <v>39623</v>
      </c>
      <c r="N5874" t="s">
        <v>41249</v>
      </c>
      <c r="O5874" t="s">
        <v>41250</v>
      </c>
      <c r="Q5874">
        <v>4</v>
      </c>
      <c r="R5874" t="s">
        <v>41256</v>
      </c>
      <c r="S5874" t="s">
        <v>41455</v>
      </c>
      <c r="T5874" t="s">
        <v>42722</v>
      </c>
      <c r="U5874" t="s">
        <v>48066</v>
      </c>
      <c r="W5874" t="s">
        <v>39623</v>
      </c>
      <c r="X5874" t="s">
        <v>41257</v>
      </c>
    </row>
    <row r="5875" spans="1:24">
      <c r="A5875">
        <f>HYPERLINK("https://www.philgeps.gov.ph/GEPSNONPILOT/Tender/SplashBidNoticeAbstractUI.aspx?menuIndex=3&amp;refID=7070718&amp;Result=3","7070718")</f>
        <v>0</v>
      </c>
      <c r="B5875" t="s">
        <v>267</v>
      </c>
      <c r="C5875" t="s">
        <v>8987</v>
      </c>
      <c r="D5875" t="s">
        <v>16679</v>
      </c>
      <c r="E5875" t="s">
        <v>21907</v>
      </c>
      <c r="F5875" t="s">
        <v>28669</v>
      </c>
      <c r="G5875" t="s">
        <v>28675</v>
      </c>
      <c r="H5875" t="s">
        <v>28686</v>
      </c>
      <c r="I5875" t="s">
        <v>28689</v>
      </c>
      <c r="J5875" t="s">
        <v>31724</v>
      </c>
      <c r="K5875" t="s">
        <v>37213</v>
      </c>
      <c r="M5875" t="s">
        <v>38099</v>
      </c>
      <c r="N5875" t="s">
        <v>41249</v>
      </c>
      <c r="O5875" t="s">
        <v>41250</v>
      </c>
      <c r="P5875">
        <v>0</v>
      </c>
      <c r="Q5875">
        <v>13</v>
      </c>
      <c r="R5875" t="s">
        <v>41256</v>
      </c>
      <c r="S5875" t="s">
        <v>41450</v>
      </c>
      <c r="T5875" t="s">
        <v>42818</v>
      </c>
      <c r="U5875" t="s">
        <v>48032</v>
      </c>
      <c r="V5875" t="s">
        <v>54916</v>
      </c>
      <c r="W5875" t="s">
        <v>55923</v>
      </c>
      <c r="X5875" t="s">
        <v>41257</v>
      </c>
    </row>
    <row r="5876" spans="1:24">
      <c r="A5876">
        <f>HYPERLINK("https://www.philgeps.gov.ph/GEPSNONPILOT/Tender/SplashBidNoticeAbstractUI.aspx?menuIndex=3&amp;refID=7070740&amp;Result=3","7070740")</f>
        <v>0</v>
      </c>
      <c r="B5876" t="s">
        <v>1988</v>
      </c>
      <c r="C5876" t="s">
        <v>8988</v>
      </c>
      <c r="D5876" t="s">
        <v>16667</v>
      </c>
      <c r="E5876" t="s">
        <v>21908</v>
      </c>
      <c r="F5876" t="s">
        <v>28669</v>
      </c>
      <c r="G5876" t="s">
        <v>28675</v>
      </c>
      <c r="H5876" t="s">
        <v>28686</v>
      </c>
      <c r="I5876" t="s">
        <v>28689</v>
      </c>
      <c r="J5876" t="s">
        <v>28877</v>
      </c>
      <c r="K5876" t="s">
        <v>37215</v>
      </c>
      <c r="M5876" t="s">
        <v>39624</v>
      </c>
      <c r="N5876" t="s">
        <v>41249</v>
      </c>
      <c r="O5876" t="s">
        <v>41250</v>
      </c>
      <c r="P5876">
        <v>0</v>
      </c>
      <c r="Q5876">
        <v>1</v>
      </c>
      <c r="R5876" t="s">
        <v>41256</v>
      </c>
      <c r="S5876" t="s">
        <v>41450</v>
      </c>
      <c r="T5876" t="s">
        <v>43017</v>
      </c>
      <c r="U5876" t="s">
        <v>48067</v>
      </c>
      <c r="W5876" t="s">
        <v>39624</v>
      </c>
      <c r="X5876" t="s">
        <v>41257</v>
      </c>
    </row>
    <row r="5877" spans="1:24">
      <c r="A5877">
        <f>HYPERLINK("https://www.philgeps.gov.ph/GEPSNONPILOT/Tender/SplashBidNoticeAbstractUI.aspx?menuIndex=3&amp;refID=7070706&amp;Result=3","7070706")</f>
        <v>0</v>
      </c>
      <c r="B5877" t="s">
        <v>1965</v>
      </c>
      <c r="C5877" t="s">
        <v>8989</v>
      </c>
      <c r="D5877" t="s">
        <v>16670</v>
      </c>
      <c r="E5877" t="s">
        <v>21909</v>
      </c>
      <c r="F5877" t="s">
        <v>28669</v>
      </c>
      <c r="G5877" t="s">
        <v>28676</v>
      </c>
      <c r="H5877" t="s">
        <v>9998</v>
      </c>
      <c r="I5877" t="s">
        <v>28692</v>
      </c>
      <c r="J5877" t="s">
        <v>32542</v>
      </c>
      <c r="K5877" t="s">
        <v>37206</v>
      </c>
      <c r="M5877" t="s">
        <v>39598</v>
      </c>
      <c r="N5877" t="s">
        <v>41249</v>
      </c>
      <c r="O5877" t="s">
        <v>41250</v>
      </c>
      <c r="P5877">
        <v>0</v>
      </c>
      <c r="Q5877">
        <v>2</v>
      </c>
      <c r="R5877" t="s">
        <v>41256</v>
      </c>
      <c r="S5877" t="s">
        <v>41450</v>
      </c>
      <c r="T5877" t="s">
        <v>42678</v>
      </c>
      <c r="U5877" t="s">
        <v>48068</v>
      </c>
      <c r="V5877" t="s">
        <v>54906</v>
      </c>
      <c r="W5877" t="s">
        <v>39598</v>
      </c>
      <c r="X5877" t="s">
        <v>41257</v>
      </c>
    </row>
    <row r="5878" spans="1:24">
      <c r="A5878">
        <f>HYPERLINK("https://www.philgeps.gov.ph/GEPSNONPILOT/Tender/SplashBidNoticeAbstractUI.aspx?menuIndex=3&amp;refID=7070699&amp;Result=3","7070699")</f>
        <v>0</v>
      </c>
      <c r="B5878" t="s">
        <v>1522</v>
      </c>
      <c r="C5878" t="s">
        <v>8990</v>
      </c>
      <c r="D5878" t="s">
        <v>16686</v>
      </c>
      <c r="E5878" t="s">
        <v>21910</v>
      </c>
      <c r="F5878" t="s">
        <v>28669</v>
      </c>
      <c r="G5878" t="s">
        <v>28675</v>
      </c>
      <c r="H5878" t="s">
        <v>9998</v>
      </c>
      <c r="I5878" t="s">
        <v>6128</v>
      </c>
      <c r="J5878" t="s">
        <v>32543</v>
      </c>
      <c r="K5878" t="s">
        <v>37210</v>
      </c>
      <c r="M5878" t="s">
        <v>39573</v>
      </c>
      <c r="N5878" t="s">
        <v>41249</v>
      </c>
      <c r="O5878" t="s">
        <v>41250</v>
      </c>
      <c r="P5878">
        <v>0</v>
      </c>
      <c r="Q5878">
        <v>0</v>
      </c>
      <c r="R5878" t="s">
        <v>41256</v>
      </c>
      <c r="S5878" t="s">
        <v>41450</v>
      </c>
      <c r="T5878" t="s">
        <v>42663</v>
      </c>
      <c r="U5878" t="s">
        <v>48069</v>
      </c>
      <c r="W5878" t="s">
        <v>39573</v>
      </c>
      <c r="X5878" t="s">
        <v>41257</v>
      </c>
    </row>
    <row r="5879" spans="1:24">
      <c r="A5879">
        <f>HYPERLINK("https://www.philgeps.gov.ph/GEPSNONPILOT/Tender/SplashBidNoticeAbstractUI.aspx?menuIndex=3&amp;refID=7070788&amp;Result=3","7070788")</f>
        <v>0</v>
      </c>
      <c r="B5879" t="s">
        <v>1989</v>
      </c>
      <c r="C5879" t="s">
        <v>8991</v>
      </c>
      <c r="D5879" t="s">
        <v>16667</v>
      </c>
      <c r="E5879" t="s">
        <v>16820</v>
      </c>
      <c r="F5879" t="s">
        <v>28669</v>
      </c>
      <c r="G5879" t="s">
        <v>28675</v>
      </c>
      <c r="H5879" t="s">
        <v>28686</v>
      </c>
      <c r="I5879" t="s">
        <v>28689</v>
      </c>
      <c r="J5879" t="s">
        <v>28905</v>
      </c>
      <c r="K5879" t="s">
        <v>37206</v>
      </c>
      <c r="M5879" t="s">
        <v>39625</v>
      </c>
      <c r="N5879" t="s">
        <v>41249</v>
      </c>
      <c r="O5879" t="s">
        <v>41250</v>
      </c>
      <c r="P5879">
        <v>0</v>
      </c>
      <c r="Q5879">
        <v>1</v>
      </c>
      <c r="R5879" t="s">
        <v>41256</v>
      </c>
      <c r="S5879" t="s">
        <v>41450</v>
      </c>
      <c r="T5879" t="s">
        <v>43017</v>
      </c>
      <c r="U5879" t="s">
        <v>48070</v>
      </c>
      <c r="W5879" t="s">
        <v>39625</v>
      </c>
      <c r="X5879" t="s">
        <v>41257</v>
      </c>
    </row>
    <row r="5880" spans="1:24">
      <c r="A5880">
        <f>HYPERLINK("https://www.philgeps.gov.ph/GEPSNONPILOT/Tender/SplashBidNoticeAbstractUI.aspx?menuIndex=3&amp;refID=7070668&amp;Result=3","7070668")</f>
        <v>0</v>
      </c>
      <c r="B5880" t="s">
        <v>1935</v>
      </c>
      <c r="C5880" t="s">
        <v>8992</v>
      </c>
      <c r="E5880" t="s">
        <v>21911</v>
      </c>
      <c r="F5880" t="s">
        <v>28669</v>
      </c>
      <c r="G5880" t="s">
        <v>28675</v>
      </c>
      <c r="H5880" t="s">
        <v>9998</v>
      </c>
      <c r="I5880" t="s">
        <v>3679</v>
      </c>
      <c r="J5880" t="s">
        <v>32544</v>
      </c>
      <c r="K5880" t="s">
        <v>37209</v>
      </c>
      <c r="M5880" t="s">
        <v>39562</v>
      </c>
      <c r="N5880" t="s">
        <v>41249</v>
      </c>
      <c r="O5880" t="s">
        <v>41250</v>
      </c>
      <c r="P5880">
        <v>0</v>
      </c>
      <c r="Q5880">
        <v>0</v>
      </c>
      <c r="R5880" t="s">
        <v>41256</v>
      </c>
      <c r="S5880" t="s">
        <v>41450</v>
      </c>
      <c r="T5880" t="s">
        <v>42738</v>
      </c>
      <c r="U5880" t="s">
        <v>47924</v>
      </c>
      <c r="W5880" t="s">
        <v>39562</v>
      </c>
      <c r="X5880" t="s">
        <v>41257</v>
      </c>
    </row>
    <row r="5881" spans="1:24">
      <c r="A5881">
        <f>HYPERLINK("https://www.philgeps.gov.ph/GEPSNONPILOT/Tender/SplashBidNoticeAbstractUI.aspx?menuIndex=3&amp;refID=7070868&amp;Result=3","7070868")</f>
        <v>0</v>
      </c>
      <c r="B5881" t="s">
        <v>667</v>
      </c>
      <c r="C5881" t="s">
        <v>8993</v>
      </c>
      <c r="D5881" t="s">
        <v>16630</v>
      </c>
      <c r="E5881" t="s">
        <v>21912</v>
      </c>
      <c r="F5881" t="s">
        <v>28669</v>
      </c>
      <c r="G5881" t="s">
        <v>28676</v>
      </c>
      <c r="H5881" t="s">
        <v>9998</v>
      </c>
      <c r="I5881" t="s">
        <v>3679</v>
      </c>
      <c r="J5881" t="s">
        <v>32545</v>
      </c>
      <c r="K5881" t="s">
        <v>37204</v>
      </c>
      <c r="M5881" t="s">
        <v>38170</v>
      </c>
      <c r="N5881" t="s">
        <v>41249</v>
      </c>
      <c r="O5881" t="s">
        <v>41250</v>
      </c>
      <c r="P5881">
        <v>0</v>
      </c>
      <c r="Q5881">
        <v>0</v>
      </c>
      <c r="R5881" t="s">
        <v>41256</v>
      </c>
      <c r="S5881" t="s">
        <v>41450</v>
      </c>
      <c r="T5881" t="s">
        <v>42754</v>
      </c>
      <c r="U5881" t="s">
        <v>48071</v>
      </c>
      <c r="W5881" t="s">
        <v>38170</v>
      </c>
      <c r="X5881" t="s">
        <v>41257</v>
      </c>
    </row>
    <row r="5882" spans="1:24">
      <c r="A5882">
        <f>HYPERLINK("https://www.philgeps.gov.ph/GEPSNONPILOT/Tender/SplashBidNoticeAbstractUI.aspx?menuIndex=3&amp;refID=7070867&amp;Result=3","7070867")</f>
        <v>0</v>
      </c>
      <c r="B5882" t="s">
        <v>1987</v>
      </c>
      <c r="C5882" t="s">
        <v>8994</v>
      </c>
      <c r="D5882" t="s">
        <v>16608</v>
      </c>
      <c r="E5882" t="s">
        <v>17204</v>
      </c>
      <c r="F5882" t="s">
        <v>28669</v>
      </c>
      <c r="G5882" t="s">
        <v>28675</v>
      </c>
      <c r="H5882" t="s">
        <v>9998</v>
      </c>
      <c r="I5882" t="s">
        <v>5286</v>
      </c>
      <c r="J5882" t="s">
        <v>32546</v>
      </c>
      <c r="K5882" t="s">
        <v>37216</v>
      </c>
      <c r="M5882" t="s">
        <v>39623</v>
      </c>
      <c r="N5882" t="s">
        <v>41249</v>
      </c>
      <c r="O5882" t="s">
        <v>41250</v>
      </c>
      <c r="P5882">
        <v>0</v>
      </c>
      <c r="Q5882">
        <v>5</v>
      </c>
      <c r="R5882" t="s">
        <v>41256</v>
      </c>
      <c r="S5882" t="s">
        <v>41450</v>
      </c>
      <c r="T5882" t="s">
        <v>42722</v>
      </c>
      <c r="U5882" t="s">
        <v>48072</v>
      </c>
      <c r="W5882" t="s">
        <v>39623</v>
      </c>
      <c r="X5882" t="s">
        <v>41257</v>
      </c>
    </row>
    <row r="5883" spans="1:24">
      <c r="A5883">
        <f>HYPERLINK("https://www.philgeps.gov.ph/GEPSNONPILOT/Tender/SplashBidNoticeAbstractUI.aspx?menuIndex=3&amp;refID=7070859&amp;Result=3","7070859")</f>
        <v>0</v>
      </c>
      <c r="B5883" t="s">
        <v>1987</v>
      </c>
      <c r="C5883" t="s">
        <v>8995</v>
      </c>
      <c r="D5883" t="s">
        <v>16608</v>
      </c>
      <c r="E5883" t="s">
        <v>19816</v>
      </c>
      <c r="F5883" t="s">
        <v>28669</v>
      </c>
      <c r="G5883" t="s">
        <v>28675</v>
      </c>
      <c r="H5883" t="s">
        <v>9998</v>
      </c>
      <c r="I5883" t="s">
        <v>5286</v>
      </c>
      <c r="J5883" t="s">
        <v>32547</v>
      </c>
      <c r="K5883" t="s">
        <v>37216</v>
      </c>
      <c r="M5883" t="s">
        <v>39623</v>
      </c>
      <c r="N5883" t="s">
        <v>41249</v>
      </c>
      <c r="O5883" t="s">
        <v>41250</v>
      </c>
      <c r="P5883">
        <v>0</v>
      </c>
      <c r="Q5883">
        <v>3</v>
      </c>
      <c r="R5883" t="s">
        <v>41256</v>
      </c>
      <c r="S5883" t="s">
        <v>41450</v>
      </c>
      <c r="T5883" t="s">
        <v>42711</v>
      </c>
      <c r="U5883" t="s">
        <v>48073</v>
      </c>
      <c r="W5883" t="s">
        <v>39623</v>
      </c>
      <c r="X5883" t="s">
        <v>41257</v>
      </c>
    </row>
    <row r="5884" spans="1:24">
      <c r="A5884">
        <f>HYPERLINK("https://www.philgeps.gov.ph/GEPSNONPILOT/Tender/SplashBidNoticeAbstractUI.aspx?menuIndex=3&amp;refID=7070857&amp;Result=3","7070857")</f>
        <v>0</v>
      </c>
      <c r="B5884" t="s">
        <v>1186</v>
      </c>
      <c r="C5884" t="s">
        <v>8996</v>
      </c>
      <c r="D5884" t="s">
        <v>16664</v>
      </c>
      <c r="E5884" t="s">
        <v>19317</v>
      </c>
      <c r="F5884" t="s">
        <v>28669</v>
      </c>
      <c r="G5884" t="s">
        <v>28675</v>
      </c>
      <c r="H5884" t="s">
        <v>9998</v>
      </c>
      <c r="I5884" t="s">
        <v>7352</v>
      </c>
      <c r="J5884" t="s">
        <v>32548</v>
      </c>
      <c r="K5884" t="s">
        <v>37210</v>
      </c>
      <c r="L5884" t="s">
        <v>1186</v>
      </c>
      <c r="M5884" t="s">
        <v>38726</v>
      </c>
      <c r="N5884" t="s">
        <v>41249</v>
      </c>
      <c r="O5884" t="s">
        <v>41250</v>
      </c>
      <c r="P5884">
        <v>0</v>
      </c>
      <c r="Q5884">
        <v>0</v>
      </c>
      <c r="R5884" t="s">
        <v>41256</v>
      </c>
      <c r="S5884" t="s">
        <v>41450</v>
      </c>
      <c r="T5884" t="s">
        <v>42659</v>
      </c>
      <c r="U5884" t="s">
        <v>48074</v>
      </c>
      <c r="W5884" t="s">
        <v>38726</v>
      </c>
      <c r="X5884" t="s">
        <v>41257</v>
      </c>
    </row>
    <row r="5885" spans="1:24">
      <c r="A5885">
        <f>HYPERLINK("https://www.philgeps.gov.ph/GEPSNONPILOT/Tender/SplashBidNoticeAbstractUI.aspx?menuIndex=3&amp;refID=7070709&amp;Result=3","7070709")</f>
        <v>0</v>
      </c>
      <c r="B5885" t="s">
        <v>1990</v>
      </c>
      <c r="C5885" t="s">
        <v>8997</v>
      </c>
      <c r="D5885" t="s">
        <v>16643</v>
      </c>
      <c r="E5885" t="s">
        <v>21913</v>
      </c>
      <c r="F5885" t="s">
        <v>28669</v>
      </c>
      <c r="G5885" t="s">
        <v>28676</v>
      </c>
      <c r="H5885" t="s">
        <v>9998</v>
      </c>
      <c r="I5885" t="s">
        <v>15140</v>
      </c>
      <c r="J5885" t="s">
        <v>29756</v>
      </c>
      <c r="K5885" t="s">
        <v>37205</v>
      </c>
      <c r="M5885" t="s">
        <v>39626</v>
      </c>
      <c r="N5885" t="s">
        <v>41249</v>
      </c>
      <c r="O5885" t="s">
        <v>41250</v>
      </c>
      <c r="P5885">
        <v>0</v>
      </c>
      <c r="Q5885">
        <v>0</v>
      </c>
      <c r="R5885" t="s">
        <v>41256</v>
      </c>
      <c r="S5885" t="s">
        <v>41450</v>
      </c>
      <c r="T5885" t="s">
        <v>42910</v>
      </c>
      <c r="U5885" t="s">
        <v>48075</v>
      </c>
      <c r="W5885" t="s">
        <v>39626</v>
      </c>
      <c r="X5885" t="s">
        <v>41257</v>
      </c>
    </row>
    <row r="5886" spans="1:24">
      <c r="A5886">
        <f>HYPERLINK("https://www.philgeps.gov.ph/GEPSNONPILOT/Tender/SplashBidNoticeAbstractUI.aspx?menuIndex=3&amp;refID=7070849&amp;Result=3","7070849")</f>
        <v>0</v>
      </c>
      <c r="B5886" t="s">
        <v>1522</v>
      </c>
      <c r="C5886" t="s">
        <v>8998</v>
      </c>
      <c r="D5886" t="s">
        <v>16686</v>
      </c>
      <c r="E5886" t="s">
        <v>21914</v>
      </c>
      <c r="F5886" t="s">
        <v>28669</v>
      </c>
      <c r="G5886" t="s">
        <v>28675</v>
      </c>
      <c r="H5886" t="s">
        <v>9998</v>
      </c>
      <c r="I5886" t="s">
        <v>3718</v>
      </c>
      <c r="J5886" t="s">
        <v>29225</v>
      </c>
      <c r="K5886" t="s">
        <v>37210</v>
      </c>
      <c r="M5886" t="s">
        <v>39573</v>
      </c>
      <c r="N5886" t="s">
        <v>41249</v>
      </c>
      <c r="O5886" t="s">
        <v>41250</v>
      </c>
      <c r="P5886">
        <v>0</v>
      </c>
      <c r="Q5886">
        <v>1</v>
      </c>
      <c r="R5886" t="s">
        <v>41256</v>
      </c>
      <c r="S5886" t="s">
        <v>41450</v>
      </c>
      <c r="T5886" t="s">
        <v>42663</v>
      </c>
      <c r="U5886" t="s">
        <v>48076</v>
      </c>
      <c r="W5886" t="s">
        <v>39573</v>
      </c>
      <c r="X5886" t="s">
        <v>41257</v>
      </c>
    </row>
    <row r="5887" spans="1:24">
      <c r="A5887">
        <f>HYPERLINK("https://www.philgeps.gov.ph/GEPSNONPILOT/Tender/SplashBidNoticeAbstractUI.aspx?menuIndex=3&amp;refID=7070848&amp;Result=3","7070848")</f>
        <v>0</v>
      </c>
      <c r="B5887" t="s">
        <v>1935</v>
      </c>
      <c r="C5887" t="s">
        <v>8999</v>
      </c>
      <c r="E5887" t="s">
        <v>21915</v>
      </c>
      <c r="F5887" t="s">
        <v>28669</v>
      </c>
      <c r="G5887" t="s">
        <v>28675</v>
      </c>
      <c r="H5887" t="s">
        <v>9998</v>
      </c>
      <c r="I5887" t="s">
        <v>28717</v>
      </c>
      <c r="J5887" t="s">
        <v>32549</v>
      </c>
      <c r="K5887" t="s">
        <v>37209</v>
      </c>
      <c r="M5887" t="s">
        <v>39562</v>
      </c>
      <c r="N5887" t="s">
        <v>41249</v>
      </c>
      <c r="O5887" t="s">
        <v>41250</v>
      </c>
      <c r="P5887">
        <v>0</v>
      </c>
      <c r="Q5887">
        <v>1</v>
      </c>
      <c r="R5887" t="s">
        <v>41256</v>
      </c>
      <c r="S5887" t="s">
        <v>41450</v>
      </c>
      <c r="T5887" t="s">
        <v>42738</v>
      </c>
      <c r="U5887" t="s">
        <v>47924</v>
      </c>
      <c r="W5887" t="s">
        <v>39562</v>
      </c>
      <c r="X5887" t="s">
        <v>41257</v>
      </c>
    </row>
    <row r="5888" spans="1:24">
      <c r="A5888">
        <f>HYPERLINK("https://www.philgeps.gov.ph/GEPSNONPILOT/Tender/SplashBidNoticeAbstractUI.aspx?menuIndex=3&amp;refID=7070837&amp;Result=3","7070837")</f>
        <v>0</v>
      </c>
      <c r="B5888" t="s">
        <v>1826</v>
      </c>
      <c r="C5888" t="s">
        <v>9000</v>
      </c>
      <c r="D5888" t="s">
        <v>16654</v>
      </c>
      <c r="E5888" t="s">
        <v>18884</v>
      </c>
      <c r="F5888" t="s">
        <v>28669</v>
      </c>
      <c r="G5888" t="s">
        <v>28675</v>
      </c>
      <c r="H5888" t="s">
        <v>28686</v>
      </c>
      <c r="I5888" t="s">
        <v>28696</v>
      </c>
      <c r="J5888" t="s">
        <v>28881</v>
      </c>
      <c r="K5888" t="s">
        <v>37215</v>
      </c>
      <c r="M5888" t="s">
        <v>39437</v>
      </c>
      <c r="N5888" t="s">
        <v>41249</v>
      </c>
      <c r="O5888" t="s">
        <v>41250</v>
      </c>
      <c r="P5888">
        <v>0</v>
      </c>
      <c r="Q5888">
        <v>4</v>
      </c>
      <c r="R5888" t="s">
        <v>41256</v>
      </c>
      <c r="S5888" t="s">
        <v>41450</v>
      </c>
      <c r="T5888" t="s">
        <v>42929</v>
      </c>
      <c r="U5888" t="s">
        <v>48077</v>
      </c>
      <c r="V5888" t="s">
        <v>54919</v>
      </c>
      <c r="W5888" t="s">
        <v>39437</v>
      </c>
      <c r="X5888" t="s">
        <v>41257</v>
      </c>
    </row>
    <row r="5889" spans="1:24">
      <c r="A5889">
        <f>HYPERLINK("https://www.philgeps.gov.ph/GEPSNONPILOT/Tender/SplashBidNoticeAbstractUI.aspx?menuIndex=3&amp;refID=7070862&amp;Result=3","7070862")</f>
        <v>0</v>
      </c>
      <c r="B5889" t="s">
        <v>947</v>
      </c>
      <c r="C5889" t="s">
        <v>9001</v>
      </c>
      <c r="D5889" t="s">
        <v>16631</v>
      </c>
      <c r="E5889" t="s">
        <v>21916</v>
      </c>
      <c r="F5889" t="s">
        <v>28669</v>
      </c>
      <c r="G5889" t="s">
        <v>28677</v>
      </c>
      <c r="H5889" t="s">
        <v>9998</v>
      </c>
      <c r="I5889" t="s">
        <v>5213</v>
      </c>
      <c r="J5889" t="s">
        <v>29191</v>
      </c>
      <c r="K5889" t="s">
        <v>37206</v>
      </c>
      <c r="M5889" t="s">
        <v>38471</v>
      </c>
      <c r="N5889" t="s">
        <v>41249</v>
      </c>
      <c r="O5889" t="s">
        <v>41250</v>
      </c>
      <c r="P5889">
        <v>0</v>
      </c>
      <c r="Q5889">
        <v>4</v>
      </c>
      <c r="R5889" t="s">
        <v>41256</v>
      </c>
      <c r="S5889" t="s">
        <v>41450</v>
      </c>
      <c r="T5889" t="s">
        <v>42736</v>
      </c>
      <c r="U5889" t="s">
        <v>48078</v>
      </c>
      <c r="V5889" t="s">
        <v>54917</v>
      </c>
      <c r="W5889" t="s">
        <v>38471</v>
      </c>
      <c r="X5889" t="s">
        <v>41257</v>
      </c>
    </row>
    <row r="5890" spans="1:24">
      <c r="A5890">
        <f>HYPERLINK("https://www.philgeps.gov.ph/GEPSNONPILOT/Tender/SplashBidNoticeAbstractUI.aspx?menuIndex=3&amp;refID=7070824&amp;Result=3","7070824")</f>
        <v>0</v>
      </c>
      <c r="B5890" t="s">
        <v>1991</v>
      </c>
      <c r="C5890" t="s">
        <v>9002</v>
      </c>
      <c r="D5890" t="s">
        <v>16642</v>
      </c>
      <c r="E5890" t="s">
        <v>21917</v>
      </c>
      <c r="F5890" t="s">
        <v>28669</v>
      </c>
      <c r="G5890" t="s">
        <v>28676</v>
      </c>
      <c r="H5890" t="s">
        <v>9998</v>
      </c>
      <c r="I5890" t="s">
        <v>28698</v>
      </c>
      <c r="J5890" t="s">
        <v>29040</v>
      </c>
      <c r="K5890" t="s">
        <v>37243</v>
      </c>
      <c r="M5890" t="s">
        <v>39627</v>
      </c>
      <c r="N5890" t="s">
        <v>41249</v>
      </c>
      <c r="O5890" t="s">
        <v>41250</v>
      </c>
      <c r="P5890">
        <v>0</v>
      </c>
      <c r="Q5890">
        <v>0</v>
      </c>
      <c r="R5890" t="s">
        <v>41256</v>
      </c>
      <c r="S5890" t="s">
        <v>41450</v>
      </c>
      <c r="T5890" t="s">
        <v>42771</v>
      </c>
      <c r="U5890" t="s">
        <v>48079</v>
      </c>
      <c r="W5890" t="s">
        <v>39627</v>
      </c>
      <c r="X5890" t="s">
        <v>41257</v>
      </c>
    </row>
    <row r="5891" spans="1:24">
      <c r="A5891">
        <f>HYPERLINK("https://www.philgeps.gov.ph/GEPSNONPILOT/Tender/SplashBidNoticeAbstractUI.aspx?menuIndex=3&amp;refID=7070823&amp;Result=3","7070823")</f>
        <v>0</v>
      </c>
      <c r="B5891" t="s">
        <v>1522</v>
      </c>
      <c r="C5891" t="s">
        <v>9003</v>
      </c>
      <c r="D5891" t="s">
        <v>16686</v>
      </c>
      <c r="E5891" t="s">
        <v>21918</v>
      </c>
      <c r="F5891" t="s">
        <v>28669</v>
      </c>
      <c r="G5891" t="s">
        <v>28675</v>
      </c>
      <c r="H5891" t="s">
        <v>9998</v>
      </c>
      <c r="I5891" t="s">
        <v>28688</v>
      </c>
      <c r="J5891" t="s">
        <v>29110</v>
      </c>
      <c r="K5891" t="s">
        <v>37210</v>
      </c>
      <c r="M5891" t="s">
        <v>39573</v>
      </c>
      <c r="N5891" t="s">
        <v>41249</v>
      </c>
      <c r="O5891" t="s">
        <v>41250</v>
      </c>
      <c r="P5891">
        <v>0</v>
      </c>
      <c r="Q5891">
        <v>1</v>
      </c>
      <c r="R5891" t="s">
        <v>41256</v>
      </c>
      <c r="S5891" t="s">
        <v>41450</v>
      </c>
      <c r="T5891" t="s">
        <v>42663</v>
      </c>
      <c r="U5891" t="s">
        <v>48080</v>
      </c>
      <c r="W5891" t="s">
        <v>39573</v>
      </c>
      <c r="X5891" t="s">
        <v>41257</v>
      </c>
    </row>
    <row r="5892" spans="1:24">
      <c r="A5892">
        <f>HYPERLINK("https://www.philgeps.gov.ph/GEPSNONPILOT/Tender/SplashBidNoticeAbstractUI.aspx?menuIndex=3&amp;refID=7070703&amp;Result=3","7070703")</f>
        <v>0</v>
      </c>
      <c r="B5892" t="s">
        <v>1935</v>
      </c>
      <c r="C5892" t="s">
        <v>9004</v>
      </c>
      <c r="E5892" t="s">
        <v>21919</v>
      </c>
      <c r="F5892" t="s">
        <v>28669</v>
      </c>
      <c r="G5892" t="s">
        <v>28675</v>
      </c>
      <c r="H5892" t="s">
        <v>9998</v>
      </c>
      <c r="I5892" t="s">
        <v>28735</v>
      </c>
      <c r="J5892" t="s">
        <v>32550</v>
      </c>
      <c r="K5892" t="s">
        <v>37209</v>
      </c>
      <c r="M5892" t="s">
        <v>39562</v>
      </c>
      <c r="N5892" t="s">
        <v>41249</v>
      </c>
      <c r="O5892" t="s">
        <v>41250</v>
      </c>
      <c r="P5892">
        <v>0</v>
      </c>
      <c r="Q5892">
        <v>1</v>
      </c>
      <c r="R5892" t="s">
        <v>41256</v>
      </c>
      <c r="S5892" t="s">
        <v>41450</v>
      </c>
      <c r="T5892" t="s">
        <v>42738</v>
      </c>
      <c r="U5892" t="s">
        <v>47924</v>
      </c>
      <c r="W5892" t="s">
        <v>39562</v>
      </c>
      <c r="X5892" t="s">
        <v>41257</v>
      </c>
    </row>
    <row r="5893" spans="1:24">
      <c r="A5893">
        <f>HYPERLINK("https://www.philgeps.gov.ph/GEPSNONPILOT/Tender/SplashBidNoticeAbstractUI.aspx?menuIndex=3&amp;refID=7070814&amp;Result=3","7070814")</f>
        <v>0</v>
      </c>
      <c r="B5893" t="s">
        <v>947</v>
      </c>
      <c r="C5893" t="s">
        <v>9005</v>
      </c>
      <c r="D5893" t="s">
        <v>16631</v>
      </c>
      <c r="E5893" t="s">
        <v>21920</v>
      </c>
      <c r="F5893" t="s">
        <v>28669</v>
      </c>
      <c r="G5893" t="s">
        <v>28676</v>
      </c>
      <c r="H5893" t="s">
        <v>28684</v>
      </c>
      <c r="I5893" t="s">
        <v>28725</v>
      </c>
      <c r="J5893" t="s">
        <v>28879</v>
      </c>
      <c r="K5893" t="s">
        <v>37220</v>
      </c>
      <c r="M5893" t="s">
        <v>38471</v>
      </c>
      <c r="N5893" t="s">
        <v>41249</v>
      </c>
      <c r="O5893" t="s">
        <v>41250</v>
      </c>
      <c r="P5893">
        <v>0</v>
      </c>
      <c r="Q5893">
        <v>2</v>
      </c>
      <c r="R5893" t="s">
        <v>41256</v>
      </c>
      <c r="S5893" t="s">
        <v>41450</v>
      </c>
      <c r="T5893" t="s">
        <v>42736</v>
      </c>
      <c r="U5893" t="s">
        <v>48081</v>
      </c>
      <c r="V5893" t="s">
        <v>54917</v>
      </c>
      <c r="W5893" t="s">
        <v>38471</v>
      </c>
      <c r="X5893" t="s">
        <v>41257</v>
      </c>
    </row>
    <row r="5894" spans="1:24">
      <c r="A5894">
        <f>HYPERLINK("https://www.philgeps.gov.ph/GEPSNONPILOT/Tender/SplashBidNoticeAbstractUI.aspx?menuIndex=3&amp;refID=7070839&amp;Result=3","7070839")</f>
        <v>0</v>
      </c>
      <c r="B5894" t="s">
        <v>1068</v>
      </c>
      <c r="C5894" t="s">
        <v>9006</v>
      </c>
      <c r="D5894" t="s">
        <v>16607</v>
      </c>
      <c r="E5894" t="s">
        <v>21921</v>
      </c>
      <c r="F5894" t="s">
        <v>28669</v>
      </c>
      <c r="G5894" t="s">
        <v>28675</v>
      </c>
      <c r="H5894" t="s">
        <v>28686</v>
      </c>
      <c r="I5894" t="s">
        <v>28689</v>
      </c>
      <c r="J5894" t="s">
        <v>28912</v>
      </c>
      <c r="K5894" t="s">
        <v>37204</v>
      </c>
      <c r="M5894" t="s">
        <v>38600</v>
      </c>
      <c r="N5894" t="s">
        <v>41249</v>
      </c>
      <c r="O5894" t="s">
        <v>41250</v>
      </c>
      <c r="P5894">
        <v>0</v>
      </c>
      <c r="Q5894">
        <v>3</v>
      </c>
      <c r="R5894" t="s">
        <v>41256</v>
      </c>
      <c r="S5894" t="s">
        <v>41450</v>
      </c>
      <c r="T5894" t="s">
        <v>42673</v>
      </c>
      <c r="U5894" t="s">
        <v>48082</v>
      </c>
      <c r="V5894" t="s">
        <v>54920</v>
      </c>
      <c r="W5894" t="s">
        <v>38600</v>
      </c>
      <c r="X5894" t="s">
        <v>41257</v>
      </c>
    </row>
    <row r="5895" spans="1:24">
      <c r="A5895">
        <f>HYPERLINK("https://www.philgeps.gov.ph/GEPSNONPILOT/Tender/SplashBidNoticeAbstractUI.aspx?menuIndex=3&amp;refID=7070723&amp;Result=3","7070723")</f>
        <v>0</v>
      </c>
      <c r="B5895" t="s">
        <v>1962</v>
      </c>
      <c r="C5895" t="s">
        <v>9007</v>
      </c>
      <c r="D5895" t="s">
        <v>16661</v>
      </c>
      <c r="E5895" t="s">
        <v>9007</v>
      </c>
      <c r="F5895" t="s">
        <v>28669</v>
      </c>
      <c r="G5895" t="s">
        <v>28676</v>
      </c>
      <c r="H5895" t="s">
        <v>9998</v>
      </c>
      <c r="I5895" t="s">
        <v>28704</v>
      </c>
      <c r="J5895" t="s">
        <v>32551</v>
      </c>
      <c r="K5895" t="s">
        <v>37220</v>
      </c>
      <c r="M5895" t="s">
        <v>39595</v>
      </c>
      <c r="N5895" t="s">
        <v>41249</v>
      </c>
      <c r="O5895" t="s">
        <v>41250</v>
      </c>
      <c r="P5895">
        <v>0</v>
      </c>
      <c r="Q5895">
        <v>0</v>
      </c>
      <c r="R5895" t="s">
        <v>41256</v>
      </c>
      <c r="S5895" t="s">
        <v>41450</v>
      </c>
      <c r="T5895" t="s">
        <v>42711</v>
      </c>
      <c r="U5895" t="s">
        <v>47986</v>
      </c>
      <c r="W5895" t="s">
        <v>39595</v>
      </c>
      <c r="X5895" t="s">
        <v>41257</v>
      </c>
    </row>
    <row r="5896" spans="1:24">
      <c r="A5896">
        <f>HYPERLINK("https://www.philgeps.gov.ph/GEPSNONPILOT/Tender/SplashBidNoticeAbstractUI.aspx?menuIndex=3&amp;refID=7070924&amp;Result=3","7070924")</f>
        <v>0</v>
      </c>
      <c r="B5896" t="s">
        <v>1992</v>
      </c>
      <c r="C5896" t="s">
        <v>9008</v>
      </c>
      <c r="D5896" t="s">
        <v>16643</v>
      </c>
      <c r="E5896" t="s">
        <v>20150</v>
      </c>
      <c r="F5896" t="s">
        <v>28669</v>
      </c>
      <c r="G5896" t="s">
        <v>28677</v>
      </c>
      <c r="H5896" t="s">
        <v>9998</v>
      </c>
      <c r="I5896" t="s">
        <v>6128</v>
      </c>
      <c r="J5896" t="s">
        <v>32552</v>
      </c>
      <c r="K5896" t="s">
        <v>37243</v>
      </c>
      <c r="M5896" t="s">
        <v>39628</v>
      </c>
      <c r="N5896" t="s">
        <v>41249</v>
      </c>
      <c r="O5896" t="s">
        <v>41250</v>
      </c>
      <c r="P5896">
        <v>0</v>
      </c>
      <c r="Q5896">
        <v>2</v>
      </c>
      <c r="R5896" t="s">
        <v>41256</v>
      </c>
      <c r="S5896" t="s">
        <v>41450</v>
      </c>
      <c r="T5896" t="s">
        <v>42913</v>
      </c>
      <c r="U5896" t="s">
        <v>48083</v>
      </c>
      <c r="V5896" t="s">
        <v>54921</v>
      </c>
      <c r="W5896" t="s">
        <v>39628</v>
      </c>
      <c r="X5896" t="s">
        <v>41257</v>
      </c>
    </row>
    <row r="5897" spans="1:24">
      <c r="A5897">
        <f>HYPERLINK("https://www.philgeps.gov.ph/GEPSNONPILOT/Tender/SplashBidNoticeAbstractUI.aspx?menuIndex=3&amp;refID=7070834&amp;Result=3","7070834")</f>
        <v>0</v>
      </c>
      <c r="B5897" t="s">
        <v>1993</v>
      </c>
      <c r="C5897" t="s">
        <v>9009</v>
      </c>
      <c r="D5897" t="s">
        <v>16626</v>
      </c>
      <c r="E5897" t="s">
        <v>17778</v>
      </c>
      <c r="F5897" t="s">
        <v>28669</v>
      </c>
      <c r="G5897" t="s">
        <v>28675</v>
      </c>
      <c r="H5897" t="s">
        <v>9998</v>
      </c>
      <c r="I5897" t="s">
        <v>6128</v>
      </c>
      <c r="J5897" t="s">
        <v>32553</v>
      </c>
      <c r="K5897" t="s">
        <v>37234</v>
      </c>
      <c r="M5897" t="s">
        <v>39629</v>
      </c>
      <c r="N5897" t="s">
        <v>41249</v>
      </c>
      <c r="O5897" t="s">
        <v>41250</v>
      </c>
      <c r="P5897">
        <v>0</v>
      </c>
      <c r="Q5897">
        <v>0</v>
      </c>
      <c r="R5897" t="s">
        <v>41256</v>
      </c>
      <c r="S5897" t="s">
        <v>41450</v>
      </c>
      <c r="T5897" t="s">
        <v>42777</v>
      </c>
      <c r="U5897" t="s">
        <v>48084</v>
      </c>
      <c r="W5897" t="s">
        <v>39629</v>
      </c>
      <c r="X5897" t="s">
        <v>41257</v>
      </c>
    </row>
    <row r="5898" spans="1:24">
      <c r="A5898">
        <f>HYPERLINK("https://www.philgeps.gov.ph/GEPSNONPILOT/Tender/SplashBidNoticeAbstractUI.aspx?menuIndex=3&amp;refID=7070933&amp;Result=3","7070933")</f>
        <v>0</v>
      </c>
      <c r="B5898" t="s">
        <v>1994</v>
      </c>
      <c r="C5898" t="s">
        <v>9010</v>
      </c>
      <c r="D5898" t="s">
        <v>16615</v>
      </c>
      <c r="E5898" t="s">
        <v>21922</v>
      </c>
      <c r="F5898" t="s">
        <v>28669</v>
      </c>
      <c r="G5898" t="s">
        <v>28675</v>
      </c>
      <c r="H5898" t="s">
        <v>9998</v>
      </c>
      <c r="I5898" t="s">
        <v>28694</v>
      </c>
      <c r="J5898" t="s">
        <v>32554</v>
      </c>
      <c r="K5898" t="s">
        <v>37206</v>
      </c>
      <c r="M5898" t="s">
        <v>39630</v>
      </c>
      <c r="N5898" t="s">
        <v>41249</v>
      </c>
      <c r="O5898" t="s">
        <v>41250</v>
      </c>
      <c r="P5898">
        <v>0</v>
      </c>
      <c r="Q5898">
        <v>0</v>
      </c>
      <c r="R5898" t="s">
        <v>41256</v>
      </c>
      <c r="S5898" t="s">
        <v>41450</v>
      </c>
      <c r="T5898" t="s">
        <v>42717</v>
      </c>
      <c r="U5898" t="s">
        <v>48085</v>
      </c>
      <c r="V5898" t="s">
        <v>54922</v>
      </c>
      <c r="W5898" t="s">
        <v>39630</v>
      </c>
      <c r="X5898" t="s">
        <v>41257</v>
      </c>
    </row>
    <row r="5899" spans="1:24">
      <c r="A5899">
        <f>HYPERLINK("https://www.philgeps.gov.ph/GEPSNONPILOT/Tender/SplashBidNoticeAbstractUI.aspx?menuIndex=3&amp;refID=7070719&amp;Result=3","7070719")</f>
        <v>0</v>
      </c>
      <c r="B5899" t="s">
        <v>1984</v>
      </c>
      <c r="C5899" t="s">
        <v>9011</v>
      </c>
      <c r="D5899" t="s">
        <v>16640</v>
      </c>
      <c r="E5899" t="s">
        <v>21923</v>
      </c>
      <c r="F5899" t="s">
        <v>28669</v>
      </c>
      <c r="G5899" t="s">
        <v>28677</v>
      </c>
      <c r="H5899" t="s">
        <v>9998</v>
      </c>
      <c r="I5899" t="s">
        <v>28697</v>
      </c>
      <c r="J5899" t="s">
        <v>28914</v>
      </c>
      <c r="K5899" t="s">
        <v>37205</v>
      </c>
      <c r="M5899" t="s">
        <v>39619</v>
      </c>
      <c r="N5899" t="s">
        <v>41249</v>
      </c>
      <c r="O5899" t="s">
        <v>41250</v>
      </c>
      <c r="P5899">
        <v>0</v>
      </c>
      <c r="Q5899">
        <v>11</v>
      </c>
      <c r="R5899" t="s">
        <v>41256</v>
      </c>
      <c r="S5899" t="s">
        <v>41450</v>
      </c>
      <c r="T5899" t="s">
        <v>42743</v>
      </c>
      <c r="U5899" t="s">
        <v>48086</v>
      </c>
      <c r="W5899" t="s">
        <v>39619</v>
      </c>
      <c r="X5899" t="s">
        <v>41257</v>
      </c>
    </row>
    <row r="5900" spans="1:24">
      <c r="A5900">
        <f>HYPERLINK("https://www.philgeps.gov.ph/GEPSNONPILOT/Tender/SplashBidNoticeAbstractUI.aspx?menuIndex=3&amp;refID=7070818&amp;Result=3","7070818")</f>
        <v>0</v>
      </c>
      <c r="B5900" t="s">
        <v>1995</v>
      </c>
      <c r="C5900" t="s">
        <v>9012</v>
      </c>
      <c r="D5900" t="s">
        <v>16626</v>
      </c>
      <c r="E5900" t="s">
        <v>21924</v>
      </c>
      <c r="F5900" t="s">
        <v>28669</v>
      </c>
      <c r="G5900" t="s">
        <v>28675</v>
      </c>
      <c r="H5900" t="s">
        <v>28686</v>
      </c>
      <c r="I5900" t="s">
        <v>28689</v>
      </c>
      <c r="J5900" t="s">
        <v>30060</v>
      </c>
      <c r="K5900" t="s">
        <v>37215</v>
      </c>
      <c r="M5900" t="s">
        <v>39631</v>
      </c>
      <c r="N5900" t="s">
        <v>41249</v>
      </c>
      <c r="O5900" t="s">
        <v>41250</v>
      </c>
      <c r="P5900">
        <v>0</v>
      </c>
      <c r="Q5900">
        <v>0</v>
      </c>
      <c r="R5900" t="s">
        <v>41256</v>
      </c>
      <c r="S5900" t="s">
        <v>41450</v>
      </c>
      <c r="T5900" t="s">
        <v>42662</v>
      </c>
      <c r="U5900" t="s">
        <v>48087</v>
      </c>
      <c r="W5900" t="s">
        <v>39631</v>
      </c>
      <c r="X5900" t="s">
        <v>41257</v>
      </c>
    </row>
    <row r="5901" spans="1:24">
      <c r="A5901">
        <f>HYPERLINK("https://www.philgeps.gov.ph/GEPSNONPILOT/Tender/SplashBidNoticeAbstractUI.aspx?menuIndex=3&amp;refID=7070291&amp;Result=3","7070291")</f>
        <v>0</v>
      </c>
      <c r="B5901" t="s">
        <v>574</v>
      </c>
      <c r="C5901" t="s">
        <v>9013</v>
      </c>
      <c r="D5901" t="s">
        <v>16642</v>
      </c>
      <c r="E5901" t="s">
        <v>21925</v>
      </c>
      <c r="F5901" t="s">
        <v>28669</v>
      </c>
      <c r="G5901" t="s">
        <v>28679</v>
      </c>
      <c r="H5901" t="s">
        <v>28686</v>
      </c>
      <c r="I5901" t="s">
        <v>28689</v>
      </c>
      <c r="J5901" t="s">
        <v>32555</v>
      </c>
      <c r="K5901" t="s">
        <v>37213</v>
      </c>
      <c r="M5901" t="s">
        <v>39616</v>
      </c>
      <c r="N5901" t="s">
        <v>41249</v>
      </c>
      <c r="O5901" t="s">
        <v>41250</v>
      </c>
      <c r="P5901">
        <v>0</v>
      </c>
      <c r="Q5901">
        <v>1</v>
      </c>
      <c r="R5901" t="s">
        <v>41256</v>
      </c>
      <c r="S5901" t="s">
        <v>41450</v>
      </c>
      <c r="T5901" t="s">
        <v>42679</v>
      </c>
      <c r="U5901" t="s">
        <v>48088</v>
      </c>
      <c r="W5901" t="s">
        <v>39616</v>
      </c>
      <c r="X5901" t="s">
        <v>41257</v>
      </c>
    </row>
    <row r="5902" spans="1:24">
      <c r="A5902">
        <f>HYPERLINK("https://www.philgeps.gov.ph/GEPSNONPILOT/Tender/SplashBidNoticeAbstractUI.aspx?menuIndex=3&amp;refID=7070806&amp;Result=3","7070806")</f>
        <v>0</v>
      </c>
      <c r="B5902" t="s">
        <v>299</v>
      </c>
      <c r="C5902" t="s">
        <v>9014</v>
      </c>
      <c r="D5902" t="s">
        <v>16639</v>
      </c>
      <c r="E5902" t="s">
        <v>21926</v>
      </c>
      <c r="F5902" t="s">
        <v>28669</v>
      </c>
      <c r="G5902" t="s">
        <v>28675</v>
      </c>
      <c r="H5902" t="s">
        <v>9998</v>
      </c>
      <c r="I5902" t="s">
        <v>28687</v>
      </c>
      <c r="J5902" t="s">
        <v>29003</v>
      </c>
      <c r="K5902" t="s">
        <v>37221</v>
      </c>
      <c r="M5902" t="s">
        <v>37778</v>
      </c>
      <c r="N5902" t="s">
        <v>41249</v>
      </c>
      <c r="O5902" t="s">
        <v>41250</v>
      </c>
      <c r="P5902">
        <v>0</v>
      </c>
      <c r="Q5902">
        <v>3</v>
      </c>
      <c r="R5902" t="s">
        <v>41256</v>
      </c>
      <c r="S5902" t="s">
        <v>41450</v>
      </c>
      <c r="T5902" t="s">
        <v>43018</v>
      </c>
      <c r="U5902" t="s">
        <v>48089</v>
      </c>
      <c r="W5902" t="s">
        <v>37778</v>
      </c>
      <c r="X5902" t="s">
        <v>41257</v>
      </c>
    </row>
    <row r="5903" spans="1:24">
      <c r="A5903">
        <f>HYPERLINK("https://www.philgeps.gov.ph/GEPSNONPILOT/Tender/SplashBidNoticeAbstractUI.aspx?menuIndex=3&amp;refID=7070902&amp;Result=3","7070902")</f>
        <v>0</v>
      </c>
      <c r="B5903" t="s">
        <v>1996</v>
      </c>
      <c r="C5903" t="s">
        <v>9015</v>
      </c>
      <c r="E5903" t="s">
        <v>21568</v>
      </c>
      <c r="F5903" t="s">
        <v>28669</v>
      </c>
      <c r="G5903" t="s">
        <v>28675</v>
      </c>
      <c r="H5903" t="s">
        <v>28686</v>
      </c>
      <c r="I5903" t="s">
        <v>28689</v>
      </c>
      <c r="J5903" t="s">
        <v>28878</v>
      </c>
      <c r="K5903" t="s">
        <v>37209</v>
      </c>
      <c r="M5903" t="s">
        <v>39632</v>
      </c>
      <c r="N5903" t="s">
        <v>41249</v>
      </c>
      <c r="O5903" t="s">
        <v>41250</v>
      </c>
      <c r="P5903">
        <v>0</v>
      </c>
      <c r="Q5903">
        <v>0</v>
      </c>
      <c r="R5903" t="s">
        <v>41256</v>
      </c>
      <c r="S5903" t="s">
        <v>41450</v>
      </c>
      <c r="T5903" t="s">
        <v>42703</v>
      </c>
      <c r="U5903" t="s">
        <v>48090</v>
      </c>
      <c r="W5903" t="s">
        <v>39632</v>
      </c>
      <c r="X5903" t="s">
        <v>41257</v>
      </c>
    </row>
    <row r="5904" spans="1:24">
      <c r="A5904">
        <f>HYPERLINK("https://www.philgeps.gov.ph/GEPSNONPILOT/Tender/SplashBidNoticeAbstractUI.aspx?menuIndex=3&amp;refID=7070894&amp;Result=3","7070894")</f>
        <v>0</v>
      </c>
      <c r="B5904" t="s">
        <v>1947</v>
      </c>
      <c r="C5904" t="s">
        <v>9016</v>
      </c>
      <c r="D5904" t="s">
        <v>16626</v>
      </c>
      <c r="E5904" t="s">
        <v>21927</v>
      </c>
      <c r="F5904" t="s">
        <v>28669</v>
      </c>
      <c r="G5904" t="s">
        <v>28676</v>
      </c>
      <c r="H5904" t="s">
        <v>9998</v>
      </c>
      <c r="I5904" t="s">
        <v>3718</v>
      </c>
      <c r="J5904" t="s">
        <v>28826</v>
      </c>
      <c r="K5904" t="s">
        <v>37206</v>
      </c>
      <c r="M5904" t="s">
        <v>39577</v>
      </c>
      <c r="N5904" t="s">
        <v>41249</v>
      </c>
      <c r="O5904" t="s">
        <v>41250</v>
      </c>
      <c r="P5904">
        <v>0</v>
      </c>
      <c r="Q5904">
        <v>1</v>
      </c>
      <c r="R5904" t="s">
        <v>41256</v>
      </c>
      <c r="S5904" t="s">
        <v>41450</v>
      </c>
      <c r="T5904" t="s">
        <v>42675</v>
      </c>
      <c r="U5904" t="s">
        <v>48091</v>
      </c>
      <c r="W5904" t="s">
        <v>39577</v>
      </c>
      <c r="X5904" t="s">
        <v>41257</v>
      </c>
    </row>
    <row r="5905" spans="1:24">
      <c r="A5905">
        <f>HYPERLINK("https://www.philgeps.gov.ph/GEPSNONPILOT/Tender/SplashBidNoticeAbstractUI.aspx?menuIndex=3&amp;refID=7070929&amp;Result=3","7070929")</f>
        <v>0</v>
      </c>
      <c r="B5905" t="s">
        <v>267</v>
      </c>
      <c r="C5905" t="s">
        <v>9017</v>
      </c>
      <c r="D5905" t="s">
        <v>16679</v>
      </c>
      <c r="E5905" t="s">
        <v>21928</v>
      </c>
      <c r="F5905" t="s">
        <v>28669</v>
      </c>
      <c r="G5905" t="s">
        <v>28675</v>
      </c>
      <c r="H5905" t="s">
        <v>9998</v>
      </c>
      <c r="I5905" t="s">
        <v>6128</v>
      </c>
      <c r="J5905" t="s">
        <v>32556</v>
      </c>
      <c r="K5905" t="s">
        <v>37206</v>
      </c>
      <c r="M5905" t="s">
        <v>38133</v>
      </c>
      <c r="N5905" t="s">
        <v>41249</v>
      </c>
      <c r="O5905" t="s">
        <v>41250</v>
      </c>
      <c r="P5905">
        <v>0</v>
      </c>
      <c r="Q5905">
        <v>6</v>
      </c>
      <c r="R5905" t="s">
        <v>41256</v>
      </c>
      <c r="S5905" t="s">
        <v>41450</v>
      </c>
      <c r="T5905" t="s">
        <v>42818</v>
      </c>
      <c r="U5905" t="s">
        <v>48032</v>
      </c>
      <c r="V5905" t="s">
        <v>54916</v>
      </c>
      <c r="W5905" t="s">
        <v>55923</v>
      </c>
      <c r="X5905" t="s">
        <v>41257</v>
      </c>
    </row>
    <row r="5906" spans="1:24">
      <c r="A5906">
        <f>HYPERLINK("https://www.philgeps.gov.ph/GEPSNONPILOT/Tender/SplashBidNoticeAbstractUI.aspx?menuIndex=3&amp;refID=7070892&amp;Result=3","7070892")</f>
        <v>0</v>
      </c>
      <c r="B5906" t="s">
        <v>1522</v>
      </c>
      <c r="C5906" t="s">
        <v>9018</v>
      </c>
      <c r="D5906" t="s">
        <v>16686</v>
      </c>
      <c r="E5906" t="s">
        <v>21929</v>
      </c>
      <c r="F5906" t="s">
        <v>28669</v>
      </c>
      <c r="G5906" t="s">
        <v>28675</v>
      </c>
      <c r="H5906" t="s">
        <v>9998</v>
      </c>
      <c r="I5906" t="s">
        <v>3718</v>
      </c>
      <c r="J5906" t="s">
        <v>29189</v>
      </c>
      <c r="K5906" t="s">
        <v>37210</v>
      </c>
      <c r="M5906" t="s">
        <v>39573</v>
      </c>
      <c r="N5906" t="s">
        <v>41249</v>
      </c>
      <c r="O5906" t="s">
        <v>41250</v>
      </c>
      <c r="P5906">
        <v>0</v>
      </c>
      <c r="Q5906">
        <v>2</v>
      </c>
      <c r="R5906" t="s">
        <v>41256</v>
      </c>
      <c r="S5906" t="s">
        <v>41450</v>
      </c>
      <c r="T5906" t="s">
        <v>42663</v>
      </c>
      <c r="U5906" t="s">
        <v>48092</v>
      </c>
      <c r="W5906" t="s">
        <v>39573</v>
      </c>
      <c r="X5906" t="s">
        <v>41257</v>
      </c>
    </row>
    <row r="5907" spans="1:24">
      <c r="A5907">
        <f>HYPERLINK("https://www.philgeps.gov.ph/GEPSNONPILOT/Tender/SplashBidNoticeAbstractUI.aspx?menuIndex=3&amp;refID=7070890&amp;Result=3","7070890")</f>
        <v>0</v>
      </c>
      <c r="B5907" t="s">
        <v>1950</v>
      </c>
      <c r="C5907" t="s">
        <v>9019</v>
      </c>
      <c r="D5907" t="s">
        <v>16608</v>
      </c>
      <c r="E5907" t="s">
        <v>21930</v>
      </c>
      <c r="F5907" t="s">
        <v>28669</v>
      </c>
      <c r="G5907" t="s">
        <v>28676</v>
      </c>
      <c r="H5907" t="s">
        <v>9998</v>
      </c>
      <c r="I5907" t="s">
        <v>5213</v>
      </c>
      <c r="J5907" t="s">
        <v>30589</v>
      </c>
      <c r="K5907" t="s">
        <v>37204</v>
      </c>
      <c r="M5907" t="s">
        <v>39633</v>
      </c>
      <c r="N5907" t="s">
        <v>41249</v>
      </c>
      <c r="O5907" t="s">
        <v>41250</v>
      </c>
      <c r="P5907">
        <v>0</v>
      </c>
      <c r="Q5907">
        <v>2</v>
      </c>
      <c r="R5907" t="s">
        <v>41256</v>
      </c>
      <c r="S5907" t="s">
        <v>41450</v>
      </c>
      <c r="T5907" t="s">
        <v>42665</v>
      </c>
      <c r="U5907" t="s">
        <v>48093</v>
      </c>
      <c r="W5907" t="s">
        <v>39633</v>
      </c>
      <c r="X5907" t="s">
        <v>41257</v>
      </c>
    </row>
    <row r="5908" spans="1:24">
      <c r="A5908">
        <f>HYPERLINK("https://www.philgeps.gov.ph/GEPSNONPILOT/Tender/SplashBidNoticeAbstractUI.aspx?menuIndex=3&amp;refID=7070897&amp;Result=3","7070897")</f>
        <v>0</v>
      </c>
      <c r="B5908" t="s">
        <v>947</v>
      </c>
      <c r="C5908" t="s">
        <v>9020</v>
      </c>
      <c r="D5908" t="s">
        <v>16631</v>
      </c>
      <c r="E5908" t="s">
        <v>21931</v>
      </c>
      <c r="F5908" t="s">
        <v>28669</v>
      </c>
      <c r="G5908" t="s">
        <v>28677</v>
      </c>
      <c r="H5908" t="s">
        <v>9998</v>
      </c>
      <c r="I5908" t="s">
        <v>5213</v>
      </c>
      <c r="J5908" t="s">
        <v>32557</v>
      </c>
      <c r="K5908" t="s">
        <v>37206</v>
      </c>
      <c r="M5908" t="s">
        <v>38471</v>
      </c>
      <c r="N5908" t="s">
        <v>41249</v>
      </c>
      <c r="O5908" t="s">
        <v>41250</v>
      </c>
      <c r="P5908">
        <v>0</v>
      </c>
      <c r="Q5908">
        <v>4</v>
      </c>
      <c r="R5908" t="s">
        <v>41256</v>
      </c>
      <c r="S5908" t="s">
        <v>41450</v>
      </c>
      <c r="T5908" t="s">
        <v>42736</v>
      </c>
      <c r="U5908" t="s">
        <v>48094</v>
      </c>
      <c r="V5908" t="s">
        <v>54917</v>
      </c>
      <c r="W5908" t="s">
        <v>38471</v>
      </c>
      <c r="X5908" t="s">
        <v>41257</v>
      </c>
    </row>
    <row r="5909" spans="1:24">
      <c r="A5909">
        <f>HYPERLINK("https://www.philgeps.gov.ph/GEPSNONPILOT/Tender/SplashBidNoticeAbstractUI.aspx?menuIndex=3&amp;refID=7070895&amp;Result=3","7070895")</f>
        <v>0</v>
      </c>
      <c r="B5909" t="s">
        <v>667</v>
      </c>
      <c r="C5909" t="s">
        <v>9021</v>
      </c>
      <c r="D5909" t="s">
        <v>16630</v>
      </c>
      <c r="E5909" t="s">
        <v>21932</v>
      </c>
      <c r="F5909" t="s">
        <v>28669</v>
      </c>
      <c r="G5909" t="s">
        <v>28676</v>
      </c>
      <c r="H5909" t="s">
        <v>28684</v>
      </c>
      <c r="I5909" t="s">
        <v>3679</v>
      </c>
      <c r="J5909" t="s">
        <v>32558</v>
      </c>
      <c r="K5909" t="s">
        <v>37210</v>
      </c>
      <c r="M5909" t="s">
        <v>38170</v>
      </c>
      <c r="N5909" t="s">
        <v>41249</v>
      </c>
      <c r="O5909" t="s">
        <v>41250</v>
      </c>
      <c r="P5909">
        <v>0</v>
      </c>
      <c r="Q5909">
        <v>0</v>
      </c>
      <c r="R5909" t="s">
        <v>41256</v>
      </c>
      <c r="S5909" t="s">
        <v>41450</v>
      </c>
      <c r="T5909" t="s">
        <v>42754</v>
      </c>
      <c r="U5909" t="s">
        <v>48095</v>
      </c>
      <c r="W5909" t="s">
        <v>38170</v>
      </c>
      <c r="X5909" t="s">
        <v>41257</v>
      </c>
    </row>
    <row r="5910" spans="1:24">
      <c r="A5910">
        <f>HYPERLINK("https://www.philgeps.gov.ph/GEPSNONPILOT/Tender/SplashBidNoticeAbstractUI.aspx?menuIndex=3&amp;refID=7070883&amp;Result=3","7070883")</f>
        <v>0</v>
      </c>
      <c r="B5910" t="s">
        <v>667</v>
      </c>
      <c r="C5910" t="s">
        <v>9022</v>
      </c>
      <c r="D5910" t="s">
        <v>16630</v>
      </c>
      <c r="E5910" t="s">
        <v>21933</v>
      </c>
      <c r="F5910" t="s">
        <v>28669</v>
      </c>
      <c r="G5910" t="s">
        <v>28676</v>
      </c>
      <c r="H5910" t="s">
        <v>28684</v>
      </c>
      <c r="I5910" t="s">
        <v>3679</v>
      </c>
      <c r="J5910" t="s">
        <v>32559</v>
      </c>
      <c r="K5910" t="s">
        <v>37210</v>
      </c>
      <c r="M5910" t="s">
        <v>38170</v>
      </c>
      <c r="N5910" t="s">
        <v>41249</v>
      </c>
      <c r="O5910" t="s">
        <v>41250</v>
      </c>
      <c r="P5910">
        <v>0</v>
      </c>
      <c r="Q5910">
        <v>0</v>
      </c>
      <c r="R5910" t="s">
        <v>41256</v>
      </c>
      <c r="S5910" t="s">
        <v>41450</v>
      </c>
      <c r="T5910" t="s">
        <v>42754</v>
      </c>
      <c r="U5910" t="s">
        <v>48096</v>
      </c>
      <c r="W5910" t="s">
        <v>38170</v>
      </c>
      <c r="X5910" t="s">
        <v>41257</v>
      </c>
    </row>
    <row r="5911" spans="1:24">
      <c r="A5911">
        <f>HYPERLINK("https://www.philgeps.gov.ph/GEPSNONPILOT/Tender/SplashBidNoticeAbstractUI.aspx?menuIndex=3&amp;refID=7070916&amp;Result=3","7070916")</f>
        <v>0</v>
      </c>
      <c r="B5911" t="s">
        <v>1829</v>
      </c>
      <c r="C5911" t="s">
        <v>9023</v>
      </c>
      <c r="D5911" t="s">
        <v>16661</v>
      </c>
      <c r="E5911" t="s">
        <v>21934</v>
      </c>
      <c r="F5911" t="s">
        <v>28669</v>
      </c>
      <c r="G5911" t="s">
        <v>28679</v>
      </c>
      <c r="H5911" t="s">
        <v>9998</v>
      </c>
      <c r="I5911" t="s">
        <v>28687</v>
      </c>
      <c r="J5911" t="s">
        <v>28924</v>
      </c>
      <c r="K5911" t="s">
        <v>37210</v>
      </c>
      <c r="M5911" t="s">
        <v>39634</v>
      </c>
      <c r="N5911" t="s">
        <v>41249</v>
      </c>
      <c r="O5911" t="s">
        <v>41250</v>
      </c>
      <c r="P5911">
        <v>0</v>
      </c>
      <c r="Q5911">
        <v>5</v>
      </c>
      <c r="R5911" t="s">
        <v>41256</v>
      </c>
      <c r="S5911" t="s">
        <v>41450</v>
      </c>
      <c r="T5911" t="s">
        <v>42727</v>
      </c>
      <c r="U5911" t="s">
        <v>48097</v>
      </c>
      <c r="W5911" t="s">
        <v>55976</v>
      </c>
      <c r="X5911" t="s">
        <v>41257</v>
      </c>
    </row>
    <row r="5912" spans="1:24">
      <c r="A5912">
        <f>HYPERLINK("https://www.philgeps.gov.ph/GEPSNONPILOT/Tender/SplashBidNoticeAbstractUI.aspx?menuIndex=3&amp;refID=7070891&amp;Result=3","7070891")</f>
        <v>0</v>
      </c>
      <c r="B5912" t="s">
        <v>1997</v>
      </c>
      <c r="C5912" t="s">
        <v>9024</v>
      </c>
      <c r="E5912" t="s">
        <v>21935</v>
      </c>
      <c r="F5912" t="s">
        <v>28669</v>
      </c>
      <c r="G5912" t="s">
        <v>28676</v>
      </c>
      <c r="H5912" t="s">
        <v>9998</v>
      </c>
      <c r="I5912" t="s">
        <v>28728</v>
      </c>
      <c r="J5912" t="s">
        <v>32560</v>
      </c>
      <c r="K5912" t="s">
        <v>37209</v>
      </c>
      <c r="M5912" t="s">
        <v>39635</v>
      </c>
      <c r="N5912" t="s">
        <v>41249</v>
      </c>
      <c r="O5912" t="s">
        <v>41250</v>
      </c>
      <c r="P5912">
        <v>0</v>
      </c>
      <c r="Q5912">
        <v>0</v>
      </c>
      <c r="R5912" t="s">
        <v>41256</v>
      </c>
      <c r="S5912" t="s">
        <v>41450</v>
      </c>
      <c r="T5912" t="s">
        <v>42727</v>
      </c>
      <c r="U5912" t="s">
        <v>48098</v>
      </c>
      <c r="W5912" t="s">
        <v>39635</v>
      </c>
      <c r="X5912" t="s">
        <v>41257</v>
      </c>
    </row>
    <row r="5913" spans="1:24">
      <c r="A5913">
        <f>HYPERLINK("https://www.philgeps.gov.ph/GEPSNONPILOT/Tender/SplashBidNoticeAbstractUI.aspx?menuIndex=3&amp;refID=7070881&amp;Result=3","7070881")</f>
        <v>0</v>
      </c>
      <c r="B5913" t="s">
        <v>267</v>
      </c>
      <c r="C5913" t="s">
        <v>9025</v>
      </c>
      <c r="D5913" t="s">
        <v>16679</v>
      </c>
      <c r="E5913" t="s">
        <v>21936</v>
      </c>
      <c r="F5913" t="s">
        <v>28669</v>
      </c>
      <c r="G5913" t="s">
        <v>28675</v>
      </c>
      <c r="H5913" t="s">
        <v>28686</v>
      </c>
      <c r="I5913" t="s">
        <v>28689</v>
      </c>
      <c r="J5913" t="s">
        <v>28881</v>
      </c>
      <c r="K5913" t="s">
        <v>37233</v>
      </c>
      <c r="M5913" t="s">
        <v>38160</v>
      </c>
      <c r="N5913" t="s">
        <v>41249</v>
      </c>
      <c r="O5913" t="s">
        <v>41250</v>
      </c>
      <c r="P5913">
        <v>0</v>
      </c>
      <c r="Q5913">
        <v>10</v>
      </c>
      <c r="R5913" t="s">
        <v>41256</v>
      </c>
      <c r="S5913" t="s">
        <v>41450</v>
      </c>
      <c r="T5913" t="s">
        <v>42818</v>
      </c>
      <c r="U5913" t="s">
        <v>48032</v>
      </c>
      <c r="V5913" t="s">
        <v>54916</v>
      </c>
      <c r="W5913" t="s">
        <v>55923</v>
      </c>
      <c r="X5913" t="s">
        <v>41257</v>
      </c>
    </row>
    <row r="5914" spans="1:24">
      <c r="A5914">
        <f>HYPERLINK("https://www.philgeps.gov.ph/GEPSNONPILOT/Tender/SplashBidNoticeAbstractUI.aspx?menuIndex=3&amp;refID=7070987&amp;Result=3","7070987")</f>
        <v>0</v>
      </c>
      <c r="B5914" t="s">
        <v>947</v>
      </c>
      <c r="C5914" t="s">
        <v>9026</v>
      </c>
      <c r="D5914" t="s">
        <v>16631</v>
      </c>
      <c r="E5914" t="s">
        <v>21937</v>
      </c>
      <c r="F5914" t="s">
        <v>28669</v>
      </c>
      <c r="G5914" t="s">
        <v>28677</v>
      </c>
      <c r="H5914" t="s">
        <v>9998</v>
      </c>
      <c r="I5914" t="s">
        <v>5213</v>
      </c>
      <c r="J5914" t="s">
        <v>32561</v>
      </c>
      <c r="K5914" t="s">
        <v>37206</v>
      </c>
      <c r="M5914" t="s">
        <v>38471</v>
      </c>
      <c r="N5914" t="s">
        <v>41249</v>
      </c>
      <c r="O5914" t="s">
        <v>41250</v>
      </c>
      <c r="P5914">
        <v>0</v>
      </c>
      <c r="Q5914">
        <v>3</v>
      </c>
      <c r="R5914" t="s">
        <v>41256</v>
      </c>
      <c r="S5914" t="s">
        <v>41450</v>
      </c>
      <c r="T5914" t="s">
        <v>42736</v>
      </c>
      <c r="U5914" t="s">
        <v>48099</v>
      </c>
      <c r="V5914" t="s">
        <v>54917</v>
      </c>
      <c r="W5914" t="s">
        <v>38471</v>
      </c>
      <c r="X5914" t="s">
        <v>41257</v>
      </c>
    </row>
    <row r="5915" spans="1:24">
      <c r="A5915">
        <f>HYPERLINK("https://www.philgeps.gov.ph/GEPSNONPILOT/Tender/SplashBidNoticeAbstractUI.aspx?menuIndex=3&amp;refID=7071008&amp;Result=3","7071008")</f>
        <v>0</v>
      </c>
      <c r="B5915" t="s">
        <v>1998</v>
      </c>
      <c r="C5915" t="s">
        <v>9027</v>
      </c>
      <c r="D5915" t="s">
        <v>16668</v>
      </c>
      <c r="E5915" t="s">
        <v>21938</v>
      </c>
      <c r="F5915" t="s">
        <v>28669</v>
      </c>
      <c r="G5915" t="s">
        <v>28675</v>
      </c>
      <c r="H5915" t="s">
        <v>9998</v>
      </c>
      <c r="I5915" t="s">
        <v>7352</v>
      </c>
      <c r="J5915" t="s">
        <v>32562</v>
      </c>
      <c r="K5915" t="s">
        <v>37204</v>
      </c>
      <c r="M5915" t="s">
        <v>39636</v>
      </c>
      <c r="N5915" t="s">
        <v>41249</v>
      </c>
      <c r="O5915" t="s">
        <v>41250</v>
      </c>
      <c r="P5915">
        <v>0</v>
      </c>
      <c r="Q5915">
        <v>0</v>
      </c>
      <c r="R5915" t="s">
        <v>41256</v>
      </c>
      <c r="S5915" t="s">
        <v>41450</v>
      </c>
      <c r="T5915" t="s">
        <v>42754</v>
      </c>
      <c r="U5915" t="s">
        <v>48100</v>
      </c>
      <c r="W5915" t="s">
        <v>39636</v>
      </c>
      <c r="X5915" t="s">
        <v>41257</v>
      </c>
    </row>
    <row r="5916" spans="1:24">
      <c r="A5916">
        <f>HYPERLINK("https://www.philgeps.gov.ph/GEPSNONPILOT/Tender/SplashBidNoticeAbstractUI.aspx?menuIndex=3&amp;refID=7071001&amp;Result=3","7071001")</f>
        <v>0</v>
      </c>
      <c r="B5916" t="s">
        <v>1044</v>
      </c>
      <c r="C5916" t="s">
        <v>9028</v>
      </c>
      <c r="D5916" t="s">
        <v>16663</v>
      </c>
      <c r="E5916" t="s">
        <v>21939</v>
      </c>
      <c r="F5916" t="s">
        <v>28669</v>
      </c>
      <c r="G5916" t="s">
        <v>28677</v>
      </c>
      <c r="H5916" t="s">
        <v>9998</v>
      </c>
      <c r="I5916" t="s">
        <v>28697</v>
      </c>
      <c r="J5916" t="s">
        <v>32563</v>
      </c>
      <c r="K5916" t="s">
        <v>37206</v>
      </c>
      <c r="M5916" t="s">
        <v>38575</v>
      </c>
      <c r="N5916" t="s">
        <v>41249</v>
      </c>
      <c r="O5916" t="s">
        <v>41250</v>
      </c>
      <c r="P5916">
        <v>0</v>
      </c>
      <c r="Q5916">
        <v>14</v>
      </c>
      <c r="R5916" t="s">
        <v>41256</v>
      </c>
      <c r="S5916" t="s">
        <v>41450</v>
      </c>
      <c r="T5916" t="s">
        <v>42743</v>
      </c>
      <c r="U5916" t="s">
        <v>48101</v>
      </c>
      <c r="W5916" t="s">
        <v>38575</v>
      </c>
      <c r="X5916" t="s">
        <v>41257</v>
      </c>
    </row>
    <row r="5917" spans="1:24">
      <c r="A5917">
        <f>HYPERLINK("https://www.philgeps.gov.ph/GEPSNONPILOT/Tender/SplashBidNoticeAbstractUI.aspx?menuIndex=3&amp;refID=7070911&amp;Result=3","7070911")</f>
        <v>0</v>
      </c>
      <c r="B5917" t="s">
        <v>1999</v>
      </c>
      <c r="C5917" t="s">
        <v>6878</v>
      </c>
      <c r="D5917" t="s">
        <v>16657</v>
      </c>
      <c r="E5917" t="s">
        <v>21940</v>
      </c>
      <c r="F5917" t="s">
        <v>28669</v>
      </c>
      <c r="G5917" t="s">
        <v>28675</v>
      </c>
      <c r="H5917" t="s">
        <v>9998</v>
      </c>
      <c r="I5917" t="s">
        <v>28701</v>
      </c>
      <c r="J5917" t="s">
        <v>32564</v>
      </c>
      <c r="K5917" t="s">
        <v>37238</v>
      </c>
      <c r="M5917" t="s">
        <v>39637</v>
      </c>
      <c r="N5917" t="s">
        <v>41249</v>
      </c>
      <c r="O5917" t="s">
        <v>41250</v>
      </c>
      <c r="P5917">
        <v>0</v>
      </c>
      <c r="Q5917">
        <v>1</v>
      </c>
      <c r="R5917" t="s">
        <v>41256</v>
      </c>
      <c r="S5917" t="s">
        <v>41450</v>
      </c>
      <c r="T5917" t="s">
        <v>42726</v>
      </c>
      <c r="U5917" t="s">
        <v>48102</v>
      </c>
      <c r="W5917" t="s">
        <v>39637</v>
      </c>
      <c r="X5917" t="s">
        <v>41257</v>
      </c>
    </row>
    <row r="5918" spans="1:24">
      <c r="A5918">
        <f>HYPERLINK("https://www.philgeps.gov.ph/GEPSNONPILOT/Tender/SplashBidNoticeAbstractUI.aspx?menuIndex=3&amp;refID=7070887&amp;Result=3","7070887")</f>
        <v>0</v>
      </c>
      <c r="B5918" t="s">
        <v>1725</v>
      </c>
      <c r="C5918" t="s">
        <v>9029</v>
      </c>
      <c r="D5918" t="s">
        <v>16655</v>
      </c>
      <c r="E5918" t="s">
        <v>21941</v>
      </c>
      <c r="F5918" t="s">
        <v>28669</v>
      </c>
      <c r="G5918" t="s">
        <v>28675</v>
      </c>
      <c r="H5918" t="s">
        <v>9998</v>
      </c>
      <c r="I5918" t="s">
        <v>5213</v>
      </c>
      <c r="J5918" t="s">
        <v>32565</v>
      </c>
      <c r="K5918" t="s">
        <v>37227</v>
      </c>
      <c r="M5918" t="s">
        <v>39324</v>
      </c>
      <c r="N5918" t="s">
        <v>41249</v>
      </c>
      <c r="O5918" t="s">
        <v>41250</v>
      </c>
      <c r="P5918">
        <v>0</v>
      </c>
      <c r="Q5918">
        <v>2</v>
      </c>
      <c r="R5918" t="s">
        <v>41256</v>
      </c>
      <c r="S5918" t="s">
        <v>41450</v>
      </c>
      <c r="T5918" t="s">
        <v>42706</v>
      </c>
      <c r="U5918" t="s">
        <v>48103</v>
      </c>
      <c r="W5918" t="s">
        <v>39324</v>
      </c>
      <c r="X5918" t="s">
        <v>41257</v>
      </c>
    </row>
    <row r="5919" spans="1:24">
      <c r="A5919">
        <f>HYPERLINK("https://www.philgeps.gov.ph/GEPSNONPILOT/Tender/SplashBidNoticeAbstractUI.aspx?menuIndex=3&amp;refID=7070812&amp;Result=3","7070812")</f>
        <v>0</v>
      </c>
      <c r="B5919" t="s">
        <v>1068</v>
      </c>
      <c r="C5919" t="s">
        <v>9030</v>
      </c>
      <c r="D5919" t="s">
        <v>16607</v>
      </c>
      <c r="E5919" t="s">
        <v>21942</v>
      </c>
      <c r="F5919" t="s">
        <v>28669</v>
      </c>
      <c r="G5919" t="s">
        <v>28675</v>
      </c>
      <c r="H5919" t="s">
        <v>28686</v>
      </c>
      <c r="I5919" t="s">
        <v>28689</v>
      </c>
      <c r="J5919" t="s">
        <v>32566</v>
      </c>
      <c r="K5919" t="s">
        <v>37204</v>
      </c>
      <c r="M5919" t="s">
        <v>38600</v>
      </c>
      <c r="N5919" t="s">
        <v>41249</v>
      </c>
      <c r="O5919" t="s">
        <v>41250</v>
      </c>
      <c r="P5919">
        <v>0</v>
      </c>
      <c r="Q5919">
        <v>3</v>
      </c>
      <c r="R5919" t="s">
        <v>41256</v>
      </c>
      <c r="S5919" t="s">
        <v>41450</v>
      </c>
      <c r="T5919" t="s">
        <v>42673</v>
      </c>
      <c r="U5919" t="s">
        <v>48104</v>
      </c>
      <c r="V5919" t="s">
        <v>54923</v>
      </c>
      <c r="W5919" t="s">
        <v>38600</v>
      </c>
      <c r="X5919" t="s">
        <v>41257</v>
      </c>
    </row>
    <row r="5920" spans="1:24">
      <c r="A5920">
        <f>HYPERLINK("https://www.philgeps.gov.ph/GEPSNONPILOT/Tender/SplashBidNoticeAbstractUI.aspx?menuIndex=3&amp;refID=7070983&amp;Result=3","7070983")</f>
        <v>0</v>
      </c>
      <c r="B5920" t="s">
        <v>1947</v>
      </c>
      <c r="C5920" t="s">
        <v>9031</v>
      </c>
      <c r="D5920" t="s">
        <v>16626</v>
      </c>
      <c r="E5920" t="s">
        <v>21943</v>
      </c>
      <c r="F5920" t="s">
        <v>28669</v>
      </c>
      <c r="G5920" t="s">
        <v>28676</v>
      </c>
      <c r="H5920" t="s">
        <v>9998</v>
      </c>
      <c r="I5920" t="s">
        <v>3718</v>
      </c>
      <c r="J5920" t="s">
        <v>28826</v>
      </c>
      <c r="K5920" t="s">
        <v>37206</v>
      </c>
      <c r="M5920" t="s">
        <v>39577</v>
      </c>
      <c r="N5920" t="s">
        <v>41249</v>
      </c>
      <c r="O5920" t="s">
        <v>41250</v>
      </c>
      <c r="P5920">
        <v>0</v>
      </c>
      <c r="Q5920">
        <v>1</v>
      </c>
      <c r="R5920" t="s">
        <v>41256</v>
      </c>
      <c r="S5920" t="s">
        <v>41450</v>
      </c>
      <c r="T5920" t="s">
        <v>42675</v>
      </c>
      <c r="U5920" t="s">
        <v>48105</v>
      </c>
      <c r="W5920" t="s">
        <v>39577</v>
      </c>
      <c r="X5920" t="s">
        <v>41257</v>
      </c>
    </row>
    <row r="5921" spans="1:24">
      <c r="A5921">
        <f>HYPERLINK("https://www.philgeps.gov.ph/GEPSNONPILOT/Tender/SplashBidNoticeAbstractUI.aspx?menuIndex=3&amp;refID=7070974&amp;Result=3","7070974")</f>
        <v>0</v>
      </c>
      <c r="B5921" t="s">
        <v>132</v>
      </c>
      <c r="C5921" t="s">
        <v>9032</v>
      </c>
      <c r="D5921" t="s">
        <v>16639</v>
      </c>
      <c r="E5921" t="s">
        <v>21944</v>
      </c>
      <c r="F5921" t="s">
        <v>28669</v>
      </c>
      <c r="G5921" t="s">
        <v>28676</v>
      </c>
      <c r="H5921" t="s">
        <v>9998</v>
      </c>
      <c r="I5921" t="s">
        <v>28760</v>
      </c>
      <c r="J5921" t="s">
        <v>32567</v>
      </c>
      <c r="K5921" t="s">
        <v>37204</v>
      </c>
      <c r="M5921" t="s">
        <v>37608</v>
      </c>
      <c r="N5921" t="s">
        <v>41249</v>
      </c>
      <c r="O5921" t="s">
        <v>41250</v>
      </c>
      <c r="P5921">
        <v>0</v>
      </c>
      <c r="Q5921">
        <v>1</v>
      </c>
      <c r="R5921" t="s">
        <v>41256</v>
      </c>
      <c r="S5921" t="s">
        <v>41450</v>
      </c>
      <c r="T5921" t="s">
        <v>42665</v>
      </c>
      <c r="U5921" t="s">
        <v>48106</v>
      </c>
      <c r="W5921" t="s">
        <v>37608</v>
      </c>
      <c r="X5921" t="s">
        <v>41257</v>
      </c>
    </row>
    <row r="5922" spans="1:24">
      <c r="A5922">
        <f>HYPERLINK("https://www.philgeps.gov.ph/GEPSNONPILOT/Tender/SplashBidNoticeAbstractUI.aspx?menuIndex=3&amp;refID=7070996&amp;Result=3","7070996")</f>
        <v>0</v>
      </c>
      <c r="B5922" t="s">
        <v>2000</v>
      </c>
      <c r="C5922" t="s">
        <v>9033</v>
      </c>
      <c r="D5922" t="s">
        <v>16680</v>
      </c>
      <c r="E5922" t="s">
        <v>16707</v>
      </c>
      <c r="F5922" t="s">
        <v>28669</v>
      </c>
      <c r="G5922" t="s">
        <v>28675</v>
      </c>
      <c r="H5922" t="s">
        <v>9998</v>
      </c>
      <c r="I5922" t="s">
        <v>7352</v>
      </c>
      <c r="J5922" t="s">
        <v>28826</v>
      </c>
      <c r="K5922" t="s">
        <v>37206</v>
      </c>
      <c r="M5922" t="s">
        <v>39638</v>
      </c>
      <c r="N5922" t="s">
        <v>41249</v>
      </c>
      <c r="O5922" t="s">
        <v>41250</v>
      </c>
      <c r="P5922">
        <v>0</v>
      </c>
      <c r="Q5922">
        <v>0</v>
      </c>
      <c r="R5922" t="s">
        <v>41256</v>
      </c>
      <c r="S5922" t="s">
        <v>41450</v>
      </c>
      <c r="T5922" t="s">
        <v>42754</v>
      </c>
      <c r="U5922" t="s">
        <v>48107</v>
      </c>
      <c r="W5922" t="s">
        <v>39638</v>
      </c>
      <c r="X5922" t="s">
        <v>41257</v>
      </c>
    </row>
    <row r="5923" spans="1:24">
      <c r="A5923">
        <f>HYPERLINK("https://www.philgeps.gov.ph/GEPSNONPILOT/Tender/SplashBidNoticeAbstractUI.aspx?menuIndex=3&amp;refID=7070989&amp;Result=3","7070989")</f>
        <v>0</v>
      </c>
      <c r="B5923" t="s">
        <v>1987</v>
      </c>
      <c r="C5923" t="s">
        <v>9034</v>
      </c>
      <c r="D5923" t="s">
        <v>16608</v>
      </c>
      <c r="E5923" t="s">
        <v>20735</v>
      </c>
      <c r="F5923" t="s">
        <v>28669</v>
      </c>
      <c r="G5923" t="s">
        <v>28675</v>
      </c>
      <c r="H5923" t="s">
        <v>9998</v>
      </c>
      <c r="I5923" t="s">
        <v>28733</v>
      </c>
      <c r="J5923" t="s">
        <v>32568</v>
      </c>
      <c r="K5923" t="s">
        <v>37206</v>
      </c>
      <c r="M5923" t="s">
        <v>39623</v>
      </c>
      <c r="N5923" t="s">
        <v>41249</v>
      </c>
      <c r="O5923" t="s">
        <v>41250</v>
      </c>
      <c r="P5923">
        <v>0</v>
      </c>
      <c r="Q5923">
        <v>2</v>
      </c>
      <c r="R5923" t="s">
        <v>41256</v>
      </c>
      <c r="S5923" t="s">
        <v>41450</v>
      </c>
      <c r="T5923" t="s">
        <v>42838</v>
      </c>
      <c r="U5923" t="s">
        <v>48108</v>
      </c>
      <c r="W5923" t="s">
        <v>39623</v>
      </c>
      <c r="X5923" t="s">
        <v>41257</v>
      </c>
    </row>
    <row r="5924" spans="1:24">
      <c r="A5924">
        <f>HYPERLINK("https://www.philgeps.gov.ph/GEPSNONPILOT/Tender/SplashBidNoticeAbstractUI.aspx?menuIndex=3&amp;refID=7071004&amp;Result=3","7071004")</f>
        <v>0</v>
      </c>
      <c r="B5924" t="s">
        <v>2001</v>
      </c>
      <c r="C5924" t="s">
        <v>9035</v>
      </c>
      <c r="D5924" t="s">
        <v>16657</v>
      </c>
      <c r="E5924" t="s">
        <v>16855</v>
      </c>
      <c r="F5924" t="s">
        <v>28669</v>
      </c>
      <c r="G5924" t="s">
        <v>28675</v>
      </c>
      <c r="H5924" t="s">
        <v>28686</v>
      </c>
      <c r="I5924" t="s">
        <v>7352</v>
      </c>
      <c r="J5924" t="s">
        <v>28879</v>
      </c>
      <c r="K5924" t="s">
        <v>37204</v>
      </c>
      <c r="M5924" t="s">
        <v>39639</v>
      </c>
      <c r="N5924" t="s">
        <v>41249</v>
      </c>
      <c r="O5924" t="s">
        <v>41250</v>
      </c>
      <c r="P5924">
        <v>0</v>
      </c>
      <c r="Q5924">
        <v>2</v>
      </c>
      <c r="R5924" t="s">
        <v>41256</v>
      </c>
      <c r="S5924" t="s">
        <v>41450</v>
      </c>
      <c r="T5924" t="s">
        <v>42694</v>
      </c>
      <c r="U5924" t="s">
        <v>48109</v>
      </c>
      <c r="W5924" t="s">
        <v>39639</v>
      </c>
      <c r="X5924" t="s">
        <v>41257</v>
      </c>
    </row>
    <row r="5925" spans="1:24">
      <c r="A5925">
        <f>HYPERLINK("https://www.philgeps.gov.ph/GEPSNONPILOT/Tender/SplashBidNoticeAbstractUI.aspx?menuIndex=3&amp;refID=7070972&amp;Result=3","7070972")</f>
        <v>0</v>
      </c>
      <c r="B5925" t="s">
        <v>2002</v>
      </c>
      <c r="C5925" t="s">
        <v>9036</v>
      </c>
      <c r="D5925" t="s">
        <v>16638</v>
      </c>
      <c r="E5925" t="s">
        <v>21945</v>
      </c>
      <c r="F5925" t="s">
        <v>28669</v>
      </c>
      <c r="G5925" t="s">
        <v>28677</v>
      </c>
      <c r="H5925" t="s">
        <v>9998</v>
      </c>
      <c r="I5925" t="s">
        <v>28688</v>
      </c>
      <c r="J5925" t="s">
        <v>32569</v>
      </c>
      <c r="K5925" t="s">
        <v>37208</v>
      </c>
      <c r="M5925" t="s">
        <v>39640</v>
      </c>
      <c r="N5925" t="s">
        <v>41249</v>
      </c>
      <c r="O5925" t="s">
        <v>41250</v>
      </c>
      <c r="P5925">
        <v>0</v>
      </c>
      <c r="Q5925">
        <v>5</v>
      </c>
      <c r="R5925" t="s">
        <v>41256</v>
      </c>
      <c r="S5925" t="s">
        <v>41450</v>
      </c>
      <c r="T5925" t="s">
        <v>42729</v>
      </c>
      <c r="U5925" t="s">
        <v>48110</v>
      </c>
      <c r="V5925" t="s">
        <v>54924</v>
      </c>
      <c r="W5925" t="s">
        <v>39640</v>
      </c>
      <c r="X5925" t="s">
        <v>41257</v>
      </c>
    </row>
    <row r="5926" spans="1:24">
      <c r="A5926">
        <f>HYPERLINK("https://www.philgeps.gov.ph/GEPSNONPILOT/Tender/SplashBidNoticeAbstractUI.aspx?menuIndex=3&amp;refID=7070969&amp;Result=3","7070969")</f>
        <v>0</v>
      </c>
      <c r="B5926" t="s">
        <v>1947</v>
      </c>
      <c r="C5926" t="s">
        <v>9037</v>
      </c>
      <c r="D5926" t="s">
        <v>16626</v>
      </c>
      <c r="E5926" t="s">
        <v>21946</v>
      </c>
      <c r="F5926" t="s">
        <v>28669</v>
      </c>
      <c r="G5926" t="s">
        <v>28676</v>
      </c>
      <c r="H5926" t="s">
        <v>9998</v>
      </c>
      <c r="I5926" t="s">
        <v>5213</v>
      </c>
      <c r="J5926" t="s">
        <v>29683</v>
      </c>
      <c r="K5926" t="s">
        <v>37206</v>
      </c>
      <c r="M5926" t="s">
        <v>39577</v>
      </c>
      <c r="N5926" t="s">
        <v>41249</v>
      </c>
      <c r="O5926" t="s">
        <v>41250</v>
      </c>
      <c r="P5926">
        <v>0</v>
      </c>
      <c r="Q5926">
        <v>1</v>
      </c>
      <c r="R5926" t="s">
        <v>41256</v>
      </c>
      <c r="S5926" t="s">
        <v>41450</v>
      </c>
      <c r="T5926" t="s">
        <v>42675</v>
      </c>
      <c r="U5926" t="s">
        <v>48111</v>
      </c>
      <c r="W5926" t="s">
        <v>39577</v>
      </c>
      <c r="X5926" t="s">
        <v>41257</v>
      </c>
    </row>
    <row r="5927" spans="1:24">
      <c r="A5927">
        <f>HYPERLINK("https://www.philgeps.gov.ph/GEPSNONPILOT/Tender/SplashBidNoticeAbstractUI.aspx?menuIndex=3&amp;refID=7071043&amp;Result=3","7071043")</f>
        <v>0</v>
      </c>
      <c r="B5927" t="s">
        <v>1327</v>
      </c>
      <c r="C5927" t="s">
        <v>9038</v>
      </c>
      <c r="D5927" t="s">
        <v>16627</v>
      </c>
      <c r="E5927" t="s">
        <v>21947</v>
      </c>
      <c r="F5927" t="s">
        <v>28669</v>
      </c>
      <c r="G5927" t="s">
        <v>28675</v>
      </c>
      <c r="H5927" t="s">
        <v>9998</v>
      </c>
      <c r="I5927" t="s">
        <v>28707</v>
      </c>
      <c r="J5927" t="s">
        <v>32570</v>
      </c>
      <c r="K5927" t="s">
        <v>37213</v>
      </c>
      <c r="M5927" t="s">
        <v>39006</v>
      </c>
      <c r="N5927" t="s">
        <v>41249</v>
      </c>
      <c r="O5927" t="s">
        <v>41250</v>
      </c>
      <c r="P5927">
        <v>0</v>
      </c>
      <c r="Q5927">
        <v>8</v>
      </c>
      <c r="R5927" t="s">
        <v>41256</v>
      </c>
      <c r="S5927" t="s">
        <v>41450</v>
      </c>
      <c r="T5927" t="s">
        <v>42765</v>
      </c>
      <c r="U5927" t="s">
        <v>48112</v>
      </c>
      <c r="W5927" t="s">
        <v>39006</v>
      </c>
      <c r="X5927" t="s">
        <v>41257</v>
      </c>
    </row>
    <row r="5928" spans="1:24">
      <c r="A5928">
        <f>HYPERLINK("https://www.philgeps.gov.ph/GEPSNONPILOT/Tender/SplashBidNoticeAbstractUI.aspx?menuIndex=3&amp;refID=7071059&amp;Result=3","7071059")</f>
        <v>0</v>
      </c>
      <c r="B5928" t="s">
        <v>1555</v>
      </c>
      <c r="C5928" t="s">
        <v>9039</v>
      </c>
      <c r="D5928" t="s">
        <v>16626</v>
      </c>
      <c r="E5928" t="s">
        <v>21948</v>
      </c>
      <c r="F5928" t="s">
        <v>28669</v>
      </c>
      <c r="G5928" t="s">
        <v>28675</v>
      </c>
      <c r="H5928" t="s">
        <v>9998</v>
      </c>
      <c r="I5928" t="s">
        <v>5286</v>
      </c>
      <c r="J5928" t="s">
        <v>29227</v>
      </c>
      <c r="K5928" t="s">
        <v>37209</v>
      </c>
      <c r="M5928" t="s">
        <v>39132</v>
      </c>
      <c r="N5928" t="s">
        <v>41249</v>
      </c>
      <c r="O5928" t="s">
        <v>41250</v>
      </c>
      <c r="P5928">
        <v>0</v>
      </c>
      <c r="Q5928">
        <v>11</v>
      </c>
      <c r="R5928" t="s">
        <v>41256</v>
      </c>
      <c r="S5928" t="s">
        <v>41450</v>
      </c>
      <c r="T5928" t="s">
        <v>42871</v>
      </c>
      <c r="U5928" t="s">
        <v>48113</v>
      </c>
      <c r="W5928" t="s">
        <v>39132</v>
      </c>
      <c r="X5928" t="s">
        <v>41257</v>
      </c>
    </row>
    <row r="5929" spans="1:24">
      <c r="A5929">
        <f>HYPERLINK("https://www.philgeps.gov.ph/GEPSNONPILOT/Tender/SplashBidNoticeAbstractUI.aspx?menuIndex=3&amp;refID=7071058&amp;Result=3","7071058")</f>
        <v>0</v>
      </c>
      <c r="B5929" t="s">
        <v>2003</v>
      </c>
      <c r="C5929" t="s">
        <v>9040</v>
      </c>
      <c r="D5929" t="s">
        <v>16626</v>
      </c>
      <c r="E5929" t="s">
        <v>21949</v>
      </c>
      <c r="F5929" t="s">
        <v>28669</v>
      </c>
      <c r="G5929" t="s">
        <v>28676</v>
      </c>
      <c r="H5929" t="s">
        <v>9998</v>
      </c>
      <c r="I5929" t="s">
        <v>28708</v>
      </c>
      <c r="J5929" t="s">
        <v>29040</v>
      </c>
      <c r="K5929" t="s">
        <v>37205</v>
      </c>
      <c r="M5929" t="s">
        <v>39641</v>
      </c>
      <c r="N5929" t="s">
        <v>41249</v>
      </c>
      <c r="O5929" t="s">
        <v>41250</v>
      </c>
      <c r="P5929">
        <v>0</v>
      </c>
      <c r="Q5929">
        <v>3</v>
      </c>
      <c r="R5929" t="s">
        <v>41256</v>
      </c>
      <c r="S5929" t="s">
        <v>41450</v>
      </c>
      <c r="T5929" t="s">
        <v>42753</v>
      </c>
      <c r="U5929" t="s">
        <v>48114</v>
      </c>
      <c r="W5929" t="s">
        <v>39641</v>
      </c>
      <c r="X5929" t="s">
        <v>41257</v>
      </c>
    </row>
    <row r="5930" spans="1:24">
      <c r="A5930">
        <f>HYPERLINK("https://www.philgeps.gov.ph/GEPSNONPILOT/Tender/SplashBidNoticeAbstractUI.aspx?menuIndex=3&amp;refID=7070982&amp;Result=3","7070982")</f>
        <v>0</v>
      </c>
      <c r="B5930" t="s">
        <v>998</v>
      </c>
      <c r="C5930" t="s">
        <v>9041</v>
      </c>
      <c r="D5930" t="s">
        <v>16620</v>
      </c>
      <c r="E5930" t="s">
        <v>21950</v>
      </c>
      <c r="F5930" t="s">
        <v>28669</v>
      </c>
      <c r="G5930" t="s">
        <v>28675</v>
      </c>
      <c r="H5930" t="s">
        <v>9998</v>
      </c>
      <c r="I5930" t="s">
        <v>15140</v>
      </c>
      <c r="J5930" t="s">
        <v>32201</v>
      </c>
      <c r="K5930" t="s">
        <v>37206</v>
      </c>
      <c r="L5930" t="s">
        <v>998</v>
      </c>
      <c r="M5930" t="s">
        <v>38526</v>
      </c>
      <c r="N5930" t="s">
        <v>41249</v>
      </c>
      <c r="O5930" t="s">
        <v>41250</v>
      </c>
      <c r="P5930">
        <v>0</v>
      </c>
      <c r="Q5930">
        <v>0</v>
      </c>
      <c r="R5930" t="s">
        <v>41256</v>
      </c>
      <c r="S5930" t="s">
        <v>41450</v>
      </c>
      <c r="T5930" t="s">
        <v>42703</v>
      </c>
      <c r="U5930" t="s">
        <v>48115</v>
      </c>
      <c r="V5930" t="s">
        <v>54548</v>
      </c>
      <c r="W5930" t="s">
        <v>38526</v>
      </c>
      <c r="X5930" t="s">
        <v>41257</v>
      </c>
    </row>
    <row r="5931" spans="1:24">
      <c r="A5931">
        <f>HYPERLINK("https://www.philgeps.gov.ph/GEPSNONPILOT/Tender/SplashBidNoticeAbstractUI.aspx?menuIndex=3&amp;refID=7071055&amp;Result=3","7071055")</f>
        <v>0</v>
      </c>
      <c r="B5931" t="s">
        <v>1829</v>
      </c>
      <c r="C5931" t="s">
        <v>9042</v>
      </c>
      <c r="D5931" t="s">
        <v>16661</v>
      </c>
      <c r="E5931" t="s">
        <v>21951</v>
      </c>
      <c r="F5931" t="s">
        <v>28669</v>
      </c>
      <c r="G5931" t="s">
        <v>28679</v>
      </c>
      <c r="H5931" t="s">
        <v>9998</v>
      </c>
      <c r="I5931" t="s">
        <v>28693</v>
      </c>
      <c r="J5931" t="s">
        <v>32571</v>
      </c>
      <c r="K5931" t="s">
        <v>37210</v>
      </c>
      <c r="M5931" t="s">
        <v>39634</v>
      </c>
      <c r="N5931" t="s">
        <v>41249</v>
      </c>
      <c r="O5931" t="s">
        <v>41250</v>
      </c>
      <c r="P5931">
        <v>0</v>
      </c>
      <c r="Q5931">
        <v>6</v>
      </c>
      <c r="R5931" t="s">
        <v>41256</v>
      </c>
      <c r="S5931" t="s">
        <v>41450</v>
      </c>
      <c r="T5931" t="s">
        <v>42727</v>
      </c>
      <c r="U5931" t="s">
        <v>48116</v>
      </c>
      <c r="W5931" t="s">
        <v>55976</v>
      </c>
      <c r="X5931" t="s">
        <v>41257</v>
      </c>
    </row>
    <row r="5932" spans="1:24">
      <c r="A5932">
        <f>HYPERLINK("https://www.philgeps.gov.ph/GEPSNONPILOT/Tender/SplashBidNoticeAbstractUI.aspx?menuIndex=3&amp;refID=7071052&amp;Result=3","7071052")</f>
        <v>0</v>
      </c>
      <c r="B5932" t="s">
        <v>2004</v>
      </c>
      <c r="C5932" t="s">
        <v>9043</v>
      </c>
      <c r="D5932" t="s">
        <v>16661</v>
      </c>
      <c r="E5932" t="s">
        <v>21952</v>
      </c>
      <c r="F5932" t="s">
        <v>28669</v>
      </c>
      <c r="G5932" t="s">
        <v>28677</v>
      </c>
      <c r="H5932" t="s">
        <v>9998</v>
      </c>
      <c r="I5932" t="s">
        <v>28708</v>
      </c>
      <c r="J5932" t="s">
        <v>28834</v>
      </c>
      <c r="K5932" t="s">
        <v>37206</v>
      </c>
      <c r="M5932" t="s">
        <v>39642</v>
      </c>
      <c r="N5932" t="s">
        <v>41249</v>
      </c>
      <c r="O5932" t="s">
        <v>41250</v>
      </c>
      <c r="P5932">
        <v>0</v>
      </c>
      <c r="Q5932">
        <v>4</v>
      </c>
      <c r="R5932" t="s">
        <v>41256</v>
      </c>
      <c r="S5932" t="s">
        <v>41450</v>
      </c>
      <c r="T5932" t="s">
        <v>42676</v>
      </c>
      <c r="U5932" t="s">
        <v>48117</v>
      </c>
      <c r="W5932" t="s">
        <v>39642</v>
      </c>
      <c r="X5932" t="s">
        <v>41257</v>
      </c>
    </row>
    <row r="5933" spans="1:24">
      <c r="A5933">
        <f>HYPERLINK("https://www.philgeps.gov.ph/GEPSNONPILOT/Tender/SplashBidNoticeAbstractUI.aspx?menuIndex=3&amp;refID=7070971&amp;Result=3","7070971")</f>
        <v>0</v>
      </c>
      <c r="B5933" t="s">
        <v>183</v>
      </c>
      <c r="C5933" t="s">
        <v>9044</v>
      </c>
      <c r="D5933" t="s">
        <v>16622</v>
      </c>
      <c r="E5933" t="s">
        <v>21953</v>
      </c>
      <c r="F5933" t="s">
        <v>28669</v>
      </c>
      <c r="G5933" t="s">
        <v>28676</v>
      </c>
      <c r="H5933" t="s">
        <v>9998</v>
      </c>
      <c r="I5933" t="s">
        <v>28717</v>
      </c>
      <c r="J5933" t="s">
        <v>32572</v>
      </c>
      <c r="K5933" t="s">
        <v>37227</v>
      </c>
      <c r="M5933" t="s">
        <v>37660</v>
      </c>
      <c r="N5933" t="s">
        <v>41249</v>
      </c>
      <c r="O5933" t="s">
        <v>41250</v>
      </c>
      <c r="P5933">
        <v>0</v>
      </c>
      <c r="Q5933">
        <v>10</v>
      </c>
      <c r="R5933" t="s">
        <v>41256</v>
      </c>
      <c r="S5933" t="s">
        <v>41450</v>
      </c>
      <c r="T5933" t="s">
        <v>42774</v>
      </c>
      <c r="U5933" t="s">
        <v>48118</v>
      </c>
      <c r="W5933" t="s">
        <v>37660</v>
      </c>
      <c r="X5933" t="s">
        <v>41257</v>
      </c>
    </row>
    <row r="5934" spans="1:24">
      <c r="A5934">
        <f>HYPERLINK("https://www.philgeps.gov.ph/GEPSNONPILOT/Tender/SplashBidNoticeAbstractUI.aspx?menuIndex=3&amp;refID=7070927&amp;Result=3","7070927")</f>
        <v>0</v>
      </c>
      <c r="B5934" t="s">
        <v>1829</v>
      </c>
      <c r="C5934" t="s">
        <v>9045</v>
      </c>
      <c r="D5934" t="s">
        <v>16661</v>
      </c>
      <c r="E5934" t="s">
        <v>21954</v>
      </c>
      <c r="F5934" t="s">
        <v>28669</v>
      </c>
      <c r="G5934" t="s">
        <v>28679</v>
      </c>
      <c r="H5934" t="s">
        <v>9998</v>
      </c>
      <c r="I5934" t="s">
        <v>28690</v>
      </c>
      <c r="J5934" t="s">
        <v>32573</v>
      </c>
      <c r="K5934" t="s">
        <v>37210</v>
      </c>
      <c r="M5934" t="s">
        <v>39634</v>
      </c>
      <c r="N5934" t="s">
        <v>41249</v>
      </c>
      <c r="O5934" t="s">
        <v>41250</v>
      </c>
      <c r="P5934">
        <v>0</v>
      </c>
      <c r="Q5934">
        <v>3</v>
      </c>
      <c r="R5934" t="s">
        <v>41256</v>
      </c>
      <c r="S5934" t="s">
        <v>41450</v>
      </c>
      <c r="T5934" t="s">
        <v>42727</v>
      </c>
      <c r="U5934" t="s">
        <v>48119</v>
      </c>
      <c r="W5934" t="s">
        <v>55976</v>
      </c>
      <c r="X5934" t="s">
        <v>41257</v>
      </c>
    </row>
    <row r="5935" spans="1:24">
      <c r="A5935">
        <f>HYPERLINK("https://www.philgeps.gov.ph/GEPSNONPILOT/Tender/SplashBidNoticeAbstractUI.aspx?menuIndex=3&amp;refID=7070884&amp;Result=3","7070884")</f>
        <v>0</v>
      </c>
      <c r="B5935" t="s">
        <v>1992</v>
      </c>
      <c r="C5935" t="s">
        <v>5250</v>
      </c>
      <c r="D5935" t="s">
        <v>16697</v>
      </c>
      <c r="E5935" t="s">
        <v>18092</v>
      </c>
      <c r="F5935" t="s">
        <v>28669</v>
      </c>
      <c r="G5935" t="s">
        <v>28677</v>
      </c>
      <c r="H5935" t="s">
        <v>9998</v>
      </c>
      <c r="I5935" t="s">
        <v>7352</v>
      </c>
      <c r="J5935" t="s">
        <v>32574</v>
      </c>
      <c r="K5935" t="s">
        <v>37243</v>
      </c>
      <c r="M5935" t="s">
        <v>39628</v>
      </c>
      <c r="N5935" t="s">
        <v>41249</v>
      </c>
      <c r="O5935" t="s">
        <v>41250</v>
      </c>
      <c r="P5935">
        <v>0</v>
      </c>
      <c r="Q5935">
        <v>0</v>
      </c>
      <c r="R5935" t="s">
        <v>41256</v>
      </c>
      <c r="S5935" t="s">
        <v>41450</v>
      </c>
      <c r="T5935" t="s">
        <v>42913</v>
      </c>
      <c r="U5935" t="s">
        <v>48120</v>
      </c>
      <c r="V5935" t="s">
        <v>54921</v>
      </c>
      <c r="W5935" t="s">
        <v>39628</v>
      </c>
      <c r="X5935" t="s">
        <v>41257</v>
      </c>
    </row>
    <row r="5936" spans="1:24">
      <c r="A5936">
        <f>HYPERLINK("https://www.philgeps.gov.ph/GEPSNONPILOT/Tender/SplashBidNoticeAbstractUI.aspx?menuIndex=3&amp;refID=7071042&amp;Result=3","7071042")</f>
        <v>0</v>
      </c>
      <c r="B5936" t="s">
        <v>1555</v>
      </c>
      <c r="C5936" t="s">
        <v>9046</v>
      </c>
      <c r="D5936" t="s">
        <v>16626</v>
      </c>
      <c r="E5936" t="s">
        <v>21955</v>
      </c>
      <c r="F5936" t="s">
        <v>28669</v>
      </c>
      <c r="G5936" t="s">
        <v>28675</v>
      </c>
      <c r="H5936" t="s">
        <v>9998</v>
      </c>
      <c r="I5936" t="s">
        <v>3718</v>
      </c>
      <c r="J5936" t="s">
        <v>29204</v>
      </c>
      <c r="K5936" t="s">
        <v>37209</v>
      </c>
      <c r="M5936" t="s">
        <v>39132</v>
      </c>
      <c r="N5936" t="s">
        <v>41249</v>
      </c>
      <c r="O5936" t="s">
        <v>41250</v>
      </c>
      <c r="P5936">
        <v>0</v>
      </c>
      <c r="Q5936">
        <v>1</v>
      </c>
      <c r="R5936" t="s">
        <v>41256</v>
      </c>
      <c r="S5936" t="s">
        <v>41450</v>
      </c>
      <c r="T5936" t="s">
        <v>42871</v>
      </c>
      <c r="U5936" t="s">
        <v>48121</v>
      </c>
      <c r="W5936" t="s">
        <v>39132</v>
      </c>
      <c r="X5936" t="s">
        <v>41257</v>
      </c>
    </row>
    <row r="5937" spans="1:24">
      <c r="A5937">
        <f>HYPERLINK("https://www.philgeps.gov.ph/GEPSNONPILOT/Tender/SplashBidNoticeAbstractUI.aspx?menuIndex=3&amp;refID=7071040&amp;Result=3","7071040")</f>
        <v>0</v>
      </c>
      <c r="B5937" t="s">
        <v>310</v>
      </c>
      <c r="C5937" t="s">
        <v>9047</v>
      </c>
      <c r="D5937" t="s">
        <v>16635</v>
      </c>
      <c r="E5937" t="s">
        <v>21956</v>
      </c>
      <c r="F5937" t="s">
        <v>28669</v>
      </c>
      <c r="G5937" t="s">
        <v>28676</v>
      </c>
      <c r="H5937" t="s">
        <v>9998</v>
      </c>
      <c r="I5937" t="s">
        <v>28698</v>
      </c>
      <c r="J5937" t="s">
        <v>32575</v>
      </c>
      <c r="K5937" t="s">
        <v>37209</v>
      </c>
      <c r="M5937" t="s">
        <v>37789</v>
      </c>
      <c r="N5937" t="s">
        <v>41249</v>
      </c>
      <c r="O5937" t="s">
        <v>41250</v>
      </c>
      <c r="P5937">
        <v>0</v>
      </c>
      <c r="Q5937">
        <v>0</v>
      </c>
      <c r="R5937" t="s">
        <v>41256</v>
      </c>
      <c r="S5937" t="s">
        <v>41450</v>
      </c>
      <c r="T5937" t="s">
        <v>42992</v>
      </c>
      <c r="U5937" t="s">
        <v>48122</v>
      </c>
      <c r="W5937" t="s">
        <v>37789</v>
      </c>
      <c r="X5937" t="s">
        <v>41257</v>
      </c>
    </row>
    <row r="5938" spans="1:24">
      <c r="A5938">
        <f>HYPERLINK("https://www.philgeps.gov.ph/GEPSNONPILOT/Tender/SplashBidNoticeAbstractUI.aspx?menuIndex=3&amp;refID=7071034&amp;Result=3","7071034")</f>
        <v>0</v>
      </c>
      <c r="B5938" t="s">
        <v>2005</v>
      </c>
      <c r="C5938" t="s">
        <v>9048</v>
      </c>
      <c r="D5938" t="s">
        <v>16608</v>
      </c>
      <c r="E5938" t="s">
        <v>21957</v>
      </c>
      <c r="F5938" t="s">
        <v>28669</v>
      </c>
      <c r="G5938" t="s">
        <v>28676</v>
      </c>
      <c r="H5938" t="s">
        <v>9998</v>
      </c>
      <c r="I5938" t="s">
        <v>28728</v>
      </c>
      <c r="J5938" t="s">
        <v>30258</v>
      </c>
      <c r="K5938" t="s">
        <v>37209</v>
      </c>
      <c r="M5938" t="s">
        <v>39643</v>
      </c>
      <c r="N5938" t="s">
        <v>41249</v>
      </c>
      <c r="O5938" t="s">
        <v>41250</v>
      </c>
      <c r="P5938">
        <v>0</v>
      </c>
      <c r="Q5938">
        <v>2</v>
      </c>
      <c r="R5938" t="s">
        <v>41256</v>
      </c>
      <c r="S5938" t="s">
        <v>41450</v>
      </c>
      <c r="T5938" t="s">
        <v>42992</v>
      </c>
      <c r="U5938" t="s">
        <v>48123</v>
      </c>
      <c r="W5938" t="s">
        <v>39643</v>
      </c>
      <c r="X5938" t="s">
        <v>41257</v>
      </c>
    </row>
    <row r="5939" spans="1:24">
      <c r="A5939">
        <f>HYPERLINK("https://www.philgeps.gov.ph/GEPSNONPILOT/Tender/SplashBidNoticeAbstractUI.aspx?menuIndex=3&amp;refID=7071032&amp;Result=3","7071032")</f>
        <v>0</v>
      </c>
      <c r="B5939" t="s">
        <v>1673</v>
      </c>
      <c r="C5939" t="s">
        <v>9049</v>
      </c>
      <c r="D5939" t="s">
        <v>16616</v>
      </c>
      <c r="E5939" t="s">
        <v>21958</v>
      </c>
      <c r="F5939" t="s">
        <v>28669</v>
      </c>
      <c r="G5939" t="s">
        <v>28676</v>
      </c>
      <c r="H5939" t="s">
        <v>9998</v>
      </c>
      <c r="I5939" t="s">
        <v>28690</v>
      </c>
      <c r="J5939" t="s">
        <v>29767</v>
      </c>
      <c r="K5939" t="s">
        <v>37204</v>
      </c>
      <c r="M5939" t="s">
        <v>39266</v>
      </c>
      <c r="N5939" t="s">
        <v>41249</v>
      </c>
      <c r="O5939" t="s">
        <v>41250</v>
      </c>
      <c r="P5939">
        <v>0</v>
      </c>
      <c r="Q5939">
        <v>2</v>
      </c>
      <c r="R5939" t="s">
        <v>41256</v>
      </c>
      <c r="S5939" t="s">
        <v>41450</v>
      </c>
      <c r="T5939" t="s">
        <v>42728</v>
      </c>
      <c r="U5939" t="s">
        <v>48124</v>
      </c>
      <c r="W5939" t="s">
        <v>39266</v>
      </c>
      <c r="X5939" t="s">
        <v>41257</v>
      </c>
    </row>
    <row r="5940" spans="1:24">
      <c r="A5940">
        <f>HYPERLINK("https://www.philgeps.gov.ph/GEPSNONPILOT/Tender/SplashBidNoticeAbstractUI.aspx?menuIndex=3&amp;refID=7071030&amp;Result=3","7071030")</f>
        <v>0</v>
      </c>
      <c r="B5940" t="s">
        <v>1829</v>
      </c>
      <c r="C5940" t="s">
        <v>9050</v>
      </c>
      <c r="D5940" t="s">
        <v>16661</v>
      </c>
      <c r="E5940" t="s">
        <v>21959</v>
      </c>
      <c r="F5940" t="s">
        <v>28669</v>
      </c>
      <c r="G5940" t="s">
        <v>28679</v>
      </c>
      <c r="H5940" t="s">
        <v>9998</v>
      </c>
      <c r="I5940" t="s">
        <v>28722</v>
      </c>
      <c r="J5940" t="s">
        <v>32576</v>
      </c>
      <c r="K5940" t="s">
        <v>37210</v>
      </c>
      <c r="M5940" t="s">
        <v>39634</v>
      </c>
      <c r="N5940" t="s">
        <v>41249</v>
      </c>
      <c r="O5940" t="s">
        <v>41250</v>
      </c>
      <c r="P5940">
        <v>0</v>
      </c>
      <c r="Q5940">
        <v>0</v>
      </c>
      <c r="R5940" t="s">
        <v>41256</v>
      </c>
      <c r="S5940" t="s">
        <v>41450</v>
      </c>
      <c r="T5940" t="s">
        <v>42727</v>
      </c>
      <c r="U5940" t="s">
        <v>48125</v>
      </c>
      <c r="W5940" t="s">
        <v>55976</v>
      </c>
      <c r="X5940" t="s">
        <v>41257</v>
      </c>
    </row>
    <row r="5941" spans="1:24">
      <c r="A5941">
        <f>HYPERLINK("https://www.philgeps.gov.ph/GEPSNONPILOT/Tender/SplashBidNoticeAbstractUI.aspx?menuIndex=3&amp;refID=7071026&amp;Result=3","7071026")</f>
        <v>0</v>
      </c>
      <c r="B5941" t="s">
        <v>1673</v>
      </c>
      <c r="C5941" t="s">
        <v>9051</v>
      </c>
      <c r="D5941" t="s">
        <v>16616</v>
      </c>
      <c r="E5941" t="s">
        <v>21960</v>
      </c>
      <c r="F5941" t="s">
        <v>28669</v>
      </c>
      <c r="G5941" t="s">
        <v>28678</v>
      </c>
      <c r="H5941" t="s">
        <v>9998</v>
      </c>
      <c r="I5941" t="s">
        <v>3718</v>
      </c>
      <c r="J5941" t="s">
        <v>32577</v>
      </c>
      <c r="K5941" t="s">
        <v>37204</v>
      </c>
      <c r="M5941" t="s">
        <v>39266</v>
      </c>
      <c r="N5941" t="s">
        <v>41249</v>
      </c>
      <c r="O5941" t="s">
        <v>41250</v>
      </c>
      <c r="P5941">
        <v>0</v>
      </c>
      <c r="Q5941">
        <v>0</v>
      </c>
      <c r="R5941" t="s">
        <v>41256</v>
      </c>
      <c r="S5941" t="s">
        <v>41450</v>
      </c>
      <c r="T5941" t="s">
        <v>42728</v>
      </c>
      <c r="U5941" t="s">
        <v>48124</v>
      </c>
      <c r="W5941" t="s">
        <v>39266</v>
      </c>
      <c r="X5941" t="s">
        <v>41257</v>
      </c>
    </row>
    <row r="5942" spans="1:24">
      <c r="A5942">
        <f>HYPERLINK("https://www.philgeps.gov.ph/GEPSNONPILOT/Tender/SplashBidNoticeAbstractUI.aspx?menuIndex=3&amp;refID=7071024&amp;Result=3","7071024")</f>
        <v>0</v>
      </c>
      <c r="B5942" t="s">
        <v>2002</v>
      </c>
      <c r="C5942" t="s">
        <v>9052</v>
      </c>
      <c r="D5942" t="s">
        <v>16638</v>
      </c>
      <c r="E5942" t="s">
        <v>21961</v>
      </c>
      <c r="F5942" t="s">
        <v>28669</v>
      </c>
      <c r="G5942" t="s">
        <v>28677</v>
      </c>
      <c r="H5942" t="s">
        <v>9998</v>
      </c>
      <c r="I5942" t="s">
        <v>28708</v>
      </c>
      <c r="J5942" t="s">
        <v>32578</v>
      </c>
      <c r="K5942" t="s">
        <v>37208</v>
      </c>
      <c r="M5942" t="s">
        <v>39640</v>
      </c>
      <c r="N5942" t="s">
        <v>41249</v>
      </c>
      <c r="O5942" t="s">
        <v>41250</v>
      </c>
      <c r="P5942">
        <v>0</v>
      </c>
      <c r="Q5942">
        <v>6</v>
      </c>
      <c r="R5942" t="s">
        <v>41256</v>
      </c>
      <c r="S5942" t="s">
        <v>41450</v>
      </c>
      <c r="T5942" t="s">
        <v>42729</v>
      </c>
      <c r="U5942" t="s">
        <v>48126</v>
      </c>
      <c r="V5942" t="s">
        <v>54924</v>
      </c>
      <c r="W5942" t="s">
        <v>39640</v>
      </c>
      <c r="X5942" t="s">
        <v>41257</v>
      </c>
    </row>
    <row r="5943" spans="1:24">
      <c r="A5943">
        <f>HYPERLINK("https://www.philgeps.gov.ph/GEPSNONPILOT/Tender/SplashBidNoticeAbstractUI.aspx?menuIndex=3&amp;refID=7071015&amp;Result=3","7071015")</f>
        <v>0</v>
      </c>
      <c r="B5943" t="s">
        <v>2006</v>
      </c>
      <c r="C5943" t="s">
        <v>9053</v>
      </c>
      <c r="D5943" t="s">
        <v>16677</v>
      </c>
      <c r="E5943" t="s">
        <v>21962</v>
      </c>
      <c r="F5943" t="s">
        <v>28669</v>
      </c>
      <c r="G5943" t="s">
        <v>28676</v>
      </c>
      <c r="H5943" t="s">
        <v>9998</v>
      </c>
      <c r="I5943" t="s">
        <v>28729</v>
      </c>
      <c r="J5943" t="s">
        <v>32579</v>
      </c>
      <c r="K5943" t="s">
        <v>37210</v>
      </c>
      <c r="M5943" t="s">
        <v>39644</v>
      </c>
      <c r="N5943" t="s">
        <v>41249</v>
      </c>
      <c r="O5943" t="s">
        <v>41250</v>
      </c>
      <c r="P5943">
        <v>0</v>
      </c>
      <c r="Q5943">
        <v>12</v>
      </c>
      <c r="R5943" t="s">
        <v>41256</v>
      </c>
      <c r="S5943" t="s">
        <v>41450</v>
      </c>
      <c r="T5943" t="s">
        <v>42758</v>
      </c>
      <c r="U5943" t="s">
        <v>48127</v>
      </c>
      <c r="V5943" t="s">
        <v>54925</v>
      </c>
      <c r="W5943" t="s">
        <v>39644</v>
      </c>
      <c r="X5943" t="s">
        <v>41257</v>
      </c>
    </row>
    <row r="5944" spans="1:24">
      <c r="A5944">
        <f>HYPERLINK("https://www.philgeps.gov.ph/GEPSNONPILOT/Tender/SplashBidNoticeAbstractUI.aspx?menuIndex=3&amp;refID=7071051&amp;Result=3","7071051")</f>
        <v>0</v>
      </c>
      <c r="B5944" t="s">
        <v>1673</v>
      </c>
      <c r="C5944" t="s">
        <v>9054</v>
      </c>
      <c r="D5944" t="s">
        <v>16616</v>
      </c>
      <c r="E5944" t="s">
        <v>21963</v>
      </c>
      <c r="F5944" t="s">
        <v>28669</v>
      </c>
      <c r="G5944" t="s">
        <v>28676</v>
      </c>
      <c r="H5944" t="s">
        <v>9998</v>
      </c>
      <c r="I5944" t="s">
        <v>28690</v>
      </c>
      <c r="J5944" t="s">
        <v>29448</v>
      </c>
      <c r="K5944" t="s">
        <v>37204</v>
      </c>
      <c r="M5944" t="s">
        <v>39266</v>
      </c>
      <c r="N5944" t="s">
        <v>41249</v>
      </c>
      <c r="O5944" t="s">
        <v>41250</v>
      </c>
      <c r="P5944">
        <v>0</v>
      </c>
      <c r="Q5944">
        <v>0</v>
      </c>
      <c r="R5944" t="s">
        <v>41256</v>
      </c>
      <c r="S5944" t="s">
        <v>41450</v>
      </c>
      <c r="T5944" t="s">
        <v>42728</v>
      </c>
      <c r="U5944" t="s">
        <v>48124</v>
      </c>
      <c r="W5944" t="s">
        <v>39266</v>
      </c>
      <c r="X5944" t="s">
        <v>41257</v>
      </c>
    </row>
    <row r="5945" spans="1:24">
      <c r="A5945">
        <f>HYPERLINK("https://www.philgeps.gov.ph/GEPSNONPILOT/Tender/SplashBidNoticeAbstractUI.aspx?menuIndex=3&amp;refID=7071010&amp;Result=3","7071010")</f>
        <v>0</v>
      </c>
      <c r="B5945" t="s">
        <v>2007</v>
      </c>
      <c r="C5945" t="s">
        <v>9055</v>
      </c>
      <c r="D5945" t="s">
        <v>16615</v>
      </c>
      <c r="E5945" t="s">
        <v>21964</v>
      </c>
      <c r="F5945" t="s">
        <v>28669</v>
      </c>
      <c r="G5945" t="s">
        <v>28676</v>
      </c>
      <c r="H5945" t="s">
        <v>28686</v>
      </c>
      <c r="I5945" t="s">
        <v>28689</v>
      </c>
      <c r="J5945" t="s">
        <v>32580</v>
      </c>
      <c r="K5945" t="s">
        <v>37205</v>
      </c>
      <c r="M5945" t="s">
        <v>39645</v>
      </c>
      <c r="N5945" t="s">
        <v>41249</v>
      </c>
      <c r="O5945" t="s">
        <v>41250</v>
      </c>
      <c r="P5945">
        <v>0</v>
      </c>
      <c r="Q5945">
        <v>0</v>
      </c>
      <c r="R5945" t="s">
        <v>41256</v>
      </c>
      <c r="S5945" t="s">
        <v>41450</v>
      </c>
      <c r="T5945" t="s">
        <v>42717</v>
      </c>
      <c r="U5945" t="s">
        <v>48128</v>
      </c>
      <c r="V5945" t="s">
        <v>54926</v>
      </c>
      <c r="W5945" t="s">
        <v>39645</v>
      </c>
      <c r="X5945" t="s">
        <v>41257</v>
      </c>
    </row>
    <row r="5946" spans="1:24">
      <c r="A5946">
        <f>HYPERLINK("https://www.philgeps.gov.ph/GEPSNONPILOT/Tender/SplashBidNoticeAbstractUI.aspx?menuIndex=3&amp;refID=7070962&amp;Result=3","7070962")</f>
        <v>0</v>
      </c>
      <c r="B5946" t="s">
        <v>2008</v>
      </c>
      <c r="C5946" t="s">
        <v>9056</v>
      </c>
      <c r="D5946" t="s">
        <v>16642</v>
      </c>
      <c r="E5946" t="s">
        <v>16971</v>
      </c>
      <c r="F5946" t="s">
        <v>28669</v>
      </c>
      <c r="G5946" t="s">
        <v>28675</v>
      </c>
      <c r="H5946" t="s">
        <v>28686</v>
      </c>
      <c r="I5946" t="s">
        <v>28689</v>
      </c>
      <c r="J5946" t="s">
        <v>29003</v>
      </c>
      <c r="K5946" t="s">
        <v>37312</v>
      </c>
      <c r="M5946" t="s">
        <v>39646</v>
      </c>
      <c r="N5946" t="s">
        <v>41249</v>
      </c>
      <c r="O5946" t="s">
        <v>41250</v>
      </c>
      <c r="P5946">
        <v>0</v>
      </c>
      <c r="Q5946">
        <v>0</v>
      </c>
      <c r="R5946" t="s">
        <v>41256</v>
      </c>
      <c r="S5946" t="s">
        <v>41450</v>
      </c>
      <c r="T5946" t="s">
        <v>42675</v>
      </c>
      <c r="U5946" t="s">
        <v>48129</v>
      </c>
      <c r="W5946" t="s">
        <v>39646</v>
      </c>
      <c r="X5946" t="s">
        <v>41257</v>
      </c>
    </row>
    <row r="5947" spans="1:24">
      <c r="A5947">
        <f>HYPERLINK("https://www.philgeps.gov.ph/GEPSNONPILOT/Tender/SplashBidNoticeAbstractUI.aspx?menuIndex=3&amp;refID=7071031&amp;Result=3","7071031")</f>
        <v>0</v>
      </c>
      <c r="B5947" t="s">
        <v>1987</v>
      </c>
      <c r="C5947" t="s">
        <v>9057</v>
      </c>
      <c r="D5947" t="s">
        <v>16608</v>
      </c>
      <c r="E5947" t="s">
        <v>20698</v>
      </c>
      <c r="F5947" t="s">
        <v>28669</v>
      </c>
      <c r="G5947" t="s">
        <v>28675</v>
      </c>
      <c r="H5947" t="s">
        <v>9998</v>
      </c>
      <c r="I5947" t="s">
        <v>28707</v>
      </c>
      <c r="J5947" t="s">
        <v>29135</v>
      </c>
      <c r="K5947" t="s">
        <v>37206</v>
      </c>
      <c r="M5947" t="s">
        <v>39623</v>
      </c>
      <c r="N5947" t="s">
        <v>41249</v>
      </c>
      <c r="O5947" t="s">
        <v>41250</v>
      </c>
      <c r="P5947">
        <v>0</v>
      </c>
      <c r="Q5947">
        <v>5</v>
      </c>
      <c r="R5947" t="s">
        <v>41256</v>
      </c>
      <c r="S5947" t="s">
        <v>41450</v>
      </c>
      <c r="T5947" t="s">
        <v>42673</v>
      </c>
      <c r="U5947" t="s">
        <v>48130</v>
      </c>
      <c r="W5947" t="s">
        <v>39623</v>
      </c>
      <c r="X5947" t="s">
        <v>41257</v>
      </c>
    </row>
    <row r="5948" spans="1:24">
      <c r="A5948">
        <f>HYPERLINK("https://www.philgeps.gov.ph/GEPSNONPILOT/Tender/SplashBidNoticeAbstractUI.aspx?menuIndex=3&amp;refID=7071017&amp;Result=3","7071017")</f>
        <v>0</v>
      </c>
      <c r="B5948" t="s">
        <v>310</v>
      </c>
      <c r="C5948" t="s">
        <v>9058</v>
      </c>
      <c r="D5948" t="s">
        <v>16635</v>
      </c>
      <c r="E5948" t="s">
        <v>21965</v>
      </c>
      <c r="F5948" t="s">
        <v>28669</v>
      </c>
      <c r="G5948" t="s">
        <v>28676</v>
      </c>
      <c r="H5948" t="s">
        <v>9998</v>
      </c>
      <c r="I5948" t="s">
        <v>28722</v>
      </c>
      <c r="J5948" t="s">
        <v>28912</v>
      </c>
      <c r="K5948" t="s">
        <v>37209</v>
      </c>
      <c r="M5948" t="s">
        <v>37789</v>
      </c>
      <c r="N5948" t="s">
        <v>41249</v>
      </c>
      <c r="O5948" t="s">
        <v>41250</v>
      </c>
      <c r="P5948">
        <v>0</v>
      </c>
      <c r="Q5948">
        <v>0</v>
      </c>
      <c r="R5948" t="s">
        <v>41256</v>
      </c>
      <c r="S5948" t="s">
        <v>41450</v>
      </c>
      <c r="T5948" t="s">
        <v>42992</v>
      </c>
      <c r="U5948" t="s">
        <v>48131</v>
      </c>
      <c r="W5948" t="s">
        <v>37789</v>
      </c>
      <c r="X5948" t="s">
        <v>41257</v>
      </c>
    </row>
    <row r="5949" spans="1:24">
      <c r="A5949">
        <f>HYPERLINK("https://www.philgeps.gov.ph/GEPSNONPILOT/Tender/SplashBidNoticeAbstractUI.aspx?menuIndex=3&amp;refID=7070956&amp;Result=3","7070956")</f>
        <v>0</v>
      </c>
      <c r="B5949" t="s">
        <v>1829</v>
      </c>
      <c r="C5949" t="s">
        <v>9059</v>
      </c>
      <c r="D5949" t="s">
        <v>16661</v>
      </c>
      <c r="E5949" t="s">
        <v>21966</v>
      </c>
      <c r="F5949" t="s">
        <v>28669</v>
      </c>
      <c r="G5949" t="s">
        <v>28679</v>
      </c>
      <c r="H5949" t="s">
        <v>9998</v>
      </c>
      <c r="I5949" t="s">
        <v>28742</v>
      </c>
      <c r="J5949" t="s">
        <v>31229</v>
      </c>
      <c r="K5949" t="s">
        <v>37210</v>
      </c>
      <c r="M5949" t="s">
        <v>39634</v>
      </c>
      <c r="N5949" t="s">
        <v>41249</v>
      </c>
      <c r="O5949" t="s">
        <v>41250</v>
      </c>
      <c r="P5949">
        <v>0</v>
      </c>
      <c r="Q5949">
        <v>6</v>
      </c>
      <c r="R5949" t="s">
        <v>41256</v>
      </c>
      <c r="S5949" t="s">
        <v>41450</v>
      </c>
      <c r="T5949" t="s">
        <v>42727</v>
      </c>
      <c r="U5949" t="s">
        <v>48132</v>
      </c>
      <c r="W5949" t="s">
        <v>55976</v>
      </c>
      <c r="X5949" t="s">
        <v>41257</v>
      </c>
    </row>
    <row r="5950" spans="1:24">
      <c r="A5950">
        <f>HYPERLINK("https://www.philgeps.gov.ph/GEPSNONPILOT/Tender/SplashBidNoticeAbstractUI.aspx?menuIndex=3&amp;refID=7071049&amp;Result=3","7071049")</f>
        <v>0</v>
      </c>
      <c r="B5950" t="s">
        <v>29</v>
      </c>
      <c r="C5950" t="s">
        <v>9060</v>
      </c>
      <c r="D5950" t="s">
        <v>16611</v>
      </c>
      <c r="E5950" t="s">
        <v>21967</v>
      </c>
      <c r="F5950" t="s">
        <v>28669</v>
      </c>
      <c r="G5950" t="s">
        <v>28676</v>
      </c>
      <c r="H5950" t="s">
        <v>9998</v>
      </c>
      <c r="I5950" t="s">
        <v>28728</v>
      </c>
      <c r="J5950" t="s">
        <v>32581</v>
      </c>
      <c r="K5950" t="s">
        <v>37209</v>
      </c>
      <c r="M5950" t="s">
        <v>37931</v>
      </c>
      <c r="N5950" t="s">
        <v>41249</v>
      </c>
      <c r="O5950" t="s">
        <v>41250</v>
      </c>
      <c r="P5950">
        <v>0</v>
      </c>
      <c r="Q5950">
        <v>0</v>
      </c>
      <c r="R5950" t="s">
        <v>41256</v>
      </c>
      <c r="S5950" t="s">
        <v>41450</v>
      </c>
      <c r="T5950" t="s">
        <v>42665</v>
      </c>
      <c r="U5950" t="s">
        <v>48133</v>
      </c>
      <c r="W5950" t="s">
        <v>37931</v>
      </c>
      <c r="X5950" t="s">
        <v>41257</v>
      </c>
    </row>
    <row r="5951" spans="1:24">
      <c r="A5951">
        <f>HYPERLINK("https://www.philgeps.gov.ph/GEPSNONPILOT/Tender/SplashBidNoticeAbstractUI.aspx?menuIndex=3&amp;refID=7071009&amp;Result=3","7071009")</f>
        <v>0</v>
      </c>
      <c r="B5951" t="s">
        <v>1987</v>
      </c>
      <c r="C5951" t="s">
        <v>9061</v>
      </c>
      <c r="D5951" t="s">
        <v>16608</v>
      </c>
      <c r="E5951" t="s">
        <v>17939</v>
      </c>
      <c r="F5951" t="s">
        <v>28669</v>
      </c>
      <c r="G5951" t="s">
        <v>28675</v>
      </c>
      <c r="H5951" t="s">
        <v>9998</v>
      </c>
      <c r="I5951" t="s">
        <v>3658</v>
      </c>
      <c r="J5951" t="s">
        <v>29538</v>
      </c>
      <c r="K5951" t="s">
        <v>37206</v>
      </c>
      <c r="M5951" t="s">
        <v>39623</v>
      </c>
      <c r="N5951" t="s">
        <v>41249</v>
      </c>
      <c r="O5951" t="s">
        <v>41250</v>
      </c>
      <c r="P5951">
        <v>0</v>
      </c>
      <c r="Q5951">
        <v>3</v>
      </c>
      <c r="R5951" t="s">
        <v>41256</v>
      </c>
      <c r="S5951" t="s">
        <v>41450</v>
      </c>
      <c r="T5951" t="s">
        <v>42838</v>
      </c>
      <c r="U5951" t="s">
        <v>48134</v>
      </c>
      <c r="W5951" t="s">
        <v>39623</v>
      </c>
      <c r="X5951" t="s">
        <v>41257</v>
      </c>
    </row>
    <row r="5952" spans="1:24">
      <c r="A5952">
        <f>HYPERLINK("https://www.philgeps.gov.ph/GEPSNONPILOT/Tender/SplashBidNoticeAbstractUI.aspx?menuIndex=3&amp;refID=7071007&amp;Result=3","7071007")</f>
        <v>0</v>
      </c>
      <c r="B5952" t="s">
        <v>1673</v>
      </c>
      <c r="C5952" t="s">
        <v>9062</v>
      </c>
      <c r="D5952" t="s">
        <v>16616</v>
      </c>
      <c r="E5952" t="s">
        <v>21968</v>
      </c>
      <c r="F5952" t="s">
        <v>28669</v>
      </c>
      <c r="G5952" t="s">
        <v>28678</v>
      </c>
      <c r="H5952" t="s">
        <v>9998</v>
      </c>
      <c r="I5952" t="s">
        <v>28699</v>
      </c>
      <c r="J5952" t="s">
        <v>29124</v>
      </c>
      <c r="K5952" t="s">
        <v>37204</v>
      </c>
      <c r="M5952" t="s">
        <v>39266</v>
      </c>
      <c r="N5952" t="s">
        <v>41249</v>
      </c>
      <c r="O5952" t="s">
        <v>41250</v>
      </c>
      <c r="P5952">
        <v>0</v>
      </c>
      <c r="Q5952">
        <v>1</v>
      </c>
      <c r="R5952" t="s">
        <v>41256</v>
      </c>
      <c r="S5952" t="s">
        <v>41450</v>
      </c>
      <c r="T5952" t="s">
        <v>42728</v>
      </c>
      <c r="U5952" t="s">
        <v>48124</v>
      </c>
      <c r="W5952" t="s">
        <v>39266</v>
      </c>
      <c r="X5952" t="s">
        <v>41257</v>
      </c>
    </row>
    <row r="5953" spans="1:24">
      <c r="A5953">
        <f>HYPERLINK("https://www.philgeps.gov.ph/GEPSNONPILOT/Tender/SplashBidNoticeAbstractUI.aspx?menuIndex=3&amp;refID=7070939&amp;Result=3","7070939")</f>
        <v>0</v>
      </c>
      <c r="B5953" t="s">
        <v>1793</v>
      </c>
      <c r="C5953" t="s">
        <v>9063</v>
      </c>
      <c r="D5953" t="s">
        <v>16659</v>
      </c>
      <c r="E5953" t="s">
        <v>21969</v>
      </c>
      <c r="F5953" t="s">
        <v>28669</v>
      </c>
      <c r="G5953" t="s">
        <v>28676</v>
      </c>
      <c r="H5953" t="s">
        <v>28686</v>
      </c>
      <c r="I5953" t="s">
        <v>28689</v>
      </c>
      <c r="J5953" t="s">
        <v>32582</v>
      </c>
      <c r="K5953" t="s">
        <v>37282</v>
      </c>
      <c r="M5953" t="s">
        <v>39400</v>
      </c>
      <c r="N5953" t="s">
        <v>41249</v>
      </c>
      <c r="O5953" t="s">
        <v>41250</v>
      </c>
      <c r="P5953">
        <v>0</v>
      </c>
      <c r="Q5953">
        <v>0</v>
      </c>
      <c r="R5953" t="s">
        <v>41256</v>
      </c>
      <c r="S5953" t="s">
        <v>41450</v>
      </c>
      <c r="T5953" t="s">
        <v>42673</v>
      </c>
      <c r="U5953" t="s">
        <v>48135</v>
      </c>
      <c r="V5953" t="s">
        <v>54927</v>
      </c>
      <c r="W5953" t="s">
        <v>39400</v>
      </c>
      <c r="X5953" t="s">
        <v>41257</v>
      </c>
    </row>
    <row r="5954" spans="1:24">
      <c r="A5954">
        <f>HYPERLINK("https://www.philgeps.gov.ph/GEPSNONPILOT/Tender/SplashBidNoticeAbstractUI.aspx?menuIndex=3&amp;refID=7070960&amp;Result=3","7070960")</f>
        <v>0</v>
      </c>
      <c r="B5954" t="s">
        <v>2009</v>
      </c>
      <c r="C5954" t="s">
        <v>9064</v>
      </c>
      <c r="D5954" t="s">
        <v>16671</v>
      </c>
      <c r="E5954" t="s">
        <v>17947</v>
      </c>
      <c r="F5954" t="s">
        <v>28669</v>
      </c>
      <c r="G5954" t="s">
        <v>28676</v>
      </c>
      <c r="H5954" t="s">
        <v>9998</v>
      </c>
      <c r="I5954" t="s">
        <v>5213</v>
      </c>
      <c r="J5954" t="s">
        <v>32583</v>
      </c>
      <c r="K5954" t="s">
        <v>37220</v>
      </c>
      <c r="M5954" t="s">
        <v>39647</v>
      </c>
      <c r="N5954" t="s">
        <v>41249</v>
      </c>
      <c r="O5954" t="s">
        <v>41250</v>
      </c>
      <c r="P5954">
        <v>0</v>
      </c>
      <c r="Q5954">
        <v>2</v>
      </c>
      <c r="R5954" t="s">
        <v>41256</v>
      </c>
      <c r="S5954" t="s">
        <v>41450</v>
      </c>
      <c r="T5954" t="s">
        <v>42758</v>
      </c>
      <c r="U5954" t="s">
        <v>48136</v>
      </c>
      <c r="W5954" t="s">
        <v>39647</v>
      </c>
      <c r="X5954" t="s">
        <v>41257</v>
      </c>
    </row>
    <row r="5955" spans="1:24">
      <c r="A5955">
        <f>HYPERLINK("https://www.philgeps.gov.ph/GEPSNONPILOT/Tender/SplashBidNoticeAbstractUI.aspx?menuIndex=3&amp;refID=7071016&amp;Result=3","7071016")</f>
        <v>0</v>
      </c>
      <c r="B5955" t="s">
        <v>1793</v>
      </c>
      <c r="C5955" t="s">
        <v>9065</v>
      </c>
      <c r="D5955" t="s">
        <v>16659</v>
      </c>
      <c r="E5955" t="s">
        <v>21970</v>
      </c>
      <c r="F5955" t="s">
        <v>28669</v>
      </c>
      <c r="G5955" t="s">
        <v>28675</v>
      </c>
      <c r="H5955" t="s">
        <v>28686</v>
      </c>
      <c r="I5955" t="s">
        <v>28689</v>
      </c>
      <c r="J5955" t="s">
        <v>28826</v>
      </c>
      <c r="K5955" t="s">
        <v>37206</v>
      </c>
      <c r="M5955" t="s">
        <v>39400</v>
      </c>
      <c r="N5955" t="s">
        <v>41249</v>
      </c>
      <c r="O5955" t="s">
        <v>41250</v>
      </c>
      <c r="P5955">
        <v>0</v>
      </c>
      <c r="Q5955">
        <v>0</v>
      </c>
      <c r="R5955" t="s">
        <v>41256</v>
      </c>
      <c r="S5955" t="s">
        <v>41450</v>
      </c>
      <c r="T5955" t="s">
        <v>42711</v>
      </c>
      <c r="U5955" t="s">
        <v>48137</v>
      </c>
      <c r="V5955" t="s">
        <v>54928</v>
      </c>
      <c r="W5955" t="s">
        <v>39400</v>
      </c>
      <c r="X5955" t="s">
        <v>41257</v>
      </c>
    </row>
    <row r="5956" spans="1:24">
      <c r="A5956">
        <f>HYPERLINK("https://www.philgeps.gov.ph/GEPSNONPILOT/Tender/SplashBidNoticeAbstractUI.aspx?menuIndex=3&amp;refID=7070949&amp;Result=3","7070949")</f>
        <v>0</v>
      </c>
      <c r="B5956" t="s">
        <v>310</v>
      </c>
      <c r="C5956" t="s">
        <v>3418</v>
      </c>
      <c r="D5956" t="s">
        <v>16635</v>
      </c>
      <c r="E5956" t="s">
        <v>21971</v>
      </c>
      <c r="F5956" t="s">
        <v>28669</v>
      </c>
      <c r="G5956" t="s">
        <v>28676</v>
      </c>
      <c r="H5956" t="s">
        <v>9998</v>
      </c>
      <c r="I5956" t="s">
        <v>5286</v>
      </c>
      <c r="J5956" t="s">
        <v>28851</v>
      </c>
      <c r="K5956" t="s">
        <v>37209</v>
      </c>
      <c r="M5956" t="s">
        <v>37789</v>
      </c>
      <c r="N5956" t="s">
        <v>41249</v>
      </c>
      <c r="O5956" t="s">
        <v>41250</v>
      </c>
      <c r="P5956">
        <v>0</v>
      </c>
      <c r="Q5956">
        <v>2</v>
      </c>
      <c r="R5956" t="s">
        <v>41256</v>
      </c>
      <c r="S5956" t="s">
        <v>41450</v>
      </c>
      <c r="T5956" t="s">
        <v>42992</v>
      </c>
      <c r="U5956" t="s">
        <v>48138</v>
      </c>
      <c r="W5956" t="s">
        <v>37789</v>
      </c>
      <c r="X5956" t="s">
        <v>41257</v>
      </c>
    </row>
    <row r="5957" spans="1:24">
      <c r="A5957">
        <f>HYPERLINK("https://www.philgeps.gov.ph/GEPSNONPILOT/Tender/SplashBidNoticeAbstractUI.aspx?menuIndex=3&amp;refID=7070798&amp;Result=3","7070798")</f>
        <v>0</v>
      </c>
      <c r="B5957" t="s">
        <v>267</v>
      </c>
      <c r="C5957" t="s">
        <v>8987</v>
      </c>
      <c r="D5957" t="s">
        <v>16679</v>
      </c>
      <c r="E5957" t="s">
        <v>21936</v>
      </c>
      <c r="F5957" t="s">
        <v>28669</v>
      </c>
      <c r="G5957" t="s">
        <v>28675</v>
      </c>
      <c r="H5957" t="s">
        <v>28686</v>
      </c>
      <c r="I5957" t="s">
        <v>28689</v>
      </c>
      <c r="J5957" t="s">
        <v>28881</v>
      </c>
      <c r="K5957" t="s">
        <v>37233</v>
      </c>
      <c r="M5957" t="s">
        <v>38160</v>
      </c>
      <c r="N5957" t="s">
        <v>41249</v>
      </c>
      <c r="O5957" t="s">
        <v>41250</v>
      </c>
      <c r="P5957">
        <v>0</v>
      </c>
      <c r="Q5957">
        <v>14</v>
      </c>
      <c r="R5957" t="s">
        <v>41256</v>
      </c>
      <c r="S5957" t="s">
        <v>41450</v>
      </c>
      <c r="T5957" t="s">
        <v>42818</v>
      </c>
      <c r="U5957" t="s">
        <v>48032</v>
      </c>
      <c r="V5957" t="s">
        <v>54916</v>
      </c>
      <c r="W5957" t="s">
        <v>55923</v>
      </c>
      <c r="X5957" t="s">
        <v>41257</v>
      </c>
    </row>
    <row r="5958" spans="1:24">
      <c r="A5958">
        <f>HYPERLINK("https://www.philgeps.gov.ph/GEPSNONPILOT/Tender/SplashBidNoticeAbstractUI.aspx?menuIndex=3&amp;refID=7070697&amp;Result=3","7070697")</f>
        <v>0</v>
      </c>
      <c r="B5958" t="s">
        <v>1962</v>
      </c>
      <c r="C5958" t="s">
        <v>9066</v>
      </c>
      <c r="D5958" t="s">
        <v>16661</v>
      </c>
      <c r="E5958" t="s">
        <v>9066</v>
      </c>
      <c r="F5958" t="s">
        <v>28669</v>
      </c>
      <c r="G5958" t="s">
        <v>28676</v>
      </c>
      <c r="H5958" t="s">
        <v>9998</v>
      </c>
      <c r="I5958" t="s">
        <v>28704</v>
      </c>
      <c r="J5958" t="s">
        <v>31046</v>
      </c>
      <c r="K5958" t="s">
        <v>37220</v>
      </c>
      <c r="M5958" t="s">
        <v>39595</v>
      </c>
      <c r="N5958" t="s">
        <v>41249</v>
      </c>
      <c r="O5958" t="s">
        <v>41250</v>
      </c>
      <c r="P5958">
        <v>0</v>
      </c>
      <c r="Q5958">
        <v>0</v>
      </c>
      <c r="R5958" t="s">
        <v>41256</v>
      </c>
      <c r="S5958" t="s">
        <v>41450</v>
      </c>
      <c r="T5958" t="s">
        <v>42711</v>
      </c>
      <c r="U5958" t="s">
        <v>47986</v>
      </c>
      <c r="W5958" t="s">
        <v>39595</v>
      </c>
      <c r="X5958" t="s">
        <v>41257</v>
      </c>
    </row>
    <row r="5959" spans="1:24">
      <c r="A5959">
        <f>HYPERLINK("https://www.philgeps.gov.ph/GEPSNONPILOT/Tender/SplashBidNoticeAbstractUI.aspx?menuIndex=3&amp;refID=7070874&amp;Result=3","7070874")</f>
        <v>0</v>
      </c>
      <c r="B5959" t="s">
        <v>1522</v>
      </c>
      <c r="C5959" t="s">
        <v>9067</v>
      </c>
      <c r="D5959" t="s">
        <v>16686</v>
      </c>
      <c r="E5959" t="s">
        <v>21972</v>
      </c>
      <c r="F5959" t="s">
        <v>28669</v>
      </c>
      <c r="G5959" t="s">
        <v>28675</v>
      </c>
      <c r="H5959" t="s">
        <v>9998</v>
      </c>
      <c r="I5959" t="s">
        <v>6128</v>
      </c>
      <c r="J5959" t="s">
        <v>32584</v>
      </c>
      <c r="K5959" t="s">
        <v>37210</v>
      </c>
      <c r="M5959" t="s">
        <v>39573</v>
      </c>
      <c r="N5959" t="s">
        <v>41249</v>
      </c>
      <c r="O5959" t="s">
        <v>41250</v>
      </c>
      <c r="P5959">
        <v>0</v>
      </c>
      <c r="Q5959">
        <v>0</v>
      </c>
      <c r="R5959" t="s">
        <v>41256</v>
      </c>
      <c r="S5959" t="s">
        <v>41450</v>
      </c>
      <c r="T5959" t="s">
        <v>42663</v>
      </c>
      <c r="U5959" t="s">
        <v>48139</v>
      </c>
      <c r="W5959" t="s">
        <v>39573</v>
      </c>
      <c r="X5959" t="s">
        <v>41257</v>
      </c>
    </row>
    <row r="5960" spans="1:24">
      <c r="A5960">
        <f>HYPERLINK("https://www.philgeps.gov.ph/GEPSNONPILOT/Tender/SplashBidNoticeAbstractUI.aspx?menuIndex=3&amp;refID=7070879&amp;Result=3","7070879")</f>
        <v>0</v>
      </c>
      <c r="B5960" t="s">
        <v>1060</v>
      </c>
      <c r="C5960" t="s">
        <v>9068</v>
      </c>
      <c r="D5960" t="s">
        <v>16643</v>
      </c>
      <c r="E5960" t="s">
        <v>21973</v>
      </c>
      <c r="F5960" t="s">
        <v>28669</v>
      </c>
      <c r="G5960" t="s">
        <v>28677</v>
      </c>
      <c r="H5960" t="s">
        <v>9998</v>
      </c>
      <c r="I5960" t="s">
        <v>6128</v>
      </c>
      <c r="J5960" t="s">
        <v>29242</v>
      </c>
      <c r="K5960" t="s">
        <v>37209</v>
      </c>
      <c r="M5960" t="s">
        <v>38591</v>
      </c>
      <c r="N5960" t="s">
        <v>41249</v>
      </c>
      <c r="O5960" t="s">
        <v>41250</v>
      </c>
      <c r="P5960">
        <v>0</v>
      </c>
      <c r="Q5960">
        <v>0</v>
      </c>
      <c r="R5960" t="s">
        <v>41256</v>
      </c>
      <c r="S5960" t="s">
        <v>41450</v>
      </c>
      <c r="T5960" t="s">
        <v>42876</v>
      </c>
      <c r="U5960" t="s">
        <v>45344</v>
      </c>
      <c r="W5960" t="s">
        <v>38591</v>
      </c>
      <c r="X5960" t="s">
        <v>41257</v>
      </c>
    </row>
    <row r="5961" spans="1:24">
      <c r="A5961">
        <f>HYPERLINK("https://www.philgeps.gov.ph/GEPSNONPILOT/Tender/SplashBidNoticeAbstractUI.aspx?menuIndex=3&amp;refID=7070636&amp;Result=3","7070636")</f>
        <v>0</v>
      </c>
      <c r="B5961" t="s">
        <v>1965</v>
      </c>
      <c r="C5961" t="s">
        <v>9069</v>
      </c>
      <c r="D5961" t="s">
        <v>16670</v>
      </c>
      <c r="E5961" t="s">
        <v>21974</v>
      </c>
      <c r="F5961" t="s">
        <v>28669</v>
      </c>
      <c r="G5961" t="s">
        <v>28676</v>
      </c>
      <c r="H5961" t="s">
        <v>9998</v>
      </c>
      <c r="I5961" t="s">
        <v>6128</v>
      </c>
      <c r="J5961" t="s">
        <v>32585</v>
      </c>
      <c r="K5961" t="s">
        <v>37206</v>
      </c>
      <c r="M5961" t="s">
        <v>39598</v>
      </c>
      <c r="N5961" t="s">
        <v>41249</v>
      </c>
      <c r="O5961" t="s">
        <v>41250</v>
      </c>
      <c r="P5961">
        <v>0</v>
      </c>
      <c r="Q5961">
        <v>0</v>
      </c>
      <c r="R5961" t="s">
        <v>41256</v>
      </c>
      <c r="S5961" t="s">
        <v>41450</v>
      </c>
      <c r="T5961" t="s">
        <v>42678</v>
      </c>
      <c r="U5961" t="s">
        <v>44022</v>
      </c>
      <c r="V5961" t="s">
        <v>54906</v>
      </c>
      <c r="W5961" t="s">
        <v>39598</v>
      </c>
      <c r="X5961" t="s">
        <v>41257</v>
      </c>
    </row>
    <row r="5962" spans="1:24">
      <c r="A5962">
        <f>HYPERLINK("https://www.philgeps.gov.ph/GEPSNONPILOT/Tender/SplashBidNoticeAbstractUI.aspx?menuIndex=3&amp;refID=7071120&amp;Result=3","7071120")</f>
        <v>0</v>
      </c>
      <c r="B5962" t="s">
        <v>2010</v>
      </c>
      <c r="C5962" t="s">
        <v>9070</v>
      </c>
      <c r="D5962" t="s">
        <v>16666</v>
      </c>
      <c r="E5962" t="s">
        <v>17768</v>
      </c>
      <c r="F5962" t="s">
        <v>28669</v>
      </c>
      <c r="G5962" t="s">
        <v>28676</v>
      </c>
      <c r="H5962" t="s">
        <v>9998</v>
      </c>
      <c r="I5962" t="s">
        <v>3718</v>
      </c>
      <c r="J5962" t="s">
        <v>29523</v>
      </c>
      <c r="K5962" t="s">
        <v>37208</v>
      </c>
      <c r="M5962" t="s">
        <v>39648</v>
      </c>
      <c r="N5962" t="s">
        <v>41249</v>
      </c>
      <c r="O5962" t="s">
        <v>41250</v>
      </c>
      <c r="P5962">
        <v>0</v>
      </c>
      <c r="Q5962">
        <v>1</v>
      </c>
      <c r="R5962" t="s">
        <v>41256</v>
      </c>
      <c r="S5962" t="s">
        <v>41450</v>
      </c>
      <c r="T5962" t="s">
        <v>42758</v>
      </c>
      <c r="U5962" t="s">
        <v>48140</v>
      </c>
      <c r="W5962" t="s">
        <v>39648</v>
      </c>
      <c r="X5962" t="s">
        <v>41257</v>
      </c>
    </row>
    <row r="5963" spans="1:24">
      <c r="A5963">
        <f>HYPERLINK("https://www.philgeps.gov.ph/GEPSNONPILOT/Tender/SplashBidNoticeAbstractUI.aspx?menuIndex=3&amp;refID=7070947&amp;Result=3","7070947")</f>
        <v>0</v>
      </c>
      <c r="B5963" t="s">
        <v>950</v>
      </c>
      <c r="C5963" t="s">
        <v>9071</v>
      </c>
      <c r="D5963" t="s">
        <v>16615</v>
      </c>
      <c r="E5963" t="s">
        <v>17724</v>
      </c>
      <c r="F5963" t="s">
        <v>28669</v>
      </c>
      <c r="G5963" t="s">
        <v>28676</v>
      </c>
      <c r="H5963" t="s">
        <v>9998</v>
      </c>
      <c r="I5963" t="s">
        <v>7352</v>
      </c>
      <c r="J5963" t="s">
        <v>32586</v>
      </c>
      <c r="K5963" t="s">
        <v>37208</v>
      </c>
      <c r="M5963" t="s">
        <v>38474</v>
      </c>
      <c r="N5963" t="s">
        <v>41249</v>
      </c>
      <c r="O5963" t="s">
        <v>41250</v>
      </c>
      <c r="P5963">
        <v>0</v>
      </c>
      <c r="Q5963">
        <v>0</v>
      </c>
      <c r="R5963" t="s">
        <v>41256</v>
      </c>
      <c r="S5963" t="s">
        <v>41450</v>
      </c>
      <c r="T5963" t="s">
        <v>42736</v>
      </c>
      <c r="U5963" t="s">
        <v>48141</v>
      </c>
      <c r="W5963" t="s">
        <v>38474</v>
      </c>
      <c r="X5963" t="s">
        <v>41257</v>
      </c>
    </row>
    <row r="5964" spans="1:24">
      <c r="A5964">
        <f>HYPERLINK("https://www.philgeps.gov.ph/GEPSNONPILOT/Tender/SplashBidNoticeAbstractUI.aspx?menuIndex=3&amp;refID=7071113&amp;Result=3","7071113")</f>
        <v>0</v>
      </c>
      <c r="B5964" t="s">
        <v>2010</v>
      </c>
      <c r="C5964" t="s">
        <v>9072</v>
      </c>
      <c r="D5964" t="s">
        <v>16666</v>
      </c>
      <c r="E5964" t="s">
        <v>17768</v>
      </c>
      <c r="F5964" t="s">
        <v>28669</v>
      </c>
      <c r="G5964" t="s">
        <v>28676</v>
      </c>
      <c r="H5964" t="s">
        <v>9998</v>
      </c>
      <c r="I5964" t="s">
        <v>3718</v>
      </c>
      <c r="J5964" t="s">
        <v>29060</v>
      </c>
      <c r="K5964" t="s">
        <v>37208</v>
      </c>
      <c r="M5964" t="s">
        <v>39648</v>
      </c>
      <c r="N5964" t="s">
        <v>41249</v>
      </c>
      <c r="O5964" t="s">
        <v>41250</v>
      </c>
      <c r="P5964">
        <v>0</v>
      </c>
      <c r="Q5964">
        <v>1</v>
      </c>
      <c r="R5964" t="s">
        <v>41256</v>
      </c>
      <c r="S5964" t="s">
        <v>41450</v>
      </c>
      <c r="T5964" t="s">
        <v>42758</v>
      </c>
      <c r="U5964" t="s">
        <v>48142</v>
      </c>
      <c r="W5964" t="s">
        <v>39648</v>
      </c>
      <c r="X5964" t="s">
        <v>41257</v>
      </c>
    </row>
    <row r="5965" spans="1:24">
      <c r="A5965">
        <f>HYPERLINK("https://www.philgeps.gov.ph/GEPSNONPILOT/Tender/SplashBidNoticeAbstractUI.aspx?menuIndex=3&amp;refID=7070791&amp;Result=3","7070791")</f>
        <v>0</v>
      </c>
      <c r="B5965" t="s">
        <v>1186</v>
      </c>
      <c r="C5965" t="s">
        <v>9073</v>
      </c>
      <c r="D5965" t="s">
        <v>16664</v>
      </c>
      <c r="E5965" t="s">
        <v>19317</v>
      </c>
      <c r="F5965" t="s">
        <v>28669</v>
      </c>
      <c r="G5965" t="s">
        <v>28675</v>
      </c>
      <c r="H5965" t="s">
        <v>9998</v>
      </c>
      <c r="I5965" t="s">
        <v>7352</v>
      </c>
      <c r="J5965" t="s">
        <v>28863</v>
      </c>
      <c r="K5965" t="s">
        <v>37210</v>
      </c>
      <c r="M5965" t="s">
        <v>38726</v>
      </c>
      <c r="N5965" t="s">
        <v>41249</v>
      </c>
      <c r="O5965" t="s">
        <v>41250</v>
      </c>
      <c r="P5965">
        <v>0</v>
      </c>
      <c r="Q5965">
        <v>0</v>
      </c>
      <c r="R5965" t="s">
        <v>41256</v>
      </c>
      <c r="S5965" t="s">
        <v>41450</v>
      </c>
      <c r="T5965" t="s">
        <v>42739</v>
      </c>
      <c r="U5965" t="s">
        <v>48143</v>
      </c>
      <c r="W5965" t="s">
        <v>38726</v>
      </c>
      <c r="X5965" t="s">
        <v>41257</v>
      </c>
    </row>
    <row r="5966" spans="1:24">
      <c r="A5966">
        <f>HYPERLINK("https://www.philgeps.gov.ph/GEPSNONPILOT/Tender/SplashBidNoticeAbstractUI.aspx?menuIndex=3&amp;refID=7071107&amp;Result=3","7071107")</f>
        <v>0</v>
      </c>
      <c r="B5966" t="s">
        <v>1034</v>
      </c>
      <c r="C5966" t="s">
        <v>9074</v>
      </c>
      <c r="D5966" t="s">
        <v>16619</v>
      </c>
      <c r="E5966" t="s">
        <v>21975</v>
      </c>
      <c r="F5966" t="s">
        <v>28669</v>
      </c>
      <c r="G5966" t="s">
        <v>28676</v>
      </c>
      <c r="H5966" t="s">
        <v>9998</v>
      </c>
      <c r="I5966" t="s">
        <v>3679</v>
      </c>
      <c r="J5966" t="s">
        <v>32587</v>
      </c>
      <c r="K5966" t="s">
        <v>37216</v>
      </c>
      <c r="M5966" t="s">
        <v>38565</v>
      </c>
      <c r="N5966" t="s">
        <v>41249</v>
      </c>
      <c r="O5966" t="s">
        <v>41250</v>
      </c>
      <c r="P5966">
        <v>0</v>
      </c>
      <c r="Q5966">
        <v>0</v>
      </c>
      <c r="R5966" t="s">
        <v>41256</v>
      </c>
      <c r="S5966" t="s">
        <v>41450</v>
      </c>
      <c r="T5966" t="s">
        <v>42754</v>
      </c>
      <c r="U5966" t="s">
        <v>48144</v>
      </c>
      <c r="W5966" t="s">
        <v>38565</v>
      </c>
      <c r="X5966" t="s">
        <v>41257</v>
      </c>
    </row>
    <row r="5967" spans="1:24">
      <c r="A5967">
        <f>HYPERLINK("https://www.philgeps.gov.ph/GEPSNONPILOT/Tender/SplashBidNoticeAbstractUI.aspx?menuIndex=3&amp;refID=7070878&amp;Result=3","7070878")</f>
        <v>0</v>
      </c>
      <c r="B5967" t="s">
        <v>2006</v>
      </c>
      <c r="C5967" t="s">
        <v>9075</v>
      </c>
      <c r="D5967" t="s">
        <v>16677</v>
      </c>
      <c r="E5967" t="s">
        <v>21962</v>
      </c>
      <c r="F5967" t="s">
        <v>28669</v>
      </c>
      <c r="G5967" t="s">
        <v>28676</v>
      </c>
      <c r="H5967" t="s">
        <v>9998</v>
      </c>
      <c r="I5967" t="s">
        <v>28729</v>
      </c>
      <c r="J5967" t="s">
        <v>32588</v>
      </c>
      <c r="K5967" t="s">
        <v>37205</v>
      </c>
      <c r="M5967" t="s">
        <v>39644</v>
      </c>
      <c r="N5967" t="s">
        <v>41249</v>
      </c>
      <c r="O5967" t="s">
        <v>41250</v>
      </c>
      <c r="P5967">
        <v>0</v>
      </c>
      <c r="Q5967">
        <v>13</v>
      </c>
      <c r="R5967" t="s">
        <v>41256</v>
      </c>
      <c r="S5967" t="s">
        <v>41450</v>
      </c>
      <c r="T5967" t="s">
        <v>42758</v>
      </c>
      <c r="U5967" t="s">
        <v>48145</v>
      </c>
      <c r="V5967" t="s">
        <v>54925</v>
      </c>
      <c r="W5967" t="s">
        <v>39644</v>
      </c>
      <c r="X5967" t="s">
        <v>41257</v>
      </c>
    </row>
    <row r="5968" spans="1:24">
      <c r="A5968">
        <f>HYPERLINK("https://www.philgeps.gov.ph/GEPSNONPILOT/Tender/SplashBidNoticeAbstractUI.aspx?menuIndex=3&amp;refID=7071105&amp;Result=3","7071105")</f>
        <v>0</v>
      </c>
      <c r="B5968" t="s">
        <v>476</v>
      </c>
      <c r="C5968" t="s">
        <v>9076</v>
      </c>
      <c r="D5968" t="s">
        <v>16615</v>
      </c>
      <c r="E5968" t="s">
        <v>21976</v>
      </c>
      <c r="F5968" t="s">
        <v>28669</v>
      </c>
      <c r="G5968" t="s">
        <v>28675</v>
      </c>
      <c r="H5968" t="s">
        <v>28686</v>
      </c>
      <c r="I5968" t="s">
        <v>28689</v>
      </c>
      <c r="J5968" t="s">
        <v>32589</v>
      </c>
      <c r="K5968" t="s">
        <v>37215</v>
      </c>
      <c r="M5968" t="s">
        <v>37964</v>
      </c>
      <c r="N5968" t="s">
        <v>41249</v>
      </c>
      <c r="O5968" t="s">
        <v>41250</v>
      </c>
      <c r="P5968">
        <v>0</v>
      </c>
      <c r="Q5968">
        <v>24</v>
      </c>
      <c r="R5968" t="s">
        <v>41256</v>
      </c>
      <c r="S5968" t="s">
        <v>41450</v>
      </c>
      <c r="T5968" t="s">
        <v>42747</v>
      </c>
      <c r="U5968" t="s">
        <v>48146</v>
      </c>
      <c r="W5968" t="s">
        <v>37964</v>
      </c>
      <c r="X5968" t="s">
        <v>41257</v>
      </c>
    </row>
    <row r="5969" spans="1:24">
      <c r="A5969">
        <f>HYPERLINK("https://www.philgeps.gov.ph/GEPSNONPILOT/Tender/SplashBidNoticeAbstractUI.aspx?menuIndex=3&amp;refID=7071114&amp;Result=3","7071114")</f>
        <v>0</v>
      </c>
      <c r="B5969" t="s">
        <v>2011</v>
      </c>
      <c r="C5969" t="s">
        <v>9077</v>
      </c>
      <c r="D5969" t="s">
        <v>16611</v>
      </c>
      <c r="E5969" t="s">
        <v>21152</v>
      </c>
      <c r="F5969" t="s">
        <v>28671</v>
      </c>
      <c r="G5969" t="s">
        <v>28678</v>
      </c>
      <c r="H5969" t="s">
        <v>9998</v>
      </c>
      <c r="I5969" t="s">
        <v>28712</v>
      </c>
      <c r="J5969" t="s">
        <v>30636</v>
      </c>
      <c r="K5969" t="s">
        <v>37208</v>
      </c>
      <c r="M5969" t="s">
        <v>39649</v>
      </c>
      <c r="N5969" t="s">
        <v>41249</v>
      </c>
      <c r="O5969" t="s">
        <v>41250</v>
      </c>
      <c r="P5969">
        <v>0</v>
      </c>
      <c r="Q5969">
        <v>4</v>
      </c>
      <c r="R5969" t="s">
        <v>41256</v>
      </c>
      <c r="S5969" t="s">
        <v>41450</v>
      </c>
      <c r="T5969" t="s">
        <v>42673</v>
      </c>
      <c r="U5969" t="s">
        <v>48147</v>
      </c>
      <c r="V5969" t="s">
        <v>54929</v>
      </c>
      <c r="W5969" t="s">
        <v>39649</v>
      </c>
      <c r="X5969" t="s">
        <v>41257</v>
      </c>
    </row>
    <row r="5970" spans="1:24">
      <c r="A5970">
        <f>HYPERLINK("https://www.philgeps.gov.ph/GEPSNONPILOT/Tender/SplashBidNoticeAbstractUI.aspx?menuIndex=3&amp;refID=7070942&amp;Result=3","7070942")</f>
        <v>0</v>
      </c>
      <c r="B5970" t="s">
        <v>135</v>
      </c>
      <c r="C5970" t="s">
        <v>9078</v>
      </c>
      <c r="D5970" t="s">
        <v>16622</v>
      </c>
      <c r="E5970" t="s">
        <v>21977</v>
      </c>
      <c r="F5970" t="s">
        <v>28669</v>
      </c>
      <c r="G5970" t="s">
        <v>28676</v>
      </c>
      <c r="H5970" t="s">
        <v>9998</v>
      </c>
      <c r="I5970" t="s">
        <v>28697</v>
      </c>
      <c r="J5970" t="s">
        <v>32590</v>
      </c>
      <c r="K5970" t="s">
        <v>37206</v>
      </c>
      <c r="M5970" t="s">
        <v>37612</v>
      </c>
      <c r="N5970" t="s">
        <v>41249</v>
      </c>
      <c r="O5970" t="s">
        <v>41250</v>
      </c>
      <c r="P5970">
        <v>0</v>
      </c>
      <c r="Q5970">
        <v>5</v>
      </c>
      <c r="R5970" t="s">
        <v>41256</v>
      </c>
      <c r="S5970" t="s">
        <v>41450</v>
      </c>
      <c r="T5970" t="s">
        <v>42827</v>
      </c>
      <c r="U5970" t="s">
        <v>48148</v>
      </c>
      <c r="W5970" t="s">
        <v>37612</v>
      </c>
      <c r="X5970" t="s">
        <v>41257</v>
      </c>
    </row>
    <row r="5971" spans="1:24">
      <c r="A5971">
        <f>HYPERLINK("https://www.philgeps.gov.ph/GEPSNONPILOT/Tender/SplashBidNoticeAbstractUI.aspx?menuIndex=3&amp;refID=7071092&amp;Result=3","7071092")</f>
        <v>0</v>
      </c>
      <c r="B5971" t="s">
        <v>1622</v>
      </c>
      <c r="C5971" t="s">
        <v>9079</v>
      </c>
      <c r="D5971" t="s">
        <v>16621</v>
      </c>
      <c r="E5971" t="s">
        <v>21978</v>
      </c>
      <c r="F5971" t="s">
        <v>28669</v>
      </c>
      <c r="G5971" t="s">
        <v>28676</v>
      </c>
      <c r="H5971" t="s">
        <v>9998</v>
      </c>
      <c r="I5971" t="s">
        <v>28760</v>
      </c>
      <c r="J5971" t="s">
        <v>32591</v>
      </c>
      <c r="K5971" t="s">
        <v>37256</v>
      </c>
      <c r="M5971" t="s">
        <v>39208</v>
      </c>
      <c r="N5971" t="s">
        <v>41249</v>
      </c>
      <c r="O5971" t="s">
        <v>41250</v>
      </c>
      <c r="P5971">
        <v>0</v>
      </c>
      <c r="Q5971">
        <v>2</v>
      </c>
      <c r="R5971" t="s">
        <v>41256</v>
      </c>
      <c r="S5971" t="s">
        <v>41450</v>
      </c>
      <c r="T5971" t="s">
        <v>42771</v>
      </c>
      <c r="U5971" t="s">
        <v>46364</v>
      </c>
      <c r="W5971" t="s">
        <v>39208</v>
      </c>
      <c r="X5971" t="s">
        <v>41257</v>
      </c>
    </row>
    <row r="5972" spans="1:24">
      <c r="A5972">
        <f>HYPERLINK("https://www.philgeps.gov.ph/GEPSNONPILOT/Tender/SplashBidNoticeAbstractUI.aspx?menuIndex=3&amp;refID=7070799&amp;Result=3","7070799")</f>
        <v>0</v>
      </c>
      <c r="B5972" t="s">
        <v>2012</v>
      </c>
      <c r="C5972" t="s">
        <v>9080</v>
      </c>
      <c r="D5972" t="s">
        <v>16627</v>
      </c>
      <c r="E5972" t="s">
        <v>21979</v>
      </c>
      <c r="F5972" t="s">
        <v>28669</v>
      </c>
      <c r="G5972" t="s">
        <v>28675</v>
      </c>
      <c r="H5972" t="s">
        <v>28686</v>
      </c>
      <c r="I5972" t="s">
        <v>28689</v>
      </c>
      <c r="J5972" t="s">
        <v>32592</v>
      </c>
      <c r="K5972" t="s">
        <v>37221</v>
      </c>
      <c r="M5972" t="s">
        <v>39650</v>
      </c>
      <c r="N5972" t="s">
        <v>41249</v>
      </c>
      <c r="O5972" t="s">
        <v>41250</v>
      </c>
      <c r="P5972">
        <v>0</v>
      </c>
      <c r="Q5972">
        <v>0</v>
      </c>
      <c r="R5972" t="s">
        <v>41256</v>
      </c>
      <c r="S5972" t="s">
        <v>41450</v>
      </c>
      <c r="T5972" t="s">
        <v>42782</v>
      </c>
      <c r="U5972" t="s">
        <v>48149</v>
      </c>
      <c r="W5972" t="s">
        <v>39650</v>
      </c>
      <c r="X5972" t="s">
        <v>41257</v>
      </c>
    </row>
    <row r="5973" spans="1:24">
      <c r="A5973">
        <f>HYPERLINK("https://www.philgeps.gov.ph/GEPSNONPILOT/Tender/SplashBidNoticeAbstractUI.aspx?menuIndex=3&amp;refID=7071088&amp;Result=3","7071088")</f>
        <v>0</v>
      </c>
      <c r="B5973" t="s">
        <v>1793</v>
      </c>
      <c r="C5973" t="s">
        <v>9081</v>
      </c>
      <c r="D5973" t="s">
        <v>16659</v>
      </c>
      <c r="E5973" t="s">
        <v>21980</v>
      </c>
      <c r="F5973" t="s">
        <v>28669</v>
      </c>
      <c r="G5973" t="s">
        <v>28675</v>
      </c>
      <c r="H5973" t="s">
        <v>28686</v>
      </c>
      <c r="I5973" t="s">
        <v>28689</v>
      </c>
      <c r="J5973" t="s">
        <v>28826</v>
      </c>
      <c r="K5973" t="s">
        <v>37205</v>
      </c>
      <c r="M5973" t="s">
        <v>39400</v>
      </c>
      <c r="N5973" t="s">
        <v>41249</v>
      </c>
      <c r="O5973" t="s">
        <v>41250</v>
      </c>
      <c r="P5973">
        <v>0</v>
      </c>
      <c r="Q5973">
        <v>0</v>
      </c>
      <c r="R5973" t="s">
        <v>41256</v>
      </c>
      <c r="S5973" t="s">
        <v>41450</v>
      </c>
      <c r="T5973" t="s">
        <v>42717</v>
      </c>
      <c r="U5973" t="s">
        <v>48150</v>
      </c>
      <c r="V5973" t="s">
        <v>54930</v>
      </c>
      <c r="W5973" t="s">
        <v>39400</v>
      </c>
      <c r="X5973" t="s">
        <v>41257</v>
      </c>
    </row>
    <row r="5974" spans="1:24">
      <c r="A5974">
        <f>HYPERLINK("https://www.philgeps.gov.ph/GEPSNONPILOT/Tender/SplashBidNoticeAbstractUI.aspx?menuIndex=3&amp;refID=7071083&amp;Result=3","7071083")</f>
        <v>0</v>
      </c>
      <c r="B5974" t="s">
        <v>2013</v>
      </c>
      <c r="C5974" t="s">
        <v>9082</v>
      </c>
      <c r="D5974" t="s">
        <v>16626</v>
      </c>
      <c r="E5974" t="s">
        <v>21222</v>
      </c>
      <c r="F5974" t="s">
        <v>28669</v>
      </c>
      <c r="G5974" t="s">
        <v>28675</v>
      </c>
      <c r="H5974" t="s">
        <v>9998</v>
      </c>
      <c r="I5974" t="s">
        <v>28688</v>
      </c>
      <c r="J5974" t="s">
        <v>32593</v>
      </c>
      <c r="K5974" t="s">
        <v>37234</v>
      </c>
      <c r="M5974" t="s">
        <v>39651</v>
      </c>
      <c r="N5974" t="s">
        <v>41249</v>
      </c>
      <c r="O5974" t="s">
        <v>41250</v>
      </c>
      <c r="P5974">
        <v>0</v>
      </c>
      <c r="Q5974">
        <v>3</v>
      </c>
      <c r="R5974" t="s">
        <v>41256</v>
      </c>
      <c r="S5974" t="s">
        <v>41450</v>
      </c>
      <c r="T5974" t="s">
        <v>42711</v>
      </c>
      <c r="U5974" t="s">
        <v>48151</v>
      </c>
      <c r="W5974" t="s">
        <v>39651</v>
      </c>
      <c r="X5974" t="s">
        <v>41257</v>
      </c>
    </row>
    <row r="5975" spans="1:24">
      <c r="A5975">
        <f>HYPERLINK("https://www.philgeps.gov.ph/GEPSNONPILOT/Tender/SplashBidNoticeAbstractUI.aspx?menuIndex=3&amp;refID=7071082&amp;Result=3","7071082")</f>
        <v>0</v>
      </c>
      <c r="B5975" t="s">
        <v>2014</v>
      </c>
      <c r="C5975" t="s">
        <v>9083</v>
      </c>
      <c r="D5975" t="s">
        <v>16643</v>
      </c>
      <c r="E5975" t="s">
        <v>21981</v>
      </c>
      <c r="F5975" t="s">
        <v>28673</v>
      </c>
      <c r="G5975" t="s">
        <v>28675</v>
      </c>
      <c r="H5975" t="s">
        <v>28685</v>
      </c>
      <c r="I5975" t="s">
        <v>28703</v>
      </c>
      <c r="J5975" t="s">
        <v>32594</v>
      </c>
      <c r="K5975" t="s">
        <v>37209</v>
      </c>
      <c r="M5975" t="s">
        <v>39652</v>
      </c>
      <c r="N5975" t="s">
        <v>41249</v>
      </c>
      <c r="O5975" t="s">
        <v>41250</v>
      </c>
      <c r="P5975">
        <v>0</v>
      </c>
      <c r="Q5975">
        <v>6</v>
      </c>
      <c r="R5975" t="s">
        <v>41256</v>
      </c>
      <c r="S5975" t="s">
        <v>41450</v>
      </c>
      <c r="T5975" t="s">
        <v>42722</v>
      </c>
      <c r="U5975" t="s">
        <v>48152</v>
      </c>
      <c r="W5975" t="s">
        <v>39652</v>
      </c>
      <c r="X5975" t="s">
        <v>41257</v>
      </c>
    </row>
    <row r="5976" spans="1:24">
      <c r="A5976">
        <f>HYPERLINK("https://www.philgeps.gov.ph/GEPSNONPILOT/Tender/SplashBidNoticeAbstractUI.aspx?menuIndex=3&amp;refID=7071093&amp;Result=3","7071093")</f>
        <v>0</v>
      </c>
      <c r="B5976" t="s">
        <v>1034</v>
      </c>
      <c r="C5976" t="s">
        <v>9084</v>
      </c>
      <c r="D5976" t="s">
        <v>16619</v>
      </c>
      <c r="E5976" t="s">
        <v>21982</v>
      </c>
      <c r="F5976" t="s">
        <v>28669</v>
      </c>
      <c r="G5976" t="s">
        <v>28676</v>
      </c>
      <c r="H5976" t="s">
        <v>9998</v>
      </c>
      <c r="I5976" t="s">
        <v>28704</v>
      </c>
      <c r="J5976" t="s">
        <v>30213</v>
      </c>
      <c r="K5976" t="s">
        <v>37216</v>
      </c>
      <c r="M5976" t="s">
        <v>38565</v>
      </c>
      <c r="N5976" t="s">
        <v>41249</v>
      </c>
      <c r="O5976" t="s">
        <v>41250</v>
      </c>
      <c r="P5976">
        <v>0</v>
      </c>
      <c r="Q5976">
        <v>1</v>
      </c>
      <c r="R5976" t="s">
        <v>41256</v>
      </c>
      <c r="S5976" t="s">
        <v>41450</v>
      </c>
      <c r="T5976" t="s">
        <v>42694</v>
      </c>
      <c r="U5976" t="s">
        <v>48153</v>
      </c>
      <c r="W5976" t="s">
        <v>38565</v>
      </c>
      <c r="X5976" t="s">
        <v>41257</v>
      </c>
    </row>
    <row r="5977" spans="1:24">
      <c r="A5977">
        <f>HYPERLINK("https://www.philgeps.gov.ph/GEPSNONPILOT/Tender/SplashBidNoticeAbstractUI.aspx?menuIndex=3&amp;refID=7071073&amp;Result=3","7071073")</f>
        <v>0</v>
      </c>
      <c r="B5977" t="s">
        <v>1555</v>
      </c>
      <c r="C5977" t="s">
        <v>9085</v>
      </c>
      <c r="D5977" t="s">
        <v>16626</v>
      </c>
      <c r="E5977" t="s">
        <v>21983</v>
      </c>
      <c r="F5977" t="s">
        <v>28669</v>
      </c>
      <c r="G5977" t="s">
        <v>28675</v>
      </c>
      <c r="H5977" t="s">
        <v>9998</v>
      </c>
      <c r="I5977" t="s">
        <v>7352</v>
      </c>
      <c r="J5977" t="s">
        <v>32595</v>
      </c>
      <c r="K5977" t="s">
        <v>37209</v>
      </c>
      <c r="M5977" t="s">
        <v>39132</v>
      </c>
      <c r="N5977" t="s">
        <v>41249</v>
      </c>
      <c r="O5977" t="s">
        <v>41250</v>
      </c>
      <c r="P5977">
        <v>0</v>
      </c>
      <c r="Q5977">
        <v>0</v>
      </c>
      <c r="R5977" t="s">
        <v>41256</v>
      </c>
      <c r="S5977" t="s">
        <v>41450</v>
      </c>
      <c r="T5977" t="s">
        <v>42871</v>
      </c>
      <c r="U5977" t="s">
        <v>48154</v>
      </c>
      <c r="W5977" t="s">
        <v>39132</v>
      </c>
      <c r="X5977" t="s">
        <v>41257</v>
      </c>
    </row>
    <row r="5978" spans="1:24">
      <c r="A5978">
        <f>HYPERLINK("https://www.philgeps.gov.ph/GEPSNONPILOT/Tender/SplashBidNoticeAbstractUI.aspx?menuIndex=3&amp;refID=7071091&amp;Result=3","7071091")</f>
        <v>0</v>
      </c>
      <c r="B5978" t="s">
        <v>1327</v>
      </c>
      <c r="C5978" t="s">
        <v>9086</v>
      </c>
      <c r="D5978" t="s">
        <v>16627</v>
      </c>
      <c r="E5978" t="s">
        <v>21984</v>
      </c>
      <c r="F5978" t="s">
        <v>28669</v>
      </c>
      <c r="G5978" t="s">
        <v>28675</v>
      </c>
      <c r="H5978" t="s">
        <v>9998</v>
      </c>
      <c r="I5978" t="s">
        <v>28707</v>
      </c>
      <c r="J5978" t="s">
        <v>32596</v>
      </c>
      <c r="K5978" t="s">
        <v>37213</v>
      </c>
      <c r="M5978" t="s">
        <v>39006</v>
      </c>
      <c r="N5978" t="s">
        <v>41249</v>
      </c>
      <c r="O5978" t="s">
        <v>41250</v>
      </c>
      <c r="P5978">
        <v>0</v>
      </c>
      <c r="Q5978">
        <v>6</v>
      </c>
      <c r="R5978" t="s">
        <v>41256</v>
      </c>
      <c r="S5978" t="s">
        <v>41450</v>
      </c>
      <c r="T5978" t="s">
        <v>42765</v>
      </c>
      <c r="U5978" t="s">
        <v>48112</v>
      </c>
      <c r="W5978" t="s">
        <v>39006</v>
      </c>
      <c r="X5978" t="s">
        <v>41257</v>
      </c>
    </row>
    <row r="5979" spans="1:24">
      <c r="A5979">
        <f>HYPERLINK("https://www.philgeps.gov.ph/GEPSNONPILOT/Tender/SplashBidNoticeAbstractUI.aspx?menuIndex=3&amp;refID=7071072&amp;Result=3","7071072")</f>
        <v>0</v>
      </c>
      <c r="B5979" t="s">
        <v>2015</v>
      </c>
      <c r="C5979" t="s">
        <v>9087</v>
      </c>
      <c r="D5979" t="s">
        <v>16631</v>
      </c>
      <c r="E5979" t="s">
        <v>21985</v>
      </c>
      <c r="F5979" t="s">
        <v>28669</v>
      </c>
      <c r="G5979" t="s">
        <v>28676</v>
      </c>
      <c r="H5979" t="s">
        <v>9998</v>
      </c>
      <c r="I5979" t="s">
        <v>28697</v>
      </c>
      <c r="J5979" t="s">
        <v>29496</v>
      </c>
      <c r="K5979" t="s">
        <v>37206</v>
      </c>
      <c r="M5979" t="s">
        <v>39653</v>
      </c>
      <c r="N5979" t="s">
        <v>41249</v>
      </c>
      <c r="O5979" t="s">
        <v>41250</v>
      </c>
      <c r="P5979">
        <v>0</v>
      </c>
      <c r="Q5979">
        <v>0</v>
      </c>
      <c r="R5979" t="s">
        <v>41256</v>
      </c>
      <c r="S5979" t="s">
        <v>41450</v>
      </c>
      <c r="T5979" t="s">
        <v>42729</v>
      </c>
      <c r="U5979" t="s">
        <v>48155</v>
      </c>
      <c r="W5979" t="s">
        <v>39653</v>
      </c>
      <c r="X5979" t="s">
        <v>41257</v>
      </c>
    </row>
    <row r="5980" spans="1:24">
      <c r="A5980">
        <f>HYPERLINK("https://www.philgeps.gov.ph/GEPSNONPILOT/Tender/SplashBidNoticeAbstractUI.aspx?menuIndex=3&amp;refID=7071068&amp;Result=3","7071068")</f>
        <v>0</v>
      </c>
      <c r="B5980" t="s">
        <v>1829</v>
      </c>
      <c r="C5980" t="s">
        <v>9088</v>
      </c>
      <c r="D5980" t="s">
        <v>16661</v>
      </c>
      <c r="E5980" t="s">
        <v>21986</v>
      </c>
      <c r="F5980" t="s">
        <v>28669</v>
      </c>
      <c r="G5980" t="s">
        <v>28679</v>
      </c>
      <c r="H5980" t="s">
        <v>9998</v>
      </c>
      <c r="I5980" t="s">
        <v>28736</v>
      </c>
      <c r="J5980" t="s">
        <v>32597</v>
      </c>
      <c r="K5980" t="s">
        <v>37210</v>
      </c>
      <c r="M5980" t="s">
        <v>39634</v>
      </c>
      <c r="N5980" t="s">
        <v>41249</v>
      </c>
      <c r="O5980" t="s">
        <v>41250</v>
      </c>
      <c r="P5980">
        <v>0</v>
      </c>
      <c r="Q5980">
        <v>1</v>
      </c>
      <c r="R5980" t="s">
        <v>41256</v>
      </c>
      <c r="S5980" t="s">
        <v>41450</v>
      </c>
      <c r="T5980" t="s">
        <v>42727</v>
      </c>
      <c r="U5980" t="s">
        <v>48156</v>
      </c>
      <c r="W5980" t="s">
        <v>55976</v>
      </c>
      <c r="X5980" t="s">
        <v>41257</v>
      </c>
    </row>
    <row r="5981" spans="1:24">
      <c r="A5981">
        <f>HYPERLINK("https://www.philgeps.gov.ph/GEPSNONPILOT/Tender/SplashBidNoticeAbstractUI.aspx?menuIndex=3&amp;refID=7071062&amp;Result=3","7071062")</f>
        <v>0</v>
      </c>
      <c r="B5981" t="s">
        <v>1060</v>
      </c>
      <c r="C5981" t="s">
        <v>9089</v>
      </c>
      <c r="D5981" t="s">
        <v>16643</v>
      </c>
      <c r="E5981" t="s">
        <v>21987</v>
      </c>
      <c r="F5981" t="s">
        <v>28669</v>
      </c>
      <c r="G5981" t="s">
        <v>28677</v>
      </c>
      <c r="H5981" t="s">
        <v>9998</v>
      </c>
      <c r="I5981" t="s">
        <v>6128</v>
      </c>
      <c r="J5981" t="s">
        <v>32598</v>
      </c>
      <c r="K5981" t="s">
        <v>37209</v>
      </c>
      <c r="M5981" t="s">
        <v>38591</v>
      </c>
      <c r="N5981" t="s">
        <v>41249</v>
      </c>
      <c r="O5981" t="s">
        <v>41250</v>
      </c>
      <c r="P5981">
        <v>0</v>
      </c>
      <c r="Q5981">
        <v>0</v>
      </c>
      <c r="R5981" t="s">
        <v>41256</v>
      </c>
      <c r="S5981" t="s">
        <v>41450</v>
      </c>
      <c r="T5981" t="s">
        <v>42876</v>
      </c>
      <c r="U5981" t="s">
        <v>45344</v>
      </c>
      <c r="W5981" t="s">
        <v>38591</v>
      </c>
      <c r="X5981" t="s">
        <v>41257</v>
      </c>
    </row>
    <row r="5982" spans="1:24">
      <c r="A5982">
        <f>HYPERLINK("https://www.philgeps.gov.ph/GEPSNONPILOT/Tender/SplashBidNoticeAbstractUI.aspx?menuIndex=3&amp;refID=7070616&amp;Result=3","7070616")</f>
        <v>0</v>
      </c>
      <c r="B5982" t="s">
        <v>1962</v>
      </c>
      <c r="C5982" t="s">
        <v>9090</v>
      </c>
      <c r="D5982" t="s">
        <v>16661</v>
      </c>
      <c r="E5982" t="s">
        <v>9090</v>
      </c>
      <c r="F5982" t="s">
        <v>28669</v>
      </c>
      <c r="G5982" t="s">
        <v>28676</v>
      </c>
      <c r="H5982" t="s">
        <v>9998</v>
      </c>
      <c r="I5982" t="s">
        <v>28704</v>
      </c>
      <c r="J5982" t="s">
        <v>28834</v>
      </c>
      <c r="K5982" t="s">
        <v>37220</v>
      </c>
      <c r="M5982" t="s">
        <v>39595</v>
      </c>
      <c r="N5982" t="s">
        <v>41249</v>
      </c>
      <c r="O5982" t="s">
        <v>41250</v>
      </c>
      <c r="P5982">
        <v>0</v>
      </c>
      <c r="Q5982">
        <v>0</v>
      </c>
      <c r="R5982" t="s">
        <v>41256</v>
      </c>
      <c r="S5982" t="s">
        <v>41450</v>
      </c>
      <c r="T5982" t="s">
        <v>42711</v>
      </c>
      <c r="U5982" t="s">
        <v>47986</v>
      </c>
      <c r="W5982" t="s">
        <v>39595</v>
      </c>
      <c r="X5982" t="s">
        <v>41257</v>
      </c>
    </row>
    <row r="5983" spans="1:24">
      <c r="A5983">
        <f>HYPERLINK("https://www.philgeps.gov.ph/GEPSNONPILOT/Tender/SplashBidNoticeAbstractUI.aspx?menuIndex=3&amp;refID=7071110&amp;Result=3","7071110")</f>
        <v>0</v>
      </c>
      <c r="B5983" t="s">
        <v>2016</v>
      </c>
      <c r="C5983" t="s">
        <v>9091</v>
      </c>
      <c r="D5983" t="s">
        <v>16608</v>
      </c>
      <c r="E5983" t="s">
        <v>21988</v>
      </c>
      <c r="F5983" t="s">
        <v>28669</v>
      </c>
      <c r="G5983" t="s">
        <v>28678</v>
      </c>
      <c r="H5983" t="s">
        <v>9998</v>
      </c>
      <c r="I5983" t="s">
        <v>28767</v>
      </c>
      <c r="J5983" t="s">
        <v>29438</v>
      </c>
      <c r="K5983" t="s">
        <v>37205</v>
      </c>
      <c r="M5983" t="s">
        <v>39654</v>
      </c>
      <c r="N5983" t="s">
        <v>41249</v>
      </c>
      <c r="O5983" t="s">
        <v>41250</v>
      </c>
      <c r="P5983">
        <v>0</v>
      </c>
      <c r="Q5983">
        <v>0</v>
      </c>
      <c r="R5983" t="s">
        <v>41256</v>
      </c>
      <c r="S5983" t="s">
        <v>41450</v>
      </c>
      <c r="T5983" t="s">
        <v>42802</v>
      </c>
      <c r="U5983" t="s">
        <v>48157</v>
      </c>
      <c r="W5983" t="s">
        <v>39654</v>
      </c>
      <c r="X5983" t="s">
        <v>41257</v>
      </c>
    </row>
    <row r="5984" spans="1:24">
      <c r="A5984">
        <f>HYPERLINK("https://www.philgeps.gov.ph/GEPSNONPILOT/Tender/SplashBidNoticeAbstractUI.aspx?menuIndex=3&amp;refID=7072544&amp;Result=3","7072544")</f>
        <v>0</v>
      </c>
      <c r="B5984" t="s">
        <v>2017</v>
      </c>
      <c r="C5984" t="s">
        <v>9092</v>
      </c>
      <c r="D5984" t="s">
        <v>16658</v>
      </c>
      <c r="E5984" t="s">
        <v>16707</v>
      </c>
      <c r="F5984" t="s">
        <v>28669</v>
      </c>
      <c r="G5984" t="s">
        <v>28675</v>
      </c>
      <c r="H5984" t="s">
        <v>9998</v>
      </c>
      <c r="I5984" t="s">
        <v>7352</v>
      </c>
      <c r="J5984" t="s">
        <v>32599</v>
      </c>
      <c r="K5984" t="s">
        <v>37210</v>
      </c>
      <c r="M5984" t="s">
        <v>39655</v>
      </c>
      <c r="N5984" t="s">
        <v>41249</v>
      </c>
      <c r="O5984" t="s">
        <v>41250</v>
      </c>
      <c r="P5984">
        <v>0</v>
      </c>
      <c r="Q5984">
        <v>0</v>
      </c>
      <c r="R5984" t="s">
        <v>41255</v>
      </c>
      <c r="S5984" t="s">
        <v>41442</v>
      </c>
      <c r="T5984" t="s">
        <v>42754</v>
      </c>
      <c r="U5984" t="s">
        <v>48158</v>
      </c>
      <c r="W5984" t="s">
        <v>39655</v>
      </c>
      <c r="X5984" t="s">
        <v>41256</v>
      </c>
    </row>
    <row r="5985" spans="1:24">
      <c r="A5985">
        <f>HYPERLINK("https://www.philgeps.gov.ph/GEPSNONPILOT/Tender/SplashBidNoticeAbstractUI.aspx?menuIndex=3&amp;refID=7071084&amp;Result=3","7071084")</f>
        <v>0</v>
      </c>
      <c r="B5985" t="s">
        <v>2004</v>
      </c>
      <c r="C5985" t="s">
        <v>9093</v>
      </c>
      <c r="D5985" t="s">
        <v>16661</v>
      </c>
      <c r="E5985" t="s">
        <v>21989</v>
      </c>
      <c r="F5985" t="s">
        <v>28669</v>
      </c>
      <c r="G5985" t="s">
        <v>28677</v>
      </c>
      <c r="H5985" t="s">
        <v>9998</v>
      </c>
      <c r="I5985" t="s">
        <v>28707</v>
      </c>
      <c r="J5985" t="s">
        <v>32600</v>
      </c>
      <c r="K5985" t="s">
        <v>37206</v>
      </c>
      <c r="M5985" t="s">
        <v>39642</v>
      </c>
      <c r="N5985" t="s">
        <v>41249</v>
      </c>
      <c r="O5985" t="s">
        <v>41250</v>
      </c>
      <c r="P5985">
        <v>0</v>
      </c>
      <c r="Q5985">
        <v>6</v>
      </c>
      <c r="R5985" t="s">
        <v>41256</v>
      </c>
      <c r="S5985" t="s">
        <v>41450</v>
      </c>
      <c r="T5985" t="s">
        <v>42676</v>
      </c>
      <c r="U5985" t="s">
        <v>48159</v>
      </c>
      <c r="W5985" t="s">
        <v>39642</v>
      </c>
      <c r="X5985" t="s">
        <v>41257</v>
      </c>
    </row>
    <row r="5986" spans="1:24">
      <c r="A5986">
        <f>HYPERLINK("https://www.philgeps.gov.ph/GEPSNONPILOT/Tender/SplashBidNoticeAbstractUI.aspx?menuIndex=3&amp;refID=7070627&amp;Result=3","7070627")</f>
        <v>0</v>
      </c>
      <c r="B5986" t="s">
        <v>1246</v>
      </c>
      <c r="C5986" t="s">
        <v>9094</v>
      </c>
      <c r="D5986" t="s">
        <v>16679</v>
      </c>
      <c r="E5986" t="s">
        <v>19394</v>
      </c>
      <c r="F5986" t="s">
        <v>28669</v>
      </c>
      <c r="G5986" t="s">
        <v>28679</v>
      </c>
      <c r="H5986" t="s">
        <v>9998</v>
      </c>
      <c r="I5986" t="s">
        <v>5286</v>
      </c>
      <c r="J5986" t="s">
        <v>28826</v>
      </c>
      <c r="K5986" t="s">
        <v>37210</v>
      </c>
      <c r="M5986" t="s">
        <v>38793</v>
      </c>
      <c r="N5986" t="s">
        <v>41249</v>
      </c>
      <c r="O5986" t="s">
        <v>41250</v>
      </c>
      <c r="P5986">
        <v>0</v>
      </c>
      <c r="Q5986">
        <v>3</v>
      </c>
      <c r="R5986" t="s">
        <v>41256</v>
      </c>
      <c r="S5986" t="s">
        <v>41450</v>
      </c>
      <c r="T5986" t="s">
        <v>42736</v>
      </c>
      <c r="U5986" t="s">
        <v>45711</v>
      </c>
      <c r="V5986" t="s">
        <v>54602</v>
      </c>
      <c r="W5986" t="s">
        <v>38793</v>
      </c>
      <c r="X5986" t="s">
        <v>41257</v>
      </c>
    </row>
    <row r="5987" spans="1:24">
      <c r="A5987">
        <f>HYPERLINK("https://www.philgeps.gov.ph/GEPSNONPILOT/Tender/SplashBidNoticeAbstractUI.aspx?menuIndex=3&amp;refID=7072545&amp;Result=3","7072545")</f>
        <v>0</v>
      </c>
      <c r="B5987" t="s">
        <v>2018</v>
      </c>
      <c r="C5987" t="s">
        <v>9095</v>
      </c>
      <c r="D5987" t="s">
        <v>16617</v>
      </c>
      <c r="E5987" t="s">
        <v>21990</v>
      </c>
      <c r="F5987" t="s">
        <v>28669</v>
      </c>
      <c r="G5987" t="s">
        <v>28675</v>
      </c>
      <c r="H5987" t="s">
        <v>28686</v>
      </c>
      <c r="I5987" t="s">
        <v>28689</v>
      </c>
      <c r="J5987" t="s">
        <v>32601</v>
      </c>
      <c r="K5987" t="s">
        <v>37209</v>
      </c>
      <c r="M5987" t="s">
        <v>39656</v>
      </c>
      <c r="N5987" t="s">
        <v>41249</v>
      </c>
      <c r="O5987" t="s">
        <v>41250</v>
      </c>
      <c r="P5987">
        <v>0</v>
      </c>
      <c r="Q5987">
        <v>1</v>
      </c>
      <c r="R5987" t="s">
        <v>41255</v>
      </c>
      <c r="S5987" t="s">
        <v>41442</v>
      </c>
      <c r="T5987" t="s">
        <v>42782</v>
      </c>
      <c r="U5987" t="s">
        <v>48160</v>
      </c>
      <c r="W5987" t="s">
        <v>39656</v>
      </c>
      <c r="X5987" t="s">
        <v>41256</v>
      </c>
    </row>
    <row r="5988" spans="1:24">
      <c r="A5988">
        <f>HYPERLINK("https://www.philgeps.gov.ph/GEPSNONPILOT/Tender/SplashBidNoticeAbstractUI.aspx?menuIndex=3&amp;refID=7072487&amp;Result=3","7072487")</f>
        <v>0</v>
      </c>
      <c r="B5988" t="s">
        <v>1917</v>
      </c>
      <c r="C5988" t="s">
        <v>9096</v>
      </c>
      <c r="D5988" t="s">
        <v>16620</v>
      </c>
      <c r="E5988" t="s">
        <v>21991</v>
      </c>
      <c r="F5988" t="s">
        <v>28669</v>
      </c>
      <c r="G5988" t="s">
        <v>28675</v>
      </c>
      <c r="H5988" t="s">
        <v>9998</v>
      </c>
      <c r="I5988" t="s">
        <v>11142</v>
      </c>
      <c r="J5988" t="s">
        <v>32602</v>
      </c>
      <c r="K5988" t="s">
        <v>37209</v>
      </c>
      <c r="M5988" t="s">
        <v>39544</v>
      </c>
      <c r="N5988" t="s">
        <v>41249</v>
      </c>
      <c r="O5988" t="s">
        <v>41250</v>
      </c>
      <c r="P5988">
        <v>0</v>
      </c>
      <c r="Q5988">
        <v>1</v>
      </c>
      <c r="R5988" t="s">
        <v>41255</v>
      </c>
      <c r="S5988" t="s">
        <v>41442</v>
      </c>
      <c r="T5988" t="s">
        <v>42858</v>
      </c>
      <c r="U5988" t="s">
        <v>47904</v>
      </c>
      <c r="W5988" t="s">
        <v>39544</v>
      </c>
      <c r="X5988" t="s">
        <v>41256</v>
      </c>
    </row>
    <row r="5989" spans="1:24">
      <c r="A5989">
        <f>HYPERLINK("https://www.philgeps.gov.ph/GEPSNONPILOT/Tender/SplashBidNoticeAbstractUI.aspx?menuIndex=3&amp;refID=7072484&amp;Result=3","7072484")</f>
        <v>0</v>
      </c>
      <c r="B5989" t="s">
        <v>1024</v>
      </c>
      <c r="C5989" t="s">
        <v>9097</v>
      </c>
      <c r="D5989" t="s">
        <v>16608</v>
      </c>
      <c r="E5989" t="s">
        <v>21992</v>
      </c>
      <c r="F5989" t="s">
        <v>28669</v>
      </c>
      <c r="G5989" t="s">
        <v>28675</v>
      </c>
      <c r="H5989" t="s">
        <v>28686</v>
      </c>
      <c r="I5989" t="s">
        <v>28689</v>
      </c>
      <c r="J5989" t="s">
        <v>32603</v>
      </c>
      <c r="K5989" t="s">
        <v>37212</v>
      </c>
      <c r="M5989" t="s">
        <v>39657</v>
      </c>
      <c r="N5989" t="s">
        <v>41249</v>
      </c>
      <c r="O5989" t="s">
        <v>41250</v>
      </c>
      <c r="P5989">
        <v>0</v>
      </c>
      <c r="Q5989">
        <v>61</v>
      </c>
      <c r="R5989" t="s">
        <v>41255</v>
      </c>
      <c r="S5989" t="s">
        <v>41442</v>
      </c>
      <c r="T5989" t="s">
        <v>42972</v>
      </c>
      <c r="U5989" t="s">
        <v>48161</v>
      </c>
      <c r="V5989" t="s">
        <v>54931</v>
      </c>
      <c r="W5989" t="s">
        <v>39657</v>
      </c>
      <c r="X5989" t="s">
        <v>41256</v>
      </c>
    </row>
    <row r="5990" spans="1:24">
      <c r="A5990">
        <f>HYPERLINK("https://www.philgeps.gov.ph/GEPSNONPILOT/Tender/SplashBidNoticeAbstractUI.aspx?menuIndex=3&amp;refID=7071099&amp;Result=3","7071099")</f>
        <v>0</v>
      </c>
      <c r="B5990" t="s">
        <v>1034</v>
      </c>
      <c r="C5990" t="s">
        <v>9098</v>
      </c>
      <c r="D5990" t="s">
        <v>16619</v>
      </c>
      <c r="E5990" t="s">
        <v>21993</v>
      </c>
      <c r="F5990" t="s">
        <v>28669</v>
      </c>
      <c r="G5990" t="s">
        <v>28676</v>
      </c>
      <c r="H5990" t="s">
        <v>9998</v>
      </c>
      <c r="I5990" t="s">
        <v>3679</v>
      </c>
      <c r="J5990" t="s">
        <v>32604</v>
      </c>
      <c r="K5990" t="s">
        <v>37216</v>
      </c>
      <c r="M5990" t="s">
        <v>38565</v>
      </c>
      <c r="N5990" t="s">
        <v>41249</v>
      </c>
      <c r="O5990" t="s">
        <v>41250</v>
      </c>
      <c r="P5990">
        <v>0</v>
      </c>
      <c r="Q5990">
        <v>0</v>
      </c>
      <c r="R5990" t="s">
        <v>41256</v>
      </c>
      <c r="S5990" t="s">
        <v>41450</v>
      </c>
      <c r="T5990" t="s">
        <v>42754</v>
      </c>
      <c r="U5990" t="s">
        <v>48162</v>
      </c>
      <c r="W5990" t="s">
        <v>38565</v>
      </c>
      <c r="X5990" t="s">
        <v>41257</v>
      </c>
    </row>
    <row r="5991" spans="1:24">
      <c r="A5991">
        <f>HYPERLINK("https://www.philgeps.gov.ph/GEPSNONPILOT/Tender/SplashBidNoticeAbstractUI.aspx?menuIndex=3&amp;refID=7072483&amp;Result=3","7072483")</f>
        <v>0</v>
      </c>
      <c r="B5991" t="s">
        <v>1917</v>
      </c>
      <c r="C5991" t="s">
        <v>9099</v>
      </c>
      <c r="D5991" t="s">
        <v>16620</v>
      </c>
      <c r="E5991" t="s">
        <v>21994</v>
      </c>
      <c r="F5991" t="s">
        <v>28669</v>
      </c>
      <c r="G5991" t="s">
        <v>28675</v>
      </c>
      <c r="H5991" t="s">
        <v>9998</v>
      </c>
      <c r="I5991" t="s">
        <v>11593</v>
      </c>
      <c r="J5991" t="s">
        <v>28999</v>
      </c>
      <c r="K5991" t="s">
        <v>37209</v>
      </c>
      <c r="M5991" t="s">
        <v>39544</v>
      </c>
      <c r="N5991" t="s">
        <v>41249</v>
      </c>
      <c r="O5991" t="s">
        <v>41250</v>
      </c>
      <c r="P5991">
        <v>0</v>
      </c>
      <c r="Q5991">
        <v>1</v>
      </c>
      <c r="R5991" t="s">
        <v>41255</v>
      </c>
      <c r="S5991" t="s">
        <v>41442</v>
      </c>
      <c r="T5991" t="s">
        <v>42858</v>
      </c>
      <c r="U5991" t="s">
        <v>47904</v>
      </c>
      <c r="W5991" t="s">
        <v>39544</v>
      </c>
      <c r="X5991" t="s">
        <v>41256</v>
      </c>
    </row>
    <row r="5992" spans="1:24">
      <c r="A5992">
        <f>HYPERLINK("https://www.philgeps.gov.ph/GEPSNONPILOT/Tender/SplashBidNoticeAbstractUI.aspx?menuIndex=3&amp;refID=7071061&amp;Result=3","7071061")</f>
        <v>0</v>
      </c>
      <c r="B5992" t="s">
        <v>1673</v>
      </c>
      <c r="C5992" t="s">
        <v>9100</v>
      </c>
      <c r="D5992" t="s">
        <v>16616</v>
      </c>
      <c r="E5992" t="s">
        <v>21995</v>
      </c>
      <c r="F5992" t="s">
        <v>28669</v>
      </c>
      <c r="G5992" t="s">
        <v>28676</v>
      </c>
      <c r="H5992" t="s">
        <v>9998</v>
      </c>
      <c r="I5992" t="s">
        <v>28690</v>
      </c>
      <c r="J5992" t="s">
        <v>32605</v>
      </c>
      <c r="K5992" t="s">
        <v>37204</v>
      </c>
      <c r="M5992" t="s">
        <v>39266</v>
      </c>
      <c r="N5992" t="s">
        <v>41249</v>
      </c>
      <c r="O5992" t="s">
        <v>41250</v>
      </c>
      <c r="P5992">
        <v>0</v>
      </c>
      <c r="Q5992">
        <v>3</v>
      </c>
      <c r="R5992" t="s">
        <v>41256</v>
      </c>
      <c r="S5992" t="s">
        <v>41450</v>
      </c>
      <c r="T5992" t="s">
        <v>42728</v>
      </c>
      <c r="U5992" t="s">
        <v>48124</v>
      </c>
      <c r="W5992" t="s">
        <v>39266</v>
      </c>
      <c r="X5992" t="s">
        <v>41257</v>
      </c>
    </row>
    <row r="5993" spans="1:24">
      <c r="A5993">
        <f>HYPERLINK("https://www.philgeps.gov.ph/GEPSNONPILOT/Tender/SplashBidNoticeAbstractUI.aspx?menuIndex=3&amp;refID=7072480&amp;Result=3","7072480")</f>
        <v>0</v>
      </c>
      <c r="B5993" t="s">
        <v>1024</v>
      </c>
      <c r="C5993" t="s">
        <v>9101</v>
      </c>
      <c r="D5993" t="s">
        <v>16608</v>
      </c>
      <c r="E5993" t="s">
        <v>21996</v>
      </c>
      <c r="F5993" t="s">
        <v>28669</v>
      </c>
      <c r="G5993" t="s">
        <v>28675</v>
      </c>
      <c r="H5993" t="s">
        <v>28686</v>
      </c>
      <c r="I5993" t="s">
        <v>28689</v>
      </c>
      <c r="J5993" t="s">
        <v>32606</v>
      </c>
      <c r="K5993" t="s">
        <v>37212</v>
      </c>
      <c r="M5993" t="s">
        <v>39657</v>
      </c>
      <c r="N5993" t="s">
        <v>41249</v>
      </c>
      <c r="O5993" t="s">
        <v>41250</v>
      </c>
      <c r="P5993">
        <v>0</v>
      </c>
      <c r="Q5993">
        <v>72</v>
      </c>
      <c r="R5993" t="s">
        <v>41255</v>
      </c>
      <c r="S5993" t="s">
        <v>41442</v>
      </c>
      <c r="T5993" t="s">
        <v>42972</v>
      </c>
      <c r="U5993" t="s">
        <v>48163</v>
      </c>
      <c r="V5993" t="s">
        <v>54932</v>
      </c>
      <c r="W5993" t="s">
        <v>39657</v>
      </c>
      <c r="X5993" t="s">
        <v>41256</v>
      </c>
    </row>
    <row r="5994" spans="1:24">
      <c r="A5994">
        <f>HYPERLINK("https://www.philgeps.gov.ph/GEPSNONPILOT/Tender/SplashBidNoticeAbstractUI.aspx?menuIndex=3&amp;refID=7071149&amp;Result=3","7071149")</f>
        <v>0</v>
      </c>
      <c r="B5994" t="s">
        <v>1523</v>
      </c>
      <c r="C5994" t="s">
        <v>9102</v>
      </c>
      <c r="D5994" t="s">
        <v>16633</v>
      </c>
      <c r="E5994" t="s">
        <v>17037</v>
      </c>
      <c r="F5994" t="s">
        <v>28669</v>
      </c>
      <c r="G5994" t="s">
        <v>28675</v>
      </c>
      <c r="H5994" t="s">
        <v>28686</v>
      </c>
      <c r="I5994" t="s">
        <v>28689</v>
      </c>
      <c r="J5994" t="s">
        <v>32607</v>
      </c>
      <c r="K5994" t="s">
        <v>37295</v>
      </c>
      <c r="M5994" t="s">
        <v>39097</v>
      </c>
      <c r="N5994" t="s">
        <v>41249</v>
      </c>
      <c r="O5994" t="s">
        <v>41250</v>
      </c>
      <c r="P5994">
        <v>0</v>
      </c>
      <c r="Q5994">
        <v>2</v>
      </c>
      <c r="R5994" t="s">
        <v>41256</v>
      </c>
      <c r="S5994" t="s">
        <v>41450</v>
      </c>
      <c r="T5994" t="s">
        <v>42716</v>
      </c>
      <c r="U5994" t="s">
        <v>48164</v>
      </c>
      <c r="W5994" t="s">
        <v>39097</v>
      </c>
      <c r="X5994" t="s">
        <v>41257</v>
      </c>
    </row>
    <row r="5995" spans="1:24">
      <c r="A5995">
        <f>HYPERLINK("https://www.philgeps.gov.ph/GEPSNONPILOT/Tender/SplashBidNoticeAbstractUI.aspx?menuIndex=3&amp;refID=7072485&amp;Result=3","7072485")</f>
        <v>0</v>
      </c>
      <c r="B5995" t="s">
        <v>1917</v>
      </c>
      <c r="C5995" t="s">
        <v>9103</v>
      </c>
      <c r="D5995" t="s">
        <v>16620</v>
      </c>
      <c r="E5995" t="s">
        <v>21997</v>
      </c>
      <c r="F5995" t="s">
        <v>28669</v>
      </c>
      <c r="G5995" t="s">
        <v>28675</v>
      </c>
      <c r="H5995" t="s">
        <v>9998</v>
      </c>
      <c r="I5995" t="s">
        <v>5213</v>
      </c>
      <c r="J5995" t="s">
        <v>28879</v>
      </c>
      <c r="K5995" t="s">
        <v>37209</v>
      </c>
      <c r="M5995" t="s">
        <v>39544</v>
      </c>
      <c r="N5995" t="s">
        <v>41249</v>
      </c>
      <c r="O5995" t="s">
        <v>41250</v>
      </c>
      <c r="P5995">
        <v>0</v>
      </c>
      <c r="Q5995">
        <v>0</v>
      </c>
      <c r="R5995" t="s">
        <v>41255</v>
      </c>
      <c r="S5995" t="s">
        <v>41442</v>
      </c>
      <c r="T5995" t="s">
        <v>42858</v>
      </c>
      <c r="U5995" t="s">
        <v>47904</v>
      </c>
      <c r="W5995" t="s">
        <v>39544</v>
      </c>
      <c r="X5995" t="s">
        <v>41256</v>
      </c>
    </row>
    <row r="5996" spans="1:24">
      <c r="A5996">
        <f>HYPERLINK("https://www.philgeps.gov.ph/GEPSNONPILOT/Tender/SplashBidNoticeAbstractUI.aspx?menuIndex=3&amp;refID=7071155&amp;Result=3","7071155")</f>
        <v>0</v>
      </c>
      <c r="B5996" t="s">
        <v>659</v>
      </c>
      <c r="C5996" t="s">
        <v>9104</v>
      </c>
      <c r="D5996" t="s">
        <v>16643</v>
      </c>
      <c r="E5996" t="s">
        <v>21998</v>
      </c>
      <c r="F5996" t="s">
        <v>28669</v>
      </c>
      <c r="G5996" t="s">
        <v>28676</v>
      </c>
      <c r="H5996" t="s">
        <v>9998</v>
      </c>
      <c r="I5996" t="s">
        <v>15140</v>
      </c>
      <c r="J5996" t="s">
        <v>32608</v>
      </c>
      <c r="K5996" t="s">
        <v>37204</v>
      </c>
      <c r="M5996" t="s">
        <v>38161</v>
      </c>
      <c r="N5996" t="s">
        <v>41249</v>
      </c>
      <c r="O5996" t="s">
        <v>41250</v>
      </c>
      <c r="P5996">
        <v>0</v>
      </c>
      <c r="Q5996">
        <v>1</v>
      </c>
      <c r="R5996" t="s">
        <v>41256</v>
      </c>
      <c r="S5996" t="s">
        <v>41450</v>
      </c>
      <c r="T5996" t="s">
        <v>42736</v>
      </c>
      <c r="U5996" t="s">
        <v>45489</v>
      </c>
      <c r="W5996" t="s">
        <v>55925</v>
      </c>
      <c r="X5996" t="s">
        <v>41257</v>
      </c>
    </row>
    <row r="5997" spans="1:24">
      <c r="A5997">
        <f>HYPERLINK("https://www.philgeps.gov.ph/GEPSNONPILOT/Tender/SplashBidNoticeAbstractUI.aspx?menuIndex=3&amp;refID=7071103&amp;Result=3","7071103")</f>
        <v>0</v>
      </c>
      <c r="B5997" t="s">
        <v>1327</v>
      </c>
      <c r="C5997" t="s">
        <v>9105</v>
      </c>
      <c r="D5997" t="s">
        <v>16627</v>
      </c>
      <c r="E5997" t="s">
        <v>21999</v>
      </c>
      <c r="F5997" t="s">
        <v>28669</v>
      </c>
      <c r="G5997" t="s">
        <v>28675</v>
      </c>
      <c r="H5997" t="s">
        <v>9998</v>
      </c>
      <c r="I5997" t="s">
        <v>28707</v>
      </c>
      <c r="J5997" t="s">
        <v>32609</v>
      </c>
      <c r="K5997" t="s">
        <v>37213</v>
      </c>
      <c r="M5997" t="s">
        <v>39006</v>
      </c>
      <c r="N5997" t="s">
        <v>41249</v>
      </c>
      <c r="O5997" t="s">
        <v>41250</v>
      </c>
      <c r="P5997">
        <v>0</v>
      </c>
      <c r="Q5997">
        <v>8</v>
      </c>
      <c r="R5997" t="s">
        <v>41256</v>
      </c>
      <c r="S5997" t="s">
        <v>41450</v>
      </c>
      <c r="T5997" t="s">
        <v>42765</v>
      </c>
      <c r="U5997" t="s">
        <v>48112</v>
      </c>
      <c r="W5997" t="s">
        <v>39006</v>
      </c>
      <c r="X5997" t="s">
        <v>41257</v>
      </c>
    </row>
    <row r="5998" spans="1:24">
      <c r="A5998">
        <f>HYPERLINK("https://www.philgeps.gov.ph/GEPSNONPILOT/Tender/SplashBidNoticeAbstractUI.aspx?menuIndex=3&amp;refID=7071153&amp;Result=3","7071153")</f>
        <v>0</v>
      </c>
      <c r="B5998" t="s">
        <v>1126</v>
      </c>
      <c r="C5998" t="s">
        <v>9106</v>
      </c>
      <c r="D5998" t="s">
        <v>16630</v>
      </c>
      <c r="E5998" t="s">
        <v>22000</v>
      </c>
      <c r="F5998" t="s">
        <v>28669</v>
      </c>
      <c r="G5998" t="s">
        <v>28675</v>
      </c>
      <c r="H5998" t="s">
        <v>9998</v>
      </c>
      <c r="I5998" t="s">
        <v>28706</v>
      </c>
      <c r="J5998" t="s">
        <v>32610</v>
      </c>
      <c r="K5998" t="s">
        <v>37206</v>
      </c>
      <c r="M5998" t="s">
        <v>38660</v>
      </c>
      <c r="N5998" t="s">
        <v>41249</v>
      </c>
      <c r="O5998" t="s">
        <v>41250</v>
      </c>
      <c r="P5998">
        <v>0</v>
      </c>
      <c r="Q5998">
        <v>4</v>
      </c>
      <c r="R5998" t="s">
        <v>41256</v>
      </c>
      <c r="S5998" t="s">
        <v>41450</v>
      </c>
      <c r="T5998" t="s">
        <v>42796</v>
      </c>
      <c r="U5998" t="s">
        <v>48165</v>
      </c>
      <c r="W5998" t="s">
        <v>38660</v>
      </c>
      <c r="X5998" t="s">
        <v>41257</v>
      </c>
    </row>
    <row r="5999" spans="1:24">
      <c r="A5999">
        <f>HYPERLINK("https://www.philgeps.gov.ph/GEPSNONPILOT/Tender/SplashBidNoticeAbstractUI.aspx?menuIndex=3&amp;refID=7071145&amp;Result=3","7071145")</f>
        <v>0</v>
      </c>
      <c r="B5999" t="s">
        <v>310</v>
      </c>
      <c r="C5999" t="s">
        <v>9107</v>
      </c>
      <c r="D5999" t="s">
        <v>16635</v>
      </c>
      <c r="E5999" t="s">
        <v>22001</v>
      </c>
      <c r="F5999" t="s">
        <v>28669</v>
      </c>
      <c r="G5999" t="s">
        <v>28676</v>
      </c>
      <c r="H5999" t="s">
        <v>9998</v>
      </c>
      <c r="I5999" t="s">
        <v>28712</v>
      </c>
      <c r="J5999" t="s">
        <v>30485</v>
      </c>
      <c r="K5999" t="s">
        <v>37209</v>
      </c>
      <c r="M5999" t="s">
        <v>37789</v>
      </c>
      <c r="N5999" t="s">
        <v>41249</v>
      </c>
      <c r="O5999" t="s">
        <v>41250</v>
      </c>
      <c r="P5999">
        <v>0</v>
      </c>
      <c r="Q5999">
        <v>1</v>
      </c>
      <c r="R5999" t="s">
        <v>41256</v>
      </c>
      <c r="S5999" t="s">
        <v>41450</v>
      </c>
      <c r="T5999" t="s">
        <v>42992</v>
      </c>
      <c r="U5999" t="s">
        <v>48166</v>
      </c>
      <c r="W5999" t="s">
        <v>37789</v>
      </c>
      <c r="X5999" t="s">
        <v>41257</v>
      </c>
    </row>
    <row r="6000" spans="1:24">
      <c r="A6000">
        <f>HYPERLINK("https://www.philgeps.gov.ph/GEPSNONPILOT/Tender/SplashBidNoticeAbstractUI.aspx?menuIndex=3&amp;refID=7072488&amp;Result=3","7072488")</f>
        <v>0</v>
      </c>
      <c r="B6000" t="s">
        <v>1917</v>
      </c>
      <c r="C6000" t="s">
        <v>9108</v>
      </c>
      <c r="D6000" t="s">
        <v>16620</v>
      </c>
      <c r="E6000" t="s">
        <v>22002</v>
      </c>
      <c r="F6000" t="s">
        <v>28669</v>
      </c>
      <c r="G6000" t="s">
        <v>28675</v>
      </c>
      <c r="H6000" t="s">
        <v>9998</v>
      </c>
      <c r="I6000" t="s">
        <v>5213</v>
      </c>
      <c r="J6000" t="s">
        <v>28826</v>
      </c>
      <c r="K6000" t="s">
        <v>37209</v>
      </c>
      <c r="M6000" t="s">
        <v>39544</v>
      </c>
      <c r="N6000" t="s">
        <v>41249</v>
      </c>
      <c r="O6000" t="s">
        <v>41250</v>
      </c>
      <c r="P6000">
        <v>0</v>
      </c>
      <c r="Q6000">
        <v>1</v>
      </c>
      <c r="R6000" t="s">
        <v>41255</v>
      </c>
      <c r="S6000" t="s">
        <v>41442</v>
      </c>
      <c r="T6000" t="s">
        <v>42858</v>
      </c>
      <c r="U6000" t="s">
        <v>47904</v>
      </c>
      <c r="W6000" t="s">
        <v>39544</v>
      </c>
      <c r="X6000" t="s">
        <v>41256</v>
      </c>
    </row>
    <row r="6001" spans="1:24">
      <c r="A6001">
        <f>HYPERLINK("https://www.philgeps.gov.ph/GEPSNONPILOT/Tender/SplashBidNoticeAbstractUI.aspx?menuIndex=3&amp;refID=7071143&amp;Result=3","7071143")</f>
        <v>0</v>
      </c>
      <c r="B6001" t="s">
        <v>2019</v>
      </c>
      <c r="C6001" t="s">
        <v>9109</v>
      </c>
      <c r="D6001" t="s">
        <v>16622</v>
      </c>
      <c r="E6001" t="s">
        <v>22003</v>
      </c>
      <c r="F6001" t="s">
        <v>28669</v>
      </c>
      <c r="G6001" t="s">
        <v>28677</v>
      </c>
      <c r="H6001" t="s">
        <v>9998</v>
      </c>
      <c r="I6001" t="s">
        <v>7352</v>
      </c>
      <c r="J6001" t="s">
        <v>32611</v>
      </c>
      <c r="K6001" t="s">
        <v>37243</v>
      </c>
      <c r="M6001" t="s">
        <v>39658</v>
      </c>
      <c r="N6001" t="s">
        <v>41249</v>
      </c>
      <c r="O6001" t="s">
        <v>41250</v>
      </c>
      <c r="P6001">
        <v>0</v>
      </c>
      <c r="Q6001">
        <v>0</v>
      </c>
      <c r="R6001" t="s">
        <v>41256</v>
      </c>
      <c r="S6001" t="s">
        <v>41450</v>
      </c>
      <c r="T6001" t="s">
        <v>42887</v>
      </c>
      <c r="U6001" t="s">
        <v>48167</v>
      </c>
      <c r="V6001" t="s">
        <v>54933</v>
      </c>
      <c r="W6001" t="s">
        <v>39658</v>
      </c>
      <c r="X6001" t="s">
        <v>41257</v>
      </c>
    </row>
    <row r="6002" spans="1:24">
      <c r="A6002">
        <f>HYPERLINK("https://www.philgeps.gov.ph/GEPSNONPILOT/Tender/SplashBidNoticeAbstractUI.aspx?menuIndex=3&amp;refID=7071140&amp;Result=3","7071140")</f>
        <v>0</v>
      </c>
      <c r="B6002" t="s">
        <v>2010</v>
      </c>
      <c r="C6002" t="s">
        <v>6688</v>
      </c>
      <c r="D6002" t="s">
        <v>16666</v>
      </c>
      <c r="E6002" t="s">
        <v>17768</v>
      </c>
      <c r="F6002" t="s">
        <v>28669</v>
      </c>
      <c r="G6002" t="s">
        <v>28676</v>
      </c>
      <c r="H6002" t="s">
        <v>9998</v>
      </c>
      <c r="I6002" t="s">
        <v>5286</v>
      </c>
      <c r="J6002" t="s">
        <v>29225</v>
      </c>
      <c r="K6002" t="s">
        <v>37240</v>
      </c>
      <c r="M6002" t="s">
        <v>39648</v>
      </c>
      <c r="N6002" t="s">
        <v>41249</v>
      </c>
      <c r="O6002" t="s">
        <v>41250</v>
      </c>
      <c r="P6002">
        <v>0</v>
      </c>
      <c r="Q6002">
        <v>1</v>
      </c>
      <c r="R6002" t="s">
        <v>41256</v>
      </c>
      <c r="S6002" t="s">
        <v>41450</v>
      </c>
      <c r="T6002" t="s">
        <v>42758</v>
      </c>
      <c r="U6002" t="s">
        <v>48168</v>
      </c>
      <c r="W6002" t="s">
        <v>39648</v>
      </c>
      <c r="X6002" t="s">
        <v>41257</v>
      </c>
    </row>
    <row r="6003" spans="1:24">
      <c r="A6003">
        <f>HYPERLINK("https://www.philgeps.gov.ph/GEPSNONPILOT/Tender/SplashBidNoticeAbstractUI.aspx?menuIndex=3&amp;refID=7071139&amp;Result=3","7071139")</f>
        <v>0</v>
      </c>
      <c r="B6003" t="s">
        <v>86</v>
      </c>
      <c r="C6003" t="s">
        <v>9110</v>
      </c>
      <c r="D6003" t="s">
        <v>16624</v>
      </c>
      <c r="E6003" t="s">
        <v>22004</v>
      </c>
      <c r="F6003" t="s">
        <v>28669</v>
      </c>
      <c r="G6003" t="s">
        <v>28675</v>
      </c>
      <c r="H6003" t="s">
        <v>28686</v>
      </c>
      <c r="I6003" t="s">
        <v>28689</v>
      </c>
      <c r="J6003" t="s">
        <v>32612</v>
      </c>
      <c r="K6003" t="s">
        <v>37204</v>
      </c>
      <c r="M6003" t="s">
        <v>37561</v>
      </c>
      <c r="N6003" t="s">
        <v>41249</v>
      </c>
      <c r="O6003" t="s">
        <v>41250</v>
      </c>
      <c r="P6003">
        <v>0</v>
      </c>
      <c r="Q6003">
        <v>0</v>
      </c>
      <c r="R6003" t="s">
        <v>41256</v>
      </c>
      <c r="S6003" t="s">
        <v>41450</v>
      </c>
      <c r="T6003" t="s">
        <v>42716</v>
      </c>
      <c r="U6003" t="s">
        <v>48169</v>
      </c>
      <c r="W6003" t="s">
        <v>37561</v>
      </c>
      <c r="X6003" t="s">
        <v>41257</v>
      </c>
    </row>
    <row r="6004" spans="1:24">
      <c r="A6004">
        <f>HYPERLINK("https://www.philgeps.gov.ph/GEPSNONPILOT/Tender/SplashBidNoticeAbstractUI.aspx?menuIndex=3&amp;refID=7071137&amp;Result=3","7071137")</f>
        <v>0</v>
      </c>
      <c r="B6004" t="s">
        <v>476</v>
      </c>
      <c r="C6004" t="s">
        <v>9111</v>
      </c>
      <c r="D6004" t="s">
        <v>16615</v>
      </c>
      <c r="E6004" t="s">
        <v>22005</v>
      </c>
      <c r="F6004" t="s">
        <v>28669</v>
      </c>
      <c r="G6004" t="s">
        <v>28675</v>
      </c>
      <c r="H6004" t="s">
        <v>28686</v>
      </c>
      <c r="I6004" t="s">
        <v>28689</v>
      </c>
      <c r="J6004" t="s">
        <v>32613</v>
      </c>
      <c r="K6004" t="s">
        <v>37257</v>
      </c>
      <c r="M6004" t="s">
        <v>37964</v>
      </c>
      <c r="N6004" t="s">
        <v>41249</v>
      </c>
      <c r="O6004" t="s">
        <v>41250</v>
      </c>
      <c r="P6004">
        <v>0</v>
      </c>
      <c r="Q6004">
        <v>11</v>
      </c>
      <c r="R6004" t="s">
        <v>41256</v>
      </c>
      <c r="S6004" t="s">
        <v>41450</v>
      </c>
      <c r="T6004" t="s">
        <v>42747</v>
      </c>
      <c r="U6004" t="s">
        <v>48146</v>
      </c>
      <c r="W6004" t="s">
        <v>37964</v>
      </c>
      <c r="X6004" t="s">
        <v>41257</v>
      </c>
    </row>
    <row r="6005" spans="1:24">
      <c r="A6005">
        <f>HYPERLINK("https://www.philgeps.gov.ph/GEPSNONPILOT/Tender/SplashBidNoticeAbstractUI.aspx?menuIndex=3&amp;refID=7071136&amp;Result=3","7071136")</f>
        <v>0</v>
      </c>
      <c r="B6005" t="s">
        <v>2010</v>
      </c>
      <c r="C6005" t="s">
        <v>9112</v>
      </c>
      <c r="D6005" t="s">
        <v>16666</v>
      </c>
      <c r="E6005" t="s">
        <v>17768</v>
      </c>
      <c r="F6005" t="s">
        <v>28669</v>
      </c>
      <c r="G6005" t="s">
        <v>28676</v>
      </c>
      <c r="H6005" t="s">
        <v>9998</v>
      </c>
      <c r="I6005" t="s">
        <v>28731</v>
      </c>
      <c r="J6005" t="s">
        <v>30645</v>
      </c>
      <c r="K6005" t="s">
        <v>37208</v>
      </c>
      <c r="M6005" t="s">
        <v>39648</v>
      </c>
      <c r="N6005" t="s">
        <v>41249</v>
      </c>
      <c r="O6005" t="s">
        <v>41250</v>
      </c>
      <c r="P6005">
        <v>0</v>
      </c>
      <c r="Q6005">
        <v>1</v>
      </c>
      <c r="R6005" t="s">
        <v>41256</v>
      </c>
      <c r="S6005" t="s">
        <v>41450</v>
      </c>
      <c r="T6005" t="s">
        <v>42758</v>
      </c>
      <c r="U6005" t="s">
        <v>48170</v>
      </c>
      <c r="W6005" t="s">
        <v>39648</v>
      </c>
      <c r="X6005" t="s">
        <v>41257</v>
      </c>
    </row>
    <row r="6006" spans="1:24">
      <c r="A6006">
        <f>HYPERLINK("https://www.philgeps.gov.ph/GEPSNONPILOT/Tender/SplashBidNoticeAbstractUI.aspx?menuIndex=3&amp;refID=7072540&amp;Result=3","7072540")</f>
        <v>0</v>
      </c>
      <c r="B6006" t="s">
        <v>416</v>
      </c>
      <c r="C6006" t="s">
        <v>9113</v>
      </c>
      <c r="D6006" t="s">
        <v>16615</v>
      </c>
      <c r="E6006" t="s">
        <v>22006</v>
      </c>
      <c r="F6006" t="s">
        <v>28669</v>
      </c>
      <c r="G6006" t="s">
        <v>28675</v>
      </c>
      <c r="H6006" t="s">
        <v>9998</v>
      </c>
      <c r="I6006" t="s">
        <v>7352</v>
      </c>
      <c r="J6006" t="s">
        <v>32614</v>
      </c>
      <c r="K6006" t="s">
        <v>37206</v>
      </c>
      <c r="M6006" t="s">
        <v>37901</v>
      </c>
      <c r="N6006" t="s">
        <v>41249</v>
      </c>
      <c r="O6006" t="s">
        <v>41250</v>
      </c>
      <c r="P6006">
        <v>0</v>
      </c>
      <c r="Q6006">
        <v>3</v>
      </c>
      <c r="R6006" t="s">
        <v>41255</v>
      </c>
      <c r="S6006" t="s">
        <v>41442</v>
      </c>
      <c r="T6006" t="s">
        <v>42694</v>
      </c>
      <c r="U6006" t="s">
        <v>48171</v>
      </c>
      <c r="W6006" t="s">
        <v>37901</v>
      </c>
      <c r="X6006" t="s">
        <v>41256</v>
      </c>
    </row>
    <row r="6007" spans="1:24">
      <c r="A6007">
        <f>HYPERLINK("https://www.philgeps.gov.ph/GEPSNONPILOT/Tender/SplashBidNoticeAbstractUI.aspx?menuIndex=3&amp;refID=7071146&amp;Result=3","7071146")</f>
        <v>0</v>
      </c>
      <c r="B6007" t="s">
        <v>2020</v>
      </c>
      <c r="C6007" t="s">
        <v>9114</v>
      </c>
      <c r="D6007" t="s">
        <v>16611</v>
      </c>
      <c r="E6007" t="s">
        <v>20862</v>
      </c>
      <c r="F6007" t="s">
        <v>28669</v>
      </c>
      <c r="G6007" t="s">
        <v>28677</v>
      </c>
      <c r="H6007" t="s">
        <v>9998</v>
      </c>
      <c r="I6007" t="s">
        <v>28709</v>
      </c>
      <c r="J6007" t="s">
        <v>31171</v>
      </c>
      <c r="K6007" t="s">
        <v>37266</v>
      </c>
      <c r="M6007" t="s">
        <v>39659</v>
      </c>
      <c r="N6007" t="s">
        <v>41249</v>
      </c>
      <c r="O6007" t="s">
        <v>41250</v>
      </c>
      <c r="P6007">
        <v>0</v>
      </c>
      <c r="Q6007">
        <v>1</v>
      </c>
      <c r="R6007" t="s">
        <v>41256</v>
      </c>
      <c r="S6007" t="s">
        <v>41450</v>
      </c>
      <c r="T6007" t="s">
        <v>42736</v>
      </c>
      <c r="U6007" t="s">
        <v>48172</v>
      </c>
      <c r="W6007" t="s">
        <v>39659</v>
      </c>
      <c r="X6007" t="s">
        <v>41257</v>
      </c>
    </row>
    <row r="6008" spans="1:24">
      <c r="A6008">
        <f>HYPERLINK("https://www.philgeps.gov.ph/GEPSNONPILOT/Tender/SplashBidNoticeAbstractUI.aspx?menuIndex=3&amp;refID=7071132&amp;Result=3","7071132")</f>
        <v>0</v>
      </c>
      <c r="B6008" t="s">
        <v>86</v>
      </c>
      <c r="C6008" t="s">
        <v>9115</v>
      </c>
      <c r="D6008" t="s">
        <v>16624</v>
      </c>
      <c r="E6008" t="s">
        <v>22007</v>
      </c>
      <c r="F6008" t="s">
        <v>28669</v>
      </c>
      <c r="G6008" t="s">
        <v>28675</v>
      </c>
      <c r="H6008" t="s">
        <v>28686</v>
      </c>
      <c r="I6008" t="s">
        <v>28689</v>
      </c>
      <c r="J6008" t="s">
        <v>32615</v>
      </c>
      <c r="K6008" t="s">
        <v>37361</v>
      </c>
      <c r="M6008" t="s">
        <v>37561</v>
      </c>
      <c r="N6008" t="s">
        <v>41249</v>
      </c>
      <c r="O6008" t="s">
        <v>41250</v>
      </c>
      <c r="P6008">
        <v>0</v>
      </c>
      <c r="Q6008">
        <v>0</v>
      </c>
      <c r="R6008" t="s">
        <v>41256</v>
      </c>
      <c r="S6008" t="s">
        <v>41450</v>
      </c>
      <c r="T6008" t="s">
        <v>42716</v>
      </c>
      <c r="U6008" t="s">
        <v>48173</v>
      </c>
      <c r="W6008" t="s">
        <v>37561</v>
      </c>
      <c r="X6008" t="s">
        <v>41257</v>
      </c>
    </row>
    <row r="6009" spans="1:24">
      <c r="A6009">
        <f>HYPERLINK("https://www.philgeps.gov.ph/GEPSNONPILOT/Tender/SplashBidNoticeAbstractUI.aspx?menuIndex=3&amp;refID=7072536&amp;Result=3","7072536")</f>
        <v>0</v>
      </c>
      <c r="B6009" t="s">
        <v>1925</v>
      </c>
      <c r="C6009" t="s">
        <v>9116</v>
      </c>
      <c r="D6009" t="s">
        <v>16654</v>
      </c>
      <c r="E6009" t="s">
        <v>22008</v>
      </c>
      <c r="F6009" t="s">
        <v>28669</v>
      </c>
      <c r="G6009" t="s">
        <v>28675</v>
      </c>
      <c r="H6009" t="s">
        <v>28686</v>
      </c>
      <c r="I6009" t="s">
        <v>28689</v>
      </c>
      <c r="J6009" t="s">
        <v>32616</v>
      </c>
      <c r="K6009" t="s">
        <v>37204</v>
      </c>
      <c r="M6009" t="s">
        <v>39552</v>
      </c>
      <c r="N6009" t="s">
        <v>41249</v>
      </c>
      <c r="O6009" t="s">
        <v>41250</v>
      </c>
      <c r="P6009">
        <v>0</v>
      </c>
      <c r="Q6009">
        <v>0</v>
      </c>
      <c r="R6009" t="s">
        <v>41255</v>
      </c>
      <c r="S6009" t="s">
        <v>41442</v>
      </c>
      <c r="T6009" t="s">
        <v>42717</v>
      </c>
      <c r="U6009" t="s">
        <v>48174</v>
      </c>
      <c r="W6009" t="s">
        <v>39552</v>
      </c>
      <c r="X6009" t="s">
        <v>41256</v>
      </c>
    </row>
    <row r="6010" spans="1:24">
      <c r="A6010">
        <f>HYPERLINK("https://www.philgeps.gov.ph/GEPSNONPILOT/Tender/SplashBidNoticeAbstractUI.aspx?menuIndex=3&amp;refID=7071217&amp;Result=3","7071217")</f>
        <v>0</v>
      </c>
      <c r="B6010" t="s">
        <v>238</v>
      </c>
      <c r="C6010" t="s">
        <v>9117</v>
      </c>
      <c r="D6010" t="s">
        <v>16640</v>
      </c>
      <c r="E6010" t="s">
        <v>22009</v>
      </c>
      <c r="F6010" t="s">
        <v>28669</v>
      </c>
      <c r="G6010" t="s">
        <v>28677</v>
      </c>
      <c r="H6010" t="s">
        <v>9998</v>
      </c>
      <c r="I6010" t="s">
        <v>5213</v>
      </c>
      <c r="J6010" t="s">
        <v>32617</v>
      </c>
      <c r="K6010" t="s">
        <v>37209</v>
      </c>
      <c r="M6010" t="s">
        <v>37716</v>
      </c>
      <c r="N6010" t="s">
        <v>41249</v>
      </c>
      <c r="O6010" t="s">
        <v>41250</v>
      </c>
      <c r="P6010">
        <v>0</v>
      </c>
      <c r="Q6010">
        <v>0</v>
      </c>
      <c r="R6010" t="s">
        <v>41256</v>
      </c>
      <c r="S6010" t="s">
        <v>41450</v>
      </c>
      <c r="T6010" t="s">
        <v>42867</v>
      </c>
      <c r="U6010" t="s">
        <v>48175</v>
      </c>
      <c r="W6010" t="s">
        <v>37716</v>
      </c>
      <c r="X6010" t="s">
        <v>41257</v>
      </c>
    </row>
    <row r="6011" spans="1:24">
      <c r="A6011">
        <f>HYPERLINK("https://www.philgeps.gov.ph/GEPSNONPILOT/Tender/SplashBidNoticeAbstractUI.aspx?menuIndex=3&amp;refID=7071213&amp;Result=3","7071213")</f>
        <v>0</v>
      </c>
      <c r="B6011" t="s">
        <v>2021</v>
      </c>
      <c r="C6011" t="s">
        <v>9118</v>
      </c>
      <c r="D6011" t="s">
        <v>16627</v>
      </c>
      <c r="E6011" t="s">
        <v>22010</v>
      </c>
      <c r="F6011" t="s">
        <v>28669</v>
      </c>
      <c r="G6011" t="s">
        <v>28675</v>
      </c>
      <c r="H6011" t="s">
        <v>9998</v>
      </c>
      <c r="I6011" t="s">
        <v>28750</v>
      </c>
      <c r="J6011" t="s">
        <v>29538</v>
      </c>
      <c r="K6011" t="s">
        <v>37204</v>
      </c>
      <c r="M6011" t="s">
        <v>39660</v>
      </c>
      <c r="N6011" t="s">
        <v>41249</v>
      </c>
      <c r="O6011" t="s">
        <v>41250</v>
      </c>
      <c r="P6011">
        <v>0</v>
      </c>
      <c r="Q6011">
        <v>0</v>
      </c>
      <c r="R6011" t="s">
        <v>41256</v>
      </c>
      <c r="S6011" t="s">
        <v>41450</v>
      </c>
      <c r="T6011" t="s">
        <v>42714</v>
      </c>
      <c r="U6011" t="s">
        <v>48176</v>
      </c>
      <c r="V6011" t="s">
        <v>54934</v>
      </c>
      <c r="W6011" t="s">
        <v>39660</v>
      </c>
      <c r="X6011" t="s">
        <v>41257</v>
      </c>
    </row>
    <row r="6012" spans="1:24">
      <c r="A6012">
        <f>HYPERLINK("https://www.philgeps.gov.ph/GEPSNONPILOT/Tender/SplashBidNoticeAbstractUI.aspx?menuIndex=3&amp;refID=7071151&amp;Result=3","7071151")</f>
        <v>0</v>
      </c>
      <c r="B6012" t="s">
        <v>2010</v>
      </c>
      <c r="C6012" t="s">
        <v>9119</v>
      </c>
      <c r="D6012" t="s">
        <v>16666</v>
      </c>
      <c r="E6012" t="s">
        <v>17768</v>
      </c>
      <c r="F6012" t="s">
        <v>28669</v>
      </c>
      <c r="G6012" t="s">
        <v>28676</v>
      </c>
      <c r="H6012" t="s">
        <v>9998</v>
      </c>
      <c r="I6012" t="s">
        <v>3718</v>
      </c>
      <c r="J6012" t="s">
        <v>29060</v>
      </c>
      <c r="K6012" t="s">
        <v>37208</v>
      </c>
      <c r="M6012" t="s">
        <v>39648</v>
      </c>
      <c r="N6012" t="s">
        <v>41249</v>
      </c>
      <c r="O6012" t="s">
        <v>41250</v>
      </c>
      <c r="P6012">
        <v>0</v>
      </c>
      <c r="Q6012">
        <v>2</v>
      </c>
      <c r="R6012" t="s">
        <v>41256</v>
      </c>
      <c r="S6012" t="s">
        <v>41450</v>
      </c>
      <c r="T6012" t="s">
        <v>42758</v>
      </c>
      <c r="U6012" t="s">
        <v>48177</v>
      </c>
      <c r="W6012" t="s">
        <v>39648</v>
      </c>
      <c r="X6012" t="s">
        <v>41257</v>
      </c>
    </row>
    <row r="6013" spans="1:24">
      <c r="A6013">
        <f>HYPERLINK("https://www.philgeps.gov.ph/GEPSNONPILOT/Tender/SplashBidNoticeAbstractUI.aspx?menuIndex=3&amp;refID=7071162&amp;Result=3","7071162")</f>
        <v>0</v>
      </c>
      <c r="B6013" t="s">
        <v>1965</v>
      </c>
      <c r="C6013" t="s">
        <v>9120</v>
      </c>
      <c r="D6013" t="s">
        <v>16670</v>
      </c>
      <c r="E6013" t="s">
        <v>22011</v>
      </c>
      <c r="F6013" t="s">
        <v>28669</v>
      </c>
      <c r="G6013" t="s">
        <v>28675</v>
      </c>
      <c r="H6013" t="s">
        <v>9998</v>
      </c>
      <c r="I6013" t="s">
        <v>15140</v>
      </c>
      <c r="J6013" t="s">
        <v>32618</v>
      </c>
      <c r="K6013" t="s">
        <v>37221</v>
      </c>
      <c r="M6013" t="s">
        <v>39598</v>
      </c>
      <c r="N6013" t="s">
        <v>41249</v>
      </c>
      <c r="O6013" t="s">
        <v>41250</v>
      </c>
      <c r="P6013">
        <v>0</v>
      </c>
      <c r="Q6013">
        <v>0</v>
      </c>
      <c r="R6013" t="s">
        <v>41256</v>
      </c>
      <c r="S6013" t="s">
        <v>41450</v>
      </c>
      <c r="T6013" t="s">
        <v>42692</v>
      </c>
      <c r="U6013" t="s">
        <v>48178</v>
      </c>
      <c r="V6013" t="s">
        <v>54906</v>
      </c>
      <c r="W6013" t="s">
        <v>39598</v>
      </c>
      <c r="X6013" t="s">
        <v>41257</v>
      </c>
    </row>
    <row r="6014" spans="1:24">
      <c r="A6014">
        <f>HYPERLINK("https://www.philgeps.gov.ph/GEPSNONPILOT/Tender/SplashBidNoticeAbstractUI.aspx?menuIndex=3&amp;refID=7071215&amp;Result=3","7071215")</f>
        <v>0</v>
      </c>
      <c r="B6014" t="s">
        <v>1271</v>
      </c>
      <c r="C6014" t="s">
        <v>9121</v>
      </c>
      <c r="D6014" t="s">
        <v>16619</v>
      </c>
      <c r="E6014" t="s">
        <v>22012</v>
      </c>
      <c r="F6014" t="s">
        <v>28669</v>
      </c>
      <c r="G6014" t="s">
        <v>28676</v>
      </c>
      <c r="H6014" t="s">
        <v>9998</v>
      </c>
      <c r="I6014" t="s">
        <v>5213</v>
      </c>
      <c r="J6014" t="s">
        <v>32619</v>
      </c>
      <c r="K6014" t="s">
        <v>37243</v>
      </c>
      <c r="M6014" t="s">
        <v>38821</v>
      </c>
      <c r="N6014" t="s">
        <v>41249</v>
      </c>
      <c r="O6014" t="s">
        <v>41250</v>
      </c>
      <c r="P6014">
        <v>0</v>
      </c>
      <c r="Q6014">
        <v>0</v>
      </c>
      <c r="R6014" t="s">
        <v>41256</v>
      </c>
      <c r="S6014" t="s">
        <v>41450</v>
      </c>
      <c r="T6014" t="s">
        <v>42758</v>
      </c>
      <c r="U6014" t="s">
        <v>48179</v>
      </c>
      <c r="W6014" t="s">
        <v>38821</v>
      </c>
      <c r="X6014" t="s">
        <v>41257</v>
      </c>
    </row>
    <row r="6015" spans="1:24">
      <c r="A6015">
        <f>HYPERLINK("https://www.philgeps.gov.ph/GEPSNONPILOT/Tender/SplashBidNoticeAbstractUI.aspx?menuIndex=3&amp;refID=7071210&amp;Result=3","7071210")</f>
        <v>0</v>
      </c>
      <c r="B6015" t="s">
        <v>2022</v>
      </c>
      <c r="C6015" t="s">
        <v>9122</v>
      </c>
      <c r="D6015" t="s">
        <v>16622</v>
      </c>
      <c r="E6015" t="s">
        <v>9122</v>
      </c>
      <c r="F6015" t="s">
        <v>28669</v>
      </c>
      <c r="G6015" t="s">
        <v>28675</v>
      </c>
      <c r="H6015" t="s">
        <v>9998</v>
      </c>
      <c r="I6015" t="s">
        <v>28713</v>
      </c>
      <c r="J6015" t="s">
        <v>32620</v>
      </c>
      <c r="K6015" t="s">
        <v>37209</v>
      </c>
      <c r="M6015" t="s">
        <v>39661</v>
      </c>
      <c r="N6015" t="s">
        <v>41249</v>
      </c>
      <c r="O6015" t="s">
        <v>41250</v>
      </c>
      <c r="P6015">
        <v>0</v>
      </c>
      <c r="Q6015">
        <v>27</v>
      </c>
      <c r="R6015" t="s">
        <v>41256</v>
      </c>
      <c r="S6015" t="s">
        <v>41450</v>
      </c>
      <c r="T6015" t="s">
        <v>42692</v>
      </c>
      <c r="U6015" t="s">
        <v>48180</v>
      </c>
      <c r="V6015" t="s">
        <v>54935</v>
      </c>
      <c r="W6015" t="s">
        <v>39661</v>
      </c>
      <c r="X6015" t="s">
        <v>41257</v>
      </c>
    </row>
    <row r="6016" spans="1:24">
      <c r="A6016">
        <f>HYPERLINK("https://www.philgeps.gov.ph/GEPSNONPILOT/Tender/SplashBidNoticeAbstractUI.aspx?menuIndex=3&amp;refID=7071138&amp;Result=3","7071138")</f>
        <v>0</v>
      </c>
      <c r="B6016" t="s">
        <v>659</v>
      </c>
      <c r="C6016" t="s">
        <v>9123</v>
      </c>
      <c r="D6016" t="s">
        <v>16643</v>
      </c>
      <c r="E6016" t="s">
        <v>22013</v>
      </c>
      <c r="F6016" t="s">
        <v>28669</v>
      </c>
      <c r="G6016" t="s">
        <v>28676</v>
      </c>
      <c r="H6016" t="s">
        <v>9998</v>
      </c>
      <c r="I6016" t="s">
        <v>15140</v>
      </c>
      <c r="J6016" t="s">
        <v>32621</v>
      </c>
      <c r="K6016" t="s">
        <v>37204</v>
      </c>
      <c r="M6016" t="s">
        <v>38161</v>
      </c>
      <c r="N6016" t="s">
        <v>41249</v>
      </c>
      <c r="O6016" t="s">
        <v>41250</v>
      </c>
      <c r="P6016">
        <v>0</v>
      </c>
      <c r="Q6016">
        <v>1</v>
      </c>
      <c r="R6016" t="s">
        <v>41256</v>
      </c>
      <c r="S6016" t="s">
        <v>41450</v>
      </c>
      <c r="T6016" t="s">
        <v>42736</v>
      </c>
      <c r="U6016" t="s">
        <v>45489</v>
      </c>
      <c r="W6016" t="s">
        <v>55925</v>
      </c>
      <c r="X6016" t="s">
        <v>41257</v>
      </c>
    </row>
    <row r="6017" spans="1:24">
      <c r="A6017">
        <f>HYPERLINK("https://www.philgeps.gov.ph/GEPSNONPILOT/Tender/SplashBidNoticeAbstractUI.aspx?menuIndex=3&amp;refID=7071148&amp;Result=3","7071148")</f>
        <v>0</v>
      </c>
      <c r="B6017" t="s">
        <v>86</v>
      </c>
      <c r="C6017" t="s">
        <v>9124</v>
      </c>
      <c r="D6017" t="s">
        <v>16624</v>
      </c>
      <c r="E6017" t="s">
        <v>22014</v>
      </c>
      <c r="F6017" t="s">
        <v>28669</v>
      </c>
      <c r="G6017" t="s">
        <v>28675</v>
      </c>
      <c r="H6017" t="s">
        <v>28686</v>
      </c>
      <c r="I6017" t="s">
        <v>28689</v>
      </c>
      <c r="J6017" t="s">
        <v>32622</v>
      </c>
      <c r="K6017" t="s">
        <v>37215</v>
      </c>
      <c r="M6017" t="s">
        <v>37561</v>
      </c>
      <c r="N6017" t="s">
        <v>41249</v>
      </c>
      <c r="O6017" t="s">
        <v>41250</v>
      </c>
      <c r="P6017">
        <v>0</v>
      </c>
      <c r="Q6017">
        <v>0</v>
      </c>
      <c r="R6017" t="s">
        <v>41256</v>
      </c>
      <c r="S6017" t="s">
        <v>41450</v>
      </c>
      <c r="T6017" t="s">
        <v>42716</v>
      </c>
      <c r="U6017" t="s">
        <v>48181</v>
      </c>
      <c r="W6017" t="s">
        <v>37561</v>
      </c>
      <c r="X6017" t="s">
        <v>41257</v>
      </c>
    </row>
    <row r="6018" spans="1:24">
      <c r="A6018">
        <f>HYPERLINK("https://www.philgeps.gov.ph/GEPSNONPILOT/Tender/SplashBidNoticeAbstractUI.aspx?menuIndex=3&amp;refID=7071187&amp;Result=3","7071187")</f>
        <v>0</v>
      </c>
      <c r="B6018" t="s">
        <v>1126</v>
      </c>
      <c r="C6018" t="s">
        <v>9125</v>
      </c>
      <c r="D6018" t="s">
        <v>16630</v>
      </c>
      <c r="E6018" t="s">
        <v>22015</v>
      </c>
      <c r="F6018" t="s">
        <v>28669</v>
      </c>
      <c r="G6018" t="s">
        <v>28675</v>
      </c>
      <c r="H6018" t="s">
        <v>9998</v>
      </c>
      <c r="I6018" t="s">
        <v>28717</v>
      </c>
      <c r="J6018" t="s">
        <v>32623</v>
      </c>
      <c r="K6018" t="s">
        <v>37206</v>
      </c>
      <c r="M6018" t="s">
        <v>38660</v>
      </c>
      <c r="N6018" t="s">
        <v>41249</v>
      </c>
      <c r="O6018" t="s">
        <v>41250</v>
      </c>
      <c r="P6018">
        <v>0</v>
      </c>
      <c r="Q6018">
        <v>5</v>
      </c>
      <c r="R6018" t="s">
        <v>41256</v>
      </c>
      <c r="S6018" t="s">
        <v>41450</v>
      </c>
      <c r="T6018" t="s">
        <v>42726</v>
      </c>
      <c r="U6018" t="s">
        <v>48182</v>
      </c>
      <c r="W6018" t="s">
        <v>38660</v>
      </c>
      <c r="X6018" t="s">
        <v>41257</v>
      </c>
    </row>
    <row r="6019" spans="1:24">
      <c r="A6019">
        <f>HYPERLINK("https://www.philgeps.gov.ph/GEPSNONPILOT/Tender/SplashBidNoticeAbstractUI.aspx?menuIndex=3&amp;refID=7071181&amp;Result=3","7071181")</f>
        <v>0</v>
      </c>
      <c r="B6019" t="s">
        <v>2023</v>
      </c>
      <c r="C6019" t="s">
        <v>9126</v>
      </c>
      <c r="D6019" t="s">
        <v>16657</v>
      </c>
      <c r="E6019" t="s">
        <v>18803</v>
      </c>
      <c r="F6019" t="s">
        <v>28669</v>
      </c>
      <c r="G6019" t="s">
        <v>28675</v>
      </c>
      <c r="H6019" t="s">
        <v>9998</v>
      </c>
      <c r="I6019" t="s">
        <v>28687</v>
      </c>
      <c r="J6019" t="s">
        <v>29112</v>
      </c>
      <c r="K6019" t="s">
        <v>37205</v>
      </c>
      <c r="M6019" t="s">
        <v>39662</v>
      </c>
      <c r="N6019" t="s">
        <v>41249</v>
      </c>
      <c r="O6019" t="s">
        <v>41250</v>
      </c>
      <c r="P6019">
        <v>0</v>
      </c>
      <c r="Q6019">
        <v>4</v>
      </c>
      <c r="R6019" t="s">
        <v>41256</v>
      </c>
      <c r="S6019" t="s">
        <v>41450</v>
      </c>
      <c r="T6019" t="s">
        <v>42673</v>
      </c>
      <c r="U6019" t="s">
        <v>48183</v>
      </c>
      <c r="W6019" t="s">
        <v>39662</v>
      </c>
      <c r="X6019" t="s">
        <v>41257</v>
      </c>
    </row>
    <row r="6020" spans="1:24">
      <c r="A6020">
        <f>HYPERLINK("https://www.philgeps.gov.ph/GEPSNONPILOT/Tender/SplashBidNoticeAbstractUI.aspx?menuIndex=3&amp;refID=7071178&amp;Result=3","7071178")</f>
        <v>0</v>
      </c>
      <c r="B6020" t="s">
        <v>2024</v>
      </c>
      <c r="C6020" t="s">
        <v>9127</v>
      </c>
      <c r="D6020" t="s">
        <v>16608</v>
      </c>
      <c r="E6020" t="s">
        <v>22016</v>
      </c>
      <c r="F6020" t="s">
        <v>28669</v>
      </c>
      <c r="G6020" t="s">
        <v>28675</v>
      </c>
      <c r="H6020" t="s">
        <v>9998</v>
      </c>
      <c r="I6020" t="s">
        <v>5213</v>
      </c>
      <c r="J6020" t="s">
        <v>32624</v>
      </c>
      <c r="K6020" t="s">
        <v>37204</v>
      </c>
      <c r="M6020" t="s">
        <v>39663</v>
      </c>
      <c r="N6020" t="s">
        <v>41249</v>
      </c>
      <c r="O6020" t="s">
        <v>41250</v>
      </c>
      <c r="P6020">
        <v>0</v>
      </c>
      <c r="Q6020">
        <v>2</v>
      </c>
      <c r="R6020" t="s">
        <v>41256</v>
      </c>
      <c r="S6020" t="s">
        <v>41450</v>
      </c>
      <c r="T6020" t="s">
        <v>43019</v>
      </c>
      <c r="U6020" t="s">
        <v>48184</v>
      </c>
      <c r="W6020" t="s">
        <v>39663</v>
      </c>
      <c r="X6020" t="s">
        <v>41257</v>
      </c>
    </row>
    <row r="6021" spans="1:24">
      <c r="A6021">
        <f>HYPERLINK("https://www.philgeps.gov.ph/GEPSNONPILOT/Tender/SplashBidNoticeAbstractUI.aspx?menuIndex=3&amp;refID=7071175&amp;Result=3","7071175")</f>
        <v>0</v>
      </c>
      <c r="B6021" t="s">
        <v>310</v>
      </c>
      <c r="C6021" t="s">
        <v>3898</v>
      </c>
      <c r="D6021" t="s">
        <v>16635</v>
      </c>
      <c r="E6021" t="s">
        <v>22017</v>
      </c>
      <c r="F6021" t="s">
        <v>28669</v>
      </c>
      <c r="G6021" t="s">
        <v>28676</v>
      </c>
      <c r="H6021" t="s">
        <v>9998</v>
      </c>
      <c r="I6021" t="s">
        <v>28704</v>
      </c>
      <c r="J6021" t="s">
        <v>32625</v>
      </c>
      <c r="K6021" t="s">
        <v>37209</v>
      </c>
      <c r="M6021" t="s">
        <v>37789</v>
      </c>
      <c r="N6021" t="s">
        <v>41249</v>
      </c>
      <c r="O6021" t="s">
        <v>41250</v>
      </c>
      <c r="P6021">
        <v>0</v>
      </c>
      <c r="Q6021">
        <v>1</v>
      </c>
      <c r="R6021" t="s">
        <v>41256</v>
      </c>
      <c r="S6021" t="s">
        <v>41450</v>
      </c>
      <c r="T6021" t="s">
        <v>42992</v>
      </c>
      <c r="U6021" t="s">
        <v>48185</v>
      </c>
      <c r="W6021" t="s">
        <v>37789</v>
      </c>
      <c r="X6021" t="s">
        <v>41257</v>
      </c>
    </row>
    <row r="6022" spans="1:24">
      <c r="A6022">
        <f>HYPERLINK("https://www.philgeps.gov.ph/GEPSNONPILOT/Tender/SplashBidNoticeAbstractUI.aspx?menuIndex=3&amp;refID=7071171&amp;Result=3","7071171")</f>
        <v>0</v>
      </c>
      <c r="B6022" t="s">
        <v>2025</v>
      </c>
      <c r="C6022" t="s">
        <v>9128</v>
      </c>
      <c r="E6022" t="s">
        <v>22018</v>
      </c>
      <c r="F6022" t="s">
        <v>28669</v>
      </c>
      <c r="G6022" t="s">
        <v>28676</v>
      </c>
      <c r="H6022" t="s">
        <v>9998</v>
      </c>
      <c r="I6022" t="s">
        <v>28688</v>
      </c>
      <c r="J6022" t="s">
        <v>32626</v>
      </c>
      <c r="K6022" t="s">
        <v>37209</v>
      </c>
      <c r="M6022" t="s">
        <v>39664</v>
      </c>
      <c r="N6022" t="s">
        <v>41249</v>
      </c>
      <c r="O6022" t="s">
        <v>41250</v>
      </c>
      <c r="P6022">
        <v>0</v>
      </c>
      <c r="Q6022">
        <v>7</v>
      </c>
      <c r="R6022" t="s">
        <v>41256</v>
      </c>
      <c r="S6022" t="s">
        <v>41450</v>
      </c>
      <c r="T6022" t="s">
        <v>42729</v>
      </c>
      <c r="U6022" t="s">
        <v>48186</v>
      </c>
      <c r="W6022" t="s">
        <v>39664</v>
      </c>
      <c r="X6022" t="s">
        <v>41257</v>
      </c>
    </row>
    <row r="6023" spans="1:24">
      <c r="A6023">
        <f>HYPERLINK("https://www.philgeps.gov.ph/GEPSNONPILOT/Tender/SplashBidNoticeAbstractUI.aspx?menuIndex=3&amp;refID=7072479&amp;Result=3","7072479")</f>
        <v>0</v>
      </c>
      <c r="B6023" t="s">
        <v>688</v>
      </c>
      <c r="C6023" t="s">
        <v>9129</v>
      </c>
      <c r="E6023" t="s">
        <v>22019</v>
      </c>
      <c r="F6023" t="s">
        <v>28669</v>
      </c>
      <c r="G6023" t="s">
        <v>28675</v>
      </c>
      <c r="H6023" t="s">
        <v>28686</v>
      </c>
      <c r="I6023" t="s">
        <v>28689</v>
      </c>
      <c r="J6023" t="s">
        <v>31737</v>
      </c>
      <c r="K6023" t="s">
        <v>37254</v>
      </c>
      <c r="M6023" t="s">
        <v>39665</v>
      </c>
      <c r="N6023" t="s">
        <v>41249</v>
      </c>
      <c r="O6023" t="s">
        <v>41250</v>
      </c>
      <c r="P6023">
        <v>0</v>
      </c>
      <c r="Q6023">
        <v>4</v>
      </c>
      <c r="R6023" t="s">
        <v>41255</v>
      </c>
      <c r="S6023" t="s">
        <v>41442</v>
      </c>
      <c r="T6023" t="s">
        <v>42732</v>
      </c>
      <c r="U6023" t="s">
        <v>48187</v>
      </c>
      <c r="W6023" t="s">
        <v>39665</v>
      </c>
      <c r="X6023" t="s">
        <v>41256</v>
      </c>
    </row>
    <row r="6024" spans="1:24">
      <c r="A6024">
        <f>HYPERLINK("https://www.philgeps.gov.ph/GEPSNONPILOT/Tender/SplashBidNoticeAbstractUI.aspx?menuIndex=3&amp;refID=7071282&amp;Result=3","7071282")</f>
        <v>0</v>
      </c>
      <c r="B6024" t="s">
        <v>659</v>
      </c>
      <c r="C6024" t="s">
        <v>9130</v>
      </c>
      <c r="D6024" t="s">
        <v>16643</v>
      </c>
      <c r="E6024" t="s">
        <v>22020</v>
      </c>
      <c r="F6024" t="s">
        <v>28669</v>
      </c>
      <c r="G6024" t="s">
        <v>28676</v>
      </c>
      <c r="H6024" t="s">
        <v>9998</v>
      </c>
      <c r="I6024" t="s">
        <v>28728</v>
      </c>
      <c r="J6024" t="s">
        <v>32480</v>
      </c>
      <c r="K6024" t="s">
        <v>37206</v>
      </c>
      <c r="M6024" t="s">
        <v>38161</v>
      </c>
      <c r="N6024" t="s">
        <v>41249</v>
      </c>
      <c r="O6024" t="s">
        <v>41250</v>
      </c>
      <c r="P6024">
        <v>0</v>
      </c>
      <c r="Q6024">
        <v>1</v>
      </c>
      <c r="R6024" t="s">
        <v>41256</v>
      </c>
      <c r="S6024" t="s">
        <v>41450</v>
      </c>
      <c r="T6024" t="s">
        <v>42736</v>
      </c>
      <c r="U6024" t="s">
        <v>45489</v>
      </c>
      <c r="W6024" t="s">
        <v>55925</v>
      </c>
      <c r="X6024" t="s">
        <v>41257</v>
      </c>
    </row>
    <row r="6025" spans="1:24">
      <c r="A6025">
        <f>HYPERLINK("https://www.philgeps.gov.ph/GEPSNONPILOT/Tender/SplashBidNoticeAbstractUI.aspx?menuIndex=3&amp;refID=7071281&amp;Result=3","7071281")</f>
        <v>0</v>
      </c>
      <c r="B6025" t="s">
        <v>2020</v>
      </c>
      <c r="C6025" t="s">
        <v>9131</v>
      </c>
      <c r="D6025" t="s">
        <v>16611</v>
      </c>
      <c r="E6025" t="s">
        <v>20862</v>
      </c>
      <c r="F6025" t="s">
        <v>28669</v>
      </c>
      <c r="G6025" t="s">
        <v>28677</v>
      </c>
      <c r="H6025" t="s">
        <v>9998</v>
      </c>
      <c r="I6025" t="s">
        <v>28709</v>
      </c>
      <c r="J6025" t="s">
        <v>29644</v>
      </c>
      <c r="K6025" t="s">
        <v>37266</v>
      </c>
      <c r="M6025" t="s">
        <v>39659</v>
      </c>
      <c r="N6025" t="s">
        <v>41249</v>
      </c>
      <c r="O6025" t="s">
        <v>41250</v>
      </c>
      <c r="P6025">
        <v>0</v>
      </c>
      <c r="Q6025">
        <v>2</v>
      </c>
      <c r="R6025" t="s">
        <v>41256</v>
      </c>
      <c r="S6025" t="s">
        <v>41450</v>
      </c>
      <c r="T6025" t="s">
        <v>42736</v>
      </c>
      <c r="U6025" t="s">
        <v>48188</v>
      </c>
      <c r="W6025" t="s">
        <v>39659</v>
      </c>
      <c r="X6025" t="s">
        <v>41257</v>
      </c>
    </row>
    <row r="6026" spans="1:24">
      <c r="A6026">
        <f>HYPERLINK("https://www.philgeps.gov.ph/GEPSNONPILOT/Tender/SplashBidNoticeAbstractUI.aspx?menuIndex=3&amp;refID=7071191&amp;Result=3","7071191")</f>
        <v>0</v>
      </c>
      <c r="B6026" t="s">
        <v>2004</v>
      </c>
      <c r="C6026" t="s">
        <v>9132</v>
      </c>
      <c r="D6026" t="s">
        <v>16661</v>
      </c>
      <c r="E6026" t="s">
        <v>22021</v>
      </c>
      <c r="F6026" t="s">
        <v>28669</v>
      </c>
      <c r="G6026" t="s">
        <v>28677</v>
      </c>
      <c r="H6026" t="s">
        <v>9998</v>
      </c>
      <c r="I6026" t="s">
        <v>28754</v>
      </c>
      <c r="J6026" t="s">
        <v>29386</v>
      </c>
      <c r="K6026" t="s">
        <v>37206</v>
      </c>
      <c r="M6026" t="s">
        <v>39642</v>
      </c>
      <c r="N6026" t="s">
        <v>41249</v>
      </c>
      <c r="O6026" t="s">
        <v>41250</v>
      </c>
      <c r="P6026">
        <v>0</v>
      </c>
      <c r="Q6026">
        <v>4</v>
      </c>
      <c r="R6026" t="s">
        <v>41256</v>
      </c>
      <c r="S6026" t="s">
        <v>41450</v>
      </c>
      <c r="T6026" t="s">
        <v>42758</v>
      </c>
      <c r="U6026" t="s">
        <v>48189</v>
      </c>
      <c r="W6026" t="s">
        <v>39642</v>
      </c>
      <c r="X6026" t="s">
        <v>41257</v>
      </c>
    </row>
    <row r="6027" spans="1:24">
      <c r="A6027">
        <f>HYPERLINK("https://www.philgeps.gov.ph/GEPSNONPILOT/Tender/SplashBidNoticeAbstractUI.aspx?menuIndex=3&amp;refID=7071193&amp;Result=3","7071193")</f>
        <v>0</v>
      </c>
      <c r="B6027" t="s">
        <v>2026</v>
      </c>
      <c r="C6027" t="s">
        <v>9133</v>
      </c>
      <c r="D6027" t="s">
        <v>16611</v>
      </c>
      <c r="E6027" t="s">
        <v>22022</v>
      </c>
      <c r="F6027" t="s">
        <v>28669</v>
      </c>
      <c r="G6027" t="s">
        <v>28676</v>
      </c>
      <c r="H6027" t="s">
        <v>9998</v>
      </c>
      <c r="I6027" t="s">
        <v>28708</v>
      </c>
      <c r="J6027" t="s">
        <v>32627</v>
      </c>
      <c r="K6027" t="s">
        <v>37209</v>
      </c>
      <c r="M6027" t="s">
        <v>39666</v>
      </c>
      <c r="N6027" t="s">
        <v>41249</v>
      </c>
      <c r="O6027" t="s">
        <v>41250</v>
      </c>
      <c r="P6027">
        <v>0</v>
      </c>
      <c r="Q6027">
        <v>0</v>
      </c>
      <c r="R6027" t="s">
        <v>41256</v>
      </c>
      <c r="S6027" t="s">
        <v>41450</v>
      </c>
      <c r="T6027" t="s">
        <v>42727</v>
      </c>
      <c r="U6027" t="s">
        <v>48190</v>
      </c>
      <c r="W6027" t="s">
        <v>39666</v>
      </c>
      <c r="X6027" t="s">
        <v>41257</v>
      </c>
    </row>
    <row r="6028" spans="1:24">
      <c r="A6028">
        <f>HYPERLINK("https://www.philgeps.gov.ph/GEPSNONPILOT/Tender/SplashBidNoticeAbstractUI.aspx?menuIndex=3&amp;refID=7071276&amp;Result=3","7071276")</f>
        <v>0</v>
      </c>
      <c r="B6028" t="s">
        <v>473</v>
      </c>
      <c r="C6028" t="s">
        <v>9134</v>
      </c>
      <c r="D6028" t="s">
        <v>16647</v>
      </c>
      <c r="E6028" t="s">
        <v>22023</v>
      </c>
      <c r="F6028" t="s">
        <v>28669</v>
      </c>
      <c r="G6028" t="s">
        <v>28675</v>
      </c>
      <c r="H6028" t="s">
        <v>9998</v>
      </c>
      <c r="I6028" t="s">
        <v>28699</v>
      </c>
      <c r="J6028" t="s">
        <v>28826</v>
      </c>
      <c r="K6028" t="s">
        <v>37204</v>
      </c>
      <c r="M6028" t="s">
        <v>37961</v>
      </c>
      <c r="N6028" t="s">
        <v>41249</v>
      </c>
      <c r="O6028" t="s">
        <v>41250</v>
      </c>
      <c r="P6028">
        <v>0</v>
      </c>
      <c r="Q6028">
        <v>0</v>
      </c>
      <c r="R6028" t="s">
        <v>41256</v>
      </c>
      <c r="S6028" t="s">
        <v>41450</v>
      </c>
      <c r="T6028" t="s">
        <v>42673</v>
      </c>
      <c r="U6028" t="s">
        <v>48191</v>
      </c>
      <c r="W6028" t="s">
        <v>37961</v>
      </c>
      <c r="X6028" t="s">
        <v>41257</v>
      </c>
    </row>
    <row r="6029" spans="1:24">
      <c r="A6029">
        <f>HYPERLINK("https://www.philgeps.gov.ph/GEPSNONPILOT/Tender/SplashBidNoticeAbstractUI.aspx?menuIndex=3&amp;refID=7071212&amp;Result=3","7071212")</f>
        <v>0</v>
      </c>
      <c r="B6029" t="s">
        <v>335</v>
      </c>
      <c r="C6029" t="s">
        <v>9135</v>
      </c>
      <c r="D6029" t="s">
        <v>16635</v>
      </c>
      <c r="E6029" t="s">
        <v>22024</v>
      </c>
      <c r="F6029" t="s">
        <v>28669</v>
      </c>
      <c r="G6029" t="s">
        <v>28675</v>
      </c>
      <c r="H6029" t="s">
        <v>9998</v>
      </c>
      <c r="I6029" t="s">
        <v>28698</v>
      </c>
      <c r="J6029" t="s">
        <v>32628</v>
      </c>
      <c r="K6029" t="s">
        <v>37238</v>
      </c>
      <c r="M6029" t="s">
        <v>37815</v>
      </c>
      <c r="N6029" t="s">
        <v>41249</v>
      </c>
      <c r="O6029" t="s">
        <v>41250</v>
      </c>
      <c r="P6029">
        <v>0</v>
      </c>
      <c r="Q6029">
        <v>1</v>
      </c>
      <c r="R6029" t="s">
        <v>41256</v>
      </c>
      <c r="S6029" t="s">
        <v>41450</v>
      </c>
      <c r="T6029" t="s">
        <v>43020</v>
      </c>
      <c r="U6029" t="s">
        <v>48192</v>
      </c>
      <c r="W6029" t="s">
        <v>37815</v>
      </c>
      <c r="X6029" t="s">
        <v>41257</v>
      </c>
    </row>
    <row r="6030" spans="1:24">
      <c r="A6030">
        <f>HYPERLINK("https://www.philgeps.gov.ph/GEPSNONPILOT/Tender/SplashBidNoticeAbstractUI.aspx?menuIndex=3&amp;refID=7071263&amp;Result=3","7071263")</f>
        <v>0</v>
      </c>
      <c r="B6030" t="s">
        <v>2027</v>
      </c>
      <c r="C6030" t="s">
        <v>9136</v>
      </c>
      <c r="D6030" t="s">
        <v>16680</v>
      </c>
      <c r="E6030" t="s">
        <v>22025</v>
      </c>
      <c r="F6030" t="s">
        <v>28669</v>
      </c>
      <c r="G6030" t="s">
        <v>28675</v>
      </c>
      <c r="H6030" t="s">
        <v>9998</v>
      </c>
      <c r="I6030" t="s">
        <v>28697</v>
      </c>
      <c r="J6030" t="s">
        <v>32629</v>
      </c>
      <c r="K6030" t="s">
        <v>37206</v>
      </c>
      <c r="M6030" t="s">
        <v>39667</v>
      </c>
      <c r="N6030" t="s">
        <v>41249</v>
      </c>
      <c r="O6030" t="s">
        <v>41250</v>
      </c>
      <c r="P6030">
        <v>0</v>
      </c>
      <c r="Q6030">
        <v>12</v>
      </c>
      <c r="R6030" t="s">
        <v>41256</v>
      </c>
      <c r="S6030" t="s">
        <v>41450</v>
      </c>
      <c r="T6030" t="s">
        <v>42672</v>
      </c>
      <c r="U6030" t="s">
        <v>48193</v>
      </c>
      <c r="W6030" t="s">
        <v>39667</v>
      </c>
      <c r="X6030" t="s">
        <v>41257</v>
      </c>
    </row>
    <row r="6031" spans="1:24">
      <c r="A6031">
        <f>HYPERLINK("https://www.philgeps.gov.ph/GEPSNONPILOT/Tender/SplashBidNoticeAbstractUI.aspx?menuIndex=3&amp;refID=7071260&amp;Result=3","7071260")</f>
        <v>0</v>
      </c>
      <c r="B6031" t="s">
        <v>1987</v>
      </c>
      <c r="C6031" t="s">
        <v>9137</v>
      </c>
      <c r="D6031" t="s">
        <v>16608</v>
      </c>
      <c r="E6031" t="s">
        <v>17578</v>
      </c>
      <c r="F6031" t="s">
        <v>28669</v>
      </c>
      <c r="G6031" t="s">
        <v>28675</v>
      </c>
      <c r="H6031" t="s">
        <v>9998</v>
      </c>
      <c r="I6031" t="s">
        <v>28687</v>
      </c>
      <c r="J6031" t="s">
        <v>29134</v>
      </c>
      <c r="K6031" t="s">
        <v>37206</v>
      </c>
      <c r="M6031" t="s">
        <v>39623</v>
      </c>
      <c r="N6031" t="s">
        <v>41249</v>
      </c>
      <c r="O6031" t="s">
        <v>41250</v>
      </c>
      <c r="P6031">
        <v>0</v>
      </c>
      <c r="Q6031">
        <v>2</v>
      </c>
      <c r="R6031" t="s">
        <v>41256</v>
      </c>
      <c r="S6031" t="s">
        <v>41450</v>
      </c>
      <c r="T6031" t="s">
        <v>42673</v>
      </c>
      <c r="U6031" t="s">
        <v>48194</v>
      </c>
      <c r="W6031" t="s">
        <v>39623</v>
      </c>
      <c r="X6031" t="s">
        <v>41257</v>
      </c>
    </row>
    <row r="6032" spans="1:24">
      <c r="A6032">
        <f>HYPERLINK("https://www.philgeps.gov.ph/GEPSNONPILOT/Tender/SplashBidNoticeAbstractUI.aspx?menuIndex=3&amp;refID=7071180&amp;Result=3","7071180")</f>
        <v>0</v>
      </c>
      <c r="B6032" t="s">
        <v>310</v>
      </c>
      <c r="C6032" t="s">
        <v>3929</v>
      </c>
      <c r="D6032" t="s">
        <v>16635</v>
      </c>
      <c r="E6032" t="s">
        <v>22026</v>
      </c>
      <c r="F6032" t="s">
        <v>28669</v>
      </c>
      <c r="G6032" t="s">
        <v>28677</v>
      </c>
      <c r="H6032" t="s">
        <v>9998</v>
      </c>
      <c r="I6032" t="s">
        <v>28688</v>
      </c>
      <c r="J6032" t="s">
        <v>32630</v>
      </c>
      <c r="K6032" t="s">
        <v>37210</v>
      </c>
      <c r="M6032" t="s">
        <v>37980</v>
      </c>
      <c r="N6032" t="s">
        <v>41249</v>
      </c>
      <c r="O6032" t="s">
        <v>41250</v>
      </c>
      <c r="P6032">
        <v>0</v>
      </c>
      <c r="Q6032">
        <v>2</v>
      </c>
      <c r="R6032" t="s">
        <v>41256</v>
      </c>
      <c r="S6032" t="s">
        <v>41450</v>
      </c>
      <c r="T6032" t="s">
        <v>42992</v>
      </c>
      <c r="U6032" t="s">
        <v>48195</v>
      </c>
      <c r="W6032" t="s">
        <v>37980</v>
      </c>
      <c r="X6032" t="s">
        <v>41257</v>
      </c>
    </row>
    <row r="6033" spans="1:24">
      <c r="A6033">
        <f>HYPERLINK("https://www.philgeps.gov.ph/GEPSNONPILOT/Tender/SplashBidNoticeAbstractUI.aspx?menuIndex=3&amp;refID=7071275&amp;Result=3","7071275")</f>
        <v>0</v>
      </c>
      <c r="B6033" t="s">
        <v>1310</v>
      </c>
      <c r="C6033" t="s">
        <v>9138</v>
      </c>
      <c r="D6033" t="s">
        <v>16663</v>
      </c>
      <c r="E6033" t="s">
        <v>21571</v>
      </c>
      <c r="F6033" t="s">
        <v>28669</v>
      </c>
      <c r="G6033" t="s">
        <v>28675</v>
      </c>
      <c r="H6033" t="s">
        <v>28686</v>
      </c>
      <c r="I6033" t="s">
        <v>28689</v>
      </c>
      <c r="J6033" t="s">
        <v>32631</v>
      </c>
      <c r="K6033" t="s">
        <v>37207</v>
      </c>
      <c r="L6033" t="s">
        <v>1310</v>
      </c>
      <c r="M6033" t="s">
        <v>38862</v>
      </c>
      <c r="N6033" t="s">
        <v>41249</v>
      </c>
      <c r="O6033" t="s">
        <v>41250</v>
      </c>
      <c r="P6033">
        <v>0</v>
      </c>
      <c r="Q6033">
        <v>0</v>
      </c>
      <c r="R6033" t="s">
        <v>41256</v>
      </c>
      <c r="S6033" t="s">
        <v>41450</v>
      </c>
      <c r="T6033" t="s">
        <v>42760</v>
      </c>
      <c r="U6033" t="s">
        <v>48196</v>
      </c>
      <c r="V6033" t="s">
        <v>54936</v>
      </c>
      <c r="W6033" t="s">
        <v>38862</v>
      </c>
      <c r="X6033" t="s">
        <v>41257</v>
      </c>
    </row>
    <row r="6034" spans="1:24">
      <c r="A6034">
        <f>HYPERLINK("https://www.philgeps.gov.ph/GEPSNONPILOT/Tender/SplashBidNoticeAbstractUI.aspx?menuIndex=3&amp;refID=7071198&amp;Result=3","7071198")</f>
        <v>0</v>
      </c>
      <c r="B6034" t="s">
        <v>1965</v>
      </c>
      <c r="C6034" t="s">
        <v>9139</v>
      </c>
      <c r="D6034" t="s">
        <v>16670</v>
      </c>
      <c r="E6034" t="s">
        <v>22027</v>
      </c>
      <c r="F6034" t="s">
        <v>28669</v>
      </c>
      <c r="G6034" t="s">
        <v>28675</v>
      </c>
      <c r="H6034" t="s">
        <v>9998</v>
      </c>
      <c r="I6034" t="s">
        <v>28688</v>
      </c>
      <c r="J6034" t="s">
        <v>32632</v>
      </c>
      <c r="K6034" t="s">
        <v>37206</v>
      </c>
      <c r="M6034" t="s">
        <v>39598</v>
      </c>
      <c r="N6034" t="s">
        <v>41249</v>
      </c>
      <c r="O6034" t="s">
        <v>41250</v>
      </c>
      <c r="P6034">
        <v>0</v>
      </c>
      <c r="Q6034">
        <v>3</v>
      </c>
      <c r="R6034" t="s">
        <v>41256</v>
      </c>
      <c r="S6034" t="s">
        <v>41450</v>
      </c>
      <c r="T6034" t="s">
        <v>42692</v>
      </c>
      <c r="U6034" t="s">
        <v>48197</v>
      </c>
      <c r="V6034" t="s">
        <v>54906</v>
      </c>
      <c r="W6034" t="s">
        <v>39598</v>
      </c>
      <c r="X6034" t="s">
        <v>41257</v>
      </c>
    </row>
    <row r="6035" spans="1:24">
      <c r="A6035">
        <f>HYPERLINK("https://www.philgeps.gov.ph/GEPSNONPILOT/Tender/SplashBidNoticeAbstractUI.aspx?menuIndex=3&amp;refID=7071252&amp;Result=3","7071252")</f>
        <v>0</v>
      </c>
      <c r="B6035" t="s">
        <v>2028</v>
      </c>
      <c r="C6035" t="s">
        <v>4660</v>
      </c>
      <c r="D6035" t="s">
        <v>16627</v>
      </c>
      <c r="E6035" t="s">
        <v>22028</v>
      </c>
      <c r="F6035" t="s">
        <v>28669</v>
      </c>
      <c r="G6035" t="s">
        <v>28676</v>
      </c>
      <c r="H6035" t="s">
        <v>9998</v>
      </c>
      <c r="I6035" t="s">
        <v>5213</v>
      </c>
      <c r="J6035" t="s">
        <v>32633</v>
      </c>
      <c r="K6035" t="s">
        <v>37205</v>
      </c>
      <c r="M6035" t="s">
        <v>39668</v>
      </c>
      <c r="N6035" t="s">
        <v>41249</v>
      </c>
      <c r="O6035" t="s">
        <v>41250</v>
      </c>
      <c r="P6035">
        <v>0</v>
      </c>
      <c r="Q6035">
        <v>0</v>
      </c>
      <c r="R6035" t="s">
        <v>41256</v>
      </c>
      <c r="S6035" t="s">
        <v>41450</v>
      </c>
      <c r="T6035" t="s">
        <v>42727</v>
      </c>
      <c r="U6035" t="s">
        <v>48198</v>
      </c>
      <c r="V6035" t="s">
        <v>54937</v>
      </c>
      <c r="W6035" t="s">
        <v>39668</v>
      </c>
      <c r="X6035" t="s">
        <v>41257</v>
      </c>
    </row>
    <row r="6036" spans="1:24">
      <c r="A6036">
        <f>HYPERLINK("https://www.philgeps.gov.ph/GEPSNONPILOT/Tender/SplashBidNoticeAbstractUI.aspx?menuIndex=3&amp;refID=7071270&amp;Result=3","7071270")</f>
        <v>0</v>
      </c>
      <c r="B6036" t="s">
        <v>2029</v>
      </c>
      <c r="C6036" t="s">
        <v>9140</v>
      </c>
      <c r="D6036" t="s">
        <v>16618</v>
      </c>
      <c r="E6036" t="s">
        <v>22029</v>
      </c>
      <c r="F6036" t="s">
        <v>28669</v>
      </c>
      <c r="G6036" t="s">
        <v>28675</v>
      </c>
      <c r="H6036" t="s">
        <v>9998</v>
      </c>
      <c r="I6036" t="s">
        <v>11593</v>
      </c>
      <c r="J6036" t="s">
        <v>29040</v>
      </c>
      <c r="K6036" t="s">
        <v>37205</v>
      </c>
      <c r="M6036" t="s">
        <v>39669</v>
      </c>
      <c r="N6036" t="s">
        <v>41249</v>
      </c>
      <c r="O6036" t="s">
        <v>41250</v>
      </c>
      <c r="P6036">
        <v>0</v>
      </c>
      <c r="Q6036">
        <v>0</v>
      </c>
      <c r="R6036" t="s">
        <v>41256</v>
      </c>
      <c r="S6036" t="s">
        <v>41450</v>
      </c>
      <c r="T6036" t="s">
        <v>42694</v>
      </c>
      <c r="U6036" t="s">
        <v>48199</v>
      </c>
      <c r="V6036" t="s">
        <v>54938</v>
      </c>
      <c r="W6036" t="s">
        <v>39669</v>
      </c>
      <c r="X6036" t="s">
        <v>41257</v>
      </c>
    </row>
    <row r="6037" spans="1:24">
      <c r="A6037">
        <f>HYPERLINK("https://www.philgeps.gov.ph/GEPSNONPILOT/Tender/SplashBidNoticeAbstractUI.aspx?menuIndex=3&amp;refID=7071267&amp;Result=3","7071267")</f>
        <v>0</v>
      </c>
      <c r="B6037" t="s">
        <v>2030</v>
      </c>
      <c r="C6037" t="s">
        <v>9141</v>
      </c>
      <c r="D6037" t="s">
        <v>16692</v>
      </c>
      <c r="E6037" t="s">
        <v>22030</v>
      </c>
      <c r="F6037" t="s">
        <v>28669</v>
      </c>
      <c r="G6037" t="s">
        <v>28675</v>
      </c>
      <c r="H6037" t="s">
        <v>28686</v>
      </c>
      <c r="I6037" t="s">
        <v>28689</v>
      </c>
      <c r="J6037" t="s">
        <v>32634</v>
      </c>
      <c r="K6037" t="s">
        <v>37212</v>
      </c>
      <c r="M6037" t="s">
        <v>39670</v>
      </c>
      <c r="N6037" t="s">
        <v>41249</v>
      </c>
      <c r="O6037" t="s">
        <v>41250</v>
      </c>
      <c r="P6037">
        <v>0</v>
      </c>
      <c r="Q6037">
        <v>2</v>
      </c>
      <c r="R6037" t="s">
        <v>41256</v>
      </c>
      <c r="S6037" t="s">
        <v>41450</v>
      </c>
      <c r="T6037" t="s">
        <v>42716</v>
      </c>
      <c r="U6037" t="s">
        <v>43454</v>
      </c>
      <c r="W6037" t="s">
        <v>39670</v>
      </c>
      <c r="X6037" t="s">
        <v>41257</v>
      </c>
    </row>
    <row r="6038" spans="1:24">
      <c r="A6038">
        <f>HYPERLINK("https://www.philgeps.gov.ph/GEPSNONPILOT/Tender/SplashBidNoticeAbstractUI.aspx?menuIndex=3&amp;refID=7071248&amp;Result=3","7071248")</f>
        <v>0</v>
      </c>
      <c r="B6038" t="s">
        <v>310</v>
      </c>
      <c r="C6038" t="s">
        <v>9142</v>
      </c>
      <c r="D6038" t="s">
        <v>16635</v>
      </c>
      <c r="E6038" t="s">
        <v>22031</v>
      </c>
      <c r="F6038" t="s">
        <v>28669</v>
      </c>
      <c r="G6038" t="s">
        <v>28676</v>
      </c>
      <c r="H6038" t="s">
        <v>9998</v>
      </c>
      <c r="I6038" t="s">
        <v>7352</v>
      </c>
      <c r="J6038" t="s">
        <v>32635</v>
      </c>
      <c r="K6038" t="s">
        <v>37209</v>
      </c>
      <c r="M6038" t="s">
        <v>37789</v>
      </c>
      <c r="N6038" t="s">
        <v>41249</v>
      </c>
      <c r="O6038" t="s">
        <v>41250</v>
      </c>
      <c r="P6038">
        <v>0</v>
      </c>
      <c r="Q6038">
        <v>1</v>
      </c>
      <c r="R6038" t="s">
        <v>41256</v>
      </c>
      <c r="S6038" t="s">
        <v>41450</v>
      </c>
      <c r="T6038" t="s">
        <v>42992</v>
      </c>
      <c r="U6038" t="s">
        <v>48200</v>
      </c>
      <c r="W6038" t="s">
        <v>37789</v>
      </c>
      <c r="X6038" t="s">
        <v>41257</v>
      </c>
    </row>
    <row r="6039" spans="1:24">
      <c r="A6039">
        <f>HYPERLINK("https://www.philgeps.gov.ph/GEPSNONPILOT/Tender/SplashBidNoticeAbstractUI.aspx?menuIndex=3&amp;refID=7071245&amp;Result=3","7071245")</f>
        <v>0</v>
      </c>
      <c r="B6039" t="s">
        <v>2031</v>
      </c>
      <c r="C6039" t="s">
        <v>9143</v>
      </c>
      <c r="D6039" t="s">
        <v>16618</v>
      </c>
      <c r="E6039" t="s">
        <v>22032</v>
      </c>
      <c r="F6039" t="s">
        <v>28669</v>
      </c>
      <c r="G6039" t="s">
        <v>28675</v>
      </c>
      <c r="H6039" t="s">
        <v>28686</v>
      </c>
      <c r="I6039" t="s">
        <v>28689</v>
      </c>
      <c r="J6039" t="s">
        <v>32636</v>
      </c>
      <c r="K6039" t="s">
        <v>37220</v>
      </c>
      <c r="M6039" t="s">
        <v>39671</v>
      </c>
      <c r="N6039" t="s">
        <v>41249</v>
      </c>
      <c r="O6039" t="s">
        <v>41250</v>
      </c>
      <c r="P6039">
        <v>0</v>
      </c>
      <c r="Q6039">
        <v>0</v>
      </c>
      <c r="R6039" t="s">
        <v>41256</v>
      </c>
      <c r="S6039" t="s">
        <v>41450</v>
      </c>
      <c r="T6039" t="s">
        <v>42751</v>
      </c>
      <c r="U6039" t="s">
        <v>48201</v>
      </c>
      <c r="W6039" t="s">
        <v>39671</v>
      </c>
      <c r="X6039" t="s">
        <v>41257</v>
      </c>
    </row>
    <row r="6040" spans="1:24">
      <c r="A6040">
        <f>HYPERLINK("https://www.philgeps.gov.ph/GEPSNONPILOT/Tender/SplashBidNoticeAbstractUI.aspx?menuIndex=3&amp;refID=7071237&amp;Result=3","7071237")</f>
        <v>0</v>
      </c>
      <c r="B6040" t="s">
        <v>2004</v>
      </c>
      <c r="C6040" t="s">
        <v>9144</v>
      </c>
      <c r="D6040" t="s">
        <v>16661</v>
      </c>
      <c r="E6040" t="s">
        <v>22033</v>
      </c>
      <c r="F6040" t="s">
        <v>28669</v>
      </c>
      <c r="G6040" t="s">
        <v>28677</v>
      </c>
      <c r="H6040" t="s">
        <v>9998</v>
      </c>
      <c r="I6040" t="s">
        <v>28697</v>
      </c>
      <c r="J6040" t="s">
        <v>32637</v>
      </c>
      <c r="K6040" t="s">
        <v>37206</v>
      </c>
      <c r="M6040" t="s">
        <v>39642</v>
      </c>
      <c r="N6040" t="s">
        <v>41249</v>
      </c>
      <c r="O6040" t="s">
        <v>41250</v>
      </c>
      <c r="P6040">
        <v>0</v>
      </c>
      <c r="Q6040">
        <v>10</v>
      </c>
      <c r="R6040" t="s">
        <v>41256</v>
      </c>
      <c r="S6040" t="s">
        <v>41450</v>
      </c>
      <c r="T6040" t="s">
        <v>42701</v>
      </c>
      <c r="U6040" t="s">
        <v>48202</v>
      </c>
      <c r="W6040" t="s">
        <v>39642</v>
      </c>
      <c r="X6040" t="s">
        <v>41257</v>
      </c>
    </row>
    <row r="6041" spans="1:24">
      <c r="A6041">
        <f>HYPERLINK("https://www.philgeps.gov.ph/GEPSNONPILOT/Tender/SplashBidNoticeAbstractUI.aspx?menuIndex=3&amp;refID=7071511&amp;Result=3","7071511")</f>
        <v>0</v>
      </c>
      <c r="B6041" t="s">
        <v>2032</v>
      </c>
      <c r="C6041" t="s">
        <v>9145</v>
      </c>
      <c r="D6041" t="s">
        <v>16635</v>
      </c>
      <c r="E6041" t="s">
        <v>22034</v>
      </c>
      <c r="F6041" t="s">
        <v>28669</v>
      </c>
      <c r="G6041" t="s">
        <v>28675</v>
      </c>
      <c r="H6041" t="s">
        <v>9998</v>
      </c>
      <c r="I6041" t="s">
        <v>7352</v>
      </c>
      <c r="J6041" t="s">
        <v>29247</v>
      </c>
      <c r="K6041" t="s">
        <v>37204</v>
      </c>
      <c r="L6041" t="s">
        <v>2032</v>
      </c>
      <c r="M6041" t="s">
        <v>39672</v>
      </c>
      <c r="N6041" t="s">
        <v>41249</v>
      </c>
      <c r="O6041" t="s">
        <v>41250</v>
      </c>
      <c r="P6041">
        <v>0</v>
      </c>
      <c r="Q6041">
        <v>0</v>
      </c>
      <c r="R6041" t="s">
        <v>41256</v>
      </c>
      <c r="S6041" t="s">
        <v>41450</v>
      </c>
      <c r="T6041" t="s">
        <v>42759</v>
      </c>
      <c r="U6041" t="s">
        <v>48203</v>
      </c>
      <c r="W6041" t="s">
        <v>39672</v>
      </c>
      <c r="X6041" t="s">
        <v>41257</v>
      </c>
    </row>
    <row r="6042" spans="1:24">
      <c r="A6042">
        <f>HYPERLINK("https://www.philgeps.gov.ph/GEPSNONPILOT/Tender/SplashBidNoticeAbstractUI.aspx?menuIndex=3&amp;refID=7071279&amp;Result=3","7071279")</f>
        <v>0</v>
      </c>
      <c r="B6042" t="s">
        <v>310</v>
      </c>
      <c r="C6042" t="s">
        <v>6247</v>
      </c>
      <c r="D6042" t="s">
        <v>16635</v>
      </c>
      <c r="E6042" t="s">
        <v>22035</v>
      </c>
      <c r="F6042" t="s">
        <v>28669</v>
      </c>
      <c r="G6042" t="s">
        <v>28676</v>
      </c>
      <c r="H6042" t="s">
        <v>9998</v>
      </c>
      <c r="I6042" t="s">
        <v>8667</v>
      </c>
      <c r="J6042" t="s">
        <v>32638</v>
      </c>
      <c r="K6042" t="s">
        <v>37209</v>
      </c>
      <c r="M6042" t="s">
        <v>37789</v>
      </c>
      <c r="N6042" t="s">
        <v>41249</v>
      </c>
      <c r="O6042" t="s">
        <v>41250</v>
      </c>
      <c r="P6042">
        <v>0</v>
      </c>
      <c r="Q6042">
        <v>0</v>
      </c>
      <c r="R6042" t="s">
        <v>41256</v>
      </c>
      <c r="S6042" t="s">
        <v>41450</v>
      </c>
      <c r="T6042" t="s">
        <v>42992</v>
      </c>
      <c r="U6042" t="s">
        <v>45748</v>
      </c>
      <c r="W6042" t="s">
        <v>37789</v>
      </c>
      <c r="X6042" t="s">
        <v>41257</v>
      </c>
    </row>
    <row r="6043" spans="1:24">
      <c r="A6043">
        <f>HYPERLINK("https://www.philgeps.gov.ph/GEPSNONPILOT/Tender/SplashBidNoticeAbstractUI.aspx?menuIndex=3&amp;refID=7071256&amp;Result=3","7071256")</f>
        <v>0</v>
      </c>
      <c r="B6043" t="s">
        <v>1327</v>
      </c>
      <c r="C6043" t="s">
        <v>9146</v>
      </c>
      <c r="D6043" t="s">
        <v>16627</v>
      </c>
      <c r="E6043" t="s">
        <v>22036</v>
      </c>
      <c r="F6043" t="s">
        <v>28669</v>
      </c>
      <c r="G6043" t="s">
        <v>28675</v>
      </c>
      <c r="H6043" t="s">
        <v>9998</v>
      </c>
      <c r="I6043" t="s">
        <v>28707</v>
      </c>
      <c r="J6043" t="s">
        <v>32639</v>
      </c>
      <c r="K6043" t="s">
        <v>37213</v>
      </c>
      <c r="M6043" t="s">
        <v>39006</v>
      </c>
      <c r="N6043" t="s">
        <v>41249</v>
      </c>
      <c r="O6043" t="s">
        <v>41250</v>
      </c>
      <c r="P6043">
        <v>0</v>
      </c>
      <c r="Q6043">
        <v>5</v>
      </c>
      <c r="R6043" t="s">
        <v>41256</v>
      </c>
      <c r="S6043" t="s">
        <v>41450</v>
      </c>
      <c r="T6043" t="s">
        <v>42765</v>
      </c>
      <c r="U6043" t="s">
        <v>48112</v>
      </c>
      <c r="W6043" t="s">
        <v>39006</v>
      </c>
      <c r="X6043" t="s">
        <v>41257</v>
      </c>
    </row>
    <row r="6044" spans="1:24">
      <c r="A6044">
        <f>HYPERLINK("https://www.philgeps.gov.ph/GEPSNONPILOT/Tender/SplashBidNoticeAbstractUI.aspx?menuIndex=3&amp;refID=7071244&amp;Result=3","7071244")</f>
        <v>0</v>
      </c>
      <c r="B6044" t="s">
        <v>140</v>
      </c>
      <c r="C6044" t="s">
        <v>9147</v>
      </c>
      <c r="D6044" t="s">
        <v>16652</v>
      </c>
      <c r="E6044" t="s">
        <v>22037</v>
      </c>
      <c r="F6044" t="s">
        <v>28669</v>
      </c>
      <c r="G6044" t="s">
        <v>28676</v>
      </c>
      <c r="H6044" t="s">
        <v>9998</v>
      </c>
      <c r="I6044" t="s">
        <v>6606</v>
      </c>
      <c r="J6044" t="s">
        <v>32640</v>
      </c>
      <c r="K6044" t="s">
        <v>37234</v>
      </c>
      <c r="M6044" t="s">
        <v>37617</v>
      </c>
      <c r="N6044" t="s">
        <v>41249</v>
      </c>
      <c r="O6044" t="s">
        <v>41250</v>
      </c>
      <c r="P6044">
        <v>0</v>
      </c>
      <c r="Q6044">
        <v>0</v>
      </c>
      <c r="R6044" t="s">
        <v>41256</v>
      </c>
      <c r="S6044" t="s">
        <v>41450</v>
      </c>
      <c r="T6044" t="s">
        <v>42802</v>
      </c>
      <c r="U6044" t="s">
        <v>45442</v>
      </c>
      <c r="W6044" t="s">
        <v>37617</v>
      </c>
      <c r="X6044" t="s">
        <v>41257</v>
      </c>
    </row>
    <row r="6045" spans="1:24">
      <c r="A6045">
        <f>HYPERLINK("https://www.philgeps.gov.ph/GEPSNONPILOT/Tender/SplashBidNoticeAbstractUI.aspx?menuIndex=3&amp;refID=7071515&amp;Result=3","7071515")</f>
        <v>0</v>
      </c>
      <c r="B6045" t="s">
        <v>2033</v>
      </c>
      <c r="C6045" t="s">
        <v>9148</v>
      </c>
      <c r="D6045" t="s">
        <v>16625</v>
      </c>
      <c r="E6045" t="s">
        <v>22038</v>
      </c>
      <c r="F6045" t="s">
        <v>28669</v>
      </c>
      <c r="G6045" t="s">
        <v>28675</v>
      </c>
      <c r="H6045" t="s">
        <v>9998</v>
      </c>
      <c r="I6045" t="s">
        <v>28710</v>
      </c>
      <c r="J6045" t="s">
        <v>32641</v>
      </c>
      <c r="K6045" t="s">
        <v>37210</v>
      </c>
      <c r="M6045" t="s">
        <v>39673</v>
      </c>
      <c r="N6045" t="s">
        <v>41249</v>
      </c>
      <c r="O6045" t="s">
        <v>41250</v>
      </c>
      <c r="P6045">
        <v>0</v>
      </c>
      <c r="Q6045">
        <v>0</v>
      </c>
      <c r="R6045" t="s">
        <v>41256</v>
      </c>
      <c r="S6045" t="s">
        <v>41450</v>
      </c>
      <c r="T6045" t="s">
        <v>42673</v>
      </c>
      <c r="U6045" t="s">
        <v>48204</v>
      </c>
      <c r="W6045" t="s">
        <v>39673</v>
      </c>
      <c r="X6045" t="s">
        <v>41257</v>
      </c>
    </row>
    <row r="6046" spans="1:24">
      <c r="A6046">
        <f>HYPERLINK("https://www.philgeps.gov.ph/GEPSNONPILOT/Tender/SplashBidNoticeAbstractUI.aspx?menuIndex=3&amp;refID=7071497&amp;Result=3","7071497")</f>
        <v>0</v>
      </c>
      <c r="B6046" t="s">
        <v>2034</v>
      </c>
      <c r="C6046" t="s">
        <v>9149</v>
      </c>
      <c r="D6046" t="s">
        <v>16650</v>
      </c>
      <c r="E6046" t="s">
        <v>22039</v>
      </c>
      <c r="F6046" t="s">
        <v>28669</v>
      </c>
      <c r="G6046" t="s">
        <v>28676</v>
      </c>
      <c r="H6046" t="s">
        <v>9998</v>
      </c>
      <c r="I6046" t="s">
        <v>28701</v>
      </c>
      <c r="J6046" t="s">
        <v>31446</v>
      </c>
      <c r="K6046" t="s">
        <v>37210</v>
      </c>
      <c r="M6046" t="s">
        <v>39674</v>
      </c>
      <c r="N6046" t="s">
        <v>41249</v>
      </c>
      <c r="O6046" t="s">
        <v>41250</v>
      </c>
      <c r="P6046">
        <v>0</v>
      </c>
      <c r="Q6046">
        <v>1</v>
      </c>
      <c r="R6046" t="s">
        <v>41256</v>
      </c>
      <c r="S6046" t="s">
        <v>41450</v>
      </c>
      <c r="T6046" t="s">
        <v>42743</v>
      </c>
      <c r="U6046" t="s">
        <v>48205</v>
      </c>
      <c r="W6046" t="s">
        <v>39674</v>
      </c>
      <c r="X6046" t="s">
        <v>41257</v>
      </c>
    </row>
    <row r="6047" spans="1:24">
      <c r="A6047">
        <f>HYPERLINK("https://www.philgeps.gov.ph/GEPSNONPILOT/Tender/SplashBidNoticeAbstractUI.aspx?menuIndex=3&amp;refID=7071495&amp;Result=3","7071495")</f>
        <v>0</v>
      </c>
      <c r="B6047" t="s">
        <v>2035</v>
      </c>
      <c r="C6047" t="s">
        <v>9150</v>
      </c>
      <c r="D6047" t="s">
        <v>16618</v>
      </c>
      <c r="E6047" t="s">
        <v>22040</v>
      </c>
      <c r="F6047" t="s">
        <v>28669</v>
      </c>
      <c r="G6047" t="s">
        <v>28675</v>
      </c>
      <c r="H6047" t="s">
        <v>9998</v>
      </c>
      <c r="I6047" t="s">
        <v>5033</v>
      </c>
      <c r="J6047" t="s">
        <v>32642</v>
      </c>
      <c r="K6047" t="s">
        <v>37209</v>
      </c>
      <c r="M6047" t="s">
        <v>39675</v>
      </c>
      <c r="N6047" t="s">
        <v>41249</v>
      </c>
      <c r="O6047" t="s">
        <v>41250</v>
      </c>
      <c r="P6047">
        <v>0</v>
      </c>
      <c r="Q6047">
        <v>3</v>
      </c>
      <c r="R6047" t="s">
        <v>41256</v>
      </c>
      <c r="S6047" t="s">
        <v>41450</v>
      </c>
      <c r="T6047" t="s">
        <v>42694</v>
      </c>
      <c r="U6047" t="s">
        <v>48206</v>
      </c>
      <c r="W6047" t="s">
        <v>39675</v>
      </c>
      <c r="X6047" t="s">
        <v>41257</v>
      </c>
    </row>
    <row r="6048" spans="1:24">
      <c r="A6048">
        <f>HYPERLINK("https://www.philgeps.gov.ph/GEPSNONPILOT/Tender/SplashBidNoticeAbstractUI.aspx?menuIndex=3&amp;refID=7071488&amp;Result=3","7071488")</f>
        <v>0</v>
      </c>
      <c r="B6048" t="s">
        <v>2036</v>
      </c>
      <c r="C6048" t="s">
        <v>9151</v>
      </c>
      <c r="D6048" t="s">
        <v>16664</v>
      </c>
      <c r="E6048" t="s">
        <v>22041</v>
      </c>
      <c r="F6048" t="s">
        <v>28669</v>
      </c>
      <c r="G6048" t="s">
        <v>28675</v>
      </c>
      <c r="H6048" t="s">
        <v>28686</v>
      </c>
      <c r="I6048" t="s">
        <v>28689</v>
      </c>
      <c r="J6048" t="s">
        <v>29962</v>
      </c>
      <c r="K6048" t="s">
        <v>37362</v>
      </c>
      <c r="M6048" t="s">
        <v>39676</v>
      </c>
      <c r="N6048" t="s">
        <v>41249</v>
      </c>
      <c r="O6048" t="s">
        <v>41250</v>
      </c>
      <c r="P6048">
        <v>0</v>
      </c>
      <c r="Q6048">
        <v>2</v>
      </c>
      <c r="R6048" t="s">
        <v>41256</v>
      </c>
      <c r="S6048" t="s">
        <v>41450</v>
      </c>
      <c r="T6048" t="s">
        <v>42668</v>
      </c>
      <c r="U6048" t="s">
        <v>48207</v>
      </c>
      <c r="W6048" t="s">
        <v>39676</v>
      </c>
      <c r="X6048" t="s">
        <v>41257</v>
      </c>
    </row>
    <row r="6049" spans="1:24">
      <c r="A6049">
        <f>HYPERLINK("https://www.philgeps.gov.ph/GEPSNONPILOT/Tender/SplashBidNoticeAbstractUI.aspx?menuIndex=3&amp;refID=7071502&amp;Result=3","7071502")</f>
        <v>0</v>
      </c>
      <c r="B6049" t="s">
        <v>852</v>
      </c>
      <c r="C6049" t="s">
        <v>9152</v>
      </c>
      <c r="D6049" t="s">
        <v>16679</v>
      </c>
      <c r="E6049" t="s">
        <v>22042</v>
      </c>
      <c r="F6049" t="s">
        <v>28669</v>
      </c>
      <c r="G6049" t="s">
        <v>28677</v>
      </c>
      <c r="H6049" t="s">
        <v>9998</v>
      </c>
      <c r="I6049" t="s">
        <v>5286</v>
      </c>
      <c r="J6049" t="s">
        <v>32643</v>
      </c>
      <c r="K6049" t="s">
        <v>37209</v>
      </c>
      <c r="M6049" t="s">
        <v>38368</v>
      </c>
      <c r="N6049" t="s">
        <v>41249</v>
      </c>
      <c r="O6049" t="s">
        <v>41250</v>
      </c>
      <c r="P6049">
        <v>0</v>
      </c>
      <c r="Q6049">
        <v>8</v>
      </c>
      <c r="R6049" t="s">
        <v>41256</v>
      </c>
      <c r="S6049" t="s">
        <v>41450</v>
      </c>
      <c r="T6049" t="s">
        <v>42717</v>
      </c>
      <c r="U6049" t="s">
        <v>48208</v>
      </c>
      <c r="V6049" t="s">
        <v>54491</v>
      </c>
      <c r="W6049" t="s">
        <v>38368</v>
      </c>
      <c r="X6049" t="s">
        <v>41257</v>
      </c>
    </row>
    <row r="6050" spans="1:24">
      <c r="A6050">
        <f>HYPERLINK("https://www.philgeps.gov.ph/GEPSNONPILOT/Tender/SplashBidNoticeAbstractUI.aspx?menuIndex=3&amp;refID=7071487&amp;Result=3","7071487")</f>
        <v>0</v>
      </c>
      <c r="B6050" t="s">
        <v>2037</v>
      </c>
      <c r="C6050" t="s">
        <v>9153</v>
      </c>
      <c r="D6050" t="s">
        <v>16646</v>
      </c>
      <c r="E6050" t="s">
        <v>22043</v>
      </c>
      <c r="F6050" t="s">
        <v>28669</v>
      </c>
      <c r="G6050" t="s">
        <v>28679</v>
      </c>
      <c r="H6050" t="s">
        <v>28686</v>
      </c>
      <c r="I6050" t="s">
        <v>28689</v>
      </c>
      <c r="J6050" t="s">
        <v>32644</v>
      </c>
      <c r="K6050" t="s">
        <v>37321</v>
      </c>
      <c r="M6050" t="s">
        <v>39677</v>
      </c>
      <c r="N6050" t="s">
        <v>41249</v>
      </c>
      <c r="O6050" t="s">
        <v>41250</v>
      </c>
      <c r="P6050">
        <v>0</v>
      </c>
      <c r="Q6050">
        <v>0</v>
      </c>
      <c r="R6050" t="s">
        <v>41256</v>
      </c>
      <c r="S6050" t="s">
        <v>41450</v>
      </c>
      <c r="T6050" t="s">
        <v>42701</v>
      </c>
      <c r="U6050" t="s">
        <v>48209</v>
      </c>
      <c r="W6050" t="s">
        <v>55977</v>
      </c>
      <c r="X6050" t="s">
        <v>41257</v>
      </c>
    </row>
    <row r="6051" spans="1:24">
      <c r="A6051">
        <f>HYPERLINK("https://www.philgeps.gov.ph/GEPSNONPILOT/Tender/SplashBidNoticeAbstractUI.aspx?menuIndex=3&amp;refID=7071483&amp;Result=3","7071483")</f>
        <v>0</v>
      </c>
      <c r="B6051" t="s">
        <v>2038</v>
      </c>
      <c r="C6051" t="s">
        <v>9154</v>
      </c>
      <c r="D6051" t="s">
        <v>16627</v>
      </c>
      <c r="E6051" t="s">
        <v>16987</v>
      </c>
      <c r="F6051" t="s">
        <v>28669</v>
      </c>
      <c r="G6051" t="s">
        <v>28678</v>
      </c>
      <c r="H6051" t="s">
        <v>9998</v>
      </c>
      <c r="I6051" t="s">
        <v>28690</v>
      </c>
      <c r="J6051" t="s">
        <v>29225</v>
      </c>
      <c r="K6051" t="s">
        <v>37204</v>
      </c>
      <c r="M6051" t="s">
        <v>39678</v>
      </c>
      <c r="N6051" t="s">
        <v>41249</v>
      </c>
      <c r="O6051" t="s">
        <v>41250</v>
      </c>
      <c r="P6051">
        <v>0</v>
      </c>
      <c r="Q6051">
        <v>3</v>
      </c>
      <c r="R6051" t="s">
        <v>41256</v>
      </c>
      <c r="S6051" t="s">
        <v>41450</v>
      </c>
      <c r="T6051" t="s">
        <v>42883</v>
      </c>
      <c r="U6051" t="s">
        <v>48210</v>
      </c>
      <c r="W6051" t="s">
        <v>39678</v>
      </c>
      <c r="X6051" t="s">
        <v>41257</v>
      </c>
    </row>
    <row r="6052" spans="1:24">
      <c r="A6052">
        <f>HYPERLINK("https://www.philgeps.gov.ph/GEPSNONPILOT/Tender/SplashBidNoticeAbstractUI.aspx?menuIndex=3&amp;refID=7071477&amp;Result=3","7071477")</f>
        <v>0</v>
      </c>
      <c r="B6052" t="s">
        <v>2039</v>
      </c>
      <c r="C6052" t="s">
        <v>9155</v>
      </c>
      <c r="D6052" t="s">
        <v>16647</v>
      </c>
      <c r="E6052" t="s">
        <v>18031</v>
      </c>
      <c r="F6052" t="s">
        <v>28669</v>
      </c>
      <c r="G6052" t="s">
        <v>28676</v>
      </c>
      <c r="H6052" t="s">
        <v>9998</v>
      </c>
      <c r="I6052" t="s">
        <v>7352</v>
      </c>
      <c r="J6052" t="s">
        <v>32645</v>
      </c>
      <c r="K6052" t="s">
        <v>37210</v>
      </c>
      <c r="M6052" t="s">
        <v>39679</v>
      </c>
      <c r="N6052" t="s">
        <v>41249</v>
      </c>
      <c r="O6052" t="s">
        <v>41250</v>
      </c>
      <c r="P6052">
        <v>0</v>
      </c>
      <c r="Q6052">
        <v>1</v>
      </c>
      <c r="R6052" t="s">
        <v>41256</v>
      </c>
      <c r="S6052" t="s">
        <v>41450</v>
      </c>
      <c r="T6052" t="s">
        <v>42701</v>
      </c>
      <c r="U6052" t="s">
        <v>48211</v>
      </c>
      <c r="W6052" t="s">
        <v>39679</v>
      </c>
      <c r="X6052" t="s">
        <v>41257</v>
      </c>
    </row>
    <row r="6053" spans="1:24">
      <c r="A6053">
        <f>HYPERLINK("https://www.philgeps.gov.ph/GEPSNONPILOT/Tender/SplashBidNoticeAbstractUI.aspx?menuIndex=3&amp;refID=7071473&amp;Result=3","7071473")</f>
        <v>0</v>
      </c>
      <c r="B6053" t="s">
        <v>852</v>
      </c>
      <c r="C6053" t="s">
        <v>9156</v>
      </c>
      <c r="D6053" t="s">
        <v>16679</v>
      </c>
      <c r="E6053" t="s">
        <v>22044</v>
      </c>
      <c r="F6053" t="s">
        <v>28669</v>
      </c>
      <c r="G6053" t="s">
        <v>28677</v>
      </c>
      <c r="H6053" t="s">
        <v>9998</v>
      </c>
      <c r="I6053" t="s">
        <v>28717</v>
      </c>
      <c r="J6053" t="s">
        <v>29044</v>
      </c>
      <c r="K6053" t="s">
        <v>37209</v>
      </c>
      <c r="M6053" t="s">
        <v>38368</v>
      </c>
      <c r="N6053" t="s">
        <v>41249</v>
      </c>
      <c r="O6053" t="s">
        <v>41250</v>
      </c>
      <c r="P6053">
        <v>0</v>
      </c>
      <c r="Q6053">
        <v>7</v>
      </c>
      <c r="R6053" t="s">
        <v>41256</v>
      </c>
      <c r="S6053" t="s">
        <v>41450</v>
      </c>
      <c r="T6053" t="s">
        <v>42717</v>
      </c>
      <c r="U6053" t="s">
        <v>48212</v>
      </c>
      <c r="V6053" t="s">
        <v>54491</v>
      </c>
      <c r="W6053" t="s">
        <v>38368</v>
      </c>
      <c r="X6053" t="s">
        <v>41257</v>
      </c>
    </row>
    <row r="6054" spans="1:24">
      <c r="A6054">
        <f>HYPERLINK("https://www.philgeps.gov.ph/GEPSNONPILOT/Tender/SplashBidNoticeAbstractUI.aspx?menuIndex=3&amp;refID=7071469&amp;Result=3","7071469")</f>
        <v>0</v>
      </c>
      <c r="B6054" t="s">
        <v>221</v>
      </c>
      <c r="C6054" t="s">
        <v>9157</v>
      </c>
      <c r="E6054" t="s">
        <v>22045</v>
      </c>
      <c r="F6054" t="s">
        <v>28669</v>
      </c>
      <c r="G6054" t="s">
        <v>28675</v>
      </c>
      <c r="H6054" t="s">
        <v>9998</v>
      </c>
      <c r="I6054" t="s">
        <v>28706</v>
      </c>
      <c r="J6054" t="s">
        <v>32646</v>
      </c>
      <c r="K6054" t="s">
        <v>37209</v>
      </c>
      <c r="M6054" t="s">
        <v>37699</v>
      </c>
      <c r="N6054" t="s">
        <v>41249</v>
      </c>
      <c r="O6054" t="s">
        <v>41250</v>
      </c>
      <c r="P6054">
        <v>0</v>
      </c>
      <c r="Q6054">
        <v>6</v>
      </c>
      <c r="R6054" t="s">
        <v>41256</v>
      </c>
      <c r="S6054" t="s">
        <v>41450</v>
      </c>
      <c r="T6054" t="s">
        <v>42786</v>
      </c>
      <c r="U6054" t="s">
        <v>48213</v>
      </c>
      <c r="W6054" t="s">
        <v>37699</v>
      </c>
      <c r="X6054" t="s">
        <v>41257</v>
      </c>
    </row>
    <row r="6055" spans="1:24">
      <c r="A6055">
        <f>HYPERLINK("https://www.philgeps.gov.ph/GEPSNONPILOT/Tender/SplashBidNoticeAbstractUI.aspx?menuIndex=3&amp;refID=7071467&amp;Result=3","7071467")</f>
        <v>0</v>
      </c>
      <c r="B6055" t="s">
        <v>252</v>
      </c>
      <c r="C6055" t="s">
        <v>9158</v>
      </c>
      <c r="D6055" t="s">
        <v>16629</v>
      </c>
      <c r="E6055" t="s">
        <v>22046</v>
      </c>
      <c r="F6055" t="s">
        <v>28669</v>
      </c>
      <c r="G6055" t="s">
        <v>28679</v>
      </c>
      <c r="H6055" t="s">
        <v>9998</v>
      </c>
      <c r="I6055" t="s">
        <v>5286</v>
      </c>
      <c r="J6055" t="s">
        <v>32647</v>
      </c>
      <c r="K6055" t="s">
        <v>37210</v>
      </c>
      <c r="M6055" t="s">
        <v>37730</v>
      </c>
      <c r="N6055" t="s">
        <v>41249</v>
      </c>
      <c r="O6055" t="s">
        <v>41250</v>
      </c>
      <c r="P6055">
        <v>0</v>
      </c>
      <c r="Q6055">
        <v>8</v>
      </c>
      <c r="R6055" t="s">
        <v>41256</v>
      </c>
      <c r="S6055" t="s">
        <v>41450</v>
      </c>
      <c r="T6055" t="s">
        <v>43021</v>
      </c>
      <c r="U6055" t="s">
        <v>48214</v>
      </c>
      <c r="V6055" t="s">
        <v>54939</v>
      </c>
      <c r="W6055" t="s">
        <v>37730</v>
      </c>
      <c r="X6055" t="s">
        <v>41257</v>
      </c>
    </row>
    <row r="6056" spans="1:24">
      <c r="A6056">
        <f>HYPERLINK("https://www.philgeps.gov.ph/GEPSNONPILOT/Tender/SplashBidNoticeAbstractUI.aspx?menuIndex=3&amp;refID=7071465&amp;Result=3","7071465")</f>
        <v>0</v>
      </c>
      <c r="B6056" t="s">
        <v>2040</v>
      </c>
      <c r="C6056" t="s">
        <v>9159</v>
      </c>
      <c r="D6056" t="s">
        <v>16633</v>
      </c>
      <c r="E6056" t="s">
        <v>22047</v>
      </c>
      <c r="F6056" t="s">
        <v>28669</v>
      </c>
      <c r="G6056" t="s">
        <v>28679</v>
      </c>
      <c r="H6056" t="s">
        <v>28686</v>
      </c>
      <c r="I6056" t="s">
        <v>28689</v>
      </c>
      <c r="J6056" t="s">
        <v>32648</v>
      </c>
      <c r="K6056" t="s">
        <v>37212</v>
      </c>
      <c r="M6056" t="s">
        <v>39680</v>
      </c>
      <c r="N6056" t="s">
        <v>41249</v>
      </c>
      <c r="O6056" t="s">
        <v>41250</v>
      </c>
      <c r="P6056">
        <v>0</v>
      </c>
      <c r="Q6056">
        <v>0</v>
      </c>
      <c r="R6056" t="s">
        <v>41256</v>
      </c>
      <c r="S6056" t="s">
        <v>41450</v>
      </c>
      <c r="T6056" t="s">
        <v>42754</v>
      </c>
      <c r="U6056" t="s">
        <v>48215</v>
      </c>
      <c r="W6056" t="s">
        <v>39680</v>
      </c>
      <c r="X6056" t="s">
        <v>41257</v>
      </c>
    </row>
    <row r="6057" spans="1:24">
      <c r="A6057">
        <f>HYPERLINK("https://www.philgeps.gov.ph/GEPSNONPILOT/Tender/SplashBidNoticeAbstractUI.aspx?menuIndex=3&amp;refID=7071464&amp;Result=3","7071464")</f>
        <v>0</v>
      </c>
      <c r="B6057" t="s">
        <v>1829</v>
      </c>
      <c r="C6057" t="s">
        <v>9160</v>
      </c>
      <c r="D6057" t="s">
        <v>16661</v>
      </c>
      <c r="E6057" t="s">
        <v>21444</v>
      </c>
      <c r="F6057" t="s">
        <v>28669</v>
      </c>
      <c r="G6057" t="s">
        <v>28677</v>
      </c>
      <c r="H6057" t="s">
        <v>9998</v>
      </c>
      <c r="I6057" t="s">
        <v>6128</v>
      </c>
      <c r="J6057" t="s">
        <v>28912</v>
      </c>
      <c r="K6057" t="s">
        <v>37210</v>
      </c>
      <c r="M6057" t="s">
        <v>39442</v>
      </c>
      <c r="N6057" t="s">
        <v>41249</v>
      </c>
      <c r="O6057" t="s">
        <v>41250</v>
      </c>
      <c r="P6057">
        <v>0</v>
      </c>
      <c r="Q6057">
        <v>2</v>
      </c>
      <c r="R6057" t="s">
        <v>41256</v>
      </c>
      <c r="S6057" t="s">
        <v>41450</v>
      </c>
      <c r="T6057" t="s">
        <v>42728</v>
      </c>
      <c r="U6057" t="s">
        <v>48216</v>
      </c>
      <c r="W6057" t="s">
        <v>39442</v>
      </c>
      <c r="X6057" t="s">
        <v>41257</v>
      </c>
    </row>
    <row r="6058" spans="1:24">
      <c r="A6058">
        <f>HYPERLINK("https://www.philgeps.gov.ph/GEPSNONPILOT/Tender/SplashBidNoticeAbstractUI.aspx?menuIndex=3&amp;refID=7071462&amp;Result=3","7071462")</f>
        <v>0</v>
      </c>
      <c r="B6058" t="s">
        <v>310</v>
      </c>
      <c r="C6058" t="s">
        <v>9142</v>
      </c>
      <c r="D6058" t="s">
        <v>16635</v>
      </c>
      <c r="E6058" t="s">
        <v>22048</v>
      </c>
      <c r="F6058" t="s">
        <v>28669</v>
      </c>
      <c r="G6058" t="s">
        <v>28676</v>
      </c>
      <c r="H6058" t="s">
        <v>9998</v>
      </c>
      <c r="I6058" t="s">
        <v>7352</v>
      </c>
      <c r="J6058" t="s">
        <v>28877</v>
      </c>
      <c r="K6058" t="s">
        <v>37209</v>
      </c>
      <c r="M6058" t="s">
        <v>37789</v>
      </c>
      <c r="N6058" t="s">
        <v>41249</v>
      </c>
      <c r="O6058" t="s">
        <v>41250</v>
      </c>
      <c r="P6058">
        <v>0</v>
      </c>
      <c r="Q6058">
        <v>0</v>
      </c>
      <c r="R6058" t="s">
        <v>41256</v>
      </c>
      <c r="S6058" t="s">
        <v>41450</v>
      </c>
      <c r="T6058" t="s">
        <v>42992</v>
      </c>
      <c r="U6058" t="s">
        <v>48200</v>
      </c>
      <c r="W6058" t="s">
        <v>37789</v>
      </c>
      <c r="X6058" t="s">
        <v>41257</v>
      </c>
    </row>
    <row r="6059" spans="1:24">
      <c r="A6059">
        <f>HYPERLINK("https://www.philgeps.gov.ph/GEPSNONPILOT/Tender/SplashBidNoticeAbstractUI.aspx?menuIndex=3&amp;refID=7071501&amp;Result=3","7071501")</f>
        <v>0</v>
      </c>
      <c r="B6059" t="s">
        <v>310</v>
      </c>
      <c r="C6059" t="s">
        <v>9161</v>
      </c>
      <c r="D6059" t="s">
        <v>16635</v>
      </c>
      <c r="E6059" t="s">
        <v>22049</v>
      </c>
      <c r="F6059" t="s">
        <v>28669</v>
      </c>
      <c r="G6059" t="s">
        <v>28676</v>
      </c>
      <c r="H6059" t="s">
        <v>9998</v>
      </c>
      <c r="I6059" t="s">
        <v>6458</v>
      </c>
      <c r="J6059" t="s">
        <v>28879</v>
      </c>
      <c r="K6059" t="s">
        <v>37209</v>
      </c>
      <c r="M6059" t="s">
        <v>37789</v>
      </c>
      <c r="N6059" t="s">
        <v>41249</v>
      </c>
      <c r="O6059" t="s">
        <v>41250</v>
      </c>
      <c r="P6059">
        <v>0</v>
      </c>
      <c r="Q6059">
        <v>0</v>
      </c>
      <c r="R6059" t="s">
        <v>41256</v>
      </c>
      <c r="S6059" t="s">
        <v>41450</v>
      </c>
      <c r="T6059" t="s">
        <v>42992</v>
      </c>
      <c r="U6059" t="s">
        <v>48217</v>
      </c>
      <c r="W6059" t="s">
        <v>37789</v>
      </c>
      <c r="X6059" t="s">
        <v>41257</v>
      </c>
    </row>
    <row r="6060" spans="1:24">
      <c r="A6060">
        <f>HYPERLINK("https://www.philgeps.gov.ph/GEPSNONPILOT/Tender/SplashBidNoticeAbstractUI.aspx?menuIndex=3&amp;refID=7071233&amp;Result=3","7071233")</f>
        <v>0</v>
      </c>
      <c r="B6060" t="s">
        <v>1432</v>
      </c>
      <c r="C6060" t="s">
        <v>9162</v>
      </c>
      <c r="E6060" t="s">
        <v>22050</v>
      </c>
      <c r="F6060" t="s">
        <v>28669</v>
      </c>
      <c r="G6060" t="s">
        <v>28675</v>
      </c>
      <c r="H6060" t="s">
        <v>28686</v>
      </c>
      <c r="I6060" t="s">
        <v>28689</v>
      </c>
      <c r="J6060" t="s">
        <v>32649</v>
      </c>
      <c r="K6060" t="s">
        <v>37209</v>
      </c>
      <c r="M6060" t="s">
        <v>38996</v>
      </c>
      <c r="N6060" t="s">
        <v>41249</v>
      </c>
      <c r="O6060" t="s">
        <v>41250</v>
      </c>
      <c r="P6060">
        <v>0</v>
      </c>
      <c r="Q6060">
        <v>6</v>
      </c>
      <c r="R6060" t="s">
        <v>41256</v>
      </c>
      <c r="S6060" t="s">
        <v>41450</v>
      </c>
      <c r="T6060" t="s">
        <v>43022</v>
      </c>
      <c r="U6060" t="s">
        <v>48218</v>
      </c>
      <c r="V6060" t="s">
        <v>54940</v>
      </c>
      <c r="W6060" t="s">
        <v>38996</v>
      </c>
      <c r="X6060" t="s">
        <v>41257</v>
      </c>
    </row>
    <row r="6061" spans="1:24">
      <c r="A6061">
        <f>HYPERLINK("https://www.philgeps.gov.ph/GEPSNONPILOT/Tender/SplashBidNoticeAbstractUI.aspx?menuIndex=3&amp;refID=7071491&amp;Result=3","7071491")</f>
        <v>0</v>
      </c>
      <c r="B6061" t="s">
        <v>947</v>
      </c>
      <c r="C6061" t="s">
        <v>9163</v>
      </c>
      <c r="D6061" t="s">
        <v>16631</v>
      </c>
      <c r="E6061" t="s">
        <v>22051</v>
      </c>
      <c r="F6061" t="s">
        <v>28669</v>
      </c>
      <c r="G6061" t="s">
        <v>28677</v>
      </c>
      <c r="H6061" t="s">
        <v>9998</v>
      </c>
      <c r="I6061" t="s">
        <v>28694</v>
      </c>
      <c r="J6061" t="s">
        <v>32650</v>
      </c>
      <c r="K6061" t="s">
        <v>37206</v>
      </c>
      <c r="M6061" t="s">
        <v>38471</v>
      </c>
      <c r="N6061" t="s">
        <v>41249</v>
      </c>
      <c r="O6061" t="s">
        <v>41250</v>
      </c>
      <c r="P6061">
        <v>0</v>
      </c>
      <c r="Q6061">
        <v>4</v>
      </c>
      <c r="R6061" t="s">
        <v>41256</v>
      </c>
      <c r="S6061" t="s">
        <v>41450</v>
      </c>
      <c r="T6061" t="s">
        <v>42736</v>
      </c>
      <c r="U6061" t="s">
        <v>48219</v>
      </c>
      <c r="V6061" t="s">
        <v>54917</v>
      </c>
      <c r="W6061" t="s">
        <v>38471</v>
      </c>
      <c r="X6061" t="s">
        <v>41257</v>
      </c>
    </row>
    <row r="6062" spans="1:24">
      <c r="A6062">
        <f>HYPERLINK("https://www.philgeps.gov.ph/GEPSNONPILOT/Tender/SplashBidNoticeAbstractUI.aspx?menuIndex=3&amp;refID=7071222&amp;Result=3","7071222")</f>
        <v>0</v>
      </c>
      <c r="B6062" t="s">
        <v>532</v>
      </c>
      <c r="C6062" t="s">
        <v>9164</v>
      </c>
      <c r="D6062" t="s">
        <v>16675</v>
      </c>
      <c r="E6062" t="s">
        <v>22052</v>
      </c>
      <c r="F6062" t="s">
        <v>28669</v>
      </c>
      <c r="G6062" t="s">
        <v>28675</v>
      </c>
      <c r="H6062" t="s">
        <v>28686</v>
      </c>
      <c r="I6062" t="s">
        <v>28689</v>
      </c>
      <c r="J6062" t="s">
        <v>32651</v>
      </c>
      <c r="K6062" t="s">
        <v>37227</v>
      </c>
      <c r="M6062" t="s">
        <v>38023</v>
      </c>
      <c r="N6062" t="s">
        <v>41249</v>
      </c>
      <c r="O6062" t="s">
        <v>41250</v>
      </c>
      <c r="P6062">
        <v>0</v>
      </c>
      <c r="Q6062">
        <v>0</v>
      </c>
      <c r="R6062" t="s">
        <v>41256</v>
      </c>
      <c r="S6062" t="s">
        <v>41450</v>
      </c>
      <c r="T6062" t="s">
        <v>42754</v>
      </c>
      <c r="U6062" t="s">
        <v>48220</v>
      </c>
      <c r="W6062" t="s">
        <v>38023</v>
      </c>
      <c r="X6062" t="s">
        <v>41257</v>
      </c>
    </row>
    <row r="6063" spans="1:24">
      <c r="A6063">
        <f>HYPERLINK("https://www.philgeps.gov.ph/GEPSNONPILOT/Tender/SplashBidNoticeAbstractUI.aspx?menuIndex=3&amp;refID=7071170&amp;Result=3","7071170")</f>
        <v>0</v>
      </c>
      <c r="B6063" t="s">
        <v>1126</v>
      </c>
      <c r="C6063" t="s">
        <v>9165</v>
      </c>
      <c r="D6063" t="s">
        <v>16630</v>
      </c>
      <c r="E6063" t="s">
        <v>22053</v>
      </c>
      <c r="F6063" t="s">
        <v>28669</v>
      </c>
      <c r="G6063" t="s">
        <v>28675</v>
      </c>
      <c r="H6063" t="s">
        <v>9998</v>
      </c>
      <c r="I6063" t="s">
        <v>5213</v>
      </c>
      <c r="J6063" t="s">
        <v>32652</v>
      </c>
      <c r="K6063" t="s">
        <v>37206</v>
      </c>
      <c r="M6063" t="s">
        <v>38660</v>
      </c>
      <c r="N6063" t="s">
        <v>41249</v>
      </c>
      <c r="O6063" t="s">
        <v>41250</v>
      </c>
      <c r="P6063">
        <v>0</v>
      </c>
      <c r="Q6063">
        <v>1</v>
      </c>
      <c r="R6063" t="s">
        <v>41256</v>
      </c>
      <c r="S6063" t="s">
        <v>41450</v>
      </c>
      <c r="T6063" t="s">
        <v>42726</v>
      </c>
      <c r="U6063" t="s">
        <v>48221</v>
      </c>
      <c r="W6063" t="s">
        <v>38660</v>
      </c>
      <c r="X6063" t="s">
        <v>41257</v>
      </c>
    </row>
    <row r="6064" spans="1:24">
      <c r="A6064">
        <f>HYPERLINK("https://www.philgeps.gov.ph/GEPSNONPILOT/Tender/SplashBidNoticeAbstractUI.aspx?menuIndex=3&amp;refID=7071166&amp;Result=3","7071166")</f>
        <v>0</v>
      </c>
      <c r="B6064" t="s">
        <v>659</v>
      </c>
      <c r="C6064" t="s">
        <v>9166</v>
      </c>
      <c r="D6064" t="s">
        <v>16643</v>
      </c>
      <c r="E6064" t="s">
        <v>22054</v>
      </c>
      <c r="F6064" t="s">
        <v>28669</v>
      </c>
      <c r="G6064" t="s">
        <v>28676</v>
      </c>
      <c r="H6064" t="s">
        <v>9998</v>
      </c>
      <c r="I6064" t="s">
        <v>15140</v>
      </c>
      <c r="J6064" t="s">
        <v>32653</v>
      </c>
      <c r="K6064" t="s">
        <v>37204</v>
      </c>
      <c r="M6064" t="s">
        <v>38161</v>
      </c>
      <c r="N6064" t="s">
        <v>41249</v>
      </c>
      <c r="O6064" t="s">
        <v>41250</v>
      </c>
      <c r="P6064">
        <v>0</v>
      </c>
      <c r="Q6064">
        <v>1</v>
      </c>
      <c r="R6064" t="s">
        <v>41256</v>
      </c>
      <c r="S6064" t="s">
        <v>41450</v>
      </c>
      <c r="T6064" t="s">
        <v>42736</v>
      </c>
      <c r="U6064" t="s">
        <v>45489</v>
      </c>
      <c r="W6064" t="s">
        <v>55925</v>
      </c>
      <c r="X6064" t="s">
        <v>41257</v>
      </c>
    </row>
    <row r="6065" spans="1:24">
      <c r="A6065">
        <f>HYPERLINK("https://www.philgeps.gov.ph/GEPSNONPILOT/Tender/SplashBidNoticeAbstractUI.aspx?menuIndex=3&amp;refID=7071460&amp;Result=3","7071460")</f>
        <v>0</v>
      </c>
      <c r="B6065" t="s">
        <v>186</v>
      </c>
      <c r="C6065" t="s">
        <v>9167</v>
      </c>
      <c r="D6065" t="s">
        <v>16654</v>
      </c>
      <c r="E6065" t="s">
        <v>22055</v>
      </c>
      <c r="F6065" t="s">
        <v>28669</v>
      </c>
      <c r="G6065" t="s">
        <v>28676</v>
      </c>
      <c r="H6065" t="s">
        <v>28686</v>
      </c>
      <c r="I6065" t="s">
        <v>28689</v>
      </c>
      <c r="J6065" t="s">
        <v>28894</v>
      </c>
      <c r="K6065" t="s">
        <v>37256</v>
      </c>
      <c r="M6065" t="s">
        <v>37664</v>
      </c>
      <c r="N6065" t="s">
        <v>41249</v>
      </c>
      <c r="O6065" t="s">
        <v>41250</v>
      </c>
      <c r="P6065">
        <v>0</v>
      </c>
      <c r="Q6065">
        <v>0</v>
      </c>
      <c r="R6065" t="s">
        <v>41256</v>
      </c>
      <c r="S6065" t="s">
        <v>41450</v>
      </c>
      <c r="T6065" t="s">
        <v>42883</v>
      </c>
      <c r="U6065" t="s">
        <v>48222</v>
      </c>
      <c r="W6065" t="s">
        <v>37664</v>
      </c>
      <c r="X6065" t="s">
        <v>41257</v>
      </c>
    </row>
    <row r="6066" spans="1:24">
      <c r="A6066">
        <f>HYPERLINK("https://www.philgeps.gov.ph/GEPSNONPILOT/Tender/SplashBidNoticeAbstractUI.aspx?menuIndex=3&amp;refID=7071164&amp;Result=3","7071164")</f>
        <v>0</v>
      </c>
      <c r="B6066" t="s">
        <v>1126</v>
      </c>
      <c r="C6066" t="s">
        <v>9168</v>
      </c>
      <c r="D6066" t="s">
        <v>16630</v>
      </c>
      <c r="E6066" t="s">
        <v>22056</v>
      </c>
      <c r="F6066" t="s">
        <v>28669</v>
      </c>
      <c r="G6066" t="s">
        <v>28675</v>
      </c>
      <c r="H6066" t="s">
        <v>9998</v>
      </c>
      <c r="I6066" t="s">
        <v>7352</v>
      </c>
      <c r="J6066" t="s">
        <v>32654</v>
      </c>
      <c r="K6066" t="s">
        <v>37206</v>
      </c>
      <c r="M6066" t="s">
        <v>38660</v>
      </c>
      <c r="N6066" t="s">
        <v>41249</v>
      </c>
      <c r="O6066" t="s">
        <v>41250</v>
      </c>
      <c r="P6066">
        <v>0</v>
      </c>
      <c r="Q6066">
        <v>0</v>
      </c>
      <c r="R6066" t="s">
        <v>41256</v>
      </c>
      <c r="S6066" t="s">
        <v>41450</v>
      </c>
      <c r="T6066" t="s">
        <v>42726</v>
      </c>
      <c r="U6066" t="s">
        <v>48223</v>
      </c>
      <c r="W6066" t="s">
        <v>38660</v>
      </c>
      <c r="X6066" t="s">
        <v>41257</v>
      </c>
    </row>
    <row r="6067" spans="1:24">
      <c r="A6067">
        <f>HYPERLINK("https://www.philgeps.gov.ph/GEPSNONPILOT/Tender/SplashBidNoticeAbstractUI.aspx?menuIndex=3&amp;refID=7071504&amp;Result=3","7071504")</f>
        <v>0</v>
      </c>
      <c r="B6067" t="s">
        <v>2041</v>
      </c>
      <c r="C6067" t="s">
        <v>9169</v>
      </c>
      <c r="D6067" t="s">
        <v>16622</v>
      </c>
      <c r="E6067" t="s">
        <v>22057</v>
      </c>
      <c r="F6067" t="s">
        <v>28669</v>
      </c>
      <c r="G6067" t="s">
        <v>28676</v>
      </c>
      <c r="H6067" t="s">
        <v>9998</v>
      </c>
      <c r="I6067" t="s">
        <v>28804</v>
      </c>
      <c r="J6067" t="s">
        <v>32655</v>
      </c>
      <c r="K6067" t="s">
        <v>37227</v>
      </c>
      <c r="M6067" t="s">
        <v>39681</v>
      </c>
      <c r="N6067" t="s">
        <v>41249</v>
      </c>
      <c r="O6067" t="s">
        <v>41250</v>
      </c>
      <c r="P6067">
        <v>0</v>
      </c>
      <c r="Q6067">
        <v>2</v>
      </c>
      <c r="R6067" t="s">
        <v>41256</v>
      </c>
      <c r="S6067" t="s">
        <v>41450</v>
      </c>
      <c r="T6067" t="s">
        <v>42711</v>
      </c>
      <c r="U6067" t="s">
        <v>48224</v>
      </c>
      <c r="W6067" t="s">
        <v>39681</v>
      </c>
      <c r="X6067" t="s">
        <v>41257</v>
      </c>
    </row>
    <row r="6068" spans="1:24">
      <c r="A6068">
        <f>HYPERLINK("https://www.philgeps.gov.ph/GEPSNONPILOT/Tender/SplashBidNoticeAbstractUI.aspx?menuIndex=3&amp;refID=7071156&amp;Result=3","7071156")</f>
        <v>0</v>
      </c>
      <c r="B6068" t="s">
        <v>1126</v>
      </c>
      <c r="C6068" t="s">
        <v>9170</v>
      </c>
      <c r="D6068" t="s">
        <v>16630</v>
      </c>
      <c r="E6068" t="s">
        <v>22058</v>
      </c>
      <c r="F6068" t="s">
        <v>28669</v>
      </c>
      <c r="G6068" t="s">
        <v>28675</v>
      </c>
      <c r="H6068" t="s">
        <v>9998</v>
      </c>
      <c r="I6068" t="s">
        <v>5213</v>
      </c>
      <c r="J6068" t="s">
        <v>31448</v>
      </c>
      <c r="K6068" t="s">
        <v>37206</v>
      </c>
      <c r="M6068" t="s">
        <v>38660</v>
      </c>
      <c r="N6068" t="s">
        <v>41249</v>
      </c>
      <c r="O6068" t="s">
        <v>41250</v>
      </c>
      <c r="P6068">
        <v>0</v>
      </c>
      <c r="Q6068">
        <v>1</v>
      </c>
      <c r="R6068" t="s">
        <v>41256</v>
      </c>
      <c r="S6068" t="s">
        <v>41450</v>
      </c>
      <c r="T6068" t="s">
        <v>42726</v>
      </c>
      <c r="U6068" t="s">
        <v>48225</v>
      </c>
      <c r="W6068" t="s">
        <v>38660</v>
      </c>
      <c r="X6068" t="s">
        <v>41257</v>
      </c>
    </row>
    <row r="6069" spans="1:24">
      <c r="A6069">
        <f>HYPERLINK("https://www.philgeps.gov.ph/GEPSNONPILOT/Tender/SplashBidNoticeAbstractUI.aspx?menuIndex=3&amp;refID=7071280&amp;Result=3","7071280")</f>
        <v>0</v>
      </c>
      <c r="B6069" t="s">
        <v>2035</v>
      </c>
      <c r="C6069" t="s">
        <v>9171</v>
      </c>
      <c r="D6069" t="s">
        <v>16618</v>
      </c>
      <c r="E6069" t="s">
        <v>22059</v>
      </c>
      <c r="F6069" t="s">
        <v>28669</v>
      </c>
      <c r="G6069" t="s">
        <v>28675</v>
      </c>
      <c r="H6069" t="s">
        <v>9998</v>
      </c>
      <c r="I6069" t="s">
        <v>28692</v>
      </c>
      <c r="J6069" t="s">
        <v>28826</v>
      </c>
      <c r="K6069" t="s">
        <v>37209</v>
      </c>
      <c r="M6069" t="s">
        <v>39675</v>
      </c>
      <c r="N6069" t="s">
        <v>41249</v>
      </c>
      <c r="O6069" t="s">
        <v>41250</v>
      </c>
      <c r="P6069">
        <v>0</v>
      </c>
      <c r="Q6069">
        <v>4</v>
      </c>
      <c r="R6069" t="s">
        <v>41256</v>
      </c>
      <c r="S6069" t="s">
        <v>41450</v>
      </c>
      <c r="T6069" t="s">
        <v>42694</v>
      </c>
      <c r="U6069" t="s">
        <v>48206</v>
      </c>
      <c r="W6069" t="s">
        <v>39675</v>
      </c>
      <c r="X6069" t="s">
        <v>41257</v>
      </c>
    </row>
    <row r="6070" spans="1:24">
      <c r="A6070">
        <f>HYPERLINK("https://www.philgeps.gov.ph/GEPSNONPILOT/Tender/SplashBidNoticeAbstractUI.aspx?menuIndex=3&amp;refID=7071159&amp;Result=3","7071159")</f>
        <v>0</v>
      </c>
      <c r="B6070" t="s">
        <v>310</v>
      </c>
      <c r="C6070" t="s">
        <v>9142</v>
      </c>
      <c r="D6070" t="s">
        <v>16635</v>
      </c>
      <c r="E6070" t="s">
        <v>22060</v>
      </c>
      <c r="F6070" t="s">
        <v>28669</v>
      </c>
      <c r="G6070" t="s">
        <v>28676</v>
      </c>
      <c r="H6070" t="s">
        <v>9998</v>
      </c>
      <c r="I6070" t="s">
        <v>7352</v>
      </c>
      <c r="J6070" t="s">
        <v>32656</v>
      </c>
      <c r="K6070" t="s">
        <v>37209</v>
      </c>
      <c r="M6070" t="s">
        <v>37789</v>
      </c>
      <c r="N6070" t="s">
        <v>41249</v>
      </c>
      <c r="O6070" t="s">
        <v>41250</v>
      </c>
      <c r="P6070">
        <v>0</v>
      </c>
      <c r="Q6070">
        <v>0</v>
      </c>
      <c r="R6070" t="s">
        <v>41256</v>
      </c>
      <c r="S6070" t="s">
        <v>41450</v>
      </c>
      <c r="T6070" t="s">
        <v>42992</v>
      </c>
      <c r="U6070" t="s">
        <v>48226</v>
      </c>
      <c r="W6070" t="s">
        <v>37789</v>
      </c>
      <c r="X6070" t="s">
        <v>41257</v>
      </c>
    </row>
    <row r="6071" spans="1:24">
      <c r="A6071">
        <f>HYPERLINK("https://www.philgeps.gov.ph/GEPSNONPILOT/Tender/SplashBidNoticeAbstractUI.aspx?menuIndex=3&amp;refID=7071227&amp;Result=3","7071227")</f>
        <v>0</v>
      </c>
      <c r="B6071" t="s">
        <v>349</v>
      </c>
      <c r="C6071" t="s">
        <v>9172</v>
      </c>
      <c r="D6071" t="s">
        <v>16675</v>
      </c>
      <c r="E6071" t="s">
        <v>22061</v>
      </c>
      <c r="F6071" t="s">
        <v>28669</v>
      </c>
      <c r="G6071" t="s">
        <v>28676</v>
      </c>
      <c r="H6071" t="s">
        <v>9998</v>
      </c>
      <c r="I6071" t="s">
        <v>6606</v>
      </c>
      <c r="J6071" t="s">
        <v>28990</v>
      </c>
      <c r="K6071" t="s">
        <v>37238</v>
      </c>
      <c r="M6071" t="s">
        <v>37829</v>
      </c>
      <c r="N6071" t="s">
        <v>41249</v>
      </c>
      <c r="O6071" t="s">
        <v>41250</v>
      </c>
      <c r="P6071">
        <v>0</v>
      </c>
      <c r="Q6071">
        <v>3</v>
      </c>
      <c r="R6071" t="s">
        <v>41256</v>
      </c>
      <c r="S6071" t="s">
        <v>41450</v>
      </c>
      <c r="T6071" t="s">
        <v>42754</v>
      </c>
      <c r="U6071" t="s">
        <v>48227</v>
      </c>
      <c r="W6071" t="s">
        <v>37829</v>
      </c>
      <c r="X6071" t="s">
        <v>41257</v>
      </c>
    </row>
    <row r="6072" spans="1:24">
      <c r="A6072">
        <f>HYPERLINK("https://www.philgeps.gov.ph/GEPSNONPILOT/Tender/SplashBidNoticeAbstractUI.aspx?menuIndex=3&amp;refID=7071125&amp;Result=3","7071125")</f>
        <v>0</v>
      </c>
      <c r="B6072" t="s">
        <v>2042</v>
      </c>
      <c r="C6072" t="s">
        <v>9173</v>
      </c>
      <c r="D6072" t="s">
        <v>16609</v>
      </c>
      <c r="E6072" t="s">
        <v>22062</v>
      </c>
      <c r="F6072" t="s">
        <v>28669</v>
      </c>
      <c r="G6072" t="s">
        <v>28675</v>
      </c>
      <c r="H6072" t="s">
        <v>28686</v>
      </c>
      <c r="I6072" t="s">
        <v>7352</v>
      </c>
      <c r="J6072" t="s">
        <v>28879</v>
      </c>
      <c r="K6072" t="s">
        <v>37204</v>
      </c>
      <c r="M6072" t="s">
        <v>39682</v>
      </c>
      <c r="N6072" t="s">
        <v>41249</v>
      </c>
      <c r="O6072" t="s">
        <v>41250</v>
      </c>
      <c r="P6072">
        <v>0</v>
      </c>
      <c r="Q6072">
        <v>0</v>
      </c>
      <c r="R6072" t="s">
        <v>41256</v>
      </c>
      <c r="S6072" t="s">
        <v>41450</v>
      </c>
      <c r="T6072" t="s">
        <v>42944</v>
      </c>
      <c r="U6072" t="s">
        <v>48228</v>
      </c>
      <c r="W6072" t="s">
        <v>39682</v>
      </c>
      <c r="X6072" t="s">
        <v>41257</v>
      </c>
    </row>
    <row r="6073" spans="1:24">
      <c r="A6073">
        <f>HYPERLINK("https://www.philgeps.gov.ph/GEPSNONPILOT/Tender/SplashBidNoticeAbstractUI.aspx?menuIndex=3&amp;refID=7071122&amp;Result=3","7071122")</f>
        <v>0</v>
      </c>
      <c r="B6073" t="s">
        <v>1622</v>
      </c>
      <c r="C6073" t="s">
        <v>9174</v>
      </c>
      <c r="D6073" t="s">
        <v>16621</v>
      </c>
      <c r="E6073" t="s">
        <v>22063</v>
      </c>
      <c r="F6073" t="s">
        <v>28669</v>
      </c>
      <c r="G6073" t="s">
        <v>28676</v>
      </c>
      <c r="H6073" t="s">
        <v>9998</v>
      </c>
      <c r="I6073" t="s">
        <v>6606</v>
      </c>
      <c r="J6073" t="s">
        <v>31703</v>
      </c>
      <c r="K6073" t="s">
        <v>37266</v>
      </c>
      <c r="M6073" t="s">
        <v>39208</v>
      </c>
      <c r="N6073" t="s">
        <v>41249</v>
      </c>
      <c r="O6073" t="s">
        <v>41250</v>
      </c>
      <c r="P6073">
        <v>0</v>
      </c>
      <c r="Q6073">
        <v>2</v>
      </c>
      <c r="R6073" t="s">
        <v>41256</v>
      </c>
      <c r="S6073" t="s">
        <v>41450</v>
      </c>
      <c r="T6073" t="s">
        <v>42771</v>
      </c>
      <c r="U6073" t="s">
        <v>46364</v>
      </c>
      <c r="W6073" t="s">
        <v>39208</v>
      </c>
      <c r="X6073" t="s">
        <v>41257</v>
      </c>
    </row>
    <row r="6074" spans="1:24">
      <c r="A6074">
        <f>HYPERLINK("https://www.philgeps.gov.ph/GEPSNONPILOT/Tender/SplashBidNoticeAbstractUI.aspx?menuIndex=3&amp;refID=7071220&amp;Result=3","7071220")</f>
        <v>0</v>
      </c>
      <c r="B6074" t="s">
        <v>1622</v>
      </c>
      <c r="C6074" t="s">
        <v>9175</v>
      </c>
      <c r="D6074" t="s">
        <v>16621</v>
      </c>
      <c r="E6074" t="s">
        <v>22064</v>
      </c>
      <c r="F6074" t="s">
        <v>28669</v>
      </c>
      <c r="G6074" t="s">
        <v>28676</v>
      </c>
      <c r="H6074" t="s">
        <v>9998</v>
      </c>
      <c r="I6074" t="s">
        <v>28697</v>
      </c>
      <c r="J6074" t="s">
        <v>29040</v>
      </c>
      <c r="K6074" t="s">
        <v>37206</v>
      </c>
      <c r="M6074" t="s">
        <v>39208</v>
      </c>
      <c r="N6074" t="s">
        <v>41249</v>
      </c>
      <c r="O6074" t="s">
        <v>41250</v>
      </c>
      <c r="P6074">
        <v>0</v>
      </c>
      <c r="Q6074">
        <v>1</v>
      </c>
      <c r="R6074" t="s">
        <v>41256</v>
      </c>
      <c r="S6074" t="s">
        <v>41450</v>
      </c>
      <c r="T6074" t="s">
        <v>42771</v>
      </c>
      <c r="U6074" t="s">
        <v>46364</v>
      </c>
      <c r="W6074" t="s">
        <v>39208</v>
      </c>
      <c r="X6074" t="s">
        <v>41257</v>
      </c>
    </row>
    <row r="6075" spans="1:24">
      <c r="A6075">
        <f>HYPERLINK("https://www.philgeps.gov.ph/GEPSNONPILOT/Tender/SplashBidNoticeAbstractUI.aspx?menuIndex=3&amp;refID=7071128&amp;Result=3","7071128")</f>
        <v>0</v>
      </c>
      <c r="B6075" t="s">
        <v>2020</v>
      </c>
      <c r="C6075" t="s">
        <v>9176</v>
      </c>
      <c r="D6075" t="s">
        <v>16611</v>
      </c>
      <c r="E6075" t="s">
        <v>20862</v>
      </c>
      <c r="F6075" t="s">
        <v>28669</v>
      </c>
      <c r="G6075" t="s">
        <v>28677</v>
      </c>
      <c r="H6075" t="s">
        <v>9998</v>
      </c>
      <c r="I6075" t="s">
        <v>28709</v>
      </c>
      <c r="J6075" t="s">
        <v>32657</v>
      </c>
      <c r="K6075" t="s">
        <v>37266</v>
      </c>
      <c r="M6075" t="s">
        <v>39659</v>
      </c>
      <c r="N6075" t="s">
        <v>41249</v>
      </c>
      <c r="O6075" t="s">
        <v>41250</v>
      </c>
      <c r="P6075">
        <v>0</v>
      </c>
      <c r="Q6075">
        <v>0</v>
      </c>
      <c r="R6075" t="s">
        <v>41256</v>
      </c>
      <c r="S6075" t="s">
        <v>41450</v>
      </c>
      <c r="T6075" t="s">
        <v>42736</v>
      </c>
      <c r="U6075" t="s">
        <v>48229</v>
      </c>
      <c r="W6075" t="s">
        <v>39659</v>
      </c>
      <c r="X6075" t="s">
        <v>41257</v>
      </c>
    </row>
    <row r="6076" spans="1:24">
      <c r="A6076">
        <f>HYPERLINK("https://www.philgeps.gov.ph/GEPSNONPILOT/Tender/SplashBidNoticeAbstractUI.aspx?menuIndex=3&amp;refID=7071510&amp;Result=3","7071510")</f>
        <v>0</v>
      </c>
      <c r="B6076" t="s">
        <v>2038</v>
      </c>
      <c r="C6076" t="s">
        <v>9177</v>
      </c>
      <c r="D6076" t="s">
        <v>16627</v>
      </c>
      <c r="E6076" t="s">
        <v>22065</v>
      </c>
      <c r="F6076" t="s">
        <v>28669</v>
      </c>
      <c r="G6076" t="s">
        <v>28678</v>
      </c>
      <c r="H6076" t="s">
        <v>9998</v>
      </c>
      <c r="I6076" t="s">
        <v>28708</v>
      </c>
      <c r="J6076" t="s">
        <v>32658</v>
      </c>
      <c r="K6076" t="s">
        <v>37206</v>
      </c>
      <c r="M6076" t="s">
        <v>39678</v>
      </c>
      <c r="N6076" t="s">
        <v>41249</v>
      </c>
      <c r="O6076" t="s">
        <v>41250</v>
      </c>
      <c r="P6076">
        <v>0</v>
      </c>
      <c r="Q6076">
        <v>0</v>
      </c>
      <c r="R6076" t="s">
        <v>41256</v>
      </c>
      <c r="S6076" t="s">
        <v>41450</v>
      </c>
      <c r="T6076" t="s">
        <v>42883</v>
      </c>
      <c r="U6076" t="s">
        <v>48230</v>
      </c>
      <c r="W6076" t="s">
        <v>39678</v>
      </c>
      <c r="X6076" t="s">
        <v>41257</v>
      </c>
    </row>
    <row r="6077" spans="1:24">
      <c r="A6077">
        <f>HYPERLINK("https://www.philgeps.gov.ph/GEPSNONPILOT/Tender/SplashBidNoticeAbstractUI.aspx?menuIndex=3&amp;refID=7072478&amp;Result=3","7072478")</f>
        <v>0</v>
      </c>
      <c r="B6077" t="s">
        <v>688</v>
      </c>
      <c r="C6077" t="s">
        <v>9178</v>
      </c>
      <c r="D6077" t="s">
        <v>16619</v>
      </c>
      <c r="E6077" t="s">
        <v>22066</v>
      </c>
      <c r="F6077" t="s">
        <v>28669</v>
      </c>
      <c r="G6077" t="s">
        <v>28675</v>
      </c>
      <c r="H6077" t="s">
        <v>28686</v>
      </c>
      <c r="I6077" t="s">
        <v>28689</v>
      </c>
      <c r="J6077" t="s">
        <v>31737</v>
      </c>
      <c r="K6077" t="s">
        <v>37254</v>
      </c>
      <c r="M6077" t="s">
        <v>39665</v>
      </c>
      <c r="N6077" t="s">
        <v>41249</v>
      </c>
      <c r="O6077" t="s">
        <v>41250</v>
      </c>
      <c r="P6077">
        <v>0</v>
      </c>
      <c r="Q6077">
        <v>4</v>
      </c>
      <c r="R6077" t="s">
        <v>41255</v>
      </c>
      <c r="S6077" t="s">
        <v>41442</v>
      </c>
      <c r="T6077" t="s">
        <v>42688</v>
      </c>
      <c r="U6077" t="s">
        <v>48231</v>
      </c>
      <c r="W6077" t="s">
        <v>39665</v>
      </c>
      <c r="X6077" t="s">
        <v>41256</v>
      </c>
    </row>
    <row r="6078" spans="1:24">
      <c r="A6078">
        <f>HYPERLINK("https://www.philgeps.gov.ph/GEPSNONPILOT/Tender/SplashBidNoticeAbstractUI.aspx?menuIndex=3&amp;refID=7071131&amp;Result=3","7071131")</f>
        <v>0</v>
      </c>
      <c r="B6078" t="s">
        <v>1793</v>
      </c>
      <c r="C6078" t="s">
        <v>9179</v>
      </c>
      <c r="D6078" t="s">
        <v>16659</v>
      </c>
      <c r="E6078" t="s">
        <v>22067</v>
      </c>
      <c r="F6078" t="s">
        <v>28669</v>
      </c>
      <c r="G6078" t="s">
        <v>28675</v>
      </c>
      <c r="H6078" t="s">
        <v>28686</v>
      </c>
      <c r="I6078" t="s">
        <v>28689</v>
      </c>
      <c r="J6078" t="s">
        <v>28826</v>
      </c>
      <c r="K6078" t="s">
        <v>37205</v>
      </c>
      <c r="M6078" t="s">
        <v>39400</v>
      </c>
      <c r="N6078" t="s">
        <v>41249</v>
      </c>
      <c r="O6078" t="s">
        <v>41250</v>
      </c>
      <c r="P6078">
        <v>0</v>
      </c>
      <c r="Q6078">
        <v>0</v>
      </c>
      <c r="R6078" t="s">
        <v>41256</v>
      </c>
      <c r="S6078" t="s">
        <v>41450</v>
      </c>
      <c r="T6078" t="s">
        <v>42673</v>
      </c>
      <c r="U6078" t="s">
        <v>48232</v>
      </c>
      <c r="V6078" t="s">
        <v>54941</v>
      </c>
      <c r="W6078" t="s">
        <v>39400</v>
      </c>
      <c r="X6078" t="s">
        <v>41257</v>
      </c>
    </row>
    <row r="6079" spans="1:24">
      <c r="A6079">
        <f>HYPERLINK("https://www.philgeps.gov.ph/GEPSNONPILOT/Tender/SplashBidNoticeAbstractUI.aspx?menuIndex=3&amp;refID=7072384&amp;Result=3","7072384")</f>
        <v>0</v>
      </c>
      <c r="B6079" t="s">
        <v>1626</v>
      </c>
      <c r="C6079" t="s">
        <v>9180</v>
      </c>
      <c r="E6079" t="s">
        <v>22068</v>
      </c>
      <c r="F6079" t="s">
        <v>28669</v>
      </c>
      <c r="G6079" t="s">
        <v>28676</v>
      </c>
      <c r="H6079" t="s">
        <v>9998</v>
      </c>
      <c r="I6079" t="s">
        <v>28754</v>
      </c>
      <c r="J6079" t="s">
        <v>29790</v>
      </c>
      <c r="K6079" t="s">
        <v>37209</v>
      </c>
      <c r="M6079" t="s">
        <v>39212</v>
      </c>
      <c r="N6079" t="s">
        <v>41249</v>
      </c>
      <c r="O6079" t="s">
        <v>41250</v>
      </c>
      <c r="P6079">
        <v>0</v>
      </c>
      <c r="Q6079">
        <v>1</v>
      </c>
      <c r="R6079" t="s">
        <v>41255</v>
      </c>
      <c r="S6079" t="s">
        <v>41442</v>
      </c>
      <c r="T6079" t="s">
        <v>42938</v>
      </c>
      <c r="U6079" t="s">
        <v>48233</v>
      </c>
      <c r="W6079" t="s">
        <v>39212</v>
      </c>
      <c r="X6079" t="s">
        <v>41256</v>
      </c>
    </row>
    <row r="6080" spans="1:24">
      <c r="A6080">
        <f>HYPERLINK("https://www.philgeps.gov.ph/GEPSNONPILOT/Tender/SplashBidNoticeAbstractUI.aspx?menuIndex=3&amp;refID=7071676&amp;Result=3","7071676")</f>
        <v>0</v>
      </c>
      <c r="B6080" t="s">
        <v>2043</v>
      </c>
      <c r="C6080" t="s">
        <v>9181</v>
      </c>
      <c r="D6080" t="s">
        <v>16609</v>
      </c>
      <c r="E6080" t="s">
        <v>22069</v>
      </c>
      <c r="F6080" t="s">
        <v>28669</v>
      </c>
      <c r="G6080" t="s">
        <v>28675</v>
      </c>
      <c r="H6080" t="s">
        <v>28686</v>
      </c>
      <c r="I6080" t="s">
        <v>28689</v>
      </c>
      <c r="J6080" t="s">
        <v>32659</v>
      </c>
      <c r="K6080" t="s">
        <v>37215</v>
      </c>
      <c r="M6080" t="s">
        <v>39683</v>
      </c>
      <c r="N6080" t="s">
        <v>41249</v>
      </c>
      <c r="O6080" t="s">
        <v>41250</v>
      </c>
      <c r="P6080">
        <v>0</v>
      </c>
      <c r="Q6080">
        <v>0</v>
      </c>
      <c r="R6080" t="s">
        <v>41255</v>
      </c>
      <c r="S6080" t="s">
        <v>41442</v>
      </c>
      <c r="T6080" t="s">
        <v>42716</v>
      </c>
      <c r="U6080" t="s">
        <v>48234</v>
      </c>
      <c r="W6080" t="s">
        <v>39683</v>
      </c>
      <c r="X6080" t="s">
        <v>41257</v>
      </c>
    </row>
    <row r="6081" spans="1:24">
      <c r="A6081">
        <f>HYPERLINK("https://www.philgeps.gov.ph/GEPSNONPILOT/Tender/SplashBidNoticeAbstractUI.aspx?menuIndex=3&amp;refID=7071127&amp;Result=3","7071127")</f>
        <v>0</v>
      </c>
      <c r="B6081" t="s">
        <v>2010</v>
      </c>
      <c r="C6081" t="s">
        <v>9182</v>
      </c>
      <c r="D6081" t="s">
        <v>16666</v>
      </c>
      <c r="E6081" t="s">
        <v>17768</v>
      </c>
      <c r="F6081" t="s">
        <v>28669</v>
      </c>
      <c r="G6081" t="s">
        <v>28676</v>
      </c>
      <c r="H6081" t="s">
        <v>9998</v>
      </c>
      <c r="I6081" t="s">
        <v>3658</v>
      </c>
      <c r="J6081" t="s">
        <v>29263</v>
      </c>
      <c r="K6081" t="s">
        <v>37208</v>
      </c>
      <c r="M6081" t="s">
        <v>39648</v>
      </c>
      <c r="N6081" t="s">
        <v>41249</v>
      </c>
      <c r="O6081" t="s">
        <v>41250</v>
      </c>
      <c r="P6081">
        <v>0</v>
      </c>
      <c r="Q6081">
        <v>0</v>
      </c>
      <c r="R6081" t="s">
        <v>41256</v>
      </c>
      <c r="S6081" t="s">
        <v>41450</v>
      </c>
      <c r="T6081" t="s">
        <v>42758</v>
      </c>
      <c r="U6081" t="s">
        <v>48235</v>
      </c>
      <c r="W6081" t="s">
        <v>39648</v>
      </c>
      <c r="X6081" t="s">
        <v>41257</v>
      </c>
    </row>
    <row r="6082" spans="1:24">
      <c r="A6082">
        <f>HYPERLINK("https://www.philgeps.gov.ph/GEPSNONPILOT/Tender/SplashBidNoticeAbstractUI.aspx?menuIndex=3&amp;refID=7071121&amp;Result=3","7071121")</f>
        <v>0</v>
      </c>
      <c r="B6082" t="s">
        <v>2019</v>
      </c>
      <c r="C6082" t="s">
        <v>9183</v>
      </c>
      <c r="D6082" t="s">
        <v>16622</v>
      </c>
      <c r="E6082" t="s">
        <v>22070</v>
      </c>
      <c r="F6082" t="s">
        <v>28669</v>
      </c>
      <c r="G6082" t="s">
        <v>28677</v>
      </c>
      <c r="H6082" t="s">
        <v>9998</v>
      </c>
      <c r="I6082" t="s">
        <v>7352</v>
      </c>
      <c r="J6082" t="s">
        <v>32660</v>
      </c>
      <c r="K6082" t="s">
        <v>37243</v>
      </c>
      <c r="M6082" t="s">
        <v>39658</v>
      </c>
      <c r="N6082" t="s">
        <v>41249</v>
      </c>
      <c r="O6082" t="s">
        <v>41250</v>
      </c>
      <c r="P6082">
        <v>0</v>
      </c>
      <c r="Q6082">
        <v>0</v>
      </c>
      <c r="R6082" t="s">
        <v>41256</v>
      </c>
      <c r="S6082" t="s">
        <v>41450</v>
      </c>
      <c r="T6082" t="s">
        <v>42887</v>
      </c>
      <c r="U6082" t="s">
        <v>48236</v>
      </c>
      <c r="V6082" t="s">
        <v>54942</v>
      </c>
      <c r="W6082" t="s">
        <v>39658</v>
      </c>
      <c r="X6082" t="s">
        <v>41257</v>
      </c>
    </row>
    <row r="6083" spans="1:24">
      <c r="A6083">
        <f>HYPERLINK("https://www.philgeps.gov.ph/GEPSNONPILOT/Tender/SplashBidNoticeAbstractUI.aspx?menuIndex=3&amp;refID=7072380&amp;Result=3","7072380")</f>
        <v>0</v>
      </c>
      <c r="B6083" t="s">
        <v>1626</v>
      </c>
      <c r="C6083" t="s">
        <v>9184</v>
      </c>
      <c r="E6083" t="s">
        <v>22071</v>
      </c>
      <c r="F6083" t="s">
        <v>28669</v>
      </c>
      <c r="G6083" t="s">
        <v>28676</v>
      </c>
      <c r="H6083" t="s">
        <v>9998</v>
      </c>
      <c r="I6083" t="s">
        <v>28777</v>
      </c>
      <c r="J6083" t="s">
        <v>29438</v>
      </c>
      <c r="K6083" t="s">
        <v>37209</v>
      </c>
      <c r="M6083" t="s">
        <v>39212</v>
      </c>
      <c r="N6083" t="s">
        <v>41249</v>
      </c>
      <c r="O6083" t="s">
        <v>41250</v>
      </c>
      <c r="P6083">
        <v>0</v>
      </c>
      <c r="Q6083">
        <v>0</v>
      </c>
      <c r="R6083" t="s">
        <v>41255</v>
      </c>
      <c r="S6083" t="s">
        <v>41442</v>
      </c>
      <c r="T6083" t="s">
        <v>42938</v>
      </c>
      <c r="U6083" t="s">
        <v>48233</v>
      </c>
      <c r="W6083" t="s">
        <v>39212</v>
      </c>
      <c r="X6083" t="s">
        <v>41256</v>
      </c>
    </row>
    <row r="6084" spans="1:24">
      <c r="A6084">
        <f>HYPERLINK("https://www.philgeps.gov.ph/GEPSNONPILOT/Tender/SplashBidNoticeAbstractUI.aspx?menuIndex=3&amp;refID=7071564&amp;Result=3","7071564")</f>
        <v>0</v>
      </c>
      <c r="B6084" t="s">
        <v>2037</v>
      </c>
      <c r="C6084" t="s">
        <v>9185</v>
      </c>
      <c r="D6084" t="s">
        <v>16646</v>
      </c>
      <c r="E6084" t="s">
        <v>22072</v>
      </c>
      <c r="F6084" t="s">
        <v>28669</v>
      </c>
      <c r="G6084" t="s">
        <v>28679</v>
      </c>
      <c r="H6084" t="s">
        <v>28686</v>
      </c>
      <c r="I6084" t="s">
        <v>28689</v>
      </c>
      <c r="J6084" t="s">
        <v>32661</v>
      </c>
      <c r="K6084" t="s">
        <v>37222</v>
      </c>
      <c r="M6084" t="s">
        <v>39677</v>
      </c>
      <c r="N6084" t="s">
        <v>41249</v>
      </c>
      <c r="O6084" t="s">
        <v>41250</v>
      </c>
      <c r="P6084">
        <v>0</v>
      </c>
      <c r="Q6084">
        <v>0</v>
      </c>
      <c r="R6084" t="s">
        <v>41256</v>
      </c>
      <c r="S6084" t="s">
        <v>41450</v>
      </c>
      <c r="T6084" t="s">
        <v>42701</v>
      </c>
      <c r="U6084" t="s">
        <v>48237</v>
      </c>
      <c r="W6084" t="s">
        <v>55977</v>
      </c>
      <c r="X6084" t="s">
        <v>41257</v>
      </c>
    </row>
    <row r="6085" spans="1:24">
      <c r="A6085">
        <f>HYPERLINK("https://www.philgeps.gov.ph/GEPSNONPILOT/Tender/SplashBidNoticeAbstractUI.aspx?menuIndex=3&amp;refID=7071592&amp;Result=3","7071592")</f>
        <v>0</v>
      </c>
      <c r="B6085" t="s">
        <v>2031</v>
      </c>
      <c r="C6085" t="s">
        <v>9186</v>
      </c>
      <c r="D6085" t="s">
        <v>16618</v>
      </c>
      <c r="E6085" t="s">
        <v>22073</v>
      </c>
      <c r="F6085" t="s">
        <v>28669</v>
      </c>
      <c r="G6085" t="s">
        <v>28675</v>
      </c>
      <c r="H6085" t="s">
        <v>28686</v>
      </c>
      <c r="I6085" t="s">
        <v>28689</v>
      </c>
      <c r="J6085" t="s">
        <v>32662</v>
      </c>
      <c r="K6085" t="s">
        <v>37206</v>
      </c>
      <c r="M6085" t="s">
        <v>39671</v>
      </c>
      <c r="N6085" t="s">
        <v>41249</v>
      </c>
      <c r="O6085" t="s">
        <v>41250</v>
      </c>
      <c r="P6085">
        <v>0</v>
      </c>
      <c r="Q6085">
        <v>0</v>
      </c>
      <c r="R6085" t="s">
        <v>41256</v>
      </c>
      <c r="S6085" t="s">
        <v>41450</v>
      </c>
      <c r="T6085" t="s">
        <v>42751</v>
      </c>
      <c r="U6085" t="s">
        <v>48238</v>
      </c>
      <c r="W6085" t="s">
        <v>39671</v>
      </c>
      <c r="X6085" t="s">
        <v>41257</v>
      </c>
    </row>
    <row r="6086" spans="1:24">
      <c r="A6086">
        <f>HYPERLINK("https://www.philgeps.gov.ph/GEPSNONPILOT/Tender/SplashBidNoticeAbstractUI.aspx?menuIndex=3&amp;refID=7071822&amp;Result=3","7071822")</f>
        <v>0</v>
      </c>
      <c r="B6086" t="s">
        <v>1919</v>
      </c>
      <c r="C6086" t="s">
        <v>9187</v>
      </c>
      <c r="D6086" t="s">
        <v>16627</v>
      </c>
      <c r="E6086" t="s">
        <v>22074</v>
      </c>
      <c r="F6086" t="s">
        <v>28669</v>
      </c>
      <c r="G6086" t="s">
        <v>28675</v>
      </c>
      <c r="H6086" t="s">
        <v>28686</v>
      </c>
      <c r="I6086" t="s">
        <v>7352</v>
      </c>
      <c r="J6086" t="s">
        <v>32663</v>
      </c>
      <c r="K6086" t="s">
        <v>37205</v>
      </c>
      <c r="M6086" t="s">
        <v>39546</v>
      </c>
      <c r="N6086" t="s">
        <v>41249</v>
      </c>
      <c r="O6086" t="s">
        <v>41250</v>
      </c>
      <c r="P6086">
        <v>0</v>
      </c>
      <c r="Q6086">
        <v>0</v>
      </c>
      <c r="R6086" t="s">
        <v>41255</v>
      </c>
      <c r="S6086" t="s">
        <v>41442</v>
      </c>
      <c r="T6086" t="s">
        <v>42698</v>
      </c>
      <c r="U6086" t="s">
        <v>48239</v>
      </c>
      <c r="V6086" t="s">
        <v>54886</v>
      </c>
      <c r="W6086" t="s">
        <v>39546</v>
      </c>
      <c r="X6086" t="s">
        <v>41257</v>
      </c>
    </row>
    <row r="6087" spans="1:24">
      <c r="A6087">
        <f>HYPERLINK("https://www.philgeps.gov.ph/GEPSNONPILOT/Tender/SplashBidNoticeAbstractUI.aspx?menuIndex=3&amp;refID=7072336&amp;Result=3","7072336")</f>
        <v>0</v>
      </c>
      <c r="B6087" t="s">
        <v>1935</v>
      </c>
      <c r="C6087" t="s">
        <v>9188</v>
      </c>
      <c r="E6087" t="s">
        <v>22075</v>
      </c>
      <c r="F6087" t="s">
        <v>28669</v>
      </c>
      <c r="G6087" t="s">
        <v>28675</v>
      </c>
      <c r="H6087" t="s">
        <v>9998</v>
      </c>
      <c r="I6087" t="s">
        <v>28695</v>
      </c>
      <c r="J6087" t="s">
        <v>29026</v>
      </c>
      <c r="K6087" t="s">
        <v>37209</v>
      </c>
      <c r="M6087" t="s">
        <v>39562</v>
      </c>
      <c r="N6087" t="s">
        <v>41249</v>
      </c>
      <c r="O6087" t="s">
        <v>41250</v>
      </c>
      <c r="P6087">
        <v>0</v>
      </c>
      <c r="Q6087">
        <v>0</v>
      </c>
      <c r="R6087" t="s">
        <v>41255</v>
      </c>
      <c r="S6087" t="s">
        <v>41442</v>
      </c>
      <c r="T6087" t="s">
        <v>42738</v>
      </c>
      <c r="U6087" t="s">
        <v>47924</v>
      </c>
      <c r="W6087" t="s">
        <v>39562</v>
      </c>
      <c r="X6087" t="s">
        <v>41256</v>
      </c>
    </row>
    <row r="6088" spans="1:24">
      <c r="A6088">
        <f>HYPERLINK("https://www.philgeps.gov.ph/GEPSNONPILOT/Tender/SplashBidNoticeAbstractUI.aspx?menuIndex=3&amp;refID=7072329&amp;Result=3","7072329")</f>
        <v>0</v>
      </c>
      <c r="B6088" t="s">
        <v>2044</v>
      </c>
      <c r="C6088" t="s">
        <v>9189</v>
      </c>
      <c r="D6088" t="s">
        <v>16611</v>
      </c>
      <c r="E6088" t="s">
        <v>22076</v>
      </c>
      <c r="F6088" t="s">
        <v>28669</v>
      </c>
      <c r="G6088" t="s">
        <v>28676</v>
      </c>
      <c r="H6088" t="s">
        <v>28685</v>
      </c>
      <c r="I6088" t="s">
        <v>28685</v>
      </c>
      <c r="J6088" t="s">
        <v>29364</v>
      </c>
      <c r="K6088" t="s">
        <v>37238</v>
      </c>
      <c r="M6088" t="s">
        <v>39684</v>
      </c>
      <c r="N6088" t="s">
        <v>41249</v>
      </c>
      <c r="O6088" t="s">
        <v>41250</v>
      </c>
      <c r="P6088">
        <v>0</v>
      </c>
      <c r="Q6088">
        <v>0</v>
      </c>
      <c r="R6088" t="s">
        <v>41255</v>
      </c>
      <c r="S6088" t="s">
        <v>41442</v>
      </c>
      <c r="T6088" t="s">
        <v>42675</v>
      </c>
      <c r="U6088" t="s">
        <v>48240</v>
      </c>
      <c r="V6088" t="s">
        <v>54943</v>
      </c>
      <c r="W6088" t="s">
        <v>39684</v>
      </c>
      <c r="X6088" t="s">
        <v>41256</v>
      </c>
    </row>
    <row r="6089" spans="1:24">
      <c r="A6089">
        <f>HYPERLINK("https://www.philgeps.gov.ph/GEPSNONPILOT/Tender/SplashBidNoticeAbstractUI.aspx?menuIndex=3&amp;refID=7071579&amp;Result=3","7071579")</f>
        <v>0</v>
      </c>
      <c r="B6089" t="s">
        <v>2045</v>
      </c>
      <c r="C6089" t="s">
        <v>9190</v>
      </c>
      <c r="D6089" t="s">
        <v>16652</v>
      </c>
      <c r="E6089" t="s">
        <v>21494</v>
      </c>
      <c r="F6089" t="s">
        <v>28669</v>
      </c>
      <c r="G6089" t="s">
        <v>28675</v>
      </c>
      <c r="H6089" t="s">
        <v>9998</v>
      </c>
      <c r="I6089" t="s">
        <v>28687</v>
      </c>
      <c r="J6089" t="s">
        <v>28826</v>
      </c>
      <c r="K6089" t="s">
        <v>37206</v>
      </c>
      <c r="M6089" t="s">
        <v>39685</v>
      </c>
      <c r="N6089" t="s">
        <v>41249</v>
      </c>
      <c r="O6089" t="s">
        <v>41250</v>
      </c>
      <c r="P6089">
        <v>0</v>
      </c>
      <c r="Q6089">
        <v>1</v>
      </c>
      <c r="R6089" t="s">
        <v>41256</v>
      </c>
      <c r="S6089" t="s">
        <v>41450</v>
      </c>
      <c r="T6089" t="s">
        <v>42808</v>
      </c>
      <c r="U6089" t="s">
        <v>48241</v>
      </c>
      <c r="W6089" t="s">
        <v>39685</v>
      </c>
      <c r="X6089" t="s">
        <v>41257</v>
      </c>
    </row>
    <row r="6090" spans="1:24">
      <c r="A6090">
        <f>HYPERLINK("https://www.philgeps.gov.ph/GEPSNONPILOT/Tender/SplashBidNoticeAbstractUI.aspx?menuIndex=3&amp;refID=7073152&amp;Result=3","7073152")</f>
        <v>0</v>
      </c>
      <c r="B6090" t="s">
        <v>1872</v>
      </c>
      <c r="C6090" t="s">
        <v>9191</v>
      </c>
      <c r="D6090" t="s">
        <v>16607</v>
      </c>
      <c r="E6090" t="s">
        <v>22077</v>
      </c>
      <c r="F6090" t="s">
        <v>28669</v>
      </c>
      <c r="G6090" t="s">
        <v>28675</v>
      </c>
      <c r="H6090" t="s">
        <v>9998</v>
      </c>
      <c r="I6090" t="s">
        <v>28717</v>
      </c>
      <c r="J6090" t="s">
        <v>30814</v>
      </c>
      <c r="K6090" t="s">
        <v>37206</v>
      </c>
      <c r="M6090" t="s">
        <v>39494</v>
      </c>
      <c r="N6090" t="s">
        <v>41249</v>
      </c>
      <c r="O6090" t="s">
        <v>41250</v>
      </c>
      <c r="P6090">
        <v>0</v>
      </c>
      <c r="Q6090">
        <v>11</v>
      </c>
      <c r="R6090" t="s">
        <v>41254</v>
      </c>
      <c r="S6090" t="s">
        <v>41425</v>
      </c>
      <c r="T6090" t="s">
        <v>42692</v>
      </c>
      <c r="U6090" t="s">
        <v>48242</v>
      </c>
      <c r="V6090" t="s">
        <v>54340</v>
      </c>
      <c r="W6090" t="s">
        <v>39494</v>
      </c>
      <c r="X6090" t="s">
        <v>41255</v>
      </c>
    </row>
    <row r="6091" spans="1:24">
      <c r="A6091">
        <f>HYPERLINK("https://www.philgeps.gov.ph/GEPSNONPILOT/Tender/SplashBidNoticeAbstractUI.aspx?menuIndex=3&amp;refID=7071571&amp;Result=3","7071571")</f>
        <v>0</v>
      </c>
      <c r="B6091" t="s">
        <v>2033</v>
      </c>
      <c r="C6091" t="s">
        <v>9192</v>
      </c>
      <c r="D6091" t="s">
        <v>16625</v>
      </c>
      <c r="E6091" t="s">
        <v>22078</v>
      </c>
      <c r="F6091" t="s">
        <v>28669</v>
      </c>
      <c r="G6091" t="s">
        <v>28675</v>
      </c>
      <c r="H6091" t="s">
        <v>9998</v>
      </c>
      <c r="I6091" t="s">
        <v>28710</v>
      </c>
      <c r="J6091" t="s">
        <v>32641</v>
      </c>
      <c r="K6091" t="s">
        <v>37210</v>
      </c>
      <c r="M6091" t="s">
        <v>39673</v>
      </c>
      <c r="N6091" t="s">
        <v>41249</v>
      </c>
      <c r="O6091" t="s">
        <v>41250</v>
      </c>
      <c r="P6091">
        <v>0</v>
      </c>
      <c r="Q6091">
        <v>0</v>
      </c>
      <c r="R6091" t="s">
        <v>41256</v>
      </c>
      <c r="S6091" t="s">
        <v>41450</v>
      </c>
      <c r="T6091" t="s">
        <v>42673</v>
      </c>
      <c r="U6091" t="s">
        <v>48243</v>
      </c>
      <c r="W6091" t="s">
        <v>39673</v>
      </c>
      <c r="X6091" t="s">
        <v>41257</v>
      </c>
    </row>
    <row r="6092" spans="1:24">
      <c r="A6092">
        <f>HYPERLINK("https://www.philgeps.gov.ph/GEPSNONPILOT/Tender/SplashBidNoticeAbstractUI.aspx?menuIndex=3&amp;refID=7071587&amp;Result=3","7071587")</f>
        <v>0</v>
      </c>
      <c r="B6092" t="s">
        <v>2046</v>
      </c>
      <c r="C6092" t="s">
        <v>9193</v>
      </c>
      <c r="D6092" t="s">
        <v>16643</v>
      </c>
      <c r="E6092" t="s">
        <v>22079</v>
      </c>
      <c r="F6092" t="s">
        <v>28669</v>
      </c>
      <c r="G6092" t="s">
        <v>28676</v>
      </c>
      <c r="H6092" t="s">
        <v>9998</v>
      </c>
      <c r="I6092" t="s">
        <v>28729</v>
      </c>
      <c r="J6092" t="s">
        <v>28879</v>
      </c>
      <c r="K6092" t="s">
        <v>37209</v>
      </c>
      <c r="M6092" t="s">
        <v>39686</v>
      </c>
      <c r="N6092" t="s">
        <v>41249</v>
      </c>
      <c r="O6092" t="s">
        <v>41250</v>
      </c>
      <c r="Q6092">
        <v>14</v>
      </c>
      <c r="R6092" t="s">
        <v>41256</v>
      </c>
      <c r="S6092" t="s">
        <v>41456</v>
      </c>
      <c r="T6092" t="s">
        <v>42701</v>
      </c>
      <c r="U6092" t="s">
        <v>48244</v>
      </c>
      <c r="W6092" t="s">
        <v>39686</v>
      </c>
      <c r="X6092" t="s">
        <v>41257</v>
      </c>
    </row>
    <row r="6093" spans="1:24">
      <c r="A6093">
        <f>HYPERLINK("https://www.philgeps.gov.ph/GEPSNONPILOT/Tender/SplashBidNoticeAbstractUI.aspx?menuIndex=3&amp;refID=7071585&amp;Result=3","7071585")</f>
        <v>0</v>
      </c>
      <c r="B6093" t="s">
        <v>1829</v>
      </c>
      <c r="C6093" t="s">
        <v>9194</v>
      </c>
      <c r="D6093" t="s">
        <v>16661</v>
      </c>
      <c r="E6093" t="s">
        <v>21444</v>
      </c>
      <c r="F6093" t="s">
        <v>28669</v>
      </c>
      <c r="G6093" t="s">
        <v>28677</v>
      </c>
      <c r="H6093" t="s">
        <v>9998</v>
      </c>
      <c r="I6093" t="s">
        <v>28695</v>
      </c>
      <c r="J6093" t="s">
        <v>32664</v>
      </c>
      <c r="K6093" t="s">
        <v>37210</v>
      </c>
      <c r="M6093" t="s">
        <v>39442</v>
      </c>
      <c r="N6093" t="s">
        <v>41249</v>
      </c>
      <c r="O6093" t="s">
        <v>41250</v>
      </c>
      <c r="P6093">
        <v>0</v>
      </c>
      <c r="Q6093">
        <v>1</v>
      </c>
      <c r="R6093" t="s">
        <v>41256</v>
      </c>
      <c r="S6093" t="s">
        <v>41450</v>
      </c>
      <c r="T6093" t="s">
        <v>42728</v>
      </c>
      <c r="U6093" t="s">
        <v>48245</v>
      </c>
      <c r="W6093" t="s">
        <v>39442</v>
      </c>
      <c r="X6093" t="s">
        <v>41257</v>
      </c>
    </row>
    <row r="6094" spans="1:24">
      <c r="A6094">
        <f>HYPERLINK("https://www.philgeps.gov.ph/GEPSNONPILOT/Tender/SplashBidNoticeAbstractUI.aspx?menuIndex=3&amp;refID=7071555&amp;Result=3","7071555")</f>
        <v>0</v>
      </c>
      <c r="B6094" t="s">
        <v>1327</v>
      </c>
      <c r="C6094" t="s">
        <v>9195</v>
      </c>
      <c r="D6094" t="s">
        <v>16627</v>
      </c>
      <c r="E6094" t="s">
        <v>22080</v>
      </c>
      <c r="F6094" t="s">
        <v>28669</v>
      </c>
      <c r="G6094" t="s">
        <v>28675</v>
      </c>
      <c r="H6094" t="s">
        <v>9998</v>
      </c>
      <c r="I6094" t="s">
        <v>28707</v>
      </c>
      <c r="J6094" t="s">
        <v>32665</v>
      </c>
      <c r="K6094" t="s">
        <v>37213</v>
      </c>
      <c r="M6094" t="s">
        <v>39006</v>
      </c>
      <c r="N6094" t="s">
        <v>41249</v>
      </c>
      <c r="O6094" t="s">
        <v>41250</v>
      </c>
      <c r="P6094">
        <v>0</v>
      </c>
      <c r="Q6094">
        <v>5</v>
      </c>
      <c r="R6094" t="s">
        <v>41256</v>
      </c>
      <c r="S6094" t="s">
        <v>41450</v>
      </c>
      <c r="T6094" t="s">
        <v>42765</v>
      </c>
      <c r="U6094" t="s">
        <v>48112</v>
      </c>
      <c r="W6094" t="s">
        <v>39006</v>
      </c>
      <c r="X6094" t="s">
        <v>41257</v>
      </c>
    </row>
    <row r="6095" spans="1:24">
      <c r="A6095">
        <f>HYPERLINK("https://www.philgeps.gov.ph/GEPSNONPILOT/Tender/SplashBidNoticeAbstractUI.aspx?menuIndex=3&amp;refID=7071550&amp;Result=3","7071550")</f>
        <v>0</v>
      </c>
      <c r="B6095" t="s">
        <v>1829</v>
      </c>
      <c r="C6095" t="s">
        <v>9196</v>
      </c>
      <c r="D6095" t="s">
        <v>16661</v>
      </c>
      <c r="E6095" t="s">
        <v>21444</v>
      </c>
      <c r="F6095" t="s">
        <v>28669</v>
      </c>
      <c r="G6095" t="s">
        <v>28677</v>
      </c>
      <c r="H6095" t="s">
        <v>9998</v>
      </c>
      <c r="I6095" t="s">
        <v>28704</v>
      </c>
      <c r="J6095" t="s">
        <v>29016</v>
      </c>
      <c r="K6095" t="s">
        <v>37210</v>
      </c>
      <c r="M6095" t="s">
        <v>39442</v>
      </c>
      <c r="N6095" t="s">
        <v>41249</v>
      </c>
      <c r="O6095" t="s">
        <v>41250</v>
      </c>
      <c r="P6095">
        <v>0</v>
      </c>
      <c r="Q6095">
        <v>0</v>
      </c>
      <c r="R6095" t="s">
        <v>41256</v>
      </c>
      <c r="S6095" t="s">
        <v>41450</v>
      </c>
      <c r="T6095" t="s">
        <v>42728</v>
      </c>
      <c r="U6095" t="s">
        <v>48246</v>
      </c>
      <c r="W6095" t="s">
        <v>39442</v>
      </c>
      <c r="X6095" t="s">
        <v>41257</v>
      </c>
    </row>
    <row r="6096" spans="1:24">
      <c r="A6096">
        <f>HYPERLINK("https://www.philgeps.gov.ph/GEPSNONPILOT/Tender/SplashBidNoticeAbstractUI.aspx?menuIndex=3&amp;refID=7071545&amp;Result=3","7071545")</f>
        <v>0</v>
      </c>
      <c r="B6096" t="s">
        <v>2037</v>
      </c>
      <c r="C6096" t="s">
        <v>9197</v>
      </c>
      <c r="D6096" t="s">
        <v>16646</v>
      </c>
      <c r="E6096" t="s">
        <v>22081</v>
      </c>
      <c r="F6096" t="s">
        <v>28669</v>
      </c>
      <c r="G6096" t="s">
        <v>28679</v>
      </c>
      <c r="H6096" t="s">
        <v>28686</v>
      </c>
      <c r="I6096" t="s">
        <v>28689</v>
      </c>
      <c r="J6096" t="s">
        <v>32666</v>
      </c>
      <c r="K6096" t="s">
        <v>37363</v>
      </c>
      <c r="M6096" t="s">
        <v>39677</v>
      </c>
      <c r="N6096" t="s">
        <v>41249</v>
      </c>
      <c r="O6096" t="s">
        <v>41250</v>
      </c>
      <c r="P6096">
        <v>0</v>
      </c>
      <c r="Q6096">
        <v>0</v>
      </c>
      <c r="R6096" t="s">
        <v>41256</v>
      </c>
      <c r="S6096" t="s">
        <v>41450</v>
      </c>
      <c r="T6096" t="s">
        <v>42701</v>
      </c>
      <c r="U6096" t="s">
        <v>48247</v>
      </c>
      <c r="W6096" t="s">
        <v>55977</v>
      </c>
      <c r="X6096" t="s">
        <v>41257</v>
      </c>
    </row>
    <row r="6097" spans="1:24">
      <c r="A6097">
        <f>HYPERLINK("https://www.philgeps.gov.ph/GEPSNONPILOT/Tender/SplashBidNoticeAbstractUI.aspx?menuIndex=3&amp;refID=7071542&amp;Result=3","7071542")</f>
        <v>0</v>
      </c>
      <c r="B6097" t="s">
        <v>2034</v>
      </c>
      <c r="C6097" t="s">
        <v>9161</v>
      </c>
      <c r="D6097" t="s">
        <v>16650</v>
      </c>
      <c r="E6097" t="s">
        <v>22082</v>
      </c>
      <c r="F6097" t="s">
        <v>28669</v>
      </c>
      <c r="G6097" t="s">
        <v>28676</v>
      </c>
      <c r="H6097" t="s">
        <v>9998</v>
      </c>
      <c r="I6097" t="s">
        <v>6458</v>
      </c>
      <c r="J6097" t="s">
        <v>32667</v>
      </c>
      <c r="K6097" t="s">
        <v>37210</v>
      </c>
      <c r="M6097" t="s">
        <v>39674</v>
      </c>
      <c r="N6097" t="s">
        <v>41249</v>
      </c>
      <c r="O6097" t="s">
        <v>41250</v>
      </c>
      <c r="P6097">
        <v>0</v>
      </c>
      <c r="Q6097">
        <v>3</v>
      </c>
      <c r="R6097" t="s">
        <v>41256</v>
      </c>
      <c r="S6097" t="s">
        <v>41450</v>
      </c>
      <c r="T6097" t="s">
        <v>42767</v>
      </c>
      <c r="U6097" t="s">
        <v>48248</v>
      </c>
      <c r="W6097" t="s">
        <v>39674</v>
      </c>
      <c r="X6097" t="s">
        <v>41257</v>
      </c>
    </row>
    <row r="6098" spans="1:24">
      <c r="A6098">
        <f>HYPERLINK("https://www.philgeps.gov.ph/GEPSNONPILOT/Tender/SplashBidNoticeAbstractUI.aspx?menuIndex=3&amp;refID=7071541&amp;Result=3","7071541")</f>
        <v>0</v>
      </c>
      <c r="B6098" t="s">
        <v>2046</v>
      </c>
      <c r="C6098" t="s">
        <v>9198</v>
      </c>
      <c r="D6098" t="s">
        <v>16643</v>
      </c>
      <c r="E6098" t="s">
        <v>22083</v>
      </c>
      <c r="F6098" t="s">
        <v>28669</v>
      </c>
      <c r="G6098" t="s">
        <v>28676</v>
      </c>
      <c r="H6098" t="s">
        <v>9998</v>
      </c>
      <c r="I6098" t="s">
        <v>28796</v>
      </c>
      <c r="J6098" t="s">
        <v>29040</v>
      </c>
      <c r="K6098" t="s">
        <v>37227</v>
      </c>
      <c r="M6098" t="s">
        <v>39686</v>
      </c>
      <c r="N6098" t="s">
        <v>41249</v>
      </c>
      <c r="O6098" t="s">
        <v>41250</v>
      </c>
      <c r="Q6098">
        <v>5</v>
      </c>
      <c r="R6098" t="s">
        <v>41256</v>
      </c>
      <c r="S6098" t="s">
        <v>41429</v>
      </c>
      <c r="T6098" t="s">
        <v>42701</v>
      </c>
      <c r="U6098" t="s">
        <v>48244</v>
      </c>
      <c r="W6098" t="s">
        <v>39686</v>
      </c>
      <c r="X6098" t="s">
        <v>41257</v>
      </c>
    </row>
    <row r="6099" spans="1:24">
      <c r="A6099">
        <f>HYPERLINK("https://www.philgeps.gov.ph/GEPSNONPILOT/Tender/SplashBidNoticeAbstractUI.aspx?menuIndex=3&amp;refID=7071562&amp;Result=3","7071562")</f>
        <v>0</v>
      </c>
      <c r="B6099" t="s">
        <v>2047</v>
      </c>
      <c r="C6099" t="s">
        <v>9199</v>
      </c>
      <c r="D6099" t="s">
        <v>16648</v>
      </c>
      <c r="E6099" t="s">
        <v>22084</v>
      </c>
      <c r="F6099" t="s">
        <v>28669</v>
      </c>
      <c r="G6099" t="s">
        <v>28679</v>
      </c>
      <c r="H6099" t="s">
        <v>9998</v>
      </c>
      <c r="I6099" t="s">
        <v>7352</v>
      </c>
      <c r="J6099" t="s">
        <v>32668</v>
      </c>
      <c r="K6099" t="s">
        <v>37205</v>
      </c>
      <c r="M6099" t="s">
        <v>39687</v>
      </c>
      <c r="N6099" t="s">
        <v>41249</v>
      </c>
      <c r="O6099" t="s">
        <v>41250</v>
      </c>
      <c r="P6099">
        <v>0</v>
      </c>
      <c r="Q6099">
        <v>0</v>
      </c>
      <c r="R6099" t="s">
        <v>41256</v>
      </c>
      <c r="S6099" t="s">
        <v>41450</v>
      </c>
      <c r="T6099" t="s">
        <v>42743</v>
      </c>
      <c r="U6099" t="s">
        <v>48249</v>
      </c>
      <c r="V6099" t="s">
        <v>54944</v>
      </c>
      <c r="W6099" t="s">
        <v>39687</v>
      </c>
      <c r="X6099" t="s">
        <v>41257</v>
      </c>
    </row>
    <row r="6100" spans="1:24">
      <c r="A6100">
        <f>HYPERLINK("https://www.philgeps.gov.ph/GEPSNONPILOT/Tender/SplashBidNoticeAbstractUI.aspx?menuIndex=3&amp;refID=7071560&amp;Result=3","7071560")</f>
        <v>0</v>
      </c>
      <c r="B6100" t="s">
        <v>1340</v>
      </c>
      <c r="C6100" t="s">
        <v>9200</v>
      </c>
      <c r="D6100" t="s">
        <v>16621</v>
      </c>
      <c r="E6100" t="s">
        <v>22085</v>
      </c>
      <c r="F6100" t="s">
        <v>28669</v>
      </c>
      <c r="G6100" t="s">
        <v>28676</v>
      </c>
      <c r="H6100" t="s">
        <v>9998</v>
      </c>
      <c r="I6100" t="s">
        <v>6128</v>
      </c>
      <c r="J6100" t="s">
        <v>32669</v>
      </c>
      <c r="K6100" t="s">
        <v>37227</v>
      </c>
      <c r="M6100" t="s">
        <v>38895</v>
      </c>
      <c r="N6100" t="s">
        <v>41249</v>
      </c>
      <c r="O6100" t="s">
        <v>41250</v>
      </c>
      <c r="P6100">
        <v>0</v>
      </c>
      <c r="Q6100">
        <v>0</v>
      </c>
      <c r="R6100" t="s">
        <v>41256</v>
      </c>
      <c r="S6100" t="s">
        <v>41450</v>
      </c>
      <c r="T6100" t="s">
        <v>42679</v>
      </c>
      <c r="U6100" t="s">
        <v>48250</v>
      </c>
      <c r="W6100" t="s">
        <v>38895</v>
      </c>
      <c r="X6100" t="s">
        <v>41257</v>
      </c>
    </row>
    <row r="6101" spans="1:24">
      <c r="A6101">
        <f>HYPERLINK("https://www.philgeps.gov.ph/GEPSNONPILOT/Tender/SplashBidNoticeAbstractUI.aspx?menuIndex=3&amp;refID=7071526&amp;Result=3","7071526")</f>
        <v>0</v>
      </c>
      <c r="B6101" t="s">
        <v>1829</v>
      </c>
      <c r="C6101" t="s">
        <v>9201</v>
      </c>
      <c r="D6101" t="s">
        <v>16661</v>
      </c>
      <c r="E6101" t="s">
        <v>21444</v>
      </c>
      <c r="F6101" t="s">
        <v>28669</v>
      </c>
      <c r="G6101" t="s">
        <v>28677</v>
      </c>
      <c r="H6101" t="s">
        <v>9998</v>
      </c>
      <c r="I6101" t="s">
        <v>28754</v>
      </c>
      <c r="J6101" t="s">
        <v>32670</v>
      </c>
      <c r="K6101" t="s">
        <v>37210</v>
      </c>
      <c r="M6101" t="s">
        <v>39442</v>
      </c>
      <c r="N6101" t="s">
        <v>41249</v>
      </c>
      <c r="O6101" t="s">
        <v>41250</v>
      </c>
      <c r="P6101">
        <v>0</v>
      </c>
      <c r="Q6101">
        <v>0</v>
      </c>
      <c r="R6101" t="s">
        <v>41256</v>
      </c>
      <c r="S6101" t="s">
        <v>41450</v>
      </c>
      <c r="T6101" t="s">
        <v>42728</v>
      </c>
      <c r="U6101" t="s">
        <v>48251</v>
      </c>
      <c r="W6101" t="s">
        <v>39442</v>
      </c>
      <c r="X6101" t="s">
        <v>41257</v>
      </c>
    </row>
    <row r="6102" spans="1:24">
      <c r="A6102">
        <f>HYPERLINK("https://www.philgeps.gov.ph/GEPSNONPILOT/Tender/SplashBidNoticeAbstractUI.aspx?menuIndex=3&amp;refID=7071558&amp;Result=3","7071558")</f>
        <v>0</v>
      </c>
      <c r="B6102" t="s">
        <v>947</v>
      </c>
      <c r="C6102" t="s">
        <v>9202</v>
      </c>
      <c r="D6102" t="s">
        <v>16631</v>
      </c>
      <c r="E6102" t="s">
        <v>22086</v>
      </c>
      <c r="F6102" t="s">
        <v>28669</v>
      </c>
      <c r="G6102" t="s">
        <v>28676</v>
      </c>
      <c r="H6102" t="s">
        <v>28684</v>
      </c>
      <c r="I6102" t="s">
        <v>28725</v>
      </c>
      <c r="J6102" t="s">
        <v>28826</v>
      </c>
      <c r="K6102" t="s">
        <v>37206</v>
      </c>
      <c r="M6102" t="s">
        <v>38471</v>
      </c>
      <c r="N6102" t="s">
        <v>41249</v>
      </c>
      <c r="O6102" t="s">
        <v>41250</v>
      </c>
      <c r="P6102">
        <v>0</v>
      </c>
      <c r="Q6102">
        <v>1</v>
      </c>
      <c r="R6102" t="s">
        <v>41256</v>
      </c>
      <c r="S6102" t="s">
        <v>41450</v>
      </c>
      <c r="T6102" t="s">
        <v>42736</v>
      </c>
      <c r="U6102" t="s">
        <v>48252</v>
      </c>
      <c r="V6102" t="s">
        <v>54917</v>
      </c>
      <c r="W6102" t="s">
        <v>38471</v>
      </c>
      <c r="X6102" t="s">
        <v>41257</v>
      </c>
    </row>
    <row r="6103" spans="1:24">
      <c r="A6103">
        <f>HYPERLINK("https://www.philgeps.gov.ph/GEPSNONPILOT/Tender/SplashBidNoticeAbstractUI.aspx?menuIndex=3&amp;refID=7071524&amp;Result=3","7071524")</f>
        <v>0</v>
      </c>
      <c r="B6103" t="s">
        <v>947</v>
      </c>
      <c r="C6103" t="s">
        <v>9203</v>
      </c>
      <c r="D6103" t="s">
        <v>16631</v>
      </c>
      <c r="E6103" t="s">
        <v>22087</v>
      </c>
      <c r="F6103" t="s">
        <v>28669</v>
      </c>
      <c r="G6103" t="s">
        <v>28676</v>
      </c>
      <c r="H6103" t="s">
        <v>28684</v>
      </c>
      <c r="I6103" t="s">
        <v>28744</v>
      </c>
      <c r="J6103" t="s">
        <v>32671</v>
      </c>
      <c r="K6103" t="s">
        <v>37220</v>
      </c>
      <c r="M6103" t="s">
        <v>38471</v>
      </c>
      <c r="N6103" t="s">
        <v>41249</v>
      </c>
      <c r="O6103" t="s">
        <v>41250</v>
      </c>
      <c r="P6103">
        <v>0</v>
      </c>
      <c r="Q6103">
        <v>1</v>
      </c>
      <c r="R6103" t="s">
        <v>41256</v>
      </c>
      <c r="S6103" t="s">
        <v>41450</v>
      </c>
      <c r="T6103" t="s">
        <v>42736</v>
      </c>
      <c r="U6103" t="s">
        <v>48253</v>
      </c>
      <c r="V6103" t="s">
        <v>54917</v>
      </c>
      <c r="W6103" t="s">
        <v>38471</v>
      </c>
      <c r="X6103" t="s">
        <v>41257</v>
      </c>
    </row>
    <row r="6104" spans="1:24">
      <c r="A6104">
        <f>HYPERLINK("https://www.philgeps.gov.ph/GEPSNONPILOT/Tender/SplashBidNoticeAbstractUI.aspx?menuIndex=3&amp;refID=7071647&amp;Result=3","7071647")</f>
        <v>0</v>
      </c>
      <c r="B6104" t="s">
        <v>2048</v>
      </c>
      <c r="C6104" t="s">
        <v>9204</v>
      </c>
      <c r="D6104" t="s">
        <v>16641</v>
      </c>
      <c r="E6104" t="s">
        <v>17189</v>
      </c>
      <c r="F6104" t="s">
        <v>28669</v>
      </c>
      <c r="G6104" t="s">
        <v>28675</v>
      </c>
      <c r="H6104" t="s">
        <v>9998</v>
      </c>
      <c r="I6104" t="s">
        <v>28687</v>
      </c>
      <c r="J6104" t="s">
        <v>30227</v>
      </c>
      <c r="K6104" t="s">
        <v>37209</v>
      </c>
      <c r="M6104" t="s">
        <v>39688</v>
      </c>
      <c r="N6104" t="s">
        <v>41249</v>
      </c>
      <c r="O6104" t="s">
        <v>41250</v>
      </c>
      <c r="P6104">
        <v>0</v>
      </c>
      <c r="Q6104">
        <v>3</v>
      </c>
      <c r="R6104" t="s">
        <v>41256</v>
      </c>
      <c r="S6104" t="s">
        <v>41450</v>
      </c>
      <c r="T6104" t="s">
        <v>42716</v>
      </c>
      <c r="U6104" t="s">
        <v>48254</v>
      </c>
      <c r="V6104" t="s">
        <v>54945</v>
      </c>
      <c r="W6104" t="s">
        <v>39688</v>
      </c>
      <c r="X6104" t="s">
        <v>41257</v>
      </c>
    </row>
    <row r="6105" spans="1:24">
      <c r="A6105">
        <f>HYPERLINK("https://www.philgeps.gov.ph/GEPSNONPILOT/Tender/SplashBidNoticeAbstractUI.aspx?menuIndex=3&amp;refID=7071576&amp;Result=3","7071576")</f>
        <v>0</v>
      </c>
      <c r="B6105" t="s">
        <v>659</v>
      </c>
      <c r="C6105" t="s">
        <v>9205</v>
      </c>
      <c r="D6105" t="s">
        <v>16643</v>
      </c>
      <c r="E6105" t="s">
        <v>22088</v>
      </c>
      <c r="F6105" t="s">
        <v>28669</v>
      </c>
      <c r="G6105" t="s">
        <v>28676</v>
      </c>
      <c r="H6105" t="s">
        <v>9998</v>
      </c>
      <c r="I6105" t="s">
        <v>28775</v>
      </c>
      <c r="J6105" t="s">
        <v>32672</v>
      </c>
      <c r="K6105" t="s">
        <v>37204</v>
      </c>
      <c r="M6105" t="s">
        <v>38161</v>
      </c>
      <c r="N6105" t="s">
        <v>41249</v>
      </c>
      <c r="O6105" t="s">
        <v>41250</v>
      </c>
      <c r="P6105">
        <v>0</v>
      </c>
      <c r="Q6105">
        <v>0</v>
      </c>
      <c r="R6105" t="s">
        <v>41256</v>
      </c>
      <c r="S6105" t="s">
        <v>41450</v>
      </c>
      <c r="T6105" t="s">
        <v>42736</v>
      </c>
      <c r="U6105" t="s">
        <v>45489</v>
      </c>
      <c r="W6105" t="s">
        <v>55925</v>
      </c>
      <c r="X6105" t="s">
        <v>41257</v>
      </c>
    </row>
    <row r="6106" spans="1:24">
      <c r="A6106">
        <f>HYPERLINK("https://www.philgeps.gov.ph/GEPSNONPILOT/Tender/SplashBidNoticeAbstractUI.aspx?menuIndex=3&amp;refID=7071539&amp;Result=3","7071539")</f>
        <v>0</v>
      </c>
      <c r="B6106" t="s">
        <v>2033</v>
      </c>
      <c r="C6106" t="s">
        <v>9206</v>
      </c>
      <c r="D6106" t="s">
        <v>16625</v>
      </c>
      <c r="E6106" t="s">
        <v>22089</v>
      </c>
      <c r="F6106" t="s">
        <v>28669</v>
      </c>
      <c r="G6106" t="s">
        <v>28675</v>
      </c>
      <c r="H6106" t="s">
        <v>9998</v>
      </c>
      <c r="I6106" t="s">
        <v>28710</v>
      </c>
      <c r="J6106" t="s">
        <v>32641</v>
      </c>
      <c r="K6106" t="s">
        <v>37210</v>
      </c>
      <c r="M6106" t="s">
        <v>39673</v>
      </c>
      <c r="N6106" t="s">
        <v>41249</v>
      </c>
      <c r="O6106" t="s">
        <v>41250</v>
      </c>
      <c r="P6106">
        <v>0</v>
      </c>
      <c r="Q6106">
        <v>1</v>
      </c>
      <c r="R6106" t="s">
        <v>41256</v>
      </c>
      <c r="S6106" t="s">
        <v>41450</v>
      </c>
      <c r="T6106" t="s">
        <v>42673</v>
      </c>
      <c r="U6106" t="s">
        <v>48204</v>
      </c>
      <c r="W6106" t="s">
        <v>39673</v>
      </c>
      <c r="X6106" t="s">
        <v>41257</v>
      </c>
    </row>
    <row r="6107" spans="1:24">
      <c r="A6107">
        <f>HYPERLINK("https://www.philgeps.gov.ph/GEPSNONPILOT/Tender/SplashBidNoticeAbstractUI.aspx?menuIndex=3&amp;refID=7071625&amp;Result=3","7071625")</f>
        <v>0</v>
      </c>
      <c r="B6107" t="s">
        <v>2046</v>
      </c>
      <c r="C6107" t="s">
        <v>9207</v>
      </c>
      <c r="D6107" t="s">
        <v>16643</v>
      </c>
      <c r="E6107" t="s">
        <v>22090</v>
      </c>
      <c r="F6107" t="s">
        <v>28669</v>
      </c>
      <c r="G6107" t="s">
        <v>28677</v>
      </c>
      <c r="H6107" t="s">
        <v>9998</v>
      </c>
      <c r="I6107" t="s">
        <v>3658</v>
      </c>
      <c r="J6107" t="s">
        <v>28912</v>
      </c>
      <c r="K6107" t="s">
        <v>37206</v>
      </c>
      <c r="M6107" t="s">
        <v>39686</v>
      </c>
      <c r="N6107" t="s">
        <v>41249</v>
      </c>
      <c r="O6107" t="s">
        <v>41250</v>
      </c>
      <c r="P6107">
        <v>0</v>
      </c>
      <c r="Q6107">
        <v>4</v>
      </c>
      <c r="R6107" t="s">
        <v>41256</v>
      </c>
      <c r="S6107" t="s">
        <v>41450</v>
      </c>
      <c r="T6107" t="s">
        <v>42883</v>
      </c>
      <c r="U6107" t="s">
        <v>48244</v>
      </c>
      <c r="W6107" t="s">
        <v>39686</v>
      </c>
      <c r="X6107" t="s">
        <v>41257</v>
      </c>
    </row>
    <row r="6108" spans="1:24">
      <c r="A6108">
        <f>HYPERLINK("https://www.philgeps.gov.ph/GEPSNONPILOT/Tender/SplashBidNoticeAbstractUI.aspx?menuIndex=3&amp;refID=7071636&amp;Result=3","7071636")</f>
        <v>0</v>
      </c>
      <c r="B6108" t="s">
        <v>2049</v>
      </c>
      <c r="C6108" t="s">
        <v>9208</v>
      </c>
      <c r="D6108" t="s">
        <v>16648</v>
      </c>
      <c r="E6108" t="s">
        <v>22091</v>
      </c>
      <c r="F6108" t="s">
        <v>28669</v>
      </c>
      <c r="G6108" t="s">
        <v>28675</v>
      </c>
      <c r="H6108" t="s">
        <v>9998</v>
      </c>
      <c r="I6108" t="s">
        <v>6128</v>
      </c>
      <c r="J6108" t="s">
        <v>30056</v>
      </c>
      <c r="K6108" t="s">
        <v>37209</v>
      </c>
      <c r="M6108" t="s">
        <v>39689</v>
      </c>
      <c r="N6108" t="s">
        <v>41249</v>
      </c>
      <c r="O6108" t="s">
        <v>41250</v>
      </c>
      <c r="P6108">
        <v>0</v>
      </c>
      <c r="Q6108">
        <v>0</v>
      </c>
      <c r="R6108" t="s">
        <v>41256</v>
      </c>
      <c r="S6108" t="s">
        <v>41450</v>
      </c>
      <c r="T6108" t="s">
        <v>42754</v>
      </c>
      <c r="U6108" t="s">
        <v>48255</v>
      </c>
      <c r="W6108" t="s">
        <v>39689</v>
      </c>
      <c r="X6108" t="s">
        <v>41257</v>
      </c>
    </row>
    <row r="6109" spans="1:24">
      <c r="A6109">
        <f>HYPERLINK("https://www.philgeps.gov.ph/GEPSNONPILOT/Tender/SplashBidNoticeAbstractUI.aspx?menuIndex=3&amp;refID=7071635&amp;Result=3","7071635")</f>
        <v>0</v>
      </c>
      <c r="B6109" t="s">
        <v>2033</v>
      </c>
      <c r="C6109" t="s">
        <v>9209</v>
      </c>
      <c r="D6109" t="s">
        <v>16625</v>
      </c>
      <c r="E6109" t="s">
        <v>22092</v>
      </c>
      <c r="F6109" t="s">
        <v>28669</v>
      </c>
      <c r="G6109" t="s">
        <v>28675</v>
      </c>
      <c r="H6109" t="s">
        <v>9998</v>
      </c>
      <c r="I6109" t="s">
        <v>28710</v>
      </c>
      <c r="J6109" t="s">
        <v>32673</v>
      </c>
      <c r="K6109" t="s">
        <v>37289</v>
      </c>
      <c r="M6109" t="s">
        <v>39673</v>
      </c>
      <c r="N6109" t="s">
        <v>41249</v>
      </c>
      <c r="O6109" t="s">
        <v>41250</v>
      </c>
      <c r="P6109">
        <v>0</v>
      </c>
      <c r="Q6109">
        <v>1</v>
      </c>
      <c r="R6109" t="s">
        <v>41256</v>
      </c>
      <c r="S6109" t="s">
        <v>41450</v>
      </c>
      <c r="T6109" t="s">
        <v>42673</v>
      </c>
      <c r="U6109" t="s">
        <v>48256</v>
      </c>
      <c r="W6109" t="s">
        <v>39673</v>
      </c>
      <c r="X6109" t="s">
        <v>41257</v>
      </c>
    </row>
    <row r="6110" spans="1:24">
      <c r="A6110">
        <f>HYPERLINK("https://www.philgeps.gov.ph/GEPSNONPILOT/Tender/SplashBidNoticeAbstractUI.aspx?menuIndex=3&amp;refID=7071631&amp;Result=3","7071631")</f>
        <v>0</v>
      </c>
      <c r="B6110" t="s">
        <v>1829</v>
      </c>
      <c r="C6110" t="s">
        <v>9210</v>
      </c>
      <c r="D6110" t="s">
        <v>16661</v>
      </c>
      <c r="E6110" t="s">
        <v>21444</v>
      </c>
      <c r="F6110" t="s">
        <v>28669</v>
      </c>
      <c r="G6110" t="s">
        <v>28677</v>
      </c>
      <c r="H6110" t="s">
        <v>9998</v>
      </c>
      <c r="I6110" t="s">
        <v>28704</v>
      </c>
      <c r="J6110" t="s">
        <v>32674</v>
      </c>
      <c r="K6110" t="s">
        <v>37210</v>
      </c>
      <c r="M6110" t="s">
        <v>39442</v>
      </c>
      <c r="N6110" t="s">
        <v>41249</v>
      </c>
      <c r="O6110" t="s">
        <v>41250</v>
      </c>
      <c r="P6110">
        <v>0</v>
      </c>
      <c r="Q6110">
        <v>0</v>
      </c>
      <c r="R6110" t="s">
        <v>41256</v>
      </c>
      <c r="S6110" t="s">
        <v>41450</v>
      </c>
      <c r="T6110" t="s">
        <v>42728</v>
      </c>
      <c r="U6110" t="s">
        <v>48257</v>
      </c>
      <c r="W6110" t="s">
        <v>39442</v>
      </c>
      <c r="X6110" t="s">
        <v>41257</v>
      </c>
    </row>
    <row r="6111" spans="1:24">
      <c r="A6111">
        <f>HYPERLINK("https://www.philgeps.gov.ph/GEPSNONPILOT/Tender/SplashBidNoticeAbstractUI.aspx?menuIndex=3&amp;refID=7071620&amp;Result=3","7071620")</f>
        <v>0</v>
      </c>
      <c r="B6111" t="s">
        <v>2049</v>
      </c>
      <c r="C6111" t="s">
        <v>9211</v>
      </c>
      <c r="D6111" t="s">
        <v>16648</v>
      </c>
      <c r="E6111" t="s">
        <v>22093</v>
      </c>
      <c r="F6111" t="s">
        <v>28669</v>
      </c>
      <c r="G6111" t="s">
        <v>28675</v>
      </c>
      <c r="H6111" t="s">
        <v>9998</v>
      </c>
      <c r="I6111" t="s">
        <v>6128</v>
      </c>
      <c r="J6111" t="s">
        <v>32675</v>
      </c>
      <c r="K6111" t="s">
        <v>37209</v>
      </c>
      <c r="M6111" t="s">
        <v>39689</v>
      </c>
      <c r="N6111" t="s">
        <v>41249</v>
      </c>
      <c r="O6111" t="s">
        <v>41250</v>
      </c>
      <c r="P6111">
        <v>0</v>
      </c>
      <c r="Q6111">
        <v>0</v>
      </c>
      <c r="R6111" t="s">
        <v>41256</v>
      </c>
      <c r="S6111" t="s">
        <v>41450</v>
      </c>
      <c r="T6111" t="s">
        <v>42754</v>
      </c>
      <c r="U6111" t="s">
        <v>48255</v>
      </c>
      <c r="W6111" t="s">
        <v>39689</v>
      </c>
      <c r="X6111" t="s">
        <v>41257</v>
      </c>
    </row>
    <row r="6112" spans="1:24">
      <c r="A6112">
        <f>HYPERLINK("https://www.philgeps.gov.ph/GEPSNONPILOT/Tender/SplashBidNoticeAbstractUI.aspx?menuIndex=3&amp;refID=7071618&amp;Result=3","7071618")</f>
        <v>0</v>
      </c>
      <c r="B6112" t="s">
        <v>1327</v>
      </c>
      <c r="C6112" t="s">
        <v>9212</v>
      </c>
      <c r="D6112" t="s">
        <v>16627</v>
      </c>
      <c r="E6112" t="s">
        <v>22094</v>
      </c>
      <c r="F6112" t="s">
        <v>28669</v>
      </c>
      <c r="G6112" t="s">
        <v>28675</v>
      </c>
      <c r="H6112" t="s">
        <v>9998</v>
      </c>
      <c r="I6112" t="s">
        <v>28707</v>
      </c>
      <c r="J6112" t="s">
        <v>32676</v>
      </c>
      <c r="K6112" t="s">
        <v>37213</v>
      </c>
      <c r="M6112" t="s">
        <v>39006</v>
      </c>
      <c r="N6112" t="s">
        <v>41249</v>
      </c>
      <c r="O6112" t="s">
        <v>41250</v>
      </c>
      <c r="P6112">
        <v>0</v>
      </c>
      <c r="Q6112">
        <v>7</v>
      </c>
      <c r="R6112" t="s">
        <v>41256</v>
      </c>
      <c r="S6112" t="s">
        <v>41450</v>
      </c>
      <c r="T6112" t="s">
        <v>42765</v>
      </c>
      <c r="U6112" t="s">
        <v>48112</v>
      </c>
      <c r="W6112" t="s">
        <v>39006</v>
      </c>
      <c r="X6112" t="s">
        <v>41257</v>
      </c>
    </row>
    <row r="6113" spans="1:24">
      <c r="A6113">
        <f>HYPERLINK("https://www.philgeps.gov.ph/GEPSNONPILOT/Tender/SplashBidNoticeAbstractUI.aspx?menuIndex=3&amp;refID=7071630&amp;Result=3","7071630")</f>
        <v>0</v>
      </c>
      <c r="B6113" t="s">
        <v>2016</v>
      </c>
      <c r="C6113" t="s">
        <v>9213</v>
      </c>
      <c r="D6113" t="s">
        <v>16608</v>
      </c>
      <c r="E6113" t="s">
        <v>22095</v>
      </c>
      <c r="F6113" t="s">
        <v>28669</v>
      </c>
      <c r="G6113" t="s">
        <v>28678</v>
      </c>
      <c r="H6113" t="s">
        <v>9998</v>
      </c>
      <c r="I6113" t="s">
        <v>28717</v>
      </c>
      <c r="J6113" t="s">
        <v>29899</v>
      </c>
      <c r="K6113" t="s">
        <v>37205</v>
      </c>
      <c r="M6113" t="s">
        <v>39654</v>
      </c>
      <c r="N6113" t="s">
        <v>41249</v>
      </c>
      <c r="O6113" t="s">
        <v>41250</v>
      </c>
      <c r="P6113">
        <v>0</v>
      </c>
      <c r="Q6113">
        <v>6</v>
      </c>
      <c r="R6113" t="s">
        <v>41256</v>
      </c>
      <c r="S6113" t="s">
        <v>41450</v>
      </c>
      <c r="T6113" t="s">
        <v>42758</v>
      </c>
      <c r="U6113" t="s">
        <v>48258</v>
      </c>
      <c r="W6113" t="s">
        <v>39654</v>
      </c>
      <c r="X6113" t="s">
        <v>41257</v>
      </c>
    </row>
    <row r="6114" spans="1:24">
      <c r="A6114">
        <f>HYPERLINK("https://www.philgeps.gov.ph/GEPSNONPILOT/Tender/SplashBidNoticeAbstractUI.aspx?menuIndex=3&amp;refID=7071617&amp;Result=3","7071617")</f>
        <v>0</v>
      </c>
      <c r="B6114" t="s">
        <v>2050</v>
      </c>
      <c r="C6114" t="s">
        <v>9214</v>
      </c>
      <c r="D6114" t="s">
        <v>16654</v>
      </c>
      <c r="E6114" t="s">
        <v>22096</v>
      </c>
      <c r="F6114" t="s">
        <v>28669</v>
      </c>
      <c r="G6114" t="s">
        <v>28676</v>
      </c>
      <c r="H6114" t="s">
        <v>9998</v>
      </c>
      <c r="I6114" t="s">
        <v>28695</v>
      </c>
      <c r="J6114" t="s">
        <v>29114</v>
      </c>
      <c r="K6114" t="s">
        <v>37243</v>
      </c>
      <c r="M6114" t="s">
        <v>39690</v>
      </c>
      <c r="N6114" t="s">
        <v>41249</v>
      </c>
      <c r="O6114" t="s">
        <v>41250</v>
      </c>
      <c r="P6114">
        <v>0</v>
      </c>
      <c r="Q6114">
        <v>0</v>
      </c>
      <c r="R6114" t="s">
        <v>41256</v>
      </c>
      <c r="S6114" t="s">
        <v>41450</v>
      </c>
      <c r="T6114" t="s">
        <v>42717</v>
      </c>
      <c r="U6114" t="s">
        <v>48259</v>
      </c>
      <c r="W6114" t="s">
        <v>39690</v>
      </c>
      <c r="X6114" t="s">
        <v>41257</v>
      </c>
    </row>
    <row r="6115" spans="1:24">
      <c r="A6115">
        <f>HYPERLINK("https://www.philgeps.gov.ph/GEPSNONPILOT/Tender/SplashBidNoticeAbstractUI.aspx?menuIndex=3&amp;refID=7071607&amp;Result=3","7071607")</f>
        <v>0</v>
      </c>
      <c r="B6115" t="s">
        <v>2051</v>
      </c>
      <c r="C6115" t="s">
        <v>9215</v>
      </c>
      <c r="D6115" t="s">
        <v>16648</v>
      </c>
      <c r="E6115" t="s">
        <v>22097</v>
      </c>
      <c r="F6115" t="s">
        <v>28669</v>
      </c>
      <c r="G6115" t="s">
        <v>28680</v>
      </c>
      <c r="H6115" t="s">
        <v>9998</v>
      </c>
      <c r="I6115" t="s">
        <v>28722</v>
      </c>
      <c r="J6115" t="s">
        <v>32677</v>
      </c>
      <c r="K6115" t="s">
        <v>37204</v>
      </c>
      <c r="M6115" t="s">
        <v>39691</v>
      </c>
      <c r="N6115" t="s">
        <v>41249</v>
      </c>
      <c r="O6115" t="s">
        <v>41250</v>
      </c>
      <c r="P6115">
        <v>0</v>
      </c>
      <c r="Q6115">
        <v>0</v>
      </c>
      <c r="R6115" t="s">
        <v>41256</v>
      </c>
      <c r="S6115" t="s">
        <v>41450</v>
      </c>
      <c r="T6115" t="s">
        <v>42758</v>
      </c>
      <c r="U6115" t="s">
        <v>48260</v>
      </c>
      <c r="V6115" t="s">
        <v>54946</v>
      </c>
      <c r="W6115" t="s">
        <v>39691</v>
      </c>
      <c r="X6115" t="s">
        <v>41257</v>
      </c>
    </row>
    <row r="6116" spans="1:24">
      <c r="A6116">
        <f>HYPERLINK("https://www.philgeps.gov.ph/GEPSNONPILOT/Tender/SplashBidNoticeAbstractUI.aspx?menuIndex=3&amp;refID=7071690&amp;Result=3","7071690")</f>
        <v>0</v>
      </c>
      <c r="B6116" t="s">
        <v>1829</v>
      </c>
      <c r="C6116" t="s">
        <v>9216</v>
      </c>
      <c r="D6116" t="s">
        <v>16661</v>
      </c>
      <c r="E6116" t="s">
        <v>21444</v>
      </c>
      <c r="F6116" t="s">
        <v>28669</v>
      </c>
      <c r="G6116" t="s">
        <v>28677</v>
      </c>
      <c r="H6116" t="s">
        <v>9998</v>
      </c>
      <c r="I6116" t="s">
        <v>6128</v>
      </c>
      <c r="J6116" t="s">
        <v>32678</v>
      </c>
      <c r="K6116" t="s">
        <v>37210</v>
      </c>
      <c r="M6116" t="s">
        <v>39442</v>
      </c>
      <c r="N6116" t="s">
        <v>41249</v>
      </c>
      <c r="O6116" t="s">
        <v>41250</v>
      </c>
      <c r="P6116">
        <v>0</v>
      </c>
      <c r="Q6116">
        <v>1</v>
      </c>
      <c r="R6116" t="s">
        <v>41256</v>
      </c>
      <c r="S6116" t="s">
        <v>41450</v>
      </c>
      <c r="T6116" t="s">
        <v>42728</v>
      </c>
      <c r="U6116" t="s">
        <v>48261</v>
      </c>
      <c r="W6116" t="s">
        <v>39442</v>
      </c>
      <c r="X6116" t="s">
        <v>41257</v>
      </c>
    </row>
    <row r="6117" spans="1:24">
      <c r="A6117">
        <f>HYPERLINK("https://www.philgeps.gov.ph/GEPSNONPILOT/Tender/SplashBidNoticeAbstractUI.aspx?menuIndex=3&amp;refID=7071621&amp;Result=3","7071621")</f>
        <v>0</v>
      </c>
      <c r="B6117" t="s">
        <v>2052</v>
      </c>
      <c r="C6117" t="s">
        <v>9217</v>
      </c>
      <c r="D6117" t="s">
        <v>16647</v>
      </c>
      <c r="E6117" t="s">
        <v>22098</v>
      </c>
      <c r="F6117" t="s">
        <v>28669</v>
      </c>
      <c r="G6117" t="s">
        <v>28675</v>
      </c>
      <c r="H6117" t="s">
        <v>9998</v>
      </c>
      <c r="I6117" t="s">
        <v>28689</v>
      </c>
      <c r="J6117" t="s">
        <v>32679</v>
      </c>
      <c r="K6117" t="s">
        <v>37209</v>
      </c>
      <c r="M6117" t="s">
        <v>39692</v>
      </c>
      <c r="N6117" t="s">
        <v>41249</v>
      </c>
      <c r="O6117" t="s">
        <v>41250</v>
      </c>
      <c r="P6117">
        <v>0</v>
      </c>
      <c r="Q6117">
        <v>0</v>
      </c>
      <c r="R6117" t="s">
        <v>41256</v>
      </c>
      <c r="S6117" t="s">
        <v>41450</v>
      </c>
      <c r="T6117" t="s">
        <v>42711</v>
      </c>
      <c r="U6117" t="s">
        <v>48262</v>
      </c>
      <c r="W6117" t="s">
        <v>39692</v>
      </c>
      <c r="X6117" t="s">
        <v>41257</v>
      </c>
    </row>
    <row r="6118" spans="1:24">
      <c r="A6118">
        <f>HYPERLINK("https://www.philgeps.gov.ph/GEPSNONPILOT/Tender/SplashBidNoticeAbstractUI.aspx?menuIndex=3&amp;refID=7072476&amp;Result=3","7072476")</f>
        <v>0</v>
      </c>
      <c r="B6118" t="s">
        <v>688</v>
      </c>
      <c r="C6118" t="s">
        <v>9218</v>
      </c>
      <c r="D6118" t="s">
        <v>16619</v>
      </c>
      <c r="E6118" t="s">
        <v>22099</v>
      </c>
      <c r="F6118" t="s">
        <v>28669</v>
      </c>
      <c r="G6118" t="s">
        <v>28675</v>
      </c>
      <c r="H6118" t="s">
        <v>28686</v>
      </c>
      <c r="I6118" t="s">
        <v>28689</v>
      </c>
      <c r="J6118" t="s">
        <v>32680</v>
      </c>
      <c r="K6118" t="s">
        <v>37233</v>
      </c>
      <c r="M6118" t="s">
        <v>39665</v>
      </c>
      <c r="N6118" t="s">
        <v>41249</v>
      </c>
      <c r="O6118" t="s">
        <v>41250</v>
      </c>
      <c r="P6118">
        <v>0</v>
      </c>
      <c r="Q6118">
        <v>6</v>
      </c>
      <c r="R6118" t="s">
        <v>41255</v>
      </c>
      <c r="S6118" t="s">
        <v>41442</v>
      </c>
      <c r="T6118" t="s">
        <v>42688</v>
      </c>
      <c r="U6118" t="s">
        <v>48263</v>
      </c>
      <c r="W6118" t="s">
        <v>39665</v>
      </c>
      <c r="X6118" t="s">
        <v>41256</v>
      </c>
    </row>
    <row r="6119" spans="1:24">
      <c r="A6119">
        <f>HYPERLINK("https://www.philgeps.gov.ph/GEPSNONPILOT/Tender/SplashBidNoticeAbstractUI.aspx?menuIndex=3&amp;refID=7071614&amp;Result=3","7071614")</f>
        <v>0</v>
      </c>
      <c r="B6119" t="s">
        <v>2053</v>
      </c>
      <c r="C6119" t="s">
        <v>9219</v>
      </c>
      <c r="D6119" t="s">
        <v>16663</v>
      </c>
      <c r="E6119" t="s">
        <v>22100</v>
      </c>
      <c r="F6119" t="s">
        <v>28669</v>
      </c>
      <c r="G6119" t="s">
        <v>28677</v>
      </c>
      <c r="H6119" t="s">
        <v>9998</v>
      </c>
      <c r="I6119" t="s">
        <v>28751</v>
      </c>
      <c r="J6119" t="s">
        <v>30567</v>
      </c>
      <c r="K6119" t="s">
        <v>37206</v>
      </c>
      <c r="M6119" t="s">
        <v>39693</v>
      </c>
      <c r="N6119" t="s">
        <v>41249</v>
      </c>
      <c r="O6119" t="s">
        <v>41250</v>
      </c>
      <c r="P6119">
        <v>0</v>
      </c>
      <c r="Q6119">
        <v>3</v>
      </c>
      <c r="R6119" t="s">
        <v>41256</v>
      </c>
      <c r="S6119" t="s">
        <v>41450</v>
      </c>
      <c r="T6119" t="s">
        <v>42802</v>
      </c>
      <c r="U6119" t="s">
        <v>48264</v>
      </c>
      <c r="W6119" t="s">
        <v>39693</v>
      </c>
      <c r="X6119" t="s">
        <v>41257</v>
      </c>
    </row>
    <row r="6120" spans="1:24">
      <c r="A6120">
        <f>HYPERLINK("https://www.philgeps.gov.ph/GEPSNONPILOT/Tender/SplashBidNoticeAbstractUI.aspx?menuIndex=3&amp;refID=7071656&amp;Result=3","7071656")</f>
        <v>0</v>
      </c>
      <c r="B6120" t="s">
        <v>2049</v>
      </c>
      <c r="C6120" t="s">
        <v>9220</v>
      </c>
      <c r="D6120" t="s">
        <v>16648</v>
      </c>
      <c r="E6120" t="s">
        <v>22101</v>
      </c>
      <c r="F6120" t="s">
        <v>28669</v>
      </c>
      <c r="G6120" t="s">
        <v>28675</v>
      </c>
      <c r="H6120" t="s">
        <v>9998</v>
      </c>
      <c r="I6120" t="s">
        <v>6128</v>
      </c>
      <c r="J6120" t="s">
        <v>32681</v>
      </c>
      <c r="K6120" t="s">
        <v>37209</v>
      </c>
      <c r="M6120" t="s">
        <v>39689</v>
      </c>
      <c r="N6120" t="s">
        <v>41249</v>
      </c>
      <c r="O6120" t="s">
        <v>41250</v>
      </c>
      <c r="P6120">
        <v>0</v>
      </c>
      <c r="Q6120">
        <v>0</v>
      </c>
      <c r="R6120" t="s">
        <v>41256</v>
      </c>
      <c r="S6120" t="s">
        <v>41450</v>
      </c>
      <c r="T6120" t="s">
        <v>42754</v>
      </c>
      <c r="U6120" t="s">
        <v>48255</v>
      </c>
      <c r="W6120" t="s">
        <v>39689</v>
      </c>
      <c r="X6120" t="s">
        <v>41257</v>
      </c>
    </row>
    <row r="6121" spans="1:24">
      <c r="A6121">
        <f>HYPERLINK("https://www.philgeps.gov.ph/GEPSNONPILOT/Tender/SplashBidNoticeAbstractUI.aspx?menuIndex=3&amp;refID=7071703&amp;Result=3","7071703")</f>
        <v>0</v>
      </c>
      <c r="B6121" t="s">
        <v>445</v>
      </c>
      <c r="C6121" t="s">
        <v>9221</v>
      </c>
      <c r="D6121" t="s">
        <v>16687</v>
      </c>
      <c r="E6121" t="s">
        <v>22102</v>
      </c>
      <c r="F6121" t="s">
        <v>28669</v>
      </c>
      <c r="G6121" t="s">
        <v>28675</v>
      </c>
      <c r="H6121" t="s">
        <v>9998</v>
      </c>
      <c r="I6121" t="s">
        <v>5213</v>
      </c>
      <c r="J6121" t="s">
        <v>32682</v>
      </c>
      <c r="K6121" t="s">
        <v>37209</v>
      </c>
      <c r="M6121" t="s">
        <v>37930</v>
      </c>
      <c r="N6121" t="s">
        <v>41249</v>
      </c>
      <c r="O6121" t="s">
        <v>41250</v>
      </c>
      <c r="P6121">
        <v>0</v>
      </c>
      <c r="Q6121">
        <v>0</v>
      </c>
      <c r="R6121" t="s">
        <v>41256</v>
      </c>
      <c r="S6121" t="s">
        <v>41450</v>
      </c>
      <c r="T6121" t="s">
        <v>42681</v>
      </c>
      <c r="U6121" t="s">
        <v>48265</v>
      </c>
      <c r="W6121" t="s">
        <v>37930</v>
      </c>
      <c r="X6121" t="s">
        <v>41257</v>
      </c>
    </row>
    <row r="6122" spans="1:24">
      <c r="A6122">
        <f>HYPERLINK("https://www.philgeps.gov.ph/GEPSNONPILOT/Tender/SplashBidNoticeAbstractUI.aspx?menuIndex=3&amp;refID=7071696&amp;Result=3","7071696")</f>
        <v>0</v>
      </c>
      <c r="B6122" t="s">
        <v>2046</v>
      </c>
      <c r="C6122" t="s">
        <v>9222</v>
      </c>
      <c r="D6122" t="s">
        <v>16643</v>
      </c>
      <c r="E6122" t="s">
        <v>22103</v>
      </c>
      <c r="F6122" t="s">
        <v>28669</v>
      </c>
      <c r="G6122" t="s">
        <v>28677</v>
      </c>
      <c r="H6122" t="s">
        <v>9998</v>
      </c>
      <c r="I6122" t="s">
        <v>11593</v>
      </c>
      <c r="J6122" t="s">
        <v>29003</v>
      </c>
      <c r="K6122" t="s">
        <v>37209</v>
      </c>
      <c r="M6122" t="s">
        <v>39686</v>
      </c>
      <c r="N6122" t="s">
        <v>41249</v>
      </c>
      <c r="O6122" t="s">
        <v>41250</v>
      </c>
      <c r="P6122">
        <v>0</v>
      </c>
      <c r="Q6122">
        <v>8</v>
      </c>
      <c r="R6122" t="s">
        <v>41256</v>
      </c>
      <c r="S6122" t="s">
        <v>41450</v>
      </c>
      <c r="T6122" t="s">
        <v>42701</v>
      </c>
      <c r="U6122" t="s">
        <v>48244</v>
      </c>
      <c r="W6122" t="s">
        <v>39686</v>
      </c>
      <c r="X6122" t="s">
        <v>41257</v>
      </c>
    </row>
    <row r="6123" spans="1:24">
      <c r="A6123">
        <f>HYPERLINK("https://www.philgeps.gov.ph/GEPSNONPILOT/Tender/SplashBidNoticeAbstractUI.aspx?menuIndex=3&amp;refID=7071691&amp;Result=3","7071691")</f>
        <v>0</v>
      </c>
      <c r="B6123" t="s">
        <v>2054</v>
      </c>
      <c r="C6123" t="s">
        <v>9223</v>
      </c>
      <c r="D6123" t="s">
        <v>16641</v>
      </c>
      <c r="E6123" t="s">
        <v>22104</v>
      </c>
      <c r="F6123" t="s">
        <v>28669</v>
      </c>
      <c r="G6123" t="s">
        <v>28675</v>
      </c>
      <c r="H6123" t="s">
        <v>28686</v>
      </c>
      <c r="I6123" t="s">
        <v>28689</v>
      </c>
      <c r="J6123" t="s">
        <v>32683</v>
      </c>
      <c r="K6123" t="s">
        <v>37353</v>
      </c>
      <c r="L6123" t="s">
        <v>2054</v>
      </c>
      <c r="M6123" t="s">
        <v>39694</v>
      </c>
      <c r="N6123" t="s">
        <v>41249</v>
      </c>
      <c r="O6123" t="s">
        <v>41250</v>
      </c>
      <c r="P6123">
        <v>0</v>
      </c>
      <c r="Q6123">
        <v>11</v>
      </c>
      <c r="R6123" t="s">
        <v>41256</v>
      </c>
      <c r="S6123" t="s">
        <v>41450</v>
      </c>
      <c r="T6123" t="s">
        <v>42863</v>
      </c>
      <c r="U6123" t="s">
        <v>48266</v>
      </c>
      <c r="W6123" t="s">
        <v>39694</v>
      </c>
      <c r="X6123" t="s">
        <v>41257</v>
      </c>
    </row>
    <row r="6124" spans="1:24">
      <c r="A6124">
        <f>HYPERLINK("https://www.philgeps.gov.ph/GEPSNONPILOT/Tender/SplashBidNoticeAbstractUI.aspx?menuIndex=3&amp;refID=7071609&amp;Result=3","7071609")</f>
        <v>0</v>
      </c>
      <c r="B6124" t="s">
        <v>2046</v>
      </c>
      <c r="C6124" t="s">
        <v>9224</v>
      </c>
      <c r="D6124" t="s">
        <v>16643</v>
      </c>
      <c r="E6124" t="s">
        <v>22105</v>
      </c>
      <c r="F6124" t="s">
        <v>28669</v>
      </c>
      <c r="G6124" t="s">
        <v>28677</v>
      </c>
      <c r="H6124" t="s">
        <v>9998</v>
      </c>
      <c r="I6124" t="s">
        <v>11593</v>
      </c>
      <c r="J6124" t="s">
        <v>29003</v>
      </c>
      <c r="K6124" t="s">
        <v>37209</v>
      </c>
      <c r="M6124" t="s">
        <v>39686</v>
      </c>
      <c r="N6124" t="s">
        <v>41249</v>
      </c>
      <c r="O6124" t="s">
        <v>41250</v>
      </c>
      <c r="P6124">
        <v>0</v>
      </c>
      <c r="Q6124">
        <v>11</v>
      </c>
      <c r="R6124" t="s">
        <v>41256</v>
      </c>
      <c r="S6124" t="s">
        <v>41450</v>
      </c>
      <c r="T6124" t="s">
        <v>42883</v>
      </c>
      <c r="U6124" t="s">
        <v>48244</v>
      </c>
      <c r="W6124" t="s">
        <v>39686</v>
      </c>
      <c r="X6124" t="s">
        <v>41257</v>
      </c>
    </row>
    <row r="6125" spans="1:24">
      <c r="A6125">
        <f>HYPERLINK("https://www.philgeps.gov.ph/GEPSNONPILOT/Tender/SplashBidNoticeAbstractUI.aspx?menuIndex=3&amp;refID=7071688&amp;Result=3","7071688")</f>
        <v>0</v>
      </c>
      <c r="B6125" t="s">
        <v>2055</v>
      </c>
      <c r="C6125" t="s">
        <v>9225</v>
      </c>
      <c r="D6125" t="s">
        <v>16644</v>
      </c>
      <c r="E6125" t="s">
        <v>22106</v>
      </c>
      <c r="F6125" t="s">
        <v>28669</v>
      </c>
      <c r="G6125" t="s">
        <v>28675</v>
      </c>
      <c r="H6125" t="s">
        <v>9998</v>
      </c>
      <c r="I6125" t="s">
        <v>3718</v>
      </c>
      <c r="J6125" t="s">
        <v>32684</v>
      </c>
      <c r="K6125" t="s">
        <v>37206</v>
      </c>
      <c r="M6125" t="s">
        <v>39695</v>
      </c>
      <c r="N6125" t="s">
        <v>41249</v>
      </c>
      <c r="O6125" t="s">
        <v>41250</v>
      </c>
      <c r="P6125">
        <v>0</v>
      </c>
      <c r="Q6125">
        <v>0</v>
      </c>
      <c r="R6125" t="s">
        <v>41256</v>
      </c>
      <c r="S6125" t="s">
        <v>41450</v>
      </c>
      <c r="T6125" t="s">
        <v>42717</v>
      </c>
      <c r="U6125" t="s">
        <v>48267</v>
      </c>
      <c r="W6125" t="s">
        <v>39695</v>
      </c>
      <c r="X6125" t="s">
        <v>41257</v>
      </c>
    </row>
    <row r="6126" spans="1:24">
      <c r="A6126">
        <f>HYPERLINK("https://www.philgeps.gov.ph/GEPSNONPILOT/Tender/SplashBidNoticeAbstractUI.aspx?menuIndex=3&amp;refID=7071686&amp;Result=3","7071686")</f>
        <v>0</v>
      </c>
      <c r="B6126" t="s">
        <v>947</v>
      </c>
      <c r="C6126" t="s">
        <v>9226</v>
      </c>
      <c r="D6126" t="s">
        <v>16631</v>
      </c>
      <c r="E6126" t="s">
        <v>22107</v>
      </c>
      <c r="F6126" t="s">
        <v>28669</v>
      </c>
      <c r="G6126" t="s">
        <v>28676</v>
      </c>
      <c r="H6126" t="s">
        <v>28684</v>
      </c>
      <c r="I6126" t="s">
        <v>28725</v>
      </c>
      <c r="J6126" t="s">
        <v>28878</v>
      </c>
      <c r="K6126" t="s">
        <v>37220</v>
      </c>
      <c r="M6126" t="s">
        <v>38471</v>
      </c>
      <c r="N6126" t="s">
        <v>41249</v>
      </c>
      <c r="O6126" t="s">
        <v>41250</v>
      </c>
      <c r="P6126">
        <v>0</v>
      </c>
      <c r="Q6126">
        <v>1</v>
      </c>
      <c r="R6126" t="s">
        <v>41256</v>
      </c>
      <c r="S6126" t="s">
        <v>41450</v>
      </c>
      <c r="T6126" t="s">
        <v>42736</v>
      </c>
      <c r="U6126" t="s">
        <v>48268</v>
      </c>
      <c r="V6126" t="s">
        <v>54917</v>
      </c>
      <c r="W6126" t="s">
        <v>38471</v>
      </c>
      <c r="X6126" t="s">
        <v>41257</v>
      </c>
    </row>
    <row r="6127" spans="1:24">
      <c r="A6127">
        <f>HYPERLINK("https://www.philgeps.gov.ph/GEPSNONPILOT/Tender/SplashBidNoticeAbstractUI.aspx?menuIndex=3&amp;refID=7071683&amp;Result=3","7071683")</f>
        <v>0</v>
      </c>
      <c r="B6127" t="s">
        <v>599</v>
      </c>
      <c r="C6127" t="s">
        <v>9227</v>
      </c>
      <c r="D6127" t="s">
        <v>16617</v>
      </c>
      <c r="E6127" t="s">
        <v>22108</v>
      </c>
      <c r="F6127" t="s">
        <v>28669</v>
      </c>
      <c r="G6127" t="s">
        <v>28675</v>
      </c>
      <c r="H6127" t="s">
        <v>28686</v>
      </c>
      <c r="I6127" t="s">
        <v>28689</v>
      </c>
      <c r="J6127" t="s">
        <v>32685</v>
      </c>
      <c r="K6127" t="s">
        <v>37211</v>
      </c>
      <c r="M6127" t="s">
        <v>38098</v>
      </c>
      <c r="N6127" t="s">
        <v>41249</v>
      </c>
      <c r="O6127" t="s">
        <v>41250</v>
      </c>
      <c r="P6127">
        <v>0</v>
      </c>
      <c r="Q6127">
        <v>19</v>
      </c>
      <c r="R6127" t="s">
        <v>41256</v>
      </c>
      <c r="S6127" t="s">
        <v>41450</v>
      </c>
      <c r="T6127" t="s">
        <v>42782</v>
      </c>
      <c r="U6127" t="s">
        <v>48269</v>
      </c>
      <c r="V6127" t="s">
        <v>54278</v>
      </c>
      <c r="W6127" t="s">
        <v>38098</v>
      </c>
      <c r="X6127" t="s">
        <v>41257</v>
      </c>
    </row>
    <row r="6128" spans="1:24">
      <c r="A6128">
        <f>HYPERLINK("https://www.philgeps.gov.ph/GEPSNONPILOT/Tender/SplashBidNoticeAbstractUI.aspx?menuIndex=3&amp;refID=7071682&amp;Result=3","7071682")</f>
        <v>0</v>
      </c>
      <c r="B6128" t="s">
        <v>2026</v>
      </c>
      <c r="C6128" t="s">
        <v>9228</v>
      </c>
      <c r="D6128" t="s">
        <v>16611</v>
      </c>
      <c r="E6128" t="s">
        <v>22109</v>
      </c>
      <c r="F6128" t="s">
        <v>28669</v>
      </c>
      <c r="G6128" t="s">
        <v>28675</v>
      </c>
      <c r="H6128" t="s">
        <v>9998</v>
      </c>
      <c r="I6128" t="s">
        <v>7352</v>
      </c>
      <c r="J6128" t="s">
        <v>32686</v>
      </c>
      <c r="K6128" t="s">
        <v>37209</v>
      </c>
      <c r="M6128" t="s">
        <v>39666</v>
      </c>
      <c r="N6128" t="s">
        <v>41249</v>
      </c>
      <c r="O6128" t="s">
        <v>41250</v>
      </c>
      <c r="P6128">
        <v>0</v>
      </c>
      <c r="Q6128">
        <v>0</v>
      </c>
      <c r="R6128" t="s">
        <v>41256</v>
      </c>
      <c r="S6128" t="s">
        <v>41450</v>
      </c>
      <c r="T6128" t="s">
        <v>42855</v>
      </c>
      <c r="U6128" t="s">
        <v>48270</v>
      </c>
      <c r="W6128" t="s">
        <v>39666</v>
      </c>
      <c r="X6128" t="s">
        <v>41257</v>
      </c>
    </row>
    <row r="6129" spans="1:24">
      <c r="A6129">
        <f>HYPERLINK("https://www.philgeps.gov.ph/GEPSNONPILOT/Tender/SplashBidNoticeAbstractUI.aspx?menuIndex=3&amp;refID=7071680&amp;Result=3","7071680")</f>
        <v>0</v>
      </c>
      <c r="B6129" t="s">
        <v>2033</v>
      </c>
      <c r="C6129" t="s">
        <v>9229</v>
      </c>
      <c r="D6129" t="s">
        <v>16625</v>
      </c>
      <c r="E6129" t="s">
        <v>22110</v>
      </c>
      <c r="F6129" t="s">
        <v>28669</v>
      </c>
      <c r="G6129" t="s">
        <v>28675</v>
      </c>
      <c r="H6129" t="s">
        <v>9998</v>
      </c>
      <c r="I6129" t="s">
        <v>28710</v>
      </c>
      <c r="J6129" t="s">
        <v>32687</v>
      </c>
      <c r="K6129" t="s">
        <v>37216</v>
      </c>
      <c r="M6129" t="s">
        <v>39673</v>
      </c>
      <c r="N6129" t="s">
        <v>41249</v>
      </c>
      <c r="O6129" t="s">
        <v>41250</v>
      </c>
      <c r="P6129">
        <v>0</v>
      </c>
      <c r="Q6129">
        <v>0</v>
      </c>
      <c r="R6129" t="s">
        <v>41256</v>
      </c>
      <c r="S6129" t="s">
        <v>41450</v>
      </c>
      <c r="T6129" t="s">
        <v>42673</v>
      </c>
      <c r="U6129" t="s">
        <v>48256</v>
      </c>
      <c r="W6129" t="s">
        <v>39673</v>
      </c>
      <c r="X6129" t="s">
        <v>41257</v>
      </c>
    </row>
    <row r="6130" spans="1:24">
      <c r="A6130">
        <f>HYPERLINK("https://www.philgeps.gov.ph/GEPSNONPILOT/Tender/SplashBidNoticeAbstractUI.aspx?menuIndex=3&amp;refID=7071677&amp;Result=3","7071677")</f>
        <v>0</v>
      </c>
      <c r="B6130" t="s">
        <v>2056</v>
      </c>
      <c r="C6130" t="s">
        <v>9230</v>
      </c>
      <c r="D6130" t="s">
        <v>16616</v>
      </c>
      <c r="E6130" t="s">
        <v>22111</v>
      </c>
      <c r="F6130" t="s">
        <v>28669</v>
      </c>
      <c r="G6130" t="s">
        <v>28678</v>
      </c>
      <c r="H6130" t="s">
        <v>9998</v>
      </c>
      <c r="I6130" t="s">
        <v>6128</v>
      </c>
      <c r="J6130" t="s">
        <v>31176</v>
      </c>
      <c r="K6130" t="s">
        <v>37243</v>
      </c>
      <c r="M6130" t="s">
        <v>39696</v>
      </c>
      <c r="N6130" t="s">
        <v>41249</v>
      </c>
      <c r="O6130" t="s">
        <v>41250</v>
      </c>
      <c r="P6130">
        <v>0</v>
      </c>
      <c r="Q6130">
        <v>3</v>
      </c>
      <c r="R6130" t="s">
        <v>41256</v>
      </c>
      <c r="S6130" t="s">
        <v>41450</v>
      </c>
      <c r="T6130" t="s">
        <v>42751</v>
      </c>
      <c r="U6130" t="s">
        <v>48271</v>
      </c>
      <c r="W6130" t="s">
        <v>39696</v>
      </c>
      <c r="X6130" t="s">
        <v>41257</v>
      </c>
    </row>
    <row r="6131" spans="1:24">
      <c r="A6131">
        <f>HYPERLINK("https://www.philgeps.gov.ph/GEPSNONPILOT/Tender/SplashBidNoticeAbstractUI.aspx?menuIndex=3&amp;refID=7071675&amp;Result=3","7071675")</f>
        <v>0</v>
      </c>
      <c r="B6131" t="s">
        <v>2046</v>
      </c>
      <c r="C6131" t="s">
        <v>9231</v>
      </c>
      <c r="D6131" t="s">
        <v>16643</v>
      </c>
      <c r="E6131" t="s">
        <v>22112</v>
      </c>
      <c r="F6131" t="s">
        <v>28669</v>
      </c>
      <c r="G6131" t="s">
        <v>28677</v>
      </c>
      <c r="H6131" t="s">
        <v>9998</v>
      </c>
      <c r="I6131" t="s">
        <v>28693</v>
      </c>
      <c r="J6131" t="s">
        <v>29187</v>
      </c>
      <c r="K6131" t="s">
        <v>37220</v>
      </c>
      <c r="M6131" t="s">
        <v>39686</v>
      </c>
      <c r="N6131" t="s">
        <v>41249</v>
      </c>
      <c r="O6131" t="s">
        <v>41250</v>
      </c>
      <c r="P6131">
        <v>0</v>
      </c>
      <c r="Q6131">
        <v>21</v>
      </c>
      <c r="R6131" t="s">
        <v>41256</v>
      </c>
      <c r="S6131" t="s">
        <v>41450</v>
      </c>
      <c r="T6131" t="s">
        <v>42883</v>
      </c>
      <c r="U6131" t="s">
        <v>48244</v>
      </c>
      <c r="W6131" t="s">
        <v>39686</v>
      </c>
      <c r="X6131" t="s">
        <v>41257</v>
      </c>
    </row>
    <row r="6132" spans="1:24">
      <c r="A6132">
        <f>HYPERLINK("https://www.philgeps.gov.ph/GEPSNONPILOT/Tender/SplashBidNoticeAbstractUI.aspx?menuIndex=3&amp;refID=7071672&amp;Result=3","7071672")</f>
        <v>0</v>
      </c>
      <c r="B6132" t="s">
        <v>1829</v>
      </c>
      <c r="C6132" t="s">
        <v>9232</v>
      </c>
      <c r="D6132" t="s">
        <v>16661</v>
      </c>
      <c r="E6132" t="s">
        <v>21444</v>
      </c>
      <c r="F6132" t="s">
        <v>28669</v>
      </c>
      <c r="G6132" t="s">
        <v>28677</v>
      </c>
      <c r="H6132" t="s">
        <v>9998</v>
      </c>
      <c r="I6132" t="s">
        <v>28704</v>
      </c>
      <c r="J6132" t="s">
        <v>32688</v>
      </c>
      <c r="K6132" t="s">
        <v>37210</v>
      </c>
      <c r="M6132" t="s">
        <v>39442</v>
      </c>
      <c r="N6132" t="s">
        <v>41249</v>
      </c>
      <c r="O6132" t="s">
        <v>41250</v>
      </c>
      <c r="P6132">
        <v>0</v>
      </c>
      <c r="Q6132">
        <v>0</v>
      </c>
      <c r="R6132" t="s">
        <v>41256</v>
      </c>
      <c r="S6132" t="s">
        <v>41450</v>
      </c>
      <c r="T6132" t="s">
        <v>42728</v>
      </c>
      <c r="U6132" t="s">
        <v>48272</v>
      </c>
      <c r="W6132" t="s">
        <v>39442</v>
      </c>
      <c r="X6132" t="s">
        <v>41257</v>
      </c>
    </row>
    <row r="6133" spans="1:24">
      <c r="A6133">
        <f>HYPERLINK("https://www.philgeps.gov.ph/GEPSNONPILOT/Tender/SplashBidNoticeAbstractUI.aspx?menuIndex=3&amp;refID=7071709&amp;Result=3","7071709")</f>
        <v>0</v>
      </c>
      <c r="B6133" t="s">
        <v>2055</v>
      </c>
      <c r="C6133" t="s">
        <v>9233</v>
      </c>
      <c r="D6133" t="s">
        <v>16644</v>
      </c>
      <c r="E6133" t="s">
        <v>22113</v>
      </c>
      <c r="F6133" t="s">
        <v>28669</v>
      </c>
      <c r="G6133" t="s">
        <v>28675</v>
      </c>
      <c r="H6133" t="s">
        <v>9998</v>
      </c>
      <c r="I6133" t="s">
        <v>3718</v>
      </c>
      <c r="J6133" t="s">
        <v>29157</v>
      </c>
      <c r="K6133" t="s">
        <v>37206</v>
      </c>
      <c r="M6133" t="s">
        <v>39695</v>
      </c>
      <c r="N6133" t="s">
        <v>41249</v>
      </c>
      <c r="O6133" t="s">
        <v>41250</v>
      </c>
      <c r="P6133">
        <v>0</v>
      </c>
      <c r="Q6133">
        <v>0</v>
      </c>
      <c r="R6133" t="s">
        <v>41256</v>
      </c>
      <c r="S6133" t="s">
        <v>41450</v>
      </c>
      <c r="T6133" t="s">
        <v>42717</v>
      </c>
      <c r="U6133" t="s">
        <v>48273</v>
      </c>
      <c r="W6133" t="s">
        <v>39695</v>
      </c>
      <c r="X6133" t="s">
        <v>41257</v>
      </c>
    </row>
    <row r="6134" spans="1:24">
      <c r="A6134">
        <f>HYPERLINK("https://www.philgeps.gov.ph/GEPSNONPILOT/Tender/SplashBidNoticeAbstractUI.aspx?menuIndex=3&amp;refID=7071667&amp;Result=3","7071667")</f>
        <v>0</v>
      </c>
      <c r="B6134" t="s">
        <v>659</v>
      </c>
      <c r="C6134" t="s">
        <v>9234</v>
      </c>
      <c r="D6134" t="s">
        <v>16643</v>
      </c>
      <c r="E6134" t="s">
        <v>22114</v>
      </c>
      <c r="F6134" t="s">
        <v>28669</v>
      </c>
      <c r="G6134" t="s">
        <v>28678</v>
      </c>
      <c r="H6134" t="s">
        <v>9998</v>
      </c>
      <c r="I6134" t="s">
        <v>6458</v>
      </c>
      <c r="J6134" t="s">
        <v>32689</v>
      </c>
      <c r="K6134" t="s">
        <v>37204</v>
      </c>
      <c r="M6134" t="s">
        <v>38161</v>
      </c>
      <c r="N6134" t="s">
        <v>41249</v>
      </c>
      <c r="O6134" t="s">
        <v>41250</v>
      </c>
      <c r="P6134">
        <v>0</v>
      </c>
      <c r="Q6134">
        <v>2</v>
      </c>
      <c r="R6134" t="s">
        <v>41256</v>
      </c>
      <c r="S6134" t="s">
        <v>41450</v>
      </c>
      <c r="T6134" t="s">
        <v>42736</v>
      </c>
      <c r="U6134" t="s">
        <v>45802</v>
      </c>
      <c r="W6134" t="s">
        <v>55925</v>
      </c>
      <c r="X6134" t="s">
        <v>41257</v>
      </c>
    </row>
    <row r="6135" spans="1:24">
      <c r="A6135">
        <f>HYPERLINK("https://www.philgeps.gov.ph/GEPSNONPILOT/Tender/SplashBidNoticeAbstractUI.aspx?menuIndex=3&amp;refID=7071651&amp;Result=3","7071651")</f>
        <v>0</v>
      </c>
      <c r="B6135" t="s">
        <v>947</v>
      </c>
      <c r="C6135" t="s">
        <v>9235</v>
      </c>
      <c r="D6135" t="s">
        <v>16631</v>
      </c>
      <c r="E6135" t="s">
        <v>22115</v>
      </c>
      <c r="F6135" t="s">
        <v>28669</v>
      </c>
      <c r="G6135" t="s">
        <v>28676</v>
      </c>
      <c r="H6135" t="s">
        <v>9998</v>
      </c>
      <c r="I6135" t="s">
        <v>5213</v>
      </c>
      <c r="J6135" t="s">
        <v>32690</v>
      </c>
      <c r="K6135" t="s">
        <v>37206</v>
      </c>
      <c r="M6135" t="s">
        <v>38471</v>
      </c>
      <c r="N6135" t="s">
        <v>41249</v>
      </c>
      <c r="O6135" t="s">
        <v>41250</v>
      </c>
      <c r="P6135">
        <v>0</v>
      </c>
      <c r="Q6135">
        <v>2</v>
      </c>
      <c r="R6135" t="s">
        <v>41256</v>
      </c>
      <c r="S6135" t="s">
        <v>41450</v>
      </c>
      <c r="T6135" t="s">
        <v>42736</v>
      </c>
      <c r="U6135" t="s">
        <v>48274</v>
      </c>
      <c r="V6135" t="s">
        <v>54917</v>
      </c>
      <c r="W6135" t="s">
        <v>38471</v>
      </c>
      <c r="X6135" t="s">
        <v>41257</v>
      </c>
    </row>
    <row r="6136" spans="1:24">
      <c r="A6136">
        <f>HYPERLINK("https://www.philgeps.gov.ph/GEPSNONPILOT/Tender/SplashBidNoticeAbstractUI.aspx?menuIndex=3&amp;refID=7071604&amp;Result=3","7071604")</f>
        <v>0</v>
      </c>
      <c r="B6136" t="s">
        <v>947</v>
      </c>
      <c r="C6136" t="s">
        <v>9236</v>
      </c>
      <c r="D6136" t="s">
        <v>16631</v>
      </c>
      <c r="E6136" t="s">
        <v>22116</v>
      </c>
      <c r="F6136" t="s">
        <v>28669</v>
      </c>
      <c r="G6136" t="s">
        <v>28676</v>
      </c>
      <c r="H6136" t="s">
        <v>9998</v>
      </c>
      <c r="I6136" t="s">
        <v>28749</v>
      </c>
      <c r="J6136" t="s">
        <v>28878</v>
      </c>
      <c r="K6136" t="s">
        <v>37206</v>
      </c>
      <c r="M6136" t="s">
        <v>38471</v>
      </c>
      <c r="N6136" t="s">
        <v>41249</v>
      </c>
      <c r="O6136" t="s">
        <v>41250</v>
      </c>
      <c r="P6136">
        <v>0</v>
      </c>
      <c r="Q6136">
        <v>6</v>
      </c>
      <c r="R6136" t="s">
        <v>41256</v>
      </c>
      <c r="S6136" t="s">
        <v>41450</v>
      </c>
      <c r="T6136" t="s">
        <v>42736</v>
      </c>
      <c r="U6136" t="s">
        <v>48275</v>
      </c>
      <c r="V6136" t="s">
        <v>54917</v>
      </c>
      <c r="W6136" t="s">
        <v>38471</v>
      </c>
      <c r="X6136" t="s">
        <v>41257</v>
      </c>
    </row>
    <row r="6137" spans="1:24">
      <c r="A6137">
        <f>HYPERLINK("https://www.philgeps.gov.ph/GEPSNONPILOT/Tender/SplashBidNoticeAbstractUI.aspx?menuIndex=3&amp;refID=7071699&amp;Result=3","7071699")</f>
        <v>0</v>
      </c>
      <c r="B6137" t="s">
        <v>2057</v>
      </c>
      <c r="C6137" t="s">
        <v>9237</v>
      </c>
      <c r="D6137" t="s">
        <v>16627</v>
      </c>
      <c r="E6137" t="s">
        <v>22117</v>
      </c>
      <c r="F6137" t="s">
        <v>28669</v>
      </c>
      <c r="G6137" t="s">
        <v>28675</v>
      </c>
      <c r="H6137" t="s">
        <v>9998</v>
      </c>
      <c r="I6137" t="s">
        <v>28757</v>
      </c>
      <c r="J6137" t="s">
        <v>32691</v>
      </c>
      <c r="K6137" t="s">
        <v>37205</v>
      </c>
      <c r="M6137" t="s">
        <v>39697</v>
      </c>
      <c r="N6137" t="s">
        <v>41249</v>
      </c>
      <c r="O6137" t="s">
        <v>41250</v>
      </c>
      <c r="P6137">
        <v>0</v>
      </c>
      <c r="Q6137">
        <v>1</v>
      </c>
      <c r="R6137" t="s">
        <v>41256</v>
      </c>
      <c r="S6137" t="s">
        <v>41450</v>
      </c>
      <c r="T6137" t="s">
        <v>42982</v>
      </c>
      <c r="U6137" t="s">
        <v>48276</v>
      </c>
      <c r="W6137" t="s">
        <v>39697</v>
      </c>
      <c r="X6137" t="s">
        <v>41257</v>
      </c>
    </row>
    <row r="6138" spans="1:24">
      <c r="A6138">
        <f>HYPERLINK("https://www.philgeps.gov.ph/GEPSNONPILOT/Tender/SplashBidNoticeAbstractUI.aspx?menuIndex=3&amp;refID=7071602&amp;Result=3","7071602")</f>
        <v>0</v>
      </c>
      <c r="B6138" t="s">
        <v>2033</v>
      </c>
      <c r="C6138" t="s">
        <v>9238</v>
      </c>
      <c r="D6138" t="s">
        <v>16625</v>
      </c>
      <c r="E6138" t="s">
        <v>22118</v>
      </c>
      <c r="F6138" t="s">
        <v>28669</v>
      </c>
      <c r="G6138" t="s">
        <v>28675</v>
      </c>
      <c r="H6138" t="s">
        <v>9998</v>
      </c>
      <c r="I6138" t="s">
        <v>28710</v>
      </c>
      <c r="J6138" t="s">
        <v>32692</v>
      </c>
      <c r="K6138" t="s">
        <v>37289</v>
      </c>
      <c r="M6138" t="s">
        <v>39673</v>
      </c>
      <c r="N6138" t="s">
        <v>41249</v>
      </c>
      <c r="O6138" t="s">
        <v>41250</v>
      </c>
      <c r="P6138">
        <v>0</v>
      </c>
      <c r="Q6138">
        <v>1</v>
      </c>
      <c r="R6138" t="s">
        <v>41256</v>
      </c>
      <c r="S6138" t="s">
        <v>41450</v>
      </c>
      <c r="T6138" t="s">
        <v>42673</v>
      </c>
      <c r="U6138" t="s">
        <v>48256</v>
      </c>
      <c r="W6138" t="s">
        <v>39673</v>
      </c>
      <c r="X6138" t="s">
        <v>41257</v>
      </c>
    </row>
    <row r="6139" spans="1:24">
      <c r="A6139">
        <f>HYPERLINK("https://www.philgeps.gov.ph/GEPSNONPILOT/Tender/SplashBidNoticeAbstractUI.aspx?menuIndex=3&amp;refID=7071600&amp;Result=3","7071600")</f>
        <v>0</v>
      </c>
      <c r="B6139" t="s">
        <v>2058</v>
      </c>
      <c r="C6139" t="s">
        <v>9239</v>
      </c>
      <c r="D6139" t="s">
        <v>16670</v>
      </c>
      <c r="E6139" t="s">
        <v>22119</v>
      </c>
      <c r="F6139" t="s">
        <v>28669</v>
      </c>
      <c r="G6139" t="s">
        <v>28675</v>
      </c>
      <c r="H6139" t="s">
        <v>28686</v>
      </c>
      <c r="I6139" t="s">
        <v>28689</v>
      </c>
      <c r="J6139" t="s">
        <v>32693</v>
      </c>
      <c r="K6139" t="s">
        <v>37220</v>
      </c>
      <c r="M6139" t="s">
        <v>39698</v>
      </c>
      <c r="N6139" t="s">
        <v>41249</v>
      </c>
      <c r="O6139" t="s">
        <v>41250</v>
      </c>
      <c r="P6139">
        <v>0</v>
      </c>
      <c r="Q6139">
        <v>0</v>
      </c>
      <c r="R6139" t="s">
        <v>41256</v>
      </c>
      <c r="S6139" t="s">
        <v>41450</v>
      </c>
      <c r="T6139" t="s">
        <v>42786</v>
      </c>
      <c r="U6139" t="s">
        <v>48277</v>
      </c>
      <c r="V6139" t="s">
        <v>54947</v>
      </c>
      <c r="W6139" t="s">
        <v>39698</v>
      </c>
      <c r="X6139" t="s">
        <v>41257</v>
      </c>
    </row>
    <row r="6140" spans="1:24">
      <c r="A6140">
        <f>HYPERLINK("https://www.philgeps.gov.ph/GEPSNONPILOT/Tender/SplashBidNoticeAbstractUI.aspx?menuIndex=3&amp;refID=7071595&amp;Result=3","7071595")</f>
        <v>0</v>
      </c>
      <c r="B6140" t="s">
        <v>378</v>
      </c>
      <c r="C6140" t="s">
        <v>9240</v>
      </c>
      <c r="D6140" t="s">
        <v>16648</v>
      </c>
      <c r="E6140" t="s">
        <v>22120</v>
      </c>
      <c r="F6140" t="s">
        <v>28669</v>
      </c>
      <c r="G6140" t="s">
        <v>28675</v>
      </c>
      <c r="H6140" t="s">
        <v>9998</v>
      </c>
      <c r="I6140" t="s">
        <v>28690</v>
      </c>
      <c r="J6140" t="s">
        <v>32694</v>
      </c>
      <c r="K6140" t="s">
        <v>37206</v>
      </c>
      <c r="M6140" t="s">
        <v>37860</v>
      </c>
      <c r="N6140" t="s">
        <v>41249</v>
      </c>
      <c r="O6140" t="s">
        <v>41250</v>
      </c>
      <c r="P6140">
        <v>0</v>
      </c>
      <c r="Q6140">
        <v>3</v>
      </c>
      <c r="R6140" t="s">
        <v>41256</v>
      </c>
      <c r="S6140" t="s">
        <v>41450</v>
      </c>
      <c r="T6140" t="s">
        <v>42699</v>
      </c>
      <c r="U6140" t="s">
        <v>48278</v>
      </c>
      <c r="V6140" t="s">
        <v>54335</v>
      </c>
      <c r="W6140" t="s">
        <v>37860</v>
      </c>
      <c r="X6140" t="s">
        <v>41257</v>
      </c>
    </row>
    <row r="6141" spans="1:24">
      <c r="A6141">
        <f>HYPERLINK("https://www.philgeps.gov.ph/GEPSNONPILOT/Tender/SplashBidNoticeAbstractUI.aspx?menuIndex=3&amp;refID=7071594&amp;Result=3","7071594")</f>
        <v>0</v>
      </c>
      <c r="B6141" t="s">
        <v>506</v>
      </c>
      <c r="C6141" t="s">
        <v>9241</v>
      </c>
      <c r="D6141" t="s">
        <v>16623</v>
      </c>
      <c r="E6141" t="s">
        <v>22121</v>
      </c>
      <c r="F6141" t="s">
        <v>28669</v>
      </c>
      <c r="G6141" t="s">
        <v>28675</v>
      </c>
      <c r="H6141" t="s">
        <v>9998</v>
      </c>
      <c r="I6141" t="s">
        <v>7352</v>
      </c>
      <c r="J6141" t="s">
        <v>32695</v>
      </c>
      <c r="K6141" t="s">
        <v>37210</v>
      </c>
      <c r="M6141" t="s">
        <v>37996</v>
      </c>
      <c r="N6141" t="s">
        <v>41249</v>
      </c>
      <c r="O6141" t="s">
        <v>41250</v>
      </c>
      <c r="P6141">
        <v>0</v>
      </c>
      <c r="Q6141">
        <v>0</v>
      </c>
      <c r="R6141" t="s">
        <v>41256</v>
      </c>
      <c r="S6141" t="s">
        <v>41450</v>
      </c>
      <c r="T6141" t="s">
        <v>42673</v>
      </c>
      <c r="U6141" t="s">
        <v>48279</v>
      </c>
      <c r="V6141" t="s">
        <v>54948</v>
      </c>
      <c r="W6141" t="s">
        <v>37996</v>
      </c>
      <c r="X6141" t="s">
        <v>41257</v>
      </c>
    </row>
    <row r="6142" spans="1:24">
      <c r="A6142">
        <f>HYPERLINK("https://www.philgeps.gov.ph/GEPSNONPILOT/Tender/SplashBidNoticeAbstractUI.aspx?menuIndex=3&amp;refID=7071657&amp;Result=3","7071657")</f>
        <v>0</v>
      </c>
      <c r="B6142" t="s">
        <v>2046</v>
      </c>
      <c r="C6142" t="s">
        <v>9242</v>
      </c>
      <c r="D6142" t="s">
        <v>16643</v>
      </c>
      <c r="E6142" t="s">
        <v>22122</v>
      </c>
      <c r="F6142" t="s">
        <v>28669</v>
      </c>
      <c r="G6142" t="s">
        <v>28677</v>
      </c>
      <c r="H6142" t="s">
        <v>9998</v>
      </c>
      <c r="I6142" t="s">
        <v>28693</v>
      </c>
      <c r="J6142" t="s">
        <v>29505</v>
      </c>
      <c r="K6142" t="s">
        <v>37221</v>
      </c>
      <c r="M6142" t="s">
        <v>39686</v>
      </c>
      <c r="N6142" t="s">
        <v>41249</v>
      </c>
      <c r="O6142" t="s">
        <v>41250</v>
      </c>
      <c r="P6142">
        <v>0</v>
      </c>
      <c r="Q6142">
        <v>17</v>
      </c>
      <c r="R6142" t="s">
        <v>41256</v>
      </c>
      <c r="S6142" t="s">
        <v>41450</v>
      </c>
      <c r="T6142" t="s">
        <v>42883</v>
      </c>
      <c r="U6142" t="s">
        <v>48244</v>
      </c>
      <c r="W6142" t="s">
        <v>39686</v>
      </c>
      <c r="X6142" t="s">
        <v>41257</v>
      </c>
    </row>
    <row r="6143" spans="1:24">
      <c r="A6143">
        <f>HYPERLINK("https://www.philgeps.gov.ph/GEPSNONPILOT/Tender/SplashBidNoticeAbstractUI.aspx?menuIndex=3&amp;refID=7071517&amp;Result=3","7071517")</f>
        <v>0</v>
      </c>
      <c r="B6143" t="s">
        <v>2037</v>
      </c>
      <c r="C6143" t="s">
        <v>9243</v>
      </c>
      <c r="D6143" t="s">
        <v>16646</v>
      </c>
      <c r="E6143" t="s">
        <v>22123</v>
      </c>
      <c r="F6143" t="s">
        <v>28669</v>
      </c>
      <c r="G6143" t="s">
        <v>28679</v>
      </c>
      <c r="H6143" t="s">
        <v>28686</v>
      </c>
      <c r="I6143" t="s">
        <v>28689</v>
      </c>
      <c r="J6143" t="s">
        <v>32696</v>
      </c>
      <c r="K6143" t="s">
        <v>37316</v>
      </c>
      <c r="M6143" t="s">
        <v>39677</v>
      </c>
      <c r="N6143" t="s">
        <v>41249</v>
      </c>
      <c r="O6143" t="s">
        <v>41250</v>
      </c>
      <c r="P6143">
        <v>0</v>
      </c>
      <c r="Q6143">
        <v>0</v>
      </c>
      <c r="R6143" t="s">
        <v>41256</v>
      </c>
      <c r="S6143" t="s">
        <v>41450</v>
      </c>
      <c r="T6143" t="s">
        <v>42701</v>
      </c>
      <c r="U6143" t="s">
        <v>48280</v>
      </c>
      <c r="W6143" t="s">
        <v>55977</v>
      </c>
      <c r="X6143" t="s">
        <v>41257</v>
      </c>
    </row>
    <row r="6144" spans="1:24">
      <c r="A6144">
        <f>HYPERLINK("https://www.philgeps.gov.ph/GEPSNONPILOT/Tender/SplashBidNoticeAbstractUI.aspx?menuIndex=3&amp;refID=7073151&amp;Result=3","7073151")</f>
        <v>0</v>
      </c>
      <c r="B6144" t="s">
        <v>2059</v>
      </c>
      <c r="C6144" t="s">
        <v>9244</v>
      </c>
      <c r="E6144" t="s">
        <v>22124</v>
      </c>
      <c r="F6144" t="s">
        <v>28669</v>
      </c>
      <c r="G6144" t="s">
        <v>28675</v>
      </c>
      <c r="H6144" t="s">
        <v>28686</v>
      </c>
      <c r="I6144" t="s">
        <v>28689</v>
      </c>
      <c r="J6144" t="s">
        <v>32697</v>
      </c>
      <c r="K6144" t="s">
        <v>37270</v>
      </c>
      <c r="M6144" t="s">
        <v>39699</v>
      </c>
      <c r="N6144" t="s">
        <v>41249</v>
      </c>
      <c r="O6144" t="s">
        <v>41250</v>
      </c>
      <c r="P6144">
        <v>0</v>
      </c>
      <c r="Q6144">
        <v>1</v>
      </c>
      <c r="R6144" t="s">
        <v>41254</v>
      </c>
      <c r="S6144" t="s">
        <v>41425</v>
      </c>
      <c r="T6144" t="s">
        <v>42713</v>
      </c>
      <c r="U6144" t="s">
        <v>48281</v>
      </c>
      <c r="W6144" t="s">
        <v>39699</v>
      </c>
      <c r="X6144" t="s">
        <v>41255</v>
      </c>
    </row>
    <row r="6145" spans="1:24">
      <c r="A6145">
        <f>HYPERLINK("https://www.philgeps.gov.ph/GEPSNONPILOT/Tender/SplashBidNoticeAbstractUI.aspx?menuIndex=3&amp;refID=7071669&amp;Result=3","7071669")</f>
        <v>0</v>
      </c>
      <c r="B6145" t="s">
        <v>2034</v>
      </c>
      <c r="C6145" t="s">
        <v>6532</v>
      </c>
      <c r="D6145" t="s">
        <v>16650</v>
      </c>
      <c r="E6145" t="s">
        <v>22125</v>
      </c>
      <c r="F6145" t="s">
        <v>28669</v>
      </c>
      <c r="G6145" t="s">
        <v>28676</v>
      </c>
      <c r="H6145" t="s">
        <v>28685</v>
      </c>
      <c r="I6145" t="s">
        <v>28685</v>
      </c>
      <c r="J6145" t="s">
        <v>29479</v>
      </c>
      <c r="K6145" t="s">
        <v>37227</v>
      </c>
      <c r="M6145" t="s">
        <v>39674</v>
      </c>
      <c r="N6145" t="s">
        <v>41249</v>
      </c>
      <c r="O6145" t="s">
        <v>41250</v>
      </c>
      <c r="P6145">
        <v>0</v>
      </c>
      <c r="Q6145">
        <v>1</v>
      </c>
      <c r="R6145" t="s">
        <v>41256</v>
      </c>
      <c r="S6145" t="s">
        <v>41450</v>
      </c>
      <c r="T6145" t="s">
        <v>42743</v>
      </c>
      <c r="U6145" t="s">
        <v>48282</v>
      </c>
      <c r="W6145" t="s">
        <v>39674</v>
      </c>
      <c r="X6145" t="s">
        <v>41257</v>
      </c>
    </row>
    <row r="6146" spans="1:24">
      <c r="A6146">
        <f>HYPERLINK("https://www.philgeps.gov.ph/GEPSNONPILOT/Tender/SplashBidNoticeAbstractUI.aspx?menuIndex=3&amp;refID=7073148&amp;Result=3","7073148")</f>
        <v>0</v>
      </c>
      <c r="B6146" t="s">
        <v>2060</v>
      </c>
      <c r="C6146" t="s">
        <v>9245</v>
      </c>
      <c r="D6146" t="s">
        <v>16626</v>
      </c>
      <c r="E6146" t="s">
        <v>22126</v>
      </c>
      <c r="F6146" t="s">
        <v>28669</v>
      </c>
      <c r="G6146" t="s">
        <v>28676</v>
      </c>
      <c r="H6146" t="s">
        <v>9998</v>
      </c>
      <c r="I6146" t="s">
        <v>6128</v>
      </c>
      <c r="J6146" t="s">
        <v>32698</v>
      </c>
      <c r="K6146" t="s">
        <v>37208</v>
      </c>
      <c r="M6146" t="s">
        <v>39700</v>
      </c>
      <c r="N6146" t="s">
        <v>41249</v>
      </c>
      <c r="O6146" t="s">
        <v>41250</v>
      </c>
      <c r="P6146">
        <v>0</v>
      </c>
      <c r="Q6146">
        <v>0</v>
      </c>
      <c r="R6146" t="s">
        <v>41254</v>
      </c>
      <c r="S6146" t="s">
        <v>41425</v>
      </c>
      <c r="T6146" t="s">
        <v>42717</v>
      </c>
      <c r="U6146" t="s">
        <v>48283</v>
      </c>
      <c r="W6146" t="s">
        <v>39700</v>
      </c>
      <c r="X6146" t="s">
        <v>41255</v>
      </c>
    </row>
    <row r="6147" spans="1:24">
      <c r="A6147">
        <f>HYPERLINK("https://www.philgeps.gov.ph/GEPSNONPILOT/Tender/SplashBidNoticeAbstractUI.aspx?menuIndex=3&amp;refID=7073146&amp;Result=3","7073146")</f>
        <v>0</v>
      </c>
      <c r="B6147" t="s">
        <v>2061</v>
      </c>
      <c r="C6147" t="s">
        <v>9246</v>
      </c>
      <c r="D6147" t="s">
        <v>16633</v>
      </c>
      <c r="E6147" t="s">
        <v>16803</v>
      </c>
      <c r="F6147" t="s">
        <v>28669</v>
      </c>
      <c r="G6147" t="s">
        <v>28675</v>
      </c>
      <c r="H6147" t="s">
        <v>9998</v>
      </c>
      <c r="I6147" t="s">
        <v>28694</v>
      </c>
      <c r="J6147" t="s">
        <v>32699</v>
      </c>
      <c r="K6147" t="s">
        <v>37205</v>
      </c>
      <c r="M6147" t="s">
        <v>39701</v>
      </c>
      <c r="N6147" t="s">
        <v>41249</v>
      </c>
      <c r="O6147" t="s">
        <v>41250</v>
      </c>
      <c r="P6147">
        <v>0</v>
      </c>
      <c r="Q6147">
        <v>1</v>
      </c>
      <c r="R6147" t="s">
        <v>41254</v>
      </c>
      <c r="S6147" t="s">
        <v>41425</v>
      </c>
      <c r="T6147" t="s">
        <v>42694</v>
      </c>
      <c r="U6147" t="s">
        <v>48284</v>
      </c>
      <c r="W6147" t="s">
        <v>39701</v>
      </c>
      <c r="X6147" t="s">
        <v>41255</v>
      </c>
    </row>
    <row r="6148" spans="1:24">
      <c r="A6148">
        <f>HYPERLINK("https://www.philgeps.gov.ph/GEPSNONPILOT/Tender/SplashBidNoticeAbstractUI.aspx?menuIndex=3&amp;refID=7071593&amp;Result=3","7071593")</f>
        <v>0</v>
      </c>
      <c r="B6148" t="s">
        <v>2034</v>
      </c>
      <c r="C6148" t="s">
        <v>9161</v>
      </c>
      <c r="D6148" t="s">
        <v>16650</v>
      </c>
      <c r="E6148" t="s">
        <v>22127</v>
      </c>
      <c r="F6148" t="s">
        <v>28669</v>
      </c>
      <c r="G6148" t="s">
        <v>28676</v>
      </c>
      <c r="H6148" t="s">
        <v>9998</v>
      </c>
      <c r="I6148" t="s">
        <v>6458</v>
      </c>
      <c r="J6148" t="s">
        <v>32700</v>
      </c>
      <c r="K6148" t="s">
        <v>37210</v>
      </c>
      <c r="M6148" t="s">
        <v>39674</v>
      </c>
      <c r="N6148" t="s">
        <v>41249</v>
      </c>
      <c r="O6148" t="s">
        <v>41250</v>
      </c>
      <c r="P6148">
        <v>0</v>
      </c>
      <c r="Q6148">
        <v>1</v>
      </c>
      <c r="R6148" t="s">
        <v>41256</v>
      </c>
      <c r="S6148" t="s">
        <v>41450</v>
      </c>
      <c r="T6148" t="s">
        <v>42767</v>
      </c>
      <c r="U6148" t="s">
        <v>48285</v>
      </c>
      <c r="W6148" t="s">
        <v>39674</v>
      </c>
      <c r="X6148" t="s">
        <v>41257</v>
      </c>
    </row>
    <row r="6149" spans="1:24">
      <c r="A6149">
        <f>HYPERLINK("https://www.philgeps.gov.ph/GEPSNONPILOT/Tender/SplashBidNoticeAbstractUI.aspx?menuIndex=3&amp;refID=7073144&amp;Result=3","7073144")</f>
        <v>0</v>
      </c>
      <c r="B6149" t="s">
        <v>850</v>
      </c>
      <c r="C6149" t="s">
        <v>9247</v>
      </c>
      <c r="D6149" t="s">
        <v>16686</v>
      </c>
      <c r="E6149" t="s">
        <v>22128</v>
      </c>
      <c r="F6149" t="s">
        <v>28669</v>
      </c>
      <c r="G6149" t="s">
        <v>28675</v>
      </c>
      <c r="H6149" t="s">
        <v>28686</v>
      </c>
      <c r="I6149" t="s">
        <v>28689</v>
      </c>
      <c r="J6149" t="s">
        <v>29247</v>
      </c>
      <c r="K6149" t="s">
        <v>37209</v>
      </c>
      <c r="M6149" t="s">
        <v>38366</v>
      </c>
      <c r="N6149" t="s">
        <v>41249</v>
      </c>
      <c r="O6149" t="s">
        <v>41250</v>
      </c>
      <c r="P6149">
        <v>0</v>
      </c>
      <c r="Q6149">
        <v>0</v>
      </c>
      <c r="R6149" t="s">
        <v>41254</v>
      </c>
      <c r="S6149" t="s">
        <v>41425</v>
      </c>
      <c r="T6149" t="s">
        <v>42696</v>
      </c>
      <c r="U6149" t="s">
        <v>48286</v>
      </c>
      <c r="W6149" t="s">
        <v>38366</v>
      </c>
      <c r="X6149" t="s">
        <v>41255</v>
      </c>
    </row>
    <row r="6150" spans="1:24">
      <c r="A6150">
        <f>HYPERLINK("https://www.philgeps.gov.ph/GEPSNONPILOT/Tender/SplashBidNoticeAbstractUI.aspx?menuIndex=3&amp;refID=7073119&amp;Result=3","7073119")</f>
        <v>0</v>
      </c>
      <c r="B6150" t="s">
        <v>762</v>
      </c>
      <c r="C6150" t="s">
        <v>9248</v>
      </c>
      <c r="E6150" t="s">
        <v>22129</v>
      </c>
      <c r="F6150" t="s">
        <v>28669</v>
      </c>
      <c r="G6150" t="s">
        <v>28679</v>
      </c>
      <c r="H6150" t="s">
        <v>9998</v>
      </c>
      <c r="I6150" t="s">
        <v>3718</v>
      </c>
      <c r="J6150" t="s">
        <v>32701</v>
      </c>
      <c r="K6150" t="s">
        <v>37209</v>
      </c>
      <c r="M6150" t="s">
        <v>38273</v>
      </c>
      <c r="N6150" t="s">
        <v>41249</v>
      </c>
      <c r="O6150" t="s">
        <v>41250</v>
      </c>
      <c r="P6150">
        <v>0</v>
      </c>
      <c r="Q6150">
        <v>15</v>
      </c>
      <c r="R6150" t="s">
        <v>41254</v>
      </c>
      <c r="S6150" t="s">
        <v>41425</v>
      </c>
      <c r="T6150" t="s">
        <v>42762</v>
      </c>
      <c r="U6150" t="s">
        <v>45818</v>
      </c>
      <c r="W6150" t="s">
        <v>38273</v>
      </c>
      <c r="X6150" t="s">
        <v>41255</v>
      </c>
    </row>
    <row r="6151" spans="1:24">
      <c r="A6151">
        <f>HYPERLINK("https://www.philgeps.gov.ph/GEPSNONPILOT/Tender/SplashBidNoticeAbstractUI.aspx?menuIndex=3&amp;refID=7073118&amp;Result=3","7073118")</f>
        <v>0</v>
      </c>
      <c r="B6151" t="s">
        <v>2062</v>
      </c>
      <c r="C6151" t="s">
        <v>9249</v>
      </c>
      <c r="D6151" t="s">
        <v>16658</v>
      </c>
      <c r="E6151" t="s">
        <v>22130</v>
      </c>
      <c r="F6151" t="s">
        <v>28669</v>
      </c>
      <c r="G6151" t="s">
        <v>28675</v>
      </c>
      <c r="H6151" t="s">
        <v>28686</v>
      </c>
      <c r="I6151" t="s">
        <v>28689</v>
      </c>
      <c r="J6151" t="s">
        <v>32702</v>
      </c>
      <c r="K6151" t="s">
        <v>37210</v>
      </c>
      <c r="M6151" t="s">
        <v>39702</v>
      </c>
      <c r="N6151" t="s">
        <v>41249</v>
      </c>
      <c r="O6151" t="s">
        <v>41250</v>
      </c>
      <c r="P6151">
        <v>0</v>
      </c>
      <c r="Q6151">
        <v>0</v>
      </c>
      <c r="R6151" t="s">
        <v>41254</v>
      </c>
      <c r="S6151" t="s">
        <v>41425</v>
      </c>
      <c r="T6151" t="s">
        <v>42742</v>
      </c>
      <c r="U6151" t="s">
        <v>48287</v>
      </c>
      <c r="V6151" t="s">
        <v>54949</v>
      </c>
      <c r="W6151" t="s">
        <v>39702</v>
      </c>
      <c r="X6151" t="s">
        <v>41255</v>
      </c>
    </row>
    <row r="6152" spans="1:24">
      <c r="A6152">
        <f>HYPERLINK("https://www.philgeps.gov.ph/GEPSNONPILOT/Tender/SplashBidNoticeAbstractUI.aspx?menuIndex=3&amp;refID=7073150&amp;Result=3","7073150")</f>
        <v>0</v>
      </c>
      <c r="B6152" t="s">
        <v>2063</v>
      </c>
      <c r="C6152" t="s">
        <v>9250</v>
      </c>
      <c r="D6152" t="s">
        <v>16608</v>
      </c>
      <c r="E6152" t="s">
        <v>22131</v>
      </c>
      <c r="F6152" t="s">
        <v>28669</v>
      </c>
      <c r="G6152" t="s">
        <v>28675</v>
      </c>
      <c r="H6152" t="s">
        <v>9998</v>
      </c>
      <c r="I6152" t="s">
        <v>5213</v>
      </c>
      <c r="J6152" t="s">
        <v>32703</v>
      </c>
      <c r="K6152" t="s">
        <v>37243</v>
      </c>
      <c r="M6152" t="s">
        <v>39703</v>
      </c>
      <c r="N6152" t="s">
        <v>41249</v>
      </c>
      <c r="O6152" t="s">
        <v>41250</v>
      </c>
      <c r="P6152">
        <v>0</v>
      </c>
      <c r="Q6152">
        <v>4</v>
      </c>
      <c r="R6152" t="s">
        <v>41254</v>
      </c>
      <c r="S6152" t="s">
        <v>41425</v>
      </c>
      <c r="T6152" t="s">
        <v>42679</v>
      </c>
      <c r="U6152" t="s">
        <v>48288</v>
      </c>
      <c r="V6152" t="s">
        <v>54950</v>
      </c>
      <c r="W6152" t="s">
        <v>39703</v>
      </c>
      <c r="X6152" t="s">
        <v>41255</v>
      </c>
    </row>
    <row r="6153" spans="1:24">
      <c r="A6153">
        <f>HYPERLINK("https://www.philgeps.gov.ph/GEPSNONPILOT/Tender/SplashBidNoticeAbstractUI.aspx?menuIndex=3&amp;refID=7073094&amp;Result=3","7073094")</f>
        <v>0</v>
      </c>
      <c r="B6153" t="s">
        <v>1873</v>
      </c>
      <c r="C6153" t="s">
        <v>9251</v>
      </c>
      <c r="E6153" t="s">
        <v>22132</v>
      </c>
      <c r="F6153" t="s">
        <v>28669</v>
      </c>
      <c r="G6153" t="s">
        <v>28678</v>
      </c>
      <c r="H6153" t="s">
        <v>9998</v>
      </c>
      <c r="I6153" t="s">
        <v>6128</v>
      </c>
      <c r="J6153" t="s">
        <v>32704</v>
      </c>
      <c r="K6153" t="s">
        <v>37205</v>
      </c>
      <c r="M6153" t="s">
        <v>39495</v>
      </c>
      <c r="N6153" t="s">
        <v>41249</v>
      </c>
      <c r="O6153" t="s">
        <v>41250</v>
      </c>
      <c r="P6153">
        <v>0</v>
      </c>
      <c r="Q6153">
        <v>7</v>
      </c>
      <c r="R6153" t="s">
        <v>41254</v>
      </c>
      <c r="S6153" t="s">
        <v>41425</v>
      </c>
      <c r="T6153" t="s">
        <v>42811</v>
      </c>
      <c r="U6153" t="s">
        <v>48289</v>
      </c>
      <c r="W6153" t="s">
        <v>39495</v>
      </c>
      <c r="X6153" t="s">
        <v>41255</v>
      </c>
    </row>
    <row r="6154" spans="1:24">
      <c r="A6154">
        <f>HYPERLINK("https://www.philgeps.gov.ph/GEPSNONPILOT/Tender/SplashBidNoticeAbstractUI.aspx?menuIndex=3&amp;refID=7073089&amp;Result=3","7073089")</f>
        <v>0</v>
      </c>
      <c r="B6154" t="s">
        <v>613</v>
      </c>
      <c r="C6154" t="s">
        <v>9252</v>
      </c>
      <c r="D6154" t="s">
        <v>16643</v>
      </c>
      <c r="E6154" t="s">
        <v>22133</v>
      </c>
      <c r="F6154" t="s">
        <v>28669</v>
      </c>
      <c r="G6154" t="s">
        <v>28677</v>
      </c>
      <c r="H6154" t="s">
        <v>9998</v>
      </c>
      <c r="I6154" t="s">
        <v>6128</v>
      </c>
      <c r="J6154" t="s">
        <v>29088</v>
      </c>
      <c r="K6154" t="s">
        <v>37221</v>
      </c>
      <c r="M6154" t="s">
        <v>38113</v>
      </c>
      <c r="N6154" t="s">
        <v>41249</v>
      </c>
      <c r="O6154" t="s">
        <v>41250</v>
      </c>
      <c r="P6154">
        <v>0</v>
      </c>
      <c r="Q6154">
        <v>3</v>
      </c>
      <c r="R6154" t="s">
        <v>41254</v>
      </c>
      <c r="S6154" t="s">
        <v>41425</v>
      </c>
      <c r="T6154" t="s">
        <v>42728</v>
      </c>
      <c r="U6154" t="s">
        <v>48290</v>
      </c>
      <c r="W6154" t="s">
        <v>38113</v>
      </c>
      <c r="X6154" t="s">
        <v>41255</v>
      </c>
    </row>
    <row r="6155" spans="1:24">
      <c r="A6155">
        <f>HYPERLINK("https://www.philgeps.gov.ph/GEPSNONPILOT/Tender/SplashBidNoticeAbstractUI.aspx?menuIndex=3&amp;refID=7071702&amp;Result=3","7071702")</f>
        <v>0</v>
      </c>
      <c r="B6155" t="s">
        <v>2033</v>
      </c>
      <c r="C6155" t="s">
        <v>9253</v>
      </c>
      <c r="D6155" t="s">
        <v>16625</v>
      </c>
      <c r="E6155" t="s">
        <v>22134</v>
      </c>
      <c r="F6155" t="s">
        <v>28669</v>
      </c>
      <c r="G6155" t="s">
        <v>28675</v>
      </c>
      <c r="H6155" t="s">
        <v>9998</v>
      </c>
      <c r="I6155" t="s">
        <v>28710</v>
      </c>
      <c r="J6155" t="s">
        <v>32705</v>
      </c>
      <c r="K6155" t="s">
        <v>37210</v>
      </c>
      <c r="M6155" t="s">
        <v>39673</v>
      </c>
      <c r="N6155" t="s">
        <v>41249</v>
      </c>
      <c r="O6155" t="s">
        <v>41250</v>
      </c>
      <c r="P6155">
        <v>0</v>
      </c>
      <c r="Q6155">
        <v>0</v>
      </c>
      <c r="R6155" t="s">
        <v>41256</v>
      </c>
      <c r="S6155" t="s">
        <v>41450</v>
      </c>
      <c r="T6155" t="s">
        <v>42673</v>
      </c>
      <c r="U6155" t="s">
        <v>48256</v>
      </c>
      <c r="W6155" t="s">
        <v>39673</v>
      </c>
      <c r="X6155" t="s">
        <v>41257</v>
      </c>
    </row>
    <row r="6156" spans="1:24">
      <c r="A6156">
        <f>HYPERLINK("https://www.philgeps.gov.ph/GEPSNONPILOT/Tender/SplashBidNoticeAbstractUI.aspx?menuIndex=3&amp;refID=7073145&amp;Result=3","7073145")</f>
        <v>0</v>
      </c>
      <c r="B6156" t="s">
        <v>1872</v>
      </c>
      <c r="C6156" t="s">
        <v>9254</v>
      </c>
      <c r="D6156" t="s">
        <v>16607</v>
      </c>
      <c r="E6156" t="s">
        <v>22135</v>
      </c>
      <c r="F6156" t="s">
        <v>28669</v>
      </c>
      <c r="G6156" t="s">
        <v>28675</v>
      </c>
      <c r="H6156" t="s">
        <v>9998</v>
      </c>
      <c r="I6156" t="s">
        <v>28740</v>
      </c>
      <c r="J6156" t="s">
        <v>32706</v>
      </c>
      <c r="K6156" t="s">
        <v>37258</v>
      </c>
      <c r="M6156" t="s">
        <v>39494</v>
      </c>
      <c r="N6156" t="s">
        <v>41249</v>
      </c>
      <c r="O6156" t="s">
        <v>41250</v>
      </c>
      <c r="P6156">
        <v>0</v>
      </c>
      <c r="Q6156">
        <v>5</v>
      </c>
      <c r="R6156" t="s">
        <v>41254</v>
      </c>
      <c r="S6156" t="s">
        <v>41425</v>
      </c>
      <c r="T6156" t="s">
        <v>42692</v>
      </c>
      <c r="U6156" t="s">
        <v>48291</v>
      </c>
      <c r="V6156" t="s">
        <v>54340</v>
      </c>
      <c r="W6156" t="s">
        <v>39494</v>
      </c>
      <c r="X6156" t="s">
        <v>41255</v>
      </c>
    </row>
    <row r="6157" spans="1:24">
      <c r="A6157">
        <f>HYPERLINK("https://www.philgeps.gov.ph/GEPSNONPILOT/Tender/SplashBidNoticeAbstractUI.aspx?menuIndex=3&amp;refID=7073084&amp;Result=3","7073084")</f>
        <v>0</v>
      </c>
      <c r="B6157" t="s">
        <v>1153</v>
      </c>
      <c r="C6157" t="s">
        <v>9255</v>
      </c>
      <c r="D6157" t="s">
        <v>16654</v>
      </c>
      <c r="E6157" t="s">
        <v>21326</v>
      </c>
      <c r="F6157" t="s">
        <v>28669</v>
      </c>
      <c r="G6157" t="s">
        <v>28676</v>
      </c>
      <c r="H6157" t="s">
        <v>9998</v>
      </c>
      <c r="I6157" t="s">
        <v>6606</v>
      </c>
      <c r="J6157" t="s">
        <v>32707</v>
      </c>
      <c r="K6157" t="s">
        <v>37209</v>
      </c>
      <c r="M6157" t="s">
        <v>38690</v>
      </c>
      <c r="N6157" t="s">
        <v>41249</v>
      </c>
      <c r="O6157" t="s">
        <v>41250</v>
      </c>
      <c r="P6157">
        <v>0</v>
      </c>
      <c r="Q6157">
        <v>0</v>
      </c>
      <c r="R6157" t="s">
        <v>41254</v>
      </c>
      <c r="S6157" t="s">
        <v>41425</v>
      </c>
      <c r="T6157" t="s">
        <v>42758</v>
      </c>
      <c r="U6157" t="s">
        <v>48292</v>
      </c>
      <c r="W6157" t="s">
        <v>38690</v>
      </c>
      <c r="X6157" t="s">
        <v>41255</v>
      </c>
    </row>
    <row r="6158" spans="1:24">
      <c r="A6158">
        <f>HYPERLINK("https://www.philgeps.gov.ph/GEPSNONPILOT/Tender/SplashBidNoticeAbstractUI.aspx?menuIndex=3&amp;refID=7073065&amp;Result=3","7073065")</f>
        <v>0</v>
      </c>
      <c r="B6158" t="s">
        <v>842</v>
      </c>
      <c r="C6158" t="s">
        <v>9256</v>
      </c>
      <c r="D6158" t="s">
        <v>16658</v>
      </c>
      <c r="E6158" t="s">
        <v>22136</v>
      </c>
      <c r="F6158" t="s">
        <v>28669</v>
      </c>
      <c r="G6158" t="s">
        <v>28675</v>
      </c>
      <c r="H6158" t="s">
        <v>28686</v>
      </c>
      <c r="I6158" t="s">
        <v>28689</v>
      </c>
      <c r="J6158" t="s">
        <v>32463</v>
      </c>
      <c r="K6158" t="s">
        <v>37255</v>
      </c>
      <c r="M6158" t="s">
        <v>39485</v>
      </c>
      <c r="N6158" t="s">
        <v>41249</v>
      </c>
      <c r="O6158" t="s">
        <v>41250</v>
      </c>
      <c r="P6158">
        <v>0</v>
      </c>
      <c r="Q6158">
        <v>3</v>
      </c>
      <c r="R6158" t="s">
        <v>41254</v>
      </c>
      <c r="S6158" t="s">
        <v>41425</v>
      </c>
      <c r="T6158" t="s">
        <v>42911</v>
      </c>
      <c r="U6158" t="s">
        <v>47732</v>
      </c>
      <c r="W6158" t="s">
        <v>39485</v>
      </c>
      <c r="X6158" t="s">
        <v>41255</v>
      </c>
    </row>
    <row r="6159" spans="1:24">
      <c r="A6159">
        <f>HYPERLINK("https://www.philgeps.gov.ph/GEPSNONPILOT/Tender/SplashBidNoticeAbstractUI.aspx?menuIndex=3&amp;refID=7073117&amp;Result=3","7073117")</f>
        <v>0</v>
      </c>
      <c r="B6159" t="s">
        <v>1877</v>
      </c>
      <c r="C6159" t="s">
        <v>6606</v>
      </c>
      <c r="E6159" t="s">
        <v>22137</v>
      </c>
      <c r="F6159" t="s">
        <v>28669</v>
      </c>
      <c r="G6159" t="s">
        <v>28676</v>
      </c>
      <c r="H6159" t="s">
        <v>9998</v>
      </c>
      <c r="I6159" t="s">
        <v>6606</v>
      </c>
      <c r="J6159" t="s">
        <v>32708</v>
      </c>
      <c r="K6159" t="s">
        <v>37205</v>
      </c>
      <c r="M6159" t="s">
        <v>39499</v>
      </c>
      <c r="N6159" t="s">
        <v>41249</v>
      </c>
      <c r="O6159" t="s">
        <v>41250</v>
      </c>
      <c r="P6159">
        <v>0</v>
      </c>
      <c r="Q6159">
        <v>1</v>
      </c>
      <c r="R6159" t="s">
        <v>41254</v>
      </c>
      <c r="S6159" t="s">
        <v>41425</v>
      </c>
      <c r="T6159" t="s">
        <v>42728</v>
      </c>
      <c r="U6159" t="s">
        <v>48293</v>
      </c>
      <c r="W6159" t="s">
        <v>39499</v>
      </c>
      <c r="X6159" t="s">
        <v>41255</v>
      </c>
    </row>
    <row r="6160" spans="1:24">
      <c r="A6160">
        <f>HYPERLINK("https://www.philgeps.gov.ph/GEPSNONPILOT/Tender/SplashBidNoticeAbstractUI.aspx?menuIndex=3&amp;refID=7073063&amp;Result=3","7073063")</f>
        <v>0</v>
      </c>
      <c r="B6160" t="s">
        <v>842</v>
      </c>
      <c r="C6160" t="s">
        <v>9257</v>
      </c>
      <c r="D6160" t="s">
        <v>16658</v>
      </c>
      <c r="E6160" t="s">
        <v>22138</v>
      </c>
      <c r="F6160" t="s">
        <v>28669</v>
      </c>
      <c r="G6160" t="s">
        <v>28675</v>
      </c>
      <c r="H6160" t="s">
        <v>28686</v>
      </c>
      <c r="I6160" t="s">
        <v>28689</v>
      </c>
      <c r="J6160" t="s">
        <v>30865</v>
      </c>
      <c r="K6160" t="s">
        <v>37290</v>
      </c>
      <c r="M6160" t="s">
        <v>39485</v>
      </c>
      <c r="N6160" t="s">
        <v>41249</v>
      </c>
      <c r="O6160" t="s">
        <v>41250</v>
      </c>
      <c r="P6160">
        <v>0</v>
      </c>
      <c r="Q6160">
        <v>1</v>
      </c>
      <c r="R6160" t="s">
        <v>41254</v>
      </c>
      <c r="S6160" t="s">
        <v>41425</v>
      </c>
      <c r="T6160" t="s">
        <v>42911</v>
      </c>
      <c r="U6160" t="s">
        <v>47732</v>
      </c>
      <c r="W6160" t="s">
        <v>39485</v>
      </c>
      <c r="X6160" t="s">
        <v>41255</v>
      </c>
    </row>
    <row r="6161" spans="1:24">
      <c r="A6161">
        <f>HYPERLINK("https://www.philgeps.gov.ph/GEPSNONPILOT/Tender/SplashBidNoticeAbstractUI.aspx?menuIndex=3&amp;refID=7073061&amp;Result=3","7073061")</f>
        <v>0</v>
      </c>
      <c r="B6161" t="s">
        <v>909</v>
      </c>
      <c r="C6161" t="s">
        <v>9258</v>
      </c>
      <c r="D6161" t="s">
        <v>16662</v>
      </c>
      <c r="E6161" t="s">
        <v>22139</v>
      </c>
      <c r="F6161" t="s">
        <v>28669</v>
      </c>
      <c r="G6161" t="s">
        <v>28676</v>
      </c>
      <c r="H6161" t="s">
        <v>9998</v>
      </c>
      <c r="I6161" t="s">
        <v>28693</v>
      </c>
      <c r="J6161" t="s">
        <v>32709</v>
      </c>
      <c r="K6161" t="s">
        <v>37227</v>
      </c>
      <c r="M6161" t="s">
        <v>38431</v>
      </c>
      <c r="N6161" t="s">
        <v>41249</v>
      </c>
      <c r="O6161" t="s">
        <v>41250</v>
      </c>
      <c r="P6161">
        <v>0</v>
      </c>
      <c r="Q6161">
        <v>7</v>
      </c>
      <c r="R6161" t="s">
        <v>41254</v>
      </c>
      <c r="S6161" t="s">
        <v>41425</v>
      </c>
      <c r="T6161" t="s">
        <v>42736</v>
      </c>
      <c r="U6161" t="s">
        <v>48294</v>
      </c>
      <c r="W6161" t="s">
        <v>38431</v>
      </c>
      <c r="X6161" t="s">
        <v>41255</v>
      </c>
    </row>
    <row r="6162" spans="1:24">
      <c r="A6162">
        <f>HYPERLINK("https://www.philgeps.gov.ph/GEPSNONPILOT/Tender/SplashBidNoticeAbstractUI.aspx?menuIndex=3&amp;refID=7073088&amp;Result=3","7073088")</f>
        <v>0</v>
      </c>
      <c r="B6162" t="s">
        <v>613</v>
      </c>
      <c r="C6162" t="s">
        <v>9252</v>
      </c>
      <c r="D6162" t="s">
        <v>16643</v>
      </c>
      <c r="E6162" t="s">
        <v>18885</v>
      </c>
      <c r="F6162" t="s">
        <v>28669</v>
      </c>
      <c r="G6162" t="s">
        <v>28677</v>
      </c>
      <c r="H6162" t="s">
        <v>9998</v>
      </c>
      <c r="I6162" t="s">
        <v>6128</v>
      </c>
      <c r="J6162" t="s">
        <v>32710</v>
      </c>
      <c r="K6162" t="s">
        <v>37221</v>
      </c>
      <c r="M6162" t="s">
        <v>38113</v>
      </c>
      <c r="N6162" t="s">
        <v>41249</v>
      </c>
      <c r="O6162" t="s">
        <v>41250</v>
      </c>
      <c r="P6162">
        <v>0</v>
      </c>
      <c r="Q6162">
        <v>6</v>
      </c>
      <c r="R6162" t="s">
        <v>41254</v>
      </c>
      <c r="S6162" t="s">
        <v>41425</v>
      </c>
      <c r="T6162" t="s">
        <v>42728</v>
      </c>
      <c r="U6162" t="s">
        <v>48295</v>
      </c>
      <c r="W6162" t="s">
        <v>38113</v>
      </c>
      <c r="X6162" t="s">
        <v>41255</v>
      </c>
    </row>
    <row r="6163" spans="1:24">
      <c r="A6163">
        <f>HYPERLINK("https://www.philgeps.gov.ph/GEPSNONPILOT/Tender/SplashBidNoticeAbstractUI.aspx?menuIndex=3&amp;refID=7073081&amp;Result=3","7073081")</f>
        <v>0</v>
      </c>
      <c r="B6163" t="s">
        <v>909</v>
      </c>
      <c r="C6163" t="s">
        <v>8640</v>
      </c>
      <c r="D6163" t="s">
        <v>16662</v>
      </c>
      <c r="E6163" t="s">
        <v>22140</v>
      </c>
      <c r="F6163" t="s">
        <v>28669</v>
      </c>
      <c r="G6163" t="s">
        <v>28676</v>
      </c>
      <c r="H6163" t="s">
        <v>9998</v>
      </c>
      <c r="I6163" t="s">
        <v>3679</v>
      </c>
      <c r="J6163" t="s">
        <v>29490</v>
      </c>
      <c r="K6163" t="s">
        <v>37227</v>
      </c>
      <c r="M6163" t="s">
        <v>38431</v>
      </c>
      <c r="N6163" t="s">
        <v>41249</v>
      </c>
      <c r="O6163" t="s">
        <v>41250</v>
      </c>
      <c r="P6163">
        <v>0</v>
      </c>
      <c r="Q6163">
        <v>1</v>
      </c>
      <c r="R6163" t="s">
        <v>41254</v>
      </c>
      <c r="S6163" t="s">
        <v>41425</v>
      </c>
      <c r="T6163" t="s">
        <v>42736</v>
      </c>
      <c r="U6163" t="s">
        <v>48296</v>
      </c>
      <c r="W6163" t="s">
        <v>38431</v>
      </c>
      <c r="X6163" t="s">
        <v>41255</v>
      </c>
    </row>
    <row r="6164" spans="1:24">
      <c r="A6164">
        <f>HYPERLINK("https://www.philgeps.gov.ph/GEPSNONPILOT/Tender/SplashBidNoticeAbstractUI.aspx?menuIndex=3&amp;refID=7073064&amp;Result=3","7073064")</f>
        <v>0</v>
      </c>
      <c r="B6164" t="s">
        <v>909</v>
      </c>
      <c r="C6164" t="s">
        <v>8625</v>
      </c>
      <c r="D6164" t="s">
        <v>16662</v>
      </c>
      <c r="E6164" t="s">
        <v>22141</v>
      </c>
      <c r="F6164" t="s">
        <v>28669</v>
      </c>
      <c r="G6164" t="s">
        <v>28676</v>
      </c>
      <c r="H6164" t="s">
        <v>9998</v>
      </c>
      <c r="I6164" t="s">
        <v>28714</v>
      </c>
      <c r="J6164" t="s">
        <v>32711</v>
      </c>
      <c r="K6164" t="s">
        <v>37227</v>
      </c>
      <c r="M6164" t="s">
        <v>38431</v>
      </c>
      <c r="N6164" t="s">
        <v>41249</v>
      </c>
      <c r="O6164" t="s">
        <v>41250</v>
      </c>
      <c r="P6164">
        <v>0</v>
      </c>
      <c r="Q6164">
        <v>2</v>
      </c>
      <c r="R6164" t="s">
        <v>41254</v>
      </c>
      <c r="S6164" t="s">
        <v>41425</v>
      </c>
      <c r="T6164" t="s">
        <v>42736</v>
      </c>
      <c r="U6164" t="s">
        <v>48297</v>
      </c>
      <c r="W6164" t="s">
        <v>38431</v>
      </c>
      <c r="X6164" t="s">
        <v>41255</v>
      </c>
    </row>
    <row r="6165" spans="1:24">
      <c r="A6165">
        <f>HYPERLINK("https://www.philgeps.gov.ph/GEPSNONPILOT/Tender/SplashBidNoticeAbstractUI.aspx?menuIndex=3&amp;refID=7071756&amp;Result=3","7071756")</f>
        <v>0</v>
      </c>
      <c r="B6165" t="s">
        <v>748</v>
      </c>
      <c r="C6165" t="s">
        <v>9259</v>
      </c>
      <c r="D6165" t="s">
        <v>16629</v>
      </c>
      <c r="E6165" t="s">
        <v>22142</v>
      </c>
      <c r="F6165" t="s">
        <v>28669</v>
      </c>
      <c r="G6165" t="s">
        <v>28675</v>
      </c>
      <c r="H6165" t="s">
        <v>9998</v>
      </c>
      <c r="I6165" t="s">
        <v>5213</v>
      </c>
      <c r="J6165" t="s">
        <v>28836</v>
      </c>
      <c r="K6165" t="s">
        <v>37213</v>
      </c>
      <c r="M6165" t="s">
        <v>38258</v>
      </c>
      <c r="N6165" t="s">
        <v>41249</v>
      </c>
      <c r="O6165" t="s">
        <v>41250</v>
      </c>
      <c r="P6165">
        <v>0</v>
      </c>
      <c r="Q6165">
        <v>1</v>
      </c>
      <c r="R6165" t="s">
        <v>41256</v>
      </c>
      <c r="S6165" t="s">
        <v>41450</v>
      </c>
      <c r="T6165" t="s">
        <v>42808</v>
      </c>
      <c r="U6165" t="s">
        <v>48298</v>
      </c>
      <c r="V6165" t="s">
        <v>54669</v>
      </c>
      <c r="W6165" t="s">
        <v>38258</v>
      </c>
      <c r="X6165" t="s">
        <v>41257</v>
      </c>
    </row>
    <row r="6166" spans="1:24">
      <c r="A6166">
        <f>HYPERLINK("https://www.philgeps.gov.ph/GEPSNONPILOT/Tender/SplashBidNoticeAbstractUI.aspx?menuIndex=3&amp;refID=7071623&amp;Result=3","7071623")</f>
        <v>0</v>
      </c>
      <c r="B6166" t="s">
        <v>599</v>
      </c>
      <c r="C6166" t="s">
        <v>9260</v>
      </c>
      <c r="D6166" t="s">
        <v>16617</v>
      </c>
      <c r="E6166" t="s">
        <v>22143</v>
      </c>
      <c r="F6166" t="s">
        <v>28669</v>
      </c>
      <c r="G6166" t="s">
        <v>28675</v>
      </c>
      <c r="H6166" t="s">
        <v>28686</v>
      </c>
      <c r="I6166" t="s">
        <v>28689</v>
      </c>
      <c r="J6166" t="s">
        <v>32712</v>
      </c>
      <c r="K6166" t="s">
        <v>37215</v>
      </c>
      <c r="M6166" t="s">
        <v>38098</v>
      </c>
      <c r="N6166" t="s">
        <v>41249</v>
      </c>
      <c r="O6166" t="s">
        <v>41250</v>
      </c>
      <c r="P6166">
        <v>0</v>
      </c>
      <c r="Q6166">
        <v>20</v>
      </c>
      <c r="R6166" t="s">
        <v>41256</v>
      </c>
      <c r="S6166" t="s">
        <v>41450</v>
      </c>
      <c r="T6166" t="s">
        <v>42782</v>
      </c>
      <c r="U6166" t="s">
        <v>44289</v>
      </c>
      <c r="V6166" t="s">
        <v>54278</v>
      </c>
      <c r="W6166" t="s">
        <v>38098</v>
      </c>
      <c r="X6166" t="s">
        <v>41257</v>
      </c>
    </row>
    <row r="6167" spans="1:24">
      <c r="A6167">
        <f>HYPERLINK("https://www.philgeps.gov.ph/GEPSNONPILOT/Tender/SplashBidNoticeAbstractUI.aspx?menuIndex=3&amp;refID=7071754&amp;Result=3","7071754")</f>
        <v>0</v>
      </c>
      <c r="B6167" t="s">
        <v>1829</v>
      </c>
      <c r="C6167" t="s">
        <v>9261</v>
      </c>
      <c r="D6167" t="s">
        <v>16661</v>
      </c>
      <c r="E6167" t="s">
        <v>21444</v>
      </c>
      <c r="F6167" t="s">
        <v>28669</v>
      </c>
      <c r="G6167" t="s">
        <v>28677</v>
      </c>
      <c r="H6167" t="s">
        <v>9998</v>
      </c>
      <c r="I6167" t="s">
        <v>28704</v>
      </c>
      <c r="J6167" t="s">
        <v>32713</v>
      </c>
      <c r="K6167" t="s">
        <v>37210</v>
      </c>
      <c r="M6167" t="s">
        <v>39442</v>
      </c>
      <c r="N6167" t="s">
        <v>41249</v>
      </c>
      <c r="O6167" t="s">
        <v>41250</v>
      </c>
      <c r="P6167">
        <v>0</v>
      </c>
      <c r="Q6167">
        <v>3</v>
      </c>
      <c r="R6167" t="s">
        <v>41256</v>
      </c>
      <c r="S6167" t="s">
        <v>41450</v>
      </c>
      <c r="T6167" t="s">
        <v>42728</v>
      </c>
      <c r="U6167" t="s">
        <v>48299</v>
      </c>
      <c r="W6167" t="s">
        <v>39442</v>
      </c>
      <c r="X6167" t="s">
        <v>41257</v>
      </c>
    </row>
    <row r="6168" spans="1:24">
      <c r="A6168">
        <f>HYPERLINK("https://www.philgeps.gov.ph/GEPSNONPILOT/Tender/SplashBidNoticeAbstractUI.aspx?menuIndex=3&amp;refID=7071748&amp;Result=3","7071748")</f>
        <v>0</v>
      </c>
      <c r="B6168" t="s">
        <v>744</v>
      </c>
      <c r="C6168" t="s">
        <v>9262</v>
      </c>
      <c r="D6168" t="s">
        <v>16608</v>
      </c>
      <c r="E6168" t="s">
        <v>22144</v>
      </c>
      <c r="F6168" t="s">
        <v>28669</v>
      </c>
      <c r="G6168" t="s">
        <v>28676</v>
      </c>
      <c r="H6168" t="s">
        <v>9998</v>
      </c>
      <c r="I6168" t="s">
        <v>28749</v>
      </c>
      <c r="J6168" t="s">
        <v>32714</v>
      </c>
      <c r="K6168" t="s">
        <v>37220</v>
      </c>
      <c r="M6168" t="s">
        <v>39704</v>
      </c>
      <c r="N6168" t="s">
        <v>41249</v>
      </c>
      <c r="O6168" t="s">
        <v>41250</v>
      </c>
      <c r="P6168">
        <v>0</v>
      </c>
      <c r="Q6168">
        <v>6</v>
      </c>
      <c r="R6168" t="s">
        <v>41256</v>
      </c>
      <c r="S6168" t="s">
        <v>41450</v>
      </c>
      <c r="T6168" t="s">
        <v>42738</v>
      </c>
      <c r="U6168" t="s">
        <v>43363</v>
      </c>
      <c r="W6168" t="s">
        <v>39704</v>
      </c>
      <c r="X6168" t="s">
        <v>41257</v>
      </c>
    </row>
    <row r="6169" spans="1:24">
      <c r="A6169">
        <f>HYPERLINK("https://www.philgeps.gov.ph/GEPSNONPILOT/Tender/SplashBidNoticeAbstractUI.aspx?menuIndex=3&amp;refID=7073087&amp;Result=3","7073087")</f>
        <v>0</v>
      </c>
      <c r="B6169" t="s">
        <v>2064</v>
      </c>
      <c r="C6169" t="s">
        <v>9263</v>
      </c>
      <c r="D6169" t="s">
        <v>16684</v>
      </c>
      <c r="E6169" t="s">
        <v>22145</v>
      </c>
      <c r="F6169" t="s">
        <v>28669</v>
      </c>
      <c r="G6169" t="s">
        <v>28676</v>
      </c>
      <c r="H6169" t="s">
        <v>9998</v>
      </c>
      <c r="I6169" t="s">
        <v>11593</v>
      </c>
      <c r="J6169" t="s">
        <v>32715</v>
      </c>
      <c r="K6169" t="s">
        <v>37205</v>
      </c>
      <c r="M6169" t="s">
        <v>39705</v>
      </c>
      <c r="N6169" t="s">
        <v>41249</v>
      </c>
      <c r="O6169" t="s">
        <v>41250</v>
      </c>
      <c r="P6169">
        <v>0</v>
      </c>
      <c r="Q6169">
        <v>3</v>
      </c>
      <c r="R6169" t="s">
        <v>41254</v>
      </c>
      <c r="S6169" t="s">
        <v>41425</v>
      </c>
      <c r="T6169" t="s">
        <v>42728</v>
      </c>
      <c r="U6169" t="s">
        <v>48300</v>
      </c>
      <c r="W6169" t="s">
        <v>39705</v>
      </c>
      <c r="X6169" t="s">
        <v>41255</v>
      </c>
    </row>
    <row r="6170" spans="1:24">
      <c r="A6170">
        <f>HYPERLINK("https://www.philgeps.gov.ph/GEPSNONPILOT/Tender/SplashBidNoticeAbstractUI.aspx?menuIndex=3&amp;refID=7071746&amp;Result=3","7071746")</f>
        <v>0</v>
      </c>
      <c r="B6170" t="s">
        <v>2065</v>
      </c>
      <c r="C6170" t="s">
        <v>9264</v>
      </c>
      <c r="D6170" t="s">
        <v>16616</v>
      </c>
      <c r="E6170" t="s">
        <v>22146</v>
      </c>
      <c r="F6170" t="s">
        <v>28669</v>
      </c>
      <c r="G6170" t="s">
        <v>28675</v>
      </c>
      <c r="H6170" t="s">
        <v>9998</v>
      </c>
      <c r="I6170" t="s">
        <v>28689</v>
      </c>
      <c r="J6170" t="s">
        <v>32716</v>
      </c>
      <c r="K6170" t="s">
        <v>37206</v>
      </c>
      <c r="M6170" t="s">
        <v>39706</v>
      </c>
      <c r="N6170" t="s">
        <v>41249</v>
      </c>
      <c r="O6170" t="s">
        <v>41250</v>
      </c>
      <c r="P6170">
        <v>0</v>
      </c>
      <c r="Q6170">
        <v>1</v>
      </c>
      <c r="R6170" t="s">
        <v>41256</v>
      </c>
      <c r="S6170" t="s">
        <v>41450</v>
      </c>
      <c r="T6170" t="s">
        <v>42679</v>
      </c>
      <c r="U6170" t="s">
        <v>48301</v>
      </c>
      <c r="V6170" t="s">
        <v>54951</v>
      </c>
      <c r="W6170" t="s">
        <v>39706</v>
      </c>
      <c r="X6170" t="s">
        <v>41257</v>
      </c>
    </row>
    <row r="6171" spans="1:24">
      <c r="A6171">
        <f>HYPERLINK("https://www.philgeps.gov.ph/GEPSNONPILOT/Tender/SplashBidNoticeAbstractUI.aspx?menuIndex=3&amp;refID=7071742&amp;Result=3","7071742")</f>
        <v>0</v>
      </c>
      <c r="B6171" t="s">
        <v>1829</v>
      </c>
      <c r="C6171" t="s">
        <v>9265</v>
      </c>
      <c r="D6171" t="s">
        <v>16661</v>
      </c>
      <c r="E6171" t="s">
        <v>21444</v>
      </c>
      <c r="F6171" t="s">
        <v>28669</v>
      </c>
      <c r="G6171" t="s">
        <v>28677</v>
      </c>
      <c r="H6171" t="s">
        <v>9998</v>
      </c>
      <c r="I6171" t="s">
        <v>28690</v>
      </c>
      <c r="J6171" t="s">
        <v>31332</v>
      </c>
      <c r="K6171" t="s">
        <v>37210</v>
      </c>
      <c r="M6171" t="s">
        <v>39442</v>
      </c>
      <c r="N6171" t="s">
        <v>41249</v>
      </c>
      <c r="O6171" t="s">
        <v>41250</v>
      </c>
      <c r="P6171">
        <v>0</v>
      </c>
      <c r="Q6171">
        <v>5</v>
      </c>
      <c r="R6171" t="s">
        <v>41256</v>
      </c>
      <c r="S6171" t="s">
        <v>41450</v>
      </c>
      <c r="T6171" t="s">
        <v>42728</v>
      </c>
      <c r="U6171" t="s">
        <v>48302</v>
      </c>
      <c r="W6171" t="s">
        <v>39442</v>
      </c>
      <c r="X6171" t="s">
        <v>41257</v>
      </c>
    </row>
    <row r="6172" spans="1:24">
      <c r="A6172">
        <f>HYPERLINK("https://www.philgeps.gov.ph/GEPSNONPILOT/Tender/SplashBidNoticeAbstractUI.aspx?menuIndex=3&amp;refID=7071714&amp;Result=3","7071714")</f>
        <v>0</v>
      </c>
      <c r="B6172" t="s">
        <v>599</v>
      </c>
      <c r="C6172" t="s">
        <v>9266</v>
      </c>
      <c r="D6172" t="s">
        <v>16617</v>
      </c>
      <c r="E6172" t="s">
        <v>22147</v>
      </c>
      <c r="F6172" t="s">
        <v>28669</v>
      </c>
      <c r="G6172" t="s">
        <v>28675</v>
      </c>
      <c r="H6172" t="s">
        <v>28686</v>
      </c>
      <c r="I6172" t="s">
        <v>28689</v>
      </c>
      <c r="J6172" t="s">
        <v>32717</v>
      </c>
      <c r="K6172" t="s">
        <v>37213</v>
      </c>
      <c r="M6172" t="s">
        <v>38098</v>
      </c>
      <c r="N6172" t="s">
        <v>41249</v>
      </c>
      <c r="O6172" t="s">
        <v>41250</v>
      </c>
      <c r="P6172">
        <v>0</v>
      </c>
      <c r="Q6172">
        <v>23</v>
      </c>
      <c r="R6172" t="s">
        <v>41256</v>
      </c>
      <c r="S6172" t="s">
        <v>41450</v>
      </c>
      <c r="T6172" t="s">
        <v>42782</v>
      </c>
      <c r="U6172" t="s">
        <v>48303</v>
      </c>
      <c r="V6172" t="s">
        <v>54952</v>
      </c>
      <c r="W6172" t="s">
        <v>38098</v>
      </c>
      <c r="X6172" t="s">
        <v>41257</v>
      </c>
    </row>
    <row r="6173" spans="1:24">
      <c r="A6173">
        <f>HYPERLINK("https://www.philgeps.gov.ph/GEPSNONPILOT/Tender/SplashBidNoticeAbstractUI.aspx?menuIndex=3&amp;refID=7071734&amp;Result=3","7071734")</f>
        <v>0</v>
      </c>
      <c r="B6173" t="s">
        <v>2055</v>
      </c>
      <c r="C6173" t="s">
        <v>9267</v>
      </c>
      <c r="D6173" t="s">
        <v>16644</v>
      </c>
      <c r="E6173" t="s">
        <v>22106</v>
      </c>
      <c r="F6173" t="s">
        <v>28669</v>
      </c>
      <c r="G6173" t="s">
        <v>28675</v>
      </c>
      <c r="H6173" t="s">
        <v>9998</v>
      </c>
      <c r="I6173" t="s">
        <v>28714</v>
      </c>
      <c r="J6173" t="s">
        <v>28877</v>
      </c>
      <c r="K6173" t="s">
        <v>37205</v>
      </c>
      <c r="M6173" t="s">
        <v>39695</v>
      </c>
      <c r="N6173" t="s">
        <v>41249</v>
      </c>
      <c r="O6173" t="s">
        <v>41250</v>
      </c>
      <c r="P6173">
        <v>0</v>
      </c>
      <c r="Q6173">
        <v>2</v>
      </c>
      <c r="R6173" t="s">
        <v>41256</v>
      </c>
      <c r="S6173" t="s">
        <v>41450</v>
      </c>
      <c r="T6173" t="s">
        <v>42717</v>
      </c>
      <c r="U6173" t="s">
        <v>48304</v>
      </c>
      <c r="W6173" t="s">
        <v>39695</v>
      </c>
      <c r="X6173" t="s">
        <v>41257</v>
      </c>
    </row>
    <row r="6174" spans="1:24">
      <c r="A6174">
        <f>HYPERLINK("https://www.philgeps.gov.ph/GEPSNONPILOT/Tender/SplashBidNoticeAbstractUI.aspx?menuIndex=3&amp;refID=7071730&amp;Result=3","7071730")</f>
        <v>0</v>
      </c>
      <c r="B6174" t="s">
        <v>1633</v>
      </c>
      <c r="C6174" t="s">
        <v>9268</v>
      </c>
      <c r="D6174" t="s">
        <v>16608</v>
      </c>
      <c r="E6174" t="s">
        <v>22148</v>
      </c>
      <c r="F6174" t="s">
        <v>28669</v>
      </c>
      <c r="G6174" t="s">
        <v>28678</v>
      </c>
      <c r="H6174" t="s">
        <v>9998</v>
      </c>
      <c r="I6174" t="s">
        <v>28764</v>
      </c>
      <c r="J6174" t="s">
        <v>29404</v>
      </c>
      <c r="K6174" t="s">
        <v>37205</v>
      </c>
      <c r="M6174" t="s">
        <v>39580</v>
      </c>
      <c r="N6174" t="s">
        <v>41249</v>
      </c>
      <c r="O6174" t="s">
        <v>41250</v>
      </c>
      <c r="P6174">
        <v>0</v>
      </c>
      <c r="Q6174">
        <v>6</v>
      </c>
      <c r="R6174" t="s">
        <v>41256</v>
      </c>
      <c r="S6174" t="s">
        <v>41450</v>
      </c>
      <c r="T6174" t="s">
        <v>42759</v>
      </c>
      <c r="U6174" t="s">
        <v>47958</v>
      </c>
      <c r="V6174" t="s">
        <v>54902</v>
      </c>
      <c r="W6174" t="s">
        <v>39580</v>
      </c>
      <c r="X6174" t="s">
        <v>41257</v>
      </c>
    </row>
    <row r="6175" spans="1:24">
      <c r="A6175">
        <f>HYPERLINK("https://www.philgeps.gov.ph/GEPSNONPILOT/Tender/SplashBidNoticeAbstractUI.aspx?menuIndex=3&amp;refID=7071516&amp;Result=3","7071516")</f>
        <v>0</v>
      </c>
      <c r="B6175" t="s">
        <v>2066</v>
      </c>
      <c r="C6175" t="s">
        <v>9269</v>
      </c>
      <c r="D6175" t="s">
        <v>16616</v>
      </c>
      <c r="E6175" t="s">
        <v>18394</v>
      </c>
      <c r="F6175" t="s">
        <v>28669</v>
      </c>
      <c r="G6175" t="s">
        <v>28675</v>
      </c>
      <c r="H6175" t="s">
        <v>9998</v>
      </c>
      <c r="I6175" t="s">
        <v>15140</v>
      </c>
      <c r="J6175" t="s">
        <v>28905</v>
      </c>
      <c r="K6175" t="s">
        <v>37220</v>
      </c>
      <c r="M6175" t="s">
        <v>39707</v>
      </c>
      <c r="N6175" t="s">
        <v>41249</v>
      </c>
      <c r="O6175" t="s">
        <v>41250</v>
      </c>
      <c r="P6175">
        <v>0</v>
      </c>
      <c r="Q6175">
        <v>0</v>
      </c>
      <c r="R6175" t="s">
        <v>41256</v>
      </c>
      <c r="S6175" t="s">
        <v>41450</v>
      </c>
      <c r="T6175" t="s">
        <v>42751</v>
      </c>
      <c r="U6175" t="s">
        <v>48305</v>
      </c>
      <c r="W6175" t="s">
        <v>39707</v>
      </c>
      <c r="X6175" t="s">
        <v>41257</v>
      </c>
    </row>
    <row r="6176" spans="1:24">
      <c r="A6176">
        <f>HYPERLINK("https://www.philgeps.gov.ph/GEPSNONPILOT/Tender/SplashBidNoticeAbstractUI.aspx?menuIndex=3&amp;refID=7071728&amp;Result=3","7071728")</f>
        <v>0</v>
      </c>
      <c r="B6176" t="s">
        <v>2054</v>
      </c>
      <c r="C6176" t="s">
        <v>9270</v>
      </c>
      <c r="D6176" t="s">
        <v>16641</v>
      </c>
      <c r="E6176" t="s">
        <v>22149</v>
      </c>
      <c r="F6176" t="s">
        <v>28669</v>
      </c>
      <c r="G6176" t="s">
        <v>28675</v>
      </c>
      <c r="H6176" t="s">
        <v>28686</v>
      </c>
      <c r="I6176" t="s">
        <v>28689</v>
      </c>
      <c r="J6176" t="s">
        <v>32718</v>
      </c>
      <c r="K6176" t="s">
        <v>37253</v>
      </c>
      <c r="L6176" t="s">
        <v>2054</v>
      </c>
      <c r="M6176" t="s">
        <v>39694</v>
      </c>
      <c r="N6176" t="s">
        <v>41249</v>
      </c>
      <c r="O6176" t="s">
        <v>41250</v>
      </c>
      <c r="P6176">
        <v>0</v>
      </c>
      <c r="Q6176">
        <v>11</v>
      </c>
      <c r="R6176" t="s">
        <v>41256</v>
      </c>
      <c r="S6176" t="s">
        <v>41450</v>
      </c>
      <c r="T6176" t="s">
        <v>42863</v>
      </c>
      <c r="U6176" t="s">
        <v>48266</v>
      </c>
      <c r="W6176" t="s">
        <v>39694</v>
      </c>
      <c r="X6176" t="s">
        <v>41257</v>
      </c>
    </row>
    <row r="6177" spans="1:24">
      <c r="A6177">
        <f>HYPERLINK("https://www.philgeps.gov.ph/GEPSNONPILOT/Tender/SplashBidNoticeAbstractUI.aspx?menuIndex=3&amp;refID=7071724&amp;Result=3","7071724")</f>
        <v>0</v>
      </c>
      <c r="B6177" t="s">
        <v>1327</v>
      </c>
      <c r="C6177" t="s">
        <v>9271</v>
      </c>
      <c r="D6177" t="s">
        <v>16627</v>
      </c>
      <c r="E6177" t="s">
        <v>22150</v>
      </c>
      <c r="F6177" t="s">
        <v>28669</v>
      </c>
      <c r="G6177" t="s">
        <v>28675</v>
      </c>
      <c r="H6177" t="s">
        <v>9998</v>
      </c>
      <c r="I6177" t="s">
        <v>28707</v>
      </c>
      <c r="J6177" t="s">
        <v>32719</v>
      </c>
      <c r="K6177" t="s">
        <v>37213</v>
      </c>
      <c r="M6177" t="s">
        <v>39006</v>
      </c>
      <c r="N6177" t="s">
        <v>41249</v>
      </c>
      <c r="O6177" t="s">
        <v>41250</v>
      </c>
      <c r="P6177">
        <v>0</v>
      </c>
      <c r="Q6177">
        <v>6</v>
      </c>
      <c r="R6177" t="s">
        <v>41256</v>
      </c>
      <c r="S6177" t="s">
        <v>41450</v>
      </c>
      <c r="T6177" t="s">
        <v>42765</v>
      </c>
      <c r="U6177" t="s">
        <v>48112</v>
      </c>
      <c r="W6177" t="s">
        <v>39006</v>
      </c>
      <c r="X6177" t="s">
        <v>41257</v>
      </c>
    </row>
    <row r="6178" spans="1:24">
      <c r="A6178">
        <f>HYPERLINK("https://www.philgeps.gov.ph/GEPSNONPILOT/Tender/SplashBidNoticeAbstractUI.aspx?menuIndex=3&amp;refID=7071722&amp;Result=3","7071722")</f>
        <v>0</v>
      </c>
      <c r="B6178" t="s">
        <v>1340</v>
      </c>
      <c r="C6178" t="s">
        <v>9272</v>
      </c>
      <c r="D6178" t="s">
        <v>16621</v>
      </c>
      <c r="E6178" t="s">
        <v>22151</v>
      </c>
      <c r="F6178" t="s">
        <v>28669</v>
      </c>
      <c r="G6178" t="s">
        <v>28676</v>
      </c>
      <c r="H6178" t="s">
        <v>9998</v>
      </c>
      <c r="I6178" t="s">
        <v>7352</v>
      </c>
      <c r="J6178" t="s">
        <v>32720</v>
      </c>
      <c r="K6178" t="s">
        <v>37227</v>
      </c>
      <c r="M6178" t="s">
        <v>38895</v>
      </c>
      <c r="N6178" t="s">
        <v>41249</v>
      </c>
      <c r="O6178" t="s">
        <v>41250</v>
      </c>
      <c r="P6178">
        <v>0</v>
      </c>
      <c r="Q6178">
        <v>0</v>
      </c>
      <c r="R6178" t="s">
        <v>41256</v>
      </c>
      <c r="S6178" t="s">
        <v>41450</v>
      </c>
      <c r="T6178" t="s">
        <v>42679</v>
      </c>
      <c r="U6178" t="s">
        <v>48306</v>
      </c>
      <c r="W6178" t="s">
        <v>38895</v>
      </c>
      <c r="X6178" t="s">
        <v>41257</v>
      </c>
    </row>
    <row r="6179" spans="1:24">
      <c r="A6179">
        <f>HYPERLINK("https://www.philgeps.gov.ph/GEPSNONPILOT/Tender/SplashBidNoticeAbstractUI.aspx?menuIndex=3&amp;refID=7071721&amp;Result=3","7071721")</f>
        <v>0</v>
      </c>
      <c r="B6179" t="s">
        <v>2049</v>
      </c>
      <c r="C6179" t="s">
        <v>9273</v>
      </c>
      <c r="D6179" t="s">
        <v>16648</v>
      </c>
      <c r="E6179" t="s">
        <v>22152</v>
      </c>
      <c r="F6179" t="s">
        <v>28669</v>
      </c>
      <c r="G6179" t="s">
        <v>28675</v>
      </c>
      <c r="H6179" t="s">
        <v>9998</v>
      </c>
      <c r="I6179" t="s">
        <v>6128</v>
      </c>
      <c r="J6179" t="s">
        <v>32721</v>
      </c>
      <c r="K6179" t="s">
        <v>37209</v>
      </c>
      <c r="M6179" t="s">
        <v>39689</v>
      </c>
      <c r="N6179" t="s">
        <v>41249</v>
      </c>
      <c r="O6179" t="s">
        <v>41250</v>
      </c>
      <c r="P6179">
        <v>0</v>
      </c>
      <c r="Q6179">
        <v>0</v>
      </c>
      <c r="R6179" t="s">
        <v>41256</v>
      </c>
      <c r="S6179" t="s">
        <v>41450</v>
      </c>
      <c r="T6179" t="s">
        <v>42754</v>
      </c>
      <c r="U6179" t="s">
        <v>48255</v>
      </c>
      <c r="W6179" t="s">
        <v>39689</v>
      </c>
      <c r="X6179" t="s">
        <v>41257</v>
      </c>
    </row>
    <row r="6180" spans="1:24">
      <c r="A6180">
        <f>HYPERLINK("https://www.philgeps.gov.ph/GEPSNONPILOT/Tender/SplashBidNoticeAbstractUI.aspx?menuIndex=3&amp;refID=7071718&amp;Result=3","7071718")</f>
        <v>0</v>
      </c>
      <c r="B6180" t="s">
        <v>1829</v>
      </c>
      <c r="C6180" t="s">
        <v>9274</v>
      </c>
      <c r="D6180" t="s">
        <v>16661</v>
      </c>
      <c r="E6180" t="s">
        <v>21444</v>
      </c>
      <c r="F6180" t="s">
        <v>28669</v>
      </c>
      <c r="G6180" t="s">
        <v>28677</v>
      </c>
      <c r="H6180" t="s">
        <v>9998</v>
      </c>
      <c r="I6180" t="s">
        <v>28695</v>
      </c>
      <c r="J6180" t="s">
        <v>28859</v>
      </c>
      <c r="K6180" t="s">
        <v>37210</v>
      </c>
      <c r="M6180" t="s">
        <v>39442</v>
      </c>
      <c r="N6180" t="s">
        <v>41249</v>
      </c>
      <c r="O6180" t="s">
        <v>41250</v>
      </c>
      <c r="P6180">
        <v>0</v>
      </c>
      <c r="Q6180">
        <v>1</v>
      </c>
      <c r="R6180" t="s">
        <v>41256</v>
      </c>
      <c r="S6180" t="s">
        <v>41450</v>
      </c>
      <c r="T6180" t="s">
        <v>42728</v>
      </c>
      <c r="U6180" t="s">
        <v>48307</v>
      </c>
      <c r="W6180" t="s">
        <v>39442</v>
      </c>
      <c r="X6180" t="s">
        <v>41257</v>
      </c>
    </row>
    <row r="6181" spans="1:24">
      <c r="A6181">
        <f>HYPERLINK("https://www.philgeps.gov.ph/GEPSNONPILOT/Tender/SplashBidNoticeAbstractUI.aspx?menuIndex=3&amp;refID=7071747&amp;Result=3","7071747")</f>
        <v>0</v>
      </c>
      <c r="B6181" t="s">
        <v>2033</v>
      </c>
      <c r="C6181" t="s">
        <v>9275</v>
      </c>
      <c r="D6181" t="s">
        <v>16625</v>
      </c>
      <c r="E6181" t="s">
        <v>22153</v>
      </c>
      <c r="F6181" t="s">
        <v>28669</v>
      </c>
      <c r="G6181" t="s">
        <v>28675</v>
      </c>
      <c r="H6181" t="s">
        <v>9998</v>
      </c>
      <c r="I6181" t="s">
        <v>6128</v>
      </c>
      <c r="J6181" t="s">
        <v>32722</v>
      </c>
      <c r="K6181" t="s">
        <v>37205</v>
      </c>
      <c r="M6181" t="s">
        <v>39673</v>
      </c>
      <c r="N6181" t="s">
        <v>41249</v>
      </c>
      <c r="O6181" t="s">
        <v>41250</v>
      </c>
      <c r="P6181">
        <v>0</v>
      </c>
      <c r="Q6181">
        <v>4</v>
      </c>
      <c r="R6181" t="s">
        <v>41256</v>
      </c>
      <c r="S6181" t="s">
        <v>41450</v>
      </c>
      <c r="T6181" t="s">
        <v>42673</v>
      </c>
      <c r="U6181" t="s">
        <v>44022</v>
      </c>
      <c r="W6181" t="s">
        <v>39673</v>
      </c>
      <c r="X6181" t="s">
        <v>41257</v>
      </c>
    </row>
    <row r="6182" spans="1:24">
      <c r="A6182">
        <f>HYPERLINK("https://www.philgeps.gov.ph/GEPSNONPILOT/Tender/SplashBidNoticeAbstractUI.aspx?menuIndex=3&amp;refID=7071716&amp;Result=3","7071716")</f>
        <v>0</v>
      </c>
      <c r="B6182" t="s">
        <v>2058</v>
      </c>
      <c r="C6182" t="s">
        <v>9276</v>
      </c>
      <c r="D6182" t="s">
        <v>16670</v>
      </c>
      <c r="E6182" t="s">
        <v>22154</v>
      </c>
      <c r="F6182" t="s">
        <v>28669</v>
      </c>
      <c r="G6182" t="s">
        <v>28675</v>
      </c>
      <c r="H6182" t="s">
        <v>28686</v>
      </c>
      <c r="I6182" t="s">
        <v>28689</v>
      </c>
      <c r="J6182" t="s">
        <v>32723</v>
      </c>
      <c r="K6182" t="s">
        <v>37206</v>
      </c>
      <c r="M6182" t="s">
        <v>39698</v>
      </c>
      <c r="N6182" t="s">
        <v>41249</v>
      </c>
      <c r="O6182" t="s">
        <v>41250</v>
      </c>
      <c r="P6182">
        <v>0</v>
      </c>
      <c r="Q6182">
        <v>0</v>
      </c>
      <c r="R6182" t="s">
        <v>41256</v>
      </c>
      <c r="S6182" t="s">
        <v>41450</v>
      </c>
      <c r="T6182" t="s">
        <v>42786</v>
      </c>
      <c r="U6182" t="s">
        <v>48308</v>
      </c>
      <c r="V6182" t="s">
        <v>54953</v>
      </c>
      <c r="W6182" t="s">
        <v>39698</v>
      </c>
      <c r="X6182" t="s">
        <v>41257</v>
      </c>
    </row>
    <row r="6183" spans="1:24">
      <c r="A6183">
        <f>HYPERLINK("https://www.philgeps.gov.ph/GEPSNONPILOT/Tender/SplashBidNoticeAbstractUI.aspx?menuIndex=3&amp;refID=7071732&amp;Result=3","7071732")</f>
        <v>0</v>
      </c>
      <c r="B6183" t="s">
        <v>1829</v>
      </c>
      <c r="C6183" t="s">
        <v>9277</v>
      </c>
      <c r="D6183" t="s">
        <v>16661</v>
      </c>
      <c r="E6183" t="s">
        <v>21444</v>
      </c>
      <c r="F6183" t="s">
        <v>28669</v>
      </c>
      <c r="G6183" t="s">
        <v>28677</v>
      </c>
      <c r="H6183" t="s">
        <v>9998</v>
      </c>
      <c r="I6183" t="s">
        <v>6128</v>
      </c>
      <c r="J6183" t="s">
        <v>32724</v>
      </c>
      <c r="K6183" t="s">
        <v>37210</v>
      </c>
      <c r="M6183" t="s">
        <v>39442</v>
      </c>
      <c r="N6183" t="s">
        <v>41249</v>
      </c>
      <c r="O6183" t="s">
        <v>41250</v>
      </c>
      <c r="P6183">
        <v>0</v>
      </c>
      <c r="Q6183">
        <v>1</v>
      </c>
      <c r="R6183" t="s">
        <v>41256</v>
      </c>
      <c r="S6183" t="s">
        <v>41450</v>
      </c>
      <c r="T6183" t="s">
        <v>42728</v>
      </c>
      <c r="U6183" t="s">
        <v>48309</v>
      </c>
      <c r="W6183" t="s">
        <v>39442</v>
      </c>
      <c r="X6183" t="s">
        <v>41257</v>
      </c>
    </row>
    <row r="6184" spans="1:24">
      <c r="A6184">
        <f>HYPERLINK("https://www.philgeps.gov.ph/GEPSNONPILOT/Tender/SplashBidNoticeAbstractUI.aspx?menuIndex=3&amp;refID=7071723&amp;Result=3","7071723")</f>
        <v>0</v>
      </c>
      <c r="B6184" t="s">
        <v>2067</v>
      </c>
      <c r="C6184" t="s">
        <v>9278</v>
      </c>
      <c r="D6184" t="s">
        <v>16658</v>
      </c>
      <c r="E6184" t="s">
        <v>22155</v>
      </c>
      <c r="F6184" t="s">
        <v>28669</v>
      </c>
      <c r="G6184" t="s">
        <v>28678</v>
      </c>
      <c r="H6184" t="s">
        <v>9998</v>
      </c>
      <c r="I6184" t="s">
        <v>28688</v>
      </c>
      <c r="J6184" t="s">
        <v>32725</v>
      </c>
      <c r="K6184" t="s">
        <v>37204</v>
      </c>
      <c r="M6184" t="s">
        <v>39708</v>
      </c>
      <c r="N6184" t="s">
        <v>41249</v>
      </c>
      <c r="O6184" t="s">
        <v>41250</v>
      </c>
      <c r="P6184">
        <v>0</v>
      </c>
      <c r="Q6184">
        <v>6</v>
      </c>
      <c r="R6184" t="s">
        <v>41256</v>
      </c>
      <c r="S6184" t="s">
        <v>41450</v>
      </c>
      <c r="T6184" t="s">
        <v>42758</v>
      </c>
      <c r="U6184" t="s">
        <v>48310</v>
      </c>
      <c r="W6184" t="s">
        <v>39708</v>
      </c>
      <c r="X6184" t="s">
        <v>41257</v>
      </c>
    </row>
    <row r="6185" spans="1:24">
      <c r="A6185">
        <f>HYPERLINK("https://www.philgeps.gov.ph/GEPSNONPILOT/Tender/SplashBidNoticeAbstractUI.aspx?menuIndex=3&amp;refID=7071736&amp;Result=3","7071736")</f>
        <v>0</v>
      </c>
      <c r="B6185" t="s">
        <v>2049</v>
      </c>
      <c r="C6185" t="s">
        <v>9279</v>
      </c>
      <c r="D6185" t="s">
        <v>16648</v>
      </c>
      <c r="E6185" t="s">
        <v>22156</v>
      </c>
      <c r="F6185" t="s">
        <v>28669</v>
      </c>
      <c r="G6185" t="s">
        <v>28675</v>
      </c>
      <c r="H6185" t="s">
        <v>9998</v>
      </c>
      <c r="I6185" t="s">
        <v>3718</v>
      </c>
      <c r="J6185" t="s">
        <v>28894</v>
      </c>
      <c r="K6185" t="s">
        <v>37209</v>
      </c>
      <c r="M6185" t="s">
        <v>39689</v>
      </c>
      <c r="N6185" t="s">
        <v>41249</v>
      </c>
      <c r="O6185" t="s">
        <v>41250</v>
      </c>
      <c r="P6185">
        <v>0</v>
      </c>
      <c r="Q6185">
        <v>1</v>
      </c>
      <c r="R6185" t="s">
        <v>41256</v>
      </c>
      <c r="S6185" t="s">
        <v>41450</v>
      </c>
      <c r="T6185" t="s">
        <v>42754</v>
      </c>
      <c r="U6185" t="s">
        <v>48255</v>
      </c>
      <c r="W6185" t="s">
        <v>39689</v>
      </c>
      <c r="X6185" t="s">
        <v>41257</v>
      </c>
    </row>
    <row r="6186" spans="1:24">
      <c r="A6186">
        <f>HYPERLINK("https://www.philgeps.gov.ph/GEPSNONPILOT/Tender/SplashBidNoticeAbstractUI.aspx?menuIndex=3&amp;refID=7071830&amp;Result=3","7071830")</f>
        <v>0</v>
      </c>
      <c r="B6186" t="s">
        <v>2068</v>
      </c>
      <c r="C6186" t="s">
        <v>9280</v>
      </c>
      <c r="D6186" t="s">
        <v>16640</v>
      </c>
      <c r="E6186" t="s">
        <v>22157</v>
      </c>
      <c r="F6186" t="s">
        <v>28669</v>
      </c>
      <c r="G6186" t="s">
        <v>28677</v>
      </c>
      <c r="H6186" t="s">
        <v>9998</v>
      </c>
      <c r="I6186" t="s">
        <v>11142</v>
      </c>
      <c r="J6186" t="s">
        <v>32096</v>
      </c>
      <c r="K6186" t="s">
        <v>37204</v>
      </c>
      <c r="M6186" t="s">
        <v>39709</v>
      </c>
      <c r="N6186" t="s">
        <v>41249</v>
      </c>
      <c r="O6186" t="s">
        <v>41250</v>
      </c>
      <c r="P6186">
        <v>0</v>
      </c>
      <c r="Q6186">
        <v>2</v>
      </c>
      <c r="R6186" t="s">
        <v>41256</v>
      </c>
      <c r="S6186" t="s">
        <v>41450</v>
      </c>
      <c r="T6186" t="s">
        <v>42992</v>
      </c>
      <c r="U6186" t="s">
        <v>48311</v>
      </c>
      <c r="V6186" t="s">
        <v>54954</v>
      </c>
      <c r="W6186" t="s">
        <v>55978</v>
      </c>
      <c r="X6186" t="s">
        <v>41257</v>
      </c>
    </row>
    <row r="6187" spans="1:24">
      <c r="A6187">
        <f>HYPERLINK("https://www.philgeps.gov.ph/GEPSNONPILOT/Tender/SplashBidNoticeAbstractUI.aspx?menuIndex=3&amp;refID=7071733&amp;Result=3","7071733")</f>
        <v>0</v>
      </c>
      <c r="B6187" t="s">
        <v>2046</v>
      </c>
      <c r="C6187" t="s">
        <v>9281</v>
      </c>
      <c r="D6187" t="s">
        <v>16643</v>
      </c>
      <c r="E6187" t="s">
        <v>22158</v>
      </c>
      <c r="F6187" t="s">
        <v>28669</v>
      </c>
      <c r="G6187" t="s">
        <v>28676</v>
      </c>
      <c r="H6187" t="s">
        <v>9998</v>
      </c>
      <c r="I6187" t="s">
        <v>28812</v>
      </c>
      <c r="J6187" t="s">
        <v>28826</v>
      </c>
      <c r="K6187" t="s">
        <v>37209</v>
      </c>
      <c r="M6187" t="s">
        <v>39686</v>
      </c>
      <c r="N6187" t="s">
        <v>41249</v>
      </c>
      <c r="O6187" t="s">
        <v>41250</v>
      </c>
      <c r="P6187">
        <v>0</v>
      </c>
      <c r="Q6187">
        <v>0</v>
      </c>
      <c r="R6187" t="s">
        <v>41256</v>
      </c>
      <c r="S6187" t="s">
        <v>41450</v>
      </c>
      <c r="T6187" t="s">
        <v>42701</v>
      </c>
      <c r="U6187" t="s">
        <v>48244</v>
      </c>
      <c r="W6187" t="s">
        <v>39686</v>
      </c>
      <c r="X6187" t="s">
        <v>41257</v>
      </c>
    </row>
    <row r="6188" spans="1:24">
      <c r="A6188">
        <f>HYPERLINK("https://www.philgeps.gov.ph/GEPSNONPILOT/Tender/SplashBidNoticeAbstractUI.aspx?menuIndex=3&amp;refID=7071828&amp;Result=3","7071828")</f>
        <v>0</v>
      </c>
      <c r="B6188" t="s">
        <v>2069</v>
      </c>
      <c r="C6188" t="s">
        <v>9282</v>
      </c>
      <c r="D6188" t="s">
        <v>16678</v>
      </c>
      <c r="E6188" t="s">
        <v>22159</v>
      </c>
      <c r="F6188" t="s">
        <v>28669</v>
      </c>
      <c r="G6188" t="s">
        <v>28675</v>
      </c>
      <c r="H6188" t="s">
        <v>28686</v>
      </c>
      <c r="I6188" t="s">
        <v>28689</v>
      </c>
      <c r="J6188" t="s">
        <v>28878</v>
      </c>
      <c r="K6188" t="s">
        <v>37206</v>
      </c>
      <c r="M6188" t="s">
        <v>39710</v>
      </c>
      <c r="N6188" t="s">
        <v>41249</v>
      </c>
      <c r="O6188" t="s">
        <v>41250</v>
      </c>
      <c r="P6188">
        <v>0</v>
      </c>
      <c r="Q6188">
        <v>0</v>
      </c>
      <c r="R6188" t="s">
        <v>41256</v>
      </c>
      <c r="S6188" t="s">
        <v>41450</v>
      </c>
      <c r="T6188" t="s">
        <v>42808</v>
      </c>
      <c r="U6188" t="s">
        <v>48312</v>
      </c>
      <c r="W6188" t="s">
        <v>39710</v>
      </c>
      <c r="X6188" t="s">
        <v>41257</v>
      </c>
    </row>
    <row r="6189" spans="1:24">
      <c r="A6189">
        <f>HYPERLINK("https://www.philgeps.gov.ph/GEPSNONPILOT/Tender/SplashBidNoticeAbstractUI.aspx?menuIndex=3&amp;refID=7071827&amp;Result=3","7071827")</f>
        <v>0</v>
      </c>
      <c r="B6189" t="s">
        <v>2070</v>
      </c>
      <c r="C6189" t="s">
        <v>9283</v>
      </c>
      <c r="D6189" t="s">
        <v>16660</v>
      </c>
      <c r="E6189" t="s">
        <v>17251</v>
      </c>
      <c r="F6189" t="s">
        <v>28671</v>
      </c>
      <c r="G6189" t="s">
        <v>28675</v>
      </c>
      <c r="H6189" t="s">
        <v>9998</v>
      </c>
      <c r="I6189" t="s">
        <v>5213</v>
      </c>
      <c r="J6189" t="s">
        <v>32726</v>
      </c>
      <c r="K6189" t="s">
        <v>37205</v>
      </c>
      <c r="M6189" t="s">
        <v>39711</v>
      </c>
      <c r="N6189" t="s">
        <v>41249</v>
      </c>
      <c r="O6189" t="s">
        <v>41250</v>
      </c>
      <c r="P6189">
        <v>0</v>
      </c>
      <c r="Q6189">
        <v>3</v>
      </c>
      <c r="R6189" t="s">
        <v>41256</v>
      </c>
      <c r="S6189" t="s">
        <v>41450</v>
      </c>
      <c r="T6189" t="s">
        <v>42659</v>
      </c>
      <c r="U6189" t="s">
        <v>48313</v>
      </c>
      <c r="W6189" t="s">
        <v>39711</v>
      </c>
      <c r="X6189" t="s">
        <v>41257</v>
      </c>
    </row>
    <row r="6190" spans="1:24">
      <c r="A6190">
        <f>HYPERLINK("https://www.philgeps.gov.ph/GEPSNONPILOT/Tender/SplashBidNoticeAbstractUI.aspx?menuIndex=3&amp;refID=7071825&amp;Result=3","7071825")</f>
        <v>0</v>
      </c>
      <c r="B6190" t="s">
        <v>2071</v>
      </c>
      <c r="C6190" t="s">
        <v>9284</v>
      </c>
      <c r="D6190" t="s">
        <v>16611</v>
      </c>
      <c r="E6190" t="s">
        <v>22160</v>
      </c>
      <c r="F6190" t="s">
        <v>28669</v>
      </c>
      <c r="G6190" t="s">
        <v>28676</v>
      </c>
      <c r="H6190" t="s">
        <v>9998</v>
      </c>
      <c r="I6190" t="s">
        <v>28724</v>
      </c>
      <c r="J6190" t="s">
        <v>30485</v>
      </c>
      <c r="K6190" t="s">
        <v>37213</v>
      </c>
      <c r="M6190" t="s">
        <v>39712</v>
      </c>
      <c r="N6190" t="s">
        <v>41249</v>
      </c>
      <c r="O6190" t="s">
        <v>41250</v>
      </c>
      <c r="P6190">
        <v>0</v>
      </c>
      <c r="Q6190">
        <v>3</v>
      </c>
      <c r="R6190" t="s">
        <v>41256</v>
      </c>
      <c r="S6190" t="s">
        <v>41450</v>
      </c>
      <c r="T6190" t="s">
        <v>42698</v>
      </c>
      <c r="U6190" t="s">
        <v>48314</v>
      </c>
      <c r="W6190" t="s">
        <v>39712</v>
      </c>
      <c r="X6190" t="s">
        <v>41257</v>
      </c>
    </row>
    <row r="6191" spans="1:24">
      <c r="A6191">
        <f>HYPERLINK("https://www.philgeps.gov.ph/GEPSNONPILOT/Tender/SplashBidNoticeAbstractUI.aspx?menuIndex=3&amp;refID=7071824&amp;Result=3","7071824")</f>
        <v>0</v>
      </c>
      <c r="B6191" t="s">
        <v>599</v>
      </c>
      <c r="C6191" t="s">
        <v>9285</v>
      </c>
      <c r="D6191" t="s">
        <v>16617</v>
      </c>
      <c r="E6191" t="s">
        <v>22161</v>
      </c>
      <c r="F6191" t="s">
        <v>28669</v>
      </c>
      <c r="G6191" t="s">
        <v>28675</v>
      </c>
      <c r="H6191" t="s">
        <v>28686</v>
      </c>
      <c r="I6191" t="s">
        <v>28689</v>
      </c>
      <c r="J6191" t="s">
        <v>32727</v>
      </c>
      <c r="K6191" t="s">
        <v>37285</v>
      </c>
      <c r="M6191" t="s">
        <v>38098</v>
      </c>
      <c r="N6191" t="s">
        <v>41249</v>
      </c>
      <c r="O6191" t="s">
        <v>41250</v>
      </c>
      <c r="P6191">
        <v>0</v>
      </c>
      <c r="Q6191">
        <v>15</v>
      </c>
      <c r="R6191" t="s">
        <v>41256</v>
      </c>
      <c r="S6191" t="s">
        <v>41450</v>
      </c>
      <c r="T6191" t="s">
        <v>42782</v>
      </c>
      <c r="U6191" t="s">
        <v>48315</v>
      </c>
      <c r="V6191" t="s">
        <v>54955</v>
      </c>
      <c r="W6191" t="s">
        <v>38098</v>
      </c>
      <c r="X6191" t="s">
        <v>41257</v>
      </c>
    </row>
    <row r="6192" spans="1:24">
      <c r="A6192">
        <f>HYPERLINK("https://www.philgeps.gov.ph/GEPSNONPILOT/Tender/SplashBidNoticeAbstractUI.aspx?menuIndex=3&amp;refID=7071818&amp;Result=3","7071818")</f>
        <v>0</v>
      </c>
      <c r="B6192" t="s">
        <v>1655</v>
      </c>
      <c r="C6192" t="s">
        <v>9286</v>
      </c>
      <c r="D6192" t="s">
        <v>16639</v>
      </c>
      <c r="E6192" t="s">
        <v>21884</v>
      </c>
      <c r="F6192" t="s">
        <v>28669</v>
      </c>
      <c r="G6192" t="s">
        <v>28676</v>
      </c>
      <c r="H6192" t="s">
        <v>9998</v>
      </c>
      <c r="I6192" t="s">
        <v>28690</v>
      </c>
      <c r="J6192" t="s">
        <v>32728</v>
      </c>
      <c r="K6192" t="s">
        <v>37210</v>
      </c>
      <c r="M6192" t="s">
        <v>39246</v>
      </c>
      <c r="N6192" t="s">
        <v>41249</v>
      </c>
      <c r="O6192" t="s">
        <v>41250</v>
      </c>
      <c r="P6192">
        <v>0</v>
      </c>
      <c r="Q6192">
        <v>2</v>
      </c>
      <c r="R6192" t="s">
        <v>41256</v>
      </c>
      <c r="S6192" t="s">
        <v>41450</v>
      </c>
      <c r="T6192" t="s">
        <v>42675</v>
      </c>
      <c r="U6192" t="s">
        <v>48316</v>
      </c>
      <c r="W6192" t="s">
        <v>39246</v>
      </c>
      <c r="X6192" t="s">
        <v>41257</v>
      </c>
    </row>
    <row r="6193" spans="1:24">
      <c r="A6193">
        <f>HYPERLINK("https://www.philgeps.gov.ph/GEPSNONPILOT/Tender/SplashBidNoticeAbstractUI.aspx?menuIndex=3&amp;refID=7071815&amp;Result=3","7071815")</f>
        <v>0</v>
      </c>
      <c r="B6193" t="s">
        <v>2023</v>
      </c>
      <c r="C6193" t="s">
        <v>9287</v>
      </c>
      <c r="D6193" t="s">
        <v>16657</v>
      </c>
      <c r="E6193" t="s">
        <v>19434</v>
      </c>
      <c r="F6193" t="s">
        <v>28669</v>
      </c>
      <c r="G6193" t="s">
        <v>28675</v>
      </c>
      <c r="H6193" t="s">
        <v>28684</v>
      </c>
      <c r="I6193" t="s">
        <v>28689</v>
      </c>
      <c r="J6193" t="s">
        <v>29023</v>
      </c>
      <c r="K6193" t="s">
        <v>37213</v>
      </c>
      <c r="M6193" t="s">
        <v>39662</v>
      </c>
      <c r="N6193" t="s">
        <v>41249</v>
      </c>
      <c r="O6193" t="s">
        <v>41250</v>
      </c>
      <c r="P6193">
        <v>0</v>
      </c>
      <c r="Q6193">
        <v>5</v>
      </c>
      <c r="R6193" t="s">
        <v>41256</v>
      </c>
      <c r="S6193" t="s">
        <v>41450</v>
      </c>
      <c r="T6193" t="s">
        <v>42673</v>
      </c>
      <c r="U6193" t="s">
        <v>48317</v>
      </c>
      <c r="W6193" t="s">
        <v>39662</v>
      </c>
      <c r="X6193" t="s">
        <v>41257</v>
      </c>
    </row>
    <row r="6194" spans="1:24">
      <c r="A6194">
        <f>HYPERLINK("https://www.philgeps.gov.ph/GEPSNONPILOT/Tender/SplashBidNoticeAbstractUI.aspx?menuIndex=3&amp;refID=7071809&amp;Result=3","7071809")</f>
        <v>0</v>
      </c>
      <c r="B6194" t="s">
        <v>744</v>
      </c>
      <c r="C6194" t="s">
        <v>9288</v>
      </c>
      <c r="D6194" t="s">
        <v>16608</v>
      </c>
      <c r="E6194" t="s">
        <v>22162</v>
      </c>
      <c r="F6194" t="s">
        <v>28669</v>
      </c>
      <c r="G6194" t="s">
        <v>28676</v>
      </c>
      <c r="H6194" t="s">
        <v>9998</v>
      </c>
      <c r="I6194" t="s">
        <v>28749</v>
      </c>
      <c r="J6194" t="s">
        <v>32729</v>
      </c>
      <c r="K6194" t="s">
        <v>37220</v>
      </c>
      <c r="M6194" t="s">
        <v>39704</v>
      </c>
      <c r="N6194" t="s">
        <v>41249</v>
      </c>
      <c r="O6194" t="s">
        <v>41250</v>
      </c>
      <c r="P6194">
        <v>0</v>
      </c>
      <c r="Q6194">
        <v>11</v>
      </c>
      <c r="R6194" t="s">
        <v>41256</v>
      </c>
      <c r="S6194" t="s">
        <v>41450</v>
      </c>
      <c r="T6194" t="s">
        <v>42694</v>
      </c>
      <c r="U6194" t="s">
        <v>43363</v>
      </c>
      <c r="W6194" t="s">
        <v>39704</v>
      </c>
      <c r="X6194" t="s">
        <v>41257</v>
      </c>
    </row>
    <row r="6195" spans="1:24">
      <c r="A6195">
        <f>HYPERLINK("https://www.philgeps.gov.ph/GEPSNONPILOT/Tender/SplashBidNoticeAbstractUI.aspx?menuIndex=3&amp;refID=7071805&amp;Result=3","7071805")</f>
        <v>0</v>
      </c>
      <c r="B6195" t="s">
        <v>2072</v>
      </c>
      <c r="C6195" t="s">
        <v>9289</v>
      </c>
      <c r="D6195" t="s">
        <v>16642</v>
      </c>
      <c r="E6195" t="s">
        <v>22163</v>
      </c>
      <c r="F6195" t="s">
        <v>28669</v>
      </c>
      <c r="G6195" t="s">
        <v>28677</v>
      </c>
      <c r="H6195" t="s">
        <v>9998</v>
      </c>
      <c r="I6195" t="s">
        <v>3718</v>
      </c>
      <c r="J6195" t="s">
        <v>30446</v>
      </c>
      <c r="K6195" t="s">
        <v>37210</v>
      </c>
      <c r="M6195" t="s">
        <v>39713</v>
      </c>
      <c r="N6195" t="s">
        <v>41249</v>
      </c>
      <c r="O6195" t="s">
        <v>41250</v>
      </c>
      <c r="P6195">
        <v>0</v>
      </c>
      <c r="Q6195">
        <v>7</v>
      </c>
      <c r="R6195" t="s">
        <v>41256</v>
      </c>
      <c r="S6195" t="s">
        <v>41450</v>
      </c>
      <c r="T6195" t="s">
        <v>42729</v>
      </c>
      <c r="U6195" t="s">
        <v>48318</v>
      </c>
      <c r="W6195" t="s">
        <v>39713</v>
      </c>
      <c r="X6195" t="s">
        <v>41257</v>
      </c>
    </row>
    <row r="6196" spans="1:24">
      <c r="A6196">
        <f>HYPERLINK("https://www.philgeps.gov.ph/GEPSNONPILOT/Tender/SplashBidNoticeAbstractUI.aspx?menuIndex=3&amp;refID=7071798&amp;Result=3","7071798")</f>
        <v>0</v>
      </c>
      <c r="B6196" t="s">
        <v>1829</v>
      </c>
      <c r="C6196" t="s">
        <v>9290</v>
      </c>
      <c r="D6196" t="s">
        <v>16661</v>
      </c>
      <c r="E6196" t="s">
        <v>21444</v>
      </c>
      <c r="F6196" t="s">
        <v>28669</v>
      </c>
      <c r="G6196" t="s">
        <v>28677</v>
      </c>
      <c r="H6196" t="s">
        <v>9998</v>
      </c>
      <c r="I6196" t="s">
        <v>28695</v>
      </c>
      <c r="J6196" t="s">
        <v>32730</v>
      </c>
      <c r="K6196" t="s">
        <v>37210</v>
      </c>
      <c r="M6196" t="s">
        <v>39442</v>
      </c>
      <c r="N6196" t="s">
        <v>41249</v>
      </c>
      <c r="O6196" t="s">
        <v>41250</v>
      </c>
      <c r="P6196">
        <v>0</v>
      </c>
      <c r="Q6196">
        <v>1</v>
      </c>
      <c r="R6196" t="s">
        <v>41256</v>
      </c>
      <c r="S6196" t="s">
        <v>41450</v>
      </c>
      <c r="T6196" t="s">
        <v>42728</v>
      </c>
      <c r="U6196" t="s">
        <v>48319</v>
      </c>
      <c r="W6196" t="s">
        <v>39442</v>
      </c>
      <c r="X6196" t="s">
        <v>41257</v>
      </c>
    </row>
    <row r="6197" spans="1:24">
      <c r="A6197">
        <f>HYPERLINK("https://www.philgeps.gov.ph/GEPSNONPILOT/Tender/SplashBidNoticeAbstractUI.aspx?menuIndex=3&amp;refID=7071785&amp;Result=3","7071785")</f>
        <v>0</v>
      </c>
      <c r="B6197" t="s">
        <v>1472</v>
      </c>
      <c r="C6197" t="s">
        <v>9291</v>
      </c>
      <c r="D6197" t="s">
        <v>16630</v>
      </c>
      <c r="E6197" t="s">
        <v>22164</v>
      </c>
      <c r="F6197" t="s">
        <v>28669</v>
      </c>
      <c r="G6197" t="s">
        <v>28676</v>
      </c>
      <c r="H6197" t="s">
        <v>9998</v>
      </c>
      <c r="I6197" t="s">
        <v>28726</v>
      </c>
      <c r="J6197" t="s">
        <v>28834</v>
      </c>
      <c r="K6197" t="s">
        <v>37205</v>
      </c>
      <c r="M6197" t="s">
        <v>39040</v>
      </c>
      <c r="N6197" t="s">
        <v>41249</v>
      </c>
      <c r="O6197" t="s">
        <v>41250</v>
      </c>
      <c r="P6197">
        <v>0</v>
      </c>
      <c r="Q6197">
        <v>1</v>
      </c>
      <c r="R6197" t="s">
        <v>41256</v>
      </c>
      <c r="S6197" t="s">
        <v>41450</v>
      </c>
      <c r="T6197" t="s">
        <v>42727</v>
      </c>
      <c r="U6197" t="s">
        <v>48320</v>
      </c>
      <c r="W6197" t="s">
        <v>39040</v>
      </c>
      <c r="X6197" t="s">
        <v>41257</v>
      </c>
    </row>
    <row r="6198" spans="1:24">
      <c r="A6198">
        <f>HYPERLINK("https://www.philgeps.gov.ph/GEPSNONPILOT/Tender/SplashBidNoticeAbstractUI.aspx?menuIndex=3&amp;refID=7071784&amp;Result=3","7071784")</f>
        <v>0</v>
      </c>
      <c r="B6198" t="s">
        <v>2073</v>
      </c>
      <c r="C6198" t="s">
        <v>9264</v>
      </c>
      <c r="D6198" t="s">
        <v>16616</v>
      </c>
      <c r="E6198" t="s">
        <v>22165</v>
      </c>
      <c r="F6198" t="s">
        <v>28669</v>
      </c>
      <c r="G6198" t="s">
        <v>28675</v>
      </c>
      <c r="H6198" t="s">
        <v>28686</v>
      </c>
      <c r="I6198" t="s">
        <v>28689</v>
      </c>
      <c r="J6198" t="s">
        <v>32731</v>
      </c>
      <c r="K6198" t="s">
        <v>37206</v>
      </c>
      <c r="M6198" t="s">
        <v>39714</v>
      </c>
      <c r="N6198" t="s">
        <v>41249</v>
      </c>
      <c r="O6198" t="s">
        <v>41250</v>
      </c>
      <c r="P6198">
        <v>0</v>
      </c>
      <c r="Q6198">
        <v>1</v>
      </c>
      <c r="R6198" t="s">
        <v>41256</v>
      </c>
      <c r="S6198" t="s">
        <v>41450</v>
      </c>
      <c r="T6198" t="s">
        <v>42690</v>
      </c>
      <c r="U6198" t="s">
        <v>48301</v>
      </c>
      <c r="V6198" t="s">
        <v>54956</v>
      </c>
      <c r="W6198" t="s">
        <v>39714</v>
      </c>
      <c r="X6198" t="s">
        <v>41257</v>
      </c>
    </row>
    <row r="6199" spans="1:24">
      <c r="A6199">
        <f>HYPERLINK("https://www.philgeps.gov.ph/GEPSNONPILOT/Tender/SplashBidNoticeAbstractUI.aspx?menuIndex=3&amp;refID=7071765&amp;Result=3","7071765")</f>
        <v>0</v>
      </c>
      <c r="B6199" t="s">
        <v>599</v>
      </c>
      <c r="C6199" t="s">
        <v>9292</v>
      </c>
      <c r="D6199" t="s">
        <v>16617</v>
      </c>
      <c r="E6199" t="s">
        <v>22166</v>
      </c>
      <c r="F6199" t="s">
        <v>28669</v>
      </c>
      <c r="G6199" t="s">
        <v>28675</v>
      </c>
      <c r="H6199" t="s">
        <v>28686</v>
      </c>
      <c r="I6199" t="s">
        <v>28689</v>
      </c>
      <c r="J6199" t="s">
        <v>32732</v>
      </c>
      <c r="K6199" t="s">
        <v>37364</v>
      </c>
      <c r="M6199" t="s">
        <v>38098</v>
      </c>
      <c r="N6199" t="s">
        <v>41249</v>
      </c>
      <c r="O6199" t="s">
        <v>41250</v>
      </c>
      <c r="P6199">
        <v>0</v>
      </c>
      <c r="Q6199">
        <v>27</v>
      </c>
      <c r="R6199" t="s">
        <v>41256</v>
      </c>
      <c r="S6199" t="s">
        <v>41450</v>
      </c>
      <c r="T6199" t="s">
        <v>42782</v>
      </c>
      <c r="U6199" t="s">
        <v>48321</v>
      </c>
      <c r="V6199" t="s">
        <v>54278</v>
      </c>
      <c r="W6199" t="s">
        <v>38098</v>
      </c>
      <c r="X6199" t="s">
        <v>41257</v>
      </c>
    </row>
    <row r="6200" spans="1:24">
      <c r="A6200">
        <f>HYPERLINK("https://www.philgeps.gov.ph/GEPSNONPILOT/Tender/SplashBidNoticeAbstractUI.aspx?menuIndex=3&amp;refID=7071781&amp;Result=3","7071781")</f>
        <v>0</v>
      </c>
      <c r="B6200" t="s">
        <v>2055</v>
      </c>
      <c r="C6200" t="s">
        <v>9293</v>
      </c>
      <c r="D6200" t="s">
        <v>16644</v>
      </c>
      <c r="E6200" t="s">
        <v>22167</v>
      </c>
      <c r="F6200" t="s">
        <v>28669</v>
      </c>
      <c r="G6200" t="s">
        <v>28676</v>
      </c>
      <c r="H6200" t="s">
        <v>9998</v>
      </c>
      <c r="I6200" t="s">
        <v>28687</v>
      </c>
      <c r="J6200" t="s">
        <v>28879</v>
      </c>
      <c r="K6200" t="s">
        <v>37206</v>
      </c>
      <c r="M6200" t="s">
        <v>39695</v>
      </c>
      <c r="N6200" t="s">
        <v>41249</v>
      </c>
      <c r="O6200" t="s">
        <v>41250</v>
      </c>
      <c r="P6200">
        <v>0</v>
      </c>
      <c r="Q6200">
        <v>2</v>
      </c>
      <c r="R6200" t="s">
        <v>41256</v>
      </c>
      <c r="S6200" t="s">
        <v>41450</v>
      </c>
      <c r="T6200" t="s">
        <v>42887</v>
      </c>
      <c r="U6200" t="s">
        <v>48322</v>
      </c>
      <c r="W6200" t="s">
        <v>39695</v>
      </c>
      <c r="X6200" t="s">
        <v>41257</v>
      </c>
    </row>
    <row r="6201" spans="1:24">
      <c r="A6201">
        <f>HYPERLINK("https://www.philgeps.gov.ph/GEPSNONPILOT/Tender/SplashBidNoticeAbstractUI.aspx?menuIndex=3&amp;refID=7071833&amp;Result=3","7071833")</f>
        <v>0</v>
      </c>
      <c r="B6201" t="s">
        <v>2074</v>
      </c>
      <c r="C6201" t="s">
        <v>9294</v>
      </c>
      <c r="D6201" t="s">
        <v>16678</v>
      </c>
      <c r="E6201" t="s">
        <v>21939</v>
      </c>
      <c r="F6201" t="s">
        <v>28669</v>
      </c>
      <c r="G6201" t="s">
        <v>28675</v>
      </c>
      <c r="H6201" t="s">
        <v>9998</v>
      </c>
      <c r="I6201" t="s">
        <v>7352</v>
      </c>
      <c r="J6201" t="s">
        <v>29509</v>
      </c>
      <c r="K6201" t="s">
        <v>37205</v>
      </c>
      <c r="M6201" t="s">
        <v>39715</v>
      </c>
      <c r="N6201" t="s">
        <v>41249</v>
      </c>
      <c r="O6201" t="s">
        <v>41250</v>
      </c>
      <c r="P6201">
        <v>0</v>
      </c>
      <c r="Q6201">
        <v>0</v>
      </c>
      <c r="R6201" t="s">
        <v>41256</v>
      </c>
      <c r="S6201" t="s">
        <v>41450</v>
      </c>
      <c r="T6201" t="s">
        <v>42659</v>
      </c>
      <c r="U6201" t="s">
        <v>48323</v>
      </c>
      <c r="W6201" t="s">
        <v>39715</v>
      </c>
      <c r="X6201" t="s">
        <v>41257</v>
      </c>
    </row>
    <row r="6202" spans="1:24">
      <c r="A6202">
        <f>HYPERLINK("https://www.philgeps.gov.ph/GEPSNONPILOT/Tender/SplashBidNoticeAbstractUI.aspx?menuIndex=3&amp;refID=7071810&amp;Result=3","7071810")</f>
        <v>0</v>
      </c>
      <c r="B6202" t="s">
        <v>2075</v>
      </c>
      <c r="C6202" t="s">
        <v>9295</v>
      </c>
      <c r="E6202" t="s">
        <v>22168</v>
      </c>
      <c r="F6202" t="s">
        <v>28669</v>
      </c>
      <c r="G6202" t="s">
        <v>28675</v>
      </c>
      <c r="H6202" t="s">
        <v>9998</v>
      </c>
      <c r="I6202" t="s">
        <v>28729</v>
      </c>
      <c r="J6202" t="s">
        <v>29110</v>
      </c>
      <c r="K6202" t="s">
        <v>37209</v>
      </c>
      <c r="M6202" t="s">
        <v>39716</v>
      </c>
      <c r="N6202" t="s">
        <v>41249</v>
      </c>
      <c r="O6202" t="s">
        <v>41250</v>
      </c>
      <c r="P6202">
        <v>0</v>
      </c>
      <c r="Q6202">
        <v>2</v>
      </c>
      <c r="R6202" t="s">
        <v>41256</v>
      </c>
      <c r="S6202" t="s">
        <v>41450</v>
      </c>
      <c r="T6202" t="s">
        <v>42721</v>
      </c>
      <c r="U6202" t="s">
        <v>48324</v>
      </c>
      <c r="W6202" t="s">
        <v>39716</v>
      </c>
      <c r="X6202" t="s">
        <v>41257</v>
      </c>
    </row>
    <row r="6203" spans="1:24">
      <c r="A6203">
        <f>HYPERLINK("https://www.philgeps.gov.ph/GEPSNONPILOT/Tender/SplashBidNoticeAbstractUI.aspx?menuIndex=3&amp;refID=7071715&amp;Result=3","7071715")</f>
        <v>0</v>
      </c>
      <c r="B6203" t="s">
        <v>1517</v>
      </c>
      <c r="C6203" t="s">
        <v>9296</v>
      </c>
      <c r="D6203" t="s">
        <v>16632</v>
      </c>
      <c r="E6203" t="s">
        <v>22169</v>
      </c>
      <c r="F6203" t="s">
        <v>28669</v>
      </c>
      <c r="G6203" t="s">
        <v>28675</v>
      </c>
      <c r="H6203" t="s">
        <v>9998</v>
      </c>
      <c r="I6203" t="s">
        <v>28694</v>
      </c>
      <c r="J6203" t="s">
        <v>32733</v>
      </c>
      <c r="K6203" t="s">
        <v>37204</v>
      </c>
      <c r="M6203" t="s">
        <v>39091</v>
      </c>
      <c r="N6203" t="s">
        <v>41249</v>
      </c>
      <c r="O6203" t="s">
        <v>41250</v>
      </c>
      <c r="P6203">
        <v>0</v>
      </c>
      <c r="Q6203">
        <v>0</v>
      </c>
      <c r="R6203" t="s">
        <v>41256</v>
      </c>
      <c r="S6203" t="s">
        <v>41450</v>
      </c>
      <c r="T6203" t="s">
        <v>42754</v>
      </c>
      <c r="U6203" t="s">
        <v>48325</v>
      </c>
      <c r="V6203" t="s">
        <v>54957</v>
      </c>
      <c r="W6203" t="s">
        <v>39091</v>
      </c>
      <c r="X6203" t="s">
        <v>41257</v>
      </c>
    </row>
    <row r="6204" spans="1:24">
      <c r="A6204">
        <f>HYPERLINK("https://www.philgeps.gov.ph/GEPSNONPILOT/Tender/SplashBidNoticeAbstractUI.aspx?menuIndex=3&amp;refID=7073041&amp;Result=3","7073041")</f>
        <v>0</v>
      </c>
      <c r="B6204" t="s">
        <v>1212</v>
      </c>
      <c r="C6204" t="s">
        <v>4730</v>
      </c>
      <c r="D6204" t="s">
        <v>16678</v>
      </c>
      <c r="E6204" t="s">
        <v>22170</v>
      </c>
      <c r="F6204" t="s">
        <v>28669</v>
      </c>
      <c r="G6204" t="s">
        <v>28676</v>
      </c>
      <c r="H6204" t="s">
        <v>9998</v>
      </c>
      <c r="I6204" t="s">
        <v>28693</v>
      </c>
      <c r="J6204" t="s">
        <v>32734</v>
      </c>
      <c r="K6204" t="s">
        <v>37209</v>
      </c>
      <c r="M6204" t="s">
        <v>39476</v>
      </c>
      <c r="N6204" t="s">
        <v>41249</v>
      </c>
      <c r="O6204" t="s">
        <v>41250</v>
      </c>
      <c r="P6204">
        <v>0</v>
      </c>
      <c r="Q6204">
        <v>20</v>
      </c>
      <c r="R6204" t="s">
        <v>41254</v>
      </c>
      <c r="S6204" t="s">
        <v>41425</v>
      </c>
      <c r="T6204" t="s">
        <v>42665</v>
      </c>
      <c r="U6204" t="s">
        <v>47707</v>
      </c>
      <c r="W6204" t="s">
        <v>39476</v>
      </c>
      <c r="X6204" t="s">
        <v>41255</v>
      </c>
    </row>
    <row r="6205" spans="1:24">
      <c r="A6205">
        <f>HYPERLINK("https://www.philgeps.gov.ph/GEPSNONPILOT/Tender/SplashBidNoticeAbstractUI.aspx?menuIndex=3&amp;refID=7073039&amp;Result=3","7073039")</f>
        <v>0</v>
      </c>
      <c r="B6205" t="s">
        <v>1856</v>
      </c>
      <c r="C6205" t="s">
        <v>9297</v>
      </c>
      <c r="D6205" t="s">
        <v>16691</v>
      </c>
      <c r="E6205" t="s">
        <v>22171</v>
      </c>
      <c r="F6205" t="s">
        <v>28669</v>
      </c>
      <c r="G6205" t="s">
        <v>28676</v>
      </c>
      <c r="H6205" t="s">
        <v>28686</v>
      </c>
      <c r="I6205" t="s">
        <v>28689</v>
      </c>
      <c r="J6205" t="s">
        <v>32735</v>
      </c>
      <c r="K6205" t="s">
        <v>37227</v>
      </c>
      <c r="M6205" t="s">
        <v>39475</v>
      </c>
      <c r="N6205" t="s">
        <v>41249</v>
      </c>
      <c r="O6205" t="s">
        <v>41250</v>
      </c>
      <c r="P6205">
        <v>0</v>
      </c>
      <c r="Q6205">
        <v>0</v>
      </c>
      <c r="R6205" t="s">
        <v>41254</v>
      </c>
      <c r="S6205" t="s">
        <v>41425</v>
      </c>
      <c r="T6205" t="s">
        <v>42728</v>
      </c>
      <c r="U6205" t="s">
        <v>47689</v>
      </c>
      <c r="W6205" t="s">
        <v>39475</v>
      </c>
      <c r="X6205" t="s">
        <v>41255</v>
      </c>
    </row>
    <row r="6206" spans="1:24">
      <c r="A6206">
        <f>HYPERLINK("https://www.philgeps.gov.ph/GEPSNONPILOT/Tender/SplashBidNoticeAbstractUI.aspx?menuIndex=3&amp;refID=7071881&amp;Result=3","7071881")</f>
        <v>0</v>
      </c>
      <c r="B6206" t="s">
        <v>748</v>
      </c>
      <c r="C6206" t="s">
        <v>9298</v>
      </c>
      <c r="D6206" t="s">
        <v>16629</v>
      </c>
      <c r="E6206" t="s">
        <v>22172</v>
      </c>
      <c r="F6206" t="s">
        <v>28669</v>
      </c>
      <c r="G6206" t="s">
        <v>28676</v>
      </c>
      <c r="H6206" t="s">
        <v>28685</v>
      </c>
      <c r="I6206" t="s">
        <v>28728</v>
      </c>
      <c r="J6206" t="s">
        <v>28905</v>
      </c>
      <c r="K6206" t="s">
        <v>37220</v>
      </c>
      <c r="M6206" t="s">
        <v>38258</v>
      </c>
      <c r="N6206" t="s">
        <v>41249</v>
      </c>
      <c r="O6206" t="s">
        <v>41250</v>
      </c>
      <c r="P6206">
        <v>0</v>
      </c>
      <c r="Q6206">
        <v>1</v>
      </c>
      <c r="R6206" t="s">
        <v>41256</v>
      </c>
      <c r="S6206" t="s">
        <v>41450</v>
      </c>
      <c r="T6206" t="s">
        <v>42754</v>
      </c>
      <c r="U6206" t="s">
        <v>48326</v>
      </c>
      <c r="V6206" t="s">
        <v>54455</v>
      </c>
      <c r="W6206" t="s">
        <v>38258</v>
      </c>
      <c r="X6206" t="s">
        <v>41257</v>
      </c>
    </row>
    <row r="6207" spans="1:24">
      <c r="A6207">
        <f>HYPERLINK("https://www.philgeps.gov.ph/GEPSNONPILOT/Tender/SplashBidNoticeAbstractUI.aspx?menuIndex=3&amp;refID=7071887&amp;Result=3","7071887")</f>
        <v>0</v>
      </c>
      <c r="B6207" t="s">
        <v>150</v>
      </c>
      <c r="C6207" t="s">
        <v>9299</v>
      </c>
      <c r="D6207" t="s">
        <v>16617</v>
      </c>
      <c r="E6207" t="s">
        <v>22173</v>
      </c>
      <c r="F6207" t="s">
        <v>28669</v>
      </c>
      <c r="G6207" t="s">
        <v>28676</v>
      </c>
      <c r="H6207" t="s">
        <v>9998</v>
      </c>
      <c r="I6207" t="s">
        <v>5213</v>
      </c>
      <c r="J6207" t="s">
        <v>29040</v>
      </c>
      <c r="K6207" t="s">
        <v>37206</v>
      </c>
      <c r="M6207" t="s">
        <v>37627</v>
      </c>
      <c r="N6207" t="s">
        <v>41249</v>
      </c>
      <c r="O6207" t="s">
        <v>41250</v>
      </c>
      <c r="P6207">
        <v>0</v>
      </c>
      <c r="Q6207">
        <v>0</v>
      </c>
      <c r="R6207" t="s">
        <v>41256</v>
      </c>
      <c r="S6207" t="s">
        <v>41450</v>
      </c>
      <c r="T6207" t="s">
        <v>42992</v>
      </c>
      <c r="U6207" t="s">
        <v>48327</v>
      </c>
      <c r="W6207" t="s">
        <v>37627</v>
      </c>
      <c r="X6207" t="s">
        <v>41257</v>
      </c>
    </row>
    <row r="6208" spans="1:24">
      <c r="A6208">
        <f>HYPERLINK("https://www.philgeps.gov.ph/GEPSNONPILOT/Tender/SplashBidNoticeAbstractUI.aspx?menuIndex=3&amp;refID=7071782&amp;Result=3","7071782")</f>
        <v>0</v>
      </c>
      <c r="B6208" t="s">
        <v>2026</v>
      </c>
      <c r="C6208" t="s">
        <v>9300</v>
      </c>
      <c r="D6208" t="s">
        <v>16611</v>
      </c>
      <c r="E6208" t="s">
        <v>22174</v>
      </c>
      <c r="F6208" t="s">
        <v>28669</v>
      </c>
      <c r="G6208" t="s">
        <v>28675</v>
      </c>
      <c r="H6208" t="s">
        <v>9998</v>
      </c>
      <c r="I6208" t="s">
        <v>28714</v>
      </c>
      <c r="J6208" t="s">
        <v>28877</v>
      </c>
      <c r="K6208" t="s">
        <v>37209</v>
      </c>
      <c r="M6208" t="s">
        <v>39666</v>
      </c>
      <c r="N6208" t="s">
        <v>41249</v>
      </c>
      <c r="O6208" t="s">
        <v>41250</v>
      </c>
      <c r="P6208">
        <v>0</v>
      </c>
      <c r="Q6208">
        <v>6</v>
      </c>
      <c r="R6208" t="s">
        <v>41256</v>
      </c>
      <c r="S6208" t="s">
        <v>41450</v>
      </c>
      <c r="T6208" t="s">
        <v>42855</v>
      </c>
      <c r="U6208" t="s">
        <v>48328</v>
      </c>
      <c r="W6208" t="s">
        <v>39666</v>
      </c>
      <c r="X6208" t="s">
        <v>41257</v>
      </c>
    </row>
    <row r="6209" spans="1:24">
      <c r="A6209">
        <f>HYPERLINK("https://www.philgeps.gov.ph/GEPSNONPILOT/Tender/SplashBidNoticeAbstractUI.aspx?menuIndex=3&amp;refID=7071886&amp;Result=3","7071886")</f>
        <v>0</v>
      </c>
      <c r="B6209" t="s">
        <v>599</v>
      </c>
      <c r="C6209" t="s">
        <v>9301</v>
      </c>
      <c r="D6209" t="s">
        <v>16617</v>
      </c>
      <c r="E6209" t="s">
        <v>22175</v>
      </c>
      <c r="F6209" t="s">
        <v>28669</v>
      </c>
      <c r="G6209" t="s">
        <v>28675</v>
      </c>
      <c r="H6209" t="s">
        <v>28686</v>
      </c>
      <c r="I6209" t="s">
        <v>28689</v>
      </c>
      <c r="J6209" t="s">
        <v>32736</v>
      </c>
      <c r="K6209" t="s">
        <v>37365</v>
      </c>
      <c r="M6209" t="s">
        <v>38098</v>
      </c>
      <c r="N6209" t="s">
        <v>41249</v>
      </c>
      <c r="O6209" t="s">
        <v>41250</v>
      </c>
      <c r="P6209">
        <v>0</v>
      </c>
      <c r="Q6209">
        <v>18</v>
      </c>
      <c r="R6209" t="s">
        <v>41256</v>
      </c>
      <c r="S6209" t="s">
        <v>41450</v>
      </c>
      <c r="T6209" t="s">
        <v>42782</v>
      </c>
      <c r="U6209" t="s">
        <v>48329</v>
      </c>
      <c r="V6209" t="s">
        <v>54278</v>
      </c>
      <c r="W6209" t="s">
        <v>38098</v>
      </c>
      <c r="X6209" t="s">
        <v>41257</v>
      </c>
    </row>
    <row r="6210" spans="1:24">
      <c r="A6210">
        <f>HYPERLINK("https://www.philgeps.gov.ph/GEPSNONPILOT/Tender/SplashBidNoticeAbstractUI.aspx?menuIndex=3&amp;refID=7071769&amp;Result=3","7071769")</f>
        <v>0</v>
      </c>
      <c r="B6210" t="s">
        <v>1472</v>
      </c>
      <c r="C6210" t="s">
        <v>9302</v>
      </c>
      <c r="D6210" t="s">
        <v>16630</v>
      </c>
      <c r="E6210" t="s">
        <v>22176</v>
      </c>
      <c r="F6210" t="s">
        <v>28669</v>
      </c>
      <c r="G6210" t="s">
        <v>28676</v>
      </c>
      <c r="H6210" t="s">
        <v>9998</v>
      </c>
      <c r="I6210" t="s">
        <v>28694</v>
      </c>
      <c r="J6210" t="s">
        <v>32737</v>
      </c>
      <c r="K6210" t="s">
        <v>37205</v>
      </c>
      <c r="M6210" t="s">
        <v>39040</v>
      </c>
      <c r="N6210" t="s">
        <v>41249</v>
      </c>
      <c r="O6210" t="s">
        <v>41250</v>
      </c>
      <c r="P6210">
        <v>0</v>
      </c>
      <c r="Q6210">
        <v>0</v>
      </c>
      <c r="R6210" t="s">
        <v>41256</v>
      </c>
      <c r="S6210" t="s">
        <v>41450</v>
      </c>
      <c r="T6210" t="s">
        <v>42727</v>
      </c>
      <c r="U6210" t="s">
        <v>48330</v>
      </c>
      <c r="W6210" t="s">
        <v>39040</v>
      </c>
      <c r="X6210" t="s">
        <v>41257</v>
      </c>
    </row>
    <row r="6211" spans="1:24">
      <c r="A6211">
        <f>HYPERLINK("https://www.philgeps.gov.ph/GEPSNONPILOT/Tender/SplashBidNoticeAbstractUI.aspx?menuIndex=3&amp;refID=7073042&amp;Result=3","7073042")</f>
        <v>0</v>
      </c>
      <c r="B6211" t="s">
        <v>1212</v>
      </c>
      <c r="C6211" t="s">
        <v>9303</v>
      </c>
      <c r="D6211" t="s">
        <v>16678</v>
      </c>
      <c r="E6211" t="s">
        <v>22177</v>
      </c>
      <c r="F6211" t="s">
        <v>28669</v>
      </c>
      <c r="G6211" t="s">
        <v>28677</v>
      </c>
      <c r="H6211" t="s">
        <v>9998</v>
      </c>
      <c r="I6211" t="s">
        <v>11142</v>
      </c>
      <c r="J6211" t="s">
        <v>32738</v>
      </c>
      <c r="K6211" t="s">
        <v>37209</v>
      </c>
      <c r="M6211" t="s">
        <v>39476</v>
      </c>
      <c r="N6211" t="s">
        <v>41249</v>
      </c>
      <c r="O6211" t="s">
        <v>41250</v>
      </c>
      <c r="P6211">
        <v>0</v>
      </c>
      <c r="Q6211">
        <v>1</v>
      </c>
      <c r="R6211" t="s">
        <v>41254</v>
      </c>
      <c r="S6211" t="s">
        <v>41425</v>
      </c>
      <c r="T6211" t="s">
        <v>42665</v>
      </c>
      <c r="U6211" t="s">
        <v>47707</v>
      </c>
      <c r="W6211" t="s">
        <v>39476</v>
      </c>
      <c r="X6211" t="s">
        <v>41255</v>
      </c>
    </row>
    <row r="6212" spans="1:24">
      <c r="A6212">
        <f>HYPERLINK("https://www.philgeps.gov.ph/GEPSNONPILOT/Tender/SplashBidNoticeAbstractUI.aspx?menuIndex=3&amp;refID=7071790&amp;Result=3","7071790")</f>
        <v>0</v>
      </c>
      <c r="B6212" t="s">
        <v>599</v>
      </c>
      <c r="C6212" t="s">
        <v>9304</v>
      </c>
      <c r="D6212" t="s">
        <v>16617</v>
      </c>
      <c r="E6212" t="s">
        <v>22178</v>
      </c>
      <c r="F6212" t="s">
        <v>28669</v>
      </c>
      <c r="G6212" t="s">
        <v>28675</v>
      </c>
      <c r="H6212" t="s">
        <v>28686</v>
      </c>
      <c r="I6212" t="s">
        <v>28689</v>
      </c>
      <c r="J6212" t="s">
        <v>32739</v>
      </c>
      <c r="K6212" t="s">
        <v>37218</v>
      </c>
      <c r="M6212" t="s">
        <v>38098</v>
      </c>
      <c r="N6212" t="s">
        <v>41249</v>
      </c>
      <c r="O6212" t="s">
        <v>41250</v>
      </c>
      <c r="P6212">
        <v>0</v>
      </c>
      <c r="Q6212">
        <v>16</v>
      </c>
      <c r="R6212" t="s">
        <v>41256</v>
      </c>
      <c r="S6212" t="s">
        <v>41450</v>
      </c>
      <c r="T6212" t="s">
        <v>42782</v>
      </c>
      <c r="U6212" t="s">
        <v>48331</v>
      </c>
      <c r="V6212" t="s">
        <v>54278</v>
      </c>
      <c r="W6212" t="s">
        <v>38098</v>
      </c>
      <c r="X6212" t="s">
        <v>41257</v>
      </c>
    </row>
    <row r="6213" spans="1:24">
      <c r="A6213">
        <f>HYPERLINK("https://www.philgeps.gov.ph/GEPSNONPILOT/Tender/SplashBidNoticeAbstractUI.aspx?menuIndex=3&amp;refID=7073062&amp;Result=3","7073062")</f>
        <v>0</v>
      </c>
      <c r="B6213" t="s">
        <v>1129</v>
      </c>
      <c r="C6213" t="s">
        <v>9305</v>
      </c>
      <c r="D6213" t="s">
        <v>16612</v>
      </c>
      <c r="E6213" t="s">
        <v>17319</v>
      </c>
      <c r="F6213" t="s">
        <v>28669</v>
      </c>
      <c r="G6213" t="s">
        <v>28676</v>
      </c>
      <c r="H6213" t="s">
        <v>9998</v>
      </c>
      <c r="I6213" t="s">
        <v>11593</v>
      </c>
      <c r="J6213" t="s">
        <v>30106</v>
      </c>
      <c r="K6213" t="s">
        <v>37205</v>
      </c>
      <c r="M6213" t="s">
        <v>38663</v>
      </c>
      <c r="N6213" t="s">
        <v>41249</v>
      </c>
      <c r="O6213" t="s">
        <v>41250</v>
      </c>
      <c r="P6213">
        <v>0</v>
      </c>
      <c r="Q6213">
        <v>1</v>
      </c>
      <c r="R6213" t="s">
        <v>41254</v>
      </c>
      <c r="S6213" t="s">
        <v>41425</v>
      </c>
      <c r="T6213" t="s">
        <v>42887</v>
      </c>
      <c r="U6213" t="s">
        <v>48332</v>
      </c>
      <c r="W6213" t="s">
        <v>38663</v>
      </c>
      <c r="X6213" t="s">
        <v>41255</v>
      </c>
    </row>
    <row r="6214" spans="1:24">
      <c r="A6214">
        <f>HYPERLINK("https://www.philgeps.gov.ph/GEPSNONPILOT/Tender/SplashBidNoticeAbstractUI.aspx?menuIndex=3&amp;refID=7071879&amp;Result=3","7071879")</f>
        <v>0</v>
      </c>
      <c r="B6214" t="s">
        <v>2076</v>
      </c>
      <c r="C6214" t="s">
        <v>9306</v>
      </c>
      <c r="D6214" t="s">
        <v>16674</v>
      </c>
      <c r="E6214" t="s">
        <v>22179</v>
      </c>
      <c r="F6214" t="s">
        <v>28669</v>
      </c>
      <c r="G6214" t="s">
        <v>28675</v>
      </c>
      <c r="H6214" t="s">
        <v>9998</v>
      </c>
      <c r="I6214" t="s">
        <v>28687</v>
      </c>
      <c r="J6214" t="s">
        <v>28924</v>
      </c>
      <c r="K6214" t="s">
        <v>37205</v>
      </c>
      <c r="M6214" t="s">
        <v>39717</v>
      </c>
      <c r="N6214" t="s">
        <v>41249</v>
      </c>
      <c r="O6214" t="s">
        <v>41250</v>
      </c>
      <c r="P6214">
        <v>0</v>
      </c>
      <c r="Q6214">
        <v>4</v>
      </c>
      <c r="R6214" t="s">
        <v>41256</v>
      </c>
      <c r="S6214" t="s">
        <v>41450</v>
      </c>
      <c r="T6214" t="s">
        <v>42721</v>
      </c>
      <c r="U6214" t="s">
        <v>48333</v>
      </c>
      <c r="W6214" t="s">
        <v>39717</v>
      </c>
      <c r="X6214" t="s">
        <v>41257</v>
      </c>
    </row>
    <row r="6215" spans="1:24">
      <c r="A6215">
        <f>HYPERLINK("https://www.philgeps.gov.ph/GEPSNONPILOT/Tender/SplashBidNoticeAbstractUI.aspx?menuIndex=3&amp;refID=7071878&amp;Result=3","7071878")</f>
        <v>0</v>
      </c>
      <c r="B6215" t="s">
        <v>1333</v>
      </c>
      <c r="C6215" t="s">
        <v>9307</v>
      </c>
      <c r="D6215" t="s">
        <v>16612</v>
      </c>
      <c r="E6215" t="s">
        <v>22180</v>
      </c>
      <c r="F6215" t="s">
        <v>28669</v>
      </c>
      <c r="G6215" t="s">
        <v>28675</v>
      </c>
      <c r="H6215" t="s">
        <v>9998</v>
      </c>
      <c r="I6215" t="s">
        <v>7352</v>
      </c>
      <c r="J6215" t="s">
        <v>32740</v>
      </c>
      <c r="K6215" t="s">
        <v>37231</v>
      </c>
      <c r="M6215" t="s">
        <v>38887</v>
      </c>
      <c r="N6215" t="s">
        <v>41249</v>
      </c>
      <c r="O6215" t="s">
        <v>41250</v>
      </c>
      <c r="P6215">
        <v>0</v>
      </c>
      <c r="Q6215">
        <v>0</v>
      </c>
      <c r="R6215" t="s">
        <v>41256</v>
      </c>
      <c r="S6215" t="s">
        <v>41450</v>
      </c>
      <c r="T6215" t="s">
        <v>42738</v>
      </c>
      <c r="U6215" t="s">
        <v>48334</v>
      </c>
      <c r="W6215" t="s">
        <v>38887</v>
      </c>
      <c r="X6215" t="s">
        <v>41257</v>
      </c>
    </row>
    <row r="6216" spans="1:24">
      <c r="A6216">
        <f>HYPERLINK("https://www.philgeps.gov.ph/GEPSNONPILOT/Tender/SplashBidNoticeAbstractUI.aspx?menuIndex=3&amp;refID=7071820&amp;Result=3","7071820")</f>
        <v>0</v>
      </c>
      <c r="B6216" t="s">
        <v>748</v>
      </c>
      <c r="C6216" t="s">
        <v>9308</v>
      </c>
      <c r="D6216" t="s">
        <v>16629</v>
      </c>
      <c r="E6216" t="s">
        <v>22181</v>
      </c>
      <c r="F6216" t="s">
        <v>28669</v>
      </c>
      <c r="G6216" t="s">
        <v>28676</v>
      </c>
      <c r="H6216" t="s">
        <v>9998</v>
      </c>
      <c r="I6216" t="s">
        <v>28687</v>
      </c>
      <c r="J6216" t="s">
        <v>28905</v>
      </c>
      <c r="K6216" t="s">
        <v>37220</v>
      </c>
      <c r="M6216" t="s">
        <v>38258</v>
      </c>
      <c r="N6216" t="s">
        <v>41249</v>
      </c>
      <c r="O6216" t="s">
        <v>41250</v>
      </c>
      <c r="P6216">
        <v>0</v>
      </c>
      <c r="Q6216">
        <v>0</v>
      </c>
      <c r="R6216" t="s">
        <v>41256</v>
      </c>
      <c r="S6216" t="s">
        <v>41450</v>
      </c>
      <c r="T6216" t="s">
        <v>42754</v>
      </c>
      <c r="U6216" t="s">
        <v>48335</v>
      </c>
      <c r="V6216" t="s">
        <v>54958</v>
      </c>
      <c r="W6216" t="s">
        <v>38258</v>
      </c>
      <c r="X6216" t="s">
        <v>41257</v>
      </c>
    </row>
    <row r="6217" spans="1:24">
      <c r="A6217">
        <f>HYPERLINK("https://www.philgeps.gov.ph/GEPSNONPILOT/Tender/SplashBidNoticeAbstractUI.aspx?menuIndex=3&amp;refID=7071866&amp;Result=3","7071866")</f>
        <v>0</v>
      </c>
      <c r="B6217" t="s">
        <v>1829</v>
      </c>
      <c r="C6217" t="s">
        <v>9309</v>
      </c>
      <c r="D6217" t="s">
        <v>16661</v>
      </c>
      <c r="E6217" t="s">
        <v>21444</v>
      </c>
      <c r="F6217" t="s">
        <v>28669</v>
      </c>
      <c r="G6217" t="s">
        <v>28676</v>
      </c>
      <c r="H6217" t="s">
        <v>9998</v>
      </c>
      <c r="I6217" t="s">
        <v>28729</v>
      </c>
      <c r="J6217" t="s">
        <v>32741</v>
      </c>
      <c r="K6217" t="s">
        <v>37210</v>
      </c>
      <c r="M6217" t="s">
        <v>39442</v>
      </c>
      <c r="N6217" t="s">
        <v>41249</v>
      </c>
      <c r="O6217" t="s">
        <v>41250</v>
      </c>
      <c r="P6217">
        <v>0</v>
      </c>
      <c r="Q6217">
        <v>2</v>
      </c>
      <c r="R6217" t="s">
        <v>41256</v>
      </c>
      <c r="S6217" t="s">
        <v>41450</v>
      </c>
      <c r="T6217" t="s">
        <v>42728</v>
      </c>
      <c r="U6217" t="s">
        <v>48336</v>
      </c>
      <c r="W6217" t="s">
        <v>39442</v>
      </c>
      <c r="X6217" t="s">
        <v>41257</v>
      </c>
    </row>
    <row r="6218" spans="1:24">
      <c r="A6218">
        <f>HYPERLINK("https://www.philgeps.gov.ph/GEPSNONPILOT/Tender/SplashBidNoticeAbstractUI.aspx?menuIndex=3&amp;refID=7071859&amp;Result=3","7071859")</f>
        <v>0</v>
      </c>
      <c r="B6218" t="s">
        <v>2074</v>
      </c>
      <c r="C6218" t="s">
        <v>9310</v>
      </c>
      <c r="D6218" t="s">
        <v>16678</v>
      </c>
      <c r="E6218" t="s">
        <v>22182</v>
      </c>
      <c r="F6218" t="s">
        <v>28674</v>
      </c>
      <c r="G6218" t="s">
        <v>28675</v>
      </c>
      <c r="H6218" t="s">
        <v>9998</v>
      </c>
      <c r="I6218" t="s">
        <v>7352</v>
      </c>
      <c r="J6218" t="s">
        <v>32742</v>
      </c>
      <c r="K6218" t="s">
        <v>37205</v>
      </c>
      <c r="M6218" t="s">
        <v>39715</v>
      </c>
      <c r="N6218" t="s">
        <v>41249</v>
      </c>
      <c r="O6218" t="s">
        <v>41250</v>
      </c>
      <c r="P6218">
        <v>0</v>
      </c>
      <c r="Q6218">
        <v>0</v>
      </c>
      <c r="R6218" t="s">
        <v>41256</v>
      </c>
      <c r="S6218" t="s">
        <v>41450</v>
      </c>
      <c r="T6218" t="s">
        <v>42755</v>
      </c>
      <c r="U6218" t="s">
        <v>48337</v>
      </c>
      <c r="W6218" t="s">
        <v>39715</v>
      </c>
      <c r="X6218" t="s">
        <v>41257</v>
      </c>
    </row>
    <row r="6219" spans="1:24">
      <c r="A6219">
        <f>HYPERLINK("https://www.philgeps.gov.ph/GEPSNONPILOT/Tender/SplashBidNoticeAbstractUI.aspx?menuIndex=3&amp;refID=7071883&amp;Result=3","7071883")</f>
        <v>0</v>
      </c>
      <c r="B6219" t="s">
        <v>1829</v>
      </c>
      <c r="C6219" t="s">
        <v>9311</v>
      </c>
      <c r="D6219" t="s">
        <v>16661</v>
      </c>
      <c r="E6219" t="s">
        <v>21444</v>
      </c>
      <c r="F6219" t="s">
        <v>28669</v>
      </c>
      <c r="G6219" t="s">
        <v>28677</v>
      </c>
      <c r="H6219" t="s">
        <v>9998</v>
      </c>
      <c r="I6219" t="s">
        <v>28695</v>
      </c>
      <c r="J6219" t="s">
        <v>32743</v>
      </c>
      <c r="K6219" t="s">
        <v>37210</v>
      </c>
      <c r="M6219" t="s">
        <v>39442</v>
      </c>
      <c r="N6219" t="s">
        <v>41249</v>
      </c>
      <c r="O6219" t="s">
        <v>41250</v>
      </c>
      <c r="P6219">
        <v>0</v>
      </c>
      <c r="Q6219">
        <v>1</v>
      </c>
      <c r="R6219" t="s">
        <v>41256</v>
      </c>
      <c r="S6219" t="s">
        <v>41450</v>
      </c>
      <c r="T6219" t="s">
        <v>42728</v>
      </c>
      <c r="U6219" t="s">
        <v>48338</v>
      </c>
      <c r="W6219" t="s">
        <v>39442</v>
      </c>
      <c r="X6219" t="s">
        <v>41257</v>
      </c>
    </row>
    <row r="6220" spans="1:24">
      <c r="A6220">
        <f>HYPERLINK("https://www.philgeps.gov.ph/GEPSNONPILOT/Tender/SplashBidNoticeAbstractUI.aspx?menuIndex=3&amp;refID=7071858&amp;Result=3","7071858")</f>
        <v>0</v>
      </c>
      <c r="B6220" t="s">
        <v>2006</v>
      </c>
      <c r="C6220" t="s">
        <v>9312</v>
      </c>
      <c r="D6220" t="s">
        <v>16677</v>
      </c>
      <c r="E6220" t="s">
        <v>22183</v>
      </c>
      <c r="F6220" t="s">
        <v>28669</v>
      </c>
      <c r="G6220" t="s">
        <v>28676</v>
      </c>
      <c r="H6220" t="s">
        <v>9998</v>
      </c>
      <c r="I6220" t="s">
        <v>6606</v>
      </c>
      <c r="J6220" t="s">
        <v>29728</v>
      </c>
      <c r="K6220" t="s">
        <v>37209</v>
      </c>
      <c r="M6220" t="s">
        <v>39644</v>
      </c>
      <c r="N6220" t="s">
        <v>41249</v>
      </c>
      <c r="O6220" t="s">
        <v>41250</v>
      </c>
      <c r="P6220">
        <v>0</v>
      </c>
      <c r="Q6220">
        <v>3</v>
      </c>
      <c r="R6220" t="s">
        <v>41256</v>
      </c>
      <c r="S6220" t="s">
        <v>41450</v>
      </c>
      <c r="T6220" t="s">
        <v>42758</v>
      </c>
      <c r="U6220" t="s">
        <v>48339</v>
      </c>
      <c r="V6220" t="s">
        <v>54925</v>
      </c>
      <c r="W6220" t="s">
        <v>39644</v>
      </c>
      <c r="X6220" t="s">
        <v>41257</v>
      </c>
    </row>
    <row r="6221" spans="1:24">
      <c r="A6221">
        <f>HYPERLINK("https://www.philgeps.gov.ph/GEPSNONPILOT/Tender/SplashBidNoticeAbstractUI.aspx?menuIndex=3&amp;refID=7071885&amp;Result=3","7071885")</f>
        <v>0</v>
      </c>
      <c r="B6221" t="s">
        <v>2077</v>
      </c>
      <c r="C6221" t="s">
        <v>9313</v>
      </c>
      <c r="D6221" t="s">
        <v>16633</v>
      </c>
      <c r="E6221" t="s">
        <v>22184</v>
      </c>
      <c r="F6221" t="s">
        <v>28669</v>
      </c>
      <c r="G6221" t="s">
        <v>28675</v>
      </c>
      <c r="H6221" t="s">
        <v>9998</v>
      </c>
      <c r="I6221" t="s">
        <v>28726</v>
      </c>
      <c r="J6221" t="s">
        <v>32744</v>
      </c>
      <c r="K6221" t="s">
        <v>37204</v>
      </c>
      <c r="M6221" t="s">
        <v>39718</v>
      </c>
      <c r="N6221" t="s">
        <v>41249</v>
      </c>
      <c r="O6221" t="s">
        <v>41250</v>
      </c>
      <c r="P6221">
        <v>0</v>
      </c>
      <c r="Q6221">
        <v>2</v>
      </c>
      <c r="R6221" t="s">
        <v>41256</v>
      </c>
      <c r="S6221" t="s">
        <v>41450</v>
      </c>
      <c r="T6221" t="s">
        <v>43023</v>
      </c>
      <c r="U6221" t="s">
        <v>48340</v>
      </c>
      <c r="V6221" t="s">
        <v>54959</v>
      </c>
      <c r="W6221" t="s">
        <v>39718</v>
      </c>
      <c r="X6221" t="s">
        <v>41257</v>
      </c>
    </row>
    <row r="6222" spans="1:24">
      <c r="A6222">
        <f>HYPERLINK("https://www.philgeps.gov.ph/GEPSNONPILOT/Tender/SplashBidNoticeAbstractUI.aspx?menuIndex=3&amp;refID=7071876&amp;Result=3","7071876")</f>
        <v>0</v>
      </c>
      <c r="B6222" t="s">
        <v>2071</v>
      </c>
      <c r="C6222" t="s">
        <v>9314</v>
      </c>
      <c r="D6222" t="s">
        <v>16611</v>
      </c>
      <c r="E6222" t="s">
        <v>22185</v>
      </c>
      <c r="F6222" t="s">
        <v>28669</v>
      </c>
      <c r="G6222" t="s">
        <v>28676</v>
      </c>
      <c r="H6222" t="s">
        <v>9998</v>
      </c>
      <c r="I6222" t="s">
        <v>28724</v>
      </c>
      <c r="J6222" t="s">
        <v>30483</v>
      </c>
      <c r="K6222" t="s">
        <v>37213</v>
      </c>
      <c r="M6222" t="s">
        <v>39712</v>
      </c>
      <c r="N6222" t="s">
        <v>41249</v>
      </c>
      <c r="O6222" t="s">
        <v>41250</v>
      </c>
      <c r="P6222">
        <v>0</v>
      </c>
      <c r="Q6222">
        <v>3</v>
      </c>
      <c r="R6222" t="s">
        <v>41256</v>
      </c>
      <c r="S6222" t="s">
        <v>41450</v>
      </c>
      <c r="T6222" t="s">
        <v>42698</v>
      </c>
      <c r="U6222" t="s">
        <v>48341</v>
      </c>
      <c r="W6222" t="s">
        <v>39712</v>
      </c>
      <c r="X6222" t="s">
        <v>41257</v>
      </c>
    </row>
    <row r="6223" spans="1:24">
      <c r="A6223">
        <f>HYPERLINK("https://www.philgeps.gov.ph/GEPSNONPILOT/Tender/SplashBidNoticeAbstractUI.aspx?menuIndex=3&amp;refID=7071848&amp;Result=3","7071848")</f>
        <v>0</v>
      </c>
      <c r="B6223" t="s">
        <v>599</v>
      </c>
      <c r="C6223" t="s">
        <v>9315</v>
      </c>
      <c r="D6223" t="s">
        <v>16617</v>
      </c>
      <c r="E6223" t="s">
        <v>22186</v>
      </c>
      <c r="F6223" t="s">
        <v>28669</v>
      </c>
      <c r="G6223" t="s">
        <v>28675</v>
      </c>
      <c r="H6223" t="s">
        <v>28686</v>
      </c>
      <c r="I6223" t="s">
        <v>28689</v>
      </c>
      <c r="J6223" t="s">
        <v>32745</v>
      </c>
      <c r="K6223" t="s">
        <v>37287</v>
      </c>
      <c r="M6223" t="s">
        <v>38098</v>
      </c>
      <c r="N6223" t="s">
        <v>41249</v>
      </c>
      <c r="O6223" t="s">
        <v>41250</v>
      </c>
      <c r="P6223">
        <v>0</v>
      </c>
      <c r="Q6223">
        <v>16</v>
      </c>
      <c r="R6223" t="s">
        <v>41256</v>
      </c>
      <c r="S6223" t="s">
        <v>41450</v>
      </c>
      <c r="T6223" t="s">
        <v>42782</v>
      </c>
      <c r="U6223" t="s">
        <v>48342</v>
      </c>
      <c r="V6223" t="s">
        <v>54278</v>
      </c>
      <c r="W6223" t="s">
        <v>38098</v>
      </c>
      <c r="X6223" t="s">
        <v>41257</v>
      </c>
    </row>
    <row r="6224" spans="1:24">
      <c r="A6224">
        <f>HYPERLINK("https://www.philgeps.gov.ph/GEPSNONPILOT/Tender/SplashBidNoticeAbstractUI.aspx?menuIndex=3&amp;refID=7071873&amp;Result=3","7071873")</f>
        <v>0</v>
      </c>
      <c r="B6224" t="s">
        <v>150</v>
      </c>
      <c r="C6224" t="s">
        <v>9316</v>
      </c>
      <c r="D6224" t="s">
        <v>16617</v>
      </c>
      <c r="E6224" t="s">
        <v>22187</v>
      </c>
      <c r="F6224" t="s">
        <v>28669</v>
      </c>
      <c r="G6224" t="s">
        <v>28676</v>
      </c>
      <c r="H6224" t="s">
        <v>9998</v>
      </c>
      <c r="I6224" t="s">
        <v>5213</v>
      </c>
      <c r="J6224" t="s">
        <v>32746</v>
      </c>
      <c r="K6224" t="s">
        <v>37206</v>
      </c>
      <c r="M6224" t="s">
        <v>37627</v>
      </c>
      <c r="N6224" t="s">
        <v>41249</v>
      </c>
      <c r="O6224" t="s">
        <v>41250</v>
      </c>
      <c r="P6224">
        <v>0</v>
      </c>
      <c r="Q6224">
        <v>0</v>
      </c>
      <c r="R6224" t="s">
        <v>41256</v>
      </c>
      <c r="S6224" t="s">
        <v>41450</v>
      </c>
      <c r="T6224" t="s">
        <v>42992</v>
      </c>
      <c r="U6224" t="s">
        <v>48343</v>
      </c>
      <c r="W6224" t="s">
        <v>37627</v>
      </c>
      <c r="X6224" t="s">
        <v>41257</v>
      </c>
    </row>
    <row r="6225" spans="1:24">
      <c r="A6225">
        <f>HYPERLINK("https://www.philgeps.gov.ph/GEPSNONPILOT/Tender/SplashBidNoticeAbstractUI.aspx?menuIndex=3&amp;refID=7071840&amp;Result=3","7071840")</f>
        <v>0</v>
      </c>
      <c r="B6225" t="s">
        <v>150</v>
      </c>
      <c r="C6225" t="s">
        <v>9317</v>
      </c>
      <c r="D6225" t="s">
        <v>16617</v>
      </c>
      <c r="E6225" t="s">
        <v>22188</v>
      </c>
      <c r="F6225" t="s">
        <v>28669</v>
      </c>
      <c r="G6225" t="s">
        <v>28676</v>
      </c>
      <c r="H6225" t="s">
        <v>9998</v>
      </c>
      <c r="I6225" t="s">
        <v>5213</v>
      </c>
      <c r="J6225" t="s">
        <v>32747</v>
      </c>
      <c r="K6225" t="s">
        <v>37206</v>
      </c>
      <c r="M6225" t="s">
        <v>37627</v>
      </c>
      <c r="N6225" t="s">
        <v>41249</v>
      </c>
      <c r="O6225" t="s">
        <v>41250</v>
      </c>
      <c r="P6225">
        <v>0</v>
      </c>
      <c r="Q6225">
        <v>0</v>
      </c>
      <c r="R6225" t="s">
        <v>41256</v>
      </c>
      <c r="S6225" t="s">
        <v>41450</v>
      </c>
      <c r="T6225" t="s">
        <v>42992</v>
      </c>
      <c r="U6225" t="s">
        <v>48344</v>
      </c>
      <c r="W6225" t="s">
        <v>37627</v>
      </c>
      <c r="X6225" t="s">
        <v>41257</v>
      </c>
    </row>
    <row r="6226" spans="1:24">
      <c r="A6226">
        <f>HYPERLINK("https://www.philgeps.gov.ph/GEPSNONPILOT/Tender/SplashBidNoticeAbstractUI.aspx?menuIndex=3&amp;refID=7071871&amp;Result=3","7071871")</f>
        <v>0</v>
      </c>
      <c r="B6226" t="s">
        <v>2077</v>
      </c>
      <c r="C6226" t="s">
        <v>9318</v>
      </c>
      <c r="D6226" t="s">
        <v>16633</v>
      </c>
      <c r="E6226" t="s">
        <v>22189</v>
      </c>
      <c r="F6226" t="s">
        <v>28669</v>
      </c>
      <c r="G6226" t="s">
        <v>28675</v>
      </c>
      <c r="H6226" t="s">
        <v>9998</v>
      </c>
      <c r="I6226" t="s">
        <v>5213</v>
      </c>
      <c r="J6226" t="s">
        <v>32748</v>
      </c>
      <c r="K6226" t="s">
        <v>37204</v>
      </c>
      <c r="M6226" t="s">
        <v>39718</v>
      </c>
      <c r="N6226" t="s">
        <v>41249</v>
      </c>
      <c r="O6226" t="s">
        <v>41250</v>
      </c>
      <c r="P6226">
        <v>0</v>
      </c>
      <c r="Q6226">
        <v>2</v>
      </c>
      <c r="R6226" t="s">
        <v>41256</v>
      </c>
      <c r="S6226" t="s">
        <v>41450</v>
      </c>
      <c r="T6226" t="s">
        <v>43023</v>
      </c>
      <c r="U6226" t="s">
        <v>48345</v>
      </c>
      <c r="V6226" t="s">
        <v>54959</v>
      </c>
      <c r="W6226" t="s">
        <v>39718</v>
      </c>
      <c r="X6226" t="s">
        <v>41257</v>
      </c>
    </row>
    <row r="6227" spans="1:24">
      <c r="A6227">
        <f>HYPERLINK("https://www.philgeps.gov.ph/GEPSNONPILOT/Tender/SplashBidNoticeAbstractUI.aspx?menuIndex=3&amp;refID=7071836&amp;Result=3","7071836")</f>
        <v>0</v>
      </c>
      <c r="B6227" t="s">
        <v>1925</v>
      </c>
      <c r="C6227" t="s">
        <v>9319</v>
      </c>
      <c r="D6227" t="s">
        <v>16654</v>
      </c>
      <c r="E6227" t="s">
        <v>22190</v>
      </c>
      <c r="F6227" t="s">
        <v>28669</v>
      </c>
      <c r="G6227" t="s">
        <v>28675</v>
      </c>
      <c r="H6227" t="s">
        <v>28686</v>
      </c>
      <c r="I6227" t="s">
        <v>7352</v>
      </c>
      <c r="J6227" t="s">
        <v>32749</v>
      </c>
      <c r="K6227" t="s">
        <v>37204</v>
      </c>
      <c r="M6227" t="s">
        <v>39552</v>
      </c>
      <c r="N6227" t="s">
        <v>41249</v>
      </c>
      <c r="O6227" t="s">
        <v>41250</v>
      </c>
      <c r="P6227">
        <v>0</v>
      </c>
      <c r="Q6227">
        <v>0</v>
      </c>
      <c r="R6227" t="s">
        <v>41256</v>
      </c>
      <c r="S6227" t="s">
        <v>41450</v>
      </c>
      <c r="T6227" t="s">
        <v>42717</v>
      </c>
      <c r="U6227" t="s">
        <v>48346</v>
      </c>
      <c r="W6227" t="s">
        <v>39552</v>
      </c>
      <c r="X6227" t="s">
        <v>41257</v>
      </c>
    </row>
    <row r="6228" spans="1:24">
      <c r="A6228">
        <f>HYPERLINK("https://www.philgeps.gov.ph/GEPSNONPILOT/Tender/SplashBidNoticeAbstractUI.aspx?menuIndex=3&amp;refID=7071931&amp;Result=3","7071931")</f>
        <v>0</v>
      </c>
      <c r="B6228" t="s">
        <v>2078</v>
      </c>
      <c r="C6228" t="s">
        <v>9320</v>
      </c>
      <c r="D6228" t="s">
        <v>16664</v>
      </c>
      <c r="E6228" t="s">
        <v>22191</v>
      </c>
      <c r="F6228" t="s">
        <v>28669</v>
      </c>
      <c r="G6228" t="s">
        <v>28675</v>
      </c>
      <c r="H6228" t="s">
        <v>9998</v>
      </c>
      <c r="I6228" t="s">
        <v>7352</v>
      </c>
      <c r="J6228" t="s">
        <v>32750</v>
      </c>
      <c r="K6228" t="s">
        <v>37204</v>
      </c>
      <c r="M6228" t="s">
        <v>39719</v>
      </c>
      <c r="N6228" t="s">
        <v>41249</v>
      </c>
      <c r="O6228" t="s">
        <v>41250</v>
      </c>
      <c r="P6228">
        <v>0</v>
      </c>
      <c r="Q6228">
        <v>0</v>
      </c>
      <c r="R6228" t="s">
        <v>41256</v>
      </c>
      <c r="S6228" t="s">
        <v>41450</v>
      </c>
      <c r="T6228" t="s">
        <v>42754</v>
      </c>
      <c r="U6228" t="s">
        <v>44777</v>
      </c>
      <c r="W6228" t="s">
        <v>39719</v>
      </c>
      <c r="X6228" t="s">
        <v>41257</v>
      </c>
    </row>
    <row r="6229" spans="1:24">
      <c r="A6229">
        <f>HYPERLINK("https://www.philgeps.gov.ph/GEPSNONPILOT/Tender/SplashBidNoticeAbstractUI.aspx?menuIndex=3&amp;refID=7071942&amp;Result=3","7071942")</f>
        <v>0</v>
      </c>
      <c r="B6229" t="s">
        <v>2079</v>
      </c>
      <c r="C6229" t="s">
        <v>9321</v>
      </c>
      <c r="D6229" t="s">
        <v>16611</v>
      </c>
      <c r="E6229" t="s">
        <v>22192</v>
      </c>
      <c r="F6229" t="s">
        <v>28669</v>
      </c>
      <c r="G6229" t="s">
        <v>28675</v>
      </c>
      <c r="H6229" t="s">
        <v>9998</v>
      </c>
      <c r="I6229" t="s">
        <v>28688</v>
      </c>
      <c r="J6229" t="s">
        <v>32751</v>
      </c>
      <c r="K6229" t="s">
        <v>37206</v>
      </c>
      <c r="M6229" t="s">
        <v>39720</v>
      </c>
      <c r="N6229" t="s">
        <v>41249</v>
      </c>
      <c r="O6229" t="s">
        <v>41250</v>
      </c>
      <c r="P6229">
        <v>0</v>
      </c>
      <c r="Q6229">
        <v>4</v>
      </c>
      <c r="R6229" t="s">
        <v>41256</v>
      </c>
      <c r="S6229" t="s">
        <v>41450</v>
      </c>
      <c r="T6229" t="s">
        <v>42764</v>
      </c>
      <c r="U6229" t="s">
        <v>48347</v>
      </c>
      <c r="V6229" t="s">
        <v>54960</v>
      </c>
      <c r="W6229" t="s">
        <v>39720</v>
      </c>
      <c r="X6229" t="s">
        <v>41257</v>
      </c>
    </row>
    <row r="6230" spans="1:24">
      <c r="A6230">
        <f>HYPERLINK("https://www.philgeps.gov.ph/GEPSNONPILOT/Tender/SplashBidNoticeAbstractUI.aspx?menuIndex=3&amp;refID=7071939&amp;Result=3","7071939")</f>
        <v>0</v>
      </c>
      <c r="B6230" t="s">
        <v>1829</v>
      </c>
      <c r="C6230" t="s">
        <v>9322</v>
      </c>
      <c r="D6230" t="s">
        <v>16661</v>
      </c>
      <c r="E6230" t="s">
        <v>21444</v>
      </c>
      <c r="F6230" t="s">
        <v>28669</v>
      </c>
      <c r="G6230" t="s">
        <v>28677</v>
      </c>
      <c r="H6230" t="s">
        <v>9998</v>
      </c>
      <c r="I6230" t="s">
        <v>28695</v>
      </c>
      <c r="J6230" t="s">
        <v>32752</v>
      </c>
      <c r="K6230" t="s">
        <v>37210</v>
      </c>
      <c r="M6230" t="s">
        <v>39442</v>
      </c>
      <c r="N6230" t="s">
        <v>41249</v>
      </c>
      <c r="O6230" t="s">
        <v>41250</v>
      </c>
      <c r="P6230">
        <v>0</v>
      </c>
      <c r="Q6230">
        <v>1</v>
      </c>
      <c r="R6230" t="s">
        <v>41256</v>
      </c>
      <c r="S6230" t="s">
        <v>41450</v>
      </c>
      <c r="T6230" t="s">
        <v>42728</v>
      </c>
      <c r="U6230" t="s">
        <v>48348</v>
      </c>
      <c r="W6230" t="s">
        <v>39442</v>
      </c>
      <c r="X6230" t="s">
        <v>41257</v>
      </c>
    </row>
    <row r="6231" spans="1:24">
      <c r="A6231">
        <f>HYPERLINK("https://www.philgeps.gov.ph/GEPSNONPILOT/Tender/SplashBidNoticeAbstractUI.aspx?menuIndex=3&amp;refID=7071934&amp;Result=3","7071934")</f>
        <v>0</v>
      </c>
      <c r="B6231" t="s">
        <v>599</v>
      </c>
      <c r="C6231" t="s">
        <v>9323</v>
      </c>
      <c r="D6231" t="s">
        <v>16617</v>
      </c>
      <c r="E6231" t="s">
        <v>22193</v>
      </c>
      <c r="F6231" t="s">
        <v>28669</v>
      </c>
      <c r="G6231" t="s">
        <v>28675</v>
      </c>
      <c r="H6231" t="s">
        <v>28686</v>
      </c>
      <c r="I6231" t="s">
        <v>28689</v>
      </c>
      <c r="J6231" t="s">
        <v>32753</v>
      </c>
      <c r="K6231" t="s">
        <v>37366</v>
      </c>
      <c r="M6231" t="s">
        <v>38098</v>
      </c>
      <c r="N6231" t="s">
        <v>41249</v>
      </c>
      <c r="O6231" t="s">
        <v>41250</v>
      </c>
      <c r="P6231">
        <v>0</v>
      </c>
      <c r="Q6231">
        <v>16</v>
      </c>
      <c r="R6231" t="s">
        <v>41256</v>
      </c>
      <c r="S6231" t="s">
        <v>41450</v>
      </c>
      <c r="T6231" t="s">
        <v>42782</v>
      </c>
      <c r="U6231" t="s">
        <v>48349</v>
      </c>
      <c r="V6231" t="s">
        <v>54278</v>
      </c>
      <c r="W6231" t="s">
        <v>38098</v>
      </c>
      <c r="X6231" t="s">
        <v>41257</v>
      </c>
    </row>
    <row r="6232" spans="1:24">
      <c r="A6232">
        <f>HYPERLINK("https://www.philgeps.gov.ph/GEPSNONPILOT/Tender/SplashBidNoticeAbstractUI.aspx?menuIndex=3&amp;refID=7071921&amp;Result=3","7071921")</f>
        <v>0</v>
      </c>
      <c r="B6232" t="s">
        <v>1925</v>
      </c>
      <c r="C6232" t="s">
        <v>9324</v>
      </c>
      <c r="D6232" t="s">
        <v>16654</v>
      </c>
      <c r="E6232" t="s">
        <v>22194</v>
      </c>
      <c r="F6232" t="s">
        <v>28669</v>
      </c>
      <c r="G6232" t="s">
        <v>28675</v>
      </c>
      <c r="H6232" t="s">
        <v>28686</v>
      </c>
      <c r="I6232" t="s">
        <v>28689</v>
      </c>
      <c r="J6232" t="s">
        <v>29191</v>
      </c>
      <c r="K6232" t="s">
        <v>37204</v>
      </c>
      <c r="M6232" t="s">
        <v>39552</v>
      </c>
      <c r="N6232" t="s">
        <v>41249</v>
      </c>
      <c r="O6232" t="s">
        <v>41250</v>
      </c>
      <c r="P6232">
        <v>0</v>
      </c>
      <c r="Q6232">
        <v>0</v>
      </c>
      <c r="R6232" t="s">
        <v>41256</v>
      </c>
      <c r="S6232" t="s">
        <v>41450</v>
      </c>
      <c r="T6232" t="s">
        <v>42717</v>
      </c>
      <c r="U6232" t="s">
        <v>48350</v>
      </c>
      <c r="W6232" t="s">
        <v>39552</v>
      </c>
      <c r="X6232" t="s">
        <v>41257</v>
      </c>
    </row>
    <row r="6233" spans="1:24">
      <c r="A6233">
        <f>HYPERLINK("https://www.philgeps.gov.ph/GEPSNONPILOT/Tender/SplashBidNoticeAbstractUI.aspx?menuIndex=3&amp;refID=7071919&amp;Result=3","7071919")</f>
        <v>0</v>
      </c>
      <c r="B6233" t="s">
        <v>2080</v>
      </c>
      <c r="C6233" t="s">
        <v>9325</v>
      </c>
      <c r="D6233" t="s">
        <v>16647</v>
      </c>
      <c r="E6233" t="s">
        <v>22195</v>
      </c>
      <c r="F6233" t="s">
        <v>28669</v>
      </c>
      <c r="G6233" t="s">
        <v>28675</v>
      </c>
      <c r="H6233" t="s">
        <v>9998</v>
      </c>
      <c r="I6233" t="s">
        <v>28689</v>
      </c>
      <c r="J6233" t="s">
        <v>32754</v>
      </c>
      <c r="K6233" t="s">
        <v>37209</v>
      </c>
      <c r="M6233" t="s">
        <v>39721</v>
      </c>
      <c r="N6233" t="s">
        <v>41249</v>
      </c>
      <c r="O6233" t="s">
        <v>41250</v>
      </c>
      <c r="P6233">
        <v>0</v>
      </c>
      <c r="Q6233">
        <v>0</v>
      </c>
      <c r="R6233" t="s">
        <v>41256</v>
      </c>
      <c r="S6233" t="s">
        <v>41450</v>
      </c>
      <c r="T6233" t="s">
        <v>42711</v>
      </c>
      <c r="U6233" t="s">
        <v>48351</v>
      </c>
      <c r="W6233" t="s">
        <v>39721</v>
      </c>
      <c r="X6233" t="s">
        <v>41257</v>
      </c>
    </row>
    <row r="6234" spans="1:24">
      <c r="A6234">
        <f>HYPERLINK("https://www.philgeps.gov.ph/GEPSNONPILOT/Tender/SplashBidNoticeAbstractUI.aspx?menuIndex=3&amp;refID=7073038&amp;Result=3","7073038")</f>
        <v>0</v>
      </c>
      <c r="B6234" t="s">
        <v>1212</v>
      </c>
      <c r="C6234" t="s">
        <v>4730</v>
      </c>
      <c r="D6234" t="s">
        <v>16678</v>
      </c>
      <c r="E6234" t="s">
        <v>22196</v>
      </c>
      <c r="F6234" t="s">
        <v>28669</v>
      </c>
      <c r="G6234" t="s">
        <v>28676</v>
      </c>
      <c r="H6234" t="s">
        <v>9998</v>
      </c>
      <c r="I6234" t="s">
        <v>28693</v>
      </c>
      <c r="J6234" t="s">
        <v>32755</v>
      </c>
      <c r="K6234" t="s">
        <v>37209</v>
      </c>
      <c r="M6234" t="s">
        <v>39476</v>
      </c>
      <c r="N6234" t="s">
        <v>41249</v>
      </c>
      <c r="O6234" t="s">
        <v>41250</v>
      </c>
      <c r="P6234">
        <v>0</v>
      </c>
      <c r="Q6234">
        <v>20</v>
      </c>
      <c r="R6234" t="s">
        <v>41254</v>
      </c>
      <c r="S6234" t="s">
        <v>41425</v>
      </c>
      <c r="T6234" t="s">
        <v>42665</v>
      </c>
      <c r="U6234" t="s">
        <v>47707</v>
      </c>
      <c r="W6234" t="s">
        <v>39476</v>
      </c>
      <c r="X6234" t="s">
        <v>41255</v>
      </c>
    </row>
    <row r="6235" spans="1:24">
      <c r="A6235">
        <f>HYPERLINK("https://www.philgeps.gov.ph/GEPSNONPILOT/Tender/SplashBidNoticeAbstractUI.aspx?menuIndex=3&amp;refID=7071917&amp;Result=3","7071917")</f>
        <v>0</v>
      </c>
      <c r="B6235" t="s">
        <v>1829</v>
      </c>
      <c r="C6235" t="s">
        <v>9326</v>
      </c>
      <c r="D6235" t="s">
        <v>16661</v>
      </c>
      <c r="E6235" t="s">
        <v>21444</v>
      </c>
      <c r="F6235" t="s">
        <v>28669</v>
      </c>
      <c r="G6235" t="s">
        <v>28677</v>
      </c>
      <c r="H6235" t="s">
        <v>9998</v>
      </c>
      <c r="I6235" t="s">
        <v>28704</v>
      </c>
      <c r="J6235" t="s">
        <v>32756</v>
      </c>
      <c r="K6235" t="s">
        <v>37210</v>
      </c>
      <c r="M6235" t="s">
        <v>39442</v>
      </c>
      <c r="N6235" t="s">
        <v>41249</v>
      </c>
      <c r="O6235" t="s">
        <v>41250</v>
      </c>
      <c r="P6235">
        <v>0</v>
      </c>
      <c r="Q6235">
        <v>1</v>
      </c>
      <c r="R6235" t="s">
        <v>41256</v>
      </c>
      <c r="S6235" t="s">
        <v>41450</v>
      </c>
      <c r="T6235" t="s">
        <v>42728</v>
      </c>
      <c r="U6235" t="s">
        <v>48352</v>
      </c>
      <c r="W6235" t="s">
        <v>39442</v>
      </c>
      <c r="X6235" t="s">
        <v>41257</v>
      </c>
    </row>
    <row r="6236" spans="1:24">
      <c r="A6236">
        <f>HYPERLINK("https://www.philgeps.gov.ph/GEPSNONPILOT/Tender/SplashBidNoticeAbstractUI.aspx?menuIndex=3&amp;refID=7071916&amp;Result=3","7071916")</f>
        <v>0</v>
      </c>
      <c r="B6236" t="s">
        <v>1935</v>
      </c>
      <c r="C6236" t="s">
        <v>9327</v>
      </c>
      <c r="E6236" t="s">
        <v>22197</v>
      </c>
      <c r="F6236" t="s">
        <v>28669</v>
      </c>
      <c r="G6236" t="s">
        <v>28675</v>
      </c>
      <c r="H6236" t="s">
        <v>28686</v>
      </c>
      <c r="I6236" t="s">
        <v>28689</v>
      </c>
      <c r="J6236" t="s">
        <v>32757</v>
      </c>
      <c r="K6236" t="s">
        <v>37209</v>
      </c>
      <c r="M6236" t="s">
        <v>39562</v>
      </c>
      <c r="N6236" t="s">
        <v>41249</v>
      </c>
      <c r="O6236" t="s">
        <v>41250</v>
      </c>
      <c r="P6236">
        <v>0</v>
      </c>
      <c r="Q6236">
        <v>0</v>
      </c>
      <c r="R6236" t="s">
        <v>41256</v>
      </c>
      <c r="S6236" t="s">
        <v>41450</v>
      </c>
      <c r="T6236" t="s">
        <v>42693</v>
      </c>
      <c r="U6236" t="s">
        <v>48353</v>
      </c>
      <c r="W6236" t="s">
        <v>39562</v>
      </c>
      <c r="X6236" t="s">
        <v>41257</v>
      </c>
    </row>
    <row r="6237" spans="1:24">
      <c r="A6237">
        <f>HYPERLINK("https://www.philgeps.gov.ph/GEPSNONPILOT/Tender/SplashBidNoticeAbstractUI.aspx?menuIndex=3&amp;refID=7071914&amp;Result=3","7071914")</f>
        <v>0</v>
      </c>
      <c r="B6237" t="s">
        <v>599</v>
      </c>
      <c r="C6237" t="s">
        <v>9328</v>
      </c>
      <c r="D6237" t="s">
        <v>16617</v>
      </c>
      <c r="E6237" t="s">
        <v>22198</v>
      </c>
      <c r="F6237" t="s">
        <v>28669</v>
      </c>
      <c r="G6237" t="s">
        <v>28675</v>
      </c>
      <c r="H6237" t="s">
        <v>28686</v>
      </c>
      <c r="I6237" t="s">
        <v>28689</v>
      </c>
      <c r="J6237" t="s">
        <v>32758</v>
      </c>
      <c r="K6237" t="s">
        <v>37367</v>
      </c>
      <c r="M6237" t="s">
        <v>38098</v>
      </c>
      <c r="N6237" t="s">
        <v>41249</v>
      </c>
      <c r="O6237" t="s">
        <v>41250</v>
      </c>
      <c r="P6237">
        <v>0</v>
      </c>
      <c r="Q6237">
        <v>18</v>
      </c>
      <c r="R6237" t="s">
        <v>41256</v>
      </c>
      <c r="S6237" t="s">
        <v>41450</v>
      </c>
      <c r="T6237" t="s">
        <v>42782</v>
      </c>
      <c r="U6237" t="s">
        <v>48354</v>
      </c>
      <c r="V6237" t="s">
        <v>54278</v>
      </c>
      <c r="W6237" t="s">
        <v>38098</v>
      </c>
      <c r="X6237" t="s">
        <v>41257</v>
      </c>
    </row>
    <row r="6238" spans="1:24">
      <c r="A6238">
        <f>HYPERLINK("https://www.philgeps.gov.ph/GEPSNONPILOT/Tender/SplashBidNoticeAbstractUI.aspx?menuIndex=3&amp;refID=7071909&amp;Result=3","7071909")</f>
        <v>0</v>
      </c>
      <c r="B6238" t="s">
        <v>1936</v>
      </c>
      <c r="C6238" t="s">
        <v>9329</v>
      </c>
      <c r="D6238" t="s">
        <v>16667</v>
      </c>
      <c r="E6238" t="s">
        <v>22199</v>
      </c>
      <c r="F6238" t="s">
        <v>28669</v>
      </c>
      <c r="G6238" t="s">
        <v>28675</v>
      </c>
      <c r="H6238" t="s">
        <v>9998</v>
      </c>
      <c r="I6238" t="s">
        <v>11593</v>
      </c>
      <c r="J6238" t="s">
        <v>29450</v>
      </c>
      <c r="K6238" t="s">
        <v>37208</v>
      </c>
      <c r="M6238" t="s">
        <v>39564</v>
      </c>
      <c r="N6238" t="s">
        <v>41249</v>
      </c>
      <c r="O6238" t="s">
        <v>41250</v>
      </c>
      <c r="P6238">
        <v>0</v>
      </c>
      <c r="Q6238">
        <v>0</v>
      </c>
      <c r="R6238" t="s">
        <v>41256</v>
      </c>
      <c r="S6238" t="s">
        <v>41450</v>
      </c>
      <c r="T6238" t="s">
        <v>42777</v>
      </c>
      <c r="U6238" t="s">
        <v>48355</v>
      </c>
      <c r="W6238" t="s">
        <v>39564</v>
      </c>
      <c r="X6238" t="s">
        <v>41257</v>
      </c>
    </row>
    <row r="6239" spans="1:24">
      <c r="A6239">
        <f>HYPERLINK("https://www.philgeps.gov.ph/GEPSNONPILOT/Tender/SplashBidNoticeAbstractUI.aspx?menuIndex=3&amp;refID=7071908&amp;Result=3","7071908")</f>
        <v>0</v>
      </c>
      <c r="B6239" t="s">
        <v>2076</v>
      </c>
      <c r="C6239" t="s">
        <v>9330</v>
      </c>
      <c r="D6239" t="s">
        <v>16674</v>
      </c>
      <c r="E6239" t="s">
        <v>22200</v>
      </c>
      <c r="F6239" t="s">
        <v>28669</v>
      </c>
      <c r="G6239" t="s">
        <v>28675</v>
      </c>
      <c r="H6239" t="s">
        <v>9998</v>
      </c>
      <c r="I6239" t="s">
        <v>5213</v>
      </c>
      <c r="J6239" t="s">
        <v>31308</v>
      </c>
      <c r="K6239" t="s">
        <v>37205</v>
      </c>
      <c r="M6239" t="s">
        <v>39717</v>
      </c>
      <c r="N6239" t="s">
        <v>41249</v>
      </c>
      <c r="O6239" t="s">
        <v>41250</v>
      </c>
      <c r="P6239">
        <v>0</v>
      </c>
      <c r="Q6239">
        <v>2</v>
      </c>
      <c r="R6239" t="s">
        <v>41256</v>
      </c>
      <c r="S6239" t="s">
        <v>41450</v>
      </c>
      <c r="T6239" t="s">
        <v>42721</v>
      </c>
      <c r="U6239" t="s">
        <v>48356</v>
      </c>
      <c r="W6239" t="s">
        <v>39717</v>
      </c>
      <c r="X6239" t="s">
        <v>41257</v>
      </c>
    </row>
    <row r="6240" spans="1:24">
      <c r="A6240">
        <f>HYPERLINK("https://www.philgeps.gov.ph/GEPSNONPILOT/Tender/SplashBidNoticeAbstractUI.aspx?menuIndex=3&amp;refID=7071902&amp;Result=3","7071902")</f>
        <v>0</v>
      </c>
      <c r="B6240" t="s">
        <v>1327</v>
      </c>
      <c r="C6240" t="s">
        <v>9331</v>
      </c>
      <c r="D6240" t="s">
        <v>16627</v>
      </c>
      <c r="E6240" t="s">
        <v>22201</v>
      </c>
      <c r="F6240" t="s">
        <v>28669</v>
      </c>
      <c r="G6240" t="s">
        <v>28675</v>
      </c>
      <c r="H6240" t="s">
        <v>9998</v>
      </c>
      <c r="I6240" t="s">
        <v>28707</v>
      </c>
      <c r="J6240" t="s">
        <v>32759</v>
      </c>
      <c r="K6240" t="s">
        <v>37213</v>
      </c>
      <c r="M6240" t="s">
        <v>39006</v>
      </c>
      <c r="N6240" t="s">
        <v>41249</v>
      </c>
      <c r="O6240" t="s">
        <v>41250</v>
      </c>
      <c r="P6240">
        <v>0</v>
      </c>
      <c r="Q6240">
        <v>5</v>
      </c>
      <c r="R6240" t="s">
        <v>41256</v>
      </c>
      <c r="S6240" t="s">
        <v>41450</v>
      </c>
      <c r="T6240" t="s">
        <v>42765</v>
      </c>
      <c r="U6240" t="s">
        <v>48112</v>
      </c>
      <c r="W6240" t="s">
        <v>39006</v>
      </c>
      <c r="X6240" t="s">
        <v>41257</v>
      </c>
    </row>
    <row r="6241" spans="1:24">
      <c r="A6241">
        <f>HYPERLINK("https://www.philgeps.gov.ph/GEPSNONPILOT/Tender/SplashBidNoticeAbstractUI.aspx?menuIndex=3&amp;refID=7071861&amp;Result=3","7071861")</f>
        <v>0</v>
      </c>
      <c r="B6241" t="s">
        <v>2056</v>
      </c>
      <c r="C6241" t="s">
        <v>9332</v>
      </c>
      <c r="D6241" t="s">
        <v>16616</v>
      </c>
      <c r="E6241" t="s">
        <v>22202</v>
      </c>
      <c r="F6241" t="s">
        <v>28669</v>
      </c>
      <c r="G6241" t="s">
        <v>28676</v>
      </c>
      <c r="H6241" t="s">
        <v>9998</v>
      </c>
      <c r="I6241" t="s">
        <v>3718</v>
      </c>
      <c r="J6241" t="s">
        <v>28912</v>
      </c>
      <c r="K6241" t="s">
        <v>37243</v>
      </c>
      <c r="M6241" t="s">
        <v>39696</v>
      </c>
      <c r="N6241" t="s">
        <v>41249</v>
      </c>
      <c r="O6241" t="s">
        <v>41250</v>
      </c>
      <c r="P6241">
        <v>0</v>
      </c>
      <c r="Q6241">
        <v>5</v>
      </c>
      <c r="R6241" t="s">
        <v>41256</v>
      </c>
      <c r="S6241" t="s">
        <v>41450</v>
      </c>
      <c r="T6241" t="s">
        <v>42751</v>
      </c>
      <c r="U6241" t="s">
        <v>48271</v>
      </c>
      <c r="W6241" t="s">
        <v>39696</v>
      </c>
      <c r="X6241" t="s">
        <v>41257</v>
      </c>
    </row>
    <row r="6242" spans="1:24">
      <c r="A6242">
        <f>HYPERLINK("https://www.philgeps.gov.ph/GEPSNONPILOT/Tender/SplashBidNoticeAbstractUI.aspx?menuIndex=3&amp;refID=7071852&amp;Result=3","7071852")</f>
        <v>0</v>
      </c>
      <c r="B6242" t="s">
        <v>2070</v>
      </c>
      <c r="C6242" t="s">
        <v>9333</v>
      </c>
      <c r="D6242" t="s">
        <v>16660</v>
      </c>
      <c r="E6242" t="s">
        <v>17435</v>
      </c>
      <c r="F6242" t="s">
        <v>28671</v>
      </c>
      <c r="G6242" t="s">
        <v>28675</v>
      </c>
      <c r="H6242" t="s">
        <v>9998</v>
      </c>
      <c r="I6242" t="s">
        <v>5213</v>
      </c>
      <c r="J6242" t="s">
        <v>32760</v>
      </c>
      <c r="K6242" t="s">
        <v>37205</v>
      </c>
      <c r="M6242" t="s">
        <v>39711</v>
      </c>
      <c r="N6242" t="s">
        <v>41249</v>
      </c>
      <c r="O6242" t="s">
        <v>41250</v>
      </c>
      <c r="P6242">
        <v>0</v>
      </c>
      <c r="Q6242">
        <v>4</v>
      </c>
      <c r="R6242" t="s">
        <v>41256</v>
      </c>
      <c r="S6242" t="s">
        <v>41450</v>
      </c>
      <c r="T6242" t="s">
        <v>42659</v>
      </c>
      <c r="U6242" t="s">
        <v>48357</v>
      </c>
      <c r="W6242" t="s">
        <v>39711</v>
      </c>
      <c r="X6242" t="s">
        <v>41257</v>
      </c>
    </row>
    <row r="6243" spans="1:24">
      <c r="A6243">
        <f>HYPERLINK("https://www.philgeps.gov.ph/GEPSNONPILOT/Tender/SplashBidNoticeAbstractUI.aspx?menuIndex=3&amp;refID=7071944&amp;Result=3","7071944")</f>
        <v>0</v>
      </c>
      <c r="B6243" t="s">
        <v>2081</v>
      </c>
      <c r="C6243" t="s">
        <v>9334</v>
      </c>
      <c r="D6243" t="s">
        <v>16665</v>
      </c>
      <c r="E6243" t="s">
        <v>22203</v>
      </c>
      <c r="F6243" t="s">
        <v>28669</v>
      </c>
      <c r="G6243" t="s">
        <v>28677</v>
      </c>
      <c r="H6243" t="s">
        <v>9998</v>
      </c>
      <c r="I6243" t="s">
        <v>28695</v>
      </c>
      <c r="J6243" t="s">
        <v>31260</v>
      </c>
      <c r="K6243" t="s">
        <v>37205</v>
      </c>
      <c r="M6243" t="s">
        <v>39722</v>
      </c>
      <c r="N6243" t="s">
        <v>41249</v>
      </c>
      <c r="O6243" t="s">
        <v>41250</v>
      </c>
      <c r="P6243">
        <v>0</v>
      </c>
      <c r="Q6243">
        <v>0</v>
      </c>
      <c r="R6243" t="s">
        <v>41256</v>
      </c>
      <c r="S6243" t="s">
        <v>41450</v>
      </c>
      <c r="T6243" t="s">
        <v>42938</v>
      </c>
      <c r="U6243" t="s">
        <v>48358</v>
      </c>
      <c r="W6243" t="s">
        <v>39722</v>
      </c>
      <c r="X6243" t="s">
        <v>41257</v>
      </c>
    </row>
    <row r="6244" spans="1:24">
      <c r="A6244">
        <f>HYPERLINK("https://www.philgeps.gov.ph/GEPSNONPILOT/Tender/SplashBidNoticeAbstractUI.aspx?menuIndex=3&amp;refID=7071912&amp;Result=3","7071912")</f>
        <v>0</v>
      </c>
      <c r="B6244" t="s">
        <v>1829</v>
      </c>
      <c r="C6244" t="s">
        <v>9335</v>
      </c>
      <c r="D6244" t="s">
        <v>16661</v>
      </c>
      <c r="E6244" t="s">
        <v>21444</v>
      </c>
      <c r="F6244" t="s">
        <v>28669</v>
      </c>
      <c r="G6244" t="s">
        <v>28677</v>
      </c>
      <c r="H6244" t="s">
        <v>9998</v>
      </c>
      <c r="I6244" t="s">
        <v>7352</v>
      </c>
      <c r="J6244" t="s">
        <v>32761</v>
      </c>
      <c r="K6244" t="s">
        <v>37210</v>
      </c>
      <c r="M6244" t="s">
        <v>39442</v>
      </c>
      <c r="N6244" t="s">
        <v>41249</v>
      </c>
      <c r="O6244" t="s">
        <v>41250</v>
      </c>
      <c r="P6244">
        <v>0</v>
      </c>
      <c r="Q6244">
        <v>1</v>
      </c>
      <c r="R6244" t="s">
        <v>41256</v>
      </c>
      <c r="S6244" t="s">
        <v>41450</v>
      </c>
      <c r="T6244" t="s">
        <v>42728</v>
      </c>
      <c r="U6244" t="s">
        <v>48359</v>
      </c>
      <c r="W6244" t="s">
        <v>39442</v>
      </c>
      <c r="X6244" t="s">
        <v>41257</v>
      </c>
    </row>
    <row r="6245" spans="1:24">
      <c r="A6245">
        <f>HYPERLINK("https://www.philgeps.gov.ph/GEPSNONPILOT/Tender/SplashBidNoticeAbstractUI.aspx?menuIndex=3&amp;refID=7071995&amp;Result=3","7071995")</f>
        <v>0</v>
      </c>
      <c r="B6245" t="s">
        <v>1829</v>
      </c>
      <c r="C6245" t="s">
        <v>9336</v>
      </c>
      <c r="D6245" t="s">
        <v>16661</v>
      </c>
      <c r="E6245" t="s">
        <v>21444</v>
      </c>
      <c r="F6245" t="s">
        <v>28669</v>
      </c>
      <c r="G6245" t="s">
        <v>28677</v>
      </c>
      <c r="H6245" t="s">
        <v>9998</v>
      </c>
      <c r="I6245" t="s">
        <v>6128</v>
      </c>
      <c r="J6245" t="s">
        <v>32762</v>
      </c>
      <c r="K6245" t="s">
        <v>37210</v>
      </c>
      <c r="M6245" t="s">
        <v>39442</v>
      </c>
      <c r="N6245" t="s">
        <v>41249</v>
      </c>
      <c r="O6245" t="s">
        <v>41250</v>
      </c>
      <c r="P6245">
        <v>0</v>
      </c>
      <c r="Q6245">
        <v>2</v>
      </c>
      <c r="R6245" t="s">
        <v>41256</v>
      </c>
      <c r="S6245" t="s">
        <v>41450</v>
      </c>
      <c r="T6245" t="s">
        <v>42728</v>
      </c>
      <c r="U6245" t="s">
        <v>48360</v>
      </c>
      <c r="W6245" t="s">
        <v>39442</v>
      </c>
      <c r="X6245" t="s">
        <v>41257</v>
      </c>
    </row>
    <row r="6246" spans="1:24">
      <c r="A6246">
        <f>HYPERLINK("https://www.philgeps.gov.ph/GEPSNONPILOT/Tender/SplashBidNoticeAbstractUI.aspx?menuIndex=3&amp;refID=7071847&amp;Result=3","7071847")</f>
        <v>0</v>
      </c>
      <c r="B6246" t="s">
        <v>748</v>
      </c>
      <c r="C6246" t="s">
        <v>9337</v>
      </c>
      <c r="D6246" t="s">
        <v>16629</v>
      </c>
      <c r="E6246" t="s">
        <v>22204</v>
      </c>
      <c r="F6246" t="s">
        <v>28669</v>
      </c>
      <c r="G6246" t="s">
        <v>28676</v>
      </c>
      <c r="H6246" t="s">
        <v>9998</v>
      </c>
      <c r="I6246" t="s">
        <v>28787</v>
      </c>
      <c r="J6246" t="s">
        <v>28905</v>
      </c>
      <c r="K6246" t="s">
        <v>37206</v>
      </c>
      <c r="M6246" t="s">
        <v>38258</v>
      </c>
      <c r="N6246" t="s">
        <v>41249</v>
      </c>
      <c r="O6246" t="s">
        <v>41250</v>
      </c>
      <c r="P6246">
        <v>0</v>
      </c>
      <c r="Q6246">
        <v>0</v>
      </c>
      <c r="R6246" t="s">
        <v>41256</v>
      </c>
      <c r="S6246" t="s">
        <v>41450</v>
      </c>
      <c r="T6246" t="s">
        <v>42754</v>
      </c>
      <c r="U6246" t="s">
        <v>48361</v>
      </c>
      <c r="V6246" t="s">
        <v>54669</v>
      </c>
      <c r="W6246" t="s">
        <v>38258</v>
      </c>
      <c r="X6246" t="s">
        <v>41257</v>
      </c>
    </row>
    <row r="6247" spans="1:24">
      <c r="A6247">
        <f>HYPERLINK("https://www.philgeps.gov.ph/GEPSNONPILOT/Tender/SplashBidNoticeAbstractUI.aspx?menuIndex=3&amp;refID=7071904&amp;Result=3","7071904")</f>
        <v>0</v>
      </c>
      <c r="B6247" t="s">
        <v>748</v>
      </c>
      <c r="C6247" t="s">
        <v>9338</v>
      </c>
      <c r="D6247" t="s">
        <v>16629</v>
      </c>
      <c r="E6247" t="s">
        <v>22205</v>
      </c>
      <c r="F6247" t="s">
        <v>28669</v>
      </c>
      <c r="G6247" t="s">
        <v>28676</v>
      </c>
      <c r="H6247" t="s">
        <v>9998</v>
      </c>
      <c r="I6247" t="s">
        <v>7352</v>
      </c>
      <c r="J6247" t="s">
        <v>32763</v>
      </c>
      <c r="K6247" t="s">
        <v>37206</v>
      </c>
      <c r="M6247" t="s">
        <v>38258</v>
      </c>
      <c r="N6247" t="s">
        <v>41249</v>
      </c>
      <c r="O6247" t="s">
        <v>41250</v>
      </c>
      <c r="P6247">
        <v>0</v>
      </c>
      <c r="Q6247">
        <v>0</v>
      </c>
      <c r="R6247" t="s">
        <v>41256</v>
      </c>
      <c r="S6247" t="s">
        <v>41450</v>
      </c>
      <c r="T6247" t="s">
        <v>42754</v>
      </c>
      <c r="U6247" t="s">
        <v>44892</v>
      </c>
      <c r="V6247" t="s">
        <v>54455</v>
      </c>
      <c r="W6247" t="s">
        <v>38258</v>
      </c>
      <c r="X6247" t="s">
        <v>41257</v>
      </c>
    </row>
    <row r="6248" spans="1:24">
      <c r="A6248">
        <f>HYPERLINK("https://www.philgeps.gov.ph/GEPSNONPILOT/Tender/SplashBidNoticeAbstractUI.aspx?menuIndex=3&amp;refID=7071882&amp;Result=3","7071882")</f>
        <v>0</v>
      </c>
      <c r="B6248" t="s">
        <v>470</v>
      </c>
      <c r="C6248" t="s">
        <v>9339</v>
      </c>
      <c r="D6248" t="s">
        <v>16639</v>
      </c>
      <c r="E6248" t="s">
        <v>22206</v>
      </c>
      <c r="F6248" t="s">
        <v>28669</v>
      </c>
      <c r="G6248" t="s">
        <v>28676</v>
      </c>
      <c r="H6248" t="s">
        <v>9998</v>
      </c>
      <c r="I6248" t="s">
        <v>7352</v>
      </c>
      <c r="J6248" t="s">
        <v>32764</v>
      </c>
      <c r="K6248" t="s">
        <v>37205</v>
      </c>
      <c r="M6248" t="s">
        <v>37958</v>
      </c>
      <c r="N6248" t="s">
        <v>41249</v>
      </c>
      <c r="O6248" t="s">
        <v>41250</v>
      </c>
      <c r="Q6248">
        <v>0</v>
      </c>
      <c r="R6248" t="s">
        <v>41256</v>
      </c>
      <c r="S6248" t="s">
        <v>41457</v>
      </c>
      <c r="T6248" t="s">
        <v>42736</v>
      </c>
      <c r="U6248" t="s">
        <v>48362</v>
      </c>
      <c r="W6248" t="s">
        <v>37958</v>
      </c>
      <c r="X6248" t="s">
        <v>41257</v>
      </c>
    </row>
    <row r="6249" spans="1:24">
      <c r="A6249">
        <f>HYPERLINK("https://www.philgeps.gov.ph/GEPSNONPILOT/Tender/SplashBidNoticeAbstractUI.aspx?menuIndex=3&amp;refID=7072016&amp;Result=3","7072016")</f>
        <v>0</v>
      </c>
      <c r="B6249" t="s">
        <v>1829</v>
      </c>
      <c r="C6249" t="s">
        <v>9340</v>
      </c>
      <c r="D6249" t="s">
        <v>16661</v>
      </c>
      <c r="E6249" t="s">
        <v>21444</v>
      </c>
      <c r="F6249" t="s">
        <v>28669</v>
      </c>
      <c r="G6249" t="s">
        <v>28677</v>
      </c>
      <c r="H6249" t="s">
        <v>9998</v>
      </c>
      <c r="I6249" t="s">
        <v>11593</v>
      </c>
      <c r="J6249" t="s">
        <v>29044</v>
      </c>
      <c r="K6249" t="s">
        <v>37210</v>
      </c>
      <c r="M6249" t="s">
        <v>39442</v>
      </c>
      <c r="N6249" t="s">
        <v>41249</v>
      </c>
      <c r="O6249" t="s">
        <v>41250</v>
      </c>
      <c r="P6249">
        <v>0</v>
      </c>
      <c r="Q6249">
        <v>0</v>
      </c>
      <c r="R6249" t="s">
        <v>41256</v>
      </c>
      <c r="S6249" t="s">
        <v>41450</v>
      </c>
      <c r="T6249" t="s">
        <v>42728</v>
      </c>
      <c r="U6249" t="s">
        <v>48363</v>
      </c>
      <c r="W6249" t="s">
        <v>39442</v>
      </c>
      <c r="X6249" t="s">
        <v>41257</v>
      </c>
    </row>
    <row r="6250" spans="1:24">
      <c r="A6250">
        <f>HYPERLINK("https://www.philgeps.gov.ph/GEPSNONPILOT/Tender/SplashBidNoticeAbstractUI.aspx?menuIndex=3&amp;refID=7071998&amp;Result=3","7071998")</f>
        <v>0</v>
      </c>
      <c r="B6250" t="s">
        <v>1327</v>
      </c>
      <c r="C6250" t="s">
        <v>9341</v>
      </c>
      <c r="D6250" t="s">
        <v>16627</v>
      </c>
      <c r="E6250" t="s">
        <v>22207</v>
      </c>
      <c r="F6250" t="s">
        <v>28669</v>
      </c>
      <c r="G6250" t="s">
        <v>28675</v>
      </c>
      <c r="H6250" t="s">
        <v>9998</v>
      </c>
      <c r="I6250" t="s">
        <v>28707</v>
      </c>
      <c r="J6250" t="s">
        <v>32765</v>
      </c>
      <c r="K6250" t="s">
        <v>37213</v>
      </c>
      <c r="M6250" t="s">
        <v>39006</v>
      </c>
      <c r="N6250" t="s">
        <v>41249</v>
      </c>
      <c r="O6250" t="s">
        <v>41250</v>
      </c>
      <c r="P6250">
        <v>0</v>
      </c>
      <c r="Q6250">
        <v>5</v>
      </c>
      <c r="R6250" t="s">
        <v>41256</v>
      </c>
      <c r="S6250" t="s">
        <v>41450</v>
      </c>
      <c r="T6250" t="s">
        <v>42765</v>
      </c>
      <c r="U6250" t="s">
        <v>48112</v>
      </c>
      <c r="W6250" t="s">
        <v>39006</v>
      </c>
      <c r="X6250" t="s">
        <v>41257</v>
      </c>
    </row>
    <row r="6251" spans="1:24">
      <c r="A6251">
        <f>HYPERLINK("https://www.philgeps.gov.ph/GEPSNONPILOT/Tender/SplashBidNoticeAbstractUI.aspx?menuIndex=3&amp;refID=7071983&amp;Result=3","7071983")</f>
        <v>0</v>
      </c>
      <c r="B6251" t="s">
        <v>662</v>
      </c>
      <c r="C6251" t="s">
        <v>9342</v>
      </c>
      <c r="D6251" t="s">
        <v>16635</v>
      </c>
      <c r="E6251" t="s">
        <v>22208</v>
      </c>
      <c r="F6251" t="s">
        <v>28669</v>
      </c>
      <c r="G6251" t="s">
        <v>28675</v>
      </c>
      <c r="H6251" t="s">
        <v>28686</v>
      </c>
      <c r="I6251" t="s">
        <v>28689</v>
      </c>
      <c r="J6251" t="s">
        <v>32766</v>
      </c>
      <c r="K6251" t="s">
        <v>37326</v>
      </c>
      <c r="M6251" t="s">
        <v>38164</v>
      </c>
      <c r="N6251" t="s">
        <v>41249</v>
      </c>
      <c r="O6251" t="s">
        <v>41250</v>
      </c>
      <c r="Q6251">
        <v>1</v>
      </c>
      <c r="R6251" t="s">
        <v>41256</v>
      </c>
      <c r="S6251" t="s">
        <v>41458</v>
      </c>
      <c r="T6251" t="s">
        <v>42692</v>
      </c>
      <c r="U6251" t="s">
        <v>48364</v>
      </c>
      <c r="W6251" t="s">
        <v>38164</v>
      </c>
      <c r="X6251" t="s">
        <v>41257</v>
      </c>
    </row>
    <row r="6252" spans="1:24">
      <c r="A6252">
        <f>HYPERLINK("https://www.philgeps.gov.ph/GEPSNONPILOT/Tender/SplashBidNoticeAbstractUI.aspx?menuIndex=3&amp;refID=7071980&amp;Result=3","7071980")</f>
        <v>0</v>
      </c>
      <c r="B6252" t="s">
        <v>1829</v>
      </c>
      <c r="C6252" t="s">
        <v>9343</v>
      </c>
      <c r="D6252" t="s">
        <v>16661</v>
      </c>
      <c r="E6252" t="s">
        <v>21444</v>
      </c>
      <c r="F6252" t="s">
        <v>28669</v>
      </c>
      <c r="G6252" t="s">
        <v>28677</v>
      </c>
      <c r="H6252" t="s">
        <v>9998</v>
      </c>
      <c r="I6252" t="s">
        <v>5286</v>
      </c>
      <c r="J6252" t="s">
        <v>32767</v>
      </c>
      <c r="K6252" t="s">
        <v>37210</v>
      </c>
      <c r="M6252" t="s">
        <v>39442</v>
      </c>
      <c r="N6252" t="s">
        <v>41249</v>
      </c>
      <c r="O6252" t="s">
        <v>41250</v>
      </c>
      <c r="P6252">
        <v>0</v>
      </c>
      <c r="Q6252">
        <v>4</v>
      </c>
      <c r="R6252" t="s">
        <v>41256</v>
      </c>
      <c r="S6252" t="s">
        <v>41450</v>
      </c>
      <c r="T6252" t="s">
        <v>42728</v>
      </c>
      <c r="U6252" t="s">
        <v>48365</v>
      </c>
      <c r="W6252" t="s">
        <v>39442</v>
      </c>
      <c r="X6252" t="s">
        <v>41257</v>
      </c>
    </row>
    <row r="6253" spans="1:24">
      <c r="A6253">
        <f>HYPERLINK("https://www.philgeps.gov.ph/GEPSNONPILOT/Tender/SplashBidNoticeAbstractUI.aspx?menuIndex=3&amp;refID=7071976&amp;Result=3","7071976")</f>
        <v>0</v>
      </c>
      <c r="B6253" t="s">
        <v>2081</v>
      </c>
      <c r="C6253" t="s">
        <v>9344</v>
      </c>
      <c r="D6253" t="s">
        <v>16665</v>
      </c>
      <c r="E6253" t="s">
        <v>22209</v>
      </c>
      <c r="F6253" t="s">
        <v>28669</v>
      </c>
      <c r="G6253" t="s">
        <v>28677</v>
      </c>
      <c r="H6253" t="s">
        <v>9998</v>
      </c>
      <c r="I6253" t="s">
        <v>28695</v>
      </c>
      <c r="J6253" t="s">
        <v>29208</v>
      </c>
      <c r="K6253" t="s">
        <v>37205</v>
      </c>
      <c r="M6253" t="s">
        <v>39722</v>
      </c>
      <c r="N6253" t="s">
        <v>41249</v>
      </c>
      <c r="O6253" t="s">
        <v>41250</v>
      </c>
      <c r="P6253">
        <v>0</v>
      </c>
      <c r="Q6253">
        <v>0</v>
      </c>
      <c r="R6253" t="s">
        <v>41256</v>
      </c>
      <c r="S6253" t="s">
        <v>41450</v>
      </c>
      <c r="T6253" t="s">
        <v>42938</v>
      </c>
      <c r="U6253" t="s">
        <v>48366</v>
      </c>
      <c r="W6253" t="s">
        <v>39722</v>
      </c>
      <c r="X6253" t="s">
        <v>41257</v>
      </c>
    </row>
    <row r="6254" spans="1:24">
      <c r="A6254">
        <f>HYPERLINK("https://www.philgeps.gov.ph/GEPSNONPILOT/Tender/SplashBidNoticeAbstractUI.aspx?menuIndex=3&amp;refID=7072009&amp;Result=3","7072009")</f>
        <v>0</v>
      </c>
      <c r="B6254" t="s">
        <v>947</v>
      </c>
      <c r="C6254" t="s">
        <v>9345</v>
      </c>
      <c r="D6254" t="s">
        <v>16631</v>
      </c>
      <c r="E6254" t="s">
        <v>22210</v>
      </c>
      <c r="F6254" t="s">
        <v>28669</v>
      </c>
      <c r="G6254" t="s">
        <v>28676</v>
      </c>
      <c r="H6254" t="s">
        <v>9998</v>
      </c>
      <c r="I6254" t="s">
        <v>28749</v>
      </c>
      <c r="J6254" t="s">
        <v>28878</v>
      </c>
      <c r="K6254" t="s">
        <v>37206</v>
      </c>
      <c r="M6254" t="s">
        <v>38471</v>
      </c>
      <c r="N6254" t="s">
        <v>41249</v>
      </c>
      <c r="O6254" t="s">
        <v>41250</v>
      </c>
      <c r="P6254">
        <v>0</v>
      </c>
      <c r="Q6254">
        <v>4</v>
      </c>
      <c r="R6254" t="s">
        <v>41256</v>
      </c>
      <c r="S6254" t="s">
        <v>41450</v>
      </c>
      <c r="T6254" t="s">
        <v>42736</v>
      </c>
      <c r="U6254" t="s">
        <v>48367</v>
      </c>
      <c r="V6254" t="s">
        <v>54917</v>
      </c>
      <c r="W6254" t="s">
        <v>38471</v>
      </c>
      <c r="X6254" t="s">
        <v>41257</v>
      </c>
    </row>
    <row r="6255" spans="1:24">
      <c r="A6255">
        <f>HYPERLINK("https://www.philgeps.gov.ph/GEPSNONPILOT/Tender/SplashBidNoticeAbstractUI.aspx?menuIndex=3&amp;refID=7071975&amp;Result=3","7071975")</f>
        <v>0</v>
      </c>
      <c r="B6255" t="s">
        <v>2079</v>
      </c>
      <c r="C6255" t="s">
        <v>9346</v>
      </c>
      <c r="D6255" t="s">
        <v>16611</v>
      </c>
      <c r="E6255" t="s">
        <v>22211</v>
      </c>
      <c r="F6255" t="s">
        <v>28669</v>
      </c>
      <c r="G6255" t="s">
        <v>28675</v>
      </c>
      <c r="H6255" t="s">
        <v>9998</v>
      </c>
      <c r="I6255" t="s">
        <v>28694</v>
      </c>
      <c r="J6255" t="s">
        <v>32768</v>
      </c>
      <c r="K6255" t="s">
        <v>37206</v>
      </c>
      <c r="M6255" t="s">
        <v>39720</v>
      </c>
      <c r="N6255" t="s">
        <v>41249</v>
      </c>
      <c r="O6255" t="s">
        <v>41250</v>
      </c>
      <c r="P6255">
        <v>0</v>
      </c>
      <c r="Q6255">
        <v>0</v>
      </c>
      <c r="R6255" t="s">
        <v>41256</v>
      </c>
      <c r="S6255" t="s">
        <v>41450</v>
      </c>
      <c r="T6255" t="s">
        <v>42764</v>
      </c>
      <c r="U6255" t="s">
        <v>48368</v>
      </c>
      <c r="V6255" t="s">
        <v>54960</v>
      </c>
      <c r="W6255" t="s">
        <v>39720</v>
      </c>
      <c r="X6255" t="s">
        <v>41257</v>
      </c>
    </row>
    <row r="6256" spans="1:24">
      <c r="A6256">
        <f>HYPERLINK("https://www.philgeps.gov.ph/GEPSNONPILOT/Tender/SplashBidNoticeAbstractUI.aspx?menuIndex=3&amp;refID=7072018&amp;Result=3","7072018")</f>
        <v>0</v>
      </c>
      <c r="B6256" t="s">
        <v>947</v>
      </c>
      <c r="C6256" t="s">
        <v>9347</v>
      </c>
      <c r="D6256" t="s">
        <v>16631</v>
      </c>
      <c r="E6256" t="s">
        <v>22212</v>
      </c>
      <c r="F6256" t="s">
        <v>28669</v>
      </c>
      <c r="G6256" t="s">
        <v>28677</v>
      </c>
      <c r="H6256" t="s">
        <v>9998</v>
      </c>
      <c r="I6256" t="s">
        <v>28694</v>
      </c>
      <c r="J6256" t="s">
        <v>32769</v>
      </c>
      <c r="K6256" t="s">
        <v>37206</v>
      </c>
      <c r="M6256" t="s">
        <v>38471</v>
      </c>
      <c r="N6256" t="s">
        <v>41249</v>
      </c>
      <c r="O6256" t="s">
        <v>41250</v>
      </c>
      <c r="P6256">
        <v>0</v>
      </c>
      <c r="Q6256">
        <v>4</v>
      </c>
      <c r="R6256" t="s">
        <v>41256</v>
      </c>
      <c r="S6256" t="s">
        <v>41450</v>
      </c>
      <c r="T6256" t="s">
        <v>42736</v>
      </c>
      <c r="U6256" t="s">
        <v>48369</v>
      </c>
      <c r="V6256" t="s">
        <v>54961</v>
      </c>
      <c r="W6256" t="s">
        <v>38471</v>
      </c>
      <c r="X6256" t="s">
        <v>41257</v>
      </c>
    </row>
    <row r="6257" spans="1:24">
      <c r="A6257">
        <f>HYPERLINK("https://www.philgeps.gov.ph/GEPSNONPILOT/Tender/SplashBidNoticeAbstractUI.aspx?menuIndex=3&amp;refID=7071954&amp;Result=3","7071954")</f>
        <v>0</v>
      </c>
      <c r="B6257" t="s">
        <v>599</v>
      </c>
      <c r="C6257" t="s">
        <v>9348</v>
      </c>
      <c r="D6257" t="s">
        <v>16617</v>
      </c>
      <c r="E6257" t="s">
        <v>22213</v>
      </c>
      <c r="F6257" t="s">
        <v>28669</v>
      </c>
      <c r="G6257" t="s">
        <v>28675</v>
      </c>
      <c r="H6257" t="s">
        <v>28686</v>
      </c>
      <c r="I6257" t="s">
        <v>28689</v>
      </c>
      <c r="J6257" t="s">
        <v>32770</v>
      </c>
      <c r="K6257" t="s">
        <v>37368</v>
      </c>
      <c r="M6257" t="s">
        <v>38098</v>
      </c>
      <c r="N6257" t="s">
        <v>41249</v>
      </c>
      <c r="O6257" t="s">
        <v>41250</v>
      </c>
      <c r="P6257">
        <v>0</v>
      </c>
      <c r="Q6257">
        <v>18</v>
      </c>
      <c r="R6257" t="s">
        <v>41256</v>
      </c>
      <c r="S6257" t="s">
        <v>41450</v>
      </c>
      <c r="T6257" t="s">
        <v>42782</v>
      </c>
      <c r="U6257" t="s">
        <v>48370</v>
      </c>
      <c r="V6257" t="s">
        <v>54278</v>
      </c>
      <c r="W6257" t="s">
        <v>38098</v>
      </c>
      <c r="X6257" t="s">
        <v>41257</v>
      </c>
    </row>
    <row r="6258" spans="1:24">
      <c r="A6258">
        <f>HYPERLINK("https://www.philgeps.gov.ph/GEPSNONPILOT/Tender/SplashBidNoticeAbstractUI.aspx?menuIndex=3&amp;refID=7072001&amp;Result=3","7072001")</f>
        <v>0</v>
      </c>
      <c r="B6258" t="s">
        <v>2082</v>
      </c>
      <c r="C6258" t="s">
        <v>9349</v>
      </c>
      <c r="D6258" t="s">
        <v>16608</v>
      </c>
      <c r="E6258" t="s">
        <v>22214</v>
      </c>
      <c r="F6258" t="s">
        <v>28669</v>
      </c>
      <c r="G6258" t="s">
        <v>28678</v>
      </c>
      <c r="H6258" t="s">
        <v>9998</v>
      </c>
      <c r="I6258" t="s">
        <v>6128</v>
      </c>
      <c r="J6258" t="s">
        <v>32771</v>
      </c>
      <c r="K6258" t="s">
        <v>37205</v>
      </c>
      <c r="M6258" t="s">
        <v>39723</v>
      </c>
      <c r="N6258" t="s">
        <v>41249</v>
      </c>
      <c r="O6258" t="s">
        <v>41250</v>
      </c>
      <c r="P6258">
        <v>0</v>
      </c>
      <c r="Q6258">
        <v>10</v>
      </c>
      <c r="R6258" t="s">
        <v>41256</v>
      </c>
      <c r="S6258" t="s">
        <v>41450</v>
      </c>
      <c r="T6258" t="s">
        <v>42729</v>
      </c>
      <c r="U6258" t="s">
        <v>48371</v>
      </c>
      <c r="W6258" t="s">
        <v>39723</v>
      </c>
      <c r="X6258" t="s">
        <v>41257</v>
      </c>
    </row>
    <row r="6259" spans="1:24">
      <c r="A6259">
        <f>HYPERLINK("https://www.philgeps.gov.ph/GEPSNONPILOT/Tender/SplashBidNoticeAbstractUI.aspx?menuIndex=3&amp;refID=7071952&amp;Result=3","7071952")</f>
        <v>0</v>
      </c>
      <c r="B6259" t="s">
        <v>2083</v>
      </c>
      <c r="C6259" t="s">
        <v>9350</v>
      </c>
      <c r="D6259" t="s">
        <v>16621</v>
      </c>
      <c r="E6259" t="s">
        <v>16748</v>
      </c>
      <c r="F6259" t="s">
        <v>28669</v>
      </c>
      <c r="G6259" t="s">
        <v>28675</v>
      </c>
      <c r="H6259" t="s">
        <v>9998</v>
      </c>
      <c r="I6259" t="s">
        <v>3658</v>
      </c>
      <c r="J6259" t="s">
        <v>28826</v>
      </c>
      <c r="K6259" t="s">
        <v>37208</v>
      </c>
      <c r="M6259" t="s">
        <v>39724</v>
      </c>
      <c r="N6259" t="s">
        <v>41249</v>
      </c>
      <c r="O6259" t="s">
        <v>41250</v>
      </c>
      <c r="P6259">
        <v>0</v>
      </c>
      <c r="Q6259">
        <v>0</v>
      </c>
      <c r="R6259" t="s">
        <v>41256</v>
      </c>
      <c r="S6259" t="s">
        <v>41450</v>
      </c>
      <c r="T6259" t="s">
        <v>42670</v>
      </c>
      <c r="U6259" t="s">
        <v>48372</v>
      </c>
      <c r="W6259" t="s">
        <v>39724</v>
      </c>
      <c r="X6259" t="s">
        <v>41257</v>
      </c>
    </row>
    <row r="6260" spans="1:24">
      <c r="A6260">
        <f>HYPERLINK("https://www.philgeps.gov.ph/GEPSNONPILOT/Tender/SplashBidNoticeAbstractUI.aspx?menuIndex=3&amp;refID=7071949&amp;Result=3","7071949")</f>
        <v>0</v>
      </c>
      <c r="B6260" t="s">
        <v>2084</v>
      </c>
      <c r="C6260" t="s">
        <v>9320</v>
      </c>
      <c r="D6260" t="s">
        <v>16664</v>
      </c>
      <c r="E6260" t="s">
        <v>22215</v>
      </c>
      <c r="F6260" t="s">
        <v>28669</v>
      </c>
      <c r="G6260" t="s">
        <v>28675</v>
      </c>
      <c r="H6260" t="s">
        <v>9998</v>
      </c>
      <c r="I6260" t="s">
        <v>7352</v>
      </c>
      <c r="J6260" t="s">
        <v>32772</v>
      </c>
      <c r="K6260" t="s">
        <v>37204</v>
      </c>
      <c r="M6260" t="s">
        <v>39725</v>
      </c>
      <c r="N6260" t="s">
        <v>41249</v>
      </c>
      <c r="O6260" t="s">
        <v>41250</v>
      </c>
      <c r="P6260">
        <v>0</v>
      </c>
      <c r="Q6260">
        <v>0</v>
      </c>
      <c r="R6260" t="s">
        <v>41256</v>
      </c>
      <c r="S6260" t="s">
        <v>41450</v>
      </c>
      <c r="T6260" t="s">
        <v>42754</v>
      </c>
      <c r="U6260" t="s">
        <v>44777</v>
      </c>
      <c r="W6260" t="s">
        <v>39725</v>
      </c>
      <c r="X6260" t="s">
        <v>41257</v>
      </c>
    </row>
    <row r="6261" spans="1:24">
      <c r="A6261">
        <f>HYPERLINK("https://www.philgeps.gov.ph/GEPSNONPILOT/Tender/SplashBidNoticeAbstractUI.aspx?menuIndex=3&amp;refID=7071963&amp;Result=3","7071963")</f>
        <v>0</v>
      </c>
      <c r="B6261" t="s">
        <v>1829</v>
      </c>
      <c r="C6261" t="s">
        <v>9351</v>
      </c>
      <c r="D6261" t="s">
        <v>16661</v>
      </c>
      <c r="E6261" t="s">
        <v>21444</v>
      </c>
      <c r="F6261" t="s">
        <v>28669</v>
      </c>
      <c r="G6261" t="s">
        <v>28677</v>
      </c>
      <c r="H6261" t="s">
        <v>9998</v>
      </c>
      <c r="I6261" t="s">
        <v>28713</v>
      </c>
      <c r="J6261" t="s">
        <v>29027</v>
      </c>
      <c r="K6261" t="s">
        <v>37210</v>
      </c>
      <c r="M6261" t="s">
        <v>39442</v>
      </c>
      <c r="N6261" t="s">
        <v>41249</v>
      </c>
      <c r="O6261" t="s">
        <v>41250</v>
      </c>
      <c r="P6261">
        <v>0</v>
      </c>
      <c r="Q6261">
        <v>2</v>
      </c>
      <c r="R6261" t="s">
        <v>41256</v>
      </c>
      <c r="S6261" t="s">
        <v>41450</v>
      </c>
      <c r="T6261" t="s">
        <v>42728</v>
      </c>
      <c r="U6261" t="s">
        <v>48373</v>
      </c>
      <c r="W6261" t="s">
        <v>39442</v>
      </c>
      <c r="X6261" t="s">
        <v>41257</v>
      </c>
    </row>
    <row r="6262" spans="1:24">
      <c r="A6262">
        <f>HYPERLINK("https://www.philgeps.gov.ph/GEPSNONPILOT/Tender/SplashBidNoticeAbstractUI.aspx?menuIndex=3&amp;refID=7071945&amp;Result=3","7071945")</f>
        <v>0</v>
      </c>
      <c r="B6262" t="s">
        <v>1829</v>
      </c>
      <c r="C6262" t="s">
        <v>9352</v>
      </c>
      <c r="D6262" t="s">
        <v>16661</v>
      </c>
      <c r="E6262" t="s">
        <v>21444</v>
      </c>
      <c r="F6262" t="s">
        <v>28669</v>
      </c>
      <c r="G6262" t="s">
        <v>28677</v>
      </c>
      <c r="H6262" t="s">
        <v>9998</v>
      </c>
      <c r="I6262" t="s">
        <v>11593</v>
      </c>
      <c r="J6262" t="s">
        <v>28879</v>
      </c>
      <c r="K6262" t="s">
        <v>37210</v>
      </c>
      <c r="M6262" t="s">
        <v>39442</v>
      </c>
      <c r="N6262" t="s">
        <v>41249</v>
      </c>
      <c r="O6262" t="s">
        <v>41250</v>
      </c>
      <c r="P6262">
        <v>0</v>
      </c>
      <c r="Q6262">
        <v>0</v>
      </c>
      <c r="R6262" t="s">
        <v>41256</v>
      </c>
      <c r="S6262" t="s">
        <v>41450</v>
      </c>
      <c r="T6262" t="s">
        <v>42728</v>
      </c>
      <c r="U6262" t="s">
        <v>48374</v>
      </c>
      <c r="W6262" t="s">
        <v>39442</v>
      </c>
      <c r="X6262" t="s">
        <v>41257</v>
      </c>
    </row>
    <row r="6263" spans="1:24">
      <c r="A6263">
        <f>HYPERLINK("https://www.philgeps.gov.ph/GEPSNONPILOT/Tender/SplashBidNoticeAbstractUI.aspx?menuIndex=3&amp;refID=7071897&amp;Result=3","7071897")</f>
        <v>0</v>
      </c>
      <c r="B6263" t="s">
        <v>648</v>
      </c>
      <c r="C6263" t="s">
        <v>9353</v>
      </c>
      <c r="D6263" t="s">
        <v>16648</v>
      </c>
      <c r="E6263" t="s">
        <v>22216</v>
      </c>
      <c r="F6263" t="s">
        <v>28669</v>
      </c>
      <c r="G6263" t="s">
        <v>28675</v>
      </c>
      <c r="H6263" t="s">
        <v>9998</v>
      </c>
      <c r="I6263" t="s">
        <v>11142</v>
      </c>
      <c r="J6263" t="s">
        <v>32773</v>
      </c>
      <c r="K6263" t="s">
        <v>37210</v>
      </c>
      <c r="M6263" t="s">
        <v>38149</v>
      </c>
      <c r="N6263" t="s">
        <v>41249</v>
      </c>
      <c r="O6263" t="s">
        <v>41250</v>
      </c>
      <c r="P6263">
        <v>0</v>
      </c>
      <c r="Q6263">
        <v>0</v>
      </c>
      <c r="R6263" t="s">
        <v>41256</v>
      </c>
      <c r="S6263" t="s">
        <v>41450</v>
      </c>
      <c r="T6263" t="s">
        <v>42679</v>
      </c>
      <c r="U6263" t="s">
        <v>48375</v>
      </c>
      <c r="W6263" t="s">
        <v>38149</v>
      </c>
      <c r="X6263" t="s">
        <v>41257</v>
      </c>
    </row>
    <row r="6264" spans="1:24">
      <c r="A6264">
        <f>HYPERLINK("https://www.philgeps.gov.ph/GEPSNONPILOT/Tender/SplashBidNoticeAbstractUI.aspx?menuIndex=3&amp;refID=7071890&amp;Result=3","7071890")</f>
        <v>0</v>
      </c>
      <c r="B6264" t="s">
        <v>2069</v>
      </c>
      <c r="C6264" t="s">
        <v>9354</v>
      </c>
      <c r="D6264" t="s">
        <v>16678</v>
      </c>
      <c r="E6264" t="s">
        <v>22217</v>
      </c>
      <c r="F6264" t="s">
        <v>28669</v>
      </c>
      <c r="G6264" t="s">
        <v>28675</v>
      </c>
      <c r="H6264" t="s">
        <v>28686</v>
      </c>
      <c r="I6264" t="s">
        <v>28689</v>
      </c>
      <c r="J6264" t="s">
        <v>28836</v>
      </c>
      <c r="K6264" t="s">
        <v>37215</v>
      </c>
      <c r="M6264" t="s">
        <v>39710</v>
      </c>
      <c r="N6264" t="s">
        <v>41249</v>
      </c>
      <c r="O6264" t="s">
        <v>41250</v>
      </c>
      <c r="P6264">
        <v>0</v>
      </c>
      <c r="Q6264">
        <v>0</v>
      </c>
      <c r="R6264" t="s">
        <v>41256</v>
      </c>
      <c r="S6264" t="s">
        <v>41450</v>
      </c>
      <c r="T6264" t="s">
        <v>42808</v>
      </c>
      <c r="U6264" t="s">
        <v>48376</v>
      </c>
      <c r="W6264" t="s">
        <v>39710</v>
      </c>
      <c r="X6264" t="s">
        <v>41257</v>
      </c>
    </row>
    <row r="6265" spans="1:24">
      <c r="A6265">
        <f>HYPERLINK("https://www.philgeps.gov.ph/GEPSNONPILOT/Tender/SplashBidNoticeAbstractUI.aspx?menuIndex=3&amp;refID=7071970&amp;Result=3","7071970")</f>
        <v>0</v>
      </c>
      <c r="B6265" t="s">
        <v>1327</v>
      </c>
      <c r="C6265" t="s">
        <v>9355</v>
      </c>
      <c r="D6265" t="s">
        <v>16627</v>
      </c>
      <c r="E6265" t="s">
        <v>22218</v>
      </c>
      <c r="F6265" t="s">
        <v>28669</v>
      </c>
      <c r="G6265" t="s">
        <v>28675</v>
      </c>
      <c r="H6265" t="s">
        <v>9998</v>
      </c>
      <c r="I6265" t="s">
        <v>28707</v>
      </c>
      <c r="J6265" t="s">
        <v>32774</v>
      </c>
      <c r="K6265" t="s">
        <v>37213</v>
      </c>
      <c r="M6265" t="s">
        <v>39006</v>
      </c>
      <c r="N6265" t="s">
        <v>41249</v>
      </c>
      <c r="O6265" t="s">
        <v>41250</v>
      </c>
      <c r="P6265">
        <v>0</v>
      </c>
      <c r="Q6265">
        <v>7</v>
      </c>
      <c r="R6265" t="s">
        <v>41256</v>
      </c>
      <c r="S6265" t="s">
        <v>41450</v>
      </c>
      <c r="T6265" t="s">
        <v>42765</v>
      </c>
      <c r="U6265" t="s">
        <v>48112</v>
      </c>
      <c r="W6265" t="s">
        <v>39006</v>
      </c>
      <c r="X6265" t="s">
        <v>41257</v>
      </c>
    </row>
    <row r="6266" spans="1:24">
      <c r="A6266">
        <f>HYPERLINK("https://www.philgeps.gov.ph/GEPSNONPILOT/Tender/SplashBidNoticeAbstractUI.aspx?menuIndex=3&amp;refID=7071946&amp;Result=3","7071946")</f>
        <v>0</v>
      </c>
      <c r="B6266" t="s">
        <v>2069</v>
      </c>
      <c r="C6266" t="s">
        <v>9356</v>
      </c>
      <c r="D6266" t="s">
        <v>16678</v>
      </c>
      <c r="E6266" t="s">
        <v>22219</v>
      </c>
      <c r="F6266" t="s">
        <v>28669</v>
      </c>
      <c r="G6266" t="s">
        <v>28675</v>
      </c>
      <c r="H6266" t="s">
        <v>28686</v>
      </c>
      <c r="I6266" t="s">
        <v>28689</v>
      </c>
      <c r="J6266" t="s">
        <v>28877</v>
      </c>
      <c r="K6266" t="s">
        <v>37220</v>
      </c>
      <c r="M6266" t="s">
        <v>39710</v>
      </c>
      <c r="N6266" t="s">
        <v>41249</v>
      </c>
      <c r="O6266" t="s">
        <v>41250</v>
      </c>
      <c r="P6266">
        <v>0</v>
      </c>
      <c r="Q6266">
        <v>0</v>
      </c>
      <c r="R6266" t="s">
        <v>41256</v>
      </c>
      <c r="S6266" t="s">
        <v>41450</v>
      </c>
      <c r="T6266" t="s">
        <v>42808</v>
      </c>
      <c r="U6266" t="s">
        <v>48377</v>
      </c>
      <c r="W6266" t="s">
        <v>39710</v>
      </c>
      <c r="X6266" t="s">
        <v>41257</v>
      </c>
    </row>
    <row r="6267" spans="1:24">
      <c r="A6267">
        <f>HYPERLINK("https://www.philgeps.gov.ph/GEPSNONPILOT/Tender/SplashBidNoticeAbstractUI.aspx?menuIndex=3&amp;refID=7072072&amp;Result=3","7072072")</f>
        <v>0</v>
      </c>
      <c r="B6267" t="s">
        <v>947</v>
      </c>
      <c r="C6267" t="s">
        <v>9357</v>
      </c>
      <c r="D6267" t="s">
        <v>16631</v>
      </c>
      <c r="E6267" t="s">
        <v>22220</v>
      </c>
      <c r="F6267" t="s">
        <v>28669</v>
      </c>
      <c r="G6267" t="s">
        <v>28677</v>
      </c>
      <c r="H6267" t="s">
        <v>9998</v>
      </c>
      <c r="I6267" t="s">
        <v>28704</v>
      </c>
      <c r="J6267" t="s">
        <v>32775</v>
      </c>
      <c r="K6267" t="s">
        <v>37206</v>
      </c>
      <c r="M6267" t="s">
        <v>38471</v>
      </c>
      <c r="N6267" t="s">
        <v>41249</v>
      </c>
      <c r="O6267" t="s">
        <v>41250</v>
      </c>
      <c r="P6267">
        <v>0</v>
      </c>
      <c r="Q6267">
        <v>0</v>
      </c>
      <c r="R6267" t="s">
        <v>41256</v>
      </c>
      <c r="S6267" t="s">
        <v>41450</v>
      </c>
      <c r="T6267" t="s">
        <v>42736</v>
      </c>
      <c r="U6267" t="s">
        <v>48378</v>
      </c>
      <c r="V6267" t="s">
        <v>54917</v>
      </c>
      <c r="W6267" t="s">
        <v>38471</v>
      </c>
      <c r="X6267" t="s">
        <v>41257</v>
      </c>
    </row>
    <row r="6268" spans="1:24">
      <c r="A6268">
        <f>HYPERLINK("https://www.philgeps.gov.ph/GEPSNONPILOT/Tender/SplashBidNoticeAbstractUI.aspx?menuIndex=3&amp;refID=7072070&amp;Result=3","7072070")</f>
        <v>0</v>
      </c>
      <c r="B6268" t="s">
        <v>1829</v>
      </c>
      <c r="C6268" t="s">
        <v>9358</v>
      </c>
      <c r="D6268" t="s">
        <v>16661</v>
      </c>
      <c r="E6268" t="s">
        <v>21444</v>
      </c>
      <c r="F6268" t="s">
        <v>28669</v>
      </c>
      <c r="G6268" t="s">
        <v>28677</v>
      </c>
      <c r="H6268" t="s">
        <v>9998</v>
      </c>
      <c r="I6268" t="s">
        <v>28704</v>
      </c>
      <c r="J6268" t="s">
        <v>32776</v>
      </c>
      <c r="K6268" t="s">
        <v>37210</v>
      </c>
      <c r="M6268" t="s">
        <v>39442</v>
      </c>
      <c r="N6268" t="s">
        <v>41249</v>
      </c>
      <c r="O6268" t="s">
        <v>41250</v>
      </c>
      <c r="P6268">
        <v>0</v>
      </c>
      <c r="Q6268">
        <v>0</v>
      </c>
      <c r="R6268" t="s">
        <v>41256</v>
      </c>
      <c r="S6268" t="s">
        <v>41450</v>
      </c>
      <c r="T6268" t="s">
        <v>42728</v>
      </c>
      <c r="U6268" t="s">
        <v>48379</v>
      </c>
      <c r="W6268" t="s">
        <v>39442</v>
      </c>
      <c r="X6268" t="s">
        <v>41257</v>
      </c>
    </row>
    <row r="6269" spans="1:24">
      <c r="A6269">
        <f>HYPERLINK("https://www.philgeps.gov.ph/GEPSNONPILOT/Tender/SplashBidNoticeAbstractUI.aspx?menuIndex=3&amp;refID=7072065&amp;Result=3","7072065")</f>
        <v>0</v>
      </c>
      <c r="B6269" t="s">
        <v>947</v>
      </c>
      <c r="C6269" t="s">
        <v>9359</v>
      </c>
      <c r="D6269" t="s">
        <v>16631</v>
      </c>
      <c r="E6269" t="s">
        <v>22221</v>
      </c>
      <c r="F6269" t="s">
        <v>28669</v>
      </c>
      <c r="G6269" t="s">
        <v>28677</v>
      </c>
      <c r="H6269" t="s">
        <v>9998</v>
      </c>
      <c r="I6269" t="s">
        <v>28694</v>
      </c>
      <c r="J6269" t="s">
        <v>32777</v>
      </c>
      <c r="K6269" t="s">
        <v>37206</v>
      </c>
      <c r="M6269" t="s">
        <v>38471</v>
      </c>
      <c r="N6269" t="s">
        <v>41249</v>
      </c>
      <c r="O6269" t="s">
        <v>41250</v>
      </c>
      <c r="P6269">
        <v>0</v>
      </c>
      <c r="Q6269">
        <v>2</v>
      </c>
      <c r="R6269" t="s">
        <v>41256</v>
      </c>
      <c r="S6269" t="s">
        <v>41450</v>
      </c>
      <c r="T6269" t="s">
        <v>42736</v>
      </c>
      <c r="U6269" t="s">
        <v>48380</v>
      </c>
      <c r="V6269" t="s">
        <v>54917</v>
      </c>
      <c r="W6269" t="s">
        <v>38471</v>
      </c>
      <c r="X6269" t="s">
        <v>41257</v>
      </c>
    </row>
    <row r="6270" spans="1:24">
      <c r="A6270">
        <f>HYPERLINK("https://www.philgeps.gov.ph/GEPSNONPILOT/Tender/SplashBidNoticeAbstractUI.aspx?menuIndex=3&amp;refID=7072064&amp;Result=3","7072064")</f>
        <v>0</v>
      </c>
      <c r="B6270" t="s">
        <v>2085</v>
      </c>
      <c r="C6270" t="s">
        <v>9360</v>
      </c>
      <c r="E6270" t="s">
        <v>22222</v>
      </c>
      <c r="F6270" t="s">
        <v>28669</v>
      </c>
      <c r="G6270" t="s">
        <v>28676</v>
      </c>
      <c r="H6270" t="s">
        <v>28686</v>
      </c>
      <c r="I6270" t="s">
        <v>28689</v>
      </c>
      <c r="J6270" t="s">
        <v>28877</v>
      </c>
      <c r="K6270" t="s">
        <v>37301</v>
      </c>
      <c r="M6270" t="s">
        <v>39726</v>
      </c>
      <c r="N6270" t="s">
        <v>41249</v>
      </c>
      <c r="O6270" t="s">
        <v>41250</v>
      </c>
      <c r="P6270">
        <v>0</v>
      </c>
      <c r="Q6270">
        <v>1</v>
      </c>
      <c r="R6270" t="s">
        <v>41256</v>
      </c>
      <c r="S6270" t="s">
        <v>41450</v>
      </c>
      <c r="T6270" t="s">
        <v>42783</v>
      </c>
      <c r="U6270" t="s">
        <v>48381</v>
      </c>
      <c r="W6270" t="s">
        <v>39726</v>
      </c>
      <c r="X6270" t="s">
        <v>41257</v>
      </c>
    </row>
    <row r="6271" spans="1:24">
      <c r="A6271">
        <f>HYPERLINK("https://www.philgeps.gov.ph/GEPSNONPILOT/Tender/SplashBidNoticeAbstractUI.aspx?menuIndex=3&amp;refID=7072063&amp;Result=3","7072063")</f>
        <v>0</v>
      </c>
      <c r="B6271" t="s">
        <v>2086</v>
      </c>
      <c r="C6271" t="s">
        <v>9361</v>
      </c>
      <c r="D6271" t="s">
        <v>16611</v>
      </c>
      <c r="E6271" t="s">
        <v>22223</v>
      </c>
      <c r="F6271" t="s">
        <v>28669</v>
      </c>
      <c r="G6271" t="s">
        <v>28675</v>
      </c>
      <c r="H6271" t="s">
        <v>28686</v>
      </c>
      <c r="I6271" t="s">
        <v>28689</v>
      </c>
      <c r="J6271" t="s">
        <v>28850</v>
      </c>
      <c r="K6271" t="s">
        <v>37300</v>
      </c>
      <c r="M6271" t="s">
        <v>39727</v>
      </c>
      <c r="N6271" t="s">
        <v>41249</v>
      </c>
      <c r="O6271" t="s">
        <v>41250</v>
      </c>
      <c r="P6271">
        <v>0</v>
      </c>
      <c r="Q6271">
        <v>4</v>
      </c>
      <c r="R6271" t="s">
        <v>41256</v>
      </c>
      <c r="S6271" t="s">
        <v>41450</v>
      </c>
      <c r="T6271" t="s">
        <v>43001</v>
      </c>
      <c r="U6271" t="s">
        <v>48382</v>
      </c>
      <c r="W6271" t="s">
        <v>39727</v>
      </c>
      <c r="X6271" t="s">
        <v>41257</v>
      </c>
    </row>
    <row r="6272" spans="1:24">
      <c r="A6272">
        <f>HYPERLINK("https://www.philgeps.gov.ph/GEPSNONPILOT/Tender/SplashBidNoticeAbstractUI.aspx?menuIndex=3&amp;refID=7072060&amp;Result=3","7072060")</f>
        <v>0</v>
      </c>
      <c r="B6272" t="s">
        <v>2087</v>
      </c>
      <c r="C6272" t="s">
        <v>9362</v>
      </c>
      <c r="D6272" t="s">
        <v>16682</v>
      </c>
      <c r="E6272" t="s">
        <v>22224</v>
      </c>
      <c r="F6272" t="s">
        <v>28669</v>
      </c>
      <c r="G6272" t="s">
        <v>28675</v>
      </c>
      <c r="H6272" t="s">
        <v>9998</v>
      </c>
      <c r="I6272" t="s">
        <v>28748</v>
      </c>
      <c r="J6272" t="s">
        <v>28879</v>
      </c>
      <c r="K6272" t="s">
        <v>37205</v>
      </c>
      <c r="L6272" t="s">
        <v>2087</v>
      </c>
      <c r="M6272" t="s">
        <v>39728</v>
      </c>
      <c r="N6272" t="s">
        <v>41249</v>
      </c>
      <c r="O6272" t="s">
        <v>41250</v>
      </c>
      <c r="P6272">
        <v>0</v>
      </c>
      <c r="Q6272">
        <v>2</v>
      </c>
      <c r="R6272" t="s">
        <v>41256</v>
      </c>
      <c r="S6272" t="s">
        <v>41450</v>
      </c>
      <c r="T6272" t="s">
        <v>42754</v>
      </c>
      <c r="U6272" t="s">
        <v>48383</v>
      </c>
      <c r="V6272" t="s">
        <v>54962</v>
      </c>
      <c r="W6272" t="s">
        <v>39728</v>
      </c>
      <c r="X6272" t="s">
        <v>41257</v>
      </c>
    </row>
    <row r="6273" spans="1:24">
      <c r="A6273">
        <f>HYPERLINK("https://www.philgeps.gov.ph/GEPSNONPILOT/Tender/SplashBidNoticeAbstractUI.aspx?menuIndex=3&amp;refID=7072056&amp;Result=3","7072056")</f>
        <v>0</v>
      </c>
      <c r="B6273" t="s">
        <v>2088</v>
      </c>
      <c r="C6273" t="s">
        <v>9363</v>
      </c>
      <c r="D6273" t="s">
        <v>16642</v>
      </c>
      <c r="E6273" t="s">
        <v>22225</v>
      </c>
      <c r="F6273" t="s">
        <v>28669</v>
      </c>
      <c r="G6273" t="s">
        <v>28676</v>
      </c>
      <c r="H6273" t="s">
        <v>9998</v>
      </c>
      <c r="I6273" t="s">
        <v>28708</v>
      </c>
      <c r="J6273" t="s">
        <v>32778</v>
      </c>
      <c r="K6273" t="s">
        <v>37210</v>
      </c>
      <c r="M6273" t="s">
        <v>39729</v>
      </c>
      <c r="N6273" t="s">
        <v>41249</v>
      </c>
      <c r="O6273" t="s">
        <v>41250</v>
      </c>
      <c r="P6273">
        <v>0</v>
      </c>
      <c r="Q6273">
        <v>1</v>
      </c>
      <c r="R6273" t="s">
        <v>41256</v>
      </c>
      <c r="S6273" t="s">
        <v>41450</v>
      </c>
      <c r="T6273" t="s">
        <v>42727</v>
      </c>
      <c r="U6273" t="s">
        <v>48384</v>
      </c>
      <c r="V6273" t="s">
        <v>54963</v>
      </c>
      <c r="W6273" t="s">
        <v>39729</v>
      </c>
      <c r="X6273" t="s">
        <v>41257</v>
      </c>
    </row>
    <row r="6274" spans="1:24">
      <c r="A6274">
        <f>HYPERLINK("https://www.philgeps.gov.ph/GEPSNONPILOT/Tender/SplashBidNoticeAbstractUI.aspx?menuIndex=3&amp;refID=7072055&amp;Result=3","7072055")</f>
        <v>0</v>
      </c>
      <c r="B6274" t="s">
        <v>947</v>
      </c>
      <c r="C6274" t="s">
        <v>9364</v>
      </c>
      <c r="D6274" t="s">
        <v>16631</v>
      </c>
      <c r="E6274" t="s">
        <v>22226</v>
      </c>
      <c r="F6274" t="s">
        <v>28669</v>
      </c>
      <c r="G6274" t="s">
        <v>28677</v>
      </c>
      <c r="H6274" t="s">
        <v>9998</v>
      </c>
      <c r="I6274" t="s">
        <v>5213</v>
      </c>
      <c r="J6274" t="s">
        <v>32779</v>
      </c>
      <c r="K6274" t="s">
        <v>37206</v>
      </c>
      <c r="M6274" t="s">
        <v>38471</v>
      </c>
      <c r="N6274" t="s">
        <v>41249</v>
      </c>
      <c r="O6274" t="s">
        <v>41250</v>
      </c>
      <c r="P6274">
        <v>0</v>
      </c>
      <c r="Q6274">
        <v>3</v>
      </c>
      <c r="R6274" t="s">
        <v>41256</v>
      </c>
      <c r="S6274" t="s">
        <v>41450</v>
      </c>
      <c r="T6274" t="s">
        <v>42736</v>
      </c>
      <c r="U6274" t="s">
        <v>48385</v>
      </c>
      <c r="V6274" t="s">
        <v>54917</v>
      </c>
      <c r="W6274" t="s">
        <v>38471</v>
      </c>
      <c r="X6274" t="s">
        <v>41257</v>
      </c>
    </row>
    <row r="6275" spans="1:24">
      <c r="A6275">
        <f>HYPERLINK("https://www.philgeps.gov.ph/GEPSNONPILOT/Tender/SplashBidNoticeAbstractUI.aspx?menuIndex=3&amp;refID=7072013&amp;Result=3","7072013")</f>
        <v>0</v>
      </c>
      <c r="B6275" t="s">
        <v>1829</v>
      </c>
      <c r="C6275" t="s">
        <v>9365</v>
      </c>
      <c r="D6275" t="s">
        <v>16661</v>
      </c>
      <c r="E6275" t="s">
        <v>21444</v>
      </c>
      <c r="F6275" t="s">
        <v>28669</v>
      </c>
      <c r="G6275" t="s">
        <v>28677</v>
      </c>
      <c r="H6275" t="s">
        <v>9998</v>
      </c>
      <c r="I6275" t="s">
        <v>28722</v>
      </c>
      <c r="J6275" t="s">
        <v>32780</v>
      </c>
      <c r="K6275" t="s">
        <v>37210</v>
      </c>
      <c r="M6275" t="s">
        <v>39442</v>
      </c>
      <c r="N6275" t="s">
        <v>41249</v>
      </c>
      <c r="O6275" t="s">
        <v>41250</v>
      </c>
      <c r="P6275">
        <v>0</v>
      </c>
      <c r="Q6275">
        <v>0</v>
      </c>
      <c r="R6275" t="s">
        <v>41256</v>
      </c>
      <c r="S6275" t="s">
        <v>41450</v>
      </c>
      <c r="T6275" t="s">
        <v>42728</v>
      </c>
      <c r="U6275" t="s">
        <v>48386</v>
      </c>
      <c r="W6275" t="s">
        <v>39442</v>
      </c>
      <c r="X6275" t="s">
        <v>41257</v>
      </c>
    </row>
    <row r="6276" spans="1:24">
      <c r="A6276">
        <f>HYPERLINK("https://www.philgeps.gov.ph/GEPSNONPILOT/Tender/SplashBidNoticeAbstractUI.aspx?menuIndex=3&amp;refID=7072048&amp;Result=3","7072048")</f>
        <v>0</v>
      </c>
      <c r="B6276" t="s">
        <v>2087</v>
      </c>
      <c r="C6276" t="s">
        <v>9366</v>
      </c>
      <c r="D6276" t="s">
        <v>16682</v>
      </c>
      <c r="E6276" t="s">
        <v>22227</v>
      </c>
      <c r="F6276" t="s">
        <v>28669</v>
      </c>
      <c r="G6276" t="s">
        <v>28675</v>
      </c>
      <c r="H6276" t="s">
        <v>9998</v>
      </c>
      <c r="I6276" t="s">
        <v>3718</v>
      </c>
      <c r="J6276" t="s">
        <v>28854</v>
      </c>
      <c r="K6276" t="s">
        <v>37205</v>
      </c>
      <c r="L6276" t="s">
        <v>2087</v>
      </c>
      <c r="M6276" t="s">
        <v>39728</v>
      </c>
      <c r="N6276" t="s">
        <v>41249</v>
      </c>
      <c r="O6276" t="s">
        <v>41250</v>
      </c>
      <c r="P6276">
        <v>0</v>
      </c>
      <c r="Q6276">
        <v>5</v>
      </c>
      <c r="R6276" t="s">
        <v>41256</v>
      </c>
      <c r="S6276" t="s">
        <v>41450</v>
      </c>
      <c r="T6276" t="s">
        <v>42754</v>
      </c>
      <c r="U6276" t="s">
        <v>48387</v>
      </c>
      <c r="V6276" t="s">
        <v>54962</v>
      </c>
      <c r="W6276" t="s">
        <v>39728</v>
      </c>
      <c r="X6276" t="s">
        <v>41257</v>
      </c>
    </row>
    <row r="6277" spans="1:24">
      <c r="A6277">
        <f>HYPERLINK("https://www.philgeps.gov.ph/GEPSNONPILOT/Tender/SplashBidNoticeAbstractUI.aspx?menuIndex=3&amp;refID=7072047&amp;Result=3","7072047")</f>
        <v>0</v>
      </c>
      <c r="B6277" t="s">
        <v>659</v>
      </c>
      <c r="C6277" t="s">
        <v>4393</v>
      </c>
      <c r="D6277" t="s">
        <v>16643</v>
      </c>
      <c r="E6277" t="s">
        <v>22228</v>
      </c>
      <c r="F6277" t="s">
        <v>28669</v>
      </c>
      <c r="G6277" t="s">
        <v>28679</v>
      </c>
      <c r="H6277" t="s">
        <v>9998</v>
      </c>
      <c r="I6277" t="s">
        <v>5286</v>
      </c>
      <c r="J6277" t="s">
        <v>32781</v>
      </c>
      <c r="K6277" t="s">
        <v>37204</v>
      </c>
      <c r="M6277" t="s">
        <v>38161</v>
      </c>
      <c r="N6277" t="s">
        <v>41249</v>
      </c>
      <c r="O6277" t="s">
        <v>41250</v>
      </c>
      <c r="P6277">
        <v>0</v>
      </c>
      <c r="Q6277">
        <v>2</v>
      </c>
      <c r="R6277" t="s">
        <v>41256</v>
      </c>
      <c r="S6277" t="s">
        <v>41450</v>
      </c>
      <c r="T6277" t="s">
        <v>42736</v>
      </c>
      <c r="U6277" t="s">
        <v>45121</v>
      </c>
      <c r="W6277" t="s">
        <v>55925</v>
      </c>
      <c r="X6277" t="s">
        <v>41257</v>
      </c>
    </row>
    <row r="6278" spans="1:24">
      <c r="A6278">
        <f>HYPERLINK("https://www.philgeps.gov.ph/GEPSNONPILOT/Tender/SplashBidNoticeAbstractUI.aspx?menuIndex=3&amp;refID=7072043&amp;Result=3","7072043")</f>
        <v>0</v>
      </c>
      <c r="B6278" t="s">
        <v>1829</v>
      </c>
      <c r="C6278" t="s">
        <v>9367</v>
      </c>
      <c r="D6278" t="s">
        <v>16661</v>
      </c>
      <c r="E6278" t="s">
        <v>21444</v>
      </c>
      <c r="F6278" t="s">
        <v>28669</v>
      </c>
      <c r="G6278" t="s">
        <v>28677</v>
      </c>
      <c r="H6278" t="s">
        <v>9998</v>
      </c>
      <c r="I6278" t="s">
        <v>6128</v>
      </c>
      <c r="J6278" t="s">
        <v>32782</v>
      </c>
      <c r="K6278" t="s">
        <v>37210</v>
      </c>
      <c r="M6278" t="s">
        <v>39442</v>
      </c>
      <c r="N6278" t="s">
        <v>41249</v>
      </c>
      <c r="O6278" t="s">
        <v>41250</v>
      </c>
      <c r="P6278">
        <v>0</v>
      </c>
      <c r="Q6278">
        <v>1</v>
      </c>
      <c r="R6278" t="s">
        <v>41256</v>
      </c>
      <c r="S6278" t="s">
        <v>41450</v>
      </c>
      <c r="T6278" t="s">
        <v>42728</v>
      </c>
      <c r="U6278" t="s">
        <v>48388</v>
      </c>
      <c r="W6278" t="s">
        <v>39442</v>
      </c>
      <c r="X6278" t="s">
        <v>41257</v>
      </c>
    </row>
    <row r="6279" spans="1:24">
      <c r="A6279">
        <f>HYPERLINK("https://www.philgeps.gov.ph/GEPSNONPILOT/Tender/SplashBidNoticeAbstractUI.aspx?menuIndex=3&amp;refID=7072033&amp;Result=3","7072033")</f>
        <v>0</v>
      </c>
      <c r="B6279" t="s">
        <v>659</v>
      </c>
      <c r="C6279" t="s">
        <v>9368</v>
      </c>
      <c r="D6279" t="s">
        <v>16643</v>
      </c>
      <c r="E6279" t="s">
        <v>22229</v>
      </c>
      <c r="F6279" t="s">
        <v>28669</v>
      </c>
      <c r="G6279" t="s">
        <v>28675</v>
      </c>
      <c r="H6279" t="s">
        <v>9998</v>
      </c>
      <c r="I6279" t="s">
        <v>28695</v>
      </c>
      <c r="J6279" t="s">
        <v>32783</v>
      </c>
      <c r="K6279" t="s">
        <v>37204</v>
      </c>
      <c r="M6279" t="s">
        <v>38161</v>
      </c>
      <c r="N6279" t="s">
        <v>41249</v>
      </c>
      <c r="O6279" t="s">
        <v>41250</v>
      </c>
      <c r="P6279">
        <v>0</v>
      </c>
      <c r="Q6279">
        <v>0</v>
      </c>
      <c r="R6279" t="s">
        <v>41256</v>
      </c>
      <c r="S6279" t="s">
        <v>41450</v>
      </c>
      <c r="T6279" t="s">
        <v>42690</v>
      </c>
      <c r="U6279" t="s">
        <v>48389</v>
      </c>
      <c r="W6279" t="s">
        <v>55925</v>
      </c>
      <c r="X6279" t="s">
        <v>41257</v>
      </c>
    </row>
    <row r="6280" spans="1:24">
      <c r="A6280">
        <f>HYPERLINK("https://www.philgeps.gov.ph/GEPSNONPILOT/Tender/SplashBidNoticeAbstractUI.aspx?menuIndex=3&amp;refID=7071899&amp;Result=3","7071899")</f>
        <v>0</v>
      </c>
      <c r="B6280" t="s">
        <v>2089</v>
      </c>
      <c r="C6280" t="s">
        <v>9369</v>
      </c>
      <c r="D6280" t="s">
        <v>16675</v>
      </c>
      <c r="E6280" t="s">
        <v>22230</v>
      </c>
      <c r="F6280" t="s">
        <v>28669</v>
      </c>
      <c r="G6280" t="s">
        <v>28676</v>
      </c>
      <c r="H6280" t="s">
        <v>9998</v>
      </c>
      <c r="I6280" t="s">
        <v>3718</v>
      </c>
      <c r="J6280" t="s">
        <v>29040</v>
      </c>
      <c r="K6280" t="s">
        <v>37221</v>
      </c>
      <c r="M6280" t="s">
        <v>39730</v>
      </c>
      <c r="N6280" t="s">
        <v>41249</v>
      </c>
      <c r="O6280" t="s">
        <v>41250</v>
      </c>
      <c r="P6280">
        <v>0</v>
      </c>
      <c r="Q6280">
        <v>3</v>
      </c>
      <c r="R6280" t="s">
        <v>41256</v>
      </c>
      <c r="S6280" t="s">
        <v>41450</v>
      </c>
      <c r="T6280" t="s">
        <v>42727</v>
      </c>
      <c r="U6280" t="s">
        <v>44679</v>
      </c>
      <c r="W6280" t="s">
        <v>39730</v>
      </c>
      <c r="X6280" t="s">
        <v>41257</v>
      </c>
    </row>
    <row r="6281" spans="1:24">
      <c r="A6281">
        <f>HYPERLINK("https://www.philgeps.gov.ph/GEPSNONPILOT/Tender/SplashBidNoticeAbstractUI.aspx?menuIndex=3&amp;refID=7072029&amp;Result=3","7072029")</f>
        <v>0</v>
      </c>
      <c r="B6281" t="s">
        <v>2088</v>
      </c>
      <c r="C6281" t="s">
        <v>9370</v>
      </c>
      <c r="D6281" t="s">
        <v>16642</v>
      </c>
      <c r="E6281" t="s">
        <v>22231</v>
      </c>
      <c r="F6281" t="s">
        <v>28669</v>
      </c>
      <c r="G6281" t="s">
        <v>28676</v>
      </c>
      <c r="H6281" t="s">
        <v>9998</v>
      </c>
      <c r="I6281" t="s">
        <v>28708</v>
      </c>
      <c r="J6281" t="s">
        <v>32784</v>
      </c>
      <c r="K6281" t="s">
        <v>37210</v>
      </c>
      <c r="M6281" t="s">
        <v>39729</v>
      </c>
      <c r="N6281" t="s">
        <v>41249</v>
      </c>
      <c r="O6281" t="s">
        <v>41250</v>
      </c>
      <c r="P6281">
        <v>0</v>
      </c>
      <c r="Q6281">
        <v>3</v>
      </c>
      <c r="R6281" t="s">
        <v>41256</v>
      </c>
      <c r="S6281" t="s">
        <v>41450</v>
      </c>
      <c r="T6281" t="s">
        <v>42727</v>
      </c>
      <c r="U6281" t="s">
        <v>48390</v>
      </c>
      <c r="V6281" t="s">
        <v>54963</v>
      </c>
      <c r="W6281" t="s">
        <v>39729</v>
      </c>
      <c r="X6281" t="s">
        <v>41257</v>
      </c>
    </row>
    <row r="6282" spans="1:24">
      <c r="A6282">
        <f>HYPERLINK("https://www.philgeps.gov.ph/GEPSNONPILOT/Tender/SplashBidNoticeAbstractUI.aspx?menuIndex=3&amp;refID=7072044&amp;Result=3","7072044")</f>
        <v>0</v>
      </c>
      <c r="B6282" t="s">
        <v>947</v>
      </c>
      <c r="C6282" t="s">
        <v>9371</v>
      </c>
      <c r="D6282" t="s">
        <v>16631</v>
      </c>
      <c r="E6282" t="s">
        <v>22232</v>
      </c>
      <c r="F6282" t="s">
        <v>28669</v>
      </c>
      <c r="G6282" t="s">
        <v>28677</v>
      </c>
      <c r="H6282" t="s">
        <v>9998</v>
      </c>
      <c r="I6282" t="s">
        <v>28694</v>
      </c>
      <c r="J6282" t="s">
        <v>32785</v>
      </c>
      <c r="K6282" t="s">
        <v>37206</v>
      </c>
      <c r="M6282" t="s">
        <v>38471</v>
      </c>
      <c r="N6282" t="s">
        <v>41249</v>
      </c>
      <c r="O6282" t="s">
        <v>41250</v>
      </c>
      <c r="P6282">
        <v>0</v>
      </c>
      <c r="Q6282">
        <v>4</v>
      </c>
      <c r="R6282" t="s">
        <v>41256</v>
      </c>
      <c r="S6282" t="s">
        <v>41450</v>
      </c>
      <c r="T6282" t="s">
        <v>42736</v>
      </c>
      <c r="U6282" t="s">
        <v>48385</v>
      </c>
      <c r="V6282" t="s">
        <v>54917</v>
      </c>
      <c r="W6282" t="s">
        <v>38471</v>
      </c>
      <c r="X6282" t="s">
        <v>41257</v>
      </c>
    </row>
    <row r="6283" spans="1:24">
      <c r="A6283">
        <f>HYPERLINK("https://www.philgeps.gov.ph/GEPSNONPILOT/Tender/SplashBidNoticeAbstractUI.aspx?menuIndex=3&amp;refID=7071894&amp;Result=3","7071894")</f>
        <v>0</v>
      </c>
      <c r="B6283" t="s">
        <v>470</v>
      </c>
      <c r="C6283" t="s">
        <v>9372</v>
      </c>
      <c r="D6283" t="s">
        <v>16639</v>
      </c>
      <c r="E6283" t="s">
        <v>22233</v>
      </c>
      <c r="F6283" t="s">
        <v>28669</v>
      </c>
      <c r="G6283" t="s">
        <v>28676</v>
      </c>
      <c r="H6283" t="s">
        <v>9998</v>
      </c>
      <c r="I6283" t="s">
        <v>7352</v>
      </c>
      <c r="J6283" t="s">
        <v>32786</v>
      </c>
      <c r="K6283" t="s">
        <v>37205</v>
      </c>
      <c r="M6283" t="s">
        <v>37958</v>
      </c>
      <c r="N6283" t="s">
        <v>41249</v>
      </c>
      <c r="O6283" t="s">
        <v>41250</v>
      </c>
      <c r="Q6283">
        <v>0</v>
      </c>
      <c r="R6283" t="s">
        <v>41256</v>
      </c>
      <c r="S6283" t="s">
        <v>41459</v>
      </c>
      <c r="T6283" t="s">
        <v>42736</v>
      </c>
      <c r="U6283" t="s">
        <v>48391</v>
      </c>
      <c r="W6283" t="s">
        <v>37958</v>
      </c>
      <c r="X6283" t="s">
        <v>41257</v>
      </c>
    </row>
    <row r="6284" spans="1:24">
      <c r="A6284">
        <f>HYPERLINK("https://www.philgeps.gov.ph/GEPSNONPILOT/Tender/SplashBidNoticeAbstractUI.aspx?menuIndex=3&amp;refID=7072028&amp;Result=3","7072028")</f>
        <v>0</v>
      </c>
      <c r="B6284" t="s">
        <v>1829</v>
      </c>
      <c r="C6284" t="s">
        <v>9373</v>
      </c>
      <c r="D6284" t="s">
        <v>16661</v>
      </c>
      <c r="E6284" t="s">
        <v>21444</v>
      </c>
      <c r="F6284" t="s">
        <v>28669</v>
      </c>
      <c r="G6284" t="s">
        <v>28677</v>
      </c>
      <c r="H6284" t="s">
        <v>9998</v>
      </c>
      <c r="I6284" t="s">
        <v>11593</v>
      </c>
      <c r="J6284" t="s">
        <v>29785</v>
      </c>
      <c r="K6284" t="s">
        <v>37210</v>
      </c>
      <c r="M6284" t="s">
        <v>39442</v>
      </c>
      <c r="N6284" t="s">
        <v>41249</v>
      </c>
      <c r="O6284" t="s">
        <v>41250</v>
      </c>
      <c r="P6284">
        <v>0</v>
      </c>
      <c r="Q6284">
        <v>4</v>
      </c>
      <c r="R6284" t="s">
        <v>41256</v>
      </c>
      <c r="S6284" t="s">
        <v>41450</v>
      </c>
      <c r="T6284" t="s">
        <v>42728</v>
      </c>
      <c r="U6284" t="s">
        <v>48392</v>
      </c>
      <c r="W6284" t="s">
        <v>39442</v>
      </c>
      <c r="X6284" t="s">
        <v>41257</v>
      </c>
    </row>
    <row r="6285" spans="1:24">
      <c r="A6285">
        <f>HYPERLINK("https://www.philgeps.gov.ph/GEPSNONPILOT/Tender/SplashBidNoticeAbstractUI.aspx?menuIndex=3&amp;refID=7072032&amp;Result=3","7072032")</f>
        <v>0</v>
      </c>
      <c r="B6285" t="s">
        <v>947</v>
      </c>
      <c r="C6285" t="s">
        <v>9374</v>
      </c>
      <c r="D6285" t="s">
        <v>16631</v>
      </c>
      <c r="E6285" t="s">
        <v>22234</v>
      </c>
      <c r="F6285" t="s">
        <v>28669</v>
      </c>
      <c r="G6285" t="s">
        <v>28677</v>
      </c>
      <c r="H6285" t="s">
        <v>9998</v>
      </c>
      <c r="I6285" t="s">
        <v>28694</v>
      </c>
      <c r="J6285" t="s">
        <v>32787</v>
      </c>
      <c r="K6285" t="s">
        <v>37206</v>
      </c>
      <c r="M6285" t="s">
        <v>38471</v>
      </c>
      <c r="N6285" t="s">
        <v>41249</v>
      </c>
      <c r="O6285" t="s">
        <v>41250</v>
      </c>
      <c r="P6285">
        <v>0</v>
      </c>
      <c r="Q6285">
        <v>4</v>
      </c>
      <c r="R6285" t="s">
        <v>41256</v>
      </c>
      <c r="S6285" t="s">
        <v>41450</v>
      </c>
      <c r="T6285" t="s">
        <v>42736</v>
      </c>
      <c r="U6285" t="s">
        <v>48393</v>
      </c>
      <c r="V6285" t="s">
        <v>54917</v>
      </c>
      <c r="W6285" t="s">
        <v>38471</v>
      </c>
      <c r="X6285" t="s">
        <v>41257</v>
      </c>
    </row>
    <row r="6286" spans="1:24">
      <c r="A6286">
        <f>HYPERLINK("https://www.philgeps.gov.ph/GEPSNONPILOT/Tender/SplashBidNoticeAbstractUI.aspx?menuIndex=3&amp;refID=7071967&amp;Result=3","7071967")</f>
        <v>0</v>
      </c>
      <c r="B6286" t="s">
        <v>2056</v>
      </c>
      <c r="C6286" t="s">
        <v>9375</v>
      </c>
      <c r="D6286" t="s">
        <v>16616</v>
      </c>
      <c r="E6286" t="s">
        <v>22235</v>
      </c>
      <c r="F6286" t="s">
        <v>28669</v>
      </c>
      <c r="G6286" t="s">
        <v>28676</v>
      </c>
      <c r="H6286" t="s">
        <v>9998</v>
      </c>
      <c r="I6286" t="s">
        <v>11593</v>
      </c>
      <c r="J6286" t="s">
        <v>29193</v>
      </c>
      <c r="K6286" t="s">
        <v>37243</v>
      </c>
      <c r="M6286" t="s">
        <v>39696</v>
      </c>
      <c r="N6286" t="s">
        <v>41249</v>
      </c>
      <c r="O6286" t="s">
        <v>41250</v>
      </c>
      <c r="P6286">
        <v>0</v>
      </c>
      <c r="Q6286">
        <v>0</v>
      </c>
      <c r="R6286" t="s">
        <v>41256</v>
      </c>
      <c r="S6286" t="s">
        <v>41450</v>
      </c>
      <c r="T6286" t="s">
        <v>42751</v>
      </c>
      <c r="U6286" t="s">
        <v>48271</v>
      </c>
      <c r="W6286" t="s">
        <v>39696</v>
      </c>
      <c r="X6286" t="s">
        <v>41257</v>
      </c>
    </row>
    <row r="6287" spans="1:24">
      <c r="A6287">
        <f>HYPERLINK("https://www.philgeps.gov.ph/GEPSNONPILOT/Tender/SplashBidNoticeAbstractUI.aspx?menuIndex=3&amp;refID=7072155&amp;Result=3","7072155")</f>
        <v>0</v>
      </c>
      <c r="B6287" t="s">
        <v>2090</v>
      </c>
      <c r="C6287" t="s">
        <v>9376</v>
      </c>
      <c r="D6287" t="s">
        <v>16618</v>
      </c>
      <c r="E6287" t="s">
        <v>16869</v>
      </c>
      <c r="F6287" t="s">
        <v>28669</v>
      </c>
      <c r="G6287" t="s">
        <v>28675</v>
      </c>
      <c r="H6287" t="s">
        <v>28686</v>
      </c>
      <c r="I6287" t="s">
        <v>28691</v>
      </c>
      <c r="J6287" t="s">
        <v>29259</v>
      </c>
      <c r="K6287" t="s">
        <v>37220</v>
      </c>
      <c r="M6287" t="s">
        <v>39731</v>
      </c>
      <c r="N6287" t="s">
        <v>41249</v>
      </c>
      <c r="O6287" t="s">
        <v>41250</v>
      </c>
      <c r="P6287">
        <v>0</v>
      </c>
      <c r="Q6287">
        <v>0</v>
      </c>
      <c r="R6287" t="s">
        <v>41256</v>
      </c>
      <c r="S6287" t="s">
        <v>41450</v>
      </c>
      <c r="T6287" t="s">
        <v>42972</v>
      </c>
      <c r="U6287" t="s">
        <v>48394</v>
      </c>
      <c r="W6287" t="s">
        <v>39731</v>
      </c>
      <c r="X6287" t="s">
        <v>41257</v>
      </c>
    </row>
    <row r="6288" spans="1:24">
      <c r="A6288">
        <f>HYPERLINK("https://www.philgeps.gov.ph/GEPSNONPILOT/Tender/SplashBidNoticeAbstractUI.aspx?menuIndex=3&amp;refID=7072151&amp;Result=3","7072151")</f>
        <v>0</v>
      </c>
      <c r="B6288" t="s">
        <v>135</v>
      </c>
      <c r="C6288" t="s">
        <v>9377</v>
      </c>
      <c r="D6288" t="s">
        <v>16622</v>
      </c>
      <c r="E6288" t="s">
        <v>22236</v>
      </c>
      <c r="F6288" t="s">
        <v>28669</v>
      </c>
      <c r="G6288" t="s">
        <v>28675</v>
      </c>
      <c r="H6288" t="s">
        <v>9998</v>
      </c>
      <c r="I6288" t="s">
        <v>28724</v>
      </c>
      <c r="J6288" t="s">
        <v>30048</v>
      </c>
      <c r="K6288" t="s">
        <v>37220</v>
      </c>
      <c r="M6288" t="s">
        <v>39732</v>
      </c>
      <c r="N6288" t="s">
        <v>41249</v>
      </c>
      <c r="O6288" t="s">
        <v>41250</v>
      </c>
      <c r="P6288">
        <v>0</v>
      </c>
      <c r="Q6288">
        <v>3</v>
      </c>
      <c r="R6288" t="s">
        <v>41256</v>
      </c>
      <c r="S6288" t="s">
        <v>41450</v>
      </c>
      <c r="T6288" t="s">
        <v>42793</v>
      </c>
      <c r="U6288" t="s">
        <v>48395</v>
      </c>
      <c r="W6288" t="s">
        <v>39732</v>
      </c>
      <c r="X6288" t="s">
        <v>41257</v>
      </c>
    </row>
    <row r="6289" spans="1:24">
      <c r="A6289">
        <f>HYPERLINK("https://www.philgeps.gov.ph/GEPSNONPILOT/Tender/SplashBidNoticeAbstractUI.aspx?menuIndex=3&amp;refID=7072149&amp;Result=3","7072149")</f>
        <v>0</v>
      </c>
      <c r="B6289" t="s">
        <v>135</v>
      </c>
      <c r="C6289" t="s">
        <v>9378</v>
      </c>
      <c r="D6289" t="s">
        <v>16622</v>
      </c>
      <c r="E6289" t="s">
        <v>9378</v>
      </c>
      <c r="F6289" t="s">
        <v>28669</v>
      </c>
      <c r="G6289" t="s">
        <v>28675</v>
      </c>
      <c r="H6289" t="s">
        <v>9998</v>
      </c>
      <c r="I6289" t="s">
        <v>28697</v>
      </c>
      <c r="J6289" t="s">
        <v>32788</v>
      </c>
      <c r="K6289" t="s">
        <v>37206</v>
      </c>
      <c r="M6289" t="s">
        <v>39732</v>
      </c>
      <c r="N6289" t="s">
        <v>41249</v>
      </c>
      <c r="O6289" t="s">
        <v>41250</v>
      </c>
      <c r="P6289">
        <v>0</v>
      </c>
      <c r="Q6289">
        <v>10</v>
      </c>
      <c r="R6289" t="s">
        <v>41256</v>
      </c>
      <c r="S6289" t="s">
        <v>41450</v>
      </c>
      <c r="T6289" t="s">
        <v>42692</v>
      </c>
      <c r="U6289" t="s">
        <v>48396</v>
      </c>
      <c r="W6289" t="s">
        <v>39732</v>
      </c>
      <c r="X6289" t="s">
        <v>41257</v>
      </c>
    </row>
    <row r="6290" spans="1:24">
      <c r="A6290">
        <f>HYPERLINK("https://www.philgeps.gov.ph/GEPSNONPILOT/Tender/SplashBidNoticeAbstractUI.aspx?menuIndex=3&amp;refID=7072157&amp;Result=3","7072157")</f>
        <v>0</v>
      </c>
      <c r="B6290" t="s">
        <v>2091</v>
      </c>
      <c r="C6290" t="s">
        <v>5207</v>
      </c>
      <c r="D6290" t="s">
        <v>16630</v>
      </c>
      <c r="E6290" t="s">
        <v>18652</v>
      </c>
      <c r="F6290" t="s">
        <v>28669</v>
      </c>
      <c r="G6290" t="s">
        <v>28675</v>
      </c>
      <c r="H6290" t="s">
        <v>9998</v>
      </c>
      <c r="I6290" t="s">
        <v>28696</v>
      </c>
      <c r="J6290" t="s">
        <v>32789</v>
      </c>
      <c r="K6290" t="s">
        <v>37204</v>
      </c>
      <c r="M6290" t="s">
        <v>39733</v>
      </c>
      <c r="N6290" t="s">
        <v>41249</v>
      </c>
      <c r="O6290" t="s">
        <v>41250</v>
      </c>
      <c r="P6290">
        <v>0</v>
      </c>
      <c r="Q6290">
        <v>0</v>
      </c>
      <c r="R6290" t="s">
        <v>41256</v>
      </c>
      <c r="S6290" t="s">
        <v>41450</v>
      </c>
      <c r="T6290" t="s">
        <v>42754</v>
      </c>
      <c r="U6290" t="s">
        <v>48397</v>
      </c>
      <c r="W6290" t="s">
        <v>39733</v>
      </c>
      <c r="X6290" t="s">
        <v>41257</v>
      </c>
    </row>
    <row r="6291" spans="1:24">
      <c r="A6291">
        <f>HYPERLINK("https://www.philgeps.gov.ph/GEPSNONPILOT/Tender/SplashBidNoticeAbstractUI.aspx?menuIndex=3&amp;refID=7071935&amp;Result=3","7071935")</f>
        <v>0</v>
      </c>
      <c r="B6291" t="s">
        <v>2056</v>
      </c>
      <c r="C6291" t="s">
        <v>9379</v>
      </c>
      <c r="D6291" t="s">
        <v>16616</v>
      </c>
      <c r="E6291" t="s">
        <v>22237</v>
      </c>
      <c r="F6291" t="s">
        <v>28669</v>
      </c>
      <c r="G6291" t="s">
        <v>28676</v>
      </c>
      <c r="H6291" t="s">
        <v>9998</v>
      </c>
      <c r="I6291" t="s">
        <v>11593</v>
      </c>
      <c r="J6291" t="s">
        <v>29364</v>
      </c>
      <c r="K6291" t="s">
        <v>37243</v>
      </c>
      <c r="M6291" t="s">
        <v>39696</v>
      </c>
      <c r="N6291" t="s">
        <v>41249</v>
      </c>
      <c r="O6291" t="s">
        <v>41250</v>
      </c>
      <c r="P6291">
        <v>0</v>
      </c>
      <c r="Q6291">
        <v>3</v>
      </c>
      <c r="R6291" t="s">
        <v>41256</v>
      </c>
      <c r="S6291" t="s">
        <v>41450</v>
      </c>
      <c r="T6291" t="s">
        <v>42751</v>
      </c>
      <c r="U6291" t="s">
        <v>48271</v>
      </c>
      <c r="W6291" t="s">
        <v>39696</v>
      </c>
      <c r="X6291" t="s">
        <v>41257</v>
      </c>
    </row>
    <row r="6292" spans="1:24">
      <c r="A6292">
        <f>HYPERLINK("https://www.philgeps.gov.ph/GEPSNONPILOT/Tender/SplashBidNoticeAbstractUI.aspx?menuIndex=3&amp;refID=7072141&amp;Result=3","7072141")</f>
        <v>0</v>
      </c>
      <c r="B6292" t="s">
        <v>605</v>
      </c>
      <c r="C6292" t="s">
        <v>9380</v>
      </c>
      <c r="D6292" t="s">
        <v>16661</v>
      </c>
      <c r="E6292" t="s">
        <v>22238</v>
      </c>
      <c r="F6292" t="s">
        <v>28669</v>
      </c>
      <c r="G6292" t="s">
        <v>28675</v>
      </c>
      <c r="H6292" t="s">
        <v>9998</v>
      </c>
      <c r="I6292" t="s">
        <v>5213</v>
      </c>
      <c r="J6292" t="s">
        <v>30062</v>
      </c>
      <c r="K6292" t="s">
        <v>37204</v>
      </c>
      <c r="M6292" t="s">
        <v>38105</v>
      </c>
      <c r="N6292" t="s">
        <v>41249</v>
      </c>
      <c r="O6292" t="s">
        <v>41250</v>
      </c>
      <c r="P6292">
        <v>0</v>
      </c>
      <c r="Q6292">
        <v>3</v>
      </c>
      <c r="R6292" t="s">
        <v>41256</v>
      </c>
      <c r="S6292" t="s">
        <v>41450</v>
      </c>
      <c r="T6292" t="s">
        <v>42987</v>
      </c>
      <c r="U6292" t="s">
        <v>48398</v>
      </c>
      <c r="W6292" t="s">
        <v>38105</v>
      </c>
      <c r="X6292" t="s">
        <v>41257</v>
      </c>
    </row>
    <row r="6293" spans="1:24">
      <c r="A6293">
        <f>HYPERLINK("https://www.philgeps.gov.ph/GEPSNONPILOT/Tender/SplashBidNoticeAbstractUI.aspx?menuIndex=3&amp;refID=7072129&amp;Result=3","7072129")</f>
        <v>0</v>
      </c>
      <c r="B6293" t="s">
        <v>2092</v>
      </c>
      <c r="C6293" t="s">
        <v>9381</v>
      </c>
      <c r="D6293" t="s">
        <v>16611</v>
      </c>
      <c r="E6293" t="s">
        <v>22239</v>
      </c>
      <c r="F6293" t="s">
        <v>28669</v>
      </c>
      <c r="G6293" t="s">
        <v>28681</v>
      </c>
      <c r="H6293" t="s">
        <v>28685</v>
      </c>
      <c r="I6293" t="s">
        <v>28685</v>
      </c>
      <c r="J6293" t="s">
        <v>29593</v>
      </c>
      <c r="K6293" t="s">
        <v>37238</v>
      </c>
      <c r="M6293" t="s">
        <v>39734</v>
      </c>
      <c r="N6293" t="s">
        <v>41249</v>
      </c>
      <c r="O6293" t="s">
        <v>41250</v>
      </c>
      <c r="P6293">
        <v>0</v>
      </c>
      <c r="Q6293">
        <v>0</v>
      </c>
      <c r="R6293" t="s">
        <v>41256</v>
      </c>
      <c r="S6293" t="s">
        <v>41450</v>
      </c>
      <c r="T6293" t="s">
        <v>42717</v>
      </c>
      <c r="U6293" t="s">
        <v>48399</v>
      </c>
      <c r="W6293" t="s">
        <v>39734</v>
      </c>
      <c r="X6293" t="s">
        <v>41257</v>
      </c>
    </row>
    <row r="6294" spans="1:24">
      <c r="A6294">
        <f>HYPERLINK("https://www.philgeps.gov.ph/GEPSNONPILOT/Tender/SplashBidNoticeAbstractUI.aspx?menuIndex=3&amp;refID=7072154&amp;Result=3","7072154")</f>
        <v>0</v>
      </c>
      <c r="B6294" t="s">
        <v>2093</v>
      </c>
      <c r="C6294" t="s">
        <v>9382</v>
      </c>
      <c r="D6294" t="s">
        <v>16664</v>
      </c>
      <c r="E6294" t="s">
        <v>17140</v>
      </c>
      <c r="F6294" t="s">
        <v>28669</v>
      </c>
      <c r="G6294" t="s">
        <v>28675</v>
      </c>
      <c r="H6294" t="s">
        <v>28686</v>
      </c>
      <c r="I6294" t="s">
        <v>28689</v>
      </c>
      <c r="J6294" t="s">
        <v>32790</v>
      </c>
      <c r="K6294" t="s">
        <v>37205</v>
      </c>
      <c r="M6294" t="s">
        <v>39735</v>
      </c>
      <c r="N6294" t="s">
        <v>41249</v>
      </c>
      <c r="O6294" t="s">
        <v>41250</v>
      </c>
      <c r="P6294">
        <v>0</v>
      </c>
      <c r="Q6294">
        <v>0</v>
      </c>
      <c r="R6294" t="s">
        <v>41256</v>
      </c>
      <c r="S6294" t="s">
        <v>41450</v>
      </c>
      <c r="T6294" t="s">
        <v>42769</v>
      </c>
      <c r="U6294" t="s">
        <v>48400</v>
      </c>
      <c r="W6294" t="s">
        <v>39735</v>
      </c>
      <c r="X6294" t="s">
        <v>41257</v>
      </c>
    </row>
    <row r="6295" spans="1:24">
      <c r="A6295">
        <f>HYPERLINK("https://www.philgeps.gov.ph/GEPSNONPILOT/Tender/SplashBidNoticeAbstractUI.aspx?menuIndex=3&amp;refID=7072124&amp;Result=3","7072124")</f>
        <v>0</v>
      </c>
      <c r="B6295" t="s">
        <v>2094</v>
      </c>
      <c r="C6295" t="s">
        <v>9383</v>
      </c>
      <c r="D6295" t="s">
        <v>16619</v>
      </c>
      <c r="E6295" t="s">
        <v>16820</v>
      </c>
      <c r="F6295" t="s">
        <v>28669</v>
      </c>
      <c r="G6295" t="s">
        <v>28677</v>
      </c>
      <c r="H6295" t="s">
        <v>9998</v>
      </c>
      <c r="I6295" t="s">
        <v>7352</v>
      </c>
      <c r="J6295" t="s">
        <v>32791</v>
      </c>
      <c r="K6295" t="s">
        <v>37208</v>
      </c>
      <c r="M6295" t="s">
        <v>39736</v>
      </c>
      <c r="N6295" t="s">
        <v>41249</v>
      </c>
      <c r="O6295" t="s">
        <v>41250</v>
      </c>
      <c r="P6295">
        <v>0</v>
      </c>
      <c r="Q6295">
        <v>0</v>
      </c>
      <c r="R6295" t="s">
        <v>41256</v>
      </c>
      <c r="S6295" t="s">
        <v>41450</v>
      </c>
      <c r="T6295" t="s">
        <v>42673</v>
      </c>
      <c r="U6295" t="s">
        <v>48401</v>
      </c>
      <c r="W6295" t="s">
        <v>39736</v>
      </c>
      <c r="X6295" t="s">
        <v>41257</v>
      </c>
    </row>
    <row r="6296" spans="1:24">
      <c r="A6296">
        <f>HYPERLINK("https://www.philgeps.gov.ph/GEPSNONPILOT/Tender/SplashBidNoticeAbstractUI.aspx?menuIndex=3&amp;refID=7072024&amp;Result=3","7072024")</f>
        <v>0</v>
      </c>
      <c r="B6296" t="s">
        <v>2095</v>
      </c>
      <c r="C6296" t="s">
        <v>9384</v>
      </c>
      <c r="D6296" t="s">
        <v>16683</v>
      </c>
      <c r="E6296" t="s">
        <v>22240</v>
      </c>
      <c r="F6296" t="s">
        <v>28669</v>
      </c>
      <c r="G6296" t="s">
        <v>28676</v>
      </c>
      <c r="H6296" t="s">
        <v>9998</v>
      </c>
      <c r="I6296" t="s">
        <v>6128</v>
      </c>
      <c r="J6296" t="s">
        <v>32792</v>
      </c>
      <c r="K6296" t="s">
        <v>37210</v>
      </c>
      <c r="M6296" t="s">
        <v>39737</v>
      </c>
      <c r="N6296" t="s">
        <v>41249</v>
      </c>
      <c r="O6296" t="s">
        <v>41250</v>
      </c>
      <c r="P6296">
        <v>0</v>
      </c>
      <c r="Q6296">
        <v>2</v>
      </c>
      <c r="R6296" t="s">
        <v>41256</v>
      </c>
      <c r="S6296" t="s">
        <v>41450</v>
      </c>
      <c r="T6296" t="s">
        <v>42701</v>
      </c>
      <c r="U6296" t="s">
        <v>48402</v>
      </c>
      <c r="W6296" t="s">
        <v>39737</v>
      </c>
      <c r="X6296" t="s">
        <v>41257</v>
      </c>
    </row>
    <row r="6297" spans="1:24">
      <c r="A6297">
        <f>HYPERLINK("https://www.philgeps.gov.ph/GEPSNONPILOT/Tender/SplashBidNoticeAbstractUI.aspx?menuIndex=3&amp;refID=7072030&amp;Result=3","7072030")</f>
        <v>0</v>
      </c>
      <c r="B6297" t="s">
        <v>2096</v>
      </c>
      <c r="C6297" t="s">
        <v>9385</v>
      </c>
      <c r="D6297" t="s">
        <v>16608</v>
      </c>
      <c r="E6297" t="s">
        <v>22241</v>
      </c>
      <c r="F6297" t="s">
        <v>28669</v>
      </c>
      <c r="G6297" t="s">
        <v>28676</v>
      </c>
      <c r="H6297" t="s">
        <v>9998</v>
      </c>
      <c r="I6297" t="s">
        <v>5286</v>
      </c>
      <c r="J6297" t="s">
        <v>32793</v>
      </c>
      <c r="K6297" t="s">
        <v>37204</v>
      </c>
      <c r="M6297" t="s">
        <v>39738</v>
      </c>
      <c r="N6297" t="s">
        <v>41249</v>
      </c>
      <c r="O6297" t="s">
        <v>41250</v>
      </c>
      <c r="Q6297">
        <v>3</v>
      </c>
      <c r="R6297" t="s">
        <v>41256</v>
      </c>
      <c r="S6297" t="s">
        <v>41460</v>
      </c>
      <c r="T6297" t="s">
        <v>42711</v>
      </c>
      <c r="U6297" t="s">
        <v>48403</v>
      </c>
      <c r="W6297" t="s">
        <v>39738</v>
      </c>
      <c r="X6297" t="s">
        <v>41257</v>
      </c>
    </row>
    <row r="6298" spans="1:24">
      <c r="A6298">
        <f>HYPERLINK("https://www.philgeps.gov.ph/GEPSNONPILOT/Tender/SplashBidNoticeAbstractUI.aspx?menuIndex=3&amp;refID=7072123&amp;Result=3","7072123")</f>
        <v>0</v>
      </c>
      <c r="B6298" t="s">
        <v>252</v>
      </c>
      <c r="C6298" t="s">
        <v>9386</v>
      </c>
      <c r="D6298" t="s">
        <v>16629</v>
      </c>
      <c r="E6298" t="s">
        <v>22242</v>
      </c>
      <c r="F6298" t="s">
        <v>28669</v>
      </c>
      <c r="G6298" t="s">
        <v>28675</v>
      </c>
      <c r="H6298" t="s">
        <v>9998</v>
      </c>
      <c r="I6298" t="s">
        <v>5033</v>
      </c>
      <c r="J6298" t="s">
        <v>30162</v>
      </c>
      <c r="K6298" t="s">
        <v>37255</v>
      </c>
      <c r="M6298" t="s">
        <v>37730</v>
      </c>
      <c r="N6298" t="s">
        <v>41249</v>
      </c>
      <c r="O6298" t="s">
        <v>41250</v>
      </c>
      <c r="P6298">
        <v>0</v>
      </c>
      <c r="Q6298">
        <v>3</v>
      </c>
      <c r="R6298" t="s">
        <v>41256</v>
      </c>
      <c r="S6298" t="s">
        <v>41450</v>
      </c>
      <c r="T6298" t="s">
        <v>42808</v>
      </c>
      <c r="U6298" t="s">
        <v>48404</v>
      </c>
      <c r="V6298" t="s">
        <v>54964</v>
      </c>
      <c r="W6298" t="s">
        <v>37730</v>
      </c>
      <c r="X6298" t="s">
        <v>41257</v>
      </c>
    </row>
    <row r="6299" spans="1:24">
      <c r="A6299">
        <f>HYPERLINK("https://www.philgeps.gov.ph/GEPSNONPILOT/Tender/SplashBidNoticeAbstractUI.aspx?menuIndex=3&amp;refID=7072113&amp;Result=3","7072113")</f>
        <v>0</v>
      </c>
      <c r="B6299" t="s">
        <v>2097</v>
      </c>
      <c r="C6299" t="s">
        <v>9387</v>
      </c>
      <c r="D6299" t="s">
        <v>16657</v>
      </c>
      <c r="E6299" t="s">
        <v>22243</v>
      </c>
      <c r="F6299" t="s">
        <v>28669</v>
      </c>
      <c r="G6299" t="s">
        <v>28675</v>
      </c>
      <c r="H6299" t="s">
        <v>9998</v>
      </c>
      <c r="I6299" t="s">
        <v>28689</v>
      </c>
      <c r="J6299" t="s">
        <v>32794</v>
      </c>
      <c r="K6299" t="s">
        <v>37206</v>
      </c>
      <c r="M6299" t="s">
        <v>39739</v>
      </c>
      <c r="N6299" t="s">
        <v>41249</v>
      </c>
      <c r="O6299" t="s">
        <v>41250</v>
      </c>
      <c r="P6299">
        <v>0</v>
      </c>
      <c r="Q6299">
        <v>2</v>
      </c>
      <c r="R6299" t="s">
        <v>41256</v>
      </c>
      <c r="S6299" t="s">
        <v>41450</v>
      </c>
      <c r="T6299" t="s">
        <v>42694</v>
      </c>
      <c r="U6299" t="s">
        <v>48405</v>
      </c>
      <c r="W6299" t="s">
        <v>39739</v>
      </c>
      <c r="X6299" t="s">
        <v>41257</v>
      </c>
    </row>
    <row r="6300" spans="1:24">
      <c r="A6300">
        <f>HYPERLINK("https://www.philgeps.gov.ph/GEPSNONPILOT/Tender/SplashBidNoticeAbstractUI.aspx?menuIndex=3&amp;refID=7072189&amp;Result=3","7072189")</f>
        <v>0</v>
      </c>
      <c r="B6300" t="s">
        <v>2069</v>
      </c>
      <c r="C6300" t="s">
        <v>9388</v>
      </c>
      <c r="D6300" t="s">
        <v>16678</v>
      </c>
      <c r="E6300" t="s">
        <v>22244</v>
      </c>
      <c r="F6300" t="s">
        <v>28669</v>
      </c>
      <c r="G6300" t="s">
        <v>28675</v>
      </c>
      <c r="H6300" t="s">
        <v>9998</v>
      </c>
      <c r="I6300" t="s">
        <v>28708</v>
      </c>
      <c r="J6300" t="s">
        <v>32795</v>
      </c>
      <c r="K6300" t="s">
        <v>37206</v>
      </c>
      <c r="M6300" t="s">
        <v>39710</v>
      </c>
      <c r="N6300" t="s">
        <v>41249</v>
      </c>
      <c r="O6300" t="s">
        <v>41250</v>
      </c>
      <c r="P6300">
        <v>0</v>
      </c>
      <c r="Q6300">
        <v>1</v>
      </c>
      <c r="R6300" t="s">
        <v>41256</v>
      </c>
      <c r="S6300" t="s">
        <v>41450</v>
      </c>
      <c r="T6300" t="s">
        <v>42808</v>
      </c>
      <c r="U6300" t="s">
        <v>48406</v>
      </c>
      <c r="W6300" t="s">
        <v>39710</v>
      </c>
      <c r="X6300" t="s">
        <v>41257</v>
      </c>
    </row>
    <row r="6301" spans="1:24">
      <c r="A6301">
        <f>HYPERLINK("https://www.philgeps.gov.ph/GEPSNONPILOT/Tender/SplashBidNoticeAbstractUI.aspx?menuIndex=3&amp;refID=7072195&amp;Result=3","7072195")</f>
        <v>0</v>
      </c>
      <c r="B6301" t="s">
        <v>1626</v>
      </c>
      <c r="C6301" t="s">
        <v>9389</v>
      </c>
      <c r="E6301" t="s">
        <v>22245</v>
      </c>
      <c r="F6301" t="s">
        <v>28669</v>
      </c>
      <c r="G6301" t="s">
        <v>28678</v>
      </c>
      <c r="H6301" t="s">
        <v>9998</v>
      </c>
      <c r="I6301" t="s">
        <v>3718</v>
      </c>
      <c r="J6301" t="s">
        <v>28879</v>
      </c>
      <c r="K6301" t="s">
        <v>37209</v>
      </c>
      <c r="M6301" t="s">
        <v>39212</v>
      </c>
      <c r="N6301" t="s">
        <v>41249</v>
      </c>
      <c r="O6301" t="s">
        <v>41250</v>
      </c>
      <c r="P6301">
        <v>0</v>
      </c>
      <c r="Q6301">
        <v>6</v>
      </c>
      <c r="R6301" t="s">
        <v>41256</v>
      </c>
      <c r="S6301" t="s">
        <v>41450</v>
      </c>
      <c r="T6301" t="s">
        <v>42938</v>
      </c>
      <c r="U6301" t="s">
        <v>48233</v>
      </c>
      <c r="W6301" t="s">
        <v>39212</v>
      </c>
      <c r="X6301" t="s">
        <v>41257</v>
      </c>
    </row>
    <row r="6302" spans="1:24">
      <c r="A6302">
        <f>HYPERLINK("https://www.philgeps.gov.ph/GEPSNONPILOT/Tender/SplashBidNoticeAbstractUI.aspx?menuIndex=3&amp;refID=7072192&amp;Result=3","7072192")</f>
        <v>0</v>
      </c>
      <c r="B6302" t="s">
        <v>2098</v>
      </c>
      <c r="C6302" t="s">
        <v>9390</v>
      </c>
      <c r="D6302" t="s">
        <v>16618</v>
      </c>
      <c r="E6302" t="s">
        <v>22246</v>
      </c>
      <c r="F6302" t="s">
        <v>28669</v>
      </c>
      <c r="G6302" t="s">
        <v>28675</v>
      </c>
      <c r="H6302" t="s">
        <v>28686</v>
      </c>
      <c r="I6302" t="s">
        <v>28689</v>
      </c>
      <c r="J6302" t="s">
        <v>32796</v>
      </c>
      <c r="K6302" t="s">
        <v>37212</v>
      </c>
      <c r="L6302" t="s">
        <v>2098</v>
      </c>
      <c r="M6302" t="s">
        <v>39740</v>
      </c>
      <c r="N6302" t="s">
        <v>41249</v>
      </c>
      <c r="O6302" t="s">
        <v>41250</v>
      </c>
      <c r="P6302">
        <v>0</v>
      </c>
      <c r="Q6302">
        <v>3</v>
      </c>
      <c r="R6302" t="s">
        <v>41256</v>
      </c>
      <c r="S6302" t="s">
        <v>41450</v>
      </c>
      <c r="T6302" t="s">
        <v>42911</v>
      </c>
      <c r="U6302" t="s">
        <v>48407</v>
      </c>
      <c r="V6302" t="s">
        <v>54965</v>
      </c>
      <c r="W6302" t="s">
        <v>39740</v>
      </c>
      <c r="X6302" t="s">
        <v>41257</v>
      </c>
    </row>
    <row r="6303" spans="1:24">
      <c r="A6303">
        <f>HYPERLINK("https://www.philgeps.gov.ph/GEPSNONPILOT/Tender/SplashBidNoticeAbstractUI.aspx?menuIndex=3&amp;refID=7072191&amp;Result=3","7072191")</f>
        <v>0</v>
      </c>
      <c r="B6303" t="s">
        <v>1626</v>
      </c>
      <c r="C6303" t="s">
        <v>9391</v>
      </c>
      <c r="E6303" t="s">
        <v>22247</v>
      </c>
      <c r="F6303" t="s">
        <v>28669</v>
      </c>
      <c r="G6303" t="s">
        <v>28678</v>
      </c>
      <c r="H6303" t="s">
        <v>9998</v>
      </c>
      <c r="I6303" t="s">
        <v>3718</v>
      </c>
      <c r="J6303" t="s">
        <v>28826</v>
      </c>
      <c r="K6303" t="s">
        <v>37209</v>
      </c>
      <c r="M6303" t="s">
        <v>39212</v>
      </c>
      <c r="N6303" t="s">
        <v>41249</v>
      </c>
      <c r="O6303" t="s">
        <v>41250</v>
      </c>
      <c r="P6303">
        <v>0</v>
      </c>
      <c r="Q6303">
        <v>5</v>
      </c>
      <c r="R6303" t="s">
        <v>41256</v>
      </c>
      <c r="S6303" t="s">
        <v>41450</v>
      </c>
      <c r="T6303" t="s">
        <v>42938</v>
      </c>
      <c r="U6303" t="s">
        <v>48233</v>
      </c>
      <c r="W6303" t="s">
        <v>39212</v>
      </c>
      <c r="X6303" t="s">
        <v>41257</v>
      </c>
    </row>
    <row r="6304" spans="1:24">
      <c r="A6304">
        <f>HYPERLINK("https://www.philgeps.gov.ph/GEPSNONPILOT/Tender/SplashBidNoticeAbstractUI.aspx?menuIndex=3&amp;refID=7072190&amp;Result=3","7072190")</f>
        <v>0</v>
      </c>
      <c r="B6304" t="s">
        <v>1626</v>
      </c>
      <c r="C6304" t="s">
        <v>9392</v>
      </c>
      <c r="E6304" t="s">
        <v>22248</v>
      </c>
      <c r="F6304" t="s">
        <v>28669</v>
      </c>
      <c r="G6304" t="s">
        <v>28676</v>
      </c>
      <c r="H6304" t="s">
        <v>9998</v>
      </c>
      <c r="I6304" t="s">
        <v>28693</v>
      </c>
      <c r="J6304" t="s">
        <v>28845</v>
      </c>
      <c r="K6304" t="s">
        <v>37209</v>
      </c>
      <c r="M6304" t="s">
        <v>39212</v>
      </c>
      <c r="N6304" t="s">
        <v>41249</v>
      </c>
      <c r="O6304" t="s">
        <v>41250</v>
      </c>
      <c r="P6304">
        <v>0</v>
      </c>
      <c r="Q6304">
        <v>11</v>
      </c>
      <c r="R6304" t="s">
        <v>41256</v>
      </c>
      <c r="S6304" t="s">
        <v>41450</v>
      </c>
      <c r="T6304" t="s">
        <v>42938</v>
      </c>
      <c r="U6304" t="s">
        <v>48233</v>
      </c>
      <c r="W6304" t="s">
        <v>39212</v>
      </c>
      <c r="X6304" t="s">
        <v>41257</v>
      </c>
    </row>
    <row r="6305" spans="1:24">
      <c r="A6305">
        <f>HYPERLINK("https://www.philgeps.gov.ph/GEPSNONPILOT/Tender/SplashBidNoticeAbstractUI.aspx?menuIndex=3&amp;refID=7072188&amp;Result=3","7072188")</f>
        <v>0</v>
      </c>
      <c r="B6305" t="s">
        <v>1551</v>
      </c>
      <c r="C6305" t="s">
        <v>9393</v>
      </c>
      <c r="D6305" t="s">
        <v>16636</v>
      </c>
      <c r="E6305" t="s">
        <v>22249</v>
      </c>
      <c r="F6305" t="s">
        <v>28669</v>
      </c>
      <c r="G6305" t="s">
        <v>28675</v>
      </c>
      <c r="H6305" t="s">
        <v>28686</v>
      </c>
      <c r="I6305" t="s">
        <v>28689</v>
      </c>
      <c r="J6305" t="s">
        <v>32797</v>
      </c>
      <c r="K6305" t="s">
        <v>37213</v>
      </c>
      <c r="M6305" t="s">
        <v>39128</v>
      </c>
      <c r="N6305" t="s">
        <v>41249</v>
      </c>
      <c r="O6305" t="s">
        <v>41250</v>
      </c>
      <c r="P6305">
        <v>0</v>
      </c>
      <c r="Q6305">
        <v>0</v>
      </c>
      <c r="R6305" t="s">
        <v>41256</v>
      </c>
      <c r="S6305" t="s">
        <v>41450</v>
      </c>
      <c r="T6305" t="s">
        <v>42808</v>
      </c>
      <c r="U6305" t="s">
        <v>48408</v>
      </c>
      <c r="V6305" t="s">
        <v>54718</v>
      </c>
      <c r="W6305" t="s">
        <v>39128</v>
      </c>
      <c r="X6305" t="s">
        <v>41257</v>
      </c>
    </row>
    <row r="6306" spans="1:24">
      <c r="A6306">
        <f>HYPERLINK("https://www.philgeps.gov.ph/GEPSNONPILOT/Tender/SplashBidNoticeAbstractUI.aspx?menuIndex=3&amp;refID=7072144&amp;Result=3","7072144")</f>
        <v>0</v>
      </c>
      <c r="B6306" t="s">
        <v>278</v>
      </c>
      <c r="C6306" t="s">
        <v>9394</v>
      </c>
      <c r="D6306" t="s">
        <v>16608</v>
      </c>
      <c r="E6306" t="s">
        <v>22250</v>
      </c>
      <c r="F6306" t="s">
        <v>28669</v>
      </c>
      <c r="G6306" t="s">
        <v>28675</v>
      </c>
      <c r="H6306" t="s">
        <v>9998</v>
      </c>
      <c r="I6306" t="s">
        <v>28693</v>
      </c>
      <c r="J6306" t="s">
        <v>32798</v>
      </c>
      <c r="K6306" t="s">
        <v>37206</v>
      </c>
      <c r="M6306" t="s">
        <v>39741</v>
      </c>
      <c r="N6306" t="s">
        <v>41249</v>
      </c>
      <c r="O6306" t="s">
        <v>41250</v>
      </c>
      <c r="P6306">
        <v>0</v>
      </c>
      <c r="Q6306">
        <v>4</v>
      </c>
      <c r="R6306" t="s">
        <v>41256</v>
      </c>
      <c r="S6306" t="s">
        <v>41450</v>
      </c>
      <c r="T6306" t="s">
        <v>42792</v>
      </c>
      <c r="U6306" t="s">
        <v>48409</v>
      </c>
      <c r="W6306" t="s">
        <v>39741</v>
      </c>
      <c r="X6306" t="s">
        <v>41257</v>
      </c>
    </row>
    <row r="6307" spans="1:24">
      <c r="A6307">
        <f>HYPERLINK("https://www.philgeps.gov.ph/GEPSNONPILOT/Tender/SplashBidNoticeAbstractUI.aspx?menuIndex=3&amp;refID=7072186&amp;Result=3","7072186")</f>
        <v>0</v>
      </c>
      <c r="B6307" t="s">
        <v>1626</v>
      </c>
      <c r="C6307" t="s">
        <v>9395</v>
      </c>
      <c r="E6307" t="s">
        <v>22251</v>
      </c>
      <c r="F6307" t="s">
        <v>28669</v>
      </c>
      <c r="G6307" t="s">
        <v>28676</v>
      </c>
      <c r="H6307" t="s">
        <v>9998</v>
      </c>
      <c r="I6307" t="s">
        <v>28693</v>
      </c>
      <c r="J6307" t="s">
        <v>32799</v>
      </c>
      <c r="K6307" t="s">
        <v>37209</v>
      </c>
      <c r="M6307" t="s">
        <v>39212</v>
      </c>
      <c r="N6307" t="s">
        <v>41249</v>
      </c>
      <c r="O6307" t="s">
        <v>41250</v>
      </c>
      <c r="P6307">
        <v>0</v>
      </c>
      <c r="Q6307">
        <v>17</v>
      </c>
      <c r="R6307" t="s">
        <v>41256</v>
      </c>
      <c r="S6307" t="s">
        <v>41450</v>
      </c>
      <c r="T6307" t="s">
        <v>42938</v>
      </c>
      <c r="U6307" t="s">
        <v>48233</v>
      </c>
      <c r="W6307" t="s">
        <v>39212</v>
      </c>
      <c r="X6307" t="s">
        <v>41257</v>
      </c>
    </row>
    <row r="6308" spans="1:24">
      <c r="A6308">
        <f>HYPERLINK("https://www.philgeps.gov.ph/GEPSNONPILOT/Tender/SplashBidNoticeAbstractUI.aspx?menuIndex=3&amp;refID=7072185&amp;Result=3","7072185")</f>
        <v>0</v>
      </c>
      <c r="B6308" t="s">
        <v>1626</v>
      </c>
      <c r="C6308" t="s">
        <v>9396</v>
      </c>
      <c r="E6308" t="s">
        <v>22252</v>
      </c>
      <c r="F6308" t="s">
        <v>28669</v>
      </c>
      <c r="G6308" t="s">
        <v>28676</v>
      </c>
      <c r="H6308" t="s">
        <v>9998</v>
      </c>
      <c r="I6308" t="s">
        <v>28693</v>
      </c>
      <c r="J6308" t="s">
        <v>29538</v>
      </c>
      <c r="K6308" t="s">
        <v>37209</v>
      </c>
      <c r="M6308" t="s">
        <v>39212</v>
      </c>
      <c r="N6308" t="s">
        <v>41249</v>
      </c>
      <c r="O6308" t="s">
        <v>41250</v>
      </c>
      <c r="P6308">
        <v>0</v>
      </c>
      <c r="Q6308">
        <v>14</v>
      </c>
      <c r="R6308" t="s">
        <v>41256</v>
      </c>
      <c r="S6308" t="s">
        <v>41450</v>
      </c>
      <c r="T6308" t="s">
        <v>42938</v>
      </c>
      <c r="U6308" t="s">
        <v>48233</v>
      </c>
      <c r="W6308" t="s">
        <v>39212</v>
      </c>
      <c r="X6308" t="s">
        <v>41257</v>
      </c>
    </row>
    <row r="6309" spans="1:24">
      <c r="A6309">
        <f>HYPERLINK("https://www.philgeps.gov.ph/GEPSNONPILOT/Tender/SplashBidNoticeAbstractUI.aspx?menuIndex=3&amp;refID=7072183&amp;Result=3","7072183")</f>
        <v>0</v>
      </c>
      <c r="B6309" t="s">
        <v>1626</v>
      </c>
      <c r="C6309" t="s">
        <v>9397</v>
      </c>
      <c r="E6309" t="s">
        <v>22253</v>
      </c>
      <c r="F6309" t="s">
        <v>28669</v>
      </c>
      <c r="G6309" t="s">
        <v>28676</v>
      </c>
      <c r="H6309" t="s">
        <v>9998</v>
      </c>
      <c r="I6309" t="s">
        <v>28693</v>
      </c>
      <c r="J6309" t="s">
        <v>28914</v>
      </c>
      <c r="K6309" t="s">
        <v>37209</v>
      </c>
      <c r="M6309" t="s">
        <v>39212</v>
      </c>
      <c r="N6309" t="s">
        <v>41249</v>
      </c>
      <c r="O6309" t="s">
        <v>41250</v>
      </c>
      <c r="P6309">
        <v>0</v>
      </c>
      <c r="Q6309">
        <v>15</v>
      </c>
      <c r="R6309" t="s">
        <v>41256</v>
      </c>
      <c r="S6309" t="s">
        <v>41450</v>
      </c>
      <c r="T6309" t="s">
        <v>42938</v>
      </c>
      <c r="U6309" t="s">
        <v>48233</v>
      </c>
      <c r="W6309" t="s">
        <v>39212</v>
      </c>
      <c r="X6309" t="s">
        <v>41257</v>
      </c>
    </row>
    <row r="6310" spans="1:24">
      <c r="A6310">
        <f>HYPERLINK("https://www.philgeps.gov.ph/GEPSNONPILOT/Tender/SplashBidNoticeAbstractUI.aspx?menuIndex=3&amp;refID=7072180&amp;Result=3","7072180")</f>
        <v>0</v>
      </c>
      <c r="B6310" t="s">
        <v>1626</v>
      </c>
      <c r="C6310" t="s">
        <v>9398</v>
      </c>
      <c r="E6310" t="s">
        <v>22254</v>
      </c>
      <c r="F6310" t="s">
        <v>28669</v>
      </c>
      <c r="G6310" t="s">
        <v>28676</v>
      </c>
      <c r="H6310" t="s">
        <v>9998</v>
      </c>
      <c r="I6310" t="s">
        <v>28693</v>
      </c>
      <c r="J6310" t="s">
        <v>28826</v>
      </c>
      <c r="K6310" t="s">
        <v>37209</v>
      </c>
      <c r="M6310" t="s">
        <v>39212</v>
      </c>
      <c r="N6310" t="s">
        <v>41249</v>
      </c>
      <c r="O6310" t="s">
        <v>41250</v>
      </c>
      <c r="P6310">
        <v>0</v>
      </c>
      <c r="Q6310">
        <v>16</v>
      </c>
      <c r="R6310" t="s">
        <v>41256</v>
      </c>
      <c r="S6310" t="s">
        <v>41450</v>
      </c>
      <c r="T6310" t="s">
        <v>42938</v>
      </c>
      <c r="U6310" t="s">
        <v>48233</v>
      </c>
      <c r="W6310" t="s">
        <v>39212</v>
      </c>
      <c r="X6310" t="s">
        <v>41257</v>
      </c>
    </row>
    <row r="6311" spans="1:24">
      <c r="A6311">
        <f>HYPERLINK("https://www.philgeps.gov.ph/GEPSNONPILOT/Tender/SplashBidNoticeAbstractUI.aspx?menuIndex=3&amp;refID=7072127&amp;Result=3","7072127")</f>
        <v>0</v>
      </c>
      <c r="B6311" t="s">
        <v>1995</v>
      </c>
      <c r="C6311" t="s">
        <v>9399</v>
      </c>
      <c r="D6311" t="s">
        <v>16626</v>
      </c>
      <c r="E6311" t="s">
        <v>22255</v>
      </c>
      <c r="F6311" t="s">
        <v>28669</v>
      </c>
      <c r="G6311" t="s">
        <v>28676</v>
      </c>
      <c r="H6311" t="s">
        <v>9998</v>
      </c>
      <c r="I6311" t="s">
        <v>28758</v>
      </c>
      <c r="J6311" t="s">
        <v>29088</v>
      </c>
      <c r="K6311" t="s">
        <v>37206</v>
      </c>
      <c r="M6311" t="s">
        <v>39631</v>
      </c>
      <c r="N6311" t="s">
        <v>41249</v>
      </c>
      <c r="O6311" t="s">
        <v>41250</v>
      </c>
      <c r="P6311">
        <v>0</v>
      </c>
      <c r="Q6311">
        <v>2</v>
      </c>
      <c r="R6311" t="s">
        <v>41256</v>
      </c>
      <c r="S6311" t="s">
        <v>41450</v>
      </c>
      <c r="T6311" t="s">
        <v>42748</v>
      </c>
      <c r="U6311" t="s">
        <v>48410</v>
      </c>
      <c r="W6311" t="s">
        <v>39631</v>
      </c>
      <c r="X6311" t="s">
        <v>41257</v>
      </c>
    </row>
    <row r="6312" spans="1:24">
      <c r="A6312">
        <f>HYPERLINK("https://www.philgeps.gov.ph/GEPSNONPILOT/Tender/SplashBidNoticeAbstractUI.aspx?menuIndex=3&amp;refID=7072178&amp;Result=3","7072178")</f>
        <v>0</v>
      </c>
      <c r="B6312" t="s">
        <v>1626</v>
      </c>
      <c r="C6312" t="s">
        <v>9400</v>
      </c>
      <c r="E6312" t="s">
        <v>22256</v>
      </c>
      <c r="F6312" t="s">
        <v>28669</v>
      </c>
      <c r="G6312" t="s">
        <v>28676</v>
      </c>
      <c r="H6312" t="s">
        <v>9998</v>
      </c>
      <c r="I6312" t="s">
        <v>28693</v>
      </c>
      <c r="J6312" t="s">
        <v>29088</v>
      </c>
      <c r="K6312" t="s">
        <v>37209</v>
      </c>
      <c r="M6312" t="s">
        <v>39212</v>
      </c>
      <c r="N6312" t="s">
        <v>41249</v>
      </c>
      <c r="O6312" t="s">
        <v>41250</v>
      </c>
      <c r="P6312">
        <v>0</v>
      </c>
      <c r="Q6312">
        <v>13</v>
      </c>
      <c r="R6312" t="s">
        <v>41256</v>
      </c>
      <c r="S6312" t="s">
        <v>41450</v>
      </c>
      <c r="T6312" t="s">
        <v>42938</v>
      </c>
      <c r="U6312" t="s">
        <v>48233</v>
      </c>
      <c r="W6312" t="s">
        <v>39212</v>
      </c>
      <c r="X6312" t="s">
        <v>41257</v>
      </c>
    </row>
    <row r="6313" spans="1:24">
      <c r="A6313">
        <f>HYPERLINK("https://www.philgeps.gov.ph/GEPSNONPILOT/Tender/SplashBidNoticeAbstractUI.aspx?menuIndex=3&amp;refID=7072177&amp;Result=3","7072177")</f>
        <v>0</v>
      </c>
      <c r="B6313" t="s">
        <v>1568</v>
      </c>
      <c r="C6313" t="s">
        <v>9401</v>
      </c>
      <c r="D6313" t="s">
        <v>16608</v>
      </c>
      <c r="E6313" t="s">
        <v>22257</v>
      </c>
      <c r="F6313" t="s">
        <v>28669</v>
      </c>
      <c r="G6313" t="s">
        <v>28677</v>
      </c>
      <c r="H6313" t="s">
        <v>9998</v>
      </c>
      <c r="I6313" t="s">
        <v>7352</v>
      </c>
      <c r="J6313" t="s">
        <v>32800</v>
      </c>
      <c r="K6313" t="s">
        <v>37209</v>
      </c>
      <c r="M6313" t="s">
        <v>39167</v>
      </c>
      <c r="N6313" t="s">
        <v>41249</v>
      </c>
      <c r="O6313" t="s">
        <v>41250</v>
      </c>
      <c r="P6313">
        <v>0</v>
      </c>
      <c r="Q6313">
        <v>5</v>
      </c>
      <c r="R6313" t="s">
        <v>41256</v>
      </c>
      <c r="S6313" t="s">
        <v>41450</v>
      </c>
      <c r="T6313" t="s">
        <v>42811</v>
      </c>
      <c r="U6313" t="s">
        <v>48411</v>
      </c>
      <c r="W6313" t="s">
        <v>39167</v>
      </c>
      <c r="X6313" t="s">
        <v>41257</v>
      </c>
    </row>
    <row r="6314" spans="1:24">
      <c r="A6314">
        <f>HYPERLINK("https://www.philgeps.gov.ph/GEPSNONPILOT/Tender/SplashBidNoticeAbstractUI.aspx?menuIndex=3&amp;refID=7072175&amp;Result=3","7072175")</f>
        <v>0</v>
      </c>
      <c r="B6314" t="s">
        <v>1626</v>
      </c>
      <c r="C6314" t="s">
        <v>9402</v>
      </c>
      <c r="E6314" t="s">
        <v>22258</v>
      </c>
      <c r="F6314" t="s">
        <v>28669</v>
      </c>
      <c r="G6314" t="s">
        <v>28676</v>
      </c>
      <c r="H6314" t="s">
        <v>9998</v>
      </c>
      <c r="I6314" t="s">
        <v>28693</v>
      </c>
      <c r="J6314" t="s">
        <v>29104</v>
      </c>
      <c r="K6314" t="s">
        <v>37209</v>
      </c>
      <c r="M6314" t="s">
        <v>39212</v>
      </c>
      <c r="N6314" t="s">
        <v>41249</v>
      </c>
      <c r="O6314" t="s">
        <v>41250</v>
      </c>
      <c r="P6314">
        <v>0</v>
      </c>
      <c r="Q6314">
        <v>7</v>
      </c>
      <c r="R6314" t="s">
        <v>41256</v>
      </c>
      <c r="S6314" t="s">
        <v>41450</v>
      </c>
      <c r="T6314" t="s">
        <v>42938</v>
      </c>
      <c r="U6314" t="s">
        <v>48233</v>
      </c>
      <c r="W6314" t="s">
        <v>39212</v>
      </c>
      <c r="X6314" t="s">
        <v>41257</v>
      </c>
    </row>
    <row r="6315" spans="1:24">
      <c r="A6315">
        <f>HYPERLINK("https://www.philgeps.gov.ph/GEPSNONPILOT/Tender/SplashBidNoticeAbstractUI.aspx?menuIndex=3&amp;refID=7072046&amp;Result=3","7072046")</f>
        <v>0</v>
      </c>
      <c r="B6315" t="s">
        <v>2082</v>
      </c>
      <c r="C6315" t="s">
        <v>9403</v>
      </c>
      <c r="D6315" t="s">
        <v>16608</v>
      </c>
      <c r="E6315" t="s">
        <v>22214</v>
      </c>
      <c r="F6315" t="s">
        <v>28669</v>
      </c>
      <c r="G6315" t="s">
        <v>28676</v>
      </c>
      <c r="H6315" t="s">
        <v>9998</v>
      </c>
      <c r="I6315" t="s">
        <v>28731</v>
      </c>
      <c r="J6315" t="s">
        <v>32801</v>
      </c>
      <c r="K6315" t="s">
        <v>37205</v>
      </c>
      <c r="M6315" t="s">
        <v>39723</v>
      </c>
      <c r="N6315" t="s">
        <v>41249</v>
      </c>
      <c r="O6315" t="s">
        <v>41250</v>
      </c>
      <c r="P6315">
        <v>0</v>
      </c>
      <c r="Q6315">
        <v>14</v>
      </c>
      <c r="R6315" t="s">
        <v>41256</v>
      </c>
      <c r="S6315" t="s">
        <v>41450</v>
      </c>
      <c r="T6315" t="s">
        <v>42729</v>
      </c>
      <c r="U6315" t="s">
        <v>48412</v>
      </c>
      <c r="W6315" t="s">
        <v>39723</v>
      </c>
      <c r="X6315" t="s">
        <v>41257</v>
      </c>
    </row>
    <row r="6316" spans="1:24">
      <c r="A6316">
        <f>HYPERLINK("https://www.philgeps.gov.ph/GEPSNONPILOT/Tender/SplashBidNoticeAbstractUI.aspx?menuIndex=3&amp;refID=7072232&amp;Result=3","7072232")</f>
        <v>0</v>
      </c>
      <c r="B6316" t="s">
        <v>870</v>
      </c>
      <c r="C6316" t="s">
        <v>9404</v>
      </c>
      <c r="E6316" t="s">
        <v>22259</v>
      </c>
      <c r="F6316" t="s">
        <v>28669</v>
      </c>
      <c r="G6316" t="s">
        <v>28675</v>
      </c>
      <c r="H6316" t="s">
        <v>28686</v>
      </c>
      <c r="I6316" t="s">
        <v>28689</v>
      </c>
      <c r="J6316" t="s">
        <v>28836</v>
      </c>
      <c r="K6316" t="s">
        <v>37221</v>
      </c>
      <c r="M6316" t="s">
        <v>38388</v>
      </c>
      <c r="N6316" t="s">
        <v>41249</v>
      </c>
      <c r="O6316" t="s">
        <v>41250</v>
      </c>
      <c r="P6316">
        <v>0</v>
      </c>
      <c r="Q6316">
        <v>0</v>
      </c>
      <c r="R6316" t="s">
        <v>41256</v>
      </c>
      <c r="S6316" t="s">
        <v>41450</v>
      </c>
      <c r="T6316" t="s">
        <v>42660</v>
      </c>
      <c r="U6316" t="s">
        <v>48413</v>
      </c>
      <c r="V6316" t="s">
        <v>54500</v>
      </c>
      <c r="W6316" t="s">
        <v>38388</v>
      </c>
      <c r="X6316" t="s">
        <v>41257</v>
      </c>
    </row>
    <row r="6317" spans="1:24">
      <c r="A6317">
        <f>HYPERLINK("https://www.philgeps.gov.ph/GEPSNONPILOT/Tender/SplashBidNoticeAbstractUI.aspx?menuIndex=3&amp;refID=7072240&amp;Result=3","7072240")</f>
        <v>0</v>
      </c>
      <c r="B6317" t="s">
        <v>2099</v>
      </c>
      <c r="C6317" t="s">
        <v>9405</v>
      </c>
      <c r="D6317" t="s">
        <v>16608</v>
      </c>
      <c r="E6317" t="s">
        <v>22260</v>
      </c>
      <c r="F6317" t="s">
        <v>28669</v>
      </c>
      <c r="G6317" t="s">
        <v>28675</v>
      </c>
      <c r="H6317" t="s">
        <v>28686</v>
      </c>
      <c r="I6317" t="s">
        <v>28689</v>
      </c>
      <c r="J6317" t="s">
        <v>32802</v>
      </c>
      <c r="K6317" t="s">
        <v>37221</v>
      </c>
      <c r="M6317" t="s">
        <v>39742</v>
      </c>
      <c r="N6317" t="s">
        <v>41249</v>
      </c>
      <c r="O6317" t="s">
        <v>41250</v>
      </c>
      <c r="P6317">
        <v>0</v>
      </c>
      <c r="Q6317">
        <v>91</v>
      </c>
      <c r="R6317" t="s">
        <v>41256</v>
      </c>
      <c r="S6317" t="s">
        <v>41450</v>
      </c>
      <c r="T6317" t="s">
        <v>42911</v>
      </c>
      <c r="U6317" t="s">
        <v>48414</v>
      </c>
      <c r="W6317" t="s">
        <v>39742</v>
      </c>
      <c r="X6317" t="s">
        <v>41257</v>
      </c>
    </row>
    <row r="6318" spans="1:24">
      <c r="A6318">
        <f>HYPERLINK("https://www.philgeps.gov.ph/GEPSNONPILOT/Tender/SplashBidNoticeAbstractUI.aspx?menuIndex=3&amp;refID=7072239&amp;Result=3","7072239")</f>
        <v>0</v>
      </c>
      <c r="B6318" t="s">
        <v>870</v>
      </c>
      <c r="C6318" t="s">
        <v>9406</v>
      </c>
      <c r="E6318" t="s">
        <v>22261</v>
      </c>
      <c r="F6318" t="s">
        <v>28669</v>
      </c>
      <c r="G6318" t="s">
        <v>28675</v>
      </c>
      <c r="H6318" t="s">
        <v>28686</v>
      </c>
      <c r="I6318" t="s">
        <v>28689</v>
      </c>
      <c r="J6318" t="s">
        <v>32803</v>
      </c>
      <c r="K6318" t="s">
        <v>37206</v>
      </c>
      <c r="M6318" t="s">
        <v>38388</v>
      </c>
      <c r="N6318" t="s">
        <v>41249</v>
      </c>
      <c r="O6318" t="s">
        <v>41250</v>
      </c>
      <c r="P6318">
        <v>0</v>
      </c>
      <c r="Q6318">
        <v>1</v>
      </c>
      <c r="R6318" t="s">
        <v>41256</v>
      </c>
      <c r="S6318" t="s">
        <v>41450</v>
      </c>
      <c r="T6318" t="s">
        <v>42660</v>
      </c>
      <c r="U6318" t="s">
        <v>48415</v>
      </c>
      <c r="V6318" t="s">
        <v>54500</v>
      </c>
      <c r="W6318" t="s">
        <v>38388</v>
      </c>
      <c r="X6318" t="s">
        <v>41257</v>
      </c>
    </row>
    <row r="6319" spans="1:24">
      <c r="A6319">
        <f>HYPERLINK("https://www.philgeps.gov.ph/GEPSNONPILOT/Tender/SplashBidNoticeAbstractUI.aspx?menuIndex=3&amp;refID=7072238&amp;Result=3","7072238")</f>
        <v>0</v>
      </c>
      <c r="B6319" t="s">
        <v>870</v>
      </c>
      <c r="C6319" t="s">
        <v>9407</v>
      </c>
      <c r="E6319" t="s">
        <v>22262</v>
      </c>
      <c r="F6319" t="s">
        <v>28669</v>
      </c>
      <c r="G6319" t="s">
        <v>28675</v>
      </c>
      <c r="H6319" t="s">
        <v>28686</v>
      </c>
      <c r="I6319" t="s">
        <v>28689</v>
      </c>
      <c r="J6319" t="s">
        <v>32804</v>
      </c>
      <c r="K6319" t="s">
        <v>37206</v>
      </c>
      <c r="M6319" t="s">
        <v>38388</v>
      </c>
      <c r="N6319" t="s">
        <v>41249</v>
      </c>
      <c r="O6319" t="s">
        <v>41250</v>
      </c>
      <c r="P6319">
        <v>0</v>
      </c>
      <c r="Q6319">
        <v>1</v>
      </c>
      <c r="R6319" t="s">
        <v>41256</v>
      </c>
      <c r="S6319" t="s">
        <v>41450</v>
      </c>
      <c r="T6319" t="s">
        <v>42660</v>
      </c>
      <c r="U6319" t="s">
        <v>48415</v>
      </c>
      <c r="V6319" t="s">
        <v>54500</v>
      </c>
      <c r="W6319" t="s">
        <v>38388</v>
      </c>
      <c r="X6319" t="s">
        <v>41257</v>
      </c>
    </row>
    <row r="6320" spans="1:24">
      <c r="A6320">
        <f>HYPERLINK("https://www.philgeps.gov.ph/GEPSNONPILOT/Tender/SplashBidNoticeAbstractUI.aspx?menuIndex=3&amp;refID=7072235&amp;Result=3","7072235")</f>
        <v>0</v>
      </c>
      <c r="B6320" t="s">
        <v>870</v>
      </c>
      <c r="C6320" t="s">
        <v>9408</v>
      </c>
      <c r="E6320" t="s">
        <v>22263</v>
      </c>
      <c r="F6320" t="s">
        <v>28669</v>
      </c>
      <c r="G6320" t="s">
        <v>28675</v>
      </c>
      <c r="H6320" t="s">
        <v>28686</v>
      </c>
      <c r="I6320" t="s">
        <v>28689</v>
      </c>
      <c r="J6320" t="s">
        <v>30503</v>
      </c>
      <c r="K6320" t="s">
        <v>37213</v>
      </c>
      <c r="M6320" t="s">
        <v>38388</v>
      </c>
      <c r="N6320" t="s">
        <v>41249</v>
      </c>
      <c r="O6320" t="s">
        <v>41250</v>
      </c>
      <c r="P6320">
        <v>0</v>
      </c>
      <c r="Q6320">
        <v>0</v>
      </c>
      <c r="R6320" t="s">
        <v>41256</v>
      </c>
      <c r="S6320" t="s">
        <v>41450</v>
      </c>
      <c r="T6320" t="s">
        <v>42660</v>
      </c>
      <c r="U6320" t="s">
        <v>48413</v>
      </c>
      <c r="V6320" t="s">
        <v>54500</v>
      </c>
      <c r="W6320" t="s">
        <v>38388</v>
      </c>
      <c r="X6320" t="s">
        <v>41257</v>
      </c>
    </row>
    <row r="6321" spans="1:24">
      <c r="A6321">
        <f>HYPERLINK("https://www.philgeps.gov.ph/GEPSNONPILOT/Tender/SplashBidNoticeAbstractUI.aspx?menuIndex=3&amp;refID=7072234&amp;Result=3","7072234")</f>
        <v>0</v>
      </c>
      <c r="B6321" t="s">
        <v>2099</v>
      </c>
      <c r="C6321" t="s">
        <v>9409</v>
      </c>
      <c r="D6321" t="s">
        <v>16608</v>
      </c>
      <c r="E6321" t="s">
        <v>22264</v>
      </c>
      <c r="F6321" t="s">
        <v>28669</v>
      </c>
      <c r="G6321" t="s">
        <v>28675</v>
      </c>
      <c r="H6321" t="s">
        <v>28686</v>
      </c>
      <c r="I6321" t="s">
        <v>28689</v>
      </c>
      <c r="J6321" t="s">
        <v>32805</v>
      </c>
      <c r="K6321" t="s">
        <v>37212</v>
      </c>
      <c r="M6321" t="s">
        <v>39742</v>
      </c>
      <c r="N6321" t="s">
        <v>41249</v>
      </c>
      <c r="O6321" t="s">
        <v>41250</v>
      </c>
      <c r="P6321">
        <v>0</v>
      </c>
      <c r="Q6321">
        <v>151</v>
      </c>
      <c r="R6321" t="s">
        <v>41256</v>
      </c>
      <c r="S6321" t="s">
        <v>41450</v>
      </c>
      <c r="T6321" t="s">
        <v>42911</v>
      </c>
      <c r="U6321" t="s">
        <v>48416</v>
      </c>
      <c r="W6321" t="s">
        <v>39742</v>
      </c>
      <c r="X6321" t="s">
        <v>41257</v>
      </c>
    </row>
    <row r="6322" spans="1:24">
      <c r="A6322">
        <f>HYPERLINK("https://www.philgeps.gov.ph/GEPSNONPILOT/Tender/SplashBidNoticeAbstractUI.aspx?menuIndex=3&amp;refID=7072233&amp;Result=3","7072233")</f>
        <v>0</v>
      </c>
      <c r="B6322" t="s">
        <v>2079</v>
      </c>
      <c r="C6322" t="s">
        <v>9410</v>
      </c>
      <c r="D6322" t="s">
        <v>16611</v>
      </c>
      <c r="E6322" t="s">
        <v>22265</v>
      </c>
      <c r="F6322" t="s">
        <v>28669</v>
      </c>
      <c r="G6322" t="s">
        <v>28675</v>
      </c>
      <c r="H6322" t="s">
        <v>9998</v>
      </c>
      <c r="I6322" t="s">
        <v>28690</v>
      </c>
      <c r="J6322" t="s">
        <v>29089</v>
      </c>
      <c r="K6322" t="s">
        <v>37227</v>
      </c>
      <c r="M6322" t="s">
        <v>39720</v>
      </c>
      <c r="N6322" t="s">
        <v>41249</v>
      </c>
      <c r="O6322" t="s">
        <v>41250</v>
      </c>
      <c r="P6322">
        <v>0</v>
      </c>
      <c r="Q6322">
        <v>2</v>
      </c>
      <c r="R6322" t="s">
        <v>41256</v>
      </c>
      <c r="S6322" t="s">
        <v>41450</v>
      </c>
      <c r="T6322" t="s">
        <v>42764</v>
      </c>
      <c r="U6322" t="s">
        <v>48417</v>
      </c>
      <c r="V6322" t="s">
        <v>54960</v>
      </c>
      <c r="W6322" t="s">
        <v>39720</v>
      </c>
      <c r="X6322" t="s">
        <v>41257</v>
      </c>
    </row>
    <row r="6323" spans="1:24">
      <c r="A6323">
        <f>HYPERLINK("https://www.philgeps.gov.ph/GEPSNONPILOT/Tender/SplashBidNoticeAbstractUI.aspx?menuIndex=3&amp;refID=7072227&amp;Result=3","7072227")</f>
        <v>0</v>
      </c>
      <c r="B6323" t="s">
        <v>2099</v>
      </c>
      <c r="C6323" t="s">
        <v>9411</v>
      </c>
      <c r="D6323" t="s">
        <v>16608</v>
      </c>
      <c r="E6323" t="s">
        <v>22266</v>
      </c>
      <c r="F6323" t="s">
        <v>28669</v>
      </c>
      <c r="G6323" t="s">
        <v>28675</v>
      </c>
      <c r="H6323" t="s">
        <v>28686</v>
      </c>
      <c r="I6323" t="s">
        <v>28689</v>
      </c>
      <c r="J6323" t="s">
        <v>32806</v>
      </c>
      <c r="K6323" t="s">
        <v>37212</v>
      </c>
      <c r="M6323" t="s">
        <v>39742</v>
      </c>
      <c r="N6323" t="s">
        <v>41249</v>
      </c>
      <c r="O6323" t="s">
        <v>41250</v>
      </c>
      <c r="P6323">
        <v>0</v>
      </c>
      <c r="Q6323">
        <v>151</v>
      </c>
      <c r="R6323" t="s">
        <v>41256</v>
      </c>
      <c r="S6323" t="s">
        <v>41450</v>
      </c>
      <c r="T6323" t="s">
        <v>42911</v>
      </c>
      <c r="U6323" t="s">
        <v>48416</v>
      </c>
      <c r="W6323" t="s">
        <v>39742</v>
      </c>
      <c r="X6323" t="s">
        <v>41257</v>
      </c>
    </row>
    <row r="6324" spans="1:24">
      <c r="A6324">
        <f>HYPERLINK("https://www.philgeps.gov.ph/GEPSNONPILOT/Tender/SplashBidNoticeAbstractUI.aspx?menuIndex=3&amp;refID=7072135&amp;Result=3","7072135")</f>
        <v>0</v>
      </c>
      <c r="B6324" t="s">
        <v>2100</v>
      </c>
      <c r="C6324" t="s">
        <v>9412</v>
      </c>
      <c r="D6324" t="s">
        <v>16608</v>
      </c>
      <c r="E6324" t="s">
        <v>22267</v>
      </c>
      <c r="F6324" t="s">
        <v>28669</v>
      </c>
      <c r="G6324" t="s">
        <v>28675</v>
      </c>
      <c r="H6324" t="s">
        <v>28686</v>
      </c>
      <c r="I6324" t="s">
        <v>28689</v>
      </c>
      <c r="J6324" t="s">
        <v>32807</v>
      </c>
      <c r="K6324" t="s">
        <v>37273</v>
      </c>
      <c r="M6324" t="s">
        <v>39743</v>
      </c>
      <c r="N6324" t="s">
        <v>41249</v>
      </c>
      <c r="O6324" t="s">
        <v>41250</v>
      </c>
      <c r="P6324">
        <v>0</v>
      </c>
      <c r="Q6324">
        <v>2</v>
      </c>
      <c r="R6324" t="s">
        <v>41256</v>
      </c>
      <c r="S6324" t="s">
        <v>41450</v>
      </c>
      <c r="T6324" t="s">
        <v>42722</v>
      </c>
      <c r="U6324" t="s">
        <v>48418</v>
      </c>
      <c r="W6324" t="s">
        <v>39743</v>
      </c>
      <c r="X6324" t="s">
        <v>41257</v>
      </c>
    </row>
    <row r="6325" spans="1:24">
      <c r="A6325">
        <f>HYPERLINK("https://www.philgeps.gov.ph/GEPSNONPILOT/Tender/SplashBidNoticeAbstractUI.aspx?menuIndex=3&amp;refID=7072226&amp;Result=3","7072226")</f>
        <v>0</v>
      </c>
      <c r="B6325" t="s">
        <v>870</v>
      </c>
      <c r="C6325" t="s">
        <v>9413</v>
      </c>
      <c r="E6325" t="s">
        <v>22268</v>
      </c>
      <c r="F6325" t="s">
        <v>28669</v>
      </c>
      <c r="G6325" t="s">
        <v>28675</v>
      </c>
      <c r="H6325" t="s">
        <v>28686</v>
      </c>
      <c r="I6325" t="s">
        <v>28689</v>
      </c>
      <c r="J6325" t="s">
        <v>30304</v>
      </c>
      <c r="K6325" t="s">
        <v>37285</v>
      </c>
      <c r="M6325" t="s">
        <v>38388</v>
      </c>
      <c r="N6325" t="s">
        <v>41249</v>
      </c>
      <c r="O6325" t="s">
        <v>41250</v>
      </c>
      <c r="P6325">
        <v>0</v>
      </c>
      <c r="Q6325">
        <v>6</v>
      </c>
      <c r="R6325" t="s">
        <v>41256</v>
      </c>
      <c r="S6325" t="s">
        <v>41450</v>
      </c>
      <c r="T6325" t="s">
        <v>42660</v>
      </c>
      <c r="U6325" t="s">
        <v>48413</v>
      </c>
      <c r="V6325" t="s">
        <v>54500</v>
      </c>
      <c r="W6325" t="s">
        <v>38388</v>
      </c>
      <c r="X6325" t="s">
        <v>41257</v>
      </c>
    </row>
    <row r="6326" spans="1:24">
      <c r="A6326">
        <f>HYPERLINK("https://www.philgeps.gov.ph/GEPSNONPILOT/Tender/SplashBidNoticeAbstractUI.aspx?menuIndex=3&amp;refID=7072222&amp;Result=3","7072222")</f>
        <v>0</v>
      </c>
      <c r="B6326" t="s">
        <v>870</v>
      </c>
      <c r="C6326" t="s">
        <v>9414</v>
      </c>
      <c r="E6326" t="s">
        <v>22269</v>
      </c>
      <c r="F6326" t="s">
        <v>28669</v>
      </c>
      <c r="G6326" t="s">
        <v>28675</v>
      </c>
      <c r="H6326" t="s">
        <v>28686</v>
      </c>
      <c r="I6326" t="s">
        <v>28689</v>
      </c>
      <c r="J6326" t="s">
        <v>30570</v>
      </c>
      <c r="K6326" t="s">
        <v>37212</v>
      </c>
      <c r="M6326" t="s">
        <v>38388</v>
      </c>
      <c r="N6326" t="s">
        <v>41249</v>
      </c>
      <c r="O6326" t="s">
        <v>41250</v>
      </c>
      <c r="P6326">
        <v>0</v>
      </c>
      <c r="Q6326">
        <v>1</v>
      </c>
      <c r="R6326" t="s">
        <v>41256</v>
      </c>
      <c r="S6326" t="s">
        <v>41450</v>
      </c>
      <c r="T6326" t="s">
        <v>42660</v>
      </c>
      <c r="U6326" t="s">
        <v>48413</v>
      </c>
      <c r="V6326" t="s">
        <v>54500</v>
      </c>
      <c r="W6326" t="s">
        <v>38388</v>
      </c>
      <c r="X6326" t="s">
        <v>41257</v>
      </c>
    </row>
    <row r="6327" spans="1:24">
      <c r="A6327">
        <f>HYPERLINK("https://www.philgeps.gov.ph/GEPSNONPILOT/Tender/SplashBidNoticeAbstractUI.aspx?menuIndex=3&amp;refID=7072181&amp;Result=3","7072181")</f>
        <v>0</v>
      </c>
      <c r="B6327" t="s">
        <v>2101</v>
      </c>
      <c r="C6327" t="s">
        <v>9415</v>
      </c>
      <c r="D6327" t="s">
        <v>16627</v>
      </c>
      <c r="E6327" t="s">
        <v>22270</v>
      </c>
      <c r="F6327" t="s">
        <v>28669</v>
      </c>
      <c r="G6327" t="s">
        <v>28675</v>
      </c>
      <c r="H6327" t="s">
        <v>9998</v>
      </c>
      <c r="I6327" t="s">
        <v>11593</v>
      </c>
      <c r="J6327" t="s">
        <v>29332</v>
      </c>
      <c r="K6327" t="s">
        <v>37206</v>
      </c>
      <c r="M6327" t="s">
        <v>39744</v>
      </c>
      <c r="N6327" t="s">
        <v>41249</v>
      </c>
      <c r="O6327" t="s">
        <v>41250</v>
      </c>
      <c r="P6327">
        <v>0</v>
      </c>
      <c r="Q6327">
        <v>6</v>
      </c>
      <c r="R6327" t="s">
        <v>41256</v>
      </c>
      <c r="S6327" t="s">
        <v>41450</v>
      </c>
      <c r="T6327" t="s">
        <v>42693</v>
      </c>
      <c r="U6327" t="s">
        <v>48419</v>
      </c>
      <c r="W6327" t="s">
        <v>39744</v>
      </c>
      <c r="X6327" t="s">
        <v>41257</v>
      </c>
    </row>
    <row r="6328" spans="1:24">
      <c r="A6328">
        <f>HYPERLINK("https://www.philgeps.gov.ph/GEPSNONPILOT/Tender/SplashBidNoticeAbstractUI.aspx?menuIndex=3&amp;refID=7072216&amp;Result=3","7072216")</f>
        <v>0</v>
      </c>
      <c r="B6328" t="s">
        <v>2079</v>
      </c>
      <c r="C6328" t="s">
        <v>9416</v>
      </c>
      <c r="D6328" t="s">
        <v>16611</v>
      </c>
      <c r="E6328" t="s">
        <v>22271</v>
      </c>
      <c r="F6328" t="s">
        <v>28669</v>
      </c>
      <c r="G6328" t="s">
        <v>28675</v>
      </c>
      <c r="H6328" t="s">
        <v>9998</v>
      </c>
      <c r="I6328" t="s">
        <v>28717</v>
      </c>
      <c r="J6328" t="s">
        <v>32808</v>
      </c>
      <c r="K6328" t="s">
        <v>37206</v>
      </c>
      <c r="M6328" t="s">
        <v>39720</v>
      </c>
      <c r="N6328" t="s">
        <v>41249</v>
      </c>
      <c r="O6328" t="s">
        <v>41250</v>
      </c>
      <c r="P6328">
        <v>0</v>
      </c>
      <c r="Q6328">
        <v>9</v>
      </c>
      <c r="R6328" t="s">
        <v>41256</v>
      </c>
      <c r="S6328" t="s">
        <v>41450</v>
      </c>
      <c r="T6328" t="s">
        <v>42860</v>
      </c>
      <c r="U6328" t="s">
        <v>48420</v>
      </c>
      <c r="V6328" t="s">
        <v>54966</v>
      </c>
      <c r="W6328" t="s">
        <v>39720</v>
      </c>
      <c r="X6328" t="s">
        <v>41257</v>
      </c>
    </row>
    <row r="6329" spans="1:24">
      <c r="A6329">
        <f>HYPERLINK("https://www.philgeps.gov.ph/GEPSNONPILOT/Tender/SplashBidNoticeAbstractUI.aspx?menuIndex=3&amp;refID=7072207&amp;Result=3","7072207")</f>
        <v>0</v>
      </c>
      <c r="B6329" t="s">
        <v>2102</v>
      </c>
      <c r="C6329" t="s">
        <v>9417</v>
      </c>
      <c r="D6329" t="s">
        <v>16620</v>
      </c>
      <c r="E6329" t="s">
        <v>22272</v>
      </c>
      <c r="F6329" t="s">
        <v>28669</v>
      </c>
      <c r="G6329" t="s">
        <v>28675</v>
      </c>
      <c r="H6329" t="s">
        <v>9998</v>
      </c>
      <c r="I6329" t="s">
        <v>11593</v>
      </c>
      <c r="J6329" t="s">
        <v>29027</v>
      </c>
      <c r="K6329" t="s">
        <v>37210</v>
      </c>
      <c r="M6329" t="s">
        <v>39745</v>
      </c>
      <c r="N6329" t="s">
        <v>41249</v>
      </c>
      <c r="O6329" t="s">
        <v>41250</v>
      </c>
      <c r="P6329">
        <v>0</v>
      </c>
      <c r="Q6329">
        <v>3</v>
      </c>
      <c r="R6329" t="s">
        <v>41256</v>
      </c>
      <c r="S6329" t="s">
        <v>41450</v>
      </c>
      <c r="T6329" t="s">
        <v>42696</v>
      </c>
      <c r="U6329" t="s">
        <v>48421</v>
      </c>
      <c r="W6329" t="s">
        <v>39745</v>
      </c>
      <c r="X6329" t="s">
        <v>41257</v>
      </c>
    </row>
    <row r="6330" spans="1:24">
      <c r="A6330">
        <f>HYPERLINK("https://www.philgeps.gov.ph/GEPSNONPILOT/Tender/SplashBidNoticeAbstractUI.aspx?menuIndex=3&amp;refID=7072174&amp;Result=3","7072174")</f>
        <v>0</v>
      </c>
      <c r="B6330" t="s">
        <v>2079</v>
      </c>
      <c r="C6330" t="s">
        <v>9418</v>
      </c>
      <c r="D6330" t="s">
        <v>16611</v>
      </c>
      <c r="E6330" t="s">
        <v>22273</v>
      </c>
      <c r="F6330" t="s">
        <v>28669</v>
      </c>
      <c r="G6330" t="s">
        <v>28675</v>
      </c>
      <c r="H6330" t="s">
        <v>9998</v>
      </c>
      <c r="I6330" t="s">
        <v>11593</v>
      </c>
      <c r="J6330" t="s">
        <v>32809</v>
      </c>
      <c r="K6330" t="s">
        <v>37206</v>
      </c>
      <c r="M6330" t="s">
        <v>39720</v>
      </c>
      <c r="N6330" t="s">
        <v>41249</v>
      </c>
      <c r="O6330" t="s">
        <v>41250</v>
      </c>
      <c r="P6330">
        <v>0</v>
      </c>
      <c r="Q6330">
        <v>4</v>
      </c>
      <c r="R6330" t="s">
        <v>41256</v>
      </c>
      <c r="S6330" t="s">
        <v>41450</v>
      </c>
      <c r="T6330" t="s">
        <v>42764</v>
      </c>
      <c r="U6330" t="s">
        <v>48422</v>
      </c>
      <c r="V6330" t="s">
        <v>54960</v>
      </c>
      <c r="W6330" t="s">
        <v>39720</v>
      </c>
      <c r="X6330" t="s">
        <v>41257</v>
      </c>
    </row>
    <row r="6331" spans="1:24">
      <c r="A6331">
        <f>HYPERLINK("https://www.philgeps.gov.ph/GEPSNONPILOT/Tender/SplashBidNoticeAbstractUI.aspx?menuIndex=3&amp;refID=7072187&amp;Result=3","7072187")</f>
        <v>0</v>
      </c>
      <c r="B6331" t="s">
        <v>1568</v>
      </c>
      <c r="C6331" t="s">
        <v>9419</v>
      </c>
      <c r="D6331" t="s">
        <v>16608</v>
      </c>
      <c r="E6331" t="s">
        <v>22274</v>
      </c>
      <c r="F6331" t="s">
        <v>28669</v>
      </c>
      <c r="G6331" t="s">
        <v>28676</v>
      </c>
      <c r="H6331" t="s">
        <v>9998</v>
      </c>
      <c r="I6331" t="s">
        <v>28729</v>
      </c>
      <c r="J6331" t="s">
        <v>28845</v>
      </c>
      <c r="K6331" t="s">
        <v>37209</v>
      </c>
      <c r="M6331" t="s">
        <v>39167</v>
      </c>
      <c r="N6331" t="s">
        <v>41249</v>
      </c>
      <c r="O6331" t="s">
        <v>41250</v>
      </c>
      <c r="P6331">
        <v>0</v>
      </c>
      <c r="Q6331">
        <v>27</v>
      </c>
      <c r="R6331" t="s">
        <v>41256</v>
      </c>
      <c r="S6331" t="s">
        <v>41450</v>
      </c>
      <c r="T6331" t="s">
        <v>42811</v>
      </c>
      <c r="U6331" t="s">
        <v>48423</v>
      </c>
      <c r="W6331" t="s">
        <v>39167</v>
      </c>
      <c r="X6331" t="s">
        <v>41257</v>
      </c>
    </row>
    <row r="6332" spans="1:24">
      <c r="A6332">
        <f>HYPERLINK("https://www.philgeps.gov.ph/GEPSNONPILOT/Tender/SplashBidNoticeAbstractUI.aspx?menuIndex=3&amp;refID=7072228&amp;Result=3","7072228")</f>
        <v>0</v>
      </c>
      <c r="B6332" t="s">
        <v>870</v>
      </c>
      <c r="C6332" t="s">
        <v>9420</v>
      </c>
      <c r="E6332" t="s">
        <v>22275</v>
      </c>
      <c r="F6332" t="s">
        <v>28669</v>
      </c>
      <c r="G6332" t="s">
        <v>28675</v>
      </c>
      <c r="H6332" t="s">
        <v>28686</v>
      </c>
      <c r="I6332" t="s">
        <v>28689</v>
      </c>
      <c r="J6332" t="s">
        <v>30146</v>
      </c>
      <c r="K6332" t="s">
        <v>37218</v>
      </c>
      <c r="M6332" t="s">
        <v>38388</v>
      </c>
      <c r="N6332" t="s">
        <v>41249</v>
      </c>
      <c r="O6332" t="s">
        <v>41250</v>
      </c>
      <c r="P6332">
        <v>0</v>
      </c>
      <c r="Q6332">
        <v>2</v>
      </c>
      <c r="R6332" t="s">
        <v>41256</v>
      </c>
      <c r="S6332" t="s">
        <v>41450</v>
      </c>
      <c r="T6332" t="s">
        <v>42660</v>
      </c>
      <c r="U6332" t="s">
        <v>48413</v>
      </c>
      <c r="V6332" t="s">
        <v>54500</v>
      </c>
      <c r="W6332" t="s">
        <v>38388</v>
      </c>
      <c r="X6332" t="s">
        <v>41257</v>
      </c>
    </row>
    <row r="6333" spans="1:24">
      <c r="A6333">
        <f>HYPERLINK("https://www.philgeps.gov.ph/GEPSNONPILOT/Tender/SplashBidNoticeAbstractUI.aspx?menuIndex=3&amp;refID=7072206&amp;Result=3","7072206")</f>
        <v>0</v>
      </c>
      <c r="B6333" t="s">
        <v>2098</v>
      </c>
      <c r="C6333" t="s">
        <v>9421</v>
      </c>
      <c r="D6333" t="s">
        <v>16618</v>
      </c>
      <c r="E6333" t="s">
        <v>22276</v>
      </c>
      <c r="F6333" t="s">
        <v>28669</v>
      </c>
      <c r="G6333" t="s">
        <v>28675</v>
      </c>
      <c r="H6333" t="s">
        <v>28686</v>
      </c>
      <c r="I6333" t="s">
        <v>28689</v>
      </c>
      <c r="J6333" t="s">
        <v>32810</v>
      </c>
      <c r="K6333" t="s">
        <v>37212</v>
      </c>
      <c r="L6333" t="s">
        <v>2098</v>
      </c>
      <c r="M6333" t="s">
        <v>39740</v>
      </c>
      <c r="N6333" t="s">
        <v>41249</v>
      </c>
      <c r="O6333" t="s">
        <v>41250</v>
      </c>
      <c r="P6333">
        <v>0</v>
      </c>
      <c r="Q6333">
        <v>3</v>
      </c>
      <c r="R6333" t="s">
        <v>41256</v>
      </c>
      <c r="S6333" t="s">
        <v>41450</v>
      </c>
      <c r="T6333" t="s">
        <v>42911</v>
      </c>
      <c r="U6333" t="s">
        <v>48407</v>
      </c>
      <c r="V6333" t="s">
        <v>54967</v>
      </c>
      <c r="W6333" t="s">
        <v>39740</v>
      </c>
      <c r="X6333" t="s">
        <v>41257</v>
      </c>
    </row>
    <row r="6334" spans="1:24">
      <c r="A6334">
        <f>HYPERLINK("https://www.philgeps.gov.ph/GEPSNONPILOT/Tender/SplashBidNoticeAbstractUI.aspx?menuIndex=3&amp;refID=7072245&amp;Result=3","7072245")</f>
        <v>0</v>
      </c>
      <c r="B6334" t="s">
        <v>2099</v>
      </c>
      <c r="C6334" t="s">
        <v>9422</v>
      </c>
      <c r="D6334" t="s">
        <v>16608</v>
      </c>
      <c r="E6334" t="s">
        <v>22277</v>
      </c>
      <c r="F6334" t="s">
        <v>28669</v>
      </c>
      <c r="G6334" t="s">
        <v>28675</v>
      </c>
      <c r="H6334" t="s">
        <v>28686</v>
      </c>
      <c r="I6334" t="s">
        <v>28689</v>
      </c>
      <c r="J6334" t="s">
        <v>32811</v>
      </c>
      <c r="K6334" t="s">
        <v>37213</v>
      </c>
      <c r="M6334" t="s">
        <v>39742</v>
      </c>
      <c r="N6334" t="s">
        <v>41249</v>
      </c>
      <c r="O6334" t="s">
        <v>41250</v>
      </c>
      <c r="P6334">
        <v>0</v>
      </c>
      <c r="Q6334">
        <v>89</v>
      </c>
      <c r="R6334" t="s">
        <v>41256</v>
      </c>
      <c r="S6334" t="s">
        <v>41450</v>
      </c>
      <c r="T6334" t="s">
        <v>42911</v>
      </c>
      <c r="U6334" t="s">
        <v>48414</v>
      </c>
      <c r="W6334" t="s">
        <v>39742</v>
      </c>
      <c r="X6334" t="s">
        <v>41257</v>
      </c>
    </row>
    <row r="6335" spans="1:24">
      <c r="A6335">
        <f>HYPERLINK("https://www.philgeps.gov.ph/GEPSNONPILOT/Tender/SplashBidNoticeAbstractUI.aspx?menuIndex=3&amp;refID=7072283&amp;Result=3","7072283")</f>
        <v>0</v>
      </c>
      <c r="B6335" t="s">
        <v>2103</v>
      </c>
      <c r="C6335" t="s">
        <v>9423</v>
      </c>
      <c r="D6335" t="s">
        <v>16677</v>
      </c>
      <c r="E6335" t="s">
        <v>22278</v>
      </c>
      <c r="F6335" t="s">
        <v>28669</v>
      </c>
      <c r="G6335" t="s">
        <v>28675</v>
      </c>
      <c r="H6335" t="s">
        <v>28686</v>
      </c>
      <c r="I6335" t="s">
        <v>28689</v>
      </c>
      <c r="J6335" t="s">
        <v>30454</v>
      </c>
      <c r="K6335" t="s">
        <v>37369</v>
      </c>
      <c r="M6335" t="s">
        <v>39746</v>
      </c>
      <c r="N6335" t="s">
        <v>41249</v>
      </c>
      <c r="O6335" t="s">
        <v>41250</v>
      </c>
      <c r="P6335">
        <v>0</v>
      </c>
      <c r="Q6335">
        <v>15</v>
      </c>
      <c r="R6335" t="s">
        <v>41256</v>
      </c>
      <c r="S6335" t="s">
        <v>41450</v>
      </c>
      <c r="T6335" t="s">
        <v>42660</v>
      </c>
      <c r="U6335" t="s">
        <v>48424</v>
      </c>
      <c r="V6335" t="s">
        <v>54968</v>
      </c>
      <c r="W6335" t="s">
        <v>39746</v>
      </c>
      <c r="X6335" t="s">
        <v>41257</v>
      </c>
    </row>
    <row r="6336" spans="1:24">
      <c r="A6336">
        <f>HYPERLINK("https://www.philgeps.gov.ph/GEPSNONPILOT/Tender/SplashBidNoticeAbstractUI.aspx?menuIndex=3&amp;refID=7072278&amp;Result=3","7072278")</f>
        <v>0</v>
      </c>
      <c r="B6336" t="s">
        <v>1024</v>
      </c>
      <c r="C6336" t="s">
        <v>9424</v>
      </c>
      <c r="D6336" t="s">
        <v>16608</v>
      </c>
      <c r="E6336" t="s">
        <v>22279</v>
      </c>
      <c r="F6336" t="s">
        <v>28669</v>
      </c>
      <c r="G6336" t="s">
        <v>28675</v>
      </c>
      <c r="H6336" t="s">
        <v>28686</v>
      </c>
      <c r="I6336" t="s">
        <v>28689</v>
      </c>
      <c r="J6336" t="s">
        <v>32812</v>
      </c>
      <c r="K6336" t="s">
        <v>37218</v>
      </c>
      <c r="M6336" t="s">
        <v>39657</v>
      </c>
      <c r="N6336" t="s">
        <v>41249</v>
      </c>
      <c r="O6336" t="s">
        <v>41250</v>
      </c>
      <c r="P6336">
        <v>0</v>
      </c>
      <c r="Q6336">
        <v>32</v>
      </c>
      <c r="R6336" t="s">
        <v>41256</v>
      </c>
      <c r="S6336" t="s">
        <v>41450</v>
      </c>
      <c r="T6336" t="s">
        <v>43016</v>
      </c>
      <c r="U6336" t="s">
        <v>48163</v>
      </c>
      <c r="V6336" t="s">
        <v>54969</v>
      </c>
      <c r="W6336" t="s">
        <v>39657</v>
      </c>
      <c r="X6336" t="s">
        <v>41257</v>
      </c>
    </row>
    <row r="6337" spans="1:24">
      <c r="A6337">
        <f>HYPERLINK("https://www.philgeps.gov.ph/GEPSNONPILOT/Tender/SplashBidNoticeAbstractUI.aspx?menuIndex=3&amp;refID=7072270&amp;Result=3","7072270")</f>
        <v>0</v>
      </c>
      <c r="B6337" t="s">
        <v>2099</v>
      </c>
      <c r="C6337" t="s">
        <v>9425</v>
      </c>
      <c r="D6337" t="s">
        <v>16608</v>
      </c>
      <c r="E6337" t="s">
        <v>22280</v>
      </c>
      <c r="F6337" t="s">
        <v>28669</v>
      </c>
      <c r="G6337" t="s">
        <v>28675</v>
      </c>
      <c r="H6337" t="s">
        <v>28686</v>
      </c>
      <c r="I6337" t="s">
        <v>28689</v>
      </c>
      <c r="J6337" t="s">
        <v>32813</v>
      </c>
      <c r="K6337" t="s">
        <v>37334</v>
      </c>
      <c r="M6337" t="s">
        <v>39742</v>
      </c>
      <c r="N6337" t="s">
        <v>41249</v>
      </c>
      <c r="O6337" t="s">
        <v>41250</v>
      </c>
      <c r="P6337">
        <v>0</v>
      </c>
      <c r="Q6337">
        <v>149</v>
      </c>
      <c r="R6337" t="s">
        <v>41256</v>
      </c>
      <c r="S6337" t="s">
        <v>41450</v>
      </c>
      <c r="T6337" t="s">
        <v>42911</v>
      </c>
      <c r="U6337" t="s">
        <v>48425</v>
      </c>
      <c r="W6337" t="s">
        <v>39742</v>
      </c>
      <c r="X6337" t="s">
        <v>41257</v>
      </c>
    </row>
    <row r="6338" spans="1:24">
      <c r="A6338">
        <f>HYPERLINK("https://www.philgeps.gov.ph/GEPSNONPILOT/Tender/SplashBidNoticeAbstractUI.aspx?menuIndex=3&amp;refID=7072210&amp;Result=3","7072210")</f>
        <v>0</v>
      </c>
      <c r="B6338" t="s">
        <v>2098</v>
      </c>
      <c r="C6338" t="s">
        <v>9426</v>
      </c>
      <c r="D6338" t="s">
        <v>16618</v>
      </c>
      <c r="E6338" t="s">
        <v>22281</v>
      </c>
      <c r="F6338" t="s">
        <v>28669</v>
      </c>
      <c r="G6338" t="s">
        <v>28675</v>
      </c>
      <c r="H6338" t="s">
        <v>28686</v>
      </c>
      <c r="I6338" t="s">
        <v>28689</v>
      </c>
      <c r="J6338" t="s">
        <v>32814</v>
      </c>
      <c r="K6338" t="s">
        <v>37213</v>
      </c>
      <c r="L6338" t="s">
        <v>2098</v>
      </c>
      <c r="M6338" t="s">
        <v>39740</v>
      </c>
      <c r="N6338" t="s">
        <v>41249</v>
      </c>
      <c r="O6338" t="s">
        <v>41250</v>
      </c>
      <c r="P6338">
        <v>0</v>
      </c>
      <c r="Q6338">
        <v>3</v>
      </c>
      <c r="R6338" t="s">
        <v>41256</v>
      </c>
      <c r="S6338" t="s">
        <v>41450</v>
      </c>
      <c r="T6338" t="s">
        <v>42911</v>
      </c>
      <c r="U6338" t="s">
        <v>48407</v>
      </c>
      <c r="V6338" t="s">
        <v>54970</v>
      </c>
      <c r="W6338" t="s">
        <v>39740</v>
      </c>
      <c r="X6338" t="s">
        <v>41257</v>
      </c>
    </row>
    <row r="6339" spans="1:24">
      <c r="A6339">
        <f>HYPERLINK("https://www.philgeps.gov.ph/GEPSNONPILOT/Tender/SplashBidNoticeAbstractUI.aspx?menuIndex=3&amp;refID=7072140&amp;Result=3","7072140")</f>
        <v>0</v>
      </c>
      <c r="B6339" t="s">
        <v>605</v>
      </c>
      <c r="C6339" t="s">
        <v>3408</v>
      </c>
      <c r="D6339" t="s">
        <v>16661</v>
      </c>
      <c r="E6339" t="s">
        <v>22282</v>
      </c>
      <c r="F6339" t="s">
        <v>28669</v>
      </c>
      <c r="G6339" t="s">
        <v>28675</v>
      </c>
      <c r="H6339" t="s">
        <v>28686</v>
      </c>
      <c r="I6339" t="s">
        <v>28689</v>
      </c>
      <c r="J6339" t="s">
        <v>32815</v>
      </c>
      <c r="K6339" t="s">
        <v>37212</v>
      </c>
      <c r="M6339" t="s">
        <v>38105</v>
      </c>
      <c r="N6339" t="s">
        <v>41249</v>
      </c>
      <c r="O6339" t="s">
        <v>41250</v>
      </c>
      <c r="P6339">
        <v>0</v>
      </c>
      <c r="Q6339">
        <v>0</v>
      </c>
      <c r="R6339" t="s">
        <v>41256</v>
      </c>
      <c r="S6339" t="s">
        <v>41450</v>
      </c>
      <c r="T6339" t="s">
        <v>42987</v>
      </c>
      <c r="U6339" t="s">
        <v>48426</v>
      </c>
      <c r="W6339" t="s">
        <v>38105</v>
      </c>
      <c r="X6339" t="s">
        <v>41257</v>
      </c>
    </row>
    <row r="6340" spans="1:24">
      <c r="A6340">
        <f>HYPERLINK("https://www.philgeps.gov.ph/GEPSNONPILOT/Tender/SplashBidNoticeAbstractUI.aspx?menuIndex=3&amp;refID=7072267&amp;Result=3","7072267")</f>
        <v>0</v>
      </c>
      <c r="B6340" t="s">
        <v>2079</v>
      </c>
      <c r="C6340" t="s">
        <v>9427</v>
      </c>
      <c r="D6340" t="s">
        <v>16611</v>
      </c>
      <c r="E6340" t="s">
        <v>22283</v>
      </c>
      <c r="F6340" t="s">
        <v>28669</v>
      </c>
      <c r="G6340" t="s">
        <v>28675</v>
      </c>
      <c r="H6340" t="s">
        <v>9998</v>
      </c>
      <c r="I6340" t="s">
        <v>11593</v>
      </c>
      <c r="J6340" t="s">
        <v>29040</v>
      </c>
      <c r="K6340" t="s">
        <v>37206</v>
      </c>
      <c r="M6340" t="s">
        <v>39720</v>
      </c>
      <c r="N6340" t="s">
        <v>41249</v>
      </c>
      <c r="O6340" t="s">
        <v>41250</v>
      </c>
      <c r="P6340">
        <v>0</v>
      </c>
      <c r="Q6340">
        <v>2</v>
      </c>
      <c r="R6340" t="s">
        <v>41256</v>
      </c>
      <c r="S6340" t="s">
        <v>41450</v>
      </c>
      <c r="T6340" t="s">
        <v>42764</v>
      </c>
      <c r="U6340" t="s">
        <v>48427</v>
      </c>
      <c r="V6340" t="s">
        <v>54960</v>
      </c>
      <c r="W6340" t="s">
        <v>39720</v>
      </c>
      <c r="X6340" t="s">
        <v>41257</v>
      </c>
    </row>
    <row r="6341" spans="1:24">
      <c r="A6341">
        <f>HYPERLINK("https://www.philgeps.gov.ph/GEPSNONPILOT/Tender/SplashBidNoticeAbstractUI.aspx?menuIndex=3&amp;refID=7072264&amp;Result=3","7072264")</f>
        <v>0</v>
      </c>
      <c r="B6341" t="s">
        <v>1433</v>
      </c>
      <c r="C6341" t="s">
        <v>9428</v>
      </c>
      <c r="E6341" t="s">
        <v>22284</v>
      </c>
      <c r="F6341" t="s">
        <v>28669</v>
      </c>
      <c r="G6341" t="s">
        <v>28676</v>
      </c>
      <c r="H6341" t="s">
        <v>9998</v>
      </c>
      <c r="I6341" t="s">
        <v>28711</v>
      </c>
      <c r="J6341" t="s">
        <v>32816</v>
      </c>
      <c r="K6341" t="s">
        <v>37209</v>
      </c>
      <c r="M6341" t="s">
        <v>38997</v>
      </c>
      <c r="N6341" t="s">
        <v>41249</v>
      </c>
      <c r="O6341" t="s">
        <v>41250</v>
      </c>
      <c r="P6341">
        <v>0</v>
      </c>
      <c r="Q6341">
        <v>12</v>
      </c>
      <c r="R6341" t="s">
        <v>41256</v>
      </c>
      <c r="S6341" t="s">
        <v>41450</v>
      </c>
      <c r="T6341" t="s">
        <v>42728</v>
      </c>
      <c r="U6341" t="s">
        <v>48428</v>
      </c>
      <c r="W6341" t="s">
        <v>38997</v>
      </c>
      <c r="X6341" t="s">
        <v>41257</v>
      </c>
    </row>
    <row r="6342" spans="1:24">
      <c r="A6342">
        <f>HYPERLINK("https://www.philgeps.gov.ph/GEPSNONPILOT/Tender/SplashBidNoticeAbstractUI.aspx?menuIndex=3&amp;refID=7072282&amp;Result=3","7072282")</f>
        <v>0</v>
      </c>
      <c r="B6342" t="s">
        <v>2103</v>
      </c>
      <c r="C6342" t="s">
        <v>9429</v>
      </c>
      <c r="D6342" t="s">
        <v>16677</v>
      </c>
      <c r="E6342" t="s">
        <v>22285</v>
      </c>
      <c r="F6342" t="s">
        <v>28669</v>
      </c>
      <c r="G6342" t="s">
        <v>28675</v>
      </c>
      <c r="H6342" t="s">
        <v>28686</v>
      </c>
      <c r="I6342" t="s">
        <v>28689</v>
      </c>
      <c r="J6342" t="s">
        <v>30454</v>
      </c>
      <c r="K6342" t="s">
        <v>37369</v>
      </c>
      <c r="M6342" t="s">
        <v>39746</v>
      </c>
      <c r="N6342" t="s">
        <v>41249</v>
      </c>
      <c r="O6342" t="s">
        <v>41250</v>
      </c>
      <c r="P6342">
        <v>0</v>
      </c>
      <c r="Q6342">
        <v>18</v>
      </c>
      <c r="R6342" t="s">
        <v>41256</v>
      </c>
      <c r="S6342" t="s">
        <v>41450</v>
      </c>
      <c r="T6342" t="s">
        <v>42660</v>
      </c>
      <c r="U6342" t="s">
        <v>48429</v>
      </c>
      <c r="V6342" t="s">
        <v>54971</v>
      </c>
      <c r="W6342" t="s">
        <v>39746</v>
      </c>
      <c r="X6342" t="s">
        <v>41257</v>
      </c>
    </row>
    <row r="6343" spans="1:24">
      <c r="A6343">
        <f>HYPERLINK("https://www.philgeps.gov.ph/GEPSNONPILOT/Tender/SplashBidNoticeAbstractUI.aspx?menuIndex=3&amp;refID=7072258&amp;Result=3","7072258")</f>
        <v>0</v>
      </c>
      <c r="B6343" t="s">
        <v>2079</v>
      </c>
      <c r="C6343" t="s">
        <v>9430</v>
      </c>
      <c r="D6343" t="s">
        <v>16611</v>
      </c>
      <c r="E6343" t="s">
        <v>22286</v>
      </c>
      <c r="F6343" t="s">
        <v>28669</v>
      </c>
      <c r="G6343" t="s">
        <v>28675</v>
      </c>
      <c r="H6343" t="s">
        <v>9998</v>
      </c>
      <c r="I6343" t="s">
        <v>11593</v>
      </c>
      <c r="J6343" t="s">
        <v>31126</v>
      </c>
      <c r="K6343" t="s">
        <v>37206</v>
      </c>
      <c r="M6343" t="s">
        <v>39720</v>
      </c>
      <c r="N6343" t="s">
        <v>41249</v>
      </c>
      <c r="O6343" t="s">
        <v>41250</v>
      </c>
      <c r="P6343">
        <v>0</v>
      </c>
      <c r="Q6343">
        <v>4</v>
      </c>
      <c r="R6343" t="s">
        <v>41256</v>
      </c>
      <c r="S6343" t="s">
        <v>41450</v>
      </c>
      <c r="T6343" t="s">
        <v>42764</v>
      </c>
      <c r="U6343" t="s">
        <v>48430</v>
      </c>
      <c r="V6343" t="s">
        <v>54960</v>
      </c>
      <c r="W6343" t="s">
        <v>39720</v>
      </c>
      <c r="X6343" t="s">
        <v>41257</v>
      </c>
    </row>
    <row r="6344" spans="1:24">
      <c r="A6344">
        <f>HYPERLINK("https://www.philgeps.gov.ph/GEPSNONPILOT/Tender/SplashBidNoticeAbstractUI.aspx?menuIndex=3&amp;refID=7072274&amp;Result=3","7072274")</f>
        <v>0</v>
      </c>
      <c r="B6344" t="s">
        <v>1024</v>
      </c>
      <c r="C6344" t="s">
        <v>9431</v>
      </c>
      <c r="D6344" t="s">
        <v>16608</v>
      </c>
      <c r="E6344" t="s">
        <v>22287</v>
      </c>
      <c r="F6344" t="s">
        <v>28669</v>
      </c>
      <c r="G6344" t="s">
        <v>28675</v>
      </c>
      <c r="H6344" t="s">
        <v>28686</v>
      </c>
      <c r="I6344" t="s">
        <v>28689</v>
      </c>
      <c r="J6344" t="s">
        <v>32817</v>
      </c>
      <c r="K6344" t="s">
        <v>37285</v>
      </c>
      <c r="M6344" t="s">
        <v>39657</v>
      </c>
      <c r="N6344" t="s">
        <v>41249</v>
      </c>
      <c r="O6344" t="s">
        <v>41250</v>
      </c>
      <c r="P6344">
        <v>0</v>
      </c>
      <c r="Q6344">
        <v>33</v>
      </c>
      <c r="R6344" t="s">
        <v>41256</v>
      </c>
      <c r="S6344" t="s">
        <v>41450</v>
      </c>
      <c r="T6344" t="s">
        <v>43016</v>
      </c>
      <c r="U6344" t="s">
        <v>48163</v>
      </c>
      <c r="V6344" t="s">
        <v>54972</v>
      </c>
      <c r="W6344" t="s">
        <v>39657</v>
      </c>
      <c r="X6344" t="s">
        <v>41257</v>
      </c>
    </row>
    <row r="6345" spans="1:24">
      <c r="A6345">
        <f>HYPERLINK("https://www.philgeps.gov.ph/GEPSNONPILOT/Tender/SplashBidNoticeAbstractUI.aspx?menuIndex=3&amp;refID=7072255&amp;Result=3","7072255")</f>
        <v>0</v>
      </c>
      <c r="B6345" t="s">
        <v>2079</v>
      </c>
      <c r="C6345" t="s">
        <v>9432</v>
      </c>
      <c r="D6345" t="s">
        <v>16611</v>
      </c>
      <c r="E6345" t="s">
        <v>22288</v>
      </c>
      <c r="F6345" t="s">
        <v>28669</v>
      </c>
      <c r="G6345" t="s">
        <v>28675</v>
      </c>
      <c r="H6345" t="s">
        <v>9998</v>
      </c>
      <c r="I6345" t="s">
        <v>28693</v>
      </c>
      <c r="J6345" t="s">
        <v>32667</v>
      </c>
      <c r="K6345" t="s">
        <v>37206</v>
      </c>
      <c r="M6345" t="s">
        <v>39720</v>
      </c>
      <c r="N6345" t="s">
        <v>41249</v>
      </c>
      <c r="O6345" t="s">
        <v>41250</v>
      </c>
      <c r="P6345">
        <v>0</v>
      </c>
      <c r="Q6345">
        <v>6</v>
      </c>
      <c r="R6345" t="s">
        <v>41256</v>
      </c>
      <c r="S6345" t="s">
        <v>41450</v>
      </c>
      <c r="T6345" t="s">
        <v>42764</v>
      </c>
      <c r="U6345" t="s">
        <v>48431</v>
      </c>
      <c r="V6345" t="s">
        <v>54960</v>
      </c>
      <c r="W6345" t="s">
        <v>39720</v>
      </c>
      <c r="X6345" t="s">
        <v>41257</v>
      </c>
    </row>
    <row r="6346" spans="1:24">
      <c r="A6346">
        <f>HYPERLINK("https://www.philgeps.gov.ph/GEPSNONPILOT/Tender/SplashBidNoticeAbstractUI.aspx?menuIndex=3&amp;refID=7072268&amp;Result=3","7072268")</f>
        <v>0</v>
      </c>
      <c r="B6346" t="s">
        <v>2104</v>
      </c>
      <c r="C6346" t="s">
        <v>9433</v>
      </c>
      <c r="D6346" t="s">
        <v>16625</v>
      </c>
      <c r="E6346" t="s">
        <v>22289</v>
      </c>
      <c r="F6346" t="s">
        <v>28669</v>
      </c>
      <c r="G6346" t="s">
        <v>28679</v>
      </c>
      <c r="H6346" t="s">
        <v>9998</v>
      </c>
      <c r="I6346" t="s">
        <v>28717</v>
      </c>
      <c r="J6346" t="s">
        <v>32519</v>
      </c>
      <c r="K6346" t="s">
        <v>37206</v>
      </c>
      <c r="M6346" t="s">
        <v>39747</v>
      </c>
      <c r="N6346" t="s">
        <v>41249</v>
      </c>
      <c r="O6346" t="s">
        <v>41250</v>
      </c>
      <c r="P6346">
        <v>0</v>
      </c>
      <c r="Q6346">
        <v>3</v>
      </c>
      <c r="R6346" t="s">
        <v>41256</v>
      </c>
      <c r="S6346" t="s">
        <v>41450</v>
      </c>
      <c r="T6346" t="s">
        <v>42673</v>
      </c>
      <c r="U6346" t="s">
        <v>48432</v>
      </c>
      <c r="V6346" t="s">
        <v>54973</v>
      </c>
      <c r="W6346" t="s">
        <v>39747</v>
      </c>
      <c r="X6346" t="s">
        <v>41257</v>
      </c>
    </row>
    <row r="6347" spans="1:24">
      <c r="A6347">
        <f>HYPERLINK("https://www.philgeps.gov.ph/GEPSNONPILOT/Tender/SplashBidNoticeAbstractUI.aspx?menuIndex=3&amp;refID=7072254&amp;Result=3","7072254")</f>
        <v>0</v>
      </c>
      <c r="B6347" t="s">
        <v>2069</v>
      </c>
      <c r="C6347" t="s">
        <v>9434</v>
      </c>
      <c r="D6347" t="s">
        <v>16678</v>
      </c>
      <c r="E6347" t="s">
        <v>22290</v>
      </c>
      <c r="F6347" t="s">
        <v>28669</v>
      </c>
      <c r="G6347" t="s">
        <v>28676</v>
      </c>
      <c r="H6347" t="s">
        <v>28684</v>
      </c>
      <c r="I6347" t="s">
        <v>6606</v>
      </c>
      <c r="J6347" t="s">
        <v>32818</v>
      </c>
      <c r="K6347" t="s">
        <v>37289</v>
      </c>
      <c r="M6347" t="s">
        <v>39710</v>
      </c>
      <c r="N6347" t="s">
        <v>41249</v>
      </c>
      <c r="O6347" t="s">
        <v>41250</v>
      </c>
      <c r="P6347">
        <v>0</v>
      </c>
      <c r="Q6347">
        <v>0</v>
      </c>
      <c r="R6347" t="s">
        <v>41256</v>
      </c>
      <c r="S6347" t="s">
        <v>41450</v>
      </c>
      <c r="T6347" t="s">
        <v>42743</v>
      </c>
      <c r="U6347" t="s">
        <v>48433</v>
      </c>
      <c r="W6347" t="s">
        <v>39710</v>
      </c>
      <c r="X6347" t="s">
        <v>41257</v>
      </c>
    </row>
    <row r="6348" spans="1:24">
      <c r="A6348">
        <f>HYPERLINK("https://www.philgeps.gov.ph/GEPSNONPILOT/Tender/SplashBidNoticeAbstractUI.aspx?menuIndex=3&amp;refID=7072263&amp;Result=3","7072263")</f>
        <v>0</v>
      </c>
      <c r="B6348" t="s">
        <v>2104</v>
      </c>
      <c r="C6348" t="s">
        <v>9435</v>
      </c>
      <c r="D6348" t="s">
        <v>16625</v>
      </c>
      <c r="E6348" t="s">
        <v>22291</v>
      </c>
      <c r="F6348" t="s">
        <v>28669</v>
      </c>
      <c r="G6348" t="s">
        <v>28679</v>
      </c>
      <c r="H6348" t="s">
        <v>9998</v>
      </c>
      <c r="I6348" t="s">
        <v>28695</v>
      </c>
      <c r="J6348" t="s">
        <v>32819</v>
      </c>
      <c r="K6348" t="s">
        <v>37206</v>
      </c>
      <c r="M6348" t="s">
        <v>39747</v>
      </c>
      <c r="N6348" t="s">
        <v>41249</v>
      </c>
      <c r="O6348" t="s">
        <v>41250</v>
      </c>
      <c r="P6348">
        <v>0</v>
      </c>
      <c r="Q6348">
        <v>0</v>
      </c>
      <c r="R6348" t="s">
        <v>41256</v>
      </c>
      <c r="S6348" t="s">
        <v>41450</v>
      </c>
      <c r="T6348" t="s">
        <v>42673</v>
      </c>
      <c r="U6348" t="s">
        <v>48434</v>
      </c>
      <c r="V6348" t="s">
        <v>54974</v>
      </c>
      <c r="W6348" t="s">
        <v>39747</v>
      </c>
      <c r="X6348" t="s">
        <v>41257</v>
      </c>
    </row>
    <row r="6349" spans="1:24">
      <c r="A6349">
        <f>HYPERLINK("https://www.philgeps.gov.ph/GEPSNONPILOT/Tender/SplashBidNoticeAbstractUI.aspx?menuIndex=3&amp;refID=7072261&amp;Result=3","7072261")</f>
        <v>0</v>
      </c>
      <c r="B6349" t="s">
        <v>2099</v>
      </c>
      <c r="C6349" t="s">
        <v>9436</v>
      </c>
      <c r="D6349" t="s">
        <v>16608</v>
      </c>
      <c r="E6349" t="s">
        <v>22292</v>
      </c>
      <c r="F6349" t="s">
        <v>28669</v>
      </c>
      <c r="G6349" t="s">
        <v>28675</v>
      </c>
      <c r="H6349" t="s">
        <v>28686</v>
      </c>
      <c r="I6349" t="s">
        <v>28689</v>
      </c>
      <c r="J6349" t="s">
        <v>32820</v>
      </c>
      <c r="K6349" t="s">
        <v>37220</v>
      </c>
      <c r="M6349" t="s">
        <v>39742</v>
      </c>
      <c r="N6349" t="s">
        <v>41249</v>
      </c>
      <c r="O6349" t="s">
        <v>41250</v>
      </c>
      <c r="P6349">
        <v>0</v>
      </c>
      <c r="Q6349">
        <v>121</v>
      </c>
      <c r="R6349" t="s">
        <v>41256</v>
      </c>
      <c r="S6349" t="s">
        <v>41450</v>
      </c>
      <c r="T6349" t="s">
        <v>42911</v>
      </c>
      <c r="U6349" t="s">
        <v>48435</v>
      </c>
      <c r="W6349" t="s">
        <v>39742</v>
      </c>
      <c r="X6349" t="s">
        <v>41257</v>
      </c>
    </row>
    <row r="6350" spans="1:24">
      <c r="A6350">
        <f>HYPERLINK("https://www.philgeps.gov.ph/GEPSNONPILOT/Tender/SplashBidNoticeAbstractUI.aspx?menuIndex=3&amp;refID=7072230&amp;Result=3","7072230")</f>
        <v>0</v>
      </c>
      <c r="B6350" t="s">
        <v>870</v>
      </c>
      <c r="C6350" t="s">
        <v>9437</v>
      </c>
      <c r="E6350" t="s">
        <v>22293</v>
      </c>
      <c r="F6350" t="s">
        <v>28669</v>
      </c>
      <c r="G6350" t="s">
        <v>28675</v>
      </c>
      <c r="H6350" t="s">
        <v>28686</v>
      </c>
      <c r="I6350" t="s">
        <v>28689</v>
      </c>
      <c r="J6350" t="s">
        <v>32463</v>
      </c>
      <c r="K6350" t="s">
        <v>37211</v>
      </c>
      <c r="M6350" t="s">
        <v>38388</v>
      </c>
      <c r="N6350" t="s">
        <v>41249</v>
      </c>
      <c r="O6350" t="s">
        <v>41250</v>
      </c>
      <c r="P6350">
        <v>0</v>
      </c>
      <c r="Q6350">
        <v>0</v>
      </c>
      <c r="R6350" t="s">
        <v>41256</v>
      </c>
      <c r="S6350" t="s">
        <v>41450</v>
      </c>
      <c r="T6350" t="s">
        <v>42660</v>
      </c>
      <c r="U6350" t="s">
        <v>48413</v>
      </c>
      <c r="V6350" t="s">
        <v>54500</v>
      </c>
      <c r="W6350" t="s">
        <v>38388</v>
      </c>
      <c r="X6350" t="s">
        <v>41257</v>
      </c>
    </row>
    <row r="6351" spans="1:24">
      <c r="A6351">
        <f>HYPERLINK("https://www.philgeps.gov.ph/GEPSNONPILOT/Tender/SplashBidNoticeAbstractUI.aspx?menuIndex=3&amp;refID=7072257&amp;Result=3","7072257")</f>
        <v>0</v>
      </c>
      <c r="B6351" t="s">
        <v>2099</v>
      </c>
      <c r="C6351" t="s">
        <v>9438</v>
      </c>
      <c r="D6351" t="s">
        <v>16608</v>
      </c>
      <c r="E6351" t="s">
        <v>22294</v>
      </c>
      <c r="F6351" t="s">
        <v>28669</v>
      </c>
      <c r="G6351" t="s">
        <v>28675</v>
      </c>
      <c r="H6351" t="s">
        <v>28686</v>
      </c>
      <c r="I6351" t="s">
        <v>28689</v>
      </c>
      <c r="J6351" t="s">
        <v>32821</v>
      </c>
      <c r="K6351" t="s">
        <v>37214</v>
      </c>
      <c r="M6351" t="s">
        <v>39742</v>
      </c>
      <c r="N6351" t="s">
        <v>41249</v>
      </c>
      <c r="O6351" t="s">
        <v>41250</v>
      </c>
      <c r="P6351">
        <v>0</v>
      </c>
      <c r="Q6351">
        <v>121</v>
      </c>
      <c r="R6351" t="s">
        <v>41256</v>
      </c>
      <c r="S6351" t="s">
        <v>41450</v>
      </c>
      <c r="T6351" t="s">
        <v>42911</v>
      </c>
      <c r="U6351" t="s">
        <v>48436</v>
      </c>
      <c r="W6351" t="s">
        <v>39742</v>
      </c>
      <c r="X6351" t="s">
        <v>41257</v>
      </c>
    </row>
    <row r="6352" spans="1:24">
      <c r="A6352">
        <f>HYPERLINK("https://www.philgeps.gov.ph/GEPSNONPILOT/Tender/SplashBidNoticeAbstractUI.aspx?menuIndex=3&amp;refID=7049226&amp;Result=3","7049226")</f>
        <v>0</v>
      </c>
      <c r="B6352" t="s">
        <v>27</v>
      </c>
      <c r="C6352" t="s">
        <v>9439</v>
      </c>
      <c r="D6352" t="s">
        <v>16615</v>
      </c>
      <c r="E6352" t="s">
        <v>22295</v>
      </c>
      <c r="F6352" t="s">
        <v>28669</v>
      </c>
      <c r="G6352" t="s">
        <v>28675</v>
      </c>
      <c r="H6352" t="s">
        <v>28686</v>
      </c>
      <c r="I6352" t="s">
        <v>28728</v>
      </c>
      <c r="J6352" t="s">
        <v>28838</v>
      </c>
      <c r="K6352" t="s">
        <v>37206</v>
      </c>
      <c r="M6352" t="s">
        <v>37502</v>
      </c>
      <c r="N6352" t="s">
        <v>41249</v>
      </c>
      <c r="O6352" t="s">
        <v>41250</v>
      </c>
      <c r="P6352">
        <v>0</v>
      </c>
      <c r="Q6352">
        <v>0</v>
      </c>
      <c r="R6352" t="s">
        <v>41257</v>
      </c>
      <c r="S6352" t="s">
        <v>41461</v>
      </c>
      <c r="T6352" t="s">
        <v>42717</v>
      </c>
      <c r="U6352" t="s">
        <v>48437</v>
      </c>
      <c r="W6352" t="s">
        <v>37502</v>
      </c>
      <c r="X6352" t="s">
        <v>41267</v>
      </c>
    </row>
    <row r="6353" spans="1:24">
      <c r="A6353">
        <f>HYPERLINK("https://www.philgeps.gov.ph/GEPSNONPILOT/Tender/SplashBidNoticeAbstractUI.aspx?menuIndex=3&amp;refID=7049169&amp;Result=3","7049169")</f>
        <v>0</v>
      </c>
      <c r="B6353" t="s">
        <v>27</v>
      </c>
      <c r="C6353" t="s">
        <v>9440</v>
      </c>
      <c r="D6353" t="s">
        <v>16615</v>
      </c>
      <c r="E6353" t="s">
        <v>22296</v>
      </c>
      <c r="F6353" t="s">
        <v>28669</v>
      </c>
      <c r="G6353" t="s">
        <v>28675</v>
      </c>
      <c r="H6353" t="s">
        <v>28686</v>
      </c>
      <c r="I6353" t="s">
        <v>28728</v>
      </c>
      <c r="J6353" t="s">
        <v>29040</v>
      </c>
      <c r="K6353" t="s">
        <v>37206</v>
      </c>
      <c r="M6353" t="s">
        <v>37502</v>
      </c>
      <c r="N6353" t="s">
        <v>41249</v>
      </c>
      <c r="O6353" t="s">
        <v>41250</v>
      </c>
      <c r="P6353">
        <v>0</v>
      </c>
      <c r="Q6353">
        <v>0</v>
      </c>
      <c r="R6353" t="s">
        <v>41257</v>
      </c>
      <c r="S6353" t="s">
        <v>41461</v>
      </c>
      <c r="T6353" t="s">
        <v>42717</v>
      </c>
      <c r="U6353" t="s">
        <v>48438</v>
      </c>
      <c r="W6353" t="s">
        <v>37502</v>
      </c>
      <c r="X6353" t="s">
        <v>41267</v>
      </c>
    </row>
    <row r="6354" spans="1:24">
      <c r="A6354">
        <f>HYPERLINK("https://www.philgeps.gov.ph/GEPSNONPILOT/Tender/SplashBidNoticeAbstractUI.aspx?menuIndex=3&amp;refID=7049084&amp;Result=3","7049084")</f>
        <v>0</v>
      </c>
      <c r="B6354" t="s">
        <v>27</v>
      </c>
      <c r="C6354" t="s">
        <v>9441</v>
      </c>
      <c r="D6354" t="s">
        <v>16615</v>
      </c>
      <c r="E6354" t="s">
        <v>22297</v>
      </c>
      <c r="F6354" t="s">
        <v>28669</v>
      </c>
      <c r="G6354" t="s">
        <v>28675</v>
      </c>
      <c r="H6354" t="s">
        <v>28686</v>
      </c>
      <c r="I6354" t="s">
        <v>28689</v>
      </c>
      <c r="J6354" t="s">
        <v>32822</v>
      </c>
      <c r="K6354" t="s">
        <v>37206</v>
      </c>
      <c r="M6354" t="s">
        <v>37502</v>
      </c>
      <c r="N6354" t="s">
        <v>41249</v>
      </c>
      <c r="O6354" t="s">
        <v>41250</v>
      </c>
      <c r="P6354">
        <v>0</v>
      </c>
      <c r="Q6354">
        <v>0</v>
      </c>
      <c r="R6354" t="s">
        <v>41257</v>
      </c>
      <c r="S6354" t="s">
        <v>41461</v>
      </c>
      <c r="T6354" t="s">
        <v>42717</v>
      </c>
      <c r="U6354" t="s">
        <v>48439</v>
      </c>
      <c r="W6354" t="s">
        <v>37502</v>
      </c>
      <c r="X6354" t="s">
        <v>41267</v>
      </c>
    </row>
    <row r="6355" spans="1:24">
      <c r="A6355">
        <f>HYPERLINK("https://www.philgeps.gov.ph/GEPSNONPILOT/Tender/SplashBidNoticeAbstractUI.aspx?menuIndex=3&amp;refID=7043425&amp;Result=3","7043425")</f>
        <v>0</v>
      </c>
      <c r="B6355" t="s">
        <v>542</v>
      </c>
      <c r="C6355" t="s">
        <v>9442</v>
      </c>
      <c r="D6355" t="s">
        <v>16616</v>
      </c>
      <c r="E6355" t="s">
        <v>22298</v>
      </c>
      <c r="F6355" t="s">
        <v>28669</v>
      </c>
      <c r="G6355" t="s">
        <v>28675</v>
      </c>
      <c r="H6355" t="s">
        <v>9998</v>
      </c>
      <c r="I6355" t="s">
        <v>5213</v>
      </c>
      <c r="J6355" t="s">
        <v>30848</v>
      </c>
      <c r="K6355" t="s">
        <v>37204</v>
      </c>
      <c r="M6355" t="s">
        <v>38035</v>
      </c>
      <c r="N6355" t="s">
        <v>41249</v>
      </c>
      <c r="O6355" t="s">
        <v>41250</v>
      </c>
      <c r="P6355">
        <v>0</v>
      </c>
      <c r="Q6355">
        <v>1</v>
      </c>
      <c r="R6355" t="s">
        <v>41257</v>
      </c>
      <c r="S6355" t="s">
        <v>41461</v>
      </c>
      <c r="T6355" t="s">
        <v>42855</v>
      </c>
      <c r="U6355" t="s">
        <v>48440</v>
      </c>
      <c r="W6355" t="s">
        <v>38035</v>
      </c>
      <c r="X6355" t="s">
        <v>41271</v>
      </c>
    </row>
    <row r="6356" spans="1:24">
      <c r="A6356">
        <f>HYPERLINK("https://www.philgeps.gov.ph/GEPSNONPILOT/Tender/SplashBidNoticeAbstractUI.aspx?menuIndex=3&amp;refID=7036875&amp;Result=3","7036875")</f>
        <v>0</v>
      </c>
      <c r="B6356" t="s">
        <v>2105</v>
      </c>
      <c r="C6356" t="s">
        <v>9443</v>
      </c>
      <c r="D6356" t="s">
        <v>16668</v>
      </c>
      <c r="E6356" t="s">
        <v>22299</v>
      </c>
      <c r="F6356" t="s">
        <v>28669</v>
      </c>
      <c r="G6356" t="s">
        <v>28675</v>
      </c>
      <c r="H6356" t="s">
        <v>28686</v>
      </c>
      <c r="I6356" t="s">
        <v>28689</v>
      </c>
      <c r="J6356" t="s">
        <v>32823</v>
      </c>
      <c r="K6356" t="s">
        <v>37210</v>
      </c>
      <c r="M6356" t="s">
        <v>39748</v>
      </c>
      <c r="N6356" t="s">
        <v>41249</v>
      </c>
      <c r="O6356" t="s">
        <v>41250</v>
      </c>
      <c r="P6356">
        <v>0</v>
      </c>
      <c r="Q6356">
        <v>0</v>
      </c>
      <c r="R6356" t="s">
        <v>41257</v>
      </c>
      <c r="S6356" t="s">
        <v>41461</v>
      </c>
      <c r="T6356" t="s">
        <v>42758</v>
      </c>
      <c r="U6356" t="s">
        <v>48441</v>
      </c>
      <c r="W6356" t="s">
        <v>39748</v>
      </c>
      <c r="X6356" t="s">
        <v>41274</v>
      </c>
    </row>
    <row r="6357" spans="1:24">
      <c r="A6357">
        <f>HYPERLINK("https://www.philgeps.gov.ph/GEPSNONPILOT/Tender/SplashBidNoticeAbstractUI.aspx?menuIndex=3&amp;refID=7072209&amp;Result=3","7072209")</f>
        <v>0</v>
      </c>
      <c r="B6357" t="s">
        <v>2079</v>
      </c>
      <c r="C6357" t="s">
        <v>9444</v>
      </c>
      <c r="D6357" t="s">
        <v>16611</v>
      </c>
      <c r="E6357" t="s">
        <v>22300</v>
      </c>
      <c r="F6357" t="s">
        <v>28669</v>
      </c>
      <c r="G6357" t="s">
        <v>28675</v>
      </c>
      <c r="H6357" t="s">
        <v>9998</v>
      </c>
      <c r="I6357" t="s">
        <v>28688</v>
      </c>
      <c r="J6357" t="s">
        <v>32824</v>
      </c>
      <c r="K6357" t="s">
        <v>37231</v>
      </c>
      <c r="M6357" t="s">
        <v>39720</v>
      </c>
      <c r="N6357" t="s">
        <v>41249</v>
      </c>
      <c r="O6357" t="s">
        <v>41250</v>
      </c>
      <c r="P6357">
        <v>0</v>
      </c>
      <c r="Q6357">
        <v>5</v>
      </c>
      <c r="R6357" t="s">
        <v>41256</v>
      </c>
      <c r="S6357" t="s">
        <v>41450</v>
      </c>
      <c r="T6357" t="s">
        <v>42764</v>
      </c>
      <c r="U6357" t="s">
        <v>48442</v>
      </c>
      <c r="V6357" t="s">
        <v>54960</v>
      </c>
      <c r="W6357" t="s">
        <v>39720</v>
      </c>
      <c r="X6357" t="s">
        <v>41257</v>
      </c>
    </row>
    <row r="6358" spans="1:24">
      <c r="A6358">
        <f>HYPERLINK("https://www.philgeps.gov.ph/GEPSNONPILOT/Tender/SplashBidNoticeAbstractUI.aspx?menuIndex=3&amp;refID=7029484-2&amp;Result=3","7029484-2")</f>
        <v>0</v>
      </c>
      <c r="B6358" t="s">
        <v>1001</v>
      </c>
      <c r="C6358" t="s">
        <v>9445</v>
      </c>
      <c r="D6358" t="s">
        <v>16677</v>
      </c>
      <c r="E6358" t="s">
        <v>22301</v>
      </c>
      <c r="F6358" t="s">
        <v>28669</v>
      </c>
      <c r="G6358" t="s">
        <v>28675</v>
      </c>
      <c r="H6358" t="s">
        <v>28685</v>
      </c>
      <c r="I6358" t="s">
        <v>28685</v>
      </c>
      <c r="J6358" t="s">
        <v>29744</v>
      </c>
      <c r="K6358" t="s">
        <v>37209</v>
      </c>
      <c r="M6358" t="s">
        <v>38529</v>
      </c>
      <c r="N6358" t="s">
        <v>41249</v>
      </c>
      <c r="O6358" t="s">
        <v>41250</v>
      </c>
      <c r="P6358">
        <v>0</v>
      </c>
      <c r="Q6358">
        <v>0</v>
      </c>
      <c r="R6358" t="s">
        <v>41257</v>
      </c>
      <c r="S6358" t="s">
        <v>41461</v>
      </c>
      <c r="T6358" t="s">
        <v>42679</v>
      </c>
      <c r="U6358" t="s">
        <v>48443</v>
      </c>
      <c r="W6358" t="s">
        <v>38529</v>
      </c>
      <c r="X6358" t="s">
        <v>41258</v>
      </c>
    </row>
    <row r="6359" spans="1:24">
      <c r="A6359">
        <f>HYPERLINK("https://www.philgeps.gov.ph/GEPSNONPILOT/Tender/SplashBidNoticeAbstractUI.aspx?menuIndex=3&amp;refID=7072265&amp;Result=3","7072265")</f>
        <v>0</v>
      </c>
      <c r="B6359" t="s">
        <v>2099</v>
      </c>
      <c r="C6359" t="s">
        <v>9446</v>
      </c>
      <c r="D6359" t="s">
        <v>16608</v>
      </c>
      <c r="E6359" t="s">
        <v>22302</v>
      </c>
      <c r="F6359" t="s">
        <v>28669</v>
      </c>
      <c r="G6359" t="s">
        <v>28675</v>
      </c>
      <c r="H6359" t="s">
        <v>28686</v>
      </c>
      <c r="I6359" t="s">
        <v>28689</v>
      </c>
      <c r="J6359" t="s">
        <v>32825</v>
      </c>
      <c r="K6359" t="s">
        <v>37215</v>
      </c>
      <c r="M6359" t="s">
        <v>39742</v>
      </c>
      <c r="N6359" t="s">
        <v>41249</v>
      </c>
      <c r="O6359" t="s">
        <v>41250</v>
      </c>
      <c r="P6359">
        <v>0</v>
      </c>
      <c r="Q6359">
        <v>125</v>
      </c>
      <c r="R6359" t="s">
        <v>41256</v>
      </c>
      <c r="S6359" t="s">
        <v>41450</v>
      </c>
      <c r="T6359" t="s">
        <v>42911</v>
      </c>
      <c r="U6359" t="s">
        <v>48435</v>
      </c>
      <c r="W6359" t="s">
        <v>39742</v>
      </c>
      <c r="X6359" t="s">
        <v>41257</v>
      </c>
    </row>
    <row r="6360" spans="1:24">
      <c r="A6360">
        <f>HYPERLINK("https://www.philgeps.gov.ph/GEPSNONPILOT/Tender/SplashBidNoticeAbstractUI.aspx?menuIndex=3&amp;refID=7072251&amp;Result=3","7072251")</f>
        <v>0</v>
      </c>
      <c r="B6360" t="s">
        <v>2099</v>
      </c>
      <c r="C6360" t="s">
        <v>9447</v>
      </c>
      <c r="D6360" t="s">
        <v>16608</v>
      </c>
      <c r="E6360" t="s">
        <v>22303</v>
      </c>
      <c r="F6360" t="s">
        <v>28669</v>
      </c>
      <c r="G6360" t="s">
        <v>28675</v>
      </c>
      <c r="H6360" t="s">
        <v>28686</v>
      </c>
      <c r="I6360" t="s">
        <v>28689</v>
      </c>
      <c r="J6360" t="s">
        <v>32826</v>
      </c>
      <c r="K6360" t="s">
        <v>37214</v>
      </c>
      <c r="M6360" t="s">
        <v>39742</v>
      </c>
      <c r="N6360" t="s">
        <v>41249</v>
      </c>
      <c r="O6360" t="s">
        <v>41250</v>
      </c>
      <c r="P6360">
        <v>0</v>
      </c>
      <c r="Q6360">
        <v>122</v>
      </c>
      <c r="R6360" t="s">
        <v>41256</v>
      </c>
      <c r="S6360" t="s">
        <v>41450</v>
      </c>
      <c r="T6360" t="s">
        <v>42911</v>
      </c>
      <c r="U6360" t="s">
        <v>48414</v>
      </c>
      <c r="W6360" t="s">
        <v>39742</v>
      </c>
      <c r="X6360" t="s">
        <v>41257</v>
      </c>
    </row>
    <row r="6361" spans="1:24">
      <c r="A6361">
        <f>HYPERLINK("https://www.philgeps.gov.ph/GEPSNONPILOT/Tender/SplashBidNoticeAbstractUI.aspx?menuIndex=3&amp;refID=7042185&amp;Result=3","7042185")</f>
        <v>0</v>
      </c>
      <c r="B6361" t="s">
        <v>2105</v>
      </c>
      <c r="C6361" t="s">
        <v>9448</v>
      </c>
      <c r="D6361" t="s">
        <v>16668</v>
      </c>
      <c r="E6361" t="s">
        <v>22304</v>
      </c>
      <c r="F6361" t="s">
        <v>28669</v>
      </c>
      <c r="G6361" t="s">
        <v>28675</v>
      </c>
      <c r="H6361" t="s">
        <v>28686</v>
      </c>
      <c r="I6361" t="s">
        <v>28689</v>
      </c>
      <c r="J6361" t="s">
        <v>32827</v>
      </c>
      <c r="K6361" t="s">
        <v>37243</v>
      </c>
      <c r="M6361" t="s">
        <v>39748</v>
      </c>
      <c r="N6361" t="s">
        <v>41249</v>
      </c>
      <c r="O6361" t="s">
        <v>41250</v>
      </c>
      <c r="P6361">
        <v>0</v>
      </c>
      <c r="Q6361">
        <v>0</v>
      </c>
      <c r="R6361" t="s">
        <v>41257</v>
      </c>
      <c r="S6361" t="s">
        <v>41461</v>
      </c>
      <c r="T6361" t="s">
        <v>42701</v>
      </c>
      <c r="U6361" t="s">
        <v>48444</v>
      </c>
      <c r="W6361" t="s">
        <v>39748</v>
      </c>
      <c r="X6361" t="s">
        <v>41272</v>
      </c>
    </row>
    <row r="6362" spans="1:24">
      <c r="A6362">
        <f>HYPERLINK("https://www.philgeps.gov.ph/GEPSNONPILOT/Tender/SplashBidNoticeAbstractUI.aspx?menuIndex=3&amp;refID=7029694&amp;Result=3","7029694")</f>
        <v>0</v>
      </c>
      <c r="B6362" t="s">
        <v>2106</v>
      </c>
      <c r="C6362" t="s">
        <v>9449</v>
      </c>
      <c r="D6362" t="s">
        <v>16626</v>
      </c>
      <c r="E6362" t="s">
        <v>17029</v>
      </c>
      <c r="F6362" t="s">
        <v>28669</v>
      </c>
      <c r="G6362" t="s">
        <v>28675</v>
      </c>
      <c r="H6362" t="s">
        <v>9998</v>
      </c>
      <c r="I6362" t="s">
        <v>28687</v>
      </c>
      <c r="J6362" t="s">
        <v>28878</v>
      </c>
      <c r="K6362" t="s">
        <v>37204</v>
      </c>
      <c r="M6362" t="s">
        <v>39749</v>
      </c>
      <c r="N6362" t="s">
        <v>41249</v>
      </c>
      <c r="O6362" t="s">
        <v>41250</v>
      </c>
      <c r="P6362">
        <v>0</v>
      </c>
      <c r="Q6362">
        <v>0</v>
      </c>
      <c r="R6362" t="s">
        <v>41257</v>
      </c>
      <c r="S6362" t="s">
        <v>41461</v>
      </c>
      <c r="T6362" t="s">
        <v>42783</v>
      </c>
      <c r="U6362" t="s">
        <v>48445</v>
      </c>
      <c r="V6362" t="s">
        <v>54975</v>
      </c>
      <c r="W6362" t="s">
        <v>39749</v>
      </c>
      <c r="X6362" t="s">
        <v>41279</v>
      </c>
    </row>
    <row r="6363" spans="1:24">
      <c r="A6363">
        <f>HYPERLINK("https://www.philgeps.gov.ph/GEPSNONPILOT/Tender/SplashBidNoticeAbstractUI.aspx?menuIndex=3&amp;refID=7049931&amp;Result=3","7049931")</f>
        <v>0</v>
      </c>
      <c r="B6363" t="s">
        <v>2107</v>
      </c>
      <c r="C6363" t="s">
        <v>9450</v>
      </c>
      <c r="E6363" t="s">
        <v>22305</v>
      </c>
      <c r="F6363" t="s">
        <v>28669</v>
      </c>
      <c r="G6363" t="s">
        <v>28675</v>
      </c>
      <c r="H6363" t="s">
        <v>9998</v>
      </c>
      <c r="I6363" t="s">
        <v>28706</v>
      </c>
      <c r="J6363" t="s">
        <v>32828</v>
      </c>
      <c r="K6363" t="s">
        <v>37209</v>
      </c>
      <c r="M6363" t="s">
        <v>39750</v>
      </c>
      <c r="N6363" t="s">
        <v>41249</v>
      </c>
      <c r="O6363" t="s">
        <v>41250</v>
      </c>
      <c r="P6363">
        <v>0</v>
      </c>
      <c r="Q6363">
        <v>4</v>
      </c>
      <c r="R6363" t="s">
        <v>41257</v>
      </c>
      <c r="S6363" t="s">
        <v>41461</v>
      </c>
      <c r="T6363" t="s">
        <v>42782</v>
      </c>
      <c r="U6363" t="s">
        <v>48446</v>
      </c>
      <c r="W6363" t="s">
        <v>39750</v>
      </c>
      <c r="X6363" t="s">
        <v>41266</v>
      </c>
    </row>
    <row r="6364" spans="1:24">
      <c r="A6364">
        <f>HYPERLINK("https://www.philgeps.gov.ph/GEPSNONPILOT/Tender/SplashBidNoticeAbstractUI.aspx?menuIndex=3&amp;refID=7027047-2&amp;Result=3","7027047-2")</f>
        <v>0</v>
      </c>
      <c r="B6364" t="s">
        <v>2108</v>
      </c>
      <c r="C6364" t="s">
        <v>9451</v>
      </c>
      <c r="D6364" t="s">
        <v>16629</v>
      </c>
      <c r="E6364" t="s">
        <v>22306</v>
      </c>
      <c r="F6364" t="s">
        <v>28669</v>
      </c>
      <c r="G6364" t="s">
        <v>28675</v>
      </c>
      <c r="H6364" t="s">
        <v>9998</v>
      </c>
      <c r="I6364" t="s">
        <v>11593</v>
      </c>
      <c r="J6364" t="s">
        <v>32829</v>
      </c>
      <c r="K6364" t="s">
        <v>37205</v>
      </c>
      <c r="M6364" t="s">
        <v>39751</v>
      </c>
      <c r="N6364" t="s">
        <v>41249</v>
      </c>
      <c r="O6364" t="s">
        <v>41250</v>
      </c>
      <c r="P6364">
        <v>0</v>
      </c>
      <c r="Q6364">
        <v>1</v>
      </c>
      <c r="R6364" t="s">
        <v>41257</v>
      </c>
      <c r="S6364" t="s">
        <v>41461</v>
      </c>
      <c r="T6364" t="s">
        <v>42881</v>
      </c>
      <c r="U6364" t="s">
        <v>48447</v>
      </c>
      <c r="V6364" t="s">
        <v>54976</v>
      </c>
      <c r="W6364" t="s">
        <v>39751</v>
      </c>
      <c r="X6364" t="s">
        <v>41258</v>
      </c>
    </row>
    <row r="6365" spans="1:24">
      <c r="A6365">
        <f>HYPERLINK("https://www.philgeps.gov.ph/GEPSNONPILOT/Tender/SplashBidNoticeAbstractUI.aspx?menuIndex=3&amp;refID=7060367&amp;Result=3","7060367")</f>
        <v>0</v>
      </c>
      <c r="B6365" t="s">
        <v>694</v>
      </c>
      <c r="C6365" t="s">
        <v>9452</v>
      </c>
      <c r="D6365" t="s">
        <v>16686</v>
      </c>
      <c r="E6365" t="s">
        <v>22307</v>
      </c>
      <c r="F6365" t="s">
        <v>28669</v>
      </c>
      <c r="G6365" t="s">
        <v>28675</v>
      </c>
      <c r="H6365" t="s">
        <v>9998</v>
      </c>
      <c r="I6365" t="s">
        <v>28694</v>
      </c>
      <c r="J6365" t="s">
        <v>28826</v>
      </c>
      <c r="K6365" t="s">
        <v>37227</v>
      </c>
      <c r="M6365" t="s">
        <v>38199</v>
      </c>
      <c r="N6365" t="s">
        <v>41249</v>
      </c>
      <c r="O6365" t="s">
        <v>41250</v>
      </c>
      <c r="P6365">
        <v>0</v>
      </c>
      <c r="Q6365">
        <v>1</v>
      </c>
      <c r="R6365" t="s">
        <v>41257</v>
      </c>
      <c r="S6365" t="s">
        <v>41461</v>
      </c>
      <c r="T6365" t="s">
        <v>42701</v>
      </c>
      <c r="U6365" t="s">
        <v>48448</v>
      </c>
      <c r="V6365" t="s">
        <v>54428</v>
      </c>
      <c r="W6365" t="s">
        <v>38199</v>
      </c>
      <c r="X6365" t="s">
        <v>41261</v>
      </c>
    </row>
    <row r="6366" spans="1:24">
      <c r="A6366">
        <f>HYPERLINK("https://www.philgeps.gov.ph/GEPSNONPILOT/Tender/SplashBidNoticeAbstractUI.aspx?menuIndex=3&amp;refID=7021487-2&amp;Result=3","7021487-2")</f>
        <v>0</v>
      </c>
      <c r="B6366" t="s">
        <v>842</v>
      </c>
      <c r="C6366" t="s">
        <v>9453</v>
      </c>
      <c r="D6366" t="s">
        <v>16658</v>
      </c>
      <c r="E6366" t="s">
        <v>22308</v>
      </c>
      <c r="F6366" t="s">
        <v>28669</v>
      </c>
      <c r="G6366" t="s">
        <v>28675</v>
      </c>
      <c r="H6366" t="s">
        <v>28685</v>
      </c>
      <c r="I6366" t="s">
        <v>28685</v>
      </c>
      <c r="J6366" t="s">
        <v>29724</v>
      </c>
      <c r="K6366" t="s">
        <v>37213</v>
      </c>
      <c r="M6366" t="s">
        <v>39485</v>
      </c>
      <c r="N6366" t="s">
        <v>41249</v>
      </c>
      <c r="O6366" t="s">
        <v>41250</v>
      </c>
      <c r="P6366">
        <v>0</v>
      </c>
      <c r="Q6366">
        <v>2</v>
      </c>
      <c r="R6366" t="s">
        <v>41257</v>
      </c>
      <c r="S6366" t="s">
        <v>41461</v>
      </c>
      <c r="T6366" t="s">
        <v>42670</v>
      </c>
      <c r="U6366" t="s">
        <v>48449</v>
      </c>
      <c r="W6366" t="s">
        <v>39485</v>
      </c>
      <c r="X6366" t="s">
        <v>41258</v>
      </c>
    </row>
    <row r="6367" spans="1:24">
      <c r="A6367">
        <f>HYPERLINK("https://www.philgeps.gov.ph/GEPSNONPILOT/Tender/SplashBidNoticeAbstractUI.aspx?menuIndex=3&amp;refID=7060252&amp;Result=3","7060252")</f>
        <v>0</v>
      </c>
      <c r="B6367" t="s">
        <v>694</v>
      </c>
      <c r="C6367" t="s">
        <v>9454</v>
      </c>
      <c r="D6367" t="s">
        <v>16686</v>
      </c>
      <c r="E6367" t="s">
        <v>22309</v>
      </c>
      <c r="F6367" t="s">
        <v>28669</v>
      </c>
      <c r="G6367" t="s">
        <v>28675</v>
      </c>
      <c r="H6367" t="s">
        <v>9998</v>
      </c>
      <c r="I6367" t="s">
        <v>28694</v>
      </c>
      <c r="J6367" t="s">
        <v>32830</v>
      </c>
      <c r="K6367" t="s">
        <v>37227</v>
      </c>
      <c r="M6367" t="s">
        <v>38199</v>
      </c>
      <c r="N6367" t="s">
        <v>41249</v>
      </c>
      <c r="O6367" t="s">
        <v>41250</v>
      </c>
      <c r="P6367">
        <v>0</v>
      </c>
      <c r="Q6367">
        <v>1</v>
      </c>
      <c r="R6367" t="s">
        <v>41257</v>
      </c>
      <c r="S6367" t="s">
        <v>41461</v>
      </c>
      <c r="T6367" t="s">
        <v>42701</v>
      </c>
      <c r="U6367" t="s">
        <v>48450</v>
      </c>
      <c r="V6367" t="s">
        <v>54428</v>
      </c>
      <c r="W6367" t="s">
        <v>38199</v>
      </c>
      <c r="X6367" t="s">
        <v>41261</v>
      </c>
    </row>
    <row r="6368" spans="1:24">
      <c r="A6368">
        <f>HYPERLINK("https://www.philgeps.gov.ph/GEPSNONPILOT/Tender/SplashBidNoticeAbstractUI.aspx?menuIndex=3&amp;refID=7058835&amp;Result=3","7058835")</f>
        <v>0</v>
      </c>
      <c r="B6368" t="s">
        <v>936</v>
      </c>
      <c r="C6368" t="s">
        <v>9455</v>
      </c>
      <c r="D6368" t="s">
        <v>16640</v>
      </c>
      <c r="E6368" t="s">
        <v>22310</v>
      </c>
      <c r="F6368" t="s">
        <v>28669</v>
      </c>
      <c r="G6368" t="s">
        <v>28675</v>
      </c>
      <c r="H6368" t="s">
        <v>9998</v>
      </c>
      <c r="I6368" t="s">
        <v>28687</v>
      </c>
      <c r="J6368" t="s">
        <v>32831</v>
      </c>
      <c r="K6368" t="s">
        <v>37206</v>
      </c>
      <c r="M6368" t="s">
        <v>38459</v>
      </c>
      <c r="N6368" t="s">
        <v>41249</v>
      </c>
      <c r="O6368" t="s">
        <v>41250</v>
      </c>
      <c r="P6368">
        <v>0</v>
      </c>
      <c r="Q6368">
        <v>9</v>
      </c>
      <c r="R6368" t="s">
        <v>41257</v>
      </c>
      <c r="S6368" t="s">
        <v>41461</v>
      </c>
      <c r="T6368" t="s">
        <v>42929</v>
      </c>
      <c r="U6368" t="s">
        <v>48451</v>
      </c>
      <c r="W6368" t="s">
        <v>38459</v>
      </c>
      <c r="X6368" t="s">
        <v>41262</v>
      </c>
    </row>
    <row r="6369" spans="1:24">
      <c r="A6369">
        <f>HYPERLINK("https://www.philgeps.gov.ph/GEPSNONPILOT/Tender/SplashBidNoticeAbstractUI.aspx?menuIndex=3&amp;refID=7058594&amp;Result=3","7058594")</f>
        <v>0</v>
      </c>
      <c r="B6369" t="s">
        <v>1254</v>
      </c>
      <c r="C6369" t="s">
        <v>9456</v>
      </c>
      <c r="E6369" t="s">
        <v>22311</v>
      </c>
      <c r="F6369" t="s">
        <v>28669</v>
      </c>
      <c r="G6369" t="s">
        <v>28675</v>
      </c>
      <c r="H6369" t="s">
        <v>9998</v>
      </c>
      <c r="I6369" t="s">
        <v>28702</v>
      </c>
      <c r="J6369" t="s">
        <v>31506</v>
      </c>
      <c r="K6369" t="s">
        <v>37220</v>
      </c>
      <c r="M6369" t="s">
        <v>38801</v>
      </c>
      <c r="N6369" t="s">
        <v>41249</v>
      </c>
      <c r="O6369" t="s">
        <v>41250</v>
      </c>
      <c r="P6369">
        <v>0</v>
      </c>
      <c r="Q6369">
        <v>4</v>
      </c>
      <c r="R6369" t="s">
        <v>41257</v>
      </c>
      <c r="S6369" t="s">
        <v>41461</v>
      </c>
      <c r="T6369" t="s">
        <v>43024</v>
      </c>
      <c r="U6369" t="s">
        <v>48452</v>
      </c>
      <c r="W6369" t="s">
        <v>38801</v>
      </c>
      <c r="X6369" t="s">
        <v>41262</v>
      </c>
    </row>
    <row r="6370" spans="1:24">
      <c r="A6370">
        <f>HYPERLINK("https://www.philgeps.gov.ph/GEPSNONPILOT/Tender/SplashBidNoticeAbstractUI.aspx?menuIndex=3&amp;refID=7058252&amp;Result=3","7058252")</f>
        <v>0</v>
      </c>
      <c r="B6370" t="s">
        <v>1308</v>
      </c>
      <c r="C6370" t="s">
        <v>9457</v>
      </c>
      <c r="D6370" t="s">
        <v>16654</v>
      </c>
      <c r="E6370" t="s">
        <v>19641</v>
      </c>
      <c r="F6370" t="s">
        <v>28669</v>
      </c>
      <c r="G6370" t="s">
        <v>28675</v>
      </c>
      <c r="H6370" t="s">
        <v>9998</v>
      </c>
      <c r="I6370" t="s">
        <v>7352</v>
      </c>
      <c r="J6370" t="s">
        <v>32832</v>
      </c>
      <c r="K6370" t="s">
        <v>37209</v>
      </c>
      <c r="M6370" t="s">
        <v>38860</v>
      </c>
      <c r="N6370" t="s">
        <v>41249</v>
      </c>
      <c r="O6370" t="s">
        <v>41250</v>
      </c>
      <c r="P6370">
        <v>0</v>
      </c>
      <c r="Q6370">
        <v>0</v>
      </c>
      <c r="R6370" t="s">
        <v>41257</v>
      </c>
      <c r="S6370" t="s">
        <v>41461</v>
      </c>
      <c r="T6370" t="s">
        <v>42929</v>
      </c>
      <c r="U6370" t="s">
        <v>48453</v>
      </c>
      <c r="W6370" t="s">
        <v>38860</v>
      </c>
      <c r="X6370" t="s">
        <v>41263</v>
      </c>
    </row>
    <row r="6371" spans="1:24">
      <c r="A6371">
        <f>HYPERLINK("https://www.philgeps.gov.ph/GEPSNONPILOT/Tender/SplashBidNoticeAbstractUI.aspx?menuIndex=3&amp;refID=7058245&amp;Result=3","7058245")</f>
        <v>0</v>
      </c>
      <c r="B6371" t="s">
        <v>1308</v>
      </c>
      <c r="C6371" t="s">
        <v>9458</v>
      </c>
      <c r="D6371" t="s">
        <v>16654</v>
      </c>
      <c r="E6371" t="s">
        <v>22312</v>
      </c>
      <c r="F6371" t="s">
        <v>28669</v>
      </c>
      <c r="G6371" t="s">
        <v>28675</v>
      </c>
      <c r="H6371" t="s">
        <v>28686</v>
      </c>
      <c r="I6371" t="s">
        <v>28689</v>
      </c>
      <c r="J6371" t="s">
        <v>32833</v>
      </c>
      <c r="K6371" t="s">
        <v>37209</v>
      </c>
      <c r="M6371" t="s">
        <v>38860</v>
      </c>
      <c r="N6371" t="s">
        <v>41249</v>
      </c>
      <c r="O6371" t="s">
        <v>41250</v>
      </c>
      <c r="P6371">
        <v>0</v>
      </c>
      <c r="Q6371">
        <v>2</v>
      </c>
      <c r="R6371" t="s">
        <v>41257</v>
      </c>
      <c r="S6371" t="s">
        <v>41461</v>
      </c>
      <c r="T6371" t="s">
        <v>42929</v>
      </c>
      <c r="U6371" t="s">
        <v>48454</v>
      </c>
      <c r="W6371" t="s">
        <v>38860</v>
      </c>
      <c r="X6371" t="s">
        <v>41263</v>
      </c>
    </row>
    <row r="6372" spans="1:24">
      <c r="A6372">
        <f>HYPERLINK("https://www.philgeps.gov.ph/GEPSNONPILOT/Tender/SplashBidNoticeAbstractUI.aspx?menuIndex=3&amp;refID=7058243&amp;Result=3","7058243")</f>
        <v>0</v>
      </c>
      <c r="B6372" t="s">
        <v>1308</v>
      </c>
      <c r="C6372" t="s">
        <v>9459</v>
      </c>
      <c r="D6372" t="s">
        <v>16654</v>
      </c>
      <c r="E6372" t="s">
        <v>22313</v>
      </c>
      <c r="F6372" t="s">
        <v>28669</v>
      </c>
      <c r="G6372" t="s">
        <v>28675</v>
      </c>
      <c r="H6372" t="s">
        <v>28686</v>
      </c>
      <c r="I6372" t="s">
        <v>28689</v>
      </c>
      <c r="J6372" t="s">
        <v>32834</v>
      </c>
      <c r="K6372" t="s">
        <v>37209</v>
      </c>
      <c r="M6372" t="s">
        <v>38860</v>
      </c>
      <c r="N6372" t="s">
        <v>41249</v>
      </c>
      <c r="O6372" t="s">
        <v>41250</v>
      </c>
      <c r="P6372">
        <v>0</v>
      </c>
      <c r="Q6372">
        <v>2</v>
      </c>
      <c r="R6372" t="s">
        <v>41257</v>
      </c>
      <c r="S6372" t="s">
        <v>41461</v>
      </c>
      <c r="T6372" t="s">
        <v>42805</v>
      </c>
      <c r="U6372" t="s">
        <v>48455</v>
      </c>
      <c r="W6372" t="s">
        <v>38860</v>
      </c>
      <c r="X6372" t="s">
        <v>41263</v>
      </c>
    </row>
    <row r="6373" spans="1:24">
      <c r="A6373">
        <f>HYPERLINK("https://www.philgeps.gov.ph/GEPSNONPILOT/Tender/SplashBidNoticeAbstractUI.aspx?menuIndex=3&amp;refID=7057401&amp;Result=3","7057401")</f>
        <v>0</v>
      </c>
      <c r="B6373" t="s">
        <v>2058</v>
      </c>
      <c r="C6373" t="s">
        <v>9460</v>
      </c>
      <c r="D6373" t="s">
        <v>16670</v>
      </c>
      <c r="E6373" t="s">
        <v>22314</v>
      </c>
      <c r="F6373" t="s">
        <v>28669</v>
      </c>
      <c r="G6373" t="s">
        <v>28675</v>
      </c>
      <c r="H6373" t="s">
        <v>9998</v>
      </c>
      <c r="I6373" t="s">
        <v>3718</v>
      </c>
      <c r="J6373" t="s">
        <v>32835</v>
      </c>
      <c r="K6373" t="s">
        <v>37206</v>
      </c>
      <c r="M6373" t="s">
        <v>39698</v>
      </c>
      <c r="N6373" t="s">
        <v>41249</v>
      </c>
      <c r="O6373" t="s">
        <v>41250</v>
      </c>
      <c r="P6373">
        <v>0</v>
      </c>
      <c r="Q6373">
        <v>1</v>
      </c>
      <c r="R6373" t="s">
        <v>41257</v>
      </c>
      <c r="S6373" t="s">
        <v>41461</v>
      </c>
      <c r="T6373" t="s">
        <v>42881</v>
      </c>
      <c r="U6373" t="s">
        <v>48456</v>
      </c>
      <c r="V6373" t="s">
        <v>54977</v>
      </c>
      <c r="W6373" t="s">
        <v>39698</v>
      </c>
      <c r="X6373" t="s">
        <v>41264</v>
      </c>
    </row>
    <row r="6374" spans="1:24">
      <c r="A6374">
        <f>HYPERLINK("https://www.philgeps.gov.ph/GEPSNONPILOT/Tender/SplashBidNoticeAbstractUI.aspx?menuIndex=3&amp;refID=7021478-2&amp;Result=3","7021478-2")</f>
        <v>0</v>
      </c>
      <c r="B6374" t="s">
        <v>842</v>
      </c>
      <c r="C6374" t="s">
        <v>9461</v>
      </c>
      <c r="D6374" t="s">
        <v>16658</v>
      </c>
      <c r="E6374" t="s">
        <v>22315</v>
      </c>
      <c r="F6374" t="s">
        <v>28669</v>
      </c>
      <c r="G6374" t="s">
        <v>28675</v>
      </c>
      <c r="H6374" t="s">
        <v>28685</v>
      </c>
      <c r="I6374" t="s">
        <v>28685</v>
      </c>
      <c r="J6374" t="s">
        <v>32073</v>
      </c>
      <c r="K6374" t="s">
        <v>37269</v>
      </c>
      <c r="M6374" t="s">
        <v>39485</v>
      </c>
      <c r="N6374" t="s">
        <v>41249</v>
      </c>
      <c r="O6374" t="s">
        <v>41250</v>
      </c>
      <c r="P6374">
        <v>0</v>
      </c>
      <c r="Q6374">
        <v>1</v>
      </c>
      <c r="R6374" t="s">
        <v>41257</v>
      </c>
      <c r="S6374" t="s">
        <v>41461</v>
      </c>
      <c r="T6374" t="s">
        <v>42670</v>
      </c>
      <c r="U6374" t="s">
        <v>48457</v>
      </c>
      <c r="W6374" t="s">
        <v>39485</v>
      </c>
      <c r="X6374" t="s">
        <v>41258</v>
      </c>
    </row>
    <row r="6375" spans="1:24">
      <c r="A6375">
        <f>HYPERLINK("https://www.philgeps.gov.ph/GEPSNONPILOT/Tender/SplashBidNoticeAbstractUI.aspx?menuIndex=3&amp;refID=7057337&amp;Result=3","7057337")</f>
        <v>0</v>
      </c>
      <c r="B6375" t="s">
        <v>2109</v>
      </c>
      <c r="C6375" t="s">
        <v>9462</v>
      </c>
      <c r="D6375" t="s">
        <v>16626</v>
      </c>
      <c r="E6375" t="s">
        <v>22316</v>
      </c>
      <c r="F6375" t="s">
        <v>28669</v>
      </c>
      <c r="G6375" t="s">
        <v>28676</v>
      </c>
      <c r="H6375" t="s">
        <v>9998</v>
      </c>
      <c r="I6375" t="s">
        <v>7352</v>
      </c>
      <c r="J6375" t="s">
        <v>32836</v>
      </c>
      <c r="K6375" t="s">
        <v>37205</v>
      </c>
      <c r="M6375" t="s">
        <v>39752</v>
      </c>
      <c r="N6375" t="s">
        <v>41249</v>
      </c>
      <c r="O6375" t="s">
        <v>41250</v>
      </c>
      <c r="P6375">
        <v>0</v>
      </c>
      <c r="Q6375">
        <v>0</v>
      </c>
      <c r="R6375" t="s">
        <v>41257</v>
      </c>
      <c r="S6375" t="s">
        <v>41461</v>
      </c>
      <c r="T6375" t="s">
        <v>42811</v>
      </c>
      <c r="U6375" t="s">
        <v>48458</v>
      </c>
      <c r="W6375" t="s">
        <v>55979</v>
      </c>
      <c r="X6375" t="s">
        <v>41264</v>
      </c>
    </row>
    <row r="6376" spans="1:24">
      <c r="A6376">
        <f>HYPERLINK("https://www.philgeps.gov.ph/GEPSNONPILOT/Tender/SplashBidNoticeAbstractUI.aspx?menuIndex=3&amp;refID=7057293&amp;Result=3","7057293")</f>
        <v>0</v>
      </c>
      <c r="B6376" t="s">
        <v>410</v>
      </c>
      <c r="C6376" t="s">
        <v>9463</v>
      </c>
      <c r="D6376" t="s">
        <v>16630</v>
      </c>
      <c r="E6376" t="s">
        <v>22317</v>
      </c>
      <c r="F6376" t="s">
        <v>28669</v>
      </c>
      <c r="G6376" t="s">
        <v>28675</v>
      </c>
      <c r="H6376" t="s">
        <v>28686</v>
      </c>
      <c r="I6376" t="s">
        <v>28689</v>
      </c>
      <c r="J6376" t="s">
        <v>32837</v>
      </c>
      <c r="K6376" t="s">
        <v>37370</v>
      </c>
      <c r="M6376" t="s">
        <v>37895</v>
      </c>
      <c r="N6376" t="s">
        <v>41249</v>
      </c>
      <c r="O6376" t="s">
        <v>41250</v>
      </c>
      <c r="P6376">
        <v>0</v>
      </c>
      <c r="Q6376">
        <v>1</v>
      </c>
      <c r="R6376" t="s">
        <v>41257</v>
      </c>
      <c r="S6376" t="s">
        <v>41461</v>
      </c>
      <c r="T6376" t="s">
        <v>43025</v>
      </c>
      <c r="U6376" t="s">
        <v>48459</v>
      </c>
      <c r="W6376" t="s">
        <v>37895</v>
      </c>
      <c r="X6376" t="s">
        <v>41264</v>
      </c>
    </row>
    <row r="6377" spans="1:24">
      <c r="A6377">
        <f>HYPERLINK("https://www.philgeps.gov.ph/GEPSNONPILOT/Tender/SplashBidNoticeAbstractUI.aspx?menuIndex=3&amp;refID=7057171&amp;Result=3","7057171")</f>
        <v>0</v>
      </c>
      <c r="B6377" t="s">
        <v>2109</v>
      </c>
      <c r="C6377" t="s">
        <v>9464</v>
      </c>
      <c r="D6377" t="s">
        <v>16626</v>
      </c>
      <c r="E6377" t="s">
        <v>22318</v>
      </c>
      <c r="F6377" t="s">
        <v>28669</v>
      </c>
      <c r="G6377" t="s">
        <v>28676</v>
      </c>
      <c r="H6377" t="s">
        <v>9998</v>
      </c>
      <c r="I6377" t="s">
        <v>28697</v>
      </c>
      <c r="J6377" t="s">
        <v>32838</v>
      </c>
      <c r="K6377" t="s">
        <v>37205</v>
      </c>
      <c r="M6377" t="s">
        <v>39752</v>
      </c>
      <c r="N6377" t="s">
        <v>41249</v>
      </c>
      <c r="O6377" t="s">
        <v>41250</v>
      </c>
      <c r="P6377">
        <v>0</v>
      </c>
      <c r="Q6377">
        <v>11</v>
      </c>
      <c r="R6377" t="s">
        <v>41257</v>
      </c>
      <c r="S6377" t="s">
        <v>41461</v>
      </c>
      <c r="T6377" t="s">
        <v>42811</v>
      </c>
      <c r="U6377" t="s">
        <v>48460</v>
      </c>
      <c r="W6377" t="s">
        <v>55979</v>
      </c>
      <c r="X6377" t="s">
        <v>41264</v>
      </c>
    </row>
    <row r="6378" spans="1:24">
      <c r="A6378">
        <f>HYPERLINK("https://www.philgeps.gov.ph/GEPSNONPILOT/Tender/SplashBidNoticeAbstractUI.aspx?menuIndex=3&amp;refID=7058249&amp;Result=3","7058249")</f>
        <v>0</v>
      </c>
      <c r="B6378" t="s">
        <v>1308</v>
      </c>
      <c r="C6378" t="s">
        <v>9465</v>
      </c>
      <c r="D6378" t="s">
        <v>16654</v>
      </c>
      <c r="E6378" t="s">
        <v>22319</v>
      </c>
      <c r="F6378" t="s">
        <v>28669</v>
      </c>
      <c r="G6378" t="s">
        <v>28675</v>
      </c>
      <c r="H6378" t="s">
        <v>9998</v>
      </c>
      <c r="I6378" t="s">
        <v>7352</v>
      </c>
      <c r="J6378" t="s">
        <v>32839</v>
      </c>
      <c r="K6378" t="s">
        <v>37209</v>
      </c>
      <c r="M6378" t="s">
        <v>38860</v>
      </c>
      <c r="N6378" t="s">
        <v>41249</v>
      </c>
      <c r="O6378" t="s">
        <v>41250</v>
      </c>
      <c r="P6378">
        <v>0</v>
      </c>
      <c r="Q6378">
        <v>1</v>
      </c>
      <c r="R6378" t="s">
        <v>41257</v>
      </c>
      <c r="S6378" t="s">
        <v>41461</v>
      </c>
      <c r="T6378" t="s">
        <v>42929</v>
      </c>
      <c r="U6378" t="s">
        <v>48461</v>
      </c>
      <c r="W6378" t="s">
        <v>38860</v>
      </c>
      <c r="X6378" t="s">
        <v>41263</v>
      </c>
    </row>
    <row r="6379" spans="1:24">
      <c r="A6379">
        <f>HYPERLINK("https://www.philgeps.gov.ph/GEPSNONPILOT/Tender/SplashBidNoticeAbstractUI.aspx?menuIndex=3&amp;refID=7057123&amp;Result=3","7057123")</f>
        <v>0</v>
      </c>
      <c r="B6379" t="s">
        <v>2109</v>
      </c>
      <c r="C6379" t="s">
        <v>9466</v>
      </c>
      <c r="D6379" t="s">
        <v>16626</v>
      </c>
      <c r="E6379" t="s">
        <v>22320</v>
      </c>
      <c r="F6379" t="s">
        <v>28669</v>
      </c>
      <c r="G6379" t="s">
        <v>28676</v>
      </c>
      <c r="H6379" t="s">
        <v>9998</v>
      </c>
      <c r="I6379" t="s">
        <v>28697</v>
      </c>
      <c r="J6379" t="s">
        <v>32840</v>
      </c>
      <c r="K6379" t="s">
        <v>37205</v>
      </c>
      <c r="M6379" t="s">
        <v>39752</v>
      </c>
      <c r="N6379" t="s">
        <v>41249</v>
      </c>
      <c r="O6379" t="s">
        <v>41250</v>
      </c>
      <c r="P6379">
        <v>0</v>
      </c>
      <c r="Q6379">
        <v>8</v>
      </c>
      <c r="R6379" t="s">
        <v>41257</v>
      </c>
      <c r="S6379" t="s">
        <v>41461</v>
      </c>
      <c r="T6379" t="s">
        <v>42811</v>
      </c>
      <c r="U6379" t="s">
        <v>48462</v>
      </c>
      <c r="W6379" t="s">
        <v>55979</v>
      </c>
      <c r="X6379" t="s">
        <v>41264</v>
      </c>
    </row>
    <row r="6380" spans="1:24">
      <c r="A6380">
        <f>HYPERLINK("https://www.philgeps.gov.ph/GEPSNONPILOT/Tender/SplashBidNoticeAbstractUI.aspx?menuIndex=3&amp;refID=7058240&amp;Result=3","7058240")</f>
        <v>0</v>
      </c>
      <c r="B6380" t="s">
        <v>1308</v>
      </c>
      <c r="C6380" t="s">
        <v>9467</v>
      </c>
      <c r="D6380" t="s">
        <v>16654</v>
      </c>
      <c r="E6380" t="s">
        <v>22321</v>
      </c>
      <c r="F6380" t="s">
        <v>28669</v>
      </c>
      <c r="G6380" t="s">
        <v>28675</v>
      </c>
      <c r="H6380" t="s">
        <v>28686</v>
      </c>
      <c r="I6380" t="s">
        <v>28689</v>
      </c>
      <c r="J6380" t="s">
        <v>32841</v>
      </c>
      <c r="K6380" t="s">
        <v>37209</v>
      </c>
      <c r="M6380" t="s">
        <v>38860</v>
      </c>
      <c r="N6380" t="s">
        <v>41249</v>
      </c>
      <c r="O6380" t="s">
        <v>41250</v>
      </c>
      <c r="P6380">
        <v>0</v>
      </c>
      <c r="Q6380">
        <v>1</v>
      </c>
      <c r="R6380" t="s">
        <v>41257</v>
      </c>
      <c r="S6380" t="s">
        <v>41461</v>
      </c>
      <c r="T6380" t="s">
        <v>42929</v>
      </c>
      <c r="U6380" t="s">
        <v>48463</v>
      </c>
      <c r="W6380" t="s">
        <v>38860</v>
      </c>
      <c r="X6380" t="s">
        <v>41263</v>
      </c>
    </row>
    <row r="6381" spans="1:24">
      <c r="A6381">
        <f>HYPERLINK("https://www.philgeps.gov.ph/GEPSNONPILOT/Tender/SplashBidNoticeAbstractUI.aspx?menuIndex=3&amp;refID=7064028&amp;Result=3","7064028")</f>
        <v>0</v>
      </c>
      <c r="B6381" t="s">
        <v>1013</v>
      </c>
      <c r="C6381" t="s">
        <v>9468</v>
      </c>
      <c r="D6381" t="s">
        <v>16628</v>
      </c>
      <c r="E6381" t="s">
        <v>22322</v>
      </c>
      <c r="F6381" t="s">
        <v>28669</v>
      </c>
      <c r="G6381" t="s">
        <v>28675</v>
      </c>
      <c r="H6381" t="s">
        <v>28686</v>
      </c>
      <c r="I6381" t="s">
        <v>28689</v>
      </c>
      <c r="J6381" t="s">
        <v>32842</v>
      </c>
      <c r="K6381" t="s">
        <v>37211</v>
      </c>
      <c r="M6381" t="s">
        <v>38543</v>
      </c>
      <c r="N6381" t="s">
        <v>41249</v>
      </c>
      <c r="O6381" t="s">
        <v>41250</v>
      </c>
      <c r="P6381">
        <v>0</v>
      </c>
      <c r="Q6381">
        <v>1</v>
      </c>
      <c r="R6381" t="s">
        <v>41257</v>
      </c>
      <c r="S6381" t="s">
        <v>41461</v>
      </c>
      <c r="T6381" t="s">
        <v>42672</v>
      </c>
      <c r="U6381" t="s">
        <v>48464</v>
      </c>
      <c r="W6381" t="s">
        <v>38543</v>
      </c>
      <c r="X6381" t="s">
        <v>41260</v>
      </c>
    </row>
    <row r="6382" spans="1:24">
      <c r="A6382">
        <f>HYPERLINK("https://www.philgeps.gov.ph/GEPSNONPILOT/Tender/SplashBidNoticeAbstractUI.aspx?menuIndex=3&amp;refID=7050814&amp;Result=3","7050814")</f>
        <v>0</v>
      </c>
      <c r="B6382" t="s">
        <v>1678</v>
      </c>
      <c r="C6382" t="s">
        <v>7900</v>
      </c>
      <c r="D6382" t="s">
        <v>16667</v>
      </c>
      <c r="E6382" t="s">
        <v>22323</v>
      </c>
      <c r="F6382" t="s">
        <v>28669</v>
      </c>
      <c r="G6382" t="s">
        <v>28675</v>
      </c>
      <c r="H6382" t="s">
        <v>28686</v>
      </c>
      <c r="I6382" t="s">
        <v>28689</v>
      </c>
      <c r="J6382" t="s">
        <v>28879</v>
      </c>
      <c r="K6382" t="s">
        <v>37283</v>
      </c>
      <c r="M6382" t="s">
        <v>39272</v>
      </c>
      <c r="N6382" t="s">
        <v>41249</v>
      </c>
      <c r="O6382" t="s">
        <v>41250</v>
      </c>
      <c r="P6382">
        <v>0</v>
      </c>
      <c r="Q6382">
        <v>0</v>
      </c>
      <c r="R6382" t="s">
        <v>41257</v>
      </c>
      <c r="S6382" t="s">
        <v>41461</v>
      </c>
      <c r="T6382" t="s">
        <v>42736</v>
      </c>
      <c r="U6382" t="s">
        <v>48465</v>
      </c>
      <c r="W6382" t="s">
        <v>39272</v>
      </c>
      <c r="X6382" t="s">
        <v>41266</v>
      </c>
    </row>
    <row r="6383" spans="1:24">
      <c r="A6383">
        <f>HYPERLINK("https://www.philgeps.gov.ph/GEPSNONPILOT/Tender/SplashBidNoticeAbstractUI.aspx?menuIndex=3&amp;refID=7021492-2&amp;Result=3","7021492-2")</f>
        <v>0</v>
      </c>
      <c r="B6383" t="s">
        <v>842</v>
      </c>
      <c r="C6383" t="s">
        <v>9453</v>
      </c>
      <c r="D6383" t="s">
        <v>16658</v>
      </c>
      <c r="E6383" t="s">
        <v>22324</v>
      </c>
      <c r="F6383" t="s">
        <v>28669</v>
      </c>
      <c r="G6383" t="s">
        <v>28675</v>
      </c>
      <c r="H6383" t="s">
        <v>28685</v>
      </c>
      <c r="I6383" t="s">
        <v>28685</v>
      </c>
      <c r="J6383" t="s">
        <v>31738</v>
      </c>
      <c r="K6383" t="s">
        <v>37344</v>
      </c>
      <c r="M6383" t="s">
        <v>39485</v>
      </c>
      <c r="N6383" t="s">
        <v>41249</v>
      </c>
      <c r="O6383" t="s">
        <v>41250</v>
      </c>
      <c r="P6383">
        <v>0</v>
      </c>
      <c r="Q6383">
        <v>2</v>
      </c>
      <c r="R6383" t="s">
        <v>41257</v>
      </c>
      <c r="S6383" t="s">
        <v>41461</v>
      </c>
      <c r="T6383" t="s">
        <v>42670</v>
      </c>
      <c r="U6383" t="s">
        <v>48449</v>
      </c>
      <c r="W6383" t="s">
        <v>39485</v>
      </c>
      <c r="X6383" t="s">
        <v>41258</v>
      </c>
    </row>
    <row r="6384" spans="1:24">
      <c r="A6384">
        <f>HYPERLINK("https://www.philgeps.gov.ph/GEPSNONPILOT/Tender/SplashBidNoticeAbstractUI.aspx?menuIndex=3&amp;refID=7064014&amp;Result=3","7064014")</f>
        <v>0</v>
      </c>
      <c r="B6384" t="s">
        <v>1013</v>
      </c>
      <c r="C6384" t="s">
        <v>9469</v>
      </c>
      <c r="D6384" t="s">
        <v>16628</v>
      </c>
      <c r="E6384" t="s">
        <v>22325</v>
      </c>
      <c r="F6384" t="s">
        <v>28669</v>
      </c>
      <c r="G6384" t="s">
        <v>28675</v>
      </c>
      <c r="H6384" t="s">
        <v>28686</v>
      </c>
      <c r="I6384" t="s">
        <v>28689</v>
      </c>
      <c r="J6384" t="s">
        <v>32843</v>
      </c>
      <c r="K6384" t="s">
        <v>37213</v>
      </c>
      <c r="M6384" t="s">
        <v>38543</v>
      </c>
      <c r="N6384" t="s">
        <v>41249</v>
      </c>
      <c r="O6384" t="s">
        <v>41250</v>
      </c>
      <c r="P6384">
        <v>0</v>
      </c>
      <c r="Q6384">
        <v>1</v>
      </c>
      <c r="R6384" t="s">
        <v>41257</v>
      </c>
      <c r="S6384" t="s">
        <v>41461</v>
      </c>
      <c r="T6384" t="s">
        <v>42672</v>
      </c>
      <c r="U6384" t="s">
        <v>48466</v>
      </c>
      <c r="W6384" t="s">
        <v>38543</v>
      </c>
      <c r="X6384" t="s">
        <v>41260</v>
      </c>
    </row>
    <row r="6385" spans="1:24">
      <c r="A6385">
        <f>HYPERLINK("https://www.philgeps.gov.ph/GEPSNONPILOT/Tender/SplashBidNoticeAbstractUI.aspx?menuIndex=3&amp;refID=7063532&amp;Result=3","7063532")</f>
        <v>0</v>
      </c>
      <c r="B6385" t="s">
        <v>2110</v>
      </c>
      <c r="C6385" t="s">
        <v>9350</v>
      </c>
      <c r="D6385" t="s">
        <v>16621</v>
      </c>
      <c r="E6385" t="s">
        <v>22326</v>
      </c>
      <c r="F6385" t="s">
        <v>28669</v>
      </c>
      <c r="G6385" t="s">
        <v>28675</v>
      </c>
      <c r="H6385" t="s">
        <v>9998</v>
      </c>
      <c r="I6385" t="s">
        <v>3658</v>
      </c>
      <c r="J6385" t="s">
        <v>28826</v>
      </c>
      <c r="K6385" t="s">
        <v>37208</v>
      </c>
      <c r="M6385" t="s">
        <v>39753</v>
      </c>
      <c r="N6385" t="s">
        <v>41249</v>
      </c>
      <c r="O6385" t="s">
        <v>41250</v>
      </c>
      <c r="P6385">
        <v>0</v>
      </c>
      <c r="Q6385">
        <v>1</v>
      </c>
      <c r="R6385" t="s">
        <v>41257</v>
      </c>
      <c r="S6385" t="s">
        <v>41461</v>
      </c>
      <c r="T6385" t="s">
        <v>42703</v>
      </c>
      <c r="U6385" t="s">
        <v>48372</v>
      </c>
      <c r="W6385" t="s">
        <v>39753</v>
      </c>
      <c r="X6385" t="s">
        <v>41260</v>
      </c>
    </row>
    <row r="6386" spans="1:24">
      <c r="A6386">
        <f>HYPERLINK("https://www.philgeps.gov.ph/GEPSNONPILOT/Tender/SplashBidNoticeAbstractUI.aspx?menuIndex=3&amp;refID=7063195&amp;Result=3","7063195")</f>
        <v>0</v>
      </c>
      <c r="B6386" t="s">
        <v>950</v>
      </c>
      <c r="C6386" t="s">
        <v>9142</v>
      </c>
      <c r="D6386" t="s">
        <v>16615</v>
      </c>
      <c r="E6386" t="s">
        <v>19712</v>
      </c>
      <c r="F6386" t="s">
        <v>28669</v>
      </c>
      <c r="G6386" t="s">
        <v>28676</v>
      </c>
      <c r="H6386" t="s">
        <v>9998</v>
      </c>
      <c r="I6386" t="s">
        <v>7352</v>
      </c>
      <c r="J6386" t="s">
        <v>29885</v>
      </c>
      <c r="K6386" t="s">
        <v>37208</v>
      </c>
      <c r="M6386" t="s">
        <v>38474</v>
      </c>
      <c r="N6386" t="s">
        <v>41249</v>
      </c>
      <c r="O6386" t="s">
        <v>41250</v>
      </c>
      <c r="P6386">
        <v>0</v>
      </c>
      <c r="Q6386">
        <v>0</v>
      </c>
      <c r="R6386" t="s">
        <v>41257</v>
      </c>
      <c r="S6386" t="s">
        <v>41461</v>
      </c>
      <c r="T6386" t="s">
        <v>42736</v>
      </c>
      <c r="U6386" t="s">
        <v>48467</v>
      </c>
      <c r="W6386" t="s">
        <v>38474</v>
      </c>
      <c r="X6386" t="s">
        <v>41260</v>
      </c>
    </row>
    <row r="6387" spans="1:24">
      <c r="A6387">
        <f>HYPERLINK("https://www.philgeps.gov.ph/GEPSNONPILOT/Tender/SplashBidNoticeAbstractUI.aspx?menuIndex=3&amp;refID=7060435&amp;Result=3","7060435")</f>
        <v>0</v>
      </c>
      <c r="B6387" t="s">
        <v>694</v>
      </c>
      <c r="C6387" t="s">
        <v>9470</v>
      </c>
      <c r="D6387" t="s">
        <v>16686</v>
      </c>
      <c r="E6387" t="s">
        <v>22327</v>
      </c>
      <c r="F6387" t="s">
        <v>28669</v>
      </c>
      <c r="G6387" t="s">
        <v>28675</v>
      </c>
      <c r="H6387" t="s">
        <v>9998</v>
      </c>
      <c r="I6387" t="s">
        <v>28694</v>
      </c>
      <c r="J6387" t="s">
        <v>32844</v>
      </c>
      <c r="K6387" t="s">
        <v>37227</v>
      </c>
      <c r="M6387" t="s">
        <v>38199</v>
      </c>
      <c r="N6387" t="s">
        <v>41249</v>
      </c>
      <c r="O6387" t="s">
        <v>41250</v>
      </c>
      <c r="P6387">
        <v>0</v>
      </c>
      <c r="Q6387">
        <v>1</v>
      </c>
      <c r="R6387" t="s">
        <v>41257</v>
      </c>
      <c r="S6387" t="s">
        <v>41461</v>
      </c>
      <c r="T6387" t="s">
        <v>42701</v>
      </c>
      <c r="U6387" t="s">
        <v>48468</v>
      </c>
      <c r="V6387" t="s">
        <v>54428</v>
      </c>
      <c r="W6387" t="s">
        <v>38199</v>
      </c>
      <c r="X6387" t="s">
        <v>41261</v>
      </c>
    </row>
    <row r="6388" spans="1:24">
      <c r="A6388">
        <f>HYPERLINK("https://www.philgeps.gov.ph/GEPSNONPILOT/Tender/SplashBidNoticeAbstractUI.aspx?menuIndex=3&amp;refID=7064367&amp;Result=3","7064367")</f>
        <v>0</v>
      </c>
      <c r="B6388" t="s">
        <v>936</v>
      </c>
      <c r="C6388" t="s">
        <v>9471</v>
      </c>
      <c r="D6388" t="s">
        <v>16640</v>
      </c>
      <c r="E6388" t="s">
        <v>22328</v>
      </c>
      <c r="F6388" t="s">
        <v>28669</v>
      </c>
      <c r="G6388" t="s">
        <v>28675</v>
      </c>
      <c r="H6388" t="s">
        <v>9998</v>
      </c>
      <c r="I6388" t="s">
        <v>5213</v>
      </c>
      <c r="J6388" t="s">
        <v>32845</v>
      </c>
      <c r="K6388" t="s">
        <v>37206</v>
      </c>
      <c r="M6388" t="s">
        <v>38459</v>
      </c>
      <c r="N6388" t="s">
        <v>41249</v>
      </c>
      <c r="O6388" t="s">
        <v>41250</v>
      </c>
      <c r="Q6388">
        <v>4</v>
      </c>
      <c r="R6388" t="s">
        <v>41257</v>
      </c>
      <c r="S6388" t="s">
        <v>41462</v>
      </c>
      <c r="T6388" t="s">
        <v>42929</v>
      </c>
      <c r="U6388" t="s">
        <v>48469</v>
      </c>
      <c r="W6388" t="s">
        <v>38459</v>
      </c>
      <c r="X6388" t="s">
        <v>41260</v>
      </c>
    </row>
    <row r="6389" spans="1:24">
      <c r="A6389">
        <f>HYPERLINK("https://www.philgeps.gov.ph/GEPSNONPILOT/Tender/SplashBidNoticeAbstractUI.aspx?menuIndex=3&amp;refID=7062518&amp;Result=3","7062518")</f>
        <v>0</v>
      </c>
      <c r="B6389" t="s">
        <v>2111</v>
      </c>
      <c r="C6389" t="s">
        <v>9472</v>
      </c>
      <c r="D6389" t="s">
        <v>16608</v>
      </c>
      <c r="E6389" t="s">
        <v>22329</v>
      </c>
      <c r="F6389" t="s">
        <v>28669</v>
      </c>
      <c r="G6389" t="s">
        <v>28675</v>
      </c>
      <c r="H6389" t="s">
        <v>28684</v>
      </c>
      <c r="I6389" t="s">
        <v>7352</v>
      </c>
      <c r="J6389" t="s">
        <v>29040</v>
      </c>
      <c r="K6389" t="s">
        <v>37256</v>
      </c>
      <c r="M6389" t="s">
        <v>39754</v>
      </c>
      <c r="N6389" t="s">
        <v>41249</v>
      </c>
      <c r="O6389" t="s">
        <v>41250</v>
      </c>
      <c r="P6389">
        <v>0</v>
      </c>
      <c r="Q6389">
        <v>3</v>
      </c>
      <c r="R6389" t="s">
        <v>41257</v>
      </c>
      <c r="S6389" t="s">
        <v>41461</v>
      </c>
      <c r="T6389" t="s">
        <v>42758</v>
      </c>
      <c r="U6389" t="s">
        <v>48470</v>
      </c>
      <c r="W6389" t="s">
        <v>39754</v>
      </c>
      <c r="X6389" t="s">
        <v>41260</v>
      </c>
    </row>
    <row r="6390" spans="1:24">
      <c r="A6390">
        <f>HYPERLINK("https://www.philgeps.gov.ph/GEPSNONPILOT/Tender/SplashBidNoticeAbstractUI.aspx?menuIndex=3&amp;refID=7062509&amp;Result=3","7062509")</f>
        <v>0</v>
      </c>
      <c r="B6390" t="s">
        <v>2112</v>
      </c>
      <c r="C6390" t="s">
        <v>9473</v>
      </c>
      <c r="D6390" t="s">
        <v>16608</v>
      </c>
      <c r="E6390" t="s">
        <v>16861</v>
      </c>
      <c r="F6390" t="s">
        <v>28669</v>
      </c>
      <c r="G6390" t="s">
        <v>28676</v>
      </c>
      <c r="H6390" t="s">
        <v>28686</v>
      </c>
      <c r="I6390" t="s">
        <v>28725</v>
      </c>
      <c r="J6390" t="s">
        <v>29809</v>
      </c>
      <c r="K6390" t="s">
        <v>37205</v>
      </c>
      <c r="M6390" t="s">
        <v>39755</v>
      </c>
      <c r="N6390" t="s">
        <v>41249</v>
      </c>
      <c r="O6390" t="s">
        <v>41250</v>
      </c>
      <c r="P6390">
        <v>0</v>
      </c>
      <c r="Q6390">
        <v>2</v>
      </c>
      <c r="R6390" t="s">
        <v>41257</v>
      </c>
      <c r="S6390" t="s">
        <v>41461</v>
      </c>
      <c r="T6390" t="s">
        <v>42995</v>
      </c>
      <c r="U6390" t="s">
        <v>48471</v>
      </c>
      <c r="W6390" t="s">
        <v>39755</v>
      </c>
      <c r="X6390" t="s">
        <v>41260</v>
      </c>
    </row>
    <row r="6391" spans="1:24">
      <c r="A6391">
        <f>HYPERLINK("https://www.philgeps.gov.ph/GEPSNONPILOT/Tender/SplashBidNoticeAbstractUI.aspx?menuIndex=3&amp;refID=7062218&amp;Result=3","7062218")</f>
        <v>0</v>
      </c>
      <c r="B6391" t="s">
        <v>2113</v>
      </c>
      <c r="C6391" t="s">
        <v>9474</v>
      </c>
      <c r="D6391" t="s">
        <v>16622</v>
      </c>
      <c r="E6391" t="s">
        <v>16737</v>
      </c>
      <c r="F6391" t="s">
        <v>28669</v>
      </c>
      <c r="G6391" t="s">
        <v>28675</v>
      </c>
      <c r="H6391" t="s">
        <v>28686</v>
      </c>
      <c r="I6391" t="s">
        <v>28689</v>
      </c>
      <c r="J6391" t="s">
        <v>32846</v>
      </c>
      <c r="K6391" t="s">
        <v>37220</v>
      </c>
      <c r="M6391" t="s">
        <v>39756</v>
      </c>
      <c r="N6391" t="s">
        <v>41249</v>
      </c>
      <c r="O6391" t="s">
        <v>41250</v>
      </c>
      <c r="P6391">
        <v>0</v>
      </c>
      <c r="Q6391">
        <v>0</v>
      </c>
      <c r="R6391" t="s">
        <v>41257</v>
      </c>
      <c r="S6391" t="s">
        <v>41461</v>
      </c>
      <c r="T6391" t="s">
        <v>43026</v>
      </c>
      <c r="U6391" t="s">
        <v>48472</v>
      </c>
      <c r="W6391" t="s">
        <v>39756</v>
      </c>
      <c r="X6391" t="s">
        <v>41260</v>
      </c>
    </row>
    <row r="6392" spans="1:24">
      <c r="A6392">
        <f>HYPERLINK("https://www.philgeps.gov.ph/GEPSNONPILOT/Tender/SplashBidNoticeAbstractUI.aspx?menuIndex=3&amp;refID=7043061-2&amp;Result=3","7043061-2")</f>
        <v>0</v>
      </c>
      <c r="B6392" t="s">
        <v>2114</v>
      </c>
      <c r="C6392" t="s">
        <v>9475</v>
      </c>
      <c r="E6392" t="s">
        <v>22330</v>
      </c>
      <c r="F6392" t="s">
        <v>28669</v>
      </c>
      <c r="G6392" t="s">
        <v>28675</v>
      </c>
      <c r="H6392" t="s">
        <v>28685</v>
      </c>
      <c r="I6392" t="s">
        <v>28685</v>
      </c>
      <c r="J6392" t="s">
        <v>32847</v>
      </c>
      <c r="K6392" t="s">
        <v>37285</v>
      </c>
      <c r="M6392" t="s">
        <v>39757</v>
      </c>
      <c r="N6392" t="s">
        <v>41249</v>
      </c>
      <c r="O6392" t="s">
        <v>41250</v>
      </c>
      <c r="P6392">
        <v>0</v>
      </c>
      <c r="Q6392">
        <v>4</v>
      </c>
      <c r="R6392" t="s">
        <v>41257</v>
      </c>
      <c r="S6392" t="s">
        <v>41461</v>
      </c>
      <c r="T6392" t="s">
        <v>42719</v>
      </c>
      <c r="U6392" t="s">
        <v>48473</v>
      </c>
      <c r="W6392" t="s">
        <v>39757</v>
      </c>
      <c r="X6392" t="s">
        <v>41258</v>
      </c>
    </row>
    <row r="6393" spans="1:24">
      <c r="A6393">
        <f>HYPERLINK("https://www.philgeps.gov.ph/GEPSNONPILOT/Tender/SplashBidNoticeAbstractUI.aspx?menuIndex=3&amp;refID=7061871&amp;Result=3","7061871")</f>
        <v>0</v>
      </c>
      <c r="B6393" t="s">
        <v>2115</v>
      </c>
      <c r="C6393" t="s">
        <v>9476</v>
      </c>
      <c r="D6393" t="s">
        <v>16619</v>
      </c>
      <c r="E6393" t="s">
        <v>22331</v>
      </c>
      <c r="F6393" t="s">
        <v>28669</v>
      </c>
      <c r="G6393" t="s">
        <v>28675</v>
      </c>
      <c r="H6393" t="s">
        <v>28686</v>
      </c>
      <c r="I6393" t="s">
        <v>28689</v>
      </c>
      <c r="J6393" t="s">
        <v>29002</v>
      </c>
      <c r="K6393" t="s">
        <v>37255</v>
      </c>
      <c r="M6393" t="s">
        <v>39758</v>
      </c>
      <c r="N6393" t="s">
        <v>41249</v>
      </c>
      <c r="O6393" t="s">
        <v>41250</v>
      </c>
      <c r="P6393">
        <v>0</v>
      </c>
      <c r="Q6393">
        <v>1</v>
      </c>
      <c r="R6393" t="s">
        <v>41257</v>
      </c>
      <c r="S6393" t="s">
        <v>41461</v>
      </c>
      <c r="T6393" t="s">
        <v>42695</v>
      </c>
      <c r="U6393" t="s">
        <v>48474</v>
      </c>
      <c r="V6393" t="s">
        <v>54978</v>
      </c>
      <c r="W6393" t="s">
        <v>39758</v>
      </c>
      <c r="X6393" t="s">
        <v>41260</v>
      </c>
    </row>
    <row r="6394" spans="1:24">
      <c r="A6394">
        <f>HYPERLINK("https://www.philgeps.gov.ph/GEPSNONPILOT/Tender/SplashBidNoticeAbstractUI.aspx?menuIndex=3&amp;refID=7063629&amp;Result=3","7063629")</f>
        <v>0</v>
      </c>
      <c r="B6394" t="s">
        <v>897</v>
      </c>
      <c r="C6394" t="s">
        <v>9477</v>
      </c>
      <c r="D6394" t="s">
        <v>16631</v>
      </c>
      <c r="E6394" t="s">
        <v>22332</v>
      </c>
      <c r="F6394" t="s">
        <v>28669</v>
      </c>
      <c r="G6394" t="s">
        <v>28675</v>
      </c>
      <c r="H6394" t="s">
        <v>9998</v>
      </c>
      <c r="I6394" t="s">
        <v>5213</v>
      </c>
      <c r="J6394" t="s">
        <v>28942</v>
      </c>
      <c r="K6394" t="s">
        <v>37206</v>
      </c>
      <c r="M6394" t="s">
        <v>38418</v>
      </c>
      <c r="N6394" t="s">
        <v>41249</v>
      </c>
      <c r="O6394" t="s">
        <v>41250</v>
      </c>
      <c r="P6394">
        <v>0</v>
      </c>
      <c r="Q6394">
        <v>0</v>
      </c>
      <c r="R6394" t="s">
        <v>41257</v>
      </c>
      <c r="S6394" t="s">
        <v>41461</v>
      </c>
      <c r="T6394" t="s">
        <v>42805</v>
      </c>
      <c r="U6394" t="s">
        <v>48475</v>
      </c>
      <c r="W6394" t="s">
        <v>38418</v>
      </c>
      <c r="X6394" t="s">
        <v>41260</v>
      </c>
    </row>
    <row r="6395" spans="1:24">
      <c r="A6395">
        <f>HYPERLINK("https://www.philgeps.gov.ph/GEPSNONPILOT/Tender/SplashBidNoticeAbstractUI.aspx?menuIndex=3&amp;refID=7063179&amp;Result=3","7063179")</f>
        <v>0</v>
      </c>
      <c r="B6395" t="s">
        <v>2116</v>
      </c>
      <c r="C6395" t="s">
        <v>9478</v>
      </c>
      <c r="D6395" t="s">
        <v>16622</v>
      </c>
      <c r="E6395" t="s">
        <v>22333</v>
      </c>
      <c r="F6395" t="s">
        <v>28669</v>
      </c>
      <c r="G6395" t="s">
        <v>28675</v>
      </c>
      <c r="H6395" t="s">
        <v>9998</v>
      </c>
      <c r="I6395" t="s">
        <v>28736</v>
      </c>
      <c r="J6395" t="s">
        <v>32848</v>
      </c>
      <c r="K6395" t="s">
        <v>37206</v>
      </c>
      <c r="L6395" t="s">
        <v>2116</v>
      </c>
      <c r="M6395" t="s">
        <v>39759</v>
      </c>
      <c r="N6395" t="s">
        <v>41249</v>
      </c>
      <c r="O6395" t="s">
        <v>41250</v>
      </c>
      <c r="P6395">
        <v>0</v>
      </c>
      <c r="Q6395">
        <v>0</v>
      </c>
      <c r="R6395" t="s">
        <v>41257</v>
      </c>
      <c r="S6395" t="s">
        <v>41461</v>
      </c>
      <c r="T6395" t="s">
        <v>42769</v>
      </c>
      <c r="U6395" t="s">
        <v>48476</v>
      </c>
      <c r="W6395" t="s">
        <v>39759</v>
      </c>
      <c r="X6395" t="s">
        <v>41260</v>
      </c>
    </row>
    <row r="6396" spans="1:24">
      <c r="A6396">
        <f>HYPERLINK("https://www.philgeps.gov.ph/GEPSNONPILOT/Tender/SplashBidNoticeAbstractUI.aspx?menuIndex=3&amp;refID=7065173&amp;Result=3","7065173")</f>
        <v>0</v>
      </c>
      <c r="B6396" t="s">
        <v>974</v>
      </c>
      <c r="C6396" t="s">
        <v>9479</v>
      </c>
      <c r="D6396" t="s">
        <v>16621</v>
      </c>
      <c r="E6396" t="s">
        <v>22334</v>
      </c>
      <c r="F6396" t="s">
        <v>28669</v>
      </c>
      <c r="G6396" t="s">
        <v>28675</v>
      </c>
      <c r="H6396" t="s">
        <v>9998</v>
      </c>
      <c r="I6396" t="s">
        <v>7352</v>
      </c>
      <c r="J6396" t="s">
        <v>32849</v>
      </c>
      <c r="K6396" t="s">
        <v>37205</v>
      </c>
      <c r="M6396" t="s">
        <v>39760</v>
      </c>
      <c r="N6396" t="s">
        <v>41249</v>
      </c>
      <c r="O6396" t="s">
        <v>41250</v>
      </c>
      <c r="P6396">
        <v>0</v>
      </c>
      <c r="Q6396">
        <v>0</v>
      </c>
      <c r="R6396" t="s">
        <v>41257</v>
      </c>
      <c r="S6396" t="s">
        <v>41461</v>
      </c>
      <c r="T6396" t="s">
        <v>43017</v>
      </c>
      <c r="U6396" t="s">
        <v>48477</v>
      </c>
      <c r="W6396" t="s">
        <v>39760</v>
      </c>
      <c r="X6396" t="s">
        <v>41259</v>
      </c>
    </row>
    <row r="6397" spans="1:24">
      <c r="A6397">
        <f>HYPERLINK("https://www.philgeps.gov.ph/GEPSNONPILOT/Tender/SplashBidNoticeAbstractUI.aspx?menuIndex=3&amp;refID=7061376&amp;Result=3","7061376")</f>
        <v>0</v>
      </c>
      <c r="B6397" t="s">
        <v>102</v>
      </c>
      <c r="C6397" t="s">
        <v>9480</v>
      </c>
      <c r="D6397" t="s">
        <v>16631</v>
      </c>
      <c r="E6397" t="s">
        <v>22335</v>
      </c>
      <c r="F6397" t="s">
        <v>28669</v>
      </c>
      <c r="G6397" t="s">
        <v>28676</v>
      </c>
      <c r="H6397" t="s">
        <v>9998</v>
      </c>
      <c r="I6397" t="s">
        <v>28704</v>
      </c>
      <c r="J6397" t="s">
        <v>32850</v>
      </c>
      <c r="K6397" t="s">
        <v>37206</v>
      </c>
      <c r="M6397" t="s">
        <v>37577</v>
      </c>
      <c r="N6397" t="s">
        <v>41249</v>
      </c>
      <c r="O6397" t="s">
        <v>41250</v>
      </c>
      <c r="P6397">
        <v>0</v>
      </c>
      <c r="Q6397">
        <v>2</v>
      </c>
      <c r="R6397" t="s">
        <v>41257</v>
      </c>
      <c r="S6397" t="s">
        <v>41461</v>
      </c>
      <c r="T6397" t="s">
        <v>42727</v>
      </c>
      <c r="U6397" t="s">
        <v>48478</v>
      </c>
      <c r="V6397" t="s">
        <v>54252</v>
      </c>
      <c r="W6397" t="s">
        <v>37577</v>
      </c>
      <c r="X6397" t="s">
        <v>41261</v>
      </c>
    </row>
    <row r="6398" spans="1:24">
      <c r="A6398">
        <f>HYPERLINK("https://www.philgeps.gov.ph/GEPSNONPILOT/Tender/SplashBidNoticeAbstractUI.aspx?menuIndex=3&amp;refID=7065129&amp;Result=3","7065129")</f>
        <v>0</v>
      </c>
      <c r="B6398" t="s">
        <v>2117</v>
      </c>
      <c r="C6398" t="s">
        <v>9481</v>
      </c>
      <c r="D6398" t="s">
        <v>16616</v>
      </c>
      <c r="E6398" t="s">
        <v>22336</v>
      </c>
      <c r="F6398" t="s">
        <v>28669</v>
      </c>
      <c r="G6398" t="s">
        <v>28675</v>
      </c>
      <c r="H6398" t="s">
        <v>9998</v>
      </c>
      <c r="I6398" t="s">
        <v>28688</v>
      </c>
      <c r="J6398" t="s">
        <v>32851</v>
      </c>
      <c r="K6398" t="s">
        <v>37205</v>
      </c>
      <c r="M6398" t="s">
        <v>39761</v>
      </c>
      <c r="N6398" t="s">
        <v>41249</v>
      </c>
      <c r="O6398" t="s">
        <v>41250</v>
      </c>
      <c r="P6398">
        <v>0</v>
      </c>
      <c r="Q6398">
        <v>3</v>
      </c>
      <c r="R6398" t="s">
        <v>41257</v>
      </c>
      <c r="S6398" t="s">
        <v>41461</v>
      </c>
      <c r="T6398" t="s">
        <v>42661</v>
      </c>
      <c r="U6398" t="s">
        <v>48479</v>
      </c>
      <c r="V6398" t="s">
        <v>54979</v>
      </c>
      <c r="W6398" t="s">
        <v>39761</v>
      </c>
      <c r="X6398" t="s">
        <v>41259</v>
      </c>
    </row>
    <row r="6399" spans="1:24">
      <c r="A6399">
        <f>HYPERLINK("https://www.philgeps.gov.ph/GEPSNONPILOT/Tender/SplashBidNoticeAbstractUI.aspx?menuIndex=3&amp;refID=7064922&amp;Result=3","7064922")</f>
        <v>0</v>
      </c>
      <c r="B6399" t="s">
        <v>65</v>
      </c>
      <c r="C6399" t="s">
        <v>9482</v>
      </c>
      <c r="D6399" t="s">
        <v>16626</v>
      </c>
      <c r="E6399" t="s">
        <v>22337</v>
      </c>
      <c r="F6399" t="s">
        <v>28669</v>
      </c>
      <c r="G6399" t="s">
        <v>28676</v>
      </c>
      <c r="H6399" t="s">
        <v>9998</v>
      </c>
      <c r="I6399" t="s">
        <v>28729</v>
      </c>
      <c r="J6399" t="s">
        <v>32852</v>
      </c>
      <c r="K6399" t="s">
        <v>37227</v>
      </c>
      <c r="M6399" t="s">
        <v>37540</v>
      </c>
      <c r="N6399" t="s">
        <v>41249</v>
      </c>
      <c r="O6399" t="s">
        <v>41250</v>
      </c>
      <c r="P6399">
        <v>0</v>
      </c>
      <c r="Q6399">
        <v>4</v>
      </c>
      <c r="R6399" t="s">
        <v>41257</v>
      </c>
      <c r="S6399" t="s">
        <v>41461</v>
      </c>
      <c r="T6399" t="s">
        <v>42910</v>
      </c>
      <c r="U6399" t="s">
        <v>43259</v>
      </c>
      <c r="W6399" t="s">
        <v>55899</v>
      </c>
      <c r="X6399" t="s">
        <v>41259</v>
      </c>
    </row>
    <row r="6400" spans="1:24">
      <c r="A6400">
        <f>HYPERLINK("https://www.philgeps.gov.ph/GEPSNONPILOT/Tender/SplashBidNoticeAbstractUI.aspx?menuIndex=3&amp;refID=7062021&amp;Result=3","7062021")</f>
        <v>0</v>
      </c>
      <c r="B6400" t="s">
        <v>2118</v>
      </c>
      <c r="C6400" t="s">
        <v>9483</v>
      </c>
      <c r="D6400" t="s">
        <v>16628</v>
      </c>
      <c r="E6400" t="s">
        <v>22338</v>
      </c>
      <c r="F6400" t="s">
        <v>28669</v>
      </c>
      <c r="G6400" t="s">
        <v>28675</v>
      </c>
      <c r="H6400" t="s">
        <v>9998</v>
      </c>
      <c r="I6400" t="s">
        <v>5286</v>
      </c>
      <c r="J6400" t="s">
        <v>32853</v>
      </c>
      <c r="K6400" t="s">
        <v>37206</v>
      </c>
      <c r="M6400" t="s">
        <v>39762</v>
      </c>
      <c r="N6400" t="s">
        <v>41249</v>
      </c>
      <c r="O6400" t="s">
        <v>41250</v>
      </c>
      <c r="P6400">
        <v>0</v>
      </c>
      <c r="Q6400">
        <v>3</v>
      </c>
      <c r="R6400" t="s">
        <v>41257</v>
      </c>
      <c r="S6400" t="s">
        <v>41461</v>
      </c>
      <c r="T6400" t="s">
        <v>42758</v>
      </c>
      <c r="U6400" t="s">
        <v>48480</v>
      </c>
      <c r="W6400" t="s">
        <v>39762</v>
      </c>
      <c r="X6400" t="s">
        <v>41260</v>
      </c>
    </row>
    <row r="6401" spans="1:24">
      <c r="A6401">
        <f>HYPERLINK("https://www.philgeps.gov.ph/GEPSNONPILOT/Tender/SplashBidNoticeAbstractUI.aspx?menuIndex=3&amp;refID=7064878&amp;Result=3","7064878")</f>
        <v>0</v>
      </c>
      <c r="B6401" t="s">
        <v>2119</v>
      </c>
      <c r="C6401" t="s">
        <v>9484</v>
      </c>
      <c r="D6401" t="s">
        <v>16622</v>
      </c>
      <c r="E6401" t="s">
        <v>22339</v>
      </c>
      <c r="F6401" t="s">
        <v>28669</v>
      </c>
      <c r="G6401" t="s">
        <v>28675</v>
      </c>
      <c r="H6401" t="s">
        <v>28686</v>
      </c>
      <c r="I6401" t="s">
        <v>28689</v>
      </c>
      <c r="J6401" t="s">
        <v>28877</v>
      </c>
      <c r="K6401" t="s">
        <v>37220</v>
      </c>
      <c r="M6401" t="s">
        <v>39763</v>
      </c>
      <c r="N6401" t="s">
        <v>41249</v>
      </c>
      <c r="O6401" t="s">
        <v>41250</v>
      </c>
      <c r="P6401">
        <v>0</v>
      </c>
      <c r="Q6401">
        <v>0</v>
      </c>
      <c r="R6401" t="s">
        <v>41257</v>
      </c>
      <c r="S6401" t="s">
        <v>41461</v>
      </c>
      <c r="T6401" t="s">
        <v>43026</v>
      </c>
      <c r="U6401" t="s">
        <v>48481</v>
      </c>
      <c r="W6401" t="s">
        <v>39763</v>
      </c>
      <c r="X6401" t="s">
        <v>41259</v>
      </c>
    </row>
    <row r="6402" spans="1:24">
      <c r="A6402">
        <f>HYPERLINK("https://www.philgeps.gov.ph/GEPSNONPILOT/Tender/SplashBidNoticeAbstractUI.aspx?menuIndex=3&amp;refID=7064874&amp;Result=3","7064874")</f>
        <v>0</v>
      </c>
      <c r="B6402" t="s">
        <v>2120</v>
      </c>
      <c r="C6402" t="s">
        <v>9485</v>
      </c>
      <c r="D6402" t="s">
        <v>16624</v>
      </c>
      <c r="E6402" t="s">
        <v>22340</v>
      </c>
      <c r="F6402" t="s">
        <v>28669</v>
      </c>
      <c r="G6402" t="s">
        <v>28675</v>
      </c>
      <c r="H6402" t="s">
        <v>28686</v>
      </c>
      <c r="I6402" t="s">
        <v>28689</v>
      </c>
      <c r="J6402" t="s">
        <v>32854</v>
      </c>
      <c r="K6402" t="s">
        <v>37296</v>
      </c>
      <c r="M6402" t="s">
        <v>39764</v>
      </c>
      <c r="N6402" t="s">
        <v>41249</v>
      </c>
      <c r="O6402" t="s">
        <v>41250</v>
      </c>
      <c r="P6402">
        <v>0</v>
      </c>
      <c r="Q6402">
        <v>0</v>
      </c>
      <c r="R6402" t="s">
        <v>41257</v>
      </c>
      <c r="S6402" t="s">
        <v>41461</v>
      </c>
      <c r="T6402" t="s">
        <v>42786</v>
      </c>
      <c r="U6402" t="s">
        <v>48482</v>
      </c>
      <c r="W6402" t="s">
        <v>39764</v>
      </c>
      <c r="X6402" t="s">
        <v>41259</v>
      </c>
    </row>
    <row r="6403" spans="1:24">
      <c r="A6403">
        <f>HYPERLINK("https://www.philgeps.gov.ph/GEPSNONPILOT/Tender/SplashBidNoticeAbstractUI.aspx?menuIndex=3&amp;refID=7064824&amp;Result=3","7064824")</f>
        <v>0</v>
      </c>
      <c r="B6403" t="s">
        <v>65</v>
      </c>
      <c r="C6403" t="s">
        <v>9486</v>
      </c>
      <c r="D6403" t="s">
        <v>16626</v>
      </c>
      <c r="E6403" t="s">
        <v>22341</v>
      </c>
      <c r="F6403" t="s">
        <v>28669</v>
      </c>
      <c r="G6403" t="s">
        <v>28676</v>
      </c>
      <c r="H6403" t="s">
        <v>9998</v>
      </c>
      <c r="I6403" t="s">
        <v>28699</v>
      </c>
      <c r="J6403" t="s">
        <v>29040</v>
      </c>
      <c r="K6403" t="s">
        <v>37227</v>
      </c>
      <c r="M6403" t="s">
        <v>37540</v>
      </c>
      <c r="N6403" t="s">
        <v>41249</v>
      </c>
      <c r="O6403" t="s">
        <v>41250</v>
      </c>
      <c r="P6403">
        <v>0</v>
      </c>
      <c r="Q6403">
        <v>1</v>
      </c>
      <c r="R6403" t="s">
        <v>41257</v>
      </c>
      <c r="S6403" t="s">
        <v>41461</v>
      </c>
      <c r="T6403" t="s">
        <v>42910</v>
      </c>
      <c r="U6403" t="s">
        <v>43259</v>
      </c>
      <c r="W6403" t="s">
        <v>55899</v>
      </c>
      <c r="X6403" t="s">
        <v>41259</v>
      </c>
    </row>
    <row r="6404" spans="1:24">
      <c r="A6404">
        <f>HYPERLINK("https://www.philgeps.gov.ph/GEPSNONPILOT/Tender/SplashBidNoticeAbstractUI.aspx?menuIndex=3&amp;refID=7064494&amp;Result=3","7064494")</f>
        <v>0</v>
      </c>
      <c r="B6404" t="s">
        <v>936</v>
      </c>
      <c r="C6404" t="s">
        <v>9487</v>
      </c>
      <c r="D6404" t="s">
        <v>16640</v>
      </c>
      <c r="E6404" t="s">
        <v>22342</v>
      </c>
      <c r="F6404" t="s">
        <v>28669</v>
      </c>
      <c r="G6404" t="s">
        <v>28675</v>
      </c>
      <c r="H6404" t="s">
        <v>9998</v>
      </c>
      <c r="I6404" t="s">
        <v>28713</v>
      </c>
      <c r="J6404" t="s">
        <v>32855</v>
      </c>
      <c r="K6404" t="s">
        <v>37204</v>
      </c>
      <c r="M6404" t="s">
        <v>38459</v>
      </c>
      <c r="N6404" t="s">
        <v>41249</v>
      </c>
      <c r="O6404" t="s">
        <v>41250</v>
      </c>
      <c r="P6404">
        <v>0</v>
      </c>
      <c r="Q6404">
        <v>15</v>
      </c>
      <c r="R6404" t="s">
        <v>41257</v>
      </c>
      <c r="S6404" t="s">
        <v>41461</v>
      </c>
      <c r="T6404" t="s">
        <v>42929</v>
      </c>
      <c r="U6404" t="s">
        <v>48483</v>
      </c>
      <c r="W6404" t="s">
        <v>38459</v>
      </c>
      <c r="X6404" t="s">
        <v>41260</v>
      </c>
    </row>
    <row r="6405" spans="1:24">
      <c r="A6405">
        <f>HYPERLINK("https://www.philgeps.gov.ph/GEPSNONPILOT/Tender/SplashBidNoticeAbstractUI.aspx?menuIndex=3&amp;refID=7065222&amp;Result=3","7065222")</f>
        <v>0</v>
      </c>
      <c r="B6405" t="s">
        <v>65</v>
      </c>
      <c r="C6405" t="s">
        <v>9488</v>
      </c>
      <c r="D6405" t="s">
        <v>16626</v>
      </c>
      <c r="E6405" t="s">
        <v>22343</v>
      </c>
      <c r="F6405" t="s">
        <v>28669</v>
      </c>
      <c r="G6405" t="s">
        <v>28678</v>
      </c>
      <c r="H6405" t="s">
        <v>9998</v>
      </c>
      <c r="I6405" t="s">
        <v>28688</v>
      </c>
      <c r="J6405" t="s">
        <v>32856</v>
      </c>
      <c r="K6405" t="s">
        <v>37227</v>
      </c>
      <c r="M6405" t="s">
        <v>37540</v>
      </c>
      <c r="N6405" t="s">
        <v>41249</v>
      </c>
      <c r="O6405" t="s">
        <v>41250</v>
      </c>
      <c r="P6405">
        <v>0</v>
      </c>
      <c r="Q6405">
        <v>2</v>
      </c>
      <c r="R6405" t="s">
        <v>41257</v>
      </c>
      <c r="S6405" t="s">
        <v>41461</v>
      </c>
      <c r="T6405" t="s">
        <v>42910</v>
      </c>
      <c r="U6405" t="s">
        <v>43259</v>
      </c>
      <c r="W6405" t="s">
        <v>55899</v>
      </c>
      <c r="X6405" t="s">
        <v>41259</v>
      </c>
    </row>
    <row r="6406" spans="1:24">
      <c r="A6406">
        <f>HYPERLINK("https://www.philgeps.gov.ph/GEPSNONPILOT/Tender/SplashBidNoticeAbstractUI.aspx?menuIndex=3&amp;refID=7064485&amp;Result=3","7064485")</f>
        <v>0</v>
      </c>
      <c r="B6406" t="s">
        <v>936</v>
      </c>
      <c r="C6406" t="s">
        <v>9489</v>
      </c>
      <c r="D6406" t="s">
        <v>16640</v>
      </c>
      <c r="E6406" t="s">
        <v>22344</v>
      </c>
      <c r="F6406" t="s">
        <v>28669</v>
      </c>
      <c r="G6406" t="s">
        <v>28675</v>
      </c>
      <c r="H6406" t="s">
        <v>9998</v>
      </c>
      <c r="I6406" t="s">
        <v>28722</v>
      </c>
      <c r="J6406" t="s">
        <v>32857</v>
      </c>
      <c r="K6406" t="s">
        <v>37216</v>
      </c>
      <c r="M6406" t="s">
        <v>38459</v>
      </c>
      <c r="N6406" t="s">
        <v>41249</v>
      </c>
      <c r="O6406" t="s">
        <v>41250</v>
      </c>
      <c r="P6406">
        <v>0</v>
      </c>
      <c r="Q6406">
        <v>1</v>
      </c>
      <c r="R6406" t="s">
        <v>41257</v>
      </c>
      <c r="S6406" t="s">
        <v>41461</v>
      </c>
      <c r="T6406" t="s">
        <v>42929</v>
      </c>
      <c r="U6406" t="s">
        <v>48484</v>
      </c>
      <c r="W6406" t="s">
        <v>38459</v>
      </c>
      <c r="X6406" t="s">
        <v>41260</v>
      </c>
    </row>
    <row r="6407" spans="1:24">
      <c r="A6407">
        <f>HYPERLINK("https://www.philgeps.gov.ph/GEPSNONPILOT/Tender/SplashBidNoticeAbstractUI.aspx?menuIndex=3&amp;refID=7064480&amp;Result=3","7064480")</f>
        <v>0</v>
      </c>
      <c r="B6407" t="s">
        <v>936</v>
      </c>
      <c r="C6407" t="s">
        <v>9490</v>
      </c>
      <c r="D6407" t="s">
        <v>16640</v>
      </c>
      <c r="E6407" t="s">
        <v>22345</v>
      </c>
      <c r="F6407" t="s">
        <v>28669</v>
      </c>
      <c r="G6407" t="s">
        <v>28675</v>
      </c>
      <c r="H6407" t="s">
        <v>9998</v>
      </c>
      <c r="I6407" t="s">
        <v>28713</v>
      </c>
      <c r="J6407" t="s">
        <v>32858</v>
      </c>
      <c r="K6407" t="s">
        <v>37229</v>
      </c>
      <c r="M6407" t="s">
        <v>38459</v>
      </c>
      <c r="N6407" t="s">
        <v>41249</v>
      </c>
      <c r="O6407" t="s">
        <v>41250</v>
      </c>
      <c r="P6407">
        <v>0</v>
      </c>
      <c r="Q6407">
        <v>10</v>
      </c>
      <c r="R6407" t="s">
        <v>41257</v>
      </c>
      <c r="S6407" t="s">
        <v>41461</v>
      </c>
      <c r="T6407" t="s">
        <v>42929</v>
      </c>
      <c r="U6407" t="s">
        <v>48485</v>
      </c>
      <c r="W6407" t="s">
        <v>38459</v>
      </c>
      <c r="X6407" t="s">
        <v>41260</v>
      </c>
    </row>
    <row r="6408" spans="1:24">
      <c r="A6408">
        <f>HYPERLINK("https://www.philgeps.gov.ph/GEPSNONPILOT/Tender/SplashBidNoticeAbstractUI.aspx?menuIndex=3&amp;refID=7062104&amp;Result=3","7062104")</f>
        <v>0</v>
      </c>
      <c r="B6408" t="s">
        <v>2112</v>
      </c>
      <c r="C6408" t="s">
        <v>9491</v>
      </c>
      <c r="D6408" t="s">
        <v>16608</v>
      </c>
      <c r="E6408" t="s">
        <v>16820</v>
      </c>
      <c r="F6408" t="s">
        <v>28669</v>
      </c>
      <c r="G6408" t="s">
        <v>28676</v>
      </c>
      <c r="H6408" t="s">
        <v>28686</v>
      </c>
      <c r="I6408" t="s">
        <v>28725</v>
      </c>
      <c r="J6408" t="s">
        <v>29809</v>
      </c>
      <c r="K6408" t="s">
        <v>37205</v>
      </c>
      <c r="M6408" t="s">
        <v>39755</v>
      </c>
      <c r="N6408" t="s">
        <v>41249</v>
      </c>
      <c r="O6408" t="s">
        <v>41250</v>
      </c>
      <c r="P6408">
        <v>0</v>
      </c>
      <c r="Q6408">
        <v>3</v>
      </c>
      <c r="R6408" t="s">
        <v>41257</v>
      </c>
      <c r="S6408" t="s">
        <v>41461</v>
      </c>
      <c r="T6408" t="s">
        <v>42926</v>
      </c>
      <c r="U6408" t="s">
        <v>48471</v>
      </c>
      <c r="W6408" t="s">
        <v>39755</v>
      </c>
      <c r="X6408" t="s">
        <v>41260</v>
      </c>
    </row>
    <row r="6409" spans="1:24">
      <c r="A6409">
        <f>HYPERLINK("https://www.philgeps.gov.ph/GEPSNONPILOT/Tender/SplashBidNoticeAbstractUI.aspx?menuIndex=3&amp;refID=7064932&amp;Result=3","7064932")</f>
        <v>0</v>
      </c>
      <c r="B6409" t="s">
        <v>65</v>
      </c>
      <c r="C6409" t="s">
        <v>9492</v>
      </c>
      <c r="D6409" t="s">
        <v>16626</v>
      </c>
      <c r="E6409" t="s">
        <v>22346</v>
      </c>
      <c r="F6409" t="s">
        <v>28669</v>
      </c>
      <c r="G6409" t="s">
        <v>28676</v>
      </c>
      <c r="H6409" t="s">
        <v>9998</v>
      </c>
      <c r="I6409" t="s">
        <v>7352</v>
      </c>
      <c r="J6409" t="s">
        <v>32859</v>
      </c>
      <c r="K6409" t="s">
        <v>37227</v>
      </c>
      <c r="M6409" t="s">
        <v>37540</v>
      </c>
      <c r="N6409" t="s">
        <v>41249</v>
      </c>
      <c r="O6409" t="s">
        <v>41250</v>
      </c>
      <c r="P6409">
        <v>0</v>
      </c>
      <c r="Q6409">
        <v>0</v>
      </c>
      <c r="R6409" t="s">
        <v>41257</v>
      </c>
      <c r="S6409" t="s">
        <v>41461</v>
      </c>
      <c r="T6409" t="s">
        <v>42910</v>
      </c>
      <c r="U6409" t="s">
        <v>48486</v>
      </c>
      <c r="W6409" t="s">
        <v>55899</v>
      </c>
      <c r="X6409" t="s">
        <v>41259</v>
      </c>
    </row>
    <row r="6410" spans="1:24">
      <c r="A6410">
        <f>HYPERLINK("https://www.philgeps.gov.ph/GEPSNONPILOT/Tender/SplashBidNoticeAbstractUI.aspx?menuIndex=3&amp;refID=7064420&amp;Result=3","7064420")</f>
        <v>0</v>
      </c>
      <c r="B6410" t="s">
        <v>936</v>
      </c>
      <c r="C6410" t="s">
        <v>9493</v>
      </c>
      <c r="D6410" t="s">
        <v>16640</v>
      </c>
      <c r="E6410" t="s">
        <v>22347</v>
      </c>
      <c r="F6410" t="s">
        <v>28669</v>
      </c>
      <c r="G6410" t="s">
        <v>28675</v>
      </c>
      <c r="H6410" t="s">
        <v>9998</v>
      </c>
      <c r="I6410" t="s">
        <v>5286</v>
      </c>
      <c r="J6410" t="s">
        <v>32860</v>
      </c>
      <c r="K6410" t="s">
        <v>37229</v>
      </c>
      <c r="M6410" t="s">
        <v>38459</v>
      </c>
      <c r="N6410" t="s">
        <v>41249</v>
      </c>
      <c r="O6410" t="s">
        <v>41250</v>
      </c>
      <c r="P6410">
        <v>0</v>
      </c>
      <c r="Q6410">
        <v>11</v>
      </c>
      <c r="R6410" t="s">
        <v>41257</v>
      </c>
      <c r="S6410" t="s">
        <v>41461</v>
      </c>
      <c r="T6410" t="s">
        <v>42929</v>
      </c>
      <c r="U6410" t="s">
        <v>48487</v>
      </c>
      <c r="W6410" t="s">
        <v>38459</v>
      </c>
      <c r="X6410" t="s">
        <v>41260</v>
      </c>
    </row>
    <row r="6411" spans="1:24">
      <c r="A6411">
        <f>HYPERLINK("https://www.philgeps.gov.ph/GEPSNONPILOT/Tender/SplashBidNoticeAbstractUI.aspx?menuIndex=3&amp;refID=7064410&amp;Result=3","7064410")</f>
        <v>0</v>
      </c>
      <c r="B6411" t="s">
        <v>936</v>
      </c>
      <c r="C6411" t="s">
        <v>9494</v>
      </c>
      <c r="D6411" t="s">
        <v>16640</v>
      </c>
      <c r="E6411" t="s">
        <v>22348</v>
      </c>
      <c r="F6411" t="s">
        <v>28669</v>
      </c>
      <c r="G6411" t="s">
        <v>28675</v>
      </c>
      <c r="H6411" t="s">
        <v>9998</v>
      </c>
      <c r="I6411" t="s">
        <v>5213</v>
      </c>
      <c r="J6411" t="s">
        <v>30493</v>
      </c>
      <c r="K6411" t="s">
        <v>37216</v>
      </c>
      <c r="M6411" t="s">
        <v>38459</v>
      </c>
      <c r="N6411" t="s">
        <v>41249</v>
      </c>
      <c r="O6411" t="s">
        <v>41250</v>
      </c>
      <c r="P6411">
        <v>0</v>
      </c>
      <c r="Q6411">
        <v>3</v>
      </c>
      <c r="R6411" t="s">
        <v>41257</v>
      </c>
      <c r="S6411" t="s">
        <v>41461</v>
      </c>
      <c r="T6411" t="s">
        <v>42929</v>
      </c>
      <c r="U6411" t="s">
        <v>48488</v>
      </c>
      <c r="W6411" t="s">
        <v>38459</v>
      </c>
      <c r="X6411" t="s">
        <v>41260</v>
      </c>
    </row>
    <row r="6412" spans="1:24">
      <c r="A6412">
        <f>HYPERLINK("https://www.philgeps.gov.ph/GEPSNONPILOT/Tender/SplashBidNoticeAbstractUI.aspx?menuIndex=3&amp;refID=7065239&amp;Result=3","7065239")</f>
        <v>0</v>
      </c>
      <c r="B6412" t="s">
        <v>65</v>
      </c>
      <c r="C6412" t="s">
        <v>9495</v>
      </c>
      <c r="D6412" t="s">
        <v>16626</v>
      </c>
      <c r="E6412" t="s">
        <v>22349</v>
      </c>
      <c r="F6412" t="s">
        <v>28669</v>
      </c>
      <c r="G6412" t="s">
        <v>28676</v>
      </c>
      <c r="H6412" t="s">
        <v>9998</v>
      </c>
      <c r="I6412" t="s">
        <v>3679</v>
      </c>
      <c r="J6412" t="s">
        <v>29064</v>
      </c>
      <c r="K6412" t="s">
        <v>37227</v>
      </c>
      <c r="M6412" t="s">
        <v>37540</v>
      </c>
      <c r="N6412" t="s">
        <v>41249</v>
      </c>
      <c r="O6412" t="s">
        <v>41250</v>
      </c>
      <c r="P6412">
        <v>0</v>
      </c>
      <c r="Q6412">
        <v>0</v>
      </c>
      <c r="R6412" t="s">
        <v>41257</v>
      </c>
      <c r="S6412" t="s">
        <v>41461</v>
      </c>
      <c r="T6412" t="s">
        <v>42910</v>
      </c>
      <c r="U6412" t="s">
        <v>43259</v>
      </c>
      <c r="W6412" t="s">
        <v>55899</v>
      </c>
      <c r="X6412" t="s">
        <v>41259</v>
      </c>
    </row>
    <row r="6413" spans="1:24">
      <c r="A6413">
        <f>HYPERLINK("https://www.philgeps.gov.ph/GEPSNONPILOT/Tender/SplashBidNoticeAbstractUI.aspx?menuIndex=3&amp;refID=7064497&amp;Result=3","7064497")</f>
        <v>0</v>
      </c>
      <c r="B6413" t="s">
        <v>936</v>
      </c>
      <c r="C6413" t="s">
        <v>9496</v>
      </c>
      <c r="D6413" t="s">
        <v>16640</v>
      </c>
      <c r="E6413" t="s">
        <v>22350</v>
      </c>
      <c r="F6413" t="s">
        <v>28669</v>
      </c>
      <c r="G6413" t="s">
        <v>28675</v>
      </c>
      <c r="H6413" t="s">
        <v>9998</v>
      </c>
      <c r="I6413" t="s">
        <v>28725</v>
      </c>
      <c r="J6413" t="s">
        <v>32861</v>
      </c>
      <c r="K6413" t="s">
        <v>37229</v>
      </c>
      <c r="M6413" t="s">
        <v>38459</v>
      </c>
      <c r="N6413" t="s">
        <v>41249</v>
      </c>
      <c r="O6413" t="s">
        <v>41250</v>
      </c>
      <c r="P6413">
        <v>0</v>
      </c>
      <c r="Q6413">
        <v>1</v>
      </c>
      <c r="R6413" t="s">
        <v>41257</v>
      </c>
      <c r="S6413" t="s">
        <v>41461</v>
      </c>
      <c r="T6413" t="s">
        <v>42929</v>
      </c>
      <c r="U6413" t="s">
        <v>48489</v>
      </c>
      <c r="W6413" t="s">
        <v>38459</v>
      </c>
      <c r="X6413" t="s">
        <v>41260</v>
      </c>
    </row>
    <row r="6414" spans="1:24">
      <c r="A6414">
        <f>HYPERLINK("https://www.philgeps.gov.ph/GEPSNONPILOT/Tender/SplashBidNoticeAbstractUI.aspx?menuIndex=3&amp;refID=7062278&amp;Result=3","7062278")</f>
        <v>0</v>
      </c>
      <c r="B6414" t="s">
        <v>2118</v>
      </c>
      <c r="C6414" t="s">
        <v>9497</v>
      </c>
      <c r="D6414" t="s">
        <v>16628</v>
      </c>
      <c r="E6414" t="s">
        <v>22351</v>
      </c>
      <c r="F6414" t="s">
        <v>28669</v>
      </c>
      <c r="G6414" t="s">
        <v>28675</v>
      </c>
      <c r="H6414" t="s">
        <v>9998</v>
      </c>
      <c r="I6414" t="s">
        <v>28697</v>
      </c>
      <c r="J6414" t="s">
        <v>32862</v>
      </c>
      <c r="K6414" t="s">
        <v>37206</v>
      </c>
      <c r="M6414" t="s">
        <v>39762</v>
      </c>
      <c r="N6414" t="s">
        <v>41249</v>
      </c>
      <c r="O6414" t="s">
        <v>41250</v>
      </c>
      <c r="P6414">
        <v>0</v>
      </c>
      <c r="Q6414">
        <v>2</v>
      </c>
      <c r="R6414" t="s">
        <v>41257</v>
      </c>
      <c r="S6414" t="s">
        <v>41461</v>
      </c>
      <c r="T6414" t="s">
        <v>42758</v>
      </c>
      <c r="U6414" t="s">
        <v>48490</v>
      </c>
      <c r="V6414" t="s">
        <v>54980</v>
      </c>
      <c r="W6414" t="s">
        <v>39762</v>
      </c>
      <c r="X6414" t="s">
        <v>41260</v>
      </c>
    </row>
    <row r="6415" spans="1:24">
      <c r="A6415">
        <f>HYPERLINK("https://www.philgeps.gov.ph/GEPSNONPILOT/Tender/SplashBidNoticeAbstractUI.aspx?menuIndex=3&amp;refID=7066074&amp;Result=3","7066074")</f>
        <v>0</v>
      </c>
      <c r="B6415" t="s">
        <v>2121</v>
      </c>
      <c r="C6415" t="s">
        <v>9498</v>
      </c>
      <c r="D6415" t="s">
        <v>16610</v>
      </c>
      <c r="E6415" t="s">
        <v>16861</v>
      </c>
      <c r="F6415" t="s">
        <v>28669</v>
      </c>
      <c r="G6415" t="s">
        <v>28675</v>
      </c>
      <c r="H6415" t="s">
        <v>9998</v>
      </c>
      <c r="I6415" t="s">
        <v>5213</v>
      </c>
      <c r="J6415" t="s">
        <v>32863</v>
      </c>
      <c r="K6415" t="s">
        <v>37204</v>
      </c>
      <c r="M6415" t="s">
        <v>39765</v>
      </c>
      <c r="N6415" t="s">
        <v>41249</v>
      </c>
      <c r="O6415" t="s">
        <v>41250</v>
      </c>
      <c r="P6415">
        <v>0</v>
      </c>
      <c r="Q6415">
        <v>1</v>
      </c>
      <c r="R6415" t="s">
        <v>41257</v>
      </c>
      <c r="S6415" t="s">
        <v>41461</v>
      </c>
      <c r="T6415" t="s">
        <v>42717</v>
      </c>
      <c r="U6415" t="s">
        <v>48491</v>
      </c>
      <c r="V6415" t="s">
        <v>54981</v>
      </c>
      <c r="W6415" t="s">
        <v>39765</v>
      </c>
      <c r="X6415" t="s">
        <v>41259</v>
      </c>
    </row>
    <row r="6416" spans="1:24">
      <c r="A6416">
        <f>HYPERLINK("https://www.philgeps.gov.ph/GEPSNONPILOT/Tender/SplashBidNoticeAbstractUI.aspx?menuIndex=3&amp;refID=7043420&amp;Result=3","7043420")</f>
        <v>0</v>
      </c>
      <c r="B6416" t="s">
        <v>542</v>
      </c>
      <c r="C6416" t="s">
        <v>9499</v>
      </c>
      <c r="D6416" t="s">
        <v>16616</v>
      </c>
      <c r="E6416" t="s">
        <v>22352</v>
      </c>
      <c r="F6416" t="s">
        <v>28669</v>
      </c>
      <c r="G6416" t="s">
        <v>28675</v>
      </c>
      <c r="H6416" t="s">
        <v>9998</v>
      </c>
      <c r="I6416" t="s">
        <v>28714</v>
      </c>
      <c r="J6416" t="s">
        <v>32864</v>
      </c>
      <c r="K6416" t="s">
        <v>37205</v>
      </c>
      <c r="M6416" t="s">
        <v>38035</v>
      </c>
      <c r="N6416" t="s">
        <v>41249</v>
      </c>
      <c r="O6416" t="s">
        <v>41250</v>
      </c>
      <c r="P6416">
        <v>0</v>
      </c>
      <c r="Q6416">
        <v>5</v>
      </c>
      <c r="R6416" t="s">
        <v>41257</v>
      </c>
      <c r="S6416" t="s">
        <v>41461</v>
      </c>
      <c r="T6416" t="s">
        <v>42722</v>
      </c>
      <c r="U6416" t="s">
        <v>48492</v>
      </c>
      <c r="W6416" t="s">
        <v>38035</v>
      </c>
      <c r="X6416" t="s">
        <v>41271</v>
      </c>
    </row>
    <row r="6417" spans="1:24">
      <c r="A6417">
        <f>HYPERLINK("https://www.philgeps.gov.ph/GEPSNONPILOT/Tender/SplashBidNoticeAbstractUI.aspx?menuIndex=3&amp;refID=7066014&amp;Result=3","7066014")</f>
        <v>0</v>
      </c>
      <c r="B6417" t="s">
        <v>1308</v>
      </c>
      <c r="C6417" t="s">
        <v>9500</v>
      </c>
      <c r="D6417" t="s">
        <v>16654</v>
      </c>
      <c r="E6417" t="s">
        <v>22353</v>
      </c>
      <c r="F6417" t="s">
        <v>28669</v>
      </c>
      <c r="G6417" t="s">
        <v>28675</v>
      </c>
      <c r="H6417" t="s">
        <v>9998</v>
      </c>
      <c r="I6417" t="s">
        <v>7352</v>
      </c>
      <c r="J6417" t="s">
        <v>32865</v>
      </c>
      <c r="K6417" t="s">
        <v>37209</v>
      </c>
      <c r="M6417" t="s">
        <v>38860</v>
      </c>
      <c r="N6417" t="s">
        <v>41249</v>
      </c>
      <c r="O6417" t="s">
        <v>41250</v>
      </c>
      <c r="P6417">
        <v>0</v>
      </c>
      <c r="Q6417">
        <v>1</v>
      </c>
      <c r="R6417" t="s">
        <v>41257</v>
      </c>
      <c r="S6417" t="s">
        <v>41461</v>
      </c>
      <c r="T6417" t="s">
        <v>42929</v>
      </c>
      <c r="U6417" t="s">
        <v>48493</v>
      </c>
      <c r="W6417" t="s">
        <v>38860</v>
      </c>
      <c r="X6417" t="s">
        <v>41259</v>
      </c>
    </row>
    <row r="6418" spans="1:24">
      <c r="A6418">
        <f>HYPERLINK("https://www.philgeps.gov.ph/GEPSNONPILOT/Tender/SplashBidNoticeAbstractUI.aspx?menuIndex=3&amp;refID=7065958&amp;Result=3","7065958")</f>
        <v>0</v>
      </c>
      <c r="B6418" t="s">
        <v>2122</v>
      </c>
      <c r="C6418" t="s">
        <v>9501</v>
      </c>
      <c r="D6418" t="s">
        <v>16632</v>
      </c>
      <c r="E6418" t="s">
        <v>22354</v>
      </c>
      <c r="F6418" t="s">
        <v>28669</v>
      </c>
      <c r="G6418" t="s">
        <v>28677</v>
      </c>
      <c r="H6418" t="s">
        <v>9998</v>
      </c>
      <c r="I6418" t="s">
        <v>28697</v>
      </c>
      <c r="J6418" t="s">
        <v>32866</v>
      </c>
      <c r="K6418" t="s">
        <v>37209</v>
      </c>
      <c r="M6418" t="s">
        <v>39766</v>
      </c>
      <c r="N6418" t="s">
        <v>41249</v>
      </c>
      <c r="O6418" t="s">
        <v>41250</v>
      </c>
      <c r="P6418">
        <v>0</v>
      </c>
      <c r="Q6418">
        <v>5</v>
      </c>
      <c r="R6418" t="s">
        <v>41257</v>
      </c>
      <c r="S6418" t="s">
        <v>41461</v>
      </c>
      <c r="T6418" t="s">
        <v>42940</v>
      </c>
      <c r="U6418" t="s">
        <v>48494</v>
      </c>
      <c r="W6418" t="s">
        <v>39766</v>
      </c>
      <c r="X6418" t="s">
        <v>41259</v>
      </c>
    </row>
    <row r="6419" spans="1:24">
      <c r="A6419">
        <f>HYPERLINK("https://www.philgeps.gov.ph/GEPSNONPILOT/Tender/SplashBidNoticeAbstractUI.aspx?menuIndex=3&amp;refID=7065954&amp;Result=3","7065954")</f>
        <v>0</v>
      </c>
      <c r="B6419" t="s">
        <v>1308</v>
      </c>
      <c r="C6419" t="s">
        <v>9502</v>
      </c>
      <c r="D6419" t="s">
        <v>16654</v>
      </c>
      <c r="E6419" t="s">
        <v>22355</v>
      </c>
      <c r="F6419" t="s">
        <v>28669</v>
      </c>
      <c r="G6419" t="s">
        <v>28675</v>
      </c>
      <c r="H6419" t="s">
        <v>28686</v>
      </c>
      <c r="I6419" t="s">
        <v>28689</v>
      </c>
      <c r="J6419" t="s">
        <v>31737</v>
      </c>
      <c r="K6419" t="s">
        <v>37209</v>
      </c>
      <c r="M6419" t="s">
        <v>38860</v>
      </c>
      <c r="N6419" t="s">
        <v>41249</v>
      </c>
      <c r="O6419" t="s">
        <v>41250</v>
      </c>
      <c r="P6419">
        <v>0</v>
      </c>
      <c r="Q6419">
        <v>2</v>
      </c>
      <c r="R6419" t="s">
        <v>41257</v>
      </c>
      <c r="S6419" t="s">
        <v>41461</v>
      </c>
      <c r="T6419" t="s">
        <v>42929</v>
      </c>
      <c r="U6419" t="s">
        <v>48495</v>
      </c>
      <c r="W6419" t="s">
        <v>38860</v>
      </c>
      <c r="X6419" t="s">
        <v>41259</v>
      </c>
    </row>
    <row r="6420" spans="1:24">
      <c r="A6420">
        <f>HYPERLINK("https://www.philgeps.gov.ph/GEPSNONPILOT/Tender/SplashBidNoticeAbstractUI.aspx?menuIndex=3&amp;refID=7065950&amp;Result=3","7065950")</f>
        <v>0</v>
      </c>
      <c r="B6420" t="s">
        <v>2123</v>
      </c>
      <c r="C6420" t="s">
        <v>9503</v>
      </c>
      <c r="D6420" t="s">
        <v>16640</v>
      </c>
      <c r="E6420" t="s">
        <v>22356</v>
      </c>
      <c r="F6420" t="s">
        <v>28669</v>
      </c>
      <c r="G6420" t="s">
        <v>28675</v>
      </c>
      <c r="H6420" t="s">
        <v>28686</v>
      </c>
      <c r="I6420" t="s">
        <v>28689</v>
      </c>
      <c r="J6420" t="s">
        <v>32867</v>
      </c>
      <c r="K6420" t="s">
        <v>37206</v>
      </c>
      <c r="M6420" t="s">
        <v>39767</v>
      </c>
      <c r="N6420" t="s">
        <v>41249</v>
      </c>
      <c r="O6420" t="s">
        <v>41250</v>
      </c>
      <c r="P6420">
        <v>0</v>
      </c>
      <c r="Q6420">
        <v>1</v>
      </c>
      <c r="R6420" t="s">
        <v>41257</v>
      </c>
      <c r="S6420" t="s">
        <v>41461</v>
      </c>
      <c r="T6420" t="s">
        <v>42743</v>
      </c>
      <c r="U6420" t="s">
        <v>48496</v>
      </c>
      <c r="V6420" t="s">
        <v>54982</v>
      </c>
      <c r="W6420" t="s">
        <v>39767</v>
      </c>
      <c r="X6420" t="s">
        <v>41259</v>
      </c>
    </row>
    <row r="6421" spans="1:24">
      <c r="A6421">
        <f>HYPERLINK("https://www.philgeps.gov.ph/GEPSNONPILOT/Tender/SplashBidNoticeAbstractUI.aspx?menuIndex=3&amp;refID=7066091&amp;Result=3","7066091")</f>
        <v>0</v>
      </c>
      <c r="B6421" t="s">
        <v>2124</v>
      </c>
      <c r="C6421" t="s">
        <v>9504</v>
      </c>
      <c r="D6421" t="s">
        <v>16611</v>
      </c>
      <c r="E6421" t="s">
        <v>22357</v>
      </c>
      <c r="F6421" t="s">
        <v>28669</v>
      </c>
      <c r="G6421" t="s">
        <v>28675</v>
      </c>
      <c r="H6421" t="s">
        <v>28686</v>
      </c>
      <c r="I6421" t="s">
        <v>28689</v>
      </c>
      <c r="J6421" t="s">
        <v>29003</v>
      </c>
      <c r="K6421" t="s">
        <v>37220</v>
      </c>
      <c r="M6421" t="s">
        <v>39768</v>
      </c>
      <c r="N6421" t="s">
        <v>41249</v>
      </c>
      <c r="O6421" t="s">
        <v>41250</v>
      </c>
      <c r="P6421">
        <v>0</v>
      </c>
      <c r="Q6421">
        <v>0</v>
      </c>
      <c r="R6421" t="s">
        <v>41257</v>
      </c>
      <c r="S6421" t="s">
        <v>41461</v>
      </c>
      <c r="T6421" t="s">
        <v>42665</v>
      </c>
      <c r="U6421" t="s">
        <v>48497</v>
      </c>
      <c r="W6421" t="s">
        <v>39768</v>
      </c>
      <c r="X6421" t="s">
        <v>41259</v>
      </c>
    </row>
    <row r="6422" spans="1:24">
      <c r="A6422">
        <f>HYPERLINK("https://www.philgeps.gov.ph/GEPSNONPILOT/Tender/SplashBidNoticeAbstractUI.aspx?menuIndex=3&amp;refID=7065809&amp;Result=3","7065809")</f>
        <v>0</v>
      </c>
      <c r="B6422" t="s">
        <v>1786</v>
      </c>
      <c r="C6422" t="s">
        <v>9505</v>
      </c>
      <c r="D6422" t="s">
        <v>16638</v>
      </c>
      <c r="E6422" t="s">
        <v>22358</v>
      </c>
      <c r="F6422" t="s">
        <v>28669</v>
      </c>
      <c r="G6422" t="s">
        <v>28675</v>
      </c>
      <c r="H6422" t="s">
        <v>28686</v>
      </c>
      <c r="I6422" t="s">
        <v>28689</v>
      </c>
      <c r="J6422" t="s">
        <v>32868</v>
      </c>
      <c r="K6422" t="s">
        <v>37215</v>
      </c>
      <c r="M6422" t="s">
        <v>39393</v>
      </c>
      <c r="N6422" t="s">
        <v>41249</v>
      </c>
      <c r="O6422" t="s">
        <v>41250</v>
      </c>
      <c r="P6422">
        <v>0</v>
      </c>
      <c r="Q6422">
        <v>2</v>
      </c>
      <c r="R6422" t="s">
        <v>41257</v>
      </c>
      <c r="S6422" t="s">
        <v>41461</v>
      </c>
      <c r="T6422" t="s">
        <v>42757</v>
      </c>
      <c r="U6422" t="s">
        <v>48498</v>
      </c>
      <c r="W6422" t="s">
        <v>39393</v>
      </c>
      <c r="X6422" t="s">
        <v>41259</v>
      </c>
    </row>
    <row r="6423" spans="1:24">
      <c r="A6423">
        <f>HYPERLINK("https://www.philgeps.gov.ph/GEPSNONPILOT/Tender/SplashBidNoticeAbstractUI.aspx?menuIndex=3&amp;refID=7065986&amp;Result=3","7065986")</f>
        <v>0</v>
      </c>
      <c r="B6423" t="s">
        <v>1769</v>
      </c>
      <c r="C6423" t="s">
        <v>9506</v>
      </c>
      <c r="D6423" t="s">
        <v>16648</v>
      </c>
      <c r="E6423" t="s">
        <v>22359</v>
      </c>
      <c r="F6423" t="s">
        <v>28669</v>
      </c>
      <c r="G6423" t="s">
        <v>28675</v>
      </c>
      <c r="H6423" t="s">
        <v>28686</v>
      </c>
      <c r="I6423" t="s">
        <v>28689</v>
      </c>
      <c r="J6423" t="s">
        <v>32869</v>
      </c>
      <c r="K6423" t="s">
        <v>37213</v>
      </c>
      <c r="M6423" t="s">
        <v>39769</v>
      </c>
      <c r="N6423" t="s">
        <v>41249</v>
      </c>
      <c r="O6423" t="s">
        <v>41250</v>
      </c>
      <c r="P6423">
        <v>0</v>
      </c>
      <c r="Q6423">
        <v>0</v>
      </c>
      <c r="R6423" t="s">
        <v>41257</v>
      </c>
      <c r="S6423" t="s">
        <v>41461</v>
      </c>
      <c r="T6423" t="s">
        <v>43027</v>
      </c>
      <c r="U6423" t="s">
        <v>48499</v>
      </c>
      <c r="V6423" t="s">
        <v>54983</v>
      </c>
      <c r="W6423" t="s">
        <v>39769</v>
      </c>
      <c r="X6423" t="s">
        <v>41259</v>
      </c>
    </row>
    <row r="6424" spans="1:24">
      <c r="A6424">
        <f>HYPERLINK("https://www.philgeps.gov.ph/GEPSNONPILOT/Tender/SplashBidNoticeAbstractUI.aspx?menuIndex=3&amp;refID=7065781&amp;Result=3","7065781")</f>
        <v>0</v>
      </c>
      <c r="B6424" t="s">
        <v>2125</v>
      </c>
      <c r="C6424" t="s">
        <v>9507</v>
      </c>
      <c r="D6424" t="s">
        <v>16658</v>
      </c>
      <c r="E6424" t="s">
        <v>22360</v>
      </c>
      <c r="F6424" t="s">
        <v>28669</v>
      </c>
      <c r="G6424" t="s">
        <v>28675</v>
      </c>
      <c r="H6424" t="s">
        <v>9998</v>
      </c>
      <c r="I6424" t="s">
        <v>7352</v>
      </c>
      <c r="J6424" t="s">
        <v>32870</v>
      </c>
      <c r="K6424" t="s">
        <v>37209</v>
      </c>
      <c r="M6424" t="s">
        <v>39770</v>
      </c>
      <c r="N6424" t="s">
        <v>41249</v>
      </c>
      <c r="O6424" t="s">
        <v>41250</v>
      </c>
      <c r="P6424">
        <v>0</v>
      </c>
      <c r="Q6424">
        <v>0</v>
      </c>
      <c r="R6424" t="s">
        <v>41257</v>
      </c>
      <c r="S6424" t="s">
        <v>41461</v>
      </c>
      <c r="T6424" t="s">
        <v>42867</v>
      </c>
      <c r="U6424" t="s">
        <v>48500</v>
      </c>
      <c r="W6424" t="s">
        <v>39770</v>
      </c>
      <c r="X6424" t="s">
        <v>41259</v>
      </c>
    </row>
    <row r="6425" spans="1:24">
      <c r="A6425">
        <f>HYPERLINK("https://www.philgeps.gov.ph/GEPSNONPILOT/Tender/SplashBidNoticeAbstractUI.aspx?menuIndex=3&amp;refID=7065509&amp;Result=3","7065509")</f>
        <v>0</v>
      </c>
      <c r="B6425" t="s">
        <v>974</v>
      </c>
      <c r="C6425" t="s">
        <v>9508</v>
      </c>
      <c r="D6425" t="s">
        <v>16621</v>
      </c>
      <c r="E6425" t="s">
        <v>22361</v>
      </c>
      <c r="F6425" t="s">
        <v>28669</v>
      </c>
      <c r="G6425" t="s">
        <v>28675</v>
      </c>
      <c r="H6425" t="s">
        <v>9998</v>
      </c>
      <c r="I6425" t="s">
        <v>7352</v>
      </c>
      <c r="J6425" t="s">
        <v>32871</v>
      </c>
      <c r="K6425" t="s">
        <v>37205</v>
      </c>
      <c r="M6425" t="s">
        <v>39760</v>
      </c>
      <c r="N6425" t="s">
        <v>41249</v>
      </c>
      <c r="O6425" t="s">
        <v>41250</v>
      </c>
      <c r="P6425">
        <v>0</v>
      </c>
      <c r="Q6425">
        <v>0</v>
      </c>
      <c r="R6425" t="s">
        <v>41257</v>
      </c>
      <c r="S6425" t="s">
        <v>41461</v>
      </c>
      <c r="T6425" t="s">
        <v>43017</v>
      </c>
      <c r="U6425" t="s">
        <v>48477</v>
      </c>
      <c r="W6425" t="s">
        <v>39760</v>
      </c>
      <c r="X6425" t="s">
        <v>41259</v>
      </c>
    </row>
    <row r="6426" spans="1:24">
      <c r="A6426">
        <f>HYPERLINK("https://www.philgeps.gov.ph/GEPSNONPILOT/Tender/SplashBidNoticeAbstractUI.aspx?menuIndex=3&amp;refID=7065846&amp;Result=3","7065846")</f>
        <v>0</v>
      </c>
      <c r="B6426" t="s">
        <v>2126</v>
      </c>
      <c r="C6426" t="s">
        <v>9509</v>
      </c>
      <c r="D6426" t="s">
        <v>16672</v>
      </c>
      <c r="E6426" t="s">
        <v>22362</v>
      </c>
      <c r="F6426" t="s">
        <v>28669</v>
      </c>
      <c r="G6426" t="s">
        <v>28677</v>
      </c>
      <c r="H6426" t="s">
        <v>9998</v>
      </c>
      <c r="I6426" t="s">
        <v>28724</v>
      </c>
      <c r="J6426" t="s">
        <v>30002</v>
      </c>
      <c r="K6426" t="s">
        <v>37206</v>
      </c>
      <c r="M6426" t="s">
        <v>39771</v>
      </c>
      <c r="N6426" t="s">
        <v>41249</v>
      </c>
      <c r="O6426" t="s">
        <v>41250</v>
      </c>
      <c r="P6426">
        <v>0</v>
      </c>
      <c r="Q6426">
        <v>1</v>
      </c>
      <c r="R6426" t="s">
        <v>41257</v>
      </c>
      <c r="S6426" t="s">
        <v>41461</v>
      </c>
      <c r="T6426" t="s">
        <v>42758</v>
      </c>
      <c r="U6426" t="s">
        <v>48501</v>
      </c>
      <c r="W6426" t="s">
        <v>39771</v>
      </c>
      <c r="X6426" t="s">
        <v>41259</v>
      </c>
    </row>
    <row r="6427" spans="1:24">
      <c r="A6427">
        <f>HYPERLINK("https://www.philgeps.gov.ph/GEPSNONPILOT/Tender/SplashBidNoticeAbstractUI.aspx?menuIndex=3&amp;refID=7065439&amp;Result=3","7065439")</f>
        <v>0</v>
      </c>
      <c r="B6427" t="s">
        <v>1203</v>
      </c>
      <c r="C6427" t="s">
        <v>9510</v>
      </c>
      <c r="D6427" t="s">
        <v>16643</v>
      </c>
      <c r="E6427" t="s">
        <v>22363</v>
      </c>
      <c r="F6427" t="s">
        <v>28669</v>
      </c>
      <c r="G6427" t="s">
        <v>28677</v>
      </c>
      <c r="H6427" t="s">
        <v>9998</v>
      </c>
      <c r="I6427" t="s">
        <v>28709</v>
      </c>
      <c r="J6427" t="s">
        <v>32521</v>
      </c>
      <c r="K6427" t="s">
        <v>37204</v>
      </c>
      <c r="M6427" t="s">
        <v>38743</v>
      </c>
      <c r="N6427" t="s">
        <v>41249</v>
      </c>
      <c r="O6427" t="s">
        <v>41250</v>
      </c>
      <c r="P6427">
        <v>0</v>
      </c>
      <c r="Q6427">
        <v>2</v>
      </c>
      <c r="R6427" t="s">
        <v>41257</v>
      </c>
      <c r="S6427" t="s">
        <v>41461</v>
      </c>
      <c r="T6427" t="s">
        <v>42758</v>
      </c>
      <c r="U6427" t="s">
        <v>48502</v>
      </c>
      <c r="W6427" t="s">
        <v>38743</v>
      </c>
      <c r="X6427" t="s">
        <v>41259</v>
      </c>
    </row>
    <row r="6428" spans="1:24">
      <c r="A6428">
        <f>HYPERLINK("https://www.philgeps.gov.ph/GEPSNONPILOT/Tender/SplashBidNoticeAbstractUI.aspx?menuIndex=3&amp;refID=7065436&amp;Result=3","7065436")</f>
        <v>0</v>
      </c>
      <c r="B6428" t="s">
        <v>608</v>
      </c>
      <c r="C6428" t="s">
        <v>9511</v>
      </c>
      <c r="E6428" t="s">
        <v>22364</v>
      </c>
      <c r="F6428" t="s">
        <v>28669</v>
      </c>
      <c r="G6428" t="s">
        <v>28675</v>
      </c>
      <c r="H6428" t="s">
        <v>9998</v>
      </c>
      <c r="I6428" t="s">
        <v>28697</v>
      </c>
      <c r="J6428" t="s">
        <v>32872</v>
      </c>
      <c r="K6428" t="s">
        <v>37206</v>
      </c>
      <c r="M6428" t="s">
        <v>38108</v>
      </c>
      <c r="N6428" t="s">
        <v>41249</v>
      </c>
      <c r="O6428" t="s">
        <v>41250</v>
      </c>
      <c r="P6428">
        <v>0</v>
      </c>
      <c r="Q6428">
        <v>9</v>
      </c>
      <c r="R6428" t="s">
        <v>41257</v>
      </c>
      <c r="S6428" t="s">
        <v>41461</v>
      </c>
      <c r="T6428" t="s">
        <v>42701</v>
      </c>
      <c r="U6428" t="s">
        <v>48503</v>
      </c>
      <c r="W6428" t="s">
        <v>38108</v>
      </c>
      <c r="X6428" t="s">
        <v>41259</v>
      </c>
    </row>
    <row r="6429" spans="1:24">
      <c r="A6429">
        <f>HYPERLINK("https://www.philgeps.gov.ph/GEPSNONPILOT/Tender/SplashBidNoticeAbstractUI.aspx?menuIndex=3&amp;refID=7065740&amp;Result=3","7065740")</f>
        <v>0</v>
      </c>
      <c r="B6429" t="s">
        <v>2125</v>
      </c>
      <c r="C6429" t="s">
        <v>9512</v>
      </c>
      <c r="D6429" t="s">
        <v>16658</v>
      </c>
      <c r="E6429" t="s">
        <v>22365</v>
      </c>
      <c r="F6429" t="s">
        <v>28669</v>
      </c>
      <c r="G6429" t="s">
        <v>28675</v>
      </c>
      <c r="H6429" t="s">
        <v>9998</v>
      </c>
      <c r="I6429" t="s">
        <v>7352</v>
      </c>
      <c r="J6429" t="s">
        <v>32873</v>
      </c>
      <c r="K6429" t="s">
        <v>37209</v>
      </c>
      <c r="M6429" t="s">
        <v>39770</v>
      </c>
      <c r="N6429" t="s">
        <v>41249</v>
      </c>
      <c r="O6429" t="s">
        <v>41250</v>
      </c>
      <c r="P6429">
        <v>0</v>
      </c>
      <c r="Q6429">
        <v>0</v>
      </c>
      <c r="R6429" t="s">
        <v>41257</v>
      </c>
      <c r="S6429" t="s">
        <v>41461</v>
      </c>
      <c r="T6429" t="s">
        <v>42736</v>
      </c>
      <c r="U6429" t="s">
        <v>48504</v>
      </c>
      <c r="W6429" t="s">
        <v>39770</v>
      </c>
      <c r="X6429" t="s">
        <v>41259</v>
      </c>
    </row>
    <row r="6430" spans="1:24">
      <c r="A6430">
        <f>HYPERLINK("https://www.philgeps.gov.ph/GEPSNONPILOT/Tender/SplashBidNoticeAbstractUI.aspx?menuIndex=3&amp;refID=7065406&amp;Result=3","7065406")</f>
        <v>0</v>
      </c>
      <c r="B6430" t="s">
        <v>974</v>
      </c>
      <c r="C6430" t="s">
        <v>9513</v>
      </c>
      <c r="D6430" t="s">
        <v>16621</v>
      </c>
      <c r="E6430" t="s">
        <v>22366</v>
      </c>
      <c r="F6430" t="s">
        <v>28669</v>
      </c>
      <c r="G6430" t="s">
        <v>28675</v>
      </c>
      <c r="H6430" t="s">
        <v>9998</v>
      </c>
      <c r="I6430" t="s">
        <v>7352</v>
      </c>
      <c r="J6430" t="s">
        <v>32874</v>
      </c>
      <c r="K6430" t="s">
        <v>37205</v>
      </c>
      <c r="M6430" t="s">
        <v>39760</v>
      </c>
      <c r="N6430" t="s">
        <v>41249</v>
      </c>
      <c r="O6430" t="s">
        <v>41250</v>
      </c>
      <c r="P6430">
        <v>0</v>
      </c>
      <c r="Q6430">
        <v>0</v>
      </c>
      <c r="R6430" t="s">
        <v>41257</v>
      </c>
      <c r="S6430" t="s">
        <v>41461</v>
      </c>
      <c r="T6430" t="s">
        <v>43017</v>
      </c>
      <c r="U6430" t="s">
        <v>48505</v>
      </c>
      <c r="W6430" t="s">
        <v>39760</v>
      </c>
      <c r="X6430" t="s">
        <v>41259</v>
      </c>
    </row>
    <row r="6431" spans="1:24">
      <c r="A6431">
        <f>HYPERLINK("https://www.philgeps.gov.ph/GEPSNONPILOT/Tender/SplashBidNoticeAbstractUI.aspx?menuIndex=3&amp;refID=7066092&amp;Result=3","7066092")</f>
        <v>0</v>
      </c>
      <c r="B6431" t="s">
        <v>1423</v>
      </c>
      <c r="C6431" t="s">
        <v>9514</v>
      </c>
      <c r="D6431" t="s">
        <v>16635</v>
      </c>
      <c r="E6431" t="s">
        <v>22367</v>
      </c>
      <c r="F6431" t="s">
        <v>28669</v>
      </c>
      <c r="G6431" t="s">
        <v>28675</v>
      </c>
      <c r="H6431" t="s">
        <v>9998</v>
      </c>
      <c r="I6431" t="s">
        <v>28695</v>
      </c>
      <c r="J6431" t="s">
        <v>29247</v>
      </c>
      <c r="K6431" t="s">
        <v>37220</v>
      </c>
      <c r="M6431" t="s">
        <v>38986</v>
      </c>
      <c r="N6431" t="s">
        <v>41249</v>
      </c>
      <c r="O6431" t="s">
        <v>41250</v>
      </c>
      <c r="P6431">
        <v>0</v>
      </c>
      <c r="Q6431">
        <v>0</v>
      </c>
      <c r="R6431" t="s">
        <v>41257</v>
      </c>
      <c r="S6431" t="s">
        <v>41461</v>
      </c>
      <c r="T6431" t="s">
        <v>42704</v>
      </c>
      <c r="U6431" t="s">
        <v>48506</v>
      </c>
      <c r="W6431" t="s">
        <v>38986</v>
      </c>
      <c r="X6431" t="s">
        <v>41259</v>
      </c>
    </row>
    <row r="6432" spans="1:24">
      <c r="A6432">
        <f>HYPERLINK("https://www.philgeps.gov.ph/GEPSNONPILOT/Tender/SplashBidNoticeAbstractUI.aspx?menuIndex=3&amp;refID=7065499&amp;Result=3","7065499")</f>
        <v>0</v>
      </c>
      <c r="B6432" t="s">
        <v>539</v>
      </c>
      <c r="C6432" t="s">
        <v>4949</v>
      </c>
      <c r="D6432" t="s">
        <v>16665</v>
      </c>
      <c r="E6432" t="s">
        <v>22368</v>
      </c>
      <c r="F6432" t="s">
        <v>28669</v>
      </c>
      <c r="G6432" t="s">
        <v>28675</v>
      </c>
      <c r="H6432" t="s">
        <v>28686</v>
      </c>
      <c r="I6432" t="s">
        <v>28689</v>
      </c>
      <c r="J6432" t="s">
        <v>28877</v>
      </c>
      <c r="K6432" t="s">
        <v>37210</v>
      </c>
      <c r="M6432" t="s">
        <v>38032</v>
      </c>
      <c r="N6432" t="s">
        <v>41249</v>
      </c>
      <c r="O6432" t="s">
        <v>41250</v>
      </c>
      <c r="P6432">
        <v>0</v>
      </c>
      <c r="Q6432">
        <v>1</v>
      </c>
      <c r="R6432" t="s">
        <v>41257</v>
      </c>
      <c r="S6432" t="s">
        <v>41461</v>
      </c>
      <c r="T6432" t="s">
        <v>43028</v>
      </c>
      <c r="U6432" t="s">
        <v>48507</v>
      </c>
      <c r="V6432" t="s">
        <v>54984</v>
      </c>
      <c r="W6432" t="s">
        <v>38032</v>
      </c>
      <c r="X6432" t="s">
        <v>41259</v>
      </c>
    </row>
    <row r="6433" spans="1:24">
      <c r="A6433">
        <f>HYPERLINK("https://www.philgeps.gov.ph/GEPSNONPILOT/Tender/SplashBidNoticeAbstractUI.aspx?menuIndex=3&amp;refID=7064399&amp;Result=3","7064399")</f>
        <v>0</v>
      </c>
      <c r="B6433" t="s">
        <v>936</v>
      </c>
      <c r="C6433" t="s">
        <v>9515</v>
      </c>
      <c r="D6433" t="s">
        <v>16640</v>
      </c>
      <c r="E6433" t="s">
        <v>22369</v>
      </c>
      <c r="F6433" t="s">
        <v>28669</v>
      </c>
      <c r="G6433" t="s">
        <v>28675</v>
      </c>
      <c r="H6433" t="s">
        <v>9998</v>
      </c>
      <c r="I6433" t="s">
        <v>5213</v>
      </c>
      <c r="J6433" t="s">
        <v>32875</v>
      </c>
      <c r="K6433" t="s">
        <v>37216</v>
      </c>
      <c r="M6433" t="s">
        <v>38459</v>
      </c>
      <c r="N6433" t="s">
        <v>41249</v>
      </c>
      <c r="O6433" t="s">
        <v>41250</v>
      </c>
      <c r="P6433">
        <v>0</v>
      </c>
      <c r="Q6433">
        <v>5</v>
      </c>
      <c r="R6433" t="s">
        <v>41257</v>
      </c>
      <c r="S6433" t="s">
        <v>41461</v>
      </c>
      <c r="T6433" t="s">
        <v>42929</v>
      </c>
      <c r="U6433" t="s">
        <v>48508</v>
      </c>
      <c r="W6433" t="s">
        <v>38459</v>
      </c>
      <c r="X6433" t="s">
        <v>41260</v>
      </c>
    </row>
    <row r="6434" spans="1:24">
      <c r="A6434">
        <f>HYPERLINK("https://www.philgeps.gov.ph/GEPSNONPILOT/Tender/SplashBidNoticeAbstractUI.aspx?menuIndex=3&amp;refID=7064392&amp;Result=3","7064392")</f>
        <v>0</v>
      </c>
      <c r="B6434" t="s">
        <v>936</v>
      </c>
      <c r="C6434" t="s">
        <v>9516</v>
      </c>
      <c r="D6434" t="s">
        <v>16640</v>
      </c>
      <c r="E6434" t="s">
        <v>22370</v>
      </c>
      <c r="F6434" t="s">
        <v>28669</v>
      </c>
      <c r="G6434" t="s">
        <v>28675</v>
      </c>
      <c r="H6434" t="s">
        <v>9998</v>
      </c>
      <c r="I6434" t="s">
        <v>5213</v>
      </c>
      <c r="J6434" t="s">
        <v>30045</v>
      </c>
      <c r="K6434" t="s">
        <v>37216</v>
      </c>
      <c r="M6434" t="s">
        <v>38459</v>
      </c>
      <c r="N6434" t="s">
        <v>41249</v>
      </c>
      <c r="O6434" t="s">
        <v>41250</v>
      </c>
      <c r="P6434">
        <v>0</v>
      </c>
      <c r="Q6434">
        <v>11</v>
      </c>
      <c r="R6434" t="s">
        <v>41257</v>
      </c>
      <c r="S6434" t="s">
        <v>41461</v>
      </c>
      <c r="T6434" t="s">
        <v>42929</v>
      </c>
      <c r="U6434" t="s">
        <v>48509</v>
      </c>
      <c r="W6434" t="s">
        <v>38459</v>
      </c>
      <c r="X6434" t="s">
        <v>41260</v>
      </c>
    </row>
    <row r="6435" spans="1:24">
      <c r="A6435">
        <f>HYPERLINK("https://www.philgeps.gov.ph/GEPSNONPILOT/Tender/SplashBidNoticeAbstractUI.aspx?menuIndex=3&amp;refID=7064390&amp;Result=3","7064390")</f>
        <v>0</v>
      </c>
      <c r="B6435" t="s">
        <v>962</v>
      </c>
      <c r="C6435" t="s">
        <v>9517</v>
      </c>
      <c r="D6435" t="s">
        <v>16611</v>
      </c>
      <c r="E6435" t="s">
        <v>22371</v>
      </c>
      <c r="F6435" t="s">
        <v>28669</v>
      </c>
      <c r="G6435" t="s">
        <v>28675</v>
      </c>
      <c r="H6435" t="s">
        <v>28685</v>
      </c>
      <c r="I6435" t="s">
        <v>28685</v>
      </c>
      <c r="J6435" t="s">
        <v>32876</v>
      </c>
      <c r="K6435" t="s">
        <v>37290</v>
      </c>
      <c r="M6435" t="s">
        <v>38487</v>
      </c>
      <c r="N6435" t="s">
        <v>41249</v>
      </c>
      <c r="O6435" t="s">
        <v>41250</v>
      </c>
      <c r="P6435">
        <v>0</v>
      </c>
      <c r="Q6435">
        <v>8</v>
      </c>
      <c r="R6435" t="s">
        <v>41257</v>
      </c>
      <c r="S6435" t="s">
        <v>41461</v>
      </c>
      <c r="T6435" t="s">
        <v>42743</v>
      </c>
      <c r="U6435" t="s">
        <v>48510</v>
      </c>
      <c r="W6435" t="s">
        <v>38487</v>
      </c>
      <c r="X6435" t="s">
        <v>41260</v>
      </c>
    </row>
    <row r="6436" spans="1:24">
      <c r="A6436">
        <f>HYPERLINK("https://www.philgeps.gov.ph/GEPSNONPILOT/Tender/SplashBidNoticeAbstractUI.aspx?menuIndex=3&amp;refID=7064373&amp;Result=3","7064373")</f>
        <v>0</v>
      </c>
      <c r="B6436" t="s">
        <v>936</v>
      </c>
      <c r="C6436" t="s">
        <v>9518</v>
      </c>
      <c r="D6436" t="s">
        <v>16640</v>
      </c>
      <c r="E6436" t="s">
        <v>22372</v>
      </c>
      <c r="F6436" t="s">
        <v>28669</v>
      </c>
      <c r="G6436" t="s">
        <v>28675</v>
      </c>
      <c r="H6436" t="s">
        <v>9998</v>
      </c>
      <c r="I6436" t="s">
        <v>5213</v>
      </c>
      <c r="J6436" t="s">
        <v>32877</v>
      </c>
      <c r="K6436" t="s">
        <v>37216</v>
      </c>
      <c r="M6436" t="s">
        <v>38459</v>
      </c>
      <c r="N6436" t="s">
        <v>41249</v>
      </c>
      <c r="O6436" t="s">
        <v>41250</v>
      </c>
      <c r="P6436">
        <v>0</v>
      </c>
      <c r="Q6436">
        <v>5</v>
      </c>
      <c r="R6436" t="s">
        <v>41257</v>
      </c>
      <c r="S6436" t="s">
        <v>41461</v>
      </c>
      <c r="T6436" t="s">
        <v>42929</v>
      </c>
      <c r="U6436" t="s">
        <v>48511</v>
      </c>
      <c r="W6436" t="s">
        <v>38459</v>
      </c>
      <c r="X6436" t="s">
        <v>41260</v>
      </c>
    </row>
    <row r="6437" spans="1:24">
      <c r="A6437">
        <f>HYPERLINK("https://www.philgeps.gov.ph/GEPSNONPILOT/Tender/SplashBidNoticeAbstractUI.aspx?menuIndex=3&amp;refID=7061363&amp;Result=3","7061363")</f>
        <v>0</v>
      </c>
      <c r="B6437" t="s">
        <v>102</v>
      </c>
      <c r="C6437" t="s">
        <v>9519</v>
      </c>
      <c r="D6437" t="s">
        <v>16631</v>
      </c>
      <c r="E6437" t="s">
        <v>22373</v>
      </c>
      <c r="F6437" t="s">
        <v>28669</v>
      </c>
      <c r="G6437" t="s">
        <v>28676</v>
      </c>
      <c r="H6437" t="s">
        <v>9998</v>
      </c>
      <c r="I6437" t="s">
        <v>7352</v>
      </c>
      <c r="J6437" t="s">
        <v>32878</v>
      </c>
      <c r="K6437" t="s">
        <v>37206</v>
      </c>
      <c r="M6437" t="s">
        <v>37577</v>
      </c>
      <c r="N6437" t="s">
        <v>41249</v>
      </c>
      <c r="O6437" t="s">
        <v>41250</v>
      </c>
      <c r="P6437">
        <v>0</v>
      </c>
      <c r="Q6437">
        <v>3</v>
      </c>
      <c r="R6437" t="s">
        <v>41257</v>
      </c>
      <c r="S6437" t="s">
        <v>41461</v>
      </c>
      <c r="T6437" t="s">
        <v>42727</v>
      </c>
      <c r="U6437" t="s">
        <v>48512</v>
      </c>
      <c r="V6437" t="s">
        <v>54985</v>
      </c>
      <c r="W6437" t="s">
        <v>37577</v>
      </c>
      <c r="X6437" t="s">
        <v>41261</v>
      </c>
    </row>
    <row r="6438" spans="1:24">
      <c r="A6438">
        <f>HYPERLINK("https://www.philgeps.gov.ph/GEPSNONPILOT/Tender/SplashBidNoticeAbstractUI.aspx?menuIndex=3&amp;refID=7061353&amp;Result=3","7061353")</f>
        <v>0</v>
      </c>
      <c r="B6438" t="s">
        <v>102</v>
      </c>
      <c r="C6438" t="s">
        <v>9520</v>
      </c>
      <c r="D6438" t="s">
        <v>16631</v>
      </c>
      <c r="E6438" t="s">
        <v>22374</v>
      </c>
      <c r="F6438" t="s">
        <v>28669</v>
      </c>
      <c r="G6438" t="s">
        <v>28676</v>
      </c>
      <c r="H6438" t="s">
        <v>9998</v>
      </c>
      <c r="I6438" t="s">
        <v>7352</v>
      </c>
      <c r="J6438" t="s">
        <v>32879</v>
      </c>
      <c r="K6438" t="s">
        <v>37206</v>
      </c>
      <c r="M6438" t="s">
        <v>37577</v>
      </c>
      <c r="N6438" t="s">
        <v>41249</v>
      </c>
      <c r="O6438" t="s">
        <v>41250</v>
      </c>
      <c r="P6438">
        <v>0</v>
      </c>
      <c r="Q6438">
        <v>3</v>
      </c>
      <c r="R6438" t="s">
        <v>41257</v>
      </c>
      <c r="S6438" t="s">
        <v>41461</v>
      </c>
      <c r="T6438" t="s">
        <v>42727</v>
      </c>
      <c r="U6438" t="s">
        <v>48513</v>
      </c>
      <c r="V6438" t="s">
        <v>54985</v>
      </c>
      <c r="W6438" t="s">
        <v>37577</v>
      </c>
      <c r="X6438" t="s">
        <v>41261</v>
      </c>
    </row>
    <row r="6439" spans="1:24">
      <c r="A6439">
        <f>HYPERLINK("https://www.philgeps.gov.ph/GEPSNONPILOT/Tender/SplashBidNoticeAbstractUI.aspx?menuIndex=3&amp;refID=7061305&amp;Result=3","7061305")</f>
        <v>0</v>
      </c>
      <c r="B6439" t="s">
        <v>1575</v>
      </c>
      <c r="C6439" t="s">
        <v>9521</v>
      </c>
      <c r="D6439" t="s">
        <v>16630</v>
      </c>
      <c r="E6439" t="s">
        <v>22375</v>
      </c>
      <c r="F6439" t="s">
        <v>28669</v>
      </c>
      <c r="G6439" t="s">
        <v>28675</v>
      </c>
      <c r="H6439" t="s">
        <v>28686</v>
      </c>
      <c r="I6439" t="s">
        <v>7352</v>
      </c>
      <c r="J6439" t="s">
        <v>32880</v>
      </c>
      <c r="K6439" t="s">
        <v>37206</v>
      </c>
      <c r="L6439" t="s">
        <v>1575</v>
      </c>
      <c r="M6439" t="s">
        <v>39156</v>
      </c>
      <c r="N6439" t="s">
        <v>41249</v>
      </c>
      <c r="O6439" t="s">
        <v>41250</v>
      </c>
      <c r="P6439">
        <v>0</v>
      </c>
      <c r="Q6439">
        <v>0</v>
      </c>
      <c r="R6439" t="s">
        <v>41257</v>
      </c>
      <c r="S6439" t="s">
        <v>41461</v>
      </c>
      <c r="T6439" t="s">
        <v>42911</v>
      </c>
      <c r="U6439" t="s">
        <v>48514</v>
      </c>
      <c r="V6439" t="s">
        <v>54986</v>
      </c>
      <c r="W6439" t="s">
        <v>39156</v>
      </c>
      <c r="X6439" t="s">
        <v>41261</v>
      </c>
    </row>
    <row r="6440" spans="1:24">
      <c r="A6440">
        <f>HYPERLINK("https://www.philgeps.gov.ph/GEPSNONPILOT/Tender/SplashBidNoticeAbstractUI.aspx?menuIndex=3&amp;refID=7053168&amp;Result=3","7053168")</f>
        <v>0</v>
      </c>
      <c r="B6440" t="s">
        <v>2127</v>
      </c>
      <c r="C6440" t="s">
        <v>9522</v>
      </c>
      <c r="D6440" t="s">
        <v>16612</v>
      </c>
      <c r="E6440" t="s">
        <v>17140</v>
      </c>
      <c r="F6440" t="s">
        <v>28669</v>
      </c>
      <c r="G6440" t="s">
        <v>28675</v>
      </c>
      <c r="H6440" t="s">
        <v>9998</v>
      </c>
      <c r="I6440" t="s">
        <v>7352</v>
      </c>
      <c r="J6440" t="s">
        <v>32881</v>
      </c>
      <c r="K6440" t="s">
        <v>37231</v>
      </c>
      <c r="M6440" t="s">
        <v>39772</v>
      </c>
      <c r="N6440" t="s">
        <v>41249</v>
      </c>
      <c r="O6440" t="s">
        <v>41250</v>
      </c>
      <c r="P6440">
        <v>0</v>
      </c>
      <c r="Q6440">
        <v>0</v>
      </c>
      <c r="R6440" t="s">
        <v>41257</v>
      </c>
      <c r="S6440" t="s">
        <v>41461</v>
      </c>
      <c r="T6440" t="s">
        <v>42673</v>
      </c>
      <c r="U6440" t="s">
        <v>48515</v>
      </c>
      <c r="W6440" t="s">
        <v>39772</v>
      </c>
      <c r="X6440" t="s">
        <v>41265</v>
      </c>
    </row>
    <row r="6441" spans="1:24">
      <c r="A6441">
        <f>HYPERLINK("https://www.philgeps.gov.ph/GEPSNONPILOT/Tender/SplashBidNoticeAbstractUI.aspx?menuIndex=3&amp;refID=7051433&amp;Result=3","7051433")</f>
        <v>0</v>
      </c>
      <c r="B6441" t="s">
        <v>2128</v>
      </c>
      <c r="C6441" t="s">
        <v>9523</v>
      </c>
      <c r="D6441" t="s">
        <v>16675</v>
      </c>
      <c r="E6441" t="s">
        <v>17296</v>
      </c>
      <c r="F6441" t="s">
        <v>28672</v>
      </c>
      <c r="G6441" t="s">
        <v>28675</v>
      </c>
      <c r="H6441" t="s">
        <v>9998</v>
      </c>
      <c r="I6441" t="s">
        <v>28687</v>
      </c>
      <c r="J6441" t="s">
        <v>28912</v>
      </c>
      <c r="K6441" t="s">
        <v>37220</v>
      </c>
      <c r="M6441" t="s">
        <v>39773</v>
      </c>
      <c r="N6441" t="s">
        <v>41249</v>
      </c>
      <c r="O6441" t="s">
        <v>41250</v>
      </c>
      <c r="P6441">
        <v>0</v>
      </c>
      <c r="Q6441">
        <v>0</v>
      </c>
      <c r="R6441" t="s">
        <v>41257</v>
      </c>
      <c r="S6441" t="s">
        <v>41461</v>
      </c>
      <c r="T6441" t="s">
        <v>42664</v>
      </c>
      <c r="U6441" t="s">
        <v>48516</v>
      </c>
      <c r="W6441" t="s">
        <v>39773</v>
      </c>
      <c r="X6441" t="s">
        <v>41266</v>
      </c>
    </row>
    <row r="6442" spans="1:24">
      <c r="A6442">
        <f>HYPERLINK("https://www.philgeps.gov.ph/GEPSNONPILOT/Tender/SplashBidNoticeAbstractUI.aspx?menuIndex=3&amp;refID=7050076&amp;Result=3","7050076")</f>
        <v>0</v>
      </c>
      <c r="B6442" t="s">
        <v>2129</v>
      </c>
      <c r="C6442" t="s">
        <v>9524</v>
      </c>
      <c r="D6442" t="s">
        <v>16622</v>
      </c>
      <c r="E6442" t="s">
        <v>22376</v>
      </c>
      <c r="F6442" t="s">
        <v>28669</v>
      </c>
      <c r="G6442" t="s">
        <v>28675</v>
      </c>
      <c r="H6442" t="s">
        <v>9998</v>
      </c>
      <c r="I6442" t="s">
        <v>28687</v>
      </c>
      <c r="J6442" t="s">
        <v>32882</v>
      </c>
      <c r="K6442" t="s">
        <v>37206</v>
      </c>
      <c r="M6442" t="s">
        <v>39774</v>
      </c>
      <c r="N6442" t="s">
        <v>41249</v>
      </c>
      <c r="O6442" t="s">
        <v>41250</v>
      </c>
      <c r="P6442">
        <v>0</v>
      </c>
      <c r="Q6442">
        <v>4</v>
      </c>
      <c r="R6442" t="s">
        <v>41257</v>
      </c>
      <c r="S6442" t="s">
        <v>41461</v>
      </c>
      <c r="T6442" t="s">
        <v>43026</v>
      </c>
      <c r="U6442" t="s">
        <v>48517</v>
      </c>
      <c r="W6442" t="s">
        <v>39774</v>
      </c>
      <c r="X6442" t="s">
        <v>41266</v>
      </c>
    </row>
    <row r="6443" spans="1:24">
      <c r="A6443">
        <f>HYPERLINK("https://www.philgeps.gov.ph/GEPSNONPILOT/Tender/SplashBidNoticeAbstractUI.aspx?menuIndex=3&amp;refID=7021464-2&amp;Result=3","7021464-2")</f>
        <v>0</v>
      </c>
      <c r="B6443" t="s">
        <v>842</v>
      </c>
      <c r="C6443" t="s">
        <v>9525</v>
      </c>
      <c r="D6443" t="s">
        <v>16658</v>
      </c>
      <c r="E6443" t="s">
        <v>22377</v>
      </c>
      <c r="F6443" t="s">
        <v>28669</v>
      </c>
      <c r="G6443" t="s">
        <v>28675</v>
      </c>
      <c r="H6443" t="s">
        <v>28685</v>
      </c>
      <c r="I6443" t="s">
        <v>28685</v>
      </c>
      <c r="J6443" t="s">
        <v>29724</v>
      </c>
      <c r="K6443" t="s">
        <v>37213</v>
      </c>
      <c r="M6443" t="s">
        <v>39485</v>
      </c>
      <c r="N6443" t="s">
        <v>41249</v>
      </c>
      <c r="O6443" t="s">
        <v>41250</v>
      </c>
      <c r="P6443">
        <v>0</v>
      </c>
      <c r="Q6443">
        <v>1</v>
      </c>
      <c r="R6443" t="s">
        <v>41257</v>
      </c>
      <c r="S6443" t="s">
        <v>41461</v>
      </c>
      <c r="T6443" t="s">
        <v>42670</v>
      </c>
      <c r="U6443" t="s">
        <v>48518</v>
      </c>
      <c r="W6443" t="s">
        <v>39485</v>
      </c>
      <c r="X6443" t="s">
        <v>41258</v>
      </c>
    </row>
    <row r="6444" spans="1:24">
      <c r="A6444">
        <f>HYPERLINK("https://www.philgeps.gov.ph/GEPSNONPILOT/Tender/SplashBidNoticeAbstractUI.aspx?menuIndex=3&amp;refID=7061314&amp;Result=3","7061314")</f>
        <v>0</v>
      </c>
      <c r="B6444" t="s">
        <v>1575</v>
      </c>
      <c r="C6444" t="s">
        <v>9526</v>
      </c>
      <c r="D6444" t="s">
        <v>16630</v>
      </c>
      <c r="E6444" t="s">
        <v>22378</v>
      </c>
      <c r="F6444" t="s">
        <v>28669</v>
      </c>
      <c r="G6444" t="s">
        <v>28675</v>
      </c>
      <c r="H6444" t="s">
        <v>28686</v>
      </c>
      <c r="I6444" t="s">
        <v>7352</v>
      </c>
      <c r="J6444" t="s">
        <v>32883</v>
      </c>
      <c r="K6444" t="s">
        <v>37206</v>
      </c>
      <c r="L6444" t="s">
        <v>1575</v>
      </c>
      <c r="M6444" t="s">
        <v>39156</v>
      </c>
      <c r="N6444" t="s">
        <v>41249</v>
      </c>
      <c r="O6444" t="s">
        <v>41250</v>
      </c>
      <c r="P6444">
        <v>0</v>
      </c>
      <c r="Q6444">
        <v>0</v>
      </c>
      <c r="R6444" t="s">
        <v>41257</v>
      </c>
      <c r="S6444" t="s">
        <v>41461</v>
      </c>
      <c r="T6444" t="s">
        <v>42911</v>
      </c>
      <c r="U6444" t="s">
        <v>48519</v>
      </c>
      <c r="V6444" t="s">
        <v>54987</v>
      </c>
      <c r="W6444" t="s">
        <v>39156</v>
      </c>
      <c r="X6444" t="s">
        <v>41261</v>
      </c>
    </row>
    <row r="6445" spans="1:24">
      <c r="A6445">
        <f>HYPERLINK("https://www.philgeps.gov.ph/GEPSNONPILOT/Tender/SplashBidNoticeAbstractUI.aspx?menuIndex=3&amp;refID=7021444-2&amp;Result=3","7021444-2")</f>
        <v>0</v>
      </c>
      <c r="B6445" t="s">
        <v>842</v>
      </c>
      <c r="C6445" t="s">
        <v>9525</v>
      </c>
      <c r="D6445" t="s">
        <v>16658</v>
      </c>
      <c r="E6445" t="s">
        <v>22379</v>
      </c>
      <c r="F6445" t="s">
        <v>28669</v>
      </c>
      <c r="G6445" t="s">
        <v>28675</v>
      </c>
      <c r="H6445" t="s">
        <v>28685</v>
      </c>
      <c r="I6445" t="s">
        <v>28685</v>
      </c>
      <c r="J6445" t="s">
        <v>29724</v>
      </c>
      <c r="K6445" t="s">
        <v>37213</v>
      </c>
      <c r="M6445" t="s">
        <v>39485</v>
      </c>
      <c r="N6445" t="s">
        <v>41249</v>
      </c>
      <c r="O6445" t="s">
        <v>41250</v>
      </c>
      <c r="P6445">
        <v>0</v>
      </c>
      <c r="Q6445">
        <v>1</v>
      </c>
      <c r="R6445" t="s">
        <v>41257</v>
      </c>
      <c r="S6445" t="s">
        <v>41461</v>
      </c>
      <c r="T6445" t="s">
        <v>42670</v>
      </c>
      <c r="U6445" t="s">
        <v>48457</v>
      </c>
      <c r="W6445" t="s">
        <v>39485</v>
      </c>
      <c r="X6445" t="s">
        <v>41258</v>
      </c>
    </row>
    <row r="6446" spans="1:24">
      <c r="A6446">
        <f>HYPERLINK("https://www.philgeps.gov.ph/GEPSNONPILOT/Tender/SplashBidNoticeAbstractUI.aspx?menuIndex=3&amp;refID=7065290&amp;Result=3","7065290")</f>
        <v>0</v>
      </c>
      <c r="B6446" t="s">
        <v>974</v>
      </c>
      <c r="C6446" t="s">
        <v>9527</v>
      </c>
      <c r="D6446" t="s">
        <v>16621</v>
      </c>
      <c r="E6446" t="s">
        <v>22380</v>
      </c>
      <c r="F6446" t="s">
        <v>28669</v>
      </c>
      <c r="G6446" t="s">
        <v>28675</v>
      </c>
      <c r="H6446" t="s">
        <v>9998</v>
      </c>
      <c r="I6446" t="s">
        <v>7352</v>
      </c>
      <c r="J6446" t="s">
        <v>32884</v>
      </c>
      <c r="K6446" t="s">
        <v>37205</v>
      </c>
      <c r="M6446" t="s">
        <v>39760</v>
      </c>
      <c r="N6446" t="s">
        <v>41249</v>
      </c>
      <c r="O6446" t="s">
        <v>41250</v>
      </c>
      <c r="P6446">
        <v>0</v>
      </c>
      <c r="Q6446">
        <v>0</v>
      </c>
      <c r="R6446" t="s">
        <v>41257</v>
      </c>
      <c r="S6446" t="s">
        <v>41461</v>
      </c>
      <c r="T6446" t="s">
        <v>43017</v>
      </c>
      <c r="U6446" t="s">
        <v>48477</v>
      </c>
      <c r="W6446" t="s">
        <v>39760</v>
      </c>
      <c r="X6446" t="s">
        <v>41259</v>
      </c>
    </row>
    <row r="6447" spans="1:24">
      <c r="A6447">
        <f>HYPERLINK("https://www.philgeps.gov.ph/GEPSNONPILOT/Tender/SplashBidNoticeAbstractUI.aspx?menuIndex=3&amp;refID=7051846&amp;Result=3","7051846")</f>
        <v>0</v>
      </c>
      <c r="B6447" t="s">
        <v>743</v>
      </c>
      <c r="C6447" t="s">
        <v>9528</v>
      </c>
      <c r="D6447" t="s">
        <v>16629</v>
      </c>
      <c r="E6447" t="s">
        <v>22381</v>
      </c>
      <c r="F6447" t="s">
        <v>28669</v>
      </c>
      <c r="G6447" t="s">
        <v>28675</v>
      </c>
      <c r="H6447" t="s">
        <v>28686</v>
      </c>
      <c r="I6447" t="s">
        <v>28689</v>
      </c>
      <c r="J6447" t="s">
        <v>32885</v>
      </c>
      <c r="K6447" t="s">
        <v>37210</v>
      </c>
      <c r="M6447" t="s">
        <v>39318</v>
      </c>
      <c r="N6447" t="s">
        <v>41249</v>
      </c>
      <c r="O6447" t="s">
        <v>41250</v>
      </c>
      <c r="P6447">
        <v>0</v>
      </c>
      <c r="Q6447">
        <v>0</v>
      </c>
      <c r="R6447" t="s">
        <v>41257</v>
      </c>
      <c r="S6447" t="s">
        <v>41461</v>
      </c>
      <c r="T6447" t="s">
        <v>42759</v>
      </c>
      <c r="U6447" t="s">
        <v>48520</v>
      </c>
      <c r="V6447" t="s">
        <v>54988</v>
      </c>
      <c r="W6447" t="s">
        <v>39318</v>
      </c>
      <c r="X6447" t="s">
        <v>41266</v>
      </c>
    </row>
    <row r="6448" spans="1:24">
      <c r="A6448">
        <f>HYPERLINK("https://www.philgeps.gov.ph/GEPSNONPILOT/Tender/SplashBidNoticeAbstractUI.aspx?menuIndex=3&amp;refID=6932693&amp;Result=3","6932693")</f>
        <v>0</v>
      </c>
      <c r="B6448" t="s">
        <v>2130</v>
      </c>
      <c r="C6448" t="s">
        <v>6717</v>
      </c>
      <c r="E6448" t="s">
        <v>19504</v>
      </c>
      <c r="F6448" t="s">
        <v>28669</v>
      </c>
      <c r="G6448" t="s">
        <v>28675</v>
      </c>
      <c r="H6448" t="s">
        <v>9998</v>
      </c>
      <c r="I6448" t="s">
        <v>28689</v>
      </c>
      <c r="J6448" t="s">
        <v>32886</v>
      </c>
      <c r="K6448" t="s">
        <v>37209</v>
      </c>
      <c r="M6448" t="s">
        <v>39775</v>
      </c>
      <c r="N6448" t="s">
        <v>41249</v>
      </c>
      <c r="O6448" t="s">
        <v>41250</v>
      </c>
      <c r="P6448">
        <v>0</v>
      </c>
      <c r="Q6448">
        <v>0</v>
      </c>
      <c r="R6448" t="s">
        <v>41257</v>
      </c>
      <c r="S6448" t="s">
        <v>41461</v>
      </c>
      <c r="T6448" t="s">
        <v>42673</v>
      </c>
      <c r="U6448" t="s">
        <v>43611</v>
      </c>
      <c r="W6448" t="s">
        <v>39775</v>
      </c>
      <c r="X6448" t="s">
        <v>41320</v>
      </c>
    </row>
    <row r="6449" spans="1:24">
      <c r="A6449">
        <f>HYPERLINK("https://www.philgeps.gov.ph/GEPSNONPILOT/Tender/SplashBidNoticeAbstractUI.aspx?menuIndex=3&amp;refID=7072284&amp;Result=3","7072284")</f>
        <v>0</v>
      </c>
      <c r="B6449" t="s">
        <v>2103</v>
      </c>
      <c r="C6449" t="s">
        <v>9529</v>
      </c>
      <c r="D6449" t="s">
        <v>16677</v>
      </c>
      <c r="E6449" t="s">
        <v>22382</v>
      </c>
      <c r="F6449" t="s">
        <v>28669</v>
      </c>
      <c r="G6449" t="s">
        <v>28675</v>
      </c>
      <c r="H6449" t="s">
        <v>28686</v>
      </c>
      <c r="I6449" t="s">
        <v>28689</v>
      </c>
      <c r="J6449" t="s">
        <v>32887</v>
      </c>
      <c r="K6449" t="s">
        <v>37220</v>
      </c>
      <c r="M6449" t="s">
        <v>39746</v>
      </c>
      <c r="N6449" t="s">
        <v>41249</v>
      </c>
      <c r="O6449" t="s">
        <v>41250</v>
      </c>
      <c r="P6449">
        <v>0</v>
      </c>
      <c r="Q6449">
        <v>10</v>
      </c>
      <c r="R6449" t="s">
        <v>41256</v>
      </c>
      <c r="S6449" t="s">
        <v>41450</v>
      </c>
      <c r="T6449" t="s">
        <v>42660</v>
      </c>
      <c r="U6449" t="s">
        <v>48521</v>
      </c>
      <c r="V6449" t="s">
        <v>54989</v>
      </c>
      <c r="W6449" t="s">
        <v>39746</v>
      </c>
      <c r="X6449" t="s">
        <v>41257</v>
      </c>
    </row>
    <row r="6450" spans="1:24">
      <c r="A6450">
        <f>HYPERLINK("https://www.philgeps.gov.ph/GEPSNONPILOT/Tender/SplashBidNoticeAbstractUI.aspx?menuIndex=3&amp;refID=7072249&amp;Result=3","7072249")</f>
        <v>0</v>
      </c>
      <c r="B6450" t="s">
        <v>2131</v>
      </c>
      <c r="C6450" t="s">
        <v>9530</v>
      </c>
      <c r="D6450" t="s">
        <v>16622</v>
      </c>
      <c r="E6450" t="s">
        <v>19525</v>
      </c>
      <c r="F6450" t="s">
        <v>28669</v>
      </c>
      <c r="G6450" t="s">
        <v>28675</v>
      </c>
      <c r="H6450" t="s">
        <v>9998</v>
      </c>
      <c r="I6450" t="s">
        <v>5213</v>
      </c>
      <c r="J6450" t="s">
        <v>32888</v>
      </c>
      <c r="K6450" t="s">
        <v>37209</v>
      </c>
      <c r="M6450" t="s">
        <v>39776</v>
      </c>
      <c r="N6450" t="s">
        <v>41249</v>
      </c>
      <c r="O6450" t="s">
        <v>41250</v>
      </c>
      <c r="P6450">
        <v>0</v>
      </c>
      <c r="Q6450">
        <v>10</v>
      </c>
      <c r="R6450" t="s">
        <v>41256</v>
      </c>
      <c r="S6450" t="s">
        <v>41450</v>
      </c>
      <c r="T6450" t="s">
        <v>42756</v>
      </c>
      <c r="U6450" t="s">
        <v>48522</v>
      </c>
      <c r="W6450" t="s">
        <v>39776</v>
      </c>
      <c r="X6450" t="s">
        <v>41257</v>
      </c>
    </row>
    <row r="6451" spans="1:24">
      <c r="A6451">
        <f>HYPERLINK("https://www.philgeps.gov.ph/GEPSNONPILOT/Tender/SplashBidNoticeAbstractUI.aspx?menuIndex=3&amp;refID=7072242&amp;Result=3","7072242")</f>
        <v>0</v>
      </c>
      <c r="B6451" t="s">
        <v>2079</v>
      </c>
      <c r="C6451" t="s">
        <v>9531</v>
      </c>
      <c r="D6451" t="s">
        <v>16611</v>
      </c>
      <c r="E6451" t="s">
        <v>22383</v>
      </c>
      <c r="F6451" t="s">
        <v>28669</v>
      </c>
      <c r="G6451" t="s">
        <v>28675</v>
      </c>
      <c r="H6451" t="s">
        <v>9998</v>
      </c>
      <c r="I6451" t="s">
        <v>28721</v>
      </c>
      <c r="J6451" t="s">
        <v>32889</v>
      </c>
      <c r="K6451" t="s">
        <v>37206</v>
      </c>
      <c r="M6451" t="s">
        <v>39720</v>
      </c>
      <c r="N6451" t="s">
        <v>41249</v>
      </c>
      <c r="O6451" t="s">
        <v>41250</v>
      </c>
      <c r="P6451">
        <v>0</v>
      </c>
      <c r="Q6451">
        <v>3</v>
      </c>
      <c r="R6451" t="s">
        <v>41256</v>
      </c>
      <c r="S6451" t="s">
        <v>41450</v>
      </c>
      <c r="T6451" t="s">
        <v>42764</v>
      </c>
      <c r="U6451" t="s">
        <v>48523</v>
      </c>
      <c r="V6451" t="s">
        <v>54960</v>
      </c>
      <c r="W6451" t="s">
        <v>39720</v>
      </c>
      <c r="X6451" t="s">
        <v>41257</v>
      </c>
    </row>
    <row r="6452" spans="1:24">
      <c r="A6452">
        <f>HYPERLINK("https://www.philgeps.gov.ph/GEPSNONPILOT/Tender/SplashBidNoticeAbstractUI.aspx?menuIndex=3&amp;refID=7065910&amp;Result=3","7065910")</f>
        <v>0</v>
      </c>
      <c r="B6452" t="s">
        <v>1769</v>
      </c>
      <c r="C6452" t="s">
        <v>9532</v>
      </c>
      <c r="D6452" t="s">
        <v>16648</v>
      </c>
      <c r="E6452" t="s">
        <v>22384</v>
      </c>
      <c r="F6452" t="s">
        <v>28669</v>
      </c>
      <c r="G6452" t="s">
        <v>28675</v>
      </c>
      <c r="H6452" t="s">
        <v>28686</v>
      </c>
      <c r="I6452" t="s">
        <v>28689</v>
      </c>
      <c r="J6452" t="s">
        <v>32890</v>
      </c>
      <c r="K6452" t="s">
        <v>37220</v>
      </c>
      <c r="M6452" t="s">
        <v>39769</v>
      </c>
      <c r="N6452" t="s">
        <v>41249</v>
      </c>
      <c r="O6452" t="s">
        <v>41250</v>
      </c>
      <c r="P6452">
        <v>0</v>
      </c>
      <c r="Q6452">
        <v>1</v>
      </c>
      <c r="R6452" t="s">
        <v>41257</v>
      </c>
      <c r="S6452" t="s">
        <v>41461</v>
      </c>
      <c r="T6452" t="s">
        <v>43027</v>
      </c>
      <c r="U6452" t="s">
        <v>48524</v>
      </c>
      <c r="V6452" t="s">
        <v>54990</v>
      </c>
      <c r="W6452" t="s">
        <v>39769</v>
      </c>
      <c r="X6452" t="s">
        <v>41259</v>
      </c>
    </row>
    <row r="6453" spans="1:24">
      <c r="A6453">
        <f>HYPERLINK("https://www.philgeps.gov.ph/GEPSNONPILOT/Tender/SplashBidNoticeAbstractUI.aspx?menuIndex=3&amp;refID=6938174&amp;Result=3","6938174")</f>
        <v>0</v>
      </c>
      <c r="B6453" t="s">
        <v>2132</v>
      </c>
      <c r="C6453" t="s">
        <v>9533</v>
      </c>
      <c r="D6453" t="s">
        <v>16621</v>
      </c>
      <c r="E6453" t="s">
        <v>16748</v>
      </c>
      <c r="F6453" t="s">
        <v>28669</v>
      </c>
      <c r="G6453" t="s">
        <v>28675</v>
      </c>
      <c r="H6453" t="s">
        <v>28686</v>
      </c>
      <c r="I6453" t="s">
        <v>28689</v>
      </c>
      <c r="J6453" t="s">
        <v>29189</v>
      </c>
      <c r="K6453" t="s">
        <v>37270</v>
      </c>
      <c r="M6453" t="s">
        <v>39777</v>
      </c>
      <c r="N6453" t="s">
        <v>41249</v>
      </c>
      <c r="O6453" t="s">
        <v>41250</v>
      </c>
      <c r="P6453">
        <v>0</v>
      </c>
      <c r="Q6453">
        <v>0</v>
      </c>
      <c r="R6453" t="s">
        <v>41257</v>
      </c>
      <c r="S6453" t="s">
        <v>41461</v>
      </c>
      <c r="T6453" t="s">
        <v>42721</v>
      </c>
      <c r="U6453" t="s">
        <v>48525</v>
      </c>
      <c r="W6453" t="s">
        <v>39777</v>
      </c>
      <c r="X6453" t="s">
        <v>41314</v>
      </c>
    </row>
    <row r="6454" spans="1:24">
      <c r="A6454">
        <f>HYPERLINK("https://www.philgeps.gov.ph/GEPSNONPILOT/Tender/SplashBidNoticeAbstractUI.aspx?menuIndex=3&amp;refID=7066968&amp;Result=3","7066968")</f>
        <v>0</v>
      </c>
      <c r="B6454" t="s">
        <v>2133</v>
      </c>
      <c r="C6454" t="s">
        <v>7523</v>
      </c>
      <c r="D6454" t="s">
        <v>16637</v>
      </c>
      <c r="E6454" t="s">
        <v>22385</v>
      </c>
      <c r="F6454" t="s">
        <v>28669</v>
      </c>
      <c r="G6454" t="s">
        <v>28675</v>
      </c>
      <c r="H6454" t="s">
        <v>9998</v>
      </c>
      <c r="I6454" t="s">
        <v>6128</v>
      </c>
      <c r="J6454" t="s">
        <v>32891</v>
      </c>
      <c r="K6454" t="s">
        <v>37204</v>
      </c>
      <c r="M6454" t="s">
        <v>39778</v>
      </c>
      <c r="N6454" t="s">
        <v>41249</v>
      </c>
      <c r="O6454" t="s">
        <v>41250</v>
      </c>
      <c r="P6454">
        <v>0</v>
      </c>
      <c r="Q6454">
        <v>4</v>
      </c>
      <c r="R6454" t="s">
        <v>41257</v>
      </c>
      <c r="S6454" t="s">
        <v>41461</v>
      </c>
      <c r="T6454" t="s">
        <v>42668</v>
      </c>
      <c r="U6454" t="s">
        <v>48526</v>
      </c>
      <c r="W6454" t="s">
        <v>39778</v>
      </c>
      <c r="X6454" t="s">
        <v>41259</v>
      </c>
    </row>
    <row r="6455" spans="1:24">
      <c r="A6455">
        <f>HYPERLINK("https://www.philgeps.gov.ph/GEPSNONPILOT/Tender/SplashBidNoticeAbstractUI.aspx?menuIndex=3&amp;refID=7072247&amp;Result=3","7072247")</f>
        <v>0</v>
      </c>
      <c r="B6455" t="s">
        <v>2099</v>
      </c>
      <c r="C6455" t="s">
        <v>9534</v>
      </c>
      <c r="D6455" t="s">
        <v>16608</v>
      </c>
      <c r="E6455" t="s">
        <v>22386</v>
      </c>
      <c r="F6455" t="s">
        <v>28669</v>
      </c>
      <c r="G6455" t="s">
        <v>28675</v>
      </c>
      <c r="H6455" t="s">
        <v>28686</v>
      </c>
      <c r="I6455" t="s">
        <v>28689</v>
      </c>
      <c r="J6455" t="s">
        <v>32892</v>
      </c>
      <c r="K6455" t="s">
        <v>37213</v>
      </c>
      <c r="M6455" t="s">
        <v>39742</v>
      </c>
      <c r="N6455" t="s">
        <v>41249</v>
      </c>
      <c r="O6455" t="s">
        <v>41250</v>
      </c>
      <c r="P6455">
        <v>0</v>
      </c>
      <c r="Q6455">
        <v>128</v>
      </c>
      <c r="R6455" t="s">
        <v>41256</v>
      </c>
      <c r="S6455" t="s">
        <v>41450</v>
      </c>
      <c r="T6455" t="s">
        <v>42911</v>
      </c>
      <c r="U6455" t="s">
        <v>48527</v>
      </c>
      <c r="W6455" t="s">
        <v>39742</v>
      </c>
      <c r="X6455" t="s">
        <v>41257</v>
      </c>
    </row>
    <row r="6456" spans="1:24">
      <c r="A6456">
        <f>HYPERLINK("https://www.philgeps.gov.ph/GEPSNONPILOT/Tender/SplashBidNoticeAbstractUI.aspx?menuIndex=3&amp;refID=7066711&amp;Result=3","7066711")</f>
        <v>0</v>
      </c>
      <c r="B6456" t="s">
        <v>694</v>
      </c>
      <c r="C6456" t="s">
        <v>9535</v>
      </c>
      <c r="D6456" t="s">
        <v>16686</v>
      </c>
      <c r="E6456" t="s">
        <v>22387</v>
      </c>
      <c r="F6456" t="s">
        <v>28669</v>
      </c>
      <c r="G6456" t="s">
        <v>28675</v>
      </c>
      <c r="H6456" t="s">
        <v>9998</v>
      </c>
      <c r="I6456" t="s">
        <v>28695</v>
      </c>
      <c r="J6456" t="s">
        <v>32893</v>
      </c>
      <c r="K6456" t="s">
        <v>37210</v>
      </c>
      <c r="M6456" t="s">
        <v>38199</v>
      </c>
      <c r="N6456" t="s">
        <v>41249</v>
      </c>
      <c r="O6456" t="s">
        <v>41250</v>
      </c>
      <c r="P6456">
        <v>0</v>
      </c>
      <c r="Q6456">
        <v>0</v>
      </c>
      <c r="R6456" t="s">
        <v>41257</v>
      </c>
      <c r="S6456" t="s">
        <v>41461</v>
      </c>
      <c r="T6456" t="s">
        <v>42701</v>
      </c>
      <c r="U6456" t="s">
        <v>48528</v>
      </c>
      <c r="V6456" t="s">
        <v>54428</v>
      </c>
      <c r="W6456" t="s">
        <v>38199</v>
      </c>
      <c r="X6456" t="s">
        <v>41259</v>
      </c>
    </row>
    <row r="6457" spans="1:24">
      <c r="A6457">
        <f>HYPERLINK("https://www.philgeps.gov.ph/GEPSNONPILOT/Tender/SplashBidNoticeAbstractUI.aspx?menuIndex=3&amp;refID=7066986&amp;Result=3","7066986")</f>
        <v>0</v>
      </c>
      <c r="B6457" t="s">
        <v>810</v>
      </c>
      <c r="C6457" t="s">
        <v>9536</v>
      </c>
      <c r="D6457" t="s">
        <v>16689</v>
      </c>
      <c r="E6457" t="s">
        <v>22388</v>
      </c>
      <c r="F6457" t="s">
        <v>28669</v>
      </c>
      <c r="G6457" t="s">
        <v>28675</v>
      </c>
      <c r="H6457" t="s">
        <v>28686</v>
      </c>
      <c r="I6457" t="s">
        <v>28689</v>
      </c>
      <c r="J6457" t="s">
        <v>32894</v>
      </c>
      <c r="K6457" t="s">
        <v>37220</v>
      </c>
      <c r="M6457" t="s">
        <v>38325</v>
      </c>
      <c r="N6457" t="s">
        <v>41249</v>
      </c>
      <c r="O6457" t="s">
        <v>41250</v>
      </c>
      <c r="P6457">
        <v>0</v>
      </c>
      <c r="Q6457">
        <v>3</v>
      </c>
      <c r="R6457" t="s">
        <v>41257</v>
      </c>
      <c r="S6457" t="s">
        <v>41461</v>
      </c>
      <c r="T6457" t="s">
        <v>43029</v>
      </c>
      <c r="U6457" t="s">
        <v>48529</v>
      </c>
      <c r="W6457" t="s">
        <v>38325</v>
      </c>
      <c r="X6457" t="s">
        <v>41259</v>
      </c>
    </row>
    <row r="6458" spans="1:24">
      <c r="A6458">
        <f>HYPERLINK("https://www.philgeps.gov.ph/GEPSNONPILOT/Tender/SplashBidNoticeAbstractUI.aspx?menuIndex=3&amp;refID=7064433&amp;Result=3","7064433")</f>
        <v>0</v>
      </c>
      <c r="B6458" t="s">
        <v>936</v>
      </c>
      <c r="C6458" t="s">
        <v>9537</v>
      </c>
      <c r="D6458" t="s">
        <v>16640</v>
      </c>
      <c r="E6458" t="s">
        <v>22389</v>
      </c>
      <c r="F6458" t="s">
        <v>28669</v>
      </c>
      <c r="G6458" t="s">
        <v>28675</v>
      </c>
      <c r="H6458" t="s">
        <v>9998</v>
      </c>
      <c r="I6458" t="s">
        <v>28687</v>
      </c>
      <c r="J6458" t="s">
        <v>32895</v>
      </c>
      <c r="K6458" t="s">
        <v>37206</v>
      </c>
      <c r="M6458" t="s">
        <v>38459</v>
      </c>
      <c r="N6458" t="s">
        <v>41249</v>
      </c>
      <c r="O6458" t="s">
        <v>41250</v>
      </c>
      <c r="P6458">
        <v>0</v>
      </c>
      <c r="Q6458">
        <v>15</v>
      </c>
      <c r="R6458" t="s">
        <v>41257</v>
      </c>
      <c r="S6458" t="s">
        <v>41461</v>
      </c>
      <c r="T6458" t="s">
        <v>42929</v>
      </c>
      <c r="U6458" t="s">
        <v>48530</v>
      </c>
      <c r="W6458" t="s">
        <v>38459</v>
      </c>
      <c r="X6458" t="s">
        <v>41260</v>
      </c>
    </row>
    <row r="6459" spans="1:24">
      <c r="A6459">
        <f>HYPERLINK("https://www.philgeps.gov.ph/GEPSNONPILOT/Tender/SplashBidNoticeAbstractUI.aspx?menuIndex=3&amp;refID=7066590&amp;Result=3","7066590")</f>
        <v>0</v>
      </c>
      <c r="B6459" t="s">
        <v>1423</v>
      </c>
      <c r="C6459" t="s">
        <v>9538</v>
      </c>
      <c r="D6459" t="s">
        <v>16635</v>
      </c>
      <c r="E6459" t="s">
        <v>22390</v>
      </c>
      <c r="F6459" t="s">
        <v>28669</v>
      </c>
      <c r="G6459" t="s">
        <v>28675</v>
      </c>
      <c r="H6459" t="s">
        <v>28686</v>
      </c>
      <c r="I6459" t="s">
        <v>28689</v>
      </c>
      <c r="J6459" t="s">
        <v>31648</v>
      </c>
      <c r="K6459" t="s">
        <v>37334</v>
      </c>
      <c r="M6459" t="s">
        <v>38986</v>
      </c>
      <c r="N6459" t="s">
        <v>41249</v>
      </c>
      <c r="O6459" t="s">
        <v>41250</v>
      </c>
      <c r="P6459">
        <v>0</v>
      </c>
      <c r="Q6459">
        <v>1</v>
      </c>
      <c r="R6459" t="s">
        <v>41257</v>
      </c>
      <c r="S6459" t="s">
        <v>41461</v>
      </c>
      <c r="T6459" t="s">
        <v>42704</v>
      </c>
      <c r="U6459" t="s">
        <v>48531</v>
      </c>
      <c r="W6459" t="s">
        <v>38986</v>
      </c>
      <c r="X6459" t="s">
        <v>41259</v>
      </c>
    </row>
    <row r="6460" spans="1:24">
      <c r="A6460">
        <f>HYPERLINK("https://www.philgeps.gov.ph/GEPSNONPILOT/Tender/SplashBidNoticeAbstractUI.aspx?menuIndex=3&amp;refID=7066566&amp;Result=3","7066566")</f>
        <v>0</v>
      </c>
      <c r="B6460" t="s">
        <v>946</v>
      </c>
      <c r="C6460" t="s">
        <v>9539</v>
      </c>
      <c r="D6460" t="s">
        <v>16637</v>
      </c>
      <c r="E6460" t="s">
        <v>22391</v>
      </c>
      <c r="F6460" t="s">
        <v>28669</v>
      </c>
      <c r="G6460" t="s">
        <v>28675</v>
      </c>
      <c r="H6460" t="s">
        <v>9998</v>
      </c>
      <c r="I6460" t="s">
        <v>7352</v>
      </c>
      <c r="J6460" t="s">
        <v>32896</v>
      </c>
      <c r="K6460" t="s">
        <v>37205</v>
      </c>
      <c r="L6460" t="s">
        <v>946</v>
      </c>
      <c r="M6460" t="s">
        <v>38470</v>
      </c>
      <c r="N6460" t="s">
        <v>41249</v>
      </c>
      <c r="O6460" t="s">
        <v>41250</v>
      </c>
      <c r="P6460">
        <v>0</v>
      </c>
      <c r="Q6460">
        <v>2</v>
      </c>
      <c r="R6460" t="s">
        <v>41257</v>
      </c>
      <c r="S6460" t="s">
        <v>41461</v>
      </c>
      <c r="T6460" t="s">
        <v>42911</v>
      </c>
      <c r="U6460" t="s">
        <v>48532</v>
      </c>
      <c r="W6460" t="s">
        <v>55939</v>
      </c>
      <c r="X6460" t="s">
        <v>41259</v>
      </c>
    </row>
    <row r="6461" spans="1:24">
      <c r="A6461">
        <f>HYPERLINK("https://www.philgeps.gov.ph/GEPSNONPILOT/Tender/SplashBidNoticeAbstractUI.aspx?menuIndex=3&amp;refID=7066509&amp;Result=3","7066509")</f>
        <v>0</v>
      </c>
      <c r="B6461" t="s">
        <v>694</v>
      </c>
      <c r="C6461" t="s">
        <v>9540</v>
      </c>
      <c r="D6461" t="s">
        <v>16686</v>
      </c>
      <c r="E6461" t="s">
        <v>22392</v>
      </c>
      <c r="F6461" t="s">
        <v>28669</v>
      </c>
      <c r="G6461" t="s">
        <v>28675</v>
      </c>
      <c r="H6461" t="s">
        <v>9998</v>
      </c>
      <c r="I6461" t="s">
        <v>28695</v>
      </c>
      <c r="J6461" t="s">
        <v>32897</v>
      </c>
      <c r="K6461" t="s">
        <v>37210</v>
      </c>
      <c r="M6461" t="s">
        <v>38199</v>
      </c>
      <c r="N6461" t="s">
        <v>41249</v>
      </c>
      <c r="O6461" t="s">
        <v>41250</v>
      </c>
      <c r="P6461">
        <v>0</v>
      </c>
      <c r="Q6461">
        <v>0</v>
      </c>
      <c r="R6461" t="s">
        <v>41257</v>
      </c>
      <c r="S6461" t="s">
        <v>41461</v>
      </c>
      <c r="T6461" t="s">
        <v>42701</v>
      </c>
      <c r="U6461" t="s">
        <v>48533</v>
      </c>
      <c r="V6461" t="s">
        <v>54428</v>
      </c>
      <c r="W6461" t="s">
        <v>38199</v>
      </c>
      <c r="X6461" t="s">
        <v>41259</v>
      </c>
    </row>
    <row r="6462" spans="1:24">
      <c r="A6462">
        <f>HYPERLINK("https://www.philgeps.gov.ph/GEPSNONPILOT/Tender/SplashBidNoticeAbstractUI.aspx?menuIndex=3&amp;refID=7066506&amp;Result=3","7066506")</f>
        <v>0</v>
      </c>
      <c r="B6462" t="s">
        <v>2134</v>
      </c>
      <c r="C6462" t="s">
        <v>9541</v>
      </c>
      <c r="D6462" t="s">
        <v>16676</v>
      </c>
      <c r="E6462" t="s">
        <v>22393</v>
      </c>
      <c r="F6462" t="s">
        <v>28669</v>
      </c>
      <c r="G6462" t="s">
        <v>28675</v>
      </c>
      <c r="H6462" t="s">
        <v>28686</v>
      </c>
      <c r="I6462" t="s">
        <v>28689</v>
      </c>
      <c r="J6462" t="s">
        <v>30285</v>
      </c>
      <c r="K6462" t="s">
        <v>37276</v>
      </c>
      <c r="M6462" t="s">
        <v>39779</v>
      </c>
      <c r="N6462" t="s">
        <v>41249</v>
      </c>
      <c r="O6462" t="s">
        <v>41250</v>
      </c>
      <c r="P6462">
        <v>0</v>
      </c>
      <c r="Q6462">
        <v>5</v>
      </c>
      <c r="R6462" t="s">
        <v>41257</v>
      </c>
      <c r="S6462" t="s">
        <v>41461</v>
      </c>
      <c r="T6462" t="s">
        <v>42911</v>
      </c>
      <c r="U6462" t="s">
        <v>48534</v>
      </c>
      <c r="V6462" t="s">
        <v>54991</v>
      </c>
      <c r="W6462" t="s">
        <v>39779</v>
      </c>
      <c r="X6462" t="s">
        <v>41259</v>
      </c>
    </row>
    <row r="6463" spans="1:24">
      <c r="A6463">
        <f>HYPERLINK("https://www.philgeps.gov.ph/GEPSNONPILOT/Tender/SplashBidNoticeAbstractUI.aspx?menuIndex=3&amp;refID=7049933&amp;Result=3","7049933")</f>
        <v>0</v>
      </c>
      <c r="B6463" t="s">
        <v>2129</v>
      </c>
      <c r="C6463" t="s">
        <v>9542</v>
      </c>
      <c r="D6463" t="s">
        <v>16622</v>
      </c>
      <c r="E6463" t="s">
        <v>22394</v>
      </c>
      <c r="F6463" t="s">
        <v>28669</v>
      </c>
      <c r="G6463" t="s">
        <v>28675</v>
      </c>
      <c r="H6463" t="s">
        <v>9998</v>
      </c>
      <c r="I6463" t="s">
        <v>28792</v>
      </c>
      <c r="J6463" t="s">
        <v>32898</v>
      </c>
      <c r="K6463" t="s">
        <v>37206</v>
      </c>
      <c r="M6463" t="s">
        <v>39774</v>
      </c>
      <c r="N6463" t="s">
        <v>41249</v>
      </c>
      <c r="O6463" t="s">
        <v>41250</v>
      </c>
      <c r="P6463">
        <v>0</v>
      </c>
      <c r="Q6463">
        <v>7</v>
      </c>
      <c r="R6463" t="s">
        <v>41257</v>
      </c>
      <c r="S6463" t="s">
        <v>41461</v>
      </c>
      <c r="T6463" t="s">
        <v>43026</v>
      </c>
      <c r="U6463" t="s">
        <v>48517</v>
      </c>
      <c r="W6463" t="s">
        <v>39774</v>
      </c>
      <c r="X6463" t="s">
        <v>41266</v>
      </c>
    </row>
    <row r="6464" spans="1:24">
      <c r="A6464">
        <f>HYPERLINK("https://www.philgeps.gov.ph/GEPSNONPILOT/Tender/SplashBidNoticeAbstractUI.aspx?menuIndex=3&amp;refID=7066474&amp;Result=3","7066474")</f>
        <v>0</v>
      </c>
      <c r="B6464" t="s">
        <v>1423</v>
      </c>
      <c r="C6464" t="s">
        <v>9543</v>
      </c>
      <c r="D6464" t="s">
        <v>16635</v>
      </c>
      <c r="E6464" t="s">
        <v>22395</v>
      </c>
      <c r="F6464" t="s">
        <v>28669</v>
      </c>
      <c r="G6464" t="s">
        <v>28675</v>
      </c>
      <c r="H6464" t="s">
        <v>28686</v>
      </c>
      <c r="I6464" t="s">
        <v>28689</v>
      </c>
      <c r="J6464" t="s">
        <v>31648</v>
      </c>
      <c r="K6464" t="s">
        <v>37246</v>
      </c>
      <c r="M6464" t="s">
        <v>38986</v>
      </c>
      <c r="N6464" t="s">
        <v>41249</v>
      </c>
      <c r="O6464" t="s">
        <v>41250</v>
      </c>
      <c r="P6464">
        <v>0</v>
      </c>
      <c r="Q6464">
        <v>0</v>
      </c>
      <c r="R6464" t="s">
        <v>41257</v>
      </c>
      <c r="S6464" t="s">
        <v>41461</v>
      </c>
      <c r="T6464" t="s">
        <v>42704</v>
      </c>
      <c r="U6464" t="s">
        <v>48531</v>
      </c>
      <c r="W6464" t="s">
        <v>38986</v>
      </c>
      <c r="X6464" t="s">
        <v>41259</v>
      </c>
    </row>
    <row r="6465" spans="1:24">
      <c r="A6465">
        <f>HYPERLINK("https://www.philgeps.gov.ph/GEPSNONPILOT/Tender/SplashBidNoticeAbstractUI.aspx?menuIndex=3&amp;refID=7066466&amp;Result=3","7066466")</f>
        <v>0</v>
      </c>
      <c r="B6465" t="s">
        <v>2135</v>
      </c>
      <c r="C6465" t="s">
        <v>9544</v>
      </c>
      <c r="D6465" t="s">
        <v>16616</v>
      </c>
      <c r="E6465" t="s">
        <v>22396</v>
      </c>
      <c r="F6465" t="s">
        <v>28669</v>
      </c>
      <c r="G6465" t="s">
        <v>28677</v>
      </c>
      <c r="H6465" t="s">
        <v>9998</v>
      </c>
      <c r="I6465" t="s">
        <v>28726</v>
      </c>
      <c r="J6465" t="s">
        <v>30264</v>
      </c>
      <c r="K6465" t="s">
        <v>37243</v>
      </c>
      <c r="M6465" t="s">
        <v>39780</v>
      </c>
      <c r="N6465" t="s">
        <v>41249</v>
      </c>
      <c r="O6465" t="s">
        <v>41250</v>
      </c>
      <c r="P6465">
        <v>0</v>
      </c>
      <c r="Q6465">
        <v>0</v>
      </c>
      <c r="R6465" t="s">
        <v>41257</v>
      </c>
      <c r="S6465" t="s">
        <v>41461</v>
      </c>
      <c r="T6465" t="s">
        <v>42883</v>
      </c>
      <c r="U6465" t="s">
        <v>48535</v>
      </c>
      <c r="W6465" t="s">
        <v>39780</v>
      </c>
      <c r="X6465" t="s">
        <v>41259</v>
      </c>
    </row>
    <row r="6466" spans="1:24">
      <c r="A6466">
        <f>HYPERLINK("https://www.philgeps.gov.ph/GEPSNONPILOT/Tender/SplashBidNoticeAbstractUI.aspx?menuIndex=3&amp;refID=7067214&amp;Result=3","7067214")</f>
        <v>0</v>
      </c>
      <c r="B6466" t="s">
        <v>72</v>
      </c>
      <c r="C6466" t="s">
        <v>9545</v>
      </c>
      <c r="D6466" t="s">
        <v>16644</v>
      </c>
      <c r="E6466" t="s">
        <v>22397</v>
      </c>
      <c r="F6466" t="s">
        <v>28669</v>
      </c>
      <c r="G6466" t="s">
        <v>28676</v>
      </c>
      <c r="H6466" t="s">
        <v>28686</v>
      </c>
      <c r="I6466" t="s">
        <v>28689</v>
      </c>
      <c r="J6466" t="s">
        <v>32899</v>
      </c>
      <c r="K6466" t="s">
        <v>37353</v>
      </c>
      <c r="M6466" t="s">
        <v>37547</v>
      </c>
      <c r="N6466" t="s">
        <v>41249</v>
      </c>
      <c r="O6466" t="s">
        <v>41250</v>
      </c>
      <c r="P6466">
        <v>0</v>
      </c>
      <c r="Q6466">
        <v>1</v>
      </c>
      <c r="R6466" t="s">
        <v>41257</v>
      </c>
      <c r="S6466" t="s">
        <v>41461</v>
      </c>
      <c r="T6466" t="s">
        <v>42782</v>
      </c>
      <c r="U6466" t="s">
        <v>48536</v>
      </c>
      <c r="V6466" t="s">
        <v>54992</v>
      </c>
      <c r="W6466" t="s">
        <v>55934</v>
      </c>
      <c r="X6466" t="s">
        <v>41259</v>
      </c>
    </row>
    <row r="6467" spans="1:24">
      <c r="A6467">
        <f>HYPERLINK("https://www.philgeps.gov.ph/GEPSNONPILOT/Tender/SplashBidNoticeAbstractUI.aspx?menuIndex=3&amp;refID=7067190&amp;Result=3","7067190")</f>
        <v>0</v>
      </c>
      <c r="B6467" t="s">
        <v>72</v>
      </c>
      <c r="C6467" t="s">
        <v>9546</v>
      </c>
      <c r="D6467" t="s">
        <v>16644</v>
      </c>
      <c r="E6467" t="s">
        <v>22398</v>
      </c>
      <c r="F6467" t="s">
        <v>28669</v>
      </c>
      <c r="G6467" t="s">
        <v>28675</v>
      </c>
      <c r="H6467" t="s">
        <v>28686</v>
      </c>
      <c r="I6467" t="s">
        <v>28689</v>
      </c>
      <c r="J6467" t="s">
        <v>31399</v>
      </c>
      <c r="K6467" t="s">
        <v>37258</v>
      </c>
      <c r="M6467" t="s">
        <v>37547</v>
      </c>
      <c r="N6467" t="s">
        <v>41249</v>
      </c>
      <c r="O6467" t="s">
        <v>41250</v>
      </c>
      <c r="P6467">
        <v>0</v>
      </c>
      <c r="Q6467">
        <v>2</v>
      </c>
      <c r="R6467" t="s">
        <v>41257</v>
      </c>
      <c r="S6467" t="s">
        <v>41461</v>
      </c>
      <c r="T6467" t="s">
        <v>42782</v>
      </c>
      <c r="U6467" t="s">
        <v>48537</v>
      </c>
      <c r="V6467" t="s">
        <v>54993</v>
      </c>
      <c r="W6467" t="s">
        <v>55934</v>
      </c>
      <c r="X6467" t="s">
        <v>41259</v>
      </c>
    </row>
    <row r="6468" spans="1:24">
      <c r="A6468">
        <f>HYPERLINK("https://www.philgeps.gov.ph/GEPSNONPILOT/Tender/SplashBidNoticeAbstractUI.aspx?menuIndex=3&amp;refID=7067177&amp;Result=3","7067177")</f>
        <v>0</v>
      </c>
      <c r="B6468" t="s">
        <v>72</v>
      </c>
      <c r="C6468" t="s">
        <v>9547</v>
      </c>
      <c r="D6468" t="s">
        <v>16644</v>
      </c>
      <c r="E6468" t="s">
        <v>22399</v>
      </c>
      <c r="F6468" t="s">
        <v>28669</v>
      </c>
      <c r="G6468" t="s">
        <v>28675</v>
      </c>
      <c r="H6468" t="s">
        <v>28686</v>
      </c>
      <c r="I6468" t="s">
        <v>28689</v>
      </c>
      <c r="J6468" t="s">
        <v>30342</v>
      </c>
      <c r="K6468" t="s">
        <v>37220</v>
      </c>
      <c r="M6468" t="s">
        <v>37547</v>
      </c>
      <c r="N6468" t="s">
        <v>41249</v>
      </c>
      <c r="O6468" t="s">
        <v>41250</v>
      </c>
      <c r="P6468">
        <v>0</v>
      </c>
      <c r="Q6468">
        <v>2</v>
      </c>
      <c r="R6468" t="s">
        <v>41257</v>
      </c>
      <c r="S6468" t="s">
        <v>41461</v>
      </c>
      <c r="T6468" t="s">
        <v>42782</v>
      </c>
      <c r="U6468" t="s">
        <v>48538</v>
      </c>
      <c r="V6468" t="s">
        <v>54994</v>
      </c>
      <c r="W6468" t="s">
        <v>55934</v>
      </c>
      <c r="X6468" t="s">
        <v>41259</v>
      </c>
    </row>
    <row r="6469" spans="1:24">
      <c r="A6469">
        <f>HYPERLINK("https://www.philgeps.gov.ph/GEPSNONPILOT/Tender/SplashBidNoticeAbstractUI.aspx?menuIndex=3&amp;refID=7066881&amp;Result=3","7066881")</f>
        <v>0</v>
      </c>
      <c r="B6469" t="s">
        <v>1522</v>
      </c>
      <c r="C6469" t="s">
        <v>9548</v>
      </c>
      <c r="D6469" t="s">
        <v>16686</v>
      </c>
      <c r="E6469" t="s">
        <v>22400</v>
      </c>
      <c r="F6469" t="s">
        <v>28669</v>
      </c>
      <c r="G6469" t="s">
        <v>28675</v>
      </c>
      <c r="H6469" t="s">
        <v>9998</v>
      </c>
      <c r="I6469" t="s">
        <v>6128</v>
      </c>
      <c r="J6469" t="s">
        <v>32900</v>
      </c>
      <c r="K6469" t="s">
        <v>37210</v>
      </c>
      <c r="M6469" t="s">
        <v>39573</v>
      </c>
      <c r="N6469" t="s">
        <v>41249</v>
      </c>
      <c r="O6469" t="s">
        <v>41250</v>
      </c>
      <c r="P6469">
        <v>0</v>
      </c>
      <c r="Q6469">
        <v>0</v>
      </c>
      <c r="R6469" t="s">
        <v>41257</v>
      </c>
      <c r="S6469" t="s">
        <v>41461</v>
      </c>
      <c r="T6469" t="s">
        <v>42663</v>
      </c>
      <c r="U6469" t="s">
        <v>48539</v>
      </c>
      <c r="W6469" t="s">
        <v>39573</v>
      </c>
      <c r="X6469" t="s">
        <v>41259</v>
      </c>
    </row>
    <row r="6470" spans="1:24">
      <c r="A6470">
        <f>HYPERLINK("https://www.philgeps.gov.ph/GEPSNONPILOT/Tender/SplashBidNoticeAbstractUI.aspx?menuIndex=3&amp;refID=7067175&amp;Result=3","7067175")</f>
        <v>0</v>
      </c>
      <c r="B6470" t="s">
        <v>72</v>
      </c>
      <c r="C6470" t="s">
        <v>9549</v>
      </c>
      <c r="D6470" t="s">
        <v>16644</v>
      </c>
      <c r="E6470" t="s">
        <v>22401</v>
      </c>
      <c r="F6470" t="s">
        <v>28669</v>
      </c>
      <c r="G6470" t="s">
        <v>28675</v>
      </c>
      <c r="H6470" t="s">
        <v>28686</v>
      </c>
      <c r="I6470" t="s">
        <v>28689</v>
      </c>
      <c r="J6470" t="s">
        <v>30342</v>
      </c>
      <c r="K6470" t="s">
        <v>37220</v>
      </c>
      <c r="M6470" t="s">
        <v>37547</v>
      </c>
      <c r="N6470" t="s">
        <v>41249</v>
      </c>
      <c r="O6470" t="s">
        <v>41250</v>
      </c>
      <c r="P6470">
        <v>0</v>
      </c>
      <c r="Q6470">
        <v>2</v>
      </c>
      <c r="R6470" t="s">
        <v>41257</v>
      </c>
      <c r="S6470" t="s">
        <v>41461</v>
      </c>
      <c r="T6470" t="s">
        <v>42782</v>
      </c>
      <c r="U6470" t="s">
        <v>48540</v>
      </c>
      <c r="V6470" t="s">
        <v>54995</v>
      </c>
      <c r="W6470" t="s">
        <v>55934</v>
      </c>
      <c r="X6470" t="s">
        <v>41259</v>
      </c>
    </row>
    <row r="6471" spans="1:24">
      <c r="A6471">
        <f>HYPERLINK("https://www.philgeps.gov.ph/GEPSNONPILOT/Tender/SplashBidNoticeAbstractUI.aspx?menuIndex=3&amp;refID=7064452&amp;Result=3","7064452")</f>
        <v>0</v>
      </c>
      <c r="B6471" t="s">
        <v>936</v>
      </c>
      <c r="C6471" t="s">
        <v>9550</v>
      </c>
      <c r="D6471" t="s">
        <v>16640</v>
      </c>
      <c r="E6471" t="s">
        <v>22402</v>
      </c>
      <c r="F6471" t="s">
        <v>28669</v>
      </c>
      <c r="G6471" t="s">
        <v>28675</v>
      </c>
      <c r="H6471" t="s">
        <v>9998</v>
      </c>
      <c r="I6471" t="s">
        <v>5213</v>
      </c>
      <c r="J6471" t="s">
        <v>32901</v>
      </c>
      <c r="K6471" t="s">
        <v>37229</v>
      </c>
      <c r="M6471" t="s">
        <v>38459</v>
      </c>
      <c r="N6471" t="s">
        <v>41249</v>
      </c>
      <c r="O6471" t="s">
        <v>41250</v>
      </c>
      <c r="P6471">
        <v>0</v>
      </c>
      <c r="Q6471">
        <v>2</v>
      </c>
      <c r="R6471" t="s">
        <v>41257</v>
      </c>
      <c r="S6471" t="s">
        <v>41461</v>
      </c>
      <c r="T6471" t="s">
        <v>42929</v>
      </c>
      <c r="U6471" t="s">
        <v>48541</v>
      </c>
      <c r="W6471" t="s">
        <v>38459</v>
      </c>
      <c r="X6471" t="s">
        <v>41260</v>
      </c>
    </row>
    <row r="6472" spans="1:24">
      <c r="A6472">
        <f>HYPERLINK("https://www.philgeps.gov.ph/GEPSNONPILOT/Tender/SplashBidNoticeAbstractUI.aspx?menuIndex=3&amp;refID=7066619&amp;Result=3","7066619")</f>
        <v>0</v>
      </c>
      <c r="B6472" t="s">
        <v>946</v>
      </c>
      <c r="C6472" t="s">
        <v>9551</v>
      </c>
      <c r="D6472" t="s">
        <v>16637</v>
      </c>
      <c r="E6472" t="s">
        <v>22403</v>
      </c>
      <c r="F6472" t="s">
        <v>28669</v>
      </c>
      <c r="G6472" t="s">
        <v>28675</v>
      </c>
      <c r="H6472" t="s">
        <v>9998</v>
      </c>
      <c r="I6472" t="s">
        <v>28742</v>
      </c>
      <c r="J6472" t="s">
        <v>32181</v>
      </c>
      <c r="K6472" t="s">
        <v>37205</v>
      </c>
      <c r="L6472" t="s">
        <v>946</v>
      </c>
      <c r="M6472" t="s">
        <v>38470</v>
      </c>
      <c r="N6472" t="s">
        <v>41249</v>
      </c>
      <c r="O6472" t="s">
        <v>41250</v>
      </c>
      <c r="P6472">
        <v>0</v>
      </c>
      <c r="Q6472">
        <v>15</v>
      </c>
      <c r="R6472" t="s">
        <v>41257</v>
      </c>
      <c r="S6472" t="s">
        <v>41461</v>
      </c>
      <c r="T6472" t="s">
        <v>42911</v>
      </c>
      <c r="U6472" t="s">
        <v>48542</v>
      </c>
      <c r="W6472" t="s">
        <v>55939</v>
      </c>
      <c r="X6472" t="s">
        <v>41259</v>
      </c>
    </row>
    <row r="6473" spans="1:24">
      <c r="A6473">
        <f>HYPERLINK("https://www.philgeps.gov.ph/GEPSNONPILOT/Tender/SplashBidNoticeAbstractUI.aspx?menuIndex=3&amp;refID=7067161&amp;Result=3","7067161")</f>
        <v>0</v>
      </c>
      <c r="B6473" t="s">
        <v>72</v>
      </c>
      <c r="C6473" t="s">
        <v>9552</v>
      </c>
      <c r="D6473" t="s">
        <v>16644</v>
      </c>
      <c r="E6473" t="s">
        <v>22404</v>
      </c>
      <c r="F6473" t="s">
        <v>28669</v>
      </c>
      <c r="G6473" t="s">
        <v>28675</v>
      </c>
      <c r="H6473" t="s">
        <v>28686</v>
      </c>
      <c r="I6473" t="s">
        <v>28689</v>
      </c>
      <c r="J6473" t="s">
        <v>32902</v>
      </c>
      <c r="K6473" t="s">
        <v>37341</v>
      </c>
      <c r="M6473" t="s">
        <v>37547</v>
      </c>
      <c r="N6473" t="s">
        <v>41249</v>
      </c>
      <c r="O6473" t="s">
        <v>41250</v>
      </c>
      <c r="P6473">
        <v>0</v>
      </c>
      <c r="Q6473">
        <v>2</v>
      </c>
      <c r="R6473" t="s">
        <v>41257</v>
      </c>
      <c r="S6473" t="s">
        <v>41461</v>
      </c>
      <c r="T6473" t="s">
        <v>42782</v>
      </c>
      <c r="U6473" t="s">
        <v>48543</v>
      </c>
      <c r="V6473" t="s">
        <v>54996</v>
      </c>
      <c r="W6473" t="s">
        <v>55934</v>
      </c>
      <c r="X6473" t="s">
        <v>41259</v>
      </c>
    </row>
    <row r="6474" spans="1:24">
      <c r="A6474">
        <f>HYPERLINK("https://www.philgeps.gov.ph/GEPSNONPILOT/Tender/SplashBidNoticeAbstractUI.aspx?menuIndex=3&amp;refID=7067183&amp;Result=3","7067183")</f>
        <v>0</v>
      </c>
      <c r="B6474" t="s">
        <v>72</v>
      </c>
      <c r="C6474" t="s">
        <v>9553</v>
      </c>
      <c r="D6474" t="s">
        <v>16644</v>
      </c>
      <c r="E6474" t="s">
        <v>22405</v>
      </c>
      <c r="F6474" t="s">
        <v>28669</v>
      </c>
      <c r="G6474" t="s">
        <v>28675</v>
      </c>
      <c r="H6474" t="s">
        <v>28686</v>
      </c>
      <c r="I6474" t="s">
        <v>28689</v>
      </c>
      <c r="J6474" t="s">
        <v>32903</v>
      </c>
      <c r="K6474" t="s">
        <v>37220</v>
      </c>
      <c r="M6474" t="s">
        <v>37547</v>
      </c>
      <c r="N6474" t="s">
        <v>41249</v>
      </c>
      <c r="O6474" t="s">
        <v>41250</v>
      </c>
      <c r="P6474">
        <v>0</v>
      </c>
      <c r="Q6474">
        <v>2</v>
      </c>
      <c r="R6474" t="s">
        <v>41257</v>
      </c>
      <c r="S6474" t="s">
        <v>41461</v>
      </c>
      <c r="T6474" t="s">
        <v>42782</v>
      </c>
      <c r="U6474" t="s">
        <v>48544</v>
      </c>
      <c r="V6474" t="s">
        <v>54997</v>
      </c>
      <c r="W6474" t="s">
        <v>55934</v>
      </c>
      <c r="X6474" t="s">
        <v>41259</v>
      </c>
    </row>
    <row r="6475" spans="1:24">
      <c r="A6475">
        <f>HYPERLINK("https://www.philgeps.gov.ph/GEPSNONPILOT/Tender/SplashBidNoticeAbstractUI.aspx?menuIndex=3&amp;refID=7066927&amp;Result=3","7066927")</f>
        <v>0</v>
      </c>
      <c r="B6475" t="s">
        <v>454</v>
      </c>
      <c r="C6475" t="s">
        <v>9554</v>
      </c>
      <c r="D6475" t="s">
        <v>16632</v>
      </c>
      <c r="E6475" t="s">
        <v>22406</v>
      </c>
      <c r="F6475" t="s">
        <v>28669</v>
      </c>
      <c r="G6475" t="s">
        <v>28676</v>
      </c>
      <c r="H6475" t="s">
        <v>9998</v>
      </c>
      <c r="I6475" t="s">
        <v>6128</v>
      </c>
      <c r="J6475" t="s">
        <v>32904</v>
      </c>
      <c r="K6475" t="s">
        <v>37204</v>
      </c>
      <c r="M6475" t="s">
        <v>37942</v>
      </c>
      <c r="N6475" t="s">
        <v>41249</v>
      </c>
      <c r="O6475" t="s">
        <v>41250</v>
      </c>
      <c r="P6475">
        <v>0</v>
      </c>
      <c r="Q6475">
        <v>9</v>
      </c>
      <c r="R6475" t="s">
        <v>41257</v>
      </c>
      <c r="S6475" t="s">
        <v>41461</v>
      </c>
      <c r="T6475" t="s">
        <v>42758</v>
      </c>
      <c r="U6475" t="s">
        <v>48244</v>
      </c>
      <c r="W6475" t="s">
        <v>37942</v>
      </c>
      <c r="X6475" t="s">
        <v>41259</v>
      </c>
    </row>
    <row r="6476" spans="1:24">
      <c r="A6476">
        <f>HYPERLINK("https://www.philgeps.gov.ph/GEPSNONPILOT/Tender/SplashBidNoticeAbstractUI.aspx?menuIndex=3&amp;refID=7067154&amp;Result=3","7067154")</f>
        <v>0</v>
      </c>
      <c r="B6476" t="s">
        <v>72</v>
      </c>
      <c r="C6476" t="s">
        <v>9555</v>
      </c>
      <c r="D6476" t="s">
        <v>16644</v>
      </c>
      <c r="E6476" t="s">
        <v>22407</v>
      </c>
      <c r="F6476" t="s">
        <v>28669</v>
      </c>
      <c r="G6476" t="s">
        <v>28675</v>
      </c>
      <c r="H6476" t="s">
        <v>28686</v>
      </c>
      <c r="I6476" t="s">
        <v>28689</v>
      </c>
      <c r="J6476" t="s">
        <v>32905</v>
      </c>
      <c r="K6476" t="s">
        <v>37335</v>
      </c>
      <c r="M6476" t="s">
        <v>37547</v>
      </c>
      <c r="N6476" t="s">
        <v>41249</v>
      </c>
      <c r="O6476" t="s">
        <v>41250</v>
      </c>
      <c r="P6476">
        <v>0</v>
      </c>
      <c r="Q6476">
        <v>2</v>
      </c>
      <c r="R6476" t="s">
        <v>41257</v>
      </c>
      <c r="S6476" t="s">
        <v>41461</v>
      </c>
      <c r="T6476" t="s">
        <v>42782</v>
      </c>
      <c r="U6476" t="s">
        <v>48545</v>
      </c>
      <c r="V6476" t="s">
        <v>54998</v>
      </c>
      <c r="W6476" t="s">
        <v>55934</v>
      </c>
      <c r="X6476" t="s">
        <v>41259</v>
      </c>
    </row>
    <row r="6477" spans="1:24">
      <c r="A6477">
        <f>HYPERLINK("https://www.philgeps.gov.ph/GEPSNONPILOT/Tender/SplashBidNoticeAbstractUI.aspx?menuIndex=3&amp;refID=7067139&amp;Result=3","7067139")</f>
        <v>0</v>
      </c>
      <c r="B6477" t="s">
        <v>72</v>
      </c>
      <c r="C6477" t="s">
        <v>9556</v>
      </c>
      <c r="D6477" t="s">
        <v>16644</v>
      </c>
      <c r="E6477" t="s">
        <v>22408</v>
      </c>
      <c r="F6477" t="s">
        <v>28669</v>
      </c>
      <c r="G6477" t="s">
        <v>28675</v>
      </c>
      <c r="H6477" t="s">
        <v>28686</v>
      </c>
      <c r="I6477" t="s">
        <v>28689</v>
      </c>
      <c r="J6477" t="s">
        <v>32902</v>
      </c>
      <c r="K6477" t="s">
        <v>37341</v>
      </c>
      <c r="M6477" t="s">
        <v>37547</v>
      </c>
      <c r="N6477" t="s">
        <v>41249</v>
      </c>
      <c r="O6477" t="s">
        <v>41250</v>
      </c>
      <c r="P6477">
        <v>0</v>
      </c>
      <c r="Q6477">
        <v>2</v>
      </c>
      <c r="R6477" t="s">
        <v>41257</v>
      </c>
      <c r="S6477" t="s">
        <v>41461</v>
      </c>
      <c r="T6477" t="s">
        <v>42782</v>
      </c>
      <c r="U6477" t="s">
        <v>48546</v>
      </c>
      <c r="V6477" t="s">
        <v>54999</v>
      </c>
      <c r="W6477" t="s">
        <v>55934</v>
      </c>
      <c r="X6477" t="s">
        <v>41259</v>
      </c>
    </row>
    <row r="6478" spans="1:24">
      <c r="A6478">
        <f>HYPERLINK("https://www.philgeps.gov.ph/GEPSNONPILOT/Tender/SplashBidNoticeAbstractUI.aspx?menuIndex=3&amp;refID=7067166&amp;Result=3","7067166")</f>
        <v>0</v>
      </c>
      <c r="B6478" t="s">
        <v>72</v>
      </c>
      <c r="C6478" t="s">
        <v>9557</v>
      </c>
      <c r="D6478" t="s">
        <v>16644</v>
      </c>
      <c r="E6478" t="s">
        <v>22409</v>
      </c>
      <c r="F6478" t="s">
        <v>28669</v>
      </c>
      <c r="G6478" t="s">
        <v>28675</v>
      </c>
      <c r="H6478" t="s">
        <v>28686</v>
      </c>
      <c r="I6478" t="s">
        <v>28689</v>
      </c>
      <c r="J6478" t="s">
        <v>32906</v>
      </c>
      <c r="K6478" t="s">
        <v>37285</v>
      </c>
      <c r="M6478" t="s">
        <v>37547</v>
      </c>
      <c r="N6478" t="s">
        <v>41249</v>
      </c>
      <c r="O6478" t="s">
        <v>41250</v>
      </c>
      <c r="P6478">
        <v>0</v>
      </c>
      <c r="Q6478">
        <v>3</v>
      </c>
      <c r="R6478" t="s">
        <v>41257</v>
      </c>
      <c r="S6478" t="s">
        <v>41461</v>
      </c>
      <c r="T6478" t="s">
        <v>42782</v>
      </c>
      <c r="U6478" t="s">
        <v>48547</v>
      </c>
      <c r="V6478" t="s">
        <v>55000</v>
      </c>
      <c r="W6478" t="s">
        <v>55934</v>
      </c>
      <c r="X6478" t="s">
        <v>41259</v>
      </c>
    </row>
    <row r="6479" spans="1:24">
      <c r="A6479">
        <f>HYPERLINK("https://www.philgeps.gov.ph/GEPSNONPILOT/Tender/SplashBidNoticeAbstractUI.aspx?menuIndex=3&amp;refID=7067170&amp;Result=3","7067170")</f>
        <v>0</v>
      </c>
      <c r="B6479" t="s">
        <v>72</v>
      </c>
      <c r="C6479" t="s">
        <v>9558</v>
      </c>
      <c r="D6479" t="s">
        <v>16644</v>
      </c>
      <c r="E6479" t="s">
        <v>22410</v>
      </c>
      <c r="F6479" t="s">
        <v>28669</v>
      </c>
      <c r="G6479" t="s">
        <v>28675</v>
      </c>
      <c r="H6479" t="s">
        <v>28686</v>
      </c>
      <c r="I6479" t="s">
        <v>28689</v>
      </c>
      <c r="J6479" t="s">
        <v>30342</v>
      </c>
      <c r="K6479" t="s">
        <v>37220</v>
      </c>
      <c r="M6479" t="s">
        <v>37547</v>
      </c>
      <c r="N6479" t="s">
        <v>41249</v>
      </c>
      <c r="O6479" t="s">
        <v>41250</v>
      </c>
      <c r="P6479">
        <v>0</v>
      </c>
      <c r="Q6479">
        <v>2</v>
      </c>
      <c r="R6479" t="s">
        <v>41257</v>
      </c>
      <c r="S6479" t="s">
        <v>41461</v>
      </c>
      <c r="T6479" t="s">
        <v>42782</v>
      </c>
      <c r="U6479" t="s">
        <v>48548</v>
      </c>
      <c r="V6479" t="s">
        <v>55001</v>
      </c>
      <c r="W6479" t="s">
        <v>55934</v>
      </c>
      <c r="X6479" t="s">
        <v>41259</v>
      </c>
    </row>
    <row r="6480" spans="1:24">
      <c r="A6480">
        <f>HYPERLINK("https://www.philgeps.gov.ph/GEPSNONPILOT/Tender/SplashBidNoticeAbstractUI.aspx?menuIndex=3&amp;refID=7067133&amp;Result=3","7067133")</f>
        <v>0</v>
      </c>
      <c r="B6480" t="s">
        <v>72</v>
      </c>
      <c r="C6480" t="s">
        <v>9559</v>
      </c>
      <c r="D6480" t="s">
        <v>16644</v>
      </c>
      <c r="E6480" t="s">
        <v>22411</v>
      </c>
      <c r="F6480" t="s">
        <v>28669</v>
      </c>
      <c r="G6480" t="s">
        <v>28675</v>
      </c>
      <c r="H6480" t="s">
        <v>28686</v>
      </c>
      <c r="I6480" t="s">
        <v>28689</v>
      </c>
      <c r="J6480" t="s">
        <v>32907</v>
      </c>
      <c r="K6480" t="s">
        <v>37371</v>
      </c>
      <c r="M6480" t="s">
        <v>37547</v>
      </c>
      <c r="N6480" t="s">
        <v>41249</v>
      </c>
      <c r="O6480" t="s">
        <v>41250</v>
      </c>
      <c r="P6480">
        <v>0</v>
      </c>
      <c r="Q6480">
        <v>2</v>
      </c>
      <c r="R6480" t="s">
        <v>41257</v>
      </c>
      <c r="S6480" t="s">
        <v>41461</v>
      </c>
      <c r="T6480" t="s">
        <v>42782</v>
      </c>
      <c r="U6480" t="s">
        <v>48549</v>
      </c>
      <c r="V6480" t="s">
        <v>55002</v>
      </c>
      <c r="W6480" t="s">
        <v>55934</v>
      </c>
      <c r="X6480" t="s">
        <v>41259</v>
      </c>
    </row>
    <row r="6481" spans="1:24">
      <c r="A6481">
        <f>HYPERLINK("https://www.philgeps.gov.ph/GEPSNONPILOT/Tender/SplashBidNoticeAbstractUI.aspx?menuIndex=3&amp;refID=7067415&amp;Result=3","7067415")</f>
        <v>0</v>
      </c>
      <c r="B6481" t="s">
        <v>829</v>
      </c>
      <c r="C6481" t="s">
        <v>9560</v>
      </c>
      <c r="D6481" t="s">
        <v>16640</v>
      </c>
      <c r="E6481" t="s">
        <v>22412</v>
      </c>
      <c r="F6481" t="s">
        <v>28669</v>
      </c>
      <c r="G6481" t="s">
        <v>28678</v>
      </c>
      <c r="H6481" t="s">
        <v>9998</v>
      </c>
      <c r="I6481" t="s">
        <v>6128</v>
      </c>
      <c r="J6481" t="s">
        <v>32908</v>
      </c>
      <c r="K6481" t="s">
        <v>37206</v>
      </c>
      <c r="L6481" t="s">
        <v>829</v>
      </c>
      <c r="M6481" t="s">
        <v>38345</v>
      </c>
      <c r="N6481" t="s">
        <v>41249</v>
      </c>
      <c r="O6481" t="s">
        <v>41250</v>
      </c>
      <c r="P6481">
        <v>0</v>
      </c>
      <c r="Q6481">
        <v>9</v>
      </c>
      <c r="R6481" t="s">
        <v>41257</v>
      </c>
      <c r="S6481" t="s">
        <v>41461</v>
      </c>
      <c r="T6481" t="s">
        <v>42883</v>
      </c>
      <c r="U6481" t="s">
        <v>48550</v>
      </c>
      <c r="W6481" t="s">
        <v>38345</v>
      </c>
      <c r="X6481" t="s">
        <v>41258</v>
      </c>
    </row>
    <row r="6482" spans="1:24">
      <c r="A6482">
        <f>HYPERLINK("https://www.philgeps.gov.ph/GEPSNONPILOT/Tender/SplashBidNoticeAbstractUI.aspx?menuIndex=3&amp;refID=7067156&amp;Result=3","7067156")</f>
        <v>0</v>
      </c>
      <c r="B6482" t="s">
        <v>72</v>
      </c>
      <c r="C6482" t="s">
        <v>9561</v>
      </c>
      <c r="D6482" t="s">
        <v>16644</v>
      </c>
      <c r="E6482" t="s">
        <v>22413</v>
      </c>
      <c r="F6482" t="s">
        <v>28669</v>
      </c>
      <c r="G6482" t="s">
        <v>28675</v>
      </c>
      <c r="H6482" t="s">
        <v>28686</v>
      </c>
      <c r="I6482" t="s">
        <v>28689</v>
      </c>
      <c r="J6482" t="s">
        <v>31964</v>
      </c>
      <c r="K6482" t="s">
        <v>37212</v>
      </c>
      <c r="M6482" t="s">
        <v>37547</v>
      </c>
      <c r="N6482" t="s">
        <v>41249</v>
      </c>
      <c r="O6482" t="s">
        <v>41250</v>
      </c>
      <c r="P6482">
        <v>0</v>
      </c>
      <c r="Q6482">
        <v>2</v>
      </c>
      <c r="R6482" t="s">
        <v>41257</v>
      </c>
      <c r="S6482" t="s">
        <v>41461</v>
      </c>
      <c r="T6482" t="s">
        <v>42782</v>
      </c>
      <c r="U6482" t="s">
        <v>48551</v>
      </c>
      <c r="V6482" t="s">
        <v>55003</v>
      </c>
      <c r="W6482" t="s">
        <v>55934</v>
      </c>
      <c r="X6482" t="s">
        <v>41259</v>
      </c>
    </row>
    <row r="6483" spans="1:24">
      <c r="A6483">
        <f>HYPERLINK("https://www.philgeps.gov.ph/GEPSNONPILOT/Tender/SplashBidNoticeAbstractUI.aspx?menuIndex=3&amp;refID=7067407&amp;Result=3","7067407")</f>
        <v>0</v>
      </c>
      <c r="B6483" t="s">
        <v>2136</v>
      </c>
      <c r="C6483" t="s">
        <v>9562</v>
      </c>
      <c r="D6483" t="s">
        <v>16611</v>
      </c>
      <c r="E6483" t="s">
        <v>22414</v>
      </c>
      <c r="F6483" t="s">
        <v>28669</v>
      </c>
      <c r="G6483" t="s">
        <v>28675</v>
      </c>
      <c r="H6483" t="s">
        <v>9998</v>
      </c>
      <c r="I6483" t="s">
        <v>7352</v>
      </c>
      <c r="J6483" t="s">
        <v>32909</v>
      </c>
      <c r="K6483" t="s">
        <v>37221</v>
      </c>
      <c r="M6483" t="s">
        <v>39781</v>
      </c>
      <c r="N6483" t="s">
        <v>41249</v>
      </c>
      <c r="O6483" t="s">
        <v>41250</v>
      </c>
      <c r="P6483">
        <v>0</v>
      </c>
      <c r="Q6483">
        <v>0</v>
      </c>
      <c r="R6483" t="s">
        <v>41257</v>
      </c>
      <c r="S6483" t="s">
        <v>41461</v>
      </c>
      <c r="T6483" t="s">
        <v>43030</v>
      </c>
      <c r="U6483" t="s">
        <v>48552</v>
      </c>
      <c r="W6483" t="s">
        <v>39781</v>
      </c>
      <c r="X6483" t="s">
        <v>41258</v>
      </c>
    </row>
    <row r="6484" spans="1:24">
      <c r="A6484">
        <f>HYPERLINK("https://www.philgeps.gov.ph/GEPSNONPILOT/Tender/SplashBidNoticeAbstractUI.aspx?menuIndex=3&amp;refID=7067137&amp;Result=3","7067137")</f>
        <v>0</v>
      </c>
      <c r="B6484" t="s">
        <v>72</v>
      </c>
      <c r="C6484" t="s">
        <v>9563</v>
      </c>
      <c r="D6484" t="s">
        <v>16644</v>
      </c>
      <c r="E6484" t="s">
        <v>22415</v>
      </c>
      <c r="F6484" t="s">
        <v>28669</v>
      </c>
      <c r="G6484" t="s">
        <v>28675</v>
      </c>
      <c r="H6484" t="s">
        <v>28686</v>
      </c>
      <c r="I6484" t="s">
        <v>28689</v>
      </c>
      <c r="J6484" t="s">
        <v>31964</v>
      </c>
      <c r="K6484" t="s">
        <v>37212</v>
      </c>
      <c r="M6484" t="s">
        <v>37547</v>
      </c>
      <c r="N6484" t="s">
        <v>41249</v>
      </c>
      <c r="O6484" t="s">
        <v>41250</v>
      </c>
      <c r="P6484">
        <v>0</v>
      </c>
      <c r="Q6484">
        <v>2</v>
      </c>
      <c r="R6484" t="s">
        <v>41257</v>
      </c>
      <c r="S6484" t="s">
        <v>41461</v>
      </c>
      <c r="T6484" t="s">
        <v>42782</v>
      </c>
      <c r="U6484" t="s">
        <v>48553</v>
      </c>
      <c r="V6484" t="s">
        <v>55004</v>
      </c>
      <c r="W6484" t="s">
        <v>55934</v>
      </c>
      <c r="X6484" t="s">
        <v>41259</v>
      </c>
    </row>
    <row r="6485" spans="1:24">
      <c r="A6485">
        <f>HYPERLINK("https://www.philgeps.gov.ph/GEPSNONPILOT/Tender/SplashBidNoticeAbstractUI.aspx?menuIndex=3&amp;refID=7067392&amp;Result=3","7067392")</f>
        <v>0</v>
      </c>
      <c r="B6485" t="s">
        <v>2137</v>
      </c>
      <c r="C6485" t="s">
        <v>9564</v>
      </c>
      <c r="D6485" t="s">
        <v>16643</v>
      </c>
      <c r="E6485" t="s">
        <v>22416</v>
      </c>
      <c r="F6485" t="s">
        <v>28669</v>
      </c>
      <c r="G6485" t="s">
        <v>28675</v>
      </c>
      <c r="H6485" t="s">
        <v>28686</v>
      </c>
      <c r="I6485" t="s">
        <v>28689</v>
      </c>
      <c r="J6485" t="s">
        <v>32910</v>
      </c>
      <c r="K6485" t="s">
        <v>37220</v>
      </c>
      <c r="M6485" t="s">
        <v>39782</v>
      </c>
      <c r="N6485" t="s">
        <v>41249</v>
      </c>
      <c r="O6485" t="s">
        <v>41250</v>
      </c>
      <c r="P6485">
        <v>0</v>
      </c>
      <c r="Q6485">
        <v>0</v>
      </c>
      <c r="R6485" t="s">
        <v>41257</v>
      </c>
      <c r="S6485" t="s">
        <v>41461</v>
      </c>
      <c r="T6485" t="s">
        <v>42743</v>
      </c>
      <c r="U6485" t="s">
        <v>48554</v>
      </c>
      <c r="W6485" t="s">
        <v>39782</v>
      </c>
      <c r="X6485" t="s">
        <v>41258</v>
      </c>
    </row>
    <row r="6486" spans="1:24">
      <c r="A6486">
        <f>HYPERLINK("https://www.philgeps.gov.ph/GEPSNONPILOT/Tender/SplashBidNoticeAbstractUI.aspx?menuIndex=3&amp;refID=7067143&amp;Result=3","7067143")</f>
        <v>0</v>
      </c>
      <c r="B6486" t="s">
        <v>72</v>
      </c>
      <c r="C6486" t="s">
        <v>9565</v>
      </c>
      <c r="D6486" t="s">
        <v>16644</v>
      </c>
      <c r="E6486" t="s">
        <v>22417</v>
      </c>
      <c r="F6486" t="s">
        <v>28669</v>
      </c>
      <c r="G6486" t="s">
        <v>28675</v>
      </c>
      <c r="H6486" t="s">
        <v>28686</v>
      </c>
      <c r="I6486" t="s">
        <v>28689</v>
      </c>
      <c r="J6486" t="s">
        <v>32902</v>
      </c>
      <c r="K6486" t="s">
        <v>37341</v>
      </c>
      <c r="M6486" t="s">
        <v>37547</v>
      </c>
      <c r="N6486" t="s">
        <v>41249</v>
      </c>
      <c r="O6486" t="s">
        <v>41250</v>
      </c>
      <c r="P6486">
        <v>0</v>
      </c>
      <c r="Q6486">
        <v>2</v>
      </c>
      <c r="R6486" t="s">
        <v>41257</v>
      </c>
      <c r="S6486" t="s">
        <v>41461</v>
      </c>
      <c r="T6486" t="s">
        <v>42782</v>
      </c>
      <c r="U6486" t="s">
        <v>48555</v>
      </c>
      <c r="V6486" t="s">
        <v>55005</v>
      </c>
      <c r="W6486" t="s">
        <v>55934</v>
      </c>
      <c r="X6486" t="s">
        <v>41259</v>
      </c>
    </row>
    <row r="6487" spans="1:24">
      <c r="A6487">
        <f>HYPERLINK("https://www.philgeps.gov.ph/GEPSNONPILOT/Tender/SplashBidNoticeAbstractUI.aspx?menuIndex=3&amp;refID=7067391&amp;Result=3","7067391")</f>
        <v>0</v>
      </c>
      <c r="B6487" t="s">
        <v>923</v>
      </c>
      <c r="C6487" t="s">
        <v>9566</v>
      </c>
      <c r="D6487" t="s">
        <v>16657</v>
      </c>
      <c r="E6487" t="s">
        <v>22418</v>
      </c>
      <c r="F6487" t="s">
        <v>28669</v>
      </c>
      <c r="G6487" t="s">
        <v>28675</v>
      </c>
      <c r="H6487" t="s">
        <v>9998</v>
      </c>
      <c r="I6487" t="s">
        <v>7352</v>
      </c>
      <c r="J6487" t="s">
        <v>32911</v>
      </c>
      <c r="K6487" t="s">
        <v>37210</v>
      </c>
      <c r="M6487" t="s">
        <v>38445</v>
      </c>
      <c r="N6487" t="s">
        <v>41249</v>
      </c>
      <c r="O6487" t="s">
        <v>41250</v>
      </c>
      <c r="P6487">
        <v>0</v>
      </c>
      <c r="Q6487">
        <v>2</v>
      </c>
      <c r="R6487" t="s">
        <v>41257</v>
      </c>
      <c r="S6487" t="s">
        <v>41461</v>
      </c>
      <c r="T6487" t="s">
        <v>42671</v>
      </c>
      <c r="U6487" t="s">
        <v>48556</v>
      </c>
      <c r="W6487" t="s">
        <v>38445</v>
      </c>
      <c r="X6487" t="s">
        <v>41258</v>
      </c>
    </row>
    <row r="6488" spans="1:24">
      <c r="A6488">
        <f>HYPERLINK("https://www.philgeps.gov.ph/GEPSNONPILOT/Tender/SplashBidNoticeAbstractUI.aspx?menuIndex=3&amp;refID=7067375&amp;Result=3","7067375")</f>
        <v>0</v>
      </c>
      <c r="B6488" t="s">
        <v>2138</v>
      </c>
      <c r="C6488" t="s">
        <v>9567</v>
      </c>
      <c r="D6488" t="s">
        <v>16668</v>
      </c>
      <c r="E6488" t="s">
        <v>22419</v>
      </c>
      <c r="F6488" t="s">
        <v>28669</v>
      </c>
      <c r="G6488" t="s">
        <v>28675</v>
      </c>
      <c r="H6488" t="s">
        <v>28686</v>
      </c>
      <c r="I6488" t="s">
        <v>28689</v>
      </c>
      <c r="J6488" t="s">
        <v>32912</v>
      </c>
      <c r="K6488" t="s">
        <v>37240</v>
      </c>
      <c r="M6488" t="s">
        <v>39783</v>
      </c>
      <c r="N6488" t="s">
        <v>41249</v>
      </c>
      <c r="O6488" t="s">
        <v>41250</v>
      </c>
      <c r="P6488">
        <v>0</v>
      </c>
      <c r="Q6488">
        <v>0</v>
      </c>
      <c r="R6488" t="s">
        <v>41257</v>
      </c>
      <c r="S6488" t="s">
        <v>41461</v>
      </c>
      <c r="T6488" t="s">
        <v>42758</v>
      </c>
      <c r="U6488" t="s">
        <v>48557</v>
      </c>
      <c r="W6488" t="s">
        <v>39783</v>
      </c>
      <c r="X6488" t="s">
        <v>41258</v>
      </c>
    </row>
    <row r="6489" spans="1:24">
      <c r="A6489">
        <f>HYPERLINK("https://www.philgeps.gov.ph/GEPSNONPILOT/Tender/SplashBidNoticeAbstractUI.aspx?menuIndex=3&amp;refID=7067374&amp;Result=3","7067374")</f>
        <v>0</v>
      </c>
      <c r="B6489" t="s">
        <v>2139</v>
      </c>
      <c r="C6489" t="s">
        <v>9568</v>
      </c>
      <c r="D6489" t="s">
        <v>16612</v>
      </c>
      <c r="E6489" t="s">
        <v>22420</v>
      </c>
      <c r="F6489" t="s">
        <v>28669</v>
      </c>
      <c r="G6489" t="s">
        <v>28675</v>
      </c>
      <c r="H6489" t="s">
        <v>9998</v>
      </c>
      <c r="I6489" t="s">
        <v>5033</v>
      </c>
      <c r="J6489" t="s">
        <v>28826</v>
      </c>
      <c r="K6489" t="s">
        <v>37210</v>
      </c>
      <c r="M6489" t="s">
        <v>39784</v>
      </c>
      <c r="N6489" t="s">
        <v>41249</v>
      </c>
      <c r="O6489" t="s">
        <v>41250</v>
      </c>
      <c r="P6489">
        <v>0</v>
      </c>
      <c r="Q6489">
        <v>0</v>
      </c>
      <c r="R6489" t="s">
        <v>41257</v>
      </c>
      <c r="S6489" t="s">
        <v>41461</v>
      </c>
      <c r="T6489" t="s">
        <v>42736</v>
      </c>
      <c r="U6489" t="s">
        <v>48558</v>
      </c>
      <c r="W6489" t="s">
        <v>39784</v>
      </c>
      <c r="X6489" t="s">
        <v>41258</v>
      </c>
    </row>
    <row r="6490" spans="1:24">
      <c r="A6490">
        <f>HYPERLINK("https://www.philgeps.gov.ph/GEPSNONPILOT/Tender/SplashBidNoticeAbstractUI.aspx?menuIndex=3&amp;refID=7067373&amp;Result=3","7067373")</f>
        <v>0</v>
      </c>
      <c r="B6490" t="s">
        <v>2140</v>
      </c>
      <c r="C6490" t="s">
        <v>3817</v>
      </c>
      <c r="D6490" t="s">
        <v>16612</v>
      </c>
      <c r="E6490" t="s">
        <v>22421</v>
      </c>
      <c r="F6490" t="s">
        <v>28669</v>
      </c>
      <c r="G6490" t="s">
        <v>28675</v>
      </c>
      <c r="H6490" t="s">
        <v>9998</v>
      </c>
      <c r="I6490" t="s">
        <v>7352</v>
      </c>
      <c r="J6490" t="s">
        <v>32913</v>
      </c>
      <c r="K6490" t="s">
        <v>37210</v>
      </c>
      <c r="M6490" t="s">
        <v>39785</v>
      </c>
      <c r="N6490" t="s">
        <v>41249</v>
      </c>
      <c r="O6490" t="s">
        <v>41250</v>
      </c>
      <c r="P6490">
        <v>0</v>
      </c>
      <c r="Q6490">
        <v>0</v>
      </c>
      <c r="R6490" t="s">
        <v>41257</v>
      </c>
      <c r="S6490" t="s">
        <v>41461</v>
      </c>
      <c r="T6490" t="s">
        <v>42673</v>
      </c>
      <c r="U6490" t="s">
        <v>48559</v>
      </c>
      <c r="W6490" t="s">
        <v>39785</v>
      </c>
      <c r="X6490" t="s">
        <v>41258</v>
      </c>
    </row>
    <row r="6491" spans="1:24">
      <c r="A6491">
        <f>HYPERLINK("https://www.philgeps.gov.ph/GEPSNONPILOT/Tender/SplashBidNoticeAbstractUI.aspx?menuIndex=3&amp;refID=7067372&amp;Result=3","7067372")</f>
        <v>0</v>
      </c>
      <c r="B6491" t="s">
        <v>2141</v>
      </c>
      <c r="C6491" t="s">
        <v>9569</v>
      </c>
      <c r="D6491" t="s">
        <v>16608</v>
      </c>
      <c r="E6491" t="s">
        <v>22422</v>
      </c>
      <c r="F6491" t="s">
        <v>28669</v>
      </c>
      <c r="G6491" t="s">
        <v>28676</v>
      </c>
      <c r="H6491" t="s">
        <v>9998</v>
      </c>
      <c r="I6491" t="s">
        <v>6128</v>
      </c>
      <c r="J6491" t="s">
        <v>32914</v>
      </c>
      <c r="K6491" t="s">
        <v>37210</v>
      </c>
      <c r="M6491" t="s">
        <v>39786</v>
      </c>
      <c r="N6491" t="s">
        <v>41249</v>
      </c>
      <c r="O6491" t="s">
        <v>41250</v>
      </c>
      <c r="P6491">
        <v>0</v>
      </c>
      <c r="Q6491">
        <v>4</v>
      </c>
      <c r="R6491" t="s">
        <v>41257</v>
      </c>
      <c r="S6491" t="s">
        <v>41461</v>
      </c>
      <c r="T6491" t="s">
        <v>42701</v>
      </c>
      <c r="U6491" t="s">
        <v>48560</v>
      </c>
      <c r="W6491" t="s">
        <v>39786</v>
      </c>
      <c r="X6491" t="s">
        <v>41258</v>
      </c>
    </row>
    <row r="6492" spans="1:24">
      <c r="A6492">
        <f>HYPERLINK("https://www.philgeps.gov.ph/GEPSNONPILOT/Tender/SplashBidNoticeAbstractUI.aspx?menuIndex=3&amp;refID=7067370&amp;Result=3","7067370")</f>
        <v>0</v>
      </c>
      <c r="B6492" t="s">
        <v>2142</v>
      </c>
      <c r="C6492" t="s">
        <v>9570</v>
      </c>
      <c r="D6492" t="s">
        <v>16627</v>
      </c>
      <c r="E6492" t="s">
        <v>22423</v>
      </c>
      <c r="F6492" t="s">
        <v>28669</v>
      </c>
      <c r="G6492" t="s">
        <v>28675</v>
      </c>
      <c r="H6492" t="s">
        <v>28686</v>
      </c>
      <c r="I6492" t="s">
        <v>28696</v>
      </c>
      <c r="J6492" t="s">
        <v>28826</v>
      </c>
      <c r="K6492" t="s">
        <v>37372</v>
      </c>
      <c r="L6492" t="s">
        <v>2142</v>
      </c>
      <c r="M6492" t="s">
        <v>39787</v>
      </c>
      <c r="N6492" t="s">
        <v>41249</v>
      </c>
      <c r="O6492" t="s">
        <v>41250</v>
      </c>
      <c r="P6492">
        <v>0</v>
      </c>
      <c r="Q6492">
        <v>0</v>
      </c>
      <c r="R6492" t="s">
        <v>41257</v>
      </c>
      <c r="S6492" t="s">
        <v>41461</v>
      </c>
      <c r="T6492" t="s">
        <v>42700</v>
      </c>
      <c r="U6492" t="s">
        <v>48561</v>
      </c>
      <c r="W6492" t="s">
        <v>39787</v>
      </c>
      <c r="X6492" t="s">
        <v>41258</v>
      </c>
    </row>
    <row r="6493" spans="1:24">
      <c r="A6493">
        <f>HYPERLINK("https://www.philgeps.gov.ph/GEPSNONPILOT/Tender/SplashBidNoticeAbstractUI.aspx?menuIndex=3&amp;refID=7067367&amp;Result=3","7067367")</f>
        <v>0</v>
      </c>
      <c r="B6493" t="s">
        <v>973</v>
      </c>
      <c r="C6493" t="s">
        <v>9571</v>
      </c>
      <c r="D6493" t="s">
        <v>16608</v>
      </c>
      <c r="E6493" t="s">
        <v>22424</v>
      </c>
      <c r="F6493" t="s">
        <v>28669</v>
      </c>
      <c r="G6493" t="s">
        <v>28675</v>
      </c>
      <c r="H6493" t="s">
        <v>9998</v>
      </c>
      <c r="I6493" t="s">
        <v>28726</v>
      </c>
      <c r="J6493" t="s">
        <v>29003</v>
      </c>
      <c r="K6493" t="s">
        <v>37209</v>
      </c>
      <c r="M6493" t="s">
        <v>38498</v>
      </c>
      <c r="N6493" t="s">
        <v>41249</v>
      </c>
      <c r="O6493" t="s">
        <v>41250</v>
      </c>
      <c r="P6493">
        <v>0</v>
      </c>
      <c r="Q6493">
        <v>2</v>
      </c>
      <c r="R6493" t="s">
        <v>41257</v>
      </c>
      <c r="S6493" t="s">
        <v>41461</v>
      </c>
      <c r="T6493" t="s">
        <v>42758</v>
      </c>
      <c r="U6493" t="s">
        <v>48562</v>
      </c>
      <c r="W6493" t="s">
        <v>38498</v>
      </c>
      <c r="X6493" t="s">
        <v>41258</v>
      </c>
    </row>
    <row r="6494" spans="1:24">
      <c r="A6494">
        <f>HYPERLINK("https://www.philgeps.gov.ph/GEPSNONPILOT/Tender/SplashBidNoticeAbstractUI.aspx?menuIndex=3&amp;refID=7067395&amp;Result=3","7067395")</f>
        <v>0</v>
      </c>
      <c r="B6494" t="s">
        <v>877</v>
      </c>
      <c r="C6494" t="s">
        <v>5277</v>
      </c>
      <c r="D6494" t="s">
        <v>16658</v>
      </c>
      <c r="E6494" t="s">
        <v>22425</v>
      </c>
      <c r="F6494" t="s">
        <v>28669</v>
      </c>
      <c r="G6494" t="s">
        <v>28675</v>
      </c>
      <c r="H6494" t="s">
        <v>9998</v>
      </c>
      <c r="I6494" t="s">
        <v>5286</v>
      </c>
      <c r="J6494" t="s">
        <v>32915</v>
      </c>
      <c r="K6494" t="s">
        <v>37227</v>
      </c>
      <c r="M6494" t="s">
        <v>38397</v>
      </c>
      <c r="N6494" t="s">
        <v>41249</v>
      </c>
      <c r="O6494" t="s">
        <v>41250</v>
      </c>
      <c r="P6494">
        <v>0</v>
      </c>
      <c r="Q6494">
        <v>9</v>
      </c>
      <c r="R6494" t="s">
        <v>41257</v>
      </c>
      <c r="S6494" t="s">
        <v>41461</v>
      </c>
      <c r="T6494" t="s">
        <v>42759</v>
      </c>
      <c r="U6494" t="s">
        <v>44916</v>
      </c>
      <c r="W6494" t="s">
        <v>38397</v>
      </c>
      <c r="X6494" t="s">
        <v>41258</v>
      </c>
    </row>
    <row r="6495" spans="1:24">
      <c r="A6495">
        <f>HYPERLINK("https://www.philgeps.gov.ph/GEPSNONPILOT/Tender/SplashBidNoticeAbstractUI.aspx?menuIndex=3&amp;refID=7067366&amp;Result=3","7067366")</f>
        <v>0</v>
      </c>
      <c r="B6495" t="s">
        <v>1911</v>
      </c>
      <c r="C6495" t="s">
        <v>9572</v>
      </c>
      <c r="E6495" t="s">
        <v>22426</v>
      </c>
      <c r="F6495" t="s">
        <v>28669</v>
      </c>
      <c r="G6495" t="s">
        <v>28675</v>
      </c>
      <c r="H6495" t="s">
        <v>28686</v>
      </c>
      <c r="I6495" t="s">
        <v>28689</v>
      </c>
      <c r="J6495" t="s">
        <v>30575</v>
      </c>
      <c r="K6495" t="s">
        <v>37205</v>
      </c>
      <c r="N6495" t="s">
        <v>41249</v>
      </c>
      <c r="O6495" t="s">
        <v>41250</v>
      </c>
      <c r="P6495">
        <v>0</v>
      </c>
      <c r="Q6495">
        <v>3</v>
      </c>
      <c r="R6495" t="s">
        <v>41257</v>
      </c>
      <c r="S6495" t="s">
        <v>41461</v>
      </c>
      <c r="T6495" t="s">
        <v>42809</v>
      </c>
      <c r="U6495" t="s">
        <v>48563</v>
      </c>
      <c r="V6495" t="s">
        <v>55006</v>
      </c>
      <c r="W6495" t="s">
        <v>39537</v>
      </c>
      <c r="X6495" t="s">
        <v>41258</v>
      </c>
    </row>
    <row r="6496" spans="1:24">
      <c r="A6496">
        <f>HYPERLINK("https://www.philgeps.gov.ph/GEPSNONPILOT/Tender/SplashBidNoticeAbstractUI.aspx?menuIndex=3&amp;refID=7067386&amp;Result=3","7067386")</f>
        <v>0</v>
      </c>
      <c r="B6496" t="s">
        <v>829</v>
      </c>
      <c r="C6496" t="s">
        <v>9573</v>
      </c>
      <c r="D6496" t="s">
        <v>16640</v>
      </c>
      <c r="E6496" t="s">
        <v>22427</v>
      </c>
      <c r="F6496" t="s">
        <v>28669</v>
      </c>
      <c r="G6496" t="s">
        <v>28676</v>
      </c>
      <c r="H6496" t="s">
        <v>9998</v>
      </c>
      <c r="I6496" t="s">
        <v>11593</v>
      </c>
      <c r="J6496" t="s">
        <v>29328</v>
      </c>
      <c r="K6496" t="s">
        <v>37206</v>
      </c>
      <c r="L6496" t="s">
        <v>829</v>
      </c>
      <c r="M6496" t="s">
        <v>38345</v>
      </c>
      <c r="N6496" t="s">
        <v>41249</v>
      </c>
      <c r="O6496" t="s">
        <v>41250</v>
      </c>
      <c r="P6496">
        <v>0</v>
      </c>
      <c r="Q6496">
        <v>7</v>
      </c>
      <c r="R6496" t="s">
        <v>41257</v>
      </c>
      <c r="S6496" t="s">
        <v>41461</v>
      </c>
      <c r="T6496" t="s">
        <v>42883</v>
      </c>
      <c r="U6496" t="s">
        <v>48564</v>
      </c>
      <c r="W6496" t="s">
        <v>38345</v>
      </c>
      <c r="X6496" t="s">
        <v>41258</v>
      </c>
    </row>
    <row r="6497" spans="1:24">
      <c r="A6497">
        <f>HYPERLINK("https://www.philgeps.gov.ph/GEPSNONPILOT/Tender/SplashBidNoticeAbstractUI.aspx?menuIndex=3&amp;refID=7067280&amp;Result=3","7067280")</f>
        <v>0</v>
      </c>
      <c r="B6497" t="s">
        <v>2143</v>
      </c>
      <c r="C6497" t="s">
        <v>9574</v>
      </c>
      <c r="D6497" t="s">
        <v>16653</v>
      </c>
      <c r="E6497" t="s">
        <v>22428</v>
      </c>
      <c r="F6497" t="s">
        <v>28669</v>
      </c>
      <c r="G6497" t="s">
        <v>28675</v>
      </c>
      <c r="H6497" t="s">
        <v>9998</v>
      </c>
      <c r="I6497" t="s">
        <v>28687</v>
      </c>
      <c r="J6497" t="s">
        <v>28823</v>
      </c>
      <c r="K6497" t="s">
        <v>37210</v>
      </c>
      <c r="M6497" t="s">
        <v>39788</v>
      </c>
      <c r="N6497" t="s">
        <v>41249</v>
      </c>
      <c r="O6497" t="s">
        <v>41250</v>
      </c>
      <c r="P6497">
        <v>0</v>
      </c>
      <c r="Q6497">
        <v>4</v>
      </c>
      <c r="R6497" t="s">
        <v>41257</v>
      </c>
      <c r="S6497" t="s">
        <v>41461</v>
      </c>
      <c r="T6497" t="s">
        <v>42743</v>
      </c>
      <c r="U6497" t="s">
        <v>48565</v>
      </c>
      <c r="W6497" t="s">
        <v>39788</v>
      </c>
      <c r="X6497" t="s">
        <v>41259</v>
      </c>
    </row>
    <row r="6498" spans="1:24">
      <c r="A6498">
        <f>HYPERLINK("https://www.philgeps.gov.ph/GEPSNONPILOT/Tender/SplashBidNoticeAbstractUI.aspx?menuIndex=3&amp;refID=7067230&amp;Result=3","7067230")</f>
        <v>0</v>
      </c>
      <c r="B6498" t="s">
        <v>72</v>
      </c>
      <c r="C6498" t="s">
        <v>9575</v>
      </c>
      <c r="D6498" t="s">
        <v>16644</v>
      </c>
      <c r="E6498" t="s">
        <v>22429</v>
      </c>
      <c r="F6498" t="s">
        <v>28669</v>
      </c>
      <c r="G6498" t="s">
        <v>28676</v>
      </c>
      <c r="H6498" t="s">
        <v>28686</v>
      </c>
      <c r="I6498" t="s">
        <v>28689</v>
      </c>
      <c r="J6498" t="s">
        <v>29540</v>
      </c>
      <c r="K6498" t="s">
        <v>37214</v>
      </c>
      <c r="M6498" t="s">
        <v>37547</v>
      </c>
      <c r="N6498" t="s">
        <v>41249</v>
      </c>
      <c r="O6498" t="s">
        <v>41250</v>
      </c>
      <c r="P6498">
        <v>0</v>
      </c>
      <c r="Q6498">
        <v>1</v>
      </c>
      <c r="R6498" t="s">
        <v>41257</v>
      </c>
      <c r="S6498" t="s">
        <v>41461</v>
      </c>
      <c r="T6498" t="s">
        <v>42782</v>
      </c>
      <c r="U6498" t="s">
        <v>48536</v>
      </c>
      <c r="V6498" t="s">
        <v>55007</v>
      </c>
      <c r="W6498" t="s">
        <v>55934</v>
      </c>
      <c r="X6498" t="s">
        <v>41259</v>
      </c>
    </row>
    <row r="6499" spans="1:24">
      <c r="A6499">
        <f>HYPERLINK("https://www.philgeps.gov.ph/GEPSNONPILOT/Tender/SplashBidNoticeAbstractUI.aspx?menuIndex=3&amp;refID=7067224&amp;Result=3","7067224")</f>
        <v>0</v>
      </c>
      <c r="B6499" t="s">
        <v>72</v>
      </c>
      <c r="C6499" t="s">
        <v>9576</v>
      </c>
      <c r="D6499" t="s">
        <v>16644</v>
      </c>
      <c r="E6499" t="s">
        <v>22430</v>
      </c>
      <c r="F6499" t="s">
        <v>28669</v>
      </c>
      <c r="G6499" t="s">
        <v>28676</v>
      </c>
      <c r="H6499" t="s">
        <v>28686</v>
      </c>
      <c r="I6499" t="s">
        <v>28689</v>
      </c>
      <c r="J6499" t="s">
        <v>32916</v>
      </c>
      <c r="K6499" t="s">
        <v>37295</v>
      </c>
      <c r="M6499" t="s">
        <v>37547</v>
      </c>
      <c r="N6499" t="s">
        <v>41249</v>
      </c>
      <c r="O6499" t="s">
        <v>41250</v>
      </c>
      <c r="P6499">
        <v>0</v>
      </c>
      <c r="Q6499">
        <v>1</v>
      </c>
      <c r="R6499" t="s">
        <v>41257</v>
      </c>
      <c r="S6499" t="s">
        <v>41461</v>
      </c>
      <c r="T6499" t="s">
        <v>42782</v>
      </c>
      <c r="U6499" t="s">
        <v>48536</v>
      </c>
      <c r="V6499" t="s">
        <v>55008</v>
      </c>
      <c r="W6499" t="s">
        <v>55934</v>
      </c>
      <c r="X6499" t="s">
        <v>41259</v>
      </c>
    </row>
    <row r="6500" spans="1:24">
      <c r="A6500">
        <f>HYPERLINK("https://www.philgeps.gov.ph/GEPSNONPILOT/Tender/SplashBidNoticeAbstractUI.aspx?menuIndex=3&amp;refID=7067218&amp;Result=3","7067218")</f>
        <v>0</v>
      </c>
      <c r="B6500" t="s">
        <v>72</v>
      </c>
      <c r="C6500" t="s">
        <v>9577</v>
      </c>
      <c r="D6500" t="s">
        <v>16644</v>
      </c>
      <c r="E6500" t="s">
        <v>22431</v>
      </c>
      <c r="F6500" t="s">
        <v>28669</v>
      </c>
      <c r="G6500" t="s">
        <v>28676</v>
      </c>
      <c r="H6500" t="s">
        <v>28686</v>
      </c>
      <c r="I6500" t="s">
        <v>28689</v>
      </c>
      <c r="J6500" t="s">
        <v>29366</v>
      </c>
      <c r="K6500" t="s">
        <v>37353</v>
      </c>
      <c r="M6500" t="s">
        <v>37547</v>
      </c>
      <c r="N6500" t="s">
        <v>41249</v>
      </c>
      <c r="O6500" t="s">
        <v>41250</v>
      </c>
      <c r="P6500">
        <v>0</v>
      </c>
      <c r="Q6500">
        <v>1</v>
      </c>
      <c r="R6500" t="s">
        <v>41257</v>
      </c>
      <c r="S6500" t="s">
        <v>41461</v>
      </c>
      <c r="T6500" t="s">
        <v>42782</v>
      </c>
      <c r="U6500" t="s">
        <v>48536</v>
      </c>
      <c r="V6500" t="s">
        <v>55009</v>
      </c>
      <c r="W6500" t="s">
        <v>55934</v>
      </c>
      <c r="X6500" t="s">
        <v>41259</v>
      </c>
    </row>
    <row r="6501" spans="1:24">
      <c r="A6501">
        <f>HYPERLINK("https://www.philgeps.gov.ph/GEPSNONPILOT/Tender/SplashBidNoticeAbstractUI.aspx?menuIndex=3&amp;refID=7067128&amp;Result=3","7067128")</f>
        <v>0</v>
      </c>
      <c r="B6501" t="s">
        <v>72</v>
      </c>
      <c r="C6501" t="s">
        <v>9578</v>
      </c>
      <c r="D6501" t="s">
        <v>16644</v>
      </c>
      <c r="E6501" t="s">
        <v>22432</v>
      </c>
      <c r="F6501" t="s">
        <v>28669</v>
      </c>
      <c r="G6501" t="s">
        <v>28675</v>
      </c>
      <c r="H6501" t="s">
        <v>28686</v>
      </c>
      <c r="I6501" t="s">
        <v>28689</v>
      </c>
      <c r="J6501" t="s">
        <v>32902</v>
      </c>
      <c r="K6501" t="s">
        <v>37341</v>
      </c>
      <c r="M6501" t="s">
        <v>37547</v>
      </c>
      <c r="N6501" t="s">
        <v>41249</v>
      </c>
      <c r="O6501" t="s">
        <v>41250</v>
      </c>
      <c r="P6501">
        <v>0</v>
      </c>
      <c r="Q6501">
        <v>2</v>
      </c>
      <c r="R6501" t="s">
        <v>41257</v>
      </c>
      <c r="S6501" t="s">
        <v>41461</v>
      </c>
      <c r="T6501" t="s">
        <v>42782</v>
      </c>
      <c r="U6501" t="s">
        <v>48566</v>
      </c>
      <c r="V6501" t="s">
        <v>55010</v>
      </c>
      <c r="W6501" t="s">
        <v>55934</v>
      </c>
      <c r="X6501" t="s">
        <v>41259</v>
      </c>
    </row>
    <row r="6502" spans="1:24">
      <c r="A6502">
        <f>HYPERLINK("https://www.philgeps.gov.ph/GEPSNONPILOT/Tender/SplashBidNoticeAbstractUI.aspx?menuIndex=3&amp;refID=7067168&amp;Result=3","7067168")</f>
        <v>0</v>
      </c>
      <c r="B6502" t="s">
        <v>72</v>
      </c>
      <c r="C6502" t="s">
        <v>9579</v>
      </c>
      <c r="D6502" t="s">
        <v>16644</v>
      </c>
      <c r="E6502" t="s">
        <v>22433</v>
      </c>
      <c r="F6502" t="s">
        <v>28669</v>
      </c>
      <c r="G6502" t="s">
        <v>28675</v>
      </c>
      <c r="H6502" t="s">
        <v>28686</v>
      </c>
      <c r="I6502" t="s">
        <v>28689</v>
      </c>
      <c r="J6502" t="s">
        <v>32917</v>
      </c>
      <c r="K6502" t="s">
        <v>37211</v>
      </c>
      <c r="M6502" t="s">
        <v>37547</v>
      </c>
      <c r="N6502" t="s">
        <v>41249</v>
      </c>
      <c r="O6502" t="s">
        <v>41250</v>
      </c>
      <c r="P6502">
        <v>0</v>
      </c>
      <c r="Q6502">
        <v>2</v>
      </c>
      <c r="R6502" t="s">
        <v>41257</v>
      </c>
      <c r="S6502" t="s">
        <v>41461</v>
      </c>
      <c r="T6502" t="s">
        <v>42782</v>
      </c>
      <c r="U6502" t="s">
        <v>48567</v>
      </c>
      <c r="V6502" t="s">
        <v>55011</v>
      </c>
      <c r="W6502" t="s">
        <v>55934</v>
      </c>
      <c r="X6502" t="s">
        <v>41259</v>
      </c>
    </row>
    <row r="6503" spans="1:24">
      <c r="A6503">
        <f>HYPERLINK("https://www.philgeps.gov.ph/GEPSNONPILOT/Tender/SplashBidNoticeAbstractUI.aspx?menuIndex=3&amp;refID=7067479&amp;Result=3","7067479")</f>
        <v>0</v>
      </c>
      <c r="B6503" t="s">
        <v>2144</v>
      </c>
      <c r="C6503" t="s">
        <v>9580</v>
      </c>
      <c r="D6503" t="s">
        <v>16686</v>
      </c>
      <c r="E6503" t="s">
        <v>22434</v>
      </c>
      <c r="F6503" t="s">
        <v>28669</v>
      </c>
      <c r="G6503" t="s">
        <v>28675</v>
      </c>
      <c r="H6503" t="s">
        <v>9998</v>
      </c>
      <c r="I6503" t="s">
        <v>28708</v>
      </c>
      <c r="J6503" t="s">
        <v>32918</v>
      </c>
      <c r="K6503" t="s">
        <v>37209</v>
      </c>
      <c r="M6503" t="s">
        <v>39789</v>
      </c>
      <c r="N6503" t="s">
        <v>41249</v>
      </c>
      <c r="O6503" t="s">
        <v>41250</v>
      </c>
      <c r="P6503">
        <v>0</v>
      </c>
      <c r="Q6503">
        <v>0</v>
      </c>
      <c r="R6503" t="s">
        <v>41257</v>
      </c>
      <c r="S6503" t="s">
        <v>41461</v>
      </c>
      <c r="T6503" t="s">
        <v>42754</v>
      </c>
      <c r="U6503" t="s">
        <v>48568</v>
      </c>
      <c r="W6503" t="s">
        <v>39789</v>
      </c>
      <c r="X6503" t="s">
        <v>41258</v>
      </c>
    </row>
    <row r="6504" spans="1:24">
      <c r="A6504">
        <f>HYPERLINK("https://www.philgeps.gov.ph/GEPSNONPILOT/Tender/SplashBidNoticeAbstractUI.aspx?menuIndex=3&amp;refID=7067476&amp;Result=3","7067476")</f>
        <v>0</v>
      </c>
      <c r="B6504" t="s">
        <v>2145</v>
      </c>
      <c r="C6504" t="s">
        <v>9581</v>
      </c>
      <c r="D6504" t="s">
        <v>16620</v>
      </c>
      <c r="E6504" t="s">
        <v>22435</v>
      </c>
      <c r="F6504" t="s">
        <v>28669</v>
      </c>
      <c r="G6504" t="s">
        <v>28675</v>
      </c>
      <c r="H6504" t="s">
        <v>9998</v>
      </c>
      <c r="I6504" t="s">
        <v>28695</v>
      </c>
      <c r="J6504" t="s">
        <v>32919</v>
      </c>
      <c r="K6504" t="s">
        <v>37210</v>
      </c>
      <c r="M6504" t="s">
        <v>39790</v>
      </c>
      <c r="N6504" t="s">
        <v>41249</v>
      </c>
      <c r="O6504" t="s">
        <v>41250</v>
      </c>
      <c r="P6504">
        <v>0</v>
      </c>
      <c r="Q6504">
        <v>0</v>
      </c>
      <c r="R6504" t="s">
        <v>41257</v>
      </c>
      <c r="S6504" t="s">
        <v>41461</v>
      </c>
      <c r="T6504" t="s">
        <v>42703</v>
      </c>
      <c r="U6504" t="s">
        <v>48569</v>
      </c>
      <c r="V6504" t="s">
        <v>55012</v>
      </c>
      <c r="W6504" t="s">
        <v>39790</v>
      </c>
      <c r="X6504" t="s">
        <v>41258</v>
      </c>
    </row>
    <row r="6505" spans="1:24">
      <c r="A6505">
        <f>HYPERLINK("https://www.philgeps.gov.ph/GEPSNONPILOT/Tender/SplashBidNoticeAbstractUI.aspx?menuIndex=3&amp;refID=7067472&amp;Result=3","7067472")</f>
        <v>0</v>
      </c>
      <c r="B6505" t="s">
        <v>126</v>
      </c>
      <c r="C6505" t="s">
        <v>9582</v>
      </c>
      <c r="D6505" t="s">
        <v>16608</v>
      </c>
      <c r="E6505" t="s">
        <v>22436</v>
      </c>
      <c r="F6505" t="s">
        <v>28669</v>
      </c>
      <c r="G6505" t="s">
        <v>28675</v>
      </c>
      <c r="H6505" t="s">
        <v>28686</v>
      </c>
      <c r="I6505" t="s">
        <v>28689</v>
      </c>
      <c r="J6505" t="s">
        <v>32920</v>
      </c>
      <c r="K6505" t="s">
        <v>37209</v>
      </c>
      <c r="M6505" t="s">
        <v>37602</v>
      </c>
      <c r="N6505" t="s">
        <v>41249</v>
      </c>
      <c r="O6505" t="s">
        <v>41250</v>
      </c>
      <c r="P6505">
        <v>0</v>
      </c>
      <c r="Q6505">
        <v>7</v>
      </c>
      <c r="R6505" t="s">
        <v>41257</v>
      </c>
      <c r="S6505" t="s">
        <v>41461</v>
      </c>
      <c r="T6505" t="s">
        <v>42721</v>
      </c>
      <c r="U6505" t="s">
        <v>48570</v>
      </c>
      <c r="W6505" t="s">
        <v>37602</v>
      </c>
      <c r="X6505" t="s">
        <v>41258</v>
      </c>
    </row>
    <row r="6506" spans="1:24">
      <c r="A6506">
        <f>HYPERLINK("https://www.philgeps.gov.ph/GEPSNONPILOT/Tender/SplashBidNoticeAbstractUI.aspx?menuIndex=3&amp;refID=7067470&amp;Result=3","7067470")</f>
        <v>0</v>
      </c>
      <c r="B6506" t="s">
        <v>133</v>
      </c>
      <c r="C6506" t="s">
        <v>9583</v>
      </c>
      <c r="D6506" t="s">
        <v>16661</v>
      </c>
      <c r="E6506" t="s">
        <v>22437</v>
      </c>
      <c r="F6506" t="s">
        <v>28669</v>
      </c>
      <c r="G6506" t="s">
        <v>28675</v>
      </c>
      <c r="H6506" t="s">
        <v>28686</v>
      </c>
      <c r="I6506" t="s">
        <v>28689</v>
      </c>
      <c r="J6506" t="s">
        <v>32921</v>
      </c>
      <c r="K6506" t="s">
        <v>37258</v>
      </c>
      <c r="M6506" t="s">
        <v>37610</v>
      </c>
      <c r="N6506" t="s">
        <v>41249</v>
      </c>
      <c r="O6506" t="s">
        <v>41250</v>
      </c>
      <c r="P6506">
        <v>0</v>
      </c>
      <c r="Q6506">
        <v>0</v>
      </c>
      <c r="R6506" t="s">
        <v>41257</v>
      </c>
      <c r="S6506" t="s">
        <v>41461</v>
      </c>
      <c r="T6506" t="s">
        <v>42724</v>
      </c>
      <c r="U6506" t="s">
        <v>48571</v>
      </c>
      <c r="V6506" t="s">
        <v>55013</v>
      </c>
      <c r="W6506" t="s">
        <v>37610</v>
      </c>
      <c r="X6506" t="s">
        <v>41258</v>
      </c>
    </row>
    <row r="6507" spans="1:24">
      <c r="A6507">
        <f>HYPERLINK("https://www.philgeps.gov.ph/GEPSNONPILOT/Tender/SplashBidNoticeAbstractUI.aspx?menuIndex=3&amp;refID=7067371&amp;Result=3","7067371")</f>
        <v>0</v>
      </c>
      <c r="B6507" t="s">
        <v>2146</v>
      </c>
      <c r="C6507" t="s">
        <v>9584</v>
      </c>
      <c r="D6507" t="s">
        <v>16608</v>
      </c>
      <c r="E6507" t="s">
        <v>22438</v>
      </c>
      <c r="F6507" t="s">
        <v>28669</v>
      </c>
      <c r="G6507" t="s">
        <v>28676</v>
      </c>
      <c r="H6507" t="s">
        <v>9998</v>
      </c>
      <c r="I6507" t="s">
        <v>28735</v>
      </c>
      <c r="J6507" t="s">
        <v>28879</v>
      </c>
      <c r="K6507" t="s">
        <v>37205</v>
      </c>
      <c r="M6507" t="s">
        <v>39791</v>
      </c>
      <c r="N6507" t="s">
        <v>41249</v>
      </c>
      <c r="O6507" t="s">
        <v>41250</v>
      </c>
      <c r="P6507">
        <v>0</v>
      </c>
      <c r="Q6507">
        <v>6</v>
      </c>
      <c r="R6507" t="s">
        <v>41257</v>
      </c>
      <c r="S6507" t="s">
        <v>41461</v>
      </c>
      <c r="T6507" t="s">
        <v>42992</v>
      </c>
      <c r="U6507" t="s">
        <v>48572</v>
      </c>
      <c r="V6507" t="s">
        <v>55014</v>
      </c>
      <c r="W6507" t="s">
        <v>39791</v>
      </c>
      <c r="X6507" t="s">
        <v>41258</v>
      </c>
    </row>
    <row r="6508" spans="1:24">
      <c r="A6508">
        <f>HYPERLINK("https://www.philgeps.gov.ph/GEPSNONPILOT/Tender/SplashBidNoticeAbstractUI.aspx?menuIndex=3&amp;refID=7066627&amp;Result=3","7066627")</f>
        <v>0</v>
      </c>
      <c r="B6508" t="s">
        <v>2147</v>
      </c>
      <c r="C6508" t="s">
        <v>9585</v>
      </c>
      <c r="D6508" t="s">
        <v>16624</v>
      </c>
      <c r="E6508" t="s">
        <v>19349</v>
      </c>
      <c r="F6508" t="s">
        <v>28669</v>
      </c>
      <c r="G6508" t="s">
        <v>28675</v>
      </c>
      <c r="H6508" t="s">
        <v>28686</v>
      </c>
      <c r="I6508" t="s">
        <v>28689</v>
      </c>
      <c r="J6508" t="s">
        <v>28881</v>
      </c>
      <c r="K6508" t="s">
        <v>37220</v>
      </c>
      <c r="M6508" t="s">
        <v>39792</v>
      </c>
      <c r="N6508" t="s">
        <v>41249</v>
      </c>
      <c r="O6508" t="s">
        <v>41250</v>
      </c>
      <c r="P6508">
        <v>0</v>
      </c>
      <c r="Q6508">
        <v>0</v>
      </c>
      <c r="R6508" t="s">
        <v>41257</v>
      </c>
      <c r="S6508" t="s">
        <v>41461</v>
      </c>
      <c r="T6508" t="s">
        <v>42782</v>
      </c>
      <c r="U6508" t="s">
        <v>48573</v>
      </c>
      <c r="W6508" t="s">
        <v>39792</v>
      </c>
      <c r="X6508" t="s">
        <v>41259</v>
      </c>
    </row>
    <row r="6509" spans="1:24">
      <c r="A6509">
        <f>HYPERLINK("https://www.philgeps.gov.ph/GEPSNONPILOT/Tender/SplashBidNoticeAbstractUI.aspx?menuIndex=3&amp;refID=7067455&amp;Result=3","7067455")</f>
        <v>0</v>
      </c>
      <c r="B6509" t="s">
        <v>2134</v>
      </c>
      <c r="C6509" t="s">
        <v>9586</v>
      </c>
      <c r="D6509" t="s">
        <v>16676</v>
      </c>
      <c r="E6509" t="s">
        <v>22439</v>
      </c>
      <c r="F6509" t="s">
        <v>28669</v>
      </c>
      <c r="G6509" t="s">
        <v>28675</v>
      </c>
      <c r="H6509" t="s">
        <v>28686</v>
      </c>
      <c r="I6509" t="s">
        <v>28689</v>
      </c>
      <c r="J6509" t="s">
        <v>30840</v>
      </c>
      <c r="K6509" t="s">
        <v>37214</v>
      </c>
      <c r="M6509" t="s">
        <v>39779</v>
      </c>
      <c r="N6509" t="s">
        <v>41249</v>
      </c>
      <c r="O6509" t="s">
        <v>41250</v>
      </c>
      <c r="P6509">
        <v>0</v>
      </c>
      <c r="Q6509">
        <v>0</v>
      </c>
      <c r="R6509" t="s">
        <v>41257</v>
      </c>
      <c r="S6509" t="s">
        <v>41461</v>
      </c>
      <c r="T6509" t="s">
        <v>42911</v>
      </c>
      <c r="U6509" t="s">
        <v>48574</v>
      </c>
      <c r="V6509" t="s">
        <v>55015</v>
      </c>
      <c r="W6509" t="s">
        <v>39779</v>
      </c>
      <c r="X6509" t="s">
        <v>41258</v>
      </c>
    </row>
    <row r="6510" spans="1:24">
      <c r="A6510">
        <f>HYPERLINK("https://www.philgeps.gov.ph/GEPSNONPILOT/Tender/SplashBidNoticeAbstractUI.aspx?menuIndex=3&amp;refID=7067453&amp;Result=3","7067453")</f>
        <v>0</v>
      </c>
      <c r="B6510" t="s">
        <v>1972</v>
      </c>
      <c r="C6510" t="s">
        <v>9587</v>
      </c>
      <c r="D6510" t="s">
        <v>16615</v>
      </c>
      <c r="E6510" t="s">
        <v>22440</v>
      </c>
      <c r="F6510" t="s">
        <v>28669</v>
      </c>
      <c r="G6510" t="s">
        <v>28675</v>
      </c>
      <c r="H6510" t="s">
        <v>9998</v>
      </c>
      <c r="I6510" t="s">
        <v>28729</v>
      </c>
      <c r="J6510" t="s">
        <v>32922</v>
      </c>
      <c r="K6510" t="s">
        <v>37209</v>
      </c>
      <c r="M6510" t="s">
        <v>39606</v>
      </c>
      <c r="N6510" t="s">
        <v>41249</v>
      </c>
      <c r="O6510" t="s">
        <v>41250</v>
      </c>
      <c r="P6510">
        <v>0</v>
      </c>
      <c r="Q6510">
        <v>14</v>
      </c>
      <c r="R6510" t="s">
        <v>41257</v>
      </c>
      <c r="S6510" t="s">
        <v>41461</v>
      </c>
      <c r="T6510" t="s">
        <v>42673</v>
      </c>
      <c r="U6510" t="s">
        <v>48575</v>
      </c>
      <c r="W6510" t="s">
        <v>39606</v>
      </c>
      <c r="X6510" t="s">
        <v>41258</v>
      </c>
    </row>
    <row r="6511" spans="1:24">
      <c r="A6511">
        <f>HYPERLINK("https://www.philgeps.gov.ph/GEPSNONPILOT/Tender/SplashBidNoticeAbstractUI.aspx?menuIndex=3&amp;refID=7067320&amp;Result=3","7067320")</f>
        <v>0</v>
      </c>
      <c r="B6511" t="s">
        <v>2148</v>
      </c>
      <c r="C6511" t="s">
        <v>9588</v>
      </c>
      <c r="D6511" t="s">
        <v>16672</v>
      </c>
      <c r="E6511" t="s">
        <v>17202</v>
      </c>
      <c r="F6511" t="s">
        <v>28669</v>
      </c>
      <c r="G6511" t="s">
        <v>28675</v>
      </c>
      <c r="H6511" t="s">
        <v>9998</v>
      </c>
      <c r="I6511" t="s">
        <v>7352</v>
      </c>
      <c r="J6511" t="s">
        <v>32923</v>
      </c>
      <c r="K6511" t="s">
        <v>37210</v>
      </c>
      <c r="M6511" t="s">
        <v>39793</v>
      </c>
      <c r="N6511" t="s">
        <v>41249</v>
      </c>
      <c r="O6511" t="s">
        <v>41250</v>
      </c>
      <c r="P6511">
        <v>0</v>
      </c>
      <c r="Q6511">
        <v>0</v>
      </c>
      <c r="R6511" t="s">
        <v>41257</v>
      </c>
      <c r="S6511" t="s">
        <v>41461</v>
      </c>
      <c r="T6511" t="s">
        <v>42660</v>
      </c>
      <c r="U6511" t="s">
        <v>48576</v>
      </c>
      <c r="W6511" t="s">
        <v>39793</v>
      </c>
      <c r="X6511" t="s">
        <v>41259</v>
      </c>
    </row>
    <row r="6512" spans="1:24">
      <c r="A6512">
        <f>HYPERLINK("https://www.philgeps.gov.ph/GEPSNONPILOT/Tender/SplashBidNoticeAbstractUI.aspx?menuIndex=3&amp;refID=7067447&amp;Result=3","7067447")</f>
        <v>0</v>
      </c>
      <c r="B6512" t="s">
        <v>2149</v>
      </c>
      <c r="C6512" t="s">
        <v>9589</v>
      </c>
      <c r="D6512" t="s">
        <v>16676</v>
      </c>
      <c r="E6512" t="s">
        <v>22441</v>
      </c>
      <c r="F6512" t="s">
        <v>28669</v>
      </c>
      <c r="G6512" t="s">
        <v>28676</v>
      </c>
      <c r="H6512" t="s">
        <v>28686</v>
      </c>
      <c r="I6512" t="s">
        <v>28689</v>
      </c>
      <c r="J6512" t="s">
        <v>32924</v>
      </c>
      <c r="K6512" t="s">
        <v>37231</v>
      </c>
      <c r="M6512" t="s">
        <v>39794</v>
      </c>
      <c r="N6512" t="s">
        <v>41249</v>
      </c>
      <c r="O6512" t="s">
        <v>41250</v>
      </c>
      <c r="P6512">
        <v>0</v>
      </c>
      <c r="Q6512">
        <v>0</v>
      </c>
      <c r="R6512" t="s">
        <v>41257</v>
      </c>
      <c r="S6512" t="s">
        <v>41461</v>
      </c>
      <c r="T6512" t="s">
        <v>42711</v>
      </c>
      <c r="U6512" t="s">
        <v>48577</v>
      </c>
      <c r="W6512" t="s">
        <v>39794</v>
      </c>
      <c r="X6512" t="s">
        <v>41258</v>
      </c>
    </row>
    <row r="6513" spans="1:24">
      <c r="A6513">
        <f>HYPERLINK("https://www.philgeps.gov.ph/GEPSNONPILOT/Tender/SplashBidNoticeAbstractUI.aspx?menuIndex=3&amp;refID=7067445&amp;Result=3","7067445")</f>
        <v>0</v>
      </c>
      <c r="B6513" t="s">
        <v>2144</v>
      </c>
      <c r="C6513" t="s">
        <v>9590</v>
      </c>
      <c r="D6513" t="s">
        <v>16686</v>
      </c>
      <c r="E6513" t="s">
        <v>22442</v>
      </c>
      <c r="F6513" t="s">
        <v>28669</v>
      </c>
      <c r="G6513" t="s">
        <v>28675</v>
      </c>
      <c r="H6513" t="s">
        <v>9998</v>
      </c>
      <c r="I6513" t="s">
        <v>7352</v>
      </c>
      <c r="J6513" t="s">
        <v>32925</v>
      </c>
      <c r="K6513" t="s">
        <v>37209</v>
      </c>
      <c r="M6513" t="s">
        <v>39789</v>
      </c>
      <c r="N6513" t="s">
        <v>41249</v>
      </c>
      <c r="O6513" t="s">
        <v>41250</v>
      </c>
      <c r="P6513">
        <v>0</v>
      </c>
      <c r="Q6513">
        <v>1</v>
      </c>
      <c r="R6513" t="s">
        <v>41257</v>
      </c>
      <c r="S6513" t="s">
        <v>41461</v>
      </c>
      <c r="T6513" t="s">
        <v>42754</v>
      </c>
      <c r="U6513" t="s">
        <v>48578</v>
      </c>
      <c r="W6513" t="s">
        <v>39789</v>
      </c>
      <c r="X6513" t="s">
        <v>41258</v>
      </c>
    </row>
    <row r="6514" spans="1:24">
      <c r="A6514">
        <f>HYPERLINK("https://www.philgeps.gov.ph/GEPSNONPILOT/Tender/SplashBidNoticeAbstractUI.aspx?menuIndex=3&amp;refID=7067444&amp;Result=3","7067444")</f>
        <v>0</v>
      </c>
      <c r="B6514" t="s">
        <v>191</v>
      </c>
      <c r="C6514" t="s">
        <v>9591</v>
      </c>
      <c r="D6514" t="s">
        <v>16614</v>
      </c>
      <c r="E6514" t="s">
        <v>22443</v>
      </c>
      <c r="F6514" t="s">
        <v>28669</v>
      </c>
      <c r="G6514" t="s">
        <v>28676</v>
      </c>
      <c r="H6514" t="s">
        <v>9998</v>
      </c>
      <c r="I6514" t="s">
        <v>5286</v>
      </c>
      <c r="J6514" t="s">
        <v>32926</v>
      </c>
      <c r="K6514" t="s">
        <v>37220</v>
      </c>
      <c r="M6514" t="s">
        <v>37669</v>
      </c>
      <c r="N6514" t="s">
        <v>41249</v>
      </c>
      <c r="O6514" t="s">
        <v>41250</v>
      </c>
      <c r="P6514">
        <v>0</v>
      </c>
      <c r="Q6514">
        <v>0</v>
      </c>
      <c r="R6514" t="s">
        <v>41257</v>
      </c>
      <c r="S6514" t="s">
        <v>41461</v>
      </c>
      <c r="T6514" t="s">
        <v>43031</v>
      </c>
      <c r="U6514" t="s">
        <v>48579</v>
      </c>
      <c r="W6514" t="s">
        <v>37669</v>
      </c>
      <c r="X6514" t="s">
        <v>41258</v>
      </c>
    </row>
    <row r="6515" spans="1:24">
      <c r="A6515">
        <f>HYPERLINK("https://www.philgeps.gov.ph/GEPSNONPILOT/Tender/SplashBidNoticeAbstractUI.aspx?menuIndex=3&amp;refID=7067456&amp;Result=3","7067456")</f>
        <v>0</v>
      </c>
      <c r="B6515" t="s">
        <v>133</v>
      </c>
      <c r="C6515" t="s">
        <v>9592</v>
      </c>
      <c r="D6515" t="s">
        <v>16661</v>
      </c>
      <c r="E6515" t="s">
        <v>22444</v>
      </c>
      <c r="F6515" t="s">
        <v>28669</v>
      </c>
      <c r="G6515" t="s">
        <v>28675</v>
      </c>
      <c r="H6515" t="s">
        <v>28686</v>
      </c>
      <c r="I6515" t="s">
        <v>28689</v>
      </c>
      <c r="J6515" t="s">
        <v>32927</v>
      </c>
      <c r="K6515" t="s">
        <v>37215</v>
      </c>
      <c r="M6515" t="s">
        <v>37610</v>
      </c>
      <c r="N6515" t="s">
        <v>41249</v>
      </c>
      <c r="O6515" t="s">
        <v>41250</v>
      </c>
      <c r="P6515">
        <v>0</v>
      </c>
      <c r="Q6515">
        <v>0</v>
      </c>
      <c r="R6515" t="s">
        <v>41257</v>
      </c>
      <c r="S6515" t="s">
        <v>41461</v>
      </c>
      <c r="T6515" t="s">
        <v>42724</v>
      </c>
      <c r="U6515" t="s">
        <v>48580</v>
      </c>
      <c r="V6515" t="s">
        <v>55016</v>
      </c>
      <c r="W6515" t="s">
        <v>37610</v>
      </c>
      <c r="X6515" t="s">
        <v>41258</v>
      </c>
    </row>
    <row r="6516" spans="1:24">
      <c r="A6516">
        <f>HYPERLINK("https://www.philgeps.gov.ph/GEPSNONPILOT/Tender/SplashBidNoticeAbstractUI.aspx?menuIndex=3&amp;refID=7067438&amp;Result=3","7067438")</f>
        <v>0</v>
      </c>
      <c r="B6516" t="s">
        <v>2150</v>
      </c>
      <c r="C6516" t="s">
        <v>9593</v>
      </c>
      <c r="D6516" t="s">
        <v>16654</v>
      </c>
      <c r="E6516" t="s">
        <v>22445</v>
      </c>
      <c r="F6516" t="s">
        <v>28669</v>
      </c>
      <c r="G6516" t="s">
        <v>28675</v>
      </c>
      <c r="H6516" t="s">
        <v>28686</v>
      </c>
      <c r="I6516" t="s">
        <v>28689</v>
      </c>
      <c r="J6516" t="s">
        <v>28836</v>
      </c>
      <c r="K6516" t="s">
        <v>37253</v>
      </c>
      <c r="M6516" t="s">
        <v>39795</v>
      </c>
      <c r="N6516" t="s">
        <v>41249</v>
      </c>
      <c r="O6516" t="s">
        <v>41250</v>
      </c>
      <c r="P6516">
        <v>0</v>
      </c>
      <c r="Q6516">
        <v>2</v>
      </c>
      <c r="R6516" t="s">
        <v>41257</v>
      </c>
      <c r="S6516" t="s">
        <v>41461</v>
      </c>
      <c r="T6516" t="s">
        <v>42738</v>
      </c>
      <c r="U6516" t="s">
        <v>48581</v>
      </c>
      <c r="W6516" t="s">
        <v>39795</v>
      </c>
      <c r="X6516" t="s">
        <v>41258</v>
      </c>
    </row>
    <row r="6517" spans="1:24">
      <c r="A6517">
        <f>HYPERLINK("https://www.philgeps.gov.ph/GEPSNONPILOT/Tender/SplashBidNoticeAbstractUI.aspx?menuIndex=3&amp;refID=7067437&amp;Result=3","7067437")</f>
        <v>0</v>
      </c>
      <c r="B6517" t="s">
        <v>2151</v>
      </c>
      <c r="C6517" t="s">
        <v>9594</v>
      </c>
      <c r="D6517" t="s">
        <v>16622</v>
      </c>
      <c r="E6517" t="s">
        <v>18338</v>
      </c>
      <c r="F6517" t="s">
        <v>28671</v>
      </c>
      <c r="G6517" t="s">
        <v>28676</v>
      </c>
      <c r="H6517" t="s">
        <v>9998</v>
      </c>
      <c r="I6517" t="s">
        <v>28754</v>
      </c>
      <c r="J6517" t="s">
        <v>32928</v>
      </c>
      <c r="K6517" t="s">
        <v>37204</v>
      </c>
      <c r="M6517" t="s">
        <v>39796</v>
      </c>
      <c r="N6517" t="s">
        <v>41249</v>
      </c>
      <c r="O6517" t="s">
        <v>41250</v>
      </c>
      <c r="P6517">
        <v>0</v>
      </c>
      <c r="Q6517">
        <v>8</v>
      </c>
      <c r="R6517" t="s">
        <v>41257</v>
      </c>
      <c r="S6517" t="s">
        <v>41461</v>
      </c>
      <c r="T6517" t="s">
        <v>42741</v>
      </c>
      <c r="U6517" t="s">
        <v>48582</v>
      </c>
      <c r="W6517" t="s">
        <v>39796</v>
      </c>
      <c r="X6517" t="s">
        <v>41258</v>
      </c>
    </row>
    <row r="6518" spans="1:24">
      <c r="A6518">
        <f>HYPERLINK("https://www.philgeps.gov.ph/GEPSNONPILOT/Tender/SplashBidNoticeAbstractUI.aspx?menuIndex=3&amp;refID=7067434&amp;Result=3","7067434")</f>
        <v>0</v>
      </c>
      <c r="B6518" t="s">
        <v>2144</v>
      </c>
      <c r="C6518" t="s">
        <v>9595</v>
      </c>
      <c r="D6518" t="s">
        <v>16686</v>
      </c>
      <c r="E6518" t="s">
        <v>22446</v>
      </c>
      <c r="F6518" t="s">
        <v>28669</v>
      </c>
      <c r="G6518" t="s">
        <v>28675</v>
      </c>
      <c r="H6518" t="s">
        <v>28686</v>
      </c>
      <c r="I6518" t="s">
        <v>28689</v>
      </c>
      <c r="J6518" t="s">
        <v>32929</v>
      </c>
      <c r="K6518" t="s">
        <v>37209</v>
      </c>
      <c r="M6518" t="s">
        <v>39789</v>
      </c>
      <c r="N6518" t="s">
        <v>41249</v>
      </c>
      <c r="O6518" t="s">
        <v>41250</v>
      </c>
      <c r="P6518">
        <v>0</v>
      </c>
      <c r="Q6518">
        <v>0</v>
      </c>
      <c r="R6518" t="s">
        <v>41257</v>
      </c>
      <c r="S6518" t="s">
        <v>41461</v>
      </c>
      <c r="T6518" t="s">
        <v>42671</v>
      </c>
      <c r="U6518" t="s">
        <v>48583</v>
      </c>
      <c r="W6518" t="s">
        <v>39789</v>
      </c>
      <c r="X6518" t="s">
        <v>41258</v>
      </c>
    </row>
    <row r="6519" spans="1:24">
      <c r="A6519">
        <f>HYPERLINK("https://www.philgeps.gov.ph/GEPSNONPILOT/Tender/SplashBidNoticeAbstractUI.aspx?menuIndex=3&amp;refID=7067429&amp;Result=3","7067429")</f>
        <v>0</v>
      </c>
      <c r="B6519" t="s">
        <v>133</v>
      </c>
      <c r="C6519" t="s">
        <v>9596</v>
      </c>
      <c r="D6519" t="s">
        <v>16661</v>
      </c>
      <c r="E6519" t="s">
        <v>22447</v>
      </c>
      <c r="F6519" t="s">
        <v>28669</v>
      </c>
      <c r="G6519" t="s">
        <v>28675</v>
      </c>
      <c r="H6519" t="s">
        <v>28686</v>
      </c>
      <c r="I6519" t="s">
        <v>28689</v>
      </c>
      <c r="J6519" t="s">
        <v>32930</v>
      </c>
      <c r="K6519" t="s">
        <v>37213</v>
      </c>
      <c r="M6519" t="s">
        <v>37610</v>
      </c>
      <c r="N6519" t="s">
        <v>41249</v>
      </c>
      <c r="O6519" t="s">
        <v>41250</v>
      </c>
      <c r="P6519">
        <v>0</v>
      </c>
      <c r="Q6519">
        <v>0</v>
      </c>
      <c r="R6519" t="s">
        <v>41257</v>
      </c>
      <c r="S6519" t="s">
        <v>41461</v>
      </c>
      <c r="T6519" t="s">
        <v>42724</v>
      </c>
      <c r="U6519" t="s">
        <v>48584</v>
      </c>
      <c r="V6519" t="s">
        <v>55013</v>
      </c>
      <c r="W6519" t="s">
        <v>37610</v>
      </c>
      <c r="X6519" t="s">
        <v>41258</v>
      </c>
    </row>
    <row r="6520" spans="1:24">
      <c r="A6520">
        <f>HYPERLINK("https://www.philgeps.gov.ph/GEPSNONPILOT/Tender/SplashBidNoticeAbstractUI.aspx?menuIndex=3&amp;refID=7067454&amp;Result=3","7067454")</f>
        <v>0</v>
      </c>
      <c r="B6520" t="s">
        <v>2144</v>
      </c>
      <c r="C6520" t="s">
        <v>9597</v>
      </c>
      <c r="D6520" t="s">
        <v>16686</v>
      </c>
      <c r="E6520" t="s">
        <v>22448</v>
      </c>
      <c r="F6520" t="s">
        <v>28669</v>
      </c>
      <c r="G6520" t="s">
        <v>28675</v>
      </c>
      <c r="H6520" t="s">
        <v>9998</v>
      </c>
      <c r="I6520" t="s">
        <v>28695</v>
      </c>
      <c r="J6520" t="s">
        <v>32931</v>
      </c>
      <c r="K6520" t="s">
        <v>37209</v>
      </c>
      <c r="M6520" t="s">
        <v>39789</v>
      </c>
      <c r="N6520" t="s">
        <v>41249</v>
      </c>
      <c r="O6520" t="s">
        <v>41250</v>
      </c>
      <c r="P6520">
        <v>0</v>
      </c>
      <c r="Q6520">
        <v>1</v>
      </c>
      <c r="R6520" t="s">
        <v>41257</v>
      </c>
      <c r="S6520" t="s">
        <v>41461</v>
      </c>
      <c r="T6520" t="s">
        <v>42754</v>
      </c>
      <c r="U6520" t="s">
        <v>48585</v>
      </c>
      <c r="W6520" t="s">
        <v>39789</v>
      </c>
      <c r="X6520" t="s">
        <v>41258</v>
      </c>
    </row>
    <row r="6521" spans="1:24">
      <c r="A6521">
        <f>HYPERLINK("https://www.philgeps.gov.ph/GEPSNONPILOT/Tender/SplashBidNoticeAbstractUI.aspx?menuIndex=3&amp;refID=7067423&amp;Result=3","7067423")</f>
        <v>0</v>
      </c>
      <c r="B6521" t="s">
        <v>2152</v>
      </c>
      <c r="C6521" t="s">
        <v>9598</v>
      </c>
      <c r="D6521" t="s">
        <v>16616</v>
      </c>
      <c r="E6521" t="s">
        <v>22449</v>
      </c>
      <c r="F6521" t="s">
        <v>28669</v>
      </c>
      <c r="G6521" t="s">
        <v>28675</v>
      </c>
      <c r="H6521" t="s">
        <v>9998</v>
      </c>
      <c r="I6521" t="s">
        <v>28743</v>
      </c>
      <c r="J6521" t="s">
        <v>32932</v>
      </c>
      <c r="K6521" t="s">
        <v>37205</v>
      </c>
      <c r="M6521" t="s">
        <v>39797</v>
      </c>
      <c r="N6521" t="s">
        <v>41249</v>
      </c>
      <c r="O6521" t="s">
        <v>41250</v>
      </c>
      <c r="P6521">
        <v>0</v>
      </c>
      <c r="Q6521">
        <v>0</v>
      </c>
      <c r="R6521" t="s">
        <v>41257</v>
      </c>
      <c r="S6521" t="s">
        <v>41461</v>
      </c>
      <c r="T6521" t="s">
        <v>42782</v>
      </c>
      <c r="U6521" t="s">
        <v>48586</v>
      </c>
      <c r="V6521" t="s">
        <v>55017</v>
      </c>
      <c r="W6521" t="s">
        <v>39797</v>
      </c>
      <c r="X6521" t="s">
        <v>41258</v>
      </c>
    </row>
    <row r="6522" spans="1:24">
      <c r="A6522">
        <f>HYPERLINK("https://www.philgeps.gov.ph/GEPSNONPILOT/Tender/SplashBidNoticeAbstractUI.aspx?menuIndex=3&amp;refID=7067419&amp;Result=3","7067419")</f>
        <v>0</v>
      </c>
      <c r="B6522" t="s">
        <v>2153</v>
      </c>
      <c r="C6522" t="s">
        <v>9599</v>
      </c>
      <c r="D6522" t="s">
        <v>16630</v>
      </c>
      <c r="E6522" t="s">
        <v>22450</v>
      </c>
      <c r="F6522" t="s">
        <v>28669</v>
      </c>
      <c r="G6522" t="s">
        <v>28675</v>
      </c>
      <c r="H6522" t="s">
        <v>9998</v>
      </c>
      <c r="I6522" t="s">
        <v>7352</v>
      </c>
      <c r="J6522" t="s">
        <v>32933</v>
      </c>
      <c r="K6522" t="s">
        <v>37211</v>
      </c>
      <c r="M6522" t="s">
        <v>39798</v>
      </c>
      <c r="N6522" t="s">
        <v>41249</v>
      </c>
      <c r="O6522" t="s">
        <v>41250</v>
      </c>
      <c r="P6522">
        <v>0</v>
      </c>
      <c r="Q6522">
        <v>0</v>
      </c>
      <c r="R6522" t="s">
        <v>41257</v>
      </c>
      <c r="S6522" t="s">
        <v>41461</v>
      </c>
      <c r="T6522" t="s">
        <v>42779</v>
      </c>
      <c r="U6522" t="s">
        <v>48587</v>
      </c>
      <c r="W6522" t="s">
        <v>39798</v>
      </c>
      <c r="X6522" t="s">
        <v>41258</v>
      </c>
    </row>
    <row r="6523" spans="1:24">
      <c r="A6523">
        <f>HYPERLINK("https://www.philgeps.gov.ph/GEPSNONPILOT/Tender/SplashBidNoticeAbstractUI.aspx?menuIndex=3&amp;refID=7067020&amp;Result=3","7067020")</f>
        <v>0</v>
      </c>
      <c r="B6523" t="s">
        <v>810</v>
      </c>
      <c r="C6523" t="s">
        <v>9600</v>
      </c>
      <c r="D6523" t="s">
        <v>16689</v>
      </c>
      <c r="E6523" t="s">
        <v>22451</v>
      </c>
      <c r="F6523" t="s">
        <v>28669</v>
      </c>
      <c r="G6523" t="s">
        <v>28675</v>
      </c>
      <c r="H6523" t="s">
        <v>9998</v>
      </c>
      <c r="I6523" t="s">
        <v>28693</v>
      </c>
      <c r="J6523" t="s">
        <v>29112</v>
      </c>
      <c r="K6523" t="s">
        <v>37206</v>
      </c>
      <c r="M6523" t="s">
        <v>38325</v>
      </c>
      <c r="N6523" t="s">
        <v>41249</v>
      </c>
      <c r="O6523" t="s">
        <v>41250</v>
      </c>
      <c r="P6523">
        <v>0</v>
      </c>
      <c r="Q6523">
        <v>26</v>
      </c>
      <c r="R6523" t="s">
        <v>41257</v>
      </c>
      <c r="S6523" t="s">
        <v>41461</v>
      </c>
      <c r="T6523" t="s">
        <v>43029</v>
      </c>
      <c r="U6523" t="s">
        <v>48588</v>
      </c>
      <c r="W6523" t="s">
        <v>38325</v>
      </c>
      <c r="X6523" t="s">
        <v>41259</v>
      </c>
    </row>
    <row r="6524" spans="1:24">
      <c r="A6524">
        <f>HYPERLINK("https://www.philgeps.gov.ph/GEPSNONPILOT/Tender/SplashBidNoticeAbstractUI.aspx?menuIndex=3&amp;refID=7066989&amp;Result=3","7066989")</f>
        <v>0</v>
      </c>
      <c r="B6524" t="s">
        <v>2154</v>
      </c>
      <c r="C6524" t="s">
        <v>9601</v>
      </c>
      <c r="D6524" t="s">
        <v>16608</v>
      </c>
      <c r="E6524" t="s">
        <v>22452</v>
      </c>
      <c r="F6524" t="s">
        <v>28672</v>
      </c>
      <c r="G6524" t="s">
        <v>28675</v>
      </c>
      <c r="H6524" t="s">
        <v>9998</v>
      </c>
      <c r="I6524" t="s">
        <v>5213</v>
      </c>
      <c r="J6524" t="s">
        <v>29034</v>
      </c>
      <c r="K6524" t="s">
        <v>37204</v>
      </c>
      <c r="M6524" t="s">
        <v>39799</v>
      </c>
      <c r="N6524" t="s">
        <v>41249</v>
      </c>
      <c r="O6524" t="s">
        <v>41250</v>
      </c>
      <c r="P6524">
        <v>0</v>
      </c>
      <c r="Q6524">
        <v>1</v>
      </c>
      <c r="R6524" t="s">
        <v>41257</v>
      </c>
      <c r="S6524" t="s">
        <v>41461</v>
      </c>
      <c r="T6524" t="s">
        <v>42999</v>
      </c>
      <c r="U6524" t="s">
        <v>48589</v>
      </c>
      <c r="W6524" t="s">
        <v>39799</v>
      </c>
      <c r="X6524" t="s">
        <v>41259</v>
      </c>
    </row>
    <row r="6525" spans="1:24">
      <c r="A6525">
        <f>HYPERLINK("https://www.philgeps.gov.ph/GEPSNONPILOT/Tender/SplashBidNoticeAbstractUI.aspx?menuIndex=3&amp;refID=7066429&amp;Result=3","7066429")</f>
        <v>0</v>
      </c>
      <c r="B6525" t="s">
        <v>1423</v>
      </c>
      <c r="C6525" t="s">
        <v>9602</v>
      </c>
      <c r="D6525" t="s">
        <v>16635</v>
      </c>
      <c r="E6525" t="s">
        <v>22453</v>
      </c>
      <c r="F6525" t="s">
        <v>28669</v>
      </c>
      <c r="G6525" t="s">
        <v>28675</v>
      </c>
      <c r="H6525" t="s">
        <v>28686</v>
      </c>
      <c r="I6525" t="s">
        <v>28689</v>
      </c>
      <c r="J6525" t="s">
        <v>32934</v>
      </c>
      <c r="K6525" t="s">
        <v>37218</v>
      </c>
      <c r="M6525" t="s">
        <v>38986</v>
      </c>
      <c r="N6525" t="s">
        <v>41249</v>
      </c>
      <c r="O6525" t="s">
        <v>41250</v>
      </c>
      <c r="P6525">
        <v>0</v>
      </c>
      <c r="Q6525">
        <v>2</v>
      </c>
      <c r="R6525" t="s">
        <v>41257</v>
      </c>
      <c r="S6525" t="s">
        <v>41461</v>
      </c>
      <c r="T6525" t="s">
        <v>42704</v>
      </c>
      <c r="U6525" t="s">
        <v>48531</v>
      </c>
      <c r="W6525" t="s">
        <v>38986</v>
      </c>
      <c r="X6525" t="s">
        <v>41259</v>
      </c>
    </row>
    <row r="6526" spans="1:24">
      <c r="A6526">
        <f>HYPERLINK("https://www.philgeps.gov.ph/GEPSNONPILOT/Tender/SplashBidNoticeAbstractUI.aspx?menuIndex=3&amp;refID=7067483&amp;Result=3","7067483")</f>
        <v>0</v>
      </c>
      <c r="B6526" t="s">
        <v>2155</v>
      </c>
      <c r="C6526" t="s">
        <v>9603</v>
      </c>
      <c r="D6526" t="s">
        <v>16627</v>
      </c>
      <c r="E6526" t="s">
        <v>22454</v>
      </c>
      <c r="F6526" t="s">
        <v>28671</v>
      </c>
      <c r="G6526" t="s">
        <v>28675</v>
      </c>
      <c r="H6526" t="s">
        <v>9998</v>
      </c>
      <c r="I6526" t="s">
        <v>5286</v>
      </c>
      <c r="J6526" t="s">
        <v>32935</v>
      </c>
      <c r="K6526" t="s">
        <v>37206</v>
      </c>
      <c r="M6526" t="s">
        <v>39800</v>
      </c>
      <c r="N6526" t="s">
        <v>41249</v>
      </c>
      <c r="O6526" t="s">
        <v>41250</v>
      </c>
      <c r="P6526">
        <v>0</v>
      </c>
      <c r="Q6526">
        <v>2</v>
      </c>
      <c r="R6526" t="s">
        <v>41257</v>
      </c>
      <c r="S6526" t="s">
        <v>41461</v>
      </c>
      <c r="T6526" t="s">
        <v>42796</v>
      </c>
      <c r="U6526" t="s">
        <v>48590</v>
      </c>
      <c r="V6526" t="s">
        <v>55018</v>
      </c>
      <c r="W6526" t="s">
        <v>39800</v>
      </c>
      <c r="X6526" t="s">
        <v>41258</v>
      </c>
    </row>
    <row r="6527" spans="1:24">
      <c r="A6527">
        <f>HYPERLINK("https://www.philgeps.gov.ph/GEPSNONPILOT/Tender/SplashBidNoticeAbstractUI.aspx?menuIndex=3&amp;refID=7067524&amp;Result=3","7067524")</f>
        <v>0</v>
      </c>
      <c r="B6527" t="s">
        <v>988</v>
      </c>
      <c r="C6527" t="s">
        <v>9604</v>
      </c>
      <c r="D6527" t="s">
        <v>16635</v>
      </c>
      <c r="E6527" t="s">
        <v>22455</v>
      </c>
      <c r="F6527" t="s">
        <v>28669</v>
      </c>
      <c r="G6527" t="s">
        <v>28678</v>
      </c>
      <c r="H6527" t="s">
        <v>9998</v>
      </c>
      <c r="I6527" t="s">
        <v>28754</v>
      </c>
      <c r="J6527" t="s">
        <v>28826</v>
      </c>
      <c r="K6527" t="s">
        <v>37206</v>
      </c>
      <c r="M6527" t="s">
        <v>39801</v>
      </c>
      <c r="N6527" t="s">
        <v>41249</v>
      </c>
      <c r="O6527" t="s">
        <v>41250</v>
      </c>
      <c r="P6527">
        <v>0</v>
      </c>
      <c r="Q6527">
        <v>5</v>
      </c>
      <c r="R6527" t="s">
        <v>41257</v>
      </c>
      <c r="S6527" t="s">
        <v>41461</v>
      </c>
      <c r="T6527" t="s">
        <v>42690</v>
      </c>
      <c r="U6527" t="s">
        <v>48591</v>
      </c>
      <c r="W6527" t="s">
        <v>39801</v>
      </c>
      <c r="X6527" t="s">
        <v>41258</v>
      </c>
    </row>
    <row r="6528" spans="1:24">
      <c r="A6528">
        <f>HYPERLINK("https://www.philgeps.gov.ph/GEPSNONPILOT/Tender/SplashBidNoticeAbstractUI.aspx?menuIndex=3&amp;refID=7067535&amp;Result=3","7067535")</f>
        <v>0</v>
      </c>
      <c r="B6528" t="s">
        <v>2156</v>
      </c>
      <c r="C6528" t="s">
        <v>9605</v>
      </c>
      <c r="D6528" t="s">
        <v>16628</v>
      </c>
      <c r="E6528" t="s">
        <v>22456</v>
      </c>
      <c r="F6528" t="s">
        <v>28669</v>
      </c>
      <c r="G6528" t="s">
        <v>28675</v>
      </c>
      <c r="H6528" t="s">
        <v>9998</v>
      </c>
      <c r="I6528" t="s">
        <v>28690</v>
      </c>
      <c r="J6528" t="s">
        <v>29364</v>
      </c>
      <c r="K6528" t="s">
        <v>37209</v>
      </c>
      <c r="M6528" t="s">
        <v>39802</v>
      </c>
      <c r="N6528" t="s">
        <v>41249</v>
      </c>
      <c r="O6528" t="s">
        <v>41250</v>
      </c>
      <c r="P6528">
        <v>0</v>
      </c>
      <c r="Q6528">
        <v>0</v>
      </c>
      <c r="R6528" t="s">
        <v>41257</v>
      </c>
      <c r="S6528" t="s">
        <v>41461</v>
      </c>
      <c r="T6528" t="s">
        <v>42754</v>
      </c>
      <c r="U6528" t="s">
        <v>48592</v>
      </c>
      <c r="W6528" t="s">
        <v>39802</v>
      </c>
      <c r="X6528" t="s">
        <v>41258</v>
      </c>
    </row>
    <row r="6529" spans="1:24">
      <c r="A6529">
        <f>HYPERLINK("https://www.philgeps.gov.ph/GEPSNONPILOT/Tender/SplashBidNoticeAbstractUI.aspx?menuIndex=3&amp;refID=7067152&amp;Result=3","7067152")</f>
        <v>0</v>
      </c>
      <c r="B6529" t="s">
        <v>72</v>
      </c>
      <c r="C6529" t="s">
        <v>9606</v>
      </c>
      <c r="D6529" t="s">
        <v>16644</v>
      </c>
      <c r="E6529" t="s">
        <v>22457</v>
      </c>
      <c r="F6529" t="s">
        <v>28669</v>
      </c>
      <c r="G6529" t="s">
        <v>28675</v>
      </c>
      <c r="H6529" t="s">
        <v>28686</v>
      </c>
      <c r="I6529" t="s">
        <v>28689</v>
      </c>
      <c r="J6529" t="s">
        <v>32902</v>
      </c>
      <c r="K6529" t="s">
        <v>37371</v>
      </c>
      <c r="M6529" t="s">
        <v>37547</v>
      </c>
      <c r="N6529" t="s">
        <v>41249</v>
      </c>
      <c r="O6529" t="s">
        <v>41250</v>
      </c>
      <c r="P6529">
        <v>0</v>
      </c>
      <c r="Q6529">
        <v>2</v>
      </c>
      <c r="R6529" t="s">
        <v>41257</v>
      </c>
      <c r="S6529" t="s">
        <v>41461</v>
      </c>
      <c r="T6529" t="s">
        <v>42782</v>
      </c>
      <c r="U6529" t="s">
        <v>48593</v>
      </c>
      <c r="V6529" t="s">
        <v>55019</v>
      </c>
      <c r="W6529" t="s">
        <v>55934</v>
      </c>
      <c r="X6529" t="s">
        <v>41259</v>
      </c>
    </row>
    <row r="6530" spans="1:24">
      <c r="A6530">
        <f>HYPERLINK("https://www.philgeps.gov.ph/GEPSNONPILOT/Tender/SplashBidNoticeAbstractUI.aspx?menuIndex=3&amp;refID=7066993&amp;Result=3","7066993")</f>
        <v>0</v>
      </c>
      <c r="B6530" t="s">
        <v>2133</v>
      </c>
      <c r="C6530" t="s">
        <v>9607</v>
      </c>
      <c r="D6530" t="s">
        <v>16637</v>
      </c>
      <c r="E6530" t="s">
        <v>22458</v>
      </c>
      <c r="F6530" t="s">
        <v>28669</v>
      </c>
      <c r="G6530" t="s">
        <v>28675</v>
      </c>
      <c r="H6530" t="s">
        <v>9998</v>
      </c>
      <c r="I6530" t="s">
        <v>5213</v>
      </c>
      <c r="J6530" t="s">
        <v>32936</v>
      </c>
      <c r="K6530" t="s">
        <v>37204</v>
      </c>
      <c r="M6530" t="s">
        <v>39778</v>
      </c>
      <c r="N6530" t="s">
        <v>41249</v>
      </c>
      <c r="O6530" t="s">
        <v>41250</v>
      </c>
      <c r="P6530">
        <v>0</v>
      </c>
      <c r="Q6530">
        <v>8</v>
      </c>
      <c r="R6530" t="s">
        <v>41257</v>
      </c>
      <c r="S6530" t="s">
        <v>41461</v>
      </c>
      <c r="T6530" t="s">
        <v>42668</v>
      </c>
      <c r="U6530" t="s">
        <v>48594</v>
      </c>
      <c r="W6530" t="s">
        <v>39778</v>
      </c>
      <c r="X6530" t="s">
        <v>41259</v>
      </c>
    </row>
    <row r="6531" spans="1:24">
      <c r="A6531">
        <f>HYPERLINK("https://www.philgeps.gov.ph/GEPSNONPILOT/Tender/SplashBidNoticeAbstractUI.aspx?menuIndex=3&amp;refID=7067439&amp;Result=3","7067439")</f>
        <v>0</v>
      </c>
      <c r="B6531" t="s">
        <v>829</v>
      </c>
      <c r="C6531" t="s">
        <v>9608</v>
      </c>
      <c r="D6531" t="s">
        <v>16640</v>
      </c>
      <c r="E6531" t="s">
        <v>22459</v>
      </c>
      <c r="F6531" t="s">
        <v>28669</v>
      </c>
      <c r="G6531" t="s">
        <v>28678</v>
      </c>
      <c r="H6531" t="s">
        <v>9998</v>
      </c>
      <c r="I6531" t="s">
        <v>6128</v>
      </c>
      <c r="J6531" t="s">
        <v>32937</v>
      </c>
      <c r="K6531" t="s">
        <v>37206</v>
      </c>
      <c r="L6531" t="s">
        <v>829</v>
      </c>
      <c r="M6531" t="s">
        <v>38345</v>
      </c>
      <c r="N6531" t="s">
        <v>41249</v>
      </c>
      <c r="O6531" t="s">
        <v>41250</v>
      </c>
      <c r="P6531">
        <v>0</v>
      </c>
      <c r="Q6531">
        <v>8</v>
      </c>
      <c r="R6531" t="s">
        <v>41257</v>
      </c>
      <c r="S6531" t="s">
        <v>41461</v>
      </c>
      <c r="T6531" t="s">
        <v>42883</v>
      </c>
      <c r="U6531" t="s">
        <v>48595</v>
      </c>
      <c r="W6531" t="s">
        <v>38345</v>
      </c>
      <c r="X6531" t="s">
        <v>41258</v>
      </c>
    </row>
    <row r="6532" spans="1:24">
      <c r="A6532">
        <f>HYPERLINK("https://www.philgeps.gov.ph/GEPSNONPILOT/Tender/SplashBidNoticeAbstractUI.aspx?menuIndex=3&amp;refID=7067531&amp;Result=3","7067531")</f>
        <v>0</v>
      </c>
      <c r="B6532" t="s">
        <v>2157</v>
      </c>
      <c r="C6532" t="s">
        <v>9609</v>
      </c>
      <c r="D6532" t="s">
        <v>16637</v>
      </c>
      <c r="E6532" t="s">
        <v>16807</v>
      </c>
      <c r="F6532" t="s">
        <v>28669</v>
      </c>
      <c r="G6532" t="s">
        <v>28678</v>
      </c>
      <c r="H6532" t="s">
        <v>9998</v>
      </c>
      <c r="I6532" t="s">
        <v>28806</v>
      </c>
      <c r="J6532" t="s">
        <v>32938</v>
      </c>
      <c r="K6532" t="s">
        <v>37205</v>
      </c>
      <c r="M6532" t="s">
        <v>39803</v>
      </c>
      <c r="N6532" t="s">
        <v>41249</v>
      </c>
      <c r="O6532" t="s">
        <v>41250</v>
      </c>
      <c r="P6532">
        <v>0</v>
      </c>
      <c r="Q6532">
        <v>6</v>
      </c>
      <c r="R6532" t="s">
        <v>41257</v>
      </c>
      <c r="S6532" t="s">
        <v>41461</v>
      </c>
      <c r="T6532" t="s">
        <v>42992</v>
      </c>
      <c r="U6532" t="s">
        <v>48596</v>
      </c>
      <c r="W6532" t="s">
        <v>39803</v>
      </c>
      <c r="X6532" t="s">
        <v>41258</v>
      </c>
    </row>
    <row r="6533" spans="1:24">
      <c r="A6533">
        <f>HYPERLINK("https://www.philgeps.gov.ph/GEPSNONPILOT/Tender/SplashBidNoticeAbstractUI.aspx?menuIndex=3&amp;refID=7067528&amp;Result=3","7067528")</f>
        <v>0</v>
      </c>
      <c r="B6533" t="s">
        <v>1401</v>
      </c>
      <c r="C6533" t="s">
        <v>9610</v>
      </c>
      <c r="D6533" t="s">
        <v>16671</v>
      </c>
      <c r="E6533" t="s">
        <v>22460</v>
      </c>
      <c r="F6533" t="s">
        <v>28669</v>
      </c>
      <c r="G6533" t="s">
        <v>28675</v>
      </c>
      <c r="H6533" t="s">
        <v>9998</v>
      </c>
      <c r="I6533" t="s">
        <v>28703</v>
      </c>
      <c r="J6533" t="s">
        <v>32939</v>
      </c>
      <c r="K6533" t="s">
        <v>37209</v>
      </c>
      <c r="M6533" t="s">
        <v>38964</v>
      </c>
      <c r="N6533" t="s">
        <v>41249</v>
      </c>
      <c r="O6533" t="s">
        <v>41250</v>
      </c>
      <c r="P6533">
        <v>0</v>
      </c>
      <c r="Q6533">
        <v>6</v>
      </c>
      <c r="R6533" t="s">
        <v>41257</v>
      </c>
      <c r="S6533" t="s">
        <v>41461</v>
      </c>
      <c r="T6533" t="s">
        <v>42736</v>
      </c>
      <c r="U6533" t="s">
        <v>48597</v>
      </c>
      <c r="W6533" t="s">
        <v>55952</v>
      </c>
      <c r="X6533" t="s">
        <v>41258</v>
      </c>
    </row>
    <row r="6534" spans="1:24">
      <c r="A6534">
        <f>HYPERLINK("https://www.philgeps.gov.ph/GEPSNONPILOT/Tender/SplashBidNoticeAbstractUI.aspx?menuIndex=3&amp;refID=7067523&amp;Result=3","7067523")</f>
        <v>0</v>
      </c>
      <c r="B6534" t="s">
        <v>194</v>
      </c>
      <c r="C6534" t="s">
        <v>9611</v>
      </c>
      <c r="D6534" t="s">
        <v>16672</v>
      </c>
      <c r="E6534" t="s">
        <v>22461</v>
      </c>
      <c r="F6534" t="s">
        <v>28669</v>
      </c>
      <c r="G6534" t="s">
        <v>28675</v>
      </c>
      <c r="H6534" t="s">
        <v>9998</v>
      </c>
      <c r="I6534" t="s">
        <v>28708</v>
      </c>
      <c r="J6534" t="s">
        <v>32940</v>
      </c>
      <c r="K6534" t="s">
        <v>37206</v>
      </c>
      <c r="M6534" t="s">
        <v>37672</v>
      </c>
      <c r="N6534" t="s">
        <v>41249</v>
      </c>
      <c r="O6534" t="s">
        <v>41250</v>
      </c>
      <c r="P6534">
        <v>0</v>
      </c>
      <c r="Q6534">
        <v>4</v>
      </c>
      <c r="R6534" t="s">
        <v>41257</v>
      </c>
      <c r="S6534" t="s">
        <v>41461</v>
      </c>
      <c r="T6534" t="s">
        <v>42782</v>
      </c>
      <c r="U6534" t="s">
        <v>43483</v>
      </c>
      <c r="W6534" t="s">
        <v>37672</v>
      </c>
      <c r="X6534" t="s">
        <v>41258</v>
      </c>
    </row>
    <row r="6535" spans="1:24">
      <c r="A6535">
        <f>HYPERLINK("https://www.philgeps.gov.ph/GEPSNONPILOT/Tender/SplashBidNoticeAbstractUI.aspx?menuIndex=3&amp;refID=7067515&amp;Result=3","7067515")</f>
        <v>0</v>
      </c>
      <c r="B6535" t="s">
        <v>1961</v>
      </c>
      <c r="C6535" t="s">
        <v>9612</v>
      </c>
      <c r="D6535" t="s">
        <v>16608</v>
      </c>
      <c r="E6535" t="s">
        <v>22462</v>
      </c>
      <c r="F6535" t="s">
        <v>28669</v>
      </c>
      <c r="G6535" t="s">
        <v>28676</v>
      </c>
      <c r="H6535" t="s">
        <v>9998</v>
      </c>
      <c r="I6535" t="s">
        <v>11593</v>
      </c>
      <c r="J6535" t="s">
        <v>32941</v>
      </c>
      <c r="K6535" t="s">
        <v>37209</v>
      </c>
      <c r="M6535" t="s">
        <v>39594</v>
      </c>
      <c r="N6535" t="s">
        <v>41249</v>
      </c>
      <c r="O6535" t="s">
        <v>41250</v>
      </c>
      <c r="P6535">
        <v>0</v>
      </c>
      <c r="Q6535">
        <v>15</v>
      </c>
      <c r="R6535" t="s">
        <v>41257</v>
      </c>
      <c r="S6535" t="s">
        <v>41461</v>
      </c>
      <c r="T6535" t="s">
        <v>42701</v>
      </c>
      <c r="U6535" t="s">
        <v>48598</v>
      </c>
      <c r="W6535" t="s">
        <v>39594</v>
      </c>
      <c r="X6535" t="s">
        <v>41258</v>
      </c>
    </row>
    <row r="6536" spans="1:24">
      <c r="A6536">
        <f>HYPERLINK("https://www.philgeps.gov.ph/GEPSNONPILOT/Tender/SplashBidNoticeAbstractUI.aspx?menuIndex=3&amp;refID=7067448&amp;Result=3","7067448")</f>
        <v>0</v>
      </c>
      <c r="B6536" t="s">
        <v>133</v>
      </c>
      <c r="C6536" t="s">
        <v>9613</v>
      </c>
      <c r="D6536" t="s">
        <v>16661</v>
      </c>
      <c r="E6536" t="s">
        <v>22463</v>
      </c>
      <c r="F6536" t="s">
        <v>28669</v>
      </c>
      <c r="G6536" t="s">
        <v>28675</v>
      </c>
      <c r="H6536" t="s">
        <v>28686</v>
      </c>
      <c r="I6536" t="s">
        <v>28689</v>
      </c>
      <c r="J6536" t="s">
        <v>32942</v>
      </c>
      <c r="K6536" t="s">
        <v>37255</v>
      </c>
      <c r="M6536" t="s">
        <v>37610</v>
      </c>
      <c r="N6536" t="s">
        <v>41249</v>
      </c>
      <c r="O6536" t="s">
        <v>41250</v>
      </c>
      <c r="P6536">
        <v>0</v>
      </c>
      <c r="Q6536">
        <v>0</v>
      </c>
      <c r="R6536" t="s">
        <v>41257</v>
      </c>
      <c r="S6536" t="s">
        <v>41461</v>
      </c>
      <c r="T6536" t="s">
        <v>42724</v>
      </c>
      <c r="U6536" t="s">
        <v>48599</v>
      </c>
      <c r="V6536" t="s">
        <v>55020</v>
      </c>
      <c r="W6536" t="s">
        <v>37610</v>
      </c>
      <c r="X6536" t="s">
        <v>41258</v>
      </c>
    </row>
    <row r="6537" spans="1:24">
      <c r="A6537">
        <f>HYPERLINK("https://www.philgeps.gov.ph/GEPSNONPILOT/Tender/SplashBidNoticeAbstractUI.aspx?menuIndex=3&amp;refID=7067514&amp;Result=3","7067514")</f>
        <v>0</v>
      </c>
      <c r="B6537" t="s">
        <v>2134</v>
      </c>
      <c r="C6537" t="s">
        <v>9614</v>
      </c>
      <c r="D6537" t="s">
        <v>16676</v>
      </c>
      <c r="E6537" t="s">
        <v>22464</v>
      </c>
      <c r="F6537" t="s">
        <v>28669</v>
      </c>
      <c r="G6537" t="s">
        <v>28675</v>
      </c>
      <c r="H6537" t="s">
        <v>28686</v>
      </c>
      <c r="I6537" t="s">
        <v>28689</v>
      </c>
      <c r="J6537" t="s">
        <v>30840</v>
      </c>
      <c r="K6537" t="s">
        <v>37214</v>
      </c>
      <c r="M6537" t="s">
        <v>39779</v>
      </c>
      <c r="N6537" t="s">
        <v>41249</v>
      </c>
      <c r="O6537" t="s">
        <v>41250</v>
      </c>
      <c r="P6537">
        <v>0</v>
      </c>
      <c r="Q6537">
        <v>0</v>
      </c>
      <c r="R6537" t="s">
        <v>41257</v>
      </c>
      <c r="S6537" t="s">
        <v>41461</v>
      </c>
      <c r="T6537" t="s">
        <v>42911</v>
      </c>
      <c r="U6537" t="s">
        <v>48574</v>
      </c>
      <c r="V6537" t="s">
        <v>55021</v>
      </c>
      <c r="W6537" t="s">
        <v>39779</v>
      </c>
      <c r="X6537" t="s">
        <v>41258</v>
      </c>
    </row>
    <row r="6538" spans="1:24">
      <c r="A6538">
        <f>HYPERLINK("https://www.philgeps.gov.ph/GEPSNONPILOT/Tender/SplashBidNoticeAbstractUI.aspx?menuIndex=3&amp;refID=7067513&amp;Result=3","7067513")</f>
        <v>0</v>
      </c>
      <c r="B6538" t="s">
        <v>539</v>
      </c>
      <c r="C6538" t="s">
        <v>9615</v>
      </c>
      <c r="D6538" t="s">
        <v>16665</v>
      </c>
      <c r="E6538" t="s">
        <v>22465</v>
      </c>
      <c r="F6538" t="s">
        <v>28669</v>
      </c>
      <c r="G6538" t="s">
        <v>28675</v>
      </c>
      <c r="H6538" t="s">
        <v>28686</v>
      </c>
      <c r="I6538" t="s">
        <v>28689</v>
      </c>
      <c r="J6538" t="s">
        <v>32943</v>
      </c>
      <c r="K6538" t="s">
        <v>37206</v>
      </c>
      <c r="M6538" t="s">
        <v>38032</v>
      </c>
      <c r="N6538" t="s">
        <v>41249</v>
      </c>
      <c r="O6538" t="s">
        <v>41250</v>
      </c>
      <c r="P6538">
        <v>0</v>
      </c>
      <c r="Q6538">
        <v>1</v>
      </c>
      <c r="R6538" t="s">
        <v>41257</v>
      </c>
      <c r="S6538" t="s">
        <v>41461</v>
      </c>
      <c r="T6538" t="s">
        <v>43028</v>
      </c>
      <c r="U6538" t="s">
        <v>48600</v>
      </c>
      <c r="V6538" t="s">
        <v>54796</v>
      </c>
      <c r="W6538" t="s">
        <v>38032</v>
      </c>
      <c r="X6538" t="s">
        <v>41258</v>
      </c>
    </row>
    <row r="6539" spans="1:24">
      <c r="A6539">
        <f>HYPERLINK("https://www.philgeps.gov.ph/GEPSNONPILOT/Tender/SplashBidNoticeAbstractUI.aspx?menuIndex=3&amp;refID=7067511&amp;Result=3","7067511")</f>
        <v>0</v>
      </c>
      <c r="B6539" t="s">
        <v>133</v>
      </c>
      <c r="C6539" t="s">
        <v>9616</v>
      </c>
      <c r="D6539" t="s">
        <v>16661</v>
      </c>
      <c r="E6539" t="s">
        <v>22466</v>
      </c>
      <c r="F6539" t="s">
        <v>28669</v>
      </c>
      <c r="G6539" t="s">
        <v>28675</v>
      </c>
      <c r="H6539" t="s">
        <v>28686</v>
      </c>
      <c r="I6539" t="s">
        <v>28689</v>
      </c>
      <c r="J6539" t="s">
        <v>32944</v>
      </c>
      <c r="K6539" t="s">
        <v>37214</v>
      </c>
      <c r="M6539" t="s">
        <v>37610</v>
      </c>
      <c r="N6539" t="s">
        <v>41249</v>
      </c>
      <c r="O6539" t="s">
        <v>41250</v>
      </c>
      <c r="P6539">
        <v>0</v>
      </c>
      <c r="Q6539">
        <v>0</v>
      </c>
      <c r="R6539" t="s">
        <v>41257</v>
      </c>
      <c r="S6539" t="s">
        <v>41461</v>
      </c>
      <c r="T6539" t="s">
        <v>42724</v>
      </c>
      <c r="U6539" t="s">
        <v>48601</v>
      </c>
      <c r="V6539" t="s">
        <v>55016</v>
      </c>
      <c r="W6539" t="s">
        <v>37610</v>
      </c>
      <c r="X6539" t="s">
        <v>41258</v>
      </c>
    </row>
    <row r="6540" spans="1:24">
      <c r="A6540">
        <f>HYPERLINK("https://www.philgeps.gov.ph/GEPSNONPILOT/Tender/SplashBidNoticeAbstractUI.aspx?menuIndex=3&amp;refID=7067533&amp;Result=3","7067533")</f>
        <v>0</v>
      </c>
      <c r="B6540" t="s">
        <v>511</v>
      </c>
      <c r="C6540" t="s">
        <v>9617</v>
      </c>
      <c r="D6540" t="s">
        <v>16659</v>
      </c>
      <c r="E6540" t="s">
        <v>22467</v>
      </c>
      <c r="F6540" t="s">
        <v>28669</v>
      </c>
      <c r="G6540" t="s">
        <v>28675</v>
      </c>
      <c r="H6540" t="s">
        <v>9998</v>
      </c>
      <c r="I6540" t="s">
        <v>11593</v>
      </c>
      <c r="J6540" t="s">
        <v>32945</v>
      </c>
      <c r="K6540" t="s">
        <v>37209</v>
      </c>
      <c r="M6540" t="s">
        <v>38001</v>
      </c>
      <c r="N6540" t="s">
        <v>41249</v>
      </c>
      <c r="O6540" t="s">
        <v>41250</v>
      </c>
      <c r="Q6540">
        <v>4</v>
      </c>
      <c r="R6540" t="s">
        <v>41257</v>
      </c>
      <c r="S6540" t="s">
        <v>41463</v>
      </c>
      <c r="T6540" t="s">
        <v>42782</v>
      </c>
      <c r="U6540" t="s">
        <v>48602</v>
      </c>
      <c r="W6540" t="s">
        <v>38001</v>
      </c>
      <c r="X6540" t="s">
        <v>41258</v>
      </c>
    </row>
    <row r="6541" spans="1:24">
      <c r="A6541">
        <f>HYPERLINK("https://www.philgeps.gov.ph/GEPSNONPILOT/Tender/SplashBidNoticeAbstractUI.aspx?menuIndex=3&amp;refID=7067495&amp;Result=3","7067495")</f>
        <v>0</v>
      </c>
      <c r="B6541" t="s">
        <v>2144</v>
      </c>
      <c r="C6541" t="s">
        <v>9618</v>
      </c>
      <c r="D6541" t="s">
        <v>16686</v>
      </c>
      <c r="E6541" t="s">
        <v>22468</v>
      </c>
      <c r="F6541" t="s">
        <v>28669</v>
      </c>
      <c r="G6541" t="s">
        <v>28675</v>
      </c>
      <c r="H6541" t="s">
        <v>28686</v>
      </c>
      <c r="I6541" t="s">
        <v>28689</v>
      </c>
      <c r="J6541" t="s">
        <v>32946</v>
      </c>
      <c r="K6541" t="s">
        <v>37209</v>
      </c>
      <c r="M6541" t="s">
        <v>39789</v>
      </c>
      <c r="N6541" t="s">
        <v>41249</v>
      </c>
      <c r="O6541" t="s">
        <v>41250</v>
      </c>
      <c r="P6541">
        <v>0</v>
      </c>
      <c r="Q6541">
        <v>0</v>
      </c>
      <c r="R6541" t="s">
        <v>41257</v>
      </c>
      <c r="S6541" t="s">
        <v>41461</v>
      </c>
      <c r="T6541" t="s">
        <v>42808</v>
      </c>
      <c r="U6541" t="s">
        <v>48603</v>
      </c>
      <c r="W6541" t="s">
        <v>39789</v>
      </c>
      <c r="X6541" t="s">
        <v>41258</v>
      </c>
    </row>
    <row r="6542" spans="1:24">
      <c r="A6542">
        <f>HYPERLINK("https://www.philgeps.gov.ph/GEPSNONPILOT/Tender/SplashBidNoticeAbstractUI.aspx?menuIndex=3&amp;refID=7067494&amp;Result=3","7067494")</f>
        <v>0</v>
      </c>
      <c r="B6542" t="s">
        <v>2145</v>
      </c>
      <c r="C6542" t="s">
        <v>9619</v>
      </c>
      <c r="D6542" t="s">
        <v>16620</v>
      </c>
      <c r="E6542" t="s">
        <v>22469</v>
      </c>
      <c r="F6542" t="s">
        <v>28669</v>
      </c>
      <c r="G6542" t="s">
        <v>28675</v>
      </c>
      <c r="H6542" t="s">
        <v>9998</v>
      </c>
      <c r="I6542" t="s">
        <v>28699</v>
      </c>
      <c r="J6542" t="s">
        <v>32947</v>
      </c>
      <c r="K6542" t="s">
        <v>37210</v>
      </c>
      <c r="M6542" t="s">
        <v>39790</v>
      </c>
      <c r="N6542" t="s">
        <v>41249</v>
      </c>
      <c r="O6542" t="s">
        <v>41250</v>
      </c>
      <c r="P6542">
        <v>0</v>
      </c>
      <c r="Q6542">
        <v>0</v>
      </c>
      <c r="R6542" t="s">
        <v>41257</v>
      </c>
      <c r="S6542" t="s">
        <v>41461</v>
      </c>
      <c r="T6542" t="s">
        <v>42703</v>
      </c>
      <c r="U6542" t="s">
        <v>48604</v>
      </c>
      <c r="V6542" t="s">
        <v>55022</v>
      </c>
      <c r="W6542" t="s">
        <v>39790</v>
      </c>
      <c r="X6542" t="s">
        <v>41258</v>
      </c>
    </row>
    <row r="6543" spans="1:24">
      <c r="A6543">
        <f>HYPERLINK("https://www.philgeps.gov.ph/GEPSNONPILOT/Tender/SplashBidNoticeAbstractUI.aspx?menuIndex=3&amp;refID=7067530&amp;Result=3","7067530")</f>
        <v>0</v>
      </c>
      <c r="B6543" t="s">
        <v>2158</v>
      </c>
      <c r="C6543" t="s">
        <v>9620</v>
      </c>
      <c r="D6543" t="s">
        <v>16626</v>
      </c>
      <c r="E6543" t="s">
        <v>21568</v>
      </c>
      <c r="F6543" t="s">
        <v>28669</v>
      </c>
      <c r="G6543" t="s">
        <v>28675</v>
      </c>
      <c r="H6543" t="s">
        <v>9998</v>
      </c>
      <c r="I6543" t="s">
        <v>28709</v>
      </c>
      <c r="J6543" t="s">
        <v>29404</v>
      </c>
      <c r="K6543" t="s">
        <v>37209</v>
      </c>
      <c r="M6543" t="s">
        <v>39804</v>
      </c>
      <c r="N6543" t="s">
        <v>41249</v>
      </c>
      <c r="O6543" t="s">
        <v>41250</v>
      </c>
      <c r="P6543">
        <v>0</v>
      </c>
      <c r="Q6543">
        <v>0</v>
      </c>
      <c r="R6543" t="s">
        <v>41257</v>
      </c>
      <c r="S6543" t="s">
        <v>41461</v>
      </c>
      <c r="T6543" t="s">
        <v>42694</v>
      </c>
      <c r="U6543" t="s">
        <v>45878</v>
      </c>
      <c r="W6543" t="s">
        <v>39804</v>
      </c>
      <c r="X6543" t="s">
        <v>41258</v>
      </c>
    </row>
    <row r="6544" spans="1:24">
      <c r="A6544">
        <f>HYPERLINK("https://www.philgeps.gov.ph/GEPSNONPILOT/Tender/SplashBidNoticeAbstractUI.aspx?menuIndex=3&amp;refID=7067593&amp;Result=3","7067593")</f>
        <v>0</v>
      </c>
      <c r="B6544" t="s">
        <v>406</v>
      </c>
      <c r="C6544" t="s">
        <v>9621</v>
      </c>
      <c r="D6544" t="s">
        <v>16644</v>
      </c>
      <c r="E6544" t="s">
        <v>22470</v>
      </c>
      <c r="F6544" t="s">
        <v>28669</v>
      </c>
      <c r="G6544" t="s">
        <v>28675</v>
      </c>
      <c r="H6544" t="s">
        <v>28686</v>
      </c>
      <c r="I6544" t="s">
        <v>28689</v>
      </c>
      <c r="J6544" t="s">
        <v>32948</v>
      </c>
      <c r="K6544" t="s">
        <v>37220</v>
      </c>
      <c r="M6544" t="s">
        <v>37891</v>
      </c>
      <c r="N6544" t="s">
        <v>41249</v>
      </c>
      <c r="O6544" t="s">
        <v>41250</v>
      </c>
      <c r="P6544">
        <v>0</v>
      </c>
      <c r="Q6544">
        <v>2</v>
      </c>
      <c r="R6544" t="s">
        <v>41257</v>
      </c>
      <c r="S6544" t="s">
        <v>41461</v>
      </c>
      <c r="T6544" t="s">
        <v>42782</v>
      </c>
      <c r="U6544" t="s">
        <v>48605</v>
      </c>
      <c r="V6544" t="s">
        <v>55023</v>
      </c>
      <c r="W6544" t="s">
        <v>37891</v>
      </c>
      <c r="X6544" t="s">
        <v>41258</v>
      </c>
    </row>
    <row r="6545" spans="1:24">
      <c r="A6545">
        <f>HYPERLINK("https://www.philgeps.gov.ph/GEPSNONPILOT/Tender/SplashBidNoticeAbstractUI.aspx?menuIndex=3&amp;refID=7067526&amp;Result=3","7067526")</f>
        <v>0</v>
      </c>
      <c r="B6545" t="s">
        <v>133</v>
      </c>
      <c r="C6545" t="s">
        <v>9622</v>
      </c>
      <c r="D6545" t="s">
        <v>16661</v>
      </c>
      <c r="E6545" t="s">
        <v>22471</v>
      </c>
      <c r="F6545" t="s">
        <v>28669</v>
      </c>
      <c r="G6545" t="s">
        <v>28675</v>
      </c>
      <c r="H6545" t="s">
        <v>28686</v>
      </c>
      <c r="I6545" t="s">
        <v>28689</v>
      </c>
      <c r="J6545" t="s">
        <v>32949</v>
      </c>
      <c r="K6545" t="s">
        <v>37213</v>
      </c>
      <c r="M6545" t="s">
        <v>37610</v>
      </c>
      <c r="N6545" t="s">
        <v>41249</v>
      </c>
      <c r="O6545" t="s">
        <v>41250</v>
      </c>
      <c r="P6545">
        <v>0</v>
      </c>
      <c r="Q6545">
        <v>0</v>
      </c>
      <c r="R6545" t="s">
        <v>41257</v>
      </c>
      <c r="S6545" t="s">
        <v>41461</v>
      </c>
      <c r="T6545" t="s">
        <v>42724</v>
      </c>
      <c r="U6545" t="s">
        <v>48606</v>
      </c>
      <c r="V6545" t="s">
        <v>55013</v>
      </c>
      <c r="W6545" t="s">
        <v>37610</v>
      </c>
      <c r="X6545" t="s">
        <v>41258</v>
      </c>
    </row>
    <row r="6546" spans="1:24">
      <c r="A6546">
        <f>HYPERLINK("https://www.philgeps.gov.ph/GEPSNONPILOT/Tender/SplashBidNoticeAbstractUI.aspx?menuIndex=3&amp;refID=7067610&amp;Result=3","7067610")</f>
        <v>0</v>
      </c>
      <c r="B6546" t="s">
        <v>2159</v>
      </c>
      <c r="C6546" t="s">
        <v>9623</v>
      </c>
      <c r="D6546" t="s">
        <v>16616</v>
      </c>
      <c r="E6546" t="s">
        <v>22472</v>
      </c>
      <c r="F6546" t="s">
        <v>28669</v>
      </c>
      <c r="G6546" t="s">
        <v>28677</v>
      </c>
      <c r="H6546" t="s">
        <v>9998</v>
      </c>
      <c r="I6546" t="s">
        <v>28688</v>
      </c>
      <c r="J6546" t="s">
        <v>32950</v>
      </c>
      <c r="K6546" t="s">
        <v>37243</v>
      </c>
      <c r="M6546" t="s">
        <v>39805</v>
      </c>
      <c r="N6546" t="s">
        <v>41249</v>
      </c>
      <c r="O6546" t="s">
        <v>41250</v>
      </c>
      <c r="P6546">
        <v>0</v>
      </c>
      <c r="Q6546">
        <v>0</v>
      </c>
      <c r="R6546" t="s">
        <v>41257</v>
      </c>
      <c r="S6546" t="s">
        <v>41461</v>
      </c>
      <c r="T6546" t="s">
        <v>42883</v>
      </c>
      <c r="U6546" t="s">
        <v>48607</v>
      </c>
      <c r="W6546" t="s">
        <v>39805</v>
      </c>
      <c r="X6546" t="s">
        <v>41258</v>
      </c>
    </row>
    <row r="6547" spans="1:24">
      <c r="A6547">
        <f>HYPERLINK("https://www.philgeps.gov.ph/GEPSNONPILOT/Tender/SplashBidNoticeAbstractUI.aspx?menuIndex=3&amp;refID=7067604&amp;Result=3","7067604")</f>
        <v>0</v>
      </c>
      <c r="B6547" t="s">
        <v>133</v>
      </c>
      <c r="C6547" t="s">
        <v>9624</v>
      </c>
      <c r="D6547" t="s">
        <v>16661</v>
      </c>
      <c r="E6547" t="s">
        <v>22473</v>
      </c>
      <c r="F6547" t="s">
        <v>28669</v>
      </c>
      <c r="G6547" t="s">
        <v>28675</v>
      </c>
      <c r="H6547" t="s">
        <v>28686</v>
      </c>
      <c r="I6547" t="s">
        <v>28689</v>
      </c>
      <c r="J6547" t="s">
        <v>32951</v>
      </c>
      <c r="K6547" t="s">
        <v>37213</v>
      </c>
      <c r="M6547" t="s">
        <v>37610</v>
      </c>
      <c r="N6547" t="s">
        <v>41249</v>
      </c>
      <c r="O6547" t="s">
        <v>41250</v>
      </c>
      <c r="P6547">
        <v>0</v>
      </c>
      <c r="Q6547">
        <v>0</v>
      </c>
      <c r="R6547" t="s">
        <v>41257</v>
      </c>
      <c r="S6547" t="s">
        <v>41461</v>
      </c>
      <c r="T6547" t="s">
        <v>42724</v>
      </c>
      <c r="U6547" t="s">
        <v>48608</v>
      </c>
      <c r="V6547" t="s">
        <v>55013</v>
      </c>
      <c r="W6547" t="s">
        <v>37610</v>
      </c>
      <c r="X6547" t="s">
        <v>41258</v>
      </c>
    </row>
    <row r="6548" spans="1:24">
      <c r="A6548">
        <f>HYPERLINK("https://www.philgeps.gov.ph/GEPSNONPILOT/Tender/SplashBidNoticeAbstractUI.aspx?menuIndex=3&amp;refID=7067594&amp;Result=3","7067594")</f>
        <v>0</v>
      </c>
      <c r="B6548" t="s">
        <v>2160</v>
      </c>
      <c r="C6548" t="s">
        <v>9625</v>
      </c>
      <c r="D6548" t="s">
        <v>16642</v>
      </c>
      <c r="E6548" t="s">
        <v>22474</v>
      </c>
      <c r="F6548" t="s">
        <v>28669</v>
      </c>
      <c r="G6548" t="s">
        <v>28675</v>
      </c>
      <c r="H6548" t="s">
        <v>28686</v>
      </c>
      <c r="I6548" t="s">
        <v>28689</v>
      </c>
      <c r="J6548" t="s">
        <v>32952</v>
      </c>
      <c r="K6548" t="s">
        <v>37209</v>
      </c>
      <c r="M6548" t="s">
        <v>39806</v>
      </c>
      <c r="N6548" t="s">
        <v>41249</v>
      </c>
      <c r="O6548" t="s">
        <v>41250</v>
      </c>
      <c r="P6548">
        <v>0</v>
      </c>
      <c r="Q6548">
        <v>0</v>
      </c>
      <c r="R6548" t="s">
        <v>41257</v>
      </c>
      <c r="S6548" t="s">
        <v>41461</v>
      </c>
      <c r="T6548" t="s">
        <v>42670</v>
      </c>
      <c r="U6548" t="s">
        <v>48609</v>
      </c>
      <c r="W6548" t="s">
        <v>39806</v>
      </c>
      <c r="X6548" t="s">
        <v>41258</v>
      </c>
    </row>
    <row r="6549" spans="1:24">
      <c r="A6549">
        <f>HYPERLINK("https://www.philgeps.gov.ph/GEPSNONPILOT/Tender/SplashBidNoticeAbstractUI.aspx?menuIndex=3&amp;refID=7067584&amp;Result=3","7067584")</f>
        <v>0</v>
      </c>
      <c r="B6549" t="s">
        <v>133</v>
      </c>
      <c r="C6549" t="s">
        <v>9626</v>
      </c>
      <c r="D6549" t="s">
        <v>16661</v>
      </c>
      <c r="E6549" t="s">
        <v>22475</v>
      </c>
      <c r="F6549" t="s">
        <v>28669</v>
      </c>
      <c r="G6549" t="s">
        <v>28675</v>
      </c>
      <c r="H6549" t="s">
        <v>28686</v>
      </c>
      <c r="I6549" t="s">
        <v>28689</v>
      </c>
      <c r="J6549" t="s">
        <v>32953</v>
      </c>
      <c r="K6549" t="s">
        <v>37214</v>
      </c>
      <c r="M6549" t="s">
        <v>37610</v>
      </c>
      <c r="N6549" t="s">
        <v>41249</v>
      </c>
      <c r="O6549" t="s">
        <v>41250</v>
      </c>
      <c r="P6549">
        <v>0</v>
      </c>
      <c r="Q6549">
        <v>0</v>
      </c>
      <c r="R6549" t="s">
        <v>41257</v>
      </c>
      <c r="S6549" t="s">
        <v>41461</v>
      </c>
      <c r="T6549" t="s">
        <v>42724</v>
      </c>
      <c r="U6549" t="s">
        <v>48610</v>
      </c>
      <c r="V6549" t="s">
        <v>55016</v>
      </c>
      <c r="W6549" t="s">
        <v>37610</v>
      </c>
      <c r="X6549" t="s">
        <v>41258</v>
      </c>
    </row>
    <row r="6550" spans="1:24">
      <c r="A6550">
        <f>HYPERLINK("https://www.philgeps.gov.ph/GEPSNONPILOT/Tender/SplashBidNoticeAbstractUI.aspx?menuIndex=3&amp;refID=7067435&amp;Result=3","7067435")</f>
        <v>0</v>
      </c>
      <c r="B6550" t="s">
        <v>1307</v>
      </c>
      <c r="C6550" t="s">
        <v>9627</v>
      </c>
      <c r="D6550" t="s">
        <v>16608</v>
      </c>
      <c r="E6550" t="s">
        <v>22476</v>
      </c>
      <c r="F6550" t="s">
        <v>28669</v>
      </c>
      <c r="G6550" t="s">
        <v>28675</v>
      </c>
      <c r="H6550" t="s">
        <v>9998</v>
      </c>
      <c r="I6550" t="s">
        <v>11593</v>
      </c>
      <c r="J6550" t="s">
        <v>32954</v>
      </c>
      <c r="K6550" t="s">
        <v>37347</v>
      </c>
      <c r="M6550" t="s">
        <v>38859</v>
      </c>
      <c r="N6550" t="s">
        <v>41249</v>
      </c>
      <c r="O6550" t="s">
        <v>41250</v>
      </c>
      <c r="P6550">
        <v>0</v>
      </c>
      <c r="Q6550">
        <v>17</v>
      </c>
      <c r="R6550" t="s">
        <v>41257</v>
      </c>
      <c r="S6550" t="s">
        <v>41461</v>
      </c>
      <c r="T6550" t="s">
        <v>42684</v>
      </c>
      <c r="U6550" t="s">
        <v>48611</v>
      </c>
      <c r="W6550" t="s">
        <v>38859</v>
      </c>
      <c r="X6550" t="s">
        <v>41258</v>
      </c>
    </row>
    <row r="6551" spans="1:24">
      <c r="A6551">
        <f>HYPERLINK("https://www.philgeps.gov.ph/GEPSNONPILOT/Tender/SplashBidNoticeAbstractUI.aspx?menuIndex=3&amp;refID=7067362&amp;Result=3","7067362")</f>
        <v>0</v>
      </c>
      <c r="B6551" t="s">
        <v>823</v>
      </c>
      <c r="C6551" t="s">
        <v>9628</v>
      </c>
      <c r="D6551" t="s">
        <v>16626</v>
      </c>
      <c r="E6551" t="s">
        <v>22477</v>
      </c>
      <c r="F6551" t="s">
        <v>28669</v>
      </c>
      <c r="G6551" t="s">
        <v>28675</v>
      </c>
      <c r="H6551" t="s">
        <v>9998</v>
      </c>
      <c r="I6551" t="s">
        <v>11142</v>
      </c>
      <c r="J6551" t="s">
        <v>31574</v>
      </c>
      <c r="K6551" t="s">
        <v>37270</v>
      </c>
      <c r="M6551" t="s">
        <v>38339</v>
      </c>
      <c r="N6551" t="s">
        <v>41249</v>
      </c>
      <c r="O6551" t="s">
        <v>41250</v>
      </c>
      <c r="P6551">
        <v>0</v>
      </c>
      <c r="Q6551">
        <v>0</v>
      </c>
      <c r="R6551" t="s">
        <v>41257</v>
      </c>
      <c r="S6551" t="s">
        <v>41461</v>
      </c>
      <c r="T6551" t="s">
        <v>42703</v>
      </c>
      <c r="U6551" t="s">
        <v>48612</v>
      </c>
      <c r="W6551" t="s">
        <v>38339</v>
      </c>
      <c r="X6551" t="s">
        <v>41259</v>
      </c>
    </row>
    <row r="6552" spans="1:24">
      <c r="A6552">
        <f>HYPERLINK("https://www.philgeps.gov.ph/GEPSNONPILOT/Tender/SplashBidNoticeAbstractUI.aspx?menuIndex=3&amp;refID=7067565&amp;Result=3","7067565")</f>
        <v>0</v>
      </c>
      <c r="B6552" t="s">
        <v>371</v>
      </c>
      <c r="C6552" t="s">
        <v>9629</v>
      </c>
      <c r="D6552" t="s">
        <v>16622</v>
      </c>
      <c r="E6552" t="s">
        <v>22478</v>
      </c>
      <c r="F6552" t="s">
        <v>28669</v>
      </c>
      <c r="G6552" t="s">
        <v>28675</v>
      </c>
      <c r="H6552" t="s">
        <v>9998</v>
      </c>
      <c r="I6552" t="s">
        <v>3718</v>
      </c>
      <c r="J6552" t="s">
        <v>28912</v>
      </c>
      <c r="K6552" t="s">
        <v>37205</v>
      </c>
      <c r="M6552" t="s">
        <v>37853</v>
      </c>
      <c r="N6552" t="s">
        <v>41249</v>
      </c>
      <c r="O6552" t="s">
        <v>41250</v>
      </c>
      <c r="P6552">
        <v>0</v>
      </c>
      <c r="Q6552">
        <v>3</v>
      </c>
      <c r="R6552" t="s">
        <v>41257</v>
      </c>
      <c r="S6552" t="s">
        <v>41461</v>
      </c>
      <c r="T6552" t="s">
        <v>42698</v>
      </c>
      <c r="U6552" t="s">
        <v>48613</v>
      </c>
      <c r="W6552" t="s">
        <v>37853</v>
      </c>
      <c r="X6552" t="s">
        <v>41258</v>
      </c>
    </row>
    <row r="6553" spans="1:24">
      <c r="A6553">
        <f>HYPERLINK("https://www.philgeps.gov.ph/GEPSNONPILOT/Tender/SplashBidNoticeAbstractUI.aspx?menuIndex=3&amp;refID=7067564&amp;Result=3","7067564")</f>
        <v>0</v>
      </c>
      <c r="B6553" t="s">
        <v>1356</v>
      </c>
      <c r="C6553" t="s">
        <v>9630</v>
      </c>
      <c r="D6553" t="s">
        <v>16681</v>
      </c>
      <c r="E6553" t="s">
        <v>17178</v>
      </c>
      <c r="F6553" t="s">
        <v>28669</v>
      </c>
      <c r="G6553" t="s">
        <v>28675</v>
      </c>
      <c r="H6553" t="s">
        <v>28686</v>
      </c>
      <c r="I6553" t="s">
        <v>28689</v>
      </c>
      <c r="J6553" t="s">
        <v>32955</v>
      </c>
      <c r="K6553" t="s">
        <v>37373</v>
      </c>
      <c r="M6553" t="s">
        <v>38912</v>
      </c>
      <c r="N6553" t="s">
        <v>41249</v>
      </c>
      <c r="O6553" t="s">
        <v>41250</v>
      </c>
      <c r="P6553">
        <v>0</v>
      </c>
      <c r="Q6553">
        <v>0</v>
      </c>
      <c r="R6553" t="s">
        <v>41257</v>
      </c>
      <c r="S6553" t="s">
        <v>41461</v>
      </c>
      <c r="T6553" t="s">
        <v>43032</v>
      </c>
      <c r="U6553" t="s">
        <v>48614</v>
      </c>
      <c r="V6553" t="s">
        <v>55024</v>
      </c>
      <c r="W6553" t="s">
        <v>38912</v>
      </c>
      <c r="X6553" t="s">
        <v>41258</v>
      </c>
    </row>
    <row r="6554" spans="1:24">
      <c r="A6554">
        <f>HYPERLINK("https://www.philgeps.gov.ph/GEPSNONPILOT/Tender/SplashBidNoticeAbstractUI.aspx?menuIndex=3&amp;refID=7067561&amp;Result=3","7067561")</f>
        <v>0</v>
      </c>
      <c r="B6554" t="s">
        <v>341</v>
      </c>
      <c r="C6554" t="s">
        <v>4508</v>
      </c>
      <c r="D6554" t="s">
        <v>16652</v>
      </c>
      <c r="E6554" t="s">
        <v>22479</v>
      </c>
      <c r="F6554" t="s">
        <v>28669</v>
      </c>
      <c r="G6554" t="s">
        <v>28676</v>
      </c>
      <c r="H6554" t="s">
        <v>9998</v>
      </c>
      <c r="I6554" t="s">
        <v>3718</v>
      </c>
      <c r="J6554" t="s">
        <v>29250</v>
      </c>
      <c r="K6554" t="s">
        <v>37204</v>
      </c>
      <c r="M6554" t="s">
        <v>37821</v>
      </c>
      <c r="N6554" t="s">
        <v>41249</v>
      </c>
      <c r="O6554" t="s">
        <v>41250</v>
      </c>
      <c r="P6554">
        <v>0</v>
      </c>
      <c r="Q6554">
        <v>1</v>
      </c>
      <c r="R6554" t="s">
        <v>41257</v>
      </c>
      <c r="S6554" t="s">
        <v>41461</v>
      </c>
      <c r="T6554" t="s">
        <v>42729</v>
      </c>
      <c r="U6554" t="s">
        <v>48615</v>
      </c>
      <c r="W6554" t="s">
        <v>37821</v>
      </c>
      <c r="X6554" t="s">
        <v>41258</v>
      </c>
    </row>
    <row r="6555" spans="1:24">
      <c r="A6555">
        <f>HYPERLINK("https://www.philgeps.gov.ph/GEPSNONPILOT/Tender/SplashBidNoticeAbstractUI.aspx?menuIndex=3&amp;refID=7067553&amp;Result=3","7067553")</f>
        <v>0</v>
      </c>
      <c r="B6555" t="s">
        <v>539</v>
      </c>
      <c r="C6555" t="s">
        <v>9631</v>
      </c>
      <c r="D6555" t="s">
        <v>16665</v>
      </c>
      <c r="E6555" t="s">
        <v>22480</v>
      </c>
      <c r="F6555" t="s">
        <v>28669</v>
      </c>
      <c r="G6555" t="s">
        <v>28675</v>
      </c>
      <c r="H6555" t="s">
        <v>28686</v>
      </c>
      <c r="I6555" t="s">
        <v>7352</v>
      </c>
      <c r="J6555" t="s">
        <v>32956</v>
      </c>
      <c r="K6555" t="s">
        <v>37206</v>
      </c>
      <c r="M6555" t="s">
        <v>38032</v>
      </c>
      <c r="N6555" t="s">
        <v>41249</v>
      </c>
      <c r="O6555" t="s">
        <v>41250</v>
      </c>
      <c r="P6555">
        <v>0</v>
      </c>
      <c r="Q6555">
        <v>1</v>
      </c>
      <c r="R6555" t="s">
        <v>41257</v>
      </c>
      <c r="S6555" t="s">
        <v>41461</v>
      </c>
      <c r="T6555" t="s">
        <v>43028</v>
      </c>
      <c r="U6555" t="s">
        <v>48616</v>
      </c>
      <c r="V6555" t="s">
        <v>54796</v>
      </c>
      <c r="W6555" t="s">
        <v>38032</v>
      </c>
      <c r="X6555" t="s">
        <v>41258</v>
      </c>
    </row>
    <row r="6556" spans="1:24">
      <c r="A6556">
        <f>HYPERLINK("https://www.philgeps.gov.ph/GEPSNONPILOT/Tender/SplashBidNoticeAbstractUI.aspx?menuIndex=3&amp;refID=7067549&amp;Result=3","7067549")</f>
        <v>0</v>
      </c>
      <c r="B6556" t="s">
        <v>988</v>
      </c>
      <c r="C6556" t="s">
        <v>9632</v>
      </c>
      <c r="D6556" t="s">
        <v>16635</v>
      </c>
      <c r="E6556" t="s">
        <v>22481</v>
      </c>
      <c r="F6556" t="s">
        <v>28669</v>
      </c>
      <c r="G6556" t="s">
        <v>28678</v>
      </c>
      <c r="H6556" t="s">
        <v>9998</v>
      </c>
      <c r="I6556" t="s">
        <v>11142</v>
      </c>
      <c r="J6556" t="s">
        <v>29134</v>
      </c>
      <c r="K6556" t="s">
        <v>37206</v>
      </c>
      <c r="M6556" t="s">
        <v>39801</v>
      </c>
      <c r="N6556" t="s">
        <v>41249</v>
      </c>
      <c r="O6556" t="s">
        <v>41250</v>
      </c>
      <c r="P6556">
        <v>0</v>
      </c>
      <c r="Q6556">
        <v>6</v>
      </c>
      <c r="R6556" t="s">
        <v>41257</v>
      </c>
      <c r="S6556" t="s">
        <v>41461</v>
      </c>
      <c r="T6556" t="s">
        <v>42690</v>
      </c>
      <c r="U6556" t="s">
        <v>48617</v>
      </c>
      <c r="W6556" t="s">
        <v>39801</v>
      </c>
      <c r="X6556" t="s">
        <v>41258</v>
      </c>
    </row>
    <row r="6557" spans="1:24">
      <c r="A6557">
        <f>HYPERLINK("https://www.philgeps.gov.ph/GEPSNONPILOT/Tender/SplashBidNoticeAbstractUI.aspx?menuIndex=3&amp;refID=7067496&amp;Result=3","7067496")</f>
        <v>0</v>
      </c>
      <c r="B6557" t="s">
        <v>2161</v>
      </c>
      <c r="C6557" t="s">
        <v>9633</v>
      </c>
      <c r="E6557" t="s">
        <v>22482</v>
      </c>
      <c r="F6557" t="s">
        <v>28669</v>
      </c>
      <c r="G6557" t="s">
        <v>28675</v>
      </c>
      <c r="H6557" t="s">
        <v>28686</v>
      </c>
      <c r="I6557" t="s">
        <v>28752</v>
      </c>
      <c r="J6557" t="s">
        <v>28905</v>
      </c>
      <c r="K6557" t="s">
        <v>37206</v>
      </c>
      <c r="M6557" t="s">
        <v>39807</v>
      </c>
      <c r="N6557" t="s">
        <v>41249</v>
      </c>
      <c r="O6557" t="s">
        <v>41250</v>
      </c>
      <c r="P6557">
        <v>0</v>
      </c>
      <c r="Q6557">
        <v>0</v>
      </c>
      <c r="R6557" t="s">
        <v>41257</v>
      </c>
      <c r="S6557" t="s">
        <v>41461</v>
      </c>
      <c r="T6557" t="s">
        <v>42736</v>
      </c>
      <c r="U6557" t="s">
        <v>48618</v>
      </c>
      <c r="W6557" t="s">
        <v>39807</v>
      </c>
      <c r="X6557" t="s">
        <v>41258</v>
      </c>
    </row>
    <row r="6558" spans="1:24">
      <c r="A6558">
        <f>HYPERLINK("https://www.philgeps.gov.ph/GEPSNONPILOT/Tender/SplashBidNoticeAbstractUI.aspx?menuIndex=3&amp;refID=7067548&amp;Result=3","7067548")</f>
        <v>0</v>
      </c>
      <c r="B6558" t="s">
        <v>1533</v>
      </c>
      <c r="C6558" t="s">
        <v>9634</v>
      </c>
      <c r="D6558" t="s">
        <v>16617</v>
      </c>
      <c r="E6558" t="s">
        <v>22483</v>
      </c>
      <c r="F6558" t="s">
        <v>28669</v>
      </c>
      <c r="G6558" t="s">
        <v>28676</v>
      </c>
      <c r="H6558" t="s">
        <v>9998</v>
      </c>
      <c r="I6558" t="s">
        <v>5286</v>
      </c>
      <c r="J6558" t="s">
        <v>28990</v>
      </c>
      <c r="K6558" t="s">
        <v>37209</v>
      </c>
      <c r="M6558" t="s">
        <v>39808</v>
      </c>
      <c r="N6558" t="s">
        <v>41249</v>
      </c>
      <c r="O6558" t="s">
        <v>41250</v>
      </c>
      <c r="P6558">
        <v>0</v>
      </c>
      <c r="Q6558">
        <v>1</v>
      </c>
      <c r="R6558" t="s">
        <v>41257</v>
      </c>
      <c r="S6558" t="s">
        <v>41461</v>
      </c>
      <c r="T6558" t="s">
        <v>42883</v>
      </c>
      <c r="U6558" t="s">
        <v>48619</v>
      </c>
      <c r="V6558" t="s">
        <v>54709</v>
      </c>
      <c r="W6558" t="s">
        <v>39808</v>
      </c>
      <c r="X6558" t="s">
        <v>41258</v>
      </c>
    </row>
    <row r="6559" spans="1:24">
      <c r="A6559">
        <f>HYPERLINK("https://www.philgeps.gov.ph/GEPSNONPILOT/Tender/SplashBidNoticeAbstractUI.aspx?menuIndex=3&amp;refID=7067545&amp;Result=3","7067545")</f>
        <v>0</v>
      </c>
      <c r="B6559" t="s">
        <v>194</v>
      </c>
      <c r="C6559" t="s">
        <v>9635</v>
      </c>
      <c r="D6559" t="s">
        <v>16672</v>
      </c>
      <c r="E6559" t="s">
        <v>22484</v>
      </c>
      <c r="F6559" t="s">
        <v>28669</v>
      </c>
      <c r="G6559" t="s">
        <v>28675</v>
      </c>
      <c r="H6559" t="s">
        <v>9998</v>
      </c>
      <c r="I6559" t="s">
        <v>28708</v>
      </c>
      <c r="J6559" t="s">
        <v>32957</v>
      </c>
      <c r="K6559" t="s">
        <v>37206</v>
      </c>
      <c r="M6559" t="s">
        <v>37672</v>
      </c>
      <c r="N6559" t="s">
        <v>41249</v>
      </c>
      <c r="O6559" t="s">
        <v>41250</v>
      </c>
      <c r="P6559">
        <v>0</v>
      </c>
      <c r="Q6559">
        <v>3</v>
      </c>
      <c r="R6559" t="s">
        <v>41257</v>
      </c>
      <c r="S6559" t="s">
        <v>41461</v>
      </c>
      <c r="T6559" t="s">
        <v>42782</v>
      </c>
      <c r="U6559" t="s">
        <v>43483</v>
      </c>
      <c r="W6559" t="s">
        <v>37672</v>
      </c>
      <c r="X6559" t="s">
        <v>41258</v>
      </c>
    </row>
    <row r="6560" spans="1:24">
      <c r="A6560">
        <f>HYPERLINK("https://www.philgeps.gov.ph/GEPSNONPILOT/Tender/SplashBidNoticeAbstractUI.aspx?menuIndex=3&amp;refID=7067538&amp;Result=3","7067538")</f>
        <v>0</v>
      </c>
      <c r="B6560" t="s">
        <v>1224</v>
      </c>
      <c r="C6560" t="s">
        <v>9636</v>
      </c>
      <c r="D6560" t="s">
        <v>16624</v>
      </c>
      <c r="E6560" t="s">
        <v>19719</v>
      </c>
      <c r="F6560" t="s">
        <v>28669</v>
      </c>
      <c r="G6560" t="s">
        <v>28675</v>
      </c>
      <c r="H6560" t="s">
        <v>28686</v>
      </c>
      <c r="I6560" t="s">
        <v>28689</v>
      </c>
      <c r="J6560" t="s">
        <v>29112</v>
      </c>
      <c r="K6560" t="s">
        <v>37209</v>
      </c>
      <c r="M6560" t="s">
        <v>38767</v>
      </c>
      <c r="N6560" t="s">
        <v>41249</v>
      </c>
      <c r="O6560" t="s">
        <v>41250</v>
      </c>
      <c r="P6560">
        <v>0</v>
      </c>
      <c r="Q6560">
        <v>0</v>
      </c>
      <c r="R6560" t="s">
        <v>41257</v>
      </c>
      <c r="S6560" t="s">
        <v>41461</v>
      </c>
      <c r="T6560" t="s">
        <v>42796</v>
      </c>
      <c r="U6560" t="s">
        <v>45759</v>
      </c>
      <c r="W6560" t="s">
        <v>38767</v>
      </c>
      <c r="X6560" t="s">
        <v>41258</v>
      </c>
    </row>
    <row r="6561" spans="1:24">
      <c r="A6561">
        <f>HYPERLINK("https://www.philgeps.gov.ph/GEPSNONPILOT/Tender/SplashBidNoticeAbstractUI.aspx?menuIndex=3&amp;refID=7067608&amp;Result=3","7067608")</f>
        <v>0</v>
      </c>
      <c r="B6561" t="s">
        <v>1810</v>
      </c>
      <c r="C6561" t="s">
        <v>9637</v>
      </c>
      <c r="D6561" t="s">
        <v>16624</v>
      </c>
      <c r="E6561" t="s">
        <v>22485</v>
      </c>
      <c r="F6561" t="s">
        <v>28669</v>
      </c>
      <c r="G6561" t="s">
        <v>28677</v>
      </c>
      <c r="H6561" t="s">
        <v>9998</v>
      </c>
      <c r="I6561" t="s">
        <v>6128</v>
      </c>
      <c r="J6561" t="s">
        <v>32958</v>
      </c>
      <c r="K6561" t="s">
        <v>37204</v>
      </c>
      <c r="M6561" t="s">
        <v>39420</v>
      </c>
      <c r="N6561" t="s">
        <v>41249</v>
      </c>
      <c r="O6561" t="s">
        <v>41250</v>
      </c>
      <c r="P6561">
        <v>0</v>
      </c>
      <c r="Q6561">
        <v>1</v>
      </c>
      <c r="R6561" t="s">
        <v>41257</v>
      </c>
      <c r="S6561" t="s">
        <v>41461</v>
      </c>
      <c r="T6561" t="s">
        <v>42767</v>
      </c>
      <c r="U6561" t="s">
        <v>48620</v>
      </c>
      <c r="W6561" t="s">
        <v>39420</v>
      </c>
      <c r="X6561" t="s">
        <v>41258</v>
      </c>
    </row>
    <row r="6562" spans="1:24">
      <c r="A6562">
        <f>HYPERLINK("https://www.philgeps.gov.ph/GEPSNONPILOT/Tender/SplashBidNoticeAbstractUI.aspx?menuIndex=3&amp;refID=7067558&amp;Result=3","7067558")</f>
        <v>0</v>
      </c>
      <c r="B6562" t="s">
        <v>133</v>
      </c>
      <c r="C6562" t="s">
        <v>9638</v>
      </c>
      <c r="D6562" t="s">
        <v>16661</v>
      </c>
      <c r="E6562" t="s">
        <v>22486</v>
      </c>
      <c r="F6562" t="s">
        <v>28669</v>
      </c>
      <c r="G6562" t="s">
        <v>28675</v>
      </c>
      <c r="H6562" t="s">
        <v>28686</v>
      </c>
      <c r="I6562" t="s">
        <v>28689</v>
      </c>
      <c r="J6562" t="s">
        <v>32959</v>
      </c>
      <c r="K6562" t="s">
        <v>37214</v>
      </c>
      <c r="M6562" t="s">
        <v>37610</v>
      </c>
      <c r="N6562" t="s">
        <v>41249</v>
      </c>
      <c r="O6562" t="s">
        <v>41250</v>
      </c>
      <c r="P6562">
        <v>0</v>
      </c>
      <c r="Q6562">
        <v>0</v>
      </c>
      <c r="R6562" t="s">
        <v>41257</v>
      </c>
      <c r="S6562" t="s">
        <v>41461</v>
      </c>
      <c r="T6562" t="s">
        <v>42724</v>
      </c>
      <c r="U6562" t="s">
        <v>48621</v>
      </c>
      <c r="V6562" t="s">
        <v>55013</v>
      </c>
      <c r="W6562" t="s">
        <v>37610</v>
      </c>
      <c r="X6562" t="s">
        <v>41258</v>
      </c>
    </row>
    <row r="6563" spans="1:24">
      <c r="A6563">
        <f>HYPERLINK("https://www.philgeps.gov.ph/GEPSNONPILOT/Tender/SplashBidNoticeAbstractUI.aspx?menuIndex=3&amp;refID=7067576&amp;Result=3","7067576")</f>
        <v>0</v>
      </c>
      <c r="B6563" t="s">
        <v>2160</v>
      </c>
      <c r="C6563" t="s">
        <v>9639</v>
      </c>
      <c r="D6563" t="s">
        <v>16642</v>
      </c>
      <c r="E6563" t="s">
        <v>22487</v>
      </c>
      <c r="F6563" t="s">
        <v>28669</v>
      </c>
      <c r="G6563" t="s">
        <v>28675</v>
      </c>
      <c r="H6563" t="s">
        <v>28686</v>
      </c>
      <c r="I6563" t="s">
        <v>28689</v>
      </c>
      <c r="J6563" t="s">
        <v>32960</v>
      </c>
      <c r="K6563" t="s">
        <v>37209</v>
      </c>
      <c r="M6563" t="s">
        <v>39806</v>
      </c>
      <c r="N6563" t="s">
        <v>41249</v>
      </c>
      <c r="O6563" t="s">
        <v>41250</v>
      </c>
      <c r="P6563">
        <v>0</v>
      </c>
      <c r="Q6563">
        <v>0</v>
      </c>
      <c r="R6563" t="s">
        <v>41257</v>
      </c>
      <c r="S6563" t="s">
        <v>41461</v>
      </c>
      <c r="T6563" t="s">
        <v>42682</v>
      </c>
      <c r="U6563" t="s">
        <v>48622</v>
      </c>
      <c r="W6563" t="s">
        <v>39806</v>
      </c>
      <c r="X6563" t="s">
        <v>41258</v>
      </c>
    </row>
    <row r="6564" spans="1:24">
      <c r="A6564">
        <f>HYPERLINK("https://www.philgeps.gov.ph/GEPSNONPILOT/Tender/SplashBidNoticeAbstractUI.aspx?menuIndex=3&amp;refID=7067489&amp;Result=3","7067489")</f>
        <v>0</v>
      </c>
      <c r="B6564" t="s">
        <v>133</v>
      </c>
      <c r="C6564" t="s">
        <v>9640</v>
      </c>
      <c r="D6564" t="s">
        <v>16661</v>
      </c>
      <c r="E6564" t="s">
        <v>22488</v>
      </c>
      <c r="F6564" t="s">
        <v>28669</v>
      </c>
      <c r="G6564" t="s">
        <v>28675</v>
      </c>
      <c r="H6564" t="s">
        <v>28686</v>
      </c>
      <c r="I6564" t="s">
        <v>28689</v>
      </c>
      <c r="J6564" t="s">
        <v>32961</v>
      </c>
      <c r="K6564" t="s">
        <v>37213</v>
      </c>
      <c r="M6564" t="s">
        <v>37610</v>
      </c>
      <c r="N6564" t="s">
        <v>41249</v>
      </c>
      <c r="O6564" t="s">
        <v>41250</v>
      </c>
      <c r="P6564">
        <v>0</v>
      </c>
      <c r="Q6564">
        <v>0</v>
      </c>
      <c r="R6564" t="s">
        <v>41257</v>
      </c>
      <c r="S6564" t="s">
        <v>41461</v>
      </c>
      <c r="T6564" t="s">
        <v>42724</v>
      </c>
      <c r="U6564" t="s">
        <v>48623</v>
      </c>
      <c r="V6564" t="s">
        <v>55016</v>
      </c>
      <c r="W6564" t="s">
        <v>37610</v>
      </c>
      <c r="X6564" t="s">
        <v>41258</v>
      </c>
    </row>
    <row r="6565" spans="1:24">
      <c r="A6565">
        <f>HYPERLINK("https://www.philgeps.gov.ph/GEPSNONPILOT/Tender/SplashBidNoticeAbstractUI.aspx?menuIndex=3&amp;refID=7067580&amp;Result=3","7067580")</f>
        <v>0</v>
      </c>
      <c r="B6565" t="s">
        <v>2144</v>
      </c>
      <c r="C6565" t="s">
        <v>9641</v>
      </c>
      <c r="D6565" t="s">
        <v>16686</v>
      </c>
      <c r="E6565" t="s">
        <v>22489</v>
      </c>
      <c r="F6565" t="s">
        <v>28669</v>
      </c>
      <c r="G6565" t="s">
        <v>28675</v>
      </c>
      <c r="H6565" t="s">
        <v>28686</v>
      </c>
      <c r="I6565" t="s">
        <v>28689</v>
      </c>
      <c r="J6565" t="s">
        <v>32962</v>
      </c>
      <c r="K6565" t="s">
        <v>37209</v>
      </c>
      <c r="M6565" t="s">
        <v>39789</v>
      </c>
      <c r="N6565" t="s">
        <v>41249</v>
      </c>
      <c r="O6565" t="s">
        <v>41250</v>
      </c>
      <c r="P6565">
        <v>0</v>
      </c>
      <c r="Q6565">
        <v>0</v>
      </c>
      <c r="R6565" t="s">
        <v>41257</v>
      </c>
      <c r="S6565" t="s">
        <v>41461</v>
      </c>
      <c r="T6565" t="s">
        <v>42808</v>
      </c>
      <c r="U6565" t="s">
        <v>48624</v>
      </c>
      <c r="W6565" t="s">
        <v>39789</v>
      </c>
      <c r="X6565" t="s">
        <v>41258</v>
      </c>
    </row>
    <row r="6566" spans="1:24">
      <c r="A6566">
        <f>HYPERLINK("https://www.philgeps.gov.ph/GEPSNONPILOT/Tender/SplashBidNoticeAbstractUI.aspx?menuIndex=3&amp;refID=7067668&amp;Result=3","7067668")</f>
        <v>0</v>
      </c>
      <c r="B6566" t="s">
        <v>1333</v>
      </c>
      <c r="C6566" t="s">
        <v>9642</v>
      </c>
      <c r="D6566" t="s">
        <v>16612</v>
      </c>
      <c r="E6566" t="s">
        <v>18858</v>
      </c>
      <c r="F6566" t="s">
        <v>28669</v>
      </c>
      <c r="G6566" t="s">
        <v>28675</v>
      </c>
      <c r="H6566" t="s">
        <v>9998</v>
      </c>
      <c r="I6566" t="s">
        <v>7352</v>
      </c>
      <c r="J6566" t="s">
        <v>32963</v>
      </c>
      <c r="K6566" t="s">
        <v>37231</v>
      </c>
      <c r="M6566" t="s">
        <v>38887</v>
      </c>
      <c r="N6566" t="s">
        <v>41249</v>
      </c>
      <c r="O6566" t="s">
        <v>41250</v>
      </c>
      <c r="P6566">
        <v>0</v>
      </c>
      <c r="Q6566">
        <v>0</v>
      </c>
      <c r="R6566" t="s">
        <v>41257</v>
      </c>
      <c r="S6566" t="s">
        <v>41461</v>
      </c>
      <c r="T6566" t="s">
        <v>42738</v>
      </c>
      <c r="U6566" t="s">
        <v>48625</v>
      </c>
      <c r="W6566" t="s">
        <v>38887</v>
      </c>
      <c r="X6566" t="s">
        <v>41258</v>
      </c>
    </row>
    <row r="6567" spans="1:24">
      <c r="A6567">
        <f>HYPERLINK("https://www.philgeps.gov.ph/GEPSNONPILOT/Tender/SplashBidNoticeAbstractUI.aspx?menuIndex=3&amp;refID=7067606&amp;Result=3","7067606")</f>
        <v>0</v>
      </c>
      <c r="B6567" t="s">
        <v>2160</v>
      </c>
      <c r="C6567" t="s">
        <v>9643</v>
      </c>
      <c r="D6567" t="s">
        <v>16642</v>
      </c>
      <c r="E6567" t="s">
        <v>22490</v>
      </c>
      <c r="F6567" t="s">
        <v>28669</v>
      </c>
      <c r="G6567" t="s">
        <v>28675</v>
      </c>
      <c r="H6567" t="s">
        <v>28686</v>
      </c>
      <c r="I6567" t="s">
        <v>28689</v>
      </c>
      <c r="J6567" t="s">
        <v>32964</v>
      </c>
      <c r="K6567" t="s">
        <v>37209</v>
      </c>
      <c r="M6567" t="s">
        <v>39806</v>
      </c>
      <c r="N6567" t="s">
        <v>41249</v>
      </c>
      <c r="O6567" t="s">
        <v>41250</v>
      </c>
      <c r="P6567">
        <v>0</v>
      </c>
      <c r="Q6567">
        <v>0</v>
      </c>
      <c r="R6567" t="s">
        <v>41257</v>
      </c>
      <c r="S6567" t="s">
        <v>41461</v>
      </c>
      <c r="T6567" t="s">
        <v>42670</v>
      </c>
      <c r="U6567" t="s">
        <v>48626</v>
      </c>
      <c r="W6567" t="s">
        <v>39806</v>
      </c>
      <c r="X6567" t="s">
        <v>41258</v>
      </c>
    </row>
    <row r="6568" spans="1:24">
      <c r="A6568">
        <f>HYPERLINK("https://www.philgeps.gov.ph/GEPSNONPILOT/Tender/SplashBidNoticeAbstractUI.aspx?menuIndex=3&amp;refID=7067540&amp;Result=3","7067540")</f>
        <v>0</v>
      </c>
      <c r="B6568" t="s">
        <v>988</v>
      </c>
      <c r="C6568" t="s">
        <v>5302</v>
      </c>
      <c r="D6568" t="s">
        <v>16635</v>
      </c>
      <c r="E6568" t="s">
        <v>22491</v>
      </c>
      <c r="F6568" t="s">
        <v>28669</v>
      </c>
      <c r="G6568" t="s">
        <v>28678</v>
      </c>
      <c r="H6568" t="s">
        <v>9998</v>
      </c>
      <c r="I6568" t="s">
        <v>3718</v>
      </c>
      <c r="J6568" t="s">
        <v>28878</v>
      </c>
      <c r="K6568" t="s">
        <v>37206</v>
      </c>
      <c r="M6568" t="s">
        <v>39801</v>
      </c>
      <c r="N6568" t="s">
        <v>41249</v>
      </c>
      <c r="O6568" t="s">
        <v>41250</v>
      </c>
      <c r="P6568">
        <v>0</v>
      </c>
      <c r="Q6568">
        <v>1</v>
      </c>
      <c r="R6568" t="s">
        <v>41257</v>
      </c>
      <c r="S6568" t="s">
        <v>41461</v>
      </c>
      <c r="T6568" t="s">
        <v>42690</v>
      </c>
      <c r="U6568" t="s">
        <v>48627</v>
      </c>
      <c r="W6568" t="s">
        <v>39801</v>
      </c>
      <c r="X6568" t="s">
        <v>41258</v>
      </c>
    </row>
    <row r="6569" spans="1:24">
      <c r="A6569">
        <f>HYPERLINK("https://www.philgeps.gov.ph/GEPSNONPILOT/Tender/SplashBidNoticeAbstractUI.aspx?menuIndex=3&amp;refID=7067544&amp;Result=3","7067544")</f>
        <v>0</v>
      </c>
      <c r="B6569" t="s">
        <v>133</v>
      </c>
      <c r="C6569" t="s">
        <v>9644</v>
      </c>
      <c r="D6569" t="s">
        <v>16661</v>
      </c>
      <c r="E6569" t="s">
        <v>22492</v>
      </c>
      <c r="F6569" t="s">
        <v>28669</v>
      </c>
      <c r="G6569" t="s">
        <v>28675</v>
      </c>
      <c r="H6569" t="s">
        <v>28686</v>
      </c>
      <c r="I6569" t="s">
        <v>28689</v>
      </c>
      <c r="J6569" t="s">
        <v>32965</v>
      </c>
      <c r="K6569" t="s">
        <v>37220</v>
      </c>
      <c r="M6569" t="s">
        <v>37610</v>
      </c>
      <c r="N6569" t="s">
        <v>41249</v>
      </c>
      <c r="O6569" t="s">
        <v>41250</v>
      </c>
      <c r="P6569">
        <v>0</v>
      </c>
      <c r="Q6569">
        <v>0</v>
      </c>
      <c r="R6569" t="s">
        <v>41257</v>
      </c>
      <c r="S6569" t="s">
        <v>41461</v>
      </c>
      <c r="T6569" t="s">
        <v>42724</v>
      </c>
      <c r="U6569" t="s">
        <v>48628</v>
      </c>
      <c r="V6569" t="s">
        <v>55013</v>
      </c>
      <c r="W6569" t="s">
        <v>37610</v>
      </c>
      <c r="X6569" t="s">
        <v>41258</v>
      </c>
    </row>
    <row r="6570" spans="1:24">
      <c r="A6570">
        <f>HYPERLINK("https://www.philgeps.gov.ph/GEPSNONPILOT/Tender/SplashBidNoticeAbstractUI.aspx?menuIndex=3&amp;refID=7067653&amp;Result=3","7067653")</f>
        <v>0</v>
      </c>
      <c r="B6570" t="s">
        <v>1400</v>
      </c>
      <c r="C6570" t="s">
        <v>9645</v>
      </c>
      <c r="D6570" t="s">
        <v>16631</v>
      </c>
      <c r="E6570" t="s">
        <v>22493</v>
      </c>
      <c r="F6570" t="s">
        <v>28669</v>
      </c>
      <c r="G6570" t="s">
        <v>28675</v>
      </c>
      <c r="H6570" t="s">
        <v>9998</v>
      </c>
      <c r="I6570" t="s">
        <v>28695</v>
      </c>
      <c r="J6570" t="s">
        <v>32033</v>
      </c>
      <c r="K6570" t="s">
        <v>37208</v>
      </c>
      <c r="M6570" t="s">
        <v>38963</v>
      </c>
      <c r="N6570" t="s">
        <v>41249</v>
      </c>
      <c r="O6570" t="s">
        <v>41250</v>
      </c>
      <c r="P6570">
        <v>0</v>
      </c>
      <c r="Q6570">
        <v>0</v>
      </c>
      <c r="R6570" t="s">
        <v>41257</v>
      </c>
      <c r="S6570" t="s">
        <v>41461</v>
      </c>
      <c r="T6570" t="s">
        <v>42673</v>
      </c>
      <c r="U6570" t="s">
        <v>48629</v>
      </c>
      <c r="W6570" t="s">
        <v>38963</v>
      </c>
      <c r="X6570" t="s">
        <v>41258</v>
      </c>
    </row>
    <row r="6571" spans="1:24">
      <c r="A6571">
        <f>HYPERLINK("https://www.philgeps.gov.ph/GEPSNONPILOT/Tender/SplashBidNoticeAbstractUI.aspx?menuIndex=3&amp;refID=7067491&amp;Result=3","7067491")</f>
        <v>0</v>
      </c>
      <c r="B6571" t="s">
        <v>2162</v>
      </c>
      <c r="C6571" t="s">
        <v>6534</v>
      </c>
      <c r="D6571" t="s">
        <v>16613</v>
      </c>
      <c r="E6571" t="s">
        <v>22494</v>
      </c>
      <c r="F6571" t="s">
        <v>28669</v>
      </c>
      <c r="G6571" t="s">
        <v>28675</v>
      </c>
      <c r="H6571" t="s">
        <v>9998</v>
      </c>
      <c r="I6571" t="s">
        <v>6128</v>
      </c>
      <c r="J6571" t="s">
        <v>32966</v>
      </c>
      <c r="K6571" t="s">
        <v>37210</v>
      </c>
      <c r="M6571" t="s">
        <v>39809</v>
      </c>
      <c r="N6571" t="s">
        <v>41249</v>
      </c>
      <c r="O6571" t="s">
        <v>41250</v>
      </c>
      <c r="P6571">
        <v>0</v>
      </c>
      <c r="Q6571">
        <v>1</v>
      </c>
      <c r="R6571" t="s">
        <v>41257</v>
      </c>
      <c r="S6571" t="s">
        <v>41461</v>
      </c>
      <c r="T6571" t="s">
        <v>42761</v>
      </c>
      <c r="U6571" t="s">
        <v>46499</v>
      </c>
      <c r="W6571" t="s">
        <v>39809</v>
      </c>
      <c r="X6571" t="s">
        <v>41258</v>
      </c>
    </row>
    <row r="6572" spans="1:24">
      <c r="A6572">
        <f>HYPERLINK("https://www.philgeps.gov.ph/GEPSNONPILOT/Tender/SplashBidNoticeAbstractUI.aspx?menuIndex=3&amp;refID=7067650&amp;Result=3","7067650")</f>
        <v>0</v>
      </c>
      <c r="B6572" t="s">
        <v>193</v>
      </c>
      <c r="C6572" t="s">
        <v>9646</v>
      </c>
      <c r="D6572" t="s">
        <v>16658</v>
      </c>
      <c r="E6572" t="s">
        <v>22495</v>
      </c>
      <c r="F6572" t="s">
        <v>28669</v>
      </c>
      <c r="G6572" t="s">
        <v>28679</v>
      </c>
      <c r="H6572" t="s">
        <v>28686</v>
      </c>
      <c r="I6572" t="s">
        <v>28689</v>
      </c>
      <c r="J6572" t="s">
        <v>32967</v>
      </c>
      <c r="K6572" t="s">
        <v>37206</v>
      </c>
      <c r="M6572" t="s">
        <v>37671</v>
      </c>
      <c r="N6572" t="s">
        <v>41249</v>
      </c>
      <c r="O6572" t="s">
        <v>41250</v>
      </c>
      <c r="P6572">
        <v>0</v>
      </c>
      <c r="Q6572">
        <v>0</v>
      </c>
      <c r="R6572" t="s">
        <v>41257</v>
      </c>
      <c r="S6572" t="s">
        <v>41461</v>
      </c>
      <c r="T6572" t="s">
        <v>42673</v>
      </c>
      <c r="U6572" t="s">
        <v>48630</v>
      </c>
      <c r="W6572" t="s">
        <v>37671</v>
      </c>
      <c r="X6572" t="s">
        <v>41258</v>
      </c>
    </row>
    <row r="6573" spans="1:24">
      <c r="A6573">
        <f>HYPERLINK("https://www.philgeps.gov.ph/GEPSNONPILOT/Tender/SplashBidNoticeAbstractUI.aspx?menuIndex=3&amp;refID=7067490&amp;Result=3","7067490")</f>
        <v>0</v>
      </c>
      <c r="B6573" t="s">
        <v>194</v>
      </c>
      <c r="C6573" t="s">
        <v>9647</v>
      </c>
      <c r="D6573" t="s">
        <v>16672</v>
      </c>
      <c r="E6573" t="s">
        <v>22496</v>
      </c>
      <c r="F6573" t="s">
        <v>28669</v>
      </c>
      <c r="G6573" t="s">
        <v>28675</v>
      </c>
      <c r="H6573" t="s">
        <v>9998</v>
      </c>
      <c r="I6573" t="s">
        <v>28742</v>
      </c>
      <c r="J6573" t="s">
        <v>29035</v>
      </c>
      <c r="K6573" t="s">
        <v>37206</v>
      </c>
      <c r="M6573" t="s">
        <v>37672</v>
      </c>
      <c r="N6573" t="s">
        <v>41249</v>
      </c>
      <c r="O6573" t="s">
        <v>41250</v>
      </c>
      <c r="P6573">
        <v>0</v>
      </c>
      <c r="Q6573">
        <v>9</v>
      </c>
      <c r="R6573" t="s">
        <v>41257</v>
      </c>
      <c r="S6573" t="s">
        <v>41461</v>
      </c>
      <c r="T6573" t="s">
        <v>42782</v>
      </c>
      <c r="U6573" t="s">
        <v>43483</v>
      </c>
      <c r="W6573" t="s">
        <v>37672</v>
      </c>
      <c r="X6573" t="s">
        <v>41258</v>
      </c>
    </row>
    <row r="6574" spans="1:24">
      <c r="A6574">
        <f>HYPERLINK("https://www.philgeps.gov.ph/GEPSNONPILOT/Tender/SplashBidNoticeAbstractUI.aspx?menuIndex=3&amp;refID=7067647&amp;Result=3","7067647")</f>
        <v>0</v>
      </c>
      <c r="B6574" t="s">
        <v>193</v>
      </c>
      <c r="C6574" t="s">
        <v>9648</v>
      </c>
      <c r="D6574" t="s">
        <v>16658</v>
      </c>
      <c r="E6574" t="s">
        <v>22497</v>
      </c>
      <c r="F6574" t="s">
        <v>28669</v>
      </c>
      <c r="G6574" t="s">
        <v>28679</v>
      </c>
      <c r="H6574" t="s">
        <v>28686</v>
      </c>
      <c r="I6574" t="s">
        <v>28689</v>
      </c>
      <c r="J6574" t="s">
        <v>32968</v>
      </c>
      <c r="K6574" t="s">
        <v>37206</v>
      </c>
      <c r="M6574" t="s">
        <v>37671</v>
      </c>
      <c r="N6574" t="s">
        <v>41249</v>
      </c>
      <c r="O6574" t="s">
        <v>41250</v>
      </c>
      <c r="P6574">
        <v>0</v>
      </c>
      <c r="Q6574">
        <v>0</v>
      </c>
      <c r="R6574" t="s">
        <v>41257</v>
      </c>
      <c r="S6574" t="s">
        <v>41461</v>
      </c>
      <c r="T6574" t="s">
        <v>42673</v>
      </c>
      <c r="U6574" t="s">
        <v>48631</v>
      </c>
      <c r="W6574" t="s">
        <v>37671</v>
      </c>
      <c r="X6574" t="s">
        <v>41258</v>
      </c>
    </row>
    <row r="6575" spans="1:24">
      <c r="A6575">
        <f>HYPERLINK("https://www.philgeps.gov.ph/GEPSNONPILOT/Tender/SplashBidNoticeAbstractUI.aspx?menuIndex=3&amp;refID=7067645&amp;Result=3","7067645")</f>
        <v>0</v>
      </c>
      <c r="B6575" t="s">
        <v>1582</v>
      </c>
      <c r="C6575" t="s">
        <v>9649</v>
      </c>
      <c r="D6575" t="s">
        <v>16626</v>
      </c>
      <c r="E6575" t="s">
        <v>22498</v>
      </c>
      <c r="F6575" t="s">
        <v>28669</v>
      </c>
      <c r="G6575" t="s">
        <v>28675</v>
      </c>
      <c r="H6575" t="s">
        <v>9998</v>
      </c>
      <c r="I6575" t="s">
        <v>5213</v>
      </c>
      <c r="J6575" t="s">
        <v>32969</v>
      </c>
      <c r="K6575" t="s">
        <v>37347</v>
      </c>
      <c r="M6575" t="s">
        <v>39163</v>
      </c>
      <c r="N6575" t="s">
        <v>41249</v>
      </c>
      <c r="O6575" t="s">
        <v>41250</v>
      </c>
      <c r="P6575">
        <v>0</v>
      </c>
      <c r="Q6575">
        <v>0</v>
      </c>
      <c r="R6575" t="s">
        <v>41257</v>
      </c>
      <c r="S6575" t="s">
        <v>41461</v>
      </c>
      <c r="T6575" t="s">
        <v>42755</v>
      </c>
      <c r="U6575" t="s">
        <v>48632</v>
      </c>
      <c r="W6575" t="s">
        <v>39163</v>
      </c>
      <c r="X6575" t="s">
        <v>41258</v>
      </c>
    </row>
    <row r="6576" spans="1:24">
      <c r="A6576">
        <f>HYPERLINK("https://www.philgeps.gov.ph/GEPSNONPILOT/Tender/SplashBidNoticeAbstractUI.aspx?menuIndex=3&amp;refID=7067643&amp;Result=3","7067643")</f>
        <v>0</v>
      </c>
      <c r="B6576" t="s">
        <v>2118</v>
      </c>
      <c r="C6576" t="s">
        <v>9650</v>
      </c>
      <c r="D6576" t="s">
        <v>16628</v>
      </c>
      <c r="E6576" t="s">
        <v>22499</v>
      </c>
      <c r="F6576" t="s">
        <v>28669</v>
      </c>
      <c r="G6576" t="s">
        <v>28675</v>
      </c>
      <c r="H6576" t="s">
        <v>28686</v>
      </c>
      <c r="I6576" t="s">
        <v>28689</v>
      </c>
      <c r="J6576" t="s">
        <v>28850</v>
      </c>
      <c r="K6576" t="s">
        <v>37212</v>
      </c>
      <c r="M6576" t="s">
        <v>39762</v>
      </c>
      <c r="N6576" t="s">
        <v>41249</v>
      </c>
      <c r="O6576" t="s">
        <v>41250</v>
      </c>
      <c r="Q6576">
        <v>3</v>
      </c>
      <c r="R6576" t="s">
        <v>41257</v>
      </c>
      <c r="S6576" t="s">
        <v>41464</v>
      </c>
      <c r="T6576" t="s">
        <v>42758</v>
      </c>
      <c r="U6576" t="s">
        <v>48633</v>
      </c>
      <c r="W6576" t="s">
        <v>39762</v>
      </c>
      <c r="X6576" t="s">
        <v>41258</v>
      </c>
    </row>
    <row r="6577" spans="1:24">
      <c r="A6577">
        <f>HYPERLINK("https://www.philgeps.gov.ph/GEPSNONPILOT/Tender/SplashBidNoticeAbstractUI.aspx?menuIndex=3&amp;refID=7067641&amp;Result=3","7067641")</f>
        <v>0</v>
      </c>
      <c r="B6577" t="s">
        <v>133</v>
      </c>
      <c r="C6577" t="s">
        <v>9651</v>
      </c>
      <c r="D6577" t="s">
        <v>16661</v>
      </c>
      <c r="E6577" t="s">
        <v>22500</v>
      </c>
      <c r="F6577" t="s">
        <v>28669</v>
      </c>
      <c r="G6577" t="s">
        <v>28675</v>
      </c>
      <c r="H6577" t="s">
        <v>28686</v>
      </c>
      <c r="I6577" t="s">
        <v>28689</v>
      </c>
      <c r="J6577" t="s">
        <v>32970</v>
      </c>
      <c r="K6577" t="s">
        <v>37214</v>
      </c>
      <c r="M6577" t="s">
        <v>37610</v>
      </c>
      <c r="N6577" t="s">
        <v>41249</v>
      </c>
      <c r="O6577" t="s">
        <v>41250</v>
      </c>
      <c r="P6577">
        <v>0</v>
      </c>
      <c r="Q6577">
        <v>0</v>
      </c>
      <c r="R6577" t="s">
        <v>41257</v>
      </c>
      <c r="S6577" t="s">
        <v>41461</v>
      </c>
      <c r="T6577" t="s">
        <v>42724</v>
      </c>
      <c r="U6577" t="s">
        <v>48634</v>
      </c>
      <c r="V6577" t="s">
        <v>55013</v>
      </c>
      <c r="W6577" t="s">
        <v>37610</v>
      </c>
      <c r="X6577" t="s">
        <v>41258</v>
      </c>
    </row>
    <row r="6578" spans="1:24">
      <c r="A6578">
        <f>HYPERLINK("https://www.philgeps.gov.ph/GEPSNONPILOT/Tender/SplashBidNoticeAbstractUI.aspx?menuIndex=3&amp;refID=7067640&amp;Result=3","7067640")</f>
        <v>0</v>
      </c>
      <c r="B6578" t="s">
        <v>371</v>
      </c>
      <c r="C6578" t="s">
        <v>9652</v>
      </c>
      <c r="D6578" t="s">
        <v>16622</v>
      </c>
      <c r="E6578" t="s">
        <v>22501</v>
      </c>
      <c r="F6578" t="s">
        <v>28669</v>
      </c>
      <c r="G6578" t="s">
        <v>28675</v>
      </c>
      <c r="H6578" t="s">
        <v>9998</v>
      </c>
      <c r="I6578" t="s">
        <v>28708</v>
      </c>
      <c r="J6578" t="s">
        <v>28826</v>
      </c>
      <c r="K6578" t="s">
        <v>37205</v>
      </c>
      <c r="M6578" t="s">
        <v>37853</v>
      </c>
      <c r="N6578" t="s">
        <v>41249</v>
      </c>
      <c r="O6578" t="s">
        <v>41250</v>
      </c>
      <c r="P6578">
        <v>0</v>
      </c>
      <c r="Q6578">
        <v>0</v>
      </c>
      <c r="R6578" t="s">
        <v>41257</v>
      </c>
      <c r="S6578" t="s">
        <v>41461</v>
      </c>
      <c r="T6578" t="s">
        <v>42698</v>
      </c>
      <c r="U6578" t="s">
        <v>48635</v>
      </c>
      <c r="W6578" t="s">
        <v>37853</v>
      </c>
      <c r="X6578" t="s">
        <v>41258</v>
      </c>
    </row>
    <row r="6579" spans="1:24">
      <c r="A6579">
        <f>HYPERLINK("https://www.philgeps.gov.ph/GEPSNONPILOT/Tender/SplashBidNoticeAbstractUI.aspx?menuIndex=3&amp;refID=7067639&amp;Result=3","7067639")</f>
        <v>0</v>
      </c>
      <c r="B6579" t="s">
        <v>1333</v>
      </c>
      <c r="C6579" t="s">
        <v>9653</v>
      </c>
      <c r="D6579" t="s">
        <v>16612</v>
      </c>
      <c r="E6579" t="s">
        <v>18836</v>
      </c>
      <c r="F6579" t="s">
        <v>28669</v>
      </c>
      <c r="G6579" t="s">
        <v>28675</v>
      </c>
      <c r="H6579" t="s">
        <v>9998</v>
      </c>
      <c r="I6579" t="s">
        <v>7352</v>
      </c>
      <c r="J6579" t="s">
        <v>32971</v>
      </c>
      <c r="K6579" t="s">
        <v>37231</v>
      </c>
      <c r="M6579" t="s">
        <v>38887</v>
      </c>
      <c r="N6579" t="s">
        <v>41249</v>
      </c>
      <c r="O6579" t="s">
        <v>41250</v>
      </c>
      <c r="P6579">
        <v>0</v>
      </c>
      <c r="Q6579">
        <v>0</v>
      </c>
      <c r="R6579" t="s">
        <v>41257</v>
      </c>
      <c r="S6579" t="s">
        <v>41461</v>
      </c>
      <c r="T6579" t="s">
        <v>42738</v>
      </c>
      <c r="U6579" t="s">
        <v>48636</v>
      </c>
      <c r="W6579" t="s">
        <v>38887</v>
      </c>
      <c r="X6579" t="s">
        <v>41258</v>
      </c>
    </row>
    <row r="6580" spans="1:24">
      <c r="A6580">
        <f>HYPERLINK("https://www.philgeps.gov.ph/GEPSNONPILOT/Tender/SplashBidNoticeAbstractUI.aspx?menuIndex=3&amp;refID=7067638&amp;Result=3","7067638")</f>
        <v>0</v>
      </c>
      <c r="B6580" t="s">
        <v>193</v>
      </c>
      <c r="C6580" t="s">
        <v>9654</v>
      </c>
      <c r="D6580" t="s">
        <v>16658</v>
      </c>
      <c r="E6580" t="s">
        <v>22502</v>
      </c>
      <c r="F6580" t="s">
        <v>28669</v>
      </c>
      <c r="G6580" t="s">
        <v>28679</v>
      </c>
      <c r="H6580" t="s">
        <v>28686</v>
      </c>
      <c r="I6580" t="s">
        <v>28689</v>
      </c>
      <c r="J6580" t="s">
        <v>32972</v>
      </c>
      <c r="K6580" t="s">
        <v>37221</v>
      </c>
      <c r="M6580" t="s">
        <v>37671</v>
      </c>
      <c r="N6580" t="s">
        <v>41249</v>
      </c>
      <c r="O6580" t="s">
        <v>41250</v>
      </c>
      <c r="P6580">
        <v>0</v>
      </c>
      <c r="Q6580">
        <v>0</v>
      </c>
      <c r="R6580" t="s">
        <v>41257</v>
      </c>
      <c r="S6580" t="s">
        <v>41461</v>
      </c>
      <c r="T6580" t="s">
        <v>42673</v>
      </c>
      <c r="U6580" t="s">
        <v>48637</v>
      </c>
      <c r="W6580" t="s">
        <v>37671</v>
      </c>
      <c r="X6580" t="s">
        <v>41258</v>
      </c>
    </row>
    <row r="6581" spans="1:24">
      <c r="A6581">
        <f>HYPERLINK("https://www.philgeps.gov.ph/GEPSNONPILOT/Tender/SplashBidNoticeAbstractUI.aspx?menuIndex=3&amp;refID=7067637&amp;Result=3","7067637")</f>
        <v>0</v>
      </c>
      <c r="B6581" t="s">
        <v>694</v>
      </c>
      <c r="C6581" t="s">
        <v>9655</v>
      </c>
      <c r="D6581" t="s">
        <v>16686</v>
      </c>
      <c r="E6581" t="s">
        <v>22503</v>
      </c>
      <c r="F6581" t="s">
        <v>28669</v>
      </c>
      <c r="G6581" t="s">
        <v>28675</v>
      </c>
      <c r="H6581" t="s">
        <v>9998</v>
      </c>
      <c r="I6581" t="s">
        <v>28695</v>
      </c>
      <c r="J6581" t="s">
        <v>32973</v>
      </c>
      <c r="K6581" t="s">
        <v>37210</v>
      </c>
      <c r="M6581" t="s">
        <v>38199</v>
      </c>
      <c r="N6581" t="s">
        <v>41249</v>
      </c>
      <c r="O6581" t="s">
        <v>41250</v>
      </c>
      <c r="P6581">
        <v>0</v>
      </c>
      <c r="Q6581">
        <v>0</v>
      </c>
      <c r="R6581" t="s">
        <v>41257</v>
      </c>
      <c r="S6581" t="s">
        <v>41461</v>
      </c>
      <c r="T6581" t="s">
        <v>42701</v>
      </c>
      <c r="U6581" t="s">
        <v>48638</v>
      </c>
      <c r="V6581" t="s">
        <v>54428</v>
      </c>
      <c r="W6581" t="s">
        <v>38199</v>
      </c>
      <c r="X6581" t="s">
        <v>41258</v>
      </c>
    </row>
    <row r="6582" spans="1:24">
      <c r="A6582">
        <f>HYPERLINK("https://www.philgeps.gov.ph/GEPSNONPILOT/Tender/SplashBidNoticeAbstractUI.aspx?menuIndex=3&amp;refID=7067622&amp;Result=3","7067622")</f>
        <v>0</v>
      </c>
      <c r="B6582" t="s">
        <v>2163</v>
      </c>
      <c r="C6582" t="s">
        <v>9656</v>
      </c>
      <c r="D6582" t="s">
        <v>16619</v>
      </c>
      <c r="E6582" t="s">
        <v>16803</v>
      </c>
      <c r="F6582" t="s">
        <v>28669</v>
      </c>
      <c r="G6582" t="s">
        <v>28678</v>
      </c>
      <c r="H6582" t="s">
        <v>9998</v>
      </c>
      <c r="I6582" t="s">
        <v>28688</v>
      </c>
      <c r="J6582" t="s">
        <v>32974</v>
      </c>
      <c r="K6582" t="s">
        <v>37208</v>
      </c>
      <c r="M6582" t="s">
        <v>39810</v>
      </c>
      <c r="N6582" t="s">
        <v>41249</v>
      </c>
      <c r="O6582" t="s">
        <v>41250</v>
      </c>
      <c r="P6582">
        <v>0</v>
      </c>
      <c r="Q6582">
        <v>3</v>
      </c>
      <c r="R6582" t="s">
        <v>41257</v>
      </c>
      <c r="S6582" t="s">
        <v>41461</v>
      </c>
      <c r="T6582" t="s">
        <v>42758</v>
      </c>
      <c r="U6582" t="s">
        <v>48639</v>
      </c>
      <c r="V6582" t="s">
        <v>48881</v>
      </c>
      <c r="W6582" t="s">
        <v>39810</v>
      </c>
      <c r="X6582" t="s">
        <v>41258</v>
      </c>
    </row>
    <row r="6583" spans="1:24">
      <c r="A6583">
        <f>HYPERLINK("https://www.philgeps.gov.ph/GEPSNONPILOT/Tender/SplashBidNoticeAbstractUI.aspx?menuIndex=3&amp;refID=7067649&amp;Result=3","7067649")</f>
        <v>0</v>
      </c>
      <c r="B6583" t="s">
        <v>2144</v>
      </c>
      <c r="C6583" t="s">
        <v>9657</v>
      </c>
      <c r="D6583" t="s">
        <v>16686</v>
      </c>
      <c r="E6583" t="s">
        <v>22504</v>
      </c>
      <c r="F6583" t="s">
        <v>28669</v>
      </c>
      <c r="G6583" t="s">
        <v>28675</v>
      </c>
      <c r="H6583" t="s">
        <v>28686</v>
      </c>
      <c r="I6583" t="s">
        <v>28689</v>
      </c>
      <c r="J6583" t="s">
        <v>32975</v>
      </c>
      <c r="K6583" t="s">
        <v>37209</v>
      </c>
      <c r="M6583" t="s">
        <v>39789</v>
      </c>
      <c r="N6583" t="s">
        <v>41249</v>
      </c>
      <c r="O6583" t="s">
        <v>41250</v>
      </c>
      <c r="P6583">
        <v>0</v>
      </c>
      <c r="Q6583">
        <v>0</v>
      </c>
      <c r="R6583" t="s">
        <v>41257</v>
      </c>
      <c r="S6583" t="s">
        <v>41461</v>
      </c>
      <c r="T6583" t="s">
        <v>42808</v>
      </c>
      <c r="U6583" t="s">
        <v>48640</v>
      </c>
      <c r="W6583" t="s">
        <v>39789</v>
      </c>
      <c r="X6583" t="s">
        <v>41258</v>
      </c>
    </row>
    <row r="6584" spans="1:24">
      <c r="A6584">
        <f>HYPERLINK("https://www.philgeps.gov.ph/GEPSNONPILOT/Tender/SplashBidNoticeAbstractUI.aspx?menuIndex=3&amp;refID=7067660&amp;Result=3","7067660")</f>
        <v>0</v>
      </c>
      <c r="B6584" t="s">
        <v>2164</v>
      </c>
      <c r="C6584" t="s">
        <v>9658</v>
      </c>
      <c r="D6584" t="s">
        <v>16667</v>
      </c>
      <c r="E6584" t="s">
        <v>22505</v>
      </c>
      <c r="F6584" t="s">
        <v>28669</v>
      </c>
      <c r="G6584" t="s">
        <v>28675</v>
      </c>
      <c r="H6584" t="s">
        <v>9998</v>
      </c>
      <c r="I6584" t="s">
        <v>28717</v>
      </c>
      <c r="J6584" t="s">
        <v>29044</v>
      </c>
      <c r="K6584" t="s">
        <v>37204</v>
      </c>
      <c r="M6584" t="s">
        <v>39811</v>
      </c>
      <c r="N6584" t="s">
        <v>41249</v>
      </c>
      <c r="O6584" t="s">
        <v>41250</v>
      </c>
      <c r="P6584">
        <v>0</v>
      </c>
      <c r="Q6584">
        <v>2</v>
      </c>
      <c r="R6584" t="s">
        <v>41257</v>
      </c>
      <c r="S6584" t="s">
        <v>41461</v>
      </c>
      <c r="T6584" t="s">
        <v>42736</v>
      </c>
      <c r="U6584" t="s">
        <v>48641</v>
      </c>
      <c r="W6584" t="s">
        <v>39811</v>
      </c>
      <c r="X6584" t="s">
        <v>41258</v>
      </c>
    </row>
    <row r="6585" spans="1:24">
      <c r="A6585">
        <f>HYPERLINK("https://www.philgeps.gov.ph/GEPSNONPILOT/Tender/SplashBidNoticeAbstractUI.aspx?menuIndex=3&amp;refID=7067484&amp;Result=3","7067484")</f>
        <v>0</v>
      </c>
      <c r="B6585" t="s">
        <v>829</v>
      </c>
      <c r="C6585" t="s">
        <v>9659</v>
      </c>
      <c r="D6585" t="s">
        <v>16640</v>
      </c>
      <c r="E6585" t="s">
        <v>22506</v>
      </c>
      <c r="F6585" t="s">
        <v>28669</v>
      </c>
      <c r="G6585" t="s">
        <v>28678</v>
      </c>
      <c r="H6585" t="s">
        <v>9998</v>
      </c>
      <c r="I6585" t="s">
        <v>6128</v>
      </c>
      <c r="J6585" t="s">
        <v>32976</v>
      </c>
      <c r="K6585" t="s">
        <v>37206</v>
      </c>
      <c r="L6585" t="s">
        <v>829</v>
      </c>
      <c r="M6585" t="s">
        <v>38345</v>
      </c>
      <c r="N6585" t="s">
        <v>41249</v>
      </c>
      <c r="O6585" t="s">
        <v>41250</v>
      </c>
      <c r="P6585">
        <v>0</v>
      </c>
      <c r="Q6585">
        <v>7</v>
      </c>
      <c r="R6585" t="s">
        <v>41257</v>
      </c>
      <c r="S6585" t="s">
        <v>41461</v>
      </c>
      <c r="T6585" t="s">
        <v>42883</v>
      </c>
      <c r="U6585" t="s">
        <v>48642</v>
      </c>
      <c r="W6585" t="s">
        <v>38345</v>
      </c>
      <c r="X6585" t="s">
        <v>41258</v>
      </c>
    </row>
    <row r="6586" spans="1:24">
      <c r="A6586">
        <f>HYPERLINK("https://www.philgeps.gov.ph/GEPSNONPILOT/Tender/SplashBidNoticeAbstractUI.aspx?menuIndex=3&amp;refID=7066334&amp;Result=3","7066334")</f>
        <v>0</v>
      </c>
      <c r="B6586" t="s">
        <v>1423</v>
      </c>
      <c r="C6586" t="s">
        <v>9660</v>
      </c>
      <c r="D6586" t="s">
        <v>16635</v>
      </c>
      <c r="E6586" t="s">
        <v>22507</v>
      </c>
      <c r="F6586" t="s">
        <v>28669</v>
      </c>
      <c r="G6586" t="s">
        <v>28675</v>
      </c>
      <c r="H6586" t="s">
        <v>28686</v>
      </c>
      <c r="I6586" t="s">
        <v>28689</v>
      </c>
      <c r="J6586" t="s">
        <v>32977</v>
      </c>
      <c r="K6586" t="s">
        <v>37220</v>
      </c>
      <c r="M6586" t="s">
        <v>38986</v>
      </c>
      <c r="N6586" t="s">
        <v>41249</v>
      </c>
      <c r="O6586" t="s">
        <v>41250</v>
      </c>
      <c r="P6586">
        <v>0</v>
      </c>
      <c r="Q6586">
        <v>1</v>
      </c>
      <c r="R6586" t="s">
        <v>41257</v>
      </c>
      <c r="S6586" t="s">
        <v>41461</v>
      </c>
      <c r="T6586" t="s">
        <v>42704</v>
      </c>
      <c r="U6586" t="s">
        <v>48531</v>
      </c>
      <c r="W6586" t="s">
        <v>38986</v>
      </c>
      <c r="X6586" t="s">
        <v>41259</v>
      </c>
    </row>
    <row r="6587" spans="1:24">
      <c r="A6587">
        <f>HYPERLINK("https://www.philgeps.gov.ph/GEPSNONPILOT/Tender/SplashBidNoticeAbstractUI.aspx?menuIndex=3&amp;refID=7066286&amp;Result=3","7066286")</f>
        <v>0</v>
      </c>
      <c r="B6587" t="s">
        <v>33</v>
      </c>
      <c r="C6587" t="s">
        <v>9661</v>
      </c>
      <c r="E6587" t="s">
        <v>22508</v>
      </c>
      <c r="F6587" t="s">
        <v>28669</v>
      </c>
      <c r="G6587" t="s">
        <v>28675</v>
      </c>
      <c r="H6587" t="s">
        <v>9998</v>
      </c>
      <c r="I6587" t="s">
        <v>28695</v>
      </c>
      <c r="J6587" t="s">
        <v>32978</v>
      </c>
      <c r="K6587" t="s">
        <v>37216</v>
      </c>
      <c r="M6587" t="s">
        <v>38467</v>
      </c>
      <c r="N6587" t="s">
        <v>41249</v>
      </c>
      <c r="O6587" t="s">
        <v>41250</v>
      </c>
      <c r="P6587">
        <v>0</v>
      </c>
      <c r="Q6587">
        <v>0</v>
      </c>
      <c r="R6587" t="s">
        <v>41257</v>
      </c>
      <c r="S6587" t="s">
        <v>41461</v>
      </c>
      <c r="T6587" t="s">
        <v>42729</v>
      </c>
      <c r="U6587" t="s">
        <v>48643</v>
      </c>
      <c r="V6587" t="s">
        <v>54252</v>
      </c>
      <c r="W6587" t="s">
        <v>38467</v>
      </c>
      <c r="X6587" t="s">
        <v>41259</v>
      </c>
    </row>
    <row r="6588" spans="1:24">
      <c r="A6588">
        <f>HYPERLINK("https://www.philgeps.gov.ph/GEPSNONPILOT/Tender/SplashBidNoticeAbstractUI.aspx?menuIndex=3&amp;refID=7066266&amp;Result=3","7066266")</f>
        <v>0</v>
      </c>
      <c r="B6588" t="s">
        <v>2123</v>
      </c>
      <c r="C6588" t="s">
        <v>9662</v>
      </c>
      <c r="D6588" t="s">
        <v>16640</v>
      </c>
      <c r="E6588" t="s">
        <v>22509</v>
      </c>
      <c r="F6588" t="s">
        <v>28669</v>
      </c>
      <c r="G6588" t="s">
        <v>28675</v>
      </c>
      <c r="H6588" t="s">
        <v>28686</v>
      </c>
      <c r="I6588" t="s">
        <v>28689</v>
      </c>
      <c r="J6588" t="s">
        <v>32979</v>
      </c>
      <c r="K6588" t="s">
        <v>37220</v>
      </c>
      <c r="M6588" t="s">
        <v>39767</v>
      </c>
      <c r="N6588" t="s">
        <v>41249</v>
      </c>
      <c r="O6588" t="s">
        <v>41250</v>
      </c>
      <c r="P6588">
        <v>0</v>
      </c>
      <c r="Q6588">
        <v>1</v>
      </c>
      <c r="R6588" t="s">
        <v>41257</v>
      </c>
      <c r="S6588" t="s">
        <v>41461</v>
      </c>
      <c r="T6588" t="s">
        <v>42743</v>
      </c>
      <c r="U6588" t="s">
        <v>48644</v>
      </c>
      <c r="V6588" t="s">
        <v>54982</v>
      </c>
      <c r="W6588" t="s">
        <v>39767</v>
      </c>
      <c r="X6588" t="s">
        <v>41259</v>
      </c>
    </row>
    <row r="6589" spans="1:24">
      <c r="A6589">
        <f>HYPERLINK("https://www.philgeps.gov.ph/GEPSNONPILOT/Tender/SplashBidNoticeAbstractUI.aspx?menuIndex=3&amp;refID=7067616&amp;Result=3","7067616")</f>
        <v>0</v>
      </c>
      <c r="B6589" t="s">
        <v>406</v>
      </c>
      <c r="C6589" t="s">
        <v>9663</v>
      </c>
      <c r="D6589" t="s">
        <v>16644</v>
      </c>
      <c r="E6589" t="s">
        <v>22510</v>
      </c>
      <c r="F6589" t="s">
        <v>28669</v>
      </c>
      <c r="G6589" t="s">
        <v>28675</v>
      </c>
      <c r="H6589" t="s">
        <v>28686</v>
      </c>
      <c r="I6589" t="s">
        <v>28689</v>
      </c>
      <c r="J6589" t="s">
        <v>32980</v>
      </c>
      <c r="K6589" t="s">
        <v>37220</v>
      </c>
      <c r="M6589" t="s">
        <v>37891</v>
      </c>
      <c r="N6589" t="s">
        <v>41249</v>
      </c>
      <c r="O6589" t="s">
        <v>41250</v>
      </c>
      <c r="P6589">
        <v>0</v>
      </c>
      <c r="Q6589">
        <v>3</v>
      </c>
      <c r="R6589" t="s">
        <v>41257</v>
      </c>
      <c r="S6589" t="s">
        <v>41461</v>
      </c>
      <c r="T6589" t="s">
        <v>42782</v>
      </c>
      <c r="U6589" t="s">
        <v>48605</v>
      </c>
      <c r="V6589" t="s">
        <v>55023</v>
      </c>
      <c r="W6589" t="s">
        <v>37891</v>
      </c>
      <c r="X6589" t="s">
        <v>41258</v>
      </c>
    </row>
    <row r="6590" spans="1:24">
      <c r="A6590">
        <f>HYPERLINK("https://www.philgeps.gov.ph/GEPSNONPILOT/Tender/SplashBidNoticeAbstractUI.aspx?menuIndex=3&amp;refID=7066113&amp;Result=3","7066113")</f>
        <v>0</v>
      </c>
      <c r="B6590" t="s">
        <v>334</v>
      </c>
      <c r="C6590" t="s">
        <v>9664</v>
      </c>
      <c r="D6590" t="s">
        <v>16637</v>
      </c>
      <c r="E6590" t="s">
        <v>22511</v>
      </c>
      <c r="F6590" t="s">
        <v>28669</v>
      </c>
      <c r="G6590" t="s">
        <v>28675</v>
      </c>
      <c r="H6590" t="s">
        <v>9998</v>
      </c>
      <c r="I6590" t="s">
        <v>5286</v>
      </c>
      <c r="J6590" t="s">
        <v>28924</v>
      </c>
      <c r="K6590" t="s">
        <v>37206</v>
      </c>
      <c r="M6590" t="s">
        <v>37814</v>
      </c>
      <c r="N6590" t="s">
        <v>41249</v>
      </c>
      <c r="O6590" t="s">
        <v>41250</v>
      </c>
      <c r="P6590">
        <v>0</v>
      </c>
      <c r="Q6590">
        <v>5</v>
      </c>
      <c r="R6590" t="s">
        <v>41257</v>
      </c>
      <c r="S6590" t="s">
        <v>41461</v>
      </c>
      <c r="T6590" t="s">
        <v>42688</v>
      </c>
      <c r="U6590" t="s">
        <v>48645</v>
      </c>
      <c r="V6590" t="s">
        <v>55025</v>
      </c>
      <c r="W6590" t="s">
        <v>37814</v>
      </c>
      <c r="X6590" t="s">
        <v>41259</v>
      </c>
    </row>
    <row r="6591" spans="1:24">
      <c r="A6591">
        <f>HYPERLINK("https://www.philgeps.gov.ph/GEPSNONPILOT/Tender/SplashBidNoticeAbstractUI.aspx?menuIndex=3&amp;refID=7067624&amp;Result=3","7067624")</f>
        <v>0</v>
      </c>
      <c r="B6591" t="s">
        <v>133</v>
      </c>
      <c r="C6591" t="s">
        <v>9665</v>
      </c>
      <c r="D6591" t="s">
        <v>16661</v>
      </c>
      <c r="E6591" t="s">
        <v>22512</v>
      </c>
      <c r="F6591" t="s">
        <v>28669</v>
      </c>
      <c r="G6591" t="s">
        <v>28675</v>
      </c>
      <c r="H6591" t="s">
        <v>9998</v>
      </c>
      <c r="I6591" t="s">
        <v>28697</v>
      </c>
      <c r="J6591" t="s">
        <v>32981</v>
      </c>
      <c r="K6591" t="s">
        <v>37204</v>
      </c>
      <c r="M6591" t="s">
        <v>37610</v>
      </c>
      <c r="N6591" t="s">
        <v>41249</v>
      </c>
      <c r="O6591" t="s">
        <v>41250</v>
      </c>
      <c r="P6591">
        <v>0</v>
      </c>
      <c r="Q6591">
        <v>3</v>
      </c>
      <c r="R6591" t="s">
        <v>41257</v>
      </c>
      <c r="S6591" t="s">
        <v>41461</v>
      </c>
      <c r="T6591" t="s">
        <v>42724</v>
      </c>
      <c r="U6591" t="s">
        <v>48646</v>
      </c>
      <c r="V6591" t="s">
        <v>55020</v>
      </c>
      <c r="W6591" t="s">
        <v>37610</v>
      </c>
      <c r="X6591" t="s">
        <v>41258</v>
      </c>
    </row>
    <row r="6592" spans="1:24">
      <c r="A6592">
        <f>HYPERLINK("https://www.philgeps.gov.ph/GEPSNONPILOT/Tender/SplashBidNoticeAbstractUI.aspx?menuIndex=3&amp;refID=7067662&amp;Result=3","7067662")</f>
        <v>0</v>
      </c>
      <c r="B6592" t="s">
        <v>2165</v>
      </c>
      <c r="C6592" t="s">
        <v>9666</v>
      </c>
      <c r="D6592" t="s">
        <v>16611</v>
      </c>
      <c r="E6592" t="s">
        <v>22513</v>
      </c>
      <c r="F6592" t="s">
        <v>28669</v>
      </c>
      <c r="G6592" t="s">
        <v>28676</v>
      </c>
      <c r="H6592" t="s">
        <v>9998</v>
      </c>
      <c r="I6592" t="s">
        <v>28749</v>
      </c>
      <c r="J6592" t="s">
        <v>28905</v>
      </c>
      <c r="K6592" t="s">
        <v>37206</v>
      </c>
      <c r="M6592" t="s">
        <v>39812</v>
      </c>
      <c r="N6592" t="s">
        <v>41249</v>
      </c>
      <c r="O6592" t="s">
        <v>41250</v>
      </c>
      <c r="P6592">
        <v>0</v>
      </c>
      <c r="Q6592">
        <v>1</v>
      </c>
      <c r="R6592" t="s">
        <v>41257</v>
      </c>
      <c r="S6592" t="s">
        <v>41461</v>
      </c>
      <c r="T6592" t="s">
        <v>42774</v>
      </c>
      <c r="U6592" t="s">
        <v>48647</v>
      </c>
      <c r="W6592" t="s">
        <v>39812</v>
      </c>
      <c r="X6592" t="s">
        <v>41258</v>
      </c>
    </row>
    <row r="6593" spans="1:24">
      <c r="A6593">
        <f>HYPERLINK("https://www.philgeps.gov.ph/GEPSNONPILOT/Tender/SplashBidNoticeAbstractUI.aspx?menuIndex=3&amp;refID=7067718&amp;Result=3","7067718")</f>
        <v>0</v>
      </c>
      <c r="B6593" t="s">
        <v>2166</v>
      </c>
      <c r="C6593" t="s">
        <v>4075</v>
      </c>
      <c r="D6593" t="s">
        <v>16667</v>
      </c>
      <c r="E6593" t="s">
        <v>22514</v>
      </c>
      <c r="F6593" t="s">
        <v>28669</v>
      </c>
      <c r="G6593" t="s">
        <v>28675</v>
      </c>
      <c r="H6593" t="s">
        <v>28686</v>
      </c>
      <c r="I6593" t="s">
        <v>28689</v>
      </c>
      <c r="J6593" t="s">
        <v>28878</v>
      </c>
      <c r="K6593" t="s">
        <v>37205</v>
      </c>
      <c r="M6593" t="s">
        <v>39813</v>
      </c>
      <c r="N6593" t="s">
        <v>41249</v>
      </c>
      <c r="O6593" t="s">
        <v>41250</v>
      </c>
      <c r="P6593">
        <v>0</v>
      </c>
      <c r="Q6593">
        <v>0</v>
      </c>
      <c r="R6593" t="s">
        <v>41257</v>
      </c>
      <c r="S6593" t="s">
        <v>41461</v>
      </c>
      <c r="T6593" t="s">
        <v>42736</v>
      </c>
      <c r="U6593" t="s">
        <v>48648</v>
      </c>
      <c r="W6593" t="s">
        <v>39813</v>
      </c>
      <c r="X6593" t="s">
        <v>41258</v>
      </c>
    </row>
    <row r="6594" spans="1:24">
      <c r="A6594">
        <f>HYPERLINK("https://www.philgeps.gov.ph/GEPSNONPILOT/Tender/SplashBidNoticeAbstractUI.aspx?menuIndex=3&amp;refID=7067717&amp;Result=3","7067717")</f>
        <v>0</v>
      </c>
      <c r="B6594" t="s">
        <v>2160</v>
      </c>
      <c r="C6594" t="s">
        <v>9667</v>
      </c>
      <c r="D6594" t="s">
        <v>16642</v>
      </c>
      <c r="E6594" t="s">
        <v>22515</v>
      </c>
      <c r="F6594" t="s">
        <v>28669</v>
      </c>
      <c r="G6594" t="s">
        <v>28675</v>
      </c>
      <c r="H6594" t="s">
        <v>28686</v>
      </c>
      <c r="I6594" t="s">
        <v>28689</v>
      </c>
      <c r="J6594" t="s">
        <v>32982</v>
      </c>
      <c r="K6594" t="s">
        <v>37209</v>
      </c>
      <c r="M6594" t="s">
        <v>39806</v>
      </c>
      <c r="N6594" t="s">
        <v>41249</v>
      </c>
      <c r="O6594" t="s">
        <v>41250</v>
      </c>
      <c r="P6594">
        <v>0</v>
      </c>
      <c r="Q6594">
        <v>0</v>
      </c>
      <c r="R6594" t="s">
        <v>41257</v>
      </c>
      <c r="S6594" t="s">
        <v>41461</v>
      </c>
      <c r="T6594" t="s">
        <v>42670</v>
      </c>
      <c r="U6594" t="s">
        <v>48649</v>
      </c>
      <c r="W6594" t="s">
        <v>39806</v>
      </c>
      <c r="X6594" t="s">
        <v>41258</v>
      </c>
    </row>
    <row r="6595" spans="1:24">
      <c r="A6595">
        <f>HYPERLINK("https://www.philgeps.gov.ph/GEPSNONPILOT/Tender/SplashBidNoticeAbstractUI.aspx?menuIndex=3&amp;refID=7067715&amp;Result=3","7067715")</f>
        <v>0</v>
      </c>
      <c r="B6595" t="s">
        <v>1356</v>
      </c>
      <c r="C6595" t="s">
        <v>9668</v>
      </c>
      <c r="D6595" t="s">
        <v>16681</v>
      </c>
      <c r="E6595" t="s">
        <v>18429</v>
      </c>
      <c r="F6595" t="s">
        <v>28669</v>
      </c>
      <c r="G6595" t="s">
        <v>28675</v>
      </c>
      <c r="H6595" t="s">
        <v>28686</v>
      </c>
      <c r="I6595" t="s">
        <v>28689</v>
      </c>
      <c r="J6595" t="s">
        <v>32983</v>
      </c>
      <c r="K6595" t="s">
        <v>37356</v>
      </c>
      <c r="M6595" t="s">
        <v>38912</v>
      </c>
      <c r="N6595" t="s">
        <v>41249</v>
      </c>
      <c r="O6595" t="s">
        <v>41250</v>
      </c>
      <c r="P6595">
        <v>0</v>
      </c>
      <c r="Q6595">
        <v>0</v>
      </c>
      <c r="R6595" t="s">
        <v>41257</v>
      </c>
      <c r="S6595" t="s">
        <v>41461</v>
      </c>
      <c r="T6595" t="s">
        <v>43033</v>
      </c>
      <c r="U6595" t="s">
        <v>48650</v>
      </c>
      <c r="V6595" t="s">
        <v>55026</v>
      </c>
      <c r="W6595" t="s">
        <v>38912</v>
      </c>
      <c r="X6595" t="s">
        <v>41258</v>
      </c>
    </row>
    <row r="6596" spans="1:24">
      <c r="A6596">
        <f>HYPERLINK("https://www.philgeps.gov.ph/GEPSNONPILOT/Tender/SplashBidNoticeAbstractUI.aspx?menuIndex=3&amp;refID=7066117&amp;Result=3","7066117")</f>
        <v>0</v>
      </c>
      <c r="B6596" t="s">
        <v>2122</v>
      </c>
      <c r="C6596" t="s">
        <v>9669</v>
      </c>
      <c r="D6596" t="s">
        <v>16632</v>
      </c>
      <c r="E6596" t="s">
        <v>22516</v>
      </c>
      <c r="F6596" t="s">
        <v>28669</v>
      </c>
      <c r="G6596" t="s">
        <v>28677</v>
      </c>
      <c r="H6596" t="s">
        <v>9998</v>
      </c>
      <c r="I6596" t="s">
        <v>28697</v>
      </c>
      <c r="J6596" t="s">
        <v>28854</v>
      </c>
      <c r="K6596" t="s">
        <v>37209</v>
      </c>
      <c r="M6596" t="s">
        <v>39766</v>
      </c>
      <c r="N6596" t="s">
        <v>41249</v>
      </c>
      <c r="O6596" t="s">
        <v>41250</v>
      </c>
      <c r="P6596">
        <v>0</v>
      </c>
      <c r="Q6596">
        <v>6</v>
      </c>
      <c r="R6596" t="s">
        <v>41257</v>
      </c>
      <c r="S6596" t="s">
        <v>41461</v>
      </c>
      <c r="T6596" t="s">
        <v>42940</v>
      </c>
      <c r="U6596" t="s">
        <v>48651</v>
      </c>
      <c r="W6596" t="s">
        <v>39766</v>
      </c>
      <c r="X6596" t="s">
        <v>41259</v>
      </c>
    </row>
    <row r="6597" spans="1:24">
      <c r="A6597">
        <f>HYPERLINK("https://www.philgeps.gov.ph/GEPSNONPILOT/Tender/SplashBidNoticeAbstractUI.aspx?menuIndex=3&amp;refID=7067714&amp;Result=3","7067714")</f>
        <v>0</v>
      </c>
      <c r="B6597" t="s">
        <v>837</v>
      </c>
      <c r="C6597" t="s">
        <v>9670</v>
      </c>
      <c r="D6597" t="s">
        <v>16667</v>
      </c>
      <c r="E6597" t="s">
        <v>17407</v>
      </c>
      <c r="F6597" t="s">
        <v>28669</v>
      </c>
      <c r="G6597" t="s">
        <v>28675</v>
      </c>
      <c r="H6597" t="s">
        <v>9998</v>
      </c>
      <c r="I6597" t="s">
        <v>28722</v>
      </c>
      <c r="J6597" t="s">
        <v>28924</v>
      </c>
      <c r="K6597" t="s">
        <v>37220</v>
      </c>
      <c r="M6597" t="s">
        <v>38353</v>
      </c>
      <c r="N6597" t="s">
        <v>41249</v>
      </c>
      <c r="O6597" t="s">
        <v>41250</v>
      </c>
      <c r="P6597">
        <v>0</v>
      </c>
      <c r="Q6597">
        <v>2</v>
      </c>
      <c r="R6597" t="s">
        <v>41257</v>
      </c>
      <c r="S6597" t="s">
        <v>41461</v>
      </c>
      <c r="T6597" t="s">
        <v>42761</v>
      </c>
      <c r="U6597" t="s">
        <v>48652</v>
      </c>
      <c r="W6597" t="s">
        <v>38353</v>
      </c>
      <c r="X6597" t="s">
        <v>41258</v>
      </c>
    </row>
    <row r="6598" spans="1:24">
      <c r="A6598">
        <f>HYPERLINK("https://www.philgeps.gov.ph/GEPSNONPILOT/Tender/SplashBidNoticeAbstractUI.aspx?menuIndex=3&amp;refID=7067626&amp;Result=3","7067626")</f>
        <v>0</v>
      </c>
      <c r="B6598" t="s">
        <v>2167</v>
      </c>
      <c r="C6598" t="s">
        <v>9671</v>
      </c>
      <c r="E6598" t="s">
        <v>22517</v>
      </c>
      <c r="F6598" t="s">
        <v>28669</v>
      </c>
      <c r="G6598" t="s">
        <v>28676</v>
      </c>
      <c r="H6598" t="s">
        <v>9998</v>
      </c>
      <c r="I6598" t="s">
        <v>28754</v>
      </c>
      <c r="J6598" t="s">
        <v>28859</v>
      </c>
      <c r="K6598" t="s">
        <v>37206</v>
      </c>
      <c r="M6598" t="s">
        <v>39814</v>
      </c>
      <c r="N6598" t="s">
        <v>41249</v>
      </c>
      <c r="O6598" t="s">
        <v>41250</v>
      </c>
      <c r="P6598">
        <v>0</v>
      </c>
      <c r="Q6598">
        <v>1</v>
      </c>
      <c r="R6598" t="s">
        <v>41257</v>
      </c>
      <c r="S6598" t="s">
        <v>41461</v>
      </c>
      <c r="T6598" t="s">
        <v>42717</v>
      </c>
      <c r="U6598" t="s">
        <v>48653</v>
      </c>
      <c r="W6598" t="s">
        <v>55980</v>
      </c>
      <c r="X6598" t="s">
        <v>41258</v>
      </c>
    </row>
    <row r="6599" spans="1:24">
      <c r="A6599">
        <f>HYPERLINK("https://www.philgeps.gov.ph/GEPSNONPILOT/Tender/SplashBidNoticeAbstractUI.aspx?menuIndex=3&amp;refID=7067713&amp;Result=3","7067713")</f>
        <v>0</v>
      </c>
      <c r="B6599" t="s">
        <v>2168</v>
      </c>
      <c r="C6599" t="s">
        <v>9672</v>
      </c>
      <c r="D6599" t="s">
        <v>16657</v>
      </c>
      <c r="E6599" t="s">
        <v>22518</v>
      </c>
      <c r="F6599" t="s">
        <v>28669</v>
      </c>
      <c r="G6599" t="s">
        <v>28675</v>
      </c>
      <c r="H6599" t="s">
        <v>9998</v>
      </c>
      <c r="I6599" t="s">
        <v>28736</v>
      </c>
      <c r="J6599" t="s">
        <v>30036</v>
      </c>
      <c r="K6599" t="s">
        <v>37205</v>
      </c>
      <c r="M6599" t="s">
        <v>39815</v>
      </c>
      <c r="N6599" t="s">
        <v>41249</v>
      </c>
      <c r="O6599" t="s">
        <v>41250</v>
      </c>
      <c r="P6599">
        <v>0</v>
      </c>
      <c r="Q6599">
        <v>1</v>
      </c>
      <c r="R6599" t="s">
        <v>41257</v>
      </c>
      <c r="S6599" t="s">
        <v>41461</v>
      </c>
      <c r="T6599" t="s">
        <v>42827</v>
      </c>
      <c r="U6599" t="s">
        <v>48654</v>
      </c>
      <c r="V6599" t="s">
        <v>54406</v>
      </c>
      <c r="W6599" t="s">
        <v>39815</v>
      </c>
      <c r="X6599" t="s">
        <v>41258</v>
      </c>
    </row>
    <row r="6600" spans="1:24">
      <c r="A6600">
        <f>HYPERLINK("https://www.philgeps.gov.ph/GEPSNONPILOT/Tender/SplashBidNoticeAbstractUI.aspx?menuIndex=3&amp;refID=7066194&amp;Result=3","7066194")</f>
        <v>0</v>
      </c>
      <c r="B6600" t="s">
        <v>2169</v>
      </c>
      <c r="C6600" t="s">
        <v>9673</v>
      </c>
      <c r="D6600" t="s">
        <v>16608</v>
      </c>
      <c r="E6600" t="s">
        <v>18884</v>
      </c>
      <c r="F6600" t="s">
        <v>28669</v>
      </c>
      <c r="G6600" t="s">
        <v>28675</v>
      </c>
      <c r="H6600" t="s">
        <v>9998</v>
      </c>
      <c r="I6600" t="s">
        <v>5213</v>
      </c>
      <c r="J6600" t="s">
        <v>31530</v>
      </c>
      <c r="K6600" t="s">
        <v>37206</v>
      </c>
      <c r="M6600" t="s">
        <v>39816</v>
      </c>
      <c r="N6600" t="s">
        <v>41249</v>
      </c>
      <c r="O6600" t="s">
        <v>41250</v>
      </c>
      <c r="P6600">
        <v>0</v>
      </c>
      <c r="Q6600">
        <v>1</v>
      </c>
      <c r="R6600" t="s">
        <v>41257</v>
      </c>
      <c r="S6600" t="s">
        <v>41461</v>
      </c>
      <c r="T6600" t="s">
        <v>42696</v>
      </c>
      <c r="U6600" t="s">
        <v>48655</v>
      </c>
      <c r="W6600" t="s">
        <v>39816</v>
      </c>
      <c r="X6600" t="s">
        <v>41259</v>
      </c>
    </row>
    <row r="6601" spans="1:24">
      <c r="A6601">
        <f>HYPERLINK("https://www.philgeps.gov.ph/GEPSNONPILOT/Tender/SplashBidNoticeAbstractUI.aspx?menuIndex=3&amp;refID=7067707&amp;Result=3","7067707")</f>
        <v>0</v>
      </c>
      <c r="B6601" t="s">
        <v>1131</v>
      </c>
      <c r="C6601" t="s">
        <v>9674</v>
      </c>
      <c r="D6601" t="s">
        <v>16657</v>
      </c>
      <c r="E6601" t="s">
        <v>22519</v>
      </c>
      <c r="F6601" t="s">
        <v>28669</v>
      </c>
      <c r="G6601" t="s">
        <v>28675</v>
      </c>
      <c r="H6601" t="s">
        <v>9998</v>
      </c>
      <c r="I6601" t="s">
        <v>28741</v>
      </c>
      <c r="J6601" t="s">
        <v>29724</v>
      </c>
      <c r="K6601" t="s">
        <v>37205</v>
      </c>
      <c r="M6601" t="s">
        <v>38665</v>
      </c>
      <c r="N6601" t="s">
        <v>41249</v>
      </c>
      <c r="O6601" t="s">
        <v>41250</v>
      </c>
      <c r="P6601">
        <v>0</v>
      </c>
      <c r="Q6601">
        <v>8</v>
      </c>
      <c r="R6601" t="s">
        <v>41257</v>
      </c>
      <c r="S6601" t="s">
        <v>41461</v>
      </c>
      <c r="T6601" t="s">
        <v>42748</v>
      </c>
      <c r="U6601" t="s">
        <v>48656</v>
      </c>
      <c r="W6601" t="s">
        <v>55942</v>
      </c>
      <c r="X6601" t="s">
        <v>41258</v>
      </c>
    </row>
    <row r="6602" spans="1:24">
      <c r="A6602">
        <f>HYPERLINK("https://www.philgeps.gov.ph/GEPSNONPILOT/Tender/SplashBidNoticeAbstractUI.aspx?menuIndex=3&amp;refID=7067698&amp;Result=3","7067698")</f>
        <v>0</v>
      </c>
      <c r="B6602" t="s">
        <v>2144</v>
      </c>
      <c r="C6602" t="s">
        <v>9675</v>
      </c>
      <c r="D6602" t="s">
        <v>16686</v>
      </c>
      <c r="E6602" t="s">
        <v>22520</v>
      </c>
      <c r="F6602" t="s">
        <v>28669</v>
      </c>
      <c r="G6602" t="s">
        <v>28675</v>
      </c>
      <c r="H6602" t="s">
        <v>28686</v>
      </c>
      <c r="I6602" t="s">
        <v>28689</v>
      </c>
      <c r="J6602" t="s">
        <v>32962</v>
      </c>
      <c r="K6602" t="s">
        <v>37209</v>
      </c>
      <c r="M6602" t="s">
        <v>39789</v>
      </c>
      <c r="N6602" t="s">
        <v>41249</v>
      </c>
      <c r="O6602" t="s">
        <v>41250</v>
      </c>
      <c r="P6602">
        <v>0</v>
      </c>
      <c r="Q6602">
        <v>0</v>
      </c>
      <c r="R6602" t="s">
        <v>41257</v>
      </c>
      <c r="S6602" t="s">
        <v>41461</v>
      </c>
      <c r="T6602" t="s">
        <v>42808</v>
      </c>
      <c r="U6602" t="s">
        <v>48657</v>
      </c>
      <c r="W6602" t="s">
        <v>39789</v>
      </c>
      <c r="X6602" t="s">
        <v>41258</v>
      </c>
    </row>
    <row r="6603" spans="1:24">
      <c r="A6603">
        <f>HYPERLINK("https://www.philgeps.gov.ph/GEPSNONPILOT/Tender/SplashBidNoticeAbstractUI.aspx?menuIndex=3&amp;refID=7067697&amp;Result=3","7067697")</f>
        <v>0</v>
      </c>
      <c r="B6603" t="s">
        <v>2159</v>
      </c>
      <c r="C6603" t="s">
        <v>9676</v>
      </c>
      <c r="D6603" t="s">
        <v>16616</v>
      </c>
      <c r="E6603" t="s">
        <v>22521</v>
      </c>
      <c r="F6603" t="s">
        <v>28669</v>
      </c>
      <c r="G6603" t="s">
        <v>28677</v>
      </c>
      <c r="H6603" t="s">
        <v>9998</v>
      </c>
      <c r="I6603" t="s">
        <v>28690</v>
      </c>
      <c r="J6603" t="s">
        <v>32984</v>
      </c>
      <c r="K6603" t="s">
        <v>37243</v>
      </c>
      <c r="M6603" t="s">
        <v>39805</v>
      </c>
      <c r="N6603" t="s">
        <v>41249</v>
      </c>
      <c r="O6603" t="s">
        <v>41250</v>
      </c>
      <c r="P6603">
        <v>0</v>
      </c>
      <c r="Q6603">
        <v>0</v>
      </c>
      <c r="R6603" t="s">
        <v>41257</v>
      </c>
      <c r="S6603" t="s">
        <v>41461</v>
      </c>
      <c r="T6603" t="s">
        <v>42883</v>
      </c>
      <c r="U6603" t="s">
        <v>48658</v>
      </c>
      <c r="W6603" t="s">
        <v>39805</v>
      </c>
      <c r="X6603" t="s">
        <v>41258</v>
      </c>
    </row>
    <row r="6604" spans="1:24">
      <c r="A6604">
        <f>HYPERLINK("https://www.philgeps.gov.ph/GEPSNONPILOT/Tender/SplashBidNoticeAbstractUI.aspx?menuIndex=3&amp;refID=7067690&amp;Result=3","7067690")</f>
        <v>0</v>
      </c>
      <c r="B6604" t="s">
        <v>2160</v>
      </c>
      <c r="C6604" t="s">
        <v>9677</v>
      </c>
      <c r="D6604" t="s">
        <v>16642</v>
      </c>
      <c r="E6604" t="s">
        <v>22522</v>
      </c>
      <c r="F6604" t="s">
        <v>28669</v>
      </c>
      <c r="G6604" t="s">
        <v>28675</v>
      </c>
      <c r="H6604" t="s">
        <v>28686</v>
      </c>
      <c r="I6604" t="s">
        <v>28689</v>
      </c>
      <c r="J6604" t="s">
        <v>32985</v>
      </c>
      <c r="K6604" t="s">
        <v>37209</v>
      </c>
      <c r="M6604" t="s">
        <v>39806</v>
      </c>
      <c r="N6604" t="s">
        <v>41249</v>
      </c>
      <c r="O6604" t="s">
        <v>41250</v>
      </c>
      <c r="P6604">
        <v>0</v>
      </c>
      <c r="Q6604">
        <v>0</v>
      </c>
      <c r="R6604" t="s">
        <v>41257</v>
      </c>
      <c r="S6604" t="s">
        <v>41461</v>
      </c>
      <c r="T6604" t="s">
        <v>42670</v>
      </c>
      <c r="U6604" t="s">
        <v>48659</v>
      </c>
      <c r="W6604" t="s">
        <v>39806</v>
      </c>
      <c r="X6604" t="s">
        <v>41258</v>
      </c>
    </row>
    <row r="6605" spans="1:24">
      <c r="A6605">
        <f>HYPERLINK("https://www.philgeps.gov.ph/GEPSNONPILOT/Tender/SplashBidNoticeAbstractUI.aspx?menuIndex=3&amp;refID=7067685&amp;Result=3","7067685")</f>
        <v>0</v>
      </c>
      <c r="B6605" t="s">
        <v>2167</v>
      </c>
      <c r="C6605" t="s">
        <v>9678</v>
      </c>
      <c r="E6605" t="s">
        <v>22523</v>
      </c>
      <c r="F6605" t="s">
        <v>28669</v>
      </c>
      <c r="G6605" t="s">
        <v>28676</v>
      </c>
      <c r="H6605" t="s">
        <v>9998</v>
      </c>
      <c r="I6605" t="s">
        <v>28690</v>
      </c>
      <c r="J6605" t="s">
        <v>32986</v>
      </c>
      <c r="K6605" t="s">
        <v>37206</v>
      </c>
      <c r="M6605" t="s">
        <v>39814</v>
      </c>
      <c r="N6605" t="s">
        <v>41249</v>
      </c>
      <c r="O6605" t="s">
        <v>41250</v>
      </c>
      <c r="P6605">
        <v>0</v>
      </c>
      <c r="Q6605">
        <v>1</v>
      </c>
      <c r="R6605" t="s">
        <v>41257</v>
      </c>
      <c r="S6605" t="s">
        <v>41461</v>
      </c>
      <c r="T6605" t="s">
        <v>42717</v>
      </c>
      <c r="U6605" t="s">
        <v>48660</v>
      </c>
      <c r="W6605" t="s">
        <v>55980</v>
      </c>
      <c r="X6605" t="s">
        <v>41258</v>
      </c>
    </row>
    <row r="6606" spans="1:24">
      <c r="A6606">
        <f>HYPERLINK("https://www.philgeps.gov.ph/GEPSNONPILOT/Tender/SplashBidNoticeAbstractUI.aspx?menuIndex=3&amp;refID=7067684&amp;Result=3","7067684")</f>
        <v>0</v>
      </c>
      <c r="B6606" t="s">
        <v>1112</v>
      </c>
      <c r="C6606" t="s">
        <v>9679</v>
      </c>
      <c r="D6606" t="s">
        <v>16633</v>
      </c>
      <c r="E6606" t="s">
        <v>17051</v>
      </c>
      <c r="F6606" t="s">
        <v>28669</v>
      </c>
      <c r="G6606" t="s">
        <v>28675</v>
      </c>
      <c r="H6606" t="s">
        <v>9998</v>
      </c>
      <c r="I6606" t="s">
        <v>28717</v>
      </c>
      <c r="J6606" t="s">
        <v>28838</v>
      </c>
      <c r="K6606" t="s">
        <v>37204</v>
      </c>
      <c r="M6606" t="s">
        <v>38645</v>
      </c>
      <c r="N6606" t="s">
        <v>41249</v>
      </c>
      <c r="O6606" t="s">
        <v>41250</v>
      </c>
      <c r="P6606">
        <v>0</v>
      </c>
      <c r="Q6606">
        <v>2</v>
      </c>
      <c r="R6606" t="s">
        <v>41257</v>
      </c>
      <c r="S6606" t="s">
        <v>41461</v>
      </c>
      <c r="T6606" t="s">
        <v>42736</v>
      </c>
      <c r="U6606" t="s">
        <v>48661</v>
      </c>
      <c r="W6606" t="s">
        <v>38645</v>
      </c>
      <c r="X6606" t="s">
        <v>41258</v>
      </c>
    </row>
    <row r="6607" spans="1:24">
      <c r="A6607">
        <f>HYPERLINK("https://www.philgeps.gov.ph/GEPSNONPILOT/Tender/SplashBidNoticeAbstractUI.aspx?menuIndex=3&amp;refID=7067683&amp;Result=3","7067683")</f>
        <v>0</v>
      </c>
      <c r="B6607" t="s">
        <v>933</v>
      </c>
      <c r="C6607" t="s">
        <v>9680</v>
      </c>
      <c r="D6607" t="s">
        <v>16616</v>
      </c>
      <c r="E6607" t="s">
        <v>22524</v>
      </c>
      <c r="F6607" t="s">
        <v>28669</v>
      </c>
      <c r="G6607" t="s">
        <v>28675</v>
      </c>
      <c r="H6607" t="s">
        <v>28686</v>
      </c>
      <c r="I6607" t="s">
        <v>28689</v>
      </c>
      <c r="J6607" t="s">
        <v>29053</v>
      </c>
      <c r="K6607" t="s">
        <v>37209</v>
      </c>
      <c r="M6607" t="s">
        <v>38455</v>
      </c>
      <c r="N6607" t="s">
        <v>41249</v>
      </c>
      <c r="O6607" t="s">
        <v>41250</v>
      </c>
      <c r="P6607">
        <v>0</v>
      </c>
      <c r="Q6607">
        <v>2</v>
      </c>
      <c r="R6607" t="s">
        <v>41257</v>
      </c>
      <c r="S6607" t="s">
        <v>41461</v>
      </c>
      <c r="T6607" t="s">
        <v>42743</v>
      </c>
      <c r="U6607" t="s">
        <v>48662</v>
      </c>
      <c r="W6607" t="s">
        <v>38455</v>
      </c>
      <c r="X6607" t="s">
        <v>41258</v>
      </c>
    </row>
    <row r="6608" spans="1:24">
      <c r="A6608">
        <f>HYPERLINK("https://www.philgeps.gov.ph/GEPSNONPILOT/Tender/SplashBidNoticeAbstractUI.aspx?menuIndex=3&amp;refID=7067677&amp;Result=3","7067677")</f>
        <v>0</v>
      </c>
      <c r="B6608" t="s">
        <v>2168</v>
      </c>
      <c r="C6608" t="s">
        <v>9681</v>
      </c>
      <c r="D6608" t="s">
        <v>16657</v>
      </c>
      <c r="E6608" t="s">
        <v>22525</v>
      </c>
      <c r="F6608" t="s">
        <v>28669</v>
      </c>
      <c r="G6608" t="s">
        <v>28675</v>
      </c>
      <c r="H6608" t="s">
        <v>9998</v>
      </c>
      <c r="I6608" t="s">
        <v>28736</v>
      </c>
      <c r="J6608" t="s">
        <v>29767</v>
      </c>
      <c r="K6608" t="s">
        <v>37205</v>
      </c>
      <c r="M6608" t="s">
        <v>39815</v>
      </c>
      <c r="N6608" t="s">
        <v>41249</v>
      </c>
      <c r="O6608" t="s">
        <v>41250</v>
      </c>
      <c r="P6608">
        <v>0</v>
      </c>
      <c r="Q6608">
        <v>1</v>
      </c>
      <c r="R6608" t="s">
        <v>41257</v>
      </c>
      <c r="S6608" t="s">
        <v>41461</v>
      </c>
      <c r="T6608" t="s">
        <v>42827</v>
      </c>
      <c r="U6608" t="s">
        <v>48663</v>
      </c>
      <c r="V6608" t="s">
        <v>54406</v>
      </c>
      <c r="W6608" t="s">
        <v>39815</v>
      </c>
      <c r="X6608" t="s">
        <v>41258</v>
      </c>
    </row>
    <row r="6609" spans="1:24">
      <c r="A6609">
        <f>HYPERLINK("https://www.philgeps.gov.ph/GEPSNONPILOT/Tender/SplashBidNoticeAbstractUI.aspx?menuIndex=3&amp;refID=7067676&amp;Result=3","7067676")</f>
        <v>0</v>
      </c>
      <c r="B6609" t="s">
        <v>837</v>
      </c>
      <c r="C6609" t="s">
        <v>9682</v>
      </c>
      <c r="D6609" t="s">
        <v>16667</v>
      </c>
      <c r="E6609" t="s">
        <v>19365</v>
      </c>
      <c r="F6609" t="s">
        <v>28669</v>
      </c>
      <c r="G6609" t="s">
        <v>28675</v>
      </c>
      <c r="H6609" t="s">
        <v>9998</v>
      </c>
      <c r="I6609" t="s">
        <v>28722</v>
      </c>
      <c r="J6609" t="s">
        <v>29059</v>
      </c>
      <c r="K6609" t="s">
        <v>37220</v>
      </c>
      <c r="M6609" t="s">
        <v>38353</v>
      </c>
      <c r="N6609" t="s">
        <v>41249</v>
      </c>
      <c r="O6609" t="s">
        <v>41250</v>
      </c>
      <c r="P6609">
        <v>0</v>
      </c>
      <c r="Q6609">
        <v>1</v>
      </c>
      <c r="R6609" t="s">
        <v>41257</v>
      </c>
      <c r="S6609" t="s">
        <v>41461</v>
      </c>
      <c r="T6609" t="s">
        <v>42761</v>
      </c>
      <c r="U6609" t="s">
        <v>48664</v>
      </c>
      <c r="W6609" t="s">
        <v>38353</v>
      </c>
      <c r="X6609" t="s">
        <v>41258</v>
      </c>
    </row>
    <row r="6610" spans="1:24">
      <c r="A6610">
        <f>HYPERLINK("https://www.philgeps.gov.ph/GEPSNONPILOT/Tender/SplashBidNoticeAbstractUI.aspx?menuIndex=3&amp;refID=7067675&amp;Result=3","7067675")</f>
        <v>0</v>
      </c>
      <c r="B6610" t="s">
        <v>1582</v>
      </c>
      <c r="C6610" t="s">
        <v>9683</v>
      </c>
      <c r="D6610" t="s">
        <v>16626</v>
      </c>
      <c r="E6610" t="s">
        <v>18345</v>
      </c>
      <c r="F6610" t="s">
        <v>28669</v>
      </c>
      <c r="G6610" t="s">
        <v>28675</v>
      </c>
      <c r="H6610" t="s">
        <v>9998</v>
      </c>
      <c r="I6610" t="s">
        <v>5213</v>
      </c>
      <c r="J6610" t="s">
        <v>29060</v>
      </c>
      <c r="K6610" t="s">
        <v>37347</v>
      </c>
      <c r="M6610" t="s">
        <v>39163</v>
      </c>
      <c r="N6610" t="s">
        <v>41249</v>
      </c>
      <c r="O6610" t="s">
        <v>41250</v>
      </c>
      <c r="P6610">
        <v>0</v>
      </c>
      <c r="Q6610">
        <v>0</v>
      </c>
      <c r="R6610" t="s">
        <v>41257</v>
      </c>
      <c r="S6610" t="s">
        <v>41461</v>
      </c>
      <c r="T6610" t="s">
        <v>42755</v>
      </c>
      <c r="U6610" t="s">
        <v>48665</v>
      </c>
      <c r="W6610" t="s">
        <v>39163</v>
      </c>
      <c r="X6610" t="s">
        <v>41258</v>
      </c>
    </row>
    <row r="6611" spans="1:24">
      <c r="A6611">
        <f>HYPERLINK("https://www.philgeps.gov.ph/GEPSNONPILOT/Tender/SplashBidNoticeAbstractUI.aspx?menuIndex=3&amp;refID=7067664&amp;Result=3","7067664")</f>
        <v>0</v>
      </c>
      <c r="B6611" t="s">
        <v>1059</v>
      </c>
      <c r="C6611" t="s">
        <v>9684</v>
      </c>
      <c r="D6611" t="s">
        <v>16612</v>
      </c>
      <c r="E6611" t="s">
        <v>20507</v>
      </c>
      <c r="F6611" t="s">
        <v>28669</v>
      </c>
      <c r="G6611" t="s">
        <v>28676</v>
      </c>
      <c r="H6611" t="s">
        <v>9998</v>
      </c>
      <c r="I6611" t="s">
        <v>7352</v>
      </c>
      <c r="J6611" t="s">
        <v>32509</v>
      </c>
      <c r="K6611" t="s">
        <v>37205</v>
      </c>
      <c r="M6611" t="s">
        <v>38590</v>
      </c>
      <c r="N6611" t="s">
        <v>41249</v>
      </c>
      <c r="O6611" t="s">
        <v>41250</v>
      </c>
      <c r="P6611">
        <v>0</v>
      </c>
      <c r="Q6611">
        <v>0</v>
      </c>
      <c r="R6611" t="s">
        <v>41257</v>
      </c>
      <c r="S6611" t="s">
        <v>41461</v>
      </c>
      <c r="T6611" t="s">
        <v>42743</v>
      </c>
      <c r="U6611" t="s">
        <v>48666</v>
      </c>
      <c r="W6611" t="s">
        <v>38590</v>
      </c>
      <c r="X6611" t="s">
        <v>41258</v>
      </c>
    </row>
    <row r="6612" spans="1:24">
      <c r="A6612">
        <f>HYPERLINK("https://www.philgeps.gov.ph/GEPSNONPILOT/Tender/SplashBidNoticeAbstractUI.aspx?menuIndex=3&amp;refID=7067672&amp;Result=3","7067672")</f>
        <v>0</v>
      </c>
      <c r="B6612" t="s">
        <v>715</v>
      </c>
      <c r="C6612" t="s">
        <v>9685</v>
      </c>
      <c r="D6612" t="s">
        <v>16624</v>
      </c>
      <c r="E6612" t="s">
        <v>22526</v>
      </c>
      <c r="F6612" t="s">
        <v>28669</v>
      </c>
      <c r="G6612" t="s">
        <v>28676</v>
      </c>
      <c r="H6612" t="s">
        <v>9998</v>
      </c>
      <c r="I6612" t="s">
        <v>28706</v>
      </c>
      <c r="J6612" t="s">
        <v>29135</v>
      </c>
      <c r="K6612" t="s">
        <v>37205</v>
      </c>
      <c r="M6612" t="s">
        <v>39817</v>
      </c>
      <c r="N6612" t="s">
        <v>41249</v>
      </c>
      <c r="O6612" t="s">
        <v>41250</v>
      </c>
      <c r="P6612">
        <v>0</v>
      </c>
      <c r="Q6612">
        <v>1</v>
      </c>
      <c r="R6612" t="s">
        <v>41257</v>
      </c>
      <c r="S6612" t="s">
        <v>41461</v>
      </c>
      <c r="T6612" t="s">
        <v>42887</v>
      </c>
      <c r="U6612" t="s">
        <v>48667</v>
      </c>
      <c r="W6612" t="s">
        <v>39817</v>
      </c>
      <c r="X6612" t="s">
        <v>41258</v>
      </c>
    </row>
    <row r="6613" spans="1:24">
      <c r="A6613">
        <f>HYPERLINK("https://www.philgeps.gov.ph/GEPSNONPILOT/Tender/SplashBidNoticeAbstractUI.aspx?menuIndex=3&amp;refID=7067695&amp;Result=3","7067695")</f>
        <v>0</v>
      </c>
      <c r="B6613" t="s">
        <v>1333</v>
      </c>
      <c r="C6613" t="s">
        <v>9686</v>
      </c>
      <c r="D6613" t="s">
        <v>16612</v>
      </c>
      <c r="E6613" t="s">
        <v>22527</v>
      </c>
      <c r="F6613" t="s">
        <v>28669</v>
      </c>
      <c r="G6613" t="s">
        <v>28675</v>
      </c>
      <c r="H6613" t="s">
        <v>9998</v>
      </c>
      <c r="I6613" t="s">
        <v>7352</v>
      </c>
      <c r="J6613" t="s">
        <v>32987</v>
      </c>
      <c r="K6613" t="s">
        <v>37231</v>
      </c>
      <c r="M6613" t="s">
        <v>38887</v>
      </c>
      <c r="N6613" t="s">
        <v>41249</v>
      </c>
      <c r="O6613" t="s">
        <v>41250</v>
      </c>
      <c r="P6613">
        <v>0</v>
      </c>
      <c r="Q6613">
        <v>0</v>
      </c>
      <c r="R6613" t="s">
        <v>41257</v>
      </c>
      <c r="S6613" t="s">
        <v>41461</v>
      </c>
      <c r="T6613" t="s">
        <v>42738</v>
      </c>
      <c r="U6613" t="s">
        <v>48668</v>
      </c>
      <c r="W6613" t="s">
        <v>38887</v>
      </c>
      <c r="X6613" t="s">
        <v>41258</v>
      </c>
    </row>
    <row r="6614" spans="1:24">
      <c r="A6614">
        <f>HYPERLINK("https://www.philgeps.gov.ph/GEPSNONPILOT/Tender/SplashBidNoticeAbstractUI.aspx?menuIndex=3&amp;refID=7072199&amp;Result=3","7072199")</f>
        <v>0</v>
      </c>
      <c r="B6614" t="s">
        <v>2098</v>
      </c>
      <c r="C6614" t="s">
        <v>9687</v>
      </c>
      <c r="D6614" t="s">
        <v>16618</v>
      </c>
      <c r="E6614" t="s">
        <v>22528</v>
      </c>
      <c r="F6614" t="s">
        <v>28669</v>
      </c>
      <c r="G6614" t="s">
        <v>28675</v>
      </c>
      <c r="H6614" t="s">
        <v>28686</v>
      </c>
      <c r="I6614" t="s">
        <v>28689</v>
      </c>
      <c r="J6614" t="s">
        <v>32988</v>
      </c>
      <c r="K6614" t="s">
        <v>37212</v>
      </c>
      <c r="L6614" t="s">
        <v>2098</v>
      </c>
      <c r="M6614" t="s">
        <v>39740</v>
      </c>
      <c r="N6614" t="s">
        <v>41249</v>
      </c>
      <c r="O6614" t="s">
        <v>41250</v>
      </c>
      <c r="P6614">
        <v>0</v>
      </c>
      <c r="Q6614">
        <v>5</v>
      </c>
      <c r="R6614" t="s">
        <v>41256</v>
      </c>
      <c r="S6614" t="s">
        <v>41450</v>
      </c>
      <c r="T6614" t="s">
        <v>42911</v>
      </c>
      <c r="U6614" t="s">
        <v>48407</v>
      </c>
      <c r="V6614" t="s">
        <v>55027</v>
      </c>
      <c r="W6614" t="s">
        <v>39740</v>
      </c>
      <c r="X6614" t="s">
        <v>41257</v>
      </c>
    </row>
    <row r="6615" spans="1:24">
      <c r="A6615">
        <f>HYPERLINK("https://www.philgeps.gov.ph/GEPSNONPILOT/Tender/SplashBidNoticeAbstractUI.aspx?menuIndex=3&amp;refID=7072196&amp;Result=3","7072196")</f>
        <v>0</v>
      </c>
      <c r="B6615" t="s">
        <v>1350</v>
      </c>
      <c r="C6615" t="s">
        <v>9688</v>
      </c>
      <c r="D6615" t="s">
        <v>16698</v>
      </c>
      <c r="E6615" t="s">
        <v>22529</v>
      </c>
      <c r="F6615" t="s">
        <v>28669</v>
      </c>
      <c r="G6615" t="s">
        <v>28676</v>
      </c>
      <c r="H6615" t="s">
        <v>28684</v>
      </c>
      <c r="I6615" t="s">
        <v>28701</v>
      </c>
      <c r="J6615" t="s">
        <v>32989</v>
      </c>
      <c r="K6615" t="s">
        <v>37327</v>
      </c>
      <c r="M6615" t="s">
        <v>38905</v>
      </c>
      <c r="N6615" t="s">
        <v>41249</v>
      </c>
      <c r="O6615" t="s">
        <v>41250</v>
      </c>
      <c r="P6615">
        <v>0</v>
      </c>
      <c r="Q6615">
        <v>2</v>
      </c>
      <c r="R6615" t="s">
        <v>41256</v>
      </c>
      <c r="S6615" t="s">
        <v>41450</v>
      </c>
      <c r="T6615" t="s">
        <v>42675</v>
      </c>
      <c r="U6615" t="s">
        <v>48669</v>
      </c>
      <c r="W6615" t="s">
        <v>38905</v>
      </c>
      <c r="X6615" t="s">
        <v>41257</v>
      </c>
    </row>
    <row r="6616" spans="1:24">
      <c r="A6616">
        <f>HYPERLINK("https://www.philgeps.gov.ph/GEPSNONPILOT/Tender/SplashBidNoticeAbstractUI.aspx?menuIndex=3&amp;refID=7067644&amp;Result=3","7067644")</f>
        <v>0</v>
      </c>
      <c r="B6616" t="s">
        <v>2160</v>
      </c>
      <c r="C6616" t="s">
        <v>9689</v>
      </c>
      <c r="D6616" t="s">
        <v>16642</v>
      </c>
      <c r="E6616" t="s">
        <v>22530</v>
      </c>
      <c r="F6616" t="s">
        <v>28669</v>
      </c>
      <c r="G6616" t="s">
        <v>28675</v>
      </c>
      <c r="H6616" t="s">
        <v>28686</v>
      </c>
      <c r="I6616" t="s">
        <v>28689</v>
      </c>
      <c r="J6616" t="s">
        <v>32990</v>
      </c>
      <c r="K6616" t="s">
        <v>37209</v>
      </c>
      <c r="M6616" t="s">
        <v>39806</v>
      </c>
      <c r="N6616" t="s">
        <v>41249</v>
      </c>
      <c r="O6616" t="s">
        <v>41250</v>
      </c>
      <c r="P6616">
        <v>0</v>
      </c>
      <c r="Q6616">
        <v>0</v>
      </c>
      <c r="R6616" t="s">
        <v>41257</v>
      </c>
      <c r="S6616" t="s">
        <v>41461</v>
      </c>
      <c r="T6616" t="s">
        <v>42670</v>
      </c>
      <c r="U6616" t="s">
        <v>48670</v>
      </c>
      <c r="W6616" t="s">
        <v>39806</v>
      </c>
      <c r="X6616" t="s">
        <v>41258</v>
      </c>
    </row>
    <row r="6617" spans="1:24">
      <c r="A6617">
        <f>HYPERLINK("https://www.philgeps.gov.ph/GEPSNONPILOT/Tender/SplashBidNoticeAbstractUI.aspx?menuIndex=3&amp;refID=7067710&amp;Result=3","7067710")</f>
        <v>0</v>
      </c>
      <c r="B6617" t="s">
        <v>1582</v>
      </c>
      <c r="C6617" t="s">
        <v>9690</v>
      </c>
      <c r="D6617" t="s">
        <v>16626</v>
      </c>
      <c r="E6617" t="s">
        <v>20627</v>
      </c>
      <c r="F6617" t="s">
        <v>28669</v>
      </c>
      <c r="G6617" t="s">
        <v>28675</v>
      </c>
      <c r="H6617" t="s">
        <v>9998</v>
      </c>
      <c r="I6617" t="s">
        <v>5213</v>
      </c>
      <c r="J6617" t="s">
        <v>32991</v>
      </c>
      <c r="K6617" t="s">
        <v>37347</v>
      </c>
      <c r="M6617" t="s">
        <v>39163</v>
      </c>
      <c r="N6617" t="s">
        <v>41249</v>
      </c>
      <c r="O6617" t="s">
        <v>41250</v>
      </c>
      <c r="P6617">
        <v>0</v>
      </c>
      <c r="Q6617">
        <v>0</v>
      </c>
      <c r="R6617" t="s">
        <v>41257</v>
      </c>
      <c r="S6617" t="s">
        <v>41461</v>
      </c>
      <c r="T6617" t="s">
        <v>42719</v>
      </c>
      <c r="U6617" t="s">
        <v>48671</v>
      </c>
      <c r="W6617" t="s">
        <v>39163</v>
      </c>
      <c r="X6617" t="s">
        <v>41258</v>
      </c>
    </row>
    <row r="6618" spans="1:24">
      <c r="A6618">
        <f>HYPERLINK("https://www.philgeps.gov.ph/GEPSNONPILOT/Tender/SplashBidNoticeAbstractUI.aspx?menuIndex=3&amp;refID=7067766&amp;Result=3","7067766")</f>
        <v>0</v>
      </c>
      <c r="B6618" t="s">
        <v>1759</v>
      </c>
      <c r="C6618" t="s">
        <v>9691</v>
      </c>
      <c r="E6618" t="s">
        <v>22531</v>
      </c>
      <c r="F6618" t="s">
        <v>28669</v>
      </c>
      <c r="G6618" t="s">
        <v>28675</v>
      </c>
      <c r="H6618" t="s">
        <v>9998</v>
      </c>
      <c r="I6618" t="s">
        <v>7352</v>
      </c>
      <c r="J6618" t="s">
        <v>32992</v>
      </c>
      <c r="K6618" t="s">
        <v>37206</v>
      </c>
      <c r="M6618" t="s">
        <v>39818</v>
      </c>
      <c r="N6618" t="s">
        <v>41249</v>
      </c>
      <c r="O6618" t="s">
        <v>41250</v>
      </c>
      <c r="Q6618">
        <v>0</v>
      </c>
      <c r="R6618" t="s">
        <v>41257</v>
      </c>
      <c r="S6618" t="s">
        <v>41465</v>
      </c>
      <c r="T6618" t="s">
        <v>42759</v>
      </c>
      <c r="U6618" t="s">
        <v>48672</v>
      </c>
      <c r="W6618" t="s">
        <v>39818</v>
      </c>
      <c r="X6618" t="s">
        <v>41258</v>
      </c>
    </row>
    <row r="6619" spans="1:24">
      <c r="A6619">
        <f>HYPERLINK("https://www.philgeps.gov.ph/GEPSNONPILOT/Tender/SplashBidNoticeAbstractUI.aspx?menuIndex=3&amp;refID=7072200&amp;Result=3","7072200")</f>
        <v>0</v>
      </c>
      <c r="B6619" t="s">
        <v>1626</v>
      </c>
      <c r="C6619" t="s">
        <v>9692</v>
      </c>
      <c r="E6619" t="s">
        <v>22532</v>
      </c>
      <c r="F6619" t="s">
        <v>28669</v>
      </c>
      <c r="G6619" t="s">
        <v>28676</v>
      </c>
      <c r="H6619" t="s">
        <v>9998</v>
      </c>
      <c r="I6619" t="s">
        <v>28777</v>
      </c>
      <c r="J6619" t="s">
        <v>29104</v>
      </c>
      <c r="K6619" t="s">
        <v>37209</v>
      </c>
      <c r="M6619" t="s">
        <v>39212</v>
      </c>
      <c r="N6619" t="s">
        <v>41249</v>
      </c>
      <c r="O6619" t="s">
        <v>41250</v>
      </c>
      <c r="P6619">
        <v>0</v>
      </c>
      <c r="Q6619">
        <v>3</v>
      </c>
      <c r="R6619" t="s">
        <v>41256</v>
      </c>
      <c r="S6619" t="s">
        <v>41450</v>
      </c>
      <c r="T6619" t="s">
        <v>42938</v>
      </c>
      <c r="U6619" t="s">
        <v>48233</v>
      </c>
      <c r="W6619" t="s">
        <v>39212</v>
      </c>
      <c r="X6619" t="s">
        <v>41257</v>
      </c>
    </row>
    <row r="6620" spans="1:24">
      <c r="A6620">
        <f>HYPERLINK("https://www.philgeps.gov.ph/GEPSNONPILOT/Tender/SplashBidNoticeAbstractUI.aspx?menuIndex=3&amp;refID=7067761&amp;Result=3","7067761")</f>
        <v>0</v>
      </c>
      <c r="B6620" t="s">
        <v>1765</v>
      </c>
      <c r="C6620" t="s">
        <v>9693</v>
      </c>
      <c r="D6620" t="s">
        <v>16639</v>
      </c>
      <c r="E6620" t="s">
        <v>22533</v>
      </c>
      <c r="F6620" t="s">
        <v>28669</v>
      </c>
      <c r="G6620" t="s">
        <v>28675</v>
      </c>
      <c r="H6620" t="s">
        <v>9998</v>
      </c>
      <c r="I6620" t="s">
        <v>28798</v>
      </c>
      <c r="J6620" t="s">
        <v>32993</v>
      </c>
      <c r="K6620" t="s">
        <v>37216</v>
      </c>
      <c r="M6620" t="s">
        <v>39367</v>
      </c>
      <c r="N6620" t="s">
        <v>41249</v>
      </c>
      <c r="O6620" t="s">
        <v>41250</v>
      </c>
      <c r="P6620">
        <v>0</v>
      </c>
      <c r="Q6620">
        <v>5</v>
      </c>
      <c r="R6620" t="s">
        <v>41257</v>
      </c>
      <c r="S6620" t="s">
        <v>41461</v>
      </c>
      <c r="T6620" t="s">
        <v>42660</v>
      </c>
      <c r="U6620" t="s">
        <v>48673</v>
      </c>
      <c r="V6620" t="s">
        <v>54830</v>
      </c>
      <c r="W6620" t="s">
        <v>39367</v>
      </c>
      <c r="X6620" t="s">
        <v>41258</v>
      </c>
    </row>
    <row r="6621" spans="1:24">
      <c r="A6621">
        <f>HYPERLINK("https://www.philgeps.gov.ph/GEPSNONPILOT/Tender/SplashBidNoticeAbstractUI.aspx?menuIndex=3&amp;refID=7067755&amp;Result=3","7067755")</f>
        <v>0</v>
      </c>
      <c r="B6621" t="s">
        <v>667</v>
      </c>
      <c r="C6621" t="s">
        <v>9694</v>
      </c>
      <c r="D6621" t="s">
        <v>16630</v>
      </c>
      <c r="E6621" t="s">
        <v>22534</v>
      </c>
      <c r="F6621" t="s">
        <v>28669</v>
      </c>
      <c r="G6621" t="s">
        <v>28676</v>
      </c>
      <c r="H6621" t="s">
        <v>9998</v>
      </c>
      <c r="I6621" t="s">
        <v>5213</v>
      </c>
      <c r="J6621" t="s">
        <v>32994</v>
      </c>
      <c r="K6621" t="s">
        <v>37205</v>
      </c>
      <c r="M6621" t="s">
        <v>38170</v>
      </c>
      <c r="N6621" t="s">
        <v>41249</v>
      </c>
      <c r="O6621" t="s">
        <v>41250</v>
      </c>
      <c r="P6621">
        <v>0</v>
      </c>
      <c r="Q6621">
        <v>0</v>
      </c>
      <c r="R6621" t="s">
        <v>41257</v>
      </c>
      <c r="S6621" t="s">
        <v>41461</v>
      </c>
      <c r="T6621" t="s">
        <v>42743</v>
      </c>
      <c r="U6621" t="s">
        <v>48674</v>
      </c>
      <c r="W6621" t="s">
        <v>38170</v>
      </c>
      <c r="X6621" t="s">
        <v>41258</v>
      </c>
    </row>
    <row r="6622" spans="1:24">
      <c r="A6622">
        <f>HYPERLINK("https://www.philgeps.gov.ph/GEPSNONPILOT/Tender/SplashBidNoticeAbstractUI.aspx?menuIndex=3&amp;refID=7067754&amp;Result=3","7067754")</f>
        <v>0</v>
      </c>
      <c r="B6622" t="s">
        <v>1759</v>
      </c>
      <c r="C6622" t="s">
        <v>9695</v>
      </c>
      <c r="E6622" t="s">
        <v>22535</v>
      </c>
      <c r="F6622" t="s">
        <v>28669</v>
      </c>
      <c r="G6622" t="s">
        <v>28675</v>
      </c>
      <c r="H6622" t="s">
        <v>28684</v>
      </c>
      <c r="I6622" t="s">
        <v>7352</v>
      </c>
      <c r="J6622" t="s">
        <v>32995</v>
      </c>
      <c r="K6622" t="s">
        <v>37206</v>
      </c>
      <c r="M6622" t="s">
        <v>39818</v>
      </c>
      <c r="N6622" t="s">
        <v>41249</v>
      </c>
      <c r="O6622" t="s">
        <v>41250</v>
      </c>
      <c r="P6622">
        <v>0</v>
      </c>
      <c r="Q6622">
        <v>0</v>
      </c>
      <c r="R6622" t="s">
        <v>41257</v>
      </c>
      <c r="S6622" t="s">
        <v>41461</v>
      </c>
      <c r="T6622" t="s">
        <v>42743</v>
      </c>
      <c r="U6622" t="s">
        <v>48675</v>
      </c>
      <c r="W6622" t="s">
        <v>39818</v>
      </c>
      <c r="X6622" t="s">
        <v>41258</v>
      </c>
    </row>
    <row r="6623" spans="1:24">
      <c r="A6623">
        <f>HYPERLINK("https://www.philgeps.gov.ph/GEPSNONPILOT/Tender/SplashBidNoticeAbstractUI.aspx?menuIndex=3&amp;refID=7067752&amp;Result=3","7067752")</f>
        <v>0</v>
      </c>
      <c r="B6623" t="s">
        <v>133</v>
      </c>
      <c r="C6623" t="s">
        <v>9696</v>
      </c>
      <c r="D6623" t="s">
        <v>16661</v>
      </c>
      <c r="E6623" t="s">
        <v>22536</v>
      </c>
      <c r="F6623" t="s">
        <v>28669</v>
      </c>
      <c r="G6623" t="s">
        <v>28675</v>
      </c>
      <c r="H6623" t="s">
        <v>28686</v>
      </c>
      <c r="I6623" t="s">
        <v>28689</v>
      </c>
      <c r="J6623" t="s">
        <v>32996</v>
      </c>
      <c r="K6623" t="s">
        <v>37213</v>
      </c>
      <c r="M6623" t="s">
        <v>37610</v>
      </c>
      <c r="N6623" t="s">
        <v>41249</v>
      </c>
      <c r="O6623" t="s">
        <v>41250</v>
      </c>
      <c r="P6623">
        <v>0</v>
      </c>
      <c r="Q6623">
        <v>0</v>
      </c>
      <c r="R6623" t="s">
        <v>41257</v>
      </c>
      <c r="S6623" t="s">
        <v>41461</v>
      </c>
      <c r="T6623" t="s">
        <v>42724</v>
      </c>
      <c r="U6623" t="s">
        <v>48676</v>
      </c>
      <c r="V6623" t="s">
        <v>55016</v>
      </c>
      <c r="W6623" t="s">
        <v>37610</v>
      </c>
      <c r="X6623" t="s">
        <v>41258</v>
      </c>
    </row>
    <row r="6624" spans="1:24">
      <c r="A6624">
        <f>HYPERLINK("https://www.philgeps.gov.ph/GEPSNONPILOT/Tender/SplashBidNoticeAbstractUI.aspx?menuIndex=3&amp;refID=7072173&amp;Result=3","7072173")</f>
        <v>0</v>
      </c>
      <c r="B6624" t="s">
        <v>1626</v>
      </c>
      <c r="C6624" t="s">
        <v>9697</v>
      </c>
      <c r="E6624" t="s">
        <v>22537</v>
      </c>
      <c r="F6624" t="s">
        <v>28669</v>
      </c>
      <c r="G6624" t="s">
        <v>28676</v>
      </c>
      <c r="H6624" t="s">
        <v>9998</v>
      </c>
      <c r="I6624" t="s">
        <v>28693</v>
      </c>
      <c r="J6624" t="s">
        <v>29523</v>
      </c>
      <c r="K6624" t="s">
        <v>37209</v>
      </c>
      <c r="M6624" t="s">
        <v>39212</v>
      </c>
      <c r="N6624" t="s">
        <v>41249</v>
      </c>
      <c r="O6624" t="s">
        <v>41250</v>
      </c>
      <c r="P6624">
        <v>0</v>
      </c>
      <c r="Q6624">
        <v>13</v>
      </c>
      <c r="R6624" t="s">
        <v>41256</v>
      </c>
      <c r="S6624" t="s">
        <v>41450</v>
      </c>
      <c r="T6624" t="s">
        <v>42938</v>
      </c>
      <c r="U6624" t="s">
        <v>48233</v>
      </c>
      <c r="W6624" t="s">
        <v>39212</v>
      </c>
      <c r="X6624" t="s">
        <v>41257</v>
      </c>
    </row>
    <row r="6625" spans="1:24">
      <c r="A6625">
        <f>HYPERLINK("https://www.philgeps.gov.ph/GEPSNONPILOT/Tender/SplashBidNoticeAbstractUI.aspx?menuIndex=3&amp;refID=7067749&amp;Result=3","7067749")</f>
        <v>0</v>
      </c>
      <c r="B6625" t="s">
        <v>1068</v>
      </c>
      <c r="C6625" t="s">
        <v>9698</v>
      </c>
      <c r="D6625" t="s">
        <v>16607</v>
      </c>
      <c r="E6625" t="s">
        <v>22538</v>
      </c>
      <c r="F6625" t="s">
        <v>28669</v>
      </c>
      <c r="G6625" t="s">
        <v>28676</v>
      </c>
      <c r="H6625" t="s">
        <v>9998</v>
      </c>
      <c r="I6625" t="s">
        <v>7352</v>
      </c>
      <c r="J6625" t="s">
        <v>32997</v>
      </c>
      <c r="K6625" t="s">
        <v>37204</v>
      </c>
      <c r="M6625" t="s">
        <v>38600</v>
      </c>
      <c r="N6625" t="s">
        <v>41249</v>
      </c>
      <c r="O6625" t="s">
        <v>41250</v>
      </c>
      <c r="P6625">
        <v>0</v>
      </c>
      <c r="Q6625">
        <v>1</v>
      </c>
      <c r="R6625" t="s">
        <v>41257</v>
      </c>
      <c r="S6625" t="s">
        <v>41461</v>
      </c>
      <c r="T6625" t="s">
        <v>42727</v>
      </c>
      <c r="U6625" t="s">
        <v>48677</v>
      </c>
      <c r="V6625" t="s">
        <v>55028</v>
      </c>
      <c r="W6625" t="s">
        <v>38600</v>
      </c>
      <c r="X6625" t="s">
        <v>41258</v>
      </c>
    </row>
    <row r="6626" spans="1:24">
      <c r="A6626">
        <f>HYPERLINK("https://www.philgeps.gov.ph/GEPSNONPILOT/Tender/SplashBidNoticeAbstractUI.aspx?menuIndex=3&amp;refID=7067747&amp;Result=3","7067747")</f>
        <v>0</v>
      </c>
      <c r="B6626" t="s">
        <v>2167</v>
      </c>
      <c r="C6626" t="s">
        <v>9699</v>
      </c>
      <c r="E6626" t="s">
        <v>22539</v>
      </c>
      <c r="F6626" t="s">
        <v>28669</v>
      </c>
      <c r="G6626" t="s">
        <v>28676</v>
      </c>
      <c r="H6626" t="s">
        <v>9998</v>
      </c>
      <c r="I6626" t="s">
        <v>28690</v>
      </c>
      <c r="J6626" t="s">
        <v>29611</v>
      </c>
      <c r="K6626" t="s">
        <v>37206</v>
      </c>
      <c r="M6626" t="s">
        <v>39814</v>
      </c>
      <c r="N6626" t="s">
        <v>41249</v>
      </c>
      <c r="O6626" t="s">
        <v>41250</v>
      </c>
      <c r="P6626">
        <v>0</v>
      </c>
      <c r="Q6626">
        <v>0</v>
      </c>
      <c r="R6626" t="s">
        <v>41257</v>
      </c>
      <c r="S6626" t="s">
        <v>41461</v>
      </c>
      <c r="T6626" t="s">
        <v>42717</v>
      </c>
      <c r="U6626" t="s">
        <v>48678</v>
      </c>
      <c r="W6626" t="s">
        <v>55980</v>
      </c>
      <c r="X6626" t="s">
        <v>41258</v>
      </c>
    </row>
    <row r="6627" spans="1:24">
      <c r="A6627">
        <f>HYPERLINK("https://www.philgeps.gov.ph/GEPSNONPILOT/Tender/SplashBidNoticeAbstractUI.aspx?menuIndex=3&amp;refID=7067744&amp;Result=3","7067744")</f>
        <v>0</v>
      </c>
      <c r="B6627" t="s">
        <v>1543</v>
      </c>
      <c r="C6627" t="s">
        <v>9700</v>
      </c>
      <c r="D6627" t="s">
        <v>16607</v>
      </c>
      <c r="E6627" t="s">
        <v>22540</v>
      </c>
      <c r="F6627" t="s">
        <v>28669</v>
      </c>
      <c r="G6627" t="s">
        <v>28675</v>
      </c>
      <c r="H6627" t="s">
        <v>28686</v>
      </c>
      <c r="I6627" t="s">
        <v>28689</v>
      </c>
      <c r="J6627" t="s">
        <v>28879</v>
      </c>
      <c r="K6627" t="s">
        <v>37205</v>
      </c>
      <c r="M6627" t="s">
        <v>39118</v>
      </c>
      <c r="N6627" t="s">
        <v>41249</v>
      </c>
      <c r="O6627" t="s">
        <v>41250</v>
      </c>
      <c r="P6627">
        <v>0</v>
      </c>
      <c r="Q6627">
        <v>4</v>
      </c>
      <c r="R6627" t="s">
        <v>41257</v>
      </c>
      <c r="S6627" t="s">
        <v>41461</v>
      </c>
      <c r="T6627" t="s">
        <v>42698</v>
      </c>
      <c r="U6627" t="s">
        <v>48679</v>
      </c>
      <c r="V6627" t="s">
        <v>55029</v>
      </c>
      <c r="W6627" t="s">
        <v>39118</v>
      </c>
      <c r="X6627" t="s">
        <v>41258</v>
      </c>
    </row>
    <row r="6628" spans="1:24">
      <c r="A6628">
        <f>HYPERLINK("https://www.philgeps.gov.ph/GEPSNONPILOT/Tender/SplashBidNoticeAbstractUI.aspx?menuIndex=3&amp;refID=7067762&amp;Result=3","7067762")</f>
        <v>0</v>
      </c>
      <c r="B6628" t="s">
        <v>2170</v>
      </c>
      <c r="C6628" t="s">
        <v>9701</v>
      </c>
      <c r="D6628" t="s">
        <v>16621</v>
      </c>
      <c r="E6628" t="s">
        <v>22541</v>
      </c>
      <c r="F6628" t="s">
        <v>28669</v>
      </c>
      <c r="G6628" t="s">
        <v>28675</v>
      </c>
      <c r="H6628" t="s">
        <v>28686</v>
      </c>
      <c r="I6628" t="s">
        <v>28689</v>
      </c>
      <c r="J6628" t="s">
        <v>32998</v>
      </c>
      <c r="K6628" t="s">
        <v>37206</v>
      </c>
      <c r="M6628" t="s">
        <v>39819</v>
      </c>
      <c r="N6628" t="s">
        <v>41249</v>
      </c>
      <c r="O6628" t="s">
        <v>41250</v>
      </c>
      <c r="P6628">
        <v>0</v>
      </c>
      <c r="Q6628">
        <v>0</v>
      </c>
      <c r="R6628" t="s">
        <v>41257</v>
      </c>
      <c r="S6628" t="s">
        <v>41461</v>
      </c>
      <c r="T6628" t="s">
        <v>42743</v>
      </c>
      <c r="U6628" t="s">
        <v>48680</v>
      </c>
      <c r="W6628" t="s">
        <v>39819</v>
      </c>
      <c r="X6628" t="s">
        <v>41258</v>
      </c>
    </row>
    <row r="6629" spans="1:24">
      <c r="A6629">
        <f>HYPERLINK("https://www.philgeps.gov.ph/GEPSNONPILOT/Tender/SplashBidNoticeAbstractUI.aspx?menuIndex=3&amp;refID=7067741&amp;Result=3","7067741")</f>
        <v>0</v>
      </c>
      <c r="B6629" t="s">
        <v>1759</v>
      </c>
      <c r="C6629" t="s">
        <v>9702</v>
      </c>
      <c r="E6629" t="s">
        <v>22542</v>
      </c>
      <c r="F6629" t="s">
        <v>28669</v>
      </c>
      <c r="G6629" t="s">
        <v>28675</v>
      </c>
      <c r="H6629" t="s">
        <v>9998</v>
      </c>
      <c r="I6629" t="s">
        <v>7352</v>
      </c>
      <c r="J6629" t="s">
        <v>32999</v>
      </c>
      <c r="K6629" t="s">
        <v>37206</v>
      </c>
      <c r="M6629" t="s">
        <v>39818</v>
      </c>
      <c r="N6629" t="s">
        <v>41249</v>
      </c>
      <c r="O6629" t="s">
        <v>41250</v>
      </c>
      <c r="P6629">
        <v>0</v>
      </c>
      <c r="Q6629">
        <v>0</v>
      </c>
      <c r="R6629" t="s">
        <v>41257</v>
      </c>
      <c r="S6629" t="s">
        <v>41461</v>
      </c>
      <c r="T6629" t="s">
        <v>42743</v>
      </c>
      <c r="U6629" t="s">
        <v>48681</v>
      </c>
      <c r="W6629" t="s">
        <v>39818</v>
      </c>
      <c r="X6629" t="s">
        <v>41258</v>
      </c>
    </row>
    <row r="6630" spans="1:24">
      <c r="A6630">
        <f>HYPERLINK("https://www.philgeps.gov.ph/GEPSNONPILOT/Tender/SplashBidNoticeAbstractUI.aspx?menuIndex=3&amp;refID=7067740&amp;Result=3","7067740")</f>
        <v>0</v>
      </c>
      <c r="B6630" t="s">
        <v>133</v>
      </c>
      <c r="C6630" t="s">
        <v>9703</v>
      </c>
      <c r="D6630" t="s">
        <v>16661</v>
      </c>
      <c r="E6630" t="s">
        <v>22543</v>
      </c>
      <c r="F6630" t="s">
        <v>28669</v>
      </c>
      <c r="G6630" t="s">
        <v>28675</v>
      </c>
      <c r="H6630" t="s">
        <v>28686</v>
      </c>
      <c r="I6630" t="s">
        <v>28689</v>
      </c>
      <c r="J6630" t="s">
        <v>33000</v>
      </c>
      <c r="K6630" t="s">
        <v>37214</v>
      </c>
      <c r="M6630" t="s">
        <v>37610</v>
      </c>
      <c r="N6630" t="s">
        <v>41249</v>
      </c>
      <c r="O6630" t="s">
        <v>41250</v>
      </c>
      <c r="P6630">
        <v>0</v>
      </c>
      <c r="Q6630">
        <v>0</v>
      </c>
      <c r="R6630" t="s">
        <v>41257</v>
      </c>
      <c r="S6630" t="s">
        <v>41461</v>
      </c>
      <c r="T6630" t="s">
        <v>42724</v>
      </c>
      <c r="U6630" t="s">
        <v>48682</v>
      </c>
      <c r="V6630" t="s">
        <v>55013</v>
      </c>
      <c r="W6630" t="s">
        <v>37610</v>
      </c>
      <c r="X6630" t="s">
        <v>41258</v>
      </c>
    </row>
    <row r="6631" spans="1:24">
      <c r="A6631">
        <f>HYPERLINK("https://www.philgeps.gov.ph/GEPSNONPILOT/Tender/SplashBidNoticeAbstractUI.aspx?menuIndex=3&amp;refID=7067812&amp;Result=3","7067812")</f>
        <v>0</v>
      </c>
      <c r="B6631" t="s">
        <v>2171</v>
      </c>
      <c r="C6631" t="s">
        <v>9704</v>
      </c>
      <c r="D6631" t="s">
        <v>16621</v>
      </c>
      <c r="E6631" t="s">
        <v>22544</v>
      </c>
      <c r="F6631" t="s">
        <v>28669</v>
      </c>
      <c r="G6631" t="s">
        <v>28675</v>
      </c>
      <c r="H6631" t="s">
        <v>9998</v>
      </c>
      <c r="I6631" t="s">
        <v>28693</v>
      </c>
      <c r="J6631" t="s">
        <v>33001</v>
      </c>
      <c r="K6631" t="s">
        <v>37206</v>
      </c>
      <c r="M6631" t="s">
        <v>39820</v>
      </c>
      <c r="N6631" t="s">
        <v>41249</v>
      </c>
      <c r="O6631" t="s">
        <v>41250</v>
      </c>
      <c r="P6631">
        <v>0</v>
      </c>
      <c r="Q6631">
        <v>12</v>
      </c>
      <c r="R6631" t="s">
        <v>41257</v>
      </c>
      <c r="S6631" t="s">
        <v>41461</v>
      </c>
      <c r="T6631" t="s">
        <v>42881</v>
      </c>
      <c r="U6631" t="s">
        <v>48683</v>
      </c>
      <c r="W6631" t="s">
        <v>39820</v>
      </c>
      <c r="X6631" t="s">
        <v>41258</v>
      </c>
    </row>
    <row r="6632" spans="1:24">
      <c r="A6632">
        <f>HYPERLINK("https://www.philgeps.gov.ph/GEPSNONPILOT/Tender/SplashBidNoticeAbstractUI.aspx?menuIndex=3&amp;refID=7067719&amp;Result=3","7067719")</f>
        <v>0</v>
      </c>
      <c r="B6632" t="s">
        <v>133</v>
      </c>
      <c r="C6632" t="s">
        <v>9705</v>
      </c>
      <c r="D6632" t="s">
        <v>16661</v>
      </c>
      <c r="E6632" t="s">
        <v>22545</v>
      </c>
      <c r="F6632" t="s">
        <v>28669</v>
      </c>
      <c r="G6632" t="s">
        <v>28675</v>
      </c>
      <c r="H6632" t="s">
        <v>28686</v>
      </c>
      <c r="I6632" t="s">
        <v>28689</v>
      </c>
      <c r="J6632" t="s">
        <v>33002</v>
      </c>
      <c r="K6632" t="s">
        <v>37255</v>
      </c>
      <c r="M6632" t="s">
        <v>37610</v>
      </c>
      <c r="N6632" t="s">
        <v>41249</v>
      </c>
      <c r="O6632" t="s">
        <v>41250</v>
      </c>
      <c r="P6632">
        <v>0</v>
      </c>
      <c r="Q6632">
        <v>0</v>
      </c>
      <c r="R6632" t="s">
        <v>41257</v>
      </c>
      <c r="S6632" t="s">
        <v>41461</v>
      </c>
      <c r="T6632" t="s">
        <v>42724</v>
      </c>
      <c r="U6632" t="s">
        <v>48684</v>
      </c>
      <c r="V6632" t="s">
        <v>55013</v>
      </c>
      <c r="W6632" t="s">
        <v>37610</v>
      </c>
      <c r="X6632" t="s">
        <v>41258</v>
      </c>
    </row>
    <row r="6633" spans="1:24">
      <c r="A6633">
        <f>HYPERLINK("https://www.philgeps.gov.ph/GEPSNONPILOT/Tender/SplashBidNoticeAbstractUI.aspx?menuIndex=3&amp;refID=7067808&amp;Result=3","7067808")</f>
        <v>0</v>
      </c>
      <c r="B6633" t="s">
        <v>1517</v>
      </c>
      <c r="C6633" t="s">
        <v>9706</v>
      </c>
      <c r="D6633" t="s">
        <v>16632</v>
      </c>
      <c r="E6633" t="s">
        <v>22546</v>
      </c>
      <c r="F6633" t="s">
        <v>28669</v>
      </c>
      <c r="G6633" t="s">
        <v>28675</v>
      </c>
      <c r="H6633" t="s">
        <v>9998</v>
      </c>
      <c r="I6633" t="s">
        <v>28694</v>
      </c>
      <c r="J6633" t="s">
        <v>33003</v>
      </c>
      <c r="K6633" t="s">
        <v>37204</v>
      </c>
      <c r="M6633" t="s">
        <v>39091</v>
      </c>
      <c r="N6633" t="s">
        <v>41249</v>
      </c>
      <c r="O6633" t="s">
        <v>41250</v>
      </c>
      <c r="P6633">
        <v>0</v>
      </c>
      <c r="Q6633">
        <v>0</v>
      </c>
      <c r="R6633" t="s">
        <v>41257</v>
      </c>
      <c r="S6633" t="s">
        <v>41461</v>
      </c>
      <c r="T6633" t="s">
        <v>42754</v>
      </c>
      <c r="U6633" t="s">
        <v>48685</v>
      </c>
      <c r="V6633" t="s">
        <v>55030</v>
      </c>
      <c r="W6633" t="s">
        <v>39091</v>
      </c>
      <c r="X6633" t="s">
        <v>41258</v>
      </c>
    </row>
    <row r="6634" spans="1:24">
      <c r="A6634">
        <f>HYPERLINK("https://www.philgeps.gov.ph/GEPSNONPILOT/Tender/SplashBidNoticeAbstractUI.aspx?menuIndex=3&amp;refID=7067764&amp;Result=3","7067764")</f>
        <v>0</v>
      </c>
      <c r="B6634" t="s">
        <v>715</v>
      </c>
      <c r="C6634" t="s">
        <v>9707</v>
      </c>
      <c r="D6634" t="s">
        <v>16624</v>
      </c>
      <c r="E6634" t="s">
        <v>22547</v>
      </c>
      <c r="F6634" t="s">
        <v>28669</v>
      </c>
      <c r="G6634" t="s">
        <v>28676</v>
      </c>
      <c r="H6634" t="s">
        <v>9998</v>
      </c>
      <c r="I6634" t="s">
        <v>28693</v>
      </c>
      <c r="J6634" t="s">
        <v>31290</v>
      </c>
      <c r="K6634" t="s">
        <v>37206</v>
      </c>
      <c r="M6634" t="s">
        <v>39817</v>
      </c>
      <c r="N6634" t="s">
        <v>41249</v>
      </c>
      <c r="O6634" t="s">
        <v>41250</v>
      </c>
      <c r="P6634">
        <v>0</v>
      </c>
      <c r="Q6634">
        <v>15</v>
      </c>
      <c r="R6634" t="s">
        <v>41257</v>
      </c>
      <c r="S6634" t="s">
        <v>41461</v>
      </c>
      <c r="T6634" t="s">
        <v>42887</v>
      </c>
      <c r="U6634" t="s">
        <v>48686</v>
      </c>
      <c r="W6634" t="s">
        <v>39817</v>
      </c>
      <c r="X6634" t="s">
        <v>41258</v>
      </c>
    </row>
    <row r="6635" spans="1:24">
      <c r="A6635">
        <f>HYPERLINK("https://www.philgeps.gov.ph/GEPSNONPILOT/Tender/SplashBidNoticeAbstractUI.aspx?menuIndex=3&amp;refID=7067804&amp;Result=3","7067804")</f>
        <v>0</v>
      </c>
      <c r="B6635" t="s">
        <v>715</v>
      </c>
      <c r="C6635" t="s">
        <v>9708</v>
      </c>
      <c r="D6635" t="s">
        <v>16624</v>
      </c>
      <c r="E6635" t="s">
        <v>22548</v>
      </c>
      <c r="F6635" t="s">
        <v>28669</v>
      </c>
      <c r="G6635" t="s">
        <v>28676</v>
      </c>
      <c r="H6635" t="s">
        <v>9998</v>
      </c>
      <c r="I6635" t="s">
        <v>28722</v>
      </c>
      <c r="J6635" t="s">
        <v>33004</v>
      </c>
      <c r="K6635" t="s">
        <v>37204</v>
      </c>
      <c r="M6635" t="s">
        <v>39817</v>
      </c>
      <c r="N6635" t="s">
        <v>41249</v>
      </c>
      <c r="O6635" t="s">
        <v>41250</v>
      </c>
      <c r="P6635">
        <v>0</v>
      </c>
      <c r="Q6635">
        <v>3</v>
      </c>
      <c r="R6635" t="s">
        <v>41257</v>
      </c>
      <c r="S6635" t="s">
        <v>41461</v>
      </c>
      <c r="T6635" t="s">
        <v>42887</v>
      </c>
      <c r="U6635" t="s">
        <v>48687</v>
      </c>
      <c r="W6635" t="s">
        <v>39817</v>
      </c>
      <c r="X6635" t="s">
        <v>41258</v>
      </c>
    </row>
    <row r="6636" spans="1:24">
      <c r="A6636">
        <f>HYPERLINK("https://www.philgeps.gov.ph/GEPSNONPILOT/Tender/SplashBidNoticeAbstractUI.aspx?menuIndex=3&amp;refID=7067746&amp;Result=3","7067746")</f>
        <v>0</v>
      </c>
      <c r="B6636" t="s">
        <v>2172</v>
      </c>
      <c r="C6636" t="s">
        <v>9709</v>
      </c>
      <c r="D6636" t="s">
        <v>16643</v>
      </c>
      <c r="E6636" t="s">
        <v>22549</v>
      </c>
      <c r="F6636" t="s">
        <v>28669</v>
      </c>
      <c r="G6636" t="s">
        <v>28675</v>
      </c>
      <c r="H6636" t="s">
        <v>9998</v>
      </c>
      <c r="I6636" t="s">
        <v>7352</v>
      </c>
      <c r="J6636" t="s">
        <v>33005</v>
      </c>
      <c r="K6636" t="s">
        <v>37206</v>
      </c>
      <c r="M6636" t="s">
        <v>39821</v>
      </c>
      <c r="N6636" t="s">
        <v>41249</v>
      </c>
      <c r="O6636" t="s">
        <v>41250</v>
      </c>
      <c r="P6636">
        <v>0</v>
      </c>
      <c r="Q6636">
        <v>0</v>
      </c>
      <c r="R6636" t="s">
        <v>41257</v>
      </c>
      <c r="S6636" t="s">
        <v>41461</v>
      </c>
      <c r="T6636" t="s">
        <v>42884</v>
      </c>
      <c r="U6636" t="s">
        <v>48688</v>
      </c>
      <c r="W6636" t="s">
        <v>39821</v>
      </c>
      <c r="X6636" t="s">
        <v>41258</v>
      </c>
    </row>
    <row r="6637" spans="1:24">
      <c r="A6637">
        <f>HYPERLINK("https://www.philgeps.gov.ph/GEPSNONPILOT/Tender/SplashBidNoticeAbstractUI.aspx?menuIndex=3&amp;refID=7067803&amp;Result=3","7067803")</f>
        <v>0</v>
      </c>
      <c r="B6637" t="s">
        <v>2173</v>
      </c>
      <c r="C6637" t="s">
        <v>9710</v>
      </c>
      <c r="D6637" t="s">
        <v>16664</v>
      </c>
      <c r="E6637" t="s">
        <v>22550</v>
      </c>
      <c r="F6637" t="s">
        <v>28669</v>
      </c>
      <c r="G6637" t="s">
        <v>28675</v>
      </c>
      <c r="H6637" t="s">
        <v>9998</v>
      </c>
      <c r="I6637" t="s">
        <v>28708</v>
      </c>
      <c r="J6637" t="s">
        <v>33006</v>
      </c>
      <c r="K6637" t="s">
        <v>37206</v>
      </c>
      <c r="M6637" t="s">
        <v>39822</v>
      </c>
      <c r="N6637" t="s">
        <v>41249</v>
      </c>
      <c r="O6637" t="s">
        <v>41250</v>
      </c>
      <c r="P6637">
        <v>0</v>
      </c>
      <c r="Q6637">
        <v>0</v>
      </c>
      <c r="R6637" t="s">
        <v>41257</v>
      </c>
      <c r="S6637" t="s">
        <v>41461</v>
      </c>
      <c r="T6637" t="s">
        <v>42765</v>
      </c>
      <c r="U6637" t="s">
        <v>48689</v>
      </c>
      <c r="V6637" t="s">
        <v>55031</v>
      </c>
      <c r="W6637" t="s">
        <v>39822</v>
      </c>
      <c r="X6637" t="s">
        <v>41258</v>
      </c>
    </row>
    <row r="6638" spans="1:24">
      <c r="A6638">
        <f>HYPERLINK("https://www.philgeps.gov.ph/GEPSNONPILOT/Tender/SplashBidNoticeAbstractUI.aspx?menuIndex=3&amp;refID=7067797&amp;Result=3","7067797")</f>
        <v>0</v>
      </c>
      <c r="B6638" t="s">
        <v>2165</v>
      </c>
      <c r="C6638" t="s">
        <v>9711</v>
      </c>
      <c r="D6638" t="s">
        <v>16611</v>
      </c>
      <c r="E6638" t="s">
        <v>22551</v>
      </c>
      <c r="F6638" t="s">
        <v>28669</v>
      </c>
      <c r="G6638" t="s">
        <v>28676</v>
      </c>
      <c r="H6638" t="s">
        <v>9998</v>
      </c>
      <c r="I6638" t="s">
        <v>3718</v>
      </c>
      <c r="J6638" t="s">
        <v>28845</v>
      </c>
      <c r="K6638" t="s">
        <v>37206</v>
      </c>
      <c r="M6638" t="s">
        <v>39812</v>
      </c>
      <c r="N6638" t="s">
        <v>41249</v>
      </c>
      <c r="O6638" t="s">
        <v>41250</v>
      </c>
      <c r="P6638">
        <v>0</v>
      </c>
      <c r="Q6638">
        <v>3</v>
      </c>
      <c r="R6638" t="s">
        <v>41257</v>
      </c>
      <c r="S6638" t="s">
        <v>41461</v>
      </c>
      <c r="T6638" t="s">
        <v>42774</v>
      </c>
      <c r="U6638" t="s">
        <v>48690</v>
      </c>
      <c r="W6638" t="s">
        <v>39812</v>
      </c>
      <c r="X6638" t="s">
        <v>41258</v>
      </c>
    </row>
    <row r="6639" spans="1:24">
      <c r="A6639">
        <f>HYPERLINK("https://www.philgeps.gov.ph/GEPSNONPILOT/Tender/SplashBidNoticeAbstractUI.aspx?menuIndex=3&amp;refID=7067798&amp;Result=3","7067798")</f>
        <v>0</v>
      </c>
      <c r="B6639" t="s">
        <v>2167</v>
      </c>
      <c r="C6639" t="s">
        <v>9712</v>
      </c>
      <c r="E6639" t="s">
        <v>22552</v>
      </c>
      <c r="F6639" t="s">
        <v>28669</v>
      </c>
      <c r="G6639" t="s">
        <v>28676</v>
      </c>
      <c r="H6639" t="s">
        <v>9998</v>
      </c>
      <c r="I6639" t="s">
        <v>28725</v>
      </c>
      <c r="J6639" t="s">
        <v>29040</v>
      </c>
      <c r="K6639" t="s">
        <v>37209</v>
      </c>
      <c r="M6639" t="s">
        <v>39814</v>
      </c>
      <c r="N6639" t="s">
        <v>41249</v>
      </c>
      <c r="O6639" t="s">
        <v>41250</v>
      </c>
      <c r="P6639">
        <v>0</v>
      </c>
      <c r="Q6639">
        <v>0</v>
      </c>
      <c r="R6639" t="s">
        <v>41257</v>
      </c>
      <c r="S6639" t="s">
        <v>41461</v>
      </c>
      <c r="T6639" t="s">
        <v>42717</v>
      </c>
      <c r="U6639" t="s">
        <v>48691</v>
      </c>
      <c r="W6639" t="s">
        <v>55980</v>
      </c>
      <c r="X6639" t="s">
        <v>41258</v>
      </c>
    </row>
    <row r="6640" spans="1:24">
      <c r="A6640">
        <f>HYPERLINK("https://www.philgeps.gov.ph/GEPSNONPILOT/Tender/SplashBidNoticeAbstractUI.aspx?menuIndex=3&amp;refID=7067789&amp;Result=3","7067789")</f>
        <v>0</v>
      </c>
      <c r="B6640" t="s">
        <v>1517</v>
      </c>
      <c r="C6640" t="s">
        <v>9713</v>
      </c>
      <c r="D6640" t="s">
        <v>16632</v>
      </c>
      <c r="E6640" t="s">
        <v>22553</v>
      </c>
      <c r="F6640" t="s">
        <v>28669</v>
      </c>
      <c r="G6640" t="s">
        <v>28675</v>
      </c>
      <c r="H6640" t="s">
        <v>9998</v>
      </c>
      <c r="I6640" t="s">
        <v>28704</v>
      </c>
      <c r="J6640" t="s">
        <v>33007</v>
      </c>
      <c r="K6640" t="s">
        <v>37204</v>
      </c>
      <c r="M6640" t="s">
        <v>39091</v>
      </c>
      <c r="N6640" t="s">
        <v>41249</v>
      </c>
      <c r="O6640" t="s">
        <v>41250</v>
      </c>
      <c r="P6640">
        <v>0</v>
      </c>
      <c r="Q6640">
        <v>0</v>
      </c>
      <c r="R6640" t="s">
        <v>41257</v>
      </c>
      <c r="S6640" t="s">
        <v>41461</v>
      </c>
      <c r="T6640" t="s">
        <v>42754</v>
      </c>
      <c r="U6640" t="s">
        <v>48692</v>
      </c>
      <c r="V6640" t="s">
        <v>55032</v>
      </c>
      <c r="W6640" t="s">
        <v>39091</v>
      </c>
      <c r="X6640" t="s">
        <v>41258</v>
      </c>
    </row>
    <row r="6641" spans="1:24">
      <c r="A6641">
        <f>HYPERLINK("https://www.philgeps.gov.ph/GEPSNONPILOT/Tender/SplashBidNoticeAbstractUI.aspx?menuIndex=3&amp;refID=7067786&amp;Result=3","7067786")</f>
        <v>0</v>
      </c>
      <c r="B6641" t="s">
        <v>1759</v>
      </c>
      <c r="C6641" t="s">
        <v>9714</v>
      </c>
      <c r="E6641" t="s">
        <v>22554</v>
      </c>
      <c r="F6641" t="s">
        <v>28669</v>
      </c>
      <c r="G6641" t="s">
        <v>28675</v>
      </c>
      <c r="H6641" t="s">
        <v>28684</v>
      </c>
      <c r="I6641" t="s">
        <v>7352</v>
      </c>
      <c r="J6641" t="s">
        <v>33008</v>
      </c>
      <c r="K6641" t="s">
        <v>37206</v>
      </c>
      <c r="M6641" t="s">
        <v>39818</v>
      </c>
      <c r="N6641" t="s">
        <v>41249</v>
      </c>
      <c r="O6641" t="s">
        <v>41250</v>
      </c>
      <c r="P6641">
        <v>0</v>
      </c>
      <c r="Q6641">
        <v>0</v>
      </c>
      <c r="R6641" t="s">
        <v>41257</v>
      </c>
      <c r="S6641" t="s">
        <v>41461</v>
      </c>
      <c r="T6641" t="s">
        <v>42743</v>
      </c>
      <c r="U6641" t="s">
        <v>48693</v>
      </c>
      <c r="W6641" t="s">
        <v>39818</v>
      </c>
      <c r="X6641" t="s">
        <v>41258</v>
      </c>
    </row>
    <row r="6642" spans="1:24">
      <c r="A6642">
        <f>HYPERLINK("https://www.philgeps.gov.ph/GEPSNONPILOT/Tender/SplashBidNoticeAbstractUI.aspx?menuIndex=3&amp;refID=7067780&amp;Result=3","7067780")</f>
        <v>0</v>
      </c>
      <c r="B6642" t="s">
        <v>2160</v>
      </c>
      <c r="C6642" t="s">
        <v>9715</v>
      </c>
      <c r="D6642" t="s">
        <v>16642</v>
      </c>
      <c r="E6642" t="s">
        <v>22555</v>
      </c>
      <c r="F6642" t="s">
        <v>28669</v>
      </c>
      <c r="G6642" t="s">
        <v>28675</v>
      </c>
      <c r="H6642" t="s">
        <v>28686</v>
      </c>
      <c r="I6642" t="s">
        <v>28689</v>
      </c>
      <c r="J6642" t="s">
        <v>33009</v>
      </c>
      <c r="K6642" t="s">
        <v>37209</v>
      </c>
      <c r="M6642" t="s">
        <v>39806</v>
      </c>
      <c r="N6642" t="s">
        <v>41249</v>
      </c>
      <c r="O6642" t="s">
        <v>41250</v>
      </c>
      <c r="Q6642">
        <v>0</v>
      </c>
      <c r="R6642" t="s">
        <v>41257</v>
      </c>
      <c r="S6642" t="s">
        <v>41466</v>
      </c>
      <c r="T6642" t="s">
        <v>42702</v>
      </c>
      <c r="U6642" t="s">
        <v>48694</v>
      </c>
      <c r="W6642" t="s">
        <v>39806</v>
      </c>
      <c r="X6642" t="s">
        <v>41258</v>
      </c>
    </row>
    <row r="6643" spans="1:24">
      <c r="A6643">
        <f>HYPERLINK("https://www.philgeps.gov.ph/GEPSNONPILOT/Tender/SplashBidNoticeAbstractUI.aspx?menuIndex=3&amp;refID=7067806&amp;Result=3","7067806")</f>
        <v>0</v>
      </c>
      <c r="B6643" t="s">
        <v>2174</v>
      </c>
      <c r="C6643" t="s">
        <v>9676</v>
      </c>
      <c r="D6643" t="s">
        <v>16616</v>
      </c>
      <c r="E6643" t="s">
        <v>22556</v>
      </c>
      <c r="F6643" t="s">
        <v>28669</v>
      </c>
      <c r="G6643" t="s">
        <v>28677</v>
      </c>
      <c r="H6643" t="s">
        <v>9998</v>
      </c>
      <c r="I6643" t="s">
        <v>28690</v>
      </c>
      <c r="J6643" t="s">
        <v>28993</v>
      </c>
      <c r="K6643" t="s">
        <v>37243</v>
      </c>
      <c r="M6643" t="s">
        <v>39823</v>
      </c>
      <c r="N6643" t="s">
        <v>41249</v>
      </c>
      <c r="O6643" t="s">
        <v>41250</v>
      </c>
      <c r="P6643">
        <v>0</v>
      </c>
      <c r="Q6643">
        <v>0</v>
      </c>
      <c r="R6643" t="s">
        <v>41257</v>
      </c>
      <c r="S6643" t="s">
        <v>41461</v>
      </c>
      <c r="T6643" t="s">
        <v>42883</v>
      </c>
      <c r="U6643" t="s">
        <v>48695</v>
      </c>
      <c r="W6643" t="s">
        <v>39823</v>
      </c>
      <c r="X6643" t="s">
        <v>41258</v>
      </c>
    </row>
    <row r="6644" spans="1:24">
      <c r="A6644">
        <f>HYPERLINK("https://www.philgeps.gov.ph/GEPSNONPILOT/Tender/SplashBidNoticeAbstractUI.aspx?menuIndex=3&amp;refID=7067802&amp;Result=3","7067802")</f>
        <v>0</v>
      </c>
      <c r="B6644" t="s">
        <v>2175</v>
      </c>
      <c r="C6644" t="s">
        <v>9716</v>
      </c>
      <c r="D6644" t="s">
        <v>16619</v>
      </c>
      <c r="E6644" t="s">
        <v>22557</v>
      </c>
      <c r="F6644" t="s">
        <v>28669</v>
      </c>
      <c r="G6644" t="s">
        <v>28675</v>
      </c>
      <c r="H6644" t="s">
        <v>9998</v>
      </c>
      <c r="I6644" t="s">
        <v>7352</v>
      </c>
      <c r="J6644" t="s">
        <v>33010</v>
      </c>
      <c r="K6644" t="s">
        <v>37205</v>
      </c>
      <c r="M6644" t="s">
        <v>39824</v>
      </c>
      <c r="N6644" t="s">
        <v>41249</v>
      </c>
      <c r="O6644" t="s">
        <v>41250</v>
      </c>
      <c r="P6644">
        <v>0</v>
      </c>
      <c r="Q6644">
        <v>0</v>
      </c>
      <c r="R6644" t="s">
        <v>41257</v>
      </c>
      <c r="S6644" t="s">
        <v>41461</v>
      </c>
      <c r="T6644" t="s">
        <v>42742</v>
      </c>
      <c r="U6644" t="s">
        <v>48696</v>
      </c>
      <c r="V6644" t="s">
        <v>55033</v>
      </c>
      <c r="W6644" t="s">
        <v>39824</v>
      </c>
      <c r="X6644" t="s">
        <v>41258</v>
      </c>
    </row>
    <row r="6645" spans="1:24">
      <c r="A6645">
        <f>HYPERLINK("https://www.philgeps.gov.ph/GEPSNONPILOT/Tender/SplashBidNoticeAbstractUI.aspx?menuIndex=3&amp;refID=7067790&amp;Result=3","7067790")</f>
        <v>0</v>
      </c>
      <c r="B6645" t="s">
        <v>2160</v>
      </c>
      <c r="C6645" t="s">
        <v>9717</v>
      </c>
      <c r="D6645" t="s">
        <v>16642</v>
      </c>
      <c r="E6645" t="s">
        <v>22558</v>
      </c>
      <c r="F6645" t="s">
        <v>28669</v>
      </c>
      <c r="G6645" t="s">
        <v>28675</v>
      </c>
      <c r="H6645" t="s">
        <v>28686</v>
      </c>
      <c r="I6645" t="s">
        <v>28689</v>
      </c>
      <c r="J6645" t="s">
        <v>33011</v>
      </c>
      <c r="K6645" t="s">
        <v>37209</v>
      </c>
      <c r="M6645" t="s">
        <v>39806</v>
      </c>
      <c r="N6645" t="s">
        <v>41249</v>
      </c>
      <c r="O6645" t="s">
        <v>41250</v>
      </c>
      <c r="P6645">
        <v>0</v>
      </c>
      <c r="Q6645">
        <v>0</v>
      </c>
      <c r="R6645" t="s">
        <v>41257</v>
      </c>
      <c r="S6645" t="s">
        <v>41461</v>
      </c>
      <c r="T6645" t="s">
        <v>42670</v>
      </c>
      <c r="U6645" t="s">
        <v>48697</v>
      </c>
      <c r="W6645" t="s">
        <v>39806</v>
      </c>
      <c r="X6645" t="s">
        <v>41258</v>
      </c>
    </row>
    <row r="6646" spans="1:24">
      <c r="A6646">
        <f>HYPERLINK("https://www.philgeps.gov.ph/GEPSNONPILOT/Tender/SplashBidNoticeAbstractUI.aspx?menuIndex=3&amp;refID=7067779&amp;Result=3","7067779")</f>
        <v>0</v>
      </c>
      <c r="B6646" t="s">
        <v>1697</v>
      </c>
      <c r="C6646" t="s">
        <v>9718</v>
      </c>
      <c r="D6646" t="s">
        <v>16639</v>
      </c>
      <c r="E6646" t="s">
        <v>22559</v>
      </c>
      <c r="F6646" t="s">
        <v>28669</v>
      </c>
      <c r="G6646" t="s">
        <v>28675</v>
      </c>
      <c r="H6646" t="s">
        <v>9998</v>
      </c>
      <c r="I6646" t="s">
        <v>28710</v>
      </c>
      <c r="J6646" t="s">
        <v>33012</v>
      </c>
      <c r="K6646" t="s">
        <v>37209</v>
      </c>
      <c r="L6646" t="s">
        <v>1697</v>
      </c>
      <c r="M6646" t="s">
        <v>39294</v>
      </c>
      <c r="N6646" t="s">
        <v>41249</v>
      </c>
      <c r="O6646" t="s">
        <v>41250</v>
      </c>
      <c r="Q6646">
        <v>3</v>
      </c>
      <c r="R6646" t="s">
        <v>41257</v>
      </c>
      <c r="S6646" t="s">
        <v>41467</v>
      </c>
      <c r="T6646" t="s">
        <v>42668</v>
      </c>
      <c r="U6646" t="s">
        <v>48698</v>
      </c>
      <c r="W6646" t="s">
        <v>39294</v>
      </c>
      <c r="X6646" t="s">
        <v>41258</v>
      </c>
    </row>
    <row r="6647" spans="1:24">
      <c r="A6647">
        <f>HYPERLINK("https://www.philgeps.gov.ph/GEPSNONPILOT/Tender/SplashBidNoticeAbstractUI.aspx?menuIndex=3&amp;refID=7067782&amp;Result=3","7067782")</f>
        <v>0</v>
      </c>
      <c r="B6647" t="s">
        <v>1759</v>
      </c>
      <c r="C6647" t="s">
        <v>9719</v>
      </c>
      <c r="E6647" t="s">
        <v>22560</v>
      </c>
      <c r="F6647" t="s">
        <v>28669</v>
      </c>
      <c r="G6647" t="s">
        <v>28675</v>
      </c>
      <c r="H6647" t="s">
        <v>28684</v>
      </c>
      <c r="I6647" t="s">
        <v>7352</v>
      </c>
      <c r="J6647" t="s">
        <v>33013</v>
      </c>
      <c r="K6647" t="s">
        <v>37206</v>
      </c>
      <c r="M6647" t="s">
        <v>39818</v>
      </c>
      <c r="N6647" t="s">
        <v>41249</v>
      </c>
      <c r="O6647" t="s">
        <v>41250</v>
      </c>
      <c r="P6647">
        <v>0</v>
      </c>
      <c r="Q6647">
        <v>0</v>
      </c>
      <c r="R6647" t="s">
        <v>41257</v>
      </c>
      <c r="S6647" t="s">
        <v>41461</v>
      </c>
      <c r="T6647" t="s">
        <v>42743</v>
      </c>
      <c r="U6647" t="s">
        <v>48699</v>
      </c>
      <c r="W6647" t="s">
        <v>39818</v>
      </c>
      <c r="X6647" t="s">
        <v>41258</v>
      </c>
    </row>
    <row r="6648" spans="1:24">
      <c r="A6648">
        <f>HYPERLINK("https://www.philgeps.gov.ph/GEPSNONPILOT/Tender/SplashBidNoticeAbstractUI.aspx?menuIndex=3&amp;refID=7067876&amp;Result=3","7067876")</f>
        <v>0</v>
      </c>
      <c r="B6648" t="s">
        <v>1032</v>
      </c>
      <c r="C6648" t="s">
        <v>9720</v>
      </c>
      <c r="D6648" t="s">
        <v>16643</v>
      </c>
      <c r="E6648" t="s">
        <v>22561</v>
      </c>
      <c r="F6648" t="s">
        <v>28669</v>
      </c>
      <c r="G6648" t="s">
        <v>28675</v>
      </c>
      <c r="H6648" t="s">
        <v>9998</v>
      </c>
      <c r="I6648" t="s">
        <v>28718</v>
      </c>
      <c r="J6648" t="s">
        <v>29512</v>
      </c>
      <c r="K6648" t="s">
        <v>37227</v>
      </c>
      <c r="M6648" t="s">
        <v>38563</v>
      </c>
      <c r="N6648" t="s">
        <v>41249</v>
      </c>
      <c r="O6648" t="s">
        <v>41250</v>
      </c>
      <c r="P6648">
        <v>0</v>
      </c>
      <c r="Q6648">
        <v>1</v>
      </c>
      <c r="R6648" t="s">
        <v>41257</v>
      </c>
      <c r="S6648" t="s">
        <v>41461</v>
      </c>
      <c r="T6648" t="s">
        <v>42683</v>
      </c>
      <c r="U6648" t="s">
        <v>48700</v>
      </c>
      <c r="W6648" t="s">
        <v>38563</v>
      </c>
      <c r="X6648" t="s">
        <v>41258</v>
      </c>
    </row>
    <row r="6649" spans="1:24">
      <c r="A6649">
        <f>HYPERLINK("https://www.philgeps.gov.ph/GEPSNONPILOT/Tender/SplashBidNoticeAbstractUI.aspx?menuIndex=3&amp;refID=7067868&amp;Result=3","7067868")</f>
        <v>0</v>
      </c>
      <c r="B6649" t="s">
        <v>2176</v>
      </c>
      <c r="C6649" t="s">
        <v>9721</v>
      </c>
      <c r="D6649" t="s">
        <v>16611</v>
      </c>
      <c r="E6649" t="s">
        <v>16877</v>
      </c>
      <c r="F6649" t="s">
        <v>28669</v>
      </c>
      <c r="G6649" t="s">
        <v>28675</v>
      </c>
      <c r="H6649" t="s">
        <v>9998</v>
      </c>
      <c r="I6649" t="s">
        <v>28695</v>
      </c>
      <c r="J6649" t="s">
        <v>28834</v>
      </c>
      <c r="K6649" t="s">
        <v>37210</v>
      </c>
      <c r="L6649" t="s">
        <v>2176</v>
      </c>
      <c r="M6649" t="s">
        <v>39825</v>
      </c>
      <c r="N6649" t="s">
        <v>41249</v>
      </c>
      <c r="O6649" t="s">
        <v>41250</v>
      </c>
      <c r="P6649">
        <v>0</v>
      </c>
      <c r="Q6649">
        <v>1</v>
      </c>
      <c r="R6649" t="s">
        <v>41257</v>
      </c>
      <c r="S6649" t="s">
        <v>41461</v>
      </c>
      <c r="T6649" t="s">
        <v>43034</v>
      </c>
      <c r="U6649" t="s">
        <v>48701</v>
      </c>
      <c r="W6649" t="s">
        <v>39825</v>
      </c>
      <c r="X6649" t="s">
        <v>41258</v>
      </c>
    </row>
    <row r="6650" spans="1:24">
      <c r="A6650">
        <f>HYPERLINK("https://www.philgeps.gov.ph/GEPSNONPILOT/Tender/SplashBidNoticeAbstractUI.aspx?menuIndex=3&amp;refID=7067864&amp;Result=3","7067864")</f>
        <v>0</v>
      </c>
      <c r="B6650" t="s">
        <v>1575</v>
      </c>
      <c r="C6650" t="s">
        <v>9722</v>
      </c>
      <c r="D6650" t="s">
        <v>16630</v>
      </c>
      <c r="E6650" t="s">
        <v>22562</v>
      </c>
      <c r="F6650" t="s">
        <v>28669</v>
      </c>
      <c r="G6650" t="s">
        <v>28675</v>
      </c>
      <c r="H6650" t="s">
        <v>9998</v>
      </c>
      <c r="I6650" t="s">
        <v>7352</v>
      </c>
      <c r="J6650" t="s">
        <v>33014</v>
      </c>
      <c r="K6650" t="s">
        <v>37205</v>
      </c>
      <c r="L6650" t="s">
        <v>1575</v>
      </c>
      <c r="M6650" t="s">
        <v>39156</v>
      </c>
      <c r="N6650" t="s">
        <v>41249</v>
      </c>
      <c r="O6650" t="s">
        <v>41250</v>
      </c>
      <c r="P6650">
        <v>0</v>
      </c>
      <c r="Q6650">
        <v>0</v>
      </c>
      <c r="R6650" t="s">
        <v>41257</v>
      </c>
      <c r="S6650" t="s">
        <v>41461</v>
      </c>
      <c r="T6650" t="s">
        <v>42911</v>
      </c>
      <c r="U6650" t="s">
        <v>48702</v>
      </c>
      <c r="V6650" t="s">
        <v>55034</v>
      </c>
      <c r="W6650" t="s">
        <v>39156</v>
      </c>
      <c r="X6650" t="s">
        <v>41258</v>
      </c>
    </row>
    <row r="6651" spans="1:24">
      <c r="A6651">
        <f>HYPERLINK("https://www.philgeps.gov.ph/GEPSNONPILOT/Tender/SplashBidNoticeAbstractUI.aspx?menuIndex=3&amp;refID=7067795&amp;Result=3","7067795")</f>
        <v>0</v>
      </c>
      <c r="B6651" t="s">
        <v>1759</v>
      </c>
      <c r="C6651" t="s">
        <v>9723</v>
      </c>
      <c r="E6651" t="s">
        <v>22563</v>
      </c>
      <c r="F6651" t="s">
        <v>28669</v>
      </c>
      <c r="G6651" t="s">
        <v>28675</v>
      </c>
      <c r="H6651" t="s">
        <v>28684</v>
      </c>
      <c r="I6651" t="s">
        <v>7352</v>
      </c>
      <c r="J6651" t="s">
        <v>33015</v>
      </c>
      <c r="K6651" t="s">
        <v>37206</v>
      </c>
      <c r="M6651" t="s">
        <v>39818</v>
      </c>
      <c r="N6651" t="s">
        <v>41249</v>
      </c>
      <c r="O6651" t="s">
        <v>41250</v>
      </c>
      <c r="P6651">
        <v>0</v>
      </c>
      <c r="Q6651">
        <v>1</v>
      </c>
      <c r="R6651" t="s">
        <v>41257</v>
      </c>
      <c r="S6651" t="s">
        <v>41461</v>
      </c>
      <c r="T6651" t="s">
        <v>42743</v>
      </c>
      <c r="U6651" t="s">
        <v>48703</v>
      </c>
      <c r="W6651" t="s">
        <v>39818</v>
      </c>
      <c r="X6651" t="s">
        <v>41258</v>
      </c>
    </row>
    <row r="6652" spans="1:24">
      <c r="A6652">
        <f>HYPERLINK("https://www.philgeps.gov.ph/GEPSNONPILOT/Tender/SplashBidNoticeAbstractUI.aspx?menuIndex=3&amp;refID=7067881&amp;Result=3","7067881")</f>
        <v>0</v>
      </c>
      <c r="B6652" t="s">
        <v>2160</v>
      </c>
      <c r="C6652" t="s">
        <v>9724</v>
      </c>
      <c r="D6652" t="s">
        <v>16642</v>
      </c>
      <c r="E6652" t="s">
        <v>22564</v>
      </c>
      <c r="F6652" t="s">
        <v>28669</v>
      </c>
      <c r="G6652" t="s">
        <v>28675</v>
      </c>
      <c r="H6652" t="s">
        <v>28686</v>
      </c>
      <c r="I6652" t="s">
        <v>28689</v>
      </c>
      <c r="J6652" t="s">
        <v>33016</v>
      </c>
      <c r="K6652" t="s">
        <v>37209</v>
      </c>
      <c r="M6652" t="s">
        <v>39806</v>
      </c>
      <c r="N6652" t="s">
        <v>41249</v>
      </c>
      <c r="O6652" t="s">
        <v>41250</v>
      </c>
      <c r="P6652">
        <v>0</v>
      </c>
      <c r="Q6652">
        <v>1</v>
      </c>
      <c r="R6652" t="s">
        <v>41257</v>
      </c>
      <c r="S6652" t="s">
        <v>41461</v>
      </c>
      <c r="T6652" t="s">
        <v>42670</v>
      </c>
      <c r="U6652" t="s">
        <v>48704</v>
      </c>
      <c r="W6652" t="s">
        <v>39806</v>
      </c>
      <c r="X6652" t="s">
        <v>41258</v>
      </c>
    </row>
    <row r="6653" spans="1:24">
      <c r="A6653">
        <f>HYPERLINK("https://www.philgeps.gov.ph/GEPSNONPILOT/Tender/SplashBidNoticeAbstractUI.aspx?menuIndex=3&amp;refID=7067857&amp;Result=3","7067857")</f>
        <v>0</v>
      </c>
      <c r="B6653" t="s">
        <v>115</v>
      </c>
      <c r="C6653" t="s">
        <v>9725</v>
      </c>
      <c r="D6653" t="s">
        <v>16654</v>
      </c>
      <c r="E6653" t="s">
        <v>17986</v>
      </c>
      <c r="F6653" t="s">
        <v>28669</v>
      </c>
      <c r="G6653" t="s">
        <v>28675</v>
      </c>
      <c r="H6653" t="s">
        <v>9998</v>
      </c>
      <c r="I6653" t="s">
        <v>28687</v>
      </c>
      <c r="J6653" t="s">
        <v>29499</v>
      </c>
      <c r="K6653" t="s">
        <v>37204</v>
      </c>
      <c r="M6653" t="s">
        <v>37591</v>
      </c>
      <c r="N6653" t="s">
        <v>41249</v>
      </c>
      <c r="O6653" t="s">
        <v>41250</v>
      </c>
      <c r="P6653">
        <v>0</v>
      </c>
      <c r="Q6653">
        <v>4</v>
      </c>
      <c r="R6653" t="s">
        <v>41257</v>
      </c>
      <c r="S6653" t="s">
        <v>41461</v>
      </c>
      <c r="T6653" t="s">
        <v>42748</v>
      </c>
      <c r="U6653" t="s">
        <v>48705</v>
      </c>
      <c r="W6653" t="s">
        <v>37591</v>
      </c>
      <c r="X6653" t="s">
        <v>41258</v>
      </c>
    </row>
    <row r="6654" spans="1:24">
      <c r="A6654">
        <f>HYPERLINK("https://www.philgeps.gov.ph/GEPSNONPILOT/Tender/SplashBidNoticeAbstractUI.aspx?menuIndex=3&amp;refID=7067693&amp;Result=3","7067693")</f>
        <v>0</v>
      </c>
      <c r="B6654" t="s">
        <v>133</v>
      </c>
      <c r="C6654" t="s">
        <v>9726</v>
      </c>
      <c r="D6654" t="s">
        <v>16661</v>
      </c>
      <c r="E6654" t="s">
        <v>22565</v>
      </c>
      <c r="F6654" t="s">
        <v>28669</v>
      </c>
      <c r="G6654" t="s">
        <v>28675</v>
      </c>
      <c r="H6654" t="s">
        <v>28686</v>
      </c>
      <c r="I6654" t="s">
        <v>28689</v>
      </c>
      <c r="J6654" t="s">
        <v>33017</v>
      </c>
      <c r="K6654" t="s">
        <v>37213</v>
      </c>
      <c r="M6654" t="s">
        <v>37610</v>
      </c>
      <c r="N6654" t="s">
        <v>41249</v>
      </c>
      <c r="O6654" t="s">
        <v>41250</v>
      </c>
      <c r="P6654">
        <v>0</v>
      </c>
      <c r="Q6654">
        <v>0</v>
      </c>
      <c r="R6654" t="s">
        <v>41257</v>
      </c>
      <c r="S6654" t="s">
        <v>41461</v>
      </c>
      <c r="T6654" t="s">
        <v>42724</v>
      </c>
      <c r="U6654" t="s">
        <v>48706</v>
      </c>
      <c r="V6654" t="s">
        <v>55013</v>
      </c>
      <c r="W6654" t="s">
        <v>37610</v>
      </c>
      <c r="X6654" t="s">
        <v>41258</v>
      </c>
    </row>
    <row r="6655" spans="1:24">
      <c r="A6655">
        <f>HYPERLINK("https://www.philgeps.gov.ph/GEPSNONPILOT/Tender/SplashBidNoticeAbstractUI.aspx?menuIndex=3&amp;refID=7067853&amp;Result=3","7067853")</f>
        <v>0</v>
      </c>
      <c r="B6655" t="s">
        <v>2177</v>
      </c>
      <c r="C6655" t="s">
        <v>4075</v>
      </c>
      <c r="D6655" t="s">
        <v>16667</v>
      </c>
      <c r="E6655" t="s">
        <v>22566</v>
      </c>
      <c r="F6655" t="s">
        <v>28669</v>
      </c>
      <c r="G6655" t="s">
        <v>28675</v>
      </c>
      <c r="H6655" t="s">
        <v>28686</v>
      </c>
      <c r="I6655" t="s">
        <v>28689</v>
      </c>
      <c r="J6655" t="s">
        <v>28878</v>
      </c>
      <c r="K6655" t="s">
        <v>37293</v>
      </c>
      <c r="M6655" t="s">
        <v>39826</v>
      </c>
      <c r="N6655" t="s">
        <v>41249</v>
      </c>
      <c r="O6655" t="s">
        <v>41250</v>
      </c>
      <c r="P6655">
        <v>0</v>
      </c>
      <c r="Q6655">
        <v>0</v>
      </c>
      <c r="R6655" t="s">
        <v>41257</v>
      </c>
      <c r="S6655" t="s">
        <v>41461</v>
      </c>
      <c r="T6655" t="s">
        <v>42736</v>
      </c>
      <c r="U6655" t="s">
        <v>47998</v>
      </c>
      <c r="W6655" t="s">
        <v>39826</v>
      </c>
      <c r="X6655" t="s">
        <v>41258</v>
      </c>
    </row>
    <row r="6656" spans="1:24">
      <c r="A6656">
        <f>HYPERLINK("https://www.philgeps.gov.ph/GEPSNONPILOT/Tender/SplashBidNoticeAbstractUI.aspx?menuIndex=3&amp;refID=7067843&amp;Result=3","7067843")</f>
        <v>0</v>
      </c>
      <c r="B6656" t="s">
        <v>260</v>
      </c>
      <c r="C6656" t="s">
        <v>9727</v>
      </c>
      <c r="D6656" t="s">
        <v>16646</v>
      </c>
      <c r="E6656" t="s">
        <v>22567</v>
      </c>
      <c r="F6656" t="s">
        <v>28669</v>
      </c>
      <c r="G6656" t="s">
        <v>28675</v>
      </c>
      <c r="H6656" t="s">
        <v>9998</v>
      </c>
      <c r="I6656" t="s">
        <v>28710</v>
      </c>
      <c r="J6656" t="s">
        <v>29247</v>
      </c>
      <c r="K6656" t="s">
        <v>37205</v>
      </c>
      <c r="M6656" t="s">
        <v>37738</v>
      </c>
      <c r="N6656" t="s">
        <v>41249</v>
      </c>
      <c r="O6656" t="s">
        <v>41250</v>
      </c>
      <c r="P6656">
        <v>0</v>
      </c>
      <c r="Q6656">
        <v>1</v>
      </c>
      <c r="R6656" t="s">
        <v>41257</v>
      </c>
      <c r="S6656" t="s">
        <v>41461</v>
      </c>
      <c r="T6656" t="s">
        <v>42783</v>
      </c>
      <c r="U6656" t="s">
        <v>48707</v>
      </c>
      <c r="W6656" t="s">
        <v>37738</v>
      </c>
      <c r="X6656" t="s">
        <v>41258</v>
      </c>
    </row>
    <row r="6657" spans="1:24">
      <c r="A6657">
        <f>HYPERLINK("https://www.philgeps.gov.ph/GEPSNONPILOT/Tender/SplashBidNoticeAbstractUI.aspx?menuIndex=3&amp;refID=7067842&amp;Result=3","7067842")</f>
        <v>0</v>
      </c>
      <c r="B6657" t="s">
        <v>133</v>
      </c>
      <c r="C6657" t="s">
        <v>9728</v>
      </c>
      <c r="E6657" t="s">
        <v>17326</v>
      </c>
      <c r="F6657" t="s">
        <v>28669</v>
      </c>
      <c r="G6657" t="s">
        <v>28675</v>
      </c>
      <c r="H6657" t="s">
        <v>9998</v>
      </c>
      <c r="I6657" t="s">
        <v>11142</v>
      </c>
      <c r="J6657" t="s">
        <v>33018</v>
      </c>
      <c r="K6657" t="s">
        <v>37206</v>
      </c>
      <c r="M6657" t="s">
        <v>37610</v>
      </c>
      <c r="N6657" t="s">
        <v>41249</v>
      </c>
      <c r="O6657" t="s">
        <v>41250</v>
      </c>
      <c r="P6657">
        <v>0</v>
      </c>
      <c r="Q6657">
        <v>0</v>
      </c>
      <c r="R6657" t="s">
        <v>41257</v>
      </c>
      <c r="S6657" t="s">
        <v>41461</v>
      </c>
      <c r="T6657" t="s">
        <v>42724</v>
      </c>
      <c r="U6657" t="s">
        <v>48708</v>
      </c>
      <c r="V6657" t="s">
        <v>55035</v>
      </c>
      <c r="W6657" t="s">
        <v>37610</v>
      </c>
      <c r="X6657" t="s">
        <v>41258</v>
      </c>
    </row>
    <row r="6658" spans="1:24">
      <c r="A6658">
        <f>HYPERLINK("https://www.philgeps.gov.ph/GEPSNONPILOT/Tender/SplashBidNoticeAbstractUI.aspx?menuIndex=3&amp;refID=7067883&amp;Result=3","7067883")</f>
        <v>0</v>
      </c>
      <c r="B6658" t="s">
        <v>133</v>
      </c>
      <c r="C6658" t="s">
        <v>9729</v>
      </c>
      <c r="E6658" t="s">
        <v>22568</v>
      </c>
      <c r="F6658" t="s">
        <v>28669</v>
      </c>
      <c r="G6658" t="s">
        <v>28675</v>
      </c>
      <c r="H6658" t="s">
        <v>9998</v>
      </c>
      <c r="I6658" t="s">
        <v>11142</v>
      </c>
      <c r="J6658" t="s">
        <v>33019</v>
      </c>
      <c r="K6658" t="s">
        <v>37205</v>
      </c>
      <c r="M6658" t="s">
        <v>37610</v>
      </c>
      <c r="N6658" t="s">
        <v>41249</v>
      </c>
      <c r="O6658" t="s">
        <v>41250</v>
      </c>
      <c r="P6658">
        <v>0</v>
      </c>
      <c r="Q6658">
        <v>2</v>
      </c>
      <c r="R6658" t="s">
        <v>41257</v>
      </c>
      <c r="S6658" t="s">
        <v>41461</v>
      </c>
      <c r="T6658" t="s">
        <v>42724</v>
      </c>
      <c r="U6658" t="s">
        <v>48709</v>
      </c>
      <c r="V6658" t="s">
        <v>55035</v>
      </c>
      <c r="W6658" t="s">
        <v>37610</v>
      </c>
      <c r="X6658" t="s">
        <v>41258</v>
      </c>
    </row>
    <row r="6659" spans="1:24">
      <c r="A6659">
        <f>HYPERLINK("https://www.philgeps.gov.ph/GEPSNONPILOT/Tender/SplashBidNoticeAbstractUI.aspx?menuIndex=3&amp;refID=7067867&amp;Result=3","7067867")</f>
        <v>0</v>
      </c>
      <c r="B6659" t="s">
        <v>1533</v>
      </c>
      <c r="C6659" t="s">
        <v>9730</v>
      </c>
      <c r="D6659" t="s">
        <v>16617</v>
      </c>
      <c r="E6659" t="s">
        <v>22569</v>
      </c>
      <c r="F6659" t="s">
        <v>28669</v>
      </c>
      <c r="G6659" t="s">
        <v>28676</v>
      </c>
      <c r="H6659" t="s">
        <v>9998</v>
      </c>
      <c r="I6659" t="s">
        <v>28699</v>
      </c>
      <c r="J6659" t="s">
        <v>33020</v>
      </c>
      <c r="K6659" t="s">
        <v>37209</v>
      </c>
      <c r="M6659" t="s">
        <v>39108</v>
      </c>
      <c r="N6659" t="s">
        <v>41249</v>
      </c>
      <c r="O6659" t="s">
        <v>41250</v>
      </c>
      <c r="P6659">
        <v>0</v>
      </c>
      <c r="Q6659">
        <v>1</v>
      </c>
      <c r="R6659" t="s">
        <v>41257</v>
      </c>
      <c r="S6659" t="s">
        <v>41461</v>
      </c>
      <c r="T6659" t="s">
        <v>42883</v>
      </c>
      <c r="U6659" t="s">
        <v>48710</v>
      </c>
      <c r="V6659" t="s">
        <v>54709</v>
      </c>
      <c r="W6659" t="s">
        <v>39108</v>
      </c>
      <c r="X6659" t="s">
        <v>41258</v>
      </c>
    </row>
    <row r="6660" spans="1:24">
      <c r="A6660">
        <f>HYPERLINK("https://www.philgeps.gov.ph/GEPSNONPILOT/Tender/SplashBidNoticeAbstractUI.aspx?menuIndex=3&amp;refID=7067954&amp;Result=3","7067954")</f>
        <v>0</v>
      </c>
      <c r="B6660" t="s">
        <v>2178</v>
      </c>
      <c r="C6660" t="s">
        <v>9731</v>
      </c>
      <c r="D6660" t="s">
        <v>16608</v>
      </c>
      <c r="E6660" t="s">
        <v>22570</v>
      </c>
      <c r="F6660" t="s">
        <v>28669</v>
      </c>
      <c r="G6660" t="s">
        <v>28675</v>
      </c>
      <c r="H6660" t="s">
        <v>9998</v>
      </c>
      <c r="I6660" t="s">
        <v>28702</v>
      </c>
      <c r="J6660" t="s">
        <v>33021</v>
      </c>
      <c r="K6660" t="s">
        <v>37208</v>
      </c>
      <c r="M6660" t="s">
        <v>39827</v>
      </c>
      <c r="N6660" t="s">
        <v>41249</v>
      </c>
      <c r="O6660" t="s">
        <v>41250</v>
      </c>
      <c r="P6660">
        <v>0</v>
      </c>
      <c r="Q6660">
        <v>0</v>
      </c>
      <c r="R6660" t="s">
        <v>41257</v>
      </c>
      <c r="S6660" t="s">
        <v>41461</v>
      </c>
      <c r="T6660" t="s">
        <v>42736</v>
      </c>
      <c r="U6660" t="s">
        <v>48711</v>
      </c>
      <c r="W6660" t="s">
        <v>39827</v>
      </c>
      <c r="X6660" t="s">
        <v>41258</v>
      </c>
    </row>
    <row r="6661" spans="1:24">
      <c r="A6661">
        <f>HYPERLINK("https://www.philgeps.gov.ph/GEPSNONPILOT/Tender/SplashBidNoticeAbstractUI.aspx?menuIndex=3&amp;refID=7067943&amp;Result=3","7067943")</f>
        <v>0</v>
      </c>
      <c r="B6661" t="s">
        <v>2179</v>
      </c>
      <c r="C6661" t="s">
        <v>9732</v>
      </c>
      <c r="D6661" t="s">
        <v>16633</v>
      </c>
      <c r="E6661" t="s">
        <v>22571</v>
      </c>
      <c r="F6661" t="s">
        <v>28669</v>
      </c>
      <c r="G6661" t="s">
        <v>28677</v>
      </c>
      <c r="H6661" t="s">
        <v>9998</v>
      </c>
      <c r="I6661" t="s">
        <v>28754</v>
      </c>
      <c r="J6661" t="s">
        <v>33022</v>
      </c>
      <c r="K6661" t="s">
        <v>37204</v>
      </c>
      <c r="M6661" t="s">
        <v>39828</v>
      </c>
      <c r="N6661" t="s">
        <v>41249</v>
      </c>
      <c r="O6661" t="s">
        <v>41250</v>
      </c>
      <c r="P6661">
        <v>0</v>
      </c>
      <c r="Q6661">
        <v>6</v>
      </c>
      <c r="R6661" t="s">
        <v>41257</v>
      </c>
      <c r="S6661" t="s">
        <v>41461</v>
      </c>
      <c r="T6661" t="s">
        <v>42743</v>
      </c>
      <c r="U6661" t="s">
        <v>48712</v>
      </c>
      <c r="W6661" t="s">
        <v>39828</v>
      </c>
      <c r="X6661" t="s">
        <v>41258</v>
      </c>
    </row>
    <row r="6662" spans="1:24">
      <c r="A6662">
        <f>HYPERLINK("https://www.philgeps.gov.ph/GEPSNONPILOT/Tender/SplashBidNoticeAbstractUI.aspx?menuIndex=3&amp;refID=7067941&amp;Result=3","7067941")</f>
        <v>0</v>
      </c>
      <c r="B6662" t="s">
        <v>133</v>
      </c>
      <c r="C6662" t="s">
        <v>9733</v>
      </c>
      <c r="E6662" t="s">
        <v>22572</v>
      </c>
      <c r="F6662" t="s">
        <v>28669</v>
      </c>
      <c r="G6662" t="s">
        <v>28675</v>
      </c>
      <c r="H6662" t="s">
        <v>9998</v>
      </c>
      <c r="I6662" t="s">
        <v>7352</v>
      </c>
      <c r="J6662" t="s">
        <v>33023</v>
      </c>
      <c r="K6662" t="s">
        <v>37204</v>
      </c>
      <c r="M6662" t="s">
        <v>37610</v>
      </c>
      <c r="N6662" t="s">
        <v>41249</v>
      </c>
      <c r="O6662" t="s">
        <v>41250</v>
      </c>
      <c r="P6662">
        <v>0</v>
      </c>
      <c r="Q6662">
        <v>1</v>
      </c>
      <c r="R6662" t="s">
        <v>41257</v>
      </c>
      <c r="S6662" t="s">
        <v>41461</v>
      </c>
      <c r="T6662" t="s">
        <v>42724</v>
      </c>
      <c r="U6662" t="s">
        <v>48713</v>
      </c>
      <c r="V6662" t="s">
        <v>55035</v>
      </c>
      <c r="W6662" t="s">
        <v>37610</v>
      </c>
      <c r="X6662" t="s">
        <v>41258</v>
      </c>
    </row>
    <row r="6663" spans="1:24">
      <c r="A6663">
        <f>HYPERLINK("https://www.philgeps.gov.ph/GEPSNONPILOT/Tender/SplashBidNoticeAbstractUI.aspx?menuIndex=3&amp;refID=7067869&amp;Result=3","7067869")</f>
        <v>0</v>
      </c>
      <c r="B6663" t="s">
        <v>2180</v>
      </c>
      <c r="C6663" t="s">
        <v>9734</v>
      </c>
      <c r="D6663" t="s">
        <v>16620</v>
      </c>
      <c r="E6663" t="s">
        <v>22573</v>
      </c>
      <c r="F6663" t="s">
        <v>28671</v>
      </c>
      <c r="G6663" t="s">
        <v>28676</v>
      </c>
      <c r="H6663" t="s">
        <v>9998</v>
      </c>
      <c r="I6663" t="s">
        <v>7352</v>
      </c>
      <c r="J6663" t="s">
        <v>33024</v>
      </c>
      <c r="K6663" t="s">
        <v>37205</v>
      </c>
      <c r="M6663" t="s">
        <v>39829</v>
      </c>
      <c r="N6663" t="s">
        <v>41249</v>
      </c>
      <c r="O6663" t="s">
        <v>41250</v>
      </c>
      <c r="P6663">
        <v>0</v>
      </c>
      <c r="Q6663">
        <v>0</v>
      </c>
      <c r="R6663" t="s">
        <v>41257</v>
      </c>
      <c r="S6663" t="s">
        <v>41461</v>
      </c>
      <c r="T6663" t="s">
        <v>42714</v>
      </c>
      <c r="U6663" t="s">
        <v>48714</v>
      </c>
      <c r="V6663" t="s">
        <v>55036</v>
      </c>
      <c r="W6663" t="s">
        <v>55981</v>
      </c>
      <c r="X6663" t="s">
        <v>41258</v>
      </c>
    </row>
    <row r="6664" spans="1:24">
      <c r="A6664">
        <f>HYPERLINK("https://www.philgeps.gov.ph/GEPSNONPILOT/Tender/SplashBidNoticeAbstractUI.aspx?menuIndex=3&amp;refID=7067939&amp;Result=3","7067939")</f>
        <v>0</v>
      </c>
      <c r="B6664" t="s">
        <v>558</v>
      </c>
      <c r="C6664" t="s">
        <v>9735</v>
      </c>
      <c r="E6664" t="s">
        <v>22574</v>
      </c>
      <c r="F6664" t="s">
        <v>28669</v>
      </c>
      <c r="G6664" t="s">
        <v>28677</v>
      </c>
      <c r="H6664" t="s">
        <v>9998</v>
      </c>
      <c r="I6664" t="s">
        <v>5213</v>
      </c>
      <c r="J6664" t="s">
        <v>29774</v>
      </c>
      <c r="K6664" t="s">
        <v>37209</v>
      </c>
      <c r="M6664" t="s">
        <v>38051</v>
      </c>
      <c r="N6664" t="s">
        <v>41249</v>
      </c>
      <c r="O6664" t="s">
        <v>41250</v>
      </c>
      <c r="P6664">
        <v>0</v>
      </c>
      <c r="Q6664">
        <v>4</v>
      </c>
      <c r="R6664" t="s">
        <v>41257</v>
      </c>
      <c r="S6664" t="s">
        <v>41461</v>
      </c>
      <c r="T6664" t="s">
        <v>42887</v>
      </c>
      <c r="U6664" t="s">
        <v>48715</v>
      </c>
      <c r="W6664" t="s">
        <v>38051</v>
      </c>
      <c r="X6664" t="s">
        <v>41258</v>
      </c>
    </row>
    <row r="6665" spans="1:24">
      <c r="A6665">
        <f>HYPERLINK("https://www.philgeps.gov.ph/GEPSNONPILOT/Tender/SplashBidNoticeAbstractUI.aspx?menuIndex=3&amp;refID=7067837&amp;Result=3","7067837")</f>
        <v>0</v>
      </c>
      <c r="B6665" t="s">
        <v>2181</v>
      </c>
      <c r="C6665" t="s">
        <v>9736</v>
      </c>
      <c r="D6665" t="s">
        <v>16686</v>
      </c>
      <c r="E6665" t="s">
        <v>22575</v>
      </c>
      <c r="F6665" t="s">
        <v>28669</v>
      </c>
      <c r="G6665" t="s">
        <v>28675</v>
      </c>
      <c r="H6665" t="s">
        <v>9998</v>
      </c>
      <c r="I6665" t="s">
        <v>7352</v>
      </c>
      <c r="J6665" t="s">
        <v>28879</v>
      </c>
      <c r="K6665" t="s">
        <v>37209</v>
      </c>
      <c r="M6665" t="s">
        <v>39830</v>
      </c>
      <c r="N6665" t="s">
        <v>41249</v>
      </c>
      <c r="O6665" t="s">
        <v>41250</v>
      </c>
      <c r="P6665">
        <v>0</v>
      </c>
      <c r="Q6665">
        <v>3</v>
      </c>
      <c r="R6665" t="s">
        <v>41257</v>
      </c>
      <c r="S6665" t="s">
        <v>41461</v>
      </c>
      <c r="T6665" t="s">
        <v>42673</v>
      </c>
      <c r="U6665" t="s">
        <v>48716</v>
      </c>
      <c r="V6665" t="s">
        <v>55037</v>
      </c>
      <c r="W6665" t="s">
        <v>39830</v>
      </c>
      <c r="X6665" t="s">
        <v>41258</v>
      </c>
    </row>
    <row r="6666" spans="1:24">
      <c r="A6666">
        <f>HYPERLINK("https://www.philgeps.gov.ph/GEPSNONPILOT/Tender/SplashBidNoticeAbstractUI.aspx?menuIndex=3&amp;refID=7067934&amp;Result=3","7067934")</f>
        <v>0</v>
      </c>
      <c r="B6666" t="s">
        <v>1032</v>
      </c>
      <c r="C6666" t="s">
        <v>9737</v>
      </c>
      <c r="D6666" t="s">
        <v>16643</v>
      </c>
      <c r="E6666" t="s">
        <v>22576</v>
      </c>
      <c r="F6666" t="s">
        <v>28669</v>
      </c>
      <c r="G6666" t="s">
        <v>28675</v>
      </c>
      <c r="H6666" t="s">
        <v>9998</v>
      </c>
      <c r="I6666" t="s">
        <v>28695</v>
      </c>
      <c r="J6666" t="s">
        <v>28845</v>
      </c>
      <c r="K6666" t="s">
        <v>37227</v>
      </c>
      <c r="M6666" t="s">
        <v>38563</v>
      </c>
      <c r="N6666" t="s">
        <v>41249</v>
      </c>
      <c r="O6666" t="s">
        <v>41250</v>
      </c>
      <c r="P6666">
        <v>0</v>
      </c>
      <c r="Q6666">
        <v>0</v>
      </c>
      <c r="R6666" t="s">
        <v>41257</v>
      </c>
      <c r="S6666" t="s">
        <v>41461</v>
      </c>
      <c r="T6666" t="s">
        <v>42683</v>
      </c>
      <c r="U6666" t="s">
        <v>48700</v>
      </c>
      <c r="W6666" t="s">
        <v>38563</v>
      </c>
      <c r="X6666" t="s">
        <v>41258</v>
      </c>
    </row>
    <row r="6667" spans="1:24">
      <c r="A6667">
        <f>HYPERLINK("https://www.philgeps.gov.ph/GEPSNONPILOT/Tender/SplashBidNoticeAbstractUI.aspx?menuIndex=3&amp;refID=7067925&amp;Result=3","7067925")</f>
        <v>0</v>
      </c>
      <c r="B6667" t="s">
        <v>115</v>
      </c>
      <c r="C6667" t="s">
        <v>9738</v>
      </c>
      <c r="D6667" t="s">
        <v>16654</v>
      </c>
      <c r="E6667" t="s">
        <v>17986</v>
      </c>
      <c r="F6667" t="s">
        <v>28669</v>
      </c>
      <c r="G6667" t="s">
        <v>28675</v>
      </c>
      <c r="H6667" t="s">
        <v>9998</v>
      </c>
      <c r="I6667" t="s">
        <v>3718</v>
      </c>
      <c r="J6667" t="s">
        <v>33025</v>
      </c>
      <c r="K6667" t="s">
        <v>37205</v>
      </c>
      <c r="M6667" t="s">
        <v>37591</v>
      </c>
      <c r="N6667" t="s">
        <v>41249</v>
      </c>
      <c r="O6667" t="s">
        <v>41250</v>
      </c>
      <c r="Q6667">
        <v>1</v>
      </c>
      <c r="R6667" t="s">
        <v>41257</v>
      </c>
      <c r="S6667" t="s">
        <v>41468</v>
      </c>
      <c r="T6667" t="s">
        <v>42748</v>
      </c>
      <c r="U6667" t="s">
        <v>48717</v>
      </c>
      <c r="W6667" t="s">
        <v>37591</v>
      </c>
      <c r="X6667" t="s">
        <v>41258</v>
      </c>
    </row>
    <row r="6668" spans="1:24">
      <c r="A6668">
        <f>HYPERLINK("https://www.philgeps.gov.ph/GEPSNONPILOT/Tender/SplashBidNoticeAbstractUI.aspx?menuIndex=3&amp;refID=7067921&amp;Result=3","7067921")</f>
        <v>0</v>
      </c>
      <c r="B6668" t="s">
        <v>1164</v>
      </c>
      <c r="C6668" t="s">
        <v>9739</v>
      </c>
      <c r="D6668" t="s">
        <v>16611</v>
      </c>
      <c r="E6668" t="s">
        <v>22577</v>
      </c>
      <c r="F6668" t="s">
        <v>28669</v>
      </c>
      <c r="G6668" t="s">
        <v>28675</v>
      </c>
      <c r="H6668" t="s">
        <v>28686</v>
      </c>
      <c r="I6668" t="s">
        <v>28689</v>
      </c>
      <c r="J6668" t="s">
        <v>33026</v>
      </c>
      <c r="K6668" t="s">
        <v>37206</v>
      </c>
      <c r="M6668" t="s">
        <v>38703</v>
      </c>
      <c r="N6668" t="s">
        <v>41249</v>
      </c>
      <c r="O6668" t="s">
        <v>41250</v>
      </c>
      <c r="P6668">
        <v>0</v>
      </c>
      <c r="Q6668">
        <v>0</v>
      </c>
      <c r="R6668" t="s">
        <v>41257</v>
      </c>
      <c r="S6668" t="s">
        <v>41461</v>
      </c>
      <c r="T6668" t="s">
        <v>42882</v>
      </c>
      <c r="U6668" t="s">
        <v>45590</v>
      </c>
      <c r="V6668" t="s">
        <v>54589</v>
      </c>
      <c r="W6668" t="s">
        <v>38703</v>
      </c>
      <c r="X6668" t="s">
        <v>41258</v>
      </c>
    </row>
    <row r="6669" spans="1:24">
      <c r="A6669">
        <f>HYPERLINK("https://www.philgeps.gov.ph/GEPSNONPILOT/Tender/SplashBidNoticeAbstractUI.aspx?menuIndex=3&amp;refID=7067916&amp;Result=3","7067916")</f>
        <v>0</v>
      </c>
      <c r="B6669" t="s">
        <v>345</v>
      </c>
      <c r="C6669" t="s">
        <v>9740</v>
      </c>
      <c r="D6669" t="s">
        <v>16666</v>
      </c>
      <c r="E6669" t="s">
        <v>22578</v>
      </c>
      <c r="F6669" t="s">
        <v>28669</v>
      </c>
      <c r="G6669" t="s">
        <v>28676</v>
      </c>
      <c r="H6669" t="s">
        <v>9998</v>
      </c>
      <c r="I6669" t="s">
        <v>28714</v>
      </c>
      <c r="J6669" t="s">
        <v>28826</v>
      </c>
      <c r="K6669" t="s">
        <v>37209</v>
      </c>
      <c r="M6669" t="s">
        <v>37825</v>
      </c>
      <c r="N6669" t="s">
        <v>41249</v>
      </c>
      <c r="O6669" t="s">
        <v>41250</v>
      </c>
      <c r="Q6669">
        <v>6</v>
      </c>
      <c r="R6669" t="s">
        <v>41257</v>
      </c>
      <c r="S6669" t="s">
        <v>41469</v>
      </c>
      <c r="T6669" t="s">
        <v>42802</v>
      </c>
      <c r="U6669" t="s">
        <v>43748</v>
      </c>
      <c r="W6669" t="s">
        <v>37825</v>
      </c>
      <c r="X6669" t="s">
        <v>41258</v>
      </c>
    </row>
    <row r="6670" spans="1:24">
      <c r="A6670">
        <f>HYPERLINK("https://www.philgeps.gov.ph/GEPSNONPILOT/Tender/SplashBidNoticeAbstractUI.aspx?menuIndex=3&amp;refID=7067951&amp;Result=3","7067951")</f>
        <v>0</v>
      </c>
      <c r="B6670" t="s">
        <v>2182</v>
      </c>
      <c r="C6670" t="s">
        <v>9741</v>
      </c>
      <c r="D6670" t="s">
        <v>16683</v>
      </c>
      <c r="E6670" t="s">
        <v>21571</v>
      </c>
      <c r="F6670" t="s">
        <v>28669</v>
      </c>
      <c r="G6670" t="s">
        <v>28677</v>
      </c>
      <c r="H6670" t="s">
        <v>28684</v>
      </c>
      <c r="I6670" t="s">
        <v>28757</v>
      </c>
      <c r="J6670" t="s">
        <v>33027</v>
      </c>
      <c r="K6670" t="s">
        <v>37227</v>
      </c>
      <c r="M6670" t="s">
        <v>39831</v>
      </c>
      <c r="N6670" t="s">
        <v>41249</v>
      </c>
      <c r="O6670" t="s">
        <v>41250</v>
      </c>
      <c r="P6670">
        <v>0</v>
      </c>
      <c r="Q6670">
        <v>1</v>
      </c>
      <c r="R6670" t="s">
        <v>41257</v>
      </c>
      <c r="S6670" t="s">
        <v>41461</v>
      </c>
      <c r="T6670" t="s">
        <v>42665</v>
      </c>
      <c r="U6670" t="s">
        <v>48718</v>
      </c>
      <c r="W6670" t="s">
        <v>39831</v>
      </c>
      <c r="X6670" t="s">
        <v>41258</v>
      </c>
    </row>
    <row r="6671" spans="1:24">
      <c r="A6671">
        <f>HYPERLINK("https://www.philgeps.gov.ph/GEPSNONPILOT/Tender/SplashBidNoticeAbstractUI.aspx?menuIndex=3&amp;refID=7067915&amp;Result=3","7067915")</f>
        <v>0</v>
      </c>
      <c r="B6671" t="s">
        <v>2183</v>
      </c>
      <c r="C6671" t="s">
        <v>6683</v>
      </c>
      <c r="D6671" t="s">
        <v>16621</v>
      </c>
      <c r="E6671" t="s">
        <v>16820</v>
      </c>
      <c r="F6671" t="s">
        <v>28669</v>
      </c>
      <c r="G6671" t="s">
        <v>28675</v>
      </c>
      <c r="H6671" t="s">
        <v>28686</v>
      </c>
      <c r="I6671" t="s">
        <v>28689</v>
      </c>
      <c r="J6671" t="s">
        <v>33028</v>
      </c>
      <c r="K6671" t="s">
        <v>37231</v>
      </c>
      <c r="M6671" t="s">
        <v>39832</v>
      </c>
      <c r="N6671" t="s">
        <v>41249</v>
      </c>
      <c r="O6671" t="s">
        <v>41250</v>
      </c>
      <c r="P6671">
        <v>0</v>
      </c>
      <c r="Q6671">
        <v>0</v>
      </c>
      <c r="R6671" t="s">
        <v>41257</v>
      </c>
      <c r="S6671" t="s">
        <v>41461</v>
      </c>
      <c r="T6671" t="s">
        <v>42701</v>
      </c>
      <c r="U6671" t="s">
        <v>48719</v>
      </c>
      <c r="W6671" t="s">
        <v>39832</v>
      </c>
      <c r="X6671" t="s">
        <v>41258</v>
      </c>
    </row>
    <row r="6672" spans="1:24">
      <c r="A6672">
        <f>HYPERLINK("https://www.philgeps.gov.ph/GEPSNONPILOT/Tender/SplashBidNoticeAbstractUI.aspx?menuIndex=3&amp;refID=7067940&amp;Result=3","7067940")</f>
        <v>0</v>
      </c>
      <c r="B6672" t="s">
        <v>345</v>
      </c>
      <c r="C6672" t="s">
        <v>9742</v>
      </c>
      <c r="D6672" t="s">
        <v>16666</v>
      </c>
      <c r="E6672" t="s">
        <v>22579</v>
      </c>
      <c r="F6672" t="s">
        <v>28669</v>
      </c>
      <c r="G6672" t="s">
        <v>28676</v>
      </c>
      <c r="H6672" t="s">
        <v>9998</v>
      </c>
      <c r="I6672" t="s">
        <v>28694</v>
      </c>
      <c r="J6672" t="s">
        <v>30696</v>
      </c>
      <c r="K6672" t="s">
        <v>37209</v>
      </c>
      <c r="M6672" t="s">
        <v>37825</v>
      </c>
      <c r="N6672" t="s">
        <v>41249</v>
      </c>
      <c r="O6672" t="s">
        <v>41250</v>
      </c>
      <c r="Q6672">
        <v>1</v>
      </c>
      <c r="R6672" t="s">
        <v>41257</v>
      </c>
      <c r="S6672" t="s">
        <v>41470</v>
      </c>
      <c r="T6672" t="s">
        <v>42802</v>
      </c>
      <c r="U6672" t="s">
        <v>43748</v>
      </c>
      <c r="W6672" t="s">
        <v>37825</v>
      </c>
      <c r="X6672" t="s">
        <v>41258</v>
      </c>
    </row>
    <row r="6673" spans="1:24">
      <c r="A6673">
        <f>HYPERLINK("https://www.philgeps.gov.ph/GEPSNONPILOT/Tender/SplashBidNoticeAbstractUI.aspx?menuIndex=3&amp;refID=7067910&amp;Result=3","7067910")</f>
        <v>0</v>
      </c>
      <c r="B6673" t="s">
        <v>2174</v>
      </c>
      <c r="C6673" t="s">
        <v>9623</v>
      </c>
      <c r="D6673" t="s">
        <v>16616</v>
      </c>
      <c r="E6673" t="s">
        <v>22580</v>
      </c>
      <c r="F6673" t="s">
        <v>28669</v>
      </c>
      <c r="G6673" t="s">
        <v>28677</v>
      </c>
      <c r="H6673" t="s">
        <v>9998</v>
      </c>
      <c r="I6673" t="s">
        <v>28688</v>
      </c>
      <c r="J6673" t="s">
        <v>33029</v>
      </c>
      <c r="K6673" t="s">
        <v>37243</v>
      </c>
      <c r="M6673" t="s">
        <v>39823</v>
      </c>
      <c r="N6673" t="s">
        <v>41249</v>
      </c>
      <c r="O6673" t="s">
        <v>41250</v>
      </c>
      <c r="P6673">
        <v>0</v>
      </c>
      <c r="Q6673">
        <v>0</v>
      </c>
      <c r="R6673" t="s">
        <v>41257</v>
      </c>
      <c r="S6673" t="s">
        <v>41461</v>
      </c>
      <c r="T6673" t="s">
        <v>42883</v>
      </c>
      <c r="U6673" t="s">
        <v>48720</v>
      </c>
      <c r="W6673" t="s">
        <v>39823</v>
      </c>
      <c r="X6673" t="s">
        <v>41258</v>
      </c>
    </row>
    <row r="6674" spans="1:24">
      <c r="A6674">
        <f>HYPERLINK("https://www.philgeps.gov.ph/GEPSNONPILOT/Tender/SplashBidNoticeAbstractUI.aspx?menuIndex=3&amp;refID=7067990&amp;Result=3","7067990")</f>
        <v>0</v>
      </c>
      <c r="B6674" t="s">
        <v>849</v>
      </c>
      <c r="C6674" t="s">
        <v>9743</v>
      </c>
      <c r="D6674" t="s">
        <v>16626</v>
      </c>
      <c r="E6674" t="s">
        <v>22581</v>
      </c>
      <c r="F6674" t="s">
        <v>28669</v>
      </c>
      <c r="G6674" t="s">
        <v>28675</v>
      </c>
      <c r="H6674" t="s">
        <v>9998</v>
      </c>
      <c r="I6674" t="s">
        <v>7352</v>
      </c>
      <c r="J6674" t="s">
        <v>33030</v>
      </c>
      <c r="K6674" t="s">
        <v>37209</v>
      </c>
      <c r="M6674" t="s">
        <v>38365</v>
      </c>
      <c r="N6674" t="s">
        <v>41249</v>
      </c>
      <c r="O6674" t="s">
        <v>41250</v>
      </c>
      <c r="P6674">
        <v>0</v>
      </c>
      <c r="Q6674">
        <v>0</v>
      </c>
      <c r="R6674" t="s">
        <v>41257</v>
      </c>
      <c r="S6674" t="s">
        <v>41461</v>
      </c>
      <c r="T6674" t="s">
        <v>42782</v>
      </c>
      <c r="U6674" t="s">
        <v>48721</v>
      </c>
      <c r="W6674" t="s">
        <v>38365</v>
      </c>
      <c r="X6674" t="s">
        <v>41258</v>
      </c>
    </row>
    <row r="6675" spans="1:24">
      <c r="A6675">
        <f>HYPERLINK("https://www.philgeps.gov.ph/GEPSNONPILOT/Tender/SplashBidNoticeAbstractUI.aspx?menuIndex=3&amp;refID=7068004&amp;Result=3","7068004")</f>
        <v>0</v>
      </c>
      <c r="B6675" t="s">
        <v>2184</v>
      </c>
      <c r="C6675" t="s">
        <v>9744</v>
      </c>
      <c r="D6675" t="s">
        <v>16664</v>
      </c>
      <c r="E6675" t="s">
        <v>22582</v>
      </c>
      <c r="F6675" t="s">
        <v>28669</v>
      </c>
      <c r="G6675" t="s">
        <v>28675</v>
      </c>
      <c r="H6675" t="s">
        <v>9998</v>
      </c>
      <c r="I6675" t="s">
        <v>7352</v>
      </c>
      <c r="J6675" t="s">
        <v>31691</v>
      </c>
      <c r="K6675" t="s">
        <v>37204</v>
      </c>
      <c r="M6675" t="s">
        <v>39833</v>
      </c>
      <c r="N6675" t="s">
        <v>41249</v>
      </c>
      <c r="O6675" t="s">
        <v>41250</v>
      </c>
      <c r="P6675">
        <v>0</v>
      </c>
      <c r="Q6675">
        <v>0</v>
      </c>
      <c r="R6675" t="s">
        <v>41257</v>
      </c>
      <c r="S6675" t="s">
        <v>41461</v>
      </c>
      <c r="T6675" t="s">
        <v>42743</v>
      </c>
      <c r="U6675" t="s">
        <v>44777</v>
      </c>
      <c r="W6675" t="s">
        <v>39833</v>
      </c>
      <c r="X6675" t="s">
        <v>41258</v>
      </c>
    </row>
    <row r="6676" spans="1:24">
      <c r="A6676">
        <f>HYPERLINK("https://www.philgeps.gov.ph/GEPSNONPILOT/Tender/SplashBidNoticeAbstractUI.aspx?menuIndex=3&amp;refID=7068003&amp;Result=3","7068003")</f>
        <v>0</v>
      </c>
      <c r="B6676" t="s">
        <v>133</v>
      </c>
      <c r="C6676" t="s">
        <v>9745</v>
      </c>
      <c r="E6676" t="s">
        <v>22583</v>
      </c>
      <c r="F6676" t="s">
        <v>28669</v>
      </c>
      <c r="G6676" t="s">
        <v>28675</v>
      </c>
      <c r="H6676" t="s">
        <v>9998</v>
      </c>
      <c r="I6676" t="s">
        <v>11142</v>
      </c>
      <c r="J6676" t="s">
        <v>33031</v>
      </c>
      <c r="K6676" t="s">
        <v>37221</v>
      </c>
      <c r="M6676" t="s">
        <v>37610</v>
      </c>
      <c r="N6676" t="s">
        <v>41249</v>
      </c>
      <c r="O6676" t="s">
        <v>41250</v>
      </c>
      <c r="P6676">
        <v>0</v>
      </c>
      <c r="Q6676">
        <v>0</v>
      </c>
      <c r="R6676" t="s">
        <v>41257</v>
      </c>
      <c r="S6676" t="s">
        <v>41461</v>
      </c>
      <c r="T6676" t="s">
        <v>42724</v>
      </c>
      <c r="U6676" t="s">
        <v>48722</v>
      </c>
      <c r="V6676" t="s">
        <v>55035</v>
      </c>
      <c r="W6676" t="s">
        <v>37610</v>
      </c>
      <c r="X6676" t="s">
        <v>41258</v>
      </c>
    </row>
    <row r="6677" spans="1:24">
      <c r="A6677">
        <f>HYPERLINK("https://www.philgeps.gov.ph/GEPSNONPILOT/Tender/SplashBidNoticeAbstractUI.aspx?menuIndex=3&amp;refID=7067922&amp;Result=3","7067922")</f>
        <v>0</v>
      </c>
      <c r="B6677" t="s">
        <v>2185</v>
      </c>
      <c r="C6677" t="s">
        <v>9746</v>
      </c>
      <c r="D6677" t="s">
        <v>16633</v>
      </c>
      <c r="E6677" t="s">
        <v>22584</v>
      </c>
      <c r="F6677" t="s">
        <v>28669</v>
      </c>
      <c r="G6677" t="s">
        <v>28675</v>
      </c>
      <c r="H6677" t="s">
        <v>9998</v>
      </c>
      <c r="I6677" t="s">
        <v>7352</v>
      </c>
      <c r="J6677" t="s">
        <v>33032</v>
      </c>
      <c r="K6677" t="s">
        <v>37205</v>
      </c>
      <c r="M6677" t="s">
        <v>39834</v>
      </c>
      <c r="N6677" t="s">
        <v>41249</v>
      </c>
      <c r="O6677" t="s">
        <v>41250</v>
      </c>
      <c r="P6677">
        <v>0</v>
      </c>
      <c r="Q6677">
        <v>0</v>
      </c>
      <c r="R6677" t="s">
        <v>41257</v>
      </c>
      <c r="S6677" t="s">
        <v>41461</v>
      </c>
      <c r="T6677" t="s">
        <v>42736</v>
      </c>
      <c r="U6677" t="s">
        <v>48723</v>
      </c>
      <c r="W6677" t="s">
        <v>39834</v>
      </c>
      <c r="X6677" t="s">
        <v>41258</v>
      </c>
    </row>
    <row r="6678" spans="1:24">
      <c r="A6678">
        <f>HYPERLINK("https://www.philgeps.gov.ph/GEPSNONPILOT/Tender/SplashBidNoticeAbstractUI.aspx?menuIndex=3&amp;refID=7067992&amp;Result=3","7067992")</f>
        <v>0</v>
      </c>
      <c r="B6678" t="s">
        <v>1164</v>
      </c>
      <c r="C6678" t="s">
        <v>9747</v>
      </c>
      <c r="D6678" t="s">
        <v>16611</v>
      </c>
      <c r="E6678" t="s">
        <v>22585</v>
      </c>
      <c r="F6678" t="s">
        <v>28669</v>
      </c>
      <c r="G6678" t="s">
        <v>28675</v>
      </c>
      <c r="H6678" t="s">
        <v>28686</v>
      </c>
      <c r="I6678" t="s">
        <v>28689</v>
      </c>
      <c r="J6678" t="s">
        <v>28881</v>
      </c>
      <c r="K6678" t="s">
        <v>37211</v>
      </c>
      <c r="M6678" t="s">
        <v>38703</v>
      </c>
      <c r="N6678" t="s">
        <v>41249</v>
      </c>
      <c r="O6678" t="s">
        <v>41250</v>
      </c>
      <c r="P6678">
        <v>0</v>
      </c>
      <c r="Q6678">
        <v>2</v>
      </c>
      <c r="R6678" t="s">
        <v>41257</v>
      </c>
      <c r="S6678" t="s">
        <v>41461</v>
      </c>
      <c r="T6678" t="s">
        <v>43016</v>
      </c>
      <c r="U6678" t="s">
        <v>45590</v>
      </c>
      <c r="V6678" t="s">
        <v>54589</v>
      </c>
      <c r="W6678" t="s">
        <v>38703</v>
      </c>
      <c r="X6678" t="s">
        <v>41258</v>
      </c>
    </row>
    <row r="6679" spans="1:24">
      <c r="A6679">
        <f>HYPERLINK("https://www.philgeps.gov.ph/GEPSNONPILOT/Tender/SplashBidNoticeAbstractUI.aspx?menuIndex=3&amp;refID=7067920&amp;Result=3","7067920")</f>
        <v>0</v>
      </c>
      <c r="B6679" t="s">
        <v>532</v>
      </c>
      <c r="C6679" t="s">
        <v>9748</v>
      </c>
      <c r="D6679" t="s">
        <v>16675</v>
      </c>
      <c r="E6679" t="s">
        <v>22586</v>
      </c>
      <c r="F6679" t="s">
        <v>28669</v>
      </c>
      <c r="G6679" t="s">
        <v>28675</v>
      </c>
      <c r="H6679" t="s">
        <v>28686</v>
      </c>
      <c r="I6679" t="s">
        <v>28689</v>
      </c>
      <c r="J6679" t="s">
        <v>33033</v>
      </c>
      <c r="K6679" t="s">
        <v>37374</v>
      </c>
      <c r="M6679" t="s">
        <v>38023</v>
      </c>
      <c r="N6679" t="s">
        <v>41249</v>
      </c>
      <c r="O6679" t="s">
        <v>41250</v>
      </c>
      <c r="P6679">
        <v>0</v>
      </c>
      <c r="Q6679">
        <v>1</v>
      </c>
      <c r="R6679" t="s">
        <v>41257</v>
      </c>
      <c r="S6679" t="s">
        <v>41461</v>
      </c>
      <c r="T6679" t="s">
        <v>42808</v>
      </c>
      <c r="U6679" t="s">
        <v>48724</v>
      </c>
      <c r="W6679" t="s">
        <v>38023</v>
      </c>
      <c r="X6679" t="s">
        <v>41258</v>
      </c>
    </row>
    <row r="6680" spans="1:24">
      <c r="A6680">
        <f>HYPERLINK("https://www.philgeps.gov.ph/GEPSNONPILOT/Tender/SplashBidNoticeAbstractUI.aspx?menuIndex=3&amp;refID=7067985&amp;Result=3","7067985")</f>
        <v>0</v>
      </c>
      <c r="B6680" t="s">
        <v>1697</v>
      </c>
      <c r="C6680" t="s">
        <v>9749</v>
      </c>
      <c r="D6680" t="s">
        <v>16639</v>
      </c>
      <c r="E6680" t="s">
        <v>22587</v>
      </c>
      <c r="F6680" t="s">
        <v>28669</v>
      </c>
      <c r="G6680" t="s">
        <v>28675</v>
      </c>
      <c r="H6680" t="s">
        <v>9998</v>
      </c>
      <c r="I6680" t="s">
        <v>11593</v>
      </c>
      <c r="J6680" t="s">
        <v>33034</v>
      </c>
      <c r="K6680" t="s">
        <v>37209</v>
      </c>
      <c r="L6680" t="s">
        <v>1697</v>
      </c>
      <c r="M6680" t="s">
        <v>39294</v>
      </c>
      <c r="N6680" t="s">
        <v>41249</v>
      </c>
      <c r="O6680" t="s">
        <v>41250</v>
      </c>
      <c r="Q6680">
        <v>6</v>
      </c>
      <c r="R6680" t="s">
        <v>41257</v>
      </c>
      <c r="S6680" t="s">
        <v>41471</v>
      </c>
      <c r="T6680" t="s">
        <v>42668</v>
      </c>
      <c r="U6680" t="s">
        <v>48725</v>
      </c>
      <c r="W6680" t="s">
        <v>39294</v>
      </c>
      <c r="X6680" t="s">
        <v>41258</v>
      </c>
    </row>
    <row r="6681" spans="1:24">
      <c r="A6681">
        <f>HYPERLINK("https://www.philgeps.gov.ph/GEPSNONPILOT/Tender/SplashBidNoticeAbstractUI.aspx?menuIndex=3&amp;refID=7067981&amp;Result=3","7067981")</f>
        <v>0</v>
      </c>
      <c r="B6681" t="s">
        <v>2167</v>
      </c>
      <c r="C6681" t="s">
        <v>9750</v>
      </c>
      <c r="E6681" t="s">
        <v>22588</v>
      </c>
      <c r="F6681" t="s">
        <v>28669</v>
      </c>
      <c r="G6681" t="s">
        <v>28676</v>
      </c>
      <c r="H6681" t="s">
        <v>9998</v>
      </c>
      <c r="I6681" t="s">
        <v>28698</v>
      </c>
      <c r="J6681" t="s">
        <v>33035</v>
      </c>
      <c r="K6681" t="s">
        <v>37206</v>
      </c>
      <c r="M6681" t="s">
        <v>39814</v>
      </c>
      <c r="N6681" t="s">
        <v>41249</v>
      </c>
      <c r="O6681" t="s">
        <v>41250</v>
      </c>
      <c r="P6681">
        <v>0</v>
      </c>
      <c r="Q6681">
        <v>0</v>
      </c>
      <c r="R6681" t="s">
        <v>41257</v>
      </c>
      <c r="S6681" t="s">
        <v>41461</v>
      </c>
      <c r="T6681" t="s">
        <v>42717</v>
      </c>
      <c r="U6681" t="s">
        <v>48726</v>
      </c>
      <c r="W6681" t="s">
        <v>55980</v>
      </c>
      <c r="X6681" t="s">
        <v>41258</v>
      </c>
    </row>
    <row r="6682" spans="1:24">
      <c r="A6682">
        <f>HYPERLINK("https://www.philgeps.gov.ph/GEPSNONPILOT/Tender/SplashBidNoticeAbstractUI.aspx?menuIndex=3&amp;refID=7067980&amp;Result=3","7067980")</f>
        <v>0</v>
      </c>
      <c r="B6682" t="s">
        <v>2186</v>
      </c>
      <c r="C6682" t="s">
        <v>9751</v>
      </c>
      <c r="D6682" t="s">
        <v>16681</v>
      </c>
      <c r="E6682" t="s">
        <v>16861</v>
      </c>
      <c r="F6682" t="s">
        <v>28669</v>
      </c>
      <c r="G6682" t="s">
        <v>28675</v>
      </c>
      <c r="H6682" t="s">
        <v>9998</v>
      </c>
      <c r="I6682" t="s">
        <v>7352</v>
      </c>
      <c r="J6682" t="s">
        <v>33036</v>
      </c>
      <c r="K6682" t="s">
        <v>37206</v>
      </c>
      <c r="M6682" t="s">
        <v>39835</v>
      </c>
      <c r="N6682" t="s">
        <v>41249</v>
      </c>
      <c r="O6682" t="s">
        <v>41250</v>
      </c>
      <c r="P6682">
        <v>0</v>
      </c>
      <c r="Q6682">
        <v>0</v>
      </c>
      <c r="R6682" t="s">
        <v>41257</v>
      </c>
      <c r="S6682" t="s">
        <v>41461</v>
      </c>
      <c r="T6682" t="s">
        <v>42736</v>
      </c>
      <c r="U6682" t="s">
        <v>48727</v>
      </c>
      <c r="W6682" t="s">
        <v>39835</v>
      </c>
      <c r="X6682" t="s">
        <v>41258</v>
      </c>
    </row>
    <row r="6683" spans="1:24">
      <c r="A6683">
        <f>HYPERLINK("https://www.philgeps.gov.ph/GEPSNONPILOT/Tender/SplashBidNoticeAbstractUI.aspx?menuIndex=3&amp;refID=7067993&amp;Result=3","7067993")</f>
        <v>0</v>
      </c>
      <c r="B6683" t="s">
        <v>1258</v>
      </c>
      <c r="C6683" t="s">
        <v>9752</v>
      </c>
      <c r="D6683" t="s">
        <v>16663</v>
      </c>
      <c r="E6683" t="s">
        <v>22589</v>
      </c>
      <c r="F6683" t="s">
        <v>28669</v>
      </c>
      <c r="G6683" t="s">
        <v>28676</v>
      </c>
      <c r="H6683" t="s">
        <v>9998</v>
      </c>
      <c r="I6683" t="s">
        <v>28694</v>
      </c>
      <c r="J6683" t="s">
        <v>33037</v>
      </c>
      <c r="K6683" t="s">
        <v>37227</v>
      </c>
      <c r="M6683" t="s">
        <v>38807</v>
      </c>
      <c r="N6683" t="s">
        <v>41249</v>
      </c>
      <c r="O6683" t="s">
        <v>41250</v>
      </c>
      <c r="P6683">
        <v>0</v>
      </c>
      <c r="Q6683">
        <v>0</v>
      </c>
      <c r="R6683" t="s">
        <v>41257</v>
      </c>
      <c r="S6683" t="s">
        <v>41461</v>
      </c>
      <c r="T6683" t="s">
        <v>42736</v>
      </c>
      <c r="U6683" t="s">
        <v>48728</v>
      </c>
      <c r="W6683" t="s">
        <v>38807</v>
      </c>
      <c r="X6683" t="s">
        <v>41258</v>
      </c>
    </row>
    <row r="6684" spans="1:24">
      <c r="A6684">
        <f>HYPERLINK("https://www.philgeps.gov.ph/GEPSNONPILOT/Tender/SplashBidNoticeAbstractUI.aspx?menuIndex=3&amp;refID=7067854&amp;Result=3","7067854")</f>
        <v>0</v>
      </c>
      <c r="B6684" t="s">
        <v>1697</v>
      </c>
      <c r="C6684" t="s">
        <v>9753</v>
      </c>
      <c r="D6684" t="s">
        <v>16639</v>
      </c>
      <c r="E6684" t="s">
        <v>22590</v>
      </c>
      <c r="F6684" t="s">
        <v>28669</v>
      </c>
      <c r="G6684" t="s">
        <v>28675</v>
      </c>
      <c r="H6684" t="s">
        <v>9998</v>
      </c>
      <c r="I6684" t="s">
        <v>28688</v>
      </c>
      <c r="J6684" t="s">
        <v>33038</v>
      </c>
      <c r="K6684" t="s">
        <v>37209</v>
      </c>
      <c r="L6684" t="s">
        <v>1697</v>
      </c>
      <c r="M6684" t="s">
        <v>39294</v>
      </c>
      <c r="N6684" t="s">
        <v>41249</v>
      </c>
      <c r="O6684" t="s">
        <v>41250</v>
      </c>
      <c r="Q6684">
        <v>8</v>
      </c>
      <c r="R6684" t="s">
        <v>41257</v>
      </c>
      <c r="S6684" t="s">
        <v>41472</v>
      </c>
      <c r="T6684" t="s">
        <v>42668</v>
      </c>
      <c r="U6684" t="s">
        <v>48729</v>
      </c>
      <c r="W6684" t="s">
        <v>39294</v>
      </c>
      <c r="X6684" t="s">
        <v>41258</v>
      </c>
    </row>
    <row r="6685" spans="1:24">
      <c r="A6685">
        <f>HYPERLINK("https://www.philgeps.gov.ph/GEPSNONPILOT/Tender/SplashBidNoticeAbstractUI.aspx?menuIndex=3&amp;refID=7067977&amp;Result=3","7067977")</f>
        <v>0</v>
      </c>
      <c r="B6685" t="s">
        <v>2111</v>
      </c>
      <c r="C6685" t="s">
        <v>9754</v>
      </c>
      <c r="D6685" t="s">
        <v>16608</v>
      </c>
      <c r="E6685" t="s">
        <v>22591</v>
      </c>
      <c r="F6685" t="s">
        <v>28669</v>
      </c>
      <c r="G6685" t="s">
        <v>28675</v>
      </c>
      <c r="H6685" t="s">
        <v>9998</v>
      </c>
      <c r="I6685" t="s">
        <v>28693</v>
      </c>
      <c r="J6685" t="s">
        <v>33039</v>
      </c>
      <c r="K6685" t="s">
        <v>37256</v>
      </c>
      <c r="M6685" t="s">
        <v>39754</v>
      </c>
      <c r="N6685" t="s">
        <v>41249</v>
      </c>
      <c r="O6685" t="s">
        <v>41250</v>
      </c>
      <c r="P6685">
        <v>0</v>
      </c>
      <c r="Q6685">
        <v>8</v>
      </c>
      <c r="R6685" t="s">
        <v>41257</v>
      </c>
      <c r="S6685" t="s">
        <v>41461</v>
      </c>
      <c r="T6685" t="s">
        <v>42758</v>
      </c>
      <c r="U6685" t="s">
        <v>48730</v>
      </c>
      <c r="W6685" t="s">
        <v>39754</v>
      </c>
      <c r="X6685" t="s">
        <v>41258</v>
      </c>
    </row>
    <row r="6686" spans="1:24">
      <c r="A6686">
        <f>HYPERLINK("https://www.philgeps.gov.ph/GEPSNONPILOT/Tender/SplashBidNoticeAbstractUI.aspx?menuIndex=3&amp;refID=7067976&amp;Result=3","7067976")</f>
        <v>0</v>
      </c>
      <c r="B6686" t="s">
        <v>2179</v>
      </c>
      <c r="C6686" t="s">
        <v>9755</v>
      </c>
      <c r="D6686" t="s">
        <v>16633</v>
      </c>
      <c r="E6686" t="s">
        <v>22592</v>
      </c>
      <c r="F6686" t="s">
        <v>28669</v>
      </c>
      <c r="G6686" t="s">
        <v>28677</v>
      </c>
      <c r="H6686" t="s">
        <v>9998</v>
      </c>
      <c r="I6686" t="s">
        <v>28697</v>
      </c>
      <c r="J6686" t="s">
        <v>28931</v>
      </c>
      <c r="K6686" t="s">
        <v>37204</v>
      </c>
      <c r="M6686" t="s">
        <v>39828</v>
      </c>
      <c r="N6686" t="s">
        <v>41249</v>
      </c>
      <c r="O6686" t="s">
        <v>41250</v>
      </c>
      <c r="P6686">
        <v>0</v>
      </c>
      <c r="Q6686">
        <v>11</v>
      </c>
      <c r="R6686" t="s">
        <v>41257</v>
      </c>
      <c r="S6686" t="s">
        <v>41461</v>
      </c>
      <c r="T6686" t="s">
        <v>42743</v>
      </c>
      <c r="U6686" t="s">
        <v>48731</v>
      </c>
      <c r="W6686" t="s">
        <v>39828</v>
      </c>
      <c r="X6686" t="s">
        <v>41258</v>
      </c>
    </row>
    <row r="6687" spans="1:24">
      <c r="A6687">
        <f>HYPERLINK("https://www.philgeps.gov.ph/GEPSNONPILOT/Tender/SplashBidNoticeAbstractUI.aspx?menuIndex=3&amp;refID=7067974&amp;Result=3","7067974")</f>
        <v>0</v>
      </c>
      <c r="B6687" t="s">
        <v>659</v>
      </c>
      <c r="C6687" t="s">
        <v>9756</v>
      </c>
      <c r="D6687" t="s">
        <v>16643</v>
      </c>
      <c r="E6687" t="s">
        <v>22593</v>
      </c>
      <c r="F6687" t="s">
        <v>28669</v>
      </c>
      <c r="G6687" t="s">
        <v>28676</v>
      </c>
      <c r="H6687" t="s">
        <v>9998</v>
      </c>
      <c r="I6687" t="s">
        <v>28775</v>
      </c>
      <c r="J6687" t="s">
        <v>32251</v>
      </c>
      <c r="K6687" t="s">
        <v>37204</v>
      </c>
      <c r="M6687" t="s">
        <v>38161</v>
      </c>
      <c r="N6687" t="s">
        <v>41249</v>
      </c>
      <c r="O6687" t="s">
        <v>41250</v>
      </c>
      <c r="P6687">
        <v>0</v>
      </c>
      <c r="Q6687">
        <v>0</v>
      </c>
      <c r="R6687" t="s">
        <v>41257</v>
      </c>
      <c r="S6687" t="s">
        <v>41461</v>
      </c>
      <c r="T6687" t="s">
        <v>42736</v>
      </c>
      <c r="U6687" t="s">
        <v>48732</v>
      </c>
      <c r="W6687" t="s">
        <v>55925</v>
      </c>
      <c r="X6687" t="s">
        <v>41258</v>
      </c>
    </row>
    <row r="6688" spans="1:24">
      <c r="A6688">
        <f>HYPERLINK("https://www.philgeps.gov.ph/GEPSNONPILOT/Tender/SplashBidNoticeAbstractUI.aspx?menuIndex=3&amp;refID=7067971&amp;Result=3","7067971")</f>
        <v>0</v>
      </c>
      <c r="B6688" t="s">
        <v>715</v>
      </c>
      <c r="C6688" t="s">
        <v>9757</v>
      </c>
      <c r="D6688" t="s">
        <v>16622</v>
      </c>
      <c r="E6688" t="s">
        <v>22594</v>
      </c>
      <c r="F6688" t="s">
        <v>28669</v>
      </c>
      <c r="G6688" t="s">
        <v>28676</v>
      </c>
      <c r="H6688" t="s">
        <v>9998</v>
      </c>
      <c r="I6688" t="s">
        <v>5213</v>
      </c>
      <c r="J6688" t="s">
        <v>28912</v>
      </c>
      <c r="K6688" t="s">
        <v>37206</v>
      </c>
      <c r="M6688" t="s">
        <v>39836</v>
      </c>
      <c r="N6688" t="s">
        <v>41249</v>
      </c>
      <c r="O6688" t="s">
        <v>41250</v>
      </c>
      <c r="P6688">
        <v>0</v>
      </c>
      <c r="Q6688">
        <v>6</v>
      </c>
      <c r="R6688" t="s">
        <v>41257</v>
      </c>
      <c r="S6688" t="s">
        <v>41461</v>
      </c>
      <c r="T6688" t="s">
        <v>42811</v>
      </c>
      <c r="U6688" t="s">
        <v>48733</v>
      </c>
      <c r="W6688" t="s">
        <v>39836</v>
      </c>
      <c r="X6688" t="s">
        <v>41258</v>
      </c>
    </row>
    <row r="6689" spans="1:24">
      <c r="A6689">
        <f>HYPERLINK("https://www.philgeps.gov.ph/GEPSNONPILOT/Tender/SplashBidNoticeAbstractUI.aspx?menuIndex=3&amp;refID=7067970&amp;Result=3","7067970")</f>
        <v>0</v>
      </c>
      <c r="B6689" t="s">
        <v>133</v>
      </c>
      <c r="C6689" t="s">
        <v>9758</v>
      </c>
      <c r="E6689" t="s">
        <v>22595</v>
      </c>
      <c r="F6689" t="s">
        <v>28669</v>
      </c>
      <c r="G6689" t="s">
        <v>28675</v>
      </c>
      <c r="H6689" t="s">
        <v>9998</v>
      </c>
      <c r="I6689" t="s">
        <v>7352</v>
      </c>
      <c r="J6689" t="s">
        <v>33040</v>
      </c>
      <c r="K6689" t="s">
        <v>37207</v>
      </c>
      <c r="M6689" t="s">
        <v>37610</v>
      </c>
      <c r="N6689" t="s">
        <v>41249</v>
      </c>
      <c r="O6689" t="s">
        <v>41250</v>
      </c>
      <c r="P6689">
        <v>0</v>
      </c>
      <c r="Q6689">
        <v>1</v>
      </c>
      <c r="R6689" t="s">
        <v>41257</v>
      </c>
      <c r="S6689" t="s">
        <v>41461</v>
      </c>
      <c r="T6689" t="s">
        <v>42724</v>
      </c>
      <c r="U6689" t="s">
        <v>48734</v>
      </c>
      <c r="V6689" t="s">
        <v>55035</v>
      </c>
      <c r="W6689" t="s">
        <v>37610</v>
      </c>
      <c r="X6689" t="s">
        <v>41258</v>
      </c>
    </row>
    <row r="6690" spans="1:24">
      <c r="A6690">
        <f>HYPERLINK("https://www.philgeps.gov.ph/GEPSNONPILOT/Tender/SplashBidNoticeAbstractUI.aspx?menuIndex=3&amp;refID=7067964&amp;Result=3","7067964")</f>
        <v>0</v>
      </c>
      <c r="B6690" t="s">
        <v>2187</v>
      </c>
      <c r="C6690" t="s">
        <v>9759</v>
      </c>
      <c r="D6690" t="s">
        <v>16618</v>
      </c>
      <c r="E6690" t="s">
        <v>22596</v>
      </c>
      <c r="F6690" t="s">
        <v>28669</v>
      </c>
      <c r="G6690" t="s">
        <v>28675</v>
      </c>
      <c r="H6690" t="s">
        <v>9998</v>
      </c>
      <c r="I6690" t="s">
        <v>28687</v>
      </c>
      <c r="J6690" t="s">
        <v>29059</v>
      </c>
      <c r="K6690" t="s">
        <v>37209</v>
      </c>
      <c r="M6690" t="s">
        <v>39837</v>
      </c>
      <c r="N6690" t="s">
        <v>41249</v>
      </c>
      <c r="O6690" t="s">
        <v>41250</v>
      </c>
      <c r="P6690">
        <v>0</v>
      </c>
      <c r="Q6690">
        <v>10</v>
      </c>
      <c r="R6690" t="s">
        <v>41257</v>
      </c>
      <c r="S6690" t="s">
        <v>41461</v>
      </c>
      <c r="T6690" t="s">
        <v>42758</v>
      </c>
      <c r="U6690" t="s">
        <v>48735</v>
      </c>
      <c r="W6690" t="s">
        <v>39837</v>
      </c>
      <c r="X6690" t="s">
        <v>41258</v>
      </c>
    </row>
    <row r="6691" spans="1:24">
      <c r="A6691">
        <f>HYPERLINK("https://www.philgeps.gov.ph/GEPSNONPILOT/Tender/SplashBidNoticeAbstractUI.aspx?menuIndex=3&amp;refID=7068077&amp;Result=3","7068077")</f>
        <v>0</v>
      </c>
      <c r="B6691" t="s">
        <v>2188</v>
      </c>
      <c r="C6691" t="s">
        <v>9760</v>
      </c>
      <c r="D6691" t="s">
        <v>16616</v>
      </c>
      <c r="E6691" t="s">
        <v>22597</v>
      </c>
      <c r="F6691" t="s">
        <v>28669</v>
      </c>
      <c r="G6691" t="s">
        <v>28675</v>
      </c>
      <c r="H6691" t="s">
        <v>9998</v>
      </c>
      <c r="I6691" t="s">
        <v>28704</v>
      </c>
      <c r="J6691" t="s">
        <v>29083</v>
      </c>
      <c r="K6691" t="s">
        <v>37210</v>
      </c>
      <c r="M6691" t="s">
        <v>39838</v>
      </c>
      <c r="N6691" t="s">
        <v>41249</v>
      </c>
      <c r="O6691" t="s">
        <v>41250</v>
      </c>
      <c r="P6691">
        <v>0</v>
      </c>
      <c r="Q6691">
        <v>0</v>
      </c>
      <c r="R6691" t="s">
        <v>41257</v>
      </c>
      <c r="S6691" t="s">
        <v>41461</v>
      </c>
      <c r="T6691" t="s">
        <v>42675</v>
      </c>
      <c r="U6691" t="s">
        <v>48736</v>
      </c>
      <c r="W6691" t="s">
        <v>39838</v>
      </c>
      <c r="X6691" t="s">
        <v>41258</v>
      </c>
    </row>
    <row r="6692" spans="1:24">
      <c r="A6692">
        <f>HYPERLINK("https://www.philgeps.gov.ph/GEPSNONPILOT/Tender/SplashBidNoticeAbstractUI.aspx?menuIndex=3&amp;refID=7068076&amp;Result=3","7068076")</f>
        <v>0</v>
      </c>
      <c r="B6692" t="s">
        <v>2167</v>
      </c>
      <c r="C6692" t="s">
        <v>9761</v>
      </c>
      <c r="E6692" t="s">
        <v>22598</v>
      </c>
      <c r="F6692" t="s">
        <v>28669</v>
      </c>
      <c r="G6692" t="s">
        <v>28676</v>
      </c>
      <c r="H6692" t="s">
        <v>9998</v>
      </c>
      <c r="I6692" t="s">
        <v>6128</v>
      </c>
      <c r="J6692" t="s">
        <v>29040</v>
      </c>
      <c r="K6692" t="s">
        <v>37206</v>
      </c>
      <c r="M6692" t="s">
        <v>39814</v>
      </c>
      <c r="N6692" t="s">
        <v>41249</v>
      </c>
      <c r="O6692" t="s">
        <v>41250</v>
      </c>
      <c r="P6692">
        <v>0</v>
      </c>
      <c r="Q6692">
        <v>4</v>
      </c>
      <c r="R6692" t="s">
        <v>41257</v>
      </c>
      <c r="S6692" t="s">
        <v>41461</v>
      </c>
      <c r="T6692" t="s">
        <v>42717</v>
      </c>
      <c r="U6692" t="s">
        <v>48737</v>
      </c>
      <c r="W6692" t="s">
        <v>55980</v>
      </c>
      <c r="X6692" t="s">
        <v>41258</v>
      </c>
    </row>
    <row r="6693" spans="1:24">
      <c r="A6693">
        <f>HYPERLINK("https://www.philgeps.gov.ph/GEPSNONPILOT/Tender/SplashBidNoticeAbstractUI.aspx?menuIndex=3&amp;refID=7068074&amp;Result=3","7068074")</f>
        <v>0</v>
      </c>
      <c r="B6693" t="s">
        <v>1308</v>
      </c>
      <c r="C6693" t="s">
        <v>9762</v>
      </c>
      <c r="D6693" t="s">
        <v>16654</v>
      </c>
      <c r="E6693" t="s">
        <v>22599</v>
      </c>
      <c r="F6693" t="s">
        <v>28669</v>
      </c>
      <c r="G6693" t="s">
        <v>28675</v>
      </c>
      <c r="H6693" t="s">
        <v>9998</v>
      </c>
      <c r="I6693" t="s">
        <v>28687</v>
      </c>
      <c r="J6693" t="s">
        <v>33041</v>
      </c>
      <c r="K6693" t="s">
        <v>37209</v>
      </c>
      <c r="M6693" t="s">
        <v>38860</v>
      </c>
      <c r="N6693" t="s">
        <v>41249</v>
      </c>
      <c r="O6693" t="s">
        <v>41250</v>
      </c>
      <c r="P6693">
        <v>0</v>
      </c>
      <c r="Q6693">
        <v>3</v>
      </c>
      <c r="R6693" t="s">
        <v>41257</v>
      </c>
      <c r="S6693" t="s">
        <v>41461</v>
      </c>
      <c r="T6693" t="s">
        <v>42929</v>
      </c>
      <c r="U6693" t="s">
        <v>48738</v>
      </c>
      <c r="W6693" t="s">
        <v>38860</v>
      </c>
      <c r="X6693" t="s">
        <v>41258</v>
      </c>
    </row>
    <row r="6694" spans="1:24">
      <c r="A6694">
        <f>HYPERLINK("https://www.philgeps.gov.ph/GEPSNONPILOT/Tender/SplashBidNoticeAbstractUI.aspx?menuIndex=3&amp;refID=7067972&amp;Result=3","7067972")</f>
        <v>0</v>
      </c>
      <c r="B6694" t="s">
        <v>1555</v>
      </c>
      <c r="C6694" t="s">
        <v>9763</v>
      </c>
      <c r="D6694" t="s">
        <v>16626</v>
      </c>
      <c r="E6694" t="s">
        <v>22600</v>
      </c>
      <c r="F6694" t="s">
        <v>28669</v>
      </c>
      <c r="G6694" t="s">
        <v>28675</v>
      </c>
      <c r="H6694" t="s">
        <v>9998</v>
      </c>
      <c r="I6694" t="s">
        <v>28695</v>
      </c>
      <c r="J6694" t="s">
        <v>33042</v>
      </c>
      <c r="K6694" t="s">
        <v>37209</v>
      </c>
      <c r="M6694" t="s">
        <v>39132</v>
      </c>
      <c r="N6694" t="s">
        <v>41249</v>
      </c>
      <c r="O6694" t="s">
        <v>41250</v>
      </c>
      <c r="P6694">
        <v>0</v>
      </c>
      <c r="Q6694">
        <v>0</v>
      </c>
      <c r="R6694" t="s">
        <v>41257</v>
      </c>
      <c r="S6694" t="s">
        <v>41461</v>
      </c>
      <c r="T6694" t="s">
        <v>42892</v>
      </c>
      <c r="U6694" t="s">
        <v>48739</v>
      </c>
      <c r="W6694" t="s">
        <v>39132</v>
      </c>
      <c r="X6694" t="s">
        <v>41258</v>
      </c>
    </row>
    <row r="6695" spans="1:24">
      <c r="A6695">
        <f>HYPERLINK("https://www.philgeps.gov.ph/GEPSNONPILOT/Tender/SplashBidNoticeAbstractUI.aspx?menuIndex=3&amp;refID=7068071&amp;Result=3","7068071")</f>
        <v>0</v>
      </c>
      <c r="B6695" t="s">
        <v>2189</v>
      </c>
      <c r="C6695" t="s">
        <v>9764</v>
      </c>
      <c r="D6695" t="s">
        <v>16621</v>
      </c>
      <c r="E6695" t="s">
        <v>22601</v>
      </c>
      <c r="F6695" t="s">
        <v>28669</v>
      </c>
      <c r="G6695" t="s">
        <v>28675</v>
      </c>
      <c r="H6695" t="s">
        <v>28686</v>
      </c>
      <c r="I6695" t="s">
        <v>28694</v>
      </c>
      <c r="J6695" t="s">
        <v>28912</v>
      </c>
      <c r="K6695" t="s">
        <v>37227</v>
      </c>
      <c r="M6695" t="s">
        <v>39839</v>
      </c>
      <c r="N6695" t="s">
        <v>41249</v>
      </c>
      <c r="O6695" t="s">
        <v>41250</v>
      </c>
      <c r="P6695">
        <v>0</v>
      </c>
      <c r="Q6695">
        <v>0</v>
      </c>
      <c r="R6695" t="s">
        <v>41257</v>
      </c>
      <c r="S6695" t="s">
        <v>41461</v>
      </c>
      <c r="T6695" t="s">
        <v>42797</v>
      </c>
      <c r="U6695" t="s">
        <v>48740</v>
      </c>
      <c r="V6695" t="s">
        <v>55038</v>
      </c>
      <c r="W6695" t="s">
        <v>39839</v>
      </c>
      <c r="X6695" t="s">
        <v>41258</v>
      </c>
    </row>
    <row r="6696" spans="1:24">
      <c r="A6696">
        <f>HYPERLINK("https://www.philgeps.gov.ph/GEPSNONPILOT/Tender/SplashBidNoticeAbstractUI.aspx?menuIndex=3&amp;refID=7068067&amp;Result=3","7068067")</f>
        <v>0</v>
      </c>
      <c r="B6696" t="s">
        <v>2190</v>
      </c>
      <c r="C6696" t="s">
        <v>9759</v>
      </c>
      <c r="D6696" t="s">
        <v>16618</v>
      </c>
      <c r="E6696" t="s">
        <v>22602</v>
      </c>
      <c r="F6696" t="s">
        <v>28669</v>
      </c>
      <c r="G6696" t="s">
        <v>28675</v>
      </c>
      <c r="H6696" t="s">
        <v>9998</v>
      </c>
      <c r="I6696" t="s">
        <v>28687</v>
      </c>
      <c r="J6696" t="s">
        <v>29059</v>
      </c>
      <c r="K6696" t="s">
        <v>37209</v>
      </c>
      <c r="M6696" t="s">
        <v>39840</v>
      </c>
      <c r="N6696" t="s">
        <v>41249</v>
      </c>
      <c r="O6696" t="s">
        <v>41250</v>
      </c>
      <c r="P6696">
        <v>0</v>
      </c>
      <c r="Q6696">
        <v>6</v>
      </c>
      <c r="R6696" t="s">
        <v>41257</v>
      </c>
      <c r="S6696" t="s">
        <v>41461</v>
      </c>
      <c r="T6696" t="s">
        <v>42758</v>
      </c>
      <c r="U6696" t="s">
        <v>48741</v>
      </c>
      <c r="W6696" t="s">
        <v>39840</v>
      </c>
      <c r="X6696" t="s">
        <v>41258</v>
      </c>
    </row>
    <row r="6697" spans="1:24">
      <c r="A6697">
        <f>HYPERLINK("https://www.philgeps.gov.ph/GEPSNONPILOT/Tender/SplashBidNoticeAbstractUI.aspx?menuIndex=3&amp;refID=7068054&amp;Result=3","7068054")</f>
        <v>0</v>
      </c>
      <c r="B6697" t="s">
        <v>2191</v>
      </c>
      <c r="C6697" t="s">
        <v>9765</v>
      </c>
      <c r="D6697" t="s">
        <v>16686</v>
      </c>
      <c r="E6697" t="s">
        <v>19379</v>
      </c>
      <c r="F6697" t="s">
        <v>28669</v>
      </c>
      <c r="G6697" t="s">
        <v>28675</v>
      </c>
      <c r="H6697" t="s">
        <v>28686</v>
      </c>
      <c r="I6697" t="s">
        <v>28689</v>
      </c>
      <c r="J6697" t="s">
        <v>33043</v>
      </c>
      <c r="K6697" t="s">
        <v>37227</v>
      </c>
      <c r="M6697" t="s">
        <v>39841</v>
      </c>
      <c r="N6697" t="s">
        <v>41249</v>
      </c>
      <c r="O6697" t="s">
        <v>41250</v>
      </c>
      <c r="P6697">
        <v>0</v>
      </c>
      <c r="Q6697">
        <v>0</v>
      </c>
      <c r="R6697" t="s">
        <v>41257</v>
      </c>
      <c r="S6697" t="s">
        <v>41461</v>
      </c>
      <c r="T6697" t="s">
        <v>42748</v>
      </c>
      <c r="U6697" t="s">
        <v>48742</v>
      </c>
      <c r="V6697" t="s">
        <v>55039</v>
      </c>
      <c r="W6697" t="s">
        <v>39841</v>
      </c>
      <c r="X6697" t="s">
        <v>41258</v>
      </c>
    </row>
    <row r="6698" spans="1:24">
      <c r="A6698">
        <f>HYPERLINK("https://www.philgeps.gov.ph/GEPSNONPILOT/Tender/SplashBidNoticeAbstractUI.aspx?menuIndex=3&amp;refID=7068051&amp;Result=3","7068051")</f>
        <v>0</v>
      </c>
      <c r="B6698" t="s">
        <v>2192</v>
      </c>
      <c r="C6698" t="s">
        <v>9766</v>
      </c>
      <c r="D6698" t="s">
        <v>16608</v>
      </c>
      <c r="E6698" t="s">
        <v>16877</v>
      </c>
      <c r="F6698" t="s">
        <v>28669</v>
      </c>
      <c r="G6698" t="s">
        <v>28676</v>
      </c>
      <c r="H6698" t="s">
        <v>9998</v>
      </c>
      <c r="I6698" t="s">
        <v>28791</v>
      </c>
      <c r="J6698" t="s">
        <v>33044</v>
      </c>
      <c r="K6698" t="s">
        <v>37204</v>
      </c>
      <c r="M6698" t="s">
        <v>39842</v>
      </c>
      <c r="N6698" t="s">
        <v>41249</v>
      </c>
      <c r="O6698" t="s">
        <v>41250</v>
      </c>
      <c r="P6698">
        <v>0</v>
      </c>
      <c r="Q6698">
        <v>1</v>
      </c>
      <c r="R6698" t="s">
        <v>41257</v>
      </c>
      <c r="S6698" t="s">
        <v>41461</v>
      </c>
      <c r="T6698" t="s">
        <v>42887</v>
      </c>
      <c r="U6698" t="s">
        <v>48743</v>
      </c>
      <c r="V6698" t="s">
        <v>55040</v>
      </c>
      <c r="W6698" t="s">
        <v>39842</v>
      </c>
      <c r="X6698" t="s">
        <v>41258</v>
      </c>
    </row>
    <row r="6699" spans="1:24">
      <c r="A6699">
        <f>HYPERLINK("https://www.philgeps.gov.ph/GEPSNONPILOT/Tender/SplashBidNoticeAbstractUI.aspx?menuIndex=3&amp;refID=7068047&amp;Result=3","7068047")</f>
        <v>0</v>
      </c>
      <c r="B6699" t="s">
        <v>1164</v>
      </c>
      <c r="C6699" t="s">
        <v>9767</v>
      </c>
      <c r="D6699" t="s">
        <v>16611</v>
      </c>
      <c r="E6699" t="s">
        <v>22603</v>
      </c>
      <c r="F6699" t="s">
        <v>28669</v>
      </c>
      <c r="G6699" t="s">
        <v>28675</v>
      </c>
      <c r="H6699" t="s">
        <v>28686</v>
      </c>
      <c r="I6699" t="s">
        <v>28689</v>
      </c>
      <c r="J6699" t="s">
        <v>33045</v>
      </c>
      <c r="K6699" t="s">
        <v>37212</v>
      </c>
      <c r="M6699" t="s">
        <v>38703</v>
      </c>
      <c r="N6699" t="s">
        <v>41249</v>
      </c>
      <c r="O6699" t="s">
        <v>41250</v>
      </c>
      <c r="P6699">
        <v>0</v>
      </c>
      <c r="Q6699">
        <v>3</v>
      </c>
      <c r="R6699" t="s">
        <v>41257</v>
      </c>
      <c r="S6699" t="s">
        <v>41461</v>
      </c>
      <c r="T6699" t="s">
        <v>43017</v>
      </c>
      <c r="U6699" t="s">
        <v>45590</v>
      </c>
      <c r="V6699" t="s">
        <v>54589</v>
      </c>
      <c r="W6699" t="s">
        <v>38703</v>
      </c>
      <c r="X6699" t="s">
        <v>41258</v>
      </c>
    </row>
    <row r="6700" spans="1:24">
      <c r="A6700">
        <f>HYPERLINK("https://www.philgeps.gov.ph/GEPSNONPILOT/Tender/SplashBidNoticeAbstractUI.aspx?menuIndex=3&amp;refID=7068044&amp;Result=3","7068044")</f>
        <v>0</v>
      </c>
      <c r="B6700" t="s">
        <v>193</v>
      </c>
      <c r="C6700" t="s">
        <v>9768</v>
      </c>
      <c r="D6700" t="s">
        <v>16658</v>
      </c>
      <c r="E6700" t="s">
        <v>22604</v>
      </c>
      <c r="F6700" t="s">
        <v>28669</v>
      </c>
      <c r="G6700" t="s">
        <v>28676</v>
      </c>
      <c r="H6700" t="s">
        <v>9998</v>
      </c>
      <c r="I6700" t="s">
        <v>28728</v>
      </c>
      <c r="J6700" t="s">
        <v>33046</v>
      </c>
      <c r="K6700" t="s">
        <v>37204</v>
      </c>
      <c r="M6700" t="s">
        <v>37671</v>
      </c>
      <c r="N6700" t="s">
        <v>41249</v>
      </c>
      <c r="O6700" t="s">
        <v>41250</v>
      </c>
      <c r="P6700">
        <v>0</v>
      </c>
      <c r="Q6700">
        <v>1</v>
      </c>
      <c r="R6700" t="s">
        <v>41257</v>
      </c>
      <c r="S6700" t="s">
        <v>41461</v>
      </c>
      <c r="T6700" t="s">
        <v>42673</v>
      </c>
      <c r="U6700" t="s">
        <v>48744</v>
      </c>
      <c r="W6700" t="s">
        <v>37671</v>
      </c>
      <c r="X6700" t="s">
        <v>41258</v>
      </c>
    </row>
    <row r="6701" spans="1:24">
      <c r="A6701">
        <f>HYPERLINK("https://www.philgeps.gov.ph/GEPSNONPILOT/Tender/SplashBidNoticeAbstractUI.aspx?menuIndex=3&amp;refID=7068037&amp;Result=3","7068037")</f>
        <v>0</v>
      </c>
      <c r="B6701" t="s">
        <v>566</v>
      </c>
      <c r="C6701" t="s">
        <v>9769</v>
      </c>
      <c r="D6701" t="s">
        <v>16620</v>
      </c>
      <c r="E6701" t="s">
        <v>22605</v>
      </c>
      <c r="F6701" t="s">
        <v>28671</v>
      </c>
      <c r="G6701" t="s">
        <v>28677</v>
      </c>
      <c r="H6701" t="s">
        <v>9998</v>
      </c>
      <c r="I6701" t="s">
        <v>28694</v>
      </c>
      <c r="J6701" t="s">
        <v>28879</v>
      </c>
      <c r="K6701" t="s">
        <v>37206</v>
      </c>
      <c r="M6701" t="s">
        <v>38062</v>
      </c>
      <c r="N6701" t="s">
        <v>41249</v>
      </c>
      <c r="O6701" t="s">
        <v>41250</v>
      </c>
      <c r="P6701">
        <v>0</v>
      </c>
      <c r="Q6701">
        <v>0</v>
      </c>
      <c r="R6701" t="s">
        <v>41257</v>
      </c>
      <c r="S6701" t="s">
        <v>41461</v>
      </c>
      <c r="T6701" t="s">
        <v>42929</v>
      </c>
      <c r="U6701" t="s">
        <v>48745</v>
      </c>
      <c r="W6701" t="s">
        <v>38062</v>
      </c>
      <c r="X6701" t="s">
        <v>41258</v>
      </c>
    </row>
    <row r="6702" spans="1:24">
      <c r="A6702">
        <f>HYPERLINK("https://www.philgeps.gov.ph/GEPSNONPILOT/Tender/SplashBidNoticeAbstractUI.aspx?menuIndex=3&amp;refID=7067984&amp;Result=3","7067984")</f>
        <v>0</v>
      </c>
      <c r="B6702" t="s">
        <v>2193</v>
      </c>
      <c r="C6702" t="s">
        <v>9770</v>
      </c>
      <c r="D6702" t="s">
        <v>16627</v>
      </c>
      <c r="E6702" t="s">
        <v>22606</v>
      </c>
      <c r="F6702" t="s">
        <v>28669</v>
      </c>
      <c r="G6702" t="s">
        <v>28677</v>
      </c>
      <c r="H6702" t="s">
        <v>28684</v>
      </c>
      <c r="I6702" t="s">
        <v>28701</v>
      </c>
      <c r="J6702" t="s">
        <v>29040</v>
      </c>
      <c r="K6702" t="s">
        <v>37347</v>
      </c>
      <c r="M6702" t="s">
        <v>39843</v>
      </c>
      <c r="N6702" t="s">
        <v>41249</v>
      </c>
      <c r="O6702" t="s">
        <v>41250</v>
      </c>
      <c r="P6702">
        <v>0</v>
      </c>
      <c r="Q6702">
        <v>0</v>
      </c>
      <c r="R6702" t="s">
        <v>41257</v>
      </c>
      <c r="S6702" t="s">
        <v>41461</v>
      </c>
      <c r="T6702" t="s">
        <v>42664</v>
      </c>
      <c r="U6702" t="s">
        <v>48746</v>
      </c>
      <c r="W6702" t="s">
        <v>39843</v>
      </c>
      <c r="X6702" t="s">
        <v>41258</v>
      </c>
    </row>
    <row r="6703" spans="1:24">
      <c r="A6703">
        <f>HYPERLINK("https://www.philgeps.gov.ph/GEPSNONPILOT/Tender/SplashBidNoticeAbstractUI.aspx?menuIndex=3&amp;refID=7068036&amp;Result=3","7068036")</f>
        <v>0</v>
      </c>
      <c r="B6703" t="s">
        <v>2194</v>
      </c>
      <c r="C6703" t="s">
        <v>9771</v>
      </c>
      <c r="D6703" t="s">
        <v>16664</v>
      </c>
      <c r="E6703" t="s">
        <v>22607</v>
      </c>
      <c r="F6703" t="s">
        <v>28669</v>
      </c>
      <c r="G6703" t="s">
        <v>28675</v>
      </c>
      <c r="H6703" t="s">
        <v>9998</v>
      </c>
      <c r="I6703" t="s">
        <v>7352</v>
      </c>
      <c r="J6703" t="s">
        <v>33047</v>
      </c>
      <c r="K6703" t="s">
        <v>37204</v>
      </c>
      <c r="M6703" t="s">
        <v>39844</v>
      </c>
      <c r="N6703" t="s">
        <v>41249</v>
      </c>
      <c r="O6703" t="s">
        <v>41250</v>
      </c>
      <c r="P6703">
        <v>0</v>
      </c>
      <c r="Q6703">
        <v>0</v>
      </c>
      <c r="R6703" t="s">
        <v>41257</v>
      </c>
      <c r="S6703" t="s">
        <v>41461</v>
      </c>
      <c r="T6703" t="s">
        <v>42743</v>
      </c>
      <c r="U6703" t="s">
        <v>44777</v>
      </c>
      <c r="W6703" t="s">
        <v>39844</v>
      </c>
      <c r="X6703" t="s">
        <v>41258</v>
      </c>
    </row>
    <row r="6704" spans="1:24">
      <c r="A6704">
        <f>HYPERLINK("https://www.philgeps.gov.ph/GEPSNONPILOT/Tender/SplashBidNoticeAbstractUI.aspx?menuIndex=3&amp;refID=7068033&amp;Result=3","7068033")</f>
        <v>0</v>
      </c>
      <c r="B6704" t="s">
        <v>2195</v>
      </c>
      <c r="C6704" t="s">
        <v>9772</v>
      </c>
      <c r="D6704" t="s">
        <v>16627</v>
      </c>
      <c r="E6704" t="s">
        <v>17090</v>
      </c>
      <c r="F6704" t="s">
        <v>28669</v>
      </c>
      <c r="G6704" t="s">
        <v>28675</v>
      </c>
      <c r="H6704" t="s">
        <v>9998</v>
      </c>
      <c r="I6704" t="s">
        <v>7352</v>
      </c>
      <c r="J6704" t="s">
        <v>33048</v>
      </c>
      <c r="K6704" t="s">
        <v>37205</v>
      </c>
      <c r="M6704" t="s">
        <v>39845</v>
      </c>
      <c r="N6704" t="s">
        <v>41249</v>
      </c>
      <c r="O6704" t="s">
        <v>41250</v>
      </c>
      <c r="P6704">
        <v>0</v>
      </c>
      <c r="Q6704">
        <v>0</v>
      </c>
      <c r="R6704" t="s">
        <v>41257</v>
      </c>
      <c r="S6704" t="s">
        <v>41461</v>
      </c>
      <c r="T6704" t="s">
        <v>42701</v>
      </c>
      <c r="U6704" t="s">
        <v>44113</v>
      </c>
      <c r="W6704" t="s">
        <v>39845</v>
      </c>
      <c r="X6704" t="s">
        <v>41258</v>
      </c>
    </row>
    <row r="6705" spans="1:24">
      <c r="A6705">
        <f>HYPERLINK("https://www.philgeps.gov.ph/GEPSNONPILOT/Tender/SplashBidNoticeAbstractUI.aspx?menuIndex=3&amp;refID=7068064&amp;Result=3","7068064")</f>
        <v>0</v>
      </c>
      <c r="B6705" t="s">
        <v>1050</v>
      </c>
      <c r="C6705" t="s">
        <v>9773</v>
      </c>
      <c r="D6705" t="s">
        <v>16648</v>
      </c>
      <c r="E6705" t="s">
        <v>22608</v>
      </c>
      <c r="F6705" t="s">
        <v>28669</v>
      </c>
      <c r="G6705" t="s">
        <v>28675</v>
      </c>
      <c r="H6705" t="s">
        <v>9998</v>
      </c>
      <c r="I6705" t="s">
        <v>7352</v>
      </c>
      <c r="J6705" t="s">
        <v>33049</v>
      </c>
      <c r="K6705" t="s">
        <v>37204</v>
      </c>
      <c r="M6705" t="s">
        <v>38581</v>
      </c>
      <c r="N6705" t="s">
        <v>41249</v>
      </c>
      <c r="O6705" t="s">
        <v>41250</v>
      </c>
      <c r="P6705">
        <v>0</v>
      </c>
      <c r="Q6705">
        <v>0</v>
      </c>
      <c r="R6705" t="s">
        <v>41257</v>
      </c>
      <c r="S6705" t="s">
        <v>41461</v>
      </c>
      <c r="T6705" t="s">
        <v>42912</v>
      </c>
      <c r="U6705" t="s">
        <v>48747</v>
      </c>
      <c r="W6705" t="s">
        <v>38581</v>
      </c>
      <c r="X6705" t="s">
        <v>41258</v>
      </c>
    </row>
    <row r="6706" spans="1:24">
      <c r="A6706">
        <f>HYPERLINK("https://www.philgeps.gov.ph/GEPSNONPILOT/Tender/SplashBidNoticeAbstractUI.aspx?menuIndex=3&amp;refID=7068123&amp;Result=3","7068123")</f>
        <v>0</v>
      </c>
      <c r="B6706" t="s">
        <v>1284</v>
      </c>
      <c r="C6706" t="s">
        <v>9774</v>
      </c>
      <c r="D6706" t="s">
        <v>16683</v>
      </c>
      <c r="E6706" t="s">
        <v>22609</v>
      </c>
      <c r="F6706" t="s">
        <v>28669</v>
      </c>
      <c r="G6706" t="s">
        <v>28677</v>
      </c>
      <c r="H6706" t="s">
        <v>9998</v>
      </c>
      <c r="I6706" t="s">
        <v>28704</v>
      </c>
      <c r="J6706" t="s">
        <v>28883</v>
      </c>
      <c r="K6706" t="s">
        <v>37205</v>
      </c>
      <c r="M6706" t="s">
        <v>38835</v>
      </c>
      <c r="N6706" t="s">
        <v>41249</v>
      </c>
      <c r="O6706" t="s">
        <v>41250</v>
      </c>
      <c r="P6706">
        <v>0</v>
      </c>
      <c r="Q6706">
        <v>0</v>
      </c>
      <c r="R6706" t="s">
        <v>41257</v>
      </c>
      <c r="S6706" t="s">
        <v>41461</v>
      </c>
      <c r="T6706" t="s">
        <v>42727</v>
      </c>
      <c r="U6706" t="s">
        <v>48748</v>
      </c>
      <c r="V6706" t="s">
        <v>54625</v>
      </c>
      <c r="W6706" t="s">
        <v>38835</v>
      </c>
      <c r="X6706" t="s">
        <v>41258</v>
      </c>
    </row>
    <row r="6707" spans="1:24">
      <c r="A6707">
        <f>HYPERLINK("https://www.philgeps.gov.ph/GEPSNONPILOT/Tender/SplashBidNoticeAbstractUI.aspx?menuIndex=3&amp;refID=7068122&amp;Result=3","7068122")</f>
        <v>0</v>
      </c>
      <c r="B6707" t="s">
        <v>2196</v>
      </c>
      <c r="C6707" t="s">
        <v>3843</v>
      </c>
      <c r="D6707" t="s">
        <v>16663</v>
      </c>
      <c r="E6707" t="s">
        <v>22610</v>
      </c>
      <c r="F6707" t="s">
        <v>28669</v>
      </c>
      <c r="G6707" t="s">
        <v>28677</v>
      </c>
      <c r="H6707" t="s">
        <v>9998</v>
      </c>
      <c r="I6707" t="s">
        <v>28708</v>
      </c>
      <c r="J6707" t="s">
        <v>29191</v>
      </c>
      <c r="K6707" t="s">
        <v>37205</v>
      </c>
      <c r="M6707" t="s">
        <v>39846</v>
      </c>
      <c r="N6707" t="s">
        <v>41249</v>
      </c>
      <c r="O6707" t="s">
        <v>41250</v>
      </c>
      <c r="P6707">
        <v>0</v>
      </c>
      <c r="Q6707">
        <v>2</v>
      </c>
      <c r="R6707" t="s">
        <v>41257</v>
      </c>
      <c r="S6707" t="s">
        <v>41461</v>
      </c>
      <c r="T6707" t="s">
        <v>42827</v>
      </c>
      <c r="U6707" t="s">
        <v>48749</v>
      </c>
      <c r="W6707" t="s">
        <v>39846</v>
      </c>
      <c r="X6707" t="s">
        <v>41258</v>
      </c>
    </row>
    <row r="6708" spans="1:24">
      <c r="A6708">
        <f>HYPERLINK("https://www.philgeps.gov.ph/GEPSNONPILOT/Tender/SplashBidNoticeAbstractUI.aspx?menuIndex=3&amp;refID=7068115&amp;Result=3","7068115")</f>
        <v>0</v>
      </c>
      <c r="B6708" t="s">
        <v>527</v>
      </c>
      <c r="C6708" t="s">
        <v>9775</v>
      </c>
      <c r="D6708" t="s">
        <v>16627</v>
      </c>
      <c r="E6708" t="s">
        <v>21193</v>
      </c>
      <c r="F6708" t="s">
        <v>28669</v>
      </c>
      <c r="G6708" t="s">
        <v>28675</v>
      </c>
      <c r="H6708" t="s">
        <v>9998</v>
      </c>
      <c r="I6708" t="s">
        <v>5033</v>
      </c>
      <c r="J6708" t="s">
        <v>33050</v>
      </c>
      <c r="K6708" t="s">
        <v>37204</v>
      </c>
      <c r="M6708" t="s">
        <v>38018</v>
      </c>
      <c r="N6708" t="s">
        <v>41249</v>
      </c>
      <c r="O6708" t="s">
        <v>41250</v>
      </c>
      <c r="P6708">
        <v>0</v>
      </c>
      <c r="Q6708">
        <v>0</v>
      </c>
      <c r="R6708" t="s">
        <v>41257</v>
      </c>
      <c r="S6708" t="s">
        <v>41461</v>
      </c>
      <c r="T6708" t="s">
        <v>42701</v>
      </c>
      <c r="U6708" t="s">
        <v>44113</v>
      </c>
      <c r="W6708" t="s">
        <v>38018</v>
      </c>
      <c r="X6708" t="s">
        <v>41258</v>
      </c>
    </row>
    <row r="6709" spans="1:24">
      <c r="A6709">
        <f>HYPERLINK("https://www.philgeps.gov.ph/GEPSNONPILOT/Tender/SplashBidNoticeAbstractUI.aspx?menuIndex=3&amp;refID=7068114&amp;Result=3","7068114")</f>
        <v>0</v>
      </c>
      <c r="B6709" t="s">
        <v>1164</v>
      </c>
      <c r="C6709" t="s">
        <v>9776</v>
      </c>
      <c r="D6709" t="s">
        <v>16611</v>
      </c>
      <c r="E6709" t="s">
        <v>22611</v>
      </c>
      <c r="F6709" t="s">
        <v>28669</v>
      </c>
      <c r="G6709" t="s">
        <v>28675</v>
      </c>
      <c r="H6709" t="s">
        <v>28686</v>
      </c>
      <c r="I6709" t="s">
        <v>28689</v>
      </c>
      <c r="J6709" t="s">
        <v>33051</v>
      </c>
      <c r="K6709" t="s">
        <v>37212</v>
      </c>
      <c r="M6709" t="s">
        <v>38703</v>
      </c>
      <c r="N6709" t="s">
        <v>41249</v>
      </c>
      <c r="O6709" t="s">
        <v>41250</v>
      </c>
      <c r="P6709">
        <v>0</v>
      </c>
      <c r="Q6709">
        <v>3</v>
      </c>
      <c r="R6709" t="s">
        <v>41257</v>
      </c>
      <c r="S6709" t="s">
        <v>41461</v>
      </c>
      <c r="T6709" t="s">
        <v>43017</v>
      </c>
      <c r="U6709" t="s">
        <v>45590</v>
      </c>
      <c r="V6709" t="s">
        <v>54589</v>
      </c>
      <c r="W6709" t="s">
        <v>38703</v>
      </c>
      <c r="X6709" t="s">
        <v>41258</v>
      </c>
    </row>
    <row r="6710" spans="1:24">
      <c r="A6710">
        <f>HYPERLINK("https://www.philgeps.gov.ph/GEPSNONPILOT/Tender/SplashBidNoticeAbstractUI.aspx?menuIndex=3&amp;refID=7068110&amp;Result=3","7068110")</f>
        <v>0</v>
      </c>
      <c r="B6710" t="s">
        <v>2197</v>
      </c>
      <c r="C6710" t="s">
        <v>9320</v>
      </c>
      <c r="D6710" t="s">
        <v>16664</v>
      </c>
      <c r="E6710" t="s">
        <v>22612</v>
      </c>
      <c r="F6710" t="s">
        <v>28669</v>
      </c>
      <c r="G6710" t="s">
        <v>28675</v>
      </c>
      <c r="H6710" t="s">
        <v>9998</v>
      </c>
      <c r="I6710" t="s">
        <v>7352</v>
      </c>
      <c r="J6710" t="s">
        <v>33052</v>
      </c>
      <c r="K6710" t="s">
        <v>37204</v>
      </c>
      <c r="M6710" t="s">
        <v>39847</v>
      </c>
      <c r="N6710" t="s">
        <v>41249</v>
      </c>
      <c r="O6710" t="s">
        <v>41250</v>
      </c>
      <c r="P6710">
        <v>0</v>
      </c>
      <c r="Q6710">
        <v>0</v>
      </c>
      <c r="R6710" t="s">
        <v>41257</v>
      </c>
      <c r="S6710" t="s">
        <v>41461</v>
      </c>
      <c r="T6710" t="s">
        <v>42743</v>
      </c>
      <c r="U6710" t="s">
        <v>44777</v>
      </c>
      <c r="W6710" t="s">
        <v>39847</v>
      </c>
      <c r="X6710" t="s">
        <v>41258</v>
      </c>
    </row>
    <row r="6711" spans="1:24">
      <c r="A6711">
        <f>HYPERLINK("https://www.philgeps.gov.ph/GEPSNONPILOT/Tender/SplashBidNoticeAbstractUI.aspx?menuIndex=3&amp;refID=7068028&amp;Result=3","7068028")</f>
        <v>0</v>
      </c>
      <c r="B6711" t="s">
        <v>193</v>
      </c>
      <c r="C6711" t="s">
        <v>9777</v>
      </c>
      <c r="D6711" t="s">
        <v>16658</v>
      </c>
      <c r="E6711" t="s">
        <v>22613</v>
      </c>
      <c r="F6711" t="s">
        <v>28669</v>
      </c>
      <c r="G6711" t="s">
        <v>28676</v>
      </c>
      <c r="H6711" t="s">
        <v>9998</v>
      </c>
      <c r="I6711" t="s">
        <v>6128</v>
      </c>
      <c r="J6711" t="s">
        <v>33053</v>
      </c>
      <c r="K6711" t="s">
        <v>37204</v>
      </c>
      <c r="M6711" t="s">
        <v>37671</v>
      </c>
      <c r="N6711" t="s">
        <v>41249</v>
      </c>
      <c r="O6711" t="s">
        <v>41250</v>
      </c>
      <c r="P6711">
        <v>0</v>
      </c>
      <c r="Q6711">
        <v>0</v>
      </c>
      <c r="R6711" t="s">
        <v>41257</v>
      </c>
      <c r="S6711" t="s">
        <v>41461</v>
      </c>
      <c r="T6711" t="s">
        <v>42673</v>
      </c>
      <c r="U6711" t="s">
        <v>48750</v>
      </c>
      <c r="W6711" t="s">
        <v>37671</v>
      </c>
      <c r="X6711" t="s">
        <v>41258</v>
      </c>
    </row>
    <row r="6712" spans="1:24">
      <c r="A6712">
        <f>HYPERLINK("https://www.philgeps.gov.ph/GEPSNONPILOT/Tender/SplashBidNoticeAbstractUI.aspx?menuIndex=3&amp;refID=7068109&amp;Result=3","7068109")</f>
        <v>0</v>
      </c>
      <c r="B6712" t="s">
        <v>935</v>
      </c>
      <c r="C6712" t="s">
        <v>9778</v>
      </c>
      <c r="D6712" t="s">
        <v>16631</v>
      </c>
      <c r="E6712" t="s">
        <v>22614</v>
      </c>
      <c r="F6712" t="s">
        <v>28669</v>
      </c>
      <c r="G6712" t="s">
        <v>28676</v>
      </c>
      <c r="H6712" t="s">
        <v>9998</v>
      </c>
      <c r="I6712" t="s">
        <v>28726</v>
      </c>
      <c r="J6712" t="s">
        <v>29040</v>
      </c>
      <c r="K6712" t="s">
        <v>37206</v>
      </c>
      <c r="M6712" t="s">
        <v>38458</v>
      </c>
      <c r="N6712" t="s">
        <v>41249</v>
      </c>
      <c r="O6712" t="s">
        <v>41250</v>
      </c>
      <c r="P6712">
        <v>0</v>
      </c>
      <c r="Q6712">
        <v>0</v>
      </c>
      <c r="R6712" t="s">
        <v>41257</v>
      </c>
      <c r="S6712" t="s">
        <v>41461</v>
      </c>
      <c r="T6712" t="s">
        <v>42675</v>
      </c>
      <c r="U6712" t="s">
        <v>48751</v>
      </c>
      <c r="W6712" t="s">
        <v>38458</v>
      </c>
      <c r="X6712" t="s">
        <v>41258</v>
      </c>
    </row>
    <row r="6713" spans="1:24">
      <c r="A6713">
        <f>HYPERLINK("https://www.philgeps.gov.ph/GEPSNONPILOT/Tender/SplashBidNoticeAbstractUI.aspx?menuIndex=3&amp;refID=7068098&amp;Result=3","7068098")</f>
        <v>0</v>
      </c>
      <c r="B6713" t="s">
        <v>1976</v>
      </c>
      <c r="C6713" t="s">
        <v>9779</v>
      </c>
      <c r="E6713" t="s">
        <v>22615</v>
      </c>
      <c r="F6713" t="s">
        <v>28669</v>
      </c>
      <c r="G6713" t="s">
        <v>28675</v>
      </c>
      <c r="H6713" t="s">
        <v>28686</v>
      </c>
      <c r="I6713" t="s">
        <v>28689</v>
      </c>
      <c r="J6713" t="s">
        <v>33054</v>
      </c>
      <c r="K6713" t="s">
        <v>37209</v>
      </c>
      <c r="M6713" t="s">
        <v>39610</v>
      </c>
      <c r="N6713" t="s">
        <v>41249</v>
      </c>
      <c r="O6713" t="s">
        <v>41250</v>
      </c>
      <c r="P6713">
        <v>0</v>
      </c>
      <c r="Q6713">
        <v>18</v>
      </c>
      <c r="R6713" t="s">
        <v>41257</v>
      </c>
      <c r="S6713" t="s">
        <v>41461</v>
      </c>
      <c r="T6713" t="s">
        <v>42782</v>
      </c>
      <c r="U6713" t="s">
        <v>48752</v>
      </c>
      <c r="W6713" t="s">
        <v>55982</v>
      </c>
      <c r="X6713" t="s">
        <v>41258</v>
      </c>
    </row>
    <row r="6714" spans="1:24">
      <c r="A6714">
        <f>HYPERLINK("https://www.philgeps.gov.ph/GEPSNONPILOT/Tender/SplashBidNoticeAbstractUI.aspx?menuIndex=3&amp;refID=7067987&amp;Result=3","7067987")</f>
        <v>0</v>
      </c>
      <c r="B6714" t="s">
        <v>1032</v>
      </c>
      <c r="C6714" t="s">
        <v>9780</v>
      </c>
      <c r="D6714" t="s">
        <v>16643</v>
      </c>
      <c r="E6714" t="s">
        <v>22616</v>
      </c>
      <c r="F6714" t="s">
        <v>28669</v>
      </c>
      <c r="G6714" t="s">
        <v>28675</v>
      </c>
      <c r="H6714" t="s">
        <v>9998</v>
      </c>
      <c r="I6714" t="s">
        <v>7352</v>
      </c>
      <c r="J6714" t="s">
        <v>33055</v>
      </c>
      <c r="K6714" t="s">
        <v>37206</v>
      </c>
      <c r="M6714" t="s">
        <v>38563</v>
      </c>
      <c r="N6714" t="s">
        <v>41249</v>
      </c>
      <c r="O6714" t="s">
        <v>41250</v>
      </c>
      <c r="P6714">
        <v>0</v>
      </c>
      <c r="Q6714">
        <v>0</v>
      </c>
      <c r="R6714" t="s">
        <v>41257</v>
      </c>
      <c r="S6714" t="s">
        <v>41461</v>
      </c>
      <c r="T6714" t="s">
        <v>42683</v>
      </c>
      <c r="U6714" t="s">
        <v>48753</v>
      </c>
      <c r="W6714" t="s">
        <v>38563</v>
      </c>
      <c r="X6714" t="s">
        <v>41258</v>
      </c>
    </row>
    <row r="6715" spans="1:24">
      <c r="A6715">
        <f>HYPERLINK("https://www.philgeps.gov.ph/GEPSNONPILOT/Tender/SplashBidNoticeAbstractUI.aspx?menuIndex=3&amp;refID=7068097&amp;Result=3","7068097")</f>
        <v>0</v>
      </c>
      <c r="B6715" t="s">
        <v>2198</v>
      </c>
      <c r="C6715" t="s">
        <v>9781</v>
      </c>
      <c r="D6715" t="s">
        <v>16619</v>
      </c>
      <c r="E6715" t="s">
        <v>22617</v>
      </c>
      <c r="F6715" t="s">
        <v>28669</v>
      </c>
      <c r="G6715" t="s">
        <v>28676</v>
      </c>
      <c r="H6715" t="s">
        <v>9998</v>
      </c>
      <c r="I6715" t="s">
        <v>28692</v>
      </c>
      <c r="J6715" t="s">
        <v>33056</v>
      </c>
      <c r="K6715" t="s">
        <v>37205</v>
      </c>
      <c r="M6715" t="s">
        <v>39848</v>
      </c>
      <c r="N6715" t="s">
        <v>41249</v>
      </c>
      <c r="O6715" t="s">
        <v>41250</v>
      </c>
      <c r="P6715">
        <v>0</v>
      </c>
      <c r="Q6715">
        <v>3</v>
      </c>
      <c r="R6715" t="s">
        <v>41257</v>
      </c>
      <c r="S6715" t="s">
        <v>41461</v>
      </c>
      <c r="T6715" t="s">
        <v>42738</v>
      </c>
      <c r="U6715" t="s">
        <v>48754</v>
      </c>
      <c r="V6715" t="s">
        <v>55041</v>
      </c>
      <c r="W6715" t="s">
        <v>39848</v>
      </c>
      <c r="X6715" t="s">
        <v>41258</v>
      </c>
    </row>
    <row r="6716" spans="1:24">
      <c r="A6716">
        <f>HYPERLINK("https://www.philgeps.gov.ph/GEPSNONPILOT/Tender/SplashBidNoticeAbstractUI.aspx?menuIndex=3&amp;refID=7068094&amp;Result=3","7068094")</f>
        <v>0</v>
      </c>
      <c r="B6716" t="s">
        <v>2199</v>
      </c>
      <c r="C6716" t="s">
        <v>9782</v>
      </c>
      <c r="D6716" t="s">
        <v>16617</v>
      </c>
      <c r="E6716" t="s">
        <v>22618</v>
      </c>
      <c r="F6716" t="s">
        <v>28671</v>
      </c>
      <c r="G6716" t="s">
        <v>28676</v>
      </c>
      <c r="H6716" t="s">
        <v>28684</v>
      </c>
      <c r="I6716" t="s">
        <v>28695</v>
      </c>
      <c r="J6716" t="s">
        <v>31707</v>
      </c>
      <c r="K6716" t="s">
        <v>37204</v>
      </c>
      <c r="M6716" t="s">
        <v>39849</v>
      </c>
      <c r="N6716" t="s">
        <v>41249</v>
      </c>
      <c r="O6716" t="s">
        <v>41250</v>
      </c>
      <c r="P6716">
        <v>0</v>
      </c>
      <c r="Q6716">
        <v>0</v>
      </c>
      <c r="R6716" t="s">
        <v>41257</v>
      </c>
      <c r="S6716" t="s">
        <v>41461</v>
      </c>
      <c r="T6716" t="s">
        <v>42758</v>
      </c>
      <c r="U6716" t="s">
        <v>48755</v>
      </c>
      <c r="W6716" t="s">
        <v>39849</v>
      </c>
      <c r="X6716" t="s">
        <v>41258</v>
      </c>
    </row>
    <row r="6717" spans="1:24">
      <c r="A6717">
        <f>HYPERLINK("https://www.philgeps.gov.ph/GEPSNONPILOT/Tender/SplashBidNoticeAbstractUI.aspx?menuIndex=3&amp;refID=7068082&amp;Result=3","7068082")</f>
        <v>0</v>
      </c>
      <c r="B6717" t="s">
        <v>2200</v>
      </c>
      <c r="C6717" t="s">
        <v>9783</v>
      </c>
      <c r="D6717" t="s">
        <v>16646</v>
      </c>
      <c r="E6717" t="s">
        <v>22619</v>
      </c>
      <c r="F6717" t="s">
        <v>28669</v>
      </c>
      <c r="G6717" t="s">
        <v>28676</v>
      </c>
      <c r="H6717" t="s">
        <v>28685</v>
      </c>
      <c r="I6717" t="s">
        <v>28685</v>
      </c>
      <c r="J6717" t="s">
        <v>33057</v>
      </c>
      <c r="K6717" t="s">
        <v>37375</v>
      </c>
      <c r="M6717" t="s">
        <v>39850</v>
      </c>
      <c r="N6717" t="s">
        <v>41249</v>
      </c>
      <c r="O6717" t="s">
        <v>41250</v>
      </c>
      <c r="P6717">
        <v>0</v>
      </c>
      <c r="Q6717">
        <v>3</v>
      </c>
      <c r="R6717" t="s">
        <v>41257</v>
      </c>
      <c r="S6717" t="s">
        <v>41461</v>
      </c>
      <c r="T6717" t="s">
        <v>42727</v>
      </c>
      <c r="U6717" t="s">
        <v>48756</v>
      </c>
      <c r="V6717" t="s">
        <v>55042</v>
      </c>
      <c r="W6717" t="s">
        <v>39850</v>
      </c>
      <c r="X6717" t="s">
        <v>41258</v>
      </c>
    </row>
    <row r="6718" spans="1:24">
      <c r="A6718">
        <f>HYPERLINK("https://www.philgeps.gov.ph/GEPSNONPILOT/Tender/SplashBidNoticeAbstractUI.aspx?menuIndex=3&amp;refID=7068128&amp;Result=3","7068128")</f>
        <v>0</v>
      </c>
      <c r="B6718" t="s">
        <v>527</v>
      </c>
      <c r="C6718" t="s">
        <v>9784</v>
      </c>
      <c r="D6718" t="s">
        <v>16627</v>
      </c>
      <c r="E6718" t="s">
        <v>21192</v>
      </c>
      <c r="F6718" t="s">
        <v>28669</v>
      </c>
      <c r="G6718" t="s">
        <v>28675</v>
      </c>
      <c r="H6718" t="s">
        <v>9998</v>
      </c>
      <c r="I6718" t="s">
        <v>5286</v>
      </c>
      <c r="J6718" t="s">
        <v>33058</v>
      </c>
      <c r="K6718" t="s">
        <v>37204</v>
      </c>
      <c r="M6718" t="s">
        <v>38018</v>
      </c>
      <c r="N6718" t="s">
        <v>41249</v>
      </c>
      <c r="O6718" t="s">
        <v>41250</v>
      </c>
      <c r="P6718">
        <v>0</v>
      </c>
      <c r="Q6718">
        <v>1</v>
      </c>
      <c r="R6718" t="s">
        <v>41257</v>
      </c>
      <c r="S6718" t="s">
        <v>41461</v>
      </c>
      <c r="T6718" t="s">
        <v>42701</v>
      </c>
      <c r="U6718" t="s">
        <v>48757</v>
      </c>
      <c r="W6718" t="s">
        <v>38018</v>
      </c>
      <c r="X6718" t="s">
        <v>41258</v>
      </c>
    </row>
    <row r="6719" spans="1:24">
      <c r="A6719">
        <f>HYPERLINK("https://www.philgeps.gov.ph/GEPSNONPILOT/Tender/SplashBidNoticeAbstractUI.aspx?menuIndex=3&amp;refID=7068179&amp;Result=3","7068179")</f>
        <v>0</v>
      </c>
      <c r="B6719" t="s">
        <v>325</v>
      </c>
      <c r="C6719" t="s">
        <v>9785</v>
      </c>
      <c r="D6719" t="s">
        <v>16661</v>
      </c>
      <c r="E6719" t="s">
        <v>22620</v>
      </c>
      <c r="F6719" t="s">
        <v>28669</v>
      </c>
      <c r="G6719" t="s">
        <v>28676</v>
      </c>
      <c r="H6719" t="s">
        <v>9998</v>
      </c>
      <c r="I6719" t="s">
        <v>28703</v>
      </c>
      <c r="J6719" t="s">
        <v>28912</v>
      </c>
      <c r="K6719" t="s">
        <v>37208</v>
      </c>
      <c r="M6719" t="s">
        <v>37805</v>
      </c>
      <c r="N6719" t="s">
        <v>41249</v>
      </c>
      <c r="O6719" t="s">
        <v>41250</v>
      </c>
      <c r="P6719">
        <v>0</v>
      </c>
      <c r="Q6719">
        <v>1</v>
      </c>
      <c r="R6719" t="s">
        <v>41257</v>
      </c>
      <c r="S6719" t="s">
        <v>41461</v>
      </c>
      <c r="T6719" t="s">
        <v>42914</v>
      </c>
      <c r="U6719" t="s">
        <v>48758</v>
      </c>
      <c r="W6719" t="s">
        <v>37805</v>
      </c>
      <c r="X6719" t="s">
        <v>41258</v>
      </c>
    </row>
    <row r="6720" spans="1:24">
      <c r="A6720">
        <f>HYPERLINK("https://www.philgeps.gov.ph/GEPSNONPILOT/Tender/SplashBidNoticeAbstractUI.aspx?menuIndex=3&amp;refID=7068178&amp;Result=3","7068178")</f>
        <v>0</v>
      </c>
      <c r="B6720" t="s">
        <v>2201</v>
      </c>
      <c r="C6720" t="s">
        <v>9786</v>
      </c>
      <c r="D6720" t="s">
        <v>16672</v>
      </c>
      <c r="E6720" t="s">
        <v>18328</v>
      </c>
      <c r="F6720" t="s">
        <v>28669</v>
      </c>
      <c r="G6720" t="s">
        <v>28675</v>
      </c>
      <c r="H6720" t="s">
        <v>28686</v>
      </c>
      <c r="I6720" t="s">
        <v>28689</v>
      </c>
      <c r="J6720" t="s">
        <v>30702</v>
      </c>
      <c r="K6720" t="s">
        <v>37215</v>
      </c>
      <c r="M6720" t="s">
        <v>39851</v>
      </c>
      <c r="N6720" t="s">
        <v>41249</v>
      </c>
      <c r="O6720" t="s">
        <v>41250</v>
      </c>
      <c r="P6720">
        <v>0</v>
      </c>
      <c r="Q6720">
        <v>1</v>
      </c>
      <c r="R6720" t="s">
        <v>41257</v>
      </c>
      <c r="S6720" t="s">
        <v>41461</v>
      </c>
      <c r="T6720" t="s">
        <v>42660</v>
      </c>
      <c r="U6720" t="s">
        <v>48759</v>
      </c>
      <c r="W6720" t="s">
        <v>39851</v>
      </c>
      <c r="X6720" t="s">
        <v>41258</v>
      </c>
    </row>
    <row r="6721" spans="1:24">
      <c r="A6721">
        <f>HYPERLINK("https://www.philgeps.gov.ph/GEPSNONPILOT/Tender/SplashBidNoticeAbstractUI.aspx?menuIndex=3&amp;refID=7068174&amp;Result=3","7068174")</f>
        <v>0</v>
      </c>
      <c r="B6721" t="s">
        <v>1308</v>
      </c>
      <c r="C6721" t="s">
        <v>9787</v>
      </c>
      <c r="D6721" t="s">
        <v>16654</v>
      </c>
      <c r="E6721" t="s">
        <v>22353</v>
      </c>
      <c r="F6721" t="s">
        <v>28669</v>
      </c>
      <c r="G6721" t="s">
        <v>28675</v>
      </c>
      <c r="H6721" t="s">
        <v>28686</v>
      </c>
      <c r="I6721" t="s">
        <v>28689</v>
      </c>
      <c r="J6721" t="s">
        <v>33059</v>
      </c>
      <c r="K6721" t="s">
        <v>37209</v>
      </c>
      <c r="M6721" t="s">
        <v>38860</v>
      </c>
      <c r="N6721" t="s">
        <v>41249</v>
      </c>
      <c r="O6721" t="s">
        <v>41250</v>
      </c>
      <c r="P6721">
        <v>0</v>
      </c>
      <c r="Q6721">
        <v>3</v>
      </c>
      <c r="R6721" t="s">
        <v>41257</v>
      </c>
      <c r="S6721" t="s">
        <v>41461</v>
      </c>
      <c r="T6721" t="s">
        <v>42929</v>
      </c>
      <c r="U6721" t="s">
        <v>48760</v>
      </c>
      <c r="W6721" t="s">
        <v>38860</v>
      </c>
      <c r="X6721" t="s">
        <v>41258</v>
      </c>
    </row>
    <row r="6722" spans="1:24">
      <c r="A6722">
        <f>HYPERLINK("https://www.philgeps.gov.ph/GEPSNONPILOT/Tender/SplashBidNoticeAbstractUI.aspx?menuIndex=3&amp;refID=7068173&amp;Result=3","7068173")</f>
        <v>0</v>
      </c>
      <c r="B6722" t="s">
        <v>2202</v>
      </c>
      <c r="C6722" t="s">
        <v>9788</v>
      </c>
      <c r="D6722" t="s">
        <v>16616</v>
      </c>
      <c r="E6722" t="s">
        <v>22621</v>
      </c>
      <c r="F6722" t="s">
        <v>28669</v>
      </c>
      <c r="G6722" t="s">
        <v>28675</v>
      </c>
      <c r="H6722" t="s">
        <v>28686</v>
      </c>
      <c r="I6722" t="s">
        <v>28689</v>
      </c>
      <c r="J6722" t="s">
        <v>29191</v>
      </c>
      <c r="K6722" t="s">
        <v>37210</v>
      </c>
      <c r="M6722" t="s">
        <v>39852</v>
      </c>
      <c r="N6722" t="s">
        <v>41249</v>
      </c>
      <c r="O6722" t="s">
        <v>41250</v>
      </c>
      <c r="Q6722">
        <v>0</v>
      </c>
      <c r="R6722" t="s">
        <v>41257</v>
      </c>
      <c r="S6722" t="s">
        <v>41473</v>
      </c>
      <c r="T6722" t="s">
        <v>42726</v>
      </c>
      <c r="U6722" t="s">
        <v>48761</v>
      </c>
      <c r="W6722" t="s">
        <v>39852</v>
      </c>
      <c r="X6722" t="s">
        <v>41258</v>
      </c>
    </row>
    <row r="6723" spans="1:24">
      <c r="A6723">
        <f>HYPERLINK("https://www.philgeps.gov.ph/GEPSNONPILOT/Tender/SplashBidNoticeAbstractUI.aspx?menuIndex=3&amp;refID=7068170&amp;Result=3","7068170")</f>
        <v>0</v>
      </c>
      <c r="B6723" t="s">
        <v>1164</v>
      </c>
      <c r="C6723" t="s">
        <v>9789</v>
      </c>
      <c r="D6723" t="s">
        <v>16611</v>
      </c>
      <c r="E6723" t="s">
        <v>22622</v>
      </c>
      <c r="F6723" t="s">
        <v>28669</v>
      </c>
      <c r="G6723" t="s">
        <v>28675</v>
      </c>
      <c r="H6723" t="s">
        <v>9998</v>
      </c>
      <c r="I6723" t="s">
        <v>28722</v>
      </c>
      <c r="J6723" t="s">
        <v>28878</v>
      </c>
      <c r="K6723" t="s">
        <v>37206</v>
      </c>
      <c r="M6723" t="s">
        <v>38703</v>
      </c>
      <c r="N6723" t="s">
        <v>41249</v>
      </c>
      <c r="O6723" t="s">
        <v>41250</v>
      </c>
      <c r="P6723">
        <v>0</v>
      </c>
      <c r="Q6723">
        <v>1</v>
      </c>
      <c r="R6723" t="s">
        <v>41257</v>
      </c>
      <c r="S6723" t="s">
        <v>41461</v>
      </c>
      <c r="T6723" t="s">
        <v>42748</v>
      </c>
      <c r="U6723" t="s">
        <v>45590</v>
      </c>
      <c r="V6723" t="s">
        <v>54589</v>
      </c>
      <c r="W6723" t="s">
        <v>38703</v>
      </c>
      <c r="X6723" t="s">
        <v>41258</v>
      </c>
    </row>
    <row r="6724" spans="1:24">
      <c r="A6724">
        <f>HYPERLINK("https://www.philgeps.gov.ph/GEPSNONPILOT/Tender/SplashBidNoticeAbstractUI.aspx?menuIndex=3&amp;refID=7067995&amp;Result=3","7067995")</f>
        <v>0</v>
      </c>
      <c r="B6724" t="s">
        <v>2203</v>
      </c>
      <c r="C6724" t="s">
        <v>9790</v>
      </c>
      <c r="D6724" t="s">
        <v>16636</v>
      </c>
      <c r="E6724" t="s">
        <v>17140</v>
      </c>
      <c r="F6724" t="s">
        <v>28669</v>
      </c>
      <c r="G6724" t="s">
        <v>28675</v>
      </c>
      <c r="H6724" t="s">
        <v>9998</v>
      </c>
      <c r="I6724" t="s">
        <v>7352</v>
      </c>
      <c r="J6724" t="s">
        <v>33060</v>
      </c>
      <c r="K6724" t="s">
        <v>37206</v>
      </c>
      <c r="M6724" t="s">
        <v>39853</v>
      </c>
      <c r="N6724" t="s">
        <v>41249</v>
      </c>
      <c r="O6724" t="s">
        <v>41250</v>
      </c>
      <c r="P6724">
        <v>0</v>
      </c>
      <c r="Q6724">
        <v>1</v>
      </c>
      <c r="R6724" t="s">
        <v>41257</v>
      </c>
      <c r="S6724" t="s">
        <v>41461</v>
      </c>
      <c r="T6724" t="s">
        <v>42758</v>
      </c>
      <c r="U6724" t="s">
        <v>48762</v>
      </c>
      <c r="W6724" t="s">
        <v>39853</v>
      </c>
      <c r="X6724" t="s">
        <v>41258</v>
      </c>
    </row>
    <row r="6725" spans="1:24">
      <c r="A6725">
        <f>HYPERLINK("https://www.philgeps.gov.ph/GEPSNONPILOT/Tender/SplashBidNoticeAbstractUI.aspx?menuIndex=3&amp;refID=7068162&amp;Result=3","7068162")</f>
        <v>0</v>
      </c>
      <c r="B6725" t="s">
        <v>260</v>
      </c>
      <c r="C6725" t="s">
        <v>9791</v>
      </c>
      <c r="D6725" t="s">
        <v>16646</v>
      </c>
      <c r="E6725" t="s">
        <v>22623</v>
      </c>
      <c r="F6725" t="s">
        <v>28669</v>
      </c>
      <c r="G6725" t="s">
        <v>28676</v>
      </c>
      <c r="H6725" t="s">
        <v>9998</v>
      </c>
      <c r="I6725" t="s">
        <v>5286</v>
      </c>
      <c r="J6725" t="s">
        <v>33061</v>
      </c>
      <c r="K6725" t="s">
        <v>37205</v>
      </c>
      <c r="M6725" t="s">
        <v>37738</v>
      </c>
      <c r="N6725" t="s">
        <v>41249</v>
      </c>
      <c r="O6725" t="s">
        <v>41250</v>
      </c>
      <c r="P6725">
        <v>0</v>
      </c>
      <c r="Q6725">
        <v>1</v>
      </c>
      <c r="R6725" t="s">
        <v>41257</v>
      </c>
      <c r="S6725" t="s">
        <v>41461</v>
      </c>
      <c r="T6725" t="s">
        <v>42728</v>
      </c>
      <c r="U6725" t="s">
        <v>48763</v>
      </c>
      <c r="W6725" t="s">
        <v>37738</v>
      </c>
      <c r="X6725" t="s">
        <v>41258</v>
      </c>
    </row>
    <row r="6726" spans="1:24">
      <c r="A6726">
        <f>HYPERLINK("https://www.philgeps.gov.ph/GEPSNONPILOT/Tender/SplashBidNoticeAbstractUI.aspx?menuIndex=3&amp;refID=7068100&amp;Result=3","7068100")</f>
        <v>0</v>
      </c>
      <c r="B6726" t="s">
        <v>527</v>
      </c>
      <c r="C6726" t="s">
        <v>9792</v>
      </c>
      <c r="D6726" t="s">
        <v>16627</v>
      </c>
      <c r="E6726" t="s">
        <v>21197</v>
      </c>
      <c r="F6726" t="s">
        <v>28669</v>
      </c>
      <c r="G6726" t="s">
        <v>28675</v>
      </c>
      <c r="H6726" t="s">
        <v>9998</v>
      </c>
      <c r="I6726" t="s">
        <v>6606</v>
      </c>
      <c r="J6726" t="s">
        <v>28929</v>
      </c>
      <c r="K6726" t="s">
        <v>37204</v>
      </c>
      <c r="M6726" t="s">
        <v>38018</v>
      </c>
      <c r="N6726" t="s">
        <v>41249</v>
      </c>
      <c r="O6726" t="s">
        <v>41250</v>
      </c>
      <c r="P6726">
        <v>0</v>
      </c>
      <c r="Q6726">
        <v>0</v>
      </c>
      <c r="R6726" t="s">
        <v>41257</v>
      </c>
      <c r="S6726" t="s">
        <v>41461</v>
      </c>
      <c r="T6726" t="s">
        <v>42758</v>
      </c>
      <c r="U6726" t="s">
        <v>44113</v>
      </c>
      <c r="W6726" t="s">
        <v>38018</v>
      </c>
      <c r="X6726" t="s">
        <v>41258</v>
      </c>
    </row>
    <row r="6727" spans="1:24">
      <c r="A6727">
        <f>HYPERLINK("https://www.philgeps.gov.ph/GEPSNONPILOT/Tender/SplashBidNoticeAbstractUI.aspx?menuIndex=3&amp;refID=7068156&amp;Result=3","7068156")</f>
        <v>0</v>
      </c>
      <c r="B6727" t="s">
        <v>527</v>
      </c>
      <c r="C6727" t="s">
        <v>6089</v>
      </c>
      <c r="D6727" t="s">
        <v>16627</v>
      </c>
      <c r="E6727" t="s">
        <v>21502</v>
      </c>
      <c r="F6727" t="s">
        <v>28669</v>
      </c>
      <c r="G6727" t="s">
        <v>28675</v>
      </c>
      <c r="H6727" t="s">
        <v>9998</v>
      </c>
      <c r="I6727" t="s">
        <v>28690</v>
      </c>
      <c r="J6727" t="s">
        <v>33062</v>
      </c>
      <c r="K6727" t="s">
        <v>37204</v>
      </c>
      <c r="M6727" t="s">
        <v>38018</v>
      </c>
      <c r="N6727" t="s">
        <v>41249</v>
      </c>
      <c r="O6727" t="s">
        <v>41250</v>
      </c>
      <c r="P6727">
        <v>0</v>
      </c>
      <c r="Q6727">
        <v>2</v>
      </c>
      <c r="R6727" t="s">
        <v>41257</v>
      </c>
      <c r="S6727" t="s">
        <v>41461</v>
      </c>
      <c r="T6727" t="s">
        <v>42701</v>
      </c>
      <c r="U6727" t="s">
        <v>44113</v>
      </c>
      <c r="W6727" t="s">
        <v>38018</v>
      </c>
      <c r="X6727" t="s">
        <v>41258</v>
      </c>
    </row>
    <row r="6728" spans="1:24">
      <c r="A6728">
        <f>HYPERLINK("https://www.philgeps.gov.ph/GEPSNONPILOT/Tender/SplashBidNoticeAbstractUI.aspx?menuIndex=3&amp;refID=7068153&amp;Result=3","7068153")</f>
        <v>0</v>
      </c>
      <c r="B6728" t="s">
        <v>2204</v>
      </c>
      <c r="C6728" t="s">
        <v>9793</v>
      </c>
      <c r="D6728" t="s">
        <v>16618</v>
      </c>
      <c r="E6728" t="s">
        <v>17248</v>
      </c>
      <c r="F6728" t="s">
        <v>28669</v>
      </c>
      <c r="G6728" t="s">
        <v>28675</v>
      </c>
      <c r="H6728" t="s">
        <v>9998</v>
      </c>
      <c r="I6728" t="s">
        <v>5213</v>
      </c>
      <c r="J6728" t="s">
        <v>29135</v>
      </c>
      <c r="K6728" t="s">
        <v>37209</v>
      </c>
      <c r="M6728" t="s">
        <v>39854</v>
      </c>
      <c r="N6728" t="s">
        <v>41249</v>
      </c>
      <c r="O6728" t="s">
        <v>41250</v>
      </c>
      <c r="P6728">
        <v>0</v>
      </c>
      <c r="Q6728">
        <v>2</v>
      </c>
      <c r="R6728" t="s">
        <v>41257</v>
      </c>
      <c r="S6728" t="s">
        <v>41461</v>
      </c>
      <c r="T6728" t="s">
        <v>42809</v>
      </c>
      <c r="U6728" t="s">
        <v>48764</v>
      </c>
      <c r="W6728" t="s">
        <v>39854</v>
      </c>
      <c r="X6728" t="s">
        <v>41258</v>
      </c>
    </row>
    <row r="6729" spans="1:24">
      <c r="A6729">
        <f>HYPERLINK("https://www.philgeps.gov.ph/GEPSNONPILOT/Tender/SplashBidNoticeAbstractUI.aspx?menuIndex=3&amp;refID=7068172&amp;Result=3","7068172")</f>
        <v>0</v>
      </c>
      <c r="B6729" t="s">
        <v>335</v>
      </c>
      <c r="C6729" t="s">
        <v>9794</v>
      </c>
      <c r="D6729" t="s">
        <v>16636</v>
      </c>
      <c r="E6729" t="s">
        <v>19766</v>
      </c>
      <c r="F6729" t="s">
        <v>28669</v>
      </c>
      <c r="G6729" t="s">
        <v>28675</v>
      </c>
      <c r="H6729" t="s">
        <v>9998</v>
      </c>
      <c r="I6729" t="s">
        <v>5213</v>
      </c>
      <c r="J6729" t="s">
        <v>33063</v>
      </c>
      <c r="K6729" t="s">
        <v>37206</v>
      </c>
      <c r="M6729" t="s">
        <v>37815</v>
      </c>
      <c r="N6729" t="s">
        <v>41249</v>
      </c>
      <c r="O6729" t="s">
        <v>41250</v>
      </c>
      <c r="P6729">
        <v>0</v>
      </c>
      <c r="Q6729">
        <v>3</v>
      </c>
      <c r="R6729" t="s">
        <v>41257</v>
      </c>
      <c r="S6729" t="s">
        <v>41461</v>
      </c>
      <c r="T6729" t="s">
        <v>43035</v>
      </c>
      <c r="U6729" t="s">
        <v>48765</v>
      </c>
      <c r="W6729" t="s">
        <v>37815</v>
      </c>
      <c r="X6729" t="s">
        <v>41258</v>
      </c>
    </row>
    <row r="6730" spans="1:24">
      <c r="A6730">
        <f>HYPERLINK("https://www.philgeps.gov.ph/GEPSNONPILOT/Tender/SplashBidNoticeAbstractUI.aspx?menuIndex=3&amp;refID=7068167&amp;Result=3","7068167")</f>
        <v>0</v>
      </c>
      <c r="B6730" t="s">
        <v>659</v>
      </c>
      <c r="C6730" t="s">
        <v>9795</v>
      </c>
      <c r="D6730" t="s">
        <v>16643</v>
      </c>
      <c r="E6730" t="s">
        <v>22624</v>
      </c>
      <c r="F6730" t="s">
        <v>28669</v>
      </c>
      <c r="G6730" t="s">
        <v>28676</v>
      </c>
      <c r="H6730" t="s">
        <v>9998</v>
      </c>
      <c r="I6730" t="s">
        <v>28695</v>
      </c>
      <c r="J6730" t="s">
        <v>33064</v>
      </c>
      <c r="K6730" t="s">
        <v>37204</v>
      </c>
      <c r="M6730" t="s">
        <v>38161</v>
      </c>
      <c r="N6730" t="s">
        <v>41249</v>
      </c>
      <c r="O6730" t="s">
        <v>41250</v>
      </c>
      <c r="P6730">
        <v>0</v>
      </c>
      <c r="Q6730">
        <v>0</v>
      </c>
      <c r="R6730" t="s">
        <v>41257</v>
      </c>
      <c r="S6730" t="s">
        <v>41461</v>
      </c>
      <c r="T6730" t="s">
        <v>42736</v>
      </c>
      <c r="U6730" t="s">
        <v>48732</v>
      </c>
      <c r="W6730" t="s">
        <v>55925</v>
      </c>
      <c r="X6730" t="s">
        <v>41258</v>
      </c>
    </row>
    <row r="6731" spans="1:24">
      <c r="A6731">
        <f>HYPERLINK("https://www.philgeps.gov.ph/GEPSNONPILOT/Tender/SplashBidNoticeAbstractUI.aspx?menuIndex=3&amp;refID=7068151&amp;Result=3","7068151")</f>
        <v>0</v>
      </c>
      <c r="B6731" t="s">
        <v>2205</v>
      </c>
      <c r="C6731" t="s">
        <v>9796</v>
      </c>
      <c r="D6731" t="s">
        <v>16618</v>
      </c>
      <c r="E6731" t="s">
        <v>21035</v>
      </c>
      <c r="F6731" t="s">
        <v>28669</v>
      </c>
      <c r="G6731" t="s">
        <v>28675</v>
      </c>
      <c r="H6731" t="s">
        <v>9998</v>
      </c>
      <c r="I6731" t="s">
        <v>5213</v>
      </c>
      <c r="J6731" t="s">
        <v>33065</v>
      </c>
      <c r="K6731" t="s">
        <v>37209</v>
      </c>
      <c r="M6731" t="s">
        <v>39855</v>
      </c>
      <c r="N6731" t="s">
        <v>41249</v>
      </c>
      <c r="O6731" t="s">
        <v>41250</v>
      </c>
      <c r="P6731">
        <v>0</v>
      </c>
      <c r="Q6731">
        <v>0</v>
      </c>
      <c r="R6731" t="s">
        <v>41257</v>
      </c>
      <c r="S6731" t="s">
        <v>41461</v>
      </c>
      <c r="T6731" t="s">
        <v>42743</v>
      </c>
      <c r="U6731" t="s">
        <v>48766</v>
      </c>
      <c r="W6731" t="s">
        <v>39855</v>
      </c>
      <c r="X6731" t="s">
        <v>41258</v>
      </c>
    </row>
    <row r="6732" spans="1:24">
      <c r="A6732">
        <f>HYPERLINK("https://www.philgeps.gov.ph/GEPSNONPILOT/Tender/SplashBidNoticeAbstractUI.aspx?menuIndex=3&amp;refID=7068144&amp;Result=3","7068144")</f>
        <v>0</v>
      </c>
      <c r="B6732" t="s">
        <v>527</v>
      </c>
      <c r="C6732" t="s">
        <v>9797</v>
      </c>
      <c r="D6732" t="s">
        <v>16627</v>
      </c>
      <c r="E6732" t="s">
        <v>21431</v>
      </c>
      <c r="F6732" t="s">
        <v>28669</v>
      </c>
      <c r="G6732" t="s">
        <v>28675</v>
      </c>
      <c r="H6732" t="s">
        <v>9998</v>
      </c>
      <c r="I6732" t="s">
        <v>5286</v>
      </c>
      <c r="J6732" t="s">
        <v>33066</v>
      </c>
      <c r="K6732" t="s">
        <v>37204</v>
      </c>
      <c r="M6732" t="s">
        <v>38018</v>
      </c>
      <c r="N6732" t="s">
        <v>41249</v>
      </c>
      <c r="O6732" t="s">
        <v>41250</v>
      </c>
      <c r="P6732">
        <v>0</v>
      </c>
      <c r="Q6732">
        <v>0</v>
      </c>
      <c r="R6732" t="s">
        <v>41257</v>
      </c>
      <c r="S6732" t="s">
        <v>41461</v>
      </c>
      <c r="T6732" t="s">
        <v>42701</v>
      </c>
      <c r="U6732" t="s">
        <v>44113</v>
      </c>
      <c r="W6732" t="s">
        <v>38018</v>
      </c>
      <c r="X6732" t="s">
        <v>41258</v>
      </c>
    </row>
    <row r="6733" spans="1:24">
      <c r="A6733">
        <f>HYPERLINK("https://www.philgeps.gov.ph/GEPSNONPILOT/Tender/SplashBidNoticeAbstractUI.aspx?menuIndex=3&amp;refID=7068225&amp;Result=3","7068225")</f>
        <v>0</v>
      </c>
      <c r="B6733" t="s">
        <v>2206</v>
      </c>
      <c r="C6733" t="s">
        <v>9798</v>
      </c>
      <c r="D6733" t="s">
        <v>16666</v>
      </c>
      <c r="E6733" t="s">
        <v>19625</v>
      </c>
      <c r="F6733" t="s">
        <v>28669</v>
      </c>
      <c r="G6733" t="s">
        <v>28676</v>
      </c>
      <c r="H6733" t="s">
        <v>28684</v>
      </c>
      <c r="I6733" t="s">
        <v>28728</v>
      </c>
      <c r="J6733" t="s">
        <v>29060</v>
      </c>
      <c r="K6733" t="s">
        <v>37243</v>
      </c>
      <c r="M6733" t="s">
        <v>39856</v>
      </c>
      <c r="N6733" t="s">
        <v>41249</v>
      </c>
      <c r="O6733" t="s">
        <v>41250</v>
      </c>
      <c r="P6733">
        <v>0</v>
      </c>
      <c r="Q6733">
        <v>0</v>
      </c>
      <c r="R6733" t="s">
        <v>41257</v>
      </c>
      <c r="S6733" t="s">
        <v>41461</v>
      </c>
      <c r="T6733" t="s">
        <v>42665</v>
      </c>
      <c r="U6733" t="s">
        <v>48767</v>
      </c>
      <c r="W6733" t="s">
        <v>39856</v>
      </c>
      <c r="X6733" t="s">
        <v>41258</v>
      </c>
    </row>
    <row r="6734" spans="1:24">
      <c r="A6734">
        <f>HYPERLINK("https://www.philgeps.gov.ph/GEPSNONPILOT/Tender/SplashBidNoticeAbstractUI.aspx?menuIndex=3&amp;refID=7068176&amp;Result=3","7068176")</f>
        <v>0</v>
      </c>
      <c r="B6734" t="s">
        <v>2206</v>
      </c>
      <c r="C6734" t="s">
        <v>9799</v>
      </c>
      <c r="D6734" t="s">
        <v>16666</v>
      </c>
      <c r="E6734" t="s">
        <v>16803</v>
      </c>
      <c r="F6734" t="s">
        <v>28669</v>
      </c>
      <c r="G6734" t="s">
        <v>28676</v>
      </c>
      <c r="H6734" t="s">
        <v>28684</v>
      </c>
      <c r="I6734" t="s">
        <v>28774</v>
      </c>
      <c r="J6734" t="s">
        <v>29404</v>
      </c>
      <c r="K6734" t="s">
        <v>37243</v>
      </c>
      <c r="M6734" t="s">
        <v>39856</v>
      </c>
      <c r="N6734" t="s">
        <v>41249</v>
      </c>
      <c r="O6734" t="s">
        <v>41250</v>
      </c>
      <c r="P6734">
        <v>0</v>
      </c>
      <c r="Q6734">
        <v>0</v>
      </c>
      <c r="R6734" t="s">
        <v>41257</v>
      </c>
      <c r="S6734" t="s">
        <v>41461</v>
      </c>
      <c r="T6734" t="s">
        <v>42665</v>
      </c>
      <c r="U6734" t="s">
        <v>48767</v>
      </c>
      <c r="W6734" t="s">
        <v>39856</v>
      </c>
      <c r="X6734" t="s">
        <v>41258</v>
      </c>
    </row>
    <row r="6735" spans="1:24">
      <c r="A6735">
        <f>HYPERLINK("https://www.philgeps.gov.ph/GEPSNONPILOT/Tender/SplashBidNoticeAbstractUI.aspx?menuIndex=3&amp;refID=7068154&amp;Result=3","7068154")</f>
        <v>0</v>
      </c>
      <c r="B6735" t="s">
        <v>2188</v>
      </c>
      <c r="C6735" t="s">
        <v>9800</v>
      </c>
      <c r="D6735" t="s">
        <v>16616</v>
      </c>
      <c r="E6735" t="s">
        <v>22625</v>
      </c>
      <c r="F6735" t="s">
        <v>28669</v>
      </c>
      <c r="G6735" t="s">
        <v>28675</v>
      </c>
      <c r="H6735" t="s">
        <v>9998</v>
      </c>
      <c r="I6735" t="s">
        <v>7352</v>
      </c>
      <c r="J6735" t="s">
        <v>33067</v>
      </c>
      <c r="K6735" t="s">
        <v>37210</v>
      </c>
      <c r="M6735" t="s">
        <v>39838</v>
      </c>
      <c r="N6735" t="s">
        <v>41249</v>
      </c>
      <c r="O6735" t="s">
        <v>41250</v>
      </c>
      <c r="P6735">
        <v>0</v>
      </c>
      <c r="Q6735">
        <v>0</v>
      </c>
      <c r="R6735" t="s">
        <v>41257</v>
      </c>
      <c r="S6735" t="s">
        <v>41461</v>
      </c>
      <c r="T6735" t="s">
        <v>42675</v>
      </c>
      <c r="U6735" t="s">
        <v>48768</v>
      </c>
      <c r="W6735" t="s">
        <v>39838</v>
      </c>
      <c r="X6735" t="s">
        <v>41258</v>
      </c>
    </row>
    <row r="6736" spans="1:24">
      <c r="A6736">
        <f>HYPERLINK("https://www.philgeps.gov.ph/GEPSNONPILOT/Tender/SplashBidNoticeAbstractUI.aspx?menuIndex=3&amp;refID=7068218&amp;Result=3","7068218")</f>
        <v>0</v>
      </c>
      <c r="B6736" t="s">
        <v>2207</v>
      </c>
      <c r="C6736" t="s">
        <v>9801</v>
      </c>
      <c r="D6736" t="s">
        <v>16664</v>
      </c>
      <c r="E6736" t="s">
        <v>17251</v>
      </c>
      <c r="F6736" t="s">
        <v>28669</v>
      </c>
      <c r="G6736" t="s">
        <v>28675</v>
      </c>
      <c r="H6736" t="s">
        <v>9998</v>
      </c>
      <c r="I6736" t="s">
        <v>28696</v>
      </c>
      <c r="J6736" t="s">
        <v>28826</v>
      </c>
      <c r="K6736" t="s">
        <v>37204</v>
      </c>
      <c r="L6736" t="s">
        <v>2207</v>
      </c>
      <c r="M6736" t="s">
        <v>39857</v>
      </c>
      <c r="N6736" t="s">
        <v>41249</v>
      </c>
      <c r="O6736" t="s">
        <v>41250</v>
      </c>
      <c r="P6736">
        <v>0</v>
      </c>
      <c r="Q6736">
        <v>0</v>
      </c>
      <c r="R6736" t="s">
        <v>41257</v>
      </c>
      <c r="S6736" t="s">
        <v>41461</v>
      </c>
      <c r="T6736" t="s">
        <v>42743</v>
      </c>
      <c r="U6736" t="s">
        <v>48769</v>
      </c>
      <c r="W6736" t="s">
        <v>39857</v>
      </c>
      <c r="X6736" t="s">
        <v>41258</v>
      </c>
    </row>
    <row r="6737" spans="1:24">
      <c r="A6737">
        <f>HYPERLINK("https://www.philgeps.gov.ph/GEPSNONPILOT/Tender/SplashBidNoticeAbstractUI.aspx?menuIndex=3&amp;refID=7068213&amp;Result=3","7068213")</f>
        <v>0</v>
      </c>
      <c r="B6737" t="s">
        <v>259</v>
      </c>
      <c r="C6737" t="s">
        <v>9802</v>
      </c>
      <c r="D6737" t="s">
        <v>16615</v>
      </c>
      <c r="E6737" t="s">
        <v>22626</v>
      </c>
      <c r="F6737" t="s">
        <v>28669</v>
      </c>
      <c r="G6737" t="s">
        <v>28676</v>
      </c>
      <c r="H6737" t="s">
        <v>9998</v>
      </c>
      <c r="I6737" t="s">
        <v>28704</v>
      </c>
      <c r="J6737" t="s">
        <v>33068</v>
      </c>
      <c r="K6737" t="s">
        <v>37205</v>
      </c>
      <c r="M6737" t="s">
        <v>37737</v>
      </c>
      <c r="N6737" t="s">
        <v>41249</v>
      </c>
      <c r="O6737" t="s">
        <v>41250</v>
      </c>
      <c r="P6737">
        <v>0</v>
      </c>
      <c r="Q6737">
        <v>0</v>
      </c>
      <c r="R6737" t="s">
        <v>41257</v>
      </c>
      <c r="S6737" t="s">
        <v>41461</v>
      </c>
      <c r="T6737" t="s">
        <v>42748</v>
      </c>
      <c r="U6737" t="s">
        <v>48770</v>
      </c>
      <c r="W6737" t="s">
        <v>37737</v>
      </c>
      <c r="X6737" t="s">
        <v>41258</v>
      </c>
    </row>
    <row r="6738" spans="1:24">
      <c r="A6738">
        <f>HYPERLINK("https://www.philgeps.gov.ph/GEPSNONPILOT/Tender/SplashBidNoticeAbstractUI.aspx?menuIndex=3&amp;refID=7068211&amp;Result=3","7068211")</f>
        <v>0</v>
      </c>
      <c r="B6738" t="s">
        <v>2208</v>
      </c>
      <c r="C6738" t="s">
        <v>9803</v>
      </c>
      <c r="D6738" t="s">
        <v>16657</v>
      </c>
      <c r="E6738" t="s">
        <v>22627</v>
      </c>
      <c r="F6738" t="s">
        <v>28669</v>
      </c>
      <c r="G6738" t="s">
        <v>28676</v>
      </c>
      <c r="H6738" t="s">
        <v>9998</v>
      </c>
      <c r="I6738" t="s">
        <v>3718</v>
      </c>
      <c r="J6738" t="s">
        <v>29902</v>
      </c>
      <c r="K6738" t="s">
        <v>37216</v>
      </c>
      <c r="M6738" t="s">
        <v>39858</v>
      </c>
      <c r="N6738" t="s">
        <v>41249</v>
      </c>
      <c r="O6738" t="s">
        <v>41250</v>
      </c>
      <c r="P6738">
        <v>0</v>
      </c>
      <c r="Q6738">
        <v>3</v>
      </c>
      <c r="R6738" t="s">
        <v>41257</v>
      </c>
      <c r="S6738" t="s">
        <v>41461</v>
      </c>
      <c r="T6738" t="s">
        <v>42811</v>
      </c>
      <c r="U6738" t="s">
        <v>48771</v>
      </c>
      <c r="W6738" t="s">
        <v>39858</v>
      </c>
      <c r="X6738" t="s">
        <v>41258</v>
      </c>
    </row>
    <row r="6739" spans="1:24">
      <c r="A6739">
        <f>HYPERLINK("https://www.philgeps.gov.ph/GEPSNONPILOT/Tender/SplashBidNoticeAbstractUI.aspx?menuIndex=3&amp;refID=7068145&amp;Result=3","7068145")</f>
        <v>0</v>
      </c>
      <c r="B6739" t="s">
        <v>642</v>
      </c>
      <c r="C6739" t="s">
        <v>9804</v>
      </c>
      <c r="D6739" t="s">
        <v>16642</v>
      </c>
      <c r="E6739" t="s">
        <v>22628</v>
      </c>
      <c r="F6739" t="s">
        <v>28669</v>
      </c>
      <c r="G6739" t="s">
        <v>28676</v>
      </c>
      <c r="H6739" t="s">
        <v>9998</v>
      </c>
      <c r="I6739" t="s">
        <v>3718</v>
      </c>
      <c r="J6739" t="s">
        <v>28877</v>
      </c>
      <c r="K6739" t="s">
        <v>37205</v>
      </c>
      <c r="M6739" t="s">
        <v>39859</v>
      </c>
      <c r="N6739" t="s">
        <v>41249</v>
      </c>
      <c r="O6739" t="s">
        <v>41250</v>
      </c>
      <c r="P6739">
        <v>0</v>
      </c>
      <c r="Q6739">
        <v>6</v>
      </c>
      <c r="R6739" t="s">
        <v>41257</v>
      </c>
      <c r="S6739" t="s">
        <v>41461</v>
      </c>
      <c r="T6739" t="s">
        <v>42701</v>
      </c>
      <c r="U6739" t="s">
        <v>48772</v>
      </c>
      <c r="W6739" t="s">
        <v>39859</v>
      </c>
      <c r="X6739" t="s">
        <v>41258</v>
      </c>
    </row>
    <row r="6740" spans="1:24">
      <c r="A6740">
        <f>HYPERLINK("https://www.philgeps.gov.ph/GEPSNONPILOT/Tender/SplashBidNoticeAbstractUI.aspx?menuIndex=3&amp;refID=7068205&amp;Result=3","7068205")</f>
        <v>0</v>
      </c>
      <c r="B6740" t="s">
        <v>1976</v>
      </c>
      <c r="C6740" t="s">
        <v>9805</v>
      </c>
      <c r="E6740" t="s">
        <v>22629</v>
      </c>
      <c r="F6740" t="s">
        <v>28669</v>
      </c>
      <c r="G6740" t="s">
        <v>28675</v>
      </c>
      <c r="H6740" t="s">
        <v>28686</v>
      </c>
      <c r="I6740" t="s">
        <v>28689</v>
      </c>
      <c r="J6740" t="s">
        <v>33069</v>
      </c>
      <c r="K6740" t="s">
        <v>37209</v>
      </c>
      <c r="M6740" t="s">
        <v>39610</v>
      </c>
      <c r="N6740" t="s">
        <v>41249</v>
      </c>
      <c r="O6740" t="s">
        <v>41250</v>
      </c>
      <c r="P6740">
        <v>0</v>
      </c>
      <c r="Q6740">
        <v>11</v>
      </c>
      <c r="R6740" t="s">
        <v>41257</v>
      </c>
      <c r="S6740" t="s">
        <v>41461</v>
      </c>
      <c r="T6740" t="s">
        <v>42782</v>
      </c>
      <c r="U6740" t="s">
        <v>48752</v>
      </c>
      <c r="W6740" t="s">
        <v>55982</v>
      </c>
      <c r="X6740" t="s">
        <v>41258</v>
      </c>
    </row>
    <row r="6741" spans="1:24">
      <c r="A6741">
        <f>HYPERLINK("https://www.philgeps.gov.ph/GEPSNONPILOT/Tender/SplashBidNoticeAbstractUI.aspx?menuIndex=3&amp;refID=7068202&amp;Result=3","7068202")</f>
        <v>0</v>
      </c>
      <c r="B6741" t="s">
        <v>2209</v>
      </c>
      <c r="C6741" t="s">
        <v>9806</v>
      </c>
      <c r="D6741" t="s">
        <v>16658</v>
      </c>
      <c r="E6741" t="s">
        <v>22630</v>
      </c>
      <c r="F6741" t="s">
        <v>28669</v>
      </c>
      <c r="G6741" t="s">
        <v>28675</v>
      </c>
      <c r="H6741" t="s">
        <v>9998</v>
      </c>
      <c r="I6741" t="s">
        <v>28687</v>
      </c>
      <c r="J6741" t="s">
        <v>30815</v>
      </c>
      <c r="K6741" t="s">
        <v>37205</v>
      </c>
      <c r="M6741" t="s">
        <v>39860</v>
      </c>
      <c r="N6741" t="s">
        <v>41249</v>
      </c>
      <c r="O6741" t="s">
        <v>41250</v>
      </c>
      <c r="P6741">
        <v>0</v>
      </c>
      <c r="Q6741">
        <v>9</v>
      </c>
      <c r="R6741" t="s">
        <v>41257</v>
      </c>
      <c r="S6741" t="s">
        <v>41461</v>
      </c>
      <c r="T6741" t="s">
        <v>42743</v>
      </c>
      <c r="U6741" t="s">
        <v>48773</v>
      </c>
      <c r="W6741" t="s">
        <v>39860</v>
      </c>
      <c r="X6741" t="s">
        <v>41258</v>
      </c>
    </row>
    <row r="6742" spans="1:24">
      <c r="A6742">
        <f>HYPERLINK("https://www.philgeps.gov.ph/GEPSNONPILOT/Tender/SplashBidNoticeAbstractUI.aspx?menuIndex=3&amp;refID=7068214&amp;Result=3","7068214")</f>
        <v>0</v>
      </c>
      <c r="B6742" t="s">
        <v>2210</v>
      </c>
      <c r="C6742" t="s">
        <v>9807</v>
      </c>
      <c r="D6742" t="s">
        <v>16617</v>
      </c>
      <c r="E6742" t="s">
        <v>22631</v>
      </c>
      <c r="F6742" t="s">
        <v>28669</v>
      </c>
      <c r="G6742" t="s">
        <v>28675</v>
      </c>
      <c r="H6742" t="s">
        <v>28686</v>
      </c>
      <c r="I6742" t="s">
        <v>28689</v>
      </c>
      <c r="J6742" t="s">
        <v>33070</v>
      </c>
      <c r="K6742" t="s">
        <v>37221</v>
      </c>
      <c r="M6742" t="s">
        <v>39861</v>
      </c>
      <c r="N6742" t="s">
        <v>41249</v>
      </c>
      <c r="O6742" t="s">
        <v>41250</v>
      </c>
      <c r="P6742">
        <v>0</v>
      </c>
      <c r="Q6742">
        <v>1</v>
      </c>
      <c r="R6742" t="s">
        <v>41257</v>
      </c>
      <c r="S6742" t="s">
        <v>41461</v>
      </c>
      <c r="T6742" t="s">
        <v>42742</v>
      </c>
      <c r="U6742" t="s">
        <v>48774</v>
      </c>
      <c r="W6742" t="s">
        <v>39861</v>
      </c>
      <c r="X6742" t="s">
        <v>41258</v>
      </c>
    </row>
    <row r="6743" spans="1:24">
      <c r="A6743">
        <f>HYPERLINK("https://www.philgeps.gov.ph/GEPSNONPILOT/Tender/SplashBidNoticeAbstractUI.aspx?menuIndex=3&amp;refID=7068197&amp;Result=3","7068197")</f>
        <v>0</v>
      </c>
      <c r="B6743" t="s">
        <v>2211</v>
      </c>
      <c r="C6743" t="s">
        <v>9808</v>
      </c>
      <c r="D6743" t="s">
        <v>16668</v>
      </c>
      <c r="E6743" t="s">
        <v>22632</v>
      </c>
      <c r="F6743" t="s">
        <v>28669</v>
      </c>
      <c r="G6743" t="s">
        <v>28675</v>
      </c>
      <c r="H6743" t="s">
        <v>9998</v>
      </c>
      <c r="I6743" t="s">
        <v>28689</v>
      </c>
      <c r="J6743" t="s">
        <v>33071</v>
      </c>
      <c r="K6743" t="s">
        <v>37215</v>
      </c>
      <c r="M6743" t="s">
        <v>39862</v>
      </c>
      <c r="N6743" t="s">
        <v>41249</v>
      </c>
      <c r="O6743" t="s">
        <v>41250</v>
      </c>
      <c r="P6743">
        <v>0</v>
      </c>
      <c r="Q6743">
        <v>6</v>
      </c>
      <c r="R6743" t="s">
        <v>41257</v>
      </c>
      <c r="S6743" t="s">
        <v>41461</v>
      </c>
      <c r="T6743" t="s">
        <v>42782</v>
      </c>
      <c r="U6743" t="s">
        <v>48775</v>
      </c>
      <c r="W6743" t="s">
        <v>39862</v>
      </c>
      <c r="X6743" t="s">
        <v>41258</v>
      </c>
    </row>
    <row r="6744" spans="1:24">
      <c r="A6744">
        <f>HYPERLINK("https://www.philgeps.gov.ph/GEPSNONPILOT/Tender/SplashBidNoticeAbstractUI.aspx?menuIndex=3&amp;refID=7068196&amp;Result=3","7068196")</f>
        <v>0</v>
      </c>
      <c r="B6744" t="s">
        <v>659</v>
      </c>
      <c r="C6744" t="s">
        <v>9809</v>
      </c>
      <c r="D6744" t="s">
        <v>16643</v>
      </c>
      <c r="E6744" t="s">
        <v>22633</v>
      </c>
      <c r="F6744" t="s">
        <v>28669</v>
      </c>
      <c r="G6744" t="s">
        <v>28676</v>
      </c>
      <c r="H6744" t="s">
        <v>9998</v>
      </c>
      <c r="I6744" t="s">
        <v>28695</v>
      </c>
      <c r="J6744" t="s">
        <v>33072</v>
      </c>
      <c r="K6744" t="s">
        <v>37204</v>
      </c>
      <c r="M6744" t="s">
        <v>38161</v>
      </c>
      <c r="N6744" t="s">
        <v>41249</v>
      </c>
      <c r="O6744" t="s">
        <v>41250</v>
      </c>
      <c r="P6744">
        <v>0</v>
      </c>
      <c r="Q6744">
        <v>0</v>
      </c>
      <c r="R6744" t="s">
        <v>41257</v>
      </c>
      <c r="S6744" t="s">
        <v>41461</v>
      </c>
      <c r="T6744" t="s">
        <v>42736</v>
      </c>
      <c r="U6744" t="s">
        <v>48732</v>
      </c>
      <c r="W6744" t="s">
        <v>55925</v>
      </c>
      <c r="X6744" t="s">
        <v>41258</v>
      </c>
    </row>
    <row r="6745" spans="1:24">
      <c r="A6745">
        <f>HYPERLINK("https://www.philgeps.gov.ph/GEPSNONPILOT/Tender/SplashBidNoticeAbstractUI.aspx?menuIndex=3&amp;refID=7068204&amp;Result=3","7068204")</f>
        <v>0</v>
      </c>
      <c r="B6745" t="s">
        <v>715</v>
      </c>
      <c r="C6745" t="s">
        <v>9810</v>
      </c>
      <c r="D6745" t="s">
        <v>16699</v>
      </c>
      <c r="E6745" t="s">
        <v>22634</v>
      </c>
      <c r="F6745" t="s">
        <v>28669</v>
      </c>
      <c r="G6745" t="s">
        <v>28678</v>
      </c>
      <c r="H6745" t="s">
        <v>9998</v>
      </c>
      <c r="I6745" t="s">
        <v>3718</v>
      </c>
      <c r="J6745" t="s">
        <v>29512</v>
      </c>
      <c r="K6745" t="s">
        <v>37206</v>
      </c>
      <c r="M6745" t="s">
        <v>39863</v>
      </c>
      <c r="N6745" t="s">
        <v>41249</v>
      </c>
      <c r="O6745" t="s">
        <v>41250</v>
      </c>
      <c r="P6745">
        <v>0</v>
      </c>
      <c r="Q6745">
        <v>5</v>
      </c>
      <c r="R6745" t="s">
        <v>41257</v>
      </c>
      <c r="S6745" t="s">
        <v>41461</v>
      </c>
      <c r="T6745" t="s">
        <v>42729</v>
      </c>
      <c r="U6745" t="s">
        <v>48776</v>
      </c>
      <c r="V6745" t="s">
        <v>43651</v>
      </c>
      <c r="W6745" t="s">
        <v>39863</v>
      </c>
      <c r="X6745" t="s">
        <v>41258</v>
      </c>
    </row>
    <row r="6746" spans="1:24">
      <c r="A6746">
        <f>HYPERLINK("https://www.philgeps.gov.ph/GEPSNONPILOT/Tender/SplashBidNoticeAbstractUI.aspx?menuIndex=3&amp;refID=7068194&amp;Result=3","7068194")</f>
        <v>0</v>
      </c>
      <c r="B6746" t="s">
        <v>1533</v>
      </c>
      <c r="C6746" t="s">
        <v>9811</v>
      </c>
      <c r="D6746" t="s">
        <v>16617</v>
      </c>
      <c r="E6746" t="s">
        <v>22635</v>
      </c>
      <c r="F6746" t="s">
        <v>28669</v>
      </c>
      <c r="G6746" t="s">
        <v>28676</v>
      </c>
      <c r="H6746" t="s">
        <v>9998</v>
      </c>
      <c r="I6746" t="s">
        <v>5213</v>
      </c>
      <c r="J6746" t="s">
        <v>33073</v>
      </c>
      <c r="K6746" t="s">
        <v>37209</v>
      </c>
      <c r="M6746" t="s">
        <v>39108</v>
      </c>
      <c r="N6746" t="s">
        <v>41249</v>
      </c>
      <c r="O6746" t="s">
        <v>41250</v>
      </c>
      <c r="P6746">
        <v>0</v>
      </c>
      <c r="Q6746">
        <v>0</v>
      </c>
      <c r="R6746" t="s">
        <v>41257</v>
      </c>
      <c r="S6746" t="s">
        <v>41461</v>
      </c>
      <c r="T6746" t="s">
        <v>42883</v>
      </c>
      <c r="U6746" t="s">
        <v>48777</v>
      </c>
      <c r="V6746" t="s">
        <v>54709</v>
      </c>
      <c r="W6746" t="s">
        <v>39108</v>
      </c>
      <c r="X6746" t="s">
        <v>41258</v>
      </c>
    </row>
    <row r="6747" spans="1:24">
      <c r="A6747">
        <f>HYPERLINK("https://www.philgeps.gov.ph/GEPSNONPILOT/Tender/SplashBidNoticeAbstractUI.aspx?menuIndex=3&amp;refID=7068222&amp;Result=3","7068222")</f>
        <v>0</v>
      </c>
      <c r="B6747" t="s">
        <v>2212</v>
      </c>
      <c r="C6747" t="s">
        <v>9812</v>
      </c>
      <c r="D6747" t="s">
        <v>16680</v>
      </c>
      <c r="E6747" t="s">
        <v>22636</v>
      </c>
      <c r="F6747" t="s">
        <v>28671</v>
      </c>
      <c r="G6747" t="s">
        <v>28676</v>
      </c>
      <c r="H6747" t="s">
        <v>9998</v>
      </c>
      <c r="I6747" t="s">
        <v>3718</v>
      </c>
      <c r="J6747" t="s">
        <v>33074</v>
      </c>
      <c r="K6747" t="s">
        <v>37209</v>
      </c>
      <c r="M6747" t="s">
        <v>39864</v>
      </c>
      <c r="N6747" t="s">
        <v>41249</v>
      </c>
      <c r="O6747" t="s">
        <v>41250</v>
      </c>
      <c r="P6747">
        <v>0</v>
      </c>
      <c r="Q6747">
        <v>1</v>
      </c>
      <c r="R6747" t="s">
        <v>41257</v>
      </c>
      <c r="S6747" t="s">
        <v>41461</v>
      </c>
      <c r="T6747" t="s">
        <v>42701</v>
      </c>
      <c r="U6747" t="s">
        <v>48778</v>
      </c>
      <c r="W6747" t="s">
        <v>39864</v>
      </c>
      <c r="X6747" t="s">
        <v>41258</v>
      </c>
    </row>
    <row r="6748" spans="1:24">
      <c r="A6748">
        <f>HYPERLINK("https://www.philgeps.gov.ph/GEPSNONPILOT/Tender/SplashBidNoticeAbstractUI.aspx?menuIndex=3&amp;refID=7068193&amp;Result=3","7068193")</f>
        <v>0</v>
      </c>
      <c r="B6748" t="s">
        <v>744</v>
      </c>
      <c r="C6748" t="s">
        <v>9813</v>
      </c>
      <c r="D6748" t="s">
        <v>16608</v>
      </c>
      <c r="E6748" t="s">
        <v>22637</v>
      </c>
      <c r="F6748" t="s">
        <v>28669</v>
      </c>
      <c r="G6748" t="s">
        <v>28676</v>
      </c>
      <c r="H6748" t="s">
        <v>9998</v>
      </c>
      <c r="I6748" t="s">
        <v>28749</v>
      </c>
      <c r="J6748" t="s">
        <v>32356</v>
      </c>
      <c r="K6748" t="s">
        <v>37220</v>
      </c>
      <c r="M6748" t="s">
        <v>39704</v>
      </c>
      <c r="N6748" t="s">
        <v>41249</v>
      </c>
      <c r="O6748" t="s">
        <v>41250</v>
      </c>
      <c r="P6748">
        <v>0</v>
      </c>
      <c r="Q6748">
        <v>5</v>
      </c>
      <c r="R6748" t="s">
        <v>41257</v>
      </c>
      <c r="S6748" t="s">
        <v>41461</v>
      </c>
      <c r="T6748" t="s">
        <v>42992</v>
      </c>
      <c r="U6748" t="s">
        <v>43363</v>
      </c>
      <c r="W6748" t="s">
        <v>39704</v>
      </c>
      <c r="X6748" t="s">
        <v>41258</v>
      </c>
    </row>
    <row r="6749" spans="1:24">
      <c r="A6749">
        <f>HYPERLINK("https://www.philgeps.gov.ph/GEPSNONPILOT/Tender/SplashBidNoticeAbstractUI.aspx?menuIndex=3&amp;refID=7068191&amp;Result=3","7068191")</f>
        <v>0</v>
      </c>
      <c r="B6749" t="s">
        <v>1194</v>
      </c>
      <c r="C6749" t="s">
        <v>8007</v>
      </c>
      <c r="D6749" t="s">
        <v>16618</v>
      </c>
      <c r="E6749" t="s">
        <v>21061</v>
      </c>
      <c r="F6749" t="s">
        <v>28669</v>
      </c>
      <c r="G6749" t="s">
        <v>28675</v>
      </c>
      <c r="H6749" t="s">
        <v>9998</v>
      </c>
      <c r="I6749" t="s">
        <v>5213</v>
      </c>
      <c r="J6749" t="s">
        <v>28879</v>
      </c>
      <c r="K6749" t="s">
        <v>37209</v>
      </c>
      <c r="M6749" t="s">
        <v>38734</v>
      </c>
      <c r="N6749" t="s">
        <v>41249</v>
      </c>
      <c r="O6749" t="s">
        <v>41250</v>
      </c>
      <c r="P6749">
        <v>0</v>
      </c>
      <c r="Q6749">
        <v>0</v>
      </c>
      <c r="R6749" t="s">
        <v>41257</v>
      </c>
      <c r="S6749" t="s">
        <v>41461</v>
      </c>
      <c r="T6749" t="s">
        <v>42754</v>
      </c>
      <c r="U6749" t="s">
        <v>48779</v>
      </c>
      <c r="W6749" t="s">
        <v>38734</v>
      </c>
      <c r="X6749" t="s">
        <v>41258</v>
      </c>
    </row>
    <row r="6750" spans="1:24">
      <c r="A6750">
        <f>HYPERLINK("https://www.philgeps.gov.ph/GEPSNONPILOT/Tender/SplashBidNoticeAbstractUI.aspx?menuIndex=3&amp;refID=7068201&amp;Result=3","7068201")</f>
        <v>0</v>
      </c>
      <c r="B6750" t="s">
        <v>2213</v>
      </c>
      <c r="C6750" t="s">
        <v>9814</v>
      </c>
      <c r="D6750" t="s">
        <v>16627</v>
      </c>
      <c r="E6750" t="s">
        <v>17798</v>
      </c>
      <c r="F6750" t="s">
        <v>28669</v>
      </c>
      <c r="G6750" t="s">
        <v>28676</v>
      </c>
      <c r="H6750" t="s">
        <v>9998</v>
      </c>
      <c r="I6750" t="s">
        <v>28697</v>
      </c>
      <c r="J6750" t="s">
        <v>29124</v>
      </c>
      <c r="K6750" t="s">
        <v>37210</v>
      </c>
      <c r="M6750" t="s">
        <v>39865</v>
      </c>
      <c r="N6750" t="s">
        <v>41249</v>
      </c>
      <c r="O6750" t="s">
        <v>41250</v>
      </c>
      <c r="P6750">
        <v>0</v>
      </c>
      <c r="Q6750">
        <v>1</v>
      </c>
      <c r="R6750" t="s">
        <v>41257</v>
      </c>
      <c r="S6750" t="s">
        <v>41461</v>
      </c>
      <c r="T6750" t="s">
        <v>42701</v>
      </c>
      <c r="U6750" t="s">
        <v>48780</v>
      </c>
      <c r="W6750" t="s">
        <v>39865</v>
      </c>
      <c r="X6750" t="s">
        <v>41258</v>
      </c>
    </row>
    <row r="6751" spans="1:24">
      <c r="A6751">
        <f>HYPERLINK("https://www.philgeps.gov.ph/GEPSNONPILOT/Tender/SplashBidNoticeAbstractUI.aspx?menuIndex=3&amp;refID=7068188&amp;Result=3","7068188")</f>
        <v>0</v>
      </c>
      <c r="B6751" t="s">
        <v>566</v>
      </c>
      <c r="C6751" t="s">
        <v>9815</v>
      </c>
      <c r="D6751" t="s">
        <v>16620</v>
      </c>
      <c r="E6751" t="s">
        <v>22638</v>
      </c>
      <c r="F6751" t="s">
        <v>28671</v>
      </c>
      <c r="G6751" t="s">
        <v>28675</v>
      </c>
      <c r="H6751" t="s">
        <v>28686</v>
      </c>
      <c r="I6751" t="s">
        <v>28689</v>
      </c>
      <c r="J6751" t="s">
        <v>28851</v>
      </c>
      <c r="K6751" t="s">
        <v>37256</v>
      </c>
      <c r="M6751" t="s">
        <v>38062</v>
      </c>
      <c r="N6751" t="s">
        <v>41249</v>
      </c>
      <c r="O6751" t="s">
        <v>41250</v>
      </c>
      <c r="P6751">
        <v>0</v>
      </c>
      <c r="Q6751">
        <v>0</v>
      </c>
      <c r="R6751" t="s">
        <v>41257</v>
      </c>
      <c r="S6751" t="s">
        <v>41461</v>
      </c>
      <c r="T6751" t="s">
        <v>42927</v>
      </c>
      <c r="U6751" t="s">
        <v>48781</v>
      </c>
      <c r="V6751" t="s">
        <v>55043</v>
      </c>
      <c r="W6751" t="s">
        <v>38062</v>
      </c>
      <c r="X6751" t="s">
        <v>41258</v>
      </c>
    </row>
    <row r="6752" spans="1:24">
      <c r="A6752">
        <f>HYPERLINK("https://www.philgeps.gov.ph/GEPSNONPILOT/Tender/SplashBidNoticeAbstractUI.aspx?menuIndex=3&amp;refID=7068182&amp;Result=3","7068182")</f>
        <v>0</v>
      </c>
      <c r="B6752" t="s">
        <v>2196</v>
      </c>
      <c r="C6752" t="s">
        <v>9816</v>
      </c>
      <c r="D6752" t="s">
        <v>16663</v>
      </c>
      <c r="E6752" t="s">
        <v>22639</v>
      </c>
      <c r="F6752" t="s">
        <v>28669</v>
      </c>
      <c r="G6752" t="s">
        <v>28677</v>
      </c>
      <c r="H6752" t="s">
        <v>9998</v>
      </c>
      <c r="I6752" t="s">
        <v>28708</v>
      </c>
      <c r="J6752" t="s">
        <v>28879</v>
      </c>
      <c r="K6752" t="s">
        <v>37205</v>
      </c>
      <c r="M6752" t="s">
        <v>39846</v>
      </c>
      <c r="N6752" t="s">
        <v>41249</v>
      </c>
      <c r="O6752" t="s">
        <v>41250</v>
      </c>
      <c r="P6752">
        <v>0</v>
      </c>
      <c r="Q6752">
        <v>7</v>
      </c>
      <c r="R6752" t="s">
        <v>41257</v>
      </c>
      <c r="S6752" t="s">
        <v>41461</v>
      </c>
      <c r="T6752" t="s">
        <v>42827</v>
      </c>
      <c r="U6752" t="s">
        <v>48782</v>
      </c>
      <c r="W6752" t="s">
        <v>39846</v>
      </c>
      <c r="X6752" t="s">
        <v>41258</v>
      </c>
    </row>
    <row r="6753" spans="1:24">
      <c r="A6753">
        <f>HYPERLINK("https://www.philgeps.gov.ph/GEPSNONPILOT/Tender/SplashBidNoticeAbstractUI.aspx?menuIndex=3&amp;refID=7068273&amp;Result=3","7068273")</f>
        <v>0</v>
      </c>
      <c r="B6753" t="s">
        <v>2214</v>
      </c>
      <c r="C6753" t="s">
        <v>9817</v>
      </c>
      <c r="D6753" t="s">
        <v>16631</v>
      </c>
      <c r="E6753" t="s">
        <v>22640</v>
      </c>
      <c r="F6753" t="s">
        <v>28669</v>
      </c>
      <c r="G6753" t="s">
        <v>28677</v>
      </c>
      <c r="H6753" t="s">
        <v>9998</v>
      </c>
      <c r="I6753" t="s">
        <v>28739</v>
      </c>
      <c r="J6753" t="s">
        <v>33075</v>
      </c>
      <c r="K6753" t="s">
        <v>37207</v>
      </c>
      <c r="M6753" t="s">
        <v>39866</v>
      </c>
      <c r="N6753" t="s">
        <v>41249</v>
      </c>
      <c r="O6753" t="s">
        <v>41250</v>
      </c>
      <c r="P6753">
        <v>0</v>
      </c>
      <c r="Q6753">
        <v>6</v>
      </c>
      <c r="R6753" t="s">
        <v>41257</v>
      </c>
      <c r="S6753" t="s">
        <v>41461</v>
      </c>
      <c r="T6753" t="s">
        <v>42727</v>
      </c>
      <c r="U6753" t="s">
        <v>48783</v>
      </c>
      <c r="V6753" t="s">
        <v>55044</v>
      </c>
      <c r="W6753" t="s">
        <v>39866</v>
      </c>
      <c r="X6753" t="s">
        <v>41258</v>
      </c>
    </row>
    <row r="6754" spans="1:24">
      <c r="A6754">
        <f>HYPERLINK("https://www.philgeps.gov.ph/GEPSNONPILOT/Tender/SplashBidNoticeAbstractUI.aspx?menuIndex=3&amp;refID=7068282&amp;Result=3","7068282")</f>
        <v>0</v>
      </c>
      <c r="B6754" t="s">
        <v>385</v>
      </c>
      <c r="C6754" t="s">
        <v>9818</v>
      </c>
      <c r="E6754" t="s">
        <v>16984</v>
      </c>
      <c r="F6754" t="s">
        <v>28669</v>
      </c>
      <c r="G6754" t="s">
        <v>28675</v>
      </c>
      <c r="H6754" t="s">
        <v>9998</v>
      </c>
      <c r="I6754" t="s">
        <v>28695</v>
      </c>
      <c r="J6754" t="s">
        <v>28826</v>
      </c>
      <c r="K6754" t="s">
        <v>37209</v>
      </c>
      <c r="M6754" t="s">
        <v>37869</v>
      </c>
      <c r="N6754" t="s">
        <v>41249</v>
      </c>
      <c r="O6754" t="s">
        <v>41250</v>
      </c>
      <c r="P6754">
        <v>0</v>
      </c>
      <c r="Q6754">
        <v>0</v>
      </c>
      <c r="R6754" t="s">
        <v>41257</v>
      </c>
      <c r="S6754" t="s">
        <v>41461</v>
      </c>
      <c r="T6754" t="s">
        <v>42736</v>
      </c>
      <c r="U6754" t="s">
        <v>43865</v>
      </c>
      <c r="W6754" t="s">
        <v>37869</v>
      </c>
      <c r="X6754" t="s">
        <v>41258</v>
      </c>
    </row>
    <row r="6755" spans="1:24">
      <c r="A6755">
        <f>HYPERLINK("https://www.philgeps.gov.ph/GEPSNONPILOT/Tender/SplashBidNoticeAbstractUI.aspx?menuIndex=3&amp;refID=7068195&amp;Result=3","7068195")</f>
        <v>0</v>
      </c>
      <c r="B6755" t="s">
        <v>2201</v>
      </c>
      <c r="C6755" t="s">
        <v>9819</v>
      </c>
      <c r="D6755" t="s">
        <v>16672</v>
      </c>
      <c r="E6755" t="s">
        <v>22641</v>
      </c>
      <c r="F6755" t="s">
        <v>28669</v>
      </c>
      <c r="G6755" t="s">
        <v>28675</v>
      </c>
      <c r="H6755" t="s">
        <v>28686</v>
      </c>
      <c r="I6755" t="s">
        <v>28689</v>
      </c>
      <c r="J6755" t="s">
        <v>30702</v>
      </c>
      <c r="K6755" t="s">
        <v>37215</v>
      </c>
      <c r="M6755" t="s">
        <v>39851</v>
      </c>
      <c r="N6755" t="s">
        <v>41249</v>
      </c>
      <c r="O6755" t="s">
        <v>41250</v>
      </c>
      <c r="P6755">
        <v>0</v>
      </c>
      <c r="Q6755">
        <v>1</v>
      </c>
      <c r="R6755" t="s">
        <v>41257</v>
      </c>
      <c r="S6755" t="s">
        <v>41461</v>
      </c>
      <c r="T6755" t="s">
        <v>42660</v>
      </c>
      <c r="U6755" t="s">
        <v>48759</v>
      </c>
      <c r="W6755" t="s">
        <v>39851</v>
      </c>
      <c r="X6755" t="s">
        <v>41258</v>
      </c>
    </row>
    <row r="6756" spans="1:24">
      <c r="A6756">
        <f>HYPERLINK("https://www.philgeps.gov.ph/GEPSNONPILOT/Tender/SplashBidNoticeAbstractUI.aspx?menuIndex=3&amp;refID=7068113&amp;Result=3","7068113")</f>
        <v>0</v>
      </c>
      <c r="B6756" t="s">
        <v>2215</v>
      </c>
      <c r="C6756" t="s">
        <v>9820</v>
      </c>
      <c r="D6756" t="s">
        <v>16639</v>
      </c>
      <c r="E6756" t="s">
        <v>22642</v>
      </c>
      <c r="F6756" t="s">
        <v>28669</v>
      </c>
      <c r="G6756" t="s">
        <v>28676</v>
      </c>
      <c r="H6756" t="s">
        <v>9998</v>
      </c>
      <c r="I6756" t="s">
        <v>28756</v>
      </c>
      <c r="J6756" t="s">
        <v>33076</v>
      </c>
      <c r="K6756" t="s">
        <v>37301</v>
      </c>
      <c r="M6756" t="s">
        <v>39867</v>
      </c>
      <c r="N6756" t="s">
        <v>41249</v>
      </c>
      <c r="O6756" t="s">
        <v>41250</v>
      </c>
      <c r="P6756">
        <v>0</v>
      </c>
      <c r="Q6756">
        <v>0</v>
      </c>
      <c r="R6756" t="s">
        <v>41257</v>
      </c>
      <c r="S6756" t="s">
        <v>41461</v>
      </c>
      <c r="T6756" t="s">
        <v>42734</v>
      </c>
      <c r="U6756" t="s">
        <v>48784</v>
      </c>
      <c r="W6756" t="s">
        <v>39867</v>
      </c>
      <c r="X6756" t="s">
        <v>41258</v>
      </c>
    </row>
    <row r="6757" spans="1:24">
      <c r="A6757">
        <f>HYPERLINK("https://www.philgeps.gov.ph/GEPSNONPILOT/Tender/SplashBidNoticeAbstractUI.aspx?menuIndex=3&amp;refID=7068280&amp;Result=3","7068280")</f>
        <v>0</v>
      </c>
      <c r="B6757" t="s">
        <v>694</v>
      </c>
      <c r="C6757" t="s">
        <v>9821</v>
      </c>
      <c r="D6757" t="s">
        <v>16686</v>
      </c>
      <c r="E6757" t="s">
        <v>22643</v>
      </c>
      <c r="F6757" t="s">
        <v>28669</v>
      </c>
      <c r="G6757" t="s">
        <v>28675</v>
      </c>
      <c r="H6757" t="s">
        <v>9998</v>
      </c>
      <c r="I6757" t="s">
        <v>28695</v>
      </c>
      <c r="J6757" t="s">
        <v>33077</v>
      </c>
      <c r="K6757" t="s">
        <v>37210</v>
      </c>
      <c r="M6757" t="s">
        <v>38199</v>
      </c>
      <c r="N6757" t="s">
        <v>41249</v>
      </c>
      <c r="O6757" t="s">
        <v>41250</v>
      </c>
      <c r="P6757">
        <v>0</v>
      </c>
      <c r="Q6757">
        <v>0</v>
      </c>
      <c r="R6757" t="s">
        <v>41257</v>
      </c>
      <c r="S6757" t="s">
        <v>41461</v>
      </c>
      <c r="T6757" t="s">
        <v>42701</v>
      </c>
      <c r="U6757" t="s">
        <v>48785</v>
      </c>
      <c r="V6757" t="s">
        <v>54428</v>
      </c>
      <c r="W6757" t="s">
        <v>38199</v>
      </c>
      <c r="X6757" t="s">
        <v>41258</v>
      </c>
    </row>
    <row r="6758" spans="1:24">
      <c r="A6758">
        <f>HYPERLINK("https://www.philgeps.gov.ph/GEPSNONPILOT/Tender/SplashBidNoticeAbstractUI.aspx?menuIndex=3&amp;refID=7068276&amp;Result=3","7068276")</f>
        <v>0</v>
      </c>
      <c r="B6758" t="s">
        <v>2216</v>
      </c>
      <c r="C6758" t="s">
        <v>9822</v>
      </c>
      <c r="D6758" t="s">
        <v>16615</v>
      </c>
      <c r="E6758" t="s">
        <v>17445</v>
      </c>
      <c r="F6758" t="s">
        <v>28669</v>
      </c>
      <c r="G6758" t="s">
        <v>28676</v>
      </c>
      <c r="H6758" t="s">
        <v>9998</v>
      </c>
      <c r="I6758" t="s">
        <v>28699</v>
      </c>
      <c r="J6758" t="s">
        <v>29134</v>
      </c>
      <c r="K6758" t="s">
        <v>37206</v>
      </c>
      <c r="M6758" t="s">
        <v>39868</v>
      </c>
      <c r="N6758" t="s">
        <v>41249</v>
      </c>
      <c r="O6758" t="s">
        <v>41250</v>
      </c>
      <c r="P6758">
        <v>0</v>
      </c>
      <c r="Q6758">
        <v>6</v>
      </c>
      <c r="R6758" t="s">
        <v>41257</v>
      </c>
      <c r="S6758" t="s">
        <v>41461</v>
      </c>
      <c r="T6758" t="s">
        <v>42743</v>
      </c>
      <c r="U6758" t="s">
        <v>48786</v>
      </c>
      <c r="V6758" t="s">
        <v>55045</v>
      </c>
      <c r="W6758" t="s">
        <v>39868</v>
      </c>
      <c r="X6758" t="s">
        <v>41258</v>
      </c>
    </row>
    <row r="6759" spans="1:24">
      <c r="A6759">
        <f>HYPERLINK("https://www.philgeps.gov.ph/GEPSNONPILOT/Tender/SplashBidNoticeAbstractUI.aspx?menuIndex=3&amp;refID=7068272&amp;Result=3","7068272")</f>
        <v>0</v>
      </c>
      <c r="B6759" t="s">
        <v>2217</v>
      </c>
      <c r="C6759" t="s">
        <v>9823</v>
      </c>
      <c r="D6759" t="s">
        <v>16616</v>
      </c>
      <c r="E6759" t="s">
        <v>17028</v>
      </c>
      <c r="F6759" t="s">
        <v>28669</v>
      </c>
      <c r="G6759" t="s">
        <v>28675</v>
      </c>
      <c r="H6759" t="s">
        <v>28686</v>
      </c>
      <c r="I6759" t="s">
        <v>28689</v>
      </c>
      <c r="J6759" t="s">
        <v>33078</v>
      </c>
      <c r="K6759" t="s">
        <v>37221</v>
      </c>
      <c r="M6759" t="s">
        <v>39869</v>
      </c>
      <c r="N6759" t="s">
        <v>41249</v>
      </c>
      <c r="O6759" t="s">
        <v>41250</v>
      </c>
      <c r="P6759">
        <v>0</v>
      </c>
      <c r="Q6759">
        <v>0</v>
      </c>
      <c r="R6759" t="s">
        <v>41257</v>
      </c>
      <c r="S6759" t="s">
        <v>41461</v>
      </c>
      <c r="T6759" t="s">
        <v>43003</v>
      </c>
      <c r="U6759" t="s">
        <v>48787</v>
      </c>
      <c r="W6759" t="s">
        <v>39869</v>
      </c>
      <c r="X6759" t="s">
        <v>41258</v>
      </c>
    </row>
    <row r="6760" spans="1:24">
      <c r="A6760">
        <f>HYPERLINK("https://www.philgeps.gov.ph/GEPSNONPILOT/Tender/SplashBidNoticeAbstractUI.aspx?menuIndex=3&amp;refID=7068271&amp;Result=3","7068271")</f>
        <v>0</v>
      </c>
      <c r="B6760" t="s">
        <v>2218</v>
      </c>
      <c r="C6760" t="s">
        <v>9824</v>
      </c>
      <c r="D6760" t="s">
        <v>16650</v>
      </c>
      <c r="E6760" t="s">
        <v>21230</v>
      </c>
      <c r="F6760" t="s">
        <v>28669</v>
      </c>
      <c r="G6760" t="s">
        <v>28675</v>
      </c>
      <c r="H6760" t="s">
        <v>9998</v>
      </c>
      <c r="I6760" t="s">
        <v>28743</v>
      </c>
      <c r="J6760" t="s">
        <v>33079</v>
      </c>
      <c r="K6760" t="s">
        <v>37206</v>
      </c>
      <c r="M6760" t="s">
        <v>39870</v>
      </c>
      <c r="N6760" t="s">
        <v>41249</v>
      </c>
      <c r="O6760" t="s">
        <v>41250</v>
      </c>
      <c r="P6760">
        <v>0</v>
      </c>
      <c r="Q6760">
        <v>0</v>
      </c>
      <c r="R6760" t="s">
        <v>41257</v>
      </c>
      <c r="S6760" t="s">
        <v>41461</v>
      </c>
      <c r="T6760" t="s">
        <v>42838</v>
      </c>
      <c r="U6760" t="s">
        <v>48788</v>
      </c>
      <c r="W6760" t="s">
        <v>39870</v>
      </c>
      <c r="X6760" t="s">
        <v>41258</v>
      </c>
    </row>
    <row r="6761" spans="1:24">
      <c r="A6761">
        <f>HYPERLINK("https://www.philgeps.gov.ph/GEPSNONPILOT/Tender/SplashBidNoticeAbstractUI.aspx?menuIndex=3&amp;refID=7068270&amp;Result=3","7068270")</f>
        <v>0</v>
      </c>
      <c r="B6761" t="s">
        <v>2189</v>
      </c>
      <c r="C6761" t="s">
        <v>9825</v>
      </c>
      <c r="D6761" t="s">
        <v>16621</v>
      </c>
      <c r="E6761" t="s">
        <v>22644</v>
      </c>
      <c r="F6761" t="s">
        <v>28669</v>
      </c>
      <c r="G6761" t="s">
        <v>28675</v>
      </c>
      <c r="H6761" t="s">
        <v>28686</v>
      </c>
      <c r="I6761" t="s">
        <v>28689</v>
      </c>
      <c r="J6761" t="s">
        <v>29088</v>
      </c>
      <c r="K6761" t="s">
        <v>37282</v>
      </c>
      <c r="M6761" t="s">
        <v>39839</v>
      </c>
      <c r="N6761" t="s">
        <v>41249</v>
      </c>
      <c r="O6761" t="s">
        <v>41250</v>
      </c>
      <c r="P6761">
        <v>0</v>
      </c>
      <c r="Q6761">
        <v>0</v>
      </c>
      <c r="R6761" t="s">
        <v>41257</v>
      </c>
      <c r="S6761" t="s">
        <v>41461</v>
      </c>
      <c r="T6761" t="s">
        <v>42797</v>
      </c>
      <c r="U6761" t="s">
        <v>48789</v>
      </c>
      <c r="V6761" t="s">
        <v>55046</v>
      </c>
      <c r="W6761" t="s">
        <v>39839</v>
      </c>
      <c r="X6761" t="s">
        <v>41258</v>
      </c>
    </row>
    <row r="6762" spans="1:24">
      <c r="A6762">
        <f>HYPERLINK("https://www.philgeps.gov.ph/GEPSNONPILOT/Tender/SplashBidNoticeAbstractUI.aspx?menuIndex=3&amp;refID=7068268&amp;Result=3","7068268")</f>
        <v>0</v>
      </c>
      <c r="B6762" t="s">
        <v>659</v>
      </c>
      <c r="C6762" t="s">
        <v>9826</v>
      </c>
      <c r="D6762" t="s">
        <v>16643</v>
      </c>
      <c r="E6762" t="s">
        <v>22645</v>
      </c>
      <c r="F6762" t="s">
        <v>28669</v>
      </c>
      <c r="G6762" t="s">
        <v>28676</v>
      </c>
      <c r="H6762" t="s">
        <v>9998</v>
      </c>
      <c r="I6762" t="s">
        <v>3679</v>
      </c>
      <c r="J6762" t="s">
        <v>33080</v>
      </c>
      <c r="K6762" t="s">
        <v>37204</v>
      </c>
      <c r="M6762" t="s">
        <v>38161</v>
      </c>
      <c r="N6762" t="s">
        <v>41249</v>
      </c>
      <c r="O6762" t="s">
        <v>41250</v>
      </c>
      <c r="P6762">
        <v>0</v>
      </c>
      <c r="Q6762">
        <v>0</v>
      </c>
      <c r="R6762" t="s">
        <v>41257</v>
      </c>
      <c r="S6762" t="s">
        <v>41461</v>
      </c>
      <c r="T6762" t="s">
        <v>42736</v>
      </c>
      <c r="U6762" t="s">
        <v>48732</v>
      </c>
      <c r="W6762" t="s">
        <v>55925</v>
      </c>
      <c r="X6762" t="s">
        <v>41258</v>
      </c>
    </row>
    <row r="6763" spans="1:24">
      <c r="A6763">
        <f>HYPERLINK("https://www.philgeps.gov.ph/GEPSNONPILOT/Tender/SplashBidNoticeAbstractUI.aspx?menuIndex=3&amp;refID=7068261&amp;Result=3","7068261")</f>
        <v>0</v>
      </c>
      <c r="B6763" t="s">
        <v>2219</v>
      </c>
      <c r="C6763" t="s">
        <v>9827</v>
      </c>
      <c r="D6763" t="s">
        <v>16658</v>
      </c>
      <c r="E6763" t="s">
        <v>22646</v>
      </c>
      <c r="F6763" t="s">
        <v>28669</v>
      </c>
      <c r="G6763" t="s">
        <v>28675</v>
      </c>
      <c r="H6763" t="s">
        <v>28686</v>
      </c>
      <c r="I6763" t="s">
        <v>28689</v>
      </c>
      <c r="J6763" t="s">
        <v>33081</v>
      </c>
      <c r="K6763" t="s">
        <v>37220</v>
      </c>
      <c r="M6763" t="s">
        <v>39871</v>
      </c>
      <c r="N6763" t="s">
        <v>41249</v>
      </c>
      <c r="O6763" t="s">
        <v>41250</v>
      </c>
      <c r="P6763">
        <v>0</v>
      </c>
      <c r="Q6763">
        <v>0</v>
      </c>
      <c r="R6763" t="s">
        <v>41257</v>
      </c>
      <c r="S6763" t="s">
        <v>41461</v>
      </c>
      <c r="T6763" t="s">
        <v>42743</v>
      </c>
      <c r="U6763" t="s">
        <v>48790</v>
      </c>
      <c r="W6763" t="s">
        <v>39871</v>
      </c>
      <c r="X6763" t="s">
        <v>41258</v>
      </c>
    </row>
    <row r="6764" spans="1:24">
      <c r="A6764">
        <f>HYPERLINK("https://www.philgeps.gov.ph/GEPSNONPILOT/Tender/SplashBidNoticeAbstractUI.aspx?menuIndex=3&amp;refID=7068277&amp;Result=3","7068277")</f>
        <v>0</v>
      </c>
      <c r="B6764" t="s">
        <v>1433</v>
      </c>
      <c r="C6764" t="s">
        <v>9828</v>
      </c>
      <c r="E6764" t="s">
        <v>22647</v>
      </c>
      <c r="F6764" t="s">
        <v>28669</v>
      </c>
      <c r="G6764" t="s">
        <v>28675</v>
      </c>
      <c r="H6764" t="s">
        <v>9998</v>
      </c>
      <c r="I6764" t="s">
        <v>15140</v>
      </c>
      <c r="J6764" t="s">
        <v>33082</v>
      </c>
      <c r="K6764" t="s">
        <v>37209</v>
      </c>
      <c r="M6764" t="s">
        <v>38997</v>
      </c>
      <c r="N6764" t="s">
        <v>41249</v>
      </c>
      <c r="O6764" t="s">
        <v>41250</v>
      </c>
      <c r="P6764">
        <v>0</v>
      </c>
      <c r="Q6764">
        <v>3</v>
      </c>
      <c r="R6764" t="s">
        <v>41257</v>
      </c>
      <c r="S6764" t="s">
        <v>41461</v>
      </c>
      <c r="T6764" t="s">
        <v>43036</v>
      </c>
      <c r="U6764" t="s">
        <v>48791</v>
      </c>
      <c r="W6764" t="s">
        <v>38997</v>
      </c>
      <c r="X6764" t="s">
        <v>41258</v>
      </c>
    </row>
    <row r="6765" spans="1:24">
      <c r="A6765">
        <f>HYPERLINK("https://www.philgeps.gov.ph/GEPSNONPILOT/Tender/SplashBidNoticeAbstractUI.aspx?menuIndex=3&amp;refID=7068258&amp;Result=3","7068258")</f>
        <v>0</v>
      </c>
      <c r="B6765" t="s">
        <v>447</v>
      </c>
      <c r="C6765" t="s">
        <v>9829</v>
      </c>
      <c r="D6765" t="s">
        <v>16608</v>
      </c>
      <c r="E6765" t="s">
        <v>22648</v>
      </c>
      <c r="F6765" t="s">
        <v>28669</v>
      </c>
      <c r="G6765" t="s">
        <v>28676</v>
      </c>
      <c r="H6765" t="s">
        <v>9998</v>
      </c>
      <c r="I6765" t="s">
        <v>28728</v>
      </c>
      <c r="J6765" t="s">
        <v>33083</v>
      </c>
      <c r="K6765" t="s">
        <v>37209</v>
      </c>
      <c r="M6765" t="s">
        <v>37933</v>
      </c>
      <c r="N6765" t="s">
        <v>41249</v>
      </c>
      <c r="O6765" t="s">
        <v>41250</v>
      </c>
      <c r="P6765">
        <v>0</v>
      </c>
      <c r="Q6765">
        <v>0</v>
      </c>
      <c r="R6765" t="s">
        <v>41257</v>
      </c>
      <c r="S6765" t="s">
        <v>41461</v>
      </c>
      <c r="T6765" t="s">
        <v>42729</v>
      </c>
      <c r="U6765" t="s">
        <v>48792</v>
      </c>
      <c r="W6765" t="s">
        <v>37933</v>
      </c>
      <c r="X6765" t="s">
        <v>41258</v>
      </c>
    </row>
    <row r="6766" spans="1:24">
      <c r="A6766">
        <f>HYPERLINK("https://www.philgeps.gov.ph/GEPSNONPILOT/Tender/SplashBidNoticeAbstractUI.aspx?menuIndex=3&amp;refID=7068252&amp;Result=3","7068252")</f>
        <v>0</v>
      </c>
      <c r="B6766" t="s">
        <v>1522</v>
      </c>
      <c r="C6766" t="s">
        <v>9830</v>
      </c>
      <c r="D6766" t="s">
        <v>16686</v>
      </c>
      <c r="E6766" t="s">
        <v>22649</v>
      </c>
      <c r="F6766" t="s">
        <v>28669</v>
      </c>
      <c r="G6766" t="s">
        <v>28679</v>
      </c>
      <c r="H6766" t="s">
        <v>9998</v>
      </c>
      <c r="I6766" t="s">
        <v>28784</v>
      </c>
      <c r="J6766" t="s">
        <v>28826</v>
      </c>
      <c r="K6766" t="s">
        <v>37210</v>
      </c>
      <c r="M6766" t="s">
        <v>39573</v>
      </c>
      <c r="N6766" t="s">
        <v>41249</v>
      </c>
      <c r="O6766" t="s">
        <v>41250</v>
      </c>
      <c r="P6766">
        <v>0</v>
      </c>
      <c r="Q6766">
        <v>1</v>
      </c>
      <c r="R6766" t="s">
        <v>41257</v>
      </c>
      <c r="S6766" t="s">
        <v>41461</v>
      </c>
      <c r="T6766" t="s">
        <v>42758</v>
      </c>
      <c r="U6766" t="s">
        <v>48793</v>
      </c>
      <c r="W6766" t="s">
        <v>39573</v>
      </c>
      <c r="X6766" t="s">
        <v>41258</v>
      </c>
    </row>
    <row r="6767" spans="1:24">
      <c r="A6767">
        <f>HYPERLINK("https://www.philgeps.gov.ph/GEPSNONPILOT/Tender/SplashBidNoticeAbstractUI.aspx?menuIndex=3&amp;refID=7068249&amp;Result=3","7068249")</f>
        <v>0</v>
      </c>
      <c r="B6767" t="s">
        <v>1976</v>
      </c>
      <c r="C6767" t="s">
        <v>9831</v>
      </c>
      <c r="E6767" t="s">
        <v>22650</v>
      </c>
      <c r="F6767" t="s">
        <v>28669</v>
      </c>
      <c r="G6767" t="s">
        <v>28675</v>
      </c>
      <c r="H6767" t="s">
        <v>28686</v>
      </c>
      <c r="I6767" t="s">
        <v>28689</v>
      </c>
      <c r="J6767" t="s">
        <v>33084</v>
      </c>
      <c r="K6767" t="s">
        <v>37209</v>
      </c>
      <c r="M6767" t="s">
        <v>39610</v>
      </c>
      <c r="N6767" t="s">
        <v>41249</v>
      </c>
      <c r="O6767" t="s">
        <v>41250</v>
      </c>
      <c r="P6767">
        <v>0</v>
      </c>
      <c r="Q6767">
        <v>13</v>
      </c>
      <c r="R6767" t="s">
        <v>41257</v>
      </c>
      <c r="S6767" t="s">
        <v>41461</v>
      </c>
      <c r="T6767" t="s">
        <v>42782</v>
      </c>
      <c r="U6767" t="s">
        <v>48752</v>
      </c>
      <c r="W6767" t="s">
        <v>55982</v>
      </c>
      <c r="X6767" t="s">
        <v>41258</v>
      </c>
    </row>
    <row r="6768" spans="1:24">
      <c r="A6768">
        <f>HYPERLINK("https://www.philgeps.gov.ph/GEPSNONPILOT/Tender/SplashBidNoticeAbstractUI.aspx?menuIndex=3&amp;refID=7068242&amp;Result=3","7068242")</f>
        <v>0</v>
      </c>
      <c r="B6768" t="s">
        <v>197</v>
      </c>
      <c r="C6768" t="s">
        <v>9832</v>
      </c>
      <c r="D6768" t="s">
        <v>16609</v>
      </c>
      <c r="E6768" t="s">
        <v>22651</v>
      </c>
      <c r="F6768" t="s">
        <v>28669</v>
      </c>
      <c r="G6768" t="s">
        <v>28682</v>
      </c>
      <c r="H6768" t="s">
        <v>28685</v>
      </c>
      <c r="I6768" t="s">
        <v>28685</v>
      </c>
      <c r="J6768" t="s">
        <v>33085</v>
      </c>
      <c r="K6768" t="s">
        <v>37221</v>
      </c>
      <c r="M6768" t="s">
        <v>37675</v>
      </c>
      <c r="N6768" t="s">
        <v>41249</v>
      </c>
      <c r="O6768" t="s">
        <v>41250</v>
      </c>
      <c r="P6768">
        <v>0</v>
      </c>
      <c r="Q6768">
        <v>3</v>
      </c>
      <c r="R6768" t="s">
        <v>41257</v>
      </c>
      <c r="S6768" t="s">
        <v>41461</v>
      </c>
      <c r="T6768" t="s">
        <v>42736</v>
      </c>
      <c r="U6768" t="s">
        <v>48794</v>
      </c>
      <c r="W6768" t="s">
        <v>37675</v>
      </c>
      <c r="X6768" t="s">
        <v>41258</v>
      </c>
    </row>
    <row r="6769" spans="1:24">
      <c r="A6769">
        <f>HYPERLINK("https://www.philgeps.gov.ph/GEPSNONPILOT/Tender/SplashBidNoticeAbstractUI.aspx?menuIndex=3&amp;refID=7068183&amp;Result=3","7068183")</f>
        <v>0</v>
      </c>
      <c r="B6769" t="s">
        <v>1522</v>
      </c>
      <c r="C6769" t="s">
        <v>9833</v>
      </c>
      <c r="D6769" t="s">
        <v>16686</v>
      </c>
      <c r="E6769" t="s">
        <v>22652</v>
      </c>
      <c r="F6769" t="s">
        <v>28669</v>
      </c>
      <c r="G6769" t="s">
        <v>28675</v>
      </c>
      <c r="H6769" t="s">
        <v>9998</v>
      </c>
      <c r="I6769" t="s">
        <v>28697</v>
      </c>
      <c r="J6769" t="s">
        <v>33086</v>
      </c>
      <c r="K6769" t="s">
        <v>37210</v>
      </c>
      <c r="M6769" t="s">
        <v>39573</v>
      </c>
      <c r="N6769" t="s">
        <v>41249</v>
      </c>
      <c r="O6769" t="s">
        <v>41250</v>
      </c>
      <c r="P6769">
        <v>0</v>
      </c>
      <c r="Q6769">
        <v>0</v>
      </c>
      <c r="R6769" t="s">
        <v>41257</v>
      </c>
      <c r="S6769" t="s">
        <v>41461</v>
      </c>
      <c r="T6769" t="s">
        <v>42663</v>
      </c>
      <c r="U6769" t="s">
        <v>48795</v>
      </c>
      <c r="W6769" t="s">
        <v>39573</v>
      </c>
      <c r="X6769" t="s">
        <v>41258</v>
      </c>
    </row>
    <row r="6770" spans="1:24">
      <c r="A6770">
        <f>HYPERLINK("https://www.philgeps.gov.ph/GEPSNONPILOT/Tender/SplashBidNoticeAbstractUI.aspx?menuIndex=3&amp;refID=7068240&amp;Result=3","7068240")</f>
        <v>0</v>
      </c>
      <c r="B6770" t="s">
        <v>2206</v>
      </c>
      <c r="C6770" t="s">
        <v>9834</v>
      </c>
      <c r="D6770" t="s">
        <v>16666</v>
      </c>
      <c r="E6770" t="s">
        <v>22653</v>
      </c>
      <c r="F6770" t="s">
        <v>28669</v>
      </c>
      <c r="G6770" t="s">
        <v>28676</v>
      </c>
      <c r="H6770" t="s">
        <v>9998</v>
      </c>
      <c r="I6770" t="s">
        <v>5286</v>
      </c>
      <c r="J6770" t="s">
        <v>30406</v>
      </c>
      <c r="K6770" t="s">
        <v>37243</v>
      </c>
      <c r="M6770" t="s">
        <v>39856</v>
      </c>
      <c r="N6770" t="s">
        <v>41249</v>
      </c>
      <c r="O6770" t="s">
        <v>41250</v>
      </c>
      <c r="P6770">
        <v>0</v>
      </c>
      <c r="Q6770">
        <v>0</v>
      </c>
      <c r="R6770" t="s">
        <v>41257</v>
      </c>
      <c r="S6770" t="s">
        <v>41461</v>
      </c>
      <c r="T6770" t="s">
        <v>42665</v>
      </c>
      <c r="U6770" t="s">
        <v>48767</v>
      </c>
      <c r="W6770" t="s">
        <v>39856</v>
      </c>
      <c r="X6770" t="s">
        <v>41258</v>
      </c>
    </row>
    <row r="6771" spans="1:24">
      <c r="A6771">
        <f>HYPERLINK("https://www.philgeps.gov.ph/GEPSNONPILOT/Tender/SplashBidNoticeAbstractUI.aspx?menuIndex=3&amp;refID=7068234&amp;Result=3","7068234")</f>
        <v>0</v>
      </c>
      <c r="B6771" t="s">
        <v>447</v>
      </c>
      <c r="C6771" t="s">
        <v>9835</v>
      </c>
      <c r="D6771" t="s">
        <v>16608</v>
      </c>
      <c r="E6771" t="s">
        <v>22654</v>
      </c>
      <c r="F6771" t="s">
        <v>28669</v>
      </c>
      <c r="G6771" t="s">
        <v>28676</v>
      </c>
      <c r="H6771" t="s">
        <v>9998</v>
      </c>
      <c r="I6771" t="s">
        <v>28711</v>
      </c>
      <c r="J6771" t="s">
        <v>33087</v>
      </c>
      <c r="K6771" t="s">
        <v>37209</v>
      </c>
      <c r="M6771" t="s">
        <v>37933</v>
      </c>
      <c r="N6771" t="s">
        <v>41249</v>
      </c>
      <c r="O6771" t="s">
        <v>41250</v>
      </c>
      <c r="P6771">
        <v>0</v>
      </c>
      <c r="Q6771">
        <v>1</v>
      </c>
      <c r="R6771" t="s">
        <v>41257</v>
      </c>
      <c r="S6771" t="s">
        <v>41461</v>
      </c>
      <c r="T6771" t="s">
        <v>42729</v>
      </c>
      <c r="U6771" t="s">
        <v>48796</v>
      </c>
      <c r="W6771" t="s">
        <v>37933</v>
      </c>
      <c r="X6771" t="s">
        <v>41258</v>
      </c>
    </row>
    <row r="6772" spans="1:24">
      <c r="A6772">
        <f>HYPERLINK("https://www.philgeps.gov.ph/GEPSNONPILOT/Tender/SplashBidNoticeAbstractUI.aspx?menuIndex=3&amp;refID=7068228&amp;Result=3","7068228")</f>
        <v>0</v>
      </c>
      <c r="B6772" t="s">
        <v>1164</v>
      </c>
      <c r="C6772" t="s">
        <v>9836</v>
      </c>
      <c r="D6772" t="s">
        <v>16611</v>
      </c>
      <c r="E6772" t="s">
        <v>22655</v>
      </c>
      <c r="F6772" t="s">
        <v>28669</v>
      </c>
      <c r="G6772" t="s">
        <v>28675</v>
      </c>
      <c r="H6772" t="s">
        <v>28685</v>
      </c>
      <c r="I6772" t="s">
        <v>28685</v>
      </c>
      <c r="J6772" t="s">
        <v>28834</v>
      </c>
      <c r="K6772" t="s">
        <v>37206</v>
      </c>
      <c r="M6772" t="s">
        <v>38703</v>
      </c>
      <c r="N6772" t="s">
        <v>41249</v>
      </c>
      <c r="O6772" t="s">
        <v>41250</v>
      </c>
      <c r="P6772">
        <v>0</v>
      </c>
      <c r="Q6772">
        <v>1</v>
      </c>
      <c r="R6772" t="s">
        <v>41257</v>
      </c>
      <c r="S6772" t="s">
        <v>41461</v>
      </c>
      <c r="T6772" t="s">
        <v>42748</v>
      </c>
      <c r="U6772" t="s">
        <v>45590</v>
      </c>
      <c r="V6772" t="s">
        <v>54589</v>
      </c>
      <c r="W6772" t="s">
        <v>38703</v>
      </c>
      <c r="X6772" t="s">
        <v>41258</v>
      </c>
    </row>
    <row r="6773" spans="1:24">
      <c r="A6773">
        <f>HYPERLINK("https://www.philgeps.gov.ph/GEPSNONPILOT/Tender/SplashBidNoticeAbstractUI.aspx?menuIndex=3&amp;refID=7068181&amp;Result=3","7068181")</f>
        <v>0</v>
      </c>
      <c r="B6773" t="s">
        <v>447</v>
      </c>
      <c r="C6773" t="s">
        <v>9837</v>
      </c>
      <c r="D6773" t="s">
        <v>16608</v>
      </c>
      <c r="E6773" t="s">
        <v>22656</v>
      </c>
      <c r="F6773" t="s">
        <v>28669</v>
      </c>
      <c r="G6773" t="s">
        <v>28676</v>
      </c>
      <c r="H6773" t="s">
        <v>9998</v>
      </c>
      <c r="I6773" t="s">
        <v>3718</v>
      </c>
      <c r="J6773" t="s">
        <v>33088</v>
      </c>
      <c r="K6773" t="s">
        <v>37209</v>
      </c>
      <c r="M6773" t="s">
        <v>37933</v>
      </c>
      <c r="N6773" t="s">
        <v>41249</v>
      </c>
      <c r="O6773" t="s">
        <v>41250</v>
      </c>
      <c r="P6773">
        <v>0</v>
      </c>
      <c r="Q6773">
        <v>4</v>
      </c>
      <c r="R6773" t="s">
        <v>41257</v>
      </c>
      <c r="S6773" t="s">
        <v>41461</v>
      </c>
      <c r="T6773" t="s">
        <v>42729</v>
      </c>
      <c r="U6773" t="s">
        <v>48797</v>
      </c>
      <c r="W6773" t="s">
        <v>37933</v>
      </c>
      <c r="X6773" t="s">
        <v>41258</v>
      </c>
    </row>
    <row r="6774" spans="1:24">
      <c r="A6774">
        <f>HYPERLINK("https://www.philgeps.gov.ph/GEPSNONPILOT/Tender/SplashBidNoticeAbstractUI.aspx?menuIndex=3&amp;refID=7068143&amp;Result=3","7068143")</f>
        <v>0</v>
      </c>
      <c r="B6774" t="s">
        <v>2206</v>
      </c>
      <c r="C6774" t="s">
        <v>9838</v>
      </c>
      <c r="D6774" t="s">
        <v>16666</v>
      </c>
      <c r="E6774" t="s">
        <v>17140</v>
      </c>
      <c r="F6774" t="s">
        <v>28669</v>
      </c>
      <c r="G6774" t="s">
        <v>28676</v>
      </c>
      <c r="H6774" t="s">
        <v>28684</v>
      </c>
      <c r="I6774" t="s">
        <v>28731</v>
      </c>
      <c r="J6774" t="s">
        <v>29225</v>
      </c>
      <c r="K6774" t="s">
        <v>37243</v>
      </c>
      <c r="M6774" t="s">
        <v>39856</v>
      </c>
      <c r="N6774" t="s">
        <v>41249</v>
      </c>
      <c r="O6774" t="s">
        <v>41250</v>
      </c>
      <c r="P6774">
        <v>0</v>
      </c>
      <c r="Q6774">
        <v>0</v>
      </c>
      <c r="R6774" t="s">
        <v>41257</v>
      </c>
      <c r="S6774" t="s">
        <v>41461</v>
      </c>
      <c r="T6774" t="s">
        <v>42758</v>
      </c>
      <c r="U6774" t="s">
        <v>48767</v>
      </c>
      <c r="W6774" t="s">
        <v>39856</v>
      </c>
      <c r="X6774" t="s">
        <v>41258</v>
      </c>
    </row>
    <row r="6775" spans="1:24">
      <c r="A6775">
        <f>HYPERLINK("https://www.philgeps.gov.ph/GEPSNONPILOT/Tender/SplashBidNoticeAbstractUI.aspx?menuIndex=3&amp;refID=7068138&amp;Result=3","7068138")</f>
        <v>0</v>
      </c>
      <c r="B6775" t="s">
        <v>1976</v>
      </c>
      <c r="C6775" t="s">
        <v>9839</v>
      </c>
      <c r="E6775" t="s">
        <v>22657</v>
      </c>
      <c r="F6775" t="s">
        <v>28669</v>
      </c>
      <c r="G6775" t="s">
        <v>28675</v>
      </c>
      <c r="H6775" t="s">
        <v>28686</v>
      </c>
      <c r="I6775" t="s">
        <v>28689</v>
      </c>
      <c r="J6775" t="s">
        <v>33054</v>
      </c>
      <c r="K6775" t="s">
        <v>37209</v>
      </c>
      <c r="M6775" t="s">
        <v>39610</v>
      </c>
      <c r="N6775" t="s">
        <v>41249</v>
      </c>
      <c r="O6775" t="s">
        <v>41250</v>
      </c>
      <c r="P6775">
        <v>0</v>
      </c>
      <c r="Q6775">
        <v>19</v>
      </c>
      <c r="R6775" t="s">
        <v>41257</v>
      </c>
      <c r="S6775" t="s">
        <v>41461</v>
      </c>
      <c r="T6775" t="s">
        <v>42747</v>
      </c>
      <c r="U6775" t="s">
        <v>48752</v>
      </c>
      <c r="W6775" t="s">
        <v>55982</v>
      </c>
      <c r="X6775" t="s">
        <v>41258</v>
      </c>
    </row>
    <row r="6776" spans="1:24">
      <c r="A6776">
        <f>HYPERLINK("https://www.philgeps.gov.ph/GEPSNONPILOT/Tender/SplashBidNoticeAbstractUI.aspx?menuIndex=3&amp;refID=7068134&amp;Result=3","7068134")</f>
        <v>0</v>
      </c>
      <c r="B6776" t="s">
        <v>447</v>
      </c>
      <c r="C6776" t="s">
        <v>9840</v>
      </c>
      <c r="D6776" t="s">
        <v>16608</v>
      </c>
      <c r="E6776" t="s">
        <v>22658</v>
      </c>
      <c r="F6776" t="s">
        <v>28669</v>
      </c>
      <c r="G6776" t="s">
        <v>28676</v>
      </c>
      <c r="H6776" t="s">
        <v>9998</v>
      </c>
      <c r="I6776" t="s">
        <v>6458</v>
      </c>
      <c r="J6776" t="s">
        <v>33089</v>
      </c>
      <c r="K6776" t="s">
        <v>37209</v>
      </c>
      <c r="M6776" t="s">
        <v>37933</v>
      </c>
      <c r="N6776" t="s">
        <v>41249</v>
      </c>
      <c r="O6776" t="s">
        <v>41250</v>
      </c>
      <c r="P6776">
        <v>0</v>
      </c>
      <c r="Q6776">
        <v>4</v>
      </c>
      <c r="R6776" t="s">
        <v>41257</v>
      </c>
      <c r="S6776" t="s">
        <v>41461</v>
      </c>
      <c r="T6776" t="s">
        <v>42729</v>
      </c>
      <c r="U6776" t="s">
        <v>48798</v>
      </c>
      <c r="W6776" t="s">
        <v>37933</v>
      </c>
      <c r="X6776" t="s">
        <v>41258</v>
      </c>
    </row>
    <row r="6777" spans="1:24">
      <c r="A6777">
        <f>HYPERLINK("https://www.philgeps.gov.ph/GEPSNONPILOT/Tender/SplashBidNoticeAbstractUI.aspx?menuIndex=3&amp;refID=7068127&amp;Result=3","7068127")</f>
        <v>0</v>
      </c>
      <c r="B6777" t="s">
        <v>2188</v>
      </c>
      <c r="C6777" t="s">
        <v>9841</v>
      </c>
      <c r="D6777" t="s">
        <v>16616</v>
      </c>
      <c r="E6777" t="s">
        <v>22659</v>
      </c>
      <c r="F6777" t="s">
        <v>28669</v>
      </c>
      <c r="G6777" t="s">
        <v>28675</v>
      </c>
      <c r="H6777" t="s">
        <v>9998</v>
      </c>
      <c r="I6777" t="s">
        <v>7352</v>
      </c>
      <c r="J6777" t="s">
        <v>33090</v>
      </c>
      <c r="K6777" t="s">
        <v>37210</v>
      </c>
      <c r="M6777" t="s">
        <v>39838</v>
      </c>
      <c r="N6777" t="s">
        <v>41249</v>
      </c>
      <c r="O6777" t="s">
        <v>41250</v>
      </c>
      <c r="P6777">
        <v>0</v>
      </c>
      <c r="Q6777">
        <v>0</v>
      </c>
      <c r="R6777" t="s">
        <v>41257</v>
      </c>
      <c r="S6777" t="s">
        <v>41461</v>
      </c>
      <c r="T6777" t="s">
        <v>42675</v>
      </c>
      <c r="U6777" t="s">
        <v>48768</v>
      </c>
      <c r="W6777" t="s">
        <v>39838</v>
      </c>
      <c r="X6777" t="s">
        <v>41258</v>
      </c>
    </row>
    <row r="6778" spans="1:24">
      <c r="A6778">
        <f>HYPERLINK("https://www.philgeps.gov.ph/GEPSNONPILOT/Tender/SplashBidNoticeAbstractUI.aspx?menuIndex=3&amp;refID=7068093&amp;Result=3","7068093")</f>
        <v>0</v>
      </c>
      <c r="B6778" t="s">
        <v>1438</v>
      </c>
      <c r="C6778" t="s">
        <v>9842</v>
      </c>
      <c r="D6778" t="s">
        <v>16609</v>
      </c>
      <c r="E6778" t="s">
        <v>22660</v>
      </c>
      <c r="F6778" t="s">
        <v>28669</v>
      </c>
      <c r="G6778" t="s">
        <v>28676</v>
      </c>
      <c r="H6778" t="s">
        <v>9998</v>
      </c>
      <c r="I6778" t="s">
        <v>7352</v>
      </c>
      <c r="J6778" t="s">
        <v>33091</v>
      </c>
      <c r="K6778" t="s">
        <v>37204</v>
      </c>
      <c r="M6778" t="s">
        <v>39002</v>
      </c>
      <c r="N6778" t="s">
        <v>41249</v>
      </c>
      <c r="O6778" t="s">
        <v>41250</v>
      </c>
      <c r="P6778">
        <v>0</v>
      </c>
      <c r="Q6778">
        <v>1</v>
      </c>
      <c r="R6778" t="s">
        <v>41257</v>
      </c>
      <c r="S6778" t="s">
        <v>41461</v>
      </c>
      <c r="T6778" t="s">
        <v>42736</v>
      </c>
      <c r="U6778" t="s">
        <v>48799</v>
      </c>
      <c r="V6778" t="s">
        <v>55047</v>
      </c>
      <c r="W6778" t="s">
        <v>39002</v>
      </c>
      <c r="X6778" t="s">
        <v>41258</v>
      </c>
    </row>
    <row r="6779" spans="1:24">
      <c r="A6779">
        <f>HYPERLINK("https://www.philgeps.gov.ph/GEPSNONPILOT/Tender/SplashBidNoticeAbstractUI.aspx?menuIndex=3&amp;refID=7068092&amp;Result=3","7068092")</f>
        <v>0</v>
      </c>
      <c r="B6779" t="s">
        <v>2220</v>
      </c>
      <c r="C6779" t="s">
        <v>9843</v>
      </c>
      <c r="D6779" t="s">
        <v>16657</v>
      </c>
      <c r="E6779" t="s">
        <v>22661</v>
      </c>
      <c r="F6779" t="s">
        <v>28669</v>
      </c>
      <c r="G6779" t="s">
        <v>28677</v>
      </c>
      <c r="H6779" t="s">
        <v>9998</v>
      </c>
      <c r="I6779" t="s">
        <v>28722</v>
      </c>
      <c r="J6779" t="s">
        <v>29712</v>
      </c>
      <c r="K6779" t="s">
        <v>37205</v>
      </c>
      <c r="L6779" t="s">
        <v>2220</v>
      </c>
      <c r="M6779" t="s">
        <v>39872</v>
      </c>
      <c r="N6779" t="s">
        <v>41249</v>
      </c>
      <c r="O6779" t="s">
        <v>41250</v>
      </c>
      <c r="P6779">
        <v>0</v>
      </c>
      <c r="Q6779">
        <v>0</v>
      </c>
      <c r="R6779" t="s">
        <v>41257</v>
      </c>
      <c r="S6779" t="s">
        <v>41461</v>
      </c>
      <c r="T6779" t="s">
        <v>42729</v>
      </c>
      <c r="U6779" t="s">
        <v>48800</v>
      </c>
      <c r="W6779" t="s">
        <v>39872</v>
      </c>
      <c r="X6779" t="s">
        <v>41258</v>
      </c>
    </row>
    <row r="6780" spans="1:24">
      <c r="A6780">
        <f>HYPERLINK("https://www.philgeps.gov.ph/GEPSNONPILOT/Tender/SplashBidNoticeAbstractUI.aspx?menuIndex=3&amp;refID=7068087&amp;Result=3","7068087")</f>
        <v>0</v>
      </c>
      <c r="B6780" t="s">
        <v>2221</v>
      </c>
      <c r="C6780" t="s">
        <v>5192</v>
      </c>
      <c r="D6780" t="s">
        <v>16657</v>
      </c>
      <c r="E6780" t="s">
        <v>22662</v>
      </c>
      <c r="F6780" t="s">
        <v>28669</v>
      </c>
      <c r="G6780" t="s">
        <v>28679</v>
      </c>
      <c r="H6780" t="s">
        <v>9998</v>
      </c>
      <c r="I6780" t="s">
        <v>28689</v>
      </c>
      <c r="J6780" t="s">
        <v>28914</v>
      </c>
      <c r="K6780" t="s">
        <v>37209</v>
      </c>
      <c r="M6780" t="s">
        <v>39873</v>
      </c>
      <c r="N6780" t="s">
        <v>41249</v>
      </c>
      <c r="O6780" t="s">
        <v>41250</v>
      </c>
      <c r="P6780">
        <v>0</v>
      </c>
      <c r="Q6780">
        <v>2</v>
      </c>
      <c r="R6780" t="s">
        <v>41257</v>
      </c>
      <c r="S6780" t="s">
        <v>41461</v>
      </c>
      <c r="T6780" t="s">
        <v>42701</v>
      </c>
      <c r="U6780" t="s">
        <v>48801</v>
      </c>
      <c r="W6780" t="s">
        <v>39873</v>
      </c>
      <c r="X6780" t="s">
        <v>41258</v>
      </c>
    </row>
    <row r="6781" spans="1:24">
      <c r="A6781">
        <f>HYPERLINK("https://www.philgeps.gov.ph/GEPSNONPILOT/Tender/SplashBidNoticeAbstractUI.aspx?menuIndex=3&amp;refID=7068226&amp;Result=3","7068226")</f>
        <v>0</v>
      </c>
      <c r="B6781" t="s">
        <v>1976</v>
      </c>
      <c r="C6781" t="s">
        <v>9844</v>
      </c>
      <c r="E6781" t="s">
        <v>22663</v>
      </c>
      <c r="F6781" t="s">
        <v>28669</v>
      </c>
      <c r="G6781" t="s">
        <v>28675</v>
      </c>
      <c r="H6781" t="s">
        <v>28686</v>
      </c>
      <c r="I6781" t="s">
        <v>28689</v>
      </c>
      <c r="J6781" t="s">
        <v>33092</v>
      </c>
      <c r="K6781" t="s">
        <v>37209</v>
      </c>
      <c r="M6781" t="s">
        <v>39610</v>
      </c>
      <c r="N6781" t="s">
        <v>41249</v>
      </c>
      <c r="O6781" t="s">
        <v>41250</v>
      </c>
      <c r="P6781">
        <v>0</v>
      </c>
      <c r="Q6781">
        <v>11</v>
      </c>
      <c r="R6781" t="s">
        <v>41257</v>
      </c>
      <c r="S6781" t="s">
        <v>41461</v>
      </c>
      <c r="T6781" t="s">
        <v>42782</v>
      </c>
      <c r="U6781" t="s">
        <v>48752</v>
      </c>
      <c r="W6781" t="s">
        <v>55982</v>
      </c>
      <c r="X6781" t="s">
        <v>41258</v>
      </c>
    </row>
    <row r="6782" spans="1:24">
      <c r="A6782">
        <f>HYPERLINK("https://www.philgeps.gov.ph/GEPSNONPILOT/Tender/SplashBidNoticeAbstractUI.aspx?menuIndex=3&amp;refID=7068084&amp;Result=3","7068084")</f>
        <v>0</v>
      </c>
      <c r="B6782" t="s">
        <v>762</v>
      </c>
      <c r="C6782" t="s">
        <v>9845</v>
      </c>
      <c r="E6782" t="s">
        <v>22664</v>
      </c>
      <c r="F6782" t="s">
        <v>28669</v>
      </c>
      <c r="G6782" t="s">
        <v>28676</v>
      </c>
      <c r="H6782" t="s">
        <v>9998</v>
      </c>
      <c r="I6782" t="s">
        <v>28728</v>
      </c>
      <c r="J6782" t="s">
        <v>33093</v>
      </c>
      <c r="K6782" t="s">
        <v>37209</v>
      </c>
      <c r="M6782" t="s">
        <v>38273</v>
      </c>
      <c r="N6782" t="s">
        <v>41249</v>
      </c>
      <c r="O6782" t="s">
        <v>41250</v>
      </c>
      <c r="Q6782">
        <v>1</v>
      </c>
      <c r="R6782" t="s">
        <v>41257</v>
      </c>
      <c r="S6782" t="s">
        <v>41474</v>
      </c>
      <c r="T6782" t="s">
        <v>42734</v>
      </c>
      <c r="U6782" t="s">
        <v>44679</v>
      </c>
      <c r="W6782" t="s">
        <v>38273</v>
      </c>
      <c r="X6782" t="s">
        <v>41258</v>
      </c>
    </row>
    <row r="6783" spans="1:24">
      <c r="A6783">
        <f>HYPERLINK("https://www.philgeps.gov.ph/GEPSNONPILOT/Tender/SplashBidNoticeAbstractUI.aspx?menuIndex=3&amp;refID=7068285&amp;Result=3","7068285")</f>
        <v>0</v>
      </c>
      <c r="B6783" t="s">
        <v>659</v>
      </c>
      <c r="C6783" t="s">
        <v>9846</v>
      </c>
      <c r="D6783" t="s">
        <v>16643</v>
      </c>
      <c r="E6783" t="s">
        <v>22665</v>
      </c>
      <c r="F6783" t="s">
        <v>28669</v>
      </c>
      <c r="G6783" t="s">
        <v>28676</v>
      </c>
      <c r="H6783" t="s">
        <v>9998</v>
      </c>
      <c r="I6783" t="s">
        <v>3679</v>
      </c>
      <c r="J6783" t="s">
        <v>29897</v>
      </c>
      <c r="K6783" t="s">
        <v>37204</v>
      </c>
      <c r="M6783" t="s">
        <v>38161</v>
      </c>
      <c r="N6783" t="s">
        <v>41249</v>
      </c>
      <c r="O6783" t="s">
        <v>41250</v>
      </c>
      <c r="P6783">
        <v>0</v>
      </c>
      <c r="Q6783">
        <v>0</v>
      </c>
      <c r="R6783" t="s">
        <v>41257</v>
      </c>
      <c r="S6783" t="s">
        <v>41461</v>
      </c>
      <c r="T6783" t="s">
        <v>42736</v>
      </c>
      <c r="U6783" t="s">
        <v>48732</v>
      </c>
      <c r="W6783" t="s">
        <v>55925</v>
      </c>
      <c r="X6783" t="s">
        <v>41258</v>
      </c>
    </row>
    <row r="6784" spans="1:24">
      <c r="A6784">
        <f>HYPERLINK("https://www.philgeps.gov.ph/GEPSNONPILOT/Tender/SplashBidNoticeAbstractUI.aspx?menuIndex=3&amp;refID=7068080&amp;Result=3","7068080")</f>
        <v>0</v>
      </c>
      <c r="B6784" t="s">
        <v>2222</v>
      </c>
      <c r="C6784" t="s">
        <v>9847</v>
      </c>
      <c r="D6784" t="s">
        <v>16628</v>
      </c>
      <c r="E6784" t="s">
        <v>22666</v>
      </c>
      <c r="F6784" t="s">
        <v>28669</v>
      </c>
      <c r="G6784" t="s">
        <v>28675</v>
      </c>
      <c r="H6784" t="s">
        <v>9998</v>
      </c>
      <c r="I6784" t="s">
        <v>7352</v>
      </c>
      <c r="J6784" t="s">
        <v>33094</v>
      </c>
      <c r="K6784" t="s">
        <v>37220</v>
      </c>
      <c r="M6784" t="s">
        <v>39874</v>
      </c>
      <c r="N6784" t="s">
        <v>41249</v>
      </c>
      <c r="O6784" t="s">
        <v>41250</v>
      </c>
      <c r="P6784">
        <v>0</v>
      </c>
      <c r="Q6784">
        <v>0</v>
      </c>
      <c r="R6784" t="s">
        <v>41257</v>
      </c>
      <c r="S6784" t="s">
        <v>41461</v>
      </c>
      <c r="T6784" t="s">
        <v>42758</v>
      </c>
      <c r="U6784" t="s">
        <v>48802</v>
      </c>
      <c r="W6784" t="s">
        <v>39874</v>
      </c>
      <c r="X6784" t="s">
        <v>41258</v>
      </c>
    </row>
    <row r="6785" spans="1:24">
      <c r="A6785">
        <f>HYPERLINK("https://www.philgeps.gov.ph/GEPSNONPILOT/Tender/SplashBidNoticeAbstractUI.aspx?menuIndex=3&amp;refID=7068243&amp;Result=3","7068243")</f>
        <v>0</v>
      </c>
      <c r="B6785" t="s">
        <v>2214</v>
      </c>
      <c r="C6785" t="s">
        <v>9848</v>
      </c>
      <c r="D6785" t="s">
        <v>16631</v>
      </c>
      <c r="E6785" t="s">
        <v>22667</v>
      </c>
      <c r="F6785" t="s">
        <v>28669</v>
      </c>
      <c r="G6785" t="s">
        <v>28677</v>
      </c>
      <c r="H6785" t="s">
        <v>9998</v>
      </c>
      <c r="I6785" t="s">
        <v>3718</v>
      </c>
      <c r="J6785" t="s">
        <v>33095</v>
      </c>
      <c r="K6785" t="s">
        <v>37220</v>
      </c>
      <c r="M6785" t="s">
        <v>39866</v>
      </c>
      <c r="N6785" t="s">
        <v>41249</v>
      </c>
      <c r="O6785" t="s">
        <v>41250</v>
      </c>
      <c r="P6785">
        <v>0</v>
      </c>
      <c r="Q6785">
        <v>3</v>
      </c>
      <c r="R6785" t="s">
        <v>41257</v>
      </c>
      <c r="S6785" t="s">
        <v>41461</v>
      </c>
      <c r="T6785" t="s">
        <v>42727</v>
      </c>
      <c r="U6785" t="s">
        <v>48803</v>
      </c>
      <c r="V6785" t="s">
        <v>55044</v>
      </c>
      <c r="W6785" t="s">
        <v>39866</v>
      </c>
      <c r="X6785" t="s">
        <v>41258</v>
      </c>
    </row>
    <row r="6786" spans="1:24">
      <c r="A6786">
        <f>HYPERLINK("https://www.philgeps.gov.ph/GEPSNONPILOT/Tender/SplashBidNoticeAbstractUI.aspx?menuIndex=3&amp;refID=7068027&amp;Result=3","7068027")</f>
        <v>0</v>
      </c>
      <c r="B6786" t="s">
        <v>557</v>
      </c>
      <c r="C6786" t="s">
        <v>9849</v>
      </c>
      <c r="D6786" t="s">
        <v>16608</v>
      </c>
      <c r="E6786" t="s">
        <v>22668</v>
      </c>
      <c r="F6786" t="s">
        <v>28669</v>
      </c>
      <c r="G6786" t="s">
        <v>28679</v>
      </c>
      <c r="H6786" t="s">
        <v>28686</v>
      </c>
      <c r="I6786" t="s">
        <v>28689</v>
      </c>
      <c r="J6786" t="s">
        <v>29943</v>
      </c>
      <c r="K6786" t="s">
        <v>37220</v>
      </c>
      <c r="M6786" t="s">
        <v>39875</v>
      </c>
      <c r="N6786" t="s">
        <v>41249</v>
      </c>
      <c r="O6786" t="s">
        <v>41250</v>
      </c>
      <c r="P6786">
        <v>0</v>
      </c>
      <c r="Q6786">
        <v>1</v>
      </c>
      <c r="R6786" t="s">
        <v>41257</v>
      </c>
      <c r="S6786" t="s">
        <v>41461</v>
      </c>
      <c r="T6786" t="s">
        <v>42715</v>
      </c>
      <c r="U6786" t="s">
        <v>48804</v>
      </c>
      <c r="V6786" t="s">
        <v>55048</v>
      </c>
      <c r="W6786" t="s">
        <v>39875</v>
      </c>
      <c r="X6786" t="s">
        <v>41258</v>
      </c>
    </row>
    <row r="6787" spans="1:24">
      <c r="A6787">
        <f>HYPERLINK("https://www.philgeps.gov.ph/GEPSNONPILOT/Tender/SplashBidNoticeAbstractUI.aspx?menuIndex=3&amp;refID=7068015&amp;Result=3","7068015")</f>
        <v>0</v>
      </c>
      <c r="B6787" t="s">
        <v>1293</v>
      </c>
      <c r="C6787" t="s">
        <v>9850</v>
      </c>
      <c r="D6787" t="s">
        <v>16618</v>
      </c>
      <c r="E6787" t="s">
        <v>19955</v>
      </c>
      <c r="F6787" t="s">
        <v>28669</v>
      </c>
      <c r="G6787" t="s">
        <v>28675</v>
      </c>
      <c r="H6787" t="s">
        <v>9998</v>
      </c>
      <c r="I6787" t="s">
        <v>28694</v>
      </c>
      <c r="J6787" t="s">
        <v>33096</v>
      </c>
      <c r="K6787" t="s">
        <v>37209</v>
      </c>
      <c r="M6787" t="s">
        <v>38844</v>
      </c>
      <c r="N6787" t="s">
        <v>41249</v>
      </c>
      <c r="O6787" t="s">
        <v>41250</v>
      </c>
      <c r="P6787">
        <v>0</v>
      </c>
      <c r="Q6787">
        <v>0</v>
      </c>
      <c r="R6787" t="s">
        <v>41257</v>
      </c>
      <c r="S6787" t="s">
        <v>41461</v>
      </c>
      <c r="T6787" t="s">
        <v>43037</v>
      </c>
      <c r="U6787" t="s">
        <v>48805</v>
      </c>
      <c r="W6787" t="s">
        <v>38844</v>
      </c>
      <c r="X6787" t="s">
        <v>41258</v>
      </c>
    </row>
    <row r="6788" spans="1:24">
      <c r="A6788">
        <f>HYPERLINK("https://www.philgeps.gov.ph/GEPSNONPILOT/Tender/SplashBidNoticeAbstractUI.aspx?menuIndex=3&amp;refID=7068090&amp;Result=3","7068090")</f>
        <v>0</v>
      </c>
      <c r="B6788" t="s">
        <v>2223</v>
      </c>
      <c r="C6788" t="s">
        <v>9851</v>
      </c>
      <c r="D6788" t="s">
        <v>16671</v>
      </c>
      <c r="E6788" t="s">
        <v>22669</v>
      </c>
      <c r="F6788" t="s">
        <v>28671</v>
      </c>
      <c r="G6788" t="s">
        <v>28675</v>
      </c>
      <c r="H6788" t="s">
        <v>28686</v>
      </c>
      <c r="I6788" t="s">
        <v>28689</v>
      </c>
      <c r="J6788" t="s">
        <v>33097</v>
      </c>
      <c r="K6788" t="s">
        <v>37205</v>
      </c>
      <c r="M6788" t="s">
        <v>39876</v>
      </c>
      <c r="N6788" t="s">
        <v>41249</v>
      </c>
      <c r="O6788" t="s">
        <v>41250</v>
      </c>
      <c r="P6788">
        <v>0</v>
      </c>
      <c r="Q6788">
        <v>1</v>
      </c>
      <c r="R6788" t="s">
        <v>41257</v>
      </c>
      <c r="S6788" t="s">
        <v>41461</v>
      </c>
      <c r="T6788" t="s">
        <v>42809</v>
      </c>
      <c r="U6788" t="s">
        <v>48806</v>
      </c>
      <c r="W6788" t="s">
        <v>39876</v>
      </c>
      <c r="X6788" t="s">
        <v>41258</v>
      </c>
    </row>
    <row r="6789" spans="1:24">
      <c r="A6789">
        <f>HYPERLINK("https://www.philgeps.gov.ph/GEPSNONPILOT/Tender/SplashBidNoticeAbstractUI.aspx?menuIndex=3&amp;refID=7068010&amp;Result=3","7068010")</f>
        <v>0</v>
      </c>
      <c r="B6789" t="s">
        <v>2199</v>
      </c>
      <c r="C6789" t="s">
        <v>9852</v>
      </c>
      <c r="D6789" t="s">
        <v>16617</v>
      </c>
      <c r="E6789" t="s">
        <v>22670</v>
      </c>
      <c r="F6789" t="s">
        <v>28671</v>
      </c>
      <c r="G6789" t="s">
        <v>28676</v>
      </c>
      <c r="H6789" t="s">
        <v>9998</v>
      </c>
      <c r="I6789" t="s">
        <v>28708</v>
      </c>
      <c r="J6789" t="s">
        <v>29040</v>
      </c>
      <c r="K6789" t="s">
        <v>37204</v>
      </c>
      <c r="M6789" t="s">
        <v>39849</v>
      </c>
      <c r="N6789" t="s">
        <v>41249</v>
      </c>
      <c r="O6789" t="s">
        <v>41250</v>
      </c>
      <c r="P6789">
        <v>0</v>
      </c>
      <c r="Q6789">
        <v>9</v>
      </c>
      <c r="R6789" t="s">
        <v>41257</v>
      </c>
      <c r="S6789" t="s">
        <v>41461</v>
      </c>
      <c r="T6789" t="s">
        <v>42758</v>
      </c>
      <c r="U6789" t="s">
        <v>48807</v>
      </c>
      <c r="W6789" t="s">
        <v>39849</v>
      </c>
      <c r="X6789" t="s">
        <v>41258</v>
      </c>
    </row>
    <row r="6790" spans="1:24">
      <c r="A6790">
        <f>HYPERLINK("https://www.philgeps.gov.ph/GEPSNONPILOT/Tender/SplashBidNoticeAbstractUI.aspx?menuIndex=3&amp;refID=7068083&amp;Result=3","7068083")</f>
        <v>0</v>
      </c>
      <c r="B6790" t="s">
        <v>950</v>
      </c>
      <c r="C6790" t="s">
        <v>9853</v>
      </c>
      <c r="D6790" t="s">
        <v>16615</v>
      </c>
      <c r="E6790" t="s">
        <v>19785</v>
      </c>
      <c r="F6790" t="s">
        <v>28669</v>
      </c>
      <c r="G6790" t="s">
        <v>28679</v>
      </c>
      <c r="H6790" t="s">
        <v>9998</v>
      </c>
      <c r="I6790" t="s">
        <v>11593</v>
      </c>
      <c r="J6790" t="s">
        <v>33098</v>
      </c>
      <c r="K6790" t="s">
        <v>37301</v>
      </c>
      <c r="M6790" t="s">
        <v>38474</v>
      </c>
      <c r="N6790" t="s">
        <v>41249</v>
      </c>
      <c r="O6790" t="s">
        <v>41250</v>
      </c>
      <c r="P6790">
        <v>0</v>
      </c>
      <c r="Q6790">
        <v>2</v>
      </c>
      <c r="R6790" t="s">
        <v>41257</v>
      </c>
      <c r="S6790" t="s">
        <v>41461</v>
      </c>
      <c r="T6790" t="s">
        <v>42736</v>
      </c>
      <c r="U6790" t="s">
        <v>48808</v>
      </c>
      <c r="W6790" t="s">
        <v>38474</v>
      </c>
      <c r="X6790" t="s">
        <v>41258</v>
      </c>
    </row>
    <row r="6791" spans="1:24">
      <c r="A6791">
        <f>HYPERLINK("https://www.philgeps.gov.ph/GEPSNONPILOT/Tender/SplashBidNoticeAbstractUI.aspx?menuIndex=3&amp;refID=7068005&amp;Result=3","7068005")</f>
        <v>0</v>
      </c>
      <c r="B6791" t="s">
        <v>934</v>
      </c>
      <c r="C6791" t="s">
        <v>9854</v>
      </c>
      <c r="D6791" t="s">
        <v>16608</v>
      </c>
      <c r="E6791" t="s">
        <v>22671</v>
      </c>
      <c r="F6791" t="s">
        <v>28669</v>
      </c>
      <c r="G6791" t="s">
        <v>28677</v>
      </c>
      <c r="H6791" t="s">
        <v>9998</v>
      </c>
      <c r="I6791" t="s">
        <v>28729</v>
      </c>
      <c r="J6791" t="s">
        <v>33099</v>
      </c>
      <c r="K6791" t="s">
        <v>37205</v>
      </c>
      <c r="M6791" t="s">
        <v>38456</v>
      </c>
      <c r="N6791" t="s">
        <v>41249</v>
      </c>
      <c r="O6791" t="s">
        <v>41250</v>
      </c>
      <c r="P6791">
        <v>0</v>
      </c>
      <c r="Q6791">
        <v>5</v>
      </c>
      <c r="R6791" t="s">
        <v>41257</v>
      </c>
      <c r="S6791" t="s">
        <v>41461</v>
      </c>
      <c r="T6791" t="s">
        <v>42694</v>
      </c>
      <c r="U6791" t="s">
        <v>48809</v>
      </c>
      <c r="W6791" t="s">
        <v>38456</v>
      </c>
      <c r="X6791" t="s">
        <v>41258</v>
      </c>
    </row>
    <row r="6792" spans="1:24">
      <c r="A6792">
        <f>HYPERLINK("https://www.philgeps.gov.ph/GEPSNONPILOT/Tender/SplashBidNoticeAbstractUI.aspx?menuIndex=3&amp;refID=7068078&amp;Result=3","7068078")</f>
        <v>0</v>
      </c>
      <c r="B6792" t="s">
        <v>2224</v>
      </c>
      <c r="C6792" t="s">
        <v>9855</v>
      </c>
      <c r="D6792" t="s">
        <v>16637</v>
      </c>
      <c r="E6792" t="s">
        <v>22672</v>
      </c>
      <c r="F6792" t="s">
        <v>28669</v>
      </c>
      <c r="G6792" t="s">
        <v>28676</v>
      </c>
      <c r="H6792" t="s">
        <v>9998</v>
      </c>
      <c r="I6792" t="s">
        <v>28732</v>
      </c>
      <c r="J6792" t="s">
        <v>29204</v>
      </c>
      <c r="K6792" t="s">
        <v>37204</v>
      </c>
      <c r="M6792" t="s">
        <v>39877</v>
      </c>
      <c r="N6792" t="s">
        <v>41249</v>
      </c>
      <c r="O6792" t="s">
        <v>41250</v>
      </c>
      <c r="P6792">
        <v>0</v>
      </c>
      <c r="Q6792">
        <v>0</v>
      </c>
      <c r="R6792" t="s">
        <v>41257</v>
      </c>
      <c r="S6792" t="s">
        <v>41461</v>
      </c>
      <c r="T6792" t="s">
        <v>42883</v>
      </c>
      <c r="U6792" t="s">
        <v>48810</v>
      </c>
      <c r="W6792" t="s">
        <v>39877</v>
      </c>
      <c r="X6792" t="s">
        <v>41258</v>
      </c>
    </row>
    <row r="6793" spans="1:24">
      <c r="A6793">
        <f>HYPERLINK("https://www.philgeps.gov.ph/GEPSNONPILOT/Tender/SplashBidNoticeAbstractUI.aspx?menuIndex=3&amp;refID=7067960&amp;Result=3","7067960")</f>
        <v>0</v>
      </c>
      <c r="B6793" t="s">
        <v>849</v>
      </c>
      <c r="C6793" t="s">
        <v>9856</v>
      </c>
      <c r="D6793" t="s">
        <v>16626</v>
      </c>
      <c r="E6793" t="s">
        <v>22673</v>
      </c>
      <c r="F6793" t="s">
        <v>28669</v>
      </c>
      <c r="G6793" t="s">
        <v>28675</v>
      </c>
      <c r="H6793" t="s">
        <v>9998</v>
      </c>
      <c r="I6793" t="s">
        <v>7352</v>
      </c>
      <c r="J6793" t="s">
        <v>33100</v>
      </c>
      <c r="K6793" t="s">
        <v>37209</v>
      </c>
      <c r="M6793" t="s">
        <v>38365</v>
      </c>
      <c r="N6793" t="s">
        <v>41249</v>
      </c>
      <c r="O6793" t="s">
        <v>41250</v>
      </c>
      <c r="P6793">
        <v>0</v>
      </c>
      <c r="Q6793">
        <v>0</v>
      </c>
      <c r="R6793" t="s">
        <v>41257</v>
      </c>
      <c r="S6793" t="s">
        <v>41461</v>
      </c>
      <c r="T6793" t="s">
        <v>42739</v>
      </c>
      <c r="U6793" t="s">
        <v>48811</v>
      </c>
      <c r="W6793" t="s">
        <v>38365</v>
      </c>
      <c r="X6793" t="s">
        <v>41258</v>
      </c>
    </row>
    <row r="6794" spans="1:24">
      <c r="A6794">
        <f>HYPERLINK("https://www.philgeps.gov.ph/GEPSNONPILOT/Tender/SplashBidNoticeAbstractUI.aspx?menuIndex=3&amp;refID=7067897&amp;Result=3","7067897")</f>
        <v>0</v>
      </c>
      <c r="B6794" t="s">
        <v>2167</v>
      </c>
      <c r="C6794" t="s">
        <v>9857</v>
      </c>
      <c r="E6794" t="s">
        <v>22674</v>
      </c>
      <c r="F6794" t="s">
        <v>28669</v>
      </c>
      <c r="G6794" t="s">
        <v>28676</v>
      </c>
      <c r="H6794" t="s">
        <v>9998</v>
      </c>
      <c r="I6794" t="s">
        <v>28698</v>
      </c>
      <c r="J6794" t="s">
        <v>29576</v>
      </c>
      <c r="K6794" t="s">
        <v>37206</v>
      </c>
      <c r="M6794" t="s">
        <v>39814</v>
      </c>
      <c r="N6794" t="s">
        <v>41249</v>
      </c>
      <c r="O6794" t="s">
        <v>41250</v>
      </c>
      <c r="P6794">
        <v>0</v>
      </c>
      <c r="Q6794">
        <v>0</v>
      </c>
      <c r="R6794" t="s">
        <v>41257</v>
      </c>
      <c r="S6794" t="s">
        <v>41461</v>
      </c>
      <c r="T6794" t="s">
        <v>42717</v>
      </c>
      <c r="U6794" t="s">
        <v>48812</v>
      </c>
      <c r="W6794" t="s">
        <v>55980</v>
      </c>
      <c r="X6794" t="s">
        <v>41258</v>
      </c>
    </row>
    <row r="6795" spans="1:24">
      <c r="A6795">
        <f>HYPERLINK("https://www.philgeps.gov.ph/GEPSNONPILOT/Tender/SplashBidNoticeAbstractUI.aspx?menuIndex=3&amp;refID=7067890&amp;Result=3","7067890")</f>
        <v>0</v>
      </c>
      <c r="B6795" t="s">
        <v>2174</v>
      </c>
      <c r="C6795" t="s">
        <v>9858</v>
      </c>
      <c r="D6795" t="s">
        <v>16616</v>
      </c>
      <c r="E6795" t="s">
        <v>22675</v>
      </c>
      <c r="F6795" t="s">
        <v>28669</v>
      </c>
      <c r="G6795" t="s">
        <v>28677</v>
      </c>
      <c r="H6795" t="s">
        <v>9998</v>
      </c>
      <c r="I6795" t="s">
        <v>28713</v>
      </c>
      <c r="J6795" t="s">
        <v>29404</v>
      </c>
      <c r="K6795" t="s">
        <v>37243</v>
      </c>
      <c r="M6795" t="s">
        <v>39823</v>
      </c>
      <c r="N6795" t="s">
        <v>41249</v>
      </c>
      <c r="O6795" t="s">
        <v>41250</v>
      </c>
      <c r="P6795">
        <v>0</v>
      </c>
      <c r="Q6795">
        <v>2</v>
      </c>
      <c r="R6795" t="s">
        <v>41257</v>
      </c>
      <c r="S6795" t="s">
        <v>41461</v>
      </c>
      <c r="T6795" t="s">
        <v>42883</v>
      </c>
      <c r="U6795" t="s">
        <v>48813</v>
      </c>
      <c r="W6795" t="s">
        <v>39823</v>
      </c>
      <c r="X6795" t="s">
        <v>41258</v>
      </c>
    </row>
    <row r="6796" spans="1:24">
      <c r="A6796">
        <f>HYPERLINK("https://www.philgeps.gov.ph/GEPSNONPILOT/Tender/SplashBidNoticeAbstractUI.aspx?menuIndex=3&amp;refID=7067889&amp;Result=3","7067889")</f>
        <v>0</v>
      </c>
      <c r="B6796" t="s">
        <v>625</v>
      </c>
      <c r="C6796" t="s">
        <v>9859</v>
      </c>
      <c r="D6796" t="s">
        <v>16679</v>
      </c>
      <c r="E6796" t="s">
        <v>22676</v>
      </c>
      <c r="F6796" t="s">
        <v>28669</v>
      </c>
      <c r="G6796" t="s">
        <v>28675</v>
      </c>
      <c r="H6796" t="s">
        <v>9998</v>
      </c>
      <c r="I6796" t="s">
        <v>15140</v>
      </c>
      <c r="J6796" t="s">
        <v>33101</v>
      </c>
      <c r="K6796" t="s">
        <v>37206</v>
      </c>
      <c r="M6796" t="s">
        <v>38125</v>
      </c>
      <c r="N6796" t="s">
        <v>41249</v>
      </c>
      <c r="O6796" t="s">
        <v>41250</v>
      </c>
      <c r="P6796">
        <v>0</v>
      </c>
      <c r="Q6796">
        <v>5</v>
      </c>
      <c r="R6796" t="s">
        <v>41257</v>
      </c>
      <c r="S6796" t="s">
        <v>41461</v>
      </c>
      <c r="T6796" t="s">
        <v>42882</v>
      </c>
      <c r="U6796" t="s">
        <v>48814</v>
      </c>
      <c r="W6796" t="s">
        <v>38125</v>
      </c>
      <c r="X6796" t="s">
        <v>41258</v>
      </c>
    </row>
    <row r="6797" spans="1:24">
      <c r="A6797">
        <f>HYPERLINK("https://www.philgeps.gov.ph/GEPSNONPILOT/Tender/SplashBidNoticeAbstractUI.aspx?menuIndex=3&amp;refID=7068006&amp;Result=3","7068006")</f>
        <v>0</v>
      </c>
      <c r="B6797" t="s">
        <v>769</v>
      </c>
      <c r="C6797" t="s">
        <v>9860</v>
      </c>
      <c r="D6797" t="s">
        <v>16616</v>
      </c>
      <c r="E6797" t="s">
        <v>22677</v>
      </c>
      <c r="F6797" t="s">
        <v>28669</v>
      </c>
      <c r="G6797" t="s">
        <v>28675</v>
      </c>
      <c r="H6797" t="s">
        <v>9998</v>
      </c>
      <c r="I6797" t="s">
        <v>28738</v>
      </c>
      <c r="J6797" t="s">
        <v>33102</v>
      </c>
      <c r="K6797" t="s">
        <v>37220</v>
      </c>
      <c r="M6797" t="s">
        <v>38282</v>
      </c>
      <c r="N6797" t="s">
        <v>41249</v>
      </c>
      <c r="O6797" t="s">
        <v>41250</v>
      </c>
      <c r="P6797">
        <v>0</v>
      </c>
      <c r="Q6797">
        <v>6</v>
      </c>
      <c r="R6797" t="s">
        <v>41257</v>
      </c>
      <c r="S6797" t="s">
        <v>41461</v>
      </c>
      <c r="T6797" t="s">
        <v>42716</v>
      </c>
      <c r="U6797" t="s">
        <v>48815</v>
      </c>
      <c r="W6797" t="s">
        <v>38282</v>
      </c>
      <c r="X6797" t="s">
        <v>41258</v>
      </c>
    </row>
    <row r="6798" spans="1:24">
      <c r="A6798">
        <f>HYPERLINK("https://www.philgeps.gov.ph/GEPSNONPILOT/Tender/SplashBidNoticeAbstractUI.aspx?menuIndex=3&amp;refID=7067836&amp;Result=3","7067836")</f>
        <v>0</v>
      </c>
      <c r="B6798" t="s">
        <v>1229</v>
      </c>
      <c r="C6798" t="s">
        <v>9861</v>
      </c>
      <c r="D6798" t="s">
        <v>16675</v>
      </c>
      <c r="E6798" t="s">
        <v>22678</v>
      </c>
      <c r="F6798" t="s">
        <v>28669</v>
      </c>
      <c r="G6798" t="s">
        <v>28675</v>
      </c>
      <c r="H6798" t="s">
        <v>9998</v>
      </c>
      <c r="I6798" t="s">
        <v>7352</v>
      </c>
      <c r="J6798" t="s">
        <v>33103</v>
      </c>
      <c r="K6798" t="s">
        <v>37210</v>
      </c>
      <c r="M6798" t="s">
        <v>38773</v>
      </c>
      <c r="N6798" t="s">
        <v>41249</v>
      </c>
      <c r="O6798" t="s">
        <v>41250</v>
      </c>
      <c r="P6798">
        <v>0</v>
      </c>
      <c r="Q6798">
        <v>0</v>
      </c>
      <c r="R6798" t="s">
        <v>41257</v>
      </c>
      <c r="S6798" t="s">
        <v>41461</v>
      </c>
      <c r="T6798" t="s">
        <v>43027</v>
      </c>
      <c r="U6798" t="s">
        <v>47977</v>
      </c>
      <c r="W6798" t="s">
        <v>38773</v>
      </c>
      <c r="X6798" t="s">
        <v>41258</v>
      </c>
    </row>
    <row r="6799" spans="1:24">
      <c r="A6799">
        <f>HYPERLINK("https://www.philgeps.gov.ph/GEPSNONPILOT/Tender/SplashBidNoticeAbstractUI.aspx?menuIndex=3&amp;refID=7067955&amp;Result=3","7067955")</f>
        <v>0</v>
      </c>
      <c r="B6799" t="s">
        <v>2217</v>
      </c>
      <c r="C6799" t="s">
        <v>9862</v>
      </c>
      <c r="D6799" t="s">
        <v>16616</v>
      </c>
      <c r="E6799" t="s">
        <v>17029</v>
      </c>
      <c r="F6799" t="s">
        <v>28669</v>
      </c>
      <c r="G6799" t="s">
        <v>28675</v>
      </c>
      <c r="H6799" t="s">
        <v>28686</v>
      </c>
      <c r="I6799" t="s">
        <v>28689</v>
      </c>
      <c r="J6799" t="s">
        <v>33104</v>
      </c>
      <c r="K6799" t="s">
        <v>37221</v>
      </c>
      <c r="M6799" t="s">
        <v>39869</v>
      </c>
      <c r="N6799" t="s">
        <v>41249</v>
      </c>
      <c r="O6799" t="s">
        <v>41250</v>
      </c>
      <c r="P6799">
        <v>0</v>
      </c>
      <c r="Q6799">
        <v>0</v>
      </c>
      <c r="R6799" t="s">
        <v>41257</v>
      </c>
      <c r="S6799" t="s">
        <v>41461</v>
      </c>
      <c r="T6799" t="s">
        <v>42911</v>
      </c>
      <c r="U6799" t="s">
        <v>48816</v>
      </c>
      <c r="W6799" t="s">
        <v>39869</v>
      </c>
      <c r="X6799" t="s">
        <v>41258</v>
      </c>
    </row>
    <row r="6800" spans="1:24">
      <c r="A6800">
        <f>HYPERLINK("https://www.philgeps.gov.ph/GEPSNONPILOT/Tender/SplashBidNoticeAbstractUI.aspx?menuIndex=3&amp;refID=7067821&amp;Result=3","7067821")</f>
        <v>0</v>
      </c>
      <c r="B6800" t="s">
        <v>2225</v>
      </c>
      <c r="C6800" t="s">
        <v>9863</v>
      </c>
      <c r="D6800" t="s">
        <v>16643</v>
      </c>
      <c r="E6800" t="s">
        <v>22679</v>
      </c>
      <c r="F6800" t="s">
        <v>28669</v>
      </c>
      <c r="G6800" t="s">
        <v>28675</v>
      </c>
      <c r="H6800" t="s">
        <v>9998</v>
      </c>
      <c r="I6800" t="s">
        <v>7352</v>
      </c>
      <c r="J6800" t="s">
        <v>33105</v>
      </c>
      <c r="K6800" t="s">
        <v>37206</v>
      </c>
      <c r="M6800" t="s">
        <v>39878</v>
      </c>
      <c r="N6800" t="s">
        <v>41249</v>
      </c>
      <c r="O6800" t="s">
        <v>41250</v>
      </c>
      <c r="P6800">
        <v>0</v>
      </c>
      <c r="Q6800">
        <v>0</v>
      </c>
      <c r="R6800" t="s">
        <v>41257</v>
      </c>
      <c r="S6800" t="s">
        <v>41461</v>
      </c>
      <c r="T6800" t="s">
        <v>42884</v>
      </c>
      <c r="U6800" t="s">
        <v>48817</v>
      </c>
      <c r="W6800" t="s">
        <v>39878</v>
      </c>
      <c r="X6800" t="s">
        <v>41258</v>
      </c>
    </row>
    <row r="6801" spans="1:24">
      <c r="A6801">
        <f>HYPERLINK("https://www.philgeps.gov.ph/GEPSNONPILOT/Tender/SplashBidNoticeAbstractUI.aspx?menuIndex=3&amp;refID=7067886&amp;Result=3","7067886")</f>
        <v>0</v>
      </c>
      <c r="B6801" t="s">
        <v>2226</v>
      </c>
      <c r="C6801" t="s">
        <v>9864</v>
      </c>
      <c r="D6801" t="s">
        <v>16613</v>
      </c>
      <c r="E6801" t="s">
        <v>22680</v>
      </c>
      <c r="F6801" t="s">
        <v>28669</v>
      </c>
      <c r="G6801" t="s">
        <v>28675</v>
      </c>
      <c r="H6801" t="s">
        <v>9998</v>
      </c>
      <c r="I6801" t="s">
        <v>28733</v>
      </c>
      <c r="J6801" t="s">
        <v>28923</v>
      </c>
      <c r="K6801" t="s">
        <v>37216</v>
      </c>
      <c r="M6801" t="s">
        <v>39879</v>
      </c>
      <c r="N6801" t="s">
        <v>41249</v>
      </c>
      <c r="O6801" t="s">
        <v>41250</v>
      </c>
      <c r="P6801">
        <v>0</v>
      </c>
      <c r="Q6801">
        <v>0</v>
      </c>
      <c r="R6801" t="s">
        <v>41257</v>
      </c>
      <c r="S6801" t="s">
        <v>41461</v>
      </c>
      <c r="T6801" t="s">
        <v>42736</v>
      </c>
      <c r="U6801" t="s">
        <v>48818</v>
      </c>
      <c r="V6801" t="s">
        <v>55049</v>
      </c>
      <c r="W6801" t="s">
        <v>39879</v>
      </c>
      <c r="X6801" t="s">
        <v>41258</v>
      </c>
    </row>
    <row r="6802" spans="1:24">
      <c r="A6802">
        <f>HYPERLINK("https://www.philgeps.gov.ph/GEPSNONPILOT/Tender/SplashBidNoticeAbstractUI.aspx?menuIndex=3&amp;refID=7067819&amp;Result=3","7067819")</f>
        <v>0</v>
      </c>
      <c r="B6802" t="s">
        <v>849</v>
      </c>
      <c r="C6802" t="s">
        <v>9865</v>
      </c>
      <c r="D6802" t="s">
        <v>16626</v>
      </c>
      <c r="E6802" t="s">
        <v>22681</v>
      </c>
      <c r="F6802" t="s">
        <v>28669</v>
      </c>
      <c r="G6802" t="s">
        <v>28675</v>
      </c>
      <c r="H6802" t="s">
        <v>9998</v>
      </c>
      <c r="I6802" t="s">
        <v>7352</v>
      </c>
      <c r="J6802" t="s">
        <v>33106</v>
      </c>
      <c r="K6802" t="s">
        <v>37209</v>
      </c>
      <c r="M6802" t="s">
        <v>38365</v>
      </c>
      <c r="N6802" t="s">
        <v>41249</v>
      </c>
      <c r="O6802" t="s">
        <v>41250</v>
      </c>
      <c r="P6802">
        <v>0</v>
      </c>
      <c r="Q6802">
        <v>0</v>
      </c>
      <c r="R6802" t="s">
        <v>41257</v>
      </c>
      <c r="S6802" t="s">
        <v>41461</v>
      </c>
      <c r="T6802" t="s">
        <v>42698</v>
      </c>
      <c r="U6802" t="s">
        <v>48721</v>
      </c>
      <c r="W6802" t="s">
        <v>38365</v>
      </c>
      <c r="X6802" t="s">
        <v>41258</v>
      </c>
    </row>
    <row r="6803" spans="1:24">
      <c r="A6803">
        <f>HYPERLINK("https://www.philgeps.gov.ph/GEPSNONPILOT/Tender/SplashBidNoticeAbstractUI.aspx?menuIndex=3&amp;refID=7067884&amp;Result=3","7067884")</f>
        <v>0</v>
      </c>
      <c r="B6803" t="s">
        <v>2227</v>
      </c>
      <c r="C6803" t="s">
        <v>9866</v>
      </c>
      <c r="D6803" t="s">
        <v>16642</v>
      </c>
      <c r="E6803" t="s">
        <v>16707</v>
      </c>
      <c r="F6803" t="s">
        <v>28669</v>
      </c>
      <c r="G6803" t="s">
        <v>28675</v>
      </c>
      <c r="H6803" t="s">
        <v>9998</v>
      </c>
      <c r="I6803" t="s">
        <v>3718</v>
      </c>
      <c r="J6803" t="s">
        <v>29317</v>
      </c>
      <c r="K6803" t="s">
        <v>37204</v>
      </c>
      <c r="M6803" t="s">
        <v>39880</v>
      </c>
      <c r="N6803" t="s">
        <v>41249</v>
      </c>
      <c r="O6803" t="s">
        <v>41250</v>
      </c>
      <c r="P6803">
        <v>0</v>
      </c>
      <c r="Q6803">
        <v>3</v>
      </c>
      <c r="R6803" t="s">
        <v>41257</v>
      </c>
      <c r="S6803" t="s">
        <v>41461</v>
      </c>
      <c r="T6803" t="s">
        <v>42673</v>
      </c>
      <c r="U6803" t="s">
        <v>48819</v>
      </c>
      <c r="W6803" t="s">
        <v>39880</v>
      </c>
      <c r="X6803" t="s">
        <v>41258</v>
      </c>
    </row>
    <row r="6804" spans="1:24">
      <c r="A6804">
        <f>HYPERLINK("https://www.philgeps.gov.ph/GEPSNONPILOT/Tender/SplashBidNoticeAbstractUI.aspx?menuIndex=3&amp;refID=7067817&amp;Result=3","7067817")</f>
        <v>0</v>
      </c>
      <c r="B6804" t="s">
        <v>260</v>
      </c>
      <c r="C6804" t="s">
        <v>9867</v>
      </c>
      <c r="D6804" t="s">
        <v>16646</v>
      </c>
      <c r="E6804" t="s">
        <v>22682</v>
      </c>
      <c r="F6804" t="s">
        <v>28669</v>
      </c>
      <c r="G6804" t="s">
        <v>28675</v>
      </c>
      <c r="H6804" t="s">
        <v>9998</v>
      </c>
      <c r="I6804" t="s">
        <v>28710</v>
      </c>
      <c r="J6804" t="s">
        <v>33107</v>
      </c>
      <c r="K6804" t="s">
        <v>37205</v>
      </c>
      <c r="M6804" t="s">
        <v>37738</v>
      </c>
      <c r="N6804" t="s">
        <v>41249</v>
      </c>
      <c r="O6804" t="s">
        <v>41250</v>
      </c>
      <c r="P6804">
        <v>0</v>
      </c>
      <c r="Q6804">
        <v>0</v>
      </c>
      <c r="R6804" t="s">
        <v>41257</v>
      </c>
      <c r="S6804" t="s">
        <v>41461</v>
      </c>
      <c r="T6804" t="s">
        <v>42783</v>
      </c>
      <c r="U6804" t="s">
        <v>48820</v>
      </c>
      <c r="W6804" t="s">
        <v>37738</v>
      </c>
      <c r="X6804" t="s">
        <v>41258</v>
      </c>
    </row>
    <row r="6805" spans="1:24">
      <c r="A6805">
        <f>HYPERLINK("https://www.philgeps.gov.ph/GEPSNONPILOT/Tender/SplashBidNoticeAbstractUI.aspx?menuIndex=3&amp;refID=7067774&amp;Result=3","7067774")</f>
        <v>0</v>
      </c>
      <c r="B6805" t="s">
        <v>1522</v>
      </c>
      <c r="C6805" t="s">
        <v>9868</v>
      </c>
      <c r="D6805" t="s">
        <v>16686</v>
      </c>
      <c r="E6805" t="s">
        <v>22683</v>
      </c>
      <c r="F6805" t="s">
        <v>28669</v>
      </c>
      <c r="G6805" t="s">
        <v>28675</v>
      </c>
      <c r="H6805" t="s">
        <v>9998</v>
      </c>
      <c r="I6805" t="s">
        <v>7352</v>
      </c>
      <c r="J6805" t="s">
        <v>33108</v>
      </c>
      <c r="K6805" t="s">
        <v>37210</v>
      </c>
      <c r="M6805" t="s">
        <v>39573</v>
      </c>
      <c r="N6805" t="s">
        <v>41249</v>
      </c>
      <c r="O6805" t="s">
        <v>41250</v>
      </c>
      <c r="P6805">
        <v>0</v>
      </c>
      <c r="Q6805">
        <v>1</v>
      </c>
      <c r="R6805" t="s">
        <v>41257</v>
      </c>
      <c r="S6805" t="s">
        <v>41461</v>
      </c>
      <c r="T6805" t="s">
        <v>42663</v>
      </c>
      <c r="U6805" t="s">
        <v>48821</v>
      </c>
      <c r="W6805" t="s">
        <v>39573</v>
      </c>
      <c r="X6805" t="s">
        <v>41258</v>
      </c>
    </row>
    <row r="6806" spans="1:24">
      <c r="A6806">
        <f>HYPERLINK("https://www.philgeps.gov.ph/GEPSNONPILOT/Tender/SplashBidNoticeAbstractUI.aspx?menuIndex=3&amp;refID=7067877&amp;Result=3","7067877")</f>
        <v>0</v>
      </c>
      <c r="B6806" t="s">
        <v>193</v>
      </c>
      <c r="C6806" t="s">
        <v>9869</v>
      </c>
      <c r="D6806" t="s">
        <v>16658</v>
      </c>
      <c r="E6806" t="s">
        <v>22684</v>
      </c>
      <c r="F6806" t="s">
        <v>28669</v>
      </c>
      <c r="G6806" t="s">
        <v>28676</v>
      </c>
      <c r="H6806" t="s">
        <v>9998</v>
      </c>
      <c r="I6806" t="s">
        <v>5213</v>
      </c>
      <c r="J6806" t="s">
        <v>33109</v>
      </c>
      <c r="K6806" t="s">
        <v>37204</v>
      </c>
      <c r="M6806" t="s">
        <v>37671</v>
      </c>
      <c r="N6806" t="s">
        <v>41249</v>
      </c>
      <c r="O6806" t="s">
        <v>41250</v>
      </c>
      <c r="P6806">
        <v>0</v>
      </c>
      <c r="Q6806">
        <v>0</v>
      </c>
      <c r="R6806" t="s">
        <v>41257</v>
      </c>
      <c r="S6806" t="s">
        <v>41461</v>
      </c>
      <c r="T6806" t="s">
        <v>42673</v>
      </c>
      <c r="U6806" t="s">
        <v>48822</v>
      </c>
      <c r="W6806" t="s">
        <v>37671</v>
      </c>
      <c r="X6806" t="s">
        <v>41258</v>
      </c>
    </row>
    <row r="6807" spans="1:24">
      <c r="A6807">
        <f>HYPERLINK("https://www.philgeps.gov.ph/GEPSNONPILOT/Tender/SplashBidNoticeAbstractUI.aspx?menuIndex=3&amp;refID=7067772&amp;Result=3","7067772")</f>
        <v>0</v>
      </c>
      <c r="B6807" t="s">
        <v>2144</v>
      </c>
      <c r="C6807" t="s">
        <v>9870</v>
      </c>
      <c r="D6807" t="s">
        <v>16686</v>
      </c>
      <c r="E6807" t="s">
        <v>22685</v>
      </c>
      <c r="F6807" t="s">
        <v>28669</v>
      </c>
      <c r="G6807" t="s">
        <v>28675</v>
      </c>
      <c r="H6807" t="s">
        <v>28686</v>
      </c>
      <c r="I6807" t="s">
        <v>28689</v>
      </c>
      <c r="J6807" t="s">
        <v>33110</v>
      </c>
      <c r="K6807" t="s">
        <v>37209</v>
      </c>
      <c r="M6807" t="s">
        <v>39789</v>
      </c>
      <c r="N6807" t="s">
        <v>41249</v>
      </c>
      <c r="O6807" t="s">
        <v>41250</v>
      </c>
      <c r="P6807">
        <v>0</v>
      </c>
      <c r="Q6807">
        <v>0</v>
      </c>
      <c r="R6807" t="s">
        <v>41257</v>
      </c>
      <c r="S6807" t="s">
        <v>41461</v>
      </c>
      <c r="T6807" t="s">
        <v>42808</v>
      </c>
      <c r="U6807" t="s">
        <v>48823</v>
      </c>
      <c r="W6807" t="s">
        <v>39789</v>
      </c>
      <c r="X6807" t="s">
        <v>41258</v>
      </c>
    </row>
    <row r="6808" spans="1:24">
      <c r="A6808">
        <f>HYPERLINK("https://www.philgeps.gov.ph/GEPSNONPILOT/Tender/SplashBidNoticeAbstractUI.aspx?menuIndex=3&amp;refID=7067824&amp;Result=3","7067824")</f>
        <v>0</v>
      </c>
      <c r="B6808" t="s">
        <v>642</v>
      </c>
      <c r="C6808" t="s">
        <v>9871</v>
      </c>
      <c r="D6808" t="s">
        <v>16642</v>
      </c>
      <c r="E6808" t="s">
        <v>22686</v>
      </c>
      <c r="F6808" t="s">
        <v>28669</v>
      </c>
      <c r="G6808" t="s">
        <v>28676</v>
      </c>
      <c r="H6808" t="s">
        <v>9998</v>
      </c>
      <c r="I6808" t="s">
        <v>28693</v>
      </c>
      <c r="J6808" t="s">
        <v>33111</v>
      </c>
      <c r="K6808" t="s">
        <v>37205</v>
      </c>
      <c r="M6808" t="s">
        <v>39859</v>
      </c>
      <c r="N6808" t="s">
        <v>41249</v>
      </c>
      <c r="O6808" t="s">
        <v>41250</v>
      </c>
      <c r="P6808">
        <v>0</v>
      </c>
      <c r="Q6808">
        <v>14</v>
      </c>
      <c r="R6808" t="s">
        <v>41257</v>
      </c>
      <c r="S6808" t="s">
        <v>41461</v>
      </c>
      <c r="T6808" t="s">
        <v>42701</v>
      </c>
      <c r="U6808" t="s">
        <v>48824</v>
      </c>
      <c r="W6808" t="s">
        <v>39859</v>
      </c>
      <c r="X6808" t="s">
        <v>41258</v>
      </c>
    </row>
    <row r="6809" spans="1:24">
      <c r="A6809">
        <f>HYPERLINK("https://www.philgeps.gov.ph/GEPSNONPILOT/Tender/SplashBidNoticeAbstractUI.aspx?menuIndex=3&amp;refID=7067770&amp;Result=3","7067770")</f>
        <v>0</v>
      </c>
      <c r="B6809" t="s">
        <v>2228</v>
      </c>
      <c r="C6809" t="s">
        <v>9872</v>
      </c>
      <c r="D6809" t="s">
        <v>16609</v>
      </c>
      <c r="E6809" t="s">
        <v>22687</v>
      </c>
      <c r="F6809" t="s">
        <v>28669</v>
      </c>
      <c r="G6809" t="s">
        <v>28675</v>
      </c>
      <c r="H6809" t="s">
        <v>9998</v>
      </c>
      <c r="I6809" t="s">
        <v>28743</v>
      </c>
      <c r="J6809" t="s">
        <v>28826</v>
      </c>
      <c r="K6809" t="s">
        <v>37227</v>
      </c>
      <c r="M6809" t="s">
        <v>39881</v>
      </c>
      <c r="N6809" t="s">
        <v>41249</v>
      </c>
      <c r="O6809" t="s">
        <v>41250</v>
      </c>
      <c r="P6809">
        <v>0</v>
      </c>
      <c r="Q6809">
        <v>0</v>
      </c>
      <c r="R6809" t="s">
        <v>41257</v>
      </c>
      <c r="S6809" t="s">
        <v>41461</v>
      </c>
      <c r="T6809" t="s">
        <v>42686</v>
      </c>
      <c r="U6809" t="s">
        <v>48825</v>
      </c>
      <c r="W6809" t="s">
        <v>39881</v>
      </c>
      <c r="X6809" t="s">
        <v>41258</v>
      </c>
    </row>
    <row r="6810" spans="1:24">
      <c r="A6810">
        <f>HYPERLINK("https://www.philgeps.gov.ph/GEPSNONPILOT/Tender/SplashBidNoticeAbstractUI.aspx?menuIndex=3&amp;refID=7067736&amp;Result=3","7067736")</f>
        <v>0</v>
      </c>
      <c r="B6810" t="s">
        <v>837</v>
      </c>
      <c r="C6810" t="s">
        <v>5516</v>
      </c>
      <c r="D6810" t="s">
        <v>16667</v>
      </c>
      <c r="E6810" t="s">
        <v>21101</v>
      </c>
      <c r="F6810" t="s">
        <v>28669</v>
      </c>
      <c r="G6810" t="s">
        <v>28675</v>
      </c>
      <c r="H6810" t="s">
        <v>9998</v>
      </c>
      <c r="I6810" t="s">
        <v>28687</v>
      </c>
      <c r="J6810" t="s">
        <v>28859</v>
      </c>
      <c r="K6810" t="s">
        <v>37206</v>
      </c>
      <c r="M6810" t="s">
        <v>38353</v>
      </c>
      <c r="N6810" t="s">
        <v>41249</v>
      </c>
      <c r="O6810" t="s">
        <v>41250</v>
      </c>
      <c r="P6810">
        <v>0</v>
      </c>
      <c r="Q6810">
        <v>0</v>
      </c>
      <c r="R6810" t="s">
        <v>41257</v>
      </c>
      <c r="S6810" t="s">
        <v>41461</v>
      </c>
      <c r="T6810" t="s">
        <v>42711</v>
      </c>
      <c r="U6810" t="s">
        <v>48826</v>
      </c>
      <c r="W6810" t="s">
        <v>38353</v>
      </c>
      <c r="X6810" t="s">
        <v>41258</v>
      </c>
    </row>
    <row r="6811" spans="1:24">
      <c r="A6811">
        <f>HYPERLINK("https://www.philgeps.gov.ph/GEPSNONPILOT/Tender/SplashBidNoticeAbstractUI.aspx?menuIndex=3&amp;refID=7067733&amp;Result=3","7067733")</f>
        <v>0</v>
      </c>
      <c r="B6811" t="s">
        <v>715</v>
      </c>
      <c r="C6811" t="s">
        <v>9873</v>
      </c>
      <c r="D6811" t="s">
        <v>16624</v>
      </c>
      <c r="E6811" t="s">
        <v>22688</v>
      </c>
      <c r="F6811" t="s">
        <v>28669</v>
      </c>
      <c r="G6811" t="s">
        <v>28676</v>
      </c>
      <c r="H6811" t="s">
        <v>28686</v>
      </c>
      <c r="I6811" t="s">
        <v>28728</v>
      </c>
      <c r="J6811" t="s">
        <v>33112</v>
      </c>
      <c r="K6811" t="s">
        <v>37205</v>
      </c>
      <c r="M6811" t="s">
        <v>39817</v>
      </c>
      <c r="N6811" t="s">
        <v>41249</v>
      </c>
      <c r="O6811" t="s">
        <v>41250</v>
      </c>
      <c r="P6811">
        <v>0</v>
      </c>
      <c r="Q6811">
        <v>1</v>
      </c>
      <c r="R6811" t="s">
        <v>41257</v>
      </c>
      <c r="S6811" t="s">
        <v>41461</v>
      </c>
      <c r="T6811" t="s">
        <v>42887</v>
      </c>
      <c r="U6811" t="s">
        <v>48827</v>
      </c>
      <c r="W6811" t="s">
        <v>39817</v>
      </c>
      <c r="X6811" t="s">
        <v>41258</v>
      </c>
    </row>
    <row r="6812" spans="1:24">
      <c r="A6812">
        <f>HYPERLINK("https://www.philgeps.gov.ph/GEPSNONPILOT/Tender/SplashBidNoticeAbstractUI.aspx?menuIndex=3&amp;refID=7067814&amp;Result=3","7067814")</f>
        <v>0</v>
      </c>
      <c r="B6812" t="s">
        <v>648</v>
      </c>
      <c r="C6812" t="s">
        <v>9874</v>
      </c>
      <c r="D6812" t="s">
        <v>16648</v>
      </c>
      <c r="E6812" t="s">
        <v>22689</v>
      </c>
      <c r="F6812" t="s">
        <v>28669</v>
      </c>
      <c r="G6812" t="s">
        <v>28675</v>
      </c>
      <c r="H6812" t="s">
        <v>9998</v>
      </c>
      <c r="I6812" t="s">
        <v>7352</v>
      </c>
      <c r="J6812" t="s">
        <v>33113</v>
      </c>
      <c r="K6812" t="s">
        <v>37210</v>
      </c>
      <c r="M6812" t="s">
        <v>38149</v>
      </c>
      <c r="N6812" t="s">
        <v>41249</v>
      </c>
      <c r="O6812" t="s">
        <v>41250</v>
      </c>
      <c r="P6812">
        <v>0</v>
      </c>
      <c r="Q6812">
        <v>0</v>
      </c>
      <c r="R6812" t="s">
        <v>41257</v>
      </c>
      <c r="S6812" t="s">
        <v>41461</v>
      </c>
      <c r="T6812" t="s">
        <v>42679</v>
      </c>
      <c r="U6812" t="s">
        <v>48828</v>
      </c>
      <c r="W6812" t="s">
        <v>38149</v>
      </c>
      <c r="X6812" t="s">
        <v>41258</v>
      </c>
    </row>
    <row r="6813" spans="1:24">
      <c r="A6813">
        <f>HYPERLINK("https://www.philgeps.gov.ph/GEPSNONPILOT/Tender/SplashBidNoticeAbstractUI.aspx?menuIndex=3&amp;refID=7067773&amp;Result=3","7067773")</f>
        <v>0</v>
      </c>
      <c r="B6813" t="s">
        <v>492</v>
      </c>
      <c r="C6813" t="s">
        <v>9875</v>
      </c>
      <c r="D6813" t="s">
        <v>16621</v>
      </c>
      <c r="E6813" t="s">
        <v>22690</v>
      </c>
      <c r="F6813" t="s">
        <v>28669</v>
      </c>
      <c r="G6813" t="s">
        <v>28675</v>
      </c>
      <c r="H6813" t="s">
        <v>28686</v>
      </c>
      <c r="I6813" t="s">
        <v>28689</v>
      </c>
      <c r="J6813" t="s">
        <v>28850</v>
      </c>
      <c r="K6813" t="s">
        <v>37215</v>
      </c>
      <c r="M6813" t="s">
        <v>37981</v>
      </c>
      <c r="N6813" t="s">
        <v>41249</v>
      </c>
      <c r="O6813" t="s">
        <v>41250</v>
      </c>
      <c r="P6813">
        <v>0</v>
      </c>
      <c r="Q6813">
        <v>2</v>
      </c>
      <c r="R6813" t="s">
        <v>41257</v>
      </c>
      <c r="S6813" t="s">
        <v>41461</v>
      </c>
      <c r="T6813" t="s">
        <v>42808</v>
      </c>
      <c r="U6813" t="s">
        <v>48829</v>
      </c>
      <c r="W6813" t="s">
        <v>37981</v>
      </c>
      <c r="X6813" t="s">
        <v>41258</v>
      </c>
    </row>
    <row r="6814" spans="1:24">
      <c r="A6814">
        <f>HYPERLINK("https://www.philgeps.gov.ph/GEPSNONPILOT/Tender/SplashBidNoticeAbstractUI.aspx?menuIndex=3&amp;refID=7067722&amp;Result=3","7067722")</f>
        <v>0</v>
      </c>
      <c r="B6814" t="s">
        <v>2172</v>
      </c>
      <c r="C6814" t="s">
        <v>9876</v>
      </c>
      <c r="D6814" t="s">
        <v>16643</v>
      </c>
      <c r="E6814" t="s">
        <v>22679</v>
      </c>
      <c r="F6814" t="s">
        <v>28669</v>
      </c>
      <c r="G6814" t="s">
        <v>28675</v>
      </c>
      <c r="H6814" t="s">
        <v>9998</v>
      </c>
      <c r="I6814" t="s">
        <v>28695</v>
      </c>
      <c r="J6814" t="s">
        <v>33114</v>
      </c>
      <c r="K6814" t="s">
        <v>37206</v>
      </c>
      <c r="M6814" t="s">
        <v>39821</v>
      </c>
      <c r="N6814" t="s">
        <v>41249</v>
      </c>
      <c r="O6814" t="s">
        <v>41250</v>
      </c>
      <c r="P6814">
        <v>0</v>
      </c>
      <c r="Q6814">
        <v>0</v>
      </c>
      <c r="R6814" t="s">
        <v>41257</v>
      </c>
      <c r="S6814" t="s">
        <v>41461</v>
      </c>
      <c r="T6814" t="s">
        <v>42884</v>
      </c>
      <c r="U6814" t="s">
        <v>48830</v>
      </c>
      <c r="W6814" t="s">
        <v>39821</v>
      </c>
      <c r="X6814" t="s">
        <v>41258</v>
      </c>
    </row>
    <row r="6815" spans="1:24">
      <c r="A6815">
        <f>HYPERLINK("https://www.philgeps.gov.ph/GEPSNONPILOT/Tender/SplashBidNoticeAbstractUI.aspx?menuIndex=3&amp;refID=7067671&amp;Result=3","7067671")</f>
        <v>0</v>
      </c>
      <c r="B6815" t="s">
        <v>1765</v>
      </c>
      <c r="C6815" t="s">
        <v>9877</v>
      </c>
      <c r="D6815" t="s">
        <v>16639</v>
      </c>
      <c r="E6815" t="s">
        <v>22691</v>
      </c>
      <c r="F6815" t="s">
        <v>28669</v>
      </c>
      <c r="G6815" t="s">
        <v>28675</v>
      </c>
      <c r="H6815" t="s">
        <v>9998</v>
      </c>
      <c r="I6815" t="s">
        <v>28687</v>
      </c>
      <c r="J6815" t="s">
        <v>30025</v>
      </c>
      <c r="K6815" t="s">
        <v>37216</v>
      </c>
      <c r="M6815" t="s">
        <v>39367</v>
      </c>
      <c r="N6815" t="s">
        <v>41249</v>
      </c>
      <c r="O6815" t="s">
        <v>41250</v>
      </c>
      <c r="P6815">
        <v>0</v>
      </c>
      <c r="Q6815">
        <v>5</v>
      </c>
      <c r="R6815" t="s">
        <v>41257</v>
      </c>
      <c r="S6815" t="s">
        <v>41461</v>
      </c>
      <c r="T6815" t="s">
        <v>42660</v>
      </c>
      <c r="U6815" t="s">
        <v>48831</v>
      </c>
      <c r="V6815" t="s">
        <v>54830</v>
      </c>
      <c r="W6815" t="s">
        <v>39367</v>
      </c>
      <c r="X6815" t="s">
        <v>41258</v>
      </c>
    </row>
    <row r="6816" spans="1:24">
      <c r="A6816">
        <f>HYPERLINK("https://www.philgeps.gov.ph/GEPSNONPILOT/Tender/SplashBidNoticeAbstractUI.aspx?menuIndex=3&amp;refID=7068333&amp;Result=3","7068333")</f>
        <v>0</v>
      </c>
      <c r="B6816" t="s">
        <v>238</v>
      </c>
      <c r="C6816" t="s">
        <v>9878</v>
      </c>
      <c r="D6816" t="s">
        <v>16640</v>
      </c>
      <c r="E6816" t="s">
        <v>22692</v>
      </c>
      <c r="F6816" t="s">
        <v>28669</v>
      </c>
      <c r="G6816" t="s">
        <v>28677</v>
      </c>
      <c r="H6816" t="s">
        <v>9998</v>
      </c>
      <c r="I6816" t="s">
        <v>28789</v>
      </c>
      <c r="J6816" t="s">
        <v>33115</v>
      </c>
      <c r="K6816" t="s">
        <v>37209</v>
      </c>
      <c r="M6816" t="s">
        <v>37716</v>
      </c>
      <c r="N6816" t="s">
        <v>41249</v>
      </c>
      <c r="O6816" t="s">
        <v>41250</v>
      </c>
      <c r="P6816">
        <v>0</v>
      </c>
      <c r="Q6816">
        <v>5</v>
      </c>
      <c r="R6816" t="s">
        <v>41257</v>
      </c>
      <c r="S6816" t="s">
        <v>41461</v>
      </c>
      <c r="T6816" t="s">
        <v>42914</v>
      </c>
      <c r="U6816" t="s">
        <v>48832</v>
      </c>
      <c r="W6816" t="s">
        <v>37716</v>
      </c>
      <c r="X6816" t="s">
        <v>41258</v>
      </c>
    </row>
    <row r="6817" spans="1:24">
      <c r="A6817">
        <f>HYPERLINK("https://www.philgeps.gov.ph/GEPSNONPILOT/Tender/SplashBidNoticeAbstractUI.aspx?menuIndex=3&amp;refID=7068331&amp;Result=3","7068331")</f>
        <v>0</v>
      </c>
      <c r="B6817" t="s">
        <v>2160</v>
      </c>
      <c r="C6817" t="s">
        <v>9879</v>
      </c>
      <c r="D6817" t="s">
        <v>16642</v>
      </c>
      <c r="E6817" t="s">
        <v>22693</v>
      </c>
      <c r="F6817" t="s">
        <v>28669</v>
      </c>
      <c r="G6817" t="s">
        <v>28675</v>
      </c>
      <c r="H6817" t="s">
        <v>28686</v>
      </c>
      <c r="I6817" t="s">
        <v>28689</v>
      </c>
      <c r="J6817" t="s">
        <v>33116</v>
      </c>
      <c r="K6817" t="s">
        <v>37209</v>
      </c>
      <c r="M6817" t="s">
        <v>39806</v>
      </c>
      <c r="N6817" t="s">
        <v>41249</v>
      </c>
      <c r="O6817" t="s">
        <v>41250</v>
      </c>
      <c r="P6817">
        <v>0</v>
      </c>
      <c r="Q6817">
        <v>0</v>
      </c>
      <c r="R6817" t="s">
        <v>41257</v>
      </c>
      <c r="S6817" t="s">
        <v>41461</v>
      </c>
      <c r="T6817" t="s">
        <v>42761</v>
      </c>
      <c r="U6817" t="s">
        <v>48833</v>
      </c>
      <c r="W6817" t="s">
        <v>39806</v>
      </c>
      <c r="X6817" t="s">
        <v>41258</v>
      </c>
    </row>
    <row r="6818" spans="1:24">
      <c r="A6818">
        <f>HYPERLINK("https://www.philgeps.gov.ph/GEPSNONPILOT/Tender/SplashBidNoticeAbstractUI.aspx?menuIndex=3&amp;refID=7068008&amp;Result=3","7068008")</f>
        <v>0</v>
      </c>
      <c r="B6818" t="s">
        <v>2229</v>
      </c>
      <c r="C6818" t="s">
        <v>5895</v>
      </c>
      <c r="D6818" t="s">
        <v>16684</v>
      </c>
      <c r="E6818" t="s">
        <v>16877</v>
      </c>
      <c r="F6818" t="s">
        <v>28669</v>
      </c>
      <c r="G6818" t="s">
        <v>28675</v>
      </c>
      <c r="H6818" t="s">
        <v>9998</v>
      </c>
      <c r="I6818" t="s">
        <v>28726</v>
      </c>
      <c r="J6818" t="s">
        <v>29088</v>
      </c>
      <c r="K6818" t="s">
        <v>37210</v>
      </c>
      <c r="M6818" t="s">
        <v>39882</v>
      </c>
      <c r="N6818" t="s">
        <v>41249</v>
      </c>
      <c r="O6818" t="s">
        <v>41250</v>
      </c>
      <c r="P6818">
        <v>0</v>
      </c>
      <c r="Q6818">
        <v>2</v>
      </c>
      <c r="R6818" t="s">
        <v>41257</v>
      </c>
      <c r="S6818" t="s">
        <v>41461</v>
      </c>
      <c r="T6818" t="s">
        <v>42759</v>
      </c>
      <c r="U6818" t="s">
        <v>48834</v>
      </c>
      <c r="W6818" t="s">
        <v>39882</v>
      </c>
      <c r="X6818" t="s">
        <v>41258</v>
      </c>
    </row>
    <row r="6819" spans="1:24">
      <c r="A6819">
        <f>HYPERLINK("https://www.philgeps.gov.ph/GEPSNONPILOT/Tender/SplashBidNoticeAbstractUI.aspx?menuIndex=3&amp;refID=7067735&amp;Result=3","7067735")</f>
        <v>0</v>
      </c>
      <c r="B6819" t="s">
        <v>1333</v>
      </c>
      <c r="C6819" t="s">
        <v>9880</v>
      </c>
      <c r="D6819" t="s">
        <v>16612</v>
      </c>
      <c r="E6819" t="s">
        <v>22694</v>
      </c>
      <c r="F6819" t="s">
        <v>28669</v>
      </c>
      <c r="G6819" t="s">
        <v>28675</v>
      </c>
      <c r="H6819" t="s">
        <v>9998</v>
      </c>
      <c r="I6819" t="s">
        <v>7352</v>
      </c>
      <c r="J6819" t="s">
        <v>33117</v>
      </c>
      <c r="K6819" t="s">
        <v>37231</v>
      </c>
      <c r="M6819" t="s">
        <v>38887</v>
      </c>
      <c r="N6819" t="s">
        <v>41249</v>
      </c>
      <c r="O6819" t="s">
        <v>41250</v>
      </c>
      <c r="P6819">
        <v>0</v>
      </c>
      <c r="Q6819">
        <v>0</v>
      </c>
      <c r="R6819" t="s">
        <v>41257</v>
      </c>
      <c r="S6819" t="s">
        <v>41461</v>
      </c>
      <c r="T6819" t="s">
        <v>42738</v>
      </c>
      <c r="U6819" t="s">
        <v>48835</v>
      </c>
      <c r="W6819" t="s">
        <v>38887</v>
      </c>
      <c r="X6819" t="s">
        <v>41258</v>
      </c>
    </row>
    <row r="6820" spans="1:24">
      <c r="A6820">
        <f>HYPERLINK("https://www.philgeps.gov.ph/GEPSNONPILOT/Tender/SplashBidNoticeAbstractUI.aspx?menuIndex=3&amp;refID=7068328&amp;Result=3","7068328")</f>
        <v>0</v>
      </c>
      <c r="B6820" t="s">
        <v>2230</v>
      </c>
      <c r="C6820" t="s">
        <v>9881</v>
      </c>
      <c r="D6820" t="s">
        <v>16647</v>
      </c>
      <c r="E6820" t="s">
        <v>22695</v>
      </c>
      <c r="F6820" t="s">
        <v>28669</v>
      </c>
      <c r="G6820" t="s">
        <v>28675</v>
      </c>
      <c r="H6820" t="s">
        <v>9998</v>
      </c>
      <c r="I6820" t="s">
        <v>3718</v>
      </c>
      <c r="J6820" t="s">
        <v>33118</v>
      </c>
      <c r="K6820" t="s">
        <v>37206</v>
      </c>
      <c r="M6820" t="s">
        <v>39883</v>
      </c>
      <c r="N6820" t="s">
        <v>41249</v>
      </c>
      <c r="O6820" t="s">
        <v>41250</v>
      </c>
      <c r="P6820">
        <v>0</v>
      </c>
      <c r="Q6820">
        <v>5</v>
      </c>
      <c r="R6820" t="s">
        <v>41257</v>
      </c>
      <c r="S6820" t="s">
        <v>41461</v>
      </c>
      <c r="T6820" t="s">
        <v>42716</v>
      </c>
      <c r="U6820" t="s">
        <v>48836</v>
      </c>
      <c r="W6820" t="s">
        <v>55983</v>
      </c>
      <c r="X6820" t="s">
        <v>41258</v>
      </c>
    </row>
    <row r="6821" spans="1:24">
      <c r="A6821">
        <f>HYPERLINK("https://www.philgeps.gov.ph/GEPSNONPILOT/Tender/SplashBidNoticeAbstractUI.aspx?menuIndex=3&amp;refID=7067815&amp;Result=3","7067815")</f>
        <v>0</v>
      </c>
      <c r="B6821" t="s">
        <v>1969</v>
      </c>
      <c r="C6821" t="s">
        <v>9882</v>
      </c>
      <c r="D6821" t="s">
        <v>16639</v>
      </c>
      <c r="E6821" t="s">
        <v>18448</v>
      </c>
      <c r="F6821" t="s">
        <v>28669</v>
      </c>
      <c r="G6821" t="s">
        <v>28675</v>
      </c>
      <c r="H6821" t="s">
        <v>9998</v>
      </c>
      <c r="I6821" t="s">
        <v>28697</v>
      </c>
      <c r="J6821" t="s">
        <v>33119</v>
      </c>
      <c r="K6821" t="s">
        <v>37206</v>
      </c>
      <c r="M6821" t="s">
        <v>39603</v>
      </c>
      <c r="N6821" t="s">
        <v>41249</v>
      </c>
      <c r="O6821" t="s">
        <v>41250</v>
      </c>
      <c r="P6821">
        <v>0</v>
      </c>
      <c r="Q6821">
        <v>7</v>
      </c>
      <c r="R6821" t="s">
        <v>41257</v>
      </c>
      <c r="S6821" t="s">
        <v>41461</v>
      </c>
      <c r="T6821" t="s">
        <v>43000</v>
      </c>
      <c r="U6821" t="s">
        <v>48837</v>
      </c>
      <c r="V6821" t="s">
        <v>55050</v>
      </c>
      <c r="W6821" t="s">
        <v>39603</v>
      </c>
      <c r="X6821" t="s">
        <v>41258</v>
      </c>
    </row>
    <row r="6822" spans="1:24">
      <c r="A6822">
        <f>HYPERLINK("https://www.philgeps.gov.ph/GEPSNONPILOT/Tender/SplashBidNoticeAbstractUI.aspx?menuIndex=3&amp;refID=7068325&amp;Result=3","7068325")</f>
        <v>0</v>
      </c>
      <c r="B6822" t="s">
        <v>399</v>
      </c>
      <c r="C6822" t="s">
        <v>9883</v>
      </c>
      <c r="D6822" t="s">
        <v>16609</v>
      </c>
      <c r="E6822" t="s">
        <v>22696</v>
      </c>
      <c r="F6822" t="s">
        <v>28669</v>
      </c>
      <c r="G6822" t="s">
        <v>28676</v>
      </c>
      <c r="H6822" t="s">
        <v>28685</v>
      </c>
      <c r="I6822" t="s">
        <v>28685</v>
      </c>
      <c r="J6822" t="s">
        <v>33120</v>
      </c>
      <c r="K6822" t="s">
        <v>37314</v>
      </c>
      <c r="M6822" t="s">
        <v>37884</v>
      </c>
      <c r="N6822" t="s">
        <v>41249</v>
      </c>
      <c r="O6822" t="s">
        <v>41250</v>
      </c>
      <c r="P6822">
        <v>0</v>
      </c>
      <c r="Q6822">
        <v>3</v>
      </c>
      <c r="R6822" t="s">
        <v>41257</v>
      </c>
      <c r="S6822" t="s">
        <v>41461</v>
      </c>
      <c r="T6822" t="s">
        <v>42887</v>
      </c>
      <c r="U6822" t="s">
        <v>48838</v>
      </c>
      <c r="W6822" t="s">
        <v>37884</v>
      </c>
      <c r="X6822" t="s">
        <v>41258</v>
      </c>
    </row>
    <row r="6823" spans="1:24">
      <c r="A6823">
        <f>HYPERLINK("https://www.philgeps.gov.ph/GEPSNONPILOT/Tender/SplashBidNoticeAbstractUI.aspx?menuIndex=3&amp;refID=7067725&amp;Result=3","7067725")</f>
        <v>0</v>
      </c>
      <c r="B6823" t="s">
        <v>2007</v>
      </c>
      <c r="C6823" t="s">
        <v>9884</v>
      </c>
      <c r="D6823" t="s">
        <v>16615</v>
      </c>
      <c r="E6823" t="s">
        <v>22697</v>
      </c>
      <c r="F6823" t="s">
        <v>28669</v>
      </c>
      <c r="G6823" t="s">
        <v>28676</v>
      </c>
      <c r="H6823" t="s">
        <v>9998</v>
      </c>
      <c r="I6823" t="s">
        <v>28699</v>
      </c>
      <c r="J6823" t="s">
        <v>29538</v>
      </c>
      <c r="K6823" t="s">
        <v>37204</v>
      </c>
      <c r="M6823" t="s">
        <v>39645</v>
      </c>
      <c r="N6823" t="s">
        <v>41249</v>
      </c>
      <c r="O6823" t="s">
        <v>41250</v>
      </c>
      <c r="P6823">
        <v>0</v>
      </c>
      <c r="Q6823">
        <v>2</v>
      </c>
      <c r="R6823" t="s">
        <v>41257</v>
      </c>
      <c r="S6823" t="s">
        <v>41461</v>
      </c>
      <c r="T6823" t="s">
        <v>42736</v>
      </c>
      <c r="U6823" t="s">
        <v>48839</v>
      </c>
      <c r="V6823" t="s">
        <v>54926</v>
      </c>
      <c r="W6823" t="s">
        <v>39645</v>
      </c>
      <c r="X6823" t="s">
        <v>41258</v>
      </c>
    </row>
    <row r="6824" spans="1:24">
      <c r="A6824">
        <f>HYPERLINK("https://www.philgeps.gov.ph/GEPSNONPILOT/Tender/SplashBidNoticeAbstractUI.aspx?menuIndex=3&amp;refID=7068323&amp;Result=3","7068323")</f>
        <v>0</v>
      </c>
      <c r="B6824" t="s">
        <v>2160</v>
      </c>
      <c r="C6824" t="s">
        <v>9885</v>
      </c>
      <c r="D6824" t="s">
        <v>16642</v>
      </c>
      <c r="E6824" t="s">
        <v>22698</v>
      </c>
      <c r="F6824" t="s">
        <v>28669</v>
      </c>
      <c r="G6824" t="s">
        <v>28675</v>
      </c>
      <c r="H6824" t="s">
        <v>28686</v>
      </c>
      <c r="I6824" t="s">
        <v>28689</v>
      </c>
      <c r="J6824" t="s">
        <v>33121</v>
      </c>
      <c r="K6824" t="s">
        <v>37209</v>
      </c>
      <c r="M6824" t="s">
        <v>39806</v>
      </c>
      <c r="N6824" t="s">
        <v>41249</v>
      </c>
      <c r="O6824" t="s">
        <v>41250</v>
      </c>
      <c r="P6824">
        <v>0</v>
      </c>
      <c r="Q6824">
        <v>0</v>
      </c>
      <c r="R6824" t="s">
        <v>41257</v>
      </c>
      <c r="S6824" t="s">
        <v>41461</v>
      </c>
      <c r="T6824" t="s">
        <v>42761</v>
      </c>
      <c r="U6824" t="s">
        <v>48840</v>
      </c>
      <c r="W6824" t="s">
        <v>39806</v>
      </c>
      <c r="X6824" t="s">
        <v>41258</v>
      </c>
    </row>
    <row r="6825" spans="1:24">
      <c r="A6825">
        <f>HYPERLINK("https://www.philgeps.gov.ph/GEPSNONPILOT/Tender/SplashBidNoticeAbstractUI.aspx?menuIndex=3&amp;refID=7068318&amp;Result=3","7068318")</f>
        <v>0</v>
      </c>
      <c r="B6825" t="s">
        <v>2160</v>
      </c>
      <c r="C6825" t="s">
        <v>9886</v>
      </c>
      <c r="D6825" t="s">
        <v>16642</v>
      </c>
      <c r="E6825" t="s">
        <v>22699</v>
      </c>
      <c r="F6825" t="s">
        <v>28669</v>
      </c>
      <c r="G6825" t="s">
        <v>28675</v>
      </c>
      <c r="H6825" t="s">
        <v>28686</v>
      </c>
      <c r="I6825" t="s">
        <v>28689</v>
      </c>
      <c r="J6825" t="s">
        <v>33122</v>
      </c>
      <c r="K6825" t="s">
        <v>37209</v>
      </c>
      <c r="M6825" t="s">
        <v>39806</v>
      </c>
      <c r="N6825" t="s">
        <v>41249</v>
      </c>
      <c r="O6825" t="s">
        <v>41250</v>
      </c>
      <c r="P6825">
        <v>0</v>
      </c>
      <c r="Q6825">
        <v>0</v>
      </c>
      <c r="R6825" t="s">
        <v>41257</v>
      </c>
      <c r="S6825" t="s">
        <v>41461</v>
      </c>
      <c r="T6825" t="s">
        <v>42761</v>
      </c>
      <c r="U6825" t="s">
        <v>48841</v>
      </c>
      <c r="W6825" t="s">
        <v>39806</v>
      </c>
      <c r="X6825" t="s">
        <v>41258</v>
      </c>
    </row>
    <row r="6826" spans="1:24">
      <c r="A6826">
        <f>HYPERLINK("https://www.philgeps.gov.ph/GEPSNONPILOT/Tender/SplashBidNoticeAbstractUI.aspx?menuIndex=3&amp;refID=7068329&amp;Result=3","7068329")</f>
        <v>0</v>
      </c>
      <c r="B6826" t="s">
        <v>2200</v>
      </c>
      <c r="C6826" t="s">
        <v>9887</v>
      </c>
      <c r="D6826" t="s">
        <v>16646</v>
      </c>
      <c r="E6826" t="s">
        <v>22700</v>
      </c>
      <c r="F6826" t="s">
        <v>28669</v>
      </c>
      <c r="G6826" t="s">
        <v>28676</v>
      </c>
      <c r="H6826" t="s">
        <v>28685</v>
      </c>
      <c r="I6826" t="s">
        <v>28685</v>
      </c>
      <c r="J6826" t="s">
        <v>33057</v>
      </c>
      <c r="K6826" t="s">
        <v>37375</v>
      </c>
      <c r="M6826" t="s">
        <v>39850</v>
      </c>
      <c r="N6826" t="s">
        <v>41249</v>
      </c>
      <c r="O6826" t="s">
        <v>41250</v>
      </c>
      <c r="P6826">
        <v>0</v>
      </c>
      <c r="Q6826">
        <v>2</v>
      </c>
      <c r="R6826" t="s">
        <v>41257</v>
      </c>
      <c r="S6826" t="s">
        <v>41461</v>
      </c>
      <c r="T6826" t="s">
        <v>42727</v>
      </c>
      <c r="U6826" t="s">
        <v>48756</v>
      </c>
      <c r="V6826" t="s">
        <v>55042</v>
      </c>
      <c r="W6826" t="s">
        <v>39850</v>
      </c>
      <c r="X6826" t="s">
        <v>41258</v>
      </c>
    </row>
    <row r="6827" spans="1:24">
      <c r="A6827">
        <f>HYPERLINK("https://www.philgeps.gov.ph/GEPSNONPILOT/Tender/SplashBidNoticeAbstractUI.aspx?menuIndex=3&amp;refID=7068327&amp;Result=3","7068327")</f>
        <v>0</v>
      </c>
      <c r="B6827" t="s">
        <v>2231</v>
      </c>
      <c r="C6827" t="s">
        <v>9888</v>
      </c>
      <c r="E6827" t="s">
        <v>22701</v>
      </c>
      <c r="F6827" t="s">
        <v>28669</v>
      </c>
      <c r="G6827" t="s">
        <v>28675</v>
      </c>
      <c r="H6827" t="s">
        <v>28686</v>
      </c>
      <c r="I6827" t="s">
        <v>28689</v>
      </c>
      <c r="J6827" t="s">
        <v>33123</v>
      </c>
      <c r="K6827" t="s">
        <v>37206</v>
      </c>
      <c r="M6827" t="s">
        <v>39884</v>
      </c>
      <c r="N6827" t="s">
        <v>41249</v>
      </c>
      <c r="O6827" t="s">
        <v>41250</v>
      </c>
      <c r="P6827">
        <v>0</v>
      </c>
      <c r="Q6827">
        <v>0</v>
      </c>
      <c r="R6827" t="s">
        <v>41257</v>
      </c>
      <c r="S6827" t="s">
        <v>41461</v>
      </c>
      <c r="T6827" t="s">
        <v>42679</v>
      </c>
      <c r="U6827" t="s">
        <v>48842</v>
      </c>
      <c r="W6827" t="s">
        <v>39884</v>
      </c>
      <c r="X6827" t="s">
        <v>41258</v>
      </c>
    </row>
    <row r="6828" spans="1:24">
      <c r="A6828">
        <f>HYPERLINK("https://www.philgeps.gov.ph/GEPSNONPILOT/Tender/SplashBidNoticeAbstractUI.aspx?menuIndex=3&amp;refID=7068315&amp;Result=3","7068315")</f>
        <v>0</v>
      </c>
      <c r="B6828" t="s">
        <v>659</v>
      </c>
      <c r="C6828" t="s">
        <v>9889</v>
      </c>
      <c r="D6828" t="s">
        <v>16643</v>
      </c>
      <c r="E6828" t="s">
        <v>22702</v>
      </c>
      <c r="F6828" t="s">
        <v>28669</v>
      </c>
      <c r="G6828" t="s">
        <v>28676</v>
      </c>
      <c r="H6828" t="s">
        <v>9998</v>
      </c>
      <c r="I6828" t="s">
        <v>3679</v>
      </c>
      <c r="J6828" t="s">
        <v>33124</v>
      </c>
      <c r="K6828" t="s">
        <v>37204</v>
      </c>
      <c r="M6828" t="s">
        <v>38161</v>
      </c>
      <c r="N6828" t="s">
        <v>41249</v>
      </c>
      <c r="O6828" t="s">
        <v>41250</v>
      </c>
      <c r="P6828">
        <v>0</v>
      </c>
      <c r="Q6828">
        <v>1</v>
      </c>
      <c r="R6828" t="s">
        <v>41257</v>
      </c>
      <c r="S6828" t="s">
        <v>41461</v>
      </c>
      <c r="T6828" t="s">
        <v>42736</v>
      </c>
      <c r="U6828" t="s">
        <v>48732</v>
      </c>
      <c r="W6828" t="s">
        <v>55925</v>
      </c>
      <c r="X6828" t="s">
        <v>41258</v>
      </c>
    </row>
    <row r="6829" spans="1:24">
      <c r="A6829">
        <f>HYPERLINK("https://www.philgeps.gov.ph/GEPSNONPILOT/Tender/SplashBidNoticeAbstractUI.aspx?menuIndex=3&amp;refID=7068326&amp;Result=3","7068326")</f>
        <v>0</v>
      </c>
      <c r="B6829" t="s">
        <v>2212</v>
      </c>
      <c r="C6829" t="s">
        <v>9890</v>
      </c>
      <c r="D6829" t="s">
        <v>16680</v>
      </c>
      <c r="E6829" t="s">
        <v>22703</v>
      </c>
      <c r="F6829" t="s">
        <v>28671</v>
      </c>
      <c r="G6829" t="s">
        <v>28676</v>
      </c>
      <c r="H6829" t="s">
        <v>28686</v>
      </c>
      <c r="I6829" t="s">
        <v>28719</v>
      </c>
      <c r="J6829" t="s">
        <v>33125</v>
      </c>
      <c r="K6829" t="s">
        <v>37209</v>
      </c>
      <c r="M6829" t="s">
        <v>39864</v>
      </c>
      <c r="N6829" t="s">
        <v>41249</v>
      </c>
      <c r="O6829" t="s">
        <v>41250</v>
      </c>
      <c r="P6829">
        <v>0</v>
      </c>
      <c r="Q6829">
        <v>3</v>
      </c>
      <c r="R6829" t="s">
        <v>41257</v>
      </c>
      <c r="S6829" t="s">
        <v>41461</v>
      </c>
      <c r="T6829" t="s">
        <v>42758</v>
      </c>
      <c r="U6829" t="s">
        <v>48843</v>
      </c>
      <c r="W6829" t="s">
        <v>39864</v>
      </c>
      <c r="X6829" t="s">
        <v>41258</v>
      </c>
    </row>
    <row r="6830" spans="1:24">
      <c r="A6830">
        <f>HYPERLINK("https://www.philgeps.gov.ph/GEPSNONPILOT/Tender/SplashBidNoticeAbstractUI.aspx?menuIndex=3&amp;refID=7068310&amp;Result=3","7068310")</f>
        <v>0</v>
      </c>
      <c r="B6830" t="s">
        <v>2223</v>
      </c>
      <c r="C6830" t="s">
        <v>9891</v>
      </c>
      <c r="D6830" t="s">
        <v>16671</v>
      </c>
      <c r="E6830" t="s">
        <v>22704</v>
      </c>
      <c r="F6830" t="s">
        <v>28671</v>
      </c>
      <c r="G6830" t="s">
        <v>28675</v>
      </c>
      <c r="H6830" t="s">
        <v>28686</v>
      </c>
      <c r="I6830" t="s">
        <v>28689</v>
      </c>
      <c r="J6830" t="s">
        <v>33126</v>
      </c>
      <c r="K6830" t="s">
        <v>37376</v>
      </c>
      <c r="M6830" t="s">
        <v>39876</v>
      </c>
      <c r="N6830" t="s">
        <v>41249</v>
      </c>
      <c r="O6830" t="s">
        <v>41250</v>
      </c>
      <c r="P6830">
        <v>0</v>
      </c>
      <c r="Q6830">
        <v>2</v>
      </c>
      <c r="R6830" t="s">
        <v>41257</v>
      </c>
      <c r="S6830" t="s">
        <v>41461</v>
      </c>
      <c r="T6830" t="s">
        <v>42836</v>
      </c>
      <c r="U6830" t="s">
        <v>48806</v>
      </c>
      <c r="W6830" t="s">
        <v>39876</v>
      </c>
      <c r="X6830" t="s">
        <v>41258</v>
      </c>
    </row>
    <row r="6831" spans="1:24">
      <c r="A6831">
        <f>HYPERLINK("https://www.philgeps.gov.ph/GEPSNONPILOT/Tender/SplashBidNoticeAbstractUI.aspx?menuIndex=3&amp;refID=7068306&amp;Result=3","7068306")</f>
        <v>0</v>
      </c>
      <c r="B6831" t="s">
        <v>2208</v>
      </c>
      <c r="C6831" t="s">
        <v>9892</v>
      </c>
      <c r="D6831" t="s">
        <v>16657</v>
      </c>
      <c r="E6831" t="s">
        <v>22705</v>
      </c>
      <c r="F6831" t="s">
        <v>28669</v>
      </c>
      <c r="G6831" t="s">
        <v>28676</v>
      </c>
      <c r="H6831" t="s">
        <v>9998</v>
      </c>
      <c r="I6831" t="s">
        <v>3718</v>
      </c>
      <c r="J6831" t="s">
        <v>28854</v>
      </c>
      <c r="K6831" t="s">
        <v>37216</v>
      </c>
      <c r="M6831" t="s">
        <v>39858</v>
      </c>
      <c r="N6831" t="s">
        <v>41249</v>
      </c>
      <c r="O6831" t="s">
        <v>41250</v>
      </c>
      <c r="P6831">
        <v>0</v>
      </c>
      <c r="Q6831">
        <v>4</v>
      </c>
      <c r="R6831" t="s">
        <v>41257</v>
      </c>
      <c r="S6831" t="s">
        <v>41461</v>
      </c>
      <c r="T6831" t="s">
        <v>42992</v>
      </c>
      <c r="U6831" t="s">
        <v>48844</v>
      </c>
      <c r="W6831" t="s">
        <v>39858</v>
      </c>
      <c r="X6831" t="s">
        <v>41258</v>
      </c>
    </row>
    <row r="6832" spans="1:24">
      <c r="A6832">
        <f>HYPERLINK("https://www.philgeps.gov.ph/GEPSNONPILOT/Tender/SplashBidNoticeAbstractUI.aspx?menuIndex=3&amp;refID=7068322&amp;Result=3","7068322")</f>
        <v>0</v>
      </c>
      <c r="B6832" t="s">
        <v>2214</v>
      </c>
      <c r="C6832" t="s">
        <v>9893</v>
      </c>
      <c r="D6832" t="s">
        <v>16631</v>
      </c>
      <c r="E6832" t="s">
        <v>22706</v>
      </c>
      <c r="F6832" t="s">
        <v>28669</v>
      </c>
      <c r="G6832" t="s">
        <v>28677</v>
      </c>
      <c r="H6832" t="s">
        <v>9998</v>
      </c>
      <c r="I6832" t="s">
        <v>28704</v>
      </c>
      <c r="J6832" t="s">
        <v>29187</v>
      </c>
      <c r="K6832" t="s">
        <v>37220</v>
      </c>
      <c r="M6832" t="s">
        <v>39866</v>
      </c>
      <c r="N6832" t="s">
        <v>41249</v>
      </c>
      <c r="O6832" t="s">
        <v>41250</v>
      </c>
      <c r="P6832">
        <v>0</v>
      </c>
      <c r="Q6832">
        <v>2</v>
      </c>
      <c r="R6832" t="s">
        <v>41257</v>
      </c>
      <c r="S6832" t="s">
        <v>41461</v>
      </c>
      <c r="T6832" t="s">
        <v>42727</v>
      </c>
      <c r="U6832" t="s">
        <v>48845</v>
      </c>
      <c r="V6832" t="s">
        <v>55044</v>
      </c>
      <c r="W6832" t="s">
        <v>39866</v>
      </c>
      <c r="X6832" t="s">
        <v>41258</v>
      </c>
    </row>
    <row r="6833" spans="1:24">
      <c r="A6833">
        <f>HYPERLINK("https://www.philgeps.gov.ph/GEPSNONPILOT/Tender/SplashBidNoticeAbstractUI.aspx?menuIndex=3&amp;refID=7068304&amp;Result=3","7068304")</f>
        <v>0</v>
      </c>
      <c r="B6833" t="s">
        <v>61</v>
      </c>
      <c r="C6833" t="s">
        <v>9894</v>
      </c>
      <c r="D6833" t="s">
        <v>16621</v>
      </c>
      <c r="E6833" t="s">
        <v>22707</v>
      </c>
      <c r="F6833" t="s">
        <v>28669</v>
      </c>
      <c r="G6833" t="s">
        <v>28677</v>
      </c>
      <c r="H6833" t="s">
        <v>9998</v>
      </c>
      <c r="I6833" t="s">
        <v>28729</v>
      </c>
      <c r="J6833" t="s">
        <v>28912</v>
      </c>
      <c r="K6833" t="s">
        <v>37220</v>
      </c>
      <c r="M6833" t="s">
        <v>37536</v>
      </c>
      <c r="N6833" t="s">
        <v>41249</v>
      </c>
      <c r="O6833" t="s">
        <v>41250</v>
      </c>
      <c r="P6833">
        <v>0</v>
      </c>
      <c r="Q6833">
        <v>9</v>
      </c>
      <c r="R6833" t="s">
        <v>41257</v>
      </c>
      <c r="S6833" t="s">
        <v>41461</v>
      </c>
      <c r="T6833" t="s">
        <v>42728</v>
      </c>
      <c r="U6833" t="s">
        <v>48846</v>
      </c>
      <c r="W6833" t="s">
        <v>37536</v>
      </c>
      <c r="X6833" t="s">
        <v>41258</v>
      </c>
    </row>
    <row r="6834" spans="1:24">
      <c r="A6834">
        <f>HYPERLINK("https://www.philgeps.gov.ph/GEPSNONPILOT/Tender/SplashBidNoticeAbstractUI.aspx?menuIndex=3&amp;refID=7068297&amp;Result=3","7068297")</f>
        <v>0</v>
      </c>
      <c r="B6834" t="s">
        <v>1603</v>
      </c>
      <c r="C6834" t="s">
        <v>9895</v>
      </c>
      <c r="D6834" t="s">
        <v>16624</v>
      </c>
      <c r="E6834" t="s">
        <v>22708</v>
      </c>
      <c r="F6834" t="s">
        <v>28669</v>
      </c>
      <c r="G6834" t="s">
        <v>28675</v>
      </c>
      <c r="H6834" t="s">
        <v>28686</v>
      </c>
      <c r="I6834" t="s">
        <v>28691</v>
      </c>
      <c r="J6834" t="s">
        <v>33127</v>
      </c>
      <c r="K6834" t="s">
        <v>37220</v>
      </c>
      <c r="M6834" t="s">
        <v>39187</v>
      </c>
      <c r="N6834" t="s">
        <v>41249</v>
      </c>
      <c r="O6834" t="s">
        <v>41250</v>
      </c>
      <c r="P6834">
        <v>0</v>
      </c>
      <c r="Q6834">
        <v>0</v>
      </c>
      <c r="R6834" t="s">
        <v>41257</v>
      </c>
      <c r="S6834" t="s">
        <v>41461</v>
      </c>
      <c r="T6834" t="s">
        <v>42722</v>
      </c>
      <c r="U6834" t="s">
        <v>48847</v>
      </c>
      <c r="W6834" t="s">
        <v>39187</v>
      </c>
      <c r="X6834" t="s">
        <v>41258</v>
      </c>
    </row>
    <row r="6835" spans="1:24">
      <c r="A6835">
        <f>HYPERLINK("https://www.philgeps.gov.ph/GEPSNONPILOT/Tender/SplashBidNoticeAbstractUI.aspx?menuIndex=3&amp;refID=7067721&amp;Result=3","7067721")</f>
        <v>0</v>
      </c>
      <c r="B6835" t="s">
        <v>2232</v>
      </c>
      <c r="C6835" t="s">
        <v>9896</v>
      </c>
      <c r="D6835" t="s">
        <v>16619</v>
      </c>
      <c r="E6835" t="s">
        <v>22709</v>
      </c>
      <c r="F6835" t="s">
        <v>28671</v>
      </c>
      <c r="G6835" t="s">
        <v>28675</v>
      </c>
      <c r="H6835" t="s">
        <v>9998</v>
      </c>
      <c r="I6835" t="s">
        <v>7352</v>
      </c>
      <c r="J6835" t="s">
        <v>33128</v>
      </c>
      <c r="K6835" t="s">
        <v>37210</v>
      </c>
      <c r="M6835" t="s">
        <v>39885</v>
      </c>
      <c r="N6835" t="s">
        <v>41249</v>
      </c>
      <c r="O6835" t="s">
        <v>41250</v>
      </c>
      <c r="P6835">
        <v>0</v>
      </c>
      <c r="Q6835">
        <v>2</v>
      </c>
      <c r="R6835" t="s">
        <v>41257</v>
      </c>
      <c r="S6835" t="s">
        <v>41461</v>
      </c>
      <c r="T6835" t="s">
        <v>42660</v>
      </c>
      <c r="U6835" t="s">
        <v>48848</v>
      </c>
      <c r="W6835" t="s">
        <v>39885</v>
      </c>
      <c r="X6835" t="s">
        <v>41258</v>
      </c>
    </row>
    <row r="6836" spans="1:24">
      <c r="A6836">
        <f>HYPERLINK("https://www.philgeps.gov.ph/GEPSNONPILOT/Tender/SplashBidNoticeAbstractUI.aspx?menuIndex=3&amp;refID=7068316&amp;Result=3","7068316")</f>
        <v>0</v>
      </c>
      <c r="B6836" t="s">
        <v>2138</v>
      </c>
      <c r="C6836" t="s">
        <v>9897</v>
      </c>
      <c r="D6836" t="s">
        <v>16668</v>
      </c>
      <c r="E6836" t="s">
        <v>22710</v>
      </c>
      <c r="F6836" t="s">
        <v>28669</v>
      </c>
      <c r="G6836" t="s">
        <v>28675</v>
      </c>
      <c r="H6836" t="s">
        <v>28686</v>
      </c>
      <c r="I6836" t="s">
        <v>28689</v>
      </c>
      <c r="J6836" t="s">
        <v>33129</v>
      </c>
      <c r="K6836" t="s">
        <v>37204</v>
      </c>
      <c r="M6836" t="s">
        <v>39783</v>
      </c>
      <c r="N6836" t="s">
        <v>41249</v>
      </c>
      <c r="O6836" t="s">
        <v>41250</v>
      </c>
      <c r="P6836">
        <v>0</v>
      </c>
      <c r="Q6836">
        <v>0</v>
      </c>
      <c r="R6836" t="s">
        <v>41257</v>
      </c>
      <c r="S6836" t="s">
        <v>41461</v>
      </c>
      <c r="T6836" t="s">
        <v>42748</v>
      </c>
      <c r="U6836" t="s">
        <v>48849</v>
      </c>
      <c r="W6836" t="s">
        <v>39783</v>
      </c>
      <c r="X6836" t="s">
        <v>41258</v>
      </c>
    </row>
    <row r="6837" spans="1:24">
      <c r="A6837">
        <f>HYPERLINK("https://www.philgeps.gov.ph/GEPSNONPILOT/Tender/SplashBidNoticeAbstractUI.aspx?menuIndex=3&amp;refID=7068313&amp;Result=3","7068313")</f>
        <v>0</v>
      </c>
      <c r="B6837" t="s">
        <v>2212</v>
      </c>
      <c r="C6837" t="s">
        <v>9898</v>
      </c>
      <c r="D6837" t="s">
        <v>16680</v>
      </c>
      <c r="E6837" t="s">
        <v>22711</v>
      </c>
      <c r="F6837" t="s">
        <v>28671</v>
      </c>
      <c r="G6837" t="s">
        <v>28676</v>
      </c>
      <c r="H6837" t="s">
        <v>28686</v>
      </c>
      <c r="I6837" t="s">
        <v>28689</v>
      </c>
      <c r="J6837" t="s">
        <v>33130</v>
      </c>
      <c r="K6837" t="s">
        <v>37209</v>
      </c>
      <c r="M6837" t="s">
        <v>39864</v>
      </c>
      <c r="N6837" t="s">
        <v>41249</v>
      </c>
      <c r="O6837" t="s">
        <v>41250</v>
      </c>
      <c r="P6837">
        <v>0</v>
      </c>
      <c r="Q6837">
        <v>0</v>
      </c>
      <c r="R6837" t="s">
        <v>41257</v>
      </c>
      <c r="S6837" t="s">
        <v>41461</v>
      </c>
      <c r="T6837" t="s">
        <v>42758</v>
      </c>
      <c r="U6837" t="s">
        <v>48850</v>
      </c>
      <c r="W6837" t="s">
        <v>39864</v>
      </c>
      <c r="X6837" t="s">
        <v>41258</v>
      </c>
    </row>
    <row r="6838" spans="1:24">
      <c r="A6838">
        <f>HYPERLINK("https://www.philgeps.gov.ph/GEPSNONPILOT/Tender/SplashBidNoticeAbstractUI.aspx?menuIndex=3&amp;refID=7067767&amp;Result=3","7067767")</f>
        <v>0</v>
      </c>
      <c r="B6838" t="s">
        <v>2160</v>
      </c>
      <c r="C6838" t="s">
        <v>9899</v>
      </c>
      <c r="D6838" t="s">
        <v>16642</v>
      </c>
      <c r="E6838" t="s">
        <v>22712</v>
      </c>
      <c r="F6838" t="s">
        <v>28669</v>
      </c>
      <c r="G6838" t="s">
        <v>28675</v>
      </c>
      <c r="H6838" t="s">
        <v>28686</v>
      </c>
      <c r="I6838" t="s">
        <v>28689</v>
      </c>
      <c r="J6838" t="s">
        <v>33131</v>
      </c>
      <c r="K6838" t="s">
        <v>37209</v>
      </c>
      <c r="M6838" t="s">
        <v>39806</v>
      </c>
      <c r="N6838" t="s">
        <v>41249</v>
      </c>
      <c r="O6838" t="s">
        <v>41250</v>
      </c>
      <c r="P6838">
        <v>0</v>
      </c>
      <c r="Q6838">
        <v>1</v>
      </c>
      <c r="R6838" t="s">
        <v>41257</v>
      </c>
      <c r="S6838" t="s">
        <v>41461</v>
      </c>
      <c r="T6838" t="s">
        <v>42702</v>
      </c>
      <c r="U6838" t="s">
        <v>48851</v>
      </c>
      <c r="W6838" t="s">
        <v>39806</v>
      </c>
      <c r="X6838" t="s">
        <v>41258</v>
      </c>
    </row>
    <row r="6839" spans="1:24">
      <c r="A6839">
        <f>HYPERLINK("https://www.philgeps.gov.ph/GEPSNONPILOT/Tender/SplashBidNoticeAbstractUI.aspx?menuIndex=3&amp;refID=7068291&amp;Result=3","7068291")</f>
        <v>0</v>
      </c>
      <c r="B6839" t="s">
        <v>1522</v>
      </c>
      <c r="C6839" t="s">
        <v>9900</v>
      </c>
      <c r="D6839" t="s">
        <v>16686</v>
      </c>
      <c r="E6839" t="s">
        <v>22713</v>
      </c>
      <c r="F6839" t="s">
        <v>28669</v>
      </c>
      <c r="G6839" t="s">
        <v>28679</v>
      </c>
      <c r="H6839" t="s">
        <v>9998</v>
      </c>
      <c r="I6839" t="s">
        <v>3718</v>
      </c>
      <c r="J6839" t="s">
        <v>30954</v>
      </c>
      <c r="K6839" t="s">
        <v>37210</v>
      </c>
      <c r="M6839" t="s">
        <v>39573</v>
      </c>
      <c r="N6839" t="s">
        <v>41249</v>
      </c>
      <c r="O6839" t="s">
        <v>41250</v>
      </c>
      <c r="P6839">
        <v>0</v>
      </c>
      <c r="Q6839">
        <v>0</v>
      </c>
      <c r="R6839" t="s">
        <v>41257</v>
      </c>
      <c r="S6839" t="s">
        <v>41461</v>
      </c>
      <c r="T6839" t="s">
        <v>42867</v>
      </c>
      <c r="U6839" t="s">
        <v>48852</v>
      </c>
      <c r="W6839" t="s">
        <v>39573</v>
      </c>
      <c r="X6839" t="s">
        <v>41258</v>
      </c>
    </row>
    <row r="6840" spans="1:24">
      <c r="A6840">
        <f>HYPERLINK("https://www.philgeps.gov.ph/GEPSNONPILOT/Tender/SplashBidNoticeAbstractUI.aspx?menuIndex=3&amp;refID=7072166&amp;Result=3","7072166")</f>
        <v>0</v>
      </c>
      <c r="B6840" t="s">
        <v>2069</v>
      </c>
      <c r="C6840" t="s">
        <v>9901</v>
      </c>
      <c r="D6840" t="s">
        <v>16678</v>
      </c>
      <c r="E6840" t="s">
        <v>22714</v>
      </c>
      <c r="F6840" t="s">
        <v>28669</v>
      </c>
      <c r="G6840" t="s">
        <v>28675</v>
      </c>
      <c r="H6840" t="s">
        <v>9998</v>
      </c>
      <c r="I6840" t="s">
        <v>28704</v>
      </c>
      <c r="J6840" t="s">
        <v>33132</v>
      </c>
      <c r="K6840" t="s">
        <v>37205</v>
      </c>
      <c r="M6840" t="s">
        <v>39710</v>
      </c>
      <c r="N6840" t="s">
        <v>41249</v>
      </c>
      <c r="O6840" t="s">
        <v>41250</v>
      </c>
      <c r="P6840">
        <v>0</v>
      </c>
      <c r="Q6840">
        <v>0</v>
      </c>
      <c r="R6840" t="s">
        <v>41256</v>
      </c>
      <c r="S6840" t="s">
        <v>41450</v>
      </c>
      <c r="T6840" t="s">
        <v>42808</v>
      </c>
      <c r="U6840" t="s">
        <v>48853</v>
      </c>
      <c r="W6840" t="s">
        <v>39710</v>
      </c>
      <c r="X6840" t="s">
        <v>41257</v>
      </c>
    </row>
    <row r="6841" spans="1:24">
      <c r="A6841">
        <f>HYPERLINK("https://www.philgeps.gov.ph/GEPSNONPILOT/Tender/SplashBidNoticeAbstractUI.aspx?menuIndex=3&amp;refID=7072093&amp;Result=3","7072093")</f>
        <v>0</v>
      </c>
      <c r="B6841" t="s">
        <v>2233</v>
      </c>
      <c r="C6841" t="s">
        <v>9902</v>
      </c>
      <c r="D6841" t="s">
        <v>16631</v>
      </c>
      <c r="E6841" t="s">
        <v>22715</v>
      </c>
      <c r="F6841" t="s">
        <v>28669</v>
      </c>
      <c r="G6841" t="s">
        <v>28675</v>
      </c>
      <c r="H6841" t="s">
        <v>9998</v>
      </c>
      <c r="I6841" t="s">
        <v>28690</v>
      </c>
      <c r="J6841" t="s">
        <v>33133</v>
      </c>
      <c r="K6841" t="s">
        <v>37221</v>
      </c>
      <c r="M6841" t="s">
        <v>39886</v>
      </c>
      <c r="N6841" t="s">
        <v>41249</v>
      </c>
      <c r="O6841" t="s">
        <v>41250</v>
      </c>
      <c r="P6841">
        <v>0</v>
      </c>
      <c r="Q6841">
        <v>14</v>
      </c>
      <c r="R6841" t="s">
        <v>41256</v>
      </c>
      <c r="S6841" t="s">
        <v>41450</v>
      </c>
      <c r="T6841" t="s">
        <v>42716</v>
      </c>
      <c r="U6841" t="s">
        <v>48854</v>
      </c>
      <c r="W6841" t="s">
        <v>39886</v>
      </c>
      <c r="X6841" t="s">
        <v>41257</v>
      </c>
    </row>
    <row r="6842" spans="1:24">
      <c r="A6842">
        <f>HYPERLINK("https://www.philgeps.gov.ph/GEPSNONPILOT/Tender/SplashBidNoticeAbstractUI.aspx?menuIndex=3&amp;refID=7068324&amp;Result=3","7068324")</f>
        <v>0</v>
      </c>
      <c r="B6842" t="s">
        <v>1032</v>
      </c>
      <c r="C6842" t="s">
        <v>9903</v>
      </c>
      <c r="D6842" t="s">
        <v>16643</v>
      </c>
      <c r="E6842" t="s">
        <v>22716</v>
      </c>
      <c r="F6842" t="s">
        <v>28669</v>
      </c>
      <c r="G6842" t="s">
        <v>28675</v>
      </c>
      <c r="H6842" t="s">
        <v>9998</v>
      </c>
      <c r="I6842" t="s">
        <v>7352</v>
      </c>
      <c r="J6842" t="s">
        <v>33134</v>
      </c>
      <c r="K6842" t="s">
        <v>37227</v>
      </c>
      <c r="M6842" t="s">
        <v>38563</v>
      </c>
      <c r="N6842" t="s">
        <v>41249</v>
      </c>
      <c r="O6842" t="s">
        <v>41250</v>
      </c>
      <c r="P6842">
        <v>0</v>
      </c>
      <c r="Q6842">
        <v>0</v>
      </c>
      <c r="R6842" t="s">
        <v>41257</v>
      </c>
      <c r="S6842" t="s">
        <v>41461</v>
      </c>
      <c r="T6842" t="s">
        <v>42736</v>
      </c>
      <c r="U6842" t="s">
        <v>48855</v>
      </c>
      <c r="W6842" t="s">
        <v>38563</v>
      </c>
      <c r="X6842" t="s">
        <v>41258</v>
      </c>
    </row>
    <row r="6843" spans="1:24">
      <c r="A6843">
        <f>HYPERLINK("https://www.philgeps.gov.ph/GEPSNONPILOT/Tender/SplashBidNoticeAbstractUI.aspx?menuIndex=3&amp;refID=7072101&amp;Result=3","7072101")</f>
        <v>0</v>
      </c>
      <c r="B6843" t="s">
        <v>1624</v>
      </c>
      <c r="C6843" t="s">
        <v>9904</v>
      </c>
      <c r="D6843" t="s">
        <v>16624</v>
      </c>
      <c r="E6843" t="s">
        <v>22717</v>
      </c>
      <c r="F6843" t="s">
        <v>28669</v>
      </c>
      <c r="G6843" t="s">
        <v>28675</v>
      </c>
      <c r="H6843" t="s">
        <v>28686</v>
      </c>
      <c r="I6843" t="s">
        <v>28689</v>
      </c>
      <c r="J6843" t="s">
        <v>33135</v>
      </c>
      <c r="K6843" t="s">
        <v>37215</v>
      </c>
      <c r="M6843" t="s">
        <v>39887</v>
      </c>
      <c r="N6843" t="s">
        <v>41249</v>
      </c>
      <c r="O6843" t="s">
        <v>41250</v>
      </c>
      <c r="P6843">
        <v>0</v>
      </c>
      <c r="Q6843">
        <v>0</v>
      </c>
      <c r="R6843" t="s">
        <v>41256</v>
      </c>
      <c r="S6843" t="s">
        <v>41450</v>
      </c>
      <c r="T6843" t="s">
        <v>42688</v>
      </c>
      <c r="U6843" t="s">
        <v>48856</v>
      </c>
      <c r="W6843" t="s">
        <v>39887</v>
      </c>
      <c r="X6843" t="s">
        <v>41257</v>
      </c>
    </row>
    <row r="6844" spans="1:24">
      <c r="A6844">
        <f>HYPERLINK("https://www.philgeps.gov.ph/GEPSNONPILOT/Tender/SplashBidNoticeAbstractUI.aspx?menuIndex=3&amp;refID=7072084&amp;Result=3","7072084")</f>
        <v>0</v>
      </c>
      <c r="B6844" t="s">
        <v>1829</v>
      </c>
      <c r="C6844" t="s">
        <v>9905</v>
      </c>
      <c r="D6844" t="s">
        <v>16661</v>
      </c>
      <c r="E6844" t="s">
        <v>21444</v>
      </c>
      <c r="F6844" t="s">
        <v>28669</v>
      </c>
      <c r="G6844" t="s">
        <v>28677</v>
      </c>
      <c r="H6844" t="s">
        <v>9998</v>
      </c>
      <c r="I6844" t="s">
        <v>28695</v>
      </c>
      <c r="J6844" t="s">
        <v>29250</v>
      </c>
      <c r="K6844" t="s">
        <v>37210</v>
      </c>
      <c r="M6844" t="s">
        <v>39442</v>
      </c>
      <c r="N6844" t="s">
        <v>41249</v>
      </c>
      <c r="O6844" t="s">
        <v>41250</v>
      </c>
      <c r="P6844">
        <v>0</v>
      </c>
      <c r="Q6844">
        <v>1</v>
      </c>
      <c r="R6844" t="s">
        <v>41256</v>
      </c>
      <c r="S6844" t="s">
        <v>41450</v>
      </c>
      <c r="T6844" t="s">
        <v>42728</v>
      </c>
      <c r="U6844" t="s">
        <v>48857</v>
      </c>
      <c r="W6844" t="s">
        <v>39442</v>
      </c>
      <c r="X6844" t="s">
        <v>41257</v>
      </c>
    </row>
    <row r="6845" spans="1:24">
      <c r="A6845">
        <f>HYPERLINK("https://www.philgeps.gov.ph/GEPSNONPILOT/Tender/SplashBidNoticeAbstractUI.aspx?menuIndex=3&amp;refID=7071889&amp;Result=3","7071889")</f>
        <v>0</v>
      </c>
      <c r="B6845" t="s">
        <v>1935</v>
      </c>
      <c r="C6845" t="s">
        <v>9906</v>
      </c>
      <c r="E6845" t="s">
        <v>22718</v>
      </c>
      <c r="F6845" t="s">
        <v>28669</v>
      </c>
      <c r="G6845" t="s">
        <v>28675</v>
      </c>
      <c r="H6845" t="s">
        <v>28686</v>
      </c>
      <c r="I6845" t="s">
        <v>28689</v>
      </c>
      <c r="J6845" t="s">
        <v>33136</v>
      </c>
      <c r="K6845" t="s">
        <v>37209</v>
      </c>
      <c r="M6845" t="s">
        <v>39562</v>
      </c>
      <c r="N6845" t="s">
        <v>41249</v>
      </c>
      <c r="O6845" t="s">
        <v>41250</v>
      </c>
      <c r="P6845">
        <v>0</v>
      </c>
      <c r="Q6845">
        <v>0</v>
      </c>
      <c r="R6845" t="s">
        <v>41256</v>
      </c>
      <c r="S6845" t="s">
        <v>41450</v>
      </c>
      <c r="T6845" t="s">
        <v>42693</v>
      </c>
      <c r="U6845" t="s">
        <v>48858</v>
      </c>
      <c r="W6845" t="s">
        <v>39562</v>
      </c>
      <c r="X6845" t="s">
        <v>41257</v>
      </c>
    </row>
    <row r="6846" spans="1:24">
      <c r="A6846">
        <f>HYPERLINK("https://www.philgeps.gov.ph/GEPSNONPILOT/Tender/SplashBidNoticeAbstractUI.aspx?menuIndex=3&amp;refID=7068294&amp;Result=3","7068294")</f>
        <v>0</v>
      </c>
      <c r="B6846" t="s">
        <v>2234</v>
      </c>
      <c r="C6846" t="s">
        <v>9907</v>
      </c>
      <c r="D6846" t="s">
        <v>16640</v>
      </c>
      <c r="E6846" t="s">
        <v>22719</v>
      </c>
      <c r="F6846" t="s">
        <v>28669</v>
      </c>
      <c r="G6846" t="s">
        <v>28675</v>
      </c>
      <c r="H6846" t="s">
        <v>28686</v>
      </c>
      <c r="I6846" t="s">
        <v>28689</v>
      </c>
      <c r="J6846" t="s">
        <v>28969</v>
      </c>
      <c r="K6846" t="s">
        <v>37356</v>
      </c>
      <c r="M6846" t="s">
        <v>39888</v>
      </c>
      <c r="N6846" t="s">
        <v>41249</v>
      </c>
      <c r="O6846" t="s">
        <v>41250</v>
      </c>
      <c r="P6846">
        <v>0</v>
      </c>
      <c r="Q6846">
        <v>0</v>
      </c>
      <c r="R6846" t="s">
        <v>41257</v>
      </c>
      <c r="S6846" t="s">
        <v>41461</v>
      </c>
      <c r="T6846" t="s">
        <v>42736</v>
      </c>
      <c r="U6846" t="s">
        <v>48859</v>
      </c>
      <c r="W6846" t="s">
        <v>39888</v>
      </c>
      <c r="X6846" t="s">
        <v>41258</v>
      </c>
    </row>
    <row r="6847" spans="1:24">
      <c r="A6847">
        <f>HYPERLINK("https://www.philgeps.gov.ph/GEPSNONPILOT/Tender/SplashBidNoticeAbstractUI.aspx?menuIndex=3&amp;refID=7072170&amp;Result=3","7072170")</f>
        <v>0</v>
      </c>
      <c r="B6847" t="s">
        <v>2235</v>
      </c>
      <c r="C6847" t="s">
        <v>9908</v>
      </c>
      <c r="D6847" t="s">
        <v>16615</v>
      </c>
      <c r="E6847" t="s">
        <v>22720</v>
      </c>
      <c r="F6847" t="s">
        <v>28669</v>
      </c>
      <c r="G6847" t="s">
        <v>28675</v>
      </c>
      <c r="H6847" t="s">
        <v>9998</v>
      </c>
      <c r="I6847" t="s">
        <v>28704</v>
      </c>
      <c r="J6847" t="s">
        <v>28838</v>
      </c>
      <c r="K6847" t="s">
        <v>37205</v>
      </c>
      <c r="M6847" t="s">
        <v>39889</v>
      </c>
      <c r="N6847" t="s">
        <v>41249</v>
      </c>
      <c r="O6847" t="s">
        <v>41250</v>
      </c>
      <c r="P6847">
        <v>0</v>
      </c>
      <c r="Q6847">
        <v>0</v>
      </c>
      <c r="R6847" t="s">
        <v>41256</v>
      </c>
      <c r="S6847" t="s">
        <v>41450</v>
      </c>
      <c r="T6847" t="s">
        <v>42694</v>
      </c>
      <c r="U6847" t="s">
        <v>48860</v>
      </c>
      <c r="W6847" t="s">
        <v>39889</v>
      </c>
      <c r="X6847" t="s">
        <v>41257</v>
      </c>
    </row>
    <row r="6848" spans="1:24">
      <c r="A6848">
        <f>HYPERLINK("https://www.philgeps.gov.ph/GEPSNONPILOT/Tender/SplashBidNoticeAbstractUI.aspx?menuIndex=3&amp;refID=7073036&amp;Result=3","7073036")</f>
        <v>0</v>
      </c>
      <c r="B6848" t="s">
        <v>1856</v>
      </c>
      <c r="C6848" t="s">
        <v>9909</v>
      </c>
      <c r="D6848" t="s">
        <v>16691</v>
      </c>
      <c r="E6848" t="s">
        <v>22721</v>
      </c>
      <c r="F6848" t="s">
        <v>28669</v>
      </c>
      <c r="G6848" t="s">
        <v>28676</v>
      </c>
      <c r="H6848" t="s">
        <v>28686</v>
      </c>
      <c r="I6848" t="s">
        <v>28689</v>
      </c>
      <c r="J6848" t="s">
        <v>33137</v>
      </c>
      <c r="K6848" t="s">
        <v>37204</v>
      </c>
      <c r="M6848" t="s">
        <v>39475</v>
      </c>
      <c r="N6848" t="s">
        <v>41249</v>
      </c>
      <c r="O6848" t="s">
        <v>41250</v>
      </c>
      <c r="P6848">
        <v>0</v>
      </c>
      <c r="Q6848">
        <v>0</v>
      </c>
      <c r="R6848" t="s">
        <v>41254</v>
      </c>
      <c r="S6848" t="s">
        <v>41425</v>
      </c>
      <c r="T6848" t="s">
        <v>42728</v>
      </c>
      <c r="U6848" t="s">
        <v>47689</v>
      </c>
      <c r="W6848" t="s">
        <v>39475</v>
      </c>
      <c r="X6848" t="s">
        <v>41255</v>
      </c>
    </row>
    <row r="6849" spans="1:24">
      <c r="A6849">
        <f>HYPERLINK("https://www.philgeps.gov.ph/GEPSNONPILOT/Tender/SplashBidNoticeAbstractUI.aspx?menuIndex=3&amp;refID=7068337&amp;Result=3","7068337")</f>
        <v>0</v>
      </c>
      <c r="B6849" t="s">
        <v>2236</v>
      </c>
      <c r="C6849" t="s">
        <v>9910</v>
      </c>
      <c r="D6849" t="s">
        <v>16660</v>
      </c>
      <c r="E6849" t="s">
        <v>22722</v>
      </c>
      <c r="F6849" t="s">
        <v>28669</v>
      </c>
      <c r="G6849" t="s">
        <v>28675</v>
      </c>
      <c r="H6849" t="s">
        <v>9998</v>
      </c>
      <c r="I6849" t="s">
        <v>28707</v>
      </c>
      <c r="J6849" t="s">
        <v>29059</v>
      </c>
      <c r="K6849" t="s">
        <v>37209</v>
      </c>
      <c r="M6849" t="s">
        <v>39890</v>
      </c>
      <c r="N6849" t="s">
        <v>41249</v>
      </c>
      <c r="O6849" t="s">
        <v>41250</v>
      </c>
      <c r="P6849">
        <v>0</v>
      </c>
      <c r="Q6849">
        <v>9</v>
      </c>
      <c r="R6849" t="s">
        <v>41257</v>
      </c>
      <c r="S6849" t="s">
        <v>41461</v>
      </c>
      <c r="T6849" t="s">
        <v>42951</v>
      </c>
      <c r="U6849" t="s">
        <v>48861</v>
      </c>
      <c r="W6849" t="s">
        <v>55984</v>
      </c>
      <c r="X6849" t="s">
        <v>41258</v>
      </c>
    </row>
    <row r="6850" spans="1:24">
      <c r="A6850">
        <f>HYPERLINK("https://www.philgeps.gov.ph/GEPSNONPILOT/Tender/SplashBidNoticeAbstractUI.aspx?menuIndex=3&amp;refID=7072110&amp;Result=3","7072110")</f>
        <v>0</v>
      </c>
      <c r="B6850" t="s">
        <v>1485</v>
      </c>
      <c r="C6850" t="s">
        <v>9911</v>
      </c>
      <c r="D6850" t="s">
        <v>16642</v>
      </c>
      <c r="E6850" t="s">
        <v>22723</v>
      </c>
      <c r="F6850" t="s">
        <v>28669</v>
      </c>
      <c r="G6850" t="s">
        <v>28675</v>
      </c>
      <c r="H6850" t="s">
        <v>28686</v>
      </c>
      <c r="I6850" t="s">
        <v>28689</v>
      </c>
      <c r="J6850" t="s">
        <v>33138</v>
      </c>
      <c r="K6850" t="s">
        <v>37375</v>
      </c>
      <c r="M6850" t="s">
        <v>39055</v>
      </c>
      <c r="N6850" t="s">
        <v>41249</v>
      </c>
      <c r="O6850" t="s">
        <v>41250</v>
      </c>
      <c r="P6850">
        <v>0</v>
      </c>
      <c r="Q6850">
        <v>0</v>
      </c>
      <c r="R6850" t="s">
        <v>41256</v>
      </c>
      <c r="S6850" t="s">
        <v>41450</v>
      </c>
      <c r="T6850" t="s">
        <v>42952</v>
      </c>
      <c r="U6850" t="s">
        <v>48862</v>
      </c>
      <c r="W6850" t="s">
        <v>39055</v>
      </c>
      <c r="X6850" t="s">
        <v>41257</v>
      </c>
    </row>
    <row r="6851" spans="1:24">
      <c r="A6851">
        <f>HYPERLINK("https://www.philgeps.gov.ph/GEPSNONPILOT/Tender/SplashBidNoticeAbstractUI.aspx?menuIndex=3&amp;refID=7068335&amp;Result=3","7068335")</f>
        <v>0</v>
      </c>
      <c r="B6851" t="s">
        <v>2210</v>
      </c>
      <c r="C6851" t="s">
        <v>9912</v>
      </c>
      <c r="D6851" t="s">
        <v>16617</v>
      </c>
      <c r="E6851" t="s">
        <v>22724</v>
      </c>
      <c r="F6851" t="s">
        <v>28669</v>
      </c>
      <c r="G6851" t="s">
        <v>28675</v>
      </c>
      <c r="H6851" t="s">
        <v>9998</v>
      </c>
      <c r="I6851" t="s">
        <v>28687</v>
      </c>
      <c r="J6851" t="s">
        <v>29540</v>
      </c>
      <c r="K6851" t="s">
        <v>37206</v>
      </c>
      <c r="M6851" t="s">
        <v>39861</v>
      </c>
      <c r="N6851" t="s">
        <v>41249</v>
      </c>
      <c r="O6851" t="s">
        <v>41250</v>
      </c>
      <c r="P6851">
        <v>0</v>
      </c>
      <c r="Q6851">
        <v>2</v>
      </c>
      <c r="R6851" t="s">
        <v>41257</v>
      </c>
      <c r="S6851" t="s">
        <v>41461</v>
      </c>
      <c r="T6851" t="s">
        <v>43038</v>
      </c>
      <c r="U6851" t="s">
        <v>48863</v>
      </c>
      <c r="W6851" t="s">
        <v>39861</v>
      </c>
      <c r="X6851" t="s">
        <v>41258</v>
      </c>
    </row>
    <row r="6852" spans="1:24">
      <c r="A6852">
        <f>HYPERLINK("https://www.philgeps.gov.ph/GEPSNONPILOT/Tender/SplashBidNoticeAbstractUI.aspx?menuIndex=3&amp;refID=7068377&amp;Result=3","7068377")</f>
        <v>0</v>
      </c>
      <c r="B6852" t="s">
        <v>659</v>
      </c>
      <c r="C6852" t="s">
        <v>9913</v>
      </c>
      <c r="D6852" t="s">
        <v>16643</v>
      </c>
      <c r="E6852" t="s">
        <v>22725</v>
      </c>
      <c r="F6852" t="s">
        <v>28669</v>
      </c>
      <c r="G6852" t="s">
        <v>28676</v>
      </c>
      <c r="H6852" t="s">
        <v>9998</v>
      </c>
      <c r="I6852" t="s">
        <v>28688</v>
      </c>
      <c r="J6852" t="s">
        <v>33139</v>
      </c>
      <c r="K6852" t="s">
        <v>37204</v>
      </c>
      <c r="M6852" t="s">
        <v>38161</v>
      </c>
      <c r="N6852" t="s">
        <v>41249</v>
      </c>
      <c r="O6852" t="s">
        <v>41250</v>
      </c>
      <c r="P6852">
        <v>0</v>
      </c>
      <c r="Q6852">
        <v>1</v>
      </c>
      <c r="R6852" t="s">
        <v>41257</v>
      </c>
      <c r="S6852" t="s">
        <v>41461</v>
      </c>
      <c r="T6852" t="s">
        <v>42736</v>
      </c>
      <c r="U6852" t="s">
        <v>48732</v>
      </c>
      <c r="W6852" t="s">
        <v>55925</v>
      </c>
      <c r="X6852" t="s">
        <v>41258</v>
      </c>
    </row>
    <row r="6853" spans="1:24">
      <c r="A6853">
        <f>HYPERLINK("https://www.philgeps.gov.ph/GEPSNONPILOT/Tender/SplashBidNoticeAbstractUI.aspx?menuIndex=3&amp;refID=7068376&amp;Result=3","7068376")</f>
        <v>0</v>
      </c>
      <c r="B6853" t="s">
        <v>2160</v>
      </c>
      <c r="C6853" t="s">
        <v>9914</v>
      </c>
      <c r="D6853" t="s">
        <v>16642</v>
      </c>
      <c r="E6853" t="s">
        <v>22726</v>
      </c>
      <c r="F6853" t="s">
        <v>28669</v>
      </c>
      <c r="G6853" t="s">
        <v>28675</v>
      </c>
      <c r="H6853" t="s">
        <v>28686</v>
      </c>
      <c r="I6853" t="s">
        <v>28689</v>
      </c>
      <c r="J6853" t="s">
        <v>33140</v>
      </c>
      <c r="K6853" t="s">
        <v>37209</v>
      </c>
      <c r="M6853" t="s">
        <v>39806</v>
      </c>
      <c r="N6853" t="s">
        <v>41249</v>
      </c>
      <c r="O6853" t="s">
        <v>41250</v>
      </c>
      <c r="P6853">
        <v>0</v>
      </c>
      <c r="Q6853">
        <v>0</v>
      </c>
      <c r="R6853" t="s">
        <v>41257</v>
      </c>
      <c r="S6853" t="s">
        <v>41461</v>
      </c>
      <c r="T6853" t="s">
        <v>42761</v>
      </c>
      <c r="U6853" t="s">
        <v>48864</v>
      </c>
      <c r="W6853" t="s">
        <v>39806</v>
      </c>
      <c r="X6853" t="s">
        <v>41258</v>
      </c>
    </row>
    <row r="6854" spans="1:24">
      <c r="A6854">
        <f>HYPERLINK("https://www.philgeps.gov.ph/GEPSNONPILOT/Tender/SplashBidNoticeAbstractUI.aspx?menuIndex=3&amp;refID=7072020&amp;Result=3","7072020")</f>
        <v>0</v>
      </c>
      <c r="B6854" t="s">
        <v>2237</v>
      </c>
      <c r="C6854" t="s">
        <v>9915</v>
      </c>
      <c r="D6854" t="s">
        <v>16683</v>
      </c>
      <c r="E6854" t="s">
        <v>22727</v>
      </c>
      <c r="F6854" t="s">
        <v>28669</v>
      </c>
      <c r="G6854" t="s">
        <v>28675</v>
      </c>
      <c r="H6854" t="s">
        <v>9998</v>
      </c>
      <c r="I6854" t="s">
        <v>28689</v>
      </c>
      <c r="J6854" t="s">
        <v>33141</v>
      </c>
      <c r="K6854" t="s">
        <v>37243</v>
      </c>
      <c r="M6854" t="s">
        <v>39891</v>
      </c>
      <c r="N6854" t="s">
        <v>41249</v>
      </c>
      <c r="O6854" t="s">
        <v>41250</v>
      </c>
      <c r="P6854">
        <v>0</v>
      </c>
      <c r="Q6854">
        <v>0</v>
      </c>
      <c r="R6854" t="s">
        <v>41256</v>
      </c>
      <c r="S6854" t="s">
        <v>41450</v>
      </c>
      <c r="T6854" t="s">
        <v>42711</v>
      </c>
      <c r="U6854" t="s">
        <v>48865</v>
      </c>
      <c r="V6854" t="s">
        <v>55051</v>
      </c>
      <c r="W6854" t="s">
        <v>39891</v>
      </c>
      <c r="X6854" t="s">
        <v>41257</v>
      </c>
    </row>
    <row r="6855" spans="1:24">
      <c r="A6855">
        <f>HYPERLINK("https://www.philgeps.gov.ph/GEPSNONPILOT/Tender/SplashBidNoticeAbstractUI.aspx?menuIndex=3&amp;refID=7068372&amp;Result=3","7068372")</f>
        <v>0</v>
      </c>
      <c r="B6855" t="s">
        <v>2160</v>
      </c>
      <c r="C6855" t="s">
        <v>9916</v>
      </c>
      <c r="D6855" t="s">
        <v>16642</v>
      </c>
      <c r="E6855" t="s">
        <v>22728</v>
      </c>
      <c r="F6855" t="s">
        <v>28669</v>
      </c>
      <c r="G6855" t="s">
        <v>28675</v>
      </c>
      <c r="H6855" t="s">
        <v>28686</v>
      </c>
      <c r="I6855" t="s">
        <v>28689</v>
      </c>
      <c r="J6855" t="s">
        <v>33142</v>
      </c>
      <c r="K6855" t="s">
        <v>37209</v>
      </c>
      <c r="M6855" t="s">
        <v>39806</v>
      </c>
      <c r="N6855" t="s">
        <v>41249</v>
      </c>
      <c r="O6855" t="s">
        <v>41250</v>
      </c>
      <c r="P6855">
        <v>0</v>
      </c>
      <c r="Q6855">
        <v>0</v>
      </c>
      <c r="R6855" t="s">
        <v>41257</v>
      </c>
      <c r="S6855" t="s">
        <v>41461</v>
      </c>
      <c r="T6855" t="s">
        <v>42761</v>
      </c>
      <c r="U6855" t="s">
        <v>48866</v>
      </c>
      <c r="W6855" t="s">
        <v>39806</v>
      </c>
      <c r="X6855" t="s">
        <v>41258</v>
      </c>
    </row>
    <row r="6856" spans="1:24">
      <c r="A6856">
        <f>HYPERLINK("https://www.philgeps.gov.ph/GEPSNONPILOT/Tender/SplashBidNoticeAbstractUI.aspx?menuIndex=3&amp;refID=7068371&amp;Result=3","7068371")</f>
        <v>0</v>
      </c>
      <c r="B6856" t="s">
        <v>2216</v>
      </c>
      <c r="C6856" t="s">
        <v>9917</v>
      </c>
      <c r="D6856" t="s">
        <v>16615</v>
      </c>
      <c r="E6856" t="s">
        <v>21114</v>
      </c>
      <c r="F6856" t="s">
        <v>28669</v>
      </c>
      <c r="G6856" t="s">
        <v>28676</v>
      </c>
      <c r="H6856" t="s">
        <v>9998</v>
      </c>
      <c r="I6856" t="s">
        <v>28810</v>
      </c>
      <c r="J6856" t="s">
        <v>29593</v>
      </c>
      <c r="K6856" t="s">
        <v>37206</v>
      </c>
      <c r="M6856" t="s">
        <v>39868</v>
      </c>
      <c r="N6856" t="s">
        <v>41249</v>
      </c>
      <c r="O6856" t="s">
        <v>41250</v>
      </c>
      <c r="P6856">
        <v>0</v>
      </c>
      <c r="Q6856">
        <v>6</v>
      </c>
      <c r="R6856" t="s">
        <v>41257</v>
      </c>
      <c r="S6856" t="s">
        <v>41461</v>
      </c>
      <c r="T6856" t="s">
        <v>42743</v>
      </c>
      <c r="U6856" t="s">
        <v>48867</v>
      </c>
      <c r="V6856" t="s">
        <v>55045</v>
      </c>
      <c r="W6856" t="s">
        <v>39868</v>
      </c>
      <c r="X6856" t="s">
        <v>41258</v>
      </c>
    </row>
    <row r="6857" spans="1:24">
      <c r="A6857">
        <f>HYPERLINK("https://www.philgeps.gov.ph/GEPSNONPILOT/Tender/SplashBidNoticeAbstractUI.aspx?menuIndex=3&amp;refID=7068363&amp;Result=3","7068363")</f>
        <v>0</v>
      </c>
      <c r="B6857" t="s">
        <v>2160</v>
      </c>
      <c r="C6857" t="s">
        <v>9918</v>
      </c>
      <c r="D6857" t="s">
        <v>16642</v>
      </c>
      <c r="E6857" t="s">
        <v>22729</v>
      </c>
      <c r="F6857" t="s">
        <v>28669</v>
      </c>
      <c r="G6857" t="s">
        <v>28675</v>
      </c>
      <c r="H6857" t="s">
        <v>28686</v>
      </c>
      <c r="I6857" t="s">
        <v>28689</v>
      </c>
      <c r="J6857" t="s">
        <v>33143</v>
      </c>
      <c r="K6857" t="s">
        <v>37209</v>
      </c>
      <c r="M6857" t="s">
        <v>39806</v>
      </c>
      <c r="N6857" t="s">
        <v>41249</v>
      </c>
      <c r="O6857" t="s">
        <v>41250</v>
      </c>
      <c r="P6857">
        <v>0</v>
      </c>
      <c r="Q6857">
        <v>1</v>
      </c>
      <c r="R6857" t="s">
        <v>41257</v>
      </c>
      <c r="S6857" t="s">
        <v>41461</v>
      </c>
      <c r="T6857" t="s">
        <v>42761</v>
      </c>
      <c r="U6857" t="s">
        <v>48868</v>
      </c>
      <c r="W6857" t="s">
        <v>39806</v>
      </c>
      <c r="X6857" t="s">
        <v>41258</v>
      </c>
    </row>
    <row r="6858" spans="1:24">
      <c r="A6858">
        <f>HYPERLINK("https://www.philgeps.gov.ph/GEPSNONPILOT/Tender/SplashBidNoticeAbstractUI.aspx?menuIndex=3&amp;refID=7068340&amp;Result=3","7068340")</f>
        <v>0</v>
      </c>
      <c r="B6858" t="s">
        <v>2238</v>
      </c>
      <c r="C6858" t="s">
        <v>9919</v>
      </c>
      <c r="D6858" t="s">
        <v>16608</v>
      </c>
      <c r="E6858" t="s">
        <v>17442</v>
      </c>
      <c r="F6858" t="s">
        <v>28669</v>
      </c>
      <c r="G6858" t="s">
        <v>28676</v>
      </c>
      <c r="H6858" t="s">
        <v>28684</v>
      </c>
      <c r="I6858" t="s">
        <v>28725</v>
      </c>
      <c r="J6858" t="s">
        <v>29809</v>
      </c>
      <c r="K6858" t="s">
        <v>37216</v>
      </c>
      <c r="M6858" t="s">
        <v>39892</v>
      </c>
      <c r="N6858" t="s">
        <v>41249</v>
      </c>
      <c r="O6858" t="s">
        <v>41250</v>
      </c>
      <c r="P6858">
        <v>0</v>
      </c>
      <c r="Q6858">
        <v>4</v>
      </c>
      <c r="R6858" t="s">
        <v>41257</v>
      </c>
      <c r="S6858" t="s">
        <v>41461</v>
      </c>
      <c r="T6858" t="s">
        <v>42686</v>
      </c>
      <c r="U6858" t="s">
        <v>48869</v>
      </c>
      <c r="W6858" t="s">
        <v>39892</v>
      </c>
      <c r="X6858" t="s">
        <v>41258</v>
      </c>
    </row>
    <row r="6859" spans="1:24">
      <c r="A6859">
        <f>HYPERLINK("https://www.philgeps.gov.ph/GEPSNONPILOT/Tender/SplashBidNoticeAbstractUI.aspx?menuIndex=3&amp;refID=7068362&amp;Result=3","7068362")</f>
        <v>0</v>
      </c>
      <c r="B6859" t="s">
        <v>2200</v>
      </c>
      <c r="C6859" t="s">
        <v>9920</v>
      </c>
      <c r="D6859" t="s">
        <v>16646</v>
      </c>
      <c r="E6859" t="s">
        <v>22730</v>
      </c>
      <c r="F6859" t="s">
        <v>28669</v>
      </c>
      <c r="G6859" t="s">
        <v>28676</v>
      </c>
      <c r="H6859" t="s">
        <v>28685</v>
      </c>
      <c r="I6859" t="s">
        <v>28685</v>
      </c>
      <c r="J6859" t="s">
        <v>33057</v>
      </c>
      <c r="K6859" t="s">
        <v>37375</v>
      </c>
      <c r="M6859" t="s">
        <v>39850</v>
      </c>
      <c r="N6859" t="s">
        <v>41249</v>
      </c>
      <c r="O6859" t="s">
        <v>41250</v>
      </c>
      <c r="P6859">
        <v>0</v>
      </c>
      <c r="Q6859">
        <v>3</v>
      </c>
      <c r="R6859" t="s">
        <v>41257</v>
      </c>
      <c r="S6859" t="s">
        <v>41461</v>
      </c>
      <c r="T6859" t="s">
        <v>42727</v>
      </c>
      <c r="U6859" t="s">
        <v>48756</v>
      </c>
      <c r="V6859" t="s">
        <v>55042</v>
      </c>
      <c r="W6859" t="s">
        <v>39850</v>
      </c>
      <c r="X6859" t="s">
        <v>41258</v>
      </c>
    </row>
    <row r="6860" spans="1:24">
      <c r="A6860">
        <f>HYPERLINK("https://www.philgeps.gov.ph/GEPSNONPILOT/Tender/SplashBidNoticeAbstractUI.aspx?menuIndex=3&amp;refID=7068360&amp;Result=3","7068360")</f>
        <v>0</v>
      </c>
      <c r="B6860" t="s">
        <v>2212</v>
      </c>
      <c r="C6860" t="s">
        <v>9921</v>
      </c>
      <c r="D6860" t="s">
        <v>16680</v>
      </c>
      <c r="E6860" t="s">
        <v>22731</v>
      </c>
      <c r="F6860" t="s">
        <v>28671</v>
      </c>
      <c r="G6860" t="s">
        <v>28675</v>
      </c>
      <c r="H6860" t="s">
        <v>28686</v>
      </c>
      <c r="I6860" t="s">
        <v>28689</v>
      </c>
      <c r="J6860" t="s">
        <v>33144</v>
      </c>
      <c r="K6860" t="s">
        <v>37209</v>
      </c>
      <c r="M6860" t="s">
        <v>39864</v>
      </c>
      <c r="N6860" t="s">
        <v>41249</v>
      </c>
      <c r="O6860" t="s">
        <v>41250</v>
      </c>
      <c r="P6860">
        <v>0</v>
      </c>
      <c r="Q6860">
        <v>0</v>
      </c>
      <c r="R6860" t="s">
        <v>41257</v>
      </c>
      <c r="S6860" t="s">
        <v>41461</v>
      </c>
      <c r="T6860" t="s">
        <v>42695</v>
      </c>
      <c r="U6860" t="s">
        <v>48870</v>
      </c>
      <c r="W6860" t="s">
        <v>39864</v>
      </c>
      <c r="X6860" t="s">
        <v>41258</v>
      </c>
    </row>
    <row r="6861" spans="1:24">
      <c r="A6861">
        <f>HYPERLINK("https://www.philgeps.gov.ph/GEPSNONPILOT/Tender/SplashBidNoticeAbstractUI.aspx?menuIndex=3&amp;refID=7068358&amp;Result=3","7068358")</f>
        <v>0</v>
      </c>
      <c r="B6861" t="s">
        <v>2160</v>
      </c>
      <c r="C6861" t="s">
        <v>9922</v>
      </c>
      <c r="D6861" t="s">
        <v>16642</v>
      </c>
      <c r="E6861" t="s">
        <v>22732</v>
      </c>
      <c r="F6861" t="s">
        <v>28669</v>
      </c>
      <c r="G6861" t="s">
        <v>28675</v>
      </c>
      <c r="H6861" t="s">
        <v>28686</v>
      </c>
      <c r="I6861" t="s">
        <v>28689</v>
      </c>
      <c r="J6861" t="s">
        <v>33145</v>
      </c>
      <c r="K6861" t="s">
        <v>37209</v>
      </c>
      <c r="M6861" t="s">
        <v>39806</v>
      </c>
      <c r="N6861" t="s">
        <v>41249</v>
      </c>
      <c r="O6861" t="s">
        <v>41250</v>
      </c>
      <c r="P6861">
        <v>0</v>
      </c>
      <c r="Q6861">
        <v>0</v>
      </c>
      <c r="R6861" t="s">
        <v>41257</v>
      </c>
      <c r="S6861" t="s">
        <v>41461</v>
      </c>
      <c r="T6861" t="s">
        <v>42761</v>
      </c>
      <c r="U6861" t="s">
        <v>48871</v>
      </c>
      <c r="W6861" t="s">
        <v>39806</v>
      </c>
      <c r="X6861" t="s">
        <v>41258</v>
      </c>
    </row>
    <row r="6862" spans="1:24">
      <c r="A6862">
        <f>HYPERLINK("https://www.philgeps.gov.ph/GEPSNONPILOT/Tender/SplashBidNoticeAbstractUI.aspx?menuIndex=3&amp;refID=7068353&amp;Result=3","7068353")</f>
        <v>0</v>
      </c>
      <c r="B6862" t="s">
        <v>2160</v>
      </c>
      <c r="C6862" t="s">
        <v>9923</v>
      </c>
      <c r="D6862" t="s">
        <v>16642</v>
      </c>
      <c r="E6862" t="s">
        <v>22733</v>
      </c>
      <c r="F6862" t="s">
        <v>28669</v>
      </c>
      <c r="G6862" t="s">
        <v>28675</v>
      </c>
      <c r="H6862" t="s">
        <v>28686</v>
      </c>
      <c r="I6862" t="s">
        <v>28689</v>
      </c>
      <c r="J6862" t="s">
        <v>33146</v>
      </c>
      <c r="K6862" t="s">
        <v>37209</v>
      </c>
      <c r="M6862" t="s">
        <v>39806</v>
      </c>
      <c r="N6862" t="s">
        <v>41249</v>
      </c>
      <c r="O6862" t="s">
        <v>41250</v>
      </c>
      <c r="P6862">
        <v>0</v>
      </c>
      <c r="Q6862">
        <v>0</v>
      </c>
      <c r="R6862" t="s">
        <v>41257</v>
      </c>
      <c r="S6862" t="s">
        <v>41461</v>
      </c>
      <c r="T6862" t="s">
        <v>42761</v>
      </c>
      <c r="U6862" t="s">
        <v>48872</v>
      </c>
      <c r="W6862" t="s">
        <v>39806</v>
      </c>
      <c r="X6862" t="s">
        <v>41258</v>
      </c>
    </row>
    <row r="6863" spans="1:24">
      <c r="A6863">
        <f>HYPERLINK("https://www.philgeps.gov.ph/GEPSNONPILOT/Tender/SplashBidNoticeAbstractUI.aspx?menuIndex=3&amp;refID=7068373&amp;Result=3","7068373")</f>
        <v>0</v>
      </c>
      <c r="B6863" t="s">
        <v>1032</v>
      </c>
      <c r="C6863" t="s">
        <v>9924</v>
      </c>
      <c r="D6863" t="s">
        <v>16643</v>
      </c>
      <c r="E6863" t="s">
        <v>22734</v>
      </c>
      <c r="F6863" t="s">
        <v>28669</v>
      </c>
      <c r="G6863" t="s">
        <v>28675</v>
      </c>
      <c r="H6863" t="s">
        <v>9998</v>
      </c>
      <c r="I6863" t="s">
        <v>7352</v>
      </c>
      <c r="J6863" t="s">
        <v>28826</v>
      </c>
      <c r="K6863" t="s">
        <v>37227</v>
      </c>
      <c r="M6863" t="s">
        <v>38563</v>
      </c>
      <c r="N6863" t="s">
        <v>41249</v>
      </c>
      <c r="O6863" t="s">
        <v>41250</v>
      </c>
      <c r="P6863">
        <v>0</v>
      </c>
      <c r="Q6863">
        <v>0</v>
      </c>
      <c r="R6863" t="s">
        <v>41257</v>
      </c>
      <c r="S6863" t="s">
        <v>41461</v>
      </c>
      <c r="T6863" t="s">
        <v>42736</v>
      </c>
      <c r="U6863" t="s">
        <v>48855</v>
      </c>
      <c r="W6863" t="s">
        <v>38563</v>
      </c>
      <c r="X6863" t="s">
        <v>41258</v>
      </c>
    </row>
    <row r="6864" spans="1:24">
      <c r="A6864">
        <f>HYPERLINK("https://www.philgeps.gov.ph/GEPSNONPILOT/Tender/SplashBidNoticeAbstractUI.aspx?menuIndex=3&amp;refID=7072162&amp;Result=3","7072162")</f>
        <v>0</v>
      </c>
      <c r="B6864" t="s">
        <v>991</v>
      </c>
      <c r="C6864" t="s">
        <v>9925</v>
      </c>
      <c r="D6864" t="s">
        <v>16619</v>
      </c>
      <c r="E6864" t="s">
        <v>22735</v>
      </c>
      <c r="F6864" t="s">
        <v>28669</v>
      </c>
      <c r="G6864" t="s">
        <v>28679</v>
      </c>
      <c r="H6864" t="s">
        <v>9998</v>
      </c>
      <c r="I6864" t="s">
        <v>28743</v>
      </c>
      <c r="J6864" t="s">
        <v>32449</v>
      </c>
      <c r="K6864" t="s">
        <v>37213</v>
      </c>
      <c r="M6864" t="s">
        <v>38805</v>
      </c>
      <c r="N6864" t="s">
        <v>41249</v>
      </c>
      <c r="O6864" t="s">
        <v>41250</v>
      </c>
      <c r="Q6864">
        <v>0</v>
      </c>
      <c r="R6864" t="s">
        <v>41256</v>
      </c>
      <c r="S6864" t="s">
        <v>41475</v>
      </c>
      <c r="T6864" t="s">
        <v>43039</v>
      </c>
      <c r="U6864" t="s">
        <v>48873</v>
      </c>
      <c r="V6864" t="s">
        <v>54615</v>
      </c>
      <c r="W6864" t="s">
        <v>38805</v>
      </c>
      <c r="X6864" t="s">
        <v>41257</v>
      </c>
    </row>
    <row r="6865" spans="1:24">
      <c r="A6865">
        <f>HYPERLINK("https://www.philgeps.gov.ph/GEPSNONPILOT/Tender/SplashBidNoticeAbstractUI.aspx?menuIndex=3&amp;refID=7068348&amp;Result=3","7068348")</f>
        <v>0</v>
      </c>
      <c r="B6865" t="s">
        <v>2160</v>
      </c>
      <c r="C6865" t="s">
        <v>9926</v>
      </c>
      <c r="D6865" t="s">
        <v>16642</v>
      </c>
      <c r="E6865" t="s">
        <v>22736</v>
      </c>
      <c r="F6865" t="s">
        <v>28669</v>
      </c>
      <c r="G6865" t="s">
        <v>28675</v>
      </c>
      <c r="H6865" t="s">
        <v>28686</v>
      </c>
      <c r="I6865" t="s">
        <v>28689</v>
      </c>
      <c r="J6865" t="s">
        <v>29134</v>
      </c>
      <c r="K6865" t="s">
        <v>37209</v>
      </c>
      <c r="M6865" t="s">
        <v>39806</v>
      </c>
      <c r="N6865" t="s">
        <v>41249</v>
      </c>
      <c r="O6865" t="s">
        <v>41250</v>
      </c>
      <c r="P6865">
        <v>0</v>
      </c>
      <c r="Q6865">
        <v>0</v>
      </c>
      <c r="R6865" t="s">
        <v>41257</v>
      </c>
      <c r="S6865" t="s">
        <v>41461</v>
      </c>
      <c r="T6865" t="s">
        <v>42761</v>
      </c>
      <c r="U6865" t="s">
        <v>48874</v>
      </c>
      <c r="W6865" t="s">
        <v>39806</v>
      </c>
      <c r="X6865" t="s">
        <v>41258</v>
      </c>
    </row>
    <row r="6866" spans="1:24">
      <c r="A6866">
        <f>HYPERLINK("https://www.philgeps.gov.ph/GEPSNONPILOT/Tender/SplashBidNoticeAbstractUI.aspx?menuIndex=3&amp;refID=7072109&amp;Result=3","7072109")</f>
        <v>0</v>
      </c>
      <c r="B6866" t="s">
        <v>2097</v>
      </c>
      <c r="C6866" t="s">
        <v>9927</v>
      </c>
      <c r="D6866" t="s">
        <v>16657</v>
      </c>
      <c r="E6866" t="s">
        <v>22737</v>
      </c>
      <c r="F6866" t="s">
        <v>28669</v>
      </c>
      <c r="G6866" t="s">
        <v>28675</v>
      </c>
      <c r="H6866" t="s">
        <v>28686</v>
      </c>
      <c r="I6866" t="s">
        <v>28689</v>
      </c>
      <c r="J6866" t="s">
        <v>33147</v>
      </c>
      <c r="K6866" t="s">
        <v>37221</v>
      </c>
      <c r="M6866" t="s">
        <v>39739</v>
      </c>
      <c r="N6866" t="s">
        <v>41249</v>
      </c>
      <c r="O6866" t="s">
        <v>41250</v>
      </c>
      <c r="P6866">
        <v>0</v>
      </c>
      <c r="Q6866">
        <v>3</v>
      </c>
      <c r="R6866" t="s">
        <v>41256</v>
      </c>
      <c r="S6866" t="s">
        <v>41450</v>
      </c>
      <c r="T6866" t="s">
        <v>42694</v>
      </c>
      <c r="U6866" t="s">
        <v>48875</v>
      </c>
      <c r="W6866" t="s">
        <v>39739</v>
      </c>
      <c r="X6866" t="s">
        <v>41257</v>
      </c>
    </row>
    <row r="6867" spans="1:24">
      <c r="A6867">
        <f>HYPERLINK("https://www.philgeps.gov.ph/GEPSNONPILOT/Tender/SplashBidNoticeAbstractUI.aspx?menuIndex=3&amp;refID=7068370&amp;Result=3","7068370")</f>
        <v>0</v>
      </c>
      <c r="B6867" t="s">
        <v>2212</v>
      </c>
      <c r="C6867" t="s">
        <v>9928</v>
      </c>
      <c r="D6867" t="s">
        <v>16680</v>
      </c>
      <c r="E6867" t="s">
        <v>22738</v>
      </c>
      <c r="F6867" t="s">
        <v>28671</v>
      </c>
      <c r="G6867" t="s">
        <v>28676</v>
      </c>
      <c r="H6867" t="s">
        <v>28686</v>
      </c>
      <c r="I6867" t="s">
        <v>28689</v>
      </c>
      <c r="J6867" t="s">
        <v>33148</v>
      </c>
      <c r="K6867" t="s">
        <v>37209</v>
      </c>
      <c r="M6867" t="s">
        <v>39864</v>
      </c>
      <c r="N6867" t="s">
        <v>41249</v>
      </c>
      <c r="O6867" t="s">
        <v>41250</v>
      </c>
      <c r="P6867">
        <v>0</v>
      </c>
      <c r="Q6867">
        <v>0</v>
      </c>
      <c r="R6867" t="s">
        <v>41257</v>
      </c>
      <c r="S6867" t="s">
        <v>41461</v>
      </c>
      <c r="T6867" t="s">
        <v>42701</v>
      </c>
      <c r="U6867" t="s">
        <v>48876</v>
      </c>
      <c r="W6867" t="s">
        <v>39864</v>
      </c>
      <c r="X6867" t="s">
        <v>41258</v>
      </c>
    </row>
    <row r="6868" spans="1:24">
      <c r="A6868">
        <f>HYPERLINK("https://www.philgeps.gov.ph/GEPSNONPILOT/Tender/SplashBidNoticeAbstractUI.aspx?menuIndex=3&amp;refID=7068387&amp;Result=3","7068387")</f>
        <v>0</v>
      </c>
      <c r="B6868" t="s">
        <v>2216</v>
      </c>
      <c r="C6868" t="s">
        <v>9929</v>
      </c>
      <c r="D6868" t="s">
        <v>16615</v>
      </c>
      <c r="E6868" t="s">
        <v>22739</v>
      </c>
      <c r="F6868" t="s">
        <v>28669</v>
      </c>
      <c r="G6868" t="s">
        <v>28676</v>
      </c>
      <c r="H6868" t="s">
        <v>9998</v>
      </c>
      <c r="I6868" t="s">
        <v>11142</v>
      </c>
      <c r="J6868" t="s">
        <v>28905</v>
      </c>
      <c r="K6868" t="s">
        <v>37206</v>
      </c>
      <c r="M6868" t="s">
        <v>39868</v>
      </c>
      <c r="N6868" t="s">
        <v>41249</v>
      </c>
      <c r="O6868" t="s">
        <v>41250</v>
      </c>
      <c r="P6868">
        <v>0</v>
      </c>
      <c r="Q6868">
        <v>7</v>
      </c>
      <c r="R6868" t="s">
        <v>41257</v>
      </c>
      <c r="S6868" t="s">
        <v>41461</v>
      </c>
      <c r="T6868" t="s">
        <v>42743</v>
      </c>
      <c r="U6868" t="s">
        <v>48877</v>
      </c>
      <c r="V6868" t="s">
        <v>55045</v>
      </c>
      <c r="W6868" t="s">
        <v>39868</v>
      </c>
      <c r="X6868" t="s">
        <v>41258</v>
      </c>
    </row>
    <row r="6869" spans="1:24">
      <c r="A6869">
        <f>HYPERLINK("https://www.philgeps.gov.ph/GEPSNONPILOT/Tender/SplashBidNoticeAbstractUI.aspx?menuIndex=3&amp;refID=7072073&amp;Result=3","7072073")</f>
        <v>0</v>
      </c>
      <c r="B6869" t="s">
        <v>1829</v>
      </c>
      <c r="C6869" t="s">
        <v>9930</v>
      </c>
      <c r="D6869" t="s">
        <v>16661</v>
      </c>
      <c r="E6869" t="s">
        <v>21444</v>
      </c>
      <c r="F6869" t="s">
        <v>28669</v>
      </c>
      <c r="G6869" t="s">
        <v>28677</v>
      </c>
      <c r="H6869" t="s">
        <v>9998</v>
      </c>
      <c r="I6869" t="s">
        <v>28704</v>
      </c>
      <c r="J6869" t="s">
        <v>33149</v>
      </c>
      <c r="K6869" t="s">
        <v>37210</v>
      </c>
      <c r="M6869" t="s">
        <v>39442</v>
      </c>
      <c r="N6869" t="s">
        <v>41249</v>
      </c>
      <c r="O6869" t="s">
        <v>41250</v>
      </c>
      <c r="P6869">
        <v>0</v>
      </c>
      <c r="Q6869">
        <v>0</v>
      </c>
      <c r="R6869" t="s">
        <v>41256</v>
      </c>
      <c r="S6869" t="s">
        <v>41450</v>
      </c>
      <c r="T6869" t="s">
        <v>42728</v>
      </c>
      <c r="U6869" t="s">
        <v>48878</v>
      </c>
      <c r="W6869" t="s">
        <v>39442</v>
      </c>
      <c r="X6869" t="s">
        <v>41257</v>
      </c>
    </row>
    <row r="6870" spans="1:24">
      <c r="A6870">
        <f>HYPERLINK("https://www.philgeps.gov.ph/GEPSNONPILOT/Tender/SplashBidNoticeAbstractUI.aspx?menuIndex=3&amp;refID=7068354&amp;Result=3","7068354")</f>
        <v>0</v>
      </c>
      <c r="B6870" t="s">
        <v>2236</v>
      </c>
      <c r="C6870" t="s">
        <v>9931</v>
      </c>
      <c r="D6870" t="s">
        <v>16660</v>
      </c>
      <c r="E6870" t="s">
        <v>22740</v>
      </c>
      <c r="F6870" t="s">
        <v>28669</v>
      </c>
      <c r="G6870" t="s">
        <v>28675</v>
      </c>
      <c r="H6870" t="s">
        <v>9998</v>
      </c>
      <c r="I6870" t="s">
        <v>28687</v>
      </c>
      <c r="J6870" t="s">
        <v>28891</v>
      </c>
      <c r="K6870" t="s">
        <v>37209</v>
      </c>
      <c r="M6870" t="s">
        <v>39890</v>
      </c>
      <c r="N6870" t="s">
        <v>41249</v>
      </c>
      <c r="O6870" t="s">
        <v>41250</v>
      </c>
      <c r="P6870">
        <v>0</v>
      </c>
      <c r="Q6870">
        <v>4</v>
      </c>
      <c r="R6870" t="s">
        <v>41257</v>
      </c>
      <c r="S6870" t="s">
        <v>41461</v>
      </c>
      <c r="T6870" t="s">
        <v>42736</v>
      </c>
      <c r="U6870" t="s">
        <v>48879</v>
      </c>
      <c r="W6870" t="s">
        <v>55984</v>
      </c>
      <c r="X6870" t="s">
        <v>41258</v>
      </c>
    </row>
    <row r="6871" spans="1:24">
      <c r="A6871">
        <f>HYPERLINK("https://www.philgeps.gov.ph/GEPSNONPILOT/Tender/SplashBidNoticeAbstractUI.aspx?menuIndex=3&amp;refID=7068420&amp;Result=3","7068420")</f>
        <v>0</v>
      </c>
      <c r="B6871" t="s">
        <v>2239</v>
      </c>
      <c r="C6871" t="s">
        <v>9932</v>
      </c>
      <c r="D6871" t="s">
        <v>16615</v>
      </c>
      <c r="E6871" t="s">
        <v>22741</v>
      </c>
      <c r="F6871" t="s">
        <v>28669</v>
      </c>
      <c r="G6871" t="s">
        <v>28675</v>
      </c>
      <c r="H6871" t="s">
        <v>28686</v>
      </c>
      <c r="I6871" t="s">
        <v>28689</v>
      </c>
      <c r="J6871" t="s">
        <v>28905</v>
      </c>
      <c r="K6871" t="s">
        <v>37253</v>
      </c>
      <c r="M6871" t="s">
        <v>39893</v>
      </c>
      <c r="N6871" t="s">
        <v>41249</v>
      </c>
      <c r="O6871" t="s">
        <v>41250</v>
      </c>
      <c r="P6871">
        <v>0</v>
      </c>
      <c r="Q6871">
        <v>1</v>
      </c>
      <c r="R6871" t="s">
        <v>41257</v>
      </c>
      <c r="S6871" t="s">
        <v>41461</v>
      </c>
      <c r="T6871" t="s">
        <v>42748</v>
      </c>
      <c r="U6871" t="s">
        <v>48880</v>
      </c>
      <c r="V6871" t="s">
        <v>55052</v>
      </c>
      <c r="W6871" t="s">
        <v>39893</v>
      </c>
      <c r="X6871" t="s">
        <v>41258</v>
      </c>
    </row>
    <row r="6872" spans="1:24">
      <c r="A6872">
        <f>HYPERLINK("https://www.philgeps.gov.ph/GEPSNONPILOT/Tender/SplashBidNoticeAbstractUI.aspx?menuIndex=3&amp;refID=7068417&amp;Result=3","7068417")</f>
        <v>0</v>
      </c>
      <c r="B6872" t="s">
        <v>2240</v>
      </c>
      <c r="C6872" t="s">
        <v>9933</v>
      </c>
      <c r="D6872" t="s">
        <v>16616</v>
      </c>
      <c r="E6872" t="s">
        <v>22742</v>
      </c>
      <c r="F6872" t="s">
        <v>28669</v>
      </c>
      <c r="G6872" t="s">
        <v>28678</v>
      </c>
      <c r="H6872" t="s">
        <v>9998</v>
      </c>
      <c r="I6872" t="s">
        <v>7352</v>
      </c>
      <c r="J6872" t="s">
        <v>28894</v>
      </c>
      <c r="K6872" t="s">
        <v>37210</v>
      </c>
      <c r="M6872" t="s">
        <v>39894</v>
      </c>
      <c r="N6872" t="s">
        <v>41249</v>
      </c>
      <c r="O6872" t="s">
        <v>41250</v>
      </c>
      <c r="P6872">
        <v>0</v>
      </c>
      <c r="Q6872">
        <v>0</v>
      </c>
      <c r="R6872" t="s">
        <v>41257</v>
      </c>
      <c r="S6872" t="s">
        <v>41461</v>
      </c>
      <c r="T6872" t="s">
        <v>42665</v>
      </c>
      <c r="U6872" t="s">
        <v>48881</v>
      </c>
      <c r="W6872" t="s">
        <v>39894</v>
      </c>
      <c r="X6872" t="s">
        <v>41258</v>
      </c>
    </row>
    <row r="6873" spans="1:24">
      <c r="A6873">
        <f>HYPERLINK("https://www.philgeps.gov.ph/GEPSNONPILOT/Tender/SplashBidNoticeAbstractUI.aspx?menuIndex=3&amp;refID=7068352&amp;Result=3","7068352")</f>
        <v>0</v>
      </c>
      <c r="B6873" t="s">
        <v>2212</v>
      </c>
      <c r="C6873" t="s">
        <v>9934</v>
      </c>
      <c r="D6873" t="s">
        <v>16680</v>
      </c>
      <c r="E6873" t="s">
        <v>22743</v>
      </c>
      <c r="F6873" t="s">
        <v>28671</v>
      </c>
      <c r="G6873" t="s">
        <v>28676</v>
      </c>
      <c r="H6873" t="s">
        <v>28686</v>
      </c>
      <c r="I6873" t="s">
        <v>28689</v>
      </c>
      <c r="J6873" t="s">
        <v>33150</v>
      </c>
      <c r="K6873" t="s">
        <v>37209</v>
      </c>
      <c r="M6873" t="s">
        <v>39864</v>
      </c>
      <c r="N6873" t="s">
        <v>41249</v>
      </c>
      <c r="O6873" t="s">
        <v>41250</v>
      </c>
      <c r="P6873">
        <v>0</v>
      </c>
      <c r="Q6873">
        <v>0</v>
      </c>
      <c r="R6873" t="s">
        <v>41257</v>
      </c>
      <c r="S6873" t="s">
        <v>41461</v>
      </c>
      <c r="T6873" t="s">
        <v>42701</v>
      </c>
      <c r="U6873" t="s">
        <v>48882</v>
      </c>
      <c r="W6873" t="s">
        <v>39864</v>
      </c>
      <c r="X6873" t="s">
        <v>41258</v>
      </c>
    </row>
    <row r="6874" spans="1:24">
      <c r="A6874">
        <f>HYPERLINK("https://www.philgeps.gov.ph/GEPSNONPILOT/Tender/SplashBidNoticeAbstractUI.aspx?menuIndex=3&amp;refID=7068416&amp;Result=3","7068416")</f>
        <v>0</v>
      </c>
      <c r="B6874" t="s">
        <v>494</v>
      </c>
      <c r="C6874" t="s">
        <v>9935</v>
      </c>
      <c r="E6874" t="s">
        <v>22744</v>
      </c>
      <c r="F6874" t="s">
        <v>28669</v>
      </c>
      <c r="G6874" t="s">
        <v>28676</v>
      </c>
      <c r="H6874" t="s">
        <v>9998</v>
      </c>
      <c r="I6874" t="s">
        <v>28688</v>
      </c>
      <c r="J6874" t="s">
        <v>30862</v>
      </c>
      <c r="K6874" t="s">
        <v>37209</v>
      </c>
      <c r="M6874" t="s">
        <v>37983</v>
      </c>
      <c r="N6874" t="s">
        <v>41249</v>
      </c>
      <c r="O6874" t="s">
        <v>41250</v>
      </c>
      <c r="P6874">
        <v>0</v>
      </c>
      <c r="Q6874">
        <v>12</v>
      </c>
      <c r="R6874" t="s">
        <v>41257</v>
      </c>
      <c r="S6874" t="s">
        <v>41461</v>
      </c>
      <c r="T6874" t="s">
        <v>42727</v>
      </c>
      <c r="U6874" t="s">
        <v>48883</v>
      </c>
      <c r="W6874" t="s">
        <v>37983</v>
      </c>
      <c r="X6874" t="s">
        <v>41258</v>
      </c>
    </row>
    <row r="6875" spans="1:24">
      <c r="A6875">
        <f>HYPERLINK("https://www.philgeps.gov.ph/GEPSNONPILOT/Tender/SplashBidNoticeAbstractUI.aspx?menuIndex=3&amp;refID=7068350&amp;Result=3","7068350")</f>
        <v>0</v>
      </c>
      <c r="B6875" t="s">
        <v>2210</v>
      </c>
      <c r="C6875" t="s">
        <v>9936</v>
      </c>
      <c r="D6875" t="s">
        <v>16617</v>
      </c>
      <c r="E6875" t="s">
        <v>22745</v>
      </c>
      <c r="F6875" t="s">
        <v>28669</v>
      </c>
      <c r="G6875" t="s">
        <v>28675</v>
      </c>
      <c r="H6875" t="s">
        <v>9998</v>
      </c>
      <c r="I6875" t="s">
        <v>28754</v>
      </c>
      <c r="J6875" t="s">
        <v>32407</v>
      </c>
      <c r="K6875" t="s">
        <v>37206</v>
      </c>
      <c r="M6875" t="s">
        <v>39861</v>
      </c>
      <c r="N6875" t="s">
        <v>41249</v>
      </c>
      <c r="O6875" t="s">
        <v>41250</v>
      </c>
      <c r="P6875">
        <v>0</v>
      </c>
      <c r="Q6875">
        <v>5</v>
      </c>
      <c r="R6875" t="s">
        <v>41257</v>
      </c>
      <c r="S6875" t="s">
        <v>41461</v>
      </c>
      <c r="T6875" t="s">
        <v>43038</v>
      </c>
      <c r="U6875" t="s">
        <v>48774</v>
      </c>
      <c r="W6875" t="s">
        <v>39861</v>
      </c>
      <c r="X6875" t="s">
        <v>41258</v>
      </c>
    </row>
    <row r="6876" spans="1:24">
      <c r="A6876">
        <f>HYPERLINK("https://www.philgeps.gov.ph/GEPSNONPILOT/Tender/SplashBidNoticeAbstractUI.aspx?menuIndex=3&amp;refID=7068414&amp;Result=3","7068414")</f>
        <v>0</v>
      </c>
      <c r="B6876" t="s">
        <v>659</v>
      </c>
      <c r="C6876" t="s">
        <v>9937</v>
      </c>
      <c r="D6876" t="s">
        <v>16643</v>
      </c>
      <c r="E6876" t="s">
        <v>22746</v>
      </c>
      <c r="F6876" t="s">
        <v>28669</v>
      </c>
      <c r="G6876" t="s">
        <v>28675</v>
      </c>
      <c r="H6876" t="s">
        <v>9998</v>
      </c>
      <c r="I6876" t="s">
        <v>28687</v>
      </c>
      <c r="J6876" t="s">
        <v>33151</v>
      </c>
      <c r="K6876" t="s">
        <v>37204</v>
      </c>
      <c r="M6876" t="s">
        <v>38161</v>
      </c>
      <c r="N6876" t="s">
        <v>41249</v>
      </c>
      <c r="O6876" t="s">
        <v>41250</v>
      </c>
      <c r="P6876">
        <v>0</v>
      </c>
      <c r="Q6876">
        <v>3</v>
      </c>
      <c r="R6876" t="s">
        <v>41257</v>
      </c>
      <c r="S6876" t="s">
        <v>41461</v>
      </c>
      <c r="T6876" t="s">
        <v>42782</v>
      </c>
      <c r="U6876" t="s">
        <v>48884</v>
      </c>
      <c r="W6876" t="s">
        <v>55925</v>
      </c>
      <c r="X6876" t="s">
        <v>41258</v>
      </c>
    </row>
    <row r="6877" spans="1:24">
      <c r="A6877">
        <f>HYPERLINK("https://www.philgeps.gov.ph/GEPSNONPILOT/Tender/SplashBidNoticeAbstractUI.aspx?menuIndex=3&amp;refID=7068411&amp;Result=3","7068411")</f>
        <v>0</v>
      </c>
      <c r="B6877" t="s">
        <v>754</v>
      </c>
      <c r="C6877" t="s">
        <v>9938</v>
      </c>
      <c r="D6877" t="s">
        <v>16608</v>
      </c>
      <c r="E6877" t="s">
        <v>22747</v>
      </c>
      <c r="F6877" t="s">
        <v>28669</v>
      </c>
      <c r="G6877" t="s">
        <v>28676</v>
      </c>
      <c r="H6877" t="s">
        <v>9998</v>
      </c>
      <c r="I6877" t="s">
        <v>3718</v>
      </c>
      <c r="J6877" t="s">
        <v>33152</v>
      </c>
      <c r="K6877" t="s">
        <v>37204</v>
      </c>
      <c r="M6877" t="s">
        <v>38265</v>
      </c>
      <c r="N6877" t="s">
        <v>41249</v>
      </c>
      <c r="O6877" t="s">
        <v>41250</v>
      </c>
      <c r="P6877">
        <v>0</v>
      </c>
      <c r="Q6877">
        <v>3</v>
      </c>
      <c r="R6877" t="s">
        <v>41257</v>
      </c>
      <c r="S6877" t="s">
        <v>41461</v>
      </c>
      <c r="T6877" t="s">
        <v>42989</v>
      </c>
      <c r="U6877" t="s">
        <v>44657</v>
      </c>
      <c r="W6877" t="s">
        <v>38265</v>
      </c>
      <c r="X6877" t="s">
        <v>41258</v>
      </c>
    </row>
    <row r="6878" spans="1:24">
      <c r="A6878">
        <f>HYPERLINK("https://www.philgeps.gov.ph/GEPSNONPILOT/Tender/SplashBidNoticeAbstractUI.aspx?menuIndex=3&amp;refID=7068427&amp;Result=3","7068427")</f>
        <v>0</v>
      </c>
      <c r="B6878" t="s">
        <v>2241</v>
      </c>
      <c r="C6878" t="s">
        <v>9939</v>
      </c>
      <c r="D6878" t="s">
        <v>16625</v>
      </c>
      <c r="E6878" t="s">
        <v>22748</v>
      </c>
      <c r="F6878" t="s">
        <v>28669</v>
      </c>
      <c r="G6878" t="s">
        <v>28675</v>
      </c>
      <c r="H6878" t="s">
        <v>9998</v>
      </c>
      <c r="I6878" t="s">
        <v>7352</v>
      </c>
      <c r="J6878" t="s">
        <v>33153</v>
      </c>
      <c r="K6878" t="s">
        <v>37206</v>
      </c>
      <c r="M6878" t="s">
        <v>39895</v>
      </c>
      <c r="N6878" t="s">
        <v>41249</v>
      </c>
      <c r="O6878" t="s">
        <v>41250</v>
      </c>
      <c r="P6878">
        <v>0</v>
      </c>
      <c r="Q6878">
        <v>2</v>
      </c>
      <c r="R6878" t="s">
        <v>41257</v>
      </c>
      <c r="S6878" t="s">
        <v>41461</v>
      </c>
      <c r="T6878" t="s">
        <v>42716</v>
      </c>
      <c r="U6878" t="s">
        <v>48885</v>
      </c>
      <c r="W6878" t="s">
        <v>39895</v>
      </c>
      <c r="X6878" t="s">
        <v>41258</v>
      </c>
    </row>
    <row r="6879" spans="1:24">
      <c r="A6879">
        <f>HYPERLINK("https://www.philgeps.gov.ph/GEPSNONPILOT/Tender/SplashBidNoticeAbstractUI.aspx?menuIndex=3&amp;refID=7068408&amp;Result=3","7068408")</f>
        <v>0</v>
      </c>
      <c r="B6879" t="s">
        <v>71</v>
      </c>
      <c r="C6879" t="s">
        <v>9940</v>
      </c>
      <c r="D6879" t="s">
        <v>16639</v>
      </c>
      <c r="E6879" t="s">
        <v>22749</v>
      </c>
      <c r="F6879" t="s">
        <v>28669</v>
      </c>
      <c r="G6879" t="s">
        <v>28676</v>
      </c>
      <c r="H6879" t="s">
        <v>9998</v>
      </c>
      <c r="I6879" t="s">
        <v>28700</v>
      </c>
      <c r="J6879" t="s">
        <v>29088</v>
      </c>
      <c r="K6879" t="s">
        <v>37221</v>
      </c>
      <c r="M6879" t="s">
        <v>37546</v>
      </c>
      <c r="N6879" t="s">
        <v>41249</v>
      </c>
      <c r="O6879" t="s">
        <v>41250</v>
      </c>
      <c r="P6879">
        <v>0</v>
      </c>
      <c r="Q6879">
        <v>0</v>
      </c>
      <c r="R6879" t="s">
        <v>41257</v>
      </c>
      <c r="S6879" t="s">
        <v>41461</v>
      </c>
      <c r="T6879" t="s">
        <v>42867</v>
      </c>
      <c r="U6879" t="s">
        <v>43277</v>
      </c>
      <c r="W6879" t="s">
        <v>37546</v>
      </c>
      <c r="X6879" t="s">
        <v>41258</v>
      </c>
    </row>
    <row r="6880" spans="1:24">
      <c r="A6880">
        <f>HYPERLINK("https://www.philgeps.gov.ph/GEPSNONPILOT/Tender/SplashBidNoticeAbstractUI.aspx?menuIndex=3&amp;refID=7068421&amp;Result=3","7068421")</f>
        <v>0</v>
      </c>
      <c r="B6880" t="s">
        <v>2242</v>
      </c>
      <c r="C6880" t="s">
        <v>9941</v>
      </c>
      <c r="D6880" t="s">
        <v>16609</v>
      </c>
      <c r="E6880" t="s">
        <v>22750</v>
      </c>
      <c r="F6880" t="s">
        <v>28669</v>
      </c>
      <c r="G6880" t="s">
        <v>28677</v>
      </c>
      <c r="H6880" t="s">
        <v>9998</v>
      </c>
      <c r="I6880" t="s">
        <v>5213</v>
      </c>
      <c r="J6880" t="s">
        <v>33154</v>
      </c>
      <c r="K6880" t="s">
        <v>37204</v>
      </c>
      <c r="M6880" t="s">
        <v>39896</v>
      </c>
      <c r="N6880" t="s">
        <v>41249</v>
      </c>
      <c r="O6880" t="s">
        <v>41250</v>
      </c>
      <c r="P6880">
        <v>0</v>
      </c>
      <c r="Q6880">
        <v>6</v>
      </c>
      <c r="R6880" t="s">
        <v>41257</v>
      </c>
      <c r="S6880" t="s">
        <v>41461</v>
      </c>
      <c r="T6880" t="s">
        <v>42711</v>
      </c>
      <c r="U6880" t="s">
        <v>48886</v>
      </c>
      <c r="W6880" t="s">
        <v>39896</v>
      </c>
      <c r="X6880" t="s">
        <v>41258</v>
      </c>
    </row>
    <row r="6881" spans="1:24">
      <c r="A6881">
        <f>HYPERLINK("https://www.philgeps.gov.ph/GEPSNONPILOT/Tender/SplashBidNoticeAbstractUI.aspx?menuIndex=3&amp;refID=7068405&amp;Result=3","7068405")</f>
        <v>0</v>
      </c>
      <c r="B6881" t="s">
        <v>2200</v>
      </c>
      <c r="C6881" t="s">
        <v>9942</v>
      </c>
      <c r="D6881" t="s">
        <v>16646</v>
      </c>
      <c r="E6881" t="s">
        <v>22751</v>
      </c>
      <c r="F6881" t="s">
        <v>28669</v>
      </c>
      <c r="G6881" t="s">
        <v>28676</v>
      </c>
      <c r="H6881" t="s">
        <v>28685</v>
      </c>
      <c r="I6881" t="s">
        <v>28685</v>
      </c>
      <c r="J6881" t="s">
        <v>33057</v>
      </c>
      <c r="K6881" t="s">
        <v>37375</v>
      </c>
      <c r="M6881" t="s">
        <v>39850</v>
      </c>
      <c r="N6881" t="s">
        <v>41249</v>
      </c>
      <c r="O6881" t="s">
        <v>41250</v>
      </c>
      <c r="P6881">
        <v>0</v>
      </c>
      <c r="Q6881">
        <v>4</v>
      </c>
      <c r="R6881" t="s">
        <v>41257</v>
      </c>
      <c r="S6881" t="s">
        <v>41461</v>
      </c>
      <c r="T6881" t="s">
        <v>42727</v>
      </c>
      <c r="U6881" t="s">
        <v>48756</v>
      </c>
      <c r="V6881" t="s">
        <v>55042</v>
      </c>
      <c r="W6881" t="s">
        <v>39850</v>
      </c>
      <c r="X6881" t="s">
        <v>41258</v>
      </c>
    </row>
    <row r="6882" spans="1:24">
      <c r="A6882">
        <f>HYPERLINK("https://www.philgeps.gov.ph/GEPSNONPILOT/Tender/SplashBidNoticeAbstractUI.aspx?menuIndex=3&amp;refID=7068394&amp;Result=3","7068394")</f>
        <v>0</v>
      </c>
      <c r="B6882" t="s">
        <v>659</v>
      </c>
      <c r="C6882" t="s">
        <v>9943</v>
      </c>
      <c r="D6882" t="s">
        <v>16643</v>
      </c>
      <c r="E6882" t="s">
        <v>22752</v>
      </c>
      <c r="F6882" t="s">
        <v>28669</v>
      </c>
      <c r="G6882" t="s">
        <v>28678</v>
      </c>
      <c r="H6882" t="s">
        <v>9998</v>
      </c>
      <c r="I6882" t="s">
        <v>6458</v>
      </c>
      <c r="J6882" t="s">
        <v>30863</v>
      </c>
      <c r="K6882" t="s">
        <v>37204</v>
      </c>
      <c r="M6882" t="s">
        <v>38161</v>
      </c>
      <c r="N6882" t="s">
        <v>41249</v>
      </c>
      <c r="O6882" t="s">
        <v>41250</v>
      </c>
      <c r="P6882">
        <v>0</v>
      </c>
      <c r="Q6882">
        <v>1</v>
      </c>
      <c r="R6882" t="s">
        <v>41257</v>
      </c>
      <c r="S6882" t="s">
        <v>41461</v>
      </c>
      <c r="T6882" t="s">
        <v>42736</v>
      </c>
      <c r="U6882" t="s">
        <v>48887</v>
      </c>
      <c r="W6882" t="s">
        <v>55925</v>
      </c>
      <c r="X6882" t="s">
        <v>41258</v>
      </c>
    </row>
    <row r="6883" spans="1:24">
      <c r="A6883">
        <f>HYPERLINK("https://www.philgeps.gov.ph/GEPSNONPILOT/Tender/SplashBidNoticeAbstractUI.aspx?menuIndex=3&amp;refID=7068419&amp;Result=3","7068419")</f>
        <v>0</v>
      </c>
      <c r="B6883" t="s">
        <v>2200</v>
      </c>
      <c r="C6883" t="s">
        <v>9944</v>
      </c>
      <c r="D6883" t="s">
        <v>16646</v>
      </c>
      <c r="E6883" t="s">
        <v>22753</v>
      </c>
      <c r="F6883" t="s">
        <v>28669</v>
      </c>
      <c r="G6883" t="s">
        <v>28676</v>
      </c>
      <c r="H6883" t="s">
        <v>28685</v>
      </c>
      <c r="I6883" t="s">
        <v>28685</v>
      </c>
      <c r="J6883" t="s">
        <v>33155</v>
      </c>
      <c r="K6883" t="s">
        <v>37316</v>
      </c>
      <c r="M6883" t="s">
        <v>39850</v>
      </c>
      <c r="N6883" t="s">
        <v>41249</v>
      </c>
      <c r="O6883" t="s">
        <v>41250</v>
      </c>
      <c r="P6883">
        <v>0</v>
      </c>
      <c r="Q6883">
        <v>3</v>
      </c>
      <c r="R6883" t="s">
        <v>41257</v>
      </c>
      <c r="S6883" t="s">
        <v>41461</v>
      </c>
      <c r="T6883" t="s">
        <v>42727</v>
      </c>
      <c r="U6883" t="s">
        <v>48756</v>
      </c>
      <c r="V6883" t="s">
        <v>55042</v>
      </c>
      <c r="W6883" t="s">
        <v>39850</v>
      </c>
      <c r="X6883" t="s">
        <v>41258</v>
      </c>
    </row>
    <row r="6884" spans="1:24">
      <c r="A6884">
        <f>HYPERLINK("https://www.philgeps.gov.ph/GEPSNONPILOT/Tender/SplashBidNoticeAbstractUI.aspx?menuIndex=3&amp;refID=7068413&amp;Result=3","7068413")</f>
        <v>0</v>
      </c>
      <c r="B6884" t="s">
        <v>2243</v>
      </c>
      <c r="C6884" t="s">
        <v>9945</v>
      </c>
      <c r="D6884" t="s">
        <v>16673</v>
      </c>
      <c r="E6884" t="s">
        <v>22754</v>
      </c>
      <c r="F6884" t="s">
        <v>28669</v>
      </c>
      <c r="G6884" t="s">
        <v>28675</v>
      </c>
      <c r="H6884" t="s">
        <v>9998</v>
      </c>
      <c r="I6884" t="s">
        <v>28729</v>
      </c>
      <c r="J6884" t="s">
        <v>33156</v>
      </c>
      <c r="K6884" t="s">
        <v>37206</v>
      </c>
      <c r="M6884" t="s">
        <v>39897</v>
      </c>
      <c r="N6884" t="s">
        <v>41249</v>
      </c>
      <c r="O6884" t="s">
        <v>41250</v>
      </c>
      <c r="P6884">
        <v>0</v>
      </c>
      <c r="Q6884">
        <v>9</v>
      </c>
      <c r="R6884" t="s">
        <v>41257</v>
      </c>
      <c r="S6884" t="s">
        <v>41461</v>
      </c>
      <c r="T6884" t="s">
        <v>42707</v>
      </c>
      <c r="U6884" t="s">
        <v>48888</v>
      </c>
      <c r="V6884" t="s">
        <v>55053</v>
      </c>
      <c r="W6884" t="s">
        <v>39897</v>
      </c>
      <c r="X6884" t="s">
        <v>41258</v>
      </c>
    </row>
    <row r="6885" spans="1:24">
      <c r="A6885">
        <f>HYPERLINK("https://www.philgeps.gov.ph/GEPSNONPILOT/Tender/SplashBidNoticeAbstractUI.aspx?menuIndex=3&amp;refID=7068486&amp;Result=3","7068486")</f>
        <v>0</v>
      </c>
      <c r="B6885" t="s">
        <v>754</v>
      </c>
      <c r="C6885" t="s">
        <v>9946</v>
      </c>
      <c r="D6885" t="s">
        <v>16608</v>
      </c>
      <c r="E6885" t="s">
        <v>22755</v>
      </c>
      <c r="F6885" t="s">
        <v>28669</v>
      </c>
      <c r="G6885" t="s">
        <v>28676</v>
      </c>
      <c r="H6885" t="s">
        <v>9998</v>
      </c>
      <c r="I6885" t="s">
        <v>5286</v>
      </c>
      <c r="J6885" t="s">
        <v>32993</v>
      </c>
      <c r="K6885" t="s">
        <v>37204</v>
      </c>
      <c r="M6885" t="s">
        <v>38265</v>
      </c>
      <c r="N6885" t="s">
        <v>41249</v>
      </c>
      <c r="O6885" t="s">
        <v>41250</v>
      </c>
      <c r="P6885">
        <v>0</v>
      </c>
      <c r="Q6885">
        <v>6</v>
      </c>
      <c r="R6885" t="s">
        <v>41257</v>
      </c>
      <c r="S6885" t="s">
        <v>41461</v>
      </c>
      <c r="T6885" t="s">
        <v>42989</v>
      </c>
      <c r="U6885" t="s">
        <v>44657</v>
      </c>
      <c r="W6885" t="s">
        <v>38265</v>
      </c>
      <c r="X6885" t="s">
        <v>41258</v>
      </c>
    </row>
    <row r="6886" spans="1:24">
      <c r="A6886">
        <f>HYPERLINK("https://www.philgeps.gov.ph/GEPSNONPILOT/Tender/SplashBidNoticeAbstractUI.aspx?menuIndex=3&amp;refID=7068356&amp;Result=3","7068356")</f>
        <v>0</v>
      </c>
      <c r="B6886" t="s">
        <v>2238</v>
      </c>
      <c r="C6886" t="s">
        <v>9947</v>
      </c>
      <c r="D6886" t="s">
        <v>16608</v>
      </c>
      <c r="E6886" t="s">
        <v>17480</v>
      </c>
      <c r="F6886" t="s">
        <v>28669</v>
      </c>
      <c r="G6886" t="s">
        <v>28676</v>
      </c>
      <c r="H6886" t="s">
        <v>28684</v>
      </c>
      <c r="I6886" t="s">
        <v>28725</v>
      </c>
      <c r="J6886" t="s">
        <v>29809</v>
      </c>
      <c r="K6886" t="s">
        <v>37216</v>
      </c>
      <c r="M6886" t="s">
        <v>39892</v>
      </c>
      <c r="N6886" t="s">
        <v>41249</v>
      </c>
      <c r="O6886" t="s">
        <v>41250</v>
      </c>
      <c r="P6886">
        <v>0</v>
      </c>
      <c r="Q6886">
        <v>3</v>
      </c>
      <c r="R6886" t="s">
        <v>41257</v>
      </c>
      <c r="S6886" t="s">
        <v>41461</v>
      </c>
      <c r="T6886" t="s">
        <v>42686</v>
      </c>
      <c r="U6886" t="s">
        <v>48869</v>
      </c>
      <c r="W6886" t="s">
        <v>39892</v>
      </c>
      <c r="X6886" t="s">
        <v>41258</v>
      </c>
    </row>
    <row r="6887" spans="1:24">
      <c r="A6887">
        <f>HYPERLINK("https://www.philgeps.gov.ph/GEPSNONPILOT/Tender/SplashBidNoticeAbstractUI.aspx?menuIndex=3&amp;refID=7068399&amp;Result=3","7068399")</f>
        <v>0</v>
      </c>
      <c r="B6887" t="s">
        <v>2160</v>
      </c>
      <c r="C6887" t="s">
        <v>9948</v>
      </c>
      <c r="D6887" t="s">
        <v>16642</v>
      </c>
      <c r="E6887" t="s">
        <v>22756</v>
      </c>
      <c r="F6887" t="s">
        <v>28669</v>
      </c>
      <c r="G6887" t="s">
        <v>28675</v>
      </c>
      <c r="H6887" t="s">
        <v>28686</v>
      </c>
      <c r="I6887" t="s">
        <v>28689</v>
      </c>
      <c r="J6887" t="s">
        <v>33157</v>
      </c>
      <c r="K6887" t="s">
        <v>37209</v>
      </c>
      <c r="M6887" t="s">
        <v>39806</v>
      </c>
      <c r="N6887" t="s">
        <v>41249</v>
      </c>
      <c r="O6887" t="s">
        <v>41250</v>
      </c>
      <c r="P6887">
        <v>0</v>
      </c>
      <c r="Q6887">
        <v>0</v>
      </c>
      <c r="R6887" t="s">
        <v>41257</v>
      </c>
      <c r="S6887" t="s">
        <v>41461</v>
      </c>
      <c r="T6887" t="s">
        <v>42669</v>
      </c>
      <c r="U6887" t="s">
        <v>48889</v>
      </c>
      <c r="W6887" t="s">
        <v>39806</v>
      </c>
      <c r="X6887" t="s">
        <v>41258</v>
      </c>
    </row>
    <row r="6888" spans="1:24">
      <c r="A6888">
        <f>HYPERLINK("https://www.philgeps.gov.ph/GEPSNONPILOT/Tender/SplashBidNoticeAbstractUI.aspx?menuIndex=3&amp;refID=7068409&amp;Result=3","7068409")</f>
        <v>0</v>
      </c>
      <c r="B6888" t="s">
        <v>133</v>
      </c>
      <c r="C6888" t="s">
        <v>9949</v>
      </c>
      <c r="E6888" t="s">
        <v>22757</v>
      </c>
      <c r="F6888" t="s">
        <v>28669</v>
      </c>
      <c r="G6888" t="s">
        <v>28675</v>
      </c>
      <c r="H6888" t="s">
        <v>9998</v>
      </c>
      <c r="I6888" t="s">
        <v>28687</v>
      </c>
      <c r="J6888" t="s">
        <v>29053</v>
      </c>
      <c r="K6888" t="s">
        <v>37204</v>
      </c>
      <c r="M6888" t="s">
        <v>37610</v>
      </c>
      <c r="N6888" t="s">
        <v>41249</v>
      </c>
      <c r="O6888" t="s">
        <v>41250</v>
      </c>
      <c r="P6888">
        <v>0</v>
      </c>
      <c r="Q6888">
        <v>8</v>
      </c>
      <c r="R6888" t="s">
        <v>41257</v>
      </c>
      <c r="S6888" t="s">
        <v>41461</v>
      </c>
      <c r="T6888" t="s">
        <v>42724</v>
      </c>
      <c r="U6888" t="s">
        <v>48890</v>
      </c>
      <c r="V6888" t="s">
        <v>55054</v>
      </c>
      <c r="W6888" t="s">
        <v>37610</v>
      </c>
      <c r="X6888" t="s">
        <v>41258</v>
      </c>
    </row>
    <row r="6889" spans="1:24">
      <c r="A6889">
        <f>HYPERLINK("https://www.philgeps.gov.ph/GEPSNONPILOT/Tender/SplashBidNoticeAbstractUI.aspx?menuIndex=3&amp;refID=7068480&amp;Result=3","7068480")</f>
        <v>0</v>
      </c>
      <c r="B6889" t="s">
        <v>335</v>
      </c>
      <c r="C6889" t="s">
        <v>9950</v>
      </c>
      <c r="D6889" t="s">
        <v>16636</v>
      </c>
      <c r="E6889" t="s">
        <v>19766</v>
      </c>
      <c r="F6889" t="s">
        <v>28669</v>
      </c>
      <c r="G6889" t="s">
        <v>28675</v>
      </c>
      <c r="H6889" t="s">
        <v>9998</v>
      </c>
      <c r="I6889" t="s">
        <v>28805</v>
      </c>
      <c r="J6889" t="s">
        <v>33158</v>
      </c>
      <c r="K6889" t="s">
        <v>37220</v>
      </c>
      <c r="M6889" t="s">
        <v>37815</v>
      </c>
      <c r="N6889" t="s">
        <v>41249</v>
      </c>
      <c r="O6889" t="s">
        <v>41250</v>
      </c>
      <c r="P6889">
        <v>0</v>
      </c>
      <c r="Q6889">
        <v>6</v>
      </c>
      <c r="R6889" t="s">
        <v>41257</v>
      </c>
      <c r="S6889" t="s">
        <v>41461</v>
      </c>
      <c r="T6889" t="s">
        <v>43040</v>
      </c>
      <c r="U6889" t="s">
        <v>48192</v>
      </c>
      <c r="W6889" t="s">
        <v>37815</v>
      </c>
      <c r="X6889" t="s">
        <v>41258</v>
      </c>
    </row>
    <row r="6890" spans="1:24">
      <c r="A6890">
        <f>HYPERLINK("https://www.philgeps.gov.ph/GEPSNONPILOT/Tender/SplashBidNoticeAbstractUI.aspx?menuIndex=3&amp;refID=7068472&amp;Result=3","7068472")</f>
        <v>0</v>
      </c>
      <c r="B6890" t="s">
        <v>2214</v>
      </c>
      <c r="C6890" t="s">
        <v>9951</v>
      </c>
      <c r="D6890" t="s">
        <v>16631</v>
      </c>
      <c r="E6890" t="s">
        <v>22758</v>
      </c>
      <c r="F6890" t="s">
        <v>28669</v>
      </c>
      <c r="G6890" t="s">
        <v>28677</v>
      </c>
      <c r="H6890" t="s">
        <v>9998</v>
      </c>
      <c r="I6890" t="s">
        <v>28695</v>
      </c>
      <c r="J6890" t="s">
        <v>33159</v>
      </c>
      <c r="K6890" t="s">
        <v>37220</v>
      </c>
      <c r="M6890" t="s">
        <v>39866</v>
      </c>
      <c r="N6890" t="s">
        <v>41249</v>
      </c>
      <c r="O6890" t="s">
        <v>41250</v>
      </c>
      <c r="P6890">
        <v>0</v>
      </c>
      <c r="Q6890">
        <v>1</v>
      </c>
      <c r="R6890" t="s">
        <v>41257</v>
      </c>
      <c r="S6890" t="s">
        <v>41461</v>
      </c>
      <c r="T6890" t="s">
        <v>42727</v>
      </c>
      <c r="U6890" t="s">
        <v>48891</v>
      </c>
      <c r="V6890" t="s">
        <v>55044</v>
      </c>
      <c r="W6890" t="s">
        <v>39866</v>
      </c>
      <c r="X6890" t="s">
        <v>41258</v>
      </c>
    </row>
    <row r="6891" spans="1:24">
      <c r="A6891">
        <f>HYPERLINK("https://www.philgeps.gov.ph/GEPSNONPILOT/Tender/SplashBidNoticeAbstractUI.aspx?menuIndex=3&amp;refID=7068392&amp;Result=3","7068392")</f>
        <v>0</v>
      </c>
      <c r="B6891" t="s">
        <v>1793</v>
      </c>
      <c r="C6891" t="s">
        <v>9952</v>
      </c>
      <c r="D6891" t="s">
        <v>16659</v>
      </c>
      <c r="E6891" t="s">
        <v>22759</v>
      </c>
      <c r="F6891" t="s">
        <v>28669</v>
      </c>
      <c r="G6891" t="s">
        <v>28675</v>
      </c>
      <c r="H6891" t="s">
        <v>9998</v>
      </c>
      <c r="I6891" t="s">
        <v>28690</v>
      </c>
      <c r="J6891" t="s">
        <v>33160</v>
      </c>
      <c r="K6891" t="s">
        <v>37227</v>
      </c>
      <c r="M6891" t="s">
        <v>39400</v>
      </c>
      <c r="N6891" t="s">
        <v>41249</v>
      </c>
      <c r="O6891" t="s">
        <v>41250</v>
      </c>
      <c r="P6891">
        <v>0</v>
      </c>
      <c r="Q6891">
        <v>3</v>
      </c>
      <c r="R6891" t="s">
        <v>41257</v>
      </c>
      <c r="S6891" t="s">
        <v>41461</v>
      </c>
      <c r="T6891" t="s">
        <v>42748</v>
      </c>
      <c r="U6891" t="s">
        <v>48892</v>
      </c>
      <c r="V6891" t="s">
        <v>55055</v>
      </c>
      <c r="W6891" t="s">
        <v>39400</v>
      </c>
      <c r="X6891" t="s">
        <v>41258</v>
      </c>
    </row>
    <row r="6892" spans="1:24">
      <c r="A6892">
        <f>HYPERLINK("https://www.philgeps.gov.ph/GEPSNONPILOT/Tender/SplashBidNoticeAbstractUI.aspx?menuIndex=3&amp;refID=7068471&amp;Result=3","7068471")</f>
        <v>0</v>
      </c>
      <c r="B6892" t="s">
        <v>1022</v>
      </c>
      <c r="C6892" t="s">
        <v>9953</v>
      </c>
      <c r="E6892" t="s">
        <v>18348</v>
      </c>
      <c r="F6892" t="s">
        <v>28669</v>
      </c>
      <c r="G6892" t="s">
        <v>28677</v>
      </c>
      <c r="H6892" t="s">
        <v>9998</v>
      </c>
      <c r="I6892" t="s">
        <v>8667</v>
      </c>
      <c r="J6892" t="s">
        <v>33161</v>
      </c>
      <c r="K6892" t="s">
        <v>37204</v>
      </c>
      <c r="M6892" t="s">
        <v>38552</v>
      </c>
      <c r="N6892" t="s">
        <v>41249</v>
      </c>
      <c r="O6892" t="s">
        <v>41250</v>
      </c>
      <c r="P6892">
        <v>0</v>
      </c>
      <c r="Q6892">
        <v>1</v>
      </c>
      <c r="R6892" t="s">
        <v>41257</v>
      </c>
      <c r="S6892" t="s">
        <v>41461</v>
      </c>
      <c r="T6892" t="s">
        <v>42742</v>
      </c>
      <c r="U6892" t="s">
        <v>48893</v>
      </c>
      <c r="V6892" t="s">
        <v>55056</v>
      </c>
      <c r="W6892" t="s">
        <v>38552</v>
      </c>
      <c r="X6892" t="s">
        <v>41258</v>
      </c>
    </row>
    <row r="6893" spans="1:24">
      <c r="A6893">
        <f>HYPERLINK("https://www.philgeps.gov.ph/GEPSNONPILOT/Tender/SplashBidNoticeAbstractUI.aspx?menuIndex=3&amp;refID=7068465&amp;Result=3","7068465")</f>
        <v>0</v>
      </c>
      <c r="B6893" t="s">
        <v>2244</v>
      </c>
      <c r="C6893" t="s">
        <v>9954</v>
      </c>
      <c r="D6893" t="s">
        <v>16657</v>
      </c>
      <c r="E6893" t="s">
        <v>22760</v>
      </c>
      <c r="F6893" t="s">
        <v>28671</v>
      </c>
      <c r="G6893" t="s">
        <v>28676</v>
      </c>
      <c r="H6893" t="s">
        <v>9998</v>
      </c>
      <c r="I6893" t="s">
        <v>28687</v>
      </c>
      <c r="J6893" t="s">
        <v>28878</v>
      </c>
      <c r="K6893" t="s">
        <v>37204</v>
      </c>
      <c r="M6893" t="s">
        <v>39898</v>
      </c>
      <c r="N6893" t="s">
        <v>41249</v>
      </c>
      <c r="O6893" t="s">
        <v>41250</v>
      </c>
      <c r="P6893">
        <v>0</v>
      </c>
      <c r="Q6893">
        <v>0</v>
      </c>
      <c r="R6893" t="s">
        <v>41257</v>
      </c>
      <c r="S6893" t="s">
        <v>41461</v>
      </c>
      <c r="T6893" t="s">
        <v>42738</v>
      </c>
      <c r="U6893" t="s">
        <v>48894</v>
      </c>
      <c r="W6893" t="s">
        <v>39898</v>
      </c>
      <c r="X6893" t="s">
        <v>41258</v>
      </c>
    </row>
    <row r="6894" spans="1:24">
      <c r="A6894">
        <f>HYPERLINK("https://www.philgeps.gov.ph/GEPSNONPILOT/Tender/SplashBidNoticeAbstractUI.aspx?menuIndex=3&amp;refID=7068463&amp;Result=3","7068463")</f>
        <v>0</v>
      </c>
      <c r="B6894" t="s">
        <v>2245</v>
      </c>
      <c r="C6894" t="s">
        <v>9955</v>
      </c>
      <c r="D6894" t="s">
        <v>16617</v>
      </c>
      <c r="E6894" t="s">
        <v>22761</v>
      </c>
      <c r="F6894" t="s">
        <v>28670</v>
      </c>
      <c r="G6894" t="s">
        <v>28682</v>
      </c>
      <c r="H6894" t="s">
        <v>28686</v>
      </c>
      <c r="I6894" t="s">
        <v>28696</v>
      </c>
      <c r="J6894" t="s">
        <v>33162</v>
      </c>
      <c r="K6894" t="s">
        <v>37208</v>
      </c>
      <c r="M6894" t="s">
        <v>39899</v>
      </c>
      <c r="N6894" t="s">
        <v>41249</v>
      </c>
      <c r="O6894" t="s">
        <v>41250</v>
      </c>
      <c r="P6894">
        <v>0</v>
      </c>
      <c r="Q6894">
        <v>3</v>
      </c>
      <c r="R6894" t="s">
        <v>41257</v>
      </c>
      <c r="S6894" t="s">
        <v>41461</v>
      </c>
      <c r="T6894" t="s">
        <v>42673</v>
      </c>
      <c r="U6894" t="s">
        <v>48895</v>
      </c>
      <c r="W6894" t="s">
        <v>39899</v>
      </c>
      <c r="X6894" t="s">
        <v>41258</v>
      </c>
    </row>
    <row r="6895" spans="1:24">
      <c r="A6895">
        <f>HYPERLINK("https://www.philgeps.gov.ph/GEPSNONPILOT/Tender/SplashBidNoticeAbstractUI.aspx?menuIndex=3&amp;refID=7068462&amp;Result=3","7068462")</f>
        <v>0</v>
      </c>
      <c r="B6895" t="s">
        <v>2241</v>
      </c>
      <c r="C6895" t="s">
        <v>9956</v>
      </c>
      <c r="D6895" t="s">
        <v>16625</v>
      </c>
      <c r="E6895" t="s">
        <v>22762</v>
      </c>
      <c r="F6895" t="s">
        <v>28669</v>
      </c>
      <c r="G6895" t="s">
        <v>28675</v>
      </c>
      <c r="H6895" t="s">
        <v>9998</v>
      </c>
      <c r="I6895" t="s">
        <v>7352</v>
      </c>
      <c r="J6895" t="s">
        <v>33163</v>
      </c>
      <c r="K6895" t="s">
        <v>37206</v>
      </c>
      <c r="M6895" t="s">
        <v>39895</v>
      </c>
      <c r="N6895" t="s">
        <v>41249</v>
      </c>
      <c r="O6895" t="s">
        <v>41250</v>
      </c>
      <c r="P6895">
        <v>0</v>
      </c>
      <c r="Q6895">
        <v>1</v>
      </c>
      <c r="R6895" t="s">
        <v>41257</v>
      </c>
      <c r="S6895" t="s">
        <v>41461</v>
      </c>
      <c r="T6895" t="s">
        <v>42716</v>
      </c>
      <c r="U6895" t="s">
        <v>48885</v>
      </c>
      <c r="W6895" t="s">
        <v>39895</v>
      </c>
      <c r="X6895" t="s">
        <v>41258</v>
      </c>
    </row>
    <row r="6896" spans="1:24">
      <c r="A6896">
        <f>HYPERLINK("https://www.philgeps.gov.ph/GEPSNONPILOT/Tender/SplashBidNoticeAbstractUI.aspx?menuIndex=3&amp;refID=7068457&amp;Result=3","7068457")</f>
        <v>0</v>
      </c>
      <c r="B6896" t="s">
        <v>1947</v>
      </c>
      <c r="C6896" t="s">
        <v>9957</v>
      </c>
      <c r="D6896" t="s">
        <v>16626</v>
      </c>
      <c r="E6896" t="s">
        <v>22763</v>
      </c>
      <c r="F6896" t="s">
        <v>28669</v>
      </c>
      <c r="G6896" t="s">
        <v>28676</v>
      </c>
      <c r="H6896" t="s">
        <v>9998</v>
      </c>
      <c r="I6896" t="s">
        <v>28693</v>
      </c>
      <c r="J6896" t="s">
        <v>33164</v>
      </c>
      <c r="K6896" t="s">
        <v>37220</v>
      </c>
      <c r="M6896" t="s">
        <v>39577</v>
      </c>
      <c r="N6896" t="s">
        <v>41249</v>
      </c>
      <c r="O6896" t="s">
        <v>41250</v>
      </c>
      <c r="P6896">
        <v>0</v>
      </c>
      <c r="Q6896">
        <v>31</v>
      </c>
      <c r="R6896" t="s">
        <v>41257</v>
      </c>
      <c r="S6896" t="s">
        <v>41461</v>
      </c>
      <c r="T6896" t="s">
        <v>42676</v>
      </c>
      <c r="U6896" t="s">
        <v>48896</v>
      </c>
      <c r="W6896" t="s">
        <v>39577</v>
      </c>
      <c r="X6896" t="s">
        <v>41258</v>
      </c>
    </row>
    <row r="6897" spans="1:24">
      <c r="A6897">
        <f>HYPERLINK("https://www.philgeps.gov.ph/GEPSNONPILOT/Tender/SplashBidNoticeAbstractUI.aspx?menuIndex=3&amp;refID=7068452&amp;Result=3","7068452")</f>
        <v>0</v>
      </c>
      <c r="B6897" t="s">
        <v>2246</v>
      </c>
      <c r="C6897" t="s">
        <v>9958</v>
      </c>
      <c r="D6897" t="s">
        <v>16644</v>
      </c>
      <c r="E6897" t="s">
        <v>6919</v>
      </c>
      <c r="F6897" t="s">
        <v>28669</v>
      </c>
      <c r="G6897" t="s">
        <v>28677</v>
      </c>
      <c r="H6897" t="s">
        <v>9998</v>
      </c>
      <c r="I6897" t="s">
        <v>28749</v>
      </c>
      <c r="J6897" t="s">
        <v>33165</v>
      </c>
      <c r="K6897" t="s">
        <v>37204</v>
      </c>
      <c r="M6897" t="s">
        <v>39900</v>
      </c>
      <c r="N6897" t="s">
        <v>41249</v>
      </c>
      <c r="O6897" t="s">
        <v>41250</v>
      </c>
      <c r="P6897">
        <v>0</v>
      </c>
      <c r="Q6897">
        <v>0</v>
      </c>
      <c r="R6897" t="s">
        <v>41257</v>
      </c>
      <c r="S6897" t="s">
        <v>41461</v>
      </c>
      <c r="T6897" t="s">
        <v>42758</v>
      </c>
      <c r="U6897" t="s">
        <v>48897</v>
      </c>
      <c r="W6897" t="s">
        <v>39900</v>
      </c>
      <c r="X6897" t="s">
        <v>41258</v>
      </c>
    </row>
    <row r="6898" spans="1:24">
      <c r="A6898">
        <f>HYPERLINK("https://www.philgeps.gov.ph/GEPSNONPILOT/Tender/SplashBidNoticeAbstractUI.aspx?menuIndex=3&amp;refID=7068451&amp;Result=3","7068451")</f>
        <v>0</v>
      </c>
      <c r="B6898" t="s">
        <v>935</v>
      </c>
      <c r="C6898" t="s">
        <v>9959</v>
      </c>
      <c r="D6898" t="s">
        <v>16631</v>
      </c>
      <c r="E6898" t="s">
        <v>22764</v>
      </c>
      <c r="F6898" t="s">
        <v>28669</v>
      </c>
      <c r="G6898" t="s">
        <v>28676</v>
      </c>
      <c r="H6898" t="s">
        <v>9998</v>
      </c>
      <c r="I6898" t="s">
        <v>28747</v>
      </c>
      <c r="J6898" t="s">
        <v>29034</v>
      </c>
      <c r="K6898" t="s">
        <v>37206</v>
      </c>
      <c r="M6898" t="s">
        <v>38458</v>
      </c>
      <c r="N6898" t="s">
        <v>41249</v>
      </c>
      <c r="O6898" t="s">
        <v>41250</v>
      </c>
      <c r="P6898">
        <v>0</v>
      </c>
      <c r="Q6898">
        <v>5</v>
      </c>
      <c r="R6898" t="s">
        <v>41257</v>
      </c>
      <c r="S6898" t="s">
        <v>41461</v>
      </c>
      <c r="T6898" t="s">
        <v>42675</v>
      </c>
      <c r="U6898" t="s">
        <v>48898</v>
      </c>
      <c r="W6898" t="s">
        <v>38458</v>
      </c>
      <c r="X6898" t="s">
        <v>41258</v>
      </c>
    </row>
    <row r="6899" spans="1:24">
      <c r="A6899">
        <f>HYPERLINK("https://www.philgeps.gov.ph/GEPSNONPILOT/Tender/SplashBidNoticeAbstractUI.aspx?menuIndex=3&amp;refID=7068450&amp;Result=3","7068450")</f>
        <v>0</v>
      </c>
      <c r="B6899" t="s">
        <v>1920</v>
      </c>
      <c r="C6899" t="s">
        <v>9960</v>
      </c>
      <c r="D6899" t="s">
        <v>16648</v>
      </c>
      <c r="E6899" t="s">
        <v>22765</v>
      </c>
      <c r="F6899" t="s">
        <v>28669</v>
      </c>
      <c r="G6899" t="s">
        <v>28675</v>
      </c>
      <c r="H6899" t="s">
        <v>9998</v>
      </c>
      <c r="I6899" t="s">
        <v>28693</v>
      </c>
      <c r="J6899" t="s">
        <v>29002</v>
      </c>
      <c r="K6899" t="s">
        <v>37209</v>
      </c>
      <c r="M6899" t="s">
        <v>39547</v>
      </c>
      <c r="N6899" t="s">
        <v>41249</v>
      </c>
      <c r="O6899" t="s">
        <v>41250</v>
      </c>
      <c r="P6899">
        <v>0</v>
      </c>
      <c r="Q6899">
        <v>22</v>
      </c>
      <c r="R6899" t="s">
        <v>41257</v>
      </c>
      <c r="S6899" t="s">
        <v>41461</v>
      </c>
      <c r="T6899" t="s">
        <v>42929</v>
      </c>
      <c r="U6899" t="s">
        <v>48899</v>
      </c>
      <c r="W6899" t="s">
        <v>39547</v>
      </c>
      <c r="X6899" t="s">
        <v>41258</v>
      </c>
    </row>
    <row r="6900" spans="1:24">
      <c r="A6900">
        <f>HYPERLINK("https://www.philgeps.gov.ph/GEPSNONPILOT/Tender/SplashBidNoticeAbstractUI.aspx?menuIndex=3&amp;refID=7068401&amp;Result=3","7068401")</f>
        <v>0</v>
      </c>
      <c r="B6900" t="s">
        <v>2247</v>
      </c>
      <c r="C6900" t="s">
        <v>9961</v>
      </c>
      <c r="D6900" t="s">
        <v>16622</v>
      </c>
      <c r="E6900" t="s">
        <v>22766</v>
      </c>
      <c r="F6900" t="s">
        <v>28671</v>
      </c>
      <c r="G6900" t="s">
        <v>28676</v>
      </c>
      <c r="H6900" t="s">
        <v>9998</v>
      </c>
      <c r="I6900" t="s">
        <v>28688</v>
      </c>
      <c r="J6900" t="s">
        <v>33166</v>
      </c>
      <c r="K6900" t="s">
        <v>37243</v>
      </c>
      <c r="M6900" t="s">
        <v>39901</v>
      </c>
      <c r="N6900" t="s">
        <v>41249</v>
      </c>
      <c r="O6900" t="s">
        <v>41250</v>
      </c>
      <c r="P6900">
        <v>0</v>
      </c>
      <c r="Q6900">
        <v>1</v>
      </c>
      <c r="R6900" t="s">
        <v>41257</v>
      </c>
      <c r="S6900" t="s">
        <v>41461</v>
      </c>
      <c r="T6900" t="s">
        <v>42758</v>
      </c>
      <c r="U6900" t="s">
        <v>48900</v>
      </c>
      <c r="W6900" t="s">
        <v>39901</v>
      </c>
      <c r="X6900" t="s">
        <v>41258</v>
      </c>
    </row>
    <row r="6901" spans="1:24">
      <c r="A6901">
        <f>HYPERLINK("https://www.philgeps.gov.ph/GEPSNONPILOT/Tender/SplashBidNoticeAbstractUI.aspx?menuIndex=3&amp;refID=7068444&amp;Result=3","7068444")</f>
        <v>0</v>
      </c>
      <c r="B6901" t="s">
        <v>743</v>
      </c>
      <c r="C6901" t="s">
        <v>9962</v>
      </c>
      <c r="E6901" t="s">
        <v>22767</v>
      </c>
      <c r="F6901" t="s">
        <v>28669</v>
      </c>
      <c r="G6901" t="s">
        <v>28675</v>
      </c>
      <c r="H6901" t="s">
        <v>28686</v>
      </c>
      <c r="I6901" t="s">
        <v>28689</v>
      </c>
      <c r="J6901" t="s">
        <v>33167</v>
      </c>
      <c r="K6901" t="s">
        <v>37316</v>
      </c>
      <c r="M6901" t="s">
        <v>39318</v>
      </c>
      <c r="N6901" t="s">
        <v>41249</v>
      </c>
      <c r="O6901" t="s">
        <v>41250</v>
      </c>
      <c r="P6901">
        <v>0</v>
      </c>
      <c r="Q6901">
        <v>0</v>
      </c>
      <c r="R6901" t="s">
        <v>41257</v>
      </c>
      <c r="S6901" t="s">
        <v>41461</v>
      </c>
      <c r="T6901" t="s">
        <v>42881</v>
      </c>
      <c r="U6901" t="s">
        <v>48901</v>
      </c>
      <c r="V6901" t="s">
        <v>55057</v>
      </c>
      <c r="W6901" t="s">
        <v>39318</v>
      </c>
      <c r="X6901" t="s">
        <v>41258</v>
      </c>
    </row>
    <row r="6902" spans="1:24">
      <c r="A6902">
        <f>HYPERLINK("https://www.philgeps.gov.ph/GEPSNONPILOT/Tender/SplashBidNoticeAbstractUI.aspx?menuIndex=3&amp;refID=7068443&amp;Result=3","7068443")</f>
        <v>0</v>
      </c>
      <c r="B6902" t="s">
        <v>2241</v>
      </c>
      <c r="C6902" t="s">
        <v>9963</v>
      </c>
      <c r="D6902" t="s">
        <v>16625</v>
      </c>
      <c r="E6902" t="s">
        <v>22768</v>
      </c>
      <c r="F6902" t="s">
        <v>28669</v>
      </c>
      <c r="G6902" t="s">
        <v>28675</v>
      </c>
      <c r="H6902" t="s">
        <v>9998</v>
      </c>
      <c r="I6902" t="s">
        <v>7352</v>
      </c>
      <c r="J6902" t="s">
        <v>33168</v>
      </c>
      <c r="K6902" t="s">
        <v>37206</v>
      </c>
      <c r="M6902" t="s">
        <v>39895</v>
      </c>
      <c r="N6902" t="s">
        <v>41249</v>
      </c>
      <c r="O6902" t="s">
        <v>41250</v>
      </c>
      <c r="P6902">
        <v>0</v>
      </c>
      <c r="Q6902">
        <v>1</v>
      </c>
      <c r="R6902" t="s">
        <v>41257</v>
      </c>
      <c r="S6902" t="s">
        <v>41461</v>
      </c>
      <c r="T6902" t="s">
        <v>42716</v>
      </c>
      <c r="U6902" t="s">
        <v>48885</v>
      </c>
      <c r="W6902" t="s">
        <v>39895</v>
      </c>
      <c r="X6902" t="s">
        <v>41258</v>
      </c>
    </row>
    <row r="6903" spans="1:24">
      <c r="A6903">
        <f>HYPERLINK("https://www.philgeps.gov.ph/GEPSNONPILOT/Tender/SplashBidNoticeAbstractUI.aspx?menuIndex=3&amp;refID=7068434&amp;Result=3","7068434")</f>
        <v>0</v>
      </c>
      <c r="B6903" t="s">
        <v>2200</v>
      </c>
      <c r="C6903" t="s">
        <v>9964</v>
      </c>
      <c r="D6903" t="s">
        <v>16646</v>
      </c>
      <c r="E6903" t="s">
        <v>22769</v>
      </c>
      <c r="F6903" t="s">
        <v>28669</v>
      </c>
      <c r="G6903" t="s">
        <v>28676</v>
      </c>
      <c r="H6903" t="s">
        <v>28685</v>
      </c>
      <c r="I6903" t="s">
        <v>28685</v>
      </c>
      <c r="J6903" t="s">
        <v>33155</v>
      </c>
      <c r="K6903" t="s">
        <v>37316</v>
      </c>
      <c r="M6903" t="s">
        <v>39850</v>
      </c>
      <c r="N6903" t="s">
        <v>41249</v>
      </c>
      <c r="O6903" t="s">
        <v>41250</v>
      </c>
      <c r="P6903">
        <v>0</v>
      </c>
      <c r="Q6903">
        <v>3</v>
      </c>
      <c r="R6903" t="s">
        <v>41257</v>
      </c>
      <c r="S6903" t="s">
        <v>41461</v>
      </c>
      <c r="T6903" t="s">
        <v>42727</v>
      </c>
      <c r="U6903" t="s">
        <v>48756</v>
      </c>
      <c r="V6903" t="s">
        <v>55042</v>
      </c>
      <c r="W6903" t="s">
        <v>39850</v>
      </c>
      <c r="X6903" t="s">
        <v>41258</v>
      </c>
    </row>
    <row r="6904" spans="1:24">
      <c r="A6904">
        <f>HYPERLINK("https://www.philgeps.gov.ph/GEPSNONPILOT/Tender/SplashBidNoticeAbstractUI.aspx?menuIndex=3&amp;refID=7068433&amp;Result=3","7068433")</f>
        <v>0</v>
      </c>
      <c r="B6904" t="s">
        <v>2248</v>
      </c>
      <c r="C6904" t="s">
        <v>9965</v>
      </c>
      <c r="D6904" t="s">
        <v>16608</v>
      </c>
      <c r="E6904" t="s">
        <v>22770</v>
      </c>
      <c r="F6904" t="s">
        <v>28669</v>
      </c>
      <c r="G6904" t="s">
        <v>28679</v>
      </c>
      <c r="H6904" t="s">
        <v>9998</v>
      </c>
      <c r="I6904" t="s">
        <v>28711</v>
      </c>
      <c r="J6904" t="s">
        <v>33169</v>
      </c>
      <c r="K6904" t="s">
        <v>37206</v>
      </c>
      <c r="M6904" t="s">
        <v>39902</v>
      </c>
      <c r="N6904" t="s">
        <v>41249</v>
      </c>
      <c r="O6904" t="s">
        <v>41250</v>
      </c>
      <c r="P6904">
        <v>0</v>
      </c>
      <c r="Q6904">
        <v>6</v>
      </c>
      <c r="R6904" t="s">
        <v>41257</v>
      </c>
      <c r="S6904" t="s">
        <v>41461</v>
      </c>
      <c r="T6904" t="s">
        <v>43041</v>
      </c>
      <c r="U6904" t="s">
        <v>48902</v>
      </c>
      <c r="V6904" t="s">
        <v>55058</v>
      </c>
      <c r="W6904" t="s">
        <v>39902</v>
      </c>
      <c r="X6904" t="s">
        <v>41258</v>
      </c>
    </row>
    <row r="6905" spans="1:24">
      <c r="A6905">
        <f>HYPERLINK("https://www.philgeps.gov.ph/GEPSNONPILOT/Tender/SplashBidNoticeAbstractUI.aspx?menuIndex=3&amp;refID=7068429&amp;Result=3","7068429")</f>
        <v>0</v>
      </c>
      <c r="B6905" t="s">
        <v>1947</v>
      </c>
      <c r="C6905" t="s">
        <v>9966</v>
      </c>
      <c r="D6905" t="s">
        <v>16626</v>
      </c>
      <c r="E6905" t="s">
        <v>22771</v>
      </c>
      <c r="F6905" t="s">
        <v>28669</v>
      </c>
      <c r="G6905" t="s">
        <v>28676</v>
      </c>
      <c r="H6905" t="s">
        <v>9998</v>
      </c>
      <c r="I6905" t="s">
        <v>28693</v>
      </c>
      <c r="J6905" t="s">
        <v>28826</v>
      </c>
      <c r="K6905" t="s">
        <v>37220</v>
      </c>
      <c r="M6905" t="s">
        <v>39577</v>
      </c>
      <c r="N6905" t="s">
        <v>41249</v>
      </c>
      <c r="O6905" t="s">
        <v>41250</v>
      </c>
      <c r="P6905">
        <v>0</v>
      </c>
      <c r="Q6905">
        <v>31</v>
      </c>
      <c r="R6905" t="s">
        <v>41257</v>
      </c>
      <c r="S6905" t="s">
        <v>41461</v>
      </c>
      <c r="T6905" t="s">
        <v>42676</v>
      </c>
      <c r="U6905" t="s">
        <v>48903</v>
      </c>
      <c r="W6905" t="s">
        <v>39577</v>
      </c>
      <c r="X6905" t="s">
        <v>41258</v>
      </c>
    </row>
    <row r="6906" spans="1:24">
      <c r="A6906">
        <f>HYPERLINK("https://www.philgeps.gov.ph/GEPSNONPILOT/Tender/SplashBidNoticeAbstractUI.aspx?menuIndex=3&amp;refID=7068386&amp;Result=3","7068386")</f>
        <v>0</v>
      </c>
      <c r="B6906" t="s">
        <v>2249</v>
      </c>
      <c r="C6906" t="s">
        <v>9967</v>
      </c>
      <c r="D6906" t="s">
        <v>16608</v>
      </c>
      <c r="E6906" t="s">
        <v>19303</v>
      </c>
      <c r="F6906" t="s">
        <v>28669</v>
      </c>
      <c r="G6906" t="s">
        <v>28675</v>
      </c>
      <c r="H6906" t="s">
        <v>9998</v>
      </c>
      <c r="I6906" t="s">
        <v>5213</v>
      </c>
      <c r="J6906" t="s">
        <v>33170</v>
      </c>
      <c r="K6906" t="s">
        <v>37243</v>
      </c>
      <c r="M6906" t="s">
        <v>39903</v>
      </c>
      <c r="N6906" t="s">
        <v>41249</v>
      </c>
      <c r="O6906" t="s">
        <v>41250</v>
      </c>
      <c r="P6906">
        <v>0</v>
      </c>
      <c r="Q6906">
        <v>3</v>
      </c>
      <c r="R6906" t="s">
        <v>41257</v>
      </c>
      <c r="S6906" t="s">
        <v>41461</v>
      </c>
      <c r="T6906" t="s">
        <v>42729</v>
      </c>
      <c r="U6906" t="s">
        <v>48904</v>
      </c>
      <c r="W6906" t="s">
        <v>39903</v>
      </c>
      <c r="X6906" t="s">
        <v>41258</v>
      </c>
    </row>
    <row r="6907" spans="1:24">
      <c r="A6907">
        <f>HYPERLINK("https://www.philgeps.gov.ph/GEPSNONPILOT/Tender/SplashBidNoticeAbstractUI.aspx?menuIndex=3&amp;refID=7068384&amp;Result=3","7068384")</f>
        <v>0</v>
      </c>
      <c r="B6907" t="s">
        <v>2250</v>
      </c>
      <c r="C6907" t="s">
        <v>9968</v>
      </c>
      <c r="D6907" t="s">
        <v>16671</v>
      </c>
      <c r="E6907" t="s">
        <v>16877</v>
      </c>
      <c r="F6907" t="s">
        <v>28669</v>
      </c>
      <c r="G6907" t="s">
        <v>28675</v>
      </c>
      <c r="H6907" t="s">
        <v>9998</v>
      </c>
      <c r="I6907" t="s">
        <v>28695</v>
      </c>
      <c r="J6907" t="s">
        <v>33171</v>
      </c>
      <c r="K6907" t="s">
        <v>37204</v>
      </c>
      <c r="L6907" t="s">
        <v>2250</v>
      </c>
      <c r="M6907" t="s">
        <v>39904</v>
      </c>
      <c r="N6907" t="s">
        <v>41249</v>
      </c>
      <c r="O6907" t="s">
        <v>41250</v>
      </c>
      <c r="P6907">
        <v>0</v>
      </c>
      <c r="Q6907">
        <v>0</v>
      </c>
      <c r="R6907" t="s">
        <v>41257</v>
      </c>
      <c r="S6907" t="s">
        <v>41461</v>
      </c>
      <c r="T6907" t="s">
        <v>42673</v>
      </c>
      <c r="U6907" t="s">
        <v>48905</v>
      </c>
      <c r="V6907" t="s">
        <v>55059</v>
      </c>
      <c r="W6907" t="s">
        <v>39904</v>
      </c>
      <c r="X6907" t="s">
        <v>41258</v>
      </c>
    </row>
    <row r="6908" spans="1:24">
      <c r="A6908">
        <f>HYPERLINK("https://www.philgeps.gov.ph/GEPSNONPILOT/Tender/SplashBidNoticeAbstractUI.aspx?menuIndex=3&amp;refID=7068492&amp;Result=3","7068492")</f>
        <v>0</v>
      </c>
      <c r="B6908" t="s">
        <v>659</v>
      </c>
      <c r="C6908" t="s">
        <v>9969</v>
      </c>
      <c r="D6908" t="s">
        <v>16643</v>
      </c>
      <c r="E6908" t="s">
        <v>22772</v>
      </c>
      <c r="F6908" t="s">
        <v>28669</v>
      </c>
      <c r="G6908" t="s">
        <v>28675</v>
      </c>
      <c r="H6908" t="s">
        <v>9998</v>
      </c>
      <c r="I6908" t="s">
        <v>5286</v>
      </c>
      <c r="J6908" t="s">
        <v>33172</v>
      </c>
      <c r="K6908" t="s">
        <v>37204</v>
      </c>
      <c r="M6908" t="s">
        <v>38161</v>
      </c>
      <c r="N6908" t="s">
        <v>41249</v>
      </c>
      <c r="O6908" t="s">
        <v>41250</v>
      </c>
      <c r="P6908">
        <v>0</v>
      </c>
      <c r="Q6908">
        <v>2</v>
      </c>
      <c r="R6908" t="s">
        <v>41257</v>
      </c>
      <c r="S6908" t="s">
        <v>41461</v>
      </c>
      <c r="T6908" t="s">
        <v>42736</v>
      </c>
      <c r="U6908" t="s">
        <v>48906</v>
      </c>
      <c r="W6908" t="s">
        <v>55925</v>
      </c>
      <c r="X6908" t="s">
        <v>41258</v>
      </c>
    </row>
    <row r="6909" spans="1:24">
      <c r="A6909">
        <f>HYPERLINK("https://www.philgeps.gov.ph/GEPSNONPILOT/Tender/SplashBidNoticeAbstractUI.aspx?menuIndex=3&amp;refID=7068430&amp;Result=3","7068430")</f>
        <v>0</v>
      </c>
      <c r="B6909" t="s">
        <v>1271</v>
      </c>
      <c r="C6909" t="s">
        <v>9970</v>
      </c>
      <c r="D6909" t="s">
        <v>16619</v>
      </c>
      <c r="E6909" t="s">
        <v>22773</v>
      </c>
      <c r="F6909" t="s">
        <v>28669</v>
      </c>
      <c r="G6909" t="s">
        <v>28676</v>
      </c>
      <c r="H6909" t="s">
        <v>9998</v>
      </c>
      <c r="I6909" t="s">
        <v>28716</v>
      </c>
      <c r="J6909" t="s">
        <v>29034</v>
      </c>
      <c r="K6909" t="s">
        <v>37243</v>
      </c>
      <c r="M6909" t="s">
        <v>38821</v>
      </c>
      <c r="N6909" t="s">
        <v>41249</v>
      </c>
      <c r="O6909" t="s">
        <v>41250</v>
      </c>
      <c r="P6909">
        <v>0</v>
      </c>
      <c r="Q6909">
        <v>2</v>
      </c>
      <c r="R6909" t="s">
        <v>41257</v>
      </c>
      <c r="S6909" t="s">
        <v>41461</v>
      </c>
      <c r="T6909" t="s">
        <v>42758</v>
      </c>
      <c r="U6909" t="s">
        <v>48907</v>
      </c>
      <c r="W6909" t="s">
        <v>38821</v>
      </c>
      <c r="X6909" t="s">
        <v>41258</v>
      </c>
    </row>
    <row r="6910" spans="1:24">
      <c r="A6910">
        <f>HYPERLINK("https://www.philgeps.gov.ph/GEPSNONPILOT/Tender/SplashBidNoticeAbstractUI.aspx?menuIndex=3&amp;refID=7068475&amp;Result=3","7068475")</f>
        <v>0</v>
      </c>
      <c r="B6910" t="s">
        <v>1522</v>
      </c>
      <c r="C6910" t="s">
        <v>9971</v>
      </c>
      <c r="D6910" t="s">
        <v>16686</v>
      </c>
      <c r="E6910" t="s">
        <v>22774</v>
      </c>
      <c r="F6910" t="s">
        <v>28669</v>
      </c>
      <c r="G6910" t="s">
        <v>28679</v>
      </c>
      <c r="H6910" t="s">
        <v>9998</v>
      </c>
      <c r="I6910" t="s">
        <v>3718</v>
      </c>
      <c r="J6910" t="s">
        <v>33173</v>
      </c>
      <c r="K6910" t="s">
        <v>37210</v>
      </c>
      <c r="M6910" t="s">
        <v>39573</v>
      </c>
      <c r="N6910" t="s">
        <v>41249</v>
      </c>
      <c r="O6910" t="s">
        <v>41250</v>
      </c>
      <c r="P6910">
        <v>0</v>
      </c>
      <c r="Q6910">
        <v>0</v>
      </c>
      <c r="R6910" t="s">
        <v>41257</v>
      </c>
      <c r="S6910" t="s">
        <v>41461</v>
      </c>
      <c r="T6910" t="s">
        <v>42867</v>
      </c>
      <c r="U6910" t="s">
        <v>48908</v>
      </c>
      <c r="W6910" t="s">
        <v>39573</v>
      </c>
      <c r="X6910" t="s">
        <v>41258</v>
      </c>
    </row>
    <row r="6911" spans="1:24">
      <c r="A6911">
        <f>HYPERLINK("https://www.philgeps.gov.ph/GEPSNONPILOT/Tender/SplashBidNoticeAbstractUI.aspx?menuIndex=3&amp;refID=7068530&amp;Result=3","7068530")</f>
        <v>0</v>
      </c>
      <c r="B6911" t="s">
        <v>2251</v>
      </c>
      <c r="C6911" t="s">
        <v>9972</v>
      </c>
      <c r="D6911" t="s">
        <v>16618</v>
      </c>
      <c r="E6911" t="s">
        <v>22775</v>
      </c>
      <c r="F6911" t="s">
        <v>28669</v>
      </c>
      <c r="G6911" t="s">
        <v>28675</v>
      </c>
      <c r="H6911" t="s">
        <v>9998</v>
      </c>
      <c r="I6911" t="s">
        <v>28689</v>
      </c>
      <c r="J6911" t="s">
        <v>33174</v>
      </c>
      <c r="K6911" t="s">
        <v>37221</v>
      </c>
      <c r="M6911" t="s">
        <v>39905</v>
      </c>
      <c r="N6911" t="s">
        <v>41249</v>
      </c>
      <c r="O6911" t="s">
        <v>41250</v>
      </c>
      <c r="P6911">
        <v>0</v>
      </c>
      <c r="Q6911">
        <v>0</v>
      </c>
      <c r="R6911" t="s">
        <v>41257</v>
      </c>
      <c r="S6911" t="s">
        <v>41461</v>
      </c>
      <c r="T6911" t="s">
        <v>43016</v>
      </c>
      <c r="U6911" t="s">
        <v>48909</v>
      </c>
      <c r="W6911" t="s">
        <v>39905</v>
      </c>
      <c r="X6911" t="s">
        <v>41258</v>
      </c>
    </row>
    <row r="6912" spans="1:24">
      <c r="A6912">
        <f>HYPERLINK("https://www.philgeps.gov.ph/GEPSNONPILOT/Tender/SplashBidNoticeAbstractUI.aspx?menuIndex=3&amp;refID=7068526&amp;Result=3","7068526")</f>
        <v>0</v>
      </c>
      <c r="B6912" t="s">
        <v>2252</v>
      </c>
      <c r="C6912" t="s">
        <v>9973</v>
      </c>
      <c r="D6912" t="s">
        <v>16615</v>
      </c>
      <c r="E6912" t="s">
        <v>22776</v>
      </c>
      <c r="F6912" t="s">
        <v>28669</v>
      </c>
      <c r="G6912" t="s">
        <v>28675</v>
      </c>
      <c r="H6912" t="s">
        <v>9998</v>
      </c>
      <c r="I6912" t="s">
        <v>3718</v>
      </c>
      <c r="J6912" t="s">
        <v>33175</v>
      </c>
      <c r="K6912" t="s">
        <v>37204</v>
      </c>
      <c r="M6912" t="s">
        <v>39906</v>
      </c>
      <c r="N6912" t="s">
        <v>41249</v>
      </c>
      <c r="O6912" t="s">
        <v>41250</v>
      </c>
      <c r="P6912">
        <v>0</v>
      </c>
      <c r="Q6912">
        <v>6</v>
      </c>
      <c r="R6912" t="s">
        <v>41257</v>
      </c>
      <c r="S6912" t="s">
        <v>41461</v>
      </c>
      <c r="T6912" t="s">
        <v>42729</v>
      </c>
      <c r="U6912" t="s">
        <v>48910</v>
      </c>
      <c r="V6912" t="s">
        <v>55060</v>
      </c>
      <c r="W6912" t="s">
        <v>39906</v>
      </c>
      <c r="X6912" t="s">
        <v>41258</v>
      </c>
    </row>
    <row r="6913" spans="1:24">
      <c r="A6913">
        <f>HYPERLINK("https://www.philgeps.gov.ph/GEPSNONPILOT/Tender/SplashBidNoticeAbstractUI.aspx?menuIndex=3&amp;refID=7068345&amp;Result=3","7068345")</f>
        <v>0</v>
      </c>
      <c r="B6913" t="s">
        <v>2212</v>
      </c>
      <c r="C6913" t="s">
        <v>9974</v>
      </c>
      <c r="D6913" t="s">
        <v>16680</v>
      </c>
      <c r="E6913" t="s">
        <v>22777</v>
      </c>
      <c r="F6913" t="s">
        <v>28671</v>
      </c>
      <c r="G6913" t="s">
        <v>28676</v>
      </c>
      <c r="H6913" t="s">
        <v>9998</v>
      </c>
      <c r="I6913" t="s">
        <v>11593</v>
      </c>
      <c r="J6913" t="s">
        <v>30690</v>
      </c>
      <c r="K6913" t="s">
        <v>37209</v>
      </c>
      <c r="M6913" t="s">
        <v>39864</v>
      </c>
      <c r="N6913" t="s">
        <v>41249</v>
      </c>
      <c r="O6913" t="s">
        <v>41250</v>
      </c>
      <c r="P6913">
        <v>0</v>
      </c>
      <c r="Q6913">
        <v>3</v>
      </c>
      <c r="R6913" t="s">
        <v>41257</v>
      </c>
      <c r="S6913" t="s">
        <v>41461</v>
      </c>
      <c r="T6913" t="s">
        <v>42701</v>
      </c>
      <c r="U6913" t="s">
        <v>48911</v>
      </c>
      <c r="W6913" t="s">
        <v>39864</v>
      </c>
      <c r="X6913" t="s">
        <v>41258</v>
      </c>
    </row>
    <row r="6914" spans="1:24">
      <c r="A6914">
        <f>HYPERLINK("https://www.philgeps.gov.ph/GEPSNONPILOT/Tender/SplashBidNoticeAbstractUI.aspx?menuIndex=3&amp;refID=7068513&amp;Result=3","7068513")</f>
        <v>0</v>
      </c>
      <c r="B6914" t="s">
        <v>597</v>
      </c>
      <c r="C6914" t="s">
        <v>9975</v>
      </c>
      <c r="D6914" t="s">
        <v>16615</v>
      </c>
      <c r="E6914" t="s">
        <v>22778</v>
      </c>
      <c r="F6914" t="s">
        <v>28669</v>
      </c>
      <c r="G6914" t="s">
        <v>28675</v>
      </c>
      <c r="H6914" t="s">
        <v>28686</v>
      </c>
      <c r="I6914" t="s">
        <v>28689</v>
      </c>
      <c r="J6914" t="s">
        <v>33176</v>
      </c>
      <c r="K6914" t="s">
        <v>37315</v>
      </c>
      <c r="M6914" t="s">
        <v>38096</v>
      </c>
      <c r="N6914" t="s">
        <v>41249</v>
      </c>
      <c r="O6914" t="s">
        <v>41250</v>
      </c>
      <c r="P6914">
        <v>0</v>
      </c>
      <c r="Q6914">
        <v>21</v>
      </c>
      <c r="R6914" t="s">
        <v>41257</v>
      </c>
      <c r="S6914" t="s">
        <v>41461</v>
      </c>
      <c r="T6914" t="s">
        <v>42842</v>
      </c>
      <c r="U6914" t="s">
        <v>48912</v>
      </c>
      <c r="W6914" t="s">
        <v>38096</v>
      </c>
      <c r="X6914" t="s">
        <v>41258</v>
      </c>
    </row>
    <row r="6915" spans="1:24">
      <c r="A6915">
        <f>HYPERLINK("https://www.philgeps.gov.ph/GEPSNONPILOT/Tender/SplashBidNoticeAbstractUI.aspx?menuIndex=3&amp;refID=7068489&amp;Result=3","7068489")</f>
        <v>0</v>
      </c>
      <c r="B6915" t="s">
        <v>87</v>
      </c>
      <c r="C6915" t="s">
        <v>9976</v>
      </c>
      <c r="D6915" t="s">
        <v>16638</v>
      </c>
      <c r="E6915" t="s">
        <v>22779</v>
      </c>
      <c r="F6915" t="s">
        <v>28669</v>
      </c>
      <c r="G6915" t="s">
        <v>28675</v>
      </c>
      <c r="H6915" t="s">
        <v>9998</v>
      </c>
      <c r="I6915" t="s">
        <v>28709</v>
      </c>
      <c r="J6915" t="s">
        <v>33177</v>
      </c>
      <c r="K6915" t="s">
        <v>37205</v>
      </c>
      <c r="M6915" t="s">
        <v>37562</v>
      </c>
      <c r="N6915" t="s">
        <v>41249</v>
      </c>
      <c r="O6915" t="s">
        <v>41250</v>
      </c>
      <c r="P6915">
        <v>0</v>
      </c>
      <c r="Q6915">
        <v>4</v>
      </c>
      <c r="R6915" t="s">
        <v>41257</v>
      </c>
      <c r="S6915" t="s">
        <v>41461</v>
      </c>
      <c r="T6915" t="s">
        <v>42706</v>
      </c>
      <c r="U6915" t="s">
        <v>48913</v>
      </c>
      <c r="W6915" t="s">
        <v>37562</v>
      </c>
      <c r="X6915" t="s">
        <v>41258</v>
      </c>
    </row>
    <row r="6916" spans="1:24">
      <c r="A6916">
        <f>HYPERLINK("https://www.philgeps.gov.ph/GEPSNONPILOT/Tender/SplashBidNoticeAbstractUI.aspx?menuIndex=3&amp;refID=7068527&amp;Result=3","7068527")</f>
        <v>0</v>
      </c>
      <c r="B6916" t="s">
        <v>743</v>
      </c>
      <c r="C6916" t="s">
        <v>9977</v>
      </c>
      <c r="D6916" t="s">
        <v>16629</v>
      </c>
      <c r="E6916" t="s">
        <v>22780</v>
      </c>
      <c r="F6916" t="s">
        <v>28669</v>
      </c>
      <c r="G6916" t="s">
        <v>28675</v>
      </c>
      <c r="H6916" t="s">
        <v>28686</v>
      </c>
      <c r="I6916" t="s">
        <v>28689</v>
      </c>
      <c r="J6916" t="s">
        <v>28836</v>
      </c>
      <c r="K6916" t="s">
        <v>37230</v>
      </c>
      <c r="M6916" t="s">
        <v>39318</v>
      </c>
      <c r="N6916" t="s">
        <v>41249</v>
      </c>
      <c r="O6916" t="s">
        <v>41250</v>
      </c>
      <c r="P6916">
        <v>0</v>
      </c>
      <c r="Q6916">
        <v>0</v>
      </c>
      <c r="R6916" t="s">
        <v>41257</v>
      </c>
      <c r="S6916" t="s">
        <v>41461</v>
      </c>
      <c r="T6916" t="s">
        <v>42881</v>
      </c>
      <c r="U6916" t="s">
        <v>48914</v>
      </c>
      <c r="V6916" t="s">
        <v>55061</v>
      </c>
      <c r="W6916" t="s">
        <v>39318</v>
      </c>
      <c r="X6916" t="s">
        <v>41258</v>
      </c>
    </row>
    <row r="6917" spans="1:24">
      <c r="A6917">
        <f>HYPERLINK("https://www.philgeps.gov.ph/GEPSNONPILOT/Tender/SplashBidNoticeAbstractUI.aspx?menuIndex=3&amp;refID=7068469&amp;Result=3","7068469")</f>
        <v>0</v>
      </c>
      <c r="B6917" t="s">
        <v>743</v>
      </c>
      <c r="C6917" t="s">
        <v>9978</v>
      </c>
      <c r="D6917" t="s">
        <v>16629</v>
      </c>
      <c r="E6917" t="s">
        <v>22781</v>
      </c>
      <c r="F6917" t="s">
        <v>28669</v>
      </c>
      <c r="G6917" t="s">
        <v>28675</v>
      </c>
      <c r="H6917" t="s">
        <v>28686</v>
      </c>
      <c r="I6917" t="s">
        <v>28689</v>
      </c>
      <c r="J6917" t="s">
        <v>29744</v>
      </c>
      <c r="K6917" t="s">
        <v>37319</v>
      </c>
      <c r="M6917" t="s">
        <v>39318</v>
      </c>
      <c r="N6917" t="s">
        <v>41249</v>
      </c>
      <c r="O6917" t="s">
        <v>41250</v>
      </c>
      <c r="P6917">
        <v>0</v>
      </c>
      <c r="Q6917">
        <v>1</v>
      </c>
      <c r="R6917" t="s">
        <v>41257</v>
      </c>
      <c r="S6917" t="s">
        <v>41461</v>
      </c>
      <c r="T6917" t="s">
        <v>42881</v>
      </c>
      <c r="U6917" t="s">
        <v>48915</v>
      </c>
      <c r="V6917" t="s">
        <v>55062</v>
      </c>
      <c r="W6917" t="s">
        <v>39318</v>
      </c>
      <c r="X6917" t="s">
        <v>41258</v>
      </c>
    </row>
    <row r="6918" spans="1:24">
      <c r="A6918">
        <f>HYPERLINK("https://www.philgeps.gov.ph/GEPSNONPILOT/Tender/SplashBidNoticeAbstractUI.aspx?menuIndex=3&amp;refID=7068523&amp;Result=3","7068523")</f>
        <v>0</v>
      </c>
      <c r="B6918" t="s">
        <v>494</v>
      </c>
      <c r="C6918" t="s">
        <v>9979</v>
      </c>
      <c r="E6918" t="s">
        <v>22782</v>
      </c>
      <c r="F6918" t="s">
        <v>28669</v>
      </c>
      <c r="G6918" t="s">
        <v>28676</v>
      </c>
      <c r="H6918" t="s">
        <v>9998</v>
      </c>
      <c r="I6918" t="s">
        <v>28697</v>
      </c>
      <c r="J6918" t="s">
        <v>33178</v>
      </c>
      <c r="K6918" t="s">
        <v>37209</v>
      </c>
      <c r="M6918" t="s">
        <v>37983</v>
      </c>
      <c r="N6918" t="s">
        <v>41249</v>
      </c>
      <c r="O6918" t="s">
        <v>41250</v>
      </c>
      <c r="P6918">
        <v>0</v>
      </c>
      <c r="Q6918">
        <v>1</v>
      </c>
      <c r="R6918" t="s">
        <v>41257</v>
      </c>
      <c r="S6918" t="s">
        <v>41461</v>
      </c>
      <c r="T6918" t="s">
        <v>42727</v>
      </c>
      <c r="U6918" t="s">
        <v>48916</v>
      </c>
      <c r="W6918" t="s">
        <v>37983</v>
      </c>
      <c r="X6918" t="s">
        <v>41258</v>
      </c>
    </row>
    <row r="6919" spans="1:24">
      <c r="A6919">
        <f>HYPERLINK("https://www.philgeps.gov.ph/GEPSNONPILOT/Tender/SplashBidNoticeAbstractUI.aspx?menuIndex=3&amp;refID=7068517&amp;Result=3","7068517")</f>
        <v>0</v>
      </c>
      <c r="B6919" t="s">
        <v>935</v>
      </c>
      <c r="C6919" t="s">
        <v>9980</v>
      </c>
      <c r="D6919" t="s">
        <v>16631</v>
      </c>
      <c r="E6919" t="s">
        <v>22783</v>
      </c>
      <c r="F6919" t="s">
        <v>28669</v>
      </c>
      <c r="G6919" t="s">
        <v>28676</v>
      </c>
      <c r="H6919" t="s">
        <v>9998</v>
      </c>
      <c r="I6919" t="s">
        <v>28693</v>
      </c>
      <c r="J6919" t="s">
        <v>28894</v>
      </c>
      <c r="K6919" t="s">
        <v>37206</v>
      </c>
      <c r="M6919" t="s">
        <v>38458</v>
      </c>
      <c r="N6919" t="s">
        <v>41249</v>
      </c>
      <c r="O6919" t="s">
        <v>41250</v>
      </c>
      <c r="P6919">
        <v>0</v>
      </c>
      <c r="Q6919">
        <v>12</v>
      </c>
      <c r="R6919" t="s">
        <v>41257</v>
      </c>
      <c r="S6919" t="s">
        <v>41461</v>
      </c>
      <c r="T6919" t="s">
        <v>42675</v>
      </c>
      <c r="U6919" t="s">
        <v>48917</v>
      </c>
      <c r="W6919" t="s">
        <v>38458</v>
      </c>
      <c r="X6919" t="s">
        <v>41258</v>
      </c>
    </row>
    <row r="6920" spans="1:24">
      <c r="A6920">
        <f>HYPERLINK("https://www.philgeps.gov.ph/GEPSNONPILOT/Tender/SplashBidNoticeAbstractUI.aspx?menuIndex=3&amp;refID=7068541&amp;Result=3","7068541")</f>
        <v>0</v>
      </c>
      <c r="B6920" t="s">
        <v>597</v>
      </c>
      <c r="C6920" t="s">
        <v>9981</v>
      </c>
      <c r="D6920" t="s">
        <v>16615</v>
      </c>
      <c r="E6920" t="s">
        <v>22784</v>
      </c>
      <c r="F6920" t="s">
        <v>28669</v>
      </c>
      <c r="G6920" t="s">
        <v>28675</v>
      </c>
      <c r="H6920" t="s">
        <v>28686</v>
      </c>
      <c r="I6920" t="s">
        <v>28689</v>
      </c>
      <c r="J6920" t="s">
        <v>33179</v>
      </c>
      <c r="K6920" t="s">
        <v>37215</v>
      </c>
      <c r="M6920" t="s">
        <v>38096</v>
      </c>
      <c r="N6920" t="s">
        <v>41249</v>
      </c>
      <c r="O6920" t="s">
        <v>41250</v>
      </c>
      <c r="P6920">
        <v>0</v>
      </c>
      <c r="Q6920">
        <v>22</v>
      </c>
      <c r="R6920" t="s">
        <v>41257</v>
      </c>
      <c r="S6920" t="s">
        <v>41461</v>
      </c>
      <c r="T6920" t="s">
        <v>42842</v>
      </c>
      <c r="U6920" t="s">
        <v>48918</v>
      </c>
      <c r="W6920" t="s">
        <v>38096</v>
      </c>
      <c r="X6920" t="s">
        <v>41258</v>
      </c>
    </row>
    <row r="6921" spans="1:24">
      <c r="A6921">
        <f>HYPERLINK("https://www.philgeps.gov.ph/GEPSNONPILOT/Tender/SplashBidNoticeAbstractUI.aspx?menuIndex=3&amp;refID=7068534&amp;Result=3","7068534")</f>
        <v>0</v>
      </c>
      <c r="B6921" t="s">
        <v>1947</v>
      </c>
      <c r="C6921" t="s">
        <v>9982</v>
      </c>
      <c r="D6921" t="s">
        <v>16626</v>
      </c>
      <c r="E6921" t="s">
        <v>22785</v>
      </c>
      <c r="F6921" t="s">
        <v>28669</v>
      </c>
      <c r="G6921" t="s">
        <v>28676</v>
      </c>
      <c r="H6921" t="s">
        <v>9998</v>
      </c>
      <c r="I6921" t="s">
        <v>28693</v>
      </c>
      <c r="J6921" t="s">
        <v>28914</v>
      </c>
      <c r="K6921" t="s">
        <v>37220</v>
      </c>
      <c r="M6921" t="s">
        <v>39577</v>
      </c>
      <c r="N6921" t="s">
        <v>41249</v>
      </c>
      <c r="O6921" t="s">
        <v>41250</v>
      </c>
      <c r="P6921">
        <v>0</v>
      </c>
      <c r="Q6921">
        <v>25</v>
      </c>
      <c r="R6921" t="s">
        <v>41257</v>
      </c>
      <c r="S6921" t="s">
        <v>41461</v>
      </c>
      <c r="T6921" t="s">
        <v>42676</v>
      </c>
      <c r="U6921" t="s">
        <v>48919</v>
      </c>
      <c r="W6921" t="s">
        <v>39577</v>
      </c>
      <c r="X6921" t="s">
        <v>41258</v>
      </c>
    </row>
    <row r="6922" spans="1:24">
      <c r="A6922">
        <f>HYPERLINK("https://www.philgeps.gov.ph/GEPSNONPILOT/Tender/SplashBidNoticeAbstractUI.aspx?menuIndex=3&amp;refID=7068390&amp;Result=3","7068390")</f>
        <v>0</v>
      </c>
      <c r="B6922" t="s">
        <v>659</v>
      </c>
      <c r="C6922" t="s">
        <v>9983</v>
      </c>
      <c r="D6922" t="s">
        <v>16643</v>
      </c>
      <c r="E6922" t="s">
        <v>22786</v>
      </c>
      <c r="F6922" t="s">
        <v>28669</v>
      </c>
      <c r="G6922" t="s">
        <v>28678</v>
      </c>
      <c r="H6922" t="s">
        <v>9998</v>
      </c>
      <c r="I6922" t="s">
        <v>28740</v>
      </c>
      <c r="J6922" t="s">
        <v>29191</v>
      </c>
      <c r="K6922" t="s">
        <v>37204</v>
      </c>
      <c r="M6922" t="s">
        <v>38161</v>
      </c>
      <c r="N6922" t="s">
        <v>41249</v>
      </c>
      <c r="O6922" t="s">
        <v>41250</v>
      </c>
      <c r="P6922">
        <v>0</v>
      </c>
      <c r="Q6922">
        <v>2</v>
      </c>
      <c r="R6922" t="s">
        <v>41257</v>
      </c>
      <c r="S6922" t="s">
        <v>41461</v>
      </c>
      <c r="T6922" t="s">
        <v>42736</v>
      </c>
      <c r="U6922" t="s">
        <v>48887</v>
      </c>
      <c r="W6922" t="s">
        <v>55925</v>
      </c>
      <c r="X6922" t="s">
        <v>41258</v>
      </c>
    </row>
    <row r="6923" spans="1:24">
      <c r="A6923">
        <f>HYPERLINK("https://www.philgeps.gov.ph/GEPSNONPILOT/Tender/SplashBidNoticeAbstractUI.aspx?menuIndex=3&amp;refID=7068510&amp;Result=3","7068510")</f>
        <v>0</v>
      </c>
      <c r="B6923" t="s">
        <v>369</v>
      </c>
      <c r="C6923" t="s">
        <v>9984</v>
      </c>
      <c r="D6923" t="s">
        <v>16619</v>
      </c>
      <c r="E6923" t="s">
        <v>22787</v>
      </c>
      <c r="F6923" t="s">
        <v>28669</v>
      </c>
      <c r="G6923" t="s">
        <v>28675</v>
      </c>
      <c r="H6923" t="s">
        <v>9998</v>
      </c>
      <c r="I6923" t="s">
        <v>28687</v>
      </c>
      <c r="J6923" t="s">
        <v>33180</v>
      </c>
      <c r="K6923" t="s">
        <v>37206</v>
      </c>
      <c r="M6923" t="s">
        <v>37851</v>
      </c>
      <c r="N6923" t="s">
        <v>41249</v>
      </c>
      <c r="O6923" t="s">
        <v>41250</v>
      </c>
      <c r="P6923">
        <v>0</v>
      </c>
      <c r="Q6923">
        <v>6</v>
      </c>
      <c r="R6923" t="s">
        <v>41257</v>
      </c>
      <c r="S6923" t="s">
        <v>41461</v>
      </c>
      <c r="T6923" t="s">
        <v>42911</v>
      </c>
      <c r="U6923" t="s">
        <v>48920</v>
      </c>
      <c r="W6923" t="s">
        <v>37851</v>
      </c>
      <c r="X6923" t="s">
        <v>41258</v>
      </c>
    </row>
    <row r="6924" spans="1:24">
      <c r="A6924">
        <f>HYPERLINK("https://www.philgeps.gov.ph/GEPSNONPILOT/Tender/SplashBidNoticeAbstractUI.aspx?menuIndex=3&amp;refID=7068440&amp;Result=3","7068440")</f>
        <v>0</v>
      </c>
      <c r="B6924" t="s">
        <v>2253</v>
      </c>
      <c r="C6924" t="s">
        <v>9985</v>
      </c>
      <c r="D6924" t="s">
        <v>16625</v>
      </c>
      <c r="E6924" t="s">
        <v>19259</v>
      </c>
      <c r="F6924" t="s">
        <v>28669</v>
      </c>
      <c r="G6924" t="s">
        <v>28676</v>
      </c>
      <c r="H6924" t="s">
        <v>9998</v>
      </c>
      <c r="I6924" t="s">
        <v>5213</v>
      </c>
      <c r="J6924" t="s">
        <v>33181</v>
      </c>
      <c r="K6924" t="s">
        <v>37205</v>
      </c>
      <c r="M6924" t="s">
        <v>39907</v>
      </c>
      <c r="N6924" t="s">
        <v>41249</v>
      </c>
      <c r="O6924" t="s">
        <v>41250</v>
      </c>
      <c r="P6924">
        <v>0</v>
      </c>
      <c r="Q6924">
        <v>2</v>
      </c>
      <c r="R6924" t="s">
        <v>41257</v>
      </c>
      <c r="S6924" t="s">
        <v>41461</v>
      </c>
      <c r="T6924" t="s">
        <v>42758</v>
      </c>
      <c r="U6924" t="s">
        <v>48921</v>
      </c>
      <c r="W6924" t="s">
        <v>39907</v>
      </c>
      <c r="X6924" t="s">
        <v>41258</v>
      </c>
    </row>
    <row r="6925" spans="1:24">
      <c r="A6925">
        <f>HYPERLINK("https://www.philgeps.gov.ph/GEPSNONPILOT/Tender/SplashBidNoticeAbstractUI.aspx?menuIndex=3&amp;refID=7068509&amp;Result=3","7068509")</f>
        <v>0</v>
      </c>
      <c r="B6925" t="s">
        <v>2224</v>
      </c>
      <c r="C6925" t="s">
        <v>9986</v>
      </c>
      <c r="D6925" t="s">
        <v>16637</v>
      </c>
      <c r="E6925" t="s">
        <v>22788</v>
      </c>
      <c r="F6925" t="s">
        <v>28669</v>
      </c>
      <c r="G6925" t="s">
        <v>28676</v>
      </c>
      <c r="H6925" t="s">
        <v>9998</v>
      </c>
      <c r="I6925" t="s">
        <v>3718</v>
      </c>
      <c r="J6925" t="s">
        <v>32022</v>
      </c>
      <c r="K6925" t="s">
        <v>37204</v>
      </c>
      <c r="L6925" t="s">
        <v>2224</v>
      </c>
      <c r="M6925" t="s">
        <v>39877</v>
      </c>
      <c r="N6925" t="s">
        <v>41249</v>
      </c>
      <c r="O6925" t="s">
        <v>41250</v>
      </c>
      <c r="P6925">
        <v>0</v>
      </c>
      <c r="Q6925">
        <v>0</v>
      </c>
      <c r="R6925" t="s">
        <v>41257</v>
      </c>
      <c r="S6925" t="s">
        <v>41461</v>
      </c>
      <c r="T6925" t="s">
        <v>42883</v>
      </c>
      <c r="U6925" t="s">
        <v>48922</v>
      </c>
      <c r="W6925" t="s">
        <v>39877</v>
      </c>
      <c r="X6925" t="s">
        <v>41258</v>
      </c>
    </row>
    <row r="6926" spans="1:24">
      <c r="A6926">
        <f>HYPERLINK("https://www.philgeps.gov.ph/GEPSNONPILOT/Tender/SplashBidNoticeAbstractUI.aspx?menuIndex=3&amp;refID=7068504&amp;Result=3","7068504")</f>
        <v>0</v>
      </c>
      <c r="B6926" t="s">
        <v>2216</v>
      </c>
      <c r="C6926" t="s">
        <v>9987</v>
      </c>
      <c r="D6926" t="s">
        <v>16615</v>
      </c>
      <c r="E6926" t="s">
        <v>17653</v>
      </c>
      <c r="F6926" t="s">
        <v>28669</v>
      </c>
      <c r="G6926" t="s">
        <v>28676</v>
      </c>
      <c r="H6926" t="s">
        <v>9998</v>
      </c>
      <c r="I6926" t="s">
        <v>28810</v>
      </c>
      <c r="J6926" t="s">
        <v>29040</v>
      </c>
      <c r="K6926" t="s">
        <v>37206</v>
      </c>
      <c r="M6926" t="s">
        <v>39868</v>
      </c>
      <c r="N6926" t="s">
        <v>41249</v>
      </c>
      <c r="O6926" t="s">
        <v>41250</v>
      </c>
      <c r="P6926">
        <v>0</v>
      </c>
      <c r="Q6926">
        <v>2</v>
      </c>
      <c r="R6926" t="s">
        <v>41257</v>
      </c>
      <c r="S6926" t="s">
        <v>41461</v>
      </c>
      <c r="T6926" t="s">
        <v>42743</v>
      </c>
      <c r="U6926" t="s">
        <v>48923</v>
      </c>
      <c r="V6926" t="s">
        <v>55045</v>
      </c>
      <c r="W6926" t="s">
        <v>39868</v>
      </c>
      <c r="X6926" t="s">
        <v>41258</v>
      </c>
    </row>
    <row r="6927" spans="1:24">
      <c r="A6927">
        <f>HYPERLINK("https://www.philgeps.gov.ph/GEPSNONPILOT/Tender/SplashBidNoticeAbstractUI.aspx?menuIndex=3&amp;refID=7068503&amp;Result=3","7068503")</f>
        <v>0</v>
      </c>
      <c r="B6927" t="s">
        <v>1950</v>
      </c>
      <c r="C6927" t="s">
        <v>9988</v>
      </c>
      <c r="D6927" t="s">
        <v>16608</v>
      </c>
      <c r="E6927" t="s">
        <v>22789</v>
      </c>
      <c r="F6927" t="s">
        <v>28669</v>
      </c>
      <c r="G6927" t="s">
        <v>28676</v>
      </c>
      <c r="H6927" t="s">
        <v>9998</v>
      </c>
      <c r="I6927" t="s">
        <v>5213</v>
      </c>
      <c r="J6927" t="s">
        <v>29034</v>
      </c>
      <c r="K6927" t="s">
        <v>37204</v>
      </c>
      <c r="M6927" t="s">
        <v>39908</v>
      </c>
      <c r="N6927" t="s">
        <v>41249</v>
      </c>
      <c r="O6927" t="s">
        <v>41250</v>
      </c>
      <c r="P6927">
        <v>0</v>
      </c>
      <c r="Q6927">
        <v>2</v>
      </c>
      <c r="R6927" t="s">
        <v>41257</v>
      </c>
      <c r="S6927" t="s">
        <v>41461</v>
      </c>
      <c r="T6927" t="s">
        <v>42665</v>
      </c>
      <c r="U6927" t="s">
        <v>48924</v>
      </c>
      <c r="W6927" t="s">
        <v>39908</v>
      </c>
      <c r="X6927" t="s">
        <v>41258</v>
      </c>
    </row>
    <row r="6928" spans="1:24">
      <c r="A6928">
        <f>HYPERLINK("https://www.philgeps.gov.ph/GEPSNONPILOT/Tender/SplashBidNoticeAbstractUI.aspx?menuIndex=3&amp;refID=7068501&amp;Result=3","7068501")</f>
        <v>0</v>
      </c>
      <c r="B6928" t="s">
        <v>743</v>
      </c>
      <c r="C6928" t="s">
        <v>9989</v>
      </c>
      <c r="D6928" t="s">
        <v>16629</v>
      </c>
      <c r="E6928" t="s">
        <v>22790</v>
      </c>
      <c r="F6928" t="s">
        <v>28669</v>
      </c>
      <c r="G6928" t="s">
        <v>28675</v>
      </c>
      <c r="H6928" t="s">
        <v>28686</v>
      </c>
      <c r="I6928" t="s">
        <v>28689</v>
      </c>
      <c r="J6928" t="s">
        <v>33182</v>
      </c>
      <c r="K6928" t="s">
        <v>37321</v>
      </c>
      <c r="M6928" t="s">
        <v>39318</v>
      </c>
      <c r="N6928" t="s">
        <v>41249</v>
      </c>
      <c r="O6928" t="s">
        <v>41250</v>
      </c>
      <c r="P6928">
        <v>0</v>
      </c>
      <c r="Q6928">
        <v>0</v>
      </c>
      <c r="R6928" t="s">
        <v>41257</v>
      </c>
      <c r="S6928" t="s">
        <v>41461</v>
      </c>
      <c r="T6928" t="s">
        <v>42881</v>
      </c>
      <c r="U6928" t="s">
        <v>48925</v>
      </c>
      <c r="V6928" t="s">
        <v>55063</v>
      </c>
      <c r="W6928" t="s">
        <v>39318</v>
      </c>
      <c r="X6928" t="s">
        <v>41258</v>
      </c>
    </row>
    <row r="6929" spans="1:24">
      <c r="A6929">
        <f>HYPERLINK("https://www.philgeps.gov.ph/GEPSNONPILOT/Tender/SplashBidNoticeAbstractUI.aspx?menuIndex=3&amp;refID=7068495&amp;Result=3","7068495")</f>
        <v>0</v>
      </c>
      <c r="B6929" t="s">
        <v>2241</v>
      </c>
      <c r="C6929" t="s">
        <v>9990</v>
      </c>
      <c r="D6929" t="s">
        <v>16625</v>
      </c>
      <c r="E6929" t="s">
        <v>22791</v>
      </c>
      <c r="F6929" t="s">
        <v>28669</v>
      </c>
      <c r="G6929" t="s">
        <v>28675</v>
      </c>
      <c r="H6929" t="s">
        <v>9998</v>
      </c>
      <c r="I6929" t="s">
        <v>7352</v>
      </c>
      <c r="J6929" t="s">
        <v>33183</v>
      </c>
      <c r="K6929" t="s">
        <v>37206</v>
      </c>
      <c r="M6929" t="s">
        <v>39895</v>
      </c>
      <c r="N6929" t="s">
        <v>41249</v>
      </c>
      <c r="O6929" t="s">
        <v>41250</v>
      </c>
      <c r="P6929">
        <v>0</v>
      </c>
      <c r="Q6929">
        <v>2</v>
      </c>
      <c r="R6929" t="s">
        <v>41257</v>
      </c>
      <c r="S6929" t="s">
        <v>41461</v>
      </c>
      <c r="T6929" t="s">
        <v>42716</v>
      </c>
      <c r="U6929" t="s">
        <v>48885</v>
      </c>
      <c r="W6929" t="s">
        <v>39895</v>
      </c>
      <c r="X6929" t="s">
        <v>41258</v>
      </c>
    </row>
    <row r="6930" spans="1:24">
      <c r="A6930">
        <f>HYPERLINK("https://www.philgeps.gov.ph/GEPSNONPILOT/Tender/SplashBidNoticeAbstractUI.aspx?menuIndex=3&amp;refID=7068537&amp;Result=3","7068537")</f>
        <v>0</v>
      </c>
      <c r="B6930" t="s">
        <v>2200</v>
      </c>
      <c r="C6930" t="s">
        <v>9991</v>
      </c>
      <c r="D6930" t="s">
        <v>16646</v>
      </c>
      <c r="E6930" t="s">
        <v>22792</v>
      </c>
      <c r="F6930" t="s">
        <v>28669</v>
      </c>
      <c r="G6930" t="s">
        <v>28676</v>
      </c>
      <c r="H6930" t="s">
        <v>28685</v>
      </c>
      <c r="I6930" t="s">
        <v>28685</v>
      </c>
      <c r="J6930" t="s">
        <v>33155</v>
      </c>
      <c r="K6930" t="s">
        <v>37316</v>
      </c>
      <c r="M6930" t="s">
        <v>39850</v>
      </c>
      <c r="N6930" t="s">
        <v>41249</v>
      </c>
      <c r="O6930" t="s">
        <v>41250</v>
      </c>
      <c r="P6930">
        <v>0</v>
      </c>
      <c r="Q6930">
        <v>2</v>
      </c>
      <c r="R6930" t="s">
        <v>41257</v>
      </c>
      <c r="S6930" t="s">
        <v>41461</v>
      </c>
      <c r="T6930" t="s">
        <v>42727</v>
      </c>
      <c r="U6930" t="s">
        <v>48756</v>
      </c>
      <c r="V6930" t="s">
        <v>55042</v>
      </c>
      <c r="W6930" t="s">
        <v>39850</v>
      </c>
      <c r="X6930" t="s">
        <v>41258</v>
      </c>
    </row>
    <row r="6931" spans="1:24">
      <c r="A6931">
        <f>HYPERLINK("https://www.philgeps.gov.ph/GEPSNONPILOT/Tender/SplashBidNoticeAbstractUI.aspx?menuIndex=3&amp;refID=7068512&amp;Result=3","7068512")</f>
        <v>0</v>
      </c>
      <c r="B6931" t="s">
        <v>1947</v>
      </c>
      <c r="C6931" t="s">
        <v>9992</v>
      </c>
      <c r="D6931" t="s">
        <v>16626</v>
      </c>
      <c r="E6931" t="s">
        <v>22793</v>
      </c>
      <c r="F6931" t="s">
        <v>28669</v>
      </c>
      <c r="G6931" t="s">
        <v>28676</v>
      </c>
      <c r="H6931" t="s">
        <v>9998</v>
      </c>
      <c r="I6931" t="s">
        <v>28693</v>
      </c>
      <c r="J6931" t="s">
        <v>28894</v>
      </c>
      <c r="K6931" t="s">
        <v>37206</v>
      </c>
      <c r="M6931" t="s">
        <v>39577</v>
      </c>
      <c r="N6931" t="s">
        <v>41249</v>
      </c>
      <c r="O6931" t="s">
        <v>41250</v>
      </c>
      <c r="P6931">
        <v>0</v>
      </c>
      <c r="Q6931">
        <v>28</v>
      </c>
      <c r="R6931" t="s">
        <v>41257</v>
      </c>
      <c r="S6931" t="s">
        <v>41461</v>
      </c>
      <c r="T6931" t="s">
        <v>42676</v>
      </c>
      <c r="U6931" t="s">
        <v>48926</v>
      </c>
      <c r="W6931" t="s">
        <v>39577</v>
      </c>
      <c r="X6931" t="s">
        <v>41258</v>
      </c>
    </row>
    <row r="6932" spans="1:24">
      <c r="A6932">
        <f>HYPERLINK("https://www.philgeps.gov.ph/GEPSNONPILOT/Tender/SplashBidNoticeAbstractUI.aspx?menuIndex=3&amp;refID=7068547&amp;Result=3","7068547")</f>
        <v>0</v>
      </c>
      <c r="B6932" t="s">
        <v>2254</v>
      </c>
      <c r="C6932" t="s">
        <v>9993</v>
      </c>
      <c r="D6932" t="s">
        <v>16616</v>
      </c>
      <c r="E6932" t="s">
        <v>22794</v>
      </c>
      <c r="F6932" t="s">
        <v>28669</v>
      </c>
      <c r="G6932" t="s">
        <v>28675</v>
      </c>
      <c r="H6932" t="s">
        <v>28686</v>
      </c>
      <c r="I6932" t="s">
        <v>28725</v>
      </c>
      <c r="J6932" t="s">
        <v>33184</v>
      </c>
      <c r="K6932" t="s">
        <v>37211</v>
      </c>
      <c r="M6932" t="s">
        <v>39909</v>
      </c>
      <c r="N6932" t="s">
        <v>41249</v>
      </c>
      <c r="O6932" t="s">
        <v>41250</v>
      </c>
      <c r="P6932">
        <v>0</v>
      </c>
      <c r="Q6932">
        <v>1</v>
      </c>
      <c r="R6932" t="s">
        <v>41257</v>
      </c>
      <c r="S6932" t="s">
        <v>41461</v>
      </c>
      <c r="T6932" t="s">
        <v>42808</v>
      </c>
      <c r="U6932" t="s">
        <v>48927</v>
      </c>
      <c r="W6932" t="s">
        <v>39909</v>
      </c>
      <c r="X6932" t="s">
        <v>41258</v>
      </c>
    </row>
    <row r="6933" spans="1:24">
      <c r="A6933">
        <f>HYPERLINK("https://www.philgeps.gov.ph/GEPSNONPILOT/Tender/SplashBidNoticeAbstractUI.aspx?menuIndex=3&amp;refID=7068505&amp;Result=3","7068505")</f>
        <v>0</v>
      </c>
      <c r="B6933" t="s">
        <v>1603</v>
      </c>
      <c r="C6933" t="s">
        <v>9994</v>
      </c>
      <c r="D6933" t="s">
        <v>16624</v>
      </c>
      <c r="E6933" t="s">
        <v>22795</v>
      </c>
      <c r="F6933" t="s">
        <v>28669</v>
      </c>
      <c r="G6933" t="s">
        <v>28675</v>
      </c>
      <c r="H6933" t="s">
        <v>28686</v>
      </c>
      <c r="I6933" t="s">
        <v>28691</v>
      </c>
      <c r="J6933" t="s">
        <v>33127</v>
      </c>
      <c r="K6933" t="s">
        <v>37220</v>
      </c>
      <c r="M6933" t="s">
        <v>39187</v>
      </c>
      <c r="N6933" t="s">
        <v>41249</v>
      </c>
      <c r="O6933" t="s">
        <v>41250</v>
      </c>
      <c r="P6933">
        <v>0</v>
      </c>
      <c r="Q6933">
        <v>0</v>
      </c>
      <c r="R6933" t="s">
        <v>41257</v>
      </c>
      <c r="S6933" t="s">
        <v>41461</v>
      </c>
      <c r="T6933" t="s">
        <v>42722</v>
      </c>
      <c r="U6933" t="s">
        <v>48928</v>
      </c>
      <c r="W6933" t="s">
        <v>39187</v>
      </c>
      <c r="X6933" t="s">
        <v>41258</v>
      </c>
    </row>
    <row r="6934" spans="1:24">
      <c r="A6934">
        <f>HYPERLINK("https://www.philgeps.gov.ph/GEPSNONPILOT/Tender/SplashBidNoticeAbstractUI.aspx?menuIndex=3&amp;refID=7068573&amp;Result=3","7068573")</f>
        <v>0</v>
      </c>
      <c r="B6934" t="s">
        <v>1947</v>
      </c>
      <c r="C6934" t="s">
        <v>9995</v>
      </c>
      <c r="D6934" t="s">
        <v>16626</v>
      </c>
      <c r="E6934" t="s">
        <v>22796</v>
      </c>
      <c r="F6934" t="s">
        <v>28669</v>
      </c>
      <c r="G6934" t="s">
        <v>28676</v>
      </c>
      <c r="H6934" t="s">
        <v>9998</v>
      </c>
      <c r="I6934" t="s">
        <v>28693</v>
      </c>
      <c r="J6934" t="s">
        <v>28905</v>
      </c>
      <c r="K6934" t="s">
        <v>37220</v>
      </c>
      <c r="M6934" t="s">
        <v>39577</v>
      </c>
      <c r="N6934" t="s">
        <v>41249</v>
      </c>
      <c r="O6934" t="s">
        <v>41250</v>
      </c>
      <c r="P6934">
        <v>0</v>
      </c>
      <c r="Q6934">
        <v>27</v>
      </c>
      <c r="R6934" t="s">
        <v>41257</v>
      </c>
      <c r="S6934" t="s">
        <v>41461</v>
      </c>
      <c r="T6934" t="s">
        <v>42676</v>
      </c>
      <c r="U6934" t="s">
        <v>48929</v>
      </c>
      <c r="W6934" t="s">
        <v>39577</v>
      </c>
      <c r="X6934" t="s">
        <v>41258</v>
      </c>
    </row>
    <row r="6935" spans="1:24">
      <c r="A6935">
        <f>HYPERLINK("https://www.philgeps.gov.ph/GEPSNONPILOT/Tender/SplashBidNoticeAbstractUI.aspx?menuIndex=3&amp;refID=7068545&amp;Result=3","7068545")</f>
        <v>0</v>
      </c>
      <c r="B6935" t="s">
        <v>2251</v>
      </c>
      <c r="C6935" t="s">
        <v>9996</v>
      </c>
      <c r="D6935" t="s">
        <v>16618</v>
      </c>
      <c r="E6935" t="s">
        <v>22797</v>
      </c>
      <c r="F6935" t="s">
        <v>28669</v>
      </c>
      <c r="G6935" t="s">
        <v>28675</v>
      </c>
      <c r="H6935" t="s">
        <v>9998</v>
      </c>
      <c r="I6935" t="s">
        <v>28689</v>
      </c>
      <c r="J6935" t="s">
        <v>33185</v>
      </c>
      <c r="K6935" t="s">
        <v>37223</v>
      </c>
      <c r="M6935" t="s">
        <v>39905</v>
      </c>
      <c r="N6935" t="s">
        <v>41249</v>
      </c>
      <c r="O6935" t="s">
        <v>41250</v>
      </c>
      <c r="P6935">
        <v>0</v>
      </c>
      <c r="Q6935">
        <v>0</v>
      </c>
      <c r="R6935" t="s">
        <v>41257</v>
      </c>
      <c r="S6935" t="s">
        <v>41461</v>
      </c>
      <c r="T6935" t="s">
        <v>43016</v>
      </c>
      <c r="U6935" t="s">
        <v>48909</v>
      </c>
      <c r="W6935" t="s">
        <v>39905</v>
      </c>
      <c r="X6935" t="s">
        <v>41258</v>
      </c>
    </row>
    <row r="6936" spans="1:24">
      <c r="A6936">
        <f>HYPERLINK("https://www.philgeps.gov.ph/GEPSNONPILOT/Tender/SplashBidNoticeAbstractUI.aspx?menuIndex=3&amp;refID=7068574&amp;Result=3","7068574")</f>
        <v>0</v>
      </c>
      <c r="B6936" t="s">
        <v>2251</v>
      </c>
      <c r="C6936" t="s">
        <v>9997</v>
      </c>
      <c r="D6936" t="s">
        <v>16618</v>
      </c>
      <c r="E6936" t="s">
        <v>22798</v>
      </c>
      <c r="F6936" t="s">
        <v>28669</v>
      </c>
      <c r="G6936" t="s">
        <v>28675</v>
      </c>
      <c r="H6936" t="s">
        <v>9998</v>
      </c>
      <c r="I6936" t="s">
        <v>28689</v>
      </c>
      <c r="J6936" t="s">
        <v>33186</v>
      </c>
      <c r="K6936" t="s">
        <v>37221</v>
      </c>
      <c r="M6936" t="s">
        <v>39905</v>
      </c>
      <c r="N6936" t="s">
        <v>41249</v>
      </c>
      <c r="O6936" t="s">
        <v>41250</v>
      </c>
      <c r="P6936">
        <v>0</v>
      </c>
      <c r="Q6936">
        <v>0</v>
      </c>
      <c r="R6936" t="s">
        <v>41257</v>
      </c>
      <c r="S6936" t="s">
        <v>41461</v>
      </c>
      <c r="T6936" t="s">
        <v>43016</v>
      </c>
      <c r="U6936" t="s">
        <v>48909</v>
      </c>
      <c r="W6936" t="s">
        <v>39905</v>
      </c>
      <c r="X6936" t="s">
        <v>41258</v>
      </c>
    </row>
    <row r="6937" spans="1:24">
      <c r="A6937">
        <f>HYPERLINK("https://www.philgeps.gov.ph/GEPSNONPILOT/Tender/SplashBidNoticeAbstractUI.aspx?menuIndex=3&amp;refID=7068566&amp;Result=3","7068566")</f>
        <v>0</v>
      </c>
      <c r="B6937" t="s">
        <v>597</v>
      </c>
      <c r="C6937" t="s">
        <v>4590</v>
      </c>
      <c r="D6937" t="s">
        <v>16615</v>
      </c>
      <c r="E6937" t="s">
        <v>17947</v>
      </c>
      <c r="F6937" t="s">
        <v>28669</v>
      </c>
      <c r="G6937" t="s">
        <v>28675</v>
      </c>
      <c r="H6937" t="s">
        <v>9998</v>
      </c>
      <c r="I6937" t="s">
        <v>28690</v>
      </c>
      <c r="J6937" t="s">
        <v>33187</v>
      </c>
      <c r="K6937" t="s">
        <v>37206</v>
      </c>
      <c r="M6937" t="s">
        <v>38096</v>
      </c>
      <c r="N6937" t="s">
        <v>41249</v>
      </c>
      <c r="O6937" t="s">
        <v>41250</v>
      </c>
      <c r="P6937">
        <v>0</v>
      </c>
      <c r="Q6937">
        <v>12</v>
      </c>
      <c r="R6937" t="s">
        <v>41257</v>
      </c>
      <c r="S6937" t="s">
        <v>41461</v>
      </c>
      <c r="T6937" t="s">
        <v>42842</v>
      </c>
      <c r="U6937" t="s">
        <v>48930</v>
      </c>
      <c r="W6937" t="s">
        <v>38096</v>
      </c>
      <c r="X6937" t="s">
        <v>41258</v>
      </c>
    </row>
    <row r="6938" spans="1:24">
      <c r="A6938">
        <f>HYPERLINK("https://www.philgeps.gov.ph/GEPSNONPILOT/Tender/SplashBidNoticeAbstractUI.aspx?menuIndex=3&amp;refID=7068559&amp;Result=3","7068559")</f>
        <v>0</v>
      </c>
      <c r="B6938" t="s">
        <v>2255</v>
      </c>
      <c r="C6938" t="s">
        <v>9998</v>
      </c>
      <c r="D6938" t="s">
        <v>16631</v>
      </c>
      <c r="E6938" t="s">
        <v>16820</v>
      </c>
      <c r="F6938" t="s">
        <v>28669</v>
      </c>
      <c r="G6938" t="s">
        <v>28675</v>
      </c>
      <c r="H6938" t="s">
        <v>9998</v>
      </c>
      <c r="I6938" t="s">
        <v>15140</v>
      </c>
      <c r="J6938" t="s">
        <v>28905</v>
      </c>
      <c r="K6938" t="s">
        <v>37243</v>
      </c>
      <c r="M6938" t="s">
        <v>39910</v>
      </c>
      <c r="N6938" t="s">
        <v>41249</v>
      </c>
      <c r="O6938" t="s">
        <v>41250</v>
      </c>
      <c r="P6938">
        <v>0</v>
      </c>
      <c r="Q6938">
        <v>0</v>
      </c>
      <c r="R6938" t="s">
        <v>41257</v>
      </c>
      <c r="S6938" t="s">
        <v>41461</v>
      </c>
      <c r="T6938" t="s">
        <v>42729</v>
      </c>
      <c r="U6938" t="s">
        <v>48931</v>
      </c>
      <c r="W6938" t="s">
        <v>39910</v>
      </c>
      <c r="X6938" t="s">
        <v>41258</v>
      </c>
    </row>
    <row r="6939" spans="1:24">
      <c r="A6939">
        <f>HYPERLINK("https://www.philgeps.gov.ph/GEPSNONPILOT/Tender/SplashBidNoticeAbstractUI.aspx?menuIndex=3&amp;refID=7068556&amp;Result=3","7068556")</f>
        <v>0</v>
      </c>
      <c r="B6939" t="s">
        <v>358</v>
      </c>
      <c r="C6939" t="s">
        <v>9999</v>
      </c>
      <c r="D6939" t="s">
        <v>16683</v>
      </c>
      <c r="E6939" t="s">
        <v>22799</v>
      </c>
      <c r="F6939" t="s">
        <v>28669</v>
      </c>
      <c r="G6939" t="s">
        <v>28676</v>
      </c>
      <c r="H6939" t="s">
        <v>28686</v>
      </c>
      <c r="I6939" t="s">
        <v>28689</v>
      </c>
      <c r="J6939" t="s">
        <v>33188</v>
      </c>
      <c r="K6939" t="s">
        <v>37220</v>
      </c>
      <c r="M6939" t="s">
        <v>37839</v>
      </c>
      <c r="N6939" t="s">
        <v>41249</v>
      </c>
      <c r="O6939" t="s">
        <v>41250</v>
      </c>
      <c r="P6939">
        <v>0</v>
      </c>
      <c r="Q6939">
        <v>1</v>
      </c>
      <c r="R6939" t="s">
        <v>41257</v>
      </c>
      <c r="S6939" t="s">
        <v>41461</v>
      </c>
      <c r="T6939" t="s">
        <v>42883</v>
      </c>
      <c r="U6939" t="s">
        <v>48932</v>
      </c>
      <c r="W6939" t="s">
        <v>37839</v>
      </c>
      <c r="X6939" t="s">
        <v>41258</v>
      </c>
    </row>
    <row r="6940" spans="1:24">
      <c r="A6940">
        <f>HYPERLINK("https://www.philgeps.gov.ph/GEPSNONPILOT/Tender/SplashBidNoticeAbstractUI.aspx?menuIndex=3&amp;refID=7068550&amp;Result=3","7068550")</f>
        <v>0</v>
      </c>
      <c r="B6940" t="s">
        <v>2160</v>
      </c>
      <c r="C6940" t="s">
        <v>10000</v>
      </c>
      <c r="D6940" t="s">
        <v>16642</v>
      </c>
      <c r="E6940" t="s">
        <v>22800</v>
      </c>
      <c r="F6940" t="s">
        <v>28669</v>
      </c>
      <c r="G6940" t="s">
        <v>28675</v>
      </c>
      <c r="H6940" t="s">
        <v>28686</v>
      </c>
      <c r="I6940" t="s">
        <v>28689</v>
      </c>
      <c r="J6940" t="s">
        <v>33189</v>
      </c>
      <c r="K6940" t="s">
        <v>37209</v>
      </c>
      <c r="M6940" t="s">
        <v>39806</v>
      </c>
      <c r="N6940" t="s">
        <v>41249</v>
      </c>
      <c r="O6940" t="s">
        <v>41250</v>
      </c>
      <c r="P6940">
        <v>0</v>
      </c>
      <c r="Q6940">
        <v>0</v>
      </c>
      <c r="R6940" t="s">
        <v>41257</v>
      </c>
      <c r="S6940" t="s">
        <v>41461</v>
      </c>
      <c r="T6940" t="s">
        <v>42669</v>
      </c>
      <c r="U6940" t="s">
        <v>48933</v>
      </c>
      <c r="W6940" t="s">
        <v>39806</v>
      </c>
      <c r="X6940" t="s">
        <v>41258</v>
      </c>
    </row>
    <row r="6941" spans="1:24">
      <c r="A6941">
        <f>HYPERLINK("https://www.philgeps.gov.ph/GEPSNONPILOT/Tender/SplashBidNoticeAbstractUI.aspx?menuIndex=3&amp;refID=7068577&amp;Result=3","7068577")</f>
        <v>0</v>
      </c>
      <c r="B6941" t="s">
        <v>1522</v>
      </c>
      <c r="C6941" t="s">
        <v>9833</v>
      </c>
      <c r="D6941" t="s">
        <v>16686</v>
      </c>
      <c r="E6941" t="s">
        <v>22652</v>
      </c>
      <c r="F6941" t="s">
        <v>28669</v>
      </c>
      <c r="G6941" t="s">
        <v>28675</v>
      </c>
      <c r="H6941" t="s">
        <v>9998</v>
      </c>
      <c r="I6941" t="s">
        <v>28697</v>
      </c>
      <c r="J6941" t="s">
        <v>33086</v>
      </c>
      <c r="K6941" t="s">
        <v>37210</v>
      </c>
      <c r="M6941" t="s">
        <v>39573</v>
      </c>
      <c r="N6941" t="s">
        <v>41249</v>
      </c>
      <c r="O6941" t="s">
        <v>41250</v>
      </c>
      <c r="P6941">
        <v>0</v>
      </c>
      <c r="Q6941">
        <v>0</v>
      </c>
      <c r="R6941" t="s">
        <v>41257</v>
      </c>
      <c r="S6941" t="s">
        <v>41461</v>
      </c>
      <c r="T6941" t="s">
        <v>42663</v>
      </c>
      <c r="U6941" t="s">
        <v>48795</v>
      </c>
      <c r="W6941" t="s">
        <v>39573</v>
      </c>
      <c r="X6941" t="s">
        <v>41258</v>
      </c>
    </row>
    <row r="6942" spans="1:24">
      <c r="A6942">
        <f>HYPERLINK("https://www.philgeps.gov.ph/GEPSNONPILOT/Tender/SplashBidNoticeAbstractUI.aspx?menuIndex=3&amp;refID=7068554&amp;Result=3","7068554")</f>
        <v>0</v>
      </c>
      <c r="B6942" t="s">
        <v>743</v>
      </c>
      <c r="C6942" t="s">
        <v>10001</v>
      </c>
      <c r="D6942" t="s">
        <v>16629</v>
      </c>
      <c r="E6942" t="s">
        <v>22801</v>
      </c>
      <c r="F6942" t="s">
        <v>28669</v>
      </c>
      <c r="G6942" t="s">
        <v>28675</v>
      </c>
      <c r="H6942" t="s">
        <v>28686</v>
      </c>
      <c r="I6942" t="s">
        <v>28689</v>
      </c>
      <c r="J6942" t="s">
        <v>33190</v>
      </c>
      <c r="K6942" t="s">
        <v>37258</v>
      </c>
      <c r="M6942" t="s">
        <v>39318</v>
      </c>
      <c r="N6942" t="s">
        <v>41249</v>
      </c>
      <c r="O6942" t="s">
        <v>41250</v>
      </c>
      <c r="P6942">
        <v>0</v>
      </c>
      <c r="Q6942">
        <v>0</v>
      </c>
      <c r="R6942" t="s">
        <v>41257</v>
      </c>
      <c r="S6942" t="s">
        <v>41461</v>
      </c>
      <c r="T6942" t="s">
        <v>42881</v>
      </c>
      <c r="U6942" t="s">
        <v>48934</v>
      </c>
      <c r="V6942" t="s">
        <v>55064</v>
      </c>
      <c r="W6942" t="s">
        <v>39318</v>
      </c>
      <c r="X6942" t="s">
        <v>41258</v>
      </c>
    </row>
    <row r="6943" spans="1:24">
      <c r="A6943">
        <f>HYPERLINK("https://www.philgeps.gov.ph/GEPSNONPILOT/Tender/SplashBidNoticeAbstractUI.aspx?menuIndex=3&amp;refID=7068572&amp;Result=3","7068572")</f>
        <v>0</v>
      </c>
      <c r="B6943" t="s">
        <v>743</v>
      </c>
      <c r="C6943" t="s">
        <v>10002</v>
      </c>
      <c r="D6943" t="s">
        <v>16629</v>
      </c>
      <c r="E6943" t="s">
        <v>22802</v>
      </c>
      <c r="F6943" t="s">
        <v>28669</v>
      </c>
      <c r="G6943" t="s">
        <v>28675</v>
      </c>
      <c r="H6943" t="s">
        <v>28686</v>
      </c>
      <c r="I6943" t="s">
        <v>28689</v>
      </c>
      <c r="J6943" t="s">
        <v>33191</v>
      </c>
      <c r="K6943" t="s">
        <v>37377</v>
      </c>
      <c r="M6943" t="s">
        <v>39318</v>
      </c>
      <c r="N6943" t="s">
        <v>41249</v>
      </c>
      <c r="O6943" t="s">
        <v>41250</v>
      </c>
      <c r="P6943">
        <v>0</v>
      </c>
      <c r="Q6943">
        <v>0</v>
      </c>
      <c r="R6943" t="s">
        <v>41257</v>
      </c>
      <c r="S6943" t="s">
        <v>41461</v>
      </c>
      <c r="T6943" t="s">
        <v>42881</v>
      </c>
      <c r="U6943" t="s">
        <v>48935</v>
      </c>
      <c r="V6943" t="s">
        <v>55065</v>
      </c>
      <c r="W6943" t="s">
        <v>39318</v>
      </c>
      <c r="X6943" t="s">
        <v>41258</v>
      </c>
    </row>
    <row r="6944" spans="1:24">
      <c r="A6944">
        <f>HYPERLINK("https://www.philgeps.gov.ph/GEPSNONPILOT/Tender/SplashBidNoticeAbstractUI.aspx?menuIndex=3&amp;refID=7068570&amp;Result=3","7068570")</f>
        <v>0</v>
      </c>
      <c r="B6944" t="s">
        <v>735</v>
      </c>
      <c r="C6944" t="s">
        <v>10003</v>
      </c>
      <c r="D6944" t="s">
        <v>16675</v>
      </c>
      <c r="E6944" t="s">
        <v>22803</v>
      </c>
      <c r="F6944" t="s">
        <v>28669</v>
      </c>
      <c r="G6944" t="s">
        <v>28675</v>
      </c>
      <c r="H6944" t="s">
        <v>9998</v>
      </c>
      <c r="I6944" t="s">
        <v>7352</v>
      </c>
      <c r="J6944" t="s">
        <v>33192</v>
      </c>
      <c r="K6944" t="s">
        <v>37231</v>
      </c>
      <c r="M6944" t="s">
        <v>38243</v>
      </c>
      <c r="N6944" t="s">
        <v>41249</v>
      </c>
      <c r="O6944" t="s">
        <v>41250</v>
      </c>
      <c r="P6944">
        <v>0</v>
      </c>
      <c r="Q6944">
        <v>1</v>
      </c>
      <c r="R6944" t="s">
        <v>41257</v>
      </c>
      <c r="S6944" t="s">
        <v>41461</v>
      </c>
      <c r="T6944" t="s">
        <v>42716</v>
      </c>
      <c r="U6944" t="s">
        <v>48936</v>
      </c>
      <c r="V6944" t="s">
        <v>55066</v>
      </c>
      <c r="W6944" t="s">
        <v>38243</v>
      </c>
      <c r="X6944" t="s">
        <v>41258</v>
      </c>
    </row>
    <row r="6945" spans="1:24">
      <c r="A6945">
        <f>HYPERLINK("https://www.philgeps.gov.ph/GEPSNONPILOT/Tender/SplashBidNoticeAbstractUI.aspx?menuIndex=3&amp;refID=7068591&amp;Result=3","7068591")</f>
        <v>0</v>
      </c>
      <c r="B6945" t="s">
        <v>2243</v>
      </c>
      <c r="C6945" t="s">
        <v>10004</v>
      </c>
      <c r="D6945" t="s">
        <v>16673</v>
      </c>
      <c r="E6945" t="s">
        <v>22804</v>
      </c>
      <c r="F6945" t="s">
        <v>28669</v>
      </c>
      <c r="G6945" t="s">
        <v>28675</v>
      </c>
      <c r="H6945" t="s">
        <v>9998</v>
      </c>
      <c r="I6945" t="s">
        <v>28738</v>
      </c>
      <c r="J6945" t="s">
        <v>33193</v>
      </c>
      <c r="K6945" t="s">
        <v>37206</v>
      </c>
      <c r="M6945" t="s">
        <v>39897</v>
      </c>
      <c r="N6945" t="s">
        <v>41249</v>
      </c>
      <c r="O6945" t="s">
        <v>41250</v>
      </c>
      <c r="P6945">
        <v>0</v>
      </c>
      <c r="Q6945">
        <v>2</v>
      </c>
      <c r="R6945" t="s">
        <v>41257</v>
      </c>
      <c r="S6945" t="s">
        <v>41461</v>
      </c>
      <c r="T6945" t="s">
        <v>42671</v>
      </c>
      <c r="U6945" t="s">
        <v>48937</v>
      </c>
      <c r="V6945" t="s">
        <v>55053</v>
      </c>
      <c r="W6945" t="s">
        <v>39897</v>
      </c>
      <c r="X6945" t="s">
        <v>41258</v>
      </c>
    </row>
    <row r="6946" spans="1:24">
      <c r="A6946">
        <f>HYPERLINK("https://www.philgeps.gov.ph/GEPSNONPILOT/Tender/SplashBidNoticeAbstractUI.aspx?menuIndex=3&amp;refID=7068590&amp;Result=3","7068590")</f>
        <v>0</v>
      </c>
      <c r="B6946" t="s">
        <v>2200</v>
      </c>
      <c r="C6946" t="s">
        <v>10005</v>
      </c>
      <c r="D6946" t="s">
        <v>16646</v>
      </c>
      <c r="E6946" t="s">
        <v>22805</v>
      </c>
      <c r="F6946" t="s">
        <v>28669</v>
      </c>
      <c r="G6946" t="s">
        <v>28676</v>
      </c>
      <c r="H6946" t="s">
        <v>28685</v>
      </c>
      <c r="I6946" t="s">
        <v>28685</v>
      </c>
      <c r="J6946" t="s">
        <v>33057</v>
      </c>
      <c r="K6946" t="s">
        <v>37375</v>
      </c>
      <c r="M6946" t="s">
        <v>39850</v>
      </c>
      <c r="N6946" t="s">
        <v>41249</v>
      </c>
      <c r="O6946" t="s">
        <v>41250</v>
      </c>
      <c r="P6946">
        <v>0</v>
      </c>
      <c r="Q6946">
        <v>3</v>
      </c>
      <c r="R6946" t="s">
        <v>41257</v>
      </c>
      <c r="S6946" t="s">
        <v>41461</v>
      </c>
      <c r="T6946" t="s">
        <v>42727</v>
      </c>
      <c r="U6946" t="s">
        <v>48756</v>
      </c>
      <c r="V6946" t="s">
        <v>55042</v>
      </c>
      <c r="W6946" t="s">
        <v>39850</v>
      </c>
      <c r="X6946" t="s">
        <v>41258</v>
      </c>
    </row>
    <row r="6947" spans="1:24">
      <c r="A6947">
        <f>HYPERLINK("https://www.philgeps.gov.ph/GEPSNONPILOT/Tender/SplashBidNoticeAbstractUI.aspx?menuIndex=3&amp;refID=7068587&amp;Result=3","7068587")</f>
        <v>0</v>
      </c>
      <c r="B6947" t="s">
        <v>2256</v>
      </c>
      <c r="C6947" t="s">
        <v>10006</v>
      </c>
      <c r="D6947" t="s">
        <v>16626</v>
      </c>
      <c r="E6947" t="s">
        <v>22806</v>
      </c>
      <c r="F6947" t="s">
        <v>28669</v>
      </c>
      <c r="G6947" t="s">
        <v>28676</v>
      </c>
      <c r="H6947" t="s">
        <v>9998</v>
      </c>
      <c r="I6947" t="s">
        <v>28708</v>
      </c>
      <c r="J6947" t="s">
        <v>33194</v>
      </c>
      <c r="K6947" t="s">
        <v>37234</v>
      </c>
      <c r="M6947" t="s">
        <v>39911</v>
      </c>
      <c r="N6947" t="s">
        <v>41249</v>
      </c>
      <c r="O6947" t="s">
        <v>41250</v>
      </c>
      <c r="P6947">
        <v>0</v>
      </c>
      <c r="Q6947">
        <v>2</v>
      </c>
      <c r="R6947" t="s">
        <v>41257</v>
      </c>
      <c r="S6947" t="s">
        <v>41461</v>
      </c>
      <c r="T6947" t="s">
        <v>42728</v>
      </c>
      <c r="U6947" t="s">
        <v>48938</v>
      </c>
      <c r="V6947" t="s">
        <v>55067</v>
      </c>
      <c r="W6947" t="s">
        <v>39911</v>
      </c>
      <c r="X6947" t="s">
        <v>41258</v>
      </c>
    </row>
    <row r="6948" spans="1:24">
      <c r="A6948">
        <f>HYPERLINK("https://www.philgeps.gov.ph/GEPSNONPILOT/Tender/SplashBidNoticeAbstractUI.aspx?menuIndex=3&amp;refID=7068552&amp;Result=3","7068552")</f>
        <v>0</v>
      </c>
      <c r="B6948" t="s">
        <v>694</v>
      </c>
      <c r="C6948" t="s">
        <v>10007</v>
      </c>
      <c r="D6948" t="s">
        <v>16686</v>
      </c>
      <c r="E6948" t="s">
        <v>22807</v>
      </c>
      <c r="F6948" t="s">
        <v>28669</v>
      </c>
      <c r="G6948" t="s">
        <v>28675</v>
      </c>
      <c r="H6948" t="s">
        <v>9998</v>
      </c>
      <c r="I6948" t="s">
        <v>28695</v>
      </c>
      <c r="J6948" t="s">
        <v>33195</v>
      </c>
      <c r="K6948" t="s">
        <v>37210</v>
      </c>
      <c r="M6948" t="s">
        <v>38199</v>
      </c>
      <c r="N6948" t="s">
        <v>41249</v>
      </c>
      <c r="O6948" t="s">
        <v>41250</v>
      </c>
      <c r="P6948">
        <v>0</v>
      </c>
      <c r="Q6948">
        <v>0</v>
      </c>
      <c r="R6948" t="s">
        <v>41257</v>
      </c>
      <c r="S6948" t="s">
        <v>41461</v>
      </c>
      <c r="T6948" t="s">
        <v>42701</v>
      </c>
      <c r="U6948" t="s">
        <v>48939</v>
      </c>
      <c r="V6948" t="s">
        <v>54428</v>
      </c>
      <c r="W6948" t="s">
        <v>38199</v>
      </c>
      <c r="X6948" t="s">
        <v>41258</v>
      </c>
    </row>
    <row r="6949" spans="1:24">
      <c r="A6949">
        <f>HYPERLINK("https://www.philgeps.gov.ph/GEPSNONPILOT/Tender/SplashBidNoticeAbstractUI.aspx?menuIndex=3&amp;refID=7068602&amp;Result=3","7068602")</f>
        <v>0</v>
      </c>
      <c r="B6949" t="s">
        <v>2257</v>
      </c>
      <c r="C6949" t="s">
        <v>10008</v>
      </c>
      <c r="D6949" t="s">
        <v>16668</v>
      </c>
      <c r="E6949" t="s">
        <v>16746</v>
      </c>
      <c r="F6949" t="s">
        <v>28669</v>
      </c>
      <c r="G6949" t="s">
        <v>28678</v>
      </c>
      <c r="H6949" t="s">
        <v>9998</v>
      </c>
      <c r="I6949" t="s">
        <v>28697</v>
      </c>
      <c r="J6949" t="s">
        <v>33196</v>
      </c>
      <c r="K6949" t="s">
        <v>37206</v>
      </c>
      <c r="M6949" t="s">
        <v>39912</v>
      </c>
      <c r="N6949" t="s">
        <v>41249</v>
      </c>
      <c r="O6949" t="s">
        <v>41250</v>
      </c>
      <c r="P6949">
        <v>0</v>
      </c>
      <c r="Q6949">
        <v>11</v>
      </c>
      <c r="R6949" t="s">
        <v>41257</v>
      </c>
      <c r="S6949" t="s">
        <v>41461</v>
      </c>
      <c r="T6949" t="s">
        <v>42883</v>
      </c>
      <c r="U6949" t="s">
        <v>48940</v>
      </c>
      <c r="W6949" t="s">
        <v>39912</v>
      </c>
      <c r="X6949" t="s">
        <v>41258</v>
      </c>
    </row>
    <row r="6950" spans="1:24">
      <c r="A6950">
        <f>HYPERLINK("https://www.philgeps.gov.ph/GEPSNONPILOT/Tender/SplashBidNoticeAbstractUI.aspx?menuIndex=3&amp;refID=7068594&amp;Result=3","7068594")</f>
        <v>0</v>
      </c>
      <c r="B6950" t="s">
        <v>2258</v>
      </c>
      <c r="C6950" t="s">
        <v>10009</v>
      </c>
      <c r="D6950" t="s">
        <v>16675</v>
      </c>
      <c r="E6950" t="s">
        <v>22808</v>
      </c>
      <c r="F6950" t="s">
        <v>28669</v>
      </c>
      <c r="G6950" t="s">
        <v>28675</v>
      </c>
      <c r="H6950" t="s">
        <v>9998</v>
      </c>
      <c r="I6950" t="s">
        <v>28708</v>
      </c>
      <c r="J6950" t="s">
        <v>33197</v>
      </c>
      <c r="K6950" t="s">
        <v>37206</v>
      </c>
      <c r="M6950" t="s">
        <v>39913</v>
      </c>
      <c r="N6950" t="s">
        <v>41249</v>
      </c>
      <c r="O6950" t="s">
        <v>41250</v>
      </c>
      <c r="P6950">
        <v>0</v>
      </c>
      <c r="Q6950">
        <v>5</v>
      </c>
      <c r="R6950" t="s">
        <v>41257</v>
      </c>
      <c r="S6950" t="s">
        <v>41461</v>
      </c>
      <c r="T6950" t="s">
        <v>42761</v>
      </c>
      <c r="U6950" t="s">
        <v>48941</v>
      </c>
      <c r="W6950" t="s">
        <v>39913</v>
      </c>
      <c r="X6950" t="s">
        <v>41258</v>
      </c>
    </row>
    <row r="6951" spans="1:24">
      <c r="A6951">
        <f>HYPERLINK("https://www.philgeps.gov.ph/GEPSNONPILOT/Tender/SplashBidNoticeAbstractUI.aspx?menuIndex=3&amp;refID=7068584&amp;Result=3","7068584")</f>
        <v>0</v>
      </c>
      <c r="B6951" t="s">
        <v>986</v>
      </c>
      <c r="C6951" t="s">
        <v>10010</v>
      </c>
      <c r="D6951" t="s">
        <v>16620</v>
      </c>
      <c r="E6951" t="s">
        <v>22809</v>
      </c>
      <c r="F6951" t="s">
        <v>28669</v>
      </c>
      <c r="G6951" t="s">
        <v>28675</v>
      </c>
      <c r="H6951" t="s">
        <v>9998</v>
      </c>
      <c r="I6951" t="s">
        <v>7352</v>
      </c>
      <c r="J6951" t="s">
        <v>33198</v>
      </c>
      <c r="K6951" t="s">
        <v>37206</v>
      </c>
      <c r="M6951" t="s">
        <v>38900</v>
      </c>
      <c r="N6951" t="s">
        <v>41249</v>
      </c>
      <c r="O6951" t="s">
        <v>41250</v>
      </c>
      <c r="P6951">
        <v>0</v>
      </c>
      <c r="Q6951">
        <v>0</v>
      </c>
      <c r="R6951" t="s">
        <v>41257</v>
      </c>
      <c r="S6951" t="s">
        <v>41461</v>
      </c>
      <c r="T6951" t="s">
        <v>42703</v>
      </c>
      <c r="U6951" t="s">
        <v>45210</v>
      </c>
      <c r="V6951" t="s">
        <v>54542</v>
      </c>
      <c r="W6951" t="s">
        <v>38900</v>
      </c>
      <c r="X6951" t="s">
        <v>41258</v>
      </c>
    </row>
    <row r="6952" spans="1:24">
      <c r="A6952">
        <f>HYPERLINK("https://www.philgeps.gov.ph/GEPSNONPILOT/Tender/SplashBidNoticeAbstractUI.aspx?menuIndex=3&amp;refID=7068605&amp;Result=3","7068605")</f>
        <v>0</v>
      </c>
      <c r="B6952" t="s">
        <v>369</v>
      </c>
      <c r="C6952" t="s">
        <v>10011</v>
      </c>
      <c r="D6952" t="s">
        <v>16619</v>
      </c>
      <c r="E6952" t="s">
        <v>22810</v>
      </c>
      <c r="F6952" t="s">
        <v>28669</v>
      </c>
      <c r="G6952" t="s">
        <v>28675</v>
      </c>
      <c r="H6952" t="s">
        <v>9998</v>
      </c>
      <c r="I6952" t="s">
        <v>28687</v>
      </c>
      <c r="J6952" t="s">
        <v>28847</v>
      </c>
      <c r="K6952" t="s">
        <v>37220</v>
      </c>
      <c r="M6952" t="s">
        <v>37851</v>
      </c>
      <c r="N6952" t="s">
        <v>41249</v>
      </c>
      <c r="O6952" t="s">
        <v>41250</v>
      </c>
      <c r="P6952">
        <v>0</v>
      </c>
      <c r="Q6952">
        <v>8</v>
      </c>
      <c r="R6952" t="s">
        <v>41257</v>
      </c>
      <c r="S6952" t="s">
        <v>41461</v>
      </c>
      <c r="T6952" t="s">
        <v>42911</v>
      </c>
      <c r="U6952" t="s">
        <v>43799</v>
      </c>
      <c r="W6952" t="s">
        <v>37851</v>
      </c>
      <c r="X6952" t="s">
        <v>41258</v>
      </c>
    </row>
    <row r="6953" spans="1:24">
      <c r="A6953">
        <f>HYPERLINK("https://www.philgeps.gov.ph/GEPSNONPILOT/Tender/SplashBidNoticeAbstractUI.aspx?menuIndex=3&amp;refID=7068636&amp;Result=3","7068636")</f>
        <v>0</v>
      </c>
      <c r="B6953" t="s">
        <v>2255</v>
      </c>
      <c r="C6953" t="s">
        <v>9998</v>
      </c>
      <c r="D6953" t="s">
        <v>16631</v>
      </c>
      <c r="E6953" t="s">
        <v>16861</v>
      </c>
      <c r="F6953" t="s">
        <v>28669</v>
      </c>
      <c r="G6953" t="s">
        <v>28675</v>
      </c>
      <c r="H6953" t="s">
        <v>9998</v>
      </c>
      <c r="I6953" t="s">
        <v>15140</v>
      </c>
      <c r="J6953" t="s">
        <v>28905</v>
      </c>
      <c r="K6953" t="s">
        <v>37243</v>
      </c>
      <c r="M6953" t="s">
        <v>39910</v>
      </c>
      <c r="N6953" t="s">
        <v>41249</v>
      </c>
      <c r="O6953" t="s">
        <v>41250</v>
      </c>
      <c r="P6953">
        <v>0</v>
      </c>
      <c r="Q6953">
        <v>0</v>
      </c>
      <c r="R6953" t="s">
        <v>41257</v>
      </c>
      <c r="S6953" t="s">
        <v>41461</v>
      </c>
      <c r="T6953" t="s">
        <v>42758</v>
      </c>
      <c r="U6953" t="s">
        <v>48942</v>
      </c>
      <c r="W6953" t="s">
        <v>39910</v>
      </c>
      <c r="X6953" t="s">
        <v>41258</v>
      </c>
    </row>
    <row r="6954" spans="1:24">
      <c r="A6954">
        <f>HYPERLINK("https://www.philgeps.gov.ph/GEPSNONPILOT/Tender/SplashBidNoticeAbstractUI.aspx?menuIndex=3&amp;refID=7068593&amp;Result=3","7068593")</f>
        <v>0</v>
      </c>
      <c r="B6954" t="s">
        <v>483</v>
      </c>
      <c r="C6954" t="s">
        <v>10012</v>
      </c>
      <c r="D6954" t="s">
        <v>16676</v>
      </c>
      <c r="E6954" t="s">
        <v>22811</v>
      </c>
      <c r="F6954" t="s">
        <v>28669</v>
      </c>
      <c r="G6954" t="s">
        <v>28675</v>
      </c>
      <c r="H6954" t="s">
        <v>9998</v>
      </c>
      <c r="I6954" t="s">
        <v>28693</v>
      </c>
      <c r="J6954" t="s">
        <v>33199</v>
      </c>
      <c r="K6954" t="s">
        <v>37206</v>
      </c>
      <c r="M6954" t="s">
        <v>37971</v>
      </c>
      <c r="N6954" t="s">
        <v>41249</v>
      </c>
      <c r="O6954" t="s">
        <v>41250</v>
      </c>
      <c r="P6954">
        <v>0</v>
      </c>
      <c r="Q6954">
        <v>3</v>
      </c>
      <c r="R6954" t="s">
        <v>41257</v>
      </c>
      <c r="S6954" t="s">
        <v>41461</v>
      </c>
      <c r="T6954" t="s">
        <v>42673</v>
      </c>
      <c r="U6954" t="s">
        <v>48943</v>
      </c>
      <c r="W6954" t="s">
        <v>37971</v>
      </c>
      <c r="X6954" t="s">
        <v>41258</v>
      </c>
    </row>
    <row r="6955" spans="1:24">
      <c r="A6955">
        <f>HYPERLINK("https://www.philgeps.gov.ph/GEPSNONPILOT/Tender/SplashBidNoticeAbstractUI.aspx?menuIndex=3&amp;refID=7068631&amp;Result=3","7068631")</f>
        <v>0</v>
      </c>
      <c r="B6955" t="s">
        <v>2247</v>
      </c>
      <c r="C6955" t="s">
        <v>9961</v>
      </c>
      <c r="D6955" t="s">
        <v>16622</v>
      </c>
      <c r="E6955" t="s">
        <v>22766</v>
      </c>
      <c r="F6955" t="s">
        <v>28671</v>
      </c>
      <c r="G6955" t="s">
        <v>28676</v>
      </c>
      <c r="H6955" t="s">
        <v>9998</v>
      </c>
      <c r="I6955" t="s">
        <v>28708</v>
      </c>
      <c r="J6955" t="s">
        <v>33166</v>
      </c>
      <c r="K6955" t="s">
        <v>37243</v>
      </c>
      <c r="M6955" t="s">
        <v>39901</v>
      </c>
      <c r="N6955" t="s">
        <v>41249</v>
      </c>
      <c r="O6955" t="s">
        <v>41250</v>
      </c>
      <c r="P6955">
        <v>0</v>
      </c>
      <c r="Q6955">
        <v>0</v>
      </c>
      <c r="R6955" t="s">
        <v>41257</v>
      </c>
      <c r="S6955" t="s">
        <v>41461</v>
      </c>
      <c r="T6955" t="s">
        <v>42758</v>
      </c>
      <c r="U6955" t="s">
        <v>48944</v>
      </c>
      <c r="W6955" t="s">
        <v>39901</v>
      </c>
      <c r="X6955" t="s">
        <v>41258</v>
      </c>
    </row>
    <row r="6956" spans="1:24">
      <c r="A6956">
        <f>HYPERLINK("https://www.philgeps.gov.ph/GEPSNONPILOT/Tender/SplashBidNoticeAbstractUI.aspx?menuIndex=3&amp;refID=7068630&amp;Result=3","7068630")</f>
        <v>0</v>
      </c>
      <c r="B6956" t="s">
        <v>2251</v>
      </c>
      <c r="C6956" t="s">
        <v>10013</v>
      </c>
      <c r="D6956" t="s">
        <v>16618</v>
      </c>
      <c r="E6956" t="s">
        <v>22812</v>
      </c>
      <c r="F6956" t="s">
        <v>28669</v>
      </c>
      <c r="G6956" t="s">
        <v>28675</v>
      </c>
      <c r="H6956" t="s">
        <v>9998</v>
      </c>
      <c r="I6956" t="s">
        <v>28689</v>
      </c>
      <c r="J6956" t="s">
        <v>33200</v>
      </c>
      <c r="K6956" t="s">
        <v>37220</v>
      </c>
      <c r="M6956" t="s">
        <v>39905</v>
      </c>
      <c r="N6956" t="s">
        <v>41249</v>
      </c>
      <c r="O6956" t="s">
        <v>41250</v>
      </c>
      <c r="P6956">
        <v>0</v>
      </c>
      <c r="Q6956">
        <v>0</v>
      </c>
      <c r="R6956" t="s">
        <v>41257</v>
      </c>
      <c r="S6956" t="s">
        <v>41461</v>
      </c>
      <c r="T6956" t="s">
        <v>43016</v>
      </c>
      <c r="U6956" t="s">
        <v>48909</v>
      </c>
      <c r="W6956" t="s">
        <v>39905</v>
      </c>
      <c r="X6956" t="s">
        <v>41258</v>
      </c>
    </row>
    <row r="6957" spans="1:24">
      <c r="A6957">
        <f>HYPERLINK("https://www.philgeps.gov.ph/GEPSNONPILOT/Tender/SplashBidNoticeAbstractUI.aspx?menuIndex=3&amp;refID=7068625&amp;Result=3","7068625")</f>
        <v>0</v>
      </c>
      <c r="B6957" t="s">
        <v>986</v>
      </c>
      <c r="C6957" t="s">
        <v>10014</v>
      </c>
      <c r="D6957" t="s">
        <v>16620</v>
      </c>
      <c r="E6957" t="s">
        <v>22813</v>
      </c>
      <c r="F6957" t="s">
        <v>28669</v>
      </c>
      <c r="G6957" t="s">
        <v>28675</v>
      </c>
      <c r="H6957" t="s">
        <v>9998</v>
      </c>
      <c r="I6957" t="s">
        <v>11142</v>
      </c>
      <c r="J6957" t="s">
        <v>33201</v>
      </c>
      <c r="K6957" t="s">
        <v>37206</v>
      </c>
      <c r="M6957" t="s">
        <v>38900</v>
      </c>
      <c r="N6957" t="s">
        <v>41249</v>
      </c>
      <c r="O6957" t="s">
        <v>41250</v>
      </c>
      <c r="P6957">
        <v>0</v>
      </c>
      <c r="Q6957">
        <v>0</v>
      </c>
      <c r="R6957" t="s">
        <v>41257</v>
      </c>
      <c r="S6957" t="s">
        <v>41461</v>
      </c>
      <c r="T6957" t="s">
        <v>42703</v>
      </c>
      <c r="U6957" t="s">
        <v>45210</v>
      </c>
      <c r="V6957" t="s">
        <v>54542</v>
      </c>
      <c r="W6957" t="s">
        <v>38900</v>
      </c>
      <c r="X6957" t="s">
        <v>41258</v>
      </c>
    </row>
    <row r="6958" spans="1:24">
      <c r="A6958">
        <f>HYPERLINK("https://www.philgeps.gov.ph/GEPSNONPILOT/Tender/SplashBidNoticeAbstractUI.aspx?menuIndex=3&amp;refID=7068624&amp;Result=3","7068624")</f>
        <v>0</v>
      </c>
      <c r="B6958" t="s">
        <v>743</v>
      </c>
      <c r="C6958" t="s">
        <v>10015</v>
      </c>
      <c r="D6958" t="s">
        <v>16629</v>
      </c>
      <c r="E6958" t="s">
        <v>22814</v>
      </c>
      <c r="F6958" t="s">
        <v>28669</v>
      </c>
      <c r="G6958" t="s">
        <v>28675</v>
      </c>
      <c r="H6958" t="s">
        <v>28686</v>
      </c>
      <c r="I6958" t="s">
        <v>28689</v>
      </c>
      <c r="J6958" t="s">
        <v>33202</v>
      </c>
      <c r="K6958" t="s">
        <v>37251</v>
      </c>
      <c r="M6958" t="s">
        <v>39318</v>
      </c>
      <c r="N6958" t="s">
        <v>41249</v>
      </c>
      <c r="O6958" t="s">
        <v>41250</v>
      </c>
      <c r="P6958">
        <v>0</v>
      </c>
      <c r="Q6958">
        <v>0</v>
      </c>
      <c r="R6958" t="s">
        <v>41257</v>
      </c>
      <c r="S6958" t="s">
        <v>41461</v>
      </c>
      <c r="T6958" t="s">
        <v>42881</v>
      </c>
      <c r="U6958" t="s">
        <v>48945</v>
      </c>
      <c r="V6958" t="s">
        <v>55068</v>
      </c>
      <c r="W6958" t="s">
        <v>39318</v>
      </c>
      <c r="X6958" t="s">
        <v>41258</v>
      </c>
    </row>
    <row r="6959" spans="1:24">
      <c r="A6959">
        <f>HYPERLINK("https://www.philgeps.gov.ph/GEPSNONPILOT/Tender/SplashBidNoticeAbstractUI.aspx?menuIndex=3&amp;refID=7068641&amp;Result=3","7068641")</f>
        <v>0</v>
      </c>
      <c r="B6959" t="s">
        <v>474</v>
      </c>
      <c r="C6959" t="s">
        <v>10016</v>
      </c>
      <c r="D6959" t="s">
        <v>16668</v>
      </c>
      <c r="E6959" t="s">
        <v>22815</v>
      </c>
      <c r="F6959" t="s">
        <v>28669</v>
      </c>
      <c r="G6959" t="s">
        <v>28676</v>
      </c>
      <c r="H6959" t="s">
        <v>9998</v>
      </c>
      <c r="I6959" t="s">
        <v>5213</v>
      </c>
      <c r="J6959" t="s">
        <v>33203</v>
      </c>
      <c r="K6959" t="s">
        <v>37209</v>
      </c>
      <c r="L6959" t="s">
        <v>474</v>
      </c>
      <c r="M6959" t="s">
        <v>37962</v>
      </c>
      <c r="N6959" t="s">
        <v>41249</v>
      </c>
      <c r="O6959" t="s">
        <v>41250</v>
      </c>
      <c r="P6959">
        <v>0</v>
      </c>
      <c r="Q6959">
        <v>2</v>
      </c>
      <c r="R6959" t="s">
        <v>41257</v>
      </c>
      <c r="S6959" t="s">
        <v>41461</v>
      </c>
      <c r="T6959" t="s">
        <v>42728</v>
      </c>
      <c r="U6959" t="s">
        <v>43997</v>
      </c>
      <c r="W6959" t="s">
        <v>37962</v>
      </c>
      <c r="X6959" t="s">
        <v>41258</v>
      </c>
    </row>
    <row r="6960" spans="1:24">
      <c r="A6960">
        <f>HYPERLINK("https://www.philgeps.gov.ph/GEPSNONPILOT/Tender/SplashBidNoticeAbstractUI.aspx?menuIndex=3&amp;refID=7068596&amp;Result=3","7068596")</f>
        <v>0</v>
      </c>
      <c r="B6960" t="s">
        <v>2251</v>
      </c>
      <c r="C6960" t="s">
        <v>10017</v>
      </c>
      <c r="D6960" t="s">
        <v>16618</v>
      </c>
      <c r="E6960" t="s">
        <v>22816</v>
      </c>
      <c r="F6960" t="s">
        <v>28669</v>
      </c>
      <c r="G6960" t="s">
        <v>28675</v>
      </c>
      <c r="H6960" t="s">
        <v>9998</v>
      </c>
      <c r="I6960" t="s">
        <v>28689</v>
      </c>
      <c r="J6960" t="s">
        <v>33204</v>
      </c>
      <c r="K6960" t="s">
        <v>37221</v>
      </c>
      <c r="M6960" t="s">
        <v>39905</v>
      </c>
      <c r="N6960" t="s">
        <v>41249</v>
      </c>
      <c r="O6960" t="s">
        <v>41250</v>
      </c>
      <c r="P6960">
        <v>0</v>
      </c>
      <c r="Q6960">
        <v>0</v>
      </c>
      <c r="R6960" t="s">
        <v>41257</v>
      </c>
      <c r="S6960" t="s">
        <v>41461</v>
      </c>
      <c r="T6960" t="s">
        <v>43016</v>
      </c>
      <c r="U6960" t="s">
        <v>48909</v>
      </c>
      <c r="W6960" t="s">
        <v>39905</v>
      </c>
      <c r="X6960" t="s">
        <v>41258</v>
      </c>
    </row>
    <row r="6961" spans="1:24">
      <c r="A6961">
        <f>HYPERLINK("https://www.philgeps.gov.ph/GEPSNONPILOT/Tender/SplashBidNoticeAbstractUI.aspx?menuIndex=3&amp;refID=7068648&amp;Result=3","7068648")</f>
        <v>0</v>
      </c>
      <c r="B6961" t="s">
        <v>2247</v>
      </c>
      <c r="C6961" t="s">
        <v>10018</v>
      </c>
      <c r="D6961" t="s">
        <v>16622</v>
      </c>
      <c r="E6961" t="s">
        <v>22817</v>
      </c>
      <c r="F6961" t="s">
        <v>28671</v>
      </c>
      <c r="G6961" t="s">
        <v>28676</v>
      </c>
      <c r="H6961" t="s">
        <v>9998</v>
      </c>
      <c r="I6961" t="s">
        <v>7352</v>
      </c>
      <c r="J6961" t="s">
        <v>29454</v>
      </c>
      <c r="K6961" t="s">
        <v>37243</v>
      </c>
      <c r="M6961" t="s">
        <v>39901</v>
      </c>
      <c r="N6961" t="s">
        <v>41249</v>
      </c>
      <c r="O6961" t="s">
        <v>41250</v>
      </c>
      <c r="P6961">
        <v>0</v>
      </c>
      <c r="Q6961">
        <v>0</v>
      </c>
      <c r="R6961" t="s">
        <v>41257</v>
      </c>
      <c r="S6961" t="s">
        <v>41461</v>
      </c>
      <c r="T6961" t="s">
        <v>42758</v>
      </c>
      <c r="U6961" t="s">
        <v>48946</v>
      </c>
      <c r="W6961" t="s">
        <v>39901</v>
      </c>
      <c r="X6961" t="s">
        <v>41258</v>
      </c>
    </row>
    <row r="6962" spans="1:24">
      <c r="A6962">
        <f>HYPERLINK("https://www.philgeps.gov.ph/GEPSNONPILOT/Tender/SplashBidNoticeAbstractUI.aspx?menuIndex=3&amp;refID=7068646&amp;Result=3","7068646")</f>
        <v>0</v>
      </c>
      <c r="B6962" t="s">
        <v>1034</v>
      </c>
      <c r="C6962" t="s">
        <v>10019</v>
      </c>
      <c r="D6962" t="s">
        <v>16619</v>
      </c>
      <c r="E6962" t="s">
        <v>17954</v>
      </c>
      <c r="F6962" t="s">
        <v>28669</v>
      </c>
      <c r="G6962" t="s">
        <v>28675</v>
      </c>
      <c r="H6962" t="s">
        <v>9998</v>
      </c>
      <c r="I6962" t="s">
        <v>28687</v>
      </c>
      <c r="J6962" t="s">
        <v>29002</v>
      </c>
      <c r="K6962" t="s">
        <v>37216</v>
      </c>
      <c r="M6962" t="s">
        <v>38565</v>
      </c>
      <c r="N6962" t="s">
        <v>41249</v>
      </c>
      <c r="O6962" t="s">
        <v>41250</v>
      </c>
      <c r="P6962">
        <v>0</v>
      </c>
      <c r="Q6962">
        <v>3</v>
      </c>
      <c r="R6962" t="s">
        <v>41257</v>
      </c>
      <c r="S6962" t="s">
        <v>41461</v>
      </c>
      <c r="T6962" t="s">
        <v>42684</v>
      </c>
      <c r="U6962" t="s">
        <v>48947</v>
      </c>
      <c r="W6962" t="s">
        <v>38565</v>
      </c>
      <c r="X6962" t="s">
        <v>41258</v>
      </c>
    </row>
    <row r="6963" spans="1:24">
      <c r="A6963">
        <f>HYPERLINK("https://www.philgeps.gov.ph/GEPSNONPILOT/Tender/SplashBidNoticeAbstractUI.aspx?menuIndex=3&amp;refID=7068628&amp;Result=3","7068628")</f>
        <v>0</v>
      </c>
      <c r="B6963" t="s">
        <v>2259</v>
      </c>
      <c r="C6963" t="s">
        <v>10020</v>
      </c>
      <c r="E6963" t="s">
        <v>22818</v>
      </c>
      <c r="F6963" t="s">
        <v>28671</v>
      </c>
      <c r="G6963" t="s">
        <v>28676</v>
      </c>
      <c r="H6963" t="s">
        <v>9998</v>
      </c>
      <c r="I6963" t="s">
        <v>28690</v>
      </c>
      <c r="J6963" t="s">
        <v>29349</v>
      </c>
      <c r="K6963" t="s">
        <v>37243</v>
      </c>
      <c r="M6963" t="s">
        <v>39914</v>
      </c>
      <c r="N6963" t="s">
        <v>41249</v>
      </c>
      <c r="O6963" t="s">
        <v>41250</v>
      </c>
      <c r="P6963">
        <v>0</v>
      </c>
      <c r="Q6963">
        <v>0</v>
      </c>
      <c r="R6963" t="s">
        <v>41257</v>
      </c>
      <c r="S6963" t="s">
        <v>41461</v>
      </c>
      <c r="T6963" t="s">
        <v>42758</v>
      </c>
      <c r="U6963" t="s">
        <v>48948</v>
      </c>
      <c r="W6963" t="s">
        <v>39914</v>
      </c>
      <c r="X6963" t="s">
        <v>41258</v>
      </c>
    </row>
    <row r="6964" spans="1:24">
      <c r="A6964">
        <f>HYPERLINK("https://www.philgeps.gov.ph/GEPSNONPILOT/Tender/SplashBidNoticeAbstractUI.aspx?menuIndex=3&amp;refID=7068638&amp;Result=3","7068638")</f>
        <v>0</v>
      </c>
      <c r="B6964" t="s">
        <v>1947</v>
      </c>
      <c r="C6964" t="s">
        <v>10021</v>
      </c>
      <c r="D6964" t="s">
        <v>16626</v>
      </c>
      <c r="E6964" t="s">
        <v>22819</v>
      </c>
      <c r="F6964" t="s">
        <v>28669</v>
      </c>
      <c r="G6964" t="s">
        <v>28676</v>
      </c>
      <c r="H6964" t="s">
        <v>9998</v>
      </c>
      <c r="I6964" t="s">
        <v>28693</v>
      </c>
      <c r="J6964" t="s">
        <v>28878</v>
      </c>
      <c r="K6964" t="s">
        <v>37206</v>
      </c>
      <c r="M6964" t="s">
        <v>39577</v>
      </c>
      <c r="N6964" t="s">
        <v>41249</v>
      </c>
      <c r="O6964" t="s">
        <v>41250</v>
      </c>
      <c r="P6964">
        <v>0</v>
      </c>
      <c r="Q6964">
        <v>28</v>
      </c>
      <c r="R6964" t="s">
        <v>41257</v>
      </c>
      <c r="S6964" t="s">
        <v>41461</v>
      </c>
      <c r="T6964" t="s">
        <v>42676</v>
      </c>
      <c r="U6964" t="s">
        <v>48949</v>
      </c>
      <c r="W6964" t="s">
        <v>39577</v>
      </c>
      <c r="X6964" t="s">
        <v>41258</v>
      </c>
    </row>
    <row r="6965" spans="1:24">
      <c r="A6965">
        <f>HYPERLINK("https://www.philgeps.gov.ph/GEPSNONPILOT/Tender/SplashBidNoticeAbstractUI.aspx?menuIndex=3&amp;refID=7068610&amp;Result=3","7068610")</f>
        <v>0</v>
      </c>
      <c r="B6965" t="s">
        <v>2251</v>
      </c>
      <c r="C6965" t="s">
        <v>10022</v>
      </c>
      <c r="D6965" t="s">
        <v>16618</v>
      </c>
      <c r="E6965" t="s">
        <v>22820</v>
      </c>
      <c r="F6965" t="s">
        <v>28669</v>
      </c>
      <c r="G6965" t="s">
        <v>28675</v>
      </c>
      <c r="H6965" t="s">
        <v>9998</v>
      </c>
      <c r="I6965" t="s">
        <v>28689</v>
      </c>
      <c r="J6965" t="s">
        <v>33205</v>
      </c>
      <c r="K6965" t="s">
        <v>37213</v>
      </c>
      <c r="M6965" t="s">
        <v>39905</v>
      </c>
      <c r="N6965" t="s">
        <v>41249</v>
      </c>
      <c r="O6965" t="s">
        <v>41250</v>
      </c>
      <c r="P6965">
        <v>0</v>
      </c>
      <c r="Q6965">
        <v>0</v>
      </c>
      <c r="R6965" t="s">
        <v>41257</v>
      </c>
      <c r="S6965" t="s">
        <v>41461</v>
      </c>
      <c r="T6965" t="s">
        <v>43016</v>
      </c>
      <c r="U6965" t="s">
        <v>48909</v>
      </c>
      <c r="W6965" t="s">
        <v>39905</v>
      </c>
      <c r="X6965" t="s">
        <v>41258</v>
      </c>
    </row>
    <row r="6966" spans="1:24">
      <c r="A6966">
        <f>HYPERLINK("https://www.philgeps.gov.ph/GEPSNONPILOT/Tender/SplashBidNoticeAbstractUI.aspx?menuIndex=3&amp;refID=7068655&amp;Result=3","7068655")</f>
        <v>0</v>
      </c>
      <c r="B6966" t="s">
        <v>986</v>
      </c>
      <c r="C6966" t="s">
        <v>10023</v>
      </c>
      <c r="D6966" t="s">
        <v>16620</v>
      </c>
      <c r="E6966" t="s">
        <v>22821</v>
      </c>
      <c r="F6966" t="s">
        <v>28669</v>
      </c>
      <c r="G6966" t="s">
        <v>28675</v>
      </c>
      <c r="H6966" t="s">
        <v>9998</v>
      </c>
      <c r="I6966" t="s">
        <v>7352</v>
      </c>
      <c r="J6966" t="s">
        <v>33206</v>
      </c>
      <c r="K6966" t="s">
        <v>37206</v>
      </c>
      <c r="M6966" t="s">
        <v>38900</v>
      </c>
      <c r="N6966" t="s">
        <v>41249</v>
      </c>
      <c r="O6966" t="s">
        <v>41250</v>
      </c>
      <c r="P6966">
        <v>0</v>
      </c>
      <c r="Q6966">
        <v>0</v>
      </c>
      <c r="R6966" t="s">
        <v>41257</v>
      </c>
      <c r="S6966" t="s">
        <v>41461</v>
      </c>
      <c r="T6966" t="s">
        <v>42703</v>
      </c>
      <c r="U6966" t="s">
        <v>45210</v>
      </c>
      <c r="V6966" t="s">
        <v>54542</v>
      </c>
      <c r="W6966" t="s">
        <v>38900</v>
      </c>
      <c r="X6966" t="s">
        <v>41258</v>
      </c>
    </row>
    <row r="6967" spans="1:24">
      <c r="A6967">
        <f>HYPERLINK("https://www.philgeps.gov.ph/GEPSNONPILOT/Tender/SplashBidNoticeAbstractUI.aspx?menuIndex=3&amp;refID=7068606&amp;Result=3","7068606")</f>
        <v>0</v>
      </c>
      <c r="B6967" t="s">
        <v>2219</v>
      </c>
      <c r="C6967" t="s">
        <v>10024</v>
      </c>
      <c r="D6967" t="s">
        <v>16658</v>
      </c>
      <c r="E6967" t="s">
        <v>22822</v>
      </c>
      <c r="F6967" t="s">
        <v>28669</v>
      </c>
      <c r="G6967" t="s">
        <v>28675</v>
      </c>
      <c r="H6967" t="s">
        <v>28686</v>
      </c>
      <c r="I6967" t="s">
        <v>28689</v>
      </c>
      <c r="J6967" t="s">
        <v>33207</v>
      </c>
      <c r="K6967" t="s">
        <v>37211</v>
      </c>
      <c r="M6967" t="s">
        <v>39871</v>
      </c>
      <c r="N6967" t="s">
        <v>41249</v>
      </c>
      <c r="O6967" t="s">
        <v>41250</v>
      </c>
      <c r="P6967">
        <v>0</v>
      </c>
      <c r="Q6967">
        <v>0</v>
      </c>
      <c r="R6967" t="s">
        <v>41257</v>
      </c>
      <c r="S6967" t="s">
        <v>41461</v>
      </c>
      <c r="T6967" t="s">
        <v>42786</v>
      </c>
      <c r="U6967" t="s">
        <v>48950</v>
      </c>
      <c r="W6967" t="s">
        <v>39871</v>
      </c>
      <c r="X6967" t="s">
        <v>41258</v>
      </c>
    </row>
    <row r="6968" spans="1:24">
      <c r="A6968">
        <f>HYPERLINK("https://www.philgeps.gov.ph/GEPSNONPILOT/Tender/SplashBidNoticeAbstractUI.aspx?menuIndex=3&amp;refID=7068666&amp;Result=3","7068666")</f>
        <v>0</v>
      </c>
      <c r="B6968" t="s">
        <v>474</v>
      </c>
      <c r="C6968" t="s">
        <v>10025</v>
      </c>
      <c r="D6968" t="s">
        <v>16668</v>
      </c>
      <c r="E6968" t="s">
        <v>22823</v>
      </c>
      <c r="F6968" t="s">
        <v>28669</v>
      </c>
      <c r="G6968" t="s">
        <v>28676</v>
      </c>
      <c r="H6968" t="s">
        <v>9998</v>
      </c>
      <c r="I6968" t="s">
        <v>28729</v>
      </c>
      <c r="J6968" t="s">
        <v>28901</v>
      </c>
      <c r="K6968" t="s">
        <v>37209</v>
      </c>
      <c r="L6968" t="s">
        <v>474</v>
      </c>
      <c r="M6968" t="s">
        <v>37962</v>
      </c>
      <c r="N6968" t="s">
        <v>41249</v>
      </c>
      <c r="O6968" t="s">
        <v>41250</v>
      </c>
      <c r="P6968">
        <v>0</v>
      </c>
      <c r="Q6968">
        <v>6</v>
      </c>
      <c r="R6968" t="s">
        <v>41257</v>
      </c>
      <c r="S6968" t="s">
        <v>41461</v>
      </c>
      <c r="T6968" t="s">
        <v>42728</v>
      </c>
      <c r="U6968" t="s">
        <v>43997</v>
      </c>
      <c r="W6968" t="s">
        <v>37962</v>
      </c>
      <c r="X6968" t="s">
        <v>41258</v>
      </c>
    </row>
    <row r="6969" spans="1:24">
      <c r="A6969">
        <f>HYPERLINK("https://www.philgeps.gov.ph/GEPSNONPILOT/Tender/SplashBidNoticeAbstractUI.aspx?menuIndex=3&amp;refID=7068654&amp;Result=3","7068654")</f>
        <v>0</v>
      </c>
      <c r="B6969" t="s">
        <v>2251</v>
      </c>
      <c r="C6969" t="s">
        <v>10026</v>
      </c>
      <c r="D6969" t="s">
        <v>16618</v>
      </c>
      <c r="E6969" t="s">
        <v>22824</v>
      </c>
      <c r="F6969" t="s">
        <v>28669</v>
      </c>
      <c r="G6969" t="s">
        <v>28675</v>
      </c>
      <c r="H6969" t="s">
        <v>9998</v>
      </c>
      <c r="I6969" t="s">
        <v>28689</v>
      </c>
      <c r="J6969" t="s">
        <v>33208</v>
      </c>
      <c r="K6969" t="s">
        <v>37207</v>
      </c>
      <c r="M6969" t="s">
        <v>39905</v>
      </c>
      <c r="N6969" t="s">
        <v>41249</v>
      </c>
      <c r="O6969" t="s">
        <v>41250</v>
      </c>
      <c r="P6969">
        <v>0</v>
      </c>
      <c r="Q6969">
        <v>0</v>
      </c>
      <c r="R6969" t="s">
        <v>41257</v>
      </c>
      <c r="S6969" t="s">
        <v>41461</v>
      </c>
      <c r="T6969" t="s">
        <v>43016</v>
      </c>
      <c r="U6969" t="s">
        <v>48909</v>
      </c>
      <c r="W6969" t="s">
        <v>39905</v>
      </c>
      <c r="X6969" t="s">
        <v>41258</v>
      </c>
    </row>
    <row r="6970" spans="1:24">
      <c r="A6970">
        <f>HYPERLINK("https://www.philgeps.gov.ph/GEPSNONPILOT/Tender/SplashBidNoticeAbstractUI.aspx?menuIndex=3&amp;refID=7068662&amp;Result=3","7068662")</f>
        <v>0</v>
      </c>
      <c r="B6970" t="s">
        <v>2260</v>
      </c>
      <c r="C6970" t="s">
        <v>10027</v>
      </c>
      <c r="D6970" t="s">
        <v>16607</v>
      </c>
      <c r="E6970" t="s">
        <v>20956</v>
      </c>
      <c r="F6970" t="s">
        <v>28669</v>
      </c>
      <c r="G6970" t="s">
        <v>28675</v>
      </c>
      <c r="H6970" t="s">
        <v>9998</v>
      </c>
      <c r="I6970" t="s">
        <v>7352</v>
      </c>
      <c r="J6970" t="s">
        <v>33209</v>
      </c>
      <c r="K6970" t="s">
        <v>37210</v>
      </c>
      <c r="M6970" t="s">
        <v>39915</v>
      </c>
      <c r="N6970" t="s">
        <v>41249</v>
      </c>
      <c r="O6970" t="s">
        <v>41250</v>
      </c>
      <c r="P6970">
        <v>0</v>
      </c>
      <c r="Q6970">
        <v>1</v>
      </c>
      <c r="R6970" t="s">
        <v>41257</v>
      </c>
      <c r="S6970" t="s">
        <v>41461</v>
      </c>
      <c r="T6970" t="s">
        <v>42665</v>
      </c>
      <c r="U6970" t="s">
        <v>48951</v>
      </c>
      <c r="W6970" t="s">
        <v>39915</v>
      </c>
      <c r="X6970" t="s">
        <v>41258</v>
      </c>
    </row>
    <row r="6971" spans="1:24">
      <c r="A6971">
        <f>HYPERLINK("https://www.philgeps.gov.ph/GEPSNONPILOT/Tender/SplashBidNoticeAbstractUI.aspx?menuIndex=3&amp;refID=7068609&amp;Result=3","7068609")</f>
        <v>0</v>
      </c>
      <c r="B6971" t="s">
        <v>986</v>
      </c>
      <c r="C6971" t="s">
        <v>10028</v>
      </c>
      <c r="D6971" t="s">
        <v>16620</v>
      </c>
      <c r="E6971" t="s">
        <v>22825</v>
      </c>
      <c r="F6971" t="s">
        <v>28669</v>
      </c>
      <c r="G6971" t="s">
        <v>28675</v>
      </c>
      <c r="H6971" t="s">
        <v>9998</v>
      </c>
      <c r="I6971" t="s">
        <v>11142</v>
      </c>
      <c r="J6971" t="s">
        <v>33210</v>
      </c>
      <c r="K6971" t="s">
        <v>37206</v>
      </c>
      <c r="M6971" t="s">
        <v>38900</v>
      </c>
      <c r="N6971" t="s">
        <v>41249</v>
      </c>
      <c r="O6971" t="s">
        <v>41250</v>
      </c>
      <c r="P6971">
        <v>0</v>
      </c>
      <c r="Q6971">
        <v>0</v>
      </c>
      <c r="R6971" t="s">
        <v>41257</v>
      </c>
      <c r="S6971" t="s">
        <v>41461</v>
      </c>
      <c r="T6971" t="s">
        <v>42703</v>
      </c>
      <c r="U6971" t="s">
        <v>45210</v>
      </c>
      <c r="V6971" t="s">
        <v>54542</v>
      </c>
      <c r="W6971" t="s">
        <v>38900</v>
      </c>
      <c r="X6971" t="s">
        <v>41258</v>
      </c>
    </row>
    <row r="6972" spans="1:24">
      <c r="A6972">
        <f>HYPERLINK("https://www.philgeps.gov.ph/GEPSNONPILOT/Tender/SplashBidNoticeAbstractUI.aspx?menuIndex=3&amp;refID=7068608&amp;Result=3","7068608")</f>
        <v>0</v>
      </c>
      <c r="B6972" t="s">
        <v>2247</v>
      </c>
      <c r="C6972" t="s">
        <v>9961</v>
      </c>
      <c r="D6972" t="s">
        <v>16622</v>
      </c>
      <c r="E6972" t="s">
        <v>22766</v>
      </c>
      <c r="F6972" t="s">
        <v>28671</v>
      </c>
      <c r="G6972" t="s">
        <v>28676</v>
      </c>
      <c r="H6972" t="s">
        <v>9998</v>
      </c>
      <c r="I6972" t="s">
        <v>6458</v>
      </c>
      <c r="J6972" t="s">
        <v>33166</v>
      </c>
      <c r="K6972" t="s">
        <v>37243</v>
      </c>
      <c r="M6972" t="s">
        <v>39901</v>
      </c>
      <c r="N6972" t="s">
        <v>41249</v>
      </c>
      <c r="O6972" t="s">
        <v>41250</v>
      </c>
      <c r="P6972">
        <v>0</v>
      </c>
      <c r="Q6972">
        <v>0</v>
      </c>
      <c r="R6972" t="s">
        <v>41257</v>
      </c>
      <c r="S6972" t="s">
        <v>41461</v>
      </c>
      <c r="T6972" t="s">
        <v>42758</v>
      </c>
      <c r="U6972" t="s">
        <v>48952</v>
      </c>
      <c r="W6972" t="s">
        <v>39901</v>
      </c>
      <c r="X6972" t="s">
        <v>41258</v>
      </c>
    </row>
    <row r="6973" spans="1:24">
      <c r="A6973">
        <f>HYPERLINK("https://www.philgeps.gov.ph/GEPSNONPILOT/Tender/SplashBidNoticeAbstractUI.aspx?menuIndex=3&amp;refID=7068562&amp;Result=3","7068562")</f>
        <v>0</v>
      </c>
      <c r="B6973" t="s">
        <v>2251</v>
      </c>
      <c r="C6973" t="s">
        <v>10029</v>
      </c>
      <c r="D6973" t="s">
        <v>16618</v>
      </c>
      <c r="E6973" t="s">
        <v>22826</v>
      </c>
      <c r="F6973" t="s">
        <v>28669</v>
      </c>
      <c r="G6973" t="s">
        <v>28675</v>
      </c>
      <c r="H6973" t="s">
        <v>9998</v>
      </c>
      <c r="I6973" t="s">
        <v>28689</v>
      </c>
      <c r="J6973" t="s">
        <v>33211</v>
      </c>
      <c r="K6973" t="s">
        <v>37206</v>
      </c>
      <c r="M6973" t="s">
        <v>39905</v>
      </c>
      <c r="N6973" t="s">
        <v>41249</v>
      </c>
      <c r="O6973" t="s">
        <v>41250</v>
      </c>
      <c r="P6973">
        <v>0</v>
      </c>
      <c r="Q6973">
        <v>0</v>
      </c>
      <c r="R6973" t="s">
        <v>41257</v>
      </c>
      <c r="S6973" t="s">
        <v>41461</v>
      </c>
      <c r="T6973" t="s">
        <v>43016</v>
      </c>
      <c r="U6973" t="s">
        <v>48909</v>
      </c>
      <c r="W6973" t="s">
        <v>39905</v>
      </c>
      <c r="X6973" t="s">
        <v>41258</v>
      </c>
    </row>
    <row r="6974" spans="1:24">
      <c r="A6974">
        <f>HYPERLINK("https://www.philgeps.gov.ph/GEPSNONPILOT/Tender/SplashBidNoticeAbstractUI.aspx?menuIndex=3&amp;refID=7068663&amp;Result=3","7068663")</f>
        <v>0</v>
      </c>
      <c r="B6974" t="s">
        <v>2261</v>
      </c>
      <c r="C6974" t="s">
        <v>10030</v>
      </c>
      <c r="D6974" t="s">
        <v>16682</v>
      </c>
      <c r="E6974" t="s">
        <v>22827</v>
      </c>
      <c r="F6974" t="s">
        <v>28669</v>
      </c>
      <c r="G6974" t="s">
        <v>28675</v>
      </c>
      <c r="H6974" t="s">
        <v>28686</v>
      </c>
      <c r="I6974" t="s">
        <v>28752</v>
      </c>
      <c r="J6974" t="s">
        <v>30854</v>
      </c>
      <c r="K6974" t="s">
        <v>37213</v>
      </c>
      <c r="M6974" t="s">
        <v>39916</v>
      </c>
      <c r="N6974" t="s">
        <v>41249</v>
      </c>
      <c r="O6974" t="s">
        <v>41250</v>
      </c>
      <c r="P6974">
        <v>0</v>
      </c>
      <c r="Q6974">
        <v>0</v>
      </c>
      <c r="R6974" t="s">
        <v>41257</v>
      </c>
      <c r="S6974" t="s">
        <v>41461</v>
      </c>
      <c r="T6974" t="s">
        <v>42736</v>
      </c>
      <c r="U6974" t="s">
        <v>48953</v>
      </c>
      <c r="W6974" t="s">
        <v>39916</v>
      </c>
      <c r="X6974" t="s">
        <v>41258</v>
      </c>
    </row>
    <row r="6975" spans="1:24">
      <c r="A6975">
        <f>HYPERLINK("https://www.philgeps.gov.ph/GEPSNONPILOT/Tender/SplashBidNoticeAbstractUI.aspx?menuIndex=3&amp;refID=7068706&amp;Result=3","7068706")</f>
        <v>0</v>
      </c>
      <c r="B6975" t="s">
        <v>2262</v>
      </c>
      <c r="C6975" t="s">
        <v>10031</v>
      </c>
      <c r="D6975" t="s">
        <v>16666</v>
      </c>
      <c r="E6975" t="s">
        <v>16967</v>
      </c>
      <c r="F6975" t="s">
        <v>28669</v>
      </c>
      <c r="G6975" t="s">
        <v>28676</v>
      </c>
      <c r="H6975" t="s">
        <v>28686</v>
      </c>
      <c r="I6975" t="s">
        <v>28702</v>
      </c>
      <c r="J6975" t="s">
        <v>28894</v>
      </c>
      <c r="K6975" t="s">
        <v>37204</v>
      </c>
      <c r="M6975" t="s">
        <v>39917</v>
      </c>
      <c r="N6975" t="s">
        <v>41249</v>
      </c>
      <c r="O6975" t="s">
        <v>41250</v>
      </c>
      <c r="P6975">
        <v>0</v>
      </c>
      <c r="Q6975">
        <v>0</v>
      </c>
      <c r="R6975" t="s">
        <v>41257</v>
      </c>
      <c r="S6975" t="s">
        <v>41461</v>
      </c>
      <c r="T6975" t="s">
        <v>42897</v>
      </c>
      <c r="U6975" t="s">
        <v>48954</v>
      </c>
      <c r="W6975" t="s">
        <v>39917</v>
      </c>
      <c r="X6975" t="s">
        <v>41258</v>
      </c>
    </row>
    <row r="6976" spans="1:24">
      <c r="A6976">
        <f>HYPERLINK("https://www.philgeps.gov.ph/GEPSNONPILOT/Tender/SplashBidNoticeAbstractUI.aspx?menuIndex=3&amp;refID=7068699&amp;Result=3","7068699")</f>
        <v>0</v>
      </c>
      <c r="B6976" t="s">
        <v>2247</v>
      </c>
      <c r="C6976" t="s">
        <v>10032</v>
      </c>
      <c r="D6976" t="s">
        <v>16622</v>
      </c>
      <c r="E6976" t="s">
        <v>22828</v>
      </c>
      <c r="F6976" t="s">
        <v>28671</v>
      </c>
      <c r="G6976" t="s">
        <v>28676</v>
      </c>
      <c r="H6976" t="s">
        <v>9998</v>
      </c>
      <c r="I6976" t="s">
        <v>7352</v>
      </c>
      <c r="J6976" t="s">
        <v>33212</v>
      </c>
      <c r="K6976" t="s">
        <v>37243</v>
      </c>
      <c r="M6976" t="s">
        <v>39901</v>
      </c>
      <c r="N6976" t="s">
        <v>41249</v>
      </c>
      <c r="O6976" t="s">
        <v>41250</v>
      </c>
      <c r="P6976">
        <v>0</v>
      </c>
      <c r="Q6976">
        <v>0</v>
      </c>
      <c r="R6976" t="s">
        <v>41257</v>
      </c>
      <c r="S6976" t="s">
        <v>41461</v>
      </c>
      <c r="T6976" t="s">
        <v>42758</v>
      </c>
      <c r="U6976" t="s">
        <v>48955</v>
      </c>
      <c r="W6976" t="s">
        <v>39901</v>
      </c>
      <c r="X6976" t="s">
        <v>41258</v>
      </c>
    </row>
    <row r="6977" spans="1:24">
      <c r="A6977">
        <f>HYPERLINK("https://www.philgeps.gov.ph/GEPSNONPILOT/Tender/SplashBidNoticeAbstractUI.aspx?menuIndex=3&amp;refID=7068701&amp;Result=3","7068701")</f>
        <v>0</v>
      </c>
      <c r="B6977" t="s">
        <v>1258</v>
      </c>
      <c r="C6977" t="s">
        <v>10033</v>
      </c>
      <c r="D6977" t="s">
        <v>16663</v>
      </c>
      <c r="E6977" t="s">
        <v>22829</v>
      </c>
      <c r="F6977" t="s">
        <v>28669</v>
      </c>
      <c r="G6977" t="s">
        <v>28676</v>
      </c>
      <c r="H6977" t="s">
        <v>9998</v>
      </c>
      <c r="I6977" t="s">
        <v>28695</v>
      </c>
      <c r="J6977" t="s">
        <v>29564</v>
      </c>
      <c r="K6977" t="s">
        <v>37227</v>
      </c>
      <c r="M6977" t="s">
        <v>38807</v>
      </c>
      <c r="N6977" t="s">
        <v>41249</v>
      </c>
      <c r="O6977" t="s">
        <v>41250</v>
      </c>
      <c r="P6977">
        <v>0</v>
      </c>
      <c r="Q6977">
        <v>0</v>
      </c>
      <c r="R6977" t="s">
        <v>41257</v>
      </c>
      <c r="S6977" t="s">
        <v>41461</v>
      </c>
      <c r="T6977" t="s">
        <v>42736</v>
      </c>
      <c r="U6977" t="s">
        <v>48956</v>
      </c>
      <c r="W6977" t="s">
        <v>38807</v>
      </c>
      <c r="X6977" t="s">
        <v>41258</v>
      </c>
    </row>
    <row r="6978" spans="1:24">
      <c r="A6978">
        <f>HYPERLINK("https://www.philgeps.gov.ph/GEPSNONPILOT/Tender/SplashBidNoticeAbstractUI.aspx?menuIndex=3&amp;refID=7068691&amp;Result=3","7068691")</f>
        <v>0</v>
      </c>
      <c r="B6978" t="s">
        <v>601</v>
      </c>
      <c r="C6978" t="s">
        <v>10034</v>
      </c>
      <c r="D6978" t="s">
        <v>16658</v>
      </c>
      <c r="E6978" t="s">
        <v>22830</v>
      </c>
      <c r="F6978" t="s">
        <v>28669</v>
      </c>
      <c r="G6978" t="s">
        <v>28679</v>
      </c>
      <c r="H6978" t="s">
        <v>9998</v>
      </c>
      <c r="I6978" t="s">
        <v>28698</v>
      </c>
      <c r="J6978" t="s">
        <v>33213</v>
      </c>
      <c r="K6978" t="s">
        <v>37209</v>
      </c>
      <c r="M6978" t="s">
        <v>38101</v>
      </c>
      <c r="N6978" t="s">
        <v>41249</v>
      </c>
      <c r="O6978" t="s">
        <v>41250</v>
      </c>
      <c r="P6978">
        <v>0</v>
      </c>
      <c r="Q6978">
        <v>2</v>
      </c>
      <c r="R6978" t="s">
        <v>41257</v>
      </c>
      <c r="S6978" t="s">
        <v>41461</v>
      </c>
      <c r="T6978" t="s">
        <v>42802</v>
      </c>
      <c r="U6978" t="s">
        <v>48957</v>
      </c>
      <c r="V6978" t="s">
        <v>54789</v>
      </c>
      <c r="W6978" t="s">
        <v>38101</v>
      </c>
      <c r="X6978" t="s">
        <v>41258</v>
      </c>
    </row>
    <row r="6979" spans="1:24">
      <c r="A6979">
        <f>HYPERLINK("https://www.philgeps.gov.ph/GEPSNONPILOT/Tender/SplashBidNoticeAbstractUI.aspx?menuIndex=3&amp;refID=7068685&amp;Result=3","7068685")</f>
        <v>0</v>
      </c>
      <c r="B6979" t="s">
        <v>1401</v>
      </c>
      <c r="C6979" t="s">
        <v>10035</v>
      </c>
      <c r="D6979" t="s">
        <v>16671</v>
      </c>
      <c r="E6979" t="s">
        <v>22831</v>
      </c>
      <c r="F6979" t="s">
        <v>28669</v>
      </c>
      <c r="G6979" t="s">
        <v>28677</v>
      </c>
      <c r="H6979" t="s">
        <v>9998</v>
      </c>
      <c r="I6979" t="s">
        <v>28704</v>
      </c>
      <c r="J6979" t="s">
        <v>33214</v>
      </c>
      <c r="K6979" t="s">
        <v>37209</v>
      </c>
      <c r="M6979" t="s">
        <v>38964</v>
      </c>
      <c r="N6979" t="s">
        <v>41249</v>
      </c>
      <c r="O6979" t="s">
        <v>41250</v>
      </c>
      <c r="P6979">
        <v>0</v>
      </c>
      <c r="Q6979">
        <v>0</v>
      </c>
      <c r="R6979" t="s">
        <v>41257</v>
      </c>
      <c r="S6979" t="s">
        <v>41461</v>
      </c>
      <c r="T6979" t="s">
        <v>42736</v>
      </c>
      <c r="U6979" t="s">
        <v>48958</v>
      </c>
      <c r="W6979" t="s">
        <v>55952</v>
      </c>
      <c r="X6979" t="s">
        <v>41258</v>
      </c>
    </row>
    <row r="6980" spans="1:24">
      <c r="A6980">
        <f>HYPERLINK("https://www.philgeps.gov.ph/GEPSNONPILOT/Tender/SplashBidNoticeAbstractUI.aspx?menuIndex=3&amp;refID=7068712&amp;Result=3","7068712")</f>
        <v>0</v>
      </c>
      <c r="B6980" t="s">
        <v>2167</v>
      </c>
      <c r="C6980" t="s">
        <v>10036</v>
      </c>
      <c r="E6980" t="s">
        <v>22832</v>
      </c>
      <c r="F6980" t="s">
        <v>28669</v>
      </c>
      <c r="G6980" t="s">
        <v>28676</v>
      </c>
      <c r="H6980" t="s">
        <v>9998</v>
      </c>
      <c r="I6980" t="s">
        <v>28698</v>
      </c>
      <c r="J6980" t="s">
        <v>29040</v>
      </c>
      <c r="K6980" t="s">
        <v>37206</v>
      </c>
      <c r="M6980" t="s">
        <v>39814</v>
      </c>
      <c r="N6980" t="s">
        <v>41249</v>
      </c>
      <c r="O6980" t="s">
        <v>41250</v>
      </c>
      <c r="P6980">
        <v>0</v>
      </c>
      <c r="Q6980">
        <v>1</v>
      </c>
      <c r="R6980" t="s">
        <v>41257</v>
      </c>
      <c r="S6980" t="s">
        <v>41461</v>
      </c>
      <c r="T6980" t="s">
        <v>42717</v>
      </c>
      <c r="U6980" t="s">
        <v>48959</v>
      </c>
      <c r="W6980" t="s">
        <v>55980</v>
      </c>
      <c r="X6980" t="s">
        <v>41258</v>
      </c>
    </row>
    <row r="6981" spans="1:24">
      <c r="A6981">
        <f>HYPERLINK("https://www.philgeps.gov.ph/GEPSNONPILOT/Tender/SplashBidNoticeAbstractUI.aspx?menuIndex=3&amp;refID=7068684&amp;Result=3","7068684")</f>
        <v>0</v>
      </c>
      <c r="B6981" t="s">
        <v>2263</v>
      </c>
      <c r="C6981" t="s">
        <v>10037</v>
      </c>
      <c r="D6981" t="s">
        <v>16663</v>
      </c>
      <c r="E6981" t="s">
        <v>22833</v>
      </c>
      <c r="F6981" t="s">
        <v>28669</v>
      </c>
      <c r="G6981" t="s">
        <v>28676</v>
      </c>
      <c r="H6981" t="s">
        <v>9998</v>
      </c>
      <c r="I6981" t="s">
        <v>28753</v>
      </c>
      <c r="J6981" t="s">
        <v>33215</v>
      </c>
      <c r="K6981" t="s">
        <v>37206</v>
      </c>
      <c r="M6981" t="s">
        <v>39918</v>
      </c>
      <c r="N6981" t="s">
        <v>41249</v>
      </c>
      <c r="O6981" t="s">
        <v>41250</v>
      </c>
      <c r="P6981">
        <v>0</v>
      </c>
      <c r="Q6981">
        <v>0</v>
      </c>
      <c r="R6981" t="s">
        <v>41257</v>
      </c>
      <c r="S6981" t="s">
        <v>41461</v>
      </c>
      <c r="T6981" t="s">
        <v>42767</v>
      </c>
      <c r="U6981" t="s">
        <v>48960</v>
      </c>
      <c r="W6981" t="s">
        <v>39918</v>
      </c>
      <c r="X6981" t="s">
        <v>41258</v>
      </c>
    </row>
    <row r="6982" spans="1:24">
      <c r="A6982">
        <f>HYPERLINK("https://www.philgeps.gov.ph/GEPSNONPILOT/Tender/SplashBidNoticeAbstractUI.aspx?menuIndex=3&amp;refID=7068682&amp;Result=3","7068682")</f>
        <v>0</v>
      </c>
      <c r="B6982" t="s">
        <v>1947</v>
      </c>
      <c r="C6982" t="s">
        <v>10038</v>
      </c>
      <c r="D6982" t="s">
        <v>16626</v>
      </c>
      <c r="E6982" t="s">
        <v>22834</v>
      </c>
      <c r="F6982" t="s">
        <v>28669</v>
      </c>
      <c r="G6982" t="s">
        <v>28676</v>
      </c>
      <c r="H6982" t="s">
        <v>9998</v>
      </c>
      <c r="I6982" t="s">
        <v>28693</v>
      </c>
      <c r="J6982" t="s">
        <v>29040</v>
      </c>
      <c r="K6982" t="s">
        <v>37220</v>
      </c>
      <c r="M6982" t="s">
        <v>39577</v>
      </c>
      <c r="N6982" t="s">
        <v>41249</v>
      </c>
      <c r="O6982" t="s">
        <v>41250</v>
      </c>
      <c r="P6982">
        <v>0</v>
      </c>
      <c r="Q6982">
        <v>25</v>
      </c>
      <c r="R6982" t="s">
        <v>41257</v>
      </c>
      <c r="S6982" t="s">
        <v>41461</v>
      </c>
      <c r="T6982" t="s">
        <v>42676</v>
      </c>
      <c r="U6982" t="s">
        <v>48961</v>
      </c>
      <c r="W6982" t="s">
        <v>39577</v>
      </c>
      <c r="X6982" t="s">
        <v>41258</v>
      </c>
    </row>
    <row r="6983" spans="1:24">
      <c r="A6983">
        <f>HYPERLINK("https://www.philgeps.gov.ph/GEPSNONPILOT/Tender/SplashBidNoticeAbstractUI.aspx?menuIndex=3&amp;refID=7068656&amp;Result=3","7068656")</f>
        <v>0</v>
      </c>
      <c r="B6983" t="s">
        <v>743</v>
      </c>
      <c r="C6983" t="s">
        <v>10039</v>
      </c>
      <c r="D6983" t="s">
        <v>16629</v>
      </c>
      <c r="E6983" t="s">
        <v>22814</v>
      </c>
      <c r="F6983" t="s">
        <v>28669</v>
      </c>
      <c r="G6983" t="s">
        <v>28675</v>
      </c>
      <c r="H6983" t="s">
        <v>28686</v>
      </c>
      <c r="I6983" t="s">
        <v>28689</v>
      </c>
      <c r="J6983" t="s">
        <v>33216</v>
      </c>
      <c r="K6983" t="s">
        <v>37345</v>
      </c>
      <c r="M6983" t="s">
        <v>39318</v>
      </c>
      <c r="N6983" t="s">
        <v>41249</v>
      </c>
      <c r="O6983" t="s">
        <v>41250</v>
      </c>
      <c r="P6983">
        <v>0</v>
      </c>
      <c r="Q6983">
        <v>0</v>
      </c>
      <c r="R6983" t="s">
        <v>41257</v>
      </c>
      <c r="S6983" t="s">
        <v>41461</v>
      </c>
      <c r="T6983" t="s">
        <v>42881</v>
      </c>
      <c r="U6983" t="s">
        <v>48962</v>
      </c>
      <c r="V6983" t="s">
        <v>55069</v>
      </c>
      <c r="W6983" t="s">
        <v>39318</v>
      </c>
      <c r="X6983" t="s">
        <v>41258</v>
      </c>
    </row>
    <row r="6984" spans="1:24">
      <c r="A6984">
        <f>HYPERLINK("https://www.philgeps.gov.ph/GEPSNONPILOT/Tender/SplashBidNoticeAbstractUI.aspx?menuIndex=3&amp;refID=7068681&amp;Result=3","7068681")</f>
        <v>0</v>
      </c>
      <c r="B6984" t="s">
        <v>2264</v>
      </c>
      <c r="C6984" t="s">
        <v>10040</v>
      </c>
      <c r="D6984" t="s">
        <v>16615</v>
      </c>
      <c r="E6984" t="s">
        <v>22835</v>
      </c>
      <c r="F6984" t="s">
        <v>28669</v>
      </c>
      <c r="G6984" t="s">
        <v>28675</v>
      </c>
      <c r="H6984" t="s">
        <v>9998</v>
      </c>
      <c r="I6984" t="s">
        <v>11593</v>
      </c>
      <c r="J6984" t="s">
        <v>33217</v>
      </c>
      <c r="K6984" t="s">
        <v>37205</v>
      </c>
      <c r="M6984" t="s">
        <v>39919</v>
      </c>
      <c r="N6984" t="s">
        <v>41249</v>
      </c>
      <c r="O6984" t="s">
        <v>41250</v>
      </c>
      <c r="P6984">
        <v>0</v>
      </c>
      <c r="Q6984">
        <v>1</v>
      </c>
      <c r="R6984" t="s">
        <v>41257</v>
      </c>
      <c r="S6984" t="s">
        <v>41461</v>
      </c>
      <c r="T6984" t="s">
        <v>42722</v>
      </c>
      <c r="U6984" t="s">
        <v>48963</v>
      </c>
      <c r="V6984" t="s">
        <v>55070</v>
      </c>
      <c r="W6984" t="s">
        <v>39919</v>
      </c>
      <c r="X6984" t="s">
        <v>41258</v>
      </c>
    </row>
    <row r="6985" spans="1:24">
      <c r="A6985">
        <f>HYPERLINK("https://www.philgeps.gov.ph/GEPSNONPILOT/Tender/SplashBidNoticeAbstractUI.aspx?menuIndex=3&amp;refID=7068674&amp;Result=3","7068674")</f>
        <v>0</v>
      </c>
      <c r="B6985" t="s">
        <v>935</v>
      </c>
      <c r="C6985" t="s">
        <v>10041</v>
      </c>
      <c r="D6985" t="s">
        <v>16631</v>
      </c>
      <c r="E6985" t="s">
        <v>22836</v>
      </c>
      <c r="F6985" t="s">
        <v>28669</v>
      </c>
      <c r="G6985" t="s">
        <v>28676</v>
      </c>
      <c r="H6985" t="s">
        <v>9998</v>
      </c>
      <c r="I6985" t="s">
        <v>28693</v>
      </c>
      <c r="J6985" t="s">
        <v>28914</v>
      </c>
      <c r="K6985" t="s">
        <v>37206</v>
      </c>
      <c r="M6985" t="s">
        <v>38458</v>
      </c>
      <c r="N6985" t="s">
        <v>41249</v>
      </c>
      <c r="O6985" t="s">
        <v>41250</v>
      </c>
      <c r="P6985">
        <v>0</v>
      </c>
      <c r="Q6985">
        <v>22</v>
      </c>
      <c r="R6985" t="s">
        <v>41257</v>
      </c>
      <c r="S6985" t="s">
        <v>41461</v>
      </c>
      <c r="T6985" t="s">
        <v>42675</v>
      </c>
      <c r="U6985" t="s">
        <v>48964</v>
      </c>
      <c r="W6985" t="s">
        <v>38458</v>
      </c>
      <c r="X6985" t="s">
        <v>41258</v>
      </c>
    </row>
    <row r="6986" spans="1:24">
      <c r="A6986">
        <f>HYPERLINK("https://www.philgeps.gov.ph/GEPSNONPILOT/Tender/SplashBidNoticeAbstractUI.aspx?menuIndex=3&amp;refID=7068698&amp;Result=3","7068698")</f>
        <v>0</v>
      </c>
      <c r="B6986" t="s">
        <v>743</v>
      </c>
      <c r="C6986" t="s">
        <v>10042</v>
      </c>
      <c r="D6986" t="s">
        <v>16629</v>
      </c>
      <c r="E6986" t="s">
        <v>22837</v>
      </c>
      <c r="F6986" t="s">
        <v>28669</v>
      </c>
      <c r="G6986" t="s">
        <v>28675</v>
      </c>
      <c r="H6986" t="s">
        <v>28686</v>
      </c>
      <c r="I6986" t="s">
        <v>28689</v>
      </c>
      <c r="J6986" t="s">
        <v>33218</v>
      </c>
      <c r="K6986" t="s">
        <v>37319</v>
      </c>
      <c r="M6986" t="s">
        <v>39318</v>
      </c>
      <c r="N6986" t="s">
        <v>41249</v>
      </c>
      <c r="O6986" t="s">
        <v>41250</v>
      </c>
      <c r="P6986">
        <v>0</v>
      </c>
      <c r="Q6986">
        <v>0</v>
      </c>
      <c r="R6986" t="s">
        <v>41257</v>
      </c>
      <c r="S6986" t="s">
        <v>41461</v>
      </c>
      <c r="T6986" t="s">
        <v>42881</v>
      </c>
      <c r="U6986" t="s">
        <v>48965</v>
      </c>
      <c r="V6986" t="s">
        <v>55071</v>
      </c>
      <c r="W6986" t="s">
        <v>39318</v>
      </c>
      <c r="X6986" t="s">
        <v>41258</v>
      </c>
    </row>
    <row r="6987" spans="1:24">
      <c r="A6987">
        <f>HYPERLINK("https://www.philgeps.gov.ph/GEPSNONPILOT/Tender/SplashBidNoticeAbstractUI.aspx?menuIndex=3&amp;refID=7068686&amp;Result=3","7068686")</f>
        <v>0</v>
      </c>
      <c r="B6987" t="s">
        <v>986</v>
      </c>
      <c r="C6987" t="s">
        <v>10043</v>
      </c>
      <c r="D6987" t="s">
        <v>16620</v>
      </c>
      <c r="E6987" t="s">
        <v>22838</v>
      </c>
      <c r="F6987" t="s">
        <v>28669</v>
      </c>
      <c r="G6987" t="s">
        <v>28675</v>
      </c>
      <c r="H6987" t="s">
        <v>9998</v>
      </c>
      <c r="I6987" t="s">
        <v>7352</v>
      </c>
      <c r="J6987" t="s">
        <v>33219</v>
      </c>
      <c r="K6987" t="s">
        <v>37206</v>
      </c>
      <c r="M6987" t="s">
        <v>38900</v>
      </c>
      <c r="N6987" t="s">
        <v>41249</v>
      </c>
      <c r="O6987" t="s">
        <v>41250</v>
      </c>
      <c r="P6987">
        <v>0</v>
      </c>
      <c r="Q6987">
        <v>0</v>
      </c>
      <c r="R6987" t="s">
        <v>41257</v>
      </c>
      <c r="S6987" t="s">
        <v>41461</v>
      </c>
      <c r="T6987" t="s">
        <v>42703</v>
      </c>
      <c r="U6987" t="s">
        <v>45210</v>
      </c>
      <c r="V6987" t="s">
        <v>54542</v>
      </c>
      <c r="W6987" t="s">
        <v>38900</v>
      </c>
      <c r="X6987" t="s">
        <v>41258</v>
      </c>
    </row>
    <row r="6988" spans="1:24">
      <c r="A6988">
        <f>HYPERLINK("https://www.philgeps.gov.ph/GEPSNONPILOT/Tender/SplashBidNoticeAbstractUI.aspx?menuIndex=3&amp;refID=7068755&amp;Result=3","7068755")</f>
        <v>0</v>
      </c>
      <c r="B6988" t="s">
        <v>2258</v>
      </c>
      <c r="C6988" t="s">
        <v>4663</v>
      </c>
      <c r="D6988" t="s">
        <v>16675</v>
      </c>
      <c r="E6988" t="s">
        <v>22839</v>
      </c>
      <c r="F6988" t="s">
        <v>28669</v>
      </c>
      <c r="G6988" t="s">
        <v>28675</v>
      </c>
      <c r="H6988" t="s">
        <v>9998</v>
      </c>
      <c r="I6988" t="s">
        <v>6128</v>
      </c>
      <c r="J6988" t="s">
        <v>33220</v>
      </c>
      <c r="K6988" t="s">
        <v>37206</v>
      </c>
      <c r="M6988" t="s">
        <v>39913</v>
      </c>
      <c r="N6988" t="s">
        <v>41249</v>
      </c>
      <c r="O6988" t="s">
        <v>41250</v>
      </c>
      <c r="P6988">
        <v>0</v>
      </c>
      <c r="Q6988">
        <v>2</v>
      </c>
      <c r="R6988" t="s">
        <v>41257</v>
      </c>
      <c r="S6988" t="s">
        <v>41461</v>
      </c>
      <c r="T6988" t="s">
        <v>42761</v>
      </c>
      <c r="U6988" t="s">
        <v>48966</v>
      </c>
      <c r="W6988" t="s">
        <v>39913</v>
      </c>
      <c r="X6988" t="s">
        <v>41258</v>
      </c>
    </row>
    <row r="6989" spans="1:24">
      <c r="A6989">
        <f>HYPERLINK("https://www.philgeps.gov.ph/GEPSNONPILOT/Tender/SplashBidNoticeAbstractUI.aspx?menuIndex=3&amp;refID=7068711&amp;Result=3","7068711")</f>
        <v>0</v>
      </c>
      <c r="B6989" t="s">
        <v>986</v>
      </c>
      <c r="C6989" t="s">
        <v>10044</v>
      </c>
      <c r="D6989" t="s">
        <v>16620</v>
      </c>
      <c r="E6989" t="s">
        <v>22840</v>
      </c>
      <c r="F6989" t="s">
        <v>28669</v>
      </c>
      <c r="G6989" t="s">
        <v>28675</v>
      </c>
      <c r="H6989" t="s">
        <v>9998</v>
      </c>
      <c r="I6989" t="s">
        <v>28704</v>
      </c>
      <c r="J6989" t="s">
        <v>33221</v>
      </c>
      <c r="K6989" t="s">
        <v>37206</v>
      </c>
      <c r="M6989" t="s">
        <v>38900</v>
      </c>
      <c r="N6989" t="s">
        <v>41249</v>
      </c>
      <c r="O6989" t="s">
        <v>41250</v>
      </c>
      <c r="P6989">
        <v>0</v>
      </c>
      <c r="Q6989">
        <v>0</v>
      </c>
      <c r="R6989" t="s">
        <v>41257</v>
      </c>
      <c r="S6989" t="s">
        <v>41461</v>
      </c>
      <c r="T6989" t="s">
        <v>42703</v>
      </c>
      <c r="U6989" t="s">
        <v>45210</v>
      </c>
      <c r="V6989" t="s">
        <v>54542</v>
      </c>
      <c r="W6989" t="s">
        <v>38900</v>
      </c>
      <c r="X6989" t="s">
        <v>41258</v>
      </c>
    </row>
    <row r="6990" spans="1:24">
      <c r="A6990">
        <f>HYPERLINK("https://www.philgeps.gov.ph/GEPSNONPILOT/Tender/SplashBidNoticeAbstractUI.aspx?menuIndex=3&amp;refID=7068752&amp;Result=3","7068752")</f>
        <v>0</v>
      </c>
      <c r="B6990" t="s">
        <v>2046</v>
      </c>
      <c r="C6990" t="s">
        <v>10045</v>
      </c>
      <c r="D6990" t="s">
        <v>16643</v>
      </c>
      <c r="E6990" t="s">
        <v>22841</v>
      </c>
      <c r="F6990" t="s">
        <v>28669</v>
      </c>
      <c r="G6990" t="s">
        <v>28677</v>
      </c>
      <c r="H6990" t="s">
        <v>9998</v>
      </c>
      <c r="I6990" t="s">
        <v>28726</v>
      </c>
      <c r="J6990" t="s">
        <v>32835</v>
      </c>
      <c r="K6990" t="s">
        <v>37206</v>
      </c>
      <c r="M6990" t="s">
        <v>39686</v>
      </c>
      <c r="N6990" t="s">
        <v>41249</v>
      </c>
      <c r="O6990" t="s">
        <v>41250</v>
      </c>
      <c r="Q6990">
        <v>2</v>
      </c>
      <c r="R6990" t="s">
        <v>41257</v>
      </c>
      <c r="S6990" t="s">
        <v>41476</v>
      </c>
      <c r="T6990" t="s">
        <v>42883</v>
      </c>
      <c r="U6990" t="s">
        <v>48244</v>
      </c>
      <c r="W6990" t="s">
        <v>39686</v>
      </c>
      <c r="X6990" t="s">
        <v>41258</v>
      </c>
    </row>
    <row r="6991" spans="1:24">
      <c r="A6991">
        <f>HYPERLINK("https://www.philgeps.gov.ph/GEPSNONPILOT/Tender/SplashBidNoticeAbstractUI.aspx?menuIndex=3&amp;refID=7068749&amp;Result=3","7068749")</f>
        <v>0</v>
      </c>
      <c r="B6991" t="s">
        <v>743</v>
      </c>
      <c r="C6991" t="s">
        <v>10046</v>
      </c>
      <c r="D6991" t="s">
        <v>16629</v>
      </c>
      <c r="E6991" t="s">
        <v>22842</v>
      </c>
      <c r="F6991" t="s">
        <v>28669</v>
      </c>
      <c r="G6991" t="s">
        <v>28675</v>
      </c>
      <c r="H6991" t="s">
        <v>28686</v>
      </c>
      <c r="I6991" t="s">
        <v>28689</v>
      </c>
      <c r="J6991" t="s">
        <v>33222</v>
      </c>
      <c r="K6991" t="s">
        <v>37375</v>
      </c>
      <c r="M6991" t="s">
        <v>39318</v>
      </c>
      <c r="N6991" t="s">
        <v>41249</v>
      </c>
      <c r="O6991" t="s">
        <v>41250</v>
      </c>
      <c r="P6991">
        <v>0</v>
      </c>
      <c r="Q6991">
        <v>0</v>
      </c>
      <c r="R6991" t="s">
        <v>41257</v>
      </c>
      <c r="S6991" t="s">
        <v>41461</v>
      </c>
      <c r="T6991" t="s">
        <v>42881</v>
      </c>
      <c r="U6991" t="s">
        <v>48967</v>
      </c>
      <c r="V6991" t="s">
        <v>55072</v>
      </c>
      <c r="W6991" t="s">
        <v>39318</v>
      </c>
      <c r="X6991" t="s">
        <v>41258</v>
      </c>
    </row>
    <row r="6992" spans="1:24">
      <c r="A6992">
        <f>HYPERLINK("https://www.philgeps.gov.ph/GEPSNONPILOT/Tender/SplashBidNoticeAbstractUI.aspx?menuIndex=3&amp;refID=7068745&amp;Result=3","7068745")</f>
        <v>0</v>
      </c>
      <c r="B6992" t="s">
        <v>986</v>
      </c>
      <c r="C6992" t="s">
        <v>10047</v>
      </c>
      <c r="D6992" t="s">
        <v>16620</v>
      </c>
      <c r="E6992" t="s">
        <v>22843</v>
      </c>
      <c r="F6992" t="s">
        <v>28669</v>
      </c>
      <c r="G6992" t="s">
        <v>28675</v>
      </c>
      <c r="H6992" t="s">
        <v>9998</v>
      </c>
      <c r="I6992" t="s">
        <v>28704</v>
      </c>
      <c r="J6992" t="s">
        <v>33223</v>
      </c>
      <c r="K6992" t="s">
        <v>37206</v>
      </c>
      <c r="M6992" t="s">
        <v>38900</v>
      </c>
      <c r="N6992" t="s">
        <v>41249</v>
      </c>
      <c r="O6992" t="s">
        <v>41250</v>
      </c>
      <c r="P6992">
        <v>0</v>
      </c>
      <c r="Q6992">
        <v>0</v>
      </c>
      <c r="R6992" t="s">
        <v>41257</v>
      </c>
      <c r="S6992" t="s">
        <v>41461</v>
      </c>
      <c r="T6992" t="s">
        <v>42703</v>
      </c>
      <c r="U6992" t="s">
        <v>45210</v>
      </c>
      <c r="V6992" t="s">
        <v>54542</v>
      </c>
      <c r="W6992" t="s">
        <v>38900</v>
      </c>
      <c r="X6992" t="s">
        <v>41258</v>
      </c>
    </row>
    <row r="6993" spans="1:24">
      <c r="A6993">
        <f>HYPERLINK("https://www.philgeps.gov.ph/GEPSNONPILOT/Tender/SplashBidNoticeAbstractUI.aspx?menuIndex=3&amp;refID=7068670&amp;Result=3","7068670")</f>
        <v>0</v>
      </c>
      <c r="B6993" t="s">
        <v>2251</v>
      </c>
      <c r="C6993" t="s">
        <v>10048</v>
      </c>
      <c r="D6993" t="s">
        <v>16618</v>
      </c>
      <c r="E6993" t="s">
        <v>22844</v>
      </c>
      <c r="F6993" t="s">
        <v>28669</v>
      </c>
      <c r="G6993" t="s">
        <v>28675</v>
      </c>
      <c r="H6993" t="s">
        <v>9998</v>
      </c>
      <c r="I6993" t="s">
        <v>28738</v>
      </c>
      <c r="J6993" t="s">
        <v>29003</v>
      </c>
      <c r="K6993" t="s">
        <v>37206</v>
      </c>
      <c r="M6993" t="s">
        <v>39905</v>
      </c>
      <c r="N6993" t="s">
        <v>41249</v>
      </c>
      <c r="O6993" t="s">
        <v>41250</v>
      </c>
      <c r="P6993">
        <v>0</v>
      </c>
      <c r="Q6993">
        <v>2</v>
      </c>
      <c r="R6993" t="s">
        <v>41257</v>
      </c>
      <c r="S6993" t="s">
        <v>41461</v>
      </c>
      <c r="T6993" t="s">
        <v>43016</v>
      </c>
      <c r="U6993" t="s">
        <v>48909</v>
      </c>
      <c r="W6993" t="s">
        <v>39905</v>
      </c>
      <c r="X6993" t="s">
        <v>41258</v>
      </c>
    </row>
    <row r="6994" spans="1:24">
      <c r="A6994">
        <f>HYPERLINK("https://www.philgeps.gov.ph/GEPSNONPILOT/Tender/SplashBidNoticeAbstractUI.aspx?menuIndex=3&amp;refID=7068721&amp;Result=3","7068721")</f>
        <v>0</v>
      </c>
      <c r="B6994" t="s">
        <v>1947</v>
      </c>
      <c r="C6994" t="s">
        <v>10049</v>
      </c>
      <c r="D6994" t="s">
        <v>16626</v>
      </c>
      <c r="E6994" t="s">
        <v>22845</v>
      </c>
      <c r="F6994" t="s">
        <v>28669</v>
      </c>
      <c r="G6994" t="s">
        <v>28676</v>
      </c>
      <c r="H6994" t="s">
        <v>9998</v>
      </c>
      <c r="I6994" t="s">
        <v>28693</v>
      </c>
      <c r="J6994" t="s">
        <v>28879</v>
      </c>
      <c r="K6994" t="s">
        <v>37220</v>
      </c>
      <c r="M6994" t="s">
        <v>39577</v>
      </c>
      <c r="N6994" t="s">
        <v>41249</v>
      </c>
      <c r="O6994" t="s">
        <v>41250</v>
      </c>
      <c r="P6994">
        <v>0</v>
      </c>
      <c r="Q6994">
        <v>30</v>
      </c>
      <c r="R6994" t="s">
        <v>41257</v>
      </c>
      <c r="S6994" t="s">
        <v>41461</v>
      </c>
      <c r="T6994" t="s">
        <v>42676</v>
      </c>
      <c r="U6994" t="s">
        <v>48968</v>
      </c>
      <c r="W6994" t="s">
        <v>39577</v>
      </c>
      <c r="X6994" t="s">
        <v>41258</v>
      </c>
    </row>
    <row r="6995" spans="1:24">
      <c r="A6995">
        <f>HYPERLINK("https://www.philgeps.gov.ph/GEPSNONPILOT/Tender/SplashBidNoticeAbstractUI.aspx?menuIndex=3&amp;refID=7068736&amp;Result=3","7068736")</f>
        <v>0</v>
      </c>
      <c r="B6995" t="s">
        <v>658</v>
      </c>
      <c r="C6995" t="s">
        <v>10050</v>
      </c>
      <c r="D6995" t="s">
        <v>16622</v>
      </c>
      <c r="E6995" t="s">
        <v>22846</v>
      </c>
      <c r="F6995" t="s">
        <v>28669</v>
      </c>
      <c r="G6995" t="s">
        <v>28677</v>
      </c>
      <c r="H6995" t="s">
        <v>9998</v>
      </c>
      <c r="I6995" t="s">
        <v>28690</v>
      </c>
      <c r="J6995" t="s">
        <v>28894</v>
      </c>
      <c r="K6995" t="s">
        <v>37204</v>
      </c>
      <c r="M6995" t="s">
        <v>38159</v>
      </c>
      <c r="N6995" t="s">
        <v>41249</v>
      </c>
      <c r="O6995" t="s">
        <v>41250</v>
      </c>
      <c r="P6995">
        <v>0</v>
      </c>
      <c r="Q6995">
        <v>4</v>
      </c>
      <c r="R6995" t="s">
        <v>41257</v>
      </c>
      <c r="S6995" t="s">
        <v>41461</v>
      </c>
      <c r="T6995" t="s">
        <v>42701</v>
      </c>
      <c r="U6995" t="s">
        <v>48969</v>
      </c>
      <c r="V6995" t="s">
        <v>55073</v>
      </c>
      <c r="W6995" t="s">
        <v>38159</v>
      </c>
      <c r="X6995" t="s">
        <v>41258</v>
      </c>
    </row>
    <row r="6996" spans="1:24">
      <c r="A6996">
        <f>HYPERLINK("https://www.philgeps.gov.ph/GEPSNONPILOT/Tender/SplashBidNoticeAbstractUI.aspx?menuIndex=3&amp;refID=7068611&amp;Result=3","7068611")</f>
        <v>0</v>
      </c>
      <c r="B6996" t="s">
        <v>694</v>
      </c>
      <c r="C6996" t="s">
        <v>10051</v>
      </c>
      <c r="D6996" t="s">
        <v>16686</v>
      </c>
      <c r="E6996" t="s">
        <v>22847</v>
      </c>
      <c r="F6996" t="s">
        <v>28669</v>
      </c>
      <c r="G6996" t="s">
        <v>28675</v>
      </c>
      <c r="H6996" t="s">
        <v>9998</v>
      </c>
      <c r="I6996" t="s">
        <v>28695</v>
      </c>
      <c r="J6996" t="s">
        <v>33224</v>
      </c>
      <c r="K6996" t="s">
        <v>37210</v>
      </c>
      <c r="M6996" t="s">
        <v>38199</v>
      </c>
      <c r="N6996" t="s">
        <v>41249</v>
      </c>
      <c r="O6996" t="s">
        <v>41250</v>
      </c>
      <c r="P6996">
        <v>0</v>
      </c>
      <c r="Q6996">
        <v>0</v>
      </c>
      <c r="R6996" t="s">
        <v>41257</v>
      </c>
      <c r="S6996" t="s">
        <v>41461</v>
      </c>
      <c r="T6996" t="s">
        <v>42701</v>
      </c>
      <c r="U6996" t="s">
        <v>48970</v>
      </c>
      <c r="V6996" t="s">
        <v>54428</v>
      </c>
      <c r="W6996" t="s">
        <v>38199</v>
      </c>
      <c r="X6996" t="s">
        <v>41258</v>
      </c>
    </row>
    <row r="6997" spans="1:24">
      <c r="A6997">
        <f>HYPERLINK("https://www.philgeps.gov.ph/GEPSNONPILOT/Tender/SplashBidNoticeAbstractUI.aspx?menuIndex=3&amp;refID=7068733&amp;Result=3","7068733")</f>
        <v>0</v>
      </c>
      <c r="B6997" t="s">
        <v>2265</v>
      </c>
      <c r="C6997" t="s">
        <v>10052</v>
      </c>
      <c r="D6997" t="s">
        <v>16684</v>
      </c>
      <c r="E6997" t="s">
        <v>10052</v>
      </c>
      <c r="F6997" t="s">
        <v>28669</v>
      </c>
      <c r="G6997" t="s">
        <v>28675</v>
      </c>
      <c r="H6997" t="s">
        <v>9998</v>
      </c>
      <c r="I6997" t="s">
        <v>6458</v>
      </c>
      <c r="J6997" t="s">
        <v>33225</v>
      </c>
      <c r="K6997" t="s">
        <v>37209</v>
      </c>
      <c r="M6997" t="s">
        <v>39920</v>
      </c>
      <c r="N6997" t="s">
        <v>41249</v>
      </c>
      <c r="O6997" t="s">
        <v>41250</v>
      </c>
      <c r="P6997">
        <v>0</v>
      </c>
      <c r="Q6997">
        <v>7</v>
      </c>
      <c r="R6997" t="s">
        <v>41257</v>
      </c>
      <c r="S6997" t="s">
        <v>41461</v>
      </c>
      <c r="T6997" t="s">
        <v>42672</v>
      </c>
      <c r="U6997" t="s">
        <v>48971</v>
      </c>
      <c r="W6997" t="s">
        <v>39920</v>
      </c>
      <c r="X6997" t="s">
        <v>41258</v>
      </c>
    </row>
    <row r="6998" spans="1:24">
      <c r="A6998">
        <f>HYPERLINK("https://www.philgeps.gov.ph/GEPSNONPILOT/Tender/SplashBidNoticeAbstractUI.aspx?menuIndex=3&amp;refID=7068732&amp;Result=3","7068732")</f>
        <v>0</v>
      </c>
      <c r="B6998" t="s">
        <v>2266</v>
      </c>
      <c r="C6998" t="s">
        <v>10053</v>
      </c>
      <c r="D6998" t="s">
        <v>16612</v>
      </c>
      <c r="E6998" t="s">
        <v>22848</v>
      </c>
      <c r="F6998" t="s">
        <v>28669</v>
      </c>
      <c r="G6998" t="s">
        <v>28675</v>
      </c>
      <c r="H6998" t="s">
        <v>9998</v>
      </c>
      <c r="I6998" t="s">
        <v>7352</v>
      </c>
      <c r="J6998" t="s">
        <v>28826</v>
      </c>
      <c r="K6998" t="s">
        <v>37206</v>
      </c>
      <c r="M6998" t="s">
        <v>39921</v>
      </c>
      <c r="N6998" t="s">
        <v>41249</v>
      </c>
      <c r="O6998" t="s">
        <v>41250</v>
      </c>
      <c r="P6998">
        <v>0</v>
      </c>
      <c r="Q6998">
        <v>0</v>
      </c>
      <c r="R6998" t="s">
        <v>41257</v>
      </c>
      <c r="S6998" t="s">
        <v>41461</v>
      </c>
      <c r="T6998" t="s">
        <v>42660</v>
      </c>
      <c r="U6998" t="s">
        <v>48972</v>
      </c>
      <c r="V6998" t="s">
        <v>55074</v>
      </c>
      <c r="W6998" t="s">
        <v>39921</v>
      </c>
      <c r="X6998" t="s">
        <v>41258</v>
      </c>
    </row>
    <row r="6999" spans="1:24">
      <c r="A6999">
        <f>HYPERLINK("https://www.philgeps.gov.ph/GEPSNONPILOT/Tender/SplashBidNoticeAbstractUI.aspx?menuIndex=3&amp;refID=7068731&amp;Result=3","7068731")</f>
        <v>0</v>
      </c>
      <c r="B6999" t="s">
        <v>2267</v>
      </c>
      <c r="C6999" t="s">
        <v>10054</v>
      </c>
      <c r="D6999" t="s">
        <v>16616</v>
      </c>
      <c r="E6999" t="s">
        <v>22849</v>
      </c>
      <c r="F6999" t="s">
        <v>28669</v>
      </c>
      <c r="G6999" t="s">
        <v>28677</v>
      </c>
      <c r="H6999" t="s">
        <v>9998</v>
      </c>
      <c r="I6999" t="s">
        <v>11593</v>
      </c>
      <c r="J6999" t="s">
        <v>28905</v>
      </c>
      <c r="K6999" t="s">
        <v>37206</v>
      </c>
      <c r="M6999" t="s">
        <v>39922</v>
      </c>
      <c r="N6999" t="s">
        <v>41249</v>
      </c>
      <c r="O6999" t="s">
        <v>41250</v>
      </c>
      <c r="P6999">
        <v>0</v>
      </c>
      <c r="Q6999">
        <v>1</v>
      </c>
      <c r="R6999" t="s">
        <v>41257</v>
      </c>
      <c r="S6999" t="s">
        <v>41461</v>
      </c>
      <c r="T6999" t="s">
        <v>42671</v>
      </c>
      <c r="U6999" t="s">
        <v>48973</v>
      </c>
      <c r="V6999" t="s">
        <v>55075</v>
      </c>
      <c r="W6999" t="s">
        <v>39922</v>
      </c>
      <c r="X6999" t="s">
        <v>41258</v>
      </c>
    </row>
    <row r="7000" spans="1:24">
      <c r="A7000">
        <f>HYPERLINK("https://www.philgeps.gov.ph/GEPSNONPILOT/Tender/SplashBidNoticeAbstractUI.aspx?menuIndex=3&amp;refID=7068742&amp;Result=3","7068742")</f>
        <v>0</v>
      </c>
      <c r="B7000" t="s">
        <v>694</v>
      </c>
      <c r="C7000" t="s">
        <v>10055</v>
      </c>
      <c r="D7000" t="s">
        <v>16686</v>
      </c>
      <c r="E7000" t="s">
        <v>22850</v>
      </c>
      <c r="F7000" t="s">
        <v>28669</v>
      </c>
      <c r="G7000" t="s">
        <v>28675</v>
      </c>
      <c r="H7000" t="s">
        <v>9998</v>
      </c>
      <c r="I7000" t="s">
        <v>28695</v>
      </c>
      <c r="J7000" t="s">
        <v>33226</v>
      </c>
      <c r="K7000" t="s">
        <v>37210</v>
      </c>
      <c r="M7000" t="s">
        <v>38199</v>
      </c>
      <c r="N7000" t="s">
        <v>41249</v>
      </c>
      <c r="O7000" t="s">
        <v>41250</v>
      </c>
      <c r="P7000">
        <v>0</v>
      </c>
      <c r="Q7000">
        <v>0</v>
      </c>
      <c r="R7000" t="s">
        <v>41257</v>
      </c>
      <c r="S7000" t="s">
        <v>41461</v>
      </c>
      <c r="T7000" t="s">
        <v>42701</v>
      </c>
      <c r="U7000" t="s">
        <v>48974</v>
      </c>
      <c r="V7000" t="s">
        <v>54428</v>
      </c>
      <c r="W7000" t="s">
        <v>38199</v>
      </c>
      <c r="X7000" t="s">
        <v>41258</v>
      </c>
    </row>
    <row r="7001" spans="1:24">
      <c r="A7001">
        <f>HYPERLINK("https://www.philgeps.gov.ph/GEPSNONPILOT/Tender/SplashBidNoticeAbstractUI.aspx?menuIndex=3&amp;refID=7068751&amp;Result=3","7068751")</f>
        <v>0</v>
      </c>
      <c r="B7001" t="s">
        <v>2200</v>
      </c>
      <c r="C7001" t="s">
        <v>10056</v>
      </c>
      <c r="D7001" t="s">
        <v>16646</v>
      </c>
      <c r="E7001" t="s">
        <v>22851</v>
      </c>
      <c r="F7001" t="s">
        <v>28669</v>
      </c>
      <c r="G7001" t="s">
        <v>28676</v>
      </c>
      <c r="H7001" t="s">
        <v>28685</v>
      </c>
      <c r="I7001" t="s">
        <v>28685</v>
      </c>
      <c r="J7001" t="s">
        <v>33155</v>
      </c>
      <c r="K7001" t="s">
        <v>37316</v>
      </c>
      <c r="M7001" t="s">
        <v>39850</v>
      </c>
      <c r="N7001" t="s">
        <v>41249</v>
      </c>
      <c r="O7001" t="s">
        <v>41250</v>
      </c>
      <c r="P7001">
        <v>0</v>
      </c>
      <c r="Q7001">
        <v>2</v>
      </c>
      <c r="R7001" t="s">
        <v>41257</v>
      </c>
      <c r="S7001" t="s">
        <v>41461</v>
      </c>
      <c r="T7001" t="s">
        <v>42727</v>
      </c>
      <c r="U7001" t="s">
        <v>48756</v>
      </c>
      <c r="V7001" t="s">
        <v>55042</v>
      </c>
      <c r="W7001" t="s">
        <v>39850</v>
      </c>
      <c r="X7001" t="s">
        <v>41258</v>
      </c>
    </row>
    <row r="7002" spans="1:24">
      <c r="A7002">
        <f>HYPERLINK("https://www.philgeps.gov.ph/GEPSNONPILOT/Tender/SplashBidNoticeAbstractUI.aspx?menuIndex=3&amp;refID=7068673&amp;Result=3","7068673")</f>
        <v>0</v>
      </c>
      <c r="B7002" t="s">
        <v>2200</v>
      </c>
      <c r="C7002" t="s">
        <v>10057</v>
      </c>
      <c r="D7002" t="s">
        <v>16646</v>
      </c>
      <c r="E7002" t="s">
        <v>22852</v>
      </c>
      <c r="F7002" t="s">
        <v>28669</v>
      </c>
      <c r="G7002" t="s">
        <v>28676</v>
      </c>
      <c r="H7002" t="s">
        <v>28685</v>
      </c>
      <c r="I7002" t="s">
        <v>28685</v>
      </c>
      <c r="J7002" t="s">
        <v>33155</v>
      </c>
      <c r="K7002" t="s">
        <v>37316</v>
      </c>
      <c r="M7002" t="s">
        <v>39850</v>
      </c>
      <c r="N7002" t="s">
        <v>41249</v>
      </c>
      <c r="O7002" t="s">
        <v>41250</v>
      </c>
      <c r="P7002">
        <v>0</v>
      </c>
      <c r="Q7002">
        <v>3</v>
      </c>
      <c r="R7002" t="s">
        <v>41257</v>
      </c>
      <c r="S7002" t="s">
        <v>41461</v>
      </c>
      <c r="T7002" t="s">
        <v>42727</v>
      </c>
      <c r="U7002" t="s">
        <v>48756</v>
      </c>
      <c r="V7002" t="s">
        <v>55042</v>
      </c>
      <c r="W7002" t="s">
        <v>39850</v>
      </c>
      <c r="X7002" t="s">
        <v>41258</v>
      </c>
    </row>
    <row r="7003" spans="1:24">
      <c r="A7003">
        <f>HYPERLINK("https://www.philgeps.gov.ph/GEPSNONPILOT/Tender/SplashBidNoticeAbstractUI.aspx?menuIndex=3&amp;refID=7068801&amp;Result=3","7068801")</f>
        <v>0</v>
      </c>
      <c r="B7003" t="s">
        <v>1671</v>
      </c>
      <c r="C7003" t="s">
        <v>10058</v>
      </c>
      <c r="D7003" t="s">
        <v>16611</v>
      </c>
      <c r="E7003" t="s">
        <v>22853</v>
      </c>
      <c r="F7003" t="s">
        <v>28669</v>
      </c>
      <c r="G7003" t="s">
        <v>28676</v>
      </c>
      <c r="H7003" t="s">
        <v>9998</v>
      </c>
      <c r="I7003" t="s">
        <v>6128</v>
      </c>
      <c r="J7003" t="s">
        <v>33227</v>
      </c>
      <c r="K7003" t="s">
        <v>37205</v>
      </c>
      <c r="M7003" t="s">
        <v>39263</v>
      </c>
      <c r="N7003" t="s">
        <v>41249</v>
      </c>
      <c r="O7003" t="s">
        <v>41250</v>
      </c>
      <c r="P7003">
        <v>0</v>
      </c>
      <c r="Q7003">
        <v>3</v>
      </c>
      <c r="R7003" t="s">
        <v>41257</v>
      </c>
      <c r="S7003" t="s">
        <v>41461</v>
      </c>
      <c r="T7003" t="s">
        <v>42687</v>
      </c>
      <c r="U7003" t="s">
        <v>48975</v>
      </c>
      <c r="V7003" t="s">
        <v>55076</v>
      </c>
      <c r="W7003" t="s">
        <v>39263</v>
      </c>
      <c r="X7003" t="s">
        <v>41258</v>
      </c>
    </row>
    <row r="7004" spans="1:24">
      <c r="A7004">
        <f>HYPERLINK("https://www.philgeps.gov.ph/GEPSNONPILOT/Tender/SplashBidNoticeAbstractUI.aspx?menuIndex=3&amp;refID=7068763&amp;Result=3","7068763")</f>
        <v>0</v>
      </c>
      <c r="B7004" t="s">
        <v>2268</v>
      </c>
      <c r="C7004" t="s">
        <v>10059</v>
      </c>
      <c r="D7004" t="s">
        <v>16658</v>
      </c>
      <c r="E7004" t="s">
        <v>21101</v>
      </c>
      <c r="F7004" t="s">
        <v>28669</v>
      </c>
      <c r="G7004" t="s">
        <v>28675</v>
      </c>
      <c r="H7004" t="s">
        <v>28686</v>
      </c>
      <c r="I7004" t="s">
        <v>28689</v>
      </c>
      <c r="J7004" t="s">
        <v>33228</v>
      </c>
      <c r="K7004" t="s">
        <v>37209</v>
      </c>
      <c r="M7004" t="s">
        <v>39923</v>
      </c>
      <c r="N7004" t="s">
        <v>41249</v>
      </c>
      <c r="O7004" t="s">
        <v>41250</v>
      </c>
      <c r="P7004">
        <v>0</v>
      </c>
      <c r="Q7004">
        <v>1</v>
      </c>
      <c r="R7004" t="s">
        <v>41257</v>
      </c>
      <c r="S7004" t="s">
        <v>41461</v>
      </c>
      <c r="T7004" t="s">
        <v>42711</v>
      </c>
      <c r="U7004" t="s">
        <v>48976</v>
      </c>
      <c r="V7004" t="s">
        <v>54252</v>
      </c>
      <c r="W7004" t="s">
        <v>39923</v>
      </c>
      <c r="X7004" t="s">
        <v>41258</v>
      </c>
    </row>
    <row r="7005" spans="1:24">
      <c r="A7005">
        <f>HYPERLINK("https://www.philgeps.gov.ph/GEPSNONPILOT/Tender/SplashBidNoticeAbstractUI.aspx?menuIndex=3&amp;refID=7068795&amp;Result=3","7068795")</f>
        <v>0</v>
      </c>
      <c r="B7005" t="s">
        <v>2266</v>
      </c>
      <c r="C7005" t="s">
        <v>10060</v>
      </c>
      <c r="D7005" t="s">
        <v>16612</v>
      </c>
      <c r="E7005" t="s">
        <v>22854</v>
      </c>
      <c r="F7005" t="s">
        <v>28669</v>
      </c>
      <c r="G7005" t="s">
        <v>28675</v>
      </c>
      <c r="H7005" t="s">
        <v>9998</v>
      </c>
      <c r="I7005" t="s">
        <v>7352</v>
      </c>
      <c r="J7005" t="s">
        <v>28826</v>
      </c>
      <c r="K7005" t="s">
        <v>37206</v>
      </c>
      <c r="M7005" t="s">
        <v>39921</v>
      </c>
      <c r="N7005" t="s">
        <v>41249</v>
      </c>
      <c r="O7005" t="s">
        <v>41250</v>
      </c>
      <c r="P7005">
        <v>0</v>
      </c>
      <c r="Q7005">
        <v>0</v>
      </c>
      <c r="R7005" t="s">
        <v>41257</v>
      </c>
      <c r="S7005" t="s">
        <v>41461</v>
      </c>
      <c r="T7005" t="s">
        <v>42660</v>
      </c>
      <c r="U7005" t="s">
        <v>48972</v>
      </c>
      <c r="V7005" t="s">
        <v>55077</v>
      </c>
      <c r="W7005" t="s">
        <v>39921</v>
      </c>
      <c r="X7005" t="s">
        <v>41258</v>
      </c>
    </row>
    <row r="7006" spans="1:24">
      <c r="A7006">
        <f>HYPERLINK("https://www.philgeps.gov.ph/GEPSNONPILOT/Tender/SplashBidNoticeAbstractUI.aspx?menuIndex=3&amp;refID=7068730&amp;Result=3","7068730")</f>
        <v>0</v>
      </c>
      <c r="B7006" t="s">
        <v>358</v>
      </c>
      <c r="C7006" t="s">
        <v>10061</v>
      </c>
      <c r="D7006" t="s">
        <v>16683</v>
      </c>
      <c r="E7006" t="s">
        <v>22855</v>
      </c>
      <c r="F7006" t="s">
        <v>28669</v>
      </c>
      <c r="G7006" t="s">
        <v>28676</v>
      </c>
      <c r="H7006" t="s">
        <v>28686</v>
      </c>
      <c r="I7006" t="s">
        <v>28689</v>
      </c>
      <c r="J7006" t="s">
        <v>29134</v>
      </c>
      <c r="K7006" t="s">
        <v>37340</v>
      </c>
      <c r="M7006" t="s">
        <v>37839</v>
      </c>
      <c r="N7006" t="s">
        <v>41249</v>
      </c>
      <c r="O7006" t="s">
        <v>41250</v>
      </c>
      <c r="P7006">
        <v>0</v>
      </c>
      <c r="Q7006">
        <v>1</v>
      </c>
      <c r="R7006" t="s">
        <v>41257</v>
      </c>
      <c r="S7006" t="s">
        <v>41461</v>
      </c>
      <c r="T7006" t="s">
        <v>42883</v>
      </c>
      <c r="U7006" t="s">
        <v>48977</v>
      </c>
      <c r="W7006" t="s">
        <v>37839</v>
      </c>
      <c r="X7006" t="s">
        <v>41258</v>
      </c>
    </row>
    <row r="7007" spans="1:24">
      <c r="A7007">
        <f>HYPERLINK("https://www.philgeps.gov.ph/GEPSNONPILOT/Tender/SplashBidNoticeAbstractUI.aspx?menuIndex=3&amp;refID=7068792&amp;Result=3","7068792")</f>
        <v>0</v>
      </c>
      <c r="B7007" t="s">
        <v>1401</v>
      </c>
      <c r="C7007" t="s">
        <v>10062</v>
      </c>
      <c r="D7007" t="s">
        <v>16671</v>
      </c>
      <c r="E7007" t="s">
        <v>22856</v>
      </c>
      <c r="F7007" t="s">
        <v>28669</v>
      </c>
      <c r="G7007" t="s">
        <v>28677</v>
      </c>
      <c r="H7007" t="s">
        <v>9998</v>
      </c>
      <c r="I7007" t="s">
        <v>6606</v>
      </c>
      <c r="J7007" t="s">
        <v>33229</v>
      </c>
      <c r="K7007" t="s">
        <v>37209</v>
      </c>
      <c r="M7007" t="s">
        <v>38964</v>
      </c>
      <c r="N7007" t="s">
        <v>41249</v>
      </c>
      <c r="O7007" t="s">
        <v>41250</v>
      </c>
      <c r="P7007">
        <v>0</v>
      </c>
      <c r="Q7007">
        <v>0</v>
      </c>
      <c r="R7007" t="s">
        <v>41257</v>
      </c>
      <c r="S7007" t="s">
        <v>41461</v>
      </c>
      <c r="T7007" t="s">
        <v>42736</v>
      </c>
      <c r="U7007" t="s">
        <v>48978</v>
      </c>
      <c r="W7007" t="s">
        <v>55952</v>
      </c>
      <c r="X7007" t="s">
        <v>41258</v>
      </c>
    </row>
    <row r="7008" spans="1:24">
      <c r="A7008">
        <f>HYPERLINK("https://www.philgeps.gov.ph/GEPSNONPILOT/Tender/SplashBidNoticeAbstractUI.aspx?menuIndex=3&amp;refID=7068790&amp;Result=3","7068790")</f>
        <v>0</v>
      </c>
      <c r="B7008" t="s">
        <v>358</v>
      </c>
      <c r="C7008" t="s">
        <v>10063</v>
      </c>
      <c r="D7008" t="s">
        <v>16683</v>
      </c>
      <c r="E7008" t="s">
        <v>22857</v>
      </c>
      <c r="F7008" t="s">
        <v>28669</v>
      </c>
      <c r="G7008" t="s">
        <v>28676</v>
      </c>
      <c r="H7008" t="s">
        <v>9998</v>
      </c>
      <c r="I7008" t="s">
        <v>28708</v>
      </c>
      <c r="J7008" t="s">
        <v>33230</v>
      </c>
      <c r="K7008" t="s">
        <v>37209</v>
      </c>
      <c r="M7008" t="s">
        <v>37839</v>
      </c>
      <c r="N7008" t="s">
        <v>41249</v>
      </c>
      <c r="O7008" t="s">
        <v>41250</v>
      </c>
      <c r="P7008">
        <v>0</v>
      </c>
      <c r="Q7008">
        <v>3</v>
      </c>
      <c r="R7008" t="s">
        <v>41257</v>
      </c>
      <c r="S7008" t="s">
        <v>41461</v>
      </c>
      <c r="T7008" t="s">
        <v>42883</v>
      </c>
      <c r="U7008" t="s">
        <v>48979</v>
      </c>
      <c r="W7008" t="s">
        <v>37839</v>
      </c>
      <c r="X7008" t="s">
        <v>41258</v>
      </c>
    </row>
    <row r="7009" spans="1:24">
      <c r="A7009">
        <f>HYPERLINK("https://www.philgeps.gov.ph/GEPSNONPILOT/Tender/SplashBidNoticeAbstractUI.aspx?menuIndex=3&amp;refID=7068739&amp;Result=3","7068739")</f>
        <v>0</v>
      </c>
      <c r="B7009" t="s">
        <v>2250</v>
      </c>
      <c r="C7009" t="s">
        <v>10064</v>
      </c>
      <c r="D7009" t="s">
        <v>16671</v>
      </c>
      <c r="E7009" t="s">
        <v>17140</v>
      </c>
      <c r="F7009" t="s">
        <v>28669</v>
      </c>
      <c r="G7009" t="s">
        <v>28675</v>
      </c>
      <c r="H7009" t="s">
        <v>9998</v>
      </c>
      <c r="I7009" t="s">
        <v>7352</v>
      </c>
      <c r="J7009" t="s">
        <v>33171</v>
      </c>
      <c r="K7009" t="s">
        <v>37204</v>
      </c>
      <c r="L7009" t="s">
        <v>2250</v>
      </c>
      <c r="M7009" t="s">
        <v>39904</v>
      </c>
      <c r="N7009" t="s">
        <v>41249</v>
      </c>
      <c r="O7009" t="s">
        <v>41250</v>
      </c>
      <c r="P7009">
        <v>0</v>
      </c>
      <c r="Q7009">
        <v>0</v>
      </c>
      <c r="R7009" t="s">
        <v>41257</v>
      </c>
      <c r="S7009" t="s">
        <v>41461</v>
      </c>
      <c r="T7009" t="s">
        <v>42673</v>
      </c>
      <c r="U7009" t="s">
        <v>48980</v>
      </c>
      <c r="V7009" t="s">
        <v>55078</v>
      </c>
      <c r="W7009" t="s">
        <v>39904</v>
      </c>
      <c r="X7009" t="s">
        <v>41258</v>
      </c>
    </row>
    <row r="7010" spans="1:24">
      <c r="A7010">
        <f>HYPERLINK("https://www.philgeps.gov.ph/GEPSNONPILOT/Tender/SplashBidNoticeAbstractUI.aspx?menuIndex=3&amp;refID=7068786&amp;Result=3","7068786")</f>
        <v>0</v>
      </c>
      <c r="B7010" t="s">
        <v>2269</v>
      </c>
      <c r="C7010" t="s">
        <v>10065</v>
      </c>
      <c r="E7010" t="s">
        <v>22858</v>
      </c>
      <c r="F7010" t="s">
        <v>28669</v>
      </c>
      <c r="G7010" t="s">
        <v>28675</v>
      </c>
      <c r="H7010" t="s">
        <v>28685</v>
      </c>
      <c r="I7010" t="s">
        <v>28685</v>
      </c>
      <c r="J7010" t="s">
        <v>33231</v>
      </c>
      <c r="K7010" t="s">
        <v>37215</v>
      </c>
      <c r="M7010" t="s">
        <v>39924</v>
      </c>
      <c r="N7010" t="s">
        <v>41249</v>
      </c>
      <c r="O7010" t="s">
        <v>41250</v>
      </c>
      <c r="P7010">
        <v>0</v>
      </c>
      <c r="Q7010">
        <v>4</v>
      </c>
      <c r="R7010" t="s">
        <v>41257</v>
      </c>
      <c r="S7010" t="s">
        <v>41461</v>
      </c>
      <c r="T7010" t="s">
        <v>42736</v>
      </c>
      <c r="U7010" t="s">
        <v>48981</v>
      </c>
      <c r="W7010" t="s">
        <v>39924</v>
      </c>
      <c r="X7010" t="s">
        <v>41258</v>
      </c>
    </row>
    <row r="7011" spans="1:24">
      <c r="A7011">
        <f>HYPERLINK("https://www.philgeps.gov.ph/GEPSNONPILOT/Tender/SplashBidNoticeAbstractUI.aspx?menuIndex=3&amp;refID=7068781&amp;Result=3","7068781")</f>
        <v>0</v>
      </c>
      <c r="B7011" t="s">
        <v>1401</v>
      </c>
      <c r="C7011" t="s">
        <v>10066</v>
      </c>
      <c r="D7011" t="s">
        <v>16671</v>
      </c>
      <c r="E7011" t="s">
        <v>22859</v>
      </c>
      <c r="F7011" t="s">
        <v>28669</v>
      </c>
      <c r="G7011" t="s">
        <v>28677</v>
      </c>
      <c r="H7011" t="s">
        <v>9998</v>
      </c>
      <c r="I7011" t="s">
        <v>6606</v>
      </c>
      <c r="J7011" t="s">
        <v>33232</v>
      </c>
      <c r="K7011" t="s">
        <v>37209</v>
      </c>
      <c r="M7011" t="s">
        <v>38964</v>
      </c>
      <c r="N7011" t="s">
        <v>41249</v>
      </c>
      <c r="O7011" t="s">
        <v>41250</v>
      </c>
      <c r="P7011">
        <v>0</v>
      </c>
      <c r="Q7011">
        <v>0</v>
      </c>
      <c r="R7011" t="s">
        <v>41257</v>
      </c>
      <c r="S7011" t="s">
        <v>41461</v>
      </c>
      <c r="T7011" t="s">
        <v>42736</v>
      </c>
      <c r="U7011" t="s">
        <v>48982</v>
      </c>
      <c r="W7011" t="s">
        <v>55952</v>
      </c>
      <c r="X7011" t="s">
        <v>41258</v>
      </c>
    </row>
    <row r="7012" spans="1:24">
      <c r="A7012">
        <f>HYPERLINK("https://www.philgeps.gov.ph/GEPSNONPILOT/Tender/SplashBidNoticeAbstractUI.aspx?menuIndex=3&amp;refID=7068776&amp;Result=3","7068776")</f>
        <v>0</v>
      </c>
      <c r="B7012" t="s">
        <v>2255</v>
      </c>
      <c r="C7012" t="s">
        <v>9998</v>
      </c>
      <c r="D7012" t="s">
        <v>16631</v>
      </c>
      <c r="E7012" t="s">
        <v>17149</v>
      </c>
      <c r="F7012" t="s">
        <v>28669</v>
      </c>
      <c r="G7012" t="s">
        <v>28675</v>
      </c>
      <c r="H7012" t="s">
        <v>9998</v>
      </c>
      <c r="I7012" t="s">
        <v>15140</v>
      </c>
      <c r="J7012" t="s">
        <v>33233</v>
      </c>
      <c r="K7012" t="s">
        <v>37243</v>
      </c>
      <c r="M7012" t="s">
        <v>39910</v>
      </c>
      <c r="N7012" t="s">
        <v>41249</v>
      </c>
      <c r="O7012" t="s">
        <v>41250</v>
      </c>
      <c r="P7012">
        <v>0</v>
      </c>
      <c r="Q7012">
        <v>0</v>
      </c>
      <c r="R7012" t="s">
        <v>41257</v>
      </c>
      <c r="S7012" t="s">
        <v>41461</v>
      </c>
      <c r="T7012" t="s">
        <v>42729</v>
      </c>
      <c r="U7012" t="s">
        <v>48983</v>
      </c>
      <c r="W7012" t="s">
        <v>39910</v>
      </c>
      <c r="X7012" t="s">
        <v>41258</v>
      </c>
    </row>
    <row r="7013" spans="1:24">
      <c r="A7013">
        <f>HYPERLINK("https://www.philgeps.gov.ph/GEPSNONPILOT/Tender/SplashBidNoticeAbstractUI.aspx?menuIndex=3&amp;refID=7068774&amp;Result=3","7068774")</f>
        <v>0</v>
      </c>
      <c r="B7013" t="s">
        <v>743</v>
      </c>
      <c r="C7013" t="s">
        <v>10067</v>
      </c>
      <c r="D7013" t="s">
        <v>16629</v>
      </c>
      <c r="E7013" t="s">
        <v>22860</v>
      </c>
      <c r="F7013" t="s">
        <v>28669</v>
      </c>
      <c r="G7013" t="s">
        <v>28675</v>
      </c>
      <c r="H7013" t="s">
        <v>28686</v>
      </c>
      <c r="I7013" t="s">
        <v>28689</v>
      </c>
      <c r="J7013" t="s">
        <v>28836</v>
      </c>
      <c r="K7013" t="s">
        <v>37230</v>
      </c>
      <c r="M7013" t="s">
        <v>39318</v>
      </c>
      <c r="N7013" t="s">
        <v>41249</v>
      </c>
      <c r="O7013" t="s">
        <v>41250</v>
      </c>
      <c r="P7013">
        <v>0</v>
      </c>
      <c r="Q7013">
        <v>0</v>
      </c>
      <c r="R7013" t="s">
        <v>41257</v>
      </c>
      <c r="S7013" t="s">
        <v>41461</v>
      </c>
      <c r="T7013" t="s">
        <v>42881</v>
      </c>
      <c r="U7013" t="s">
        <v>48984</v>
      </c>
      <c r="V7013" t="s">
        <v>55079</v>
      </c>
      <c r="W7013" t="s">
        <v>39318</v>
      </c>
      <c r="X7013" t="s">
        <v>41258</v>
      </c>
    </row>
    <row r="7014" spans="1:24">
      <c r="A7014">
        <f>HYPERLINK("https://www.philgeps.gov.ph/GEPSNONPILOT/Tender/SplashBidNoticeAbstractUI.aspx?menuIndex=3&amp;refID=7068773&amp;Result=3","7068773")</f>
        <v>0</v>
      </c>
      <c r="B7014" t="s">
        <v>2263</v>
      </c>
      <c r="C7014" t="s">
        <v>10068</v>
      </c>
      <c r="D7014" t="s">
        <v>16663</v>
      </c>
      <c r="E7014" t="s">
        <v>22861</v>
      </c>
      <c r="F7014" t="s">
        <v>28669</v>
      </c>
      <c r="G7014" t="s">
        <v>28676</v>
      </c>
      <c r="H7014" t="s">
        <v>9998</v>
      </c>
      <c r="I7014" t="s">
        <v>5213</v>
      </c>
      <c r="J7014" t="s">
        <v>29204</v>
      </c>
      <c r="K7014" t="s">
        <v>37206</v>
      </c>
      <c r="M7014" t="s">
        <v>39918</v>
      </c>
      <c r="N7014" t="s">
        <v>41249</v>
      </c>
      <c r="O7014" t="s">
        <v>41250</v>
      </c>
      <c r="P7014">
        <v>0</v>
      </c>
      <c r="Q7014">
        <v>0</v>
      </c>
      <c r="R7014" t="s">
        <v>41257</v>
      </c>
      <c r="S7014" t="s">
        <v>41461</v>
      </c>
      <c r="T7014" t="s">
        <v>42767</v>
      </c>
      <c r="U7014" t="s">
        <v>48985</v>
      </c>
      <c r="W7014" t="s">
        <v>39918</v>
      </c>
      <c r="X7014" t="s">
        <v>41258</v>
      </c>
    </row>
    <row r="7015" spans="1:24">
      <c r="A7015">
        <f>HYPERLINK("https://www.philgeps.gov.ph/GEPSNONPILOT/Tender/SplashBidNoticeAbstractUI.aspx?menuIndex=3&amp;refID=7068772&amp;Result=3","7068772")</f>
        <v>0</v>
      </c>
      <c r="B7015" t="s">
        <v>2262</v>
      </c>
      <c r="C7015" t="s">
        <v>10069</v>
      </c>
      <c r="D7015" t="s">
        <v>16666</v>
      </c>
      <c r="E7015" t="s">
        <v>16967</v>
      </c>
      <c r="F7015" t="s">
        <v>28669</v>
      </c>
      <c r="G7015" t="s">
        <v>28676</v>
      </c>
      <c r="H7015" t="s">
        <v>28686</v>
      </c>
      <c r="I7015" t="s">
        <v>28702</v>
      </c>
      <c r="J7015" t="s">
        <v>29110</v>
      </c>
      <c r="K7015" t="s">
        <v>37243</v>
      </c>
      <c r="M7015" t="s">
        <v>39917</v>
      </c>
      <c r="N7015" t="s">
        <v>41249</v>
      </c>
      <c r="O7015" t="s">
        <v>41250</v>
      </c>
      <c r="P7015">
        <v>0</v>
      </c>
      <c r="Q7015">
        <v>0</v>
      </c>
      <c r="R7015" t="s">
        <v>41257</v>
      </c>
      <c r="S7015" t="s">
        <v>41461</v>
      </c>
      <c r="T7015" t="s">
        <v>42897</v>
      </c>
      <c r="U7015" t="s">
        <v>48986</v>
      </c>
      <c r="W7015" t="s">
        <v>39917</v>
      </c>
      <c r="X7015" t="s">
        <v>41258</v>
      </c>
    </row>
    <row r="7016" spans="1:24">
      <c r="A7016">
        <f>HYPERLINK("https://www.philgeps.gov.ph/GEPSNONPILOT/Tender/SplashBidNoticeAbstractUI.aspx?menuIndex=3&amp;refID=7068771&amp;Result=3","7068771")</f>
        <v>0</v>
      </c>
      <c r="B7016" t="s">
        <v>2269</v>
      </c>
      <c r="C7016" t="s">
        <v>10070</v>
      </c>
      <c r="E7016" t="s">
        <v>22862</v>
      </c>
      <c r="F7016" t="s">
        <v>28669</v>
      </c>
      <c r="G7016" t="s">
        <v>28675</v>
      </c>
      <c r="H7016" t="s">
        <v>28685</v>
      </c>
      <c r="I7016" t="s">
        <v>28685</v>
      </c>
      <c r="J7016" t="s">
        <v>33234</v>
      </c>
      <c r="K7016" t="s">
        <v>37215</v>
      </c>
      <c r="M7016" t="s">
        <v>39924</v>
      </c>
      <c r="N7016" t="s">
        <v>41249</v>
      </c>
      <c r="O7016" t="s">
        <v>41250</v>
      </c>
      <c r="P7016">
        <v>0</v>
      </c>
      <c r="Q7016">
        <v>4</v>
      </c>
      <c r="R7016" t="s">
        <v>41257</v>
      </c>
      <c r="S7016" t="s">
        <v>41461</v>
      </c>
      <c r="T7016" t="s">
        <v>42736</v>
      </c>
      <c r="U7016" t="s">
        <v>48987</v>
      </c>
      <c r="W7016" t="s">
        <v>39924</v>
      </c>
      <c r="X7016" t="s">
        <v>41258</v>
      </c>
    </row>
    <row r="7017" spans="1:24">
      <c r="A7017">
        <f>HYPERLINK("https://www.philgeps.gov.ph/GEPSNONPILOT/Tender/SplashBidNoticeAbstractUI.aspx?menuIndex=3&amp;refID=7068761&amp;Result=3","7068761")</f>
        <v>0</v>
      </c>
      <c r="B7017" t="s">
        <v>2219</v>
      </c>
      <c r="C7017" t="s">
        <v>10071</v>
      </c>
      <c r="D7017" t="s">
        <v>16658</v>
      </c>
      <c r="E7017" t="s">
        <v>22822</v>
      </c>
      <c r="F7017" t="s">
        <v>28669</v>
      </c>
      <c r="G7017" t="s">
        <v>28675</v>
      </c>
      <c r="H7017" t="s">
        <v>28686</v>
      </c>
      <c r="I7017" t="s">
        <v>28689</v>
      </c>
      <c r="J7017" t="s">
        <v>33235</v>
      </c>
      <c r="K7017" t="s">
        <v>37211</v>
      </c>
      <c r="M7017" t="s">
        <v>39871</v>
      </c>
      <c r="N7017" t="s">
        <v>41249</v>
      </c>
      <c r="O7017" t="s">
        <v>41250</v>
      </c>
      <c r="P7017">
        <v>0</v>
      </c>
      <c r="Q7017">
        <v>0</v>
      </c>
      <c r="R7017" t="s">
        <v>41257</v>
      </c>
      <c r="S7017" t="s">
        <v>41461</v>
      </c>
      <c r="T7017" t="s">
        <v>42786</v>
      </c>
      <c r="U7017" t="s">
        <v>48988</v>
      </c>
      <c r="W7017" t="s">
        <v>39871</v>
      </c>
      <c r="X7017" t="s">
        <v>41258</v>
      </c>
    </row>
    <row r="7018" spans="1:24">
      <c r="A7018">
        <f>HYPERLINK("https://www.philgeps.gov.ph/GEPSNONPILOT/Tender/SplashBidNoticeAbstractUI.aspx?menuIndex=3&amp;refID=7068785&amp;Result=3","7068785")</f>
        <v>0</v>
      </c>
      <c r="B7018" t="s">
        <v>2270</v>
      </c>
      <c r="C7018" t="s">
        <v>10072</v>
      </c>
      <c r="D7018" t="s">
        <v>16675</v>
      </c>
      <c r="E7018" t="s">
        <v>22863</v>
      </c>
      <c r="F7018" t="s">
        <v>28669</v>
      </c>
      <c r="G7018" t="s">
        <v>28676</v>
      </c>
      <c r="H7018" t="s">
        <v>9998</v>
      </c>
      <c r="I7018" t="s">
        <v>28695</v>
      </c>
      <c r="J7018" t="s">
        <v>33236</v>
      </c>
      <c r="K7018" t="s">
        <v>37209</v>
      </c>
      <c r="M7018" t="s">
        <v>39925</v>
      </c>
      <c r="N7018" t="s">
        <v>41249</v>
      </c>
      <c r="O7018" t="s">
        <v>41250</v>
      </c>
      <c r="P7018">
        <v>0</v>
      </c>
      <c r="Q7018">
        <v>0</v>
      </c>
      <c r="R7018" t="s">
        <v>41257</v>
      </c>
      <c r="S7018" t="s">
        <v>41461</v>
      </c>
      <c r="T7018" t="s">
        <v>43042</v>
      </c>
      <c r="U7018" t="s">
        <v>48989</v>
      </c>
      <c r="W7018" t="s">
        <v>55985</v>
      </c>
      <c r="X7018" t="s">
        <v>41258</v>
      </c>
    </row>
    <row r="7019" spans="1:24">
      <c r="A7019">
        <f>HYPERLINK("https://www.philgeps.gov.ph/GEPSNONPILOT/Tender/SplashBidNoticeAbstractUI.aspx?menuIndex=3&amp;refID=7068760&amp;Result=3","7068760")</f>
        <v>0</v>
      </c>
      <c r="B7019" t="s">
        <v>986</v>
      </c>
      <c r="C7019" t="s">
        <v>10073</v>
      </c>
      <c r="D7019" t="s">
        <v>16620</v>
      </c>
      <c r="E7019" t="s">
        <v>22864</v>
      </c>
      <c r="F7019" t="s">
        <v>28669</v>
      </c>
      <c r="G7019" t="s">
        <v>28675</v>
      </c>
      <c r="H7019" t="s">
        <v>9998</v>
      </c>
      <c r="I7019" t="s">
        <v>28704</v>
      </c>
      <c r="J7019" t="s">
        <v>33237</v>
      </c>
      <c r="K7019" t="s">
        <v>37206</v>
      </c>
      <c r="M7019" t="s">
        <v>38900</v>
      </c>
      <c r="N7019" t="s">
        <v>41249</v>
      </c>
      <c r="O7019" t="s">
        <v>41250</v>
      </c>
      <c r="P7019">
        <v>0</v>
      </c>
      <c r="Q7019">
        <v>0</v>
      </c>
      <c r="R7019" t="s">
        <v>41257</v>
      </c>
      <c r="S7019" t="s">
        <v>41461</v>
      </c>
      <c r="T7019" t="s">
        <v>42703</v>
      </c>
      <c r="U7019" t="s">
        <v>45210</v>
      </c>
      <c r="V7019" t="s">
        <v>54542</v>
      </c>
      <c r="W7019" t="s">
        <v>38900</v>
      </c>
      <c r="X7019" t="s">
        <v>41258</v>
      </c>
    </row>
    <row r="7020" spans="1:24">
      <c r="A7020">
        <f>HYPERLINK("https://www.philgeps.gov.ph/GEPSNONPILOT/Tender/SplashBidNoticeAbstractUI.aspx?menuIndex=3&amp;refID=7068729&amp;Result=3","7068729")</f>
        <v>0</v>
      </c>
      <c r="B7020" t="s">
        <v>986</v>
      </c>
      <c r="C7020" t="s">
        <v>10074</v>
      </c>
      <c r="D7020" t="s">
        <v>16620</v>
      </c>
      <c r="E7020" t="s">
        <v>22865</v>
      </c>
      <c r="F7020" t="s">
        <v>28669</v>
      </c>
      <c r="G7020" t="s">
        <v>28675</v>
      </c>
      <c r="H7020" t="s">
        <v>9998</v>
      </c>
      <c r="I7020" t="s">
        <v>28704</v>
      </c>
      <c r="J7020" t="s">
        <v>33238</v>
      </c>
      <c r="K7020" t="s">
        <v>37206</v>
      </c>
      <c r="M7020" t="s">
        <v>38900</v>
      </c>
      <c r="N7020" t="s">
        <v>41249</v>
      </c>
      <c r="O7020" t="s">
        <v>41250</v>
      </c>
      <c r="P7020">
        <v>0</v>
      </c>
      <c r="Q7020">
        <v>0</v>
      </c>
      <c r="R7020" t="s">
        <v>41257</v>
      </c>
      <c r="S7020" t="s">
        <v>41461</v>
      </c>
      <c r="T7020" t="s">
        <v>42703</v>
      </c>
      <c r="U7020" t="s">
        <v>45210</v>
      </c>
      <c r="V7020" t="s">
        <v>54542</v>
      </c>
      <c r="W7020" t="s">
        <v>38900</v>
      </c>
      <c r="X7020" t="s">
        <v>41258</v>
      </c>
    </row>
    <row r="7021" spans="1:24">
      <c r="A7021">
        <f>HYPERLINK("https://www.philgeps.gov.ph/GEPSNONPILOT/Tender/SplashBidNoticeAbstractUI.aspx?menuIndex=3&amp;refID=7068787&amp;Result=3","7068787")</f>
        <v>0</v>
      </c>
      <c r="B7021" t="s">
        <v>2247</v>
      </c>
      <c r="C7021" t="s">
        <v>10075</v>
      </c>
      <c r="D7021" t="s">
        <v>16622</v>
      </c>
      <c r="E7021" t="s">
        <v>22866</v>
      </c>
      <c r="F7021" t="s">
        <v>28671</v>
      </c>
      <c r="G7021" t="s">
        <v>28676</v>
      </c>
      <c r="H7021" t="s">
        <v>9998</v>
      </c>
      <c r="I7021" t="s">
        <v>7352</v>
      </c>
      <c r="J7021" t="s">
        <v>29523</v>
      </c>
      <c r="K7021" t="s">
        <v>37243</v>
      </c>
      <c r="M7021" t="s">
        <v>39901</v>
      </c>
      <c r="N7021" t="s">
        <v>41249</v>
      </c>
      <c r="O7021" t="s">
        <v>41250</v>
      </c>
      <c r="P7021">
        <v>0</v>
      </c>
      <c r="Q7021">
        <v>0</v>
      </c>
      <c r="R7021" t="s">
        <v>41257</v>
      </c>
      <c r="S7021" t="s">
        <v>41461</v>
      </c>
      <c r="T7021" t="s">
        <v>42758</v>
      </c>
      <c r="U7021" t="s">
        <v>48990</v>
      </c>
      <c r="W7021" t="s">
        <v>39901</v>
      </c>
      <c r="X7021" t="s">
        <v>41258</v>
      </c>
    </row>
    <row r="7022" spans="1:24">
      <c r="A7022">
        <f>HYPERLINK("https://www.philgeps.gov.ph/GEPSNONPILOT/Tender/SplashBidNoticeAbstractUI.aspx?menuIndex=3&amp;refID=7068813&amp;Result=3","7068813")</f>
        <v>0</v>
      </c>
      <c r="B7022" t="s">
        <v>2271</v>
      </c>
      <c r="C7022" t="s">
        <v>10076</v>
      </c>
      <c r="D7022" t="s">
        <v>16683</v>
      </c>
      <c r="E7022" t="s">
        <v>22867</v>
      </c>
      <c r="F7022" t="s">
        <v>28669</v>
      </c>
      <c r="G7022" t="s">
        <v>28675</v>
      </c>
      <c r="H7022" t="s">
        <v>28686</v>
      </c>
      <c r="I7022" t="s">
        <v>28689</v>
      </c>
      <c r="J7022" t="s">
        <v>29035</v>
      </c>
      <c r="K7022" t="s">
        <v>37281</v>
      </c>
      <c r="M7022" t="s">
        <v>39926</v>
      </c>
      <c r="N7022" t="s">
        <v>41249</v>
      </c>
      <c r="O7022" t="s">
        <v>41250</v>
      </c>
      <c r="P7022">
        <v>0</v>
      </c>
      <c r="Q7022">
        <v>0</v>
      </c>
      <c r="R7022" t="s">
        <v>41257</v>
      </c>
      <c r="S7022" t="s">
        <v>41461</v>
      </c>
      <c r="T7022" t="s">
        <v>42678</v>
      </c>
      <c r="U7022" t="s">
        <v>48991</v>
      </c>
      <c r="W7022" t="s">
        <v>39926</v>
      </c>
      <c r="X7022" t="s">
        <v>41258</v>
      </c>
    </row>
    <row r="7023" spans="1:24">
      <c r="A7023">
        <f>HYPERLINK("https://www.philgeps.gov.ph/GEPSNONPILOT/Tender/SplashBidNoticeAbstractUI.aspx?menuIndex=3&amp;refID=7068764&amp;Result=3","7068764")</f>
        <v>0</v>
      </c>
      <c r="B7023" t="s">
        <v>2247</v>
      </c>
      <c r="C7023" t="s">
        <v>10077</v>
      </c>
      <c r="D7023" t="s">
        <v>16622</v>
      </c>
      <c r="E7023" t="s">
        <v>22868</v>
      </c>
      <c r="F7023" t="s">
        <v>28671</v>
      </c>
      <c r="G7023" t="s">
        <v>28676</v>
      </c>
      <c r="H7023" t="s">
        <v>9998</v>
      </c>
      <c r="I7023" t="s">
        <v>28744</v>
      </c>
      <c r="J7023" t="s">
        <v>33239</v>
      </c>
      <c r="K7023" t="s">
        <v>37243</v>
      </c>
      <c r="M7023" t="s">
        <v>39901</v>
      </c>
      <c r="N7023" t="s">
        <v>41249</v>
      </c>
      <c r="O7023" t="s">
        <v>41250</v>
      </c>
      <c r="P7023">
        <v>0</v>
      </c>
      <c r="Q7023">
        <v>0</v>
      </c>
      <c r="R7023" t="s">
        <v>41257</v>
      </c>
      <c r="S7023" t="s">
        <v>41461</v>
      </c>
      <c r="T7023" t="s">
        <v>42758</v>
      </c>
      <c r="U7023" t="s">
        <v>48992</v>
      </c>
      <c r="W7023" t="s">
        <v>39901</v>
      </c>
      <c r="X7023" t="s">
        <v>41258</v>
      </c>
    </row>
    <row r="7024" spans="1:24">
      <c r="A7024">
        <f>HYPERLINK("https://www.philgeps.gov.ph/GEPSNONPILOT/Tender/SplashBidNoticeAbstractUI.aspx?menuIndex=3&amp;refID=7068867&amp;Result=3","7068867")</f>
        <v>0</v>
      </c>
      <c r="B7024" t="s">
        <v>2272</v>
      </c>
      <c r="C7024" t="s">
        <v>10078</v>
      </c>
      <c r="D7024" t="s">
        <v>16660</v>
      </c>
      <c r="E7024" t="s">
        <v>22869</v>
      </c>
      <c r="F7024" t="s">
        <v>28669</v>
      </c>
      <c r="G7024" t="s">
        <v>28675</v>
      </c>
      <c r="H7024" t="s">
        <v>9998</v>
      </c>
      <c r="I7024" t="s">
        <v>5286</v>
      </c>
      <c r="J7024" t="s">
        <v>33240</v>
      </c>
      <c r="K7024" t="s">
        <v>37210</v>
      </c>
      <c r="L7024" t="s">
        <v>2272</v>
      </c>
      <c r="M7024" t="s">
        <v>39927</v>
      </c>
      <c r="N7024" t="s">
        <v>41249</v>
      </c>
      <c r="O7024" t="s">
        <v>41250</v>
      </c>
      <c r="P7024">
        <v>0</v>
      </c>
      <c r="Q7024">
        <v>1</v>
      </c>
      <c r="R7024" t="s">
        <v>41257</v>
      </c>
      <c r="S7024" t="s">
        <v>41461</v>
      </c>
      <c r="T7024" t="s">
        <v>42736</v>
      </c>
      <c r="U7024" t="s">
        <v>48993</v>
      </c>
      <c r="W7024" t="s">
        <v>39927</v>
      </c>
      <c r="X7024" t="s">
        <v>41258</v>
      </c>
    </row>
    <row r="7025" spans="1:24">
      <c r="A7025">
        <f>HYPERLINK("https://www.philgeps.gov.ph/GEPSNONPILOT/Tender/SplashBidNoticeAbstractUI.aspx?menuIndex=3&amp;refID=7068737&amp;Result=3","7068737")</f>
        <v>0</v>
      </c>
      <c r="B7025" t="s">
        <v>2247</v>
      </c>
      <c r="C7025" t="s">
        <v>10079</v>
      </c>
      <c r="D7025" t="s">
        <v>16622</v>
      </c>
      <c r="E7025" t="s">
        <v>22870</v>
      </c>
      <c r="F7025" t="s">
        <v>28671</v>
      </c>
      <c r="G7025" t="s">
        <v>28676</v>
      </c>
      <c r="H7025" t="s">
        <v>9998</v>
      </c>
      <c r="I7025" t="s">
        <v>7352</v>
      </c>
      <c r="J7025" t="s">
        <v>33241</v>
      </c>
      <c r="K7025" t="s">
        <v>37243</v>
      </c>
      <c r="M7025" t="s">
        <v>39901</v>
      </c>
      <c r="N7025" t="s">
        <v>41249</v>
      </c>
      <c r="O7025" t="s">
        <v>41250</v>
      </c>
      <c r="P7025">
        <v>0</v>
      </c>
      <c r="Q7025">
        <v>0</v>
      </c>
      <c r="R7025" t="s">
        <v>41257</v>
      </c>
      <c r="S7025" t="s">
        <v>41461</v>
      </c>
      <c r="T7025" t="s">
        <v>42758</v>
      </c>
      <c r="U7025" t="s">
        <v>48994</v>
      </c>
      <c r="W7025" t="s">
        <v>39901</v>
      </c>
      <c r="X7025" t="s">
        <v>41258</v>
      </c>
    </row>
    <row r="7026" spans="1:24">
      <c r="A7026">
        <f>HYPERLINK("https://www.philgeps.gov.ph/GEPSNONPILOT/Tender/SplashBidNoticeAbstractUI.aspx?menuIndex=3&amp;refID=7068862&amp;Result=3","7068862")</f>
        <v>0</v>
      </c>
      <c r="B7026" t="s">
        <v>1770</v>
      </c>
      <c r="C7026" t="s">
        <v>10080</v>
      </c>
      <c r="D7026" t="s">
        <v>16608</v>
      </c>
      <c r="E7026" t="s">
        <v>22871</v>
      </c>
      <c r="F7026" t="s">
        <v>28669</v>
      </c>
      <c r="G7026" t="s">
        <v>28676</v>
      </c>
      <c r="H7026" t="s">
        <v>9998</v>
      </c>
      <c r="I7026" t="s">
        <v>28708</v>
      </c>
      <c r="J7026" t="s">
        <v>33242</v>
      </c>
      <c r="K7026" t="s">
        <v>37206</v>
      </c>
      <c r="M7026" t="s">
        <v>39584</v>
      </c>
      <c r="N7026" t="s">
        <v>41249</v>
      </c>
      <c r="O7026" t="s">
        <v>41250</v>
      </c>
      <c r="P7026">
        <v>0</v>
      </c>
      <c r="Q7026">
        <v>13</v>
      </c>
      <c r="R7026" t="s">
        <v>41257</v>
      </c>
      <c r="S7026" t="s">
        <v>41461</v>
      </c>
      <c r="T7026" t="s">
        <v>42774</v>
      </c>
      <c r="U7026" t="s">
        <v>47967</v>
      </c>
      <c r="W7026" t="s">
        <v>39584</v>
      </c>
      <c r="X7026" t="s">
        <v>41258</v>
      </c>
    </row>
    <row r="7027" spans="1:24">
      <c r="A7027">
        <f>HYPERLINK("https://www.philgeps.gov.ph/GEPSNONPILOT/Tender/SplashBidNoticeAbstractUI.aspx?menuIndex=3&amp;refID=7068791&amp;Result=3","7068791")</f>
        <v>0</v>
      </c>
      <c r="B7027" t="s">
        <v>2273</v>
      </c>
      <c r="C7027" t="s">
        <v>10081</v>
      </c>
      <c r="D7027" t="s">
        <v>16618</v>
      </c>
      <c r="E7027" t="s">
        <v>22872</v>
      </c>
      <c r="F7027" t="s">
        <v>28669</v>
      </c>
      <c r="G7027" t="s">
        <v>28675</v>
      </c>
      <c r="H7027" t="s">
        <v>28686</v>
      </c>
      <c r="I7027" t="s">
        <v>28689</v>
      </c>
      <c r="J7027" t="s">
        <v>33243</v>
      </c>
      <c r="K7027" t="s">
        <v>37227</v>
      </c>
      <c r="M7027" t="s">
        <v>39928</v>
      </c>
      <c r="N7027" t="s">
        <v>41249</v>
      </c>
      <c r="O7027" t="s">
        <v>41250</v>
      </c>
      <c r="P7027">
        <v>0</v>
      </c>
      <c r="Q7027">
        <v>0</v>
      </c>
      <c r="R7027" t="s">
        <v>41257</v>
      </c>
      <c r="S7027" t="s">
        <v>41461</v>
      </c>
      <c r="T7027" t="s">
        <v>42665</v>
      </c>
      <c r="U7027" t="s">
        <v>48995</v>
      </c>
      <c r="W7027" t="s">
        <v>39928</v>
      </c>
      <c r="X7027" t="s">
        <v>41258</v>
      </c>
    </row>
    <row r="7028" spans="1:24">
      <c r="A7028">
        <f>HYPERLINK("https://www.philgeps.gov.ph/GEPSNONPILOT/Tender/SplashBidNoticeAbstractUI.aspx?menuIndex=3&amp;refID=7068853&amp;Result=3","7068853")</f>
        <v>0</v>
      </c>
      <c r="B7028" t="s">
        <v>2266</v>
      </c>
      <c r="C7028" t="s">
        <v>10082</v>
      </c>
      <c r="D7028" t="s">
        <v>16612</v>
      </c>
      <c r="E7028" t="s">
        <v>22873</v>
      </c>
      <c r="F7028" t="s">
        <v>28669</v>
      </c>
      <c r="G7028" t="s">
        <v>28675</v>
      </c>
      <c r="H7028" t="s">
        <v>9998</v>
      </c>
      <c r="I7028" t="s">
        <v>28773</v>
      </c>
      <c r="J7028" t="s">
        <v>28879</v>
      </c>
      <c r="K7028" t="s">
        <v>37206</v>
      </c>
      <c r="M7028" t="s">
        <v>39921</v>
      </c>
      <c r="N7028" t="s">
        <v>41249</v>
      </c>
      <c r="O7028" t="s">
        <v>41250</v>
      </c>
      <c r="P7028">
        <v>0</v>
      </c>
      <c r="Q7028">
        <v>2</v>
      </c>
      <c r="R7028" t="s">
        <v>41257</v>
      </c>
      <c r="S7028" t="s">
        <v>41461</v>
      </c>
      <c r="T7028" t="s">
        <v>42660</v>
      </c>
      <c r="U7028" t="s">
        <v>48972</v>
      </c>
      <c r="V7028" t="s">
        <v>55080</v>
      </c>
      <c r="W7028" t="s">
        <v>39921</v>
      </c>
      <c r="X7028" t="s">
        <v>41258</v>
      </c>
    </row>
    <row r="7029" spans="1:24">
      <c r="A7029">
        <f>HYPERLINK("https://www.philgeps.gov.ph/GEPSNONPILOT/Tender/SplashBidNoticeAbstractUI.aspx?menuIndex=3&amp;refID=7068852&amp;Result=3","7068852")</f>
        <v>0</v>
      </c>
      <c r="B7029" t="s">
        <v>1671</v>
      </c>
      <c r="C7029" t="s">
        <v>10083</v>
      </c>
      <c r="D7029" t="s">
        <v>16611</v>
      </c>
      <c r="E7029" t="s">
        <v>22874</v>
      </c>
      <c r="F7029" t="s">
        <v>28669</v>
      </c>
      <c r="G7029" t="s">
        <v>28676</v>
      </c>
      <c r="H7029" t="s">
        <v>9998</v>
      </c>
      <c r="I7029" t="s">
        <v>6458</v>
      </c>
      <c r="J7029" t="s">
        <v>33244</v>
      </c>
      <c r="K7029" t="s">
        <v>37205</v>
      </c>
      <c r="M7029" t="s">
        <v>39263</v>
      </c>
      <c r="N7029" t="s">
        <v>41249</v>
      </c>
      <c r="O7029" t="s">
        <v>41250</v>
      </c>
      <c r="P7029">
        <v>0</v>
      </c>
      <c r="Q7029">
        <v>2</v>
      </c>
      <c r="R7029" t="s">
        <v>41257</v>
      </c>
      <c r="S7029" t="s">
        <v>41461</v>
      </c>
      <c r="T7029" t="s">
        <v>42687</v>
      </c>
      <c r="U7029" t="s">
        <v>48996</v>
      </c>
      <c r="V7029" t="s">
        <v>55081</v>
      </c>
      <c r="W7029" t="s">
        <v>39263</v>
      </c>
      <c r="X7029" t="s">
        <v>41258</v>
      </c>
    </row>
    <row r="7030" spans="1:24">
      <c r="A7030">
        <f>HYPERLINK("https://www.philgeps.gov.ph/GEPSNONPILOT/Tender/SplashBidNoticeAbstractUI.aspx?menuIndex=3&amp;refID=7068844&amp;Result=3","7068844")</f>
        <v>0</v>
      </c>
      <c r="B7030" t="s">
        <v>2274</v>
      </c>
      <c r="C7030" t="s">
        <v>10084</v>
      </c>
      <c r="D7030" t="s">
        <v>16608</v>
      </c>
      <c r="E7030" t="s">
        <v>22875</v>
      </c>
      <c r="F7030" t="s">
        <v>28669</v>
      </c>
      <c r="G7030" t="s">
        <v>28676</v>
      </c>
      <c r="H7030" t="s">
        <v>28686</v>
      </c>
      <c r="I7030" t="s">
        <v>28689</v>
      </c>
      <c r="J7030" t="s">
        <v>33245</v>
      </c>
      <c r="K7030" t="s">
        <v>37206</v>
      </c>
      <c r="M7030" t="s">
        <v>39929</v>
      </c>
      <c r="N7030" t="s">
        <v>41249</v>
      </c>
      <c r="O7030" t="s">
        <v>41250</v>
      </c>
      <c r="P7030">
        <v>0</v>
      </c>
      <c r="Q7030">
        <v>4</v>
      </c>
      <c r="R7030" t="s">
        <v>41257</v>
      </c>
      <c r="S7030" t="s">
        <v>41461</v>
      </c>
      <c r="T7030" t="s">
        <v>42727</v>
      </c>
      <c r="U7030" t="s">
        <v>48997</v>
      </c>
      <c r="W7030" t="s">
        <v>39929</v>
      </c>
      <c r="X7030" t="s">
        <v>41258</v>
      </c>
    </row>
    <row r="7031" spans="1:24">
      <c r="A7031">
        <f>HYPERLINK("https://www.philgeps.gov.ph/GEPSNONPILOT/Tender/SplashBidNoticeAbstractUI.aspx?menuIndex=3&amp;refID=7068837&amp;Result=3","7068837")</f>
        <v>0</v>
      </c>
      <c r="B7031" t="s">
        <v>2046</v>
      </c>
      <c r="C7031" t="s">
        <v>10085</v>
      </c>
      <c r="D7031" t="s">
        <v>16643</v>
      </c>
      <c r="E7031" t="s">
        <v>22876</v>
      </c>
      <c r="F7031" t="s">
        <v>28669</v>
      </c>
      <c r="G7031" t="s">
        <v>28677</v>
      </c>
      <c r="H7031" t="s">
        <v>9998</v>
      </c>
      <c r="I7031" t="s">
        <v>28726</v>
      </c>
      <c r="J7031" t="s">
        <v>33228</v>
      </c>
      <c r="K7031" t="s">
        <v>37206</v>
      </c>
      <c r="M7031" t="s">
        <v>39686</v>
      </c>
      <c r="N7031" t="s">
        <v>41249</v>
      </c>
      <c r="O7031" t="s">
        <v>41250</v>
      </c>
      <c r="Q7031">
        <v>2</v>
      </c>
      <c r="R7031" t="s">
        <v>41257</v>
      </c>
      <c r="S7031" t="s">
        <v>41476</v>
      </c>
      <c r="T7031" t="s">
        <v>42883</v>
      </c>
      <c r="U7031" t="s">
        <v>48244</v>
      </c>
      <c r="W7031" t="s">
        <v>39686</v>
      </c>
      <c r="X7031" t="s">
        <v>41258</v>
      </c>
    </row>
    <row r="7032" spans="1:24">
      <c r="A7032">
        <f>HYPERLINK("https://www.philgeps.gov.ph/GEPSNONPILOT/Tender/SplashBidNoticeAbstractUI.aspx?menuIndex=3&amp;refID=7068835&amp;Result=3","7068835")</f>
        <v>0</v>
      </c>
      <c r="B7032" t="s">
        <v>1284</v>
      </c>
      <c r="C7032" t="s">
        <v>10086</v>
      </c>
      <c r="D7032" t="s">
        <v>16683</v>
      </c>
      <c r="E7032" t="s">
        <v>22877</v>
      </c>
      <c r="F7032" t="s">
        <v>28669</v>
      </c>
      <c r="G7032" t="s">
        <v>28675</v>
      </c>
      <c r="H7032" t="s">
        <v>28686</v>
      </c>
      <c r="I7032" t="s">
        <v>28689</v>
      </c>
      <c r="J7032" t="s">
        <v>33246</v>
      </c>
      <c r="K7032" t="s">
        <v>37215</v>
      </c>
      <c r="M7032" t="s">
        <v>38835</v>
      </c>
      <c r="N7032" t="s">
        <v>41249</v>
      </c>
      <c r="O7032" t="s">
        <v>41250</v>
      </c>
      <c r="P7032">
        <v>0</v>
      </c>
      <c r="Q7032">
        <v>0</v>
      </c>
      <c r="R7032" t="s">
        <v>41257</v>
      </c>
      <c r="S7032" t="s">
        <v>41461</v>
      </c>
      <c r="T7032" t="s">
        <v>42911</v>
      </c>
      <c r="U7032" t="s">
        <v>48998</v>
      </c>
      <c r="V7032" t="s">
        <v>55082</v>
      </c>
      <c r="W7032" t="s">
        <v>38835</v>
      </c>
      <c r="X7032" t="s">
        <v>41258</v>
      </c>
    </row>
    <row r="7033" spans="1:24">
      <c r="A7033">
        <f>HYPERLINK("https://www.philgeps.gov.ph/GEPSNONPILOT/Tender/SplashBidNoticeAbstractUI.aspx?menuIndex=3&amp;refID=7068868&amp;Result=3","7068868")</f>
        <v>0</v>
      </c>
      <c r="B7033" t="s">
        <v>2267</v>
      </c>
      <c r="C7033" t="s">
        <v>10087</v>
      </c>
      <c r="D7033" t="s">
        <v>16616</v>
      </c>
      <c r="E7033" t="s">
        <v>22849</v>
      </c>
      <c r="F7033" t="s">
        <v>28669</v>
      </c>
      <c r="G7033" t="s">
        <v>28677</v>
      </c>
      <c r="H7033" t="s">
        <v>9998</v>
      </c>
      <c r="I7033" t="s">
        <v>7352</v>
      </c>
      <c r="J7033" t="s">
        <v>33247</v>
      </c>
      <c r="K7033" t="s">
        <v>37206</v>
      </c>
      <c r="M7033" t="s">
        <v>39922</v>
      </c>
      <c r="N7033" t="s">
        <v>41249</v>
      </c>
      <c r="O7033" t="s">
        <v>41250</v>
      </c>
      <c r="P7033">
        <v>0</v>
      </c>
      <c r="Q7033">
        <v>2</v>
      </c>
      <c r="R7033" t="s">
        <v>41257</v>
      </c>
      <c r="S7033" t="s">
        <v>41461</v>
      </c>
      <c r="T7033" t="s">
        <v>42671</v>
      </c>
      <c r="U7033" t="s">
        <v>48999</v>
      </c>
      <c r="V7033" t="s">
        <v>55083</v>
      </c>
      <c r="W7033" t="s">
        <v>39922</v>
      </c>
      <c r="X7033" t="s">
        <v>41258</v>
      </c>
    </row>
    <row r="7034" spans="1:24">
      <c r="A7034">
        <f>HYPERLINK("https://www.philgeps.gov.ph/GEPSNONPILOT/Tender/SplashBidNoticeAbstractUI.aspx?menuIndex=3&amp;refID=7068832&amp;Result=3","7068832")</f>
        <v>0</v>
      </c>
      <c r="B7034" t="s">
        <v>2167</v>
      </c>
      <c r="C7034" t="s">
        <v>10088</v>
      </c>
      <c r="E7034" t="s">
        <v>22878</v>
      </c>
      <c r="F7034" t="s">
        <v>28669</v>
      </c>
      <c r="G7034" t="s">
        <v>28676</v>
      </c>
      <c r="H7034" t="s">
        <v>9998</v>
      </c>
      <c r="I7034" t="s">
        <v>28726</v>
      </c>
      <c r="J7034" t="s">
        <v>33248</v>
      </c>
      <c r="K7034" t="s">
        <v>37206</v>
      </c>
      <c r="M7034" t="s">
        <v>39814</v>
      </c>
      <c r="N7034" t="s">
        <v>41249</v>
      </c>
      <c r="O7034" t="s">
        <v>41250</v>
      </c>
      <c r="P7034">
        <v>0</v>
      </c>
      <c r="Q7034">
        <v>0</v>
      </c>
      <c r="R7034" t="s">
        <v>41257</v>
      </c>
      <c r="S7034" t="s">
        <v>41461</v>
      </c>
      <c r="T7034" t="s">
        <v>42717</v>
      </c>
      <c r="U7034" t="s">
        <v>49000</v>
      </c>
      <c r="W7034" t="s">
        <v>55980</v>
      </c>
      <c r="X7034" t="s">
        <v>41258</v>
      </c>
    </row>
    <row r="7035" spans="1:24">
      <c r="A7035">
        <f>HYPERLINK("https://www.philgeps.gov.ph/GEPSNONPILOT/Tender/SplashBidNoticeAbstractUI.aspx?menuIndex=3&amp;refID=7068831&amp;Result=3","7068831")</f>
        <v>0</v>
      </c>
      <c r="B7035" t="s">
        <v>1770</v>
      </c>
      <c r="C7035" t="s">
        <v>10089</v>
      </c>
      <c r="D7035" t="s">
        <v>16608</v>
      </c>
      <c r="E7035" t="s">
        <v>22879</v>
      </c>
      <c r="F7035" t="s">
        <v>28669</v>
      </c>
      <c r="G7035" t="s">
        <v>28676</v>
      </c>
      <c r="H7035" t="s">
        <v>9998</v>
      </c>
      <c r="I7035" t="s">
        <v>28708</v>
      </c>
      <c r="J7035" t="s">
        <v>29890</v>
      </c>
      <c r="K7035" t="s">
        <v>37207</v>
      </c>
      <c r="M7035" t="s">
        <v>39584</v>
      </c>
      <c r="N7035" t="s">
        <v>41249</v>
      </c>
      <c r="O7035" t="s">
        <v>41250</v>
      </c>
      <c r="P7035">
        <v>0</v>
      </c>
      <c r="Q7035">
        <v>16</v>
      </c>
      <c r="R7035" t="s">
        <v>41257</v>
      </c>
      <c r="S7035" t="s">
        <v>41461</v>
      </c>
      <c r="T7035" t="s">
        <v>42774</v>
      </c>
      <c r="U7035" t="s">
        <v>47967</v>
      </c>
      <c r="W7035" t="s">
        <v>39584</v>
      </c>
      <c r="X7035" t="s">
        <v>41258</v>
      </c>
    </row>
    <row r="7036" spans="1:24">
      <c r="A7036">
        <f>HYPERLINK("https://www.philgeps.gov.ph/GEPSNONPILOT/Tender/SplashBidNoticeAbstractUI.aspx?menuIndex=3&amp;refID=7068576&amp;Result=3","7068576")</f>
        <v>0</v>
      </c>
      <c r="B7036" t="s">
        <v>2167</v>
      </c>
      <c r="C7036" t="s">
        <v>10090</v>
      </c>
      <c r="E7036" t="s">
        <v>22880</v>
      </c>
      <c r="F7036" t="s">
        <v>28669</v>
      </c>
      <c r="G7036" t="s">
        <v>28676</v>
      </c>
      <c r="H7036" t="s">
        <v>9998</v>
      </c>
      <c r="I7036" t="s">
        <v>28698</v>
      </c>
      <c r="J7036" t="s">
        <v>33249</v>
      </c>
      <c r="K7036" t="s">
        <v>37206</v>
      </c>
      <c r="M7036" t="s">
        <v>39814</v>
      </c>
      <c r="N7036" t="s">
        <v>41249</v>
      </c>
      <c r="O7036" t="s">
        <v>41250</v>
      </c>
      <c r="P7036">
        <v>0</v>
      </c>
      <c r="Q7036">
        <v>0</v>
      </c>
      <c r="R7036" t="s">
        <v>41257</v>
      </c>
      <c r="S7036" t="s">
        <v>41461</v>
      </c>
      <c r="T7036" t="s">
        <v>42717</v>
      </c>
      <c r="U7036" t="s">
        <v>49001</v>
      </c>
      <c r="W7036" t="s">
        <v>55980</v>
      </c>
      <c r="X7036" t="s">
        <v>41258</v>
      </c>
    </row>
    <row r="7037" spans="1:24">
      <c r="A7037">
        <f>HYPERLINK("https://www.philgeps.gov.ph/GEPSNONPILOT/Tender/SplashBidNoticeAbstractUI.aspx?menuIndex=3&amp;refID=7068921&amp;Result=3","7068921")</f>
        <v>0</v>
      </c>
      <c r="B7037" t="s">
        <v>1770</v>
      </c>
      <c r="C7037" t="s">
        <v>10091</v>
      </c>
      <c r="D7037" t="s">
        <v>16608</v>
      </c>
      <c r="E7037" t="s">
        <v>22881</v>
      </c>
      <c r="F7037" t="s">
        <v>28669</v>
      </c>
      <c r="G7037" t="s">
        <v>28676</v>
      </c>
      <c r="H7037" t="s">
        <v>9998</v>
      </c>
      <c r="I7037" t="s">
        <v>28708</v>
      </c>
      <c r="J7037" t="s">
        <v>28859</v>
      </c>
      <c r="K7037" t="s">
        <v>37204</v>
      </c>
      <c r="M7037" t="s">
        <v>39584</v>
      </c>
      <c r="N7037" t="s">
        <v>41249</v>
      </c>
      <c r="O7037" t="s">
        <v>41250</v>
      </c>
      <c r="P7037">
        <v>0</v>
      </c>
      <c r="Q7037">
        <v>17</v>
      </c>
      <c r="R7037" t="s">
        <v>41257</v>
      </c>
      <c r="S7037" t="s">
        <v>41461</v>
      </c>
      <c r="T7037" t="s">
        <v>42774</v>
      </c>
      <c r="U7037" t="s">
        <v>47967</v>
      </c>
      <c r="W7037" t="s">
        <v>39584</v>
      </c>
      <c r="X7037" t="s">
        <v>41258</v>
      </c>
    </row>
    <row r="7038" spans="1:24">
      <c r="A7038">
        <f>HYPERLINK("https://www.philgeps.gov.ph/GEPSNONPILOT/Tender/SplashBidNoticeAbstractUI.aspx?menuIndex=3&amp;refID=7068850&amp;Result=3","7068850")</f>
        <v>0</v>
      </c>
      <c r="B7038" t="s">
        <v>2247</v>
      </c>
      <c r="C7038" t="s">
        <v>10092</v>
      </c>
      <c r="D7038" t="s">
        <v>16622</v>
      </c>
      <c r="E7038" t="s">
        <v>22882</v>
      </c>
      <c r="F7038" t="s">
        <v>28671</v>
      </c>
      <c r="G7038" t="s">
        <v>28676</v>
      </c>
      <c r="H7038" t="s">
        <v>9998</v>
      </c>
      <c r="I7038" t="s">
        <v>28688</v>
      </c>
      <c r="J7038" t="s">
        <v>33250</v>
      </c>
      <c r="K7038" t="s">
        <v>37243</v>
      </c>
      <c r="M7038" t="s">
        <v>39901</v>
      </c>
      <c r="N7038" t="s">
        <v>41249</v>
      </c>
      <c r="O7038" t="s">
        <v>41250</v>
      </c>
      <c r="P7038">
        <v>0</v>
      </c>
      <c r="Q7038">
        <v>1</v>
      </c>
      <c r="R7038" t="s">
        <v>41257</v>
      </c>
      <c r="S7038" t="s">
        <v>41461</v>
      </c>
      <c r="T7038" t="s">
        <v>42758</v>
      </c>
      <c r="U7038" t="s">
        <v>49002</v>
      </c>
      <c r="W7038" t="s">
        <v>39901</v>
      </c>
      <c r="X7038" t="s">
        <v>41258</v>
      </c>
    </row>
    <row r="7039" spans="1:24">
      <c r="A7039">
        <f>HYPERLINK("https://www.philgeps.gov.ph/GEPSNONPILOT/Tender/SplashBidNoticeAbstractUI.aspx?menuIndex=3&amp;refID=7068919&amp;Result=3","7068919")</f>
        <v>0</v>
      </c>
      <c r="B7039" t="s">
        <v>986</v>
      </c>
      <c r="C7039" t="s">
        <v>10093</v>
      </c>
      <c r="D7039" t="s">
        <v>16620</v>
      </c>
      <c r="E7039" t="s">
        <v>22883</v>
      </c>
      <c r="F7039" t="s">
        <v>28669</v>
      </c>
      <c r="G7039" t="s">
        <v>28675</v>
      </c>
      <c r="H7039" t="s">
        <v>9998</v>
      </c>
      <c r="I7039" t="s">
        <v>15140</v>
      </c>
      <c r="J7039" t="s">
        <v>29364</v>
      </c>
      <c r="K7039" t="s">
        <v>37206</v>
      </c>
      <c r="M7039" t="s">
        <v>38900</v>
      </c>
      <c r="N7039" t="s">
        <v>41249</v>
      </c>
      <c r="O7039" t="s">
        <v>41250</v>
      </c>
      <c r="P7039">
        <v>0</v>
      </c>
      <c r="Q7039">
        <v>0</v>
      </c>
      <c r="R7039" t="s">
        <v>41257</v>
      </c>
      <c r="S7039" t="s">
        <v>41461</v>
      </c>
      <c r="T7039" t="s">
        <v>42703</v>
      </c>
      <c r="U7039" t="s">
        <v>45210</v>
      </c>
      <c r="V7039" t="s">
        <v>54542</v>
      </c>
      <c r="W7039" t="s">
        <v>38900</v>
      </c>
      <c r="X7039" t="s">
        <v>41258</v>
      </c>
    </row>
    <row r="7040" spans="1:24">
      <c r="A7040">
        <f>HYPERLINK("https://www.philgeps.gov.ph/GEPSNONPILOT/Tender/SplashBidNoticeAbstractUI.aspx?menuIndex=3&amp;refID=7068783&amp;Result=3","7068783")</f>
        <v>0</v>
      </c>
      <c r="B7040" t="s">
        <v>2046</v>
      </c>
      <c r="C7040" t="s">
        <v>10094</v>
      </c>
      <c r="D7040" t="s">
        <v>16643</v>
      </c>
      <c r="E7040" t="s">
        <v>22884</v>
      </c>
      <c r="F7040" t="s">
        <v>28669</v>
      </c>
      <c r="G7040" t="s">
        <v>28677</v>
      </c>
      <c r="H7040" t="s">
        <v>9998</v>
      </c>
      <c r="I7040" t="s">
        <v>28704</v>
      </c>
      <c r="J7040" t="s">
        <v>28859</v>
      </c>
      <c r="K7040" t="s">
        <v>37209</v>
      </c>
      <c r="M7040" t="s">
        <v>39686</v>
      </c>
      <c r="N7040" t="s">
        <v>41249</v>
      </c>
      <c r="O7040" t="s">
        <v>41250</v>
      </c>
      <c r="Q7040">
        <v>0</v>
      </c>
      <c r="R7040" t="s">
        <v>41257</v>
      </c>
      <c r="S7040" t="s">
        <v>41477</v>
      </c>
      <c r="T7040" t="s">
        <v>42701</v>
      </c>
      <c r="U7040" t="s">
        <v>48244</v>
      </c>
      <c r="W7040" t="s">
        <v>39686</v>
      </c>
      <c r="X7040" t="s">
        <v>41258</v>
      </c>
    </row>
    <row r="7041" spans="1:24">
      <c r="A7041">
        <f>HYPERLINK("https://www.philgeps.gov.ph/GEPSNONPILOT/Tender/SplashBidNoticeAbstractUI.aspx?menuIndex=3&amp;refID=7068757&amp;Result=3","7068757")</f>
        <v>0</v>
      </c>
      <c r="B7041" t="s">
        <v>1770</v>
      </c>
      <c r="C7041" t="s">
        <v>10095</v>
      </c>
      <c r="D7041" t="s">
        <v>16608</v>
      </c>
      <c r="E7041" t="s">
        <v>22885</v>
      </c>
      <c r="F7041" t="s">
        <v>28669</v>
      </c>
      <c r="G7041" t="s">
        <v>28676</v>
      </c>
      <c r="H7041" t="s">
        <v>9998</v>
      </c>
      <c r="I7041" t="s">
        <v>28690</v>
      </c>
      <c r="J7041" t="s">
        <v>29247</v>
      </c>
      <c r="K7041" t="s">
        <v>37205</v>
      </c>
      <c r="M7041" t="s">
        <v>39584</v>
      </c>
      <c r="N7041" t="s">
        <v>41249</v>
      </c>
      <c r="O7041" t="s">
        <v>41250</v>
      </c>
      <c r="P7041">
        <v>0</v>
      </c>
      <c r="Q7041">
        <v>33</v>
      </c>
      <c r="R7041" t="s">
        <v>41257</v>
      </c>
      <c r="S7041" t="s">
        <v>41461</v>
      </c>
      <c r="T7041" t="s">
        <v>42774</v>
      </c>
      <c r="U7041" t="s">
        <v>47967</v>
      </c>
      <c r="W7041" t="s">
        <v>39584</v>
      </c>
      <c r="X7041" t="s">
        <v>41258</v>
      </c>
    </row>
    <row r="7042" spans="1:24">
      <c r="A7042">
        <f>HYPERLINK("https://www.philgeps.gov.ph/GEPSNONPILOT/Tender/SplashBidNoticeAbstractUI.aspx?menuIndex=3&amp;refID=7068826&amp;Result=3","7068826")</f>
        <v>0</v>
      </c>
      <c r="B7042" t="s">
        <v>2272</v>
      </c>
      <c r="C7042" t="s">
        <v>10096</v>
      </c>
      <c r="D7042" t="s">
        <v>16660</v>
      </c>
      <c r="E7042" t="s">
        <v>22886</v>
      </c>
      <c r="F7042" t="s">
        <v>28669</v>
      </c>
      <c r="G7042" t="s">
        <v>28675</v>
      </c>
      <c r="H7042" t="s">
        <v>9998</v>
      </c>
      <c r="I7042" t="s">
        <v>8667</v>
      </c>
      <c r="J7042" t="s">
        <v>33251</v>
      </c>
      <c r="K7042" t="s">
        <v>37210</v>
      </c>
      <c r="L7042" t="s">
        <v>2272</v>
      </c>
      <c r="M7042" t="s">
        <v>39927</v>
      </c>
      <c r="N7042" t="s">
        <v>41249</v>
      </c>
      <c r="O7042" t="s">
        <v>41250</v>
      </c>
      <c r="P7042">
        <v>0</v>
      </c>
      <c r="Q7042">
        <v>2</v>
      </c>
      <c r="R7042" t="s">
        <v>41257</v>
      </c>
      <c r="S7042" t="s">
        <v>41461</v>
      </c>
      <c r="T7042" t="s">
        <v>42736</v>
      </c>
      <c r="U7042" t="s">
        <v>49003</v>
      </c>
      <c r="W7042" t="s">
        <v>39927</v>
      </c>
      <c r="X7042" t="s">
        <v>41258</v>
      </c>
    </row>
    <row r="7043" spans="1:24">
      <c r="A7043">
        <f>HYPERLINK("https://www.philgeps.gov.ph/GEPSNONPILOT/Tender/SplashBidNoticeAbstractUI.aspx?menuIndex=3&amp;refID=7068911&amp;Result=3","7068911")</f>
        <v>0</v>
      </c>
      <c r="B7043" t="s">
        <v>2275</v>
      </c>
      <c r="C7043" t="s">
        <v>10097</v>
      </c>
      <c r="D7043" t="s">
        <v>16666</v>
      </c>
      <c r="E7043" t="s">
        <v>22887</v>
      </c>
      <c r="F7043" t="s">
        <v>28669</v>
      </c>
      <c r="G7043" t="s">
        <v>28676</v>
      </c>
      <c r="H7043" t="s">
        <v>9998</v>
      </c>
      <c r="I7043" t="s">
        <v>28773</v>
      </c>
      <c r="J7043" t="s">
        <v>33252</v>
      </c>
      <c r="K7043" t="s">
        <v>37216</v>
      </c>
      <c r="M7043" t="s">
        <v>39930</v>
      </c>
      <c r="N7043" t="s">
        <v>41249</v>
      </c>
      <c r="O7043" t="s">
        <v>41250</v>
      </c>
      <c r="P7043">
        <v>0</v>
      </c>
      <c r="Q7043">
        <v>5</v>
      </c>
      <c r="R7043" t="s">
        <v>41257</v>
      </c>
      <c r="S7043" t="s">
        <v>41461</v>
      </c>
      <c r="T7043" t="s">
        <v>42883</v>
      </c>
      <c r="U7043" t="s">
        <v>49004</v>
      </c>
      <c r="W7043" t="s">
        <v>39930</v>
      </c>
      <c r="X7043" t="s">
        <v>41258</v>
      </c>
    </row>
    <row r="7044" spans="1:24">
      <c r="A7044">
        <f>HYPERLINK("https://www.philgeps.gov.ph/GEPSNONPILOT/Tender/SplashBidNoticeAbstractUI.aspx?menuIndex=3&amp;refID=7068920&amp;Result=3","7068920")</f>
        <v>0</v>
      </c>
      <c r="B7044" t="s">
        <v>194</v>
      </c>
      <c r="C7044" t="s">
        <v>10098</v>
      </c>
      <c r="D7044" t="s">
        <v>16672</v>
      </c>
      <c r="E7044" t="s">
        <v>22888</v>
      </c>
      <c r="F7044" t="s">
        <v>28669</v>
      </c>
      <c r="G7044" t="s">
        <v>28675</v>
      </c>
      <c r="H7044" t="s">
        <v>9998</v>
      </c>
      <c r="I7044" t="s">
        <v>3718</v>
      </c>
      <c r="J7044" t="s">
        <v>33253</v>
      </c>
      <c r="K7044" t="s">
        <v>37206</v>
      </c>
      <c r="M7044" t="s">
        <v>37672</v>
      </c>
      <c r="N7044" t="s">
        <v>41249</v>
      </c>
      <c r="O7044" t="s">
        <v>41250</v>
      </c>
      <c r="P7044">
        <v>0</v>
      </c>
      <c r="Q7044">
        <v>5</v>
      </c>
      <c r="R7044" t="s">
        <v>41257</v>
      </c>
      <c r="S7044" t="s">
        <v>41461</v>
      </c>
      <c r="T7044" t="s">
        <v>42782</v>
      </c>
      <c r="U7044" t="s">
        <v>43483</v>
      </c>
      <c r="W7044" t="s">
        <v>37672</v>
      </c>
      <c r="X7044" t="s">
        <v>41258</v>
      </c>
    </row>
    <row r="7045" spans="1:24">
      <c r="A7045">
        <f>HYPERLINK("https://www.philgeps.gov.ph/GEPSNONPILOT/Tender/SplashBidNoticeAbstractUI.aspx?menuIndex=3&amp;refID=7068904&amp;Result=3","7068904")</f>
        <v>0</v>
      </c>
      <c r="B7045" t="s">
        <v>2276</v>
      </c>
      <c r="C7045" t="s">
        <v>8080</v>
      </c>
      <c r="D7045" t="s">
        <v>16648</v>
      </c>
      <c r="E7045" t="s">
        <v>22889</v>
      </c>
      <c r="F7045" t="s">
        <v>28672</v>
      </c>
      <c r="G7045" t="s">
        <v>28675</v>
      </c>
      <c r="H7045" t="s">
        <v>9998</v>
      </c>
      <c r="I7045" t="s">
        <v>7352</v>
      </c>
      <c r="J7045" t="s">
        <v>30665</v>
      </c>
      <c r="K7045" t="s">
        <v>37205</v>
      </c>
      <c r="M7045" t="s">
        <v>39931</v>
      </c>
      <c r="N7045" t="s">
        <v>41249</v>
      </c>
      <c r="O7045" t="s">
        <v>41250</v>
      </c>
      <c r="P7045">
        <v>0</v>
      </c>
      <c r="Q7045">
        <v>0</v>
      </c>
      <c r="R7045" t="s">
        <v>41257</v>
      </c>
      <c r="S7045" t="s">
        <v>41461</v>
      </c>
      <c r="T7045" t="s">
        <v>42698</v>
      </c>
      <c r="U7045" t="s">
        <v>49005</v>
      </c>
      <c r="W7045" t="s">
        <v>39931</v>
      </c>
      <c r="X7045" t="s">
        <v>41258</v>
      </c>
    </row>
    <row r="7046" spans="1:24">
      <c r="A7046">
        <f>HYPERLINK("https://www.philgeps.gov.ph/GEPSNONPILOT/Tender/SplashBidNoticeAbstractUI.aspx?menuIndex=3&amp;refID=7068901&amp;Result=3","7068901")</f>
        <v>0</v>
      </c>
      <c r="B7046" t="s">
        <v>648</v>
      </c>
      <c r="C7046" t="s">
        <v>10099</v>
      </c>
      <c r="D7046" t="s">
        <v>16648</v>
      </c>
      <c r="E7046" t="s">
        <v>22890</v>
      </c>
      <c r="F7046" t="s">
        <v>28669</v>
      </c>
      <c r="G7046" t="s">
        <v>28675</v>
      </c>
      <c r="H7046" t="s">
        <v>9998</v>
      </c>
      <c r="I7046" t="s">
        <v>7352</v>
      </c>
      <c r="J7046" t="s">
        <v>33254</v>
      </c>
      <c r="K7046" t="s">
        <v>37210</v>
      </c>
      <c r="M7046" t="s">
        <v>38149</v>
      </c>
      <c r="N7046" t="s">
        <v>41249</v>
      </c>
      <c r="O7046" t="s">
        <v>41250</v>
      </c>
      <c r="P7046">
        <v>0</v>
      </c>
      <c r="Q7046">
        <v>0</v>
      </c>
      <c r="R7046" t="s">
        <v>41257</v>
      </c>
      <c r="S7046" t="s">
        <v>41461</v>
      </c>
      <c r="T7046" t="s">
        <v>42679</v>
      </c>
      <c r="U7046" t="s">
        <v>49006</v>
      </c>
      <c r="W7046" t="s">
        <v>38149</v>
      </c>
      <c r="X7046" t="s">
        <v>41258</v>
      </c>
    </row>
    <row r="7047" spans="1:24">
      <c r="A7047">
        <f>HYPERLINK("https://www.philgeps.gov.ph/GEPSNONPILOT/Tender/SplashBidNoticeAbstractUI.aspx?menuIndex=3&amp;refID=7068898&amp;Result=3","7068898")</f>
        <v>0</v>
      </c>
      <c r="B7047" t="s">
        <v>1555</v>
      </c>
      <c r="C7047" t="s">
        <v>10100</v>
      </c>
      <c r="D7047" t="s">
        <v>16626</v>
      </c>
      <c r="E7047" t="s">
        <v>22891</v>
      </c>
      <c r="F7047" t="s">
        <v>28669</v>
      </c>
      <c r="G7047" t="s">
        <v>28681</v>
      </c>
      <c r="H7047" t="s">
        <v>28685</v>
      </c>
      <c r="I7047" t="s">
        <v>28685</v>
      </c>
      <c r="J7047" t="s">
        <v>29191</v>
      </c>
      <c r="K7047" t="s">
        <v>37209</v>
      </c>
      <c r="M7047" t="s">
        <v>39132</v>
      </c>
      <c r="N7047" t="s">
        <v>41249</v>
      </c>
      <c r="O7047" t="s">
        <v>41250</v>
      </c>
      <c r="P7047">
        <v>0</v>
      </c>
      <c r="Q7047">
        <v>0</v>
      </c>
      <c r="R7047" t="s">
        <v>41257</v>
      </c>
      <c r="S7047" t="s">
        <v>41461</v>
      </c>
      <c r="T7047" t="s">
        <v>42729</v>
      </c>
      <c r="U7047" t="s">
        <v>49007</v>
      </c>
      <c r="W7047" t="s">
        <v>39132</v>
      </c>
      <c r="X7047" t="s">
        <v>41258</v>
      </c>
    </row>
    <row r="7048" spans="1:24">
      <c r="A7048">
        <f>HYPERLINK("https://www.philgeps.gov.ph/GEPSNONPILOT/Tender/SplashBidNoticeAbstractUI.aspx?menuIndex=3&amp;refID=7068892&amp;Result=3","7068892")</f>
        <v>0</v>
      </c>
      <c r="B7048" t="s">
        <v>1947</v>
      </c>
      <c r="C7048" t="s">
        <v>10101</v>
      </c>
      <c r="D7048" t="s">
        <v>16626</v>
      </c>
      <c r="E7048" t="s">
        <v>22892</v>
      </c>
      <c r="F7048" t="s">
        <v>28669</v>
      </c>
      <c r="G7048" t="s">
        <v>28676</v>
      </c>
      <c r="H7048" t="s">
        <v>9998</v>
      </c>
      <c r="I7048" t="s">
        <v>28693</v>
      </c>
      <c r="J7048" t="s">
        <v>28879</v>
      </c>
      <c r="K7048" t="s">
        <v>37220</v>
      </c>
      <c r="M7048" t="s">
        <v>39577</v>
      </c>
      <c r="N7048" t="s">
        <v>41249</v>
      </c>
      <c r="O7048" t="s">
        <v>41250</v>
      </c>
      <c r="P7048">
        <v>0</v>
      </c>
      <c r="Q7048">
        <v>22</v>
      </c>
      <c r="R7048" t="s">
        <v>41257</v>
      </c>
      <c r="S7048" t="s">
        <v>41461</v>
      </c>
      <c r="T7048" t="s">
        <v>42676</v>
      </c>
      <c r="U7048" t="s">
        <v>49008</v>
      </c>
      <c r="W7048" t="s">
        <v>39577</v>
      </c>
      <c r="X7048" t="s">
        <v>41258</v>
      </c>
    </row>
    <row r="7049" spans="1:24">
      <c r="A7049">
        <f>HYPERLINK("https://www.philgeps.gov.ph/GEPSNONPILOT/Tender/SplashBidNoticeAbstractUI.aspx?menuIndex=3&amp;refID=7068889&amp;Result=3","7068889")</f>
        <v>0</v>
      </c>
      <c r="B7049" t="s">
        <v>2277</v>
      </c>
      <c r="C7049" t="s">
        <v>10102</v>
      </c>
      <c r="D7049" t="s">
        <v>16626</v>
      </c>
      <c r="E7049" t="s">
        <v>18343</v>
      </c>
      <c r="F7049" t="s">
        <v>28669</v>
      </c>
      <c r="G7049" t="s">
        <v>28675</v>
      </c>
      <c r="H7049" t="s">
        <v>9998</v>
      </c>
      <c r="I7049" t="s">
        <v>5286</v>
      </c>
      <c r="J7049" t="s">
        <v>29194</v>
      </c>
      <c r="K7049" t="s">
        <v>37209</v>
      </c>
      <c r="M7049" t="s">
        <v>39932</v>
      </c>
      <c r="N7049" t="s">
        <v>41249</v>
      </c>
      <c r="O7049" t="s">
        <v>41250</v>
      </c>
      <c r="P7049">
        <v>0</v>
      </c>
      <c r="Q7049">
        <v>3</v>
      </c>
      <c r="R7049" t="s">
        <v>41257</v>
      </c>
      <c r="S7049" t="s">
        <v>41461</v>
      </c>
      <c r="T7049" t="s">
        <v>42809</v>
      </c>
      <c r="U7049" t="s">
        <v>49009</v>
      </c>
      <c r="W7049" t="s">
        <v>39932</v>
      </c>
      <c r="X7049" t="s">
        <v>41258</v>
      </c>
    </row>
    <row r="7050" spans="1:24">
      <c r="A7050">
        <f>HYPERLINK("https://www.philgeps.gov.ph/GEPSNONPILOT/Tender/SplashBidNoticeAbstractUI.aspx?menuIndex=3&amp;refID=7068864&amp;Result=3","7068864")</f>
        <v>0</v>
      </c>
      <c r="B7050" t="s">
        <v>2278</v>
      </c>
      <c r="C7050" t="s">
        <v>10103</v>
      </c>
      <c r="D7050" t="s">
        <v>16615</v>
      </c>
      <c r="E7050" t="s">
        <v>22893</v>
      </c>
      <c r="F7050" t="s">
        <v>28669</v>
      </c>
      <c r="G7050" t="s">
        <v>28675</v>
      </c>
      <c r="H7050" t="s">
        <v>28686</v>
      </c>
      <c r="I7050" t="s">
        <v>28689</v>
      </c>
      <c r="J7050" t="s">
        <v>30036</v>
      </c>
      <c r="K7050" t="s">
        <v>37221</v>
      </c>
      <c r="M7050" t="s">
        <v>39933</v>
      </c>
      <c r="N7050" t="s">
        <v>41249</v>
      </c>
      <c r="O7050" t="s">
        <v>41250</v>
      </c>
      <c r="P7050">
        <v>0</v>
      </c>
      <c r="Q7050">
        <v>5</v>
      </c>
      <c r="R7050" t="s">
        <v>41257</v>
      </c>
      <c r="S7050" t="s">
        <v>41461</v>
      </c>
      <c r="T7050" t="s">
        <v>42729</v>
      </c>
      <c r="U7050" t="s">
        <v>49010</v>
      </c>
      <c r="W7050" t="s">
        <v>39933</v>
      </c>
      <c r="X7050" t="s">
        <v>41258</v>
      </c>
    </row>
    <row r="7051" spans="1:24">
      <c r="A7051">
        <f>HYPERLINK("https://www.philgeps.gov.ph/GEPSNONPILOT/Tender/SplashBidNoticeAbstractUI.aspx?menuIndex=3&amp;refID=7068906&amp;Result=3","7068906")</f>
        <v>0</v>
      </c>
      <c r="B7051" t="s">
        <v>1522</v>
      </c>
      <c r="C7051" t="s">
        <v>10104</v>
      </c>
      <c r="D7051" t="s">
        <v>16686</v>
      </c>
      <c r="E7051" t="s">
        <v>22894</v>
      </c>
      <c r="F7051" t="s">
        <v>28669</v>
      </c>
      <c r="G7051" t="s">
        <v>28675</v>
      </c>
      <c r="H7051" t="s">
        <v>9998</v>
      </c>
      <c r="I7051" t="s">
        <v>7352</v>
      </c>
      <c r="J7051" t="s">
        <v>29417</v>
      </c>
      <c r="K7051" t="s">
        <v>37210</v>
      </c>
      <c r="M7051" t="s">
        <v>39573</v>
      </c>
      <c r="N7051" t="s">
        <v>41249</v>
      </c>
      <c r="O7051" t="s">
        <v>41250</v>
      </c>
      <c r="P7051">
        <v>0</v>
      </c>
      <c r="Q7051">
        <v>1</v>
      </c>
      <c r="R7051" t="s">
        <v>41257</v>
      </c>
      <c r="S7051" t="s">
        <v>41461</v>
      </c>
      <c r="T7051" t="s">
        <v>42748</v>
      </c>
      <c r="U7051" t="s">
        <v>49011</v>
      </c>
      <c r="W7051" t="s">
        <v>39573</v>
      </c>
      <c r="X7051" t="s">
        <v>41258</v>
      </c>
    </row>
    <row r="7052" spans="1:24">
      <c r="A7052">
        <f>HYPERLINK("https://www.philgeps.gov.ph/GEPSNONPILOT/Tender/SplashBidNoticeAbstractUI.aspx?menuIndex=3&amp;refID=7068883&amp;Result=3","7068883")</f>
        <v>0</v>
      </c>
      <c r="B7052" t="s">
        <v>2200</v>
      </c>
      <c r="C7052" t="s">
        <v>10105</v>
      </c>
      <c r="D7052" t="s">
        <v>16646</v>
      </c>
      <c r="E7052" t="s">
        <v>22895</v>
      </c>
      <c r="F7052" t="s">
        <v>28669</v>
      </c>
      <c r="G7052" t="s">
        <v>28676</v>
      </c>
      <c r="H7052" t="s">
        <v>28685</v>
      </c>
      <c r="I7052" t="s">
        <v>28685</v>
      </c>
      <c r="J7052" t="s">
        <v>33155</v>
      </c>
      <c r="K7052" t="s">
        <v>37316</v>
      </c>
      <c r="M7052" t="s">
        <v>39850</v>
      </c>
      <c r="N7052" t="s">
        <v>41249</v>
      </c>
      <c r="O7052" t="s">
        <v>41250</v>
      </c>
      <c r="P7052">
        <v>0</v>
      </c>
      <c r="Q7052">
        <v>2</v>
      </c>
      <c r="R7052" t="s">
        <v>41257</v>
      </c>
      <c r="S7052" t="s">
        <v>41461</v>
      </c>
      <c r="T7052" t="s">
        <v>42727</v>
      </c>
      <c r="U7052" t="s">
        <v>48756</v>
      </c>
      <c r="V7052" t="s">
        <v>55042</v>
      </c>
      <c r="W7052" t="s">
        <v>39850</v>
      </c>
      <c r="X7052" t="s">
        <v>41258</v>
      </c>
    </row>
    <row r="7053" spans="1:24">
      <c r="A7053">
        <f>HYPERLINK("https://www.philgeps.gov.ph/GEPSNONPILOT/Tender/SplashBidNoticeAbstractUI.aspx?menuIndex=3&amp;refID=7068882&amp;Result=3","7068882")</f>
        <v>0</v>
      </c>
      <c r="B7053" t="s">
        <v>562</v>
      </c>
      <c r="C7053" t="s">
        <v>10106</v>
      </c>
      <c r="D7053" t="s">
        <v>16648</v>
      </c>
      <c r="E7053" t="s">
        <v>22896</v>
      </c>
      <c r="F7053" t="s">
        <v>28671</v>
      </c>
      <c r="G7053" t="s">
        <v>28675</v>
      </c>
      <c r="H7053" t="s">
        <v>9998</v>
      </c>
      <c r="I7053" t="s">
        <v>7352</v>
      </c>
      <c r="J7053" t="s">
        <v>33255</v>
      </c>
      <c r="K7053" t="s">
        <v>37206</v>
      </c>
      <c r="M7053" t="s">
        <v>38058</v>
      </c>
      <c r="N7053" t="s">
        <v>41249</v>
      </c>
      <c r="O7053" t="s">
        <v>41250</v>
      </c>
      <c r="P7053">
        <v>0</v>
      </c>
      <c r="Q7053">
        <v>1</v>
      </c>
      <c r="R7053" t="s">
        <v>41257</v>
      </c>
      <c r="S7053" t="s">
        <v>41461</v>
      </c>
      <c r="T7053" t="s">
        <v>42696</v>
      </c>
      <c r="U7053" t="s">
        <v>49012</v>
      </c>
      <c r="W7053" t="s">
        <v>38058</v>
      </c>
      <c r="X7053" t="s">
        <v>41258</v>
      </c>
    </row>
    <row r="7054" spans="1:24">
      <c r="A7054">
        <f>HYPERLINK("https://www.philgeps.gov.ph/GEPSNONPILOT/Tender/SplashBidNoticeAbstractUI.aspx?menuIndex=3&amp;refID=7068876&amp;Result=3","7068876")</f>
        <v>0</v>
      </c>
      <c r="B7054" t="s">
        <v>2271</v>
      </c>
      <c r="C7054" t="s">
        <v>10107</v>
      </c>
      <c r="D7054" t="s">
        <v>16683</v>
      </c>
      <c r="E7054" t="s">
        <v>22897</v>
      </c>
      <c r="F7054" t="s">
        <v>28669</v>
      </c>
      <c r="G7054" t="s">
        <v>28675</v>
      </c>
      <c r="H7054" t="s">
        <v>28686</v>
      </c>
      <c r="I7054" t="s">
        <v>28689</v>
      </c>
      <c r="J7054" t="s">
        <v>29035</v>
      </c>
      <c r="K7054" t="s">
        <v>37378</v>
      </c>
      <c r="M7054" t="s">
        <v>39926</v>
      </c>
      <c r="N7054" t="s">
        <v>41249</v>
      </c>
      <c r="O7054" t="s">
        <v>41250</v>
      </c>
      <c r="P7054">
        <v>0</v>
      </c>
      <c r="Q7054">
        <v>0</v>
      </c>
      <c r="R7054" t="s">
        <v>41257</v>
      </c>
      <c r="S7054" t="s">
        <v>41461</v>
      </c>
      <c r="T7054" t="s">
        <v>42678</v>
      </c>
      <c r="U7054" t="s">
        <v>49013</v>
      </c>
      <c r="W7054" t="s">
        <v>39926</v>
      </c>
      <c r="X7054" t="s">
        <v>41258</v>
      </c>
    </row>
    <row r="7055" spans="1:24">
      <c r="A7055">
        <f>HYPERLINK("https://www.philgeps.gov.ph/GEPSNONPILOT/Tender/SplashBidNoticeAbstractUI.aspx?menuIndex=3&amp;refID=7068875&amp;Result=3","7068875")</f>
        <v>0</v>
      </c>
      <c r="B7055" t="s">
        <v>2279</v>
      </c>
      <c r="C7055" t="s">
        <v>10108</v>
      </c>
      <c r="D7055" t="s">
        <v>16666</v>
      </c>
      <c r="E7055" t="s">
        <v>16967</v>
      </c>
      <c r="F7055" t="s">
        <v>28669</v>
      </c>
      <c r="G7055" t="s">
        <v>28675</v>
      </c>
      <c r="H7055" t="s">
        <v>28686</v>
      </c>
      <c r="I7055" t="s">
        <v>28702</v>
      </c>
      <c r="J7055" t="s">
        <v>33256</v>
      </c>
      <c r="K7055" t="s">
        <v>37312</v>
      </c>
      <c r="M7055" t="s">
        <v>39934</v>
      </c>
      <c r="N7055" t="s">
        <v>41249</v>
      </c>
      <c r="O7055" t="s">
        <v>41250</v>
      </c>
      <c r="P7055">
        <v>0</v>
      </c>
      <c r="Q7055">
        <v>0</v>
      </c>
      <c r="R7055" t="s">
        <v>41257</v>
      </c>
      <c r="S7055" t="s">
        <v>41461</v>
      </c>
      <c r="T7055" t="s">
        <v>42758</v>
      </c>
      <c r="U7055" t="s">
        <v>49014</v>
      </c>
      <c r="W7055" t="s">
        <v>39934</v>
      </c>
      <c r="X7055" t="s">
        <v>41258</v>
      </c>
    </row>
    <row r="7056" spans="1:24">
      <c r="A7056">
        <f>HYPERLINK("https://www.philgeps.gov.ph/GEPSNONPILOT/Tender/SplashBidNoticeAbstractUI.aspx?menuIndex=3&amp;refID=7068823&amp;Result=3","7068823")</f>
        <v>0</v>
      </c>
      <c r="B7056" t="s">
        <v>358</v>
      </c>
      <c r="C7056" t="s">
        <v>10109</v>
      </c>
      <c r="D7056" t="s">
        <v>16683</v>
      </c>
      <c r="E7056" t="s">
        <v>22898</v>
      </c>
      <c r="F7056" t="s">
        <v>28669</v>
      </c>
      <c r="G7056" t="s">
        <v>28676</v>
      </c>
      <c r="H7056" t="s">
        <v>9998</v>
      </c>
      <c r="I7056" t="s">
        <v>28708</v>
      </c>
      <c r="J7056" t="s">
        <v>33257</v>
      </c>
      <c r="K7056" t="s">
        <v>37209</v>
      </c>
      <c r="M7056" t="s">
        <v>37839</v>
      </c>
      <c r="N7056" t="s">
        <v>41249</v>
      </c>
      <c r="O7056" t="s">
        <v>41250</v>
      </c>
      <c r="P7056">
        <v>0</v>
      </c>
      <c r="Q7056">
        <v>5</v>
      </c>
      <c r="R7056" t="s">
        <v>41257</v>
      </c>
      <c r="S7056" t="s">
        <v>41461</v>
      </c>
      <c r="T7056" t="s">
        <v>42883</v>
      </c>
      <c r="U7056" t="s">
        <v>49015</v>
      </c>
      <c r="W7056" t="s">
        <v>37839</v>
      </c>
      <c r="X7056" t="s">
        <v>41258</v>
      </c>
    </row>
    <row r="7057" spans="1:24">
      <c r="A7057">
        <f>HYPERLINK("https://www.philgeps.gov.ph/GEPSNONPILOT/Tender/SplashBidNoticeAbstractUI.aspx?menuIndex=3&amp;refID=7068822&amp;Result=3","7068822")</f>
        <v>0</v>
      </c>
      <c r="B7057" t="s">
        <v>1947</v>
      </c>
      <c r="C7057" t="s">
        <v>10110</v>
      </c>
      <c r="D7057" t="s">
        <v>16626</v>
      </c>
      <c r="E7057" t="s">
        <v>22899</v>
      </c>
      <c r="F7057" t="s">
        <v>28669</v>
      </c>
      <c r="G7057" t="s">
        <v>28676</v>
      </c>
      <c r="H7057" t="s">
        <v>9998</v>
      </c>
      <c r="I7057" t="s">
        <v>28693</v>
      </c>
      <c r="J7057" t="s">
        <v>28878</v>
      </c>
      <c r="K7057" t="s">
        <v>37206</v>
      </c>
      <c r="M7057" t="s">
        <v>39577</v>
      </c>
      <c r="N7057" t="s">
        <v>41249</v>
      </c>
      <c r="O7057" t="s">
        <v>41250</v>
      </c>
      <c r="P7057">
        <v>0</v>
      </c>
      <c r="Q7057">
        <v>25</v>
      </c>
      <c r="R7057" t="s">
        <v>41257</v>
      </c>
      <c r="S7057" t="s">
        <v>41461</v>
      </c>
      <c r="T7057" t="s">
        <v>42676</v>
      </c>
      <c r="U7057" t="s">
        <v>49016</v>
      </c>
      <c r="W7057" t="s">
        <v>39577</v>
      </c>
      <c r="X7057" t="s">
        <v>41258</v>
      </c>
    </row>
    <row r="7058" spans="1:24">
      <c r="A7058">
        <f>HYPERLINK("https://www.philgeps.gov.ph/GEPSNONPILOT/Tender/SplashBidNoticeAbstractUI.aspx?menuIndex=3&amp;refID=7068887&amp;Result=3","7068887")</f>
        <v>0</v>
      </c>
      <c r="B7058" t="s">
        <v>2280</v>
      </c>
      <c r="C7058" t="s">
        <v>10111</v>
      </c>
      <c r="D7058" t="s">
        <v>16608</v>
      </c>
      <c r="E7058" t="s">
        <v>22900</v>
      </c>
      <c r="F7058" t="s">
        <v>28669</v>
      </c>
      <c r="G7058" t="s">
        <v>28676</v>
      </c>
      <c r="H7058" t="s">
        <v>9998</v>
      </c>
      <c r="I7058" t="s">
        <v>28717</v>
      </c>
      <c r="J7058" t="s">
        <v>28914</v>
      </c>
      <c r="K7058" t="s">
        <v>37206</v>
      </c>
      <c r="M7058" t="s">
        <v>39935</v>
      </c>
      <c r="N7058" t="s">
        <v>41249</v>
      </c>
      <c r="O7058" t="s">
        <v>41250</v>
      </c>
      <c r="P7058">
        <v>0</v>
      </c>
      <c r="Q7058">
        <v>22</v>
      </c>
      <c r="R7058" t="s">
        <v>41257</v>
      </c>
      <c r="S7058" t="s">
        <v>41461</v>
      </c>
      <c r="T7058" t="s">
        <v>42989</v>
      </c>
      <c r="U7058" t="s">
        <v>49017</v>
      </c>
      <c r="V7058" t="s">
        <v>55084</v>
      </c>
      <c r="W7058" t="s">
        <v>39935</v>
      </c>
      <c r="X7058" t="s">
        <v>41258</v>
      </c>
    </row>
    <row r="7059" spans="1:24">
      <c r="A7059">
        <f>HYPERLINK("https://www.philgeps.gov.ph/GEPSNONPILOT/Tender/SplashBidNoticeAbstractUI.aspx?menuIndex=3&amp;refID=7068815&amp;Result=3","7068815")</f>
        <v>0</v>
      </c>
      <c r="B7059" t="s">
        <v>2208</v>
      </c>
      <c r="C7059" t="s">
        <v>10112</v>
      </c>
      <c r="D7059" t="s">
        <v>16657</v>
      </c>
      <c r="E7059" t="s">
        <v>22901</v>
      </c>
      <c r="F7059" t="s">
        <v>28669</v>
      </c>
      <c r="G7059" t="s">
        <v>28675</v>
      </c>
      <c r="H7059" t="s">
        <v>28684</v>
      </c>
      <c r="I7059" t="s">
        <v>28728</v>
      </c>
      <c r="J7059" t="s">
        <v>33258</v>
      </c>
      <c r="K7059" t="s">
        <v>37206</v>
      </c>
      <c r="M7059" t="s">
        <v>39858</v>
      </c>
      <c r="N7059" t="s">
        <v>41249</v>
      </c>
      <c r="O7059" t="s">
        <v>41250</v>
      </c>
      <c r="P7059">
        <v>0</v>
      </c>
      <c r="Q7059">
        <v>1</v>
      </c>
      <c r="R7059" t="s">
        <v>41257</v>
      </c>
      <c r="S7059" t="s">
        <v>41461</v>
      </c>
      <c r="T7059" t="s">
        <v>42827</v>
      </c>
      <c r="U7059" t="s">
        <v>49018</v>
      </c>
      <c r="W7059" t="s">
        <v>39858</v>
      </c>
      <c r="X7059" t="s">
        <v>41258</v>
      </c>
    </row>
    <row r="7060" spans="1:24">
      <c r="A7060">
        <f>HYPERLINK("https://www.philgeps.gov.ph/GEPSNONPILOT/Tender/SplashBidNoticeAbstractUI.aspx?menuIndex=3&amp;refID=7068884&amp;Result=3","7068884")</f>
        <v>0</v>
      </c>
      <c r="B7060" t="s">
        <v>1258</v>
      </c>
      <c r="C7060" t="s">
        <v>10113</v>
      </c>
      <c r="D7060" t="s">
        <v>16663</v>
      </c>
      <c r="E7060" t="s">
        <v>22902</v>
      </c>
      <c r="F7060" t="s">
        <v>28669</v>
      </c>
      <c r="G7060" t="s">
        <v>28677</v>
      </c>
      <c r="H7060" t="s">
        <v>9998</v>
      </c>
      <c r="I7060" t="s">
        <v>6128</v>
      </c>
      <c r="J7060" t="s">
        <v>33259</v>
      </c>
      <c r="K7060" t="s">
        <v>37227</v>
      </c>
      <c r="M7060" t="s">
        <v>38807</v>
      </c>
      <c r="N7060" t="s">
        <v>41249</v>
      </c>
      <c r="O7060" t="s">
        <v>41250</v>
      </c>
      <c r="P7060">
        <v>0</v>
      </c>
      <c r="Q7060">
        <v>3</v>
      </c>
      <c r="R7060" t="s">
        <v>41257</v>
      </c>
      <c r="S7060" t="s">
        <v>41461</v>
      </c>
      <c r="T7060" t="s">
        <v>42736</v>
      </c>
      <c r="U7060" t="s">
        <v>49019</v>
      </c>
      <c r="W7060" t="s">
        <v>38807</v>
      </c>
      <c r="X7060" t="s">
        <v>41258</v>
      </c>
    </row>
    <row r="7061" spans="1:24">
      <c r="A7061">
        <f>HYPERLINK("https://www.philgeps.gov.ph/GEPSNONPILOT/Tender/SplashBidNoticeAbstractUI.aspx?menuIndex=3&amp;refID=7068877&amp;Result=3","7068877")</f>
        <v>0</v>
      </c>
      <c r="B7061" t="s">
        <v>2247</v>
      </c>
      <c r="C7061" t="s">
        <v>10092</v>
      </c>
      <c r="D7061" t="s">
        <v>16622</v>
      </c>
      <c r="E7061" t="s">
        <v>22882</v>
      </c>
      <c r="F7061" t="s">
        <v>28671</v>
      </c>
      <c r="G7061" t="s">
        <v>28676</v>
      </c>
      <c r="H7061" t="s">
        <v>9998</v>
      </c>
      <c r="I7061" t="s">
        <v>6458</v>
      </c>
      <c r="J7061" t="s">
        <v>33250</v>
      </c>
      <c r="K7061" t="s">
        <v>37243</v>
      </c>
      <c r="M7061" t="s">
        <v>39901</v>
      </c>
      <c r="N7061" t="s">
        <v>41249</v>
      </c>
      <c r="O7061" t="s">
        <v>41250</v>
      </c>
      <c r="P7061">
        <v>0</v>
      </c>
      <c r="Q7061">
        <v>0</v>
      </c>
      <c r="R7061" t="s">
        <v>41257</v>
      </c>
      <c r="S7061" t="s">
        <v>41461</v>
      </c>
      <c r="T7061" t="s">
        <v>42758</v>
      </c>
      <c r="U7061" t="s">
        <v>49020</v>
      </c>
      <c r="W7061" t="s">
        <v>39901</v>
      </c>
      <c r="X7061" t="s">
        <v>41258</v>
      </c>
    </row>
    <row r="7062" spans="1:24">
      <c r="A7062">
        <f>HYPERLINK("https://www.philgeps.gov.ph/GEPSNONPILOT/Tender/SplashBidNoticeAbstractUI.aspx?menuIndex=3&amp;refID=7068811&amp;Result=3","7068811")</f>
        <v>0</v>
      </c>
      <c r="B7062" t="s">
        <v>1401</v>
      </c>
      <c r="C7062" t="s">
        <v>10114</v>
      </c>
      <c r="D7062" t="s">
        <v>16671</v>
      </c>
      <c r="E7062" t="s">
        <v>22903</v>
      </c>
      <c r="F7062" t="s">
        <v>28669</v>
      </c>
      <c r="G7062" t="s">
        <v>28677</v>
      </c>
      <c r="H7062" t="s">
        <v>9998</v>
      </c>
      <c r="I7062" t="s">
        <v>6128</v>
      </c>
      <c r="J7062" t="s">
        <v>33260</v>
      </c>
      <c r="K7062" t="s">
        <v>37209</v>
      </c>
      <c r="M7062" t="s">
        <v>38964</v>
      </c>
      <c r="N7062" t="s">
        <v>41249</v>
      </c>
      <c r="O7062" t="s">
        <v>41250</v>
      </c>
      <c r="P7062">
        <v>0</v>
      </c>
      <c r="Q7062">
        <v>0</v>
      </c>
      <c r="R7062" t="s">
        <v>41257</v>
      </c>
      <c r="S7062" t="s">
        <v>41461</v>
      </c>
      <c r="T7062" t="s">
        <v>42736</v>
      </c>
      <c r="U7062" t="s">
        <v>49021</v>
      </c>
      <c r="W7062" t="s">
        <v>55952</v>
      </c>
      <c r="X7062" t="s">
        <v>41258</v>
      </c>
    </row>
    <row r="7063" spans="1:24">
      <c r="A7063">
        <f>HYPERLINK("https://www.philgeps.gov.ph/GEPSNONPILOT/Tender/SplashBidNoticeAbstractUI.aspx?menuIndex=3&amp;refID=7068725&amp;Result=3","7068725")</f>
        <v>0</v>
      </c>
      <c r="B7063" t="s">
        <v>1401</v>
      </c>
      <c r="C7063" t="s">
        <v>10115</v>
      </c>
      <c r="D7063" t="s">
        <v>16671</v>
      </c>
      <c r="E7063" t="s">
        <v>22904</v>
      </c>
      <c r="F7063" t="s">
        <v>28669</v>
      </c>
      <c r="G7063" t="s">
        <v>28677</v>
      </c>
      <c r="H7063" t="s">
        <v>9998</v>
      </c>
      <c r="I7063" t="s">
        <v>6128</v>
      </c>
      <c r="J7063" t="s">
        <v>28912</v>
      </c>
      <c r="K7063" t="s">
        <v>37209</v>
      </c>
      <c r="M7063" t="s">
        <v>38964</v>
      </c>
      <c r="N7063" t="s">
        <v>41249</v>
      </c>
      <c r="O7063" t="s">
        <v>41250</v>
      </c>
      <c r="P7063">
        <v>0</v>
      </c>
      <c r="Q7063">
        <v>3</v>
      </c>
      <c r="R7063" t="s">
        <v>41257</v>
      </c>
      <c r="S7063" t="s">
        <v>41461</v>
      </c>
      <c r="T7063" t="s">
        <v>42736</v>
      </c>
      <c r="U7063" t="s">
        <v>49022</v>
      </c>
      <c r="W7063" t="s">
        <v>55952</v>
      </c>
      <c r="X7063" t="s">
        <v>41258</v>
      </c>
    </row>
    <row r="7064" spans="1:24">
      <c r="A7064">
        <f>HYPERLINK("https://www.philgeps.gov.ph/GEPSNONPILOT/Tender/SplashBidNoticeAbstractUI.aspx?menuIndex=3&amp;refID=7068922&amp;Result=3","7068922")</f>
        <v>0</v>
      </c>
      <c r="B7064" t="s">
        <v>2281</v>
      </c>
      <c r="C7064" t="s">
        <v>10116</v>
      </c>
      <c r="D7064" t="s">
        <v>16640</v>
      </c>
      <c r="E7064" t="s">
        <v>22905</v>
      </c>
      <c r="F7064" t="s">
        <v>28669</v>
      </c>
      <c r="G7064" t="s">
        <v>28675</v>
      </c>
      <c r="H7064" t="s">
        <v>9998</v>
      </c>
      <c r="I7064" t="s">
        <v>28754</v>
      </c>
      <c r="J7064" t="s">
        <v>33261</v>
      </c>
      <c r="K7064" t="s">
        <v>37301</v>
      </c>
      <c r="M7064" t="s">
        <v>39936</v>
      </c>
      <c r="N7064" t="s">
        <v>41249</v>
      </c>
      <c r="O7064" t="s">
        <v>41250</v>
      </c>
      <c r="P7064">
        <v>0</v>
      </c>
      <c r="Q7064">
        <v>8</v>
      </c>
      <c r="R7064" t="s">
        <v>41257</v>
      </c>
      <c r="S7064" t="s">
        <v>41461</v>
      </c>
      <c r="T7064" t="s">
        <v>42796</v>
      </c>
      <c r="U7064" t="s">
        <v>49023</v>
      </c>
      <c r="V7064" t="s">
        <v>55085</v>
      </c>
      <c r="W7064" t="s">
        <v>39936</v>
      </c>
      <c r="X7064" t="s">
        <v>41258</v>
      </c>
    </row>
    <row r="7065" spans="1:24">
      <c r="A7065">
        <f>HYPERLINK("https://www.philgeps.gov.ph/GEPSNONPILOT/Tender/SplashBidNoticeAbstractUI.aspx?menuIndex=3&amp;refID=7068812&amp;Result=3","7068812")</f>
        <v>0</v>
      </c>
      <c r="B7065" t="s">
        <v>2282</v>
      </c>
      <c r="C7065" t="s">
        <v>10117</v>
      </c>
      <c r="D7065" t="s">
        <v>16686</v>
      </c>
      <c r="E7065" t="s">
        <v>16820</v>
      </c>
      <c r="F7065" t="s">
        <v>28669</v>
      </c>
      <c r="G7065" t="s">
        <v>28675</v>
      </c>
      <c r="H7065" t="s">
        <v>9998</v>
      </c>
      <c r="I7065" t="s">
        <v>28696</v>
      </c>
      <c r="J7065" t="s">
        <v>29020</v>
      </c>
      <c r="K7065" t="s">
        <v>37206</v>
      </c>
      <c r="M7065" t="s">
        <v>39937</v>
      </c>
      <c r="N7065" t="s">
        <v>41249</v>
      </c>
      <c r="O7065" t="s">
        <v>41250</v>
      </c>
      <c r="P7065">
        <v>0</v>
      </c>
      <c r="Q7065">
        <v>0</v>
      </c>
      <c r="R7065" t="s">
        <v>41257</v>
      </c>
      <c r="S7065" t="s">
        <v>41461</v>
      </c>
      <c r="T7065" t="s">
        <v>42701</v>
      </c>
      <c r="U7065" t="s">
        <v>49024</v>
      </c>
      <c r="V7065" t="s">
        <v>54252</v>
      </c>
      <c r="W7065" t="s">
        <v>39937</v>
      </c>
      <c r="X7065" t="s">
        <v>41258</v>
      </c>
    </row>
    <row r="7066" spans="1:24">
      <c r="A7066">
        <f>HYPERLINK("https://www.philgeps.gov.ph/GEPSNONPILOT/Tender/SplashBidNoticeAbstractUI.aspx?menuIndex=3&amp;refID=7068912&amp;Result=3","7068912")</f>
        <v>0</v>
      </c>
      <c r="B7066" t="s">
        <v>694</v>
      </c>
      <c r="C7066" t="s">
        <v>10118</v>
      </c>
      <c r="D7066" t="s">
        <v>16686</v>
      </c>
      <c r="E7066" t="s">
        <v>22906</v>
      </c>
      <c r="F7066" t="s">
        <v>28669</v>
      </c>
      <c r="G7066" t="s">
        <v>28675</v>
      </c>
      <c r="H7066" t="s">
        <v>9998</v>
      </c>
      <c r="I7066" t="s">
        <v>28695</v>
      </c>
      <c r="J7066" t="s">
        <v>33262</v>
      </c>
      <c r="K7066" t="s">
        <v>37210</v>
      </c>
      <c r="M7066" t="s">
        <v>38199</v>
      </c>
      <c r="N7066" t="s">
        <v>41249</v>
      </c>
      <c r="O7066" t="s">
        <v>41250</v>
      </c>
      <c r="P7066">
        <v>0</v>
      </c>
      <c r="Q7066">
        <v>0</v>
      </c>
      <c r="R7066" t="s">
        <v>41257</v>
      </c>
      <c r="S7066" t="s">
        <v>41461</v>
      </c>
      <c r="T7066" t="s">
        <v>42701</v>
      </c>
      <c r="U7066" t="s">
        <v>49025</v>
      </c>
      <c r="V7066" t="s">
        <v>54428</v>
      </c>
      <c r="W7066" t="s">
        <v>38199</v>
      </c>
      <c r="X7066" t="s">
        <v>41258</v>
      </c>
    </row>
    <row r="7067" spans="1:24">
      <c r="A7067">
        <f>HYPERLINK("https://www.philgeps.gov.ph/GEPSNONPILOT/Tender/SplashBidNoticeAbstractUI.aspx?menuIndex=3&amp;refID=7068726&amp;Result=3","7068726")</f>
        <v>0</v>
      </c>
      <c r="B7067" t="s">
        <v>2263</v>
      </c>
      <c r="C7067" t="s">
        <v>10119</v>
      </c>
      <c r="D7067" t="s">
        <v>16663</v>
      </c>
      <c r="E7067" t="s">
        <v>22907</v>
      </c>
      <c r="F7067" t="s">
        <v>28669</v>
      </c>
      <c r="G7067" t="s">
        <v>28676</v>
      </c>
      <c r="H7067" t="s">
        <v>9998</v>
      </c>
      <c r="I7067" t="s">
        <v>5213</v>
      </c>
      <c r="J7067" t="s">
        <v>32039</v>
      </c>
      <c r="K7067" t="s">
        <v>37206</v>
      </c>
      <c r="M7067" t="s">
        <v>39918</v>
      </c>
      <c r="N7067" t="s">
        <v>41249</v>
      </c>
      <c r="O7067" t="s">
        <v>41250</v>
      </c>
      <c r="P7067">
        <v>0</v>
      </c>
      <c r="Q7067">
        <v>1</v>
      </c>
      <c r="R7067" t="s">
        <v>41257</v>
      </c>
      <c r="S7067" t="s">
        <v>41461</v>
      </c>
      <c r="T7067" t="s">
        <v>42767</v>
      </c>
      <c r="U7067" t="s">
        <v>49026</v>
      </c>
      <c r="W7067" t="s">
        <v>39918</v>
      </c>
      <c r="X7067" t="s">
        <v>41258</v>
      </c>
    </row>
    <row r="7068" spans="1:24">
      <c r="A7068">
        <f>HYPERLINK("https://www.philgeps.gov.ph/GEPSNONPILOT/Tender/SplashBidNoticeAbstractUI.aspx?menuIndex=3&amp;refID=7068982&amp;Result=3","7068982")</f>
        <v>0</v>
      </c>
      <c r="B7068" t="s">
        <v>2263</v>
      </c>
      <c r="C7068" t="s">
        <v>10120</v>
      </c>
      <c r="D7068" t="s">
        <v>16663</v>
      </c>
      <c r="E7068" t="s">
        <v>22908</v>
      </c>
      <c r="F7068" t="s">
        <v>28669</v>
      </c>
      <c r="G7068" t="s">
        <v>28676</v>
      </c>
      <c r="H7068" t="s">
        <v>9998</v>
      </c>
      <c r="I7068" t="s">
        <v>28693</v>
      </c>
      <c r="J7068" t="s">
        <v>33263</v>
      </c>
      <c r="K7068" t="s">
        <v>37206</v>
      </c>
      <c r="M7068" t="s">
        <v>39918</v>
      </c>
      <c r="N7068" t="s">
        <v>41249</v>
      </c>
      <c r="O7068" t="s">
        <v>41250</v>
      </c>
      <c r="P7068">
        <v>0</v>
      </c>
      <c r="Q7068">
        <v>4</v>
      </c>
      <c r="R7068" t="s">
        <v>41257</v>
      </c>
      <c r="S7068" t="s">
        <v>41461</v>
      </c>
      <c r="T7068" t="s">
        <v>42767</v>
      </c>
      <c r="U7068" t="s">
        <v>49027</v>
      </c>
      <c r="W7068" t="s">
        <v>39918</v>
      </c>
      <c r="X7068" t="s">
        <v>41258</v>
      </c>
    </row>
    <row r="7069" spans="1:24">
      <c r="A7069">
        <f>HYPERLINK("https://www.philgeps.gov.ph/GEPSNONPILOT/Tender/SplashBidNoticeAbstractUI.aspx?menuIndex=3&amp;refID=7068980&amp;Result=3","7068980")</f>
        <v>0</v>
      </c>
      <c r="B7069" t="s">
        <v>2283</v>
      </c>
      <c r="C7069" t="s">
        <v>10121</v>
      </c>
      <c r="D7069" t="s">
        <v>16636</v>
      </c>
      <c r="E7069" t="s">
        <v>22909</v>
      </c>
      <c r="F7069" t="s">
        <v>28669</v>
      </c>
      <c r="G7069" t="s">
        <v>28675</v>
      </c>
      <c r="H7069" t="s">
        <v>9998</v>
      </c>
      <c r="I7069" t="s">
        <v>28696</v>
      </c>
      <c r="J7069" t="s">
        <v>33264</v>
      </c>
      <c r="K7069" t="s">
        <v>37206</v>
      </c>
      <c r="M7069" t="s">
        <v>39938</v>
      </c>
      <c r="N7069" t="s">
        <v>41249</v>
      </c>
      <c r="O7069" t="s">
        <v>41250</v>
      </c>
      <c r="P7069">
        <v>0</v>
      </c>
      <c r="Q7069">
        <v>1</v>
      </c>
      <c r="R7069" t="s">
        <v>41257</v>
      </c>
      <c r="S7069" t="s">
        <v>41461</v>
      </c>
      <c r="T7069" t="s">
        <v>42673</v>
      </c>
      <c r="U7069" t="s">
        <v>49028</v>
      </c>
      <c r="W7069" t="s">
        <v>39938</v>
      </c>
      <c r="X7069" t="s">
        <v>41258</v>
      </c>
    </row>
    <row r="7070" spans="1:24">
      <c r="A7070">
        <f>HYPERLINK("https://www.philgeps.gov.ph/GEPSNONPILOT/Tender/SplashBidNoticeAbstractUI.aspx?menuIndex=3&amp;refID=7068976&amp;Result=3","7068976")</f>
        <v>0</v>
      </c>
      <c r="B7070" t="s">
        <v>2284</v>
      </c>
      <c r="C7070" t="s">
        <v>10122</v>
      </c>
      <c r="D7070" t="s">
        <v>16625</v>
      </c>
      <c r="E7070" t="s">
        <v>22910</v>
      </c>
      <c r="F7070" t="s">
        <v>28669</v>
      </c>
      <c r="G7070" t="s">
        <v>28675</v>
      </c>
      <c r="H7070" t="s">
        <v>28686</v>
      </c>
      <c r="I7070" t="s">
        <v>28689</v>
      </c>
      <c r="J7070" t="s">
        <v>33265</v>
      </c>
      <c r="K7070" t="s">
        <v>37215</v>
      </c>
      <c r="M7070" t="s">
        <v>39939</v>
      </c>
      <c r="N7070" t="s">
        <v>41249</v>
      </c>
      <c r="O7070" t="s">
        <v>41250</v>
      </c>
      <c r="P7070">
        <v>0</v>
      </c>
      <c r="Q7070">
        <v>0</v>
      </c>
      <c r="R7070" t="s">
        <v>41257</v>
      </c>
      <c r="S7070" t="s">
        <v>41461</v>
      </c>
      <c r="T7070" t="s">
        <v>42881</v>
      </c>
      <c r="U7070" t="s">
        <v>49029</v>
      </c>
      <c r="W7070" t="s">
        <v>39939</v>
      </c>
      <c r="X7070" t="s">
        <v>41258</v>
      </c>
    </row>
    <row r="7071" spans="1:24">
      <c r="A7071">
        <f>HYPERLINK("https://www.philgeps.gov.ph/GEPSNONPILOT/Tender/SplashBidNoticeAbstractUI.aspx?menuIndex=3&amp;refID=7068975&amp;Result=3","7068975")</f>
        <v>0</v>
      </c>
      <c r="B7071" t="s">
        <v>2285</v>
      </c>
      <c r="C7071" t="s">
        <v>10123</v>
      </c>
      <c r="D7071" t="s">
        <v>16657</v>
      </c>
      <c r="E7071" t="s">
        <v>22911</v>
      </c>
      <c r="F7071" t="s">
        <v>28669</v>
      </c>
      <c r="G7071" t="s">
        <v>28675</v>
      </c>
      <c r="H7071" t="s">
        <v>9998</v>
      </c>
      <c r="I7071" t="s">
        <v>28696</v>
      </c>
      <c r="J7071" t="s">
        <v>33266</v>
      </c>
      <c r="K7071" t="s">
        <v>37210</v>
      </c>
      <c r="M7071" t="s">
        <v>39940</v>
      </c>
      <c r="N7071" t="s">
        <v>41249</v>
      </c>
      <c r="O7071" t="s">
        <v>41250</v>
      </c>
      <c r="P7071">
        <v>0</v>
      </c>
      <c r="Q7071">
        <v>5</v>
      </c>
      <c r="R7071" t="s">
        <v>41257</v>
      </c>
      <c r="S7071" t="s">
        <v>41461</v>
      </c>
      <c r="T7071" t="s">
        <v>42758</v>
      </c>
      <c r="U7071" t="s">
        <v>46942</v>
      </c>
      <c r="W7071" t="s">
        <v>39940</v>
      </c>
      <c r="X7071" t="s">
        <v>41258</v>
      </c>
    </row>
    <row r="7072" spans="1:24">
      <c r="A7072">
        <f>HYPERLINK("https://www.philgeps.gov.ph/GEPSNONPILOT/Tender/SplashBidNoticeAbstractUI.aspx?menuIndex=3&amp;refID=7068966&amp;Result=3","7068966")</f>
        <v>0</v>
      </c>
      <c r="B7072" t="s">
        <v>1770</v>
      </c>
      <c r="C7072" t="s">
        <v>10124</v>
      </c>
      <c r="D7072" t="s">
        <v>16608</v>
      </c>
      <c r="E7072" t="s">
        <v>22912</v>
      </c>
      <c r="F7072" t="s">
        <v>28669</v>
      </c>
      <c r="G7072" t="s">
        <v>28676</v>
      </c>
      <c r="H7072" t="s">
        <v>9998</v>
      </c>
      <c r="I7072" t="s">
        <v>28708</v>
      </c>
      <c r="J7072" t="s">
        <v>33267</v>
      </c>
      <c r="K7072" t="s">
        <v>37204</v>
      </c>
      <c r="M7072" t="s">
        <v>39584</v>
      </c>
      <c r="N7072" t="s">
        <v>41249</v>
      </c>
      <c r="O7072" t="s">
        <v>41250</v>
      </c>
      <c r="P7072">
        <v>0</v>
      </c>
      <c r="Q7072">
        <v>14</v>
      </c>
      <c r="R7072" t="s">
        <v>41257</v>
      </c>
      <c r="S7072" t="s">
        <v>41461</v>
      </c>
      <c r="T7072" t="s">
        <v>42774</v>
      </c>
      <c r="U7072" t="s">
        <v>47967</v>
      </c>
      <c r="W7072" t="s">
        <v>39584</v>
      </c>
      <c r="X7072" t="s">
        <v>41258</v>
      </c>
    </row>
    <row r="7073" spans="1:24">
      <c r="A7073">
        <f>HYPERLINK("https://www.philgeps.gov.ph/GEPSNONPILOT/Tender/SplashBidNoticeAbstractUI.aspx?menuIndex=3&amp;refID=7068819&amp;Result=3","7068819")</f>
        <v>0</v>
      </c>
      <c r="B7073" t="s">
        <v>2247</v>
      </c>
      <c r="C7073" t="s">
        <v>10125</v>
      </c>
      <c r="D7073" t="s">
        <v>16622</v>
      </c>
      <c r="E7073" t="s">
        <v>22913</v>
      </c>
      <c r="F7073" t="s">
        <v>28671</v>
      </c>
      <c r="G7073" t="s">
        <v>28676</v>
      </c>
      <c r="H7073" t="s">
        <v>9998</v>
      </c>
      <c r="I7073" t="s">
        <v>28690</v>
      </c>
      <c r="J7073" t="s">
        <v>33268</v>
      </c>
      <c r="K7073" t="s">
        <v>37243</v>
      </c>
      <c r="M7073" t="s">
        <v>39901</v>
      </c>
      <c r="N7073" t="s">
        <v>41249</v>
      </c>
      <c r="O7073" t="s">
        <v>41250</v>
      </c>
      <c r="P7073">
        <v>0</v>
      </c>
      <c r="Q7073">
        <v>1</v>
      </c>
      <c r="R7073" t="s">
        <v>41257</v>
      </c>
      <c r="S7073" t="s">
        <v>41461</v>
      </c>
      <c r="T7073" t="s">
        <v>42758</v>
      </c>
      <c r="U7073" t="s">
        <v>49030</v>
      </c>
      <c r="W7073" t="s">
        <v>39901</v>
      </c>
      <c r="X7073" t="s">
        <v>41258</v>
      </c>
    </row>
    <row r="7074" spans="1:24">
      <c r="A7074">
        <f>HYPERLINK("https://www.philgeps.gov.ph/GEPSNONPILOT/Tender/SplashBidNoticeAbstractUI.aspx?menuIndex=3&amp;refID=7068915&amp;Result=3","7068915")</f>
        <v>0</v>
      </c>
      <c r="B7074" t="s">
        <v>935</v>
      </c>
      <c r="C7074" t="s">
        <v>10126</v>
      </c>
      <c r="D7074" t="s">
        <v>16631</v>
      </c>
      <c r="E7074" t="s">
        <v>22914</v>
      </c>
      <c r="F7074" t="s">
        <v>28669</v>
      </c>
      <c r="G7074" t="s">
        <v>28676</v>
      </c>
      <c r="H7074" t="s">
        <v>9998</v>
      </c>
      <c r="I7074" t="s">
        <v>28693</v>
      </c>
      <c r="J7074" t="s">
        <v>28879</v>
      </c>
      <c r="K7074" t="s">
        <v>37206</v>
      </c>
      <c r="M7074" t="s">
        <v>38458</v>
      </c>
      <c r="N7074" t="s">
        <v>41249</v>
      </c>
      <c r="O7074" t="s">
        <v>41250</v>
      </c>
      <c r="P7074">
        <v>0</v>
      </c>
      <c r="Q7074">
        <v>15</v>
      </c>
      <c r="R7074" t="s">
        <v>41257</v>
      </c>
      <c r="S7074" t="s">
        <v>41461</v>
      </c>
      <c r="T7074" t="s">
        <v>42675</v>
      </c>
      <c r="U7074" t="s">
        <v>49031</v>
      </c>
      <c r="W7074" t="s">
        <v>38458</v>
      </c>
      <c r="X7074" t="s">
        <v>41258</v>
      </c>
    </row>
    <row r="7075" spans="1:24">
      <c r="A7075">
        <f>HYPERLINK("https://www.philgeps.gov.ph/GEPSNONPILOT/Tender/SplashBidNoticeAbstractUI.aspx?menuIndex=3&amp;refID=7068958&amp;Result=3","7068958")</f>
        <v>0</v>
      </c>
      <c r="B7075" t="s">
        <v>2281</v>
      </c>
      <c r="C7075" t="s">
        <v>10127</v>
      </c>
      <c r="D7075" t="s">
        <v>16640</v>
      </c>
      <c r="E7075" t="s">
        <v>22915</v>
      </c>
      <c r="F7075" t="s">
        <v>28669</v>
      </c>
      <c r="G7075" t="s">
        <v>28675</v>
      </c>
      <c r="H7075" t="s">
        <v>28686</v>
      </c>
      <c r="I7075" t="s">
        <v>28689</v>
      </c>
      <c r="J7075" t="s">
        <v>33269</v>
      </c>
      <c r="K7075" t="s">
        <v>37228</v>
      </c>
      <c r="M7075" t="s">
        <v>39936</v>
      </c>
      <c r="N7075" t="s">
        <v>41249</v>
      </c>
      <c r="O7075" t="s">
        <v>41250</v>
      </c>
      <c r="P7075">
        <v>0</v>
      </c>
      <c r="Q7075">
        <v>1</v>
      </c>
      <c r="R7075" t="s">
        <v>41257</v>
      </c>
      <c r="S7075" t="s">
        <v>41461</v>
      </c>
      <c r="T7075" t="s">
        <v>42668</v>
      </c>
      <c r="U7075" t="s">
        <v>49032</v>
      </c>
      <c r="V7075" t="s">
        <v>55086</v>
      </c>
      <c r="W7075" t="s">
        <v>39936</v>
      </c>
      <c r="X7075" t="s">
        <v>41258</v>
      </c>
    </row>
    <row r="7076" spans="1:24">
      <c r="A7076">
        <f>HYPERLINK("https://www.philgeps.gov.ph/GEPSNONPILOT/Tender/SplashBidNoticeAbstractUI.aspx?menuIndex=3&amp;refID=7068723&amp;Result=3","7068723")</f>
        <v>0</v>
      </c>
      <c r="B7076" t="s">
        <v>2286</v>
      </c>
      <c r="C7076" t="s">
        <v>10128</v>
      </c>
      <c r="D7076" t="s">
        <v>16643</v>
      </c>
      <c r="E7076" t="s">
        <v>22916</v>
      </c>
      <c r="F7076" t="s">
        <v>28669</v>
      </c>
      <c r="G7076" t="s">
        <v>28675</v>
      </c>
      <c r="H7076" t="s">
        <v>28684</v>
      </c>
      <c r="I7076" t="s">
        <v>10128</v>
      </c>
      <c r="J7076" t="s">
        <v>33270</v>
      </c>
      <c r="K7076" t="s">
        <v>37272</v>
      </c>
      <c r="M7076" t="s">
        <v>39941</v>
      </c>
      <c r="N7076" t="s">
        <v>41249</v>
      </c>
      <c r="O7076" t="s">
        <v>41250</v>
      </c>
      <c r="P7076">
        <v>0</v>
      </c>
      <c r="Q7076">
        <v>1</v>
      </c>
      <c r="R7076" t="s">
        <v>41257</v>
      </c>
      <c r="S7076" t="s">
        <v>41461</v>
      </c>
      <c r="T7076" t="s">
        <v>42700</v>
      </c>
      <c r="U7076" t="s">
        <v>49033</v>
      </c>
      <c r="W7076" t="s">
        <v>39941</v>
      </c>
      <c r="X7076" t="s">
        <v>41258</v>
      </c>
    </row>
    <row r="7077" spans="1:24">
      <c r="A7077">
        <f>HYPERLINK("https://www.philgeps.gov.ph/GEPSNONPILOT/Tender/SplashBidNoticeAbstractUI.aspx?menuIndex=3&amp;refID=7068947&amp;Result=3","7068947")</f>
        <v>0</v>
      </c>
      <c r="B7077" t="s">
        <v>648</v>
      </c>
      <c r="C7077" t="s">
        <v>10129</v>
      </c>
      <c r="D7077" t="s">
        <v>16648</v>
      </c>
      <c r="E7077" t="s">
        <v>22917</v>
      </c>
      <c r="F7077" t="s">
        <v>28669</v>
      </c>
      <c r="G7077" t="s">
        <v>28675</v>
      </c>
      <c r="H7077" t="s">
        <v>9998</v>
      </c>
      <c r="I7077" t="s">
        <v>7352</v>
      </c>
      <c r="J7077" t="s">
        <v>33271</v>
      </c>
      <c r="K7077" t="s">
        <v>37210</v>
      </c>
      <c r="M7077" t="s">
        <v>38149</v>
      </c>
      <c r="N7077" t="s">
        <v>41249</v>
      </c>
      <c r="O7077" t="s">
        <v>41250</v>
      </c>
      <c r="P7077">
        <v>0</v>
      </c>
      <c r="Q7077">
        <v>0</v>
      </c>
      <c r="R7077" t="s">
        <v>41257</v>
      </c>
      <c r="S7077" t="s">
        <v>41461</v>
      </c>
      <c r="T7077" t="s">
        <v>42679</v>
      </c>
      <c r="U7077" t="s">
        <v>49034</v>
      </c>
      <c r="W7077" t="s">
        <v>38149</v>
      </c>
      <c r="X7077" t="s">
        <v>41258</v>
      </c>
    </row>
    <row r="7078" spans="1:24">
      <c r="A7078">
        <f>HYPERLINK("https://www.philgeps.gov.ph/GEPSNONPILOT/Tender/SplashBidNoticeAbstractUI.aspx?menuIndex=3&amp;refID=7068972&amp;Result=3","7068972")</f>
        <v>0</v>
      </c>
      <c r="B7078" t="s">
        <v>935</v>
      </c>
      <c r="C7078" t="s">
        <v>10130</v>
      </c>
      <c r="D7078" t="s">
        <v>16631</v>
      </c>
      <c r="E7078" t="s">
        <v>22918</v>
      </c>
      <c r="F7078" t="s">
        <v>28669</v>
      </c>
      <c r="G7078" t="s">
        <v>28676</v>
      </c>
      <c r="H7078" t="s">
        <v>9998</v>
      </c>
      <c r="I7078" t="s">
        <v>28693</v>
      </c>
      <c r="J7078" t="s">
        <v>29040</v>
      </c>
      <c r="K7078" t="s">
        <v>37206</v>
      </c>
      <c r="M7078" t="s">
        <v>38458</v>
      </c>
      <c r="N7078" t="s">
        <v>41249</v>
      </c>
      <c r="O7078" t="s">
        <v>41250</v>
      </c>
      <c r="P7078">
        <v>0</v>
      </c>
      <c r="Q7078">
        <v>14</v>
      </c>
      <c r="R7078" t="s">
        <v>41257</v>
      </c>
      <c r="S7078" t="s">
        <v>41461</v>
      </c>
      <c r="T7078" t="s">
        <v>42675</v>
      </c>
      <c r="U7078" t="s">
        <v>49035</v>
      </c>
      <c r="W7078" t="s">
        <v>38458</v>
      </c>
      <c r="X7078" t="s">
        <v>41258</v>
      </c>
    </row>
    <row r="7079" spans="1:24">
      <c r="A7079">
        <f>HYPERLINK("https://www.philgeps.gov.ph/GEPSNONPILOT/Tender/SplashBidNoticeAbstractUI.aspx?menuIndex=3&amp;refID=7068913&amp;Result=3","7068913")</f>
        <v>0</v>
      </c>
      <c r="B7079" t="s">
        <v>2284</v>
      </c>
      <c r="C7079" t="s">
        <v>10131</v>
      </c>
      <c r="D7079" t="s">
        <v>16625</v>
      </c>
      <c r="E7079" t="s">
        <v>22919</v>
      </c>
      <c r="F7079" t="s">
        <v>28669</v>
      </c>
      <c r="G7079" t="s">
        <v>28675</v>
      </c>
      <c r="H7079" t="s">
        <v>28686</v>
      </c>
      <c r="I7079" t="s">
        <v>28689</v>
      </c>
      <c r="J7079" t="s">
        <v>33272</v>
      </c>
      <c r="K7079" t="s">
        <v>37221</v>
      </c>
      <c r="M7079" t="s">
        <v>39939</v>
      </c>
      <c r="N7079" t="s">
        <v>41249</v>
      </c>
      <c r="O7079" t="s">
        <v>41250</v>
      </c>
      <c r="P7079">
        <v>0</v>
      </c>
      <c r="Q7079">
        <v>0</v>
      </c>
      <c r="R7079" t="s">
        <v>41257</v>
      </c>
      <c r="S7079" t="s">
        <v>41461</v>
      </c>
      <c r="T7079" t="s">
        <v>42658</v>
      </c>
      <c r="U7079" t="s">
        <v>49036</v>
      </c>
      <c r="W7079" t="s">
        <v>39939</v>
      </c>
      <c r="X7079" t="s">
        <v>41258</v>
      </c>
    </row>
    <row r="7080" spans="1:24">
      <c r="A7080">
        <f>HYPERLINK("https://www.philgeps.gov.ph/GEPSNONPILOT/Tender/SplashBidNoticeAbstractUI.aspx?menuIndex=3&amp;refID=7068962&amp;Result=3","7068962")</f>
        <v>0</v>
      </c>
      <c r="B7080" t="s">
        <v>483</v>
      </c>
      <c r="C7080" t="s">
        <v>10132</v>
      </c>
      <c r="D7080" t="s">
        <v>16676</v>
      </c>
      <c r="E7080" t="s">
        <v>22920</v>
      </c>
      <c r="F7080" t="s">
        <v>28669</v>
      </c>
      <c r="G7080" t="s">
        <v>28675</v>
      </c>
      <c r="H7080" t="s">
        <v>9998</v>
      </c>
      <c r="I7080" t="s">
        <v>5286</v>
      </c>
      <c r="J7080" t="s">
        <v>33273</v>
      </c>
      <c r="K7080" t="s">
        <v>37220</v>
      </c>
      <c r="M7080" t="s">
        <v>37971</v>
      </c>
      <c r="N7080" t="s">
        <v>41249</v>
      </c>
      <c r="O7080" t="s">
        <v>41250</v>
      </c>
      <c r="P7080">
        <v>0</v>
      </c>
      <c r="Q7080">
        <v>2</v>
      </c>
      <c r="R7080" t="s">
        <v>41257</v>
      </c>
      <c r="S7080" t="s">
        <v>41461</v>
      </c>
      <c r="T7080" t="s">
        <v>42673</v>
      </c>
      <c r="U7080" t="s">
        <v>49037</v>
      </c>
      <c r="W7080" t="s">
        <v>37971</v>
      </c>
      <c r="X7080" t="s">
        <v>41258</v>
      </c>
    </row>
    <row r="7081" spans="1:24">
      <c r="A7081">
        <f>HYPERLINK("https://www.philgeps.gov.ph/GEPSNONPILOT/Tender/SplashBidNoticeAbstractUI.aspx?menuIndex=3&amp;refID=7068959&amp;Result=3","7068959")</f>
        <v>0</v>
      </c>
      <c r="B7081" t="s">
        <v>202</v>
      </c>
      <c r="C7081" t="s">
        <v>10133</v>
      </c>
      <c r="D7081" t="s">
        <v>16629</v>
      </c>
      <c r="E7081" t="s">
        <v>22921</v>
      </c>
      <c r="F7081" t="s">
        <v>28669</v>
      </c>
      <c r="G7081" t="s">
        <v>28675</v>
      </c>
      <c r="H7081" t="s">
        <v>28686</v>
      </c>
      <c r="I7081" t="s">
        <v>28689</v>
      </c>
      <c r="J7081" t="s">
        <v>33274</v>
      </c>
      <c r="K7081" t="s">
        <v>37213</v>
      </c>
      <c r="M7081" t="s">
        <v>37680</v>
      </c>
      <c r="N7081" t="s">
        <v>41249</v>
      </c>
      <c r="O7081" t="s">
        <v>41250</v>
      </c>
      <c r="P7081">
        <v>0</v>
      </c>
      <c r="Q7081">
        <v>0</v>
      </c>
      <c r="R7081" t="s">
        <v>41257</v>
      </c>
      <c r="S7081" t="s">
        <v>41461</v>
      </c>
      <c r="T7081" t="s">
        <v>42736</v>
      </c>
      <c r="U7081" t="s">
        <v>49038</v>
      </c>
      <c r="W7081" t="s">
        <v>37680</v>
      </c>
      <c r="X7081" t="s">
        <v>41258</v>
      </c>
    </row>
    <row r="7082" spans="1:24">
      <c r="A7082">
        <f>HYPERLINK("https://www.philgeps.gov.ph/GEPSNONPILOT/Tender/SplashBidNoticeAbstractUI.aspx?menuIndex=3&amp;refID=7068941&amp;Result=3","7068941")</f>
        <v>0</v>
      </c>
      <c r="B7082" t="s">
        <v>47</v>
      </c>
      <c r="C7082" t="s">
        <v>10134</v>
      </c>
      <c r="D7082" t="s">
        <v>16611</v>
      </c>
      <c r="E7082" t="s">
        <v>22922</v>
      </c>
      <c r="F7082" t="s">
        <v>28669</v>
      </c>
      <c r="G7082" t="s">
        <v>28675</v>
      </c>
      <c r="H7082" t="s">
        <v>9998</v>
      </c>
      <c r="I7082" t="s">
        <v>28757</v>
      </c>
      <c r="J7082" t="s">
        <v>29459</v>
      </c>
      <c r="K7082" t="s">
        <v>37206</v>
      </c>
      <c r="M7082" t="s">
        <v>37522</v>
      </c>
      <c r="N7082" t="s">
        <v>41249</v>
      </c>
      <c r="O7082" t="s">
        <v>41250</v>
      </c>
      <c r="P7082">
        <v>0</v>
      </c>
      <c r="Q7082">
        <v>2</v>
      </c>
      <c r="R7082" t="s">
        <v>41257</v>
      </c>
      <c r="S7082" t="s">
        <v>41461</v>
      </c>
      <c r="T7082" t="s">
        <v>42757</v>
      </c>
      <c r="U7082" t="s">
        <v>49039</v>
      </c>
      <c r="W7082" t="s">
        <v>37522</v>
      </c>
      <c r="X7082" t="s">
        <v>41258</v>
      </c>
    </row>
    <row r="7083" spans="1:24">
      <c r="A7083">
        <f>HYPERLINK("https://www.philgeps.gov.ph/GEPSNONPILOT/Tender/SplashBidNoticeAbstractUI.aspx?menuIndex=3&amp;refID=7068928&amp;Result=3","7068928")</f>
        <v>0</v>
      </c>
      <c r="B7083" t="s">
        <v>2271</v>
      </c>
      <c r="C7083" t="s">
        <v>10135</v>
      </c>
      <c r="D7083" t="s">
        <v>16683</v>
      </c>
      <c r="E7083" t="s">
        <v>22923</v>
      </c>
      <c r="F7083" t="s">
        <v>28669</v>
      </c>
      <c r="G7083" t="s">
        <v>28675</v>
      </c>
      <c r="H7083" t="s">
        <v>28686</v>
      </c>
      <c r="I7083" t="s">
        <v>28689</v>
      </c>
      <c r="J7083" t="s">
        <v>30227</v>
      </c>
      <c r="K7083" t="s">
        <v>37329</v>
      </c>
      <c r="M7083" t="s">
        <v>39926</v>
      </c>
      <c r="N7083" t="s">
        <v>41249</v>
      </c>
      <c r="O7083" t="s">
        <v>41250</v>
      </c>
      <c r="P7083">
        <v>0</v>
      </c>
      <c r="Q7083">
        <v>0</v>
      </c>
      <c r="R7083" t="s">
        <v>41257</v>
      </c>
      <c r="S7083" t="s">
        <v>41461</v>
      </c>
      <c r="T7083" t="s">
        <v>42678</v>
      </c>
      <c r="U7083" t="s">
        <v>49040</v>
      </c>
      <c r="W7083" t="s">
        <v>39926</v>
      </c>
      <c r="X7083" t="s">
        <v>41258</v>
      </c>
    </row>
    <row r="7084" spans="1:24">
      <c r="A7084">
        <f>HYPERLINK("https://www.philgeps.gov.ph/GEPSNONPILOT/Tender/SplashBidNoticeAbstractUI.aspx?menuIndex=3&amp;refID=7068924&amp;Result=3","7068924")</f>
        <v>0</v>
      </c>
      <c r="B7084" t="s">
        <v>2270</v>
      </c>
      <c r="C7084" t="s">
        <v>10136</v>
      </c>
      <c r="D7084" t="s">
        <v>16675</v>
      </c>
      <c r="E7084" t="s">
        <v>22924</v>
      </c>
      <c r="F7084" t="s">
        <v>28669</v>
      </c>
      <c r="G7084" t="s">
        <v>28676</v>
      </c>
      <c r="H7084" t="s">
        <v>9998</v>
      </c>
      <c r="I7084" t="s">
        <v>28755</v>
      </c>
      <c r="J7084" t="s">
        <v>29040</v>
      </c>
      <c r="K7084" t="s">
        <v>37209</v>
      </c>
      <c r="M7084" t="s">
        <v>39925</v>
      </c>
      <c r="N7084" t="s">
        <v>41249</v>
      </c>
      <c r="O7084" t="s">
        <v>41250</v>
      </c>
      <c r="P7084">
        <v>0</v>
      </c>
      <c r="Q7084">
        <v>0</v>
      </c>
      <c r="R7084" t="s">
        <v>41257</v>
      </c>
      <c r="S7084" t="s">
        <v>41461</v>
      </c>
      <c r="T7084" t="s">
        <v>43042</v>
      </c>
      <c r="U7084" t="s">
        <v>49041</v>
      </c>
      <c r="W7084" t="s">
        <v>55985</v>
      </c>
      <c r="X7084" t="s">
        <v>41258</v>
      </c>
    </row>
    <row r="7085" spans="1:24">
      <c r="A7085">
        <f>HYPERLINK("https://www.philgeps.gov.ph/GEPSNONPILOT/Tender/SplashBidNoticeAbstractUI.aspx?menuIndex=3&amp;refID=7068954&amp;Result=3","7068954")</f>
        <v>0</v>
      </c>
      <c r="B7085" t="s">
        <v>2276</v>
      </c>
      <c r="C7085" t="s">
        <v>8080</v>
      </c>
      <c r="D7085" t="s">
        <v>16648</v>
      </c>
      <c r="E7085" t="s">
        <v>22889</v>
      </c>
      <c r="F7085" t="s">
        <v>28672</v>
      </c>
      <c r="G7085" t="s">
        <v>28675</v>
      </c>
      <c r="H7085" t="s">
        <v>9998</v>
      </c>
      <c r="I7085" t="s">
        <v>7352</v>
      </c>
      <c r="J7085" t="s">
        <v>30665</v>
      </c>
      <c r="K7085" t="s">
        <v>37205</v>
      </c>
      <c r="M7085" t="s">
        <v>39931</v>
      </c>
      <c r="N7085" t="s">
        <v>41249</v>
      </c>
      <c r="O7085" t="s">
        <v>41250</v>
      </c>
      <c r="P7085">
        <v>0</v>
      </c>
      <c r="Q7085">
        <v>0</v>
      </c>
      <c r="R7085" t="s">
        <v>41257</v>
      </c>
      <c r="S7085" t="s">
        <v>41461</v>
      </c>
      <c r="T7085" t="s">
        <v>42664</v>
      </c>
      <c r="U7085" t="s">
        <v>49005</v>
      </c>
      <c r="W7085" t="s">
        <v>39931</v>
      </c>
      <c r="X7085" t="s">
        <v>41258</v>
      </c>
    </row>
    <row r="7086" spans="1:24">
      <c r="A7086">
        <f>HYPERLINK("https://www.philgeps.gov.ph/GEPSNONPILOT/Tender/SplashBidNoticeAbstractUI.aspx?menuIndex=3&amp;refID=7068720&amp;Result=3","7068720")</f>
        <v>0</v>
      </c>
      <c r="B7086" t="s">
        <v>2287</v>
      </c>
      <c r="C7086" t="s">
        <v>10137</v>
      </c>
      <c r="D7086" t="s">
        <v>16684</v>
      </c>
      <c r="E7086" t="s">
        <v>17728</v>
      </c>
      <c r="F7086" t="s">
        <v>28669</v>
      </c>
      <c r="G7086" t="s">
        <v>28675</v>
      </c>
      <c r="H7086" t="s">
        <v>9998</v>
      </c>
      <c r="I7086" t="s">
        <v>28719</v>
      </c>
      <c r="J7086" t="s">
        <v>29644</v>
      </c>
      <c r="K7086" t="s">
        <v>37204</v>
      </c>
      <c r="M7086" t="s">
        <v>39942</v>
      </c>
      <c r="N7086" t="s">
        <v>41249</v>
      </c>
      <c r="O7086" t="s">
        <v>41250</v>
      </c>
      <c r="P7086">
        <v>0</v>
      </c>
      <c r="Q7086">
        <v>2</v>
      </c>
      <c r="R7086" t="s">
        <v>41257</v>
      </c>
      <c r="S7086" t="s">
        <v>41461</v>
      </c>
      <c r="T7086" t="s">
        <v>42663</v>
      </c>
      <c r="U7086" t="s">
        <v>49042</v>
      </c>
      <c r="W7086" t="s">
        <v>39942</v>
      </c>
      <c r="X7086" t="s">
        <v>41258</v>
      </c>
    </row>
    <row r="7087" spans="1:24">
      <c r="A7087">
        <f>HYPERLINK("https://www.philgeps.gov.ph/GEPSNONPILOT/Tender/SplashBidNoticeAbstractUI.aspx?menuIndex=3&amp;refID=7068949&amp;Result=3","7068949")</f>
        <v>0</v>
      </c>
      <c r="B7087" t="s">
        <v>2200</v>
      </c>
      <c r="C7087" t="s">
        <v>10138</v>
      </c>
      <c r="D7087" t="s">
        <v>16646</v>
      </c>
      <c r="E7087" t="s">
        <v>22925</v>
      </c>
      <c r="F7087" t="s">
        <v>28669</v>
      </c>
      <c r="G7087" t="s">
        <v>28676</v>
      </c>
      <c r="H7087" t="s">
        <v>28685</v>
      </c>
      <c r="I7087" t="s">
        <v>28685</v>
      </c>
      <c r="J7087" t="s">
        <v>33155</v>
      </c>
      <c r="K7087" t="s">
        <v>37316</v>
      </c>
      <c r="M7087" t="s">
        <v>39850</v>
      </c>
      <c r="N7087" t="s">
        <v>41249</v>
      </c>
      <c r="O7087" t="s">
        <v>41250</v>
      </c>
      <c r="P7087">
        <v>0</v>
      </c>
      <c r="Q7087">
        <v>3</v>
      </c>
      <c r="R7087" t="s">
        <v>41257</v>
      </c>
      <c r="S7087" t="s">
        <v>41461</v>
      </c>
      <c r="T7087" t="s">
        <v>42727</v>
      </c>
      <c r="U7087" t="s">
        <v>48756</v>
      </c>
      <c r="V7087" t="s">
        <v>55042</v>
      </c>
      <c r="W7087" t="s">
        <v>39850</v>
      </c>
      <c r="X7087" t="s">
        <v>41258</v>
      </c>
    </row>
    <row r="7088" spans="1:24">
      <c r="A7088">
        <f>HYPERLINK("https://www.philgeps.gov.ph/GEPSNONPILOT/Tender/SplashBidNoticeAbstractUI.aspx?menuIndex=3&amp;refID=7069053&amp;Result=3","7069053")</f>
        <v>0</v>
      </c>
      <c r="B7088" t="s">
        <v>2277</v>
      </c>
      <c r="C7088" t="s">
        <v>10139</v>
      </c>
      <c r="D7088" t="s">
        <v>16626</v>
      </c>
      <c r="E7088" t="s">
        <v>22926</v>
      </c>
      <c r="F7088" t="s">
        <v>28669</v>
      </c>
      <c r="G7088" t="s">
        <v>28675</v>
      </c>
      <c r="H7088" t="s">
        <v>9998</v>
      </c>
      <c r="I7088" t="s">
        <v>28708</v>
      </c>
      <c r="J7088" t="s">
        <v>33275</v>
      </c>
      <c r="K7088" t="s">
        <v>37209</v>
      </c>
      <c r="M7088" t="s">
        <v>39932</v>
      </c>
      <c r="N7088" t="s">
        <v>41249</v>
      </c>
      <c r="O7088" t="s">
        <v>41250</v>
      </c>
      <c r="P7088">
        <v>0</v>
      </c>
      <c r="Q7088">
        <v>1</v>
      </c>
      <c r="R7088" t="s">
        <v>41257</v>
      </c>
      <c r="S7088" t="s">
        <v>41461</v>
      </c>
      <c r="T7088" t="s">
        <v>42809</v>
      </c>
      <c r="U7088" t="s">
        <v>49043</v>
      </c>
      <c r="W7088" t="s">
        <v>39932</v>
      </c>
      <c r="X7088" t="s">
        <v>41258</v>
      </c>
    </row>
    <row r="7089" spans="1:24">
      <c r="A7089">
        <f>HYPERLINK("https://www.philgeps.gov.ph/GEPSNONPILOT/Tender/SplashBidNoticeAbstractUI.aspx?menuIndex=3&amp;refID=7068946&amp;Result=3","7068946")</f>
        <v>0</v>
      </c>
      <c r="B7089" t="s">
        <v>2284</v>
      </c>
      <c r="C7089" t="s">
        <v>10140</v>
      </c>
      <c r="D7089" t="s">
        <v>16625</v>
      </c>
      <c r="E7089" t="s">
        <v>22927</v>
      </c>
      <c r="F7089" t="s">
        <v>28669</v>
      </c>
      <c r="G7089" t="s">
        <v>28675</v>
      </c>
      <c r="H7089" t="s">
        <v>28686</v>
      </c>
      <c r="I7089" t="s">
        <v>28689</v>
      </c>
      <c r="J7089" t="s">
        <v>33276</v>
      </c>
      <c r="K7089" t="s">
        <v>37215</v>
      </c>
      <c r="M7089" t="s">
        <v>39939</v>
      </c>
      <c r="N7089" t="s">
        <v>41249</v>
      </c>
      <c r="O7089" t="s">
        <v>41250</v>
      </c>
      <c r="P7089">
        <v>0</v>
      </c>
      <c r="Q7089">
        <v>0</v>
      </c>
      <c r="R7089" t="s">
        <v>41257</v>
      </c>
      <c r="S7089" t="s">
        <v>41461</v>
      </c>
      <c r="T7089" t="s">
        <v>43000</v>
      </c>
      <c r="U7089" t="s">
        <v>49044</v>
      </c>
      <c r="W7089" t="s">
        <v>39939</v>
      </c>
      <c r="X7089" t="s">
        <v>41258</v>
      </c>
    </row>
    <row r="7090" spans="1:24">
      <c r="A7090">
        <f>HYPERLINK("https://www.philgeps.gov.ph/GEPSNONPILOT/Tender/SplashBidNoticeAbstractUI.aspx?menuIndex=3&amp;refID=7068926&amp;Result=3","7068926")</f>
        <v>0</v>
      </c>
      <c r="B7090" t="s">
        <v>2263</v>
      </c>
      <c r="C7090" t="s">
        <v>10141</v>
      </c>
      <c r="D7090" t="s">
        <v>16663</v>
      </c>
      <c r="E7090" t="s">
        <v>22928</v>
      </c>
      <c r="F7090" t="s">
        <v>28669</v>
      </c>
      <c r="G7090" t="s">
        <v>28676</v>
      </c>
      <c r="H7090" t="s">
        <v>9998</v>
      </c>
      <c r="I7090" t="s">
        <v>28708</v>
      </c>
      <c r="J7090" t="s">
        <v>29150</v>
      </c>
      <c r="K7090" t="s">
        <v>37206</v>
      </c>
      <c r="M7090" t="s">
        <v>39918</v>
      </c>
      <c r="N7090" t="s">
        <v>41249</v>
      </c>
      <c r="O7090" t="s">
        <v>41250</v>
      </c>
      <c r="P7090">
        <v>0</v>
      </c>
      <c r="Q7090">
        <v>0</v>
      </c>
      <c r="R7090" t="s">
        <v>41257</v>
      </c>
      <c r="S7090" t="s">
        <v>41461</v>
      </c>
      <c r="T7090" t="s">
        <v>42767</v>
      </c>
      <c r="U7090" t="s">
        <v>49045</v>
      </c>
      <c r="W7090" t="s">
        <v>39918</v>
      </c>
      <c r="X7090" t="s">
        <v>41258</v>
      </c>
    </row>
    <row r="7091" spans="1:24">
      <c r="A7091">
        <f>HYPERLINK("https://www.philgeps.gov.ph/GEPSNONPILOT/Tender/SplashBidNoticeAbstractUI.aspx?menuIndex=3&amp;refID=7068927&amp;Result=3","7068927")</f>
        <v>0</v>
      </c>
      <c r="B7091" t="s">
        <v>433</v>
      </c>
      <c r="C7091" t="s">
        <v>10142</v>
      </c>
      <c r="D7091" t="s">
        <v>16626</v>
      </c>
      <c r="E7091" t="s">
        <v>22929</v>
      </c>
      <c r="F7091" t="s">
        <v>28669</v>
      </c>
      <c r="G7091" t="s">
        <v>28675</v>
      </c>
      <c r="H7091" t="s">
        <v>9998</v>
      </c>
      <c r="I7091" t="s">
        <v>5286</v>
      </c>
      <c r="J7091" t="s">
        <v>33277</v>
      </c>
      <c r="K7091" t="s">
        <v>37205</v>
      </c>
      <c r="M7091" t="s">
        <v>37918</v>
      </c>
      <c r="N7091" t="s">
        <v>41249</v>
      </c>
      <c r="O7091" t="s">
        <v>41250</v>
      </c>
      <c r="P7091">
        <v>0</v>
      </c>
      <c r="Q7091">
        <v>7</v>
      </c>
      <c r="R7091" t="s">
        <v>41257</v>
      </c>
      <c r="S7091" t="s">
        <v>41461</v>
      </c>
      <c r="T7091" t="s">
        <v>42726</v>
      </c>
      <c r="U7091" t="s">
        <v>43916</v>
      </c>
      <c r="W7091" t="s">
        <v>37918</v>
      </c>
      <c r="X7091" t="s">
        <v>41258</v>
      </c>
    </row>
    <row r="7092" spans="1:24">
      <c r="A7092">
        <f>HYPERLINK("https://www.philgeps.gov.ph/GEPSNONPILOT/Tender/SplashBidNoticeAbstractUI.aspx?menuIndex=3&amp;refID=7069041&amp;Result=3","7069041")</f>
        <v>0</v>
      </c>
      <c r="B7092" t="s">
        <v>2288</v>
      </c>
      <c r="C7092" t="s">
        <v>10143</v>
      </c>
      <c r="D7092" t="s">
        <v>16678</v>
      </c>
      <c r="E7092" t="s">
        <v>22930</v>
      </c>
      <c r="F7092" t="s">
        <v>28669</v>
      </c>
      <c r="G7092" t="s">
        <v>28681</v>
      </c>
      <c r="H7092" t="s">
        <v>9998</v>
      </c>
      <c r="I7092" t="s">
        <v>7352</v>
      </c>
      <c r="J7092" t="s">
        <v>33278</v>
      </c>
      <c r="K7092" t="s">
        <v>37208</v>
      </c>
      <c r="M7092" t="s">
        <v>39943</v>
      </c>
      <c r="N7092" t="s">
        <v>41249</v>
      </c>
      <c r="O7092" t="s">
        <v>41250</v>
      </c>
      <c r="P7092">
        <v>0</v>
      </c>
      <c r="Q7092">
        <v>0</v>
      </c>
      <c r="R7092" t="s">
        <v>41257</v>
      </c>
      <c r="S7092" t="s">
        <v>41461</v>
      </c>
      <c r="T7092" t="s">
        <v>42758</v>
      </c>
      <c r="U7092" t="s">
        <v>49046</v>
      </c>
      <c r="W7092" t="s">
        <v>39943</v>
      </c>
      <c r="X7092" t="s">
        <v>41258</v>
      </c>
    </row>
    <row r="7093" spans="1:24">
      <c r="A7093">
        <f>HYPERLINK("https://www.philgeps.gov.ph/GEPSNONPILOT/Tender/SplashBidNoticeAbstractUI.aspx?menuIndex=3&amp;refID=7069040&amp;Result=3","7069040")</f>
        <v>0</v>
      </c>
      <c r="B7093" t="s">
        <v>2289</v>
      </c>
      <c r="C7093" t="s">
        <v>10144</v>
      </c>
      <c r="D7093" t="s">
        <v>16647</v>
      </c>
      <c r="E7093" t="s">
        <v>22931</v>
      </c>
      <c r="F7093" t="s">
        <v>28669</v>
      </c>
      <c r="G7093" t="s">
        <v>28676</v>
      </c>
      <c r="H7093" t="s">
        <v>9998</v>
      </c>
      <c r="I7093" t="s">
        <v>28704</v>
      </c>
      <c r="J7093" t="s">
        <v>30041</v>
      </c>
      <c r="K7093" t="s">
        <v>37206</v>
      </c>
      <c r="M7093" t="s">
        <v>39944</v>
      </c>
      <c r="N7093" t="s">
        <v>41249</v>
      </c>
      <c r="O7093" t="s">
        <v>41250</v>
      </c>
      <c r="P7093">
        <v>0</v>
      </c>
      <c r="Q7093">
        <v>0</v>
      </c>
      <c r="R7093" t="s">
        <v>41257</v>
      </c>
      <c r="S7093" t="s">
        <v>41461</v>
      </c>
      <c r="T7093" t="s">
        <v>42887</v>
      </c>
      <c r="U7093" t="s">
        <v>49047</v>
      </c>
      <c r="W7093" t="s">
        <v>39944</v>
      </c>
      <c r="X7093" t="s">
        <v>41258</v>
      </c>
    </row>
    <row r="7094" spans="1:24">
      <c r="A7094">
        <f>HYPERLINK("https://www.philgeps.gov.ph/GEPSNONPILOT/Tender/SplashBidNoticeAbstractUI.aspx?menuIndex=3&amp;refID=7069037&amp;Result=3","7069037")</f>
        <v>0</v>
      </c>
      <c r="B7094" t="s">
        <v>372</v>
      </c>
      <c r="C7094" t="s">
        <v>10145</v>
      </c>
      <c r="D7094" t="s">
        <v>16663</v>
      </c>
      <c r="E7094" t="s">
        <v>22932</v>
      </c>
      <c r="F7094" t="s">
        <v>28669</v>
      </c>
      <c r="G7094" t="s">
        <v>28677</v>
      </c>
      <c r="H7094" t="s">
        <v>9998</v>
      </c>
      <c r="I7094" t="s">
        <v>28704</v>
      </c>
      <c r="J7094" t="s">
        <v>29657</v>
      </c>
      <c r="K7094" t="s">
        <v>37209</v>
      </c>
      <c r="M7094" t="s">
        <v>37854</v>
      </c>
      <c r="N7094" t="s">
        <v>41249</v>
      </c>
      <c r="O7094" t="s">
        <v>41250</v>
      </c>
      <c r="Q7094">
        <v>1</v>
      </c>
      <c r="R7094" t="s">
        <v>41257</v>
      </c>
      <c r="S7094" t="s">
        <v>41478</v>
      </c>
      <c r="T7094" t="s">
        <v>42736</v>
      </c>
      <c r="U7094" t="s">
        <v>49048</v>
      </c>
      <c r="W7094" t="s">
        <v>37854</v>
      </c>
      <c r="X7094" t="s">
        <v>41258</v>
      </c>
    </row>
    <row r="7095" spans="1:24">
      <c r="A7095">
        <f>HYPERLINK("https://www.philgeps.gov.ph/GEPSNONPILOT/Tender/SplashBidNoticeAbstractUI.aspx?menuIndex=3&amp;refID=7069033&amp;Result=3","7069033")</f>
        <v>0</v>
      </c>
      <c r="B7095" t="s">
        <v>2271</v>
      </c>
      <c r="C7095" t="s">
        <v>10146</v>
      </c>
      <c r="D7095" t="s">
        <v>16683</v>
      </c>
      <c r="E7095" t="s">
        <v>22933</v>
      </c>
      <c r="F7095" t="s">
        <v>28669</v>
      </c>
      <c r="G7095" t="s">
        <v>28675</v>
      </c>
      <c r="H7095" t="s">
        <v>9998</v>
      </c>
      <c r="I7095" t="s">
        <v>28706</v>
      </c>
      <c r="J7095" t="s">
        <v>33279</v>
      </c>
      <c r="K7095" t="s">
        <v>37209</v>
      </c>
      <c r="M7095" t="s">
        <v>39926</v>
      </c>
      <c r="N7095" t="s">
        <v>41249</v>
      </c>
      <c r="O7095" t="s">
        <v>41250</v>
      </c>
      <c r="P7095">
        <v>0</v>
      </c>
      <c r="Q7095">
        <v>5</v>
      </c>
      <c r="R7095" t="s">
        <v>41257</v>
      </c>
      <c r="S7095" t="s">
        <v>41461</v>
      </c>
      <c r="T7095" t="s">
        <v>42678</v>
      </c>
      <c r="U7095" t="s">
        <v>49049</v>
      </c>
      <c r="W7095" t="s">
        <v>39926</v>
      </c>
      <c r="X7095" t="s">
        <v>41258</v>
      </c>
    </row>
    <row r="7096" spans="1:24">
      <c r="A7096">
        <f>HYPERLINK("https://www.philgeps.gov.ph/GEPSNONPILOT/Tender/SplashBidNoticeAbstractUI.aspx?menuIndex=3&amp;refID=7069029&amp;Result=3","7069029")</f>
        <v>0</v>
      </c>
      <c r="B7096" t="s">
        <v>479</v>
      </c>
      <c r="C7096" t="s">
        <v>10147</v>
      </c>
      <c r="E7096" t="s">
        <v>22934</v>
      </c>
      <c r="F7096" t="s">
        <v>28669</v>
      </c>
      <c r="G7096" t="s">
        <v>28678</v>
      </c>
      <c r="H7096" t="s">
        <v>9998</v>
      </c>
      <c r="I7096" t="s">
        <v>28688</v>
      </c>
      <c r="J7096" t="s">
        <v>33280</v>
      </c>
      <c r="K7096" t="s">
        <v>37209</v>
      </c>
      <c r="M7096" t="s">
        <v>37967</v>
      </c>
      <c r="N7096" t="s">
        <v>41249</v>
      </c>
      <c r="O7096" t="s">
        <v>41250</v>
      </c>
      <c r="P7096">
        <v>0</v>
      </c>
      <c r="Q7096">
        <v>14</v>
      </c>
      <c r="R7096" t="s">
        <v>41257</v>
      </c>
      <c r="S7096" t="s">
        <v>41461</v>
      </c>
      <c r="T7096" t="s">
        <v>42758</v>
      </c>
      <c r="U7096" t="s">
        <v>49050</v>
      </c>
      <c r="W7096" t="s">
        <v>37967</v>
      </c>
      <c r="X7096" t="s">
        <v>41258</v>
      </c>
    </row>
    <row r="7097" spans="1:24">
      <c r="A7097">
        <f>HYPERLINK("https://www.philgeps.gov.ph/GEPSNONPILOT/Tender/SplashBidNoticeAbstractUI.aspx?menuIndex=3&amp;refID=7069052&amp;Result=3","7069052")</f>
        <v>0</v>
      </c>
      <c r="B7097" t="s">
        <v>1762</v>
      </c>
      <c r="C7097" t="s">
        <v>10148</v>
      </c>
      <c r="D7097" t="s">
        <v>16644</v>
      </c>
      <c r="E7097" t="s">
        <v>22935</v>
      </c>
      <c r="F7097" t="s">
        <v>28669</v>
      </c>
      <c r="G7097" t="s">
        <v>28675</v>
      </c>
      <c r="H7097" t="s">
        <v>9998</v>
      </c>
      <c r="I7097" t="s">
        <v>28713</v>
      </c>
      <c r="J7097" t="s">
        <v>33281</v>
      </c>
      <c r="K7097" t="s">
        <v>37209</v>
      </c>
      <c r="M7097" t="s">
        <v>39364</v>
      </c>
      <c r="N7097" t="s">
        <v>41249</v>
      </c>
      <c r="O7097" t="s">
        <v>41250</v>
      </c>
      <c r="P7097">
        <v>0</v>
      </c>
      <c r="Q7097">
        <v>41</v>
      </c>
      <c r="R7097" t="s">
        <v>41257</v>
      </c>
      <c r="S7097" t="s">
        <v>41461</v>
      </c>
      <c r="T7097" t="s">
        <v>42722</v>
      </c>
      <c r="U7097" t="s">
        <v>49051</v>
      </c>
      <c r="W7097" t="s">
        <v>39364</v>
      </c>
      <c r="X7097" t="s">
        <v>41258</v>
      </c>
    </row>
    <row r="7098" spans="1:24">
      <c r="A7098">
        <f>HYPERLINK("https://www.philgeps.gov.ph/GEPSNONPILOT/Tender/SplashBidNoticeAbstractUI.aspx?menuIndex=3&amp;refID=7069026&amp;Result=3","7069026")</f>
        <v>0</v>
      </c>
      <c r="B7098" t="s">
        <v>2284</v>
      </c>
      <c r="C7098" t="s">
        <v>10149</v>
      </c>
      <c r="D7098" t="s">
        <v>16625</v>
      </c>
      <c r="E7098" t="s">
        <v>22936</v>
      </c>
      <c r="F7098" t="s">
        <v>28669</v>
      </c>
      <c r="G7098" t="s">
        <v>28675</v>
      </c>
      <c r="H7098" t="s">
        <v>28686</v>
      </c>
      <c r="I7098" t="s">
        <v>28689</v>
      </c>
      <c r="J7098" t="s">
        <v>33282</v>
      </c>
      <c r="K7098" t="s">
        <v>37215</v>
      </c>
      <c r="M7098" t="s">
        <v>39939</v>
      </c>
      <c r="N7098" t="s">
        <v>41249</v>
      </c>
      <c r="O7098" t="s">
        <v>41250</v>
      </c>
      <c r="P7098">
        <v>0</v>
      </c>
      <c r="Q7098">
        <v>0</v>
      </c>
      <c r="R7098" t="s">
        <v>41257</v>
      </c>
      <c r="S7098" t="s">
        <v>41461</v>
      </c>
      <c r="T7098" t="s">
        <v>42930</v>
      </c>
      <c r="U7098" t="s">
        <v>49052</v>
      </c>
      <c r="W7098" t="s">
        <v>39939</v>
      </c>
      <c r="X7098" t="s">
        <v>41258</v>
      </c>
    </row>
    <row r="7099" spans="1:24">
      <c r="A7099">
        <f>HYPERLINK("https://www.philgeps.gov.ph/GEPSNONPILOT/Tender/SplashBidNoticeAbstractUI.aspx?menuIndex=3&amp;refID=7069025&amp;Result=3","7069025")</f>
        <v>0</v>
      </c>
      <c r="B7099" t="s">
        <v>433</v>
      </c>
      <c r="C7099" t="s">
        <v>10150</v>
      </c>
      <c r="D7099" t="s">
        <v>16626</v>
      </c>
      <c r="E7099" t="s">
        <v>22937</v>
      </c>
      <c r="F7099" t="s">
        <v>28669</v>
      </c>
      <c r="G7099" t="s">
        <v>28675</v>
      </c>
      <c r="H7099" t="s">
        <v>9998</v>
      </c>
      <c r="I7099" t="s">
        <v>28703</v>
      </c>
      <c r="J7099" t="s">
        <v>28877</v>
      </c>
      <c r="K7099" t="s">
        <v>37227</v>
      </c>
      <c r="M7099" t="s">
        <v>37918</v>
      </c>
      <c r="N7099" t="s">
        <v>41249</v>
      </c>
      <c r="O7099" t="s">
        <v>41250</v>
      </c>
      <c r="P7099">
        <v>0</v>
      </c>
      <c r="Q7099">
        <v>2</v>
      </c>
      <c r="R7099" t="s">
        <v>41257</v>
      </c>
      <c r="S7099" t="s">
        <v>41461</v>
      </c>
      <c r="T7099" t="s">
        <v>42726</v>
      </c>
      <c r="U7099" t="s">
        <v>43916</v>
      </c>
      <c r="W7099" t="s">
        <v>37918</v>
      </c>
      <c r="X7099" t="s">
        <v>41258</v>
      </c>
    </row>
    <row r="7100" spans="1:24">
      <c r="A7100">
        <f>HYPERLINK("https://www.philgeps.gov.ph/GEPSNONPILOT/Tender/SplashBidNoticeAbstractUI.aspx?menuIndex=3&amp;refID=7069021&amp;Result=3","7069021")</f>
        <v>0</v>
      </c>
      <c r="B7100" t="s">
        <v>2290</v>
      </c>
      <c r="C7100" t="s">
        <v>10151</v>
      </c>
      <c r="D7100" t="s">
        <v>16684</v>
      </c>
      <c r="E7100" t="s">
        <v>18326</v>
      </c>
      <c r="F7100" t="s">
        <v>28669</v>
      </c>
      <c r="G7100" t="s">
        <v>28675</v>
      </c>
      <c r="H7100" t="s">
        <v>9998</v>
      </c>
      <c r="I7100" t="s">
        <v>11593</v>
      </c>
      <c r="J7100" t="s">
        <v>28877</v>
      </c>
      <c r="K7100" t="s">
        <v>37209</v>
      </c>
      <c r="M7100" t="s">
        <v>39945</v>
      </c>
      <c r="N7100" t="s">
        <v>41249</v>
      </c>
      <c r="O7100" t="s">
        <v>41250</v>
      </c>
      <c r="P7100">
        <v>0</v>
      </c>
      <c r="Q7100">
        <v>1</v>
      </c>
      <c r="R7100" t="s">
        <v>41257</v>
      </c>
      <c r="S7100" t="s">
        <v>41461</v>
      </c>
      <c r="T7100" t="s">
        <v>42881</v>
      </c>
      <c r="U7100" t="s">
        <v>49053</v>
      </c>
      <c r="W7100" t="s">
        <v>39945</v>
      </c>
      <c r="X7100" t="s">
        <v>41258</v>
      </c>
    </row>
    <row r="7101" spans="1:24">
      <c r="A7101">
        <f>HYPERLINK("https://www.philgeps.gov.ph/GEPSNONPILOT/Tender/SplashBidNoticeAbstractUI.aspx?menuIndex=3&amp;refID=7069015&amp;Result=3","7069015")</f>
        <v>0</v>
      </c>
      <c r="B7101" t="s">
        <v>2277</v>
      </c>
      <c r="C7101" t="s">
        <v>10152</v>
      </c>
      <c r="D7101" t="s">
        <v>16626</v>
      </c>
      <c r="E7101" t="s">
        <v>22938</v>
      </c>
      <c r="F7101" t="s">
        <v>28669</v>
      </c>
      <c r="G7101" t="s">
        <v>28675</v>
      </c>
      <c r="H7101" t="s">
        <v>9998</v>
      </c>
      <c r="I7101" t="s">
        <v>5286</v>
      </c>
      <c r="J7101" t="s">
        <v>31715</v>
      </c>
      <c r="K7101" t="s">
        <v>37209</v>
      </c>
      <c r="M7101" t="s">
        <v>39932</v>
      </c>
      <c r="N7101" t="s">
        <v>41249</v>
      </c>
      <c r="O7101" t="s">
        <v>41250</v>
      </c>
      <c r="P7101">
        <v>0</v>
      </c>
      <c r="Q7101">
        <v>0</v>
      </c>
      <c r="R7101" t="s">
        <v>41257</v>
      </c>
      <c r="S7101" t="s">
        <v>41461</v>
      </c>
      <c r="T7101" t="s">
        <v>42809</v>
      </c>
      <c r="U7101" t="s">
        <v>49054</v>
      </c>
      <c r="W7101" t="s">
        <v>39932</v>
      </c>
      <c r="X7101" t="s">
        <v>41258</v>
      </c>
    </row>
    <row r="7102" spans="1:24">
      <c r="A7102">
        <f>HYPERLINK("https://www.philgeps.gov.ph/GEPSNONPILOT/Tender/SplashBidNoticeAbstractUI.aspx?menuIndex=3&amp;refID=7069007&amp;Result=3","7069007")</f>
        <v>0</v>
      </c>
      <c r="B7102" t="s">
        <v>2219</v>
      </c>
      <c r="C7102" t="s">
        <v>10153</v>
      </c>
      <c r="E7102" t="s">
        <v>22939</v>
      </c>
      <c r="F7102" t="s">
        <v>28669</v>
      </c>
      <c r="G7102" t="s">
        <v>28675</v>
      </c>
      <c r="H7102" t="s">
        <v>28686</v>
      </c>
      <c r="I7102" t="s">
        <v>28689</v>
      </c>
      <c r="J7102" t="s">
        <v>30227</v>
      </c>
      <c r="K7102" t="s">
        <v>37220</v>
      </c>
      <c r="M7102" t="s">
        <v>39871</v>
      </c>
      <c r="N7102" t="s">
        <v>41249</v>
      </c>
      <c r="O7102" t="s">
        <v>41250</v>
      </c>
      <c r="P7102">
        <v>0</v>
      </c>
      <c r="Q7102">
        <v>1</v>
      </c>
      <c r="R7102" t="s">
        <v>41257</v>
      </c>
      <c r="S7102" t="s">
        <v>41461</v>
      </c>
      <c r="T7102" t="s">
        <v>42786</v>
      </c>
      <c r="U7102" t="s">
        <v>49055</v>
      </c>
      <c r="W7102" t="s">
        <v>39871</v>
      </c>
      <c r="X7102" t="s">
        <v>41258</v>
      </c>
    </row>
    <row r="7103" spans="1:24">
      <c r="A7103">
        <f>HYPERLINK("https://www.philgeps.gov.ph/GEPSNONPILOT/Tender/SplashBidNoticeAbstractUI.aspx?menuIndex=3&amp;refID=7069054&amp;Result=3","7069054")</f>
        <v>0</v>
      </c>
      <c r="B7103" t="s">
        <v>2291</v>
      </c>
      <c r="C7103" t="s">
        <v>10154</v>
      </c>
      <c r="D7103" t="s">
        <v>16681</v>
      </c>
      <c r="E7103" t="s">
        <v>22940</v>
      </c>
      <c r="F7103" t="s">
        <v>28669</v>
      </c>
      <c r="G7103" t="s">
        <v>28675</v>
      </c>
      <c r="H7103" t="s">
        <v>28686</v>
      </c>
      <c r="I7103" t="s">
        <v>28689</v>
      </c>
      <c r="J7103" t="s">
        <v>33283</v>
      </c>
      <c r="K7103" t="s">
        <v>37205</v>
      </c>
      <c r="M7103" t="s">
        <v>39946</v>
      </c>
      <c r="N7103" t="s">
        <v>41249</v>
      </c>
      <c r="O7103" t="s">
        <v>41250</v>
      </c>
      <c r="P7103">
        <v>0</v>
      </c>
      <c r="Q7103">
        <v>0</v>
      </c>
      <c r="R7103" t="s">
        <v>41257</v>
      </c>
      <c r="S7103" t="s">
        <v>41461</v>
      </c>
      <c r="T7103" t="s">
        <v>42761</v>
      </c>
      <c r="U7103" t="s">
        <v>49056</v>
      </c>
      <c r="W7103" t="s">
        <v>39946</v>
      </c>
      <c r="X7103" t="s">
        <v>41258</v>
      </c>
    </row>
    <row r="7104" spans="1:24">
      <c r="A7104">
        <f>HYPERLINK("https://www.philgeps.gov.ph/GEPSNONPILOT/Tender/SplashBidNoticeAbstractUI.aspx?menuIndex=3&amp;refID=7069132&amp;Result=3","7069132")</f>
        <v>0</v>
      </c>
      <c r="B7104" t="s">
        <v>1977</v>
      </c>
      <c r="C7104" t="s">
        <v>10155</v>
      </c>
      <c r="D7104" t="s">
        <v>16658</v>
      </c>
      <c r="E7104" t="s">
        <v>17140</v>
      </c>
      <c r="F7104" t="s">
        <v>28669</v>
      </c>
      <c r="G7104" t="s">
        <v>28675</v>
      </c>
      <c r="H7104" t="s">
        <v>9998</v>
      </c>
      <c r="I7104" t="s">
        <v>7352</v>
      </c>
      <c r="J7104" t="s">
        <v>33284</v>
      </c>
      <c r="K7104" t="s">
        <v>37204</v>
      </c>
      <c r="M7104" t="s">
        <v>39611</v>
      </c>
      <c r="N7104" t="s">
        <v>41249</v>
      </c>
      <c r="O7104" t="s">
        <v>41250</v>
      </c>
      <c r="P7104">
        <v>0</v>
      </c>
      <c r="Q7104">
        <v>1</v>
      </c>
      <c r="R7104" t="s">
        <v>41257</v>
      </c>
      <c r="S7104" t="s">
        <v>41461</v>
      </c>
      <c r="T7104" t="s">
        <v>42729</v>
      </c>
      <c r="U7104" t="s">
        <v>49057</v>
      </c>
      <c r="W7104" t="s">
        <v>39611</v>
      </c>
      <c r="X7104" t="s">
        <v>41258</v>
      </c>
    </row>
    <row r="7105" spans="1:24">
      <c r="A7105">
        <f>HYPERLINK("https://www.philgeps.gov.ph/GEPSNONPILOT/Tender/SplashBidNoticeAbstractUI.aspx?menuIndex=3&amp;refID=7069122&amp;Result=3","7069122")</f>
        <v>0</v>
      </c>
      <c r="B7105" t="s">
        <v>372</v>
      </c>
      <c r="C7105" t="s">
        <v>10156</v>
      </c>
      <c r="D7105" t="s">
        <v>16663</v>
      </c>
      <c r="E7105" t="s">
        <v>22941</v>
      </c>
      <c r="F7105" t="s">
        <v>28669</v>
      </c>
      <c r="G7105" t="s">
        <v>28677</v>
      </c>
      <c r="H7105" t="s">
        <v>9998</v>
      </c>
      <c r="I7105" t="s">
        <v>28717</v>
      </c>
      <c r="J7105" t="s">
        <v>33285</v>
      </c>
      <c r="K7105" t="s">
        <v>37209</v>
      </c>
      <c r="M7105" t="s">
        <v>37854</v>
      </c>
      <c r="N7105" t="s">
        <v>41249</v>
      </c>
      <c r="O7105" t="s">
        <v>41250</v>
      </c>
      <c r="Q7105">
        <v>7</v>
      </c>
      <c r="R7105" t="s">
        <v>41257</v>
      </c>
      <c r="S7105" t="s">
        <v>41479</v>
      </c>
      <c r="T7105" t="s">
        <v>42736</v>
      </c>
      <c r="U7105" t="s">
        <v>49058</v>
      </c>
      <c r="W7105" t="s">
        <v>37854</v>
      </c>
      <c r="X7105" t="s">
        <v>41258</v>
      </c>
    </row>
    <row r="7106" spans="1:24">
      <c r="A7106">
        <f>HYPERLINK("https://www.philgeps.gov.ph/GEPSNONPILOT/Tender/SplashBidNoticeAbstractUI.aspx?menuIndex=3&amp;refID=7069111&amp;Result=3","7069111")</f>
        <v>0</v>
      </c>
      <c r="B7106" t="s">
        <v>2123</v>
      </c>
      <c r="C7106" t="s">
        <v>10157</v>
      </c>
      <c r="D7106" t="s">
        <v>16640</v>
      </c>
      <c r="E7106" t="s">
        <v>22942</v>
      </c>
      <c r="F7106" t="s">
        <v>28669</v>
      </c>
      <c r="G7106" t="s">
        <v>28675</v>
      </c>
      <c r="H7106" t="s">
        <v>9998</v>
      </c>
      <c r="I7106" t="s">
        <v>28751</v>
      </c>
      <c r="J7106" t="s">
        <v>33286</v>
      </c>
      <c r="K7106" t="s">
        <v>37204</v>
      </c>
      <c r="M7106" t="s">
        <v>39767</v>
      </c>
      <c r="N7106" t="s">
        <v>41249</v>
      </c>
      <c r="O7106" t="s">
        <v>41250</v>
      </c>
      <c r="P7106">
        <v>0</v>
      </c>
      <c r="Q7106">
        <v>3</v>
      </c>
      <c r="R7106" t="s">
        <v>41257</v>
      </c>
      <c r="S7106" t="s">
        <v>41461</v>
      </c>
      <c r="T7106" t="s">
        <v>42743</v>
      </c>
      <c r="U7106" t="s">
        <v>49059</v>
      </c>
      <c r="V7106" t="s">
        <v>54982</v>
      </c>
      <c r="W7106" t="s">
        <v>39767</v>
      </c>
      <c r="X7106" t="s">
        <v>41258</v>
      </c>
    </row>
    <row r="7107" spans="1:24">
      <c r="A7107">
        <f>HYPERLINK("https://www.philgeps.gov.ph/GEPSNONPILOT/Tender/SplashBidNoticeAbstractUI.aspx?menuIndex=3&amp;refID=7069107&amp;Result=3","7069107")</f>
        <v>0</v>
      </c>
      <c r="B7107" t="s">
        <v>2292</v>
      </c>
      <c r="C7107" t="s">
        <v>10158</v>
      </c>
      <c r="D7107" t="s">
        <v>16628</v>
      </c>
      <c r="E7107" t="s">
        <v>22943</v>
      </c>
      <c r="F7107" t="s">
        <v>28669</v>
      </c>
      <c r="G7107" t="s">
        <v>28681</v>
      </c>
      <c r="H7107" t="s">
        <v>9998</v>
      </c>
      <c r="I7107" t="s">
        <v>28716</v>
      </c>
      <c r="J7107" t="s">
        <v>33287</v>
      </c>
      <c r="K7107" t="s">
        <v>37209</v>
      </c>
      <c r="M7107" t="s">
        <v>39947</v>
      </c>
      <c r="N7107" t="s">
        <v>41249</v>
      </c>
      <c r="O7107" t="s">
        <v>41250</v>
      </c>
      <c r="P7107">
        <v>0</v>
      </c>
      <c r="Q7107">
        <v>2</v>
      </c>
      <c r="R7107" t="s">
        <v>41257</v>
      </c>
      <c r="S7107" t="s">
        <v>41461</v>
      </c>
      <c r="T7107" t="s">
        <v>42802</v>
      </c>
      <c r="U7107" t="s">
        <v>49060</v>
      </c>
      <c r="V7107" t="s">
        <v>55087</v>
      </c>
      <c r="W7107" t="s">
        <v>39947</v>
      </c>
      <c r="X7107" t="s">
        <v>41258</v>
      </c>
    </row>
    <row r="7108" spans="1:24">
      <c r="A7108">
        <f>HYPERLINK("https://www.philgeps.gov.ph/GEPSNONPILOT/Tender/SplashBidNoticeAbstractUI.aspx?menuIndex=3&amp;refID=7069106&amp;Result=3","7069106")</f>
        <v>0</v>
      </c>
      <c r="B7108" t="s">
        <v>1284</v>
      </c>
      <c r="C7108" t="s">
        <v>10159</v>
      </c>
      <c r="D7108" t="s">
        <v>16683</v>
      </c>
      <c r="E7108" t="s">
        <v>22944</v>
      </c>
      <c r="F7108" t="s">
        <v>28669</v>
      </c>
      <c r="G7108" t="s">
        <v>28675</v>
      </c>
      <c r="H7108" t="s">
        <v>28686</v>
      </c>
      <c r="I7108" t="s">
        <v>28689</v>
      </c>
      <c r="J7108" t="s">
        <v>33288</v>
      </c>
      <c r="K7108" t="s">
        <v>37220</v>
      </c>
      <c r="M7108" t="s">
        <v>38835</v>
      </c>
      <c r="N7108" t="s">
        <v>41249</v>
      </c>
      <c r="O7108" t="s">
        <v>41250</v>
      </c>
      <c r="P7108">
        <v>0</v>
      </c>
      <c r="Q7108">
        <v>1</v>
      </c>
      <c r="R7108" t="s">
        <v>41257</v>
      </c>
      <c r="S7108" t="s">
        <v>41461</v>
      </c>
      <c r="T7108" t="s">
        <v>42911</v>
      </c>
      <c r="U7108" t="s">
        <v>49061</v>
      </c>
      <c r="V7108" t="s">
        <v>55082</v>
      </c>
      <c r="W7108" t="s">
        <v>38835</v>
      </c>
      <c r="X7108" t="s">
        <v>41258</v>
      </c>
    </row>
    <row r="7109" spans="1:24">
      <c r="A7109">
        <f>HYPERLINK("https://www.philgeps.gov.ph/GEPSNONPILOT/Tender/SplashBidNoticeAbstractUI.aspx?menuIndex=3&amp;refID=7069042&amp;Result=3","7069042")</f>
        <v>0</v>
      </c>
      <c r="B7109" t="s">
        <v>177</v>
      </c>
      <c r="C7109" t="s">
        <v>10160</v>
      </c>
      <c r="D7109" t="s">
        <v>16633</v>
      </c>
      <c r="E7109" t="s">
        <v>22945</v>
      </c>
      <c r="F7109" t="s">
        <v>28669</v>
      </c>
      <c r="G7109" t="s">
        <v>28675</v>
      </c>
      <c r="H7109" t="s">
        <v>9998</v>
      </c>
      <c r="I7109" t="s">
        <v>6128</v>
      </c>
      <c r="J7109" t="s">
        <v>33289</v>
      </c>
      <c r="K7109" t="s">
        <v>37205</v>
      </c>
      <c r="M7109" t="s">
        <v>37654</v>
      </c>
      <c r="N7109" t="s">
        <v>41249</v>
      </c>
      <c r="O7109" t="s">
        <v>41250</v>
      </c>
      <c r="Q7109">
        <v>4</v>
      </c>
      <c r="R7109" t="s">
        <v>41257</v>
      </c>
      <c r="S7109" t="s">
        <v>41480</v>
      </c>
      <c r="T7109" t="s">
        <v>42857</v>
      </c>
      <c r="U7109" t="s">
        <v>49062</v>
      </c>
      <c r="V7109" t="s">
        <v>55088</v>
      </c>
      <c r="W7109" t="s">
        <v>37654</v>
      </c>
      <c r="X7109" t="s">
        <v>41258</v>
      </c>
    </row>
    <row r="7110" spans="1:24">
      <c r="A7110">
        <f>HYPERLINK("https://www.philgeps.gov.ph/GEPSNONPILOT/Tender/SplashBidNoticeAbstractUI.aspx?menuIndex=3&amp;refID=7069105&amp;Result=3","7069105")</f>
        <v>0</v>
      </c>
      <c r="B7110" t="s">
        <v>2271</v>
      </c>
      <c r="C7110" t="s">
        <v>10161</v>
      </c>
      <c r="D7110" t="s">
        <v>16683</v>
      </c>
      <c r="E7110" t="s">
        <v>22946</v>
      </c>
      <c r="F7110" t="s">
        <v>28669</v>
      </c>
      <c r="G7110" t="s">
        <v>28675</v>
      </c>
      <c r="H7110" t="s">
        <v>9998</v>
      </c>
      <c r="I7110" t="s">
        <v>11142</v>
      </c>
      <c r="J7110" t="s">
        <v>29133</v>
      </c>
      <c r="K7110" t="s">
        <v>37209</v>
      </c>
      <c r="M7110" t="s">
        <v>39926</v>
      </c>
      <c r="N7110" t="s">
        <v>41249</v>
      </c>
      <c r="O7110" t="s">
        <v>41250</v>
      </c>
      <c r="P7110">
        <v>0</v>
      </c>
      <c r="Q7110">
        <v>0</v>
      </c>
      <c r="R7110" t="s">
        <v>41257</v>
      </c>
      <c r="S7110" t="s">
        <v>41461</v>
      </c>
      <c r="T7110" t="s">
        <v>42678</v>
      </c>
      <c r="U7110" t="s">
        <v>49063</v>
      </c>
      <c r="V7110" t="s">
        <v>55089</v>
      </c>
      <c r="W7110" t="s">
        <v>39926</v>
      </c>
      <c r="X7110" t="s">
        <v>41258</v>
      </c>
    </row>
    <row r="7111" spans="1:24">
      <c r="A7111">
        <f>HYPERLINK("https://www.philgeps.gov.ph/GEPSNONPILOT/Tender/SplashBidNoticeAbstractUI.aspx?menuIndex=3&amp;refID=7069102&amp;Result=3","7069102")</f>
        <v>0</v>
      </c>
      <c r="B7111" t="s">
        <v>308</v>
      </c>
      <c r="C7111" t="s">
        <v>10162</v>
      </c>
      <c r="D7111" t="s">
        <v>16647</v>
      </c>
      <c r="E7111" t="s">
        <v>22947</v>
      </c>
      <c r="F7111" t="s">
        <v>28669</v>
      </c>
      <c r="G7111" t="s">
        <v>28677</v>
      </c>
      <c r="H7111" t="s">
        <v>9998</v>
      </c>
      <c r="I7111" t="s">
        <v>28688</v>
      </c>
      <c r="J7111" t="s">
        <v>33290</v>
      </c>
      <c r="K7111" t="s">
        <v>37206</v>
      </c>
      <c r="M7111" t="s">
        <v>39948</v>
      </c>
      <c r="N7111" t="s">
        <v>41249</v>
      </c>
      <c r="O7111" t="s">
        <v>41250</v>
      </c>
      <c r="P7111">
        <v>0</v>
      </c>
      <c r="Q7111">
        <v>0</v>
      </c>
      <c r="R7111" t="s">
        <v>41257</v>
      </c>
      <c r="S7111" t="s">
        <v>41461</v>
      </c>
      <c r="T7111" t="s">
        <v>42736</v>
      </c>
      <c r="U7111" t="s">
        <v>49064</v>
      </c>
      <c r="W7111" t="s">
        <v>39948</v>
      </c>
      <c r="X7111" t="s">
        <v>41258</v>
      </c>
    </row>
    <row r="7112" spans="1:24">
      <c r="A7112">
        <f>HYPERLINK("https://www.philgeps.gov.ph/GEPSNONPILOT/Tender/SplashBidNoticeAbstractUI.aspx?menuIndex=3&amp;refID=7068718&amp;Result=3","7068718")</f>
        <v>0</v>
      </c>
      <c r="B7112" t="s">
        <v>2293</v>
      </c>
      <c r="C7112" t="s">
        <v>10163</v>
      </c>
      <c r="D7112" t="s">
        <v>16640</v>
      </c>
      <c r="E7112" t="s">
        <v>17248</v>
      </c>
      <c r="F7112" t="s">
        <v>28669</v>
      </c>
      <c r="G7112" t="s">
        <v>28675</v>
      </c>
      <c r="H7112" t="s">
        <v>9998</v>
      </c>
      <c r="I7112" t="s">
        <v>28688</v>
      </c>
      <c r="J7112" t="s">
        <v>33291</v>
      </c>
      <c r="K7112" t="s">
        <v>37208</v>
      </c>
      <c r="M7112" t="s">
        <v>39949</v>
      </c>
      <c r="N7112" t="s">
        <v>41249</v>
      </c>
      <c r="O7112" t="s">
        <v>41250</v>
      </c>
      <c r="P7112">
        <v>0</v>
      </c>
      <c r="Q7112">
        <v>8</v>
      </c>
      <c r="R7112" t="s">
        <v>41257</v>
      </c>
      <c r="S7112" t="s">
        <v>41461</v>
      </c>
      <c r="T7112" t="s">
        <v>43043</v>
      </c>
      <c r="U7112" t="s">
        <v>49065</v>
      </c>
      <c r="W7112" t="s">
        <v>39949</v>
      </c>
      <c r="X7112" t="s">
        <v>41258</v>
      </c>
    </row>
    <row r="7113" spans="1:24">
      <c r="A7113">
        <f>HYPERLINK("https://www.philgeps.gov.ph/GEPSNONPILOT/Tender/SplashBidNoticeAbstractUI.aspx?menuIndex=3&amp;refID=7069044&amp;Result=3","7069044")</f>
        <v>0</v>
      </c>
      <c r="B7113" t="s">
        <v>2270</v>
      </c>
      <c r="C7113" t="s">
        <v>10164</v>
      </c>
      <c r="D7113" t="s">
        <v>16675</v>
      </c>
      <c r="E7113" t="s">
        <v>22948</v>
      </c>
      <c r="F7113" t="s">
        <v>28669</v>
      </c>
      <c r="G7113" t="s">
        <v>28676</v>
      </c>
      <c r="H7113" t="s">
        <v>28685</v>
      </c>
      <c r="I7113" t="s">
        <v>28810</v>
      </c>
      <c r="J7113" t="s">
        <v>28894</v>
      </c>
      <c r="K7113" t="s">
        <v>37209</v>
      </c>
      <c r="M7113" t="s">
        <v>39925</v>
      </c>
      <c r="N7113" t="s">
        <v>41249</v>
      </c>
      <c r="O7113" t="s">
        <v>41250</v>
      </c>
      <c r="P7113">
        <v>0</v>
      </c>
      <c r="Q7113">
        <v>0</v>
      </c>
      <c r="R7113" t="s">
        <v>41257</v>
      </c>
      <c r="S7113" t="s">
        <v>41461</v>
      </c>
      <c r="T7113" t="s">
        <v>42751</v>
      </c>
      <c r="U7113" t="s">
        <v>49066</v>
      </c>
      <c r="W7113" t="s">
        <v>55985</v>
      </c>
      <c r="X7113" t="s">
        <v>41258</v>
      </c>
    </row>
    <row r="7114" spans="1:24">
      <c r="A7114">
        <f>HYPERLINK("https://www.philgeps.gov.ph/GEPSNONPILOT/Tender/SplashBidNoticeAbstractUI.aspx?menuIndex=3&amp;refID=7069088&amp;Result=3","7069088")</f>
        <v>0</v>
      </c>
      <c r="B7114" t="s">
        <v>2272</v>
      </c>
      <c r="C7114" t="s">
        <v>10165</v>
      </c>
      <c r="D7114" t="s">
        <v>16660</v>
      </c>
      <c r="E7114" t="s">
        <v>22949</v>
      </c>
      <c r="F7114" t="s">
        <v>28669</v>
      </c>
      <c r="G7114" t="s">
        <v>28675</v>
      </c>
      <c r="H7114" t="s">
        <v>9998</v>
      </c>
      <c r="I7114" t="s">
        <v>28713</v>
      </c>
      <c r="J7114" t="s">
        <v>33292</v>
      </c>
      <c r="K7114" t="s">
        <v>37210</v>
      </c>
      <c r="L7114" t="s">
        <v>2272</v>
      </c>
      <c r="M7114" t="s">
        <v>39927</v>
      </c>
      <c r="N7114" t="s">
        <v>41249</v>
      </c>
      <c r="O7114" t="s">
        <v>41250</v>
      </c>
      <c r="P7114">
        <v>0</v>
      </c>
      <c r="Q7114">
        <v>1</v>
      </c>
      <c r="R7114" t="s">
        <v>41257</v>
      </c>
      <c r="S7114" t="s">
        <v>41461</v>
      </c>
      <c r="T7114" t="s">
        <v>42736</v>
      </c>
      <c r="U7114" t="s">
        <v>49067</v>
      </c>
      <c r="W7114" t="s">
        <v>39927</v>
      </c>
      <c r="X7114" t="s">
        <v>41258</v>
      </c>
    </row>
    <row r="7115" spans="1:24">
      <c r="A7115">
        <f>HYPERLINK("https://www.philgeps.gov.ph/GEPSNONPILOT/Tender/SplashBidNoticeAbstractUI.aspx?menuIndex=3&amp;refID=7069112&amp;Result=3","7069112")</f>
        <v>0</v>
      </c>
      <c r="B7115" t="s">
        <v>1354</v>
      </c>
      <c r="C7115" t="s">
        <v>10166</v>
      </c>
      <c r="D7115" t="s">
        <v>16607</v>
      </c>
      <c r="E7115" t="s">
        <v>22950</v>
      </c>
      <c r="F7115" t="s">
        <v>28669</v>
      </c>
      <c r="G7115" t="s">
        <v>28675</v>
      </c>
      <c r="H7115" t="s">
        <v>28686</v>
      </c>
      <c r="I7115" t="s">
        <v>28689</v>
      </c>
      <c r="J7115" t="s">
        <v>28847</v>
      </c>
      <c r="K7115" t="s">
        <v>37220</v>
      </c>
      <c r="M7115" t="s">
        <v>38910</v>
      </c>
      <c r="N7115" t="s">
        <v>41249</v>
      </c>
      <c r="O7115" t="s">
        <v>41250</v>
      </c>
      <c r="P7115">
        <v>0</v>
      </c>
      <c r="Q7115">
        <v>10</v>
      </c>
      <c r="R7115" t="s">
        <v>41257</v>
      </c>
      <c r="S7115" t="s">
        <v>41461</v>
      </c>
      <c r="T7115" t="s">
        <v>42782</v>
      </c>
      <c r="U7115" t="s">
        <v>49068</v>
      </c>
      <c r="W7115" t="s">
        <v>38910</v>
      </c>
      <c r="X7115" t="s">
        <v>41258</v>
      </c>
    </row>
    <row r="7116" spans="1:24">
      <c r="A7116">
        <f>HYPERLINK("https://www.philgeps.gov.ph/GEPSNONPILOT/Tender/SplashBidNoticeAbstractUI.aspx?menuIndex=3&amp;refID=7069086&amp;Result=3","7069086")</f>
        <v>0</v>
      </c>
      <c r="B7116" t="s">
        <v>2277</v>
      </c>
      <c r="C7116" t="s">
        <v>10167</v>
      </c>
      <c r="D7116" t="s">
        <v>16626</v>
      </c>
      <c r="E7116" t="s">
        <v>22951</v>
      </c>
      <c r="F7116" t="s">
        <v>28669</v>
      </c>
      <c r="G7116" t="s">
        <v>28675</v>
      </c>
      <c r="H7116" t="s">
        <v>9998</v>
      </c>
      <c r="I7116" t="s">
        <v>28775</v>
      </c>
      <c r="J7116" t="s">
        <v>29545</v>
      </c>
      <c r="K7116" t="s">
        <v>37209</v>
      </c>
      <c r="M7116" t="s">
        <v>39932</v>
      </c>
      <c r="N7116" t="s">
        <v>41249</v>
      </c>
      <c r="O7116" t="s">
        <v>41250</v>
      </c>
      <c r="P7116">
        <v>0</v>
      </c>
      <c r="Q7116">
        <v>0</v>
      </c>
      <c r="R7116" t="s">
        <v>41257</v>
      </c>
      <c r="S7116" t="s">
        <v>41461</v>
      </c>
      <c r="T7116" t="s">
        <v>42809</v>
      </c>
      <c r="U7116" t="s">
        <v>49069</v>
      </c>
      <c r="W7116" t="s">
        <v>39932</v>
      </c>
      <c r="X7116" t="s">
        <v>41258</v>
      </c>
    </row>
    <row r="7117" spans="1:24">
      <c r="A7117">
        <f>HYPERLINK("https://www.philgeps.gov.ph/GEPSNONPILOT/Tender/SplashBidNoticeAbstractUI.aspx?menuIndex=3&amp;refID=7069082&amp;Result=3","7069082")</f>
        <v>0</v>
      </c>
      <c r="B7117" t="s">
        <v>532</v>
      </c>
      <c r="C7117" t="s">
        <v>10168</v>
      </c>
      <c r="D7117" t="s">
        <v>16675</v>
      </c>
      <c r="E7117" t="s">
        <v>22952</v>
      </c>
      <c r="F7117" t="s">
        <v>28669</v>
      </c>
      <c r="G7117" t="s">
        <v>28675</v>
      </c>
      <c r="H7117" t="s">
        <v>9998</v>
      </c>
      <c r="I7117" t="s">
        <v>28694</v>
      </c>
      <c r="J7117" t="s">
        <v>30389</v>
      </c>
      <c r="K7117" t="s">
        <v>37204</v>
      </c>
      <c r="M7117" t="s">
        <v>38023</v>
      </c>
      <c r="N7117" t="s">
        <v>41249</v>
      </c>
      <c r="O7117" t="s">
        <v>41250</v>
      </c>
      <c r="P7117">
        <v>0</v>
      </c>
      <c r="Q7117">
        <v>1</v>
      </c>
      <c r="R7117" t="s">
        <v>41257</v>
      </c>
      <c r="S7117" t="s">
        <v>41461</v>
      </c>
      <c r="T7117" t="s">
        <v>42748</v>
      </c>
      <c r="U7117" t="s">
        <v>49070</v>
      </c>
      <c r="W7117" t="s">
        <v>38023</v>
      </c>
      <c r="X7117" t="s">
        <v>41258</v>
      </c>
    </row>
    <row r="7118" spans="1:24">
      <c r="A7118">
        <f>HYPERLINK("https://www.philgeps.gov.ph/GEPSNONPILOT/Tender/SplashBidNoticeAbstractUI.aspx?menuIndex=3&amp;refID=7069136&amp;Result=3","7069136")</f>
        <v>0</v>
      </c>
      <c r="B7118" t="s">
        <v>767</v>
      </c>
      <c r="C7118" t="s">
        <v>10169</v>
      </c>
      <c r="D7118" t="s">
        <v>16681</v>
      </c>
      <c r="E7118" t="s">
        <v>22953</v>
      </c>
      <c r="F7118" t="s">
        <v>28669</v>
      </c>
      <c r="G7118" t="s">
        <v>28675</v>
      </c>
      <c r="H7118" t="s">
        <v>28686</v>
      </c>
      <c r="I7118" t="s">
        <v>28689</v>
      </c>
      <c r="J7118" t="s">
        <v>30004</v>
      </c>
      <c r="K7118" t="s">
        <v>37289</v>
      </c>
      <c r="M7118" t="s">
        <v>38278</v>
      </c>
      <c r="N7118" t="s">
        <v>41249</v>
      </c>
      <c r="O7118" t="s">
        <v>41250</v>
      </c>
      <c r="P7118">
        <v>0</v>
      </c>
      <c r="Q7118">
        <v>0</v>
      </c>
      <c r="R7118" t="s">
        <v>41257</v>
      </c>
      <c r="S7118" t="s">
        <v>41461</v>
      </c>
      <c r="T7118" t="s">
        <v>42761</v>
      </c>
      <c r="U7118" t="s">
        <v>44688</v>
      </c>
      <c r="W7118" t="s">
        <v>38278</v>
      </c>
      <c r="X7118" t="s">
        <v>41258</v>
      </c>
    </row>
    <row r="7119" spans="1:24">
      <c r="A7119">
        <f>HYPERLINK("https://www.philgeps.gov.ph/GEPSNONPILOT/Tender/SplashBidNoticeAbstractUI.aspx?menuIndex=3&amp;refID=7069165&amp;Result=3","7069165")</f>
        <v>0</v>
      </c>
      <c r="B7119" t="s">
        <v>2294</v>
      </c>
      <c r="C7119" t="s">
        <v>10170</v>
      </c>
      <c r="D7119" t="s">
        <v>16631</v>
      </c>
      <c r="E7119" t="s">
        <v>22954</v>
      </c>
      <c r="F7119" t="s">
        <v>28669</v>
      </c>
      <c r="G7119" t="s">
        <v>28675</v>
      </c>
      <c r="H7119" t="s">
        <v>9998</v>
      </c>
      <c r="I7119" t="s">
        <v>11142</v>
      </c>
      <c r="J7119" t="s">
        <v>28851</v>
      </c>
      <c r="K7119" t="s">
        <v>37227</v>
      </c>
      <c r="M7119" t="s">
        <v>39950</v>
      </c>
      <c r="N7119" t="s">
        <v>41249</v>
      </c>
      <c r="O7119" t="s">
        <v>41250</v>
      </c>
      <c r="P7119">
        <v>0</v>
      </c>
      <c r="Q7119">
        <v>0</v>
      </c>
      <c r="R7119" t="s">
        <v>41257</v>
      </c>
      <c r="S7119" t="s">
        <v>41461</v>
      </c>
      <c r="T7119" t="s">
        <v>42827</v>
      </c>
      <c r="U7119" t="s">
        <v>49071</v>
      </c>
      <c r="V7119" t="s">
        <v>55090</v>
      </c>
      <c r="W7119" t="s">
        <v>39950</v>
      </c>
      <c r="X7119" t="s">
        <v>41258</v>
      </c>
    </row>
    <row r="7120" spans="1:24">
      <c r="A7120">
        <f>HYPERLINK("https://www.philgeps.gov.ph/GEPSNONPILOT/Tender/SplashBidNoticeAbstractUI.aspx?menuIndex=3&amp;refID=7069095&amp;Result=3","7069095")</f>
        <v>0</v>
      </c>
      <c r="B7120" t="s">
        <v>372</v>
      </c>
      <c r="C7120" t="s">
        <v>10171</v>
      </c>
      <c r="D7120" t="s">
        <v>16663</v>
      </c>
      <c r="E7120" t="s">
        <v>22955</v>
      </c>
      <c r="F7120" t="s">
        <v>28669</v>
      </c>
      <c r="G7120" t="s">
        <v>28677</v>
      </c>
      <c r="H7120" t="s">
        <v>9998</v>
      </c>
      <c r="I7120" t="s">
        <v>3718</v>
      </c>
      <c r="J7120" t="s">
        <v>33293</v>
      </c>
      <c r="K7120" t="s">
        <v>37209</v>
      </c>
      <c r="M7120" t="s">
        <v>37854</v>
      </c>
      <c r="N7120" t="s">
        <v>41249</v>
      </c>
      <c r="O7120" t="s">
        <v>41250</v>
      </c>
      <c r="Q7120">
        <v>0</v>
      </c>
      <c r="R7120" t="s">
        <v>41257</v>
      </c>
      <c r="S7120" t="s">
        <v>41481</v>
      </c>
      <c r="T7120" t="s">
        <v>42736</v>
      </c>
      <c r="U7120" t="s">
        <v>49072</v>
      </c>
      <c r="W7120" t="s">
        <v>37854</v>
      </c>
      <c r="X7120" t="s">
        <v>41258</v>
      </c>
    </row>
    <row r="7121" spans="1:24">
      <c r="A7121">
        <f>HYPERLINK("https://www.philgeps.gov.ph/GEPSNONPILOT/Tender/SplashBidNoticeAbstractUI.aspx?menuIndex=3&amp;refID=7069094&amp;Result=3","7069094")</f>
        <v>0</v>
      </c>
      <c r="B7121" t="s">
        <v>2247</v>
      </c>
      <c r="C7121" t="s">
        <v>10172</v>
      </c>
      <c r="D7121" t="s">
        <v>16622</v>
      </c>
      <c r="E7121" t="s">
        <v>22956</v>
      </c>
      <c r="F7121" t="s">
        <v>28671</v>
      </c>
      <c r="G7121" t="s">
        <v>28676</v>
      </c>
      <c r="H7121" t="s">
        <v>9998</v>
      </c>
      <c r="I7121" t="s">
        <v>11593</v>
      </c>
      <c r="J7121" t="s">
        <v>29743</v>
      </c>
      <c r="K7121" t="s">
        <v>37243</v>
      </c>
      <c r="M7121" t="s">
        <v>39901</v>
      </c>
      <c r="N7121" t="s">
        <v>41249</v>
      </c>
      <c r="O7121" t="s">
        <v>41250</v>
      </c>
      <c r="P7121">
        <v>0</v>
      </c>
      <c r="Q7121">
        <v>1</v>
      </c>
      <c r="R7121" t="s">
        <v>41257</v>
      </c>
      <c r="S7121" t="s">
        <v>41461</v>
      </c>
      <c r="T7121" t="s">
        <v>42758</v>
      </c>
      <c r="U7121" t="s">
        <v>49073</v>
      </c>
      <c r="W7121" t="s">
        <v>39901</v>
      </c>
      <c r="X7121" t="s">
        <v>41258</v>
      </c>
    </row>
    <row r="7122" spans="1:24">
      <c r="A7122">
        <f>HYPERLINK("https://www.philgeps.gov.ph/GEPSNONPILOT/Tender/SplashBidNoticeAbstractUI.aspx?menuIndex=3&amp;refID=7069091&amp;Result=3","7069091")</f>
        <v>0</v>
      </c>
      <c r="B7122" t="s">
        <v>562</v>
      </c>
      <c r="C7122" t="s">
        <v>10173</v>
      </c>
      <c r="D7122" t="s">
        <v>16648</v>
      </c>
      <c r="E7122" t="s">
        <v>22957</v>
      </c>
      <c r="F7122" t="s">
        <v>28671</v>
      </c>
      <c r="G7122" t="s">
        <v>28675</v>
      </c>
      <c r="H7122" t="s">
        <v>9998</v>
      </c>
      <c r="I7122" t="s">
        <v>7352</v>
      </c>
      <c r="J7122" t="s">
        <v>33294</v>
      </c>
      <c r="K7122" t="s">
        <v>37206</v>
      </c>
      <c r="M7122" t="s">
        <v>39951</v>
      </c>
      <c r="N7122" t="s">
        <v>41249</v>
      </c>
      <c r="O7122" t="s">
        <v>41250</v>
      </c>
      <c r="P7122">
        <v>0</v>
      </c>
      <c r="Q7122">
        <v>0</v>
      </c>
      <c r="R7122" t="s">
        <v>41257</v>
      </c>
      <c r="S7122" t="s">
        <v>41461</v>
      </c>
      <c r="T7122" t="s">
        <v>42698</v>
      </c>
      <c r="U7122" t="s">
        <v>49012</v>
      </c>
      <c r="W7122" t="s">
        <v>39951</v>
      </c>
      <c r="X7122" t="s">
        <v>41258</v>
      </c>
    </row>
    <row r="7123" spans="1:24">
      <c r="A7123">
        <f>HYPERLINK("https://www.philgeps.gov.ph/GEPSNONPILOT/Tender/SplashBidNoticeAbstractUI.aspx?menuIndex=3&amp;refID=7069171&amp;Result=3","7069171")</f>
        <v>0</v>
      </c>
      <c r="B7123" t="s">
        <v>1034</v>
      </c>
      <c r="C7123" t="s">
        <v>10174</v>
      </c>
      <c r="D7123" t="s">
        <v>16619</v>
      </c>
      <c r="E7123" t="s">
        <v>22958</v>
      </c>
      <c r="F7123" t="s">
        <v>28669</v>
      </c>
      <c r="G7123" t="s">
        <v>28676</v>
      </c>
      <c r="H7123" t="s">
        <v>9998</v>
      </c>
      <c r="I7123" t="s">
        <v>3679</v>
      </c>
      <c r="J7123" t="s">
        <v>33295</v>
      </c>
      <c r="K7123" t="s">
        <v>37216</v>
      </c>
      <c r="M7123" t="s">
        <v>38565</v>
      </c>
      <c r="N7123" t="s">
        <v>41249</v>
      </c>
      <c r="O7123" t="s">
        <v>41250</v>
      </c>
      <c r="P7123">
        <v>0</v>
      </c>
      <c r="Q7123">
        <v>0</v>
      </c>
      <c r="R7123" t="s">
        <v>41257</v>
      </c>
      <c r="S7123" t="s">
        <v>41461</v>
      </c>
      <c r="T7123" t="s">
        <v>42743</v>
      </c>
      <c r="U7123" t="s">
        <v>49074</v>
      </c>
      <c r="W7123" t="s">
        <v>38565</v>
      </c>
      <c r="X7123" t="s">
        <v>41258</v>
      </c>
    </row>
    <row r="7124" spans="1:24">
      <c r="A7124">
        <f>HYPERLINK("https://www.philgeps.gov.ph/GEPSNONPILOT/Tender/SplashBidNoticeAbstractUI.aspx?menuIndex=3&amp;refID=7069170&amp;Result=3","7069170")</f>
        <v>0</v>
      </c>
      <c r="B7124" t="s">
        <v>2295</v>
      </c>
      <c r="C7124" t="s">
        <v>10175</v>
      </c>
      <c r="D7124" t="s">
        <v>16630</v>
      </c>
      <c r="E7124" t="s">
        <v>22959</v>
      </c>
      <c r="F7124" t="s">
        <v>28669</v>
      </c>
      <c r="G7124" t="s">
        <v>28676</v>
      </c>
      <c r="H7124" t="s">
        <v>9998</v>
      </c>
      <c r="I7124" t="s">
        <v>28722</v>
      </c>
      <c r="J7124" t="s">
        <v>33296</v>
      </c>
      <c r="K7124" t="s">
        <v>37206</v>
      </c>
      <c r="M7124" t="s">
        <v>39952</v>
      </c>
      <c r="N7124" t="s">
        <v>41249</v>
      </c>
      <c r="O7124" t="s">
        <v>41250</v>
      </c>
      <c r="P7124">
        <v>0</v>
      </c>
      <c r="Q7124">
        <v>2</v>
      </c>
      <c r="R7124" t="s">
        <v>41257</v>
      </c>
      <c r="S7124" t="s">
        <v>41461</v>
      </c>
      <c r="T7124" t="s">
        <v>42736</v>
      </c>
      <c r="U7124" t="s">
        <v>49075</v>
      </c>
      <c r="V7124" t="s">
        <v>55091</v>
      </c>
      <c r="W7124" t="s">
        <v>39952</v>
      </c>
      <c r="X7124" t="s">
        <v>41258</v>
      </c>
    </row>
    <row r="7125" spans="1:24">
      <c r="A7125">
        <f>HYPERLINK("https://www.philgeps.gov.ph/GEPSNONPILOT/Tender/SplashBidNoticeAbstractUI.aspx?menuIndex=3&amp;refID=7069164&amp;Result=3","7069164")</f>
        <v>0</v>
      </c>
      <c r="B7125" t="s">
        <v>897</v>
      </c>
      <c r="C7125" t="s">
        <v>10176</v>
      </c>
      <c r="D7125" t="s">
        <v>16631</v>
      </c>
      <c r="E7125" t="s">
        <v>22960</v>
      </c>
      <c r="F7125" t="s">
        <v>28669</v>
      </c>
      <c r="G7125" t="s">
        <v>28675</v>
      </c>
      <c r="H7125" t="s">
        <v>9998</v>
      </c>
      <c r="I7125" t="s">
        <v>28699</v>
      </c>
      <c r="J7125" t="s">
        <v>28942</v>
      </c>
      <c r="K7125" t="s">
        <v>37206</v>
      </c>
      <c r="M7125" t="s">
        <v>38418</v>
      </c>
      <c r="N7125" t="s">
        <v>41249</v>
      </c>
      <c r="O7125" t="s">
        <v>41250</v>
      </c>
      <c r="P7125">
        <v>0</v>
      </c>
      <c r="Q7125">
        <v>1</v>
      </c>
      <c r="R7125" t="s">
        <v>41257</v>
      </c>
      <c r="S7125" t="s">
        <v>41461</v>
      </c>
      <c r="T7125" t="s">
        <v>42668</v>
      </c>
      <c r="U7125" t="s">
        <v>44959</v>
      </c>
      <c r="W7125" t="s">
        <v>38418</v>
      </c>
      <c r="X7125" t="s">
        <v>41258</v>
      </c>
    </row>
    <row r="7126" spans="1:24">
      <c r="A7126">
        <f>HYPERLINK("https://www.philgeps.gov.ph/GEPSNONPILOT/Tender/SplashBidNoticeAbstractUI.aspx?menuIndex=3&amp;refID=7069080&amp;Result=3","7069080")</f>
        <v>0</v>
      </c>
      <c r="B7126" t="s">
        <v>2188</v>
      </c>
      <c r="C7126" t="s">
        <v>10177</v>
      </c>
      <c r="D7126" t="s">
        <v>16616</v>
      </c>
      <c r="E7126" t="s">
        <v>22961</v>
      </c>
      <c r="F7126" t="s">
        <v>28669</v>
      </c>
      <c r="G7126" t="s">
        <v>28675</v>
      </c>
      <c r="H7126" t="s">
        <v>28686</v>
      </c>
      <c r="I7126" t="s">
        <v>28689</v>
      </c>
      <c r="J7126" t="s">
        <v>33297</v>
      </c>
      <c r="K7126" t="s">
        <v>37211</v>
      </c>
      <c r="M7126" t="s">
        <v>39838</v>
      </c>
      <c r="N7126" t="s">
        <v>41249</v>
      </c>
      <c r="O7126" t="s">
        <v>41250</v>
      </c>
      <c r="P7126">
        <v>0</v>
      </c>
      <c r="Q7126">
        <v>3</v>
      </c>
      <c r="R7126" t="s">
        <v>41257</v>
      </c>
      <c r="S7126" t="s">
        <v>41461</v>
      </c>
      <c r="T7126" t="s">
        <v>42837</v>
      </c>
      <c r="U7126" t="s">
        <v>49076</v>
      </c>
      <c r="W7126" t="s">
        <v>39838</v>
      </c>
      <c r="X7126" t="s">
        <v>41258</v>
      </c>
    </row>
    <row r="7127" spans="1:24">
      <c r="A7127">
        <f>HYPERLINK("https://www.philgeps.gov.ph/GEPSNONPILOT/Tender/SplashBidNoticeAbstractUI.aspx?menuIndex=3&amp;refID=7069159&amp;Result=3","7069159")</f>
        <v>0</v>
      </c>
      <c r="B7127" t="s">
        <v>2296</v>
      </c>
      <c r="C7127" t="s">
        <v>10178</v>
      </c>
      <c r="D7127" t="s">
        <v>16620</v>
      </c>
      <c r="E7127" t="s">
        <v>22962</v>
      </c>
      <c r="F7127" t="s">
        <v>28669</v>
      </c>
      <c r="G7127" t="s">
        <v>28676</v>
      </c>
      <c r="H7127" t="s">
        <v>9998</v>
      </c>
      <c r="I7127" t="s">
        <v>28813</v>
      </c>
      <c r="J7127" t="s">
        <v>28859</v>
      </c>
      <c r="K7127" t="s">
        <v>37206</v>
      </c>
      <c r="M7127" t="s">
        <v>39953</v>
      </c>
      <c r="N7127" t="s">
        <v>41249</v>
      </c>
      <c r="O7127" t="s">
        <v>41250</v>
      </c>
      <c r="P7127">
        <v>0</v>
      </c>
      <c r="Q7127">
        <v>3</v>
      </c>
      <c r="R7127" t="s">
        <v>41257</v>
      </c>
      <c r="S7127" t="s">
        <v>41461</v>
      </c>
      <c r="T7127" t="s">
        <v>42782</v>
      </c>
      <c r="U7127" t="s">
        <v>49077</v>
      </c>
      <c r="W7127" t="s">
        <v>39953</v>
      </c>
      <c r="X7127" t="s">
        <v>41258</v>
      </c>
    </row>
    <row r="7128" spans="1:24">
      <c r="A7128">
        <f>HYPERLINK("https://www.philgeps.gov.ph/GEPSNONPILOT/Tender/SplashBidNoticeAbstractUI.aspx?menuIndex=3&amp;refID=7069039&amp;Result=3","7069039")</f>
        <v>0</v>
      </c>
      <c r="B7128" t="s">
        <v>1770</v>
      </c>
      <c r="C7128" t="s">
        <v>10179</v>
      </c>
      <c r="D7128" t="s">
        <v>16608</v>
      </c>
      <c r="E7128" t="s">
        <v>22963</v>
      </c>
      <c r="F7128" t="s">
        <v>28669</v>
      </c>
      <c r="G7128" t="s">
        <v>28676</v>
      </c>
      <c r="H7128" t="s">
        <v>9998</v>
      </c>
      <c r="I7128" t="s">
        <v>3718</v>
      </c>
      <c r="J7128" t="s">
        <v>30041</v>
      </c>
      <c r="K7128" t="s">
        <v>37207</v>
      </c>
      <c r="M7128" t="s">
        <v>39584</v>
      </c>
      <c r="N7128" t="s">
        <v>41249</v>
      </c>
      <c r="O7128" t="s">
        <v>41250</v>
      </c>
      <c r="P7128">
        <v>0</v>
      </c>
      <c r="Q7128">
        <v>4</v>
      </c>
      <c r="R7128" t="s">
        <v>41257</v>
      </c>
      <c r="S7128" t="s">
        <v>41461</v>
      </c>
      <c r="T7128" t="s">
        <v>42774</v>
      </c>
      <c r="U7128" t="s">
        <v>47967</v>
      </c>
      <c r="W7128" t="s">
        <v>39584</v>
      </c>
      <c r="X7128" t="s">
        <v>41258</v>
      </c>
    </row>
    <row r="7129" spans="1:24">
      <c r="A7129">
        <f>HYPERLINK("https://www.philgeps.gov.ph/GEPSNONPILOT/Tender/SplashBidNoticeAbstractUI.aspx?menuIndex=3&amp;refID=7069157&amp;Result=3","7069157")</f>
        <v>0</v>
      </c>
      <c r="B7129" t="s">
        <v>2173</v>
      </c>
      <c r="C7129" t="s">
        <v>10180</v>
      </c>
      <c r="D7129" t="s">
        <v>16664</v>
      </c>
      <c r="E7129" t="s">
        <v>22964</v>
      </c>
      <c r="F7129" t="s">
        <v>28669</v>
      </c>
      <c r="G7129" t="s">
        <v>28675</v>
      </c>
      <c r="H7129" t="s">
        <v>9998</v>
      </c>
      <c r="I7129" t="s">
        <v>28693</v>
      </c>
      <c r="J7129" t="s">
        <v>33298</v>
      </c>
      <c r="K7129" t="s">
        <v>37206</v>
      </c>
      <c r="M7129" t="s">
        <v>39822</v>
      </c>
      <c r="N7129" t="s">
        <v>41249</v>
      </c>
      <c r="O7129" t="s">
        <v>41250</v>
      </c>
      <c r="P7129">
        <v>0</v>
      </c>
      <c r="Q7129">
        <v>10</v>
      </c>
      <c r="R7129" t="s">
        <v>41257</v>
      </c>
      <c r="S7129" t="s">
        <v>41461</v>
      </c>
      <c r="T7129" t="s">
        <v>42765</v>
      </c>
      <c r="U7129" t="s">
        <v>49078</v>
      </c>
      <c r="V7129" t="s">
        <v>55092</v>
      </c>
      <c r="W7129" t="s">
        <v>39822</v>
      </c>
      <c r="X7129" t="s">
        <v>41258</v>
      </c>
    </row>
    <row r="7130" spans="1:24">
      <c r="A7130">
        <f>HYPERLINK("https://www.philgeps.gov.ph/GEPSNONPILOT/Tender/SplashBidNoticeAbstractUI.aspx?menuIndex=3&amp;refID=7069174&amp;Result=3","7069174")</f>
        <v>0</v>
      </c>
      <c r="B7130" t="s">
        <v>2219</v>
      </c>
      <c r="C7130" t="s">
        <v>10181</v>
      </c>
      <c r="D7130" t="s">
        <v>16658</v>
      </c>
      <c r="E7130" t="s">
        <v>22965</v>
      </c>
      <c r="F7130" t="s">
        <v>28669</v>
      </c>
      <c r="G7130" t="s">
        <v>28675</v>
      </c>
      <c r="H7130" t="s">
        <v>28686</v>
      </c>
      <c r="I7130" t="s">
        <v>28689</v>
      </c>
      <c r="J7130" t="s">
        <v>33299</v>
      </c>
      <c r="K7130" t="s">
        <v>37220</v>
      </c>
      <c r="M7130" t="s">
        <v>39871</v>
      </c>
      <c r="N7130" t="s">
        <v>41249</v>
      </c>
      <c r="O7130" t="s">
        <v>41250</v>
      </c>
      <c r="P7130">
        <v>0</v>
      </c>
      <c r="Q7130">
        <v>0</v>
      </c>
      <c r="R7130" t="s">
        <v>41257</v>
      </c>
      <c r="S7130" t="s">
        <v>41461</v>
      </c>
      <c r="T7130" t="s">
        <v>42743</v>
      </c>
      <c r="U7130" t="s">
        <v>49079</v>
      </c>
      <c r="W7130" t="s">
        <v>39871</v>
      </c>
      <c r="X7130" t="s">
        <v>41258</v>
      </c>
    </row>
    <row r="7131" spans="1:24">
      <c r="A7131">
        <f>HYPERLINK("https://www.philgeps.gov.ph/GEPSNONPILOT/Tender/SplashBidNoticeAbstractUI.aspx?menuIndex=3&amp;refID=7069155&amp;Result=3","7069155")</f>
        <v>0</v>
      </c>
      <c r="B7131" t="s">
        <v>447</v>
      </c>
      <c r="C7131" t="s">
        <v>10182</v>
      </c>
      <c r="D7131" t="s">
        <v>16608</v>
      </c>
      <c r="E7131" t="s">
        <v>22479</v>
      </c>
      <c r="F7131" t="s">
        <v>28669</v>
      </c>
      <c r="G7131" t="s">
        <v>28676</v>
      </c>
      <c r="H7131" t="s">
        <v>9998</v>
      </c>
      <c r="I7131" t="s">
        <v>6458</v>
      </c>
      <c r="J7131" t="s">
        <v>33300</v>
      </c>
      <c r="K7131" t="s">
        <v>37209</v>
      </c>
      <c r="M7131" t="s">
        <v>37933</v>
      </c>
      <c r="N7131" t="s">
        <v>41249</v>
      </c>
      <c r="O7131" t="s">
        <v>41250</v>
      </c>
      <c r="P7131">
        <v>0</v>
      </c>
      <c r="Q7131">
        <v>2</v>
      </c>
      <c r="R7131" t="s">
        <v>41257</v>
      </c>
      <c r="S7131" t="s">
        <v>41461</v>
      </c>
      <c r="T7131" t="s">
        <v>42729</v>
      </c>
      <c r="U7131" t="s">
        <v>49080</v>
      </c>
      <c r="W7131" t="s">
        <v>37933</v>
      </c>
      <c r="X7131" t="s">
        <v>41258</v>
      </c>
    </row>
    <row r="7132" spans="1:24">
      <c r="A7132">
        <f>HYPERLINK("https://www.philgeps.gov.ph/GEPSNONPILOT/Tender/SplashBidNoticeAbstractUI.aspx?menuIndex=3&amp;refID=7069167&amp;Result=3","7069167")</f>
        <v>0</v>
      </c>
      <c r="B7132" t="s">
        <v>1146</v>
      </c>
      <c r="C7132" t="s">
        <v>10183</v>
      </c>
      <c r="D7132" t="s">
        <v>16640</v>
      </c>
      <c r="E7132" t="s">
        <v>22966</v>
      </c>
      <c r="F7132" t="s">
        <v>28669</v>
      </c>
      <c r="G7132" t="s">
        <v>28675</v>
      </c>
      <c r="H7132" t="s">
        <v>28686</v>
      </c>
      <c r="I7132" t="s">
        <v>28689</v>
      </c>
      <c r="J7132" t="s">
        <v>33301</v>
      </c>
      <c r="K7132" t="s">
        <v>37212</v>
      </c>
      <c r="M7132" t="s">
        <v>39954</v>
      </c>
      <c r="N7132" t="s">
        <v>41249</v>
      </c>
      <c r="O7132" t="s">
        <v>41250</v>
      </c>
      <c r="P7132">
        <v>0</v>
      </c>
      <c r="Q7132">
        <v>8</v>
      </c>
      <c r="R7132" t="s">
        <v>41257</v>
      </c>
      <c r="S7132" t="s">
        <v>41461</v>
      </c>
      <c r="T7132" t="s">
        <v>43044</v>
      </c>
      <c r="U7132" t="s">
        <v>49081</v>
      </c>
      <c r="W7132" t="s">
        <v>39954</v>
      </c>
      <c r="X7132" t="s">
        <v>41258</v>
      </c>
    </row>
    <row r="7133" spans="1:24">
      <c r="A7133">
        <f>HYPERLINK("https://www.philgeps.gov.ph/GEPSNONPILOT/Tender/SplashBidNoticeAbstractUI.aspx?menuIndex=3&amp;refID=7069151&amp;Result=3","7069151")</f>
        <v>0</v>
      </c>
      <c r="B7133" t="s">
        <v>562</v>
      </c>
      <c r="C7133" t="s">
        <v>10184</v>
      </c>
      <c r="D7133" t="s">
        <v>16648</v>
      </c>
      <c r="E7133" t="s">
        <v>22967</v>
      </c>
      <c r="F7133" t="s">
        <v>28671</v>
      </c>
      <c r="G7133" t="s">
        <v>28675</v>
      </c>
      <c r="H7133" t="s">
        <v>9998</v>
      </c>
      <c r="I7133" t="s">
        <v>7352</v>
      </c>
      <c r="J7133" t="s">
        <v>33302</v>
      </c>
      <c r="K7133" t="s">
        <v>37206</v>
      </c>
      <c r="M7133" t="s">
        <v>39951</v>
      </c>
      <c r="N7133" t="s">
        <v>41249</v>
      </c>
      <c r="O7133" t="s">
        <v>41250</v>
      </c>
      <c r="P7133">
        <v>0</v>
      </c>
      <c r="Q7133">
        <v>0</v>
      </c>
      <c r="R7133" t="s">
        <v>41257</v>
      </c>
      <c r="S7133" t="s">
        <v>41461</v>
      </c>
      <c r="T7133" t="s">
        <v>42923</v>
      </c>
      <c r="U7133" t="s">
        <v>49012</v>
      </c>
      <c r="W7133" t="s">
        <v>39951</v>
      </c>
      <c r="X7133" t="s">
        <v>41258</v>
      </c>
    </row>
    <row r="7134" spans="1:24">
      <c r="A7134">
        <f>HYPERLINK("https://www.philgeps.gov.ph/GEPSNONPILOT/Tender/SplashBidNoticeAbstractUI.aspx?menuIndex=3&amp;refID=7069149&amp;Result=3","7069149")</f>
        <v>0</v>
      </c>
      <c r="B7134" t="s">
        <v>2297</v>
      </c>
      <c r="C7134" t="s">
        <v>10185</v>
      </c>
      <c r="D7134" t="s">
        <v>16644</v>
      </c>
      <c r="E7134" t="s">
        <v>21568</v>
      </c>
      <c r="F7134" t="s">
        <v>28669</v>
      </c>
      <c r="G7134" t="s">
        <v>28675</v>
      </c>
      <c r="H7134" t="s">
        <v>9998</v>
      </c>
      <c r="I7134" t="s">
        <v>28696</v>
      </c>
      <c r="J7134" t="s">
        <v>28905</v>
      </c>
      <c r="K7134" t="s">
        <v>37227</v>
      </c>
      <c r="M7134" t="s">
        <v>39955</v>
      </c>
      <c r="N7134" t="s">
        <v>41249</v>
      </c>
      <c r="O7134" t="s">
        <v>41250</v>
      </c>
      <c r="P7134">
        <v>0</v>
      </c>
      <c r="Q7134">
        <v>0</v>
      </c>
      <c r="R7134" t="s">
        <v>41257</v>
      </c>
      <c r="S7134" t="s">
        <v>41461</v>
      </c>
      <c r="T7134" t="s">
        <v>42856</v>
      </c>
      <c r="U7134" t="s">
        <v>49082</v>
      </c>
      <c r="W7134" t="s">
        <v>39955</v>
      </c>
      <c r="X7134" t="s">
        <v>41258</v>
      </c>
    </row>
    <row r="7135" spans="1:24">
      <c r="A7135">
        <f>HYPERLINK("https://www.philgeps.gov.ph/GEPSNONPILOT/Tender/SplashBidNoticeAbstractUI.aspx?menuIndex=3&amp;refID=7069162&amp;Result=3","7069162")</f>
        <v>0</v>
      </c>
      <c r="B7135" t="s">
        <v>1770</v>
      </c>
      <c r="C7135" t="s">
        <v>10186</v>
      </c>
      <c r="D7135" t="s">
        <v>16608</v>
      </c>
      <c r="E7135" t="s">
        <v>22968</v>
      </c>
      <c r="F7135" t="s">
        <v>28669</v>
      </c>
      <c r="G7135" t="s">
        <v>28676</v>
      </c>
      <c r="H7135" t="s">
        <v>9998</v>
      </c>
      <c r="I7135" t="s">
        <v>6128</v>
      </c>
      <c r="J7135" t="s">
        <v>32729</v>
      </c>
      <c r="K7135" t="s">
        <v>37207</v>
      </c>
      <c r="M7135" t="s">
        <v>39584</v>
      </c>
      <c r="N7135" t="s">
        <v>41249</v>
      </c>
      <c r="O7135" t="s">
        <v>41250</v>
      </c>
      <c r="P7135">
        <v>0</v>
      </c>
      <c r="Q7135">
        <v>8</v>
      </c>
      <c r="R7135" t="s">
        <v>41257</v>
      </c>
      <c r="S7135" t="s">
        <v>41461</v>
      </c>
      <c r="T7135" t="s">
        <v>42774</v>
      </c>
      <c r="U7135" t="s">
        <v>47967</v>
      </c>
      <c r="W7135" t="s">
        <v>39584</v>
      </c>
      <c r="X7135" t="s">
        <v>41258</v>
      </c>
    </row>
    <row r="7136" spans="1:24">
      <c r="A7136">
        <f>HYPERLINK("https://www.philgeps.gov.ph/GEPSNONPILOT/Tender/SplashBidNoticeAbstractUI.aspx?menuIndex=3&amp;refID=7069147&amp;Result=3","7069147")</f>
        <v>0</v>
      </c>
      <c r="B7136" t="s">
        <v>349</v>
      </c>
      <c r="C7136" t="s">
        <v>10187</v>
      </c>
      <c r="D7136" t="s">
        <v>16675</v>
      </c>
      <c r="E7136" t="s">
        <v>22969</v>
      </c>
      <c r="F7136" t="s">
        <v>28669</v>
      </c>
      <c r="G7136" t="s">
        <v>28676</v>
      </c>
      <c r="H7136" t="s">
        <v>9998</v>
      </c>
      <c r="I7136" t="s">
        <v>28728</v>
      </c>
      <c r="J7136" t="s">
        <v>29902</v>
      </c>
      <c r="K7136" t="s">
        <v>37205</v>
      </c>
      <c r="M7136" t="s">
        <v>37829</v>
      </c>
      <c r="N7136" t="s">
        <v>41249</v>
      </c>
      <c r="O7136" t="s">
        <v>41250</v>
      </c>
      <c r="P7136">
        <v>0</v>
      </c>
      <c r="Q7136">
        <v>0</v>
      </c>
      <c r="R7136" t="s">
        <v>41257</v>
      </c>
      <c r="S7136" t="s">
        <v>41461</v>
      </c>
      <c r="T7136" t="s">
        <v>42743</v>
      </c>
      <c r="U7136" t="s">
        <v>49083</v>
      </c>
      <c r="W7136" t="s">
        <v>37829</v>
      </c>
      <c r="X7136" t="s">
        <v>41258</v>
      </c>
    </row>
    <row r="7137" spans="1:24">
      <c r="A7137">
        <f>HYPERLINK("https://www.philgeps.gov.ph/GEPSNONPILOT/Tender/SplashBidNoticeAbstractUI.aspx?menuIndex=3&amp;refID=7069144&amp;Result=3","7069144")</f>
        <v>0</v>
      </c>
      <c r="B7137" t="s">
        <v>1146</v>
      </c>
      <c r="C7137" t="s">
        <v>10188</v>
      </c>
      <c r="D7137" t="s">
        <v>16640</v>
      </c>
      <c r="E7137" t="s">
        <v>22970</v>
      </c>
      <c r="F7137" t="s">
        <v>28669</v>
      </c>
      <c r="G7137" t="s">
        <v>28675</v>
      </c>
      <c r="H7137" t="s">
        <v>28686</v>
      </c>
      <c r="I7137" t="s">
        <v>28689</v>
      </c>
      <c r="J7137" t="s">
        <v>33303</v>
      </c>
      <c r="K7137" t="s">
        <v>37212</v>
      </c>
      <c r="M7137" t="s">
        <v>39954</v>
      </c>
      <c r="N7137" t="s">
        <v>41249</v>
      </c>
      <c r="O7137" t="s">
        <v>41250</v>
      </c>
      <c r="P7137">
        <v>0</v>
      </c>
      <c r="Q7137">
        <v>8</v>
      </c>
      <c r="R7137" t="s">
        <v>41257</v>
      </c>
      <c r="S7137" t="s">
        <v>41461</v>
      </c>
      <c r="T7137" t="s">
        <v>43044</v>
      </c>
      <c r="U7137" t="s">
        <v>49084</v>
      </c>
      <c r="W7137" t="s">
        <v>39954</v>
      </c>
      <c r="X7137" t="s">
        <v>41258</v>
      </c>
    </row>
    <row r="7138" spans="1:24">
      <c r="A7138">
        <f>HYPERLINK("https://www.philgeps.gov.ph/GEPSNONPILOT/Tender/SplashBidNoticeAbstractUI.aspx?menuIndex=3&amp;refID=7069074&amp;Result=3","7069074")</f>
        <v>0</v>
      </c>
      <c r="B7138" t="s">
        <v>372</v>
      </c>
      <c r="C7138" t="s">
        <v>10189</v>
      </c>
      <c r="D7138" t="s">
        <v>16663</v>
      </c>
      <c r="E7138" t="s">
        <v>22971</v>
      </c>
      <c r="F7138" t="s">
        <v>28669</v>
      </c>
      <c r="G7138" t="s">
        <v>28677</v>
      </c>
      <c r="H7138" t="s">
        <v>9998</v>
      </c>
      <c r="I7138" t="s">
        <v>28717</v>
      </c>
      <c r="J7138" t="s">
        <v>33304</v>
      </c>
      <c r="K7138" t="s">
        <v>37209</v>
      </c>
      <c r="M7138" t="s">
        <v>37854</v>
      </c>
      <c r="N7138" t="s">
        <v>41249</v>
      </c>
      <c r="O7138" t="s">
        <v>41250</v>
      </c>
      <c r="Q7138">
        <v>4</v>
      </c>
      <c r="R7138" t="s">
        <v>41257</v>
      </c>
      <c r="S7138" t="s">
        <v>41482</v>
      </c>
      <c r="T7138" t="s">
        <v>42736</v>
      </c>
      <c r="U7138" t="s">
        <v>49058</v>
      </c>
      <c r="W7138" t="s">
        <v>37854</v>
      </c>
      <c r="X7138" t="s">
        <v>41258</v>
      </c>
    </row>
    <row r="7139" spans="1:24">
      <c r="A7139">
        <f>HYPERLINK("https://www.philgeps.gov.ph/GEPSNONPILOT/Tender/SplashBidNoticeAbstractUI.aspx?menuIndex=3&amp;refID=7069156&amp;Result=3","7069156")</f>
        <v>0</v>
      </c>
      <c r="B7139" t="s">
        <v>2263</v>
      </c>
      <c r="C7139" t="s">
        <v>10190</v>
      </c>
      <c r="D7139" t="s">
        <v>16663</v>
      </c>
      <c r="E7139" t="s">
        <v>22972</v>
      </c>
      <c r="F7139" t="s">
        <v>28669</v>
      </c>
      <c r="G7139" t="s">
        <v>28676</v>
      </c>
      <c r="H7139" t="s">
        <v>9998</v>
      </c>
      <c r="I7139" t="s">
        <v>28693</v>
      </c>
      <c r="J7139" t="s">
        <v>33305</v>
      </c>
      <c r="K7139" t="s">
        <v>37206</v>
      </c>
      <c r="M7139" t="s">
        <v>39918</v>
      </c>
      <c r="N7139" t="s">
        <v>41249</v>
      </c>
      <c r="O7139" t="s">
        <v>41250</v>
      </c>
      <c r="P7139">
        <v>0</v>
      </c>
      <c r="Q7139">
        <v>4</v>
      </c>
      <c r="R7139" t="s">
        <v>41257</v>
      </c>
      <c r="S7139" t="s">
        <v>41461</v>
      </c>
      <c r="T7139" t="s">
        <v>42767</v>
      </c>
      <c r="U7139" t="s">
        <v>49085</v>
      </c>
      <c r="W7139" t="s">
        <v>39918</v>
      </c>
      <c r="X7139" t="s">
        <v>41258</v>
      </c>
    </row>
    <row r="7140" spans="1:24">
      <c r="A7140">
        <f>HYPERLINK("https://www.philgeps.gov.ph/GEPSNONPILOT/Tender/SplashBidNoticeAbstractUI.aspx?menuIndex=3&amp;refID=7069152&amp;Result=3","7069152")</f>
        <v>0</v>
      </c>
      <c r="B7140" t="s">
        <v>694</v>
      </c>
      <c r="C7140" t="s">
        <v>10191</v>
      </c>
      <c r="D7140" t="s">
        <v>16686</v>
      </c>
      <c r="E7140" t="s">
        <v>22973</v>
      </c>
      <c r="F7140" t="s">
        <v>28669</v>
      </c>
      <c r="G7140" t="s">
        <v>28675</v>
      </c>
      <c r="H7140" t="s">
        <v>9998</v>
      </c>
      <c r="I7140" t="s">
        <v>28695</v>
      </c>
      <c r="J7140" t="s">
        <v>33306</v>
      </c>
      <c r="K7140" t="s">
        <v>37210</v>
      </c>
      <c r="M7140" t="s">
        <v>38199</v>
      </c>
      <c r="N7140" t="s">
        <v>41249</v>
      </c>
      <c r="O7140" t="s">
        <v>41250</v>
      </c>
      <c r="P7140">
        <v>0</v>
      </c>
      <c r="Q7140">
        <v>0</v>
      </c>
      <c r="R7140" t="s">
        <v>41257</v>
      </c>
      <c r="S7140" t="s">
        <v>41461</v>
      </c>
      <c r="T7140" t="s">
        <v>42701</v>
      </c>
      <c r="U7140" t="s">
        <v>49086</v>
      </c>
      <c r="V7140" t="s">
        <v>54428</v>
      </c>
      <c r="W7140" t="s">
        <v>38199</v>
      </c>
      <c r="X7140" t="s">
        <v>41258</v>
      </c>
    </row>
    <row r="7141" spans="1:24">
      <c r="A7141">
        <f>HYPERLINK("https://www.philgeps.gov.ph/GEPSNONPILOT/Tender/SplashBidNoticeAbstractUI.aspx?menuIndex=3&amp;refID=7069061&amp;Result=3","7069061")</f>
        <v>0</v>
      </c>
      <c r="B7141" t="s">
        <v>2298</v>
      </c>
      <c r="C7141" t="s">
        <v>10192</v>
      </c>
      <c r="D7141" t="s">
        <v>16633</v>
      </c>
      <c r="E7141" t="s">
        <v>10192</v>
      </c>
      <c r="F7141" t="s">
        <v>28669</v>
      </c>
      <c r="G7141" t="s">
        <v>28678</v>
      </c>
      <c r="H7141" t="s">
        <v>9998</v>
      </c>
      <c r="I7141" t="s">
        <v>28688</v>
      </c>
      <c r="J7141" t="s">
        <v>29348</v>
      </c>
      <c r="K7141" t="s">
        <v>37234</v>
      </c>
      <c r="M7141" t="s">
        <v>39956</v>
      </c>
      <c r="N7141" t="s">
        <v>41249</v>
      </c>
      <c r="O7141" t="s">
        <v>41250</v>
      </c>
      <c r="P7141">
        <v>0</v>
      </c>
      <c r="Q7141">
        <v>1</v>
      </c>
      <c r="R7141" t="s">
        <v>41257</v>
      </c>
      <c r="S7141" t="s">
        <v>41461</v>
      </c>
      <c r="T7141" t="s">
        <v>42883</v>
      </c>
      <c r="U7141" t="s">
        <v>49087</v>
      </c>
      <c r="V7141" t="s">
        <v>55093</v>
      </c>
      <c r="W7141" t="s">
        <v>39956</v>
      </c>
      <c r="X7141" t="s">
        <v>41258</v>
      </c>
    </row>
    <row r="7142" spans="1:24">
      <c r="A7142">
        <f>HYPERLINK("https://www.philgeps.gov.ph/GEPSNONPILOT/Tender/SplashBidNoticeAbstractUI.aspx?menuIndex=3&amp;refID=7069055&amp;Result=3","7069055")</f>
        <v>0</v>
      </c>
      <c r="B7142" t="s">
        <v>1522</v>
      </c>
      <c r="C7142" t="s">
        <v>10193</v>
      </c>
      <c r="D7142" t="s">
        <v>16686</v>
      </c>
      <c r="E7142" t="s">
        <v>22974</v>
      </c>
      <c r="F7142" t="s">
        <v>28669</v>
      </c>
      <c r="G7142" t="s">
        <v>28675</v>
      </c>
      <c r="H7142" t="s">
        <v>9998</v>
      </c>
      <c r="I7142" t="s">
        <v>6128</v>
      </c>
      <c r="J7142" t="s">
        <v>33307</v>
      </c>
      <c r="K7142" t="s">
        <v>37210</v>
      </c>
      <c r="M7142" t="s">
        <v>39573</v>
      </c>
      <c r="N7142" t="s">
        <v>41249</v>
      </c>
      <c r="O7142" t="s">
        <v>41250</v>
      </c>
      <c r="P7142">
        <v>0</v>
      </c>
      <c r="Q7142">
        <v>0</v>
      </c>
      <c r="R7142" t="s">
        <v>41257</v>
      </c>
      <c r="S7142" t="s">
        <v>41461</v>
      </c>
      <c r="T7142" t="s">
        <v>42663</v>
      </c>
      <c r="U7142" t="s">
        <v>49088</v>
      </c>
      <c r="W7142" t="s">
        <v>39573</v>
      </c>
      <c r="X7142" t="s">
        <v>41258</v>
      </c>
    </row>
    <row r="7143" spans="1:24">
      <c r="A7143">
        <f>HYPERLINK("https://www.philgeps.gov.ph/GEPSNONPILOT/Tender/SplashBidNoticeAbstractUI.aspx?menuIndex=3&amp;refID=7069001&amp;Result=3","7069001")</f>
        <v>0</v>
      </c>
      <c r="B7143" t="s">
        <v>2243</v>
      </c>
      <c r="C7143" t="s">
        <v>10194</v>
      </c>
      <c r="D7143" t="s">
        <v>16673</v>
      </c>
      <c r="E7143" t="s">
        <v>22975</v>
      </c>
      <c r="F7143" t="s">
        <v>28669</v>
      </c>
      <c r="G7143" t="s">
        <v>28675</v>
      </c>
      <c r="H7143" t="s">
        <v>9998</v>
      </c>
      <c r="I7143" t="s">
        <v>28717</v>
      </c>
      <c r="J7143" t="s">
        <v>33308</v>
      </c>
      <c r="K7143" t="s">
        <v>37221</v>
      </c>
      <c r="M7143" t="s">
        <v>39897</v>
      </c>
      <c r="N7143" t="s">
        <v>41249</v>
      </c>
      <c r="O7143" t="s">
        <v>41250</v>
      </c>
      <c r="P7143">
        <v>0</v>
      </c>
      <c r="Q7143">
        <v>8</v>
      </c>
      <c r="R7143" t="s">
        <v>41257</v>
      </c>
      <c r="S7143" t="s">
        <v>41461</v>
      </c>
      <c r="T7143" t="s">
        <v>42836</v>
      </c>
      <c r="U7143" t="s">
        <v>49089</v>
      </c>
      <c r="V7143" t="s">
        <v>55053</v>
      </c>
      <c r="W7143" t="s">
        <v>39897</v>
      </c>
      <c r="X7143" t="s">
        <v>41258</v>
      </c>
    </row>
    <row r="7144" spans="1:24">
      <c r="A7144">
        <f>HYPERLINK("https://www.philgeps.gov.ph/GEPSNONPILOT/Tender/SplashBidNoticeAbstractUI.aspx?menuIndex=3&amp;refID=7069145&amp;Result=3","7069145")</f>
        <v>0</v>
      </c>
      <c r="B7144" t="s">
        <v>372</v>
      </c>
      <c r="C7144" t="s">
        <v>10195</v>
      </c>
      <c r="D7144" t="s">
        <v>16663</v>
      </c>
      <c r="E7144" t="s">
        <v>22976</v>
      </c>
      <c r="F7144" t="s">
        <v>28669</v>
      </c>
      <c r="G7144" t="s">
        <v>28675</v>
      </c>
      <c r="H7144" t="s">
        <v>9998</v>
      </c>
      <c r="I7144" t="s">
        <v>28693</v>
      </c>
      <c r="J7144" t="s">
        <v>33309</v>
      </c>
      <c r="K7144" t="s">
        <v>37209</v>
      </c>
      <c r="M7144" t="s">
        <v>37854</v>
      </c>
      <c r="N7144" t="s">
        <v>41249</v>
      </c>
      <c r="O7144" t="s">
        <v>41250</v>
      </c>
      <c r="Q7144">
        <v>17</v>
      </c>
      <c r="R7144" t="s">
        <v>41257</v>
      </c>
      <c r="S7144" t="s">
        <v>41483</v>
      </c>
      <c r="T7144" t="s">
        <v>42911</v>
      </c>
      <c r="U7144" t="s">
        <v>49090</v>
      </c>
      <c r="W7144" t="s">
        <v>37854</v>
      </c>
      <c r="X7144" t="s">
        <v>41258</v>
      </c>
    </row>
    <row r="7145" spans="1:24">
      <c r="A7145">
        <f>HYPERLINK("https://www.philgeps.gov.ph/GEPSNONPILOT/Tender/SplashBidNoticeAbstractUI.aspx?menuIndex=3&amp;refID=7069176&amp;Result=3","7069176")</f>
        <v>0</v>
      </c>
      <c r="B7145" t="s">
        <v>442</v>
      </c>
      <c r="C7145" t="s">
        <v>10196</v>
      </c>
      <c r="E7145" t="s">
        <v>22977</v>
      </c>
      <c r="F7145" t="s">
        <v>28669</v>
      </c>
      <c r="G7145" t="s">
        <v>28675</v>
      </c>
      <c r="H7145" t="s">
        <v>9998</v>
      </c>
      <c r="I7145" t="s">
        <v>3718</v>
      </c>
      <c r="J7145" t="s">
        <v>29538</v>
      </c>
      <c r="K7145" t="s">
        <v>37209</v>
      </c>
      <c r="M7145" t="s">
        <v>37927</v>
      </c>
      <c r="N7145" t="s">
        <v>41249</v>
      </c>
      <c r="O7145" t="s">
        <v>41250</v>
      </c>
      <c r="P7145">
        <v>0</v>
      </c>
      <c r="Q7145">
        <v>2</v>
      </c>
      <c r="R7145" t="s">
        <v>41257</v>
      </c>
      <c r="S7145" t="s">
        <v>41461</v>
      </c>
      <c r="T7145" t="s">
        <v>42729</v>
      </c>
      <c r="U7145" t="s">
        <v>49091</v>
      </c>
      <c r="W7145" t="s">
        <v>37927</v>
      </c>
      <c r="X7145" t="s">
        <v>41258</v>
      </c>
    </row>
    <row r="7146" spans="1:24">
      <c r="A7146">
        <f>HYPERLINK("https://www.philgeps.gov.ph/GEPSNONPILOT/Tender/SplashBidNoticeAbstractUI.aspx?menuIndex=3&amp;refID=7069206&amp;Result=3","7069206")</f>
        <v>0</v>
      </c>
      <c r="B7146" t="s">
        <v>349</v>
      </c>
      <c r="C7146" t="s">
        <v>10197</v>
      </c>
      <c r="D7146" t="s">
        <v>16675</v>
      </c>
      <c r="E7146" t="s">
        <v>22978</v>
      </c>
      <c r="F7146" t="s">
        <v>28669</v>
      </c>
      <c r="G7146" t="s">
        <v>28676</v>
      </c>
      <c r="H7146" t="s">
        <v>9998</v>
      </c>
      <c r="I7146" t="s">
        <v>3679</v>
      </c>
      <c r="J7146" t="s">
        <v>33310</v>
      </c>
      <c r="K7146" t="s">
        <v>37205</v>
      </c>
      <c r="M7146" t="s">
        <v>37829</v>
      </c>
      <c r="N7146" t="s">
        <v>41249</v>
      </c>
      <c r="O7146" t="s">
        <v>41250</v>
      </c>
      <c r="P7146">
        <v>0</v>
      </c>
      <c r="Q7146">
        <v>0</v>
      </c>
      <c r="R7146" t="s">
        <v>41257</v>
      </c>
      <c r="S7146" t="s">
        <v>41461</v>
      </c>
      <c r="T7146" t="s">
        <v>42743</v>
      </c>
      <c r="U7146" t="s">
        <v>49092</v>
      </c>
      <c r="W7146" t="s">
        <v>37829</v>
      </c>
      <c r="X7146" t="s">
        <v>41258</v>
      </c>
    </row>
    <row r="7147" spans="1:24">
      <c r="A7147">
        <f>HYPERLINK("https://www.philgeps.gov.ph/GEPSNONPILOT/Tender/SplashBidNoticeAbstractUI.aspx?menuIndex=3&amp;refID=7069135&amp;Result=3","7069135")</f>
        <v>0</v>
      </c>
      <c r="B7147" t="s">
        <v>1770</v>
      </c>
      <c r="C7147" t="s">
        <v>10198</v>
      </c>
      <c r="D7147" t="s">
        <v>16608</v>
      </c>
      <c r="E7147" t="s">
        <v>22979</v>
      </c>
      <c r="F7147" t="s">
        <v>28669</v>
      </c>
      <c r="G7147" t="s">
        <v>28676</v>
      </c>
      <c r="H7147" t="s">
        <v>9998</v>
      </c>
      <c r="I7147" t="s">
        <v>28708</v>
      </c>
      <c r="J7147" t="s">
        <v>33311</v>
      </c>
      <c r="K7147" t="s">
        <v>37207</v>
      </c>
      <c r="M7147" t="s">
        <v>39584</v>
      </c>
      <c r="N7147" t="s">
        <v>41249</v>
      </c>
      <c r="O7147" t="s">
        <v>41250</v>
      </c>
      <c r="P7147">
        <v>0</v>
      </c>
      <c r="Q7147">
        <v>12</v>
      </c>
      <c r="R7147" t="s">
        <v>41257</v>
      </c>
      <c r="S7147" t="s">
        <v>41461</v>
      </c>
      <c r="T7147" t="s">
        <v>42774</v>
      </c>
      <c r="U7147" t="s">
        <v>47967</v>
      </c>
      <c r="W7147" t="s">
        <v>39584</v>
      </c>
      <c r="X7147" t="s">
        <v>41258</v>
      </c>
    </row>
    <row r="7148" spans="1:24">
      <c r="A7148">
        <f>HYPERLINK("https://www.philgeps.gov.ph/GEPSNONPILOT/Tender/SplashBidNoticeAbstractUI.aspx?menuIndex=3&amp;refID=7069168&amp;Result=3","7069168")</f>
        <v>0</v>
      </c>
      <c r="B7148" t="s">
        <v>1068</v>
      </c>
      <c r="C7148" t="s">
        <v>10199</v>
      </c>
      <c r="D7148" t="s">
        <v>16607</v>
      </c>
      <c r="E7148" t="s">
        <v>22980</v>
      </c>
      <c r="F7148" t="s">
        <v>28669</v>
      </c>
      <c r="G7148" t="s">
        <v>28675</v>
      </c>
      <c r="H7148" t="s">
        <v>28686</v>
      </c>
      <c r="I7148" t="s">
        <v>28689</v>
      </c>
      <c r="J7148" t="s">
        <v>28879</v>
      </c>
      <c r="K7148" t="s">
        <v>37204</v>
      </c>
      <c r="M7148" t="s">
        <v>38600</v>
      </c>
      <c r="N7148" t="s">
        <v>41249</v>
      </c>
      <c r="O7148" t="s">
        <v>41250</v>
      </c>
      <c r="P7148">
        <v>0</v>
      </c>
      <c r="Q7148">
        <v>1</v>
      </c>
      <c r="R7148" t="s">
        <v>41257</v>
      </c>
      <c r="S7148" t="s">
        <v>41461</v>
      </c>
      <c r="T7148" t="s">
        <v>42736</v>
      </c>
      <c r="U7148" t="s">
        <v>49093</v>
      </c>
      <c r="V7148" t="s">
        <v>55094</v>
      </c>
      <c r="W7148" t="s">
        <v>38600</v>
      </c>
      <c r="X7148" t="s">
        <v>41258</v>
      </c>
    </row>
    <row r="7149" spans="1:24">
      <c r="A7149">
        <f>HYPERLINK("https://www.philgeps.gov.ph/GEPSNONPILOT/Tender/SplashBidNoticeAbstractUI.aspx?menuIndex=3&amp;refID=7069218&amp;Result=3","7069218")</f>
        <v>0</v>
      </c>
      <c r="B7149" t="s">
        <v>2247</v>
      </c>
      <c r="C7149" t="s">
        <v>10200</v>
      </c>
      <c r="D7149" t="s">
        <v>16622</v>
      </c>
      <c r="E7149" t="s">
        <v>22981</v>
      </c>
      <c r="F7149" t="s">
        <v>28671</v>
      </c>
      <c r="G7149" t="s">
        <v>28676</v>
      </c>
      <c r="H7149" t="s">
        <v>9998</v>
      </c>
      <c r="I7149" t="s">
        <v>28688</v>
      </c>
      <c r="J7149" t="s">
        <v>33312</v>
      </c>
      <c r="K7149" t="s">
        <v>37243</v>
      </c>
      <c r="M7149" t="s">
        <v>39901</v>
      </c>
      <c r="N7149" t="s">
        <v>41249</v>
      </c>
      <c r="O7149" t="s">
        <v>41250</v>
      </c>
      <c r="P7149">
        <v>0</v>
      </c>
      <c r="Q7149">
        <v>1</v>
      </c>
      <c r="R7149" t="s">
        <v>41257</v>
      </c>
      <c r="S7149" t="s">
        <v>41461</v>
      </c>
      <c r="T7149" t="s">
        <v>42758</v>
      </c>
      <c r="U7149" t="s">
        <v>49094</v>
      </c>
      <c r="W7149" t="s">
        <v>39901</v>
      </c>
      <c r="X7149" t="s">
        <v>41258</v>
      </c>
    </row>
    <row r="7150" spans="1:24">
      <c r="A7150">
        <f>HYPERLINK("https://www.philgeps.gov.ph/GEPSNONPILOT/Tender/SplashBidNoticeAbstractUI.aspx?menuIndex=3&amp;refID=7069216&amp;Result=3","7069216")</f>
        <v>0</v>
      </c>
      <c r="B7150" t="s">
        <v>2294</v>
      </c>
      <c r="C7150" t="s">
        <v>10201</v>
      </c>
      <c r="D7150" t="s">
        <v>16631</v>
      </c>
      <c r="E7150" t="s">
        <v>22982</v>
      </c>
      <c r="F7150" t="s">
        <v>28669</v>
      </c>
      <c r="G7150" t="s">
        <v>28675</v>
      </c>
      <c r="H7150" t="s">
        <v>9998</v>
      </c>
      <c r="I7150" t="s">
        <v>5213</v>
      </c>
      <c r="J7150" t="s">
        <v>33313</v>
      </c>
      <c r="K7150" t="s">
        <v>37227</v>
      </c>
      <c r="M7150" t="s">
        <v>39950</v>
      </c>
      <c r="N7150" t="s">
        <v>41249</v>
      </c>
      <c r="O7150" t="s">
        <v>41250</v>
      </c>
      <c r="P7150">
        <v>0</v>
      </c>
      <c r="Q7150">
        <v>0</v>
      </c>
      <c r="R7150" t="s">
        <v>41257</v>
      </c>
      <c r="S7150" t="s">
        <v>41461</v>
      </c>
      <c r="T7150" t="s">
        <v>42827</v>
      </c>
      <c r="U7150" t="s">
        <v>49095</v>
      </c>
      <c r="V7150" t="s">
        <v>55090</v>
      </c>
      <c r="W7150" t="s">
        <v>39950</v>
      </c>
      <c r="X7150" t="s">
        <v>41258</v>
      </c>
    </row>
    <row r="7151" spans="1:24">
      <c r="A7151">
        <f>HYPERLINK("https://www.philgeps.gov.ph/GEPSNONPILOT/Tender/SplashBidNoticeAbstractUI.aspx?menuIndex=3&amp;refID=7069212&amp;Result=3","7069212")</f>
        <v>0</v>
      </c>
      <c r="B7151" t="s">
        <v>2188</v>
      </c>
      <c r="C7151" t="s">
        <v>10202</v>
      </c>
      <c r="D7151" t="s">
        <v>16616</v>
      </c>
      <c r="E7151" t="s">
        <v>22983</v>
      </c>
      <c r="F7151" t="s">
        <v>28669</v>
      </c>
      <c r="G7151" t="s">
        <v>28675</v>
      </c>
      <c r="H7151" t="s">
        <v>28686</v>
      </c>
      <c r="I7151" t="s">
        <v>28689</v>
      </c>
      <c r="J7151" t="s">
        <v>33314</v>
      </c>
      <c r="K7151" t="s">
        <v>37211</v>
      </c>
      <c r="M7151" t="s">
        <v>39838</v>
      </c>
      <c r="N7151" t="s">
        <v>41249</v>
      </c>
      <c r="O7151" t="s">
        <v>41250</v>
      </c>
      <c r="P7151">
        <v>0</v>
      </c>
      <c r="Q7151">
        <v>2</v>
      </c>
      <c r="R7151" t="s">
        <v>41257</v>
      </c>
      <c r="S7151" t="s">
        <v>41461</v>
      </c>
      <c r="T7151" t="s">
        <v>42837</v>
      </c>
      <c r="U7151" t="s">
        <v>49096</v>
      </c>
      <c r="W7151" t="s">
        <v>39838</v>
      </c>
      <c r="X7151" t="s">
        <v>41258</v>
      </c>
    </row>
    <row r="7152" spans="1:24">
      <c r="A7152">
        <f>HYPERLINK("https://www.philgeps.gov.ph/GEPSNONPILOT/Tender/SplashBidNoticeAbstractUI.aspx?menuIndex=3&amp;refID=7069208&amp;Result=3","7069208")</f>
        <v>0</v>
      </c>
      <c r="B7152" t="s">
        <v>442</v>
      </c>
      <c r="C7152" t="s">
        <v>10203</v>
      </c>
      <c r="E7152" t="s">
        <v>22984</v>
      </c>
      <c r="F7152" t="s">
        <v>28669</v>
      </c>
      <c r="G7152" t="s">
        <v>28675</v>
      </c>
      <c r="H7152" t="s">
        <v>9998</v>
      </c>
      <c r="I7152" t="s">
        <v>28722</v>
      </c>
      <c r="J7152" t="s">
        <v>33315</v>
      </c>
      <c r="K7152" t="s">
        <v>37209</v>
      </c>
      <c r="M7152" t="s">
        <v>37927</v>
      </c>
      <c r="N7152" t="s">
        <v>41249</v>
      </c>
      <c r="O7152" t="s">
        <v>41250</v>
      </c>
      <c r="P7152">
        <v>0</v>
      </c>
      <c r="Q7152">
        <v>2</v>
      </c>
      <c r="R7152" t="s">
        <v>41257</v>
      </c>
      <c r="S7152" t="s">
        <v>41461</v>
      </c>
      <c r="T7152" t="s">
        <v>42884</v>
      </c>
      <c r="U7152" t="s">
        <v>49097</v>
      </c>
      <c r="W7152" t="s">
        <v>37927</v>
      </c>
      <c r="X7152" t="s">
        <v>41258</v>
      </c>
    </row>
    <row r="7153" spans="1:24">
      <c r="A7153">
        <f>HYPERLINK("https://www.philgeps.gov.ph/GEPSNONPILOT/Tender/SplashBidNoticeAbstractUI.aspx?menuIndex=3&amp;refID=7069207&amp;Result=3","7069207")</f>
        <v>0</v>
      </c>
      <c r="B7153" t="s">
        <v>2297</v>
      </c>
      <c r="C7153" t="s">
        <v>10204</v>
      </c>
      <c r="D7153" t="s">
        <v>16644</v>
      </c>
      <c r="E7153" t="s">
        <v>16869</v>
      </c>
      <c r="F7153" t="s">
        <v>28669</v>
      </c>
      <c r="G7153" t="s">
        <v>28675</v>
      </c>
      <c r="H7153" t="s">
        <v>28686</v>
      </c>
      <c r="I7153" t="s">
        <v>28689</v>
      </c>
      <c r="J7153" t="s">
        <v>28905</v>
      </c>
      <c r="K7153" t="s">
        <v>37206</v>
      </c>
      <c r="M7153" t="s">
        <v>39955</v>
      </c>
      <c r="N7153" t="s">
        <v>41249</v>
      </c>
      <c r="O7153" t="s">
        <v>41250</v>
      </c>
      <c r="P7153">
        <v>0</v>
      </c>
      <c r="Q7153">
        <v>0</v>
      </c>
      <c r="R7153" t="s">
        <v>41257</v>
      </c>
      <c r="S7153" t="s">
        <v>41461</v>
      </c>
      <c r="T7153" t="s">
        <v>42664</v>
      </c>
      <c r="U7153" t="s">
        <v>49098</v>
      </c>
      <c r="W7153" t="s">
        <v>39955</v>
      </c>
      <c r="X7153" t="s">
        <v>41258</v>
      </c>
    </row>
    <row r="7154" spans="1:24">
      <c r="A7154">
        <f>HYPERLINK("https://www.philgeps.gov.ph/GEPSNONPILOT/Tender/SplashBidNoticeAbstractUI.aspx?menuIndex=3&amp;refID=7069198&amp;Result=3","7069198")</f>
        <v>0</v>
      </c>
      <c r="B7154" t="s">
        <v>2258</v>
      </c>
      <c r="C7154" t="s">
        <v>10205</v>
      </c>
      <c r="E7154" t="s">
        <v>22985</v>
      </c>
      <c r="F7154" t="s">
        <v>28669</v>
      </c>
      <c r="G7154" t="s">
        <v>28675</v>
      </c>
      <c r="H7154" t="s">
        <v>28686</v>
      </c>
      <c r="I7154" t="s">
        <v>28766</v>
      </c>
      <c r="J7154" t="s">
        <v>33316</v>
      </c>
      <c r="K7154" t="s">
        <v>37223</v>
      </c>
      <c r="M7154" t="s">
        <v>39913</v>
      </c>
      <c r="N7154" t="s">
        <v>41249</v>
      </c>
      <c r="O7154" t="s">
        <v>41250</v>
      </c>
      <c r="P7154">
        <v>0</v>
      </c>
      <c r="Q7154">
        <v>0</v>
      </c>
      <c r="R7154" t="s">
        <v>41257</v>
      </c>
      <c r="S7154" t="s">
        <v>41461</v>
      </c>
      <c r="T7154" t="s">
        <v>42761</v>
      </c>
      <c r="U7154" t="s">
        <v>49099</v>
      </c>
      <c r="W7154" t="s">
        <v>39913</v>
      </c>
      <c r="X7154" t="s">
        <v>41258</v>
      </c>
    </row>
    <row r="7155" spans="1:24">
      <c r="A7155">
        <f>HYPERLINK("https://www.philgeps.gov.ph/GEPSNONPILOT/Tender/SplashBidNoticeAbstractUI.aspx?menuIndex=3&amp;refID=7069203&amp;Result=3","7069203")</f>
        <v>0</v>
      </c>
      <c r="B7155" t="s">
        <v>897</v>
      </c>
      <c r="C7155" t="s">
        <v>10206</v>
      </c>
      <c r="D7155" t="s">
        <v>16631</v>
      </c>
      <c r="E7155" t="s">
        <v>22986</v>
      </c>
      <c r="F7155" t="s">
        <v>28669</v>
      </c>
      <c r="G7155" t="s">
        <v>28675</v>
      </c>
      <c r="H7155" t="s">
        <v>9998</v>
      </c>
      <c r="I7155" t="s">
        <v>3658</v>
      </c>
      <c r="J7155" t="s">
        <v>29404</v>
      </c>
      <c r="K7155" t="s">
        <v>37206</v>
      </c>
      <c r="M7155" t="s">
        <v>38418</v>
      </c>
      <c r="N7155" t="s">
        <v>41249</v>
      </c>
      <c r="O7155" t="s">
        <v>41250</v>
      </c>
      <c r="P7155">
        <v>0</v>
      </c>
      <c r="Q7155">
        <v>0</v>
      </c>
      <c r="R7155" t="s">
        <v>41257</v>
      </c>
      <c r="S7155" t="s">
        <v>41461</v>
      </c>
      <c r="T7155" t="s">
        <v>42668</v>
      </c>
      <c r="U7155" t="s">
        <v>44959</v>
      </c>
      <c r="W7155" t="s">
        <v>38418</v>
      </c>
      <c r="X7155" t="s">
        <v>41258</v>
      </c>
    </row>
    <row r="7156" spans="1:24">
      <c r="A7156">
        <f>HYPERLINK("https://www.philgeps.gov.ph/GEPSNONPILOT/Tender/SplashBidNoticeAbstractUI.aspx?menuIndex=3&amp;refID=7069075&amp;Result=3","7069075")</f>
        <v>0</v>
      </c>
      <c r="B7156" t="s">
        <v>694</v>
      </c>
      <c r="C7156" t="s">
        <v>10207</v>
      </c>
      <c r="D7156" t="s">
        <v>16686</v>
      </c>
      <c r="E7156" t="s">
        <v>22987</v>
      </c>
      <c r="F7156" t="s">
        <v>28669</v>
      </c>
      <c r="G7156" t="s">
        <v>28675</v>
      </c>
      <c r="H7156" t="s">
        <v>9998</v>
      </c>
      <c r="I7156" t="s">
        <v>28695</v>
      </c>
      <c r="J7156" t="s">
        <v>33317</v>
      </c>
      <c r="K7156" t="s">
        <v>37210</v>
      </c>
      <c r="M7156" t="s">
        <v>38199</v>
      </c>
      <c r="N7156" t="s">
        <v>41249</v>
      </c>
      <c r="O7156" t="s">
        <v>41250</v>
      </c>
      <c r="P7156">
        <v>0</v>
      </c>
      <c r="Q7156">
        <v>0</v>
      </c>
      <c r="R7156" t="s">
        <v>41257</v>
      </c>
      <c r="S7156" t="s">
        <v>41461</v>
      </c>
      <c r="T7156" t="s">
        <v>42701</v>
      </c>
      <c r="U7156" t="s">
        <v>49100</v>
      </c>
      <c r="V7156" t="s">
        <v>54428</v>
      </c>
      <c r="W7156" t="s">
        <v>38199</v>
      </c>
      <c r="X7156" t="s">
        <v>41258</v>
      </c>
    </row>
    <row r="7157" spans="1:24">
      <c r="A7157">
        <f>HYPERLINK("https://www.philgeps.gov.ph/GEPSNONPILOT/Tender/SplashBidNoticeAbstractUI.aspx?menuIndex=3&amp;refID=7069191&amp;Result=3","7069191")</f>
        <v>0</v>
      </c>
      <c r="B7157" t="s">
        <v>2294</v>
      </c>
      <c r="C7157" t="s">
        <v>10208</v>
      </c>
      <c r="D7157" t="s">
        <v>16631</v>
      </c>
      <c r="E7157" t="s">
        <v>20589</v>
      </c>
      <c r="F7157" t="s">
        <v>28669</v>
      </c>
      <c r="G7157" t="s">
        <v>28675</v>
      </c>
      <c r="H7157" t="s">
        <v>9998</v>
      </c>
      <c r="I7157" t="s">
        <v>3718</v>
      </c>
      <c r="J7157" t="s">
        <v>29191</v>
      </c>
      <c r="K7157" t="s">
        <v>37227</v>
      </c>
      <c r="M7157" t="s">
        <v>39950</v>
      </c>
      <c r="N7157" t="s">
        <v>41249</v>
      </c>
      <c r="O7157" t="s">
        <v>41250</v>
      </c>
      <c r="P7157">
        <v>0</v>
      </c>
      <c r="Q7157">
        <v>0</v>
      </c>
      <c r="R7157" t="s">
        <v>41257</v>
      </c>
      <c r="S7157" t="s">
        <v>41461</v>
      </c>
      <c r="T7157" t="s">
        <v>42827</v>
      </c>
      <c r="U7157" t="s">
        <v>49101</v>
      </c>
      <c r="V7157" t="s">
        <v>55090</v>
      </c>
      <c r="W7157" t="s">
        <v>39950</v>
      </c>
      <c r="X7157" t="s">
        <v>41258</v>
      </c>
    </row>
    <row r="7158" spans="1:24">
      <c r="A7158">
        <f>HYPERLINK("https://www.philgeps.gov.ph/GEPSNONPILOT/Tender/SplashBidNoticeAbstractUI.aspx?menuIndex=3&amp;refID=7069213&amp;Result=3","7069213")</f>
        <v>0</v>
      </c>
      <c r="B7158" t="s">
        <v>2263</v>
      </c>
      <c r="C7158" t="s">
        <v>10209</v>
      </c>
      <c r="D7158" t="s">
        <v>16663</v>
      </c>
      <c r="E7158" t="s">
        <v>22988</v>
      </c>
      <c r="F7158" t="s">
        <v>28669</v>
      </c>
      <c r="G7158" t="s">
        <v>28676</v>
      </c>
      <c r="H7158" t="s">
        <v>9998</v>
      </c>
      <c r="I7158" t="s">
        <v>28693</v>
      </c>
      <c r="J7158" t="s">
        <v>30137</v>
      </c>
      <c r="K7158" t="s">
        <v>37206</v>
      </c>
      <c r="M7158" t="s">
        <v>39918</v>
      </c>
      <c r="N7158" t="s">
        <v>41249</v>
      </c>
      <c r="O7158" t="s">
        <v>41250</v>
      </c>
      <c r="P7158">
        <v>0</v>
      </c>
      <c r="Q7158">
        <v>3</v>
      </c>
      <c r="R7158" t="s">
        <v>41257</v>
      </c>
      <c r="S7158" t="s">
        <v>41461</v>
      </c>
      <c r="T7158" t="s">
        <v>42767</v>
      </c>
      <c r="U7158" t="s">
        <v>49102</v>
      </c>
      <c r="W7158" t="s">
        <v>39918</v>
      </c>
      <c r="X7158" t="s">
        <v>41258</v>
      </c>
    </row>
    <row r="7159" spans="1:24">
      <c r="A7159">
        <f>HYPERLINK("https://www.philgeps.gov.ph/GEPSNONPILOT/Tender/SplashBidNoticeAbstractUI.aspx?menuIndex=3&amp;refID=7069190&amp;Result=3","7069190")</f>
        <v>0</v>
      </c>
      <c r="B7159" t="s">
        <v>483</v>
      </c>
      <c r="C7159" t="s">
        <v>10210</v>
      </c>
      <c r="D7159" t="s">
        <v>16676</v>
      </c>
      <c r="E7159" t="s">
        <v>22989</v>
      </c>
      <c r="F7159" t="s">
        <v>28669</v>
      </c>
      <c r="G7159" t="s">
        <v>28675</v>
      </c>
      <c r="H7159" t="s">
        <v>9998</v>
      </c>
      <c r="I7159" t="s">
        <v>5286</v>
      </c>
      <c r="J7159" t="s">
        <v>33318</v>
      </c>
      <c r="K7159" t="s">
        <v>37221</v>
      </c>
      <c r="M7159" t="s">
        <v>37971</v>
      </c>
      <c r="N7159" t="s">
        <v>41249</v>
      </c>
      <c r="O7159" t="s">
        <v>41250</v>
      </c>
      <c r="P7159">
        <v>0</v>
      </c>
      <c r="Q7159">
        <v>1</v>
      </c>
      <c r="R7159" t="s">
        <v>41257</v>
      </c>
      <c r="S7159" t="s">
        <v>41461</v>
      </c>
      <c r="T7159" t="s">
        <v>42673</v>
      </c>
      <c r="U7159" t="s">
        <v>49103</v>
      </c>
      <c r="W7159" t="s">
        <v>37971</v>
      </c>
      <c r="X7159" t="s">
        <v>41258</v>
      </c>
    </row>
    <row r="7160" spans="1:24">
      <c r="A7160">
        <f>HYPERLINK("https://www.philgeps.gov.ph/GEPSNONPILOT/Tender/SplashBidNoticeAbstractUI.aspx?menuIndex=3&amp;refID=7069187&amp;Result=3","7069187")</f>
        <v>0</v>
      </c>
      <c r="B7160" t="s">
        <v>2299</v>
      </c>
      <c r="C7160" t="s">
        <v>10211</v>
      </c>
      <c r="D7160" t="s">
        <v>16619</v>
      </c>
      <c r="E7160" t="s">
        <v>22990</v>
      </c>
      <c r="F7160" t="s">
        <v>28669</v>
      </c>
      <c r="G7160" t="s">
        <v>28675</v>
      </c>
      <c r="H7160" t="s">
        <v>28686</v>
      </c>
      <c r="I7160" t="s">
        <v>28689</v>
      </c>
      <c r="J7160" t="s">
        <v>29059</v>
      </c>
      <c r="K7160" t="s">
        <v>37211</v>
      </c>
      <c r="M7160" t="s">
        <v>39957</v>
      </c>
      <c r="N7160" t="s">
        <v>41249</v>
      </c>
      <c r="O7160" t="s">
        <v>41250</v>
      </c>
      <c r="P7160">
        <v>0</v>
      </c>
      <c r="Q7160">
        <v>0</v>
      </c>
      <c r="R7160" t="s">
        <v>41257</v>
      </c>
      <c r="S7160" t="s">
        <v>41461</v>
      </c>
      <c r="T7160" t="s">
        <v>42760</v>
      </c>
      <c r="U7160" t="s">
        <v>49104</v>
      </c>
      <c r="V7160" t="s">
        <v>55095</v>
      </c>
      <c r="W7160" t="s">
        <v>39957</v>
      </c>
      <c r="X7160" t="s">
        <v>41258</v>
      </c>
    </row>
    <row r="7161" spans="1:24">
      <c r="A7161">
        <f>HYPERLINK("https://www.philgeps.gov.ph/GEPSNONPILOT/Tender/SplashBidNoticeAbstractUI.aspx?menuIndex=3&amp;refID=7069179&amp;Result=3","7069179")</f>
        <v>0</v>
      </c>
      <c r="B7161" t="s">
        <v>2300</v>
      </c>
      <c r="C7161" t="s">
        <v>10212</v>
      </c>
      <c r="E7161" t="s">
        <v>20072</v>
      </c>
      <c r="F7161" t="s">
        <v>28669</v>
      </c>
      <c r="G7161" t="s">
        <v>28675</v>
      </c>
      <c r="H7161" t="s">
        <v>9998</v>
      </c>
      <c r="I7161" t="s">
        <v>3679</v>
      </c>
      <c r="J7161" t="s">
        <v>28874</v>
      </c>
      <c r="K7161" t="s">
        <v>37204</v>
      </c>
      <c r="M7161" t="s">
        <v>39958</v>
      </c>
      <c r="N7161" t="s">
        <v>41249</v>
      </c>
      <c r="O7161" t="s">
        <v>41250</v>
      </c>
      <c r="P7161">
        <v>0</v>
      </c>
      <c r="Q7161">
        <v>1</v>
      </c>
      <c r="R7161" t="s">
        <v>41257</v>
      </c>
      <c r="S7161" t="s">
        <v>41461</v>
      </c>
      <c r="T7161" t="s">
        <v>42711</v>
      </c>
      <c r="U7161" t="s">
        <v>49105</v>
      </c>
      <c r="W7161" t="s">
        <v>39958</v>
      </c>
      <c r="X7161" t="s">
        <v>41258</v>
      </c>
    </row>
    <row r="7162" spans="1:24">
      <c r="A7162">
        <f>HYPERLINK("https://www.philgeps.gov.ph/GEPSNONPILOT/Tender/SplashBidNoticeAbstractUI.aspx?menuIndex=3&amp;refID=7069200&amp;Result=3","7069200")</f>
        <v>0</v>
      </c>
      <c r="B7162" t="s">
        <v>2301</v>
      </c>
      <c r="C7162" t="s">
        <v>10213</v>
      </c>
      <c r="D7162" t="s">
        <v>16654</v>
      </c>
      <c r="E7162" t="s">
        <v>17986</v>
      </c>
      <c r="F7162" t="s">
        <v>28669</v>
      </c>
      <c r="G7162" t="s">
        <v>28675</v>
      </c>
      <c r="H7162" t="s">
        <v>28686</v>
      </c>
      <c r="I7162" t="s">
        <v>28689</v>
      </c>
      <c r="J7162" t="s">
        <v>28924</v>
      </c>
      <c r="K7162" t="s">
        <v>37209</v>
      </c>
      <c r="M7162" t="s">
        <v>39959</v>
      </c>
      <c r="N7162" t="s">
        <v>41249</v>
      </c>
      <c r="O7162" t="s">
        <v>41250</v>
      </c>
      <c r="P7162">
        <v>0</v>
      </c>
      <c r="Q7162">
        <v>0</v>
      </c>
      <c r="R7162" t="s">
        <v>41257</v>
      </c>
      <c r="S7162" t="s">
        <v>41461</v>
      </c>
      <c r="T7162" t="s">
        <v>42758</v>
      </c>
      <c r="U7162" t="s">
        <v>49106</v>
      </c>
      <c r="W7162" t="s">
        <v>39959</v>
      </c>
      <c r="X7162" t="s">
        <v>41258</v>
      </c>
    </row>
    <row r="7163" spans="1:24">
      <c r="A7163">
        <f>HYPERLINK("https://www.philgeps.gov.ph/GEPSNONPILOT/Tender/SplashBidNoticeAbstractUI.aspx?menuIndex=3&amp;refID=7069178&amp;Result=3","7069178")</f>
        <v>0</v>
      </c>
      <c r="B7163" t="s">
        <v>659</v>
      </c>
      <c r="C7163" t="s">
        <v>10214</v>
      </c>
      <c r="D7163" t="s">
        <v>16643</v>
      </c>
      <c r="E7163" t="s">
        <v>22991</v>
      </c>
      <c r="F7163" t="s">
        <v>28669</v>
      </c>
      <c r="G7163" t="s">
        <v>28676</v>
      </c>
      <c r="H7163" t="s">
        <v>28686</v>
      </c>
      <c r="I7163" t="s">
        <v>28689</v>
      </c>
      <c r="J7163" t="s">
        <v>29203</v>
      </c>
      <c r="K7163" t="s">
        <v>37221</v>
      </c>
      <c r="M7163" t="s">
        <v>39960</v>
      </c>
      <c r="N7163" t="s">
        <v>41249</v>
      </c>
      <c r="O7163" t="s">
        <v>41250</v>
      </c>
      <c r="P7163">
        <v>0</v>
      </c>
      <c r="Q7163">
        <v>0</v>
      </c>
      <c r="R7163" t="s">
        <v>41257</v>
      </c>
      <c r="S7163" t="s">
        <v>41461</v>
      </c>
      <c r="T7163" t="s">
        <v>42727</v>
      </c>
      <c r="U7163" t="s">
        <v>49107</v>
      </c>
      <c r="W7163" t="s">
        <v>39960</v>
      </c>
      <c r="X7163" t="s">
        <v>41258</v>
      </c>
    </row>
    <row r="7164" spans="1:24">
      <c r="A7164">
        <f>HYPERLINK("https://www.philgeps.gov.ph/GEPSNONPILOT/Tender/SplashBidNoticeAbstractUI.aspx?menuIndex=3&amp;refID=7069177&amp;Result=3","7069177")</f>
        <v>0</v>
      </c>
      <c r="B7164" t="s">
        <v>2302</v>
      </c>
      <c r="C7164" t="s">
        <v>10215</v>
      </c>
      <c r="D7164" t="s">
        <v>16676</v>
      </c>
      <c r="E7164" t="s">
        <v>17149</v>
      </c>
      <c r="F7164" t="s">
        <v>28669</v>
      </c>
      <c r="G7164" t="s">
        <v>28675</v>
      </c>
      <c r="H7164" t="s">
        <v>28686</v>
      </c>
      <c r="I7164" t="s">
        <v>28689</v>
      </c>
      <c r="J7164" t="s">
        <v>28924</v>
      </c>
      <c r="K7164" t="s">
        <v>37211</v>
      </c>
      <c r="M7164" t="s">
        <v>39961</v>
      </c>
      <c r="N7164" t="s">
        <v>41249</v>
      </c>
      <c r="O7164" t="s">
        <v>41250</v>
      </c>
      <c r="P7164">
        <v>0</v>
      </c>
      <c r="Q7164">
        <v>1</v>
      </c>
      <c r="R7164" t="s">
        <v>41257</v>
      </c>
      <c r="S7164" t="s">
        <v>41461</v>
      </c>
      <c r="T7164" t="s">
        <v>42714</v>
      </c>
      <c r="U7164" t="s">
        <v>49108</v>
      </c>
      <c r="W7164" t="s">
        <v>39961</v>
      </c>
      <c r="X7164" t="s">
        <v>41258</v>
      </c>
    </row>
    <row r="7165" spans="1:24">
      <c r="A7165">
        <f>HYPERLINK("https://www.philgeps.gov.ph/GEPSNONPILOT/Tender/SplashBidNoticeAbstractUI.aspx?menuIndex=3&amp;refID=7068990&amp;Result=3","7068990")</f>
        <v>0</v>
      </c>
      <c r="B7165" t="s">
        <v>2272</v>
      </c>
      <c r="C7165" t="s">
        <v>10216</v>
      </c>
      <c r="D7165" t="s">
        <v>16660</v>
      </c>
      <c r="E7165" t="s">
        <v>22969</v>
      </c>
      <c r="F7165" t="s">
        <v>28669</v>
      </c>
      <c r="G7165" t="s">
        <v>28675</v>
      </c>
      <c r="H7165" t="s">
        <v>9998</v>
      </c>
      <c r="I7165" t="s">
        <v>28694</v>
      </c>
      <c r="J7165" t="s">
        <v>33319</v>
      </c>
      <c r="K7165" t="s">
        <v>37210</v>
      </c>
      <c r="L7165" t="s">
        <v>2272</v>
      </c>
      <c r="M7165" t="s">
        <v>39927</v>
      </c>
      <c r="N7165" t="s">
        <v>41249</v>
      </c>
      <c r="O7165" t="s">
        <v>41250</v>
      </c>
      <c r="P7165">
        <v>0</v>
      </c>
      <c r="Q7165">
        <v>4</v>
      </c>
      <c r="R7165" t="s">
        <v>41257</v>
      </c>
      <c r="S7165" t="s">
        <v>41461</v>
      </c>
      <c r="T7165" t="s">
        <v>42736</v>
      </c>
      <c r="U7165" t="s">
        <v>49109</v>
      </c>
      <c r="W7165" t="s">
        <v>39927</v>
      </c>
      <c r="X7165" t="s">
        <v>41258</v>
      </c>
    </row>
    <row r="7166" spans="1:24">
      <c r="A7166">
        <f>HYPERLINK("https://www.philgeps.gov.ph/GEPSNONPILOT/Tender/SplashBidNoticeAbstractUI.aspx?menuIndex=3&amp;refID=7068984&amp;Result=3","7068984")</f>
        <v>0</v>
      </c>
      <c r="B7166" t="s">
        <v>2247</v>
      </c>
      <c r="C7166" t="s">
        <v>10217</v>
      </c>
      <c r="D7166" t="s">
        <v>16622</v>
      </c>
      <c r="E7166" t="s">
        <v>22992</v>
      </c>
      <c r="F7166" t="s">
        <v>28671</v>
      </c>
      <c r="G7166" t="s">
        <v>28676</v>
      </c>
      <c r="H7166" t="s">
        <v>9998</v>
      </c>
      <c r="I7166" t="s">
        <v>11593</v>
      </c>
      <c r="J7166" t="s">
        <v>29469</v>
      </c>
      <c r="K7166" t="s">
        <v>37243</v>
      </c>
      <c r="M7166" t="s">
        <v>39901</v>
      </c>
      <c r="N7166" t="s">
        <v>41249</v>
      </c>
      <c r="O7166" t="s">
        <v>41250</v>
      </c>
      <c r="P7166">
        <v>0</v>
      </c>
      <c r="Q7166">
        <v>0</v>
      </c>
      <c r="R7166" t="s">
        <v>41257</v>
      </c>
      <c r="S7166" t="s">
        <v>41461</v>
      </c>
      <c r="T7166" t="s">
        <v>42758</v>
      </c>
      <c r="U7166" t="s">
        <v>49110</v>
      </c>
      <c r="W7166" t="s">
        <v>39901</v>
      </c>
      <c r="X7166" t="s">
        <v>41258</v>
      </c>
    </row>
    <row r="7167" spans="1:24">
      <c r="A7167">
        <f>HYPERLINK("https://www.philgeps.gov.ph/GEPSNONPILOT/Tender/SplashBidNoticeAbstractUI.aspx?menuIndex=3&amp;refID=7068667&amp;Result=3","7068667")</f>
        <v>0</v>
      </c>
      <c r="B7167" t="s">
        <v>2303</v>
      </c>
      <c r="C7167" t="s">
        <v>10218</v>
      </c>
      <c r="D7167" t="s">
        <v>16629</v>
      </c>
      <c r="E7167" t="s">
        <v>22993</v>
      </c>
      <c r="F7167" t="s">
        <v>28669</v>
      </c>
      <c r="G7167" t="s">
        <v>28675</v>
      </c>
      <c r="H7167" t="s">
        <v>28686</v>
      </c>
      <c r="I7167" t="s">
        <v>28689</v>
      </c>
      <c r="J7167" t="s">
        <v>33320</v>
      </c>
      <c r="K7167" t="s">
        <v>37209</v>
      </c>
      <c r="M7167" t="s">
        <v>39962</v>
      </c>
      <c r="N7167" t="s">
        <v>41249</v>
      </c>
      <c r="O7167" t="s">
        <v>41250</v>
      </c>
      <c r="P7167">
        <v>0</v>
      </c>
      <c r="Q7167">
        <v>0</v>
      </c>
      <c r="R7167" t="s">
        <v>41257</v>
      </c>
      <c r="S7167" t="s">
        <v>41461</v>
      </c>
      <c r="T7167" t="s">
        <v>42729</v>
      </c>
      <c r="U7167" t="s">
        <v>49111</v>
      </c>
      <c r="V7167" t="s">
        <v>55096</v>
      </c>
      <c r="W7167" t="s">
        <v>39962</v>
      </c>
      <c r="X7167" t="s">
        <v>41258</v>
      </c>
    </row>
    <row r="7168" spans="1:24">
      <c r="A7168">
        <f>HYPERLINK("https://www.philgeps.gov.ph/GEPSNONPILOT/Tender/SplashBidNoticeAbstractUI.aspx?menuIndex=3&amp;refID=7069221&amp;Result=3","7069221")</f>
        <v>0</v>
      </c>
      <c r="B7168" t="s">
        <v>2263</v>
      </c>
      <c r="C7168" t="s">
        <v>10219</v>
      </c>
      <c r="D7168" t="s">
        <v>16663</v>
      </c>
      <c r="E7168" t="s">
        <v>22994</v>
      </c>
      <c r="F7168" t="s">
        <v>28669</v>
      </c>
      <c r="G7168" t="s">
        <v>28676</v>
      </c>
      <c r="H7168" t="s">
        <v>9998</v>
      </c>
      <c r="I7168" t="s">
        <v>28693</v>
      </c>
      <c r="J7168" t="s">
        <v>33321</v>
      </c>
      <c r="K7168" t="s">
        <v>37206</v>
      </c>
      <c r="M7168" t="s">
        <v>39918</v>
      </c>
      <c r="N7168" t="s">
        <v>41249</v>
      </c>
      <c r="O7168" t="s">
        <v>41250</v>
      </c>
      <c r="P7168">
        <v>0</v>
      </c>
      <c r="Q7168">
        <v>5</v>
      </c>
      <c r="R7168" t="s">
        <v>41257</v>
      </c>
      <c r="S7168" t="s">
        <v>41461</v>
      </c>
      <c r="T7168" t="s">
        <v>42767</v>
      </c>
      <c r="U7168" t="s">
        <v>49112</v>
      </c>
      <c r="W7168" t="s">
        <v>39918</v>
      </c>
      <c r="X7168" t="s">
        <v>41258</v>
      </c>
    </row>
    <row r="7169" spans="1:24">
      <c r="A7169">
        <f>HYPERLINK("https://www.philgeps.gov.ph/GEPSNONPILOT/Tender/SplashBidNoticeAbstractUI.aspx?menuIndex=3&amp;refID=7069259&amp;Result=3","7069259")</f>
        <v>0</v>
      </c>
      <c r="B7169" t="s">
        <v>2304</v>
      </c>
      <c r="C7169" t="s">
        <v>10220</v>
      </c>
      <c r="D7169" t="s">
        <v>16671</v>
      </c>
      <c r="E7169" t="s">
        <v>22995</v>
      </c>
      <c r="F7169" t="s">
        <v>28669</v>
      </c>
      <c r="G7169" t="s">
        <v>28675</v>
      </c>
      <c r="H7169" t="s">
        <v>9998</v>
      </c>
      <c r="I7169" t="s">
        <v>28716</v>
      </c>
      <c r="J7169" t="s">
        <v>29254</v>
      </c>
      <c r="K7169" t="s">
        <v>37221</v>
      </c>
      <c r="M7169" t="s">
        <v>39963</v>
      </c>
      <c r="N7169" t="s">
        <v>41249</v>
      </c>
      <c r="O7169" t="s">
        <v>41250</v>
      </c>
      <c r="P7169">
        <v>0</v>
      </c>
      <c r="Q7169">
        <v>5</v>
      </c>
      <c r="R7169" t="s">
        <v>41257</v>
      </c>
      <c r="S7169" t="s">
        <v>41461</v>
      </c>
      <c r="T7169" t="s">
        <v>43000</v>
      </c>
      <c r="U7169" t="s">
        <v>49113</v>
      </c>
      <c r="W7169" t="s">
        <v>39963</v>
      </c>
      <c r="X7169" t="s">
        <v>41258</v>
      </c>
    </row>
    <row r="7170" spans="1:24">
      <c r="A7170">
        <f>HYPERLINK("https://www.philgeps.gov.ph/GEPSNONPILOT/Tender/SplashBidNoticeAbstractUI.aspx?menuIndex=3&amp;refID=7069183&amp;Result=3","7069183")</f>
        <v>0</v>
      </c>
      <c r="B7170" t="s">
        <v>2263</v>
      </c>
      <c r="C7170" t="s">
        <v>10221</v>
      </c>
      <c r="D7170" t="s">
        <v>16663</v>
      </c>
      <c r="E7170" t="s">
        <v>22996</v>
      </c>
      <c r="F7170" t="s">
        <v>28669</v>
      </c>
      <c r="G7170" t="s">
        <v>28676</v>
      </c>
      <c r="H7170" t="s">
        <v>9998</v>
      </c>
      <c r="I7170" t="s">
        <v>28754</v>
      </c>
      <c r="J7170" t="s">
        <v>33322</v>
      </c>
      <c r="K7170" t="s">
        <v>37221</v>
      </c>
      <c r="M7170" t="s">
        <v>39918</v>
      </c>
      <c r="N7170" t="s">
        <v>41249</v>
      </c>
      <c r="O7170" t="s">
        <v>41250</v>
      </c>
      <c r="P7170">
        <v>0</v>
      </c>
      <c r="Q7170">
        <v>4</v>
      </c>
      <c r="R7170" t="s">
        <v>41257</v>
      </c>
      <c r="S7170" t="s">
        <v>41461</v>
      </c>
      <c r="T7170" t="s">
        <v>42767</v>
      </c>
      <c r="U7170" t="s">
        <v>49114</v>
      </c>
      <c r="W7170" t="s">
        <v>39918</v>
      </c>
      <c r="X7170" t="s">
        <v>41258</v>
      </c>
    </row>
    <row r="7171" spans="1:24">
      <c r="A7171">
        <f>HYPERLINK("https://www.philgeps.gov.ph/GEPSNONPILOT/Tender/SplashBidNoticeAbstractUI.aspx?menuIndex=3&amp;refID=7069193&amp;Result=3","7069193")</f>
        <v>0</v>
      </c>
      <c r="B7171" t="s">
        <v>2024</v>
      </c>
      <c r="C7171" t="s">
        <v>10222</v>
      </c>
      <c r="D7171" t="s">
        <v>16608</v>
      </c>
      <c r="E7171" t="s">
        <v>22997</v>
      </c>
      <c r="F7171" t="s">
        <v>28669</v>
      </c>
      <c r="G7171" t="s">
        <v>28675</v>
      </c>
      <c r="H7171" t="s">
        <v>9998</v>
      </c>
      <c r="I7171" t="s">
        <v>5213</v>
      </c>
      <c r="J7171" t="s">
        <v>28826</v>
      </c>
      <c r="K7171" t="s">
        <v>37204</v>
      </c>
      <c r="M7171" t="s">
        <v>39663</v>
      </c>
      <c r="N7171" t="s">
        <v>41249</v>
      </c>
      <c r="O7171" t="s">
        <v>41250</v>
      </c>
      <c r="P7171">
        <v>0</v>
      </c>
      <c r="Q7171">
        <v>1</v>
      </c>
      <c r="R7171" t="s">
        <v>41257</v>
      </c>
      <c r="S7171" t="s">
        <v>41461</v>
      </c>
      <c r="T7171" t="s">
        <v>42884</v>
      </c>
      <c r="U7171" t="s">
        <v>49115</v>
      </c>
      <c r="W7171" t="s">
        <v>39663</v>
      </c>
      <c r="X7171" t="s">
        <v>41258</v>
      </c>
    </row>
    <row r="7172" spans="1:24">
      <c r="A7172">
        <f>HYPERLINK("https://www.philgeps.gov.ph/GEPSNONPILOT/Tender/SplashBidNoticeAbstractUI.aspx?menuIndex=3&amp;refID=7069265&amp;Result=3","7069265")</f>
        <v>0</v>
      </c>
      <c r="B7172" t="s">
        <v>694</v>
      </c>
      <c r="C7172" t="s">
        <v>10223</v>
      </c>
      <c r="D7172" t="s">
        <v>16686</v>
      </c>
      <c r="E7172" t="s">
        <v>22998</v>
      </c>
      <c r="F7172" t="s">
        <v>28669</v>
      </c>
      <c r="G7172" t="s">
        <v>28675</v>
      </c>
      <c r="H7172" t="s">
        <v>9998</v>
      </c>
      <c r="I7172" t="s">
        <v>28695</v>
      </c>
      <c r="J7172" t="s">
        <v>33323</v>
      </c>
      <c r="K7172" t="s">
        <v>37210</v>
      </c>
      <c r="M7172" t="s">
        <v>38199</v>
      </c>
      <c r="N7172" t="s">
        <v>41249</v>
      </c>
      <c r="O7172" t="s">
        <v>41250</v>
      </c>
      <c r="P7172">
        <v>0</v>
      </c>
      <c r="Q7172">
        <v>0</v>
      </c>
      <c r="R7172" t="s">
        <v>41257</v>
      </c>
      <c r="S7172" t="s">
        <v>41461</v>
      </c>
      <c r="T7172" t="s">
        <v>42701</v>
      </c>
      <c r="U7172" t="s">
        <v>49116</v>
      </c>
      <c r="V7172" t="s">
        <v>54428</v>
      </c>
      <c r="W7172" t="s">
        <v>38199</v>
      </c>
      <c r="X7172" t="s">
        <v>41258</v>
      </c>
    </row>
    <row r="7173" spans="1:24">
      <c r="A7173">
        <f>HYPERLINK("https://www.philgeps.gov.ph/GEPSNONPILOT/Tender/SplashBidNoticeAbstractUI.aspx?menuIndex=3&amp;refID=7069264&amp;Result=3","7069264")</f>
        <v>0</v>
      </c>
      <c r="B7173" t="s">
        <v>2294</v>
      </c>
      <c r="C7173" t="s">
        <v>10224</v>
      </c>
      <c r="D7173" t="s">
        <v>16631</v>
      </c>
      <c r="E7173" t="s">
        <v>21381</v>
      </c>
      <c r="F7173" t="s">
        <v>28669</v>
      </c>
      <c r="G7173" t="s">
        <v>28675</v>
      </c>
      <c r="H7173" t="s">
        <v>9998</v>
      </c>
      <c r="I7173" t="s">
        <v>28722</v>
      </c>
      <c r="J7173" t="s">
        <v>33324</v>
      </c>
      <c r="K7173" t="s">
        <v>37227</v>
      </c>
      <c r="M7173" t="s">
        <v>39950</v>
      </c>
      <c r="N7173" t="s">
        <v>41249</v>
      </c>
      <c r="O7173" t="s">
        <v>41250</v>
      </c>
      <c r="P7173">
        <v>0</v>
      </c>
      <c r="Q7173">
        <v>1</v>
      </c>
      <c r="R7173" t="s">
        <v>41257</v>
      </c>
      <c r="S7173" t="s">
        <v>41461</v>
      </c>
      <c r="T7173" t="s">
        <v>42827</v>
      </c>
      <c r="U7173" t="s">
        <v>49117</v>
      </c>
      <c r="V7173" t="s">
        <v>55090</v>
      </c>
      <c r="W7173" t="s">
        <v>39950</v>
      </c>
      <c r="X7173" t="s">
        <v>41258</v>
      </c>
    </row>
    <row r="7174" spans="1:24">
      <c r="A7174">
        <f>HYPERLINK("https://www.philgeps.gov.ph/GEPSNONPILOT/Tender/SplashBidNoticeAbstractUI.aspx?menuIndex=3&amp;refID=7069261&amp;Result=3","7069261")</f>
        <v>0</v>
      </c>
      <c r="B7174" t="s">
        <v>2305</v>
      </c>
      <c r="C7174" t="s">
        <v>10225</v>
      </c>
      <c r="D7174" t="s">
        <v>16643</v>
      </c>
      <c r="E7174" t="s">
        <v>22999</v>
      </c>
      <c r="F7174" t="s">
        <v>28669</v>
      </c>
      <c r="G7174" t="s">
        <v>28675</v>
      </c>
      <c r="H7174" t="s">
        <v>9998</v>
      </c>
      <c r="I7174" t="s">
        <v>28777</v>
      </c>
      <c r="J7174" t="s">
        <v>33325</v>
      </c>
      <c r="K7174" t="s">
        <v>37208</v>
      </c>
      <c r="M7174" t="s">
        <v>39964</v>
      </c>
      <c r="N7174" t="s">
        <v>41249</v>
      </c>
      <c r="O7174" t="s">
        <v>41250</v>
      </c>
      <c r="P7174">
        <v>0</v>
      </c>
      <c r="Q7174">
        <v>1</v>
      </c>
      <c r="R7174" t="s">
        <v>41257</v>
      </c>
      <c r="S7174" t="s">
        <v>41461</v>
      </c>
      <c r="T7174" t="s">
        <v>42766</v>
      </c>
      <c r="U7174" t="s">
        <v>49118</v>
      </c>
      <c r="V7174" t="s">
        <v>54340</v>
      </c>
      <c r="W7174" t="s">
        <v>39964</v>
      </c>
      <c r="X7174" t="s">
        <v>41258</v>
      </c>
    </row>
    <row r="7175" spans="1:24">
      <c r="A7175">
        <f>HYPERLINK("https://www.philgeps.gov.ph/GEPSNONPILOT/Tender/SplashBidNoticeAbstractUI.aspx?menuIndex=3&amp;refID=7069266&amp;Result=3","7069266")</f>
        <v>0</v>
      </c>
      <c r="B7175" t="s">
        <v>2306</v>
      </c>
      <c r="C7175" t="s">
        <v>10226</v>
      </c>
      <c r="D7175" t="s">
        <v>16626</v>
      </c>
      <c r="E7175" t="s">
        <v>23000</v>
      </c>
      <c r="F7175" t="s">
        <v>28669</v>
      </c>
      <c r="G7175" t="s">
        <v>28675</v>
      </c>
      <c r="H7175" t="s">
        <v>28686</v>
      </c>
      <c r="I7175" t="s">
        <v>28689</v>
      </c>
      <c r="J7175" t="s">
        <v>33326</v>
      </c>
      <c r="K7175" t="s">
        <v>37218</v>
      </c>
      <c r="M7175" t="s">
        <v>39965</v>
      </c>
      <c r="N7175" t="s">
        <v>41249</v>
      </c>
      <c r="O7175" t="s">
        <v>41250</v>
      </c>
      <c r="P7175">
        <v>0</v>
      </c>
      <c r="Q7175">
        <v>3</v>
      </c>
      <c r="R7175" t="s">
        <v>41257</v>
      </c>
      <c r="S7175" t="s">
        <v>41461</v>
      </c>
      <c r="T7175" t="s">
        <v>43045</v>
      </c>
      <c r="U7175" t="s">
        <v>49119</v>
      </c>
      <c r="V7175" t="s">
        <v>55097</v>
      </c>
      <c r="W7175" t="s">
        <v>39965</v>
      </c>
      <c r="X7175" t="s">
        <v>41258</v>
      </c>
    </row>
    <row r="7176" spans="1:24">
      <c r="A7176">
        <f>HYPERLINK("https://www.philgeps.gov.ph/GEPSNONPILOT/Tender/SplashBidNoticeAbstractUI.aspx?menuIndex=3&amp;refID=7069257&amp;Result=3","7069257")</f>
        <v>0</v>
      </c>
      <c r="B7176" t="s">
        <v>2307</v>
      </c>
      <c r="C7176" t="s">
        <v>10227</v>
      </c>
      <c r="D7176" t="s">
        <v>16608</v>
      </c>
      <c r="E7176" t="s">
        <v>6569</v>
      </c>
      <c r="F7176" t="s">
        <v>28669</v>
      </c>
      <c r="G7176" t="s">
        <v>28675</v>
      </c>
      <c r="H7176" t="s">
        <v>9998</v>
      </c>
      <c r="I7176" t="s">
        <v>28718</v>
      </c>
      <c r="J7176" t="s">
        <v>29875</v>
      </c>
      <c r="K7176" t="s">
        <v>37204</v>
      </c>
      <c r="M7176" t="s">
        <v>39966</v>
      </c>
      <c r="N7176" t="s">
        <v>41249</v>
      </c>
      <c r="O7176" t="s">
        <v>41250</v>
      </c>
      <c r="P7176">
        <v>0</v>
      </c>
      <c r="Q7176">
        <v>1</v>
      </c>
      <c r="R7176" t="s">
        <v>41257</v>
      </c>
      <c r="S7176" t="s">
        <v>41461</v>
      </c>
      <c r="T7176" t="s">
        <v>42665</v>
      </c>
      <c r="U7176" t="s">
        <v>49120</v>
      </c>
      <c r="V7176" t="s">
        <v>55098</v>
      </c>
      <c r="W7176" t="s">
        <v>39966</v>
      </c>
      <c r="X7176" t="s">
        <v>41258</v>
      </c>
    </row>
    <row r="7177" spans="1:24">
      <c r="A7177">
        <f>HYPERLINK("https://www.philgeps.gov.ph/GEPSNONPILOT/Tender/SplashBidNoticeAbstractUI.aspx?menuIndex=3&amp;refID=7069253&amp;Result=3","7069253")</f>
        <v>0</v>
      </c>
      <c r="B7177" t="s">
        <v>897</v>
      </c>
      <c r="C7177" t="s">
        <v>10228</v>
      </c>
      <c r="D7177" t="s">
        <v>16631</v>
      </c>
      <c r="E7177" t="s">
        <v>23001</v>
      </c>
      <c r="F7177" t="s">
        <v>28669</v>
      </c>
      <c r="G7177" t="s">
        <v>28675</v>
      </c>
      <c r="H7177" t="s">
        <v>9998</v>
      </c>
      <c r="I7177" t="s">
        <v>3718</v>
      </c>
      <c r="J7177" t="s">
        <v>29281</v>
      </c>
      <c r="K7177" t="s">
        <v>37206</v>
      </c>
      <c r="M7177" t="s">
        <v>38418</v>
      </c>
      <c r="N7177" t="s">
        <v>41249</v>
      </c>
      <c r="O7177" t="s">
        <v>41250</v>
      </c>
      <c r="P7177">
        <v>0</v>
      </c>
      <c r="Q7177">
        <v>2</v>
      </c>
      <c r="R7177" t="s">
        <v>41257</v>
      </c>
      <c r="S7177" t="s">
        <v>41461</v>
      </c>
      <c r="T7177" t="s">
        <v>42668</v>
      </c>
      <c r="U7177" t="s">
        <v>44959</v>
      </c>
      <c r="W7177" t="s">
        <v>38418</v>
      </c>
      <c r="X7177" t="s">
        <v>41258</v>
      </c>
    </row>
    <row r="7178" spans="1:24">
      <c r="A7178">
        <f>HYPERLINK("https://www.philgeps.gov.ph/GEPSNONPILOT/Tender/SplashBidNoticeAbstractUI.aspx?menuIndex=3&amp;refID=7069251&amp;Result=3","7069251")</f>
        <v>0</v>
      </c>
      <c r="B7178" t="s">
        <v>2308</v>
      </c>
      <c r="C7178" t="s">
        <v>10229</v>
      </c>
      <c r="D7178" t="s">
        <v>16642</v>
      </c>
      <c r="E7178" t="s">
        <v>23002</v>
      </c>
      <c r="F7178" t="s">
        <v>28669</v>
      </c>
      <c r="G7178" t="s">
        <v>28676</v>
      </c>
      <c r="H7178" t="s">
        <v>9998</v>
      </c>
      <c r="I7178" t="s">
        <v>28690</v>
      </c>
      <c r="J7178" t="s">
        <v>33327</v>
      </c>
      <c r="K7178" t="s">
        <v>37216</v>
      </c>
      <c r="M7178" t="s">
        <v>39967</v>
      </c>
      <c r="N7178" t="s">
        <v>41249</v>
      </c>
      <c r="O7178" t="s">
        <v>41250</v>
      </c>
      <c r="P7178">
        <v>0</v>
      </c>
      <c r="Q7178">
        <v>7</v>
      </c>
      <c r="R7178" t="s">
        <v>41257</v>
      </c>
      <c r="S7178" t="s">
        <v>41461</v>
      </c>
      <c r="T7178" t="s">
        <v>42811</v>
      </c>
      <c r="U7178" t="s">
        <v>49121</v>
      </c>
      <c r="W7178" t="s">
        <v>39967</v>
      </c>
      <c r="X7178" t="s">
        <v>41258</v>
      </c>
    </row>
    <row r="7179" spans="1:24">
      <c r="A7179">
        <f>HYPERLINK("https://www.philgeps.gov.ph/GEPSNONPILOT/Tender/SplashBidNoticeAbstractUI.aspx?menuIndex=3&amp;refID=7069250&amp;Result=3","7069250")</f>
        <v>0</v>
      </c>
      <c r="B7179" t="s">
        <v>2309</v>
      </c>
      <c r="C7179" t="s">
        <v>10230</v>
      </c>
      <c r="D7179" t="s">
        <v>16615</v>
      </c>
      <c r="E7179" t="s">
        <v>23003</v>
      </c>
      <c r="F7179" t="s">
        <v>28669</v>
      </c>
      <c r="G7179" t="s">
        <v>28677</v>
      </c>
      <c r="H7179" t="s">
        <v>9998</v>
      </c>
      <c r="I7179" t="s">
        <v>28694</v>
      </c>
      <c r="J7179" t="s">
        <v>33328</v>
      </c>
      <c r="K7179" t="s">
        <v>37243</v>
      </c>
      <c r="M7179" t="s">
        <v>39968</v>
      </c>
      <c r="N7179" t="s">
        <v>41249</v>
      </c>
      <c r="O7179" t="s">
        <v>41250</v>
      </c>
      <c r="P7179">
        <v>0</v>
      </c>
      <c r="Q7179">
        <v>0</v>
      </c>
      <c r="R7179" t="s">
        <v>41257</v>
      </c>
      <c r="S7179" t="s">
        <v>41461</v>
      </c>
      <c r="T7179" t="s">
        <v>42701</v>
      </c>
      <c r="U7179" t="s">
        <v>49122</v>
      </c>
      <c r="W7179" t="s">
        <v>39968</v>
      </c>
      <c r="X7179" t="s">
        <v>41258</v>
      </c>
    </row>
    <row r="7180" spans="1:24">
      <c r="A7180">
        <f>HYPERLINK("https://www.philgeps.gov.ph/GEPSNONPILOT/Tender/SplashBidNoticeAbstractUI.aspx?menuIndex=3&amp;refID=7069002&amp;Result=3","7069002")</f>
        <v>0</v>
      </c>
      <c r="B7180" t="s">
        <v>2290</v>
      </c>
      <c r="C7180" t="s">
        <v>10231</v>
      </c>
      <c r="D7180" t="s">
        <v>16684</v>
      </c>
      <c r="E7180" t="s">
        <v>17051</v>
      </c>
      <c r="F7180" t="s">
        <v>28669</v>
      </c>
      <c r="G7180" t="s">
        <v>28675</v>
      </c>
      <c r="H7180" t="s">
        <v>9998</v>
      </c>
      <c r="I7180" t="s">
        <v>11142</v>
      </c>
      <c r="J7180" t="s">
        <v>28878</v>
      </c>
      <c r="K7180" t="s">
        <v>37205</v>
      </c>
      <c r="M7180" t="s">
        <v>39945</v>
      </c>
      <c r="N7180" t="s">
        <v>41249</v>
      </c>
      <c r="O7180" t="s">
        <v>41250</v>
      </c>
      <c r="P7180">
        <v>0</v>
      </c>
      <c r="Q7180">
        <v>2</v>
      </c>
      <c r="R7180" t="s">
        <v>41257</v>
      </c>
      <c r="S7180" t="s">
        <v>41461</v>
      </c>
      <c r="T7180" t="s">
        <v>42881</v>
      </c>
      <c r="U7180" t="s">
        <v>49123</v>
      </c>
      <c r="W7180" t="s">
        <v>39945</v>
      </c>
      <c r="X7180" t="s">
        <v>41258</v>
      </c>
    </row>
    <row r="7181" spans="1:24">
      <c r="A7181">
        <f>HYPERLINK("https://www.philgeps.gov.ph/GEPSNONPILOT/Tender/SplashBidNoticeAbstractUI.aspx?menuIndex=3&amp;refID=7069241&amp;Result=3","7069241")</f>
        <v>0</v>
      </c>
      <c r="B7181" t="s">
        <v>2305</v>
      </c>
      <c r="C7181" t="s">
        <v>10232</v>
      </c>
      <c r="D7181" t="s">
        <v>16643</v>
      </c>
      <c r="E7181" t="s">
        <v>23004</v>
      </c>
      <c r="F7181" t="s">
        <v>28669</v>
      </c>
      <c r="G7181" t="s">
        <v>28675</v>
      </c>
      <c r="H7181" t="s">
        <v>9998</v>
      </c>
      <c r="I7181" t="s">
        <v>28721</v>
      </c>
      <c r="J7181" t="s">
        <v>33329</v>
      </c>
      <c r="K7181" t="s">
        <v>37243</v>
      </c>
      <c r="M7181" t="s">
        <v>39964</v>
      </c>
      <c r="N7181" t="s">
        <v>41249</v>
      </c>
      <c r="O7181" t="s">
        <v>41250</v>
      </c>
      <c r="P7181">
        <v>0</v>
      </c>
      <c r="Q7181">
        <v>0</v>
      </c>
      <c r="R7181" t="s">
        <v>41257</v>
      </c>
      <c r="S7181" t="s">
        <v>41461</v>
      </c>
      <c r="T7181" t="s">
        <v>42766</v>
      </c>
      <c r="U7181" t="s">
        <v>49124</v>
      </c>
      <c r="V7181" t="s">
        <v>54340</v>
      </c>
      <c r="W7181" t="s">
        <v>39964</v>
      </c>
      <c r="X7181" t="s">
        <v>41258</v>
      </c>
    </row>
    <row r="7182" spans="1:24">
      <c r="A7182">
        <f>HYPERLINK("https://www.philgeps.gov.ph/GEPSNONPILOT/Tender/SplashBidNoticeAbstractUI.aspx?menuIndex=3&amp;refID=7069238&amp;Result=3","7069238")</f>
        <v>0</v>
      </c>
      <c r="B7182" t="s">
        <v>2263</v>
      </c>
      <c r="C7182" t="s">
        <v>10233</v>
      </c>
      <c r="D7182" t="s">
        <v>16663</v>
      </c>
      <c r="E7182" t="s">
        <v>23005</v>
      </c>
      <c r="F7182" t="s">
        <v>28669</v>
      </c>
      <c r="G7182" t="s">
        <v>28676</v>
      </c>
      <c r="H7182" t="s">
        <v>9998</v>
      </c>
      <c r="I7182" t="s">
        <v>5213</v>
      </c>
      <c r="J7182" t="s">
        <v>33330</v>
      </c>
      <c r="K7182" t="s">
        <v>37206</v>
      </c>
      <c r="M7182" t="s">
        <v>39918</v>
      </c>
      <c r="N7182" t="s">
        <v>41249</v>
      </c>
      <c r="O7182" t="s">
        <v>41250</v>
      </c>
      <c r="P7182">
        <v>0</v>
      </c>
      <c r="Q7182">
        <v>0</v>
      </c>
      <c r="R7182" t="s">
        <v>41257</v>
      </c>
      <c r="S7182" t="s">
        <v>41461</v>
      </c>
      <c r="T7182" t="s">
        <v>42767</v>
      </c>
      <c r="U7182" t="s">
        <v>49125</v>
      </c>
      <c r="W7182" t="s">
        <v>39918</v>
      </c>
      <c r="X7182" t="s">
        <v>41258</v>
      </c>
    </row>
    <row r="7183" spans="1:24">
      <c r="A7183">
        <f>HYPERLINK("https://www.philgeps.gov.ph/GEPSNONPILOT/Tender/SplashBidNoticeAbstractUI.aspx?menuIndex=3&amp;refID=7068955&amp;Result=3","7068955")</f>
        <v>0</v>
      </c>
      <c r="B7183" t="s">
        <v>2264</v>
      </c>
      <c r="C7183" t="s">
        <v>10234</v>
      </c>
      <c r="D7183" t="s">
        <v>16615</v>
      </c>
      <c r="E7183" t="s">
        <v>23006</v>
      </c>
      <c r="F7183" t="s">
        <v>28669</v>
      </c>
      <c r="G7183" t="s">
        <v>28675</v>
      </c>
      <c r="H7183" t="s">
        <v>9998</v>
      </c>
      <c r="I7183" t="s">
        <v>28688</v>
      </c>
      <c r="J7183" t="s">
        <v>33331</v>
      </c>
      <c r="K7183" t="s">
        <v>37205</v>
      </c>
      <c r="M7183" t="s">
        <v>39919</v>
      </c>
      <c r="N7183" t="s">
        <v>41249</v>
      </c>
      <c r="O7183" t="s">
        <v>41250</v>
      </c>
      <c r="Q7183">
        <v>0</v>
      </c>
      <c r="R7183" t="s">
        <v>41257</v>
      </c>
      <c r="S7183" t="s">
        <v>41484</v>
      </c>
      <c r="T7183" t="s">
        <v>42716</v>
      </c>
      <c r="U7183" t="s">
        <v>49126</v>
      </c>
      <c r="V7183" t="s">
        <v>55099</v>
      </c>
      <c r="W7183" t="s">
        <v>39919</v>
      </c>
      <c r="X7183" t="s">
        <v>41258</v>
      </c>
    </row>
    <row r="7184" spans="1:24">
      <c r="A7184">
        <f>HYPERLINK("https://www.philgeps.gov.ph/GEPSNONPILOT/Tender/SplashBidNoticeAbstractUI.aspx?menuIndex=3&amp;refID=7069326&amp;Result=3","7069326")</f>
        <v>0</v>
      </c>
      <c r="B7184" t="s">
        <v>681</v>
      </c>
      <c r="C7184" t="s">
        <v>10235</v>
      </c>
      <c r="D7184" t="s">
        <v>16671</v>
      </c>
      <c r="E7184" t="s">
        <v>23007</v>
      </c>
      <c r="F7184" t="s">
        <v>28669</v>
      </c>
      <c r="G7184" t="s">
        <v>28675</v>
      </c>
      <c r="H7184" t="s">
        <v>28686</v>
      </c>
      <c r="I7184" t="s">
        <v>28689</v>
      </c>
      <c r="J7184" t="s">
        <v>29112</v>
      </c>
      <c r="K7184" t="s">
        <v>37275</v>
      </c>
      <c r="M7184" t="s">
        <v>38185</v>
      </c>
      <c r="N7184" t="s">
        <v>41249</v>
      </c>
      <c r="O7184" t="s">
        <v>41250</v>
      </c>
      <c r="P7184">
        <v>0</v>
      </c>
      <c r="Q7184">
        <v>0</v>
      </c>
      <c r="R7184" t="s">
        <v>41257</v>
      </c>
      <c r="S7184" t="s">
        <v>41461</v>
      </c>
      <c r="T7184" t="s">
        <v>42786</v>
      </c>
      <c r="U7184" t="s">
        <v>49127</v>
      </c>
      <c r="W7184" t="s">
        <v>38185</v>
      </c>
      <c r="X7184" t="s">
        <v>41258</v>
      </c>
    </row>
    <row r="7185" spans="1:24">
      <c r="A7185">
        <f>HYPERLINK("https://www.philgeps.gov.ph/GEPSNONPILOT/Tender/SplashBidNoticeAbstractUI.aspx?menuIndex=3&amp;refID=7069220&amp;Result=3","7069220")</f>
        <v>0</v>
      </c>
      <c r="B7185" t="s">
        <v>2134</v>
      </c>
      <c r="C7185" t="s">
        <v>10236</v>
      </c>
      <c r="D7185" t="s">
        <v>16676</v>
      </c>
      <c r="E7185" t="s">
        <v>23008</v>
      </c>
      <c r="F7185" t="s">
        <v>28669</v>
      </c>
      <c r="G7185" t="s">
        <v>28675</v>
      </c>
      <c r="H7185" t="s">
        <v>28686</v>
      </c>
      <c r="I7185" t="s">
        <v>28689</v>
      </c>
      <c r="J7185" t="s">
        <v>30840</v>
      </c>
      <c r="K7185" t="s">
        <v>37214</v>
      </c>
      <c r="M7185" t="s">
        <v>39779</v>
      </c>
      <c r="N7185" t="s">
        <v>41249</v>
      </c>
      <c r="O7185" t="s">
        <v>41250</v>
      </c>
      <c r="P7185">
        <v>0</v>
      </c>
      <c r="Q7185">
        <v>0</v>
      </c>
      <c r="R7185" t="s">
        <v>41257</v>
      </c>
      <c r="S7185" t="s">
        <v>41461</v>
      </c>
      <c r="T7185" t="s">
        <v>42911</v>
      </c>
      <c r="U7185" t="s">
        <v>48574</v>
      </c>
      <c r="V7185" t="s">
        <v>55100</v>
      </c>
      <c r="W7185" t="s">
        <v>39779</v>
      </c>
      <c r="X7185" t="s">
        <v>41258</v>
      </c>
    </row>
    <row r="7186" spans="1:24">
      <c r="A7186">
        <f>HYPERLINK("https://www.philgeps.gov.ph/GEPSNONPILOT/Tender/SplashBidNoticeAbstractUI.aspx?menuIndex=3&amp;refID=7069325&amp;Result=3","7069325")</f>
        <v>0</v>
      </c>
      <c r="B7186" t="s">
        <v>433</v>
      </c>
      <c r="C7186" t="s">
        <v>10237</v>
      </c>
      <c r="D7186" t="s">
        <v>16626</v>
      </c>
      <c r="E7186" t="s">
        <v>23009</v>
      </c>
      <c r="F7186" t="s">
        <v>28669</v>
      </c>
      <c r="G7186" t="s">
        <v>28675</v>
      </c>
      <c r="H7186" t="s">
        <v>9998</v>
      </c>
      <c r="I7186" t="s">
        <v>28754</v>
      </c>
      <c r="J7186" t="s">
        <v>31985</v>
      </c>
      <c r="K7186" t="s">
        <v>37205</v>
      </c>
      <c r="M7186" t="s">
        <v>37918</v>
      </c>
      <c r="N7186" t="s">
        <v>41249</v>
      </c>
      <c r="O7186" t="s">
        <v>41250</v>
      </c>
      <c r="P7186">
        <v>0</v>
      </c>
      <c r="Q7186">
        <v>2</v>
      </c>
      <c r="R7186" t="s">
        <v>41257</v>
      </c>
      <c r="S7186" t="s">
        <v>41461</v>
      </c>
      <c r="T7186" t="s">
        <v>42726</v>
      </c>
      <c r="U7186" t="s">
        <v>43916</v>
      </c>
      <c r="W7186" t="s">
        <v>37918</v>
      </c>
      <c r="X7186" t="s">
        <v>41258</v>
      </c>
    </row>
    <row r="7187" spans="1:24">
      <c r="A7187">
        <f>HYPERLINK("https://www.philgeps.gov.ph/GEPSNONPILOT/Tender/SplashBidNoticeAbstractUI.aspx?menuIndex=3&amp;refID=7069324&amp;Result=3","7069324")</f>
        <v>0</v>
      </c>
      <c r="B7187" t="s">
        <v>1562</v>
      </c>
      <c r="C7187" t="s">
        <v>10238</v>
      </c>
      <c r="D7187" t="s">
        <v>16671</v>
      </c>
      <c r="E7187" t="s">
        <v>23010</v>
      </c>
      <c r="F7187" t="s">
        <v>28669</v>
      </c>
      <c r="G7187" t="s">
        <v>28676</v>
      </c>
      <c r="H7187" t="s">
        <v>9998</v>
      </c>
      <c r="I7187" t="s">
        <v>28710</v>
      </c>
      <c r="J7187" t="s">
        <v>30992</v>
      </c>
      <c r="K7187" t="s">
        <v>37205</v>
      </c>
      <c r="M7187" t="s">
        <v>39139</v>
      </c>
      <c r="N7187" t="s">
        <v>41249</v>
      </c>
      <c r="O7187" t="s">
        <v>41250</v>
      </c>
      <c r="P7187">
        <v>0</v>
      </c>
      <c r="Q7187">
        <v>0</v>
      </c>
      <c r="R7187" t="s">
        <v>41257</v>
      </c>
      <c r="S7187" t="s">
        <v>41461</v>
      </c>
      <c r="T7187" t="s">
        <v>42758</v>
      </c>
      <c r="U7187" t="s">
        <v>49128</v>
      </c>
      <c r="W7187" t="s">
        <v>39139</v>
      </c>
      <c r="X7187" t="s">
        <v>41258</v>
      </c>
    </row>
    <row r="7188" spans="1:24">
      <c r="A7188">
        <f>HYPERLINK("https://www.philgeps.gov.ph/GEPSNONPILOT/Tender/SplashBidNoticeAbstractUI.aspx?menuIndex=3&amp;refID=7069307&amp;Result=3","7069307")</f>
        <v>0</v>
      </c>
      <c r="B7188" t="s">
        <v>2310</v>
      </c>
      <c r="C7188" t="s">
        <v>10239</v>
      </c>
      <c r="D7188" t="s">
        <v>16648</v>
      </c>
      <c r="E7188" t="s">
        <v>23011</v>
      </c>
      <c r="F7188" t="s">
        <v>28669</v>
      </c>
      <c r="G7188" t="s">
        <v>28675</v>
      </c>
      <c r="H7188" t="s">
        <v>28686</v>
      </c>
      <c r="I7188" t="s">
        <v>28689</v>
      </c>
      <c r="J7188" t="s">
        <v>33332</v>
      </c>
      <c r="K7188" t="s">
        <v>37291</v>
      </c>
      <c r="M7188" t="s">
        <v>39969</v>
      </c>
      <c r="N7188" t="s">
        <v>41249</v>
      </c>
      <c r="O7188" t="s">
        <v>41250</v>
      </c>
      <c r="P7188">
        <v>0</v>
      </c>
      <c r="Q7188">
        <v>1</v>
      </c>
      <c r="R7188" t="s">
        <v>41257</v>
      </c>
      <c r="S7188" t="s">
        <v>41461</v>
      </c>
      <c r="T7188" t="s">
        <v>42911</v>
      </c>
      <c r="U7188" t="s">
        <v>49129</v>
      </c>
      <c r="W7188" t="s">
        <v>39969</v>
      </c>
      <c r="X7188" t="s">
        <v>41258</v>
      </c>
    </row>
    <row r="7189" spans="1:24">
      <c r="A7189">
        <f>HYPERLINK("https://www.philgeps.gov.ph/GEPSNONPILOT/Tender/SplashBidNoticeAbstractUI.aspx?menuIndex=3&amp;refID=7069240&amp;Result=3","7069240")</f>
        <v>0</v>
      </c>
      <c r="B7189" t="s">
        <v>2311</v>
      </c>
      <c r="C7189" t="s">
        <v>10240</v>
      </c>
      <c r="D7189" t="s">
        <v>16641</v>
      </c>
      <c r="E7189" t="s">
        <v>23012</v>
      </c>
      <c r="F7189" t="s">
        <v>28669</v>
      </c>
      <c r="G7189" t="s">
        <v>28675</v>
      </c>
      <c r="H7189" t="s">
        <v>28686</v>
      </c>
      <c r="I7189" t="s">
        <v>28689</v>
      </c>
      <c r="J7189" t="s">
        <v>33333</v>
      </c>
      <c r="K7189" t="s">
        <v>37206</v>
      </c>
      <c r="M7189" t="s">
        <v>39970</v>
      </c>
      <c r="N7189" t="s">
        <v>41249</v>
      </c>
      <c r="O7189" t="s">
        <v>41250</v>
      </c>
      <c r="P7189">
        <v>0</v>
      </c>
      <c r="Q7189">
        <v>0</v>
      </c>
      <c r="R7189" t="s">
        <v>41257</v>
      </c>
      <c r="S7189" t="s">
        <v>41461</v>
      </c>
      <c r="T7189" t="s">
        <v>42911</v>
      </c>
      <c r="U7189" t="s">
        <v>49130</v>
      </c>
      <c r="W7189" t="s">
        <v>55986</v>
      </c>
      <c r="X7189" t="s">
        <v>41258</v>
      </c>
    </row>
    <row r="7190" spans="1:24">
      <c r="A7190">
        <f>HYPERLINK("https://www.philgeps.gov.ph/GEPSNONPILOT/Tender/SplashBidNoticeAbstractUI.aspx?menuIndex=3&amp;refID=7069306&amp;Result=3","7069306")</f>
        <v>0</v>
      </c>
      <c r="B7190" t="s">
        <v>2312</v>
      </c>
      <c r="C7190" t="s">
        <v>10241</v>
      </c>
      <c r="D7190" t="s">
        <v>16608</v>
      </c>
      <c r="E7190" t="s">
        <v>23013</v>
      </c>
      <c r="F7190" t="s">
        <v>28669</v>
      </c>
      <c r="G7190" t="s">
        <v>28678</v>
      </c>
      <c r="H7190" t="s">
        <v>9998</v>
      </c>
      <c r="I7190" t="s">
        <v>3718</v>
      </c>
      <c r="J7190" t="s">
        <v>31071</v>
      </c>
      <c r="K7190" t="s">
        <v>37204</v>
      </c>
      <c r="M7190" t="s">
        <v>39971</v>
      </c>
      <c r="N7190" t="s">
        <v>41249</v>
      </c>
      <c r="O7190" t="s">
        <v>41250</v>
      </c>
      <c r="P7190">
        <v>0</v>
      </c>
      <c r="Q7190">
        <v>11</v>
      </c>
      <c r="R7190" t="s">
        <v>41257</v>
      </c>
      <c r="S7190" t="s">
        <v>41461</v>
      </c>
      <c r="T7190" t="s">
        <v>42767</v>
      </c>
      <c r="U7190" t="s">
        <v>49131</v>
      </c>
      <c r="V7190" t="s">
        <v>55101</v>
      </c>
      <c r="W7190" t="s">
        <v>39971</v>
      </c>
      <c r="X7190" t="s">
        <v>41258</v>
      </c>
    </row>
    <row r="7191" spans="1:24">
      <c r="A7191">
        <f>HYPERLINK("https://www.philgeps.gov.ph/GEPSNONPILOT/Tender/SplashBidNoticeAbstractUI.aspx?menuIndex=3&amp;refID=7069305&amp;Result=3","7069305")</f>
        <v>0</v>
      </c>
      <c r="B7191" t="s">
        <v>2302</v>
      </c>
      <c r="C7191" t="s">
        <v>10242</v>
      </c>
      <c r="D7191" t="s">
        <v>16676</v>
      </c>
      <c r="E7191" t="s">
        <v>18246</v>
      </c>
      <c r="F7191" t="s">
        <v>28669</v>
      </c>
      <c r="G7191" t="s">
        <v>28675</v>
      </c>
      <c r="H7191" t="s">
        <v>28686</v>
      </c>
      <c r="I7191" t="s">
        <v>28689</v>
      </c>
      <c r="J7191" t="s">
        <v>28924</v>
      </c>
      <c r="K7191" t="s">
        <v>37211</v>
      </c>
      <c r="M7191" t="s">
        <v>39961</v>
      </c>
      <c r="N7191" t="s">
        <v>41249</v>
      </c>
      <c r="O7191" t="s">
        <v>41250</v>
      </c>
      <c r="P7191">
        <v>0</v>
      </c>
      <c r="Q7191">
        <v>0</v>
      </c>
      <c r="R7191" t="s">
        <v>41257</v>
      </c>
      <c r="S7191" t="s">
        <v>41461</v>
      </c>
      <c r="T7191" t="s">
        <v>42714</v>
      </c>
      <c r="U7191" t="s">
        <v>49132</v>
      </c>
      <c r="W7191" t="s">
        <v>39961</v>
      </c>
      <c r="X7191" t="s">
        <v>41258</v>
      </c>
    </row>
    <row r="7192" spans="1:24">
      <c r="A7192">
        <f>HYPERLINK("https://www.philgeps.gov.ph/GEPSNONPILOT/Tender/SplashBidNoticeAbstractUI.aspx?menuIndex=3&amp;refID=7069295&amp;Result=3","7069295")</f>
        <v>0</v>
      </c>
      <c r="B7192" t="s">
        <v>2123</v>
      </c>
      <c r="C7192" t="s">
        <v>10243</v>
      </c>
      <c r="D7192" t="s">
        <v>16640</v>
      </c>
      <c r="E7192" t="s">
        <v>23014</v>
      </c>
      <c r="F7192" t="s">
        <v>28669</v>
      </c>
      <c r="G7192" t="s">
        <v>28675</v>
      </c>
      <c r="H7192" t="s">
        <v>28686</v>
      </c>
      <c r="I7192" t="s">
        <v>28689</v>
      </c>
      <c r="J7192" t="s">
        <v>33334</v>
      </c>
      <c r="K7192" t="s">
        <v>37206</v>
      </c>
      <c r="M7192" t="s">
        <v>39767</v>
      </c>
      <c r="N7192" t="s">
        <v>41249</v>
      </c>
      <c r="O7192" t="s">
        <v>41250</v>
      </c>
      <c r="P7192">
        <v>0</v>
      </c>
      <c r="Q7192">
        <v>1</v>
      </c>
      <c r="R7192" t="s">
        <v>41257</v>
      </c>
      <c r="S7192" t="s">
        <v>41461</v>
      </c>
      <c r="T7192" t="s">
        <v>42808</v>
      </c>
      <c r="U7192" t="s">
        <v>49133</v>
      </c>
      <c r="V7192" t="s">
        <v>54982</v>
      </c>
      <c r="W7192" t="s">
        <v>39767</v>
      </c>
      <c r="X7192" t="s">
        <v>41258</v>
      </c>
    </row>
    <row r="7193" spans="1:24">
      <c r="A7193">
        <f>HYPERLINK("https://www.philgeps.gov.ph/GEPSNONPILOT/Tender/SplashBidNoticeAbstractUI.aspx?menuIndex=3&amp;refID=7069294&amp;Result=3","7069294")</f>
        <v>0</v>
      </c>
      <c r="B7193" t="s">
        <v>284</v>
      </c>
      <c r="C7193" t="s">
        <v>10244</v>
      </c>
      <c r="E7193" t="s">
        <v>17191</v>
      </c>
      <c r="F7193" t="s">
        <v>28669</v>
      </c>
      <c r="G7193" t="s">
        <v>28676</v>
      </c>
      <c r="H7193" t="s">
        <v>9998</v>
      </c>
      <c r="I7193" t="s">
        <v>28723</v>
      </c>
      <c r="J7193" t="s">
        <v>28880</v>
      </c>
      <c r="K7193" t="s">
        <v>37209</v>
      </c>
      <c r="M7193" t="s">
        <v>37762</v>
      </c>
      <c r="N7193" t="s">
        <v>41249</v>
      </c>
      <c r="O7193" t="s">
        <v>41250</v>
      </c>
      <c r="P7193">
        <v>0</v>
      </c>
      <c r="Q7193">
        <v>4</v>
      </c>
      <c r="R7193" t="s">
        <v>41257</v>
      </c>
      <c r="S7193" t="s">
        <v>41461</v>
      </c>
      <c r="T7193" t="s">
        <v>42736</v>
      </c>
      <c r="U7193" t="s">
        <v>49134</v>
      </c>
      <c r="W7193" t="s">
        <v>37762</v>
      </c>
      <c r="X7193" t="s">
        <v>41258</v>
      </c>
    </row>
    <row r="7194" spans="1:24">
      <c r="A7194">
        <f>HYPERLINK("https://www.philgeps.gov.ph/GEPSNONPILOT/Tender/SplashBidNoticeAbstractUI.aspx?menuIndex=3&amp;refID=7069293&amp;Result=3","7069293")</f>
        <v>0</v>
      </c>
      <c r="B7194" t="s">
        <v>1146</v>
      </c>
      <c r="C7194" t="s">
        <v>10245</v>
      </c>
      <c r="D7194" t="s">
        <v>16640</v>
      </c>
      <c r="E7194" t="s">
        <v>23015</v>
      </c>
      <c r="F7194" t="s">
        <v>28669</v>
      </c>
      <c r="G7194" t="s">
        <v>28676</v>
      </c>
      <c r="H7194" t="s">
        <v>9998</v>
      </c>
      <c r="I7194" t="s">
        <v>28689</v>
      </c>
      <c r="J7194" t="s">
        <v>33335</v>
      </c>
      <c r="K7194" t="s">
        <v>37209</v>
      </c>
      <c r="M7194" t="s">
        <v>39972</v>
      </c>
      <c r="N7194" t="s">
        <v>41249</v>
      </c>
      <c r="O7194" t="s">
        <v>41250</v>
      </c>
      <c r="P7194">
        <v>0</v>
      </c>
      <c r="Q7194">
        <v>1</v>
      </c>
      <c r="R7194" t="s">
        <v>41257</v>
      </c>
      <c r="S7194" t="s">
        <v>41461</v>
      </c>
      <c r="T7194" t="s">
        <v>42711</v>
      </c>
      <c r="U7194" t="s">
        <v>49135</v>
      </c>
      <c r="W7194" t="s">
        <v>39972</v>
      </c>
      <c r="X7194" t="s">
        <v>41258</v>
      </c>
    </row>
    <row r="7195" spans="1:24">
      <c r="A7195">
        <f>HYPERLINK("https://www.philgeps.gov.ph/GEPSNONPILOT/Tender/SplashBidNoticeAbstractUI.aspx?menuIndex=3&amp;refID=7069289&amp;Result=3","7069289")</f>
        <v>0</v>
      </c>
      <c r="B7195" t="s">
        <v>1716</v>
      </c>
      <c r="C7195" t="s">
        <v>10246</v>
      </c>
      <c r="D7195" t="s">
        <v>16675</v>
      </c>
      <c r="E7195" t="s">
        <v>23016</v>
      </c>
      <c r="F7195" t="s">
        <v>28669</v>
      </c>
      <c r="G7195" t="s">
        <v>28675</v>
      </c>
      <c r="H7195" t="s">
        <v>28686</v>
      </c>
      <c r="I7195" t="s">
        <v>28689</v>
      </c>
      <c r="J7195" t="s">
        <v>33336</v>
      </c>
      <c r="K7195" t="s">
        <v>37213</v>
      </c>
      <c r="M7195" t="s">
        <v>39314</v>
      </c>
      <c r="N7195" t="s">
        <v>41249</v>
      </c>
      <c r="O7195" t="s">
        <v>41250</v>
      </c>
      <c r="P7195">
        <v>0</v>
      </c>
      <c r="Q7195">
        <v>1</v>
      </c>
      <c r="R7195" t="s">
        <v>41257</v>
      </c>
      <c r="S7195" t="s">
        <v>41461</v>
      </c>
      <c r="T7195" t="s">
        <v>42668</v>
      </c>
      <c r="U7195" t="s">
        <v>49136</v>
      </c>
      <c r="V7195" t="s">
        <v>55102</v>
      </c>
      <c r="W7195" t="s">
        <v>39314</v>
      </c>
      <c r="X7195" t="s">
        <v>41258</v>
      </c>
    </row>
    <row r="7196" spans="1:24">
      <c r="A7196">
        <f>HYPERLINK("https://www.philgeps.gov.ph/GEPSNONPILOT/Tender/SplashBidNoticeAbstractUI.aspx?menuIndex=3&amp;refID=7069243&amp;Result=3","7069243")</f>
        <v>0</v>
      </c>
      <c r="B7196" t="s">
        <v>534</v>
      </c>
      <c r="C7196" t="s">
        <v>10247</v>
      </c>
      <c r="D7196" t="s">
        <v>16630</v>
      </c>
      <c r="E7196" t="s">
        <v>23017</v>
      </c>
      <c r="F7196" t="s">
        <v>28669</v>
      </c>
      <c r="G7196" t="s">
        <v>28675</v>
      </c>
      <c r="H7196" t="s">
        <v>9998</v>
      </c>
      <c r="I7196" t="s">
        <v>7352</v>
      </c>
      <c r="J7196" t="s">
        <v>33337</v>
      </c>
      <c r="K7196" t="s">
        <v>37206</v>
      </c>
      <c r="M7196" t="s">
        <v>38025</v>
      </c>
      <c r="N7196" t="s">
        <v>41249</v>
      </c>
      <c r="O7196" t="s">
        <v>41250</v>
      </c>
      <c r="P7196">
        <v>0</v>
      </c>
      <c r="Q7196">
        <v>0</v>
      </c>
      <c r="R7196" t="s">
        <v>41257</v>
      </c>
      <c r="S7196" t="s">
        <v>41461</v>
      </c>
      <c r="T7196" t="s">
        <v>42665</v>
      </c>
      <c r="U7196" t="s">
        <v>49137</v>
      </c>
      <c r="W7196" t="s">
        <v>38025</v>
      </c>
      <c r="X7196" t="s">
        <v>41258</v>
      </c>
    </row>
    <row r="7197" spans="1:24">
      <c r="A7197">
        <f>HYPERLINK("https://www.philgeps.gov.ph/GEPSNONPILOT/Tender/SplashBidNoticeAbstractUI.aspx?menuIndex=3&amp;refID=7069287&amp;Result=3","7069287")</f>
        <v>0</v>
      </c>
      <c r="B7197" t="s">
        <v>143</v>
      </c>
      <c r="C7197" t="s">
        <v>10248</v>
      </c>
      <c r="D7197" t="s">
        <v>16640</v>
      </c>
      <c r="E7197" t="s">
        <v>23018</v>
      </c>
      <c r="F7197" t="s">
        <v>28669</v>
      </c>
      <c r="G7197" t="s">
        <v>28675</v>
      </c>
      <c r="H7197" t="s">
        <v>9998</v>
      </c>
      <c r="I7197" t="s">
        <v>3718</v>
      </c>
      <c r="J7197" t="s">
        <v>33338</v>
      </c>
      <c r="K7197" t="s">
        <v>37213</v>
      </c>
      <c r="M7197" t="s">
        <v>37620</v>
      </c>
      <c r="N7197" t="s">
        <v>41249</v>
      </c>
      <c r="O7197" t="s">
        <v>41250</v>
      </c>
      <c r="P7197">
        <v>0</v>
      </c>
      <c r="Q7197">
        <v>7</v>
      </c>
      <c r="R7197" t="s">
        <v>41257</v>
      </c>
      <c r="S7197" t="s">
        <v>41461</v>
      </c>
      <c r="T7197" t="s">
        <v>42911</v>
      </c>
      <c r="U7197" t="s">
        <v>49138</v>
      </c>
      <c r="W7197" t="s">
        <v>55901</v>
      </c>
      <c r="X7197" t="s">
        <v>41258</v>
      </c>
    </row>
    <row r="7198" spans="1:24">
      <c r="A7198">
        <f>HYPERLINK("https://www.philgeps.gov.ph/GEPSNONPILOT/Tender/SplashBidNoticeAbstractUI.aspx?menuIndex=3&amp;refID=7069329&amp;Result=3","7069329")</f>
        <v>0</v>
      </c>
      <c r="B7198" t="s">
        <v>542</v>
      </c>
      <c r="C7198" t="s">
        <v>10249</v>
      </c>
      <c r="D7198" t="s">
        <v>16616</v>
      </c>
      <c r="E7198" t="s">
        <v>23019</v>
      </c>
      <c r="F7198" t="s">
        <v>28669</v>
      </c>
      <c r="G7198" t="s">
        <v>28676</v>
      </c>
      <c r="H7198" t="s">
        <v>9998</v>
      </c>
      <c r="I7198" t="s">
        <v>28713</v>
      </c>
      <c r="J7198" t="s">
        <v>29203</v>
      </c>
      <c r="K7198" t="s">
        <v>37204</v>
      </c>
      <c r="M7198" t="s">
        <v>38035</v>
      </c>
      <c r="N7198" t="s">
        <v>41249</v>
      </c>
      <c r="O7198" t="s">
        <v>41250</v>
      </c>
      <c r="P7198">
        <v>0</v>
      </c>
      <c r="Q7198">
        <v>8</v>
      </c>
      <c r="R7198" t="s">
        <v>41257</v>
      </c>
      <c r="S7198" t="s">
        <v>41461</v>
      </c>
      <c r="T7198" t="s">
        <v>42804</v>
      </c>
      <c r="U7198" t="s">
        <v>49139</v>
      </c>
      <c r="W7198" t="s">
        <v>38035</v>
      </c>
      <c r="X7198" t="s">
        <v>41258</v>
      </c>
    </row>
    <row r="7199" spans="1:24">
      <c r="A7199">
        <f>HYPERLINK("https://www.philgeps.gov.ph/GEPSNONPILOT/Tender/SplashBidNoticeAbstractUI.aspx?menuIndex=3&amp;refID=7069304&amp;Result=3","7069304")</f>
        <v>0</v>
      </c>
      <c r="B7199" t="s">
        <v>2230</v>
      </c>
      <c r="C7199" t="s">
        <v>10250</v>
      </c>
      <c r="D7199" t="s">
        <v>16647</v>
      </c>
      <c r="E7199" t="s">
        <v>23020</v>
      </c>
      <c r="F7199" t="s">
        <v>28669</v>
      </c>
      <c r="G7199" t="s">
        <v>28675</v>
      </c>
      <c r="H7199" t="s">
        <v>9998</v>
      </c>
      <c r="I7199" t="s">
        <v>28695</v>
      </c>
      <c r="J7199" t="s">
        <v>33339</v>
      </c>
      <c r="K7199" t="s">
        <v>37205</v>
      </c>
      <c r="M7199" t="s">
        <v>39883</v>
      </c>
      <c r="N7199" t="s">
        <v>41249</v>
      </c>
      <c r="O7199" t="s">
        <v>41250</v>
      </c>
      <c r="P7199">
        <v>0</v>
      </c>
      <c r="Q7199">
        <v>0</v>
      </c>
      <c r="R7199" t="s">
        <v>41257</v>
      </c>
      <c r="S7199" t="s">
        <v>41461</v>
      </c>
      <c r="T7199" t="s">
        <v>42716</v>
      </c>
      <c r="U7199" t="s">
        <v>49140</v>
      </c>
      <c r="W7199" t="s">
        <v>55983</v>
      </c>
      <c r="X7199" t="s">
        <v>41258</v>
      </c>
    </row>
    <row r="7200" spans="1:24">
      <c r="A7200">
        <f>HYPERLINK("https://www.philgeps.gov.ph/GEPSNONPILOT/Tender/SplashBidNoticeAbstractUI.aspx?menuIndex=3&amp;refID=7069244&amp;Result=3","7069244")</f>
        <v>0</v>
      </c>
      <c r="B7200" t="s">
        <v>2313</v>
      </c>
      <c r="C7200" t="s">
        <v>10251</v>
      </c>
      <c r="E7200" t="s">
        <v>23021</v>
      </c>
      <c r="F7200" t="s">
        <v>28669</v>
      </c>
      <c r="G7200" t="s">
        <v>28675</v>
      </c>
      <c r="H7200" t="s">
        <v>28686</v>
      </c>
      <c r="I7200" t="s">
        <v>28689</v>
      </c>
      <c r="J7200" t="s">
        <v>33340</v>
      </c>
      <c r="K7200" t="s">
        <v>37227</v>
      </c>
      <c r="M7200" t="s">
        <v>39973</v>
      </c>
      <c r="N7200" t="s">
        <v>41249</v>
      </c>
      <c r="O7200" t="s">
        <v>41250</v>
      </c>
      <c r="P7200">
        <v>0</v>
      </c>
      <c r="Q7200">
        <v>0</v>
      </c>
      <c r="R7200" t="s">
        <v>41257</v>
      </c>
      <c r="S7200" t="s">
        <v>41461</v>
      </c>
      <c r="T7200" t="s">
        <v>42679</v>
      </c>
      <c r="U7200" t="s">
        <v>49141</v>
      </c>
      <c r="W7200" t="s">
        <v>39973</v>
      </c>
      <c r="X7200" t="s">
        <v>41258</v>
      </c>
    </row>
    <row r="7201" spans="1:24">
      <c r="A7201">
        <f>HYPERLINK("https://www.philgeps.gov.ph/GEPSNONPILOT/Tender/SplashBidNoticeAbstractUI.aspx?menuIndex=3&amp;refID=7069291&amp;Result=3","7069291")</f>
        <v>0</v>
      </c>
      <c r="B7201" t="s">
        <v>2314</v>
      </c>
      <c r="C7201" t="s">
        <v>10252</v>
      </c>
      <c r="D7201" t="s">
        <v>16616</v>
      </c>
      <c r="E7201" t="s">
        <v>23022</v>
      </c>
      <c r="F7201" t="s">
        <v>28669</v>
      </c>
      <c r="G7201" t="s">
        <v>28675</v>
      </c>
      <c r="H7201" t="s">
        <v>9998</v>
      </c>
      <c r="I7201" t="s">
        <v>7352</v>
      </c>
      <c r="J7201" t="s">
        <v>28859</v>
      </c>
      <c r="K7201" t="s">
        <v>37205</v>
      </c>
      <c r="M7201" t="s">
        <v>39974</v>
      </c>
      <c r="N7201" t="s">
        <v>41249</v>
      </c>
      <c r="O7201" t="s">
        <v>41250</v>
      </c>
      <c r="P7201">
        <v>0</v>
      </c>
      <c r="Q7201">
        <v>1</v>
      </c>
      <c r="R7201" t="s">
        <v>41257</v>
      </c>
      <c r="S7201" t="s">
        <v>41461</v>
      </c>
      <c r="T7201" t="s">
        <v>42729</v>
      </c>
      <c r="U7201" t="s">
        <v>49142</v>
      </c>
      <c r="W7201" t="s">
        <v>39974</v>
      </c>
      <c r="X7201" t="s">
        <v>41258</v>
      </c>
    </row>
    <row r="7202" spans="1:24">
      <c r="A7202">
        <f>HYPERLINK("https://www.philgeps.gov.ph/GEPSNONPILOT/Tender/SplashBidNoticeAbstractUI.aspx?menuIndex=3&amp;refID=7069392&amp;Result=3","7069392")</f>
        <v>0</v>
      </c>
      <c r="B7202" t="s">
        <v>1482</v>
      </c>
      <c r="C7202" t="s">
        <v>10253</v>
      </c>
      <c r="D7202" t="s">
        <v>16611</v>
      </c>
      <c r="E7202" t="s">
        <v>23023</v>
      </c>
      <c r="F7202" t="s">
        <v>28671</v>
      </c>
      <c r="G7202" t="s">
        <v>28676</v>
      </c>
      <c r="H7202" t="s">
        <v>9998</v>
      </c>
      <c r="I7202" t="s">
        <v>6128</v>
      </c>
      <c r="J7202" t="s">
        <v>33341</v>
      </c>
      <c r="K7202" t="s">
        <v>37204</v>
      </c>
      <c r="M7202" t="s">
        <v>39051</v>
      </c>
      <c r="N7202" t="s">
        <v>41249</v>
      </c>
      <c r="O7202" t="s">
        <v>41250</v>
      </c>
      <c r="P7202">
        <v>0</v>
      </c>
      <c r="Q7202">
        <v>1</v>
      </c>
      <c r="R7202" t="s">
        <v>41257</v>
      </c>
      <c r="S7202" t="s">
        <v>41461</v>
      </c>
      <c r="T7202" t="s">
        <v>42758</v>
      </c>
      <c r="U7202" t="s">
        <v>49143</v>
      </c>
      <c r="W7202" t="s">
        <v>39051</v>
      </c>
      <c r="X7202" t="s">
        <v>41258</v>
      </c>
    </row>
    <row r="7203" spans="1:24">
      <c r="A7203">
        <f>HYPERLINK("https://www.philgeps.gov.ph/GEPSNONPILOT/Tender/SplashBidNoticeAbstractUI.aspx?menuIndex=3&amp;refID=7069310&amp;Result=3","7069310")</f>
        <v>0</v>
      </c>
      <c r="B7203" t="s">
        <v>2315</v>
      </c>
      <c r="C7203" t="s">
        <v>10254</v>
      </c>
      <c r="D7203" t="s">
        <v>16609</v>
      </c>
      <c r="E7203" t="s">
        <v>23024</v>
      </c>
      <c r="F7203" t="s">
        <v>28669</v>
      </c>
      <c r="G7203" t="s">
        <v>28675</v>
      </c>
      <c r="H7203" t="s">
        <v>28686</v>
      </c>
      <c r="I7203" t="s">
        <v>28689</v>
      </c>
      <c r="J7203" t="s">
        <v>29203</v>
      </c>
      <c r="K7203" t="s">
        <v>37206</v>
      </c>
      <c r="M7203" t="s">
        <v>39975</v>
      </c>
      <c r="N7203" t="s">
        <v>41249</v>
      </c>
      <c r="O7203" t="s">
        <v>41250</v>
      </c>
      <c r="P7203">
        <v>0</v>
      </c>
      <c r="Q7203">
        <v>0</v>
      </c>
      <c r="R7203" t="s">
        <v>41257</v>
      </c>
      <c r="S7203" t="s">
        <v>41461</v>
      </c>
      <c r="T7203" t="s">
        <v>42751</v>
      </c>
      <c r="U7203" t="s">
        <v>49144</v>
      </c>
      <c r="W7203" t="s">
        <v>39975</v>
      </c>
      <c r="X7203" t="s">
        <v>41258</v>
      </c>
    </row>
    <row r="7204" spans="1:24">
      <c r="A7204">
        <f>HYPERLINK("https://www.philgeps.gov.ph/GEPSNONPILOT/Tender/SplashBidNoticeAbstractUI.aspx?menuIndex=3&amp;refID=7069384&amp;Result=3","7069384")</f>
        <v>0</v>
      </c>
      <c r="B7204" t="s">
        <v>844</v>
      </c>
      <c r="C7204" t="s">
        <v>10255</v>
      </c>
      <c r="D7204" t="s">
        <v>16650</v>
      </c>
      <c r="E7204" t="s">
        <v>23025</v>
      </c>
      <c r="F7204" t="s">
        <v>28669</v>
      </c>
      <c r="G7204" t="s">
        <v>28675</v>
      </c>
      <c r="H7204" t="s">
        <v>28686</v>
      </c>
      <c r="I7204" t="s">
        <v>28689</v>
      </c>
      <c r="J7204" t="s">
        <v>33342</v>
      </c>
      <c r="K7204" t="s">
        <v>37205</v>
      </c>
      <c r="M7204" t="s">
        <v>38360</v>
      </c>
      <c r="N7204" t="s">
        <v>41249</v>
      </c>
      <c r="O7204" t="s">
        <v>41250</v>
      </c>
      <c r="P7204">
        <v>0</v>
      </c>
      <c r="Q7204">
        <v>0</v>
      </c>
      <c r="R7204" t="s">
        <v>41257</v>
      </c>
      <c r="S7204" t="s">
        <v>41461</v>
      </c>
      <c r="T7204" t="s">
        <v>42911</v>
      </c>
      <c r="U7204" t="s">
        <v>44857</v>
      </c>
      <c r="W7204" t="s">
        <v>38360</v>
      </c>
      <c r="X7204" t="s">
        <v>41258</v>
      </c>
    </row>
    <row r="7205" spans="1:24">
      <c r="A7205">
        <f>HYPERLINK("https://www.philgeps.gov.ph/GEPSNONPILOT/Tender/SplashBidNoticeAbstractUI.aspx?menuIndex=3&amp;refID=7068987&amp;Result=3","7068987")</f>
        <v>0</v>
      </c>
      <c r="B7205" t="s">
        <v>349</v>
      </c>
      <c r="C7205" t="s">
        <v>10256</v>
      </c>
      <c r="D7205" t="s">
        <v>16675</v>
      </c>
      <c r="E7205" t="s">
        <v>23026</v>
      </c>
      <c r="F7205" t="s">
        <v>28669</v>
      </c>
      <c r="G7205" t="s">
        <v>28676</v>
      </c>
      <c r="H7205" t="s">
        <v>9998</v>
      </c>
      <c r="I7205" t="s">
        <v>6606</v>
      </c>
      <c r="J7205" t="s">
        <v>30853</v>
      </c>
      <c r="K7205" t="s">
        <v>37299</v>
      </c>
      <c r="M7205" t="s">
        <v>37829</v>
      </c>
      <c r="N7205" t="s">
        <v>41249</v>
      </c>
      <c r="O7205" t="s">
        <v>41250</v>
      </c>
      <c r="P7205">
        <v>0</v>
      </c>
      <c r="Q7205">
        <v>3</v>
      </c>
      <c r="R7205" t="s">
        <v>41257</v>
      </c>
      <c r="S7205" t="s">
        <v>41461</v>
      </c>
      <c r="T7205" t="s">
        <v>42729</v>
      </c>
      <c r="U7205" t="s">
        <v>49145</v>
      </c>
      <c r="W7205" t="s">
        <v>37829</v>
      </c>
      <c r="X7205" t="s">
        <v>41258</v>
      </c>
    </row>
    <row r="7206" spans="1:24">
      <c r="A7206">
        <f>HYPERLINK("https://www.philgeps.gov.ph/GEPSNONPILOT/Tender/SplashBidNoticeAbstractUI.aspx?menuIndex=3&amp;refID=7069377&amp;Result=3","7069377")</f>
        <v>0</v>
      </c>
      <c r="B7206" t="s">
        <v>1829</v>
      </c>
      <c r="C7206" t="s">
        <v>10257</v>
      </c>
      <c r="D7206" t="s">
        <v>16661</v>
      </c>
      <c r="E7206" t="s">
        <v>23027</v>
      </c>
      <c r="F7206" t="s">
        <v>28669</v>
      </c>
      <c r="G7206" t="s">
        <v>28675</v>
      </c>
      <c r="H7206" t="s">
        <v>9998</v>
      </c>
      <c r="I7206" t="s">
        <v>28694</v>
      </c>
      <c r="J7206" t="s">
        <v>33343</v>
      </c>
      <c r="K7206" t="s">
        <v>37210</v>
      </c>
      <c r="M7206" t="s">
        <v>39634</v>
      </c>
      <c r="N7206" t="s">
        <v>41249</v>
      </c>
      <c r="O7206" t="s">
        <v>41250</v>
      </c>
      <c r="P7206">
        <v>0</v>
      </c>
      <c r="Q7206">
        <v>2</v>
      </c>
      <c r="R7206" t="s">
        <v>41257</v>
      </c>
      <c r="S7206" t="s">
        <v>41461</v>
      </c>
      <c r="T7206" t="s">
        <v>42688</v>
      </c>
      <c r="U7206" t="s">
        <v>49146</v>
      </c>
      <c r="V7206" t="s">
        <v>55103</v>
      </c>
      <c r="W7206" t="s">
        <v>55976</v>
      </c>
      <c r="X7206" t="s">
        <v>41258</v>
      </c>
    </row>
    <row r="7207" spans="1:24">
      <c r="A7207">
        <f>HYPERLINK("https://www.philgeps.gov.ph/GEPSNONPILOT/Tender/SplashBidNoticeAbstractUI.aspx?menuIndex=3&amp;refID=7069394&amp;Result=3","7069394")</f>
        <v>0</v>
      </c>
      <c r="B7207" t="s">
        <v>2316</v>
      </c>
      <c r="C7207" t="s">
        <v>10258</v>
      </c>
      <c r="D7207" t="s">
        <v>16657</v>
      </c>
      <c r="E7207" t="s">
        <v>23028</v>
      </c>
      <c r="F7207" t="s">
        <v>28669</v>
      </c>
      <c r="G7207" t="s">
        <v>28679</v>
      </c>
      <c r="H7207" t="s">
        <v>9998</v>
      </c>
      <c r="I7207" t="s">
        <v>28707</v>
      </c>
      <c r="J7207" t="s">
        <v>33344</v>
      </c>
      <c r="K7207" t="s">
        <v>37209</v>
      </c>
      <c r="M7207" t="s">
        <v>39976</v>
      </c>
      <c r="N7207" t="s">
        <v>41249</v>
      </c>
      <c r="O7207" t="s">
        <v>41250</v>
      </c>
      <c r="P7207">
        <v>0</v>
      </c>
      <c r="Q7207">
        <v>2</v>
      </c>
      <c r="R7207" t="s">
        <v>41257</v>
      </c>
      <c r="S7207" t="s">
        <v>41461</v>
      </c>
      <c r="T7207" t="s">
        <v>42701</v>
      </c>
      <c r="U7207" t="s">
        <v>49147</v>
      </c>
      <c r="W7207" t="s">
        <v>39976</v>
      </c>
      <c r="X7207" t="s">
        <v>41258</v>
      </c>
    </row>
    <row r="7208" spans="1:24">
      <c r="A7208">
        <f>HYPERLINK("https://www.philgeps.gov.ph/GEPSNONPILOT/Tender/SplashBidNoticeAbstractUI.aspx?menuIndex=3&amp;refID=7069371&amp;Result=3","7069371")</f>
        <v>0</v>
      </c>
      <c r="B7208" t="s">
        <v>2317</v>
      </c>
      <c r="C7208" t="s">
        <v>10259</v>
      </c>
      <c r="D7208" t="s">
        <v>16616</v>
      </c>
      <c r="E7208" t="s">
        <v>23029</v>
      </c>
      <c r="F7208" t="s">
        <v>28669</v>
      </c>
      <c r="G7208" t="s">
        <v>28679</v>
      </c>
      <c r="H7208" t="s">
        <v>9998</v>
      </c>
      <c r="I7208" t="s">
        <v>7352</v>
      </c>
      <c r="J7208" t="s">
        <v>33345</v>
      </c>
      <c r="K7208" t="s">
        <v>37204</v>
      </c>
      <c r="M7208" t="s">
        <v>39977</v>
      </c>
      <c r="N7208" t="s">
        <v>41249</v>
      </c>
      <c r="O7208" t="s">
        <v>41250</v>
      </c>
      <c r="P7208">
        <v>0</v>
      </c>
      <c r="Q7208">
        <v>0</v>
      </c>
      <c r="R7208" t="s">
        <v>41257</v>
      </c>
      <c r="S7208" t="s">
        <v>41461</v>
      </c>
      <c r="T7208" t="s">
        <v>42675</v>
      </c>
      <c r="U7208" t="s">
        <v>49148</v>
      </c>
      <c r="W7208" t="s">
        <v>39977</v>
      </c>
      <c r="X7208" t="s">
        <v>41258</v>
      </c>
    </row>
    <row r="7209" spans="1:24">
      <c r="A7209">
        <f>HYPERLINK("https://www.philgeps.gov.ph/GEPSNONPILOT/Tender/SplashBidNoticeAbstractUI.aspx?menuIndex=3&amp;refID=7069368&amp;Result=3","7069368")</f>
        <v>0</v>
      </c>
      <c r="B7209" t="s">
        <v>2318</v>
      </c>
      <c r="C7209" t="s">
        <v>10260</v>
      </c>
      <c r="E7209" t="s">
        <v>18548</v>
      </c>
      <c r="F7209" t="s">
        <v>28669</v>
      </c>
      <c r="G7209" t="s">
        <v>28675</v>
      </c>
      <c r="H7209" t="s">
        <v>9998</v>
      </c>
      <c r="I7209" t="s">
        <v>28756</v>
      </c>
      <c r="J7209" t="s">
        <v>33346</v>
      </c>
      <c r="K7209" t="s">
        <v>37209</v>
      </c>
      <c r="M7209" t="s">
        <v>39978</v>
      </c>
      <c r="N7209" t="s">
        <v>41249</v>
      </c>
      <c r="O7209" t="s">
        <v>41250</v>
      </c>
      <c r="P7209">
        <v>0</v>
      </c>
      <c r="Q7209">
        <v>0</v>
      </c>
      <c r="R7209" t="s">
        <v>41257</v>
      </c>
      <c r="S7209" t="s">
        <v>41461</v>
      </c>
      <c r="T7209" t="s">
        <v>42716</v>
      </c>
      <c r="U7209" t="s">
        <v>49149</v>
      </c>
      <c r="W7209" t="s">
        <v>39978</v>
      </c>
      <c r="X7209" t="s">
        <v>41258</v>
      </c>
    </row>
    <row r="7210" spans="1:24">
      <c r="A7210">
        <f>HYPERLINK("https://www.philgeps.gov.ph/GEPSNONPILOT/Tender/SplashBidNoticeAbstractUI.aspx?menuIndex=3&amp;refID=7069383&amp;Result=3","7069383")</f>
        <v>0</v>
      </c>
      <c r="B7210" t="s">
        <v>1482</v>
      </c>
      <c r="C7210" t="s">
        <v>10261</v>
      </c>
      <c r="D7210" t="s">
        <v>16611</v>
      </c>
      <c r="E7210" t="s">
        <v>23030</v>
      </c>
      <c r="F7210" t="s">
        <v>28671</v>
      </c>
      <c r="G7210" t="s">
        <v>28676</v>
      </c>
      <c r="H7210" t="s">
        <v>9998</v>
      </c>
      <c r="I7210" t="s">
        <v>6128</v>
      </c>
      <c r="J7210" t="s">
        <v>33347</v>
      </c>
      <c r="K7210" t="s">
        <v>37204</v>
      </c>
      <c r="M7210" t="s">
        <v>39051</v>
      </c>
      <c r="N7210" t="s">
        <v>41249</v>
      </c>
      <c r="O7210" t="s">
        <v>41250</v>
      </c>
      <c r="P7210">
        <v>0</v>
      </c>
      <c r="Q7210">
        <v>2</v>
      </c>
      <c r="R7210" t="s">
        <v>41257</v>
      </c>
      <c r="S7210" t="s">
        <v>41461</v>
      </c>
      <c r="T7210" t="s">
        <v>42758</v>
      </c>
      <c r="U7210" t="s">
        <v>49150</v>
      </c>
      <c r="W7210" t="s">
        <v>39051</v>
      </c>
      <c r="X7210" t="s">
        <v>41258</v>
      </c>
    </row>
    <row r="7211" spans="1:24">
      <c r="A7211">
        <f>HYPERLINK("https://www.philgeps.gov.ph/GEPSNONPILOT/Tender/SplashBidNoticeAbstractUI.aspx?menuIndex=3&amp;refID=7069353&amp;Result=3","7069353")</f>
        <v>0</v>
      </c>
      <c r="B7211" t="s">
        <v>143</v>
      </c>
      <c r="C7211" t="s">
        <v>10262</v>
      </c>
      <c r="D7211" t="s">
        <v>16640</v>
      </c>
      <c r="E7211" t="s">
        <v>23031</v>
      </c>
      <c r="F7211" t="s">
        <v>28669</v>
      </c>
      <c r="G7211" t="s">
        <v>28675</v>
      </c>
      <c r="H7211" t="s">
        <v>9998</v>
      </c>
      <c r="I7211" t="s">
        <v>3718</v>
      </c>
      <c r="J7211" t="s">
        <v>33348</v>
      </c>
      <c r="K7211" t="s">
        <v>37213</v>
      </c>
      <c r="M7211" t="s">
        <v>37620</v>
      </c>
      <c r="N7211" t="s">
        <v>41249</v>
      </c>
      <c r="O7211" t="s">
        <v>41250</v>
      </c>
      <c r="Q7211">
        <v>4</v>
      </c>
      <c r="R7211" t="s">
        <v>41257</v>
      </c>
      <c r="S7211" t="s">
        <v>41485</v>
      </c>
      <c r="T7211" t="s">
        <v>42911</v>
      </c>
      <c r="U7211" t="s">
        <v>49151</v>
      </c>
      <c r="W7211" t="s">
        <v>55901</v>
      </c>
      <c r="X7211" t="s">
        <v>41258</v>
      </c>
    </row>
    <row r="7212" spans="1:24">
      <c r="A7212">
        <f>HYPERLINK("https://www.philgeps.gov.ph/GEPSNONPILOT/Tender/SplashBidNoticeAbstractUI.aspx?menuIndex=3&amp;refID=7069192&amp;Result=3","7069192")</f>
        <v>0</v>
      </c>
      <c r="B7212" t="s">
        <v>2319</v>
      </c>
      <c r="C7212" t="s">
        <v>10263</v>
      </c>
      <c r="D7212" t="s">
        <v>16648</v>
      </c>
      <c r="E7212" t="s">
        <v>23032</v>
      </c>
      <c r="F7212" t="s">
        <v>28669</v>
      </c>
      <c r="G7212" t="s">
        <v>28677</v>
      </c>
      <c r="H7212" t="s">
        <v>9998</v>
      </c>
      <c r="I7212" t="s">
        <v>28752</v>
      </c>
      <c r="J7212" t="s">
        <v>33349</v>
      </c>
      <c r="K7212" t="s">
        <v>37204</v>
      </c>
      <c r="M7212" t="s">
        <v>39979</v>
      </c>
      <c r="N7212" t="s">
        <v>41249</v>
      </c>
      <c r="O7212" t="s">
        <v>41250</v>
      </c>
      <c r="P7212">
        <v>0</v>
      </c>
      <c r="Q7212">
        <v>0</v>
      </c>
      <c r="R7212" t="s">
        <v>41257</v>
      </c>
      <c r="S7212" t="s">
        <v>41461</v>
      </c>
      <c r="T7212" t="s">
        <v>42701</v>
      </c>
      <c r="U7212" t="s">
        <v>49152</v>
      </c>
      <c r="V7212" t="s">
        <v>55104</v>
      </c>
      <c r="W7212" t="s">
        <v>39979</v>
      </c>
      <c r="X7212" t="s">
        <v>41258</v>
      </c>
    </row>
    <row r="7213" spans="1:24">
      <c r="A7213">
        <f>HYPERLINK("https://www.philgeps.gov.ph/GEPSNONPILOT/Tender/SplashBidNoticeAbstractUI.aspx?menuIndex=3&amp;refID=7069348&amp;Result=3","7069348")</f>
        <v>0</v>
      </c>
      <c r="B7213" t="s">
        <v>369</v>
      </c>
      <c r="C7213" t="s">
        <v>10264</v>
      </c>
      <c r="D7213" t="s">
        <v>16619</v>
      </c>
      <c r="E7213" t="s">
        <v>23033</v>
      </c>
      <c r="F7213" t="s">
        <v>28669</v>
      </c>
      <c r="G7213" t="s">
        <v>28676</v>
      </c>
      <c r="H7213" t="s">
        <v>9998</v>
      </c>
      <c r="I7213" t="s">
        <v>28690</v>
      </c>
      <c r="J7213" t="s">
        <v>33350</v>
      </c>
      <c r="K7213" t="s">
        <v>37204</v>
      </c>
      <c r="M7213" t="s">
        <v>39543</v>
      </c>
      <c r="N7213" t="s">
        <v>41249</v>
      </c>
      <c r="O7213" t="s">
        <v>41250</v>
      </c>
      <c r="Q7213">
        <v>25</v>
      </c>
      <c r="R7213" t="s">
        <v>41257</v>
      </c>
      <c r="S7213" t="s">
        <v>41486</v>
      </c>
      <c r="T7213" t="s">
        <v>42727</v>
      </c>
      <c r="U7213" t="s">
        <v>49153</v>
      </c>
      <c r="V7213" t="s">
        <v>54885</v>
      </c>
      <c r="W7213" t="s">
        <v>39543</v>
      </c>
      <c r="X7213" t="s">
        <v>41258</v>
      </c>
    </row>
    <row r="7214" spans="1:24">
      <c r="A7214">
        <f>HYPERLINK("https://www.philgeps.gov.ph/GEPSNONPILOT/Tender/SplashBidNoticeAbstractUI.aspx?menuIndex=3&amp;refID=7069347&amp;Result=3","7069347")</f>
        <v>0</v>
      </c>
      <c r="B7214" t="s">
        <v>592</v>
      </c>
      <c r="C7214" t="s">
        <v>10265</v>
      </c>
      <c r="D7214" t="s">
        <v>16608</v>
      </c>
      <c r="E7214" t="s">
        <v>23034</v>
      </c>
      <c r="F7214" t="s">
        <v>28669</v>
      </c>
      <c r="G7214" t="s">
        <v>28675</v>
      </c>
      <c r="H7214" t="s">
        <v>9998</v>
      </c>
      <c r="I7214" t="s">
        <v>28701</v>
      </c>
      <c r="J7214" t="s">
        <v>33351</v>
      </c>
      <c r="K7214" t="s">
        <v>37272</v>
      </c>
      <c r="M7214" t="s">
        <v>38091</v>
      </c>
      <c r="N7214" t="s">
        <v>41249</v>
      </c>
      <c r="O7214" t="s">
        <v>41250</v>
      </c>
      <c r="P7214">
        <v>0</v>
      </c>
      <c r="Q7214">
        <v>4</v>
      </c>
      <c r="R7214" t="s">
        <v>41257</v>
      </c>
      <c r="S7214" t="s">
        <v>41461</v>
      </c>
      <c r="T7214" t="s">
        <v>42688</v>
      </c>
      <c r="U7214" t="s">
        <v>49154</v>
      </c>
      <c r="W7214" t="s">
        <v>38091</v>
      </c>
      <c r="X7214" t="s">
        <v>41258</v>
      </c>
    </row>
    <row r="7215" spans="1:24">
      <c r="A7215">
        <f>HYPERLINK("https://www.philgeps.gov.ph/GEPSNONPILOT/Tender/SplashBidNoticeAbstractUI.aspx?menuIndex=3&amp;refID=7069375&amp;Result=3","7069375")</f>
        <v>0</v>
      </c>
      <c r="B7215" t="s">
        <v>852</v>
      </c>
      <c r="C7215" t="s">
        <v>10266</v>
      </c>
      <c r="D7215" t="s">
        <v>16679</v>
      </c>
      <c r="E7215" t="s">
        <v>23035</v>
      </c>
      <c r="F7215" t="s">
        <v>28669</v>
      </c>
      <c r="G7215" t="s">
        <v>28677</v>
      </c>
      <c r="H7215" t="s">
        <v>9998</v>
      </c>
      <c r="I7215" t="s">
        <v>5286</v>
      </c>
      <c r="J7215" t="s">
        <v>33352</v>
      </c>
      <c r="K7215" t="s">
        <v>37209</v>
      </c>
      <c r="M7215" t="s">
        <v>38368</v>
      </c>
      <c r="N7215" t="s">
        <v>41249</v>
      </c>
      <c r="O7215" t="s">
        <v>41250</v>
      </c>
      <c r="P7215">
        <v>0</v>
      </c>
      <c r="Q7215">
        <v>11</v>
      </c>
      <c r="R7215" t="s">
        <v>41257</v>
      </c>
      <c r="S7215" t="s">
        <v>41461</v>
      </c>
      <c r="T7215" t="s">
        <v>42748</v>
      </c>
      <c r="U7215" t="s">
        <v>49155</v>
      </c>
      <c r="V7215" t="s">
        <v>54491</v>
      </c>
      <c r="W7215" t="s">
        <v>38368</v>
      </c>
      <c r="X7215" t="s">
        <v>41258</v>
      </c>
    </row>
    <row r="7216" spans="1:24">
      <c r="A7216">
        <f>HYPERLINK("https://www.philgeps.gov.ph/GEPSNONPILOT/Tender/SplashBidNoticeAbstractUI.aspx?menuIndex=3&amp;refID=7069345&amp;Result=3","7069345")</f>
        <v>0</v>
      </c>
      <c r="B7216" t="s">
        <v>2296</v>
      </c>
      <c r="C7216" t="s">
        <v>10267</v>
      </c>
      <c r="D7216" t="s">
        <v>16620</v>
      </c>
      <c r="E7216" t="s">
        <v>23036</v>
      </c>
      <c r="F7216" t="s">
        <v>28669</v>
      </c>
      <c r="G7216" t="s">
        <v>28676</v>
      </c>
      <c r="H7216" t="s">
        <v>9998</v>
      </c>
      <c r="I7216" t="s">
        <v>28708</v>
      </c>
      <c r="J7216" t="s">
        <v>29040</v>
      </c>
      <c r="K7216" t="s">
        <v>37206</v>
      </c>
      <c r="M7216" t="s">
        <v>39953</v>
      </c>
      <c r="N7216" t="s">
        <v>41249</v>
      </c>
      <c r="O7216" t="s">
        <v>41250</v>
      </c>
      <c r="P7216">
        <v>0</v>
      </c>
      <c r="Q7216">
        <v>1</v>
      </c>
      <c r="R7216" t="s">
        <v>41257</v>
      </c>
      <c r="S7216" t="s">
        <v>41461</v>
      </c>
      <c r="T7216" t="s">
        <v>42782</v>
      </c>
      <c r="U7216" t="s">
        <v>49156</v>
      </c>
      <c r="W7216" t="s">
        <v>39953</v>
      </c>
      <c r="X7216" t="s">
        <v>41258</v>
      </c>
    </row>
    <row r="7217" spans="1:24">
      <c r="A7217">
        <f>HYPERLINK("https://www.philgeps.gov.ph/GEPSNONPILOT/Tender/SplashBidNoticeAbstractUI.aspx?menuIndex=3&amp;refID=7069362&amp;Result=3","7069362")</f>
        <v>0</v>
      </c>
      <c r="B7217" t="s">
        <v>2306</v>
      </c>
      <c r="C7217" t="s">
        <v>10268</v>
      </c>
      <c r="D7217" t="s">
        <v>16626</v>
      </c>
      <c r="E7217" t="s">
        <v>23037</v>
      </c>
      <c r="F7217" t="s">
        <v>28669</v>
      </c>
      <c r="G7217" t="s">
        <v>28675</v>
      </c>
      <c r="H7217" t="s">
        <v>28686</v>
      </c>
      <c r="I7217" t="s">
        <v>28689</v>
      </c>
      <c r="J7217" t="s">
        <v>33353</v>
      </c>
      <c r="K7217" t="s">
        <v>37215</v>
      </c>
      <c r="M7217" t="s">
        <v>39965</v>
      </c>
      <c r="N7217" t="s">
        <v>41249</v>
      </c>
      <c r="O7217" t="s">
        <v>41250</v>
      </c>
      <c r="P7217">
        <v>0</v>
      </c>
      <c r="Q7217">
        <v>4</v>
      </c>
      <c r="R7217" t="s">
        <v>41257</v>
      </c>
      <c r="S7217" t="s">
        <v>41461</v>
      </c>
      <c r="T7217" t="s">
        <v>42712</v>
      </c>
      <c r="U7217" t="s">
        <v>49157</v>
      </c>
      <c r="V7217" t="s">
        <v>55097</v>
      </c>
      <c r="W7217" t="s">
        <v>39965</v>
      </c>
      <c r="X7217" t="s">
        <v>41258</v>
      </c>
    </row>
    <row r="7218" spans="1:24">
      <c r="A7218">
        <f>HYPERLINK("https://www.philgeps.gov.ph/GEPSNONPILOT/Tender/SplashBidNoticeAbstractUI.aspx?menuIndex=3&amp;refID=7069340&amp;Result=3","7069340")</f>
        <v>0</v>
      </c>
      <c r="B7218" t="s">
        <v>2316</v>
      </c>
      <c r="C7218" t="s">
        <v>10269</v>
      </c>
      <c r="D7218" t="s">
        <v>16657</v>
      </c>
      <c r="E7218" t="s">
        <v>23038</v>
      </c>
      <c r="F7218" t="s">
        <v>28669</v>
      </c>
      <c r="G7218" t="s">
        <v>28679</v>
      </c>
      <c r="H7218" t="s">
        <v>9998</v>
      </c>
      <c r="I7218" t="s">
        <v>28687</v>
      </c>
      <c r="J7218" t="s">
        <v>28826</v>
      </c>
      <c r="K7218" t="s">
        <v>37209</v>
      </c>
      <c r="M7218" t="s">
        <v>39976</v>
      </c>
      <c r="N7218" t="s">
        <v>41249</v>
      </c>
      <c r="O7218" t="s">
        <v>41250</v>
      </c>
      <c r="P7218">
        <v>0</v>
      </c>
      <c r="Q7218">
        <v>0</v>
      </c>
      <c r="R7218" t="s">
        <v>41257</v>
      </c>
      <c r="S7218" t="s">
        <v>41461</v>
      </c>
      <c r="T7218" t="s">
        <v>42701</v>
      </c>
      <c r="U7218" t="s">
        <v>49158</v>
      </c>
      <c r="W7218" t="s">
        <v>39976</v>
      </c>
      <c r="X7218" t="s">
        <v>41258</v>
      </c>
    </row>
    <row r="7219" spans="1:24">
      <c r="A7219">
        <f>HYPERLINK("https://www.philgeps.gov.ph/GEPSNONPILOT/Tender/SplashBidNoticeAbstractUI.aspx?menuIndex=3&amp;refID=7069334&amp;Result=3","7069334")</f>
        <v>0</v>
      </c>
      <c r="B7219" t="s">
        <v>2305</v>
      </c>
      <c r="C7219" t="s">
        <v>10270</v>
      </c>
      <c r="D7219" t="s">
        <v>16643</v>
      </c>
      <c r="E7219" t="s">
        <v>23039</v>
      </c>
      <c r="F7219" t="s">
        <v>28669</v>
      </c>
      <c r="G7219" t="s">
        <v>28675</v>
      </c>
      <c r="H7219" t="s">
        <v>9998</v>
      </c>
      <c r="I7219" t="s">
        <v>28721</v>
      </c>
      <c r="J7219" t="s">
        <v>33354</v>
      </c>
      <c r="K7219" t="s">
        <v>37204</v>
      </c>
      <c r="M7219" t="s">
        <v>39964</v>
      </c>
      <c r="N7219" t="s">
        <v>41249</v>
      </c>
      <c r="O7219" t="s">
        <v>41250</v>
      </c>
      <c r="P7219">
        <v>0</v>
      </c>
      <c r="Q7219">
        <v>2</v>
      </c>
      <c r="R7219" t="s">
        <v>41257</v>
      </c>
      <c r="S7219" t="s">
        <v>41461</v>
      </c>
      <c r="T7219" t="s">
        <v>42694</v>
      </c>
      <c r="U7219" t="s">
        <v>49159</v>
      </c>
      <c r="V7219" t="s">
        <v>54340</v>
      </c>
      <c r="W7219" t="s">
        <v>39964</v>
      </c>
      <c r="X7219" t="s">
        <v>41258</v>
      </c>
    </row>
    <row r="7220" spans="1:24">
      <c r="A7220">
        <f>HYPERLINK("https://www.philgeps.gov.ph/GEPSNONPILOT/Tender/SplashBidNoticeAbstractUI.aspx?menuIndex=3&amp;refID=7069281&amp;Result=3","7069281")</f>
        <v>0</v>
      </c>
      <c r="B7220" t="s">
        <v>653</v>
      </c>
      <c r="C7220" t="s">
        <v>10271</v>
      </c>
      <c r="D7220" t="s">
        <v>16679</v>
      </c>
      <c r="E7220" t="s">
        <v>23040</v>
      </c>
      <c r="F7220" t="s">
        <v>28669</v>
      </c>
      <c r="G7220" t="s">
        <v>28676</v>
      </c>
      <c r="H7220" t="s">
        <v>9998</v>
      </c>
      <c r="I7220" t="s">
        <v>28708</v>
      </c>
      <c r="J7220" t="s">
        <v>30843</v>
      </c>
      <c r="K7220" t="s">
        <v>37206</v>
      </c>
      <c r="M7220" t="s">
        <v>38154</v>
      </c>
      <c r="N7220" t="s">
        <v>41249</v>
      </c>
      <c r="O7220" t="s">
        <v>41250</v>
      </c>
      <c r="P7220">
        <v>0</v>
      </c>
      <c r="Q7220">
        <v>4</v>
      </c>
      <c r="R7220" t="s">
        <v>41257</v>
      </c>
      <c r="S7220" t="s">
        <v>41461</v>
      </c>
      <c r="T7220" t="s">
        <v>42728</v>
      </c>
      <c r="U7220" t="s">
        <v>49160</v>
      </c>
      <c r="W7220" t="s">
        <v>38154</v>
      </c>
      <c r="X7220" t="s">
        <v>41258</v>
      </c>
    </row>
    <row r="7221" spans="1:24">
      <c r="A7221">
        <f>HYPERLINK("https://www.philgeps.gov.ph/GEPSNONPILOT/Tender/SplashBidNoticeAbstractUI.aspx?menuIndex=3&amp;refID=7069354&amp;Result=3","7069354")</f>
        <v>0</v>
      </c>
      <c r="B7221" t="s">
        <v>1716</v>
      </c>
      <c r="C7221" t="s">
        <v>10272</v>
      </c>
      <c r="D7221" t="s">
        <v>16675</v>
      </c>
      <c r="E7221" t="s">
        <v>23041</v>
      </c>
      <c r="F7221" t="s">
        <v>28669</v>
      </c>
      <c r="G7221" t="s">
        <v>28675</v>
      </c>
      <c r="H7221" t="s">
        <v>28686</v>
      </c>
      <c r="I7221" t="s">
        <v>28689</v>
      </c>
      <c r="J7221" t="s">
        <v>33355</v>
      </c>
      <c r="K7221" t="s">
        <v>37267</v>
      </c>
      <c r="M7221" t="s">
        <v>39314</v>
      </c>
      <c r="N7221" t="s">
        <v>41249</v>
      </c>
      <c r="O7221" t="s">
        <v>41250</v>
      </c>
      <c r="P7221">
        <v>0</v>
      </c>
      <c r="Q7221">
        <v>0</v>
      </c>
      <c r="R7221" t="s">
        <v>41257</v>
      </c>
      <c r="S7221" t="s">
        <v>41461</v>
      </c>
      <c r="T7221" t="s">
        <v>42668</v>
      </c>
      <c r="U7221" t="s">
        <v>49161</v>
      </c>
      <c r="V7221" t="s">
        <v>55102</v>
      </c>
      <c r="W7221" t="s">
        <v>39314</v>
      </c>
      <c r="X7221" t="s">
        <v>41258</v>
      </c>
    </row>
    <row r="7222" spans="1:24">
      <c r="A7222">
        <f>HYPERLINK("https://www.philgeps.gov.ph/GEPSNONPILOT/Tender/SplashBidNoticeAbstractUI.aspx?menuIndex=3&amp;refID=7069397&amp;Result=3","7069397")</f>
        <v>0</v>
      </c>
      <c r="B7222" t="s">
        <v>1829</v>
      </c>
      <c r="C7222" t="s">
        <v>10273</v>
      </c>
      <c r="D7222" t="s">
        <v>16661</v>
      </c>
      <c r="E7222" t="s">
        <v>23042</v>
      </c>
      <c r="F7222" t="s">
        <v>28669</v>
      </c>
      <c r="G7222" t="s">
        <v>28675</v>
      </c>
      <c r="H7222" t="s">
        <v>9998</v>
      </c>
      <c r="I7222" t="s">
        <v>28694</v>
      </c>
      <c r="J7222" t="s">
        <v>33356</v>
      </c>
      <c r="K7222" t="s">
        <v>37210</v>
      </c>
      <c r="M7222" t="s">
        <v>39634</v>
      </c>
      <c r="N7222" t="s">
        <v>41249</v>
      </c>
      <c r="O7222" t="s">
        <v>41250</v>
      </c>
      <c r="P7222">
        <v>0</v>
      </c>
      <c r="Q7222">
        <v>2</v>
      </c>
      <c r="R7222" t="s">
        <v>41257</v>
      </c>
      <c r="S7222" t="s">
        <v>41461</v>
      </c>
      <c r="T7222" t="s">
        <v>42688</v>
      </c>
      <c r="U7222" t="s">
        <v>49146</v>
      </c>
      <c r="V7222" t="s">
        <v>55103</v>
      </c>
      <c r="W7222" t="s">
        <v>55976</v>
      </c>
      <c r="X7222" t="s">
        <v>41258</v>
      </c>
    </row>
    <row r="7223" spans="1:24">
      <c r="A7223">
        <f>HYPERLINK("https://www.philgeps.gov.ph/GEPSNONPILOT/Tender/SplashBidNoticeAbstractUI.aspx?menuIndex=3&amp;refID=7069434&amp;Result=3","7069434")</f>
        <v>0</v>
      </c>
      <c r="B7223" t="s">
        <v>2316</v>
      </c>
      <c r="C7223" t="s">
        <v>10274</v>
      </c>
      <c r="D7223" t="s">
        <v>16657</v>
      </c>
      <c r="E7223" t="s">
        <v>23043</v>
      </c>
      <c r="F7223" t="s">
        <v>28669</v>
      </c>
      <c r="G7223" t="s">
        <v>28679</v>
      </c>
      <c r="H7223" t="s">
        <v>28686</v>
      </c>
      <c r="I7223" t="s">
        <v>28689</v>
      </c>
      <c r="J7223" t="s">
        <v>28905</v>
      </c>
      <c r="K7223" t="s">
        <v>37209</v>
      </c>
      <c r="M7223" t="s">
        <v>39976</v>
      </c>
      <c r="N7223" t="s">
        <v>41249</v>
      </c>
      <c r="O7223" t="s">
        <v>41250</v>
      </c>
      <c r="P7223">
        <v>0</v>
      </c>
      <c r="Q7223">
        <v>2</v>
      </c>
      <c r="R7223" t="s">
        <v>41257</v>
      </c>
      <c r="S7223" t="s">
        <v>41461</v>
      </c>
      <c r="T7223" t="s">
        <v>42701</v>
      </c>
      <c r="U7223" t="s">
        <v>49162</v>
      </c>
      <c r="W7223" t="s">
        <v>39976</v>
      </c>
      <c r="X7223" t="s">
        <v>41258</v>
      </c>
    </row>
    <row r="7224" spans="1:24">
      <c r="A7224">
        <f>HYPERLINK("https://www.philgeps.gov.ph/GEPSNONPILOT/Tender/SplashBidNoticeAbstractUI.aspx?menuIndex=3&amp;refID=7069444&amp;Result=3","7069444")</f>
        <v>0</v>
      </c>
      <c r="B7224" t="s">
        <v>1331</v>
      </c>
      <c r="C7224" t="s">
        <v>10275</v>
      </c>
      <c r="D7224" t="s">
        <v>16634</v>
      </c>
      <c r="E7224" t="s">
        <v>23044</v>
      </c>
      <c r="F7224" t="s">
        <v>28669</v>
      </c>
      <c r="G7224" t="s">
        <v>28675</v>
      </c>
      <c r="H7224" t="s">
        <v>9998</v>
      </c>
      <c r="I7224" t="s">
        <v>28687</v>
      </c>
      <c r="J7224" t="s">
        <v>29033</v>
      </c>
      <c r="K7224" t="s">
        <v>37220</v>
      </c>
      <c r="L7224" t="s">
        <v>1331</v>
      </c>
      <c r="M7224" t="s">
        <v>38885</v>
      </c>
      <c r="N7224" t="s">
        <v>41249</v>
      </c>
      <c r="O7224" t="s">
        <v>41250</v>
      </c>
      <c r="P7224">
        <v>0</v>
      </c>
      <c r="Q7224">
        <v>5</v>
      </c>
      <c r="R7224" t="s">
        <v>41257</v>
      </c>
      <c r="S7224" t="s">
        <v>41461</v>
      </c>
      <c r="T7224" t="s">
        <v>42873</v>
      </c>
      <c r="U7224" t="s">
        <v>49163</v>
      </c>
      <c r="W7224" t="s">
        <v>38885</v>
      </c>
      <c r="X7224" t="s">
        <v>41258</v>
      </c>
    </row>
    <row r="7225" spans="1:24">
      <c r="A7225">
        <f>HYPERLINK("https://www.philgeps.gov.ph/GEPSNONPILOT/Tender/SplashBidNoticeAbstractUI.aspx?menuIndex=3&amp;refID=7069443&amp;Result=3","7069443")</f>
        <v>0</v>
      </c>
      <c r="B7225" t="s">
        <v>1386</v>
      </c>
      <c r="C7225" t="s">
        <v>10276</v>
      </c>
      <c r="E7225" t="s">
        <v>17202</v>
      </c>
      <c r="F7225" t="s">
        <v>28669</v>
      </c>
      <c r="G7225" t="s">
        <v>28675</v>
      </c>
      <c r="H7225" t="s">
        <v>9998</v>
      </c>
      <c r="I7225" t="s">
        <v>28706</v>
      </c>
      <c r="J7225" t="s">
        <v>28836</v>
      </c>
      <c r="K7225" t="s">
        <v>37209</v>
      </c>
      <c r="M7225" t="s">
        <v>38948</v>
      </c>
      <c r="N7225" t="s">
        <v>41249</v>
      </c>
      <c r="O7225" t="s">
        <v>41250</v>
      </c>
      <c r="P7225">
        <v>0</v>
      </c>
      <c r="Q7225">
        <v>1</v>
      </c>
      <c r="R7225" t="s">
        <v>41257</v>
      </c>
      <c r="S7225" t="s">
        <v>41461</v>
      </c>
      <c r="T7225" t="s">
        <v>42972</v>
      </c>
      <c r="U7225" t="s">
        <v>49164</v>
      </c>
      <c r="W7225" t="s">
        <v>38948</v>
      </c>
      <c r="X7225" t="s">
        <v>41258</v>
      </c>
    </row>
    <row r="7226" spans="1:24">
      <c r="A7226">
        <f>HYPERLINK("https://www.philgeps.gov.ph/GEPSNONPILOT/Tender/SplashBidNoticeAbstractUI.aspx?menuIndex=3&amp;refID=7069442&amp;Result=3","7069442")</f>
        <v>0</v>
      </c>
      <c r="B7226" t="s">
        <v>1828</v>
      </c>
      <c r="C7226" t="s">
        <v>10277</v>
      </c>
      <c r="E7226" t="s">
        <v>23045</v>
      </c>
      <c r="F7226" t="s">
        <v>28669</v>
      </c>
      <c r="G7226" t="s">
        <v>28675</v>
      </c>
      <c r="H7226" t="s">
        <v>28686</v>
      </c>
      <c r="I7226" t="s">
        <v>28689</v>
      </c>
      <c r="J7226" t="s">
        <v>33357</v>
      </c>
      <c r="K7226" t="s">
        <v>37212</v>
      </c>
      <c r="M7226" t="s">
        <v>39441</v>
      </c>
      <c r="N7226" t="s">
        <v>41249</v>
      </c>
      <c r="O7226" t="s">
        <v>41250</v>
      </c>
      <c r="P7226">
        <v>0</v>
      </c>
      <c r="Q7226">
        <v>1</v>
      </c>
      <c r="R7226" t="s">
        <v>41257</v>
      </c>
      <c r="S7226" t="s">
        <v>41461</v>
      </c>
      <c r="T7226" t="s">
        <v>42667</v>
      </c>
      <c r="U7226" t="s">
        <v>49165</v>
      </c>
      <c r="W7226" t="s">
        <v>39441</v>
      </c>
      <c r="X7226" t="s">
        <v>41258</v>
      </c>
    </row>
    <row r="7227" spans="1:24">
      <c r="A7227">
        <f>HYPERLINK("https://www.philgeps.gov.ph/GEPSNONPILOT/Tender/SplashBidNoticeAbstractUI.aspx?menuIndex=3&amp;refID=7069386&amp;Result=3","7069386")</f>
        <v>0</v>
      </c>
      <c r="B7227" t="s">
        <v>2320</v>
      </c>
      <c r="C7227" t="s">
        <v>10278</v>
      </c>
      <c r="D7227" t="s">
        <v>16664</v>
      </c>
      <c r="E7227" t="s">
        <v>23046</v>
      </c>
      <c r="F7227" t="s">
        <v>28669</v>
      </c>
      <c r="G7227" t="s">
        <v>28675</v>
      </c>
      <c r="H7227" t="s">
        <v>28685</v>
      </c>
      <c r="I7227" t="s">
        <v>28685</v>
      </c>
      <c r="J7227" t="s">
        <v>29003</v>
      </c>
      <c r="K7227" t="s">
        <v>37212</v>
      </c>
      <c r="M7227" t="s">
        <v>39980</v>
      </c>
      <c r="N7227" t="s">
        <v>41249</v>
      </c>
      <c r="O7227" t="s">
        <v>41250</v>
      </c>
      <c r="P7227">
        <v>0</v>
      </c>
      <c r="Q7227">
        <v>3</v>
      </c>
      <c r="R7227" t="s">
        <v>41257</v>
      </c>
      <c r="S7227" t="s">
        <v>41461</v>
      </c>
      <c r="T7227" t="s">
        <v>42742</v>
      </c>
      <c r="U7227" t="s">
        <v>49166</v>
      </c>
      <c r="V7227" t="s">
        <v>55105</v>
      </c>
      <c r="W7227" t="s">
        <v>39980</v>
      </c>
      <c r="X7227" t="s">
        <v>41258</v>
      </c>
    </row>
    <row r="7228" spans="1:24">
      <c r="A7228">
        <f>HYPERLINK("https://www.philgeps.gov.ph/GEPSNONPILOT/Tender/SplashBidNoticeAbstractUI.aspx?menuIndex=3&amp;refID=7069437&amp;Result=3","7069437")</f>
        <v>0</v>
      </c>
      <c r="B7228" t="s">
        <v>2247</v>
      </c>
      <c r="C7228" t="s">
        <v>10279</v>
      </c>
      <c r="D7228" t="s">
        <v>16622</v>
      </c>
      <c r="E7228" t="s">
        <v>23047</v>
      </c>
      <c r="F7228" t="s">
        <v>28671</v>
      </c>
      <c r="G7228" t="s">
        <v>28676</v>
      </c>
      <c r="H7228" t="s">
        <v>9998</v>
      </c>
      <c r="I7228" t="s">
        <v>28704</v>
      </c>
      <c r="J7228" t="s">
        <v>29263</v>
      </c>
      <c r="K7228" t="s">
        <v>37243</v>
      </c>
      <c r="M7228" t="s">
        <v>39901</v>
      </c>
      <c r="N7228" t="s">
        <v>41249</v>
      </c>
      <c r="O7228" t="s">
        <v>41250</v>
      </c>
      <c r="P7228">
        <v>0</v>
      </c>
      <c r="Q7228">
        <v>0</v>
      </c>
      <c r="R7228" t="s">
        <v>41257</v>
      </c>
      <c r="S7228" t="s">
        <v>41461</v>
      </c>
      <c r="T7228" t="s">
        <v>42758</v>
      </c>
      <c r="U7228" t="s">
        <v>49167</v>
      </c>
      <c r="W7228" t="s">
        <v>39901</v>
      </c>
      <c r="X7228" t="s">
        <v>41258</v>
      </c>
    </row>
    <row r="7229" spans="1:24">
      <c r="A7229">
        <f>HYPERLINK("https://www.philgeps.gov.ph/GEPSNONPILOT/Tender/SplashBidNoticeAbstractUI.aspx?menuIndex=3&amp;refID=7069435&amp;Result=3","7069435")</f>
        <v>0</v>
      </c>
      <c r="B7229" t="s">
        <v>844</v>
      </c>
      <c r="C7229" t="s">
        <v>10280</v>
      </c>
      <c r="D7229" t="s">
        <v>16650</v>
      </c>
      <c r="E7229" t="s">
        <v>23048</v>
      </c>
      <c r="F7229" t="s">
        <v>28669</v>
      </c>
      <c r="G7229" t="s">
        <v>28675</v>
      </c>
      <c r="H7229" t="s">
        <v>28686</v>
      </c>
      <c r="I7229" t="s">
        <v>28689</v>
      </c>
      <c r="J7229" t="s">
        <v>33342</v>
      </c>
      <c r="K7229" t="s">
        <v>37205</v>
      </c>
      <c r="M7229" t="s">
        <v>38360</v>
      </c>
      <c r="N7229" t="s">
        <v>41249</v>
      </c>
      <c r="O7229" t="s">
        <v>41250</v>
      </c>
      <c r="P7229">
        <v>0</v>
      </c>
      <c r="Q7229">
        <v>0</v>
      </c>
      <c r="R7229" t="s">
        <v>41257</v>
      </c>
      <c r="S7229" t="s">
        <v>41461</v>
      </c>
      <c r="T7229" t="s">
        <v>42911</v>
      </c>
      <c r="U7229" t="s">
        <v>44857</v>
      </c>
      <c r="W7229" t="s">
        <v>38360</v>
      </c>
      <c r="X7229" t="s">
        <v>41258</v>
      </c>
    </row>
    <row r="7230" spans="1:24">
      <c r="A7230">
        <f>HYPERLINK("https://www.philgeps.gov.ph/GEPSNONPILOT/Tender/SplashBidNoticeAbstractUI.aspx?menuIndex=3&amp;refID=7069424&amp;Result=3","7069424")</f>
        <v>0</v>
      </c>
      <c r="B7230" t="s">
        <v>1758</v>
      </c>
      <c r="C7230" t="s">
        <v>10281</v>
      </c>
      <c r="D7230" t="s">
        <v>16609</v>
      </c>
      <c r="E7230" t="s">
        <v>23049</v>
      </c>
      <c r="F7230" t="s">
        <v>28669</v>
      </c>
      <c r="G7230" t="s">
        <v>28675</v>
      </c>
      <c r="H7230" t="s">
        <v>28686</v>
      </c>
      <c r="I7230" t="s">
        <v>28689</v>
      </c>
      <c r="J7230" t="s">
        <v>29655</v>
      </c>
      <c r="K7230" t="s">
        <v>37214</v>
      </c>
      <c r="M7230" t="s">
        <v>39360</v>
      </c>
      <c r="N7230" t="s">
        <v>41249</v>
      </c>
      <c r="O7230" t="s">
        <v>41250</v>
      </c>
      <c r="P7230">
        <v>0</v>
      </c>
      <c r="Q7230">
        <v>0</v>
      </c>
      <c r="R7230" t="s">
        <v>41257</v>
      </c>
      <c r="S7230" t="s">
        <v>41461</v>
      </c>
      <c r="T7230" t="s">
        <v>42688</v>
      </c>
      <c r="U7230" t="s">
        <v>49168</v>
      </c>
      <c r="W7230" t="s">
        <v>39360</v>
      </c>
      <c r="X7230" t="s">
        <v>41258</v>
      </c>
    </row>
    <row r="7231" spans="1:24">
      <c r="A7231">
        <f>HYPERLINK("https://www.philgeps.gov.ph/GEPSNONPILOT/Tender/SplashBidNoticeAbstractUI.aspx?menuIndex=3&amp;refID=7069423&amp;Result=3","7069423")</f>
        <v>0</v>
      </c>
      <c r="B7231" t="s">
        <v>2219</v>
      </c>
      <c r="C7231" t="s">
        <v>10282</v>
      </c>
      <c r="D7231" t="s">
        <v>16658</v>
      </c>
      <c r="E7231" t="s">
        <v>23050</v>
      </c>
      <c r="F7231" t="s">
        <v>28669</v>
      </c>
      <c r="G7231" t="s">
        <v>28675</v>
      </c>
      <c r="H7231" t="s">
        <v>28686</v>
      </c>
      <c r="I7231" t="s">
        <v>28689</v>
      </c>
      <c r="J7231" t="s">
        <v>33358</v>
      </c>
      <c r="K7231" t="s">
        <v>37212</v>
      </c>
      <c r="M7231" t="s">
        <v>39871</v>
      </c>
      <c r="N7231" t="s">
        <v>41249</v>
      </c>
      <c r="O7231" t="s">
        <v>41250</v>
      </c>
      <c r="P7231">
        <v>0</v>
      </c>
      <c r="Q7231">
        <v>0</v>
      </c>
      <c r="R7231" t="s">
        <v>41257</v>
      </c>
      <c r="S7231" t="s">
        <v>41461</v>
      </c>
      <c r="T7231" t="s">
        <v>42786</v>
      </c>
      <c r="U7231" t="s">
        <v>49169</v>
      </c>
      <c r="W7231" t="s">
        <v>39871</v>
      </c>
      <c r="X7231" t="s">
        <v>41258</v>
      </c>
    </row>
    <row r="7232" spans="1:24">
      <c r="A7232">
        <f>HYPERLINK("https://www.philgeps.gov.ph/GEPSNONPILOT/Tender/SplashBidNoticeAbstractUI.aspx?menuIndex=3&amp;refID=7069422&amp;Result=3","7069422")</f>
        <v>0</v>
      </c>
      <c r="B7232" t="s">
        <v>1522</v>
      </c>
      <c r="C7232" t="s">
        <v>10283</v>
      </c>
      <c r="D7232" t="s">
        <v>16686</v>
      </c>
      <c r="E7232" t="s">
        <v>23051</v>
      </c>
      <c r="F7232" t="s">
        <v>28669</v>
      </c>
      <c r="G7232" t="s">
        <v>28675</v>
      </c>
      <c r="H7232" t="s">
        <v>9998</v>
      </c>
      <c r="I7232" t="s">
        <v>6128</v>
      </c>
      <c r="J7232" t="s">
        <v>33359</v>
      </c>
      <c r="K7232" t="s">
        <v>37210</v>
      </c>
      <c r="M7232" t="s">
        <v>39573</v>
      </c>
      <c r="N7232" t="s">
        <v>41249</v>
      </c>
      <c r="O7232" t="s">
        <v>41250</v>
      </c>
      <c r="P7232">
        <v>0</v>
      </c>
      <c r="Q7232">
        <v>0</v>
      </c>
      <c r="R7232" t="s">
        <v>41257</v>
      </c>
      <c r="S7232" t="s">
        <v>41461</v>
      </c>
      <c r="T7232" t="s">
        <v>42663</v>
      </c>
      <c r="U7232" t="s">
        <v>49170</v>
      </c>
      <c r="W7232" t="s">
        <v>39573</v>
      </c>
      <c r="X7232" t="s">
        <v>41258</v>
      </c>
    </row>
    <row r="7233" spans="1:24">
      <c r="A7233">
        <f>HYPERLINK("https://www.philgeps.gov.ph/GEPSNONPILOT/Tender/SplashBidNoticeAbstractUI.aspx?menuIndex=3&amp;refID=7069441&amp;Result=3","7069441")</f>
        <v>0</v>
      </c>
      <c r="B7233" t="s">
        <v>2321</v>
      </c>
      <c r="C7233" t="s">
        <v>10284</v>
      </c>
      <c r="D7233" t="s">
        <v>16632</v>
      </c>
      <c r="E7233" t="s">
        <v>23052</v>
      </c>
      <c r="F7233" t="s">
        <v>28669</v>
      </c>
      <c r="G7233" t="s">
        <v>28675</v>
      </c>
      <c r="H7233" t="s">
        <v>9998</v>
      </c>
      <c r="I7233" t="s">
        <v>28695</v>
      </c>
      <c r="J7233" t="s">
        <v>33360</v>
      </c>
      <c r="K7233" t="s">
        <v>37204</v>
      </c>
      <c r="M7233" t="s">
        <v>39981</v>
      </c>
      <c r="N7233" t="s">
        <v>41249</v>
      </c>
      <c r="O7233" t="s">
        <v>41250</v>
      </c>
      <c r="P7233">
        <v>0</v>
      </c>
      <c r="Q7233">
        <v>0</v>
      </c>
      <c r="R7233" t="s">
        <v>41257</v>
      </c>
      <c r="S7233" t="s">
        <v>41461</v>
      </c>
      <c r="T7233" t="s">
        <v>42759</v>
      </c>
      <c r="U7233" t="s">
        <v>49171</v>
      </c>
      <c r="W7233" t="s">
        <v>39981</v>
      </c>
      <c r="X7233" t="s">
        <v>41258</v>
      </c>
    </row>
    <row r="7234" spans="1:24">
      <c r="A7234">
        <f>HYPERLINK("https://www.philgeps.gov.ph/GEPSNONPILOT/Tender/SplashBidNoticeAbstractUI.aspx?menuIndex=3&amp;refID=7069280&amp;Result=3","7069280")</f>
        <v>0</v>
      </c>
      <c r="B7234" t="s">
        <v>2315</v>
      </c>
      <c r="C7234" t="s">
        <v>10285</v>
      </c>
      <c r="D7234" t="s">
        <v>16609</v>
      </c>
      <c r="E7234" t="s">
        <v>23053</v>
      </c>
      <c r="F7234" t="s">
        <v>28669</v>
      </c>
      <c r="G7234" t="s">
        <v>28675</v>
      </c>
      <c r="H7234" t="s">
        <v>28686</v>
      </c>
      <c r="I7234" t="s">
        <v>28689</v>
      </c>
      <c r="J7234" t="s">
        <v>29135</v>
      </c>
      <c r="K7234" t="s">
        <v>37231</v>
      </c>
      <c r="M7234" t="s">
        <v>39975</v>
      </c>
      <c r="N7234" t="s">
        <v>41249</v>
      </c>
      <c r="O7234" t="s">
        <v>41250</v>
      </c>
      <c r="P7234">
        <v>0</v>
      </c>
      <c r="Q7234">
        <v>0</v>
      </c>
      <c r="R7234" t="s">
        <v>41257</v>
      </c>
      <c r="S7234" t="s">
        <v>41461</v>
      </c>
      <c r="T7234" t="s">
        <v>42738</v>
      </c>
      <c r="U7234" t="s">
        <v>49172</v>
      </c>
      <c r="W7234" t="s">
        <v>39975</v>
      </c>
      <c r="X7234" t="s">
        <v>41258</v>
      </c>
    </row>
    <row r="7235" spans="1:24">
      <c r="A7235">
        <f>HYPERLINK("https://www.philgeps.gov.ph/GEPSNONPILOT/Tender/SplashBidNoticeAbstractUI.aspx?menuIndex=3&amp;refID=7069409&amp;Result=3","7069409")</f>
        <v>0</v>
      </c>
      <c r="B7235" t="s">
        <v>369</v>
      </c>
      <c r="C7235" t="s">
        <v>10286</v>
      </c>
      <c r="D7235" t="s">
        <v>16619</v>
      </c>
      <c r="E7235" t="s">
        <v>23054</v>
      </c>
      <c r="F7235" t="s">
        <v>28669</v>
      </c>
      <c r="G7235" t="s">
        <v>28676</v>
      </c>
      <c r="H7235" t="s">
        <v>9998</v>
      </c>
      <c r="I7235" t="s">
        <v>28693</v>
      </c>
      <c r="J7235" t="s">
        <v>33361</v>
      </c>
      <c r="K7235" t="s">
        <v>37204</v>
      </c>
      <c r="M7235" t="s">
        <v>39543</v>
      </c>
      <c r="N7235" t="s">
        <v>41249</v>
      </c>
      <c r="O7235" t="s">
        <v>41250</v>
      </c>
      <c r="Q7235">
        <v>30</v>
      </c>
      <c r="R7235" t="s">
        <v>41257</v>
      </c>
      <c r="S7235" t="s">
        <v>41487</v>
      </c>
      <c r="T7235" t="s">
        <v>42727</v>
      </c>
      <c r="U7235" t="s">
        <v>49173</v>
      </c>
      <c r="V7235" t="s">
        <v>54885</v>
      </c>
      <c r="W7235" t="s">
        <v>39543</v>
      </c>
      <c r="X7235" t="s">
        <v>41258</v>
      </c>
    </row>
    <row r="7236" spans="1:24">
      <c r="A7236">
        <f>HYPERLINK("https://www.philgeps.gov.ph/GEPSNONPILOT/Tender/SplashBidNoticeAbstractUI.aspx?menuIndex=3&amp;refID=7069405&amp;Result=3","7069405")</f>
        <v>0</v>
      </c>
      <c r="B7236" t="s">
        <v>2266</v>
      </c>
      <c r="C7236" t="s">
        <v>10287</v>
      </c>
      <c r="D7236" t="s">
        <v>16612</v>
      </c>
      <c r="E7236" t="s">
        <v>23055</v>
      </c>
      <c r="F7236" t="s">
        <v>28669</v>
      </c>
      <c r="G7236" t="s">
        <v>28675</v>
      </c>
      <c r="H7236" t="s">
        <v>9998</v>
      </c>
      <c r="I7236" t="s">
        <v>7352</v>
      </c>
      <c r="J7236" t="s">
        <v>33362</v>
      </c>
      <c r="K7236" t="s">
        <v>37206</v>
      </c>
      <c r="M7236" t="s">
        <v>39921</v>
      </c>
      <c r="N7236" t="s">
        <v>41249</v>
      </c>
      <c r="O7236" t="s">
        <v>41250</v>
      </c>
      <c r="P7236">
        <v>0</v>
      </c>
      <c r="Q7236">
        <v>0</v>
      </c>
      <c r="R7236" t="s">
        <v>41257</v>
      </c>
      <c r="S7236" t="s">
        <v>41461</v>
      </c>
      <c r="T7236" t="s">
        <v>42660</v>
      </c>
      <c r="U7236" t="s">
        <v>48972</v>
      </c>
      <c r="V7236" t="s">
        <v>55080</v>
      </c>
      <c r="W7236" t="s">
        <v>39921</v>
      </c>
      <c r="X7236" t="s">
        <v>41258</v>
      </c>
    </row>
    <row r="7237" spans="1:24">
      <c r="A7237">
        <f>HYPERLINK("https://www.philgeps.gov.ph/GEPSNONPILOT/Tender/SplashBidNoticeAbstractUI.aspx?menuIndex=3&amp;refID=7069426&amp;Result=3","7069426")</f>
        <v>0</v>
      </c>
      <c r="B7237" t="s">
        <v>2230</v>
      </c>
      <c r="C7237" t="s">
        <v>10288</v>
      </c>
      <c r="D7237" t="s">
        <v>16647</v>
      </c>
      <c r="E7237" t="s">
        <v>23056</v>
      </c>
      <c r="F7237" t="s">
        <v>28669</v>
      </c>
      <c r="G7237" t="s">
        <v>28675</v>
      </c>
      <c r="H7237" t="s">
        <v>9998</v>
      </c>
      <c r="I7237" t="s">
        <v>5213</v>
      </c>
      <c r="J7237" t="s">
        <v>33363</v>
      </c>
      <c r="K7237" t="s">
        <v>37205</v>
      </c>
      <c r="M7237" t="s">
        <v>39883</v>
      </c>
      <c r="N7237" t="s">
        <v>41249</v>
      </c>
      <c r="O7237" t="s">
        <v>41250</v>
      </c>
      <c r="P7237">
        <v>0</v>
      </c>
      <c r="Q7237">
        <v>0</v>
      </c>
      <c r="R7237" t="s">
        <v>41257</v>
      </c>
      <c r="S7237" t="s">
        <v>41461</v>
      </c>
      <c r="T7237" t="s">
        <v>42716</v>
      </c>
      <c r="U7237" t="s">
        <v>49174</v>
      </c>
      <c r="W7237" t="s">
        <v>55983</v>
      </c>
      <c r="X7237" t="s">
        <v>41258</v>
      </c>
    </row>
    <row r="7238" spans="1:24">
      <c r="A7238">
        <f>HYPERLINK("https://www.philgeps.gov.ph/GEPSNONPILOT/Tender/SplashBidNoticeAbstractUI.aspx?menuIndex=3&amp;refID=7069399&amp;Result=3","7069399")</f>
        <v>0</v>
      </c>
      <c r="B7238" t="s">
        <v>2322</v>
      </c>
      <c r="C7238" t="s">
        <v>10289</v>
      </c>
      <c r="D7238" t="s">
        <v>16658</v>
      </c>
      <c r="E7238" t="s">
        <v>23057</v>
      </c>
      <c r="F7238" t="s">
        <v>28669</v>
      </c>
      <c r="G7238" t="s">
        <v>28675</v>
      </c>
      <c r="H7238" t="s">
        <v>9998</v>
      </c>
      <c r="I7238" t="s">
        <v>6128</v>
      </c>
      <c r="J7238" t="s">
        <v>29040</v>
      </c>
      <c r="K7238" t="s">
        <v>37204</v>
      </c>
      <c r="M7238" t="s">
        <v>39982</v>
      </c>
      <c r="N7238" t="s">
        <v>41249</v>
      </c>
      <c r="O7238" t="s">
        <v>41250</v>
      </c>
      <c r="P7238">
        <v>0</v>
      </c>
      <c r="Q7238">
        <v>0</v>
      </c>
      <c r="R7238" t="s">
        <v>41257</v>
      </c>
      <c r="S7238" t="s">
        <v>41461</v>
      </c>
      <c r="T7238" t="s">
        <v>42764</v>
      </c>
      <c r="U7238" t="s">
        <v>49175</v>
      </c>
      <c r="W7238" t="s">
        <v>39982</v>
      </c>
      <c r="X7238" t="s">
        <v>41258</v>
      </c>
    </row>
    <row r="7239" spans="1:24">
      <c r="A7239">
        <f>HYPERLINK("https://www.philgeps.gov.ph/GEPSNONPILOT/Tender/SplashBidNoticeAbstractUI.aspx?menuIndex=3&amp;refID=7069419&amp;Result=3","7069419")</f>
        <v>0</v>
      </c>
      <c r="B7239" t="s">
        <v>1349</v>
      </c>
      <c r="C7239" t="s">
        <v>10290</v>
      </c>
      <c r="D7239" t="s">
        <v>16648</v>
      </c>
      <c r="E7239" t="s">
        <v>23058</v>
      </c>
      <c r="F7239" t="s">
        <v>28669</v>
      </c>
      <c r="G7239" t="s">
        <v>28676</v>
      </c>
      <c r="H7239" t="s">
        <v>9998</v>
      </c>
      <c r="I7239" t="s">
        <v>11142</v>
      </c>
      <c r="J7239" t="s">
        <v>33364</v>
      </c>
      <c r="K7239" t="s">
        <v>37205</v>
      </c>
      <c r="M7239" t="s">
        <v>39983</v>
      </c>
      <c r="N7239" t="s">
        <v>41249</v>
      </c>
      <c r="O7239" t="s">
        <v>41250</v>
      </c>
      <c r="P7239">
        <v>0</v>
      </c>
      <c r="Q7239">
        <v>0</v>
      </c>
      <c r="R7239" t="s">
        <v>41257</v>
      </c>
      <c r="S7239" t="s">
        <v>41461</v>
      </c>
      <c r="T7239" t="s">
        <v>42701</v>
      </c>
      <c r="U7239" t="s">
        <v>49176</v>
      </c>
      <c r="W7239" t="s">
        <v>39983</v>
      </c>
      <c r="X7239" t="s">
        <v>41258</v>
      </c>
    </row>
    <row r="7240" spans="1:24">
      <c r="A7240">
        <f>HYPERLINK("https://www.philgeps.gov.ph/GEPSNONPILOT/Tender/SplashBidNoticeAbstractUI.aspx?menuIndex=3&amp;refID=7069413&amp;Result=3","7069413")</f>
        <v>0</v>
      </c>
      <c r="B7240" t="s">
        <v>592</v>
      </c>
      <c r="C7240" t="s">
        <v>10291</v>
      </c>
      <c r="D7240" t="s">
        <v>16608</v>
      </c>
      <c r="E7240" t="s">
        <v>23059</v>
      </c>
      <c r="F7240" t="s">
        <v>28669</v>
      </c>
      <c r="G7240" t="s">
        <v>28675</v>
      </c>
      <c r="H7240" t="s">
        <v>9998</v>
      </c>
      <c r="I7240" t="s">
        <v>10128</v>
      </c>
      <c r="J7240" t="s">
        <v>33351</v>
      </c>
      <c r="K7240" t="s">
        <v>37272</v>
      </c>
      <c r="M7240" t="s">
        <v>38091</v>
      </c>
      <c r="N7240" t="s">
        <v>41249</v>
      </c>
      <c r="O7240" t="s">
        <v>41250</v>
      </c>
      <c r="P7240">
        <v>0</v>
      </c>
      <c r="Q7240">
        <v>4</v>
      </c>
      <c r="R7240" t="s">
        <v>41257</v>
      </c>
      <c r="S7240" t="s">
        <v>41461</v>
      </c>
      <c r="T7240" t="s">
        <v>42672</v>
      </c>
      <c r="U7240" t="s">
        <v>49177</v>
      </c>
      <c r="W7240" t="s">
        <v>38091</v>
      </c>
      <c r="X7240" t="s">
        <v>41258</v>
      </c>
    </row>
    <row r="7241" spans="1:24">
      <c r="A7241">
        <f>HYPERLINK("https://www.philgeps.gov.ph/GEPSNONPILOT/Tender/SplashBidNoticeAbstractUI.aspx?menuIndex=3&amp;refID=7069406&amp;Result=3","7069406")</f>
        <v>0</v>
      </c>
      <c r="B7241" t="s">
        <v>2277</v>
      </c>
      <c r="C7241" t="s">
        <v>10292</v>
      </c>
      <c r="D7241" t="s">
        <v>16626</v>
      </c>
      <c r="E7241" t="s">
        <v>21092</v>
      </c>
      <c r="F7241" t="s">
        <v>28669</v>
      </c>
      <c r="G7241" t="s">
        <v>28675</v>
      </c>
      <c r="H7241" t="s">
        <v>9998</v>
      </c>
      <c r="I7241" t="s">
        <v>7352</v>
      </c>
      <c r="J7241" t="s">
        <v>33365</v>
      </c>
      <c r="K7241" t="s">
        <v>37209</v>
      </c>
      <c r="M7241" t="s">
        <v>39932</v>
      </c>
      <c r="N7241" t="s">
        <v>41249</v>
      </c>
      <c r="O7241" t="s">
        <v>41250</v>
      </c>
      <c r="P7241">
        <v>0</v>
      </c>
      <c r="Q7241">
        <v>0</v>
      </c>
      <c r="R7241" t="s">
        <v>41257</v>
      </c>
      <c r="S7241" t="s">
        <v>41461</v>
      </c>
      <c r="T7241" t="s">
        <v>42809</v>
      </c>
      <c r="U7241" t="s">
        <v>49178</v>
      </c>
      <c r="W7241" t="s">
        <v>39932</v>
      </c>
      <c r="X7241" t="s">
        <v>41258</v>
      </c>
    </row>
    <row r="7242" spans="1:24">
      <c r="A7242">
        <f>HYPERLINK("https://www.philgeps.gov.ph/GEPSNONPILOT/Tender/SplashBidNoticeAbstractUI.aspx?menuIndex=3&amp;refID=7069487&amp;Result=3","7069487")</f>
        <v>0</v>
      </c>
      <c r="B7242" t="s">
        <v>93</v>
      </c>
      <c r="C7242" t="s">
        <v>10293</v>
      </c>
      <c r="D7242" t="s">
        <v>16652</v>
      </c>
      <c r="E7242" t="s">
        <v>23060</v>
      </c>
      <c r="F7242" t="s">
        <v>28669</v>
      </c>
      <c r="G7242" t="s">
        <v>28676</v>
      </c>
      <c r="H7242" t="s">
        <v>9998</v>
      </c>
      <c r="I7242" t="s">
        <v>28697</v>
      </c>
      <c r="J7242" t="s">
        <v>33366</v>
      </c>
      <c r="K7242" t="s">
        <v>37206</v>
      </c>
      <c r="M7242" t="s">
        <v>37568</v>
      </c>
      <c r="N7242" t="s">
        <v>41249</v>
      </c>
      <c r="O7242" t="s">
        <v>41250</v>
      </c>
      <c r="P7242">
        <v>0</v>
      </c>
      <c r="Q7242">
        <v>8</v>
      </c>
      <c r="R7242" t="s">
        <v>41257</v>
      </c>
      <c r="S7242" t="s">
        <v>41461</v>
      </c>
      <c r="T7242" t="s">
        <v>42938</v>
      </c>
      <c r="U7242" t="s">
        <v>49179</v>
      </c>
      <c r="W7242" t="s">
        <v>37568</v>
      </c>
      <c r="X7242" t="s">
        <v>41258</v>
      </c>
    </row>
    <row r="7243" spans="1:24">
      <c r="A7243">
        <f>HYPERLINK("https://www.philgeps.gov.ph/GEPSNONPILOT/Tender/SplashBidNoticeAbstractUI.aspx?menuIndex=3&amp;refID=7069446&amp;Result=3","7069446")</f>
        <v>0</v>
      </c>
      <c r="B7243" t="s">
        <v>1146</v>
      </c>
      <c r="C7243" t="s">
        <v>10294</v>
      </c>
      <c r="D7243" t="s">
        <v>16640</v>
      </c>
      <c r="E7243" t="s">
        <v>23061</v>
      </c>
      <c r="F7243" t="s">
        <v>28669</v>
      </c>
      <c r="G7243" t="s">
        <v>28676</v>
      </c>
      <c r="H7243" t="s">
        <v>9998</v>
      </c>
      <c r="I7243" t="s">
        <v>28754</v>
      </c>
      <c r="J7243" t="s">
        <v>33367</v>
      </c>
      <c r="K7243" t="s">
        <v>37209</v>
      </c>
      <c r="M7243" t="s">
        <v>39972</v>
      </c>
      <c r="N7243" t="s">
        <v>41249</v>
      </c>
      <c r="O7243" t="s">
        <v>41250</v>
      </c>
      <c r="P7243">
        <v>0</v>
      </c>
      <c r="Q7243">
        <v>6</v>
      </c>
      <c r="R7243" t="s">
        <v>41257</v>
      </c>
      <c r="S7243" t="s">
        <v>41461</v>
      </c>
      <c r="T7243" t="s">
        <v>42711</v>
      </c>
      <c r="U7243" t="s">
        <v>49135</v>
      </c>
      <c r="W7243" t="s">
        <v>39972</v>
      </c>
      <c r="X7243" t="s">
        <v>41258</v>
      </c>
    </row>
    <row r="7244" spans="1:24">
      <c r="A7244">
        <f>HYPERLINK("https://www.philgeps.gov.ph/GEPSNONPILOT/Tender/SplashBidNoticeAbstractUI.aspx?menuIndex=3&amp;refID=7069481&amp;Result=3","7069481")</f>
        <v>0</v>
      </c>
      <c r="B7244" t="s">
        <v>369</v>
      </c>
      <c r="C7244" t="s">
        <v>10295</v>
      </c>
      <c r="D7244" t="s">
        <v>16619</v>
      </c>
      <c r="E7244" t="s">
        <v>23062</v>
      </c>
      <c r="F7244" t="s">
        <v>28669</v>
      </c>
      <c r="G7244" t="s">
        <v>28676</v>
      </c>
      <c r="H7244" t="s">
        <v>9998</v>
      </c>
      <c r="I7244" t="s">
        <v>6458</v>
      </c>
      <c r="J7244" t="s">
        <v>33368</v>
      </c>
      <c r="K7244" t="s">
        <v>37204</v>
      </c>
      <c r="M7244" t="s">
        <v>39543</v>
      </c>
      <c r="N7244" t="s">
        <v>41249</v>
      </c>
      <c r="O7244" t="s">
        <v>41250</v>
      </c>
      <c r="Q7244">
        <v>10</v>
      </c>
      <c r="R7244" t="s">
        <v>41257</v>
      </c>
      <c r="S7244" t="s">
        <v>41488</v>
      </c>
      <c r="T7244" t="s">
        <v>42727</v>
      </c>
      <c r="U7244" t="s">
        <v>49180</v>
      </c>
      <c r="V7244" t="s">
        <v>54885</v>
      </c>
      <c r="W7244" t="s">
        <v>39543</v>
      </c>
      <c r="X7244" t="s">
        <v>41258</v>
      </c>
    </row>
    <row r="7245" spans="1:24">
      <c r="A7245">
        <f>HYPERLINK("https://www.philgeps.gov.ph/GEPSNONPILOT/Tender/SplashBidNoticeAbstractUI.aspx?menuIndex=3&amp;refID=7069482&amp;Result=3","7069482")</f>
        <v>0</v>
      </c>
      <c r="B7245" t="s">
        <v>2323</v>
      </c>
      <c r="C7245" t="s">
        <v>10296</v>
      </c>
      <c r="D7245" t="s">
        <v>16607</v>
      </c>
      <c r="E7245" t="s">
        <v>23063</v>
      </c>
      <c r="F7245" t="s">
        <v>28669</v>
      </c>
      <c r="G7245" t="s">
        <v>28675</v>
      </c>
      <c r="H7245" t="s">
        <v>9998</v>
      </c>
      <c r="I7245" t="s">
        <v>28694</v>
      </c>
      <c r="J7245" t="s">
        <v>33369</v>
      </c>
      <c r="K7245" t="s">
        <v>37204</v>
      </c>
      <c r="M7245" t="s">
        <v>39984</v>
      </c>
      <c r="N7245" t="s">
        <v>41249</v>
      </c>
      <c r="O7245" t="s">
        <v>41250</v>
      </c>
      <c r="P7245">
        <v>0</v>
      </c>
      <c r="Q7245">
        <v>1</v>
      </c>
      <c r="R7245" t="s">
        <v>41257</v>
      </c>
      <c r="S7245" t="s">
        <v>41461</v>
      </c>
      <c r="T7245" t="s">
        <v>42722</v>
      </c>
      <c r="U7245" t="s">
        <v>49181</v>
      </c>
      <c r="W7245" t="s">
        <v>39984</v>
      </c>
      <c r="X7245" t="s">
        <v>41258</v>
      </c>
    </row>
    <row r="7246" spans="1:24">
      <c r="A7246">
        <f>HYPERLINK("https://www.philgeps.gov.ph/GEPSNONPILOT/Tender/SplashBidNoticeAbstractUI.aspx?menuIndex=3&amp;refID=7069475&amp;Result=3","7069475")</f>
        <v>0</v>
      </c>
      <c r="B7246" t="s">
        <v>2324</v>
      </c>
      <c r="C7246" t="s">
        <v>10297</v>
      </c>
      <c r="D7246" t="s">
        <v>16648</v>
      </c>
      <c r="E7246" t="s">
        <v>23064</v>
      </c>
      <c r="F7246" t="s">
        <v>28669</v>
      </c>
      <c r="G7246" t="s">
        <v>28677</v>
      </c>
      <c r="H7246" t="s">
        <v>9998</v>
      </c>
      <c r="I7246" t="s">
        <v>28697</v>
      </c>
      <c r="J7246" t="s">
        <v>32356</v>
      </c>
      <c r="K7246" t="s">
        <v>37227</v>
      </c>
      <c r="M7246" t="s">
        <v>39985</v>
      </c>
      <c r="N7246" t="s">
        <v>41249</v>
      </c>
      <c r="O7246" t="s">
        <v>41250</v>
      </c>
      <c r="P7246">
        <v>0</v>
      </c>
      <c r="Q7246">
        <v>8</v>
      </c>
      <c r="R7246" t="s">
        <v>41257</v>
      </c>
      <c r="S7246" t="s">
        <v>41461</v>
      </c>
      <c r="T7246" t="s">
        <v>42989</v>
      </c>
      <c r="U7246" t="s">
        <v>49182</v>
      </c>
      <c r="W7246" t="s">
        <v>39985</v>
      </c>
      <c r="X7246" t="s">
        <v>41258</v>
      </c>
    </row>
    <row r="7247" spans="1:24">
      <c r="A7247">
        <f>HYPERLINK("https://www.philgeps.gov.ph/GEPSNONPILOT/Tender/SplashBidNoticeAbstractUI.aspx?menuIndex=3&amp;refID=7069473&amp;Result=3","7069473")</f>
        <v>0</v>
      </c>
      <c r="B7247" t="s">
        <v>2325</v>
      </c>
      <c r="C7247" t="s">
        <v>10298</v>
      </c>
      <c r="D7247" t="s">
        <v>16646</v>
      </c>
      <c r="E7247" t="s">
        <v>23065</v>
      </c>
      <c r="F7247" t="s">
        <v>28669</v>
      </c>
      <c r="G7247" t="s">
        <v>28675</v>
      </c>
      <c r="H7247" t="s">
        <v>9998</v>
      </c>
      <c r="I7247" t="s">
        <v>28786</v>
      </c>
      <c r="J7247" t="s">
        <v>33370</v>
      </c>
      <c r="K7247" t="s">
        <v>37213</v>
      </c>
      <c r="M7247" t="s">
        <v>39986</v>
      </c>
      <c r="N7247" t="s">
        <v>41249</v>
      </c>
      <c r="O7247" t="s">
        <v>41250</v>
      </c>
      <c r="P7247">
        <v>0</v>
      </c>
      <c r="Q7247">
        <v>11</v>
      </c>
      <c r="R7247" t="s">
        <v>41257</v>
      </c>
      <c r="S7247" t="s">
        <v>41461</v>
      </c>
      <c r="T7247" t="s">
        <v>42716</v>
      </c>
      <c r="U7247" t="s">
        <v>49183</v>
      </c>
      <c r="W7247" t="s">
        <v>39986</v>
      </c>
      <c r="X7247" t="s">
        <v>41258</v>
      </c>
    </row>
    <row r="7248" spans="1:24">
      <c r="A7248">
        <f>HYPERLINK("https://www.philgeps.gov.ph/GEPSNONPILOT/Tender/SplashBidNoticeAbstractUI.aspx?menuIndex=3&amp;refID=7069471&amp;Result=3","7069471")</f>
        <v>0</v>
      </c>
      <c r="B7248" t="s">
        <v>1146</v>
      </c>
      <c r="C7248" t="s">
        <v>10299</v>
      </c>
      <c r="D7248" t="s">
        <v>16640</v>
      </c>
      <c r="E7248" t="s">
        <v>23066</v>
      </c>
      <c r="F7248" t="s">
        <v>28669</v>
      </c>
      <c r="G7248" t="s">
        <v>28676</v>
      </c>
      <c r="H7248" t="s">
        <v>9998</v>
      </c>
      <c r="I7248" t="s">
        <v>28773</v>
      </c>
      <c r="J7248" t="s">
        <v>33371</v>
      </c>
      <c r="K7248" t="s">
        <v>37209</v>
      </c>
      <c r="M7248" t="s">
        <v>39972</v>
      </c>
      <c r="N7248" t="s">
        <v>41249</v>
      </c>
      <c r="O7248" t="s">
        <v>41250</v>
      </c>
      <c r="P7248">
        <v>0</v>
      </c>
      <c r="Q7248">
        <v>7</v>
      </c>
      <c r="R7248" t="s">
        <v>41257</v>
      </c>
      <c r="S7248" t="s">
        <v>41461</v>
      </c>
      <c r="T7248" t="s">
        <v>42711</v>
      </c>
      <c r="U7248" t="s">
        <v>49135</v>
      </c>
      <c r="W7248" t="s">
        <v>39972</v>
      </c>
      <c r="X7248" t="s">
        <v>41258</v>
      </c>
    </row>
    <row r="7249" spans="1:24">
      <c r="A7249">
        <f>HYPERLINK("https://www.philgeps.gov.ph/GEPSNONPILOT/Tender/SplashBidNoticeAbstractUI.aspx?menuIndex=3&amp;refID=7069470&amp;Result=3","7069470")</f>
        <v>0</v>
      </c>
      <c r="B7249" t="s">
        <v>1349</v>
      </c>
      <c r="C7249" t="s">
        <v>10300</v>
      </c>
      <c r="D7249" t="s">
        <v>16648</v>
      </c>
      <c r="E7249" t="s">
        <v>23067</v>
      </c>
      <c r="F7249" t="s">
        <v>28669</v>
      </c>
      <c r="G7249" t="s">
        <v>28676</v>
      </c>
      <c r="H7249" t="s">
        <v>9998</v>
      </c>
      <c r="I7249" t="s">
        <v>5213</v>
      </c>
      <c r="J7249" t="s">
        <v>33372</v>
      </c>
      <c r="K7249" t="s">
        <v>37205</v>
      </c>
      <c r="M7249" t="s">
        <v>39983</v>
      </c>
      <c r="N7249" t="s">
        <v>41249</v>
      </c>
      <c r="O7249" t="s">
        <v>41250</v>
      </c>
      <c r="P7249">
        <v>0</v>
      </c>
      <c r="Q7249">
        <v>1</v>
      </c>
      <c r="R7249" t="s">
        <v>41257</v>
      </c>
      <c r="S7249" t="s">
        <v>41461</v>
      </c>
      <c r="T7249" t="s">
        <v>42701</v>
      </c>
      <c r="U7249" t="s">
        <v>49184</v>
      </c>
      <c r="W7249" t="s">
        <v>39983</v>
      </c>
      <c r="X7249" t="s">
        <v>41258</v>
      </c>
    </row>
    <row r="7250" spans="1:24">
      <c r="A7250">
        <f>HYPERLINK("https://www.philgeps.gov.ph/GEPSNONPILOT/Tender/SplashBidNoticeAbstractUI.aspx?menuIndex=3&amp;refID=7069468&amp;Result=3","7069468")</f>
        <v>0</v>
      </c>
      <c r="B7250" t="s">
        <v>844</v>
      </c>
      <c r="C7250" t="s">
        <v>10301</v>
      </c>
      <c r="D7250" t="s">
        <v>16650</v>
      </c>
      <c r="E7250" t="s">
        <v>23068</v>
      </c>
      <c r="F7250" t="s">
        <v>28669</v>
      </c>
      <c r="G7250" t="s">
        <v>28675</v>
      </c>
      <c r="H7250" t="s">
        <v>28686</v>
      </c>
      <c r="I7250" t="s">
        <v>28689</v>
      </c>
      <c r="J7250" t="s">
        <v>33342</v>
      </c>
      <c r="K7250" t="s">
        <v>37205</v>
      </c>
      <c r="M7250" t="s">
        <v>38360</v>
      </c>
      <c r="N7250" t="s">
        <v>41249</v>
      </c>
      <c r="O7250" t="s">
        <v>41250</v>
      </c>
      <c r="P7250">
        <v>0</v>
      </c>
      <c r="Q7250">
        <v>0</v>
      </c>
      <c r="R7250" t="s">
        <v>41257</v>
      </c>
      <c r="S7250" t="s">
        <v>41461</v>
      </c>
      <c r="T7250" t="s">
        <v>42911</v>
      </c>
      <c r="U7250" t="s">
        <v>44857</v>
      </c>
      <c r="W7250" t="s">
        <v>38360</v>
      </c>
      <c r="X7250" t="s">
        <v>41258</v>
      </c>
    </row>
    <row r="7251" spans="1:24">
      <c r="A7251">
        <f>HYPERLINK("https://www.philgeps.gov.ph/GEPSNONPILOT/Tender/SplashBidNoticeAbstractUI.aspx?menuIndex=3&amp;refID=7069463&amp;Result=3","7069463")</f>
        <v>0</v>
      </c>
      <c r="B7251" t="s">
        <v>2326</v>
      </c>
      <c r="C7251" t="s">
        <v>10302</v>
      </c>
      <c r="D7251" t="s">
        <v>16617</v>
      </c>
      <c r="E7251" t="s">
        <v>23069</v>
      </c>
      <c r="F7251" t="s">
        <v>28669</v>
      </c>
      <c r="G7251" t="s">
        <v>28675</v>
      </c>
      <c r="H7251" t="s">
        <v>28686</v>
      </c>
      <c r="I7251" t="s">
        <v>28689</v>
      </c>
      <c r="J7251" t="s">
        <v>33373</v>
      </c>
      <c r="K7251" t="s">
        <v>37239</v>
      </c>
      <c r="M7251" t="s">
        <v>39987</v>
      </c>
      <c r="N7251" t="s">
        <v>41249</v>
      </c>
      <c r="O7251" t="s">
        <v>41250</v>
      </c>
      <c r="P7251">
        <v>0</v>
      </c>
      <c r="Q7251">
        <v>0</v>
      </c>
      <c r="R7251" t="s">
        <v>41257</v>
      </c>
      <c r="S7251" t="s">
        <v>41461</v>
      </c>
      <c r="T7251" t="s">
        <v>42729</v>
      </c>
      <c r="U7251" t="s">
        <v>49185</v>
      </c>
      <c r="W7251" t="s">
        <v>39987</v>
      </c>
      <c r="X7251" t="s">
        <v>41258</v>
      </c>
    </row>
    <row r="7252" spans="1:24">
      <c r="A7252">
        <f>HYPERLINK("https://www.philgeps.gov.ph/GEPSNONPILOT/Tender/SplashBidNoticeAbstractUI.aspx?menuIndex=3&amp;refID=7069462&amp;Result=3","7069462")</f>
        <v>0</v>
      </c>
      <c r="B7252" t="s">
        <v>1758</v>
      </c>
      <c r="C7252" t="s">
        <v>10303</v>
      </c>
      <c r="D7252" t="s">
        <v>16609</v>
      </c>
      <c r="E7252" t="s">
        <v>23070</v>
      </c>
      <c r="F7252" t="s">
        <v>28669</v>
      </c>
      <c r="G7252" t="s">
        <v>28675</v>
      </c>
      <c r="H7252" t="s">
        <v>28686</v>
      </c>
      <c r="I7252" t="s">
        <v>28689</v>
      </c>
      <c r="J7252" t="s">
        <v>28847</v>
      </c>
      <c r="K7252" t="s">
        <v>37211</v>
      </c>
      <c r="M7252" t="s">
        <v>39360</v>
      </c>
      <c r="N7252" t="s">
        <v>41249</v>
      </c>
      <c r="O7252" t="s">
        <v>41250</v>
      </c>
      <c r="P7252">
        <v>0</v>
      </c>
      <c r="Q7252">
        <v>0</v>
      </c>
      <c r="R7252" t="s">
        <v>41257</v>
      </c>
      <c r="S7252" t="s">
        <v>41461</v>
      </c>
      <c r="T7252" t="s">
        <v>42688</v>
      </c>
      <c r="U7252" t="s">
        <v>49186</v>
      </c>
      <c r="W7252" t="s">
        <v>39360</v>
      </c>
      <c r="X7252" t="s">
        <v>41258</v>
      </c>
    </row>
    <row r="7253" spans="1:24">
      <c r="A7253">
        <f>HYPERLINK("https://www.philgeps.gov.ph/GEPSNONPILOT/Tender/SplashBidNoticeAbstractUI.aspx?menuIndex=3&amp;refID=7069286&amp;Result=3","7069286")</f>
        <v>0</v>
      </c>
      <c r="B7253" t="s">
        <v>2326</v>
      </c>
      <c r="C7253" t="s">
        <v>10304</v>
      </c>
      <c r="D7253" t="s">
        <v>16617</v>
      </c>
      <c r="E7253" t="s">
        <v>23071</v>
      </c>
      <c r="F7253" t="s">
        <v>28669</v>
      </c>
      <c r="G7253" t="s">
        <v>28675</v>
      </c>
      <c r="H7253" t="s">
        <v>9998</v>
      </c>
      <c r="I7253" t="s">
        <v>5213</v>
      </c>
      <c r="J7253" t="s">
        <v>32744</v>
      </c>
      <c r="K7253" t="s">
        <v>37204</v>
      </c>
      <c r="M7253" t="s">
        <v>39987</v>
      </c>
      <c r="N7253" t="s">
        <v>41249</v>
      </c>
      <c r="O7253" t="s">
        <v>41250</v>
      </c>
      <c r="P7253">
        <v>0</v>
      </c>
      <c r="Q7253">
        <v>4</v>
      </c>
      <c r="R7253" t="s">
        <v>41257</v>
      </c>
      <c r="S7253" t="s">
        <v>41461</v>
      </c>
      <c r="T7253" t="s">
        <v>42729</v>
      </c>
      <c r="U7253" t="s">
        <v>49187</v>
      </c>
      <c r="W7253" t="s">
        <v>39987</v>
      </c>
      <c r="X7253" t="s">
        <v>41258</v>
      </c>
    </row>
    <row r="7254" spans="1:24">
      <c r="A7254">
        <f>HYPERLINK("https://www.philgeps.gov.ph/GEPSNONPILOT/Tender/SplashBidNoticeAbstractUI.aspx?menuIndex=3&amp;refID=7069461&amp;Result=3","7069461")</f>
        <v>0</v>
      </c>
      <c r="B7254" t="s">
        <v>2327</v>
      </c>
      <c r="C7254" t="s">
        <v>10305</v>
      </c>
      <c r="D7254" t="s">
        <v>16677</v>
      </c>
      <c r="E7254" t="s">
        <v>23072</v>
      </c>
      <c r="F7254" t="s">
        <v>28669</v>
      </c>
      <c r="G7254" t="s">
        <v>28675</v>
      </c>
      <c r="H7254" t="s">
        <v>9998</v>
      </c>
      <c r="I7254" t="s">
        <v>8667</v>
      </c>
      <c r="J7254" t="s">
        <v>29112</v>
      </c>
      <c r="K7254" t="s">
        <v>37209</v>
      </c>
      <c r="M7254" t="s">
        <v>39988</v>
      </c>
      <c r="N7254" t="s">
        <v>41249</v>
      </c>
      <c r="O7254" t="s">
        <v>41250</v>
      </c>
      <c r="P7254">
        <v>0</v>
      </c>
      <c r="Q7254">
        <v>0</v>
      </c>
      <c r="R7254" t="s">
        <v>41257</v>
      </c>
      <c r="S7254" t="s">
        <v>41461</v>
      </c>
      <c r="T7254" t="s">
        <v>42743</v>
      </c>
      <c r="U7254" t="s">
        <v>49188</v>
      </c>
      <c r="W7254" t="s">
        <v>39988</v>
      </c>
      <c r="X7254" t="s">
        <v>41258</v>
      </c>
    </row>
    <row r="7255" spans="1:24">
      <c r="A7255">
        <f>HYPERLINK("https://www.philgeps.gov.ph/GEPSNONPILOT/Tender/SplashBidNoticeAbstractUI.aspx?menuIndex=3&amp;refID=7069490&amp;Result=3","7069490")</f>
        <v>0</v>
      </c>
      <c r="B7255" t="s">
        <v>476</v>
      </c>
      <c r="C7255" t="s">
        <v>10306</v>
      </c>
      <c r="D7255" t="s">
        <v>16615</v>
      </c>
      <c r="E7255" t="s">
        <v>23073</v>
      </c>
      <c r="F7255" t="s">
        <v>28669</v>
      </c>
      <c r="G7255" t="s">
        <v>28675</v>
      </c>
      <c r="H7255" t="s">
        <v>9998</v>
      </c>
      <c r="I7255" t="s">
        <v>28704</v>
      </c>
      <c r="J7255" t="s">
        <v>33374</v>
      </c>
      <c r="K7255" t="s">
        <v>37227</v>
      </c>
      <c r="M7255" t="s">
        <v>37964</v>
      </c>
      <c r="N7255" t="s">
        <v>41249</v>
      </c>
      <c r="O7255" t="s">
        <v>41250</v>
      </c>
      <c r="P7255">
        <v>0</v>
      </c>
      <c r="Q7255">
        <v>3</v>
      </c>
      <c r="R7255" t="s">
        <v>41257</v>
      </c>
      <c r="S7255" t="s">
        <v>41461</v>
      </c>
      <c r="T7255" t="s">
        <v>42719</v>
      </c>
      <c r="U7255" t="s">
        <v>49189</v>
      </c>
      <c r="W7255" t="s">
        <v>37964</v>
      </c>
      <c r="X7255" t="s">
        <v>41258</v>
      </c>
    </row>
    <row r="7256" spans="1:24">
      <c r="A7256">
        <f>HYPERLINK("https://www.philgeps.gov.ph/GEPSNONPILOT/Tender/SplashBidNoticeAbstractUI.aspx?menuIndex=3&amp;refID=7069542&amp;Result=3","7069542")</f>
        <v>0</v>
      </c>
      <c r="B7256" t="s">
        <v>476</v>
      </c>
      <c r="C7256" t="s">
        <v>10307</v>
      </c>
      <c r="D7256" t="s">
        <v>16615</v>
      </c>
      <c r="E7256" t="s">
        <v>23074</v>
      </c>
      <c r="F7256" t="s">
        <v>28669</v>
      </c>
      <c r="G7256" t="s">
        <v>28675</v>
      </c>
      <c r="H7256" t="s">
        <v>9998</v>
      </c>
      <c r="I7256" t="s">
        <v>7352</v>
      </c>
      <c r="J7256" t="s">
        <v>33375</v>
      </c>
      <c r="K7256" t="s">
        <v>37227</v>
      </c>
      <c r="M7256" t="s">
        <v>37964</v>
      </c>
      <c r="N7256" t="s">
        <v>41249</v>
      </c>
      <c r="O7256" t="s">
        <v>41250</v>
      </c>
      <c r="P7256">
        <v>0</v>
      </c>
      <c r="Q7256">
        <v>6</v>
      </c>
      <c r="R7256" t="s">
        <v>41257</v>
      </c>
      <c r="S7256" t="s">
        <v>41461</v>
      </c>
      <c r="T7256" t="s">
        <v>42719</v>
      </c>
      <c r="U7256" t="s">
        <v>49190</v>
      </c>
      <c r="W7256" t="s">
        <v>37964</v>
      </c>
      <c r="X7256" t="s">
        <v>41258</v>
      </c>
    </row>
    <row r="7257" spans="1:24">
      <c r="A7257">
        <f>HYPERLINK("https://www.philgeps.gov.ph/GEPSNONPILOT/Tender/SplashBidNoticeAbstractUI.aspx?menuIndex=3&amp;refID=7069488&amp;Result=3","7069488")</f>
        <v>0</v>
      </c>
      <c r="B7257" t="s">
        <v>2302</v>
      </c>
      <c r="C7257" t="s">
        <v>10308</v>
      </c>
      <c r="D7257" t="s">
        <v>16676</v>
      </c>
      <c r="E7257" t="s">
        <v>17251</v>
      </c>
      <c r="F7257" t="s">
        <v>28669</v>
      </c>
      <c r="G7257" t="s">
        <v>28675</v>
      </c>
      <c r="H7257" t="s">
        <v>28686</v>
      </c>
      <c r="I7257" t="s">
        <v>28689</v>
      </c>
      <c r="J7257" t="s">
        <v>28924</v>
      </c>
      <c r="K7257" t="s">
        <v>37211</v>
      </c>
      <c r="M7257" t="s">
        <v>39961</v>
      </c>
      <c r="N7257" t="s">
        <v>41249</v>
      </c>
      <c r="O7257" t="s">
        <v>41250</v>
      </c>
      <c r="P7257">
        <v>0</v>
      </c>
      <c r="Q7257">
        <v>0</v>
      </c>
      <c r="R7257" t="s">
        <v>41257</v>
      </c>
      <c r="S7257" t="s">
        <v>41461</v>
      </c>
      <c r="T7257" t="s">
        <v>42714</v>
      </c>
      <c r="U7257" t="s">
        <v>49191</v>
      </c>
      <c r="W7257" t="s">
        <v>39961</v>
      </c>
      <c r="X7257" t="s">
        <v>41258</v>
      </c>
    </row>
    <row r="7258" spans="1:24">
      <c r="A7258">
        <f>HYPERLINK("https://www.philgeps.gov.ph/GEPSNONPILOT/Tender/SplashBidNoticeAbstractUI.aspx?menuIndex=3&amp;refID=7069540&amp;Result=3","7069540")</f>
        <v>0</v>
      </c>
      <c r="B7258" t="s">
        <v>2328</v>
      </c>
      <c r="C7258" t="s">
        <v>5192</v>
      </c>
      <c r="D7258" t="s">
        <v>16657</v>
      </c>
      <c r="E7258" t="s">
        <v>23075</v>
      </c>
      <c r="F7258" t="s">
        <v>28669</v>
      </c>
      <c r="G7258" t="s">
        <v>28675</v>
      </c>
      <c r="H7258" t="s">
        <v>28686</v>
      </c>
      <c r="I7258" t="s">
        <v>28689</v>
      </c>
      <c r="J7258" t="s">
        <v>33376</v>
      </c>
      <c r="K7258" t="s">
        <v>37209</v>
      </c>
      <c r="M7258" t="s">
        <v>39989</v>
      </c>
      <c r="N7258" t="s">
        <v>41249</v>
      </c>
      <c r="O7258" t="s">
        <v>41250</v>
      </c>
      <c r="Q7258">
        <v>1</v>
      </c>
      <c r="R7258" t="s">
        <v>41257</v>
      </c>
      <c r="S7258" t="s">
        <v>41489</v>
      </c>
      <c r="T7258" t="s">
        <v>42701</v>
      </c>
      <c r="U7258" t="s">
        <v>49192</v>
      </c>
      <c r="V7258" t="s">
        <v>55106</v>
      </c>
      <c r="W7258" t="s">
        <v>39989</v>
      </c>
      <c r="X7258" t="s">
        <v>41258</v>
      </c>
    </row>
    <row r="7259" spans="1:24">
      <c r="A7259">
        <f>HYPERLINK("https://www.philgeps.gov.ph/GEPSNONPILOT/Tender/SplashBidNoticeAbstractUI.aspx?menuIndex=3&amp;refID=7069465&amp;Result=3","7069465")</f>
        <v>0</v>
      </c>
      <c r="B7259" t="s">
        <v>997</v>
      </c>
      <c r="C7259" t="s">
        <v>10309</v>
      </c>
      <c r="D7259" t="s">
        <v>16642</v>
      </c>
      <c r="E7259" t="s">
        <v>23076</v>
      </c>
      <c r="F7259" t="s">
        <v>28669</v>
      </c>
      <c r="G7259" t="s">
        <v>28676</v>
      </c>
      <c r="H7259" t="s">
        <v>9998</v>
      </c>
      <c r="I7259" t="s">
        <v>28693</v>
      </c>
      <c r="J7259" t="s">
        <v>33099</v>
      </c>
      <c r="K7259" t="s">
        <v>37206</v>
      </c>
      <c r="M7259" t="s">
        <v>39990</v>
      </c>
      <c r="N7259" t="s">
        <v>41249</v>
      </c>
      <c r="O7259" t="s">
        <v>41250</v>
      </c>
      <c r="P7259">
        <v>0</v>
      </c>
      <c r="Q7259">
        <v>31</v>
      </c>
      <c r="R7259" t="s">
        <v>41257</v>
      </c>
      <c r="S7259" t="s">
        <v>41461</v>
      </c>
      <c r="T7259" t="s">
        <v>42883</v>
      </c>
      <c r="U7259" t="s">
        <v>49193</v>
      </c>
      <c r="W7259" t="s">
        <v>39990</v>
      </c>
      <c r="X7259" t="s">
        <v>41258</v>
      </c>
    </row>
    <row r="7260" spans="1:24">
      <c r="A7260">
        <f>HYPERLINK("https://www.philgeps.gov.ph/GEPSNONPILOT/Tender/SplashBidNoticeAbstractUI.aspx?menuIndex=3&amp;refID=7069469&amp;Result=3","7069469")</f>
        <v>0</v>
      </c>
      <c r="B7260" t="s">
        <v>2277</v>
      </c>
      <c r="C7260" t="s">
        <v>10310</v>
      </c>
      <c r="D7260" t="s">
        <v>16626</v>
      </c>
      <c r="E7260" t="s">
        <v>19552</v>
      </c>
      <c r="F7260" t="s">
        <v>28669</v>
      </c>
      <c r="G7260" t="s">
        <v>28675</v>
      </c>
      <c r="H7260" t="s">
        <v>9998</v>
      </c>
      <c r="I7260" t="s">
        <v>7352</v>
      </c>
      <c r="J7260" t="s">
        <v>33377</v>
      </c>
      <c r="K7260" t="s">
        <v>37209</v>
      </c>
      <c r="M7260" t="s">
        <v>39932</v>
      </c>
      <c r="N7260" t="s">
        <v>41249</v>
      </c>
      <c r="O7260" t="s">
        <v>41250</v>
      </c>
      <c r="P7260">
        <v>0</v>
      </c>
      <c r="Q7260">
        <v>0</v>
      </c>
      <c r="R7260" t="s">
        <v>41257</v>
      </c>
      <c r="S7260" t="s">
        <v>41461</v>
      </c>
      <c r="T7260" t="s">
        <v>42809</v>
      </c>
      <c r="U7260" t="s">
        <v>49194</v>
      </c>
      <c r="W7260" t="s">
        <v>39932</v>
      </c>
      <c r="X7260" t="s">
        <v>41258</v>
      </c>
    </row>
    <row r="7261" spans="1:24">
      <c r="A7261">
        <f>HYPERLINK("https://www.philgeps.gov.ph/GEPSNONPILOT/Tender/SplashBidNoticeAbstractUI.aspx?menuIndex=3&amp;refID=7069535&amp;Result=3","7069535")</f>
        <v>0</v>
      </c>
      <c r="B7261" t="s">
        <v>369</v>
      </c>
      <c r="C7261" t="s">
        <v>5073</v>
      </c>
      <c r="D7261" t="s">
        <v>16619</v>
      </c>
      <c r="E7261" t="s">
        <v>23077</v>
      </c>
      <c r="F7261" t="s">
        <v>28669</v>
      </c>
      <c r="G7261" t="s">
        <v>28676</v>
      </c>
      <c r="H7261" t="s">
        <v>9998</v>
      </c>
      <c r="I7261" t="s">
        <v>28690</v>
      </c>
      <c r="J7261" t="s">
        <v>33378</v>
      </c>
      <c r="K7261" t="s">
        <v>37204</v>
      </c>
      <c r="M7261" t="s">
        <v>39543</v>
      </c>
      <c r="N7261" t="s">
        <v>41249</v>
      </c>
      <c r="O7261" t="s">
        <v>41250</v>
      </c>
      <c r="Q7261">
        <v>15</v>
      </c>
      <c r="R7261" t="s">
        <v>41257</v>
      </c>
      <c r="S7261" t="s">
        <v>41490</v>
      </c>
      <c r="T7261" t="s">
        <v>42727</v>
      </c>
      <c r="U7261" t="s">
        <v>49195</v>
      </c>
      <c r="V7261" t="s">
        <v>54885</v>
      </c>
      <c r="W7261" t="s">
        <v>39543</v>
      </c>
      <c r="X7261" t="s">
        <v>41258</v>
      </c>
    </row>
    <row r="7262" spans="1:24">
      <c r="A7262">
        <f>HYPERLINK("https://www.philgeps.gov.ph/GEPSNONPILOT/Tender/SplashBidNoticeAbstractUI.aspx?menuIndex=3&amp;refID=7069530&amp;Result=3","7069530")</f>
        <v>0</v>
      </c>
      <c r="B7262" t="s">
        <v>1519</v>
      </c>
      <c r="C7262" t="s">
        <v>10311</v>
      </c>
      <c r="D7262" t="s">
        <v>16627</v>
      </c>
      <c r="E7262" t="s">
        <v>23078</v>
      </c>
      <c r="F7262" t="s">
        <v>28669</v>
      </c>
      <c r="G7262" t="s">
        <v>28675</v>
      </c>
      <c r="H7262" t="s">
        <v>9998</v>
      </c>
      <c r="I7262" t="s">
        <v>28701</v>
      </c>
      <c r="J7262" t="s">
        <v>33379</v>
      </c>
      <c r="K7262" t="s">
        <v>37209</v>
      </c>
      <c r="M7262" t="s">
        <v>39093</v>
      </c>
      <c r="N7262" t="s">
        <v>41249</v>
      </c>
      <c r="O7262" t="s">
        <v>41250</v>
      </c>
      <c r="Q7262">
        <v>2</v>
      </c>
      <c r="R7262" t="s">
        <v>41257</v>
      </c>
      <c r="S7262" t="s">
        <v>41491</v>
      </c>
      <c r="T7262" t="s">
        <v>43016</v>
      </c>
      <c r="U7262" t="s">
        <v>49196</v>
      </c>
      <c r="W7262" t="s">
        <v>39093</v>
      </c>
      <c r="X7262" t="s">
        <v>41258</v>
      </c>
    </row>
    <row r="7263" spans="1:24">
      <c r="A7263">
        <f>HYPERLINK("https://www.philgeps.gov.ph/GEPSNONPILOT/Tender/SplashBidNoticeAbstractUI.aspx?menuIndex=3&amp;refID=7069523&amp;Result=3","7069523")</f>
        <v>0</v>
      </c>
      <c r="B7263" t="s">
        <v>1828</v>
      </c>
      <c r="C7263" t="s">
        <v>10312</v>
      </c>
      <c r="E7263" t="s">
        <v>23079</v>
      </c>
      <c r="F7263" t="s">
        <v>28669</v>
      </c>
      <c r="G7263" t="s">
        <v>28675</v>
      </c>
      <c r="H7263" t="s">
        <v>28686</v>
      </c>
      <c r="I7263" t="s">
        <v>28689</v>
      </c>
      <c r="J7263" t="s">
        <v>33380</v>
      </c>
      <c r="K7263" t="s">
        <v>37215</v>
      </c>
      <c r="M7263" t="s">
        <v>39441</v>
      </c>
      <c r="N7263" t="s">
        <v>41249</v>
      </c>
      <c r="O7263" t="s">
        <v>41250</v>
      </c>
      <c r="P7263">
        <v>0</v>
      </c>
      <c r="Q7263">
        <v>1</v>
      </c>
      <c r="R7263" t="s">
        <v>41257</v>
      </c>
      <c r="S7263" t="s">
        <v>41461</v>
      </c>
      <c r="T7263" t="s">
        <v>42666</v>
      </c>
      <c r="U7263" t="s">
        <v>49197</v>
      </c>
      <c r="W7263" t="s">
        <v>39441</v>
      </c>
      <c r="X7263" t="s">
        <v>41258</v>
      </c>
    </row>
    <row r="7264" spans="1:24">
      <c r="A7264">
        <f>HYPERLINK("https://www.philgeps.gov.ph/GEPSNONPILOT/Tender/SplashBidNoticeAbstractUI.aspx?menuIndex=3&amp;refID=7069526&amp;Result=3","7069526")</f>
        <v>0</v>
      </c>
      <c r="B7264" t="s">
        <v>1758</v>
      </c>
      <c r="C7264" t="s">
        <v>10313</v>
      </c>
      <c r="D7264" t="s">
        <v>16609</v>
      </c>
      <c r="E7264" t="s">
        <v>23080</v>
      </c>
      <c r="F7264" t="s">
        <v>28669</v>
      </c>
      <c r="G7264" t="s">
        <v>28675</v>
      </c>
      <c r="H7264" t="s">
        <v>9998</v>
      </c>
      <c r="I7264" t="s">
        <v>28743</v>
      </c>
      <c r="J7264" t="s">
        <v>28847</v>
      </c>
      <c r="K7264" t="s">
        <v>37220</v>
      </c>
      <c r="M7264" t="s">
        <v>39360</v>
      </c>
      <c r="N7264" t="s">
        <v>41249</v>
      </c>
      <c r="O7264" t="s">
        <v>41250</v>
      </c>
      <c r="P7264">
        <v>0</v>
      </c>
      <c r="Q7264">
        <v>0</v>
      </c>
      <c r="R7264" t="s">
        <v>41257</v>
      </c>
      <c r="S7264" t="s">
        <v>41461</v>
      </c>
      <c r="T7264" t="s">
        <v>42688</v>
      </c>
      <c r="U7264" t="s">
        <v>49198</v>
      </c>
      <c r="W7264" t="s">
        <v>39360</v>
      </c>
      <c r="X7264" t="s">
        <v>41258</v>
      </c>
    </row>
    <row r="7265" spans="1:24">
      <c r="A7265">
        <f>HYPERLINK("https://www.philgeps.gov.ph/GEPSNONPILOT/Tender/SplashBidNoticeAbstractUI.aspx?menuIndex=3&amp;refID=7069524&amp;Result=3","7069524")</f>
        <v>0</v>
      </c>
      <c r="B7265" t="s">
        <v>2329</v>
      </c>
      <c r="C7265" t="s">
        <v>10314</v>
      </c>
      <c r="D7265" t="s">
        <v>16671</v>
      </c>
      <c r="E7265" t="s">
        <v>17685</v>
      </c>
      <c r="F7265" t="s">
        <v>28669</v>
      </c>
      <c r="G7265" t="s">
        <v>28677</v>
      </c>
      <c r="H7265" t="s">
        <v>9998</v>
      </c>
      <c r="I7265" t="s">
        <v>28690</v>
      </c>
      <c r="J7265" t="s">
        <v>33381</v>
      </c>
      <c r="K7265" t="s">
        <v>37209</v>
      </c>
      <c r="M7265" t="s">
        <v>39991</v>
      </c>
      <c r="N7265" t="s">
        <v>41249</v>
      </c>
      <c r="O7265" t="s">
        <v>41250</v>
      </c>
      <c r="P7265">
        <v>0</v>
      </c>
      <c r="Q7265">
        <v>6</v>
      </c>
      <c r="R7265" t="s">
        <v>41257</v>
      </c>
      <c r="S7265" t="s">
        <v>41461</v>
      </c>
      <c r="T7265" t="s">
        <v>42992</v>
      </c>
      <c r="U7265" t="s">
        <v>49199</v>
      </c>
      <c r="W7265" t="s">
        <v>55987</v>
      </c>
      <c r="X7265" t="s">
        <v>41258</v>
      </c>
    </row>
    <row r="7266" spans="1:24">
      <c r="A7266">
        <f>HYPERLINK("https://www.philgeps.gov.ph/GEPSNONPILOT/Tender/SplashBidNoticeAbstractUI.aspx?menuIndex=3&amp;refID=7069521&amp;Result=3","7069521")</f>
        <v>0</v>
      </c>
      <c r="B7266" t="s">
        <v>2330</v>
      </c>
      <c r="C7266" t="s">
        <v>10315</v>
      </c>
      <c r="D7266" t="s">
        <v>16658</v>
      </c>
      <c r="E7266" t="s">
        <v>16746</v>
      </c>
      <c r="F7266" t="s">
        <v>28669</v>
      </c>
      <c r="G7266" t="s">
        <v>28675</v>
      </c>
      <c r="H7266" t="s">
        <v>9998</v>
      </c>
      <c r="I7266" t="s">
        <v>28696</v>
      </c>
      <c r="J7266" t="s">
        <v>33382</v>
      </c>
      <c r="K7266" t="s">
        <v>37210</v>
      </c>
      <c r="M7266" t="s">
        <v>39992</v>
      </c>
      <c r="N7266" t="s">
        <v>41249</v>
      </c>
      <c r="O7266" t="s">
        <v>41250</v>
      </c>
      <c r="P7266">
        <v>0</v>
      </c>
      <c r="Q7266">
        <v>1</v>
      </c>
      <c r="R7266" t="s">
        <v>41257</v>
      </c>
      <c r="S7266" t="s">
        <v>41461</v>
      </c>
      <c r="T7266" t="s">
        <v>42660</v>
      </c>
      <c r="U7266" t="s">
        <v>49200</v>
      </c>
      <c r="W7266" t="s">
        <v>39992</v>
      </c>
      <c r="X7266" t="s">
        <v>41258</v>
      </c>
    </row>
    <row r="7267" spans="1:24">
      <c r="A7267">
        <f>HYPERLINK("https://www.philgeps.gov.ph/GEPSNONPILOT/Tender/SplashBidNoticeAbstractUI.aspx?menuIndex=3&amp;refID=7069514&amp;Result=3","7069514")</f>
        <v>0</v>
      </c>
      <c r="B7267" t="s">
        <v>47</v>
      </c>
      <c r="C7267" t="s">
        <v>10316</v>
      </c>
      <c r="D7267" t="s">
        <v>16611</v>
      </c>
      <c r="E7267" t="s">
        <v>23081</v>
      </c>
      <c r="F7267" t="s">
        <v>28669</v>
      </c>
      <c r="G7267" t="s">
        <v>28675</v>
      </c>
      <c r="H7267" t="s">
        <v>9998</v>
      </c>
      <c r="I7267" t="s">
        <v>28708</v>
      </c>
      <c r="J7267" t="s">
        <v>33383</v>
      </c>
      <c r="K7267" t="s">
        <v>37206</v>
      </c>
      <c r="M7267" t="s">
        <v>37522</v>
      </c>
      <c r="N7267" t="s">
        <v>41249</v>
      </c>
      <c r="O7267" t="s">
        <v>41250</v>
      </c>
      <c r="P7267">
        <v>0</v>
      </c>
      <c r="Q7267">
        <v>2</v>
      </c>
      <c r="R7267" t="s">
        <v>41257</v>
      </c>
      <c r="S7267" t="s">
        <v>41461</v>
      </c>
      <c r="T7267" t="s">
        <v>42675</v>
      </c>
      <c r="U7267" t="s">
        <v>49201</v>
      </c>
      <c r="W7267" t="s">
        <v>37522</v>
      </c>
      <c r="X7267" t="s">
        <v>41258</v>
      </c>
    </row>
    <row r="7268" spans="1:24">
      <c r="A7268">
        <f>HYPERLINK("https://www.philgeps.gov.ph/GEPSNONPILOT/Tender/SplashBidNoticeAbstractUI.aspx?menuIndex=3&amp;refID=7069512&amp;Result=3","7069512")</f>
        <v>0</v>
      </c>
      <c r="B7268" t="s">
        <v>2270</v>
      </c>
      <c r="C7268" t="s">
        <v>10317</v>
      </c>
      <c r="D7268" t="s">
        <v>16675</v>
      </c>
      <c r="E7268" t="s">
        <v>23082</v>
      </c>
      <c r="F7268" t="s">
        <v>28669</v>
      </c>
      <c r="G7268" t="s">
        <v>28676</v>
      </c>
      <c r="H7268" t="s">
        <v>9998</v>
      </c>
      <c r="I7268" t="s">
        <v>28688</v>
      </c>
      <c r="J7268" t="s">
        <v>32657</v>
      </c>
      <c r="K7268" t="s">
        <v>37220</v>
      </c>
      <c r="M7268" t="s">
        <v>39925</v>
      </c>
      <c r="N7268" t="s">
        <v>41249</v>
      </c>
      <c r="O7268" t="s">
        <v>41250</v>
      </c>
      <c r="P7268">
        <v>0</v>
      </c>
      <c r="Q7268">
        <v>17</v>
      </c>
      <c r="R7268" t="s">
        <v>41257</v>
      </c>
      <c r="S7268" t="s">
        <v>41461</v>
      </c>
      <c r="T7268" t="s">
        <v>43046</v>
      </c>
      <c r="U7268" t="s">
        <v>49202</v>
      </c>
      <c r="W7268" t="s">
        <v>55985</v>
      </c>
      <c r="X7268" t="s">
        <v>41258</v>
      </c>
    </row>
    <row r="7269" spans="1:24">
      <c r="A7269">
        <f>HYPERLINK("https://www.philgeps.gov.ph/GEPSNONPILOT/Tender/SplashBidNoticeAbstractUI.aspx?menuIndex=3&amp;refID=7069338&amp;Result=3","7069338")</f>
        <v>0</v>
      </c>
      <c r="B7269" t="s">
        <v>2331</v>
      </c>
      <c r="C7269" t="s">
        <v>10318</v>
      </c>
      <c r="D7269" t="s">
        <v>16657</v>
      </c>
      <c r="E7269" t="s">
        <v>23083</v>
      </c>
      <c r="F7269" t="s">
        <v>28669</v>
      </c>
      <c r="G7269" t="s">
        <v>28675</v>
      </c>
      <c r="H7269" t="s">
        <v>28686</v>
      </c>
      <c r="I7269" t="s">
        <v>28689</v>
      </c>
      <c r="J7269" t="s">
        <v>33384</v>
      </c>
      <c r="K7269" t="s">
        <v>37290</v>
      </c>
      <c r="M7269" t="s">
        <v>39993</v>
      </c>
      <c r="N7269" t="s">
        <v>41249</v>
      </c>
      <c r="O7269" t="s">
        <v>41250</v>
      </c>
      <c r="P7269">
        <v>0</v>
      </c>
      <c r="Q7269">
        <v>21</v>
      </c>
      <c r="R7269" t="s">
        <v>41257</v>
      </c>
      <c r="S7269" t="s">
        <v>41461</v>
      </c>
      <c r="T7269" t="s">
        <v>42782</v>
      </c>
      <c r="U7269" t="s">
        <v>49203</v>
      </c>
      <c r="V7269" t="s">
        <v>55107</v>
      </c>
      <c r="W7269" t="s">
        <v>39993</v>
      </c>
      <c r="X7269" t="s">
        <v>41258</v>
      </c>
    </row>
    <row r="7270" spans="1:24">
      <c r="A7270">
        <f>HYPERLINK("https://www.philgeps.gov.ph/GEPSNONPILOT/Tender/SplashBidNoticeAbstractUI.aspx?menuIndex=3&amp;refID=7069511&amp;Result=3","7069511")</f>
        <v>0</v>
      </c>
      <c r="B7270" t="s">
        <v>2302</v>
      </c>
      <c r="C7270" t="s">
        <v>5404</v>
      </c>
      <c r="D7270" t="s">
        <v>16676</v>
      </c>
      <c r="E7270" t="s">
        <v>17435</v>
      </c>
      <c r="F7270" t="s">
        <v>28669</v>
      </c>
      <c r="G7270" t="s">
        <v>28675</v>
      </c>
      <c r="H7270" t="s">
        <v>28686</v>
      </c>
      <c r="I7270" t="s">
        <v>28689</v>
      </c>
      <c r="J7270" t="s">
        <v>28836</v>
      </c>
      <c r="K7270" t="s">
        <v>37213</v>
      </c>
      <c r="M7270" t="s">
        <v>39961</v>
      </c>
      <c r="N7270" t="s">
        <v>41249</v>
      </c>
      <c r="O7270" t="s">
        <v>41250</v>
      </c>
      <c r="P7270">
        <v>0</v>
      </c>
      <c r="Q7270">
        <v>0</v>
      </c>
      <c r="R7270" t="s">
        <v>41257</v>
      </c>
      <c r="S7270" t="s">
        <v>41461</v>
      </c>
      <c r="T7270" t="s">
        <v>42714</v>
      </c>
      <c r="U7270" t="s">
        <v>49204</v>
      </c>
      <c r="W7270" t="s">
        <v>39961</v>
      </c>
      <c r="X7270" t="s">
        <v>41258</v>
      </c>
    </row>
    <row r="7271" spans="1:24">
      <c r="A7271">
        <f>HYPERLINK("https://www.philgeps.gov.ph/GEPSNONPILOT/Tender/SplashBidNoticeAbstractUI.aspx?menuIndex=3&amp;refID=7069509&amp;Result=3","7069509")</f>
        <v>0</v>
      </c>
      <c r="B7271" t="s">
        <v>2313</v>
      </c>
      <c r="C7271" t="s">
        <v>10319</v>
      </c>
      <c r="D7271" t="s">
        <v>16633</v>
      </c>
      <c r="E7271" t="s">
        <v>23084</v>
      </c>
      <c r="F7271" t="s">
        <v>28669</v>
      </c>
      <c r="G7271" t="s">
        <v>28675</v>
      </c>
      <c r="H7271" t="s">
        <v>28686</v>
      </c>
      <c r="I7271" t="s">
        <v>28689</v>
      </c>
      <c r="J7271" t="s">
        <v>33385</v>
      </c>
      <c r="K7271" t="s">
        <v>37247</v>
      </c>
      <c r="M7271" t="s">
        <v>39973</v>
      </c>
      <c r="N7271" t="s">
        <v>41249</v>
      </c>
      <c r="O7271" t="s">
        <v>41250</v>
      </c>
      <c r="P7271">
        <v>0</v>
      </c>
      <c r="Q7271">
        <v>1</v>
      </c>
      <c r="R7271" t="s">
        <v>41257</v>
      </c>
      <c r="S7271" t="s">
        <v>41461</v>
      </c>
      <c r="T7271" t="s">
        <v>42679</v>
      </c>
      <c r="U7271" t="s">
        <v>49205</v>
      </c>
      <c r="W7271" t="s">
        <v>39973</v>
      </c>
      <c r="X7271" t="s">
        <v>41258</v>
      </c>
    </row>
    <row r="7272" spans="1:24">
      <c r="A7272">
        <f>HYPERLINK("https://www.philgeps.gov.ph/GEPSNONPILOT/Tender/SplashBidNoticeAbstractUI.aspx?menuIndex=3&amp;refID=7069500&amp;Result=3","7069500")</f>
        <v>0</v>
      </c>
      <c r="B7272" t="s">
        <v>2332</v>
      </c>
      <c r="C7272" t="s">
        <v>10320</v>
      </c>
      <c r="D7272" t="s">
        <v>16622</v>
      </c>
      <c r="E7272" t="s">
        <v>23085</v>
      </c>
      <c r="F7272" t="s">
        <v>28671</v>
      </c>
      <c r="G7272" t="s">
        <v>28675</v>
      </c>
      <c r="H7272" t="s">
        <v>28686</v>
      </c>
      <c r="I7272" t="s">
        <v>7352</v>
      </c>
      <c r="J7272" t="s">
        <v>30665</v>
      </c>
      <c r="K7272" t="s">
        <v>37209</v>
      </c>
      <c r="M7272" t="s">
        <v>39994</v>
      </c>
      <c r="N7272" t="s">
        <v>41249</v>
      </c>
      <c r="O7272" t="s">
        <v>41250</v>
      </c>
      <c r="P7272">
        <v>0</v>
      </c>
      <c r="Q7272">
        <v>0</v>
      </c>
      <c r="R7272" t="s">
        <v>41257</v>
      </c>
      <c r="S7272" t="s">
        <v>41461</v>
      </c>
      <c r="T7272" t="s">
        <v>42739</v>
      </c>
      <c r="U7272" t="s">
        <v>49206</v>
      </c>
      <c r="W7272" t="s">
        <v>39994</v>
      </c>
      <c r="X7272" t="s">
        <v>41258</v>
      </c>
    </row>
    <row r="7273" spans="1:24">
      <c r="A7273">
        <f>HYPERLINK("https://www.philgeps.gov.ph/GEPSNONPILOT/Tender/SplashBidNoticeAbstractUI.aspx?menuIndex=3&amp;refID=7069528&amp;Result=3","7069528")</f>
        <v>0</v>
      </c>
      <c r="B7273" t="s">
        <v>2333</v>
      </c>
      <c r="C7273" t="s">
        <v>10321</v>
      </c>
      <c r="D7273" t="s">
        <v>16608</v>
      </c>
      <c r="E7273" t="s">
        <v>23086</v>
      </c>
      <c r="F7273" t="s">
        <v>28669</v>
      </c>
      <c r="G7273" t="s">
        <v>28676</v>
      </c>
      <c r="H7273" t="s">
        <v>9998</v>
      </c>
      <c r="I7273" t="s">
        <v>10128</v>
      </c>
      <c r="J7273" t="s">
        <v>30258</v>
      </c>
      <c r="K7273" t="s">
        <v>37204</v>
      </c>
      <c r="M7273" t="s">
        <v>39995</v>
      </c>
      <c r="N7273" t="s">
        <v>41249</v>
      </c>
      <c r="O7273" t="s">
        <v>41250</v>
      </c>
      <c r="P7273">
        <v>0</v>
      </c>
      <c r="Q7273">
        <v>3</v>
      </c>
      <c r="R7273" t="s">
        <v>41257</v>
      </c>
      <c r="S7273" t="s">
        <v>41461</v>
      </c>
      <c r="T7273" t="s">
        <v>42811</v>
      </c>
      <c r="U7273" t="s">
        <v>49207</v>
      </c>
      <c r="W7273" t="s">
        <v>39995</v>
      </c>
      <c r="X7273" t="s">
        <v>41258</v>
      </c>
    </row>
    <row r="7274" spans="1:24">
      <c r="A7274">
        <f>HYPERLINK("https://www.philgeps.gov.ph/GEPSNONPILOT/Tender/SplashBidNoticeAbstractUI.aspx?menuIndex=3&amp;refID=7069499&amp;Result=3","7069499")</f>
        <v>0</v>
      </c>
      <c r="B7274" t="s">
        <v>2334</v>
      </c>
      <c r="C7274" t="s">
        <v>10322</v>
      </c>
      <c r="D7274" t="s">
        <v>16636</v>
      </c>
      <c r="E7274" t="s">
        <v>23087</v>
      </c>
      <c r="F7274" t="s">
        <v>28669</v>
      </c>
      <c r="G7274" t="s">
        <v>28679</v>
      </c>
      <c r="H7274" t="s">
        <v>9998</v>
      </c>
      <c r="I7274" t="s">
        <v>7352</v>
      </c>
      <c r="J7274" t="s">
        <v>33386</v>
      </c>
      <c r="K7274" t="s">
        <v>37221</v>
      </c>
      <c r="M7274" t="s">
        <v>39996</v>
      </c>
      <c r="N7274" t="s">
        <v>41249</v>
      </c>
      <c r="O7274" t="s">
        <v>41250</v>
      </c>
      <c r="P7274">
        <v>0</v>
      </c>
      <c r="Q7274">
        <v>0</v>
      </c>
      <c r="R7274" t="s">
        <v>41257</v>
      </c>
      <c r="S7274" t="s">
        <v>41461</v>
      </c>
      <c r="T7274" t="s">
        <v>42711</v>
      </c>
      <c r="U7274" t="s">
        <v>49208</v>
      </c>
      <c r="W7274" t="s">
        <v>39996</v>
      </c>
      <c r="X7274" t="s">
        <v>41258</v>
      </c>
    </row>
    <row r="7275" spans="1:24">
      <c r="A7275">
        <f>HYPERLINK("https://www.philgeps.gov.ph/GEPSNONPILOT/Tender/SplashBidNoticeAbstractUI.aspx?menuIndex=3&amp;refID=7069460&amp;Result=3","7069460")</f>
        <v>0</v>
      </c>
      <c r="B7275" t="s">
        <v>126</v>
      </c>
      <c r="C7275" t="s">
        <v>10305</v>
      </c>
      <c r="D7275" t="s">
        <v>16608</v>
      </c>
      <c r="E7275" t="s">
        <v>23088</v>
      </c>
      <c r="F7275" t="s">
        <v>28669</v>
      </c>
      <c r="G7275" t="s">
        <v>28675</v>
      </c>
      <c r="H7275" t="s">
        <v>9998</v>
      </c>
      <c r="I7275" t="s">
        <v>11593</v>
      </c>
      <c r="J7275" t="s">
        <v>33387</v>
      </c>
      <c r="K7275" t="s">
        <v>37209</v>
      </c>
      <c r="M7275" t="s">
        <v>37602</v>
      </c>
      <c r="N7275" t="s">
        <v>41249</v>
      </c>
      <c r="O7275" t="s">
        <v>41250</v>
      </c>
      <c r="Q7275">
        <v>54</v>
      </c>
      <c r="R7275" t="s">
        <v>41257</v>
      </c>
      <c r="S7275" t="s">
        <v>41492</v>
      </c>
      <c r="T7275" t="s">
        <v>42721</v>
      </c>
      <c r="U7275" t="s">
        <v>49209</v>
      </c>
      <c r="W7275" t="s">
        <v>37602</v>
      </c>
      <c r="X7275" t="s">
        <v>41258</v>
      </c>
    </row>
    <row r="7276" spans="1:24">
      <c r="A7276">
        <f>HYPERLINK("https://www.philgeps.gov.ph/GEPSNONPILOT/Tender/SplashBidNoticeAbstractUI.aspx?menuIndex=3&amp;refID=7069457&amp;Result=3","7069457")</f>
        <v>0</v>
      </c>
      <c r="B7276" t="s">
        <v>1604</v>
      </c>
      <c r="C7276" t="s">
        <v>10323</v>
      </c>
      <c r="D7276" t="s">
        <v>16608</v>
      </c>
      <c r="E7276" t="s">
        <v>23089</v>
      </c>
      <c r="F7276" t="s">
        <v>28669</v>
      </c>
      <c r="G7276" t="s">
        <v>28676</v>
      </c>
      <c r="H7276" t="s">
        <v>28685</v>
      </c>
      <c r="I7276" t="s">
        <v>28685</v>
      </c>
      <c r="J7276" t="s">
        <v>33388</v>
      </c>
      <c r="K7276" t="s">
        <v>37209</v>
      </c>
      <c r="M7276" t="s">
        <v>39188</v>
      </c>
      <c r="N7276" t="s">
        <v>41249</v>
      </c>
      <c r="O7276" t="s">
        <v>41250</v>
      </c>
      <c r="Q7276">
        <v>2</v>
      </c>
      <c r="R7276" t="s">
        <v>41257</v>
      </c>
      <c r="S7276" t="s">
        <v>41493</v>
      </c>
      <c r="T7276" t="s">
        <v>43047</v>
      </c>
      <c r="U7276" t="s">
        <v>49210</v>
      </c>
      <c r="V7276" t="s">
        <v>54740</v>
      </c>
      <c r="W7276" t="s">
        <v>39188</v>
      </c>
      <c r="X7276" t="s">
        <v>41258</v>
      </c>
    </row>
    <row r="7277" spans="1:24">
      <c r="A7277">
        <f>HYPERLINK("https://www.philgeps.gov.ph/GEPSNONPILOT/Tender/SplashBidNoticeAbstractUI.aspx?menuIndex=3&amp;refID=7069547&amp;Result=3","7069547")</f>
        <v>0</v>
      </c>
      <c r="B7277" t="s">
        <v>2263</v>
      </c>
      <c r="C7277" t="s">
        <v>10324</v>
      </c>
      <c r="D7277" t="s">
        <v>16663</v>
      </c>
      <c r="E7277" t="s">
        <v>23090</v>
      </c>
      <c r="F7277" t="s">
        <v>28669</v>
      </c>
      <c r="G7277" t="s">
        <v>28676</v>
      </c>
      <c r="H7277" t="s">
        <v>9998</v>
      </c>
      <c r="I7277" t="s">
        <v>7352</v>
      </c>
      <c r="J7277" t="s">
        <v>30103</v>
      </c>
      <c r="K7277" t="s">
        <v>37206</v>
      </c>
      <c r="M7277" t="s">
        <v>39918</v>
      </c>
      <c r="N7277" t="s">
        <v>41249</v>
      </c>
      <c r="O7277" t="s">
        <v>41250</v>
      </c>
      <c r="P7277">
        <v>0</v>
      </c>
      <c r="Q7277">
        <v>1</v>
      </c>
      <c r="R7277" t="s">
        <v>41257</v>
      </c>
      <c r="S7277" t="s">
        <v>41461</v>
      </c>
      <c r="T7277" t="s">
        <v>42767</v>
      </c>
      <c r="U7277" t="s">
        <v>49211</v>
      </c>
      <c r="W7277" t="s">
        <v>39918</v>
      </c>
      <c r="X7277" t="s">
        <v>41258</v>
      </c>
    </row>
    <row r="7278" spans="1:24">
      <c r="A7278">
        <f>HYPERLINK("https://www.philgeps.gov.ph/GEPSNONPILOT/Tender/SplashBidNoticeAbstractUI.aspx?menuIndex=3&amp;refID=7069508&amp;Result=3","7069508")</f>
        <v>0</v>
      </c>
      <c r="B7278" t="s">
        <v>2331</v>
      </c>
      <c r="C7278" t="s">
        <v>10325</v>
      </c>
      <c r="D7278" t="s">
        <v>16657</v>
      </c>
      <c r="E7278" t="s">
        <v>23091</v>
      </c>
      <c r="F7278" t="s">
        <v>28669</v>
      </c>
      <c r="G7278" t="s">
        <v>28675</v>
      </c>
      <c r="H7278" t="s">
        <v>28686</v>
      </c>
      <c r="I7278" t="s">
        <v>28689</v>
      </c>
      <c r="J7278" t="s">
        <v>33389</v>
      </c>
      <c r="K7278" t="s">
        <v>37335</v>
      </c>
      <c r="M7278" t="s">
        <v>39993</v>
      </c>
      <c r="N7278" t="s">
        <v>41249</v>
      </c>
      <c r="O7278" t="s">
        <v>41250</v>
      </c>
      <c r="P7278">
        <v>0</v>
      </c>
      <c r="Q7278">
        <v>17</v>
      </c>
      <c r="R7278" t="s">
        <v>41257</v>
      </c>
      <c r="S7278" t="s">
        <v>41461</v>
      </c>
      <c r="T7278" t="s">
        <v>42782</v>
      </c>
      <c r="U7278" t="s">
        <v>49203</v>
      </c>
      <c r="V7278" t="s">
        <v>55107</v>
      </c>
      <c r="W7278" t="s">
        <v>39993</v>
      </c>
      <c r="X7278" t="s">
        <v>41258</v>
      </c>
    </row>
    <row r="7279" spans="1:24">
      <c r="A7279">
        <f>HYPERLINK("https://www.philgeps.gov.ph/GEPSNONPILOT/Tender/SplashBidNoticeAbstractUI.aspx?menuIndex=3&amp;refID=7069496&amp;Result=3","7069496")</f>
        <v>0</v>
      </c>
      <c r="B7279" t="s">
        <v>1758</v>
      </c>
      <c r="C7279" t="s">
        <v>10326</v>
      </c>
      <c r="D7279" t="s">
        <v>16609</v>
      </c>
      <c r="E7279" t="s">
        <v>23092</v>
      </c>
      <c r="F7279" t="s">
        <v>28669</v>
      </c>
      <c r="G7279" t="s">
        <v>28675</v>
      </c>
      <c r="H7279" t="s">
        <v>9998</v>
      </c>
      <c r="I7279" t="s">
        <v>28741</v>
      </c>
      <c r="J7279" t="s">
        <v>33390</v>
      </c>
      <c r="K7279" t="s">
        <v>37206</v>
      </c>
      <c r="M7279" t="s">
        <v>39360</v>
      </c>
      <c r="N7279" t="s">
        <v>41249</v>
      </c>
      <c r="O7279" t="s">
        <v>41250</v>
      </c>
      <c r="P7279">
        <v>0</v>
      </c>
      <c r="Q7279">
        <v>8</v>
      </c>
      <c r="R7279" t="s">
        <v>41257</v>
      </c>
      <c r="S7279" t="s">
        <v>41461</v>
      </c>
      <c r="T7279" t="s">
        <v>42688</v>
      </c>
      <c r="U7279" t="s">
        <v>49212</v>
      </c>
      <c r="W7279" t="s">
        <v>39360</v>
      </c>
      <c r="X7279" t="s">
        <v>41258</v>
      </c>
    </row>
    <row r="7280" spans="1:24">
      <c r="A7280">
        <f>HYPERLINK("https://www.philgeps.gov.ph/GEPSNONPILOT/Tender/SplashBidNoticeAbstractUI.aspx?menuIndex=3&amp;refID=7069458&amp;Result=3","7069458")</f>
        <v>0</v>
      </c>
      <c r="B7280" t="s">
        <v>844</v>
      </c>
      <c r="C7280" t="s">
        <v>10327</v>
      </c>
      <c r="D7280" t="s">
        <v>16650</v>
      </c>
      <c r="E7280" t="s">
        <v>23093</v>
      </c>
      <c r="F7280" t="s">
        <v>28669</v>
      </c>
      <c r="G7280" t="s">
        <v>28675</v>
      </c>
      <c r="H7280" t="s">
        <v>28686</v>
      </c>
      <c r="I7280" t="s">
        <v>28689</v>
      </c>
      <c r="J7280" t="s">
        <v>33342</v>
      </c>
      <c r="K7280" t="s">
        <v>37205</v>
      </c>
      <c r="M7280" t="s">
        <v>38360</v>
      </c>
      <c r="N7280" t="s">
        <v>41249</v>
      </c>
      <c r="O7280" t="s">
        <v>41250</v>
      </c>
      <c r="P7280">
        <v>0</v>
      </c>
      <c r="Q7280">
        <v>0</v>
      </c>
      <c r="R7280" t="s">
        <v>41257</v>
      </c>
      <c r="S7280" t="s">
        <v>41461</v>
      </c>
      <c r="T7280" t="s">
        <v>42911</v>
      </c>
      <c r="U7280" t="s">
        <v>44857</v>
      </c>
      <c r="W7280" t="s">
        <v>38360</v>
      </c>
      <c r="X7280" t="s">
        <v>41258</v>
      </c>
    </row>
    <row r="7281" spans="1:24">
      <c r="A7281">
        <f>HYPERLINK("https://www.philgeps.gov.ph/GEPSNONPILOT/Tender/SplashBidNoticeAbstractUI.aspx?menuIndex=3&amp;refID=7069598&amp;Result=3","7069598")</f>
        <v>0</v>
      </c>
      <c r="B7281" t="s">
        <v>1769</v>
      </c>
      <c r="C7281" t="s">
        <v>10328</v>
      </c>
      <c r="D7281" t="s">
        <v>16648</v>
      </c>
      <c r="E7281" t="s">
        <v>23094</v>
      </c>
      <c r="F7281" t="s">
        <v>28669</v>
      </c>
      <c r="G7281" t="s">
        <v>28675</v>
      </c>
      <c r="H7281" t="s">
        <v>9998</v>
      </c>
      <c r="I7281" t="s">
        <v>7352</v>
      </c>
      <c r="J7281" t="s">
        <v>28847</v>
      </c>
      <c r="K7281" t="s">
        <v>37206</v>
      </c>
      <c r="M7281" t="s">
        <v>39371</v>
      </c>
      <c r="N7281" t="s">
        <v>41249</v>
      </c>
      <c r="O7281" t="s">
        <v>41250</v>
      </c>
      <c r="P7281">
        <v>0</v>
      </c>
      <c r="Q7281">
        <v>3</v>
      </c>
      <c r="R7281" t="s">
        <v>41257</v>
      </c>
      <c r="S7281" t="s">
        <v>41461</v>
      </c>
      <c r="T7281" t="s">
        <v>42761</v>
      </c>
      <c r="U7281" t="s">
        <v>49213</v>
      </c>
      <c r="W7281" t="s">
        <v>39371</v>
      </c>
      <c r="X7281" t="s">
        <v>41258</v>
      </c>
    </row>
    <row r="7282" spans="1:24">
      <c r="A7282">
        <f>HYPERLINK("https://www.philgeps.gov.ph/GEPSNONPILOT/Tender/SplashBidNoticeAbstractUI.aspx?menuIndex=3&amp;refID=7069595&amp;Result=3","7069595")</f>
        <v>0</v>
      </c>
      <c r="B7282" t="s">
        <v>369</v>
      </c>
      <c r="C7282" t="s">
        <v>10329</v>
      </c>
      <c r="D7282" t="s">
        <v>16619</v>
      </c>
      <c r="E7282" t="s">
        <v>23095</v>
      </c>
      <c r="F7282" t="s">
        <v>28669</v>
      </c>
      <c r="G7282" t="s">
        <v>28676</v>
      </c>
      <c r="H7282" t="s">
        <v>9998</v>
      </c>
      <c r="I7282" t="s">
        <v>5286</v>
      </c>
      <c r="J7282" t="s">
        <v>33391</v>
      </c>
      <c r="K7282" t="s">
        <v>37204</v>
      </c>
      <c r="M7282" t="s">
        <v>39543</v>
      </c>
      <c r="N7282" t="s">
        <v>41249</v>
      </c>
      <c r="O7282" t="s">
        <v>41250</v>
      </c>
      <c r="Q7282">
        <v>12</v>
      </c>
      <c r="R7282" t="s">
        <v>41257</v>
      </c>
      <c r="S7282" t="s">
        <v>41494</v>
      </c>
      <c r="T7282" t="s">
        <v>42727</v>
      </c>
      <c r="U7282" t="s">
        <v>49214</v>
      </c>
      <c r="V7282" t="s">
        <v>54885</v>
      </c>
      <c r="W7282" t="s">
        <v>39543</v>
      </c>
      <c r="X7282" t="s">
        <v>41258</v>
      </c>
    </row>
    <row r="7283" spans="1:24">
      <c r="A7283">
        <f>HYPERLINK("https://www.philgeps.gov.ph/GEPSNONPILOT/Tender/SplashBidNoticeAbstractUI.aspx?menuIndex=3&amp;refID=7069576&amp;Result=3","7069576")</f>
        <v>0</v>
      </c>
      <c r="B7283" t="s">
        <v>1828</v>
      </c>
      <c r="C7283" t="s">
        <v>10330</v>
      </c>
      <c r="E7283" t="s">
        <v>23096</v>
      </c>
      <c r="F7283" t="s">
        <v>28669</v>
      </c>
      <c r="G7283" t="s">
        <v>28675</v>
      </c>
      <c r="H7283" t="s">
        <v>28686</v>
      </c>
      <c r="I7283" t="s">
        <v>28689</v>
      </c>
      <c r="J7283" t="s">
        <v>33392</v>
      </c>
      <c r="K7283" t="s">
        <v>37212</v>
      </c>
      <c r="M7283" t="s">
        <v>39441</v>
      </c>
      <c r="N7283" t="s">
        <v>41249</v>
      </c>
      <c r="O7283" t="s">
        <v>41250</v>
      </c>
      <c r="P7283">
        <v>0</v>
      </c>
      <c r="Q7283">
        <v>0</v>
      </c>
      <c r="R7283" t="s">
        <v>41257</v>
      </c>
      <c r="S7283" t="s">
        <v>41461</v>
      </c>
      <c r="T7283" t="s">
        <v>42667</v>
      </c>
      <c r="U7283" t="s">
        <v>49215</v>
      </c>
      <c r="W7283" t="s">
        <v>39441</v>
      </c>
      <c r="X7283" t="s">
        <v>41258</v>
      </c>
    </row>
    <row r="7284" spans="1:24">
      <c r="A7284">
        <f>HYPERLINK("https://www.philgeps.gov.ph/GEPSNONPILOT/Tender/SplashBidNoticeAbstractUI.aspx?menuIndex=3&amp;refID=7069459&amp;Result=3","7069459")</f>
        <v>0</v>
      </c>
      <c r="B7284" t="s">
        <v>2247</v>
      </c>
      <c r="C7284" t="s">
        <v>10331</v>
      </c>
      <c r="D7284" t="s">
        <v>16622</v>
      </c>
      <c r="E7284" t="s">
        <v>23097</v>
      </c>
      <c r="F7284" t="s">
        <v>28671</v>
      </c>
      <c r="G7284" t="s">
        <v>28676</v>
      </c>
      <c r="H7284" t="s">
        <v>9998</v>
      </c>
      <c r="I7284" t="s">
        <v>28704</v>
      </c>
      <c r="J7284" t="s">
        <v>29263</v>
      </c>
      <c r="K7284" t="s">
        <v>37243</v>
      </c>
      <c r="M7284" t="s">
        <v>39901</v>
      </c>
      <c r="N7284" t="s">
        <v>41249</v>
      </c>
      <c r="O7284" t="s">
        <v>41250</v>
      </c>
      <c r="P7284">
        <v>0</v>
      </c>
      <c r="Q7284">
        <v>0</v>
      </c>
      <c r="R7284" t="s">
        <v>41257</v>
      </c>
      <c r="S7284" t="s">
        <v>41461</v>
      </c>
      <c r="T7284" t="s">
        <v>42758</v>
      </c>
      <c r="U7284" t="s">
        <v>49216</v>
      </c>
      <c r="W7284" t="s">
        <v>39901</v>
      </c>
      <c r="X7284" t="s">
        <v>41258</v>
      </c>
    </row>
    <row r="7285" spans="1:24">
      <c r="A7285">
        <f>HYPERLINK("https://www.philgeps.gov.ph/GEPSNONPILOT/Tender/SplashBidNoticeAbstractUI.aspx?menuIndex=3&amp;refID=7069580&amp;Result=3","7069580")</f>
        <v>0</v>
      </c>
      <c r="B7285" t="s">
        <v>1722</v>
      </c>
      <c r="C7285" t="s">
        <v>10332</v>
      </c>
      <c r="D7285" t="s">
        <v>16660</v>
      </c>
      <c r="E7285" t="s">
        <v>23098</v>
      </c>
      <c r="F7285" t="s">
        <v>28669</v>
      </c>
      <c r="G7285" t="s">
        <v>28677</v>
      </c>
      <c r="H7285" t="s">
        <v>9998</v>
      </c>
      <c r="I7285" t="s">
        <v>5033</v>
      </c>
      <c r="J7285" t="s">
        <v>29664</v>
      </c>
      <c r="K7285" t="s">
        <v>37266</v>
      </c>
      <c r="M7285" t="s">
        <v>39321</v>
      </c>
      <c r="N7285" t="s">
        <v>41249</v>
      </c>
      <c r="O7285" t="s">
        <v>41250</v>
      </c>
      <c r="P7285">
        <v>0</v>
      </c>
      <c r="Q7285">
        <v>4</v>
      </c>
      <c r="R7285" t="s">
        <v>41257</v>
      </c>
      <c r="S7285" t="s">
        <v>41461</v>
      </c>
      <c r="T7285" t="s">
        <v>42991</v>
      </c>
      <c r="U7285" t="s">
        <v>49217</v>
      </c>
      <c r="W7285" t="s">
        <v>39321</v>
      </c>
      <c r="X7285" t="s">
        <v>41258</v>
      </c>
    </row>
    <row r="7286" spans="1:24">
      <c r="A7286">
        <f>HYPERLINK("https://www.philgeps.gov.ph/GEPSNONPILOT/Tender/SplashBidNoticeAbstractUI.aspx?menuIndex=3&amp;refID=7069579&amp;Result=3","7069579")</f>
        <v>0</v>
      </c>
      <c r="B7286" t="s">
        <v>2263</v>
      </c>
      <c r="C7286" t="s">
        <v>10333</v>
      </c>
      <c r="D7286" t="s">
        <v>16663</v>
      </c>
      <c r="E7286" t="s">
        <v>23099</v>
      </c>
      <c r="F7286" t="s">
        <v>28669</v>
      </c>
      <c r="G7286" t="s">
        <v>28676</v>
      </c>
      <c r="H7286" t="s">
        <v>9998</v>
      </c>
      <c r="I7286" t="s">
        <v>28722</v>
      </c>
      <c r="J7286" t="s">
        <v>33107</v>
      </c>
      <c r="K7286" t="s">
        <v>37206</v>
      </c>
      <c r="M7286" t="s">
        <v>39918</v>
      </c>
      <c r="N7286" t="s">
        <v>41249</v>
      </c>
      <c r="O7286" t="s">
        <v>41250</v>
      </c>
      <c r="P7286">
        <v>0</v>
      </c>
      <c r="Q7286">
        <v>0</v>
      </c>
      <c r="R7286" t="s">
        <v>41257</v>
      </c>
      <c r="S7286" t="s">
        <v>41461</v>
      </c>
      <c r="T7286" t="s">
        <v>42767</v>
      </c>
      <c r="U7286" t="s">
        <v>49218</v>
      </c>
      <c r="W7286" t="s">
        <v>39918</v>
      </c>
      <c r="X7286" t="s">
        <v>41258</v>
      </c>
    </row>
    <row r="7287" spans="1:24">
      <c r="A7287">
        <f>HYPERLINK("https://www.philgeps.gov.ph/GEPSNONPILOT/Tender/SplashBidNoticeAbstractUI.aspx?menuIndex=3&amp;refID=7069534&amp;Result=3","7069534")</f>
        <v>0</v>
      </c>
      <c r="B7287" t="s">
        <v>278</v>
      </c>
      <c r="C7287" t="s">
        <v>10334</v>
      </c>
      <c r="D7287" t="s">
        <v>16608</v>
      </c>
      <c r="E7287" t="s">
        <v>23100</v>
      </c>
      <c r="F7287" t="s">
        <v>28669</v>
      </c>
      <c r="G7287" t="s">
        <v>28679</v>
      </c>
      <c r="H7287" t="s">
        <v>9998</v>
      </c>
      <c r="I7287" t="s">
        <v>28751</v>
      </c>
      <c r="J7287" t="s">
        <v>33393</v>
      </c>
      <c r="K7287" t="s">
        <v>37218</v>
      </c>
      <c r="M7287" t="s">
        <v>39997</v>
      </c>
      <c r="N7287" t="s">
        <v>41249</v>
      </c>
      <c r="O7287" t="s">
        <v>41250</v>
      </c>
      <c r="P7287">
        <v>0</v>
      </c>
      <c r="Q7287">
        <v>3</v>
      </c>
      <c r="R7287" t="s">
        <v>41257</v>
      </c>
      <c r="S7287" t="s">
        <v>41461</v>
      </c>
      <c r="T7287" t="s">
        <v>42663</v>
      </c>
      <c r="U7287" t="s">
        <v>49219</v>
      </c>
      <c r="W7287" t="s">
        <v>39997</v>
      </c>
      <c r="X7287" t="s">
        <v>41258</v>
      </c>
    </row>
    <row r="7288" spans="1:24">
      <c r="A7288">
        <f>HYPERLINK("https://www.philgeps.gov.ph/GEPSNONPILOT/Tender/SplashBidNoticeAbstractUI.aspx?menuIndex=3&amp;refID=7069596&amp;Result=3","7069596")</f>
        <v>0</v>
      </c>
      <c r="B7288" t="s">
        <v>2324</v>
      </c>
      <c r="C7288" t="s">
        <v>10335</v>
      </c>
      <c r="D7288" t="s">
        <v>16648</v>
      </c>
      <c r="E7288" t="s">
        <v>23101</v>
      </c>
      <c r="F7288" t="s">
        <v>28669</v>
      </c>
      <c r="G7288" t="s">
        <v>28677</v>
      </c>
      <c r="H7288" t="s">
        <v>9998</v>
      </c>
      <c r="I7288" t="s">
        <v>28697</v>
      </c>
      <c r="J7288" t="s">
        <v>33394</v>
      </c>
      <c r="K7288" t="s">
        <v>37227</v>
      </c>
      <c r="M7288" t="s">
        <v>39985</v>
      </c>
      <c r="N7288" t="s">
        <v>41249</v>
      </c>
      <c r="O7288" t="s">
        <v>41250</v>
      </c>
      <c r="P7288">
        <v>0</v>
      </c>
      <c r="Q7288">
        <v>6</v>
      </c>
      <c r="R7288" t="s">
        <v>41257</v>
      </c>
      <c r="S7288" t="s">
        <v>41461</v>
      </c>
      <c r="T7288" t="s">
        <v>42989</v>
      </c>
      <c r="U7288" t="s">
        <v>49220</v>
      </c>
      <c r="W7288" t="s">
        <v>39985</v>
      </c>
      <c r="X7288" t="s">
        <v>41258</v>
      </c>
    </row>
    <row r="7289" spans="1:24">
      <c r="A7289">
        <f>HYPERLINK("https://www.philgeps.gov.ph/GEPSNONPILOT/Tender/SplashBidNoticeAbstractUI.aspx?menuIndex=3&amp;refID=7069573&amp;Result=3","7069573")</f>
        <v>0</v>
      </c>
      <c r="B7289" t="s">
        <v>2335</v>
      </c>
      <c r="C7289" t="s">
        <v>10336</v>
      </c>
      <c r="E7289" t="s">
        <v>23102</v>
      </c>
      <c r="F7289" t="s">
        <v>28669</v>
      </c>
      <c r="G7289" t="s">
        <v>28675</v>
      </c>
      <c r="H7289" t="s">
        <v>9998</v>
      </c>
      <c r="I7289" t="s">
        <v>7352</v>
      </c>
      <c r="J7289" t="s">
        <v>33395</v>
      </c>
      <c r="K7289" t="s">
        <v>37204</v>
      </c>
      <c r="M7289" t="s">
        <v>39998</v>
      </c>
      <c r="N7289" t="s">
        <v>41249</v>
      </c>
      <c r="O7289" t="s">
        <v>41250</v>
      </c>
      <c r="P7289">
        <v>0</v>
      </c>
      <c r="Q7289">
        <v>0</v>
      </c>
      <c r="R7289" t="s">
        <v>41257</v>
      </c>
      <c r="S7289" t="s">
        <v>41461</v>
      </c>
      <c r="T7289" t="s">
        <v>42759</v>
      </c>
      <c r="U7289" t="s">
        <v>49221</v>
      </c>
      <c r="W7289" t="s">
        <v>39998</v>
      </c>
      <c r="X7289" t="s">
        <v>41258</v>
      </c>
    </row>
    <row r="7290" spans="1:24">
      <c r="A7290">
        <f>HYPERLINK("https://www.philgeps.gov.ph/GEPSNONPILOT/Tender/SplashBidNoticeAbstractUI.aspx?menuIndex=3&amp;refID=7069592&amp;Result=3","7069592")</f>
        <v>0</v>
      </c>
      <c r="B7290" t="s">
        <v>2336</v>
      </c>
      <c r="C7290" t="s">
        <v>10337</v>
      </c>
      <c r="D7290" t="s">
        <v>16626</v>
      </c>
      <c r="E7290" t="s">
        <v>23103</v>
      </c>
      <c r="F7290" t="s">
        <v>28669</v>
      </c>
      <c r="G7290" t="s">
        <v>28675</v>
      </c>
      <c r="H7290" t="s">
        <v>9998</v>
      </c>
      <c r="I7290" t="s">
        <v>15140</v>
      </c>
      <c r="J7290" t="s">
        <v>29547</v>
      </c>
      <c r="K7290" t="s">
        <v>37243</v>
      </c>
      <c r="M7290" t="s">
        <v>39999</v>
      </c>
      <c r="N7290" t="s">
        <v>41249</v>
      </c>
      <c r="O7290" t="s">
        <v>41250</v>
      </c>
      <c r="P7290">
        <v>0</v>
      </c>
      <c r="Q7290">
        <v>0</v>
      </c>
      <c r="R7290" t="s">
        <v>41257</v>
      </c>
      <c r="S7290" t="s">
        <v>41461</v>
      </c>
      <c r="T7290" t="s">
        <v>42660</v>
      </c>
      <c r="U7290" t="s">
        <v>49222</v>
      </c>
      <c r="W7290" t="s">
        <v>39999</v>
      </c>
      <c r="X7290" t="s">
        <v>41258</v>
      </c>
    </row>
    <row r="7291" spans="1:24">
      <c r="A7291">
        <f>HYPERLINK("https://www.philgeps.gov.ph/GEPSNONPILOT/Tender/SplashBidNoticeAbstractUI.aspx?menuIndex=3&amp;refID=7069541&amp;Result=3","7069541")</f>
        <v>0</v>
      </c>
      <c r="B7291" t="s">
        <v>2123</v>
      </c>
      <c r="C7291" t="s">
        <v>10338</v>
      </c>
      <c r="D7291" t="s">
        <v>16640</v>
      </c>
      <c r="E7291" t="s">
        <v>23104</v>
      </c>
      <c r="F7291" t="s">
        <v>28669</v>
      </c>
      <c r="G7291" t="s">
        <v>28675</v>
      </c>
      <c r="H7291" t="s">
        <v>28686</v>
      </c>
      <c r="I7291" t="s">
        <v>28689</v>
      </c>
      <c r="J7291" t="s">
        <v>33396</v>
      </c>
      <c r="K7291" t="s">
        <v>37220</v>
      </c>
      <c r="M7291" t="s">
        <v>39767</v>
      </c>
      <c r="N7291" t="s">
        <v>41249</v>
      </c>
      <c r="O7291" t="s">
        <v>41250</v>
      </c>
      <c r="P7291">
        <v>0</v>
      </c>
      <c r="Q7291">
        <v>2</v>
      </c>
      <c r="R7291" t="s">
        <v>41257</v>
      </c>
      <c r="S7291" t="s">
        <v>41461</v>
      </c>
      <c r="T7291" t="s">
        <v>42808</v>
      </c>
      <c r="U7291" t="s">
        <v>49223</v>
      </c>
      <c r="V7291" t="s">
        <v>54982</v>
      </c>
      <c r="W7291" t="s">
        <v>39767</v>
      </c>
      <c r="X7291" t="s">
        <v>41258</v>
      </c>
    </row>
    <row r="7292" spans="1:24">
      <c r="A7292">
        <f>HYPERLINK("https://www.philgeps.gov.ph/GEPSNONPILOT/Tender/SplashBidNoticeAbstractUI.aspx?menuIndex=3&amp;refID=7069570&amp;Result=3","7069570")</f>
        <v>0</v>
      </c>
      <c r="B7292" t="s">
        <v>2260</v>
      </c>
      <c r="C7292" t="s">
        <v>10339</v>
      </c>
      <c r="D7292" t="s">
        <v>16607</v>
      </c>
      <c r="E7292" t="s">
        <v>23105</v>
      </c>
      <c r="F7292" t="s">
        <v>28669</v>
      </c>
      <c r="G7292" t="s">
        <v>28675</v>
      </c>
      <c r="H7292" t="s">
        <v>9998</v>
      </c>
      <c r="I7292" t="s">
        <v>7352</v>
      </c>
      <c r="J7292" t="s">
        <v>33397</v>
      </c>
      <c r="K7292" t="s">
        <v>37210</v>
      </c>
      <c r="M7292" t="s">
        <v>39915</v>
      </c>
      <c r="N7292" t="s">
        <v>41249</v>
      </c>
      <c r="O7292" t="s">
        <v>41250</v>
      </c>
      <c r="P7292">
        <v>0</v>
      </c>
      <c r="Q7292">
        <v>1</v>
      </c>
      <c r="R7292" t="s">
        <v>41257</v>
      </c>
      <c r="S7292" t="s">
        <v>41461</v>
      </c>
      <c r="T7292" t="s">
        <v>42665</v>
      </c>
      <c r="U7292" t="s">
        <v>49224</v>
      </c>
      <c r="W7292" t="s">
        <v>39915</v>
      </c>
      <c r="X7292" t="s">
        <v>41258</v>
      </c>
    </row>
    <row r="7293" spans="1:24">
      <c r="A7293">
        <f>HYPERLINK("https://www.philgeps.gov.ph/GEPSNONPILOT/Tender/SplashBidNoticeAbstractUI.aspx?menuIndex=3&amp;refID=7069568&amp;Result=3","7069568")</f>
        <v>0</v>
      </c>
      <c r="B7293" t="s">
        <v>2337</v>
      </c>
      <c r="C7293" t="s">
        <v>10340</v>
      </c>
      <c r="D7293" t="s">
        <v>16683</v>
      </c>
      <c r="E7293" t="s">
        <v>23106</v>
      </c>
      <c r="F7293" t="s">
        <v>28669</v>
      </c>
      <c r="G7293" t="s">
        <v>28675</v>
      </c>
      <c r="H7293" t="s">
        <v>9998</v>
      </c>
      <c r="I7293" t="s">
        <v>3718</v>
      </c>
      <c r="J7293" t="s">
        <v>28942</v>
      </c>
      <c r="K7293" t="s">
        <v>37205</v>
      </c>
      <c r="M7293" t="s">
        <v>40000</v>
      </c>
      <c r="N7293" t="s">
        <v>41249</v>
      </c>
      <c r="O7293" t="s">
        <v>41250</v>
      </c>
      <c r="P7293">
        <v>0</v>
      </c>
      <c r="Q7293">
        <v>1</v>
      </c>
      <c r="R7293" t="s">
        <v>41257</v>
      </c>
      <c r="S7293" t="s">
        <v>41461</v>
      </c>
      <c r="T7293" t="s">
        <v>42714</v>
      </c>
      <c r="U7293" t="s">
        <v>49225</v>
      </c>
      <c r="W7293" t="s">
        <v>40000</v>
      </c>
      <c r="X7293" t="s">
        <v>41258</v>
      </c>
    </row>
    <row r="7294" spans="1:24">
      <c r="A7294">
        <f>HYPERLINK("https://www.philgeps.gov.ph/GEPSNONPILOT/Tender/SplashBidNoticeAbstractUI.aspx?menuIndex=3&amp;refID=7069661&amp;Result=3","7069661")</f>
        <v>0</v>
      </c>
      <c r="B7294" t="s">
        <v>1828</v>
      </c>
      <c r="C7294" t="s">
        <v>10341</v>
      </c>
      <c r="E7294" t="s">
        <v>23107</v>
      </c>
      <c r="F7294" t="s">
        <v>28669</v>
      </c>
      <c r="G7294" t="s">
        <v>28675</v>
      </c>
      <c r="H7294" t="s">
        <v>28686</v>
      </c>
      <c r="I7294" t="s">
        <v>28689</v>
      </c>
      <c r="J7294" t="s">
        <v>33398</v>
      </c>
      <c r="K7294" t="s">
        <v>37220</v>
      </c>
      <c r="M7294" t="s">
        <v>39441</v>
      </c>
      <c r="N7294" t="s">
        <v>41249</v>
      </c>
      <c r="O7294" t="s">
        <v>41250</v>
      </c>
      <c r="P7294">
        <v>0</v>
      </c>
      <c r="Q7294">
        <v>1</v>
      </c>
      <c r="R7294" t="s">
        <v>41257</v>
      </c>
      <c r="S7294" t="s">
        <v>41461</v>
      </c>
      <c r="T7294" t="s">
        <v>42667</v>
      </c>
      <c r="U7294" t="s">
        <v>49226</v>
      </c>
      <c r="W7294" t="s">
        <v>39441</v>
      </c>
      <c r="X7294" t="s">
        <v>41258</v>
      </c>
    </row>
    <row r="7295" spans="1:24">
      <c r="A7295">
        <f>HYPERLINK("https://www.philgeps.gov.ph/GEPSNONPILOT/Tender/SplashBidNoticeAbstractUI.aspx?menuIndex=3&amp;refID=7069575&amp;Result=3","7069575")</f>
        <v>0</v>
      </c>
      <c r="B7295" t="s">
        <v>1034</v>
      </c>
      <c r="C7295" t="s">
        <v>10342</v>
      </c>
      <c r="D7295" t="s">
        <v>16619</v>
      </c>
      <c r="E7295" t="s">
        <v>23108</v>
      </c>
      <c r="F7295" t="s">
        <v>28669</v>
      </c>
      <c r="G7295" t="s">
        <v>28676</v>
      </c>
      <c r="H7295" t="s">
        <v>9998</v>
      </c>
      <c r="I7295" t="s">
        <v>15140</v>
      </c>
      <c r="J7295" t="s">
        <v>33399</v>
      </c>
      <c r="K7295" t="s">
        <v>37216</v>
      </c>
      <c r="M7295" t="s">
        <v>38565</v>
      </c>
      <c r="N7295" t="s">
        <v>41249</v>
      </c>
      <c r="O7295" t="s">
        <v>41250</v>
      </c>
      <c r="P7295">
        <v>0</v>
      </c>
      <c r="Q7295">
        <v>0</v>
      </c>
      <c r="R7295" t="s">
        <v>41257</v>
      </c>
      <c r="S7295" t="s">
        <v>41461</v>
      </c>
      <c r="T7295" t="s">
        <v>42743</v>
      </c>
      <c r="U7295" t="s">
        <v>49227</v>
      </c>
      <c r="W7295" t="s">
        <v>38565</v>
      </c>
      <c r="X7295" t="s">
        <v>41258</v>
      </c>
    </row>
    <row r="7296" spans="1:24">
      <c r="A7296">
        <f>HYPERLINK("https://www.philgeps.gov.ph/GEPSNONPILOT/Tender/SplashBidNoticeAbstractUI.aspx?menuIndex=3&amp;refID=7069567&amp;Result=3","7069567")</f>
        <v>0</v>
      </c>
      <c r="B7296" t="s">
        <v>476</v>
      </c>
      <c r="C7296" t="s">
        <v>10343</v>
      </c>
      <c r="D7296" t="s">
        <v>16615</v>
      </c>
      <c r="E7296" t="s">
        <v>23109</v>
      </c>
      <c r="F7296" t="s">
        <v>28669</v>
      </c>
      <c r="G7296" t="s">
        <v>28675</v>
      </c>
      <c r="H7296" t="s">
        <v>9998</v>
      </c>
      <c r="I7296" t="s">
        <v>7352</v>
      </c>
      <c r="J7296" t="s">
        <v>33400</v>
      </c>
      <c r="K7296" t="s">
        <v>37227</v>
      </c>
      <c r="M7296" t="s">
        <v>37964</v>
      </c>
      <c r="N7296" t="s">
        <v>41249</v>
      </c>
      <c r="O7296" t="s">
        <v>41250</v>
      </c>
      <c r="P7296">
        <v>0</v>
      </c>
      <c r="Q7296">
        <v>1</v>
      </c>
      <c r="R7296" t="s">
        <v>41257</v>
      </c>
      <c r="S7296" t="s">
        <v>41461</v>
      </c>
      <c r="T7296" t="s">
        <v>42719</v>
      </c>
      <c r="U7296" t="s">
        <v>49228</v>
      </c>
      <c r="W7296" t="s">
        <v>37964</v>
      </c>
      <c r="X7296" t="s">
        <v>41258</v>
      </c>
    </row>
    <row r="7297" spans="1:24">
      <c r="A7297">
        <f>HYPERLINK("https://www.philgeps.gov.ph/GEPSNONPILOT/Tender/SplashBidNoticeAbstractUI.aspx?menuIndex=3&amp;refID=7069649&amp;Result=3","7069649")</f>
        <v>0</v>
      </c>
      <c r="B7297" t="s">
        <v>2337</v>
      </c>
      <c r="C7297" t="s">
        <v>7523</v>
      </c>
      <c r="D7297" t="s">
        <v>16683</v>
      </c>
      <c r="E7297" t="s">
        <v>23110</v>
      </c>
      <c r="F7297" t="s">
        <v>28669</v>
      </c>
      <c r="G7297" t="s">
        <v>28675</v>
      </c>
      <c r="H7297" t="s">
        <v>9998</v>
      </c>
      <c r="I7297" t="s">
        <v>6128</v>
      </c>
      <c r="J7297" t="s">
        <v>33401</v>
      </c>
      <c r="K7297" t="s">
        <v>37205</v>
      </c>
      <c r="M7297" t="s">
        <v>40000</v>
      </c>
      <c r="N7297" t="s">
        <v>41249</v>
      </c>
      <c r="O7297" t="s">
        <v>41250</v>
      </c>
      <c r="P7297">
        <v>0</v>
      </c>
      <c r="Q7297">
        <v>1</v>
      </c>
      <c r="R7297" t="s">
        <v>41257</v>
      </c>
      <c r="S7297" t="s">
        <v>41461</v>
      </c>
      <c r="T7297" t="s">
        <v>42714</v>
      </c>
      <c r="U7297" t="s">
        <v>49229</v>
      </c>
      <c r="W7297" t="s">
        <v>40000</v>
      </c>
      <c r="X7297" t="s">
        <v>41258</v>
      </c>
    </row>
    <row r="7298" spans="1:24">
      <c r="A7298">
        <f>HYPERLINK("https://www.philgeps.gov.ph/GEPSNONPILOT/Tender/SplashBidNoticeAbstractUI.aspx?menuIndex=3&amp;refID=7069645&amp;Result=3","7069645")</f>
        <v>0</v>
      </c>
      <c r="B7298" t="s">
        <v>2338</v>
      </c>
      <c r="C7298" t="s">
        <v>10344</v>
      </c>
      <c r="D7298" t="s">
        <v>16631</v>
      </c>
      <c r="E7298" t="s">
        <v>23111</v>
      </c>
      <c r="F7298" t="s">
        <v>28669</v>
      </c>
      <c r="G7298" t="s">
        <v>28675</v>
      </c>
      <c r="H7298" t="s">
        <v>28686</v>
      </c>
      <c r="I7298" t="s">
        <v>28689</v>
      </c>
      <c r="J7298" t="s">
        <v>33402</v>
      </c>
      <c r="K7298" t="s">
        <v>37212</v>
      </c>
      <c r="M7298" t="s">
        <v>40001</v>
      </c>
      <c r="N7298" t="s">
        <v>41249</v>
      </c>
      <c r="O7298" t="s">
        <v>41250</v>
      </c>
      <c r="P7298">
        <v>0</v>
      </c>
      <c r="Q7298">
        <v>0</v>
      </c>
      <c r="R7298" t="s">
        <v>41257</v>
      </c>
      <c r="S7298" t="s">
        <v>41461</v>
      </c>
      <c r="T7298" t="s">
        <v>42769</v>
      </c>
      <c r="U7298" t="s">
        <v>49230</v>
      </c>
      <c r="W7298" t="s">
        <v>40001</v>
      </c>
      <c r="X7298" t="s">
        <v>41258</v>
      </c>
    </row>
    <row r="7299" spans="1:24">
      <c r="A7299">
        <f>HYPERLINK("https://www.philgeps.gov.ph/GEPSNONPILOT/Tender/SplashBidNoticeAbstractUI.aspx?menuIndex=3&amp;refID=7069582&amp;Result=3","7069582")</f>
        <v>0</v>
      </c>
      <c r="B7299" t="s">
        <v>648</v>
      </c>
      <c r="C7299" t="s">
        <v>10345</v>
      </c>
      <c r="D7299" t="s">
        <v>16648</v>
      </c>
      <c r="E7299" t="s">
        <v>23112</v>
      </c>
      <c r="F7299" t="s">
        <v>28669</v>
      </c>
      <c r="G7299" t="s">
        <v>28675</v>
      </c>
      <c r="H7299" t="s">
        <v>9998</v>
      </c>
      <c r="I7299" t="s">
        <v>7352</v>
      </c>
      <c r="J7299" t="s">
        <v>33403</v>
      </c>
      <c r="K7299" t="s">
        <v>37210</v>
      </c>
      <c r="M7299" t="s">
        <v>38149</v>
      </c>
      <c r="N7299" t="s">
        <v>41249</v>
      </c>
      <c r="O7299" t="s">
        <v>41250</v>
      </c>
      <c r="P7299">
        <v>0</v>
      </c>
      <c r="Q7299">
        <v>0</v>
      </c>
      <c r="R7299" t="s">
        <v>41257</v>
      </c>
      <c r="S7299" t="s">
        <v>41461</v>
      </c>
      <c r="T7299" t="s">
        <v>42679</v>
      </c>
      <c r="U7299" t="s">
        <v>49231</v>
      </c>
      <c r="W7299" t="s">
        <v>38149</v>
      </c>
      <c r="X7299" t="s">
        <v>41258</v>
      </c>
    </row>
    <row r="7300" spans="1:24">
      <c r="A7300">
        <f>HYPERLINK("https://www.philgeps.gov.ph/GEPSNONPILOT/Tender/SplashBidNoticeAbstractUI.aspx?menuIndex=3&amp;refID=7069557&amp;Result=3","7069557")</f>
        <v>0</v>
      </c>
      <c r="B7300" t="s">
        <v>2230</v>
      </c>
      <c r="C7300" t="s">
        <v>10346</v>
      </c>
      <c r="D7300" t="s">
        <v>16647</v>
      </c>
      <c r="E7300" t="s">
        <v>23113</v>
      </c>
      <c r="F7300" t="s">
        <v>28669</v>
      </c>
      <c r="G7300" t="s">
        <v>28675</v>
      </c>
      <c r="H7300" t="s">
        <v>9998</v>
      </c>
      <c r="I7300" t="s">
        <v>7352</v>
      </c>
      <c r="J7300" t="s">
        <v>33404</v>
      </c>
      <c r="K7300" t="s">
        <v>37205</v>
      </c>
      <c r="M7300" t="s">
        <v>40002</v>
      </c>
      <c r="N7300" t="s">
        <v>41249</v>
      </c>
      <c r="O7300" t="s">
        <v>41250</v>
      </c>
      <c r="P7300">
        <v>0</v>
      </c>
      <c r="Q7300">
        <v>0</v>
      </c>
      <c r="R7300" t="s">
        <v>41257</v>
      </c>
      <c r="S7300" t="s">
        <v>41461</v>
      </c>
      <c r="T7300" t="s">
        <v>42716</v>
      </c>
      <c r="U7300" t="s">
        <v>49232</v>
      </c>
      <c r="W7300" t="s">
        <v>55983</v>
      </c>
      <c r="X7300" t="s">
        <v>41258</v>
      </c>
    </row>
    <row r="7301" spans="1:24">
      <c r="A7301">
        <f>HYPERLINK("https://www.philgeps.gov.ph/GEPSNONPILOT/Tender/SplashBidNoticeAbstractUI.aspx?menuIndex=3&amp;refID=7069636&amp;Result=3","7069636")</f>
        <v>0</v>
      </c>
      <c r="B7301" t="s">
        <v>689</v>
      </c>
      <c r="C7301" t="s">
        <v>10347</v>
      </c>
      <c r="D7301" t="s">
        <v>16608</v>
      </c>
      <c r="E7301" t="s">
        <v>23114</v>
      </c>
      <c r="F7301" t="s">
        <v>28669</v>
      </c>
      <c r="G7301" t="s">
        <v>28676</v>
      </c>
      <c r="H7301" t="s">
        <v>9998</v>
      </c>
      <c r="I7301" t="s">
        <v>28699</v>
      </c>
      <c r="J7301" t="s">
        <v>28845</v>
      </c>
      <c r="K7301" t="s">
        <v>37209</v>
      </c>
      <c r="M7301" t="s">
        <v>38194</v>
      </c>
      <c r="N7301" t="s">
        <v>41249</v>
      </c>
      <c r="O7301" t="s">
        <v>41250</v>
      </c>
      <c r="P7301">
        <v>0</v>
      </c>
      <c r="Q7301">
        <v>15</v>
      </c>
      <c r="R7301" t="s">
        <v>41257</v>
      </c>
      <c r="S7301" t="s">
        <v>41461</v>
      </c>
      <c r="T7301" t="s">
        <v>42741</v>
      </c>
      <c r="U7301" t="s">
        <v>49233</v>
      </c>
      <c r="W7301" t="s">
        <v>38194</v>
      </c>
      <c r="X7301" t="s">
        <v>41258</v>
      </c>
    </row>
    <row r="7302" spans="1:24">
      <c r="A7302">
        <f>HYPERLINK("https://www.philgeps.gov.ph/GEPSNONPILOT/Tender/SplashBidNoticeAbstractUI.aspx?menuIndex=3&amp;refID=7069631&amp;Result=3","7069631")</f>
        <v>0</v>
      </c>
      <c r="B7302" t="s">
        <v>2008</v>
      </c>
      <c r="C7302" t="s">
        <v>10348</v>
      </c>
      <c r="D7302" t="s">
        <v>16642</v>
      </c>
      <c r="E7302" t="s">
        <v>21286</v>
      </c>
      <c r="F7302" t="s">
        <v>28669</v>
      </c>
      <c r="G7302" t="s">
        <v>28676</v>
      </c>
      <c r="H7302" t="s">
        <v>9998</v>
      </c>
      <c r="I7302" t="s">
        <v>28766</v>
      </c>
      <c r="J7302" t="s">
        <v>28859</v>
      </c>
      <c r="K7302" t="s">
        <v>37204</v>
      </c>
      <c r="M7302" t="s">
        <v>39646</v>
      </c>
      <c r="N7302" t="s">
        <v>41249</v>
      </c>
      <c r="O7302" t="s">
        <v>41250</v>
      </c>
      <c r="P7302">
        <v>0</v>
      </c>
      <c r="Q7302">
        <v>1</v>
      </c>
      <c r="R7302" t="s">
        <v>41257</v>
      </c>
      <c r="S7302" t="s">
        <v>41461</v>
      </c>
      <c r="T7302" t="s">
        <v>42701</v>
      </c>
      <c r="U7302" t="s">
        <v>49234</v>
      </c>
      <c r="W7302" t="s">
        <v>39646</v>
      </c>
      <c r="X7302" t="s">
        <v>41258</v>
      </c>
    </row>
    <row r="7303" spans="1:24">
      <c r="A7303">
        <f>HYPERLINK("https://www.philgeps.gov.ph/GEPSNONPILOT/Tender/SplashBidNoticeAbstractUI.aspx?menuIndex=3&amp;refID=7069630&amp;Result=3","7069630")</f>
        <v>0</v>
      </c>
      <c r="B7303" t="s">
        <v>697</v>
      </c>
      <c r="C7303" t="s">
        <v>10349</v>
      </c>
      <c r="D7303" t="s">
        <v>16621</v>
      </c>
      <c r="E7303" t="s">
        <v>20261</v>
      </c>
      <c r="F7303" t="s">
        <v>28669</v>
      </c>
      <c r="G7303" t="s">
        <v>28675</v>
      </c>
      <c r="H7303" t="s">
        <v>28686</v>
      </c>
      <c r="I7303" t="s">
        <v>28689</v>
      </c>
      <c r="J7303" t="s">
        <v>33405</v>
      </c>
      <c r="K7303" t="s">
        <v>37379</v>
      </c>
      <c r="M7303" t="s">
        <v>38202</v>
      </c>
      <c r="N7303" t="s">
        <v>41249</v>
      </c>
      <c r="O7303" t="s">
        <v>41250</v>
      </c>
      <c r="P7303">
        <v>0</v>
      </c>
      <c r="Q7303">
        <v>2</v>
      </c>
      <c r="R7303" t="s">
        <v>41257</v>
      </c>
      <c r="S7303" t="s">
        <v>41461</v>
      </c>
      <c r="T7303" t="s">
        <v>42692</v>
      </c>
      <c r="U7303" t="s">
        <v>49235</v>
      </c>
      <c r="W7303" t="s">
        <v>38202</v>
      </c>
      <c r="X7303" t="s">
        <v>41258</v>
      </c>
    </row>
    <row r="7304" spans="1:24">
      <c r="A7304">
        <f>HYPERLINK("https://www.philgeps.gov.ph/GEPSNONPILOT/Tender/SplashBidNoticeAbstractUI.aspx?menuIndex=3&amp;refID=7069627&amp;Result=3","7069627")</f>
        <v>0</v>
      </c>
      <c r="B7304" t="s">
        <v>1722</v>
      </c>
      <c r="C7304" t="s">
        <v>10350</v>
      </c>
      <c r="D7304" t="s">
        <v>16660</v>
      </c>
      <c r="E7304" t="s">
        <v>23115</v>
      </c>
      <c r="F7304" t="s">
        <v>28669</v>
      </c>
      <c r="G7304" t="s">
        <v>28677</v>
      </c>
      <c r="H7304" t="s">
        <v>9998</v>
      </c>
      <c r="I7304" t="s">
        <v>7352</v>
      </c>
      <c r="J7304" t="s">
        <v>29664</v>
      </c>
      <c r="K7304" t="s">
        <v>37266</v>
      </c>
      <c r="M7304" t="s">
        <v>39321</v>
      </c>
      <c r="N7304" t="s">
        <v>41249</v>
      </c>
      <c r="O7304" t="s">
        <v>41250</v>
      </c>
      <c r="P7304">
        <v>0</v>
      </c>
      <c r="Q7304">
        <v>4</v>
      </c>
      <c r="R7304" t="s">
        <v>41257</v>
      </c>
      <c r="S7304" t="s">
        <v>41461</v>
      </c>
      <c r="T7304" t="s">
        <v>42883</v>
      </c>
      <c r="U7304" t="s">
        <v>49236</v>
      </c>
      <c r="W7304" t="s">
        <v>39321</v>
      </c>
      <c r="X7304" t="s">
        <v>41258</v>
      </c>
    </row>
    <row r="7305" spans="1:24">
      <c r="A7305">
        <f>HYPERLINK("https://www.philgeps.gov.ph/GEPSNONPILOT/Tender/SplashBidNoticeAbstractUI.aspx?menuIndex=3&amp;refID=7069638&amp;Result=3","7069638")</f>
        <v>0</v>
      </c>
      <c r="B7305" t="s">
        <v>1828</v>
      </c>
      <c r="C7305" t="s">
        <v>10351</v>
      </c>
      <c r="E7305" t="s">
        <v>23116</v>
      </c>
      <c r="F7305" t="s">
        <v>28669</v>
      </c>
      <c r="G7305" t="s">
        <v>28675</v>
      </c>
      <c r="H7305" t="s">
        <v>28686</v>
      </c>
      <c r="I7305" t="s">
        <v>28689</v>
      </c>
      <c r="J7305" t="s">
        <v>33406</v>
      </c>
      <c r="K7305" t="s">
        <v>37211</v>
      </c>
      <c r="M7305" t="s">
        <v>39441</v>
      </c>
      <c r="N7305" t="s">
        <v>41249</v>
      </c>
      <c r="O7305" t="s">
        <v>41250</v>
      </c>
      <c r="P7305">
        <v>0</v>
      </c>
      <c r="Q7305">
        <v>0</v>
      </c>
      <c r="R7305" t="s">
        <v>41257</v>
      </c>
      <c r="S7305" t="s">
        <v>41461</v>
      </c>
      <c r="T7305" t="s">
        <v>42667</v>
      </c>
      <c r="U7305" t="s">
        <v>49237</v>
      </c>
      <c r="W7305" t="s">
        <v>39441</v>
      </c>
      <c r="X7305" t="s">
        <v>41258</v>
      </c>
    </row>
    <row r="7306" spans="1:24">
      <c r="A7306">
        <f>HYPERLINK("https://www.philgeps.gov.ph/GEPSNONPILOT/Tender/SplashBidNoticeAbstractUI.aspx?menuIndex=3&amp;refID=7069626&amp;Result=3","7069626")</f>
        <v>0</v>
      </c>
      <c r="B7306" t="s">
        <v>2327</v>
      </c>
      <c r="C7306" t="s">
        <v>10305</v>
      </c>
      <c r="D7306" t="s">
        <v>16677</v>
      </c>
      <c r="E7306" t="s">
        <v>23117</v>
      </c>
      <c r="F7306" t="s">
        <v>28669</v>
      </c>
      <c r="G7306" t="s">
        <v>28675</v>
      </c>
      <c r="H7306" t="s">
        <v>9998</v>
      </c>
      <c r="I7306" t="s">
        <v>5286</v>
      </c>
      <c r="J7306" t="s">
        <v>28879</v>
      </c>
      <c r="K7306" t="s">
        <v>37209</v>
      </c>
      <c r="M7306" t="s">
        <v>39988</v>
      </c>
      <c r="N7306" t="s">
        <v>41249</v>
      </c>
      <c r="O7306" t="s">
        <v>41250</v>
      </c>
      <c r="P7306">
        <v>0</v>
      </c>
      <c r="Q7306">
        <v>1</v>
      </c>
      <c r="R7306" t="s">
        <v>41257</v>
      </c>
      <c r="S7306" t="s">
        <v>41461</v>
      </c>
      <c r="T7306" t="s">
        <v>42743</v>
      </c>
      <c r="U7306" t="s">
        <v>49188</v>
      </c>
      <c r="W7306" t="s">
        <v>39988</v>
      </c>
      <c r="X7306" t="s">
        <v>41258</v>
      </c>
    </row>
    <row r="7307" spans="1:24">
      <c r="A7307">
        <f>HYPERLINK("https://www.philgeps.gov.ph/GEPSNONPILOT/Tender/SplashBidNoticeAbstractUI.aspx?menuIndex=3&amp;refID=7069610&amp;Result=3","7069610")</f>
        <v>0</v>
      </c>
      <c r="B7307" t="s">
        <v>2337</v>
      </c>
      <c r="C7307" t="s">
        <v>10352</v>
      </c>
      <c r="D7307" t="s">
        <v>16683</v>
      </c>
      <c r="E7307" t="s">
        <v>23118</v>
      </c>
      <c r="F7307" t="s">
        <v>28669</v>
      </c>
      <c r="G7307" t="s">
        <v>28675</v>
      </c>
      <c r="H7307" t="s">
        <v>9998</v>
      </c>
      <c r="I7307" t="s">
        <v>3718</v>
      </c>
      <c r="J7307" t="s">
        <v>29564</v>
      </c>
      <c r="K7307" t="s">
        <v>37205</v>
      </c>
      <c r="M7307" t="s">
        <v>40000</v>
      </c>
      <c r="N7307" t="s">
        <v>41249</v>
      </c>
      <c r="O7307" t="s">
        <v>41250</v>
      </c>
      <c r="P7307">
        <v>0</v>
      </c>
      <c r="Q7307">
        <v>3</v>
      </c>
      <c r="R7307" t="s">
        <v>41257</v>
      </c>
      <c r="S7307" t="s">
        <v>41461</v>
      </c>
      <c r="T7307" t="s">
        <v>42714</v>
      </c>
      <c r="U7307" t="s">
        <v>49238</v>
      </c>
      <c r="W7307" t="s">
        <v>40000</v>
      </c>
      <c r="X7307" t="s">
        <v>41258</v>
      </c>
    </row>
    <row r="7308" spans="1:24">
      <c r="A7308">
        <f>HYPERLINK("https://www.philgeps.gov.ph/GEPSNONPILOT/Tender/SplashBidNoticeAbstractUI.aspx?menuIndex=3&amp;refID=7069607&amp;Result=3","7069607")</f>
        <v>0</v>
      </c>
      <c r="B7308" t="s">
        <v>476</v>
      </c>
      <c r="C7308" t="s">
        <v>10353</v>
      </c>
      <c r="D7308" t="s">
        <v>16615</v>
      </c>
      <c r="E7308" t="s">
        <v>23119</v>
      </c>
      <c r="F7308" t="s">
        <v>28669</v>
      </c>
      <c r="G7308" t="s">
        <v>28675</v>
      </c>
      <c r="H7308" t="s">
        <v>28686</v>
      </c>
      <c r="I7308" t="s">
        <v>28689</v>
      </c>
      <c r="J7308" t="s">
        <v>33407</v>
      </c>
      <c r="K7308" t="s">
        <v>37222</v>
      </c>
      <c r="M7308" t="s">
        <v>37964</v>
      </c>
      <c r="N7308" t="s">
        <v>41249</v>
      </c>
      <c r="O7308" t="s">
        <v>41250</v>
      </c>
      <c r="P7308">
        <v>0</v>
      </c>
      <c r="Q7308">
        <v>15</v>
      </c>
      <c r="R7308" t="s">
        <v>41257</v>
      </c>
      <c r="S7308" t="s">
        <v>41461</v>
      </c>
      <c r="T7308" t="s">
        <v>42719</v>
      </c>
      <c r="U7308" t="s">
        <v>48146</v>
      </c>
      <c r="W7308" t="s">
        <v>37964</v>
      </c>
      <c r="X7308" t="s">
        <v>41258</v>
      </c>
    </row>
    <row r="7309" spans="1:24">
      <c r="A7309">
        <f>HYPERLINK("https://www.philgeps.gov.ph/GEPSNONPILOT/Tender/SplashBidNoticeAbstractUI.aspx?menuIndex=3&amp;refID=7069634&amp;Result=3","7069634")</f>
        <v>0</v>
      </c>
      <c r="B7309" t="s">
        <v>1606</v>
      </c>
      <c r="C7309" t="s">
        <v>10354</v>
      </c>
      <c r="E7309" t="s">
        <v>23120</v>
      </c>
      <c r="F7309" t="s">
        <v>28669</v>
      </c>
      <c r="G7309" t="s">
        <v>28675</v>
      </c>
      <c r="H7309" t="s">
        <v>9998</v>
      </c>
      <c r="I7309" t="s">
        <v>28713</v>
      </c>
      <c r="J7309" t="s">
        <v>29134</v>
      </c>
      <c r="K7309" t="s">
        <v>37209</v>
      </c>
      <c r="M7309" t="s">
        <v>40003</v>
      </c>
      <c r="N7309" t="s">
        <v>41249</v>
      </c>
      <c r="O7309" t="s">
        <v>41250</v>
      </c>
      <c r="P7309">
        <v>0</v>
      </c>
      <c r="Q7309">
        <v>6</v>
      </c>
      <c r="R7309" t="s">
        <v>41257</v>
      </c>
      <c r="S7309" t="s">
        <v>41461</v>
      </c>
      <c r="T7309" t="s">
        <v>42808</v>
      </c>
      <c r="U7309" t="s">
        <v>49239</v>
      </c>
      <c r="W7309" t="s">
        <v>40003</v>
      </c>
      <c r="X7309" t="s">
        <v>41258</v>
      </c>
    </row>
    <row r="7310" spans="1:24">
      <c r="A7310">
        <f>HYPERLINK("https://www.philgeps.gov.ph/GEPSNONPILOT/Tender/SplashBidNoticeAbstractUI.aspx?menuIndex=3&amp;refID=7069605&amp;Result=3","7069605")</f>
        <v>0</v>
      </c>
      <c r="B7310" t="s">
        <v>2327</v>
      </c>
      <c r="C7310" t="s">
        <v>10305</v>
      </c>
      <c r="D7310" t="s">
        <v>16677</v>
      </c>
      <c r="E7310" t="s">
        <v>23121</v>
      </c>
      <c r="F7310" t="s">
        <v>28669</v>
      </c>
      <c r="G7310" t="s">
        <v>28675</v>
      </c>
      <c r="H7310" t="s">
        <v>9998</v>
      </c>
      <c r="I7310" t="s">
        <v>5033</v>
      </c>
      <c r="J7310" t="s">
        <v>28854</v>
      </c>
      <c r="K7310" t="s">
        <v>37209</v>
      </c>
      <c r="M7310" t="s">
        <v>39988</v>
      </c>
      <c r="N7310" t="s">
        <v>41249</v>
      </c>
      <c r="O7310" t="s">
        <v>41250</v>
      </c>
      <c r="P7310">
        <v>0</v>
      </c>
      <c r="Q7310">
        <v>2</v>
      </c>
      <c r="R7310" t="s">
        <v>41257</v>
      </c>
      <c r="S7310" t="s">
        <v>41461</v>
      </c>
      <c r="T7310" t="s">
        <v>42743</v>
      </c>
      <c r="U7310" t="s">
        <v>49188</v>
      </c>
      <c r="W7310" t="s">
        <v>39988</v>
      </c>
      <c r="X7310" t="s">
        <v>41258</v>
      </c>
    </row>
    <row r="7311" spans="1:24">
      <c r="A7311">
        <f>HYPERLINK("https://www.philgeps.gov.ph/GEPSNONPILOT/Tender/SplashBidNoticeAbstractUI.aspx?menuIndex=3&amp;refID=7069603&amp;Result=3","7069603")</f>
        <v>0</v>
      </c>
      <c r="B7311" t="s">
        <v>1180</v>
      </c>
      <c r="C7311" t="s">
        <v>10355</v>
      </c>
      <c r="D7311" t="s">
        <v>16625</v>
      </c>
      <c r="E7311" t="s">
        <v>19307</v>
      </c>
      <c r="F7311" t="s">
        <v>28669</v>
      </c>
      <c r="G7311" t="s">
        <v>28677</v>
      </c>
      <c r="H7311" t="s">
        <v>9998</v>
      </c>
      <c r="I7311" t="s">
        <v>8667</v>
      </c>
      <c r="J7311" t="s">
        <v>33408</v>
      </c>
      <c r="K7311" t="s">
        <v>37205</v>
      </c>
      <c r="M7311" t="s">
        <v>38720</v>
      </c>
      <c r="N7311" t="s">
        <v>41249</v>
      </c>
      <c r="O7311" t="s">
        <v>41250</v>
      </c>
      <c r="P7311">
        <v>0</v>
      </c>
      <c r="Q7311">
        <v>0</v>
      </c>
      <c r="R7311" t="s">
        <v>41257</v>
      </c>
      <c r="S7311" t="s">
        <v>41461</v>
      </c>
      <c r="T7311" t="s">
        <v>42736</v>
      </c>
      <c r="U7311" t="s">
        <v>49240</v>
      </c>
      <c r="W7311" t="s">
        <v>38720</v>
      </c>
      <c r="X7311" t="s">
        <v>41258</v>
      </c>
    </row>
    <row r="7312" spans="1:24">
      <c r="A7312">
        <f>HYPERLINK("https://www.philgeps.gov.ph/GEPSNONPILOT/Tender/SplashBidNoticeAbstractUI.aspx?menuIndex=3&amp;refID=7069628&amp;Result=3","7069628")</f>
        <v>0</v>
      </c>
      <c r="B7312" t="s">
        <v>1562</v>
      </c>
      <c r="C7312" t="s">
        <v>10356</v>
      </c>
      <c r="D7312" t="s">
        <v>16671</v>
      </c>
      <c r="E7312" t="s">
        <v>23122</v>
      </c>
      <c r="F7312" t="s">
        <v>28669</v>
      </c>
      <c r="G7312" t="s">
        <v>28676</v>
      </c>
      <c r="H7312" t="s">
        <v>9998</v>
      </c>
      <c r="I7312" t="s">
        <v>5213</v>
      </c>
      <c r="J7312" t="s">
        <v>28879</v>
      </c>
      <c r="K7312" t="s">
        <v>37205</v>
      </c>
      <c r="M7312" t="s">
        <v>39139</v>
      </c>
      <c r="N7312" t="s">
        <v>41249</v>
      </c>
      <c r="O7312" t="s">
        <v>41250</v>
      </c>
      <c r="P7312">
        <v>0</v>
      </c>
      <c r="Q7312">
        <v>0</v>
      </c>
      <c r="R7312" t="s">
        <v>41257</v>
      </c>
      <c r="S7312" t="s">
        <v>41461</v>
      </c>
      <c r="T7312" t="s">
        <v>42802</v>
      </c>
      <c r="U7312" t="s">
        <v>49241</v>
      </c>
      <c r="W7312" t="s">
        <v>39139</v>
      </c>
      <c r="X7312" t="s">
        <v>41258</v>
      </c>
    </row>
    <row r="7313" spans="1:24">
      <c r="A7313">
        <f>HYPERLINK("https://www.philgeps.gov.ph/GEPSNONPILOT/Tender/SplashBidNoticeAbstractUI.aspx?menuIndex=3&amp;refID=7069601&amp;Result=3","7069601")</f>
        <v>0</v>
      </c>
      <c r="B7313" t="s">
        <v>2328</v>
      </c>
      <c r="C7313" t="s">
        <v>5192</v>
      </c>
      <c r="D7313" t="s">
        <v>16657</v>
      </c>
      <c r="E7313" t="s">
        <v>23123</v>
      </c>
      <c r="F7313" t="s">
        <v>28669</v>
      </c>
      <c r="G7313" t="s">
        <v>28675</v>
      </c>
      <c r="H7313" t="s">
        <v>28686</v>
      </c>
      <c r="I7313" t="s">
        <v>28689</v>
      </c>
      <c r="J7313" t="s">
        <v>33376</v>
      </c>
      <c r="K7313" t="s">
        <v>37209</v>
      </c>
      <c r="M7313" t="s">
        <v>39989</v>
      </c>
      <c r="N7313" t="s">
        <v>41249</v>
      </c>
      <c r="O7313" t="s">
        <v>41250</v>
      </c>
      <c r="Q7313">
        <v>1</v>
      </c>
      <c r="R7313" t="s">
        <v>41257</v>
      </c>
      <c r="S7313" t="s">
        <v>41495</v>
      </c>
      <c r="T7313" t="s">
        <v>42701</v>
      </c>
      <c r="U7313" t="s">
        <v>49242</v>
      </c>
      <c r="V7313" t="s">
        <v>54557</v>
      </c>
      <c r="W7313" t="s">
        <v>39989</v>
      </c>
      <c r="X7313" t="s">
        <v>41258</v>
      </c>
    </row>
    <row r="7314" spans="1:24">
      <c r="A7314">
        <f>HYPERLINK("https://www.philgeps.gov.ph/GEPSNONPILOT/Tender/SplashBidNoticeAbstractUI.aspx?menuIndex=3&amp;refID=7069554&amp;Result=3","7069554")</f>
        <v>0</v>
      </c>
      <c r="B7314" t="s">
        <v>2339</v>
      </c>
      <c r="C7314" t="s">
        <v>10357</v>
      </c>
      <c r="D7314" t="s">
        <v>16677</v>
      </c>
      <c r="E7314" t="s">
        <v>16807</v>
      </c>
      <c r="F7314" t="s">
        <v>28671</v>
      </c>
      <c r="G7314" t="s">
        <v>28677</v>
      </c>
      <c r="H7314" t="s">
        <v>9998</v>
      </c>
      <c r="I7314" t="s">
        <v>28697</v>
      </c>
      <c r="J7314" t="s">
        <v>29040</v>
      </c>
      <c r="K7314" t="s">
        <v>37205</v>
      </c>
      <c r="M7314" t="s">
        <v>40004</v>
      </c>
      <c r="N7314" t="s">
        <v>41249</v>
      </c>
      <c r="O7314" t="s">
        <v>41250</v>
      </c>
      <c r="P7314">
        <v>0</v>
      </c>
      <c r="Q7314">
        <v>16</v>
      </c>
      <c r="R7314" t="s">
        <v>41257</v>
      </c>
      <c r="S7314" t="s">
        <v>41461</v>
      </c>
      <c r="T7314" t="s">
        <v>42767</v>
      </c>
      <c r="U7314" t="s">
        <v>49243</v>
      </c>
      <c r="W7314" t="s">
        <v>40004</v>
      </c>
      <c r="X7314" t="s">
        <v>41258</v>
      </c>
    </row>
    <row r="7315" spans="1:24">
      <c r="A7315">
        <f>HYPERLINK("https://www.philgeps.gov.ph/GEPSNONPILOT/Tender/SplashBidNoticeAbstractUI.aspx?menuIndex=3&amp;refID=7069643&amp;Result=3","7069643")</f>
        <v>0</v>
      </c>
      <c r="B7315" t="s">
        <v>369</v>
      </c>
      <c r="C7315" t="s">
        <v>10358</v>
      </c>
      <c r="D7315" t="s">
        <v>16619</v>
      </c>
      <c r="E7315" t="s">
        <v>23124</v>
      </c>
      <c r="F7315" t="s">
        <v>28669</v>
      </c>
      <c r="G7315" t="s">
        <v>28676</v>
      </c>
      <c r="H7315" t="s">
        <v>9998</v>
      </c>
      <c r="I7315" t="s">
        <v>28782</v>
      </c>
      <c r="J7315" t="s">
        <v>33409</v>
      </c>
      <c r="K7315" t="s">
        <v>37204</v>
      </c>
      <c r="M7315" t="s">
        <v>39543</v>
      </c>
      <c r="N7315" t="s">
        <v>41249</v>
      </c>
      <c r="O7315" t="s">
        <v>41250</v>
      </c>
      <c r="Q7315">
        <v>5</v>
      </c>
      <c r="R7315" t="s">
        <v>41257</v>
      </c>
      <c r="S7315" t="s">
        <v>41496</v>
      </c>
      <c r="T7315" t="s">
        <v>42727</v>
      </c>
      <c r="U7315" t="s">
        <v>49244</v>
      </c>
      <c r="V7315" t="s">
        <v>54885</v>
      </c>
      <c r="W7315" t="s">
        <v>39543</v>
      </c>
      <c r="X7315" t="s">
        <v>41258</v>
      </c>
    </row>
    <row r="7316" spans="1:24">
      <c r="A7316">
        <f>HYPERLINK("https://www.philgeps.gov.ph/GEPSNONPILOT/Tender/SplashBidNoticeAbstractUI.aspx?menuIndex=3&amp;refID=7069543&amp;Result=3","7069543")</f>
        <v>0</v>
      </c>
      <c r="B7316" t="s">
        <v>2340</v>
      </c>
      <c r="C7316" t="s">
        <v>10359</v>
      </c>
      <c r="D7316" t="s">
        <v>16671</v>
      </c>
      <c r="E7316" t="s">
        <v>23125</v>
      </c>
      <c r="F7316" t="s">
        <v>28671</v>
      </c>
      <c r="G7316" t="s">
        <v>28676</v>
      </c>
      <c r="H7316" t="s">
        <v>9998</v>
      </c>
      <c r="I7316" t="s">
        <v>28734</v>
      </c>
      <c r="J7316" t="s">
        <v>29809</v>
      </c>
      <c r="K7316" t="s">
        <v>37205</v>
      </c>
      <c r="M7316" t="s">
        <v>40005</v>
      </c>
      <c r="N7316" t="s">
        <v>41249</v>
      </c>
      <c r="O7316" t="s">
        <v>41250</v>
      </c>
      <c r="P7316">
        <v>0</v>
      </c>
      <c r="Q7316">
        <v>5</v>
      </c>
      <c r="R7316" t="s">
        <v>41257</v>
      </c>
      <c r="S7316" t="s">
        <v>41461</v>
      </c>
      <c r="T7316" t="s">
        <v>42754</v>
      </c>
      <c r="U7316" t="s">
        <v>49245</v>
      </c>
      <c r="W7316" t="s">
        <v>40005</v>
      </c>
      <c r="X7316" t="s">
        <v>41258</v>
      </c>
    </row>
    <row r="7317" spans="1:24">
      <c r="A7317">
        <f>HYPERLINK("https://www.philgeps.gov.ph/GEPSNONPILOT/Tender/SplashBidNoticeAbstractUI.aspx?menuIndex=3&amp;refID=7069616&amp;Result=3","7069616")</f>
        <v>0</v>
      </c>
      <c r="B7317" t="s">
        <v>2263</v>
      </c>
      <c r="C7317" t="s">
        <v>10360</v>
      </c>
      <c r="D7317" t="s">
        <v>16663</v>
      </c>
      <c r="E7317" t="s">
        <v>23126</v>
      </c>
      <c r="F7317" t="s">
        <v>28669</v>
      </c>
      <c r="G7317" t="s">
        <v>28676</v>
      </c>
      <c r="H7317" t="s">
        <v>9998</v>
      </c>
      <c r="I7317" t="s">
        <v>28706</v>
      </c>
      <c r="J7317" t="s">
        <v>29092</v>
      </c>
      <c r="K7317" t="s">
        <v>37206</v>
      </c>
      <c r="M7317" t="s">
        <v>39918</v>
      </c>
      <c r="N7317" t="s">
        <v>41249</v>
      </c>
      <c r="O7317" t="s">
        <v>41250</v>
      </c>
      <c r="P7317">
        <v>0</v>
      </c>
      <c r="Q7317">
        <v>1</v>
      </c>
      <c r="R7317" t="s">
        <v>41257</v>
      </c>
      <c r="S7317" t="s">
        <v>41461</v>
      </c>
      <c r="T7317" t="s">
        <v>42767</v>
      </c>
      <c r="U7317" t="s">
        <v>49246</v>
      </c>
      <c r="W7317" t="s">
        <v>39918</v>
      </c>
      <c r="X7317" t="s">
        <v>41258</v>
      </c>
    </row>
    <row r="7318" spans="1:24">
      <c r="A7318">
        <f>HYPERLINK("https://www.philgeps.gov.ph/GEPSNONPILOT/Tender/SplashBidNoticeAbstractUI.aspx?menuIndex=3&amp;refID=7069670&amp;Result=3","7069670")</f>
        <v>0</v>
      </c>
      <c r="B7318" t="s">
        <v>2341</v>
      </c>
      <c r="C7318" t="s">
        <v>10361</v>
      </c>
      <c r="D7318" t="s">
        <v>16631</v>
      </c>
      <c r="E7318" t="s">
        <v>23127</v>
      </c>
      <c r="F7318" t="s">
        <v>28669</v>
      </c>
      <c r="G7318" t="s">
        <v>28678</v>
      </c>
      <c r="H7318" t="s">
        <v>9998</v>
      </c>
      <c r="I7318" t="s">
        <v>28708</v>
      </c>
      <c r="J7318" t="s">
        <v>29088</v>
      </c>
      <c r="K7318" t="s">
        <v>37209</v>
      </c>
      <c r="M7318" t="s">
        <v>40006</v>
      </c>
      <c r="N7318" t="s">
        <v>41249</v>
      </c>
      <c r="O7318" t="s">
        <v>41250</v>
      </c>
      <c r="P7318">
        <v>0</v>
      </c>
      <c r="Q7318">
        <v>2</v>
      </c>
      <c r="R7318" t="s">
        <v>41257</v>
      </c>
      <c r="S7318" t="s">
        <v>41461</v>
      </c>
      <c r="T7318" t="s">
        <v>43037</v>
      </c>
      <c r="U7318" t="s">
        <v>49247</v>
      </c>
      <c r="W7318" t="s">
        <v>40006</v>
      </c>
      <c r="X7318" t="s">
        <v>41258</v>
      </c>
    </row>
    <row r="7319" spans="1:24">
      <c r="A7319">
        <f>HYPERLINK("https://www.philgeps.gov.ph/GEPSNONPILOT/Tender/SplashBidNoticeAbstractUI.aspx?menuIndex=3&amp;refID=7069646&amp;Result=3","7069646")</f>
        <v>0</v>
      </c>
      <c r="B7319" t="s">
        <v>2263</v>
      </c>
      <c r="C7319" t="s">
        <v>10362</v>
      </c>
      <c r="D7319" t="s">
        <v>16663</v>
      </c>
      <c r="E7319" t="s">
        <v>23128</v>
      </c>
      <c r="F7319" t="s">
        <v>28669</v>
      </c>
      <c r="G7319" t="s">
        <v>28676</v>
      </c>
      <c r="H7319" t="s">
        <v>9998</v>
      </c>
      <c r="I7319" t="s">
        <v>3718</v>
      </c>
      <c r="J7319" t="s">
        <v>29902</v>
      </c>
      <c r="K7319" t="s">
        <v>37206</v>
      </c>
      <c r="M7319" t="s">
        <v>39918</v>
      </c>
      <c r="N7319" t="s">
        <v>41249</v>
      </c>
      <c r="O7319" t="s">
        <v>41250</v>
      </c>
      <c r="P7319">
        <v>0</v>
      </c>
      <c r="Q7319">
        <v>0</v>
      </c>
      <c r="R7319" t="s">
        <v>41257</v>
      </c>
      <c r="S7319" t="s">
        <v>41461</v>
      </c>
      <c r="T7319" t="s">
        <v>42767</v>
      </c>
      <c r="U7319" t="s">
        <v>49248</v>
      </c>
      <c r="W7319" t="s">
        <v>39918</v>
      </c>
      <c r="X7319" t="s">
        <v>41258</v>
      </c>
    </row>
    <row r="7320" spans="1:24">
      <c r="A7320">
        <f>HYPERLINK("https://www.philgeps.gov.ph/GEPSNONPILOT/Tender/SplashBidNoticeAbstractUI.aspx?menuIndex=3&amp;refID=7069556&amp;Result=3","7069556")</f>
        <v>0</v>
      </c>
      <c r="B7320" t="s">
        <v>1327</v>
      </c>
      <c r="C7320" t="s">
        <v>10363</v>
      </c>
      <c r="D7320" t="s">
        <v>16627</v>
      </c>
      <c r="E7320" t="s">
        <v>23129</v>
      </c>
      <c r="F7320" t="s">
        <v>28669</v>
      </c>
      <c r="G7320" t="s">
        <v>28675</v>
      </c>
      <c r="H7320" t="s">
        <v>9998</v>
      </c>
      <c r="I7320" t="s">
        <v>28707</v>
      </c>
      <c r="J7320" t="s">
        <v>33410</v>
      </c>
      <c r="K7320" t="s">
        <v>37213</v>
      </c>
      <c r="M7320" t="s">
        <v>38880</v>
      </c>
      <c r="N7320" t="s">
        <v>41249</v>
      </c>
      <c r="O7320" t="s">
        <v>41250</v>
      </c>
      <c r="P7320">
        <v>0</v>
      </c>
      <c r="Q7320">
        <v>4</v>
      </c>
      <c r="R7320" t="s">
        <v>41257</v>
      </c>
      <c r="S7320" t="s">
        <v>41461</v>
      </c>
      <c r="T7320" t="s">
        <v>42715</v>
      </c>
      <c r="U7320" t="s">
        <v>49249</v>
      </c>
      <c r="W7320" t="s">
        <v>38880</v>
      </c>
      <c r="X7320" t="s">
        <v>41258</v>
      </c>
    </row>
    <row r="7321" spans="1:24">
      <c r="A7321">
        <f>HYPERLINK("https://www.philgeps.gov.ph/GEPSNONPILOT/Tender/SplashBidNoticeAbstractUI.aspx?menuIndex=3&amp;refID=7069361&amp;Result=3","7069361")</f>
        <v>0</v>
      </c>
      <c r="B7321" t="s">
        <v>2342</v>
      </c>
      <c r="C7321" t="s">
        <v>10364</v>
      </c>
      <c r="D7321" t="s">
        <v>16663</v>
      </c>
      <c r="E7321" t="s">
        <v>23130</v>
      </c>
      <c r="F7321" t="s">
        <v>28669</v>
      </c>
      <c r="G7321" t="s">
        <v>28675</v>
      </c>
      <c r="H7321" t="s">
        <v>9998</v>
      </c>
      <c r="I7321" t="s">
        <v>28696</v>
      </c>
      <c r="J7321" t="s">
        <v>29141</v>
      </c>
      <c r="K7321" t="s">
        <v>37206</v>
      </c>
      <c r="M7321" t="s">
        <v>40007</v>
      </c>
      <c r="N7321" t="s">
        <v>41249</v>
      </c>
      <c r="O7321" t="s">
        <v>41250</v>
      </c>
      <c r="P7321">
        <v>0</v>
      </c>
      <c r="Q7321">
        <v>1</v>
      </c>
      <c r="R7321" t="s">
        <v>41257</v>
      </c>
      <c r="S7321" t="s">
        <v>41461</v>
      </c>
      <c r="T7321" t="s">
        <v>42696</v>
      </c>
      <c r="U7321" t="s">
        <v>49250</v>
      </c>
      <c r="W7321" t="s">
        <v>40007</v>
      </c>
      <c r="X7321" t="s">
        <v>41258</v>
      </c>
    </row>
    <row r="7322" spans="1:24">
      <c r="A7322">
        <f>HYPERLINK("https://www.philgeps.gov.ph/GEPSNONPILOT/Tender/SplashBidNoticeAbstractUI.aspx?menuIndex=3&amp;refID=7069712&amp;Result=3","7069712")</f>
        <v>0</v>
      </c>
      <c r="B7322" t="s">
        <v>2263</v>
      </c>
      <c r="C7322" t="s">
        <v>10365</v>
      </c>
      <c r="D7322" t="s">
        <v>16663</v>
      </c>
      <c r="E7322" t="s">
        <v>23131</v>
      </c>
      <c r="F7322" t="s">
        <v>28669</v>
      </c>
      <c r="G7322" t="s">
        <v>28676</v>
      </c>
      <c r="H7322" t="s">
        <v>9998</v>
      </c>
      <c r="I7322" t="s">
        <v>5213</v>
      </c>
      <c r="J7322" t="s">
        <v>29280</v>
      </c>
      <c r="K7322" t="s">
        <v>37206</v>
      </c>
      <c r="M7322" t="s">
        <v>39918</v>
      </c>
      <c r="N7322" t="s">
        <v>41249</v>
      </c>
      <c r="O7322" t="s">
        <v>41250</v>
      </c>
      <c r="P7322">
        <v>0</v>
      </c>
      <c r="Q7322">
        <v>0</v>
      </c>
      <c r="R7322" t="s">
        <v>41257</v>
      </c>
      <c r="S7322" t="s">
        <v>41461</v>
      </c>
      <c r="T7322" t="s">
        <v>42767</v>
      </c>
      <c r="U7322" t="s">
        <v>49251</v>
      </c>
      <c r="W7322" t="s">
        <v>39918</v>
      </c>
      <c r="X7322" t="s">
        <v>41258</v>
      </c>
    </row>
    <row r="7323" spans="1:24">
      <c r="A7323">
        <f>HYPERLINK("https://www.philgeps.gov.ph/GEPSNONPILOT/Tender/SplashBidNoticeAbstractUI.aspx?menuIndex=3&amp;refID=7069708&amp;Result=3","7069708")</f>
        <v>0</v>
      </c>
      <c r="B7323" t="s">
        <v>157</v>
      </c>
      <c r="C7323" t="s">
        <v>10366</v>
      </c>
      <c r="D7323" t="s">
        <v>16664</v>
      </c>
      <c r="E7323" t="s">
        <v>17155</v>
      </c>
      <c r="F7323" t="s">
        <v>28669</v>
      </c>
      <c r="G7323" t="s">
        <v>28676</v>
      </c>
      <c r="H7323" t="s">
        <v>9998</v>
      </c>
      <c r="I7323" t="s">
        <v>28723</v>
      </c>
      <c r="J7323" t="s">
        <v>33411</v>
      </c>
      <c r="K7323" t="s">
        <v>37227</v>
      </c>
      <c r="M7323" t="s">
        <v>37634</v>
      </c>
      <c r="N7323" t="s">
        <v>41249</v>
      </c>
      <c r="O7323" t="s">
        <v>41250</v>
      </c>
      <c r="P7323">
        <v>0</v>
      </c>
      <c r="Q7323">
        <v>0</v>
      </c>
      <c r="R7323" t="s">
        <v>41257</v>
      </c>
      <c r="S7323" t="s">
        <v>41461</v>
      </c>
      <c r="T7323" t="s">
        <v>42811</v>
      </c>
      <c r="U7323" t="s">
        <v>49252</v>
      </c>
      <c r="W7323" t="s">
        <v>37634</v>
      </c>
      <c r="X7323" t="s">
        <v>41258</v>
      </c>
    </row>
    <row r="7324" spans="1:24">
      <c r="A7324">
        <f>HYPERLINK("https://www.philgeps.gov.ph/GEPSNONPILOT/Tender/SplashBidNoticeAbstractUI.aspx?menuIndex=3&amp;refID=7069548&amp;Result=3","7069548")</f>
        <v>0</v>
      </c>
      <c r="B7324" t="s">
        <v>1828</v>
      </c>
      <c r="C7324" t="s">
        <v>10367</v>
      </c>
      <c r="E7324" t="s">
        <v>23132</v>
      </c>
      <c r="F7324" t="s">
        <v>28669</v>
      </c>
      <c r="G7324" t="s">
        <v>28675</v>
      </c>
      <c r="H7324" t="s">
        <v>28686</v>
      </c>
      <c r="I7324" t="s">
        <v>28689</v>
      </c>
      <c r="J7324" t="s">
        <v>33412</v>
      </c>
      <c r="K7324" t="s">
        <v>37215</v>
      </c>
      <c r="M7324" t="s">
        <v>39441</v>
      </c>
      <c r="N7324" t="s">
        <v>41249</v>
      </c>
      <c r="O7324" t="s">
        <v>41250</v>
      </c>
      <c r="P7324">
        <v>0</v>
      </c>
      <c r="Q7324">
        <v>0</v>
      </c>
      <c r="R7324" t="s">
        <v>41257</v>
      </c>
      <c r="S7324" t="s">
        <v>41461</v>
      </c>
      <c r="T7324" t="s">
        <v>42667</v>
      </c>
      <c r="U7324" t="s">
        <v>49253</v>
      </c>
      <c r="W7324" t="s">
        <v>39441</v>
      </c>
      <c r="X7324" t="s">
        <v>41258</v>
      </c>
    </row>
    <row r="7325" spans="1:24">
      <c r="A7325">
        <f>HYPERLINK("https://www.philgeps.gov.ph/GEPSNONPILOT/Tender/SplashBidNoticeAbstractUI.aspx?menuIndex=3&amp;refID=7069705&amp;Result=3","7069705")</f>
        <v>0</v>
      </c>
      <c r="B7325" t="s">
        <v>2208</v>
      </c>
      <c r="C7325" t="s">
        <v>10368</v>
      </c>
      <c r="D7325" t="s">
        <v>16657</v>
      </c>
      <c r="E7325" t="s">
        <v>23133</v>
      </c>
      <c r="F7325" t="s">
        <v>28669</v>
      </c>
      <c r="G7325" t="s">
        <v>28676</v>
      </c>
      <c r="H7325" t="s">
        <v>9998</v>
      </c>
      <c r="I7325" t="s">
        <v>28813</v>
      </c>
      <c r="J7325" t="s">
        <v>33413</v>
      </c>
      <c r="K7325" t="s">
        <v>37216</v>
      </c>
      <c r="M7325" t="s">
        <v>39858</v>
      </c>
      <c r="N7325" t="s">
        <v>41249</v>
      </c>
      <c r="O7325" t="s">
        <v>41250</v>
      </c>
      <c r="P7325">
        <v>0</v>
      </c>
      <c r="Q7325">
        <v>3</v>
      </c>
      <c r="R7325" t="s">
        <v>41257</v>
      </c>
      <c r="S7325" t="s">
        <v>41461</v>
      </c>
      <c r="T7325" t="s">
        <v>42811</v>
      </c>
      <c r="U7325" t="s">
        <v>49254</v>
      </c>
      <c r="W7325" t="s">
        <v>39858</v>
      </c>
      <c r="X7325" t="s">
        <v>41258</v>
      </c>
    </row>
    <row r="7326" spans="1:24">
      <c r="A7326">
        <f>HYPERLINK("https://www.philgeps.gov.ph/GEPSNONPILOT/Tender/SplashBidNoticeAbstractUI.aspx?menuIndex=3&amp;refID=7069702&amp;Result=3","7069702")</f>
        <v>0</v>
      </c>
      <c r="B7326" t="s">
        <v>178</v>
      </c>
      <c r="C7326" t="s">
        <v>10369</v>
      </c>
      <c r="E7326" t="s">
        <v>23134</v>
      </c>
      <c r="F7326" t="s">
        <v>28669</v>
      </c>
      <c r="G7326" t="s">
        <v>28676</v>
      </c>
      <c r="H7326" t="s">
        <v>9998</v>
      </c>
      <c r="I7326" t="s">
        <v>28690</v>
      </c>
      <c r="J7326" t="s">
        <v>33414</v>
      </c>
      <c r="K7326" t="s">
        <v>37209</v>
      </c>
      <c r="M7326" t="s">
        <v>40008</v>
      </c>
      <c r="N7326" t="s">
        <v>41249</v>
      </c>
      <c r="O7326" t="s">
        <v>41250</v>
      </c>
      <c r="Q7326">
        <v>15</v>
      </c>
      <c r="R7326" t="s">
        <v>41257</v>
      </c>
      <c r="S7326" t="s">
        <v>41497</v>
      </c>
      <c r="T7326" t="s">
        <v>42883</v>
      </c>
      <c r="U7326" t="s">
        <v>49255</v>
      </c>
      <c r="W7326" t="s">
        <v>40008</v>
      </c>
      <c r="X7326" t="s">
        <v>41258</v>
      </c>
    </row>
    <row r="7327" spans="1:24">
      <c r="A7327">
        <f>HYPERLINK("https://www.philgeps.gov.ph/GEPSNONPILOT/Tender/SplashBidNoticeAbstractUI.aspx?menuIndex=3&amp;refID=7069698&amp;Result=3","7069698")</f>
        <v>0</v>
      </c>
      <c r="B7327" t="s">
        <v>369</v>
      </c>
      <c r="C7327" t="s">
        <v>10370</v>
      </c>
      <c r="D7327" t="s">
        <v>16619</v>
      </c>
      <c r="E7327" t="s">
        <v>23135</v>
      </c>
      <c r="F7327" t="s">
        <v>28669</v>
      </c>
      <c r="G7327" t="s">
        <v>28676</v>
      </c>
      <c r="H7327" t="s">
        <v>9998</v>
      </c>
      <c r="I7327" t="s">
        <v>28714</v>
      </c>
      <c r="J7327" t="s">
        <v>33415</v>
      </c>
      <c r="K7327" t="s">
        <v>37204</v>
      </c>
      <c r="M7327" t="s">
        <v>39543</v>
      </c>
      <c r="N7327" t="s">
        <v>41249</v>
      </c>
      <c r="O7327" t="s">
        <v>41250</v>
      </c>
      <c r="Q7327">
        <v>13</v>
      </c>
      <c r="R7327" t="s">
        <v>41257</v>
      </c>
      <c r="S7327" t="s">
        <v>41498</v>
      </c>
      <c r="T7327" t="s">
        <v>42727</v>
      </c>
      <c r="U7327" t="s">
        <v>49256</v>
      </c>
      <c r="V7327" t="s">
        <v>54885</v>
      </c>
      <c r="W7327" t="s">
        <v>39543</v>
      </c>
      <c r="X7327" t="s">
        <v>41258</v>
      </c>
    </row>
    <row r="7328" spans="1:24">
      <c r="A7328">
        <f>HYPERLINK("https://www.philgeps.gov.ph/GEPSNONPILOT/Tender/SplashBidNoticeAbstractUI.aspx?menuIndex=3&amp;refID=7069695&amp;Result=3","7069695")</f>
        <v>0</v>
      </c>
      <c r="B7328" t="s">
        <v>2343</v>
      </c>
      <c r="C7328" t="s">
        <v>10371</v>
      </c>
      <c r="D7328" t="s">
        <v>16657</v>
      </c>
      <c r="E7328" t="s">
        <v>23136</v>
      </c>
      <c r="F7328" t="s">
        <v>28669</v>
      </c>
      <c r="G7328" t="s">
        <v>28675</v>
      </c>
      <c r="H7328" t="s">
        <v>28686</v>
      </c>
      <c r="I7328" t="s">
        <v>28689</v>
      </c>
      <c r="J7328" t="s">
        <v>28826</v>
      </c>
      <c r="K7328" t="s">
        <v>37209</v>
      </c>
      <c r="M7328" t="s">
        <v>40009</v>
      </c>
      <c r="N7328" t="s">
        <v>41249</v>
      </c>
      <c r="O7328" t="s">
        <v>41250</v>
      </c>
      <c r="P7328">
        <v>0</v>
      </c>
      <c r="Q7328">
        <v>2</v>
      </c>
      <c r="R7328" t="s">
        <v>41257</v>
      </c>
      <c r="S7328" t="s">
        <v>41461</v>
      </c>
      <c r="T7328" t="s">
        <v>42701</v>
      </c>
      <c r="U7328" t="s">
        <v>49257</v>
      </c>
      <c r="V7328" t="s">
        <v>54557</v>
      </c>
      <c r="W7328" t="s">
        <v>40009</v>
      </c>
      <c r="X7328" t="s">
        <v>41258</v>
      </c>
    </row>
    <row r="7329" spans="1:24">
      <c r="A7329">
        <f>HYPERLINK("https://www.philgeps.gov.ph/GEPSNONPILOT/Tender/SplashBidNoticeAbstractUI.aspx?menuIndex=3&amp;refID=7069692&amp;Result=3","7069692")</f>
        <v>0</v>
      </c>
      <c r="B7329" t="s">
        <v>2263</v>
      </c>
      <c r="C7329" t="s">
        <v>10372</v>
      </c>
      <c r="D7329" t="s">
        <v>16663</v>
      </c>
      <c r="E7329" t="s">
        <v>23137</v>
      </c>
      <c r="F7329" t="s">
        <v>28669</v>
      </c>
      <c r="G7329" t="s">
        <v>28676</v>
      </c>
      <c r="H7329" t="s">
        <v>9998</v>
      </c>
      <c r="I7329" t="s">
        <v>28728</v>
      </c>
      <c r="J7329" t="s">
        <v>29712</v>
      </c>
      <c r="K7329" t="s">
        <v>37380</v>
      </c>
      <c r="M7329" t="s">
        <v>39918</v>
      </c>
      <c r="N7329" t="s">
        <v>41249</v>
      </c>
      <c r="O7329" t="s">
        <v>41250</v>
      </c>
      <c r="P7329">
        <v>0</v>
      </c>
      <c r="Q7329">
        <v>0</v>
      </c>
      <c r="R7329" t="s">
        <v>41257</v>
      </c>
      <c r="S7329" t="s">
        <v>41461</v>
      </c>
      <c r="T7329" t="s">
        <v>42767</v>
      </c>
      <c r="U7329" t="s">
        <v>49258</v>
      </c>
      <c r="W7329" t="s">
        <v>39918</v>
      </c>
      <c r="X7329" t="s">
        <v>41258</v>
      </c>
    </row>
    <row r="7330" spans="1:24">
      <c r="A7330">
        <f>HYPERLINK("https://www.philgeps.gov.ph/GEPSNONPILOT/Tender/SplashBidNoticeAbstractUI.aspx?menuIndex=3&amp;refID=7069600&amp;Result=3","7069600")</f>
        <v>0</v>
      </c>
      <c r="B7330" t="s">
        <v>1828</v>
      </c>
      <c r="C7330" t="s">
        <v>10373</v>
      </c>
      <c r="E7330" t="s">
        <v>23138</v>
      </c>
      <c r="F7330" t="s">
        <v>28669</v>
      </c>
      <c r="G7330" t="s">
        <v>28675</v>
      </c>
      <c r="H7330" t="s">
        <v>28686</v>
      </c>
      <c r="I7330" t="s">
        <v>28689</v>
      </c>
      <c r="J7330" t="s">
        <v>33416</v>
      </c>
      <c r="K7330" t="s">
        <v>37212</v>
      </c>
      <c r="M7330" t="s">
        <v>39441</v>
      </c>
      <c r="N7330" t="s">
        <v>41249</v>
      </c>
      <c r="O7330" t="s">
        <v>41250</v>
      </c>
      <c r="P7330">
        <v>0</v>
      </c>
      <c r="Q7330">
        <v>0</v>
      </c>
      <c r="R7330" t="s">
        <v>41257</v>
      </c>
      <c r="S7330" t="s">
        <v>41461</v>
      </c>
      <c r="T7330" t="s">
        <v>42667</v>
      </c>
      <c r="U7330" t="s">
        <v>49259</v>
      </c>
      <c r="W7330" t="s">
        <v>39441</v>
      </c>
      <c r="X7330" t="s">
        <v>41258</v>
      </c>
    </row>
    <row r="7331" spans="1:24">
      <c r="A7331">
        <f>HYPERLINK("https://www.philgeps.gov.ph/GEPSNONPILOT/Tender/SplashBidNoticeAbstractUI.aspx?menuIndex=3&amp;refID=7069687&amp;Result=3","7069687")</f>
        <v>0</v>
      </c>
      <c r="B7331" t="s">
        <v>1990</v>
      </c>
      <c r="C7331" t="s">
        <v>10374</v>
      </c>
      <c r="D7331" t="s">
        <v>16643</v>
      </c>
      <c r="E7331" t="s">
        <v>23139</v>
      </c>
      <c r="F7331" t="s">
        <v>28669</v>
      </c>
      <c r="G7331" t="s">
        <v>28676</v>
      </c>
      <c r="H7331" t="s">
        <v>9998</v>
      </c>
      <c r="I7331" t="s">
        <v>28760</v>
      </c>
      <c r="J7331" t="s">
        <v>29104</v>
      </c>
      <c r="K7331" t="s">
        <v>37205</v>
      </c>
      <c r="M7331" t="s">
        <v>39626</v>
      </c>
      <c r="N7331" t="s">
        <v>41249</v>
      </c>
      <c r="O7331" t="s">
        <v>41250</v>
      </c>
      <c r="P7331">
        <v>0</v>
      </c>
      <c r="Q7331">
        <v>0</v>
      </c>
      <c r="R7331" t="s">
        <v>41257</v>
      </c>
      <c r="S7331" t="s">
        <v>41461</v>
      </c>
      <c r="T7331" t="s">
        <v>42910</v>
      </c>
      <c r="U7331" t="s">
        <v>48075</v>
      </c>
      <c r="W7331" t="s">
        <v>39626</v>
      </c>
      <c r="X7331" t="s">
        <v>41258</v>
      </c>
    </row>
    <row r="7332" spans="1:24">
      <c r="A7332">
        <f>HYPERLINK("https://www.philgeps.gov.ph/GEPSNONPILOT/Tender/SplashBidNoticeAbstractUI.aspx?menuIndex=3&amp;refID=7069683&amp;Result=3","7069683")</f>
        <v>0</v>
      </c>
      <c r="B7332" t="s">
        <v>2208</v>
      </c>
      <c r="C7332" t="s">
        <v>10375</v>
      </c>
      <c r="D7332" t="s">
        <v>16657</v>
      </c>
      <c r="E7332" t="s">
        <v>23140</v>
      </c>
      <c r="F7332" t="s">
        <v>28669</v>
      </c>
      <c r="G7332" t="s">
        <v>28676</v>
      </c>
      <c r="H7332" t="s">
        <v>28686</v>
      </c>
      <c r="I7332" t="s">
        <v>28755</v>
      </c>
      <c r="J7332" t="s">
        <v>33417</v>
      </c>
      <c r="K7332" t="s">
        <v>37213</v>
      </c>
      <c r="M7332" t="s">
        <v>39858</v>
      </c>
      <c r="N7332" t="s">
        <v>41249</v>
      </c>
      <c r="O7332" t="s">
        <v>41250</v>
      </c>
      <c r="P7332">
        <v>0</v>
      </c>
      <c r="Q7332">
        <v>2</v>
      </c>
      <c r="R7332" t="s">
        <v>41257</v>
      </c>
      <c r="S7332" t="s">
        <v>41461</v>
      </c>
      <c r="T7332" t="s">
        <v>42992</v>
      </c>
      <c r="U7332" t="s">
        <v>49260</v>
      </c>
      <c r="W7332" t="s">
        <v>39858</v>
      </c>
      <c r="X7332" t="s">
        <v>41258</v>
      </c>
    </row>
    <row r="7333" spans="1:24">
      <c r="A7333">
        <f>HYPERLINK("https://www.philgeps.gov.ph/GEPSNONPILOT/Tender/SplashBidNoticeAbstractUI.aspx?menuIndex=3&amp;refID=7069700&amp;Result=3","7069700")</f>
        <v>0</v>
      </c>
      <c r="B7333" t="s">
        <v>1828</v>
      </c>
      <c r="C7333" t="s">
        <v>10376</v>
      </c>
      <c r="D7333" t="s">
        <v>16622</v>
      </c>
      <c r="E7333" t="s">
        <v>23141</v>
      </c>
      <c r="F7333" t="s">
        <v>28669</v>
      </c>
      <c r="G7333" t="s">
        <v>28675</v>
      </c>
      <c r="H7333" t="s">
        <v>28686</v>
      </c>
      <c r="I7333" t="s">
        <v>28689</v>
      </c>
      <c r="J7333" t="s">
        <v>33418</v>
      </c>
      <c r="K7333" t="s">
        <v>37381</v>
      </c>
      <c r="M7333" t="s">
        <v>39441</v>
      </c>
      <c r="N7333" t="s">
        <v>41249</v>
      </c>
      <c r="O7333" t="s">
        <v>41250</v>
      </c>
      <c r="P7333">
        <v>0</v>
      </c>
      <c r="Q7333">
        <v>2</v>
      </c>
      <c r="R7333" t="s">
        <v>41257</v>
      </c>
      <c r="S7333" t="s">
        <v>41461</v>
      </c>
      <c r="T7333" t="s">
        <v>42667</v>
      </c>
      <c r="U7333" t="s">
        <v>49261</v>
      </c>
      <c r="W7333" t="s">
        <v>39441</v>
      </c>
      <c r="X7333" t="s">
        <v>41258</v>
      </c>
    </row>
    <row r="7334" spans="1:24">
      <c r="A7334">
        <f>HYPERLINK("https://www.philgeps.gov.ph/GEPSNONPILOT/Tender/SplashBidNoticeAbstractUI.aspx?menuIndex=3&amp;refID=7069674&amp;Result=3","7069674")</f>
        <v>0</v>
      </c>
      <c r="B7334" t="s">
        <v>1327</v>
      </c>
      <c r="C7334" t="s">
        <v>10377</v>
      </c>
      <c r="D7334" t="s">
        <v>16627</v>
      </c>
      <c r="E7334" t="s">
        <v>23142</v>
      </c>
      <c r="F7334" t="s">
        <v>28669</v>
      </c>
      <c r="G7334" t="s">
        <v>28675</v>
      </c>
      <c r="H7334" t="s">
        <v>9998</v>
      </c>
      <c r="I7334" t="s">
        <v>28707</v>
      </c>
      <c r="J7334" t="s">
        <v>33419</v>
      </c>
      <c r="K7334" t="s">
        <v>37213</v>
      </c>
      <c r="M7334" t="s">
        <v>38880</v>
      </c>
      <c r="N7334" t="s">
        <v>41249</v>
      </c>
      <c r="O7334" t="s">
        <v>41250</v>
      </c>
      <c r="P7334">
        <v>0</v>
      </c>
      <c r="Q7334">
        <v>7</v>
      </c>
      <c r="R7334" t="s">
        <v>41257</v>
      </c>
      <c r="S7334" t="s">
        <v>41461</v>
      </c>
      <c r="T7334" t="s">
        <v>42715</v>
      </c>
      <c r="U7334" t="s">
        <v>49262</v>
      </c>
      <c r="W7334" t="s">
        <v>38880</v>
      </c>
      <c r="X7334" t="s">
        <v>41258</v>
      </c>
    </row>
    <row r="7335" spans="1:24">
      <c r="A7335">
        <f>HYPERLINK("https://www.philgeps.gov.ph/GEPSNONPILOT/Tender/SplashBidNoticeAbstractUI.aspx?menuIndex=3&amp;refID=7069671&amp;Result=3","7069671")</f>
        <v>0</v>
      </c>
      <c r="B7335" t="s">
        <v>2344</v>
      </c>
      <c r="C7335" t="s">
        <v>10378</v>
      </c>
      <c r="D7335" t="s">
        <v>16682</v>
      </c>
      <c r="E7335" t="s">
        <v>23143</v>
      </c>
      <c r="F7335" t="s">
        <v>28669</v>
      </c>
      <c r="G7335" t="s">
        <v>28675</v>
      </c>
      <c r="H7335" t="s">
        <v>9998</v>
      </c>
      <c r="I7335" t="s">
        <v>7352</v>
      </c>
      <c r="J7335" t="s">
        <v>33420</v>
      </c>
      <c r="K7335" t="s">
        <v>37206</v>
      </c>
      <c r="M7335" t="s">
        <v>40010</v>
      </c>
      <c r="N7335" t="s">
        <v>41249</v>
      </c>
      <c r="O7335" t="s">
        <v>41250</v>
      </c>
      <c r="P7335">
        <v>0</v>
      </c>
      <c r="Q7335">
        <v>0</v>
      </c>
      <c r="R7335" t="s">
        <v>41257</v>
      </c>
      <c r="S7335" t="s">
        <v>41461</v>
      </c>
      <c r="T7335" t="s">
        <v>42782</v>
      </c>
      <c r="U7335" t="s">
        <v>49263</v>
      </c>
      <c r="W7335" t="s">
        <v>40010</v>
      </c>
      <c r="X7335" t="s">
        <v>41258</v>
      </c>
    </row>
    <row r="7336" spans="1:24">
      <c r="A7336">
        <f>HYPERLINK("https://www.philgeps.gov.ph/GEPSNONPILOT/Tender/SplashBidNoticeAbstractUI.aspx?menuIndex=3&amp;refID=7069688&amp;Result=3","7069688")</f>
        <v>0</v>
      </c>
      <c r="B7336" t="s">
        <v>102</v>
      </c>
      <c r="C7336" t="s">
        <v>10379</v>
      </c>
      <c r="D7336" t="s">
        <v>16631</v>
      </c>
      <c r="E7336" t="s">
        <v>23144</v>
      </c>
      <c r="F7336" t="s">
        <v>28669</v>
      </c>
      <c r="G7336" t="s">
        <v>28675</v>
      </c>
      <c r="H7336" t="s">
        <v>28686</v>
      </c>
      <c r="I7336" t="s">
        <v>28689</v>
      </c>
      <c r="J7336" t="s">
        <v>30304</v>
      </c>
      <c r="K7336" t="s">
        <v>37382</v>
      </c>
      <c r="L7336" t="s">
        <v>102</v>
      </c>
      <c r="M7336" t="s">
        <v>37577</v>
      </c>
      <c r="N7336" t="s">
        <v>41249</v>
      </c>
      <c r="O7336" t="s">
        <v>41250</v>
      </c>
      <c r="P7336">
        <v>0</v>
      </c>
      <c r="Q7336">
        <v>1</v>
      </c>
      <c r="R7336" t="s">
        <v>41257</v>
      </c>
      <c r="S7336" t="s">
        <v>41461</v>
      </c>
      <c r="T7336" t="s">
        <v>42747</v>
      </c>
      <c r="U7336" t="s">
        <v>49264</v>
      </c>
      <c r="V7336" t="s">
        <v>54279</v>
      </c>
      <c r="W7336" t="s">
        <v>37577</v>
      </c>
      <c r="X7336" t="s">
        <v>41258</v>
      </c>
    </row>
    <row r="7337" spans="1:24">
      <c r="A7337">
        <f>HYPERLINK("https://www.philgeps.gov.ph/GEPSNONPILOT/Tender/SplashBidNoticeAbstractUI.aspx?menuIndex=3&amp;refID=7069753&amp;Result=3","7069753")</f>
        <v>0</v>
      </c>
      <c r="B7337" t="s">
        <v>1126</v>
      </c>
      <c r="C7337" t="s">
        <v>10380</v>
      </c>
      <c r="D7337" t="s">
        <v>16630</v>
      </c>
      <c r="E7337" t="s">
        <v>23145</v>
      </c>
      <c r="F7337" t="s">
        <v>28669</v>
      </c>
      <c r="G7337" t="s">
        <v>28675</v>
      </c>
      <c r="H7337" t="s">
        <v>28686</v>
      </c>
      <c r="I7337" t="s">
        <v>28689</v>
      </c>
      <c r="J7337" t="s">
        <v>33421</v>
      </c>
      <c r="K7337" t="s">
        <v>37383</v>
      </c>
      <c r="M7337" t="s">
        <v>38660</v>
      </c>
      <c r="N7337" t="s">
        <v>41249</v>
      </c>
      <c r="O7337" t="s">
        <v>41250</v>
      </c>
      <c r="P7337">
        <v>0</v>
      </c>
      <c r="Q7337">
        <v>0</v>
      </c>
      <c r="R7337" t="s">
        <v>41257</v>
      </c>
      <c r="S7337" t="s">
        <v>41461</v>
      </c>
      <c r="T7337" t="s">
        <v>42796</v>
      </c>
      <c r="U7337" t="s">
        <v>49265</v>
      </c>
      <c r="W7337" t="s">
        <v>38660</v>
      </c>
      <c r="X7337" t="s">
        <v>41258</v>
      </c>
    </row>
    <row r="7338" spans="1:24">
      <c r="A7338">
        <f>HYPERLINK("https://www.philgeps.gov.ph/GEPSNONPILOT/Tender/SplashBidNoticeAbstractUI.aspx?menuIndex=3&amp;refID=7069675&amp;Result=3","7069675")</f>
        <v>0</v>
      </c>
      <c r="B7338" t="s">
        <v>2343</v>
      </c>
      <c r="C7338" t="s">
        <v>5192</v>
      </c>
      <c r="D7338" t="s">
        <v>16657</v>
      </c>
      <c r="E7338" t="s">
        <v>23146</v>
      </c>
      <c r="F7338" t="s">
        <v>28669</v>
      </c>
      <c r="G7338" t="s">
        <v>28675</v>
      </c>
      <c r="H7338" t="s">
        <v>28686</v>
      </c>
      <c r="I7338" t="s">
        <v>28689</v>
      </c>
      <c r="J7338" t="s">
        <v>33422</v>
      </c>
      <c r="K7338" t="s">
        <v>37209</v>
      </c>
      <c r="M7338" t="s">
        <v>40009</v>
      </c>
      <c r="N7338" t="s">
        <v>41249</v>
      </c>
      <c r="O7338" t="s">
        <v>41250</v>
      </c>
      <c r="P7338">
        <v>0</v>
      </c>
      <c r="Q7338">
        <v>2</v>
      </c>
      <c r="R7338" t="s">
        <v>41257</v>
      </c>
      <c r="S7338" t="s">
        <v>41461</v>
      </c>
      <c r="T7338" t="s">
        <v>42701</v>
      </c>
      <c r="U7338" t="s">
        <v>49266</v>
      </c>
      <c r="V7338" t="s">
        <v>54557</v>
      </c>
      <c r="W7338" t="s">
        <v>40009</v>
      </c>
      <c r="X7338" t="s">
        <v>41258</v>
      </c>
    </row>
    <row r="7339" spans="1:24">
      <c r="A7339">
        <f>HYPERLINK("https://www.philgeps.gov.ph/GEPSNONPILOT/Tender/SplashBidNoticeAbstractUI.aspx?menuIndex=3&amp;refID=7069751&amp;Result=3","7069751")</f>
        <v>0</v>
      </c>
      <c r="B7339" t="s">
        <v>1828</v>
      </c>
      <c r="C7339" t="s">
        <v>10381</v>
      </c>
      <c r="E7339" t="s">
        <v>23147</v>
      </c>
      <c r="F7339" t="s">
        <v>28669</v>
      </c>
      <c r="G7339" t="s">
        <v>28675</v>
      </c>
      <c r="H7339" t="s">
        <v>28686</v>
      </c>
      <c r="I7339" t="s">
        <v>28689</v>
      </c>
      <c r="J7339" t="s">
        <v>33423</v>
      </c>
      <c r="K7339" t="s">
        <v>37255</v>
      </c>
      <c r="M7339" t="s">
        <v>39441</v>
      </c>
      <c r="N7339" t="s">
        <v>41249</v>
      </c>
      <c r="O7339" t="s">
        <v>41250</v>
      </c>
      <c r="P7339">
        <v>0</v>
      </c>
      <c r="Q7339">
        <v>0</v>
      </c>
      <c r="R7339" t="s">
        <v>41257</v>
      </c>
      <c r="S7339" t="s">
        <v>41461</v>
      </c>
      <c r="T7339" t="s">
        <v>42667</v>
      </c>
      <c r="U7339" t="s">
        <v>49267</v>
      </c>
      <c r="W7339" t="s">
        <v>39441</v>
      </c>
      <c r="X7339" t="s">
        <v>41258</v>
      </c>
    </row>
    <row r="7340" spans="1:24">
      <c r="A7340">
        <f>HYPERLINK("https://www.philgeps.gov.ph/GEPSNONPILOT/Tender/SplashBidNoticeAbstractUI.aspx?menuIndex=3&amp;refID=7069701&amp;Result=3","7069701")</f>
        <v>0</v>
      </c>
      <c r="B7340" t="s">
        <v>1533</v>
      </c>
      <c r="C7340" t="s">
        <v>10382</v>
      </c>
      <c r="D7340" t="s">
        <v>16617</v>
      </c>
      <c r="E7340" t="s">
        <v>23148</v>
      </c>
      <c r="F7340" t="s">
        <v>28669</v>
      </c>
      <c r="G7340" t="s">
        <v>28676</v>
      </c>
      <c r="H7340" t="s">
        <v>9998</v>
      </c>
      <c r="I7340" t="s">
        <v>28745</v>
      </c>
      <c r="J7340" t="s">
        <v>28878</v>
      </c>
      <c r="K7340" t="s">
        <v>37209</v>
      </c>
      <c r="M7340" t="s">
        <v>39108</v>
      </c>
      <c r="N7340" t="s">
        <v>41249</v>
      </c>
      <c r="O7340" t="s">
        <v>41250</v>
      </c>
      <c r="P7340">
        <v>0</v>
      </c>
      <c r="Q7340">
        <v>2</v>
      </c>
      <c r="R7340" t="s">
        <v>41257</v>
      </c>
      <c r="S7340" t="s">
        <v>41461</v>
      </c>
      <c r="T7340" t="s">
        <v>42883</v>
      </c>
      <c r="U7340" t="s">
        <v>49268</v>
      </c>
      <c r="V7340" t="s">
        <v>54709</v>
      </c>
      <c r="W7340" t="s">
        <v>39108</v>
      </c>
      <c r="X7340" t="s">
        <v>41258</v>
      </c>
    </row>
    <row r="7341" spans="1:24">
      <c r="A7341">
        <f>HYPERLINK("https://www.philgeps.gov.ph/GEPSNONPILOT/Tender/SplashBidNoticeAbstractUI.aspx?menuIndex=3&amp;refID=7069750&amp;Result=3","7069750")</f>
        <v>0</v>
      </c>
      <c r="B7341" t="s">
        <v>349</v>
      </c>
      <c r="C7341" t="s">
        <v>10383</v>
      </c>
      <c r="D7341" t="s">
        <v>16675</v>
      </c>
      <c r="E7341" t="s">
        <v>23149</v>
      </c>
      <c r="F7341" t="s">
        <v>28669</v>
      </c>
      <c r="G7341" t="s">
        <v>28676</v>
      </c>
      <c r="H7341" t="s">
        <v>9998</v>
      </c>
      <c r="I7341" t="s">
        <v>28728</v>
      </c>
      <c r="J7341" t="s">
        <v>33424</v>
      </c>
      <c r="K7341" t="s">
        <v>37299</v>
      </c>
      <c r="M7341" t="s">
        <v>37829</v>
      </c>
      <c r="N7341" t="s">
        <v>41249</v>
      </c>
      <c r="O7341" t="s">
        <v>41250</v>
      </c>
      <c r="Q7341">
        <v>1</v>
      </c>
      <c r="R7341" t="s">
        <v>41257</v>
      </c>
      <c r="S7341" t="s">
        <v>41499</v>
      </c>
      <c r="T7341" t="s">
        <v>42743</v>
      </c>
      <c r="U7341" t="s">
        <v>49269</v>
      </c>
      <c r="W7341" t="s">
        <v>37829</v>
      </c>
      <c r="X7341" t="s">
        <v>41258</v>
      </c>
    </row>
    <row r="7342" spans="1:24">
      <c r="A7342">
        <f>HYPERLINK("https://www.philgeps.gov.ph/GEPSNONPILOT/Tender/SplashBidNoticeAbstractUI.aspx?menuIndex=3&amp;refID=7069748&amp;Result=3","7069748")</f>
        <v>0</v>
      </c>
      <c r="B7342" t="s">
        <v>697</v>
      </c>
      <c r="C7342" t="s">
        <v>10384</v>
      </c>
      <c r="D7342" t="s">
        <v>16659</v>
      </c>
      <c r="E7342" t="s">
        <v>17947</v>
      </c>
      <c r="F7342" t="s">
        <v>28669</v>
      </c>
      <c r="G7342" t="s">
        <v>28675</v>
      </c>
      <c r="H7342" t="s">
        <v>28686</v>
      </c>
      <c r="I7342" t="s">
        <v>28689</v>
      </c>
      <c r="J7342" t="s">
        <v>33425</v>
      </c>
      <c r="K7342" t="s">
        <v>37384</v>
      </c>
      <c r="M7342" t="s">
        <v>38202</v>
      </c>
      <c r="N7342" t="s">
        <v>41249</v>
      </c>
      <c r="O7342" t="s">
        <v>41250</v>
      </c>
      <c r="P7342">
        <v>0</v>
      </c>
      <c r="Q7342">
        <v>2</v>
      </c>
      <c r="R7342" t="s">
        <v>41257</v>
      </c>
      <c r="S7342" t="s">
        <v>41461</v>
      </c>
      <c r="T7342" t="s">
        <v>42692</v>
      </c>
      <c r="U7342" t="s">
        <v>49235</v>
      </c>
      <c r="W7342" t="s">
        <v>38202</v>
      </c>
      <c r="X7342" t="s">
        <v>41258</v>
      </c>
    </row>
    <row r="7343" spans="1:24">
      <c r="A7343">
        <f>HYPERLINK("https://www.philgeps.gov.ph/GEPSNONPILOT/Tender/SplashBidNoticeAbstractUI.aspx?menuIndex=3&amp;refID=7069743&amp;Result=3","7069743")</f>
        <v>0</v>
      </c>
      <c r="B7343" t="s">
        <v>2345</v>
      </c>
      <c r="C7343" t="s">
        <v>10385</v>
      </c>
      <c r="D7343" t="s">
        <v>16658</v>
      </c>
      <c r="E7343" t="s">
        <v>18429</v>
      </c>
      <c r="F7343" t="s">
        <v>28669</v>
      </c>
      <c r="G7343" t="s">
        <v>28675</v>
      </c>
      <c r="H7343" t="s">
        <v>28686</v>
      </c>
      <c r="I7343" t="s">
        <v>28689</v>
      </c>
      <c r="J7343" t="s">
        <v>33426</v>
      </c>
      <c r="K7343" t="s">
        <v>37317</v>
      </c>
      <c r="M7343" t="s">
        <v>40011</v>
      </c>
      <c r="N7343" t="s">
        <v>41249</v>
      </c>
      <c r="O7343" t="s">
        <v>41250</v>
      </c>
      <c r="P7343">
        <v>0</v>
      </c>
      <c r="Q7343">
        <v>0</v>
      </c>
      <c r="R7343" t="s">
        <v>41257</v>
      </c>
      <c r="S7343" t="s">
        <v>41461</v>
      </c>
      <c r="T7343" t="s">
        <v>43048</v>
      </c>
      <c r="U7343" t="s">
        <v>49270</v>
      </c>
      <c r="W7343" t="s">
        <v>40011</v>
      </c>
      <c r="X7343" t="s">
        <v>41258</v>
      </c>
    </row>
    <row r="7344" spans="1:24">
      <c r="A7344">
        <f>HYPERLINK("https://www.philgeps.gov.ph/GEPSNONPILOT/Tender/SplashBidNoticeAbstractUI.aspx?menuIndex=3&amp;refID=7069709&amp;Result=3","7069709")</f>
        <v>0</v>
      </c>
      <c r="B7344" t="s">
        <v>2341</v>
      </c>
      <c r="C7344" t="s">
        <v>10386</v>
      </c>
      <c r="D7344" t="s">
        <v>16631</v>
      </c>
      <c r="E7344" t="s">
        <v>23150</v>
      </c>
      <c r="F7344" t="s">
        <v>28671</v>
      </c>
      <c r="G7344" t="s">
        <v>28678</v>
      </c>
      <c r="H7344" t="s">
        <v>9998</v>
      </c>
      <c r="I7344" t="s">
        <v>11593</v>
      </c>
      <c r="J7344" t="s">
        <v>33427</v>
      </c>
      <c r="K7344" t="s">
        <v>37209</v>
      </c>
      <c r="M7344" t="s">
        <v>40006</v>
      </c>
      <c r="N7344" t="s">
        <v>41249</v>
      </c>
      <c r="O7344" t="s">
        <v>41250</v>
      </c>
      <c r="P7344">
        <v>0</v>
      </c>
      <c r="Q7344">
        <v>1</v>
      </c>
      <c r="R7344" t="s">
        <v>41257</v>
      </c>
      <c r="S7344" t="s">
        <v>41461</v>
      </c>
      <c r="T7344" t="s">
        <v>43037</v>
      </c>
      <c r="U7344" t="s">
        <v>49271</v>
      </c>
      <c r="W7344" t="s">
        <v>40006</v>
      </c>
      <c r="X7344" t="s">
        <v>41258</v>
      </c>
    </row>
    <row r="7345" spans="1:24">
      <c r="A7345">
        <f>HYPERLINK("https://www.philgeps.gov.ph/GEPSNONPILOT/Tender/SplashBidNoticeAbstractUI.aspx?menuIndex=3&amp;refID=7069739&amp;Result=3","7069739")</f>
        <v>0</v>
      </c>
      <c r="B7345" t="s">
        <v>1828</v>
      </c>
      <c r="C7345" t="s">
        <v>10387</v>
      </c>
      <c r="E7345" t="s">
        <v>23151</v>
      </c>
      <c r="F7345" t="s">
        <v>28669</v>
      </c>
      <c r="G7345" t="s">
        <v>28675</v>
      </c>
      <c r="H7345" t="s">
        <v>28686</v>
      </c>
      <c r="I7345" t="s">
        <v>28689</v>
      </c>
      <c r="J7345" t="s">
        <v>28847</v>
      </c>
      <c r="K7345" t="s">
        <v>37211</v>
      </c>
      <c r="M7345" t="s">
        <v>39441</v>
      </c>
      <c r="N7345" t="s">
        <v>41249</v>
      </c>
      <c r="O7345" t="s">
        <v>41250</v>
      </c>
      <c r="P7345">
        <v>0</v>
      </c>
      <c r="Q7345">
        <v>0</v>
      </c>
      <c r="R7345" t="s">
        <v>41257</v>
      </c>
      <c r="S7345" t="s">
        <v>41461</v>
      </c>
      <c r="T7345" t="s">
        <v>42667</v>
      </c>
      <c r="U7345" t="s">
        <v>49272</v>
      </c>
      <c r="W7345" t="s">
        <v>39441</v>
      </c>
      <c r="X7345" t="s">
        <v>41258</v>
      </c>
    </row>
    <row r="7346" spans="1:24">
      <c r="A7346">
        <f>HYPERLINK("https://www.philgeps.gov.ph/GEPSNONPILOT/Tender/SplashBidNoticeAbstractUI.aspx?menuIndex=3&amp;refID=7069736&amp;Result=3","7069736")</f>
        <v>0</v>
      </c>
      <c r="B7346" t="s">
        <v>2263</v>
      </c>
      <c r="C7346" t="s">
        <v>10388</v>
      </c>
      <c r="D7346" t="s">
        <v>16663</v>
      </c>
      <c r="E7346" t="s">
        <v>23152</v>
      </c>
      <c r="F7346" t="s">
        <v>28669</v>
      </c>
      <c r="G7346" t="s">
        <v>28676</v>
      </c>
      <c r="H7346" t="s">
        <v>9998</v>
      </c>
      <c r="I7346" t="s">
        <v>28706</v>
      </c>
      <c r="J7346" t="s">
        <v>28912</v>
      </c>
      <c r="K7346" t="s">
        <v>37206</v>
      </c>
      <c r="M7346" t="s">
        <v>39918</v>
      </c>
      <c r="N7346" t="s">
        <v>41249</v>
      </c>
      <c r="O7346" t="s">
        <v>41250</v>
      </c>
      <c r="P7346">
        <v>0</v>
      </c>
      <c r="Q7346">
        <v>1</v>
      </c>
      <c r="R7346" t="s">
        <v>41257</v>
      </c>
      <c r="S7346" t="s">
        <v>41461</v>
      </c>
      <c r="T7346" t="s">
        <v>42767</v>
      </c>
      <c r="U7346" t="s">
        <v>49273</v>
      </c>
      <c r="W7346" t="s">
        <v>39918</v>
      </c>
      <c r="X7346" t="s">
        <v>41258</v>
      </c>
    </row>
    <row r="7347" spans="1:24">
      <c r="A7347">
        <f>HYPERLINK("https://www.philgeps.gov.ph/GEPSNONPILOT/Tender/SplashBidNoticeAbstractUI.aspx?menuIndex=3&amp;refID=7069752&amp;Result=3","7069752")</f>
        <v>0</v>
      </c>
      <c r="B7347" t="s">
        <v>2346</v>
      </c>
      <c r="C7347" t="s">
        <v>10389</v>
      </c>
      <c r="D7347" t="s">
        <v>16654</v>
      </c>
      <c r="E7347" t="s">
        <v>23153</v>
      </c>
      <c r="F7347" t="s">
        <v>28669</v>
      </c>
      <c r="G7347" t="s">
        <v>28675</v>
      </c>
      <c r="H7347" t="s">
        <v>28686</v>
      </c>
      <c r="I7347" t="s">
        <v>28689</v>
      </c>
      <c r="J7347" t="s">
        <v>29003</v>
      </c>
      <c r="K7347" t="s">
        <v>37221</v>
      </c>
      <c r="M7347" t="s">
        <v>40012</v>
      </c>
      <c r="N7347" t="s">
        <v>41249</v>
      </c>
      <c r="O7347" t="s">
        <v>41250</v>
      </c>
      <c r="P7347">
        <v>0</v>
      </c>
      <c r="Q7347">
        <v>0</v>
      </c>
      <c r="R7347" t="s">
        <v>41257</v>
      </c>
      <c r="S7347" t="s">
        <v>41461</v>
      </c>
      <c r="T7347" t="s">
        <v>42997</v>
      </c>
      <c r="U7347" t="s">
        <v>49274</v>
      </c>
      <c r="W7347" t="s">
        <v>40012</v>
      </c>
      <c r="X7347" t="s">
        <v>41258</v>
      </c>
    </row>
    <row r="7348" spans="1:24">
      <c r="A7348">
        <f>HYPERLINK("https://www.philgeps.gov.ph/GEPSNONPILOT/Tender/SplashBidNoticeAbstractUI.aspx?menuIndex=3&amp;refID=7069724&amp;Result=3","7069724")</f>
        <v>0</v>
      </c>
      <c r="B7348" t="s">
        <v>2263</v>
      </c>
      <c r="C7348" t="s">
        <v>10390</v>
      </c>
      <c r="D7348" t="s">
        <v>16663</v>
      </c>
      <c r="E7348" t="s">
        <v>23154</v>
      </c>
      <c r="F7348" t="s">
        <v>28669</v>
      </c>
      <c r="G7348" t="s">
        <v>28676</v>
      </c>
      <c r="H7348" t="s">
        <v>9998</v>
      </c>
      <c r="I7348" t="s">
        <v>3718</v>
      </c>
      <c r="J7348" t="s">
        <v>28989</v>
      </c>
      <c r="K7348" t="s">
        <v>37206</v>
      </c>
      <c r="M7348" t="s">
        <v>39918</v>
      </c>
      <c r="N7348" t="s">
        <v>41249</v>
      </c>
      <c r="O7348" t="s">
        <v>41250</v>
      </c>
      <c r="P7348">
        <v>0</v>
      </c>
      <c r="Q7348">
        <v>2</v>
      </c>
      <c r="R7348" t="s">
        <v>41257</v>
      </c>
      <c r="S7348" t="s">
        <v>41461</v>
      </c>
      <c r="T7348" t="s">
        <v>42767</v>
      </c>
      <c r="U7348" t="s">
        <v>49275</v>
      </c>
      <c r="W7348" t="s">
        <v>39918</v>
      </c>
      <c r="X7348" t="s">
        <v>41258</v>
      </c>
    </row>
    <row r="7349" spans="1:24">
      <c r="A7349">
        <f>HYPERLINK("https://www.philgeps.gov.ph/GEPSNONPILOT/Tender/SplashBidNoticeAbstractUI.aspx?menuIndex=3&amp;refID=7069745&amp;Result=3","7069745")</f>
        <v>0</v>
      </c>
      <c r="B7349" t="s">
        <v>1606</v>
      </c>
      <c r="C7349" t="s">
        <v>10391</v>
      </c>
      <c r="E7349" t="s">
        <v>23155</v>
      </c>
      <c r="F7349" t="s">
        <v>28669</v>
      </c>
      <c r="G7349" t="s">
        <v>28675</v>
      </c>
      <c r="H7349" t="s">
        <v>9998</v>
      </c>
      <c r="I7349" t="s">
        <v>28713</v>
      </c>
      <c r="J7349" t="s">
        <v>28914</v>
      </c>
      <c r="K7349" t="s">
        <v>37209</v>
      </c>
      <c r="M7349" t="s">
        <v>40003</v>
      </c>
      <c r="N7349" t="s">
        <v>41249</v>
      </c>
      <c r="O7349" t="s">
        <v>41250</v>
      </c>
      <c r="P7349">
        <v>0</v>
      </c>
      <c r="Q7349">
        <v>8</v>
      </c>
      <c r="R7349" t="s">
        <v>41257</v>
      </c>
      <c r="S7349" t="s">
        <v>41461</v>
      </c>
      <c r="T7349" t="s">
        <v>42808</v>
      </c>
      <c r="U7349" t="s">
        <v>49239</v>
      </c>
      <c r="W7349" t="s">
        <v>40003</v>
      </c>
      <c r="X7349" t="s">
        <v>41258</v>
      </c>
    </row>
    <row r="7350" spans="1:24">
      <c r="A7350">
        <f>HYPERLINK("https://www.philgeps.gov.ph/GEPSNONPILOT/Tender/SplashBidNoticeAbstractUI.aspx?menuIndex=3&amp;refID=7069713&amp;Result=3","7069713")</f>
        <v>0</v>
      </c>
      <c r="B7350" t="s">
        <v>697</v>
      </c>
      <c r="C7350" t="s">
        <v>10392</v>
      </c>
      <c r="D7350" t="s">
        <v>16621</v>
      </c>
      <c r="E7350" t="s">
        <v>17835</v>
      </c>
      <c r="F7350" t="s">
        <v>28669</v>
      </c>
      <c r="G7350" t="s">
        <v>28675</v>
      </c>
      <c r="H7350" t="s">
        <v>28686</v>
      </c>
      <c r="I7350" t="s">
        <v>28689</v>
      </c>
      <c r="J7350" t="s">
        <v>33428</v>
      </c>
      <c r="K7350" t="s">
        <v>37384</v>
      </c>
      <c r="M7350" t="s">
        <v>38202</v>
      </c>
      <c r="N7350" t="s">
        <v>41249</v>
      </c>
      <c r="O7350" t="s">
        <v>41250</v>
      </c>
      <c r="P7350">
        <v>0</v>
      </c>
      <c r="Q7350">
        <v>2</v>
      </c>
      <c r="R7350" t="s">
        <v>41257</v>
      </c>
      <c r="S7350" t="s">
        <v>41461</v>
      </c>
      <c r="T7350" t="s">
        <v>42692</v>
      </c>
      <c r="U7350" t="s">
        <v>49235</v>
      </c>
      <c r="W7350" t="s">
        <v>38202</v>
      </c>
      <c r="X7350" t="s">
        <v>41258</v>
      </c>
    </row>
    <row r="7351" spans="1:24">
      <c r="A7351">
        <f>HYPERLINK("https://www.philgeps.gov.ph/GEPSNONPILOT/Tender/SplashBidNoticeAbstractUI.aspx?menuIndex=3&amp;refID=7069723&amp;Result=3","7069723")</f>
        <v>0</v>
      </c>
      <c r="B7351" t="s">
        <v>2277</v>
      </c>
      <c r="C7351" t="s">
        <v>10393</v>
      </c>
      <c r="D7351" t="s">
        <v>16626</v>
      </c>
      <c r="E7351" t="s">
        <v>19552</v>
      </c>
      <c r="F7351" t="s">
        <v>28669</v>
      </c>
      <c r="G7351" t="s">
        <v>28675</v>
      </c>
      <c r="H7351" t="s">
        <v>9998</v>
      </c>
      <c r="I7351" t="s">
        <v>6128</v>
      </c>
      <c r="J7351" t="s">
        <v>33429</v>
      </c>
      <c r="K7351" t="s">
        <v>37209</v>
      </c>
      <c r="M7351" t="s">
        <v>39932</v>
      </c>
      <c r="N7351" t="s">
        <v>41249</v>
      </c>
      <c r="O7351" t="s">
        <v>41250</v>
      </c>
      <c r="P7351">
        <v>0</v>
      </c>
      <c r="Q7351">
        <v>2</v>
      </c>
      <c r="R7351" t="s">
        <v>41257</v>
      </c>
      <c r="S7351" t="s">
        <v>41461</v>
      </c>
      <c r="T7351" t="s">
        <v>42809</v>
      </c>
      <c r="U7351" t="s">
        <v>49276</v>
      </c>
      <c r="W7351" t="s">
        <v>39932</v>
      </c>
      <c r="X7351" t="s">
        <v>41258</v>
      </c>
    </row>
    <row r="7352" spans="1:24">
      <c r="A7352">
        <f>HYPERLINK("https://www.philgeps.gov.ph/GEPSNONPILOT/Tender/SplashBidNoticeAbstractUI.aspx?menuIndex=3&amp;refID=7069719&amp;Result=3","7069719")</f>
        <v>0</v>
      </c>
      <c r="B7352" t="s">
        <v>1828</v>
      </c>
      <c r="C7352" t="s">
        <v>10394</v>
      </c>
      <c r="E7352" t="s">
        <v>23156</v>
      </c>
      <c r="F7352" t="s">
        <v>28669</v>
      </c>
      <c r="G7352" t="s">
        <v>28675</v>
      </c>
      <c r="H7352" t="s">
        <v>28686</v>
      </c>
      <c r="I7352" t="s">
        <v>28689</v>
      </c>
      <c r="J7352" t="s">
        <v>33430</v>
      </c>
      <c r="K7352" t="s">
        <v>37370</v>
      </c>
      <c r="M7352" t="s">
        <v>39441</v>
      </c>
      <c r="N7352" t="s">
        <v>41249</v>
      </c>
      <c r="O7352" t="s">
        <v>41250</v>
      </c>
      <c r="P7352">
        <v>0</v>
      </c>
      <c r="Q7352">
        <v>0</v>
      </c>
      <c r="R7352" t="s">
        <v>41257</v>
      </c>
      <c r="S7352" t="s">
        <v>41461</v>
      </c>
      <c r="T7352" t="s">
        <v>42667</v>
      </c>
      <c r="U7352" t="s">
        <v>49277</v>
      </c>
      <c r="W7352" t="s">
        <v>39441</v>
      </c>
      <c r="X7352" t="s">
        <v>41258</v>
      </c>
    </row>
    <row r="7353" spans="1:24">
      <c r="A7353">
        <f>HYPERLINK("https://www.philgeps.gov.ph/GEPSNONPILOT/Tender/SplashBidNoticeAbstractUI.aspx?menuIndex=3&amp;refID=7069716&amp;Result=3","7069716")</f>
        <v>0</v>
      </c>
      <c r="B7353" t="s">
        <v>935</v>
      </c>
      <c r="C7353" t="s">
        <v>10395</v>
      </c>
      <c r="D7353" t="s">
        <v>16631</v>
      </c>
      <c r="E7353" t="s">
        <v>23157</v>
      </c>
      <c r="F7353" t="s">
        <v>28669</v>
      </c>
      <c r="G7353" t="s">
        <v>28675</v>
      </c>
      <c r="H7353" t="s">
        <v>9998</v>
      </c>
      <c r="I7353" t="s">
        <v>28697</v>
      </c>
      <c r="J7353" t="s">
        <v>33431</v>
      </c>
      <c r="K7353" t="s">
        <v>37206</v>
      </c>
      <c r="M7353" t="s">
        <v>40013</v>
      </c>
      <c r="N7353" t="s">
        <v>41249</v>
      </c>
      <c r="O7353" t="s">
        <v>41250</v>
      </c>
      <c r="P7353">
        <v>0</v>
      </c>
      <c r="Q7353">
        <v>9</v>
      </c>
      <c r="R7353" t="s">
        <v>41257</v>
      </c>
      <c r="S7353" t="s">
        <v>41461</v>
      </c>
      <c r="T7353" t="s">
        <v>42873</v>
      </c>
      <c r="U7353" t="s">
        <v>49278</v>
      </c>
      <c r="W7353" t="s">
        <v>40013</v>
      </c>
      <c r="X7353" t="s">
        <v>41258</v>
      </c>
    </row>
    <row r="7354" spans="1:24">
      <c r="A7354">
        <f>HYPERLINK("https://www.philgeps.gov.ph/GEPSNONPILOT/Tender/SplashBidNoticeAbstractUI.aspx?menuIndex=3&amp;refID=7069715&amp;Result=3","7069715")</f>
        <v>0</v>
      </c>
      <c r="B7354" t="s">
        <v>1990</v>
      </c>
      <c r="C7354" t="s">
        <v>10396</v>
      </c>
      <c r="D7354" t="s">
        <v>16643</v>
      </c>
      <c r="E7354" t="s">
        <v>23158</v>
      </c>
      <c r="F7354" t="s">
        <v>28669</v>
      </c>
      <c r="G7354" t="s">
        <v>28676</v>
      </c>
      <c r="H7354" t="s">
        <v>9998</v>
      </c>
      <c r="I7354" t="s">
        <v>5213</v>
      </c>
      <c r="J7354" t="s">
        <v>33432</v>
      </c>
      <c r="K7354" t="s">
        <v>37205</v>
      </c>
      <c r="M7354" t="s">
        <v>39626</v>
      </c>
      <c r="N7354" t="s">
        <v>41249</v>
      </c>
      <c r="O7354" t="s">
        <v>41250</v>
      </c>
      <c r="P7354">
        <v>0</v>
      </c>
      <c r="Q7354">
        <v>0</v>
      </c>
      <c r="R7354" t="s">
        <v>41257</v>
      </c>
      <c r="S7354" t="s">
        <v>41461</v>
      </c>
      <c r="T7354" t="s">
        <v>42910</v>
      </c>
      <c r="U7354" t="s">
        <v>49279</v>
      </c>
      <c r="W7354" t="s">
        <v>39626</v>
      </c>
      <c r="X7354" t="s">
        <v>41258</v>
      </c>
    </row>
    <row r="7355" spans="1:24">
      <c r="A7355">
        <f>HYPERLINK("https://www.philgeps.gov.ph/GEPSNONPILOT/Tender/SplashBidNoticeAbstractUI.aspx?menuIndex=3&amp;refID=7069737&amp;Result=3","7069737")</f>
        <v>0</v>
      </c>
      <c r="B7355" t="s">
        <v>157</v>
      </c>
      <c r="C7355" t="s">
        <v>10397</v>
      </c>
      <c r="D7355" t="s">
        <v>16664</v>
      </c>
      <c r="E7355" t="s">
        <v>23159</v>
      </c>
      <c r="F7355" t="s">
        <v>28669</v>
      </c>
      <c r="G7355" t="s">
        <v>28676</v>
      </c>
      <c r="H7355" t="s">
        <v>9998</v>
      </c>
      <c r="I7355" t="s">
        <v>28699</v>
      </c>
      <c r="J7355" t="s">
        <v>33433</v>
      </c>
      <c r="K7355" t="s">
        <v>37206</v>
      </c>
      <c r="M7355" t="s">
        <v>37634</v>
      </c>
      <c r="N7355" t="s">
        <v>41249</v>
      </c>
      <c r="O7355" t="s">
        <v>41250</v>
      </c>
      <c r="P7355">
        <v>0</v>
      </c>
      <c r="Q7355">
        <v>2</v>
      </c>
      <c r="R7355" t="s">
        <v>41257</v>
      </c>
      <c r="S7355" t="s">
        <v>41461</v>
      </c>
      <c r="T7355" t="s">
        <v>42811</v>
      </c>
      <c r="U7355" t="s">
        <v>49280</v>
      </c>
      <c r="W7355" t="s">
        <v>37634</v>
      </c>
      <c r="X7355" t="s">
        <v>41258</v>
      </c>
    </row>
    <row r="7356" spans="1:24">
      <c r="A7356">
        <f>HYPERLINK("https://www.philgeps.gov.ph/GEPSNONPILOT/Tender/SplashBidNoticeAbstractUI.aspx?menuIndex=3&amp;refID=7069667&amp;Result=3","7069667")</f>
        <v>0</v>
      </c>
      <c r="B7356" t="s">
        <v>2345</v>
      </c>
      <c r="C7356" t="s">
        <v>10398</v>
      </c>
      <c r="D7356" t="s">
        <v>16658</v>
      </c>
      <c r="E7356" t="s">
        <v>17178</v>
      </c>
      <c r="F7356" t="s">
        <v>28669</v>
      </c>
      <c r="G7356" t="s">
        <v>28675</v>
      </c>
      <c r="H7356" t="s">
        <v>28686</v>
      </c>
      <c r="I7356" t="s">
        <v>28689</v>
      </c>
      <c r="J7356" t="s">
        <v>33434</v>
      </c>
      <c r="K7356" t="s">
        <v>37224</v>
      </c>
      <c r="M7356" t="s">
        <v>40011</v>
      </c>
      <c r="N7356" t="s">
        <v>41249</v>
      </c>
      <c r="O7356" t="s">
        <v>41250</v>
      </c>
      <c r="P7356">
        <v>0</v>
      </c>
      <c r="Q7356">
        <v>0</v>
      </c>
      <c r="R7356" t="s">
        <v>41257</v>
      </c>
      <c r="S7356" t="s">
        <v>41461</v>
      </c>
      <c r="T7356" t="s">
        <v>42747</v>
      </c>
      <c r="U7356" t="s">
        <v>49281</v>
      </c>
      <c r="W7356" t="s">
        <v>40011</v>
      </c>
      <c r="X7356" t="s">
        <v>41258</v>
      </c>
    </row>
    <row r="7357" spans="1:24">
      <c r="A7357">
        <f>HYPERLINK("https://www.philgeps.gov.ph/GEPSNONPILOT/Tender/SplashBidNoticeAbstractUI.aspx?menuIndex=3&amp;refID=7069735&amp;Result=3","7069735")</f>
        <v>0</v>
      </c>
      <c r="B7357" t="s">
        <v>1534</v>
      </c>
      <c r="C7357" t="s">
        <v>10399</v>
      </c>
      <c r="E7357" t="s">
        <v>17348</v>
      </c>
      <c r="F7357" t="s">
        <v>28669</v>
      </c>
      <c r="G7357" t="s">
        <v>28675</v>
      </c>
      <c r="H7357" t="s">
        <v>28686</v>
      </c>
      <c r="I7357" t="s">
        <v>7352</v>
      </c>
      <c r="J7357" t="s">
        <v>33435</v>
      </c>
      <c r="K7357" t="s">
        <v>37209</v>
      </c>
      <c r="M7357" t="s">
        <v>39109</v>
      </c>
      <c r="N7357" t="s">
        <v>41249</v>
      </c>
      <c r="O7357" t="s">
        <v>41250</v>
      </c>
      <c r="P7357">
        <v>0</v>
      </c>
      <c r="Q7357">
        <v>0</v>
      </c>
      <c r="R7357" t="s">
        <v>41257</v>
      </c>
      <c r="S7357" t="s">
        <v>41461</v>
      </c>
      <c r="T7357" t="s">
        <v>42764</v>
      </c>
      <c r="U7357" t="s">
        <v>49282</v>
      </c>
      <c r="W7357" t="s">
        <v>39109</v>
      </c>
      <c r="X7357" t="s">
        <v>41258</v>
      </c>
    </row>
    <row r="7358" spans="1:24">
      <c r="A7358">
        <f>HYPERLINK("https://www.philgeps.gov.ph/GEPSNONPILOT/Tender/SplashBidNoticeAbstractUI.aspx?menuIndex=3&amp;refID=7069733&amp;Result=3","7069733")</f>
        <v>0</v>
      </c>
      <c r="B7358" t="s">
        <v>992</v>
      </c>
      <c r="C7358" t="s">
        <v>10400</v>
      </c>
      <c r="D7358" t="s">
        <v>16663</v>
      </c>
      <c r="E7358" t="s">
        <v>23160</v>
      </c>
      <c r="F7358" t="s">
        <v>28669</v>
      </c>
      <c r="G7358" t="s">
        <v>28675</v>
      </c>
      <c r="H7358" t="s">
        <v>9998</v>
      </c>
      <c r="I7358" t="s">
        <v>28693</v>
      </c>
      <c r="J7358" t="s">
        <v>33436</v>
      </c>
      <c r="K7358" t="s">
        <v>37213</v>
      </c>
      <c r="M7358" t="s">
        <v>40014</v>
      </c>
      <c r="N7358" t="s">
        <v>41249</v>
      </c>
      <c r="O7358" t="s">
        <v>41250</v>
      </c>
      <c r="P7358">
        <v>0</v>
      </c>
      <c r="Q7358">
        <v>32</v>
      </c>
      <c r="R7358" t="s">
        <v>41257</v>
      </c>
      <c r="S7358" t="s">
        <v>41461</v>
      </c>
      <c r="T7358" t="s">
        <v>42712</v>
      </c>
      <c r="U7358" t="s">
        <v>49283</v>
      </c>
      <c r="W7358" t="s">
        <v>38519</v>
      </c>
      <c r="X7358" t="s">
        <v>41258</v>
      </c>
    </row>
    <row r="7359" spans="1:24">
      <c r="A7359">
        <f>HYPERLINK("https://www.philgeps.gov.ph/GEPSNONPILOT/Tender/SplashBidNoticeAbstractUI.aspx?menuIndex=3&amp;refID=7069662&amp;Result=3","7069662")</f>
        <v>0</v>
      </c>
      <c r="B7359" t="s">
        <v>476</v>
      </c>
      <c r="C7359" t="s">
        <v>10401</v>
      </c>
      <c r="D7359" t="s">
        <v>16615</v>
      </c>
      <c r="E7359" t="s">
        <v>23161</v>
      </c>
      <c r="F7359" t="s">
        <v>28669</v>
      </c>
      <c r="G7359" t="s">
        <v>28675</v>
      </c>
      <c r="H7359" t="s">
        <v>28686</v>
      </c>
      <c r="I7359" t="s">
        <v>28689</v>
      </c>
      <c r="J7359" t="s">
        <v>33437</v>
      </c>
      <c r="K7359" t="s">
        <v>37377</v>
      </c>
      <c r="M7359" t="s">
        <v>37964</v>
      </c>
      <c r="N7359" t="s">
        <v>41249</v>
      </c>
      <c r="O7359" t="s">
        <v>41250</v>
      </c>
      <c r="P7359">
        <v>0</v>
      </c>
      <c r="Q7359">
        <v>10</v>
      </c>
      <c r="R7359" t="s">
        <v>41257</v>
      </c>
      <c r="S7359" t="s">
        <v>41461</v>
      </c>
      <c r="T7359" t="s">
        <v>42719</v>
      </c>
      <c r="U7359" t="s">
        <v>48146</v>
      </c>
      <c r="W7359" t="s">
        <v>37964</v>
      </c>
      <c r="X7359" t="s">
        <v>41258</v>
      </c>
    </row>
    <row r="7360" spans="1:24">
      <c r="A7360">
        <f>HYPERLINK("https://www.philgeps.gov.ph/GEPSNONPILOT/Tender/SplashBidNoticeAbstractUI.aspx?menuIndex=3&amp;refID=7069741&amp;Result=3","7069741")</f>
        <v>0</v>
      </c>
      <c r="B7360" t="s">
        <v>2327</v>
      </c>
      <c r="C7360" t="s">
        <v>10305</v>
      </c>
      <c r="D7360" t="s">
        <v>16677</v>
      </c>
      <c r="E7360" t="s">
        <v>23162</v>
      </c>
      <c r="F7360" t="s">
        <v>28669</v>
      </c>
      <c r="G7360" t="s">
        <v>28675</v>
      </c>
      <c r="H7360" t="s">
        <v>9998</v>
      </c>
      <c r="I7360" t="s">
        <v>5286</v>
      </c>
      <c r="J7360" t="s">
        <v>29512</v>
      </c>
      <c r="K7360" t="s">
        <v>37209</v>
      </c>
      <c r="M7360" t="s">
        <v>39988</v>
      </c>
      <c r="N7360" t="s">
        <v>41249</v>
      </c>
      <c r="O7360" t="s">
        <v>41250</v>
      </c>
      <c r="P7360">
        <v>0</v>
      </c>
      <c r="Q7360">
        <v>2</v>
      </c>
      <c r="R7360" t="s">
        <v>41257</v>
      </c>
      <c r="S7360" t="s">
        <v>41461</v>
      </c>
      <c r="T7360" t="s">
        <v>42743</v>
      </c>
      <c r="U7360" t="s">
        <v>49188</v>
      </c>
      <c r="W7360" t="s">
        <v>39988</v>
      </c>
      <c r="X7360" t="s">
        <v>41258</v>
      </c>
    </row>
    <row r="7361" spans="1:24">
      <c r="A7361">
        <f>HYPERLINK("https://www.philgeps.gov.ph/GEPSNONPILOT/Tender/SplashBidNoticeAbstractUI.aspx?menuIndex=3&amp;refID=7069802&amp;Result=3","7069802")</f>
        <v>0</v>
      </c>
      <c r="B7361" t="s">
        <v>794</v>
      </c>
      <c r="C7361" t="s">
        <v>10402</v>
      </c>
      <c r="D7361" t="s">
        <v>16611</v>
      </c>
      <c r="E7361" t="s">
        <v>23163</v>
      </c>
      <c r="F7361" t="s">
        <v>28669</v>
      </c>
      <c r="G7361" t="s">
        <v>28675</v>
      </c>
      <c r="H7361" t="s">
        <v>9998</v>
      </c>
      <c r="I7361" t="s">
        <v>7352</v>
      </c>
      <c r="J7361" t="s">
        <v>33438</v>
      </c>
      <c r="K7361" t="s">
        <v>37205</v>
      </c>
      <c r="M7361" t="s">
        <v>38308</v>
      </c>
      <c r="N7361" t="s">
        <v>41249</v>
      </c>
      <c r="O7361" t="s">
        <v>41250</v>
      </c>
      <c r="P7361">
        <v>0</v>
      </c>
      <c r="Q7361">
        <v>0</v>
      </c>
      <c r="R7361" t="s">
        <v>41257</v>
      </c>
      <c r="S7361" t="s">
        <v>41461</v>
      </c>
      <c r="T7361" t="s">
        <v>42736</v>
      </c>
      <c r="U7361" t="s">
        <v>49284</v>
      </c>
      <c r="W7361" t="s">
        <v>38308</v>
      </c>
      <c r="X7361" t="s">
        <v>41258</v>
      </c>
    </row>
    <row r="7362" spans="1:24">
      <c r="A7362">
        <f>HYPERLINK("https://www.philgeps.gov.ph/GEPSNONPILOT/Tender/SplashBidNoticeAbstractUI.aspx?menuIndex=3&amp;refID=7069797&amp;Result=3","7069797")</f>
        <v>0</v>
      </c>
      <c r="B7362" t="s">
        <v>2347</v>
      </c>
      <c r="C7362" t="s">
        <v>10403</v>
      </c>
      <c r="D7362" t="s">
        <v>16627</v>
      </c>
      <c r="E7362" t="s">
        <v>23164</v>
      </c>
      <c r="F7362" t="s">
        <v>28669</v>
      </c>
      <c r="G7362" t="s">
        <v>28682</v>
      </c>
      <c r="H7362" t="s">
        <v>28686</v>
      </c>
      <c r="I7362" t="s">
        <v>28689</v>
      </c>
      <c r="J7362" t="s">
        <v>32601</v>
      </c>
      <c r="K7362" t="s">
        <v>37206</v>
      </c>
      <c r="M7362" t="s">
        <v>40015</v>
      </c>
      <c r="N7362" t="s">
        <v>41249</v>
      </c>
      <c r="O7362" t="s">
        <v>41250</v>
      </c>
      <c r="Q7362">
        <v>0</v>
      </c>
      <c r="R7362" t="s">
        <v>41257</v>
      </c>
      <c r="S7362" t="s">
        <v>41500</v>
      </c>
      <c r="T7362" t="s">
        <v>42760</v>
      </c>
      <c r="U7362" t="s">
        <v>47069</v>
      </c>
      <c r="W7362" t="s">
        <v>40015</v>
      </c>
      <c r="X7362" t="s">
        <v>41258</v>
      </c>
    </row>
    <row r="7363" spans="1:24">
      <c r="A7363">
        <f>HYPERLINK("https://www.philgeps.gov.ph/GEPSNONPILOT/Tender/SplashBidNoticeAbstractUI.aspx?menuIndex=3&amp;refID=7069720&amp;Result=3","7069720")</f>
        <v>0</v>
      </c>
      <c r="B7363" t="s">
        <v>1180</v>
      </c>
      <c r="C7363" t="s">
        <v>10404</v>
      </c>
      <c r="D7363" t="s">
        <v>16625</v>
      </c>
      <c r="E7363" t="s">
        <v>23165</v>
      </c>
      <c r="F7363" t="s">
        <v>28669</v>
      </c>
      <c r="G7363" t="s">
        <v>28677</v>
      </c>
      <c r="H7363" t="s">
        <v>9998</v>
      </c>
      <c r="I7363" t="s">
        <v>15140</v>
      </c>
      <c r="J7363" t="s">
        <v>33439</v>
      </c>
      <c r="K7363" t="s">
        <v>37205</v>
      </c>
      <c r="M7363" t="s">
        <v>38720</v>
      </c>
      <c r="N7363" t="s">
        <v>41249</v>
      </c>
      <c r="O7363" t="s">
        <v>41250</v>
      </c>
      <c r="P7363">
        <v>0</v>
      </c>
      <c r="Q7363">
        <v>0</v>
      </c>
      <c r="R7363" t="s">
        <v>41257</v>
      </c>
      <c r="S7363" t="s">
        <v>41461</v>
      </c>
      <c r="T7363" t="s">
        <v>42736</v>
      </c>
      <c r="U7363" t="s">
        <v>49285</v>
      </c>
      <c r="W7363" t="s">
        <v>38720</v>
      </c>
      <c r="X7363" t="s">
        <v>41258</v>
      </c>
    </row>
    <row r="7364" spans="1:24">
      <c r="A7364">
        <f>HYPERLINK("https://www.philgeps.gov.ph/GEPSNONPILOT/Tender/SplashBidNoticeAbstractUI.aspx?menuIndex=3&amp;refID=7069789&amp;Result=3","7069789")</f>
        <v>0</v>
      </c>
      <c r="B7364" t="s">
        <v>1828</v>
      </c>
      <c r="C7364" t="s">
        <v>10405</v>
      </c>
      <c r="E7364" t="s">
        <v>23166</v>
      </c>
      <c r="F7364" t="s">
        <v>28669</v>
      </c>
      <c r="G7364" t="s">
        <v>28675</v>
      </c>
      <c r="H7364" t="s">
        <v>28686</v>
      </c>
      <c r="I7364" t="s">
        <v>28689</v>
      </c>
      <c r="J7364" t="s">
        <v>33440</v>
      </c>
      <c r="K7364" t="s">
        <v>37212</v>
      </c>
      <c r="M7364" t="s">
        <v>39441</v>
      </c>
      <c r="N7364" t="s">
        <v>41249</v>
      </c>
      <c r="O7364" t="s">
        <v>41250</v>
      </c>
      <c r="P7364">
        <v>0</v>
      </c>
      <c r="Q7364">
        <v>0</v>
      </c>
      <c r="R7364" t="s">
        <v>41257</v>
      </c>
      <c r="S7364" t="s">
        <v>41461</v>
      </c>
      <c r="T7364" t="s">
        <v>42667</v>
      </c>
      <c r="U7364" t="s">
        <v>49286</v>
      </c>
      <c r="W7364" t="s">
        <v>39441</v>
      </c>
      <c r="X7364" t="s">
        <v>41258</v>
      </c>
    </row>
    <row r="7365" spans="1:24">
      <c r="A7365">
        <f>HYPERLINK("https://www.philgeps.gov.ph/GEPSNONPILOT/Tender/SplashBidNoticeAbstractUI.aspx?menuIndex=3&amp;refID=7069550&amp;Result=3","7069550")</f>
        <v>0</v>
      </c>
      <c r="B7365" t="s">
        <v>2008</v>
      </c>
      <c r="C7365" t="s">
        <v>10406</v>
      </c>
      <c r="D7365" t="s">
        <v>16642</v>
      </c>
      <c r="E7365" t="s">
        <v>23167</v>
      </c>
      <c r="F7365" t="s">
        <v>28669</v>
      </c>
      <c r="G7365" t="s">
        <v>28676</v>
      </c>
      <c r="H7365" t="s">
        <v>9998</v>
      </c>
      <c r="I7365" t="s">
        <v>28766</v>
      </c>
      <c r="J7365" t="s">
        <v>29034</v>
      </c>
      <c r="K7365" t="s">
        <v>37243</v>
      </c>
      <c r="M7365" t="s">
        <v>39646</v>
      </c>
      <c r="N7365" t="s">
        <v>41249</v>
      </c>
      <c r="O7365" t="s">
        <v>41250</v>
      </c>
      <c r="P7365">
        <v>0</v>
      </c>
      <c r="Q7365">
        <v>1</v>
      </c>
      <c r="R7365" t="s">
        <v>41257</v>
      </c>
      <c r="S7365" t="s">
        <v>41461</v>
      </c>
      <c r="T7365" t="s">
        <v>42701</v>
      </c>
      <c r="U7365" t="s">
        <v>49287</v>
      </c>
      <c r="W7365" t="s">
        <v>39646</v>
      </c>
      <c r="X7365" t="s">
        <v>41258</v>
      </c>
    </row>
    <row r="7366" spans="1:24">
      <c r="A7366">
        <f>HYPERLINK("https://www.philgeps.gov.ph/GEPSNONPILOT/Tender/SplashBidNoticeAbstractUI.aspx?menuIndex=3&amp;refID=7069780&amp;Result=3","7069780")</f>
        <v>0</v>
      </c>
      <c r="B7366" t="s">
        <v>2138</v>
      </c>
      <c r="C7366" t="s">
        <v>10407</v>
      </c>
      <c r="D7366" t="s">
        <v>16668</v>
      </c>
      <c r="E7366" t="s">
        <v>23168</v>
      </c>
      <c r="F7366" t="s">
        <v>28669</v>
      </c>
      <c r="G7366" t="s">
        <v>28675</v>
      </c>
      <c r="H7366" t="s">
        <v>28686</v>
      </c>
      <c r="I7366" t="s">
        <v>28689</v>
      </c>
      <c r="J7366" t="s">
        <v>31316</v>
      </c>
      <c r="K7366" t="s">
        <v>37332</v>
      </c>
      <c r="M7366" t="s">
        <v>39783</v>
      </c>
      <c r="N7366" t="s">
        <v>41249</v>
      </c>
      <c r="O7366" t="s">
        <v>41250</v>
      </c>
      <c r="P7366">
        <v>0</v>
      </c>
      <c r="Q7366">
        <v>0</v>
      </c>
      <c r="R7366" t="s">
        <v>41257</v>
      </c>
      <c r="S7366" t="s">
        <v>41461</v>
      </c>
      <c r="T7366" t="s">
        <v>42748</v>
      </c>
      <c r="U7366" t="s">
        <v>49288</v>
      </c>
      <c r="W7366" t="s">
        <v>39783</v>
      </c>
      <c r="X7366" t="s">
        <v>41258</v>
      </c>
    </row>
    <row r="7367" spans="1:24">
      <c r="A7367">
        <f>HYPERLINK("https://www.philgeps.gov.ph/GEPSNONPILOT/Tender/SplashBidNoticeAbstractUI.aspx?menuIndex=3&amp;refID=7069714&amp;Result=3","7069714")</f>
        <v>0</v>
      </c>
      <c r="B7367" t="s">
        <v>2330</v>
      </c>
      <c r="C7367" t="s">
        <v>10408</v>
      </c>
      <c r="D7367" t="s">
        <v>16658</v>
      </c>
      <c r="E7367" t="s">
        <v>18170</v>
      </c>
      <c r="F7367" t="s">
        <v>28669</v>
      </c>
      <c r="G7367" t="s">
        <v>28675</v>
      </c>
      <c r="H7367" t="s">
        <v>9998</v>
      </c>
      <c r="I7367" t="s">
        <v>28688</v>
      </c>
      <c r="J7367" t="s">
        <v>33441</v>
      </c>
      <c r="K7367" t="s">
        <v>37210</v>
      </c>
      <c r="M7367" t="s">
        <v>39992</v>
      </c>
      <c r="N7367" t="s">
        <v>41249</v>
      </c>
      <c r="O7367" t="s">
        <v>41250</v>
      </c>
      <c r="P7367">
        <v>0</v>
      </c>
      <c r="Q7367">
        <v>2</v>
      </c>
      <c r="R7367" t="s">
        <v>41257</v>
      </c>
      <c r="S7367" t="s">
        <v>41461</v>
      </c>
      <c r="T7367" t="s">
        <v>42660</v>
      </c>
      <c r="U7367" t="s">
        <v>49289</v>
      </c>
      <c r="W7367" t="s">
        <v>39992</v>
      </c>
      <c r="X7367" t="s">
        <v>41258</v>
      </c>
    </row>
    <row r="7368" spans="1:24">
      <c r="A7368">
        <f>HYPERLINK("https://www.philgeps.gov.ph/GEPSNONPILOT/Tender/SplashBidNoticeAbstractUI.aspx?menuIndex=3&amp;refID=7069779&amp;Result=3","7069779")</f>
        <v>0</v>
      </c>
      <c r="B7368" t="s">
        <v>1722</v>
      </c>
      <c r="C7368" t="s">
        <v>10409</v>
      </c>
      <c r="D7368" t="s">
        <v>16660</v>
      </c>
      <c r="E7368" t="s">
        <v>23169</v>
      </c>
      <c r="F7368" t="s">
        <v>28669</v>
      </c>
      <c r="G7368" t="s">
        <v>28677</v>
      </c>
      <c r="H7368" t="s">
        <v>9998</v>
      </c>
      <c r="I7368" t="s">
        <v>6458</v>
      </c>
      <c r="J7368" t="s">
        <v>30954</v>
      </c>
      <c r="K7368" t="s">
        <v>37266</v>
      </c>
      <c r="M7368" t="s">
        <v>39321</v>
      </c>
      <c r="N7368" t="s">
        <v>41249</v>
      </c>
      <c r="O7368" t="s">
        <v>41250</v>
      </c>
      <c r="P7368">
        <v>0</v>
      </c>
      <c r="Q7368">
        <v>4</v>
      </c>
      <c r="R7368" t="s">
        <v>41257</v>
      </c>
      <c r="S7368" t="s">
        <v>41461</v>
      </c>
      <c r="T7368" t="s">
        <v>42883</v>
      </c>
      <c r="U7368" t="s">
        <v>49290</v>
      </c>
      <c r="W7368" t="s">
        <v>39321</v>
      </c>
      <c r="X7368" t="s">
        <v>41258</v>
      </c>
    </row>
    <row r="7369" spans="1:24">
      <c r="A7369">
        <f>HYPERLINK("https://www.philgeps.gov.ph/GEPSNONPILOT/Tender/SplashBidNoticeAbstractUI.aspx?menuIndex=3&amp;refID=7069775&amp;Result=3","7069775")</f>
        <v>0</v>
      </c>
      <c r="B7369" t="s">
        <v>2263</v>
      </c>
      <c r="C7369" t="s">
        <v>10410</v>
      </c>
      <c r="D7369" t="s">
        <v>16663</v>
      </c>
      <c r="E7369" t="s">
        <v>23128</v>
      </c>
      <c r="F7369" t="s">
        <v>28669</v>
      </c>
      <c r="G7369" t="s">
        <v>28676</v>
      </c>
      <c r="H7369" t="s">
        <v>9998</v>
      </c>
      <c r="I7369" t="s">
        <v>3718</v>
      </c>
      <c r="J7369" t="s">
        <v>29040</v>
      </c>
      <c r="K7369" t="s">
        <v>37206</v>
      </c>
      <c r="M7369" t="s">
        <v>39918</v>
      </c>
      <c r="N7369" t="s">
        <v>41249</v>
      </c>
      <c r="O7369" t="s">
        <v>41250</v>
      </c>
      <c r="P7369">
        <v>0</v>
      </c>
      <c r="Q7369">
        <v>2</v>
      </c>
      <c r="R7369" t="s">
        <v>41257</v>
      </c>
      <c r="S7369" t="s">
        <v>41461</v>
      </c>
      <c r="T7369" t="s">
        <v>42767</v>
      </c>
      <c r="U7369" t="s">
        <v>49291</v>
      </c>
      <c r="W7369" t="s">
        <v>39918</v>
      </c>
      <c r="X7369" t="s">
        <v>41258</v>
      </c>
    </row>
    <row r="7370" spans="1:24">
      <c r="A7370">
        <f>HYPERLINK("https://www.philgeps.gov.ph/GEPSNONPILOT/Tender/SplashBidNoticeAbstractUI.aspx?menuIndex=3&amp;refID=7069798&amp;Result=3","7069798")</f>
        <v>0</v>
      </c>
      <c r="B7370" t="s">
        <v>2263</v>
      </c>
      <c r="C7370" t="s">
        <v>10411</v>
      </c>
      <c r="D7370" t="s">
        <v>16663</v>
      </c>
      <c r="E7370" t="s">
        <v>23170</v>
      </c>
      <c r="F7370" t="s">
        <v>28669</v>
      </c>
      <c r="G7370" t="s">
        <v>28676</v>
      </c>
      <c r="H7370" t="s">
        <v>9998</v>
      </c>
      <c r="I7370" t="s">
        <v>28722</v>
      </c>
      <c r="J7370" t="s">
        <v>30041</v>
      </c>
      <c r="K7370" t="s">
        <v>37206</v>
      </c>
      <c r="M7370" t="s">
        <v>39918</v>
      </c>
      <c r="N7370" t="s">
        <v>41249</v>
      </c>
      <c r="O7370" t="s">
        <v>41250</v>
      </c>
      <c r="P7370">
        <v>0</v>
      </c>
      <c r="Q7370">
        <v>1</v>
      </c>
      <c r="R7370" t="s">
        <v>41257</v>
      </c>
      <c r="S7370" t="s">
        <v>41461</v>
      </c>
      <c r="T7370" t="s">
        <v>42767</v>
      </c>
      <c r="U7370" t="s">
        <v>49292</v>
      </c>
      <c r="W7370" t="s">
        <v>39918</v>
      </c>
      <c r="X7370" t="s">
        <v>41258</v>
      </c>
    </row>
    <row r="7371" spans="1:24">
      <c r="A7371">
        <f>HYPERLINK("https://www.philgeps.gov.ph/GEPSNONPILOT/Tender/SplashBidNoticeAbstractUI.aspx?menuIndex=3&amp;refID=7069772&amp;Result=3","7069772")</f>
        <v>0</v>
      </c>
      <c r="B7371" t="s">
        <v>2327</v>
      </c>
      <c r="C7371" t="s">
        <v>10305</v>
      </c>
      <c r="D7371" t="s">
        <v>16677</v>
      </c>
      <c r="E7371" t="s">
        <v>23171</v>
      </c>
      <c r="F7371" t="s">
        <v>28669</v>
      </c>
      <c r="G7371" t="s">
        <v>28675</v>
      </c>
      <c r="H7371" t="s">
        <v>9998</v>
      </c>
      <c r="I7371" t="s">
        <v>15140</v>
      </c>
      <c r="J7371" t="s">
        <v>29003</v>
      </c>
      <c r="K7371" t="s">
        <v>37209</v>
      </c>
      <c r="M7371" t="s">
        <v>39988</v>
      </c>
      <c r="N7371" t="s">
        <v>41249</v>
      </c>
      <c r="O7371" t="s">
        <v>41250</v>
      </c>
      <c r="P7371">
        <v>0</v>
      </c>
      <c r="Q7371">
        <v>1</v>
      </c>
      <c r="R7371" t="s">
        <v>41257</v>
      </c>
      <c r="S7371" t="s">
        <v>41461</v>
      </c>
      <c r="T7371" t="s">
        <v>42743</v>
      </c>
      <c r="U7371" t="s">
        <v>49188</v>
      </c>
      <c r="W7371" t="s">
        <v>39988</v>
      </c>
      <c r="X7371" t="s">
        <v>41258</v>
      </c>
    </row>
    <row r="7372" spans="1:24">
      <c r="A7372">
        <f>HYPERLINK("https://www.philgeps.gov.ph/GEPSNONPILOT/Tender/SplashBidNoticeAbstractUI.aspx?menuIndex=3&amp;refID=7069791&amp;Result=3","7069791")</f>
        <v>0</v>
      </c>
      <c r="B7372" t="s">
        <v>2348</v>
      </c>
      <c r="C7372" t="s">
        <v>10412</v>
      </c>
      <c r="D7372" t="s">
        <v>16613</v>
      </c>
      <c r="E7372" t="s">
        <v>23172</v>
      </c>
      <c r="F7372" t="s">
        <v>28669</v>
      </c>
      <c r="G7372" t="s">
        <v>28676</v>
      </c>
      <c r="H7372" t="s">
        <v>9998</v>
      </c>
      <c r="I7372" t="s">
        <v>6128</v>
      </c>
      <c r="J7372" t="s">
        <v>33442</v>
      </c>
      <c r="K7372" t="s">
        <v>37227</v>
      </c>
      <c r="M7372" t="s">
        <v>40016</v>
      </c>
      <c r="N7372" t="s">
        <v>41249</v>
      </c>
      <c r="O7372" t="s">
        <v>41250</v>
      </c>
      <c r="P7372">
        <v>0</v>
      </c>
      <c r="Q7372">
        <v>3</v>
      </c>
      <c r="R7372" t="s">
        <v>41257</v>
      </c>
      <c r="S7372" t="s">
        <v>41461</v>
      </c>
      <c r="T7372" t="s">
        <v>42748</v>
      </c>
      <c r="U7372" t="s">
        <v>49293</v>
      </c>
      <c r="W7372" t="s">
        <v>40016</v>
      </c>
      <c r="X7372" t="s">
        <v>41258</v>
      </c>
    </row>
    <row r="7373" spans="1:24">
      <c r="A7373">
        <f>HYPERLINK("https://www.philgeps.gov.ph/GEPSNONPILOT/Tender/SplashBidNoticeAbstractUI.aspx?menuIndex=3&amp;refID=7069766&amp;Result=3","7069766")</f>
        <v>0</v>
      </c>
      <c r="B7373" t="s">
        <v>1828</v>
      </c>
      <c r="C7373" t="s">
        <v>10413</v>
      </c>
      <c r="E7373" t="s">
        <v>23173</v>
      </c>
      <c r="F7373" t="s">
        <v>28669</v>
      </c>
      <c r="G7373" t="s">
        <v>28675</v>
      </c>
      <c r="H7373" t="s">
        <v>28686</v>
      </c>
      <c r="I7373" t="s">
        <v>28689</v>
      </c>
      <c r="J7373" t="s">
        <v>33440</v>
      </c>
      <c r="K7373" t="s">
        <v>37212</v>
      </c>
      <c r="M7373" t="s">
        <v>39441</v>
      </c>
      <c r="N7373" t="s">
        <v>41249</v>
      </c>
      <c r="O7373" t="s">
        <v>41250</v>
      </c>
      <c r="P7373">
        <v>0</v>
      </c>
      <c r="Q7373">
        <v>0</v>
      </c>
      <c r="R7373" t="s">
        <v>41257</v>
      </c>
      <c r="S7373" t="s">
        <v>41461</v>
      </c>
      <c r="T7373" t="s">
        <v>42667</v>
      </c>
      <c r="U7373" t="s">
        <v>49294</v>
      </c>
      <c r="W7373" t="s">
        <v>39441</v>
      </c>
      <c r="X7373" t="s">
        <v>41258</v>
      </c>
    </row>
    <row r="7374" spans="1:24">
      <c r="A7374">
        <f>HYPERLINK("https://www.philgeps.gov.ph/GEPSNONPILOT/Tender/SplashBidNoticeAbstractUI.aspx?menuIndex=3&amp;refID=7069786&amp;Result=3","7069786")</f>
        <v>0</v>
      </c>
      <c r="B7374" t="s">
        <v>2263</v>
      </c>
      <c r="C7374" t="s">
        <v>10414</v>
      </c>
      <c r="D7374" t="s">
        <v>16663</v>
      </c>
      <c r="E7374" t="s">
        <v>23174</v>
      </c>
      <c r="F7374" t="s">
        <v>28669</v>
      </c>
      <c r="G7374" t="s">
        <v>28676</v>
      </c>
      <c r="H7374" t="s">
        <v>9998</v>
      </c>
      <c r="I7374" t="s">
        <v>28688</v>
      </c>
      <c r="J7374" t="s">
        <v>33443</v>
      </c>
      <c r="K7374" t="s">
        <v>37206</v>
      </c>
      <c r="M7374" t="s">
        <v>39918</v>
      </c>
      <c r="N7374" t="s">
        <v>41249</v>
      </c>
      <c r="O7374" t="s">
        <v>41250</v>
      </c>
      <c r="P7374">
        <v>0</v>
      </c>
      <c r="Q7374">
        <v>4</v>
      </c>
      <c r="R7374" t="s">
        <v>41257</v>
      </c>
      <c r="S7374" t="s">
        <v>41461</v>
      </c>
      <c r="T7374" t="s">
        <v>42767</v>
      </c>
      <c r="U7374" t="s">
        <v>49295</v>
      </c>
      <c r="W7374" t="s">
        <v>39918</v>
      </c>
      <c r="X7374" t="s">
        <v>41258</v>
      </c>
    </row>
    <row r="7375" spans="1:24">
      <c r="A7375">
        <f>HYPERLINK("https://www.philgeps.gov.ph/GEPSNONPILOT/Tender/SplashBidNoticeAbstractUI.aspx?menuIndex=3&amp;refID=7069762&amp;Result=3","7069762")</f>
        <v>0</v>
      </c>
      <c r="B7375" t="s">
        <v>2349</v>
      </c>
      <c r="C7375" t="s">
        <v>10415</v>
      </c>
      <c r="D7375" t="s">
        <v>16691</v>
      </c>
      <c r="E7375" t="s">
        <v>23175</v>
      </c>
      <c r="F7375" t="s">
        <v>28669</v>
      </c>
      <c r="G7375" t="s">
        <v>28675</v>
      </c>
      <c r="H7375" t="s">
        <v>28686</v>
      </c>
      <c r="I7375" t="s">
        <v>28689</v>
      </c>
      <c r="J7375" t="s">
        <v>28924</v>
      </c>
      <c r="K7375" t="s">
        <v>37220</v>
      </c>
      <c r="M7375" t="s">
        <v>40017</v>
      </c>
      <c r="N7375" t="s">
        <v>41249</v>
      </c>
      <c r="O7375" t="s">
        <v>41250</v>
      </c>
      <c r="Q7375">
        <v>0</v>
      </c>
      <c r="R7375" t="s">
        <v>41257</v>
      </c>
      <c r="S7375" t="s">
        <v>41501</v>
      </c>
      <c r="T7375" t="s">
        <v>42782</v>
      </c>
      <c r="U7375" t="s">
        <v>49296</v>
      </c>
      <c r="W7375" t="s">
        <v>40017</v>
      </c>
      <c r="X7375" t="s">
        <v>41258</v>
      </c>
    </row>
    <row r="7376" spans="1:24">
      <c r="A7376">
        <f>HYPERLINK("https://www.philgeps.gov.ph/GEPSNONPILOT/Tender/SplashBidNoticeAbstractUI.aspx?menuIndex=3&amp;refID=7069781&amp;Result=3","7069781")</f>
        <v>0</v>
      </c>
      <c r="B7376" t="s">
        <v>2327</v>
      </c>
      <c r="C7376" t="s">
        <v>10305</v>
      </c>
      <c r="D7376" t="s">
        <v>16677</v>
      </c>
      <c r="E7376" t="s">
        <v>23176</v>
      </c>
      <c r="F7376" t="s">
        <v>28669</v>
      </c>
      <c r="G7376" t="s">
        <v>28675</v>
      </c>
      <c r="H7376" t="s">
        <v>9998</v>
      </c>
      <c r="I7376" t="s">
        <v>15140</v>
      </c>
      <c r="J7376" t="s">
        <v>29227</v>
      </c>
      <c r="K7376" t="s">
        <v>37209</v>
      </c>
      <c r="M7376" t="s">
        <v>39988</v>
      </c>
      <c r="N7376" t="s">
        <v>41249</v>
      </c>
      <c r="O7376" t="s">
        <v>41250</v>
      </c>
      <c r="P7376">
        <v>0</v>
      </c>
      <c r="Q7376">
        <v>0</v>
      </c>
      <c r="R7376" t="s">
        <v>41257</v>
      </c>
      <c r="S7376" t="s">
        <v>41461</v>
      </c>
      <c r="T7376" t="s">
        <v>42743</v>
      </c>
      <c r="U7376" t="s">
        <v>49188</v>
      </c>
      <c r="W7376" t="s">
        <v>39988</v>
      </c>
      <c r="X7376" t="s">
        <v>41258</v>
      </c>
    </row>
    <row r="7377" spans="1:24">
      <c r="A7377">
        <f>HYPERLINK("https://www.philgeps.gov.ph/GEPSNONPILOT/Tender/SplashBidNoticeAbstractUI.aspx?menuIndex=3&amp;refID=7069870&amp;Result=3","7069870")</f>
        <v>0</v>
      </c>
      <c r="B7377" t="s">
        <v>2346</v>
      </c>
      <c r="C7377" t="s">
        <v>10416</v>
      </c>
      <c r="D7377" t="s">
        <v>16654</v>
      </c>
      <c r="E7377" t="s">
        <v>23153</v>
      </c>
      <c r="F7377" t="s">
        <v>28669</v>
      </c>
      <c r="G7377" t="s">
        <v>28675</v>
      </c>
      <c r="H7377" t="s">
        <v>28686</v>
      </c>
      <c r="I7377" t="s">
        <v>28689</v>
      </c>
      <c r="J7377" t="s">
        <v>29003</v>
      </c>
      <c r="K7377" t="s">
        <v>37221</v>
      </c>
      <c r="M7377" t="s">
        <v>40012</v>
      </c>
      <c r="N7377" t="s">
        <v>41249</v>
      </c>
      <c r="O7377" t="s">
        <v>41250</v>
      </c>
      <c r="P7377">
        <v>0</v>
      </c>
      <c r="Q7377">
        <v>0</v>
      </c>
      <c r="R7377" t="s">
        <v>41257</v>
      </c>
      <c r="S7377" t="s">
        <v>41461</v>
      </c>
      <c r="T7377" t="s">
        <v>42997</v>
      </c>
      <c r="U7377" t="s">
        <v>49274</v>
      </c>
      <c r="W7377" t="s">
        <v>40012</v>
      </c>
      <c r="X7377" t="s">
        <v>41258</v>
      </c>
    </row>
    <row r="7378" spans="1:24">
      <c r="A7378">
        <f>HYPERLINK("https://www.philgeps.gov.ph/GEPSNONPILOT/Tender/SplashBidNoticeAbstractUI.aspx?menuIndex=3&amp;refID=7069777&amp;Result=3","7069777")</f>
        <v>0</v>
      </c>
      <c r="B7378" t="s">
        <v>1828</v>
      </c>
      <c r="C7378" t="s">
        <v>10417</v>
      </c>
      <c r="E7378" t="s">
        <v>23177</v>
      </c>
      <c r="F7378" t="s">
        <v>28669</v>
      </c>
      <c r="G7378" t="s">
        <v>28675</v>
      </c>
      <c r="H7378" t="s">
        <v>28686</v>
      </c>
      <c r="I7378" t="s">
        <v>28689</v>
      </c>
      <c r="J7378" t="s">
        <v>28850</v>
      </c>
      <c r="K7378" t="s">
        <v>37276</v>
      </c>
      <c r="M7378" t="s">
        <v>39441</v>
      </c>
      <c r="N7378" t="s">
        <v>41249</v>
      </c>
      <c r="O7378" t="s">
        <v>41250</v>
      </c>
      <c r="P7378">
        <v>0</v>
      </c>
      <c r="Q7378">
        <v>0</v>
      </c>
      <c r="R7378" t="s">
        <v>41257</v>
      </c>
      <c r="S7378" t="s">
        <v>41461</v>
      </c>
      <c r="T7378" t="s">
        <v>42667</v>
      </c>
      <c r="U7378" t="s">
        <v>49297</v>
      </c>
      <c r="W7378" t="s">
        <v>39441</v>
      </c>
      <c r="X7378" t="s">
        <v>41258</v>
      </c>
    </row>
    <row r="7379" spans="1:24">
      <c r="A7379">
        <f>HYPERLINK("https://www.philgeps.gov.ph/GEPSNONPILOT/Tender/SplashBidNoticeAbstractUI.aspx?menuIndex=3&amp;refID=7069861&amp;Result=3","7069861")</f>
        <v>0</v>
      </c>
      <c r="B7379" t="s">
        <v>1327</v>
      </c>
      <c r="C7379" t="s">
        <v>10418</v>
      </c>
      <c r="D7379" t="s">
        <v>16627</v>
      </c>
      <c r="E7379" t="s">
        <v>23178</v>
      </c>
      <c r="F7379" t="s">
        <v>28669</v>
      </c>
      <c r="G7379" t="s">
        <v>28675</v>
      </c>
      <c r="H7379" t="s">
        <v>9998</v>
      </c>
      <c r="I7379" t="s">
        <v>28707</v>
      </c>
      <c r="J7379" t="s">
        <v>33444</v>
      </c>
      <c r="K7379" t="s">
        <v>37213</v>
      </c>
      <c r="M7379" t="s">
        <v>38880</v>
      </c>
      <c r="N7379" t="s">
        <v>41249</v>
      </c>
      <c r="O7379" t="s">
        <v>41250</v>
      </c>
      <c r="P7379">
        <v>0</v>
      </c>
      <c r="Q7379">
        <v>4</v>
      </c>
      <c r="R7379" t="s">
        <v>41257</v>
      </c>
      <c r="S7379" t="s">
        <v>41461</v>
      </c>
      <c r="T7379" t="s">
        <v>42715</v>
      </c>
      <c r="U7379" t="s">
        <v>49298</v>
      </c>
      <c r="W7379" t="s">
        <v>38880</v>
      </c>
      <c r="X7379" t="s">
        <v>41258</v>
      </c>
    </row>
    <row r="7380" spans="1:24">
      <c r="A7380">
        <f>HYPERLINK("https://www.philgeps.gov.ph/GEPSNONPILOT/Tender/SplashBidNoticeAbstractUI.aspx?menuIndex=3&amp;refID=7069763&amp;Result=3","7069763")</f>
        <v>0</v>
      </c>
      <c r="B7380" t="s">
        <v>1990</v>
      </c>
      <c r="C7380" t="s">
        <v>10419</v>
      </c>
      <c r="D7380" t="s">
        <v>16643</v>
      </c>
      <c r="E7380" t="s">
        <v>23179</v>
      </c>
      <c r="F7380" t="s">
        <v>28669</v>
      </c>
      <c r="G7380" t="s">
        <v>28676</v>
      </c>
      <c r="H7380" t="s">
        <v>9998</v>
      </c>
      <c r="I7380" t="s">
        <v>6128</v>
      </c>
      <c r="J7380" t="s">
        <v>29949</v>
      </c>
      <c r="K7380" t="s">
        <v>37205</v>
      </c>
      <c r="M7380" t="s">
        <v>39626</v>
      </c>
      <c r="N7380" t="s">
        <v>41249</v>
      </c>
      <c r="O7380" t="s">
        <v>41250</v>
      </c>
      <c r="P7380">
        <v>0</v>
      </c>
      <c r="Q7380">
        <v>6</v>
      </c>
      <c r="R7380" t="s">
        <v>41257</v>
      </c>
      <c r="S7380" t="s">
        <v>41461</v>
      </c>
      <c r="T7380" t="s">
        <v>42910</v>
      </c>
      <c r="U7380" t="s">
        <v>48075</v>
      </c>
      <c r="W7380" t="s">
        <v>39626</v>
      </c>
      <c r="X7380" t="s">
        <v>41258</v>
      </c>
    </row>
    <row r="7381" spans="1:24">
      <c r="A7381">
        <f>HYPERLINK("https://www.philgeps.gov.ph/GEPSNONPILOT/Tender/SplashBidNoticeAbstractUI.aspx?menuIndex=3&amp;refID=7069860&amp;Result=3","7069860")</f>
        <v>0</v>
      </c>
      <c r="B7381" t="s">
        <v>1722</v>
      </c>
      <c r="C7381" t="s">
        <v>10420</v>
      </c>
      <c r="D7381" t="s">
        <v>16660</v>
      </c>
      <c r="E7381" t="s">
        <v>23180</v>
      </c>
      <c r="F7381" t="s">
        <v>28669</v>
      </c>
      <c r="G7381" t="s">
        <v>28677</v>
      </c>
      <c r="H7381" t="s">
        <v>9998</v>
      </c>
      <c r="I7381" t="s">
        <v>7352</v>
      </c>
      <c r="J7381" t="s">
        <v>29151</v>
      </c>
      <c r="K7381" t="s">
        <v>37266</v>
      </c>
      <c r="M7381" t="s">
        <v>39321</v>
      </c>
      <c r="N7381" t="s">
        <v>41249</v>
      </c>
      <c r="O7381" t="s">
        <v>41250</v>
      </c>
      <c r="P7381">
        <v>0</v>
      </c>
      <c r="Q7381">
        <v>5</v>
      </c>
      <c r="R7381" t="s">
        <v>41257</v>
      </c>
      <c r="S7381" t="s">
        <v>41461</v>
      </c>
      <c r="T7381" t="s">
        <v>42883</v>
      </c>
      <c r="U7381" t="s">
        <v>49299</v>
      </c>
      <c r="W7381" t="s">
        <v>39321</v>
      </c>
      <c r="X7381" t="s">
        <v>41258</v>
      </c>
    </row>
    <row r="7382" spans="1:24">
      <c r="A7382">
        <f>HYPERLINK("https://www.philgeps.gov.ph/GEPSNONPILOT/Tender/SplashBidNoticeAbstractUI.aspx?menuIndex=3&amp;refID=7069759&amp;Result=3","7069759")</f>
        <v>0</v>
      </c>
      <c r="B7382" t="s">
        <v>2054</v>
      </c>
      <c r="C7382" t="s">
        <v>10421</v>
      </c>
      <c r="D7382" t="s">
        <v>16641</v>
      </c>
      <c r="E7382" t="s">
        <v>23181</v>
      </c>
      <c r="F7382" t="s">
        <v>28669</v>
      </c>
      <c r="G7382" t="s">
        <v>28675</v>
      </c>
      <c r="H7382" t="s">
        <v>9998</v>
      </c>
      <c r="I7382" t="s">
        <v>28756</v>
      </c>
      <c r="J7382" t="s">
        <v>29593</v>
      </c>
      <c r="K7382" t="s">
        <v>37385</v>
      </c>
      <c r="L7382" t="s">
        <v>2054</v>
      </c>
      <c r="M7382" t="s">
        <v>39694</v>
      </c>
      <c r="N7382" t="s">
        <v>41249</v>
      </c>
      <c r="O7382" t="s">
        <v>41250</v>
      </c>
      <c r="P7382">
        <v>0</v>
      </c>
      <c r="Q7382">
        <v>0</v>
      </c>
      <c r="R7382" t="s">
        <v>41257</v>
      </c>
      <c r="S7382" t="s">
        <v>41461</v>
      </c>
      <c r="T7382" t="s">
        <v>42827</v>
      </c>
      <c r="U7382" t="s">
        <v>49300</v>
      </c>
      <c r="W7382" t="s">
        <v>39694</v>
      </c>
      <c r="X7382" t="s">
        <v>41258</v>
      </c>
    </row>
    <row r="7383" spans="1:24">
      <c r="A7383">
        <f>HYPERLINK("https://www.philgeps.gov.ph/GEPSNONPILOT/Tender/SplashBidNoticeAbstractUI.aspx?menuIndex=3&amp;refID=7069855&amp;Result=3","7069855")</f>
        <v>0</v>
      </c>
      <c r="B7383" t="s">
        <v>935</v>
      </c>
      <c r="C7383" t="s">
        <v>10422</v>
      </c>
      <c r="D7383" t="s">
        <v>16631</v>
      </c>
      <c r="E7383" t="s">
        <v>23182</v>
      </c>
      <c r="F7383" t="s">
        <v>28669</v>
      </c>
      <c r="G7383" t="s">
        <v>28675</v>
      </c>
      <c r="H7383" t="s">
        <v>9998</v>
      </c>
      <c r="I7383" t="s">
        <v>28697</v>
      </c>
      <c r="J7383" t="s">
        <v>33445</v>
      </c>
      <c r="K7383" t="s">
        <v>37221</v>
      </c>
      <c r="M7383" t="s">
        <v>40013</v>
      </c>
      <c r="N7383" t="s">
        <v>41249</v>
      </c>
      <c r="O7383" t="s">
        <v>41250</v>
      </c>
      <c r="P7383">
        <v>0</v>
      </c>
      <c r="Q7383">
        <v>9</v>
      </c>
      <c r="R7383" t="s">
        <v>41257</v>
      </c>
      <c r="S7383" t="s">
        <v>41461</v>
      </c>
      <c r="T7383" t="s">
        <v>42873</v>
      </c>
      <c r="U7383" t="s">
        <v>49301</v>
      </c>
      <c r="W7383" t="s">
        <v>40013</v>
      </c>
      <c r="X7383" t="s">
        <v>41258</v>
      </c>
    </row>
    <row r="7384" spans="1:24">
      <c r="A7384">
        <f>HYPERLINK("https://www.philgeps.gov.ph/GEPSNONPILOT/Tender/SplashBidNoticeAbstractUI.aspx?menuIndex=3&amp;refID=7069844&amp;Result=3","7069844")</f>
        <v>0</v>
      </c>
      <c r="B7384" t="s">
        <v>452</v>
      </c>
      <c r="C7384" t="s">
        <v>10423</v>
      </c>
      <c r="D7384" t="s">
        <v>16608</v>
      </c>
      <c r="E7384" t="s">
        <v>23183</v>
      </c>
      <c r="F7384" t="s">
        <v>28669</v>
      </c>
      <c r="G7384" t="s">
        <v>28682</v>
      </c>
      <c r="H7384" t="s">
        <v>9998</v>
      </c>
      <c r="I7384" t="s">
        <v>11593</v>
      </c>
      <c r="J7384" t="s">
        <v>33446</v>
      </c>
      <c r="K7384" t="s">
        <v>37206</v>
      </c>
      <c r="M7384" t="s">
        <v>37940</v>
      </c>
      <c r="N7384" t="s">
        <v>41249</v>
      </c>
      <c r="O7384" t="s">
        <v>41250</v>
      </c>
      <c r="Q7384">
        <v>26</v>
      </c>
      <c r="R7384" t="s">
        <v>41257</v>
      </c>
      <c r="S7384" t="s">
        <v>41502</v>
      </c>
      <c r="T7384" t="s">
        <v>42716</v>
      </c>
      <c r="U7384" t="s">
        <v>45323</v>
      </c>
      <c r="W7384" t="s">
        <v>37940</v>
      </c>
      <c r="X7384" t="s">
        <v>41258</v>
      </c>
    </row>
    <row r="7385" spans="1:24">
      <c r="A7385">
        <f>HYPERLINK("https://www.philgeps.gov.ph/GEPSNONPILOT/Tender/SplashBidNoticeAbstractUI.aspx?menuIndex=3&amp;refID=7069837&amp;Result=3","7069837")</f>
        <v>0</v>
      </c>
      <c r="B7385" t="s">
        <v>2277</v>
      </c>
      <c r="C7385" t="s">
        <v>10424</v>
      </c>
      <c r="D7385" t="s">
        <v>16626</v>
      </c>
      <c r="E7385" t="s">
        <v>16958</v>
      </c>
      <c r="F7385" t="s">
        <v>28669</v>
      </c>
      <c r="G7385" t="s">
        <v>28675</v>
      </c>
      <c r="H7385" t="s">
        <v>9998</v>
      </c>
      <c r="I7385" t="s">
        <v>6606</v>
      </c>
      <c r="J7385" t="s">
        <v>33447</v>
      </c>
      <c r="K7385" t="s">
        <v>37209</v>
      </c>
      <c r="M7385" t="s">
        <v>39932</v>
      </c>
      <c r="N7385" t="s">
        <v>41249</v>
      </c>
      <c r="O7385" t="s">
        <v>41250</v>
      </c>
      <c r="P7385">
        <v>0</v>
      </c>
      <c r="Q7385">
        <v>0</v>
      </c>
      <c r="R7385" t="s">
        <v>41257</v>
      </c>
      <c r="S7385" t="s">
        <v>41461</v>
      </c>
      <c r="T7385" t="s">
        <v>42809</v>
      </c>
      <c r="U7385" t="s">
        <v>49302</v>
      </c>
      <c r="W7385" t="s">
        <v>39932</v>
      </c>
      <c r="X7385" t="s">
        <v>41258</v>
      </c>
    </row>
    <row r="7386" spans="1:24">
      <c r="A7386">
        <f>HYPERLINK("https://www.philgeps.gov.ph/GEPSNONPILOT/Tender/SplashBidNoticeAbstractUI.aspx?menuIndex=3&amp;refID=7069869&amp;Result=3","7069869")</f>
        <v>0</v>
      </c>
      <c r="B7386" t="s">
        <v>607</v>
      </c>
      <c r="C7386" t="s">
        <v>10425</v>
      </c>
      <c r="D7386" t="s">
        <v>16657</v>
      </c>
      <c r="E7386" t="s">
        <v>21459</v>
      </c>
      <c r="F7386" t="s">
        <v>28669</v>
      </c>
      <c r="G7386" t="s">
        <v>28675</v>
      </c>
      <c r="H7386" t="s">
        <v>9998</v>
      </c>
      <c r="I7386" t="s">
        <v>28687</v>
      </c>
      <c r="J7386" t="s">
        <v>28924</v>
      </c>
      <c r="K7386" t="s">
        <v>37213</v>
      </c>
      <c r="M7386" t="s">
        <v>38107</v>
      </c>
      <c r="N7386" t="s">
        <v>41249</v>
      </c>
      <c r="O7386" t="s">
        <v>41250</v>
      </c>
      <c r="P7386">
        <v>0</v>
      </c>
      <c r="Q7386">
        <v>9</v>
      </c>
      <c r="R7386" t="s">
        <v>41257</v>
      </c>
      <c r="S7386" t="s">
        <v>41461</v>
      </c>
      <c r="T7386" t="s">
        <v>42729</v>
      </c>
      <c r="U7386" t="s">
        <v>49303</v>
      </c>
      <c r="W7386" t="s">
        <v>38107</v>
      </c>
      <c r="X7386" t="s">
        <v>41258</v>
      </c>
    </row>
    <row r="7387" spans="1:24">
      <c r="A7387">
        <f>HYPERLINK("https://www.philgeps.gov.ph/GEPSNONPILOT/Tender/SplashBidNoticeAbstractUI.aspx?menuIndex=3&amp;refID=7069834&amp;Result=3","7069834")</f>
        <v>0</v>
      </c>
      <c r="B7387" t="s">
        <v>2350</v>
      </c>
      <c r="C7387" t="s">
        <v>10426</v>
      </c>
      <c r="D7387" t="s">
        <v>16625</v>
      </c>
      <c r="E7387" t="s">
        <v>23184</v>
      </c>
      <c r="F7387" t="s">
        <v>28669</v>
      </c>
      <c r="G7387" t="s">
        <v>28677</v>
      </c>
      <c r="H7387" t="s">
        <v>9998</v>
      </c>
      <c r="I7387" t="s">
        <v>11593</v>
      </c>
      <c r="J7387" t="s">
        <v>29208</v>
      </c>
      <c r="K7387" t="s">
        <v>37206</v>
      </c>
      <c r="M7387" t="s">
        <v>40018</v>
      </c>
      <c r="N7387" t="s">
        <v>41249</v>
      </c>
      <c r="O7387" t="s">
        <v>41250</v>
      </c>
      <c r="P7387">
        <v>0</v>
      </c>
      <c r="Q7387">
        <v>2</v>
      </c>
      <c r="R7387" t="s">
        <v>41257</v>
      </c>
      <c r="S7387" t="s">
        <v>41461</v>
      </c>
      <c r="T7387" t="s">
        <v>42727</v>
      </c>
      <c r="U7387" t="s">
        <v>49304</v>
      </c>
      <c r="W7387" t="s">
        <v>40018</v>
      </c>
      <c r="X7387" t="s">
        <v>41258</v>
      </c>
    </row>
    <row r="7388" spans="1:24">
      <c r="A7388">
        <f>HYPERLINK("https://www.philgeps.gov.ph/GEPSNONPILOT/Tender/SplashBidNoticeAbstractUI.aspx?menuIndex=3&amp;refID=7069831&amp;Result=3","7069831")</f>
        <v>0</v>
      </c>
      <c r="B7388" t="s">
        <v>2351</v>
      </c>
      <c r="C7388" t="s">
        <v>10427</v>
      </c>
      <c r="D7388" t="s">
        <v>16687</v>
      </c>
      <c r="E7388" t="s">
        <v>23185</v>
      </c>
      <c r="F7388" t="s">
        <v>28669</v>
      </c>
      <c r="G7388" t="s">
        <v>28675</v>
      </c>
      <c r="H7388" t="s">
        <v>9998</v>
      </c>
      <c r="I7388" t="s">
        <v>28689</v>
      </c>
      <c r="J7388" t="s">
        <v>28924</v>
      </c>
      <c r="K7388" t="s">
        <v>37209</v>
      </c>
      <c r="M7388" t="s">
        <v>40019</v>
      </c>
      <c r="N7388" t="s">
        <v>41249</v>
      </c>
      <c r="O7388" t="s">
        <v>41250</v>
      </c>
      <c r="P7388">
        <v>0</v>
      </c>
      <c r="Q7388">
        <v>1</v>
      </c>
      <c r="R7388" t="s">
        <v>41257</v>
      </c>
      <c r="S7388" t="s">
        <v>41461</v>
      </c>
      <c r="T7388" t="s">
        <v>42701</v>
      </c>
      <c r="U7388" t="s">
        <v>49305</v>
      </c>
      <c r="W7388" t="s">
        <v>40019</v>
      </c>
      <c r="X7388" t="s">
        <v>41258</v>
      </c>
    </row>
    <row r="7389" spans="1:24">
      <c r="A7389">
        <f>HYPERLINK("https://www.philgeps.gov.ph/GEPSNONPILOT/Tender/SplashBidNoticeAbstractUI.aspx?menuIndex=3&amp;refID=7069923&amp;Result=3","7069923")</f>
        <v>0</v>
      </c>
      <c r="B7389" t="s">
        <v>2352</v>
      </c>
      <c r="C7389" t="s">
        <v>10428</v>
      </c>
      <c r="D7389" t="s">
        <v>16658</v>
      </c>
      <c r="E7389" t="s">
        <v>23186</v>
      </c>
      <c r="F7389" t="s">
        <v>28669</v>
      </c>
      <c r="G7389" t="s">
        <v>28677</v>
      </c>
      <c r="H7389" t="s">
        <v>9998</v>
      </c>
      <c r="I7389" t="s">
        <v>11142</v>
      </c>
      <c r="J7389" t="s">
        <v>29593</v>
      </c>
      <c r="K7389" t="s">
        <v>37205</v>
      </c>
      <c r="M7389" t="s">
        <v>40020</v>
      </c>
      <c r="N7389" t="s">
        <v>41249</v>
      </c>
      <c r="O7389" t="s">
        <v>41250</v>
      </c>
      <c r="P7389">
        <v>0</v>
      </c>
      <c r="Q7389">
        <v>6</v>
      </c>
      <c r="R7389" t="s">
        <v>41257</v>
      </c>
      <c r="S7389" t="s">
        <v>41461</v>
      </c>
      <c r="T7389" t="s">
        <v>42883</v>
      </c>
      <c r="U7389" t="s">
        <v>49306</v>
      </c>
      <c r="W7389" t="s">
        <v>40020</v>
      </c>
      <c r="X7389" t="s">
        <v>41258</v>
      </c>
    </row>
    <row r="7390" spans="1:24">
      <c r="A7390">
        <f>HYPERLINK("https://www.philgeps.gov.ph/GEPSNONPILOT/Tender/SplashBidNoticeAbstractUI.aspx?menuIndex=3&amp;refID=7069852&amp;Result=3","7069852")</f>
        <v>0</v>
      </c>
      <c r="B7390" t="s">
        <v>1562</v>
      </c>
      <c r="C7390" t="s">
        <v>10429</v>
      </c>
      <c r="D7390" t="s">
        <v>16671</v>
      </c>
      <c r="E7390" t="s">
        <v>23187</v>
      </c>
      <c r="F7390" t="s">
        <v>28669</v>
      </c>
      <c r="G7390" t="s">
        <v>28676</v>
      </c>
      <c r="H7390" t="s">
        <v>9998</v>
      </c>
      <c r="I7390" t="s">
        <v>28695</v>
      </c>
      <c r="J7390" t="s">
        <v>29497</v>
      </c>
      <c r="K7390" t="s">
        <v>37205</v>
      </c>
      <c r="M7390" t="s">
        <v>39139</v>
      </c>
      <c r="N7390" t="s">
        <v>41249</v>
      </c>
      <c r="O7390" t="s">
        <v>41250</v>
      </c>
      <c r="P7390">
        <v>0</v>
      </c>
      <c r="Q7390">
        <v>0</v>
      </c>
      <c r="R7390" t="s">
        <v>41257</v>
      </c>
      <c r="S7390" t="s">
        <v>41461</v>
      </c>
      <c r="T7390" t="s">
        <v>42802</v>
      </c>
      <c r="U7390" t="s">
        <v>49307</v>
      </c>
      <c r="W7390" t="s">
        <v>39139</v>
      </c>
      <c r="X7390" t="s">
        <v>41258</v>
      </c>
    </row>
    <row r="7391" spans="1:24">
      <c r="A7391">
        <f>HYPERLINK("https://www.philgeps.gov.ph/GEPSNONPILOT/Tender/SplashBidNoticeAbstractUI.aspx?menuIndex=3&amp;refID=7069922&amp;Result=3","7069922")</f>
        <v>0</v>
      </c>
      <c r="B7391" t="s">
        <v>2353</v>
      </c>
      <c r="C7391" t="s">
        <v>10430</v>
      </c>
      <c r="D7391" t="s">
        <v>16658</v>
      </c>
      <c r="E7391" t="s">
        <v>23188</v>
      </c>
      <c r="F7391" t="s">
        <v>28669</v>
      </c>
      <c r="G7391" t="s">
        <v>28675</v>
      </c>
      <c r="H7391" t="s">
        <v>9998</v>
      </c>
      <c r="I7391" t="s">
        <v>7352</v>
      </c>
      <c r="J7391" t="s">
        <v>28914</v>
      </c>
      <c r="K7391" t="s">
        <v>37205</v>
      </c>
      <c r="M7391" t="s">
        <v>40021</v>
      </c>
      <c r="N7391" t="s">
        <v>41249</v>
      </c>
      <c r="O7391" t="s">
        <v>41250</v>
      </c>
      <c r="P7391">
        <v>0</v>
      </c>
      <c r="Q7391">
        <v>0</v>
      </c>
      <c r="R7391" t="s">
        <v>41257</v>
      </c>
      <c r="S7391" t="s">
        <v>41461</v>
      </c>
      <c r="T7391" t="s">
        <v>42838</v>
      </c>
      <c r="U7391" t="s">
        <v>49308</v>
      </c>
      <c r="W7391" t="s">
        <v>40021</v>
      </c>
      <c r="X7391" t="s">
        <v>41258</v>
      </c>
    </row>
    <row r="7392" spans="1:24">
      <c r="A7392">
        <f>HYPERLINK("https://www.philgeps.gov.ph/GEPSNONPILOT/Tender/SplashBidNoticeAbstractUI.aspx?menuIndex=3&amp;refID=7069914&amp;Result=3","7069914")</f>
        <v>0</v>
      </c>
      <c r="B7392" t="s">
        <v>2354</v>
      </c>
      <c r="C7392" t="s">
        <v>10431</v>
      </c>
      <c r="D7392" t="s">
        <v>16616</v>
      </c>
      <c r="E7392" t="s">
        <v>23189</v>
      </c>
      <c r="F7392" t="s">
        <v>28669</v>
      </c>
      <c r="G7392" t="s">
        <v>28675</v>
      </c>
      <c r="H7392" t="s">
        <v>28686</v>
      </c>
      <c r="I7392" t="s">
        <v>28689</v>
      </c>
      <c r="J7392" t="s">
        <v>31197</v>
      </c>
      <c r="K7392" t="s">
        <v>37386</v>
      </c>
      <c r="M7392" t="s">
        <v>40022</v>
      </c>
      <c r="N7392" t="s">
        <v>41249</v>
      </c>
      <c r="O7392" t="s">
        <v>41250</v>
      </c>
      <c r="P7392">
        <v>0</v>
      </c>
      <c r="Q7392">
        <v>0</v>
      </c>
      <c r="R7392" t="s">
        <v>41257</v>
      </c>
      <c r="S7392" t="s">
        <v>41461</v>
      </c>
      <c r="T7392" t="s">
        <v>42761</v>
      </c>
      <c r="U7392" t="s">
        <v>49309</v>
      </c>
      <c r="W7392" t="s">
        <v>40022</v>
      </c>
      <c r="X7392" t="s">
        <v>41258</v>
      </c>
    </row>
    <row r="7393" spans="1:24">
      <c r="A7393">
        <f>HYPERLINK("https://www.philgeps.gov.ph/GEPSNONPILOT/Tender/SplashBidNoticeAbstractUI.aspx?menuIndex=3&amp;refID=7069913&amp;Result=3","7069913")</f>
        <v>0</v>
      </c>
      <c r="B7393" t="s">
        <v>1990</v>
      </c>
      <c r="C7393" t="s">
        <v>10432</v>
      </c>
      <c r="D7393" t="s">
        <v>16643</v>
      </c>
      <c r="E7393" t="s">
        <v>23190</v>
      </c>
      <c r="F7393" t="s">
        <v>28669</v>
      </c>
      <c r="G7393" t="s">
        <v>28675</v>
      </c>
      <c r="H7393" t="s">
        <v>9998</v>
      </c>
      <c r="I7393" t="s">
        <v>28805</v>
      </c>
      <c r="J7393" t="s">
        <v>29003</v>
      </c>
      <c r="K7393" t="s">
        <v>37205</v>
      </c>
      <c r="M7393" t="s">
        <v>39626</v>
      </c>
      <c r="N7393" t="s">
        <v>41249</v>
      </c>
      <c r="O7393" t="s">
        <v>41250</v>
      </c>
      <c r="P7393">
        <v>0</v>
      </c>
      <c r="Q7393">
        <v>0</v>
      </c>
      <c r="R7393" t="s">
        <v>41257</v>
      </c>
      <c r="S7393" t="s">
        <v>41461</v>
      </c>
      <c r="T7393" t="s">
        <v>42876</v>
      </c>
      <c r="U7393" t="s">
        <v>49310</v>
      </c>
      <c r="W7393" t="s">
        <v>39626</v>
      </c>
      <c r="X7393" t="s">
        <v>41258</v>
      </c>
    </row>
    <row r="7394" spans="1:24">
      <c r="A7394">
        <f>HYPERLINK("https://www.philgeps.gov.ph/GEPSNONPILOT/Tender/SplashBidNoticeAbstractUI.aspx?menuIndex=3&amp;refID=7069836&amp;Result=3","7069836")</f>
        <v>0</v>
      </c>
      <c r="B7394" t="s">
        <v>1920</v>
      </c>
      <c r="C7394" t="s">
        <v>10433</v>
      </c>
      <c r="D7394" t="s">
        <v>16648</v>
      </c>
      <c r="E7394" t="s">
        <v>23191</v>
      </c>
      <c r="F7394" t="s">
        <v>28669</v>
      </c>
      <c r="G7394" t="s">
        <v>28675</v>
      </c>
      <c r="H7394" t="s">
        <v>9998</v>
      </c>
      <c r="I7394" t="s">
        <v>28693</v>
      </c>
      <c r="J7394" t="s">
        <v>33448</v>
      </c>
      <c r="K7394" t="s">
        <v>37209</v>
      </c>
      <c r="M7394" t="s">
        <v>39547</v>
      </c>
      <c r="N7394" t="s">
        <v>41249</v>
      </c>
      <c r="O7394" t="s">
        <v>41250</v>
      </c>
      <c r="P7394">
        <v>0</v>
      </c>
      <c r="Q7394">
        <v>9</v>
      </c>
      <c r="R7394" t="s">
        <v>41257</v>
      </c>
      <c r="S7394" t="s">
        <v>41461</v>
      </c>
      <c r="T7394" t="s">
        <v>43034</v>
      </c>
      <c r="U7394" t="s">
        <v>49311</v>
      </c>
      <c r="W7394" t="s">
        <v>39547</v>
      </c>
      <c r="X7394" t="s">
        <v>41258</v>
      </c>
    </row>
    <row r="7395" spans="1:24">
      <c r="A7395">
        <f>HYPERLINK("https://www.philgeps.gov.ph/GEPSNONPILOT/Tender/SplashBidNoticeAbstractUI.aspx?menuIndex=3&amp;refID=7069911&amp;Result=3","7069911")</f>
        <v>0</v>
      </c>
      <c r="B7395" t="s">
        <v>2355</v>
      </c>
      <c r="C7395" t="s">
        <v>10434</v>
      </c>
      <c r="D7395" t="s">
        <v>16627</v>
      </c>
      <c r="E7395" t="s">
        <v>23105</v>
      </c>
      <c r="F7395" t="s">
        <v>28669</v>
      </c>
      <c r="G7395" t="s">
        <v>28676</v>
      </c>
      <c r="H7395" t="s">
        <v>9998</v>
      </c>
      <c r="I7395" t="s">
        <v>28725</v>
      </c>
      <c r="J7395" t="s">
        <v>33449</v>
      </c>
      <c r="K7395" t="s">
        <v>37206</v>
      </c>
      <c r="M7395" t="s">
        <v>40023</v>
      </c>
      <c r="N7395" t="s">
        <v>41249</v>
      </c>
      <c r="O7395" t="s">
        <v>41250</v>
      </c>
      <c r="P7395">
        <v>0</v>
      </c>
      <c r="Q7395">
        <v>1</v>
      </c>
      <c r="R7395" t="s">
        <v>41257</v>
      </c>
      <c r="S7395" t="s">
        <v>41461</v>
      </c>
      <c r="T7395" t="s">
        <v>42694</v>
      </c>
      <c r="U7395" t="s">
        <v>49312</v>
      </c>
      <c r="W7395" t="s">
        <v>40023</v>
      </c>
      <c r="X7395" t="s">
        <v>41258</v>
      </c>
    </row>
    <row r="7396" spans="1:24">
      <c r="A7396">
        <f>HYPERLINK("https://www.philgeps.gov.ph/GEPSNONPILOT/Tender/SplashBidNoticeAbstractUI.aspx?menuIndex=3&amp;refID=7069904&amp;Result=3","7069904")</f>
        <v>0</v>
      </c>
      <c r="B7396" t="s">
        <v>2356</v>
      </c>
      <c r="C7396" t="s">
        <v>10435</v>
      </c>
      <c r="D7396" t="s">
        <v>16657</v>
      </c>
      <c r="E7396" t="s">
        <v>23192</v>
      </c>
      <c r="F7396" t="s">
        <v>28669</v>
      </c>
      <c r="G7396" t="s">
        <v>28675</v>
      </c>
      <c r="H7396" t="s">
        <v>9998</v>
      </c>
      <c r="I7396" t="s">
        <v>28689</v>
      </c>
      <c r="J7396" t="s">
        <v>33450</v>
      </c>
      <c r="K7396" t="s">
        <v>37209</v>
      </c>
      <c r="M7396" t="s">
        <v>40024</v>
      </c>
      <c r="N7396" t="s">
        <v>41249</v>
      </c>
      <c r="O7396" t="s">
        <v>41250</v>
      </c>
      <c r="P7396">
        <v>0</v>
      </c>
      <c r="Q7396">
        <v>2</v>
      </c>
      <c r="R7396" t="s">
        <v>41257</v>
      </c>
      <c r="S7396" t="s">
        <v>41461</v>
      </c>
      <c r="T7396" t="s">
        <v>42701</v>
      </c>
      <c r="U7396" t="s">
        <v>49313</v>
      </c>
      <c r="V7396" t="s">
        <v>54557</v>
      </c>
      <c r="W7396" t="s">
        <v>40024</v>
      </c>
      <c r="X7396" t="s">
        <v>41258</v>
      </c>
    </row>
    <row r="7397" spans="1:24">
      <c r="A7397">
        <f>HYPERLINK("https://www.philgeps.gov.ph/GEPSNONPILOT/Tender/SplashBidNoticeAbstractUI.aspx?menuIndex=3&amp;refID=7069824&amp;Result=3","7069824")</f>
        <v>0</v>
      </c>
      <c r="B7397" t="s">
        <v>2346</v>
      </c>
      <c r="C7397" t="s">
        <v>10436</v>
      </c>
      <c r="D7397" t="s">
        <v>16654</v>
      </c>
      <c r="E7397" t="s">
        <v>23153</v>
      </c>
      <c r="F7397" t="s">
        <v>28669</v>
      </c>
      <c r="G7397" t="s">
        <v>28675</v>
      </c>
      <c r="H7397" t="s">
        <v>28686</v>
      </c>
      <c r="I7397" t="s">
        <v>28689</v>
      </c>
      <c r="J7397" t="s">
        <v>29003</v>
      </c>
      <c r="K7397" t="s">
        <v>37221</v>
      </c>
      <c r="M7397" t="s">
        <v>40012</v>
      </c>
      <c r="N7397" t="s">
        <v>41249</v>
      </c>
      <c r="O7397" t="s">
        <v>41250</v>
      </c>
      <c r="P7397">
        <v>0</v>
      </c>
      <c r="Q7397">
        <v>0</v>
      </c>
      <c r="R7397" t="s">
        <v>41257</v>
      </c>
      <c r="S7397" t="s">
        <v>41461</v>
      </c>
      <c r="T7397" t="s">
        <v>42997</v>
      </c>
      <c r="U7397" t="s">
        <v>49274</v>
      </c>
      <c r="W7397" t="s">
        <v>40012</v>
      </c>
      <c r="X7397" t="s">
        <v>41258</v>
      </c>
    </row>
    <row r="7398" spans="1:24">
      <c r="A7398">
        <f>HYPERLINK("https://www.philgeps.gov.ph/GEPSNONPILOT/Tender/SplashBidNoticeAbstractUI.aspx?menuIndex=3&amp;refID=7069902&amp;Result=3","7069902")</f>
        <v>0</v>
      </c>
      <c r="B7398" t="s">
        <v>809</v>
      </c>
      <c r="C7398" t="s">
        <v>10437</v>
      </c>
      <c r="D7398" t="s">
        <v>16616</v>
      </c>
      <c r="E7398" t="s">
        <v>23193</v>
      </c>
      <c r="F7398" t="s">
        <v>28669</v>
      </c>
      <c r="G7398" t="s">
        <v>28675</v>
      </c>
      <c r="H7398" t="s">
        <v>28686</v>
      </c>
      <c r="I7398" t="s">
        <v>28755</v>
      </c>
      <c r="J7398" t="s">
        <v>33451</v>
      </c>
      <c r="K7398" t="s">
        <v>37356</v>
      </c>
      <c r="M7398" t="s">
        <v>38324</v>
      </c>
      <c r="N7398" t="s">
        <v>41249</v>
      </c>
      <c r="O7398" t="s">
        <v>41250</v>
      </c>
      <c r="P7398">
        <v>0</v>
      </c>
      <c r="Q7398">
        <v>0</v>
      </c>
      <c r="R7398" t="s">
        <v>41257</v>
      </c>
      <c r="S7398" t="s">
        <v>41461</v>
      </c>
      <c r="T7398" t="s">
        <v>42665</v>
      </c>
      <c r="U7398" t="s">
        <v>49314</v>
      </c>
      <c r="W7398" t="s">
        <v>38324</v>
      </c>
      <c r="X7398" t="s">
        <v>41258</v>
      </c>
    </row>
    <row r="7399" spans="1:24">
      <c r="A7399">
        <f>HYPERLINK("https://www.philgeps.gov.ph/GEPSNONPILOT/Tender/SplashBidNoticeAbstractUI.aspx?menuIndex=3&amp;refID=7069897&amp;Result=3","7069897")</f>
        <v>0</v>
      </c>
      <c r="B7399" t="s">
        <v>2357</v>
      </c>
      <c r="C7399" t="s">
        <v>10438</v>
      </c>
      <c r="D7399" t="s">
        <v>16666</v>
      </c>
      <c r="E7399" t="s">
        <v>23194</v>
      </c>
      <c r="F7399" t="s">
        <v>28669</v>
      </c>
      <c r="G7399" t="s">
        <v>28675</v>
      </c>
      <c r="H7399" t="s">
        <v>28686</v>
      </c>
      <c r="I7399" t="s">
        <v>28689</v>
      </c>
      <c r="J7399" t="s">
        <v>33452</v>
      </c>
      <c r="K7399" t="s">
        <v>37211</v>
      </c>
      <c r="M7399" t="s">
        <v>40025</v>
      </c>
      <c r="N7399" t="s">
        <v>41249</v>
      </c>
      <c r="O7399" t="s">
        <v>41250</v>
      </c>
      <c r="P7399">
        <v>0</v>
      </c>
      <c r="Q7399">
        <v>0</v>
      </c>
      <c r="R7399" t="s">
        <v>41257</v>
      </c>
      <c r="S7399" t="s">
        <v>41461</v>
      </c>
      <c r="T7399" t="s">
        <v>42911</v>
      </c>
      <c r="U7399" t="s">
        <v>49315</v>
      </c>
      <c r="W7399" t="s">
        <v>40025</v>
      </c>
      <c r="X7399" t="s">
        <v>41258</v>
      </c>
    </row>
    <row r="7400" spans="1:24">
      <c r="A7400">
        <f>HYPERLINK("https://www.philgeps.gov.ph/GEPSNONPILOT/Tender/SplashBidNoticeAbstractUI.aspx?menuIndex=3&amp;refID=7069894&amp;Result=3","7069894")</f>
        <v>0</v>
      </c>
      <c r="B7400" t="s">
        <v>2277</v>
      </c>
      <c r="C7400" t="s">
        <v>10439</v>
      </c>
      <c r="D7400" t="s">
        <v>16626</v>
      </c>
      <c r="E7400" t="s">
        <v>17050</v>
      </c>
      <c r="F7400" t="s">
        <v>28669</v>
      </c>
      <c r="G7400" t="s">
        <v>28675</v>
      </c>
      <c r="H7400" t="s">
        <v>9998</v>
      </c>
      <c r="I7400" t="s">
        <v>28694</v>
      </c>
      <c r="J7400" t="s">
        <v>33453</v>
      </c>
      <c r="K7400" t="s">
        <v>37209</v>
      </c>
      <c r="M7400" t="s">
        <v>39932</v>
      </c>
      <c r="N7400" t="s">
        <v>41249</v>
      </c>
      <c r="O7400" t="s">
        <v>41250</v>
      </c>
      <c r="P7400">
        <v>0</v>
      </c>
      <c r="Q7400">
        <v>0</v>
      </c>
      <c r="R7400" t="s">
        <v>41257</v>
      </c>
      <c r="S7400" t="s">
        <v>41461</v>
      </c>
      <c r="T7400" t="s">
        <v>42809</v>
      </c>
      <c r="U7400" t="s">
        <v>49316</v>
      </c>
      <c r="W7400" t="s">
        <v>39932</v>
      </c>
      <c r="X7400" t="s">
        <v>41258</v>
      </c>
    </row>
    <row r="7401" spans="1:24">
      <c r="A7401">
        <f>HYPERLINK("https://www.philgeps.gov.ph/GEPSNONPILOT/Tender/SplashBidNoticeAbstractUI.aspx?menuIndex=3&amp;refID=7069893&amp;Result=3","7069893")</f>
        <v>0</v>
      </c>
      <c r="B7401" t="s">
        <v>1920</v>
      </c>
      <c r="C7401" t="s">
        <v>10440</v>
      </c>
      <c r="D7401" t="s">
        <v>16648</v>
      </c>
      <c r="E7401" t="s">
        <v>23195</v>
      </c>
      <c r="F7401" t="s">
        <v>28669</v>
      </c>
      <c r="G7401" t="s">
        <v>28675</v>
      </c>
      <c r="H7401" t="s">
        <v>9998</v>
      </c>
      <c r="I7401" t="s">
        <v>28693</v>
      </c>
      <c r="J7401" t="s">
        <v>33454</v>
      </c>
      <c r="K7401" t="s">
        <v>37209</v>
      </c>
      <c r="M7401" t="s">
        <v>39547</v>
      </c>
      <c r="N7401" t="s">
        <v>41249</v>
      </c>
      <c r="O7401" t="s">
        <v>41250</v>
      </c>
      <c r="P7401">
        <v>0</v>
      </c>
      <c r="Q7401">
        <v>12</v>
      </c>
      <c r="R7401" t="s">
        <v>41257</v>
      </c>
      <c r="S7401" t="s">
        <v>41461</v>
      </c>
      <c r="T7401" t="s">
        <v>42721</v>
      </c>
      <c r="U7401" t="s">
        <v>49317</v>
      </c>
      <c r="W7401" t="s">
        <v>39547</v>
      </c>
      <c r="X7401" t="s">
        <v>41258</v>
      </c>
    </row>
    <row r="7402" spans="1:24">
      <c r="A7402">
        <f>HYPERLINK("https://www.philgeps.gov.ph/GEPSNONPILOT/Tender/SplashBidNoticeAbstractUI.aspx?menuIndex=3&amp;refID=7069890&amp;Result=3","7069890")</f>
        <v>0</v>
      </c>
      <c r="B7402" t="s">
        <v>2358</v>
      </c>
      <c r="C7402" t="s">
        <v>10441</v>
      </c>
      <c r="D7402" t="s">
        <v>16624</v>
      </c>
      <c r="E7402" t="s">
        <v>23196</v>
      </c>
      <c r="F7402" t="s">
        <v>28669</v>
      </c>
      <c r="G7402" t="s">
        <v>28675</v>
      </c>
      <c r="H7402" t="s">
        <v>9998</v>
      </c>
      <c r="I7402" t="s">
        <v>28704</v>
      </c>
      <c r="J7402" t="s">
        <v>30036</v>
      </c>
      <c r="K7402" t="s">
        <v>37210</v>
      </c>
      <c r="M7402" t="s">
        <v>40026</v>
      </c>
      <c r="N7402" t="s">
        <v>41249</v>
      </c>
      <c r="O7402" t="s">
        <v>41250</v>
      </c>
      <c r="P7402">
        <v>0</v>
      </c>
      <c r="Q7402">
        <v>0</v>
      </c>
      <c r="R7402" t="s">
        <v>41257</v>
      </c>
      <c r="S7402" t="s">
        <v>41461</v>
      </c>
      <c r="T7402" t="s">
        <v>42761</v>
      </c>
      <c r="U7402" t="s">
        <v>49318</v>
      </c>
      <c r="W7402" t="s">
        <v>55988</v>
      </c>
      <c r="X7402" t="s">
        <v>41258</v>
      </c>
    </row>
    <row r="7403" spans="1:24">
      <c r="A7403">
        <f>HYPERLINK("https://www.philgeps.gov.ph/GEPSNONPILOT/Tender/SplashBidNoticeAbstractUI.aspx?menuIndex=3&amp;refID=7069920&amp;Result=3","7069920")</f>
        <v>0</v>
      </c>
      <c r="B7403" t="s">
        <v>1468</v>
      </c>
      <c r="C7403" t="s">
        <v>10442</v>
      </c>
      <c r="D7403" t="s">
        <v>16611</v>
      </c>
      <c r="E7403" t="s">
        <v>23197</v>
      </c>
      <c r="F7403" t="s">
        <v>28669</v>
      </c>
      <c r="G7403" t="s">
        <v>28675</v>
      </c>
      <c r="H7403" t="s">
        <v>9998</v>
      </c>
      <c r="I7403" t="s">
        <v>28690</v>
      </c>
      <c r="J7403" t="s">
        <v>28910</v>
      </c>
      <c r="K7403" t="s">
        <v>37206</v>
      </c>
      <c r="M7403" t="s">
        <v>39036</v>
      </c>
      <c r="N7403" t="s">
        <v>41249</v>
      </c>
      <c r="O7403" t="s">
        <v>41250</v>
      </c>
      <c r="P7403">
        <v>0</v>
      </c>
      <c r="Q7403">
        <v>2</v>
      </c>
      <c r="R7403" t="s">
        <v>41257</v>
      </c>
      <c r="S7403" t="s">
        <v>41461</v>
      </c>
      <c r="T7403" t="s">
        <v>42703</v>
      </c>
      <c r="U7403" t="s">
        <v>49319</v>
      </c>
      <c r="W7403" t="s">
        <v>39036</v>
      </c>
      <c r="X7403" t="s">
        <v>41258</v>
      </c>
    </row>
    <row r="7404" spans="1:24">
      <c r="A7404">
        <f>HYPERLINK("https://www.philgeps.gov.ph/GEPSNONPILOT/Tender/SplashBidNoticeAbstractUI.aspx?menuIndex=3&amp;refID=7069932&amp;Result=3","7069932")</f>
        <v>0</v>
      </c>
      <c r="B7404" t="s">
        <v>2359</v>
      </c>
      <c r="C7404" t="s">
        <v>10443</v>
      </c>
      <c r="D7404" t="s">
        <v>16616</v>
      </c>
      <c r="E7404" t="s">
        <v>23198</v>
      </c>
      <c r="F7404" t="s">
        <v>28669</v>
      </c>
      <c r="G7404" t="s">
        <v>28677</v>
      </c>
      <c r="H7404" t="s">
        <v>9998</v>
      </c>
      <c r="I7404" t="s">
        <v>28704</v>
      </c>
      <c r="J7404" t="s">
        <v>33455</v>
      </c>
      <c r="K7404" t="s">
        <v>37205</v>
      </c>
      <c r="M7404" t="s">
        <v>40027</v>
      </c>
      <c r="N7404" t="s">
        <v>41249</v>
      </c>
      <c r="O7404" t="s">
        <v>41250</v>
      </c>
      <c r="P7404">
        <v>0</v>
      </c>
      <c r="Q7404">
        <v>0</v>
      </c>
      <c r="R7404" t="s">
        <v>41257</v>
      </c>
      <c r="S7404" t="s">
        <v>41461</v>
      </c>
      <c r="T7404" t="s">
        <v>42736</v>
      </c>
      <c r="U7404" t="s">
        <v>49320</v>
      </c>
      <c r="V7404" t="s">
        <v>55108</v>
      </c>
      <c r="W7404" t="s">
        <v>40027</v>
      </c>
      <c r="X7404" t="s">
        <v>41258</v>
      </c>
    </row>
    <row r="7405" spans="1:24">
      <c r="A7405">
        <f>HYPERLINK("https://www.philgeps.gov.ph/GEPSNONPILOT/Tender/SplashBidNoticeAbstractUI.aspx?menuIndex=3&amp;refID=7069960&amp;Result=3","7069960")</f>
        <v>0</v>
      </c>
      <c r="B7405" t="s">
        <v>2360</v>
      </c>
      <c r="C7405" t="s">
        <v>7280</v>
      </c>
      <c r="D7405" t="s">
        <v>16693</v>
      </c>
      <c r="E7405" t="s">
        <v>20870</v>
      </c>
      <c r="F7405" t="s">
        <v>28669</v>
      </c>
      <c r="G7405" t="s">
        <v>28675</v>
      </c>
      <c r="H7405" t="s">
        <v>9998</v>
      </c>
      <c r="I7405" t="s">
        <v>28690</v>
      </c>
      <c r="J7405" t="s">
        <v>28877</v>
      </c>
      <c r="K7405" t="s">
        <v>37204</v>
      </c>
      <c r="M7405" t="s">
        <v>40028</v>
      </c>
      <c r="N7405" t="s">
        <v>41249</v>
      </c>
      <c r="O7405" t="s">
        <v>41250</v>
      </c>
      <c r="P7405">
        <v>0</v>
      </c>
      <c r="Q7405">
        <v>5</v>
      </c>
      <c r="R7405" t="s">
        <v>41257</v>
      </c>
      <c r="S7405" t="s">
        <v>41461</v>
      </c>
      <c r="T7405" t="s">
        <v>42696</v>
      </c>
      <c r="U7405" t="s">
        <v>49321</v>
      </c>
      <c r="W7405" t="s">
        <v>40028</v>
      </c>
      <c r="X7405" t="s">
        <v>41258</v>
      </c>
    </row>
    <row r="7406" spans="1:24">
      <c r="A7406">
        <f>HYPERLINK("https://www.philgeps.gov.ph/GEPSNONPILOT/Tender/SplashBidNoticeAbstractUI.aspx?menuIndex=3&amp;refID=7069965&amp;Result=3","7069965")</f>
        <v>0</v>
      </c>
      <c r="B7406" t="s">
        <v>2361</v>
      </c>
      <c r="C7406" t="s">
        <v>10444</v>
      </c>
      <c r="D7406" t="s">
        <v>16620</v>
      </c>
      <c r="E7406" t="s">
        <v>16758</v>
      </c>
      <c r="F7406" t="s">
        <v>28669</v>
      </c>
      <c r="G7406" t="s">
        <v>28677</v>
      </c>
      <c r="H7406" t="s">
        <v>9998</v>
      </c>
      <c r="I7406" t="s">
        <v>28753</v>
      </c>
      <c r="J7406" t="s">
        <v>33456</v>
      </c>
      <c r="K7406" t="s">
        <v>37206</v>
      </c>
      <c r="M7406" t="s">
        <v>40029</v>
      </c>
      <c r="N7406" t="s">
        <v>41249</v>
      </c>
      <c r="O7406" t="s">
        <v>41250</v>
      </c>
      <c r="P7406">
        <v>0</v>
      </c>
      <c r="Q7406">
        <v>0</v>
      </c>
      <c r="R7406" t="s">
        <v>41257</v>
      </c>
      <c r="S7406" t="s">
        <v>41461</v>
      </c>
      <c r="T7406" t="s">
        <v>42701</v>
      </c>
      <c r="U7406" t="s">
        <v>49322</v>
      </c>
      <c r="W7406" t="s">
        <v>40029</v>
      </c>
      <c r="X7406" t="s">
        <v>41258</v>
      </c>
    </row>
    <row r="7407" spans="1:24">
      <c r="A7407">
        <f>HYPERLINK("https://www.philgeps.gov.ph/GEPSNONPILOT/Tender/SplashBidNoticeAbstractUI.aspx?menuIndex=3&amp;refID=7069964&amp;Result=3","7069964")</f>
        <v>0</v>
      </c>
      <c r="B7407" t="s">
        <v>2362</v>
      </c>
      <c r="C7407" t="s">
        <v>10445</v>
      </c>
      <c r="D7407" t="s">
        <v>16608</v>
      </c>
      <c r="E7407" t="s">
        <v>23199</v>
      </c>
      <c r="F7407" t="s">
        <v>28669</v>
      </c>
      <c r="G7407" t="s">
        <v>28676</v>
      </c>
      <c r="H7407" t="s">
        <v>9998</v>
      </c>
      <c r="I7407" t="s">
        <v>7352</v>
      </c>
      <c r="J7407" t="s">
        <v>28878</v>
      </c>
      <c r="K7407" t="s">
        <v>37227</v>
      </c>
      <c r="M7407" t="s">
        <v>40030</v>
      </c>
      <c r="N7407" t="s">
        <v>41249</v>
      </c>
      <c r="O7407" t="s">
        <v>41250</v>
      </c>
      <c r="P7407">
        <v>0</v>
      </c>
      <c r="Q7407">
        <v>3</v>
      </c>
      <c r="R7407" t="s">
        <v>41257</v>
      </c>
      <c r="S7407" t="s">
        <v>41461</v>
      </c>
      <c r="T7407" t="s">
        <v>42883</v>
      </c>
      <c r="U7407" t="s">
        <v>49323</v>
      </c>
      <c r="V7407" t="s">
        <v>55109</v>
      </c>
      <c r="W7407" t="s">
        <v>40030</v>
      </c>
      <c r="X7407" t="s">
        <v>41258</v>
      </c>
    </row>
    <row r="7408" spans="1:24">
      <c r="A7408">
        <f>HYPERLINK("https://www.philgeps.gov.ph/GEPSNONPILOT/Tender/SplashBidNoticeAbstractUI.aspx?menuIndex=3&amp;refID=7069868&amp;Result=3","7069868")</f>
        <v>0</v>
      </c>
      <c r="B7408" t="s">
        <v>2363</v>
      </c>
      <c r="C7408" t="s">
        <v>10446</v>
      </c>
      <c r="E7408" t="s">
        <v>23200</v>
      </c>
      <c r="F7408" t="s">
        <v>28671</v>
      </c>
      <c r="G7408" t="s">
        <v>28676</v>
      </c>
      <c r="H7408" t="s">
        <v>9998</v>
      </c>
      <c r="I7408" t="s">
        <v>6128</v>
      </c>
      <c r="J7408" t="s">
        <v>33457</v>
      </c>
      <c r="K7408" t="s">
        <v>37213</v>
      </c>
      <c r="M7408" t="s">
        <v>40031</v>
      </c>
      <c r="N7408" t="s">
        <v>41249</v>
      </c>
      <c r="O7408" t="s">
        <v>41250</v>
      </c>
      <c r="P7408">
        <v>0</v>
      </c>
      <c r="Q7408">
        <v>11</v>
      </c>
      <c r="R7408" t="s">
        <v>41257</v>
      </c>
      <c r="S7408" t="s">
        <v>41461</v>
      </c>
      <c r="T7408" t="s">
        <v>42729</v>
      </c>
      <c r="U7408" t="s">
        <v>44023</v>
      </c>
      <c r="W7408" t="s">
        <v>40031</v>
      </c>
      <c r="X7408" t="s">
        <v>41258</v>
      </c>
    </row>
    <row r="7409" spans="1:24">
      <c r="A7409">
        <f>HYPERLINK("https://www.philgeps.gov.ph/GEPSNONPILOT/Tender/SplashBidNoticeAbstractUI.aspx?menuIndex=3&amp;refID=7069961&amp;Result=3","7069961")</f>
        <v>0</v>
      </c>
      <c r="B7409" t="s">
        <v>2364</v>
      </c>
      <c r="C7409" t="s">
        <v>10447</v>
      </c>
      <c r="D7409" t="s">
        <v>16673</v>
      </c>
      <c r="E7409" t="s">
        <v>23201</v>
      </c>
      <c r="F7409" t="s">
        <v>28669</v>
      </c>
      <c r="G7409" t="s">
        <v>28676</v>
      </c>
      <c r="H7409" t="s">
        <v>9998</v>
      </c>
      <c r="I7409" t="s">
        <v>28708</v>
      </c>
      <c r="J7409" t="s">
        <v>29552</v>
      </c>
      <c r="K7409" t="s">
        <v>37204</v>
      </c>
      <c r="M7409" t="s">
        <v>40032</v>
      </c>
      <c r="N7409" t="s">
        <v>41249</v>
      </c>
      <c r="O7409" t="s">
        <v>41250</v>
      </c>
      <c r="P7409">
        <v>0</v>
      </c>
      <c r="Q7409">
        <v>0</v>
      </c>
      <c r="R7409" t="s">
        <v>41257</v>
      </c>
      <c r="S7409" t="s">
        <v>41461</v>
      </c>
      <c r="T7409" t="s">
        <v>42727</v>
      </c>
      <c r="U7409" t="s">
        <v>49324</v>
      </c>
      <c r="W7409" t="s">
        <v>40032</v>
      </c>
      <c r="X7409" t="s">
        <v>41258</v>
      </c>
    </row>
    <row r="7410" spans="1:24">
      <c r="A7410">
        <f>HYPERLINK("https://www.philgeps.gov.ph/GEPSNONPILOT/Tender/SplashBidNoticeAbstractUI.aspx?menuIndex=3&amp;refID=7069908&amp;Result=3","7069908")</f>
        <v>0</v>
      </c>
      <c r="B7410" t="s">
        <v>1327</v>
      </c>
      <c r="C7410" t="s">
        <v>10448</v>
      </c>
      <c r="D7410" t="s">
        <v>16627</v>
      </c>
      <c r="E7410" t="s">
        <v>23202</v>
      </c>
      <c r="F7410" t="s">
        <v>28669</v>
      </c>
      <c r="G7410" t="s">
        <v>28675</v>
      </c>
      <c r="H7410" t="s">
        <v>9998</v>
      </c>
      <c r="I7410" t="s">
        <v>11142</v>
      </c>
      <c r="J7410" t="s">
        <v>33458</v>
      </c>
      <c r="K7410" t="s">
        <v>37213</v>
      </c>
      <c r="M7410" t="s">
        <v>38880</v>
      </c>
      <c r="N7410" t="s">
        <v>41249</v>
      </c>
      <c r="O7410" t="s">
        <v>41250</v>
      </c>
      <c r="P7410">
        <v>0</v>
      </c>
      <c r="Q7410">
        <v>7</v>
      </c>
      <c r="R7410" t="s">
        <v>41257</v>
      </c>
      <c r="S7410" t="s">
        <v>41461</v>
      </c>
      <c r="T7410" t="s">
        <v>42715</v>
      </c>
      <c r="U7410" t="s">
        <v>49325</v>
      </c>
      <c r="W7410" t="s">
        <v>38880</v>
      </c>
      <c r="X7410" t="s">
        <v>41258</v>
      </c>
    </row>
    <row r="7411" spans="1:24">
      <c r="A7411">
        <f>HYPERLINK("https://www.philgeps.gov.ph/GEPSNONPILOT/Tender/SplashBidNoticeAbstractUI.aspx?menuIndex=3&amp;refID=7069957&amp;Result=3","7069957")</f>
        <v>0</v>
      </c>
      <c r="B7411" t="s">
        <v>2353</v>
      </c>
      <c r="C7411" t="s">
        <v>10449</v>
      </c>
      <c r="D7411" t="s">
        <v>16658</v>
      </c>
      <c r="E7411" t="s">
        <v>23203</v>
      </c>
      <c r="F7411" t="s">
        <v>28669</v>
      </c>
      <c r="G7411" t="s">
        <v>28675</v>
      </c>
      <c r="H7411" t="s">
        <v>9998</v>
      </c>
      <c r="I7411" t="s">
        <v>7352</v>
      </c>
      <c r="J7411" t="s">
        <v>33459</v>
      </c>
      <c r="K7411" t="s">
        <v>37205</v>
      </c>
      <c r="M7411" t="s">
        <v>40021</v>
      </c>
      <c r="N7411" t="s">
        <v>41249</v>
      </c>
      <c r="O7411" t="s">
        <v>41250</v>
      </c>
      <c r="P7411">
        <v>0</v>
      </c>
      <c r="Q7411">
        <v>0</v>
      </c>
      <c r="R7411" t="s">
        <v>41257</v>
      </c>
      <c r="S7411" t="s">
        <v>41461</v>
      </c>
      <c r="T7411" t="s">
        <v>42673</v>
      </c>
      <c r="U7411" t="s">
        <v>49326</v>
      </c>
      <c r="W7411" t="s">
        <v>40021</v>
      </c>
      <c r="X7411" t="s">
        <v>41258</v>
      </c>
    </row>
    <row r="7412" spans="1:24">
      <c r="A7412">
        <f>HYPERLINK("https://www.philgeps.gov.ph/GEPSNONPILOT/Tender/SplashBidNoticeAbstractUI.aspx?menuIndex=3&amp;refID=7069971&amp;Result=3","7069971")</f>
        <v>0</v>
      </c>
      <c r="B7412" t="s">
        <v>2131</v>
      </c>
      <c r="C7412" t="s">
        <v>10450</v>
      </c>
      <c r="D7412" t="s">
        <v>16622</v>
      </c>
      <c r="E7412" t="s">
        <v>17189</v>
      </c>
      <c r="F7412" t="s">
        <v>28669</v>
      </c>
      <c r="G7412" t="s">
        <v>28676</v>
      </c>
      <c r="H7412" t="s">
        <v>9998</v>
      </c>
      <c r="I7412" t="s">
        <v>28729</v>
      </c>
      <c r="J7412" t="s">
        <v>33460</v>
      </c>
      <c r="K7412" t="s">
        <v>37209</v>
      </c>
      <c r="M7412" t="s">
        <v>39776</v>
      </c>
      <c r="N7412" t="s">
        <v>41249</v>
      </c>
      <c r="O7412" t="s">
        <v>41250</v>
      </c>
      <c r="P7412">
        <v>0</v>
      </c>
      <c r="Q7412">
        <v>16</v>
      </c>
      <c r="R7412" t="s">
        <v>41257</v>
      </c>
      <c r="S7412" t="s">
        <v>41461</v>
      </c>
      <c r="T7412" t="s">
        <v>43049</v>
      </c>
      <c r="U7412" t="s">
        <v>49327</v>
      </c>
      <c r="W7412" t="s">
        <v>39776</v>
      </c>
      <c r="X7412" t="s">
        <v>41258</v>
      </c>
    </row>
    <row r="7413" spans="1:24">
      <c r="A7413">
        <f>HYPERLINK("https://www.philgeps.gov.ph/GEPSNONPILOT/Tender/SplashBidNoticeAbstractUI.aspx?menuIndex=3&amp;refID=7069955&amp;Result=3","7069955")</f>
        <v>0</v>
      </c>
      <c r="B7413" t="s">
        <v>1233</v>
      </c>
      <c r="C7413" t="s">
        <v>10451</v>
      </c>
      <c r="D7413" t="s">
        <v>16644</v>
      </c>
      <c r="E7413" t="s">
        <v>23204</v>
      </c>
      <c r="F7413" t="s">
        <v>28669</v>
      </c>
      <c r="G7413" t="s">
        <v>28675</v>
      </c>
      <c r="H7413" t="s">
        <v>28686</v>
      </c>
      <c r="I7413" t="s">
        <v>28689</v>
      </c>
      <c r="J7413" t="s">
        <v>33461</v>
      </c>
      <c r="K7413" t="s">
        <v>37220</v>
      </c>
      <c r="M7413" t="s">
        <v>38778</v>
      </c>
      <c r="N7413" t="s">
        <v>41249</v>
      </c>
      <c r="O7413" t="s">
        <v>41250</v>
      </c>
      <c r="P7413">
        <v>0</v>
      </c>
      <c r="Q7413">
        <v>0</v>
      </c>
      <c r="R7413" t="s">
        <v>41257</v>
      </c>
      <c r="S7413" t="s">
        <v>41461</v>
      </c>
      <c r="T7413" t="s">
        <v>42754</v>
      </c>
      <c r="U7413" t="s">
        <v>49328</v>
      </c>
      <c r="W7413" t="s">
        <v>38778</v>
      </c>
      <c r="X7413" t="s">
        <v>41258</v>
      </c>
    </row>
    <row r="7414" spans="1:24">
      <c r="A7414">
        <f>HYPERLINK("https://www.philgeps.gov.ph/GEPSNONPILOT/Tender/SplashBidNoticeAbstractUI.aspx?menuIndex=3&amp;refID=7069947&amp;Result=3","7069947")</f>
        <v>0</v>
      </c>
      <c r="B7414" t="s">
        <v>1277</v>
      </c>
      <c r="C7414" t="s">
        <v>10452</v>
      </c>
      <c r="D7414" t="s">
        <v>16682</v>
      </c>
      <c r="E7414" t="s">
        <v>23205</v>
      </c>
      <c r="F7414" t="s">
        <v>28669</v>
      </c>
      <c r="G7414" t="s">
        <v>28675</v>
      </c>
      <c r="H7414" t="s">
        <v>28686</v>
      </c>
      <c r="I7414" t="s">
        <v>28689</v>
      </c>
      <c r="J7414" t="s">
        <v>28914</v>
      </c>
      <c r="K7414" t="s">
        <v>37206</v>
      </c>
      <c r="M7414" t="s">
        <v>38827</v>
      </c>
      <c r="N7414" t="s">
        <v>41249</v>
      </c>
      <c r="O7414" t="s">
        <v>41250</v>
      </c>
      <c r="P7414">
        <v>0</v>
      </c>
      <c r="Q7414">
        <v>1</v>
      </c>
      <c r="R7414" t="s">
        <v>41257</v>
      </c>
      <c r="S7414" t="s">
        <v>41461</v>
      </c>
      <c r="T7414" t="s">
        <v>42711</v>
      </c>
      <c r="U7414" t="s">
        <v>49329</v>
      </c>
      <c r="W7414" t="s">
        <v>38827</v>
      </c>
      <c r="X7414" t="s">
        <v>41258</v>
      </c>
    </row>
    <row r="7415" spans="1:24">
      <c r="A7415">
        <f>HYPERLINK("https://www.philgeps.gov.ph/GEPSNONPILOT/Tender/SplashBidNoticeAbstractUI.aspx?menuIndex=3&amp;refID=7069946&amp;Result=3","7069946")</f>
        <v>0</v>
      </c>
      <c r="B7415" t="s">
        <v>1468</v>
      </c>
      <c r="C7415" t="s">
        <v>10453</v>
      </c>
      <c r="D7415" t="s">
        <v>16611</v>
      </c>
      <c r="E7415" t="s">
        <v>23206</v>
      </c>
      <c r="F7415" t="s">
        <v>28669</v>
      </c>
      <c r="G7415" t="s">
        <v>28675</v>
      </c>
      <c r="H7415" t="s">
        <v>9998</v>
      </c>
      <c r="I7415" t="s">
        <v>28687</v>
      </c>
      <c r="J7415" t="s">
        <v>33462</v>
      </c>
      <c r="K7415" t="s">
        <v>37220</v>
      </c>
      <c r="M7415" t="s">
        <v>39036</v>
      </c>
      <c r="N7415" t="s">
        <v>41249</v>
      </c>
      <c r="O7415" t="s">
        <v>41250</v>
      </c>
      <c r="P7415">
        <v>0</v>
      </c>
      <c r="Q7415">
        <v>12</v>
      </c>
      <c r="R7415" t="s">
        <v>41257</v>
      </c>
      <c r="S7415" t="s">
        <v>41461</v>
      </c>
      <c r="T7415" t="s">
        <v>42692</v>
      </c>
      <c r="U7415" t="s">
        <v>49319</v>
      </c>
      <c r="W7415" t="s">
        <v>39036</v>
      </c>
      <c r="X7415" t="s">
        <v>41258</v>
      </c>
    </row>
    <row r="7416" spans="1:24">
      <c r="A7416">
        <f>HYPERLINK("https://www.philgeps.gov.ph/GEPSNONPILOT/Tender/SplashBidNoticeAbstractUI.aspx?menuIndex=3&amp;refID=7069958&amp;Result=3","7069958")</f>
        <v>0</v>
      </c>
      <c r="B7416" t="s">
        <v>369</v>
      </c>
      <c r="C7416" t="s">
        <v>10454</v>
      </c>
      <c r="D7416" t="s">
        <v>16619</v>
      </c>
      <c r="E7416" t="s">
        <v>23207</v>
      </c>
      <c r="F7416" t="s">
        <v>28669</v>
      </c>
      <c r="G7416" t="s">
        <v>28675</v>
      </c>
      <c r="H7416" t="s">
        <v>28686</v>
      </c>
      <c r="I7416" t="s">
        <v>28689</v>
      </c>
      <c r="J7416" t="s">
        <v>33463</v>
      </c>
      <c r="K7416" t="s">
        <v>37211</v>
      </c>
      <c r="M7416" t="s">
        <v>40033</v>
      </c>
      <c r="N7416" t="s">
        <v>41249</v>
      </c>
      <c r="O7416" t="s">
        <v>41250</v>
      </c>
      <c r="P7416">
        <v>0</v>
      </c>
      <c r="Q7416">
        <v>2</v>
      </c>
      <c r="R7416" t="s">
        <v>41257</v>
      </c>
      <c r="S7416" t="s">
        <v>41461</v>
      </c>
      <c r="T7416" t="s">
        <v>42839</v>
      </c>
      <c r="U7416" t="s">
        <v>49330</v>
      </c>
      <c r="W7416" t="s">
        <v>40033</v>
      </c>
      <c r="X7416" t="s">
        <v>41258</v>
      </c>
    </row>
    <row r="7417" spans="1:24">
      <c r="A7417">
        <f>HYPERLINK("https://www.philgeps.gov.ph/GEPSNONPILOT/Tender/SplashBidNoticeAbstractUI.aspx?menuIndex=3&amp;refID=7069944&amp;Result=3","7069944")</f>
        <v>0</v>
      </c>
      <c r="B7417" t="s">
        <v>2352</v>
      </c>
      <c r="C7417" t="s">
        <v>10455</v>
      </c>
      <c r="D7417" t="s">
        <v>16658</v>
      </c>
      <c r="E7417" t="s">
        <v>22576</v>
      </c>
      <c r="F7417" t="s">
        <v>28669</v>
      </c>
      <c r="G7417" t="s">
        <v>28677</v>
      </c>
      <c r="H7417" t="s">
        <v>9998</v>
      </c>
      <c r="I7417" t="s">
        <v>11142</v>
      </c>
      <c r="J7417" t="s">
        <v>28877</v>
      </c>
      <c r="K7417" t="s">
        <v>37205</v>
      </c>
      <c r="M7417" t="s">
        <v>40020</v>
      </c>
      <c r="N7417" t="s">
        <v>41249</v>
      </c>
      <c r="O7417" t="s">
        <v>41250</v>
      </c>
      <c r="P7417">
        <v>0</v>
      </c>
      <c r="Q7417">
        <v>5</v>
      </c>
      <c r="R7417" t="s">
        <v>41257</v>
      </c>
      <c r="S7417" t="s">
        <v>41461</v>
      </c>
      <c r="T7417" t="s">
        <v>42883</v>
      </c>
      <c r="U7417" t="s">
        <v>49331</v>
      </c>
      <c r="W7417" t="s">
        <v>40020</v>
      </c>
      <c r="X7417" t="s">
        <v>41258</v>
      </c>
    </row>
    <row r="7418" spans="1:24">
      <c r="A7418">
        <f>HYPERLINK("https://www.philgeps.gov.ph/GEPSNONPILOT/Tender/SplashBidNoticeAbstractUI.aspx?menuIndex=3&amp;refID=7069942&amp;Result=3","7069942")</f>
        <v>0</v>
      </c>
      <c r="B7418" t="s">
        <v>2360</v>
      </c>
      <c r="C7418" t="s">
        <v>10456</v>
      </c>
      <c r="D7418" t="s">
        <v>16693</v>
      </c>
      <c r="E7418" t="s">
        <v>20862</v>
      </c>
      <c r="F7418" t="s">
        <v>28669</v>
      </c>
      <c r="G7418" t="s">
        <v>28675</v>
      </c>
      <c r="H7418" t="s">
        <v>9998</v>
      </c>
      <c r="I7418" t="s">
        <v>6458</v>
      </c>
      <c r="J7418" t="s">
        <v>28878</v>
      </c>
      <c r="K7418" t="s">
        <v>37204</v>
      </c>
      <c r="M7418" t="s">
        <v>40028</v>
      </c>
      <c r="N7418" t="s">
        <v>41249</v>
      </c>
      <c r="O7418" t="s">
        <v>41250</v>
      </c>
      <c r="P7418">
        <v>0</v>
      </c>
      <c r="Q7418">
        <v>2</v>
      </c>
      <c r="R7418" t="s">
        <v>41257</v>
      </c>
      <c r="S7418" t="s">
        <v>41461</v>
      </c>
      <c r="T7418" t="s">
        <v>42696</v>
      </c>
      <c r="U7418" t="s">
        <v>49332</v>
      </c>
      <c r="W7418" t="s">
        <v>40028</v>
      </c>
      <c r="X7418" t="s">
        <v>41258</v>
      </c>
    </row>
    <row r="7419" spans="1:24">
      <c r="A7419">
        <f>HYPERLINK("https://www.philgeps.gov.ph/GEPSNONPILOT/Tender/SplashBidNoticeAbstractUI.aspx?menuIndex=3&amp;refID=7069939&amp;Result=3","7069939")</f>
        <v>0</v>
      </c>
      <c r="B7419" t="s">
        <v>452</v>
      </c>
      <c r="C7419" t="s">
        <v>10457</v>
      </c>
      <c r="D7419" t="s">
        <v>16608</v>
      </c>
      <c r="E7419" t="s">
        <v>23208</v>
      </c>
      <c r="F7419" t="s">
        <v>28669</v>
      </c>
      <c r="G7419" t="s">
        <v>28682</v>
      </c>
      <c r="H7419" t="s">
        <v>9998</v>
      </c>
      <c r="I7419" t="s">
        <v>7352</v>
      </c>
      <c r="J7419" t="s">
        <v>33464</v>
      </c>
      <c r="K7419" t="s">
        <v>37206</v>
      </c>
      <c r="M7419" t="s">
        <v>37940</v>
      </c>
      <c r="N7419" t="s">
        <v>41249</v>
      </c>
      <c r="O7419" t="s">
        <v>41250</v>
      </c>
      <c r="Q7419">
        <v>2</v>
      </c>
      <c r="R7419" t="s">
        <v>41257</v>
      </c>
      <c r="S7419" t="s">
        <v>41503</v>
      </c>
      <c r="T7419" t="s">
        <v>42688</v>
      </c>
      <c r="U7419" t="s">
        <v>45323</v>
      </c>
      <c r="W7419" t="s">
        <v>37940</v>
      </c>
      <c r="X7419" t="s">
        <v>41258</v>
      </c>
    </row>
    <row r="7420" spans="1:24">
      <c r="A7420">
        <f>HYPERLINK("https://www.philgeps.gov.ph/GEPSNONPILOT/Tender/SplashBidNoticeAbstractUI.aspx?menuIndex=3&amp;refID=7069899&amp;Result=3","7069899")</f>
        <v>0</v>
      </c>
      <c r="B7420" t="s">
        <v>935</v>
      </c>
      <c r="C7420" t="s">
        <v>10458</v>
      </c>
      <c r="D7420" t="s">
        <v>16631</v>
      </c>
      <c r="E7420" t="s">
        <v>23209</v>
      </c>
      <c r="F7420" t="s">
        <v>28669</v>
      </c>
      <c r="G7420" t="s">
        <v>28675</v>
      </c>
      <c r="H7420" t="s">
        <v>9998</v>
      </c>
      <c r="I7420" t="s">
        <v>28747</v>
      </c>
      <c r="J7420" t="s">
        <v>33465</v>
      </c>
      <c r="K7420" t="s">
        <v>37220</v>
      </c>
      <c r="M7420" t="s">
        <v>40013</v>
      </c>
      <c r="N7420" t="s">
        <v>41249</v>
      </c>
      <c r="O7420" t="s">
        <v>41250</v>
      </c>
      <c r="P7420">
        <v>0</v>
      </c>
      <c r="Q7420">
        <v>5</v>
      </c>
      <c r="R7420" t="s">
        <v>41257</v>
      </c>
      <c r="S7420" t="s">
        <v>41461</v>
      </c>
      <c r="T7420" t="s">
        <v>42873</v>
      </c>
      <c r="U7420" t="s">
        <v>49333</v>
      </c>
      <c r="W7420" t="s">
        <v>40013</v>
      </c>
      <c r="X7420" t="s">
        <v>41258</v>
      </c>
    </row>
    <row r="7421" spans="1:24">
      <c r="A7421">
        <f>HYPERLINK("https://www.philgeps.gov.ph/GEPSNONPILOT/Tender/SplashBidNoticeAbstractUI.aspx?menuIndex=3&amp;refID=7069935&amp;Result=3","7069935")</f>
        <v>0</v>
      </c>
      <c r="B7421" t="s">
        <v>2131</v>
      </c>
      <c r="C7421" t="s">
        <v>10459</v>
      </c>
      <c r="D7421" t="s">
        <v>16622</v>
      </c>
      <c r="E7421" t="s">
        <v>18394</v>
      </c>
      <c r="F7421" t="s">
        <v>28669</v>
      </c>
      <c r="G7421" t="s">
        <v>28676</v>
      </c>
      <c r="H7421" t="s">
        <v>9998</v>
      </c>
      <c r="I7421" t="s">
        <v>11593</v>
      </c>
      <c r="J7421" t="s">
        <v>29040</v>
      </c>
      <c r="K7421" t="s">
        <v>37209</v>
      </c>
      <c r="M7421" t="s">
        <v>39776</v>
      </c>
      <c r="N7421" t="s">
        <v>41249</v>
      </c>
      <c r="O7421" t="s">
        <v>41250</v>
      </c>
      <c r="P7421">
        <v>0</v>
      </c>
      <c r="Q7421">
        <v>4</v>
      </c>
      <c r="R7421" t="s">
        <v>41257</v>
      </c>
      <c r="S7421" t="s">
        <v>41461</v>
      </c>
      <c r="T7421" t="s">
        <v>43049</v>
      </c>
      <c r="U7421" t="s">
        <v>49334</v>
      </c>
      <c r="W7421" t="s">
        <v>39776</v>
      </c>
      <c r="X7421" t="s">
        <v>41258</v>
      </c>
    </row>
    <row r="7422" spans="1:24">
      <c r="A7422">
        <f>HYPERLINK("https://www.philgeps.gov.ph/GEPSNONPILOT/Tender/SplashBidNoticeAbstractUI.aspx?menuIndex=3&amp;refID=7069931&amp;Result=3","7069931")</f>
        <v>0</v>
      </c>
      <c r="B7422" t="s">
        <v>578</v>
      </c>
      <c r="C7422" t="s">
        <v>10460</v>
      </c>
      <c r="D7422" t="s">
        <v>16616</v>
      </c>
      <c r="E7422" t="s">
        <v>23210</v>
      </c>
      <c r="F7422" t="s">
        <v>28669</v>
      </c>
      <c r="G7422" t="s">
        <v>28677</v>
      </c>
      <c r="H7422" t="s">
        <v>9998</v>
      </c>
      <c r="I7422" t="s">
        <v>3679</v>
      </c>
      <c r="J7422" t="s">
        <v>33466</v>
      </c>
      <c r="K7422" t="s">
        <v>37204</v>
      </c>
      <c r="M7422" t="s">
        <v>38077</v>
      </c>
      <c r="N7422" t="s">
        <v>41249</v>
      </c>
      <c r="O7422" t="s">
        <v>41250</v>
      </c>
      <c r="P7422">
        <v>0</v>
      </c>
      <c r="Q7422">
        <v>0</v>
      </c>
      <c r="R7422" t="s">
        <v>41257</v>
      </c>
      <c r="S7422" t="s">
        <v>41461</v>
      </c>
      <c r="T7422" t="s">
        <v>42992</v>
      </c>
      <c r="U7422" t="s">
        <v>49335</v>
      </c>
      <c r="V7422" t="s">
        <v>55110</v>
      </c>
      <c r="W7422" t="s">
        <v>38077</v>
      </c>
      <c r="X7422" t="s">
        <v>41258</v>
      </c>
    </row>
    <row r="7423" spans="1:24">
      <c r="A7423">
        <f>HYPERLINK("https://www.philgeps.gov.ph/GEPSNONPILOT/Tender/SplashBidNoticeAbstractUI.aspx?menuIndex=3&amp;refID=7069953&amp;Result=3","7069953")</f>
        <v>0</v>
      </c>
      <c r="B7423" t="s">
        <v>2360</v>
      </c>
      <c r="C7423" t="s">
        <v>10461</v>
      </c>
      <c r="D7423" t="s">
        <v>16693</v>
      </c>
      <c r="E7423" t="s">
        <v>19911</v>
      </c>
      <c r="F7423" t="s">
        <v>28669</v>
      </c>
      <c r="G7423" t="s">
        <v>28675</v>
      </c>
      <c r="H7423" t="s">
        <v>9998</v>
      </c>
      <c r="I7423" t="s">
        <v>28688</v>
      </c>
      <c r="J7423" t="s">
        <v>28826</v>
      </c>
      <c r="K7423" t="s">
        <v>37204</v>
      </c>
      <c r="M7423" t="s">
        <v>40028</v>
      </c>
      <c r="N7423" t="s">
        <v>41249</v>
      </c>
      <c r="O7423" t="s">
        <v>41250</v>
      </c>
      <c r="P7423">
        <v>0</v>
      </c>
      <c r="Q7423">
        <v>2</v>
      </c>
      <c r="R7423" t="s">
        <v>41257</v>
      </c>
      <c r="S7423" t="s">
        <v>41461</v>
      </c>
      <c r="T7423" t="s">
        <v>42696</v>
      </c>
      <c r="U7423" t="s">
        <v>49229</v>
      </c>
      <c r="W7423" t="s">
        <v>40028</v>
      </c>
      <c r="X7423" t="s">
        <v>41258</v>
      </c>
    </row>
    <row r="7424" spans="1:24">
      <c r="A7424">
        <f>HYPERLINK("https://www.philgeps.gov.ph/GEPSNONPILOT/Tender/SplashBidNoticeAbstractUI.aspx?menuIndex=3&amp;refID=7069927&amp;Result=3","7069927")</f>
        <v>0</v>
      </c>
      <c r="B7424" t="s">
        <v>1146</v>
      </c>
      <c r="C7424" t="s">
        <v>10462</v>
      </c>
      <c r="D7424" t="s">
        <v>16640</v>
      </c>
      <c r="E7424" t="s">
        <v>23211</v>
      </c>
      <c r="F7424" t="s">
        <v>28669</v>
      </c>
      <c r="G7424" t="s">
        <v>28676</v>
      </c>
      <c r="H7424" t="s">
        <v>9998</v>
      </c>
      <c r="I7424" t="s">
        <v>28743</v>
      </c>
      <c r="J7424" t="s">
        <v>29203</v>
      </c>
      <c r="K7424" t="s">
        <v>37209</v>
      </c>
      <c r="M7424" t="s">
        <v>39972</v>
      </c>
      <c r="N7424" t="s">
        <v>41249</v>
      </c>
      <c r="O7424" t="s">
        <v>41250</v>
      </c>
      <c r="P7424">
        <v>0</v>
      </c>
      <c r="Q7424">
        <v>2</v>
      </c>
      <c r="R7424" t="s">
        <v>41257</v>
      </c>
      <c r="S7424" t="s">
        <v>41461</v>
      </c>
      <c r="T7424" t="s">
        <v>42728</v>
      </c>
      <c r="U7424" t="s">
        <v>49135</v>
      </c>
      <c r="W7424" t="s">
        <v>39972</v>
      </c>
      <c r="X7424" t="s">
        <v>41258</v>
      </c>
    </row>
    <row r="7425" spans="1:24">
      <c r="A7425">
        <f>HYPERLINK("https://www.philgeps.gov.ph/GEPSNONPILOT/Tender/SplashBidNoticeAbstractUI.aspx?menuIndex=3&amp;refID=7069886&amp;Result=3","7069886")</f>
        <v>0</v>
      </c>
      <c r="B7425" t="s">
        <v>2356</v>
      </c>
      <c r="C7425" t="s">
        <v>10463</v>
      </c>
      <c r="D7425" t="s">
        <v>16657</v>
      </c>
      <c r="E7425" t="s">
        <v>23212</v>
      </c>
      <c r="F7425" t="s">
        <v>28669</v>
      </c>
      <c r="G7425" t="s">
        <v>28679</v>
      </c>
      <c r="H7425" t="s">
        <v>28686</v>
      </c>
      <c r="I7425" t="s">
        <v>28689</v>
      </c>
      <c r="J7425" t="s">
        <v>33467</v>
      </c>
      <c r="K7425" t="s">
        <v>37209</v>
      </c>
      <c r="M7425" t="s">
        <v>40024</v>
      </c>
      <c r="N7425" t="s">
        <v>41249</v>
      </c>
      <c r="O7425" t="s">
        <v>41250</v>
      </c>
      <c r="P7425">
        <v>0</v>
      </c>
      <c r="Q7425">
        <v>2</v>
      </c>
      <c r="R7425" t="s">
        <v>41257</v>
      </c>
      <c r="S7425" t="s">
        <v>41461</v>
      </c>
      <c r="T7425" t="s">
        <v>42701</v>
      </c>
      <c r="U7425" t="s">
        <v>49336</v>
      </c>
      <c r="W7425" t="s">
        <v>40024</v>
      </c>
      <c r="X7425" t="s">
        <v>41258</v>
      </c>
    </row>
    <row r="7426" spans="1:24">
      <c r="A7426">
        <f>HYPERLINK("https://www.philgeps.gov.ph/GEPSNONPILOT/Tender/SplashBidNoticeAbstractUI.aspx?menuIndex=3&amp;refID=7069885&amp;Result=3","7069885")</f>
        <v>0</v>
      </c>
      <c r="B7426" t="s">
        <v>1327</v>
      </c>
      <c r="C7426" t="s">
        <v>10464</v>
      </c>
      <c r="D7426" t="s">
        <v>16627</v>
      </c>
      <c r="E7426" t="s">
        <v>23213</v>
      </c>
      <c r="F7426" t="s">
        <v>28669</v>
      </c>
      <c r="G7426" t="s">
        <v>28675</v>
      </c>
      <c r="H7426" t="s">
        <v>9998</v>
      </c>
      <c r="I7426" t="s">
        <v>28707</v>
      </c>
      <c r="J7426" t="s">
        <v>33468</v>
      </c>
      <c r="K7426" t="s">
        <v>37213</v>
      </c>
      <c r="M7426" t="s">
        <v>38880</v>
      </c>
      <c r="N7426" t="s">
        <v>41249</v>
      </c>
      <c r="O7426" t="s">
        <v>41250</v>
      </c>
      <c r="P7426">
        <v>0</v>
      </c>
      <c r="Q7426">
        <v>4</v>
      </c>
      <c r="R7426" t="s">
        <v>41257</v>
      </c>
      <c r="S7426" t="s">
        <v>41461</v>
      </c>
      <c r="T7426" t="s">
        <v>42715</v>
      </c>
      <c r="U7426" t="s">
        <v>49337</v>
      </c>
      <c r="W7426" t="s">
        <v>38880</v>
      </c>
      <c r="X7426" t="s">
        <v>41258</v>
      </c>
    </row>
    <row r="7427" spans="1:24">
      <c r="A7427">
        <f>HYPERLINK("https://www.philgeps.gov.ph/GEPSNONPILOT/Tender/SplashBidNoticeAbstractUI.aspx?menuIndex=3&amp;refID=7069878&amp;Result=3","7069878")</f>
        <v>0</v>
      </c>
      <c r="B7427" t="s">
        <v>1468</v>
      </c>
      <c r="C7427" t="s">
        <v>10465</v>
      </c>
      <c r="D7427" t="s">
        <v>16611</v>
      </c>
      <c r="E7427" t="s">
        <v>23214</v>
      </c>
      <c r="F7427" t="s">
        <v>28669</v>
      </c>
      <c r="G7427" t="s">
        <v>28675</v>
      </c>
      <c r="H7427" t="s">
        <v>9998</v>
      </c>
      <c r="I7427" t="s">
        <v>28687</v>
      </c>
      <c r="J7427" t="s">
        <v>33469</v>
      </c>
      <c r="K7427" t="s">
        <v>37206</v>
      </c>
      <c r="M7427" t="s">
        <v>39036</v>
      </c>
      <c r="N7427" t="s">
        <v>41249</v>
      </c>
      <c r="O7427" t="s">
        <v>41250</v>
      </c>
      <c r="P7427">
        <v>0</v>
      </c>
      <c r="Q7427">
        <v>3</v>
      </c>
      <c r="R7427" t="s">
        <v>41257</v>
      </c>
      <c r="S7427" t="s">
        <v>41461</v>
      </c>
      <c r="T7427" t="s">
        <v>42692</v>
      </c>
      <c r="U7427" t="s">
        <v>49319</v>
      </c>
      <c r="W7427" t="s">
        <v>39036</v>
      </c>
      <c r="X7427" t="s">
        <v>41258</v>
      </c>
    </row>
    <row r="7428" spans="1:24">
      <c r="A7428">
        <f>HYPERLINK("https://www.philgeps.gov.ph/GEPSNONPILOT/Tender/SplashBidNoticeAbstractUI.aspx?menuIndex=3&amp;refID=7069986&amp;Result=3","7069986")</f>
        <v>0</v>
      </c>
      <c r="B7428" t="s">
        <v>2198</v>
      </c>
      <c r="C7428" t="s">
        <v>10466</v>
      </c>
      <c r="D7428" t="s">
        <v>16619</v>
      </c>
      <c r="E7428" t="s">
        <v>17319</v>
      </c>
      <c r="F7428" t="s">
        <v>28669</v>
      </c>
      <c r="G7428" t="s">
        <v>28676</v>
      </c>
      <c r="H7428" t="s">
        <v>9998</v>
      </c>
      <c r="I7428" t="s">
        <v>6606</v>
      </c>
      <c r="J7428" t="s">
        <v>33470</v>
      </c>
      <c r="K7428" t="s">
        <v>37205</v>
      </c>
      <c r="M7428" t="s">
        <v>39848</v>
      </c>
      <c r="N7428" t="s">
        <v>41249</v>
      </c>
      <c r="O7428" t="s">
        <v>41250</v>
      </c>
      <c r="P7428">
        <v>0</v>
      </c>
      <c r="Q7428">
        <v>0</v>
      </c>
      <c r="R7428" t="s">
        <v>41257</v>
      </c>
      <c r="S7428" t="s">
        <v>41461</v>
      </c>
      <c r="T7428" t="s">
        <v>42665</v>
      </c>
      <c r="U7428" t="s">
        <v>49338</v>
      </c>
      <c r="V7428" t="s">
        <v>55111</v>
      </c>
      <c r="W7428" t="s">
        <v>39848</v>
      </c>
      <c r="X7428" t="s">
        <v>41258</v>
      </c>
    </row>
    <row r="7429" spans="1:24">
      <c r="A7429">
        <f>HYPERLINK("https://www.philgeps.gov.ph/GEPSNONPILOT/Tender/SplashBidNoticeAbstractUI.aspx?menuIndex=3&amp;refID=7070029&amp;Result=3","7070029")</f>
        <v>0</v>
      </c>
      <c r="B7429" t="s">
        <v>2365</v>
      </c>
      <c r="C7429" t="s">
        <v>10467</v>
      </c>
      <c r="D7429" t="s">
        <v>16628</v>
      </c>
      <c r="E7429" t="s">
        <v>23215</v>
      </c>
      <c r="F7429" t="s">
        <v>28669</v>
      </c>
      <c r="G7429" t="s">
        <v>28675</v>
      </c>
      <c r="H7429" t="s">
        <v>28686</v>
      </c>
      <c r="I7429" t="s">
        <v>28689</v>
      </c>
      <c r="J7429" t="s">
        <v>33471</v>
      </c>
      <c r="K7429" t="s">
        <v>37220</v>
      </c>
      <c r="M7429" t="s">
        <v>40034</v>
      </c>
      <c r="N7429" t="s">
        <v>41249</v>
      </c>
      <c r="O7429" t="s">
        <v>41250</v>
      </c>
      <c r="P7429">
        <v>0</v>
      </c>
      <c r="Q7429">
        <v>1</v>
      </c>
      <c r="R7429" t="s">
        <v>41257</v>
      </c>
      <c r="S7429" t="s">
        <v>41461</v>
      </c>
      <c r="T7429" t="s">
        <v>42911</v>
      </c>
      <c r="U7429" t="s">
        <v>49339</v>
      </c>
      <c r="V7429" t="s">
        <v>55112</v>
      </c>
      <c r="W7429" t="s">
        <v>40034</v>
      </c>
      <c r="X7429" t="s">
        <v>41258</v>
      </c>
    </row>
    <row r="7430" spans="1:24">
      <c r="A7430">
        <f>HYPERLINK("https://www.philgeps.gov.ph/GEPSNONPILOT/Tender/SplashBidNoticeAbstractUI.aspx?menuIndex=3&amp;refID=7069956&amp;Result=3","7069956")</f>
        <v>0</v>
      </c>
      <c r="B7430" t="s">
        <v>46</v>
      </c>
      <c r="C7430" t="s">
        <v>10468</v>
      </c>
      <c r="D7430" t="s">
        <v>16627</v>
      </c>
      <c r="E7430" t="s">
        <v>23216</v>
      </c>
      <c r="F7430" t="s">
        <v>28669</v>
      </c>
      <c r="G7430" t="s">
        <v>28675</v>
      </c>
      <c r="H7430" t="s">
        <v>9998</v>
      </c>
      <c r="I7430" t="s">
        <v>7352</v>
      </c>
      <c r="J7430" t="s">
        <v>33472</v>
      </c>
      <c r="K7430" t="s">
        <v>37209</v>
      </c>
      <c r="M7430" t="s">
        <v>37521</v>
      </c>
      <c r="N7430" t="s">
        <v>41249</v>
      </c>
      <c r="O7430" t="s">
        <v>41250</v>
      </c>
      <c r="P7430">
        <v>0</v>
      </c>
      <c r="Q7430">
        <v>0</v>
      </c>
      <c r="R7430" t="s">
        <v>41257</v>
      </c>
      <c r="S7430" t="s">
        <v>41461</v>
      </c>
      <c r="T7430" t="s">
        <v>42683</v>
      </c>
      <c r="U7430" t="s">
        <v>49340</v>
      </c>
      <c r="W7430" t="s">
        <v>37521</v>
      </c>
      <c r="X7430" t="s">
        <v>41258</v>
      </c>
    </row>
    <row r="7431" spans="1:24">
      <c r="A7431">
        <f>HYPERLINK("https://www.philgeps.gov.ph/GEPSNONPILOT/Tender/SplashBidNoticeAbstractUI.aspx?menuIndex=3&amp;refID=7070027&amp;Result=3","7070027")</f>
        <v>0</v>
      </c>
      <c r="B7431" t="s">
        <v>2198</v>
      </c>
      <c r="C7431" t="s">
        <v>10469</v>
      </c>
      <c r="D7431" t="s">
        <v>16619</v>
      </c>
      <c r="E7431" t="s">
        <v>17947</v>
      </c>
      <c r="F7431" t="s">
        <v>28669</v>
      </c>
      <c r="G7431" t="s">
        <v>28676</v>
      </c>
      <c r="H7431" t="s">
        <v>9998</v>
      </c>
      <c r="I7431" t="s">
        <v>7352</v>
      </c>
      <c r="J7431" t="s">
        <v>33473</v>
      </c>
      <c r="K7431" t="s">
        <v>37205</v>
      </c>
      <c r="M7431" t="s">
        <v>39848</v>
      </c>
      <c r="N7431" t="s">
        <v>41249</v>
      </c>
      <c r="O7431" t="s">
        <v>41250</v>
      </c>
      <c r="P7431">
        <v>0</v>
      </c>
      <c r="Q7431">
        <v>1</v>
      </c>
      <c r="R7431" t="s">
        <v>41257</v>
      </c>
      <c r="S7431" t="s">
        <v>41461</v>
      </c>
      <c r="T7431" t="s">
        <v>42665</v>
      </c>
      <c r="U7431" t="s">
        <v>49341</v>
      </c>
      <c r="V7431" t="s">
        <v>55113</v>
      </c>
      <c r="W7431" t="s">
        <v>39848</v>
      </c>
      <c r="X7431" t="s">
        <v>41258</v>
      </c>
    </row>
    <row r="7432" spans="1:24">
      <c r="A7432">
        <f>HYPERLINK("https://www.philgeps.gov.ph/GEPSNONPILOT/Tender/SplashBidNoticeAbstractUI.aspx?menuIndex=3&amp;refID=7070026&amp;Result=3","7070026")</f>
        <v>0</v>
      </c>
      <c r="B7432" t="s">
        <v>198</v>
      </c>
      <c r="C7432" t="s">
        <v>10470</v>
      </c>
      <c r="D7432" t="s">
        <v>16624</v>
      </c>
      <c r="E7432" t="s">
        <v>23217</v>
      </c>
      <c r="F7432" t="s">
        <v>28669</v>
      </c>
      <c r="G7432" t="s">
        <v>28676</v>
      </c>
      <c r="H7432" t="s">
        <v>28684</v>
      </c>
      <c r="I7432" t="s">
        <v>28713</v>
      </c>
      <c r="J7432" t="s">
        <v>29328</v>
      </c>
      <c r="K7432" t="s">
        <v>37210</v>
      </c>
      <c r="M7432" t="s">
        <v>37676</v>
      </c>
      <c r="N7432" t="s">
        <v>41249</v>
      </c>
      <c r="O7432" t="s">
        <v>41250</v>
      </c>
      <c r="P7432">
        <v>0</v>
      </c>
      <c r="Q7432">
        <v>3</v>
      </c>
      <c r="R7432" t="s">
        <v>41257</v>
      </c>
      <c r="S7432" t="s">
        <v>41461</v>
      </c>
      <c r="T7432" t="s">
        <v>42701</v>
      </c>
      <c r="U7432" t="s">
        <v>49342</v>
      </c>
      <c r="W7432" t="s">
        <v>37676</v>
      </c>
      <c r="X7432" t="s">
        <v>41258</v>
      </c>
    </row>
    <row r="7433" spans="1:24">
      <c r="A7433">
        <f>HYPERLINK("https://www.philgeps.gov.ph/GEPSNONPILOT/Tender/SplashBidNoticeAbstractUI.aspx?menuIndex=3&amp;refID=7070025&amp;Result=3","7070025")</f>
        <v>0</v>
      </c>
      <c r="B7433" t="s">
        <v>2365</v>
      </c>
      <c r="C7433" t="s">
        <v>10471</v>
      </c>
      <c r="D7433" t="s">
        <v>16628</v>
      </c>
      <c r="E7433" t="s">
        <v>23218</v>
      </c>
      <c r="F7433" t="s">
        <v>28669</v>
      </c>
      <c r="G7433" t="s">
        <v>28675</v>
      </c>
      <c r="H7433" t="s">
        <v>28686</v>
      </c>
      <c r="I7433" t="s">
        <v>28689</v>
      </c>
      <c r="J7433" t="s">
        <v>33474</v>
      </c>
      <c r="K7433" t="s">
        <v>37213</v>
      </c>
      <c r="M7433" t="s">
        <v>40034</v>
      </c>
      <c r="N7433" t="s">
        <v>41249</v>
      </c>
      <c r="O7433" t="s">
        <v>41250</v>
      </c>
      <c r="P7433">
        <v>0</v>
      </c>
      <c r="Q7433">
        <v>2</v>
      </c>
      <c r="R7433" t="s">
        <v>41257</v>
      </c>
      <c r="S7433" t="s">
        <v>41461</v>
      </c>
      <c r="T7433" t="s">
        <v>42911</v>
      </c>
      <c r="U7433" t="s">
        <v>49339</v>
      </c>
      <c r="V7433" t="s">
        <v>55114</v>
      </c>
      <c r="W7433" t="s">
        <v>40034</v>
      </c>
      <c r="X7433" t="s">
        <v>41258</v>
      </c>
    </row>
    <row r="7434" spans="1:24">
      <c r="A7434">
        <f>HYPERLINK("https://www.philgeps.gov.ph/GEPSNONPILOT/Tender/SplashBidNoticeAbstractUI.aspx?menuIndex=3&amp;refID=7070020&amp;Result=3","7070020")</f>
        <v>0</v>
      </c>
      <c r="B7434" t="s">
        <v>198</v>
      </c>
      <c r="C7434" t="s">
        <v>10472</v>
      </c>
      <c r="D7434" t="s">
        <v>16624</v>
      </c>
      <c r="E7434" t="s">
        <v>23219</v>
      </c>
      <c r="F7434" t="s">
        <v>28669</v>
      </c>
      <c r="G7434" t="s">
        <v>28676</v>
      </c>
      <c r="H7434" t="s">
        <v>28684</v>
      </c>
      <c r="I7434" t="s">
        <v>28690</v>
      </c>
      <c r="J7434" t="s">
        <v>30026</v>
      </c>
      <c r="K7434" t="s">
        <v>37210</v>
      </c>
      <c r="M7434" t="s">
        <v>37676</v>
      </c>
      <c r="N7434" t="s">
        <v>41249</v>
      </c>
      <c r="O7434" t="s">
        <v>41250</v>
      </c>
      <c r="P7434">
        <v>0</v>
      </c>
      <c r="Q7434">
        <v>4</v>
      </c>
      <c r="R7434" t="s">
        <v>41257</v>
      </c>
      <c r="S7434" t="s">
        <v>41461</v>
      </c>
      <c r="T7434" t="s">
        <v>42701</v>
      </c>
      <c r="U7434" t="s">
        <v>49343</v>
      </c>
      <c r="W7434" t="s">
        <v>37676</v>
      </c>
      <c r="X7434" t="s">
        <v>41258</v>
      </c>
    </row>
    <row r="7435" spans="1:24">
      <c r="A7435">
        <f>HYPERLINK("https://www.philgeps.gov.ph/GEPSNONPILOT/Tender/SplashBidNoticeAbstractUI.aspx?menuIndex=3&amp;refID=7070019&amp;Result=3","7070019")</f>
        <v>0</v>
      </c>
      <c r="B7435" t="s">
        <v>135</v>
      </c>
      <c r="C7435" t="s">
        <v>10473</v>
      </c>
      <c r="D7435" t="s">
        <v>16622</v>
      </c>
      <c r="E7435" t="s">
        <v>23220</v>
      </c>
      <c r="F7435" t="s">
        <v>28669</v>
      </c>
      <c r="G7435" t="s">
        <v>28675</v>
      </c>
      <c r="H7435" t="s">
        <v>9998</v>
      </c>
      <c r="I7435" t="s">
        <v>28729</v>
      </c>
      <c r="J7435" t="s">
        <v>28836</v>
      </c>
      <c r="K7435" t="s">
        <v>37221</v>
      </c>
      <c r="M7435" t="s">
        <v>39732</v>
      </c>
      <c r="N7435" t="s">
        <v>41249</v>
      </c>
      <c r="O7435" t="s">
        <v>41250</v>
      </c>
      <c r="P7435">
        <v>0</v>
      </c>
      <c r="Q7435">
        <v>9</v>
      </c>
      <c r="R7435" t="s">
        <v>41257</v>
      </c>
      <c r="S7435" t="s">
        <v>41461</v>
      </c>
      <c r="T7435" t="s">
        <v>42740</v>
      </c>
      <c r="U7435" t="s">
        <v>49344</v>
      </c>
      <c r="W7435" t="s">
        <v>39732</v>
      </c>
      <c r="X7435" t="s">
        <v>41258</v>
      </c>
    </row>
    <row r="7436" spans="1:24">
      <c r="A7436">
        <f>HYPERLINK("https://www.philgeps.gov.ph/GEPSNONPILOT/Tender/SplashBidNoticeAbstractUI.aspx?menuIndex=3&amp;refID=7070015&amp;Result=3","7070015")</f>
        <v>0</v>
      </c>
      <c r="B7436" t="s">
        <v>1180</v>
      </c>
      <c r="C7436" t="s">
        <v>6122</v>
      </c>
      <c r="D7436" t="s">
        <v>16625</v>
      </c>
      <c r="E7436" t="s">
        <v>23221</v>
      </c>
      <c r="F7436" t="s">
        <v>28669</v>
      </c>
      <c r="G7436" t="s">
        <v>28675</v>
      </c>
      <c r="H7436" t="s">
        <v>9998</v>
      </c>
      <c r="I7436" t="s">
        <v>28688</v>
      </c>
      <c r="J7436" t="s">
        <v>33475</v>
      </c>
      <c r="K7436" t="s">
        <v>37205</v>
      </c>
      <c r="M7436" t="s">
        <v>38720</v>
      </c>
      <c r="N7436" t="s">
        <v>41249</v>
      </c>
      <c r="O7436" t="s">
        <v>41250</v>
      </c>
      <c r="P7436">
        <v>0</v>
      </c>
      <c r="Q7436">
        <v>7</v>
      </c>
      <c r="R7436" t="s">
        <v>41257</v>
      </c>
      <c r="S7436" t="s">
        <v>41461</v>
      </c>
      <c r="T7436" t="s">
        <v>42690</v>
      </c>
      <c r="U7436" t="s">
        <v>49345</v>
      </c>
      <c r="W7436" t="s">
        <v>38720</v>
      </c>
      <c r="X7436" t="s">
        <v>41258</v>
      </c>
    </row>
    <row r="7437" spans="1:24">
      <c r="A7437">
        <f>HYPERLINK("https://www.philgeps.gov.ph/GEPSNONPILOT/Tender/SplashBidNoticeAbstractUI.aspx?menuIndex=3&amp;refID=7070013&amp;Result=3","7070013")</f>
        <v>0</v>
      </c>
      <c r="B7437" t="s">
        <v>2198</v>
      </c>
      <c r="C7437" t="s">
        <v>10474</v>
      </c>
      <c r="D7437" t="s">
        <v>16619</v>
      </c>
      <c r="E7437" t="s">
        <v>17835</v>
      </c>
      <c r="F7437" t="s">
        <v>28669</v>
      </c>
      <c r="G7437" t="s">
        <v>28676</v>
      </c>
      <c r="H7437" t="s">
        <v>9998</v>
      </c>
      <c r="I7437" t="s">
        <v>28716</v>
      </c>
      <c r="J7437" t="s">
        <v>29034</v>
      </c>
      <c r="K7437" t="s">
        <v>37205</v>
      </c>
      <c r="M7437" t="s">
        <v>39848</v>
      </c>
      <c r="N7437" t="s">
        <v>41249</v>
      </c>
      <c r="O7437" t="s">
        <v>41250</v>
      </c>
      <c r="P7437">
        <v>0</v>
      </c>
      <c r="Q7437">
        <v>1</v>
      </c>
      <c r="R7437" t="s">
        <v>41257</v>
      </c>
      <c r="S7437" t="s">
        <v>41461</v>
      </c>
      <c r="T7437" t="s">
        <v>42665</v>
      </c>
      <c r="U7437" t="s">
        <v>49346</v>
      </c>
      <c r="V7437" t="s">
        <v>55113</v>
      </c>
      <c r="W7437" t="s">
        <v>39848</v>
      </c>
      <c r="X7437" t="s">
        <v>41258</v>
      </c>
    </row>
    <row r="7438" spans="1:24">
      <c r="A7438">
        <f>HYPERLINK("https://www.philgeps.gov.ph/GEPSNONPILOT/Tender/SplashBidNoticeAbstractUI.aspx?menuIndex=3&amp;refID=7070010&amp;Result=3","7070010")</f>
        <v>0</v>
      </c>
      <c r="B7438" t="s">
        <v>2114</v>
      </c>
      <c r="C7438" t="s">
        <v>10475</v>
      </c>
      <c r="E7438" t="s">
        <v>23222</v>
      </c>
      <c r="F7438" t="s">
        <v>28669</v>
      </c>
      <c r="G7438" t="s">
        <v>28675</v>
      </c>
      <c r="H7438" t="s">
        <v>28685</v>
      </c>
      <c r="I7438" t="s">
        <v>28685</v>
      </c>
      <c r="J7438" t="s">
        <v>33476</v>
      </c>
      <c r="K7438" t="s">
        <v>37387</v>
      </c>
      <c r="M7438" t="s">
        <v>39757</v>
      </c>
      <c r="N7438" t="s">
        <v>41249</v>
      </c>
      <c r="O7438" t="s">
        <v>41250</v>
      </c>
      <c r="P7438">
        <v>0</v>
      </c>
      <c r="Q7438">
        <v>6</v>
      </c>
      <c r="R7438" t="s">
        <v>41257</v>
      </c>
      <c r="S7438" t="s">
        <v>41461</v>
      </c>
      <c r="T7438" t="s">
        <v>42703</v>
      </c>
      <c r="U7438" t="s">
        <v>49347</v>
      </c>
      <c r="W7438" t="s">
        <v>39757</v>
      </c>
      <c r="X7438" t="s">
        <v>41258</v>
      </c>
    </row>
    <row r="7439" spans="1:24">
      <c r="A7439">
        <f>HYPERLINK("https://www.philgeps.gov.ph/GEPSNONPILOT/Tender/SplashBidNoticeAbstractUI.aspx?menuIndex=3&amp;refID=7070005&amp;Result=3","7070005")</f>
        <v>0</v>
      </c>
      <c r="B7439" t="s">
        <v>2114</v>
      </c>
      <c r="C7439" t="s">
        <v>10476</v>
      </c>
      <c r="E7439" t="s">
        <v>23223</v>
      </c>
      <c r="F7439" t="s">
        <v>28669</v>
      </c>
      <c r="G7439" t="s">
        <v>28675</v>
      </c>
      <c r="H7439" t="s">
        <v>28685</v>
      </c>
      <c r="I7439" t="s">
        <v>28685</v>
      </c>
      <c r="J7439" t="s">
        <v>33477</v>
      </c>
      <c r="K7439" t="s">
        <v>37279</v>
      </c>
      <c r="M7439" t="s">
        <v>39757</v>
      </c>
      <c r="N7439" t="s">
        <v>41249</v>
      </c>
      <c r="O7439" t="s">
        <v>41250</v>
      </c>
      <c r="P7439">
        <v>0</v>
      </c>
      <c r="Q7439">
        <v>6</v>
      </c>
      <c r="R7439" t="s">
        <v>41257</v>
      </c>
      <c r="S7439" t="s">
        <v>41461</v>
      </c>
      <c r="T7439" t="s">
        <v>42703</v>
      </c>
      <c r="U7439" t="s">
        <v>49348</v>
      </c>
      <c r="W7439" t="s">
        <v>39757</v>
      </c>
      <c r="X7439" t="s">
        <v>41258</v>
      </c>
    </row>
    <row r="7440" spans="1:24">
      <c r="A7440">
        <f>HYPERLINK("https://www.philgeps.gov.ph/GEPSNONPILOT/Tender/SplashBidNoticeAbstractUI.aspx?menuIndex=3&amp;refID=7070004&amp;Result=3","7070004")</f>
        <v>0</v>
      </c>
      <c r="B7440" t="s">
        <v>2366</v>
      </c>
      <c r="C7440" t="s">
        <v>10477</v>
      </c>
      <c r="D7440" t="s">
        <v>16640</v>
      </c>
      <c r="E7440" t="s">
        <v>16820</v>
      </c>
      <c r="F7440" t="s">
        <v>28669</v>
      </c>
      <c r="G7440" t="s">
        <v>28675</v>
      </c>
      <c r="H7440" t="s">
        <v>9998</v>
      </c>
      <c r="I7440" t="s">
        <v>11142</v>
      </c>
      <c r="J7440" t="s">
        <v>28826</v>
      </c>
      <c r="K7440" t="s">
        <v>37204</v>
      </c>
      <c r="M7440" t="s">
        <v>40035</v>
      </c>
      <c r="N7440" t="s">
        <v>41249</v>
      </c>
      <c r="O7440" t="s">
        <v>41250</v>
      </c>
      <c r="P7440">
        <v>0</v>
      </c>
      <c r="Q7440">
        <v>0</v>
      </c>
      <c r="R7440" t="s">
        <v>41257</v>
      </c>
      <c r="S7440" t="s">
        <v>41461</v>
      </c>
      <c r="T7440" t="s">
        <v>42706</v>
      </c>
      <c r="U7440" t="s">
        <v>49349</v>
      </c>
      <c r="W7440" t="s">
        <v>40035</v>
      </c>
      <c r="X7440" t="s">
        <v>41258</v>
      </c>
    </row>
    <row r="7441" spans="1:24">
      <c r="A7441">
        <f>HYPERLINK("https://www.philgeps.gov.ph/GEPSNONPILOT/Tender/SplashBidNoticeAbstractUI.aspx?menuIndex=3&amp;refID=7070000&amp;Result=3","7070000")</f>
        <v>0</v>
      </c>
      <c r="B7441" t="s">
        <v>2198</v>
      </c>
      <c r="C7441" t="s">
        <v>10478</v>
      </c>
      <c r="D7441" t="s">
        <v>16619</v>
      </c>
      <c r="E7441" t="s">
        <v>20261</v>
      </c>
      <c r="F7441" t="s">
        <v>28669</v>
      </c>
      <c r="G7441" t="s">
        <v>28676</v>
      </c>
      <c r="H7441" t="s">
        <v>9998</v>
      </c>
      <c r="I7441" t="s">
        <v>11142</v>
      </c>
      <c r="J7441" t="s">
        <v>28826</v>
      </c>
      <c r="K7441" t="s">
        <v>37205</v>
      </c>
      <c r="M7441" t="s">
        <v>39848</v>
      </c>
      <c r="N7441" t="s">
        <v>41249</v>
      </c>
      <c r="O7441" t="s">
        <v>41250</v>
      </c>
      <c r="P7441">
        <v>0</v>
      </c>
      <c r="Q7441">
        <v>0</v>
      </c>
      <c r="R7441" t="s">
        <v>41257</v>
      </c>
      <c r="S7441" t="s">
        <v>41461</v>
      </c>
      <c r="T7441" t="s">
        <v>42665</v>
      </c>
      <c r="U7441" t="s">
        <v>49346</v>
      </c>
      <c r="V7441" t="s">
        <v>55113</v>
      </c>
      <c r="W7441" t="s">
        <v>39848</v>
      </c>
      <c r="X7441" t="s">
        <v>41258</v>
      </c>
    </row>
    <row r="7442" spans="1:24">
      <c r="A7442">
        <f>HYPERLINK("https://www.philgeps.gov.ph/GEPSNONPILOT/Tender/SplashBidNoticeAbstractUI.aspx?menuIndex=3&amp;refID=7070024&amp;Result=3","7070024")</f>
        <v>0</v>
      </c>
      <c r="B7442" t="s">
        <v>1180</v>
      </c>
      <c r="C7442" t="s">
        <v>6122</v>
      </c>
      <c r="D7442" t="s">
        <v>16625</v>
      </c>
      <c r="E7442" t="s">
        <v>23224</v>
      </c>
      <c r="F7442" t="s">
        <v>28669</v>
      </c>
      <c r="G7442" t="s">
        <v>28675</v>
      </c>
      <c r="H7442" t="s">
        <v>9998</v>
      </c>
      <c r="I7442" t="s">
        <v>28688</v>
      </c>
      <c r="J7442" t="s">
        <v>33478</v>
      </c>
      <c r="K7442" t="s">
        <v>37205</v>
      </c>
      <c r="M7442" t="s">
        <v>38720</v>
      </c>
      <c r="N7442" t="s">
        <v>41249</v>
      </c>
      <c r="O7442" t="s">
        <v>41250</v>
      </c>
      <c r="P7442">
        <v>0</v>
      </c>
      <c r="Q7442">
        <v>6</v>
      </c>
      <c r="R7442" t="s">
        <v>41257</v>
      </c>
      <c r="S7442" t="s">
        <v>41461</v>
      </c>
      <c r="T7442" t="s">
        <v>42690</v>
      </c>
      <c r="U7442" t="s">
        <v>49350</v>
      </c>
      <c r="W7442" t="s">
        <v>38720</v>
      </c>
      <c r="X7442" t="s">
        <v>41258</v>
      </c>
    </row>
    <row r="7443" spans="1:24">
      <c r="A7443">
        <f>HYPERLINK("https://www.philgeps.gov.ph/GEPSNONPILOT/Tender/SplashBidNoticeAbstractUI.aspx?menuIndex=3&amp;refID=7069998&amp;Result=3","7069998")</f>
        <v>0</v>
      </c>
      <c r="B7443" t="s">
        <v>1439</v>
      </c>
      <c r="C7443" t="s">
        <v>10479</v>
      </c>
      <c r="D7443" t="s">
        <v>16608</v>
      </c>
      <c r="E7443" t="s">
        <v>23225</v>
      </c>
      <c r="F7443" t="s">
        <v>28669</v>
      </c>
      <c r="G7443" t="s">
        <v>28675</v>
      </c>
      <c r="H7443" t="s">
        <v>9998</v>
      </c>
      <c r="I7443" t="s">
        <v>5286</v>
      </c>
      <c r="J7443" t="s">
        <v>33479</v>
      </c>
      <c r="K7443" t="s">
        <v>37272</v>
      </c>
      <c r="M7443" t="s">
        <v>39003</v>
      </c>
      <c r="N7443" t="s">
        <v>41249</v>
      </c>
      <c r="O7443" t="s">
        <v>41250</v>
      </c>
      <c r="Q7443">
        <v>20</v>
      </c>
      <c r="R7443" t="s">
        <v>41257</v>
      </c>
      <c r="S7443" t="s">
        <v>41504</v>
      </c>
      <c r="T7443" t="s">
        <v>43024</v>
      </c>
      <c r="U7443" t="s">
        <v>49351</v>
      </c>
      <c r="W7443" t="s">
        <v>55953</v>
      </c>
      <c r="X7443" t="s">
        <v>41258</v>
      </c>
    </row>
    <row r="7444" spans="1:24">
      <c r="A7444">
        <f>HYPERLINK("https://www.philgeps.gov.ph/GEPSNONPILOT/Tender/SplashBidNoticeAbstractUI.aspx?menuIndex=3&amp;refID=7069996&amp;Result=3","7069996")</f>
        <v>0</v>
      </c>
      <c r="B7444" t="s">
        <v>2367</v>
      </c>
      <c r="C7444" t="s">
        <v>10480</v>
      </c>
      <c r="D7444" t="s">
        <v>16627</v>
      </c>
      <c r="E7444" t="s">
        <v>16904</v>
      </c>
      <c r="F7444" t="s">
        <v>28669</v>
      </c>
      <c r="G7444" t="s">
        <v>28677</v>
      </c>
      <c r="H7444" t="s">
        <v>9998</v>
      </c>
      <c r="I7444" t="s">
        <v>28728</v>
      </c>
      <c r="J7444" t="s">
        <v>29040</v>
      </c>
      <c r="K7444" t="s">
        <v>37209</v>
      </c>
      <c r="M7444" t="s">
        <v>40036</v>
      </c>
      <c r="N7444" t="s">
        <v>41249</v>
      </c>
      <c r="O7444" t="s">
        <v>41250</v>
      </c>
      <c r="P7444">
        <v>0</v>
      </c>
      <c r="Q7444">
        <v>0</v>
      </c>
      <c r="R7444" t="s">
        <v>41257</v>
      </c>
      <c r="S7444" t="s">
        <v>41461</v>
      </c>
      <c r="T7444" t="s">
        <v>43050</v>
      </c>
      <c r="U7444" t="s">
        <v>49352</v>
      </c>
      <c r="W7444" t="s">
        <v>40036</v>
      </c>
      <c r="X7444" t="s">
        <v>41258</v>
      </c>
    </row>
    <row r="7445" spans="1:24">
      <c r="A7445">
        <f>HYPERLINK("https://www.philgeps.gov.ph/GEPSNONPILOT/Tender/SplashBidNoticeAbstractUI.aspx?menuIndex=3&amp;refID=7070030&amp;Result=3","7070030")</f>
        <v>0</v>
      </c>
      <c r="B7445" t="s">
        <v>1180</v>
      </c>
      <c r="C7445" t="s">
        <v>6122</v>
      </c>
      <c r="D7445" t="s">
        <v>16625</v>
      </c>
      <c r="E7445" t="s">
        <v>23226</v>
      </c>
      <c r="F7445" t="s">
        <v>28669</v>
      </c>
      <c r="G7445" t="s">
        <v>28675</v>
      </c>
      <c r="H7445" t="s">
        <v>9998</v>
      </c>
      <c r="I7445" t="s">
        <v>28688</v>
      </c>
      <c r="J7445" t="s">
        <v>33099</v>
      </c>
      <c r="K7445" t="s">
        <v>37205</v>
      </c>
      <c r="M7445" t="s">
        <v>38720</v>
      </c>
      <c r="N7445" t="s">
        <v>41249</v>
      </c>
      <c r="O7445" t="s">
        <v>41250</v>
      </c>
      <c r="P7445">
        <v>0</v>
      </c>
      <c r="Q7445">
        <v>3</v>
      </c>
      <c r="R7445" t="s">
        <v>41257</v>
      </c>
      <c r="S7445" t="s">
        <v>41461</v>
      </c>
      <c r="T7445" t="s">
        <v>42690</v>
      </c>
      <c r="U7445" t="s">
        <v>49353</v>
      </c>
      <c r="W7445" t="s">
        <v>38720</v>
      </c>
      <c r="X7445" t="s">
        <v>41258</v>
      </c>
    </row>
    <row r="7446" spans="1:24">
      <c r="A7446">
        <f>HYPERLINK("https://www.philgeps.gov.ph/GEPSNONPILOT/Tender/SplashBidNoticeAbstractUI.aspx?menuIndex=3&amp;refID=7070069&amp;Result=3","7070069")</f>
        <v>0</v>
      </c>
      <c r="B7446" t="s">
        <v>2368</v>
      </c>
      <c r="C7446" t="s">
        <v>10481</v>
      </c>
      <c r="E7446" t="s">
        <v>16820</v>
      </c>
      <c r="F7446" t="s">
        <v>28669</v>
      </c>
      <c r="G7446" t="s">
        <v>28675</v>
      </c>
      <c r="H7446" t="s">
        <v>28686</v>
      </c>
      <c r="I7446" t="s">
        <v>28689</v>
      </c>
      <c r="J7446" t="s">
        <v>29281</v>
      </c>
      <c r="K7446" t="s">
        <v>37209</v>
      </c>
      <c r="M7446" t="s">
        <v>40037</v>
      </c>
      <c r="N7446" t="s">
        <v>41249</v>
      </c>
      <c r="O7446" t="s">
        <v>41250</v>
      </c>
      <c r="P7446">
        <v>0</v>
      </c>
      <c r="Q7446">
        <v>0</v>
      </c>
      <c r="R7446" t="s">
        <v>41257</v>
      </c>
      <c r="S7446" t="s">
        <v>41461</v>
      </c>
      <c r="T7446" t="s">
        <v>42809</v>
      </c>
      <c r="U7446" t="s">
        <v>49354</v>
      </c>
      <c r="W7446" t="s">
        <v>40037</v>
      </c>
      <c r="X7446" t="s">
        <v>41258</v>
      </c>
    </row>
    <row r="7447" spans="1:24">
      <c r="A7447">
        <f>HYPERLINK("https://www.philgeps.gov.ph/GEPSNONPILOT/Tender/SplashBidNoticeAbstractUI.aspx?menuIndex=3&amp;refID=7070067&amp;Result=3","7070067")</f>
        <v>0</v>
      </c>
      <c r="B7447" t="s">
        <v>1144</v>
      </c>
      <c r="C7447" t="s">
        <v>10482</v>
      </c>
      <c r="D7447" t="s">
        <v>16608</v>
      </c>
      <c r="E7447" t="s">
        <v>23227</v>
      </c>
      <c r="F7447" t="s">
        <v>28669</v>
      </c>
      <c r="G7447" t="s">
        <v>28675</v>
      </c>
      <c r="H7447" t="s">
        <v>28686</v>
      </c>
      <c r="I7447" t="s">
        <v>28689</v>
      </c>
      <c r="J7447" t="s">
        <v>33480</v>
      </c>
      <c r="K7447" t="s">
        <v>37215</v>
      </c>
      <c r="M7447" t="s">
        <v>38680</v>
      </c>
      <c r="N7447" t="s">
        <v>41249</v>
      </c>
      <c r="O7447" t="s">
        <v>41250</v>
      </c>
      <c r="Q7447">
        <v>17</v>
      </c>
      <c r="R7447" t="s">
        <v>41257</v>
      </c>
      <c r="S7447" t="s">
        <v>41505</v>
      </c>
      <c r="T7447" t="s">
        <v>42782</v>
      </c>
      <c r="U7447" t="s">
        <v>45543</v>
      </c>
      <c r="W7447" t="s">
        <v>38680</v>
      </c>
      <c r="X7447" t="s">
        <v>41258</v>
      </c>
    </row>
    <row r="7448" spans="1:24">
      <c r="A7448">
        <f>HYPERLINK("https://www.philgeps.gov.ph/GEPSNONPILOT/Tender/SplashBidNoticeAbstractUI.aspx?menuIndex=3&amp;refID=7069883&amp;Result=3","7069883")</f>
        <v>0</v>
      </c>
      <c r="B7448" t="s">
        <v>1722</v>
      </c>
      <c r="C7448" t="s">
        <v>10483</v>
      </c>
      <c r="D7448" t="s">
        <v>16660</v>
      </c>
      <c r="E7448" t="s">
        <v>23228</v>
      </c>
      <c r="F7448" t="s">
        <v>28669</v>
      </c>
      <c r="G7448" t="s">
        <v>28677</v>
      </c>
      <c r="H7448" t="s">
        <v>9998</v>
      </c>
      <c r="I7448" t="s">
        <v>28688</v>
      </c>
      <c r="J7448" t="s">
        <v>29664</v>
      </c>
      <c r="K7448" t="s">
        <v>37266</v>
      </c>
      <c r="M7448" t="s">
        <v>39321</v>
      </c>
      <c r="N7448" t="s">
        <v>41249</v>
      </c>
      <c r="O7448" t="s">
        <v>41250</v>
      </c>
      <c r="P7448">
        <v>0</v>
      </c>
      <c r="Q7448">
        <v>7</v>
      </c>
      <c r="R7448" t="s">
        <v>41257</v>
      </c>
      <c r="S7448" t="s">
        <v>41461</v>
      </c>
      <c r="T7448" t="s">
        <v>42883</v>
      </c>
      <c r="U7448" t="s">
        <v>49355</v>
      </c>
      <c r="W7448" t="s">
        <v>39321</v>
      </c>
      <c r="X7448" t="s">
        <v>41258</v>
      </c>
    </row>
    <row r="7449" spans="1:24">
      <c r="A7449">
        <f>HYPERLINK("https://www.philgeps.gov.ph/GEPSNONPILOT/Tender/SplashBidNoticeAbstractUI.aspx?menuIndex=3&amp;refID=7070062&amp;Result=3","7070062")</f>
        <v>0</v>
      </c>
      <c r="B7449" t="s">
        <v>1180</v>
      </c>
      <c r="C7449" t="s">
        <v>10484</v>
      </c>
      <c r="D7449" t="s">
        <v>16625</v>
      </c>
      <c r="E7449" t="s">
        <v>23229</v>
      </c>
      <c r="F7449" t="s">
        <v>28669</v>
      </c>
      <c r="G7449" t="s">
        <v>28675</v>
      </c>
      <c r="H7449" t="s">
        <v>9998</v>
      </c>
      <c r="I7449" t="s">
        <v>28688</v>
      </c>
      <c r="J7449" t="s">
        <v>29059</v>
      </c>
      <c r="K7449" t="s">
        <v>37205</v>
      </c>
      <c r="M7449" t="s">
        <v>38720</v>
      </c>
      <c r="N7449" t="s">
        <v>41249</v>
      </c>
      <c r="O7449" t="s">
        <v>41250</v>
      </c>
      <c r="P7449">
        <v>0</v>
      </c>
      <c r="Q7449">
        <v>6</v>
      </c>
      <c r="R7449" t="s">
        <v>41257</v>
      </c>
      <c r="S7449" t="s">
        <v>41461</v>
      </c>
      <c r="T7449" t="s">
        <v>42690</v>
      </c>
      <c r="U7449" t="s">
        <v>49356</v>
      </c>
      <c r="W7449" t="s">
        <v>38720</v>
      </c>
      <c r="X7449" t="s">
        <v>41258</v>
      </c>
    </row>
    <row r="7450" spans="1:24">
      <c r="A7450">
        <f>HYPERLINK("https://www.philgeps.gov.ph/GEPSNONPILOT/Tender/SplashBidNoticeAbstractUI.aspx?menuIndex=3&amp;refID=7070063&amp;Result=3","7070063")</f>
        <v>0</v>
      </c>
      <c r="B7450" t="s">
        <v>766</v>
      </c>
      <c r="C7450" t="s">
        <v>10485</v>
      </c>
      <c r="E7450" t="s">
        <v>23230</v>
      </c>
      <c r="F7450" t="s">
        <v>28669</v>
      </c>
      <c r="G7450" t="s">
        <v>28675</v>
      </c>
      <c r="H7450" t="s">
        <v>9998</v>
      </c>
      <c r="I7450" t="s">
        <v>7352</v>
      </c>
      <c r="J7450" t="s">
        <v>33481</v>
      </c>
      <c r="K7450" t="s">
        <v>37209</v>
      </c>
      <c r="M7450" t="s">
        <v>38277</v>
      </c>
      <c r="N7450" t="s">
        <v>41249</v>
      </c>
      <c r="O7450" t="s">
        <v>41250</v>
      </c>
      <c r="P7450">
        <v>0</v>
      </c>
      <c r="Q7450">
        <v>1</v>
      </c>
      <c r="R7450" t="s">
        <v>41257</v>
      </c>
      <c r="S7450" t="s">
        <v>41461</v>
      </c>
      <c r="T7450" t="s">
        <v>42743</v>
      </c>
      <c r="U7450" t="s">
        <v>49357</v>
      </c>
      <c r="W7450" t="s">
        <v>38277</v>
      </c>
      <c r="X7450" t="s">
        <v>41258</v>
      </c>
    </row>
    <row r="7451" spans="1:24">
      <c r="A7451">
        <f>HYPERLINK("https://www.philgeps.gov.ph/GEPSNONPILOT/Tender/SplashBidNoticeAbstractUI.aspx?menuIndex=3&amp;refID=7070058&amp;Result=3","7070058")</f>
        <v>0</v>
      </c>
      <c r="B7451" t="s">
        <v>1585</v>
      </c>
      <c r="C7451" t="s">
        <v>10486</v>
      </c>
      <c r="D7451" t="s">
        <v>16618</v>
      </c>
      <c r="E7451" t="s">
        <v>23231</v>
      </c>
      <c r="F7451" t="s">
        <v>28669</v>
      </c>
      <c r="G7451" t="s">
        <v>28675</v>
      </c>
      <c r="H7451" t="s">
        <v>28686</v>
      </c>
      <c r="I7451" t="s">
        <v>28689</v>
      </c>
      <c r="J7451" t="s">
        <v>32463</v>
      </c>
      <c r="K7451" t="s">
        <v>37352</v>
      </c>
      <c r="M7451" t="s">
        <v>39166</v>
      </c>
      <c r="N7451" t="s">
        <v>41249</v>
      </c>
      <c r="O7451" t="s">
        <v>41250</v>
      </c>
      <c r="P7451">
        <v>0</v>
      </c>
      <c r="Q7451">
        <v>12</v>
      </c>
      <c r="R7451" t="s">
        <v>41257</v>
      </c>
      <c r="S7451" t="s">
        <v>41461</v>
      </c>
      <c r="T7451" t="s">
        <v>42761</v>
      </c>
      <c r="U7451" t="s">
        <v>49358</v>
      </c>
      <c r="W7451" t="s">
        <v>39166</v>
      </c>
      <c r="X7451" t="s">
        <v>41258</v>
      </c>
    </row>
    <row r="7452" spans="1:24">
      <c r="A7452">
        <f>HYPERLINK("https://www.philgeps.gov.ph/GEPSNONPILOT/Tender/SplashBidNoticeAbstractUI.aspx?menuIndex=3&amp;refID=7070056&amp;Result=3","7070056")</f>
        <v>0</v>
      </c>
      <c r="B7452" t="s">
        <v>2369</v>
      </c>
      <c r="C7452" t="s">
        <v>10487</v>
      </c>
      <c r="D7452" t="s">
        <v>16608</v>
      </c>
      <c r="E7452" t="s">
        <v>23232</v>
      </c>
      <c r="F7452" t="s">
        <v>28669</v>
      </c>
      <c r="G7452" t="s">
        <v>28676</v>
      </c>
      <c r="H7452" t="s">
        <v>9998</v>
      </c>
      <c r="I7452" t="s">
        <v>28813</v>
      </c>
      <c r="J7452" t="s">
        <v>29355</v>
      </c>
      <c r="K7452" t="s">
        <v>37266</v>
      </c>
      <c r="M7452" t="s">
        <v>40038</v>
      </c>
      <c r="N7452" t="s">
        <v>41249</v>
      </c>
      <c r="O7452" t="s">
        <v>41250</v>
      </c>
      <c r="P7452">
        <v>0</v>
      </c>
      <c r="Q7452">
        <v>3</v>
      </c>
      <c r="R7452" t="s">
        <v>41257</v>
      </c>
      <c r="S7452" t="s">
        <v>41461</v>
      </c>
      <c r="T7452" t="s">
        <v>42758</v>
      </c>
      <c r="U7452" t="s">
        <v>49359</v>
      </c>
      <c r="W7452" t="s">
        <v>40038</v>
      </c>
      <c r="X7452" t="s">
        <v>41258</v>
      </c>
    </row>
    <row r="7453" spans="1:24">
      <c r="A7453">
        <f>HYPERLINK("https://www.philgeps.gov.ph/GEPSNONPILOT/Tender/SplashBidNoticeAbstractUI.aspx?menuIndex=3&amp;refID=7070055&amp;Result=3","7070055")</f>
        <v>0</v>
      </c>
      <c r="B7453" t="s">
        <v>1585</v>
      </c>
      <c r="C7453" t="s">
        <v>10488</v>
      </c>
      <c r="D7453" t="s">
        <v>16618</v>
      </c>
      <c r="E7453" t="s">
        <v>23233</v>
      </c>
      <c r="F7453" t="s">
        <v>28669</v>
      </c>
      <c r="G7453" t="s">
        <v>28675</v>
      </c>
      <c r="H7453" t="s">
        <v>28686</v>
      </c>
      <c r="I7453" t="s">
        <v>28689</v>
      </c>
      <c r="J7453" t="s">
        <v>31638</v>
      </c>
      <c r="K7453" t="s">
        <v>37303</v>
      </c>
      <c r="M7453" t="s">
        <v>39166</v>
      </c>
      <c r="N7453" t="s">
        <v>41249</v>
      </c>
      <c r="O7453" t="s">
        <v>41250</v>
      </c>
      <c r="P7453">
        <v>0</v>
      </c>
      <c r="Q7453">
        <v>6</v>
      </c>
      <c r="R7453" t="s">
        <v>41257</v>
      </c>
      <c r="S7453" t="s">
        <v>41461</v>
      </c>
      <c r="T7453" t="s">
        <v>42761</v>
      </c>
      <c r="U7453" t="s">
        <v>46903</v>
      </c>
      <c r="W7453" t="s">
        <v>39166</v>
      </c>
      <c r="X7453" t="s">
        <v>41258</v>
      </c>
    </row>
    <row r="7454" spans="1:24">
      <c r="A7454">
        <f>HYPERLINK("https://www.philgeps.gov.ph/GEPSNONPILOT/Tender/SplashBidNoticeAbstractUI.aspx?menuIndex=3&amp;refID=7069770&amp;Result=3","7069770")</f>
        <v>0</v>
      </c>
      <c r="B7454" t="s">
        <v>2353</v>
      </c>
      <c r="C7454" t="s">
        <v>10489</v>
      </c>
      <c r="D7454" t="s">
        <v>16658</v>
      </c>
      <c r="E7454" t="s">
        <v>23234</v>
      </c>
      <c r="F7454" t="s">
        <v>28669</v>
      </c>
      <c r="G7454" t="s">
        <v>28675</v>
      </c>
      <c r="H7454" t="s">
        <v>9998</v>
      </c>
      <c r="I7454" t="s">
        <v>7352</v>
      </c>
      <c r="J7454" t="s">
        <v>33482</v>
      </c>
      <c r="K7454" t="s">
        <v>37205</v>
      </c>
      <c r="M7454" t="s">
        <v>40021</v>
      </c>
      <c r="N7454" t="s">
        <v>41249</v>
      </c>
      <c r="O7454" t="s">
        <v>41250</v>
      </c>
      <c r="P7454">
        <v>0</v>
      </c>
      <c r="Q7454">
        <v>0</v>
      </c>
      <c r="R7454" t="s">
        <v>41257</v>
      </c>
      <c r="S7454" t="s">
        <v>41461</v>
      </c>
      <c r="T7454" t="s">
        <v>42711</v>
      </c>
      <c r="U7454" t="s">
        <v>49360</v>
      </c>
      <c r="W7454" t="s">
        <v>40021</v>
      </c>
      <c r="X7454" t="s">
        <v>41258</v>
      </c>
    </row>
    <row r="7455" spans="1:24">
      <c r="A7455">
        <f>HYPERLINK("https://www.philgeps.gov.ph/GEPSNONPILOT/Tender/SplashBidNoticeAbstractUI.aspx?menuIndex=3&amp;refID=7070054&amp;Result=3","7070054")</f>
        <v>0</v>
      </c>
      <c r="B7455" t="s">
        <v>766</v>
      </c>
      <c r="C7455" t="s">
        <v>10490</v>
      </c>
      <c r="E7455" t="s">
        <v>23235</v>
      </c>
      <c r="F7455" t="s">
        <v>28669</v>
      </c>
      <c r="G7455" t="s">
        <v>28675</v>
      </c>
      <c r="H7455" t="s">
        <v>9998</v>
      </c>
      <c r="I7455" t="s">
        <v>7352</v>
      </c>
      <c r="J7455" t="s">
        <v>33483</v>
      </c>
      <c r="K7455" t="s">
        <v>37209</v>
      </c>
      <c r="M7455" t="s">
        <v>38277</v>
      </c>
      <c r="N7455" t="s">
        <v>41249</v>
      </c>
      <c r="O7455" t="s">
        <v>41250</v>
      </c>
      <c r="P7455">
        <v>0</v>
      </c>
      <c r="Q7455">
        <v>1</v>
      </c>
      <c r="R7455" t="s">
        <v>41257</v>
      </c>
      <c r="S7455" t="s">
        <v>41461</v>
      </c>
      <c r="T7455" t="s">
        <v>42743</v>
      </c>
      <c r="U7455" t="s">
        <v>49357</v>
      </c>
      <c r="W7455" t="s">
        <v>38277</v>
      </c>
      <c r="X7455" t="s">
        <v>41258</v>
      </c>
    </row>
    <row r="7456" spans="1:24">
      <c r="A7456">
        <f>HYPERLINK("https://www.philgeps.gov.ph/GEPSNONPILOT/Tender/SplashBidNoticeAbstractUI.aspx?menuIndex=3&amp;refID=7070064&amp;Result=3","7070064")</f>
        <v>0</v>
      </c>
      <c r="B7456" t="s">
        <v>2365</v>
      </c>
      <c r="C7456" t="s">
        <v>10491</v>
      </c>
      <c r="D7456" t="s">
        <v>16628</v>
      </c>
      <c r="E7456" t="s">
        <v>23236</v>
      </c>
      <c r="F7456" t="s">
        <v>28669</v>
      </c>
      <c r="G7456" t="s">
        <v>28675</v>
      </c>
      <c r="H7456" t="s">
        <v>28686</v>
      </c>
      <c r="I7456" t="s">
        <v>28689</v>
      </c>
      <c r="J7456" t="s">
        <v>33484</v>
      </c>
      <c r="K7456" t="s">
        <v>37363</v>
      </c>
      <c r="M7456" t="s">
        <v>40034</v>
      </c>
      <c r="N7456" t="s">
        <v>41249</v>
      </c>
      <c r="O7456" t="s">
        <v>41250</v>
      </c>
      <c r="P7456">
        <v>0</v>
      </c>
      <c r="Q7456">
        <v>0</v>
      </c>
      <c r="R7456" t="s">
        <v>41257</v>
      </c>
      <c r="S7456" t="s">
        <v>41461</v>
      </c>
      <c r="T7456" t="s">
        <v>42911</v>
      </c>
      <c r="U7456" t="s">
        <v>49339</v>
      </c>
      <c r="V7456" t="s">
        <v>55115</v>
      </c>
      <c r="W7456" t="s">
        <v>40034</v>
      </c>
      <c r="X7456" t="s">
        <v>41258</v>
      </c>
    </row>
    <row r="7457" spans="1:24">
      <c r="A7457">
        <f>HYPERLINK("https://www.philgeps.gov.ph/GEPSNONPILOT/Tender/SplashBidNoticeAbstractUI.aspx?menuIndex=3&amp;refID=7070061&amp;Result=3","7070061")</f>
        <v>0</v>
      </c>
      <c r="B7457" t="s">
        <v>1585</v>
      </c>
      <c r="C7457" t="s">
        <v>10492</v>
      </c>
      <c r="D7457" t="s">
        <v>16618</v>
      </c>
      <c r="E7457" t="s">
        <v>23237</v>
      </c>
      <c r="F7457" t="s">
        <v>28669</v>
      </c>
      <c r="G7457" t="s">
        <v>28675</v>
      </c>
      <c r="H7457" t="s">
        <v>28686</v>
      </c>
      <c r="I7457" t="s">
        <v>28689</v>
      </c>
      <c r="J7457" t="s">
        <v>32463</v>
      </c>
      <c r="K7457" t="s">
        <v>37349</v>
      </c>
      <c r="M7457" t="s">
        <v>39166</v>
      </c>
      <c r="N7457" t="s">
        <v>41249</v>
      </c>
      <c r="O7457" t="s">
        <v>41250</v>
      </c>
      <c r="P7457">
        <v>0</v>
      </c>
      <c r="Q7457">
        <v>12</v>
      </c>
      <c r="R7457" t="s">
        <v>41257</v>
      </c>
      <c r="S7457" t="s">
        <v>41461</v>
      </c>
      <c r="T7457" t="s">
        <v>42761</v>
      </c>
      <c r="U7457" t="s">
        <v>49361</v>
      </c>
      <c r="W7457" t="s">
        <v>39166</v>
      </c>
      <c r="X7457" t="s">
        <v>41258</v>
      </c>
    </row>
    <row r="7458" spans="1:24">
      <c r="A7458">
        <f>HYPERLINK("https://www.philgeps.gov.ph/GEPSNONPILOT/Tender/SplashBidNoticeAbstractUI.aspx?menuIndex=3&amp;refID=7070047&amp;Result=3","7070047")</f>
        <v>0</v>
      </c>
      <c r="B7458" t="s">
        <v>1585</v>
      </c>
      <c r="C7458" t="s">
        <v>10493</v>
      </c>
      <c r="D7458" t="s">
        <v>16618</v>
      </c>
      <c r="E7458" t="s">
        <v>23238</v>
      </c>
      <c r="F7458" t="s">
        <v>28669</v>
      </c>
      <c r="G7458" t="s">
        <v>28675</v>
      </c>
      <c r="H7458" t="s">
        <v>28686</v>
      </c>
      <c r="I7458" t="s">
        <v>28689</v>
      </c>
      <c r="J7458" t="s">
        <v>33485</v>
      </c>
      <c r="K7458" t="s">
        <v>37388</v>
      </c>
      <c r="M7458" t="s">
        <v>39166</v>
      </c>
      <c r="N7458" t="s">
        <v>41249</v>
      </c>
      <c r="O7458" t="s">
        <v>41250</v>
      </c>
      <c r="P7458">
        <v>0</v>
      </c>
      <c r="Q7458">
        <v>5</v>
      </c>
      <c r="R7458" t="s">
        <v>41257</v>
      </c>
      <c r="S7458" t="s">
        <v>41461</v>
      </c>
      <c r="T7458" t="s">
        <v>42761</v>
      </c>
      <c r="U7458" t="s">
        <v>49362</v>
      </c>
      <c r="W7458" t="s">
        <v>39166</v>
      </c>
      <c r="X7458" t="s">
        <v>41258</v>
      </c>
    </row>
    <row r="7459" spans="1:24">
      <c r="A7459">
        <f>HYPERLINK("https://www.philgeps.gov.ph/GEPSNONPILOT/Tender/SplashBidNoticeAbstractUI.aspx?menuIndex=3&amp;refID=7070049&amp;Result=3","7070049")</f>
        <v>0</v>
      </c>
      <c r="B7459" t="s">
        <v>2365</v>
      </c>
      <c r="C7459" t="s">
        <v>10494</v>
      </c>
      <c r="D7459" t="s">
        <v>16628</v>
      </c>
      <c r="E7459" t="s">
        <v>23239</v>
      </c>
      <c r="F7459" t="s">
        <v>28669</v>
      </c>
      <c r="G7459" t="s">
        <v>28675</v>
      </c>
      <c r="H7459" t="s">
        <v>28686</v>
      </c>
      <c r="I7459" t="s">
        <v>28689</v>
      </c>
      <c r="J7459" t="s">
        <v>33486</v>
      </c>
      <c r="K7459" t="s">
        <v>37224</v>
      </c>
      <c r="M7459" t="s">
        <v>40034</v>
      </c>
      <c r="N7459" t="s">
        <v>41249</v>
      </c>
      <c r="O7459" t="s">
        <v>41250</v>
      </c>
      <c r="P7459">
        <v>0</v>
      </c>
      <c r="Q7459">
        <v>0</v>
      </c>
      <c r="R7459" t="s">
        <v>41257</v>
      </c>
      <c r="S7459" t="s">
        <v>41461</v>
      </c>
      <c r="T7459" t="s">
        <v>42911</v>
      </c>
      <c r="U7459" t="s">
        <v>49339</v>
      </c>
      <c r="V7459" t="s">
        <v>55116</v>
      </c>
      <c r="W7459" t="s">
        <v>40034</v>
      </c>
      <c r="X7459" t="s">
        <v>41258</v>
      </c>
    </row>
    <row r="7460" spans="1:24">
      <c r="A7460">
        <f>HYPERLINK("https://www.philgeps.gov.ph/GEPSNONPILOT/Tender/SplashBidNoticeAbstractUI.aspx?menuIndex=3&amp;refID=7070057&amp;Result=3","7070057")</f>
        <v>0</v>
      </c>
      <c r="B7460" t="s">
        <v>766</v>
      </c>
      <c r="C7460" t="s">
        <v>10495</v>
      </c>
      <c r="E7460" t="s">
        <v>23240</v>
      </c>
      <c r="F7460" t="s">
        <v>28669</v>
      </c>
      <c r="G7460" t="s">
        <v>28675</v>
      </c>
      <c r="H7460" t="s">
        <v>9998</v>
      </c>
      <c r="I7460" t="s">
        <v>7352</v>
      </c>
      <c r="J7460" t="s">
        <v>33487</v>
      </c>
      <c r="K7460" t="s">
        <v>37209</v>
      </c>
      <c r="M7460" t="s">
        <v>38277</v>
      </c>
      <c r="N7460" t="s">
        <v>41249</v>
      </c>
      <c r="O7460" t="s">
        <v>41250</v>
      </c>
      <c r="P7460">
        <v>0</v>
      </c>
      <c r="Q7460">
        <v>2</v>
      </c>
      <c r="R7460" t="s">
        <v>41257</v>
      </c>
      <c r="S7460" t="s">
        <v>41461</v>
      </c>
      <c r="T7460" t="s">
        <v>42743</v>
      </c>
      <c r="U7460" t="s">
        <v>49357</v>
      </c>
      <c r="W7460" t="s">
        <v>38277</v>
      </c>
      <c r="X7460" t="s">
        <v>41258</v>
      </c>
    </row>
    <row r="7461" spans="1:24">
      <c r="A7461">
        <f>HYPERLINK("https://www.philgeps.gov.ph/GEPSNONPILOT/Tender/SplashBidNoticeAbstractUI.aspx?menuIndex=3&amp;refID=7070070&amp;Result=3","7070070")</f>
        <v>0</v>
      </c>
      <c r="B7461" t="s">
        <v>1144</v>
      </c>
      <c r="C7461" t="s">
        <v>10496</v>
      </c>
      <c r="D7461" t="s">
        <v>16608</v>
      </c>
      <c r="E7461" t="s">
        <v>23241</v>
      </c>
      <c r="F7461" t="s">
        <v>28669</v>
      </c>
      <c r="G7461" t="s">
        <v>28675</v>
      </c>
      <c r="H7461" t="s">
        <v>28686</v>
      </c>
      <c r="I7461" t="s">
        <v>28689</v>
      </c>
      <c r="J7461" t="s">
        <v>33488</v>
      </c>
      <c r="K7461" t="s">
        <v>37285</v>
      </c>
      <c r="M7461" t="s">
        <v>38680</v>
      </c>
      <c r="N7461" t="s">
        <v>41249</v>
      </c>
      <c r="O7461" t="s">
        <v>41250</v>
      </c>
      <c r="Q7461">
        <v>22</v>
      </c>
      <c r="R7461" t="s">
        <v>41257</v>
      </c>
      <c r="S7461" t="s">
        <v>41506</v>
      </c>
      <c r="T7461" t="s">
        <v>42782</v>
      </c>
      <c r="U7461" t="s">
        <v>45543</v>
      </c>
      <c r="W7461" t="s">
        <v>38680</v>
      </c>
      <c r="X7461" t="s">
        <v>41258</v>
      </c>
    </row>
    <row r="7462" spans="1:24">
      <c r="A7462">
        <f>HYPERLINK("https://www.philgeps.gov.ph/GEPSNONPILOT/Tender/SplashBidNoticeAbstractUI.aspx?menuIndex=3&amp;refID=7070094&amp;Result=3","7070094")</f>
        <v>0</v>
      </c>
      <c r="B7462" t="s">
        <v>766</v>
      </c>
      <c r="C7462" t="s">
        <v>10497</v>
      </c>
      <c r="E7462" t="s">
        <v>23242</v>
      </c>
      <c r="F7462" t="s">
        <v>28669</v>
      </c>
      <c r="G7462" t="s">
        <v>28675</v>
      </c>
      <c r="H7462" t="s">
        <v>9998</v>
      </c>
      <c r="I7462" t="s">
        <v>7352</v>
      </c>
      <c r="J7462" t="s">
        <v>33489</v>
      </c>
      <c r="K7462" t="s">
        <v>37209</v>
      </c>
      <c r="M7462" t="s">
        <v>38277</v>
      </c>
      <c r="N7462" t="s">
        <v>41249</v>
      </c>
      <c r="O7462" t="s">
        <v>41250</v>
      </c>
      <c r="P7462">
        <v>0</v>
      </c>
      <c r="Q7462">
        <v>1</v>
      </c>
      <c r="R7462" t="s">
        <v>41257</v>
      </c>
      <c r="S7462" t="s">
        <v>41461</v>
      </c>
      <c r="T7462" t="s">
        <v>42743</v>
      </c>
      <c r="U7462" t="s">
        <v>49357</v>
      </c>
      <c r="W7462" t="s">
        <v>38277</v>
      </c>
      <c r="X7462" t="s">
        <v>41258</v>
      </c>
    </row>
    <row r="7463" spans="1:24">
      <c r="A7463">
        <f>HYPERLINK("https://www.philgeps.gov.ph/GEPSNONPILOT/Tender/SplashBidNoticeAbstractUI.aspx?menuIndex=3&amp;refID=7070093&amp;Result=3","7070093")</f>
        <v>0</v>
      </c>
      <c r="B7463" t="s">
        <v>821</v>
      </c>
      <c r="C7463" t="s">
        <v>10498</v>
      </c>
      <c r="D7463" t="s">
        <v>16672</v>
      </c>
      <c r="E7463" t="s">
        <v>23243</v>
      </c>
      <c r="F7463" t="s">
        <v>28669</v>
      </c>
      <c r="G7463" t="s">
        <v>28676</v>
      </c>
      <c r="H7463" t="s">
        <v>9998</v>
      </c>
      <c r="I7463" t="s">
        <v>28738</v>
      </c>
      <c r="J7463" t="s">
        <v>33490</v>
      </c>
      <c r="K7463" t="s">
        <v>37206</v>
      </c>
      <c r="M7463" t="s">
        <v>38337</v>
      </c>
      <c r="N7463" t="s">
        <v>41249</v>
      </c>
      <c r="O7463" t="s">
        <v>41250</v>
      </c>
      <c r="P7463">
        <v>0</v>
      </c>
      <c r="Q7463">
        <v>5</v>
      </c>
      <c r="R7463" t="s">
        <v>41257</v>
      </c>
      <c r="S7463" t="s">
        <v>41461</v>
      </c>
      <c r="T7463" t="s">
        <v>42728</v>
      </c>
      <c r="U7463" t="s">
        <v>44811</v>
      </c>
      <c r="W7463" t="s">
        <v>38337</v>
      </c>
      <c r="X7463" t="s">
        <v>41258</v>
      </c>
    </row>
    <row r="7464" spans="1:24">
      <c r="A7464">
        <f>HYPERLINK("https://www.philgeps.gov.ph/GEPSNONPILOT/Tender/SplashBidNoticeAbstractUI.aspx?menuIndex=3&amp;refID=7070092&amp;Result=3","7070092")</f>
        <v>0</v>
      </c>
      <c r="B7464" t="s">
        <v>1144</v>
      </c>
      <c r="C7464" t="s">
        <v>10499</v>
      </c>
      <c r="D7464" t="s">
        <v>16608</v>
      </c>
      <c r="E7464" t="s">
        <v>23244</v>
      </c>
      <c r="F7464" t="s">
        <v>28669</v>
      </c>
      <c r="G7464" t="s">
        <v>28675</v>
      </c>
      <c r="H7464" t="s">
        <v>28686</v>
      </c>
      <c r="I7464" t="s">
        <v>28689</v>
      </c>
      <c r="J7464" t="s">
        <v>33491</v>
      </c>
      <c r="K7464" t="s">
        <v>37212</v>
      </c>
      <c r="M7464" t="s">
        <v>38680</v>
      </c>
      <c r="N7464" t="s">
        <v>41249</v>
      </c>
      <c r="O7464" t="s">
        <v>41250</v>
      </c>
      <c r="Q7464">
        <v>22</v>
      </c>
      <c r="R7464" t="s">
        <v>41257</v>
      </c>
      <c r="S7464" t="s">
        <v>41507</v>
      </c>
      <c r="T7464" t="s">
        <v>42782</v>
      </c>
      <c r="U7464" t="s">
        <v>45543</v>
      </c>
      <c r="W7464" t="s">
        <v>38680</v>
      </c>
      <c r="X7464" t="s">
        <v>41258</v>
      </c>
    </row>
    <row r="7465" spans="1:24">
      <c r="A7465">
        <f>HYPERLINK("https://www.philgeps.gov.ph/GEPSNONPILOT/Tender/SplashBidNoticeAbstractUI.aspx?menuIndex=3&amp;refID=7070091&amp;Result=3","7070091")</f>
        <v>0</v>
      </c>
      <c r="B7465" t="s">
        <v>2370</v>
      </c>
      <c r="C7465" t="s">
        <v>10500</v>
      </c>
      <c r="D7465" t="s">
        <v>16633</v>
      </c>
      <c r="E7465" t="s">
        <v>20718</v>
      </c>
      <c r="F7465" t="s">
        <v>28669</v>
      </c>
      <c r="G7465" t="s">
        <v>28675</v>
      </c>
      <c r="H7465" t="s">
        <v>9998</v>
      </c>
      <c r="I7465" t="s">
        <v>5213</v>
      </c>
      <c r="J7465" t="s">
        <v>33492</v>
      </c>
      <c r="K7465" t="s">
        <v>37206</v>
      </c>
      <c r="M7465" t="s">
        <v>40039</v>
      </c>
      <c r="N7465" t="s">
        <v>41249</v>
      </c>
      <c r="O7465" t="s">
        <v>41250</v>
      </c>
      <c r="P7465">
        <v>0</v>
      </c>
      <c r="Q7465">
        <v>5</v>
      </c>
      <c r="R7465" t="s">
        <v>41257</v>
      </c>
      <c r="S7465" t="s">
        <v>41461</v>
      </c>
      <c r="T7465" t="s">
        <v>42808</v>
      </c>
      <c r="U7465" t="s">
        <v>49363</v>
      </c>
      <c r="W7465" t="s">
        <v>40039</v>
      </c>
      <c r="X7465" t="s">
        <v>41258</v>
      </c>
    </row>
    <row r="7466" spans="1:24">
      <c r="A7466">
        <f>HYPERLINK("https://www.philgeps.gov.ph/GEPSNONPILOT/Tender/SplashBidNoticeAbstractUI.aspx?menuIndex=3&amp;refID=7070090&amp;Result=3","7070090")</f>
        <v>0</v>
      </c>
      <c r="B7466" t="s">
        <v>2371</v>
      </c>
      <c r="C7466" t="s">
        <v>10501</v>
      </c>
      <c r="D7466" t="s">
        <v>16658</v>
      </c>
      <c r="E7466" t="s">
        <v>18990</v>
      </c>
      <c r="F7466" t="s">
        <v>28669</v>
      </c>
      <c r="G7466" t="s">
        <v>28675</v>
      </c>
      <c r="H7466" t="s">
        <v>9998</v>
      </c>
      <c r="I7466" t="s">
        <v>28708</v>
      </c>
      <c r="J7466" t="s">
        <v>31659</v>
      </c>
      <c r="K7466" t="s">
        <v>37210</v>
      </c>
      <c r="M7466" t="s">
        <v>40040</v>
      </c>
      <c r="N7466" t="s">
        <v>41249</v>
      </c>
      <c r="O7466" t="s">
        <v>41250</v>
      </c>
      <c r="P7466">
        <v>0</v>
      </c>
      <c r="Q7466">
        <v>6</v>
      </c>
      <c r="R7466" t="s">
        <v>41257</v>
      </c>
      <c r="S7466" t="s">
        <v>41461</v>
      </c>
      <c r="T7466" t="s">
        <v>42809</v>
      </c>
      <c r="U7466" t="s">
        <v>49364</v>
      </c>
      <c r="W7466" t="s">
        <v>40040</v>
      </c>
      <c r="X7466" t="s">
        <v>41258</v>
      </c>
    </row>
    <row r="7467" spans="1:24">
      <c r="A7467">
        <f>HYPERLINK("https://www.philgeps.gov.ph/GEPSNONPILOT/Tender/SplashBidNoticeAbstractUI.aspx?menuIndex=3&amp;refID=7069940&amp;Result=3","7069940")</f>
        <v>0</v>
      </c>
      <c r="B7467" t="s">
        <v>46</v>
      </c>
      <c r="C7467" t="s">
        <v>10502</v>
      </c>
      <c r="D7467" t="s">
        <v>16627</v>
      </c>
      <c r="E7467" t="s">
        <v>23245</v>
      </c>
      <c r="F7467" t="s">
        <v>28669</v>
      </c>
      <c r="G7467" t="s">
        <v>28675</v>
      </c>
      <c r="H7467" t="s">
        <v>9998</v>
      </c>
      <c r="I7467" t="s">
        <v>7352</v>
      </c>
      <c r="J7467" t="s">
        <v>33493</v>
      </c>
      <c r="K7467" t="s">
        <v>37209</v>
      </c>
      <c r="M7467" t="s">
        <v>37521</v>
      </c>
      <c r="N7467" t="s">
        <v>41249</v>
      </c>
      <c r="O7467" t="s">
        <v>41250</v>
      </c>
      <c r="P7467">
        <v>0</v>
      </c>
      <c r="Q7467">
        <v>0</v>
      </c>
      <c r="R7467" t="s">
        <v>41257</v>
      </c>
      <c r="S7467" t="s">
        <v>41461</v>
      </c>
      <c r="T7467" t="s">
        <v>42683</v>
      </c>
      <c r="U7467" t="s">
        <v>49365</v>
      </c>
      <c r="W7467" t="s">
        <v>37521</v>
      </c>
      <c r="X7467" t="s">
        <v>41258</v>
      </c>
    </row>
    <row r="7468" spans="1:24">
      <c r="A7468">
        <f>HYPERLINK("https://www.philgeps.gov.ph/GEPSNONPILOT/Tender/SplashBidNoticeAbstractUI.aspx?menuIndex=3&amp;refID=7070085&amp;Result=3","7070085")</f>
        <v>0</v>
      </c>
      <c r="B7468" t="s">
        <v>2370</v>
      </c>
      <c r="C7468" t="s">
        <v>10503</v>
      </c>
      <c r="D7468" t="s">
        <v>16633</v>
      </c>
      <c r="E7468" t="s">
        <v>23246</v>
      </c>
      <c r="F7468" t="s">
        <v>28669</v>
      </c>
      <c r="G7468" t="s">
        <v>28675</v>
      </c>
      <c r="H7468" t="s">
        <v>9998</v>
      </c>
      <c r="I7468" t="s">
        <v>8667</v>
      </c>
      <c r="J7468" t="s">
        <v>33494</v>
      </c>
      <c r="K7468" t="s">
        <v>37206</v>
      </c>
      <c r="M7468" t="s">
        <v>40039</v>
      </c>
      <c r="N7468" t="s">
        <v>41249</v>
      </c>
      <c r="O7468" t="s">
        <v>41250</v>
      </c>
      <c r="P7468">
        <v>0</v>
      </c>
      <c r="Q7468">
        <v>2</v>
      </c>
      <c r="R7468" t="s">
        <v>41257</v>
      </c>
      <c r="S7468" t="s">
        <v>41461</v>
      </c>
      <c r="T7468" t="s">
        <v>42808</v>
      </c>
      <c r="U7468" t="s">
        <v>49366</v>
      </c>
      <c r="W7468" t="s">
        <v>40039</v>
      </c>
      <c r="X7468" t="s">
        <v>41258</v>
      </c>
    </row>
    <row r="7469" spans="1:24">
      <c r="A7469">
        <f>HYPERLINK("https://www.philgeps.gov.ph/GEPSNONPILOT/Tender/SplashBidNoticeAbstractUI.aspx?menuIndex=3&amp;refID=7070096&amp;Result=3","7070096")</f>
        <v>0</v>
      </c>
      <c r="B7469" t="s">
        <v>2372</v>
      </c>
      <c r="C7469" t="s">
        <v>10504</v>
      </c>
      <c r="D7469" t="s">
        <v>16643</v>
      </c>
      <c r="E7469" t="s">
        <v>23247</v>
      </c>
      <c r="F7469" t="s">
        <v>28671</v>
      </c>
      <c r="G7469" t="s">
        <v>28676</v>
      </c>
      <c r="H7469" t="s">
        <v>28684</v>
      </c>
      <c r="I7469" t="s">
        <v>28702</v>
      </c>
      <c r="J7469" t="s">
        <v>33495</v>
      </c>
      <c r="K7469" t="s">
        <v>37204</v>
      </c>
      <c r="M7469" t="s">
        <v>40041</v>
      </c>
      <c r="N7469" t="s">
        <v>41249</v>
      </c>
      <c r="O7469" t="s">
        <v>41250</v>
      </c>
      <c r="P7469">
        <v>0</v>
      </c>
      <c r="Q7469">
        <v>1</v>
      </c>
      <c r="R7469" t="s">
        <v>41257</v>
      </c>
      <c r="S7469" t="s">
        <v>41461</v>
      </c>
      <c r="T7469" t="s">
        <v>42827</v>
      </c>
      <c r="U7469" t="s">
        <v>49367</v>
      </c>
      <c r="W7469" t="s">
        <v>40041</v>
      </c>
      <c r="X7469" t="s">
        <v>41258</v>
      </c>
    </row>
    <row r="7470" spans="1:24">
      <c r="A7470">
        <f>HYPERLINK("https://www.philgeps.gov.ph/GEPSNONPILOT/Tender/SplashBidNoticeAbstractUI.aspx?menuIndex=3&amp;refID=7070082&amp;Result=3","7070082")</f>
        <v>0</v>
      </c>
      <c r="B7470" t="s">
        <v>766</v>
      </c>
      <c r="C7470" t="s">
        <v>10505</v>
      </c>
      <c r="E7470" t="s">
        <v>23248</v>
      </c>
      <c r="F7470" t="s">
        <v>28669</v>
      </c>
      <c r="G7470" t="s">
        <v>28675</v>
      </c>
      <c r="H7470" t="s">
        <v>9998</v>
      </c>
      <c r="I7470" t="s">
        <v>7352</v>
      </c>
      <c r="J7470" t="s">
        <v>33496</v>
      </c>
      <c r="K7470" t="s">
        <v>37209</v>
      </c>
      <c r="M7470" t="s">
        <v>38277</v>
      </c>
      <c r="N7470" t="s">
        <v>41249</v>
      </c>
      <c r="O7470" t="s">
        <v>41250</v>
      </c>
      <c r="P7470">
        <v>0</v>
      </c>
      <c r="Q7470">
        <v>0</v>
      </c>
      <c r="R7470" t="s">
        <v>41257</v>
      </c>
      <c r="S7470" t="s">
        <v>41461</v>
      </c>
      <c r="T7470" t="s">
        <v>42743</v>
      </c>
      <c r="U7470" t="s">
        <v>49357</v>
      </c>
      <c r="W7470" t="s">
        <v>38277</v>
      </c>
      <c r="X7470" t="s">
        <v>41258</v>
      </c>
    </row>
    <row r="7471" spans="1:24">
      <c r="A7471">
        <f>HYPERLINK("https://www.philgeps.gov.ph/GEPSNONPILOT/Tender/SplashBidNoticeAbstractUI.aspx?menuIndex=3&amp;refID=7070048&amp;Result=3","7070048")</f>
        <v>0</v>
      </c>
      <c r="B7471" t="s">
        <v>2369</v>
      </c>
      <c r="C7471" t="s">
        <v>10506</v>
      </c>
      <c r="D7471" t="s">
        <v>16608</v>
      </c>
      <c r="E7471" t="s">
        <v>23249</v>
      </c>
      <c r="F7471" t="s">
        <v>28669</v>
      </c>
      <c r="G7471" t="s">
        <v>28676</v>
      </c>
      <c r="H7471" t="s">
        <v>9998</v>
      </c>
      <c r="I7471" t="s">
        <v>6606</v>
      </c>
      <c r="J7471" t="s">
        <v>30406</v>
      </c>
      <c r="K7471" t="s">
        <v>37234</v>
      </c>
      <c r="M7471" t="s">
        <v>40038</v>
      </c>
      <c r="N7471" t="s">
        <v>41249</v>
      </c>
      <c r="O7471" t="s">
        <v>41250</v>
      </c>
      <c r="P7471">
        <v>0</v>
      </c>
      <c r="Q7471">
        <v>5</v>
      </c>
      <c r="R7471" t="s">
        <v>41257</v>
      </c>
      <c r="S7471" t="s">
        <v>41461</v>
      </c>
      <c r="T7471" t="s">
        <v>42748</v>
      </c>
      <c r="U7471" t="s">
        <v>44777</v>
      </c>
      <c r="W7471" t="s">
        <v>40038</v>
      </c>
      <c r="X7471" t="s">
        <v>41258</v>
      </c>
    </row>
    <row r="7472" spans="1:24">
      <c r="A7472">
        <f>HYPERLINK("https://www.philgeps.gov.ph/GEPSNONPILOT/Tender/SplashBidNoticeAbstractUI.aspx?menuIndex=3&amp;refID=7070079&amp;Result=3","7070079")</f>
        <v>0</v>
      </c>
      <c r="B7472" t="s">
        <v>821</v>
      </c>
      <c r="C7472" t="s">
        <v>10507</v>
      </c>
      <c r="D7472" t="s">
        <v>16672</v>
      </c>
      <c r="E7472" t="s">
        <v>23250</v>
      </c>
      <c r="F7472" t="s">
        <v>28669</v>
      </c>
      <c r="G7472" t="s">
        <v>28676</v>
      </c>
      <c r="H7472" t="s">
        <v>28685</v>
      </c>
      <c r="I7472" t="s">
        <v>28685</v>
      </c>
      <c r="J7472" t="s">
        <v>28877</v>
      </c>
      <c r="K7472" t="s">
        <v>37220</v>
      </c>
      <c r="M7472" t="s">
        <v>38337</v>
      </c>
      <c r="N7472" t="s">
        <v>41249</v>
      </c>
      <c r="O7472" t="s">
        <v>41250</v>
      </c>
      <c r="P7472">
        <v>0</v>
      </c>
      <c r="Q7472">
        <v>4</v>
      </c>
      <c r="R7472" t="s">
        <v>41257</v>
      </c>
      <c r="S7472" t="s">
        <v>41461</v>
      </c>
      <c r="T7472" t="s">
        <v>42728</v>
      </c>
      <c r="U7472" t="s">
        <v>44811</v>
      </c>
      <c r="W7472" t="s">
        <v>38337</v>
      </c>
      <c r="X7472" t="s">
        <v>41258</v>
      </c>
    </row>
    <row r="7473" spans="1:24">
      <c r="A7473">
        <f>HYPERLINK("https://www.philgeps.gov.ph/GEPSNONPILOT/Tender/SplashBidNoticeAbstractUI.aspx?menuIndex=3&amp;refID=7070052&amp;Result=3","7070052")</f>
        <v>0</v>
      </c>
      <c r="B7473" t="s">
        <v>2369</v>
      </c>
      <c r="C7473" t="s">
        <v>10508</v>
      </c>
      <c r="D7473" t="s">
        <v>16608</v>
      </c>
      <c r="E7473" t="s">
        <v>23251</v>
      </c>
      <c r="F7473" t="s">
        <v>28669</v>
      </c>
      <c r="G7473" t="s">
        <v>28676</v>
      </c>
      <c r="H7473" t="s">
        <v>9998</v>
      </c>
      <c r="I7473" t="s">
        <v>6606</v>
      </c>
      <c r="J7473" t="s">
        <v>29921</v>
      </c>
      <c r="K7473" t="s">
        <v>37243</v>
      </c>
      <c r="M7473" t="s">
        <v>40038</v>
      </c>
      <c r="N7473" t="s">
        <v>41249</v>
      </c>
      <c r="O7473" t="s">
        <v>41250</v>
      </c>
      <c r="P7473">
        <v>0</v>
      </c>
      <c r="Q7473">
        <v>3</v>
      </c>
      <c r="R7473" t="s">
        <v>41257</v>
      </c>
      <c r="S7473" t="s">
        <v>41461</v>
      </c>
      <c r="T7473" t="s">
        <v>42758</v>
      </c>
      <c r="U7473" t="s">
        <v>49359</v>
      </c>
      <c r="W7473" t="s">
        <v>40038</v>
      </c>
      <c r="X7473" t="s">
        <v>41258</v>
      </c>
    </row>
    <row r="7474" spans="1:24">
      <c r="A7474">
        <f>HYPERLINK("https://www.philgeps.gov.ph/GEPSNONPILOT/Tender/SplashBidNoticeAbstractUI.aspx?menuIndex=3&amp;refID=7070077&amp;Result=3","7070077")</f>
        <v>0</v>
      </c>
      <c r="B7474" t="s">
        <v>1144</v>
      </c>
      <c r="C7474" t="s">
        <v>10509</v>
      </c>
      <c r="D7474" t="s">
        <v>16608</v>
      </c>
      <c r="E7474" t="s">
        <v>23252</v>
      </c>
      <c r="F7474" t="s">
        <v>28669</v>
      </c>
      <c r="G7474" t="s">
        <v>28675</v>
      </c>
      <c r="H7474" t="s">
        <v>28686</v>
      </c>
      <c r="I7474" t="s">
        <v>28689</v>
      </c>
      <c r="J7474" t="s">
        <v>33497</v>
      </c>
      <c r="K7474" t="s">
        <v>37285</v>
      </c>
      <c r="M7474" t="s">
        <v>38680</v>
      </c>
      <c r="N7474" t="s">
        <v>41249</v>
      </c>
      <c r="O7474" t="s">
        <v>41250</v>
      </c>
      <c r="Q7474">
        <v>16</v>
      </c>
      <c r="R7474" t="s">
        <v>41257</v>
      </c>
      <c r="S7474" t="s">
        <v>41508</v>
      </c>
      <c r="T7474" t="s">
        <v>42782</v>
      </c>
      <c r="U7474" t="s">
        <v>45543</v>
      </c>
      <c r="W7474" t="s">
        <v>38680</v>
      </c>
      <c r="X7474" t="s">
        <v>41258</v>
      </c>
    </row>
    <row r="7475" spans="1:24">
      <c r="A7475">
        <f>HYPERLINK("https://www.philgeps.gov.ph/GEPSNONPILOT/Tender/SplashBidNoticeAbstractUI.aspx?menuIndex=3&amp;refID=7070074&amp;Result=3","7070074")</f>
        <v>0</v>
      </c>
      <c r="B7475" t="s">
        <v>1180</v>
      </c>
      <c r="C7475" t="s">
        <v>10510</v>
      </c>
      <c r="D7475" t="s">
        <v>16625</v>
      </c>
      <c r="E7475" t="s">
        <v>23253</v>
      </c>
      <c r="F7475" t="s">
        <v>28669</v>
      </c>
      <c r="G7475" t="s">
        <v>28675</v>
      </c>
      <c r="H7475" t="s">
        <v>9998</v>
      </c>
      <c r="I7475" t="s">
        <v>28688</v>
      </c>
      <c r="J7475" t="s">
        <v>33498</v>
      </c>
      <c r="K7475" t="s">
        <v>37205</v>
      </c>
      <c r="M7475" t="s">
        <v>38720</v>
      </c>
      <c r="N7475" t="s">
        <v>41249</v>
      </c>
      <c r="O7475" t="s">
        <v>41250</v>
      </c>
      <c r="P7475">
        <v>0</v>
      </c>
      <c r="Q7475">
        <v>4</v>
      </c>
      <c r="R7475" t="s">
        <v>41257</v>
      </c>
      <c r="S7475" t="s">
        <v>41461</v>
      </c>
      <c r="T7475" t="s">
        <v>42690</v>
      </c>
      <c r="U7475" t="s">
        <v>49368</v>
      </c>
      <c r="W7475" t="s">
        <v>38720</v>
      </c>
      <c r="X7475" t="s">
        <v>41258</v>
      </c>
    </row>
    <row r="7476" spans="1:24">
      <c r="A7476">
        <f>HYPERLINK("https://www.philgeps.gov.ph/GEPSNONPILOT/Tender/SplashBidNoticeAbstractUI.aspx?menuIndex=3&amp;refID=7070072&amp;Result=3","7070072")</f>
        <v>0</v>
      </c>
      <c r="B7476" t="s">
        <v>265</v>
      </c>
      <c r="C7476" t="s">
        <v>10511</v>
      </c>
      <c r="D7476" t="s">
        <v>16608</v>
      </c>
      <c r="E7476" t="s">
        <v>23254</v>
      </c>
      <c r="F7476" t="s">
        <v>28669</v>
      </c>
      <c r="G7476" t="s">
        <v>28676</v>
      </c>
      <c r="H7476" t="s">
        <v>9998</v>
      </c>
      <c r="I7476" t="s">
        <v>28700</v>
      </c>
      <c r="J7476" t="s">
        <v>33499</v>
      </c>
      <c r="K7476" t="s">
        <v>37216</v>
      </c>
      <c r="M7476" t="s">
        <v>40042</v>
      </c>
      <c r="N7476" t="s">
        <v>41249</v>
      </c>
      <c r="O7476" t="s">
        <v>41250</v>
      </c>
      <c r="P7476">
        <v>0</v>
      </c>
      <c r="Q7476">
        <v>11</v>
      </c>
      <c r="R7476" t="s">
        <v>41257</v>
      </c>
      <c r="S7476" t="s">
        <v>41461</v>
      </c>
      <c r="T7476" t="s">
        <v>42727</v>
      </c>
      <c r="U7476" t="s">
        <v>49369</v>
      </c>
      <c r="V7476" t="s">
        <v>55117</v>
      </c>
      <c r="W7476" t="s">
        <v>40042</v>
      </c>
      <c r="X7476" t="s">
        <v>41258</v>
      </c>
    </row>
    <row r="7477" spans="1:24">
      <c r="A7477">
        <f>HYPERLINK("https://www.philgeps.gov.ph/GEPSNONPILOT/Tender/SplashBidNoticeAbstractUI.aspx?menuIndex=3&amp;refID=7069792&amp;Result=3","7069792")</f>
        <v>0</v>
      </c>
      <c r="B7477" t="s">
        <v>2263</v>
      </c>
      <c r="C7477" t="s">
        <v>10512</v>
      </c>
      <c r="D7477" t="s">
        <v>16663</v>
      </c>
      <c r="E7477" t="s">
        <v>23255</v>
      </c>
      <c r="F7477" t="s">
        <v>28669</v>
      </c>
      <c r="G7477" t="s">
        <v>28676</v>
      </c>
      <c r="H7477" t="s">
        <v>9998</v>
      </c>
      <c r="I7477" t="s">
        <v>3718</v>
      </c>
      <c r="J7477" t="s">
        <v>33500</v>
      </c>
      <c r="K7477" t="s">
        <v>37206</v>
      </c>
      <c r="M7477" t="s">
        <v>39918</v>
      </c>
      <c r="N7477" t="s">
        <v>41249</v>
      </c>
      <c r="O7477" t="s">
        <v>41250</v>
      </c>
      <c r="P7477">
        <v>0</v>
      </c>
      <c r="Q7477">
        <v>0</v>
      </c>
      <c r="R7477" t="s">
        <v>41257</v>
      </c>
      <c r="S7477" t="s">
        <v>41461</v>
      </c>
      <c r="T7477" t="s">
        <v>42767</v>
      </c>
      <c r="U7477" t="s">
        <v>49370</v>
      </c>
      <c r="W7477" t="s">
        <v>39918</v>
      </c>
      <c r="X7477" t="s">
        <v>41258</v>
      </c>
    </row>
    <row r="7478" spans="1:24">
      <c r="A7478">
        <f>HYPERLINK("https://www.philgeps.gov.ph/GEPSNONPILOT/Tender/SplashBidNoticeAbstractUI.aspx?menuIndex=3&amp;refID=7070071&amp;Result=3","7070071")</f>
        <v>0</v>
      </c>
      <c r="B7478" t="s">
        <v>844</v>
      </c>
      <c r="C7478" t="s">
        <v>10513</v>
      </c>
      <c r="D7478" t="s">
        <v>16650</v>
      </c>
      <c r="E7478" t="s">
        <v>23256</v>
      </c>
      <c r="F7478" t="s">
        <v>28669</v>
      </c>
      <c r="G7478" t="s">
        <v>28675</v>
      </c>
      <c r="H7478" t="s">
        <v>28686</v>
      </c>
      <c r="I7478" t="s">
        <v>28689</v>
      </c>
      <c r="J7478" t="s">
        <v>33342</v>
      </c>
      <c r="K7478" t="s">
        <v>37205</v>
      </c>
      <c r="M7478" t="s">
        <v>38360</v>
      </c>
      <c r="N7478" t="s">
        <v>41249</v>
      </c>
      <c r="O7478" t="s">
        <v>41250</v>
      </c>
      <c r="P7478">
        <v>0</v>
      </c>
      <c r="Q7478">
        <v>0</v>
      </c>
      <c r="R7478" t="s">
        <v>41257</v>
      </c>
      <c r="S7478" t="s">
        <v>41461</v>
      </c>
      <c r="T7478" t="s">
        <v>42911</v>
      </c>
      <c r="U7478" t="s">
        <v>44857</v>
      </c>
      <c r="W7478" t="s">
        <v>38360</v>
      </c>
      <c r="X7478" t="s">
        <v>41258</v>
      </c>
    </row>
    <row r="7479" spans="1:24">
      <c r="A7479">
        <f>HYPERLINK("https://www.philgeps.gov.ph/GEPSNONPILOT/Tender/SplashBidNoticeAbstractUI.aspx?menuIndex=3&amp;refID=7070080&amp;Result=3","7070080")</f>
        <v>0</v>
      </c>
      <c r="B7479" t="s">
        <v>766</v>
      </c>
      <c r="C7479" t="s">
        <v>10514</v>
      </c>
      <c r="E7479" t="s">
        <v>23257</v>
      </c>
      <c r="F7479" t="s">
        <v>28669</v>
      </c>
      <c r="G7479" t="s">
        <v>28675</v>
      </c>
      <c r="H7479" t="s">
        <v>9998</v>
      </c>
      <c r="I7479" t="s">
        <v>7352</v>
      </c>
      <c r="J7479" t="s">
        <v>33501</v>
      </c>
      <c r="K7479" t="s">
        <v>37209</v>
      </c>
      <c r="M7479" t="s">
        <v>38277</v>
      </c>
      <c r="N7479" t="s">
        <v>41249</v>
      </c>
      <c r="O7479" t="s">
        <v>41250</v>
      </c>
      <c r="P7479">
        <v>0</v>
      </c>
      <c r="Q7479">
        <v>1</v>
      </c>
      <c r="R7479" t="s">
        <v>41257</v>
      </c>
      <c r="S7479" t="s">
        <v>41461</v>
      </c>
      <c r="T7479" t="s">
        <v>42743</v>
      </c>
      <c r="U7479" t="s">
        <v>49357</v>
      </c>
      <c r="W7479" t="s">
        <v>38277</v>
      </c>
      <c r="X7479" t="s">
        <v>41258</v>
      </c>
    </row>
    <row r="7480" spans="1:24">
      <c r="A7480">
        <f>HYPERLINK("https://www.philgeps.gov.ph/GEPSNONPILOT/Tender/SplashBidNoticeAbstractUI.aspx?menuIndex=3&amp;refID=7070044&amp;Result=3","7070044")</f>
        <v>0</v>
      </c>
      <c r="B7480" t="s">
        <v>2365</v>
      </c>
      <c r="C7480" t="s">
        <v>10515</v>
      </c>
      <c r="D7480" t="s">
        <v>16628</v>
      </c>
      <c r="E7480" t="s">
        <v>23258</v>
      </c>
      <c r="F7480" t="s">
        <v>28669</v>
      </c>
      <c r="G7480" t="s">
        <v>28675</v>
      </c>
      <c r="H7480" t="s">
        <v>28686</v>
      </c>
      <c r="I7480" t="s">
        <v>28689</v>
      </c>
      <c r="J7480" t="s">
        <v>33502</v>
      </c>
      <c r="K7480" t="s">
        <v>37220</v>
      </c>
      <c r="M7480" t="s">
        <v>40034</v>
      </c>
      <c r="N7480" t="s">
        <v>41249</v>
      </c>
      <c r="O7480" t="s">
        <v>41250</v>
      </c>
      <c r="P7480">
        <v>0</v>
      </c>
      <c r="Q7480">
        <v>0</v>
      </c>
      <c r="R7480" t="s">
        <v>41257</v>
      </c>
      <c r="S7480" t="s">
        <v>41461</v>
      </c>
      <c r="T7480" t="s">
        <v>42911</v>
      </c>
      <c r="U7480" t="s">
        <v>49339</v>
      </c>
      <c r="V7480" t="s">
        <v>55118</v>
      </c>
      <c r="W7480" t="s">
        <v>40034</v>
      </c>
      <c r="X7480" t="s">
        <v>41258</v>
      </c>
    </row>
    <row r="7481" spans="1:24">
      <c r="A7481">
        <f>HYPERLINK("https://www.philgeps.gov.ph/GEPSNONPILOT/Tender/SplashBidNoticeAbstractUI.aspx?menuIndex=3&amp;refID=7070043&amp;Result=3","7070043")</f>
        <v>0</v>
      </c>
      <c r="B7481" t="s">
        <v>766</v>
      </c>
      <c r="C7481" t="s">
        <v>10516</v>
      </c>
      <c r="E7481" t="s">
        <v>23259</v>
      </c>
      <c r="F7481" t="s">
        <v>28669</v>
      </c>
      <c r="G7481" t="s">
        <v>28675</v>
      </c>
      <c r="H7481" t="s">
        <v>9998</v>
      </c>
      <c r="I7481" t="s">
        <v>7352</v>
      </c>
      <c r="J7481" t="s">
        <v>33503</v>
      </c>
      <c r="K7481" t="s">
        <v>37209</v>
      </c>
      <c r="M7481" t="s">
        <v>38277</v>
      </c>
      <c r="N7481" t="s">
        <v>41249</v>
      </c>
      <c r="O7481" t="s">
        <v>41250</v>
      </c>
      <c r="P7481">
        <v>0</v>
      </c>
      <c r="Q7481">
        <v>2</v>
      </c>
      <c r="R7481" t="s">
        <v>41257</v>
      </c>
      <c r="S7481" t="s">
        <v>41461</v>
      </c>
      <c r="T7481" t="s">
        <v>42743</v>
      </c>
      <c r="U7481" t="s">
        <v>49357</v>
      </c>
      <c r="W7481" t="s">
        <v>38277</v>
      </c>
      <c r="X7481" t="s">
        <v>41258</v>
      </c>
    </row>
    <row r="7482" spans="1:24">
      <c r="A7482">
        <f>HYPERLINK("https://www.philgeps.gov.ph/GEPSNONPILOT/Tender/SplashBidNoticeAbstractUI.aspx?menuIndex=3&amp;refID=7070073&amp;Result=3","7070073")</f>
        <v>0</v>
      </c>
      <c r="B7482" t="s">
        <v>844</v>
      </c>
      <c r="C7482" t="s">
        <v>10517</v>
      </c>
      <c r="D7482" t="s">
        <v>16650</v>
      </c>
      <c r="E7482" t="s">
        <v>23260</v>
      </c>
      <c r="F7482" t="s">
        <v>28669</v>
      </c>
      <c r="G7482" t="s">
        <v>28675</v>
      </c>
      <c r="H7482" t="s">
        <v>28686</v>
      </c>
      <c r="I7482" t="s">
        <v>28689</v>
      </c>
      <c r="J7482" t="s">
        <v>33342</v>
      </c>
      <c r="K7482" t="s">
        <v>37205</v>
      </c>
      <c r="M7482" t="s">
        <v>38360</v>
      </c>
      <c r="N7482" t="s">
        <v>41249</v>
      </c>
      <c r="O7482" t="s">
        <v>41250</v>
      </c>
      <c r="P7482">
        <v>0</v>
      </c>
      <c r="Q7482">
        <v>0</v>
      </c>
      <c r="R7482" t="s">
        <v>41257</v>
      </c>
      <c r="S7482" t="s">
        <v>41461</v>
      </c>
      <c r="T7482" t="s">
        <v>42911</v>
      </c>
      <c r="U7482" t="s">
        <v>44857</v>
      </c>
      <c r="W7482" t="s">
        <v>38360</v>
      </c>
      <c r="X7482" t="s">
        <v>41258</v>
      </c>
    </row>
    <row r="7483" spans="1:24">
      <c r="A7483">
        <f>HYPERLINK("https://www.philgeps.gov.ph/GEPSNONPILOT/Tender/SplashBidNoticeAbstractUI.aspx?menuIndex=3&amp;refID=7070076&amp;Result=3","7070076")</f>
        <v>0</v>
      </c>
      <c r="B7483" t="s">
        <v>844</v>
      </c>
      <c r="C7483" t="s">
        <v>10518</v>
      </c>
      <c r="D7483" t="s">
        <v>16650</v>
      </c>
      <c r="E7483" t="s">
        <v>23261</v>
      </c>
      <c r="F7483" t="s">
        <v>28669</v>
      </c>
      <c r="G7483" t="s">
        <v>28675</v>
      </c>
      <c r="H7483" t="s">
        <v>28686</v>
      </c>
      <c r="I7483" t="s">
        <v>28689</v>
      </c>
      <c r="J7483" t="s">
        <v>33342</v>
      </c>
      <c r="K7483" t="s">
        <v>37205</v>
      </c>
      <c r="M7483" t="s">
        <v>38360</v>
      </c>
      <c r="N7483" t="s">
        <v>41249</v>
      </c>
      <c r="O7483" t="s">
        <v>41250</v>
      </c>
      <c r="P7483">
        <v>0</v>
      </c>
      <c r="Q7483">
        <v>0</v>
      </c>
      <c r="R7483" t="s">
        <v>41257</v>
      </c>
      <c r="S7483" t="s">
        <v>41461</v>
      </c>
      <c r="T7483" t="s">
        <v>42911</v>
      </c>
      <c r="U7483" t="s">
        <v>44857</v>
      </c>
      <c r="W7483" t="s">
        <v>38360</v>
      </c>
      <c r="X7483" t="s">
        <v>41258</v>
      </c>
    </row>
    <row r="7484" spans="1:24">
      <c r="A7484">
        <f>HYPERLINK("https://www.philgeps.gov.ph/GEPSNONPILOT/Tender/SplashBidNoticeAbstractUI.aspx?menuIndex=3&amp;refID=7069992&amp;Result=3","7069992")</f>
        <v>0</v>
      </c>
      <c r="B7484" t="s">
        <v>2353</v>
      </c>
      <c r="C7484" t="s">
        <v>10519</v>
      </c>
      <c r="D7484" t="s">
        <v>16658</v>
      </c>
      <c r="E7484" t="s">
        <v>23262</v>
      </c>
      <c r="F7484" t="s">
        <v>28669</v>
      </c>
      <c r="G7484" t="s">
        <v>28675</v>
      </c>
      <c r="H7484" t="s">
        <v>9998</v>
      </c>
      <c r="I7484" t="s">
        <v>7352</v>
      </c>
      <c r="J7484" t="s">
        <v>33504</v>
      </c>
      <c r="K7484" t="s">
        <v>37205</v>
      </c>
      <c r="M7484" t="s">
        <v>40021</v>
      </c>
      <c r="N7484" t="s">
        <v>41249</v>
      </c>
      <c r="O7484" t="s">
        <v>41250</v>
      </c>
      <c r="P7484">
        <v>0</v>
      </c>
      <c r="Q7484">
        <v>0</v>
      </c>
      <c r="R7484" t="s">
        <v>41257</v>
      </c>
      <c r="S7484" t="s">
        <v>41461</v>
      </c>
      <c r="T7484" t="s">
        <v>42817</v>
      </c>
      <c r="U7484" t="s">
        <v>49371</v>
      </c>
      <c r="W7484" t="s">
        <v>40021</v>
      </c>
      <c r="X7484" t="s">
        <v>41258</v>
      </c>
    </row>
    <row r="7485" spans="1:24">
      <c r="A7485">
        <f>HYPERLINK("https://www.philgeps.gov.ph/GEPSNONPILOT/Tender/SplashBidNoticeAbstractUI.aspx?menuIndex=3&amp;refID=7070084&amp;Result=3","7070084")</f>
        <v>0</v>
      </c>
      <c r="B7485" t="s">
        <v>821</v>
      </c>
      <c r="C7485" t="s">
        <v>10520</v>
      </c>
      <c r="D7485" t="s">
        <v>16672</v>
      </c>
      <c r="E7485" t="s">
        <v>23263</v>
      </c>
      <c r="F7485" t="s">
        <v>28669</v>
      </c>
      <c r="G7485" t="s">
        <v>28676</v>
      </c>
      <c r="H7485" t="s">
        <v>28685</v>
      </c>
      <c r="I7485" t="s">
        <v>28685</v>
      </c>
      <c r="J7485" t="s">
        <v>28851</v>
      </c>
      <c r="K7485" t="s">
        <v>37220</v>
      </c>
      <c r="M7485" t="s">
        <v>38337</v>
      </c>
      <c r="N7485" t="s">
        <v>41249</v>
      </c>
      <c r="O7485" t="s">
        <v>41250</v>
      </c>
      <c r="P7485">
        <v>0</v>
      </c>
      <c r="Q7485">
        <v>4</v>
      </c>
      <c r="R7485" t="s">
        <v>41257</v>
      </c>
      <c r="S7485" t="s">
        <v>41461</v>
      </c>
      <c r="T7485" t="s">
        <v>42728</v>
      </c>
      <c r="U7485" t="s">
        <v>44811</v>
      </c>
      <c r="W7485" t="s">
        <v>38337</v>
      </c>
      <c r="X7485" t="s">
        <v>41258</v>
      </c>
    </row>
    <row r="7486" spans="1:24">
      <c r="A7486">
        <f>HYPERLINK("https://www.philgeps.gov.ph/GEPSNONPILOT/Tender/SplashBidNoticeAbstractUI.aspx?menuIndex=3&amp;refID=7070046&amp;Result=3","7070046")</f>
        <v>0</v>
      </c>
      <c r="B7486" t="s">
        <v>766</v>
      </c>
      <c r="C7486" t="s">
        <v>10521</v>
      </c>
      <c r="E7486" t="s">
        <v>23264</v>
      </c>
      <c r="F7486" t="s">
        <v>28669</v>
      </c>
      <c r="G7486" t="s">
        <v>28675</v>
      </c>
      <c r="H7486" t="s">
        <v>9998</v>
      </c>
      <c r="I7486" t="s">
        <v>7352</v>
      </c>
      <c r="J7486" t="s">
        <v>33505</v>
      </c>
      <c r="K7486" t="s">
        <v>37209</v>
      </c>
      <c r="M7486" t="s">
        <v>38277</v>
      </c>
      <c r="N7486" t="s">
        <v>41249</v>
      </c>
      <c r="O7486" t="s">
        <v>41250</v>
      </c>
      <c r="P7486">
        <v>0</v>
      </c>
      <c r="Q7486">
        <v>0</v>
      </c>
      <c r="R7486" t="s">
        <v>41257</v>
      </c>
      <c r="S7486" t="s">
        <v>41461</v>
      </c>
      <c r="T7486" t="s">
        <v>42743</v>
      </c>
      <c r="U7486" t="s">
        <v>49357</v>
      </c>
      <c r="W7486" t="s">
        <v>38277</v>
      </c>
      <c r="X7486" t="s">
        <v>41258</v>
      </c>
    </row>
    <row r="7487" spans="1:24">
      <c r="A7487">
        <f>HYPERLINK("https://www.philgeps.gov.ph/GEPSNONPILOT/Tender/SplashBidNoticeAbstractUI.aspx?menuIndex=3&amp;refID=7070123&amp;Result=3","7070123")</f>
        <v>0</v>
      </c>
      <c r="B7487" t="s">
        <v>766</v>
      </c>
      <c r="C7487" t="s">
        <v>10522</v>
      </c>
      <c r="E7487" t="s">
        <v>17373</v>
      </c>
      <c r="F7487" t="s">
        <v>28669</v>
      </c>
      <c r="G7487" t="s">
        <v>28675</v>
      </c>
      <c r="H7487" t="s">
        <v>9998</v>
      </c>
      <c r="I7487" t="s">
        <v>15140</v>
      </c>
      <c r="J7487" t="s">
        <v>33506</v>
      </c>
      <c r="K7487" t="s">
        <v>37209</v>
      </c>
      <c r="M7487" t="s">
        <v>38277</v>
      </c>
      <c r="N7487" t="s">
        <v>41249</v>
      </c>
      <c r="O7487" t="s">
        <v>41250</v>
      </c>
      <c r="P7487">
        <v>0</v>
      </c>
      <c r="Q7487">
        <v>0</v>
      </c>
      <c r="R7487" t="s">
        <v>41257</v>
      </c>
      <c r="S7487" t="s">
        <v>41461</v>
      </c>
      <c r="T7487" t="s">
        <v>42743</v>
      </c>
      <c r="U7487" t="s">
        <v>49372</v>
      </c>
      <c r="W7487" t="s">
        <v>38277</v>
      </c>
      <c r="X7487" t="s">
        <v>41258</v>
      </c>
    </row>
    <row r="7488" spans="1:24">
      <c r="A7488">
        <f>HYPERLINK("https://www.philgeps.gov.ph/GEPSNONPILOT/Tender/SplashBidNoticeAbstractUI.aspx?menuIndex=3&amp;refID=7070078&amp;Result=3","7070078")</f>
        <v>0</v>
      </c>
      <c r="B7488" t="s">
        <v>844</v>
      </c>
      <c r="C7488" t="s">
        <v>10523</v>
      </c>
      <c r="D7488" t="s">
        <v>16650</v>
      </c>
      <c r="E7488" t="s">
        <v>23265</v>
      </c>
      <c r="F7488" t="s">
        <v>28669</v>
      </c>
      <c r="G7488" t="s">
        <v>28675</v>
      </c>
      <c r="H7488" t="s">
        <v>28686</v>
      </c>
      <c r="I7488" t="s">
        <v>28689</v>
      </c>
      <c r="J7488" t="s">
        <v>33342</v>
      </c>
      <c r="K7488" t="s">
        <v>37205</v>
      </c>
      <c r="M7488" t="s">
        <v>38360</v>
      </c>
      <c r="N7488" t="s">
        <v>41249</v>
      </c>
      <c r="O7488" t="s">
        <v>41250</v>
      </c>
      <c r="P7488">
        <v>0</v>
      </c>
      <c r="Q7488">
        <v>0</v>
      </c>
      <c r="R7488" t="s">
        <v>41257</v>
      </c>
      <c r="S7488" t="s">
        <v>41461</v>
      </c>
      <c r="T7488" t="s">
        <v>42911</v>
      </c>
      <c r="U7488" t="s">
        <v>44857</v>
      </c>
      <c r="W7488" t="s">
        <v>38360</v>
      </c>
      <c r="X7488" t="s">
        <v>41258</v>
      </c>
    </row>
    <row r="7489" spans="1:24">
      <c r="A7489">
        <f>HYPERLINK("https://www.philgeps.gov.ph/GEPSNONPILOT/Tender/SplashBidNoticeAbstractUI.aspx?menuIndex=3&amp;refID=7070122&amp;Result=3","7070122")</f>
        <v>0</v>
      </c>
      <c r="B7489" t="s">
        <v>1144</v>
      </c>
      <c r="C7489" t="s">
        <v>10524</v>
      </c>
      <c r="D7489" t="s">
        <v>16608</v>
      </c>
      <c r="E7489" t="s">
        <v>23266</v>
      </c>
      <c r="F7489" t="s">
        <v>28669</v>
      </c>
      <c r="G7489" t="s">
        <v>28675</v>
      </c>
      <c r="H7489" t="s">
        <v>28686</v>
      </c>
      <c r="I7489" t="s">
        <v>28689</v>
      </c>
      <c r="J7489" t="s">
        <v>33507</v>
      </c>
      <c r="K7489" t="s">
        <v>37218</v>
      </c>
      <c r="M7489" t="s">
        <v>38680</v>
      </c>
      <c r="N7489" t="s">
        <v>41249</v>
      </c>
      <c r="O7489" t="s">
        <v>41250</v>
      </c>
      <c r="Q7489">
        <v>16</v>
      </c>
      <c r="R7489" t="s">
        <v>41257</v>
      </c>
      <c r="S7489" t="s">
        <v>41509</v>
      </c>
      <c r="T7489" t="s">
        <v>42782</v>
      </c>
      <c r="U7489" t="s">
        <v>45543</v>
      </c>
      <c r="W7489" t="s">
        <v>38680</v>
      </c>
      <c r="X7489" t="s">
        <v>41258</v>
      </c>
    </row>
    <row r="7490" spans="1:24">
      <c r="A7490">
        <f>HYPERLINK("https://www.philgeps.gov.ph/GEPSNONPILOT/Tender/SplashBidNoticeAbstractUI.aspx?menuIndex=3&amp;refID=7070087&amp;Result=3","7070087")</f>
        <v>0</v>
      </c>
      <c r="B7490" t="s">
        <v>766</v>
      </c>
      <c r="C7490" t="s">
        <v>10525</v>
      </c>
      <c r="E7490" t="s">
        <v>23267</v>
      </c>
      <c r="F7490" t="s">
        <v>28669</v>
      </c>
      <c r="G7490" t="s">
        <v>28675</v>
      </c>
      <c r="H7490" t="s">
        <v>9998</v>
      </c>
      <c r="I7490" t="s">
        <v>7352</v>
      </c>
      <c r="J7490" t="s">
        <v>33508</v>
      </c>
      <c r="K7490" t="s">
        <v>37205</v>
      </c>
      <c r="M7490" t="s">
        <v>38277</v>
      </c>
      <c r="N7490" t="s">
        <v>41249</v>
      </c>
      <c r="O7490" t="s">
        <v>41250</v>
      </c>
      <c r="P7490">
        <v>0</v>
      </c>
      <c r="Q7490">
        <v>0</v>
      </c>
      <c r="R7490" t="s">
        <v>41257</v>
      </c>
      <c r="S7490" t="s">
        <v>41461</v>
      </c>
      <c r="T7490" t="s">
        <v>42743</v>
      </c>
      <c r="U7490" t="s">
        <v>49357</v>
      </c>
      <c r="W7490" t="s">
        <v>38277</v>
      </c>
      <c r="X7490" t="s">
        <v>41258</v>
      </c>
    </row>
    <row r="7491" spans="1:24">
      <c r="A7491">
        <f>HYPERLINK("https://www.philgeps.gov.ph/GEPSNONPILOT/Tender/SplashBidNoticeAbstractUI.aspx?menuIndex=3&amp;refID=7070119&amp;Result=3","7070119")</f>
        <v>0</v>
      </c>
      <c r="B7491" t="s">
        <v>2373</v>
      </c>
      <c r="C7491" t="s">
        <v>10526</v>
      </c>
      <c r="D7491" t="s">
        <v>16619</v>
      </c>
      <c r="E7491" t="s">
        <v>23268</v>
      </c>
      <c r="F7491" t="s">
        <v>28669</v>
      </c>
      <c r="G7491" t="s">
        <v>28675</v>
      </c>
      <c r="H7491" t="s">
        <v>9998</v>
      </c>
      <c r="I7491" t="s">
        <v>28695</v>
      </c>
      <c r="J7491" t="s">
        <v>28836</v>
      </c>
      <c r="K7491" t="s">
        <v>37206</v>
      </c>
      <c r="M7491" t="s">
        <v>40043</v>
      </c>
      <c r="N7491" t="s">
        <v>41249</v>
      </c>
      <c r="O7491" t="s">
        <v>41250</v>
      </c>
      <c r="P7491">
        <v>0</v>
      </c>
      <c r="Q7491">
        <v>3</v>
      </c>
      <c r="R7491" t="s">
        <v>41257</v>
      </c>
      <c r="S7491" t="s">
        <v>41461</v>
      </c>
      <c r="T7491" t="s">
        <v>43051</v>
      </c>
      <c r="U7491" t="s">
        <v>49373</v>
      </c>
      <c r="V7491" t="s">
        <v>55119</v>
      </c>
      <c r="W7491" t="s">
        <v>40043</v>
      </c>
      <c r="X7491" t="s">
        <v>41258</v>
      </c>
    </row>
    <row r="7492" spans="1:24">
      <c r="A7492">
        <f>HYPERLINK("https://www.philgeps.gov.ph/GEPSNONPILOT/Tender/SplashBidNoticeAbstractUI.aspx?menuIndex=3&amp;refID=7070118&amp;Result=3","7070118")</f>
        <v>0</v>
      </c>
      <c r="B7492" t="s">
        <v>851</v>
      </c>
      <c r="C7492" t="s">
        <v>10527</v>
      </c>
      <c r="D7492" t="s">
        <v>16654</v>
      </c>
      <c r="E7492" t="s">
        <v>23269</v>
      </c>
      <c r="F7492" t="s">
        <v>28669</v>
      </c>
      <c r="G7492" t="s">
        <v>28675</v>
      </c>
      <c r="H7492" t="s">
        <v>9998</v>
      </c>
      <c r="I7492" t="s">
        <v>28706</v>
      </c>
      <c r="J7492" t="s">
        <v>29332</v>
      </c>
      <c r="K7492" t="s">
        <v>37206</v>
      </c>
      <c r="M7492" t="s">
        <v>38367</v>
      </c>
      <c r="N7492" t="s">
        <v>41249</v>
      </c>
      <c r="O7492" t="s">
        <v>41250</v>
      </c>
      <c r="P7492">
        <v>0</v>
      </c>
      <c r="Q7492">
        <v>3</v>
      </c>
      <c r="R7492" t="s">
        <v>41257</v>
      </c>
      <c r="S7492" t="s">
        <v>41461</v>
      </c>
      <c r="T7492" t="s">
        <v>42668</v>
      </c>
      <c r="U7492" t="s">
        <v>49374</v>
      </c>
      <c r="V7492" t="s">
        <v>48842</v>
      </c>
      <c r="W7492" t="s">
        <v>38367</v>
      </c>
      <c r="X7492" t="s">
        <v>41258</v>
      </c>
    </row>
    <row r="7493" spans="1:24">
      <c r="A7493">
        <f>HYPERLINK("https://www.philgeps.gov.ph/GEPSNONPILOT/Tender/SplashBidNoticeAbstractUI.aspx?menuIndex=3&amp;refID=7070116&amp;Result=3","7070116")</f>
        <v>0</v>
      </c>
      <c r="B7493" t="s">
        <v>2373</v>
      </c>
      <c r="C7493" t="s">
        <v>10528</v>
      </c>
      <c r="D7493" t="s">
        <v>16619</v>
      </c>
      <c r="E7493" t="s">
        <v>23270</v>
      </c>
      <c r="F7493" t="s">
        <v>28669</v>
      </c>
      <c r="G7493" t="s">
        <v>28675</v>
      </c>
      <c r="H7493" t="s">
        <v>9998</v>
      </c>
      <c r="I7493" t="s">
        <v>28696</v>
      </c>
      <c r="J7493" t="s">
        <v>29605</v>
      </c>
      <c r="K7493" t="s">
        <v>37206</v>
      </c>
      <c r="M7493" t="s">
        <v>40043</v>
      </c>
      <c r="N7493" t="s">
        <v>41249</v>
      </c>
      <c r="O7493" t="s">
        <v>41250</v>
      </c>
      <c r="P7493">
        <v>0</v>
      </c>
      <c r="Q7493">
        <v>7</v>
      </c>
      <c r="R7493" t="s">
        <v>41257</v>
      </c>
      <c r="S7493" t="s">
        <v>41461</v>
      </c>
      <c r="T7493" t="s">
        <v>43051</v>
      </c>
      <c r="U7493" t="s">
        <v>49375</v>
      </c>
      <c r="V7493" t="s">
        <v>55119</v>
      </c>
      <c r="W7493" t="s">
        <v>40043</v>
      </c>
      <c r="X7493" t="s">
        <v>41258</v>
      </c>
    </row>
    <row r="7494" spans="1:24">
      <c r="A7494">
        <f>HYPERLINK("https://www.philgeps.gov.ph/GEPSNONPILOT/Tender/SplashBidNoticeAbstractUI.aspx?menuIndex=3&amp;refID=7070032&amp;Result=3","7070032")</f>
        <v>0</v>
      </c>
      <c r="B7494" t="s">
        <v>2365</v>
      </c>
      <c r="C7494" t="s">
        <v>10529</v>
      </c>
      <c r="D7494" t="s">
        <v>16628</v>
      </c>
      <c r="E7494" t="s">
        <v>23271</v>
      </c>
      <c r="F7494" t="s">
        <v>28669</v>
      </c>
      <c r="G7494" t="s">
        <v>28675</v>
      </c>
      <c r="H7494" t="s">
        <v>28686</v>
      </c>
      <c r="I7494" t="s">
        <v>28689</v>
      </c>
      <c r="J7494" t="s">
        <v>33509</v>
      </c>
      <c r="K7494" t="s">
        <v>37353</v>
      </c>
      <c r="M7494" t="s">
        <v>40034</v>
      </c>
      <c r="N7494" t="s">
        <v>41249</v>
      </c>
      <c r="O7494" t="s">
        <v>41250</v>
      </c>
      <c r="P7494">
        <v>0</v>
      </c>
      <c r="Q7494">
        <v>0</v>
      </c>
      <c r="R7494" t="s">
        <v>41257</v>
      </c>
      <c r="S7494" t="s">
        <v>41461</v>
      </c>
      <c r="T7494" t="s">
        <v>42911</v>
      </c>
      <c r="U7494" t="s">
        <v>49339</v>
      </c>
      <c r="V7494" t="s">
        <v>55120</v>
      </c>
      <c r="W7494" t="s">
        <v>40034</v>
      </c>
      <c r="X7494" t="s">
        <v>41258</v>
      </c>
    </row>
    <row r="7495" spans="1:24">
      <c r="A7495">
        <f>HYPERLINK("https://www.philgeps.gov.ph/GEPSNONPILOT/Tender/SplashBidNoticeAbstractUI.aspx?menuIndex=3&amp;refID=7070101&amp;Result=3","7070101")</f>
        <v>0</v>
      </c>
      <c r="B7495" t="s">
        <v>766</v>
      </c>
      <c r="C7495" t="s">
        <v>10530</v>
      </c>
      <c r="E7495" t="s">
        <v>23272</v>
      </c>
      <c r="F7495" t="s">
        <v>28669</v>
      </c>
      <c r="G7495" t="s">
        <v>28675</v>
      </c>
      <c r="H7495" t="s">
        <v>9998</v>
      </c>
      <c r="I7495" t="s">
        <v>28689</v>
      </c>
      <c r="J7495" t="s">
        <v>33510</v>
      </c>
      <c r="K7495" t="s">
        <v>37209</v>
      </c>
      <c r="M7495" t="s">
        <v>38277</v>
      </c>
      <c r="N7495" t="s">
        <v>41249</v>
      </c>
      <c r="O7495" t="s">
        <v>41250</v>
      </c>
      <c r="P7495">
        <v>0</v>
      </c>
      <c r="Q7495">
        <v>0</v>
      </c>
      <c r="R7495" t="s">
        <v>41257</v>
      </c>
      <c r="S7495" t="s">
        <v>41461</v>
      </c>
      <c r="T7495" t="s">
        <v>42743</v>
      </c>
      <c r="U7495" t="s">
        <v>49376</v>
      </c>
      <c r="W7495" t="s">
        <v>38277</v>
      </c>
      <c r="X7495" t="s">
        <v>41258</v>
      </c>
    </row>
    <row r="7496" spans="1:24">
      <c r="A7496">
        <f>HYPERLINK("https://www.philgeps.gov.ph/GEPSNONPILOT/Tender/SplashBidNoticeAbstractUI.aspx?menuIndex=3&amp;refID=7070113&amp;Result=3","7070113")</f>
        <v>0</v>
      </c>
      <c r="B7496" t="s">
        <v>2373</v>
      </c>
      <c r="C7496" t="s">
        <v>10531</v>
      </c>
      <c r="D7496" t="s">
        <v>16619</v>
      </c>
      <c r="E7496" t="s">
        <v>23273</v>
      </c>
      <c r="F7496" t="s">
        <v>28669</v>
      </c>
      <c r="G7496" t="s">
        <v>28675</v>
      </c>
      <c r="H7496" t="s">
        <v>9998</v>
      </c>
      <c r="I7496" t="s">
        <v>28749</v>
      </c>
      <c r="J7496" t="s">
        <v>28836</v>
      </c>
      <c r="K7496" t="s">
        <v>37206</v>
      </c>
      <c r="M7496" t="s">
        <v>40043</v>
      </c>
      <c r="N7496" t="s">
        <v>41249</v>
      </c>
      <c r="O7496" t="s">
        <v>41250</v>
      </c>
      <c r="P7496">
        <v>0</v>
      </c>
      <c r="Q7496">
        <v>6</v>
      </c>
      <c r="R7496" t="s">
        <v>41257</v>
      </c>
      <c r="S7496" t="s">
        <v>41461</v>
      </c>
      <c r="T7496" t="s">
        <v>43051</v>
      </c>
      <c r="U7496" t="s">
        <v>49377</v>
      </c>
      <c r="V7496" t="s">
        <v>55119</v>
      </c>
      <c r="W7496" t="s">
        <v>40043</v>
      </c>
      <c r="X7496" t="s">
        <v>41258</v>
      </c>
    </row>
    <row r="7497" spans="1:24">
      <c r="A7497">
        <f>HYPERLINK("https://www.philgeps.gov.ph/GEPSNONPILOT/Tender/SplashBidNoticeAbstractUI.aspx?menuIndex=3&amp;refID=7070111&amp;Result=3","7070111")</f>
        <v>0</v>
      </c>
      <c r="B7497" t="s">
        <v>870</v>
      </c>
      <c r="C7497" t="s">
        <v>10532</v>
      </c>
      <c r="E7497" t="s">
        <v>23274</v>
      </c>
      <c r="F7497" t="s">
        <v>28669</v>
      </c>
      <c r="G7497" t="s">
        <v>28675</v>
      </c>
      <c r="H7497" t="s">
        <v>28686</v>
      </c>
      <c r="I7497" t="s">
        <v>28689</v>
      </c>
      <c r="J7497" t="s">
        <v>29059</v>
      </c>
      <c r="K7497" t="s">
        <v>37213</v>
      </c>
      <c r="M7497" t="s">
        <v>38388</v>
      </c>
      <c r="N7497" t="s">
        <v>41249</v>
      </c>
      <c r="O7497" t="s">
        <v>41250</v>
      </c>
      <c r="P7497">
        <v>0</v>
      </c>
      <c r="Q7497">
        <v>0</v>
      </c>
      <c r="R7497" t="s">
        <v>41257</v>
      </c>
      <c r="S7497" t="s">
        <v>41461</v>
      </c>
      <c r="T7497" t="s">
        <v>42660</v>
      </c>
      <c r="U7497" t="s">
        <v>49378</v>
      </c>
      <c r="V7497" t="s">
        <v>54500</v>
      </c>
      <c r="W7497" t="s">
        <v>38388</v>
      </c>
      <c r="X7497" t="s">
        <v>41258</v>
      </c>
    </row>
    <row r="7498" spans="1:24">
      <c r="A7498">
        <f>HYPERLINK("https://www.philgeps.gov.ph/GEPSNONPILOT/Tender/SplashBidNoticeAbstractUI.aspx?menuIndex=3&amp;refID=7070108&amp;Result=3","7070108")</f>
        <v>0</v>
      </c>
      <c r="B7498" t="s">
        <v>766</v>
      </c>
      <c r="C7498" t="s">
        <v>10533</v>
      </c>
      <c r="E7498" t="s">
        <v>23275</v>
      </c>
      <c r="F7498" t="s">
        <v>28669</v>
      </c>
      <c r="G7498" t="s">
        <v>28675</v>
      </c>
      <c r="H7498" t="s">
        <v>9998</v>
      </c>
      <c r="I7498" t="s">
        <v>15140</v>
      </c>
      <c r="J7498" t="s">
        <v>32939</v>
      </c>
      <c r="K7498" t="s">
        <v>37209</v>
      </c>
      <c r="M7498" t="s">
        <v>38277</v>
      </c>
      <c r="N7498" t="s">
        <v>41249</v>
      </c>
      <c r="O7498" t="s">
        <v>41250</v>
      </c>
      <c r="P7498">
        <v>0</v>
      </c>
      <c r="Q7498">
        <v>0</v>
      </c>
      <c r="R7498" t="s">
        <v>41257</v>
      </c>
      <c r="S7498" t="s">
        <v>41461</v>
      </c>
      <c r="T7498" t="s">
        <v>42743</v>
      </c>
      <c r="U7498" t="s">
        <v>49379</v>
      </c>
      <c r="W7498" t="s">
        <v>38277</v>
      </c>
      <c r="X7498" t="s">
        <v>41258</v>
      </c>
    </row>
    <row r="7499" spans="1:24">
      <c r="A7499">
        <f>HYPERLINK("https://www.philgeps.gov.ph/GEPSNONPILOT/Tender/SplashBidNoticeAbstractUI.aspx?menuIndex=3&amp;refID=7070106&amp;Result=3","7070106")</f>
        <v>0</v>
      </c>
      <c r="B7499" t="s">
        <v>2373</v>
      </c>
      <c r="C7499" t="s">
        <v>10534</v>
      </c>
      <c r="D7499" t="s">
        <v>16619</v>
      </c>
      <c r="E7499" t="s">
        <v>23276</v>
      </c>
      <c r="F7499" t="s">
        <v>28669</v>
      </c>
      <c r="G7499" t="s">
        <v>28675</v>
      </c>
      <c r="H7499" t="s">
        <v>9998</v>
      </c>
      <c r="I7499" t="s">
        <v>28725</v>
      </c>
      <c r="J7499" t="s">
        <v>28836</v>
      </c>
      <c r="K7499" t="s">
        <v>37206</v>
      </c>
      <c r="M7499" t="s">
        <v>40043</v>
      </c>
      <c r="N7499" t="s">
        <v>41249</v>
      </c>
      <c r="O7499" t="s">
        <v>41250</v>
      </c>
      <c r="P7499">
        <v>0</v>
      </c>
      <c r="Q7499">
        <v>2</v>
      </c>
      <c r="R7499" t="s">
        <v>41257</v>
      </c>
      <c r="S7499" t="s">
        <v>41461</v>
      </c>
      <c r="T7499" t="s">
        <v>43051</v>
      </c>
      <c r="U7499" t="s">
        <v>49380</v>
      </c>
      <c r="V7499" t="s">
        <v>55119</v>
      </c>
      <c r="W7499" t="s">
        <v>40043</v>
      </c>
      <c r="X7499" t="s">
        <v>41258</v>
      </c>
    </row>
    <row r="7500" spans="1:24">
      <c r="A7500">
        <f>HYPERLINK("https://www.philgeps.gov.ph/GEPSNONPILOT/Tender/SplashBidNoticeAbstractUI.aspx?menuIndex=3&amp;refID=7070105&amp;Result=3","7070105")</f>
        <v>0</v>
      </c>
      <c r="B7500" t="s">
        <v>1144</v>
      </c>
      <c r="C7500" t="s">
        <v>10535</v>
      </c>
      <c r="D7500" t="s">
        <v>16608</v>
      </c>
      <c r="E7500" t="s">
        <v>23277</v>
      </c>
      <c r="F7500" t="s">
        <v>28669</v>
      </c>
      <c r="G7500" t="s">
        <v>28675</v>
      </c>
      <c r="H7500" t="s">
        <v>28686</v>
      </c>
      <c r="I7500" t="s">
        <v>28689</v>
      </c>
      <c r="J7500" t="s">
        <v>33511</v>
      </c>
      <c r="K7500" t="s">
        <v>37285</v>
      </c>
      <c r="M7500" t="s">
        <v>38680</v>
      </c>
      <c r="N7500" t="s">
        <v>41249</v>
      </c>
      <c r="O7500" t="s">
        <v>41250</v>
      </c>
      <c r="Q7500">
        <v>15</v>
      </c>
      <c r="R7500" t="s">
        <v>41257</v>
      </c>
      <c r="S7500" t="s">
        <v>41510</v>
      </c>
      <c r="T7500" t="s">
        <v>42782</v>
      </c>
      <c r="U7500" t="s">
        <v>45543</v>
      </c>
      <c r="W7500" t="s">
        <v>38680</v>
      </c>
      <c r="X7500" t="s">
        <v>41258</v>
      </c>
    </row>
    <row r="7501" spans="1:24">
      <c r="A7501">
        <f>HYPERLINK("https://www.philgeps.gov.ph/GEPSNONPILOT/Tender/SplashBidNoticeAbstractUI.aspx?menuIndex=3&amp;refID=7070104&amp;Result=3","7070104")</f>
        <v>0</v>
      </c>
      <c r="B7501" t="s">
        <v>851</v>
      </c>
      <c r="C7501" t="s">
        <v>10536</v>
      </c>
      <c r="D7501" t="s">
        <v>16654</v>
      </c>
      <c r="E7501" t="s">
        <v>23278</v>
      </c>
      <c r="F7501" t="s">
        <v>28669</v>
      </c>
      <c r="G7501" t="s">
        <v>28675</v>
      </c>
      <c r="H7501" t="s">
        <v>9998</v>
      </c>
      <c r="I7501" t="s">
        <v>3718</v>
      </c>
      <c r="J7501" t="s">
        <v>33512</v>
      </c>
      <c r="K7501" t="s">
        <v>37206</v>
      </c>
      <c r="M7501" t="s">
        <v>38367</v>
      </c>
      <c r="N7501" t="s">
        <v>41249</v>
      </c>
      <c r="O7501" t="s">
        <v>41250</v>
      </c>
      <c r="P7501">
        <v>0</v>
      </c>
      <c r="Q7501">
        <v>4</v>
      </c>
      <c r="R7501" t="s">
        <v>41257</v>
      </c>
      <c r="S7501" t="s">
        <v>41461</v>
      </c>
      <c r="T7501" t="s">
        <v>42668</v>
      </c>
      <c r="U7501" t="s">
        <v>49381</v>
      </c>
      <c r="V7501" t="s">
        <v>48842</v>
      </c>
      <c r="W7501" t="s">
        <v>38367</v>
      </c>
      <c r="X7501" t="s">
        <v>41258</v>
      </c>
    </row>
    <row r="7502" spans="1:24">
      <c r="A7502">
        <f>HYPERLINK("https://www.philgeps.gov.ph/GEPSNONPILOT/Tender/SplashBidNoticeAbstractUI.aspx?menuIndex=3&amp;refID=7070103&amp;Result=3","7070103")</f>
        <v>0</v>
      </c>
      <c r="B7502" t="s">
        <v>870</v>
      </c>
      <c r="C7502" t="s">
        <v>10537</v>
      </c>
      <c r="E7502" t="s">
        <v>23279</v>
      </c>
      <c r="F7502" t="s">
        <v>28669</v>
      </c>
      <c r="G7502" t="s">
        <v>28675</v>
      </c>
      <c r="H7502" t="s">
        <v>28686</v>
      </c>
      <c r="I7502" t="s">
        <v>28689</v>
      </c>
      <c r="J7502" t="s">
        <v>32601</v>
      </c>
      <c r="K7502" t="s">
        <v>37213</v>
      </c>
      <c r="M7502" t="s">
        <v>38388</v>
      </c>
      <c r="N7502" t="s">
        <v>41249</v>
      </c>
      <c r="O7502" t="s">
        <v>41250</v>
      </c>
      <c r="P7502">
        <v>0</v>
      </c>
      <c r="Q7502">
        <v>0</v>
      </c>
      <c r="R7502" t="s">
        <v>41257</v>
      </c>
      <c r="S7502" t="s">
        <v>41461</v>
      </c>
      <c r="T7502" t="s">
        <v>42660</v>
      </c>
      <c r="U7502" t="s">
        <v>49378</v>
      </c>
      <c r="V7502" t="s">
        <v>54500</v>
      </c>
      <c r="W7502" t="s">
        <v>38388</v>
      </c>
      <c r="X7502" t="s">
        <v>41258</v>
      </c>
    </row>
    <row r="7503" spans="1:24">
      <c r="A7503">
        <f>HYPERLINK("https://www.philgeps.gov.ph/GEPSNONPILOT/Tender/SplashBidNoticeAbstractUI.aspx?menuIndex=3&amp;refID=7070102&amp;Result=3","7070102")</f>
        <v>0</v>
      </c>
      <c r="B7503" t="s">
        <v>844</v>
      </c>
      <c r="C7503" t="s">
        <v>10538</v>
      </c>
      <c r="D7503" t="s">
        <v>16650</v>
      </c>
      <c r="E7503" t="s">
        <v>23280</v>
      </c>
      <c r="F7503" t="s">
        <v>28669</v>
      </c>
      <c r="G7503" t="s">
        <v>28675</v>
      </c>
      <c r="H7503" t="s">
        <v>28686</v>
      </c>
      <c r="I7503" t="s">
        <v>28689</v>
      </c>
      <c r="J7503" t="s">
        <v>33342</v>
      </c>
      <c r="K7503" t="s">
        <v>37205</v>
      </c>
      <c r="M7503" t="s">
        <v>38360</v>
      </c>
      <c r="N7503" t="s">
        <v>41249</v>
      </c>
      <c r="O7503" t="s">
        <v>41250</v>
      </c>
      <c r="P7503">
        <v>0</v>
      </c>
      <c r="Q7503">
        <v>0</v>
      </c>
      <c r="R7503" t="s">
        <v>41257</v>
      </c>
      <c r="S7503" t="s">
        <v>41461</v>
      </c>
      <c r="T7503" t="s">
        <v>42911</v>
      </c>
      <c r="U7503" t="s">
        <v>44857</v>
      </c>
      <c r="W7503" t="s">
        <v>38360</v>
      </c>
      <c r="X7503" t="s">
        <v>41258</v>
      </c>
    </row>
    <row r="7504" spans="1:24">
      <c r="A7504">
        <f>HYPERLINK("https://www.philgeps.gov.ph/GEPSNONPILOT/Tender/SplashBidNoticeAbstractUI.aspx?menuIndex=3&amp;refID=7070098&amp;Result=3","7070098")</f>
        <v>0</v>
      </c>
      <c r="B7504" t="s">
        <v>1144</v>
      </c>
      <c r="C7504" t="s">
        <v>10539</v>
      </c>
      <c r="D7504" t="s">
        <v>16608</v>
      </c>
      <c r="E7504" t="s">
        <v>23281</v>
      </c>
      <c r="F7504" t="s">
        <v>28669</v>
      </c>
      <c r="G7504" t="s">
        <v>28675</v>
      </c>
      <c r="H7504" t="s">
        <v>28686</v>
      </c>
      <c r="I7504" t="s">
        <v>28689</v>
      </c>
      <c r="J7504" t="s">
        <v>33513</v>
      </c>
      <c r="K7504" t="s">
        <v>37212</v>
      </c>
      <c r="M7504" t="s">
        <v>38680</v>
      </c>
      <c r="N7504" t="s">
        <v>41249</v>
      </c>
      <c r="O7504" t="s">
        <v>41250</v>
      </c>
      <c r="Q7504">
        <v>23</v>
      </c>
      <c r="R7504" t="s">
        <v>41257</v>
      </c>
      <c r="S7504" t="s">
        <v>41511</v>
      </c>
      <c r="T7504" t="s">
        <v>42782</v>
      </c>
      <c r="U7504" t="s">
        <v>45543</v>
      </c>
      <c r="W7504" t="s">
        <v>38680</v>
      </c>
      <c r="X7504" t="s">
        <v>41258</v>
      </c>
    </row>
    <row r="7505" spans="1:24">
      <c r="A7505">
        <f>HYPERLINK("https://www.philgeps.gov.ph/GEPSNONPILOT/Tender/SplashBidNoticeAbstractUI.aspx?menuIndex=3&amp;refID=7070125&amp;Result=3","7070125")</f>
        <v>0</v>
      </c>
      <c r="B7505" t="s">
        <v>766</v>
      </c>
      <c r="C7505" t="s">
        <v>10540</v>
      </c>
      <c r="E7505" t="s">
        <v>23282</v>
      </c>
      <c r="F7505" t="s">
        <v>28669</v>
      </c>
      <c r="G7505" t="s">
        <v>28675</v>
      </c>
      <c r="H7505" t="s">
        <v>9998</v>
      </c>
      <c r="I7505" t="s">
        <v>7352</v>
      </c>
      <c r="J7505" t="s">
        <v>33514</v>
      </c>
      <c r="K7505" t="s">
        <v>37209</v>
      </c>
      <c r="M7505" t="s">
        <v>38277</v>
      </c>
      <c r="N7505" t="s">
        <v>41249</v>
      </c>
      <c r="O7505" t="s">
        <v>41250</v>
      </c>
      <c r="P7505">
        <v>0</v>
      </c>
      <c r="Q7505">
        <v>1</v>
      </c>
      <c r="R7505" t="s">
        <v>41257</v>
      </c>
      <c r="S7505" t="s">
        <v>41461</v>
      </c>
      <c r="T7505" t="s">
        <v>42743</v>
      </c>
      <c r="U7505" t="s">
        <v>49357</v>
      </c>
      <c r="W7505" t="s">
        <v>38277</v>
      </c>
      <c r="X7505" t="s">
        <v>41258</v>
      </c>
    </row>
    <row r="7506" spans="1:24">
      <c r="A7506">
        <f>HYPERLINK("https://www.philgeps.gov.ph/GEPSNONPILOT/Tender/SplashBidNoticeAbstractUI.aspx?menuIndex=3&amp;refID=7070109&amp;Result=3","7070109")</f>
        <v>0</v>
      </c>
      <c r="B7506" t="s">
        <v>867</v>
      </c>
      <c r="C7506" t="s">
        <v>10541</v>
      </c>
      <c r="D7506" t="s">
        <v>16618</v>
      </c>
      <c r="E7506" t="s">
        <v>22240</v>
      </c>
      <c r="F7506" t="s">
        <v>28669</v>
      </c>
      <c r="G7506" t="s">
        <v>28675</v>
      </c>
      <c r="H7506" t="s">
        <v>9998</v>
      </c>
      <c r="I7506" t="s">
        <v>28733</v>
      </c>
      <c r="J7506" t="s">
        <v>29203</v>
      </c>
      <c r="K7506" t="s">
        <v>37210</v>
      </c>
      <c r="M7506" t="s">
        <v>38385</v>
      </c>
      <c r="N7506" t="s">
        <v>41249</v>
      </c>
      <c r="O7506" t="s">
        <v>41250</v>
      </c>
      <c r="P7506">
        <v>0</v>
      </c>
      <c r="Q7506">
        <v>3</v>
      </c>
      <c r="R7506" t="s">
        <v>41257</v>
      </c>
      <c r="S7506" t="s">
        <v>41461</v>
      </c>
      <c r="T7506" t="s">
        <v>42758</v>
      </c>
      <c r="U7506" t="s">
        <v>49382</v>
      </c>
      <c r="W7506" t="s">
        <v>38385</v>
      </c>
      <c r="X7506" t="s">
        <v>41258</v>
      </c>
    </row>
    <row r="7507" spans="1:24">
      <c r="A7507">
        <f>HYPERLINK("https://www.philgeps.gov.ph/GEPSNONPILOT/Tender/SplashBidNoticeAbstractUI.aspx?menuIndex=3&amp;refID=7070107&amp;Result=3","7070107")</f>
        <v>0</v>
      </c>
      <c r="B7507" t="s">
        <v>844</v>
      </c>
      <c r="C7507" t="s">
        <v>10542</v>
      </c>
      <c r="D7507" t="s">
        <v>16650</v>
      </c>
      <c r="E7507" t="s">
        <v>23283</v>
      </c>
      <c r="F7507" t="s">
        <v>28669</v>
      </c>
      <c r="G7507" t="s">
        <v>28675</v>
      </c>
      <c r="H7507" t="s">
        <v>28686</v>
      </c>
      <c r="I7507" t="s">
        <v>28689</v>
      </c>
      <c r="J7507" t="s">
        <v>33342</v>
      </c>
      <c r="K7507" t="s">
        <v>37205</v>
      </c>
      <c r="M7507" t="s">
        <v>38360</v>
      </c>
      <c r="N7507" t="s">
        <v>41249</v>
      </c>
      <c r="O7507" t="s">
        <v>41250</v>
      </c>
      <c r="P7507">
        <v>0</v>
      </c>
      <c r="Q7507">
        <v>0</v>
      </c>
      <c r="R7507" t="s">
        <v>41257</v>
      </c>
      <c r="S7507" t="s">
        <v>41461</v>
      </c>
      <c r="T7507" t="s">
        <v>42911</v>
      </c>
      <c r="U7507" t="s">
        <v>44857</v>
      </c>
      <c r="W7507" t="s">
        <v>38360</v>
      </c>
      <c r="X7507" t="s">
        <v>41258</v>
      </c>
    </row>
    <row r="7508" spans="1:24">
      <c r="A7508">
        <f>HYPERLINK("https://www.philgeps.gov.ph/GEPSNONPILOT/Tender/SplashBidNoticeAbstractUI.aspx?menuIndex=3&amp;refID=7070121&amp;Result=3","7070121")</f>
        <v>0</v>
      </c>
      <c r="B7508" t="s">
        <v>2366</v>
      </c>
      <c r="C7508" t="s">
        <v>10543</v>
      </c>
      <c r="D7508" t="s">
        <v>16640</v>
      </c>
      <c r="E7508" t="s">
        <v>16861</v>
      </c>
      <c r="F7508" t="s">
        <v>28669</v>
      </c>
      <c r="G7508" t="s">
        <v>28675</v>
      </c>
      <c r="H7508" t="s">
        <v>9998</v>
      </c>
      <c r="I7508" t="s">
        <v>7352</v>
      </c>
      <c r="J7508" t="s">
        <v>33515</v>
      </c>
      <c r="K7508" t="s">
        <v>37204</v>
      </c>
      <c r="M7508" t="s">
        <v>40035</v>
      </c>
      <c r="N7508" t="s">
        <v>41249</v>
      </c>
      <c r="O7508" t="s">
        <v>41250</v>
      </c>
      <c r="P7508">
        <v>0</v>
      </c>
      <c r="Q7508">
        <v>0</v>
      </c>
      <c r="R7508" t="s">
        <v>41257</v>
      </c>
      <c r="S7508" t="s">
        <v>41461</v>
      </c>
      <c r="T7508" t="s">
        <v>42734</v>
      </c>
      <c r="U7508" t="s">
        <v>49383</v>
      </c>
      <c r="W7508" t="s">
        <v>40035</v>
      </c>
      <c r="X7508" t="s">
        <v>41258</v>
      </c>
    </row>
    <row r="7509" spans="1:24">
      <c r="A7509">
        <f>HYPERLINK("https://www.philgeps.gov.ph/GEPSNONPILOT/Tender/SplashBidNoticeAbstractUI.aspx?menuIndex=3&amp;refID=7070152&amp;Result=3","7070152")</f>
        <v>0</v>
      </c>
      <c r="B7509" t="s">
        <v>2374</v>
      </c>
      <c r="C7509" t="s">
        <v>10544</v>
      </c>
      <c r="D7509" t="s">
        <v>16626</v>
      </c>
      <c r="E7509" t="s">
        <v>23284</v>
      </c>
      <c r="F7509" t="s">
        <v>28669</v>
      </c>
      <c r="G7509" t="s">
        <v>28675</v>
      </c>
      <c r="H7509" t="s">
        <v>9998</v>
      </c>
      <c r="I7509" t="s">
        <v>7352</v>
      </c>
      <c r="J7509" t="s">
        <v>33516</v>
      </c>
      <c r="K7509" t="s">
        <v>37234</v>
      </c>
      <c r="M7509" t="s">
        <v>40044</v>
      </c>
      <c r="N7509" t="s">
        <v>41249</v>
      </c>
      <c r="O7509" t="s">
        <v>41250</v>
      </c>
      <c r="P7509">
        <v>0</v>
      </c>
      <c r="Q7509">
        <v>0</v>
      </c>
      <c r="R7509" t="s">
        <v>41257</v>
      </c>
      <c r="S7509" t="s">
        <v>41461</v>
      </c>
      <c r="T7509" t="s">
        <v>42721</v>
      </c>
      <c r="U7509" t="s">
        <v>49384</v>
      </c>
      <c r="W7509" t="s">
        <v>40044</v>
      </c>
      <c r="X7509" t="s">
        <v>41258</v>
      </c>
    </row>
    <row r="7510" spans="1:24">
      <c r="A7510">
        <f>HYPERLINK("https://www.philgeps.gov.ph/GEPSNONPILOT/Tender/SplashBidNoticeAbstractUI.aspx?menuIndex=3&amp;refID=7070154&amp;Result=3","7070154")</f>
        <v>0</v>
      </c>
      <c r="B7510" t="s">
        <v>2198</v>
      </c>
      <c r="C7510" t="s">
        <v>10545</v>
      </c>
      <c r="D7510" t="s">
        <v>16619</v>
      </c>
      <c r="E7510" t="s">
        <v>18092</v>
      </c>
      <c r="F7510" t="s">
        <v>28669</v>
      </c>
      <c r="G7510" t="s">
        <v>28676</v>
      </c>
      <c r="H7510" t="s">
        <v>9998</v>
      </c>
      <c r="I7510" t="s">
        <v>11142</v>
      </c>
      <c r="J7510" t="s">
        <v>33517</v>
      </c>
      <c r="K7510" t="s">
        <v>37205</v>
      </c>
      <c r="M7510" t="s">
        <v>39848</v>
      </c>
      <c r="N7510" t="s">
        <v>41249</v>
      </c>
      <c r="O7510" t="s">
        <v>41250</v>
      </c>
      <c r="P7510">
        <v>0</v>
      </c>
      <c r="Q7510">
        <v>0</v>
      </c>
      <c r="R7510" t="s">
        <v>41257</v>
      </c>
      <c r="S7510" t="s">
        <v>41461</v>
      </c>
      <c r="T7510" t="s">
        <v>42665</v>
      </c>
      <c r="U7510" t="s">
        <v>49346</v>
      </c>
      <c r="V7510" t="s">
        <v>55111</v>
      </c>
      <c r="W7510" t="s">
        <v>39848</v>
      </c>
      <c r="X7510" t="s">
        <v>41258</v>
      </c>
    </row>
    <row r="7511" spans="1:24">
      <c r="A7511">
        <f>HYPERLINK("https://www.philgeps.gov.ph/GEPSNONPILOT/Tender/SplashBidNoticeAbstractUI.aspx?menuIndex=3&amp;refID=7070151&amp;Result=3","7070151")</f>
        <v>0</v>
      </c>
      <c r="B7511" t="s">
        <v>2375</v>
      </c>
      <c r="C7511" t="s">
        <v>10546</v>
      </c>
      <c r="D7511" t="s">
        <v>16680</v>
      </c>
      <c r="E7511" t="s">
        <v>23285</v>
      </c>
      <c r="F7511" t="s">
        <v>28669</v>
      </c>
      <c r="G7511" t="s">
        <v>28675</v>
      </c>
      <c r="H7511" t="s">
        <v>9998</v>
      </c>
      <c r="I7511" t="s">
        <v>28688</v>
      </c>
      <c r="J7511" t="s">
        <v>33518</v>
      </c>
      <c r="K7511" t="s">
        <v>37205</v>
      </c>
      <c r="M7511" t="s">
        <v>40045</v>
      </c>
      <c r="N7511" t="s">
        <v>41249</v>
      </c>
      <c r="O7511" t="s">
        <v>41250</v>
      </c>
      <c r="P7511">
        <v>0</v>
      </c>
      <c r="Q7511">
        <v>1</v>
      </c>
      <c r="R7511" t="s">
        <v>41257</v>
      </c>
      <c r="S7511" t="s">
        <v>41461</v>
      </c>
      <c r="T7511" t="s">
        <v>42911</v>
      </c>
      <c r="U7511" t="s">
        <v>49385</v>
      </c>
      <c r="W7511" t="s">
        <v>40045</v>
      </c>
      <c r="X7511" t="s">
        <v>41258</v>
      </c>
    </row>
    <row r="7512" spans="1:24">
      <c r="A7512">
        <f>HYPERLINK("https://www.philgeps.gov.ph/GEPSNONPILOT/Tender/SplashBidNoticeAbstractUI.aspx?menuIndex=3&amp;refID=7070150&amp;Result=3","7070150")</f>
        <v>0</v>
      </c>
      <c r="B7512" t="s">
        <v>2198</v>
      </c>
      <c r="C7512" t="s">
        <v>10547</v>
      </c>
      <c r="D7512" t="s">
        <v>16619</v>
      </c>
      <c r="E7512" t="s">
        <v>18003</v>
      </c>
      <c r="F7512" t="s">
        <v>28669</v>
      </c>
      <c r="G7512" t="s">
        <v>28676</v>
      </c>
      <c r="H7512" t="s">
        <v>9998</v>
      </c>
      <c r="I7512" t="s">
        <v>7352</v>
      </c>
      <c r="J7512" t="s">
        <v>31126</v>
      </c>
      <c r="K7512" t="s">
        <v>37205</v>
      </c>
      <c r="M7512" t="s">
        <v>39848</v>
      </c>
      <c r="N7512" t="s">
        <v>41249</v>
      </c>
      <c r="O7512" t="s">
        <v>41250</v>
      </c>
      <c r="P7512">
        <v>0</v>
      </c>
      <c r="Q7512">
        <v>1</v>
      </c>
      <c r="R7512" t="s">
        <v>41257</v>
      </c>
      <c r="S7512" t="s">
        <v>41461</v>
      </c>
      <c r="T7512" t="s">
        <v>42665</v>
      </c>
      <c r="U7512" t="s">
        <v>49346</v>
      </c>
      <c r="V7512" t="s">
        <v>55111</v>
      </c>
      <c r="W7512" t="s">
        <v>39848</v>
      </c>
      <c r="X7512" t="s">
        <v>41258</v>
      </c>
    </row>
    <row r="7513" spans="1:24">
      <c r="A7513">
        <f>HYPERLINK("https://www.philgeps.gov.ph/GEPSNONPILOT/Tender/SplashBidNoticeAbstractUI.aspx?menuIndex=3&amp;refID=7070146&amp;Result=3","7070146")</f>
        <v>0</v>
      </c>
      <c r="B7513" t="s">
        <v>2375</v>
      </c>
      <c r="C7513" t="s">
        <v>10548</v>
      </c>
      <c r="D7513" t="s">
        <v>16680</v>
      </c>
      <c r="E7513" t="s">
        <v>23286</v>
      </c>
      <c r="F7513" t="s">
        <v>28669</v>
      </c>
      <c r="G7513" t="s">
        <v>28675</v>
      </c>
      <c r="H7513" t="s">
        <v>9998</v>
      </c>
      <c r="I7513" t="s">
        <v>7352</v>
      </c>
      <c r="J7513" t="s">
        <v>33519</v>
      </c>
      <c r="K7513" t="s">
        <v>37205</v>
      </c>
      <c r="M7513" t="s">
        <v>40045</v>
      </c>
      <c r="N7513" t="s">
        <v>41249</v>
      </c>
      <c r="O7513" t="s">
        <v>41250</v>
      </c>
      <c r="P7513">
        <v>0</v>
      </c>
      <c r="Q7513">
        <v>0</v>
      </c>
      <c r="R7513" t="s">
        <v>41257</v>
      </c>
      <c r="S7513" t="s">
        <v>41461</v>
      </c>
      <c r="T7513" t="s">
        <v>42911</v>
      </c>
      <c r="U7513" t="s">
        <v>49386</v>
      </c>
      <c r="W7513" t="s">
        <v>40045</v>
      </c>
      <c r="X7513" t="s">
        <v>41258</v>
      </c>
    </row>
    <row r="7514" spans="1:24">
      <c r="A7514">
        <f>HYPERLINK("https://www.philgeps.gov.ph/GEPSNONPILOT/Tender/SplashBidNoticeAbstractUI.aspx?menuIndex=3&amp;refID=7070145&amp;Result=3","7070145")</f>
        <v>0</v>
      </c>
      <c r="B7514" t="s">
        <v>2198</v>
      </c>
      <c r="C7514" t="s">
        <v>10549</v>
      </c>
      <c r="D7514" t="s">
        <v>16619</v>
      </c>
      <c r="E7514" t="s">
        <v>17947</v>
      </c>
      <c r="F7514" t="s">
        <v>28669</v>
      </c>
      <c r="G7514" t="s">
        <v>28676</v>
      </c>
      <c r="H7514" t="s">
        <v>9998</v>
      </c>
      <c r="I7514" t="s">
        <v>5213</v>
      </c>
      <c r="J7514" t="s">
        <v>33520</v>
      </c>
      <c r="K7514" t="s">
        <v>37205</v>
      </c>
      <c r="M7514" t="s">
        <v>39848</v>
      </c>
      <c r="N7514" t="s">
        <v>41249</v>
      </c>
      <c r="O7514" t="s">
        <v>41250</v>
      </c>
      <c r="P7514">
        <v>0</v>
      </c>
      <c r="Q7514">
        <v>0</v>
      </c>
      <c r="R7514" t="s">
        <v>41257</v>
      </c>
      <c r="S7514" t="s">
        <v>41461</v>
      </c>
      <c r="T7514" t="s">
        <v>42665</v>
      </c>
      <c r="U7514" t="s">
        <v>49341</v>
      </c>
      <c r="V7514" t="s">
        <v>55111</v>
      </c>
      <c r="W7514" t="s">
        <v>39848</v>
      </c>
      <c r="X7514" t="s">
        <v>41258</v>
      </c>
    </row>
    <row r="7515" spans="1:24">
      <c r="A7515">
        <f>HYPERLINK("https://www.philgeps.gov.ph/GEPSNONPILOT/Tender/SplashBidNoticeAbstractUI.aspx?menuIndex=3&amp;refID=7070139&amp;Result=3","7070139")</f>
        <v>0</v>
      </c>
      <c r="B7515" t="s">
        <v>2375</v>
      </c>
      <c r="C7515" t="s">
        <v>10550</v>
      </c>
      <c r="D7515" t="s">
        <v>16680</v>
      </c>
      <c r="E7515" t="s">
        <v>23287</v>
      </c>
      <c r="F7515" t="s">
        <v>28669</v>
      </c>
      <c r="G7515" t="s">
        <v>28675</v>
      </c>
      <c r="H7515" t="s">
        <v>9998</v>
      </c>
      <c r="I7515" t="s">
        <v>3718</v>
      </c>
      <c r="J7515" t="s">
        <v>33521</v>
      </c>
      <c r="K7515" t="s">
        <v>37205</v>
      </c>
      <c r="M7515" t="s">
        <v>40045</v>
      </c>
      <c r="N7515" t="s">
        <v>41249</v>
      </c>
      <c r="O7515" t="s">
        <v>41250</v>
      </c>
      <c r="P7515">
        <v>0</v>
      </c>
      <c r="Q7515">
        <v>0</v>
      </c>
      <c r="R7515" t="s">
        <v>41257</v>
      </c>
      <c r="S7515" t="s">
        <v>41461</v>
      </c>
      <c r="T7515" t="s">
        <v>42911</v>
      </c>
      <c r="U7515" t="s">
        <v>49387</v>
      </c>
      <c r="W7515" t="s">
        <v>40045</v>
      </c>
      <c r="X7515" t="s">
        <v>41258</v>
      </c>
    </row>
    <row r="7516" spans="1:24">
      <c r="A7516">
        <f>HYPERLINK("https://www.philgeps.gov.ph/GEPSNONPILOT/Tender/SplashBidNoticeAbstractUI.aspx?menuIndex=3&amp;refID=7070138&amp;Result=3","7070138")</f>
        <v>0</v>
      </c>
      <c r="B7516" t="s">
        <v>2376</v>
      </c>
      <c r="C7516" t="s">
        <v>10551</v>
      </c>
      <c r="D7516" t="s">
        <v>16684</v>
      </c>
      <c r="E7516" t="s">
        <v>23288</v>
      </c>
      <c r="F7516" t="s">
        <v>28669</v>
      </c>
      <c r="G7516" t="s">
        <v>28676</v>
      </c>
      <c r="H7516" t="s">
        <v>9998</v>
      </c>
      <c r="I7516" t="s">
        <v>28708</v>
      </c>
      <c r="J7516" t="s">
        <v>29044</v>
      </c>
      <c r="K7516" t="s">
        <v>37205</v>
      </c>
      <c r="M7516" t="s">
        <v>40046</v>
      </c>
      <c r="N7516" t="s">
        <v>41249</v>
      </c>
      <c r="O7516" t="s">
        <v>41250</v>
      </c>
      <c r="P7516">
        <v>0</v>
      </c>
      <c r="Q7516">
        <v>2</v>
      </c>
      <c r="R7516" t="s">
        <v>41257</v>
      </c>
      <c r="S7516" t="s">
        <v>41461</v>
      </c>
      <c r="T7516" t="s">
        <v>42729</v>
      </c>
      <c r="U7516" t="s">
        <v>49388</v>
      </c>
      <c r="W7516" t="s">
        <v>40046</v>
      </c>
      <c r="X7516" t="s">
        <v>41258</v>
      </c>
    </row>
    <row r="7517" spans="1:24">
      <c r="A7517">
        <f>HYPERLINK("https://www.philgeps.gov.ph/GEPSNONPILOT/Tender/SplashBidNoticeAbstractUI.aspx?menuIndex=3&amp;refID=7070035&amp;Result=3","7070035")</f>
        <v>0</v>
      </c>
      <c r="B7517" t="s">
        <v>2365</v>
      </c>
      <c r="C7517" t="s">
        <v>10552</v>
      </c>
      <c r="D7517" t="s">
        <v>16628</v>
      </c>
      <c r="E7517" t="s">
        <v>23289</v>
      </c>
      <c r="F7517" t="s">
        <v>28669</v>
      </c>
      <c r="G7517" t="s">
        <v>28675</v>
      </c>
      <c r="H7517" t="s">
        <v>28686</v>
      </c>
      <c r="I7517" t="s">
        <v>28689</v>
      </c>
      <c r="J7517" t="s">
        <v>33522</v>
      </c>
      <c r="K7517" t="s">
        <v>37389</v>
      </c>
      <c r="M7517" t="s">
        <v>40034</v>
      </c>
      <c r="N7517" t="s">
        <v>41249</v>
      </c>
      <c r="O7517" t="s">
        <v>41250</v>
      </c>
      <c r="P7517">
        <v>0</v>
      </c>
      <c r="Q7517">
        <v>2</v>
      </c>
      <c r="R7517" t="s">
        <v>41257</v>
      </c>
      <c r="S7517" t="s">
        <v>41461</v>
      </c>
      <c r="T7517" t="s">
        <v>42911</v>
      </c>
      <c r="U7517" t="s">
        <v>49339</v>
      </c>
      <c r="V7517" t="s">
        <v>55121</v>
      </c>
      <c r="W7517" t="s">
        <v>40034</v>
      </c>
      <c r="X7517" t="s">
        <v>41258</v>
      </c>
    </row>
    <row r="7518" spans="1:24">
      <c r="A7518">
        <f>HYPERLINK("https://www.philgeps.gov.ph/GEPSNONPILOT/Tender/SplashBidNoticeAbstractUI.aspx?menuIndex=3&amp;refID=7070137&amp;Result=3","7070137")</f>
        <v>0</v>
      </c>
      <c r="B7518" t="s">
        <v>2373</v>
      </c>
      <c r="C7518" t="s">
        <v>10553</v>
      </c>
      <c r="D7518" t="s">
        <v>16619</v>
      </c>
      <c r="E7518" t="s">
        <v>23290</v>
      </c>
      <c r="F7518" t="s">
        <v>28669</v>
      </c>
      <c r="G7518" t="s">
        <v>28675</v>
      </c>
      <c r="H7518" t="s">
        <v>9998</v>
      </c>
      <c r="I7518" t="s">
        <v>28751</v>
      </c>
      <c r="J7518" t="s">
        <v>28836</v>
      </c>
      <c r="K7518" t="s">
        <v>37206</v>
      </c>
      <c r="M7518" t="s">
        <v>40043</v>
      </c>
      <c r="N7518" t="s">
        <v>41249</v>
      </c>
      <c r="O7518" t="s">
        <v>41250</v>
      </c>
      <c r="P7518">
        <v>0</v>
      </c>
      <c r="Q7518">
        <v>6</v>
      </c>
      <c r="R7518" t="s">
        <v>41257</v>
      </c>
      <c r="S7518" t="s">
        <v>41461</v>
      </c>
      <c r="T7518" t="s">
        <v>43017</v>
      </c>
      <c r="U7518" t="s">
        <v>49389</v>
      </c>
      <c r="V7518" t="s">
        <v>55122</v>
      </c>
      <c r="W7518" t="s">
        <v>40043</v>
      </c>
      <c r="X7518" t="s">
        <v>41258</v>
      </c>
    </row>
    <row r="7519" spans="1:24">
      <c r="A7519">
        <f>HYPERLINK("https://www.philgeps.gov.ph/GEPSNONPILOT/Tender/SplashBidNoticeAbstractUI.aspx?menuIndex=3&amp;refID=7070134&amp;Result=3","7070134")</f>
        <v>0</v>
      </c>
      <c r="B7519" t="s">
        <v>2375</v>
      </c>
      <c r="C7519" t="s">
        <v>10554</v>
      </c>
      <c r="D7519" t="s">
        <v>16680</v>
      </c>
      <c r="E7519" t="s">
        <v>23291</v>
      </c>
      <c r="F7519" t="s">
        <v>28669</v>
      </c>
      <c r="G7519" t="s">
        <v>28675</v>
      </c>
      <c r="H7519" t="s">
        <v>9998</v>
      </c>
      <c r="I7519" t="s">
        <v>28695</v>
      </c>
      <c r="J7519" t="s">
        <v>33523</v>
      </c>
      <c r="K7519" t="s">
        <v>37205</v>
      </c>
      <c r="M7519" t="s">
        <v>40045</v>
      </c>
      <c r="N7519" t="s">
        <v>41249</v>
      </c>
      <c r="O7519" t="s">
        <v>41250</v>
      </c>
      <c r="P7519">
        <v>0</v>
      </c>
      <c r="Q7519">
        <v>0</v>
      </c>
      <c r="R7519" t="s">
        <v>41257</v>
      </c>
      <c r="S7519" t="s">
        <v>41461</v>
      </c>
      <c r="T7519" t="s">
        <v>42911</v>
      </c>
      <c r="U7519" t="s">
        <v>49390</v>
      </c>
      <c r="W7519" t="s">
        <v>40045</v>
      </c>
      <c r="X7519" t="s">
        <v>41258</v>
      </c>
    </row>
    <row r="7520" spans="1:24">
      <c r="A7520">
        <f>HYPERLINK("https://www.philgeps.gov.ph/GEPSNONPILOT/Tender/SplashBidNoticeAbstractUI.aspx?menuIndex=3&amp;refID=7070114&amp;Result=3","7070114")</f>
        <v>0</v>
      </c>
      <c r="B7520" t="s">
        <v>870</v>
      </c>
      <c r="C7520" t="s">
        <v>10555</v>
      </c>
      <c r="E7520" t="s">
        <v>23292</v>
      </c>
      <c r="F7520" t="s">
        <v>28669</v>
      </c>
      <c r="G7520" t="s">
        <v>28675</v>
      </c>
      <c r="H7520" t="s">
        <v>28686</v>
      </c>
      <c r="I7520" t="s">
        <v>28689</v>
      </c>
      <c r="J7520" t="s">
        <v>29112</v>
      </c>
      <c r="K7520" t="s">
        <v>37213</v>
      </c>
      <c r="M7520" t="s">
        <v>38388</v>
      </c>
      <c r="N7520" t="s">
        <v>41249</v>
      </c>
      <c r="O7520" t="s">
        <v>41250</v>
      </c>
      <c r="P7520">
        <v>0</v>
      </c>
      <c r="Q7520">
        <v>0</v>
      </c>
      <c r="R7520" t="s">
        <v>41257</v>
      </c>
      <c r="S7520" t="s">
        <v>41461</v>
      </c>
      <c r="T7520" t="s">
        <v>42660</v>
      </c>
      <c r="U7520" t="s">
        <v>49378</v>
      </c>
      <c r="V7520" t="s">
        <v>54500</v>
      </c>
      <c r="W7520" t="s">
        <v>38388</v>
      </c>
      <c r="X7520" t="s">
        <v>41258</v>
      </c>
    </row>
    <row r="7521" spans="1:24">
      <c r="A7521">
        <f>HYPERLINK("https://www.philgeps.gov.ph/GEPSNONPILOT/Tender/SplashBidNoticeAbstractUI.aspx?menuIndex=3&amp;refID=7070132&amp;Result=3","7070132")</f>
        <v>0</v>
      </c>
      <c r="B7521" t="s">
        <v>2373</v>
      </c>
      <c r="C7521" t="s">
        <v>10556</v>
      </c>
      <c r="D7521" t="s">
        <v>16619</v>
      </c>
      <c r="E7521" t="s">
        <v>23293</v>
      </c>
      <c r="F7521" t="s">
        <v>28669</v>
      </c>
      <c r="G7521" t="s">
        <v>28675</v>
      </c>
      <c r="H7521" t="s">
        <v>9998</v>
      </c>
      <c r="I7521" t="s">
        <v>28751</v>
      </c>
      <c r="J7521" t="s">
        <v>28836</v>
      </c>
      <c r="K7521" t="s">
        <v>37206</v>
      </c>
      <c r="M7521" t="s">
        <v>40043</v>
      </c>
      <c r="N7521" t="s">
        <v>41249</v>
      </c>
      <c r="O7521" t="s">
        <v>41250</v>
      </c>
      <c r="P7521">
        <v>0</v>
      </c>
      <c r="Q7521">
        <v>7</v>
      </c>
      <c r="R7521" t="s">
        <v>41257</v>
      </c>
      <c r="S7521" t="s">
        <v>41461</v>
      </c>
      <c r="T7521" t="s">
        <v>43017</v>
      </c>
      <c r="U7521" t="s">
        <v>49391</v>
      </c>
      <c r="V7521" t="s">
        <v>55122</v>
      </c>
      <c r="W7521" t="s">
        <v>40043</v>
      </c>
      <c r="X7521" t="s">
        <v>41258</v>
      </c>
    </row>
    <row r="7522" spans="1:24">
      <c r="A7522">
        <f>HYPERLINK("https://www.philgeps.gov.ph/GEPSNONPILOT/Tender/SplashBidNoticeAbstractUI.aspx?menuIndex=3&amp;refID=7070143&amp;Result=3","7070143")</f>
        <v>0</v>
      </c>
      <c r="B7522" t="s">
        <v>2373</v>
      </c>
      <c r="C7522" t="s">
        <v>10557</v>
      </c>
      <c r="D7522" t="s">
        <v>16619</v>
      </c>
      <c r="E7522" t="s">
        <v>23294</v>
      </c>
      <c r="F7522" t="s">
        <v>28669</v>
      </c>
      <c r="G7522" t="s">
        <v>28675</v>
      </c>
      <c r="H7522" t="s">
        <v>9998</v>
      </c>
      <c r="I7522" t="s">
        <v>28777</v>
      </c>
      <c r="J7522" t="s">
        <v>28836</v>
      </c>
      <c r="K7522" t="s">
        <v>37206</v>
      </c>
      <c r="M7522" t="s">
        <v>40043</v>
      </c>
      <c r="N7522" t="s">
        <v>41249</v>
      </c>
      <c r="O7522" t="s">
        <v>41250</v>
      </c>
      <c r="P7522">
        <v>0</v>
      </c>
      <c r="Q7522">
        <v>3</v>
      </c>
      <c r="R7522" t="s">
        <v>41257</v>
      </c>
      <c r="S7522" t="s">
        <v>41461</v>
      </c>
      <c r="T7522" t="s">
        <v>43017</v>
      </c>
      <c r="U7522" t="s">
        <v>49392</v>
      </c>
      <c r="V7522" t="s">
        <v>55122</v>
      </c>
      <c r="W7522" t="s">
        <v>40043</v>
      </c>
      <c r="X7522" t="s">
        <v>41258</v>
      </c>
    </row>
    <row r="7523" spans="1:24">
      <c r="A7523">
        <f>HYPERLINK("https://www.philgeps.gov.ph/GEPSNONPILOT/Tender/SplashBidNoticeAbstractUI.aspx?menuIndex=3&amp;refID=7070130&amp;Result=3","7070130")</f>
        <v>0</v>
      </c>
      <c r="B7523" t="s">
        <v>2373</v>
      </c>
      <c r="C7523" t="s">
        <v>10558</v>
      </c>
      <c r="D7523" t="s">
        <v>16619</v>
      </c>
      <c r="E7523" t="s">
        <v>23295</v>
      </c>
      <c r="F7523" t="s">
        <v>28669</v>
      </c>
      <c r="G7523" t="s">
        <v>28675</v>
      </c>
      <c r="H7523" t="s">
        <v>9998</v>
      </c>
      <c r="I7523" t="s">
        <v>28751</v>
      </c>
      <c r="J7523" t="s">
        <v>28836</v>
      </c>
      <c r="K7523" t="s">
        <v>37206</v>
      </c>
      <c r="M7523" t="s">
        <v>40043</v>
      </c>
      <c r="N7523" t="s">
        <v>41249</v>
      </c>
      <c r="O7523" t="s">
        <v>41250</v>
      </c>
      <c r="P7523">
        <v>0</v>
      </c>
      <c r="Q7523">
        <v>7</v>
      </c>
      <c r="R7523" t="s">
        <v>41257</v>
      </c>
      <c r="S7523" t="s">
        <v>41461</v>
      </c>
      <c r="T7523" t="s">
        <v>43017</v>
      </c>
      <c r="U7523" t="s">
        <v>49393</v>
      </c>
      <c r="V7523" t="s">
        <v>55122</v>
      </c>
      <c r="W7523" t="s">
        <v>40043</v>
      </c>
      <c r="X7523" t="s">
        <v>41258</v>
      </c>
    </row>
    <row r="7524" spans="1:24">
      <c r="A7524">
        <f>HYPERLINK("https://www.philgeps.gov.ph/GEPSNONPILOT/Tender/SplashBidNoticeAbstractUI.aspx?menuIndex=3&amp;refID=7070129&amp;Result=3","7070129")</f>
        <v>0</v>
      </c>
      <c r="B7524" t="s">
        <v>2373</v>
      </c>
      <c r="C7524" t="s">
        <v>10559</v>
      </c>
      <c r="D7524" t="s">
        <v>16619</v>
      </c>
      <c r="E7524" t="s">
        <v>23296</v>
      </c>
      <c r="F7524" t="s">
        <v>28669</v>
      </c>
      <c r="G7524" t="s">
        <v>28675</v>
      </c>
      <c r="H7524" t="s">
        <v>9998</v>
      </c>
      <c r="I7524" t="s">
        <v>28725</v>
      </c>
      <c r="J7524" t="s">
        <v>28836</v>
      </c>
      <c r="K7524" t="s">
        <v>37206</v>
      </c>
      <c r="M7524" t="s">
        <v>40043</v>
      </c>
      <c r="N7524" t="s">
        <v>41249</v>
      </c>
      <c r="O7524" t="s">
        <v>41250</v>
      </c>
      <c r="P7524">
        <v>0</v>
      </c>
      <c r="Q7524">
        <v>4</v>
      </c>
      <c r="R7524" t="s">
        <v>41257</v>
      </c>
      <c r="S7524" t="s">
        <v>41461</v>
      </c>
      <c r="T7524" t="s">
        <v>43017</v>
      </c>
      <c r="U7524" t="s">
        <v>49394</v>
      </c>
      <c r="V7524" t="s">
        <v>55122</v>
      </c>
      <c r="W7524" t="s">
        <v>40043</v>
      </c>
      <c r="X7524" t="s">
        <v>41258</v>
      </c>
    </row>
    <row r="7525" spans="1:24">
      <c r="A7525">
        <f>HYPERLINK("https://www.philgeps.gov.ph/GEPSNONPILOT/Tender/SplashBidNoticeAbstractUI.aspx?menuIndex=3&amp;refID=7070124&amp;Result=3","7070124")</f>
        <v>0</v>
      </c>
      <c r="B7525" t="s">
        <v>2373</v>
      </c>
      <c r="C7525" t="s">
        <v>10560</v>
      </c>
      <c r="D7525" t="s">
        <v>16619</v>
      </c>
      <c r="E7525" t="s">
        <v>23297</v>
      </c>
      <c r="F7525" t="s">
        <v>28669</v>
      </c>
      <c r="G7525" t="s">
        <v>28675</v>
      </c>
      <c r="H7525" t="s">
        <v>9998</v>
      </c>
      <c r="I7525" t="s">
        <v>28695</v>
      </c>
      <c r="J7525" t="s">
        <v>28836</v>
      </c>
      <c r="K7525" t="s">
        <v>37206</v>
      </c>
      <c r="M7525" t="s">
        <v>40043</v>
      </c>
      <c r="N7525" t="s">
        <v>41249</v>
      </c>
      <c r="O7525" t="s">
        <v>41250</v>
      </c>
      <c r="P7525">
        <v>0</v>
      </c>
      <c r="Q7525">
        <v>4</v>
      </c>
      <c r="R7525" t="s">
        <v>41257</v>
      </c>
      <c r="S7525" t="s">
        <v>41461</v>
      </c>
      <c r="T7525" t="s">
        <v>43051</v>
      </c>
      <c r="U7525" t="s">
        <v>49395</v>
      </c>
      <c r="V7525" t="s">
        <v>55119</v>
      </c>
      <c r="W7525" t="s">
        <v>40043</v>
      </c>
      <c r="X7525" t="s">
        <v>41258</v>
      </c>
    </row>
    <row r="7526" spans="1:24">
      <c r="A7526">
        <f>HYPERLINK("https://www.philgeps.gov.ph/GEPSNONPILOT/Tender/SplashBidNoticeAbstractUI.aspx?menuIndex=3&amp;refID=7069975&amp;Result=3","7069975")</f>
        <v>0</v>
      </c>
      <c r="B7526" t="s">
        <v>2377</v>
      </c>
      <c r="C7526" t="s">
        <v>7918</v>
      </c>
      <c r="D7526" t="s">
        <v>16643</v>
      </c>
      <c r="E7526" t="s">
        <v>23298</v>
      </c>
      <c r="F7526" t="s">
        <v>28669</v>
      </c>
      <c r="G7526" t="s">
        <v>28677</v>
      </c>
      <c r="H7526" t="s">
        <v>9998</v>
      </c>
      <c r="I7526" t="s">
        <v>5213</v>
      </c>
      <c r="J7526" t="s">
        <v>31866</v>
      </c>
      <c r="K7526" t="s">
        <v>37205</v>
      </c>
      <c r="M7526" t="s">
        <v>40047</v>
      </c>
      <c r="N7526" t="s">
        <v>41249</v>
      </c>
      <c r="O7526" t="s">
        <v>41250</v>
      </c>
      <c r="P7526">
        <v>0</v>
      </c>
      <c r="Q7526">
        <v>0</v>
      </c>
      <c r="R7526" t="s">
        <v>41257</v>
      </c>
      <c r="S7526" t="s">
        <v>41461</v>
      </c>
      <c r="T7526" t="s">
        <v>42972</v>
      </c>
      <c r="U7526" t="s">
        <v>44003</v>
      </c>
      <c r="W7526" t="s">
        <v>40047</v>
      </c>
      <c r="X7526" t="s">
        <v>41258</v>
      </c>
    </row>
    <row r="7527" spans="1:24">
      <c r="A7527">
        <f>HYPERLINK("https://www.philgeps.gov.ph/GEPSNONPILOT/Tender/SplashBidNoticeAbstractUI.aspx?menuIndex=3&amp;refID=7069876&amp;Result=3","7069876")</f>
        <v>0</v>
      </c>
      <c r="B7527" t="s">
        <v>945</v>
      </c>
      <c r="C7527" t="s">
        <v>10561</v>
      </c>
      <c r="D7527" t="s">
        <v>16608</v>
      </c>
      <c r="E7527" t="s">
        <v>18443</v>
      </c>
      <c r="F7527" t="s">
        <v>28669</v>
      </c>
      <c r="G7527" t="s">
        <v>28679</v>
      </c>
      <c r="H7527" t="s">
        <v>28684</v>
      </c>
      <c r="I7527" t="s">
        <v>28772</v>
      </c>
      <c r="J7527" t="s">
        <v>33524</v>
      </c>
      <c r="K7527" t="s">
        <v>37235</v>
      </c>
      <c r="M7527" t="s">
        <v>38469</v>
      </c>
      <c r="N7527" t="s">
        <v>41249</v>
      </c>
      <c r="O7527" t="s">
        <v>41250</v>
      </c>
      <c r="P7527">
        <v>0</v>
      </c>
      <c r="Q7527">
        <v>5</v>
      </c>
      <c r="R7527" t="s">
        <v>41257</v>
      </c>
      <c r="S7527" t="s">
        <v>41461</v>
      </c>
      <c r="T7527" t="s">
        <v>42876</v>
      </c>
      <c r="U7527" t="s">
        <v>49396</v>
      </c>
      <c r="W7527" t="s">
        <v>38469</v>
      </c>
      <c r="X7527" t="s">
        <v>41258</v>
      </c>
    </row>
    <row r="7528" spans="1:24">
      <c r="A7528">
        <f>HYPERLINK("https://www.philgeps.gov.ph/GEPSNONPILOT/Tender/SplashBidNoticeAbstractUI.aspx?menuIndex=3&amp;refID=7070180&amp;Result=3","7070180")</f>
        <v>0</v>
      </c>
      <c r="B7528" t="s">
        <v>851</v>
      </c>
      <c r="C7528" t="s">
        <v>10562</v>
      </c>
      <c r="D7528" t="s">
        <v>16654</v>
      </c>
      <c r="E7528" t="s">
        <v>23299</v>
      </c>
      <c r="F7528" t="s">
        <v>28669</v>
      </c>
      <c r="G7528" t="s">
        <v>28675</v>
      </c>
      <c r="H7528" t="s">
        <v>9998</v>
      </c>
      <c r="I7528" t="s">
        <v>28717</v>
      </c>
      <c r="J7528" t="s">
        <v>28836</v>
      </c>
      <c r="K7528" t="s">
        <v>37206</v>
      </c>
      <c r="M7528" t="s">
        <v>38367</v>
      </c>
      <c r="N7528" t="s">
        <v>41249</v>
      </c>
      <c r="O7528" t="s">
        <v>41250</v>
      </c>
      <c r="P7528">
        <v>0</v>
      </c>
      <c r="Q7528">
        <v>8</v>
      </c>
      <c r="R7528" t="s">
        <v>41257</v>
      </c>
      <c r="S7528" t="s">
        <v>41461</v>
      </c>
      <c r="T7528" t="s">
        <v>42668</v>
      </c>
      <c r="U7528" t="s">
        <v>49397</v>
      </c>
      <c r="V7528" t="s">
        <v>48842</v>
      </c>
      <c r="W7528" t="s">
        <v>38367</v>
      </c>
      <c r="X7528" t="s">
        <v>41258</v>
      </c>
    </row>
    <row r="7529" spans="1:24">
      <c r="A7529">
        <f>HYPERLINK("https://www.philgeps.gov.ph/GEPSNONPILOT/Tender/SplashBidNoticeAbstractUI.aspx?menuIndex=3&amp;refID=7070149&amp;Result=3","7070149")</f>
        <v>0</v>
      </c>
      <c r="B7529" t="s">
        <v>2378</v>
      </c>
      <c r="C7529" t="s">
        <v>10563</v>
      </c>
      <c r="D7529" t="s">
        <v>16627</v>
      </c>
      <c r="E7529" t="s">
        <v>23300</v>
      </c>
      <c r="F7529" t="s">
        <v>28669</v>
      </c>
      <c r="G7529" t="s">
        <v>28675</v>
      </c>
      <c r="H7529" t="s">
        <v>9998</v>
      </c>
      <c r="I7529" t="s">
        <v>28690</v>
      </c>
      <c r="J7529" t="s">
        <v>33525</v>
      </c>
      <c r="K7529" t="s">
        <v>37227</v>
      </c>
      <c r="M7529" t="s">
        <v>40048</v>
      </c>
      <c r="N7529" t="s">
        <v>41249</v>
      </c>
      <c r="O7529" t="s">
        <v>41250</v>
      </c>
      <c r="P7529">
        <v>0</v>
      </c>
      <c r="Q7529">
        <v>6</v>
      </c>
      <c r="R7529" t="s">
        <v>41257</v>
      </c>
      <c r="S7529" t="s">
        <v>41461</v>
      </c>
      <c r="T7529" t="s">
        <v>42658</v>
      </c>
      <c r="U7529" t="s">
        <v>49398</v>
      </c>
      <c r="W7529" t="s">
        <v>40048</v>
      </c>
      <c r="X7529" t="s">
        <v>41258</v>
      </c>
    </row>
    <row r="7530" spans="1:24">
      <c r="A7530">
        <f>HYPERLINK("https://www.philgeps.gov.ph/GEPSNONPILOT/Tender/SplashBidNoticeAbstractUI.aspx?menuIndex=3&amp;refID=7070142&amp;Result=3","7070142")</f>
        <v>0</v>
      </c>
      <c r="B7530" t="s">
        <v>2375</v>
      </c>
      <c r="C7530" t="s">
        <v>10564</v>
      </c>
      <c r="D7530" t="s">
        <v>16680</v>
      </c>
      <c r="E7530" t="s">
        <v>23301</v>
      </c>
      <c r="F7530" t="s">
        <v>28669</v>
      </c>
      <c r="G7530" t="s">
        <v>28675</v>
      </c>
      <c r="H7530" t="s">
        <v>9998</v>
      </c>
      <c r="I7530" t="s">
        <v>28688</v>
      </c>
      <c r="J7530" t="s">
        <v>33526</v>
      </c>
      <c r="K7530" t="s">
        <v>37205</v>
      </c>
      <c r="M7530" t="s">
        <v>40045</v>
      </c>
      <c r="N7530" t="s">
        <v>41249</v>
      </c>
      <c r="O7530" t="s">
        <v>41250</v>
      </c>
      <c r="P7530">
        <v>0</v>
      </c>
      <c r="Q7530">
        <v>2</v>
      </c>
      <c r="R7530" t="s">
        <v>41257</v>
      </c>
      <c r="S7530" t="s">
        <v>41461</v>
      </c>
      <c r="T7530" t="s">
        <v>42911</v>
      </c>
      <c r="U7530" t="s">
        <v>49399</v>
      </c>
      <c r="W7530" t="s">
        <v>40045</v>
      </c>
      <c r="X7530" t="s">
        <v>41258</v>
      </c>
    </row>
    <row r="7531" spans="1:24">
      <c r="A7531">
        <f>HYPERLINK("https://www.philgeps.gov.ph/GEPSNONPILOT/Tender/SplashBidNoticeAbstractUI.aspx?menuIndex=3&amp;refID=7070188&amp;Result=3","7070188")</f>
        <v>0</v>
      </c>
      <c r="B7531" t="s">
        <v>1666</v>
      </c>
      <c r="C7531" t="s">
        <v>10565</v>
      </c>
      <c r="D7531" t="s">
        <v>16666</v>
      </c>
      <c r="E7531" t="s">
        <v>23302</v>
      </c>
      <c r="F7531" t="s">
        <v>28669</v>
      </c>
      <c r="G7531" t="s">
        <v>28675</v>
      </c>
      <c r="H7531" t="s">
        <v>28686</v>
      </c>
      <c r="I7531" t="s">
        <v>28689</v>
      </c>
      <c r="J7531" t="s">
        <v>33527</v>
      </c>
      <c r="K7531" t="s">
        <v>37209</v>
      </c>
      <c r="M7531" t="s">
        <v>39257</v>
      </c>
      <c r="N7531" t="s">
        <v>41249</v>
      </c>
      <c r="O7531" t="s">
        <v>41250</v>
      </c>
      <c r="P7531">
        <v>0</v>
      </c>
      <c r="Q7531">
        <v>0</v>
      </c>
      <c r="R7531" t="s">
        <v>41257</v>
      </c>
      <c r="S7531" t="s">
        <v>41461</v>
      </c>
      <c r="T7531" t="s">
        <v>42884</v>
      </c>
      <c r="U7531" t="s">
        <v>49400</v>
      </c>
      <c r="W7531" t="s">
        <v>39257</v>
      </c>
      <c r="X7531" t="s">
        <v>41258</v>
      </c>
    </row>
    <row r="7532" spans="1:24">
      <c r="A7532">
        <f>HYPERLINK("https://www.philgeps.gov.ph/GEPSNONPILOT/Tender/SplashBidNoticeAbstractUI.aspx?menuIndex=3&amp;refID=7069988&amp;Result=3","7069988")</f>
        <v>0</v>
      </c>
      <c r="B7532" t="s">
        <v>2379</v>
      </c>
      <c r="C7532" t="s">
        <v>10566</v>
      </c>
      <c r="D7532" t="s">
        <v>16612</v>
      </c>
      <c r="E7532" t="s">
        <v>23303</v>
      </c>
      <c r="F7532" t="s">
        <v>28669</v>
      </c>
      <c r="G7532" t="s">
        <v>28675</v>
      </c>
      <c r="H7532" t="s">
        <v>9998</v>
      </c>
      <c r="I7532" t="s">
        <v>7352</v>
      </c>
      <c r="J7532" t="s">
        <v>29317</v>
      </c>
      <c r="K7532" t="s">
        <v>37210</v>
      </c>
      <c r="M7532" t="s">
        <v>40049</v>
      </c>
      <c r="N7532" t="s">
        <v>41249</v>
      </c>
      <c r="O7532" t="s">
        <v>41250</v>
      </c>
      <c r="P7532">
        <v>0</v>
      </c>
      <c r="Q7532">
        <v>0</v>
      </c>
      <c r="R7532" t="s">
        <v>41257</v>
      </c>
      <c r="S7532" t="s">
        <v>41461</v>
      </c>
      <c r="T7532" t="s">
        <v>42673</v>
      </c>
      <c r="U7532" t="s">
        <v>49401</v>
      </c>
      <c r="W7532" t="s">
        <v>40049</v>
      </c>
      <c r="X7532" t="s">
        <v>41258</v>
      </c>
    </row>
    <row r="7533" spans="1:24">
      <c r="A7533">
        <f>HYPERLINK("https://www.philgeps.gov.ph/GEPSNONPILOT/Tender/SplashBidNoticeAbstractUI.aspx?menuIndex=3&amp;refID=7070187&amp;Result=3","7070187")</f>
        <v>0</v>
      </c>
      <c r="B7533" t="s">
        <v>1666</v>
      </c>
      <c r="C7533" t="s">
        <v>10567</v>
      </c>
      <c r="D7533" t="s">
        <v>16666</v>
      </c>
      <c r="E7533" t="s">
        <v>23304</v>
      </c>
      <c r="F7533" t="s">
        <v>28669</v>
      </c>
      <c r="G7533" t="s">
        <v>28675</v>
      </c>
      <c r="H7533" t="s">
        <v>28686</v>
      </c>
      <c r="I7533" t="s">
        <v>28689</v>
      </c>
      <c r="J7533" t="s">
        <v>33528</v>
      </c>
      <c r="K7533" t="s">
        <v>37209</v>
      </c>
      <c r="M7533" t="s">
        <v>39257</v>
      </c>
      <c r="N7533" t="s">
        <v>41249</v>
      </c>
      <c r="O7533" t="s">
        <v>41250</v>
      </c>
      <c r="P7533">
        <v>0</v>
      </c>
      <c r="Q7533">
        <v>0</v>
      </c>
      <c r="R7533" t="s">
        <v>41257</v>
      </c>
      <c r="S7533" t="s">
        <v>41461</v>
      </c>
      <c r="T7533" t="s">
        <v>42884</v>
      </c>
      <c r="U7533" t="s">
        <v>49402</v>
      </c>
      <c r="W7533" t="s">
        <v>39257</v>
      </c>
      <c r="X7533" t="s">
        <v>41258</v>
      </c>
    </row>
    <row r="7534" spans="1:24">
      <c r="A7534">
        <f>HYPERLINK("https://www.philgeps.gov.ph/GEPSNONPILOT/Tender/SplashBidNoticeAbstractUI.aspx?menuIndex=3&amp;refID=7070183&amp;Result=3","7070183")</f>
        <v>0</v>
      </c>
      <c r="B7534" t="s">
        <v>2380</v>
      </c>
      <c r="C7534" t="s">
        <v>10568</v>
      </c>
      <c r="D7534" t="s">
        <v>16658</v>
      </c>
      <c r="E7534" t="s">
        <v>23305</v>
      </c>
      <c r="F7534" t="s">
        <v>28669</v>
      </c>
      <c r="G7534" t="s">
        <v>28675</v>
      </c>
      <c r="H7534" t="s">
        <v>28686</v>
      </c>
      <c r="I7534" t="s">
        <v>28689</v>
      </c>
      <c r="J7534" t="s">
        <v>33529</v>
      </c>
      <c r="K7534" t="s">
        <v>37231</v>
      </c>
      <c r="M7534" t="s">
        <v>40050</v>
      </c>
      <c r="N7534" t="s">
        <v>41249</v>
      </c>
      <c r="O7534" t="s">
        <v>41250</v>
      </c>
      <c r="P7534">
        <v>0</v>
      </c>
      <c r="Q7534">
        <v>0</v>
      </c>
      <c r="R7534" t="s">
        <v>41257</v>
      </c>
      <c r="S7534" t="s">
        <v>41461</v>
      </c>
      <c r="T7534" t="s">
        <v>42736</v>
      </c>
      <c r="U7534" t="s">
        <v>49403</v>
      </c>
      <c r="W7534" t="s">
        <v>40050</v>
      </c>
      <c r="X7534" t="s">
        <v>41258</v>
      </c>
    </row>
    <row r="7535" spans="1:24">
      <c r="A7535">
        <f>HYPERLINK("https://www.philgeps.gov.ph/GEPSNONPILOT/Tender/SplashBidNoticeAbstractUI.aspx?menuIndex=3&amp;refID=7070174&amp;Result=3","7070174")</f>
        <v>0</v>
      </c>
      <c r="B7535" t="s">
        <v>2357</v>
      </c>
      <c r="C7535" t="s">
        <v>10569</v>
      </c>
      <c r="D7535" t="s">
        <v>16666</v>
      </c>
      <c r="E7535" t="s">
        <v>23306</v>
      </c>
      <c r="F7535" t="s">
        <v>28669</v>
      </c>
      <c r="G7535" t="s">
        <v>28675</v>
      </c>
      <c r="H7535" t="s">
        <v>28686</v>
      </c>
      <c r="I7535" t="s">
        <v>28689</v>
      </c>
      <c r="J7535" t="s">
        <v>33524</v>
      </c>
      <c r="K7535" t="s">
        <v>37215</v>
      </c>
      <c r="M7535" t="s">
        <v>40025</v>
      </c>
      <c r="N7535" t="s">
        <v>41249</v>
      </c>
      <c r="O7535" t="s">
        <v>41250</v>
      </c>
      <c r="P7535">
        <v>0</v>
      </c>
      <c r="Q7535">
        <v>0</v>
      </c>
      <c r="R7535" t="s">
        <v>41257</v>
      </c>
      <c r="S7535" t="s">
        <v>41461</v>
      </c>
      <c r="T7535" t="s">
        <v>42911</v>
      </c>
      <c r="U7535" t="s">
        <v>49315</v>
      </c>
      <c r="W7535" t="s">
        <v>40025</v>
      </c>
      <c r="X7535" t="s">
        <v>41258</v>
      </c>
    </row>
    <row r="7536" spans="1:24">
      <c r="A7536">
        <f>HYPERLINK("https://www.philgeps.gov.ph/GEPSNONPILOT/Tender/SplashBidNoticeAbstractUI.aspx?menuIndex=3&amp;refID=7070135&amp;Result=3","7070135")</f>
        <v>0</v>
      </c>
      <c r="B7536" t="s">
        <v>2376</v>
      </c>
      <c r="C7536" t="s">
        <v>10570</v>
      </c>
      <c r="D7536" t="s">
        <v>16684</v>
      </c>
      <c r="E7536" t="s">
        <v>23307</v>
      </c>
      <c r="F7536" t="s">
        <v>28669</v>
      </c>
      <c r="G7536" t="s">
        <v>28676</v>
      </c>
      <c r="H7536" t="s">
        <v>9998</v>
      </c>
      <c r="I7536" t="s">
        <v>3718</v>
      </c>
      <c r="J7536" t="s">
        <v>29114</v>
      </c>
      <c r="K7536" t="s">
        <v>37227</v>
      </c>
      <c r="M7536" t="s">
        <v>40046</v>
      </c>
      <c r="N7536" t="s">
        <v>41249</v>
      </c>
      <c r="O7536" t="s">
        <v>41250</v>
      </c>
      <c r="P7536">
        <v>0</v>
      </c>
      <c r="Q7536">
        <v>2</v>
      </c>
      <c r="R7536" t="s">
        <v>41257</v>
      </c>
      <c r="S7536" t="s">
        <v>41461</v>
      </c>
      <c r="T7536" t="s">
        <v>42729</v>
      </c>
      <c r="U7536" t="s">
        <v>49404</v>
      </c>
      <c r="W7536" t="s">
        <v>40046</v>
      </c>
      <c r="X7536" t="s">
        <v>41258</v>
      </c>
    </row>
    <row r="7537" spans="1:24">
      <c r="A7537">
        <f>HYPERLINK("https://www.philgeps.gov.ph/GEPSNONPILOT/Tender/SplashBidNoticeAbstractUI.aspx?menuIndex=3&amp;refID=7070171&amp;Result=3","7070171")</f>
        <v>0</v>
      </c>
      <c r="B7537" t="s">
        <v>2378</v>
      </c>
      <c r="C7537" t="s">
        <v>10571</v>
      </c>
      <c r="D7537" t="s">
        <v>16627</v>
      </c>
      <c r="E7537" t="s">
        <v>23308</v>
      </c>
      <c r="F7537" t="s">
        <v>28669</v>
      </c>
      <c r="G7537" t="s">
        <v>28675</v>
      </c>
      <c r="H7537" t="s">
        <v>9998</v>
      </c>
      <c r="I7537" t="s">
        <v>28690</v>
      </c>
      <c r="J7537" t="s">
        <v>29724</v>
      </c>
      <c r="K7537" t="s">
        <v>37227</v>
      </c>
      <c r="M7537" t="s">
        <v>40048</v>
      </c>
      <c r="N7537" t="s">
        <v>41249</v>
      </c>
      <c r="O7537" t="s">
        <v>41250</v>
      </c>
      <c r="P7537">
        <v>0</v>
      </c>
      <c r="Q7537">
        <v>3</v>
      </c>
      <c r="R7537" t="s">
        <v>41257</v>
      </c>
      <c r="S7537" t="s">
        <v>41461</v>
      </c>
      <c r="T7537" t="s">
        <v>42658</v>
      </c>
      <c r="U7537" t="s">
        <v>49405</v>
      </c>
      <c r="W7537" t="s">
        <v>40048</v>
      </c>
      <c r="X7537" t="s">
        <v>41258</v>
      </c>
    </row>
    <row r="7538" spans="1:24">
      <c r="A7538">
        <f>HYPERLINK("https://www.philgeps.gov.ph/GEPSNONPILOT/Tender/SplashBidNoticeAbstractUI.aspx?menuIndex=3&amp;refID=7070166&amp;Result=3","7070166")</f>
        <v>0</v>
      </c>
      <c r="B7538" t="s">
        <v>2375</v>
      </c>
      <c r="C7538" t="s">
        <v>10572</v>
      </c>
      <c r="D7538" t="s">
        <v>16680</v>
      </c>
      <c r="E7538" t="s">
        <v>23309</v>
      </c>
      <c r="F7538" t="s">
        <v>28669</v>
      </c>
      <c r="G7538" t="s">
        <v>28675</v>
      </c>
      <c r="H7538" t="s">
        <v>9998</v>
      </c>
      <c r="I7538" t="s">
        <v>28695</v>
      </c>
      <c r="J7538" t="s">
        <v>33530</v>
      </c>
      <c r="K7538" t="s">
        <v>37205</v>
      </c>
      <c r="M7538" t="s">
        <v>40045</v>
      </c>
      <c r="N7538" t="s">
        <v>41249</v>
      </c>
      <c r="O7538" t="s">
        <v>41250</v>
      </c>
      <c r="P7538">
        <v>0</v>
      </c>
      <c r="Q7538">
        <v>0</v>
      </c>
      <c r="R7538" t="s">
        <v>41257</v>
      </c>
      <c r="S7538" t="s">
        <v>41461</v>
      </c>
      <c r="T7538" t="s">
        <v>42911</v>
      </c>
      <c r="U7538" t="s">
        <v>49406</v>
      </c>
      <c r="W7538" t="s">
        <v>40045</v>
      </c>
      <c r="X7538" t="s">
        <v>41258</v>
      </c>
    </row>
    <row r="7539" spans="1:24">
      <c r="A7539">
        <f>HYPERLINK("https://www.philgeps.gov.ph/GEPSNONPILOT/Tender/SplashBidNoticeAbstractUI.aspx?menuIndex=3&amp;refID=7070189&amp;Result=3","7070189")</f>
        <v>0</v>
      </c>
      <c r="B7539" t="s">
        <v>2374</v>
      </c>
      <c r="C7539" t="s">
        <v>10573</v>
      </c>
      <c r="D7539" t="s">
        <v>16626</v>
      </c>
      <c r="E7539" t="s">
        <v>19428</v>
      </c>
      <c r="F7539" t="s">
        <v>28669</v>
      </c>
      <c r="G7539" t="s">
        <v>28675</v>
      </c>
      <c r="H7539" t="s">
        <v>9998</v>
      </c>
      <c r="I7539" t="s">
        <v>28775</v>
      </c>
      <c r="J7539" t="s">
        <v>31715</v>
      </c>
      <c r="K7539" t="s">
        <v>37234</v>
      </c>
      <c r="M7539" t="s">
        <v>40044</v>
      </c>
      <c r="N7539" t="s">
        <v>41249</v>
      </c>
      <c r="O7539" t="s">
        <v>41250</v>
      </c>
      <c r="P7539">
        <v>0</v>
      </c>
      <c r="Q7539">
        <v>0</v>
      </c>
      <c r="R7539" t="s">
        <v>41257</v>
      </c>
      <c r="S7539" t="s">
        <v>41461</v>
      </c>
      <c r="T7539" t="s">
        <v>42721</v>
      </c>
      <c r="U7539" t="s">
        <v>49407</v>
      </c>
      <c r="W7539" t="s">
        <v>40044</v>
      </c>
      <c r="X7539" t="s">
        <v>41258</v>
      </c>
    </row>
    <row r="7540" spans="1:24">
      <c r="A7540">
        <f>HYPERLINK("https://www.philgeps.gov.ph/GEPSNONPILOT/Tender/SplashBidNoticeAbstractUI.aspx?menuIndex=3&amp;refID=7070164&amp;Result=3","7070164")</f>
        <v>0</v>
      </c>
      <c r="B7540" t="s">
        <v>844</v>
      </c>
      <c r="C7540" t="s">
        <v>10574</v>
      </c>
      <c r="D7540" t="s">
        <v>16650</v>
      </c>
      <c r="E7540" t="s">
        <v>23310</v>
      </c>
      <c r="F7540" t="s">
        <v>28669</v>
      </c>
      <c r="G7540" t="s">
        <v>28675</v>
      </c>
      <c r="H7540" t="s">
        <v>28686</v>
      </c>
      <c r="I7540" t="s">
        <v>28689</v>
      </c>
      <c r="J7540" t="s">
        <v>33342</v>
      </c>
      <c r="K7540" t="s">
        <v>37205</v>
      </c>
      <c r="M7540" t="s">
        <v>38360</v>
      </c>
      <c r="N7540" t="s">
        <v>41249</v>
      </c>
      <c r="O7540" t="s">
        <v>41250</v>
      </c>
      <c r="P7540">
        <v>0</v>
      </c>
      <c r="Q7540">
        <v>0</v>
      </c>
      <c r="R7540" t="s">
        <v>41257</v>
      </c>
      <c r="S7540" t="s">
        <v>41461</v>
      </c>
      <c r="T7540" t="s">
        <v>42911</v>
      </c>
      <c r="U7540" t="s">
        <v>44857</v>
      </c>
      <c r="W7540" t="s">
        <v>38360</v>
      </c>
      <c r="X7540" t="s">
        <v>41258</v>
      </c>
    </row>
    <row r="7541" spans="1:24">
      <c r="A7541">
        <f>HYPERLINK("https://www.philgeps.gov.ph/GEPSNONPILOT/Tender/SplashBidNoticeAbstractUI.aspx?menuIndex=3&amp;refID=7070162&amp;Result=3","7070162")</f>
        <v>0</v>
      </c>
      <c r="B7541" t="s">
        <v>2375</v>
      </c>
      <c r="C7541" t="s">
        <v>10575</v>
      </c>
      <c r="D7541" t="s">
        <v>16680</v>
      </c>
      <c r="E7541" t="s">
        <v>23311</v>
      </c>
      <c r="F7541" t="s">
        <v>28669</v>
      </c>
      <c r="G7541" t="s">
        <v>28675</v>
      </c>
      <c r="H7541" t="s">
        <v>9998</v>
      </c>
      <c r="I7541" t="s">
        <v>28688</v>
      </c>
      <c r="J7541" t="s">
        <v>33531</v>
      </c>
      <c r="K7541" t="s">
        <v>37205</v>
      </c>
      <c r="M7541" t="s">
        <v>40045</v>
      </c>
      <c r="N7541" t="s">
        <v>41249</v>
      </c>
      <c r="O7541" t="s">
        <v>41250</v>
      </c>
      <c r="P7541">
        <v>0</v>
      </c>
      <c r="Q7541">
        <v>0</v>
      </c>
      <c r="R7541" t="s">
        <v>41257</v>
      </c>
      <c r="S7541" t="s">
        <v>41461</v>
      </c>
      <c r="T7541" t="s">
        <v>42911</v>
      </c>
      <c r="U7541" t="s">
        <v>49408</v>
      </c>
      <c r="W7541" t="s">
        <v>40045</v>
      </c>
      <c r="X7541" t="s">
        <v>41258</v>
      </c>
    </row>
    <row r="7542" spans="1:24">
      <c r="A7542">
        <f>HYPERLINK("https://www.philgeps.gov.ph/GEPSNONPILOT/Tender/SplashBidNoticeAbstractUI.aspx?menuIndex=3&amp;refID=7070185&amp;Result=3","7070185")</f>
        <v>0</v>
      </c>
      <c r="B7542" t="s">
        <v>1666</v>
      </c>
      <c r="C7542" t="s">
        <v>10576</v>
      </c>
      <c r="D7542" t="s">
        <v>16666</v>
      </c>
      <c r="E7542" t="s">
        <v>23312</v>
      </c>
      <c r="F7542" t="s">
        <v>28669</v>
      </c>
      <c r="G7542" t="s">
        <v>28675</v>
      </c>
      <c r="H7542" t="s">
        <v>28686</v>
      </c>
      <c r="I7542" t="s">
        <v>28689</v>
      </c>
      <c r="J7542" t="s">
        <v>33532</v>
      </c>
      <c r="K7542" t="s">
        <v>37209</v>
      </c>
      <c r="M7542" t="s">
        <v>39257</v>
      </c>
      <c r="N7542" t="s">
        <v>41249</v>
      </c>
      <c r="O7542" t="s">
        <v>41250</v>
      </c>
      <c r="P7542">
        <v>0</v>
      </c>
      <c r="Q7542">
        <v>0</v>
      </c>
      <c r="R7542" t="s">
        <v>41257</v>
      </c>
      <c r="S7542" t="s">
        <v>41461</v>
      </c>
      <c r="T7542" t="s">
        <v>42884</v>
      </c>
      <c r="U7542" t="s">
        <v>49409</v>
      </c>
      <c r="W7542" t="s">
        <v>39257</v>
      </c>
      <c r="X7542" t="s">
        <v>41258</v>
      </c>
    </row>
    <row r="7543" spans="1:24">
      <c r="A7543">
        <f>HYPERLINK("https://www.philgeps.gov.ph/GEPSNONPILOT/Tender/SplashBidNoticeAbstractUI.aspx?menuIndex=3&amp;refID=7070159&amp;Result=3","7070159")</f>
        <v>0</v>
      </c>
      <c r="B7543" t="s">
        <v>2378</v>
      </c>
      <c r="C7543" t="s">
        <v>10577</v>
      </c>
      <c r="D7543" t="s">
        <v>16627</v>
      </c>
      <c r="E7543" t="s">
        <v>23313</v>
      </c>
      <c r="F7543" t="s">
        <v>28669</v>
      </c>
      <c r="G7543" t="s">
        <v>28675</v>
      </c>
      <c r="H7543" t="s">
        <v>9998</v>
      </c>
      <c r="I7543" t="s">
        <v>6128</v>
      </c>
      <c r="J7543" t="s">
        <v>33533</v>
      </c>
      <c r="K7543" t="s">
        <v>37205</v>
      </c>
      <c r="M7543" t="s">
        <v>40048</v>
      </c>
      <c r="N7543" t="s">
        <v>41249</v>
      </c>
      <c r="O7543" t="s">
        <v>41250</v>
      </c>
      <c r="P7543">
        <v>0</v>
      </c>
      <c r="Q7543">
        <v>3</v>
      </c>
      <c r="R7543" t="s">
        <v>41257</v>
      </c>
      <c r="S7543" t="s">
        <v>41461</v>
      </c>
      <c r="T7543" t="s">
        <v>42658</v>
      </c>
      <c r="U7543" t="s">
        <v>49410</v>
      </c>
      <c r="W7543" t="s">
        <v>40048</v>
      </c>
      <c r="X7543" t="s">
        <v>41258</v>
      </c>
    </row>
    <row r="7544" spans="1:24">
      <c r="A7544">
        <f>HYPERLINK("https://www.philgeps.gov.ph/GEPSNONPILOT/Tender/SplashBidNoticeAbstractUI.aspx?menuIndex=3&amp;refID=7070165&amp;Result=3","7070165")</f>
        <v>0</v>
      </c>
      <c r="B7544" t="s">
        <v>2198</v>
      </c>
      <c r="C7544" t="s">
        <v>10578</v>
      </c>
      <c r="D7544" t="s">
        <v>16619</v>
      </c>
      <c r="E7544" t="s">
        <v>23314</v>
      </c>
      <c r="F7544" t="s">
        <v>28669</v>
      </c>
      <c r="G7544" t="s">
        <v>28676</v>
      </c>
      <c r="H7544" t="s">
        <v>9998</v>
      </c>
      <c r="I7544" t="s">
        <v>28695</v>
      </c>
      <c r="J7544" t="s">
        <v>29003</v>
      </c>
      <c r="K7544" t="s">
        <v>37205</v>
      </c>
      <c r="M7544" t="s">
        <v>39848</v>
      </c>
      <c r="N7544" t="s">
        <v>41249</v>
      </c>
      <c r="O7544" t="s">
        <v>41250</v>
      </c>
      <c r="P7544">
        <v>0</v>
      </c>
      <c r="Q7544">
        <v>0</v>
      </c>
      <c r="R7544" t="s">
        <v>41257</v>
      </c>
      <c r="S7544" t="s">
        <v>41461</v>
      </c>
      <c r="T7544" t="s">
        <v>42665</v>
      </c>
      <c r="U7544" t="s">
        <v>49346</v>
      </c>
      <c r="V7544" t="s">
        <v>55111</v>
      </c>
      <c r="W7544" t="s">
        <v>39848</v>
      </c>
      <c r="X7544" t="s">
        <v>41258</v>
      </c>
    </row>
    <row r="7545" spans="1:24">
      <c r="A7545">
        <f>HYPERLINK("https://www.philgeps.gov.ph/GEPSNONPILOT/Tender/SplashBidNoticeAbstractUI.aspx?menuIndex=3&amp;refID=7070163&amp;Result=3","7070163")</f>
        <v>0</v>
      </c>
      <c r="B7545" t="s">
        <v>2381</v>
      </c>
      <c r="C7545" t="s">
        <v>10579</v>
      </c>
      <c r="E7545" t="s">
        <v>17955</v>
      </c>
      <c r="F7545" t="s">
        <v>28669</v>
      </c>
      <c r="G7545" t="s">
        <v>28675</v>
      </c>
      <c r="H7545" t="s">
        <v>28686</v>
      </c>
      <c r="I7545" t="s">
        <v>28689</v>
      </c>
      <c r="J7545" t="s">
        <v>33534</v>
      </c>
      <c r="K7545" t="s">
        <v>37209</v>
      </c>
      <c r="M7545" t="s">
        <v>40051</v>
      </c>
      <c r="N7545" t="s">
        <v>41249</v>
      </c>
      <c r="O7545" t="s">
        <v>41250</v>
      </c>
      <c r="P7545">
        <v>0</v>
      </c>
      <c r="Q7545">
        <v>0</v>
      </c>
      <c r="R7545" t="s">
        <v>41257</v>
      </c>
      <c r="S7545" t="s">
        <v>41461</v>
      </c>
      <c r="T7545" t="s">
        <v>42665</v>
      </c>
      <c r="U7545" t="s">
        <v>49411</v>
      </c>
      <c r="W7545" t="s">
        <v>40051</v>
      </c>
      <c r="X7545" t="s">
        <v>41258</v>
      </c>
    </row>
    <row r="7546" spans="1:24">
      <c r="A7546">
        <f>HYPERLINK("https://www.philgeps.gov.ph/GEPSNONPILOT/Tender/SplashBidNoticeAbstractUI.aspx?menuIndex=3&amp;refID=7070213&amp;Result=3","7070213")</f>
        <v>0</v>
      </c>
      <c r="B7546" t="s">
        <v>2046</v>
      </c>
      <c r="C7546" t="s">
        <v>10580</v>
      </c>
      <c r="D7546" t="s">
        <v>16643</v>
      </c>
      <c r="E7546" t="s">
        <v>23315</v>
      </c>
      <c r="F7546" t="s">
        <v>28669</v>
      </c>
      <c r="G7546" t="s">
        <v>28675</v>
      </c>
      <c r="H7546" t="s">
        <v>9998</v>
      </c>
      <c r="I7546" t="s">
        <v>28751</v>
      </c>
      <c r="J7546" t="s">
        <v>33535</v>
      </c>
      <c r="K7546" t="s">
        <v>37220</v>
      </c>
      <c r="M7546" t="s">
        <v>40052</v>
      </c>
      <c r="N7546" t="s">
        <v>41249</v>
      </c>
      <c r="O7546" t="s">
        <v>41250</v>
      </c>
      <c r="P7546">
        <v>0</v>
      </c>
      <c r="Q7546">
        <v>0</v>
      </c>
      <c r="R7546" t="s">
        <v>41257</v>
      </c>
      <c r="S7546" t="s">
        <v>41461</v>
      </c>
      <c r="T7546" t="s">
        <v>42692</v>
      </c>
      <c r="U7546" t="s">
        <v>49412</v>
      </c>
      <c r="W7546" t="s">
        <v>40052</v>
      </c>
      <c r="X7546" t="s">
        <v>41258</v>
      </c>
    </row>
    <row r="7547" spans="1:24">
      <c r="A7547">
        <f>HYPERLINK("https://www.philgeps.gov.ph/GEPSNONPILOT/Tender/SplashBidNoticeAbstractUI.aspx?menuIndex=3&amp;refID=7070161&amp;Result=3","7070161")</f>
        <v>0</v>
      </c>
      <c r="B7547" t="s">
        <v>2198</v>
      </c>
      <c r="C7547" t="s">
        <v>10581</v>
      </c>
      <c r="D7547" t="s">
        <v>16619</v>
      </c>
      <c r="E7547" t="s">
        <v>20150</v>
      </c>
      <c r="F7547" t="s">
        <v>28669</v>
      </c>
      <c r="G7547" t="s">
        <v>28676</v>
      </c>
      <c r="H7547" t="s">
        <v>9998</v>
      </c>
      <c r="I7547" t="s">
        <v>5286</v>
      </c>
      <c r="J7547" t="s">
        <v>33536</v>
      </c>
      <c r="K7547" t="s">
        <v>37205</v>
      </c>
      <c r="M7547" t="s">
        <v>39848</v>
      </c>
      <c r="N7547" t="s">
        <v>41249</v>
      </c>
      <c r="O7547" t="s">
        <v>41250</v>
      </c>
      <c r="P7547">
        <v>0</v>
      </c>
      <c r="Q7547">
        <v>1</v>
      </c>
      <c r="R7547" t="s">
        <v>41257</v>
      </c>
      <c r="S7547" t="s">
        <v>41461</v>
      </c>
      <c r="T7547" t="s">
        <v>42665</v>
      </c>
      <c r="U7547" t="s">
        <v>49341</v>
      </c>
      <c r="V7547" t="s">
        <v>55111</v>
      </c>
      <c r="W7547" t="s">
        <v>39848</v>
      </c>
      <c r="X7547" t="s">
        <v>41258</v>
      </c>
    </row>
    <row r="7548" spans="1:24">
      <c r="A7548">
        <f>HYPERLINK("https://www.philgeps.gov.ph/GEPSNONPILOT/Tender/SplashBidNoticeAbstractUI.aspx?menuIndex=3&amp;refID=7070212&amp;Result=3","7070212")</f>
        <v>0</v>
      </c>
      <c r="B7548" t="s">
        <v>2374</v>
      </c>
      <c r="C7548" t="s">
        <v>10582</v>
      </c>
      <c r="D7548" t="s">
        <v>16626</v>
      </c>
      <c r="E7548" t="s">
        <v>23316</v>
      </c>
      <c r="F7548" t="s">
        <v>28669</v>
      </c>
      <c r="G7548" t="s">
        <v>28675</v>
      </c>
      <c r="H7548" t="s">
        <v>9998</v>
      </c>
      <c r="I7548" t="s">
        <v>3718</v>
      </c>
      <c r="J7548" t="s">
        <v>33537</v>
      </c>
      <c r="K7548" t="s">
        <v>37234</v>
      </c>
      <c r="M7548" t="s">
        <v>40044</v>
      </c>
      <c r="N7548" t="s">
        <v>41249</v>
      </c>
      <c r="O7548" t="s">
        <v>41250</v>
      </c>
      <c r="P7548">
        <v>0</v>
      </c>
      <c r="Q7548">
        <v>0</v>
      </c>
      <c r="R7548" t="s">
        <v>41257</v>
      </c>
      <c r="S7548" t="s">
        <v>41461</v>
      </c>
      <c r="T7548" t="s">
        <v>42721</v>
      </c>
      <c r="U7548" t="s">
        <v>49413</v>
      </c>
      <c r="W7548" t="s">
        <v>40044</v>
      </c>
      <c r="X7548" t="s">
        <v>41258</v>
      </c>
    </row>
    <row r="7549" spans="1:24">
      <c r="A7549">
        <f>HYPERLINK("https://www.philgeps.gov.ph/GEPSNONPILOT/Tender/SplashBidNoticeAbstractUI.aspx?menuIndex=3&amp;refID=7070211&amp;Result=3","7070211")</f>
        <v>0</v>
      </c>
      <c r="B7549" t="s">
        <v>881</v>
      </c>
      <c r="C7549" t="s">
        <v>10583</v>
      </c>
      <c r="D7549" t="s">
        <v>16652</v>
      </c>
      <c r="E7549" t="s">
        <v>23317</v>
      </c>
      <c r="F7549" t="s">
        <v>28669</v>
      </c>
      <c r="G7549" t="s">
        <v>28676</v>
      </c>
      <c r="H7549" t="s">
        <v>9998</v>
      </c>
      <c r="I7549" t="s">
        <v>8667</v>
      </c>
      <c r="J7549" t="s">
        <v>33538</v>
      </c>
      <c r="K7549" t="s">
        <v>37204</v>
      </c>
      <c r="M7549" t="s">
        <v>38401</v>
      </c>
      <c r="N7549" t="s">
        <v>41249</v>
      </c>
      <c r="O7549" t="s">
        <v>41250</v>
      </c>
      <c r="P7549">
        <v>0</v>
      </c>
      <c r="Q7549">
        <v>1</v>
      </c>
      <c r="R7549" t="s">
        <v>41257</v>
      </c>
      <c r="S7549" t="s">
        <v>41461</v>
      </c>
      <c r="T7549" t="s">
        <v>42675</v>
      </c>
      <c r="U7549" t="s">
        <v>49414</v>
      </c>
      <c r="V7549" t="s">
        <v>54422</v>
      </c>
      <c r="W7549" t="s">
        <v>55935</v>
      </c>
      <c r="X7549" t="s">
        <v>41258</v>
      </c>
    </row>
    <row r="7550" spans="1:24">
      <c r="A7550">
        <f>HYPERLINK("https://www.philgeps.gov.ph/GEPSNONPILOT/Tender/SplashBidNoticeAbstractUI.aspx?menuIndex=3&amp;refID=7070169&amp;Result=3","7070169")</f>
        <v>0</v>
      </c>
      <c r="B7550" t="s">
        <v>844</v>
      </c>
      <c r="C7550" t="s">
        <v>10584</v>
      </c>
      <c r="D7550" t="s">
        <v>16650</v>
      </c>
      <c r="E7550" t="s">
        <v>23318</v>
      </c>
      <c r="F7550" t="s">
        <v>28669</v>
      </c>
      <c r="G7550" t="s">
        <v>28675</v>
      </c>
      <c r="H7550" t="s">
        <v>28686</v>
      </c>
      <c r="I7550" t="s">
        <v>28689</v>
      </c>
      <c r="J7550" t="s">
        <v>33342</v>
      </c>
      <c r="K7550" t="s">
        <v>37205</v>
      </c>
      <c r="M7550" t="s">
        <v>38360</v>
      </c>
      <c r="N7550" t="s">
        <v>41249</v>
      </c>
      <c r="O7550" t="s">
        <v>41250</v>
      </c>
      <c r="P7550">
        <v>0</v>
      </c>
      <c r="Q7550">
        <v>0</v>
      </c>
      <c r="R7550" t="s">
        <v>41257</v>
      </c>
      <c r="S7550" t="s">
        <v>41461</v>
      </c>
      <c r="T7550" t="s">
        <v>42911</v>
      </c>
      <c r="U7550" t="s">
        <v>44857</v>
      </c>
      <c r="W7550" t="s">
        <v>38360</v>
      </c>
      <c r="X7550" t="s">
        <v>41258</v>
      </c>
    </row>
    <row r="7551" spans="1:24">
      <c r="A7551">
        <f>HYPERLINK("https://www.philgeps.gov.ph/GEPSNONPILOT/Tender/SplashBidNoticeAbstractUI.aspx?menuIndex=3&amp;refID=7070210&amp;Result=3","7070210")</f>
        <v>0</v>
      </c>
      <c r="B7551" t="s">
        <v>2362</v>
      </c>
      <c r="C7551" t="s">
        <v>10585</v>
      </c>
      <c r="D7551" t="s">
        <v>16608</v>
      </c>
      <c r="E7551" t="s">
        <v>23319</v>
      </c>
      <c r="F7551" t="s">
        <v>28669</v>
      </c>
      <c r="G7551" t="s">
        <v>28675</v>
      </c>
      <c r="H7551" t="s">
        <v>28684</v>
      </c>
      <c r="I7551" t="s">
        <v>11593</v>
      </c>
      <c r="J7551" t="s">
        <v>29112</v>
      </c>
      <c r="K7551" t="s">
        <v>37272</v>
      </c>
      <c r="M7551" t="s">
        <v>40053</v>
      </c>
      <c r="N7551" t="s">
        <v>41249</v>
      </c>
      <c r="O7551" t="s">
        <v>41250</v>
      </c>
      <c r="P7551">
        <v>0</v>
      </c>
      <c r="Q7551">
        <v>12</v>
      </c>
      <c r="R7551" t="s">
        <v>41257</v>
      </c>
      <c r="S7551" t="s">
        <v>41461</v>
      </c>
      <c r="T7551" t="s">
        <v>42805</v>
      </c>
      <c r="U7551" t="s">
        <v>49415</v>
      </c>
      <c r="W7551" t="s">
        <v>40053</v>
      </c>
      <c r="X7551" t="s">
        <v>41258</v>
      </c>
    </row>
    <row r="7552" spans="1:24">
      <c r="A7552">
        <f>HYPERLINK("https://www.philgeps.gov.ph/GEPSNONPILOT/Tender/SplashBidNoticeAbstractUI.aspx?menuIndex=3&amp;refID=7070206&amp;Result=3","7070206")</f>
        <v>0</v>
      </c>
      <c r="B7552" t="s">
        <v>844</v>
      </c>
      <c r="C7552" t="s">
        <v>10586</v>
      </c>
      <c r="D7552" t="s">
        <v>16650</v>
      </c>
      <c r="E7552" t="s">
        <v>23320</v>
      </c>
      <c r="F7552" t="s">
        <v>28669</v>
      </c>
      <c r="G7552" t="s">
        <v>28675</v>
      </c>
      <c r="H7552" t="s">
        <v>28686</v>
      </c>
      <c r="I7552" t="s">
        <v>28689</v>
      </c>
      <c r="J7552" t="s">
        <v>33342</v>
      </c>
      <c r="K7552" t="s">
        <v>37205</v>
      </c>
      <c r="M7552" t="s">
        <v>38360</v>
      </c>
      <c r="N7552" t="s">
        <v>41249</v>
      </c>
      <c r="O7552" t="s">
        <v>41250</v>
      </c>
      <c r="P7552">
        <v>0</v>
      </c>
      <c r="Q7552">
        <v>0</v>
      </c>
      <c r="R7552" t="s">
        <v>41257</v>
      </c>
      <c r="S7552" t="s">
        <v>41461</v>
      </c>
      <c r="T7552" t="s">
        <v>42911</v>
      </c>
      <c r="U7552" t="s">
        <v>44857</v>
      </c>
      <c r="W7552" t="s">
        <v>38360</v>
      </c>
      <c r="X7552" t="s">
        <v>41258</v>
      </c>
    </row>
    <row r="7553" spans="1:24">
      <c r="A7553">
        <f>HYPERLINK("https://www.philgeps.gov.ph/GEPSNONPILOT/Tender/SplashBidNoticeAbstractUI.aspx?menuIndex=3&amp;refID=7070205&amp;Result=3","7070205")</f>
        <v>0</v>
      </c>
      <c r="B7553" t="s">
        <v>844</v>
      </c>
      <c r="C7553" t="s">
        <v>10587</v>
      </c>
      <c r="D7553" t="s">
        <v>16650</v>
      </c>
      <c r="E7553" t="s">
        <v>23321</v>
      </c>
      <c r="F7553" t="s">
        <v>28669</v>
      </c>
      <c r="G7553" t="s">
        <v>28675</v>
      </c>
      <c r="H7553" t="s">
        <v>28686</v>
      </c>
      <c r="I7553" t="s">
        <v>28689</v>
      </c>
      <c r="J7553" t="s">
        <v>33342</v>
      </c>
      <c r="K7553" t="s">
        <v>37205</v>
      </c>
      <c r="M7553" t="s">
        <v>38360</v>
      </c>
      <c r="N7553" t="s">
        <v>41249</v>
      </c>
      <c r="O7553" t="s">
        <v>41250</v>
      </c>
      <c r="P7553">
        <v>0</v>
      </c>
      <c r="Q7553">
        <v>0</v>
      </c>
      <c r="R7553" t="s">
        <v>41257</v>
      </c>
      <c r="S7553" t="s">
        <v>41461</v>
      </c>
      <c r="T7553" t="s">
        <v>42911</v>
      </c>
      <c r="U7553" t="s">
        <v>44857</v>
      </c>
      <c r="W7553" t="s">
        <v>38360</v>
      </c>
      <c r="X7553" t="s">
        <v>41258</v>
      </c>
    </row>
    <row r="7554" spans="1:24">
      <c r="A7554">
        <f>HYPERLINK("https://www.philgeps.gov.ph/GEPSNONPILOT/Tender/SplashBidNoticeAbstractUI.aspx?menuIndex=3&amp;refID=7070214&amp;Result=3","7070214")</f>
        <v>0</v>
      </c>
      <c r="B7554" t="s">
        <v>2358</v>
      </c>
      <c r="C7554" t="s">
        <v>10588</v>
      </c>
      <c r="D7554" t="s">
        <v>16624</v>
      </c>
      <c r="E7554" t="s">
        <v>23322</v>
      </c>
      <c r="F7554" t="s">
        <v>28669</v>
      </c>
      <c r="G7554" t="s">
        <v>28675</v>
      </c>
      <c r="H7554" t="s">
        <v>9998</v>
      </c>
      <c r="I7554" t="s">
        <v>28704</v>
      </c>
      <c r="J7554" t="s">
        <v>31413</v>
      </c>
      <c r="K7554" t="s">
        <v>37210</v>
      </c>
      <c r="M7554" t="s">
        <v>40026</v>
      </c>
      <c r="N7554" t="s">
        <v>41249</v>
      </c>
      <c r="O7554" t="s">
        <v>41250</v>
      </c>
      <c r="P7554">
        <v>0</v>
      </c>
      <c r="Q7554">
        <v>0</v>
      </c>
      <c r="R7554" t="s">
        <v>41257</v>
      </c>
      <c r="S7554" t="s">
        <v>41461</v>
      </c>
      <c r="T7554" t="s">
        <v>42761</v>
      </c>
      <c r="U7554" t="s">
        <v>49416</v>
      </c>
      <c r="W7554" t="s">
        <v>55988</v>
      </c>
      <c r="X7554" t="s">
        <v>41258</v>
      </c>
    </row>
    <row r="7555" spans="1:24">
      <c r="A7555">
        <f>HYPERLINK("https://www.philgeps.gov.ph/GEPSNONPILOT/Tender/SplashBidNoticeAbstractUI.aspx?menuIndex=3&amp;refID=7070204&amp;Result=3","7070204")</f>
        <v>0</v>
      </c>
      <c r="B7555" t="s">
        <v>2374</v>
      </c>
      <c r="C7555" t="s">
        <v>10589</v>
      </c>
      <c r="D7555" t="s">
        <v>16626</v>
      </c>
      <c r="E7555" t="s">
        <v>23323</v>
      </c>
      <c r="F7555" t="s">
        <v>28669</v>
      </c>
      <c r="G7555" t="s">
        <v>28675</v>
      </c>
      <c r="H7555" t="s">
        <v>9998</v>
      </c>
      <c r="I7555" t="s">
        <v>28697</v>
      </c>
      <c r="J7555" t="s">
        <v>29365</v>
      </c>
      <c r="K7555" t="s">
        <v>37234</v>
      </c>
      <c r="M7555" t="s">
        <v>40044</v>
      </c>
      <c r="N7555" t="s">
        <v>41249</v>
      </c>
      <c r="O7555" t="s">
        <v>41250</v>
      </c>
      <c r="P7555">
        <v>0</v>
      </c>
      <c r="Q7555">
        <v>0</v>
      </c>
      <c r="R7555" t="s">
        <v>41257</v>
      </c>
      <c r="S7555" t="s">
        <v>41461</v>
      </c>
      <c r="T7555" t="s">
        <v>42721</v>
      </c>
      <c r="U7555" t="s">
        <v>49417</v>
      </c>
      <c r="W7555" t="s">
        <v>40044</v>
      </c>
      <c r="X7555" t="s">
        <v>41258</v>
      </c>
    </row>
    <row r="7556" spans="1:24">
      <c r="A7556">
        <f>HYPERLINK("https://www.philgeps.gov.ph/GEPSNONPILOT/Tender/SplashBidNoticeAbstractUI.aspx?menuIndex=3&amp;refID=7070201&amp;Result=3","7070201")</f>
        <v>0</v>
      </c>
      <c r="B7556" t="s">
        <v>1712</v>
      </c>
      <c r="C7556" t="s">
        <v>10590</v>
      </c>
      <c r="D7556" t="s">
        <v>16639</v>
      </c>
      <c r="E7556" t="s">
        <v>23324</v>
      </c>
      <c r="F7556" t="s">
        <v>28669</v>
      </c>
      <c r="G7556" t="s">
        <v>28675</v>
      </c>
      <c r="H7556" t="s">
        <v>28686</v>
      </c>
      <c r="I7556" t="s">
        <v>28689</v>
      </c>
      <c r="J7556" t="s">
        <v>33539</v>
      </c>
      <c r="K7556" t="s">
        <v>37220</v>
      </c>
      <c r="M7556" t="s">
        <v>40054</v>
      </c>
      <c r="N7556" t="s">
        <v>41249</v>
      </c>
      <c r="O7556" t="s">
        <v>41250</v>
      </c>
      <c r="P7556">
        <v>0</v>
      </c>
      <c r="Q7556">
        <v>3</v>
      </c>
      <c r="R7556" t="s">
        <v>41257</v>
      </c>
      <c r="S7556" t="s">
        <v>41461</v>
      </c>
      <c r="T7556" t="s">
        <v>42761</v>
      </c>
      <c r="U7556" t="s">
        <v>49418</v>
      </c>
      <c r="W7556" t="s">
        <v>40054</v>
      </c>
      <c r="X7556" t="s">
        <v>41258</v>
      </c>
    </row>
    <row r="7557" spans="1:24">
      <c r="A7557">
        <f>HYPERLINK("https://www.philgeps.gov.ph/GEPSNONPILOT/Tender/SplashBidNoticeAbstractUI.aspx?menuIndex=3&amp;refID=7070177&amp;Result=3","7070177")</f>
        <v>0</v>
      </c>
      <c r="B7557" t="s">
        <v>2046</v>
      </c>
      <c r="C7557" t="s">
        <v>10591</v>
      </c>
      <c r="D7557" t="s">
        <v>16643</v>
      </c>
      <c r="E7557" t="s">
        <v>23325</v>
      </c>
      <c r="F7557" t="s">
        <v>28669</v>
      </c>
      <c r="G7557" t="s">
        <v>28675</v>
      </c>
      <c r="H7557" t="s">
        <v>9998</v>
      </c>
      <c r="I7557" t="s">
        <v>28687</v>
      </c>
      <c r="J7557" t="s">
        <v>33540</v>
      </c>
      <c r="K7557" t="s">
        <v>37215</v>
      </c>
      <c r="M7557" t="s">
        <v>40052</v>
      </c>
      <c r="N7557" t="s">
        <v>41249</v>
      </c>
      <c r="O7557" t="s">
        <v>41250</v>
      </c>
      <c r="P7557">
        <v>0</v>
      </c>
      <c r="Q7557">
        <v>9</v>
      </c>
      <c r="R7557" t="s">
        <v>41257</v>
      </c>
      <c r="S7557" t="s">
        <v>41461</v>
      </c>
      <c r="T7557" t="s">
        <v>42692</v>
      </c>
      <c r="U7557" t="s">
        <v>49412</v>
      </c>
      <c r="W7557" t="s">
        <v>40052</v>
      </c>
      <c r="X7557" t="s">
        <v>41258</v>
      </c>
    </row>
    <row r="7558" spans="1:24">
      <c r="A7558">
        <f>HYPERLINK("https://www.philgeps.gov.ph/GEPSNONPILOT/Tender/SplashBidNoticeAbstractUI.aspx?menuIndex=3&amp;refID=7070218&amp;Result=3","7070218")</f>
        <v>0</v>
      </c>
      <c r="B7558" t="s">
        <v>844</v>
      </c>
      <c r="C7558" t="s">
        <v>10592</v>
      </c>
      <c r="D7558" t="s">
        <v>16650</v>
      </c>
      <c r="E7558" t="s">
        <v>23326</v>
      </c>
      <c r="F7558" t="s">
        <v>28669</v>
      </c>
      <c r="G7558" t="s">
        <v>28675</v>
      </c>
      <c r="H7558" t="s">
        <v>28686</v>
      </c>
      <c r="I7558" t="s">
        <v>28689</v>
      </c>
      <c r="J7558" t="s">
        <v>33342</v>
      </c>
      <c r="K7558" t="s">
        <v>37205</v>
      </c>
      <c r="M7558" t="s">
        <v>38360</v>
      </c>
      <c r="N7558" t="s">
        <v>41249</v>
      </c>
      <c r="O7558" t="s">
        <v>41250</v>
      </c>
      <c r="P7558">
        <v>0</v>
      </c>
      <c r="Q7558">
        <v>0</v>
      </c>
      <c r="R7558" t="s">
        <v>41257</v>
      </c>
      <c r="S7558" t="s">
        <v>41461</v>
      </c>
      <c r="T7558" t="s">
        <v>42911</v>
      </c>
      <c r="U7558" t="s">
        <v>44857</v>
      </c>
      <c r="W7558" t="s">
        <v>38360</v>
      </c>
      <c r="X7558" t="s">
        <v>41258</v>
      </c>
    </row>
    <row r="7559" spans="1:24">
      <c r="A7559">
        <f>HYPERLINK("https://www.philgeps.gov.ph/GEPSNONPILOT/Tender/SplashBidNoticeAbstractUI.aspx?menuIndex=3&amp;refID=7070131&amp;Result=3","7070131")</f>
        <v>0</v>
      </c>
      <c r="B7559" t="s">
        <v>2376</v>
      </c>
      <c r="C7559" t="s">
        <v>10593</v>
      </c>
      <c r="D7559" t="s">
        <v>16684</v>
      </c>
      <c r="E7559" t="s">
        <v>23327</v>
      </c>
      <c r="F7559" t="s">
        <v>28669</v>
      </c>
      <c r="G7559" t="s">
        <v>28676</v>
      </c>
      <c r="H7559" t="s">
        <v>9998</v>
      </c>
      <c r="I7559" t="s">
        <v>28708</v>
      </c>
      <c r="J7559" t="s">
        <v>29191</v>
      </c>
      <c r="K7559" t="s">
        <v>37206</v>
      </c>
      <c r="M7559" t="s">
        <v>40046</v>
      </c>
      <c r="N7559" t="s">
        <v>41249</v>
      </c>
      <c r="O7559" t="s">
        <v>41250</v>
      </c>
      <c r="P7559">
        <v>0</v>
      </c>
      <c r="Q7559">
        <v>2</v>
      </c>
      <c r="R7559" t="s">
        <v>41257</v>
      </c>
      <c r="S7559" t="s">
        <v>41461</v>
      </c>
      <c r="T7559" t="s">
        <v>42729</v>
      </c>
      <c r="U7559" t="s">
        <v>49419</v>
      </c>
      <c r="W7559" t="s">
        <v>40046</v>
      </c>
      <c r="X7559" t="s">
        <v>41258</v>
      </c>
    </row>
    <row r="7560" spans="1:24">
      <c r="A7560">
        <f>HYPERLINK("https://www.philgeps.gov.ph/GEPSNONPILOT/Tender/SplashBidNoticeAbstractUI.aspx?menuIndex=3&amp;refID=7070237&amp;Result=3","7070237")</f>
        <v>0</v>
      </c>
      <c r="B7560" t="s">
        <v>2382</v>
      </c>
      <c r="C7560" t="s">
        <v>10594</v>
      </c>
      <c r="D7560" t="s">
        <v>16626</v>
      </c>
      <c r="E7560" t="s">
        <v>23328</v>
      </c>
      <c r="F7560" t="s">
        <v>28669</v>
      </c>
      <c r="G7560" t="s">
        <v>28675</v>
      </c>
      <c r="H7560" t="s">
        <v>9998</v>
      </c>
      <c r="I7560" t="s">
        <v>7352</v>
      </c>
      <c r="J7560" t="s">
        <v>29110</v>
      </c>
      <c r="K7560" t="s">
        <v>37234</v>
      </c>
      <c r="M7560" t="s">
        <v>40055</v>
      </c>
      <c r="N7560" t="s">
        <v>41249</v>
      </c>
      <c r="O7560" t="s">
        <v>41250</v>
      </c>
      <c r="P7560">
        <v>0</v>
      </c>
      <c r="Q7560">
        <v>0</v>
      </c>
      <c r="R7560" t="s">
        <v>41257</v>
      </c>
      <c r="S7560" t="s">
        <v>41461</v>
      </c>
      <c r="T7560" t="s">
        <v>43052</v>
      </c>
      <c r="U7560" t="s">
        <v>49420</v>
      </c>
      <c r="W7560" t="s">
        <v>40055</v>
      </c>
      <c r="X7560" t="s">
        <v>41258</v>
      </c>
    </row>
    <row r="7561" spans="1:24">
      <c r="A7561">
        <f>HYPERLINK("https://www.philgeps.gov.ph/GEPSNONPILOT/Tender/SplashBidNoticeAbstractUI.aspx?menuIndex=3&amp;refID=7070242&amp;Result=3","7070242")</f>
        <v>0</v>
      </c>
      <c r="B7561" t="s">
        <v>2046</v>
      </c>
      <c r="C7561" t="s">
        <v>10595</v>
      </c>
      <c r="D7561" t="s">
        <v>16643</v>
      </c>
      <c r="E7561" t="s">
        <v>23329</v>
      </c>
      <c r="F7561" t="s">
        <v>28669</v>
      </c>
      <c r="G7561" t="s">
        <v>28675</v>
      </c>
      <c r="H7561" t="s">
        <v>28686</v>
      </c>
      <c r="I7561" t="s">
        <v>28689</v>
      </c>
      <c r="J7561" t="s">
        <v>33541</v>
      </c>
      <c r="K7561" t="s">
        <v>37215</v>
      </c>
      <c r="M7561" t="s">
        <v>40052</v>
      </c>
      <c r="N7561" t="s">
        <v>41249</v>
      </c>
      <c r="O7561" t="s">
        <v>41250</v>
      </c>
      <c r="P7561">
        <v>0</v>
      </c>
      <c r="Q7561">
        <v>1</v>
      </c>
      <c r="R7561" t="s">
        <v>41257</v>
      </c>
      <c r="S7561" t="s">
        <v>41461</v>
      </c>
      <c r="T7561" t="s">
        <v>42669</v>
      </c>
      <c r="U7561" t="s">
        <v>49421</v>
      </c>
      <c r="W7561" t="s">
        <v>40052</v>
      </c>
      <c r="X7561" t="s">
        <v>41258</v>
      </c>
    </row>
    <row r="7562" spans="1:24">
      <c r="A7562">
        <f>HYPERLINK("https://www.philgeps.gov.ph/GEPSNONPILOT/Tender/SplashBidNoticeAbstractUI.aspx?menuIndex=3&amp;refID=7070112&amp;Result=3","7070112")</f>
        <v>0</v>
      </c>
      <c r="B7562" t="s">
        <v>2383</v>
      </c>
      <c r="C7562" t="s">
        <v>10596</v>
      </c>
      <c r="D7562" t="s">
        <v>16646</v>
      </c>
      <c r="E7562" t="s">
        <v>23330</v>
      </c>
      <c r="F7562" t="s">
        <v>28669</v>
      </c>
      <c r="G7562" t="s">
        <v>28676</v>
      </c>
      <c r="H7562" t="s">
        <v>9998</v>
      </c>
      <c r="I7562" t="s">
        <v>28722</v>
      </c>
      <c r="J7562" t="s">
        <v>28834</v>
      </c>
      <c r="K7562" t="s">
        <v>37210</v>
      </c>
      <c r="M7562" t="s">
        <v>40056</v>
      </c>
      <c r="N7562" t="s">
        <v>41249</v>
      </c>
      <c r="O7562" t="s">
        <v>41250</v>
      </c>
      <c r="P7562">
        <v>0</v>
      </c>
      <c r="Q7562">
        <v>2</v>
      </c>
      <c r="R7562" t="s">
        <v>41257</v>
      </c>
      <c r="S7562" t="s">
        <v>41461</v>
      </c>
      <c r="T7562" t="s">
        <v>43053</v>
      </c>
      <c r="U7562" t="s">
        <v>49422</v>
      </c>
      <c r="W7562" t="s">
        <v>55989</v>
      </c>
      <c r="X7562" t="s">
        <v>41258</v>
      </c>
    </row>
    <row r="7563" spans="1:24">
      <c r="A7563">
        <f>HYPERLINK("https://www.philgeps.gov.ph/GEPSNONPILOT/Tender/SplashBidNoticeAbstractUI.aspx?menuIndex=3&amp;refID=7070203&amp;Result=3","7070203")</f>
        <v>0</v>
      </c>
      <c r="B7563" t="s">
        <v>844</v>
      </c>
      <c r="C7563" t="s">
        <v>10597</v>
      </c>
      <c r="D7563" t="s">
        <v>16650</v>
      </c>
      <c r="E7563" t="s">
        <v>23331</v>
      </c>
      <c r="F7563" t="s">
        <v>28669</v>
      </c>
      <c r="G7563" t="s">
        <v>28675</v>
      </c>
      <c r="H7563" t="s">
        <v>28686</v>
      </c>
      <c r="I7563" t="s">
        <v>28689</v>
      </c>
      <c r="J7563" t="s">
        <v>33342</v>
      </c>
      <c r="K7563" t="s">
        <v>37205</v>
      </c>
      <c r="M7563" t="s">
        <v>38360</v>
      </c>
      <c r="N7563" t="s">
        <v>41249</v>
      </c>
      <c r="O7563" t="s">
        <v>41250</v>
      </c>
      <c r="P7563">
        <v>0</v>
      </c>
      <c r="Q7563">
        <v>0</v>
      </c>
      <c r="R7563" t="s">
        <v>41257</v>
      </c>
      <c r="S7563" t="s">
        <v>41461</v>
      </c>
      <c r="T7563" t="s">
        <v>42911</v>
      </c>
      <c r="U7563" t="s">
        <v>44857</v>
      </c>
      <c r="W7563" t="s">
        <v>38360</v>
      </c>
      <c r="X7563" t="s">
        <v>41258</v>
      </c>
    </row>
    <row r="7564" spans="1:24">
      <c r="A7564">
        <f>HYPERLINK("https://www.philgeps.gov.ph/GEPSNONPILOT/Tender/SplashBidNoticeAbstractUI.aspx?menuIndex=3&amp;refID=7070239&amp;Result=3","7070239")</f>
        <v>0</v>
      </c>
      <c r="B7564" t="s">
        <v>600</v>
      </c>
      <c r="C7564" t="s">
        <v>10598</v>
      </c>
      <c r="D7564" t="s">
        <v>16608</v>
      </c>
      <c r="E7564" t="s">
        <v>23332</v>
      </c>
      <c r="F7564" t="s">
        <v>28669</v>
      </c>
      <c r="G7564" t="s">
        <v>28675</v>
      </c>
      <c r="H7564" t="s">
        <v>9998</v>
      </c>
      <c r="I7564" t="s">
        <v>28708</v>
      </c>
      <c r="J7564" t="s">
        <v>33542</v>
      </c>
      <c r="K7564" t="s">
        <v>37209</v>
      </c>
      <c r="M7564" t="s">
        <v>38409</v>
      </c>
      <c r="N7564" t="s">
        <v>41249</v>
      </c>
      <c r="O7564" t="s">
        <v>41250</v>
      </c>
      <c r="Q7564">
        <v>15</v>
      </c>
      <c r="R7564" t="s">
        <v>41257</v>
      </c>
      <c r="S7564" t="s">
        <v>41512</v>
      </c>
      <c r="T7564" t="s">
        <v>42722</v>
      </c>
      <c r="U7564" t="s">
        <v>49423</v>
      </c>
      <c r="V7564" t="s">
        <v>54508</v>
      </c>
      <c r="W7564" t="s">
        <v>38409</v>
      </c>
      <c r="X7564" t="s">
        <v>41258</v>
      </c>
    </row>
    <row r="7565" spans="1:24">
      <c r="A7565">
        <f>HYPERLINK("https://www.philgeps.gov.ph/GEPSNONPILOT/Tender/SplashBidNoticeAbstractUI.aspx?menuIndex=3&amp;refID=7070234&amp;Result=3","7070234")</f>
        <v>0</v>
      </c>
      <c r="B7565" t="s">
        <v>2046</v>
      </c>
      <c r="C7565" t="s">
        <v>10599</v>
      </c>
      <c r="D7565" t="s">
        <v>16643</v>
      </c>
      <c r="E7565" t="s">
        <v>23333</v>
      </c>
      <c r="F7565" t="s">
        <v>28669</v>
      </c>
      <c r="G7565" t="s">
        <v>28675</v>
      </c>
      <c r="H7565" t="s">
        <v>9998</v>
      </c>
      <c r="I7565" t="s">
        <v>28697</v>
      </c>
      <c r="J7565" t="s">
        <v>33543</v>
      </c>
      <c r="K7565" t="s">
        <v>37213</v>
      </c>
      <c r="M7565" t="s">
        <v>40052</v>
      </c>
      <c r="N7565" t="s">
        <v>41249</v>
      </c>
      <c r="O7565" t="s">
        <v>41250</v>
      </c>
      <c r="P7565">
        <v>0</v>
      </c>
      <c r="Q7565">
        <v>2</v>
      </c>
      <c r="R7565" t="s">
        <v>41257</v>
      </c>
      <c r="S7565" t="s">
        <v>41461</v>
      </c>
      <c r="T7565" t="s">
        <v>42692</v>
      </c>
      <c r="U7565" t="s">
        <v>49412</v>
      </c>
      <c r="W7565" t="s">
        <v>40052</v>
      </c>
      <c r="X7565" t="s">
        <v>41258</v>
      </c>
    </row>
    <row r="7566" spans="1:24">
      <c r="A7566">
        <f>HYPERLINK("https://www.philgeps.gov.ph/GEPSNONPILOT/Tender/SplashBidNoticeAbstractUI.aspx?menuIndex=3&amp;refID=7070231&amp;Result=3","7070231")</f>
        <v>0</v>
      </c>
      <c r="B7566" t="s">
        <v>2046</v>
      </c>
      <c r="C7566" t="s">
        <v>10600</v>
      </c>
      <c r="D7566" t="s">
        <v>16643</v>
      </c>
      <c r="E7566" t="s">
        <v>23334</v>
      </c>
      <c r="F7566" t="s">
        <v>28669</v>
      </c>
      <c r="G7566" t="s">
        <v>28675</v>
      </c>
      <c r="H7566" t="s">
        <v>9998</v>
      </c>
      <c r="I7566" t="s">
        <v>28697</v>
      </c>
      <c r="J7566" t="s">
        <v>33544</v>
      </c>
      <c r="K7566" t="s">
        <v>37213</v>
      </c>
      <c r="M7566" t="s">
        <v>40052</v>
      </c>
      <c r="N7566" t="s">
        <v>41249</v>
      </c>
      <c r="O7566" t="s">
        <v>41250</v>
      </c>
      <c r="P7566">
        <v>0</v>
      </c>
      <c r="Q7566">
        <v>3</v>
      </c>
      <c r="R7566" t="s">
        <v>41257</v>
      </c>
      <c r="S7566" t="s">
        <v>41461</v>
      </c>
      <c r="T7566" t="s">
        <v>42692</v>
      </c>
      <c r="U7566" t="s">
        <v>49412</v>
      </c>
      <c r="W7566" t="s">
        <v>40052</v>
      </c>
      <c r="X7566" t="s">
        <v>41258</v>
      </c>
    </row>
    <row r="7567" spans="1:24">
      <c r="A7567">
        <f>HYPERLINK("https://www.philgeps.gov.ph/GEPSNONPILOT/Tender/SplashBidNoticeAbstractUI.aspx?menuIndex=3&amp;refID=7070209&amp;Result=3","7070209")</f>
        <v>0</v>
      </c>
      <c r="B7567" t="s">
        <v>729</v>
      </c>
      <c r="C7567" t="s">
        <v>10601</v>
      </c>
      <c r="D7567" t="s">
        <v>16608</v>
      </c>
      <c r="E7567" t="s">
        <v>23335</v>
      </c>
      <c r="F7567" t="s">
        <v>28669</v>
      </c>
      <c r="G7567" t="s">
        <v>28675</v>
      </c>
      <c r="H7567" t="s">
        <v>9998</v>
      </c>
      <c r="I7567" t="s">
        <v>28751</v>
      </c>
      <c r="J7567" t="s">
        <v>30062</v>
      </c>
      <c r="K7567" t="s">
        <v>37220</v>
      </c>
      <c r="M7567" t="s">
        <v>38237</v>
      </c>
      <c r="N7567" t="s">
        <v>41249</v>
      </c>
      <c r="O7567" t="s">
        <v>41250</v>
      </c>
      <c r="P7567">
        <v>0</v>
      </c>
      <c r="Q7567">
        <v>2</v>
      </c>
      <c r="R7567" t="s">
        <v>41257</v>
      </c>
      <c r="S7567" t="s">
        <v>41461</v>
      </c>
      <c r="T7567" t="s">
        <v>42796</v>
      </c>
      <c r="U7567" t="s">
        <v>49424</v>
      </c>
      <c r="W7567" t="s">
        <v>38237</v>
      </c>
      <c r="X7567" t="s">
        <v>41258</v>
      </c>
    </row>
    <row r="7568" spans="1:24">
      <c r="A7568">
        <f>HYPERLINK("https://www.philgeps.gov.ph/GEPSNONPILOT/Tender/SplashBidNoticeAbstractUI.aspx?menuIndex=3&amp;refID=7070241&amp;Result=3","7070241")</f>
        <v>0</v>
      </c>
      <c r="B7568" t="s">
        <v>1974</v>
      </c>
      <c r="C7568" t="s">
        <v>10602</v>
      </c>
      <c r="D7568" t="s">
        <v>16616</v>
      </c>
      <c r="E7568" t="s">
        <v>23336</v>
      </c>
      <c r="F7568" t="s">
        <v>28669</v>
      </c>
      <c r="G7568" t="s">
        <v>28675</v>
      </c>
      <c r="H7568" t="s">
        <v>28686</v>
      </c>
      <c r="I7568" t="s">
        <v>28689</v>
      </c>
      <c r="J7568" t="s">
        <v>33545</v>
      </c>
      <c r="K7568" t="s">
        <v>37221</v>
      </c>
      <c r="M7568" t="s">
        <v>39608</v>
      </c>
      <c r="N7568" t="s">
        <v>41249</v>
      </c>
      <c r="O7568" t="s">
        <v>41250</v>
      </c>
      <c r="P7568">
        <v>0</v>
      </c>
      <c r="Q7568">
        <v>2</v>
      </c>
      <c r="R7568" t="s">
        <v>41257</v>
      </c>
      <c r="S7568" t="s">
        <v>41461</v>
      </c>
      <c r="T7568" t="s">
        <v>43003</v>
      </c>
      <c r="U7568" t="s">
        <v>49425</v>
      </c>
      <c r="W7568" t="s">
        <v>39608</v>
      </c>
      <c r="X7568" t="s">
        <v>41258</v>
      </c>
    </row>
    <row r="7569" spans="1:24">
      <c r="A7569">
        <f>HYPERLINK("https://www.philgeps.gov.ph/GEPSNONPILOT/Tender/SplashBidNoticeAbstractUI.aspx?menuIndex=3&amp;refID=7070227&amp;Result=3","7070227")</f>
        <v>0</v>
      </c>
      <c r="B7569" t="s">
        <v>2384</v>
      </c>
      <c r="C7569" t="s">
        <v>10603</v>
      </c>
      <c r="D7569" t="s">
        <v>16643</v>
      </c>
      <c r="E7569" t="s">
        <v>16861</v>
      </c>
      <c r="F7569" t="s">
        <v>28669</v>
      </c>
      <c r="G7569" t="s">
        <v>28675</v>
      </c>
      <c r="H7569" t="s">
        <v>9998</v>
      </c>
      <c r="I7569" t="s">
        <v>28814</v>
      </c>
      <c r="J7569" t="s">
        <v>28905</v>
      </c>
      <c r="K7569" t="s">
        <v>37204</v>
      </c>
      <c r="M7569" t="s">
        <v>40057</v>
      </c>
      <c r="N7569" t="s">
        <v>41249</v>
      </c>
      <c r="O7569" t="s">
        <v>41250</v>
      </c>
      <c r="P7569">
        <v>0</v>
      </c>
      <c r="Q7569">
        <v>3</v>
      </c>
      <c r="R7569" t="s">
        <v>41257</v>
      </c>
      <c r="S7569" t="s">
        <v>41461</v>
      </c>
      <c r="T7569" t="s">
        <v>42673</v>
      </c>
      <c r="U7569" t="s">
        <v>49426</v>
      </c>
      <c r="W7569" t="s">
        <v>40057</v>
      </c>
      <c r="X7569" t="s">
        <v>41258</v>
      </c>
    </row>
    <row r="7570" spans="1:24">
      <c r="A7570">
        <f>HYPERLINK("https://www.philgeps.gov.ph/GEPSNONPILOT/Tender/SplashBidNoticeAbstractUI.aspx?menuIndex=3&amp;refID=7070236&amp;Result=3","7070236")</f>
        <v>0</v>
      </c>
      <c r="B7570" t="s">
        <v>1908</v>
      </c>
      <c r="C7570" t="s">
        <v>10604</v>
      </c>
      <c r="D7570" t="s">
        <v>16619</v>
      </c>
      <c r="E7570" t="s">
        <v>23337</v>
      </c>
      <c r="F7570" t="s">
        <v>28669</v>
      </c>
      <c r="G7570" t="s">
        <v>28676</v>
      </c>
      <c r="H7570" t="s">
        <v>9998</v>
      </c>
      <c r="I7570" t="s">
        <v>28695</v>
      </c>
      <c r="J7570" t="s">
        <v>29134</v>
      </c>
      <c r="K7570" t="s">
        <v>37206</v>
      </c>
      <c r="M7570" t="s">
        <v>39533</v>
      </c>
      <c r="N7570" t="s">
        <v>41249</v>
      </c>
      <c r="O7570" t="s">
        <v>41250</v>
      </c>
      <c r="P7570">
        <v>0</v>
      </c>
      <c r="Q7570">
        <v>1</v>
      </c>
      <c r="R7570" t="s">
        <v>41257</v>
      </c>
      <c r="S7570" t="s">
        <v>41461</v>
      </c>
      <c r="T7570" t="s">
        <v>42727</v>
      </c>
      <c r="U7570" t="s">
        <v>47876</v>
      </c>
      <c r="W7570" t="s">
        <v>39533</v>
      </c>
      <c r="X7570" t="s">
        <v>41258</v>
      </c>
    </row>
    <row r="7571" spans="1:24">
      <c r="A7571">
        <f>HYPERLINK("https://www.philgeps.gov.ph/GEPSNONPILOT/Tender/SplashBidNoticeAbstractUI.aspx?menuIndex=3&amp;refID=7070223&amp;Result=3","7070223")</f>
        <v>0</v>
      </c>
      <c r="B7571" t="s">
        <v>1974</v>
      </c>
      <c r="C7571" t="s">
        <v>10605</v>
      </c>
      <c r="D7571" t="s">
        <v>16616</v>
      </c>
      <c r="E7571" t="s">
        <v>23338</v>
      </c>
      <c r="F7571" t="s">
        <v>28669</v>
      </c>
      <c r="G7571" t="s">
        <v>28675</v>
      </c>
      <c r="H7571" t="s">
        <v>9998</v>
      </c>
      <c r="I7571" t="s">
        <v>28699</v>
      </c>
      <c r="J7571" t="s">
        <v>33546</v>
      </c>
      <c r="K7571" t="s">
        <v>37206</v>
      </c>
      <c r="M7571" t="s">
        <v>39608</v>
      </c>
      <c r="N7571" t="s">
        <v>41249</v>
      </c>
      <c r="O7571" t="s">
        <v>41250</v>
      </c>
      <c r="P7571">
        <v>0</v>
      </c>
      <c r="Q7571">
        <v>2</v>
      </c>
      <c r="R7571" t="s">
        <v>41257</v>
      </c>
      <c r="S7571" t="s">
        <v>41461</v>
      </c>
      <c r="T7571" t="s">
        <v>43024</v>
      </c>
      <c r="U7571" t="s">
        <v>49425</v>
      </c>
      <c r="W7571" t="s">
        <v>39608</v>
      </c>
      <c r="X7571" t="s">
        <v>41258</v>
      </c>
    </row>
    <row r="7572" spans="1:24">
      <c r="A7572">
        <f>HYPERLINK("https://www.philgeps.gov.ph/GEPSNONPILOT/Tender/SplashBidNoticeAbstractUI.aspx?menuIndex=3&amp;refID=7070235&amp;Result=3","7070235")</f>
        <v>0</v>
      </c>
      <c r="B7572" t="s">
        <v>1974</v>
      </c>
      <c r="C7572" t="s">
        <v>10606</v>
      </c>
      <c r="D7572" t="s">
        <v>16616</v>
      </c>
      <c r="E7572" t="s">
        <v>23339</v>
      </c>
      <c r="F7572" t="s">
        <v>28669</v>
      </c>
      <c r="G7572" t="s">
        <v>28675</v>
      </c>
      <c r="H7572" t="s">
        <v>9998</v>
      </c>
      <c r="I7572" t="s">
        <v>7352</v>
      </c>
      <c r="J7572" t="s">
        <v>33547</v>
      </c>
      <c r="K7572" t="s">
        <v>37205</v>
      </c>
      <c r="M7572" t="s">
        <v>39608</v>
      </c>
      <c r="N7572" t="s">
        <v>41249</v>
      </c>
      <c r="O7572" t="s">
        <v>41250</v>
      </c>
      <c r="P7572">
        <v>0</v>
      </c>
      <c r="Q7572">
        <v>0</v>
      </c>
      <c r="R7572" t="s">
        <v>41257</v>
      </c>
      <c r="S7572" t="s">
        <v>41461</v>
      </c>
      <c r="T7572" t="s">
        <v>42911</v>
      </c>
      <c r="U7572" t="s">
        <v>49425</v>
      </c>
      <c r="W7572" t="s">
        <v>39608</v>
      </c>
      <c r="X7572" t="s">
        <v>41258</v>
      </c>
    </row>
    <row r="7573" spans="1:24">
      <c r="A7573">
        <f>HYPERLINK("https://www.philgeps.gov.ph/GEPSNONPILOT/Tender/SplashBidNoticeAbstractUI.aspx?menuIndex=3&amp;refID=7070222&amp;Result=3","7070222")</f>
        <v>0</v>
      </c>
      <c r="B7573" t="s">
        <v>2382</v>
      </c>
      <c r="C7573" t="s">
        <v>10607</v>
      </c>
      <c r="D7573" t="s">
        <v>16626</v>
      </c>
      <c r="E7573" t="s">
        <v>20150</v>
      </c>
      <c r="F7573" t="s">
        <v>28669</v>
      </c>
      <c r="G7573" t="s">
        <v>28675</v>
      </c>
      <c r="H7573" t="s">
        <v>9998</v>
      </c>
      <c r="I7573" t="s">
        <v>28787</v>
      </c>
      <c r="J7573" t="s">
        <v>29899</v>
      </c>
      <c r="K7573" t="s">
        <v>37234</v>
      </c>
      <c r="M7573" t="s">
        <v>40055</v>
      </c>
      <c r="N7573" t="s">
        <v>41249</v>
      </c>
      <c r="O7573" t="s">
        <v>41250</v>
      </c>
      <c r="P7573">
        <v>0</v>
      </c>
      <c r="Q7573">
        <v>3</v>
      </c>
      <c r="R7573" t="s">
        <v>41257</v>
      </c>
      <c r="S7573" t="s">
        <v>41461</v>
      </c>
      <c r="T7573" t="s">
        <v>43052</v>
      </c>
      <c r="U7573" t="s">
        <v>49427</v>
      </c>
      <c r="W7573" t="s">
        <v>40055</v>
      </c>
      <c r="X7573" t="s">
        <v>41258</v>
      </c>
    </row>
    <row r="7574" spans="1:24">
      <c r="A7574">
        <f>HYPERLINK("https://www.philgeps.gov.ph/GEPSNONPILOT/Tender/SplashBidNoticeAbstractUI.aspx?menuIndex=3&amp;refID=7070221&amp;Result=3","7070221")</f>
        <v>0</v>
      </c>
      <c r="B7574" t="s">
        <v>1911</v>
      </c>
      <c r="C7574" t="s">
        <v>10608</v>
      </c>
      <c r="D7574" t="s">
        <v>16643</v>
      </c>
      <c r="E7574" t="s">
        <v>22426</v>
      </c>
      <c r="F7574" t="s">
        <v>28669</v>
      </c>
      <c r="G7574" t="s">
        <v>28675</v>
      </c>
      <c r="H7574" t="s">
        <v>9998</v>
      </c>
      <c r="I7574" t="s">
        <v>28719</v>
      </c>
      <c r="J7574" t="s">
        <v>28891</v>
      </c>
      <c r="K7574" t="s">
        <v>37205</v>
      </c>
      <c r="M7574" t="s">
        <v>39537</v>
      </c>
      <c r="N7574" t="s">
        <v>41249</v>
      </c>
      <c r="O7574" t="s">
        <v>41250</v>
      </c>
      <c r="P7574">
        <v>0</v>
      </c>
      <c r="Q7574">
        <v>4</v>
      </c>
      <c r="R7574" t="s">
        <v>41257</v>
      </c>
      <c r="S7574" t="s">
        <v>41461</v>
      </c>
      <c r="T7574" t="s">
        <v>42668</v>
      </c>
      <c r="U7574" t="s">
        <v>49428</v>
      </c>
      <c r="V7574" t="s">
        <v>54882</v>
      </c>
      <c r="W7574" t="s">
        <v>39537</v>
      </c>
      <c r="X7574" t="s">
        <v>41258</v>
      </c>
    </row>
    <row r="7575" spans="1:24">
      <c r="A7575">
        <f>HYPERLINK("https://www.philgeps.gov.ph/GEPSNONPILOT/Tender/SplashBidNoticeAbstractUI.aspx?menuIndex=3&amp;refID=7070233&amp;Result=3","7070233")</f>
        <v>0</v>
      </c>
      <c r="B7575" t="s">
        <v>1974</v>
      </c>
      <c r="C7575" t="s">
        <v>10609</v>
      </c>
      <c r="D7575" t="s">
        <v>16616</v>
      </c>
      <c r="E7575" t="s">
        <v>23340</v>
      </c>
      <c r="F7575" t="s">
        <v>28669</v>
      </c>
      <c r="G7575" t="s">
        <v>28675</v>
      </c>
      <c r="H7575" t="s">
        <v>28686</v>
      </c>
      <c r="I7575" t="s">
        <v>28689</v>
      </c>
      <c r="J7575" t="s">
        <v>33548</v>
      </c>
      <c r="K7575" t="s">
        <v>37221</v>
      </c>
      <c r="M7575" t="s">
        <v>39608</v>
      </c>
      <c r="N7575" t="s">
        <v>41249</v>
      </c>
      <c r="O7575" t="s">
        <v>41250</v>
      </c>
      <c r="P7575">
        <v>0</v>
      </c>
      <c r="Q7575">
        <v>2</v>
      </c>
      <c r="R7575" t="s">
        <v>41257</v>
      </c>
      <c r="S7575" t="s">
        <v>41461</v>
      </c>
      <c r="T7575" t="s">
        <v>43054</v>
      </c>
      <c r="U7575" t="s">
        <v>49429</v>
      </c>
      <c r="W7575" t="s">
        <v>39608</v>
      </c>
      <c r="X7575" t="s">
        <v>41258</v>
      </c>
    </row>
    <row r="7576" spans="1:24">
      <c r="A7576">
        <f>HYPERLINK("https://www.philgeps.gov.ph/GEPSNONPILOT/Tender/SplashBidNoticeAbstractUI.aspx?menuIndex=3&amp;refID=7070269&amp;Result=3","7070269")</f>
        <v>0</v>
      </c>
      <c r="B7576" t="s">
        <v>2046</v>
      </c>
      <c r="C7576" t="s">
        <v>10610</v>
      </c>
      <c r="D7576" t="s">
        <v>16643</v>
      </c>
      <c r="E7576" t="s">
        <v>23341</v>
      </c>
      <c r="F7576" t="s">
        <v>28669</v>
      </c>
      <c r="G7576" t="s">
        <v>28675</v>
      </c>
      <c r="H7576" t="s">
        <v>9998</v>
      </c>
      <c r="I7576" t="s">
        <v>28697</v>
      </c>
      <c r="J7576" t="s">
        <v>29002</v>
      </c>
      <c r="K7576" t="s">
        <v>37213</v>
      </c>
      <c r="M7576" t="s">
        <v>40052</v>
      </c>
      <c r="N7576" t="s">
        <v>41249</v>
      </c>
      <c r="O7576" t="s">
        <v>41250</v>
      </c>
      <c r="P7576">
        <v>0</v>
      </c>
      <c r="Q7576">
        <v>5</v>
      </c>
      <c r="R7576" t="s">
        <v>41257</v>
      </c>
      <c r="S7576" t="s">
        <v>41461</v>
      </c>
      <c r="T7576" t="s">
        <v>42692</v>
      </c>
      <c r="U7576" t="s">
        <v>49412</v>
      </c>
      <c r="W7576" t="s">
        <v>40052</v>
      </c>
      <c r="X7576" t="s">
        <v>41258</v>
      </c>
    </row>
    <row r="7577" spans="1:24">
      <c r="A7577">
        <f>HYPERLINK("https://www.philgeps.gov.ph/GEPSNONPILOT/Tender/SplashBidNoticeAbstractUI.aspx?menuIndex=3&amp;refID=7070268&amp;Result=3","7070268")</f>
        <v>0</v>
      </c>
      <c r="B7577" t="s">
        <v>1908</v>
      </c>
      <c r="C7577" t="s">
        <v>10611</v>
      </c>
      <c r="D7577" t="s">
        <v>16619</v>
      </c>
      <c r="E7577" t="s">
        <v>23342</v>
      </c>
      <c r="F7577" t="s">
        <v>28669</v>
      </c>
      <c r="G7577" t="s">
        <v>28676</v>
      </c>
      <c r="H7577" t="s">
        <v>9998</v>
      </c>
      <c r="I7577" t="s">
        <v>7352</v>
      </c>
      <c r="J7577" t="s">
        <v>33549</v>
      </c>
      <c r="K7577" t="s">
        <v>37206</v>
      </c>
      <c r="M7577" t="s">
        <v>39533</v>
      </c>
      <c r="N7577" t="s">
        <v>41249</v>
      </c>
      <c r="O7577" t="s">
        <v>41250</v>
      </c>
      <c r="P7577">
        <v>0</v>
      </c>
      <c r="Q7577">
        <v>1</v>
      </c>
      <c r="R7577" t="s">
        <v>41257</v>
      </c>
      <c r="S7577" t="s">
        <v>41461</v>
      </c>
      <c r="T7577" t="s">
        <v>42727</v>
      </c>
      <c r="U7577" t="s">
        <v>47876</v>
      </c>
      <c r="W7577" t="s">
        <v>39533</v>
      </c>
      <c r="X7577" t="s">
        <v>41258</v>
      </c>
    </row>
    <row r="7578" spans="1:24">
      <c r="A7578">
        <f>HYPERLINK("https://www.philgeps.gov.ph/GEPSNONPILOT/Tender/SplashBidNoticeAbstractUI.aspx?menuIndex=3&amp;refID=7070265&amp;Result=3","7070265")</f>
        <v>0</v>
      </c>
      <c r="B7578" t="s">
        <v>852</v>
      </c>
      <c r="C7578" t="s">
        <v>10612</v>
      </c>
      <c r="D7578" t="s">
        <v>16679</v>
      </c>
      <c r="E7578" t="s">
        <v>23343</v>
      </c>
      <c r="F7578" t="s">
        <v>28669</v>
      </c>
      <c r="G7578" t="s">
        <v>28677</v>
      </c>
      <c r="H7578" t="s">
        <v>9998</v>
      </c>
      <c r="I7578" t="s">
        <v>28690</v>
      </c>
      <c r="J7578" t="s">
        <v>29828</v>
      </c>
      <c r="K7578" t="s">
        <v>37209</v>
      </c>
      <c r="M7578" t="s">
        <v>38368</v>
      </c>
      <c r="N7578" t="s">
        <v>41249</v>
      </c>
      <c r="O7578" t="s">
        <v>41250</v>
      </c>
      <c r="P7578">
        <v>0</v>
      </c>
      <c r="Q7578">
        <v>20</v>
      </c>
      <c r="R7578" t="s">
        <v>41257</v>
      </c>
      <c r="S7578" t="s">
        <v>41461</v>
      </c>
      <c r="T7578" t="s">
        <v>42748</v>
      </c>
      <c r="U7578" t="s">
        <v>49430</v>
      </c>
      <c r="V7578" t="s">
        <v>54491</v>
      </c>
      <c r="W7578" t="s">
        <v>38368</v>
      </c>
      <c r="X7578" t="s">
        <v>41258</v>
      </c>
    </row>
    <row r="7579" spans="1:24">
      <c r="A7579">
        <f>HYPERLINK("https://www.philgeps.gov.ph/GEPSNONPILOT/Tender/SplashBidNoticeAbstractUI.aspx?menuIndex=3&amp;refID=7070267&amp;Result=3","7070267")</f>
        <v>0</v>
      </c>
      <c r="B7579" t="s">
        <v>2046</v>
      </c>
      <c r="C7579" t="s">
        <v>10613</v>
      </c>
      <c r="D7579" t="s">
        <v>16643</v>
      </c>
      <c r="E7579" t="s">
        <v>23344</v>
      </c>
      <c r="F7579" t="s">
        <v>28669</v>
      </c>
      <c r="G7579" t="s">
        <v>28675</v>
      </c>
      <c r="H7579" t="s">
        <v>28686</v>
      </c>
      <c r="I7579" t="s">
        <v>28689</v>
      </c>
      <c r="J7579" t="s">
        <v>33550</v>
      </c>
      <c r="K7579" t="s">
        <v>37290</v>
      </c>
      <c r="M7579" t="s">
        <v>40052</v>
      </c>
      <c r="N7579" t="s">
        <v>41249</v>
      </c>
      <c r="O7579" t="s">
        <v>41250</v>
      </c>
      <c r="P7579">
        <v>0</v>
      </c>
      <c r="Q7579">
        <v>0</v>
      </c>
      <c r="R7579" t="s">
        <v>41257</v>
      </c>
      <c r="S7579" t="s">
        <v>41461</v>
      </c>
      <c r="T7579" t="s">
        <v>42669</v>
      </c>
      <c r="U7579" t="s">
        <v>49421</v>
      </c>
      <c r="W7579" t="s">
        <v>40052</v>
      </c>
      <c r="X7579" t="s">
        <v>41258</v>
      </c>
    </row>
    <row r="7580" spans="1:24">
      <c r="A7580">
        <f>HYPERLINK("https://www.philgeps.gov.ph/GEPSNONPILOT/Tender/SplashBidNoticeAbstractUI.aspx?menuIndex=3&amp;refID=7070200&amp;Result=3","7070200")</f>
        <v>0</v>
      </c>
      <c r="B7580" t="s">
        <v>2374</v>
      </c>
      <c r="C7580" t="s">
        <v>10614</v>
      </c>
      <c r="D7580" t="s">
        <v>16626</v>
      </c>
      <c r="E7580" t="s">
        <v>19899</v>
      </c>
      <c r="F7580" t="s">
        <v>28669</v>
      </c>
      <c r="G7580" t="s">
        <v>28675</v>
      </c>
      <c r="H7580" t="s">
        <v>9998</v>
      </c>
      <c r="I7580" t="s">
        <v>3718</v>
      </c>
      <c r="J7580" t="s">
        <v>32238</v>
      </c>
      <c r="K7580" t="s">
        <v>37234</v>
      </c>
      <c r="M7580" t="s">
        <v>40044</v>
      </c>
      <c r="N7580" t="s">
        <v>41249</v>
      </c>
      <c r="O7580" t="s">
        <v>41250</v>
      </c>
      <c r="P7580">
        <v>0</v>
      </c>
      <c r="Q7580">
        <v>0</v>
      </c>
      <c r="R7580" t="s">
        <v>41257</v>
      </c>
      <c r="S7580" t="s">
        <v>41461</v>
      </c>
      <c r="T7580" t="s">
        <v>42721</v>
      </c>
      <c r="U7580" t="s">
        <v>49431</v>
      </c>
      <c r="W7580" t="s">
        <v>40044</v>
      </c>
      <c r="X7580" t="s">
        <v>41258</v>
      </c>
    </row>
    <row r="7581" spans="1:24">
      <c r="A7581">
        <f>HYPERLINK("https://www.philgeps.gov.ph/GEPSNONPILOT/Tender/SplashBidNoticeAbstractUI.aspx?menuIndex=3&amp;refID=7070226&amp;Result=3","7070226")</f>
        <v>0</v>
      </c>
      <c r="B7581" t="s">
        <v>2358</v>
      </c>
      <c r="C7581" t="s">
        <v>10615</v>
      </c>
      <c r="D7581" t="s">
        <v>16624</v>
      </c>
      <c r="E7581" t="s">
        <v>23345</v>
      </c>
      <c r="F7581" t="s">
        <v>28669</v>
      </c>
      <c r="G7581" t="s">
        <v>28675</v>
      </c>
      <c r="H7581" t="s">
        <v>9998</v>
      </c>
      <c r="I7581" t="s">
        <v>28704</v>
      </c>
      <c r="J7581" t="s">
        <v>29512</v>
      </c>
      <c r="K7581" t="s">
        <v>37210</v>
      </c>
      <c r="M7581" t="s">
        <v>40026</v>
      </c>
      <c r="N7581" t="s">
        <v>41249</v>
      </c>
      <c r="O7581" t="s">
        <v>41250</v>
      </c>
      <c r="P7581">
        <v>0</v>
      </c>
      <c r="Q7581">
        <v>1</v>
      </c>
      <c r="R7581" t="s">
        <v>41257</v>
      </c>
      <c r="S7581" t="s">
        <v>41461</v>
      </c>
      <c r="T7581" t="s">
        <v>42761</v>
      </c>
      <c r="U7581" t="s">
        <v>49432</v>
      </c>
      <c r="W7581" t="s">
        <v>55988</v>
      </c>
      <c r="X7581" t="s">
        <v>41258</v>
      </c>
    </row>
    <row r="7582" spans="1:24">
      <c r="A7582">
        <f>HYPERLINK("https://www.philgeps.gov.ph/GEPSNONPILOT/Tender/SplashBidNoticeAbstractUI.aspx?menuIndex=3&amp;refID=7070260&amp;Result=3","7070260")</f>
        <v>0</v>
      </c>
      <c r="B7582" t="s">
        <v>2046</v>
      </c>
      <c r="C7582" t="s">
        <v>10616</v>
      </c>
      <c r="D7582" t="s">
        <v>16643</v>
      </c>
      <c r="E7582" t="s">
        <v>23346</v>
      </c>
      <c r="F7582" t="s">
        <v>28669</v>
      </c>
      <c r="G7582" t="s">
        <v>28675</v>
      </c>
      <c r="H7582" t="s">
        <v>28686</v>
      </c>
      <c r="I7582" t="s">
        <v>28689</v>
      </c>
      <c r="J7582" t="s">
        <v>33551</v>
      </c>
      <c r="K7582" t="s">
        <v>37232</v>
      </c>
      <c r="M7582" t="s">
        <v>40052</v>
      </c>
      <c r="N7582" t="s">
        <v>41249</v>
      </c>
      <c r="O7582" t="s">
        <v>41250</v>
      </c>
      <c r="P7582">
        <v>0</v>
      </c>
      <c r="Q7582">
        <v>1</v>
      </c>
      <c r="R7582" t="s">
        <v>41257</v>
      </c>
      <c r="S7582" t="s">
        <v>41461</v>
      </c>
      <c r="T7582" t="s">
        <v>42669</v>
      </c>
      <c r="U7582" t="s">
        <v>49421</v>
      </c>
      <c r="W7582" t="s">
        <v>40052</v>
      </c>
      <c r="X7582" t="s">
        <v>41258</v>
      </c>
    </row>
    <row r="7583" spans="1:24">
      <c r="A7583">
        <f>HYPERLINK("https://www.philgeps.gov.ph/GEPSNONPILOT/Tender/SplashBidNoticeAbstractUI.aspx?menuIndex=3&amp;refID=7070256&amp;Result=3","7070256")</f>
        <v>0</v>
      </c>
      <c r="B7583" t="s">
        <v>889</v>
      </c>
      <c r="C7583" t="s">
        <v>10617</v>
      </c>
      <c r="D7583" t="s">
        <v>16644</v>
      </c>
      <c r="E7583" t="s">
        <v>23347</v>
      </c>
      <c r="F7583" t="s">
        <v>28669</v>
      </c>
      <c r="G7583" t="s">
        <v>28675</v>
      </c>
      <c r="H7583" t="s">
        <v>28686</v>
      </c>
      <c r="I7583" t="s">
        <v>28689</v>
      </c>
      <c r="J7583" t="s">
        <v>33552</v>
      </c>
      <c r="K7583" t="s">
        <v>37215</v>
      </c>
      <c r="M7583" t="s">
        <v>38410</v>
      </c>
      <c r="N7583" t="s">
        <v>41249</v>
      </c>
      <c r="O7583" t="s">
        <v>41250</v>
      </c>
      <c r="P7583">
        <v>0</v>
      </c>
      <c r="Q7583">
        <v>1</v>
      </c>
      <c r="R7583" t="s">
        <v>41257</v>
      </c>
      <c r="S7583" t="s">
        <v>41461</v>
      </c>
      <c r="T7583" t="s">
        <v>42863</v>
      </c>
      <c r="U7583" t="s">
        <v>49433</v>
      </c>
      <c r="W7583" t="s">
        <v>38410</v>
      </c>
      <c r="X7583" t="s">
        <v>41258</v>
      </c>
    </row>
    <row r="7584" spans="1:24">
      <c r="A7584">
        <f>HYPERLINK("https://www.philgeps.gov.ph/GEPSNONPILOT/Tender/SplashBidNoticeAbstractUI.aspx?menuIndex=3&amp;refID=7070230&amp;Result=3","7070230")</f>
        <v>0</v>
      </c>
      <c r="B7584" t="s">
        <v>2382</v>
      </c>
      <c r="C7584" t="s">
        <v>10618</v>
      </c>
      <c r="D7584" t="s">
        <v>16626</v>
      </c>
      <c r="E7584" t="s">
        <v>23314</v>
      </c>
      <c r="F7584" t="s">
        <v>28669</v>
      </c>
      <c r="G7584" t="s">
        <v>28675</v>
      </c>
      <c r="H7584" t="s">
        <v>9998</v>
      </c>
      <c r="I7584" t="s">
        <v>28690</v>
      </c>
      <c r="J7584" t="s">
        <v>29151</v>
      </c>
      <c r="K7584" t="s">
        <v>37234</v>
      </c>
      <c r="M7584" t="s">
        <v>40055</v>
      </c>
      <c r="N7584" t="s">
        <v>41249</v>
      </c>
      <c r="O7584" t="s">
        <v>41250</v>
      </c>
      <c r="P7584">
        <v>0</v>
      </c>
      <c r="Q7584">
        <v>2</v>
      </c>
      <c r="R7584" t="s">
        <v>41257</v>
      </c>
      <c r="S7584" t="s">
        <v>41461</v>
      </c>
      <c r="T7584" t="s">
        <v>43052</v>
      </c>
      <c r="U7584" t="s">
        <v>49434</v>
      </c>
      <c r="W7584" t="s">
        <v>40055</v>
      </c>
      <c r="X7584" t="s">
        <v>41258</v>
      </c>
    </row>
    <row r="7585" spans="1:24">
      <c r="A7585">
        <f>HYPERLINK("https://www.philgeps.gov.ph/GEPSNONPILOT/Tender/SplashBidNoticeAbstractUI.aspx?menuIndex=3&amp;refID=7070255&amp;Result=3","7070255")</f>
        <v>0</v>
      </c>
      <c r="B7585" t="s">
        <v>2046</v>
      </c>
      <c r="C7585" t="s">
        <v>10619</v>
      </c>
      <c r="D7585" t="s">
        <v>16643</v>
      </c>
      <c r="E7585" t="s">
        <v>23348</v>
      </c>
      <c r="F7585" t="s">
        <v>28669</v>
      </c>
      <c r="G7585" t="s">
        <v>28675</v>
      </c>
      <c r="H7585" t="s">
        <v>9998</v>
      </c>
      <c r="I7585" t="s">
        <v>28697</v>
      </c>
      <c r="J7585" t="s">
        <v>33553</v>
      </c>
      <c r="K7585" t="s">
        <v>37213</v>
      </c>
      <c r="M7585" t="s">
        <v>40052</v>
      </c>
      <c r="N7585" t="s">
        <v>41249</v>
      </c>
      <c r="O7585" t="s">
        <v>41250</v>
      </c>
      <c r="P7585">
        <v>0</v>
      </c>
      <c r="Q7585">
        <v>2</v>
      </c>
      <c r="R7585" t="s">
        <v>41257</v>
      </c>
      <c r="S7585" t="s">
        <v>41461</v>
      </c>
      <c r="T7585" t="s">
        <v>42692</v>
      </c>
      <c r="U7585" t="s">
        <v>49412</v>
      </c>
      <c r="W7585" t="s">
        <v>40052</v>
      </c>
      <c r="X7585" t="s">
        <v>41258</v>
      </c>
    </row>
    <row r="7586" spans="1:24">
      <c r="A7586">
        <f>HYPERLINK("https://www.philgeps.gov.ph/GEPSNONPILOT/Tender/SplashBidNoticeAbstractUI.aspx?menuIndex=3&amp;refID=7070262&amp;Result=3","7070262")</f>
        <v>0</v>
      </c>
      <c r="B7586" t="s">
        <v>889</v>
      </c>
      <c r="C7586" t="s">
        <v>10620</v>
      </c>
      <c r="D7586" t="s">
        <v>16644</v>
      </c>
      <c r="E7586" t="s">
        <v>23349</v>
      </c>
      <c r="F7586" t="s">
        <v>28669</v>
      </c>
      <c r="G7586" t="s">
        <v>28675</v>
      </c>
      <c r="H7586" t="s">
        <v>28686</v>
      </c>
      <c r="I7586" t="s">
        <v>28689</v>
      </c>
      <c r="J7586" t="s">
        <v>33552</v>
      </c>
      <c r="K7586" t="s">
        <v>37215</v>
      </c>
      <c r="M7586" t="s">
        <v>38410</v>
      </c>
      <c r="N7586" t="s">
        <v>41249</v>
      </c>
      <c r="O7586" t="s">
        <v>41250</v>
      </c>
      <c r="P7586">
        <v>0</v>
      </c>
      <c r="Q7586">
        <v>1</v>
      </c>
      <c r="R7586" t="s">
        <v>41257</v>
      </c>
      <c r="S7586" t="s">
        <v>41461</v>
      </c>
      <c r="T7586" t="s">
        <v>42863</v>
      </c>
      <c r="U7586" t="s">
        <v>49435</v>
      </c>
      <c r="W7586" t="s">
        <v>38410</v>
      </c>
      <c r="X7586" t="s">
        <v>41258</v>
      </c>
    </row>
    <row r="7587" spans="1:24">
      <c r="A7587">
        <f>HYPERLINK("https://www.philgeps.gov.ph/GEPSNONPILOT/Tender/SplashBidNoticeAbstractUI.aspx?menuIndex=3&amp;refID=7070261&amp;Result=3","7070261")</f>
        <v>0</v>
      </c>
      <c r="B7587" t="s">
        <v>2385</v>
      </c>
      <c r="C7587" t="s">
        <v>10621</v>
      </c>
      <c r="D7587" t="s">
        <v>16643</v>
      </c>
      <c r="E7587" t="s">
        <v>23350</v>
      </c>
      <c r="F7587" t="s">
        <v>28669</v>
      </c>
      <c r="G7587" t="s">
        <v>28675</v>
      </c>
      <c r="H7587" t="s">
        <v>28686</v>
      </c>
      <c r="I7587" t="s">
        <v>28689</v>
      </c>
      <c r="J7587" t="s">
        <v>28877</v>
      </c>
      <c r="K7587" t="s">
        <v>37207</v>
      </c>
      <c r="M7587" t="s">
        <v>40058</v>
      </c>
      <c r="N7587" t="s">
        <v>41249</v>
      </c>
      <c r="O7587" t="s">
        <v>41250</v>
      </c>
      <c r="P7587">
        <v>0</v>
      </c>
      <c r="Q7587">
        <v>0</v>
      </c>
      <c r="R7587" t="s">
        <v>41257</v>
      </c>
      <c r="S7587" t="s">
        <v>41461</v>
      </c>
      <c r="T7587" t="s">
        <v>42748</v>
      </c>
      <c r="U7587" t="s">
        <v>49436</v>
      </c>
      <c r="W7587" t="s">
        <v>40058</v>
      </c>
      <c r="X7587" t="s">
        <v>41258</v>
      </c>
    </row>
    <row r="7588" spans="1:24">
      <c r="A7588">
        <f>HYPERLINK("https://www.philgeps.gov.ph/GEPSNONPILOT/Tender/SplashBidNoticeAbstractUI.aspx?menuIndex=3&amp;refID=7070251&amp;Result=3","7070251")</f>
        <v>0</v>
      </c>
      <c r="B7588" t="s">
        <v>2385</v>
      </c>
      <c r="C7588" t="s">
        <v>10622</v>
      </c>
      <c r="D7588" t="s">
        <v>16643</v>
      </c>
      <c r="E7588" t="s">
        <v>23351</v>
      </c>
      <c r="F7588" t="s">
        <v>28669</v>
      </c>
      <c r="G7588" t="s">
        <v>28675</v>
      </c>
      <c r="H7588" t="s">
        <v>28686</v>
      </c>
      <c r="I7588" t="s">
        <v>28689</v>
      </c>
      <c r="J7588" t="s">
        <v>29134</v>
      </c>
      <c r="K7588" t="s">
        <v>37207</v>
      </c>
      <c r="M7588" t="s">
        <v>40058</v>
      </c>
      <c r="N7588" t="s">
        <v>41249</v>
      </c>
      <c r="O7588" t="s">
        <v>41250</v>
      </c>
      <c r="P7588">
        <v>0</v>
      </c>
      <c r="Q7588">
        <v>0</v>
      </c>
      <c r="R7588" t="s">
        <v>41257</v>
      </c>
      <c r="S7588" t="s">
        <v>41461</v>
      </c>
      <c r="T7588" t="s">
        <v>42867</v>
      </c>
      <c r="U7588" t="s">
        <v>49437</v>
      </c>
      <c r="W7588" t="s">
        <v>40058</v>
      </c>
      <c r="X7588" t="s">
        <v>41258</v>
      </c>
    </row>
    <row r="7589" spans="1:24">
      <c r="A7589">
        <f>HYPERLINK("https://www.philgeps.gov.ph/GEPSNONPILOT/Tender/SplashBidNoticeAbstractUI.aspx?menuIndex=3&amp;refID=7070207&amp;Result=3","7070207")</f>
        <v>0</v>
      </c>
      <c r="B7589" t="s">
        <v>2374</v>
      </c>
      <c r="C7589" t="s">
        <v>10623</v>
      </c>
      <c r="D7589" t="s">
        <v>16626</v>
      </c>
      <c r="E7589" t="s">
        <v>23352</v>
      </c>
      <c r="F7589" t="s">
        <v>28669</v>
      </c>
      <c r="G7589" t="s">
        <v>28675</v>
      </c>
      <c r="H7589" t="s">
        <v>9998</v>
      </c>
      <c r="I7589" t="s">
        <v>28711</v>
      </c>
      <c r="J7589" t="s">
        <v>29365</v>
      </c>
      <c r="K7589" t="s">
        <v>37234</v>
      </c>
      <c r="M7589" t="s">
        <v>40044</v>
      </c>
      <c r="N7589" t="s">
        <v>41249</v>
      </c>
      <c r="O7589" t="s">
        <v>41250</v>
      </c>
      <c r="P7589">
        <v>0</v>
      </c>
      <c r="Q7589">
        <v>1</v>
      </c>
      <c r="R7589" t="s">
        <v>41257</v>
      </c>
      <c r="S7589" t="s">
        <v>41461</v>
      </c>
      <c r="T7589" t="s">
        <v>42721</v>
      </c>
      <c r="U7589" t="s">
        <v>49438</v>
      </c>
      <c r="W7589" t="s">
        <v>40044</v>
      </c>
      <c r="X7589" t="s">
        <v>41258</v>
      </c>
    </row>
    <row r="7590" spans="1:24">
      <c r="A7590">
        <f>HYPERLINK("https://www.philgeps.gov.ph/GEPSNONPILOT/Tender/SplashBidNoticeAbstractUI.aspx?menuIndex=3&amp;refID=7070257&amp;Result=3","7070257")</f>
        <v>0</v>
      </c>
      <c r="B7590" t="s">
        <v>2385</v>
      </c>
      <c r="C7590" t="s">
        <v>10624</v>
      </c>
      <c r="D7590" t="s">
        <v>16643</v>
      </c>
      <c r="E7590" t="s">
        <v>23353</v>
      </c>
      <c r="F7590" t="s">
        <v>28669</v>
      </c>
      <c r="G7590" t="s">
        <v>28675</v>
      </c>
      <c r="H7590" t="s">
        <v>28686</v>
      </c>
      <c r="I7590" t="s">
        <v>28689</v>
      </c>
      <c r="J7590" t="s">
        <v>28877</v>
      </c>
      <c r="K7590" t="s">
        <v>37206</v>
      </c>
      <c r="M7590" t="s">
        <v>40058</v>
      </c>
      <c r="N7590" t="s">
        <v>41249</v>
      </c>
      <c r="O7590" t="s">
        <v>41250</v>
      </c>
      <c r="P7590">
        <v>0</v>
      </c>
      <c r="Q7590">
        <v>0</v>
      </c>
      <c r="R7590" t="s">
        <v>41257</v>
      </c>
      <c r="S7590" t="s">
        <v>41461</v>
      </c>
      <c r="T7590" t="s">
        <v>42748</v>
      </c>
      <c r="U7590" t="s">
        <v>49439</v>
      </c>
      <c r="W7590" t="s">
        <v>40058</v>
      </c>
      <c r="X7590" t="s">
        <v>41258</v>
      </c>
    </row>
    <row r="7591" spans="1:24">
      <c r="A7591">
        <f>HYPERLINK("https://www.philgeps.gov.ph/GEPSNONPILOT/Tender/SplashBidNoticeAbstractUI.aspx?menuIndex=3&amp;refID=7070248&amp;Result=3","7070248")</f>
        <v>0</v>
      </c>
      <c r="B7591" t="s">
        <v>447</v>
      </c>
      <c r="C7591" t="s">
        <v>10625</v>
      </c>
      <c r="D7591" t="s">
        <v>16608</v>
      </c>
      <c r="E7591" t="s">
        <v>18712</v>
      </c>
      <c r="F7591" t="s">
        <v>28669</v>
      </c>
      <c r="G7591" t="s">
        <v>28676</v>
      </c>
      <c r="H7591" t="s">
        <v>9998</v>
      </c>
      <c r="I7591" t="s">
        <v>28714</v>
      </c>
      <c r="J7591" t="s">
        <v>33554</v>
      </c>
      <c r="K7591" t="s">
        <v>37209</v>
      </c>
      <c r="M7591" t="s">
        <v>39343</v>
      </c>
      <c r="N7591" t="s">
        <v>41249</v>
      </c>
      <c r="O7591" t="s">
        <v>41250</v>
      </c>
      <c r="P7591">
        <v>0</v>
      </c>
      <c r="Q7591">
        <v>4</v>
      </c>
      <c r="R7591" t="s">
        <v>41257</v>
      </c>
      <c r="S7591" t="s">
        <v>41461</v>
      </c>
      <c r="T7591" t="s">
        <v>42729</v>
      </c>
      <c r="U7591" t="s">
        <v>49440</v>
      </c>
      <c r="W7591" t="s">
        <v>39343</v>
      </c>
      <c r="X7591" t="s">
        <v>41258</v>
      </c>
    </row>
    <row r="7592" spans="1:24">
      <c r="A7592">
        <f>HYPERLINK("https://www.philgeps.gov.ph/GEPSNONPILOT/Tender/SplashBidNoticeAbstractUI.aspx?menuIndex=3&amp;refID=7070246&amp;Result=3","7070246")</f>
        <v>0</v>
      </c>
      <c r="B7592" t="s">
        <v>800</v>
      </c>
      <c r="C7592" t="s">
        <v>10626</v>
      </c>
      <c r="D7592" t="s">
        <v>16681</v>
      </c>
      <c r="E7592" t="s">
        <v>20986</v>
      </c>
      <c r="F7592" t="s">
        <v>28669</v>
      </c>
      <c r="G7592" t="s">
        <v>28675</v>
      </c>
      <c r="H7592" t="s">
        <v>28686</v>
      </c>
      <c r="I7592" t="s">
        <v>28689</v>
      </c>
      <c r="J7592" t="s">
        <v>33555</v>
      </c>
      <c r="K7592" t="s">
        <v>37214</v>
      </c>
      <c r="M7592" t="s">
        <v>38315</v>
      </c>
      <c r="N7592" t="s">
        <v>41249</v>
      </c>
      <c r="O7592" t="s">
        <v>41250</v>
      </c>
      <c r="P7592">
        <v>0</v>
      </c>
      <c r="Q7592">
        <v>0</v>
      </c>
      <c r="R7592" t="s">
        <v>41257</v>
      </c>
      <c r="S7592" t="s">
        <v>41461</v>
      </c>
      <c r="T7592" t="s">
        <v>42782</v>
      </c>
      <c r="U7592" t="s">
        <v>49441</v>
      </c>
      <c r="W7592" t="s">
        <v>38315</v>
      </c>
      <c r="X7592" t="s">
        <v>41258</v>
      </c>
    </row>
    <row r="7593" spans="1:24">
      <c r="A7593">
        <f>HYPERLINK("https://www.philgeps.gov.ph/GEPSNONPILOT/Tender/SplashBidNoticeAbstractUI.aspx?menuIndex=3&amp;refID=7070243&amp;Result=3","7070243")</f>
        <v>0</v>
      </c>
      <c r="B7593" t="s">
        <v>800</v>
      </c>
      <c r="C7593" t="s">
        <v>10627</v>
      </c>
      <c r="D7593" t="s">
        <v>16681</v>
      </c>
      <c r="E7593" t="s">
        <v>19884</v>
      </c>
      <c r="F7593" t="s">
        <v>28669</v>
      </c>
      <c r="G7593" t="s">
        <v>28675</v>
      </c>
      <c r="H7593" t="s">
        <v>28686</v>
      </c>
      <c r="I7593" t="s">
        <v>28689</v>
      </c>
      <c r="J7593" t="s">
        <v>33556</v>
      </c>
      <c r="K7593" t="s">
        <v>37382</v>
      </c>
      <c r="M7593" t="s">
        <v>38315</v>
      </c>
      <c r="N7593" t="s">
        <v>41249</v>
      </c>
      <c r="O7593" t="s">
        <v>41250</v>
      </c>
      <c r="P7593">
        <v>0</v>
      </c>
      <c r="Q7593">
        <v>0</v>
      </c>
      <c r="R7593" t="s">
        <v>41257</v>
      </c>
      <c r="S7593" t="s">
        <v>41461</v>
      </c>
      <c r="T7593" t="s">
        <v>42782</v>
      </c>
      <c r="U7593" t="s">
        <v>49442</v>
      </c>
      <c r="W7593" t="s">
        <v>38315</v>
      </c>
      <c r="X7593" t="s">
        <v>41258</v>
      </c>
    </row>
    <row r="7594" spans="1:24">
      <c r="A7594">
        <f>HYPERLINK("https://www.philgeps.gov.ph/GEPSNONPILOT/Tender/SplashBidNoticeAbstractUI.aspx?menuIndex=3&amp;refID=7070252&amp;Result=3","7070252")</f>
        <v>0</v>
      </c>
      <c r="B7594" t="s">
        <v>889</v>
      </c>
      <c r="C7594" t="s">
        <v>10628</v>
      </c>
      <c r="D7594" t="s">
        <v>16644</v>
      </c>
      <c r="E7594" t="s">
        <v>23354</v>
      </c>
      <c r="F7594" t="s">
        <v>28669</v>
      </c>
      <c r="G7594" t="s">
        <v>28675</v>
      </c>
      <c r="H7594" t="s">
        <v>28686</v>
      </c>
      <c r="I7594" t="s">
        <v>28689</v>
      </c>
      <c r="J7594" t="s">
        <v>33557</v>
      </c>
      <c r="K7594" t="s">
        <v>37213</v>
      </c>
      <c r="M7594" t="s">
        <v>38410</v>
      </c>
      <c r="N7594" t="s">
        <v>41249</v>
      </c>
      <c r="O7594" t="s">
        <v>41250</v>
      </c>
      <c r="P7594">
        <v>0</v>
      </c>
      <c r="Q7594">
        <v>1</v>
      </c>
      <c r="R7594" t="s">
        <v>41257</v>
      </c>
      <c r="S7594" t="s">
        <v>41461</v>
      </c>
      <c r="T7594" t="s">
        <v>42863</v>
      </c>
      <c r="U7594" t="s">
        <v>49443</v>
      </c>
      <c r="W7594" t="s">
        <v>38410</v>
      </c>
      <c r="X7594" t="s">
        <v>41258</v>
      </c>
    </row>
    <row r="7595" spans="1:24">
      <c r="A7595">
        <f>HYPERLINK("https://www.philgeps.gov.ph/GEPSNONPILOT/Tender/SplashBidNoticeAbstractUI.aspx?menuIndex=3&amp;refID=7070254&amp;Result=3","7070254")</f>
        <v>0</v>
      </c>
      <c r="B7595" t="s">
        <v>2386</v>
      </c>
      <c r="C7595" t="s">
        <v>10629</v>
      </c>
      <c r="D7595" t="s">
        <v>16617</v>
      </c>
      <c r="E7595" t="s">
        <v>23355</v>
      </c>
      <c r="F7595" t="s">
        <v>28669</v>
      </c>
      <c r="G7595" t="s">
        <v>28675</v>
      </c>
      <c r="H7595" t="s">
        <v>28686</v>
      </c>
      <c r="I7595" t="s">
        <v>28689</v>
      </c>
      <c r="J7595" t="s">
        <v>33558</v>
      </c>
      <c r="K7595" t="s">
        <v>37278</v>
      </c>
      <c r="M7595" t="s">
        <v>40059</v>
      </c>
      <c r="N7595" t="s">
        <v>41249</v>
      </c>
      <c r="O7595" t="s">
        <v>41250</v>
      </c>
      <c r="P7595">
        <v>0</v>
      </c>
      <c r="Q7595">
        <v>1</v>
      </c>
      <c r="R7595" t="s">
        <v>41257</v>
      </c>
      <c r="S7595" t="s">
        <v>41461</v>
      </c>
      <c r="T7595" t="s">
        <v>42743</v>
      </c>
      <c r="U7595" t="s">
        <v>49444</v>
      </c>
      <c r="W7595" t="s">
        <v>40059</v>
      </c>
      <c r="X7595" t="s">
        <v>41258</v>
      </c>
    </row>
    <row r="7596" spans="1:24">
      <c r="A7596">
        <f>HYPERLINK("https://www.philgeps.gov.ph/GEPSNONPILOT/Tender/SplashBidNoticeAbstractUI.aspx?menuIndex=3&amp;refID=7070220&amp;Result=3","7070220")</f>
        <v>0</v>
      </c>
      <c r="B7596" t="s">
        <v>2046</v>
      </c>
      <c r="C7596" t="s">
        <v>10630</v>
      </c>
      <c r="D7596" t="s">
        <v>16643</v>
      </c>
      <c r="E7596" t="s">
        <v>23356</v>
      </c>
      <c r="F7596" t="s">
        <v>28669</v>
      </c>
      <c r="G7596" t="s">
        <v>28675</v>
      </c>
      <c r="H7596" t="s">
        <v>9998</v>
      </c>
      <c r="I7596" t="s">
        <v>11593</v>
      </c>
      <c r="J7596" t="s">
        <v>33559</v>
      </c>
      <c r="K7596" t="s">
        <v>37213</v>
      </c>
      <c r="M7596" t="s">
        <v>40052</v>
      </c>
      <c r="N7596" t="s">
        <v>41249</v>
      </c>
      <c r="O7596" t="s">
        <v>41250</v>
      </c>
      <c r="P7596">
        <v>0</v>
      </c>
      <c r="Q7596">
        <v>11</v>
      </c>
      <c r="R7596" t="s">
        <v>41257</v>
      </c>
      <c r="S7596" t="s">
        <v>41461</v>
      </c>
      <c r="T7596" t="s">
        <v>42692</v>
      </c>
      <c r="U7596" t="s">
        <v>49412</v>
      </c>
      <c r="W7596" t="s">
        <v>40052</v>
      </c>
      <c r="X7596" t="s">
        <v>41258</v>
      </c>
    </row>
    <row r="7597" spans="1:24">
      <c r="A7597">
        <f>HYPERLINK("https://www.philgeps.gov.ph/GEPSNONPILOT/Tender/SplashBidNoticeAbstractUI.aspx?menuIndex=3&amp;refID=7070266&amp;Result=3","7070266")</f>
        <v>0</v>
      </c>
      <c r="B7597" t="s">
        <v>852</v>
      </c>
      <c r="C7597" t="s">
        <v>10631</v>
      </c>
      <c r="D7597" t="s">
        <v>16679</v>
      </c>
      <c r="E7597" t="s">
        <v>23357</v>
      </c>
      <c r="F7597" t="s">
        <v>28669</v>
      </c>
      <c r="G7597" t="s">
        <v>28677</v>
      </c>
      <c r="H7597" t="s">
        <v>9998</v>
      </c>
      <c r="I7597" t="s">
        <v>28731</v>
      </c>
      <c r="J7597" t="s">
        <v>33560</v>
      </c>
      <c r="K7597" t="s">
        <v>37209</v>
      </c>
      <c r="M7597" t="s">
        <v>38368</v>
      </c>
      <c r="N7597" t="s">
        <v>41249</v>
      </c>
      <c r="O7597" t="s">
        <v>41250</v>
      </c>
      <c r="P7597">
        <v>0</v>
      </c>
      <c r="Q7597">
        <v>20</v>
      </c>
      <c r="R7597" t="s">
        <v>41257</v>
      </c>
      <c r="S7597" t="s">
        <v>41461</v>
      </c>
      <c r="T7597" t="s">
        <v>42748</v>
      </c>
      <c r="U7597" t="s">
        <v>49445</v>
      </c>
      <c r="V7597" t="s">
        <v>54491</v>
      </c>
      <c r="W7597" t="s">
        <v>38368</v>
      </c>
      <c r="X7597" t="s">
        <v>41258</v>
      </c>
    </row>
    <row r="7598" spans="1:24">
      <c r="A7598">
        <f>HYPERLINK("https://www.philgeps.gov.ph/GEPSNONPILOT/Tender/SplashBidNoticeAbstractUI.aspx?menuIndex=3&amp;refID=7070199&amp;Result=3","7070199")</f>
        <v>0</v>
      </c>
      <c r="B7598" t="s">
        <v>2098</v>
      </c>
      <c r="C7598" t="s">
        <v>10632</v>
      </c>
      <c r="D7598" t="s">
        <v>16618</v>
      </c>
      <c r="E7598" t="s">
        <v>23358</v>
      </c>
      <c r="F7598" t="s">
        <v>28669</v>
      </c>
      <c r="G7598" t="s">
        <v>28675</v>
      </c>
      <c r="H7598" t="s">
        <v>9998</v>
      </c>
      <c r="I7598" t="s">
        <v>7352</v>
      </c>
      <c r="J7598" t="s">
        <v>33561</v>
      </c>
      <c r="K7598" t="s">
        <v>37215</v>
      </c>
      <c r="L7598" t="s">
        <v>2098</v>
      </c>
      <c r="M7598" t="s">
        <v>40060</v>
      </c>
      <c r="N7598" t="s">
        <v>41249</v>
      </c>
      <c r="O7598" t="s">
        <v>41250</v>
      </c>
      <c r="P7598">
        <v>0</v>
      </c>
      <c r="Q7598">
        <v>2</v>
      </c>
      <c r="R7598" t="s">
        <v>41257</v>
      </c>
      <c r="S7598" t="s">
        <v>41461</v>
      </c>
      <c r="T7598" t="s">
        <v>42782</v>
      </c>
      <c r="U7598" t="s">
        <v>49446</v>
      </c>
      <c r="V7598" t="s">
        <v>55123</v>
      </c>
      <c r="W7598" t="s">
        <v>40060</v>
      </c>
      <c r="X7598" t="s">
        <v>41258</v>
      </c>
    </row>
    <row r="7599" spans="1:24">
      <c r="A7599">
        <f>HYPERLINK("https://www.philgeps.gov.ph/GEPSNONPILOT/Tender/SplashBidNoticeAbstractUI.aspx?menuIndex=3&amp;refID=7070247&amp;Result=3","7070247")</f>
        <v>0</v>
      </c>
      <c r="B7599" t="s">
        <v>889</v>
      </c>
      <c r="C7599" t="s">
        <v>10628</v>
      </c>
      <c r="D7599" t="s">
        <v>16644</v>
      </c>
      <c r="E7599" t="s">
        <v>23359</v>
      </c>
      <c r="F7599" t="s">
        <v>28669</v>
      </c>
      <c r="G7599" t="s">
        <v>28675</v>
      </c>
      <c r="H7599" t="s">
        <v>28686</v>
      </c>
      <c r="I7599" t="s">
        <v>28689</v>
      </c>
      <c r="J7599" t="s">
        <v>33562</v>
      </c>
      <c r="K7599" t="s">
        <v>37211</v>
      </c>
      <c r="M7599" t="s">
        <v>38410</v>
      </c>
      <c r="N7599" t="s">
        <v>41249</v>
      </c>
      <c r="O7599" t="s">
        <v>41250</v>
      </c>
      <c r="P7599">
        <v>0</v>
      </c>
      <c r="Q7599">
        <v>1</v>
      </c>
      <c r="R7599" t="s">
        <v>41257</v>
      </c>
      <c r="S7599" t="s">
        <v>41461</v>
      </c>
      <c r="T7599" t="s">
        <v>42863</v>
      </c>
      <c r="U7599" t="s">
        <v>49443</v>
      </c>
      <c r="W7599" t="s">
        <v>38410</v>
      </c>
      <c r="X7599" t="s">
        <v>41258</v>
      </c>
    </row>
    <row r="7600" spans="1:24">
      <c r="A7600">
        <f>HYPERLINK("https://www.philgeps.gov.ph/GEPSNONPILOT/Tender/SplashBidNoticeAbstractUI.aspx?menuIndex=3&amp;refID=7070244&amp;Result=3","7070244")</f>
        <v>0</v>
      </c>
      <c r="B7600" t="s">
        <v>889</v>
      </c>
      <c r="C7600" t="s">
        <v>10628</v>
      </c>
      <c r="D7600" t="s">
        <v>16644</v>
      </c>
      <c r="E7600" t="s">
        <v>23360</v>
      </c>
      <c r="F7600" t="s">
        <v>28669</v>
      </c>
      <c r="G7600" t="s">
        <v>28675</v>
      </c>
      <c r="H7600" t="s">
        <v>28686</v>
      </c>
      <c r="I7600" t="s">
        <v>28689</v>
      </c>
      <c r="J7600" t="s">
        <v>33563</v>
      </c>
      <c r="K7600" t="s">
        <v>37211</v>
      </c>
      <c r="M7600" t="s">
        <v>38410</v>
      </c>
      <c r="N7600" t="s">
        <v>41249</v>
      </c>
      <c r="O7600" t="s">
        <v>41250</v>
      </c>
      <c r="P7600">
        <v>0</v>
      </c>
      <c r="Q7600">
        <v>1</v>
      </c>
      <c r="R7600" t="s">
        <v>41257</v>
      </c>
      <c r="S7600" t="s">
        <v>41461</v>
      </c>
      <c r="T7600" t="s">
        <v>42863</v>
      </c>
      <c r="U7600" t="s">
        <v>49443</v>
      </c>
      <c r="W7600" t="s">
        <v>38410</v>
      </c>
      <c r="X7600" t="s">
        <v>41258</v>
      </c>
    </row>
    <row r="7601" spans="1:24">
      <c r="A7601">
        <f>HYPERLINK("https://www.philgeps.gov.ph/GEPSNONPILOT/Tender/SplashBidNoticeAbstractUI.aspx?menuIndex=3&amp;refID=7070193&amp;Result=3","7070193")</f>
        <v>0</v>
      </c>
      <c r="B7601" t="s">
        <v>1666</v>
      </c>
      <c r="C7601" t="s">
        <v>10633</v>
      </c>
      <c r="D7601" t="s">
        <v>16666</v>
      </c>
      <c r="E7601" t="s">
        <v>23361</v>
      </c>
      <c r="F7601" t="s">
        <v>28669</v>
      </c>
      <c r="G7601" t="s">
        <v>28675</v>
      </c>
      <c r="H7601" t="s">
        <v>28686</v>
      </c>
      <c r="I7601" t="s">
        <v>28689</v>
      </c>
      <c r="J7601" t="s">
        <v>33564</v>
      </c>
      <c r="K7601" t="s">
        <v>37209</v>
      </c>
      <c r="M7601" t="s">
        <v>39257</v>
      </c>
      <c r="N7601" t="s">
        <v>41249</v>
      </c>
      <c r="O7601" t="s">
        <v>41250</v>
      </c>
      <c r="P7601">
        <v>0</v>
      </c>
      <c r="Q7601">
        <v>0</v>
      </c>
      <c r="R7601" t="s">
        <v>41257</v>
      </c>
      <c r="S7601" t="s">
        <v>41461</v>
      </c>
      <c r="T7601" t="s">
        <v>43036</v>
      </c>
      <c r="U7601" t="s">
        <v>49447</v>
      </c>
      <c r="W7601" t="s">
        <v>39257</v>
      </c>
      <c r="X7601" t="s">
        <v>41258</v>
      </c>
    </row>
    <row r="7602" spans="1:24">
      <c r="A7602">
        <f>HYPERLINK("https://www.philgeps.gov.ph/GEPSNONPILOT/Tender/SplashBidNoticeAbstractUI.aspx?menuIndex=3&amp;refID=7070191&amp;Result=3","7070191")</f>
        <v>0</v>
      </c>
      <c r="B7602" t="s">
        <v>2387</v>
      </c>
      <c r="C7602" t="s">
        <v>10634</v>
      </c>
      <c r="D7602" t="s">
        <v>16617</v>
      </c>
      <c r="E7602" t="s">
        <v>23362</v>
      </c>
      <c r="F7602" t="s">
        <v>28669</v>
      </c>
      <c r="G7602" t="s">
        <v>28675</v>
      </c>
      <c r="H7602" t="s">
        <v>9998</v>
      </c>
      <c r="I7602" t="s">
        <v>28734</v>
      </c>
      <c r="J7602" t="s">
        <v>28905</v>
      </c>
      <c r="K7602" t="s">
        <v>37243</v>
      </c>
      <c r="M7602" t="s">
        <v>40061</v>
      </c>
      <c r="N7602" t="s">
        <v>41249</v>
      </c>
      <c r="O7602" t="s">
        <v>41250</v>
      </c>
      <c r="P7602">
        <v>0</v>
      </c>
      <c r="Q7602">
        <v>4</v>
      </c>
      <c r="R7602" t="s">
        <v>41257</v>
      </c>
      <c r="S7602" t="s">
        <v>41461</v>
      </c>
      <c r="T7602" t="s">
        <v>42758</v>
      </c>
      <c r="U7602" t="s">
        <v>49448</v>
      </c>
      <c r="W7602" t="s">
        <v>55990</v>
      </c>
      <c r="X7602" t="s">
        <v>41258</v>
      </c>
    </row>
    <row r="7603" spans="1:24">
      <c r="A7603">
        <f>HYPERLINK("https://www.philgeps.gov.ph/GEPSNONPILOT/Tender/SplashBidNoticeAbstractUI.aspx?menuIndex=3&amp;refID=7070219&amp;Result=3","7070219")</f>
        <v>0</v>
      </c>
      <c r="B7603" t="s">
        <v>844</v>
      </c>
      <c r="C7603" t="s">
        <v>10635</v>
      </c>
      <c r="D7603" t="s">
        <v>16650</v>
      </c>
      <c r="E7603" t="s">
        <v>23363</v>
      </c>
      <c r="F7603" t="s">
        <v>28669</v>
      </c>
      <c r="G7603" t="s">
        <v>28675</v>
      </c>
      <c r="H7603" t="s">
        <v>28686</v>
      </c>
      <c r="I7603" t="s">
        <v>28689</v>
      </c>
      <c r="J7603" t="s">
        <v>33342</v>
      </c>
      <c r="K7603" t="s">
        <v>37205</v>
      </c>
      <c r="M7603" t="s">
        <v>38360</v>
      </c>
      <c r="N7603" t="s">
        <v>41249</v>
      </c>
      <c r="O7603" t="s">
        <v>41250</v>
      </c>
      <c r="P7603">
        <v>0</v>
      </c>
      <c r="Q7603">
        <v>0</v>
      </c>
      <c r="R7603" t="s">
        <v>41257</v>
      </c>
      <c r="S7603" t="s">
        <v>41461</v>
      </c>
      <c r="T7603" t="s">
        <v>42911</v>
      </c>
      <c r="U7603" t="s">
        <v>44857</v>
      </c>
      <c r="W7603" t="s">
        <v>38360</v>
      </c>
      <c r="X7603" t="s">
        <v>41258</v>
      </c>
    </row>
    <row r="7604" spans="1:24">
      <c r="A7604">
        <f>HYPERLINK("https://www.philgeps.gov.ph/GEPSNONPILOT/Tender/SplashBidNoticeAbstractUI.aspx?menuIndex=3&amp;refID=7070216&amp;Result=3","7070216")</f>
        <v>0</v>
      </c>
      <c r="B7604" t="s">
        <v>844</v>
      </c>
      <c r="C7604" t="s">
        <v>10636</v>
      </c>
      <c r="D7604" t="s">
        <v>16650</v>
      </c>
      <c r="E7604" t="s">
        <v>23364</v>
      </c>
      <c r="F7604" t="s">
        <v>28669</v>
      </c>
      <c r="G7604" t="s">
        <v>28675</v>
      </c>
      <c r="H7604" t="s">
        <v>28686</v>
      </c>
      <c r="I7604" t="s">
        <v>28689</v>
      </c>
      <c r="J7604" t="s">
        <v>33342</v>
      </c>
      <c r="K7604" t="s">
        <v>37205</v>
      </c>
      <c r="M7604" t="s">
        <v>38360</v>
      </c>
      <c r="N7604" t="s">
        <v>41249</v>
      </c>
      <c r="O7604" t="s">
        <v>41250</v>
      </c>
      <c r="P7604">
        <v>0</v>
      </c>
      <c r="Q7604">
        <v>0</v>
      </c>
      <c r="R7604" t="s">
        <v>41257</v>
      </c>
      <c r="S7604" t="s">
        <v>41461</v>
      </c>
      <c r="T7604" t="s">
        <v>42911</v>
      </c>
      <c r="U7604" t="s">
        <v>44857</v>
      </c>
      <c r="W7604" t="s">
        <v>38360</v>
      </c>
      <c r="X7604" t="s">
        <v>41258</v>
      </c>
    </row>
    <row r="7605" spans="1:24">
      <c r="A7605">
        <f>HYPERLINK("https://www.philgeps.gov.ph/GEPSNONPILOT/Tender/SplashBidNoticeAbstractUI.aspx?menuIndex=3&amp;refID=7070158&amp;Result=3","7070158")</f>
        <v>0</v>
      </c>
      <c r="B7605" t="s">
        <v>2375</v>
      </c>
      <c r="C7605" t="s">
        <v>10637</v>
      </c>
      <c r="D7605" t="s">
        <v>16680</v>
      </c>
      <c r="E7605" t="s">
        <v>23365</v>
      </c>
      <c r="F7605" t="s">
        <v>28669</v>
      </c>
      <c r="G7605" t="s">
        <v>28675</v>
      </c>
      <c r="H7605" t="s">
        <v>9998</v>
      </c>
      <c r="I7605" t="s">
        <v>6128</v>
      </c>
      <c r="J7605" t="s">
        <v>29092</v>
      </c>
      <c r="K7605" t="s">
        <v>37205</v>
      </c>
      <c r="M7605" t="s">
        <v>40045</v>
      </c>
      <c r="N7605" t="s">
        <v>41249</v>
      </c>
      <c r="O7605" t="s">
        <v>41250</v>
      </c>
      <c r="P7605">
        <v>0</v>
      </c>
      <c r="Q7605">
        <v>2</v>
      </c>
      <c r="R7605" t="s">
        <v>41257</v>
      </c>
      <c r="S7605" t="s">
        <v>41461</v>
      </c>
      <c r="T7605" t="s">
        <v>42911</v>
      </c>
      <c r="U7605" t="s">
        <v>49449</v>
      </c>
      <c r="W7605" t="s">
        <v>40045</v>
      </c>
      <c r="X7605" t="s">
        <v>41258</v>
      </c>
    </row>
    <row r="7606" spans="1:24">
      <c r="A7606">
        <f>HYPERLINK("https://www.philgeps.gov.ph/GEPSNONPILOT/Tender/SplashBidNoticeAbstractUI.aspx?menuIndex=3&amp;refID=7070195&amp;Result=3","7070195")</f>
        <v>0</v>
      </c>
      <c r="B7606" t="s">
        <v>1666</v>
      </c>
      <c r="C7606" t="s">
        <v>10638</v>
      </c>
      <c r="D7606" t="s">
        <v>16666</v>
      </c>
      <c r="E7606" t="s">
        <v>23366</v>
      </c>
      <c r="F7606" t="s">
        <v>28669</v>
      </c>
      <c r="G7606" t="s">
        <v>28675</v>
      </c>
      <c r="H7606" t="s">
        <v>28686</v>
      </c>
      <c r="I7606" t="s">
        <v>28689</v>
      </c>
      <c r="J7606" t="s">
        <v>29112</v>
      </c>
      <c r="K7606" t="s">
        <v>37209</v>
      </c>
      <c r="M7606" t="s">
        <v>39257</v>
      </c>
      <c r="N7606" t="s">
        <v>41249</v>
      </c>
      <c r="O7606" t="s">
        <v>41250</v>
      </c>
      <c r="P7606">
        <v>0</v>
      </c>
      <c r="Q7606">
        <v>0</v>
      </c>
      <c r="R7606" t="s">
        <v>41257</v>
      </c>
      <c r="S7606" t="s">
        <v>41461</v>
      </c>
      <c r="T7606" t="s">
        <v>43036</v>
      </c>
      <c r="U7606" t="s">
        <v>49450</v>
      </c>
      <c r="W7606" t="s">
        <v>39257</v>
      </c>
      <c r="X7606" t="s">
        <v>41258</v>
      </c>
    </row>
    <row r="7607" spans="1:24">
      <c r="A7607">
        <f>HYPERLINK("https://www.philgeps.gov.ph/GEPSNONPILOT/Tender/SplashBidNoticeAbstractUI.aspx?menuIndex=3&amp;refID=7040936&amp;Result=3","7040936")</f>
        <v>0</v>
      </c>
      <c r="B7607" t="s">
        <v>25</v>
      </c>
      <c r="C7607" t="s">
        <v>10639</v>
      </c>
      <c r="D7607" t="s">
        <v>16608</v>
      </c>
      <c r="E7607" t="s">
        <v>17140</v>
      </c>
      <c r="F7607" t="s">
        <v>28669</v>
      </c>
      <c r="G7607" t="s">
        <v>28675</v>
      </c>
      <c r="H7607" t="s">
        <v>28684</v>
      </c>
      <c r="I7607" t="s">
        <v>6128</v>
      </c>
      <c r="J7607" t="s">
        <v>33565</v>
      </c>
      <c r="K7607" t="s">
        <v>37204</v>
      </c>
      <c r="M7607" t="s">
        <v>37500</v>
      </c>
      <c r="N7607" t="s">
        <v>41249</v>
      </c>
      <c r="O7607" t="s">
        <v>41250</v>
      </c>
      <c r="P7607">
        <v>0</v>
      </c>
      <c r="Q7607">
        <v>1</v>
      </c>
      <c r="R7607" t="s">
        <v>41258</v>
      </c>
      <c r="S7607" t="s">
        <v>41513</v>
      </c>
      <c r="T7607" t="s">
        <v>42717</v>
      </c>
      <c r="U7607" t="s">
        <v>49451</v>
      </c>
      <c r="W7607" t="s">
        <v>37500</v>
      </c>
      <c r="X7607" t="s">
        <v>41273</v>
      </c>
    </row>
    <row r="7608" spans="1:24">
      <c r="A7608">
        <f>HYPERLINK("https://www.philgeps.gov.ph/GEPSNONPILOT/Tender/SplashBidNoticeAbstractUI.aspx?menuIndex=3&amp;refID=7070192&amp;Result=3","7070192")</f>
        <v>0</v>
      </c>
      <c r="B7608" t="s">
        <v>2380</v>
      </c>
      <c r="C7608" t="s">
        <v>10640</v>
      </c>
      <c r="D7608" t="s">
        <v>16658</v>
      </c>
      <c r="E7608" t="s">
        <v>23367</v>
      </c>
      <c r="F7608" t="s">
        <v>28669</v>
      </c>
      <c r="G7608" t="s">
        <v>28675</v>
      </c>
      <c r="H7608" t="s">
        <v>28686</v>
      </c>
      <c r="I7608" t="s">
        <v>28689</v>
      </c>
      <c r="J7608" t="s">
        <v>33566</v>
      </c>
      <c r="K7608" t="s">
        <v>37216</v>
      </c>
      <c r="M7608" t="s">
        <v>40050</v>
      </c>
      <c r="N7608" t="s">
        <v>41249</v>
      </c>
      <c r="O7608" t="s">
        <v>41250</v>
      </c>
      <c r="P7608">
        <v>0</v>
      </c>
      <c r="Q7608">
        <v>0</v>
      </c>
      <c r="R7608" t="s">
        <v>41257</v>
      </c>
      <c r="S7608" t="s">
        <v>41461</v>
      </c>
      <c r="T7608" t="s">
        <v>42736</v>
      </c>
      <c r="U7608" t="s">
        <v>49403</v>
      </c>
      <c r="W7608" t="s">
        <v>40050</v>
      </c>
      <c r="X7608" t="s">
        <v>41258</v>
      </c>
    </row>
    <row r="7609" spans="1:24">
      <c r="A7609">
        <f>HYPERLINK("https://www.philgeps.gov.ph/GEPSNONPILOT/Tender/SplashBidNoticeAbstractUI.aspx?menuIndex=3&amp;refID=6992175&amp;Result=3","6992175")</f>
        <v>0</v>
      </c>
      <c r="B7609" t="s">
        <v>2388</v>
      </c>
      <c r="C7609" t="s">
        <v>9149</v>
      </c>
      <c r="D7609" t="s">
        <v>16619</v>
      </c>
      <c r="E7609" t="s">
        <v>23368</v>
      </c>
      <c r="F7609" t="s">
        <v>28669</v>
      </c>
      <c r="G7609" t="s">
        <v>28675</v>
      </c>
      <c r="H7609" t="s">
        <v>9998</v>
      </c>
      <c r="I7609" t="s">
        <v>28701</v>
      </c>
      <c r="J7609" t="s">
        <v>33567</v>
      </c>
      <c r="K7609" t="s">
        <v>37272</v>
      </c>
      <c r="M7609" t="s">
        <v>40062</v>
      </c>
      <c r="N7609" t="s">
        <v>41249</v>
      </c>
      <c r="O7609" t="s">
        <v>41250</v>
      </c>
      <c r="P7609">
        <v>0</v>
      </c>
      <c r="Q7609">
        <v>6</v>
      </c>
      <c r="R7609" t="s">
        <v>41258</v>
      </c>
      <c r="S7609" t="s">
        <v>41513</v>
      </c>
      <c r="T7609" t="s">
        <v>42782</v>
      </c>
      <c r="U7609" t="s">
        <v>49452</v>
      </c>
      <c r="W7609" t="s">
        <v>40062</v>
      </c>
      <c r="X7609" t="s">
        <v>56045</v>
      </c>
    </row>
    <row r="7610" spans="1:24">
      <c r="A7610">
        <f>HYPERLINK("https://www.philgeps.gov.ph/GEPSNONPILOT/Tender/SplashBidNoticeAbstractUI.aspx?menuIndex=3&amp;refID=6982063-2&amp;Result=3","6982063-2")</f>
        <v>0</v>
      </c>
      <c r="B7610" t="s">
        <v>2389</v>
      </c>
      <c r="C7610" t="s">
        <v>10641</v>
      </c>
      <c r="D7610" t="s">
        <v>16631</v>
      </c>
      <c r="E7610" t="s">
        <v>23369</v>
      </c>
      <c r="F7610" t="s">
        <v>28669</v>
      </c>
      <c r="G7610" t="s">
        <v>28675</v>
      </c>
      <c r="H7610" t="s">
        <v>28685</v>
      </c>
      <c r="I7610" t="s">
        <v>28685</v>
      </c>
      <c r="J7610" t="s">
        <v>33568</v>
      </c>
      <c r="K7610" t="s">
        <v>37390</v>
      </c>
      <c r="M7610" t="s">
        <v>40063</v>
      </c>
      <c r="N7610" t="s">
        <v>41249</v>
      </c>
      <c r="O7610" t="s">
        <v>41250</v>
      </c>
      <c r="Q7610">
        <v>0</v>
      </c>
      <c r="R7610" t="s">
        <v>41258</v>
      </c>
      <c r="S7610" t="s">
        <v>41514</v>
      </c>
      <c r="T7610" t="s">
        <v>42764</v>
      </c>
      <c r="U7610" t="s">
        <v>49453</v>
      </c>
      <c r="V7610" t="s">
        <v>55124</v>
      </c>
      <c r="W7610" t="s">
        <v>40063</v>
      </c>
      <c r="X7610" t="s">
        <v>41259</v>
      </c>
    </row>
    <row r="7611" spans="1:24">
      <c r="A7611">
        <f>HYPERLINK("https://www.philgeps.gov.ph/GEPSNONPILOT/Tender/SplashBidNoticeAbstractUI.aspx?menuIndex=3&amp;refID=7070190&amp;Result=3","7070190")</f>
        <v>0</v>
      </c>
      <c r="B7611" t="s">
        <v>1667</v>
      </c>
      <c r="C7611" t="s">
        <v>10642</v>
      </c>
      <c r="E7611" t="s">
        <v>23370</v>
      </c>
      <c r="F7611" t="s">
        <v>28669</v>
      </c>
      <c r="G7611" t="s">
        <v>28676</v>
      </c>
      <c r="H7611" t="s">
        <v>9998</v>
      </c>
      <c r="I7611" t="s">
        <v>3718</v>
      </c>
      <c r="J7611" t="s">
        <v>33569</v>
      </c>
      <c r="K7611" t="s">
        <v>37209</v>
      </c>
      <c r="M7611" t="s">
        <v>40064</v>
      </c>
      <c r="N7611" t="s">
        <v>41249</v>
      </c>
      <c r="O7611" t="s">
        <v>41250</v>
      </c>
      <c r="P7611">
        <v>0</v>
      </c>
      <c r="Q7611">
        <v>16</v>
      </c>
      <c r="R7611" t="s">
        <v>41257</v>
      </c>
      <c r="S7611" t="s">
        <v>41461</v>
      </c>
      <c r="T7611" t="s">
        <v>42938</v>
      </c>
      <c r="U7611" t="s">
        <v>49454</v>
      </c>
      <c r="W7611" t="s">
        <v>55967</v>
      </c>
      <c r="X7611" t="s">
        <v>41258</v>
      </c>
    </row>
    <row r="7612" spans="1:24">
      <c r="A7612">
        <f>HYPERLINK("https://www.philgeps.gov.ph/GEPSNONPILOT/Tender/SplashBidNoticeAbstractUI.aspx?menuIndex=3&amp;refID=7070198&amp;Result=3","7070198")</f>
        <v>0</v>
      </c>
      <c r="B7612" t="s">
        <v>2387</v>
      </c>
      <c r="C7612" t="s">
        <v>10643</v>
      </c>
      <c r="D7612" t="s">
        <v>16617</v>
      </c>
      <c r="E7612" t="s">
        <v>23371</v>
      </c>
      <c r="F7612" t="s">
        <v>28669</v>
      </c>
      <c r="G7612" t="s">
        <v>28675</v>
      </c>
      <c r="H7612" t="s">
        <v>9998</v>
      </c>
      <c r="I7612" t="s">
        <v>28703</v>
      </c>
      <c r="J7612" t="s">
        <v>33570</v>
      </c>
      <c r="K7612" t="s">
        <v>37243</v>
      </c>
      <c r="M7612" t="s">
        <v>40061</v>
      </c>
      <c r="N7612" t="s">
        <v>41249</v>
      </c>
      <c r="O7612" t="s">
        <v>41250</v>
      </c>
      <c r="P7612">
        <v>0</v>
      </c>
      <c r="Q7612">
        <v>5</v>
      </c>
      <c r="R7612" t="s">
        <v>41257</v>
      </c>
      <c r="S7612" t="s">
        <v>41461</v>
      </c>
      <c r="T7612" t="s">
        <v>42758</v>
      </c>
      <c r="U7612" t="s">
        <v>49455</v>
      </c>
      <c r="W7612" t="s">
        <v>55990</v>
      </c>
      <c r="X7612" t="s">
        <v>41258</v>
      </c>
    </row>
    <row r="7613" spans="1:24">
      <c r="A7613">
        <f>HYPERLINK("https://www.philgeps.gov.ph/GEPSNONPILOT/Tender/SplashBidNoticeAbstractUI.aspx?menuIndex=3&amp;refID=6982058-2&amp;Result=3","6982058-2")</f>
        <v>0</v>
      </c>
      <c r="B7613" t="s">
        <v>2389</v>
      </c>
      <c r="C7613" t="s">
        <v>10644</v>
      </c>
      <c r="D7613" t="s">
        <v>16631</v>
      </c>
      <c r="E7613" t="s">
        <v>23372</v>
      </c>
      <c r="F7613" t="s">
        <v>28669</v>
      </c>
      <c r="G7613" t="s">
        <v>28675</v>
      </c>
      <c r="H7613" t="s">
        <v>28685</v>
      </c>
      <c r="I7613" t="s">
        <v>28685</v>
      </c>
      <c r="J7613" t="s">
        <v>33571</v>
      </c>
      <c r="K7613" t="s">
        <v>37332</v>
      </c>
      <c r="M7613" t="s">
        <v>40063</v>
      </c>
      <c r="N7613" t="s">
        <v>41249</v>
      </c>
      <c r="O7613" t="s">
        <v>41250</v>
      </c>
      <c r="Q7613">
        <v>1</v>
      </c>
      <c r="R7613" t="s">
        <v>41258</v>
      </c>
      <c r="S7613" t="s">
        <v>41515</v>
      </c>
      <c r="T7613" t="s">
        <v>42764</v>
      </c>
      <c r="U7613" t="s">
        <v>49453</v>
      </c>
      <c r="V7613" t="s">
        <v>55124</v>
      </c>
      <c r="W7613" t="s">
        <v>40063</v>
      </c>
      <c r="X7613" t="s">
        <v>41259</v>
      </c>
    </row>
    <row r="7614" spans="1:24">
      <c r="A7614">
        <f>HYPERLINK("https://www.philgeps.gov.ph/GEPSNONPILOT/Tender/SplashBidNoticeAbstractUI.aspx?menuIndex=3&amp;refID=7030834-2&amp;Result=3","7030834-2")</f>
        <v>0</v>
      </c>
      <c r="B7614" t="s">
        <v>2390</v>
      </c>
      <c r="C7614" t="s">
        <v>10645</v>
      </c>
      <c r="D7614" t="s">
        <v>16640</v>
      </c>
      <c r="E7614" t="s">
        <v>23373</v>
      </c>
      <c r="F7614" t="s">
        <v>28669</v>
      </c>
      <c r="G7614" t="s">
        <v>28682</v>
      </c>
      <c r="H7614" t="s">
        <v>28685</v>
      </c>
      <c r="I7614" t="s">
        <v>28685</v>
      </c>
      <c r="J7614" t="s">
        <v>33572</v>
      </c>
      <c r="K7614" t="s">
        <v>37212</v>
      </c>
      <c r="M7614" t="s">
        <v>40065</v>
      </c>
      <c r="N7614" t="s">
        <v>41249</v>
      </c>
      <c r="O7614" t="s">
        <v>41250</v>
      </c>
      <c r="Q7614">
        <v>1</v>
      </c>
      <c r="R7614" t="s">
        <v>41258</v>
      </c>
      <c r="S7614" t="s">
        <v>41516</v>
      </c>
      <c r="T7614" t="s">
        <v>42755</v>
      </c>
      <c r="U7614" t="s">
        <v>49456</v>
      </c>
      <c r="V7614" t="s">
        <v>55125</v>
      </c>
      <c r="W7614" t="s">
        <v>40065</v>
      </c>
      <c r="X7614" t="s">
        <v>41259</v>
      </c>
    </row>
    <row r="7615" spans="1:24">
      <c r="A7615">
        <f>HYPERLINK("https://www.philgeps.gov.ph/GEPSNONPILOT/Tender/SplashBidNoticeAbstractUI.aspx?menuIndex=3&amp;refID=6982057-2&amp;Result=3","6982057-2")</f>
        <v>0</v>
      </c>
      <c r="B7615" t="s">
        <v>2389</v>
      </c>
      <c r="C7615" t="s">
        <v>10646</v>
      </c>
      <c r="D7615" t="s">
        <v>16631</v>
      </c>
      <c r="E7615" t="s">
        <v>23374</v>
      </c>
      <c r="F7615" t="s">
        <v>28669</v>
      </c>
      <c r="G7615" t="s">
        <v>28675</v>
      </c>
      <c r="H7615" t="s">
        <v>28685</v>
      </c>
      <c r="I7615" t="s">
        <v>28685</v>
      </c>
      <c r="J7615" t="s">
        <v>33573</v>
      </c>
      <c r="K7615" t="s">
        <v>37260</v>
      </c>
      <c r="M7615" t="s">
        <v>40063</v>
      </c>
      <c r="N7615" t="s">
        <v>41249</v>
      </c>
      <c r="O7615" t="s">
        <v>41250</v>
      </c>
      <c r="Q7615">
        <v>1</v>
      </c>
      <c r="R7615" t="s">
        <v>41258</v>
      </c>
      <c r="S7615" t="s">
        <v>41517</v>
      </c>
      <c r="T7615" t="s">
        <v>42764</v>
      </c>
      <c r="U7615" t="s">
        <v>49457</v>
      </c>
      <c r="V7615" t="s">
        <v>55124</v>
      </c>
      <c r="W7615" t="s">
        <v>40063</v>
      </c>
      <c r="X7615" t="s">
        <v>41259</v>
      </c>
    </row>
    <row r="7616" spans="1:24">
      <c r="A7616">
        <f>HYPERLINK("https://www.philgeps.gov.ph/GEPSNONPILOT/Tender/SplashBidNoticeAbstractUI.aspx?menuIndex=3&amp;refID=6982054-2&amp;Result=3","6982054-2")</f>
        <v>0</v>
      </c>
      <c r="B7616" t="s">
        <v>2389</v>
      </c>
      <c r="C7616" t="s">
        <v>10647</v>
      </c>
      <c r="D7616" t="s">
        <v>16631</v>
      </c>
      <c r="E7616" t="s">
        <v>23375</v>
      </c>
      <c r="F7616" t="s">
        <v>28669</v>
      </c>
      <c r="G7616" t="s">
        <v>28675</v>
      </c>
      <c r="H7616" t="s">
        <v>28685</v>
      </c>
      <c r="I7616" t="s">
        <v>28685</v>
      </c>
      <c r="J7616" t="s">
        <v>33574</v>
      </c>
      <c r="K7616" t="s">
        <v>37390</v>
      </c>
      <c r="M7616" t="s">
        <v>40063</v>
      </c>
      <c r="N7616" t="s">
        <v>41249</v>
      </c>
      <c r="O7616" t="s">
        <v>41250</v>
      </c>
      <c r="Q7616">
        <v>1</v>
      </c>
      <c r="R7616" t="s">
        <v>41258</v>
      </c>
      <c r="S7616" t="s">
        <v>41518</v>
      </c>
      <c r="T7616" t="s">
        <v>42764</v>
      </c>
      <c r="U7616" t="s">
        <v>49457</v>
      </c>
      <c r="V7616" t="s">
        <v>55124</v>
      </c>
      <c r="W7616" t="s">
        <v>40063</v>
      </c>
      <c r="X7616" t="s">
        <v>41259</v>
      </c>
    </row>
    <row r="7617" spans="1:24">
      <c r="A7617">
        <f>HYPERLINK("https://www.philgeps.gov.ph/GEPSNONPILOT/Tender/SplashBidNoticeAbstractUI.aspx?menuIndex=3&amp;refID=6942081&amp;Result=3","6942081")</f>
        <v>0</v>
      </c>
      <c r="B7617" t="s">
        <v>2079</v>
      </c>
      <c r="C7617" t="s">
        <v>10648</v>
      </c>
      <c r="D7617" t="s">
        <v>16611</v>
      </c>
      <c r="E7617" t="s">
        <v>23376</v>
      </c>
      <c r="F7617" t="s">
        <v>28669</v>
      </c>
      <c r="G7617" t="s">
        <v>28675</v>
      </c>
      <c r="H7617" t="s">
        <v>9998</v>
      </c>
      <c r="I7617" t="s">
        <v>6128</v>
      </c>
      <c r="J7617" t="s">
        <v>30378</v>
      </c>
      <c r="K7617" t="s">
        <v>37206</v>
      </c>
      <c r="M7617" t="s">
        <v>39720</v>
      </c>
      <c r="N7617" t="s">
        <v>41249</v>
      </c>
      <c r="O7617" t="s">
        <v>41250</v>
      </c>
      <c r="P7617">
        <v>0</v>
      </c>
      <c r="Q7617">
        <v>0</v>
      </c>
      <c r="R7617" t="s">
        <v>41258</v>
      </c>
      <c r="S7617" t="s">
        <v>41513</v>
      </c>
      <c r="T7617" t="s">
        <v>42679</v>
      </c>
      <c r="U7617" t="s">
        <v>49458</v>
      </c>
      <c r="V7617" t="s">
        <v>54960</v>
      </c>
      <c r="W7617" t="s">
        <v>39720</v>
      </c>
      <c r="X7617" t="s">
        <v>41317</v>
      </c>
    </row>
    <row r="7618" spans="1:24">
      <c r="A7618">
        <f>HYPERLINK("https://www.philgeps.gov.ph/GEPSNONPILOT/Tender/SplashBidNoticeAbstractUI.aspx?menuIndex=3&amp;refID=6982060-2&amp;Result=3","6982060-2")</f>
        <v>0</v>
      </c>
      <c r="B7618" t="s">
        <v>2389</v>
      </c>
      <c r="C7618" t="s">
        <v>10649</v>
      </c>
      <c r="D7618" t="s">
        <v>16631</v>
      </c>
      <c r="E7618" t="s">
        <v>23377</v>
      </c>
      <c r="F7618" t="s">
        <v>28669</v>
      </c>
      <c r="G7618" t="s">
        <v>28675</v>
      </c>
      <c r="H7618" t="s">
        <v>28685</v>
      </c>
      <c r="I7618" t="s">
        <v>28685</v>
      </c>
      <c r="J7618" t="s">
        <v>33575</v>
      </c>
      <c r="K7618" t="s">
        <v>37391</v>
      </c>
      <c r="M7618" t="s">
        <v>40063</v>
      </c>
      <c r="N7618" t="s">
        <v>41249</v>
      </c>
      <c r="O7618" t="s">
        <v>41250</v>
      </c>
      <c r="P7618">
        <v>0</v>
      </c>
      <c r="Q7618">
        <v>0</v>
      </c>
      <c r="R7618" t="s">
        <v>41258</v>
      </c>
      <c r="S7618" t="s">
        <v>41513</v>
      </c>
      <c r="T7618" t="s">
        <v>42707</v>
      </c>
      <c r="U7618" t="s">
        <v>49457</v>
      </c>
      <c r="V7618" t="s">
        <v>55124</v>
      </c>
      <c r="W7618" t="s">
        <v>40063</v>
      </c>
      <c r="X7618" t="s">
        <v>41259</v>
      </c>
    </row>
    <row r="7619" spans="1:24">
      <c r="A7619">
        <f>HYPERLINK("https://www.philgeps.gov.ph/GEPSNONPILOT/Tender/SplashBidNoticeAbstractUI.aspx?menuIndex=3&amp;refID=6941994&amp;Result=3","6941994")</f>
        <v>0</v>
      </c>
      <c r="B7619" t="s">
        <v>2079</v>
      </c>
      <c r="C7619" t="s">
        <v>10650</v>
      </c>
      <c r="D7619" t="s">
        <v>16611</v>
      </c>
      <c r="E7619" t="s">
        <v>23378</v>
      </c>
      <c r="F7619" t="s">
        <v>28669</v>
      </c>
      <c r="G7619" t="s">
        <v>28675</v>
      </c>
      <c r="H7619" t="s">
        <v>9998</v>
      </c>
      <c r="I7619" t="s">
        <v>28717</v>
      </c>
      <c r="J7619" t="s">
        <v>33576</v>
      </c>
      <c r="K7619" t="s">
        <v>37206</v>
      </c>
      <c r="M7619" t="s">
        <v>39720</v>
      </c>
      <c r="N7619" t="s">
        <v>41249</v>
      </c>
      <c r="O7619" t="s">
        <v>41250</v>
      </c>
      <c r="P7619">
        <v>0</v>
      </c>
      <c r="Q7619">
        <v>4</v>
      </c>
      <c r="R7619" t="s">
        <v>41258</v>
      </c>
      <c r="S7619" t="s">
        <v>41513</v>
      </c>
      <c r="T7619" t="s">
        <v>42679</v>
      </c>
      <c r="U7619" t="s">
        <v>49459</v>
      </c>
      <c r="V7619" t="s">
        <v>54960</v>
      </c>
      <c r="W7619" t="s">
        <v>39720</v>
      </c>
      <c r="X7619" t="s">
        <v>41317</v>
      </c>
    </row>
    <row r="7620" spans="1:24">
      <c r="A7620">
        <f>HYPERLINK("https://www.philgeps.gov.ph/GEPSNONPILOT/Tender/SplashBidNoticeAbstractUI.aspx?menuIndex=3&amp;refID=6941948&amp;Result=3","6941948")</f>
        <v>0</v>
      </c>
      <c r="B7620" t="s">
        <v>2079</v>
      </c>
      <c r="C7620" t="s">
        <v>10651</v>
      </c>
      <c r="D7620" t="s">
        <v>16611</v>
      </c>
      <c r="E7620" t="s">
        <v>23379</v>
      </c>
      <c r="F7620" t="s">
        <v>28669</v>
      </c>
      <c r="G7620" t="s">
        <v>28675</v>
      </c>
      <c r="H7620" t="s">
        <v>9998</v>
      </c>
      <c r="I7620" t="s">
        <v>28690</v>
      </c>
      <c r="J7620" t="s">
        <v>33577</v>
      </c>
      <c r="K7620" t="s">
        <v>37206</v>
      </c>
      <c r="M7620" t="s">
        <v>39720</v>
      </c>
      <c r="N7620" t="s">
        <v>41249</v>
      </c>
      <c r="O7620" t="s">
        <v>41250</v>
      </c>
      <c r="P7620">
        <v>0</v>
      </c>
      <c r="Q7620">
        <v>3</v>
      </c>
      <c r="R7620" t="s">
        <v>41258</v>
      </c>
      <c r="S7620" t="s">
        <v>41513</v>
      </c>
      <c r="T7620" t="s">
        <v>42679</v>
      </c>
      <c r="U7620" t="s">
        <v>49460</v>
      </c>
      <c r="V7620" t="s">
        <v>54960</v>
      </c>
      <c r="W7620" t="s">
        <v>39720</v>
      </c>
      <c r="X7620" t="s">
        <v>41317</v>
      </c>
    </row>
    <row r="7621" spans="1:24">
      <c r="A7621">
        <f>HYPERLINK("https://www.philgeps.gov.ph/GEPSNONPILOT/Tender/SplashBidNoticeAbstractUI.aspx?menuIndex=3&amp;refID=6982055-2&amp;Result=3","6982055-2")</f>
        <v>0</v>
      </c>
      <c r="B7621" t="s">
        <v>2389</v>
      </c>
      <c r="C7621" t="s">
        <v>10652</v>
      </c>
      <c r="D7621" t="s">
        <v>16631</v>
      </c>
      <c r="E7621" t="s">
        <v>23380</v>
      </c>
      <c r="F7621" t="s">
        <v>28669</v>
      </c>
      <c r="G7621" t="s">
        <v>28675</v>
      </c>
      <c r="H7621" t="s">
        <v>28685</v>
      </c>
      <c r="I7621" t="s">
        <v>28685</v>
      </c>
      <c r="J7621" t="s">
        <v>33578</v>
      </c>
      <c r="K7621" t="s">
        <v>37392</v>
      </c>
      <c r="M7621" t="s">
        <v>40063</v>
      </c>
      <c r="N7621" t="s">
        <v>41249</v>
      </c>
      <c r="O7621" t="s">
        <v>41250</v>
      </c>
      <c r="Q7621">
        <v>1</v>
      </c>
      <c r="R7621" t="s">
        <v>41258</v>
      </c>
      <c r="S7621" t="s">
        <v>41519</v>
      </c>
      <c r="T7621" t="s">
        <v>42764</v>
      </c>
      <c r="U7621" t="s">
        <v>49457</v>
      </c>
      <c r="V7621" t="s">
        <v>55124</v>
      </c>
      <c r="W7621" t="s">
        <v>40063</v>
      </c>
      <c r="X7621" t="s">
        <v>41259</v>
      </c>
    </row>
    <row r="7622" spans="1:24">
      <c r="A7622">
        <f>HYPERLINK("https://www.philgeps.gov.ph/GEPSNONPILOT/Tender/SplashBidNoticeAbstractUI.aspx?menuIndex=3&amp;refID=6941881&amp;Result=3","6941881")</f>
        <v>0</v>
      </c>
      <c r="B7622" t="s">
        <v>2079</v>
      </c>
      <c r="C7622" t="s">
        <v>10653</v>
      </c>
      <c r="D7622" t="s">
        <v>16611</v>
      </c>
      <c r="E7622" t="s">
        <v>23381</v>
      </c>
      <c r="F7622" t="s">
        <v>28669</v>
      </c>
      <c r="G7622" t="s">
        <v>28675</v>
      </c>
      <c r="H7622" t="s">
        <v>9998</v>
      </c>
      <c r="I7622" t="s">
        <v>6458</v>
      </c>
      <c r="J7622" t="s">
        <v>33579</v>
      </c>
      <c r="K7622" t="s">
        <v>37206</v>
      </c>
      <c r="M7622" t="s">
        <v>39720</v>
      </c>
      <c r="N7622" t="s">
        <v>41249</v>
      </c>
      <c r="O7622" t="s">
        <v>41250</v>
      </c>
      <c r="P7622">
        <v>0</v>
      </c>
      <c r="Q7622">
        <v>2</v>
      </c>
      <c r="R7622" t="s">
        <v>41258</v>
      </c>
      <c r="S7622" t="s">
        <v>41513</v>
      </c>
      <c r="T7622" t="s">
        <v>42679</v>
      </c>
      <c r="U7622" t="s">
        <v>49461</v>
      </c>
      <c r="V7622" t="s">
        <v>55126</v>
      </c>
      <c r="W7622" t="s">
        <v>39720</v>
      </c>
      <c r="X7622" t="s">
        <v>41317</v>
      </c>
    </row>
    <row r="7623" spans="1:24">
      <c r="A7623">
        <f>HYPERLINK("https://www.philgeps.gov.ph/GEPSNONPILOT/Tender/SplashBidNoticeAbstractUI.aspx?menuIndex=3&amp;refID=6819197&amp;Result=3","6819197")</f>
        <v>0</v>
      </c>
      <c r="B7623" t="s">
        <v>2079</v>
      </c>
      <c r="C7623" t="s">
        <v>10654</v>
      </c>
      <c r="D7623" t="s">
        <v>16611</v>
      </c>
      <c r="E7623" t="s">
        <v>23382</v>
      </c>
      <c r="F7623" t="s">
        <v>28669</v>
      </c>
      <c r="G7623" t="s">
        <v>28675</v>
      </c>
      <c r="H7623" t="s">
        <v>9998</v>
      </c>
      <c r="I7623" t="s">
        <v>6128</v>
      </c>
      <c r="J7623" t="s">
        <v>33580</v>
      </c>
      <c r="K7623" t="s">
        <v>37206</v>
      </c>
      <c r="M7623" t="s">
        <v>39720</v>
      </c>
      <c r="N7623" t="s">
        <v>41249</v>
      </c>
      <c r="O7623" t="s">
        <v>41250</v>
      </c>
      <c r="P7623">
        <v>0</v>
      </c>
      <c r="Q7623">
        <v>3</v>
      </c>
      <c r="R7623" t="s">
        <v>41258</v>
      </c>
      <c r="S7623" t="s">
        <v>41513</v>
      </c>
      <c r="T7623" t="s">
        <v>42679</v>
      </c>
      <c r="U7623" t="s">
        <v>49462</v>
      </c>
      <c r="V7623" t="s">
        <v>54960</v>
      </c>
      <c r="W7623" t="s">
        <v>39720</v>
      </c>
      <c r="X7623" t="s">
        <v>41363</v>
      </c>
    </row>
    <row r="7624" spans="1:24">
      <c r="A7624">
        <f>HYPERLINK("https://www.philgeps.gov.ph/GEPSNONPILOT/Tender/SplashBidNoticeAbstractUI.aspx?menuIndex=3&amp;refID=6675528&amp;Result=3","6675528")</f>
        <v>0</v>
      </c>
      <c r="B7624" t="s">
        <v>217</v>
      </c>
      <c r="C7624" t="s">
        <v>10655</v>
      </c>
      <c r="D7624" t="s">
        <v>16618</v>
      </c>
      <c r="E7624" t="s">
        <v>23383</v>
      </c>
      <c r="F7624" t="s">
        <v>28669</v>
      </c>
      <c r="G7624" t="s">
        <v>28676</v>
      </c>
      <c r="H7624" t="s">
        <v>9998</v>
      </c>
      <c r="I7624" t="s">
        <v>28717</v>
      </c>
      <c r="J7624" t="s">
        <v>33581</v>
      </c>
      <c r="K7624" t="s">
        <v>37206</v>
      </c>
      <c r="M7624" t="s">
        <v>37695</v>
      </c>
      <c r="N7624" t="s">
        <v>41249</v>
      </c>
      <c r="O7624" t="s">
        <v>41250</v>
      </c>
      <c r="P7624">
        <v>0</v>
      </c>
      <c r="Q7624">
        <v>10</v>
      </c>
      <c r="R7624" t="s">
        <v>41258</v>
      </c>
      <c r="S7624" t="s">
        <v>41513</v>
      </c>
      <c r="T7624" t="s">
        <v>42883</v>
      </c>
      <c r="U7624" t="s">
        <v>49463</v>
      </c>
      <c r="W7624" t="s">
        <v>37695</v>
      </c>
      <c r="X7624" t="s">
        <v>56046</v>
      </c>
    </row>
    <row r="7625" spans="1:24">
      <c r="A7625">
        <f>HYPERLINK("https://www.philgeps.gov.ph/GEPSNONPILOT/Tender/SplashBidNoticeAbstractUI.aspx?menuIndex=3&amp;refID=6982061-2&amp;Result=3","6982061-2")</f>
        <v>0</v>
      </c>
      <c r="B7625" t="s">
        <v>2389</v>
      </c>
      <c r="C7625" t="s">
        <v>10656</v>
      </c>
      <c r="D7625" t="s">
        <v>16631</v>
      </c>
      <c r="E7625" t="s">
        <v>23384</v>
      </c>
      <c r="F7625" t="s">
        <v>28669</v>
      </c>
      <c r="G7625" t="s">
        <v>28675</v>
      </c>
      <c r="H7625" t="s">
        <v>28685</v>
      </c>
      <c r="I7625" t="s">
        <v>28685</v>
      </c>
      <c r="J7625" t="s">
        <v>33582</v>
      </c>
      <c r="K7625" t="s">
        <v>37269</v>
      </c>
      <c r="M7625" t="s">
        <v>40063</v>
      </c>
      <c r="N7625" t="s">
        <v>41249</v>
      </c>
      <c r="O7625" t="s">
        <v>41250</v>
      </c>
      <c r="Q7625">
        <v>0</v>
      </c>
      <c r="R7625" t="s">
        <v>41258</v>
      </c>
      <c r="S7625" t="s">
        <v>41520</v>
      </c>
      <c r="T7625" t="s">
        <v>42764</v>
      </c>
      <c r="U7625" t="s">
        <v>49457</v>
      </c>
      <c r="V7625" t="s">
        <v>55124</v>
      </c>
      <c r="W7625" t="s">
        <v>40063</v>
      </c>
      <c r="X7625" t="s">
        <v>41259</v>
      </c>
    </row>
    <row r="7626" spans="1:24">
      <c r="A7626">
        <f>HYPERLINK("https://www.philgeps.gov.ph/GEPSNONPILOT/Tender/SplashBidNoticeAbstractUI.aspx?menuIndex=3&amp;refID=7070156&amp;Result=3","7070156")</f>
        <v>0</v>
      </c>
      <c r="B7626" t="s">
        <v>2375</v>
      </c>
      <c r="C7626" t="s">
        <v>10657</v>
      </c>
      <c r="D7626" t="s">
        <v>16680</v>
      </c>
      <c r="E7626" t="s">
        <v>23385</v>
      </c>
      <c r="F7626" t="s">
        <v>28669</v>
      </c>
      <c r="G7626" t="s">
        <v>28675</v>
      </c>
      <c r="H7626" t="s">
        <v>9998</v>
      </c>
      <c r="I7626" t="s">
        <v>7352</v>
      </c>
      <c r="J7626" t="s">
        <v>33583</v>
      </c>
      <c r="K7626" t="s">
        <v>37205</v>
      </c>
      <c r="M7626" t="s">
        <v>40045</v>
      </c>
      <c r="N7626" t="s">
        <v>41249</v>
      </c>
      <c r="O7626" t="s">
        <v>41250</v>
      </c>
      <c r="P7626">
        <v>0</v>
      </c>
      <c r="Q7626">
        <v>0</v>
      </c>
      <c r="R7626" t="s">
        <v>41257</v>
      </c>
      <c r="S7626" t="s">
        <v>41461</v>
      </c>
      <c r="T7626" t="s">
        <v>42911</v>
      </c>
      <c r="U7626" t="s">
        <v>49464</v>
      </c>
      <c r="W7626" t="s">
        <v>40045</v>
      </c>
      <c r="X7626" t="s">
        <v>41258</v>
      </c>
    </row>
    <row r="7627" spans="1:24">
      <c r="A7627">
        <f>HYPERLINK("https://www.philgeps.gov.ph/GEPSNONPILOT/Tender/SplashBidNoticeAbstractUI.aspx?menuIndex=3&amp;refID=7070217&amp;Result=3","7070217")</f>
        <v>0</v>
      </c>
      <c r="B7627" t="s">
        <v>844</v>
      </c>
      <c r="C7627" t="s">
        <v>10658</v>
      </c>
      <c r="D7627" t="s">
        <v>16650</v>
      </c>
      <c r="E7627" t="s">
        <v>23386</v>
      </c>
      <c r="F7627" t="s">
        <v>28669</v>
      </c>
      <c r="G7627" t="s">
        <v>28675</v>
      </c>
      <c r="H7627" t="s">
        <v>28686</v>
      </c>
      <c r="I7627" t="s">
        <v>28689</v>
      </c>
      <c r="J7627" t="s">
        <v>33342</v>
      </c>
      <c r="K7627" t="s">
        <v>37205</v>
      </c>
      <c r="M7627" t="s">
        <v>38360</v>
      </c>
      <c r="N7627" t="s">
        <v>41249</v>
      </c>
      <c r="O7627" t="s">
        <v>41250</v>
      </c>
      <c r="P7627">
        <v>0</v>
      </c>
      <c r="Q7627">
        <v>0</v>
      </c>
      <c r="R7627" t="s">
        <v>41257</v>
      </c>
      <c r="S7627" t="s">
        <v>41461</v>
      </c>
      <c r="T7627" t="s">
        <v>42911</v>
      </c>
      <c r="U7627" t="s">
        <v>44857</v>
      </c>
      <c r="W7627" t="s">
        <v>38360</v>
      </c>
      <c r="X7627" t="s">
        <v>41258</v>
      </c>
    </row>
    <row r="7628" spans="1:24">
      <c r="A7628">
        <f>HYPERLINK("https://www.philgeps.gov.ph/GEPSNONPILOT/Tender/SplashBidNoticeAbstractUI.aspx?menuIndex=3&amp;refID=6941920&amp;Result=3","6941920")</f>
        <v>0</v>
      </c>
      <c r="B7628" t="s">
        <v>2079</v>
      </c>
      <c r="C7628" t="s">
        <v>9418</v>
      </c>
      <c r="D7628" t="s">
        <v>16611</v>
      </c>
      <c r="E7628" t="s">
        <v>23387</v>
      </c>
      <c r="F7628" t="s">
        <v>28669</v>
      </c>
      <c r="G7628" t="s">
        <v>28675</v>
      </c>
      <c r="H7628" t="s">
        <v>9998</v>
      </c>
      <c r="I7628" t="s">
        <v>11593</v>
      </c>
      <c r="J7628" t="s">
        <v>33584</v>
      </c>
      <c r="K7628" t="s">
        <v>37206</v>
      </c>
      <c r="M7628" t="s">
        <v>39720</v>
      </c>
      <c r="N7628" t="s">
        <v>41249</v>
      </c>
      <c r="O7628" t="s">
        <v>41250</v>
      </c>
      <c r="P7628">
        <v>0</v>
      </c>
      <c r="Q7628">
        <v>5</v>
      </c>
      <c r="R7628" t="s">
        <v>41258</v>
      </c>
      <c r="S7628" t="s">
        <v>41513</v>
      </c>
      <c r="T7628" t="s">
        <v>42679</v>
      </c>
      <c r="U7628" t="s">
        <v>49465</v>
      </c>
      <c r="V7628" t="s">
        <v>54960</v>
      </c>
      <c r="W7628" t="s">
        <v>39720</v>
      </c>
      <c r="X7628" t="s">
        <v>41317</v>
      </c>
    </row>
    <row r="7629" spans="1:24">
      <c r="A7629">
        <f>HYPERLINK("https://www.philgeps.gov.ph/GEPSNONPILOT/Tender/SplashBidNoticeAbstractUI.aspx?menuIndex=3&amp;refID=7056105&amp;Result=3","7056105")</f>
        <v>0</v>
      </c>
      <c r="B7629" t="s">
        <v>503</v>
      </c>
      <c r="C7629" t="s">
        <v>10659</v>
      </c>
      <c r="D7629" t="s">
        <v>16639</v>
      </c>
      <c r="E7629" t="s">
        <v>23388</v>
      </c>
      <c r="F7629" t="s">
        <v>28669</v>
      </c>
      <c r="G7629" t="s">
        <v>28675</v>
      </c>
      <c r="H7629" t="s">
        <v>28686</v>
      </c>
      <c r="I7629" t="s">
        <v>28689</v>
      </c>
      <c r="J7629" t="s">
        <v>33585</v>
      </c>
      <c r="K7629" t="s">
        <v>37258</v>
      </c>
      <c r="M7629" t="s">
        <v>37992</v>
      </c>
      <c r="N7629" t="s">
        <v>41249</v>
      </c>
      <c r="O7629" t="s">
        <v>41250</v>
      </c>
      <c r="P7629">
        <v>0</v>
      </c>
      <c r="Q7629">
        <v>0</v>
      </c>
      <c r="R7629" t="s">
        <v>41258</v>
      </c>
      <c r="S7629" t="s">
        <v>41513</v>
      </c>
      <c r="T7629" t="s">
        <v>42931</v>
      </c>
      <c r="U7629" t="s">
        <v>49466</v>
      </c>
      <c r="W7629" t="s">
        <v>37992</v>
      </c>
      <c r="X7629" t="s">
        <v>41264</v>
      </c>
    </row>
    <row r="7630" spans="1:24">
      <c r="A7630">
        <f>HYPERLINK("https://www.philgeps.gov.ph/GEPSNONPILOT/Tender/SplashBidNoticeAbstractUI.aspx?menuIndex=3&amp;refID=6942031&amp;Result=3","6942031")</f>
        <v>0</v>
      </c>
      <c r="B7630" t="s">
        <v>2079</v>
      </c>
      <c r="C7630" t="s">
        <v>10660</v>
      </c>
      <c r="D7630" t="s">
        <v>16611</v>
      </c>
      <c r="E7630" t="s">
        <v>23389</v>
      </c>
      <c r="F7630" t="s">
        <v>28669</v>
      </c>
      <c r="G7630" t="s">
        <v>28675</v>
      </c>
      <c r="H7630" t="s">
        <v>9998</v>
      </c>
      <c r="I7630" t="s">
        <v>28690</v>
      </c>
      <c r="J7630" t="s">
        <v>33586</v>
      </c>
      <c r="K7630" t="s">
        <v>37206</v>
      </c>
      <c r="M7630" t="s">
        <v>39720</v>
      </c>
      <c r="N7630" t="s">
        <v>41249</v>
      </c>
      <c r="O7630" t="s">
        <v>41250</v>
      </c>
      <c r="P7630">
        <v>0</v>
      </c>
      <c r="Q7630">
        <v>3</v>
      </c>
      <c r="R7630" t="s">
        <v>41258</v>
      </c>
      <c r="S7630" t="s">
        <v>41513</v>
      </c>
      <c r="T7630" t="s">
        <v>42679</v>
      </c>
      <c r="U7630" t="s">
        <v>49467</v>
      </c>
      <c r="V7630" t="s">
        <v>54960</v>
      </c>
      <c r="W7630" t="s">
        <v>39720</v>
      </c>
      <c r="X7630" t="s">
        <v>41317</v>
      </c>
    </row>
    <row r="7631" spans="1:24">
      <c r="A7631">
        <f>HYPERLINK("https://www.philgeps.gov.ph/GEPSNONPILOT/Tender/SplashBidNoticeAbstractUI.aspx?menuIndex=3&amp;refID=7055958&amp;Result=3","7055958")</f>
        <v>0</v>
      </c>
      <c r="B7631" t="s">
        <v>42</v>
      </c>
      <c r="C7631" t="s">
        <v>10661</v>
      </c>
      <c r="D7631" t="s">
        <v>16623</v>
      </c>
      <c r="E7631" t="s">
        <v>23390</v>
      </c>
      <c r="F7631" t="s">
        <v>28669</v>
      </c>
      <c r="G7631" t="s">
        <v>28675</v>
      </c>
      <c r="H7631" t="s">
        <v>9998</v>
      </c>
      <c r="I7631" t="s">
        <v>28734</v>
      </c>
      <c r="J7631" t="s">
        <v>28914</v>
      </c>
      <c r="K7631" t="s">
        <v>37210</v>
      </c>
      <c r="M7631" t="s">
        <v>37517</v>
      </c>
      <c r="N7631" t="s">
        <v>41249</v>
      </c>
      <c r="O7631" t="s">
        <v>41250</v>
      </c>
      <c r="P7631">
        <v>0</v>
      </c>
      <c r="Q7631">
        <v>3</v>
      </c>
      <c r="R7631" t="s">
        <v>41258</v>
      </c>
      <c r="S7631" t="s">
        <v>41513</v>
      </c>
      <c r="T7631" t="s">
        <v>42728</v>
      </c>
      <c r="U7631" t="s">
        <v>49468</v>
      </c>
      <c r="W7631" t="s">
        <v>37517</v>
      </c>
      <c r="X7631" t="s">
        <v>41264</v>
      </c>
    </row>
    <row r="7632" spans="1:24">
      <c r="A7632">
        <f>HYPERLINK("https://www.philgeps.gov.ph/GEPSNONPILOT/Tender/SplashBidNoticeAbstractUI.aspx?menuIndex=3&amp;refID=7070272&amp;Result=3","7070272")</f>
        <v>0</v>
      </c>
      <c r="B7632" t="s">
        <v>2391</v>
      </c>
      <c r="C7632" t="s">
        <v>10662</v>
      </c>
      <c r="D7632" t="s">
        <v>16638</v>
      </c>
      <c r="E7632" t="s">
        <v>23391</v>
      </c>
      <c r="F7632" t="s">
        <v>28669</v>
      </c>
      <c r="G7632" t="s">
        <v>28679</v>
      </c>
      <c r="H7632" t="s">
        <v>28684</v>
      </c>
      <c r="I7632" t="s">
        <v>28695</v>
      </c>
      <c r="J7632" t="s">
        <v>33587</v>
      </c>
      <c r="K7632" t="s">
        <v>37272</v>
      </c>
      <c r="M7632" t="s">
        <v>40066</v>
      </c>
      <c r="N7632" t="s">
        <v>41249</v>
      </c>
      <c r="O7632" t="s">
        <v>41250</v>
      </c>
      <c r="P7632">
        <v>0</v>
      </c>
      <c r="Q7632">
        <v>3</v>
      </c>
      <c r="R7632" t="s">
        <v>41257</v>
      </c>
      <c r="S7632" t="s">
        <v>41461</v>
      </c>
      <c r="T7632" t="s">
        <v>42754</v>
      </c>
      <c r="U7632" t="s">
        <v>49469</v>
      </c>
      <c r="W7632" t="s">
        <v>55991</v>
      </c>
      <c r="X7632" t="s">
        <v>41258</v>
      </c>
    </row>
    <row r="7633" spans="1:24">
      <c r="A7633">
        <f>HYPERLINK("https://www.philgeps.gov.ph/GEPSNONPILOT/Tender/SplashBidNoticeAbstractUI.aspx?menuIndex=3&amp;refID=7056258&amp;Result=3","7056258")</f>
        <v>0</v>
      </c>
      <c r="B7633" t="s">
        <v>1960</v>
      </c>
      <c r="C7633" t="s">
        <v>10663</v>
      </c>
      <c r="D7633" t="s">
        <v>16676</v>
      </c>
      <c r="E7633" t="s">
        <v>23392</v>
      </c>
      <c r="F7633" t="s">
        <v>28669</v>
      </c>
      <c r="G7633" t="s">
        <v>28677</v>
      </c>
      <c r="H7633" t="s">
        <v>9998</v>
      </c>
      <c r="I7633" t="s">
        <v>28708</v>
      </c>
      <c r="J7633" t="s">
        <v>33588</v>
      </c>
      <c r="K7633" t="s">
        <v>37210</v>
      </c>
      <c r="M7633" t="s">
        <v>39593</v>
      </c>
      <c r="N7633" t="s">
        <v>41249</v>
      </c>
      <c r="O7633" t="s">
        <v>41250</v>
      </c>
      <c r="P7633">
        <v>0</v>
      </c>
      <c r="Q7633">
        <v>1</v>
      </c>
      <c r="R7633" t="s">
        <v>41258</v>
      </c>
      <c r="S7633" t="s">
        <v>41513</v>
      </c>
      <c r="T7633" t="s">
        <v>42934</v>
      </c>
      <c r="U7633" t="s">
        <v>49470</v>
      </c>
      <c r="W7633" t="s">
        <v>39593</v>
      </c>
      <c r="X7633" t="s">
        <v>41264</v>
      </c>
    </row>
    <row r="7634" spans="1:24">
      <c r="A7634">
        <f>HYPERLINK("https://www.philgeps.gov.ph/GEPSNONPILOT/Tender/SplashBidNoticeAbstractUI.aspx?menuIndex=3&amp;refID=7055816&amp;Result=3","7055816")</f>
        <v>0</v>
      </c>
      <c r="B7634" t="s">
        <v>503</v>
      </c>
      <c r="C7634" t="s">
        <v>10664</v>
      </c>
      <c r="D7634" t="s">
        <v>16639</v>
      </c>
      <c r="E7634" t="s">
        <v>23393</v>
      </c>
      <c r="F7634" t="s">
        <v>28669</v>
      </c>
      <c r="G7634" t="s">
        <v>28675</v>
      </c>
      <c r="H7634" t="s">
        <v>28686</v>
      </c>
      <c r="I7634" t="s">
        <v>28689</v>
      </c>
      <c r="J7634" t="s">
        <v>28924</v>
      </c>
      <c r="K7634" t="s">
        <v>37258</v>
      </c>
      <c r="M7634" t="s">
        <v>37992</v>
      </c>
      <c r="N7634" t="s">
        <v>41249</v>
      </c>
      <c r="O7634" t="s">
        <v>41250</v>
      </c>
      <c r="P7634">
        <v>0</v>
      </c>
      <c r="Q7634">
        <v>0</v>
      </c>
      <c r="R7634" t="s">
        <v>41258</v>
      </c>
      <c r="S7634" t="s">
        <v>41513</v>
      </c>
      <c r="T7634" t="s">
        <v>42760</v>
      </c>
      <c r="U7634" t="s">
        <v>49471</v>
      </c>
      <c r="W7634" t="s">
        <v>37992</v>
      </c>
      <c r="X7634" t="s">
        <v>41264</v>
      </c>
    </row>
    <row r="7635" spans="1:24">
      <c r="A7635">
        <f>HYPERLINK("https://www.philgeps.gov.ph/GEPSNONPILOT/Tender/SplashBidNoticeAbstractUI.aspx?menuIndex=3&amp;refID=7056199&amp;Result=3","7056199")</f>
        <v>0</v>
      </c>
      <c r="B7635" t="s">
        <v>503</v>
      </c>
      <c r="C7635" t="s">
        <v>10665</v>
      </c>
      <c r="D7635" t="s">
        <v>16639</v>
      </c>
      <c r="E7635" t="s">
        <v>23394</v>
      </c>
      <c r="F7635" t="s">
        <v>28669</v>
      </c>
      <c r="G7635" t="s">
        <v>28675</v>
      </c>
      <c r="H7635" t="s">
        <v>28686</v>
      </c>
      <c r="I7635" t="s">
        <v>28689</v>
      </c>
      <c r="J7635" t="s">
        <v>29112</v>
      </c>
      <c r="K7635" t="s">
        <v>37221</v>
      </c>
      <c r="M7635" t="s">
        <v>37992</v>
      </c>
      <c r="N7635" t="s">
        <v>41249</v>
      </c>
      <c r="O7635" t="s">
        <v>41250</v>
      </c>
      <c r="P7635">
        <v>0</v>
      </c>
      <c r="Q7635">
        <v>1</v>
      </c>
      <c r="R7635" t="s">
        <v>41258</v>
      </c>
      <c r="S7635" t="s">
        <v>41513</v>
      </c>
      <c r="T7635" t="s">
        <v>43000</v>
      </c>
      <c r="U7635" t="s">
        <v>49472</v>
      </c>
      <c r="W7635" t="s">
        <v>37992</v>
      </c>
      <c r="X7635" t="s">
        <v>41264</v>
      </c>
    </row>
    <row r="7636" spans="1:24">
      <c r="A7636">
        <f>HYPERLINK("https://www.philgeps.gov.ph/GEPSNONPILOT/Tender/SplashBidNoticeAbstractUI.aspx?menuIndex=3&amp;refID=7070249&amp;Result=3","7070249")</f>
        <v>0</v>
      </c>
      <c r="B7636" t="s">
        <v>748</v>
      </c>
      <c r="C7636" t="s">
        <v>10666</v>
      </c>
      <c r="D7636" t="s">
        <v>16629</v>
      </c>
      <c r="E7636" t="s">
        <v>23395</v>
      </c>
      <c r="F7636" t="s">
        <v>28669</v>
      </c>
      <c r="G7636" t="s">
        <v>28676</v>
      </c>
      <c r="H7636" t="s">
        <v>9998</v>
      </c>
      <c r="I7636" t="s">
        <v>28787</v>
      </c>
      <c r="J7636" t="s">
        <v>29088</v>
      </c>
      <c r="K7636" t="s">
        <v>37206</v>
      </c>
      <c r="M7636" t="s">
        <v>38258</v>
      </c>
      <c r="N7636" t="s">
        <v>41249</v>
      </c>
      <c r="O7636" t="s">
        <v>41250</v>
      </c>
      <c r="P7636">
        <v>0</v>
      </c>
      <c r="Q7636">
        <v>1</v>
      </c>
      <c r="R7636" t="s">
        <v>41257</v>
      </c>
      <c r="S7636" t="s">
        <v>41461</v>
      </c>
      <c r="T7636" t="s">
        <v>42743</v>
      </c>
      <c r="U7636" t="s">
        <v>49473</v>
      </c>
      <c r="V7636" t="s">
        <v>55127</v>
      </c>
      <c r="W7636" t="s">
        <v>38258</v>
      </c>
      <c r="X7636" t="s">
        <v>41258</v>
      </c>
    </row>
    <row r="7637" spans="1:24">
      <c r="A7637">
        <f>HYPERLINK("https://www.philgeps.gov.ph/GEPSNONPILOT/Tender/SplashBidNoticeAbstractUI.aspx?menuIndex=3&amp;refID=7056001&amp;Result=3","7056001")</f>
        <v>0</v>
      </c>
      <c r="B7637" t="s">
        <v>2392</v>
      </c>
      <c r="C7637" t="s">
        <v>10667</v>
      </c>
      <c r="D7637" t="s">
        <v>16619</v>
      </c>
      <c r="E7637" t="s">
        <v>23396</v>
      </c>
      <c r="F7637" t="s">
        <v>28669</v>
      </c>
      <c r="G7637" t="s">
        <v>28675</v>
      </c>
      <c r="H7637" t="s">
        <v>9998</v>
      </c>
      <c r="I7637" t="s">
        <v>7352</v>
      </c>
      <c r="J7637" t="s">
        <v>33589</v>
      </c>
      <c r="K7637" t="s">
        <v>37205</v>
      </c>
      <c r="M7637" t="s">
        <v>40067</v>
      </c>
      <c r="N7637" t="s">
        <v>41249</v>
      </c>
      <c r="O7637" t="s">
        <v>41250</v>
      </c>
      <c r="P7637">
        <v>0</v>
      </c>
      <c r="Q7637">
        <v>4</v>
      </c>
      <c r="R7637" t="s">
        <v>41258</v>
      </c>
      <c r="S7637" t="s">
        <v>41513</v>
      </c>
      <c r="T7637" t="s">
        <v>42767</v>
      </c>
      <c r="U7637" t="s">
        <v>49474</v>
      </c>
      <c r="W7637" t="s">
        <v>40067</v>
      </c>
      <c r="X7637" t="s">
        <v>41264</v>
      </c>
    </row>
    <row r="7638" spans="1:24">
      <c r="A7638">
        <f>HYPERLINK("https://www.philgeps.gov.ph/GEPSNONPILOT/Tender/SplashBidNoticeAbstractUI.aspx?menuIndex=3&amp;refID=7052225&amp;Result=3","7052225")</f>
        <v>0</v>
      </c>
      <c r="B7638" t="s">
        <v>762</v>
      </c>
      <c r="C7638" t="s">
        <v>10668</v>
      </c>
      <c r="E7638" t="s">
        <v>23397</v>
      </c>
      <c r="F7638" t="s">
        <v>28669</v>
      </c>
      <c r="G7638" t="s">
        <v>28675</v>
      </c>
      <c r="H7638" t="s">
        <v>9998</v>
      </c>
      <c r="I7638" t="s">
        <v>28739</v>
      </c>
      <c r="J7638" t="s">
        <v>30025</v>
      </c>
      <c r="K7638" t="s">
        <v>37209</v>
      </c>
      <c r="M7638" t="s">
        <v>38273</v>
      </c>
      <c r="N7638" t="s">
        <v>41249</v>
      </c>
      <c r="O7638" t="s">
        <v>41250</v>
      </c>
      <c r="P7638">
        <v>0</v>
      </c>
      <c r="Q7638">
        <v>28</v>
      </c>
      <c r="R7638" t="s">
        <v>41258</v>
      </c>
      <c r="S7638" t="s">
        <v>41513</v>
      </c>
      <c r="T7638" t="s">
        <v>43023</v>
      </c>
      <c r="U7638" t="s">
        <v>45818</v>
      </c>
      <c r="W7638" t="s">
        <v>38273</v>
      </c>
      <c r="X7638" t="s">
        <v>41266</v>
      </c>
    </row>
    <row r="7639" spans="1:24">
      <c r="A7639">
        <f>HYPERLINK("https://www.philgeps.gov.ph/GEPSNONPILOT/Tender/SplashBidNoticeAbstractUI.aspx?menuIndex=3&amp;refID=7056772&amp;Result=3","7056772")</f>
        <v>0</v>
      </c>
      <c r="B7639" t="s">
        <v>42</v>
      </c>
      <c r="C7639" t="s">
        <v>10669</v>
      </c>
      <c r="D7639" t="s">
        <v>16623</v>
      </c>
      <c r="E7639" t="s">
        <v>18715</v>
      </c>
      <c r="F7639" t="s">
        <v>28669</v>
      </c>
      <c r="G7639" t="s">
        <v>28675</v>
      </c>
      <c r="H7639" t="s">
        <v>28686</v>
      </c>
      <c r="I7639" t="s">
        <v>28689</v>
      </c>
      <c r="J7639" t="s">
        <v>33590</v>
      </c>
      <c r="K7639" t="s">
        <v>37220</v>
      </c>
      <c r="M7639" t="s">
        <v>37517</v>
      </c>
      <c r="N7639" t="s">
        <v>41249</v>
      </c>
      <c r="O7639" t="s">
        <v>41250</v>
      </c>
      <c r="P7639">
        <v>0</v>
      </c>
      <c r="Q7639">
        <v>1</v>
      </c>
      <c r="R7639" t="s">
        <v>41258</v>
      </c>
      <c r="S7639" t="s">
        <v>41513</v>
      </c>
      <c r="T7639" t="s">
        <v>42728</v>
      </c>
      <c r="U7639" t="s">
        <v>49475</v>
      </c>
      <c r="W7639" t="s">
        <v>37517</v>
      </c>
      <c r="X7639" t="s">
        <v>41264</v>
      </c>
    </row>
    <row r="7640" spans="1:24">
      <c r="A7640">
        <f>HYPERLINK("https://www.philgeps.gov.ph/GEPSNONPILOT/Tender/SplashBidNoticeAbstractUI.aspx?menuIndex=3&amp;refID=6982065-2&amp;Result=3","6982065-2")</f>
        <v>0</v>
      </c>
      <c r="B7640" t="s">
        <v>2389</v>
      </c>
      <c r="C7640" t="s">
        <v>10670</v>
      </c>
      <c r="D7640" t="s">
        <v>16631</v>
      </c>
      <c r="E7640" t="s">
        <v>23398</v>
      </c>
      <c r="F7640" t="s">
        <v>28669</v>
      </c>
      <c r="G7640" t="s">
        <v>28675</v>
      </c>
      <c r="H7640" t="s">
        <v>28685</v>
      </c>
      <c r="I7640" t="s">
        <v>28685</v>
      </c>
      <c r="J7640" t="s">
        <v>33591</v>
      </c>
      <c r="K7640" t="s">
        <v>37298</v>
      </c>
      <c r="M7640" t="s">
        <v>40063</v>
      </c>
      <c r="N7640" t="s">
        <v>41249</v>
      </c>
      <c r="O7640" t="s">
        <v>41250</v>
      </c>
      <c r="Q7640">
        <v>1</v>
      </c>
      <c r="R7640" t="s">
        <v>41258</v>
      </c>
      <c r="S7640" t="s">
        <v>41521</v>
      </c>
      <c r="T7640" t="s">
        <v>42764</v>
      </c>
      <c r="U7640" t="s">
        <v>49453</v>
      </c>
      <c r="V7640" t="s">
        <v>55124</v>
      </c>
      <c r="W7640" t="s">
        <v>40063</v>
      </c>
      <c r="X7640" t="s">
        <v>41259</v>
      </c>
    </row>
    <row r="7641" spans="1:24">
      <c r="A7641">
        <f>HYPERLINK("https://www.philgeps.gov.ph/GEPSNONPILOT/Tender/SplashBidNoticeAbstractUI.aspx?menuIndex=3&amp;refID=7059675&amp;Result=3","7059675")</f>
        <v>0</v>
      </c>
      <c r="B7641" t="s">
        <v>2393</v>
      </c>
      <c r="C7641" t="s">
        <v>10671</v>
      </c>
      <c r="D7641" t="s">
        <v>16643</v>
      </c>
      <c r="E7641" t="s">
        <v>23399</v>
      </c>
      <c r="F7641" t="s">
        <v>28669</v>
      </c>
      <c r="G7641" t="s">
        <v>28675</v>
      </c>
      <c r="H7641" t="s">
        <v>28686</v>
      </c>
      <c r="I7641" t="s">
        <v>28689</v>
      </c>
      <c r="J7641" t="s">
        <v>33592</v>
      </c>
      <c r="K7641" t="s">
        <v>37376</v>
      </c>
      <c r="M7641" t="s">
        <v>40068</v>
      </c>
      <c r="N7641" t="s">
        <v>41249</v>
      </c>
      <c r="O7641" t="s">
        <v>41250</v>
      </c>
      <c r="P7641">
        <v>0</v>
      </c>
      <c r="Q7641">
        <v>8</v>
      </c>
      <c r="R7641" t="s">
        <v>41258</v>
      </c>
      <c r="S7641" t="s">
        <v>41513</v>
      </c>
      <c r="T7641" t="s">
        <v>42740</v>
      </c>
      <c r="U7641" t="s">
        <v>49476</v>
      </c>
      <c r="V7641" t="s">
        <v>55128</v>
      </c>
      <c r="W7641" t="s">
        <v>55992</v>
      </c>
      <c r="X7641" t="s">
        <v>41261</v>
      </c>
    </row>
    <row r="7642" spans="1:24">
      <c r="A7642">
        <f>HYPERLINK("https://www.philgeps.gov.ph/GEPSNONPILOT/Tender/SplashBidNoticeAbstractUI.aspx?menuIndex=3&amp;refID=7059642&amp;Result=3","7059642")</f>
        <v>0</v>
      </c>
      <c r="B7642" t="s">
        <v>2087</v>
      </c>
      <c r="C7642" t="s">
        <v>10672</v>
      </c>
      <c r="D7642" t="s">
        <v>16682</v>
      </c>
      <c r="E7642" t="s">
        <v>23400</v>
      </c>
      <c r="F7642" t="s">
        <v>28669</v>
      </c>
      <c r="G7642" t="s">
        <v>28675</v>
      </c>
      <c r="H7642" t="s">
        <v>28686</v>
      </c>
      <c r="I7642" t="s">
        <v>28689</v>
      </c>
      <c r="J7642" t="s">
        <v>29003</v>
      </c>
      <c r="K7642" t="s">
        <v>37220</v>
      </c>
      <c r="L7642" t="s">
        <v>2087</v>
      </c>
      <c r="M7642" t="s">
        <v>39728</v>
      </c>
      <c r="N7642" t="s">
        <v>41249</v>
      </c>
      <c r="O7642" t="s">
        <v>41250</v>
      </c>
      <c r="P7642">
        <v>0</v>
      </c>
      <c r="Q7642">
        <v>1</v>
      </c>
      <c r="R7642" t="s">
        <v>41258</v>
      </c>
      <c r="S7642" t="s">
        <v>41513</v>
      </c>
      <c r="T7642" t="s">
        <v>42754</v>
      </c>
      <c r="U7642" t="s">
        <v>49477</v>
      </c>
      <c r="V7642" t="s">
        <v>54962</v>
      </c>
      <c r="W7642" t="s">
        <v>39728</v>
      </c>
      <c r="X7642" t="s">
        <v>41261</v>
      </c>
    </row>
    <row r="7643" spans="1:24">
      <c r="A7643">
        <f>HYPERLINK("https://www.philgeps.gov.ph/GEPSNONPILOT/Tender/SplashBidNoticeAbstractUI.aspx?menuIndex=3&amp;refID=7052986&amp;Result=3","7052986")</f>
        <v>0</v>
      </c>
      <c r="B7643" t="s">
        <v>937</v>
      </c>
      <c r="C7643" t="s">
        <v>10673</v>
      </c>
      <c r="E7643" t="s">
        <v>23401</v>
      </c>
      <c r="F7643" t="s">
        <v>28669</v>
      </c>
      <c r="G7643" t="s">
        <v>28675</v>
      </c>
      <c r="H7643" t="s">
        <v>9998</v>
      </c>
      <c r="I7643" t="s">
        <v>28690</v>
      </c>
      <c r="J7643" t="s">
        <v>33593</v>
      </c>
      <c r="K7643" t="s">
        <v>37204</v>
      </c>
      <c r="M7643" t="s">
        <v>38460</v>
      </c>
      <c r="N7643" t="s">
        <v>41249</v>
      </c>
      <c r="O7643" t="s">
        <v>41250</v>
      </c>
      <c r="P7643">
        <v>0</v>
      </c>
      <c r="Q7643">
        <v>4</v>
      </c>
      <c r="R7643" t="s">
        <v>41258</v>
      </c>
      <c r="S7643" t="s">
        <v>41513</v>
      </c>
      <c r="T7643" t="s">
        <v>42786</v>
      </c>
      <c r="U7643" t="s">
        <v>49478</v>
      </c>
      <c r="W7643" t="s">
        <v>38460</v>
      </c>
      <c r="X7643" t="s">
        <v>41265</v>
      </c>
    </row>
    <row r="7644" spans="1:24">
      <c r="A7644">
        <f>HYPERLINK("https://www.philgeps.gov.ph/GEPSNONPILOT/Tender/SplashBidNoticeAbstractUI.aspx?menuIndex=3&amp;refID=7059544&amp;Result=3","7059544")</f>
        <v>0</v>
      </c>
      <c r="B7644" t="s">
        <v>2087</v>
      </c>
      <c r="C7644" t="s">
        <v>10674</v>
      </c>
      <c r="D7644" t="s">
        <v>16682</v>
      </c>
      <c r="E7644" t="s">
        <v>23402</v>
      </c>
      <c r="F7644" t="s">
        <v>28669</v>
      </c>
      <c r="G7644" t="s">
        <v>28675</v>
      </c>
      <c r="H7644" t="s">
        <v>28686</v>
      </c>
      <c r="I7644" t="s">
        <v>28689</v>
      </c>
      <c r="J7644" t="s">
        <v>30058</v>
      </c>
      <c r="K7644" t="s">
        <v>37212</v>
      </c>
      <c r="L7644" t="s">
        <v>2087</v>
      </c>
      <c r="M7644" t="s">
        <v>39728</v>
      </c>
      <c r="N7644" t="s">
        <v>41249</v>
      </c>
      <c r="O7644" t="s">
        <v>41250</v>
      </c>
      <c r="P7644">
        <v>0</v>
      </c>
      <c r="Q7644">
        <v>0</v>
      </c>
      <c r="R7644" t="s">
        <v>41258</v>
      </c>
      <c r="S7644" t="s">
        <v>41513</v>
      </c>
      <c r="T7644" t="s">
        <v>42754</v>
      </c>
      <c r="U7644" t="s">
        <v>49479</v>
      </c>
      <c r="V7644" t="s">
        <v>54962</v>
      </c>
      <c r="W7644" t="s">
        <v>39728</v>
      </c>
      <c r="X7644" t="s">
        <v>41261</v>
      </c>
    </row>
    <row r="7645" spans="1:24">
      <c r="A7645">
        <f>HYPERLINK("https://www.philgeps.gov.ph/GEPSNONPILOT/Tender/SplashBidNoticeAbstractUI.aspx?menuIndex=3&amp;refID=7056254&amp;Result=3","7056254")</f>
        <v>0</v>
      </c>
      <c r="B7645" t="s">
        <v>42</v>
      </c>
      <c r="C7645" t="s">
        <v>10675</v>
      </c>
      <c r="D7645" t="s">
        <v>16623</v>
      </c>
      <c r="E7645" t="s">
        <v>22654</v>
      </c>
      <c r="F7645" t="s">
        <v>28669</v>
      </c>
      <c r="G7645" t="s">
        <v>28675</v>
      </c>
      <c r="H7645" t="s">
        <v>9998</v>
      </c>
      <c r="I7645" t="s">
        <v>5213</v>
      </c>
      <c r="J7645" t="s">
        <v>32301</v>
      </c>
      <c r="K7645" t="s">
        <v>37210</v>
      </c>
      <c r="M7645" t="s">
        <v>37517</v>
      </c>
      <c r="N7645" t="s">
        <v>41249</v>
      </c>
      <c r="O7645" t="s">
        <v>41250</v>
      </c>
      <c r="P7645">
        <v>0</v>
      </c>
      <c r="Q7645">
        <v>0</v>
      </c>
      <c r="R7645" t="s">
        <v>41258</v>
      </c>
      <c r="S7645" t="s">
        <v>41513</v>
      </c>
      <c r="T7645" t="s">
        <v>42728</v>
      </c>
      <c r="U7645" t="s">
        <v>49480</v>
      </c>
      <c r="W7645" t="s">
        <v>37517</v>
      </c>
      <c r="X7645" t="s">
        <v>41264</v>
      </c>
    </row>
    <row r="7646" spans="1:24">
      <c r="A7646">
        <f>HYPERLINK("https://www.philgeps.gov.ph/GEPSNONPILOT/Tender/SplashBidNoticeAbstractUI.aspx?menuIndex=3&amp;refID=7059532&amp;Result=3","7059532")</f>
        <v>0</v>
      </c>
      <c r="B7646" t="s">
        <v>2394</v>
      </c>
      <c r="C7646" t="s">
        <v>10676</v>
      </c>
      <c r="D7646" t="s">
        <v>16648</v>
      </c>
      <c r="E7646" t="s">
        <v>23403</v>
      </c>
      <c r="F7646" t="s">
        <v>28669</v>
      </c>
      <c r="G7646" t="s">
        <v>28675</v>
      </c>
      <c r="H7646" t="s">
        <v>9998</v>
      </c>
      <c r="I7646" t="s">
        <v>28697</v>
      </c>
      <c r="J7646" t="s">
        <v>33594</v>
      </c>
      <c r="K7646" t="s">
        <v>37210</v>
      </c>
      <c r="M7646" t="s">
        <v>40069</v>
      </c>
      <c r="N7646" t="s">
        <v>41249</v>
      </c>
      <c r="O7646" t="s">
        <v>41250</v>
      </c>
      <c r="P7646">
        <v>0</v>
      </c>
      <c r="Q7646">
        <v>1</v>
      </c>
      <c r="R7646" t="s">
        <v>41258</v>
      </c>
      <c r="S7646" t="s">
        <v>41513</v>
      </c>
      <c r="T7646" t="s">
        <v>42743</v>
      </c>
      <c r="U7646" t="s">
        <v>49481</v>
      </c>
      <c r="W7646" t="s">
        <v>40069</v>
      </c>
      <c r="X7646" t="s">
        <v>41261</v>
      </c>
    </row>
    <row r="7647" spans="1:24">
      <c r="A7647">
        <f>HYPERLINK("https://www.philgeps.gov.ph/GEPSNONPILOT/Tender/SplashBidNoticeAbstractUI.aspx?menuIndex=3&amp;refID=7059398&amp;Result=3","7059398")</f>
        <v>0</v>
      </c>
      <c r="B7647" t="s">
        <v>704</v>
      </c>
      <c r="C7647" t="s">
        <v>10677</v>
      </c>
      <c r="D7647" t="s">
        <v>16668</v>
      </c>
      <c r="E7647" t="s">
        <v>23404</v>
      </c>
      <c r="F7647" t="s">
        <v>28669</v>
      </c>
      <c r="G7647" t="s">
        <v>28675</v>
      </c>
      <c r="H7647" t="s">
        <v>9998</v>
      </c>
      <c r="I7647" t="s">
        <v>28726</v>
      </c>
      <c r="J7647" t="s">
        <v>33595</v>
      </c>
      <c r="K7647" t="s">
        <v>37304</v>
      </c>
      <c r="M7647" t="s">
        <v>38211</v>
      </c>
      <c r="N7647" t="s">
        <v>41249</v>
      </c>
      <c r="O7647" t="s">
        <v>41250</v>
      </c>
      <c r="P7647">
        <v>0</v>
      </c>
      <c r="Q7647">
        <v>5</v>
      </c>
      <c r="R7647" t="s">
        <v>41258</v>
      </c>
      <c r="S7647" t="s">
        <v>41513</v>
      </c>
      <c r="T7647" t="s">
        <v>42755</v>
      </c>
      <c r="U7647" t="s">
        <v>49482</v>
      </c>
      <c r="W7647" t="s">
        <v>38211</v>
      </c>
      <c r="X7647" t="s">
        <v>41261</v>
      </c>
    </row>
    <row r="7648" spans="1:24">
      <c r="A7648">
        <f>HYPERLINK("https://www.philgeps.gov.ph/GEPSNONPILOT/Tender/SplashBidNoticeAbstractUI.aspx?menuIndex=3&amp;refID=7059522&amp;Result=3","7059522")</f>
        <v>0</v>
      </c>
      <c r="B7648" t="s">
        <v>42</v>
      </c>
      <c r="C7648" t="s">
        <v>10678</v>
      </c>
      <c r="D7648" t="s">
        <v>16623</v>
      </c>
      <c r="E7648" t="s">
        <v>22479</v>
      </c>
      <c r="F7648" t="s">
        <v>28669</v>
      </c>
      <c r="G7648" t="s">
        <v>28675</v>
      </c>
      <c r="H7648" t="s">
        <v>9998</v>
      </c>
      <c r="I7648" t="s">
        <v>5213</v>
      </c>
      <c r="J7648" t="s">
        <v>33596</v>
      </c>
      <c r="K7648" t="s">
        <v>37209</v>
      </c>
      <c r="M7648" t="s">
        <v>37517</v>
      </c>
      <c r="N7648" t="s">
        <v>41249</v>
      </c>
      <c r="O7648" t="s">
        <v>41250</v>
      </c>
      <c r="P7648">
        <v>0</v>
      </c>
      <c r="Q7648">
        <v>0</v>
      </c>
      <c r="R7648" t="s">
        <v>41258</v>
      </c>
      <c r="S7648" t="s">
        <v>41513</v>
      </c>
      <c r="T7648" t="s">
        <v>42728</v>
      </c>
      <c r="U7648" t="s">
        <v>49483</v>
      </c>
      <c r="W7648" t="s">
        <v>37517</v>
      </c>
      <c r="X7648" t="s">
        <v>41261</v>
      </c>
    </row>
    <row r="7649" spans="1:24">
      <c r="A7649">
        <f>HYPERLINK("https://www.philgeps.gov.ph/GEPSNONPILOT/Tender/SplashBidNoticeAbstractUI.aspx?menuIndex=3&amp;refID=7059368&amp;Result=3","7059368")</f>
        <v>0</v>
      </c>
      <c r="B7649" t="s">
        <v>2394</v>
      </c>
      <c r="C7649" t="s">
        <v>10679</v>
      </c>
      <c r="D7649" t="s">
        <v>16648</v>
      </c>
      <c r="E7649" t="s">
        <v>23405</v>
      </c>
      <c r="F7649" t="s">
        <v>28669</v>
      </c>
      <c r="G7649" t="s">
        <v>28675</v>
      </c>
      <c r="H7649" t="s">
        <v>9998</v>
      </c>
      <c r="I7649" t="s">
        <v>5286</v>
      </c>
      <c r="J7649" t="s">
        <v>33597</v>
      </c>
      <c r="K7649" t="s">
        <v>37210</v>
      </c>
      <c r="M7649" t="s">
        <v>40069</v>
      </c>
      <c r="N7649" t="s">
        <v>41249</v>
      </c>
      <c r="O7649" t="s">
        <v>41250</v>
      </c>
      <c r="P7649">
        <v>0</v>
      </c>
      <c r="Q7649">
        <v>3</v>
      </c>
      <c r="R7649" t="s">
        <v>41258</v>
      </c>
      <c r="S7649" t="s">
        <v>41513</v>
      </c>
      <c r="T7649" t="s">
        <v>42743</v>
      </c>
      <c r="U7649" t="s">
        <v>49484</v>
      </c>
      <c r="W7649" t="s">
        <v>40069</v>
      </c>
      <c r="X7649" t="s">
        <v>41261</v>
      </c>
    </row>
    <row r="7650" spans="1:24">
      <c r="A7650">
        <f>HYPERLINK("https://www.philgeps.gov.ph/GEPSNONPILOT/Tender/SplashBidNoticeAbstractUI.aspx?menuIndex=3&amp;refID=7059318&amp;Result=3","7059318")</f>
        <v>0</v>
      </c>
      <c r="B7650" t="s">
        <v>2395</v>
      </c>
      <c r="C7650" t="s">
        <v>10680</v>
      </c>
      <c r="D7650" t="s">
        <v>16645</v>
      </c>
      <c r="E7650" t="s">
        <v>23406</v>
      </c>
      <c r="F7650" t="s">
        <v>28669</v>
      </c>
      <c r="G7650" t="s">
        <v>28675</v>
      </c>
      <c r="H7650" t="s">
        <v>28684</v>
      </c>
      <c r="I7650" t="s">
        <v>11593</v>
      </c>
      <c r="J7650" t="s">
        <v>33598</v>
      </c>
      <c r="K7650" t="s">
        <v>37272</v>
      </c>
      <c r="M7650" t="s">
        <v>40070</v>
      </c>
      <c r="N7650" t="s">
        <v>41249</v>
      </c>
      <c r="O7650" t="s">
        <v>41250</v>
      </c>
      <c r="P7650">
        <v>0</v>
      </c>
      <c r="Q7650">
        <v>7</v>
      </c>
      <c r="R7650" t="s">
        <v>41258</v>
      </c>
      <c r="S7650" t="s">
        <v>41513</v>
      </c>
      <c r="T7650" t="s">
        <v>42707</v>
      </c>
      <c r="U7650" t="s">
        <v>49485</v>
      </c>
      <c r="W7650" t="s">
        <v>40070</v>
      </c>
      <c r="X7650" t="s">
        <v>41261</v>
      </c>
    </row>
    <row r="7651" spans="1:24">
      <c r="A7651">
        <f>HYPERLINK("https://www.philgeps.gov.ph/GEPSNONPILOT/Tender/SplashBidNoticeAbstractUI.aspx?menuIndex=3&amp;refID=7059610&amp;Result=3","7059610")</f>
        <v>0</v>
      </c>
      <c r="B7651" t="s">
        <v>2394</v>
      </c>
      <c r="C7651" t="s">
        <v>10681</v>
      </c>
      <c r="D7651" t="s">
        <v>16648</v>
      </c>
      <c r="E7651" t="s">
        <v>23407</v>
      </c>
      <c r="F7651" t="s">
        <v>28669</v>
      </c>
      <c r="G7651" t="s">
        <v>28675</v>
      </c>
      <c r="H7651" t="s">
        <v>9998</v>
      </c>
      <c r="I7651" t="s">
        <v>7352</v>
      </c>
      <c r="J7651" t="s">
        <v>33599</v>
      </c>
      <c r="K7651" t="s">
        <v>37206</v>
      </c>
      <c r="M7651" t="s">
        <v>40069</v>
      </c>
      <c r="N7651" t="s">
        <v>41249</v>
      </c>
      <c r="O7651" t="s">
        <v>41250</v>
      </c>
      <c r="P7651">
        <v>0</v>
      </c>
      <c r="Q7651">
        <v>0</v>
      </c>
      <c r="R7651" t="s">
        <v>41258</v>
      </c>
      <c r="S7651" t="s">
        <v>41513</v>
      </c>
      <c r="T7651" t="s">
        <v>42743</v>
      </c>
      <c r="U7651" t="s">
        <v>49486</v>
      </c>
      <c r="W7651" t="s">
        <v>40069</v>
      </c>
      <c r="X7651" t="s">
        <v>41261</v>
      </c>
    </row>
    <row r="7652" spans="1:24">
      <c r="A7652">
        <f>HYPERLINK("https://www.philgeps.gov.ph/GEPSNONPILOT/Tender/SplashBidNoticeAbstractUI.aspx?menuIndex=3&amp;refID=7059040&amp;Result=3","7059040")</f>
        <v>0</v>
      </c>
      <c r="B7652" t="s">
        <v>2396</v>
      </c>
      <c r="C7652" t="s">
        <v>4276</v>
      </c>
      <c r="D7652" t="s">
        <v>16646</v>
      </c>
      <c r="E7652" t="s">
        <v>23408</v>
      </c>
      <c r="F7652" t="s">
        <v>28671</v>
      </c>
      <c r="G7652" t="s">
        <v>28680</v>
      </c>
      <c r="H7652" t="s">
        <v>9998</v>
      </c>
      <c r="I7652" t="s">
        <v>28709</v>
      </c>
      <c r="J7652" t="s">
        <v>33600</v>
      </c>
      <c r="K7652" t="s">
        <v>37209</v>
      </c>
      <c r="M7652" t="s">
        <v>40071</v>
      </c>
      <c r="N7652" t="s">
        <v>41249</v>
      </c>
      <c r="O7652" t="s">
        <v>41250</v>
      </c>
      <c r="P7652">
        <v>0</v>
      </c>
      <c r="Q7652">
        <v>3</v>
      </c>
      <c r="R7652" t="s">
        <v>41258</v>
      </c>
      <c r="S7652" t="s">
        <v>41513</v>
      </c>
      <c r="T7652" t="s">
        <v>42675</v>
      </c>
      <c r="U7652" t="s">
        <v>49487</v>
      </c>
      <c r="W7652" t="s">
        <v>40071</v>
      </c>
      <c r="X7652" t="s">
        <v>41261</v>
      </c>
    </row>
    <row r="7653" spans="1:24">
      <c r="A7653">
        <f>HYPERLINK("https://www.philgeps.gov.ph/GEPSNONPILOT/Tender/SplashBidNoticeAbstractUI.aspx?menuIndex=3&amp;refID=7059680&amp;Result=3","7059680")</f>
        <v>0</v>
      </c>
      <c r="B7653" t="s">
        <v>937</v>
      </c>
      <c r="C7653" t="s">
        <v>10682</v>
      </c>
      <c r="E7653" t="s">
        <v>23409</v>
      </c>
      <c r="F7653" t="s">
        <v>28669</v>
      </c>
      <c r="G7653" t="s">
        <v>28676</v>
      </c>
      <c r="H7653" t="s">
        <v>9998</v>
      </c>
      <c r="I7653" t="s">
        <v>5286</v>
      </c>
      <c r="J7653" t="s">
        <v>33601</v>
      </c>
      <c r="K7653" t="s">
        <v>37204</v>
      </c>
      <c r="M7653" t="s">
        <v>40072</v>
      </c>
      <c r="N7653" t="s">
        <v>41249</v>
      </c>
      <c r="O7653" t="s">
        <v>41250</v>
      </c>
      <c r="P7653">
        <v>0</v>
      </c>
      <c r="Q7653">
        <v>2</v>
      </c>
      <c r="R7653" t="s">
        <v>41258</v>
      </c>
      <c r="S7653" t="s">
        <v>41513</v>
      </c>
      <c r="T7653" t="s">
        <v>42767</v>
      </c>
      <c r="U7653" t="s">
        <v>49488</v>
      </c>
      <c r="W7653" t="s">
        <v>40072</v>
      </c>
      <c r="X7653" t="s">
        <v>41261</v>
      </c>
    </row>
    <row r="7654" spans="1:24">
      <c r="A7654">
        <f>HYPERLINK("https://www.philgeps.gov.ph/GEPSNONPILOT/Tender/SplashBidNoticeAbstractUI.aspx?menuIndex=3&amp;refID=7055786&amp;Result=3","7055786")</f>
        <v>0</v>
      </c>
      <c r="B7654" t="s">
        <v>2392</v>
      </c>
      <c r="C7654" t="s">
        <v>10683</v>
      </c>
      <c r="D7654" t="s">
        <v>16619</v>
      </c>
      <c r="E7654" t="s">
        <v>23410</v>
      </c>
      <c r="F7654" t="s">
        <v>28669</v>
      </c>
      <c r="G7654" t="s">
        <v>28675</v>
      </c>
      <c r="H7654" t="s">
        <v>9998</v>
      </c>
      <c r="I7654" t="s">
        <v>7352</v>
      </c>
      <c r="J7654" t="s">
        <v>33602</v>
      </c>
      <c r="K7654" t="s">
        <v>37205</v>
      </c>
      <c r="M7654" t="s">
        <v>40067</v>
      </c>
      <c r="N7654" t="s">
        <v>41249</v>
      </c>
      <c r="O7654" t="s">
        <v>41250</v>
      </c>
      <c r="P7654">
        <v>0</v>
      </c>
      <c r="Q7654">
        <v>5</v>
      </c>
      <c r="R7654" t="s">
        <v>41258</v>
      </c>
      <c r="S7654" t="s">
        <v>41513</v>
      </c>
      <c r="T7654" t="s">
        <v>42767</v>
      </c>
      <c r="U7654" t="s">
        <v>49489</v>
      </c>
      <c r="W7654" t="s">
        <v>40067</v>
      </c>
      <c r="X7654" t="s">
        <v>41264</v>
      </c>
    </row>
    <row r="7655" spans="1:24">
      <c r="A7655">
        <f>HYPERLINK("https://www.philgeps.gov.ph/GEPSNONPILOT/Tender/SplashBidNoticeAbstractUI.aspx?menuIndex=3&amp;refID=7055754&amp;Result=3","7055754")</f>
        <v>0</v>
      </c>
      <c r="B7655" t="s">
        <v>503</v>
      </c>
      <c r="C7655" t="s">
        <v>10684</v>
      </c>
      <c r="D7655" t="s">
        <v>16639</v>
      </c>
      <c r="E7655" t="s">
        <v>23411</v>
      </c>
      <c r="F7655" t="s">
        <v>28669</v>
      </c>
      <c r="G7655" t="s">
        <v>28675</v>
      </c>
      <c r="H7655" t="s">
        <v>9998</v>
      </c>
      <c r="I7655" t="s">
        <v>28687</v>
      </c>
      <c r="J7655" t="s">
        <v>29112</v>
      </c>
      <c r="K7655" t="s">
        <v>37205</v>
      </c>
      <c r="M7655" t="s">
        <v>37992</v>
      </c>
      <c r="N7655" t="s">
        <v>41249</v>
      </c>
      <c r="O7655" t="s">
        <v>41250</v>
      </c>
      <c r="P7655">
        <v>0</v>
      </c>
      <c r="Q7655">
        <v>3</v>
      </c>
      <c r="R7655" t="s">
        <v>41258</v>
      </c>
      <c r="S7655" t="s">
        <v>41513</v>
      </c>
      <c r="T7655" t="s">
        <v>42755</v>
      </c>
      <c r="U7655" t="s">
        <v>49490</v>
      </c>
      <c r="W7655" t="s">
        <v>37992</v>
      </c>
      <c r="X7655" t="s">
        <v>41264</v>
      </c>
    </row>
    <row r="7656" spans="1:24">
      <c r="A7656">
        <f>HYPERLINK("https://www.philgeps.gov.ph/GEPSNONPILOT/Tender/SplashBidNoticeAbstractUI.aspx?menuIndex=3&amp;refID=7060630&amp;Result=3","7060630")</f>
        <v>0</v>
      </c>
      <c r="B7656" t="s">
        <v>2397</v>
      </c>
      <c r="C7656" t="s">
        <v>10685</v>
      </c>
      <c r="D7656" t="s">
        <v>16617</v>
      </c>
      <c r="E7656" t="s">
        <v>23412</v>
      </c>
      <c r="F7656" t="s">
        <v>28669</v>
      </c>
      <c r="G7656" t="s">
        <v>28675</v>
      </c>
      <c r="H7656" t="s">
        <v>28686</v>
      </c>
      <c r="I7656" t="s">
        <v>28689</v>
      </c>
      <c r="J7656" t="s">
        <v>33603</v>
      </c>
      <c r="K7656" t="s">
        <v>37206</v>
      </c>
      <c r="M7656" t="s">
        <v>40073</v>
      </c>
      <c r="N7656" t="s">
        <v>41249</v>
      </c>
      <c r="O7656" t="s">
        <v>41250</v>
      </c>
      <c r="P7656">
        <v>0</v>
      </c>
      <c r="Q7656">
        <v>1</v>
      </c>
      <c r="R7656" t="s">
        <v>41258</v>
      </c>
      <c r="S7656" t="s">
        <v>41513</v>
      </c>
      <c r="T7656" t="s">
        <v>42930</v>
      </c>
      <c r="U7656" t="s">
        <v>49491</v>
      </c>
      <c r="W7656" t="s">
        <v>40073</v>
      </c>
      <c r="X7656" t="s">
        <v>41261</v>
      </c>
    </row>
    <row r="7657" spans="1:24">
      <c r="A7657">
        <f>HYPERLINK("https://www.philgeps.gov.ph/GEPSNONPILOT/Tender/SplashBidNoticeAbstractUI.aspx?menuIndex=3&amp;refID=7059634&amp;Result=3","7059634")</f>
        <v>0</v>
      </c>
      <c r="B7657" t="s">
        <v>2398</v>
      </c>
      <c r="C7657" t="s">
        <v>10686</v>
      </c>
      <c r="D7657" t="s">
        <v>16679</v>
      </c>
      <c r="E7657" t="s">
        <v>23413</v>
      </c>
      <c r="F7657" t="s">
        <v>28669</v>
      </c>
      <c r="G7657" t="s">
        <v>28675</v>
      </c>
      <c r="H7657" t="s">
        <v>9998</v>
      </c>
      <c r="I7657" t="s">
        <v>28744</v>
      </c>
      <c r="J7657" t="s">
        <v>33604</v>
      </c>
      <c r="K7657" t="s">
        <v>37204</v>
      </c>
      <c r="M7657" t="s">
        <v>40074</v>
      </c>
      <c r="N7657" t="s">
        <v>41249</v>
      </c>
      <c r="O7657" t="s">
        <v>41250</v>
      </c>
      <c r="P7657">
        <v>0</v>
      </c>
      <c r="Q7657">
        <v>3</v>
      </c>
      <c r="R7657" t="s">
        <v>41258</v>
      </c>
      <c r="S7657" t="s">
        <v>41513</v>
      </c>
      <c r="T7657" t="s">
        <v>42992</v>
      </c>
      <c r="U7657" t="s">
        <v>49492</v>
      </c>
      <c r="W7657" t="s">
        <v>40074</v>
      </c>
      <c r="X7657" t="s">
        <v>41261</v>
      </c>
    </row>
    <row r="7658" spans="1:24">
      <c r="A7658">
        <f>HYPERLINK("https://www.philgeps.gov.ph/GEPSNONPILOT/Tender/SplashBidNoticeAbstractUI.aspx?menuIndex=3&amp;refID=7060331&amp;Result=3","7060331")</f>
        <v>0</v>
      </c>
      <c r="B7658" t="s">
        <v>2397</v>
      </c>
      <c r="C7658" t="s">
        <v>10687</v>
      </c>
      <c r="D7658" t="s">
        <v>16617</v>
      </c>
      <c r="E7658" t="s">
        <v>23414</v>
      </c>
      <c r="F7658" t="s">
        <v>28669</v>
      </c>
      <c r="G7658" t="s">
        <v>28675</v>
      </c>
      <c r="H7658" t="s">
        <v>9998</v>
      </c>
      <c r="I7658" t="s">
        <v>6128</v>
      </c>
      <c r="J7658" t="s">
        <v>33605</v>
      </c>
      <c r="K7658" t="s">
        <v>37204</v>
      </c>
      <c r="M7658" t="s">
        <v>40073</v>
      </c>
      <c r="N7658" t="s">
        <v>41249</v>
      </c>
      <c r="O7658" t="s">
        <v>41250</v>
      </c>
      <c r="P7658">
        <v>0</v>
      </c>
      <c r="Q7658">
        <v>1</v>
      </c>
      <c r="R7658" t="s">
        <v>41258</v>
      </c>
      <c r="S7658" t="s">
        <v>41513</v>
      </c>
      <c r="T7658" t="s">
        <v>42930</v>
      </c>
      <c r="U7658" t="s">
        <v>49493</v>
      </c>
      <c r="W7658" t="s">
        <v>40073</v>
      </c>
      <c r="X7658" t="s">
        <v>41261</v>
      </c>
    </row>
    <row r="7659" spans="1:24">
      <c r="A7659">
        <f>HYPERLINK("https://www.philgeps.gov.ph/GEPSNONPILOT/Tender/SplashBidNoticeAbstractUI.aspx?menuIndex=3&amp;refID=7060248&amp;Result=3","7060248")</f>
        <v>0</v>
      </c>
      <c r="B7659" t="s">
        <v>2397</v>
      </c>
      <c r="C7659" t="s">
        <v>10688</v>
      </c>
      <c r="D7659" t="s">
        <v>16617</v>
      </c>
      <c r="E7659" t="s">
        <v>23415</v>
      </c>
      <c r="F7659" t="s">
        <v>28669</v>
      </c>
      <c r="G7659" t="s">
        <v>28675</v>
      </c>
      <c r="H7659" t="s">
        <v>28686</v>
      </c>
      <c r="I7659" t="s">
        <v>28733</v>
      </c>
      <c r="J7659" t="s">
        <v>33606</v>
      </c>
      <c r="K7659" t="s">
        <v>37227</v>
      </c>
      <c r="M7659" t="s">
        <v>40073</v>
      </c>
      <c r="N7659" t="s">
        <v>41249</v>
      </c>
      <c r="O7659" t="s">
        <v>41250</v>
      </c>
      <c r="P7659">
        <v>0</v>
      </c>
      <c r="Q7659">
        <v>5</v>
      </c>
      <c r="R7659" t="s">
        <v>41258</v>
      </c>
      <c r="S7659" t="s">
        <v>41513</v>
      </c>
      <c r="T7659" t="s">
        <v>42930</v>
      </c>
      <c r="U7659" t="s">
        <v>49494</v>
      </c>
      <c r="W7659" t="s">
        <v>40073</v>
      </c>
      <c r="X7659" t="s">
        <v>41261</v>
      </c>
    </row>
    <row r="7660" spans="1:24">
      <c r="A7660">
        <f>HYPERLINK("https://www.philgeps.gov.ph/GEPSNONPILOT/Tender/SplashBidNoticeAbstractUI.aspx?menuIndex=3&amp;refID=7060283&amp;Result=3","7060283")</f>
        <v>0</v>
      </c>
      <c r="B7660" t="s">
        <v>2397</v>
      </c>
      <c r="C7660" t="s">
        <v>10689</v>
      </c>
      <c r="D7660" t="s">
        <v>16617</v>
      </c>
      <c r="E7660" t="s">
        <v>23416</v>
      </c>
      <c r="F7660" t="s">
        <v>28669</v>
      </c>
      <c r="G7660" t="s">
        <v>28675</v>
      </c>
      <c r="H7660" t="s">
        <v>28686</v>
      </c>
      <c r="I7660" t="s">
        <v>28689</v>
      </c>
      <c r="J7660" t="s">
        <v>33607</v>
      </c>
      <c r="K7660" t="s">
        <v>37206</v>
      </c>
      <c r="M7660" t="s">
        <v>40073</v>
      </c>
      <c r="N7660" t="s">
        <v>41249</v>
      </c>
      <c r="O7660" t="s">
        <v>41250</v>
      </c>
      <c r="P7660">
        <v>0</v>
      </c>
      <c r="Q7660">
        <v>0</v>
      </c>
      <c r="R7660" t="s">
        <v>41258</v>
      </c>
      <c r="S7660" t="s">
        <v>41513</v>
      </c>
      <c r="T7660" t="s">
        <v>42930</v>
      </c>
      <c r="U7660" t="s">
        <v>49495</v>
      </c>
      <c r="W7660" t="s">
        <v>40073</v>
      </c>
      <c r="X7660" t="s">
        <v>41261</v>
      </c>
    </row>
    <row r="7661" spans="1:24">
      <c r="A7661">
        <f>HYPERLINK("https://www.philgeps.gov.ph/GEPSNONPILOT/Tender/SplashBidNoticeAbstractUI.aspx?menuIndex=3&amp;refID=7060402&amp;Result=3","7060402")</f>
        <v>0</v>
      </c>
      <c r="B7661" t="s">
        <v>2397</v>
      </c>
      <c r="C7661" t="s">
        <v>10690</v>
      </c>
      <c r="D7661" t="s">
        <v>16617</v>
      </c>
      <c r="E7661" t="s">
        <v>23417</v>
      </c>
      <c r="F7661" t="s">
        <v>28669</v>
      </c>
      <c r="G7661" t="s">
        <v>28675</v>
      </c>
      <c r="H7661" t="s">
        <v>28684</v>
      </c>
      <c r="I7661" t="s">
        <v>6458</v>
      </c>
      <c r="J7661" t="s">
        <v>33608</v>
      </c>
      <c r="K7661" t="s">
        <v>37204</v>
      </c>
      <c r="M7661" t="s">
        <v>40073</v>
      </c>
      <c r="N7661" t="s">
        <v>41249</v>
      </c>
      <c r="O7661" t="s">
        <v>41250</v>
      </c>
      <c r="P7661">
        <v>0</v>
      </c>
      <c r="Q7661">
        <v>2</v>
      </c>
      <c r="R7661" t="s">
        <v>41258</v>
      </c>
      <c r="S7661" t="s">
        <v>41513</v>
      </c>
      <c r="T7661" t="s">
        <v>42930</v>
      </c>
      <c r="U7661" t="s">
        <v>49496</v>
      </c>
      <c r="W7661" t="s">
        <v>40073</v>
      </c>
      <c r="X7661" t="s">
        <v>41261</v>
      </c>
    </row>
    <row r="7662" spans="1:24">
      <c r="A7662">
        <f>HYPERLINK("https://www.philgeps.gov.ph/GEPSNONPILOT/Tender/SplashBidNoticeAbstractUI.aspx?menuIndex=3&amp;refID=7060536&amp;Result=3","7060536")</f>
        <v>0</v>
      </c>
      <c r="B7662" t="s">
        <v>2393</v>
      </c>
      <c r="C7662" t="s">
        <v>10691</v>
      </c>
      <c r="D7662" t="s">
        <v>16643</v>
      </c>
      <c r="E7662" t="s">
        <v>23418</v>
      </c>
      <c r="F7662" t="s">
        <v>28669</v>
      </c>
      <c r="G7662" t="s">
        <v>28675</v>
      </c>
      <c r="H7662" t="s">
        <v>28686</v>
      </c>
      <c r="I7662" t="s">
        <v>28689</v>
      </c>
      <c r="J7662" t="s">
        <v>33609</v>
      </c>
      <c r="K7662" t="s">
        <v>37351</v>
      </c>
      <c r="M7662" t="s">
        <v>40068</v>
      </c>
      <c r="N7662" t="s">
        <v>41249</v>
      </c>
      <c r="O7662" t="s">
        <v>41250</v>
      </c>
      <c r="P7662">
        <v>0</v>
      </c>
      <c r="Q7662">
        <v>8</v>
      </c>
      <c r="R7662" t="s">
        <v>41258</v>
      </c>
      <c r="S7662" t="s">
        <v>41513</v>
      </c>
      <c r="T7662" t="s">
        <v>43055</v>
      </c>
      <c r="U7662" t="s">
        <v>49497</v>
      </c>
      <c r="V7662" t="s">
        <v>55128</v>
      </c>
      <c r="W7662" t="s">
        <v>55992</v>
      </c>
      <c r="X7662" t="s">
        <v>41261</v>
      </c>
    </row>
    <row r="7663" spans="1:24">
      <c r="A7663">
        <f>HYPERLINK("https://www.philgeps.gov.ph/GEPSNONPILOT/Tender/SplashBidNoticeAbstractUI.aspx?menuIndex=3&amp;refID=7060102&amp;Result=3","7060102")</f>
        <v>0</v>
      </c>
      <c r="B7663" t="s">
        <v>2393</v>
      </c>
      <c r="C7663" t="s">
        <v>10692</v>
      </c>
      <c r="D7663" t="s">
        <v>16643</v>
      </c>
      <c r="E7663" t="s">
        <v>23419</v>
      </c>
      <c r="F7663" t="s">
        <v>28669</v>
      </c>
      <c r="G7663" t="s">
        <v>28675</v>
      </c>
      <c r="H7663" t="s">
        <v>28686</v>
      </c>
      <c r="I7663" t="s">
        <v>28689</v>
      </c>
      <c r="J7663" t="s">
        <v>33610</v>
      </c>
      <c r="K7663" t="s">
        <v>37351</v>
      </c>
      <c r="M7663" t="s">
        <v>40068</v>
      </c>
      <c r="N7663" t="s">
        <v>41249</v>
      </c>
      <c r="O7663" t="s">
        <v>41250</v>
      </c>
      <c r="P7663">
        <v>0</v>
      </c>
      <c r="Q7663">
        <v>8</v>
      </c>
      <c r="R7663" t="s">
        <v>41258</v>
      </c>
      <c r="S7663" t="s">
        <v>41513</v>
      </c>
      <c r="T7663" t="s">
        <v>42793</v>
      </c>
      <c r="U7663" t="s">
        <v>49498</v>
      </c>
      <c r="V7663" t="s">
        <v>55128</v>
      </c>
      <c r="W7663" t="s">
        <v>55992</v>
      </c>
      <c r="X7663" t="s">
        <v>41261</v>
      </c>
    </row>
    <row r="7664" spans="1:24">
      <c r="A7664">
        <f>HYPERLINK("https://www.philgeps.gov.ph/GEPSNONPILOT/Tender/SplashBidNoticeAbstractUI.aspx?menuIndex=3&amp;refID=7059977&amp;Result=3","7059977")</f>
        <v>0</v>
      </c>
      <c r="B7664" t="s">
        <v>2393</v>
      </c>
      <c r="C7664" t="s">
        <v>10693</v>
      </c>
      <c r="D7664" t="s">
        <v>16643</v>
      </c>
      <c r="E7664" t="s">
        <v>23420</v>
      </c>
      <c r="F7664" t="s">
        <v>28669</v>
      </c>
      <c r="G7664" t="s">
        <v>28675</v>
      </c>
      <c r="H7664" t="s">
        <v>28686</v>
      </c>
      <c r="I7664" t="s">
        <v>28689</v>
      </c>
      <c r="J7664" t="s">
        <v>33611</v>
      </c>
      <c r="K7664" t="s">
        <v>37351</v>
      </c>
      <c r="M7664" t="s">
        <v>40068</v>
      </c>
      <c r="N7664" t="s">
        <v>41249</v>
      </c>
      <c r="O7664" t="s">
        <v>41250</v>
      </c>
      <c r="P7664">
        <v>0</v>
      </c>
      <c r="Q7664">
        <v>9</v>
      </c>
      <c r="R7664" t="s">
        <v>41258</v>
      </c>
      <c r="S7664" t="s">
        <v>41513</v>
      </c>
      <c r="T7664" t="s">
        <v>42793</v>
      </c>
      <c r="U7664" t="s">
        <v>49499</v>
      </c>
      <c r="V7664" t="s">
        <v>55128</v>
      </c>
      <c r="W7664" t="s">
        <v>55992</v>
      </c>
      <c r="X7664" t="s">
        <v>41261</v>
      </c>
    </row>
    <row r="7665" spans="1:24">
      <c r="A7665">
        <f>HYPERLINK("https://www.philgeps.gov.ph/GEPSNONPILOT/Tender/SplashBidNoticeAbstractUI.aspx?menuIndex=3&amp;refID=7059918&amp;Result=3","7059918")</f>
        <v>0</v>
      </c>
      <c r="B7665" t="s">
        <v>2397</v>
      </c>
      <c r="C7665" t="s">
        <v>10694</v>
      </c>
      <c r="D7665" t="s">
        <v>16617</v>
      </c>
      <c r="E7665" t="s">
        <v>23421</v>
      </c>
      <c r="F7665" t="s">
        <v>28669</v>
      </c>
      <c r="G7665" t="s">
        <v>28675</v>
      </c>
      <c r="H7665" t="s">
        <v>9998</v>
      </c>
      <c r="I7665" t="s">
        <v>28708</v>
      </c>
      <c r="J7665" t="s">
        <v>33612</v>
      </c>
      <c r="K7665" t="s">
        <v>37204</v>
      </c>
      <c r="M7665" t="s">
        <v>40073</v>
      </c>
      <c r="N7665" t="s">
        <v>41249</v>
      </c>
      <c r="O7665" t="s">
        <v>41250</v>
      </c>
      <c r="P7665">
        <v>0</v>
      </c>
      <c r="Q7665">
        <v>3</v>
      </c>
      <c r="R7665" t="s">
        <v>41258</v>
      </c>
      <c r="S7665" t="s">
        <v>41513</v>
      </c>
      <c r="T7665" t="s">
        <v>42930</v>
      </c>
      <c r="U7665" t="s">
        <v>49500</v>
      </c>
      <c r="W7665" t="s">
        <v>40073</v>
      </c>
      <c r="X7665" t="s">
        <v>41261</v>
      </c>
    </row>
    <row r="7666" spans="1:24">
      <c r="A7666">
        <f>HYPERLINK("https://www.philgeps.gov.ph/GEPSNONPILOT/Tender/SplashBidNoticeAbstractUI.aspx?menuIndex=3&amp;refID=7054829&amp;Result=3","7054829")</f>
        <v>0</v>
      </c>
      <c r="B7666" t="s">
        <v>295</v>
      </c>
      <c r="C7666" t="s">
        <v>10695</v>
      </c>
      <c r="D7666" t="s">
        <v>16664</v>
      </c>
      <c r="E7666" t="s">
        <v>23422</v>
      </c>
      <c r="F7666" t="s">
        <v>28669</v>
      </c>
      <c r="G7666" t="s">
        <v>28676</v>
      </c>
      <c r="H7666" t="s">
        <v>9998</v>
      </c>
      <c r="I7666" t="s">
        <v>7352</v>
      </c>
      <c r="J7666" t="s">
        <v>33613</v>
      </c>
      <c r="K7666" t="s">
        <v>37206</v>
      </c>
      <c r="M7666" t="s">
        <v>37774</v>
      </c>
      <c r="N7666" t="s">
        <v>41249</v>
      </c>
      <c r="O7666" t="s">
        <v>41250</v>
      </c>
      <c r="P7666">
        <v>0</v>
      </c>
      <c r="Q7666">
        <v>2</v>
      </c>
      <c r="R7666" t="s">
        <v>41258</v>
      </c>
      <c r="S7666" t="s">
        <v>41513</v>
      </c>
      <c r="T7666" t="s">
        <v>42701</v>
      </c>
      <c r="U7666" t="s">
        <v>49501</v>
      </c>
      <c r="V7666" t="s">
        <v>55129</v>
      </c>
      <c r="W7666" t="s">
        <v>37774</v>
      </c>
      <c r="X7666" t="s">
        <v>41265</v>
      </c>
    </row>
    <row r="7667" spans="1:24">
      <c r="A7667">
        <f>HYPERLINK("https://www.philgeps.gov.ph/GEPSNONPILOT/Tender/SplashBidNoticeAbstractUI.aspx?menuIndex=3&amp;refID=7059897&amp;Result=3","7059897")</f>
        <v>0</v>
      </c>
      <c r="B7667" t="s">
        <v>2393</v>
      </c>
      <c r="C7667" t="s">
        <v>10696</v>
      </c>
      <c r="D7667" t="s">
        <v>16643</v>
      </c>
      <c r="E7667" t="s">
        <v>23423</v>
      </c>
      <c r="F7667" t="s">
        <v>28669</v>
      </c>
      <c r="G7667" t="s">
        <v>28675</v>
      </c>
      <c r="H7667" t="s">
        <v>28686</v>
      </c>
      <c r="I7667" t="s">
        <v>28689</v>
      </c>
      <c r="J7667" t="s">
        <v>33614</v>
      </c>
      <c r="K7667" t="s">
        <v>37351</v>
      </c>
      <c r="M7667" t="s">
        <v>40068</v>
      </c>
      <c r="N7667" t="s">
        <v>41249</v>
      </c>
      <c r="O7667" t="s">
        <v>41250</v>
      </c>
      <c r="P7667">
        <v>0</v>
      </c>
      <c r="Q7667">
        <v>8</v>
      </c>
      <c r="R7667" t="s">
        <v>41258</v>
      </c>
      <c r="S7667" t="s">
        <v>41513</v>
      </c>
      <c r="T7667" t="s">
        <v>42793</v>
      </c>
      <c r="U7667" t="s">
        <v>49502</v>
      </c>
      <c r="V7667" t="s">
        <v>55128</v>
      </c>
      <c r="W7667" t="s">
        <v>55992</v>
      </c>
      <c r="X7667" t="s">
        <v>41261</v>
      </c>
    </row>
    <row r="7668" spans="1:24">
      <c r="A7668">
        <f>HYPERLINK("https://www.philgeps.gov.ph/GEPSNONPILOT/Tender/SplashBidNoticeAbstractUI.aspx?menuIndex=3&amp;refID=7059873&amp;Result=3","7059873")</f>
        <v>0</v>
      </c>
      <c r="B7668" t="s">
        <v>810</v>
      </c>
      <c r="C7668" t="s">
        <v>10697</v>
      </c>
      <c r="E7668" t="s">
        <v>23424</v>
      </c>
      <c r="F7668" t="s">
        <v>28669</v>
      </c>
      <c r="G7668" t="s">
        <v>28676</v>
      </c>
      <c r="H7668" t="s">
        <v>28686</v>
      </c>
      <c r="I7668" t="s">
        <v>28689</v>
      </c>
      <c r="J7668" t="s">
        <v>33615</v>
      </c>
      <c r="K7668" t="s">
        <v>37206</v>
      </c>
      <c r="M7668" t="s">
        <v>38325</v>
      </c>
      <c r="N7668" t="s">
        <v>41249</v>
      </c>
      <c r="O7668" t="s">
        <v>41250</v>
      </c>
      <c r="P7668">
        <v>0</v>
      </c>
      <c r="Q7668">
        <v>1</v>
      </c>
      <c r="R7668" t="s">
        <v>41258</v>
      </c>
      <c r="S7668" t="s">
        <v>41513</v>
      </c>
      <c r="T7668" t="s">
        <v>42964</v>
      </c>
      <c r="U7668" t="s">
        <v>49503</v>
      </c>
      <c r="W7668" t="s">
        <v>55936</v>
      </c>
      <c r="X7668" t="s">
        <v>41261</v>
      </c>
    </row>
    <row r="7669" spans="1:24">
      <c r="A7669">
        <f>HYPERLINK("https://www.philgeps.gov.ph/GEPSNONPILOT/Tender/SplashBidNoticeAbstractUI.aspx?menuIndex=3&amp;refID=7060270&amp;Result=3","7060270")</f>
        <v>0</v>
      </c>
      <c r="B7669" t="s">
        <v>1781</v>
      </c>
      <c r="C7669" t="s">
        <v>8300</v>
      </c>
      <c r="D7669" t="s">
        <v>16621</v>
      </c>
      <c r="E7669" t="s">
        <v>23425</v>
      </c>
      <c r="F7669" t="s">
        <v>28669</v>
      </c>
      <c r="G7669" t="s">
        <v>28675</v>
      </c>
      <c r="H7669" t="s">
        <v>9998</v>
      </c>
      <c r="I7669" t="s">
        <v>5286</v>
      </c>
      <c r="J7669" t="s">
        <v>33616</v>
      </c>
      <c r="K7669" t="s">
        <v>37206</v>
      </c>
      <c r="M7669" t="s">
        <v>39385</v>
      </c>
      <c r="N7669" t="s">
        <v>41249</v>
      </c>
      <c r="O7669" t="s">
        <v>41250</v>
      </c>
      <c r="P7669">
        <v>0</v>
      </c>
      <c r="Q7669">
        <v>10</v>
      </c>
      <c r="R7669" t="s">
        <v>41258</v>
      </c>
      <c r="S7669" t="s">
        <v>41513</v>
      </c>
      <c r="T7669" t="s">
        <v>42786</v>
      </c>
      <c r="U7669" t="s">
        <v>49504</v>
      </c>
      <c r="W7669" t="s">
        <v>39385</v>
      </c>
      <c r="X7669" t="s">
        <v>41261</v>
      </c>
    </row>
    <row r="7670" spans="1:24">
      <c r="A7670">
        <f>HYPERLINK("https://www.philgeps.gov.ph/GEPSNONPILOT/Tender/SplashBidNoticeAbstractUI.aspx?menuIndex=3&amp;refID=7061340&amp;Result=3","7061340")</f>
        <v>0</v>
      </c>
      <c r="B7670" t="s">
        <v>102</v>
      </c>
      <c r="C7670" t="s">
        <v>10698</v>
      </c>
      <c r="D7670" t="s">
        <v>16631</v>
      </c>
      <c r="E7670" t="s">
        <v>23426</v>
      </c>
      <c r="F7670" t="s">
        <v>28669</v>
      </c>
      <c r="G7670" t="s">
        <v>28675</v>
      </c>
      <c r="H7670" t="s">
        <v>28686</v>
      </c>
      <c r="I7670" t="s">
        <v>28689</v>
      </c>
      <c r="J7670" t="s">
        <v>33617</v>
      </c>
      <c r="K7670" t="s">
        <v>37215</v>
      </c>
      <c r="M7670" t="s">
        <v>37577</v>
      </c>
      <c r="N7670" t="s">
        <v>41249</v>
      </c>
      <c r="O7670" t="s">
        <v>41250</v>
      </c>
      <c r="P7670">
        <v>0</v>
      </c>
      <c r="Q7670">
        <v>2</v>
      </c>
      <c r="R7670" t="s">
        <v>41258</v>
      </c>
      <c r="S7670" t="s">
        <v>41513</v>
      </c>
      <c r="T7670" t="s">
        <v>42760</v>
      </c>
      <c r="U7670" t="s">
        <v>49505</v>
      </c>
      <c r="V7670" t="s">
        <v>54279</v>
      </c>
      <c r="W7670" t="s">
        <v>37577</v>
      </c>
      <c r="X7670" t="s">
        <v>41261</v>
      </c>
    </row>
    <row r="7671" spans="1:24">
      <c r="A7671">
        <f>HYPERLINK("https://www.philgeps.gov.ph/GEPSNONPILOT/Tender/SplashBidNoticeAbstractUI.aspx?menuIndex=3&amp;refID=7061307&amp;Result=3","7061307")</f>
        <v>0</v>
      </c>
      <c r="B7671" t="s">
        <v>102</v>
      </c>
      <c r="C7671" t="s">
        <v>10699</v>
      </c>
      <c r="D7671" t="s">
        <v>16631</v>
      </c>
      <c r="E7671" t="s">
        <v>23427</v>
      </c>
      <c r="F7671" t="s">
        <v>28669</v>
      </c>
      <c r="G7671" t="s">
        <v>28675</v>
      </c>
      <c r="H7671" t="s">
        <v>28686</v>
      </c>
      <c r="I7671" t="s">
        <v>28689</v>
      </c>
      <c r="J7671" t="s">
        <v>33618</v>
      </c>
      <c r="K7671" t="s">
        <v>37220</v>
      </c>
      <c r="M7671" t="s">
        <v>37577</v>
      </c>
      <c r="N7671" t="s">
        <v>41249</v>
      </c>
      <c r="O7671" t="s">
        <v>41250</v>
      </c>
      <c r="P7671">
        <v>0</v>
      </c>
      <c r="Q7671">
        <v>1</v>
      </c>
      <c r="R7671" t="s">
        <v>41258</v>
      </c>
      <c r="S7671" t="s">
        <v>41513</v>
      </c>
      <c r="T7671" t="s">
        <v>42760</v>
      </c>
      <c r="U7671" t="s">
        <v>49506</v>
      </c>
      <c r="V7671" t="s">
        <v>54279</v>
      </c>
      <c r="W7671" t="s">
        <v>37577</v>
      </c>
      <c r="X7671" t="s">
        <v>41261</v>
      </c>
    </row>
    <row r="7672" spans="1:24">
      <c r="A7672">
        <f>HYPERLINK("https://www.philgeps.gov.ph/GEPSNONPILOT/Tender/SplashBidNoticeAbstractUI.aspx?menuIndex=3&amp;refID=7061226&amp;Result=3","7061226")</f>
        <v>0</v>
      </c>
      <c r="B7672" t="s">
        <v>102</v>
      </c>
      <c r="C7672" t="s">
        <v>10700</v>
      </c>
      <c r="D7672" t="s">
        <v>16631</v>
      </c>
      <c r="E7672" t="s">
        <v>23428</v>
      </c>
      <c r="F7672" t="s">
        <v>28669</v>
      </c>
      <c r="G7672" t="s">
        <v>28675</v>
      </c>
      <c r="H7672" t="s">
        <v>28686</v>
      </c>
      <c r="I7672" t="s">
        <v>28689</v>
      </c>
      <c r="J7672" t="s">
        <v>33619</v>
      </c>
      <c r="K7672" t="s">
        <v>37220</v>
      </c>
      <c r="M7672" t="s">
        <v>37577</v>
      </c>
      <c r="N7672" t="s">
        <v>41249</v>
      </c>
      <c r="O7672" t="s">
        <v>41250</v>
      </c>
      <c r="P7672">
        <v>0</v>
      </c>
      <c r="Q7672">
        <v>0</v>
      </c>
      <c r="R7672" t="s">
        <v>41258</v>
      </c>
      <c r="S7672" t="s">
        <v>41513</v>
      </c>
      <c r="T7672" t="s">
        <v>42760</v>
      </c>
      <c r="U7672" t="s">
        <v>49507</v>
      </c>
      <c r="V7672" t="s">
        <v>54279</v>
      </c>
      <c r="W7672" t="s">
        <v>37577</v>
      </c>
      <c r="X7672" t="s">
        <v>41261</v>
      </c>
    </row>
    <row r="7673" spans="1:24">
      <c r="A7673">
        <f>HYPERLINK("https://www.philgeps.gov.ph/GEPSNONPILOT/Tender/SplashBidNoticeAbstractUI.aspx?menuIndex=3&amp;refID=7061190&amp;Result=3","7061190")</f>
        <v>0</v>
      </c>
      <c r="B7673" t="s">
        <v>2393</v>
      </c>
      <c r="C7673" t="s">
        <v>10701</v>
      </c>
      <c r="D7673" t="s">
        <v>16643</v>
      </c>
      <c r="E7673" t="s">
        <v>23429</v>
      </c>
      <c r="F7673" t="s">
        <v>28669</v>
      </c>
      <c r="G7673" t="s">
        <v>28675</v>
      </c>
      <c r="H7673" t="s">
        <v>28686</v>
      </c>
      <c r="I7673" t="s">
        <v>28689</v>
      </c>
      <c r="J7673" t="s">
        <v>33620</v>
      </c>
      <c r="K7673" t="s">
        <v>37351</v>
      </c>
      <c r="M7673" t="s">
        <v>40068</v>
      </c>
      <c r="N7673" t="s">
        <v>41249</v>
      </c>
      <c r="O7673" t="s">
        <v>41250</v>
      </c>
      <c r="P7673">
        <v>0</v>
      </c>
      <c r="Q7673">
        <v>8</v>
      </c>
      <c r="R7673" t="s">
        <v>41258</v>
      </c>
      <c r="S7673" t="s">
        <v>41513</v>
      </c>
      <c r="T7673" t="s">
        <v>43056</v>
      </c>
      <c r="U7673" t="s">
        <v>49508</v>
      </c>
      <c r="V7673" t="s">
        <v>55128</v>
      </c>
      <c r="W7673" t="s">
        <v>55992</v>
      </c>
      <c r="X7673" t="s">
        <v>41261</v>
      </c>
    </row>
    <row r="7674" spans="1:24">
      <c r="A7674">
        <f>HYPERLINK("https://www.philgeps.gov.ph/GEPSNONPILOT/Tender/SplashBidNoticeAbstractUI.aspx?menuIndex=3&amp;refID=7061136&amp;Result=3","7061136")</f>
        <v>0</v>
      </c>
      <c r="B7674" t="s">
        <v>2393</v>
      </c>
      <c r="C7674" t="s">
        <v>10702</v>
      </c>
      <c r="D7674" t="s">
        <v>16643</v>
      </c>
      <c r="E7674" t="s">
        <v>23430</v>
      </c>
      <c r="F7674" t="s">
        <v>28669</v>
      </c>
      <c r="G7674" t="s">
        <v>28675</v>
      </c>
      <c r="H7674" t="s">
        <v>28686</v>
      </c>
      <c r="I7674" t="s">
        <v>28689</v>
      </c>
      <c r="J7674" t="s">
        <v>33621</v>
      </c>
      <c r="K7674" t="s">
        <v>37351</v>
      </c>
      <c r="M7674" t="s">
        <v>40068</v>
      </c>
      <c r="N7674" t="s">
        <v>41249</v>
      </c>
      <c r="O7674" t="s">
        <v>41250</v>
      </c>
      <c r="P7674">
        <v>0</v>
      </c>
      <c r="Q7674">
        <v>8</v>
      </c>
      <c r="R7674" t="s">
        <v>41258</v>
      </c>
      <c r="S7674" t="s">
        <v>41513</v>
      </c>
      <c r="T7674" t="s">
        <v>43056</v>
      </c>
      <c r="U7674" t="s">
        <v>49509</v>
      </c>
      <c r="V7674" t="s">
        <v>55128</v>
      </c>
      <c r="W7674" t="s">
        <v>55992</v>
      </c>
      <c r="X7674" t="s">
        <v>41261</v>
      </c>
    </row>
    <row r="7675" spans="1:24">
      <c r="A7675">
        <f>HYPERLINK("https://www.philgeps.gov.ph/GEPSNONPILOT/Tender/SplashBidNoticeAbstractUI.aspx?menuIndex=3&amp;refID=7060223&amp;Result=3","7060223")</f>
        <v>0</v>
      </c>
      <c r="B7675" t="s">
        <v>2397</v>
      </c>
      <c r="C7675" t="s">
        <v>10703</v>
      </c>
      <c r="D7675" t="s">
        <v>16617</v>
      </c>
      <c r="E7675" t="s">
        <v>23431</v>
      </c>
      <c r="F7675" t="s">
        <v>28669</v>
      </c>
      <c r="G7675" t="s">
        <v>28675</v>
      </c>
      <c r="H7675" t="s">
        <v>9998</v>
      </c>
      <c r="I7675" t="s">
        <v>6128</v>
      </c>
      <c r="J7675" t="s">
        <v>33622</v>
      </c>
      <c r="K7675" t="s">
        <v>37204</v>
      </c>
      <c r="M7675" t="s">
        <v>40073</v>
      </c>
      <c r="N7675" t="s">
        <v>41249</v>
      </c>
      <c r="O7675" t="s">
        <v>41250</v>
      </c>
      <c r="P7675">
        <v>0</v>
      </c>
      <c r="Q7675">
        <v>3</v>
      </c>
      <c r="R7675" t="s">
        <v>41258</v>
      </c>
      <c r="S7675" t="s">
        <v>41513</v>
      </c>
      <c r="T7675" t="s">
        <v>42930</v>
      </c>
      <c r="U7675" t="s">
        <v>49510</v>
      </c>
      <c r="W7675" t="s">
        <v>40073</v>
      </c>
      <c r="X7675" t="s">
        <v>41261</v>
      </c>
    </row>
    <row r="7676" spans="1:24">
      <c r="A7676">
        <f>HYPERLINK("https://www.philgeps.gov.ph/GEPSNONPILOT/Tender/SplashBidNoticeAbstractUI.aspx?menuIndex=3&amp;refID=7061428&amp;Result=3","7061428")</f>
        <v>0</v>
      </c>
      <c r="B7676" t="s">
        <v>2399</v>
      </c>
      <c r="C7676" t="s">
        <v>10704</v>
      </c>
      <c r="D7676" t="s">
        <v>16637</v>
      </c>
      <c r="E7676" t="s">
        <v>23432</v>
      </c>
      <c r="F7676" t="s">
        <v>28671</v>
      </c>
      <c r="G7676" t="s">
        <v>28675</v>
      </c>
      <c r="H7676" t="s">
        <v>9998</v>
      </c>
      <c r="I7676" t="s">
        <v>28687</v>
      </c>
      <c r="J7676" t="s">
        <v>30258</v>
      </c>
      <c r="K7676" t="s">
        <v>37204</v>
      </c>
      <c r="M7676" t="s">
        <v>40075</v>
      </c>
      <c r="N7676" t="s">
        <v>41249</v>
      </c>
      <c r="O7676" t="s">
        <v>41250</v>
      </c>
      <c r="P7676">
        <v>0</v>
      </c>
      <c r="Q7676">
        <v>1</v>
      </c>
      <c r="R7676" t="s">
        <v>41258</v>
      </c>
      <c r="S7676" t="s">
        <v>41513</v>
      </c>
      <c r="T7676" t="s">
        <v>43027</v>
      </c>
      <c r="U7676" t="s">
        <v>49511</v>
      </c>
      <c r="V7676" t="s">
        <v>55130</v>
      </c>
      <c r="W7676" t="s">
        <v>40075</v>
      </c>
      <c r="X7676" t="s">
        <v>41261</v>
      </c>
    </row>
    <row r="7677" spans="1:24">
      <c r="A7677">
        <f>HYPERLINK("https://www.philgeps.gov.ph/GEPSNONPILOT/Tender/SplashBidNoticeAbstractUI.aspx?menuIndex=3&amp;refID=7060932&amp;Result=3","7060932")</f>
        <v>0</v>
      </c>
      <c r="B7677" t="s">
        <v>2397</v>
      </c>
      <c r="C7677" t="s">
        <v>10705</v>
      </c>
      <c r="D7677" t="s">
        <v>16617</v>
      </c>
      <c r="E7677" t="s">
        <v>23433</v>
      </c>
      <c r="F7677" t="s">
        <v>28669</v>
      </c>
      <c r="G7677" t="s">
        <v>28675</v>
      </c>
      <c r="H7677" t="s">
        <v>28686</v>
      </c>
      <c r="I7677" t="s">
        <v>28689</v>
      </c>
      <c r="J7677" t="s">
        <v>33623</v>
      </c>
      <c r="K7677" t="s">
        <v>37221</v>
      </c>
      <c r="M7677" t="s">
        <v>40073</v>
      </c>
      <c r="N7677" t="s">
        <v>41249</v>
      </c>
      <c r="O7677" t="s">
        <v>41250</v>
      </c>
      <c r="P7677">
        <v>0</v>
      </c>
      <c r="Q7677">
        <v>1</v>
      </c>
      <c r="R7677" t="s">
        <v>41258</v>
      </c>
      <c r="S7677" t="s">
        <v>41513</v>
      </c>
      <c r="T7677" t="s">
        <v>42930</v>
      </c>
      <c r="U7677" t="s">
        <v>49512</v>
      </c>
      <c r="W7677" t="s">
        <v>40073</v>
      </c>
      <c r="X7677" t="s">
        <v>41261</v>
      </c>
    </row>
    <row r="7678" spans="1:24">
      <c r="A7678">
        <f>HYPERLINK("https://www.philgeps.gov.ph/GEPSNONPILOT/Tender/SplashBidNoticeAbstractUI.aspx?menuIndex=3&amp;refID=7060922&amp;Result=3","7060922")</f>
        <v>0</v>
      </c>
      <c r="B7678" t="s">
        <v>2393</v>
      </c>
      <c r="C7678" t="s">
        <v>10706</v>
      </c>
      <c r="D7678" t="s">
        <v>16643</v>
      </c>
      <c r="E7678" t="s">
        <v>23434</v>
      </c>
      <c r="F7678" t="s">
        <v>28669</v>
      </c>
      <c r="G7678" t="s">
        <v>28675</v>
      </c>
      <c r="H7678" t="s">
        <v>28686</v>
      </c>
      <c r="I7678" t="s">
        <v>28689</v>
      </c>
      <c r="J7678" t="s">
        <v>33624</v>
      </c>
      <c r="K7678" t="s">
        <v>37351</v>
      </c>
      <c r="M7678" t="s">
        <v>40068</v>
      </c>
      <c r="N7678" t="s">
        <v>41249</v>
      </c>
      <c r="O7678" t="s">
        <v>41250</v>
      </c>
      <c r="P7678">
        <v>0</v>
      </c>
      <c r="Q7678">
        <v>8</v>
      </c>
      <c r="R7678" t="s">
        <v>41258</v>
      </c>
      <c r="S7678" t="s">
        <v>41513</v>
      </c>
      <c r="T7678" t="s">
        <v>43056</v>
      </c>
      <c r="U7678" t="s">
        <v>49513</v>
      </c>
      <c r="V7678" t="s">
        <v>55128</v>
      </c>
      <c r="W7678" t="s">
        <v>55992</v>
      </c>
      <c r="X7678" t="s">
        <v>41261</v>
      </c>
    </row>
    <row r="7679" spans="1:24">
      <c r="A7679">
        <f>HYPERLINK("https://www.philgeps.gov.ph/GEPSNONPILOT/Tender/SplashBidNoticeAbstractUI.aspx?menuIndex=3&amp;refID=7060817&amp;Result=3","7060817")</f>
        <v>0</v>
      </c>
      <c r="B7679" t="s">
        <v>2393</v>
      </c>
      <c r="C7679" t="s">
        <v>10707</v>
      </c>
      <c r="D7679" t="s">
        <v>16643</v>
      </c>
      <c r="E7679" t="s">
        <v>23435</v>
      </c>
      <c r="F7679" t="s">
        <v>28669</v>
      </c>
      <c r="G7679" t="s">
        <v>28675</v>
      </c>
      <c r="H7679" t="s">
        <v>28686</v>
      </c>
      <c r="I7679" t="s">
        <v>28689</v>
      </c>
      <c r="J7679" t="s">
        <v>33625</v>
      </c>
      <c r="K7679" t="s">
        <v>37351</v>
      </c>
      <c r="M7679" t="s">
        <v>40068</v>
      </c>
      <c r="N7679" t="s">
        <v>41249</v>
      </c>
      <c r="O7679" t="s">
        <v>41250</v>
      </c>
      <c r="P7679">
        <v>0</v>
      </c>
      <c r="Q7679">
        <v>8</v>
      </c>
      <c r="R7679" t="s">
        <v>41258</v>
      </c>
      <c r="S7679" t="s">
        <v>41513</v>
      </c>
      <c r="T7679" t="s">
        <v>43055</v>
      </c>
      <c r="U7679" t="s">
        <v>49514</v>
      </c>
      <c r="V7679" t="s">
        <v>55128</v>
      </c>
      <c r="W7679" t="s">
        <v>55992</v>
      </c>
      <c r="X7679" t="s">
        <v>41261</v>
      </c>
    </row>
    <row r="7680" spans="1:24">
      <c r="A7680">
        <f>HYPERLINK("https://www.philgeps.gov.ph/GEPSNONPILOT/Tender/SplashBidNoticeAbstractUI.aspx?menuIndex=3&amp;refID=7060651&amp;Result=3","7060651")</f>
        <v>0</v>
      </c>
      <c r="B7680" t="s">
        <v>2397</v>
      </c>
      <c r="C7680" t="s">
        <v>10708</v>
      </c>
      <c r="D7680" t="s">
        <v>16617</v>
      </c>
      <c r="E7680" t="s">
        <v>23436</v>
      </c>
      <c r="F7680" t="s">
        <v>28669</v>
      </c>
      <c r="G7680" t="s">
        <v>28675</v>
      </c>
      <c r="H7680" t="s">
        <v>28686</v>
      </c>
      <c r="I7680" t="s">
        <v>28689</v>
      </c>
      <c r="J7680" t="s">
        <v>33626</v>
      </c>
      <c r="K7680" t="s">
        <v>37220</v>
      </c>
      <c r="M7680" t="s">
        <v>40073</v>
      </c>
      <c r="N7680" t="s">
        <v>41249</v>
      </c>
      <c r="O7680" t="s">
        <v>41250</v>
      </c>
      <c r="P7680">
        <v>0</v>
      </c>
      <c r="Q7680">
        <v>1</v>
      </c>
      <c r="R7680" t="s">
        <v>41258</v>
      </c>
      <c r="S7680" t="s">
        <v>41513</v>
      </c>
      <c r="T7680" t="s">
        <v>42930</v>
      </c>
      <c r="U7680" t="s">
        <v>49515</v>
      </c>
      <c r="W7680" t="s">
        <v>40073</v>
      </c>
      <c r="X7680" t="s">
        <v>41261</v>
      </c>
    </row>
    <row r="7681" spans="1:24">
      <c r="A7681">
        <f>HYPERLINK("https://www.philgeps.gov.ph/GEPSNONPILOT/Tender/SplashBidNoticeAbstractUI.aspx?menuIndex=3&amp;refID=7061007&amp;Result=3","7061007")</f>
        <v>0</v>
      </c>
      <c r="B7681" t="s">
        <v>102</v>
      </c>
      <c r="C7681" t="s">
        <v>10709</v>
      </c>
      <c r="D7681" t="s">
        <v>16631</v>
      </c>
      <c r="E7681" t="s">
        <v>23437</v>
      </c>
      <c r="F7681" t="s">
        <v>28669</v>
      </c>
      <c r="G7681" t="s">
        <v>28675</v>
      </c>
      <c r="H7681" t="s">
        <v>28686</v>
      </c>
      <c r="I7681" t="s">
        <v>28689</v>
      </c>
      <c r="J7681" t="s">
        <v>33627</v>
      </c>
      <c r="K7681" t="s">
        <v>37220</v>
      </c>
      <c r="M7681" t="s">
        <v>37577</v>
      </c>
      <c r="N7681" t="s">
        <v>41249</v>
      </c>
      <c r="O7681" t="s">
        <v>41250</v>
      </c>
      <c r="P7681">
        <v>0</v>
      </c>
      <c r="Q7681">
        <v>1</v>
      </c>
      <c r="R7681" t="s">
        <v>41258</v>
      </c>
      <c r="S7681" t="s">
        <v>41513</v>
      </c>
      <c r="T7681" t="s">
        <v>42760</v>
      </c>
      <c r="U7681" t="s">
        <v>49516</v>
      </c>
      <c r="V7681" t="s">
        <v>54279</v>
      </c>
      <c r="W7681" t="s">
        <v>37577</v>
      </c>
      <c r="X7681" t="s">
        <v>41261</v>
      </c>
    </row>
    <row r="7682" spans="1:24">
      <c r="A7682">
        <f>HYPERLINK("https://www.philgeps.gov.ph/GEPSNONPILOT/Tender/SplashBidNoticeAbstractUI.aspx?menuIndex=3&amp;refID=7061667&amp;Result=3","7061667")</f>
        <v>0</v>
      </c>
      <c r="B7682" t="s">
        <v>810</v>
      </c>
      <c r="C7682" t="s">
        <v>10710</v>
      </c>
      <c r="D7682" t="s">
        <v>16689</v>
      </c>
      <c r="E7682" t="s">
        <v>23438</v>
      </c>
      <c r="F7682" t="s">
        <v>28669</v>
      </c>
      <c r="G7682" t="s">
        <v>28676</v>
      </c>
      <c r="H7682" t="s">
        <v>28686</v>
      </c>
      <c r="I7682" t="s">
        <v>28689</v>
      </c>
      <c r="J7682" t="s">
        <v>33628</v>
      </c>
      <c r="K7682" t="s">
        <v>37206</v>
      </c>
      <c r="M7682" t="s">
        <v>38325</v>
      </c>
      <c r="N7682" t="s">
        <v>41249</v>
      </c>
      <c r="O7682" t="s">
        <v>41250</v>
      </c>
      <c r="P7682">
        <v>0</v>
      </c>
      <c r="Q7682">
        <v>2</v>
      </c>
      <c r="R7682" t="s">
        <v>41258</v>
      </c>
      <c r="S7682" t="s">
        <v>41513</v>
      </c>
      <c r="T7682" t="s">
        <v>42964</v>
      </c>
      <c r="U7682" t="s">
        <v>49517</v>
      </c>
      <c r="W7682" t="s">
        <v>55936</v>
      </c>
      <c r="X7682" t="s">
        <v>41261</v>
      </c>
    </row>
    <row r="7683" spans="1:24">
      <c r="A7683">
        <f>HYPERLINK("https://www.philgeps.gov.ph/GEPSNONPILOT/Tender/SplashBidNoticeAbstractUI.aspx?menuIndex=3&amp;refID=7062416&amp;Result=3","7062416")</f>
        <v>0</v>
      </c>
      <c r="B7683" t="s">
        <v>1770</v>
      </c>
      <c r="C7683" t="s">
        <v>10711</v>
      </c>
      <c r="D7683" t="s">
        <v>16608</v>
      </c>
      <c r="E7683" t="s">
        <v>23439</v>
      </c>
      <c r="F7683" t="s">
        <v>28669</v>
      </c>
      <c r="G7683" t="s">
        <v>28675</v>
      </c>
      <c r="H7683" t="s">
        <v>28686</v>
      </c>
      <c r="I7683" t="s">
        <v>28689</v>
      </c>
      <c r="J7683" t="s">
        <v>33629</v>
      </c>
      <c r="K7683" t="s">
        <v>37215</v>
      </c>
      <c r="M7683" t="s">
        <v>40076</v>
      </c>
      <c r="N7683" t="s">
        <v>41249</v>
      </c>
      <c r="O7683" t="s">
        <v>41250</v>
      </c>
      <c r="Q7683">
        <v>42</v>
      </c>
      <c r="R7683" t="s">
        <v>41258</v>
      </c>
      <c r="S7683" t="s">
        <v>41522</v>
      </c>
      <c r="T7683" t="s">
        <v>42894</v>
      </c>
      <c r="U7683" t="s">
        <v>49518</v>
      </c>
      <c r="W7683" t="s">
        <v>40076</v>
      </c>
      <c r="X7683" t="s">
        <v>41260</v>
      </c>
    </row>
    <row r="7684" spans="1:24">
      <c r="A7684">
        <f>HYPERLINK("https://www.philgeps.gov.ph/GEPSNONPILOT/Tender/SplashBidNoticeAbstractUI.aspx?menuIndex=3&amp;refID=7062388&amp;Result=3","7062388")</f>
        <v>0</v>
      </c>
      <c r="B7684" t="s">
        <v>1125</v>
      </c>
      <c r="C7684" t="s">
        <v>10712</v>
      </c>
      <c r="D7684" t="s">
        <v>16616</v>
      </c>
      <c r="E7684" t="s">
        <v>23440</v>
      </c>
      <c r="F7684" t="s">
        <v>28669</v>
      </c>
      <c r="G7684" t="s">
        <v>28675</v>
      </c>
      <c r="H7684" t="s">
        <v>28686</v>
      </c>
      <c r="I7684" t="s">
        <v>28689</v>
      </c>
      <c r="J7684" t="s">
        <v>33630</v>
      </c>
      <c r="K7684" t="s">
        <v>37393</v>
      </c>
      <c r="M7684" t="s">
        <v>40077</v>
      </c>
      <c r="N7684" t="s">
        <v>41249</v>
      </c>
      <c r="O7684" t="s">
        <v>41250</v>
      </c>
      <c r="P7684">
        <v>0</v>
      </c>
      <c r="Q7684">
        <v>3</v>
      </c>
      <c r="R7684" t="s">
        <v>41258</v>
      </c>
      <c r="S7684" t="s">
        <v>41513</v>
      </c>
      <c r="T7684" t="s">
        <v>42660</v>
      </c>
      <c r="U7684" t="s">
        <v>49519</v>
      </c>
      <c r="W7684" t="s">
        <v>40077</v>
      </c>
      <c r="X7684" t="s">
        <v>41260</v>
      </c>
    </row>
    <row r="7685" spans="1:24">
      <c r="A7685">
        <f>HYPERLINK("https://www.philgeps.gov.ph/GEPSNONPILOT/Tender/SplashBidNoticeAbstractUI.aspx?menuIndex=3&amp;refID=7060999&amp;Result=3","7060999")</f>
        <v>0</v>
      </c>
      <c r="B7685" t="s">
        <v>2393</v>
      </c>
      <c r="C7685" t="s">
        <v>10713</v>
      </c>
      <c r="D7685" t="s">
        <v>16643</v>
      </c>
      <c r="E7685" t="s">
        <v>23441</v>
      </c>
      <c r="F7685" t="s">
        <v>28669</v>
      </c>
      <c r="G7685" t="s">
        <v>28675</v>
      </c>
      <c r="H7685" t="s">
        <v>28686</v>
      </c>
      <c r="I7685" t="s">
        <v>28689</v>
      </c>
      <c r="J7685" t="s">
        <v>33631</v>
      </c>
      <c r="K7685" t="s">
        <v>37351</v>
      </c>
      <c r="M7685" t="s">
        <v>40068</v>
      </c>
      <c r="N7685" t="s">
        <v>41249</v>
      </c>
      <c r="O7685" t="s">
        <v>41250</v>
      </c>
      <c r="P7685">
        <v>0</v>
      </c>
      <c r="Q7685">
        <v>8</v>
      </c>
      <c r="R7685" t="s">
        <v>41258</v>
      </c>
      <c r="S7685" t="s">
        <v>41513</v>
      </c>
      <c r="T7685" t="s">
        <v>43056</v>
      </c>
      <c r="U7685" t="s">
        <v>49520</v>
      </c>
      <c r="V7685" t="s">
        <v>55128</v>
      </c>
      <c r="W7685" t="s">
        <v>55992</v>
      </c>
      <c r="X7685" t="s">
        <v>41261</v>
      </c>
    </row>
    <row r="7686" spans="1:24">
      <c r="A7686">
        <f>HYPERLINK("https://www.philgeps.gov.ph/GEPSNONPILOT/Tender/SplashBidNoticeAbstractUI.aspx?menuIndex=3&amp;refID=7060872&amp;Result=3","7060872")</f>
        <v>0</v>
      </c>
      <c r="B7686" t="s">
        <v>2397</v>
      </c>
      <c r="C7686" t="s">
        <v>10714</v>
      </c>
      <c r="D7686" t="s">
        <v>16617</v>
      </c>
      <c r="E7686" t="s">
        <v>23442</v>
      </c>
      <c r="F7686" t="s">
        <v>28669</v>
      </c>
      <c r="G7686" t="s">
        <v>28675</v>
      </c>
      <c r="H7686" t="s">
        <v>9998</v>
      </c>
      <c r="I7686" t="s">
        <v>5286</v>
      </c>
      <c r="J7686" t="s">
        <v>33632</v>
      </c>
      <c r="K7686" t="s">
        <v>37204</v>
      </c>
      <c r="M7686" t="s">
        <v>40073</v>
      </c>
      <c r="N7686" t="s">
        <v>41249</v>
      </c>
      <c r="O7686" t="s">
        <v>41250</v>
      </c>
      <c r="P7686">
        <v>0</v>
      </c>
      <c r="Q7686">
        <v>9</v>
      </c>
      <c r="R7686" t="s">
        <v>41258</v>
      </c>
      <c r="S7686" t="s">
        <v>41513</v>
      </c>
      <c r="T7686" t="s">
        <v>42930</v>
      </c>
      <c r="U7686" t="s">
        <v>49521</v>
      </c>
      <c r="W7686" t="s">
        <v>40073</v>
      </c>
      <c r="X7686" t="s">
        <v>41261</v>
      </c>
    </row>
    <row r="7687" spans="1:24">
      <c r="A7687">
        <f>HYPERLINK("https://www.philgeps.gov.ph/GEPSNONPILOT/Tender/SplashBidNoticeAbstractUI.aspx?menuIndex=3&amp;refID=7062368&amp;Result=3","7062368")</f>
        <v>0</v>
      </c>
      <c r="B7687" t="s">
        <v>1770</v>
      </c>
      <c r="C7687" t="s">
        <v>10715</v>
      </c>
      <c r="D7687" t="s">
        <v>16608</v>
      </c>
      <c r="E7687" t="s">
        <v>23443</v>
      </c>
      <c r="F7687" t="s">
        <v>28669</v>
      </c>
      <c r="G7687" t="s">
        <v>28675</v>
      </c>
      <c r="H7687" t="s">
        <v>28686</v>
      </c>
      <c r="I7687" t="s">
        <v>28689</v>
      </c>
      <c r="J7687" t="s">
        <v>33633</v>
      </c>
      <c r="K7687" t="s">
        <v>37215</v>
      </c>
      <c r="M7687" t="s">
        <v>40076</v>
      </c>
      <c r="N7687" t="s">
        <v>41249</v>
      </c>
      <c r="O7687" t="s">
        <v>41250</v>
      </c>
      <c r="Q7687">
        <v>41</v>
      </c>
      <c r="R7687" t="s">
        <v>41258</v>
      </c>
      <c r="S7687" t="s">
        <v>41523</v>
      </c>
      <c r="T7687" t="s">
        <v>42894</v>
      </c>
      <c r="U7687" t="s">
        <v>49522</v>
      </c>
      <c r="W7687" t="s">
        <v>40076</v>
      </c>
      <c r="X7687" t="s">
        <v>41260</v>
      </c>
    </row>
    <row r="7688" spans="1:24">
      <c r="A7688">
        <f>HYPERLINK("https://www.philgeps.gov.ph/GEPSNONPILOT/Tender/SplashBidNoticeAbstractUI.aspx?menuIndex=3&amp;refID=7060478&amp;Result=3","7060478")</f>
        <v>0</v>
      </c>
      <c r="B7688" t="s">
        <v>2400</v>
      </c>
      <c r="C7688" t="s">
        <v>10716</v>
      </c>
      <c r="D7688" t="s">
        <v>16620</v>
      </c>
      <c r="E7688" t="s">
        <v>23444</v>
      </c>
      <c r="F7688" t="s">
        <v>28669</v>
      </c>
      <c r="G7688" t="s">
        <v>28676</v>
      </c>
      <c r="H7688" t="s">
        <v>9998</v>
      </c>
      <c r="I7688" t="s">
        <v>7352</v>
      </c>
      <c r="J7688" t="s">
        <v>33634</v>
      </c>
      <c r="K7688" t="s">
        <v>37204</v>
      </c>
      <c r="M7688" t="s">
        <v>40078</v>
      </c>
      <c r="N7688" t="s">
        <v>41249</v>
      </c>
      <c r="O7688" t="s">
        <v>41250</v>
      </c>
      <c r="P7688">
        <v>0</v>
      </c>
      <c r="Q7688">
        <v>1</v>
      </c>
      <c r="R7688" t="s">
        <v>41258</v>
      </c>
      <c r="S7688" t="s">
        <v>41513</v>
      </c>
      <c r="T7688" t="s">
        <v>42883</v>
      </c>
      <c r="U7688" t="s">
        <v>49523</v>
      </c>
      <c r="W7688" t="s">
        <v>40078</v>
      </c>
      <c r="X7688" t="s">
        <v>41261</v>
      </c>
    </row>
    <row r="7689" spans="1:24">
      <c r="A7689">
        <f>HYPERLINK("https://www.philgeps.gov.ph/GEPSNONPILOT/Tender/SplashBidNoticeAbstractUI.aspx?menuIndex=3&amp;refID=7062304&amp;Result=3","7062304")</f>
        <v>0</v>
      </c>
      <c r="B7689" t="s">
        <v>1770</v>
      </c>
      <c r="C7689" t="s">
        <v>10717</v>
      </c>
      <c r="D7689" t="s">
        <v>16608</v>
      </c>
      <c r="E7689" t="s">
        <v>23445</v>
      </c>
      <c r="F7689" t="s">
        <v>28669</v>
      </c>
      <c r="G7689" t="s">
        <v>28675</v>
      </c>
      <c r="H7689" t="s">
        <v>28686</v>
      </c>
      <c r="I7689" t="s">
        <v>28689</v>
      </c>
      <c r="J7689" t="s">
        <v>33635</v>
      </c>
      <c r="K7689" t="s">
        <v>37215</v>
      </c>
      <c r="M7689" t="s">
        <v>40076</v>
      </c>
      <c r="N7689" t="s">
        <v>41249</v>
      </c>
      <c r="O7689" t="s">
        <v>41250</v>
      </c>
      <c r="Q7689">
        <v>40</v>
      </c>
      <c r="R7689" t="s">
        <v>41258</v>
      </c>
      <c r="S7689" t="s">
        <v>41524</v>
      </c>
      <c r="T7689" t="s">
        <v>42894</v>
      </c>
      <c r="U7689" t="s">
        <v>49524</v>
      </c>
      <c r="W7689" t="s">
        <v>40076</v>
      </c>
      <c r="X7689" t="s">
        <v>41260</v>
      </c>
    </row>
    <row r="7690" spans="1:24">
      <c r="A7690">
        <f>HYPERLINK("https://www.philgeps.gov.ph/GEPSNONPILOT/Tender/SplashBidNoticeAbstractUI.aspx?menuIndex=3&amp;refID=7062396&amp;Result=3","7062396")</f>
        <v>0</v>
      </c>
      <c r="B7690" t="s">
        <v>1770</v>
      </c>
      <c r="C7690" t="s">
        <v>10718</v>
      </c>
      <c r="D7690" t="s">
        <v>16608</v>
      </c>
      <c r="E7690" t="s">
        <v>23446</v>
      </c>
      <c r="F7690" t="s">
        <v>28669</v>
      </c>
      <c r="G7690" t="s">
        <v>28675</v>
      </c>
      <c r="H7690" t="s">
        <v>28686</v>
      </c>
      <c r="I7690" t="s">
        <v>28689</v>
      </c>
      <c r="J7690" t="s">
        <v>33636</v>
      </c>
      <c r="K7690" t="s">
        <v>37212</v>
      </c>
      <c r="M7690" t="s">
        <v>40076</v>
      </c>
      <c r="N7690" t="s">
        <v>41249</v>
      </c>
      <c r="O7690" t="s">
        <v>41250</v>
      </c>
      <c r="Q7690">
        <v>41</v>
      </c>
      <c r="R7690" t="s">
        <v>41258</v>
      </c>
      <c r="S7690" t="s">
        <v>41525</v>
      </c>
      <c r="T7690" t="s">
        <v>42894</v>
      </c>
      <c r="U7690" t="s">
        <v>49525</v>
      </c>
      <c r="W7690" t="s">
        <v>40076</v>
      </c>
      <c r="X7690" t="s">
        <v>41260</v>
      </c>
    </row>
    <row r="7691" spans="1:24">
      <c r="A7691">
        <f>HYPERLINK("https://www.philgeps.gov.ph/GEPSNONPILOT/Tender/SplashBidNoticeAbstractUI.aspx?menuIndex=3&amp;refID=7062208&amp;Result=3","7062208")</f>
        <v>0</v>
      </c>
      <c r="B7691" t="s">
        <v>42</v>
      </c>
      <c r="C7691" t="s">
        <v>10719</v>
      </c>
      <c r="D7691" t="s">
        <v>16623</v>
      </c>
      <c r="E7691" t="s">
        <v>23447</v>
      </c>
      <c r="F7691" t="s">
        <v>28669</v>
      </c>
      <c r="G7691" t="s">
        <v>28675</v>
      </c>
      <c r="H7691" t="s">
        <v>9998</v>
      </c>
      <c r="I7691" t="s">
        <v>3718</v>
      </c>
      <c r="J7691" t="s">
        <v>33637</v>
      </c>
      <c r="K7691" t="s">
        <v>37210</v>
      </c>
      <c r="M7691" t="s">
        <v>37517</v>
      </c>
      <c r="N7691" t="s">
        <v>41249</v>
      </c>
      <c r="O7691" t="s">
        <v>41250</v>
      </c>
      <c r="P7691">
        <v>0</v>
      </c>
      <c r="Q7691">
        <v>0</v>
      </c>
      <c r="R7691" t="s">
        <v>41258</v>
      </c>
      <c r="S7691" t="s">
        <v>41513</v>
      </c>
      <c r="T7691" t="s">
        <v>42728</v>
      </c>
      <c r="U7691" t="s">
        <v>49526</v>
      </c>
      <c r="W7691" t="s">
        <v>37517</v>
      </c>
      <c r="X7691" t="s">
        <v>41260</v>
      </c>
    </row>
    <row r="7692" spans="1:24">
      <c r="A7692">
        <f>HYPERLINK("https://www.philgeps.gov.ph/GEPSNONPILOT/Tender/SplashBidNoticeAbstractUI.aspx?menuIndex=3&amp;refID=7062330&amp;Result=3","7062330")</f>
        <v>0</v>
      </c>
      <c r="B7692" t="s">
        <v>1770</v>
      </c>
      <c r="C7692" t="s">
        <v>10720</v>
      </c>
      <c r="D7692" t="s">
        <v>16608</v>
      </c>
      <c r="E7692" t="s">
        <v>23448</v>
      </c>
      <c r="F7692" t="s">
        <v>28669</v>
      </c>
      <c r="G7692" t="s">
        <v>28675</v>
      </c>
      <c r="H7692" t="s">
        <v>28686</v>
      </c>
      <c r="I7692" t="s">
        <v>28689</v>
      </c>
      <c r="J7692" t="s">
        <v>33638</v>
      </c>
      <c r="K7692" t="s">
        <v>37211</v>
      </c>
      <c r="M7692" t="s">
        <v>40076</v>
      </c>
      <c r="N7692" t="s">
        <v>41249</v>
      </c>
      <c r="O7692" t="s">
        <v>41250</v>
      </c>
      <c r="Q7692">
        <v>41</v>
      </c>
      <c r="R7692" t="s">
        <v>41258</v>
      </c>
      <c r="S7692" t="s">
        <v>41402</v>
      </c>
      <c r="T7692" t="s">
        <v>42894</v>
      </c>
      <c r="U7692" t="s">
        <v>49527</v>
      </c>
      <c r="W7692" t="s">
        <v>40076</v>
      </c>
      <c r="X7692" t="s">
        <v>41260</v>
      </c>
    </row>
    <row r="7693" spans="1:24">
      <c r="A7693">
        <f>HYPERLINK("https://www.philgeps.gov.ph/GEPSNONPILOT/Tender/SplashBidNoticeAbstractUI.aspx?menuIndex=3&amp;refID=7062002&amp;Result=3","7062002")</f>
        <v>0</v>
      </c>
      <c r="B7693" t="s">
        <v>2401</v>
      </c>
      <c r="C7693" t="s">
        <v>10721</v>
      </c>
      <c r="D7693" t="s">
        <v>16658</v>
      </c>
      <c r="E7693" t="s">
        <v>23449</v>
      </c>
      <c r="F7693" t="s">
        <v>28669</v>
      </c>
      <c r="G7693" t="s">
        <v>28675</v>
      </c>
      <c r="H7693" t="s">
        <v>9998</v>
      </c>
      <c r="I7693" t="s">
        <v>28693</v>
      </c>
      <c r="J7693" t="s">
        <v>28846</v>
      </c>
      <c r="K7693" t="s">
        <v>37220</v>
      </c>
      <c r="M7693" t="s">
        <v>40079</v>
      </c>
      <c r="N7693" t="s">
        <v>41249</v>
      </c>
      <c r="O7693" t="s">
        <v>41250</v>
      </c>
      <c r="P7693">
        <v>0</v>
      </c>
      <c r="Q7693">
        <v>7</v>
      </c>
      <c r="R7693" t="s">
        <v>41258</v>
      </c>
      <c r="S7693" t="s">
        <v>41513</v>
      </c>
      <c r="T7693" t="s">
        <v>42752</v>
      </c>
      <c r="U7693" t="s">
        <v>49528</v>
      </c>
      <c r="W7693" t="s">
        <v>40079</v>
      </c>
      <c r="X7693" t="s">
        <v>41260</v>
      </c>
    </row>
    <row r="7694" spans="1:24">
      <c r="A7694">
        <f>HYPERLINK("https://www.philgeps.gov.ph/GEPSNONPILOT/Tender/SplashBidNoticeAbstractUI.aspx?menuIndex=3&amp;refID=7059224&amp;Result=3","7059224")</f>
        <v>0</v>
      </c>
      <c r="B7694" t="s">
        <v>42</v>
      </c>
      <c r="C7694" t="s">
        <v>10722</v>
      </c>
      <c r="D7694" t="s">
        <v>16623</v>
      </c>
      <c r="E7694" t="s">
        <v>23450</v>
      </c>
      <c r="F7694" t="s">
        <v>28669</v>
      </c>
      <c r="G7694" t="s">
        <v>28675</v>
      </c>
      <c r="H7694" t="s">
        <v>9998</v>
      </c>
      <c r="I7694" t="s">
        <v>28690</v>
      </c>
      <c r="J7694" t="s">
        <v>33639</v>
      </c>
      <c r="K7694" t="s">
        <v>37209</v>
      </c>
      <c r="M7694" t="s">
        <v>37517</v>
      </c>
      <c r="N7694" t="s">
        <v>41249</v>
      </c>
      <c r="O7694" t="s">
        <v>41250</v>
      </c>
      <c r="P7694">
        <v>0</v>
      </c>
      <c r="Q7694">
        <v>1</v>
      </c>
      <c r="R7694" t="s">
        <v>41258</v>
      </c>
      <c r="S7694" t="s">
        <v>41513</v>
      </c>
      <c r="T7694" t="s">
        <v>42728</v>
      </c>
      <c r="U7694" t="s">
        <v>49529</v>
      </c>
      <c r="W7694" t="s">
        <v>37517</v>
      </c>
      <c r="X7694" t="s">
        <v>41261</v>
      </c>
    </row>
    <row r="7695" spans="1:24">
      <c r="A7695">
        <f>HYPERLINK("https://www.philgeps.gov.ph/GEPSNONPILOT/Tender/SplashBidNoticeAbstractUI.aspx?menuIndex=3&amp;refID=7061816&amp;Result=3","7061816")</f>
        <v>0</v>
      </c>
      <c r="B7695" t="s">
        <v>937</v>
      </c>
      <c r="C7695" t="s">
        <v>10723</v>
      </c>
      <c r="E7695" t="s">
        <v>23451</v>
      </c>
      <c r="F7695" t="s">
        <v>28669</v>
      </c>
      <c r="G7695" t="s">
        <v>28675</v>
      </c>
      <c r="H7695" t="s">
        <v>9998</v>
      </c>
      <c r="I7695" t="s">
        <v>28695</v>
      </c>
      <c r="J7695" t="s">
        <v>33640</v>
      </c>
      <c r="K7695" t="s">
        <v>37209</v>
      </c>
      <c r="M7695" t="s">
        <v>38460</v>
      </c>
      <c r="N7695" t="s">
        <v>41249</v>
      </c>
      <c r="O7695" t="s">
        <v>41250</v>
      </c>
      <c r="P7695">
        <v>0</v>
      </c>
      <c r="Q7695">
        <v>0</v>
      </c>
      <c r="R7695" t="s">
        <v>41258</v>
      </c>
      <c r="S7695" t="s">
        <v>41513</v>
      </c>
      <c r="T7695" t="s">
        <v>42786</v>
      </c>
      <c r="U7695" t="s">
        <v>49530</v>
      </c>
      <c r="W7695" t="s">
        <v>38460</v>
      </c>
      <c r="X7695" t="s">
        <v>41260</v>
      </c>
    </row>
    <row r="7696" spans="1:24">
      <c r="A7696">
        <f>HYPERLINK("https://www.philgeps.gov.ph/GEPSNONPILOT/Tender/SplashBidNoticeAbstractUI.aspx?menuIndex=3&amp;refID=7062290&amp;Result=3","7062290")</f>
        <v>0</v>
      </c>
      <c r="B7696" t="s">
        <v>2254</v>
      </c>
      <c r="C7696" t="s">
        <v>10724</v>
      </c>
      <c r="D7696" t="s">
        <v>16616</v>
      </c>
      <c r="E7696" t="s">
        <v>23452</v>
      </c>
      <c r="F7696" t="s">
        <v>28669</v>
      </c>
      <c r="G7696" t="s">
        <v>28675</v>
      </c>
      <c r="H7696" t="s">
        <v>9998</v>
      </c>
      <c r="I7696" t="s">
        <v>28693</v>
      </c>
      <c r="J7696" t="s">
        <v>33641</v>
      </c>
      <c r="K7696" t="s">
        <v>37220</v>
      </c>
      <c r="M7696" t="s">
        <v>40080</v>
      </c>
      <c r="N7696" t="s">
        <v>41249</v>
      </c>
      <c r="O7696" t="s">
        <v>41250</v>
      </c>
      <c r="P7696">
        <v>0</v>
      </c>
      <c r="Q7696">
        <v>17</v>
      </c>
      <c r="R7696" t="s">
        <v>41258</v>
      </c>
      <c r="S7696" t="s">
        <v>41513</v>
      </c>
      <c r="T7696" t="s">
        <v>42668</v>
      </c>
      <c r="U7696" t="s">
        <v>49531</v>
      </c>
      <c r="W7696" t="s">
        <v>40080</v>
      </c>
      <c r="X7696" t="s">
        <v>41260</v>
      </c>
    </row>
    <row r="7697" spans="1:24">
      <c r="A7697">
        <f>HYPERLINK("https://www.philgeps.gov.ph/GEPSNONPILOT/Tender/SplashBidNoticeAbstractUI.aspx?menuIndex=3&amp;refID=7062159&amp;Result=3","7062159")</f>
        <v>0</v>
      </c>
      <c r="B7697" t="s">
        <v>1770</v>
      </c>
      <c r="C7697" t="s">
        <v>10725</v>
      </c>
      <c r="D7697" t="s">
        <v>16608</v>
      </c>
      <c r="E7697" t="s">
        <v>23453</v>
      </c>
      <c r="F7697" t="s">
        <v>28669</v>
      </c>
      <c r="G7697" t="s">
        <v>28675</v>
      </c>
      <c r="H7697" t="s">
        <v>28686</v>
      </c>
      <c r="I7697" t="s">
        <v>28689</v>
      </c>
      <c r="J7697" t="s">
        <v>33642</v>
      </c>
      <c r="K7697" t="s">
        <v>37211</v>
      </c>
      <c r="M7697" t="s">
        <v>40076</v>
      </c>
      <c r="N7697" t="s">
        <v>41249</v>
      </c>
      <c r="O7697" t="s">
        <v>41250</v>
      </c>
      <c r="Q7697">
        <v>43</v>
      </c>
      <c r="R7697" t="s">
        <v>41258</v>
      </c>
      <c r="S7697" t="s">
        <v>41526</v>
      </c>
      <c r="T7697" t="s">
        <v>42894</v>
      </c>
      <c r="U7697" t="s">
        <v>49532</v>
      </c>
      <c r="W7697" t="s">
        <v>40076</v>
      </c>
      <c r="X7697" t="s">
        <v>41260</v>
      </c>
    </row>
    <row r="7698" spans="1:24">
      <c r="A7698">
        <f>HYPERLINK("https://www.philgeps.gov.ph/GEPSNONPILOT/Tender/SplashBidNoticeAbstractUI.aspx?menuIndex=3&amp;refID=7062094&amp;Result=3","7062094")</f>
        <v>0</v>
      </c>
      <c r="B7698" t="s">
        <v>2401</v>
      </c>
      <c r="C7698" t="s">
        <v>10726</v>
      </c>
      <c r="D7698" t="s">
        <v>16658</v>
      </c>
      <c r="E7698" t="s">
        <v>23454</v>
      </c>
      <c r="F7698" t="s">
        <v>28669</v>
      </c>
      <c r="G7698" t="s">
        <v>28675</v>
      </c>
      <c r="H7698" t="s">
        <v>9998</v>
      </c>
      <c r="I7698" t="s">
        <v>28693</v>
      </c>
      <c r="J7698" t="s">
        <v>29059</v>
      </c>
      <c r="K7698" t="s">
        <v>37220</v>
      </c>
      <c r="M7698" t="s">
        <v>40079</v>
      </c>
      <c r="N7698" t="s">
        <v>41249</v>
      </c>
      <c r="O7698" t="s">
        <v>41250</v>
      </c>
      <c r="P7698">
        <v>0</v>
      </c>
      <c r="Q7698">
        <v>7</v>
      </c>
      <c r="R7698" t="s">
        <v>41258</v>
      </c>
      <c r="S7698" t="s">
        <v>41513</v>
      </c>
      <c r="T7698" t="s">
        <v>42752</v>
      </c>
      <c r="U7698" t="s">
        <v>49533</v>
      </c>
      <c r="W7698" t="s">
        <v>40079</v>
      </c>
      <c r="X7698" t="s">
        <v>41260</v>
      </c>
    </row>
    <row r="7699" spans="1:24">
      <c r="A7699">
        <f>HYPERLINK("https://www.philgeps.gov.ph/GEPSNONPILOT/Tender/SplashBidNoticeAbstractUI.aspx?menuIndex=3&amp;refID=7062348&amp;Result=3","7062348")</f>
        <v>0</v>
      </c>
      <c r="B7699" t="s">
        <v>42</v>
      </c>
      <c r="C7699" t="s">
        <v>10727</v>
      </c>
      <c r="D7699" t="s">
        <v>16623</v>
      </c>
      <c r="E7699" t="s">
        <v>22658</v>
      </c>
      <c r="F7699" t="s">
        <v>28669</v>
      </c>
      <c r="G7699" t="s">
        <v>28675</v>
      </c>
      <c r="H7699" t="s">
        <v>9998</v>
      </c>
      <c r="I7699" t="s">
        <v>28715</v>
      </c>
      <c r="J7699" t="s">
        <v>33643</v>
      </c>
      <c r="K7699" t="s">
        <v>37209</v>
      </c>
      <c r="M7699" t="s">
        <v>37517</v>
      </c>
      <c r="N7699" t="s">
        <v>41249</v>
      </c>
      <c r="O7699" t="s">
        <v>41250</v>
      </c>
      <c r="P7699">
        <v>0</v>
      </c>
      <c r="Q7699">
        <v>1</v>
      </c>
      <c r="R7699" t="s">
        <v>41258</v>
      </c>
      <c r="S7699" t="s">
        <v>41513</v>
      </c>
      <c r="T7699" t="s">
        <v>42728</v>
      </c>
      <c r="U7699" t="s">
        <v>49534</v>
      </c>
      <c r="W7699" t="s">
        <v>37517</v>
      </c>
      <c r="X7699" t="s">
        <v>41260</v>
      </c>
    </row>
    <row r="7700" spans="1:24">
      <c r="A7700">
        <f>HYPERLINK("https://www.philgeps.gov.ph/GEPSNONPILOT/Tender/SplashBidNoticeAbstractUI.aspx?menuIndex=3&amp;refID=7061728&amp;Result=3","7061728")</f>
        <v>0</v>
      </c>
      <c r="B7700" t="s">
        <v>1895</v>
      </c>
      <c r="C7700" t="s">
        <v>10728</v>
      </c>
      <c r="D7700" t="s">
        <v>16609</v>
      </c>
      <c r="E7700" t="s">
        <v>23455</v>
      </c>
      <c r="F7700" t="s">
        <v>28669</v>
      </c>
      <c r="G7700" t="s">
        <v>28675</v>
      </c>
      <c r="H7700" t="s">
        <v>9998</v>
      </c>
      <c r="I7700" t="s">
        <v>28792</v>
      </c>
      <c r="J7700" t="s">
        <v>28879</v>
      </c>
      <c r="K7700" t="s">
        <v>37220</v>
      </c>
      <c r="M7700" t="s">
        <v>39518</v>
      </c>
      <c r="N7700" t="s">
        <v>41249</v>
      </c>
      <c r="O7700" t="s">
        <v>41250</v>
      </c>
      <c r="P7700">
        <v>0</v>
      </c>
      <c r="Q7700">
        <v>1</v>
      </c>
      <c r="R7700" t="s">
        <v>41258</v>
      </c>
      <c r="S7700" t="s">
        <v>41513</v>
      </c>
      <c r="T7700" t="s">
        <v>42743</v>
      </c>
      <c r="U7700" t="s">
        <v>49535</v>
      </c>
      <c r="W7700" t="s">
        <v>39518</v>
      </c>
      <c r="X7700" t="s">
        <v>41260</v>
      </c>
    </row>
    <row r="7701" spans="1:24">
      <c r="A7701">
        <f>HYPERLINK("https://www.philgeps.gov.ph/GEPSNONPILOT/Tender/SplashBidNoticeAbstractUI.aspx?menuIndex=3&amp;refID=7062704&amp;Result=3","7062704")</f>
        <v>0</v>
      </c>
      <c r="B7701" t="s">
        <v>2397</v>
      </c>
      <c r="C7701" t="s">
        <v>10729</v>
      </c>
      <c r="D7701" t="s">
        <v>16617</v>
      </c>
      <c r="E7701" t="s">
        <v>23456</v>
      </c>
      <c r="F7701" t="s">
        <v>28669</v>
      </c>
      <c r="G7701" t="s">
        <v>28675</v>
      </c>
      <c r="H7701" t="s">
        <v>9998</v>
      </c>
      <c r="I7701" t="s">
        <v>28739</v>
      </c>
      <c r="J7701" t="s">
        <v>29576</v>
      </c>
      <c r="K7701" t="s">
        <v>37204</v>
      </c>
      <c r="M7701" t="s">
        <v>40073</v>
      </c>
      <c r="N7701" t="s">
        <v>41249</v>
      </c>
      <c r="O7701" t="s">
        <v>41250</v>
      </c>
      <c r="P7701">
        <v>0</v>
      </c>
      <c r="Q7701">
        <v>7</v>
      </c>
      <c r="R7701" t="s">
        <v>41258</v>
      </c>
      <c r="S7701" t="s">
        <v>41513</v>
      </c>
      <c r="T7701" t="s">
        <v>42930</v>
      </c>
      <c r="U7701" t="s">
        <v>49536</v>
      </c>
      <c r="W7701" t="s">
        <v>40073</v>
      </c>
      <c r="X7701" t="s">
        <v>41260</v>
      </c>
    </row>
    <row r="7702" spans="1:24">
      <c r="A7702">
        <f>HYPERLINK("https://www.philgeps.gov.ph/GEPSNONPILOT/Tender/SplashBidNoticeAbstractUI.aspx?menuIndex=3&amp;refID=7061794&amp;Result=3","7061794")</f>
        <v>0</v>
      </c>
      <c r="B7702" t="s">
        <v>937</v>
      </c>
      <c r="C7702" t="s">
        <v>10730</v>
      </c>
      <c r="E7702" t="s">
        <v>23457</v>
      </c>
      <c r="F7702" t="s">
        <v>28669</v>
      </c>
      <c r="G7702" t="s">
        <v>28675</v>
      </c>
      <c r="H7702" t="s">
        <v>9998</v>
      </c>
      <c r="I7702" t="s">
        <v>6128</v>
      </c>
      <c r="J7702" t="s">
        <v>33644</v>
      </c>
      <c r="K7702" t="s">
        <v>37204</v>
      </c>
      <c r="M7702" t="s">
        <v>38460</v>
      </c>
      <c r="N7702" t="s">
        <v>41249</v>
      </c>
      <c r="O7702" t="s">
        <v>41250</v>
      </c>
      <c r="P7702">
        <v>0</v>
      </c>
      <c r="Q7702">
        <v>0</v>
      </c>
      <c r="R7702" t="s">
        <v>41258</v>
      </c>
      <c r="S7702" t="s">
        <v>41513</v>
      </c>
      <c r="T7702" t="s">
        <v>42786</v>
      </c>
      <c r="U7702" t="s">
        <v>49537</v>
      </c>
      <c r="W7702" t="s">
        <v>38460</v>
      </c>
      <c r="X7702" t="s">
        <v>41260</v>
      </c>
    </row>
    <row r="7703" spans="1:24">
      <c r="A7703">
        <f>HYPERLINK("https://www.philgeps.gov.ph/GEPSNONPILOT/Tender/SplashBidNoticeAbstractUI.aspx?menuIndex=3&amp;refID=7062693&amp;Result=3","7062693")</f>
        <v>0</v>
      </c>
      <c r="B7703" t="s">
        <v>1125</v>
      </c>
      <c r="C7703" t="s">
        <v>10731</v>
      </c>
      <c r="D7703" t="s">
        <v>16616</v>
      </c>
      <c r="E7703" t="s">
        <v>23458</v>
      </c>
      <c r="F7703" t="s">
        <v>28669</v>
      </c>
      <c r="G7703" t="s">
        <v>28675</v>
      </c>
      <c r="H7703" t="s">
        <v>28686</v>
      </c>
      <c r="I7703" t="s">
        <v>28689</v>
      </c>
      <c r="J7703" t="s">
        <v>28924</v>
      </c>
      <c r="K7703" t="s">
        <v>37233</v>
      </c>
      <c r="M7703" t="s">
        <v>40077</v>
      </c>
      <c r="N7703" t="s">
        <v>41249</v>
      </c>
      <c r="O7703" t="s">
        <v>41250</v>
      </c>
      <c r="P7703">
        <v>0</v>
      </c>
      <c r="Q7703">
        <v>0</v>
      </c>
      <c r="R7703" t="s">
        <v>41258</v>
      </c>
      <c r="S7703" t="s">
        <v>41513</v>
      </c>
      <c r="T7703" t="s">
        <v>42660</v>
      </c>
      <c r="U7703" t="s">
        <v>49538</v>
      </c>
      <c r="W7703" t="s">
        <v>40077</v>
      </c>
      <c r="X7703" t="s">
        <v>41260</v>
      </c>
    </row>
    <row r="7704" spans="1:24">
      <c r="A7704">
        <f>HYPERLINK("https://www.philgeps.gov.ph/GEPSNONPILOT/Tender/SplashBidNoticeAbstractUI.aspx?menuIndex=3&amp;refID=7062456&amp;Result=3","7062456")</f>
        <v>0</v>
      </c>
      <c r="B7704" t="s">
        <v>447</v>
      </c>
      <c r="C7704" t="s">
        <v>10732</v>
      </c>
      <c r="D7704" t="s">
        <v>16608</v>
      </c>
      <c r="E7704" t="s">
        <v>23459</v>
      </c>
      <c r="F7704" t="s">
        <v>28669</v>
      </c>
      <c r="G7704" t="s">
        <v>28676</v>
      </c>
      <c r="H7704" t="s">
        <v>9998</v>
      </c>
      <c r="I7704" t="s">
        <v>15140</v>
      </c>
      <c r="J7704" t="s">
        <v>33645</v>
      </c>
      <c r="K7704" t="s">
        <v>37209</v>
      </c>
      <c r="M7704" t="s">
        <v>40081</v>
      </c>
      <c r="N7704" t="s">
        <v>41249</v>
      </c>
      <c r="O7704" t="s">
        <v>41250</v>
      </c>
      <c r="P7704">
        <v>0</v>
      </c>
      <c r="Q7704">
        <v>2</v>
      </c>
      <c r="R7704" t="s">
        <v>41258</v>
      </c>
      <c r="S7704" t="s">
        <v>41513</v>
      </c>
      <c r="T7704" t="s">
        <v>42728</v>
      </c>
      <c r="U7704" t="s">
        <v>49539</v>
      </c>
      <c r="W7704" t="s">
        <v>40081</v>
      </c>
      <c r="X7704" t="s">
        <v>41260</v>
      </c>
    </row>
    <row r="7705" spans="1:24">
      <c r="A7705">
        <f>HYPERLINK("https://www.philgeps.gov.ph/GEPSNONPILOT/Tender/SplashBidNoticeAbstractUI.aspx?menuIndex=3&amp;refID=7062624&amp;Result=3","7062624")</f>
        <v>0</v>
      </c>
      <c r="B7705" t="s">
        <v>974</v>
      </c>
      <c r="C7705" t="s">
        <v>10733</v>
      </c>
      <c r="D7705" t="s">
        <v>16621</v>
      </c>
      <c r="E7705" t="s">
        <v>23460</v>
      </c>
      <c r="F7705" t="s">
        <v>28669</v>
      </c>
      <c r="G7705" t="s">
        <v>28675</v>
      </c>
      <c r="H7705" t="s">
        <v>9998</v>
      </c>
      <c r="I7705" t="s">
        <v>7352</v>
      </c>
      <c r="J7705" t="s">
        <v>33646</v>
      </c>
      <c r="K7705" t="s">
        <v>37205</v>
      </c>
      <c r="M7705" t="s">
        <v>39760</v>
      </c>
      <c r="N7705" t="s">
        <v>41249</v>
      </c>
      <c r="O7705" t="s">
        <v>41250</v>
      </c>
      <c r="P7705">
        <v>0</v>
      </c>
      <c r="Q7705">
        <v>1</v>
      </c>
      <c r="R7705" t="s">
        <v>41258</v>
      </c>
      <c r="S7705" t="s">
        <v>41513</v>
      </c>
      <c r="T7705" t="s">
        <v>43051</v>
      </c>
      <c r="U7705" t="s">
        <v>48477</v>
      </c>
      <c r="W7705" t="s">
        <v>39760</v>
      </c>
      <c r="X7705" t="s">
        <v>41260</v>
      </c>
    </row>
    <row r="7706" spans="1:24">
      <c r="A7706">
        <f>HYPERLINK("https://www.philgeps.gov.ph/GEPSNONPILOT/Tender/SplashBidNoticeAbstractUI.aspx?menuIndex=3&amp;refID=7062603&amp;Result=3","7062603")</f>
        <v>0</v>
      </c>
      <c r="B7706" t="s">
        <v>1212</v>
      </c>
      <c r="C7706" t="s">
        <v>10734</v>
      </c>
      <c r="D7706" t="s">
        <v>16678</v>
      </c>
      <c r="E7706" t="s">
        <v>23461</v>
      </c>
      <c r="F7706" t="s">
        <v>28669</v>
      </c>
      <c r="G7706" t="s">
        <v>28675</v>
      </c>
      <c r="H7706" t="s">
        <v>9998</v>
      </c>
      <c r="I7706" t="s">
        <v>7352</v>
      </c>
      <c r="J7706" t="s">
        <v>33647</v>
      </c>
      <c r="K7706" t="s">
        <v>37209</v>
      </c>
      <c r="M7706" t="s">
        <v>40082</v>
      </c>
      <c r="N7706" t="s">
        <v>41249</v>
      </c>
      <c r="O7706" t="s">
        <v>41250</v>
      </c>
      <c r="P7706">
        <v>0</v>
      </c>
      <c r="Q7706">
        <v>0</v>
      </c>
      <c r="R7706" t="s">
        <v>41258</v>
      </c>
      <c r="S7706" t="s">
        <v>41513</v>
      </c>
      <c r="T7706" t="s">
        <v>42837</v>
      </c>
      <c r="U7706" t="s">
        <v>49540</v>
      </c>
      <c r="V7706" t="s">
        <v>55131</v>
      </c>
      <c r="W7706" t="s">
        <v>40082</v>
      </c>
      <c r="X7706" t="s">
        <v>41260</v>
      </c>
    </row>
    <row r="7707" spans="1:24">
      <c r="A7707">
        <f>HYPERLINK("https://www.philgeps.gov.ph/GEPSNONPILOT/Tender/SplashBidNoticeAbstractUI.aspx?menuIndex=3&amp;refID=7062579&amp;Result=3","7062579")</f>
        <v>0</v>
      </c>
      <c r="B7707" t="s">
        <v>1125</v>
      </c>
      <c r="C7707" t="s">
        <v>10735</v>
      </c>
      <c r="D7707" t="s">
        <v>16616</v>
      </c>
      <c r="E7707" t="s">
        <v>23462</v>
      </c>
      <c r="F7707" t="s">
        <v>28669</v>
      </c>
      <c r="G7707" t="s">
        <v>28675</v>
      </c>
      <c r="H7707" t="s">
        <v>28686</v>
      </c>
      <c r="I7707" t="s">
        <v>28689</v>
      </c>
      <c r="J7707" t="s">
        <v>31640</v>
      </c>
      <c r="K7707" t="s">
        <v>37212</v>
      </c>
      <c r="M7707" t="s">
        <v>40077</v>
      </c>
      <c r="N7707" t="s">
        <v>41249</v>
      </c>
      <c r="O7707" t="s">
        <v>41250</v>
      </c>
      <c r="P7707">
        <v>0</v>
      </c>
      <c r="Q7707">
        <v>0</v>
      </c>
      <c r="R7707" t="s">
        <v>41258</v>
      </c>
      <c r="S7707" t="s">
        <v>41513</v>
      </c>
      <c r="T7707" t="s">
        <v>42660</v>
      </c>
      <c r="U7707" t="s">
        <v>49541</v>
      </c>
      <c r="W7707" t="s">
        <v>40077</v>
      </c>
      <c r="X7707" t="s">
        <v>41260</v>
      </c>
    </row>
    <row r="7708" spans="1:24">
      <c r="A7708">
        <f>HYPERLINK("https://www.philgeps.gov.ph/GEPSNONPILOT/Tender/SplashBidNoticeAbstractUI.aspx?menuIndex=3&amp;refID=7062709&amp;Result=3","7062709")</f>
        <v>0</v>
      </c>
      <c r="B7708" t="s">
        <v>2397</v>
      </c>
      <c r="C7708" t="s">
        <v>10736</v>
      </c>
      <c r="D7708" t="s">
        <v>16617</v>
      </c>
      <c r="E7708" t="s">
        <v>23463</v>
      </c>
      <c r="F7708" t="s">
        <v>28669</v>
      </c>
      <c r="G7708" t="s">
        <v>28675</v>
      </c>
      <c r="H7708" t="s">
        <v>9998</v>
      </c>
      <c r="I7708" t="s">
        <v>28717</v>
      </c>
      <c r="J7708" t="s">
        <v>33648</v>
      </c>
      <c r="K7708" t="s">
        <v>37204</v>
      </c>
      <c r="M7708" t="s">
        <v>40073</v>
      </c>
      <c r="N7708" t="s">
        <v>41249</v>
      </c>
      <c r="O7708" t="s">
        <v>41250</v>
      </c>
      <c r="P7708">
        <v>0</v>
      </c>
      <c r="Q7708">
        <v>9</v>
      </c>
      <c r="R7708" t="s">
        <v>41258</v>
      </c>
      <c r="S7708" t="s">
        <v>41513</v>
      </c>
      <c r="T7708" t="s">
        <v>42930</v>
      </c>
      <c r="U7708" t="s">
        <v>49542</v>
      </c>
      <c r="W7708" t="s">
        <v>40073</v>
      </c>
      <c r="X7708" t="s">
        <v>41260</v>
      </c>
    </row>
    <row r="7709" spans="1:24">
      <c r="A7709">
        <f>HYPERLINK("https://www.philgeps.gov.ph/GEPSNONPILOT/Tender/SplashBidNoticeAbstractUI.aspx?menuIndex=3&amp;refID=7062569&amp;Result=3","7062569")</f>
        <v>0</v>
      </c>
      <c r="B7709" t="s">
        <v>974</v>
      </c>
      <c r="C7709" t="s">
        <v>10737</v>
      </c>
      <c r="D7709" t="s">
        <v>16621</v>
      </c>
      <c r="E7709" t="s">
        <v>23464</v>
      </c>
      <c r="F7709" t="s">
        <v>28669</v>
      </c>
      <c r="G7709" t="s">
        <v>28675</v>
      </c>
      <c r="H7709" t="s">
        <v>9998</v>
      </c>
      <c r="I7709" t="s">
        <v>7352</v>
      </c>
      <c r="J7709" t="s">
        <v>33649</v>
      </c>
      <c r="K7709" t="s">
        <v>37205</v>
      </c>
      <c r="M7709" t="s">
        <v>39760</v>
      </c>
      <c r="N7709" t="s">
        <v>41249</v>
      </c>
      <c r="O7709" t="s">
        <v>41250</v>
      </c>
      <c r="P7709">
        <v>0</v>
      </c>
      <c r="Q7709">
        <v>2</v>
      </c>
      <c r="R7709" t="s">
        <v>41258</v>
      </c>
      <c r="S7709" t="s">
        <v>41513</v>
      </c>
      <c r="T7709" t="s">
        <v>43051</v>
      </c>
      <c r="U7709" t="s">
        <v>48477</v>
      </c>
      <c r="W7709" t="s">
        <v>39760</v>
      </c>
      <c r="X7709" t="s">
        <v>41260</v>
      </c>
    </row>
    <row r="7710" spans="1:24">
      <c r="A7710">
        <f>HYPERLINK("https://www.philgeps.gov.ph/GEPSNONPILOT/Tender/SplashBidNoticeAbstractUI.aspx?menuIndex=3&amp;refID=7062513&amp;Result=3","7062513")</f>
        <v>0</v>
      </c>
      <c r="B7710" t="s">
        <v>1770</v>
      </c>
      <c r="C7710" t="s">
        <v>10738</v>
      </c>
      <c r="D7710" t="s">
        <v>16608</v>
      </c>
      <c r="E7710" t="s">
        <v>23465</v>
      </c>
      <c r="F7710" t="s">
        <v>28669</v>
      </c>
      <c r="G7710" t="s">
        <v>28675</v>
      </c>
      <c r="H7710" t="s">
        <v>28686</v>
      </c>
      <c r="I7710" t="s">
        <v>28689</v>
      </c>
      <c r="J7710" t="s">
        <v>33650</v>
      </c>
      <c r="K7710" t="s">
        <v>37215</v>
      </c>
      <c r="M7710" t="s">
        <v>40076</v>
      </c>
      <c r="N7710" t="s">
        <v>41249</v>
      </c>
      <c r="O7710" t="s">
        <v>41250</v>
      </c>
      <c r="Q7710">
        <v>42</v>
      </c>
      <c r="R7710" t="s">
        <v>41258</v>
      </c>
      <c r="S7710" t="s">
        <v>41527</v>
      </c>
      <c r="T7710" t="s">
        <v>42894</v>
      </c>
      <c r="U7710" t="s">
        <v>49543</v>
      </c>
      <c r="W7710" t="s">
        <v>40076</v>
      </c>
      <c r="X7710" t="s">
        <v>41260</v>
      </c>
    </row>
    <row r="7711" spans="1:24">
      <c r="A7711">
        <f>HYPERLINK("https://www.philgeps.gov.ph/GEPSNONPILOT/Tender/SplashBidNoticeAbstractUI.aspx?menuIndex=3&amp;refID=7062706&amp;Result=3","7062706")</f>
        <v>0</v>
      </c>
      <c r="B7711" t="s">
        <v>1125</v>
      </c>
      <c r="C7711" t="s">
        <v>10739</v>
      </c>
      <c r="D7711" t="s">
        <v>16616</v>
      </c>
      <c r="E7711" t="s">
        <v>23466</v>
      </c>
      <c r="F7711" t="s">
        <v>28669</v>
      </c>
      <c r="G7711" t="s">
        <v>28675</v>
      </c>
      <c r="H7711" t="s">
        <v>28686</v>
      </c>
      <c r="I7711" t="s">
        <v>28689</v>
      </c>
      <c r="J7711" t="s">
        <v>30333</v>
      </c>
      <c r="K7711" t="s">
        <v>37213</v>
      </c>
      <c r="M7711" t="s">
        <v>40077</v>
      </c>
      <c r="N7711" t="s">
        <v>41249</v>
      </c>
      <c r="O7711" t="s">
        <v>41250</v>
      </c>
      <c r="P7711">
        <v>0</v>
      </c>
      <c r="Q7711">
        <v>0</v>
      </c>
      <c r="R7711" t="s">
        <v>41258</v>
      </c>
      <c r="S7711" t="s">
        <v>41513</v>
      </c>
      <c r="T7711" t="s">
        <v>42660</v>
      </c>
      <c r="U7711" t="s">
        <v>49544</v>
      </c>
      <c r="W7711" t="s">
        <v>40077</v>
      </c>
      <c r="X7711" t="s">
        <v>41260</v>
      </c>
    </row>
    <row r="7712" spans="1:24">
      <c r="A7712">
        <f>HYPERLINK("https://www.philgeps.gov.ph/GEPSNONPILOT/Tender/SplashBidNoticeAbstractUI.aspx?menuIndex=3&amp;refID=7062512&amp;Result=3","7062512")</f>
        <v>0</v>
      </c>
      <c r="B7712" t="s">
        <v>974</v>
      </c>
      <c r="C7712" t="s">
        <v>10740</v>
      </c>
      <c r="D7712" t="s">
        <v>16621</v>
      </c>
      <c r="E7712" t="s">
        <v>23467</v>
      </c>
      <c r="F7712" t="s">
        <v>28669</v>
      </c>
      <c r="G7712" t="s">
        <v>28675</v>
      </c>
      <c r="H7712" t="s">
        <v>9998</v>
      </c>
      <c r="I7712" t="s">
        <v>7352</v>
      </c>
      <c r="J7712" t="s">
        <v>33651</v>
      </c>
      <c r="K7712" t="s">
        <v>37205</v>
      </c>
      <c r="M7712" t="s">
        <v>39760</v>
      </c>
      <c r="N7712" t="s">
        <v>41249</v>
      </c>
      <c r="O7712" t="s">
        <v>41250</v>
      </c>
      <c r="P7712">
        <v>0</v>
      </c>
      <c r="Q7712">
        <v>1</v>
      </c>
      <c r="R7712" t="s">
        <v>41258</v>
      </c>
      <c r="S7712" t="s">
        <v>41513</v>
      </c>
      <c r="T7712" t="s">
        <v>43051</v>
      </c>
      <c r="U7712" t="s">
        <v>48477</v>
      </c>
      <c r="W7712" t="s">
        <v>39760</v>
      </c>
      <c r="X7712" t="s">
        <v>41260</v>
      </c>
    </row>
    <row r="7713" spans="1:24">
      <c r="A7713">
        <f>HYPERLINK("https://www.philgeps.gov.ph/GEPSNONPILOT/Tender/SplashBidNoticeAbstractUI.aspx?menuIndex=3&amp;refID=7062494&amp;Result=3","7062494")</f>
        <v>0</v>
      </c>
      <c r="B7713" t="s">
        <v>1770</v>
      </c>
      <c r="C7713" t="s">
        <v>10741</v>
      </c>
      <c r="D7713" t="s">
        <v>16608</v>
      </c>
      <c r="E7713" t="s">
        <v>23468</v>
      </c>
      <c r="F7713" t="s">
        <v>28669</v>
      </c>
      <c r="G7713" t="s">
        <v>28675</v>
      </c>
      <c r="H7713" t="s">
        <v>28686</v>
      </c>
      <c r="I7713" t="s">
        <v>28689</v>
      </c>
      <c r="J7713" t="s">
        <v>33652</v>
      </c>
      <c r="K7713" t="s">
        <v>37211</v>
      </c>
      <c r="M7713" t="s">
        <v>40076</v>
      </c>
      <c r="N7713" t="s">
        <v>41249</v>
      </c>
      <c r="O7713" t="s">
        <v>41250</v>
      </c>
      <c r="Q7713">
        <v>41</v>
      </c>
      <c r="R7713" t="s">
        <v>41258</v>
      </c>
      <c r="S7713" t="s">
        <v>41474</v>
      </c>
      <c r="T7713" t="s">
        <v>42894</v>
      </c>
      <c r="U7713" t="s">
        <v>49545</v>
      </c>
      <c r="W7713" t="s">
        <v>40076</v>
      </c>
      <c r="X7713" t="s">
        <v>41260</v>
      </c>
    </row>
    <row r="7714" spans="1:24">
      <c r="A7714">
        <f>HYPERLINK("https://www.philgeps.gov.ph/GEPSNONPILOT/Tender/SplashBidNoticeAbstractUI.aspx?menuIndex=3&amp;refID=7062470&amp;Result=3","7062470")</f>
        <v>0</v>
      </c>
      <c r="B7714" t="s">
        <v>1770</v>
      </c>
      <c r="C7714" t="s">
        <v>10742</v>
      </c>
      <c r="D7714" t="s">
        <v>16608</v>
      </c>
      <c r="E7714" t="s">
        <v>23469</v>
      </c>
      <c r="F7714" t="s">
        <v>28669</v>
      </c>
      <c r="G7714" t="s">
        <v>28675</v>
      </c>
      <c r="H7714" t="s">
        <v>28686</v>
      </c>
      <c r="I7714" t="s">
        <v>28689</v>
      </c>
      <c r="J7714" t="s">
        <v>33653</v>
      </c>
      <c r="K7714" t="s">
        <v>37213</v>
      </c>
      <c r="M7714" t="s">
        <v>40076</v>
      </c>
      <c r="N7714" t="s">
        <v>41249</v>
      </c>
      <c r="O7714" t="s">
        <v>41250</v>
      </c>
      <c r="Q7714">
        <v>40</v>
      </c>
      <c r="R7714" t="s">
        <v>41258</v>
      </c>
      <c r="S7714" t="s">
        <v>41386</v>
      </c>
      <c r="T7714" t="s">
        <v>42894</v>
      </c>
      <c r="U7714" t="s">
        <v>49546</v>
      </c>
      <c r="W7714" t="s">
        <v>40076</v>
      </c>
      <c r="X7714" t="s">
        <v>41260</v>
      </c>
    </row>
    <row r="7715" spans="1:24">
      <c r="A7715">
        <f>HYPERLINK("https://www.philgeps.gov.ph/GEPSNONPILOT/Tender/SplashBidNoticeAbstractUI.aspx?menuIndex=3&amp;refID=7062457&amp;Result=3","7062457")</f>
        <v>0</v>
      </c>
      <c r="B7715" t="s">
        <v>2402</v>
      </c>
      <c r="C7715" t="s">
        <v>10743</v>
      </c>
      <c r="D7715" t="s">
        <v>16618</v>
      </c>
      <c r="E7715" t="s">
        <v>23470</v>
      </c>
      <c r="F7715" t="s">
        <v>28669</v>
      </c>
      <c r="G7715" t="s">
        <v>28675</v>
      </c>
      <c r="H7715" t="s">
        <v>9998</v>
      </c>
      <c r="I7715" t="s">
        <v>28687</v>
      </c>
      <c r="J7715" t="s">
        <v>33654</v>
      </c>
      <c r="K7715" t="s">
        <v>37255</v>
      </c>
      <c r="M7715" t="s">
        <v>40083</v>
      </c>
      <c r="N7715" t="s">
        <v>41249</v>
      </c>
      <c r="O7715" t="s">
        <v>41250</v>
      </c>
      <c r="P7715">
        <v>0</v>
      </c>
      <c r="Q7715">
        <v>8</v>
      </c>
      <c r="R7715" t="s">
        <v>41258</v>
      </c>
      <c r="S7715" t="s">
        <v>41513</v>
      </c>
      <c r="T7715" t="s">
        <v>42719</v>
      </c>
      <c r="U7715" t="s">
        <v>49547</v>
      </c>
      <c r="W7715" t="s">
        <v>40083</v>
      </c>
      <c r="X7715" t="s">
        <v>41260</v>
      </c>
    </row>
    <row r="7716" spans="1:24">
      <c r="A7716">
        <f>HYPERLINK("https://www.philgeps.gov.ph/GEPSNONPILOT/Tender/SplashBidNoticeAbstractUI.aspx?menuIndex=3&amp;refID=7062452&amp;Result=3","7062452")</f>
        <v>0</v>
      </c>
      <c r="B7716" t="s">
        <v>1770</v>
      </c>
      <c r="C7716" t="s">
        <v>10744</v>
      </c>
      <c r="D7716" t="s">
        <v>16608</v>
      </c>
      <c r="E7716" t="s">
        <v>23471</v>
      </c>
      <c r="F7716" t="s">
        <v>28669</v>
      </c>
      <c r="G7716" t="s">
        <v>28675</v>
      </c>
      <c r="H7716" t="s">
        <v>28686</v>
      </c>
      <c r="I7716" t="s">
        <v>28689</v>
      </c>
      <c r="J7716" t="s">
        <v>33655</v>
      </c>
      <c r="K7716" t="s">
        <v>37211</v>
      </c>
      <c r="M7716" t="s">
        <v>40076</v>
      </c>
      <c r="N7716" t="s">
        <v>41249</v>
      </c>
      <c r="O7716" t="s">
        <v>41250</v>
      </c>
      <c r="Q7716">
        <v>41</v>
      </c>
      <c r="R7716" t="s">
        <v>41258</v>
      </c>
      <c r="S7716" t="s">
        <v>41379</v>
      </c>
      <c r="T7716" t="s">
        <v>42894</v>
      </c>
      <c r="U7716" t="s">
        <v>49548</v>
      </c>
      <c r="W7716" t="s">
        <v>40076</v>
      </c>
      <c r="X7716" t="s">
        <v>41260</v>
      </c>
    </row>
    <row r="7717" spans="1:24">
      <c r="A7717">
        <f>HYPERLINK("https://www.philgeps.gov.ph/GEPSNONPILOT/Tender/SplashBidNoticeAbstractUI.aspx?menuIndex=3&amp;refID=7062546&amp;Result=3","7062546")</f>
        <v>0</v>
      </c>
      <c r="B7717" t="s">
        <v>1741</v>
      </c>
      <c r="C7717" t="s">
        <v>10745</v>
      </c>
      <c r="D7717" t="s">
        <v>16626</v>
      </c>
      <c r="E7717" t="s">
        <v>23472</v>
      </c>
      <c r="F7717" t="s">
        <v>28669</v>
      </c>
      <c r="G7717" t="s">
        <v>28675</v>
      </c>
      <c r="H7717" t="s">
        <v>28686</v>
      </c>
      <c r="I7717" t="s">
        <v>28689</v>
      </c>
      <c r="J7717" t="s">
        <v>30514</v>
      </c>
      <c r="K7717" t="s">
        <v>37220</v>
      </c>
      <c r="M7717" t="s">
        <v>39342</v>
      </c>
      <c r="N7717" t="s">
        <v>41249</v>
      </c>
      <c r="O7717" t="s">
        <v>41250</v>
      </c>
      <c r="P7717">
        <v>0</v>
      </c>
      <c r="Q7717">
        <v>4</v>
      </c>
      <c r="R7717" t="s">
        <v>41258</v>
      </c>
      <c r="S7717" t="s">
        <v>41513</v>
      </c>
      <c r="T7717" t="s">
        <v>42782</v>
      </c>
      <c r="U7717" t="s">
        <v>49549</v>
      </c>
      <c r="W7717" t="s">
        <v>39342</v>
      </c>
      <c r="X7717" t="s">
        <v>41260</v>
      </c>
    </row>
    <row r="7718" spans="1:24">
      <c r="A7718">
        <f>HYPERLINK("https://www.philgeps.gov.ph/GEPSNONPILOT/Tender/SplashBidNoticeAbstractUI.aspx?menuIndex=3&amp;refID=7061723&amp;Result=3","7061723")</f>
        <v>0</v>
      </c>
      <c r="B7718" t="s">
        <v>1895</v>
      </c>
      <c r="C7718" t="s">
        <v>10746</v>
      </c>
      <c r="D7718" t="s">
        <v>16609</v>
      </c>
      <c r="E7718" t="s">
        <v>23473</v>
      </c>
      <c r="F7718" t="s">
        <v>28669</v>
      </c>
      <c r="G7718" t="s">
        <v>28675</v>
      </c>
      <c r="H7718" t="s">
        <v>9998</v>
      </c>
      <c r="I7718" t="s">
        <v>28722</v>
      </c>
      <c r="J7718" t="s">
        <v>33656</v>
      </c>
      <c r="K7718" t="s">
        <v>37206</v>
      </c>
      <c r="M7718" t="s">
        <v>39518</v>
      </c>
      <c r="N7718" t="s">
        <v>41249</v>
      </c>
      <c r="O7718" t="s">
        <v>41250</v>
      </c>
      <c r="P7718">
        <v>0</v>
      </c>
      <c r="Q7718">
        <v>2</v>
      </c>
      <c r="R7718" t="s">
        <v>41258</v>
      </c>
      <c r="S7718" t="s">
        <v>41513</v>
      </c>
      <c r="T7718" t="s">
        <v>42743</v>
      </c>
      <c r="U7718" t="s">
        <v>49550</v>
      </c>
      <c r="W7718" t="s">
        <v>39518</v>
      </c>
      <c r="X7718" t="s">
        <v>41260</v>
      </c>
    </row>
    <row r="7719" spans="1:24">
      <c r="A7719">
        <f>HYPERLINK("https://www.philgeps.gov.ph/GEPSNONPILOT/Tender/SplashBidNoticeAbstractUI.aspx?menuIndex=3&amp;refID=7061693&amp;Result=3","7061693")</f>
        <v>0</v>
      </c>
      <c r="B7719" t="s">
        <v>810</v>
      </c>
      <c r="C7719" t="s">
        <v>10747</v>
      </c>
      <c r="D7719" t="s">
        <v>16689</v>
      </c>
      <c r="E7719" t="s">
        <v>23474</v>
      </c>
      <c r="F7719" t="s">
        <v>28669</v>
      </c>
      <c r="G7719" t="s">
        <v>28676</v>
      </c>
      <c r="H7719" t="s">
        <v>28686</v>
      </c>
      <c r="I7719" t="s">
        <v>28689</v>
      </c>
      <c r="J7719" t="s">
        <v>33657</v>
      </c>
      <c r="K7719" t="s">
        <v>37206</v>
      </c>
      <c r="M7719" t="s">
        <v>38325</v>
      </c>
      <c r="N7719" t="s">
        <v>41249</v>
      </c>
      <c r="O7719" t="s">
        <v>41250</v>
      </c>
      <c r="P7719">
        <v>0</v>
      </c>
      <c r="Q7719">
        <v>1</v>
      </c>
      <c r="R7719" t="s">
        <v>41258</v>
      </c>
      <c r="S7719" t="s">
        <v>41513</v>
      </c>
      <c r="T7719" t="s">
        <v>42964</v>
      </c>
      <c r="U7719" t="s">
        <v>49551</v>
      </c>
      <c r="W7719" t="s">
        <v>55936</v>
      </c>
      <c r="X7719" t="s">
        <v>41261</v>
      </c>
    </row>
    <row r="7720" spans="1:24">
      <c r="A7720">
        <f>HYPERLINK("https://www.philgeps.gov.ph/GEPSNONPILOT/Tender/SplashBidNoticeAbstractUI.aspx?menuIndex=3&amp;refID=7062528&amp;Result=3","7062528")</f>
        <v>0</v>
      </c>
      <c r="B7720" t="s">
        <v>1770</v>
      </c>
      <c r="C7720" t="s">
        <v>10748</v>
      </c>
      <c r="D7720" t="s">
        <v>16608</v>
      </c>
      <c r="E7720" t="s">
        <v>23475</v>
      </c>
      <c r="F7720" t="s">
        <v>28669</v>
      </c>
      <c r="G7720" t="s">
        <v>28675</v>
      </c>
      <c r="H7720" t="s">
        <v>28686</v>
      </c>
      <c r="I7720" t="s">
        <v>28689</v>
      </c>
      <c r="J7720" t="s">
        <v>33658</v>
      </c>
      <c r="K7720" t="s">
        <v>37211</v>
      </c>
      <c r="M7720" t="s">
        <v>40076</v>
      </c>
      <c r="N7720" t="s">
        <v>41249</v>
      </c>
      <c r="O7720" t="s">
        <v>41250</v>
      </c>
      <c r="Q7720">
        <v>39</v>
      </c>
      <c r="R7720" t="s">
        <v>41258</v>
      </c>
      <c r="S7720" t="s">
        <v>41528</v>
      </c>
      <c r="T7720" t="s">
        <v>42894</v>
      </c>
      <c r="U7720" t="s">
        <v>49552</v>
      </c>
      <c r="W7720" t="s">
        <v>40076</v>
      </c>
      <c r="X7720" t="s">
        <v>41260</v>
      </c>
    </row>
    <row r="7721" spans="1:24">
      <c r="A7721">
        <f>HYPERLINK("https://www.philgeps.gov.ph/GEPSNONPILOT/Tender/SplashBidNoticeAbstractUI.aspx?menuIndex=3&amp;refID=7060796&amp;Result=3","7060796")</f>
        <v>0</v>
      </c>
      <c r="B7721" t="s">
        <v>1125</v>
      </c>
      <c r="C7721" t="s">
        <v>10749</v>
      </c>
      <c r="D7721" t="s">
        <v>16616</v>
      </c>
      <c r="E7721" t="s">
        <v>18132</v>
      </c>
      <c r="F7721" t="s">
        <v>28669</v>
      </c>
      <c r="G7721" t="s">
        <v>28675</v>
      </c>
      <c r="H7721" t="s">
        <v>9998</v>
      </c>
      <c r="I7721" t="s">
        <v>8667</v>
      </c>
      <c r="J7721" t="s">
        <v>33659</v>
      </c>
      <c r="K7721" t="s">
        <v>37210</v>
      </c>
      <c r="M7721" t="s">
        <v>40077</v>
      </c>
      <c r="N7721" t="s">
        <v>41249</v>
      </c>
      <c r="O7721" t="s">
        <v>41250</v>
      </c>
      <c r="P7721">
        <v>0</v>
      </c>
      <c r="Q7721">
        <v>3</v>
      </c>
      <c r="R7721" t="s">
        <v>41258</v>
      </c>
      <c r="S7721" t="s">
        <v>41513</v>
      </c>
      <c r="T7721" t="s">
        <v>42728</v>
      </c>
      <c r="U7721" t="s">
        <v>49553</v>
      </c>
      <c r="W7721" t="s">
        <v>40077</v>
      </c>
      <c r="X7721" t="s">
        <v>41261</v>
      </c>
    </row>
    <row r="7722" spans="1:24">
      <c r="A7722">
        <f>HYPERLINK("https://www.philgeps.gov.ph/GEPSNONPILOT/Tender/SplashBidNoticeAbstractUI.aspx?menuIndex=3&amp;refID=7062604&amp;Result=3","7062604")</f>
        <v>0</v>
      </c>
      <c r="B7722" t="s">
        <v>1125</v>
      </c>
      <c r="C7722" t="s">
        <v>10750</v>
      </c>
      <c r="D7722" t="s">
        <v>16616</v>
      </c>
      <c r="E7722" t="s">
        <v>23476</v>
      </c>
      <c r="F7722" t="s">
        <v>28669</v>
      </c>
      <c r="G7722" t="s">
        <v>28675</v>
      </c>
      <c r="H7722" t="s">
        <v>28686</v>
      </c>
      <c r="I7722" t="s">
        <v>28689</v>
      </c>
      <c r="J7722" t="s">
        <v>28924</v>
      </c>
      <c r="K7722" t="s">
        <v>37220</v>
      </c>
      <c r="M7722" t="s">
        <v>40077</v>
      </c>
      <c r="N7722" t="s">
        <v>41249</v>
      </c>
      <c r="O7722" t="s">
        <v>41250</v>
      </c>
      <c r="P7722">
        <v>0</v>
      </c>
      <c r="Q7722">
        <v>0</v>
      </c>
      <c r="R7722" t="s">
        <v>41258</v>
      </c>
      <c r="S7722" t="s">
        <v>41513</v>
      </c>
      <c r="T7722" t="s">
        <v>42660</v>
      </c>
      <c r="U7722" t="s">
        <v>49554</v>
      </c>
      <c r="W7722" t="s">
        <v>40077</v>
      </c>
      <c r="X7722" t="s">
        <v>41260</v>
      </c>
    </row>
    <row r="7723" spans="1:24">
      <c r="A7723">
        <f>HYPERLINK("https://www.philgeps.gov.ph/GEPSNONPILOT/Tender/SplashBidNoticeAbstractUI.aspx?menuIndex=3&amp;refID=7062598&amp;Result=3","7062598")</f>
        <v>0</v>
      </c>
      <c r="B7723" t="s">
        <v>2403</v>
      </c>
      <c r="C7723" t="s">
        <v>10751</v>
      </c>
      <c r="D7723" t="s">
        <v>16625</v>
      </c>
      <c r="E7723" t="s">
        <v>16707</v>
      </c>
      <c r="F7723" t="s">
        <v>28669</v>
      </c>
      <c r="G7723" t="s">
        <v>28675</v>
      </c>
      <c r="H7723" t="s">
        <v>28686</v>
      </c>
      <c r="I7723" t="s">
        <v>28689</v>
      </c>
      <c r="J7723" t="s">
        <v>28836</v>
      </c>
      <c r="K7723" t="s">
        <v>37215</v>
      </c>
      <c r="M7723" t="s">
        <v>40084</v>
      </c>
      <c r="N7723" t="s">
        <v>41249</v>
      </c>
      <c r="O7723" t="s">
        <v>41250</v>
      </c>
      <c r="P7723">
        <v>0</v>
      </c>
      <c r="Q7723">
        <v>1</v>
      </c>
      <c r="R7723" t="s">
        <v>41258</v>
      </c>
      <c r="S7723" t="s">
        <v>41513</v>
      </c>
      <c r="T7723" t="s">
        <v>42722</v>
      </c>
      <c r="U7723" t="s">
        <v>49555</v>
      </c>
      <c r="W7723" t="s">
        <v>40084</v>
      </c>
      <c r="X7723" t="s">
        <v>41260</v>
      </c>
    </row>
    <row r="7724" spans="1:24">
      <c r="A7724">
        <f>HYPERLINK("https://www.philgeps.gov.ph/GEPSNONPILOT/Tender/SplashBidNoticeAbstractUI.aspx?menuIndex=3&amp;refID=7062427&amp;Result=3","7062427")</f>
        <v>0</v>
      </c>
      <c r="B7724" t="s">
        <v>1770</v>
      </c>
      <c r="C7724" t="s">
        <v>10752</v>
      </c>
      <c r="D7724" t="s">
        <v>16608</v>
      </c>
      <c r="E7724" t="s">
        <v>23477</v>
      </c>
      <c r="F7724" t="s">
        <v>28669</v>
      </c>
      <c r="G7724" t="s">
        <v>28675</v>
      </c>
      <c r="H7724" t="s">
        <v>28686</v>
      </c>
      <c r="I7724" t="s">
        <v>28689</v>
      </c>
      <c r="J7724" t="s">
        <v>33660</v>
      </c>
      <c r="K7724" t="s">
        <v>37215</v>
      </c>
      <c r="M7724" t="s">
        <v>40076</v>
      </c>
      <c r="N7724" t="s">
        <v>41249</v>
      </c>
      <c r="O7724" t="s">
        <v>41250</v>
      </c>
      <c r="Q7724">
        <v>41</v>
      </c>
      <c r="R7724" t="s">
        <v>41258</v>
      </c>
      <c r="S7724" t="s">
        <v>41529</v>
      </c>
      <c r="T7724" t="s">
        <v>42894</v>
      </c>
      <c r="U7724" t="s">
        <v>49556</v>
      </c>
      <c r="W7724" t="s">
        <v>40076</v>
      </c>
      <c r="X7724" t="s">
        <v>41260</v>
      </c>
    </row>
    <row r="7725" spans="1:24">
      <c r="A7725">
        <f>HYPERLINK("https://www.philgeps.gov.ph/GEPSNONPILOT/Tender/SplashBidNoticeAbstractUI.aspx?menuIndex=3&amp;refID=7061726&amp;Result=3","7061726")</f>
        <v>0</v>
      </c>
      <c r="B7725" t="s">
        <v>1895</v>
      </c>
      <c r="C7725" t="s">
        <v>10753</v>
      </c>
      <c r="D7725" t="s">
        <v>16609</v>
      </c>
      <c r="E7725" t="s">
        <v>23478</v>
      </c>
      <c r="F7725" t="s">
        <v>28669</v>
      </c>
      <c r="G7725" t="s">
        <v>28675</v>
      </c>
      <c r="H7725" t="s">
        <v>9998</v>
      </c>
      <c r="I7725" t="s">
        <v>28722</v>
      </c>
      <c r="J7725" t="s">
        <v>28879</v>
      </c>
      <c r="K7725" t="s">
        <v>37206</v>
      </c>
      <c r="M7725" t="s">
        <v>39518</v>
      </c>
      <c r="N7725" t="s">
        <v>41249</v>
      </c>
      <c r="O7725" t="s">
        <v>41250</v>
      </c>
      <c r="P7725">
        <v>0</v>
      </c>
      <c r="Q7725">
        <v>1</v>
      </c>
      <c r="R7725" t="s">
        <v>41258</v>
      </c>
      <c r="S7725" t="s">
        <v>41513</v>
      </c>
      <c r="T7725" t="s">
        <v>42743</v>
      </c>
      <c r="U7725" t="s">
        <v>49557</v>
      </c>
      <c r="W7725" t="s">
        <v>39518</v>
      </c>
      <c r="X7725" t="s">
        <v>41260</v>
      </c>
    </row>
    <row r="7726" spans="1:24">
      <c r="A7726">
        <f>HYPERLINK("https://www.philgeps.gov.ph/GEPSNONPILOT/Tender/SplashBidNoticeAbstractUI.aspx?menuIndex=3&amp;refID=7060673&amp;Result=3","7060673")</f>
        <v>0</v>
      </c>
      <c r="B7726" t="s">
        <v>1741</v>
      </c>
      <c r="C7726" t="s">
        <v>10754</v>
      </c>
      <c r="D7726" t="s">
        <v>16626</v>
      </c>
      <c r="E7726" t="s">
        <v>23479</v>
      </c>
      <c r="F7726" t="s">
        <v>28669</v>
      </c>
      <c r="G7726" t="s">
        <v>28675</v>
      </c>
      <c r="H7726" t="s">
        <v>28686</v>
      </c>
      <c r="I7726" t="s">
        <v>28689</v>
      </c>
      <c r="J7726" t="s">
        <v>33661</v>
      </c>
      <c r="K7726" t="s">
        <v>37215</v>
      </c>
      <c r="M7726" t="s">
        <v>39342</v>
      </c>
      <c r="N7726" t="s">
        <v>41249</v>
      </c>
      <c r="O7726" t="s">
        <v>41250</v>
      </c>
      <c r="P7726">
        <v>0</v>
      </c>
      <c r="Q7726">
        <v>3</v>
      </c>
      <c r="R7726" t="s">
        <v>41258</v>
      </c>
      <c r="S7726" t="s">
        <v>41513</v>
      </c>
      <c r="T7726" t="s">
        <v>42782</v>
      </c>
      <c r="U7726" t="s">
        <v>49558</v>
      </c>
      <c r="W7726" t="s">
        <v>39342</v>
      </c>
      <c r="X7726" t="s">
        <v>41261</v>
      </c>
    </row>
    <row r="7727" spans="1:24">
      <c r="A7727">
        <f>HYPERLINK("https://www.philgeps.gov.ph/GEPSNONPILOT/Tender/SplashBidNoticeAbstractUI.aspx?menuIndex=3&amp;refID=7060659&amp;Result=3","7060659")</f>
        <v>0</v>
      </c>
      <c r="B7727" t="s">
        <v>2393</v>
      </c>
      <c r="C7727" t="s">
        <v>10755</v>
      </c>
      <c r="D7727" t="s">
        <v>16643</v>
      </c>
      <c r="E7727" t="s">
        <v>23480</v>
      </c>
      <c r="F7727" t="s">
        <v>28669</v>
      </c>
      <c r="G7727" t="s">
        <v>28675</v>
      </c>
      <c r="H7727" t="s">
        <v>28686</v>
      </c>
      <c r="I7727" t="s">
        <v>28689</v>
      </c>
      <c r="J7727" t="s">
        <v>33662</v>
      </c>
      <c r="K7727" t="s">
        <v>37351</v>
      </c>
      <c r="M7727" t="s">
        <v>40068</v>
      </c>
      <c r="N7727" t="s">
        <v>41249</v>
      </c>
      <c r="O7727" t="s">
        <v>41250</v>
      </c>
      <c r="P7727">
        <v>0</v>
      </c>
      <c r="Q7727">
        <v>8</v>
      </c>
      <c r="R7727" t="s">
        <v>41258</v>
      </c>
      <c r="S7727" t="s">
        <v>41513</v>
      </c>
      <c r="T7727" t="s">
        <v>43055</v>
      </c>
      <c r="U7727" t="s">
        <v>49559</v>
      </c>
      <c r="V7727" t="s">
        <v>55128</v>
      </c>
      <c r="W7727" t="s">
        <v>55992</v>
      </c>
      <c r="X7727" t="s">
        <v>41261</v>
      </c>
    </row>
    <row r="7728" spans="1:24">
      <c r="A7728">
        <f>HYPERLINK("https://www.philgeps.gov.ph/GEPSNONPILOT/Tender/SplashBidNoticeAbstractUI.aspx?menuIndex=3&amp;refID=7059320&amp;Result=3","7059320")</f>
        <v>0</v>
      </c>
      <c r="B7728" t="s">
        <v>42</v>
      </c>
      <c r="C7728" t="s">
        <v>5900</v>
      </c>
      <c r="D7728" t="s">
        <v>16623</v>
      </c>
      <c r="E7728" t="s">
        <v>23481</v>
      </c>
      <c r="F7728" t="s">
        <v>28669</v>
      </c>
      <c r="G7728" t="s">
        <v>28675</v>
      </c>
      <c r="H7728" t="s">
        <v>9998</v>
      </c>
      <c r="I7728" t="s">
        <v>28773</v>
      </c>
      <c r="J7728" t="s">
        <v>33663</v>
      </c>
      <c r="K7728" t="s">
        <v>37210</v>
      </c>
      <c r="M7728" t="s">
        <v>37517</v>
      </c>
      <c r="N7728" t="s">
        <v>41249</v>
      </c>
      <c r="O7728" t="s">
        <v>41250</v>
      </c>
      <c r="P7728">
        <v>0</v>
      </c>
      <c r="Q7728">
        <v>1</v>
      </c>
      <c r="R7728" t="s">
        <v>41258</v>
      </c>
      <c r="S7728" t="s">
        <v>41513</v>
      </c>
      <c r="T7728" t="s">
        <v>42728</v>
      </c>
      <c r="U7728" t="s">
        <v>49560</v>
      </c>
      <c r="W7728" t="s">
        <v>37517</v>
      </c>
      <c r="X7728" t="s">
        <v>41261</v>
      </c>
    </row>
    <row r="7729" spans="1:24">
      <c r="A7729">
        <f>HYPERLINK("https://www.philgeps.gov.ph/GEPSNONPILOT/Tender/SplashBidNoticeAbstractUI.aspx?menuIndex=3&amp;refID=7060769&amp;Result=3","7060769")</f>
        <v>0</v>
      </c>
      <c r="B7729" t="s">
        <v>2397</v>
      </c>
      <c r="C7729" t="s">
        <v>10756</v>
      </c>
      <c r="D7729" t="s">
        <v>16617</v>
      </c>
      <c r="E7729" t="s">
        <v>23482</v>
      </c>
      <c r="F7729" t="s">
        <v>28669</v>
      </c>
      <c r="G7729" t="s">
        <v>28675</v>
      </c>
      <c r="H7729" t="s">
        <v>9998</v>
      </c>
      <c r="I7729" t="s">
        <v>28786</v>
      </c>
      <c r="J7729" t="s">
        <v>28826</v>
      </c>
      <c r="K7729" t="s">
        <v>37204</v>
      </c>
      <c r="M7729" t="s">
        <v>40073</v>
      </c>
      <c r="N7729" t="s">
        <v>41249</v>
      </c>
      <c r="O7729" t="s">
        <v>41250</v>
      </c>
      <c r="P7729">
        <v>0</v>
      </c>
      <c r="Q7729">
        <v>2</v>
      </c>
      <c r="R7729" t="s">
        <v>41258</v>
      </c>
      <c r="S7729" t="s">
        <v>41513</v>
      </c>
      <c r="T7729" t="s">
        <v>42930</v>
      </c>
      <c r="U7729" t="s">
        <v>49561</v>
      </c>
      <c r="W7729" t="s">
        <v>40073</v>
      </c>
      <c r="X7729" t="s">
        <v>41261</v>
      </c>
    </row>
    <row r="7730" spans="1:24">
      <c r="A7730">
        <f>HYPERLINK("https://www.philgeps.gov.ph/GEPSNONPILOT/Tender/SplashBidNoticeAbstractUI.aspx?menuIndex=3&amp;refID=7060677&amp;Result=3","7060677")</f>
        <v>0</v>
      </c>
      <c r="B7730" t="s">
        <v>2397</v>
      </c>
      <c r="C7730" t="s">
        <v>10757</v>
      </c>
      <c r="D7730" t="s">
        <v>16617</v>
      </c>
      <c r="E7730" t="s">
        <v>23483</v>
      </c>
      <c r="F7730" t="s">
        <v>28669</v>
      </c>
      <c r="G7730" t="s">
        <v>28675</v>
      </c>
      <c r="H7730" t="s">
        <v>9998</v>
      </c>
      <c r="I7730" t="s">
        <v>28726</v>
      </c>
      <c r="J7730" t="s">
        <v>33664</v>
      </c>
      <c r="K7730" t="s">
        <v>37204</v>
      </c>
      <c r="M7730" t="s">
        <v>40073</v>
      </c>
      <c r="N7730" t="s">
        <v>41249</v>
      </c>
      <c r="O7730" t="s">
        <v>41250</v>
      </c>
      <c r="P7730">
        <v>0</v>
      </c>
      <c r="Q7730">
        <v>1</v>
      </c>
      <c r="R7730" t="s">
        <v>41258</v>
      </c>
      <c r="S7730" t="s">
        <v>41513</v>
      </c>
      <c r="T7730" t="s">
        <v>42930</v>
      </c>
      <c r="U7730" t="s">
        <v>49562</v>
      </c>
      <c r="W7730" t="s">
        <v>40073</v>
      </c>
      <c r="X7730" t="s">
        <v>41261</v>
      </c>
    </row>
    <row r="7731" spans="1:24">
      <c r="A7731">
        <f>HYPERLINK("https://www.philgeps.gov.ph/GEPSNONPILOT/Tender/SplashBidNoticeAbstractUI.aspx?menuIndex=3&amp;refID=7063242&amp;Result=3","7063242")</f>
        <v>0</v>
      </c>
      <c r="B7731" t="s">
        <v>1212</v>
      </c>
      <c r="C7731" t="s">
        <v>10758</v>
      </c>
      <c r="D7731" t="s">
        <v>16678</v>
      </c>
      <c r="E7731" t="s">
        <v>23484</v>
      </c>
      <c r="F7731" t="s">
        <v>28669</v>
      </c>
      <c r="G7731" t="s">
        <v>28675</v>
      </c>
      <c r="H7731" t="s">
        <v>9998</v>
      </c>
      <c r="I7731" t="s">
        <v>7352</v>
      </c>
      <c r="J7731" t="s">
        <v>33665</v>
      </c>
      <c r="K7731" t="s">
        <v>37209</v>
      </c>
      <c r="M7731" t="s">
        <v>38753</v>
      </c>
      <c r="N7731" t="s">
        <v>41249</v>
      </c>
      <c r="O7731" t="s">
        <v>41250</v>
      </c>
      <c r="P7731">
        <v>0</v>
      </c>
      <c r="Q7731">
        <v>0</v>
      </c>
      <c r="R7731" t="s">
        <v>41258</v>
      </c>
      <c r="S7731" t="s">
        <v>41513</v>
      </c>
      <c r="T7731" t="s">
        <v>42837</v>
      </c>
      <c r="U7731" t="s">
        <v>49563</v>
      </c>
      <c r="V7731" t="s">
        <v>55132</v>
      </c>
      <c r="W7731" t="s">
        <v>38753</v>
      </c>
      <c r="X7731" t="s">
        <v>41260</v>
      </c>
    </row>
    <row r="7732" spans="1:24">
      <c r="A7732">
        <f>HYPERLINK("https://www.philgeps.gov.ph/GEPSNONPILOT/Tender/SplashBidNoticeAbstractUI.aspx?menuIndex=3&amp;refID=7061521&amp;Result=3","7061521")</f>
        <v>0</v>
      </c>
      <c r="B7732" t="s">
        <v>2404</v>
      </c>
      <c r="C7732" t="s">
        <v>10759</v>
      </c>
      <c r="D7732" t="s">
        <v>16630</v>
      </c>
      <c r="E7732" t="s">
        <v>23485</v>
      </c>
      <c r="F7732" t="s">
        <v>28669</v>
      </c>
      <c r="G7732" t="s">
        <v>28676</v>
      </c>
      <c r="H7732" t="s">
        <v>9998</v>
      </c>
      <c r="I7732" t="s">
        <v>7352</v>
      </c>
      <c r="J7732" t="s">
        <v>33666</v>
      </c>
      <c r="K7732" t="s">
        <v>37234</v>
      </c>
      <c r="M7732" t="s">
        <v>40085</v>
      </c>
      <c r="N7732" t="s">
        <v>41249</v>
      </c>
      <c r="O7732" t="s">
        <v>41250</v>
      </c>
      <c r="P7732">
        <v>0</v>
      </c>
      <c r="Q7732">
        <v>1</v>
      </c>
      <c r="R7732" t="s">
        <v>41258</v>
      </c>
      <c r="S7732" t="s">
        <v>41513</v>
      </c>
      <c r="T7732" t="s">
        <v>42736</v>
      </c>
      <c r="U7732" t="s">
        <v>49564</v>
      </c>
      <c r="W7732" t="s">
        <v>40085</v>
      </c>
      <c r="X7732" t="s">
        <v>41261</v>
      </c>
    </row>
    <row r="7733" spans="1:24">
      <c r="A7733">
        <f>HYPERLINK("https://www.philgeps.gov.ph/GEPSNONPILOT/Tender/SplashBidNoticeAbstractUI.aspx?menuIndex=3&amp;refID=7062711&amp;Result=3","7062711")</f>
        <v>0</v>
      </c>
      <c r="B7733" t="s">
        <v>1781</v>
      </c>
      <c r="C7733" t="s">
        <v>10760</v>
      </c>
      <c r="D7733" t="s">
        <v>16621</v>
      </c>
      <c r="E7733" t="s">
        <v>23486</v>
      </c>
      <c r="F7733" t="s">
        <v>28669</v>
      </c>
      <c r="G7733" t="s">
        <v>28675</v>
      </c>
      <c r="H7733" t="s">
        <v>9998</v>
      </c>
      <c r="I7733" t="s">
        <v>28694</v>
      </c>
      <c r="J7733" t="s">
        <v>33667</v>
      </c>
      <c r="K7733" t="s">
        <v>37206</v>
      </c>
      <c r="M7733" t="s">
        <v>39385</v>
      </c>
      <c r="N7733" t="s">
        <v>41249</v>
      </c>
      <c r="O7733" t="s">
        <v>41250</v>
      </c>
      <c r="P7733">
        <v>0</v>
      </c>
      <c r="Q7733">
        <v>1</v>
      </c>
      <c r="R7733" t="s">
        <v>41258</v>
      </c>
      <c r="S7733" t="s">
        <v>41513</v>
      </c>
      <c r="T7733" t="s">
        <v>42767</v>
      </c>
      <c r="U7733" t="s">
        <v>49565</v>
      </c>
      <c r="W7733" t="s">
        <v>39385</v>
      </c>
      <c r="X7733" t="s">
        <v>41260</v>
      </c>
    </row>
    <row r="7734" spans="1:24">
      <c r="A7734">
        <f>HYPERLINK("https://www.philgeps.gov.ph/GEPSNONPILOT/Tender/SplashBidNoticeAbstractUI.aspx?menuIndex=3&amp;refID=7063082&amp;Result=3","7063082")</f>
        <v>0</v>
      </c>
      <c r="B7734" t="s">
        <v>1212</v>
      </c>
      <c r="C7734" t="s">
        <v>10761</v>
      </c>
      <c r="D7734" t="s">
        <v>16678</v>
      </c>
      <c r="E7734" t="s">
        <v>23487</v>
      </c>
      <c r="F7734" t="s">
        <v>28669</v>
      </c>
      <c r="G7734" t="s">
        <v>28675</v>
      </c>
      <c r="H7734" t="s">
        <v>9998</v>
      </c>
      <c r="I7734" t="s">
        <v>7352</v>
      </c>
      <c r="J7734" t="s">
        <v>33668</v>
      </c>
      <c r="K7734" t="s">
        <v>37209</v>
      </c>
      <c r="M7734" t="s">
        <v>40082</v>
      </c>
      <c r="N7734" t="s">
        <v>41249</v>
      </c>
      <c r="O7734" t="s">
        <v>41250</v>
      </c>
      <c r="P7734">
        <v>0</v>
      </c>
      <c r="Q7734">
        <v>0</v>
      </c>
      <c r="R7734" t="s">
        <v>41258</v>
      </c>
      <c r="S7734" t="s">
        <v>41513</v>
      </c>
      <c r="T7734" t="s">
        <v>42837</v>
      </c>
      <c r="U7734" t="s">
        <v>49566</v>
      </c>
      <c r="V7734" t="s">
        <v>55133</v>
      </c>
      <c r="W7734" t="s">
        <v>40082</v>
      </c>
      <c r="X7734" t="s">
        <v>41260</v>
      </c>
    </row>
    <row r="7735" spans="1:24">
      <c r="A7735">
        <f>HYPERLINK("https://www.philgeps.gov.ph/GEPSNONPILOT/Tender/SplashBidNoticeAbstractUI.aspx?menuIndex=3&amp;refID=7063013&amp;Result=3","7063013")</f>
        <v>0</v>
      </c>
      <c r="B7735" t="s">
        <v>42</v>
      </c>
      <c r="C7735" t="s">
        <v>10762</v>
      </c>
      <c r="D7735" t="s">
        <v>16623</v>
      </c>
      <c r="E7735" t="s">
        <v>22656</v>
      </c>
      <c r="F7735" t="s">
        <v>28669</v>
      </c>
      <c r="G7735" t="s">
        <v>28675</v>
      </c>
      <c r="H7735" t="s">
        <v>9998</v>
      </c>
      <c r="I7735" t="s">
        <v>28731</v>
      </c>
      <c r="J7735" t="s">
        <v>33669</v>
      </c>
      <c r="K7735" t="s">
        <v>37210</v>
      </c>
      <c r="M7735" t="s">
        <v>37517</v>
      </c>
      <c r="N7735" t="s">
        <v>41249</v>
      </c>
      <c r="O7735" t="s">
        <v>41250</v>
      </c>
      <c r="P7735">
        <v>0</v>
      </c>
      <c r="Q7735">
        <v>0</v>
      </c>
      <c r="R7735" t="s">
        <v>41258</v>
      </c>
      <c r="S7735" t="s">
        <v>41513</v>
      </c>
      <c r="T7735" t="s">
        <v>42728</v>
      </c>
      <c r="U7735" t="s">
        <v>49567</v>
      </c>
      <c r="W7735" t="s">
        <v>37517</v>
      </c>
      <c r="X7735" t="s">
        <v>41260</v>
      </c>
    </row>
    <row r="7736" spans="1:24">
      <c r="A7736">
        <f>HYPERLINK("https://www.philgeps.gov.ph/GEPSNONPILOT/Tender/SplashBidNoticeAbstractUI.aspx?menuIndex=3&amp;refID=7062940&amp;Result=3","7062940")</f>
        <v>0</v>
      </c>
      <c r="B7736" t="s">
        <v>1125</v>
      </c>
      <c r="C7736" t="s">
        <v>10763</v>
      </c>
      <c r="D7736" t="s">
        <v>16616</v>
      </c>
      <c r="E7736" t="s">
        <v>23488</v>
      </c>
      <c r="F7736" t="s">
        <v>28669</v>
      </c>
      <c r="G7736" t="s">
        <v>28675</v>
      </c>
      <c r="H7736" t="s">
        <v>28686</v>
      </c>
      <c r="I7736" t="s">
        <v>28689</v>
      </c>
      <c r="J7736" t="s">
        <v>29655</v>
      </c>
      <c r="K7736" t="s">
        <v>37215</v>
      </c>
      <c r="M7736" t="s">
        <v>40077</v>
      </c>
      <c r="N7736" t="s">
        <v>41249</v>
      </c>
      <c r="O7736" t="s">
        <v>41250</v>
      </c>
      <c r="P7736">
        <v>0</v>
      </c>
      <c r="Q7736">
        <v>0</v>
      </c>
      <c r="R7736" t="s">
        <v>41258</v>
      </c>
      <c r="S7736" t="s">
        <v>41513</v>
      </c>
      <c r="T7736" t="s">
        <v>42660</v>
      </c>
      <c r="U7736" t="s">
        <v>49568</v>
      </c>
      <c r="W7736" t="s">
        <v>40077</v>
      </c>
      <c r="X7736" t="s">
        <v>41260</v>
      </c>
    </row>
    <row r="7737" spans="1:24">
      <c r="A7737">
        <f>HYPERLINK("https://www.philgeps.gov.ph/GEPSNONPILOT/Tender/SplashBidNoticeAbstractUI.aspx?menuIndex=3&amp;refID=7063290&amp;Result=3","7063290")</f>
        <v>0</v>
      </c>
      <c r="B7737" t="s">
        <v>2326</v>
      </c>
      <c r="C7737" t="s">
        <v>10764</v>
      </c>
      <c r="D7737" t="s">
        <v>16617</v>
      </c>
      <c r="E7737" t="s">
        <v>23489</v>
      </c>
      <c r="F7737" t="s">
        <v>28669</v>
      </c>
      <c r="G7737" t="s">
        <v>28675</v>
      </c>
      <c r="H7737" t="s">
        <v>28686</v>
      </c>
      <c r="I7737" t="s">
        <v>28689</v>
      </c>
      <c r="J7737" t="s">
        <v>28836</v>
      </c>
      <c r="K7737" t="s">
        <v>37283</v>
      </c>
      <c r="M7737" t="s">
        <v>39987</v>
      </c>
      <c r="N7737" t="s">
        <v>41249</v>
      </c>
      <c r="O7737" t="s">
        <v>41250</v>
      </c>
      <c r="P7737">
        <v>0</v>
      </c>
      <c r="Q7737">
        <v>0</v>
      </c>
      <c r="R7737" t="s">
        <v>41258</v>
      </c>
      <c r="S7737" t="s">
        <v>41513</v>
      </c>
      <c r="T7737" t="s">
        <v>42761</v>
      </c>
      <c r="U7737" t="s">
        <v>49569</v>
      </c>
      <c r="W7737" t="s">
        <v>39987</v>
      </c>
      <c r="X7737" t="s">
        <v>41260</v>
      </c>
    </row>
    <row r="7738" spans="1:24">
      <c r="A7738">
        <f>HYPERLINK("https://www.philgeps.gov.ph/GEPSNONPILOT/Tender/SplashBidNoticeAbstractUI.aspx?menuIndex=3&amp;refID=7063235&amp;Result=3","7063235")</f>
        <v>0</v>
      </c>
      <c r="B7738" t="s">
        <v>2326</v>
      </c>
      <c r="C7738" t="s">
        <v>10765</v>
      </c>
      <c r="D7738" t="s">
        <v>16617</v>
      </c>
      <c r="E7738" t="s">
        <v>23490</v>
      </c>
      <c r="F7738" t="s">
        <v>28669</v>
      </c>
      <c r="G7738" t="s">
        <v>28675</v>
      </c>
      <c r="H7738" t="s">
        <v>9998</v>
      </c>
      <c r="I7738" t="s">
        <v>28687</v>
      </c>
      <c r="J7738" t="s">
        <v>29033</v>
      </c>
      <c r="K7738" t="s">
        <v>37205</v>
      </c>
      <c r="M7738" t="s">
        <v>39987</v>
      </c>
      <c r="N7738" t="s">
        <v>41249</v>
      </c>
      <c r="O7738" t="s">
        <v>41250</v>
      </c>
      <c r="P7738">
        <v>0</v>
      </c>
      <c r="Q7738">
        <v>5</v>
      </c>
      <c r="R7738" t="s">
        <v>41258</v>
      </c>
      <c r="S7738" t="s">
        <v>41513</v>
      </c>
      <c r="T7738" t="s">
        <v>42761</v>
      </c>
      <c r="U7738" t="s">
        <v>49570</v>
      </c>
      <c r="W7738" t="s">
        <v>39987</v>
      </c>
      <c r="X7738" t="s">
        <v>41260</v>
      </c>
    </row>
    <row r="7739" spans="1:24">
      <c r="A7739">
        <f>HYPERLINK("https://www.philgeps.gov.ph/GEPSNONPILOT/Tender/SplashBidNoticeAbstractUI.aspx?menuIndex=3&amp;refID=7062909&amp;Result=3","7062909")</f>
        <v>0</v>
      </c>
      <c r="B7739" t="s">
        <v>1125</v>
      </c>
      <c r="C7739" t="s">
        <v>10766</v>
      </c>
      <c r="D7739" t="s">
        <v>16616</v>
      </c>
      <c r="E7739" t="s">
        <v>23491</v>
      </c>
      <c r="F7739" t="s">
        <v>28669</v>
      </c>
      <c r="G7739" t="s">
        <v>28675</v>
      </c>
      <c r="H7739" t="s">
        <v>28686</v>
      </c>
      <c r="I7739" t="s">
        <v>28689</v>
      </c>
      <c r="J7739" t="s">
        <v>29059</v>
      </c>
      <c r="K7739" t="s">
        <v>37213</v>
      </c>
      <c r="M7739" t="s">
        <v>40077</v>
      </c>
      <c r="N7739" t="s">
        <v>41249</v>
      </c>
      <c r="O7739" t="s">
        <v>41250</v>
      </c>
      <c r="P7739">
        <v>0</v>
      </c>
      <c r="Q7739">
        <v>0</v>
      </c>
      <c r="R7739" t="s">
        <v>41258</v>
      </c>
      <c r="S7739" t="s">
        <v>41513</v>
      </c>
      <c r="T7739" t="s">
        <v>42660</v>
      </c>
      <c r="U7739" t="s">
        <v>49571</v>
      </c>
      <c r="W7739" t="s">
        <v>40077</v>
      </c>
      <c r="X7739" t="s">
        <v>41260</v>
      </c>
    </row>
    <row r="7740" spans="1:24">
      <c r="A7740">
        <f>HYPERLINK("https://www.philgeps.gov.ph/GEPSNONPILOT/Tender/SplashBidNoticeAbstractUI.aspx?menuIndex=3&amp;refID=7062843&amp;Result=3","7062843")</f>
        <v>0</v>
      </c>
      <c r="B7740" t="s">
        <v>1125</v>
      </c>
      <c r="C7740" t="s">
        <v>10767</v>
      </c>
      <c r="D7740" t="s">
        <v>16616</v>
      </c>
      <c r="E7740" t="s">
        <v>23492</v>
      </c>
      <c r="F7740" t="s">
        <v>28669</v>
      </c>
      <c r="G7740" t="s">
        <v>28675</v>
      </c>
      <c r="H7740" t="s">
        <v>28686</v>
      </c>
      <c r="I7740" t="s">
        <v>28689</v>
      </c>
      <c r="J7740" t="s">
        <v>28836</v>
      </c>
      <c r="K7740" t="s">
        <v>37207</v>
      </c>
      <c r="M7740" t="s">
        <v>40077</v>
      </c>
      <c r="N7740" t="s">
        <v>41249</v>
      </c>
      <c r="O7740" t="s">
        <v>41250</v>
      </c>
      <c r="P7740">
        <v>0</v>
      </c>
      <c r="Q7740">
        <v>0</v>
      </c>
      <c r="R7740" t="s">
        <v>41258</v>
      </c>
      <c r="S7740" t="s">
        <v>41513</v>
      </c>
      <c r="T7740" t="s">
        <v>42660</v>
      </c>
      <c r="U7740" t="s">
        <v>49572</v>
      </c>
      <c r="W7740" t="s">
        <v>40077</v>
      </c>
      <c r="X7740" t="s">
        <v>41260</v>
      </c>
    </row>
    <row r="7741" spans="1:24">
      <c r="A7741">
        <f>HYPERLINK("https://www.philgeps.gov.ph/GEPSNONPILOT/Tender/SplashBidNoticeAbstractUI.aspx?menuIndex=3&amp;refID=7062790&amp;Result=3","7062790")</f>
        <v>0</v>
      </c>
      <c r="B7741" t="s">
        <v>1125</v>
      </c>
      <c r="C7741" t="s">
        <v>10768</v>
      </c>
      <c r="D7741" t="s">
        <v>16616</v>
      </c>
      <c r="E7741" t="s">
        <v>23493</v>
      </c>
      <c r="F7741" t="s">
        <v>28669</v>
      </c>
      <c r="G7741" t="s">
        <v>28675</v>
      </c>
      <c r="H7741" t="s">
        <v>28686</v>
      </c>
      <c r="I7741" t="s">
        <v>28689</v>
      </c>
      <c r="J7741" t="s">
        <v>28823</v>
      </c>
      <c r="K7741" t="s">
        <v>37223</v>
      </c>
      <c r="M7741" t="s">
        <v>40077</v>
      </c>
      <c r="N7741" t="s">
        <v>41249</v>
      </c>
      <c r="O7741" t="s">
        <v>41250</v>
      </c>
      <c r="P7741">
        <v>0</v>
      </c>
      <c r="Q7741">
        <v>0</v>
      </c>
      <c r="R7741" t="s">
        <v>41258</v>
      </c>
      <c r="S7741" t="s">
        <v>41513</v>
      </c>
      <c r="T7741" t="s">
        <v>42660</v>
      </c>
      <c r="U7741" t="s">
        <v>49573</v>
      </c>
      <c r="W7741" t="s">
        <v>40077</v>
      </c>
      <c r="X7741" t="s">
        <v>41260</v>
      </c>
    </row>
    <row r="7742" spans="1:24">
      <c r="A7742">
        <f>HYPERLINK("https://www.philgeps.gov.ph/GEPSNONPILOT/Tender/SplashBidNoticeAbstractUI.aspx?menuIndex=3&amp;refID=7060728&amp;Result=3","7060728")</f>
        <v>0</v>
      </c>
      <c r="B7742" t="s">
        <v>2393</v>
      </c>
      <c r="C7742" t="s">
        <v>10769</v>
      </c>
      <c r="D7742" t="s">
        <v>16643</v>
      </c>
      <c r="E7742" t="s">
        <v>23494</v>
      </c>
      <c r="F7742" t="s">
        <v>28669</v>
      </c>
      <c r="G7742" t="s">
        <v>28675</v>
      </c>
      <c r="H7742" t="s">
        <v>28686</v>
      </c>
      <c r="I7742" t="s">
        <v>28689</v>
      </c>
      <c r="J7742" t="s">
        <v>33662</v>
      </c>
      <c r="K7742" t="s">
        <v>37351</v>
      </c>
      <c r="M7742" t="s">
        <v>40068</v>
      </c>
      <c r="N7742" t="s">
        <v>41249</v>
      </c>
      <c r="O7742" t="s">
        <v>41250</v>
      </c>
      <c r="P7742">
        <v>0</v>
      </c>
      <c r="Q7742">
        <v>8</v>
      </c>
      <c r="R7742" t="s">
        <v>41258</v>
      </c>
      <c r="S7742" t="s">
        <v>41513</v>
      </c>
      <c r="T7742" t="s">
        <v>43055</v>
      </c>
      <c r="U7742" t="s">
        <v>49574</v>
      </c>
      <c r="V7742" t="s">
        <v>55128</v>
      </c>
      <c r="W7742" t="s">
        <v>55992</v>
      </c>
      <c r="X7742" t="s">
        <v>41261</v>
      </c>
    </row>
    <row r="7743" spans="1:24">
      <c r="A7743">
        <f>HYPERLINK("https://www.philgeps.gov.ph/GEPSNONPILOT/Tender/SplashBidNoticeAbstractUI.aspx?menuIndex=3&amp;refID=7062927&amp;Result=3","7062927")</f>
        <v>0</v>
      </c>
      <c r="B7743" t="s">
        <v>1212</v>
      </c>
      <c r="C7743" t="s">
        <v>10770</v>
      </c>
      <c r="D7743" t="s">
        <v>16678</v>
      </c>
      <c r="E7743" t="s">
        <v>23495</v>
      </c>
      <c r="F7743" t="s">
        <v>28669</v>
      </c>
      <c r="G7743" t="s">
        <v>28675</v>
      </c>
      <c r="H7743" t="s">
        <v>9998</v>
      </c>
      <c r="I7743" t="s">
        <v>7352</v>
      </c>
      <c r="J7743" t="s">
        <v>33670</v>
      </c>
      <c r="K7743" t="s">
        <v>37209</v>
      </c>
      <c r="M7743" t="s">
        <v>40082</v>
      </c>
      <c r="N7743" t="s">
        <v>41249</v>
      </c>
      <c r="O7743" t="s">
        <v>41250</v>
      </c>
      <c r="P7743">
        <v>0</v>
      </c>
      <c r="Q7743">
        <v>1</v>
      </c>
      <c r="R7743" t="s">
        <v>41258</v>
      </c>
      <c r="S7743" t="s">
        <v>41513</v>
      </c>
      <c r="T7743" t="s">
        <v>42837</v>
      </c>
      <c r="U7743" t="s">
        <v>49575</v>
      </c>
      <c r="V7743" t="s">
        <v>55134</v>
      </c>
      <c r="W7743" t="s">
        <v>40082</v>
      </c>
      <c r="X7743" t="s">
        <v>41260</v>
      </c>
    </row>
    <row r="7744" spans="1:24">
      <c r="A7744">
        <f>HYPERLINK("https://www.philgeps.gov.ph/GEPSNONPILOT/Tender/SplashBidNoticeAbstractUI.aspx?menuIndex=3&amp;refID=7063971&amp;Result=3","7063971")</f>
        <v>0</v>
      </c>
      <c r="B7744" t="s">
        <v>338</v>
      </c>
      <c r="C7744" t="s">
        <v>10771</v>
      </c>
      <c r="D7744" t="s">
        <v>16671</v>
      </c>
      <c r="E7744" t="s">
        <v>23496</v>
      </c>
      <c r="F7744" t="s">
        <v>28669</v>
      </c>
      <c r="G7744" t="s">
        <v>28675</v>
      </c>
      <c r="H7744" t="s">
        <v>28686</v>
      </c>
      <c r="I7744" t="s">
        <v>28689</v>
      </c>
      <c r="J7744" t="s">
        <v>33671</v>
      </c>
      <c r="K7744" t="s">
        <v>37220</v>
      </c>
      <c r="M7744" t="s">
        <v>37818</v>
      </c>
      <c r="N7744" t="s">
        <v>41249</v>
      </c>
      <c r="O7744" t="s">
        <v>41250</v>
      </c>
      <c r="P7744">
        <v>0</v>
      </c>
      <c r="Q7744">
        <v>0</v>
      </c>
      <c r="R7744" t="s">
        <v>41258</v>
      </c>
      <c r="S7744" t="s">
        <v>41513</v>
      </c>
      <c r="T7744" t="s">
        <v>42767</v>
      </c>
      <c r="U7744" t="s">
        <v>49576</v>
      </c>
      <c r="W7744" t="s">
        <v>37818</v>
      </c>
      <c r="X7744" t="s">
        <v>41260</v>
      </c>
    </row>
    <row r="7745" spans="1:24">
      <c r="A7745">
        <f>HYPERLINK("https://www.philgeps.gov.ph/GEPSNONPILOT/Tender/SplashBidNoticeAbstractUI.aspx?menuIndex=3&amp;refID=7063176&amp;Result=3","7063176")</f>
        <v>0</v>
      </c>
      <c r="B7745" t="s">
        <v>942</v>
      </c>
      <c r="C7745" t="s">
        <v>10772</v>
      </c>
      <c r="D7745" t="s">
        <v>16620</v>
      </c>
      <c r="E7745" t="s">
        <v>23497</v>
      </c>
      <c r="F7745" t="s">
        <v>28669</v>
      </c>
      <c r="G7745" t="s">
        <v>28675</v>
      </c>
      <c r="H7745" t="s">
        <v>9998</v>
      </c>
      <c r="I7745" t="s">
        <v>3718</v>
      </c>
      <c r="J7745" t="s">
        <v>28823</v>
      </c>
      <c r="K7745" t="s">
        <v>37206</v>
      </c>
      <c r="M7745" t="s">
        <v>38465</v>
      </c>
      <c r="N7745" t="s">
        <v>41249</v>
      </c>
      <c r="O7745" t="s">
        <v>41250</v>
      </c>
      <c r="P7745">
        <v>0</v>
      </c>
      <c r="Q7745">
        <v>9</v>
      </c>
      <c r="R7745" t="s">
        <v>41258</v>
      </c>
      <c r="S7745" t="s">
        <v>41513</v>
      </c>
      <c r="T7745" t="s">
        <v>42767</v>
      </c>
      <c r="U7745" t="s">
        <v>49577</v>
      </c>
      <c r="W7745" t="s">
        <v>38465</v>
      </c>
      <c r="X7745" t="s">
        <v>41260</v>
      </c>
    </row>
    <row r="7746" spans="1:24">
      <c r="A7746">
        <f>HYPERLINK("https://www.philgeps.gov.ph/GEPSNONPILOT/Tender/SplashBidNoticeAbstractUI.aspx?menuIndex=3&amp;refID=7062773&amp;Result=3","7062773")</f>
        <v>0</v>
      </c>
      <c r="B7746" t="s">
        <v>1679</v>
      </c>
      <c r="C7746" t="s">
        <v>7905</v>
      </c>
      <c r="D7746" t="s">
        <v>16608</v>
      </c>
      <c r="E7746" t="s">
        <v>23498</v>
      </c>
      <c r="F7746" t="s">
        <v>28669</v>
      </c>
      <c r="G7746" t="s">
        <v>28675</v>
      </c>
      <c r="H7746" t="s">
        <v>9998</v>
      </c>
      <c r="I7746" t="s">
        <v>5213</v>
      </c>
      <c r="J7746" t="s">
        <v>33672</v>
      </c>
      <c r="K7746" t="s">
        <v>37243</v>
      </c>
      <c r="M7746" t="s">
        <v>39273</v>
      </c>
      <c r="N7746" t="s">
        <v>41249</v>
      </c>
      <c r="O7746" t="s">
        <v>41250</v>
      </c>
      <c r="P7746">
        <v>0</v>
      </c>
      <c r="Q7746">
        <v>0</v>
      </c>
      <c r="R7746" t="s">
        <v>41258</v>
      </c>
      <c r="S7746" t="s">
        <v>41513</v>
      </c>
      <c r="T7746" t="s">
        <v>42883</v>
      </c>
      <c r="U7746" t="s">
        <v>49578</v>
      </c>
      <c r="W7746" t="s">
        <v>39273</v>
      </c>
      <c r="X7746" t="s">
        <v>41260</v>
      </c>
    </row>
    <row r="7747" spans="1:24">
      <c r="A7747">
        <f>HYPERLINK("https://www.philgeps.gov.ph/GEPSNONPILOT/Tender/SplashBidNoticeAbstractUI.aspx?menuIndex=3&amp;refID=7063955&amp;Result=3","7063955")</f>
        <v>0</v>
      </c>
      <c r="B7747" t="s">
        <v>2265</v>
      </c>
      <c r="C7747" t="s">
        <v>10773</v>
      </c>
      <c r="D7747" t="s">
        <v>16684</v>
      </c>
      <c r="E7747" t="s">
        <v>23499</v>
      </c>
      <c r="F7747" t="s">
        <v>28669</v>
      </c>
      <c r="G7747" t="s">
        <v>28675</v>
      </c>
      <c r="H7747" t="s">
        <v>28686</v>
      </c>
      <c r="I7747" t="s">
        <v>28689</v>
      </c>
      <c r="J7747" t="s">
        <v>33673</v>
      </c>
      <c r="K7747" t="s">
        <v>37209</v>
      </c>
      <c r="M7747" t="s">
        <v>40086</v>
      </c>
      <c r="N7747" t="s">
        <v>41249</v>
      </c>
      <c r="O7747" t="s">
        <v>41250</v>
      </c>
      <c r="P7747">
        <v>0</v>
      </c>
      <c r="Q7747">
        <v>0</v>
      </c>
      <c r="R7747" t="s">
        <v>41258</v>
      </c>
      <c r="S7747" t="s">
        <v>41513</v>
      </c>
      <c r="T7747" t="s">
        <v>42881</v>
      </c>
      <c r="U7747" t="s">
        <v>49579</v>
      </c>
      <c r="W7747" t="s">
        <v>40086</v>
      </c>
      <c r="X7747" t="s">
        <v>41260</v>
      </c>
    </row>
    <row r="7748" spans="1:24">
      <c r="A7748">
        <f>HYPERLINK("https://www.philgeps.gov.ph/GEPSNONPILOT/Tender/SplashBidNoticeAbstractUI.aspx?menuIndex=3&amp;refID=7063860&amp;Result=3","7063860")</f>
        <v>0</v>
      </c>
      <c r="B7748" t="s">
        <v>1212</v>
      </c>
      <c r="C7748" t="s">
        <v>10774</v>
      </c>
      <c r="D7748" t="s">
        <v>16678</v>
      </c>
      <c r="E7748" t="s">
        <v>23500</v>
      </c>
      <c r="F7748" t="s">
        <v>28669</v>
      </c>
      <c r="G7748" t="s">
        <v>28675</v>
      </c>
      <c r="H7748" t="s">
        <v>9998</v>
      </c>
      <c r="I7748" t="s">
        <v>5213</v>
      </c>
      <c r="J7748" t="s">
        <v>33674</v>
      </c>
      <c r="K7748" t="s">
        <v>37209</v>
      </c>
      <c r="M7748" t="s">
        <v>38753</v>
      </c>
      <c r="N7748" t="s">
        <v>41249</v>
      </c>
      <c r="O7748" t="s">
        <v>41250</v>
      </c>
      <c r="P7748">
        <v>0</v>
      </c>
      <c r="Q7748">
        <v>0</v>
      </c>
      <c r="R7748" t="s">
        <v>41258</v>
      </c>
      <c r="S7748" t="s">
        <v>41513</v>
      </c>
      <c r="T7748" t="s">
        <v>42837</v>
      </c>
      <c r="U7748" t="s">
        <v>49580</v>
      </c>
      <c r="V7748" t="s">
        <v>55135</v>
      </c>
      <c r="W7748" t="s">
        <v>38753</v>
      </c>
      <c r="X7748" t="s">
        <v>41260</v>
      </c>
    </row>
    <row r="7749" spans="1:24">
      <c r="A7749">
        <f>HYPERLINK("https://www.philgeps.gov.ph/GEPSNONPILOT/Tender/SplashBidNoticeAbstractUI.aspx?menuIndex=3&amp;refID=7063852&amp;Result=3","7063852")</f>
        <v>0</v>
      </c>
      <c r="B7749" t="s">
        <v>2171</v>
      </c>
      <c r="C7749" t="s">
        <v>10775</v>
      </c>
      <c r="D7749" t="s">
        <v>16621</v>
      </c>
      <c r="E7749" t="s">
        <v>23501</v>
      </c>
      <c r="F7749" t="s">
        <v>28669</v>
      </c>
      <c r="G7749" t="s">
        <v>28675</v>
      </c>
      <c r="H7749" t="s">
        <v>28686</v>
      </c>
      <c r="I7749" t="s">
        <v>28689</v>
      </c>
      <c r="J7749" t="s">
        <v>33675</v>
      </c>
      <c r="K7749" t="s">
        <v>37269</v>
      </c>
      <c r="M7749" t="s">
        <v>39820</v>
      </c>
      <c r="N7749" t="s">
        <v>41249</v>
      </c>
      <c r="O7749" t="s">
        <v>41250</v>
      </c>
      <c r="P7749">
        <v>0</v>
      </c>
      <c r="Q7749">
        <v>1</v>
      </c>
      <c r="R7749" t="s">
        <v>41258</v>
      </c>
      <c r="S7749" t="s">
        <v>41513</v>
      </c>
      <c r="T7749" t="s">
        <v>42658</v>
      </c>
      <c r="U7749" t="s">
        <v>49581</v>
      </c>
      <c r="W7749" t="s">
        <v>39820</v>
      </c>
      <c r="X7749" t="s">
        <v>41260</v>
      </c>
    </row>
    <row r="7750" spans="1:24">
      <c r="A7750">
        <f>HYPERLINK("https://www.philgeps.gov.ph/GEPSNONPILOT/Tender/SplashBidNoticeAbstractUI.aspx?menuIndex=3&amp;refID=7063982&amp;Result=3","7063982")</f>
        <v>0</v>
      </c>
      <c r="B7750" t="s">
        <v>2265</v>
      </c>
      <c r="C7750" t="s">
        <v>10776</v>
      </c>
      <c r="D7750" t="s">
        <v>16684</v>
      </c>
      <c r="E7750" t="s">
        <v>23502</v>
      </c>
      <c r="F7750" t="s">
        <v>28669</v>
      </c>
      <c r="G7750" t="s">
        <v>28675</v>
      </c>
      <c r="H7750" t="s">
        <v>28686</v>
      </c>
      <c r="I7750" t="s">
        <v>28689</v>
      </c>
      <c r="J7750" t="s">
        <v>33676</v>
      </c>
      <c r="K7750" t="s">
        <v>37209</v>
      </c>
      <c r="M7750" t="s">
        <v>40086</v>
      </c>
      <c r="N7750" t="s">
        <v>41249</v>
      </c>
      <c r="O7750" t="s">
        <v>41250</v>
      </c>
      <c r="P7750">
        <v>0</v>
      </c>
      <c r="Q7750">
        <v>0</v>
      </c>
      <c r="R7750" t="s">
        <v>41258</v>
      </c>
      <c r="S7750" t="s">
        <v>41513</v>
      </c>
      <c r="T7750" t="s">
        <v>42881</v>
      </c>
      <c r="U7750" t="s">
        <v>49579</v>
      </c>
      <c r="W7750" t="s">
        <v>40086</v>
      </c>
      <c r="X7750" t="s">
        <v>41260</v>
      </c>
    </row>
    <row r="7751" spans="1:24">
      <c r="A7751">
        <f>HYPERLINK("https://www.philgeps.gov.ph/GEPSNONPILOT/Tender/SplashBidNoticeAbstractUI.aspx?menuIndex=3&amp;refID=7063728&amp;Result=3","7063728")</f>
        <v>0</v>
      </c>
      <c r="B7751" t="s">
        <v>1212</v>
      </c>
      <c r="C7751" t="s">
        <v>10777</v>
      </c>
      <c r="D7751" t="s">
        <v>16678</v>
      </c>
      <c r="E7751" t="s">
        <v>23503</v>
      </c>
      <c r="F7751" t="s">
        <v>28669</v>
      </c>
      <c r="G7751" t="s">
        <v>28675</v>
      </c>
      <c r="H7751" t="s">
        <v>9998</v>
      </c>
      <c r="I7751" t="s">
        <v>7352</v>
      </c>
      <c r="J7751" t="s">
        <v>33665</v>
      </c>
      <c r="K7751" t="s">
        <v>37209</v>
      </c>
      <c r="M7751" t="s">
        <v>38753</v>
      </c>
      <c r="N7751" t="s">
        <v>41249</v>
      </c>
      <c r="O7751" t="s">
        <v>41250</v>
      </c>
      <c r="P7751">
        <v>0</v>
      </c>
      <c r="Q7751">
        <v>0</v>
      </c>
      <c r="R7751" t="s">
        <v>41258</v>
      </c>
      <c r="S7751" t="s">
        <v>41513</v>
      </c>
      <c r="T7751" t="s">
        <v>42837</v>
      </c>
      <c r="U7751" t="s">
        <v>49582</v>
      </c>
      <c r="V7751" t="s">
        <v>55136</v>
      </c>
      <c r="W7751" t="s">
        <v>38753</v>
      </c>
      <c r="X7751" t="s">
        <v>41260</v>
      </c>
    </row>
    <row r="7752" spans="1:24">
      <c r="A7752">
        <f>HYPERLINK("https://www.philgeps.gov.ph/GEPSNONPILOT/Tender/SplashBidNoticeAbstractUI.aspx?menuIndex=3&amp;refID=7063661&amp;Result=3","7063661")</f>
        <v>0</v>
      </c>
      <c r="B7752" t="s">
        <v>2405</v>
      </c>
      <c r="C7752" t="s">
        <v>10778</v>
      </c>
      <c r="D7752" t="s">
        <v>16626</v>
      </c>
      <c r="E7752" t="s">
        <v>23504</v>
      </c>
      <c r="F7752" t="s">
        <v>28669</v>
      </c>
      <c r="G7752" t="s">
        <v>28675</v>
      </c>
      <c r="H7752" t="s">
        <v>28686</v>
      </c>
      <c r="I7752" t="s">
        <v>28689</v>
      </c>
      <c r="J7752" t="s">
        <v>33677</v>
      </c>
      <c r="K7752" t="s">
        <v>37209</v>
      </c>
      <c r="M7752" t="s">
        <v>40087</v>
      </c>
      <c r="N7752" t="s">
        <v>41249</v>
      </c>
      <c r="O7752" t="s">
        <v>41250</v>
      </c>
      <c r="P7752">
        <v>0</v>
      </c>
      <c r="Q7752">
        <v>6</v>
      </c>
      <c r="R7752" t="s">
        <v>41258</v>
      </c>
      <c r="S7752" t="s">
        <v>41513</v>
      </c>
      <c r="T7752" t="s">
        <v>42755</v>
      </c>
      <c r="U7752" t="s">
        <v>49583</v>
      </c>
      <c r="V7752" t="s">
        <v>55137</v>
      </c>
      <c r="W7752" t="s">
        <v>40087</v>
      </c>
      <c r="X7752" t="s">
        <v>41260</v>
      </c>
    </row>
    <row r="7753" spans="1:24">
      <c r="A7753">
        <f>HYPERLINK("https://www.philgeps.gov.ph/GEPSNONPILOT/Tender/SplashBidNoticeAbstractUI.aspx?menuIndex=3&amp;refID=7063988&amp;Result=3","7063988")</f>
        <v>0</v>
      </c>
      <c r="B7753" t="s">
        <v>2230</v>
      </c>
      <c r="C7753" t="s">
        <v>10779</v>
      </c>
      <c r="D7753" t="s">
        <v>16647</v>
      </c>
      <c r="E7753" t="s">
        <v>22695</v>
      </c>
      <c r="F7753" t="s">
        <v>28669</v>
      </c>
      <c r="G7753" t="s">
        <v>28675</v>
      </c>
      <c r="H7753" t="s">
        <v>9998</v>
      </c>
      <c r="I7753" t="s">
        <v>7352</v>
      </c>
      <c r="J7753" t="s">
        <v>33678</v>
      </c>
      <c r="K7753" t="s">
        <v>37205</v>
      </c>
      <c r="M7753" t="s">
        <v>39883</v>
      </c>
      <c r="N7753" t="s">
        <v>41249</v>
      </c>
      <c r="O7753" t="s">
        <v>41250</v>
      </c>
      <c r="P7753">
        <v>0</v>
      </c>
      <c r="Q7753">
        <v>1</v>
      </c>
      <c r="R7753" t="s">
        <v>41258</v>
      </c>
      <c r="S7753" t="s">
        <v>41513</v>
      </c>
      <c r="T7753" t="s">
        <v>42760</v>
      </c>
      <c r="U7753" t="s">
        <v>49584</v>
      </c>
      <c r="W7753" t="s">
        <v>55983</v>
      </c>
      <c r="X7753" t="s">
        <v>41260</v>
      </c>
    </row>
    <row r="7754" spans="1:24">
      <c r="A7754">
        <f>HYPERLINK("https://www.philgeps.gov.ph/GEPSNONPILOT/Tender/SplashBidNoticeAbstractUI.aspx?menuIndex=3&amp;refID=7063970&amp;Result=3","7063970")</f>
        <v>0</v>
      </c>
      <c r="B7754" t="s">
        <v>2265</v>
      </c>
      <c r="C7754" t="s">
        <v>10780</v>
      </c>
      <c r="D7754" t="s">
        <v>16684</v>
      </c>
      <c r="E7754" t="s">
        <v>23505</v>
      </c>
      <c r="F7754" t="s">
        <v>28669</v>
      </c>
      <c r="G7754" t="s">
        <v>28675</v>
      </c>
      <c r="H7754" t="s">
        <v>28686</v>
      </c>
      <c r="I7754" t="s">
        <v>28689</v>
      </c>
      <c r="J7754" t="s">
        <v>33679</v>
      </c>
      <c r="K7754" t="s">
        <v>37209</v>
      </c>
      <c r="M7754" t="s">
        <v>40086</v>
      </c>
      <c r="N7754" t="s">
        <v>41249</v>
      </c>
      <c r="O7754" t="s">
        <v>41250</v>
      </c>
      <c r="P7754">
        <v>0</v>
      </c>
      <c r="Q7754">
        <v>0</v>
      </c>
      <c r="R7754" t="s">
        <v>41258</v>
      </c>
      <c r="S7754" t="s">
        <v>41513</v>
      </c>
      <c r="T7754" t="s">
        <v>42881</v>
      </c>
      <c r="U7754" t="s">
        <v>49579</v>
      </c>
      <c r="W7754" t="s">
        <v>40086</v>
      </c>
      <c r="X7754" t="s">
        <v>41260</v>
      </c>
    </row>
    <row r="7755" spans="1:24">
      <c r="A7755">
        <f>HYPERLINK("https://www.philgeps.gov.ph/GEPSNONPILOT/Tender/SplashBidNoticeAbstractUI.aspx?menuIndex=3&amp;refID=7063201&amp;Result=3","7063201")</f>
        <v>0</v>
      </c>
      <c r="B7755" t="s">
        <v>2406</v>
      </c>
      <c r="C7755" t="s">
        <v>10781</v>
      </c>
      <c r="D7755" t="s">
        <v>16661</v>
      </c>
      <c r="E7755" t="s">
        <v>23506</v>
      </c>
      <c r="F7755" t="s">
        <v>28669</v>
      </c>
      <c r="G7755" t="s">
        <v>28675</v>
      </c>
      <c r="H7755" t="s">
        <v>28686</v>
      </c>
      <c r="I7755" t="s">
        <v>28689</v>
      </c>
      <c r="J7755" t="s">
        <v>28889</v>
      </c>
      <c r="K7755" t="s">
        <v>37215</v>
      </c>
      <c r="M7755" t="s">
        <v>40088</v>
      </c>
      <c r="N7755" t="s">
        <v>41249</v>
      </c>
      <c r="O7755" t="s">
        <v>41250</v>
      </c>
      <c r="P7755">
        <v>0</v>
      </c>
      <c r="Q7755">
        <v>1</v>
      </c>
      <c r="R7755" t="s">
        <v>41258</v>
      </c>
      <c r="S7755" t="s">
        <v>41513</v>
      </c>
      <c r="T7755" t="s">
        <v>42755</v>
      </c>
      <c r="U7755" t="s">
        <v>49585</v>
      </c>
      <c r="W7755" t="s">
        <v>40088</v>
      </c>
      <c r="X7755" t="s">
        <v>41260</v>
      </c>
    </row>
    <row r="7756" spans="1:24">
      <c r="A7756">
        <f>HYPERLINK("https://www.philgeps.gov.ph/GEPSNONPILOT/Tender/SplashBidNoticeAbstractUI.aspx?menuIndex=3&amp;refID=7063884&amp;Result=3","7063884")</f>
        <v>0</v>
      </c>
      <c r="B7756" t="s">
        <v>2407</v>
      </c>
      <c r="C7756" t="s">
        <v>10782</v>
      </c>
      <c r="D7756" t="s">
        <v>16660</v>
      </c>
      <c r="E7756" t="s">
        <v>23507</v>
      </c>
      <c r="F7756" t="s">
        <v>28669</v>
      </c>
      <c r="G7756" t="s">
        <v>28675</v>
      </c>
      <c r="H7756" t="s">
        <v>9998</v>
      </c>
      <c r="I7756" t="s">
        <v>7352</v>
      </c>
      <c r="J7756" t="s">
        <v>28863</v>
      </c>
      <c r="K7756" t="s">
        <v>37210</v>
      </c>
      <c r="M7756" t="s">
        <v>40089</v>
      </c>
      <c r="N7756" t="s">
        <v>41249</v>
      </c>
      <c r="O7756" t="s">
        <v>41250</v>
      </c>
      <c r="P7756">
        <v>0</v>
      </c>
      <c r="Q7756">
        <v>4</v>
      </c>
      <c r="R7756" t="s">
        <v>41258</v>
      </c>
      <c r="S7756" t="s">
        <v>41513</v>
      </c>
      <c r="T7756" t="s">
        <v>42727</v>
      </c>
      <c r="U7756" t="s">
        <v>49586</v>
      </c>
      <c r="W7756" t="s">
        <v>40089</v>
      </c>
      <c r="X7756" t="s">
        <v>41260</v>
      </c>
    </row>
    <row r="7757" spans="1:24">
      <c r="A7757">
        <f>HYPERLINK("https://www.philgeps.gov.ph/GEPSNONPILOT/Tender/SplashBidNoticeAbstractUI.aspx?menuIndex=3&amp;refID=7064547&amp;Result=3","7064547")</f>
        <v>0</v>
      </c>
      <c r="B7757" t="s">
        <v>1225</v>
      </c>
      <c r="C7757" t="s">
        <v>10783</v>
      </c>
      <c r="D7757" t="s">
        <v>16613</v>
      </c>
      <c r="E7757" t="s">
        <v>23508</v>
      </c>
      <c r="F7757" t="s">
        <v>28669</v>
      </c>
      <c r="G7757" t="s">
        <v>28675</v>
      </c>
      <c r="H7757" t="s">
        <v>9998</v>
      </c>
      <c r="I7757" t="s">
        <v>28753</v>
      </c>
      <c r="J7757" t="s">
        <v>33680</v>
      </c>
      <c r="K7757" t="s">
        <v>37206</v>
      </c>
      <c r="M7757" t="s">
        <v>38768</v>
      </c>
      <c r="N7757" t="s">
        <v>41249</v>
      </c>
      <c r="O7757" t="s">
        <v>41250</v>
      </c>
      <c r="P7757">
        <v>0</v>
      </c>
      <c r="Q7757">
        <v>1</v>
      </c>
      <c r="R7757" t="s">
        <v>41258</v>
      </c>
      <c r="S7757" t="s">
        <v>41513</v>
      </c>
      <c r="T7757" t="s">
        <v>43057</v>
      </c>
      <c r="U7757" t="s">
        <v>49587</v>
      </c>
      <c r="W7757" t="s">
        <v>38768</v>
      </c>
      <c r="X7757" t="s">
        <v>41260</v>
      </c>
    </row>
    <row r="7758" spans="1:24">
      <c r="A7758">
        <f>HYPERLINK("https://www.philgeps.gov.ph/GEPSNONPILOT/Tender/SplashBidNoticeAbstractUI.aspx?menuIndex=3&amp;refID=7064541&amp;Result=3","7064541")</f>
        <v>0</v>
      </c>
      <c r="B7758" t="s">
        <v>1225</v>
      </c>
      <c r="C7758" t="s">
        <v>10784</v>
      </c>
      <c r="D7758" t="s">
        <v>16613</v>
      </c>
      <c r="E7758" t="s">
        <v>23509</v>
      </c>
      <c r="F7758" t="s">
        <v>28669</v>
      </c>
      <c r="G7758" t="s">
        <v>28675</v>
      </c>
      <c r="H7758" t="s">
        <v>9998</v>
      </c>
      <c r="I7758" t="s">
        <v>28706</v>
      </c>
      <c r="J7758" t="s">
        <v>33681</v>
      </c>
      <c r="K7758" t="s">
        <v>37221</v>
      </c>
      <c r="M7758" t="s">
        <v>38768</v>
      </c>
      <c r="N7758" t="s">
        <v>41249</v>
      </c>
      <c r="O7758" t="s">
        <v>41250</v>
      </c>
      <c r="P7758">
        <v>0</v>
      </c>
      <c r="Q7758">
        <v>6</v>
      </c>
      <c r="R7758" t="s">
        <v>41258</v>
      </c>
      <c r="S7758" t="s">
        <v>41513</v>
      </c>
      <c r="T7758" t="s">
        <v>43057</v>
      </c>
      <c r="U7758" t="s">
        <v>49588</v>
      </c>
      <c r="W7758" t="s">
        <v>38768</v>
      </c>
      <c r="X7758" t="s">
        <v>41260</v>
      </c>
    </row>
    <row r="7759" spans="1:24">
      <c r="A7759">
        <f>HYPERLINK("https://www.philgeps.gov.ph/GEPSNONPILOT/Tender/SplashBidNoticeAbstractUI.aspx?menuIndex=3&amp;refID=7063784&amp;Result=3","7063784")</f>
        <v>0</v>
      </c>
      <c r="B7759" t="s">
        <v>1212</v>
      </c>
      <c r="C7759" t="s">
        <v>10785</v>
      </c>
      <c r="D7759" t="s">
        <v>16678</v>
      </c>
      <c r="E7759" t="s">
        <v>23510</v>
      </c>
      <c r="F7759" t="s">
        <v>28669</v>
      </c>
      <c r="G7759" t="s">
        <v>28675</v>
      </c>
      <c r="H7759" t="s">
        <v>9998</v>
      </c>
      <c r="I7759" t="s">
        <v>5033</v>
      </c>
      <c r="J7759" t="s">
        <v>28845</v>
      </c>
      <c r="K7759" t="s">
        <v>37209</v>
      </c>
      <c r="M7759" t="s">
        <v>38753</v>
      </c>
      <c r="N7759" t="s">
        <v>41249</v>
      </c>
      <c r="O7759" t="s">
        <v>41250</v>
      </c>
      <c r="P7759">
        <v>0</v>
      </c>
      <c r="Q7759">
        <v>0</v>
      </c>
      <c r="R7759" t="s">
        <v>41258</v>
      </c>
      <c r="S7759" t="s">
        <v>41513</v>
      </c>
      <c r="T7759" t="s">
        <v>42837</v>
      </c>
      <c r="U7759" t="s">
        <v>49589</v>
      </c>
      <c r="V7759" t="s">
        <v>55138</v>
      </c>
      <c r="W7759" t="s">
        <v>38753</v>
      </c>
      <c r="X7759" t="s">
        <v>41260</v>
      </c>
    </row>
    <row r="7760" spans="1:24">
      <c r="A7760">
        <f>HYPERLINK("https://www.philgeps.gov.ph/GEPSNONPILOT/Tender/SplashBidNoticeAbstractUI.aspx?menuIndex=3&amp;refID=7064525&amp;Result=3","7064525")</f>
        <v>0</v>
      </c>
      <c r="B7760" t="s">
        <v>1225</v>
      </c>
      <c r="C7760" t="s">
        <v>10786</v>
      </c>
      <c r="D7760" t="s">
        <v>16613</v>
      </c>
      <c r="E7760" t="s">
        <v>23511</v>
      </c>
      <c r="F7760" t="s">
        <v>28669</v>
      </c>
      <c r="G7760" t="s">
        <v>28675</v>
      </c>
      <c r="H7760" t="s">
        <v>28686</v>
      </c>
      <c r="I7760" t="s">
        <v>28689</v>
      </c>
      <c r="J7760" t="s">
        <v>33682</v>
      </c>
      <c r="K7760" t="s">
        <v>37394</v>
      </c>
      <c r="M7760" t="s">
        <v>38768</v>
      </c>
      <c r="N7760" t="s">
        <v>41249</v>
      </c>
      <c r="O7760" t="s">
        <v>41250</v>
      </c>
      <c r="P7760">
        <v>0</v>
      </c>
      <c r="Q7760">
        <v>0</v>
      </c>
      <c r="R7760" t="s">
        <v>41258</v>
      </c>
      <c r="S7760" t="s">
        <v>41513</v>
      </c>
      <c r="T7760" t="s">
        <v>43057</v>
      </c>
      <c r="U7760" t="s">
        <v>49590</v>
      </c>
      <c r="W7760" t="s">
        <v>38768</v>
      </c>
      <c r="X7760" t="s">
        <v>41260</v>
      </c>
    </row>
    <row r="7761" spans="1:24">
      <c r="A7761">
        <f>HYPERLINK("https://www.philgeps.gov.ph/GEPSNONPILOT/Tender/SplashBidNoticeAbstractUI.aspx?menuIndex=3&amp;refID=7064518&amp;Result=3","7064518")</f>
        <v>0</v>
      </c>
      <c r="B7761" t="s">
        <v>1225</v>
      </c>
      <c r="C7761" t="s">
        <v>10787</v>
      </c>
      <c r="D7761" t="s">
        <v>16613</v>
      </c>
      <c r="E7761" t="s">
        <v>23512</v>
      </c>
      <c r="F7761" t="s">
        <v>28669</v>
      </c>
      <c r="G7761" t="s">
        <v>28675</v>
      </c>
      <c r="H7761" t="s">
        <v>28686</v>
      </c>
      <c r="I7761" t="s">
        <v>28689</v>
      </c>
      <c r="J7761" t="s">
        <v>33683</v>
      </c>
      <c r="K7761" t="s">
        <v>37297</v>
      </c>
      <c r="M7761" t="s">
        <v>38768</v>
      </c>
      <c r="N7761" t="s">
        <v>41249</v>
      </c>
      <c r="O7761" t="s">
        <v>41250</v>
      </c>
      <c r="P7761">
        <v>0</v>
      </c>
      <c r="Q7761">
        <v>0</v>
      </c>
      <c r="R7761" t="s">
        <v>41258</v>
      </c>
      <c r="S7761" t="s">
        <v>41513</v>
      </c>
      <c r="T7761" t="s">
        <v>43057</v>
      </c>
      <c r="U7761" t="s">
        <v>49591</v>
      </c>
      <c r="W7761" t="s">
        <v>38768</v>
      </c>
      <c r="X7761" t="s">
        <v>41260</v>
      </c>
    </row>
    <row r="7762" spans="1:24">
      <c r="A7762">
        <f>HYPERLINK("https://www.philgeps.gov.ph/GEPSNONPILOT/Tender/SplashBidNoticeAbstractUI.aspx?menuIndex=3&amp;refID=7064457&amp;Result=3","7064457")</f>
        <v>0</v>
      </c>
      <c r="B7762" t="s">
        <v>2408</v>
      </c>
      <c r="C7762" t="s">
        <v>10788</v>
      </c>
      <c r="D7762" t="s">
        <v>16616</v>
      </c>
      <c r="E7762" t="s">
        <v>23513</v>
      </c>
      <c r="F7762" t="s">
        <v>28669</v>
      </c>
      <c r="G7762" t="s">
        <v>28675</v>
      </c>
      <c r="H7762" t="s">
        <v>9998</v>
      </c>
      <c r="I7762" t="s">
        <v>7352</v>
      </c>
      <c r="J7762" t="s">
        <v>33684</v>
      </c>
      <c r="K7762" t="s">
        <v>37227</v>
      </c>
      <c r="M7762" t="s">
        <v>40090</v>
      </c>
      <c r="N7762" t="s">
        <v>41249</v>
      </c>
      <c r="O7762" t="s">
        <v>41250</v>
      </c>
      <c r="P7762">
        <v>0</v>
      </c>
      <c r="Q7762">
        <v>2</v>
      </c>
      <c r="R7762" t="s">
        <v>41258</v>
      </c>
      <c r="S7762" t="s">
        <v>41513</v>
      </c>
      <c r="T7762" t="s">
        <v>42739</v>
      </c>
      <c r="U7762" t="s">
        <v>45235</v>
      </c>
      <c r="V7762" t="s">
        <v>55139</v>
      </c>
      <c r="W7762" t="s">
        <v>40090</v>
      </c>
      <c r="X7762" t="s">
        <v>41260</v>
      </c>
    </row>
    <row r="7763" spans="1:24">
      <c r="A7763">
        <f>HYPERLINK("https://www.philgeps.gov.ph/GEPSNONPILOT/Tender/SplashBidNoticeAbstractUI.aspx?menuIndex=3&amp;refID=7064412&amp;Result=3","7064412")</f>
        <v>0</v>
      </c>
      <c r="B7763" t="s">
        <v>2409</v>
      </c>
      <c r="C7763" t="s">
        <v>10789</v>
      </c>
      <c r="D7763" t="s">
        <v>16608</v>
      </c>
      <c r="E7763" t="s">
        <v>23514</v>
      </c>
      <c r="F7763" t="s">
        <v>28669</v>
      </c>
      <c r="G7763" t="s">
        <v>28675</v>
      </c>
      <c r="H7763" t="s">
        <v>9998</v>
      </c>
      <c r="I7763" t="s">
        <v>28690</v>
      </c>
      <c r="J7763" t="s">
        <v>33685</v>
      </c>
      <c r="K7763" t="s">
        <v>37204</v>
      </c>
      <c r="M7763" t="s">
        <v>40091</v>
      </c>
      <c r="N7763" t="s">
        <v>41249</v>
      </c>
      <c r="O7763" t="s">
        <v>41250</v>
      </c>
      <c r="P7763">
        <v>0</v>
      </c>
      <c r="Q7763">
        <v>8</v>
      </c>
      <c r="R7763" t="s">
        <v>41258</v>
      </c>
      <c r="S7763" t="s">
        <v>41513</v>
      </c>
      <c r="T7763" t="s">
        <v>42911</v>
      </c>
      <c r="U7763" t="s">
        <v>49592</v>
      </c>
      <c r="W7763" t="s">
        <v>40091</v>
      </c>
      <c r="X7763" t="s">
        <v>41260</v>
      </c>
    </row>
    <row r="7764" spans="1:24">
      <c r="A7764">
        <f>HYPERLINK("https://www.philgeps.gov.ph/GEPSNONPILOT/Tender/SplashBidNoticeAbstractUI.aspx?menuIndex=3&amp;refID=7064405&amp;Result=3","7064405")</f>
        <v>0</v>
      </c>
      <c r="B7764" t="s">
        <v>2409</v>
      </c>
      <c r="C7764" t="s">
        <v>10790</v>
      </c>
      <c r="D7764" t="s">
        <v>16608</v>
      </c>
      <c r="E7764" t="s">
        <v>23515</v>
      </c>
      <c r="F7764" t="s">
        <v>28669</v>
      </c>
      <c r="G7764" t="s">
        <v>28675</v>
      </c>
      <c r="H7764" t="s">
        <v>9998</v>
      </c>
      <c r="I7764" t="s">
        <v>6458</v>
      </c>
      <c r="J7764" t="s">
        <v>33686</v>
      </c>
      <c r="K7764" t="s">
        <v>37204</v>
      </c>
      <c r="M7764" t="s">
        <v>40091</v>
      </c>
      <c r="N7764" t="s">
        <v>41249</v>
      </c>
      <c r="O7764" t="s">
        <v>41250</v>
      </c>
      <c r="P7764">
        <v>0</v>
      </c>
      <c r="Q7764">
        <v>1</v>
      </c>
      <c r="R7764" t="s">
        <v>41258</v>
      </c>
      <c r="S7764" t="s">
        <v>41513</v>
      </c>
      <c r="T7764" t="s">
        <v>42911</v>
      </c>
      <c r="U7764" t="s">
        <v>49593</v>
      </c>
      <c r="W7764" t="s">
        <v>40091</v>
      </c>
      <c r="X7764" t="s">
        <v>41260</v>
      </c>
    </row>
    <row r="7765" spans="1:24">
      <c r="A7765">
        <f>HYPERLINK("https://www.philgeps.gov.ph/GEPSNONPILOT/Tender/SplashBidNoticeAbstractUI.aspx?menuIndex=3&amp;refID=7064037&amp;Result=3","7064037")</f>
        <v>0</v>
      </c>
      <c r="B7765" t="s">
        <v>1522</v>
      </c>
      <c r="C7765" t="s">
        <v>10791</v>
      </c>
      <c r="D7765" t="s">
        <v>16686</v>
      </c>
      <c r="E7765" t="s">
        <v>23516</v>
      </c>
      <c r="F7765" t="s">
        <v>28669</v>
      </c>
      <c r="G7765" t="s">
        <v>28675</v>
      </c>
      <c r="H7765" t="s">
        <v>9998</v>
      </c>
      <c r="I7765" t="s">
        <v>6128</v>
      </c>
      <c r="J7765" t="s">
        <v>33687</v>
      </c>
      <c r="K7765" t="s">
        <v>37210</v>
      </c>
      <c r="M7765" t="s">
        <v>39573</v>
      </c>
      <c r="N7765" t="s">
        <v>41249</v>
      </c>
      <c r="O7765" t="s">
        <v>41250</v>
      </c>
      <c r="P7765">
        <v>0</v>
      </c>
      <c r="Q7765">
        <v>0</v>
      </c>
      <c r="R7765" t="s">
        <v>41258</v>
      </c>
      <c r="S7765" t="s">
        <v>41513</v>
      </c>
      <c r="T7765" t="s">
        <v>42663</v>
      </c>
      <c r="U7765" t="s">
        <v>49594</v>
      </c>
      <c r="W7765" t="s">
        <v>39573</v>
      </c>
      <c r="X7765" t="s">
        <v>41260</v>
      </c>
    </row>
    <row r="7766" spans="1:24">
      <c r="A7766">
        <f>HYPERLINK("https://www.philgeps.gov.ph/GEPSNONPILOT/Tender/SplashBidNoticeAbstractUI.aspx?menuIndex=3&amp;refID=7064376&amp;Result=3","7064376")</f>
        <v>0</v>
      </c>
      <c r="B7766" t="s">
        <v>2409</v>
      </c>
      <c r="C7766" t="s">
        <v>10790</v>
      </c>
      <c r="D7766" t="s">
        <v>16608</v>
      </c>
      <c r="E7766" t="s">
        <v>23517</v>
      </c>
      <c r="F7766" t="s">
        <v>28669</v>
      </c>
      <c r="G7766" t="s">
        <v>28675</v>
      </c>
      <c r="H7766" t="s">
        <v>9998</v>
      </c>
      <c r="I7766" t="s">
        <v>6458</v>
      </c>
      <c r="J7766" t="s">
        <v>33686</v>
      </c>
      <c r="K7766" t="s">
        <v>37204</v>
      </c>
      <c r="M7766" t="s">
        <v>40091</v>
      </c>
      <c r="N7766" t="s">
        <v>41249</v>
      </c>
      <c r="O7766" t="s">
        <v>41250</v>
      </c>
      <c r="P7766">
        <v>0</v>
      </c>
      <c r="Q7766">
        <v>1</v>
      </c>
      <c r="R7766" t="s">
        <v>41258</v>
      </c>
      <c r="S7766" t="s">
        <v>41513</v>
      </c>
      <c r="T7766" t="s">
        <v>42911</v>
      </c>
      <c r="U7766" t="s">
        <v>49592</v>
      </c>
      <c r="W7766" t="s">
        <v>40091</v>
      </c>
      <c r="X7766" t="s">
        <v>41260</v>
      </c>
    </row>
    <row r="7767" spans="1:24">
      <c r="A7767">
        <f>HYPERLINK("https://www.philgeps.gov.ph/GEPSNONPILOT/Tender/SplashBidNoticeAbstractUI.aspx?menuIndex=3&amp;refID=7064370&amp;Result=3","7064370")</f>
        <v>0</v>
      </c>
      <c r="B7767" t="s">
        <v>2409</v>
      </c>
      <c r="C7767" t="s">
        <v>10792</v>
      </c>
      <c r="D7767" t="s">
        <v>16608</v>
      </c>
      <c r="E7767" t="s">
        <v>23518</v>
      </c>
      <c r="F7767" t="s">
        <v>28669</v>
      </c>
      <c r="G7767" t="s">
        <v>28675</v>
      </c>
      <c r="H7767" t="s">
        <v>9998</v>
      </c>
      <c r="I7767" t="s">
        <v>28688</v>
      </c>
      <c r="J7767" t="s">
        <v>33688</v>
      </c>
      <c r="K7767" t="s">
        <v>37204</v>
      </c>
      <c r="M7767" t="s">
        <v>40091</v>
      </c>
      <c r="N7767" t="s">
        <v>41249</v>
      </c>
      <c r="O7767" t="s">
        <v>41250</v>
      </c>
      <c r="P7767">
        <v>0</v>
      </c>
      <c r="Q7767">
        <v>0</v>
      </c>
      <c r="R7767" t="s">
        <v>41258</v>
      </c>
      <c r="S7767" t="s">
        <v>41513</v>
      </c>
      <c r="T7767" t="s">
        <v>42911</v>
      </c>
      <c r="U7767" t="s">
        <v>49593</v>
      </c>
      <c r="W7767" t="s">
        <v>40091</v>
      </c>
      <c r="X7767" t="s">
        <v>41260</v>
      </c>
    </row>
    <row r="7768" spans="1:24">
      <c r="A7768">
        <f>HYPERLINK("https://www.philgeps.gov.ph/GEPSNONPILOT/Tender/SplashBidNoticeAbstractUI.aspx?menuIndex=3&amp;refID=7064359&amp;Result=3","7064359")</f>
        <v>0</v>
      </c>
      <c r="B7768" t="s">
        <v>2409</v>
      </c>
      <c r="C7768" t="s">
        <v>10792</v>
      </c>
      <c r="D7768" t="s">
        <v>16608</v>
      </c>
      <c r="E7768" t="s">
        <v>23519</v>
      </c>
      <c r="F7768" t="s">
        <v>28669</v>
      </c>
      <c r="G7768" t="s">
        <v>28675</v>
      </c>
      <c r="H7768" t="s">
        <v>9998</v>
      </c>
      <c r="I7768" t="s">
        <v>28688</v>
      </c>
      <c r="J7768" t="s">
        <v>33688</v>
      </c>
      <c r="K7768" t="s">
        <v>37204</v>
      </c>
      <c r="M7768" t="s">
        <v>40091</v>
      </c>
      <c r="N7768" t="s">
        <v>41249</v>
      </c>
      <c r="O7768" t="s">
        <v>41250</v>
      </c>
      <c r="P7768">
        <v>0</v>
      </c>
      <c r="Q7768">
        <v>1</v>
      </c>
      <c r="R7768" t="s">
        <v>41258</v>
      </c>
      <c r="S7768" t="s">
        <v>41513</v>
      </c>
      <c r="T7768" t="s">
        <v>42911</v>
      </c>
      <c r="U7768" t="s">
        <v>49593</v>
      </c>
      <c r="W7768" t="s">
        <v>40091</v>
      </c>
      <c r="X7768" t="s">
        <v>41260</v>
      </c>
    </row>
    <row r="7769" spans="1:24">
      <c r="A7769">
        <f>HYPERLINK("https://www.philgeps.gov.ph/GEPSNONPILOT/Tender/SplashBidNoticeAbstractUI.aspx?menuIndex=3&amp;refID=7064354&amp;Result=3","7064354")</f>
        <v>0</v>
      </c>
      <c r="B7769" t="s">
        <v>2409</v>
      </c>
      <c r="C7769" t="s">
        <v>10793</v>
      </c>
      <c r="D7769" t="s">
        <v>16608</v>
      </c>
      <c r="E7769" t="s">
        <v>23520</v>
      </c>
      <c r="F7769" t="s">
        <v>28669</v>
      </c>
      <c r="G7769" t="s">
        <v>28675</v>
      </c>
      <c r="H7769" t="s">
        <v>9998</v>
      </c>
      <c r="I7769" t="s">
        <v>15140</v>
      </c>
      <c r="J7769" t="s">
        <v>33689</v>
      </c>
      <c r="K7769" t="s">
        <v>37204</v>
      </c>
      <c r="M7769" t="s">
        <v>40091</v>
      </c>
      <c r="N7769" t="s">
        <v>41249</v>
      </c>
      <c r="O7769" t="s">
        <v>41250</v>
      </c>
      <c r="P7769">
        <v>0</v>
      </c>
      <c r="Q7769">
        <v>1</v>
      </c>
      <c r="R7769" t="s">
        <v>41258</v>
      </c>
      <c r="S7769" t="s">
        <v>41513</v>
      </c>
      <c r="T7769" t="s">
        <v>42911</v>
      </c>
      <c r="U7769" t="s">
        <v>49593</v>
      </c>
      <c r="W7769" t="s">
        <v>40091</v>
      </c>
      <c r="X7769" t="s">
        <v>41260</v>
      </c>
    </row>
    <row r="7770" spans="1:24">
      <c r="A7770">
        <f>HYPERLINK("https://www.philgeps.gov.ph/GEPSNONPILOT/Tender/SplashBidNoticeAbstractUI.aspx?menuIndex=3&amp;refID=7064224&amp;Result=3","7064224")</f>
        <v>0</v>
      </c>
      <c r="B7770" t="s">
        <v>2410</v>
      </c>
      <c r="C7770" t="s">
        <v>10794</v>
      </c>
      <c r="D7770" t="s">
        <v>16672</v>
      </c>
      <c r="E7770" t="s">
        <v>17029</v>
      </c>
      <c r="F7770" t="s">
        <v>28669</v>
      </c>
      <c r="G7770" t="s">
        <v>28675</v>
      </c>
      <c r="H7770" t="s">
        <v>28686</v>
      </c>
      <c r="I7770" t="s">
        <v>28689</v>
      </c>
      <c r="J7770" t="s">
        <v>33690</v>
      </c>
      <c r="K7770" t="s">
        <v>37229</v>
      </c>
      <c r="M7770" t="s">
        <v>40092</v>
      </c>
      <c r="N7770" t="s">
        <v>41249</v>
      </c>
      <c r="O7770" t="s">
        <v>41250</v>
      </c>
      <c r="P7770">
        <v>0</v>
      </c>
      <c r="Q7770">
        <v>0</v>
      </c>
      <c r="R7770" t="s">
        <v>41258</v>
      </c>
      <c r="S7770" t="s">
        <v>41513</v>
      </c>
      <c r="T7770" t="s">
        <v>42668</v>
      </c>
      <c r="U7770" t="s">
        <v>49595</v>
      </c>
      <c r="V7770" t="s">
        <v>55140</v>
      </c>
      <c r="W7770" t="s">
        <v>40092</v>
      </c>
      <c r="X7770" t="s">
        <v>41260</v>
      </c>
    </row>
    <row r="7771" spans="1:24">
      <c r="A7771">
        <f>HYPERLINK("https://www.philgeps.gov.ph/GEPSNONPILOT/Tender/SplashBidNoticeAbstractUI.aspx?menuIndex=3&amp;refID=7064486&amp;Result=3","7064486")</f>
        <v>0</v>
      </c>
      <c r="B7771" t="s">
        <v>2408</v>
      </c>
      <c r="C7771" t="s">
        <v>10795</v>
      </c>
      <c r="D7771" t="s">
        <v>16616</v>
      </c>
      <c r="E7771" t="s">
        <v>23521</v>
      </c>
      <c r="F7771" t="s">
        <v>28669</v>
      </c>
      <c r="G7771" t="s">
        <v>28675</v>
      </c>
      <c r="H7771" t="s">
        <v>9998</v>
      </c>
      <c r="I7771" t="s">
        <v>7352</v>
      </c>
      <c r="J7771" t="s">
        <v>33691</v>
      </c>
      <c r="K7771" t="s">
        <v>37227</v>
      </c>
      <c r="M7771" t="s">
        <v>40090</v>
      </c>
      <c r="N7771" t="s">
        <v>41249</v>
      </c>
      <c r="O7771" t="s">
        <v>41250</v>
      </c>
      <c r="P7771">
        <v>0</v>
      </c>
      <c r="Q7771">
        <v>1</v>
      </c>
      <c r="R7771" t="s">
        <v>41258</v>
      </c>
      <c r="S7771" t="s">
        <v>41513</v>
      </c>
      <c r="T7771" t="s">
        <v>42739</v>
      </c>
      <c r="U7771" t="s">
        <v>49596</v>
      </c>
      <c r="V7771" t="s">
        <v>55139</v>
      </c>
      <c r="W7771" t="s">
        <v>40090</v>
      </c>
      <c r="X7771" t="s">
        <v>41260</v>
      </c>
    </row>
    <row r="7772" spans="1:24">
      <c r="A7772">
        <f>HYPERLINK("https://www.philgeps.gov.ph/GEPSNONPILOT/Tender/SplashBidNoticeAbstractUI.aspx?menuIndex=3&amp;refID=7064388&amp;Result=3","7064388")</f>
        <v>0</v>
      </c>
      <c r="B7772" t="s">
        <v>2409</v>
      </c>
      <c r="C7772" t="s">
        <v>10790</v>
      </c>
      <c r="D7772" t="s">
        <v>16608</v>
      </c>
      <c r="E7772" t="s">
        <v>23522</v>
      </c>
      <c r="F7772" t="s">
        <v>28669</v>
      </c>
      <c r="G7772" t="s">
        <v>28675</v>
      </c>
      <c r="H7772" t="s">
        <v>9998</v>
      </c>
      <c r="I7772" t="s">
        <v>6458</v>
      </c>
      <c r="J7772" t="s">
        <v>33686</v>
      </c>
      <c r="K7772" t="s">
        <v>37204</v>
      </c>
      <c r="M7772" t="s">
        <v>40091</v>
      </c>
      <c r="N7772" t="s">
        <v>41249</v>
      </c>
      <c r="O7772" t="s">
        <v>41250</v>
      </c>
      <c r="P7772">
        <v>0</v>
      </c>
      <c r="Q7772">
        <v>0</v>
      </c>
      <c r="R7772" t="s">
        <v>41258</v>
      </c>
      <c r="S7772" t="s">
        <v>41513</v>
      </c>
      <c r="T7772" t="s">
        <v>42911</v>
      </c>
      <c r="U7772" t="s">
        <v>49593</v>
      </c>
      <c r="W7772" t="s">
        <v>40091</v>
      </c>
      <c r="X7772" t="s">
        <v>41260</v>
      </c>
    </row>
    <row r="7773" spans="1:24">
      <c r="A7773">
        <f>HYPERLINK("https://www.philgeps.gov.ph/GEPSNONPILOT/Tender/SplashBidNoticeAbstractUI.aspx?menuIndex=3&amp;refID=7063614&amp;Result=3","7063614")</f>
        <v>0</v>
      </c>
      <c r="B7773" t="s">
        <v>1212</v>
      </c>
      <c r="C7773" t="s">
        <v>10796</v>
      </c>
      <c r="D7773" t="s">
        <v>16678</v>
      </c>
      <c r="E7773" t="s">
        <v>23523</v>
      </c>
      <c r="F7773" t="s">
        <v>28669</v>
      </c>
      <c r="G7773" t="s">
        <v>28675</v>
      </c>
      <c r="H7773" t="s">
        <v>9998</v>
      </c>
      <c r="I7773" t="s">
        <v>7352</v>
      </c>
      <c r="J7773" t="s">
        <v>33665</v>
      </c>
      <c r="K7773" t="s">
        <v>37209</v>
      </c>
      <c r="M7773" t="s">
        <v>38753</v>
      </c>
      <c r="N7773" t="s">
        <v>41249</v>
      </c>
      <c r="O7773" t="s">
        <v>41250</v>
      </c>
      <c r="P7773">
        <v>0</v>
      </c>
      <c r="Q7773">
        <v>0</v>
      </c>
      <c r="R7773" t="s">
        <v>41258</v>
      </c>
      <c r="S7773" t="s">
        <v>41513</v>
      </c>
      <c r="T7773" t="s">
        <v>42837</v>
      </c>
      <c r="U7773" t="s">
        <v>49597</v>
      </c>
      <c r="V7773" t="s">
        <v>55141</v>
      </c>
      <c r="W7773" t="s">
        <v>38753</v>
      </c>
      <c r="X7773" t="s">
        <v>41260</v>
      </c>
    </row>
    <row r="7774" spans="1:24">
      <c r="A7774">
        <f>HYPERLINK("https://www.philgeps.gov.ph/GEPSNONPILOT/Tender/SplashBidNoticeAbstractUI.aspx?menuIndex=3&amp;refID=7064348&amp;Result=3","7064348")</f>
        <v>0</v>
      </c>
      <c r="B7774" t="s">
        <v>2409</v>
      </c>
      <c r="C7774" t="s">
        <v>10793</v>
      </c>
      <c r="D7774" t="s">
        <v>16608</v>
      </c>
      <c r="E7774" t="s">
        <v>23524</v>
      </c>
      <c r="F7774" t="s">
        <v>28669</v>
      </c>
      <c r="G7774" t="s">
        <v>28675</v>
      </c>
      <c r="H7774" t="s">
        <v>9998</v>
      </c>
      <c r="I7774" t="s">
        <v>15140</v>
      </c>
      <c r="J7774" t="s">
        <v>33692</v>
      </c>
      <c r="K7774" t="s">
        <v>37204</v>
      </c>
      <c r="M7774" t="s">
        <v>40091</v>
      </c>
      <c r="N7774" t="s">
        <v>41249</v>
      </c>
      <c r="O7774" t="s">
        <v>41250</v>
      </c>
      <c r="P7774">
        <v>0</v>
      </c>
      <c r="Q7774">
        <v>1</v>
      </c>
      <c r="R7774" t="s">
        <v>41258</v>
      </c>
      <c r="S7774" t="s">
        <v>41513</v>
      </c>
      <c r="T7774" t="s">
        <v>42911</v>
      </c>
      <c r="U7774" t="s">
        <v>49593</v>
      </c>
      <c r="W7774" t="s">
        <v>40091</v>
      </c>
      <c r="X7774" t="s">
        <v>41260</v>
      </c>
    </row>
    <row r="7775" spans="1:24">
      <c r="A7775">
        <f>HYPERLINK("https://www.philgeps.gov.ph/GEPSNONPILOT/Tender/SplashBidNoticeAbstractUI.aspx?menuIndex=3&amp;refID=7064638&amp;Result=3","7064638")</f>
        <v>0</v>
      </c>
      <c r="B7775" t="s">
        <v>986</v>
      </c>
      <c r="C7775" t="s">
        <v>10797</v>
      </c>
      <c r="D7775" t="s">
        <v>16620</v>
      </c>
      <c r="E7775" t="s">
        <v>23525</v>
      </c>
      <c r="F7775" t="s">
        <v>28669</v>
      </c>
      <c r="G7775" t="s">
        <v>28675</v>
      </c>
      <c r="H7775" t="s">
        <v>9998</v>
      </c>
      <c r="I7775" t="s">
        <v>6458</v>
      </c>
      <c r="J7775" t="s">
        <v>33693</v>
      </c>
      <c r="K7775" t="s">
        <v>37206</v>
      </c>
      <c r="M7775" t="s">
        <v>38900</v>
      </c>
      <c r="N7775" t="s">
        <v>41249</v>
      </c>
      <c r="O7775" t="s">
        <v>41250</v>
      </c>
      <c r="P7775">
        <v>0</v>
      </c>
      <c r="Q7775">
        <v>0</v>
      </c>
      <c r="R7775" t="s">
        <v>41258</v>
      </c>
      <c r="S7775" t="s">
        <v>41513</v>
      </c>
      <c r="T7775" t="s">
        <v>42728</v>
      </c>
      <c r="U7775" t="s">
        <v>45210</v>
      </c>
      <c r="V7775" t="s">
        <v>54542</v>
      </c>
      <c r="W7775" t="s">
        <v>38900</v>
      </c>
      <c r="X7775" t="s">
        <v>41259</v>
      </c>
    </row>
    <row r="7776" spans="1:24">
      <c r="A7776">
        <f>HYPERLINK("https://www.philgeps.gov.ph/GEPSNONPILOT/Tender/SplashBidNoticeAbstractUI.aspx?menuIndex=3&amp;refID=7064637&amp;Result=3","7064637")</f>
        <v>0</v>
      </c>
      <c r="B7776" t="s">
        <v>1945</v>
      </c>
      <c r="C7776" t="s">
        <v>10798</v>
      </c>
      <c r="D7776" t="s">
        <v>16674</v>
      </c>
      <c r="E7776" t="s">
        <v>23526</v>
      </c>
      <c r="F7776" t="s">
        <v>28669</v>
      </c>
      <c r="G7776" t="s">
        <v>28675</v>
      </c>
      <c r="H7776" t="s">
        <v>9998</v>
      </c>
      <c r="I7776" t="s">
        <v>28719</v>
      </c>
      <c r="J7776" t="s">
        <v>32747</v>
      </c>
      <c r="K7776" t="s">
        <v>37205</v>
      </c>
      <c r="M7776" t="s">
        <v>39574</v>
      </c>
      <c r="N7776" t="s">
        <v>41249</v>
      </c>
      <c r="O7776" t="s">
        <v>41250</v>
      </c>
      <c r="P7776">
        <v>0</v>
      </c>
      <c r="Q7776">
        <v>3</v>
      </c>
      <c r="R7776" t="s">
        <v>41258</v>
      </c>
      <c r="S7776" t="s">
        <v>41513</v>
      </c>
      <c r="T7776" t="s">
        <v>42728</v>
      </c>
      <c r="U7776" t="s">
        <v>49598</v>
      </c>
      <c r="W7776" t="s">
        <v>39574</v>
      </c>
      <c r="X7776" t="s">
        <v>41259</v>
      </c>
    </row>
    <row r="7777" spans="1:24">
      <c r="A7777">
        <f>HYPERLINK("https://www.philgeps.gov.ph/GEPSNONPILOT/Tender/SplashBidNoticeAbstractUI.aspx?menuIndex=3&amp;refID=7064419&amp;Result=3","7064419")</f>
        <v>0</v>
      </c>
      <c r="B7777" t="s">
        <v>2409</v>
      </c>
      <c r="C7777" t="s">
        <v>10799</v>
      </c>
      <c r="D7777" t="s">
        <v>16608</v>
      </c>
      <c r="E7777" t="s">
        <v>23527</v>
      </c>
      <c r="F7777" t="s">
        <v>28669</v>
      </c>
      <c r="G7777" t="s">
        <v>28675</v>
      </c>
      <c r="H7777" t="s">
        <v>9998</v>
      </c>
      <c r="I7777" t="s">
        <v>3679</v>
      </c>
      <c r="J7777" t="s">
        <v>33694</v>
      </c>
      <c r="K7777" t="s">
        <v>37204</v>
      </c>
      <c r="M7777" t="s">
        <v>40091</v>
      </c>
      <c r="N7777" t="s">
        <v>41249</v>
      </c>
      <c r="O7777" t="s">
        <v>41250</v>
      </c>
      <c r="P7777">
        <v>0</v>
      </c>
      <c r="Q7777">
        <v>0</v>
      </c>
      <c r="R7777" t="s">
        <v>41258</v>
      </c>
      <c r="S7777" t="s">
        <v>41513</v>
      </c>
      <c r="T7777" t="s">
        <v>42911</v>
      </c>
      <c r="U7777" t="s">
        <v>49593</v>
      </c>
      <c r="W7777" t="s">
        <v>40091</v>
      </c>
      <c r="X7777" t="s">
        <v>41260</v>
      </c>
    </row>
    <row r="7778" spans="1:24">
      <c r="A7778">
        <f>HYPERLINK("https://www.philgeps.gov.ph/GEPSNONPILOT/Tender/SplashBidNoticeAbstractUI.aspx?menuIndex=3&amp;refID=7064043&amp;Result=3","7064043")</f>
        <v>0</v>
      </c>
      <c r="B7778" t="s">
        <v>1472</v>
      </c>
      <c r="C7778" t="s">
        <v>10800</v>
      </c>
      <c r="D7778" t="s">
        <v>16630</v>
      </c>
      <c r="E7778" t="s">
        <v>23528</v>
      </c>
      <c r="F7778" t="s">
        <v>28669</v>
      </c>
      <c r="G7778" t="s">
        <v>28675</v>
      </c>
      <c r="H7778" t="s">
        <v>9998</v>
      </c>
      <c r="I7778" t="s">
        <v>28687</v>
      </c>
      <c r="J7778" t="s">
        <v>30815</v>
      </c>
      <c r="K7778" t="s">
        <v>37220</v>
      </c>
      <c r="M7778" t="s">
        <v>39040</v>
      </c>
      <c r="N7778" t="s">
        <v>41249</v>
      </c>
      <c r="O7778" t="s">
        <v>41250</v>
      </c>
      <c r="P7778">
        <v>0</v>
      </c>
      <c r="Q7778">
        <v>6</v>
      </c>
      <c r="R7778" t="s">
        <v>41258</v>
      </c>
      <c r="S7778" t="s">
        <v>41513</v>
      </c>
      <c r="T7778" t="s">
        <v>43027</v>
      </c>
      <c r="U7778" t="s">
        <v>49599</v>
      </c>
      <c r="V7778" t="s">
        <v>55142</v>
      </c>
      <c r="W7778" t="s">
        <v>39040</v>
      </c>
      <c r="X7778" t="s">
        <v>41260</v>
      </c>
    </row>
    <row r="7779" spans="1:24">
      <c r="A7779">
        <f>HYPERLINK("https://www.philgeps.gov.ph/GEPSNONPILOT/Tender/SplashBidNoticeAbstractUI.aspx?menuIndex=3&amp;refID=7064629&amp;Result=3","7064629")</f>
        <v>0</v>
      </c>
      <c r="B7779" t="s">
        <v>1716</v>
      </c>
      <c r="C7779" t="s">
        <v>10801</v>
      </c>
      <c r="D7779" t="s">
        <v>16675</v>
      </c>
      <c r="E7779" t="s">
        <v>23529</v>
      </c>
      <c r="F7779" t="s">
        <v>28669</v>
      </c>
      <c r="G7779" t="s">
        <v>28677</v>
      </c>
      <c r="H7779" t="s">
        <v>9998</v>
      </c>
      <c r="I7779" t="s">
        <v>28695</v>
      </c>
      <c r="J7779" t="s">
        <v>33695</v>
      </c>
      <c r="K7779" t="s">
        <v>37205</v>
      </c>
      <c r="M7779" t="s">
        <v>39314</v>
      </c>
      <c r="N7779" t="s">
        <v>41249</v>
      </c>
      <c r="O7779" t="s">
        <v>41250</v>
      </c>
      <c r="P7779">
        <v>0</v>
      </c>
      <c r="Q7779">
        <v>0</v>
      </c>
      <c r="R7779" t="s">
        <v>41258</v>
      </c>
      <c r="S7779" t="s">
        <v>41513</v>
      </c>
      <c r="T7779" t="s">
        <v>42743</v>
      </c>
      <c r="U7779" t="s">
        <v>47201</v>
      </c>
      <c r="W7779" t="s">
        <v>39314</v>
      </c>
      <c r="X7779" t="s">
        <v>41259</v>
      </c>
    </row>
    <row r="7780" spans="1:24">
      <c r="A7780">
        <f>HYPERLINK("https://www.philgeps.gov.ph/GEPSNONPILOT/Tender/SplashBidNoticeAbstractUI.aspx?menuIndex=3&amp;refID=7064613&amp;Result=3","7064613")</f>
        <v>0</v>
      </c>
      <c r="B7780" t="s">
        <v>595</v>
      </c>
      <c r="C7780" t="s">
        <v>10802</v>
      </c>
      <c r="D7780" t="s">
        <v>16654</v>
      </c>
      <c r="E7780" t="s">
        <v>23530</v>
      </c>
      <c r="F7780" t="s">
        <v>28669</v>
      </c>
      <c r="G7780" t="s">
        <v>28675</v>
      </c>
      <c r="H7780" t="s">
        <v>28686</v>
      </c>
      <c r="I7780" t="s">
        <v>28689</v>
      </c>
      <c r="J7780" t="s">
        <v>33696</v>
      </c>
      <c r="K7780" t="s">
        <v>37322</v>
      </c>
      <c r="M7780" t="s">
        <v>38094</v>
      </c>
      <c r="N7780" t="s">
        <v>41249</v>
      </c>
      <c r="O7780" t="s">
        <v>41250</v>
      </c>
      <c r="P7780">
        <v>0</v>
      </c>
      <c r="Q7780">
        <v>3</v>
      </c>
      <c r="R7780" t="s">
        <v>41258</v>
      </c>
      <c r="S7780" t="s">
        <v>41513</v>
      </c>
      <c r="T7780" t="s">
        <v>42881</v>
      </c>
      <c r="U7780" t="s">
        <v>49600</v>
      </c>
      <c r="W7780" t="s">
        <v>38094</v>
      </c>
      <c r="X7780" t="s">
        <v>41259</v>
      </c>
    </row>
    <row r="7781" spans="1:24">
      <c r="A7781">
        <f>HYPERLINK("https://www.philgeps.gov.ph/GEPSNONPILOT/Tender/SplashBidNoticeAbstractUI.aspx?menuIndex=3&amp;refID=7064610&amp;Result=3","7064610")</f>
        <v>0</v>
      </c>
      <c r="B7781" t="s">
        <v>2411</v>
      </c>
      <c r="C7781" t="s">
        <v>10803</v>
      </c>
      <c r="D7781" t="s">
        <v>16627</v>
      </c>
      <c r="E7781" t="s">
        <v>23531</v>
      </c>
      <c r="F7781" t="s">
        <v>28669</v>
      </c>
      <c r="G7781" t="s">
        <v>28675</v>
      </c>
      <c r="H7781" t="s">
        <v>9998</v>
      </c>
      <c r="I7781" t="s">
        <v>28713</v>
      </c>
      <c r="J7781" t="s">
        <v>33697</v>
      </c>
      <c r="K7781" t="s">
        <v>37221</v>
      </c>
      <c r="M7781" t="s">
        <v>40093</v>
      </c>
      <c r="N7781" t="s">
        <v>41249</v>
      </c>
      <c r="O7781" t="s">
        <v>41250</v>
      </c>
      <c r="P7781">
        <v>0</v>
      </c>
      <c r="Q7781">
        <v>19</v>
      </c>
      <c r="R7781" t="s">
        <v>41258</v>
      </c>
      <c r="S7781" t="s">
        <v>41513</v>
      </c>
      <c r="T7781" t="s">
        <v>42761</v>
      </c>
      <c r="U7781" t="s">
        <v>49601</v>
      </c>
      <c r="V7781" t="s">
        <v>55143</v>
      </c>
      <c r="W7781" t="s">
        <v>40093</v>
      </c>
      <c r="X7781" t="s">
        <v>41259</v>
      </c>
    </row>
    <row r="7782" spans="1:24">
      <c r="A7782">
        <f>HYPERLINK("https://www.philgeps.gov.ph/GEPSNONPILOT/Tender/SplashBidNoticeAbstractUI.aspx?menuIndex=3&amp;refID=7064603&amp;Result=3","7064603")</f>
        <v>0</v>
      </c>
      <c r="B7782" t="s">
        <v>2411</v>
      </c>
      <c r="C7782" t="s">
        <v>10804</v>
      </c>
      <c r="D7782" t="s">
        <v>16627</v>
      </c>
      <c r="E7782" t="s">
        <v>23532</v>
      </c>
      <c r="F7782" t="s">
        <v>28669</v>
      </c>
      <c r="G7782" t="s">
        <v>28675</v>
      </c>
      <c r="H7782" t="s">
        <v>9998</v>
      </c>
      <c r="I7782" t="s">
        <v>28714</v>
      </c>
      <c r="J7782" t="s">
        <v>33698</v>
      </c>
      <c r="K7782" t="s">
        <v>37221</v>
      </c>
      <c r="M7782" t="s">
        <v>40093</v>
      </c>
      <c r="N7782" t="s">
        <v>41249</v>
      </c>
      <c r="O7782" t="s">
        <v>41250</v>
      </c>
      <c r="P7782">
        <v>0</v>
      </c>
      <c r="Q7782">
        <v>13</v>
      </c>
      <c r="R7782" t="s">
        <v>41258</v>
      </c>
      <c r="S7782" t="s">
        <v>41513</v>
      </c>
      <c r="T7782" t="s">
        <v>42761</v>
      </c>
      <c r="U7782" t="s">
        <v>49602</v>
      </c>
      <c r="V7782" t="s">
        <v>55143</v>
      </c>
      <c r="W7782" t="s">
        <v>40093</v>
      </c>
      <c r="X7782" t="s">
        <v>41259</v>
      </c>
    </row>
    <row r="7783" spans="1:24">
      <c r="A7783">
        <f>HYPERLINK("https://www.philgeps.gov.ph/GEPSNONPILOT/Tender/SplashBidNoticeAbstractUI.aspx?menuIndex=3&amp;refID=7064598&amp;Result=3","7064598")</f>
        <v>0</v>
      </c>
      <c r="B7783" t="s">
        <v>2412</v>
      </c>
      <c r="C7783" t="s">
        <v>10805</v>
      </c>
      <c r="D7783" t="s">
        <v>16610</v>
      </c>
      <c r="E7783" t="s">
        <v>23533</v>
      </c>
      <c r="F7783" t="s">
        <v>28671</v>
      </c>
      <c r="G7783" t="s">
        <v>28675</v>
      </c>
      <c r="H7783" t="s">
        <v>9998</v>
      </c>
      <c r="I7783" t="s">
        <v>7352</v>
      </c>
      <c r="J7783" t="s">
        <v>33699</v>
      </c>
      <c r="K7783" t="s">
        <v>37204</v>
      </c>
      <c r="L7783" t="s">
        <v>2412</v>
      </c>
      <c r="M7783" t="s">
        <v>40094</v>
      </c>
      <c r="N7783" t="s">
        <v>41249</v>
      </c>
      <c r="O7783" t="s">
        <v>41250</v>
      </c>
      <c r="P7783">
        <v>0</v>
      </c>
      <c r="Q7783">
        <v>0</v>
      </c>
      <c r="R7783" t="s">
        <v>41258</v>
      </c>
      <c r="S7783" t="s">
        <v>41513</v>
      </c>
      <c r="T7783" t="s">
        <v>42707</v>
      </c>
      <c r="U7783" t="s">
        <v>49603</v>
      </c>
      <c r="W7783" t="s">
        <v>40094</v>
      </c>
      <c r="X7783" t="s">
        <v>41259</v>
      </c>
    </row>
    <row r="7784" spans="1:24">
      <c r="A7784">
        <f>HYPERLINK("https://www.philgeps.gov.ph/GEPSNONPILOT/Tender/SplashBidNoticeAbstractUI.aspx?menuIndex=3&amp;refID=7064622&amp;Result=3","7064622")</f>
        <v>0</v>
      </c>
      <c r="B7784" t="s">
        <v>2413</v>
      </c>
      <c r="C7784" t="s">
        <v>10806</v>
      </c>
      <c r="D7784" t="s">
        <v>16676</v>
      </c>
      <c r="E7784" t="s">
        <v>23534</v>
      </c>
      <c r="F7784" t="s">
        <v>28669</v>
      </c>
      <c r="G7784" t="s">
        <v>28676</v>
      </c>
      <c r="H7784" t="s">
        <v>9998</v>
      </c>
      <c r="I7784" t="s">
        <v>11593</v>
      </c>
      <c r="J7784" t="s">
        <v>33700</v>
      </c>
      <c r="K7784" t="s">
        <v>37210</v>
      </c>
      <c r="M7784" t="s">
        <v>40095</v>
      </c>
      <c r="N7784" t="s">
        <v>41249</v>
      </c>
      <c r="O7784" t="s">
        <v>41250</v>
      </c>
      <c r="P7784">
        <v>0</v>
      </c>
      <c r="Q7784">
        <v>4</v>
      </c>
      <c r="R7784" t="s">
        <v>41258</v>
      </c>
      <c r="S7784" t="s">
        <v>41513</v>
      </c>
      <c r="T7784" t="s">
        <v>42728</v>
      </c>
      <c r="U7784" t="s">
        <v>49604</v>
      </c>
      <c r="W7784" t="s">
        <v>40095</v>
      </c>
      <c r="X7784" t="s">
        <v>41259</v>
      </c>
    </row>
    <row r="7785" spans="1:24">
      <c r="A7785">
        <f>HYPERLINK("https://www.philgeps.gov.ph/GEPSNONPILOT/Tender/SplashBidNoticeAbstractUI.aspx?menuIndex=3&amp;refID=7064586&amp;Result=3","7064586")</f>
        <v>0</v>
      </c>
      <c r="B7785" t="s">
        <v>2414</v>
      </c>
      <c r="C7785" t="s">
        <v>10807</v>
      </c>
      <c r="D7785" t="s">
        <v>16618</v>
      </c>
      <c r="E7785" t="s">
        <v>21770</v>
      </c>
      <c r="F7785" t="s">
        <v>28669</v>
      </c>
      <c r="G7785" t="s">
        <v>28675</v>
      </c>
      <c r="H7785" t="s">
        <v>28686</v>
      </c>
      <c r="I7785" t="s">
        <v>28689</v>
      </c>
      <c r="J7785" t="s">
        <v>30485</v>
      </c>
      <c r="K7785" t="s">
        <v>37207</v>
      </c>
      <c r="M7785" t="s">
        <v>40096</v>
      </c>
      <c r="N7785" t="s">
        <v>41249</v>
      </c>
      <c r="O7785" t="s">
        <v>41250</v>
      </c>
      <c r="P7785">
        <v>0</v>
      </c>
      <c r="Q7785">
        <v>1</v>
      </c>
      <c r="R7785" t="s">
        <v>41258</v>
      </c>
      <c r="S7785" t="s">
        <v>41513</v>
      </c>
      <c r="T7785" t="s">
        <v>42743</v>
      </c>
      <c r="U7785" t="s">
        <v>49605</v>
      </c>
      <c r="W7785" t="s">
        <v>40096</v>
      </c>
      <c r="X7785" t="s">
        <v>41259</v>
      </c>
    </row>
    <row r="7786" spans="1:24">
      <c r="A7786">
        <f>HYPERLINK("https://www.philgeps.gov.ph/GEPSNONPILOT/Tender/SplashBidNoticeAbstractUI.aspx?menuIndex=3&amp;refID=7064632&amp;Result=3","7064632")</f>
        <v>0</v>
      </c>
      <c r="B7786" t="s">
        <v>1972</v>
      </c>
      <c r="C7786" t="s">
        <v>10808</v>
      </c>
      <c r="D7786" t="s">
        <v>16615</v>
      </c>
      <c r="E7786" t="s">
        <v>23535</v>
      </c>
      <c r="F7786" t="s">
        <v>28669</v>
      </c>
      <c r="G7786" t="s">
        <v>28675</v>
      </c>
      <c r="H7786" t="s">
        <v>9998</v>
      </c>
      <c r="I7786" t="s">
        <v>28692</v>
      </c>
      <c r="J7786" t="s">
        <v>33701</v>
      </c>
      <c r="K7786" t="s">
        <v>37221</v>
      </c>
      <c r="M7786" t="s">
        <v>39606</v>
      </c>
      <c r="N7786" t="s">
        <v>41249</v>
      </c>
      <c r="O7786" t="s">
        <v>41250</v>
      </c>
      <c r="P7786">
        <v>0</v>
      </c>
      <c r="Q7786">
        <v>9</v>
      </c>
      <c r="R7786" t="s">
        <v>41258</v>
      </c>
      <c r="S7786" t="s">
        <v>41513</v>
      </c>
      <c r="T7786" t="s">
        <v>42673</v>
      </c>
      <c r="U7786" t="s">
        <v>49606</v>
      </c>
      <c r="W7786" t="s">
        <v>39606</v>
      </c>
      <c r="X7786" t="s">
        <v>41259</v>
      </c>
    </row>
    <row r="7787" spans="1:24">
      <c r="A7787">
        <f>HYPERLINK("https://www.philgeps.gov.ph/GEPSNONPILOT/Tender/SplashBidNoticeAbstractUI.aspx?menuIndex=3&amp;refID=7064585&amp;Result=3","7064585")</f>
        <v>0</v>
      </c>
      <c r="B7787" t="s">
        <v>2415</v>
      </c>
      <c r="C7787" t="s">
        <v>10809</v>
      </c>
      <c r="D7787" t="s">
        <v>16678</v>
      </c>
      <c r="E7787" t="s">
        <v>20862</v>
      </c>
      <c r="F7787" t="s">
        <v>28669</v>
      </c>
      <c r="G7787" t="s">
        <v>28675</v>
      </c>
      <c r="H7787" t="s">
        <v>9998</v>
      </c>
      <c r="I7787" t="s">
        <v>7352</v>
      </c>
      <c r="J7787" t="s">
        <v>33702</v>
      </c>
      <c r="K7787" t="s">
        <v>37209</v>
      </c>
      <c r="M7787" t="s">
        <v>40097</v>
      </c>
      <c r="N7787" t="s">
        <v>41249</v>
      </c>
      <c r="O7787" t="s">
        <v>41250</v>
      </c>
      <c r="P7787">
        <v>0</v>
      </c>
      <c r="Q7787">
        <v>0</v>
      </c>
      <c r="R7787" t="s">
        <v>41258</v>
      </c>
      <c r="S7787" t="s">
        <v>41513</v>
      </c>
      <c r="T7787" t="s">
        <v>42658</v>
      </c>
      <c r="U7787" t="s">
        <v>49607</v>
      </c>
      <c r="W7787" t="s">
        <v>40097</v>
      </c>
      <c r="X7787" t="s">
        <v>41259</v>
      </c>
    </row>
    <row r="7788" spans="1:24">
      <c r="A7788">
        <f>HYPERLINK("https://www.philgeps.gov.ph/GEPSNONPILOT/Tender/SplashBidNoticeAbstractUI.aspx?menuIndex=3&amp;refID=7064568&amp;Result=3","7064568")</f>
        <v>0</v>
      </c>
      <c r="B7788" t="s">
        <v>2222</v>
      </c>
      <c r="C7788" t="s">
        <v>10810</v>
      </c>
      <c r="D7788" t="s">
        <v>16628</v>
      </c>
      <c r="E7788" t="s">
        <v>18042</v>
      </c>
      <c r="F7788" t="s">
        <v>28669</v>
      </c>
      <c r="G7788" t="s">
        <v>28675</v>
      </c>
      <c r="H7788" t="s">
        <v>9998</v>
      </c>
      <c r="I7788" t="s">
        <v>7352</v>
      </c>
      <c r="J7788" t="s">
        <v>33703</v>
      </c>
      <c r="K7788" t="s">
        <v>37221</v>
      </c>
      <c r="M7788" t="s">
        <v>39874</v>
      </c>
      <c r="N7788" t="s">
        <v>41249</v>
      </c>
      <c r="O7788" t="s">
        <v>41250</v>
      </c>
      <c r="P7788">
        <v>0</v>
      </c>
      <c r="Q7788">
        <v>0</v>
      </c>
      <c r="R7788" t="s">
        <v>41258</v>
      </c>
      <c r="S7788" t="s">
        <v>41513</v>
      </c>
      <c r="T7788" t="s">
        <v>42992</v>
      </c>
      <c r="U7788" t="s">
        <v>49608</v>
      </c>
      <c r="W7788" t="s">
        <v>39874</v>
      </c>
      <c r="X7788" t="s">
        <v>41259</v>
      </c>
    </row>
    <row r="7789" spans="1:24">
      <c r="A7789">
        <f>HYPERLINK("https://www.philgeps.gov.ph/GEPSNONPILOT/Tender/SplashBidNoticeAbstractUI.aspx?menuIndex=3&amp;refID=7064566&amp;Result=3","7064566")</f>
        <v>0</v>
      </c>
      <c r="B7789" t="s">
        <v>2222</v>
      </c>
      <c r="C7789" t="s">
        <v>10811</v>
      </c>
      <c r="D7789" t="s">
        <v>16628</v>
      </c>
      <c r="E7789" t="s">
        <v>17855</v>
      </c>
      <c r="F7789" t="s">
        <v>28669</v>
      </c>
      <c r="G7789" t="s">
        <v>28675</v>
      </c>
      <c r="H7789" t="s">
        <v>9998</v>
      </c>
      <c r="I7789" t="s">
        <v>28689</v>
      </c>
      <c r="J7789" t="s">
        <v>33704</v>
      </c>
      <c r="K7789" t="s">
        <v>37221</v>
      </c>
      <c r="M7789" t="s">
        <v>39874</v>
      </c>
      <c r="N7789" t="s">
        <v>41249</v>
      </c>
      <c r="O7789" t="s">
        <v>41250</v>
      </c>
      <c r="P7789">
        <v>0</v>
      </c>
      <c r="Q7789">
        <v>0</v>
      </c>
      <c r="R7789" t="s">
        <v>41258</v>
      </c>
      <c r="S7789" t="s">
        <v>41513</v>
      </c>
      <c r="T7789" t="s">
        <v>42992</v>
      </c>
      <c r="U7789" t="s">
        <v>49609</v>
      </c>
      <c r="W7789" t="s">
        <v>39874</v>
      </c>
      <c r="X7789" t="s">
        <v>41259</v>
      </c>
    </row>
    <row r="7790" spans="1:24">
      <c r="A7790">
        <f>HYPERLINK("https://www.philgeps.gov.ph/GEPSNONPILOT/Tender/SplashBidNoticeAbstractUI.aspx?menuIndex=3&amp;refID=7060801&amp;Result=3","7060801")</f>
        <v>0</v>
      </c>
      <c r="B7790" t="s">
        <v>2397</v>
      </c>
      <c r="C7790" t="s">
        <v>10812</v>
      </c>
      <c r="D7790" t="s">
        <v>16617</v>
      </c>
      <c r="E7790" t="s">
        <v>23536</v>
      </c>
      <c r="F7790" t="s">
        <v>28669</v>
      </c>
      <c r="G7790" t="s">
        <v>28675</v>
      </c>
      <c r="H7790" t="s">
        <v>9998</v>
      </c>
      <c r="I7790" t="s">
        <v>28690</v>
      </c>
      <c r="J7790" t="s">
        <v>33705</v>
      </c>
      <c r="K7790" t="s">
        <v>37204</v>
      </c>
      <c r="M7790" t="s">
        <v>40073</v>
      </c>
      <c r="N7790" t="s">
        <v>41249</v>
      </c>
      <c r="O7790" t="s">
        <v>41250</v>
      </c>
      <c r="P7790">
        <v>0</v>
      </c>
      <c r="Q7790">
        <v>4</v>
      </c>
      <c r="R7790" t="s">
        <v>41258</v>
      </c>
      <c r="S7790" t="s">
        <v>41513</v>
      </c>
      <c r="T7790" t="s">
        <v>42930</v>
      </c>
      <c r="U7790" t="s">
        <v>49610</v>
      </c>
      <c r="W7790" t="s">
        <v>40073</v>
      </c>
      <c r="X7790" t="s">
        <v>41261</v>
      </c>
    </row>
    <row r="7791" spans="1:24">
      <c r="A7791">
        <f>HYPERLINK("https://www.philgeps.gov.ph/GEPSNONPILOT/Tender/SplashBidNoticeAbstractUI.aspx?menuIndex=3&amp;refID=7064591&amp;Result=3","7064591")</f>
        <v>0</v>
      </c>
      <c r="B7791" t="s">
        <v>2416</v>
      </c>
      <c r="C7791" t="s">
        <v>7711</v>
      </c>
      <c r="D7791" t="s">
        <v>16658</v>
      </c>
      <c r="E7791" t="s">
        <v>16758</v>
      </c>
      <c r="F7791" t="s">
        <v>28669</v>
      </c>
      <c r="G7791" t="s">
        <v>28675</v>
      </c>
      <c r="H7791" t="s">
        <v>9998</v>
      </c>
      <c r="I7791" t="s">
        <v>11142</v>
      </c>
      <c r="J7791" t="s">
        <v>33706</v>
      </c>
      <c r="K7791" t="s">
        <v>37210</v>
      </c>
      <c r="M7791" t="s">
        <v>40098</v>
      </c>
      <c r="N7791" t="s">
        <v>41249</v>
      </c>
      <c r="O7791" t="s">
        <v>41250</v>
      </c>
      <c r="P7791">
        <v>0</v>
      </c>
      <c r="Q7791">
        <v>0</v>
      </c>
      <c r="R7791" t="s">
        <v>41258</v>
      </c>
      <c r="S7791" t="s">
        <v>41513</v>
      </c>
      <c r="T7791" t="s">
        <v>42665</v>
      </c>
      <c r="U7791" t="s">
        <v>49611</v>
      </c>
      <c r="W7791" t="s">
        <v>40098</v>
      </c>
      <c r="X7791" t="s">
        <v>41259</v>
      </c>
    </row>
    <row r="7792" spans="1:24">
      <c r="A7792">
        <f>HYPERLINK("https://www.philgeps.gov.ph/GEPSNONPILOT/Tender/SplashBidNoticeAbstractUI.aspx?menuIndex=3&amp;refID=7064683&amp;Result=3","7064683")</f>
        <v>0</v>
      </c>
      <c r="B7792" t="s">
        <v>404</v>
      </c>
      <c r="C7792" t="s">
        <v>10813</v>
      </c>
      <c r="D7792" t="s">
        <v>16633</v>
      </c>
      <c r="E7792" t="s">
        <v>23537</v>
      </c>
      <c r="F7792" t="s">
        <v>28669</v>
      </c>
      <c r="G7792" t="s">
        <v>28675</v>
      </c>
      <c r="H7792" t="s">
        <v>28686</v>
      </c>
      <c r="I7792" t="s">
        <v>7352</v>
      </c>
      <c r="J7792" t="s">
        <v>33707</v>
      </c>
      <c r="K7792" t="s">
        <v>37317</v>
      </c>
      <c r="M7792" t="s">
        <v>37889</v>
      </c>
      <c r="N7792" t="s">
        <v>41249</v>
      </c>
      <c r="O7792" t="s">
        <v>41250</v>
      </c>
      <c r="P7792">
        <v>0</v>
      </c>
      <c r="Q7792">
        <v>0</v>
      </c>
      <c r="R7792" t="s">
        <v>41258</v>
      </c>
      <c r="S7792" t="s">
        <v>41513</v>
      </c>
      <c r="T7792" t="s">
        <v>42719</v>
      </c>
      <c r="U7792" t="s">
        <v>49612</v>
      </c>
      <c r="W7792" t="s">
        <v>37889</v>
      </c>
      <c r="X7792" t="s">
        <v>41259</v>
      </c>
    </row>
    <row r="7793" spans="1:24">
      <c r="A7793">
        <f>HYPERLINK("https://www.philgeps.gov.ph/GEPSNONPILOT/Tender/SplashBidNoticeAbstractUI.aspx?menuIndex=3&amp;refID=7064682&amp;Result=3","7064682")</f>
        <v>0</v>
      </c>
      <c r="B7793" t="s">
        <v>289</v>
      </c>
      <c r="C7793" t="s">
        <v>10814</v>
      </c>
      <c r="D7793" t="s">
        <v>16608</v>
      </c>
      <c r="E7793" t="s">
        <v>23538</v>
      </c>
      <c r="F7793" t="s">
        <v>28669</v>
      </c>
      <c r="G7793" t="s">
        <v>28675</v>
      </c>
      <c r="H7793" t="s">
        <v>28686</v>
      </c>
      <c r="I7793" t="s">
        <v>28689</v>
      </c>
      <c r="J7793" t="s">
        <v>33708</v>
      </c>
      <c r="K7793" t="s">
        <v>37290</v>
      </c>
      <c r="M7793" t="s">
        <v>40099</v>
      </c>
      <c r="N7793" t="s">
        <v>41249</v>
      </c>
      <c r="O7793" t="s">
        <v>41250</v>
      </c>
      <c r="P7793">
        <v>0</v>
      </c>
      <c r="Q7793">
        <v>1</v>
      </c>
      <c r="R7793" t="s">
        <v>41258</v>
      </c>
      <c r="S7793" t="s">
        <v>41513</v>
      </c>
      <c r="T7793" t="s">
        <v>42664</v>
      </c>
      <c r="U7793" t="s">
        <v>49613</v>
      </c>
      <c r="W7793" t="s">
        <v>40099</v>
      </c>
      <c r="X7793" t="s">
        <v>41259</v>
      </c>
    </row>
    <row r="7794" spans="1:24">
      <c r="A7794">
        <f>HYPERLINK("https://www.philgeps.gov.ph/GEPSNONPILOT/Tender/SplashBidNoticeAbstractUI.aspx?menuIndex=3&amp;refID=7064678&amp;Result=3","7064678")</f>
        <v>0</v>
      </c>
      <c r="B7794" t="s">
        <v>782</v>
      </c>
      <c r="C7794" t="s">
        <v>10815</v>
      </c>
      <c r="D7794" t="s">
        <v>16658</v>
      </c>
      <c r="E7794" t="s">
        <v>23539</v>
      </c>
      <c r="F7794" t="s">
        <v>28669</v>
      </c>
      <c r="G7794" t="s">
        <v>28675</v>
      </c>
      <c r="H7794" t="s">
        <v>9998</v>
      </c>
      <c r="I7794" t="s">
        <v>7352</v>
      </c>
      <c r="J7794" t="s">
        <v>33709</v>
      </c>
      <c r="K7794" t="s">
        <v>37205</v>
      </c>
      <c r="M7794" t="s">
        <v>38296</v>
      </c>
      <c r="N7794" t="s">
        <v>41249</v>
      </c>
      <c r="O7794" t="s">
        <v>41250</v>
      </c>
      <c r="P7794">
        <v>0</v>
      </c>
      <c r="Q7794">
        <v>0</v>
      </c>
      <c r="R7794" t="s">
        <v>41258</v>
      </c>
      <c r="S7794" t="s">
        <v>41513</v>
      </c>
      <c r="T7794" t="s">
        <v>42754</v>
      </c>
      <c r="U7794" t="s">
        <v>49614</v>
      </c>
      <c r="W7794" t="s">
        <v>38296</v>
      </c>
      <c r="X7794" t="s">
        <v>41259</v>
      </c>
    </row>
    <row r="7795" spans="1:24">
      <c r="A7795">
        <f>HYPERLINK("https://www.philgeps.gov.ph/GEPSNONPILOT/Tender/SplashBidNoticeAbstractUI.aspx?menuIndex=3&amp;refID=7064677&amp;Result=3","7064677")</f>
        <v>0</v>
      </c>
      <c r="B7795" t="s">
        <v>2417</v>
      </c>
      <c r="C7795" t="s">
        <v>7900</v>
      </c>
      <c r="D7795" t="s">
        <v>16667</v>
      </c>
      <c r="E7795" t="s">
        <v>23540</v>
      </c>
      <c r="F7795" t="s">
        <v>28669</v>
      </c>
      <c r="G7795" t="s">
        <v>28675</v>
      </c>
      <c r="H7795" t="s">
        <v>28686</v>
      </c>
      <c r="I7795" t="s">
        <v>28689</v>
      </c>
      <c r="J7795" t="s">
        <v>28878</v>
      </c>
      <c r="K7795" t="s">
        <v>37293</v>
      </c>
      <c r="M7795" t="s">
        <v>40100</v>
      </c>
      <c r="N7795" t="s">
        <v>41249</v>
      </c>
      <c r="O7795" t="s">
        <v>41250</v>
      </c>
      <c r="P7795">
        <v>0</v>
      </c>
      <c r="Q7795">
        <v>0</v>
      </c>
      <c r="R7795" t="s">
        <v>41258</v>
      </c>
      <c r="S7795" t="s">
        <v>41513</v>
      </c>
      <c r="T7795" t="s">
        <v>42727</v>
      </c>
      <c r="U7795" t="s">
        <v>49615</v>
      </c>
      <c r="W7795" t="s">
        <v>40100</v>
      </c>
      <c r="X7795" t="s">
        <v>41259</v>
      </c>
    </row>
    <row r="7796" spans="1:24">
      <c r="A7796">
        <f>HYPERLINK("https://www.philgeps.gov.ph/GEPSNONPILOT/Tender/SplashBidNoticeAbstractUI.aspx?menuIndex=3&amp;refID=7064675&amp;Result=3","7064675")</f>
        <v>0</v>
      </c>
      <c r="B7796" t="s">
        <v>986</v>
      </c>
      <c r="C7796" t="s">
        <v>10816</v>
      </c>
      <c r="D7796" t="s">
        <v>16620</v>
      </c>
      <c r="E7796" t="s">
        <v>23541</v>
      </c>
      <c r="F7796" t="s">
        <v>28669</v>
      </c>
      <c r="G7796" t="s">
        <v>28675</v>
      </c>
      <c r="H7796" t="s">
        <v>9998</v>
      </c>
      <c r="I7796" t="s">
        <v>11142</v>
      </c>
      <c r="J7796" t="s">
        <v>30675</v>
      </c>
      <c r="K7796" t="s">
        <v>37206</v>
      </c>
      <c r="M7796" t="s">
        <v>38900</v>
      </c>
      <c r="N7796" t="s">
        <v>41249</v>
      </c>
      <c r="O7796" t="s">
        <v>41250</v>
      </c>
      <c r="P7796">
        <v>0</v>
      </c>
      <c r="Q7796">
        <v>0</v>
      </c>
      <c r="R7796" t="s">
        <v>41258</v>
      </c>
      <c r="S7796" t="s">
        <v>41513</v>
      </c>
      <c r="T7796" t="s">
        <v>42728</v>
      </c>
      <c r="U7796" t="s">
        <v>45210</v>
      </c>
      <c r="V7796" t="s">
        <v>54542</v>
      </c>
      <c r="W7796" t="s">
        <v>38900</v>
      </c>
      <c r="X7796" t="s">
        <v>41259</v>
      </c>
    </row>
    <row r="7797" spans="1:24">
      <c r="A7797">
        <f>HYPERLINK("https://www.philgeps.gov.ph/GEPSNONPILOT/Tender/SplashBidNoticeAbstractUI.aspx?menuIndex=3&amp;refID=7064671&amp;Result=3","7064671")</f>
        <v>0</v>
      </c>
      <c r="B7797" t="s">
        <v>2418</v>
      </c>
      <c r="C7797" t="s">
        <v>10817</v>
      </c>
      <c r="D7797" t="s">
        <v>16657</v>
      </c>
      <c r="E7797" t="s">
        <v>23542</v>
      </c>
      <c r="F7797" t="s">
        <v>28669</v>
      </c>
      <c r="G7797" t="s">
        <v>28676</v>
      </c>
      <c r="H7797" t="s">
        <v>9998</v>
      </c>
      <c r="I7797" t="s">
        <v>6128</v>
      </c>
      <c r="J7797" t="s">
        <v>33710</v>
      </c>
      <c r="K7797" t="s">
        <v>37227</v>
      </c>
      <c r="M7797" t="s">
        <v>40101</v>
      </c>
      <c r="N7797" t="s">
        <v>41249</v>
      </c>
      <c r="O7797" t="s">
        <v>41250</v>
      </c>
      <c r="P7797">
        <v>0</v>
      </c>
      <c r="Q7797">
        <v>3</v>
      </c>
      <c r="R7797" t="s">
        <v>41258</v>
      </c>
      <c r="S7797" t="s">
        <v>41513</v>
      </c>
      <c r="T7797" t="s">
        <v>42767</v>
      </c>
      <c r="U7797" t="s">
        <v>49616</v>
      </c>
      <c r="V7797" t="s">
        <v>55144</v>
      </c>
      <c r="W7797" t="s">
        <v>40101</v>
      </c>
      <c r="X7797" t="s">
        <v>41259</v>
      </c>
    </row>
    <row r="7798" spans="1:24">
      <c r="A7798">
        <f>HYPERLINK("https://www.philgeps.gov.ph/GEPSNONPILOT/Tender/SplashBidNoticeAbstractUI.aspx?menuIndex=3&amp;refID=7064669&amp;Result=3","7064669")</f>
        <v>0</v>
      </c>
      <c r="B7798" t="s">
        <v>2419</v>
      </c>
      <c r="C7798" t="s">
        <v>10818</v>
      </c>
      <c r="D7798" t="s">
        <v>16615</v>
      </c>
      <c r="E7798" t="s">
        <v>17442</v>
      </c>
      <c r="F7798" t="s">
        <v>28669</v>
      </c>
      <c r="G7798" t="s">
        <v>28675</v>
      </c>
      <c r="H7798" t="s">
        <v>9998</v>
      </c>
      <c r="I7798" t="s">
        <v>7352</v>
      </c>
      <c r="J7798" t="s">
        <v>29167</v>
      </c>
      <c r="K7798" t="s">
        <v>37204</v>
      </c>
      <c r="M7798" t="s">
        <v>40102</v>
      </c>
      <c r="N7798" t="s">
        <v>41249</v>
      </c>
      <c r="O7798" t="s">
        <v>41250</v>
      </c>
      <c r="P7798">
        <v>0</v>
      </c>
      <c r="Q7798">
        <v>0</v>
      </c>
      <c r="R7798" t="s">
        <v>41258</v>
      </c>
      <c r="S7798" t="s">
        <v>41513</v>
      </c>
      <c r="T7798" t="s">
        <v>42887</v>
      </c>
      <c r="U7798" t="s">
        <v>49617</v>
      </c>
      <c r="W7798" t="s">
        <v>40102</v>
      </c>
      <c r="X7798" t="s">
        <v>41259</v>
      </c>
    </row>
    <row r="7799" spans="1:24">
      <c r="A7799">
        <f>HYPERLINK("https://www.philgeps.gov.ph/GEPSNONPILOT/Tender/SplashBidNoticeAbstractUI.aspx?menuIndex=3&amp;refID=7064582&amp;Result=3","7064582")</f>
        <v>0</v>
      </c>
      <c r="B7799" t="s">
        <v>2420</v>
      </c>
      <c r="C7799" t="s">
        <v>10819</v>
      </c>
      <c r="D7799" t="s">
        <v>16628</v>
      </c>
      <c r="E7799" t="s">
        <v>23543</v>
      </c>
      <c r="F7799" t="s">
        <v>28672</v>
      </c>
      <c r="G7799" t="s">
        <v>28675</v>
      </c>
      <c r="H7799" t="s">
        <v>9998</v>
      </c>
      <c r="I7799" t="s">
        <v>7352</v>
      </c>
      <c r="J7799" t="s">
        <v>33711</v>
      </c>
      <c r="K7799" t="s">
        <v>37210</v>
      </c>
      <c r="M7799" t="s">
        <v>40103</v>
      </c>
      <c r="N7799" t="s">
        <v>41249</v>
      </c>
      <c r="O7799" t="s">
        <v>41250</v>
      </c>
      <c r="P7799">
        <v>0</v>
      </c>
      <c r="Q7799">
        <v>0</v>
      </c>
      <c r="R7799" t="s">
        <v>41258</v>
      </c>
      <c r="S7799" t="s">
        <v>41513</v>
      </c>
      <c r="T7799" t="s">
        <v>42691</v>
      </c>
      <c r="U7799" t="s">
        <v>49618</v>
      </c>
      <c r="W7799" t="s">
        <v>40103</v>
      </c>
      <c r="X7799" t="s">
        <v>41259</v>
      </c>
    </row>
    <row r="7800" spans="1:24">
      <c r="A7800">
        <f>HYPERLINK("https://www.philgeps.gov.ph/GEPSNONPILOT/Tender/SplashBidNoticeAbstractUI.aspx?menuIndex=3&amp;refID=7064559&amp;Result=3","7064559")</f>
        <v>0</v>
      </c>
      <c r="B7800" t="s">
        <v>2421</v>
      </c>
      <c r="C7800" t="s">
        <v>10820</v>
      </c>
      <c r="E7800" t="s">
        <v>23544</v>
      </c>
      <c r="F7800" t="s">
        <v>28669</v>
      </c>
      <c r="G7800" t="s">
        <v>28675</v>
      </c>
      <c r="H7800" t="s">
        <v>28686</v>
      </c>
      <c r="I7800" t="s">
        <v>28689</v>
      </c>
      <c r="J7800" t="s">
        <v>33712</v>
      </c>
      <c r="K7800" t="s">
        <v>37239</v>
      </c>
      <c r="M7800" t="s">
        <v>40104</v>
      </c>
      <c r="N7800" t="s">
        <v>41249</v>
      </c>
      <c r="O7800" t="s">
        <v>41250</v>
      </c>
      <c r="P7800">
        <v>0</v>
      </c>
      <c r="Q7800">
        <v>0</v>
      </c>
      <c r="R7800" t="s">
        <v>41258</v>
      </c>
      <c r="S7800" t="s">
        <v>41513</v>
      </c>
      <c r="T7800" t="s">
        <v>42992</v>
      </c>
      <c r="U7800" t="s">
        <v>49619</v>
      </c>
      <c r="W7800" t="s">
        <v>40104</v>
      </c>
      <c r="X7800" t="s">
        <v>41259</v>
      </c>
    </row>
    <row r="7801" spans="1:24">
      <c r="A7801">
        <f>HYPERLINK("https://www.philgeps.gov.ph/GEPSNONPILOT/Tender/SplashBidNoticeAbstractUI.aspx?menuIndex=3&amp;refID=7064685&amp;Result=3","7064685")</f>
        <v>0</v>
      </c>
      <c r="B7801" t="s">
        <v>382</v>
      </c>
      <c r="C7801" t="s">
        <v>10821</v>
      </c>
      <c r="D7801" t="s">
        <v>16664</v>
      </c>
      <c r="E7801" t="s">
        <v>23545</v>
      </c>
      <c r="F7801" t="s">
        <v>28669</v>
      </c>
      <c r="G7801" t="s">
        <v>28675</v>
      </c>
      <c r="H7801" t="s">
        <v>9998</v>
      </c>
      <c r="I7801" t="s">
        <v>3718</v>
      </c>
      <c r="J7801" t="s">
        <v>28905</v>
      </c>
      <c r="K7801" t="s">
        <v>37209</v>
      </c>
      <c r="M7801" t="s">
        <v>37864</v>
      </c>
      <c r="N7801" t="s">
        <v>41249</v>
      </c>
      <c r="O7801" t="s">
        <v>41250</v>
      </c>
      <c r="P7801">
        <v>0</v>
      </c>
      <c r="Q7801">
        <v>0</v>
      </c>
      <c r="R7801" t="s">
        <v>41258</v>
      </c>
      <c r="S7801" t="s">
        <v>41513</v>
      </c>
      <c r="T7801" t="s">
        <v>42679</v>
      </c>
      <c r="U7801" t="s">
        <v>49620</v>
      </c>
      <c r="W7801" t="s">
        <v>37864</v>
      </c>
      <c r="X7801" t="s">
        <v>41259</v>
      </c>
    </row>
    <row r="7802" spans="1:24">
      <c r="A7802">
        <f>HYPERLINK("https://www.philgeps.gov.ph/GEPSNONPILOT/Tender/SplashBidNoticeAbstractUI.aspx?menuIndex=3&amp;refID=7064607&amp;Result=3","7064607")</f>
        <v>0</v>
      </c>
      <c r="B7802" t="s">
        <v>1218</v>
      </c>
      <c r="C7802" t="s">
        <v>10822</v>
      </c>
      <c r="D7802" t="s">
        <v>16615</v>
      </c>
      <c r="E7802" t="s">
        <v>23546</v>
      </c>
      <c r="F7802" t="s">
        <v>28669</v>
      </c>
      <c r="G7802" t="s">
        <v>28677</v>
      </c>
      <c r="H7802" t="s">
        <v>28686</v>
      </c>
      <c r="I7802" t="s">
        <v>28689</v>
      </c>
      <c r="J7802" t="s">
        <v>33713</v>
      </c>
      <c r="K7802" t="s">
        <v>37209</v>
      </c>
      <c r="M7802" t="s">
        <v>38761</v>
      </c>
      <c r="N7802" t="s">
        <v>41249</v>
      </c>
      <c r="O7802" t="s">
        <v>41250</v>
      </c>
      <c r="Q7802">
        <v>0</v>
      </c>
      <c r="R7802" t="s">
        <v>41258</v>
      </c>
      <c r="S7802" t="s">
        <v>41530</v>
      </c>
      <c r="T7802" t="s">
        <v>42675</v>
      </c>
      <c r="U7802" t="s">
        <v>49621</v>
      </c>
      <c r="V7802" t="s">
        <v>55145</v>
      </c>
      <c r="W7802" t="s">
        <v>38761</v>
      </c>
      <c r="X7802" t="s">
        <v>41259</v>
      </c>
    </row>
    <row r="7803" spans="1:24">
      <c r="A7803">
        <f>HYPERLINK("https://www.philgeps.gov.ph/GEPSNONPILOT/Tender/SplashBidNoticeAbstractUI.aspx?menuIndex=3&amp;refID=7064667&amp;Result=3","7064667")</f>
        <v>0</v>
      </c>
      <c r="B7803" t="s">
        <v>1246</v>
      </c>
      <c r="C7803" t="s">
        <v>10823</v>
      </c>
      <c r="D7803" t="s">
        <v>16679</v>
      </c>
      <c r="E7803" t="s">
        <v>21222</v>
      </c>
      <c r="F7803" t="s">
        <v>28669</v>
      </c>
      <c r="G7803" t="s">
        <v>28675</v>
      </c>
      <c r="H7803" t="s">
        <v>9998</v>
      </c>
      <c r="I7803" t="s">
        <v>28696</v>
      </c>
      <c r="J7803" t="s">
        <v>33714</v>
      </c>
      <c r="K7803" t="s">
        <v>37205</v>
      </c>
      <c r="M7803" t="s">
        <v>38793</v>
      </c>
      <c r="N7803" t="s">
        <v>41249</v>
      </c>
      <c r="O7803" t="s">
        <v>41250</v>
      </c>
      <c r="P7803">
        <v>0</v>
      </c>
      <c r="Q7803">
        <v>1</v>
      </c>
      <c r="R7803" t="s">
        <v>41258</v>
      </c>
      <c r="S7803" t="s">
        <v>41513</v>
      </c>
      <c r="T7803" t="s">
        <v>42727</v>
      </c>
      <c r="U7803" t="s">
        <v>45711</v>
      </c>
      <c r="V7803" t="s">
        <v>54602</v>
      </c>
      <c r="W7803" t="s">
        <v>38793</v>
      </c>
      <c r="X7803" t="s">
        <v>41259</v>
      </c>
    </row>
    <row r="7804" spans="1:24">
      <c r="A7804">
        <f>HYPERLINK("https://www.philgeps.gov.ph/GEPSNONPILOT/Tender/SplashBidNoticeAbstractUI.aspx?menuIndex=3&amp;refID=7064760&amp;Result=3","7064760")</f>
        <v>0</v>
      </c>
      <c r="B7804" t="s">
        <v>2422</v>
      </c>
      <c r="C7804" t="s">
        <v>10824</v>
      </c>
      <c r="E7804" t="s">
        <v>23547</v>
      </c>
      <c r="F7804" t="s">
        <v>28669</v>
      </c>
      <c r="G7804" t="s">
        <v>28675</v>
      </c>
      <c r="H7804" t="s">
        <v>9998</v>
      </c>
      <c r="I7804" t="s">
        <v>28751</v>
      </c>
      <c r="J7804" t="s">
        <v>29484</v>
      </c>
      <c r="K7804" t="s">
        <v>37209</v>
      </c>
      <c r="M7804" t="s">
        <v>40105</v>
      </c>
      <c r="N7804" t="s">
        <v>41249</v>
      </c>
      <c r="O7804" t="s">
        <v>41250</v>
      </c>
      <c r="P7804">
        <v>0</v>
      </c>
      <c r="Q7804">
        <v>7</v>
      </c>
      <c r="R7804" t="s">
        <v>41258</v>
      </c>
      <c r="S7804" t="s">
        <v>41513</v>
      </c>
      <c r="T7804" t="s">
        <v>42755</v>
      </c>
      <c r="U7804" t="s">
        <v>49622</v>
      </c>
      <c r="V7804" t="s">
        <v>55146</v>
      </c>
      <c r="W7804" t="s">
        <v>40105</v>
      </c>
      <c r="X7804" t="s">
        <v>41259</v>
      </c>
    </row>
    <row r="7805" spans="1:24">
      <c r="A7805">
        <f>HYPERLINK("https://www.philgeps.gov.ph/GEPSNONPILOT/Tender/SplashBidNoticeAbstractUI.aspx?menuIndex=3&amp;refID=7064624&amp;Result=3","7064624")</f>
        <v>0</v>
      </c>
      <c r="B7805" t="s">
        <v>1229</v>
      </c>
      <c r="C7805" t="s">
        <v>10825</v>
      </c>
      <c r="D7805" t="s">
        <v>16675</v>
      </c>
      <c r="E7805" t="s">
        <v>23548</v>
      </c>
      <c r="F7805" t="s">
        <v>28669</v>
      </c>
      <c r="G7805" t="s">
        <v>28675</v>
      </c>
      <c r="H7805" t="s">
        <v>28686</v>
      </c>
      <c r="I7805" t="s">
        <v>28689</v>
      </c>
      <c r="J7805" t="s">
        <v>29927</v>
      </c>
      <c r="K7805" t="s">
        <v>37294</v>
      </c>
      <c r="M7805" t="s">
        <v>38773</v>
      </c>
      <c r="N7805" t="s">
        <v>41249</v>
      </c>
      <c r="O7805" t="s">
        <v>41250</v>
      </c>
      <c r="P7805">
        <v>0</v>
      </c>
      <c r="Q7805">
        <v>0</v>
      </c>
      <c r="R7805" t="s">
        <v>41258</v>
      </c>
      <c r="S7805" t="s">
        <v>41513</v>
      </c>
      <c r="T7805" t="s">
        <v>43000</v>
      </c>
      <c r="U7805" t="s">
        <v>47977</v>
      </c>
      <c r="W7805" t="s">
        <v>38773</v>
      </c>
      <c r="X7805" t="s">
        <v>41259</v>
      </c>
    </row>
    <row r="7806" spans="1:24">
      <c r="A7806">
        <f>HYPERLINK("https://www.philgeps.gov.ph/GEPSNONPILOT/Tender/SplashBidNoticeAbstractUI.aspx?menuIndex=3&amp;refID=7064752&amp;Result=3","7064752")</f>
        <v>0</v>
      </c>
      <c r="B7806" t="s">
        <v>2213</v>
      </c>
      <c r="C7806" t="s">
        <v>10826</v>
      </c>
      <c r="D7806" t="s">
        <v>16627</v>
      </c>
      <c r="E7806" t="s">
        <v>23549</v>
      </c>
      <c r="F7806" t="s">
        <v>28669</v>
      </c>
      <c r="G7806" t="s">
        <v>28676</v>
      </c>
      <c r="H7806" t="s">
        <v>9998</v>
      </c>
      <c r="I7806" t="s">
        <v>3679</v>
      </c>
      <c r="J7806" t="s">
        <v>33715</v>
      </c>
      <c r="K7806" t="s">
        <v>37210</v>
      </c>
      <c r="M7806" t="s">
        <v>39865</v>
      </c>
      <c r="N7806" t="s">
        <v>41249</v>
      </c>
      <c r="O7806" t="s">
        <v>41250</v>
      </c>
      <c r="P7806">
        <v>0</v>
      </c>
      <c r="Q7806">
        <v>0</v>
      </c>
      <c r="R7806" t="s">
        <v>41258</v>
      </c>
      <c r="S7806" t="s">
        <v>41513</v>
      </c>
      <c r="T7806" t="s">
        <v>42883</v>
      </c>
      <c r="U7806" t="s">
        <v>49623</v>
      </c>
      <c r="W7806" t="s">
        <v>39865</v>
      </c>
      <c r="X7806" t="s">
        <v>41259</v>
      </c>
    </row>
    <row r="7807" spans="1:24">
      <c r="A7807">
        <f>HYPERLINK("https://www.philgeps.gov.ph/GEPSNONPILOT/Tender/SplashBidNoticeAbstractUI.aspx?menuIndex=3&amp;refID=7064749&amp;Result=3","7064749")</f>
        <v>0</v>
      </c>
      <c r="B7807" t="s">
        <v>986</v>
      </c>
      <c r="C7807" t="s">
        <v>10827</v>
      </c>
      <c r="D7807" t="s">
        <v>16620</v>
      </c>
      <c r="E7807" t="s">
        <v>23550</v>
      </c>
      <c r="F7807" t="s">
        <v>28669</v>
      </c>
      <c r="G7807" t="s">
        <v>28675</v>
      </c>
      <c r="H7807" t="s">
        <v>9998</v>
      </c>
      <c r="I7807" t="s">
        <v>28704</v>
      </c>
      <c r="J7807" t="s">
        <v>33716</v>
      </c>
      <c r="K7807" t="s">
        <v>37206</v>
      </c>
      <c r="M7807" t="s">
        <v>38900</v>
      </c>
      <c r="N7807" t="s">
        <v>41249</v>
      </c>
      <c r="O7807" t="s">
        <v>41250</v>
      </c>
      <c r="P7807">
        <v>0</v>
      </c>
      <c r="Q7807">
        <v>0</v>
      </c>
      <c r="R7807" t="s">
        <v>41258</v>
      </c>
      <c r="S7807" t="s">
        <v>41513</v>
      </c>
      <c r="T7807" t="s">
        <v>42728</v>
      </c>
      <c r="U7807" t="s">
        <v>45210</v>
      </c>
      <c r="V7807" t="s">
        <v>54542</v>
      </c>
      <c r="W7807" t="s">
        <v>38900</v>
      </c>
      <c r="X7807" t="s">
        <v>41259</v>
      </c>
    </row>
    <row r="7808" spans="1:24">
      <c r="A7808">
        <f>HYPERLINK("https://www.philgeps.gov.ph/GEPSNONPILOT/Tender/SplashBidNoticeAbstractUI.aspx?menuIndex=3&amp;refID=7064738&amp;Result=3","7064738")</f>
        <v>0</v>
      </c>
      <c r="B7808" t="s">
        <v>986</v>
      </c>
      <c r="C7808" t="s">
        <v>10828</v>
      </c>
      <c r="D7808" t="s">
        <v>16620</v>
      </c>
      <c r="E7808" t="s">
        <v>23551</v>
      </c>
      <c r="F7808" t="s">
        <v>28669</v>
      </c>
      <c r="G7808" t="s">
        <v>28675</v>
      </c>
      <c r="H7808" t="s">
        <v>9998</v>
      </c>
      <c r="I7808" t="s">
        <v>28704</v>
      </c>
      <c r="J7808" t="s">
        <v>33717</v>
      </c>
      <c r="K7808" t="s">
        <v>37206</v>
      </c>
      <c r="M7808" t="s">
        <v>38900</v>
      </c>
      <c r="N7808" t="s">
        <v>41249</v>
      </c>
      <c r="O7808" t="s">
        <v>41250</v>
      </c>
      <c r="P7808">
        <v>0</v>
      </c>
      <c r="Q7808">
        <v>0</v>
      </c>
      <c r="R7808" t="s">
        <v>41258</v>
      </c>
      <c r="S7808" t="s">
        <v>41513</v>
      </c>
      <c r="T7808" t="s">
        <v>42728</v>
      </c>
      <c r="U7808" t="s">
        <v>45210</v>
      </c>
      <c r="V7808" t="s">
        <v>54542</v>
      </c>
      <c r="W7808" t="s">
        <v>38900</v>
      </c>
      <c r="X7808" t="s">
        <v>41259</v>
      </c>
    </row>
    <row r="7809" spans="1:24">
      <c r="A7809">
        <f>HYPERLINK("https://www.philgeps.gov.ph/GEPSNONPILOT/Tender/SplashBidNoticeAbstractUI.aspx?menuIndex=3&amp;refID=7064686&amp;Result=3","7064686")</f>
        <v>0</v>
      </c>
      <c r="B7809" t="s">
        <v>224</v>
      </c>
      <c r="C7809" t="s">
        <v>10829</v>
      </c>
      <c r="D7809" t="s">
        <v>16626</v>
      </c>
      <c r="E7809" t="s">
        <v>21164</v>
      </c>
      <c r="F7809" t="s">
        <v>28669</v>
      </c>
      <c r="G7809" t="s">
        <v>28675</v>
      </c>
      <c r="H7809" t="s">
        <v>9998</v>
      </c>
      <c r="I7809" t="s">
        <v>28687</v>
      </c>
      <c r="J7809" t="s">
        <v>33718</v>
      </c>
      <c r="K7809" t="s">
        <v>37209</v>
      </c>
      <c r="M7809" t="s">
        <v>37702</v>
      </c>
      <c r="N7809" t="s">
        <v>41249</v>
      </c>
      <c r="O7809" t="s">
        <v>41250</v>
      </c>
      <c r="P7809">
        <v>0</v>
      </c>
      <c r="Q7809">
        <v>4</v>
      </c>
      <c r="R7809" t="s">
        <v>41258</v>
      </c>
      <c r="S7809" t="s">
        <v>41513</v>
      </c>
      <c r="T7809" t="s">
        <v>42782</v>
      </c>
      <c r="U7809" t="s">
        <v>49624</v>
      </c>
      <c r="W7809" t="s">
        <v>37702</v>
      </c>
      <c r="X7809" t="s">
        <v>41259</v>
      </c>
    </row>
    <row r="7810" spans="1:24">
      <c r="A7810">
        <f>HYPERLINK("https://www.philgeps.gov.ph/GEPSNONPILOT/Tender/SplashBidNoticeAbstractUI.aspx?menuIndex=3&amp;refID=7064665&amp;Result=3","7064665")</f>
        <v>0</v>
      </c>
      <c r="B7810" t="s">
        <v>986</v>
      </c>
      <c r="C7810" t="s">
        <v>10830</v>
      </c>
      <c r="D7810" t="s">
        <v>16620</v>
      </c>
      <c r="E7810" t="s">
        <v>23552</v>
      </c>
      <c r="F7810" t="s">
        <v>28669</v>
      </c>
      <c r="G7810" t="s">
        <v>28675</v>
      </c>
      <c r="H7810" t="s">
        <v>9998</v>
      </c>
      <c r="I7810" t="s">
        <v>28717</v>
      </c>
      <c r="J7810" t="s">
        <v>30589</v>
      </c>
      <c r="K7810" t="s">
        <v>37206</v>
      </c>
      <c r="M7810" t="s">
        <v>38900</v>
      </c>
      <c r="N7810" t="s">
        <v>41249</v>
      </c>
      <c r="O7810" t="s">
        <v>41250</v>
      </c>
      <c r="P7810">
        <v>0</v>
      </c>
      <c r="Q7810">
        <v>1</v>
      </c>
      <c r="R7810" t="s">
        <v>41258</v>
      </c>
      <c r="S7810" t="s">
        <v>41513</v>
      </c>
      <c r="T7810" t="s">
        <v>42728</v>
      </c>
      <c r="U7810" t="s">
        <v>45210</v>
      </c>
      <c r="V7810" t="s">
        <v>54542</v>
      </c>
      <c r="W7810" t="s">
        <v>38900</v>
      </c>
      <c r="X7810" t="s">
        <v>41259</v>
      </c>
    </row>
    <row r="7811" spans="1:24">
      <c r="A7811">
        <f>HYPERLINK("https://www.philgeps.gov.ph/GEPSNONPILOT/Tender/SplashBidNoticeAbstractUI.aspx?menuIndex=3&amp;refID=7064726&amp;Result=3","7064726")</f>
        <v>0</v>
      </c>
      <c r="B7811" t="s">
        <v>986</v>
      </c>
      <c r="C7811" t="s">
        <v>10831</v>
      </c>
      <c r="D7811" t="s">
        <v>16620</v>
      </c>
      <c r="E7811" t="s">
        <v>23553</v>
      </c>
      <c r="F7811" t="s">
        <v>28669</v>
      </c>
      <c r="G7811" t="s">
        <v>28675</v>
      </c>
      <c r="H7811" t="s">
        <v>9998</v>
      </c>
      <c r="I7811" t="s">
        <v>28704</v>
      </c>
      <c r="J7811" t="s">
        <v>29446</v>
      </c>
      <c r="K7811" t="s">
        <v>37206</v>
      </c>
      <c r="M7811" t="s">
        <v>38900</v>
      </c>
      <c r="N7811" t="s">
        <v>41249</v>
      </c>
      <c r="O7811" t="s">
        <v>41250</v>
      </c>
      <c r="P7811">
        <v>0</v>
      </c>
      <c r="Q7811">
        <v>0</v>
      </c>
      <c r="R7811" t="s">
        <v>41258</v>
      </c>
      <c r="S7811" t="s">
        <v>41513</v>
      </c>
      <c r="T7811" t="s">
        <v>42728</v>
      </c>
      <c r="U7811" t="s">
        <v>45210</v>
      </c>
      <c r="V7811" t="s">
        <v>54542</v>
      </c>
      <c r="W7811" t="s">
        <v>38900</v>
      </c>
      <c r="X7811" t="s">
        <v>41259</v>
      </c>
    </row>
    <row r="7812" spans="1:24">
      <c r="A7812">
        <f>HYPERLINK("https://www.philgeps.gov.ph/GEPSNONPILOT/Tender/SplashBidNoticeAbstractUI.aspx?menuIndex=3&amp;refID=7064725&amp;Result=3","7064725")</f>
        <v>0</v>
      </c>
      <c r="B7812" t="s">
        <v>2423</v>
      </c>
      <c r="C7812" t="s">
        <v>7900</v>
      </c>
      <c r="D7812" t="s">
        <v>16667</v>
      </c>
      <c r="E7812" t="s">
        <v>23554</v>
      </c>
      <c r="F7812" t="s">
        <v>28669</v>
      </c>
      <c r="G7812" t="s">
        <v>28675</v>
      </c>
      <c r="H7812" t="s">
        <v>28686</v>
      </c>
      <c r="I7812" t="s">
        <v>28689</v>
      </c>
      <c r="J7812" t="s">
        <v>28879</v>
      </c>
      <c r="K7812" t="s">
        <v>37283</v>
      </c>
      <c r="M7812" t="s">
        <v>40106</v>
      </c>
      <c r="N7812" t="s">
        <v>41249</v>
      </c>
      <c r="O7812" t="s">
        <v>41250</v>
      </c>
      <c r="P7812">
        <v>0</v>
      </c>
      <c r="Q7812">
        <v>0</v>
      </c>
      <c r="R7812" t="s">
        <v>41258</v>
      </c>
      <c r="S7812" t="s">
        <v>41513</v>
      </c>
      <c r="T7812" t="s">
        <v>42727</v>
      </c>
      <c r="U7812" t="s">
        <v>49625</v>
      </c>
      <c r="W7812" t="s">
        <v>40106</v>
      </c>
      <c r="X7812" t="s">
        <v>41259</v>
      </c>
    </row>
    <row r="7813" spans="1:24">
      <c r="A7813">
        <f>HYPERLINK("https://www.philgeps.gov.ph/GEPSNONPILOT/Tender/SplashBidNoticeAbstractUI.aspx?menuIndex=3&amp;refID=7064737&amp;Result=3","7064737")</f>
        <v>0</v>
      </c>
      <c r="B7813" t="s">
        <v>136</v>
      </c>
      <c r="C7813" t="s">
        <v>10832</v>
      </c>
      <c r="D7813" t="s">
        <v>16642</v>
      </c>
      <c r="E7813" t="s">
        <v>23555</v>
      </c>
      <c r="F7813" t="s">
        <v>28669</v>
      </c>
      <c r="G7813" t="s">
        <v>28676</v>
      </c>
      <c r="H7813" t="s">
        <v>9998</v>
      </c>
      <c r="I7813" t="s">
        <v>28795</v>
      </c>
      <c r="J7813" t="s">
        <v>28877</v>
      </c>
      <c r="K7813" t="s">
        <v>37216</v>
      </c>
      <c r="M7813" t="s">
        <v>37613</v>
      </c>
      <c r="N7813" t="s">
        <v>41249</v>
      </c>
      <c r="O7813" t="s">
        <v>41250</v>
      </c>
      <c r="P7813">
        <v>0</v>
      </c>
      <c r="Q7813">
        <v>2</v>
      </c>
      <c r="R7813" t="s">
        <v>41258</v>
      </c>
      <c r="S7813" t="s">
        <v>41513</v>
      </c>
      <c r="T7813" t="s">
        <v>42766</v>
      </c>
      <c r="U7813" t="s">
        <v>49626</v>
      </c>
      <c r="V7813" t="s">
        <v>54313</v>
      </c>
      <c r="W7813" t="s">
        <v>55905</v>
      </c>
      <c r="X7813" t="s">
        <v>41259</v>
      </c>
    </row>
    <row r="7814" spans="1:24">
      <c r="A7814">
        <f>HYPERLINK("https://www.philgeps.gov.ph/GEPSNONPILOT/Tender/SplashBidNoticeAbstractUI.aspx?menuIndex=3&amp;refID=7064722&amp;Result=3","7064722")</f>
        <v>0</v>
      </c>
      <c r="B7814" t="s">
        <v>1957</v>
      </c>
      <c r="C7814" t="s">
        <v>10833</v>
      </c>
      <c r="D7814" t="s">
        <v>16620</v>
      </c>
      <c r="E7814" t="s">
        <v>23556</v>
      </c>
      <c r="F7814" t="s">
        <v>28669</v>
      </c>
      <c r="G7814" t="s">
        <v>28676</v>
      </c>
      <c r="H7814" t="s">
        <v>9998</v>
      </c>
      <c r="I7814" t="s">
        <v>7352</v>
      </c>
      <c r="J7814" t="s">
        <v>28879</v>
      </c>
      <c r="K7814" t="s">
        <v>37206</v>
      </c>
      <c r="M7814" t="s">
        <v>39589</v>
      </c>
      <c r="N7814" t="s">
        <v>41249</v>
      </c>
      <c r="O7814" t="s">
        <v>41250</v>
      </c>
      <c r="P7814">
        <v>0</v>
      </c>
      <c r="Q7814">
        <v>0</v>
      </c>
      <c r="R7814" t="s">
        <v>41258</v>
      </c>
      <c r="S7814" t="s">
        <v>41513</v>
      </c>
      <c r="T7814" t="s">
        <v>42758</v>
      </c>
      <c r="U7814" t="s">
        <v>49627</v>
      </c>
      <c r="W7814" t="s">
        <v>39589</v>
      </c>
      <c r="X7814" t="s">
        <v>41259</v>
      </c>
    </row>
    <row r="7815" spans="1:24">
      <c r="A7815">
        <f>HYPERLINK("https://www.philgeps.gov.ph/GEPSNONPILOT/Tender/SplashBidNoticeAbstractUI.aspx?menuIndex=3&amp;refID=7064720&amp;Result=3","7064720")</f>
        <v>0</v>
      </c>
      <c r="B7815" t="s">
        <v>224</v>
      </c>
      <c r="C7815" t="s">
        <v>10834</v>
      </c>
      <c r="D7815" t="s">
        <v>16626</v>
      </c>
      <c r="E7815" t="s">
        <v>16837</v>
      </c>
      <c r="F7815" t="s">
        <v>28669</v>
      </c>
      <c r="G7815" t="s">
        <v>28675</v>
      </c>
      <c r="H7815" t="s">
        <v>9998</v>
      </c>
      <c r="I7815" t="s">
        <v>28687</v>
      </c>
      <c r="J7815" t="s">
        <v>33719</v>
      </c>
      <c r="K7815" t="s">
        <v>37209</v>
      </c>
      <c r="M7815" t="s">
        <v>37702</v>
      </c>
      <c r="N7815" t="s">
        <v>41249</v>
      </c>
      <c r="O7815" t="s">
        <v>41250</v>
      </c>
      <c r="P7815">
        <v>0</v>
      </c>
      <c r="Q7815">
        <v>7</v>
      </c>
      <c r="R7815" t="s">
        <v>41258</v>
      </c>
      <c r="S7815" t="s">
        <v>41513</v>
      </c>
      <c r="T7815" t="s">
        <v>42782</v>
      </c>
      <c r="U7815" t="s">
        <v>49628</v>
      </c>
      <c r="V7815" t="s">
        <v>55147</v>
      </c>
      <c r="W7815" t="s">
        <v>37702</v>
      </c>
      <c r="X7815" t="s">
        <v>41259</v>
      </c>
    </row>
    <row r="7816" spans="1:24">
      <c r="A7816">
        <f>HYPERLINK("https://www.philgeps.gov.ph/GEPSNONPILOT/Tender/SplashBidNoticeAbstractUI.aspx?menuIndex=3&amp;refID=7064728&amp;Result=3","7064728")</f>
        <v>0</v>
      </c>
      <c r="B7816" t="s">
        <v>2424</v>
      </c>
      <c r="C7816" t="s">
        <v>10835</v>
      </c>
      <c r="D7816" t="s">
        <v>16619</v>
      </c>
      <c r="E7816" t="s">
        <v>16799</v>
      </c>
      <c r="F7816" t="s">
        <v>28669</v>
      </c>
      <c r="G7816" t="s">
        <v>28675</v>
      </c>
      <c r="H7816" t="s">
        <v>28686</v>
      </c>
      <c r="I7816" t="s">
        <v>28696</v>
      </c>
      <c r="J7816" t="s">
        <v>29713</v>
      </c>
      <c r="K7816" t="s">
        <v>37220</v>
      </c>
      <c r="M7816" t="s">
        <v>40107</v>
      </c>
      <c r="N7816" t="s">
        <v>41249</v>
      </c>
      <c r="O7816" t="s">
        <v>41250</v>
      </c>
      <c r="P7816">
        <v>0</v>
      </c>
      <c r="Q7816">
        <v>0</v>
      </c>
      <c r="R7816" t="s">
        <v>41258</v>
      </c>
      <c r="S7816" t="s">
        <v>41513</v>
      </c>
      <c r="T7816" t="s">
        <v>43058</v>
      </c>
      <c r="U7816" t="s">
        <v>49629</v>
      </c>
      <c r="W7816" t="s">
        <v>40107</v>
      </c>
      <c r="X7816" t="s">
        <v>41259</v>
      </c>
    </row>
    <row r="7817" spans="1:24">
      <c r="A7817">
        <f>HYPERLINK("https://www.philgeps.gov.ph/GEPSNONPILOT/Tender/SplashBidNoticeAbstractUI.aspx?menuIndex=3&amp;refID=7064710&amp;Result=3","7064710")</f>
        <v>0</v>
      </c>
      <c r="B7817" t="s">
        <v>513</v>
      </c>
      <c r="C7817" t="s">
        <v>10836</v>
      </c>
      <c r="D7817" t="s">
        <v>16637</v>
      </c>
      <c r="E7817" t="s">
        <v>23557</v>
      </c>
      <c r="F7817" t="s">
        <v>28669</v>
      </c>
      <c r="G7817" t="s">
        <v>28675</v>
      </c>
      <c r="H7817" t="s">
        <v>9998</v>
      </c>
      <c r="I7817" t="s">
        <v>7352</v>
      </c>
      <c r="J7817" t="s">
        <v>33720</v>
      </c>
      <c r="K7817" t="s">
        <v>37206</v>
      </c>
      <c r="M7817" t="s">
        <v>38003</v>
      </c>
      <c r="N7817" t="s">
        <v>41249</v>
      </c>
      <c r="O7817" t="s">
        <v>41250</v>
      </c>
      <c r="P7817">
        <v>0</v>
      </c>
      <c r="Q7817">
        <v>0</v>
      </c>
      <c r="R7817" t="s">
        <v>41258</v>
      </c>
      <c r="S7817" t="s">
        <v>41513</v>
      </c>
      <c r="T7817" t="s">
        <v>42992</v>
      </c>
      <c r="U7817" t="s">
        <v>49630</v>
      </c>
      <c r="V7817" t="s">
        <v>54361</v>
      </c>
      <c r="W7817" t="s">
        <v>38003</v>
      </c>
      <c r="X7817" t="s">
        <v>41259</v>
      </c>
    </row>
    <row r="7818" spans="1:24">
      <c r="A7818">
        <f>HYPERLINK("https://www.philgeps.gov.ph/GEPSNONPILOT/Tender/SplashBidNoticeAbstractUI.aspx?menuIndex=3&amp;refID=7064366&amp;Result=3","7064366")</f>
        <v>0</v>
      </c>
      <c r="B7818" t="s">
        <v>2409</v>
      </c>
      <c r="C7818" t="s">
        <v>10792</v>
      </c>
      <c r="D7818" t="s">
        <v>16608</v>
      </c>
      <c r="E7818" t="s">
        <v>23558</v>
      </c>
      <c r="F7818" t="s">
        <v>28669</v>
      </c>
      <c r="G7818" t="s">
        <v>28675</v>
      </c>
      <c r="H7818" t="s">
        <v>9998</v>
      </c>
      <c r="I7818" t="s">
        <v>28688</v>
      </c>
      <c r="J7818" t="s">
        <v>33688</v>
      </c>
      <c r="K7818" t="s">
        <v>37204</v>
      </c>
      <c r="M7818" t="s">
        <v>40091</v>
      </c>
      <c r="N7818" t="s">
        <v>41249</v>
      </c>
      <c r="O7818" t="s">
        <v>41250</v>
      </c>
      <c r="P7818">
        <v>0</v>
      </c>
      <c r="Q7818">
        <v>2</v>
      </c>
      <c r="R7818" t="s">
        <v>41258</v>
      </c>
      <c r="S7818" t="s">
        <v>41513</v>
      </c>
      <c r="T7818" t="s">
        <v>42911</v>
      </c>
      <c r="U7818" t="s">
        <v>49593</v>
      </c>
      <c r="W7818" t="s">
        <v>40091</v>
      </c>
      <c r="X7818" t="s">
        <v>41260</v>
      </c>
    </row>
    <row r="7819" spans="1:24">
      <c r="A7819">
        <f>HYPERLINK("https://www.philgeps.gov.ph/GEPSNONPILOT/Tender/SplashBidNoticeAbstractUI.aspx?menuIndex=3&amp;refID=7064724&amp;Result=3","7064724")</f>
        <v>0</v>
      </c>
      <c r="B7819" t="s">
        <v>404</v>
      </c>
      <c r="C7819" t="s">
        <v>10837</v>
      </c>
      <c r="D7819" t="s">
        <v>16633</v>
      </c>
      <c r="E7819" t="s">
        <v>23559</v>
      </c>
      <c r="F7819" t="s">
        <v>28669</v>
      </c>
      <c r="G7819" t="s">
        <v>28675</v>
      </c>
      <c r="H7819" t="s">
        <v>28686</v>
      </c>
      <c r="I7819" t="s">
        <v>28689</v>
      </c>
      <c r="J7819" t="s">
        <v>29059</v>
      </c>
      <c r="K7819" t="s">
        <v>37317</v>
      </c>
      <c r="M7819" t="s">
        <v>37889</v>
      </c>
      <c r="N7819" t="s">
        <v>41249</v>
      </c>
      <c r="O7819" t="s">
        <v>41250</v>
      </c>
      <c r="P7819">
        <v>0</v>
      </c>
      <c r="Q7819">
        <v>0</v>
      </c>
      <c r="R7819" t="s">
        <v>41258</v>
      </c>
      <c r="S7819" t="s">
        <v>41513</v>
      </c>
      <c r="T7819" t="s">
        <v>42719</v>
      </c>
      <c r="U7819" t="s">
        <v>49631</v>
      </c>
      <c r="W7819" t="s">
        <v>37889</v>
      </c>
      <c r="X7819" t="s">
        <v>41259</v>
      </c>
    </row>
    <row r="7820" spans="1:24">
      <c r="A7820">
        <f>HYPERLINK("https://www.philgeps.gov.ph/GEPSNONPILOT/Tender/SplashBidNoticeAbstractUI.aspx?menuIndex=3&amp;refID=7064839&amp;Result=3","7064839")</f>
        <v>0</v>
      </c>
      <c r="B7820" t="s">
        <v>988</v>
      </c>
      <c r="C7820" t="s">
        <v>10838</v>
      </c>
      <c r="D7820" t="s">
        <v>16635</v>
      </c>
      <c r="E7820" t="s">
        <v>23560</v>
      </c>
      <c r="F7820" t="s">
        <v>28669</v>
      </c>
      <c r="G7820" t="s">
        <v>28676</v>
      </c>
      <c r="H7820" t="s">
        <v>9998</v>
      </c>
      <c r="I7820" t="s">
        <v>28731</v>
      </c>
      <c r="J7820" t="s">
        <v>28985</v>
      </c>
      <c r="K7820" t="s">
        <v>37213</v>
      </c>
      <c r="M7820" t="s">
        <v>39801</v>
      </c>
      <c r="N7820" t="s">
        <v>41249</v>
      </c>
      <c r="O7820" t="s">
        <v>41250</v>
      </c>
      <c r="P7820">
        <v>0</v>
      </c>
      <c r="Q7820">
        <v>11</v>
      </c>
      <c r="R7820" t="s">
        <v>41258</v>
      </c>
      <c r="S7820" t="s">
        <v>41513</v>
      </c>
      <c r="T7820" t="s">
        <v>42690</v>
      </c>
      <c r="U7820" t="s">
        <v>49632</v>
      </c>
      <c r="W7820" t="s">
        <v>39801</v>
      </c>
      <c r="X7820" t="s">
        <v>41259</v>
      </c>
    </row>
    <row r="7821" spans="1:24">
      <c r="A7821">
        <f>HYPERLINK("https://www.philgeps.gov.ph/GEPSNONPILOT/Tender/SplashBidNoticeAbstractUI.aspx?menuIndex=3&amp;refID=7064830&amp;Result=3","7064830")</f>
        <v>0</v>
      </c>
      <c r="B7821" t="s">
        <v>986</v>
      </c>
      <c r="C7821" t="s">
        <v>10839</v>
      </c>
      <c r="D7821" t="s">
        <v>16620</v>
      </c>
      <c r="E7821" t="s">
        <v>23561</v>
      </c>
      <c r="F7821" t="s">
        <v>28669</v>
      </c>
      <c r="G7821" t="s">
        <v>28675</v>
      </c>
      <c r="H7821" t="s">
        <v>9998</v>
      </c>
      <c r="I7821" t="s">
        <v>28695</v>
      </c>
      <c r="J7821" t="s">
        <v>33721</v>
      </c>
      <c r="K7821" t="s">
        <v>37206</v>
      </c>
      <c r="M7821" t="s">
        <v>38900</v>
      </c>
      <c r="N7821" t="s">
        <v>41249</v>
      </c>
      <c r="O7821" t="s">
        <v>41250</v>
      </c>
      <c r="P7821">
        <v>0</v>
      </c>
      <c r="Q7821">
        <v>0</v>
      </c>
      <c r="R7821" t="s">
        <v>41258</v>
      </c>
      <c r="S7821" t="s">
        <v>41513</v>
      </c>
      <c r="T7821" t="s">
        <v>42728</v>
      </c>
      <c r="U7821" t="s">
        <v>49633</v>
      </c>
      <c r="V7821" t="s">
        <v>54542</v>
      </c>
      <c r="W7821" t="s">
        <v>38900</v>
      </c>
      <c r="X7821" t="s">
        <v>41259</v>
      </c>
    </row>
    <row r="7822" spans="1:24">
      <c r="A7822">
        <f>HYPERLINK("https://www.philgeps.gov.ph/GEPSNONPILOT/Tender/SplashBidNoticeAbstractUI.aspx?menuIndex=3&amp;refID=7064821&amp;Result=3","7064821")</f>
        <v>0</v>
      </c>
      <c r="B7822" t="s">
        <v>2425</v>
      </c>
      <c r="C7822" t="s">
        <v>10840</v>
      </c>
      <c r="D7822" t="s">
        <v>16619</v>
      </c>
      <c r="E7822" t="s">
        <v>23562</v>
      </c>
      <c r="F7822" t="s">
        <v>28669</v>
      </c>
      <c r="G7822" t="s">
        <v>28676</v>
      </c>
      <c r="H7822" t="s">
        <v>9998</v>
      </c>
      <c r="I7822" t="s">
        <v>28708</v>
      </c>
      <c r="J7822" t="s">
        <v>28914</v>
      </c>
      <c r="K7822" t="s">
        <v>37210</v>
      </c>
      <c r="M7822" t="s">
        <v>40108</v>
      </c>
      <c r="N7822" t="s">
        <v>41249</v>
      </c>
      <c r="O7822" t="s">
        <v>41250</v>
      </c>
      <c r="P7822">
        <v>0</v>
      </c>
      <c r="Q7822">
        <v>5</v>
      </c>
      <c r="R7822" t="s">
        <v>41258</v>
      </c>
      <c r="S7822" t="s">
        <v>41513</v>
      </c>
      <c r="T7822" t="s">
        <v>42727</v>
      </c>
      <c r="U7822" t="s">
        <v>49634</v>
      </c>
      <c r="W7822" t="s">
        <v>40108</v>
      </c>
      <c r="X7822" t="s">
        <v>41259</v>
      </c>
    </row>
    <row r="7823" spans="1:24">
      <c r="A7823">
        <f>HYPERLINK("https://www.philgeps.gov.ph/GEPSNONPILOT/Tender/SplashBidNoticeAbstractUI.aspx?menuIndex=3&amp;refID=7064813&amp;Result=3","7064813")</f>
        <v>0</v>
      </c>
      <c r="B7823" t="s">
        <v>1328</v>
      </c>
      <c r="C7823" t="s">
        <v>10841</v>
      </c>
      <c r="D7823" t="s">
        <v>16652</v>
      </c>
      <c r="E7823" t="s">
        <v>23563</v>
      </c>
      <c r="F7823" t="s">
        <v>28669</v>
      </c>
      <c r="G7823" t="s">
        <v>28675</v>
      </c>
      <c r="H7823" t="s">
        <v>9998</v>
      </c>
      <c r="I7823" t="s">
        <v>28701</v>
      </c>
      <c r="J7823" t="s">
        <v>33722</v>
      </c>
      <c r="K7823" t="s">
        <v>37326</v>
      </c>
      <c r="M7823" t="s">
        <v>38881</v>
      </c>
      <c r="N7823" t="s">
        <v>41249</v>
      </c>
      <c r="O7823" t="s">
        <v>41250</v>
      </c>
      <c r="Q7823">
        <v>1</v>
      </c>
      <c r="R7823" t="s">
        <v>41258</v>
      </c>
      <c r="S7823" t="s">
        <v>41531</v>
      </c>
      <c r="T7823" t="s">
        <v>42761</v>
      </c>
      <c r="U7823" t="s">
        <v>49635</v>
      </c>
      <c r="W7823" t="s">
        <v>38881</v>
      </c>
      <c r="X7823" t="s">
        <v>41259</v>
      </c>
    </row>
    <row r="7824" spans="1:24">
      <c r="A7824">
        <f>HYPERLINK("https://www.philgeps.gov.ph/GEPSNONPILOT/Tender/SplashBidNoticeAbstractUI.aspx?menuIndex=3&amp;refID=7064812&amp;Result=3","7064812")</f>
        <v>0</v>
      </c>
      <c r="B7824" t="s">
        <v>157</v>
      </c>
      <c r="C7824" t="s">
        <v>10842</v>
      </c>
      <c r="D7824" t="s">
        <v>16664</v>
      </c>
      <c r="E7824" t="s">
        <v>23564</v>
      </c>
      <c r="F7824" t="s">
        <v>28669</v>
      </c>
      <c r="G7824" t="s">
        <v>28676</v>
      </c>
      <c r="H7824" t="s">
        <v>9998</v>
      </c>
      <c r="I7824" t="s">
        <v>5213</v>
      </c>
      <c r="J7824" t="s">
        <v>33723</v>
      </c>
      <c r="K7824" t="s">
        <v>37206</v>
      </c>
      <c r="M7824" t="s">
        <v>37634</v>
      </c>
      <c r="N7824" t="s">
        <v>41249</v>
      </c>
      <c r="O7824" t="s">
        <v>41250</v>
      </c>
      <c r="P7824">
        <v>0</v>
      </c>
      <c r="Q7824">
        <v>0</v>
      </c>
      <c r="R7824" t="s">
        <v>41258</v>
      </c>
      <c r="S7824" t="s">
        <v>41513</v>
      </c>
      <c r="T7824" t="s">
        <v>42811</v>
      </c>
      <c r="U7824" t="s">
        <v>49636</v>
      </c>
      <c r="W7824" t="s">
        <v>37634</v>
      </c>
      <c r="X7824" t="s">
        <v>41259</v>
      </c>
    </row>
    <row r="7825" spans="1:24">
      <c r="A7825">
        <f>HYPERLINK("https://www.philgeps.gov.ph/GEPSNONPILOT/Tender/SplashBidNoticeAbstractUI.aspx?menuIndex=3&amp;refID=7064811&amp;Result=3","7064811")</f>
        <v>0</v>
      </c>
      <c r="B7825" t="s">
        <v>986</v>
      </c>
      <c r="C7825" t="s">
        <v>10843</v>
      </c>
      <c r="D7825" t="s">
        <v>16620</v>
      </c>
      <c r="E7825" t="s">
        <v>23565</v>
      </c>
      <c r="F7825" t="s">
        <v>28669</v>
      </c>
      <c r="G7825" t="s">
        <v>28675</v>
      </c>
      <c r="H7825" t="s">
        <v>9998</v>
      </c>
      <c r="I7825" t="s">
        <v>6458</v>
      </c>
      <c r="J7825" t="s">
        <v>33724</v>
      </c>
      <c r="K7825" t="s">
        <v>37206</v>
      </c>
      <c r="M7825" t="s">
        <v>38900</v>
      </c>
      <c r="N7825" t="s">
        <v>41249</v>
      </c>
      <c r="O7825" t="s">
        <v>41250</v>
      </c>
      <c r="P7825">
        <v>0</v>
      </c>
      <c r="Q7825">
        <v>0</v>
      </c>
      <c r="R7825" t="s">
        <v>41258</v>
      </c>
      <c r="S7825" t="s">
        <v>41513</v>
      </c>
      <c r="T7825" t="s">
        <v>42728</v>
      </c>
      <c r="U7825" t="s">
        <v>45210</v>
      </c>
      <c r="V7825" t="s">
        <v>54542</v>
      </c>
      <c r="W7825" t="s">
        <v>38900</v>
      </c>
      <c r="X7825" t="s">
        <v>41259</v>
      </c>
    </row>
    <row r="7826" spans="1:24">
      <c r="A7826">
        <f>HYPERLINK("https://www.philgeps.gov.ph/GEPSNONPILOT/Tender/SplashBidNoticeAbstractUI.aspx?menuIndex=3&amp;refID=7064832&amp;Result=3","7064832")</f>
        <v>0</v>
      </c>
      <c r="B7826" t="s">
        <v>2155</v>
      </c>
      <c r="C7826" t="s">
        <v>10844</v>
      </c>
      <c r="D7826" t="s">
        <v>16627</v>
      </c>
      <c r="E7826" t="s">
        <v>23566</v>
      </c>
      <c r="F7826" t="s">
        <v>28671</v>
      </c>
      <c r="G7826" t="s">
        <v>28675</v>
      </c>
      <c r="H7826" t="s">
        <v>9998</v>
      </c>
      <c r="I7826" t="s">
        <v>5286</v>
      </c>
      <c r="J7826" t="s">
        <v>33725</v>
      </c>
      <c r="K7826" t="s">
        <v>37206</v>
      </c>
      <c r="M7826" t="s">
        <v>39800</v>
      </c>
      <c r="N7826" t="s">
        <v>41249</v>
      </c>
      <c r="O7826" t="s">
        <v>41250</v>
      </c>
      <c r="P7826">
        <v>0</v>
      </c>
      <c r="Q7826">
        <v>0</v>
      </c>
      <c r="R7826" t="s">
        <v>41258</v>
      </c>
      <c r="S7826" t="s">
        <v>41513</v>
      </c>
      <c r="T7826" t="s">
        <v>42658</v>
      </c>
      <c r="U7826" t="s">
        <v>49637</v>
      </c>
      <c r="V7826" t="s">
        <v>55148</v>
      </c>
      <c r="W7826" t="s">
        <v>39800</v>
      </c>
      <c r="X7826" t="s">
        <v>41259</v>
      </c>
    </row>
    <row r="7827" spans="1:24">
      <c r="A7827">
        <f>HYPERLINK("https://www.philgeps.gov.ph/GEPSNONPILOT/Tender/SplashBidNoticeAbstractUI.aspx?menuIndex=3&amp;refID=7064820&amp;Result=3","7064820")</f>
        <v>0</v>
      </c>
      <c r="B7827" t="s">
        <v>2426</v>
      </c>
      <c r="C7827" t="s">
        <v>10845</v>
      </c>
      <c r="E7827" t="s">
        <v>23567</v>
      </c>
      <c r="F7827" t="s">
        <v>28669</v>
      </c>
      <c r="G7827" t="s">
        <v>28676</v>
      </c>
      <c r="H7827" t="s">
        <v>9998</v>
      </c>
      <c r="I7827" t="s">
        <v>28688</v>
      </c>
      <c r="J7827" t="s">
        <v>33726</v>
      </c>
      <c r="K7827" t="s">
        <v>37209</v>
      </c>
      <c r="M7827" t="s">
        <v>40109</v>
      </c>
      <c r="N7827" t="s">
        <v>41249</v>
      </c>
      <c r="O7827" t="s">
        <v>41250</v>
      </c>
      <c r="P7827">
        <v>0</v>
      </c>
      <c r="Q7827">
        <v>14</v>
      </c>
      <c r="R7827" t="s">
        <v>41258</v>
      </c>
      <c r="S7827" t="s">
        <v>41513</v>
      </c>
      <c r="T7827" t="s">
        <v>42883</v>
      </c>
      <c r="U7827" t="s">
        <v>49638</v>
      </c>
      <c r="W7827" t="s">
        <v>40109</v>
      </c>
      <c r="X7827" t="s">
        <v>41259</v>
      </c>
    </row>
    <row r="7828" spans="1:24">
      <c r="A7828">
        <f>HYPERLINK("https://www.philgeps.gov.ph/GEPSNONPILOT/Tender/SplashBidNoticeAbstractUI.aspx?menuIndex=3&amp;refID=7064797&amp;Result=3","7064797")</f>
        <v>0</v>
      </c>
      <c r="B7828" t="s">
        <v>2427</v>
      </c>
      <c r="C7828" t="s">
        <v>10846</v>
      </c>
      <c r="D7828" t="s">
        <v>16608</v>
      </c>
      <c r="E7828" t="s">
        <v>23568</v>
      </c>
      <c r="F7828" t="s">
        <v>28669</v>
      </c>
      <c r="G7828" t="s">
        <v>28675</v>
      </c>
      <c r="H7828" t="s">
        <v>28686</v>
      </c>
      <c r="I7828" t="s">
        <v>28689</v>
      </c>
      <c r="J7828" t="s">
        <v>28905</v>
      </c>
      <c r="K7828" t="s">
        <v>37243</v>
      </c>
      <c r="L7828" t="s">
        <v>2427</v>
      </c>
      <c r="M7828" t="s">
        <v>40110</v>
      </c>
      <c r="N7828" t="s">
        <v>41249</v>
      </c>
      <c r="O7828" t="s">
        <v>41250</v>
      </c>
      <c r="P7828">
        <v>0</v>
      </c>
      <c r="Q7828">
        <v>1</v>
      </c>
      <c r="R7828" t="s">
        <v>41258</v>
      </c>
      <c r="S7828" t="s">
        <v>41513</v>
      </c>
      <c r="T7828" t="s">
        <v>42706</v>
      </c>
      <c r="U7828" t="s">
        <v>49639</v>
      </c>
      <c r="V7828" t="s">
        <v>55149</v>
      </c>
      <c r="W7828" t="s">
        <v>40110</v>
      </c>
      <c r="X7828" t="s">
        <v>41259</v>
      </c>
    </row>
    <row r="7829" spans="1:24">
      <c r="A7829">
        <f>HYPERLINK("https://www.philgeps.gov.ph/GEPSNONPILOT/Tender/SplashBidNoticeAbstractUI.aspx?menuIndex=3&amp;refID=7064670&amp;Result=3","7064670")</f>
        <v>0</v>
      </c>
      <c r="B7829" t="s">
        <v>986</v>
      </c>
      <c r="C7829" t="s">
        <v>10847</v>
      </c>
      <c r="D7829" t="s">
        <v>16620</v>
      </c>
      <c r="E7829" t="s">
        <v>23569</v>
      </c>
      <c r="F7829" t="s">
        <v>28669</v>
      </c>
      <c r="G7829" t="s">
        <v>28675</v>
      </c>
      <c r="H7829" t="s">
        <v>9998</v>
      </c>
      <c r="I7829" t="s">
        <v>11142</v>
      </c>
      <c r="J7829" t="s">
        <v>33727</v>
      </c>
      <c r="K7829" t="s">
        <v>37206</v>
      </c>
      <c r="M7829" t="s">
        <v>38900</v>
      </c>
      <c r="N7829" t="s">
        <v>41249</v>
      </c>
      <c r="O7829" t="s">
        <v>41250</v>
      </c>
      <c r="P7829">
        <v>0</v>
      </c>
      <c r="Q7829">
        <v>0</v>
      </c>
      <c r="R7829" t="s">
        <v>41258</v>
      </c>
      <c r="S7829" t="s">
        <v>41513</v>
      </c>
      <c r="T7829" t="s">
        <v>42728</v>
      </c>
      <c r="U7829" t="s">
        <v>45210</v>
      </c>
      <c r="V7829" t="s">
        <v>54542</v>
      </c>
      <c r="W7829" t="s">
        <v>38900</v>
      </c>
      <c r="X7829" t="s">
        <v>41259</v>
      </c>
    </row>
    <row r="7830" spans="1:24">
      <c r="A7830">
        <f>HYPERLINK("https://www.philgeps.gov.ph/GEPSNONPILOT/Tender/SplashBidNoticeAbstractUI.aspx?menuIndex=3&amp;refID=7064781&amp;Result=3","7064781")</f>
        <v>0</v>
      </c>
      <c r="B7830" t="s">
        <v>1825</v>
      </c>
      <c r="C7830" t="s">
        <v>10848</v>
      </c>
      <c r="D7830" t="s">
        <v>16627</v>
      </c>
      <c r="E7830" t="s">
        <v>23570</v>
      </c>
      <c r="F7830" t="s">
        <v>28669</v>
      </c>
      <c r="G7830" t="s">
        <v>28675</v>
      </c>
      <c r="H7830" t="s">
        <v>28686</v>
      </c>
      <c r="I7830" t="s">
        <v>28689</v>
      </c>
      <c r="J7830" t="s">
        <v>33728</v>
      </c>
      <c r="K7830" t="s">
        <v>37227</v>
      </c>
      <c r="M7830" t="s">
        <v>39435</v>
      </c>
      <c r="N7830" t="s">
        <v>41249</v>
      </c>
      <c r="O7830" t="s">
        <v>41250</v>
      </c>
      <c r="P7830">
        <v>0</v>
      </c>
      <c r="Q7830">
        <v>0</v>
      </c>
      <c r="R7830" t="s">
        <v>41258</v>
      </c>
      <c r="S7830" t="s">
        <v>41513</v>
      </c>
      <c r="T7830" t="s">
        <v>42758</v>
      </c>
      <c r="U7830" t="s">
        <v>49640</v>
      </c>
      <c r="W7830" t="s">
        <v>39435</v>
      </c>
      <c r="X7830" t="s">
        <v>41259</v>
      </c>
    </row>
    <row r="7831" spans="1:24">
      <c r="A7831">
        <f>HYPERLINK("https://www.philgeps.gov.ph/GEPSNONPILOT/Tender/SplashBidNoticeAbstractUI.aspx?menuIndex=3&amp;refID=7064810&amp;Result=3","7064810")</f>
        <v>0</v>
      </c>
      <c r="B7831" t="s">
        <v>2428</v>
      </c>
      <c r="C7831" t="s">
        <v>10849</v>
      </c>
      <c r="D7831" t="s">
        <v>16621</v>
      </c>
      <c r="E7831" t="s">
        <v>23571</v>
      </c>
      <c r="F7831" t="s">
        <v>28669</v>
      </c>
      <c r="G7831" t="s">
        <v>28675</v>
      </c>
      <c r="H7831" t="s">
        <v>9998</v>
      </c>
      <c r="I7831" t="s">
        <v>28696</v>
      </c>
      <c r="J7831" t="s">
        <v>28851</v>
      </c>
      <c r="K7831" t="s">
        <v>37210</v>
      </c>
      <c r="M7831" t="s">
        <v>40111</v>
      </c>
      <c r="N7831" t="s">
        <v>41249</v>
      </c>
      <c r="O7831" t="s">
        <v>41250</v>
      </c>
      <c r="P7831">
        <v>0</v>
      </c>
      <c r="Q7831">
        <v>1</v>
      </c>
      <c r="R7831" t="s">
        <v>41258</v>
      </c>
      <c r="S7831" t="s">
        <v>41513</v>
      </c>
      <c r="T7831" t="s">
        <v>42711</v>
      </c>
      <c r="U7831" t="s">
        <v>49641</v>
      </c>
      <c r="W7831" t="s">
        <v>40111</v>
      </c>
      <c r="X7831" t="s">
        <v>41259</v>
      </c>
    </row>
    <row r="7832" spans="1:24">
      <c r="A7832">
        <f>HYPERLINK("https://www.philgeps.gov.ph/GEPSNONPILOT/Tender/SplashBidNoticeAbstractUI.aspx?menuIndex=3&amp;refID=7064743&amp;Result=3","7064743")</f>
        <v>0</v>
      </c>
      <c r="B7832" t="s">
        <v>522</v>
      </c>
      <c r="C7832" t="s">
        <v>10850</v>
      </c>
      <c r="D7832" t="s">
        <v>16643</v>
      </c>
      <c r="E7832" t="s">
        <v>23572</v>
      </c>
      <c r="F7832" t="s">
        <v>28669</v>
      </c>
      <c r="G7832" t="s">
        <v>28675</v>
      </c>
      <c r="H7832" t="s">
        <v>28686</v>
      </c>
      <c r="I7832" t="s">
        <v>28689</v>
      </c>
      <c r="J7832" t="s">
        <v>28881</v>
      </c>
      <c r="K7832" t="s">
        <v>37211</v>
      </c>
      <c r="M7832" t="s">
        <v>38013</v>
      </c>
      <c r="N7832" t="s">
        <v>41249</v>
      </c>
      <c r="O7832" t="s">
        <v>41250</v>
      </c>
      <c r="P7832">
        <v>0</v>
      </c>
      <c r="Q7832">
        <v>0</v>
      </c>
      <c r="R7832" t="s">
        <v>41258</v>
      </c>
      <c r="S7832" t="s">
        <v>41513</v>
      </c>
      <c r="T7832" t="s">
        <v>42764</v>
      </c>
      <c r="U7832" t="s">
        <v>49642</v>
      </c>
      <c r="V7832" t="s">
        <v>55150</v>
      </c>
      <c r="W7832" t="s">
        <v>38013</v>
      </c>
      <c r="X7832" t="s">
        <v>41259</v>
      </c>
    </row>
    <row r="7833" spans="1:24">
      <c r="A7833">
        <f>HYPERLINK("https://www.philgeps.gov.ph/GEPSNONPILOT/Tender/SplashBidNoticeAbstractUI.aspx?menuIndex=3&amp;refID=7064774&amp;Result=3","7064774")</f>
        <v>0</v>
      </c>
      <c r="B7833" t="s">
        <v>513</v>
      </c>
      <c r="C7833" t="s">
        <v>10851</v>
      </c>
      <c r="D7833" t="s">
        <v>16637</v>
      </c>
      <c r="E7833" t="s">
        <v>23573</v>
      </c>
      <c r="F7833" t="s">
        <v>28669</v>
      </c>
      <c r="G7833" t="s">
        <v>28675</v>
      </c>
      <c r="H7833" t="s">
        <v>9998</v>
      </c>
      <c r="I7833" t="s">
        <v>7352</v>
      </c>
      <c r="J7833" t="s">
        <v>33720</v>
      </c>
      <c r="K7833" t="s">
        <v>37206</v>
      </c>
      <c r="M7833" t="s">
        <v>38003</v>
      </c>
      <c r="N7833" t="s">
        <v>41249</v>
      </c>
      <c r="O7833" t="s">
        <v>41250</v>
      </c>
      <c r="P7833">
        <v>0</v>
      </c>
      <c r="Q7833">
        <v>0</v>
      </c>
      <c r="R7833" t="s">
        <v>41258</v>
      </c>
      <c r="S7833" t="s">
        <v>41513</v>
      </c>
      <c r="T7833" t="s">
        <v>42938</v>
      </c>
      <c r="U7833" t="s">
        <v>49630</v>
      </c>
      <c r="V7833" t="s">
        <v>54361</v>
      </c>
      <c r="W7833" t="s">
        <v>38003</v>
      </c>
      <c r="X7833" t="s">
        <v>41259</v>
      </c>
    </row>
    <row r="7834" spans="1:24">
      <c r="A7834">
        <f>HYPERLINK("https://www.philgeps.gov.ph/GEPSNONPILOT/Tender/SplashBidNoticeAbstractUI.aspx?menuIndex=3&amp;refID=7064799&amp;Result=3","7064799")</f>
        <v>0</v>
      </c>
      <c r="B7834" t="s">
        <v>986</v>
      </c>
      <c r="C7834" t="s">
        <v>10852</v>
      </c>
      <c r="D7834" t="s">
        <v>16620</v>
      </c>
      <c r="E7834" t="s">
        <v>23574</v>
      </c>
      <c r="F7834" t="s">
        <v>28669</v>
      </c>
      <c r="G7834" t="s">
        <v>28675</v>
      </c>
      <c r="H7834" t="s">
        <v>9998</v>
      </c>
      <c r="I7834" t="s">
        <v>28704</v>
      </c>
      <c r="J7834" t="s">
        <v>33729</v>
      </c>
      <c r="K7834" t="s">
        <v>37206</v>
      </c>
      <c r="M7834" t="s">
        <v>38900</v>
      </c>
      <c r="N7834" t="s">
        <v>41249</v>
      </c>
      <c r="O7834" t="s">
        <v>41250</v>
      </c>
      <c r="P7834">
        <v>0</v>
      </c>
      <c r="Q7834">
        <v>0</v>
      </c>
      <c r="R7834" t="s">
        <v>41258</v>
      </c>
      <c r="S7834" t="s">
        <v>41513</v>
      </c>
      <c r="T7834" t="s">
        <v>42728</v>
      </c>
      <c r="U7834" t="s">
        <v>45210</v>
      </c>
      <c r="V7834" t="s">
        <v>54542</v>
      </c>
      <c r="W7834" t="s">
        <v>38900</v>
      </c>
      <c r="X7834" t="s">
        <v>41259</v>
      </c>
    </row>
    <row r="7835" spans="1:24">
      <c r="A7835">
        <f>HYPERLINK("https://www.philgeps.gov.ph/GEPSNONPILOT/Tender/SplashBidNoticeAbstractUI.aspx?menuIndex=3&amp;refID=7064768&amp;Result=3","7064768")</f>
        <v>0</v>
      </c>
      <c r="B7835" t="s">
        <v>2429</v>
      </c>
      <c r="C7835" t="s">
        <v>7900</v>
      </c>
      <c r="D7835" t="s">
        <v>16667</v>
      </c>
      <c r="E7835" t="s">
        <v>23575</v>
      </c>
      <c r="F7835" t="s">
        <v>28669</v>
      </c>
      <c r="G7835" t="s">
        <v>28675</v>
      </c>
      <c r="H7835" t="s">
        <v>28686</v>
      </c>
      <c r="I7835" t="s">
        <v>28689</v>
      </c>
      <c r="J7835" t="s">
        <v>28878</v>
      </c>
      <c r="K7835" t="s">
        <v>37262</v>
      </c>
      <c r="M7835" t="s">
        <v>40112</v>
      </c>
      <c r="N7835" t="s">
        <v>41249</v>
      </c>
      <c r="O7835" t="s">
        <v>41250</v>
      </c>
      <c r="P7835">
        <v>0</v>
      </c>
      <c r="Q7835">
        <v>0</v>
      </c>
      <c r="R7835" t="s">
        <v>41258</v>
      </c>
      <c r="S7835" t="s">
        <v>41513</v>
      </c>
      <c r="T7835" t="s">
        <v>42727</v>
      </c>
      <c r="U7835" t="s">
        <v>49643</v>
      </c>
      <c r="W7835" t="s">
        <v>40112</v>
      </c>
      <c r="X7835" t="s">
        <v>41259</v>
      </c>
    </row>
    <row r="7836" spans="1:24">
      <c r="A7836">
        <f>HYPERLINK("https://www.philgeps.gov.ph/GEPSNONPILOT/Tender/SplashBidNoticeAbstractUI.aspx?menuIndex=3&amp;refID=7064742&amp;Result=3","7064742")</f>
        <v>0</v>
      </c>
      <c r="B7836" t="s">
        <v>1945</v>
      </c>
      <c r="C7836" t="s">
        <v>10853</v>
      </c>
      <c r="D7836" t="s">
        <v>16674</v>
      </c>
      <c r="E7836" t="s">
        <v>23576</v>
      </c>
      <c r="F7836" t="s">
        <v>28669</v>
      </c>
      <c r="G7836" t="s">
        <v>28675</v>
      </c>
      <c r="H7836" t="s">
        <v>28686</v>
      </c>
      <c r="I7836" t="s">
        <v>28689</v>
      </c>
      <c r="J7836" t="s">
        <v>33730</v>
      </c>
      <c r="K7836" t="s">
        <v>37286</v>
      </c>
      <c r="M7836" t="s">
        <v>39574</v>
      </c>
      <c r="N7836" t="s">
        <v>41249</v>
      </c>
      <c r="O7836" t="s">
        <v>41250</v>
      </c>
      <c r="P7836">
        <v>0</v>
      </c>
      <c r="Q7836">
        <v>0</v>
      </c>
      <c r="R7836" t="s">
        <v>41258</v>
      </c>
      <c r="S7836" t="s">
        <v>41513</v>
      </c>
      <c r="T7836" t="s">
        <v>42728</v>
      </c>
      <c r="U7836" t="s">
        <v>49644</v>
      </c>
      <c r="W7836" t="s">
        <v>39574</v>
      </c>
      <c r="X7836" t="s">
        <v>41259</v>
      </c>
    </row>
    <row r="7837" spans="1:24">
      <c r="A7837">
        <f>HYPERLINK("https://www.philgeps.gov.ph/GEPSNONPILOT/Tender/SplashBidNoticeAbstractUI.aspx?menuIndex=3&amp;refID=7064806&amp;Result=3","7064806")</f>
        <v>0</v>
      </c>
      <c r="B7837" t="s">
        <v>2430</v>
      </c>
      <c r="C7837" t="s">
        <v>10854</v>
      </c>
      <c r="D7837" t="s">
        <v>16658</v>
      </c>
      <c r="E7837" t="s">
        <v>23577</v>
      </c>
      <c r="F7837" t="s">
        <v>28669</v>
      </c>
      <c r="G7837" t="s">
        <v>28675</v>
      </c>
      <c r="H7837" t="s">
        <v>9998</v>
      </c>
      <c r="I7837" t="s">
        <v>7352</v>
      </c>
      <c r="J7837" t="s">
        <v>33731</v>
      </c>
      <c r="K7837" t="s">
        <v>37210</v>
      </c>
      <c r="L7837" t="s">
        <v>2430</v>
      </c>
      <c r="M7837" t="s">
        <v>40113</v>
      </c>
      <c r="N7837" t="s">
        <v>41249</v>
      </c>
      <c r="O7837" t="s">
        <v>41250</v>
      </c>
      <c r="P7837">
        <v>0</v>
      </c>
      <c r="Q7837">
        <v>2</v>
      </c>
      <c r="R7837" t="s">
        <v>41258</v>
      </c>
      <c r="S7837" t="s">
        <v>41513</v>
      </c>
      <c r="T7837" t="s">
        <v>42739</v>
      </c>
      <c r="U7837" t="s">
        <v>49645</v>
      </c>
      <c r="W7837" t="s">
        <v>40113</v>
      </c>
      <c r="X7837" t="s">
        <v>41259</v>
      </c>
    </row>
    <row r="7838" spans="1:24">
      <c r="A7838">
        <f>HYPERLINK("https://www.philgeps.gov.ph/GEPSNONPILOT/Tender/SplashBidNoticeAbstractUI.aspx?menuIndex=3&amp;refID=7064767&amp;Result=3","7064767")</f>
        <v>0</v>
      </c>
      <c r="B7838" t="s">
        <v>224</v>
      </c>
      <c r="C7838" t="s">
        <v>10855</v>
      </c>
      <c r="D7838" t="s">
        <v>16626</v>
      </c>
      <c r="E7838" t="s">
        <v>21691</v>
      </c>
      <c r="F7838" t="s">
        <v>28669</v>
      </c>
      <c r="G7838" t="s">
        <v>28675</v>
      </c>
      <c r="H7838" t="s">
        <v>9998</v>
      </c>
      <c r="I7838" t="s">
        <v>28687</v>
      </c>
      <c r="J7838" t="s">
        <v>28823</v>
      </c>
      <c r="K7838" t="s">
        <v>37209</v>
      </c>
      <c r="M7838" t="s">
        <v>37702</v>
      </c>
      <c r="N7838" t="s">
        <v>41249</v>
      </c>
      <c r="O7838" t="s">
        <v>41250</v>
      </c>
      <c r="P7838">
        <v>0</v>
      </c>
      <c r="Q7838">
        <v>6</v>
      </c>
      <c r="R7838" t="s">
        <v>41258</v>
      </c>
      <c r="S7838" t="s">
        <v>41513</v>
      </c>
      <c r="T7838" t="s">
        <v>42782</v>
      </c>
      <c r="U7838" t="s">
        <v>49646</v>
      </c>
      <c r="W7838" t="s">
        <v>37702</v>
      </c>
      <c r="X7838" t="s">
        <v>41259</v>
      </c>
    </row>
    <row r="7839" spans="1:24">
      <c r="A7839">
        <f>HYPERLINK("https://www.philgeps.gov.ph/GEPSNONPILOT/Tender/SplashBidNoticeAbstractUI.aspx?menuIndex=3&amp;refID=7064668&amp;Result=3","7064668")</f>
        <v>0</v>
      </c>
      <c r="B7839" t="s">
        <v>782</v>
      </c>
      <c r="C7839" t="s">
        <v>10856</v>
      </c>
      <c r="D7839" t="s">
        <v>16658</v>
      </c>
      <c r="E7839" t="s">
        <v>23578</v>
      </c>
      <c r="F7839" t="s">
        <v>28669</v>
      </c>
      <c r="G7839" t="s">
        <v>28675</v>
      </c>
      <c r="H7839" t="s">
        <v>9998</v>
      </c>
      <c r="I7839" t="s">
        <v>3718</v>
      </c>
      <c r="J7839" t="s">
        <v>30041</v>
      </c>
      <c r="K7839" t="s">
        <v>37205</v>
      </c>
      <c r="M7839" t="s">
        <v>38296</v>
      </c>
      <c r="N7839" t="s">
        <v>41249</v>
      </c>
      <c r="O7839" t="s">
        <v>41250</v>
      </c>
      <c r="P7839">
        <v>0</v>
      </c>
      <c r="Q7839">
        <v>0</v>
      </c>
      <c r="R7839" t="s">
        <v>41258</v>
      </c>
      <c r="S7839" t="s">
        <v>41513</v>
      </c>
      <c r="T7839" t="s">
        <v>42754</v>
      </c>
      <c r="U7839" t="s">
        <v>49647</v>
      </c>
      <c r="W7839" t="s">
        <v>38296</v>
      </c>
      <c r="X7839" t="s">
        <v>41259</v>
      </c>
    </row>
    <row r="7840" spans="1:24">
      <c r="A7840">
        <f>HYPERLINK("https://www.philgeps.gov.ph/GEPSNONPILOT/Tender/SplashBidNoticeAbstractUI.aspx?menuIndex=3&amp;refID=7064775&amp;Result=3","7064775")</f>
        <v>0</v>
      </c>
      <c r="B7840" t="s">
        <v>1978</v>
      </c>
      <c r="C7840" t="s">
        <v>10857</v>
      </c>
      <c r="D7840" t="s">
        <v>16666</v>
      </c>
      <c r="E7840" t="s">
        <v>23579</v>
      </c>
      <c r="F7840" t="s">
        <v>28669</v>
      </c>
      <c r="G7840" t="s">
        <v>28675</v>
      </c>
      <c r="H7840" t="s">
        <v>28686</v>
      </c>
      <c r="I7840" t="s">
        <v>28689</v>
      </c>
      <c r="J7840" t="s">
        <v>28847</v>
      </c>
      <c r="K7840" t="s">
        <v>37209</v>
      </c>
      <c r="M7840" t="s">
        <v>39612</v>
      </c>
      <c r="N7840" t="s">
        <v>41249</v>
      </c>
      <c r="O7840" t="s">
        <v>41250</v>
      </c>
      <c r="P7840">
        <v>0</v>
      </c>
      <c r="Q7840">
        <v>0</v>
      </c>
      <c r="R7840" t="s">
        <v>41258</v>
      </c>
      <c r="S7840" t="s">
        <v>41513</v>
      </c>
      <c r="T7840" t="s">
        <v>42659</v>
      </c>
      <c r="U7840" t="s">
        <v>49648</v>
      </c>
      <c r="W7840" t="s">
        <v>39612</v>
      </c>
      <c r="X7840" t="s">
        <v>41259</v>
      </c>
    </row>
    <row r="7841" spans="1:24">
      <c r="A7841">
        <f>HYPERLINK("https://www.philgeps.gov.ph/GEPSNONPILOT/Tender/SplashBidNoticeAbstractUI.aspx?menuIndex=3&amp;refID=7064904&amp;Result=3","7064904")</f>
        <v>0</v>
      </c>
      <c r="B7841" t="s">
        <v>2431</v>
      </c>
      <c r="C7841" t="s">
        <v>10858</v>
      </c>
      <c r="D7841" t="s">
        <v>16673</v>
      </c>
      <c r="E7841" t="s">
        <v>23580</v>
      </c>
      <c r="F7841" t="s">
        <v>28669</v>
      </c>
      <c r="G7841" t="s">
        <v>28675</v>
      </c>
      <c r="H7841" t="s">
        <v>28686</v>
      </c>
      <c r="I7841" t="s">
        <v>28689</v>
      </c>
      <c r="J7841" t="s">
        <v>28836</v>
      </c>
      <c r="K7841" t="s">
        <v>37223</v>
      </c>
      <c r="M7841" t="s">
        <v>40114</v>
      </c>
      <c r="N7841" t="s">
        <v>41249</v>
      </c>
      <c r="O7841" t="s">
        <v>41250</v>
      </c>
      <c r="P7841">
        <v>0</v>
      </c>
      <c r="Q7841">
        <v>0</v>
      </c>
      <c r="R7841" t="s">
        <v>41258</v>
      </c>
      <c r="S7841" t="s">
        <v>41513</v>
      </c>
      <c r="T7841" t="s">
        <v>42695</v>
      </c>
      <c r="U7841" t="s">
        <v>49649</v>
      </c>
      <c r="W7841" t="s">
        <v>40114</v>
      </c>
      <c r="X7841" t="s">
        <v>41259</v>
      </c>
    </row>
    <row r="7842" spans="1:24">
      <c r="A7842">
        <f>HYPERLINK("https://www.philgeps.gov.ph/GEPSNONPILOT/Tender/SplashBidNoticeAbstractUI.aspx?menuIndex=3&amp;refID=7064903&amp;Result=3","7064903")</f>
        <v>0</v>
      </c>
      <c r="B7842" t="s">
        <v>2422</v>
      </c>
      <c r="C7842" t="s">
        <v>10859</v>
      </c>
      <c r="E7842" t="s">
        <v>23581</v>
      </c>
      <c r="F7842" t="s">
        <v>28669</v>
      </c>
      <c r="G7842" t="s">
        <v>28675</v>
      </c>
      <c r="H7842" t="s">
        <v>9998</v>
      </c>
      <c r="I7842" t="s">
        <v>28782</v>
      </c>
      <c r="J7842" t="s">
        <v>33732</v>
      </c>
      <c r="K7842" t="s">
        <v>37209</v>
      </c>
      <c r="M7842" t="s">
        <v>40105</v>
      </c>
      <c r="N7842" t="s">
        <v>41249</v>
      </c>
      <c r="O7842" t="s">
        <v>41250</v>
      </c>
      <c r="P7842">
        <v>0</v>
      </c>
      <c r="Q7842">
        <v>8</v>
      </c>
      <c r="R7842" t="s">
        <v>41258</v>
      </c>
      <c r="S7842" t="s">
        <v>41513</v>
      </c>
      <c r="T7842" t="s">
        <v>42931</v>
      </c>
      <c r="U7842" t="s">
        <v>49650</v>
      </c>
      <c r="V7842" t="s">
        <v>55151</v>
      </c>
      <c r="W7842" t="s">
        <v>40105</v>
      </c>
      <c r="X7842" t="s">
        <v>41259</v>
      </c>
    </row>
    <row r="7843" spans="1:24">
      <c r="A7843">
        <f>HYPERLINK("https://www.philgeps.gov.ph/GEPSNONPILOT/Tender/SplashBidNoticeAbstractUI.aspx?menuIndex=3&amp;refID=7064896&amp;Result=3","7064896")</f>
        <v>0</v>
      </c>
      <c r="B7843" t="s">
        <v>522</v>
      </c>
      <c r="C7843" t="s">
        <v>10860</v>
      </c>
      <c r="D7843" t="s">
        <v>16643</v>
      </c>
      <c r="E7843" t="s">
        <v>23582</v>
      </c>
      <c r="F7843" t="s">
        <v>28669</v>
      </c>
      <c r="G7843" t="s">
        <v>28675</v>
      </c>
      <c r="H7843" t="s">
        <v>9998</v>
      </c>
      <c r="I7843" t="s">
        <v>7352</v>
      </c>
      <c r="J7843" t="s">
        <v>33733</v>
      </c>
      <c r="K7843" t="s">
        <v>37294</v>
      </c>
      <c r="M7843" t="s">
        <v>38013</v>
      </c>
      <c r="N7843" t="s">
        <v>41249</v>
      </c>
      <c r="O7843" t="s">
        <v>41250</v>
      </c>
      <c r="P7843">
        <v>0</v>
      </c>
      <c r="Q7843">
        <v>0</v>
      </c>
      <c r="R7843" t="s">
        <v>41258</v>
      </c>
      <c r="S7843" t="s">
        <v>41513</v>
      </c>
      <c r="T7843" t="s">
        <v>42764</v>
      </c>
      <c r="U7843" t="s">
        <v>49651</v>
      </c>
      <c r="V7843" t="s">
        <v>55150</v>
      </c>
      <c r="W7843" t="s">
        <v>38013</v>
      </c>
      <c r="X7843" t="s">
        <v>41259</v>
      </c>
    </row>
    <row r="7844" spans="1:24">
      <c r="A7844">
        <f>HYPERLINK("https://www.philgeps.gov.ph/GEPSNONPILOT/Tender/SplashBidNoticeAbstractUI.aspx?menuIndex=3&amp;refID=7064892&amp;Result=3","7064892")</f>
        <v>0</v>
      </c>
      <c r="B7844" t="s">
        <v>782</v>
      </c>
      <c r="C7844" t="s">
        <v>10861</v>
      </c>
      <c r="D7844" t="s">
        <v>16658</v>
      </c>
      <c r="E7844" t="s">
        <v>23583</v>
      </c>
      <c r="F7844" t="s">
        <v>28669</v>
      </c>
      <c r="G7844" t="s">
        <v>28675</v>
      </c>
      <c r="H7844" t="s">
        <v>9998</v>
      </c>
      <c r="I7844" t="s">
        <v>7352</v>
      </c>
      <c r="J7844" t="s">
        <v>33734</v>
      </c>
      <c r="K7844" t="s">
        <v>37205</v>
      </c>
      <c r="M7844" t="s">
        <v>38296</v>
      </c>
      <c r="N7844" t="s">
        <v>41249</v>
      </c>
      <c r="O7844" t="s">
        <v>41250</v>
      </c>
      <c r="P7844">
        <v>0</v>
      </c>
      <c r="Q7844">
        <v>0</v>
      </c>
      <c r="R7844" t="s">
        <v>41258</v>
      </c>
      <c r="S7844" t="s">
        <v>41513</v>
      </c>
      <c r="T7844" t="s">
        <v>42754</v>
      </c>
      <c r="U7844" t="s">
        <v>49652</v>
      </c>
      <c r="W7844" t="s">
        <v>38296</v>
      </c>
      <c r="X7844" t="s">
        <v>41259</v>
      </c>
    </row>
    <row r="7845" spans="1:24">
      <c r="A7845">
        <f>HYPERLINK("https://www.philgeps.gov.ph/GEPSNONPILOT/Tender/SplashBidNoticeAbstractUI.aspx?menuIndex=3&amp;refID=7064887&amp;Result=3","7064887")</f>
        <v>0</v>
      </c>
      <c r="B7845" t="s">
        <v>2432</v>
      </c>
      <c r="C7845" t="s">
        <v>10862</v>
      </c>
      <c r="D7845" t="s">
        <v>16664</v>
      </c>
      <c r="E7845" t="s">
        <v>23584</v>
      </c>
      <c r="F7845" t="s">
        <v>28669</v>
      </c>
      <c r="G7845" t="s">
        <v>28677</v>
      </c>
      <c r="H7845" t="s">
        <v>9998</v>
      </c>
      <c r="I7845" t="s">
        <v>28688</v>
      </c>
      <c r="J7845" t="s">
        <v>28923</v>
      </c>
      <c r="K7845" t="s">
        <v>37209</v>
      </c>
      <c r="M7845" t="s">
        <v>40115</v>
      </c>
      <c r="N7845" t="s">
        <v>41249</v>
      </c>
      <c r="O7845" t="s">
        <v>41250</v>
      </c>
      <c r="P7845">
        <v>0</v>
      </c>
      <c r="Q7845">
        <v>2</v>
      </c>
      <c r="R7845" t="s">
        <v>41258</v>
      </c>
      <c r="S7845" t="s">
        <v>41513</v>
      </c>
      <c r="T7845" t="s">
        <v>42727</v>
      </c>
      <c r="U7845" t="s">
        <v>49653</v>
      </c>
      <c r="W7845" t="s">
        <v>40115</v>
      </c>
      <c r="X7845" t="s">
        <v>41259</v>
      </c>
    </row>
    <row r="7846" spans="1:24">
      <c r="A7846">
        <f>HYPERLINK("https://www.philgeps.gov.ph/GEPSNONPILOT/Tender/SplashBidNoticeAbstractUI.aspx?menuIndex=3&amp;refID=7064879&amp;Result=3","7064879")</f>
        <v>0</v>
      </c>
      <c r="B7846" t="s">
        <v>1751</v>
      </c>
      <c r="C7846" t="s">
        <v>10863</v>
      </c>
      <c r="D7846" t="s">
        <v>16625</v>
      </c>
      <c r="E7846" t="s">
        <v>23585</v>
      </c>
      <c r="F7846" t="s">
        <v>28669</v>
      </c>
      <c r="G7846" t="s">
        <v>28676</v>
      </c>
      <c r="H7846" t="s">
        <v>9998</v>
      </c>
      <c r="I7846" t="s">
        <v>28727</v>
      </c>
      <c r="J7846" t="s">
        <v>28871</v>
      </c>
      <c r="K7846" t="s">
        <v>37205</v>
      </c>
      <c r="M7846" t="s">
        <v>39353</v>
      </c>
      <c r="N7846" t="s">
        <v>41249</v>
      </c>
      <c r="O7846" t="s">
        <v>41250</v>
      </c>
      <c r="P7846">
        <v>0</v>
      </c>
      <c r="Q7846">
        <v>3</v>
      </c>
      <c r="R7846" t="s">
        <v>41258</v>
      </c>
      <c r="S7846" t="s">
        <v>41513</v>
      </c>
      <c r="T7846" t="s">
        <v>42758</v>
      </c>
      <c r="U7846" t="s">
        <v>49654</v>
      </c>
      <c r="V7846" t="s">
        <v>55152</v>
      </c>
      <c r="W7846" t="s">
        <v>39353</v>
      </c>
      <c r="X7846" t="s">
        <v>41259</v>
      </c>
    </row>
    <row r="7847" spans="1:24">
      <c r="A7847">
        <f>HYPERLINK("https://www.philgeps.gov.ph/GEPSNONPILOT/Tender/SplashBidNoticeAbstractUI.aspx?menuIndex=3&amp;refID=7064877&amp;Result=3","7064877")</f>
        <v>0</v>
      </c>
      <c r="B7847" t="s">
        <v>2425</v>
      </c>
      <c r="C7847" t="s">
        <v>10864</v>
      </c>
      <c r="D7847" t="s">
        <v>16619</v>
      </c>
      <c r="E7847" t="s">
        <v>23586</v>
      </c>
      <c r="F7847" t="s">
        <v>28669</v>
      </c>
      <c r="G7847" t="s">
        <v>28676</v>
      </c>
      <c r="H7847" t="s">
        <v>9998</v>
      </c>
      <c r="I7847" t="s">
        <v>28688</v>
      </c>
      <c r="J7847" t="s">
        <v>29088</v>
      </c>
      <c r="K7847" t="s">
        <v>37210</v>
      </c>
      <c r="M7847" t="s">
        <v>40108</v>
      </c>
      <c r="N7847" t="s">
        <v>41249</v>
      </c>
      <c r="O7847" t="s">
        <v>41250</v>
      </c>
      <c r="P7847">
        <v>0</v>
      </c>
      <c r="Q7847">
        <v>1</v>
      </c>
      <c r="R7847" t="s">
        <v>41258</v>
      </c>
      <c r="S7847" t="s">
        <v>41513</v>
      </c>
      <c r="T7847" t="s">
        <v>42727</v>
      </c>
      <c r="U7847" t="s">
        <v>49634</v>
      </c>
      <c r="W7847" t="s">
        <v>40108</v>
      </c>
      <c r="X7847" t="s">
        <v>41259</v>
      </c>
    </row>
    <row r="7848" spans="1:24">
      <c r="A7848">
        <f>HYPERLINK("https://www.philgeps.gov.ph/GEPSNONPILOT/Tender/SplashBidNoticeAbstractUI.aspx?menuIndex=3&amp;refID=7064876&amp;Result=3","7064876")</f>
        <v>0</v>
      </c>
      <c r="B7848" t="s">
        <v>2433</v>
      </c>
      <c r="C7848" t="s">
        <v>10865</v>
      </c>
      <c r="D7848" t="s">
        <v>16677</v>
      </c>
      <c r="E7848" t="s">
        <v>23587</v>
      </c>
      <c r="F7848" t="s">
        <v>28669</v>
      </c>
      <c r="G7848" t="s">
        <v>28676</v>
      </c>
      <c r="H7848" t="s">
        <v>9998</v>
      </c>
      <c r="I7848" t="s">
        <v>7352</v>
      </c>
      <c r="J7848" t="s">
        <v>28826</v>
      </c>
      <c r="K7848" t="s">
        <v>37204</v>
      </c>
      <c r="M7848" t="s">
        <v>40116</v>
      </c>
      <c r="N7848" t="s">
        <v>41249</v>
      </c>
      <c r="O7848" t="s">
        <v>41250</v>
      </c>
      <c r="P7848">
        <v>0</v>
      </c>
      <c r="Q7848">
        <v>1</v>
      </c>
      <c r="R7848" t="s">
        <v>41258</v>
      </c>
      <c r="S7848" t="s">
        <v>41513</v>
      </c>
      <c r="T7848" t="s">
        <v>42728</v>
      </c>
      <c r="U7848" t="s">
        <v>49655</v>
      </c>
      <c r="W7848" t="s">
        <v>55993</v>
      </c>
      <c r="X7848" t="s">
        <v>41259</v>
      </c>
    </row>
    <row r="7849" spans="1:24">
      <c r="A7849">
        <f>HYPERLINK("https://www.philgeps.gov.ph/GEPSNONPILOT/Tender/SplashBidNoticeAbstractUI.aspx?menuIndex=3&amp;refID=7064776&amp;Result=3","7064776")</f>
        <v>0</v>
      </c>
      <c r="B7849" t="s">
        <v>986</v>
      </c>
      <c r="C7849" t="s">
        <v>10866</v>
      </c>
      <c r="D7849" t="s">
        <v>16620</v>
      </c>
      <c r="E7849" t="s">
        <v>23588</v>
      </c>
      <c r="F7849" t="s">
        <v>28669</v>
      </c>
      <c r="G7849" t="s">
        <v>28675</v>
      </c>
      <c r="H7849" t="s">
        <v>9998</v>
      </c>
      <c r="I7849" t="s">
        <v>28704</v>
      </c>
      <c r="J7849" t="s">
        <v>33735</v>
      </c>
      <c r="K7849" t="s">
        <v>37206</v>
      </c>
      <c r="M7849" t="s">
        <v>38900</v>
      </c>
      <c r="N7849" t="s">
        <v>41249</v>
      </c>
      <c r="O7849" t="s">
        <v>41250</v>
      </c>
      <c r="P7849">
        <v>0</v>
      </c>
      <c r="Q7849">
        <v>0</v>
      </c>
      <c r="R7849" t="s">
        <v>41258</v>
      </c>
      <c r="S7849" t="s">
        <v>41513</v>
      </c>
      <c r="T7849" t="s">
        <v>42728</v>
      </c>
      <c r="U7849" t="s">
        <v>45210</v>
      </c>
      <c r="V7849" t="s">
        <v>54542</v>
      </c>
      <c r="W7849" t="s">
        <v>38900</v>
      </c>
      <c r="X7849" t="s">
        <v>41259</v>
      </c>
    </row>
    <row r="7850" spans="1:24">
      <c r="A7850">
        <f>HYPERLINK("https://www.philgeps.gov.ph/GEPSNONPILOT/Tender/SplashBidNoticeAbstractUI.aspx?menuIndex=3&amp;refID=7064764&amp;Result=3","7064764")</f>
        <v>0</v>
      </c>
      <c r="B7850" t="s">
        <v>986</v>
      </c>
      <c r="C7850" t="s">
        <v>10867</v>
      </c>
      <c r="D7850" t="s">
        <v>16620</v>
      </c>
      <c r="E7850" t="s">
        <v>23589</v>
      </c>
      <c r="F7850" t="s">
        <v>28669</v>
      </c>
      <c r="G7850" t="s">
        <v>28675</v>
      </c>
      <c r="H7850" t="s">
        <v>9998</v>
      </c>
      <c r="I7850" t="s">
        <v>28704</v>
      </c>
      <c r="J7850" t="s">
        <v>33736</v>
      </c>
      <c r="K7850" t="s">
        <v>37206</v>
      </c>
      <c r="M7850" t="s">
        <v>38900</v>
      </c>
      <c r="N7850" t="s">
        <v>41249</v>
      </c>
      <c r="O7850" t="s">
        <v>41250</v>
      </c>
      <c r="P7850">
        <v>0</v>
      </c>
      <c r="Q7850">
        <v>0</v>
      </c>
      <c r="R7850" t="s">
        <v>41258</v>
      </c>
      <c r="S7850" t="s">
        <v>41513</v>
      </c>
      <c r="T7850" t="s">
        <v>42728</v>
      </c>
      <c r="U7850" t="s">
        <v>45210</v>
      </c>
      <c r="V7850" t="s">
        <v>54542</v>
      </c>
      <c r="W7850" t="s">
        <v>38900</v>
      </c>
      <c r="X7850" t="s">
        <v>41259</v>
      </c>
    </row>
    <row r="7851" spans="1:24">
      <c r="A7851">
        <f>HYPERLINK("https://www.philgeps.gov.ph/GEPSNONPILOT/Tender/SplashBidNoticeAbstractUI.aspx?menuIndex=3&amp;refID=7064865&amp;Result=3","7064865")</f>
        <v>0</v>
      </c>
      <c r="B7851" t="s">
        <v>986</v>
      </c>
      <c r="C7851" t="s">
        <v>10868</v>
      </c>
      <c r="D7851" t="s">
        <v>16620</v>
      </c>
      <c r="E7851" t="s">
        <v>23590</v>
      </c>
      <c r="F7851" t="s">
        <v>28669</v>
      </c>
      <c r="G7851" t="s">
        <v>28675</v>
      </c>
      <c r="H7851" t="s">
        <v>9998</v>
      </c>
      <c r="I7851" t="s">
        <v>11142</v>
      </c>
      <c r="J7851" t="s">
        <v>33737</v>
      </c>
      <c r="K7851" t="s">
        <v>37206</v>
      </c>
      <c r="M7851" t="s">
        <v>38900</v>
      </c>
      <c r="N7851" t="s">
        <v>41249</v>
      </c>
      <c r="O7851" t="s">
        <v>41250</v>
      </c>
      <c r="P7851">
        <v>0</v>
      </c>
      <c r="Q7851">
        <v>2</v>
      </c>
      <c r="R7851" t="s">
        <v>41258</v>
      </c>
      <c r="S7851" t="s">
        <v>41513</v>
      </c>
      <c r="T7851" t="s">
        <v>42755</v>
      </c>
      <c r="U7851" t="s">
        <v>45210</v>
      </c>
      <c r="V7851" t="s">
        <v>54542</v>
      </c>
      <c r="W7851" t="s">
        <v>38900</v>
      </c>
      <c r="X7851" t="s">
        <v>41259</v>
      </c>
    </row>
    <row r="7852" spans="1:24">
      <c r="A7852">
        <f>HYPERLINK("https://www.philgeps.gov.ph/GEPSNONPILOT/Tender/SplashBidNoticeAbstractUI.aspx?menuIndex=3&amp;refID=7064889&amp;Result=3","7064889")</f>
        <v>0</v>
      </c>
      <c r="B7852" t="s">
        <v>2434</v>
      </c>
      <c r="C7852" t="s">
        <v>10869</v>
      </c>
      <c r="D7852" t="s">
        <v>16661</v>
      </c>
      <c r="E7852" t="s">
        <v>23591</v>
      </c>
      <c r="F7852" t="s">
        <v>28669</v>
      </c>
      <c r="G7852" t="s">
        <v>28675</v>
      </c>
      <c r="H7852" t="s">
        <v>9998</v>
      </c>
      <c r="I7852" t="s">
        <v>28713</v>
      </c>
      <c r="J7852" t="s">
        <v>31799</v>
      </c>
      <c r="K7852" t="s">
        <v>37209</v>
      </c>
      <c r="M7852" t="s">
        <v>40117</v>
      </c>
      <c r="N7852" t="s">
        <v>41249</v>
      </c>
      <c r="O7852" t="s">
        <v>41250</v>
      </c>
      <c r="P7852">
        <v>0</v>
      </c>
      <c r="Q7852">
        <v>23</v>
      </c>
      <c r="R7852" t="s">
        <v>41258</v>
      </c>
      <c r="S7852" t="s">
        <v>41513</v>
      </c>
      <c r="T7852" t="s">
        <v>42761</v>
      </c>
      <c r="U7852" t="s">
        <v>49656</v>
      </c>
      <c r="W7852" t="s">
        <v>40117</v>
      </c>
      <c r="X7852" t="s">
        <v>41259</v>
      </c>
    </row>
    <row r="7853" spans="1:24">
      <c r="A7853">
        <f>HYPERLINK("https://www.philgeps.gov.ph/GEPSNONPILOT/Tender/SplashBidNoticeAbstractUI.aspx?menuIndex=3&amp;refID=7064857&amp;Result=3","7064857")</f>
        <v>0</v>
      </c>
      <c r="B7853" t="s">
        <v>2335</v>
      </c>
      <c r="C7853" t="s">
        <v>10870</v>
      </c>
      <c r="D7853" t="s">
        <v>16663</v>
      </c>
      <c r="E7853" t="s">
        <v>23592</v>
      </c>
      <c r="F7853" t="s">
        <v>28669</v>
      </c>
      <c r="G7853" t="s">
        <v>28675</v>
      </c>
      <c r="H7853" t="s">
        <v>9998</v>
      </c>
      <c r="I7853" t="s">
        <v>6128</v>
      </c>
      <c r="J7853" t="s">
        <v>33738</v>
      </c>
      <c r="K7853" t="s">
        <v>37204</v>
      </c>
      <c r="M7853" t="s">
        <v>39998</v>
      </c>
      <c r="N7853" t="s">
        <v>41249</v>
      </c>
      <c r="O7853" t="s">
        <v>41250</v>
      </c>
      <c r="P7853">
        <v>0</v>
      </c>
      <c r="Q7853">
        <v>0</v>
      </c>
      <c r="R7853" t="s">
        <v>41258</v>
      </c>
      <c r="S7853" t="s">
        <v>41513</v>
      </c>
      <c r="T7853" t="s">
        <v>42767</v>
      </c>
      <c r="U7853" t="s">
        <v>49657</v>
      </c>
      <c r="W7853" t="s">
        <v>39998</v>
      </c>
      <c r="X7853" t="s">
        <v>41259</v>
      </c>
    </row>
    <row r="7854" spans="1:24">
      <c r="A7854">
        <f>HYPERLINK("https://www.philgeps.gov.ph/GEPSNONPILOT/Tender/SplashBidNoticeAbstractUI.aspx?menuIndex=3&amp;refID=7064882&amp;Result=3","7064882")</f>
        <v>0</v>
      </c>
      <c r="B7854" t="s">
        <v>2435</v>
      </c>
      <c r="C7854" t="s">
        <v>10871</v>
      </c>
      <c r="D7854" t="s">
        <v>16607</v>
      </c>
      <c r="E7854" t="s">
        <v>17170</v>
      </c>
      <c r="F7854" t="s">
        <v>28669</v>
      </c>
      <c r="G7854" t="s">
        <v>28675</v>
      </c>
      <c r="H7854" t="s">
        <v>9998</v>
      </c>
      <c r="I7854" t="s">
        <v>7352</v>
      </c>
      <c r="J7854" t="s">
        <v>33739</v>
      </c>
      <c r="K7854" t="s">
        <v>37204</v>
      </c>
      <c r="M7854" t="s">
        <v>40118</v>
      </c>
      <c r="N7854" t="s">
        <v>41249</v>
      </c>
      <c r="O7854" t="s">
        <v>41250</v>
      </c>
      <c r="P7854">
        <v>0</v>
      </c>
      <c r="Q7854">
        <v>2</v>
      </c>
      <c r="R7854" t="s">
        <v>41258</v>
      </c>
      <c r="S7854" t="s">
        <v>41513</v>
      </c>
      <c r="T7854" t="s">
        <v>42796</v>
      </c>
      <c r="U7854" t="s">
        <v>49658</v>
      </c>
      <c r="W7854" t="s">
        <v>40118</v>
      </c>
      <c r="X7854" t="s">
        <v>41259</v>
      </c>
    </row>
    <row r="7855" spans="1:24">
      <c r="A7855">
        <f>HYPERLINK("https://www.philgeps.gov.ph/GEPSNONPILOT/Tender/SplashBidNoticeAbstractUI.aspx?menuIndex=3&amp;refID=7064856&amp;Result=3","7064856")</f>
        <v>0</v>
      </c>
      <c r="B7855" t="s">
        <v>1034</v>
      </c>
      <c r="C7855" t="s">
        <v>10872</v>
      </c>
      <c r="D7855" t="s">
        <v>16619</v>
      </c>
      <c r="E7855" t="s">
        <v>23593</v>
      </c>
      <c r="F7855" t="s">
        <v>28669</v>
      </c>
      <c r="G7855" t="s">
        <v>28676</v>
      </c>
      <c r="H7855" t="s">
        <v>9998</v>
      </c>
      <c r="I7855" t="s">
        <v>3679</v>
      </c>
      <c r="J7855" t="s">
        <v>33740</v>
      </c>
      <c r="K7855" t="s">
        <v>37216</v>
      </c>
      <c r="M7855" t="s">
        <v>38565</v>
      </c>
      <c r="N7855" t="s">
        <v>41249</v>
      </c>
      <c r="O7855" t="s">
        <v>41250</v>
      </c>
      <c r="P7855">
        <v>0</v>
      </c>
      <c r="Q7855">
        <v>0</v>
      </c>
      <c r="R7855" t="s">
        <v>41258</v>
      </c>
      <c r="S7855" t="s">
        <v>41513</v>
      </c>
      <c r="T7855" t="s">
        <v>42767</v>
      </c>
      <c r="U7855" t="s">
        <v>49659</v>
      </c>
      <c r="W7855" t="s">
        <v>38565</v>
      </c>
      <c r="X7855" t="s">
        <v>41259</v>
      </c>
    </row>
    <row r="7856" spans="1:24">
      <c r="A7856">
        <f>HYPERLINK("https://www.philgeps.gov.ph/GEPSNONPILOT/Tender/SplashBidNoticeAbstractUI.aspx?menuIndex=3&amp;refID=7064845&amp;Result=3","7064845")</f>
        <v>0</v>
      </c>
      <c r="B7856" t="s">
        <v>986</v>
      </c>
      <c r="C7856" t="s">
        <v>10873</v>
      </c>
      <c r="D7856" t="s">
        <v>16620</v>
      </c>
      <c r="E7856" t="s">
        <v>23594</v>
      </c>
      <c r="F7856" t="s">
        <v>28669</v>
      </c>
      <c r="G7856" t="s">
        <v>28675</v>
      </c>
      <c r="H7856" t="s">
        <v>9998</v>
      </c>
      <c r="I7856" t="s">
        <v>28695</v>
      </c>
      <c r="J7856" t="s">
        <v>31622</v>
      </c>
      <c r="K7856" t="s">
        <v>37206</v>
      </c>
      <c r="M7856" t="s">
        <v>38900</v>
      </c>
      <c r="N7856" t="s">
        <v>41249</v>
      </c>
      <c r="O7856" t="s">
        <v>41250</v>
      </c>
      <c r="P7856">
        <v>0</v>
      </c>
      <c r="Q7856">
        <v>0</v>
      </c>
      <c r="R7856" t="s">
        <v>41258</v>
      </c>
      <c r="S7856" t="s">
        <v>41513</v>
      </c>
      <c r="T7856" t="s">
        <v>42728</v>
      </c>
      <c r="U7856" t="s">
        <v>49633</v>
      </c>
      <c r="V7856" t="s">
        <v>54542</v>
      </c>
      <c r="W7856" t="s">
        <v>38900</v>
      </c>
      <c r="X7856" t="s">
        <v>41259</v>
      </c>
    </row>
    <row r="7857" spans="1:24">
      <c r="A7857">
        <f>HYPERLINK("https://www.philgeps.gov.ph/GEPSNONPILOT/Tender/SplashBidNoticeAbstractUI.aspx?menuIndex=3&amp;refID=7064840&amp;Result=3","7064840")</f>
        <v>0</v>
      </c>
      <c r="B7857" t="s">
        <v>782</v>
      </c>
      <c r="C7857" t="s">
        <v>10874</v>
      </c>
      <c r="D7857" t="s">
        <v>16658</v>
      </c>
      <c r="E7857" t="s">
        <v>23595</v>
      </c>
      <c r="F7857" t="s">
        <v>28669</v>
      </c>
      <c r="G7857" t="s">
        <v>28675</v>
      </c>
      <c r="H7857" t="s">
        <v>9998</v>
      </c>
      <c r="I7857" t="s">
        <v>28690</v>
      </c>
      <c r="J7857" t="s">
        <v>33741</v>
      </c>
      <c r="K7857" t="s">
        <v>37205</v>
      </c>
      <c r="M7857" t="s">
        <v>38296</v>
      </c>
      <c r="N7857" t="s">
        <v>41249</v>
      </c>
      <c r="O7857" t="s">
        <v>41250</v>
      </c>
      <c r="P7857">
        <v>0</v>
      </c>
      <c r="Q7857">
        <v>1</v>
      </c>
      <c r="R7857" t="s">
        <v>41258</v>
      </c>
      <c r="S7857" t="s">
        <v>41513</v>
      </c>
      <c r="T7857" t="s">
        <v>42754</v>
      </c>
      <c r="U7857" t="s">
        <v>49660</v>
      </c>
      <c r="W7857" t="s">
        <v>38296</v>
      </c>
      <c r="X7857" t="s">
        <v>41259</v>
      </c>
    </row>
    <row r="7858" spans="1:24">
      <c r="A7858">
        <f>HYPERLINK("https://www.philgeps.gov.ph/GEPSNONPILOT/Tender/SplashBidNoticeAbstractUI.aspx?menuIndex=3&amp;refID=7064709&amp;Result=3","7064709")</f>
        <v>0</v>
      </c>
      <c r="B7858" t="s">
        <v>986</v>
      </c>
      <c r="C7858" t="s">
        <v>10875</v>
      </c>
      <c r="D7858" t="s">
        <v>16620</v>
      </c>
      <c r="E7858" t="s">
        <v>23596</v>
      </c>
      <c r="F7858" t="s">
        <v>28669</v>
      </c>
      <c r="G7858" t="s">
        <v>28675</v>
      </c>
      <c r="H7858" t="s">
        <v>9998</v>
      </c>
      <c r="I7858" t="s">
        <v>7352</v>
      </c>
      <c r="J7858" t="s">
        <v>33742</v>
      </c>
      <c r="K7858" t="s">
        <v>37206</v>
      </c>
      <c r="M7858" t="s">
        <v>38900</v>
      </c>
      <c r="N7858" t="s">
        <v>41249</v>
      </c>
      <c r="O7858" t="s">
        <v>41250</v>
      </c>
      <c r="P7858">
        <v>0</v>
      </c>
      <c r="Q7858">
        <v>0</v>
      </c>
      <c r="R7858" t="s">
        <v>41258</v>
      </c>
      <c r="S7858" t="s">
        <v>41513</v>
      </c>
      <c r="T7858" t="s">
        <v>42728</v>
      </c>
      <c r="U7858" t="s">
        <v>45210</v>
      </c>
      <c r="V7858" t="s">
        <v>54542</v>
      </c>
      <c r="W7858" t="s">
        <v>38900</v>
      </c>
      <c r="X7858" t="s">
        <v>41259</v>
      </c>
    </row>
    <row r="7859" spans="1:24">
      <c r="A7859">
        <f>HYPERLINK("https://www.philgeps.gov.ph/GEPSNONPILOT/Tender/SplashBidNoticeAbstractUI.aspx?menuIndex=3&amp;refID=7064702&amp;Result=3","7064702")</f>
        <v>0</v>
      </c>
      <c r="B7859" t="s">
        <v>903</v>
      </c>
      <c r="C7859" t="s">
        <v>10876</v>
      </c>
      <c r="D7859" t="s">
        <v>16678</v>
      </c>
      <c r="E7859" t="s">
        <v>23597</v>
      </c>
      <c r="F7859" t="s">
        <v>28669</v>
      </c>
      <c r="G7859" t="s">
        <v>28675</v>
      </c>
      <c r="H7859" t="s">
        <v>9998</v>
      </c>
      <c r="I7859" t="s">
        <v>8667</v>
      </c>
      <c r="J7859" t="s">
        <v>28845</v>
      </c>
      <c r="K7859" t="s">
        <v>37206</v>
      </c>
      <c r="M7859" t="s">
        <v>38424</v>
      </c>
      <c r="N7859" t="s">
        <v>41249</v>
      </c>
      <c r="O7859" t="s">
        <v>41250</v>
      </c>
      <c r="P7859">
        <v>0</v>
      </c>
      <c r="Q7859">
        <v>0</v>
      </c>
      <c r="R7859" t="s">
        <v>41258</v>
      </c>
      <c r="S7859" t="s">
        <v>41513</v>
      </c>
      <c r="T7859" t="s">
        <v>42703</v>
      </c>
      <c r="U7859" t="s">
        <v>49661</v>
      </c>
      <c r="W7859" t="s">
        <v>38424</v>
      </c>
      <c r="X7859" t="s">
        <v>41259</v>
      </c>
    </row>
    <row r="7860" spans="1:24">
      <c r="A7860">
        <f>HYPERLINK("https://www.philgeps.gov.ph/GEPSNONPILOT/Tender/SplashBidNoticeAbstractUI.aspx?menuIndex=3&amp;refID=7064699&amp;Result=3","7064699")</f>
        <v>0</v>
      </c>
      <c r="B7860" t="s">
        <v>484</v>
      </c>
      <c r="C7860" t="s">
        <v>10877</v>
      </c>
      <c r="E7860" t="s">
        <v>23598</v>
      </c>
      <c r="F7860" t="s">
        <v>28669</v>
      </c>
      <c r="G7860" t="s">
        <v>28675</v>
      </c>
      <c r="H7860" t="s">
        <v>28686</v>
      </c>
      <c r="I7860" t="s">
        <v>28689</v>
      </c>
      <c r="J7860" t="s">
        <v>32601</v>
      </c>
      <c r="K7860" t="s">
        <v>37209</v>
      </c>
      <c r="M7860" t="s">
        <v>37972</v>
      </c>
      <c r="N7860" t="s">
        <v>41249</v>
      </c>
      <c r="O7860" t="s">
        <v>41250</v>
      </c>
      <c r="P7860">
        <v>0</v>
      </c>
      <c r="Q7860">
        <v>5</v>
      </c>
      <c r="R7860" t="s">
        <v>41258</v>
      </c>
      <c r="S7860" t="s">
        <v>41513</v>
      </c>
      <c r="T7860" t="s">
        <v>43059</v>
      </c>
      <c r="U7860" t="s">
        <v>49662</v>
      </c>
      <c r="V7860" t="s">
        <v>55153</v>
      </c>
      <c r="W7860" t="s">
        <v>37972</v>
      </c>
      <c r="X7860" t="s">
        <v>41259</v>
      </c>
    </row>
    <row r="7861" spans="1:24">
      <c r="A7861">
        <f>HYPERLINK("https://www.philgeps.gov.ph/GEPSNONPILOT/Tender/SplashBidNoticeAbstractUI.aspx?menuIndex=3&amp;refID=7064697&amp;Result=3","7064697")</f>
        <v>0</v>
      </c>
      <c r="B7861" t="s">
        <v>986</v>
      </c>
      <c r="C7861" t="s">
        <v>10878</v>
      </c>
      <c r="D7861" t="s">
        <v>16620</v>
      </c>
      <c r="E7861" t="s">
        <v>23599</v>
      </c>
      <c r="F7861" t="s">
        <v>28669</v>
      </c>
      <c r="G7861" t="s">
        <v>28675</v>
      </c>
      <c r="H7861" t="s">
        <v>9998</v>
      </c>
      <c r="I7861" t="s">
        <v>7352</v>
      </c>
      <c r="J7861" t="s">
        <v>33743</v>
      </c>
      <c r="K7861" t="s">
        <v>37206</v>
      </c>
      <c r="M7861" t="s">
        <v>38900</v>
      </c>
      <c r="N7861" t="s">
        <v>41249</v>
      </c>
      <c r="O7861" t="s">
        <v>41250</v>
      </c>
      <c r="P7861">
        <v>0</v>
      </c>
      <c r="Q7861">
        <v>0</v>
      </c>
      <c r="R7861" t="s">
        <v>41258</v>
      </c>
      <c r="S7861" t="s">
        <v>41513</v>
      </c>
      <c r="T7861" t="s">
        <v>42728</v>
      </c>
      <c r="U7861" t="s">
        <v>45210</v>
      </c>
      <c r="V7861" t="s">
        <v>54542</v>
      </c>
      <c r="W7861" t="s">
        <v>38900</v>
      </c>
      <c r="X7861" t="s">
        <v>41259</v>
      </c>
    </row>
    <row r="7862" spans="1:24">
      <c r="A7862">
        <f>HYPERLINK("https://www.philgeps.gov.ph/GEPSNONPILOT/Tender/SplashBidNoticeAbstractUI.aspx?menuIndex=3&amp;refID=7064689&amp;Result=3","7064689")</f>
        <v>0</v>
      </c>
      <c r="B7862" t="s">
        <v>986</v>
      </c>
      <c r="C7862" t="s">
        <v>10879</v>
      </c>
      <c r="D7862" t="s">
        <v>16620</v>
      </c>
      <c r="E7862" t="s">
        <v>23600</v>
      </c>
      <c r="F7862" t="s">
        <v>28669</v>
      </c>
      <c r="G7862" t="s">
        <v>28675</v>
      </c>
      <c r="H7862" t="s">
        <v>9998</v>
      </c>
      <c r="I7862" t="s">
        <v>7352</v>
      </c>
      <c r="J7862" t="s">
        <v>33744</v>
      </c>
      <c r="K7862" t="s">
        <v>37206</v>
      </c>
      <c r="M7862" t="s">
        <v>38900</v>
      </c>
      <c r="N7862" t="s">
        <v>41249</v>
      </c>
      <c r="O7862" t="s">
        <v>41250</v>
      </c>
      <c r="P7862">
        <v>0</v>
      </c>
      <c r="Q7862">
        <v>0</v>
      </c>
      <c r="R7862" t="s">
        <v>41258</v>
      </c>
      <c r="S7862" t="s">
        <v>41513</v>
      </c>
      <c r="T7862" t="s">
        <v>42728</v>
      </c>
      <c r="U7862" t="s">
        <v>45210</v>
      </c>
      <c r="V7862" t="s">
        <v>54542</v>
      </c>
      <c r="W7862" t="s">
        <v>38900</v>
      </c>
      <c r="X7862" t="s">
        <v>41259</v>
      </c>
    </row>
    <row r="7863" spans="1:24">
      <c r="A7863">
        <f>HYPERLINK("https://www.philgeps.gov.ph/GEPSNONPILOT/Tender/SplashBidNoticeAbstractUI.aspx?menuIndex=3&amp;refID=7064662&amp;Result=3","7064662")</f>
        <v>0</v>
      </c>
      <c r="B7863" t="s">
        <v>513</v>
      </c>
      <c r="C7863" t="s">
        <v>10880</v>
      </c>
      <c r="D7863" t="s">
        <v>16637</v>
      </c>
      <c r="E7863" t="s">
        <v>23601</v>
      </c>
      <c r="F7863" t="s">
        <v>28669</v>
      </c>
      <c r="G7863" t="s">
        <v>28675</v>
      </c>
      <c r="H7863" t="s">
        <v>9998</v>
      </c>
      <c r="I7863" t="s">
        <v>6128</v>
      </c>
      <c r="J7863" t="s">
        <v>29027</v>
      </c>
      <c r="K7863" t="s">
        <v>37206</v>
      </c>
      <c r="M7863" t="s">
        <v>38003</v>
      </c>
      <c r="N7863" t="s">
        <v>41249</v>
      </c>
      <c r="O7863" t="s">
        <v>41250</v>
      </c>
      <c r="P7863">
        <v>0</v>
      </c>
      <c r="Q7863">
        <v>0</v>
      </c>
      <c r="R7863" t="s">
        <v>41258</v>
      </c>
      <c r="S7863" t="s">
        <v>41513</v>
      </c>
      <c r="T7863" t="s">
        <v>42727</v>
      </c>
      <c r="U7863" t="s">
        <v>49663</v>
      </c>
      <c r="V7863" t="s">
        <v>54361</v>
      </c>
      <c r="W7863" t="s">
        <v>38003</v>
      </c>
      <c r="X7863" t="s">
        <v>41259</v>
      </c>
    </row>
    <row r="7864" spans="1:24">
      <c r="A7864">
        <f>HYPERLINK("https://www.philgeps.gov.ph/GEPSNONPILOT/Tender/SplashBidNoticeAbstractUI.aspx?menuIndex=3&amp;refID=7064660&amp;Result=3","7064660")</f>
        <v>0</v>
      </c>
      <c r="B7864" t="s">
        <v>2436</v>
      </c>
      <c r="C7864" t="s">
        <v>10881</v>
      </c>
      <c r="E7864" t="s">
        <v>21135</v>
      </c>
      <c r="F7864" t="s">
        <v>28669</v>
      </c>
      <c r="G7864" t="s">
        <v>28675</v>
      </c>
      <c r="H7864" t="s">
        <v>9998</v>
      </c>
      <c r="I7864" t="s">
        <v>7352</v>
      </c>
      <c r="J7864" t="s">
        <v>33745</v>
      </c>
      <c r="K7864" t="s">
        <v>37210</v>
      </c>
      <c r="M7864" t="s">
        <v>40119</v>
      </c>
      <c r="N7864" t="s">
        <v>41249</v>
      </c>
      <c r="O7864" t="s">
        <v>41250</v>
      </c>
      <c r="P7864">
        <v>0</v>
      </c>
      <c r="Q7864">
        <v>0</v>
      </c>
      <c r="R7864" t="s">
        <v>41258</v>
      </c>
      <c r="S7864" t="s">
        <v>41513</v>
      </c>
      <c r="T7864" t="s">
        <v>42760</v>
      </c>
      <c r="U7864" t="s">
        <v>49664</v>
      </c>
      <c r="V7864" t="s">
        <v>55154</v>
      </c>
      <c r="W7864" t="s">
        <v>40119</v>
      </c>
      <c r="X7864" t="s">
        <v>41259</v>
      </c>
    </row>
    <row r="7865" spans="1:24">
      <c r="A7865">
        <f>HYPERLINK("https://www.philgeps.gov.ph/GEPSNONPILOT/Tender/SplashBidNoticeAbstractUI.aspx?menuIndex=3&amp;refID=7064658&amp;Result=3","7064658")</f>
        <v>0</v>
      </c>
      <c r="B7865" t="s">
        <v>2419</v>
      </c>
      <c r="C7865" t="s">
        <v>10882</v>
      </c>
      <c r="D7865" t="s">
        <v>16615</v>
      </c>
      <c r="E7865" t="s">
        <v>22006</v>
      </c>
      <c r="F7865" t="s">
        <v>28669</v>
      </c>
      <c r="G7865" t="s">
        <v>28675</v>
      </c>
      <c r="H7865" t="s">
        <v>9998</v>
      </c>
      <c r="I7865" t="s">
        <v>7352</v>
      </c>
      <c r="J7865" t="s">
        <v>29990</v>
      </c>
      <c r="K7865" t="s">
        <v>37204</v>
      </c>
      <c r="M7865" t="s">
        <v>40102</v>
      </c>
      <c r="N7865" t="s">
        <v>41249</v>
      </c>
      <c r="O7865" t="s">
        <v>41250</v>
      </c>
      <c r="P7865">
        <v>0</v>
      </c>
      <c r="Q7865">
        <v>0</v>
      </c>
      <c r="R7865" t="s">
        <v>41258</v>
      </c>
      <c r="S7865" t="s">
        <v>41513</v>
      </c>
      <c r="T7865" t="s">
        <v>42887</v>
      </c>
      <c r="U7865" t="s">
        <v>49665</v>
      </c>
      <c r="W7865" t="s">
        <v>40102</v>
      </c>
      <c r="X7865" t="s">
        <v>41259</v>
      </c>
    </row>
    <row r="7866" spans="1:24">
      <c r="A7866">
        <f>HYPERLINK("https://www.philgeps.gov.ph/GEPSNONPILOT/Tender/SplashBidNoticeAbstractUI.aspx?menuIndex=3&amp;refID=7064844&amp;Result=3","7064844")</f>
        <v>0</v>
      </c>
      <c r="B7866" t="s">
        <v>97</v>
      </c>
      <c r="C7866" t="s">
        <v>10883</v>
      </c>
      <c r="D7866" t="s">
        <v>16609</v>
      </c>
      <c r="E7866" t="s">
        <v>23602</v>
      </c>
      <c r="F7866" t="s">
        <v>28669</v>
      </c>
      <c r="G7866" t="s">
        <v>28675</v>
      </c>
      <c r="H7866" t="s">
        <v>9998</v>
      </c>
      <c r="I7866" t="s">
        <v>28687</v>
      </c>
      <c r="J7866" t="s">
        <v>29112</v>
      </c>
      <c r="K7866" t="s">
        <v>37206</v>
      </c>
      <c r="M7866" t="s">
        <v>37572</v>
      </c>
      <c r="N7866" t="s">
        <v>41249</v>
      </c>
      <c r="O7866" t="s">
        <v>41250</v>
      </c>
      <c r="Q7866">
        <v>5</v>
      </c>
      <c r="R7866" t="s">
        <v>41258</v>
      </c>
      <c r="S7866" t="s">
        <v>41532</v>
      </c>
      <c r="T7866" t="s">
        <v>42911</v>
      </c>
      <c r="U7866" t="s">
        <v>49666</v>
      </c>
      <c r="W7866" t="s">
        <v>37572</v>
      </c>
      <c r="X7866" t="s">
        <v>41259</v>
      </c>
    </row>
    <row r="7867" spans="1:24">
      <c r="A7867">
        <f>HYPERLINK("https://www.philgeps.gov.ph/GEPSNONPILOT/Tender/SplashBidNoticeAbstractUI.aspx?menuIndex=3&amp;refID=7064981&amp;Result=3","7064981")</f>
        <v>0</v>
      </c>
      <c r="B7867" t="s">
        <v>1712</v>
      </c>
      <c r="C7867" t="s">
        <v>10884</v>
      </c>
      <c r="D7867" t="s">
        <v>16639</v>
      </c>
      <c r="E7867" t="s">
        <v>23603</v>
      </c>
      <c r="F7867" t="s">
        <v>28669</v>
      </c>
      <c r="G7867" t="s">
        <v>28676</v>
      </c>
      <c r="H7867" t="s">
        <v>9998</v>
      </c>
      <c r="I7867" t="s">
        <v>28691</v>
      </c>
      <c r="J7867" t="s">
        <v>33746</v>
      </c>
      <c r="K7867" t="s">
        <v>37210</v>
      </c>
      <c r="M7867" t="s">
        <v>39310</v>
      </c>
      <c r="N7867" t="s">
        <v>41249</v>
      </c>
      <c r="O7867" t="s">
        <v>41250</v>
      </c>
      <c r="P7867">
        <v>0</v>
      </c>
      <c r="Q7867">
        <v>0</v>
      </c>
      <c r="R7867" t="s">
        <v>41258</v>
      </c>
      <c r="S7867" t="s">
        <v>41513</v>
      </c>
      <c r="T7867" t="s">
        <v>42989</v>
      </c>
      <c r="U7867" t="s">
        <v>49667</v>
      </c>
      <c r="W7867" t="s">
        <v>39310</v>
      </c>
      <c r="X7867" t="s">
        <v>41259</v>
      </c>
    </row>
    <row r="7868" spans="1:24">
      <c r="A7868">
        <f>HYPERLINK("https://www.philgeps.gov.ph/GEPSNONPILOT/Tender/SplashBidNoticeAbstractUI.aspx?menuIndex=3&amp;refID=7064980&amp;Result=3","7064980")</f>
        <v>0</v>
      </c>
      <c r="B7868" t="s">
        <v>2437</v>
      </c>
      <c r="C7868" t="s">
        <v>10885</v>
      </c>
      <c r="D7868" t="s">
        <v>16628</v>
      </c>
      <c r="E7868" t="s">
        <v>23604</v>
      </c>
      <c r="F7868" t="s">
        <v>28669</v>
      </c>
      <c r="G7868" t="s">
        <v>28676</v>
      </c>
      <c r="H7868" t="s">
        <v>9998</v>
      </c>
      <c r="I7868" t="s">
        <v>28690</v>
      </c>
      <c r="J7868" t="s">
        <v>33747</v>
      </c>
      <c r="K7868" t="s">
        <v>37206</v>
      </c>
      <c r="M7868" t="s">
        <v>40120</v>
      </c>
      <c r="N7868" t="s">
        <v>41249</v>
      </c>
      <c r="O7868" t="s">
        <v>41250</v>
      </c>
      <c r="P7868">
        <v>0</v>
      </c>
      <c r="Q7868">
        <v>1</v>
      </c>
      <c r="R7868" t="s">
        <v>41258</v>
      </c>
      <c r="S7868" t="s">
        <v>41513</v>
      </c>
      <c r="T7868" t="s">
        <v>42883</v>
      </c>
      <c r="U7868" t="s">
        <v>49668</v>
      </c>
      <c r="W7868" t="s">
        <v>40120</v>
      </c>
      <c r="X7868" t="s">
        <v>41259</v>
      </c>
    </row>
    <row r="7869" spans="1:24">
      <c r="A7869">
        <f>HYPERLINK("https://www.philgeps.gov.ph/GEPSNONPILOT/Tender/SplashBidNoticeAbstractUI.aspx?menuIndex=3&amp;refID=7064868&amp;Result=3","7064868")</f>
        <v>0</v>
      </c>
      <c r="B7869" t="s">
        <v>782</v>
      </c>
      <c r="C7869" t="s">
        <v>10886</v>
      </c>
      <c r="D7869" t="s">
        <v>16658</v>
      </c>
      <c r="E7869" t="s">
        <v>23605</v>
      </c>
      <c r="F7869" t="s">
        <v>28669</v>
      </c>
      <c r="G7869" t="s">
        <v>28675</v>
      </c>
      <c r="H7869" t="s">
        <v>9998</v>
      </c>
      <c r="I7869" t="s">
        <v>7352</v>
      </c>
      <c r="J7869" t="s">
        <v>33748</v>
      </c>
      <c r="K7869" t="s">
        <v>37205</v>
      </c>
      <c r="M7869" t="s">
        <v>38296</v>
      </c>
      <c r="N7869" t="s">
        <v>41249</v>
      </c>
      <c r="O7869" t="s">
        <v>41250</v>
      </c>
      <c r="P7869">
        <v>0</v>
      </c>
      <c r="Q7869">
        <v>0</v>
      </c>
      <c r="R7869" t="s">
        <v>41258</v>
      </c>
      <c r="S7869" t="s">
        <v>41513</v>
      </c>
      <c r="T7869" t="s">
        <v>42754</v>
      </c>
      <c r="U7869" t="s">
        <v>49669</v>
      </c>
      <c r="W7869" t="s">
        <v>38296</v>
      </c>
      <c r="X7869" t="s">
        <v>41259</v>
      </c>
    </row>
    <row r="7870" spans="1:24">
      <c r="A7870">
        <f>HYPERLINK("https://www.philgeps.gov.ph/GEPSNONPILOT/Tender/SplashBidNoticeAbstractUI.aspx?menuIndex=3&amp;refID=7064968&amp;Result=3","7064968")</f>
        <v>0</v>
      </c>
      <c r="B7870" t="s">
        <v>177</v>
      </c>
      <c r="C7870" t="s">
        <v>10887</v>
      </c>
      <c r="D7870" t="s">
        <v>16633</v>
      </c>
      <c r="E7870" t="s">
        <v>23606</v>
      </c>
      <c r="F7870" t="s">
        <v>28669</v>
      </c>
      <c r="G7870" t="s">
        <v>28675</v>
      </c>
      <c r="H7870" t="s">
        <v>28684</v>
      </c>
      <c r="I7870" t="s">
        <v>28687</v>
      </c>
      <c r="J7870" t="s">
        <v>30162</v>
      </c>
      <c r="K7870" t="s">
        <v>37227</v>
      </c>
      <c r="M7870" t="s">
        <v>37654</v>
      </c>
      <c r="N7870" t="s">
        <v>41249</v>
      </c>
      <c r="O7870" t="s">
        <v>41250</v>
      </c>
      <c r="P7870">
        <v>0</v>
      </c>
      <c r="Q7870">
        <v>5</v>
      </c>
      <c r="R7870" t="s">
        <v>41258</v>
      </c>
      <c r="S7870" t="s">
        <v>41513</v>
      </c>
      <c r="T7870" t="s">
        <v>43002</v>
      </c>
      <c r="U7870" t="s">
        <v>49670</v>
      </c>
      <c r="V7870" t="s">
        <v>55155</v>
      </c>
      <c r="W7870" t="s">
        <v>37654</v>
      </c>
      <c r="X7870" t="s">
        <v>41259</v>
      </c>
    </row>
    <row r="7871" spans="1:24">
      <c r="A7871">
        <f>HYPERLINK("https://www.philgeps.gov.ph/GEPSNONPILOT/Tender/SplashBidNoticeAbstractUI.aspx?menuIndex=3&amp;refID=7064964&amp;Result=3","7064964")</f>
        <v>0</v>
      </c>
      <c r="B7871" t="s">
        <v>2431</v>
      </c>
      <c r="C7871" t="s">
        <v>10888</v>
      </c>
      <c r="D7871" t="s">
        <v>16673</v>
      </c>
      <c r="E7871" t="s">
        <v>23607</v>
      </c>
      <c r="F7871" t="s">
        <v>28669</v>
      </c>
      <c r="G7871" t="s">
        <v>28675</v>
      </c>
      <c r="H7871" t="s">
        <v>28686</v>
      </c>
      <c r="I7871" t="s">
        <v>28689</v>
      </c>
      <c r="J7871" t="s">
        <v>29134</v>
      </c>
      <c r="K7871" t="s">
        <v>37206</v>
      </c>
      <c r="M7871" t="s">
        <v>40114</v>
      </c>
      <c r="N7871" t="s">
        <v>41249</v>
      </c>
      <c r="O7871" t="s">
        <v>41250</v>
      </c>
      <c r="P7871">
        <v>0</v>
      </c>
      <c r="Q7871">
        <v>0</v>
      </c>
      <c r="R7871" t="s">
        <v>41258</v>
      </c>
      <c r="S7871" t="s">
        <v>41513</v>
      </c>
      <c r="T7871" t="s">
        <v>42695</v>
      </c>
      <c r="U7871" t="s">
        <v>49649</v>
      </c>
      <c r="W7871" t="s">
        <v>40114</v>
      </c>
      <c r="X7871" t="s">
        <v>41259</v>
      </c>
    </row>
    <row r="7872" spans="1:24">
      <c r="A7872">
        <f>HYPERLINK("https://www.philgeps.gov.ph/GEPSNONPILOT/Tender/SplashBidNoticeAbstractUI.aspx?menuIndex=3&amp;refID=7064853&amp;Result=3","7064853")</f>
        <v>0</v>
      </c>
      <c r="B7872" t="s">
        <v>2438</v>
      </c>
      <c r="C7872" t="s">
        <v>10889</v>
      </c>
      <c r="D7872" t="s">
        <v>16639</v>
      </c>
      <c r="E7872" t="s">
        <v>23608</v>
      </c>
      <c r="F7872" t="s">
        <v>28669</v>
      </c>
      <c r="G7872" t="s">
        <v>28675</v>
      </c>
      <c r="H7872" t="s">
        <v>9998</v>
      </c>
      <c r="I7872" t="s">
        <v>5213</v>
      </c>
      <c r="J7872" t="s">
        <v>33674</v>
      </c>
      <c r="K7872" t="s">
        <v>37227</v>
      </c>
      <c r="M7872" t="s">
        <v>40121</v>
      </c>
      <c r="N7872" t="s">
        <v>41249</v>
      </c>
      <c r="O7872" t="s">
        <v>41250</v>
      </c>
      <c r="P7872">
        <v>0</v>
      </c>
      <c r="Q7872">
        <v>7</v>
      </c>
      <c r="R7872" t="s">
        <v>41258</v>
      </c>
      <c r="S7872" t="s">
        <v>41513</v>
      </c>
      <c r="T7872" t="s">
        <v>43027</v>
      </c>
      <c r="U7872" t="s">
        <v>49671</v>
      </c>
      <c r="V7872" t="s">
        <v>55156</v>
      </c>
      <c r="W7872" t="s">
        <v>40121</v>
      </c>
      <c r="X7872" t="s">
        <v>41259</v>
      </c>
    </row>
    <row r="7873" spans="1:24">
      <c r="A7873">
        <f>HYPERLINK("https://www.philgeps.gov.ph/GEPSNONPILOT/Tender/SplashBidNoticeAbstractUI.aspx?menuIndex=3&amp;refID=7064958&amp;Result=3","7064958")</f>
        <v>0</v>
      </c>
      <c r="B7873" t="s">
        <v>2430</v>
      </c>
      <c r="C7873" t="s">
        <v>10890</v>
      </c>
      <c r="D7873" t="s">
        <v>16658</v>
      </c>
      <c r="E7873" t="s">
        <v>23609</v>
      </c>
      <c r="F7873" t="s">
        <v>28669</v>
      </c>
      <c r="G7873" t="s">
        <v>28675</v>
      </c>
      <c r="H7873" t="s">
        <v>9998</v>
      </c>
      <c r="I7873" t="s">
        <v>7352</v>
      </c>
      <c r="J7873" t="s">
        <v>33749</v>
      </c>
      <c r="K7873" t="s">
        <v>37210</v>
      </c>
      <c r="L7873" t="s">
        <v>2430</v>
      </c>
      <c r="M7873" t="s">
        <v>40113</v>
      </c>
      <c r="N7873" t="s">
        <v>41249</v>
      </c>
      <c r="O7873" t="s">
        <v>41250</v>
      </c>
      <c r="P7873">
        <v>0</v>
      </c>
      <c r="Q7873">
        <v>2</v>
      </c>
      <c r="R7873" t="s">
        <v>41258</v>
      </c>
      <c r="S7873" t="s">
        <v>41513</v>
      </c>
      <c r="T7873" t="s">
        <v>42739</v>
      </c>
      <c r="U7873" t="s">
        <v>49645</v>
      </c>
      <c r="W7873" t="s">
        <v>40113</v>
      </c>
      <c r="X7873" t="s">
        <v>41259</v>
      </c>
    </row>
    <row r="7874" spans="1:24">
      <c r="A7874">
        <f>HYPERLINK("https://www.philgeps.gov.ph/GEPSNONPILOT/Tender/SplashBidNoticeAbstractUI.aspx?menuIndex=3&amp;refID=7064950&amp;Result=3","7064950")</f>
        <v>0</v>
      </c>
      <c r="B7874" t="s">
        <v>2335</v>
      </c>
      <c r="C7874" t="s">
        <v>10891</v>
      </c>
      <c r="E7874" t="s">
        <v>23610</v>
      </c>
      <c r="F7874" t="s">
        <v>28669</v>
      </c>
      <c r="G7874" t="s">
        <v>28675</v>
      </c>
      <c r="H7874" t="s">
        <v>9998</v>
      </c>
      <c r="I7874" t="s">
        <v>7352</v>
      </c>
      <c r="J7874" t="s">
        <v>30623</v>
      </c>
      <c r="K7874" t="s">
        <v>37204</v>
      </c>
      <c r="M7874" t="s">
        <v>39998</v>
      </c>
      <c r="N7874" t="s">
        <v>41249</v>
      </c>
      <c r="O7874" t="s">
        <v>41250</v>
      </c>
      <c r="P7874">
        <v>0</v>
      </c>
      <c r="Q7874">
        <v>0</v>
      </c>
      <c r="R7874" t="s">
        <v>41258</v>
      </c>
      <c r="S7874" t="s">
        <v>41513</v>
      </c>
      <c r="T7874" t="s">
        <v>42767</v>
      </c>
      <c r="U7874" t="s">
        <v>49672</v>
      </c>
      <c r="W7874" t="s">
        <v>39998</v>
      </c>
      <c r="X7874" t="s">
        <v>41259</v>
      </c>
    </row>
    <row r="7875" spans="1:24">
      <c r="A7875">
        <f>HYPERLINK("https://www.philgeps.gov.ph/GEPSNONPILOT/Tender/SplashBidNoticeAbstractUI.aspx?menuIndex=3&amp;refID=7064858&amp;Result=3","7064858")</f>
        <v>0</v>
      </c>
      <c r="B7875" t="s">
        <v>2425</v>
      </c>
      <c r="C7875" t="s">
        <v>10892</v>
      </c>
      <c r="D7875" t="s">
        <v>16619</v>
      </c>
      <c r="E7875" t="s">
        <v>23611</v>
      </c>
      <c r="F7875" t="s">
        <v>28669</v>
      </c>
      <c r="G7875" t="s">
        <v>28676</v>
      </c>
      <c r="H7875" t="s">
        <v>9998</v>
      </c>
      <c r="I7875" t="s">
        <v>28708</v>
      </c>
      <c r="J7875" t="s">
        <v>33750</v>
      </c>
      <c r="K7875" t="s">
        <v>37210</v>
      </c>
      <c r="M7875" t="s">
        <v>40108</v>
      </c>
      <c r="N7875" t="s">
        <v>41249</v>
      </c>
      <c r="O7875" t="s">
        <v>41250</v>
      </c>
      <c r="P7875">
        <v>0</v>
      </c>
      <c r="Q7875">
        <v>2</v>
      </c>
      <c r="R7875" t="s">
        <v>41258</v>
      </c>
      <c r="S7875" t="s">
        <v>41513</v>
      </c>
      <c r="T7875" t="s">
        <v>42727</v>
      </c>
      <c r="U7875" t="s">
        <v>49634</v>
      </c>
      <c r="W7875" t="s">
        <v>40108</v>
      </c>
      <c r="X7875" t="s">
        <v>41259</v>
      </c>
    </row>
    <row r="7876" spans="1:24">
      <c r="A7876">
        <f>HYPERLINK("https://www.philgeps.gov.ph/GEPSNONPILOT/Tender/SplashBidNoticeAbstractUI.aspx?menuIndex=3&amp;refID=7064948&amp;Result=3","7064948")</f>
        <v>0</v>
      </c>
      <c r="B7876" t="s">
        <v>2439</v>
      </c>
      <c r="C7876" t="s">
        <v>10893</v>
      </c>
      <c r="D7876" t="s">
        <v>16641</v>
      </c>
      <c r="E7876" t="s">
        <v>23612</v>
      </c>
      <c r="F7876" t="s">
        <v>28669</v>
      </c>
      <c r="G7876" t="s">
        <v>28675</v>
      </c>
      <c r="H7876" t="s">
        <v>9998</v>
      </c>
      <c r="I7876" t="s">
        <v>5286</v>
      </c>
      <c r="J7876" t="s">
        <v>33751</v>
      </c>
      <c r="K7876" t="s">
        <v>37216</v>
      </c>
      <c r="M7876" t="s">
        <v>40122</v>
      </c>
      <c r="N7876" t="s">
        <v>41249</v>
      </c>
      <c r="O7876" t="s">
        <v>41250</v>
      </c>
      <c r="P7876">
        <v>0</v>
      </c>
      <c r="Q7876">
        <v>7</v>
      </c>
      <c r="R7876" t="s">
        <v>41258</v>
      </c>
      <c r="S7876" t="s">
        <v>41513</v>
      </c>
      <c r="T7876" t="s">
        <v>42782</v>
      </c>
      <c r="U7876" t="s">
        <v>49673</v>
      </c>
      <c r="W7876" t="s">
        <v>40122</v>
      </c>
      <c r="X7876" t="s">
        <v>41259</v>
      </c>
    </row>
    <row r="7877" spans="1:24">
      <c r="A7877">
        <f>HYPERLINK("https://www.philgeps.gov.ph/GEPSNONPILOT/Tender/SplashBidNoticeAbstractUI.aspx?menuIndex=3&amp;refID=7064969&amp;Result=3","7064969")</f>
        <v>0</v>
      </c>
      <c r="B7877" t="s">
        <v>1454</v>
      </c>
      <c r="C7877" t="s">
        <v>10894</v>
      </c>
      <c r="E7877" t="s">
        <v>23613</v>
      </c>
      <c r="F7877" t="s">
        <v>28669</v>
      </c>
      <c r="G7877" t="s">
        <v>28676</v>
      </c>
      <c r="H7877" t="s">
        <v>9998</v>
      </c>
      <c r="I7877" t="s">
        <v>28728</v>
      </c>
      <c r="J7877" t="s">
        <v>33752</v>
      </c>
      <c r="K7877" t="s">
        <v>37209</v>
      </c>
      <c r="M7877" t="s">
        <v>39019</v>
      </c>
      <c r="N7877" t="s">
        <v>41249</v>
      </c>
      <c r="O7877" t="s">
        <v>41250</v>
      </c>
      <c r="Q7877">
        <v>1</v>
      </c>
      <c r="R7877" t="s">
        <v>41258</v>
      </c>
      <c r="S7877" t="s">
        <v>41533</v>
      </c>
      <c r="T7877" t="s">
        <v>42883</v>
      </c>
      <c r="U7877" t="s">
        <v>44358</v>
      </c>
      <c r="W7877" t="s">
        <v>39019</v>
      </c>
      <c r="X7877" t="s">
        <v>41259</v>
      </c>
    </row>
    <row r="7878" spans="1:24">
      <c r="A7878">
        <f>HYPERLINK("https://www.philgeps.gov.ph/GEPSNONPILOT/Tender/SplashBidNoticeAbstractUI.aspx?menuIndex=3&amp;refID=7064947&amp;Result=3","7064947")</f>
        <v>0</v>
      </c>
      <c r="B7878" t="s">
        <v>883</v>
      </c>
      <c r="C7878" t="s">
        <v>10895</v>
      </c>
      <c r="D7878" t="s">
        <v>16679</v>
      </c>
      <c r="E7878" t="s">
        <v>23614</v>
      </c>
      <c r="F7878" t="s">
        <v>28669</v>
      </c>
      <c r="G7878" t="s">
        <v>28675</v>
      </c>
      <c r="H7878" t="s">
        <v>9998</v>
      </c>
      <c r="I7878" t="s">
        <v>28724</v>
      </c>
      <c r="J7878" t="s">
        <v>33753</v>
      </c>
      <c r="K7878" t="s">
        <v>37221</v>
      </c>
      <c r="M7878" t="s">
        <v>38403</v>
      </c>
      <c r="N7878" t="s">
        <v>41249</v>
      </c>
      <c r="O7878" t="s">
        <v>41250</v>
      </c>
      <c r="P7878">
        <v>0</v>
      </c>
      <c r="Q7878">
        <v>6</v>
      </c>
      <c r="R7878" t="s">
        <v>41258</v>
      </c>
      <c r="S7878" t="s">
        <v>41513</v>
      </c>
      <c r="T7878" t="s">
        <v>42761</v>
      </c>
      <c r="U7878" t="s">
        <v>49674</v>
      </c>
      <c r="V7878" t="s">
        <v>55157</v>
      </c>
      <c r="W7878" t="s">
        <v>38403</v>
      </c>
      <c r="X7878" t="s">
        <v>41259</v>
      </c>
    </row>
    <row r="7879" spans="1:24">
      <c r="A7879">
        <f>HYPERLINK("https://www.philgeps.gov.ph/GEPSNONPILOT/Tender/SplashBidNoticeAbstractUI.aspx?menuIndex=3&amp;refID=7064946&amp;Result=3","7064946")</f>
        <v>0</v>
      </c>
      <c r="B7879" t="s">
        <v>2440</v>
      </c>
      <c r="C7879" t="s">
        <v>10896</v>
      </c>
      <c r="D7879" t="s">
        <v>16671</v>
      </c>
      <c r="E7879" t="s">
        <v>23615</v>
      </c>
      <c r="F7879" t="s">
        <v>28669</v>
      </c>
      <c r="G7879" t="s">
        <v>28675</v>
      </c>
      <c r="H7879" t="s">
        <v>28684</v>
      </c>
      <c r="I7879" t="s">
        <v>28733</v>
      </c>
      <c r="J7879" t="s">
        <v>28878</v>
      </c>
      <c r="K7879" t="s">
        <v>37205</v>
      </c>
      <c r="M7879" t="s">
        <v>40123</v>
      </c>
      <c r="N7879" t="s">
        <v>41249</v>
      </c>
      <c r="O7879" t="s">
        <v>41250</v>
      </c>
      <c r="P7879">
        <v>0</v>
      </c>
      <c r="Q7879">
        <v>10</v>
      </c>
      <c r="R7879" t="s">
        <v>41258</v>
      </c>
      <c r="S7879" t="s">
        <v>41513</v>
      </c>
      <c r="T7879" t="s">
        <v>42668</v>
      </c>
      <c r="U7879" t="s">
        <v>47069</v>
      </c>
      <c r="V7879" t="s">
        <v>55158</v>
      </c>
      <c r="W7879" t="s">
        <v>40123</v>
      </c>
      <c r="X7879" t="s">
        <v>41259</v>
      </c>
    </row>
    <row r="7880" spans="1:24">
      <c r="A7880">
        <f>HYPERLINK("https://www.philgeps.gov.ph/GEPSNONPILOT/Tender/SplashBidNoticeAbstractUI.aspx?menuIndex=3&amp;refID=7064936&amp;Result=3","7064936")</f>
        <v>0</v>
      </c>
      <c r="B7880" t="s">
        <v>547</v>
      </c>
      <c r="C7880" t="s">
        <v>10897</v>
      </c>
      <c r="D7880" t="s">
        <v>16627</v>
      </c>
      <c r="E7880" t="s">
        <v>23616</v>
      </c>
      <c r="F7880" t="s">
        <v>28669</v>
      </c>
      <c r="G7880" t="s">
        <v>28675</v>
      </c>
      <c r="H7880" t="s">
        <v>9998</v>
      </c>
      <c r="I7880" t="s">
        <v>28687</v>
      </c>
      <c r="J7880" t="s">
        <v>29059</v>
      </c>
      <c r="K7880" t="s">
        <v>37206</v>
      </c>
      <c r="M7880" t="s">
        <v>38040</v>
      </c>
      <c r="N7880" t="s">
        <v>41249</v>
      </c>
      <c r="O7880" t="s">
        <v>41250</v>
      </c>
      <c r="P7880">
        <v>0</v>
      </c>
      <c r="Q7880">
        <v>4</v>
      </c>
      <c r="R7880" t="s">
        <v>41258</v>
      </c>
      <c r="S7880" t="s">
        <v>41513</v>
      </c>
      <c r="T7880" t="s">
        <v>42688</v>
      </c>
      <c r="U7880" t="s">
        <v>49675</v>
      </c>
      <c r="W7880" t="s">
        <v>38040</v>
      </c>
      <c r="X7880" t="s">
        <v>41259</v>
      </c>
    </row>
    <row r="7881" spans="1:24">
      <c r="A7881">
        <f>HYPERLINK("https://www.philgeps.gov.ph/GEPSNONPILOT/Tender/SplashBidNoticeAbstractUI.aspx?menuIndex=3&amp;refID=7064956&amp;Result=3","7064956")</f>
        <v>0</v>
      </c>
      <c r="B7881" t="s">
        <v>2435</v>
      </c>
      <c r="C7881" t="s">
        <v>10898</v>
      </c>
      <c r="D7881" t="s">
        <v>16607</v>
      </c>
      <c r="E7881" t="s">
        <v>17187</v>
      </c>
      <c r="F7881" t="s">
        <v>28669</v>
      </c>
      <c r="G7881" t="s">
        <v>28675</v>
      </c>
      <c r="H7881" t="s">
        <v>9998</v>
      </c>
      <c r="I7881" t="s">
        <v>28696</v>
      </c>
      <c r="J7881" t="s">
        <v>33754</v>
      </c>
      <c r="K7881" t="s">
        <v>37204</v>
      </c>
      <c r="M7881" t="s">
        <v>40118</v>
      </c>
      <c r="N7881" t="s">
        <v>41249</v>
      </c>
      <c r="O7881" t="s">
        <v>41250</v>
      </c>
      <c r="P7881">
        <v>0</v>
      </c>
      <c r="Q7881">
        <v>5</v>
      </c>
      <c r="R7881" t="s">
        <v>41258</v>
      </c>
      <c r="S7881" t="s">
        <v>41513</v>
      </c>
      <c r="T7881" t="s">
        <v>42668</v>
      </c>
      <c r="U7881" t="s">
        <v>49676</v>
      </c>
      <c r="W7881" t="s">
        <v>40118</v>
      </c>
      <c r="X7881" t="s">
        <v>41259</v>
      </c>
    </row>
    <row r="7882" spans="1:24">
      <c r="A7882">
        <f>HYPERLINK("https://www.philgeps.gov.ph/GEPSNONPILOT/Tender/SplashBidNoticeAbstractUI.aspx?menuIndex=3&amp;refID=7064872&amp;Result=3","7064872")</f>
        <v>0</v>
      </c>
      <c r="B7882" t="s">
        <v>1024</v>
      </c>
      <c r="C7882" t="s">
        <v>10899</v>
      </c>
      <c r="D7882" t="s">
        <v>16608</v>
      </c>
      <c r="E7882" t="s">
        <v>23617</v>
      </c>
      <c r="F7882" t="s">
        <v>28669</v>
      </c>
      <c r="G7882" t="s">
        <v>28677</v>
      </c>
      <c r="H7882" t="s">
        <v>9998</v>
      </c>
      <c r="I7882" t="s">
        <v>7352</v>
      </c>
      <c r="J7882" t="s">
        <v>33755</v>
      </c>
      <c r="K7882" t="s">
        <v>37206</v>
      </c>
      <c r="M7882" t="s">
        <v>38554</v>
      </c>
      <c r="N7882" t="s">
        <v>41249</v>
      </c>
      <c r="O7882" t="s">
        <v>41250</v>
      </c>
      <c r="P7882">
        <v>0</v>
      </c>
      <c r="Q7882">
        <v>1</v>
      </c>
      <c r="R7882" t="s">
        <v>41258</v>
      </c>
      <c r="S7882" t="s">
        <v>41513</v>
      </c>
      <c r="T7882" t="s">
        <v>42727</v>
      </c>
      <c r="U7882" t="s">
        <v>49677</v>
      </c>
      <c r="W7882" t="s">
        <v>38554</v>
      </c>
      <c r="X7882" t="s">
        <v>41259</v>
      </c>
    </row>
    <row r="7883" spans="1:24">
      <c r="A7883">
        <f>HYPERLINK("https://www.philgeps.gov.ph/GEPSNONPILOT/Tender/SplashBidNoticeAbstractUI.aspx?menuIndex=3&amp;refID=7064955&amp;Result=3","7064955")</f>
        <v>0</v>
      </c>
      <c r="B7883" t="s">
        <v>965</v>
      </c>
      <c r="C7883" t="s">
        <v>10900</v>
      </c>
      <c r="D7883" t="s">
        <v>16608</v>
      </c>
      <c r="E7883" t="s">
        <v>23618</v>
      </c>
      <c r="F7883" t="s">
        <v>28669</v>
      </c>
      <c r="G7883" t="s">
        <v>28675</v>
      </c>
      <c r="H7883" t="s">
        <v>9998</v>
      </c>
      <c r="I7883" t="s">
        <v>6128</v>
      </c>
      <c r="J7883" t="s">
        <v>33756</v>
      </c>
      <c r="K7883" t="s">
        <v>37205</v>
      </c>
      <c r="M7883" t="s">
        <v>38759</v>
      </c>
      <c r="N7883" t="s">
        <v>41249</v>
      </c>
      <c r="O7883" t="s">
        <v>41250</v>
      </c>
      <c r="P7883">
        <v>0</v>
      </c>
      <c r="Q7883">
        <v>0</v>
      </c>
      <c r="R7883" t="s">
        <v>41258</v>
      </c>
      <c r="S7883" t="s">
        <v>41513</v>
      </c>
      <c r="T7883" t="s">
        <v>42728</v>
      </c>
      <c r="U7883" t="s">
        <v>49678</v>
      </c>
      <c r="W7883" t="s">
        <v>38759</v>
      </c>
      <c r="X7883" t="s">
        <v>41259</v>
      </c>
    </row>
    <row r="7884" spans="1:24">
      <c r="A7884">
        <f>HYPERLINK("https://www.philgeps.gov.ph/GEPSNONPILOT/Tender/SplashBidNoticeAbstractUI.aspx?menuIndex=3&amp;refID=7065036&amp;Result=3","7065036")</f>
        <v>0</v>
      </c>
      <c r="B7884" t="s">
        <v>2441</v>
      </c>
      <c r="C7884" t="s">
        <v>10901</v>
      </c>
      <c r="D7884" t="s">
        <v>16663</v>
      </c>
      <c r="E7884" t="s">
        <v>23619</v>
      </c>
      <c r="F7884" t="s">
        <v>28669</v>
      </c>
      <c r="G7884" t="s">
        <v>28675</v>
      </c>
      <c r="H7884" t="s">
        <v>9998</v>
      </c>
      <c r="I7884" t="s">
        <v>7352</v>
      </c>
      <c r="J7884" t="s">
        <v>33757</v>
      </c>
      <c r="K7884" t="s">
        <v>37209</v>
      </c>
      <c r="M7884" t="s">
        <v>40124</v>
      </c>
      <c r="N7884" t="s">
        <v>41249</v>
      </c>
      <c r="O7884" t="s">
        <v>41250</v>
      </c>
      <c r="P7884">
        <v>0</v>
      </c>
      <c r="Q7884">
        <v>0</v>
      </c>
      <c r="R7884" t="s">
        <v>41258</v>
      </c>
      <c r="S7884" t="s">
        <v>41513</v>
      </c>
      <c r="T7884" t="s">
        <v>42729</v>
      </c>
      <c r="U7884" t="s">
        <v>49679</v>
      </c>
      <c r="W7884" t="s">
        <v>55994</v>
      </c>
      <c r="X7884" t="s">
        <v>41259</v>
      </c>
    </row>
    <row r="7885" spans="1:24">
      <c r="A7885">
        <f>HYPERLINK("https://www.philgeps.gov.ph/GEPSNONPILOT/Tender/SplashBidNoticeAbstractUI.aspx?menuIndex=3&amp;refID=7065026&amp;Result=3","7065026")</f>
        <v>0</v>
      </c>
      <c r="B7885" t="s">
        <v>1024</v>
      </c>
      <c r="C7885" t="s">
        <v>10902</v>
      </c>
      <c r="D7885" t="s">
        <v>16608</v>
      </c>
      <c r="E7885" t="s">
        <v>23620</v>
      </c>
      <c r="F7885" t="s">
        <v>28669</v>
      </c>
      <c r="G7885" t="s">
        <v>28677</v>
      </c>
      <c r="H7885" t="s">
        <v>9998</v>
      </c>
      <c r="I7885" t="s">
        <v>7352</v>
      </c>
      <c r="J7885" t="s">
        <v>33758</v>
      </c>
      <c r="K7885" t="s">
        <v>37206</v>
      </c>
      <c r="M7885" t="s">
        <v>38554</v>
      </c>
      <c r="N7885" t="s">
        <v>41249</v>
      </c>
      <c r="O7885" t="s">
        <v>41250</v>
      </c>
      <c r="P7885">
        <v>0</v>
      </c>
      <c r="Q7885">
        <v>0</v>
      </c>
      <c r="R7885" t="s">
        <v>41258</v>
      </c>
      <c r="S7885" t="s">
        <v>41513</v>
      </c>
      <c r="T7885" t="s">
        <v>42727</v>
      </c>
      <c r="U7885" t="s">
        <v>49680</v>
      </c>
      <c r="W7885" t="s">
        <v>38554</v>
      </c>
      <c r="X7885" t="s">
        <v>41259</v>
      </c>
    </row>
    <row r="7886" spans="1:24">
      <c r="A7886">
        <f>HYPERLINK("https://www.philgeps.gov.ph/GEPSNONPILOT/Tender/SplashBidNoticeAbstractUI.aspx?menuIndex=3&amp;refID=7065025&amp;Result=3","7065025")</f>
        <v>0</v>
      </c>
      <c r="B7886" t="s">
        <v>1957</v>
      </c>
      <c r="C7886" t="s">
        <v>10903</v>
      </c>
      <c r="D7886" t="s">
        <v>16620</v>
      </c>
      <c r="E7886" t="s">
        <v>23621</v>
      </c>
      <c r="F7886" t="s">
        <v>28669</v>
      </c>
      <c r="G7886" t="s">
        <v>28676</v>
      </c>
      <c r="H7886" t="s">
        <v>9998</v>
      </c>
      <c r="I7886" t="s">
        <v>11593</v>
      </c>
      <c r="J7886" t="s">
        <v>29270</v>
      </c>
      <c r="K7886" t="s">
        <v>37206</v>
      </c>
      <c r="M7886" t="s">
        <v>39589</v>
      </c>
      <c r="N7886" t="s">
        <v>41249</v>
      </c>
      <c r="O7886" t="s">
        <v>41250</v>
      </c>
      <c r="P7886">
        <v>0</v>
      </c>
      <c r="Q7886">
        <v>0</v>
      </c>
      <c r="R7886" t="s">
        <v>41258</v>
      </c>
      <c r="S7886" t="s">
        <v>41513</v>
      </c>
      <c r="T7886" t="s">
        <v>42729</v>
      </c>
      <c r="U7886" t="s">
        <v>49681</v>
      </c>
      <c r="W7886" t="s">
        <v>39589</v>
      </c>
      <c r="X7886" t="s">
        <v>41259</v>
      </c>
    </row>
    <row r="7887" spans="1:24">
      <c r="A7887">
        <f>HYPERLINK("https://www.philgeps.gov.ph/GEPSNONPILOT/Tender/SplashBidNoticeAbstractUI.aspx?menuIndex=3&amp;refID=7064945&amp;Result=3","7064945")</f>
        <v>0</v>
      </c>
      <c r="B7887" t="s">
        <v>2431</v>
      </c>
      <c r="C7887" t="s">
        <v>10904</v>
      </c>
      <c r="D7887" t="s">
        <v>16673</v>
      </c>
      <c r="E7887" t="s">
        <v>23622</v>
      </c>
      <c r="F7887" t="s">
        <v>28669</v>
      </c>
      <c r="G7887" t="s">
        <v>28675</v>
      </c>
      <c r="H7887" t="s">
        <v>28686</v>
      </c>
      <c r="I7887" t="s">
        <v>28689</v>
      </c>
      <c r="J7887" t="s">
        <v>28836</v>
      </c>
      <c r="K7887" t="s">
        <v>37207</v>
      </c>
      <c r="M7887" t="s">
        <v>40114</v>
      </c>
      <c r="N7887" t="s">
        <v>41249</v>
      </c>
      <c r="O7887" t="s">
        <v>41250</v>
      </c>
      <c r="P7887">
        <v>0</v>
      </c>
      <c r="Q7887">
        <v>0</v>
      </c>
      <c r="R7887" t="s">
        <v>41258</v>
      </c>
      <c r="S7887" t="s">
        <v>41513</v>
      </c>
      <c r="T7887" t="s">
        <v>42695</v>
      </c>
      <c r="U7887" t="s">
        <v>49649</v>
      </c>
      <c r="W7887" t="s">
        <v>40114</v>
      </c>
      <c r="X7887" t="s">
        <v>41259</v>
      </c>
    </row>
    <row r="7888" spans="1:24">
      <c r="A7888">
        <f>HYPERLINK("https://www.philgeps.gov.ph/GEPSNONPILOT/Tender/SplashBidNoticeAbstractUI.aspx?menuIndex=3&amp;refID=7065022&amp;Result=3","7065022")</f>
        <v>0</v>
      </c>
      <c r="B7888" t="s">
        <v>2438</v>
      </c>
      <c r="C7888" t="s">
        <v>10905</v>
      </c>
      <c r="D7888" t="s">
        <v>16639</v>
      </c>
      <c r="E7888" t="s">
        <v>23623</v>
      </c>
      <c r="F7888" t="s">
        <v>28669</v>
      </c>
      <c r="G7888" t="s">
        <v>28675</v>
      </c>
      <c r="H7888" t="s">
        <v>9998</v>
      </c>
      <c r="I7888" t="s">
        <v>6128</v>
      </c>
      <c r="J7888" t="s">
        <v>33759</v>
      </c>
      <c r="K7888" t="s">
        <v>37227</v>
      </c>
      <c r="M7888" t="s">
        <v>40121</v>
      </c>
      <c r="N7888" t="s">
        <v>41249</v>
      </c>
      <c r="O7888" t="s">
        <v>41250</v>
      </c>
      <c r="P7888">
        <v>0</v>
      </c>
      <c r="Q7888">
        <v>1</v>
      </c>
      <c r="R7888" t="s">
        <v>41258</v>
      </c>
      <c r="S7888" t="s">
        <v>41513</v>
      </c>
      <c r="T7888" t="s">
        <v>43027</v>
      </c>
      <c r="U7888" t="s">
        <v>49682</v>
      </c>
      <c r="V7888" t="s">
        <v>55156</v>
      </c>
      <c r="W7888" t="s">
        <v>40121</v>
      </c>
      <c r="X7888" t="s">
        <v>41259</v>
      </c>
    </row>
    <row r="7889" spans="1:24">
      <c r="A7889">
        <f>HYPERLINK("https://www.philgeps.gov.ph/GEPSNONPILOT/Tender/SplashBidNoticeAbstractUI.aspx?menuIndex=3&amp;refID=7064938&amp;Result=3","7064938")</f>
        <v>0</v>
      </c>
      <c r="B7889" t="s">
        <v>474</v>
      </c>
      <c r="C7889" t="s">
        <v>10906</v>
      </c>
      <c r="D7889" t="s">
        <v>16668</v>
      </c>
      <c r="E7889" t="s">
        <v>23624</v>
      </c>
      <c r="F7889" t="s">
        <v>28669</v>
      </c>
      <c r="G7889" t="s">
        <v>28675</v>
      </c>
      <c r="H7889" t="s">
        <v>28684</v>
      </c>
      <c r="I7889" t="s">
        <v>28701</v>
      </c>
      <c r="J7889" t="s">
        <v>32073</v>
      </c>
      <c r="K7889" t="s">
        <v>37238</v>
      </c>
      <c r="L7889" t="s">
        <v>474</v>
      </c>
      <c r="M7889" t="s">
        <v>37962</v>
      </c>
      <c r="N7889" t="s">
        <v>41249</v>
      </c>
      <c r="O7889" t="s">
        <v>41250</v>
      </c>
      <c r="P7889">
        <v>0</v>
      </c>
      <c r="Q7889">
        <v>4</v>
      </c>
      <c r="R7889" t="s">
        <v>41258</v>
      </c>
      <c r="S7889" t="s">
        <v>41513</v>
      </c>
      <c r="T7889" t="s">
        <v>42755</v>
      </c>
      <c r="U7889" t="s">
        <v>49683</v>
      </c>
      <c r="V7889" t="s">
        <v>55159</v>
      </c>
      <c r="W7889" t="s">
        <v>37962</v>
      </c>
      <c r="X7889" t="s">
        <v>41259</v>
      </c>
    </row>
    <row r="7890" spans="1:24">
      <c r="A7890">
        <f>HYPERLINK("https://www.philgeps.gov.ph/GEPSNONPILOT/Tender/SplashBidNoticeAbstractUI.aspx?menuIndex=3&amp;refID=7065021&amp;Result=3","7065021")</f>
        <v>0</v>
      </c>
      <c r="B7890" t="s">
        <v>2432</v>
      </c>
      <c r="C7890" t="s">
        <v>10907</v>
      </c>
      <c r="D7890" t="s">
        <v>16664</v>
      </c>
      <c r="E7890" t="s">
        <v>23625</v>
      </c>
      <c r="F7890" t="s">
        <v>28669</v>
      </c>
      <c r="G7890" t="s">
        <v>28677</v>
      </c>
      <c r="H7890" t="s">
        <v>9998</v>
      </c>
      <c r="I7890" t="s">
        <v>28688</v>
      </c>
      <c r="J7890" t="s">
        <v>33760</v>
      </c>
      <c r="K7890" t="s">
        <v>37209</v>
      </c>
      <c r="M7890" t="s">
        <v>40115</v>
      </c>
      <c r="N7890" t="s">
        <v>41249</v>
      </c>
      <c r="O7890" t="s">
        <v>41250</v>
      </c>
      <c r="P7890">
        <v>0</v>
      </c>
      <c r="Q7890">
        <v>1</v>
      </c>
      <c r="R7890" t="s">
        <v>41258</v>
      </c>
      <c r="S7890" t="s">
        <v>41513</v>
      </c>
      <c r="T7890" t="s">
        <v>42727</v>
      </c>
      <c r="U7890" t="s">
        <v>49684</v>
      </c>
      <c r="W7890" t="s">
        <v>40115</v>
      </c>
      <c r="X7890" t="s">
        <v>41259</v>
      </c>
    </row>
    <row r="7891" spans="1:24">
      <c r="A7891">
        <f>HYPERLINK("https://www.philgeps.gov.ph/GEPSNONPILOT/Tender/SplashBidNoticeAbstractUI.aspx?menuIndex=3&amp;refID=7065018&amp;Result=3","7065018")</f>
        <v>0</v>
      </c>
      <c r="B7891" t="s">
        <v>71</v>
      </c>
      <c r="C7891" t="s">
        <v>10908</v>
      </c>
      <c r="D7891" t="s">
        <v>16639</v>
      </c>
      <c r="E7891" t="s">
        <v>23626</v>
      </c>
      <c r="F7891" t="s">
        <v>28669</v>
      </c>
      <c r="G7891" t="s">
        <v>28676</v>
      </c>
      <c r="H7891" t="s">
        <v>9998</v>
      </c>
      <c r="I7891" t="s">
        <v>28699</v>
      </c>
      <c r="J7891" t="s">
        <v>28889</v>
      </c>
      <c r="K7891" t="s">
        <v>37206</v>
      </c>
      <c r="M7891" t="s">
        <v>37546</v>
      </c>
      <c r="N7891" t="s">
        <v>41249</v>
      </c>
      <c r="O7891" t="s">
        <v>41250</v>
      </c>
      <c r="P7891">
        <v>0</v>
      </c>
      <c r="Q7891">
        <v>6</v>
      </c>
      <c r="R7891" t="s">
        <v>41258</v>
      </c>
      <c r="S7891" t="s">
        <v>41513</v>
      </c>
      <c r="T7891" t="s">
        <v>42867</v>
      </c>
      <c r="U7891" t="s">
        <v>43277</v>
      </c>
      <c r="W7891" t="s">
        <v>37546</v>
      </c>
      <c r="X7891" t="s">
        <v>41259</v>
      </c>
    </row>
    <row r="7892" spans="1:24">
      <c r="A7892">
        <f>HYPERLINK("https://www.philgeps.gov.ph/GEPSNONPILOT/Tender/SplashBidNoticeAbstractUI.aspx?menuIndex=3&amp;refID=7065017&amp;Result=3","7065017")</f>
        <v>0</v>
      </c>
      <c r="B7892" t="s">
        <v>986</v>
      </c>
      <c r="C7892" t="s">
        <v>10909</v>
      </c>
      <c r="D7892" t="s">
        <v>16620</v>
      </c>
      <c r="E7892" t="s">
        <v>23627</v>
      </c>
      <c r="F7892" t="s">
        <v>28669</v>
      </c>
      <c r="G7892" t="s">
        <v>28675</v>
      </c>
      <c r="H7892" t="s">
        <v>9998</v>
      </c>
      <c r="I7892" t="s">
        <v>11142</v>
      </c>
      <c r="J7892" t="s">
        <v>30675</v>
      </c>
      <c r="K7892" t="s">
        <v>37206</v>
      </c>
      <c r="M7892" t="s">
        <v>38511</v>
      </c>
      <c r="N7892" t="s">
        <v>41249</v>
      </c>
      <c r="O7892" t="s">
        <v>41250</v>
      </c>
      <c r="P7892">
        <v>0</v>
      </c>
      <c r="Q7892">
        <v>0</v>
      </c>
      <c r="R7892" t="s">
        <v>41258</v>
      </c>
      <c r="S7892" t="s">
        <v>41513</v>
      </c>
      <c r="T7892" t="s">
        <v>42728</v>
      </c>
      <c r="U7892" t="s">
        <v>45210</v>
      </c>
      <c r="V7892" t="s">
        <v>54542</v>
      </c>
      <c r="W7892" t="s">
        <v>38511</v>
      </c>
      <c r="X7892" t="s">
        <v>41259</v>
      </c>
    </row>
    <row r="7893" spans="1:24">
      <c r="A7893">
        <f>HYPERLINK("https://www.philgeps.gov.ph/GEPSNONPILOT/Tender/SplashBidNoticeAbstractUI.aspx?menuIndex=3&amp;refID=7065013&amp;Result=3","7065013")</f>
        <v>0</v>
      </c>
      <c r="B7893" t="s">
        <v>2171</v>
      </c>
      <c r="C7893" t="s">
        <v>10910</v>
      </c>
      <c r="D7893" t="s">
        <v>16621</v>
      </c>
      <c r="E7893" t="s">
        <v>23628</v>
      </c>
      <c r="F7893" t="s">
        <v>28669</v>
      </c>
      <c r="G7893" t="s">
        <v>28676</v>
      </c>
      <c r="H7893" t="s">
        <v>9998</v>
      </c>
      <c r="I7893" t="s">
        <v>28704</v>
      </c>
      <c r="J7893" t="s">
        <v>33761</v>
      </c>
      <c r="K7893" t="s">
        <v>37205</v>
      </c>
      <c r="M7893" t="s">
        <v>39820</v>
      </c>
      <c r="N7893" t="s">
        <v>41249</v>
      </c>
      <c r="O7893" t="s">
        <v>41250</v>
      </c>
      <c r="P7893">
        <v>0</v>
      </c>
      <c r="Q7893">
        <v>1</v>
      </c>
      <c r="R7893" t="s">
        <v>41258</v>
      </c>
      <c r="S7893" t="s">
        <v>41513</v>
      </c>
      <c r="T7893" t="s">
        <v>42764</v>
      </c>
      <c r="U7893" t="s">
        <v>49685</v>
      </c>
      <c r="W7893" t="s">
        <v>39820</v>
      </c>
      <c r="X7893" t="s">
        <v>41259</v>
      </c>
    </row>
    <row r="7894" spans="1:24">
      <c r="A7894">
        <f>HYPERLINK("https://www.philgeps.gov.ph/GEPSNONPILOT/Tender/SplashBidNoticeAbstractUI.aspx?menuIndex=3&amp;refID=7065037&amp;Result=3","7065037")</f>
        <v>0</v>
      </c>
      <c r="B7894" t="s">
        <v>2442</v>
      </c>
      <c r="C7894" t="s">
        <v>10911</v>
      </c>
      <c r="D7894" t="s">
        <v>16622</v>
      </c>
      <c r="E7894" t="s">
        <v>23629</v>
      </c>
      <c r="F7894" t="s">
        <v>28669</v>
      </c>
      <c r="G7894" t="s">
        <v>28675</v>
      </c>
      <c r="H7894" t="s">
        <v>9998</v>
      </c>
      <c r="I7894" t="s">
        <v>28687</v>
      </c>
      <c r="J7894" t="s">
        <v>28878</v>
      </c>
      <c r="K7894" t="s">
        <v>37206</v>
      </c>
      <c r="M7894" t="s">
        <v>40125</v>
      </c>
      <c r="N7894" t="s">
        <v>41249</v>
      </c>
      <c r="O7894" t="s">
        <v>41250</v>
      </c>
      <c r="P7894">
        <v>0</v>
      </c>
      <c r="Q7894">
        <v>2</v>
      </c>
      <c r="R7894" t="s">
        <v>41258</v>
      </c>
      <c r="S7894" t="s">
        <v>41513</v>
      </c>
      <c r="T7894" t="s">
        <v>42660</v>
      </c>
      <c r="U7894" t="s">
        <v>49686</v>
      </c>
      <c r="W7894" t="s">
        <v>40125</v>
      </c>
      <c r="X7894" t="s">
        <v>41259</v>
      </c>
    </row>
    <row r="7895" spans="1:24">
      <c r="A7895">
        <f>HYPERLINK("https://www.philgeps.gov.ph/GEPSNONPILOT/Tender/SplashBidNoticeAbstractUI.aspx?menuIndex=3&amp;refID=7065012&amp;Result=3","7065012")</f>
        <v>0</v>
      </c>
      <c r="B7895" t="s">
        <v>2443</v>
      </c>
      <c r="C7895" t="s">
        <v>10912</v>
      </c>
      <c r="D7895" t="s">
        <v>16642</v>
      </c>
      <c r="E7895" t="s">
        <v>23630</v>
      </c>
      <c r="F7895" t="s">
        <v>28669</v>
      </c>
      <c r="G7895" t="s">
        <v>28677</v>
      </c>
      <c r="H7895" t="s">
        <v>9998</v>
      </c>
      <c r="I7895" t="s">
        <v>28690</v>
      </c>
      <c r="J7895" t="s">
        <v>33762</v>
      </c>
      <c r="K7895" t="s">
        <v>37210</v>
      </c>
      <c r="M7895" t="s">
        <v>40126</v>
      </c>
      <c r="N7895" t="s">
        <v>41249</v>
      </c>
      <c r="O7895" t="s">
        <v>41250</v>
      </c>
      <c r="P7895">
        <v>0</v>
      </c>
      <c r="Q7895">
        <v>8</v>
      </c>
      <c r="R7895" t="s">
        <v>41258</v>
      </c>
      <c r="S7895" t="s">
        <v>41513</v>
      </c>
      <c r="T7895" t="s">
        <v>42758</v>
      </c>
      <c r="U7895" t="s">
        <v>49687</v>
      </c>
      <c r="W7895" t="s">
        <v>40126</v>
      </c>
      <c r="X7895" t="s">
        <v>41259</v>
      </c>
    </row>
    <row r="7896" spans="1:24">
      <c r="A7896">
        <f>HYPERLINK("https://www.philgeps.gov.ph/GEPSNONPILOT/Tender/SplashBidNoticeAbstractUI.aspx?menuIndex=3&amp;refID=7065028&amp;Result=3","7065028")</f>
        <v>0</v>
      </c>
      <c r="B7896" t="s">
        <v>1522</v>
      </c>
      <c r="C7896" t="s">
        <v>10913</v>
      </c>
      <c r="D7896" t="s">
        <v>16686</v>
      </c>
      <c r="E7896" t="s">
        <v>23631</v>
      </c>
      <c r="F7896" t="s">
        <v>28669</v>
      </c>
      <c r="G7896" t="s">
        <v>28675</v>
      </c>
      <c r="H7896" t="s">
        <v>9998</v>
      </c>
      <c r="I7896" t="s">
        <v>6128</v>
      </c>
      <c r="J7896" t="s">
        <v>33763</v>
      </c>
      <c r="K7896" t="s">
        <v>37210</v>
      </c>
      <c r="M7896" t="s">
        <v>39573</v>
      </c>
      <c r="N7896" t="s">
        <v>41249</v>
      </c>
      <c r="O7896" t="s">
        <v>41250</v>
      </c>
      <c r="P7896">
        <v>0</v>
      </c>
      <c r="Q7896">
        <v>0</v>
      </c>
      <c r="R7896" t="s">
        <v>41258</v>
      </c>
      <c r="S7896" t="s">
        <v>41513</v>
      </c>
      <c r="T7896" t="s">
        <v>42663</v>
      </c>
      <c r="U7896" t="s">
        <v>49688</v>
      </c>
      <c r="W7896" t="s">
        <v>39573</v>
      </c>
      <c r="X7896" t="s">
        <v>41259</v>
      </c>
    </row>
    <row r="7897" spans="1:24">
      <c r="A7897">
        <f>HYPERLINK("https://www.philgeps.gov.ph/GEPSNONPILOT/Tender/SplashBidNoticeAbstractUI.aspx?menuIndex=3&amp;refID=7065097&amp;Result=3","7065097")</f>
        <v>0</v>
      </c>
      <c r="B7897" t="s">
        <v>2444</v>
      </c>
      <c r="C7897" t="s">
        <v>10914</v>
      </c>
      <c r="D7897" t="s">
        <v>16610</v>
      </c>
      <c r="E7897" t="s">
        <v>23632</v>
      </c>
      <c r="F7897" t="s">
        <v>28669</v>
      </c>
      <c r="G7897" t="s">
        <v>28675</v>
      </c>
      <c r="H7897" t="s">
        <v>28686</v>
      </c>
      <c r="I7897" t="s">
        <v>28689</v>
      </c>
      <c r="J7897" t="s">
        <v>33764</v>
      </c>
      <c r="K7897" t="s">
        <v>37206</v>
      </c>
      <c r="M7897" t="s">
        <v>40127</v>
      </c>
      <c r="N7897" t="s">
        <v>41249</v>
      </c>
      <c r="O7897" t="s">
        <v>41250</v>
      </c>
      <c r="P7897">
        <v>0</v>
      </c>
      <c r="Q7897">
        <v>0</v>
      </c>
      <c r="R7897" t="s">
        <v>41258</v>
      </c>
      <c r="S7897" t="s">
        <v>41513</v>
      </c>
      <c r="T7897" t="s">
        <v>42754</v>
      </c>
      <c r="U7897" t="s">
        <v>49689</v>
      </c>
      <c r="W7897" t="s">
        <v>40127</v>
      </c>
      <c r="X7897" t="s">
        <v>41259</v>
      </c>
    </row>
    <row r="7898" spans="1:24">
      <c r="A7898">
        <f>HYPERLINK("https://www.philgeps.gov.ph/GEPSNONPILOT/Tender/SplashBidNoticeAbstractUI.aspx?menuIndex=3&amp;refID=7065095&amp;Result=3","7065095")</f>
        <v>0</v>
      </c>
      <c r="B7898" t="s">
        <v>2445</v>
      </c>
      <c r="C7898" t="s">
        <v>10915</v>
      </c>
      <c r="D7898" t="s">
        <v>16669</v>
      </c>
      <c r="E7898" t="s">
        <v>23633</v>
      </c>
      <c r="F7898" t="s">
        <v>28669</v>
      </c>
      <c r="G7898" t="s">
        <v>28675</v>
      </c>
      <c r="H7898" t="s">
        <v>9998</v>
      </c>
      <c r="I7898" t="s">
        <v>7352</v>
      </c>
      <c r="J7898" t="s">
        <v>33765</v>
      </c>
      <c r="K7898" t="s">
        <v>37204</v>
      </c>
      <c r="M7898" t="s">
        <v>40128</v>
      </c>
      <c r="N7898" t="s">
        <v>41249</v>
      </c>
      <c r="O7898" t="s">
        <v>41250</v>
      </c>
      <c r="P7898">
        <v>0</v>
      </c>
      <c r="Q7898">
        <v>1</v>
      </c>
      <c r="R7898" t="s">
        <v>41258</v>
      </c>
      <c r="S7898" t="s">
        <v>41513</v>
      </c>
      <c r="T7898" t="s">
        <v>42755</v>
      </c>
      <c r="U7898" t="s">
        <v>49690</v>
      </c>
      <c r="W7898" t="s">
        <v>40128</v>
      </c>
      <c r="X7898" t="s">
        <v>41259</v>
      </c>
    </row>
    <row r="7899" spans="1:24">
      <c r="A7899">
        <f>HYPERLINK("https://www.philgeps.gov.ph/GEPSNONPILOT/Tender/SplashBidNoticeAbstractUI.aspx?menuIndex=3&amp;refID=7065094&amp;Result=3","7065094")</f>
        <v>0</v>
      </c>
      <c r="B7899" t="s">
        <v>2411</v>
      </c>
      <c r="C7899" t="s">
        <v>10916</v>
      </c>
      <c r="D7899" t="s">
        <v>16627</v>
      </c>
      <c r="E7899" t="s">
        <v>23634</v>
      </c>
      <c r="F7899" t="s">
        <v>28669</v>
      </c>
      <c r="G7899" t="s">
        <v>28675</v>
      </c>
      <c r="H7899" t="s">
        <v>28686</v>
      </c>
      <c r="I7899" t="s">
        <v>28689</v>
      </c>
      <c r="J7899" t="s">
        <v>33766</v>
      </c>
      <c r="K7899" t="s">
        <v>37217</v>
      </c>
      <c r="M7899" t="s">
        <v>40093</v>
      </c>
      <c r="N7899" t="s">
        <v>41249</v>
      </c>
      <c r="O7899" t="s">
        <v>41250</v>
      </c>
      <c r="P7899">
        <v>0</v>
      </c>
      <c r="Q7899">
        <v>1</v>
      </c>
      <c r="R7899" t="s">
        <v>41258</v>
      </c>
      <c r="S7899" t="s">
        <v>41513</v>
      </c>
      <c r="T7899" t="s">
        <v>42722</v>
      </c>
      <c r="U7899" t="s">
        <v>49691</v>
      </c>
      <c r="V7899" t="s">
        <v>55143</v>
      </c>
      <c r="W7899" t="s">
        <v>40093</v>
      </c>
      <c r="X7899" t="s">
        <v>41259</v>
      </c>
    </row>
    <row r="7900" spans="1:24">
      <c r="A7900">
        <f>HYPERLINK("https://www.philgeps.gov.ph/GEPSNONPILOT/Tender/SplashBidNoticeAbstractUI.aspx?menuIndex=3&amp;refID=7064771&amp;Result=3","7064771")</f>
        <v>0</v>
      </c>
      <c r="B7900" t="s">
        <v>1034</v>
      </c>
      <c r="C7900" t="s">
        <v>10917</v>
      </c>
      <c r="D7900" t="s">
        <v>16619</v>
      </c>
      <c r="E7900" t="s">
        <v>23635</v>
      </c>
      <c r="F7900" t="s">
        <v>28669</v>
      </c>
      <c r="G7900" t="s">
        <v>28676</v>
      </c>
      <c r="H7900" t="s">
        <v>9998</v>
      </c>
      <c r="I7900" t="s">
        <v>5213</v>
      </c>
      <c r="J7900" t="s">
        <v>29044</v>
      </c>
      <c r="K7900" t="s">
        <v>37216</v>
      </c>
      <c r="M7900" t="s">
        <v>38565</v>
      </c>
      <c r="N7900" t="s">
        <v>41249</v>
      </c>
      <c r="O7900" t="s">
        <v>41250</v>
      </c>
      <c r="P7900">
        <v>0</v>
      </c>
      <c r="Q7900">
        <v>0</v>
      </c>
      <c r="R7900" t="s">
        <v>41258</v>
      </c>
      <c r="S7900" t="s">
        <v>41513</v>
      </c>
      <c r="T7900" t="s">
        <v>42767</v>
      </c>
      <c r="U7900" t="s">
        <v>49692</v>
      </c>
      <c r="W7900" t="s">
        <v>38565</v>
      </c>
      <c r="X7900" t="s">
        <v>41259</v>
      </c>
    </row>
    <row r="7901" spans="1:24">
      <c r="A7901">
        <f>HYPERLINK("https://www.philgeps.gov.ph/GEPSNONPILOT/Tender/SplashBidNoticeAbstractUI.aspx?menuIndex=3&amp;refID=7065086&amp;Result=3","7065086")</f>
        <v>0</v>
      </c>
      <c r="B7901" t="s">
        <v>1535</v>
      </c>
      <c r="C7901" t="s">
        <v>10918</v>
      </c>
      <c r="D7901" t="s">
        <v>16648</v>
      </c>
      <c r="E7901" t="s">
        <v>23636</v>
      </c>
      <c r="F7901" t="s">
        <v>28669</v>
      </c>
      <c r="G7901" t="s">
        <v>28675</v>
      </c>
      <c r="H7901" t="s">
        <v>28686</v>
      </c>
      <c r="I7901" t="s">
        <v>28689</v>
      </c>
      <c r="J7901" t="s">
        <v>33767</v>
      </c>
      <c r="K7901" t="s">
        <v>37209</v>
      </c>
      <c r="M7901" t="s">
        <v>39110</v>
      </c>
      <c r="N7901" t="s">
        <v>41249</v>
      </c>
      <c r="O7901" t="s">
        <v>41250</v>
      </c>
      <c r="P7901">
        <v>0</v>
      </c>
      <c r="Q7901">
        <v>1</v>
      </c>
      <c r="R7901" t="s">
        <v>41258</v>
      </c>
      <c r="S7901" t="s">
        <v>41513</v>
      </c>
      <c r="T7901" t="s">
        <v>42760</v>
      </c>
      <c r="U7901" t="s">
        <v>49693</v>
      </c>
      <c r="W7901" t="s">
        <v>39110</v>
      </c>
      <c r="X7901" t="s">
        <v>41259</v>
      </c>
    </row>
    <row r="7902" spans="1:24">
      <c r="A7902">
        <f>HYPERLINK("https://www.philgeps.gov.ph/GEPSNONPILOT/Tender/SplashBidNoticeAbstractUI.aspx?menuIndex=3&amp;refID=7065014&amp;Result=3","7065014")</f>
        <v>0</v>
      </c>
      <c r="B7902" t="s">
        <v>2442</v>
      </c>
      <c r="C7902" t="s">
        <v>10919</v>
      </c>
      <c r="D7902" t="s">
        <v>16622</v>
      </c>
      <c r="E7902" t="s">
        <v>23637</v>
      </c>
      <c r="F7902" t="s">
        <v>28669</v>
      </c>
      <c r="G7902" t="s">
        <v>28675</v>
      </c>
      <c r="H7902" t="s">
        <v>28686</v>
      </c>
      <c r="I7902" t="s">
        <v>28689</v>
      </c>
      <c r="J7902" t="s">
        <v>28823</v>
      </c>
      <c r="K7902" t="s">
        <v>37213</v>
      </c>
      <c r="M7902" t="s">
        <v>40125</v>
      </c>
      <c r="N7902" t="s">
        <v>41249</v>
      </c>
      <c r="O7902" t="s">
        <v>41250</v>
      </c>
      <c r="P7902">
        <v>0</v>
      </c>
      <c r="Q7902">
        <v>0</v>
      </c>
      <c r="R7902" t="s">
        <v>41258</v>
      </c>
      <c r="S7902" t="s">
        <v>41513</v>
      </c>
      <c r="T7902" t="s">
        <v>42660</v>
      </c>
      <c r="U7902" t="s">
        <v>49694</v>
      </c>
      <c r="W7902" t="s">
        <v>40125</v>
      </c>
      <c r="X7902" t="s">
        <v>41259</v>
      </c>
    </row>
    <row r="7903" spans="1:24">
      <c r="A7903">
        <f>HYPERLINK("https://www.philgeps.gov.ph/GEPSNONPILOT/Tender/SplashBidNoticeAbstractUI.aspx?menuIndex=3&amp;refID=7065079&amp;Result=3","7065079")</f>
        <v>0</v>
      </c>
      <c r="B7903" t="s">
        <v>2292</v>
      </c>
      <c r="C7903" t="s">
        <v>10920</v>
      </c>
      <c r="D7903" t="s">
        <v>16628</v>
      </c>
      <c r="E7903" t="s">
        <v>23638</v>
      </c>
      <c r="F7903" t="s">
        <v>28669</v>
      </c>
      <c r="G7903" t="s">
        <v>28675</v>
      </c>
      <c r="H7903" t="s">
        <v>28686</v>
      </c>
      <c r="I7903" t="s">
        <v>28689</v>
      </c>
      <c r="J7903" t="s">
        <v>28914</v>
      </c>
      <c r="K7903" t="s">
        <v>37395</v>
      </c>
      <c r="M7903" t="s">
        <v>39947</v>
      </c>
      <c r="N7903" t="s">
        <v>41249</v>
      </c>
      <c r="O7903" t="s">
        <v>41250</v>
      </c>
      <c r="P7903">
        <v>0</v>
      </c>
      <c r="Q7903">
        <v>0</v>
      </c>
      <c r="R7903" t="s">
        <v>41258</v>
      </c>
      <c r="S7903" t="s">
        <v>41513</v>
      </c>
      <c r="T7903" t="s">
        <v>42658</v>
      </c>
      <c r="U7903" t="s">
        <v>49695</v>
      </c>
      <c r="V7903" t="s">
        <v>55160</v>
      </c>
      <c r="W7903" t="s">
        <v>39947</v>
      </c>
      <c r="X7903" t="s">
        <v>41259</v>
      </c>
    </row>
    <row r="7904" spans="1:24">
      <c r="A7904">
        <f>HYPERLINK("https://www.philgeps.gov.ph/GEPSNONPILOT/Tender/SplashBidNoticeAbstractUI.aspx?menuIndex=3&amp;refID=7065016&amp;Result=3","7065016")</f>
        <v>0</v>
      </c>
      <c r="B7904" t="s">
        <v>2441</v>
      </c>
      <c r="C7904" t="s">
        <v>10921</v>
      </c>
      <c r="D7904" t="s">
        <v>16663</v>
      </c>
      <c r="E7904" t="s">
        <v>23639</v>
      </c>
      <c r="F7904" t="s">
        <v>28669</v>
      </c>
      <c r="G7904" t="s">
        <v>28675</v>
      </c>
      <c r="H7904" t="s">
        <v>9998</v>
      </c>
      <c r="I7904" t="s">
        <v>7352</v>
      </c>
      <c r="J7904" t="s">
        <v>33768</v>
      </c>
      <c r="K7904" t="s">
        <v>37209</v>
      </c>
      <c r="M7904" t="s">
        <v>40124</v>
      </c>
      <c r="N7904" t="s">
        <v>41249</v>
      </c>
      <c r="O7904" t="s">
        <v>41250</v>
      </c>
      <c r="P7904">
        <v>0</v>
      </c>
      <c r="Q7904">
        <v>0</v>
      </c>
      <c r="R7904" t="s">
        <v>41258</v>
      </c>
      <c r="S7904" t="s">
        <v>41513</v>
      </c>
      <c r="T7904" t="s">
        <v>42729</v>
      </c>
      <c r="U7904" t="s">
        <v>49696</v>
      </c>
      <c r="W7904" t="s">
        <v>55994</v>
      </c>
      <c r="X7904" t="s">
        <v>41259</v>
      </c>
    </row>
    <row r="7905" spans="1:24">
      <c r="A7905">
        <f>HYPERLINK("https://www.philgeps.gov.ph/GEPSNONPILOT/Tender/SplashBidNoticeAbstractUI.aspx?menuIndex=3&amp;refID=7065080&amp;Result=3","7065080")</f>
        <v>0</v>
      </c>
      <c r="B7905" t="s">
        <v>2299</v>
      </c>
      <c r="C7905" t="s">
        <v>10922</v>
      </c>
      <c r="D7905" t="s">
        <v>16619</v>
      </c>
      <c r="E7905" t="s">
        <v>23640</v>
      </c>
      <c r="F7905" t="s">
        <v>28669</v>
      </c>
      <c r="G7905" t="s">
        <v>28675</v>
      </c>
      <c r="H7905" t="s">
        <v>28686</v>
      </c>
      <c r="I7905" t="s">
        <v>28689</v>
      </c>
      <c r="J7905" t="s">
        <v>29724</v>
      </c>
      <c r="K7905" t="s">
        <v>37213</v>
      </c>
      <c r="M7905" t="s">
        <v>39957</v>
      </c>
      <c r="N7905" t="s">
        <v>41249</v>
      </c>
      <c r="O7905" t="s">
        <v>41250</v>
      </c>
      <c r="P7905">
        <v>0</v>
      </c>
      <c r="Q7905">
        <v>0</v>
      </c>
      <c r="R7905" t="s">
        <v>41258</v>
      </c>
      <c r="S7905" t="s">
        <v>41513</v>
      </c>
      <c r="T7905" t="s">
        <v>42760</v>
      </c>
      <c r="U7905" t="s">
        <v>49697</v>
      </c>
      <c r="V7905" t="s">
        <v>55161</v>
      </c>
      <c r="W7905" t="s">
        <v>39957</v>
      </c>
      <c r="X7905" t="s">
        <v>41259</v>
      </c>
    </row>
    <row r="7906" spans="1:24">
      <c r="A7906">
        <f>HYPERLINK("https://www.philgeps.gov.ph/GEPSNONPILOT/Tender/SplashBidNoticeAbstractUI.aspx?menuIndex=3&amp;refID=7065073&amp;Result=3","7065073")</f>
        <v>0</v>
      </c>
      <c r="B7906" t="s">
        <v>1712</v>
      </c>
      <c r="C7906" t="s">
        <v>10923</v>
      </c>
      <c r="D7906" t="s">
        <v>16639</v>
      </c>
      <c r="E7906" t="s">
        <v>23641</v>
      </c>
      <c r="F7906" t="s">
        <v>28669</v>
      </c>
      <c r="G7906" t="s">
        <v>28676</v>
      </c>
      <c r="H7906" t="s">
        <v>9998</v>
      </c>
      <c r="I7906" t="s">
        <v>6128</v>
      </c>
      <c r="J7906" t="s">
        <v>29245</v>
      </c>
      <c r="K7906" t="s">
        <v>37210</v>
      </c>
      <c r="M7906" t="s">
        <v>39310</v>
      </c>
      <c r="N7906" t="s">
        <v>41249</v>
      </c>
      <c r="O7906" t="s">
        <v>41250</v>
      </c>
      <c r="P7906">
        <v>0</v>
      </c>
      <c r="Q7906">
        <v>3</v>
      </c>
      <c r="R7906" t="s">
        <v>41258</v>
      </c>
      <c r="S7906" t="s">
        <v>41513</v>
      </c>
      <c r="T7906" t="s">
        <v>42989</v>
      </c>
      <c r="U7906" t="s">
        <v>49698</v>
      </c>
      <c r="W7906" t="s">
        <v>39310</v>
      </c>
      <c r="X7906" t="s">
        <v>41259</v>
      </c>
    </row>
    <row r="7907" spans="1:24">
      <c r="A7907">
        <f>HYPERLINK("https://www.philgeps.gov.ph/GEPSNONPILOT/Tender/SplashBidNoticeAbstractUI.aspx?menuIndex=3&amp;refID=7065069&amp;Result=3","7065069")</f>
        <v>0</v>
      </c>
      <c r="B7907" t="s">
        <v>2198</v>
      </c>
      <c r="C7907" t="s">
        <v>10924</v>
      </c>
      <c r="D7907" t="s">
        <v>16619</v>
      </c>
      <c r="E7907" t="s">
        <v>23642</v>
      </c>
      <c r="F7907" t="s">
        <v>28669</v>
      </c>
      <c r="G7907" t="s">
        <v>28676</v>
      </c>
      <c r="H7907" t="s">
        <v>9998</v>
      </c>
      <c r="I7907" t="s">
        <v>28704</v>
      </c>
      <c r="J7907" t="s">
        <v>33769</v>
      </c>
      <c r="K7907" t="s">
        <v>37205</v>
      </c>
      <c r="M7907" t="s">
        <v>39848</v>
      </c>
      <c r="N7907" t="s">
        <v>41249</v>
      </c>
      <c r="O7907" t="s">
        <v>41250</v>
      </c>
      <c r="P7907">
        <v>0</v>
      </c>
      <c r="Q7907">
        <v>1</v>
      </c>
      <c r="R7907" t="s">
        <v>41258</v>
      </c>
      <c r="S7907" t="s">
        <v>41513</v>
      </c>
      <c r="T7907" t="s">
        <v>42665</v>
      </c>
      <c r="U7907" t="s">
        <v>49699</v>
      </c>
      <c r="V7907" t="s">
        <v>55162</v>
      </c>
      <c r="W7907" t="s">
        <v>39848</v>
      </c>
      <c r="X7907" t="s">
        <v>41259</v>
      </c>
    </row>
    <row r="7908" spans="1:24">
      <c r="A7908">
        <f>HYPERLINK("https://www.philgeps.gov.ph/GEPSNONPILOT/Tender/SplashBidNoticeAbstractUI.aspx?menuIndex=3&amp;refID=7065065&amp;Result=3","7065065")</f>
        <v>0</v>
      </c>
      <c r="B7908" t="s">
        <v>2432</v>
      </c>
      <c r="C7908" t="s">
        <v>10925</v>
      </c>
      <c r="D7908" t="s">
        <v>16664</v>
      </c>
      <c r="E7908" t="s">
        <v>23643</v>
      </c>
      <c r="F7908" t="s">
        <v>28669</v>
      </c>
      <c r="G7908" t="s">
        <v>28677</v>
      </c>
      <c r="H7908" t="s">
        <v>9998</v>
      </c>
      <c r="I7908" t="s">
        <v>28688</v>
      </c>
      <c r="J7908" t="s">
        <v>29304</v>
      </c>
      <c r="K7908" t="s">
        <v>37209</v>
      </c>
      <c r="M7908" t="s">
        <v>40115</v>
      </c>
      <c r="N7908" t="s">
        <v>41249</v>
      </c>
      <c r="O7908" t="s">
        <v>41250</v>
      </c>
      <c r="P7908">
        <v>0</v>
      </c>
      <c r="Q7908">
        <v>4</v>
      </c>
      <c r="R7908" t="s">
        <v>41258</v>
      </c>
      <c r="S7908" t="s">
        <v>41513</v>
      </c>
      <c r="T7908" t="s">
        <v>42727</v>
      </c>
      <c r="U7908" t="s">
        <v>49700</v>
      </c>
      <c r="W7908" t="s">
        <v>40115</v>
      </c>
      <c r="X7908" t="s">
        <v>41259</v>
      </c>
    </row>
    <row r="7909" spans="1:24">
      <c r="A7909">
        <f>HYPERLINK("https://www.philgeps.gov.ph/GEPSNONPILOT/Tender/SplashBidNoticeAbstractUI.aspx?menuIndex=3&amp;refID=7065061&amp;Result=3","7065061")</f>
        <v>0</v>
      </c>
      <c r="B7909" t="s">
        <v>2446</v>
      </c>
      <c r="C7909" t="s">
        <v>10926</v>
      </c>
      <c r="D7909" t="s">
        <v>16686</v>
      </c>
      <c r="E7909" t="s">
        <v>23644</v>
      </c>
      <c r="F7909" t="s">
        <v>28669</v>
      </c>
      <c r="G7909" t="s">
        <v>28675</v>
      </c>
      <c r="H7909" t="s">
        <v>9998</v>
      </c>
      <c r="I7909" t="s">
        <v>28699</v>
      </c>
      <c r="J7909" t="s">
        <v>29790</v>
      </c>
      <c r="K7909" t="s">
        <v>37205</v>
      </c>
      <c r="M7909" t="s">
        <v>40129</v>
      </c>
      <c r="N7909" t="s">
        <v>41249</v>
      </c>
      <c r="O7909" t="s">
        <v>41250</v>
      </c>
      <c r="P7909">
        <v>0</v>
      </c>
      <c r="Q7909">
        <v>2</v>
      </c>
      <c r="R7909" t="s">
        <v>41258</v>
      </c>
      <c r="S7909" t="s">
        <v>41513</v>
      </c>
      <c r="T7909" t="s">
        <v>42728</v>
      </c>
      <c r="U7909" t="s">
        <v>49701</v>
      </c>
      <c r="V7909" t="s">
        <v>55163</v>
      </c>
      <c r="W7909" t="s">
        <v>40129</v>
      </c>
      <c r="X7909" t="s">
        <v>41259</v>
      </c>
    </row>
    <row r="7910" spans="1:24">
      <c r="A7910">
        <f>HYPERLINK("https://www.philgeps.gov.ph/GEPSNONPILOT/Tender/SplashBidNoticeAbstractUI.aspx?menuIndex=3&amp;refID=7065060&amp;Result=3","7065060")</f>
        <v>0</v>
      </c>
      <c r="B7910" t="s">
        <v>522</v>
      </c>
      <c r="C7910" t="s">
        <v>10927</v>
      </c>
      <c r="D7910" t="s">
        <v>16643</v>
      </c>
      <c r="E7910" t="s">
        <v>23645</v>
      </c>
      <c r="F7910" t="s">
        <v>28669</v>
      </c>
      <c r="G7910" t="s">
        <v>28675</v>
      </c>
      <c r="H7910" t="s">
        <v>9998</v>
      </c>
      <c r="I7910" t="s">
        <v>7352</v>
      </c>
      <c r="J7910" t="s">
        <v>33770</v>
      </c>
      <c r="K7910" t="s">
        <v>37221</v>
      </c>
      <c r="M7910" t="s">
        <v>38013</v>
      </c>
      <c r="N7910" t="s">
        <v>41249</v>
      </c>
      <c r="O7910" t="s">
        <v>41250</v>
      </c>
      <c r="P7910">
        <v>0</v>
      </c>
      <c r="Q7910">
        <v>0</v>
      </c>
      <c r="R7910" t="s">
        <v>41258</v>
      </c>
      <c r="S7910" t="s">
        <v>41513</v>
      </c>
      <c r="T7910" t="s">
        <v>42764</v>
      </c>
      <c r="U7910" t="s">
        <v>49702</v>
      </c>
      <c r="V7910" t="s">
        <v>55164</v>
      </c>
      <c r="W7910" t="s">
        <v>38013</v>
      </c>
      <c r="X7910" t="s">
        <v>41259</v>
      </c>
    </row>
    <row r="7911" spans="1:24">
      <c r="A7911">
        <f>HYPERLINK("https://www.philgeps.gov.ph/GEPSNONPILOT/Tender/SplashBidNoticeAbstractUI.aspx?menuIndex=3&amp;refID=7065159&amp;Result=3","7065159")</f>
        <v>0</v>
      </c>
      <c r="B7911" t="s">
        <v>1712</v>
      </c>
      <c r="C7911" t="s">
        <v>10928</v>
      </c>
      <c r="D7911" t="s">
        <v>16639</v>
      </c>
      <c r="E7911" t="s">
        <v>23646</v>
      </c>
      <c r="F7911" t="s">
        <v>28669</v>
      </c>
      <c r="G7911" t="s">
        <v>28676</v>
      </c>
      <c r="H7911" t="s">
        <v>9998</v>
      </c>
      <c r="I7911" t="s">
        <v>28697</v>
      </c>
      <c r="J7911" t="s">
        <v>33771</v>
      </c>
      <c r="K7911" t="s">
        <v>37206</v>
      </c>
      <c r="M7911" t="s">
        <v>39310</v>
      </c>
      <c r="N7911" t="s">
        <v>41249</v>
      </c>
      <c r="O7911" t="s">
        <v>41250</v>
      </c>
      <c r="P7911">
        <v>0</v>
      </c>
      <c r="Q7911">
        <v>5</v>
      </c>
      <c r="R7911" t="s">
        <v>41258</v>
      </c>
      <c r="S7911" t="s">
        <v>41513</v>
      </c>
      <c r="T7911" t="s">
        <v>42989</v>
      </c>
      <c r="U7911" t="s">
        <v>49703</v>
      </c>
      <c r="W7911" t="s">
        <v>39310</v>
      </c>
      <c r="X7911" t="s">
        <v>41259</v>
      </c>
    </row>
    <row r="7912" spans="1:24">
      <c r="A7912">
        <f>HYPERLINK("https://www.philgeps.gov.ph/GEPSNONPILOT/Tender/SplashBidNoticeAbstractUI.aspx?menuIndex=3&amp;refID=7065088&amp;Result=3","7065088")</f>
        <v>0</v>
      </c>
      <c r="B7912" t="s">
        <v>547</v>
      </c>
      <c r="C7912" t="s">
        <v>10929</v>
      </c>
      <c r="D7912" t="s">
        <v>16627</v>
      </c>
      <c r="E7912" t="s">
        <v>23647</v>
      </c>
      <c r="F7912" t="s">
        <v>28669</v>
      </c>
      <c r="G7912" t="s">
        <v>28675</v>
      </c>
      <c r="H7912" t="s">
        <v>28686</v>
      </c>
      <c r="I7912" t="s">
        <v>28689</v>
      </c>
      <c r="J7912" t="s">
        <v>33772</v>
      </c>
      <c r="K7912" t="s">
        <v>37217</v>
      </c>
      <c r="M7912" t="s">
        <v>38040</v>
      </c>
      <c r="N7912" t="s">
        <v>41249</v>
      </c>
      <c r="O7912" t="s">
        <v>41250</v>
      </c>
      <c r="P7912">
        <v>0</v>
      </c>
      <c r="Q7912">
        <v>0</v>
      </c>
      <c r="R7912" t="s">
        <v>41258</v>
      </c>
      <c r="S7912" t="s">
        <v>41513</v>
      </c>
      <c r="T7912" t="s">
        <v>42688</v>
      </c>
      <c r="U7912" t="s">
        <v>49704</v>
      </c>
      <c r="W7912" t="s">
        <v>38040</v>
      </c>
      <c r="X7912" t="s">
        <v>41259</v>
      </c>
    </row>
    <row r="7913" spans="1:24">
      <c r="A7913">
        <f>HYPERLINK("https://www.philgeps.gov.ph/GEPSNONPILOT/Tender/SplashBidNoticeAbstractUI.aspx?menuIndex=3&amp;refID=7065078&amp;Result=3","7065078")</f>
        <v>0</v>
      </c>
      <c r="B7913" t="s">
        <v>986</v>
      </c>
      <c r="C7913" t="s">
        <v>10930</v>
      </c>
      <c r="D7913" t="s">
        <v>16620</v>
      </c>
      <c r="E7913" t="s">
        <v>23648</v>
      </c>
      <c r="F7913" t="s">
        <v>28669</v>
      </c>
      <c r="G7913" t="s">
        <v>28675</v>
      </c>
      <c r="H7913" t="s">
        <v>9998</v>
      </c>
      <c r="I7913" t="s">
        <v>11142</v>
      </c>
      <c r="J7913" t="s">
        <v>29114</v>
      </c>
      <c r="K7913" t="s">
        <v>37206</v>
      </c>
      <c r="M7913" t="s">
        <v>38511</v>
      </c>
      <c r="N7913" t="s">
        <v>41249</v>
      </c>
      <c r="O7913" t="s">
        <v>41250</v>
      </c>
      <c r="P7913">
        <v>0</v>
      </c>
      <c r="Q7913">
        <v>0</v>
      </c>
      <c r="R7913" t="s">
        <v>41258</v>
      </c>
      <c r="S7913" t="s">
        <v>41513</v>
      </c>
      <c r="T7913" t="s">
        <v>42728</v>
      </c>
      <c r="U7913" t="s">
        <v>45210</v>
      </c>
      <c r="V7913" t="s">
        <v>54542</v>
      </c>
      <c r="W7913" t="s">
        <v>38511</v>
      </c>
      <c r="X7913" t="s">
        <v>41259</v>
      </c>
    </row>
    <row r="7914" spans="1:24">
      <c r="A7914">
        <f>HYPERLINK("https://www.philgeps.gov.ph/GEPSNONPILOT/Tender/SplashBidNoticeAbstractUI.aspx?menuIndex=3&amp;refID=7064960&amp;Result=3","7064960")</f>
        <v>0</v>
      </c>
      <c r="B7914" t="s">
        <v>1945</v>
      </c>
      <c r="C7914" t="s">
        <v>10931</v>
      </c>
      <c r="D7914" t="s">
        <v>16674</v>
      </c>
      <c r="E7914" t="s">
        <v>23649</v>
      </c>
      <c r="F7914" t="s">
        <v>28669</v>
      </c>
      <c r="G7914" t="s">
        <v>28676</v>
      </c>
      <c r="H7914" t="s">
        <v>9998</v>
      </c>
      <c r="I7914" t="s">
        <v>28704</v>
      </c>
      <c r="J7914" t="s">
        <v>30041</v>
      </c>
      <c r="K7914" t="s">
        <v>37205</v>
      </c>
      <c r="M7914" t="s">
        <v>39574</v>
      </c>
      <c r="N7914" t="s">
        <v>41249</v>
      </c>
      <c r="O7914" t="s">
        <v>41250</v>
      </c>
      <c r="P7914">
        <v>0</v>
      </c>
      <c r="Q7914">
        <v>1</v>
      </c>
      <c r="R7914" t="s">
        <v>41258</v>
      </c>
      <c r="S7914" t="s">
        <v>41513</v>
      </c>
      <c r="T7914" t="s">
        <v>42728</v>
      </c>
      <c r="U7914" t="s">
        <v>49705</v>
      </c>
      <c r="W7914" t="s">
        <v>39574</v>
      </c>
      <c r="X7914" t="s">
        <v>41259</v>
      </c>
    </row>
    <row r="7915" spans="1:24">
      <c r="A7915">
        <f>HYPERLINK("https://www.philgeps.gov.ph/GEPSNONPILOT/Tender/SplashBidNoticeAbstractUI.aspx?menuIndex=3&amp;refID=7065063&amp;Result=3","7065063")</f>
        <v>0</v>
      </c>
      <c r="B7915" t="s">
        <v>986</v>
      </c>
      <c r="C7915" t="s">
        <v>10932</v>
      </c>
      <c r="D7915" t="s">
        <v>16620</v>
      </c>
      <c r="E7915" t="s">
        <v>23650</v>
      </c>
      <c r="F7915" t="s">
        <v>28669</v>
      </c>
      <c r="G7915" t="s">
        <v>28675</v>
      </c>
      <c r="H7915" t="s">
        <v>9998</v>
      </c>
      <c r="I7915" t="s">
        <v>11142</v>
      </c>
      <c r="J7915" t="s">
        <v>30675</v>
      </c>
      <c r="K7915" t="s">
        <v>37206</v>
      </c>
      <c r="M7915" t="s">
        <v>38511</v>
      </c>
      <c r="N7915" t="s">
        <v>41249</v>
      </c>
      <c r="O7915" t="s">
        <v>41250</v>
      </c>
      <c r="P7915">
        <v>0</v>
      </c>
      <c r="Q7915">
        <v>0</v>
      </c>
      <c r="R7915" t="s">
        <v>41258</v>
      </c>
      <c r="S7915" t="s">
        <v>41513</v>
      </c>
      <c r="T7915" t="s">
        <v>42728</v>
      </c>
      <c r="U7915" t="s">
        <v>45210</v>
      </c>
      <c r="V7915" t="s">
        <v>54542</v>
      </c>
      <c r="W7915" t="s">
        <v>38511</v>
      </c>
      <c r="X7915" t="s">
        <v>41259</v>
      </c>
    </row>
    <row r="7916" spans="1:24">
      <c r="A7916">
        <f>HYPERLINK("https://www.philgeps.gov.ph/GEPSNONPILOT/Tender/SplashBidNoticeAbstractUI.aspx?menuIndex=3&amp;refID=7065168&amp;Result=3","7065168")</f>
        <v>0</v>
      </c>
      <c r="B7916" t="s">
        <v>2447</v>
      </c>
      <c r="C7916" t="s">
        <v>10933</v>
      </c>
      <c r="D7916" t="s">
        <v>16627</v>
      </c>
      <c r="E7916" t="s">
        <v>23651</v>
      </c>
      <c r="F7916" t="s">
        <v>28669</v>
      </c>
      <c r="G7916" t="s">
        <v>28676</v>
      </c>
      <c r="H7916" t="s">
        <v>28685</v>
      </c>
      <c r="I7916" t="s">
        <v>28685</v>
      </c>
      <c r="J7916" t="s">
        <v>33773</v>
      </c>
      <c r="K7916" t="s">
        <v>37270</v>
      </c>
      <c r="M7916" t="s">
        <v>40130</v>
      </c>
      <c r="N7916" t="s">
        <v>41249</v>
      </c>
      <c r="O7916" t="s">
        <v>41250</v>
      </c>
      <c r="P7916">
        <v>0</v>
      </c>
      <c r="Q7916">
        <v>1</v>
      </c>
      <c r="R7916" t="s">
        <v>41258</v>
      </c>
      <c r="S7916" t="s">
        <v>41513</v>
      </c>
      <c r="T7916" t="s">
        <v>42751</v>
      </c>
      <c r="U7916" t="s">
        <v>49706</v>
      </c>
      <c r="W7916" t="s">
        <v>40130</v>
      </c>
      <c r="X7916" t="s">
        <v>41259</v>
      </c>
    </row>
    <row r="7917" spans="1:24">
      <c r="A7917">
        <f>HYPERLINK("https://www.philgeps.gov.ph/GEPSNONPILOT/Tender/SplashBidNoticeAbstractUI.aspx?menuIndex=3&amp;refID=7065160&amp;Result=3","7065160")</f>
        <v>0</v>
      </c>
      <c r="B7917" t="s">
        <v>2171</v>
      </c>
      <c r="C7917" t="s">
        <v>10934</v>
      </c>
      <c r="D7917" t="s">
        <v>16621</v>
      </c>
      <c r="E7917" t="s">
        <v>23652</v>
      </c>
      <c r="F7917" t="s">
        <v>28669</v>
      </c>
      <c r="G7917" t="s">
        <v>28676</v>
      </c>
      <c r="H7917" t="s">
        <v>9998</v>
      </c>
      <c r="I7917" t="s">
        <v>11142</v>
      </c>
      <c r="J7917" t="s">
        <v>33774</v>
      </c>
      <c r="K7917" t="s">
        <v>37205</v>
      </c>
      <c r="M7917" t="s">
        <v>39820</v>
      </c>
      <c r="N7917" t="s">
        <v>41249</v>
      </c>
      <c r="O7917" t="s">
        <v>41250</v>
      </c>
      <c r="P7917">
        <v>0</v>
      </c>
      <c r="Q7917">
        <v>1</v>
      </c>
      <c r="R7917" t="s">
        <v>41258</v>
      </c>
      <c r="S7917" t="s">
        <v>41513</v>
      </c>
      <c r="T7917" t="s">
        <v>42764</v>
      </c>
      <c r="U7917" t="s">
        <v>49685</v>
      </c>
      <c r="W7917" t="s">
        <v>39820</v>
      </c>
      <c r="X7917" t="s">
        <v>41259</v>
      </c>
    </row>
    <row r="7918" spans="1:24">
      <c r="A7918">
        <f>HYPERLINK("https://www.philgeps.gov.ph/GEPSNONPILOT/Tender/SplashBidNoticeAbstractUI.aspx?menuIndex=3&amp;refID=7065089&amp;Result=3","7065089")</f>
        <v>0</v>
      </c>
      <c r="B7918" t="s">
        <v>986</v>
      </c>
      <c r="C7918" t="s">
        <v>10935</v>
      </c>
      <c r="D7918" t="s">
        <v>16620</v>
      </c>
      <c r="E7918" t="s">
        <v>23653</v>
      </c>
      <c r="F7918" t="s">
        <v>28669</v>
      </c>
      <c r="G7918" t="s">
        <v>28675</v>
      </c>
      <c r="H7918" t="s">
        <v>9998</v>
      </c>
      <c r="I7918" t="s">
        <v>11142</v>
      </c>
      <c r="J7918" t="s">
        <v>28901</v>
      </c>
      <c r="K7918" t="s">
        <v>37206</v>
      </c>
      <c r="M7918" t="s">
        <v>38511</v>
      </c>
      <c r="N7918" t="s">
        <v>41249</v>
      </c>
      <c r="O7918" t="s">
        <v>41250</v>
      </c>
      <c r="P7918">
        <v>0</v>
      </c>
      <c r="Q7918">
        <v>0</v>
      </c>
      <c r="R7918" t="s">
        <v>41258</v>
      </c>
      <c r="S7918" t="s">
        <v>41513</v>
      </c>
      <c r="T7918" t="s">
        <v>42728</v>
      </c>
      <c r="U7918" t="s">
        <v>45210</v>
      </c>
      <c r="V7918" t="s">
        <v>54542</v>
      </c>
      <c r="W7918" t="s">
        <v>38511</v>
      </c>
      <c r="X7918" t="s">
        <v>41259</v>
      </c>
    </row>
    <row r="7919" spans="1:24">
      <c r="A7919">
        <f>HYPERLINK("https://www.philgeps.gov.ph/GEPSNONPILOT/Tender/SplashBidNoticeAbstractUI.aspx?menuIndex=3&amp;refID=7065153&amp;Result=3","7065153")</f>
        <v>0</v>
      </c>
      <c r="B7919" t="s">
        <v>1957</v>
      </c>
      <c r="C7919" t="s">
        <v>10936</v>
      </c>
      <c r="D7919" t="s">
        <v>16620</v>
      </c>
      <c r="E7919" t="s">
        <v>23654</v>
      </c>
      <c r="F7919" t="s">
        <v>28669</v>
      </c>
      <c r="G7919" t="s">
        <v>28675</v>
      </c>
      <c r="H7919" t="s">
        <v>9998</v>
      </c>
      <c r="I7919" t="s">
        <v>28711</v>
      </c>
      <c r="J7919" t="s">
        <v>28874</v>
      </c>
      <c r="K7919" t="s">
        <v>37206</v>
      </c>
      <c r="M7919" t="s">
        <v>39589</v>
      </c>
      <c r="N7919" t="s">
        <v>41249</v>
      </c>
      <c r="O7919" t="s">
        <v>41250</v>
      </c>
      <c r="P7919">
        <v>0</v>
      </c>
      <c r="Q7919">
        <v>3</v>
      </c>
      <c r="R7919" t="s">
        <v>41258</v>
      </c>
      <c r="S7919" t="s">
        <v>41513</v>
      </c>
      <c r="T7919" t="s">
        <v>42729</v>
      </c>
      <c r="U7919" t="s">
        <v>49707</v>
      </c>
      <c r="W7919" t="s">
        <v>39589</v>
      </c>
      <c r="X7919" t="s">
        <v>41259</v>
      </c>
    </row>
    <row r="7920" spans="1:24">
      <c r="A7920">
        <f>HYPERLINK("https://www.philgeps.gov.ph/GEPSNONPILOT/Tender/SplashBidNoticeAbstractUI.aspx?menuIndex=3&amp;refID=7065146&amp;Result=3","7065146")</f>
        <v>0</v>
      </c>
      <c r="B7920" t="s">
        <v>2432</v>
      </c>
      <c r="C7920" t="s">
        <v>10937</v>
      </c>
      <c r="D7920" t="s">
        <v>16664</v>
      </c>
      <c r="E7920" t="s">
        <v>23655</v>
      </c>
      <c r="F7920" t="s">
        <v>28669</v>
      </c>
      <c r="G7920" t="s">
        <v>28675</v>
      </c>
      <c r="H7920" t="s">
        <v>9998</v>
      </c>
      <c r="I7920" t="s">
        <v>28688</v>
      </c>
      <c r="J7920" t="s">
        <v>33775</v>
      </c>
      <c r="K7920" t="s">
        <v>37209</v>
      </c>
      <c r="M7920" t="s">
        <v>40115</v>
      </c>
      <c r="N7920" t="s">
        <v>41249</v>
      </c>
      <c r="O7920" t="s">
        <v>41250</v>
      </c>
      <c r="P7920">
        <v>0</v>
      </c>
      <c r="Q7920">
        <v>2</v>
      </c>
      <c r="R7920" t="s">
        <v>41258</v>
      </c>
      <c r="S7920" t="s">
        <v>41513</v>
      </c>
      <c r="T7920" t="s">
        <v>42727</v>
      </c>
      <c r="U7920" t="s">
        <v>49708</v>
      </c>
      <c r="W7920" t="s">
        <v>40115</v>
      </c>
      <c r="X7920" t="s">
        <v>41259</v>
      </c>
    </row>
    <row r="7921" spans="1:24">
      <c r="A7921">
        <f>HYPERLINK("https://www.philgeps.gov.ph/GEPSNONPILOT/Tender/SplashBidNoticeAbstractUI.aspx?menuIndex=3&amp;refID=7065141&amp;Result=3","7065141")</f>
        <v>0</v>
      </c>
      <c r="B7921" t="s">
        <v>2292</v>
      </c>
      <c r="C7921" t="s">
        <v>10938</v>
      </c>
      <c r="D7921" t="s">
        <v>16628</v>
      </c>
      <c r="E7921" t="s">
        <v>23656</v>
      </c>
      <c r="F7921" t="s">
        <v>28669</v>
      </c>
      <c r="G7921" t="s">
        <v>28675</v>
      </c>
      <c r="H7921" t="s">
        <v>28686</v>
      </c>
      <c r="I7921" t="s">
        <v>28689</v>
      </c>
      <c r="J7921" t="s">
        <v>28914</v>
      </c>
      <c r="K7921" t="s">
        <v>37350</v>
      </c>
      <c r="M7921" t="s">
        <v>39947</v>
      </c>
      <c r="N7921" t="s">
        <v>41249</v>
      </c>
      <c r="O7921" t="s">
        <v>41250</v>
      </c>
      <c r="P7921">
        <v>0</v>
      </c>
      <c r="Q7921">
        <v>0</v>
      </c>
      <c r="R7921" t="s">
        <v>41258</v>
      </c>
      <c r="S7921" t="s">
        <v>41513</v>
      </c>
      <c r="T7921" t="s">
        <v>42658</v>
      </c>
      <c r="U7921" t="s">
        <v>49709</v>
      </c>
      <c r="V7921" t="s">
        <v>55160</v>
      </c>
      <c r="W7921" t="s">
        <v>39947</v>
      </c>
      <c r="X7921" t="s">
        <v>41259</v>
      </c>
    </row>
    <row r="7922" spans="1:24">
      <c r="A7922">
        <f>HYPERLINK("https://www.philgeps.gov.ph/GEPSNONPILOT/Tender/SplashBidNoticeAbstractUI.aspx?menuIndex=3&amp;refID=7065127&amp;Result=3","7065127")</f>
        <v>0</v>
      </c>
      <c r="B7922" t="s">
        <v>2448</v>
      </c>
      <c r="C7922" t="s">
        <v>10939</v>
      </c>
      <c r="D7922" t="s">
        <v>16682</v>
      </c>
      <c r="E7922" t="s">
        <v>23657</v>
      </c>
      <c r="F7922" t="s">
        <v>28669</v>
      </c>
      <c r="G7922" t="s">
        <v>28675</v>
      </c>
      <c r="H7922" t="s">
        <v>28686</v>
      </c>
      <c r="I7922" t="s">
        <v>28689</v>
      </c>
      <c r="J7922" t="s">
        <v>28942</v>
      </c>
      <c r="K7922" t="s">
        <v>37206</v>
      </c>
      <c r="M7922" t="s">
        <v>40131</v>
      </c>
      <c r="N7922" t="s">
        <v>41249</v>
      </c>
      <c r="O7922" t="s">
        <v>41250</v>
      </c>
      <c r="P7922">
        <v>0</v>
      </c>
      <c r="Q7922">
        <v>2</v>
      </c>
      <c r="R7922" t="s">
        <v>41258</v>
      </c>
      <c r="S7922" t="s">
        <v>41513</v>
      </c>
      <c r="T7922" t="s">
        <v>42774</v>
      </c>
      <c r="U7922" t="s">
        <v>49710</v>
      </c>
      <c r="W7922" t="s">
        <v>40131</v>
      </c>
      <c r="X7922" t="s">
        <v>41259</v>
      </c>
    </row>
    <row r="7923" spans="1:24">
      <c r="A7923">
        <f>HYPERLINK("https://www.philgeps.gov.ph/GEPSNONPILOT/Tender/SplashBidNoticeAbstractUI.aspx?menuIndex=3&amp;refID=7065126&amp;Result=3","7065126")</f>
        <v>0</v>
      </c>
      <c r="B7923" t="s">
        <v>849</v>
      </c>
      <c r="C7923" t="s">
        <v>10940</v>
      </c>
      <c r="D7923" t="s">
        <v>16626</v>
      </c>
      <c r="E7923" t="s">
        <v>23658</v>
      </c>
      <c r="F7923" t="s">
        <v>28669</v>
      </c>
      <c r="G7923" t="s">
        <v>28676</v>
      </c>
      <c r="H7923" t="s">
        <v>9998</v>
      </c>
      <c r="I7923" t="s">
        <v>3718</v>
      </c>
      <c r="J7923" t="s">
        <v>29104</v>
      </c>
      <c r="K7923" t="s">
        <v>37209</v>
      </c>
      <c r="M7923" t="s">
        <v>38365</v>
      </c>
      <c r="N7923" t="s">
        <v>41249</v>
      </c>
      <c r="O7923" t="s">
        <v>41250</v>
      </c>
      <c r="P7923">
        <v>0</v>
      </c>
      <c r="Q7923">
        <v>1</v>
      </c>
      <c r="R7923" t="s">
        <v>41258</v>
      </c>
      <c r="S7923" t="s">
        <v>41513</v>
      </c>
      <c r="T7923" t="s">
        <v>42703</v>
      </c>
      <c r="U7923" t="s">
        <v>45045</v>
      </c>
      <c r="W7923" t="s">
        <v>38365</v>
      </c>
      <c r="X7923" t="s">
        <v>41259</v>
      </c>
    </row>
    <row r="7924" spans="1:24">
      <c r="A7924">
        <f>HYPERLINK("https://www.philgeps.gov.ph/GEPSNONPILOT/Tender/SplashBidNoticeAbstractUI.aspx?menuIndex=3&amp;refID=7065122&amp;Result=3","7065122")</f>
        <v>0</v>
      </c>
      <c r="B7924" t="s">
        <v>1736</v>
      </c>
      <c r="C7924" t="s">
        <v>10941</v>
      </c>
      <c r="D7924" t="s">
        <v>16624</v>
      </c>
      <c r="E7924" t="s">
        <v>23659</v>
      </c>
      <c r="F7924" t="s">
        <v>28669</v>
      </c>
      <c r="G7924" t="s">
        <v>28675</v>
      </c>
      <c r="H7924" t="s">
        <v>28686</v>
      </c>
      <c r="I7924" t="s">
        <v>28689</v>
      </c>
      <c r="J7924" t="s">
        <v>33776</v>
      </c>
      <c r="K7924" t="s">
        <v>37227</v>
      </c>
      <c r="M7924" t="s">
        <v>39336</v>
      </c>
      <c r="N7924" t="s">
        <v>41249</v>
      </c>
      <c r="O7924" t="s">
        <v>41250</v>
      </c>
      <c r="P7924">
        <v>0</v>
      </c>
      <c r="Q7924">
        <v>1</v>
      </c>
      <c r="R7924" t="s">
        <v>41258</v>
      </c>
      <c r="S7924" t="s">
        <v>41513</v>
      </c>
      <c r="T7924" t="s">
        <v>42668</v>
      </c>
      <c r="U7924" t="s">
        <v>49711</v>
      </c>
      <c r="W7924" t="s">
        <v>39336</v>
      </c>
      <c r="X7924" t="s">
        <v>41259</v>
      </c>
    </row>
    <row r="7925" spans="1:24">
      <c r="A7925">
        <f>HYPERLINK("https://www.philgeps.gov.ph/GEPSNONPILOT/Tender/SplashBidNoticeAbstractUI.aspx?menuIndex=3&amp;refID=7065120&amp;Result=3","7065120")</f>
        <v>0</v>
      </c>
      <c r="B7925" t="s">
        <v>1522</v>
      </c>
      <c r="C7925" t="s">
        <v>10942</v>
      </c>
      <c r="D7925" t="s">
        <v>16686</v>
      </c>
      <c r="E7925" t="s">
        <v>23660</v>
      </c>
      <c r="F7925" t="s">
        <v>28669</v>
      </c>
      <c r="G7925" t="s">
        <v>28675</v>
      </c>
      <c r="H7925" t="s">
        <v>9998</v>
      </c>
      <c r="I7925" t="s">
        <v>6128</v>
      </c>
      <c r="J7925" t="s">
        <v>29101</v>
      </c>
      <c r="K7925" t="s">
        <v>37210</v>
      </c>
      <c r="M7925" t="s">
        <v>39573</v>
      </c>
      <c r="N7925" t="s">
        <v>41249</v>
      </c>
      <c r="O7925" t="s">
        <v>41250</v>
      </c>
      <c r="P7925">
        <v>0</v>
      </c>
      <c r="Q7925">
        <v>0</v>
      </c>
      <c r="R7925" t="s">
        <v>41258</v>
      </c>
      <c r="S7925" t="s">
        <v>41513</v>
      </c>
      <c r="T7925" t="s">
        <v>42663</v>
      </c>
      <c r="U7925" t="s">
        <v>49712</v>
      </c>
      <c r="W7925" t="s">
        <v>39573</v>
      </c>
      <c r="X7925" t="s">
        <v>41259</v>
      </c>
    </row>
    <row r="7926" spans="1:24">
      <c r="A7926">
        <f>HYPERLINK("https://www.philgeps.gov.ph/GEPSNONPILOT/Tender/SplashBidNoticeAbstractUI.aspx?menuIndex=3&amp;refID=7065113&amp;Result=3","7065113")</f>
        <v>0</v>
      </c>
      <c r="B7926" t="s">
        <v>2188</v>
      </c>
      <c r="C7926" t="s">
        <v>10943</v>
      </c>
      <c r="D7926" t="s">
        <v>16616</v>
      </c>
      <c r="E7926" t="s">
        <v>23661</v>
      </c>
      <c r="F7926" t="s">
        <v>28669</v>
      </c>
      <c r="G7926" t="s">
        <v>28675</v>
      </c>
      <c r="H7926" t="s">
        <v>9998</v>
      </c>
      <c r="I7926" t="s">
        <v>28700</v>
      </c>
      <c r="J7926" t="s">
        <v>33777</v>
      </c>
      <c r="K7926" t="s">
        <v>37210</v>
      </c>
      <c r="M7926" t="s">
        <v>39838</v>
      </c>
      <c r="N7926" t="s">
        <v>41249</v>
      </c>
      <c r="O7926" t="s">
        <v>41250</v>
      </c>
      <c r="P7926">
        <v>0</v>
      </c>
      <c r="Q7926">
        <v>1</v>
      </c>
      <c r="R7926" t="s">
        <v>41258</v>
      </c>
      <c r="S7926" t="s">
        <v>41513</v>
      </c>
      <c r="T7926" t="s">
        <v>42910</v>
      </c>
      <c r="U7926" t="s">
        <v>49713</v>
      </c>
      <c r="W7926" t="s">
        <v>39838</v>
      </c>
      <c r="X7926" t="s">
        <v>41259</v>
      </c>
    </row>
    <row r="7927" spans="1:24">
      <c r="A7927">
        <f>HYPERLINK("https://www.philgeps.gov.ph/GEPSNONPILOT/Tender/SplashBidNoticeAbstractUI.aspx?menuIndex=3&amp;refID=7065102&amp;Result=3","7065102")</f>
        <v>0</v>
      </c>
      <c r="B7927" t="s">
        <v>849</v>
      </c>
      <c r="C7927" t="s">
        <v>10944</v>
      </c>
      <c r="D7927" t="s">
        <v>16626</v>
      </c>
      <c r="E7927" t="s">
        <v>23662</v>
      </c>
      <c r="F7927" t="s">
        <v>28669</v>
      </c>
      <c r="G7927" t="s">
        <v>28676</v>
      </c>
      <c r="H7927" t="s">
        <v>9998</v>
      </c>
      <c r="I7927" t="s">
        <v>15140</v>
      </c>
      <c r="J7927" t="s">
        <v>31696</v>
      </c>
      <c r="K7927" t="s">
        <v>37209</v>
      </c>
      <c r="M7927" t="s">
        <v>38365</v>
      </c>
      <c r="N7927" t="s">
        <v>41249</v>
      </c>
      <c r="O7927" t="s">
        <v>41250</v>
      </c>
      <c r="P7927">
        <v>0</v>
      </c>
      <c r="Q7927">
        <v>0</v>
      </c>
      <c r="R7927" t="s">
        <v>41258</v>
      </c>
      <c r="S7927" t="s">
        <v>41513</v>
      </c>
      <c r="T7927" t="s">
        <v>42770</v>
      </c>
      <c r="U7927" t="s">
        <v>44865</v>
      </c>
      <c r="W7927" t="s">
        <v>38365</v>
      </c>
      <c r="X7927" t="s">
        <v>41259</v>
      </c>
    </row>
    <row r="7928" spans="1:24">
      <c r="A7928">
        <f>HYPERLINK("https://www.philgeps.gov.ph/GEPSNONPILOT/Tender/SplashBidNoticeAbstractUI.aspx?menuIndex=3&amp;refID=7065112&amp;Result=3","7065112")</f>
        <v>0</v>
      </c>
      <c r="B7928" t="s">
        <v>986</v>
      </c>
      <c r="C7928" t="s">
        <v>10945</v>
      </c>
      <c r="D7928" t="s">
        <v>16620</v>
      </c>
      <c r="E7928" t="s">
        <v>23663</v>
      </c>
      <c r="F7928" t="s">
        <v>28669</v>
      </c>
      <c r="G7928" t="s">
        <v>28675</v>
      </c>
      <c r="H7928" t="s">
        <v>9998</v>
      </c>
      <c r="I7928" t="s">
        <v>11142</v>
      </c>
      <c r="J7928" t="s">
        <v>30675</v>
      </c>
      <c r="K7928" t="s">
        <v>37206</v>
      </c>
      <c r="M7928" t="s">
        <v>38511</v>
      </c>
      <c r="N7928" t="s">
        <v>41249</v>
      </c>
      <c r="O7928" t="s">
        <v>41250</v>
      </c>
      <c r="P7928">
        <v>0</v>
      </c>
      <c r="Q7928">
        <v>0</v>
      </c>
      <c r="R7928" t="s">
        <v>41258</v>
      </c>
      <c r="S7928" t="s">
        <v>41513</v>
      </c>
      <c r="T7928" t="s">
        <v>42728</v>
      </c>
      <c r="U7928" t="s">
        <v>45210</v>
      </c>
      <c r="V7928" t="s">
        <v>54542</v>
      </c>
      <c r="W7928" t="s">
        <v>38511</v>
      </c>
      <c r="X7928" t="s">
        <v>41259</v>
      </c>
    </row>
    <row r="7929" spans="1:24">
      <c r="A7929">
        <f>HYPERLINK("https://www.philgeps.gov.ph/GEPSNONPILOT/Tender/SplashBidNoticeAbstractUI.aspx?menuIndex=3&amp;refID=7065180&amp;Result=3","7065180")</f>
        <v>0</v>
      </c>
      <c r="B7929" t="s">
        <v>2449</v>
      </c>
      <c r="C7929" t="s">
        <v>10946</v>
      </c>
      <c r="D7929" t="s">
        <v>16645</v>
      </c>
      <c r="E7929" t="s">
        <v>23664</v>
      </c>
      <c r="F7929" t="s">
        <v>28669</v>
      </c>
      <c r="G7929" t="s">
        <v>28677</v>
      </c>
      <c r="H7929" t="s">
        <v>9998</v>
      </c>
      <c r="I7929" t="s">
        <v>3718</v>
      </c>
      <c r="J7929" t="s">
        <v>29523</v>
      </c>
      <c r="K7929" t="s">
        <v>37209</v>
      </c>
      <c r="M7929" t="s">
        <v>40132</v>
      </c>
      <c r="N7929" t="s">
        <v>41249</v>
      </c>
      <c r="O7929" t="s">
        <v>41250</v>
      </c>
      <c r="P7929">
        <v>0</v>
      </c>
      <c r="Q7929">
        <v>3</v>
      </c>
      <c r="R7929" t="s">
        <v>41258</v>
      </c>
      <c r="S7929" t="s">
        <v>41513</v>
      </c>
      <c r="T7929" t="s">
        <v>42707</v>
      </c>
      <c r="U7929" t="s">
        <v>49714</v>
      </c>
      <c r="W7929" t="s">
        <v>40132</v>
      </c>
      <c r="X7929" t="s">
        <v>41259</v>
      </c>
    </row>
    <row r="7930" spans="1:24">
      <c r="A7930">
        <f>HYPERLINK("https://www.philgeps.gov.ph/GEPSNONPILOT/Tender/SplashBidNoticeAbstractUI.aspx?menuIndex=3&amp;refID=7065101&amp;Result=3","7065101")</f>
        <v>0</v>
      </c>
      <c r="B7930" t="s">
        <v>2450</v>
      </c>
      <c r="C7930" t="s">
        <v>10947</v>
      </c>
      <c r="D7930" t="s">
        <v>16675</v>
      </c>
      <c r="E7930" t="s">
        <v>20908</v>
      </c>
      <c r="F7930" t="s">
        <v>28672</v>
      </c>
      <c r="G7930" t="s">
        <v>28675</v>
      </c>
      <c r="H7930" t="s">
        <v>9998</v>
      </c>
      <c r="I7930" t="s">
        <v>7352</v>
      </c>
      <c r="J7930" t="s">
        <v>33778</v>
      </c>
      <c r="K7930" t="s">
        <v>37205</v>
      </c>
      <c r="M7930" t="s">
        <v>40133</v>
      </c>
      <c r="N7930" t="s">
        <v>41249</v>
      </c>
      <c r="O7930" t="s">
        <v>41250</v>
      </c>
      <c r="P7930">
        <v>0</v>
      </c>
      <c r="Q7930">
        <v>0</v>
      </c>
      <c r="R7930" t="s">
        <v>41258</v>
      </c>
      <c r="S7930" t="s">
        <v>41513</v>
      </c>
      <c r="T7930" t="s">
        <v>42698</v>
      </c>
      <c r="U7930" t="s">
        <v>49715</v>
      </c>
      <c r="V7930" t="s">
        <v>55165</v>
      </c>
      <c r="W7930" t="s">
        <v>40133</v>
      </c>
      <c r="X7930" t="s">
        <v>41259</v>
      </c>
    </row>
    <row r="7931" spans="1:24">
      <c r="A7931">
        <f>HYPERLINK("https://www.philgeps.gov.ph/GEPSNONPILOT/Tender/SplashBidNoticeAbstractUI.aspx?menuIndex=3&amp;refID=7065100&amp;Result=3","7065100")</f>
        <v>0</v>
      </c>
      <c r="B7931" t="s">
        <v>2451</v>
      </c>
      <c r="C7931" t="s">
        <v>10948</v>
      </c>
      <c r="D7931" t="s">
        <v>16643</v>
      </c>
      <c r="E7931" t="s">
        <v>23665</v>
      </c>
      <c r="F7931" t="s">
        <v>28669</v>
      </c>
      <c r="G7931" t="s">
        <v>28675</v>
      </c>
      <c r="H7931" t="s">
        <v>28684</v>
      </c>
      <c r="I7931" t="s">
        <v>28733</v>
      </c>
      <c r="J7931" t="s">
        <v>28834</v>
      </c>
      <c r="K7931" t="s">
        <v>37221</v>
      </c>
      <c r="M7931" t="s">
        <v>40134</v>
      </c>
      <c r="N7931" t="s">
        <v>41249</v>
      </c>
      <c r="O7931" t="s">
        <v>41250</v>
      </c>
      <c r="P7931">
        <v>0</v>
      </c>
      <c r="Q7931">
        <v>3</v>
      </c>
      <c r="R7931" t="s">
        <v>41258</v>
      </c>
      <c r="S7931" t="s">
        <v>41513</v>
      </c>
      <c r="T7931" t="s">
        <v>42736</v>
      </c>
      <c r="U7931" t="s">
        <v>49716</v>
      </c>
      <c r="V7931" t="s">
        <v>55166</v>
      </c>
      <c r="W7931" t="s">
        <v>40134</v>
      </c>
      <c r="X7931" t="s">
        <v>41259</v>
      </c>
    </row>
    <row r="7932" spans="1:24">
      <c r="A7932">
        <f>HYPERLINK("https://www.philgeps.gov.ph/GEPSNONPILOT/Tender/SplashBidNoticeAbstractUI.aspx?menuIndex=3&amp;refID=7065051&amp;Result=3","7065051")</f>
        <v>0</v>
      </c>
      <c r="B7932" t="s">
        <v>986</v>
      </c>
      <c r="C7932" t="s">
        <v>10949</v>
      </c>
      <c r="D7932" t="s">
        <v>16620</v>
      </c>
      <c r="E7932" t="s">
        <v>23666</v>
      </c>
      <c r="F7932" t="s">
        <v>28669</v>
      </c>
      <c r="G7932" t="s">
        <v>28675</v>
      </c>
      <c r="H7932" t="s">
        <v>9998</v>
      </c>
      <c r="I7932" t="s">
        <v>11142</v>
      </c>
      <c r="J7932" t="s">
        <v>29114</v>
      </c>
      <c r="K7932" t="s">
        <v>37206</v>
      </c>
      <c r="M7932" t="s">
        <v>38511</v>
      </c>
      <c r="N7932" t="s">
        <v>41249</v>
      </c>
      <c r="O7932" t="s">
        <v>41250</v>
      </c>
      <c r="P7932">
        <v>0</v>
      </c>
      <c r="Q7932">
        <v>0</v>
      </c>
      <c r="R7932" t="s">
        <v>41258</v>
      </c>
      <c r="S7932" t="s">
        <v>41513</v>
      </c>
      <c r="T7932" t="s">
        <v>42728</v>
      </c>
      <c r="U7932" t="s">
        <v>45210</v>
      </c>
      <c r="V7932" t="s">
        <v>54542</v>
      </c>
      <c r="W7932" t="s">
        <v>38511</v>
      </c>
      <c r="X7932" t="s">
        <v>41259</v>
      </c>
    </row>
    <row r="7933" spans="1:24">
      <c r="A7933">
        <f>HYPERLINK("https://www.philgeps.gov.ph/GEPSNONPILOT/Tender/SplashBidNoticeAbstractUI.aspx?menuIndex=3&amp;refID=7065150&amp;Result=3","7065150")</f>
        <v>0</v>
      </c>
      <c r="B7933" t="s">
        <v>1024</v>
      </c>
      <c r="C7933" t="s">
        <v>10950</v>
      </c>
      <c r="D7933" t="s">
        <v>16608</v>
      </c>
      <c r="E7933" t="s">
        <v>23667</v>
      </c>
      <c r="F7933" t="s">
        <v>28669</v>
      </c>
      <c r="G7933" t="s">
        <v>28677</v>
      </c>
      <c r="H7933" t="s">
        <v>9998</v>
      </c>
      <c r="I7933" t="s">
        <v>7352</v>
      </c>
      <c r="J7933" t="s">
        <v>33779</v>
      </c>
      <c r="K7933" t="s">
        <v>37206</v>
      </c>
      <c r="M7933" t="s">
        <v>38554</v>
      </c>
      <c r="N7933" t="s">
        <v>41249</v>
      </c>
      <c r="O7933" t="s">
        <v>41250</v>
      </c>
      <c r="P7933">
        <v>0</v>
      </c>
      <c r="Q7933">
        <v>0</v>
      </c>
      <c r="R7933" t="s">
        <v>41258</v>
      </c>
      <c r="S7933" t="s">
        <v>41513</v>
      </c>
      <c r="T7933" t="s">
        <v>42727</v>
      </c>
      <c r="U7933" t="s">
        <v>49717</v>
      </c>
      <c r="W7933" t="s">
        <v>38554</v>
      </c>
      <c r="X7933" t="s">
        <v>41259</v>
      </c>
    </row>
    <row r="7934" spans="1:24">
      <c r="A7934">
        <f>HYPERLINK("https://www.philgeps.gov.ph/GEPSNONPILOT/Tender/SplashBidNoticeAbstractUI.aspx?menuIndex=3&amp;refID=7065109&amp;Result=3","7065109")</f>
        <v>0</v>
      </c>
      <c r="B7934" t="s">
        <v>1024</v>
      </c>
      <c r="C7934" t="s">
        <v>10951</v>
      </c>
      <c r="D7934" t="s">
        <v>16608</v>
      </c>
      <c r="E7934" t="s">
        <v>23668</v>
      </c>
      <c r="F7934" t="s">
        <v>28669</v>
      </c>
      <c r="G7934" t="s">
        <v>28677</v>
      </c>
      <c r="H7934" t="s">
        <v>9998</v>
      </c>
      <c r="I7934" t="s">
        <v>7352</v>
      </c>
      <c r="J7934" t="s">
        <v>33780</v>
      </c>
      <c r="K7934" t="s">
        <v>37206</v>
      </c>
      <c r="M7934" t="s">
        <v>38554</v>
      </c>
      <c r="N7934" t="s">
        <v>41249</v>
      </c>
      <c r="O7934" t="s">
        <v>41250</v>
      </c>
      <c r="P7934">
        <v>0</v>
      </c>
      <c r="Q7934">
        <v>1</v>
      </c>
      <c r="R7934" t="s">
        <v>41258</v>
      </c>
      <c r="S7934" t="s">
        <v>41513</v>
      </c>
      <c r="T7934" t="s">
        <v>42727</v>
      </c>
      <c r="U7934" t="s">
        <v>49718</v>
      </c>
      <c r="W7934" t="s">
        <v>38554</v>
      </c>
      <c r="X7934" t="s">
        <v>41259</v>
      </c>
    </row>
    <row r="7935" spans="1:24">
      <c r="A7935">
        <f>HYPERLINK("https://www.philgeps.gov.ph/GEPSNONPILOT/Tender/SplashBidNoticeAbstractUI.aspx?menuIndex=3&amp;refID=7065177&amp;Result=3","7065177")</f>
        <v>0</v>
      </c>
      <c r="B7935" t="s">
        <v>2452</v>
      </c>
      <c r="C7935" t="s">
        <v>4702</v>
      </c>
      <c r="D7935" t="s">
        <v>16679</v>
      </c>
      <c r="E7935" t="s">
        <v>23669</v>
      </c>
      <c r="F7935" t="s">
        <v>28671</v>
      </c>
      <c r="G7935" t="s">
        <v>28675</v>
      </c>
      <c r="H7935" t="s">
        <v>9998</v>
      </c>
      <c r="I7935" t="s">
        <v>28689</v>
      </c>
      <c r="J7935" t="s">
        <v>28877</v>
      </c>
      <c r="K7935" t="s">
        <v>37206</v>
      </c>
      <c r="L7935" t="s">
        <v>2452</v>
      </c>
      <c r="M7935" t="s">
        <v>40135</v>
      </c>
      <c r="N7935" t="s">
        <v>41249</v>
      </c>
      <c r="O7935" t="s">
        <v>41250</v>
      </c>
      <c r="P7935">
        <v>0</v>
      </c>
      <c r="Q7935">
        <v>0</v>
      </c>
      <c r="R7935" t="s">
        <v>41258</v>
      </c>
      <c r="S7935" t="s">
        <v>41513</v>
      </c>
      <c r="T7935" t="s">
        <v>42747</v>
      </c>
      <c r="U7935" t="s">
        <v>49719</v>
      </c>
      <c r="W7935" t="s">
        <v>40135</v>
      </c>
      <c r="X7935" t="s">
        <v>41259</v>
      </c>
    </row>
    <row r="7936" spans="1:24">
      <c r="A7936">
        <f>HYPERLINK("https://www.philgeps.gov.ph/GEPSNONPILOT/Tender/SplashBidNoticeAbstractUI.aspx?menuIndex=3&amp;refID=7065052&amp;Result=3","7065052")</f>
        <v>0</v>
      </c>
      <c r="B7936" t="s">
        <v>2453</v>
      </c>
      <c r="C7936" t="s">
        <v>7105</v>
      </c>
      <c r="E7936" t="s">
        <v>23670</v>
      </c>
      <c r="F7936" t="s">
        <v>28671</v>
      </c>
      <c r="G7936" t="s">
        <v>28677</v>
      </c>
      <c r="H7936" t="s">
        <v>9998</v>
      </c>
      <c r="I7936" t="s">
        <v>3718</v>
      </c>
      <c r="J7936" t="s">
        <v>29144</v>
      </c>
      <c r="K7936" t="s">
        <v>37209</v>
      </c>
      <c r="M7936" t="s">
        <v>40136</v>
      </c>
      <c r="N7936" t="s">
        <v>41249</v>
      </c>
      <c r="O7936" t="s">
        <v>41250</v>
      </c>
      <c r="P7936">
        <v>0</v>
      </c>
      <c r="Q7936">
        <v>0</v>
      </c>
      <c r="R7936" t="s">
        <v>41258</v>
      </c>
      <c r="S7936" t="s">
        <v>41513</v>
      </c>
      <c r="T7936" t="s">
        <v>42992</v>
      </c>
      <c r="U7936" t="s">
        <v>49720</v>
      </c>
      <c r="W7936" t="s">
        <v>40136</v>
      </c>
      <c r="X7936" t="s">
        <v>41259</v>
      </c>
    </row>
    <row r="7937" spans="1:24">
      <c r="A7937">
        <f>HYPERLINK("https://www.philgeps.gov.ph/GEPSNONPILOT/Tender/SplashBidNoticeAbstractUI.aspx?menuIndex=3&amp;refID=7064993&amp;Result=3","7064993")</f>
        <v>0</v>
      </c>
      <c r="B7937" t="s">
        <v>1535</v>
      </c>
      <c r="C7937" t="s">
        <v>10952</v>
      </c>
      <c r="D7937" t="s">
        <v>16648</v>
      </c>
      <c r="E7937" t="s">
        <v>23671</v>
      </c>
      <c r="F7937" t="s">
        <v>28669</v>
      </c>
      <c r="G7937" t="s">
        <v>28679</v>
      </c>
      <c r="H7937" t="s">
        <v>28686</v>
      </c>
      <c r="I7937" t="s">
        <v>28689</v>
      </c>
      <c r="J7937" t="s">
        <v>33781</v>
      </c>
      <c r="K7937" t="s">
        <v>37209</v>
      </c>
      <c r="M7937" t="s">
        <v>39110</v>
      </c>
      <c r="N7937" t="s">
        <v>41249</v>
      </c>
      <c r="O7937" t="s">
        <v>41250</v>
      </c>
      <c r="P7937">
        <v>0</v>
      </c>
      <c r="Q7937">
        <v>1</v>
      </c>
      <c r="R7937" t="s">
        <v>41258</v>
      </c>
      <c r="S7937" t="s">
        <v>41513</v>
      </c>
      <c r="T7937" t="s">
        <v>42679</v>
      </c>
      <c r="U7937" t="s">
        <v>49721</v>
      </c>
      <c r="W7937" t="s">
        <v>39110</v>
      </c>
      <c r="X7937" t="s">
        <v>41259</v>
      </c>
    </row>
    <row r="7938" spans="1:24">
      <c r="A7938">
        <f>HYPERLINK("https://www.philgeps.gov.ph/GEPSNONPILOT/Tender/SplashBidNoticeAbstractUI.aspx?menuIndex=3&amp;refID=7064992&amp;Result=3","7064992")</f>
        <v>0</v>
      </c>
      <c r="B7938" t="s">
        <v>986</v>
      </c>
      <c r="C7938" t="s">
        <v>10953</v>
      </c>
      <c r="D7938" t="s">
        <v>16620</v>
      </c>
      <c r="E7938" t="s">
        <v>23672</v>
      </c>
      <c r="F7938" t="s">
        <v>28669</v>
      </c>
      <c r="G7938" t="s">
        <v>28675</v>
      </c>
      <c r="H7938" t="s">
        <v>9998</v>
      </c>
      <c r="I7938" t="s">
        <v>11593</v>
      </c>
      <c r="J7938" t="s">
        <v>29487</v>
      </c>
      <c r="K7938" t="s">
        <v>37206</v>
      </c>
      <c r="M7938" t="s">
        <v>38511</v>
      </c>
      <c r="N7938" t="s">
        <v>41249</v>
      </c>
      <c r="O7938" t="s">
        <v>41250</v>
      </c>
      <c r="P7938">
        <v>0</v>
      </c>
      <c r="Q7938">
        <v>0</v>
      </c>
      <c r="R7938" t="s">
        <v>41258</v>
      </c>
      <c r="S7938" t="s">
        <v>41513</v>
      </c>
      <c r="T7938" t="s">
        <v>42728</v>
      </c>
      <c r="U7938" t="s">
        <v>45210</v>
      </c>
      <c r="V7938" t="s">
        <v>54542</v>
      </c>
      <c r="W7938" t="s">
        <v>38511</v>
      </c>
      <c r="X7938" t="s">
        <v>41259</v>
      </c>
    </row>
    <row r="7939" spans="1:24">
      <c r="A7939">
        <f>HYPERLINK("https://www.philgeps.gov.ph/GEPSNONPILOT/Tender/SplashBidNoticeAbstractUI.aspx?menuIndex=3&amp;refID=7064987&amp;Result=3","7064987")</f>
        <v>0</v>
      </c>
      <c r="B7939" t="s">
        <v>2431</v>
      </c>
      <c r="C7939" t="s">
        <v>10954</v>
      </c>
      <c r="D7939" t="s">
        <v>16673</v>
      </c>
      <c r="E7939" t="s">
        <v>23673</v>
      </c>
      <c r="F7939" t="s">
        <v>28669</v>
      </c>
      <c r="G7939" t="s">
        <v>28675</v>
      </c>
      <c r="H7939" t="s">
        <v>28686</v>
      </c>
      <c r="I7939" t="s">
        <v>28689</v>
      </c>
      <c r="J7939" t="s">
        <v>29112</v>
      </c>
      <c r="K7939" t="s">
        <v>37269</v>
      </c>
      <c r="M7939" t="s">
        <v>40114</v>
      </c>
      <c r="N7939" t="s">
        <v>41249</v>
      </c>
      <c r="O7939" t="s">
        <v>41250</v>
      </c>
      <c r="P7939">
        <v>0</v>
      </c>
      <c r="Q7939">
        <v>0</v>
      </c>
      <c r="R7939" t="s">
        <v>41258</v>
      </c>
      <c r="S7939" t="s">
        <v>41513</v>
      </c>
      <c r="T7939" t="s">
        <v>42695</v>
      </c>
      <c r="U7939" t="s">
        <v>49649</v>
      </c>
      <c r="W7939" t="s">
        <v>40114</v>
      </c>
      <c r="X7939" t="s">
        <v>41259</v>
      </c>
    </row>
    <row r="7940" spans="1:24">
      <c r="A7940">
        <f>HYPERLINK("https://www.philgeps.gov.ph/GEPSNONPILOT/Tender/SplashBidNoticeAbstractUI.aspx?menuIndex=3&amp;refID=7064985&amp;Result=3","7064985")</f>
        <v>0</v>
      </c>
      <c r="B7940" t="s">
        <v>2452</v>
      </c>
      <c r="C7940" t="s">
        <v>10955</v>
      </c>
      <c r="D7940" t="s">
        <v>16679</v>
      </c>
      <c r="E7940" t="s">
        <v>23674</v>
      </c>
      <c r="F7940" t="s">
        <v>28671</v>
      </c>
      <c r="G7940" t="s">
        <v>28675</v>
      </c>
      <c r="H7940" t="s">
        <v>28686</v>
      </c>
      <c r="I7940" t="s">
        <v>28689</v>
      </c>
      <c r="J7940" t="s">
        <v>28914</v>
      </c>
      <c r="K7940" t="s">
        <v>37206</v>
      </c>
      <c r="L7940" t="s">
        <v>2452</v>
      </c>
      <c r="M7940" t="s">
        <v>40135</v>
      </c>
      <c r="N7940" t="s">
        <v>41249</v>
      </c>
      <c r="O7940" t="s">
        <v>41250</v>
      </c>
      <c r="P7940">
        <v>0</v>
      </c>
      <c r="Q7940">
        <v>3</v>
      </c>
      <c r="R7940" t="s">
        <v>41258</v>
      </c>
      <c r="S7940" t="s">
        <v>41513</v>
      </c>
      <c r="T7940" t="s">
        <v>42782</v>
      </c>
      <c r="U7940" t="s">
        <v>49722</v>
      </c>
      <c r="V7940" t="s">
        <v>49756</v>
      </c>
      <c r="W7940" t="s">
        <v>40135</v>
      </c>
      <c r="X7940" t="s">
        <v>41259</v>
      </c>
    </row>
    <row r="7941" spans="1:24">
      <c r="A7941">
        <f>HYPERLINK("https://www.philgeps.gov.ph/GEPSNONPILOT/Tender/SplashBidNoticeAbstractUI.aspx?menuIndex=3&amp;refID=7065038&amp;Result=3","7065038")</f>
        <v>0</v>
      </c>
      <c r="B7941" t="s">
        <v>1712</v>
      </c>
      <c r="C7941" t="s">
        <v>10956</v>
      </c>
      <c r="D7941" t="s">
        <v>16639</v>
      </c>
      <c r="E7941" t="s">
        <v>23675</v>
      </c>
      <c r="F7941" t="s">
        <v>28669</v>
      </c>
      <c r="G7941" t="s">
        <v>28676</v>
      </c>
      <c r="H7941" t="s">
        <v>9998</v>
      </c>
      <c r="I7941" t="s">
        <v>28691</v>
      </c>
      <c r="J7941" t="s">
        <v>33782</v>
      </c>
      <c r="K7941" t="s">
        <v>37210</v>
      </c>
      <c r="M7941" t="s">
        <v>39310</v>
      </c>
      <c r="N7941" t="s">
        <v>41249</v>
      </c>
      <c r="O7941" t="s">
        <v>41250</v>
      </c>
      <c r="P7941">
        <v>0</v>
      </c>
      <c r="Q7941">
        <v>0</v>
      </c>
      <c r="R7941" t="s">
        <v>41258</v>
      </c>
      <c r="S7941" t="s">
        <v>41513</v>
      </c>
      <c r="T7941" t="s">
        <v>42989</v>
      </c>
      <c r="U7941" t="s">
        <v>49723</v>
      </c>
      <c r="W7941" t="s">
        <v>39310</v>
      </c>
      <c r="X7941" t="s">
        <v>41259</v>
      </c>
    </row>
    <row r="7942" spans="1:24">
      <c r="A7942">
        <f>HYPERLINK("https://www.philgeps.gov.ph/GEPSNONPILOT/Tender/SplashBidNoticeAbstractUI.aspx?menuIndex=3&amp;refID=7064982&amp;Result=3","7064982")</f>
        <v>0</v>
      </c>
      <c r="B7942" t="s">
        <v>266</v>
      </c>
      <c r="C7942" t="s">
        <v>10957</v>
      </c>
      <c r="E7942" t="s">
        <v>23676</v>
      </c>
      <c r="F7942" t="s">
        <v>28670</v>
      </c>
      <c r="G7942" t="s">
        <v>28677</v>
      </c>
      <c r="H7942" t="s">
        <v>9998</v>
      </c>
      <c r="I7942" t="s">
        <v>3679</v>
      </c>
      <c r="J7942" t="s">
        <v>33783</v>
      </c>
      <c r="K7942" t="s">
        <v>37209</v>
      </c>
      <c r="M7942" t="s">
        <v>37744</v>
      </c>
      <c r="N7942" t="s">
        <v>41249</v>
      </c>
      <c r="O7942" t="s">
        <v>41250</v>
      </c>
      <c r="Q7942">
        <v>4</v>
      </c>
      <c r="R7942" t="s">
        <v>41258</v>
      </c>
      <c r="S7942" t="s">
        <v>41387</v>
      </c>
      <c r="T7942" t="s">
        <v>42665</v>
      </c>
      <c r="U7942" t="s">
        <v>43620</v>
      </c>
      <c r="W7942" t="s">
        <v>37744</v>
      </c>
      <c r="X7942" t="s">
        <v>41259</v>
      </c>
    </row>
    <row r="7943" spans="1:24">
      <c r="A7943">
        <f>HYPERLINK("https://www.philgeps.gov.ph/GEPSNONPILOT/Tender/SplashBidNoticeAbstractUI.aspx?menuIndex=3&amp;refID=7064924&amp;Result=3","7064924")</f>
        <v>0</v>
      </c>
      <c r="B7943" t="s">
        <v>2431</v>
      </c>
      <c r="C7943" t="s">
        <v>10958</v>
      </c>
      <c r="D7943" t="s">
        <v>16673</v>
      </c>
      <c r="E7943" t="s">
        <v>23677</v>
      </c>
      <c r="F7943" t="s">
        <v>28669</v>
      </c>
      <c r="G7943" t="s">
        <v>28675</v>
      </c>
      <c r="H7943" t="s">
        <v>28686</v>
      </c>
      <c r="I7943" t="s">
        <v>28689</v>
      </c>
      <c r="J7943" t="s">
        <v>28836</v>
      </c>
      <c r="K7943" t="s">
        <v>37207</v>
      </c>
      <c r="M7943" t="s">
        <v>40114</v>
      </c>
      <c r="N7943" t="s">
        <v>41249</v>
      </c>
      <c r="O7943" t="s">
        <v>41250</v>
      </c>
      <c r="P7943">
        <v>0</v>
      </c>
      <c r="Q7943">
        <v>0</v>
      </c>
      <c r="R7943" t="s">
        <v>41258</v>
      </c>
      <c r="S7943" t="s">
        <v>41513</v>
      </c>
      <c r="T7943" t="s">
        <v>42695</v>
      </c>
      <c r="U7943" t="s">
        <v>49649</v>
      </c>
      <c r="W7943" t="s">
        <v>40114</v>
      </c>
      <c r="X7943" t="s">
        <v>41259</v>
      </c>
    </row>
    <row r="7944" spans="1:24">
      <c r="A7944">
        <f>HYPERLINK("https://www.philgeps.gov.ph/GEPSNONPILOT/Tender/SplashBidNoticeAbstractUI.aspx?menuIndex=3&amp;refID=7065190&amp;Result=3","7065190")</f>
        <v>0</v>
      </c>
      <c r="B7944" t="s">
        <v>2454</v>
      </c>
      <c r="C7944" t="s">
        <v>10959</v>
      </c>
      <c r="D7944" t="s">
        <v>16658</v>
      </c>
      <c r="E7944" t="s">
        <v>23678</v>
      </c>
      <c r="F7944" t="s">
        <v>28669</v>
      </c>
      <c r="G7944" t="s">
        <v>28675</v>
      </c>
      <c r="H7944" t="s">
        <v>9998</v>
      </c>
      <c r="I7944" t="s">
        <v>11142</v>
      </c>
      <c r="J7944" t="s">
        <v>33784</v>
      </c>
      <c r="K7944" t="s">
        <v>37209</v>
      </c>
      <c r="M7944" t="s">
        <v>40137</v>
      </c>
      <c r="N7944" t="s">
        <v>41249</v>
      </c>
      <c r="O7944" t="s">
        <v>41250</v>
      </c>
      <c r="P7944">
        <v>0</v>
      </c>
      <c r="Q7944">
        <v>1</v>
      </c>
      <c r="R7944" t="s">
        <v>41258</v>
      </c>
      <c r="S7944" t="s">
        <v>41513</v>
      </c>
      <c r="T7944" t="s">
        <v>42727</v>
      </c>
      <c r="U7944" t="s">
        <v>49724</v>
      </c>
      <c r="W7944" t="s">
        <v>40137</v>
      </c>
      <c r="X7944" t="s">
        <v>41259</v>
      </c>
    </row>
    <row r="7945" spans="1:24">
      <c r="A7945">
        <f>HYPERLINK("https://www.philgeps.gov.ph/GEPSNONPILOT/Tender/SplashBidNoticeAbstractUI.aspx?menuIndex=3&amp;refID=7065260&amp;Result=3","7065260")</f>
        <v>0</v>
      </c>
      <c r="B7945" t="s">
        <v>2435</v>
      </c>
      <c r="C7945" t="s">
        <v>10960</v>
      </c>
      <c r="D7945" t="s">
        <v>16607</v>
      </c>
      <c r="E7945" t="s">
        <v>23679</v>
      </c>
      <c r="F7945" t="s">
        <v>28669</v>
      </c>
      <c r="G7945" t="s">
        <v>28675</v>
      </c>
      <c r="H7945" t="s">
        <v>9998</v>
      </c>
      <c r="I7945" t="s">
        <v>28697</v>
      </c>
      <c r="J7945" t="s">
        <v>33785</v>
      </c>
      <c r="K7945" t="s">
        <v>37204</v>
      </c>
      <c r="M7945" t="s">
        <v>40118</v>
      </c>
      <c r="N7945" t="s">
        <v>41249</v>
      </c>
      <c r="O7945" t="s">
        <v>41250</v>
      </c>
      <c r="P7945">
        <v>0</v>
      </c>
      <c r="Q7945">
        <v>3</v>
      </c>
      <c r="R7945" t="s">
        <v>41258</v>
      </c>
      <c r="S7945" t="s">
        <v>41513</v>
      </c>
      <c r="T7945" t="s">
        <v>43014</v>
      </c>
      <c r="U7945" t="s">
        <v>49725</v>
      </c>
      <c r="W7945" t="s">
        <v>40118</v>
      </c>
      <c r="X7945" t="s">
        <v>41259</v>
      </c>
    </row>
    <row r="7946" spans="1:24">
      <c r="A7946">
        <f>HYPERLINK("https://www.philgeps.gov.ph/GEPSNONPILOT/Tender/SplashBidNoticeAbstractUI.aspx?menuIndex=3&amp;refID=7065006&amp;Result=3","7065006")</f>
        <v>0</v>
      </c>
      <c r="B7946" t="s">
        <v>986</v>
      </c>
      <c r="C7946" t="s">
        <v>10961</v>
      </c>
      <c r="D7946" t="s">
        <v>16620</v>
      </c>
      <c r="E7946" t="s">
        <v>23680</v>
      </c>
      <c r="F7946" t="s">
        <v>28669</v>
      </c>
      <c r="G7946" t="s">
        <v>28675</v>
      </c>
      <c r="H7946" t="s">
        <v>9998</v>
      </c>
      <c r="I7946" t="s">
        <v>11142</v>
      </c>
      <c r="J7946" t="s">
        <v>30675</v>
      </c>
      <c r="K7946" t="s">
        <v>37206</v>
      </c>
      <c r="M7946" t="s">
        <v>38511</v>
      </c>
      <c r="N7946" t="s">
        <v>41249</v>
      </c>
      <c r="O7946" t="s">
        <v>41250</v>
      </c>
      <c r="P7946">
        <v>0</v>
      </c>
      <c r="Q7946">
        <v>1</v>
      </c>
      <c r="R7946" t="s">
        <v>41258</v>
      </c>
      <c r="S7946" t="s">
        <v>41513</v>
      </c>
      <c r="T7946" t="s">
        <v>42728</v>
      </c>
      <c r="U7946" t="s">
        <v>45210</v>
      </c>
      <c r="V7946" t="s">
        <v>54542</v>
      </c>
      <c r="W7946" t="s">
        <v>38511</v>
      </c>
      <c r="X7946" t="s">
        <v>41259</v>
      </c>
    </row>
    <row r="7947" spans="1:24">
      <c r="A7947">
        <f>HYPERLINK("https://www.philgeps.gov.ph/GEPSNONPILOT/Tender/SplashBidNoticeAbstractUI.aspx?menuIndex=3&amp;refID=7065048&amp;Result=3","7065048")</f>
        <v>0</v>
      </c>
      <c r="B7947" t="s">
        <v>1966</v>
      </c>
      <c r="C7947" t="s">
        <v>10962</v>
      </c>
      <c r="D7947" t="s">
        <v>16619</v>
      </c>
      <c r="E7947" t="s">
        <v>23681</v>
      </c>
      <c r="F7947" t="s">
        <v>28671</v>
      </c>
      <c r="G7947" t="s">
        <v>28676</v>
      </c>
      <c r="H7947" t="s">
        <v>9998</v>
      </c>
      <c r="I7947" t="s">
        <v>28708</v>
      </c>
      <c r="J7947" t="s">
        <v>33786</v>
      </c>
      <c r="K7947" t="s">
        <v>37205</v>
      </c>
      <c r="L7947" t="s">
        <v>1966</v>
      </c>
      <c r="M7947" t="s">
        <v>39599</v>
      </c>
      <c r="N7947" t="s">
        <v>41249</v>
      </c>
      <c r="O7947" t="s">
        <v>41250</v>
      </c>
      <c r="P7947">
        <v>0</v>
      </c>
      <c r="Q7947">
        <v>2</v>
      </c>
      <c r="R7947" t="s">
        <v>41258</v>
      </c>
      <c r="S7947" t="s">
        <v>41513</v>
      </c>
      <c r="T7947" t="s">
        <v>42883</v>
      </c>
      <c r="U7947" t="s">
        <v>49726</v>
      </c>
      <c r="V7947" t="s">
        <v>55167</v>
      </c>
      <c r="W7947" t="s">
        <v>39599</v>
      </c>
      <c r="X7947" t="s">
        <v>41259</v>
      </c>
    </row>
    <row r="7948" spans="1:24">
      <c r="A7948">
        <f>HYPERLINK("https://www.philgeps.gov.ph/GEPSNONPILOT/Tender/SplashBidNoticeAbstractUI.aspx?menuIndex=3&amp;refID=7065241&amp;Result=3","7065241")</f>
        <v>0</v>
      </c>
      <c r="B7948" t="s">
        <v>1024</v>
      </c>
      <c r="C7948" t="s">
        <v>10963</v>
      </c>
      <c r="D7948" t="s">
        <v>16608</v>
      </c>
      <c r="E7948" t="s">
        <v>23682</v>
      </c>
      <c r="F7948" t="s">
        <v>28669</v>
      </c>
      <c r="G7948" t="s">
        <v>28677</v>
      </c>
      <c r="H7948" t="s">
        <v>9998</v>
      </c>
      <c r="I7948" t="s">
        <v>7352</v>
      </c>
      <c r="J7948" t="s">
        <v>29191</v>
      </c>
      <c r="K7948" t="s">
        <v>37205</v>
      </c>
      <c r="M7948" t="s">
        <v>38554</v>
      </c>
      <c r="N7948" t="s">
        <v>41249</v>
      </c>
      <c r="O7948" t="s">
        <v>41250</v>
      </c>
      <c r="P7948">
        <v>0</v>
      </c>
      <c r="Q7948">
        <v>1</v>
      </c>
      <c r="R7948" t="s">
        <v>41258</v>
      </c>
      <c r="S7948" t="s">
        <v>41513</v>
      </c>
      <c r="T7948" t="s">
        <v>42727</v>
      </c>
      <c r="U7948" t="s">
        <v>49727</v>
      </c>
      <c r="W7948" t="s">
        <v>38554</v>
      </c>
      <c r="X7948" t="s">
        <v>41259</v>
      </c>
    </row>
    <row r="7949" spans="1:24">
      <c r="A7949">
        <f>HYPERLINK("https://www.philgeps.gov.ph/GEPSNONPILOT/Tender/SplashBidNoticeAbstractUI.aspx?menuIndex=3&amp;refID=7065237&amp;Result=3","7065237")</f>
        <v>0</v>
      </c>
      <c r="B7949" t="s">
        <v>277</v>
      </c>
      <c r="C7949" t="s">
        <v>10964</v>
      </c>
      <c r="D7949" t="s">
        <v>16613</v>
      </c>
      <c r="E7949" t="s">
        <v>22306</v>
      </c>
      <c r="F7949" t="s">
        <v>28669</v>
      </c>
      <c r="G7949" t="s">
        <v>28675</v>
      </c>
      <c r="H7949" t="s">
        <v>28686</v>
      </c>
      <c r="I7949" t="s">
        <v>28689</v>
      </c>
      <c r="J7949" t="s">
        <v>33787</v>
      </c>
      <c r="K7949" t="s">
        <v>37209</v>
      </c>
      <c r="M7949" t="s">
        <v>37755</v>
      </c>
      <c r="N7949" t="s">
        <v>41249</v>
      </c>
      <c r="O7949" t="s">
        <v>41250</v>
      </c>
      <c r="P7949">
        <v>0</v>
      </c>
      <c r="Q7949">
        <v>0</v>
      </c>
      <c r="R7949" t="s">
        <v>41258</v>
      </c>
      <c r="S7949" t="s">
        <v>41513</v>
      </c>
      <c r="T7949" t="s">
        <v>42668</v>
      </c>
      <c r="U7949" t="s">
        <v>49728</v>
      </c>
      <c r="W7949" t="s">
        <v>55907</v>
      </c>
      <c r="X7949" t="s">
        <v>41259</v>
      </c>
    </row>
    <row r="7950" spans="1:24">
      <c r="A7950">
        <f>HYPERLINK("https://www.philgeps.gov.ph/GEPSNONPILOT/Tender/SplashBidNoticeAbstractUI.aspx?menuIndex=3&amp;refID=7065009&amp;Result=3","7065009")</f>
        <v>0</v>
      </c>
      <c r="B7950" t="s">
        <v>2455</v>
      </c>
      <c r="C7950" t="s">
        <v>10965</v>
      </c>
      <c r="D7950" t="s">
        <v>16644</v>
      </c>
      <c r="E7950" t="s">
        <v>23683</v>
      </c>
      <c r="F7950" t="s">
        <v>28669</v>
      </c>
      <c r="G7950" t="s">
        <v>28675</v>
      </c>
      <c r="H7950" t="s">
        <v>9998</v>
      </c>
      <c r="I7950" t="s">
        <v>28693</v>
      </c>
      <c r="J7950" t="s">
        <v>33788</v>
      </c>
      <c r="K7950" t="s">
        <v>37213</v>
      </c>
      <c r="M7950" t="s">
        <v>40138</v>
      </c>
      <c r="N7950" t="s">
        <v>41249</v>
      </c>
      <c r="O7950" t="s">
        <v>41250</v>
      </c>
      <c r="P7950">
        <v>0</v>
      </c>
      <c r="Q7950">
        <v>14</v>
      </c>
      <c r="R7950" t="s">
        <v>41258</v>
      </c>
      <c r="S7950" t="s">
        <v>41513</v>
      </c>
      <c r="T7950" t="s">
        <v>42837</v>
      </c>
      <c r="U7950" t="s">
        <v>49729</v>
      </c>
      <c r="W7950" t="s">
        <v>55995</v>
      </c>
      <c r="X7950" t="s">
        <v>41259</v>
      </c>
    </row>
    <row r="7951" spans="1:24">
      <c r="A7951">
        <f>HYPERLINK("https://www.philgeps.gov.ph/GEPSNONPILOT/Tender/SplashBidNoticeAbstractUI.aspx?menuIndex=3&amp;refID=7065217&amp;Result=3","7065217")</f>
        <v>0</v>
      </c>
      <c r="B7951" t="s">
        <v>2456</v>
      </c>
      <c r="C7951" t="s">
        <v>10966</v>
      </c>
      <c r="D7951" t="s">
        <v>16624</v>
      </c>
      <c r="E7951" t="s">
        <v>23684</v>
      </c>
      <c r="F7951" t="s">
        <v>28669</v>
      </c>
      <c r="G7951" t="s">
        <v>28675</v>
      </c>
      <c r="H7951" t="s">
        <v>28686</v>
      </c>
      <c r="I7951" t="s">
        <v>7352</v>
      </c>
      <c r="J7951" t="s">
        <v>33789</v>
      </c>
      <c r="K7951" t="s">
        <v>37215</v>
      </c>
      <c r="M7951" t="s">
        <v>40139</v>
      </c>
      <c r="N7951" t="s">
        <v>41249</v>
      </c>
      <c r="O7951" t="s">
        <v>41250</v>
      </c>
      <c r="P7951">
        <v>0</v>
      </c>
      <c r="Q7951">
        <v>1</v>
      </c>
      <c r="R7951" t="s">
        <v>41258</v>
      </c>
      <c r="S7951" t="s">
        <v>41513</v>
      </c>
      <c r="T7951" t="s">
        <v>42668</v>
      </c>
      <c r="U7951" t="s">
        <v>49730</v>
      </c>
      <c r="W7951" t="s">
        <v>40139</v>
      </c>
      <c r="X7951" t="s">
        <v>41259</v>
      </c>
    </row>
    <row r="7952" spans="1:24">
      <c r="A7952">
        <f>HYPERLINK("https://www.philgeps.gov.ph/GEPSNONPILOT/Tender/SplashBidNoticeAbstractUI.aspx?menuIndex=3&amp;refID=7065216&amp;Result=3","7065216")</f>
        <v>0</v>
      </c>
      <c r="B7952" t="s">
        <v>2457</v>
      </c>
      <c r="C7952" t="s">
        <v>10967</v>
      </c>
      <c r="D7952" t="s">
        <v>16623</v>
      </c>
      <c r="E7952" t="s">
        <v>16744</v>
      </c>
      <c r="F7952" t="s">
        <v>28669</v>
      </c>
      <c r="G7952" t="s">
        <v>28677</v>
      </c>
      <c r="H7952" t="s">
        <v>9998</v>
      </c>
      <c r="I7952" t="s">
        <v>28697</v>
      </c>
      <c r="J7952" t="s">
        <v>29104</v>
      </c>
      <c r="K7952" t="s">
        <v>37204</v>
      </c>
      <c r="M7952" t="s">
        <v>40140</v>
      </c>
      <c r="N7952" t="s">
        <v>41249</v>
      </c>
      <c r="O7952" t="s">
        <v>41250</v>
      </c>
      <c r="P7952">
        <v>0</v>
      </c>
      <c r="Q7952">
        <v>6</v>
      </c>
      <c r="R7952" t="s">
        <v>41258</v>
      </c>
      <c r="S7952" t="s">
        <v>41513</v>
      </c>
      <c r="T7952" t="s">
        <v>42711</v>
      </c>
      <c r="U7952" t="s">
        <v>49731</v>
      </c>
      <c r="W7952" t="s">
        <v>40140</v>
      </c>
      <c r="X7952" t="s">
        <v>41259</v>
      </c>
    </row>
    <row r="7953" spans="1:24">
      <c r="A7953">
        <f>HYPERLINK("https://www.philgeps.gov.ph/GEPSNONPILOT/Tender/SplashBidNoticeAbstractUI.aspx?menuIndex=3&amp;refID=7065212&amp;Result=3","7065212")</f>
        <v>0</v>
      </c>
      <c r="B7953" t="s">
        <v>2444</v>
      </c>
      <c r="C7953" t="s">
        <v>10968</v>
      </c>
      <c r="D7953" t="s">
        <v>16610</v>
      </c>
      <c r="E7953" t="s">
        <v>23685</v>
      </c>
      <c r="F7953" t="s">
        <v>28669</v>
      </c>
      <c r="G7953" t="s">
        <v>28675</v>
      </c>
      <c r="H7953" t="s">
        <v>28686</v>
      </c>
      <c r="I7953" t="s">
        <v>28689</v>
      </c>
      <c r="J7953" t="s">
        <v>33790</v>
      </c>
      <c r="K7953" t="s">
        <v>37213</v>
      </c>
      <c r="M7953" t="s">
        <v>40127</v>
      </c>
      <c r="N7953" t="s">
        <v>41249</v>
      </c>
      <c r="O7953" t="s">
        <v>41250</v>
      </c>
      <c r="P7953">
        <v>0</v>
      </c>
      <c r="Q7953">
        <v>0</v>
      </c>
      <c r="R7953" t="s">
        <v>41258</v>
      </c>
      <c r="S7953" t="s">
        <v>41513</v>
      </c>
      <c r="T7953" t="s">
        <v>42808</v>
      </c>
      <c r="U7953" t="s">
        <v>49732</v>
      </c>
      <c r="W7953" t="s">
        <v>40127</v>
      </c>
      <c r="X7953" t="s">
        <v>41259</v>
      </c>
    </row>
    <row r="7954" spans="1:24">
      <c r="A7954">
        <f>HYPERLINK("https://www.philgeps.gov.ph/GEPSNONPILOT/Tender/SplashBidNoticeAbstractUI.aspx?menuIndex=3&amp;refID=7065108&amp;Result=3","7065108")</f>
        <v>0</v>
      </c>
      <c r="B7954" t="s">
        <v>694</v>
      </c>
      <c r="C7954" t="s">
        <v>10969</v>
      </c>
      <c r="D7954" t="s">
        <v>16686</v>
      </c>
      <c r="E7954" t="s">
        <v>23686</v>
      </c>
      <c r="F7954" t="s">
        <v>28669</v>
      </c>
      <c r="G7954" t="s">
        <v>28675</v>
      </c>
      <c r="H7954" t="s">
        <v>9998</v>
      </c>
      <c r="I7954" t="s">
        <v>6128</v>
      </c>
      <c r="J7954" t="s">
        <v>33791</v>
      </c>
      <c r="K7954" t="s">
        <v>37205</v>
      </c>
      <c r="M7954" t="s">
        <v>38199</v>
      </c>
      <c r="N7954" t="s">
        <v>41249</v>
      </c>
      <c r="O7954" t="s">
        <v>41250</v>
      </c>
      <c r="P7954">
        <v>0</v>
      </c>
      <c r="Q7954">
        <v>1</v>
      </c>
      <c r="R7954" t="s">
        <v>41258</v>
      </c>
      <c r="S7954" t="s">
        <v>41513</v>
      </c>
      <c r="T7954" t="s">
        <v>42883</v>
      </c>
      <c r="U7954" t="s">
        <v>49733</v>
      </c>
      <c r="V7954" t="s">
        <v>54428</v>
      </c>
      <c r="W7954" t="s">
        <v>38199</v>
      </c>
      <c r="X7954" t="s">
        <v>41259</v>
      </c>
    </row>
    <row r="7955" spans="1:24">
      <c r="A7955">
        <f>HYPERLINK("https://www.philgeps.gov.ph/GEPSNONPILOT/Tender/SplashBidNoticeAbstractUI.aspx?menuIndex=3&amp;refID=7065209&amp;Result=3","7065209")</f>
        <v>0</v>
      </c>
      <c r="B7955" t="s">
        <v>2458</v>
      </c>
      <c r="C7955" t="s">
        <v>10970</v>
      </c>
      <c r="D7955" t="s">
        <v>16608</v>
      </c>
      <c r="E7955" t="s">
        <v>10970</v>
      </c>
      <c r="F7955" t="s">
        <v>28669</v>
      </c>
      <c r="G7955" t="s">
        <v>28676</v>
      </c>
      <c r="H7955" t="s">
        <v>9998</v>
      </c>
      <c r="I7955" t="s">
        <v>28729</v>
      </c>
      <c r="J7955" t="s">
        <v>29027</v>
      </c>
      <c r="K7955" t="s">
        <v>37209</v>
      </c>
      <c r="M7955" t="s">
        <v>40141</v>
      </c>
      <c r="N7955" t="s">
        <v>41249</v>
      </c>
      <c r="O7955" t="s">
        <v>41250</v>
      </c>
      <c r="P7955">
        <v>0</v>
      </c>
      <c r="Q7955">
        <v>19</v>
      </c>
      <c r="R7955" t="s">
        <v>41258</v>
      </c>
      <c r="S7955" t="s">
        <v>41513</v>
      </c>
      <c r="T7955" t="s">
        <v>42989</v>
      </c>
      <c r="U7955" t="s">
        <v>49734</v>
      </c>
      <c r="W7955" t="s">
        <v>40141</v>
      </c>
      <c r="X7955" t="s">
        <v>41259</v>
      </c>
    </row>
    <row r="7956" spans="1:24">
      <c r="A7956">
        <f>HYPERLINK("https://www.philgeps.gov.ph/GEPSNONPILOT/Tender/SplashBidNoticeAbstractUI.aspx?menuIndex=3&amp;refID=7065206&amp;Result=3","7065206")</f>
        <v>0</v>
      </c>
      <c r="B7956" t="s">
        <v>2459</v>
      </c>
      <c r="C7956" t="s">
        <v>6834</v>
      </c>
      <c r="D7956" t="s">
        <v>16658</v>
      </c>
      <c r="E7956" t="s">
        <v>23687</v>
      </c>
      <c r="F7956" t="s">
        <v>28669</v>
      </c>
      <c r="G7956" t="s">
        <v>28675</v>
      </c>
      <c r="H7956" t="s">
        <v>9998</v>
      </c>
      <c r="I7956" t="s">
        <v>5286</v>
      </c>
      <c r="J7956" t="s">
        <v>28879</v>
      </c>
      <c r="K7956" t="s">
        <v>37204</v>
      </c>
      <c r="M7956" t="s">
        <v>40142</v>
      </c>
      <c r="N7956" t="s">
        <v>41249</v>
      </c>
      <c r="O7956" t="s">
        <v>41250</v>
      </c>
      <c r="P7956">
        <v>0</v>
      </c>
      <c r="Q7956">
        <v>2</v>
      </c>
      <c r="R7956" t="s">
        <v>41258</v>
      </c>
      <c r="S7956" t="s">
        <v>41513</v>
      </c>
      <c r="T7956" t="s">
        <v>42758</v>
      </c>
      <c r="U7956" t="s">
        <v>49735</v>
      </c>
      <c r="W7956" t="s">
        <v>40142</v>
      </c>
      <c r="X7956" t="s">
        <v>41259</v>
      </c>
    </row>
    <row r="7957" spans="1:24">
      <c r="A7957">
        <f>HYPERLINK("https://www.philgeps.gov.ph/GEPSNONPILOT/Tender/SplashBidNoticeAbstractUI.aspx?menuIndex=3&amp;refID=7065202&amp;Result=3","7065202")</f>
        <v>0</v>
      </c>
      <c r="B7957" t="s">
        <v>1024</v>
      </c>
      <c r="C7957" t="s">
        <v>10971</v>
      </c>
      <c r="D7957" t="s">
        <v>16608</v>
      </c>
      <c r="E7957" t="s">
        <v>23688</v>
      </c>
      <c r="F7957" t="s">
        <v>28669</v>
      </c>
      <c r="G7957" t="s">
        <v>28677</v>
      </c>
      <c r="H7957" t="s">
        <v>9998</v>
      </c>
      <c r="I7957" t="s">
        <v>7352</v>
      </c>
      <c r="J7957" t="s">
        <v>29299</v>
      </c>
      <c r="K7957" t="s">
        <v>37206</v>
      </c>
      <c r="M7957" t="s">
        <v>38554</v>
      </c>
      <c r="N7957" t="s">
        <v>41249</v>
      </c>
      <c r="O7957" t="s">
        <v>41250</v>
      </c>
      <c r="P7957">
        <v>0</v>
      </c>
      <c r="Q7957">
        <v>1</v>
      </c>
      <c r="R7957" t="s">
        <v>41258</v>
      </c>
      <c r="S7957" t="s">
        <v>41513</v>
      </c>
      <c r="T7957" t="s">
        <v>42727</v>
      </c>
      <c r="U7957" t="s">
        <v>49736</v>
      </c>
      <c r="W7957" t="s">
        <v>38554</v>
      </c>
      <c r="X7957" t="s">
        <v>41259</v>
      </c>
    </row>
    <row r="7958" spans="1:24">
      <c r="A7958">
        <f>HYPERLINK("https://www.philgeps.gov.ph/GEPSNONPILOT/Tender/SplashBidNoticeAbstractUI.aspx?menuIndex=3&amp;refID=7065224&amp;Result=3","7065224")</f>
        <v>0</v>
      </c>
      <c r="B7958" t="s">
        <v>2411</v>
      </c>
      <c r="C7958" t="s">
        <v>10972</v>
      </c>
      <c r="D7958" t="s">
        <v>16627</v>
      </c>
      <c r="E7958" t="s">
        <v>23689</v>
      </c>
      <c r="F7958" t="s">
        <v>28669</v>
      </c>
      <c r="G7958" t="s">
        <v>28675</v>
      </c>
      <c r="H7958" t="s">
        <v>28686</v>
      </c>
      <c r="I7958" t="s">
        <v>28689</v>
      </c>
      <c r="J7958" t="s">
        <v>33792</v>
      </c>
      <c r="K7958" t="s">
        <v>37205</v>
      </c>
      <c r="M7958" t="s">
        <v>40093</v>
      </c>
      <c r="N7958" t="s">
        <v>41249</v>
      </c>
      <c r="O7958" t="s">
        <v>41250</v>
      </c>
      <c r="P7958">
        <v>0</v>
      </c>
      <c r="Q7958">
        <v>1</v>
      </c>
      <c r="R7958" t="s">
        <v>41258</v>
      </c>
      <c r="S7958" t="s">
        <v>41513</v>
      </c>
      <c r="T7958" t="s">
        <v>42722</v>
      </c>
      <c r="U7958" t="s">
        <v>49737</v>
      </c>
      <c r="V7958" t="s">
        <v>55143</v>
      </c>
      <c r="W7958" t="s">
        <v>40093</v>
      </c>
      <c r="X7958" t="s">
        <v>41259</v>
      </c>
    </row>
    <row r="7959" spans="1:24">
      <c r="A7959">
        <f>HYPERLINK("https://www.philgeps.gov.ph/GEPSNONPILOT/Tender/SplashBidNoticeAbstractUI.aspx?menuIndex=3&amp;refID=7065265&amp;Result=3","7065265")</f>
        <v>0</v>
      </c>
      <c r="B7959" t="s">
        <v>1179</v>
      </c>
      <c r="C7959" t="s">
        <v>10973</v>
      </c>
      <c r="D7959" t="s">
        <v>16664</v>
      </c>
      <c r="E7959" t="s">
        <v>23690</v>
      </c>
      <c r="F7959" t="s">
        <v>28669</v>
      </c>
      <c r="G7959" t="s">
        <v>28676</v>
      </c>
      <c r="H7959" t="s">
        <v>9998</v>
      </c>
      <c r="I7959" t="s">
        <v>28749</v>
      </c>
      <c r="J7959" t="s">
        <v>28912</v>
      </c>
      <c r="K7959" t="s">
        <v>37206</v>
      </c>
      <c r="M7959" t="s">
        <v>38719</v>
      </c>
      <c r="N7959" t="s">
        <v>41249</v>
      </c>
      <c r="O7959" t="s">
        <v>41250</v>
      </c>
      <c r="P7959">
        <v>0</v>
      </c>
      <c r="Q7959">
        <v>0</v>
      </c>
      <c r="R7959" t="s">
        <v>41258</v>
      </c>
      <c r="S7959" t="s">
        <v>41513</v>
      </c>
      <c r="T7959" t="s">
        <v>43002</v>
      </c>
      <c r="U7959" t="s">
        <v>49738</v>
      </c>
      <c r="W7959" t="s">
        <v>38719</v>
      </c>
      <c r="X7959" t="s">
        <v>41259</v>
      </c>
    </row>
    <row r="7960" spans="1:24">
      <c r="A7960">
        <f>HYPERLINK("https://www.philgeps.gov.ph/GEPSNONPILOT/Tender/SplashBidNoticeAbstractUI.aspx?menuIndex=3&amp;refID=7065214&amp;Result=3","7065214")</f>
        <v>0</v>
      </c>
      <c r="B7960" t="s">
        <v>2460</v>
      </c>
      <c r="C7960" t="s">
        <v>10974</v>
      </c>
      <c r="D7960" t="s">
        <v>16658</v>
      </c>
      <c r="E7960" t="s">
        <v>23691</v>
      </c>
      <c r="F7960" t="s">
        <v>28669</v>
      </c>
      <c r="G7960" t="s">
        <v>28677</v>
      </c>
      <c r="H7960" t="s">
        <v>28686</v>
      </c>
      <c r="I7960" t="s">
        <v>28697</v>
      </c>
      <c r="J7960" t="s">
        <v>33793</v>
      </c>
      <c r="K7960" t="s">
        <v>37204</v>
      </c>
      <c r="L7960" t="s">
        <v>2460</v>
      </c>
      <c r="M7960" t="s">
        <v>40143</v>
      </c>
      <c r="N7960" t="s">
        <v>41249</v>
      </c>
      <c r="O7960" t="s">
        <v>41250</v>
      </c>
      <c r="P7960">
        <v>0</v>
      </c>
      <c r="Q7960">
        <v>0</v>
      </c>
      <c r="R7960" t="s">
        <v>41258</v>
      </c>
      <c r="S7960" t="s">
        <v>41513</v>
      </c>
      <c r="T7960" t="s">
        <v>42758</v>
      </c>
      <c r="U7960" t="s">
        <v>49739</v>
      </c>
      <c r="W7960" t="s">
        <v>40143</v>
      </c>
      <c r="X7960" t="s">
        <v>41259</v>
      </c>
    </row>
    <row r="7961" spans="1:24">
      <c r="A7961">
        <f>HYPERLINK("https://www.philgeps.gov.ph/GEPSNONPILOT/Tender/SplashBidNoticeAbstractUI.aspx?menuIndex=3&amp;refID=7065319&amp;Result=3","7065319")</f>
        <v>0</v>
      </c>
      <c r="B7961" t="s">
        <v>2064</v>
      </c>
      <c r="C7961" t="s">
        <v>10975</v>
      </c>
      <c r="D7961" t="s">
        <v>16684</v>
      </c>
      <c r="E7961" t="s">
        <v>23692</v>
      </c>
      <c r="F7961" t="s">
        <v>28669</v>
      </c>
      <c r="G7961" t="s">
        <v>28675</v>
      </c>
      <c r="H7961" t="s">
        <v>9998</v>
      </c>
      <c r="I7961" t="s">
        <v>28695</v>
      </c>
      <c r="J7961" t="s">
        <v>33794</v>
      </c>
      <c r="K7961" t="s">
        <v>37205</v>
      </c>
      <c r="M7961" t="s">
        <v>39705</v>
      </c>
      <c r="N7961" t="s">
        <v>41249</v>
      </c>
      <c r="O7961" t="s">
        <v>41250</v>
      </c>
      <c r="P7961">
        <v>0</v>
      </c>
      <c r="Q7961">
        <v>0</v>
      </c>
      <c r="R7961" t="s">
        <v>41258</v>
      </c>
      <c r="S7961" t="s">
        <v>41513</v>
      </c>
      <c r="T7961" t="s">
        <v>42728</v>
      </c>
      <c r="U7961" t="s">
        <v>49740</v>
      </c>
      <c r="W7961" t="s">
        <v>39705</v>
      </c>
      <c r="X7961" t="s">
        <v>41259</v>
      </c>
    </row>
    <row r="7962" spans="1:24">
      <c r="A7962">
        <f>HYPERLINK("https://www.philgeps.gov.ph/GEPSNONPILOT/Tender/SplashBidNoticeAbstractUI.aspx?menuIndex=3&amp;refID=7065067&amp;Result=3","7065067")</f>
        <v>0</v>
      </c>
      <c r="B7962" t="s">
        <v>2441</v>
      </c>
      <c r="C7962" t="s">
        <v>10976</v>
      </c>
      <c r="D7962" t="s">
        <v>16663</v>
      </c>
      <c r="E7962" t="s">
        <v>23693</v>
      </c>
      <c r="F7962" t="s">
        <v>28669</v>
      </c>
      <c r="G7962" t="s">
        <v>28675</v>
      </c>
      <c r="H7962" t="s">
        <v>9998</v>
      </c>
      <c r="I7962" t="s">
        <v>7352</v>
      </c>
      <c r="J7962" t="s">
        <v>33795</v>
      </c>
      <c r="K7962" t="s">
        <v>37209</v>
      </c>
      <c r="M7962" t="s">
        <v>40124</v>
      </c>
      <c r="N7962" t="s">
        <v>41249</v>
      </c>
      <c r="O7962" t="s">
        <v>41250</v>
      </c>
      <c r="P7962">
        <v>0</v>
      </c>
      <c r="Q7962">
        <v>0</v>
      </c>
      <c r="R7962" t="s">
        <v>41258</v>
      </c>
      <c r="S7962" t="s">
        <v>41513</v>
      </c>
      <c r="T7962" t="s">
        <v>42758</v>
      </c>
      <c r="U7962" t="s">
        <v>49741</v>
      </c>
      <c r="W7962" t="s">
        <v>55994</v>
      </c>
      <c r="X7962" t="s">
        <v>41259</v>
      </c>
    </row>
    <row r="7963" spans="1:24">
      <c r="A7963">
        <f>HYPERLINK("https://www.philgeps.gov.ph/GEPSNONPILOT/Tender/SplashBidNoticeAbstractUI.aspx?menuIndex=3&amp;refID=7065318&amp;Result=3","7065318")</f>
        <v>0</v>
      </c>
      <c r="B7963" t="s">
        <v>2438</v>
      </c>
      <c r="C7963" t="s">
        <v>10977</v>
      </c>
      <c r="D7963" t="s">
        <v>16639</v>
      </c>
      <c r="E7963" t="s">
        <v>17348</v>
      </c>
      <c r="F7963" t="s">
        <v>28669</v>
      </c>
      <c r="G7963" t="s">
        <v>28675</v>
      </c>
      <c r="H7963" t="s">
        <v>9998</v>
      </c>
      <c r="I7963" t="s">
        <v>28704</v>
      </c>
      <c r="J7963" t="s">
        <v>28859</v>
      </c>
      <c r="K7963" t="s">
        <v>37227</v>
      </c>
      <c r="M7963" t="s">
        <v>40121</v>
      </c>
      <c r="N7963" t="s">
        <v>41249</v>
      </c>
      <c r="O7963" t="s">
        <v>41250</v>
      </c>
      <c r="P7963">
        <v>0</v>
      </c>
      <c r="Q7963">
        <v>1</v>
      </c>
      <c r="R7963" t="s">
        <v>41258</v>
      </c>
      <c r="S7963" t="s">
        <v>41513</v>
      </c>
      <c r="T7963" t="s">
        <v>43027</v>
      </c>
      <c r="U7963" t="s">
        <v>49742</v>
      </c>
      <c r="V7963" t="s">
        <v>55156</v>
      </c>
      <c r="W7963" t="s">
        <v>40121</v>
      </c>
      <c r="X7963" t="s">
        <v>41259</v>
      </c>
    </row>
    <row r="7964" spans="1:24">
      <c r="A7964">
        <f>HYPERLINK("https://www.philgeps.gov.ph/GEPSNONPILOT/Tender/SplashBidNoticeAbstractUI.aspx?menuIndex=3&amp;refID=7065220&amp;Result=3","7065220")</f>
        <v>0</v>
      </c>
      <c r="B7964" t="s">
        <v>1957</v>
      </c>
      <c r="C7964" t="s">
        <v>10978</v>
      </c>
      <c r="D7964" t="s">
        <v>16620</v>
      </c>
      <c r="E7964" t="s">
        <v>23694</v>
      </c>
      <c r="F7964" t="s">
        <v>28669</v>
      </c>
      <c r="G7964" t="s">
        <v>28676</v>
      </c>
      <c r="H7964" t="s">
        <v>9998</v>
      </c>
      <c r="I7964" t="s">
        <v>7352</v>
      </c>
      <c r="J7964" t="s">
        <v>33796</v>
      </c>
      <c r="K7964" t="s">
        <v>37205</v>
      </c>
      <c r="M7964" t="s">
        <v>39589</v>
      </c>
      <c r="N7964" t="s">
        <v>41249</v>
      </c>
      <c r="O7964" t="s">
        <v>41250</v>
      </c>
      <c r="P7964">
        <v>0</v>
      </c>
      <c r="Q7964">
        <v>1</v>
      </c>
      <c r="R7964" t="s">
        <v>41258</v>
      </c>
      <c r="S7964" t="s">
        <v>41513</v>
      </c>
      <c r="T7964" t="s">
        <v>42729</v>
      </c>
      <c r="U7964" t="s">
        <v>49743</v>
      </c>
      <c r="W7964" t="s">
        <v>39589</v>
      </c>
      <c r="X7964" t="s">
        <v>41259</v>
      </c>
    </row>
    <row r="7965" spans="1:24">
      <c r="A7965">
        <f>HYPERLINK("https://www.philgeps.gov.ph/GEPSNONPILOT/Tender/SplashBidNoticeAbstractUI.aspx?menuIndex=3&amp;refID=7065305&amp;Result=3","7065305")</f>
        <v>0</v>
      </c>
      <c r="B7965" t="s">
        <v>2461</v>
      </c>
      <c r="C7965" t="s">
        <v>10979</v>
      </c>
      <c r="D7965" t="s">
        <v>16633</v>
      </c>
      <c r="E7965" t="s">
        <v>23695</v>
      </c>
      <c r="F7965" t="s">
        <v>28669</v>
      </c>
      <c r="G7965" t="s">
        <v>28675</v>
      </c>
      <c r="H7965" t="s">
        <v>9998</v>
      </c>
      <c r="I7965" t="s">
        <v>7352</v>
      </c>
      <c r="J7965" t="s">
        <v>29713</v>
      </c>
      <c r="K7965" t="s">
        <v>37204</v>
      </c>
      <c r="L7965" t="s">
        <v>2461</v>
      </c>
      <c r="M7965" t="s">
        <v>40144</v>
      </c>
      <c r="N7965" t="s">
        <v>41249</v>
      </c>
      <c r="O7965" t="s">
        <v>41250</v>
      </c>
      <c r="P7965">
        <v>0</v>
      </c>
      <c r="Q7965">
        <v>1</v>
      </c>
      <c r="R7965" t="s">
        <v>41258</v>
      </c>
      <c r="S7965" t="s">
        <v>41513</v>
      </c>
      <c r="T7965" t="s">
        <v>42673</v>
      </c>
      <c r="U7965" t="s">
        <v>49744</v>
      </c>
      <c r="V7965" t="s">
        <v>55168</v>
      </c>
      <c r="W7965" t="s">
        <v>40144</v>
      </c>
      <c r="X7965" t="s">
        <v>41259</v>
      </c>
    </row>
    <row r="7966" spans="1:24">
      <c r="A7966">
        <f>HYPERLINK("https://www.philgeps.gov.ph/GEPSNONPILOT/Tender/SplashBidNoticeAbstractUI.aspx?menuIndex=3&amp;refID=7065321&amp;Result=3","7065321")</f>
        <v>0</v>
      </c>
      <c r="B7966" t="s">
        <v>547</v>
      </c>
      <c r="C7966" t="s">
        <v>10980</v>
      </c>
      <c r="D7966" t="s">
        <v>16627</v>
      </c>
      <c r="E7966" t="s">
        <v>23696</v>
      </c>
      <c r="F7966" t="s">
        <v>28669</v>
      </c>
      <c r="G7966" t="s">
        <v>28675</v>
      </c>
      <c r="H7966" t="s">
        <v>9998</v>
      </c>
      <c r="I7966" t="s">
        <v>3658</v>
      </c>
      <c r="J7966" t="s">
        <v>29655</v>
      </c>
      <c r="K7966" t="s">
        <v>37213</v>
      </c>
      <c r="M7966" t="s">
        <v>38040</v>
      </c>
      <c r="N7966" t="s">
        <v>41249</v>
      </c>
      <c r="O7966" t="s">
        <v>41250</v>
      </c>
      <c r="P7966">
        <v>0</v>
      </c>
      <c r="Q7966">
        <v>6</v>
      </c>
      <c r="R7966" t="s">
        <v>41258</v>
      </c>
      <c r="S7966" t="s">
        <v>41513</v>
      </c>
      <c r="T7966" t="s">
        <v>42688</v>
      </c>
      <c r="U7966" t="s">
        <v>49745</v>
      </c>
      <c r="W7966" t="s">
        <v>38040</v>
      </c>
      <c r="X7966" t="s">
        <v>41259</v>
      </c>
    </row>
    <row r="7967" spans="1:24">
      <c r="A7967">
        <f>HYPERLINK("https://www.philgeps.gov.ph/GEPSNONPILOT/Tender/SplashBidNoticeAbstractUI.aspx?menuIndex=3&amp;refID=7065242&amp;Result=3","7065242")</f>
        <v>0</v>
      </c>
      <c r="B7967" t="s">
        <v>2456</v>
      </c>
      <c r="C7967" t="s">
        <v>10981</v>
      </c>
      <c r="D7967" t="s">
        <v>16624</v>
      </c>
      <c r="E7967" t="s">
        <v>23697</v>
      </c>
      <c r="F7967" t="s">
        <v>28669</v>
      </c>
      <c r="G7967" t="s">
        <v>28675</v>
      </c>
      <c r="H7967" t="s">
        <v>28686</v>
      </c>
      <c r="I7967" t="s">
        <v>7352</v>
      </c>
      <c r="J7967" t="s">
        <v>28881</v>
      </c>
      <c r="K7967" t="s">
        <v>37215</v>
      </c>
      <c r="M7967" t="s">
        <v>40139</v>
      </c>
      <c r="N7967" t="s">
        <v>41249</v>
      </c>
      <c r="O7967" t="s">
        <v>41250</v>
      </c>
      <c r="P7967">
        <v>0</v>
      </c>
      <c r="Q7967">
        <v>0</v>
      </c>
      <c r="R7967" t="s">
        <v>41258</v>
      </c>
      <c r="S7967" t="s">
        <v>41513</v>
      </c>
      <c r="T7967" t="s">
        <v>42668</v>
      </c>
      <c r="U7967" t="s">
        <v>49746</v>
      </c>
      <c r="W7967" t="s">
        <v>40139</v>
      </c>
      <c r="X7967" t="s">
        <v>41259</v>
      </c>
    </row>
    <row r="7968" spans="1:24">
      <c r="A7968">
        <f>HYPERLINK("https://www.philgeps.gov.ph/GEPSNONPILOT/Tender/SplashBidNoticeAbstractUI.aspx?menuIndex=3&amp;refID=7065297&amp;Result=3","7065297")</f>
        <v>0</v>
      </c>
      <c r="B7968" t="s">
        <v>2462</v>
      </c>
      <c r="C7968" t="s">
        <v>10982</v>
      </c>
      <c r="D7968" t="s">
        <v>16636</v>
      </c>
      <c r="E7968" t="s">
        <v>23698</v>
      </c>
      <c r="F7968" t="s">
        <v>28669</v>
      </c>
      <c r="G7968" t="s">
        <v>28675</v>
      </c>
      <c r="H7968" t="s">
        <v>28686</v>
      </c>
      <c r="I7968" t="s">
        <v>28689</v>
      </c>
      <c r="J7968" t="s">
        <v>33797</v>
      </c>
      <c r="K7968" t="s">
        <v>37206</v>
      </c>
      <c r="M7968" t="s">
        <v>40145</v>
      </c>
      <c r="N7968" t="s">
        <v>41249</v>
      </c>
      <c r="O7968" t="s">
        <v>41250</v>
      </c>
      <c r="P7968">
        <v>0</v>
      </c>
      <c r="Q7968">
        <v>0</v>
      </c>
      <c r="R7968" t="s">
        <v>41258</v>
      </c>
      <c r="S7968" t="s">
        <v>41513</v>
      </c>
      <c r="T7968" t="s">
        <v>42739</v>
      </c>
      <c r="U7968" t="s">
        <v>49747</v>
      </c>
      <c r="W7968" t="s">
        <v>40145</v>
      </c>
      <c r="X7968" t="s">
        <v>41259</v>
      </c>
    </row>
    <row r="7969" spans="1:24">
      <c r="A7969">
        <f>HYPERLINK("https://www.philgeps.gov.ph/GEPSNONPILOT/Tender/SplashBidNoticeAbstractUI.aspx?menuIndex=3&amp;refID=7065293&amp;Result=3","7065293")</f>
        <v>0</v>
      </c>
      <c r="B7969" t="s">
        <v>2463</v>
      </c>
      <c r="C7969" t="s">
        <v>10983</v>
      </c>
      <c r="E7969" t="s">
        <v>23699</v>
      </c>
      <c r="F7969" t="s">
        <v>28669</v>
      </c>
      <c r="G7969" t="s">
        <v>28675</v>
      </c>
      <c r="H7969" t="s">
        <v>28686</v>
      </c>
      <c r="I7969" t="s">
        <v>28689</v>
      </c>
      <c r="J7969" t="s">
        <v>33798</v>
      </c>
      <c r="K7969" t="s">
        <v>37209</v>
      </c>
      <c r="M7969" t="s">
        <v>40146</v>
      </c>
      <c r="N7969" t="s">
        <v>41249</v>
      </c>
      <c r="O7969" t="s">
        <v>41250</v>
      </c>
      <c r="P7969">
        <v>0</v>
      </c>
      <c r="Q7969">
        <v>0</v>
      </c>
      <c r="R7969" t="s">
        <v>41258</v>
      </c>
      <c r="S7969" t="s">
        <v>41513</v>
      </c>
      <c r="T7969" t="s">
        <v>42758</v>
      </c>
      <c r="U7969" t="s">
        <v>49748</v>
      </c>
      <c r="W7969" t="s">
        <v>40146</v>
      </c>
      <c r="X7969" t="s">
        <v>41259</v>
      </c>
    </row>
    <row r="7970" spans="1:24">
      <c r="A7970">
        <f>HYPERLINK("https://www.philgeps.gov.ph/GEPSNONPILOT/Tender/SplashBidNoticeAbstractUI.aspx?menuIndex=3&amp;refID=7065315&amp;Result=3","7065315")</f>
        <v>0</v>
      </c>
      <c r="B7970" t="s">
        <v>2464</v>
      </c>
      <c r="C7970" t="s">
        <v>10984</v>
      </c>
      <c r="D7970" t="s">
        <v>16643</v>
      </c>
      <c r="E7970" t="s">
        <v>21263</v>
      </c>
      <c r="F7970" t="s">
        <v>28669</v>
      </c>
      <c r="G7970" t="s">
        <v>28677</v>
      </c>
      <c r="H7970" t="s">
        <v>28684</v>
      </c>
      <c r="I7970" t="s">
        <v>28709</v>
      </c>
      <c r="J7970" t="s">
        <v>33799</v>
      </c>
      <c r="K7970" t="s">
        <v>37243</v>
      </c>
      <c r="M7970" t="s">
        <v>40147</v>
      </c>
      <c r="N7970" t="s">
        <v>41249</v>
      </c>
      <c r="O7970" t="s">
        <v>41250</v>
      </c>
      <c r="P7970">
        <v>0</v>
      </c>
      <c r="Q7970">
        <v>2</v>
      </c>
      <c r="R7970" t="s">
        <v>41258</v>
      </c>
      <c r="S7970" t="s">
        <v>41513</v>
      </c>
      <c r="T7970" t="s">
        <v>42707</v>
      </c>
      <c r="U7970" t="s">
        <v>49749</v>
      </c>
      <c r="W7970" t="s">
        <v>40147</v>
      </c>
      <c r="X7970" t="s">
        <v>41259</v>
      </c>
    </row>
    <row r="7971" spans="1:24">
      <c r="A7971">
        <f>HYPERLINK("https://www.philgeps.gov.ph/GEPSNONPILOT/Tender/SplashBidNoticeAbstractUI.aspx?menuIndex=3&amp;refID=7065288&amp;Result=3","7065288")</f>
        <v>0</v>
      </c>
      <c r="B7971" t="s">
        <v>1522</v>
      </c>
      <c r="C7971" t="s">
        <v>10985</v>
      </c>
      <c r="D7971" t="s">
        <v>16686</v>
      </c>
      <c r="E7971" t="s">
        <v>23700</v>
      </c>
      <c r="F7971" t="s">
        <v>28669</v>
      </c>
      <c r="G7971" t="s">
        <v>28675</v>
      </c>
      <c r="H7971" t="s">
        <v>9998</v>
      </c>
      <c r="I7971" t="s">
        <v>6128</v>
      </c>
      <c r="J7971" t="s">
        <v>33800</v>
      </c>
      <c r="K7971" t="s">
        <v>37210</v>
      </c>
      <c r="M7971" t="s">
        <v>39573</v>
      </c>
      <c r="N7971" t="s">
        <v>41249</v>
      </c>
      <c r="O7971" t="s">
        <v>41250</v>
      </c>
      <c r="P7971">
        <v>0</v>
      </c>
      <c r="Q7971">
        <v>0</v>
      </c>
      <c r="R7971" t="s">
        <v>41258</v>
      </c>
      <c r="S7971" t="s">
        <v>41513</v>
      </c>
      <c r="T7971" t="s">
        <v>42663</v>
      </c>
      <c r="U7971" t="s">
        <v>49750</v>
      </c>
      <c r="W7971" t="s">
        <v>39573</v>
      </c>
      <c r="X7971" t="s">
        <v>41259</v>
      </c>
    </row>
    <row r="7972" spans="1:24">
      <c r="A7972">
        <f>HYPERLINK("https://www.philgeps.gov.ph/GEPSNONPILOT/Tender/SplashBidNoticeAbstractUI.aspx?menuIndex=3&amp;refID=7065313&amp;Result=3","7065313")</f>
        <v>0</v>
      </c>
      <c r="B7972" t="s">
        <v>1146</v>
      </c>
      <c r="C7972" t="s">
        <v>10986</v>
      </c>
      <c r="D7972" t="s">
        <v>16640</v>
      </c>
      <c r="E7972" t="s">
        <v>23701</v>
      </c>
      <c r="F7972" t="s">
        <v>28669</v>
      </c>
      <c r="G7972" t="s">
        <v>28678</v>
      </c>
      <c r="H7972" t="s">
        <v>9998</v>
      </c>
      <c r="I7972" t="s">
        <v>11593</v>
      </c>
      <c r="J7972" t="s">
        <v>32480</v>
      </c>
      <c r="K7972" t="s">
        <v>37209</v>
      </c>
      <c r="M7972" t="s">
        <v>39972</v>
      </c>
      <c r="N7972" t="s">
        <v>41249</v>
      </c>
      <c r="O7972" t="s">
        <v>41250</v>
      </c>
      <c r="Q7972">
        <v>7</v>
      </c>
      <c r="R7972" t="s">
        <v>41258</v>
      </c>
      <c r="S7972" t="s">
        <v>41534</v>
      </c>
      <c r="T7972" t="s">
        <v>42690</v>
      </c>
      <c r="U7972" t="s">
        <v>49135</v>
      </c>
      <c r="W7972" t="s">
        <v>39972</v>
      </c>
      <c r="X7972" t="s">
        <v>41259</v>
      </c>
    </row>
    <row r="7973" spans="1:24">
      <c r="A7973">
        <f>HYPERLINK("https://www.philgeps.gov.ph/GEPSNONPILOT/Tender/SplashBidNoticeAbstractUI.aspx?menuIndex=3&amp;refID=7065282&amp;Result=3","7065282")</f>
        <v>0</v>
      </c>
      <c r="B7973" t="s">
        <v>2465</v>
      </c>
      <c r="C7973" t="s">
        <v>10987</v>
      </c>
      <c r="D7973" t="s">
        <v>16611</v>
      </c>
      <c r="E7973" t="s">
        <v>23702</v>
      </c>
      <c r="F7973" t="s">
        <v>28669</v>
      </c>
      <c r="G7973" t="s">
        <v>28675</v>
      </c>
      <c r="H7973" t="s">
        <v>28686</v>
      </c>
      <c r="I7973" t="s">
        <v>28689</v>
      </c>
      <c r="J7973" t="s">
        <v>33801</v>
      </c>
      <c r="K7973" t="s">
        <v>37206</v>
      </c>
      <c r="M7973" t="s">
        <v>40148</v>
      </c>
      <c r="N7973" t="s">
        <v>41249</v>
      </c>
      <c r="O7973" t="s">
        <v>41250</v>
      </c>
      <c r="P7973">
        <v>0</v>
      </c>
      <c r="Q7973">
        <v>0</v>
      </c>
      <c r="R7973" t="s">
        <v>41258</v>
      </c>
      <c r="S7973" t="s">
        <v>41513</v>
      </c>
      <c r="T7973" t="s">
        <v>42992</v>
      </c>
      <c r="U7973" t="s">
        <v>49751</v>
      </c>
      <c r="W7973" t="s">
        <v>40148</v>
      </c>
      <c r="X7973" t="s">
        <v>41259</v>
      </c>
    </row>
    <row r="7974" spans="1:24">
      <c r="A7974">
        <f>HYPERLINK("https://www.philgeps.gov.ph/GEPSNONPILOT/Tender/SplashBidNoticeAbstractUI.aspx?menuIndex=3&amp;refID=7065322&amp;Result=3","7065322")</f>
        <v>0</v>
      </c>
      <c r="B7974" t="s">
        <v>2466</v>
      </c>
      <c r="C7974" t="s">
        <v>10988</v>
      </c>
      <c r="D7974" t="s">
        <v>16643</v>
      </c>
      <c r="E7974" t="s">
        <v>23703</v>
      </c>
      <c r="F7974" t="s">
        <v>28669</v>
      </c>
      <c r="G7974" t="s">
        <v>28675</v>
      </c>
      <c r="H7974" t="s">
        <v>9998</v>
      </c>
      <c r="I7974" t="s">
        <v>7352</v>
      </c>
      <c r="J7974" t="s">
        <v>29006</v>
      </c>
      <c r="K7974" t="s">
        <v>37208</v>
      </c>
      <c r="M7974" t="s">
        <v>40149</v>
      </c>
      <c r="N7974" t="s">
        <v>41249</v>
      </c>
      <c r="O7974" t="s">
        <v>41250</v>
      </c>
      <c r="P7974">
        <v>0</v>
      </c>
      <c r="Q7974">
        <v>0</v>
      </c>
      <c r="R7974" t="s">
        <v>41258</v>
      </c>
      <c r="S7974" t="s">
        <v>41513</v>
      </c>
      <c r="T7974" t="s">
        <v>42881</v>
      </c>
      <c r="U7974" t="s">
        <v>49752</v>
      </c>
      <c r="W7974" t="s">
        <v>40149</v>
      </c>
      <c r="X7974" t="s">
        <v>41259</v>
      </c>
    </row>
    <row r="7975" spans="1:24">
      <c r="A7975">
        <f>HYPERLINK("https://www.philgeps.gov.ph/GEPSNONPILOT/Tender/SplashBidNoticeAbstractUI.aspx?menuIndex=3&amp;refID=7065276&amp;Result=3","7065276")</f>
        <v>0</v>
      </c>
      <c r="B7975" t="s">
        <v>2467</v>
      </c>
      <c r="C7975" t="s">
        <v>10989</v>
      </c>
      <c r="D7975" t="s">
        <v>16627</v>
      </c>
      <c r="E7975" t="s">
        <v>16820</v>
      </c>
      <c r="F7975" t="s">
        <v>28669</v>
      </c>
      <c r="G7975" t="s">
        <v>28675</v>
      </c>
      <c r="H7975" t="s">
        <v>28684</v>
      </c>
      <c r="I7975" t="s">
        <v>28689</v>
      </c>
      <c r="J7975" t="s">
        <v>33802</v>
      </c>
      <c r="K7975" t="s">
        <v>37231</v>
      </c>
      <c r="L7975" t="s">
        <v>2467</v>
      </c>
      <c r="M7975" t="s">
        <v>40150</v>
      </c>
      <c r="N7975" t="s">
        <v>41249</v>
      </c>
      <c r="O7975" t="s">
        <v>41250</v>
      </c>
      <c r="P7975">
        <v>0</v>
      </c>
      <c r="Q7975">
        <v>0</v>
      </c>
      <c r="R7975" t="s">
        <v>41258</v>
      </c>
      <c r="S7975" t="s">
        <v>41513</v>
      </c>
      <c r="T7975" t="s">
        <v>42992</v>
      </c>
      <c r="U7975" t="s">
        <v>49753</v>
      </c>
      <c r="W7975" t="s">
        <v>40150</v>
      </c>
      <c r="X7975" t="s">
        <v>41259</v>
      </c>
    </row>
    <row r="7976" spans="1:24">
      <c r="A7976">
        <f>HYPERLINK("https://www.philgeps.gov.ph/GEPSNONPILOT/Tender/SplashBidNoticeAbstractUI.aspx?menuIndex=3&amp;refID=7065269&amp;Result=3","7065269")</f>
        <v>0</v>
      </c>
      <c r="B7976" t="s">
        <v>2292</v>
      </c>
      <c r="C7976" t="s">
        <v>10990</v>
      </c>
      <c r="D7976" t="s">
        <v>16628</v>
      </c>
      <c r="E7976" t="s">
        <v>23704</v>
      </c>
      <c r="F7976" t="s">
        <v>28669</v>
      </c>
      <c r="G7976" t="s">
        <v>28675</v>
      </c>
      <c r="H7976" t="s">
        <v>28686</v>
      </c>
      <c r="I7976" t="s">
        <v>28689</v>
      </c>
      <c r="J7976" t="s">
        <v>29003</v>
      </c>
      <c r="K7976" t="s">
        <v>37233</v>
      </c>
      <c r="M7976" t="s">
        <v>39947</v>
      </c>
      <c r="N7976" t="s">
        <v>41249</v>
      </c>
      <c r="O7976" t="s">
        <v>41250</v>
      </c>
      <c r="P7976">
        <v>0</v>
      </c>
      <c r="Q7976">
        <v>0</v>
      </c>
      <c r="R7976" t="s">
        <v>41258</v>
      </c>
      <c r="S7976" t="s">
        <v>41513</v>
      </c>
      <c r="T7976" t="s">
        <v>42658</v>
      </c>
      <c r="U7976" t="s">
        <v>49754</v>
      </c>
      <c r="V7976" t="s">
        <v>55160</v>
      </c>
      <c r="W7976" t="s">
        <v>39947</v>
      </c>
      <c r="X7976" t="s">
        <v>41259</v>
      </c>
    </row>
    <row r="7977" spans="1:24">
      <c r="A7977">
        <f>HYPERLINK("https://www.philgeps.gov.ph/GEPSNONPILOT/Tender/SplashBidNoticeAbstractUI.aspx?menuIndex=3&amp;refID=7065264&amp;Result=3","7065264")</f>
        <v>0</v>
      </c>
      <c r="B7977" t="s">
        <v>2468</v>
      </c>
      <c r="C7977" t="s">
        <v>10991</v>
      </c>
      <c r="D7977" t="s">
        <v>16667</v>
      </c>
      <c r="E7977" t="s">
        <v>23705</v>
      </c>
      <c r="F7977" t="s">
        <v>28669</v>
      </c>
      <c r="G7977" t="s">
        <v>28675</v>
      </c>
      <c r="H7977" t="s">
        <v>28686</v>
      </c>
      <c r="I7977" t="s">
        <v>28689</v>
      </c>
      <c r="J7977" t="s">
        <v>28826</v>
      </c>
      <c r="K7977" t="s">
        <v>37205</v>
      </c>
      <c r="M7977" t="s">
        <v>40151</v>
      </c>
      <c r="N7977" t="s">
        <v>41249</v>
      </c>
      <c r="O7977" t="s">
        <v>41250</v>
      </c>
      <c r="P7977">
        <v>0</v>
      </c>
      <c r="Q7977">
        <v>0</v>
      </c>
      <c r="R7977" t="s">
        <v>41258</v>
      </c>
      <c r="S7977" t="s">
        <v>41513</v>
      </c>
      <c r="T7977" t="s">
        <v>42881</v>
      </c>
      <c r="U7977" t="s">
        <v>49755</v>
      </c>
      <c r="W7977" t="s">
        <v>40151</v>
      </c>
      <c r="X7977" t="s">
        <v>41259</v>
      </c>
    </row>
    <row r="7978" spans="1:24">
      <c r="A7978">
        <f>HYPERLINK("https://www.philgeps.gov.ph/GEPSNONPILOT/Tender/SplashBidNoticeAbstractUI.aspx?menuIndex=3&amp;refID=7065248&amp;Result=3","7065248")</f>
        <v>0</v>
      </c>
      <c r="B7978" t="s">
        <v>2452</v>
      </c>
      <c r="C7978" t="s">
        <v>10992</v>
      </c>
      <c r="D7978" t="s">
        <v>16679</v>
      </c>
      <c r="E7978" t="s">
        <v>23706</v>
      </c>
      <c r="F7978" t="s">
        <v>28671</v>
      </c>
      <c r="G7978" t="s">
        <v>28675</v>
      </c>
      <c r="H7978" t="s">
        <v>28686</v>
      </c>
      <c r="I7978" t="s">
        <v>28689</v>
      </c>
      <c r="J7978" t="s">
        <v>28878</v>
      </c>
      <c r="K7978" t="s">
        <v>37206</v>
      </c>
      <c r="L7978" t="s">
        <v>2452</v>
      </c>
      <c r="M7978" t="s">
        <v>40135</v>
      </c>
      <c r="N7978" t="s">
        <v>41249</v>
      </c>
      <c r="O7978" t="s">
        <v>41250</v>
      </c>
      <c r="P7978">
        <v>0</v>
      </c>
      <c r="Q7978">
        <v>1</v>
      </c>
      <c r="R7978" t="s">
        <v>41258</v>
      </c>
      <c r="S7978" t="s">
        <v>41513</v>
      </c>
      <c r="T7978" t="s">
        <v>42782</v>
      </c>
      <c r="U7978" t="s">
        <v>49756</v>
      </c>
      <c r="W7978" t="s">
        <v>40135</v>
      </c>
      <c r="X7978" t="s">
        <v>41259</v>
      </c>
    </row>
    <row r="7979" spans="1:24">
      <c r="A7979">
        <f>HYPERLINK("https://www.philgeps.gov.ph/GEPSNONPILOT/Tender/SplashBidNoticeAbstractUI.aspx?menuIndex=3&amp;refID=7065287&amp;Result=3","7065287")</f>
        <v>0</v>
      </c>
      <c r="B7979" t="s">
        <v>2452</v>
      </c>
      <c r="C7979" t="s">
        <v>10993</v>
      </c>
      <c r="D7979" t="s">
        <v>16679</v>
      </c>
      <c r="E7979" t="s">
        <v>23707</v>
      </c>
      <c r="F7979" t="s">
        <v>28671</v>
      </c>
      <c r="G7979" t="s">
        <v>28675</v>
      </c>
      <c r="H7979" t="s">
        <v>28686</v>
      </c>
      <c r="I7979" t="s">
        <v>28689</v>
      </c>
      <c r="J7979" t="s">
        <v>28877</v>
      </c>
      <c r="K7979" t="s">
        <v>37206</v>
      </c>
      <c r="L7979" t="s">
        <v>2452</v>
      </c>
      <c r="M7979" t="s">
        <v>40135</v>
      </c>
      <c r="N7979" t="s">
        <v>41249</v>
      </c>
      <c r="O7979" t="s">
        <v>41250</v>
      </c>
      <c r="P7979">
        <v>0</v>
      </c>
      <c r="Q7979">
        <v>0</v>
      </c>
      <c r="R7979" t="s">
        <v>41258</v>
      </c>
      <c r="S7979" t="s">
        <v>41513</v>
      </c>
      <c r="T7979" t="s">
        <v>42789</v>
      </c>
      <c r="U7979" t="s">
        <v>49757</v>
      </c>
      <c r="W7979" t="s">
        <v>40135</v>
      </c>
      <c r="X7979" t="s">
        <v>41259</v>
      </c>
    </row>
    <row r="7980" spans="1:24">
      <c r="A7980">
        <f>HYPERLINK("https://www.philgeps.gov.ph/GEPSNONPILOT/Tender/SplashBidNoticeAbstractUI.aspx?menuIndex=3&amp;refID=7065197&amp;Result=3","7065197")</f>
        <v>0</v>
      </c>
      <c r="B7980" t="s">
        <v>1522</v>
      </c>
      <c r="C7980" t="s">
        <v>10994</v>
      </c>
      <c r="D7980" t="s">
        <v>16686</v>
      </c>
      <c r="E7980" t="s">
        <v>23708</v>
      </c>
      <c r="F7980" t="s">
        <v>28669</v>
      </c>
      <c r="G7980" t="s">
        <v>28675</v>
      </c>
      <c r="H7980" t="s">
        <v>9998</v>
      </c>
      <c r="I7980" t="s">
        <v>6128</v>
      </c>
      <c r="J7980" t="s">
        <v>33803</v>
      </c>
      <c r="K7980" t="s">
        <v>37210</v>
      </c>
      <c r="M7980" t="s">
        <v>39573</v>
      </c>
      <c r="N7980" t="s">
        <v>41249</v>
      </c>
      <c r="O7980" t="s">
        <v>41250</v>
      </c>
      <c r="P7980">
        <v>0</v>
      </c>
      <c r="Q7980">
        <v>0</v>
      </c>
      <c r="R7980" t="s">
        <v>41258</v>
      </c>
      <c r="S7980" t="s">
        <v>41513</v>
      </c>
      <c r="T7980" t="s">
        <v>42663</v>
      </c>
      <c r="U7980" t="s">
        <v>49758</v>
      </c>
      <c r="W7980" t="s">
        <v>39573</v>
      </c>
      <c r="X7980" t="s">
        <v>41259</v>
      </c>
    </row>
    <row r="7981" spans="1:24">
      <c r="A7981">
        <f>HYPERLINK("https://www.philgeps.gov.ph/GEPSNONPILOT/Tender/SplashBidNoticeAbstractUI.aspx?menuIndex=3&amp;refID=7065187&amp;Result=3","7065187")</f>
        <v>0</v>
      </c>
      <c r="B7981" t="s">
        <v>1197</v>
      </c>
      <c r="C7981" t="s">
        <v>10995</v>
      </c>
      <c r="D7981" t="s">
        <v>16624</v>
      </c>
      <c r="E7981" t="s">
        <v>17060</v>
      </c>
      <c r="F7981" t="s">
        <v>28669</v>
      </c>
      <c r="G7981" t="s">
        <v>28675</v>
      </c>
      <c r="H7981" t="s">
        <v>28686</v>
      </c>
      <c r="I7981" t="s">
        <v>28689</v>
      </c>
      <c r="J7981" t="s">
        <v>33804</v>
      </c>
      <c r="K7981" t="s">
        <v>37213</v>
      </c>
      <c r="M7981" t="s">
        <v>38737</v>
      </c>
      <c r="N7981" t="s">
        <v>41249</v>
      </c>
      <c r="O7981" t="s">
        <v>41250</v>
      </c>
      <c r="P7981">
        <v>0</v>
      </c>
      <c r="Q7981">
        <v>0</v>
      </c>
      <c r="R7981" t="s">
        <v>41258</v>
      </c>
      <c r="S7981" t="s">
        <v>41513</v>
      </c>
      <c r="T7981" t="s">
        <v>42692</v>
      </c>
      <c r="U7981" t="s">
        <v>49759</v>
      </c>
      <c r="V7981" t="s">
        <v>55169</v>
      </c>
      <c r="W7981" t="s">
        <v>38737</v>
      </c>
      <c r="X7981" t="s">
        <v>41259</v>
      </c>
    </row>
    <row r="7982" spans="1:24">
      <c r="A7982">
        <f>HYPERLINK("https://www.philgeps.gov.ph/GEPSNONPILOT/Tender/SplashBidNoticeAbstractUI.aspx?menuIndex=3&amp;refID=7065268&amp;Result=3","7065268")</f>
        <v>0</v>
      </c>
      <c r="B7982" t="s">
        <v>2469</v>
      </c>
      <c r="C7982" t="s">
        <v>10996</v>
      </c>
      <c r="D7982" t="s">
        <v>16655</v>
      </c>
      <c r="E7982" t="s">
        <v>23709</v>
      </c>
      <c r="F7982" t="s">
        <v>28669</v>
      </c>
      <c r="G7982" t="s">
        <v>28675</v>
      </c>
      <c r="H7982" t="s">
        <v>28686</v>
      </c>
      <c r="I7982" t="s">
        <v>28689</v>
      </c>
      <c r="J7982" t="s">
        <v>33805</v>
      </c>
      <c r="K7982" t="s">
        <v>37396</v>
      </c>
      <c r="L7982" t="s">
        <v>2469</v>
      </c>
      <c r="M7982" t="s">
        <v>40152</v>
      </c>
      <c r="N7982" t="s">
        <v>41249</v>
      </c>
      <c r="O7982" t="s">
        <v>41250</v>
      </c>
      <c r="P7982">
        <v>0</v>
      </c>
      <c r="Q7982">
        <v>0</v>
      </c>
      <c r="R7982" t="s">
        <v>41258</v>
      </c>
      <c r="S7982" t="s">
        <v>41513</v>
      </c>
      <c r="T7982" t="s">
        <v>42760</v>
      </c>
      <c r="U7982" t="s">
        <v>49760</v>
      </c>
      <c r="V7982" t="s">
        <v>55170</v>
      </c>
      <c r="W7982" t="s">
        <v>40152</v>
      </c>
      <c r="X7982" t="s">
        <v>41259</v>
      </c>
    </row>
    <row r="7983" spans="1:24">
      <c r="A7983">
        <f>HYPERLINK("https://www.philgeps.gov.ph/GEPSNONPILOT/Tender/SplashBidNoticeAbstractUI.aspx?menuIndex=3&amp;refID=7065198&amp;Result=3","7065198")</f>
        <v>0</v>
      </c>
      <c r="B7983" t="s">
        <v>2470</v>
      </c>
      <c r="C7983" t="s">
        <v>10997</v>
      </c>
      <c r="D7983" t="s">
        <v>16652</v>
      </c>
      <c r="E7983" t="s">
        <v>23710</v>
      </c>
      <c r="F7983" t="s">
        <v>28669</v>
      </c>
      <c r="G7983" t="s">
        <v>28679</v>
      </c>
      <c r="H7983" t="s">
        <v>9998</v>
      </c>
      <c r="I7983" t="s">
        <v>28706</v>
      </c>
      <c r="J7983" t="s">
        <v>28836</v>
      </c>
      <c r="K7983" t="s">
        <v>37227</v>
      </c>
      <c r="M7983" t="s">
        <v>40153</v>
      </c>
      <c r="N7983" t="s">
        <v>41249</v>
      </c>
      <c r="O7983" t="s">
        <v>41250</v>
      </c>
      <c r="P7983">
        <v>0</v>
      </c>
      <c r="Q7983">
        <v>4</v>
      </c>
      <c r="R7983" t="s">
        <v>41258</v>
      </c>
      <c r="S7983" t="s">
        <v>41513</v>
      </c>
      <c r="T7983" t="s">
        <v>42782</v>
      </c>
      <c r="U7983" t="s">
        <v>49761</v>
      </c>
      <c r="W7983" t="s">
        <v>40153</v>
      </c>
      <c r="X7983" t="s">
        <v>41259</v>
      </c>
    </row>
    <row r="7984" spans="1:24">
      <c r="A7984">
        <f>HYPERLINK("https://www.philgeps.gov.ph/GEPSNONPILOT/Tender/SplashBidNoticeAbstractUI.aspx?menuIndex=3&amp;refID=7065278&amp;Result=3","7065278")</f>
        <v>0</v>
      </c>
      <c r="B7984" t="s">
        <v>2466</v>
      </c>
      <c r="C7984" t="s">
        <v>10988</v>
      </c>
      <c r="D7984" t="s">
        <v>16643</v>
      </c>
      <c r="E7984" t="s">
        <v>23711</v>
      </c>
      <c r="F7984" t="s">
        <v>28669</v>
      </c>
      <c r="G7984" t="s">
        <v>28675</v>
      </c>
      <c r="H7984" t="s">
        <v>9998</v>
      </c>
      <c r="I7984" t="s">
        <v>28695</v>
      </c>
      <c r="J7984" t="s">
        <v>33806</v>
      </c>
      <c r="K7984" t="s">
        <v>37208</v>
      </c>
      <c r="M7984" t="s">
        <v>40149</v>
      </c>
      <c r="N7984" t="s">
        <v>41249</v>
      </c>
      <c r="O7984" t="s">
        <v>41250</v>
      </c>
      <c r="P7984">
        <v>0</v>
      </c>
      <c r="Q7984">
        <v>0</v>
      </c>
      <c r="R7984" t="s">
        <v>41258</v>
      </c>
      <c r="S7984" t="s">
        <v>41513</v>
      </c>
      <c r="T7984" t="s">
        <v>42881</v>
      </c>
      <c r="U7984" t="s">
        <v>49762</v>
      </c>
      <c r="W7984" t="s">
        <v>40149</v>
      </c>
      <c r="X7984" t="s">
        <v>41259</v>
      </c>
    </row>
    <row r="7985" spans="1:24">
      <c r="A7985">
        <f>HYPERLINK("https://www.philgeps.gov.ph/GEPSNONPILOT/Tender/SplashBidNoticeAbstractUI.aspx?menuIndex=3&amp;refID=7065393&amp;Result=3","7065393")</f>
        <v>0</v>
      </c>
      <c r="B7985" t="s">
        <v>2471</v>
      </c>
      <c r="C7985" t="s">
        <v>10998</v>
      </c>
      <c r="D7985" t="s">
        <v>16640</v>
      </c>
      <c r="E7985" t="s">
        <v>16855</v>
      </c>
      <c r="F7985" t="s">
        <v>28669</v>
      </c>
      <c r="G7985" t="s">
        <v>28675</v>
      </c>
      <c r="H7985" t="s">
        <v>9998</v>
      </c>
      <c r="I7985" t="s">
        <v>7352</v>
      </c>
      <c r="J7985" t="s">
        <v>29191</v>
      </c>
      <c r="K7985" t="s">
        <v>37208</v>
      </c>
      <c r="M7985" t="s">
        <v>40154</v>
      </c>
      <c r="N7985" t="s">
        <v>41249</v>
      </c>
      <c r="O7985" t="s">
        <v>41250</v>
      </c>
      <c r="P7985">
        <v>0</v>
      </c>
      <c r="Q7985">
        <v>0</v>
      </c>
      <c r="R7985" t="s">
        <v>41258</v>
      </c>
      <c r="S7985" t="s">
        <v>41513</v>
      </c>
      <c r="T7985" t="s">
        <v>42728</v>
      </c>
      <c r="U7985" t="s">
        <v>49763</v>
      </c>
      <c r="W7985" t="s">
        <v>40154</v>
      </c>
      <c r="X7985" t="s">
        <v>41259</v>
      </c>
    </row>
    <row r="7986" spans="1:24">
      <c r="A7986">
        <f>HYPERLINK("https://www.philgeps.gov.ph/GEPSNONPILOT/Tender/SplashBidNoticeAbstractUI.aspx?menuIndex=3&amp;refID=7065389&amp;Result=3","7065389")</f>
        <v>0</v>
      </c>
      <c r="B7986" t="s">
        <v>2438</v>
      </c>
      <c r="C7986" t="s">
        <v>10999</v>
      </c>
      <c r="D7986" t="s">
        <v>16639</v>
      </c>
      <c r="E7986" t="s">
        <v>17363</v>
      </c>
      <c r="F7986" t="s">
        <v>28669</v>
      </c>
      <c r="G7986" t="s">
        <v>28675</v>
      </c>
      <c r="H7986" t="s">
        <v>9998</v>
      </c>
      <c r="I7986" t="s">
        <v>7352</v>
      </c>
      <c r="J7986" t="s">
        <v>33807</v>
      </c>
      <c r="K7986" t="s">
        <v>37227</v>
      </c>
      <c r="M7986" t="s">
        <v>40121</v>
      </c>
      <c r="N7986" t="s">
        <v>41249</v>
      </c>
      <c r="O7986" t="s">
        <v>41250</v>
      </c>
      <c r="P7986">
        <v>0</v>
      </c>
      <c r="Q7986">
        <v>4</v>
      </c>
      <c r="R7986" t="s">
        <v>41258</v>
      </c>
      <c r="S7986" t="s">
        <v>41513</v>
      </c>
      <c r="T7986" t="s">
        <v>43027</v>
      </c>
      <c r="U7986" t="s">
        <v>49764</v>
      </c>
      <c r="V7986" t="s">
        <v>55156</v>
      </c>
      <c r="W7986" t="s">
        <v>40121</v>
      </c>
      <c r="X7986" t="s">
        <v>41259</v>
      </c>
    </row>
    <row r="7987" spans="1:24">
      <c r="A7987">
        <f>HYPERLINK("https://www.philgeps.gov.ph/GEPSNONPILOT/Tender/SplashBidNoticeAbstractUI.aspx?menuIndex=3&amp;refID=7065201&amp;Result=3","7065201")</f>
        <v>0</v>
      </c>
      <c r="B7987" t="s">
        <v>2472</v>
      </c>
      <c r="C7987" t="s">
        <v>11000</v>
      </c>
      <c r="D7987" t="s">
        <v>16664</v>
      </c>
      <c r="E7987" t="s">
        <v>23712</v>
      </c>
      <c r="F7987" t="s">
        <v>28669</v>
      </c>
      <c r="G7987" t="s">
        <v>28675</v>
      </c>
      <c r="H7987" t="s">
        <v>28686</v>
      </c>
      <c r="I7987" t="s">
        <v>28689</v>
      </c>
      <c r="J7987" t="s">
        <v>33808</v>
      </c>
      <c r="K7987" t="s">
        <v>37220</v>
      </c>
      <c r="M7987" t="s">
        <v>40155</v>
      </c>
      <c r="N7987" t="s">
        <v>41249</v>
      </c>
      <c r="O7987" t="s">
        <v>41250</v>
      </c>
      <c r="P7987">
        <v>0</v>
      </c>
      <c r="Q7987">
        <v>0</v>
      </c>
      <c r="R7987" t="s">
        <v>41258</v>
      </c>
      <c r="S7987" t="s">
        <v>41513</v>
      </c>
      <c r="T7987" t="s">
        <v>42760</v>
      </c>
      <c r="U7987" t="s">
        <v>49765</v>
      </c>
      <c r="W7987" t="s">
        <v>40155</v>
      </c>
      <c r="X7987" t="s">
        <v>41259</v>
      </c>
    </row>
    <row r="7988" spans="1:24">
      <c r="A7988">
        <f>HYPERLINK("https://www.philgeps.gov.ph/GEPSNONPILOT/Tender/SplashBidNoticeAbstractUI.aspx?menuIndex=3&amp;refID=7065385&amp;Result=3","7065385")</f>
        <v>0</v>
      </c>
      <c r="B7988" t="s">
        <v>2473</v>
      </c>
      <c r="C7988" t="s">
        <v>11001</v>
      </c>
      <c r="D7988" t="s">
        <v>16642</v>
      </c>
      <c r="E7988" t="s">
        <v>23713</v>
      </c>
      <c r="F7988" t="s">
        <v>28669</v>
      </c>
      <c r="G7988" t="s">
        <v>28675</v>
      </c>
      <c r="H7988" t="s">
        <v>9998</v>
      </c>
      <c r="I7988" t="s">
        <v>28704</v>
      </c>
      <c r="J7988" t="s">
        <v>29281</v>
      </c>
      <c r="K7988" t="s">
        <v>37206</v>
      </c>
      <c r="M7988" t="s">
        <v>40156</v>
      </c>
      <c r="N7988" t="s">
        <v>41249</v>
      </c>
      <c r="O7988" t="s">
        <v>41250</v>
      </c>
      <c r="P7988">
        <v>0</v>
      </c>
      <c r="Q7988">
        <v>0</v>
      </c>
      <c r="R7988" t="s">
        <v>41258</v>
      </c>
      <c r="S7988" t="s">
        <v>41513</v>
      </c>
      <c r="T7988" t="s">
        <v>42679</v>
      </c>
      <c r="U7988" t="s">
        <v>49766</v>
      </c>
      <c r="V7988" t="s">
        <v>55171</v>
      </c>
      <c r="W7988" t="s">
        <v>40156</v>
      </c>
      <c r="X7988" t="s">
        <v>41259</v>
      </c>
    </row>
    <row r="7989" spans="1:24">
      <c r="A7989">
        <f>HYPERLINK("https://www.philgeps.gov.ph/GEPSNONPILOT/Tender/SplashBidNoticeAbstractUI.aspx?menuIndex=3&amp;refID=7065364&amp;Result=3","7065364")</f>
        <v>0</v>
      </c>
      <c r="B7989" t="s">
        <v>2064</v>
      </c>
      <c r="C7989" t="s">
        <v>11002</v>
      </c>
      <c r="D7989" t="s">
        <v>16684</v>
      </c>
      <c r="E7989" t="s">
        <v>17986</v>
      </c>
      <c r="F7989" t="s">
        <v>28669</v>
      </c>
      <c r="G7989" t="s">
        <v>28675</v>
      </c>
      <c r="H7989" t="s">
        <v>28686</v>
      </c>
      <c r="I7989" t="s">
        <v>28689</v>
      </c>
      <c r="J7989" t="s">
        <v>33809</v>
      </c>
      <c r="K7989" t="s">
        <v>37221</v>
      </c>
      <c r="M7989" t="s">
        <v>39705</v>
      </c>
      <c r="N7989" t="s">
        <v>41249</v>
      </c>
      <c r="O7989" t="s">
        <v>41250</v>
      </c>
      <c r="P7989">
        <v>0</v>
      </c>
      <c r="Q7989">
        <v>0</v>
      </c>
      <c r="R7989" t="s">
        <v>41258</v>
      </c>
      <c r="S7989" t="s">
        <v>41513</v>
      </c>
      <c r="T7989" t="s">
        <v>42727</v>
      </c>
      <c r="U7989" t="s">
        <v>49767</v>
      </c>
      <c r="W7989" t="s">
        <v>39705</v>
      </c>
      <c r="X7989" t="s">
        <v>41259</v>
      </c>
    </row>
    <row r="7990" spans="1:24">
      <c r="A7990">
        <f>HYPERLINK("https://www.philgeps.gov.ph/GEPSNONPILOT/Tender/SplashBidNoticeAbstractUI.aspx?menuIndex=3&amp;refID=7065195&amp;Result=3","7065195")</f>
        <v>0</v>
      </c>
      <c r="B7990" t="s">
        <v>2474</v>
      </c>
      <c r="C7990" t="s">
        <v>11003</v>
      </c>
      <c r="D7990" t="s">
        <v>16676</v>
      </c>
      <c r="E7990" t="s">
        <v>23714</v>
      </c>
      <c r="F7990" t="s">
        <v>28669</v>
      </c>
      <c r="G7990" t="s">
        <v>28676</v>
      </c>
      <c r="H7990" t="s">
        <v>9998</v>
      </c>
      <c r="I7990" t="s">
        <v>28696</v>
      </c>
      <c r="J7990" t="s">
        <v>33810</v>
      </c>
      <c r="K7990" t="s">
        <v>37204</v>
      </c>
      <c r="M7990" t="s">
        <v>40157</v>
      </c>
      <c r="N7990" t="s">
        <v>41249</v>
      </c>
      <c r="O7990" t="s">
        <v>41250</v>
      </c>
      <c r="P7990">
        <v>0</v>
      </c>
      <c r="Q7990">
        <v>3</v>
      </c>
      <c r="R7990" t="s">
        <v>41258</v>
      </c>
      <c r="S7990" t="s">
        <v>41513</v>
      </c>
      <c r="T7990" t="s">
        <v>42683</v>
      </c>
      <c r="U7990" t="s">
        <v>49768</v>
      </c>
      <c r="V7990" t="s">
        <v>54327</v>
      </c>
      <c r="W7990" t="s">
        <v>40157</v>
      </c>
      <c r="X7990" t="s">
        <v>41259</v>
      </c>
    </row>
    <row r="7991" spans="1:24">
      <c r="A7991">
        <f>HYPERLINK("https://www.philgeps.gov.ph/GEPSNONPILOT/Tender/SplashBidNoticeAbstractUI.aspx?menuIndex=3&amp;refID=7065390&amp;Result=3","7065390")</f>
        <v>0</v>
      </c>
      <c r="B7991" t="s">
        <v>603</v>
      </c>
      <c r="C7991" t="s">
        <v>10774</v>
      </c>
      <c r="D7991" t="s">
        <v>16615</v>
      </c>
      <c r="E7991" t="s">
        <v>23715</v>
      </c>
      <c r="F7991" t="s">
        <v>28673</v>
      </c>
      <c r="G7991" t="s">
        <v>28676</v>
      </c>
      <c r="H7991" t="s">
        <v>9998</v>
      </c>
      <c r="I7991" t="s">
        <v>5213</v>
      </c>
      <c r="J7991" t="s">
        <v>33811</v>
      </c>
      <c r="K7991" t="s">
        <v>37205</v>
      </c>
      <c r="M7991" t="s">
        <v>38103</v>
      </c>
      <c r="N7991" t="s">
        <v>41249</v>
      </c>
      <c r="O7991" t="s">
        <v>41250</v>
      </c>
      <c r="P7991">
        <v>0</v>
      </c>
      <c r="Q7991">
        <v>8</v>
      </c>
      <c r="R7991" t="s">
        <v>41258</v>
      </c>
      <c r="S7991" t="s">
        <v>41513</v>
      </c>
      <c r="T7991" t="s">
        <v>42887</v>
      </c>
      <c r="U7991" t="s">
        <v>49769</v>
      </c>
      <c r="W7991" t="s">
        <v>38103</v>
      </c>
      <c r="X7991" t="s">
        <v>41259</v>
      </c>
    </row>
    <row r="7992" spans="1:24">
      <c r="A7992">
        <f>HYPERLINK("https://www.philgeps.gov.ph/GEPSNONPILOT/Tender/SplashBidNoticeAbstractUI.aspx?menuIndex=3&amp;refID=7065354&amp;Result=3","7065354")</f>
        <v>0</v>
      </c>
      <c r="B7992" t="s">
        <v>2411</v>
      </c>
      <c r="C7992" t="s">
        <v>11004</v>
      </c>
      <c r="D7992" t="s">
        <v>16627</v>
      </c>
      <c r="E7992" t="s">
        <v>23716</v>
      </c>
      <c r="F7992" t="s">
        <v>28669</v>
      </c>
      <c r="G7992" t="s">
        <v>28675</v>
      </c>
      <c r="H7992" t="s">
        <v>28686</v>
      </c>
      <c r="I7992" t="s">
        <v>28689</v>
      </c>
      <c r="J7992" t="s">
        <v>33812</v>
      </c>
      <c r="K7992" t="s">
        <v>37232</v>
      </c>
      <c r="M7992" t="s">
        <v>40093</v>
      </c>
      <c r="N7992" t="s">
        <v>41249</v>
      </c>
      <c r="O7992" t="s">
        <v>41250</v>
      </c>
      <c r="P7992">
        <v>0</v>
      </c>
      <c r="Q7992">
        <v>1</v>
      </c>
      <c r="R7992" t="s">
        <v>41258</v>
      </c>
      <c r="S7992" t="s">
        <v>41513</v>
      </c>
      <c r="T7992" t="s">
        <v>42722</v>
      </c>
      <c r="U7992" t="s">
        <v>49770</v>
      </c>
      <c r="V7992" t="s">
        <v>55143</v>
      </c>
      <c r="W7992" t="s">
        <v>40093</v>
      </c>
      <c r="X7992" t="s">
        <v>41259</v>
      </c>
    </row>
    <row r="7993" spans="1:24">
      <c r="A7993">
        <f>HYPERLINK("https://www.philgeps.gov.ph/GEPSNONPILOT/Tender/SplashBidNoticeAbstractUI.aspx?menuIndex=3&amp;refID=7065387&amp;Result=3","7065387")</f>
        <v>0</v>
      </c>
      <c r="B7993" t="s">
        <v>136</v>
      </c>
      <c r="C7993" t="s">
        <v>11005</v>
      </c>
      <c r="D7993" t="s">
        <v>16642</v>
      </c>
      <c r="E7993" t="s">
        <v>23717</v>
      </c>
      <c r="F7993" t="s">
        <v>28669</v>
      </c>
      <c r="G7993" t="s">
        <v>28676</v>
      </c>
      <c r="H7993" t="s">
        <v>9998</v>
      </c>
      <c r="I7993" t="s">
        <v>28764</v>
      </c>
      <c r="J7993" t="s">
        <v>28905</v>
      </c>
      <c r="K7993" t="s">
        <v>37206</v>
      </c>
      <c r="M7993" t="s">
        <v>37613</v>
      </c>
      <c r="N7993" t="s">
        <v>41249</v>
      </c>
      <c r="O7993" t="s">
        <v>41250</v>
      </c>
      <c r="P7993">
        <v>0</v>
      </c>
      <c r="Q7993">
        <v>2</v>
      </c>
      <c r="R7993" t="s">
        <v>41258</v>
      </c>
      <c r="S7993" t="s">
        <v>41513</v>
      </c>
      <c r="T7993" t="s">
        <v>42766</v>
      </c>
      <c r="U7993" t="s">
        <v>49771</v>
      </c>
      <c r="V7993" t="s">
        <v>54313</v>
      </c>
      <c r="W7993" t="s">
        <v>55905</v>
      </c>
      <c r="X7993" t="s">
        <v>41259</v>
      </c>
    </row>
    <row r="7994" spans="1:24">
      <c r="A7994">
        <f>HYPERLINK("https://www.philgeps.gov.ph/GEPSNONPILOT/Tender/SplashBidNoticeAbstractUI.aspx?menuIndex=3&amp;refID=7065383&amp;Result=3","7065383")</f>
        <v>0</v>
      </c>
      <c r="B7994" t="s">
        <v>1712</v>
      </c>
      <c r="C7994" t="s">
        <v>11006</v>
      </c>
      <c r="D7994" t="s">
        <v>16639</v>
      </c>
      <c r="E7994" t="s">
        <v>23718</v>
      </c>
      <c r="F7994" t="s">
        <v>28669</v>
      </c>
      <c r="G7994" t="s">
        <v>28676</v>
      </c>
      <c r="H7994" t="s">
        <v>9998</v>
      </c>
      <c r="I7994" t="s">
        <v>28691</v>
      </c>
      <c r="J7994" t="s">
        <v>29134</v>
      </c>
      <c r="K7994" t="s">
        <v>37206</v>
      </c>
      <c r="M7994" t="s">
        <v>39310</v>
      </c>
      <c r="N7994" t="s">
        <v>41249</v>
      </c>
      <c r="O7994" t="s">
        <v>41250</v>
      </c>
      <c r="P7994">
        <v>0</v>
      </c>
      <c r="Q7994">
        <v>4</v>
      </c>
      <c r="R7994" t="s">
        <v>41258</v>
      </c>
      <c r="S7994" t="s">
        <v>41513</v>
      </c>
      <c r="T7994" t="s">
        <v>42989</v>
      </c>
      <c r="U7994" t="s">
        <v>49772</v>
      </c>
      <c r="W7994" t="s">
        <v>39310</v>
      </c>
      <c r="X7994" t="s">
        <v>41259</v>
      </c>
    </row>
    <row r="7995" spans="1:24">
      <c r="A7995">
        <f>HYPERLINK("https://www.philgeps.gov.ph/GEPSNONPILOT/Tender/SplashBidNoticeAbstractUI.aspx?menuIndex=3&amp;refID=7065289&amp;Result=3","7065289")</f>
        <v>0</v>
      </c>
      <c r="B7995" t="s">
        <v>2475</v>
      </c>
      <c r="C7995" t="s">
        <v>11007</v>
      </c>
      <c r="D7995" t="s">
        <v>16664</v>
      </c>
      <c r="E7995" t="s">
        <v>23608</v>
      </c>
      <c r="F7995" t="s">
        <v>28669</v>
      </c>
      <c r="G7995" t="s">
        <v>28675</v>
      </c>
      <c r="H7995" t="s">
        <v>28686</v>
      </c>
      <c r="I7995" t="s">
        <v>28691</v>
      </c>
      <c r="J7995" t="s">
        <v>33813</v>
      </c>
      <c r="K7995" t="s">
        <v>37206</v>
      </c>
      <c r="M7995" t="s">
        <v>40158</v>
      </c>
      <c r="N7995" t="s">
        <v>41249</v>
      </c>
      <c r="O7995" t="s">
        <v>41250</v>
      </c>
      <c r="P7995">
        <v>0</v>
      </c>
      <c r="Q7995">
        <v>0</v>
      </c>
      <c r="R7995" t="s">
        <v>41258</v>
      </c>
      <c r="S7995" t="s">
        <v>41513</v>
      </c>
      <c r="T7995" t="s">
        <v>42727</v>
      </c>
      <c r="U7995" t="s">
        <v>49773</v>
      </c>
      <c r="W7995" t="s">
        <v>40158</v>
      </c>
      <c r="X7995" t="s">
        <v>41259</v>
      </c>
    </row>
    <row r="7996" spans="1:24">
      <c r="A7996">
        <f>HYPERLINK("https://www.philgeps.gov.ph/GEPSNONPILOT/Tender/SplashBidNoticeAbstractUI.aspx?menuIndex=3&amp;refID=7065363&amp;Result=3","7065363")</f>
        <v>0</v>
      </c>
      <c r="B7996" t="s">
        <v>2431</v>
      </c>
      <c r="C7996" t="s">
        <v>11008</v>
      </c>
      <c r="D7996" t="s">
        <v>16673</v>
      </c>
      <c r="E7996" t="s">
        <v>23719</v>
      </c>
      <c r="F7996" t="s">
        <v>28669</v>
      </c>
      <c r="G7996" t="s">
        <v>28675</v>
      </c>
      <c r="H7996" t="s">
        <v>9998</v>
      </c>
      <c r="I7996" t="s">
        <v>28792</v>
      </c>
      <c r="J7996" t="s">
        <v>29003</v>
      </c>
      <c r="K7996" t="s">
        <v>37205</v>
      </c>
      <c r="M7996" t="s">
        <v>40114</v>
      </c>
      <c r="N7996" t="s">
        <v>41249</v>
      </c>
      <c r="O7996" t="s">
        <v>41250</v>
      </c>
      <c r="P7996">
        <v>0</v>
      </c>
      <c r="Q7996">
        <v>5</v>
      </c>
      <c r="R7996" t="s">
        <v>41258</v>
      </c>
      <c r="S7996" t="s">
        <v>41513</v>
      </c>
      <c r="T7996" t="s">
        <v>42695</v>
      </c>
      <c r="U7996" t="s">
        <v>49649</v>
      </c>
      <c r="W7996" t="s">
        <v>40114</v>
      </c>
      <c r="X7996" t="s">
        <v>41259</v>
      </c>
    </row>
    <row r="7997" spans="1:24">
      <c r="A7997">
        <f>HYPERLINK("https://www.philgeps.gov.ph/GEPSNONPILOT/Tender/SplashBidNoticeAbstractUI.aspx?menuIndex=3&amp;refID=7065446&amp;Result=3","7065446")</f>
        <v>0</v>
      </c>
      <c r="B7997" t="s">
        <v>603</v>
      </c>
      <c r="C7997" t="s">
        <v>11009</v>
      </c>
      <c r="D7997" t="s">
        <v>16615</v>
      </c>
      <c r="E7997" t="s">
        <v>23720</v>
      </c>
      <c r="F7997" t="s">
        <v>28669</v>
      </c>
      <c r="G7997" t="s">
        <v>28676</v>
      </c>
      <c r="H7997" t="s">
        <v>9998</v>
      </c>
      <c r="I7997" t="s">
        <v>28728</v>
      </c>
      <c r="J7997" t="s">
        <v>28878</v>
      </c>
      <c r="K7997" t="s">
        <v>37205</v>
      </c>
      <c r="M7997" t="s">
        <v>38103</v>
      </c>
      <c r="N7997" t="s">
        <v>41249</v>
      </c>
      <c r="O7997" t="s">
        <v>41250</v>
      </c>
      <c r="P7997">
        <v>0</v>
      </c>
      <c r="Q7997">
        <v>4</v>
      </c>
      <c r="R7997" t="s">
        <v>41258</v>
      </c>
      <c r="S7997" t="s">
        <v>41513</v>
      </c>
      <c r="T7997" t="s">
        <v>42887</v>
      </c>
      <c r="U7997" t="s">
        <v>49774</v>
      </c>
      <c r="W7997" t="s">
        <v>38103</v>
      </c>
      <c r="X7997" t="s">
        <v>41259</v>
      </c>
    </row>
    <row r="7998" spans="1:24">
      <c r="A7998">
        <f>HYPERLINK("https://www.philgeps.gov.ph/GEPSNONPILOT/Tender/SplashBidNoticeAbstractUI.aspx?menuIndex=3&amp;refID=7065443&amp;Result=3","7065443")</f>
        <v>0</v>
      </c>
      <c r="B7998" t="s">
        <v>338</v>
      </c>
      <c r="C7998" t="s">
        <v>11010</v>
      </c>
      <c r="D7998" t="s">
        <v>16671</v>
      </c>
      <c r="E7998" t="s">
        <v>23721</v>
      </c>
      <c r="F7998" t="s">
        <v>28669</v>
      </c>
      <c r="G7998" t="s">
        <v>28675</v>
      </c>
      <c r="H7998" t="s">
        <v>9998</v>
      </c>
      <c r="I7998" t="s">
        <v>11142</v>
      </c>
      <c r="J7998" t="s">
        <v>33814</v>
      </c>
      <c r="K7998" t="s">
        <v>37205</v>
      </c>
      <c r="M7998" t="s">
        <v>37818</v>
      </c>
      <c r="N7998" t="s">
        <v>41249</v>
      </c>
      <c r="O7998" t="s">
        <v>41250</v>
      </c>
      <c r="P7998">
        <v>0</v>
      </c>
      <c r="Q7998">
        <v>0</v>
      </c>
      <c r="R7998" t="s">
        <v>41258</v>
      </c>
      <c r="S7998" t="s">
        <v>41513</v>
      </c>
      <c r="T7998" t="s">
        <v>42767</v>
      </c>
      <c r="U7998" t="s">
        <v>49775</v>
      </c>
      <c r="W7998" t="s">
        <v>37818</v>
      </c>
      <c r="X7998" t="s">
        <v>41259</v>
      </c>
    </row>
    <row r="7999" spans="1:24">
      <c r="A7999">
        <f>HYPERLINK("https://www.philgeps.gov.ph/GEPSNONPILOT/Tender/SplashBidNoticeAbstractUI.aspx?menuIndex=3&amp;refID=7065392&amp;Result=3","7065392")</f>
        <v>0</v>
      </c>
      <c r="B7999" t="s">
        <v>2476</v>
      </c>
      <c r="C7999" t="s">
        <v>11011</v>
      </c>
      <c r="D7999" t="s">
        <v>16693</v>
      </c>
      <c r="E7999" t="s">
        <v>23722</v>
      </c>
      <c r="F7999" t="s">
        <v>28669</v>
      </c>
      <c r="G7999" t="s">
        <v>28676</v>
      </c>
      <c r="H7999" t="s">
        <v>9998</v>
      </c>
      <c r="I7999" t="s">
        <v>28709</v>
      </c>
      <c r="J7999" t="s">
        <v>29461</v>
      </c>
      <c r="K7999" t="s">
        <v>37227</v>
      </c>
      <c r="L7999" t="s">
        <v>2476</v>
      </c>
      <c r="M7999" t="s">
        <v>40159</v>
      </c>
      <c r="N7999" t="s">
        <v>41249</v>
      </c>
      <c r="O7999" t="s">
        <v>41250</v>
      </c>
      <c r="P7999">
        <v>0</v>
      </c>
      <c r="Q7999">
        <v>1</v>
      </c>
      <c r="R7999" t="s">
        <v>41258</v>
      </c>
      <c r="S7999" t="s">
        <v>41513</v>
      </c>
      <c r="T7999" t="s">
        <v>42887</v>
      </c>
      <c r="U7999" t="s">
        <v>49776</v>
      </c>
      <c r="W7999" t="s">
        <v>40159</v>
      </c>
      <c r="X7999" t="s">
        <v>41259</v>
      </c>
    </row>
    <row r="8000" spans="1:24">
      <c r="A8000">
        <f>HYPERLINK("https://www.philgeps.gov.ph/GEPSNONPILOT/Tender/SplashBidNoticeAbstractUI.aspx?menuIndex=3&amp;refID=7065438&amp;Result=3","7065438")</f>
        <v>0</v>
      </c>
      <c r="B8000" t="s">
        <v>2213</v>
      </c>
      <c r="C8000" t="s">
        <v>11012</v>
      </c>
      <c r="D8000" t="s">
        <v>16627</v>
      </c>
      <c r="E8000" t="s">
        <v>23723</v>
      </c>
      <c r="F8000" t="s">
        <v>28669</v>
      </c>
      <c r="G8000" t="s">
        <v>28676</v>
      </c>
      <c r="H8000" t="s">
        <v>9998</v>
      </c>
      <c r="I8000" t="s">
        <v>28695</v>
      </c>
      <c r="J8000" t="s">
        <v>28879</v>
      </c>
      <c r="K8000" t="s">
        <v>37210</v>
      </c>
      <c r="M8000" t="s">
        <v>39865</v>
      </c>
      <c r="N8000" t="s">
        <v>41249</v>
      </c>
      <c r="O8000" t="s">
        <v>41250</v>
      </c>
      <c r="P8000">
        <v>0</v>
      </c>
      <c r="Q8000">
        <v>0</v>
      </c>
      <c r="R8000" t="s">
        <v>41258</v>
      </c>
      <c r="S8000" t="s">
        <v>41513</v>
      </c>
      <c r="T8000" t="s">
        <v>42883</v>
      </c>
      <c r="U8000" t="s">
        <v>49777</v>
      </c>
      <c r="W8000" t="s">
        <v>39865</v>
      </c>
      <c r="X8000" t="s">
        <v>41259</v>
      </c>
    </row>
    <row r="8001" spans="1:24">
      <c r="A8001">
        <f>HYPERLINK("https://www.philgeps.gov.ph/GEPSNONPILOT/Tender/SplashBidNoticeAbstractUI.aspx?menuIndex=3&amp;refID=7065435&amp;Result=3","7065435")</f>
        <v>0</v>
      </c>
      <c r="B8001" t="s">
        <v>2477</v>
      </c>
      <c r="C8001" t="s">
        <v>11013</v>
      </c>
      <c r="D8001" t="s">
        <v>16627</v>
      </c>
      <c r="E8001" t="s">
        <v>19027</v>
      </c>
      <c r="F8001" t="s">
        <v>28672</v>
      </c>
      <c r="G8001" t="s">
        <v>28675</v>
      </c>
      <c r="H8001" t="s">
        <v>28686</v>
      </c>
      <c r="I8001" t="s">
        <v>28689</v>
      </c>
      <c r="J8001" t="s">
        <v>28905</v>
      </c>
      <c r="K8001" t="s">
        <v>37316</v>
      </c>
      <c r="M8001" t="s">
        <v>40160</v>
      </c>
      <c r="N8001" t="s">
        <v>41249</v>
      </c>
      <c r="O8001" t="s">
        <v>41250</v>
      </c>
      <c r="P8001">
        <v>0</v>
      </c>
      <c r="Q8001">
        <v>0</v>
      </c>
      <c r="R8001" t="s">
        <v>41258</v>
      </c>
      <c r="S8001" t="s">
        <v>41513</v>
      </c>
      <c r="T8001" t="s">
        <v>42764</v>
      </c>
      <c r="U8001" t="s">
        <v>49778</v>
      </c>
      <c r="W8001" t="s">
        <v>40160</v>
      </c>
      <c r="X8001" t="s">
        <v>41259</v>
      </c>
    </row>
    <row r="8002" spans="1:24">
      <c r="A8002">
        <f>HYPERLINK("https://www.philgeps.gov.ph/GEPSNONPILOT/Tender/SplashBidNoticeAbstractUI.aspx?menuIndex=3&amp;refID=7065434&amp;Result=3","7065434")</f>
        <v>0</v>
      </c>
      <c r="B8002" t="s">
        <v>2478</v>
      </c>
      <c r="C8002" t="s">
        <v>11014</v>
      </c>
      <c r="D8002" t="s">
        <v>16674</v>
      </c>
      <c r="E8002" t="s">
        <v>23724</v>
      </c>
      <c r="F8002" t="s">
        <v>28669</v>
      </c>
      <c r="G8002" t="s">
        <v>28675</v>
      </c>
      <c r="H8002" t="s">
        <v>9998</v>
      </c>
      <c r="I8002" t="s">
        <v>7352</v>
      </c>
      <c r="J8002" t="s">
        <v>33815</v>
      </c>
      <c r="K8002" t="s">
        <v>37206</v>
      </c>
      <c r="M8002" t="s">
        <v>40161</v>
      </c>
      <c r="N8002" t="s">
        <v>41249</v>
      </c>
      <c r="O8002" t="s">
        <v>41250</v>
      </c>
      <c r="P8002">
        <v>0</v>
      </c>
      <c r="Q8002">
        <v>0</v>
      </c>
      <c r="R8002" t="s">
        <v>41258</v>
      </c>
      <c r="S8002" t="s">
        <v>41513</v>
      </c>
      <c r="T8002" t="s">
        <v>42836</v>
      </c>
      <c r="U8002" t="s">
        <v>49779</v>
      </c>
      <c r="V8002" t="s">
        <v>55172</v>
      </c>
      <c r="W8002" t="s">
        <v>40161</v>
      </c>
      <c r="X8002" t="s">
        <v>41259</v>
      </c>
    </row>
    <row r="8003" spans="1:24">
      <c r="A8003">
        <f>HYPERLINK("https://www.philgeps.gov.ph/GEPSNONPILOT/Tender/SplashBidNoticeAbstractUI.aspx?menuIndex=3&amp;refID=7065348&amp;Result=3","7065348")</f>
        <v>0</v>
      </c>
      <c r="B8003" t="s">
        <v>136</v>
      </c>
      <c r="C8003" t="s">
        <v>11015</v>
      </c>
      <c r="D8003" t="s">
        <v>16642</v>
      </c>
      <c r="E8003" t="s">
        <v>23725</v>
      </c>
      <c r="F8003" t="s">
        <v>28669</v>
      </c>
      <c r="G8003" t="s">
        <v>28676</v>
      </c>
      <c r="H8003" t="s">
        <v>9998</v>
      </c>
      <c r="I8003" t="s">
        <v>28698</v>
      </c>
      <c r="J8003" t="s">
        <v>33816</v>
      </c>
      <c r="K8003" t="s">
        <v>37209</v>
      </c>
      <c r="M8003" t="s">
        <v>37613</v>
      </c>
      <c r="N8003" t="s">
        <v>41249</v>
      </c>
      <c r="O8003" t="s">
        <v>41250</v>
      </c>
      <c r="P8003">
        <v>0</v>
      </c>
      <c r="Q8003">
        <v>0</v>
      </c>
      <c r="R8003" t="s">
        <v>41258</v>
      </c>
      <c r="S8003" t="s">
        <v>41513</v>
      </c>
      <c r="T8003" t="s">
        <v>42766</v>
      </c>
      <c r="U8003" t="s">
        <v>49780</v>
      </c>
      <c r="V8003" t="s">
        <v>54313</v>
      </c>
      <c r="W8003" t="s">
        <v>55905</v>
      </c>
      <c r="X8003" t="s">
        <v>41259</v>
      </c>
    </row>
    <row r="8004" spans="1:24">
      <c r="A8004">
        <f>HYPERLINK("https://www.philgeps.gov.ph/GEPSNONPILOT/Tender/SplashBidNoticeAbstractUI.aspx?menuIndex=3&amp;refID=7065427&amp;Result=3","7065427")</f>
        <v>0</v>
      </c>
      <c r="B8004" t="s">
        <v>2479</v>
      </c>
      <c r="C8004" t="s">
        <v>11016</v>
      </c>
      <c r="D8004" t="s">
        <v>16684</v>
      </c>
      <c r="E8004" t="s">
        <v>16864</v>
      </c>
      <c r="F8004" t="s">
        <v>28669</v>
      </c>
      <c r="G8004" t="s">
        <v>28675</v>
      </c>
      <c r="H8004" t="s">
        <v>28686</v>
      </c>
      <c r="I8004" t="s">
        <v>28689</v>
      </c>
      <c r="J8004" t="s">
        <v>28924</v>
      </c>
      <c r="K8004" t="s">
        <v>37233</v>
      </c>
      <c r="M8004" t="s">
        <v>40162</v>
      </c>
      <c r="N8004" t="s">
        <v>41249</v>
      </c>
      <c r="O8004" t="s">
        <v>41250</v>
      </c>
      <c r="P8004">
        <v>0</v>
      </c>
      <c r="Q8004">
        <v>0</v>
      </c>
      <c r="R8004" t="s">
        <v>41258</v>
      </c>
      <c r="S8004" t="s">
        <v>41513</v>
      </c>
      <c r="T8004" t="s">
        <v>42739</v>
      </c>
      <c r="U8004" t="s">
        <v>49781</v>
      </c>
      <c r="V8004" t="s">
        <v>55173</v>
      </c>
      <c r="W8004" t="s">
        <v>40162</v>
      </c>
      <c r="X8004" t="s">
        <v>41259</v>
      </c>
    </row>
    <row r="8005" spans="1:24">
      <c r="A8005">
        <f>HYPERLINK("https://www.philgeps.gov.ph/GEPSNONPILOT/Tender/SplashBidNoticeAbstractUI.aspx?menuIndex=3&amp;refID=7065424&amp;Result=3","7065424")</f>
        <v>0</v>
      </c>
      <c r="B8005" t="s">
        <v>965</v>
      </c>
      <c r="C8005" t="s">
        <v>11017</v>
      </c>
      <c r="D8005" t="s">
        <v>16608</v>
      </c>
      <c r="E8005" t="s">
        <v>23726</v>
      </c>
      <c r="F8005" t="s">
        <v>28669</v>
      </c>
      <c r="G8005" t="s">
        <v>28675</v>
      </c>
      <c r="H8005" t="s">
        <v>9998</v>
      </c>
      <c r="I8005" t="s">
        <v>6128</v>
      </c>
      <c r="J8005" t="s">
        <v>33817</v>
      </c>
      <c r="K8005" t="s">
        <v>37205</v>
      </c>
      <c r="M8005" t="s">
        <v>38759</v>
      </c>
      <c r="N8005" t="s">
        <v>41249</v>
      </c>
      <c r="O8005" t="s">
        <v>41250</v>
      </c>
      <c r="P8005">
        <v>0</v>
      </c>
      <c r="Q8005">
        <v>0</v>
      </c>
      <c r="R8005" t="s">
        <v>41258</v>
      </c>
      <c r="S8005" t="s">
        <v>41513</v>
      </c>
      <c r="T8005" t="s">
        <v>42728</v>
      </c>
      <c r="U8005" t="s">
        <v>44022</v>
      </c>
      <c r="W8005" t="s">
        <v>38759</v>
      </c>
      <c r="X8005" t="s">
        <v>41259</v>
      </c>
    </row>
    <row r="8006" spans="1:24">
      <c r="A8006">
        <f>HYPERLINK("https://www.philgeps.gov.ph/GEPSNONPILOT/Tender/SplashBidNoticeAbstractUI.aspx?menuIndex=3&amp;refID=7065421&amp;Result=3","7065421")</f>
        <v>0</v>
      </c>
      <c r="B8006" t="s">
        <v>2480</v>
      </c>
      <c r="C8006" t="s">
        <v>11018</v>
      </c>
      <c r="D8006" t="s">
        <v>16618</v>
      </c>
      <c r="E8006" t="s">
        <v>23727</v>
      </c>
      <c r="F8006" t="s">
        <v>28669</v>
      </c>
      <c r="G8006" t="s">
        <v>28675</v>
      </c>
      <c r="H8006" t="s">
        <v>28686</v>
      </c>
      <c r="I8006" t="s">
        <v>28689</v>
      </c>
      <c r="J8006" t="s">
        <v>28826</v>
      </c>
      <c r="K8006" t="s">
        <v>37210</v>
      </c>
      <c r="M8006" t="s">
        <v>40163</v>
      </c>
      <c r="N8006" t="s">
        <v>41249</v>
      </c>
      <c r="O8006" t="s">
        <v>41250</v>
      </c>
      <c r="P8006">
        <v>0</v>
      </c>
      <c r="Q8006">
        <v>0</v>
      </c>
      <c r="R8006" t="s">
        <v>41258</v>
      </c>
      <c r="S8006" t="s">
        <v>41513</v>
      </c>
      <c r="T8006" t="s">
        <v>42929</v>
      </c>
      <c r="U8006" t="s">
        <v>49782</v>
      </c>
      <c r="V8006" t="s">
        <v>55174</v>
      </c>
      <c r="W8006" t="s">
        <v>40163</v>
      </c>
      <c r="X8006" t="s">
        <v>41259</v>
      </c>
    </row>
    <row r="8007" spans="1:24">
      <c r="A8007">
        <f>HYPERLINK("https://www.philgeps.gov.ph/GEPSNONPILOT/Tender/SplashBidNoticeAbstractUI.aspx?menuIndex=3&amp;refID=7065420&amp;Result=3","7065420")</f>
        <v>0</v>
      </c>
      <c r="B8007" t="s">
        <v>2481</v>
      </c>
      <c r="C8007" t="s">
        <v>11019</v>
      </c>
      <c r="D8007" t="s">
        <v>16643</v>
      </c>
      <c r="E8007" t="s">
        <v>23728</v>
      </c>
      <c r="F8007" t="s">
        <v>28669</v>
      </c>
      <c r="G8007" t="s">
        <v>28676</v>
      </c>
      <c r="H8007" t="s">
        <v>9998</v>
      </c>
      <c r="I8007" t="s">
        <v>7352</v>
      </c>
      <c r="J8007" t="s">
        <v>33818</v>
      </c>
      <c r="K8007" t="s">
        <v>37205</v>
      </c>
      <c r="M8007" t="s">
        <v>40164</v>
      </c>
      <c r="N8007" t="s">
        <v>41249</v>
      </c>
      <c r="O8007" t="s">
        <v>41250</v>
      </c>
      <c r="P8007">
        <v>0</v>
      </c>
      <c r="Q8007">
        <v>2</v>
      </c>
      <c r="R8007" t="s">
        <v>41258</v>
      </c>
      <c r="S8007" t="s">
        <v>41513</v>
      </c>
      <c r="T8007" t="s">
        <v>42681</v>
      </c>
      <c r="U8007" t="s">
        <v>44679</v>
      </c>
      <c r="W8007" t="s">
        <v>40164</v>
      </c>
      <c r="X8007" t="s">
        <v>41259</v>
      </c>
    </row>
    <row r="8008" spans="1:24">
      <c r="A8008">
        <f>HYPERLINK("https://www.philgeps.gov.ph/GEPSNONPILOT/Tender/SplashBidNoticeAbstractUI.aspx?menuIndex=3&amp;refID=7065455&amp;Result=3","7065455")</f>
        <v>0</v>
      </c>
      <c r="B8008" t="s">
        <v>132</v>
      </c>
      <c r="C8008" t="s">
        <v>11020</v>
      </c>
      <c r="E8008" t="s">
        <v>23729</v>
      </c>
      <c r="F8008" t="s">
        <v>28669</v>
      </c>
      <c r="G8008" t="s">
        <v>28675</v>
      </c>
      <c r="H8008" t="s">
        <v>9998</v>
      </c>
      <c r="I8008" t="s">
        <v>28687</v>
      </c>
      <c r="J8008" t="s">
        <v>32073</v>
      </c>
      <c r="K8008" t="s">
        <v>37206</v>
      </c>
      <c r="M8008" t="s">
        <v>40165</v>
      </c>
      <c r="N8008" t="s">
        <v>41249</v>
      </c>
      <c r="O8008" t="s">
        <v>41250</v>
      </c>
      <c r="P8008">
        <v>0</v>
      </c>
      <c r="Q8008">
        <v>4</v>
      </c>
      <c r="R8008" t="s">
        <v>41258</v>
      </c>
      <c r="S8008" t="s">
        <v>41513</v>
      </c>
      <c r="T8008" t="s">
        <v>43016</v>
      </c>
      <c r="U8008" t="s">
        <v>49783</v>
      </c>
      <c r="W8008" t="s">
        <v>40165</v>
      </c>
      <c r="X8008" t="s">
        <v>41259</v>
      </c>
    </row>
    <row r="8009" spans="1:24">
      <c r="A8009">
        <f>HYPERLINK("https://www.philgeps.gov.ph/GEPSNONPILOT/Tender/SplashBidNoticeAbstractUI.aspx?menuIndex=3&amp;refID=7065428&amp;Result=3","7065428")</f>
        <v>0</v>
      </c>
      <c r="B8009" t="s">
        <v>136</v>
      </c>
      <c r="C8009" t="s">
        <v>11021</v>
      </c>
      <c r="D8009" t="s">
        <v>16642</v>
      </c>
      <c r="E8009" t="s">
        <v>23730</v>
      </c>
      <c r="F8009" t="s">
        <v>28669</v>
      </c>
      <c r="G8009" t="s">
        <v>28676</v>
      </c>
      <c r="H8009" t="s">
        <v>9998</v>
      </c>
      <c r="I8009" t="s">
        <v>28786</v>
      </c>
      <c r="J8009" t="s">
        <v>28989</v>
      </c>
      <c r="K8009" t="s">
        <v>37206</v>
      </c>
      <c r="M8009" t="s">
        <v>37613</v>
      </c>
      <c r="N8009" t="s">
        <v>41249</v>
      </c>
      <c r="O8009" t="s">
        <v>41250</v>
      </c>
      <c r="P8009">
        <v>0</v>
      </c>
      <c r="Q8009">
        <v>3</v>
      </c>
      <c r="R8009" t="s">
        <v>41258</v>
      </c>
      <c r="S8009" t="s">
        <v>41513</v>
      </c>
      <c r="T8009" t="s">
        <v>42766</v>
      </c>
      <c r="U8009" t="s">
        <v>49784</v>
      </c>
      <c r="V8009" t="s">
        <v>54313</v>
      </c>
      <c r="W8009" t="s">
        <v>55905</v>
      </c>
      <c r="X8009" t="s">
        <v>41259</v>
      </c>
    </row>
    <row r="8010" spans="1:24">
      <c r="A8010">
        <f>HYPERLINK("https://www.philgeps.gov.ph/GEPSNONPILOT/Tender/SplashBidNoticeAbstractUI.aspx?menuIndex=3&amp;refID=7065350&amp;Result=3","7065350")</f>
        <v>0</v>
      </c>
      <c r="B8010" t="s">
        <v>209</v>
      </c>
      <c r="C8010" t="s">
        <v>3711</v>
      </c>
      <c r="D8010" t="s">
        <v>16611</v>
      </c>
      <c r="E8010" t="s">
        <v>6876</v>
      </c>
      <c r="F8010" t="s">
        <v>28669</v>
      </c>
      <c r="G8010" t="s">
        <v>28678</v>
      </c>
      <c r="H8010" t="s">
        <v>9998</v>
      </c>
      <c r="I8010" t="s">
        <v>7352</v>
      </c>
      <c r="J8010" t="s">
        <v>33819</v>
      </c>
      <c r="K8010" t="s">
        <v>37234</v>
      </c>
      <c r="M8010" t="s">
        <v>37687</v>
      </c>
      <c r="N8010" t="s">
        <v>41249</v>
      </c>
      <c r="O8010" t="s">
        <v>41250</v>
      </c>
      <c r="P8010">
        <v>0</v>
      </c>
      <c r="Q8010">
        <v>0</v>
      </c>
      <c r="R8010" t="s">
        <v>41258</v>
      </c>
      <c r="S8010" t="s">
        <v>41513</v>
      </c>
      <c r="T8010" t="s">
        <v>42914</v>
      </c>
      <c r="U8010" t="s">
        <v>49785</v>
      </c>
      <c r="W8010" t="s">
        <v>37687</v>
      </c>
      <c r="X8010" t="s">
        <v>41259</v>
      </c>
    </row>
    <row r="8011" spans="1:24">
      <c r="A8011">
        <f>HYPERLINK("https://www.philgeps.gov.ph/GEPSNONPILOT/Tender/SplashBidNoticeAbstractUI.aspx?menuIndex=3&amp;refID=7065488&amp;Result=3","7065488")</f>
        <v>0</v>
      </c>
      <c r="B8011" t="s">
        <v>1092</v>
      </c>
      <c r="C8011" t="s">
        <v>11022</v>
      </c>
      <c r="D8011" t="s">
        <v>16678</v>
      </c>
      <c r="E8011" t="s">
        <v>23731</v>
      </c>
      <c r="F8011" t="s">
        <v>28669</v>
      </c>
      <c r="G8011" t="s">
        <v>28678</v>
      </c>
      <c r="H8011" t="s">
        <v>9998</v>
      </c>
      <c r="I8011" t="s">
        <v>6458</v>
      </c>
      <c r="J8011" t="s">
        <v>33820</v>
      </c>
      <c r="K8011" t="s">
        <v>37210</v>
      </c>
      <c r="M8011" t="s">
        <v>38624</v>
      </c>
      <c r="N8011" t="s">
        <v>41249</v>
      </c>
      <c r="O8011" t="s">
        <v>41250</v>
      </c>
      <c r="P8011">
        <v>0</v>
      </c>
      <c r="Q8011">
        <v>2</v>
      </c>
      <c r="R8011" t="s">
        <v>41258</v>
      </c>
      <c r="S8011" t="s">
        <v>41513</v>
      </c>
      <c r="T8011" t="s">
        <v>42767</v>
      </c>
      <c r="U8011" t="s">
        <v>45423</v>
      </c>
      <c r="W8011" t="s">
        <v>38624</v>
      </c>
      <c r="X8011" t="s">
        <v>41259</v>
      </c>
    </row>
    <row r="8012" spans="1:24">
      <c r="A8012">
        <f>HYPERLINK("https://www.philgeps.gov.ph/GEPSNONPILOT/Tender/SplashBidNoticeAbstractUI.aspx?menuIndex=3&amp;refID=7065487&amp;Result=3","7065487")</f>
        <v>0</v>
      </c>
      <c r="B8012" t="s">
        <v>2482</v>
      </c>
      <c r="C8012" t="s">
        <v>11023</v>
      </c>
      <c r="D8012" t="s">
        <v>16638</v>
      </c>
      <c r="E8012" t="s">
        <v>23732</v>
      </c>
      <c r="F8012" t="s">
        <v>28669</v>
      </c>
      <c r="G8012" t="s">
        <v>28677</v>
      </c>
      <c r="H8012" t="s">
        <v>9998</v>
      </c>
      <c r="I8012" t="s">
        <v>28694</v>
      </c>
      <c r="J8012" t="s">
        <v>33821</v>
      </c>
      <c r="K8012" t="s">
        <v>37209</v>
      </c>
      <c r="M8012" t="s">
        <v>40166</v>
      </c>
      <c r="N8012" t="s">
        <v>41249</v>
      </c>
      <c r="O8012" t="s">
        <v>41250</v>
      </c>
      <c r="P8012">
        <v>0</v>
      </c>
      <c r="Q8012">
        <v>1</v>
      </c>
      <c r="R8012" t="s">
        <v>41258</v>
      </c>
      <c r="S8012" t="s">
        <v>41513</v>
      </c>
      <c r="T8012" t="s">
        <v>42727</v>
      </c>
      <c r="U8012" t="s">
        <v>49786</v>
      </c>
      <c r="V8012" t="s">
        <v>55175</v>
      </c>
      <c r="W8012" t="s">
        <v>55996</v>
      </c>
      <c r="X8012" t="s">
        <v>41259</v>
      </c>
    </row>
    <row r="8013" spans="1:24">
      <c r="A8013">
        <f>HYPERLINK("https://www.philgeps.gov.ph/GEPSNONPILOT/Tender/SplashBidNoticeAbstractUI.aspx?menuIndex=3&amp;refID=7065444&amp;Result=3","7065444")</f>
        <v>0</v>
      </c>
      <c r="B8013" t="s">
        <v>2483</v>
      </c>
      <c r="C8013" t="s">
        <v>8039</v>
      </c>
      <c r="D8013" t="s">
        <v>16608</v>
      </c>
      <c r="E8013" t="s">
        <v>23733</v>
      </c>
      <c r="F8013" t="s">
        <v>28669</v>
      </c>
      <c r="G8013" t="s">
        <v>28675</v>
      </c>
      <c r="H8013" t="s">
        <v>9998</v>
      </c>
      <c r="I8013" t="s">
        <v>28733</v>
      </c>
      <c r="J8013" t="s">
        <v>28878</v>
      </c>
      <c r="K8013" t="s">
        <v>37204</v>
      </c>
      <c r="M8013" t="s">
        <v>40167</v>
      </c>
      <c r="N8013" t="s">
        <v>41249</v>
      </c>
      <c r="O8013" t="s">
        <v>41250</v>
      </c>
      <c r="P8013">
        <v>0</v>
      </c>
      <c r="Q8013">
        <v>8</v>
      </c>
      <c r="R8013" t="s">
        <v>41258</v>
      </c>
      <c r="S8013" t="s">
        <v>41513</v>
      </c>
      <c r="T8013" t="s">
        <v>43060</v>
      </c>
      <c r="U8013" t="s">
        <v>49787</v>
      </c>
      <c r="W8013" t="s">
        <v>40167</v>
      </c>
      <c r="X8013" t="s">
        <v>41259</v>
      </c>
    </row>
    <row r="8014" spans="1:24">
      <c r="A8014">
        <f>HYPERLINK("https://www.philgeps.gov.ph/GEPSNONPILOT/Tender/SplashBidNoticeAbstractUI.aspx?menuIndex=3&amp;refID=7065484&amp;Result=3","7065484")</f>
        <v>0</v>
      </c>
      <c r="B8014" t="s">
        <v>2483</v>
      </c>
      <c r="C8014" t="s">
        <v>11024</v>
      </c>
      <c r="D8014" t="s">
        <v>16608</v>
      </c>
      <c r="E8014" t="s">
        <v>23734</v>
      </c>
      <c r="F8014" t="s">
        <v>28669</v>
      </c>
      <c r="G8014" t="s">
        <v>28675</v>
      </c>
      <c r="H8014" t="s">
        <v>9998</v>
      </c>
      <c r="I8014" t="s">
        <v>6458</v>
      </c>
      <c r="J8014" t="s">
        <v>28879</v>
      </c>
      <c r="K8014" t="s">
        <v>37204</v>
      </c>
      <c r="M8014" t="s">
        <v>40167</v>
      </c>
      <c r="N8014" t="s">
        <v>41249</v>
      </c>
      <c r="O8014" t="s">
        <v>41250</v>
      </c>
      <c r="P8014">
        <v>0</v>
      </c>
      <c r="Q8014">
        <v>8</v>
      </c>
      <c r="R8014" t="s">
        <v>41258</v>
      </c>
      <c r="S8014" t="s">
        <v>41513</v>
      </c>
      <c r="T8014" t="s">
        <v>42738</v>
      </c>
      <c r="U8014" t="s">
        <v>49788</v>
      </c>
      <c r="W8014" t="s">
        <v>40167</v>
      </c>
      <c r="X8014" t="s">
        <v>41259</v>
      </c>
    </row>
    <row r="8015" spans="1:24">
      <c r="A8015">
        <f>HYPERLINK("https://www.philgeps.gov.ph/GEPSNONPILOT/Tender/SplashBidNoticeAbstractUI.aspx?menuIndex=3&amp;refID=7065482&amp;Result=3","7065482")</f>
        <v>0</v>
      </c>
      <c r="B8015" t="s">
        <v>2484</v>
      </c>
      <c r="C8015" t="s">
        <v>11025</v>
      </c>
      <c r="D8015" t="s">
        <v>16658</v>
      </c>
      <c r="E8015" t="s">
        <v>23735</v>
      </c>
      <c r="F8015" t="s">
        <v>28669</v>
      </c>
      <c r="G8015" t="s">
        <v>28675</v>
      </c>
      <c r="H8015" t="s">
        <v>9998</v>
      </c>
      <c r="I8015" t="s">
        <v>28687</v>
      </c>
      <c r="J8015" t="s">
        <v>28847</v>
      </c>
      <c r="K8015" t="s">
        <v>37210</v>
      </c>
      <c r="M8015" t="s">
        <v>40168</v>
      </c>
      <c r="N8015" t="s">
        <v>41249</v>
      </c>
      <c r="O8015" t="s">
        <v>41250</v>
      </c>
      <c r="P8015">
        <v>0</v>
      </c>
      <c r="Q8015">
        <v>7</v>
      </c>
      <c r="R8015" t="s">
        <v>41258</v>
      </c>
      <c r="S8015" t="s">
        <v>41513</v>
      </c>
      <c r="T8015" t="s">
        <v>42755</v>
      </c>
      <c r="U8015" t="s">
        <v>49789</v>
      </c>
      <c r="W8015" t="s">
        <v>40168</v>
      </c>
      <c r="X8015" t="s">
        <v>41259</v>
      </c>
    </row>
    <row r="8016" spans="1:24">
      <c r="A8016">
        <f>HYPERLINK("https://www.philgeps.gov.ph/GEPSNONPILOT/Tender/SplashBidNoticeAbstractUI.aspx?menuIndex=3&amp;refID=7065452&amp;Result=3","7065452")</f>
        <v>0</v>
      </c>
      <c r="B8016" t="s">
        <v>2478</v>
      </c>
      <c r="C8016" t="s">
        <v>11026</v>
      </c>
      <c r="D8016" t="s">
        <v>16674</v>
      </c>
      <c r="E8016" t="s">
        <v>23736</v>
      </c>
      <c r="F8016" t="s">
        <v>28669</v>
      </c>
      <c r="G8016" t="s">
        <v>28675</v>
      </c>
      <c r="H8016" t="s">
        <v>9998</v>
      </c>
      <c r="I8016" t="s">
        <v>7352</v>
      </c>
      <c r="J8016" t="s">
        <v>28905</v>
      </c>
      <c r="K8016" t="s">
        <v>37206</v>
      </c>
      <c r="M8016" t="s">
        <v>40161</v>
      </c>
      <c r="N8016" t="s">
        <v>41249</v>
      </c>
      <c r="O8016" t="s">
        <v>41250</v>
      </c>
      <c r="P8016">
        <v>0</v>
      </c>
      <c r="Q8016">
        <v>1</v>
      </c>
      <c r="R8016" t="s">
        <v>41258</v>
      </c>
      <c r="S8016" t="s">
        <v>41513</v>
      </c>
      <c r="T8016" t="s">
        <v>42836</v>
      </c>
      <c r="U8016" t="s">
        <v>49790</v>
      </c>
      <c r="V8016" t="s">
        <v>55176</v>
      </c>
      <c r="W8016" t="s">
        <v>40161</v>
      </c>
      <c r="X8016" t="s">
        <v>41259</v>
      </c>
    </row>
    <row r="8017" spans="1:24">
      <c r="A8017">
        <f>HYPERLINK("https://www.philgeps.gov.ph/GEPSNONPILOT/Tender/SplashBidNoticeAbstractUI.aspx?menuIndex=3&amp;refID=7065477&amp;Result=3","7065477")</f>
        <v>0</v>
      </c>
      <c r="B8017" t="s">
        <v>1970</v>
      </c>
      <c r="C8017" t="s">
        <v>11027</v>
      </c>
      <c r="D8017" t="s">
        <v>16651</v>
      </c>
      <c r="E8017" t="s">
        <v>23737</v>
      </c>
      <c r="F8017" t="s">
        <v>28669</v>
      </c>
      <c r="G8017" t="s">
        <v>28675</v>
      </c>
      <c r="H8017" t="s">
        <v>28686</v>
      </c>
      <c r="I8017" t="s">
        <v>28689</v>
      </c>
      <c r="J8017" t="s">
        <v>33822</v>
      </c>
      <c r="K8017" t="s">
        <v>37294</v>
      </c>
      <c r="M8017" t="s">
        <v>39604</v>
      </c>
      <c r="N8017" t="s">
        <v>41249</v>
      </c>
      <c r="O8017" t="s">
        <v>41250</v>
      </c>
      <c r="P8017">
        <v>0</v>
      </c>
      <c r="Q8017">
        <v>2</v>
      </c>
      <c r="R8017" t="s">
        <v>41258</v>
      </c>
      <c r="S8017" t="s">
        <v>41513</v>
      </c>
      <c r="T8017" t="s">
        <v>42760</v>
      </c>
      <c r="U8017" t="s">
        <v>49791</v>
      </c>
      <c r="V8017" t="s">
        <v>55177</v>
      </c>
      <c r="W8017" t="s">
        <v>39604</v>
      </c>
      <c r="X8017" t="s">
        <v>41259</v>
      </c>
    </row>
    <row r="8018" spans="1:24">
      <c r="A8018">
        <f>HYPERLINK("https://www.philgeps.gov.ph/GEPSNONPILOT/Tender/SplashBidNoticeAbstractUI.aspx?menuIndex=3&amp;refID=7065475&amp;Result=3","7065475")</f>
        <v>0</v>
      </c>
      <c r="B8018" t="s">
        <v>2485</v>
      </c>
      <c r="C8018" t="s">
        <v>11028</v>
      </c>
      <c r="D8018" t="s">
        <v>16640</v>
      </c>
      <c r="E8018" t="s">
        <v>23665</v>
      </c>
      <c r="F8018" t="s">
        <v>28669</v>
      </c>
      <c r="G8018" t="s">
        <v>28675</v>
      </c>
      <c r="H8018" t="s">
        <v>9998</v>
      </c>
      <c r="I8018" t="s">
        <v>28810</v>
      </c>
      <c r="J8018" t="s">
        <v>31761</v>
      </c>
      <c r="K8018" t="s">
        <v>37206</v>
      </c>
      <c r="M8018" t="s">
        <v>40169</v>
      </c>
      <c r="N8018" t="s">
        <v>41249</v>
      </c>
      <c r="O8018" t="s">
        <v>41250</v>
      </c>
      <c r="P8018">
        <v>0</v>
      </c>
      <c r="Q8018">
        <v>2</v>
      </c>
      <c r="R8018" t="s">
        <v>41258</v>
      </c>
      <c r="S8018" t="s">
        <v>41513</v>
      </c>
      <c r="T8018" t="s">
        <v>42883</v>
      </c>
      <c r="U8018" t="s">
        <v>49792</v>
      </c>
      <c r="W8018" t="s">
        <v>40169</v>
      </c>
      <c r="X8018" t="s">
        <v>41259</v>
      </c>
    </row>
    <row r="8019" spans="1:24">
      <c r="A8019">
        <f>HYPERLINK("https://www.philgeps.gov.ph/GEPSNONPILOT/Tender/SplashBidNoticeAbstractUI.aspx?menuIndex=3&amp;refID=7065474&amp;Result=3","7065474")</f>
        <v>0</v>
      </c>
      <c r="B8019" t="s">
        <v>965</v>
      </c>
      <c r="C8019" t="s">
        <v>11029</v>
      </c>
      <c r="D8019" t="s">
        <v>16608</v>
      </c>
      <c r="E8019" t="s">
        <v>23738</v>
      </c>
      <c r="F8019" t="s">
        <v>28669</v>
      </c>
      <c r="G8019" t="s">
        <v>28675</v>
      </c>
      <c r="H8019" t="s">
        <v>9998</v>
      </c>
      <c r="I8019" t="s">
        <v>6128</v>
      </c>
      <c r="J8019" t="s">
        <v>33823</v>
      </c>
      <c r="K8019" t="s">
        <v>37205</v>
      </c>
      <c r="M8019" t="s">
        <v>38759</v>
      </c>
      <c r="N8019" t="s">
        <v>41249</v>
      </c>
      <c r="O8019" t="s">
        <v>41250</v>
      </c>
      <c r="P8019">
        <v>0</v>
      </c>
      <c r="Q8019">
        <v>0</v>
      </c>
      <c r="R8019" t="s">
        <v>41258</v>
      </c>
      <c r="S8019" t="s">
        <v>41513</v>
      </c>
      <c r="T8019" t="s">
        <v>42728</v>
      </c>
      <c r="U8019" t="s">
        <v>44022</v>
      </c>
      <c r="W8019" t="s">
        <v>38759</v>
      </c>
      <c r="X8019" t="s">
        <v>41259</v>
      </c>
    </row>
    <row r="8020" spans="1:24">
      <c r="A8020">
        <f>HYPERLINK("https://www.philgeps.gov.ph/GEPSNONPILOT/Tender/SplashBidNoticeAbstractUI.aspx?menuIndex=3&amp;refID=7065470&amp;Result=3","7065470")</f>
        <v>0</v>
      </c>
      <c r="B8020" t="s">
        <v>965</v>
      </c>
      <c r="C8020" t="s">
        <v>11030</v>
      </c>
      <c r="D8020" t="s">
        <v>16608</v>
      </c>
      <c r="E8020" t="s">
        <v>23739</v>
      </c>
      <c r="F8020" t="s">
        <v>28669</v>
      </c>
      <c r="G8020" t="s">
        <v>28675</v>
      </c>
      <c r="H8020" t="s">
        <v>9998</v>
      </c>
      <c r="I8020" t="s">
        <v>6128</v>
      </c>
      <c r="J8020" t="s">
        <v>33824</v>
      </c>
      <c r="K8020" t="s">
        <v>37205</v>
      </c>
      <c r="M8020" t="s">
        <v>38759</v>
      </c>
      <c r="N8020" t="s">
        <v>41249</v>
      </c>
      <c r="O8020" t="s">
        <v>41250</v>
      </c>
      <c r="P8020">
        <v>0</v>
      </c>
      <c r="Q8020">
        <v>0</v>
      </c>
      <c r="R8020" t="s">
        <v>41258</v>
      </c>
      <c r="S8020" t="s">
        <v>41513</v>
      </c>
      <c r="T8020" t="s">
        <v>42728</v>
      </c>
      <c r="U8020" t="s">
        <v>44022</v>
      </c>
      <c r="W8020" t="s">
        <v>38759</v>
      </c>
      <c r="X8020" t="s">
        <v>41259</v>
      </c>
    </row>
    <row r="8021" spans="1:24">
      <c r="A8021">
        <f>HYPERLINK("https://www.philgeps.gov.ph/GEPSNONPILOT/Tender/SplashBidNoticeAbstractUI.aspx?menuIndex=3&amp;refID=7065479&amp;Result=3","7065479")</f>
        <v>0</v>
      </c>
      <c r="B8021" t="s">
        <v>318</v>
      </c>
      <c r="C8021" t="s">
        <v>11031</v>
      </c>
      <c r="D8021" t="s">
        <v>16619</v>
      </c>
      <c r="E8021" t="s">
        <v>17015</v>
      </c>
      <c r="F8021" t="s">
        <v>28669</v>
      </c>
      <c r="G8021" t="s">
        <v>28675</v>
      </c>
      <c r="H8021" t="s">
        <v>9998</v>
      </c>
      <c r="I8021" t="s">
        <v>7352</v>
      </c>
      <c r="J8021" t="s">
        <v>33825</v>
      </c>
      <c r="K8021" t="s">
        <v>37210</v>
      </c>
      <c r="M8021" t="s">
        <v>37798</v>
      </c>
      <c r="N8021" t="s">
        <v>41249</v>
      </c>
      <c r="O8021" t="s">
        <v>41250</v>
      </c>
      <c r="P8021">
        <v>0</v>
      </c>
      <c r="Q8021">
        <v>1</v>
      </c>
      <c r="R8021" t="s">
        <v>41258</v>
      </c>
      <c r="S8021" t="s">
        <v>41513</v>
      </c>
      <c r="T8021" t="s">
        <v>42697</v>
      </c>
      <c r="U8021" t="s">
        <v>49793</v>
      </c>
      <c r="W8021" t="s">
        <v>37798</v>
      </c>
      <c r="X8021" t="s">
        <v>41259</v>
      </c>
    </row>
    <row r="8022" spans="1:24">
      <c r="A8022">
        <f>HYPERLINK("https://www.philgeps.gov.ph/GEPSNONPILOT/Tender/SplashBidNoticeAbstractUI.aspx?menuIndex=3&amp;refID=7065466&amp;Result=3","7065466")</f>
        <v>0</v>
      </c>
      <c r="B8022" t="s">
        <v>1970</v>
      </c>
      <c r="C8022" t="s">
        <v>11032</v>
      </c>
      <c r="D8022" t="s">
        <v>16651</v>
      </c>
      <c r="E8022" t="s">
        <v>23740</v>
      </c>
      <c r="F8022" t="s">
        <v>28669</v>
      </c>
      <c r="G8022" t="s">
        <v>28675</v>
      </c>
      <c r="H8022" t="s">
        <v>28686</v>
      </c>
      <c r="I8022" t="s">
        <v>28689</v>
      </c>
      <c r="J8022" t="s">
        <v>33826</v>
      </c>
      <c r="K8022" t="s">
        <v>37220</v>
      </c>
      <c r="M8022" t="s">
        <v>39604</v>
      </c>
      <c r="N8022" t="s">
        <v>41249</v>
      </c>
      <c r="O8022" t="s">
        <v>41250</v>
      </c>
      <c r="P8022">
        <v>0</v>
      </c>
      <c r="Q8022">
        <v>2</v>
      </c>
      <c r="R8022" t="s">
        <v>41258</v>
      </c>
      <c r="S8022" t="s">
        <v>41513</v>
      </c>
      <c r="T8022" t="s">
        <v>42760</v>
      </c>
      <c r="U8022" t="s">
        <v>49794</v>
      </c>
      <c r="V8022" t="s">
        <v>55178</v>
      </c>
      <c r="W8022" t="s">
        <v>39604</v>
      </c>
      <c r="X8022" t="s">
        <v>41259</v>
      </c>
    </row>
    <row r="8023" spans="1:24">
      <c r="A8023">
        <f>HYPERLINK("https://www.philgeps.gov.ph/GEPSNONPILOT/Tender/SplashBidNoticeAbstractUI.aspx?menuIndex=3&amp;refID=7065463&amp;Result=3","7065463")</f>
        <v>0</v>
      </c>
      <c r="B8023" t="s">
        <v>2486</v>
      </c>
      <c r="C8023" t="s">
        <v>11033</v>
      </c>
      <c r="D8023" t="s">
        <v>16626</v>
      </c>
      <c r="E8023" t="s">
        <v>23741</v>
      </c>
      <c r="F8023" t="s">
        <v>28669</v>
      </c>
      <c r="G8023" t="s">
        <v>28675</v>
      </c>
      <c r="H8023" t="s">
        <v>9998</v>
      </c>
      <c r="I8023" t="s">
        <v>28708</v>
      </c>
      <c r="J8023" t="s">
        <v>33827</v>
      </c>
      <c r="K8023" t="s">
        <v>37206</v>
      </c>
      <c r="M8023" t="s">
        <v>40170</v>
      </c>
      <c r="N8023" t="s">
        <v>41249</v>
      </c>
      <c r="O8023" t="s">
        <v>41250</v>
      </c>
      <c r="P8023">
        <v>0</v>
      </c>
      <c r="Q8023">
        <v>12</v>
      </c>
      <c r="R8023" t="s">
        <v>41258</v>
      </c>
      <c r="S8023" t="s">
        <v>41513</v>
      </c>
      <c r="T8023" t="s">
        <v>42753</v>
      </c>
      <c r="U8023" t="s">
        <v>49795</v>
      </c>
      <c r="W8023" t="s">
        <v>55997</v>
      </c>
      <c r="X8023" t="s">
        <v>41259</v>
      </c>
    </row>
    <row r="8024" spans="1:24">
      <c r="A8024">
        <f>HYPERLINK("https://www.philgeps.gov.ph/GEPSNONPILOT/Tender/SplashBidNoticeAbstractUI.aspx?menuIndex=3&amp;refID=7065296&amp;Result=3","7065296")</f>
        <v>0</v>
      </c>
      <c r="B8024" t="s">
        <v>2487</v>
      </c>
      <c r="C8024" t="s">
        <v>11034</v>
      </c>
      <c r="D8024" t="s">
        <v>16608</v>
      </c>
      <c r="E8024" t="s">
        <v>23742</v>
      </c>
      <c r="F8024" t="s">
        <v>28672</v>
      </c>
      <c r="G8024" t="s">
        <v>28678</v>
      </c>
      <c r="H8024" t="s">
        <v>9998</v>
      </c>
      <c r="I8024" t="s">
        <v>6128</v>
      </c>
      <c r="J8024" t="s">
        <v>33828</v>
      </c>
      <c r="K8024" t="s">
        <v>37216</v>
      </c>
      <c r="M8024" t="s">
        <v>40171</v>
      </c>
      <c r="N8024" t="s">
        <v>41249</v>
      </c>
      <c r="O8024" t="s">
        <v>41250</v>
      </c>
      <c r="P8024">
        <v>0</v>
      </c>
      <c r="Q8024">
        <v>5</v>
      </c>
      <c r="R8024" t="s">
        <v>41258</v>
      </c>
      <c r="S8024" t="s">
        <v>41513</v>
      </c>
      <c r="T8024" t="s">
        <v>42758</v>
      </c>
      <c r="U8024" t="s">
        <v>49796</v>
      </c>
      <c r="W8024" t="s">
        <v>40171</v>
      </c>
      <c r="X8024" t="s">
        <v>41259</v>
      </c>
    </row>
    <row r="8025" spans="1:24">
      <c r="A8025">
        <f>HYPERLINK("https://www.philgeps.gov.ph/GEPSNONPILOT/Tender/SplashBidNoticeAbstractUI.aspx?menuIndex=3&amp;refID=7065461&amp;Result=3","7065461")</f>
        <v>0</v>
      </c>
      <c r="B8025" t="s">
        <v>2488</v>
      </c>
      <c r="C8025" t="s">
        <v>11035</v>
      </c>
      <c r="D8025" t="s">
        <v>16617</v>
      </c>
      <c r="E8025" t="s">
        <v>17140</v>
      </c>
      <c r="F8025" t="s">
        <v>28669</v>
      </c>
      <c r="G8025" t="s">
        <v>28675</v>
      </c>
      <c r="H8025" t="s">
        <v>28686</v>
      </c>
      <c r="I8025" t="s">
        <v>28696</v>
      </c>
      <c r="J8025" t="s">
        <v>33829</v>
      </c>
      <c r="K8025" t="s">
        <v>37205</v>
      </c>
      <c r="M8025" t="s">
        <v>40172</v>
      </c>
      <c r="N8025" t="s">
        <v>41249</v>
      </c>
      <c r="O8025" t="s">
        <v>41250</v>
      </c>
      <c r="P8025">
        <v>0</v>
      </c>
      <c r="Q8025">
        <v>3</v>
      </c>
      <c r="R8025" t="s">
        <v>41258</v>
      </c>
      <c r="S8025" t="s">
        <v>41513</v>
      </c>
      <c r="T8025" t="s">
        <v>42748</v>
      </c>
      <c r="U8025" t="s">
        <v>49797</v>
      </c>
      <c r="W8025" t="s">
        <v>40172</v>
      </c>
      <c r="X8025" t="s">
        <v>41259</v>
      </c>
    </row>
    <row r="8026" spans="1:24">
      <c r="A8026">
        <f>HYPERLINK("https://www.philgeps.gov.ph/GEPSNONPILOT/Tender/SplashBidNoticeAbstractUI.aspx?menuIndex=3&amp;refID=7065544&amp;Result=3","7065544")</f>
        <v>0</v>
      </c>
      <c r="B8026" t="s">
        <v>2481</v>
      </c>
      <c r="C8026" t="s">
        <v>11036</v>
      </c>
      <c r="D8026" t="s">
        <v>16643</v>
      </c>
      <c r="E8026" t="s">
        <v>23743</v>
      </c>
      <c r="F8026" t="s">
        <v>28669</v>
      </c>
      <c r="G8026" t="s">
        <v>28676</v>
      </c>
      <c r="H8026" t="s">
        <v>9998</v>
      </c>
      <c r="I8026" t="s">
        <v>7352</v>
      </c>
      <c r="J8026" t="s">
        <v>33830</v>
      </c>
      <c r="K8026" t="s">
        <v>37205</v>
      </c>
      <c r="M8026" t="s">
        <v>40164</v>
      </c>
      <c r="N8026" t="s">
        <v>41249</v>
      </c>
      <c r="O8026" t="s">
        <v>41250</v>
      </c>
      <c r="P8026">
        <v>0</v>
      </c>
      <c r="Q8026">
        <v>2</v>
      </c>
      <c r="R8026" t="s">
        <v>41258</v>
      </c>
      <c r="S8026" t="s">
        <v>41513</v>
      </c>
      <c r="T8026" t="s">
        <v>42681</v>
      </c>
      <c r="U8026" t="s">
        <v>49798</v>
      </c>
      <c r="W8026" t="s">
        <v>40164</v>
      </c>
      <c r="X8026" t="s">
        <v>41259</v>
      </c>
    </row>
    <row r="8027" spans="1:24">
      <c r="A8027">
        <f>HYPERLINK("https://www.philgeps.gov.ph/GEPSNONPILOT/Tender/SplashBidNoticeAbstractUI.aspx?menuIndex=3&amp;refID=7065542&amp;Result=3","7065542")</f>
        <v>0</v>
      </c>
      <c r="B8027" t="s">
        <v>2448</v>
      </c>
      <c r="C8027" t="s">
        <v>11037</v>
      </c>
      <c r="D8027" t="s">
        <v>16682</v>
      </c>
      <c r="E8027" t="s">
        <v>11037</v>
      </c>
      <c r="F8027" t="s">
        <v>28669</v>
      </c>
      <c r="G8027" t="s">
        <v>28675</v>
      </c>
      <c r="H8027" t="s">
        <v>28686</v>
      </c>
      <c r="I8027" t="s">
        <v>28689</v>
      </c>
      <c r="J8027" t="s">
        <v>28879</v>
      </c>
      <c r="K8027" t="s">
        <v>37206</v>
      </c>
      <c r="M8027" t="s">
        <v>40131</v>
      </c>
      <c r="N8027" t="s">
        <v>41249</v>
      </c>
      <c r="O8027" t="s">
        <v>41250</v>
      </c>
      <c r="P8027">
        <v>0</v>
      </c>
      <c r="Q8027">
        <v>2</v>
      </c>
      <c r="R8027" t="s">
        <v>41258</v>
      </c>
      <c r="S8027" t="s">
        <v>41513</v>
      </c>
      <c r="T8027" t="s">
        <v>42774</v>
      </c>
      <c r="U8027" t="s">
        <v>49799</v>
      </c>
      <c r="W8027" t="s">
        <v>40131</v>
      </c>
      <c r="X8027" t="s">
        <v>41259</v>
      </c>
    </row>
    <row r="8028" spans="1:24">
      <c r="A8028">
        <f>HYPERLINK("https://www.philgeps.gov.ph/GEPSNONPILOT/Tender/SplashBidNoticeAbstractUI.aspx?menuIndex=3&amp;refID=7065540&amp;Result=3","7065540")</f>
        <v>0</v>
      </c>
      <c r="B8028" t="s">
        <v>965</v>
      </c>
      <c r="C8028" t="s">
        <v>11038</v>
      </c>
      <c r="D8028" t="s">
        <v>16608</v>
      </c>
      <c r="E8028" t="s">
        <v>23744</v>
      </c>
      <c r="F8028" t="s">
        <v>28669</v>
      </c>
      <c r="G8028" t="s">
        <v>28675</v>
      </c>
      <c r="H8028" t="s">
        <v>9998</v>
      </c>
      <c r="I8028" t="s">
        <v>6128</v>
      </c>
      <c r="J8028" t="s">
        <v>33831</v>
      </c>
      <c r="K8028" t="s">
        <v>37205</v>
      </c>
      <c r="M8028" t="s">
        <v>38759</v>
      </c>
      <c r="N8028" t="s">
        <v>41249</v>
      </c>
      <c r="O8028" t="s">
        <v>41250</v>
      </c>
      <c r="P8028">
        <v>0</v>
      </c>
      <c r="Q8028">
        <v>0</v>
      </c>
      <c r="R8028" t="s">
        <v>41258</v>
      </c>
      <c r="S8028" t="s">
        <v>41513</v>
      </c>
      <c r="T8028" t="s">
        <v>42728</v>
      </c>
      <c r="U8028" t="s">
        <v>44022</v>
      </c>
      <c r="W8028" t="s">
        <v>38759</v>
      </c>
      <c r="X8028" t="s">
        <v>41259</v>
      </c>
    </row>
    <row r="8029" spans="1:24">
      <c r="A8029">
        <f>HYPERLINK("https://www.philgeps.gov.ph/GEPSNONPILOT/Tender/SplashBidNoticeAbstractUI.aspx?menuIndex=3&amp;refID=7065473&amp;Result=3","7065473")</f>
        <v>0</v>
      </c>
      <c r="B8029" t="s">
        <v>2489</v>
      </c>
      <c r="C8029" t="s">
        <v>11039</v>
      </c>
      <c r="D8029" t="s">
        <v>16654</v>
      </c>
      <c r="E8029" t="s">
        <v>20918</v>
      </c>
      <c r="F8029" t="s">
        <v>28669</v>
      </c>
      <c r="G8029" t="s">
        <v>28676</v>
      </c>
      <c r="H8029" t="s">
        <v>9998</v>
      </c>
      <c r="I8029" t="s">
        <v>28728</v>
      </c>
      <c r="J8029" t="s">
        <v>33832</v>
      </c>
      <c r="K8029" t="s">
        <v>37231</v>
      </c>
      <c r="M8029" t="s">
        <v>40173</v>
      </c>
      <c r="N8029" t="s">
        <v>41249</v>
      </c>
      <c r="O8029" t="s">
        <v>41250</v>
      </c>
      <c r="P8029">
        <v>0</v>
      </c>
      <c r="Q8029">
        <v>4</v>
      </c>
      <c r="R8029" t="s">
        <v>41258</v>
      </c>
      <c r="S8029" t="s">
        <v>41513</v>
      </c>
      <c r="T8029" t="s">
        <v>42767</v>
      </c>
      <c r="U8029" t="s">
        <v>49800</v>
      </c>
      <c r="W8029" t="s">
        <v>40173</v>
      </c>
      <c r="X8029" t="s">
        <v>41259</v>
      </c>
    </row>
    <row r="8030" spans="1:24">
      <c r="A8030">
        <f>HYPERLINK("https://www.philgeps.gov.ph/GEPSNONPILOT/Tender/SplashBidNoticeAbstractUI.aspx?menuIndex=3&amp;refID=7065538&amp;Result=3","7065538")</f>
        <v>0</v>
      </c>
      <c r="B8030" t="s">
        <v>1957</v>
      </c>
      <c r="C8030" t="s">
        <v>11040</v>
      </c>
      <c r="D8030" t="s">
        <v>16620</v>
      </c>
      <c r="E8030" t="s">
        <v>23745</v>
      </c>
      <c r="F8030" t="s">
        <v>28669</v>
      </c>
      <c r="G8030" t="s">
        <v>28676</v>
      </c>
      <c r="H8030" t="s">
        <v>9998</v>
      </c>
      <c r="I8030" t="s">
        <v>7352</v>
      </c>
      <c r="J8030" t="s">
        <v>33833</v>
      </c>
      <c r="K8030" t="s">
        <v>37206</v>
      </c>
      <c r="M8030" t="s">
        <v>39589</v>
      </c>
      <c r="N8030" t="s">
        <v>41249</v>
      </c>
      <c r="O8030" t="s">
        <v>41250</v>
      </c>
      <c r="P8030">
        <v>0</v>
      </c>
      <c r="Q8030">
        <v>0</v>
      </c>
      <c r="R8030" t="s">
        <v>41258</v>
      </c>
      <c r="S8030" t="s">
        <v>41513</v>
      </c>
      <c r="T8030" t="s">
        <v>42758</v>
      </c>
      <c r="U8030" t="s">
        <v>49801</v>
      </c>
      <c r="W8030" t="s">
        <v>39589</v>
      </c>
      <c r="X8030" t="s">
        <v>41259</v>
      </c>
    </row>
    <row r="8031" spans="1:24">
      <c r="A8031">
        <f>HYPERLINK("https://www.philgeps.gov.ph/GEPSNONPILOT/Tender/SplashBidNoticeAbstractUI.aspx?menuIndex=3&amp;refID=7065533&amp;Result=3","7065533")</f>
        <v>0</v>
      </c>
      <c r="B8031" t="s">
        <v>965</v>
      </c>
      <c r="C8031" t="s">
        <v>11041</v>
      </c>
      <c r="D8031" t="s">
        <v>16608</v>
      </c>
      <c r="E8031" t="s">
        <v>23746</v>
      </c>
      <c r="F8031" t="s">
        <v>28669</v>
      </c>
      <c r="G8031" t="s">
        <v>28675</v>
      </c>
      <c r="H8031" t="s">
        <v>9998</v>
      </c>
      <c r="I8031" t="s">
        <v>6128</v>
      </c>
      <c r="J8031" t="s">
        <v>33834</v>
      </c>
      <c r="K8031" t="s">
        <v>37205</v>
      </c>
      <c r="M8031" t="s">
        <v>38759</v>
      </c>
      <c r="N8031" t="s">
        <v>41249</v>
      </c>
      <c r="O8031" t="s">
        <v>41250</v>
      </c>
      <c r="P8031">
        <v>0</v>
      </c>
      <c r="Q8031">
        <v>0</v>
      </c>
      <c r="R8031" t="s">
        <v>41258</v>
      </c>
      <c r="S8031" t="s">
        <v>41513</v>
      </c>
      <c r="T8031" t="s">
        <v>42728</v>
      </c>
      <c r="U8031" t="s">
        <v>44022</v>
      </c>
      <c r="W8031" t="s">
        <v>38759</v>
      </c>
      <c r="X8031" t="s">
        <v>41259</v>
      </c>
    </row>
    <row r="8032" spans="1:24">
      <c r="A8032">
        <f>HYPERLINK("https://www.philgeps.gov.ph/GEPSNONPILOT/Tender/SplashBidNoticeAbstractUI.aspx?menuIndex=3&amp;refID=7065530&amp;Result=3","7065530")</f>
        <v>0</v>
      </c>
      <c r="B8032" t="s">
        <v>2490</v>
      </c>
      <c r="C8032" t="s">
        <v>11042</v>
      </c>
      <c r="D8032" t="s">
        <v>16624</v>
      </c>
      <c r="E8032" t="s">
        <v>11042</v>
      </c>
      <c r="F8032" t="s">
        <v>28669</v>
      </c>
      <c r="G8032" t="s">
        <v>28675</v>
      </c>
      <c r="H8032" t="s">
        <v>9998</v>
      </c>
      <c r="I8032" t="s">
        <v>7352</v>
      </c>
      <c r="J8032" t="s">
        <v>33835</v>
      </c>
      <c r="K8032" t="s">
        <v>37220</v>
      </c>
      <c r="M8032" t="s">
        <v>40174</v>
      </c>
      <c r="N8032" t="s">
        <v>41249</v>
      </c>
      <c r="O8032" t="s">
        <v>41250</v>
      </c>
      <c r="P8032">
        <v>0</v>
      </c>
      <c r="Q8032">
        <v>0</v>
      </c>
      <c r="R8032" t="s">
        <v>41258</v>
      </c>
      <c r="S8032" t="s">
        <v>41513</v>
      </c>
      <c r="T8032" t="s">
        <v>43027</v>
      </c>
      <c r="U8032" t="s">
        <v>49802</v>
      </c>
      <c r="W8032" t="s">
        <v>40174</v>
      </c>
      <c r="X8032" t="s">
        <v>41259</v>
      </c>
    </row>
    <row r="8033" spans="1:24">
      <c r="A8033">
        <f>HYPERLINK("https://www.philgeps.gov.ph/GEPSNONPILOT/Tender/SplashBidNoticeAbstractUI.aspx?menuIndex=3&amp;refID=7065476&amp;Result=3","7065476")</f>
        <v>0</v>
      </c>
      <c r="B8033" t="s">
        <v>2491</v>
      </c>
      <c r="C8033" t="s">
        <v>11043</v>
      </c>
      <c r="D8033" t="s">
        <v>16626</v>
      </c>
      <c r="E8033" t="s">
        <v>17458</v>
      </c>
      <c r="F8033" t="s">
        <v>28669</v>
      </c>
      <c r="G8033" t="s">
        <v>28675</v>
      </c>
      <c r="H8033" t="s">
        <v>9998</v>
      </c>
      <c r="I8033" t="s">
        <v>3718</v>
      </c>
      <c r="J8033" t="s">
        <v>33836</v>
      </c>
      <c r="K8033" t="s">
        <v>37234</v>
      </c>
      <c r="M8033" t="s">
        <v>40175</v>
      </c>
      <c r="N8033" t="s">
        <v>41249</v>
      </c>
      <c r="O8033" t="s">
        <v>41250</v>
      </c>
      <c r="P8033">
        <v>0</v>
      </c>
      <c r="Q8033">
        <v>1</v>
      </c>
      <c r="R8033" t="s">
        <v>41258</v>
      </c>
      <c r="S8033" t="s">
        <v>41513</v>
      </c>
      <c r="T8033" t="s">
        <v>43061</v>
      </c>
      <c r="U8033" t="s">
        <v>49803</v>
      </c>
      <c r="W8033" t="s">
        <v>40175</v>
      </c>
      <c r="X8033" t="s">
        <v>41259</v>
      </c>
    </row>
    <row r="8034" spans="1:24">
      <c r="A8034">
        <f>HYPERLINK("https://www.philgeps.gov.ph/GEPSNONPILOT/Tender/SplashBidNoticeAbstractUI.aspx?menuIndex=3&amp;refID=7065513&amp;Result=3","7065513")</f>
        <v>0</v>
      </c>
      <c r="B8034" t="s">
        <v>454</v>
      </c>
      <c r="C8034" t="s">
        <v>11044</v>
      </c>
      <c r="D8034" t="s">
        <v>16632</v>
      </c>
      <c r="E8034" t="s">
        <v>21219</v>
      </c>
      <c r="F8034" t="s">
        <v>28669</v>
      </c>
      <c r="G8034" t="s">
        <v>28676</v>
      </c>
      <c r="H8034" t="s">
        <v>9998</v>
      </c>
      <c r="I8034" t="s">
        <v>6606</v>
      </c>
      <c r="J8034" t="s">
        <v>33837</v>
      </c>
      <c r="K8034" t="s">
        <v>37209</v>
      </c>
      <c r="M8034" t="s">
        <v>37942</v>
      </c>
      <c r="N8034" t="s">
        <v>41249</v>
      </c>
      <c r="O8034" t="s">
        <v>41250</v>
      </c>
      <c r="P8034">
        <v>0</v>
      </c>
      <c r="Q8034">
        <v>0</v>
      </c>
      <c r="R8034" t="s">
        <v>41258</v>
      </c>
      <c r="S8034" t="s">
        <v>41513</v>
      </c>
      <c r="T8034" t="s">
        <v>42758</v>
      </c>
      <c r="U8034" t="s">
        <v>48244</v>
      </c>
      <c r="W8034" t="s">
        <v>37942</v>
      </c>
      <c r="X8034" t="s">
        <v>41259</v>
      </c>
    </row>
    <row r="8035" spans="1:24">
      <c r="A8035">
        <f>HYPERLINK("https://www.philgeps.gov.ph/GEPSNONPILOT/Tender/SplashBidNoticeAbstractUI.aspx?menuIndex=3&amp;refID=7065511&amp;Result=3","7065511")</f>
        <v>0</v>
      </c>
      <c r="B8035" t="s">
        <v>559</v>
      </c>
      <c r="C8035" t="s">
        <v>11045</v>
      </c>
      <c r="D8035" t="s">
        <v>16644</v>
      </c>
      <c r="E8035" t="s">
        <v>23747</v>
      </c>
      <c r="F8035" t="s">
        <v>28669</v>
      </c>
      <c r="G8035" t="s">
        <v>28675</v>
      </c>
      <c r="H8035" t="s">
        <v>9998</v>
      </c>
      <c r="I8035" t="s">
        <v>11593</v>
      </c>
      <c r="J8035" t="s">
        <v>28847</v>
      </c>
      <c r="K8035" t="s">
        <v>37206</v>
      </c>
      <c r="M8035" t="s">
        <v>40176</v>
      </c>
      <c r="N8035" t="s">
        <v>41249</v>
      </c>
      <c r="O8035" t="s">
        <v>41250</v>
      </c>
      <c r="P8035">
        <v>0</v>
      </c>
      <c r="Q8035">
        <v>10</v>
      </c>
      <c r="R8035" t="s">
        <v>41258</v>
      </c>
      <c r="S8035" t="s">
        <v>41513</v>
      </c>
      <c r="T8035" t="s">
        <v>42789</v>
      </c>
      <c r="U8035" t="s">
        <v>49804</v>
      </c>
      <c r="W8035" t="s">
        <v>40176</v>
      </c>
      <c r="X8035" t="s">
        <v>41259</v>
      </c>
    </row>
    <row r="8036" spans="1:24">
      <c r="A8036">
        <f>HYPERLINK("https://www.philgeps.gov.ph/GEPSNONPILOT/Tender/SplashBidNoticeAbstractUI.aspx?menuIndex=3&amp;refID=7065541&amp;Result=3","7065541")</f>
        <v>0</v>
      </c>
      <c r="B8036" t="s">
        <v>2171</v>
      </c>
      <c r="C8036" t="s">
        <v>11046</v>
      </c>
      <c r="D8036" t="s">
        <v>16621</v>
      </c>
      <c r="E8036" t="s">
        <v>23748</v>
      </c>
      <c r="F8036" t="s">
        <v>28669</v>
      </c>
      <c r="G8036" t="s">
        <v>28676</v>
      </c>
      <c r="H8036" t="s">
        <v>9998</v>
      </c>
      <c r="I8036" t="s">
        <v>28721</v>
      </c>
      <c r="J8036" t="s">
        <v>33838</v>
      </c>
      <c r="K8036" t="s">
        <v>37205</v>
      </c>
      <c r="M8036" t="s">
        <v>39820</v>
      </c>
      <c r="N8036" t="s">
        <v>41249</v>
      </c>
      <c r="O8036" t="s">
        <v>41250</v>
      </c>
      <c r="P8036">
        <v>0</v>
      </c>
      <c r="Q8036">
        <v>3</v>
      </c>
      <c r="R8036" t="s">
        <v>41258</v>
      </c>
      <c r="S8036" t="s">
        <v>41513</v>
      </c>
      <c r="T8036" t="s">
        <v>42764</v>
      </c>
      <c r="U8036" t="s">
        <v>49685</v>
      </c>
      <c r="W8036" t="s">
        <v>39820</v>
      </c>
      <c r="X8036" t="s">
        <v>41259</v>
      </c>
    </row>
    <row r="8037" spans="1:24">
      <c r="A8037">
        <f>HYPERLINK("https://www.philgeps.gov.ph/GEPSNONPILOT/Tender/SplashBidNoticeAbstractUI.aspx?menuIndex=3&amp;refID=7065504&amp;Result=3","7065504")</f>
        <v>0</v>
      </c>
      <c r="B8037" t="s">
        <v>2473</v>
      </c>
      <c r="C8037" t="s">
        <v>11047</v>
      </c>
      <c r="D8037" t="s">
        <v>16642</v>
      </c>
      <c r="E8037" t="s">
        <v>23749</v>
      </c>
      <c r="F8037" t="s">
        <v>28669</v>
      </c>
      <c r="G8037" t="s">
        <v>28675</v>
      </c>
      <c r="H8037" t="s">
        <v>28686</v>
      </c>
      <c r="I8037" t="s">
        <v>28689</v>
      </c>
      <c r="J8037" t="s">
        <v>33839</v>
      </c>
      <c r="K8037" t="s">
        <v>37326</v>
      </c>
      <c r="M8037" t="s">
        <v>40156</v>
      </c>
      <c r="N8037" t="s">
        <v>41249</v>
      </c>
      <c r="O8037" t="s">
        <v>41250</v>
      </c>
      <c r="P8037">
        <v>0</v>
      </c>
      <c r="Q8037">
        <v>2</v>
      </c>
      <c r="R8037" t="s">
        <v>41258</v>
      </c>
      <c r="S8037" t="s">
        <v>41513</v>
      </c>
      <c r="T8037" t="s">
        <v>42760</v>
      </c>
      <c r="U8037" t="s">
        <v>49805</v>
      </c>
      <c r="V8037" t="s">
        <v>55179</v>
      </c>
      <c r="W8037" t="s">
        <v>40156</v>
      </c>
      <c r="X8037" t="s">
        <v>41259</v>
      </c>
    </row>
    <row r="8038" spans="1:24">
      <c r="A8038">
        <f>HYPERLINK("https://www.philgeps.gov.ph/GEPSNONPILOT/Tender/SplashBidNoticeAbstractUI.aspx?menuIndex=3&amp;refID=7065537&amp;Result=3","7065537")</f>
        <v>0</v>
      </c>
      <c r="B8038" t="s">
        <v>965</v>
      </c>
      <c r="C8038" t="s">
        <v>11048</v>
      </c>
      <c r="D8038" t="s">
        <v>16608</v>
      </c>
      <c r="E8038" t="s">
        <v>23750</v>
      </c>
      <c r="F8038" t="s">
        <v>28669</v>
      </c>
      <c r="G8038" t="s">
        <v>28675</v>
      </c>
      <c r="H8038" t="s">
        <v>9998</v>
      </c>
      <c r="I8038" t="s">
        <v>6128</v>
      </c>
      <c r="J8038" t="s">
        <v>33840</v>
      </c>
      <c r="K8038" t="s">
        <v>37205</v>
      </c>
      <c r="M8038" t="s">
        <v>38759</v>
      </c>
      <c r="N8038" t="s">
        <v>41249</v>
      </c>
      <c r="O8038" t="s">
        <v>41250</v>
      </c>
      <c r="P8038">
        <v>0</v>
      </c>
      <c r="Q8038">
        <v>0</v>
      </c>
      <c r="R8038" t="s">
        <v>41258</v>
      </c>
      <c r="S8038" t="s">
        <v>41513</v>
      </c>
      <c r="T8038" t="s">
        <v>42728</v>
      </c>
      <c r="U8038" t="s">
        <v>44022</v>
      </c>
      <c r="W8038" t="s">
        <v>38759</v>
      </c>
      <c r="X8038" t="s">
        <v>41259</v>
      </c>
    </row>
    <row r="8039" spans="1:24">
      <c r="A8039">
        <f>HYPERLINK("https://www.philgeps.gov.ph/GEPSNONPILOT/Tender/SplashBidNoticeAbstractUI.aspx?menuIndex=3&amp;refID=7065501&amp;Result=3","7065501")</f>
        <v>0</v>
      </c>
      <c r="B8039" t="s">
        <v>679</v>
      </c>
      <c r="C8039" t="s">
        <v>11049</v>
      </c>
      <c r="D8039" t="s">
        <v>16634</v>
      </c>
      <c r="E8039" t="s">
        <v>23751</v>
      </c>
      <c r="F8039" t="s">
        <v>28669</v>
      </c>
      <c r="G8039" t="s">
        <v>28675</v>
      </c>
      <c r="H8039" t="s">
        <v>9998</v>
      </c>
      <c r="I8039" t="s">
        <v>28690</v>
      </c>
      <c r="J8039" t="s">
        <v>33841</v>
      </c>
      <c r="K8039" t="s">
        <v>37205</v>
      </c>
      <c r="M8039" t="s">
        <v>38183</v>
      </c>
      <c r="N8039" t="s">
        <v>41249</v>
      </c>
      <c r="O8039" t="s">
        <v>41250</v>
      </c>
      <c r="P8039">
        <v>0</v>
      </c>
      <c r="Q8039">
        <v>3</v>
      </c>
      <c r="R8039" t="s">
        <v>41258</v>
      </c>
      <c r="S8039" t="s">
        <v>41513</v>
      </c>
      <c r="T8039" t="s">
        <v>42703</v>
      </c>
      <c r="U8039" t="s">
        <v>49806</v>
      </c>
      <c r="W8039" t="s">
        <v>38183</v>
      </c>
      <c r="X8039" t="s">
        <v>41259</v>
      </c>
    </row>
    <row r="8040" spans="1:24">
      <c r="A8040">
        <f>HYPERLINK("https://www.philgeps.gov.ph/GEPSNONPILOT/Tender/SplashBidNoticeAbstractUI.aspx?menuIndex=3&amp;refID=7065578&amp;Result=3","7065578")</f>
        <v>0</v>
      </c>
      <c r="B8040" t="s">
        <v>2492</v>
      </c>
      <c r="C8040" t="s">
        <v>11050</v>
      </c>
      <c r="D8040" t="s">
        <v>16658</v>
      </c>
      <c r="E8040" t="s">
        <v>20956</v>
      </c>
      <c r="F8040" t="s">
        <v>28669</v>
      </c>
      <c r="G8040" t="s">
        <v>28675</v>
      </c>
      <c r="H8040" t="s">
        <v>28686</v>
      </c>
      <c r="I8040" t="s">
        <v>28689</v>
      </c>
      <c r="J8040" t="s">
        <v>29033</v>
      </c>
      <c r="K8040" t="s">
        <v>37220</v>
      </c>
      <c r="M8040" t="s">
        <v>40177</v>
      </c>
      <c r="N8040" t="s">
        <v>41249</v>
      </c>
      <c r="O8040" t="s">
        <v>41250</v>
      </c>
      <c r="P8040">
        <v>0</v>
      </c>
      <c r="Q8040">
        <v>1</v>
      </c>
      <c r="R8040" t="s">
        <v>41258</v>
      </c>
      <c r="S8040" t="s">
        <v>41513</v>
      </c>
      <c r="T8040" t="s">
        <v>42739</v>
      </c>
      <c r="U8040" t="s">
        <v>49807</v>
      </c>
      <c r="W8040" t="s">
        <v>40177</v>
      </c>
      <c r="X8040" t="s">
        <v>41259</v>
      </c>
    </row>
    <row r="8041" spans="1:24">
      <c r="A8041">
        <f>HYPERLINK("https://www.philgeps.gov.ph/GEPSNONPILOT/Tender/SplashBidNoticeAbstractUI.aspx?menuIndex=3&amp;refID=7065505&amp;Result=3","7065505")</f>
        <v>0</v>
      </c>
      <c r="B8041" t="s">
        <v>132</v>
      </c>
      <c r="C8041" t="s">
        <v>11051</v>
      </c>
      <c r="E8041" t="s">
        <v>23752</v>
      </c>
      <c r="F8041" t="s">
        <v>28669</v>
      </c>
      <c r="G8041" t="s">
        <v>28675</v>
      </c>
      <c r="H8041" t="s">
        <v>9998</v>
      </c>
      <c r="I8041" t="s">
        <v>28687</v>
      </c>
      <c r="J8041" t="s">
        <v>33842</v>
      </c>
      <c r="K8041" t="s">
        <v>37206</v>
      </c>
      <c r="M8041" t="s">
        <v>40165</v>
      </c>
      <c r="N8041" t="s">
        <v>41249</v>
      </c>
      <c r="O8041" t="s">
        <v>41250</v>
      </c>
      <c r="Q8041">
        <v>1</v>
      </c>
      <c r="R8041" t="s">
        <v>41258</v>
      </c>
      <c r="S8041" t="s">
        <v>41535</v>
      </c>
      <c r="T8041" t="s">
        <v>42811</v>
      </c>
      <c r="U8041" t="s">
        <v>49808</v>
      </c>
      <c r="W8041" t="s">
        <v>40165</v>
      </c>
      <c r="X8041" t="s">
        <v>41259</v>
      </c>
    </row>
    <row r="8042" spans="1:24">
      <c r="A8042">
        <f>HYPERLINK("https://www.philgeps.gov.ph/GEPSNONPILOT/Tender/SplashBidNoticeAbstractUI.aspx?menuIndex=3&amp;refID=7065491&amp;Result=3","7065491")</f>
        <v>0</v>
      </c>
      <c r="B8042" t="s">
        <v>937</v>
      </c>
      <c r="C8042" t="s">
        <v>11052</v>
      </c>
      <c r="E8042" t="s">
        <v>23753</v>
      </c>
      <c r="F8042" t="s">
        <v>28669</v>
      </c>
      <c r="G8042" t="s">
        <v>28675</v>
      </c>
      <c r="H8042" t="s">
        <v>28686</v>
      </c>
      <c r="I8042" t="s">
        <v>28689</v>
      </c>
      <c r="J8042" t="s">
        <v>29059</v>
      </c>
      <c r="K8042" t="s">
        <v>37363</v>
      </c>
      <c r="M8042" t="s">
        <v>38460</v>
      </c>
      <c r="N8042" t="s">
        <v>41249</v>
      </c>
      <c r="O8042" t="s">
        <v>41250</v>
      </c>
      <c r="P8042">
        <v>0</v>
      </c>
      <c r="Q8042">
        <v>2</v>
      </c>
      <c r="R8042" t="s">
        <v>41258</v>
      </c>
      <c r="S8042" t="s">
        <v>41513</v>
      </c>
      <c r="T8042" t="s">
        <v>42786</v>
      </c>
      <c r="U8042" t="s">
        <v>49809</v>
      </c>
      <c r="W8042" t="s">
        <v>38460</v>
      </c>
      <c r="X8042" t="s">
        <v>41259</v>
      </c>
    </row>
    <row r="8043" spans="1:24">
      <c r="A8043">
        <f>HYPERLINK("https://www.philgeps.gov.ph/GEPSNONPILOT/Tender/SplashBidNoticeAbstractUI.aspx?menuIndex=3&amp;refID=7065573&amp;Result=3","7065573")</f>
        <v>0</v>
      </c>
      <c r="B8043" t="s">
        <v>2493</v>
      </c>
      <c r="C8043" t="s">
        <v>11053</v>
      </c>
      <c r="D8043" t="s">
        <v>16616</v>
      </c>
      <c r="E8043" t="s">
        <v>16807</v>
      </c>
      <c r="F8043" t="s">
        <v>28669</v>
      </c>
      <c r="G8043" t="s">
        <v>28675</v>
      </c>
      <c r="H8043" t="s">
        <v>9998</v>
      </c>
      <c r="I8043" t="s">
        <v>5286</v>
      </c>
      <c r="J8043" t="s">
        <v>33843</v>
      </c>
      <c r="K8043" t="s">
        <v>37220</v>
      </c>
      <c r="M8043" t="s">
        <v>40178</v>
      </c>
      <c r="N8043" t="s">
        <v>41249</v>
      </c>
      <c r="O8043" t="s">
        <v>41250</v>
      </c>
      <c r="P8043">
        <v>0</v>
      </c>
      <c r="Q8043">
        <v>2</v>
      </c>
      <c r="R8043" t="s">
        <v>41258</v>
      </c>
      <c r="S8043" t="s">
        <v>41513</v>
      </c>
      <c r="T8043" t="s">
        <v>42992</v>
      </c>
      <c r="U8043" t="s">
        <v>49810</v>
      </c>
      <c r="W8043" t="s">
        <v>40178</v>
      </c>
      <c r="X8043" t="s">
        <v>41259</v>
      </c>
    </row>
    <row r="8044" spans="1:24">
      <c r="A8044">
        <f>HYPERLINK("https://www.philgeps.gov.ph/GEPSNONPILOT/Tender/SplashBidNoticeAbstractUI.aspx?menuIndex=3&amp;refID=7065468&amp;Result=3","7065468")</f>
        <v>0</v>
      </c>
      <c r="B8044" t="s">
        <v>405</v>
      </c>
      <c r="C8044" t="s">
        <v>11054</v>
      </c>
      <c r="D8044" t="s">
        <v>16631</v>
      </c>
      <c r="E8044" t="s">
        <v>23754</v>
      </c>
      <c r="F8044" t="s">
        <v>28669</v>
      </c>
      <c r="G8044" t="s">
        <v>28679</v>
      </c>
      <c r="H8044" t="s">
        <v>9998</v>
      </c>
      <c r="I8044" t="s">
        <v>5286</v>
      </c>
      <c r="J8044" t="s">
        <v>33844</v>
      </c>
      <c r="K8044" t="s">
        <v>37205</v>
      </c>
      <c r="M8044" t="s">
        <v>38055</v>
      </c>
      <c r="N8044" t="s">
        <v>41249</v>
      </c>
      <c r="O8044" t="s">
        <v>41250</v>
      </c>
      <c r="P8044">
        <v>0</v>
      </c>
      <c r="Q8044">
        <v>1</v>
      </c>
      <c r="R8044" t="s">
        <v>41258</v>
      </c>
      <c r="S8044" t="s">
        <v>41513</v>
      </c>
      <c r="T8044" t="s">
        <v>42811</v>
      </c>
      <c r="U8044" t="s">
        <v>49811</v>
      </c>
      <c r="V8044" t="s">
        <v>45818</v>
      </c>
      <c r="W8044" t="s">
        <v>38055</v>
      </c>
      <c r="X8044" t="s">
        <v>41259</v>
      </c>
    </row>
    <row r="8045" spans="1:24">
      <c r="A8045">
        <f>HYPERLINK("https://www.philgeps.gov.ph/GEPSNONPILOT/Tender/SplashBidNoticeAbstractUI.aspx?menuIndex=3&amp;refID=7065503&amp;Result=3","7065503")</f>
        <v>0</v>
      </c>
      <c r="B8045" t="s">
        <v>965</v>
      </c>
      <c r="C8045" t="s">
        <v>11055</v>
      </c>
      <c r="D8045" t="s">
        <v>16608</v>
      </c>
      <c r="E8045" t="s">
        <v>23755</v>
      </c>
      <c r="F8045" t="s">
        <v>28669</v>
      </c>
      <c r="G8045" t="s">
        <v>28675</v>
      </c>
      <c r="H8045" t="s">
        <v>9998</v>
      </c>
      <c r="I8045" t="s">
        <v>6128</v>
      </c>
      <c r="J8045" t="s">
        <v>28878</v>
      </c>
      <c r="K8045" t="s">
        <v>37205</v>
      </c>
      <c r="M8045" t="s">
        <v>38759</v>
      </c>
      <c r="N8045" t="s">
        <v>41249</v>
      </c>
      <c r="O8045" t="s">
        <v>41250</v>
      </c>
      <c r="P8045">
        <v>0</v>
      </c>
      <c r="Q8045">
        <v>0</v>
      </c>
      <c r="R8045" t="s">
        <v>41258</v>
      </c>
      <c r="S8045" t="s">
        <v>41513</v>
      </c>
      <c r="T8045" t="s">
        <v>42728</v>
      </c>
      <c r="U8045" t="s">
        <v>44022</v>
      </c>
      <c r="W8045" t="s">
        <v>38759</v>
      </c>
      <c r="X8045" t="s">
        <v>41259</v>
      </c>
    </row>
    <row r="8046" spans="1:24">
      <c r="A8046">
        <f>HYPERLINK("https://www.philgeps.gov.ph/GEPSNONPILOT/Tender/SplashBidNoticeAbstractUI.aspx?menuIndex=3&amp;refID=7065568&amp;Result=3","7065568")</f>
        <v>0</v>
      </c>
      <c r="B8046" t="s">
        <v>2494</v>
      </c>
      <c r="C8046" t="s">
        <v>11056</v>
      </c>
      <c r="D8046" t="s">
        <v>16608</v>
      </c>
      <c r="E8046" t="s">
        <v>23756</v>
      </c>
      <c r="F8046" t="s">
        <v>28669</v>
      </c>
      <c r="G8046" t="s">
        <v>28675</v>
      </c>
      <c r="H8046" t="s">
        <v>9998</v>
      </c>
      <c r="I8046" t="s">
        <v>3679</v>
      </c>
      <c r="J8046" t="s">
        <v>29809</v>
      </c>
      <c r="K8046" t="s">
        <v>37243</v>
      </c>
      <c r="M8046" t="s">
        <v>40179</v>
      </c>
      <c r="N8046" t="s">
        <v>41249</v>
      </c>
      <c r="O8046" t="s">
        <v>41250</v>
      </c>
      <c r="P8046">
        <v>0</v>
      </c>
      <c r="Q8046">
        <v>0</v>
      </c>
      <c r="R8046" t="s">
        <v>41258</v>
      </c>
      <c r="S8046" t="s">
        <v>41513</v>
      </c>
      <c r="T8046" t="s">
        <v>42767</v>
      </c>
      <c r="U8046" t="s">
        <v>49812</v>
      </c>
      <c r="W8046" t="s">
        <v>40179</v>
      </c>
      <c r="X8046" t="s">
        <v>41259</v>
      </c>
    </row>
    <row r="8047" spans="1:24">
      <c r="A8047">
        <f>HYPERLINK("https://www.philgeps.gov.ph/GEPSNONPILOT/Tender/SplashBidNoticeAbstractUI.aspx?menuIndex=3&amp;refID=7065521&amp;Result=3","7065521")</f>
        <v>0</v>
      </c>
      <c r="B8047" t="s">
        <v>1353</v>
      </c>
      <c r="C8047" t="s">
        <v>11057</v>
      </c>
      <c r="D8047" t="s">
        <v>16627</v>
      </c>
      <c r="E8047" t="s">
        <v>23757</v>
      </c>
      <c r="F8047" t="s">
        <v>28669</v>
      </c>
      <c r="G8047" t="s">
        <v>28675</v>
      </c>
      <c r="H8047" t="s">
        <v>9998</v>
      </c>
      <c r="I8047" t="s">
        <v>28723</v>
      </c>
      <c r="J8047" t="s">
        <v>33845</v>
      </c>
      <c r="K8047" t="s">
        <v>37206</v>
      </c>
      <c r="M8047" t="s">
        <v>39576</v>
      </c>
      <c r="N8047" t="s">
        <v>41249</v>
      </c>
      <c r="O8047" t="s">
        <v>41250</v>
      </c>
      <c r="P8047">
        <v>0</v>
      </c>
      <c r="Q8047">
        <v>1</v>
      </c>
      <c r="R8047" t="s">
        <v>41258</v>
      </c>
      <c r="S8047" t="s">
        <v>41513</v>
      </c>
      <c r="T8047" t="s">
        <v>43062</v>
      </c>
      <c r="U8047" t="s">
        <v>49813</v>
      </c>
      <c r="W8047" t="s">
        <v>39576</v>
      </c>
      <c r="X8047" t="s">
        <v>41259</v>
      </c>
    </row>
    <row r="8048" spans="1:24">
      <c r="A8048">
        <f>HYPERLINK("https://www.philgeps.gov.ph/GEPSNONPILOT/Tender/SplashBidNoticeAbstractUI.aspx?menuIndex=3&amp;refID=7065565&amp;Result=3","7065565")</f>
        <v>0</v>
      </c>
      <c r="B8048" t="s">
        <v>2494</v>
      </c>
      <c r="C8048" t="s">
        <v>11058</v>
      </c>
      <c r="D8048" t="s">
        <v>16608</v>
      </c>
      <c r="E8048" t="s">
        <v>23758</v>
      </c>
      <c r="F8048" t="s">
        <v>28669</v>
      </c>
      <c r="G8048" t="s">
        <v>28675</v>
      </c>
      <c r="H8048" t="s">
        <v>9998</v>
      </c>
      <c r="I8048" t="s">
        <v>28711</v>
      </c>
      <c r="J8048" t="s">
        <v>28879</v>
      </c>
      <c r="K8048" t="s">
        <v>37243</v>
      </c>
      <c r="M8048" t="s">
        <v>40179</v>
      </c>
      <c r="N8048" t="s">
        <v>41249</v>
      </c>
      <c r="O8048" t="s">
        <v>41250</v>
      </c>
      <c r="P8048">
        <v>0</v>
      </c>
      <c r="Q8048">
        <v>3</v>
      </c>
      <c r="R8048" t="s">
        <v>41258</v>
      </c>
      <c r="S8048" t="s">
        <v>41513</v>
      </c>
      <c r="T8048" t="s">
        <v>42767</v>
      </c>
      <c r="U8048" t="s">
        <v>49812</v>
      </c>
      <c r="W8048" t="s">
        <v>40179</v>
      </c>
      <c r="X8048" t="s">
        <v>41259</v>
      </c>
    </row>
    <row r="8049" spans="1:24">
      <c r="A8049">
        <f>HYPERLINK("https://www.philgeps.gov.ph/GEPSNONPILOT/Tender/SplashBidNoticeAbstractUI.aspx?menuIndex=3&amp;refID=7065562&amp;Result=3","7065562")</f>
        <v>0</v>
      </c>
      <c r="B8049" t="s">
        <v>2495</v>
      </c>
      <c r="C8049" t="s">
        <v>11059</v>
      </c>
      <c r="D8049" t="s">
        <v>16663</v>
      </c>
      <c r="E8049" t="s">
        <v>23759</v>
      </c>
      <c r="F8049" t="s">
        <v>28669</v>
      </c>
      <c r="G8049" t="s">
        <v>28676</v>
      </c>
      <c r="H8049" t="s">
        <v>9998</v>
      </c>
      <c r="I8049" t="s">
        <v>3718</v>
      </c>
      <c r="J8049" t="s">
        <v>29600</v>
      </c>
      <c r="K8049" t="s">
        <v>37206</v>
      </c>
      <c r="M8049" t="s">
        <v>40180</v>
      </c>
      <c r="N8049" t="s">
        <v>41249</v>
      </c>
      <c r="O8049" t="s">
        <v>41250</v>
      </c>
      <c r="P8049">
        <v>0</v>
      </c>
      <c r="Q8049">
        <v>4</v>
      </c>
      <c r="R8049" t="s">
        <v>41258</v>
      </c>
      <c r="S8049" t="s">
        <v>41513</v>
      </c>
      <c r="T8049" t="s">
        <v>42711</v>
      </c>
      <c r="U8049" t="s">
        <v>49814</v>
      </c>
      <c r="W8049" t="s">
        <v>40180</v>
      </c>
      <c r="X8049" t="s">
        <v>41259</v>
      </c>
    </row>
    <row r="8050" spans="1:24">
      <c r="A8050">
        <f>HYPERLINK("https://www.philgeps.gov.ph/GEPSNONPILOT/Tender/SplashBidNoticeAbstractUI.aspx?menuIndex=3&amp;refID=7065560&amp;Result=3","7065560")</f>
        <v>0</v>
      </c>
      <c r="B8050" t="s">
        <v>965</v>
      </c>
      <c r="C8050" t="s">
        <v>11060</v>
      </c>
      <c r="D8050" t="s">
        <v>16608</v>
      </c>
      <c r="E8050" t="s">
        <v>23760</v>
      </c>
      <c r="F8050" t="s">
        <v>28669</v>
      </c>
      <c r="G8050" t="s">
        <v>28675</v>
      </c>
      <c r="H8050" t="s">
        <v>9998</v>
      </c>
      <c r="I8050" t="s">
        <v>6128</v>
      </c>
      <c r="J8050" t="s">
        <v>33846</v>
      </c>
      <c r="K8050" t="s">
        <v>37205</v>
      </c>
      <c r="M8050" t="s">
        <v>38759</v>
      </c>
      <c r="N8050" t="s">
        <v>41249</v>
      </c>
      <c r="O8050" t="s">
        <v>41250</v>
      </c>
      <c r="P8050">
        <v>0</v>
      </c>
      <c r="Q8050">
        <v>0</v>
      </c>
      <c r="R8050" t="s">
        <v>41258</v>
      </c>
      <c r="S8050" t="s">
        <v>41513</v>
      </c>
      <c r="T8050" t="s">
        <v>42728</v>
      </c>
      <c r="U8050" t="s">
        <v>44022</v>
      </c>
      <c r="W8050" t="s">
        <v>38759</v>
      </c>
      <c r="X8050" t="s">
        <v>41259</v>
      </c>
    </row>
    <row r="8051" spans="1:24">
      <c r="A8051">
        <f>HYPERLINK("https://www.philgeps.gov.ph/GEPSNONPILOT/Tender/SplashBidNoticeAbstractUI.aspx?menuIndex=3&amp;refID=7065558&amp;Result=3","7065558")</f>
        <v>0</v>
      </c>
      <c r="B8051" t="s">
        <v>965</v>
      </c>
      <c r="C8051" t="s">
        <v>11061</v>
      </c>
      <c r="D8051" t="s">
        <v>16608</v>
      </c>
      <c r="E8051" t="s">
        <v>23761</v>
      </c>
      <c r="F8051" t="s">
        <v>28669</v>
      </c>
      <c r="G8051" t="s">
        <v>28675</v>
      </c>
      <c r="H8051" t="s">
        <v>9998</v>
      </c>
      <c r="I8051" t="s">
        <v>6128</v>
      </c>
      <c r="J8051" t="s">
        <v>33847</v>
      </c>
      <c r="K8051" t="s">
        <v>37205</v>
      </c>
      <c r="M8051" t="s">
        <v>38759</v>
      </c>
      <c r="N8051" t="s">
        <v>41249</v>
      </c>
      <c r="O8051" t="s">
        <v>41250</v>
      </c>
      <c r="P8051">
        <v>0</v>
      </c>
      <c r="Q8051">
        <v>0</v>
      </c>
      <c r="R8051" t="s">
        <v>41258</v>
      </c>
      <c r="S8051" t="s">
        <v>41513</v>
      </c>
      <c r="T8051" t="s">
        <v>42728</v>
      </c>
      <c r="U8051" t="s">
        <v>44022</v>
      </c>
      <c r="W8051" t="s">
        <v>38759</v>
      </c>
      <c r="X8051" t="s">
        <v>41259</v>
      </c>
    </row>
    <row r="8052" spans="1:24">
      <c r="A8052">
        <f>HYPERLINK("https://www.philgeps.gov.ph/GEPSNONPILOT/Tender/SplashBidNoticeAbstractUI.aspx?menuIndex=3&amp;refID=7065572&amp;Result=3","7065572")</f>
        <v>0</v>
      </c>
      <c r="B8052" t="s">
        <v>2496</v>
      </c>
      <c r="C8052" t="s">
        <v>11062</v>
      </c>
      <c r="D8052" t="s">
        <v>16664</v>
      </c>
      <c r="E8052" t="s">
        <v>23762</v>
      </c>
      <c r="F8052" t="s">
        <v>28669</v>
      </c>
      <c r="G8052" t="s">
        <v>28675</v>
      </c>
      <c r="H8052" t="s">
        <v>9998</v>
      </c>
      <c r="I8052" t="s">
        <v>28688</v>
      </c>
      <c r="J8052" t="s">
        <v>33848</v>
      </c>
      <c r="K8052" t="s">
        <v>37205</v>
      </c>
      <c r="M8052" t="s">
        <v>40181</v>
      </c>
      <c r="N8052" t="s">
        <v>41249</v>
      </c>
      <c r="O8052" t="s">
        <v>41250</v>
      </c>
      <c r="P8052">
        <v>0</v>
      </c>
      <c r="Q8052">
        <v>3</v>
      </c>
      <c r="R8052" t="s">
        <v>41258</v>
      </c>
      <c r="S8052" t="s">
        <v>41513</v>
      </c>
      <c r="T8052" t="s">
        <v>42782</v>
      </c>
      <c r="U8052" t="s">
        <v>49815</v>
      </c>
      <c r="V8052" t="s">
        <v>55180</v>
      </c>
      <c r="W8052" t="s">
        <v>55998</v>
      </c>
      <c r="X8052" t="s">
        <v>41259</v>
      </c>
    </row>
    <row r="8053" spans="1:24">
      <c r="A8053">
        <f>HYPERLINK("https://www.philgeps.gov.ph/GEPSNONPILOT/Tender/SplashBidNoticeAbstractUI.aspx?menuIndex=3&amp;refID=7065553&amp;Result=3","7065553")</f>
        <v>0</v>
      </c>
      <c r="B8053" t="s">
        <v>2497</v>
      </c>
      <c r="C8053" t="s">
        <v>11063</v>
      </c>
      <c r="D8053" t="s">
        <v>16654</v>
      </c>
      <c r="E8053" t="s">
        <v>23763</v>
      </c>
      <c r="F8053" t="s">
        <v>28669</v>
      </c>
      <c r="G8053" t="s">
        <v>28676</v>
      </c>
      <c r="H8053" t="s">
        <v>9998</v>
      </c>
      <c r="I8053" t="s">
        <v>28688</v>
      </c>
      <c r="J8053" t="s">
        <v>30092</v>
      </c>
      <c r="K8053" t="s">
        <v>37205</v>
      </c>
      <c r="M8053" t="s">
        <v>40182</v>
      </c>
      <c r="N8053" t="s">
        <v>41249</v>
      </c>
      <c r="O8053" t="s">
        <v>41250</v>
      </c>
      <c r="P8053">
        <v>0</v>
      </c>
      <c r="Q8053">
        <v>0</v>
      </c>
      <c r="R8053" t="s">
        <v>41258</v>
      </c>
      <c r="S8053" t="s">
        <v>41513</v>
      </c>
      <c r="T8053" t="s">
        <v>42883</v>
      </c>
      <c r="U8053" t="s">
        <v>49816</v>
      </c>
      <c r="V8053" t="s">
        <v>55181</v>
      </c>
      <c r="W8053" t="s">
        <v>40182</v>
      </c>
      <c r="X8053" t="s">
        <v>41259</v>
      </c>
    </row>
    <row r="8054" spans="1:24">
      <c r="A8054">
        <f>HYPERLINK("https://www.philgeps.gov.ph/GEPSNONPILOT/Tender/SplashBidNoticeAbstractUI.aspx?menuIndex=3&amp;refID=7065353&amp;Result=3","7065353")</f>
        <v>0</v>
      </c>
      <c r="B8054" t="s">
        <v>1563</v>
      </c>
      <c r="C8054" t="s">
        <v>11064</v>
      </c>
      <c r="E8054" t="s">
        <v>23764</v>
      </c>
      <c r="F8054" t="s">
        <v>28669</v>
      </c>
      <c r="G8054" t="s">
        <v>28675</v>
      </c>
      <c r="H8054" t="s">
        <v>9998</v>
      </c>
      <c r="I8054" t="s">
        <v>28738</v>
      </c>
      <c r="J8054" t="s">
        <v>29203</v>
      </c>
      <c r="K8054" t="s">
        <v>37209</v>
      </c>
      <c r="M8054" t="s">
        <v>39141</v>
      </c>
      <c r="N8054" t="s">
        <v>41249</v>
      </c>
      <c r="O8054" t="s">
        <v>41250</v>
      </c>
      <c r="P8054">
        <v>0</v>
      </c>
      <c r="Q8054">
        <v>3</v>
      </c>
      <c r="R8054" t="s">
        <v>41258</v>
      </c>
      <c r="S8054" t="s">
        <v>41513</v>
      </c>
      <c r="T8054" t="s">
        <v>42728</v>
      </c>
      <c r="U8054" t="s">
        <v>49817</v>
      </c>
      <c r="W8054" t="s">
        <v>39141</v>
      </c>
      <c r="X8054" t="s">
        <v>41259</v>
      </c>
    </row>
    <row r="8055" spans="1:24">
      <c r="A8055">
        <f>HYPERLINK("https://www.philgeps.gov.ph/GEPSNONPILOT/Tender/SplashBidNoticeAbstractUI.aspx?menuIndex=3&amp;refID=7065566&amp;Result=3","7065566")</f>
        <v>0</v>
      </c>
      <c r="B8055" t="s">
        <v>1218</v>
      </c>
      <c r="C8055" t="s">
        <v>11065</v>
      </c>
      <c r="D8055" t="s">
        <v>16615</v>
      </c>
      <c r="E8055" t="s">
        <v>23765</v>
      </c>
      <c r="F8055" t="s">
        <v>28669</v>
      </c>
      <c r="G8055" t="s">
        <v>28675</v>
      </c>
      <c r="H8055" t="s">
        <v>9998</v>
      </c>
      <c r="I8055" t="s">
        <v>28713</v>
      </c>
      <c r="J8055" t="s">
        <v>33849</v>
      </c>
      <c r="K8055" t="s">
        <v>37209</v>
      </c>
      <c r="M8055" t="s">
        <v>38761</v>
      </c>
      <c r="N8055" t="s">
        <v>41249</v>
      </c>
      <c r="O8055" t="s">
        <v>41250</v>
      </c>
      <c r="P8055">
        <v>0</v>
      </c>
      <c r="Q8055">
        <v>13</v>
      </c>
      <c r="R8055" t="s">
        <v>41258</v>
      </c>
      <c r="S8055" t="s">
        <v>41513</v>
      </c>
      <c r="T8055" t="s">
        <v>43036</v>
      </c>
      <c r="U8055" t="s">
        <v>49818</v>
      </c>
      <c r="V8055" t="s">
        <v>55182</v>
      </c>
      <c r="W8055" t="s">
        <v>38761</v>
      </c>
      <c r="X8055" t="s">
        <v>41259</v>
      </c>
    </row>
    <row r="8056" spans="1:24">
      <c r="A8056">
        <f>HYPERLINK("https://www.philgeps.gov.ph/GEPSNONPILOT/Tender/SplashBidNoticeAbstractUI.aspx?menuIndex=3&amp;refID=7065552&amp;Result=3","7065552")</f>
        <v>0</v>
      </c>
      <c r="B8056" t="s">
        <v>1146</v>
      </c>
      <c r="C8056" t="s">
        <v>11066</v>
      </c>
      <c r="D8056" t="s">
        <v>16640</v>
      </c>
      <c r="E8056" t="s">
        <v>23766</v>
      </c>
      <c r="F8056" t="s">
        <v>28669</v>
      </c>
      <c r="G8056" t="s">
        <v>28676</v>
      </c>
      <c r="H8056" t="s">
        <v>9998</v>
      </c>
      <c r="I8056" t="s">
        <v>28702</v>
      </c>
      <c r="J8056" t="s">
        <v>33850</v>
      </c>
      <c r="K8056" t="s">
        <v>37209</v>
      </c>
      <c r="M8056" t="s">
        <v>39972</v>
      </c>
      <c r="N8056" t="s">
        <v>41249</v>
      </c>
      <c r="O8056" t="s">
        <v>41250</v>
      </c>
      <c r="P8056">
        <v>0</v>
      </c>
      <c r="Q8056">
        <v>1</v>
      </c>
      <c r="R8056" t="s">
        <v>41258</v>
      </c>
      <c r="S8056" t="s">
        <v>41513</v>
      </c>
      <c r="T8056" t="s">
        <v>42673</v>
      </c>
      <c r="U8056" t="s">
        <v>49135</v>
      </c>
      <c r="W8056" t="s">
        <v>39972</v>
      </c>
      <c r="X8056" t="s">
        <v>41259</v>
      </c>
    </row>
    <row r="8057" spans="1:24">
      <c r="A8057">
        <f>HYPERLINK("https://www.philgeps.gov.ph/GEPSNONPILOT/Tender/SplashBidNoticeAbstractUI.aspx?menuIndex=3&amp;refID=7065551&amp;Result=3","7065551")</f>
        <v>0</v>
      </c>
      <c r="B8057" t="s">
        <v>238</v>
      </c>
      <c r="C8057" t="s">
        <v>11067</v>
      </c>
      <c r="D8057" t="s">
        <v>16640</v>
      </c>
      <c r="E8057" t="s">
        <v>23767</v>
      </c>
      <c r="F8057" t="s">
        <v>28669</v>
      </c>
      <c r="G8057" t="s">
        <v>28675</v>
      </c>
      <c r="H8057" t="s">
        <v>28685</v>
      </c>
      <c r="I8057" t="s">
        <v>28685</v>
      </c>
      <c r="J8057" t="s">
        <v>28924</v>
      </c>
      <c r="K8057" t="s">
        <v>37209</v>
      </c>
      <c r="M8057" t="s">
        <v>37716</v>
      </c>
      <c r="N8057" t="s">
        <v>41249</v>
      </c>
      <c r="O8057" t="s">
        <v>41250</v>
      </c>
      <c r="P8057">
        <v>0</v>
      </c>
      <c r="Q8057">
        <v>4</v>
      </c>
      <c r="R8057" t="s">
        <v>41258</v>
      </c>
      <c r="S8057" t="s">
        <v>41513</v>
      </c>
      <c r="T8057" t="s">
        <v>42727</v>
      </c>
      <c r="U8057" t="s">
        <v>49819</v>
      </c>
      <c r="W8057" t="s">
        <v>37716</v>
      </c>
      <c r="X8057" t="s">
        <v>41259</v>
      </c>
    </row>
    <row r="8058" spans="1:24">
      <c r="A8058">
        <f>HYPERLINK("https://www.philgeps.gov.ph/GEPSNONPILOT/Tender/SplashBidNoticeAbstractUI.aspx?menuIndex=3&amp;refID=7065575&amp;Result=3","7065575")</f>
        <v>0</v>
      </c>
      <c r="B8058" t="s">
        <v>2492</v>
      </c>
      <c r="C8058" t="s">
        <v>11068</v>
      </c>
      <c r="D8058" t="s">
        <v>16658</v>
      </c>
      <c r="E8058" t="s">
        <v>23768</v>
      </c>
      <c r="F8058" t="s">
        <v>28669</v>
      </c>
      <c r="G8058" t="s">
        <v>28675</v>
      </c>
      <c r="H8058" t="s">
        <v>28686</v>
      </c>
      <c r="I8058" t="s">
        <v>28689</v>
      </c>
      <c r="J8058" t="s">
        <v>29033</v>
      </c>
      <c r="K8058" t="s">
        <v>37220</v>
      </c>
      <c r="M8058" t="s">
        <v>40177</v>
      </c>
      <c r="N8058" t="s">
        <v>41249</v>
      </c>
      <c r="O8058" t="s">
        <v>41250</v>
      </c>
      <c r="P8058">
        <v>0</v>
      </c>
      <c r="Q8058">
        <v>1</v>
      </c>
      <c r="R8058" t="s">
        <v>41258</v>
      </c>
      <c r="S8058" t="s">
        <v>41513</v>
      </c>
      <c r="T8058" t="s">
        <v>42739</v>
      </c>
      <c r="U8058" t="s">
        <v>49807</v>
      </c>
      <c r="W8058" t="s">
        <v>40177</v>
      </c>
      <c r="X8058" t="s">
        <v>41259</v>
      </c>
    </row>
    <row r="8059" spans="1:24">
      <c r="A8059">
        <f>HYPERLINK("https://www.philgeps.gov.ph/GEPSNONPILOT/Tender/SplashBidNoticeAbstractUI.aspx?menuIndex=3&amp;refID=7065548&amp;Result=3","7065548")</f>
        <v>0</v>
      </c>
      <c r="B8059" t="s">
        <v>454</v>
      </c>
      <c r="C8059" t="s">
        <v>11069</v>
      </c>
      <c r="D8059" t="s">
        <v>16632</v>
      </c>
      <c r="E8059" t="s">
        <v>21211</v>
      </c>
      <c r="F8059" t="s">
        <v>28669</v>
      </c>
      <c r="G8059" t="s">
        <v>28676</v>
      </c>
      <c r="H8059" t="s">
        <v>9998</v>
      </c>
      <c r="I8059" t="s">
        <v>6606</v>
      </c>
      <c r="J8059" t="s">
        <v>33851</v>
      </c>
      <c r="K8059" t="s">
        <v>37209</v>
      </c>
      <c r="M8059" t="s">
        <v>37942</v>
      </c>
      <c r="N8059" t="s">
        <v>41249</v>
      </c>
      <c r="O8059" t="s">
        <v>41250</v>
      </c>
      <c r="P8059">
        <v>0</v>
      </c>
      <c r="Q8059">
        <v>0</v>
      </c>
      <c r="R8059" t="s">
        <v>41258</v>
      </c>
      <c r="S8059" t="s">
        <v>41513</v>
      </c>
      <c r="T8059" t="s">
        <v>42758</v>
      </c>
      <c r="U8059" t="s">
        <v>48244</v>
      </c>
      <c r="W8059" t="s">
        <v>37942</v>
      </c>
      <c r="X8059" t="s">
        <v>41259</v>
      </c>
    </row>
    <row r="8060" spans="1:24">
      <c r="A8060">
        <f>HYPERLINK("https://www.philgeps.gov.ph/GEPSNONPILOT/Tender/SplashBidNoticeAbstractUI.aspx?menuIndex=3&amp;refID=7065547&amp;Result=3","7065547")</f>
        <v>0</v>
      </c>
      <c r="B8060" t="s">
        <v>965</v>
      </c>
      <c r="C8060" t="s">
        <v>11070</v>
      </c>
      <c r="D8060" t="s">
        <v>16608</v>
      </c>
      <c r="E8060" t="s">
        <v>23769</v>
      </c>
      <c r="F8060" t="s">
        <v>28669</v>
      </c>
      <c r="G8060" t="s">
        <v>28675</v>
      </c>
      <c r="H8060" t="s">
        <v>9998</v>
      </c>
      <c r="I8060" t="s">
        <v>6128</v>
      </c>
      <c r="J8060" t="s">
        <v>28826</v>
      </c>
      <c r="K8060" t="s">
        <v>37205</v>
      </c>
      <c r="M8060" t="s">
        <v>38759</v>
      </c>
      <c r="N8060" t="s">
        <v>41249</v>
      </c>
      <c r="O8060" t="s">
        <v>41250</v>
      </c>
      <c r="P8060">
        <v>0</v>
      </c>
      <c r="Q8060">
        <v>0</v>
      </c>
      <c r="R8060" t="s">
        <v>41258</v>
      </c>
      <c r="S8060" t="s">
        <v>41513</v>
      </c>
      <c r="T8060" t="s">
        <v>42728</v>
      </c>
      <c r="U8060" t="s">
        <v>44022</v>
      </c>
      <c r="W8060" t="s">
        <v>38759</v>
      </c>
      <c r="X8060" t="s">
        <v>41259</v>
      </c>
    </row>
    <row r="8061" spans="1:24">
      <c r="A8061">
        <f>HYPERLINK("https://www.philgeps.gov.ph/GEPSNONPILOT/Tender/SplashBidNoticeAbstractUI.aspx?menuIndex=3&amp;refID=7065631&amp;Result=3","7065631")</f>
        <v>0</v>
      </c>
      <c r="B8061" t="s">
        <v>2498</v>
      </c>
      <c r="C8061" t="s">
        <v>11071</v>
      </c>
      <c r="D8061" t="s">
        <v>16639</v>
      </c>
      <c r="E8061" t="s">
        <v>20435</v>
      </c>
      <c r="F8061" t="s">
        <v>28669</v>
      </c>
      <c r="G8061" t="s">
        <v>28675</v>
      </c>
      <c r="H8061" t="s">
        <v>9998</v>
      </c>
      <c r="I8061" t="s">
        <v>28695</v>
      </c>
      <c r="J8061" t="s">
        <v>33852</v>
      </c>
      <c r="K8061" t="s">
        <v>37205</v>
      </c>
      <c r="M8061" t="s">
        <v>40183</v>
      </c>
      <c r="N8061" t="s">
        <v>41249</v>
      </c>
      <c r="O8061" t="s">
        <v>41250</v>
      </c>
      <c r="P8061">
        <v>0</v>
      </c>
      <c r="Q8061">
        <v>1</v>
      </c>
      <c r="R8061" t="s">
        <v>41258</v>
      </c>
      <c r="S8061" t="s">
        <v>41513</v>
      </c>
      <c r="T8061" t="s">
        <v>42789</v>
      </c>
      <c r="U8061" t="s">
        <v>49820</v>
      </c>
      <c r="W8061" t="s">
        <v>40183</v>
      </c>
      <c r="X8061" t="s">
        <v>41259</v>
      </c>
    </row>
    <row r="8062" spans="1:24">
      <c r="A8062">
        <f>HYPERLINK("https://www.philgeps.gov.ph/GEPSNONPILOT/Tender/SplashBidNoticeAbstractUI.aspx?menuIndex=3&amp;refID=7065556&amp;Result=3","7065556")</f>
        <v>0</v>
      </c>
      <c r="B8062" t="s">
        <v>2494</v>
      </c>
      <c r="C8062" t="s">
        <v>11072</v>
      </c>
      <c r="E8062" t="s">
        <v>23770</v>
      </c>
      <c r="F8062" t="s">
        <v>28669</v>
      </c>
      <c r="G8062" t="s">
        <v>28675</v>
      </c>
      <c r="H8062" t="s">
        <v>9998</v>
      </c>
      <c r="I8062" t="s">
        <v>7352</v>
      </c>
      <c r="J8062" t="s">
        <v>28879</v>
      </c>
      <c r="K8062" t="s">
        <v>37243</v>
      </c>
      <c r="M8062" t="s">
        <v>40179</v>
      </c>
      <c r="N8062" t="s">
        <v>41249</v>
      </c>
      <c r="O8062" t="s">
        <v>41250</v>
      </c>
      <c r="P8062">
        <v>0</v>
      </c>
      <c r="Q8062">
        <v>0</v>
      </c>
      <c r="R8062" t="s">
        <v>41258</v>
      </c>
      <c r="S8062" t="s">
        <v>41513</v>
      </c>
      <c r="T8062" t="s">
        <v>42767</v>
      </c>
      <c r="U8062" t="s">
        <v>49812</v>
      </c>
      <c r="W8062" t="s">
        <v>40179</v>
      </c>
      <c r="X8062" t="s">
        <v>41259</v>
      </c>
    </row>
    <row r="8063" spans="1:24">
      <c r="A8063">
        <f>HYPERLINK("https://www.philgeps.gov.ph/GEPSNONPILOT/Tender/SplashBidNoticeAbstractUI.aspx?menuIndex=3&amp;refID=7065554&amp;Result=3","7065554")</f>
        <v>0</v>
      </c>
      <c r="B8063" t="s">
        <v>2171</v>
      </c>
      <c r="C8063" t="s">
        <v>11073</v>
      </c>
      <c r="D8063" t="s">
        <v>16621</v>
      </c>
      <c r="E8063" t="s">
        <v>23771</v>
      </c>
      <c r="F8063" t="s">
        <v>28669</v>
      </c>
      <c r="G8063" t="s">
        <v>28676</v>
      </c>
      <c r="H8063" t="s">
        <v>9998</v>
      </c>
      <c r="I8063" t="s">
        <v>28695</v>
      </c>
      <c r="J8063" t="s">
        <v>33853</v>
      </c>
      <c r="K8063" t="s">
        <v>37205</v>
      </c>
      <c r="M8063" t="s">
        <v>39820</v>
      </c>
      <c r="N8063" t="s">
        <v>41249</v>
      </c>
      <c r="O8063" t="s">
        <v>41250</v>
      </c>
      <c r="P8063">
        <v>0</v>
      </c>
      <c r="Q8063">
        <v>0</v>
      </c>
      <c r="R8063" t="s">
        <v>41258</v>
      </c>
      <c r="S8063" t="s">
        <v>41513</v>
      </c>
      <c r="T8063" t="s">
        <v>42764</v>
      </c>
      <c r="U8063" t="s">
        <v>49685</v>
      </c>
      <c r="W8063" t="s">
        <v>39820</v>
      </c>
      <c r="X8063" t="s">
        <v>41259</v>
      </c>
    </row>
    <row r="8064" spans="1:24">
      <c r="A8064">
        <f>HYPERLINK("https://www.philgeps.gov.ph/GEPSNONPILOT/Tender/SplashBidNoticeAbstractUI.aspx?menuIndex=3&amp;refID=7065655&amp;Result=3","7065655")</f>
        <v>0</v>
      </c>
      <c r="B8064" t="s">
        <v>577</v>
      </c>
      <c r="C8064" t="s">
        <v>11074</v>
      </c>
      <c r="D8064" t="s">
        <v>16626</v>
      </c>
      <c r="E8064" t="s">
        <v>23772</v>
      </c>
      <c r="F8064" t="s">
        <v>28669</v>
      </c>
      <c r="G8064" t="s">
        <v>28675</v>
      </c>
      <c r="H8064" t="s">
        <v>28686</v>
      </c>
      <c r="I8064" t="s">
        <v>28689</v>
      </c>
      <c r="J8064" t="s">
        <v>33854</v>
      </c>
      <c r="K8064" t="s">
        <v>37209</v>
      </c>
      <c r="M8064" t="s">
        <v>40184</v>
      </c>
      <c r="N8064" t="s">
        <v>41249</v>
      </c>
      <c r="O8064" t="s">
        <v>41250</v>
      </c>
      <c r="P8064">
        <v>0</v>
      </c>
      <c r="Q8064">
        <v>5</v>
      </c>
      <c r="R8064" t="s">
        <v>41258</v>
      </c>
      <c r="S8064" t="s">
        <v>41513</v>
      </c>
      <c r="T8064" t="s">
        <v>42808</v>
      </c>
      <c r="U8064" t="s">
        <v>49821</v>
      </c>
      <c r="W8064" t="s">
        <v>40184</v>
      </c>
      <c r="X8064" t="s">
        <v>41259</v>
      </c>
    </row>
    <row r="8065" spans="1:24">
      <c r="A8065">
        <f>HYPERLINK("https://www.philgeps.gov.ph/GEPSNONPILOT/Tender/SplashBidNoticeAbstractUI.aspx?menuIndex=3&amp;refID=7065641&amp;Result=3","7065641")</f>
        <v>0</v>
      </c>
      <c r="B8065" t="s">
        <v>338</v>
      </c>
      <c r="C8065" t="s">
        <v>11075</v>
      </c>
      <c r="D8065" t="s">
        <v>16671</v>
      </c>
      <c r="E8065" t="s">
        <v>23773</v>
      </c>
      <c r="F8065" t="s">
        <v>28669</v>
      </c>
      <c r="G8065" t="s">
        <v>28675</v>
      </c>
      <c r="H8065" t="s">
        <v>28686</v>
      </c>
      <c r="I8065" t="s">
        <v>28689</v>
      </c>
      <c r="J8065" t="s">
        <v>33855</v>
      </c>
      <c r="K8065" t="s">
        <v>37233</v>
      </c>
      <c r="M8065" t="s">
        <v>37818</v>
      </c>
      <c r="N8065" t="s">
        <v>41249</v>
      </c>
      <c r="O8065" t="s">
        <v>41250</v>
      </c>
      <c r="P8065">
        <v>0</v>
      </c>
      <c r="Q8065">
        <v>0</v>
      </c>
      <c r="R8065" t="s">
        <v>41258</v>
      </c>
      <c r="S8065" t="s">
        <v>41513</v>
      </c>
      <c r="T8065" t="s">
        <v>42786</v>
      </c>
      <c r="U8065" t="s">
        <v>49822</v>
      </c>
      <c r="W8065" t="s">
        <v>37818</v>
      </c>
      <c r="X8065" t="s">
        <v>41259</v>
      </c>
    </row>
    <row r="8066" spans="1:24">
      <c r="A8066">
        <f>HYPERLINK("https://www.philgeps.gov.ph/GEPSNONPILOT/Tender/SplashBidNoticeAbstractUI.aspx?menuIndex=3&amp;refID=7065545&amp;Result=3","7065545")</f>
        <v>0</v>
      </c>
      <c r="B8066" t="s">
        <v>965</v>
      </c>
      <c r="C8066" t="s">
        <v>11076</v>
      </c>
      <c r="D8066" t="s">
        <v>16608</v>
      </c>
      <c r="E8066" t="s">
        <v>23774</v>
      </c>
      <c r="F8066" t="s">
        <v>28669</v>
      </c>
      <c r="G8066" t="s">
        <v>28675</v>
      </c>
      <c r="H8066" t="s">
        <v>9998</v>
      </c>
      <c r="I8066" t="s">
        <v>6128</v>
      </c>
      <c r="J8066" t="s">
        <v>33856</v>
      </c>
      <c r="K8066" t="s">
        <v>37205</v>
      </c>
      <c r="M8066" t="s">
        <v>38759</v>
      </c>
      <c r="N8066" t="s">
        <v>41249</v>
      </c>
      <c r="O8066" t="s">
        <v>41250</v>
      </c>
      <c r="P8066">
        <v>0</v>
      </c>
      <c r="Q8066">
        <v>0</v>
      </c>
      <c r="R8066" t="s">
        <v>41258</v>
      </c>
      <c r="S8066" t="s">
        <v>41513</v>
      </c>
      <c r="T8066" t="s">
        <v>42728</v>
      </c>
      <c r="U8066" t="s">
        <v>44022</v>
      </c>
      <c r="W8066" t="s">
        <v>38759</v>
      </c>
      <c r="X8066" t="s">
        <v>41259</v>
      </c>
    </row>
    <row r="8067" spans="1:24">
      <c r="A8067">
        <f>HYPERLINK("https://www.philgeps.gov.ph/GEPSNONPILOT/Tender/SplashBidNoticeAbstractUI.aspx?menuIndex=3&amp;refID=7065567&amp;Result=3","7065567")</f>
        <v>0</v>
      </c>
      <c r="B8067" t="s">
        <v>965</v>
      </c>
      <c r="C8067" t="s">
        <v>11077</v>
      </c>
      <c r="D8067" t="s">
        <v>16608</v>
      </c>
      <c r="E8067" t="s">
        <v>23775</v>
      </c>
      <c r="F8067" t="s">
        <v>28669</v>
      </c>
      <c r="G8067" t="s">
        <v>28675</v>
      </c>
      <c r="H8067" t="s">
        <v>9998</v>
      </c>
      <c r="I8067" t="s">
        <v>15140</v>
      </c>
      <c r="J8067" t="s">
        <v>33857</v>
      </c>
      <c r="K8067" t="s">
        <v>37205</v>
      </c>
      <c r="M8067" t="s">
        <v>38759</v>
      </c>
      <c r="N8067" t="s">
        <v>41249</v>
      </c>
      <c r="O8067" t="s">
        <v>41250</v>
      </c>
      <c r="P8067">
        <v>0</v>
      </c>
      <c r="Q8067">
        <v>0</v>
      </c>
      <c r="R8067" t="s">
        <v>41258</v>
      </c>
      <c r="S8067" t="s">
        <v>41513</v>
      </c>
      <c r="T8067" t="s">
        <v>42728</v>
      </c>
      <c r="U8067" t="s">
        <v>45990</v>
      </c>
      <c r="W8067" t="s">
        <v>38759</v>
      </c>
      <c r="X8067" t="s">
        <v>41259</v>
      </c>
    </row>
    <row r="8068" spans="1:24">
      <c r="A8068">
        <f>HYPERLINK("https://www.philgeps.gov.ph/GEPSNONPILOT/Tender/SplashBidNoticeAbstractUI.aspx?menuIndex=3&amp;refID=7065625&amp;Result=3","7065625")</f>
        <v>0</v>
      </c>
      <c r="B8068" t="s">
        <v>1944</v>
      </c>
      <c r="C8068" t="s">
        <v>11078</v>
      </c>
      <c r="D8068" t="s">
        <v>16668</v>
      </c>
      <c r="E8068" t="s">
        <v>23216</v>
      </c>
      <c r="F8068" t="s">
        <v>28669</v>
      </c>
      <c r="G8068" t="s">
        <v>28675</v>
      </c>
      <c r="H8068" t="s">
        <v>28686</v>
      </c>
      <c r="I8068" t="s">
        <v>28689</v>
      </c>
      <c r="J8068" t="s">
        <v>33858</v>
      </c>
      <c r="K8068" t="s">
        <v>37205</v>
      </c>
      <c r="M8068" t="s">
        <v>39572</v>
      </c>
      <c r="N8068" t="s">
        <v>41249</v>
      </c>
      <c r="O8068" t="s">
        <v>41250</v>
      </c>
      <c r="P8068">
        <v>0</v>
      </c>
      <c r="Q8068">
        <v>0</v>
      </c>
      <c r="R8068" t="s">
        <v>41258</v>
      </c>
      <c r="S8068" t="s">
        <v>41513</v>
      </c>
      <c r="T8068" t="s">
        <v>42770</v>
      </c>
      <c r="U8068" t="s">
        <v>49823</v>
      </c>
      <c r="W8068" t="s">
        <v>39572</v>
      </c>
      <c r="X8068" t="s">
        <v>41259</v>
      </c>
    </row>
    <row r="8069" spans="1:24">
      <c r="A8069">
        <f>HYPERLINK("https://www.philgeps.gov.ph/GEPSNONPILOT/Tender/SplashBidNoticeAbstractUI.aspx?menuIndex=3&amp;refID=7065622&amp;Result=3","7065622")</f>
        <v>0</v>
      </c>
      <c r="B8069" t="s">
        <v>299</v>
      </c>
      <c r="C8069" t="s">
        <v>11079</v>
      </c>
      <c r="D8069" t="s">
        <v>16639</v>
      </c>
      <c r="E8069" t="s">
        <v>23776</v>
      </c>
      <c r="F8069" t="s">
        <v>28669</v>
      </c>
      <c r="G8069" t="s">
        <v>28675</v>
      </c>
      <c r="H8069" t="s">
        <v>9998</v>
      </c>
      <c r="I8069" t="s">
        <v>28770</v>
      </c>
      <c r="J8069" t="s">
        <v>29134</v>
      </c>
      <c r="K8069" t="s">
        <v>37205</v>
      </c>
      <c r="M8069" t="s">
        <v>37778</v>
      </c>
      <c r="N8069" t="s">
        <v>41249</v>
      </c>
      <c r="O8069" t="s">
        <v>41250</v>
      </c>
      <c r="P8069">
        <v>0</v>
      </c>
      <c r="Q8069">
        <v>1</v>
      </c>
      <c r="R8069" t="s">
        <v>41258</v>
      </c>
      <c r="S8069" t="s">
        <v>41513</v>
      </c>
      <c r="T8069" t="s">
        <v>42727</v>
      </c>
      <c r="U8069" t="s">
        <v>49824</v>
      </c>
      <c r="W8069" t="s">
        <v>37778</v>
      </c>
      <c r="X8069" t="s">
        <v>41259</v>
      </c>
    </row>
    <row r="8070" spans="1:24">
      <c r="A8070">
        <f>HYPERLINK("https://www.philgeps.gov.ph/GEPSNONPILOT/Tender/SplashBidNoticeAbstractUI.aspx?menuIndex=3&amp;refID=7065644&amp;Result=3","7065644")</f>
        <v>0</v>
      </c>
      <c r="B8070" t="s">
        <v>2481</v>
      </c>
      <c r="C8070" t="s">
        <v>11080</v>
      </c>
      <c r="D8070" t="s">
        <v>16643</v>
      </c>
      <c r="E8070" t="s">
        <v>23777</v>
      </c>
      <c r="F8070" t="s">
        <v>28669</v>
      </c>
      <c r="G8070" t="s">
        <v>28677</v>
      </c>
      <c r="H8070" t="s">
        <v>9998</v>
      </c>
      <c r="I8070" t="s">
        <v>7352</v>
      </c>
      <c r="J8070" t="s">
        <v>33859</v>
      </c>
      <c r="K8070" t="s">
        <v>37205</v>
      </c>
      <c r="M8070" t="s">
        <v>40164</v>
      </c>
      <c r="N8070" t="s">
        <v>41249</v>
      </c>
      <c r="O8070" t="s">
        <v>41250</v>
      </c>
      <c r="P8070">
        <v>0</v>
      </c>
      <c r="Q8070">
        <v>3</v>
      </c>
      <c r="R8070" t="s">
        <v>41258</v>
      </c>
      <c r="S8070" t="s">
        <v>41513</v>
      </c>
      <c r="T8070" t="s">
        <v>42681</v>
      </c>
      <c r="U8070" t="s">
        <v>49825</v>
      </c>
      <c r="W8070" t="s">
        <v>40164</v>
      </c>
      <c r="X8070" t="s">
        <v>41259</v>
      </c>
    </row>
    <row r="8071" spans="1:24">
      <c r="A8071">
        <f>HYPERLINK("https://www.philgeps.gov.ph/GEPSNONPILOT/Tender/SplashBidNoticeAbstractUI.aspx?menuIndex=3&amp;refID=7065621&amp;Result=3","7065621")</f>
        <v>0</v>
      </c>
      <c r="B8071" t="s">
        <v>2496</v>
      </c>
      <c r="C8071" t="s">
        <v>11081</v>
      </c>
      <c r="D8071" t="s">
        <v>16664</v>
      </c>
      <c r="E8071" t="s">
        <v>23778</v>
      </c>
      <c r="F8071" t="s">
        <v>28669</v>
      </c>
      <c r="G8071" t="s">
        <v>28675</v>
      </c>
      <c r="H8071" t="s">
        <v>9998</v>
      </c>
      <c r="I8071" t="s">
        <v>7352</v>
      </c>
      <c r="J8071" t="s">
        <v>33860</v>
      </c>
      <c r="K8071" t="s">
        <v>37221</v>
      </c>
      <c r="M8071" t="s">
        <v>40181</v>
      </c>
      <c r="N8071" t="s">
        <v>41249</v>
      </c>
      <c r="O8071" t="s">
        <v>41250</v>
      </c>
      <c r="P8071">
        <v>0</v>
      </c>
      <c r="Q8071">
        <v>1</v>
      </c>
      <c r="R8071" t="s">
        <v>41258</v>
      </c>
      <c r="S8071" t="s">
        <v>41513</v>
      </c>
      <c r="T8071" t="s">
        <v>42782</v>
      </c>
      <c r="U8071" t="s">
        <v>49826</v>
      </c>
      <c r="V8071" t="s">
        <v>54252</v>
      </c>
      <c r="W8071" t="s">
        <v>55998</v>
      </c>
      <c r="X8071" t="s">
        <v>41259</v>
      </c>
    </row>
    <row r="8072" spans="1:24">
      <c r="A8072">
        <f>HYPERLINK("https://www.philgeps.gov.ph/GEPSNONPILOT/Tender/SplashBidNoticeAbstractUI.aspx?menuIndex=3&amp;refID=7065609&amp;Result=3","7065609")</f>
        <v>0</v>
      </c>
      <c r="B8072" t="s">
        <v>2499</v>
      </c>
      <c r="C8072" t="s">
        <v>11082</v>
      </c>
      <c r="D8072" t="s">
        <v>16634</v>
      </c>
      <c r="E8072" t="s">
        <v>19888</v>
      </c>
      <c r="F8072" t="s">
        <v>28669</v>
      </c>
      <c r="G8072" t="s">
        <v>28679</v>
      </c>
      <c r="H8072" t="s">
        <v>28686</v>
      </c>
      <c r="I8072" t="s">
        <v>28697</v>
      </c>
      <c r="J8072" t="s">
        <v>33861</v>
      </c>
      <c r="K8072" t="s">
        <v>37211</v>
      </c>
      <c r="M8072" t="s">
        <v>40185</v>
      </c>
      <c r="N8072" t="s">
        <v>41249</v>
      </c>
      <c r="O8072" t="s">
        <v>41250</v>
      </c>
      <c r="P8072">
        <v>0</v>
      </c>
      <c r="Q8072">
        <v>0</v>
      </c>
      <c r="R8072" t="s">
        <v>41258</v>
      </c>
      <c r="S8072" t="s">
        <v>41513</v>
      </c>
      <c r="T8072" t="s">
        <v>42743</v>
      </c>
      <c r="U8072" t="s">
        <v>49827</v>
      </c>
      <c r="W8072" t="s">
        <v>40185</v>
      </c>
      <c r="X8072" t="s">
        <v>41259</v>
      </c>
    </row>
    <row r="8073" spans="1:24">
      <c r="A8073">
        <f>HYPERLINK("https://www.philgeps.gov.ph/GEPSNONPILOT/Tender/SplashBidNoticeAbstractUI.aspx?menuIndex=3&amp;refID=7065598&amp;Result=3","7065598")</f>
        <v>0</v>
      </c>
      <c r="B8073" t="s">
        <v>2481</v>
      </c>
      <c r="C8073" t="s">
        <v>11083</v>
      </c>
      <c r="D8073" t="s">
        <v>16643</v>
      </c>
      <c r="E8073" t="s">
        <v>23779</v>
      </c>
      <c r="F8073" t="s">
        <v>28669</v>
      </c>
      <c r="G8073" t="s">
        <v>28676</v>
      </c>
      <c r="H8073" t="s">
        <v>9998</v>
      </c>
      <c r="I8073" t="s">
        <v>7352</v>
      </c>
      <c r="J8073" t="s">
        <v>33862</v>
      </c>
      <c r="K8073" t="s">
        <v>37205</v>
      </c>
      <c r="M8073" t="s">
        <v>40164</v>
      </c>
      <c r="N8073" t="s">
        <v>41249</v>
      </c>
      <c r="O8073" t="s">
        <v>41250</v>
      </c>
      <c r="P8073">
        <v>0</v>
      </c>
      <c r="Q8073">
        <v>3</v>
      </c>
      <c r="R8073" t="s">
        <v>41258</v>
      </c>
      <c r="S8073" t="s">
        <v>41513</v>
      </c>
      <c r="T8073" t="s">
        <v>42681</v>
      </c>
      <c r="U8073" t="s">
        <v>49828</v>
      </c>
      <c r="W8073" t="s">
        <v>40164</v>
      </c>
      <c r="X8073" t="s">
        <v>41259</v>
      </c>
    </row>
    <row r="8074" spans="1:24">
      <c r="A8074">
        <f>HYPERLINK("https://www.philgeps.gov.ph/GEPSNONPILOT/Tender/SplashBidNoticeAbstractUI.aspx?menuIndex=3&amp;refID=7065627&amp;Result=3","7065627")</f>
        <v>0</v>
      </c>
      <c r="B8074" t="s">
        <v>648</v>
      </c>
      <c r="C8074" t="s">
        <v>11084</v>
      </c>
      <c r="D8074" t="s">
        <v>16648</v>
      </c>
      <c r="E8074" t="s">
        <v>23780</v>
      </c>
      <c r="F8074" t="s">
        <v>28669</v>
      </c>
      <c r="G8074" t="s">
        <v>28676</v>
      </c>
      <c r="H8074" t="s">
        <v>9998</v>
      </c>
      <c r="I8074" t="s">
        <v>7352</v>
      </c>
      <c r="J8074" t="s">
        <v>33863</v>
      </c>
      <c r="K8074" t="s">
        <v>37210</v>
      </c>
      <c r="M8074" t="s">
        <v>38149</v>
      </c>
      <c r="N8074" t="s">
        <v>41249</v>
      </c>
      <c r="O8074" t="s">
        <v>41250</v>
      </c>
      <c r="P8074">
        <v>0</v>
      </c>
      <c r="Q8074">
        <v>0</v>
      </c>
      <c r="R8074" t="s">
        <v>41258</v>
      </c>
      <c r="S8074" t="s">
        <v>41513</v>
      </c>
      <c r="T8074" t="s">
        <v>42727</v>
      </c>
      <c r="U8074" t="s">
        <v>49829</v>
      </c>
      <c r="W8074" t="s">
        <v>38149</v>
      </c>
      <c r="X8074" t="s">
        <v>41259</v>
      </c>
    </row>
    <row r="8075" spans="1:24">
      <c r="A8075">
        <f>HYPERLINK("https://www.philgeps.gov.ph/GEPSNONPILOT/Tender/SplashBidNoticeAbstractUI.aspx?menuIndex=3&amp;refID=7065592&amp;Result=3","7065592")</f>
        <v>0</v>
      </c>
      <c r="B8075" t="s">
        <v>2445</v>
      </c>
      <c r="C8075" t="s">
        <v>11085</v>
      </c>
      <c r="D8075" t="s">
        <v>16669</v>
      </c>
      <c r="E8075" t="s">
        <v>23781</v>
      </c>
      <c r="F8075" t="s">
        <v>28669</v>
      </c>
      <c r="G8075" t="s">
        <v>28675</v>
      </c>
      <c r="H8075" t="s">
        <v>9998</v>
      </c>
      <c r="I8075" t="s">
        <v>15140</v>
      </c>
      <c r="J8075" t="s">
        <v>30333</v>
      </c>
      <c r="K8075" t="s">
        <v>37204</v>
      </c>
      <c r="M8075" t="s">
        <v>40128</v>
      </c>
      <c r="N8075" t="s">
        <v>41249</v>
      </c>
      <c r="O8075" t="s">
        <v>41250</v>
      </c>
      <c r="P8075">
        <v>0</v>
      </c>
      <c r="Q8075">
        <v>3</v>
      </c>
      <c r="R8075" t="s">
        <v>41258</v>
      </c>
      <c r="S8075" t="s">
        <v>41513</v>
      </c>
      <c r="T8075" t="s">
        <v>42755</v>
      </c>
      <c r="U8075" t="s">
        <v>49690</v>
      </c>
      <c r="W8075" t="s">
        <v>40128</v>
      </c>
      <c r="X8075" t="s">
        <v>41259</v>
      </c>
    </row>
    <row r="8076" spans="1:24">
      <c r="A8076">
        <f>HYPERLINK("https://www.philgeps.gov.ph/GEPSNONPILOT/Tender/SplashBidNoticeAbstractUI.aspx?menuIndex=3&amp;refID=7065706&amp;Result=3","7065706")</f>
        <v>0</v>
      </c>
      <c r="B8076" t="s">
        <v>2481</v>
      </c>
      <c r="C8076" t="s">
        <v>11086</v>
      </c>
      <c r="D8076" t="s">
        <v>16643</v>
      </c>
      <c r="E8076" t="s">
        <v>23782</v>
      </c>
      <c r="F8076" t="s">
        <v>28669</v>
      </c>
      <c r="G8076" t="s">
        <v>28677</v>
      </c>
      <c r="H8076" t="s">
        <v>9998</v>
      </c>
      <c r="I8076" t="s">
        <v>7352</v>
      </c>
      <c r="J8076" t="s">
        <v>33864</v>
      </c>
      <c r="K8076" t="s">
        <v>37205</v>
      </c>
      <c r="M8076" t="s">
        <v>40164</v>
      </c>
      <c r="N8076" t="s">
        <v>41249</v>
      </c>
      <c r="O8076" t="s">
        <v>41250</v>
      </c>
      <c r="P8076">
        <v>0</v>
      </c>
      <c r="Q8076">
        <v>1</v>
      </c>
      <c r="R8076" t="s">
        <v>41258</v>
      </c>
      <c r="S8076" t="s">
        <v>41513</v>
      </c>
      <c r="T8076" t="s">
        <v>42681</v>
      </c>
      <c r="U8076" t="s">
        <v>49830</v>
      </c>
      <c r="W8076" t="s">
        <v>40164</v>
      </c>
      <c r="X8076" t="s">
        <v>41259</v>
      </c>
    </row>
    <row r="8077" spans="1:24">
      <c r="A8077">
        <f>HYPERLINK("https://www.philgeps.gov.ph/GEPSNONPILOT/Tender/SplashBidNoticeAbstractUI.aspx?menuIndex=3&amp;refID=7065563&amp;Result=3","7065563")</f>
        <v>0</v>
      </c>
      <c r="B8077" t="s">
        <v>2494</v>
      </c>
      <c r="C8077" t="s">
        <v>11087</v>
      </c>
      <c r="D8077" t="s">
        <v>16608</v>
      </c>
      <c r="E8077" t="s">
        <v>23783</v>
      </c>
      <c r="F8077" t="s">
        <v>28669</v>
      </c>
      <c r="G8077" t="s">
        <v>28675</v>
      </c>
      <c r="H8077" t="s">
        <v>9998</v>
      </c>
      <c r="I8077" t="s">
        <v>5286</v>
      </c>
      <c r="J8077" t="s">
        <v>28878</v>
      </c>
      <c r="K8077" t="s">
        <v>37243</v>
      </c>
      <c r="M8077" t="s">
        <v>40179</v>
      </c>
      <c r="N8077" t="s">
        <v>41249</v>
      </c>
      <c r="O8077" t="s">
        <v>41250</v>
      </c>
      <c r="P8077">
        <v>0</v>
      </c>
      <c r="Q8077">
        <v>9</v>
      </c>
      <c r="R8077" t="s">
        <v>41258</v>
      </c>
      <c r="S8077" t="s">
        <v>41513</v>
      </c>
      <c r="T8077" t="s">
        <v>42767</v>
      </c>
      <c r="U8077" t="s">
        <v>49812</v>
      </c>
      <c r="W8077" t="s">
        <v>40179</v>
      </c>
      <c r="X8077" t="s">
        <v>41259</v>
      </c>
    </row>
    <row r="8078" spans="1:24">
      <c r="A8078">
        <f>HYPERLINK("https://www.philgeps.gov.ph/GEPSNONPILOT/Tender/SplashBidNoticeAbstractUI.aspx?menuIndex=3&amp;refID=7065647&amp;Result=3","7065647")</f>
        <v>0</v>
      </c>
      <c r="B8078" t="s">
        <v>2500</v>
      </c>
      <c r="C8078" t="s">
        <v>11088</v>
      </c>
      <c r="E8078" t="s">
        <v>23784</v>
      </c>
      <c r="F8078" t="s">
        <v>28669</v>
      </c>
      <c r="G8078" t="s">
        <v>28675</v>
      </c>
      <c r="H8078" t="s">
        <v>9998</v>
      </c>
      <c r="I8078" t="s">
        <v>7352</v>
      </c>
      <c r="J8078" t="s">
        <v>33865</v>
      </c>
      <c r="K8078" t="s">
        <v>37209</v>
      </c>
      <c r="M8078" t="s">
        <v>40186</v>
      </c>
      <c r="N8078" t="s">
        <v>41249</v>
      </c>
      <c r="O8078" t="s">
        <v>41250</v>
      </c>
      <c r="P8078">
        <v>0</v>
      </c>
      <c r="Q8078">
        <v>0</v>
      </c>
      <c r="R8078" t="s">
        <v>41258</v>
      </c>
      <c r="S8078" t="s">
        <v>41513</v>
      </c>
      <c r="T8078" t="s">
        <v>42727</v>
      </c>
      <c r="U8078" t="s">
        <v>49831</v>
      </c>
      <c r="W8078" t="s">
        <v>40186</v>
      </c>
      <c r="X8078" t="s">
        <v>41259</v>
      </c>
    </row>
    <row r="8079" spans="1:24">
      <c r="A8079">
        <f>HYPERLINK("https://www.philgeps.gov.ph/GEPSNONPILOT/Tender/SplashBidNoticeAbstractUI.aspx?menuIndex=3&amp;refID=7065705&amp;Result=3","7065705")</f>
        <v>0</v>
      </c>
      <c r="B8079" t="s">
        <v>136</v>
      </c>
      <c r="C8079" t="s">
        <v>11089</v>
      </c>
      <c r="D8079" t="s">
        <v>16642</v>
      </c>
      <c r="E8079" t="s">
        <v>23785</v>
      </c>
      <c r="F8079" t="s">
        <v>28669</v>
      </c>
      <c r="G8079" t="s">
        <v>28676</v>
      </c>
      <c r="H8079" t="s">
        <v>9998</v>
      </c>
      <c r="I8079" t="s">
        <v>28743</v>
      </c>
      <c r="J8079" t="s">
        <v>31380</v>
      </c>
      <c r="K8079" t="s">
        <v>37216</v>
      </c>
      <c r="M8079" t="s">
        <v>37613</v>
      </c>
      <c r="N8079" t="s">
        <v>41249</v>
      </c>
      <c r="O8079" t="s">
        <v>41250</v>
      </c>
      <c r="P8079">
        <v>0</v>
      </c>
      <c r="Q8079">
        <v>1</v>
      </c>
      <c r="R8079" t="s">
        <v>41258</v>
      </c>
      <c r="S8079" t="s">
        <v>41513</v>
      </c>
      <c r="T8079" t="s">
        <v>42766</v>
      </c>
      <c r="U8079" t="s">
        <v>49832</v>
      </c>
      <c r="V8079" t="s">
        <v>54313</v>
      </c>
      <c r="W8079" t="s">
        <v>55905</v>
      </c>
      <c r="X8079" t="s">
        <v>41259</v>
      </c>
    </row>
    <row r="8080" spans="1:24">
      <c r="A8080">
        <f>HYPERLINK("https://www.philgeps.gov.ph/GEPSNONPILOT/Tender/SplashBidNoticeAbstractUI.aspx?menuIndex=3&amp;refID=7065697&amp;Result=3","7065697")</f>
        <v>0</v>
      </c>
      <c r="B8080" t="s">
        <v>2473</v>
      </c>
      <c r="C8080" t="s">
        <v>11090</v>
      </c>
      <c r="D8080" t="s">
        <v>16642</v>
      </c>
      <c r="E8080" t="s">
        <v>23786</v>
      </c>
      <c r="F8080" t="s">
        <v>28669</v>
      </c>
      <c r="G8080" t="s">
        <v>28677</v>
      </c>
      <c r="H8080" t="s">
        <v>9998</v>
      </c>
      <c r="I8080" t="s">
        <v>28690</v>
      </c>
      <c r="J8080" t="s">
        <v>33866</v>
      </c>
      <c r="K8080" t="s">
        <v>37205</v>
      </c>
      <c r="M8080" t="s">
        <v>40156</v>
      </c>
      <c r="N8080" t="s">
        <v>41249</v>
      </c>
      <c r="O8080" t="s">
        <v>41250</v>
      </c>
      <c r="P8080">
        <v>0</v>
      </c>
      <c r="Q8080">
        <v>7</v>
      </c>
      <c r="R8080" t="s">
        <v>41258</v>
      </c>
      <c r="S8080" t="s">
        <v>41513</v>
      </c>
      <c r="T8080" t="s">
        <v>42727</v>
      </c>
      <c r="U8080" t="s">
        <v>49833</v>
      </c>
      <c r="V8080" t="s">
        <v>55183</v>
      </c>
      <c r="W8080" t="s">
        <v>40156</v>
      </c>
      <c r="X8080" t="s">
        <v>41259</v>
      </c>
    </row>
    <row r="8081" spans="1:24">
      <c r="A8081">
        <f>HYPERLINK("https://www.philgeps.gov.ph/GEPSNONPILOT/Tender/SplashBidNoticeAbstractUI.aspx?menuIndex=3&amp;refID=7065691&amp;Result=3","7065691")</f>
        <v>0</v>
      </c>
      <c r="B8081" t="s">
        <v>356</v>
      </c>
      <c r="C8081" t="s">
        <v>11091</v>
      </c>
      <c r="D8081" t="s">
        <v>16639</v>
      </c>
      <c r="E8081" t="s">
        <v>23787</v>
      </c>
      <c r="F8081" t="s">
        <v>28669</v>
      </c>
      <c r="G8081" t="s">
        <v>28675</v>
      </c>
      <c r="H8081" t="s">
        <v>9998</v>
      </c>
      <c r="I8081" t="s">
        <v>28760</v>
      </c>
      <c r="J8081" t="s">
        <v>28924</v>
      </c>
      <c r="K8081" t="s">
        <v>37299</v>
      </c>
      <c r="M8081" t="s">
        <v>37837</v>
      </c>
      <c r="N8081" t="s">
        <v>41249</v>
      </c>
      <c r="O8081" t="s">
        <v>41250</v>
      </c>
      <c r="P8081">
        <v>0</v>
      </c>
      <c r="Q8081">
        <v>3</v>
      </c>
      <c r="R8081" t="s">
        <v>41258</v>
      </c>
      <c r="S8081" t="s">
        <v>41513</v>
      </c>
      <c r="T8081" t="s">
        <v>42839</v>
      </c>
      <c r="U8081" t="s">
        <v>49834</v>
      </c>
      <c r="V8081" t="s">
        <v>54340</v>
      </c>
      <c r="W8081" t="s">
        <v>37837</v>
      </c>
      <c r="X8081" t="s">
        <v>41259</v>
      </c>
    </row>
    <row r="8082" spans="1:24">
      <c r="A8082">
        <f>HYPERLINK("https://www.philgeps.gov.ph/GEPSNONPILOT/Tender/SplashBidNoticeAbstractUI.aspx?menuIndex=3&amp;refID=7065689&amp;Result=3","7065689")</f>
        <v>0</v>
      </c>
      <c r="B8082" t="s">
        <v>2501</v>
      </c>
      <c r="C8082" t="s">
        <v>11092</v>
      </c>
      <c r="D8082" t="s">
        <v>16679</v>
      </c>
      <c r="E8082" t="s">
        <v>16877</v>
      </c>
      <c r="F8082" t="s">
        <v>28669</v>
      </c>
      <c r="G8082" t="s">
        <v>28675</v>
      </c>
      <c r="H8082" t="s">
        <v>9998</v>
      </c>
      <c r="I8082" t="s">
        <v>7352</v>
      </c>
      <c r="J8082" t="s">
        <v>33867</v>
      </c>
      <c r="K8082" t="s">
        <v>37210</v>
      </c>
      <c r="M8082" t="s">
        <v>40187</v>
      </c>
      <c r="N8082" t="s">
        <v>41249</v>
      </c>
      <c r="O8082" t="s">
        <v>41250</v>
      </c>
      <c r="P8082">
        <v>0</v>
      </c>
      <c r="Q8082">
        <v>0</v>
      </c>
      <c r="R8082" t="s">
        <v>41258</v>
      </c>
      <c r="S8082" t="s">
        <v>41513</v>
      </c>
      <c r="T8082" t="s">
        <v>42727</v>
      </c>
      <c r="U8082" t="s">
        <v>45711</v>
      </c>
      <c r="V8082" t="s">
        <v>54602</v>
      </c>
      <c r="W8082" t="s">
        <v>40187</v>
      </c>
      <c r="X8082" t="s">
        <v>41259</v>
      </c>
    </row>
    <row r="8083" spans="1:24">
      <c r="A8083">
        <f>HYPERLINK("https://www.philgeps.gov.ph/GEPSNONPILOT/Tender/SplashBidNoticeAbstractUI.aspx?menuIndex=3&amp;refID=7065608&amp;Result=3","7065608")</f>
        <v>0</v>
      </c>
      <c r="B8083" t="s">
        <v>2502</v>
      </c>
      <c r="C8083" t="s">
        <v>11093</v>
      </c>
      <c r="D8083" t="s">
        <v>16611</v>
      </c>
      <c r="E8083" t="s">
        <v>23788</v>
      </c>
      <c r="F8083" t="s">
        <v>28669</v>
      </c>
      <c r="G8083" t="s">
        <v>28675</v>
      </c>
      <c r="H8083" t="s">
        <v>28686</v>
      </c>
      <c r="I8083" t="s">
        <v>28696</v>
      </c>
      <c r="J8083" t="s">
        <v>28924</v>
      </c>
      <c r="K8083" t="s">
        <v>37250</v>
      </c>
      <c r="M8083" t="s">
        <v>40188</v>
      </c>
      <c r="N8083" t="s">
        <v>41249</v>
      </c>
      <c r="O8083" t="s">
        <v>41250</v>
      </c>
      <c r="P8083">
        <v>0</v>
      </c>
      <c r="Q8083">
        <v>3</v>
      </c>
      <c r="R8083" t="s">
        <v>41258</v>
      </c>
      <c r="S8083" t="s">
        <v>41513</v>
      </c>
      <c r="T8083" t="s">
        <v>42703</v>
      </c>
      <c r="U8083" t="s">
        <v>49835</v>
      </c>
      <c r="W8083" t="s">
        <v>40188</v>
      </c>
      <c r="X8083" t="s">
        <v>41259</v>
      </c>
    </row>
    <row r="8084" spans="1:24">
      <c r="A8084">
        <f>HYPERLINK("https://www.philgeps.gov.ph/GEPSNONPILOT/Tender/SplashBidNoticeAbstractUI.aspx?menuIndex=3&amp;refID=7065688&amp;Result=3","7065688")</f>
        <v>0</v>
      </c>
      <c r="B8084" t="s">
        <v>2503</v>
      </c>
      <c r="C8084" t="s">
        <v>11094</v>
      </c>
      <c r="D8084" t="s">
        <v>16667</v>
      </c>
      <c r="E8084" t="s">
        <v>23789</v>
      </c>
      <c r="F8084" t="s">
        <v>28669</v>
      </c>
      <c r="G8084" t="s">
        <v>28675</v>
      </c>
      <c r="H8084" t="s">
        <v>9998</v>
      </c>
      <c r="I8084" t="s">
        <v>28695</v>
      </c>
      <c r="J8084" t="s">
        <v>33868</v>
      </c>
      <c r="K8084" t="s">
        <v>37206</v>
      </c>
      <c r="M8084" t="s">
        <v>40189</v>
      </c>
      <c r="N8084" t="s">
        <v>41249</v>
      </c>
      <c r="O8084" t="s">
        <v>41250</v>
      </c>
      <c r="P8084">
        <v>0</v>
      </c>
      <c r="Q8084">
        <v>0</v>
      </c>
      <c r="R8084" t="s">
        <v>41258</v>
      </c>
      <c r="S8084" t="s">
        <v>41513</v>
      </c>
      <c r="T8084" t="s">
        <v>42682</v>
      </c>
      <c r="U8084" t="s">
        <v>49836</v>
      </c>
      <c r="V8084" t="s">
        <v>54289</v>
      </c>
      <c r="W8084" t="s">
        <v>40189</v>
      </c>
      <c r="X8084" t="s">
        <v>41259</v>
      </c>
    </row>
    <row r="8085" spans="1:24">
      <c r="A8085">
        <f>HYPERLINK("https://www.philgeps.gov.ph/GEPSNONPILOT/Tender/SplashBidNoticeAbstractUI.aspx?menuIndex=3&amp;refID=7065680&amp;Result=3","7065680")</f>
        <v>0</v>
      </c>
      <c r="B8085" t="s">
        <v>942</v>
      </c>
      <c r="C8085" t="s">
        <v>11095</v>
      </c>
      <c r="D8085" t="s">
        <v>16620</v>
      </c>
      <c r="E8085" t="s">
        <v>23790</v>
      </c>
      <c r="F8085" t="s">
        <v>28669</v>
      </c>
      <c r="G8085" t="s">
        <v>28675</v>
      </c>
      <c r="H8085" t="s">
        <v>9998</v>
      </c>
      <c r="I8085" t="s">
        <v>28708</v>
      </c>
      <c r="J8085" t="s">
        <v>33869</v>
      </c>
      <c r="K8085" t="s">
        <v>37205</v>
      </c>
      <c r="M8085" t="s">
        <v>38465</v>
      </c>
      <c r="N8085" t="s">
        <v>41249</v>
      </c>
      <c r="O8085" t="s">
        <v>41250</v>
      </c>
      <c r="P8085">
        <v>0</v>
      </c>
      <c r="Q8085">
        <v>1</v>
      </c>
      <c r="R8085" t="s">
        <v>41258</v>
      </c>
      <c r="S8085" t="s">
        <v>41513</v>
      </c>
      <c r="T8085" t="s">
        <v>42767</v>
      </c>
      <c r="U8085" t="s">
        <v>49837</v>
      </c>
      <c r="W8085" t="s">
        <v>38465</v>
      </c>
      <c r="X8085" t="s">
        <v>41259</v>
      </c>
    </row>
    <row r="8086" spans="1:24">
      <c r="A8086">
        <f>HYPERLINK("https://www.philgeps.gov.ph/GEPSNONPILOT/Tender/SplashBidNoticeAbstractUI.aspx?menuIndex=3&amp;refID=7065597&amp;Result=3","7065597")</f>
        <v>0</v>
      </c>
      <c r="B8086" t="s">
        <v>812</v>
      </c>
      <c r="C8086" t="s">
        <v>11096</v>
      </c>
      <c r="D8086" t="s">
        <v>16658</v>
      </c>
      <c r="E8086" t="s">
        <v>23791</v>
      </c>
      <c r="F8086" t="s">
        <v>28669</v>
      </c>
      <c r="G8086" t="s">
        <v>28675</v>
      </c>
      <c r="H8086" t="s">
        <v>28686</v>
      </c>
      <c r="I8086" t="s">
        <v>28689</v>
      </c>
      <c r="J8086" t="s">
        <v>33870</v>
      </c>
      <c r="K8086" t="s">
        <v>37220</v>
      </c>
      <c r="M8086" t="s">
        <v>38327</v>
      </c>
      <c r="N8086" t="s">
        <v>41249</v>
      </c>
      <c r="O8086" t="s">
        <v>41250</v>
      </c>
      <c r="P8086">
        <v>0</v>
      </c>
      <c r="Q8086">
        <v>0</v>
      </c>
      <c r="R8086" t="s">
        <v>41258</v>
      </c>
      <c r="S8086" t="s">
        <v>41513</v>
      </c>
      <c r="T8086" t="s">
        <v>42782</v>
      </c>
      <c r="U8086" t="s">
        <v>49838</v>
      </c>
      <c r="W8086" t="s">
        <v>38327</v>
      </c>
      <c r="X8086" t="s">
        <v>41259</v>
      </c>
    </row>
    <row r="8087" spans="1:24">
      <c r="A8087">
        <f>HYPERLINK("https://www.philgeps.gov.ph/GEPSNONPILOT/Tender/SplashBidNoticeAbstractUI.aspx?menuIndex=3&amp;refID=7065671&amp;Result=3","7065671")</f>
        <v>0</v>
      </c>
      <c r="B8087" t="s">
        <v>2504</v>
      </c>
      <c r="C8087" t="s">
        <v>11097</v>
      </c>
      <c r="D8087" t="s">
        <v>16621</v>
      </c>
      <c r="E8087" t="s">
        <v>23792</v>
      </c>
      <c r="F8087" t="s">
        <v>28669</v>
      </c>
      <c r="G8087" t="s">
        <v>28675</v>
      </c>
      <c r="H8087" t="s">
        <v>28686</v>
      </c>
      <c r="I8087" t="s">
        <v>28689</v>
      </c>
      <c r="J8087" t="s">
        <v>33871</v>
      </c>
      <c r="K8087" t="s">
        <v>37213</v>
      </c>
      <c r="M8087" t="s">
        <v>40190</v>
      </c>
      <c r="N8087" t="s">
        <v>41249</v>
      </c>
      <c r="O8087" t="s">
        <v>41250</v>
      </c>
      <c r="P8087">
        <v>0</v>
      </c>
      <c r="Q8087">
        <v>1</v>
      </c>
      <c r="R8087" t="s">
        <v>41258</v>
      </c>
      <c r="S8087" t="s">
        <v>41513</v>
      </c>
      <c r="T8087" t="s">
        <v>42760</v>
      </c>
      <c r="U8087" t="s">
        <v>49839</v>
      </c>
      <c r="W8087" t="s">
        <v>40190</v>
      </c>
      <c r="X8087" t="s">
        <v>41259</v>
      </c>
    </row>
    <row r="8088" spans="1:24">
      <c r="A8088">
        <f>HYPERLINK("https://www.philgeps.gov.ph/GEPSNONPILOT/Tender/SplashBidNoticeAbstractUI.aspx?menuIndex=3&amp;refID=7065626&amp;Result=3","7065626")</f>
        <v>0</v>
      </c>
      <c r="B8088" t="s">
        <v>2505</v>
      </c>
      <c r="C8088" t="s">
        <v>11098</v>
      </c>
      <c r="D8088" t="s">
        <v>16679</v>
      </c>
      <c r="E8088" t="s">
        <v>21222</v>
      </c>
      <c r="F8088" t="s">
        <v>28669</v>
      </c>
      <c r="G8088" t="s">
        <v>28679</v>
      </c>
      <c r="H8088" t="s">
        <v>9998</v>
      </c>
      <c r="I8088" t="s">
        <v>7352</v>
      </c>
      <c r="J8088" t="s">
        <v>33872</v>
      </c>
      <c r="K8088" t="s">
        <v>37210</v>
      </c>
      <c r="M8088" t="s">
        <v>40191</v>
      </c>
      <c r="N8088" t="s">
        <v>41249</v>
      </c>
      <c r="O8088" t="s">
        <v>41250</v>
      </c>
      <c r="P8088">
        <v>0</v>
      </c>
      <c r="Q8088">
        <v>0</v>
      </c>
      <c r="R8088" t="s">
        <v>41258</v>
      </c>
      <c r="S8088" t="s">
        <v>41513</v>
      </c>
      <c r="T8088" t="s">
        <v>42727</v>
      </c>
      <c r="U8088" t="s">
        <v>45711</v>
      </c>
      <c r="V8088" t="s">
        <v>54602</v>
      </c>
      <c r="W8088" t="s">
        <v>40191</v>
      </c>
      <c r="X8088" t="s">
        <v>41259</v>
      </c>
    </row>
    <row r="8089" spans="1:24">
      <c r="A8089">
        <f>HYPERLINK("https://www.philgeps.gov.ph/GEPSNONPILOT/Tender/SplashBidNoticeAbstractUI.aspx?menuIndex=3&amp;refID=7065670&amp;Result=3","7065670")</f>
        <v>0</v>
      </c>
      <c r="B8089" t="s">
        <v>648</v>
      </c>
      <c r="C8089" t="s">
        <v>11099</v>
      </c>
      <c r="D8089" t="s">
        <v>16648</v>
      </c>
      <c r="E8089" t="s">
        <v>23793</v>
      </c>
      <c r="F8089" t="s">
        <v>28669</v>
      </c>
      <c r="G8089" t="s">
        <v>28675</v>
      </c>
      <c r="H8089" t="s">
        <v>9998</v>
      </c>
      <c r="I8089" t="s">
        <v>7352</v>
      </c>
      <c r="J8089" t="s">
        <v>29404</v>
      </c>
      <c r="K8089" t="s">
        <v>37210</v>
      </c>
      <c r="M8089" t="s">
        <v>38149</v>
      </c>
      <c r="N8089" t="s">
        <v>41249</v>
      </c>
      <c r="O8089" t="s">
        <v>41250</v>
      </c>
      <c r="P8089">
        <v>0</v>
      </c>
      <c r="Q8089">
        <v>0</v>
      </c>
      <c r="R8089" t="s">
        <v>41258</v>
      </c>
      <c r="S8089" t="s">
        <v>41513</v>
      </c>
      <c r="T8089" t="s">
        <v>42727</v>
      </c>
      <c r="U8089" t="s">
        <v>49840</v>
      </c>
      <c r="W8089" t="s">
        <v>38149</v>
      </c>
      <c r="X8089" t="s">
        <v>41259</v>
      </c>
    </row>
    <row r="8090" spans="1:24">
      <c r="A8090">
        <f>HYPERLINK("https://www.philgeps.gov.ph/GEPSNONPILOT/Tender/SplashBidNoticeAbstractUI.aspx?menuIndex=3&amp;refID=7065668&amp;Result=3","7065668")</f>
        <v>0</v>
      </c>
      <c r="B8090" t="s">
        <v>1170</v>
      </c>
      <c r="C8090" t="s">
        <v>11100</v>
      </c>
      <c r="D8090" t="s">
        <v>16664</v>
      </c>
      <c r="E8090" t="s">
        <v>23794</v>
      </c>
      <c r="F8090" t="s">
        <v>28669</v>
      </c>
      <c r="G8090" t="s">
        <v>28675</v>
      </c>
      <c r="H8090" t="s">
        <v>9998</v>
      </c>
      <c r="I8090" t="s">
        <v>6606</v>
      </c>
      <c r="J8090" t="s">
        <v>29035</v>
      </c>
      <c r="K8090" t="s">
        <v>37326</v>
      </c>
      <c r="M8090" t="s">
        <v>38709</v>
      </c>
      <c r="N8090" t="s">
        <v>41249</v>
      </c>
      <c r="O8090" t="s">
        <v>41250</v>
      </c>
      <c r="P8090">
        <v>0</v>
      </c>
      <c r="Q8090">
        <v>0</v>
      </c>
      <c r="R8090" t="s">
        <v>41258</v>
      </c>
      <c r="S8090" t="s">
        <v>41513</v>
      </c>
      <c r="T8090" t="s">
        <v>43041</v>
      </c>
      <c r="U8090" t="s">
        <v>49841</v>
      </c>
      <c r="W8090" t="s">
        <v>38709</v>
      </c>
      <c r="X8090" t="s">
        <v>41259</v>
      </c>
    </row>
    <row r="8091" spans="1:24">
      <c r="A8091">
        <f>HYPERLINK("https://www.philgeps.gov.ph/GEPSNONPILOT/Tender/SplashBidNoticeAbstractUI.aspx?menuIndex=3&amp;refID=7065665&amp;Result=3","7065665")</f>
        <v>0</v>
      </c>
      <c r="B8091" t="s">
        <v>258</v>
      </c>
      <c r="C8091" t="s">
        <v>11101</v>
      </c>
      <c r="D8091" t="s">
        <v>16673</v>
      </c>
      <c r="E8091" t="s">
        <v>23795</v>
      </c>
      <c r="F8091" t="s">
        <v>28669</v>
      </c>
      <c r="G8091" t="s">
        <v>28676</v>
      </c>
      <c r="H8091" t="s">
        <v>28686</v>
      </c>
      <c r="I8091" t="s">
        <v>28725</v>
      </c>
      <c r="J8091" t="s">
        <v>33873</v>
      </c>
      <c r="K8091" t="s">
        <v>37220</v>
      </c>
      <c r="M8091" t="s">
        <v>37736</v>
      </c>
      <c r="N8091" t="s">
        <v>41249</v>
      </c>
      <c r="O8091" t="s">
        <v>41250</v>
      </c>
      <c r="P8091">
        <v>0</v>
      </c>
      <c r="Q8091">
        <v>6</v>
      </c>
      <c r="R8091" t="s">
        <v>41258</v>
      </c>
      <c r="S8091" t="s">
        <v>41513</v>
      </c>
      <c r="T8091" t="s">
        <v>42727</v>
      </c>
      <c r="U8091" t="s">
        <v>49842</v>
      </c>
      <c r="W8091" t="s">
        <v>37736</v>
      </c>
      <c r="X8091" t="s">
        <v>41259</v>
      </c>
    </row>
    <row r="8092" spans="1:24">
      <c r="A8092">
        <f>HYPERLINK("https://www.philgeps.gov.ph/GEPSNONPILOT/Tender/SplashBidNoticeAbstractUI.aspx?menuIndex=3&amp;refID=7065677&amp;Result=3","7065677")</f>
        <v>0</v>
      </c>
      <c r="B8092" t="s">
        <v>1137</v>
      </c>
      <c r="C8092" t="s">
        <v>11102</v>
      </c>
      <c r="D8092" t="s">
        <v>16615</v>
      </c>
      <c r="E8092" t="s">
        <v>19646</v>
      </c>
      <c r="F8092" t="s">
        <v>28669</v>
      </c>
      <c r="G8092" t="s">
        <v>28676</v>
      </c>
      <c r="H8092" t="s">
        <v>28684</v>
      </c>
      <c r="I8092" t="s">
        <v>28777</v>
      </c>
      <c r="J8092" t="s">
        <v>33874</v>
      </c>
      <c r="K8092" t="s">
        <v>37206</v>
      </c>
      <c r="M8092" t="s">
        <v>40192</v>
      </c>
      <c r="N8092" t="s">
        <v>41249</v>
      </c>
      <c r="O8092" t="s">
        <v>41250</v>
      </c>
      <c r="P8092">
        <v>0</v>
      </c>
      <c r="Q8092">
        <v>1</v>
      </c>
      <c r="R8092" t="s">
        <v>41258</v>
      </c>
      <c r="S8092" t="s">
        <v>41513</v>
      </c>
      <c r="T8092" t="s">
        <v>42748</v>
      </c>
      <c r="U8092" t="s">
        <v>49843</v>
      </c>
      <c r="V8092" t="s">
        <v>55184</v>
      </c>
      <c r="W8092" t="s">
        <v>40192</v>
      </c>
      <c r="X8092" t="s">
        <v>41259</v>
      </c>
    </row>
    <row r="8093" spans="1:24">
      <c r="A8093">
        <f>HYPERLINK("https://www.philgeps.gov.ph/GEPSNONPILOT/Tender/SplashBidNoticeAbstractUI.aspx?menuIndex=3&amp;refID=7065664&amp;Result=3","7065664")</f>
        <v>0</v>
      </c>
      <c r="B8093" t="s">
        <v>1212</v>
      </c>
      <c r="C8093" t="s">
        <v>11103</v>
      </c>
      <c r="D8093" t="s">
        <v>16678</v>
      </c>
      <c r="E8093" t="s">
        <v>23796</v>
      </c>
      <c r="F8093" t="s">
        <v>28669</v>
      </c>
      <c r="G8093" t="s">
        <v>28675</v>
      </c>
      <c r="H8093" t="s">
        <v>9998</v>
      </c>
      <c r="I8093" t="s">
        <v>28774</v>
      </c>
      <c r="J8093" t="s">
        <v>29104</v>
      </c>
      <c r="K8093" t="s">
        <v>37209</v>
      </c>
      <c r="M8093" t="s">
        <v>39476</v>
      </c>
      <c r="N8093" t="s">
        <v>41249</v>
      </c>
      <c r="O8093" t="s">
        <v>41250</v>
      </c>
      <c r="P8093">
        <v>0</v>
      </c>
      <c r="Q8093">
        <v>1</v>
      </c>
      <c r="R8093" t="s">
        <v>41258</v>
      </c>
      <c r="S8093" t="s">
        <v>41513</v>
      </c>
      <c r="T8093" t="s">
        <v>42837</v>
      </c>
      <c r="U8093" t="s">
        <v>49844</v>
      </c>
      <c r="V8093" t="s">
        <v>55185</v>
      </c>
      <c r="W8093" t="s">
        <v>39476</v>
      </c>
      <c r="X8093" t="s">
        <v>41259</v>
      </c>
    </row>
    <row r="8094" spans="1:24">
      <c r="A8094">
        <f>HYPERLINK("https://www.philgeps.gov.ph/GEPSNONPILOT/Tender/SplashBidNoticeAbstractUI.aspx?menuIndex=3&amp;refID=7065669&amp;Result=3","7065669")</f>
        <v>0</v>
      </c>
      <c r="B8094" t="s">
        <v>965</v>
      </c>
      <c r="C8094" t="s">
        <v>11104</v>
      </c>
      <c r="D8094" t="s">
        <v>16608</v>
      </c>
      <c r="E8094" t="s">
        <v>23797</v>
      </c>
      <c r="F8094" t="s">
        <v>28669</v>
      </c>
      <c r="G8094" t="s">
        <v>28675</v>
      </c>
      <c r="H8094" t="s">
        <v>9998</v>
      </c>
      <c r="I8094" t="s">
        <v>15140</v>
      </c>
      <c r="J8094" t="s">
        <v>33875</v>
      </c>
      <c r="K8094" t="s">
        <v>37205</v>
      </c>
      <c r="M8094" t="s">
        <v>38759</v>
      </c>
      <c r="N8094" t="s">
        <v>41249</v>
      </c>
      <c r="O8094" t="s">
        <v>41250</v>
      </c>
      <c r="P8094">
        <v>0</v>
      </c>
      <c r="Q8094">
        <v>0</v>
      </c>
      <c r="R8094" t="s">
        <v>41258</v>
      </c>
      <c r="S8094" t="s">
        <v>41513</v>
      </c>
      <c r="T8094" t="s">
        <v>42728</v>
      </c>
      <c r="U8094" t="s">
        <v>45990</v>
      </c>
      <c r="W8094" t="s">
        <v>38759</v>
      </c>
      <c r="X8094" t="s">
        <v>41259</v>
      </c>
    </row>
    <row r="8095" spans="1:24">
      <c r="A8095">
        <f>HYPERLINK("https://www.philgeps.gov.ph/GEPSNONPILOT/Tender/SplashBidNoticeAbstractUI.aspx?menuIndex=3&amp;refID=7065662&amp;Result=3","7065662")</f>
        <v>0</v>
      </c>
      <c r="B8095" t="s">
        <v>356</v>
      </c>
      <c r="C8095" t="s">
        <v>11105</v>
      </c>
      <c r="D8095" t="s">
        <v>16639</v>
      </c>
      <c r="E8095" t="s">
        <v>23798</v>
      </c>
      <c r="F8095" t="s">
        <v>28669</v>
      </c>
      <c r="G8095" t="s">
        <v>28675</v>
      </c>
      <c r="H8095" t="s">
        <v>9998</v>
      </c>
      <c r="I8095" t="s">
        <v>28760</v>
      </c>
      <c r="J8095" t="s">
        <v>29003</v>
      </c>
      <c r="K8095" t="s">
        <v>37327</v>
      </c>
      <c r="M8095" t="s">
        <v>37837</v>
      </c>
      <c r="N8095" t="s">
        <v>41249</v>
      </c>
      <c r="O8095" t="s">
        <v>41250</v>
      </c>
      <c r="P8095">
        <v>0</v>
      </c>
      <c r="Q8095">
        <v>1</v>
      </c>
      <c r="R8095" t="s">
        <v>41258</v>
      </c>
      <c r="S8095" t="s">
        <v>41513</v>
      </c>
      <c r="T8095" t="s">
        <v>42839</v>
      </c>
      <c r="U8095" t="s">
        <v>49845</v>
      </c>
      <c r="V8095" t="s">
        <v>54340</v>
      </c>
      <c r="W8095" t="s">
        <v>37837</v>
      </c>
      <c r="X8095" t="s">
        <v>41259</v>
      </c>
    </row>
    <row r="8096" spans="1:24">
      <c r="A8096">
        <f>HYPERLINK("https://www.philgeps.gov.ph/GEPSNONPILOT/Tender/SplashBidNoticeAbstractUI.aspx?menuIndex=3&amp;refID=7065658&amp;Result=3","7065658")</f>
        <v>0</v>
      </c>
      <c r="B8096" t="s">
        <v>2445</v>
      </c>
      <c r="C8096" t="s">
        <v>11106</v>
      </c>
      <c r="D8096" t="s">
        <v>16669</v>
      </c>
      <c r="E8096" t="s">
        <v>23799</v>
      </c>
      <c r="F8096" t="s">
        <v>28669</v>
      </c>
      <c r="G8096" t="s">
        <v>28675</v>
      </c>
      <c r="H8096" t="s">
        <v>9998</v>
      </c>
      <c r="I8096" t="s">
        <v>28751</v>
      </c>
      <c r="J8096" t="s">
        <v>33876</v>
      </c>
      <c r="K8096" t="s">
        <v>37204</v>
      </c>
      <c r="M8096" t="s">
        <v>40128</v>
      </c>
      <c r="N8096" t="s">
        <v>41249</v>
      </c>
      <c r="O8096" t="s">
        <v>41250</v>
      </c>
      <c r="P8096">
        <v>0</v>
      </c>
      <c r="Q8096">
        <v>5</v>
      </c>
      <c r="R8096" t="s">
        <v>41258</v>
      </c>
      <c r="S8096" t="s">
        <v>41513</v>
      </c>
      <c r="T8096" t="s">
        <v>42755</v>
      </c>
      <c r="U8096" t="s">
        <v>49690</v>
      </c>
      <c r="W8096" t="s">
        <v>40128</v>
      </c>
      <c r="X8096" t="s">
        <v>41259</v>
      </c>
    </row>
    <row r="8097" spans="1:24">
      <c r="A8097">
        <f>HYPERLINK("https://www.philgeps.gov.ph/GEPSNONPILOT/Tender/SplashBidNoticeAbstractUI.aspx?menuIndex=3&amp;refID=7065587&amp;Result=3","7065587")</f>
        <v>0</v>
      </c>
      <c r="B8097" t="s">
        <v>2506</v>
      </c>
      <c r="C8097" t="s">
        <v>11107</v>
      </c>
      <c r="D8097" t="s">
        <v>16621</v>
      </c>
      <c r="E8097" t="s">
        <v>23800</v>
      </c>
      <c r="F8097" t="s">
        <v>28669</v>
      </c>
      <c r="G8097" t="s">
        <v>28675</v>
      </c>
      <c r="H8097" t="s">
        <v>28686</v>
      </c>
      <c r="I8097" t="s">
        <v>28689</v>
      </c>
      <c r="J8097" t="s">
        <v>33877</v>
      </c>
      <c r="K8097" t="s">
        <v>37334</v>
      </c>
      <c r="M8097" t="s">
        <v>40193</v>
      </c>
      <c r="N8097" t="s">
        <v>41249</v>
      </c>
      <c r="O8097" t="s">
        <v>41250</v>
      </c>
      <c r="P8097">
        <v>0</v>
      </c>
      <c r="Q8097">
        <v>2</v>
      </c>
      <c r="R8097" t="s">
        <v>41258</v>
      </c>
      <c r="S8097" t="s">
        <v>41513</v>
      </c>
      <c r="T8097" t="s">
        <v>42755</v>
      </c>
      <c r="U8097" t="s">
        <v>49846</v>
      </c>
      <c r="V8097" t="s">
        <v>54341</v>
      </c>
      <c r="W8097" t="s">
        <v>40193</v>
      </c>
      <c r="X8097" t="s">
        <v>41259</v>
      </c>
    </row>
    <row r="8098" spans="1:24">
      <c r="A8098">
        <f>HYPERLINK("https://www.philgeps.gov.ph/GEPSNONPILOT/Tender/SplashBidNoticeAbstractUI.aspx?menuIndex=3&amp;refID=7065698&amp;Result=3","7065698")</f>
        <v>0</v>
      </c>
      <c r="B8098" t="s">
        <v>2506</v>
      </c>
      <c r="C8098" t="s">
        <v>11108</v>
      </c>
      <c r="D8098" t="s">
        <v>16621</v>
      </c>
      <c r="E8098" t="s">
        <v>23801</v>
      </c>
      <c r="F8098" t="s">
        <v>28669</v>
      </c>
      <c r="G8098" t="s">
        <v>28675</v>
      </c>
      <c r="H8098" t="s">
        <v>28686</v>
      </c>
      <c r="I8098" t="s">
        <v>28689</v>
      </c>
      <c r="J8098" t="s">
        <v>33878</v>
      </c>
      <c r="K8098" t="s">
        <v>37212</v>
      </c>
      <c r="M8098" t="s">
        <v>40193</v>
      </c>
      <c r="N8098" t="s">
        <v>41249</v>
      </c>
      <c r="O8098" t="s">
        <v>41250</v>
      </c>
      <c r="P8098">
        <v>0</v>
      </c>
      <c r="Q8098">
        <v>2</v>
      </c>
      <c r="R8098" t="s">
        <v>41258</v>
      </c>
      <c r="S8098" t="s">
        <v>41513</v>
      </c>
      <c r="T8098" t="s">
        <v>42755</v>
      </c>
      <c r="U8098" t="s">
        <v>49847</v>
      </c>
      <c r="V8098" t="s">
        <v>54341</v>
      </c>
      <c r="W8098" t="s">
        <v>40193</v>
      </c>
      <c r="X8098" t="s">
        <v>41259</v>
      </c>
    </row>
    <row r="8099" spans="1:24">
      <c r="A8099">
        <f>HYPERLINK("https://www.philgeps.gov.ph/GEPSNONPILOT/Tender/SplashBidNoticeAbstractUI.aspx?menuIndex=3&amp;refID=7065585&amp;Result=3","7065585")</f>
        <v>0</v>
      </c>
      <c r="B8099" t="s">
        <v>2155</v>
      </c>
      <c r="C8099" t="s">
        <v>11109</v>
      </c>
      <c r="D8099" t="s">
        <v>16627</v>
      </c>
      <c r="E8099" t="s">
        <v>23802</v>
      </c>
      <c r="F8099" t="s">
        <v>28671</v>
      </c>
      <c r="G8099" t="s">
        <v>28675</v>
      </c>
      <c r="H8099" t="s">
        <v>9998</v>
      </c>
      <c r="I8099" t="s">
        <v>15140</v>
      </c>
      <c r="J8099" t="s">
        <v>33879</v>
      </c>
      <c r="K8099" t="s">
        <v>37206</v>
      </c>
      <c r="M8099" t="s">
        <v>39800</v>
      </c>
      <c r="N8099" t="s">
        <v>41249</v>
      </c>
      <c r="O8099" t="s">
        <v>41250</v>
      </c>
      <c r="P8099">
        <v>0</v>
      </c>
      <c r="Q8099">
        <v>0</v>
      </c>
      <c r="R8099" t="s">
        <v>41258</v>
      </c>
      <c r="S8099" t="s">
        <v>41513</v>
      </c>
      <c r="T8099" t="s">
        <v>42658</v>
      </c>
      <c r="U8099" t="s">
        <v>49848</v>
      </c>
      <c r="V8099" t="s">
        <v>55186</v>
      </c>
      <c r="W8099" t="s">
        <v>39800</v>
      </c>
      <c r="X8099" t="s">
        <v>41259</v>
      </c>
    </row>
    <row r="8100" spans="1:24">
      <c r="A8100">
        <f>HYPERLINK("https://www.philgeps.gov.ph/GEPSNONPILOT/Tender/SplashBidNoticeAbstractUI.aspx?menuIndex=3&amp;refID=7065581&amp;Result=3","7065581")</f>
        <v>0</v>
      </c>
      <c r="B8100" t="s">
        <v>2492</v>
      </c>
      <c r="C8100" t="s">
        <v>11110</v>
      </c>
      <c r="E8100" t="s">
        <v>23105</v>
      </c>
      <c r="F8100" t="s">
        <v>28669</v>
      </c>
      <c r="G8100" t="s">
        <v>28675</v>
      </c>
      <c r="H8100" t="s">
        <v>28686</v>
      </c>
      <c r="I8100" t="s">
        <v>28689</v>
      </c>
      <c r="J8100" t="s">
        <v>29003</v>
      </c>
      <c r="K8100" t="s">
        <v>37220</v>
      </c>
      <c r="M8100" t="s">
        <v>40177</v>
      </c>
      <c r="N8100" t="s">
        <v>41249</v>
      </c>
      <c r="O8100" t="s">
        <v>41250</v>
      </c>
      <c r="P8100">
        <v>0</v>
      </c>
      <c r="Q8100">
        <v>1</v>
      </c>
      <c r="R8100" t="s">
        <v>41258</v>
      </c>
      <c r="S8100" t="s">
        <v>41513</v>
      </c>
      <c r="T8100" t="s">
        <v>42739</v>
      </c>
      <c r="U8100" t="s">
        <v>49849</v>
      </c>
      <c r="W8100" t="s">
        <v>40177</v>
      </c>
      <c r="X8100" t="s">
        <v>41259</v>
      </c>
    </row>
    <row r="8101" spans="1:24">
      <c r="A8101">
        <f>HYPERLINK("https://www.philgeps.gov.ph/GEPSNONPILOT/Tender/SplashBidNoticeAbstractUI.aspx?menuIndex=3&amp;refID=7065500&amp;Result=3","7065500")</f>
        <v>0</v>
      </c>
      <c r="B8101" t="s">
        <v>106</v>
      </c>
      <c r="C8101" t="s">
        <v>11111</v>
      </c>
      <c r="D8101" t="s">
        <v>16612</v>
      </c>
      <c r="E8101" t="s">
        <v>23803</v>
      </c>
      <c r="F8101" t="s">
        <v>28669</v>
      </c>
      <c r="G8101" t="s">
        <v>28675</v>
      </c>
      <c r="H8101" t="s">
        <v>9998</v>
      </c>
      <c r="I8101" t="s">
        <v>6606</v>
      </c>
      <c r="J8101" t="s">
        <v>29474</v>
      </c>
      <c r="K8101" t="s">
        <v>37243</v>
      </c>
      <c r="M8101" t="s">
        <v>37582</v>
      </c>
      <c r="N8101" t="s">
        <v>41249</v>
      </c>
      <c r="O8101" t="s">
        <v>41250</v>
      </c>
      <c r="P8101">
        <v>0</v>
      </c>
      <c r="Q8101">
        <v>0</v>
      </c>
      <c r="R8101" t="s">
        <v>41258</v>
      </c>
      <c r="S8101" t="s">
        <v>41513</v>
      </c>
      <c r="T8101" t="s">
        <v>42767</v>
      </c>
      <c r="U8101" t="s">
        <v>49850</v>
      </c>
      <c r="V8101" t="s">
        <v>55187</v>
      </c>
      <c r="W8101" t="s">
        <v>37582</v>
      </c>
      <c r="X8101" t="s">
        <v>41259</v>
      </c>
    </row>
    <row r="8102" spans="1:24">
      <c r="A8102">
        <f>HYPERLINK("https://www.philgeps.gov.ph/GEPSNONPILOT/Tender/SplashBidNoticeAbstractUI.aspx?menuIndex=3&amp;refID=7065681&amp;Result=3","7065681")</f>
        <v>0</v>
      </c>
      <c r="B8102" t="s">
        <v>258</v>
      </c>
      <c r="C8102" t="s">
        <v>11112</v>
      </c>
      <c r="D8102" t="s">
        <v>16673</v>
      </c>
      <c r="E8102" t="s">
        <v>23804</v>
      </c>
      <c r="F8102" t="s">
        <v>28669</v>
      </c>
      <c r="G8102" t="s">
        <v>28676</v>
      </c>
      <c r="H8102" t="s">
        <v>28686</v>
      </c>
      <c r="I8102" t="s">
        <v>28725</v>
      </c>
      <c r="J8102" t="s">
        <v>33880</v>
      </c>
      <c r="K8102" t="s">
        <v>37206</v>
      </c>
      <c r="M8102" t="s">
        <v>37736</v>
      </c>
      <c r="N8102" t="s">
        <v>41249</v>
      </c>
      <c r="O8102" t="s">
        <v>41250</v>
      </c>
      <c r="P8102">
        <v>0</v>
      </c>
      <c r="Q8102">
        <v>4</v>
      </c>
      <c r="R8102" t="s">
        <v>41258</v>
      </c>
      <c r="S8102" t="s">
        <v>41513</v>
      </c>
      <c r="T8102" t="s">
        <v>42727</v>
      </c>
      <c r="U8102" t="s">
        <v>49851</v>
      </c>
      <c r="W8102" t="s">
        <v>37736</v>
      </c>
      <c r="X8102" t="s">
        <v>41259</v>
      </c>
    </row>
    <row r="8103" spans="1:24">
      <c r="A8103">
        <f>HYPERLINK("https://www.philgeps.gov.ph/GEPSNONPILOT/Tender/SplashBidNoticeAbstractUI.aspx?menuIndex=3&amp;refID=7065687&amp;Result=3","7065687")</f>
        <v>0</v>
      </c>
      <c r="B8103" t="s">
        <v>2507</v>
      </c>
      <c r="C8103" t="s">
        <v>11113</v>
      </c>
      <c r="D8103" t="s">
        <v>16616</v>
      </c>
      <c r="E8103" t="s">
        <v>23805</v>
      </c>
      <c r="F8103" t="s">
        <v>28671</v>
      </c>
      <c r="G8103" t="s">
        <v>28677</v>
      </c>
      <c r="H8103" t="s">
        <v>9998</v>
      </c>
      <c r="I8103" t="s">
        <v>28699</v>
      </c>
      <c r="J8103" t="s">
        <v>29020</v>
      </c>
      <c r="K8103" t="s">
        <v>37205</v>
      </c>
      <c r="M8103" t="s">
        <v>40194</v>
      </c>
      <c r="N8103" t="s">
        <v>41249</v>
      </c>
      <c r="O8103" t="s">
        <v>41250</v>
      </c>
      <c r="P8103">
        <v>0</v>
      </c>
      <c r="Q8103">
        <v>2</v>
      </c>
      <c r="R8103" t="s">
        <v>41258</v>
      </c>
      <c r="S8103" t="s">
        <v>41513</v>
      </c>
      <c r="T8103" t="s">
        <v>42758</v>
      </c>
      <c r="U8103" t="s">
        <v>49852</v>
      </c>
      <c r="W8103" t="s">
        <v>40194</v>
      </c>
      <c r="X8103" t="s">
        <v>41259</v>
      </c>
    </row>
    <row r="8104" spans="1:24">
      <c r="A8104">
        <f>HYPERLINK("https://www.philgeps.gov.ph/GEPSNONPILOT/Tender/SplashBidNoticeAbstractUI.aspx?menuIndex=3&amp;refID=7065771&amp;Result=3","7065771")</f>
        <v>0</v>
      </c>
      <c r="B8104" t="s">
        <v>2434</v>
      </c>
      <c r="C8104" t="s">
        <v>11114</v>
      </c>
      <c r="D8104" t="s">
        <v>16661</v>
      </c>
      <c r="E8104" t="s">
        <v>23806</v>
      </c>
      <c r="F8104" t="s">
        <v>28669</v>
      </c>
      <c r="G8104" t="s">
        <v>28675</v>
      </c>
      <c r="H8104" t="s">
        <v>9998</v>
      </c>
      <c r="I8104" t="s">
        <v>28713</v>
      </c>
      <c r="J8104" t="s">
        <v>28850</v>
      </c>
      <c r="K8104" t="s">
        <v>37209</v>
      </c>
      <c r="M8104" t="s">
        <v>40117</v>
      </c>
      <c r="N8104" t="s">
        <v>41249</v>
      </c>
      <c r="O8104" t="s">
        <v>41250</v>
      </c>
      <c r="P8104">
        <v>0</v>
      </c>
      <c r="Q8104">
        <v>11</v>
      </c>
      <c r="R8104" t="s">
        <v>41258</v>
      </c>
      <c r="S8104" t="s">
        <v>41513</v>
      </c>
      <c r="T8104" t="s">
        <v>43027</v>
      </c>
      <c r="U8104" t="s">
        <v>49853</v>
      </c>
      <c r="W8104" t="s">
        <v>40117</v>
      </c>
      <c r="X8104" t="s">
        <v>41259</v>
      </c>
    </row>
    <row r="8105" spans="1:24">
      <c r="A8105">
        <f>HYPERLINK("https://www.philgeps.gov.ph/GEPSNONPILOT/Tender/SplashBidNoticeAbstractUI.aspx?menuIndex=3&amp;refID=7065767&amp;Result=3","7065767")</f>
        <v>0</v>
      </c>
      <c r="B8105" t="s">
        <v>2508</v>
      </c>
      <c r="C8105" t="s">
        <v>11115</v>
      </c>
      <c r="D8105" t="s">
        <v>16679</v>
      </c>
      <c r="E8105" t="s">
        <v>16820</v>
      </c>
      <c r="F8105" t="s">
        <v>28669</v>
      </c>
      <c r="G8105" t="s">
        <v>28675</v>
      </c>
      <c r="H8105" t="s">
        <v>9998</v>
      </c>
      <c r="I8105" t="s">
        <v>28709</v>
      </c>
      <c r="J8105" t="s">
        <v>28942</v>
      </c>
      <c r="K8105" t="s">
        <v>37243</v>
      </c>
      <c r="M8105" t="s">
        <v>40195</v>
      </c>
      <c r="N8105" t="s">
        <v>41249</v>
      </c>
      <c r="O8105" t="s">
        <v>41250</v>
      </c>
      <c r="P8105">
        <v>0</v>
      </c>
      <c r="Q8105">
        <v>1</v>
      </c>
      <c r="R8105" t="s">
        <v>41258</v>
      </c>
      <c r="S8105" t="s">
        <v>41513</v>
      </c>
      <c r="T8105" t="s">
        <v>42883</v>
      </c>
      <c r="U8105" t="s">
        <v>49854</v>
      </c>
      <c r="V8105" t="s">
        <v>55188</v>
      </c>
      <c r="W8105" t="s">
        <v>40195</v>
      </c>
      <c r="X8105" t="s">
        <v>41259</v>
      </c>
    </row>
    <row r="8106" spans="1:24">
      <c r="A8106">
        <f>HYPERLINK("https://www.philgeps.gov.ph/GEPSNONPILOT/Tender/SplashBidNoticeAbstractUI.aspx?menuIndex=3&amp;refID=7065590&amp;Result=3","7065590")</f>
        <v>0</v>
      </c>
      <c r="B8106" t="s">
        <v>2496</v>
      </c>
      <c r="C8106" t="s">
        <v>11116</v>
      </c>
      <c r="D8106" t="s">
        <v>16664</v>
      </c>
      <c r="E8106" t="s">
        <v>23807</v>
      </c>
      <c r="F8106" t="s">
        <v>28669</v>
      </c>
      <c r="G8106" t="s">
        <v>28675</v>
      </c>
      <c r="H8106" t="s">
        <v>9998</v>
      </c>
      <c r="I8106" t="s">
        <v>11593</v>
      </c>
      <c r="J8106" t="s">
        <v>33881</v>
      </c>
      <c r="K8106" t="s">
        <v>37231</v>
      </c>
      <c r="M8106" t="s">
        <v>40181</v>
      </c>
      <c r="N8106" t="s">
        <v>41249</v>
      </c>
      <c r="O8106" t="s">
        <v>41250</v>
      </c>
      <c r="P8106">
        <v>0</v>
      </c>
      <c r="Q8106">
        <v>4</v>
      </c>
      <c r="R8106" t="s">
        <v>41258</v>
      </c>
      <c r="S8106" t="s">
        <v>41513</v>
      </c>
      <c r="T8106" t="s">
        <v>42782</v>
      </c>
      <c r="U8106" t="s">
        <v>49855</v>
      </c>
      <c r="V8106" t="s">
        <v>55189</v>
      </c>
      <c r="W8106" t="s">
        <v>55998</v>
      </c>
      <c r="X8106" t="s">
        <v>41259</v>
      </c>
    </row>
    <row r="8107" spans="1:24">
      <c r="A8107">
        <f>HYPERLINK("https://www.philgeps.gov.ph/GEPSNONPILOT/Tender/SplashBidNoticeAbstractUI.aspx?menuIndex=3&amp;refID=7065762&amp;Result=3","7065762")</f>
        <v>0</v>
      </c>
      <c r="B8107" t="s">
        <v>190</v>
      </c>
      <c r="C8107" t="s">
        <v>11117</v>
      </c>
      <c r="D8107" t="s">
        <v>16671</v>
      </c>
      <c r="E8107" t="s">
        <v>23808</v>
      </c>
      <c r="F8107" t="s">
        <v>28669</v>
      </c>
      <c r="G8107" t="s">
        <v>28675</v>
      </c>
      <c r="H8107" t="s">
        <v>9998</v>
      </c>
      <c r="I8107" t="s">
        <v>28687</v>
      </c>
      <c r="J8107" t="s">
        <v>28924</v>
      </c>
      <c r="K8107" t="s">
        <v>37220</v>
      </c>
      <c r="L8107" t="s">
        <v>190</v>
      </c>
      <c r="M8107" t="s">
        <v>37668</v>
      </c>
      <c r="N8107" t="s">
        <v>41249</v>
      </c>
      <c r="O8107" t="s">
        <v>41250</v>
      </c>
      <c r="P8107">
        <v>0</v>
      </c>
      <c r="Q8107">
        <v>2</v>
      </c>
      <c r="R8107" t="s">
        <v>41258</v>
      </c>
      <c r="S8107" t="s">
        <v>41513</v>
      </c>
      <c r="T8107" t="s">
        <v>43000</v>
      </c>
      <c r="U8107" t="s">
        <v>49856</v>
      </c>
      <c r="V8107" t="s">
        <v>55190</v>
      </c>
      <c r="W8107" t="s">
        <v>37668</v>
      </c>
      <c r="X8107" t="s">
        <v>41259</v>
      </c>
    </row>
    <row r="8108" spans="1:24">
      <c r="A8108">
        <f>HYPERLINK("https://www.philgeps.gov.ph/GEPSNONPILOT/Tender/SplashBidNoticeAbstractUI.aspx?menuIndex=3&amp;refID=7065666&amp;Result=3","7065666")</f>
        <v>0</v>
      </c>
      <c r="B8108" t="s">
        <v>812</v>
      </c>
      <c r="C8108" t="s">
        <v>11118</v>
      </c>
      <c r="D8108" t="s">
        <v>16658</v>
      </c>
      <c r="E8108" t="s">
        <v>23809</v>
      </c>
      <c r="F8108" t="s">
        <v>28669</v>
      </c>
      <c r="G8108" t="s">
        <v>28675</v>
      </c>
      <c r="H8108" t="s">
        <v>28686</v>
      </c>
      <c r="I8108" t="s">
        <v>28689</v>
      </c>
      <c r="J8108" t="s">
        <v>29112</v>
      </c>
      <c r="K8108" t="s">
        <v>37220</v>
      </c>
      <c r="M8108" t="s">
        <v>38327</v>
      </c>
      <c r="N8108" t="s">
        <v>41249</v>
      </c>
      <c r="O8108" t="s">
        <v>41250</v>
      </c>
      <c r="P8108">
        <v>0</v>
      </c>
      <c r="Q8108">
        <v>0</v>
      </c>
      <c r="R8108" t="s">
        <v>41258</v>
      </c>
      <c r="S8108" t="s">
        <v>41513</v>
      </c>
      <c r="T8108" t="s">
        <v>42782</v>
      </c>
      <c r="U8108" t="s">
        <v>49857</v>
      </c>
      <c r="W8108" t="s">
        <v>38327</v>
      </c>
      <c r="X8108" t="s">
        <v>41259</v>
      </c>
    </row>
    <row r="8109" spans="1:24">
      <c r="A8109">
        <f>HYPERLINK("https://www.philgeps.gov.ph/GEPSNONPILOT/Tender/SplashBidNoticeAbstractUI.aspx?menuIndex=3&amp;refID=7065760&amp;Result=3","7065760")</f>
        <v>0</v>
      </c>
      <c r="B8109" t="s">
        <v>1829</v>
      </c>
      <c r="C8109" t="s">
        <v>11119</v>
      </c>
      <c r="D8109" t="s">
        <v>16661</v>
      </c>
      <c r="E8109" t="s">
        <v>23810</v>
      </c>
      <c r="F8109" t="s">
        <v>28669</v>
      </c>
      <c r="G8109" t="s">
        <v>28675</v>
      </c>
      <c r="H8109" t="s">
        <v>9998</v>
      </c>
      <c r="I8109" t="s">
        <v>28704</v>
      </c>
      <c r="J8109" t="s">
        <v>30418</v>
      </c>
      <c r="K8109" t="s">
        <v>37210</v>
      </c>
      <c r="M8109" t="s">
        <v>39634</v>
      </c>
      <c r="N8109" t="s">
        <v>41249</v>
      </c>
      <c r="O8109" t="s">
        <v>41250</v>
      </c>
      <c r="P8109">
        <v>0</v>
      </c>
      <c r="Q8109">
        <v>2</v>
      </c>
      <c r="R8109" t="s">
        <v>41258</v>
      </c>
      <c r="S8109" t="s">
        <v>41513</v>
      </c>
      <c r="T8109" t="s">
        <v>42911</v>
      </c>
      <c r="U8109" t="s">
        <v>49146</v>
      </c>
      <c r="V8109" t="s">
        <v>55103</v>
      </c>
      <c r="W8109" t="s">
        <v>55976</v>
      </c>
      <c r="X8109" t="s">
        <v>41259</v>
      </c>
    </row>
    <row r="8110" spans="1:24">
      <c r="A8110">
        <f>HYPERLINK("https://www.philgeps.gov.ph/GEPSNONPILOT/Tender/SplashBidNoticeAbstractUI.aspx?menuIndex=3&amp;refID=7065753&amp;Result=3","7065753")</f>
        <v>0</v>
      </c>
      <c r="B8110" t="s">
        <v>812</v>
      </c>
      <c r="C8110" t="s">
        <v>11120</v>
      </c>
      <c r="D8110" t="s">
        <v>16658</v>
      </c>
      <c r="E8110" t="s">
        <v>23811</v>
      </c>
      <c r="F8110" t="s">
        <v>28669</v>
      </c>
      <c r="G8110" t="s">
        <v>28675</v>
      </c>
      <c r="H8110" t="s">
        <v>28686</v>
      </c>
      <c r="I8110" t="s">
        <v>28689</v>
      </c>
      <c r="J8110" t="s">
        <v>29003</v>
      </c>
      <c r="K8110" t="s">
        <v>37206</v>
      </c>
      <c r="M8110" t="s">
        <v>38327</v>
      </c>
      <c r="N8110" t="s">
        <v>41249</v>
      </c>
      <c r="O8110" t="s">
        <v>41250</v>
      </c>
      <c r="P8110">
        <v>0</v>
      </c>
      <c r="Q8110">
        <v>0</v>
      </c>
      <c r="R8110" t="s">
        <v>41258</v>
      </c>
      <c r="S8110" t="s">
        <v>41513</v>
      </c>
      <c r="T8110" t="s">
        <v>42782</v>
      </c>
      <c r="U8110" t="s">
        <v>49858</v>
      </c>
      <c r="W8110" t="s">
        <v>38327</v>
      </c>
      <c r="X8110" t="s">
        <v>41259</v>
      </c>
    </row>
    <row r="8111" spans="1:24">
      <c r="A8111">
        <f>HYPERLINK("https://www.philgeps.gov.ph/GEPSNONPILOT/Tender/SplashBidNoticeAbstractUI.aspx?menuIndex=3&amp;refID=7065750&amp;Result=3","7065750")</f>
        <v>0</v>
      </c>
      <c r="B8111" t="s">
        <v>2509</v>
      </c>
      <c r="C8111" t="s">
        <v>11121</v>
      </c>
      <c r="D8111" t="s">
        <v>16668</v>
      </c>
      <c r="E8111" t="s">
        <v>23812</v>
      </c>
      <c r="F8111" t="s">
        <v>28669</v>
      </c>
      <c r="G8111" t="s">
        <v>28675</v>
      </c>
      <c r="H8111" t="s">
        <v>28686</v>
      </c>
      <c r="I8111" t="s">
        <v>28689</v>
      </c>
      <c r="J8111" t="s">
        <v>33882</v>
      </c>
      <c r="K8111" t="s">
        <v>37206</v>
      </c>
      <c r="M8111" t="s">
        <v>40196</v>
      </c>
      <c r="N8111" t="s">
        <v>41249</v>
      </c>
      <c r="O8111" t="s">
        <v>41250</v>
      </c>
      <c r="P8111">
        <v>0</v>
      </c>
      <c r="Q8111">
        <v>0</v>
      </c>
      <c r="R8111" t="s">
        <v>41258</v>
      </c>
      <c r="S8111" t="s">
        <v>41513</v>
      </c>
      <c r="T8111" t="s">
        <v>42659</v>
      </c>
      <c r="U8111" t="s">
        <v>49859</v>
      </c>
      <c r="W8111" t="s">
        <v>40196</v>
      </c>
      <c r="X8111" t="s">
        <v>41259</v>
      </c>
    </row>
    <row r="8112" spans="1:24">
      <c r="A8112">
        <f>HYPERLINK("https://www.philgeps.gov.ph/GEPSNONPILOT/Tender/SplashBidNoticeAbstractUI.aspx?menuIndex=3&amp;refID=7065774&amp;Result=3","7065774")</f>
        <v>0</v>
      </c>
      <c r="B8112" t="s">
        <v>236</v>
      </c>
      <c r="C8112" t="s">
        <v>11122</v>
      </c>
      <c r="D8112" t="s">
        <v>16663</v>
      </c>
      <c r="E8112" t="s">
        <v>11122</v>
      </c>
      <c r="F8112" t="s">
        <v>28669</v>
      </c>
      <c r="G8112" t="s">
        <v>28675</v>
      </c>
      <c r="H8112" t="s">
        <v>9998</v>
      </c>
      <c r="I8112" t="s">
        <v>28695</v>
      </c>
      <c r="J8112" t="s">
        <v>29144</v>
      </c>
      <c r="K8112" t="s">
        <v>37206</v>
      </c>
      <c r="M8112" t="s">
        <v>37714</v>
      </c>
      <c r="N8112" t="s">
        <v>41249</v>
      </c>
      <c r="O8112" t="s">
        <v>41250</v>
      </c>
      <c r="P8112">
        <v>0</v>
      </c>
      <c r="Q8112">
        <v>0</v>
      </c>
      <c r="R8112" t="s">
        <v>41258</v>
      </c>
      <c r="S8112" t="s">
        <v>41513</v>
      </c>
      <c r="T8112" t="s">
        <v>42734</v>
      </c>
      <c r="U8112" t="s">
        <v>49860</v>
      </c>
      <c r="W8112" t="s">
        <v>37714</v>
      </c>
      <c r="X8112" t="s">
        <v>41259</v>
      </c>
    </row>
    <row r="8113" spans="1:24">
      <c r="A8113">
        <f>HYPERLINK("https://www.philgeps.gov.ph/GEPSNONPILOT/Tender/SplashBidNoticeAbstractUI.aspx?menuIndex=3&amp;refID=7065742&amp;Result=3","7065742")</f>
        <v>0</v>
      </c>
      <c r="B8113" t="s">
        <v>492</v>
      </c>
      <c r="C8113" t="s">
        <v>11123</v>
      </c>
      <c r="D8113" t="s">
        <v>16621</v>
      </c>
      <c r="E8113" t="s">
        <v>23813</v>
      </c>
      <c r="F8113" t="s">
        <v>28669</v>
      </c>
      <c r="G8113" t="s">
        <v>28675</v>
      </c>
      <c r="H8113" t="s">
        <v>28686</v>
      </c>
      <c r="I8113" t="s">
        <v>28689</v>
      </c>
      <c r="J8113" t="s">
        <v>28845</v>
      </c>
      <c r="K8113" t="s">
        <v>37220</v>
      </c>
      <c r="M8113" t="s">
        <v>37981</v>
      </c>
      <c r="N8113" t="s">
        <v>41249</v>
      </c>
      <c r="O8113" t="s">
        <v>41250</v>
      </c>
      <c r="P8113">
        <v>0</v>
      </c>
      <c r="Q8113">
        <v>1</v>
      </c>
      <c r="R8113" t="s">
        <v>41258</v>
      </c>
      <c r="S8113" t="s">
        <v>41513</v>
      </c>
      <c r="T8113" t="s">
        <v>42668</v>
      </c>
      <c r="U8113" t="s">
        <v>49861</v>
      </c>
      <c r="W8113" t="s">
        <v>37981</v>
      </c>
      <c r="X8113" t="s">
        <v>41259</v>
      </c>
    </row>
    <row r="8114" spans="1:24">
      <c r="A8114">
        <f>HYPERLINK("https://www.philgeps.gov.ph/GEPSNONPILOT/Tender/SplashBidNoticeAbstractUI.aspx?menuIndex=3&amp;refID=7065741&amp;Result=3","7065741")</f>
        <v>0</v>
      </c>
      <c r="B8114" t="s">
        <v>2510</v>
      </c>
      <c r="C8114" t="s">
        <v>4568</v>
      </c>
      <c r="D8114" t="s">
        <v>16616</v>
      </c>
      <c r="E8114" t="s">
        <v>17029</v>
      </c>
      <c r="F8114" t="s">
        <v>28669</v>
      </c>
      <c r="G8114" t="s">
        <v>28675</v>
      </c>
      <c r="H8114" t="s">
        <v>9998</v>
      </c>
      <c r="I8114" t="s">
        <v>28743</v>
      </c>
      <c r="J8114" t="s">
        <v>32667</v>
      </c>
      <c r="K8114" t="s">
        <v>37227</v>
      </c>
      <c r="M8114" t="s">
        <v>40197</v>
      </c>
      <c r="N8114" t="s">
        <v>41249</v>
      </c>
      <c r="O8114" t="s">
        <v>41250</v>
      </c>
      <c r="P8114">
        <v>0</v>
      </c>
      <c r="Q8114">
        <v>0</v>
      </c>
      <c r="R8114" t="s">
        <v>41258</v>
      </c>
      <c r="S8114" t="s">
        <v>41513</v>
      </c>
      <c r="T8114" t="s">
        <v>42664</v>
      </c>
      <c r="U8114" t="s">
        <v>49862</v>
      </c>
      <c r="W8114" t="s">
        <v>40197</v>
      </c>
      <c r="X8114" t="s">
        <v>41259</v>
      </c>
    </row>
    <row r="8115" spans="1:24">
      <c r="A8115">
        <f>HYPERLINK("https://www.philgeps.gov.ph/GEPSNONPILOT/Tender/SplashBidNoticeAbstractUI.aspx?menuIndex=3&amp;refID=7065780&amp;Result=3","7065780")</f>
        <v>0</v>
      </c>
      <c r="B8115" t="s">
        <v>1509</v>
      </c>
      <c r="C8115" t="s">
        <v>11124</v>
      </c>
      <c r="D8115" t="s">
        <v>16673</v>
      </c>
      <c r="E8115" t="s">
        <v>23814</v>
      </c>
      <c r="F8115" t="s">
        <v>28669</v>
      </c>
      <c r="G8115" t="s">
        <v>28678</v>
      </c>
      <c r="H8115" t="s">
        <v>9998</v>
      </c>
      <c r="I8115" t="s">
        <v>28739</v>
      </c>
      <c r="J8115" t="s">
        <v>28826</v>
      </c>
      <c r="K8115" t="s">
        <v>37206</v>
      </c>
      <c r="M8115" t="s">
        <v>40198</v>
      </c>
      <c r="N8115" t="s">
        <v>41249</v>
      </c>
      <c r="O8115" t="s">
        <v>41250</v>
      </c>
      <c r="P8115">
        <v>0</v>
      </c>
      <c r="Q8115">
        <v>13</v>
      </c>
      <c r="R8115" t="s">
        <v>41258</v>
      </c>
      <c r="S8115" t="s">
        <v>41513</v>
      </c>
      <c r="T8115" t="s">
        <v>42938</v>
      </c>
      <c r="U8115" t="s">
        <v>46942</v>
      </c>
      <c r="W8115" t="s">
        <v>40198</v>
      </c>
      <c r="X8115" t="s">
        <v>41259</v>
      </c>
    </row>
    <row r="8116" spans="1:24">
      <c r="A8116">
        <f>HYPERLINK("https://www.philgeps.gov.ph/GEPSNONPILOT/Tender/SplashBidNoticeAbstractUI.aspx?menuIndex=3&amp;refID=7065811&amp;Result=3","7065811")</f>
        <v>0</v>
      </c>
      <c r="B8116" t="s">
        <v>1509</v>
      </c>
      <c r="C8116" t="s">
        <v>11125</v>
      </c>
      <c r="D8116" t="s">
        <v>16673</v>
      </c>
      <c r="E8116" t="s">
        <v>23815</v>
      </c>
      <c r="F8116" t="s">
        <v>28669</v>
      </c>
      <c r="G8116" t="s">
        <v>28678</v>
      </c>
      <c r="H8116" t="s">
        <v>9998</v>
      </c>
      <c r="I8116" t="s">
        <v>5213</v>
      </c>
      <c r="J8116" t="s">
        <v>33883</v>
      </c>
      <c r="K8116" t="s">
        <v>37206</v>
      </c>
      <c r="M8116" t="s">
        <v>40198</v>
      </c>
      <c r="N8116" t="s">
        <v>41249</v>
      </c>
      <c r="O8116" t="s">
        <v>41250</v>
      </c>
      <c r="P8116">
        <v>0</v>
      </c>
      <c r="Q8116">
        <v>5</v>
      </c>
      <c r="R8116" t="s">
        <v>41258</v>
      </c>
      <c r="S8116" t="s">
        <v>41513</v>
      </c>
      <c r="T8116" t="s">
        <v>42938</v>
      </c>
      <c r="U8116" t="s">
        <v>46942</v>
      </c>
      <c r="W8116" t="s">
        <v>40198</v>
      </c>
      <c r="X8116" t="s">
        <v>41259</v>
      </c>
    </row>
    <row r="8117" spans="1:24">
      <c r="A8117">
        <f>HYPERLINK("https://www.philgeps.gov.ph/GEPSNONPILOT/Tender/SplashBidNoticeAbstractUI.aspx?menuIndex=3&amp;refID=7065583&amp;Result=3","7065583")</f>
        <v>0</v>
      </c>
      <c r="B8117" t="s">
        <v>2511</v>
      </c>
      <c r="C8117" t="s">
        <v>11126</v>
      </c>
      <c r="D8117" t="s">
        <v>16676</v>
      </c>
      <c r="E8117" t="s">
        <v>23816</v>
      </c>
      <c r="F8117" t="s">
        <v>28669</v>
      </c>
      <c r="G8117" t="s">
        <v>28675</v>
      </c>
      <c r="H8117" t="s">
        <v>9998</v>
      </c>
      <c r="I8117" t="s">
        <v>28697</v>
      </c>
      <c r="J8117" t="s">
        <v>33884</v>
      </c>
      <c r="K8117" t="s">
        <v>37206</v>
      </c>
      <c r="M8117" t="s">
        <v>40199</v>
      </c>
      <c r="N8117" t="s">
        <v>41249</v>
      </c>
      <c r="O8117" t="s">
        <v>41250</v>
      </c>
      <c r="P8117">
        <v>0</v>
      </c>
      <c r="Q8117">
        <v>6</v>
      </c>
      <c r="R8117" t="s">
        <v>41258</v>
      </c>
      <c r="S8117" t="s">
        <v>41513</v>
      </c>
      <c r="T8117" t="s">
        <v>42873</v>
      </c>
      <c r="U8117" t="s">
        <v>49863</v>
      </c>
      <c r="W8117" t="s">
        <v>40199</v>
      </c>
      <c r="X8117" t="s">
        <v>41259</v>
      </c>
    </row>
    <row r="8118" spans="1:24">
      <c r="A8118">
        <f>HYPERLINK("https://www.philgeps.gov.ph/GEPSNONPILOT/Tender/SplashBidNoticeAbstractUI.aspx?menuIndex=3&amp;refID=7065754&amp;Result=3","7065754")</f>
        <v>0</v>
      </c>
      <c r="B8118" t="s">
        <v>2512</v>
      </c>
      <c r="C8118" t="s">
        <v>11127</v>
      </c>
      <c r="D8118" t="s">
        <v>16658</v>
      </c>
      <c r="E8118" t="s">
        <v>23817</v>
      </c>
      <c r="F8118" t="s">
        <v>28669</v>
      </c>
      <c r="G8118" t="s">
        <v>28675</v>
      </c>
      <c r="H8118" t="s">
        <v>28684</v>
      </c>
      <c r="I8118" t="s">
        <v>28701</v>
      </c>
      <c r="J8118" t="s">
        <v>33885</v>
      </c>
      <c r="K8118" t="s">
        <v>37397</v>
      </c>
      <c r="M8118" t="s">
        <v>40200</v>
      </c>
      <c r="N8118" t="s">
        <v>41249</v>
      </c>
      <c r="O8118" t="s">
        <v>41250</v>
      </c>
      <c r="P8118">
        <v>0</v>
      </c>
      <c r="Q8118">
        <v>1</v>
      </c>
      <c r="R8118" t="s">
        <v>41258</v>
      </c>
      <c r="S8118" t="s">
        <v>41513</v>
      </c>
      <c r="T8118" t="s">
        <v>42724</v>
      </c>
      <c r="U8118" t="s">
        <v>49864</v>
      </c>
      <c r="W8118" t="s">
        <v>40200</v>
      </c>
      <c r="X8118" t="s">
        <v>41259</v>
      </c>
    </row>
    <row r="8119" spans="1:24">
      <c r="A8119">
        <f>HYPERLINK("https://www.philgeps.gov.ph/GEPSNONPILOT/Tender/SplashBidNoticeAbstractUI.aspx?menuIndex=3&amp;refID=7065717&amp;Result=3","7065717")</f>
        <v>0</v>
      </c>
      <c r="B8119" t="s">
        <v>942</v>
      </c>
      <c r="C8119" t="s">
        <v>11128</v>
      </c>
      <c r="D8119" t="s">
        <v>16620</v>
      </c>
      <c r="E8119" t="s">
        <v>23818</v>
      </c>
      <c r="F8119" t="s">
        <v>28669</v>
      </c>
      <c r="G8119" t="s">
        <v>28675</v>
      </c>
      <c r="H8119" t="s">
        <v>9998</v>
      </c>
      <c r="I8119" t="s">
        <v>11593</v>
      </c>
      <c r="J8119" t="s">
        <v>29655</v>
      </c>
      <c r="K8119" t="s">
        <v>37220</v>
      </c>
      <c r="M8119" t="s">
        <v>38465</v>
      </c>
      <c r="N8119" t="s">
        <v>41249</v>
      </c>
      <c r="O8119" t="s">
        <v>41250</v>
      </c>
      <c r="P8119">
        <v>0</v>
      </c>
      <c r="Q8119">
        <v>4</v>
      </c>
      <c r="R8119" t="s">
        <v>41258</v>
      </c>
      <c r="S8119" t="s">
        <v>41513</v>
      </c>
      <c r="T8119" t="s">
        <v>42881</v>
      </c>
      <c r="U8119" t="s">
        <v>49865</v>
      </c>
      <c r="W8119" t="s">
        <v>38465</v>
      </c>
      <c r="X8119" t="s">
        <v>41259</v>
      </c>
    </row>
    <row r="8120" spans="1:24">
      <c r="A8120">
        <f>HYPERLINK("https://www.philgeps.gov.ph/GEPSNONPILOT/Tender/SplashBidNoticeAbstractUI.aspx?menuIndex=3&amp;refID=7065818&amp;Result=3","7065818")</f>
        <v>0</v>
      </c>
      <c r="B8120" t="s">
        <v>1829</v>
      </c>
      <c r="C8120" t="s">
        <v>11129</v>
      </c>
      <c r="D8120" t="s">
        <v>16661</v>
      </c>
      <c r="E8120" t="s">
        <v>23819</v>
      </c>
      <c r="F8120" t="s">
        <v>28669</v>
      </c>
      <c r="G8120" t="s">
        <v>28675</v>
      </c>
      <c r="H8120" t="s">
        <v>9998</v>
      </c>
      <c r="I8120" t="s">
        <v>28722</v>
      </c>
      <c r="J8120" t="s">
        <v>29571</v>
      </c>
      <c r="K8120" t="s">
        <v>37210</v>
      </c>
      <c r="M8120" t="s">
        <v>39634</v>
      </c>
      <c r="N8120" t="s">
        <v>41249</v>
      </c>
      <c r="O8120" t="s">
        <v>41250</v>
      </c>
      <c r="P8120">
        <v>0</v>
      </c>
      <c r="Q8120">
        <v>1</v>
      </c>
      <c r="R8120" t="s">
        <v>41258</v>
      </c>
      <c r="S8120" t="s">
        <v>41513</v>
      </c>
      <c r="T8120" t="s">
        <v>42911</v>
      </c>
      <c r="U8120" t="s">
        <v>49146</v>
      </c>
      <c r="V8120" t="s">
        <v>55103</v>
      </c>
      <c r="W8120" t="s">
        <v>55976</v>
      </c>
      <c r="X8120" t="s">
        <v>41259</v>
      </c>
    </row>
    <row r="8121" spans="1:24">
      <c r="A8121">
        <f>HYPERLINK("https://www.philgeps.gov.ph/GEPSNONPILOT/Tender/SplashBidNoticeAbstractUI.aspx?menuIndex=3&amp;refID=7065807&amp;Result=3","7065807")</f>
        <v>0</v>
      </c>
      <c r="B8121" t="s">
        <v>2039</v>
      </c>
      <c r="C8121" t="s">
        <v>11130</v>
      </c>
      <c r="D8121" t="s">
        <v>16647</v>
      </c>
      <c r="E8121" t="s">
        <v>23820</v>
      </c>
      <c r="F8121" t="s">
        <v>28669</v>
      </c>
      <c r="G8121" t="s">
        <v>28676</v>
      </c>
      <c r="H8121" t="s">
        <v>9998</v>
      </c>
      <c r="I8121" t="s">
        <v>7352</v>
      </c>
      <c r="J8121" t="s">
        <v>33886</v>
      </c>
      <c r="K8121" t="s">
        <v>37210</v>
      </c>
      <c r="M8121" t="s">
        <v>39679</v>
      </c>
      <c r="N8121" t="s">
        <v>41249</v>
      </c>
      <c r="O8121" t="s">
        <v>41250</v>
      </c>
      <c r="P8121">
        <v>0</v>
      </c>
      <c r="Q8121">
        <v>0</v>
      </c>
      <c r="R8121" t="s">
        <v>41258</v>
      </c>
      <c r="S8121" t="s">
        <v>41513</v>
      </c>
      <c r="T8121" t="s">
        <v>42701</v>
      </c>
      <c r="U8121" t="s">
        <v>49866</v>
      </c>
      <c r="W8121" t="s">
        <v>39679</v>
      </c>
      <c r="X8121" t="s">
        <v>41259</v>
      </c>
    </row>
    <row r="8122" spans="1:24">
      <c r="A8122">
        <f>HYPERLINK("https://www.philgeps.gov.ph/GEPSNONPILOT/Tender/SplashBidNoticeAbstractUI.aspx?menuIndex=3&amp;refID=7065748&amp;Result=3","7065748")</f>
        <v>0</v>
      </c>
      <c r="B8122" t="s">
        <v>1509</v>
      </c>
      <c r="C8122" t="s">
        <v>11131</v>
      </c>
      <c r="D8122" t="s">
        <v>16660</v>
      </c>
      <c r="E8122" t="s">
        <v>23821</v>
      </c>
      <c r="F8122" t="s">
        <v>28669</v>
      </c>
      <c r="G8122" t="s">
        <v>28676</v>
      </c>
      <c r="H8122" t="s">
        <v>9998</v>
      </c>
      <c r="I8122" t="s">
        <v>5033</v>
      </c>
      <c r="J8122" t="s">
        <v>29003</v>
      </c>
      <c r="K8122" t="s">
        <v>37209</v>
      </c>
      <c r="M8122" t="s">
        <v>40198</v>
      </c>
      <c r="N8122" t="s">
        <v>41249</v>
      </c>
      <c r="O8122" t="s">
        <v>41250</v>
      </c>
      <c r="P8122">
        <v>0</v>
      </c>
      <c r="Q8122">
        <v>5</v>
      </c>
      <c r="R8122" t="s">
        <v>41258</v>
      </c>
      <c r="S8122" t="s">
        <v>41513</v>
      </c>
      <c r="T8122" t="s">
        <v>42938</v>
      </c>
      <c r="U8122" t="s">
        <v>49867</v>
      </c>
      <c r="W8122" t="s">
        <v>40198</v>
      </c>
      <c r="X8122" t="s">
        <v>41259</v>
      </c>
    </row>
    <row r="8123" spans="1:24">
      <c r="A8123">
        <f>HYPERLINK("https://www.philgeps.gov.ph/GEPSNONPILOT/Tender/SplashBidNoticeAbstractUI.aspx?menuIndex=3&amp;refID=7065805&amp;Result=3","7065805")</f>
        <v>0</v>
      </c>
      <c r="B8123" t="s">
        <v>236</v>
      </c>
      <c r="C8123" t="s">
        <v>11132</v>
      </c>
      <c r="D8123" t="s">
        <v>16663</v>
      </c>
      <c r="E8123" t="s">
        <v>11132</v>
      </c>
      <c r="F8123" t="s">
        <v>28669</v>
      </c>
      <c r="G8123" t="s">
        <v>28675</v>
      </c>
      <c r="H8123" t="s">
        <v>9998</v>
      </c>
      <c r="I8123" t="s">
        <v>3718</v>
      </c>
      <c r="J8123" t="s">
        <v>29245</v>
      </c>
      <c r="K8123" t="s">
        <v>37206</v>
      </c>
      <c r="M8123" t="s">
        <v>37714</v>
      </c>
      <c r="N8123" t="s">
        <v>41249</v>
      </c>
      <c r="O8123" t="s">
        <v>41250</v>
      </c>
      <c r="P8123">
        <v>0</v>
      </c>
      <c r="Q8123">
        <v>0</v>
      </c>
      <c r="R8123" t="s">
        <v>41258</v>
      </c>
      <c r="S8123" t="s">
        <v>41513</v>
      </c>
      <c r="T8123" t="s">
        <v>42734</v>
      </c>
      <c r="U8123" t="s">
        <v>49868</v>
      </c>
      <c r="W8123" t="s">
        <v>37714</v>
      </c>
      <c r="X8123" t="s">
        <v>41259</v>
      </c>
    </row>
    <row r="8124" spans="1:24">
      <c r="A8124">
        <f>HYPERLINK("https://www.philgeps.gov.ph/GEPSNONPILOT/Tender/SplashBidNoticeAbstractUI.aspx?menuIndex=3&amp;refID=7065804&amp;Result=3","7065804")</f>
        <v>0</v>
      </c>
      <c r="B8124" t="s">
        <v>338</v>
      </c>
      <c r="C8124" t="s">
        <v>11133</v>
      </c>
      <c r="D8124" t="s">
        <v>16671</v>
      </c>
      <c r="E8124" t="s">
        <v>23822</v>
      </c>
      <c r="F8124" t="s">
        <v>28669</v>
      </c>
      <c r="G8124" t="s">
        <v>28675</v>
      </c>
      <c r="H8124" t="s">
        <v>28686</v>
      </c>
      <c r="I8124" t="s">
        <v>28689</v>
      </c>
      <c r="J8124" t="s">
        <v>33887</v>
      </c>
      <c r="K8124" t="s">
        <v>37220</v>
      </c>
      <c r="M8124" t="s">
        <v>37818</v>
      </c>
      <c r="N8124" t="s">
        <v>41249</v>
      </c>
      <c r="O8124" t="s">
        <v>41250</v>
      </c>
      <c r="P8124">
        <v>0</v>
      </c>
      <c r="Q8124">
        <v>0</v>
      </c>
      <c r="R8124" t="s">
        <v>41258</v>
      </c>
      <c r="S8124" t="s">
        <v>41513</v>
      </c>
      <c r="T8124" t="s">
        <v>42767</v>
      </c>
      <c r="U8124" t="s">
        <v>49869</v>
      </c>
      <c r="W8124" t="s">
        <v>37818</v>
      </c>
      <c r="X8124" t="s">
        <v>41259</v>
      </c>
    </row>
    <row r="8125" spans="1:24">
      <c r="A8125">
        <f>HYPERLINK("https://www.philgeps.gov.ph/GEPSNONPILOT/Tender/SplashBidNoticeAbstractUI.aspx?menuIndex=3&amp;refID=7065739&amp;Result=3","7065739")</f>
        <v>0</v>
      </c>
      <c r="B8125" t="s">
        <v>965</v>
      </c>
      <c r="C8125" t="s">
        <v>11134</v>
      </c>
      <c r="D8125" t="s">
        <v>16608</v>
      </c>
      <c r="E8125" t="s">
        <v>23823</v>
      </c>
      <c r="F8125" t="s">
        <v>28669</v>
      </c>
      <c r="G8125" t="s">
        <v>28675</v>
      </c>
      <c r="H8125" t="s">
        <v>9998</v>
      </c>
      <c r="I8125" t="s">
        <v>15140</v>
      </c>
      <c r="J8125" t="s">
        <v>28845</v>
      </c>
      <c r="K8125" t="s">
        <v>37205</v>
      </c>
      <c r="M8125" t="s">
        <v>38490</v>
      </c>
      <c r="N8125" t="s">
        <v>41249</v>
      </c>
      <c r="O8125" t="s">
        <v>41250</v>
      </c>
      <c r="P8125">
        <v>0</v>
      </c>
      <c r="Q8125">
        <v>0</v>
      </c>
      <c r="R8125" t="s">
        <v>41258</v>
      </c>
      <c r="S8125" t="s">
        <v>41513</v>
      </c>
      <c r="T8125" t="s">
        <v>42728</v>
      </c>
      <c r="U8125" t="s">
        <v>45990</v>
      </c>
      <c r="W8125" t="s">
        <v>38490</v>
      </c>
      <c r="X8125" t="s">
        <v>41259</v>
      </c>
    </row>
    <row r="8126" spans="1:24">
      <c r="A8126">
        <f>HYPERLINK("https://www.philgeps.gov.ph/GEPSNONPILOT/Tender/SplashBidNoticeAbstractUI.aspx?menuIndex=3&amp;refID=7065799&amp;Result=3","7065799")</f>
        <v>0</v>
      </c>
      <c r="B8126" t="s">
        <v>812</v>
      </c>
      <c r="C8126" t="s">
        <v>11135</v>
      </c>
      <c r="D8126" t="s">
        <v>16658</v>
      </c>
      <c r="E8126" t="s">
        <v>23824</v>
      </c>
      <c r="F8126" t="s">
        <v>28669</v>
      </c>
      <c r="G8126" t="s">
        <v>28675</v>
      </c>
      <c r="H8126" t="s">
        <v>28686</v>
      </c>
      <c r="I8126" t="s">
        <v>28689</v>
      </c>
      <c r="J8126" t="s">
        <v>29003</v>
      </c>
      <c r="K8126" t="s">
        <v>37206</v>
      </c>
      <c r="M8126" t="s">
        <v>38327</v>
      </c>
      <c r="N8126" t="s">
        <v>41249</v>
      </c>
      <c r="O8126" t="s">
        <v>41250</v>
      </c>
      <c r="P8126">
        <v>0</v>
      </c>
      <c r="Q8126">
        <v>0</v>
      </c>
      <c r="R8126" t="s">
        <v>41258</v>
      </c>
      <c r="S8126" t="s">
        <v>41513</v>
      </c>
      <c r="T8126" t="s">
        <v>42782</v>
      </c>
      <c r="U8126" t="s">
        <v>49870</v>
      </c>
      <c r="W8126" t="s">
        <v>38327</v>
      </c>
      <c r="X8126" t="s">
        <v>41259</v>
      </c>
    </row>
    <row r="8127" spans="1:24">
      <c r="A8127">
        <f>HYPERLINK("https://www.philgeps.gov.ph/GEPSNONPILOT/Tender/SplashBidNoticeAbstractUI.aspx?menuIndex=3&amp;refID=7065793&amp;Result=3","7065793")</f>
        <v>0</v>
      </c>
      <c r="B8127" t="s">
        <v>236</v>
      </c>
      <c r="C8127" t="s">
        <v>11136</v>
      </c>
      <c r="D8127" t="s">
        <v>16663</v>
      </c>
      <c r="E8127" t="s">
        <v>11136</v>
      </c>
      <c r="F8127" t="s">
        <v>28669</v>
      </c>
      <c r="G8127" t="s">
        <v>28675</v>
      </c>
      <c r="H8127" t="s">
        <v>9998</v>
      </c>
      <c r="I8127" t="s">
        <v>15140</v>
      </c>
      <c r="J8127" t="s">
        <v>33888</v>
      </c>
      <c r="K8127" t="s">
        <v>37209</v>
      </c>
      <c r="M8127" t="s">
        <v>37714</v>
      </c>
      <c r="N8127" t="s">
        <v>41249</v>
      </c>
      <c r="O8127" t="s">
        <v>41250</v>
      </c>
      <c r="P8127">
        <v>0</v>
      </c>
      <c r="Q8127">
        <v>0</v>
      </c>
      <c r="R8127" t="s">
        <v>41258</v>
      </c>
      <c r="S8127" t="s">
        <v>41513</v>
      </c>
      <c r="T8127" t="s">
        <v>42734</v>
      </c>
      <c r="U8127" t="s">
        <v>49871</v>
      </c>
      <c r="W8127" t="s">
        <v>37714</v>
      </c>
      <c r="X8127" t="s">
        <v>41259</v>
      </c>
    </row>
    <row r="8128" spans="1:24">
      <c r="A8128">
        <f>HYPERLINK("https://www.philgeps.gov.ph/GEPSNONPILOT/Tender/SplashBidNoticeAbstractUI.aspx?menuIndex=3&amp;refID=7065791&amp;Result=3","7065791")</f>
        <v>0</v>
      </c>
      <c r="B8128" t="s">
        <v>1142</v>
      </c>
      <c r="C8128" t="s">
        <v>11137</v>
      </c>
      <c r="D8128" t="s">
        <v>16626</v>
      </c>
      <c r="E8128" t="s">
        <v>23825</v>
      </c>
      <c r="F8128" t="s">
        <v>28669</v>
      </c>
      <c r="G8128" t="s">
        <v>28675</v>
      </c>
      <c r="H8128" t="s">
        <v>9998</v>
      </c>
      <c r="I8128" t="s">
        <v>28809</v>
      </c>
      <c r="J8128" t="s">
        <v>33889</v>
      </c>
      <c r="K8128" t="s">
        <v>37234</v>
      </c>
      <c r="M8128" t="s">
        <v>38677</v>
      </c>
      <c r="N8128" t="s">
        <v>41249</v>
      </c>
      <c r="O8128" t="s">
        <v>41250</v>
      </c>
      <c r="P8128">
        <v>0</v>
      </c>
      <c r="Q8128">
        <v>0</v>
      </c>
      <c r="R8128" t="s">
        <v>41258</v>
      </c>
      <c r="S8128" t="s">
        <v>41513</v>
      </c>
      <c r="T8128" t="s">
        <v>43041</v>
      </c>
      <c r="U8128" t="s">
        <v>49872</v>
      </c>
      <c r="W8128" t="s">
        <v>38677</v>
      </c>
      <c r="X8128" t="s">
        <v>41259</v>
      </c>
    </row>
    <row r="8129" spans="1:24">
      <c r="A8129">
        <f>HYPERLINK("https://www.philgeps.gov.ph/GEPSNONPILOT/Tender/SplashBidNoticeAbstractUI.aspx?menuIndex=3&amp;refID=7065785&amp;Result=3","7065785")</f>
        <v>0</v>
      </c>
      <c r="B8129" t="s">
        <v>965</v>
      </c>
      <c r="C8129" t="s">
        <v>11138</v>
      </c>
      <c r="D8129" t="s">
        <v>16608</v>
      </c>
      <c r="E8129" t="s">
        <v>23826</v>
      </c>
      <c r="F8129" t="s">
        <v>28669</v>
      </c>
      <c r="G8129" t="s">
        <v>28675</v>
      </c>
      <c r="H8129" t="s">
        <v>9998</v>
      </c>
      <c r="I8129" t="s">
        <v>5213</v>
      </c>
      <c r="J8129" t="s">
        <v>33890</v>
      </c>
      <c r="K8129" t="s">
        <v>37205</v>
      </c>
      <c r="M8129" t="s">
        <v>38490</v>
      </c>
      <c r="N8129" t="s">
        <v>41249</v>
      </c>
      <c r="O8129" t="s">
        <v>41250</v>
      </c>
      <c r="P8129">
        <v>0</v>
      </c>
      <c r="Q8129">
        <v>1</v>
      </c>
      <c r="R8129" t="s">
        <v>41258</v>
      </c>
      <c r="S8129" t="s">
        <v>41513</v>
      </c>
      <c r="T8129" t="s">
        <v>42728</v>
      </c>
      <c r="U8129" t="s">
        <v>45206</v>
      </c>
      <c r="W8129" t="s">
        <v>38490</v>
      </c>
      <c r="X8129" t="s">
        <v>41259</v>
      </c>
    </row>
    <row r="8130" spans="1:24">
      <c r="A8130">
        <f>HYPERLINK("https://www.philgeps.gov.ph/GEPSNONPILOT/Tender/SplashBidNoticeAbstractUI.aspx?menuIndex=3&amp;refID=7065806&amp;Result=3","7065806")</f>
        <v>0</v>
      </c>
      <c r="B8130" t="s">
        <v>1212</v>
      </c>
      <c r="C8130" t="s">
        <v>11103</v>
      </c>
      <c r="D8130" t="s">
        <v>16678</v>
      </c>
      <c r="E8130" t="s">
        <v>23827</v>
      </c>
      <c r="F8130" t="s">
        <v>28669</v>
      </c>
      <c r="G8130" t="s">
        <v>28675</v>
      </c>
      <c r="H8130" t="s">
        <v>9998</v>
      </c>
      <c r="I8130" t="s">
        <v>28714</v>
      </c>
      <c r="J8130" t="s">
        <v>33043</v>
      </c>
      <c r="K8130" t="s">
        <v>37209</v>
      </c>
      <c r="M8130" t="s">
        <v>39476</v>
      </c>
      <c r="N8130" t="s">
        <v>41249</v>
      </c>
      <c r="O8130" t="s">
        <v>41250</v>
      </c>
      <c r="P8130">
        <v>0</v>
      </c>
      <c r="Q8130">
        <v>7</v>
      </c>
      <c r="R8130" t="s">
        <v>41258</v>
      </c>
      <c r="S8130" t="s">
        <v>41513</v>
      </c>
      <c r="T8130" t="s">
        <v>42837</v>
      </c>
      <c r="U8130" t="s">
        <v>49844</v>
      </c>
      <c r="V8130" t="s">
        <v>55191</v>
      </c>
      <c r="W8130" t="s">
        <v>39476</v>
      </c>
      <c r="X8130" t="s">
        <v>41259</v>
      </c>
    </row>
    <row r="8131" spans="1:24">
      <c r="A8131">
        <f>HYPERLINK("https://www.philgeps.gov.ph/GEPSNONPILOT/Tender/SplashBidNoticeAbstractUI.aspx?menuIndex=3&amp;refID=7065768&amp;Result=3","7065768")</f>
        <v>0</v>
      </c>
      <c r="B8131" t="s">
        <v>965</v>
      </c>
      <c r="C8131" t="s">
        <v>11139</v>
      </c>
      <c r="D8131" t="s">
        <v>16608</v>
      </c>
      <c r="E8131" t="s">
        <v>23828</v>
      </c>
      <c r="F8131" t="s">
        <v>28669</v>
      </c>
      <c r="G8131" t="s">
        <v>28675</v>
      </c>
      <c r="H8131" t="s">
        <v>9998</v>
      </c>
      <c r="I8131" t="s">
        <v>15140</v>
      </c>
      <c r="J8131" t="s">
        <v>33891</v>
      </c>
      <c r="K8131" t="s">
        <v>37205</v>
      </c>
      <c r="M8131" t="s">
        <v>38490</v>
      </c>
      <c r="N8131" t="s">
        <v>41249</v>
      </c>
      <c r="O8131" t="s">
        <v>41250</v>
      </c>
      <c r="P8131">
        <v>0</v>
      </c>
      <c r="Q8131">
        <v>0</v>
      </c>
      <c r="R8131" t="s">
        <v>41258</v>
      </c>
      <c r="S8131" t="s">
        <v>41513</v>
      </c>
      <c r="T8131" t="s">
        <v>42728</v>
      </c>
      <c r="U8131" t="s">
        <v>45990</v>
      </c>
      <c r="W8131" t="s">
        <v>38490</v>
      </c>
      <c r="X8131" t="s">
        <v>41259</v>
      </c>
    </row>
    <row r="8132" spans="1:24">
      <c r="A8132">
        <f>HYPERLINK("https://www.philgeps.gov.ph/GEPSNONPILOT/Tender/SplashBidNoticeAbstractUI.aspx?menuIndex=3&amp;refID=7065783&amp;Result=3","7065783")</f>
        <v>0</v>
      </c>
      <c r="B8132" t="s">
        <v>2512</v>
      </c>
      <c r="C8132" t="s">
        <v>11140</v>
      </c>
      <c r="D8132" t="s">
        <v>16658</v>
      </c>
      <c r="E8132" t="s">
        <v>23829</v>
      </c>
      <c r="F8132" t="s">
        <v>28669</v>
      </c>
      <c r="G8132" t="s">
        <v>28675</v>
      </c>
      <c r="H8132" t="s">
        <v>28686</v>
      </c>
      <c r="I8132" t="s">
        <v>28689</v>
      </c>
      <c r="J8132" t="s">
        <v>33892</v>
      </c>
      <c r="K8132" t="s">
        <v>37206</v>
      </c>
      <c r="M8132" t="s">
        <v>40200</v>
      </c>
      <c r="N8132" t="s">
        <v>41249</v>
      </c>
      <c r="O8132" t="s">
        <v>41250</v>
      </c>
      <c r="P8132">
        <v>0</v>
      </c>
      <c r="Q8132">
        <v>0</v>
      </c>
      <c r="R8132" t="s">
        <v>41258</v>
      </c>
      <c r="S8132" t="s">
        <v>41513</v>
      </c>
      <c r="T8132" t="s">
        <v>42827</v>
      </c>
      <c r="U8132" t="s">
        <v>49864</v>
      </c>
      <c r="W8132" t="s">
        <v>40200</v>
      </c>
      <c r="X8132" t="s">
        <v>41259</v>
      </c>
    </row>
    <row r="8133" spans="1:24">
      <c r="A8133">
        <f>HYPERLINK("https://www.philgeps.gov.ph/GEPSNONPILOT/Tender/SplashBidNoticeAbstractUI.aspx?menuIndex=3&amp;refID=7065779&amp;Result=3","7065779")</f>
        <v>0</v>
      </c>
      <c r="B8133" t="s">
        <v>338</v>
      </c>
      <c r="C8133" t="s">
        <v>11141</v>
      </c>
      <c r="D8133" t="s">
        <v>16671</v>
      </c>
      <c r="E8133" t="s">
        <v>23830</v>
      </c>
      <c r="F8133" t="s">
        <v>28669</v>
      </c>
      <c r="G8133" t="s">
        <v>28675</v>
      </c>
      <c r="H8133" t="s">
        <v>28686</v>
      </c>
      <c r="I8133" t="s">
        <v>28689</v>
      </c>
      <c r="J8133" t="s">
        <v>33893</v>
      </c>
      <c r="K8133" t="s">
        <v>37220</v>
      </c>
      <c r="M8133" t="s">
        <v>37818</v>
      </c>
      <c r="N8133" t="s">
        <v>41249</v>
      </c>
      <c r="O8133" t="s">
        <v>41250</v>
      </c>
      <c r="P8133">
        <v>0</v>
      </c>
      <c r="Q8133">
        <v>0</v>
      </c>
      <c r="R8133" t="s">
        <v>41258</v>
      </c>
      <c r="S8133" t="s">
        <v>41513</v>
      </c>
      <c r="T8133" t="s">
        <v>42767</v>
      </c>
      <c r="U8133" t="s">
        <v>49873</v>
      </c>
      <c r="W8133" t="s">
        <v>37818</v>
      </c>
      <c r="X8133" t="s">
        <v>41259</v>
      </c>
    </row>
    <row r="8134" spans="1:24">
      <c r="A8134">
        <f>HYPERLINK("https://www.philgeps.gov.ph/GEPSNONPILOT/Tender/SplashBidNoticeAbstractUI.aspx?menuIndex=3&amp;refID=7065777&amp;Result=3","7065777")</f>
        <v>0</v>
      </c>
      <c r="B8134" t="s">
        <v>2513</v>
      </c>
      <c r="C8134" t="s">
        <v>11142</v>
      </c>
      <c r="D8134" t="s">
        <v>16684</v>
      </c>
      <c r="E8134" t="s">
        <v>17140</v>
      </c>
      <c r="F8134" t="s">
        <v>28672</v>
      </c>
      <c r="G8134" t="s">
        <v>28675</v>
      </c>
      <c r="H8134" t="s">
        <v>9998</v>
      </c>
      <c r="I8134" t="s">
        <v>11142</v>
      </c>
      <c r="J8134" t="s">
        <v>28826</v>
      </c>
      <c r="K8134" t="s">
        <v>37204</v>
      </c>
      <c r="M8134" t="s">
        <v>40201</v>
      </c>
      <c r="N8134" t="s">
        <v>41249</v>
      </c>
      <c r="O8134" t="s">
        <v>41250</v>
      </c>
      <c r="P8134">
        <v>0</v>
      </c>
      <c r="Q8134">
        <v>1</v>
      </c>
      <c r="R8134" t="s">
        <v>41258</v>
      </c>
      <c r="S8134" t="s">
        <v>41513</v>
      </c>
      <c r="T8134" t="s">
        <v>42707</v>
      </c>
      <c r="U8134" t="s">
        <v>49874</v>
      </c>
      <c r="W8134" t="s">
        <v>40201</v>
      </c>
      <c r="X8134" t="s">
        <v>41259</v>
      </c>
    </row>
    <row r="8135" spans="1:24">
      <c r="A8135">
        <f>HYPERLINK("https://www.philgeps.gov.ph/GEPSNONPILOT/Tender/SplashBidNoticeAbstractUI.aspx?menuIndex=3&amp;refID=7065776&amp;Result=3","7065776")</f>
        <v>0</v>
      </c>
      <c r="B8135" t="s">
        <v>965</v>
      </c>
      <c r="C8135" t="s">
        <v>11143</v>
      </c>
      <c r="D8135" t="s">
        <v>16608</v>
      </c>
      <c r="E8135" t="s">
        <v>23831</v>
      </c>
      <c r="F8135" t="s">
        <v>28669</v>
      </c>
      <c r="G8135" t="s">
        <v>28675</v>
      </c>
      <c r="H8135" t="s">
        <v>9998</v>
      </c>
      <c r="I8135" t="s">
        <v>15140</v>
      </c>
      <c r="J8135" t="s">
        <v>33894</v>
      </c>
      <c r="K8135" t="s">
        <v>37205</v>
      </c>
      <c r="M8135" t="s">
        <v>38490</v>
      </c>
      <c r="N8135" t="s">
        <v>41249</v>
      </c>
      <c r="O8135" t="s">
        <v>41250</v>
      </c>
      <c r="P8135">
        <v>0</v>
      </c>
      <c r="Q8135">
        <v>0</v>
      </c>
      <c r="R8135" t="s">
        <v>41258</v>
      </c>
      <c r="S8135" t="s">
        <v>41513</v>
      </c>
      <c r="T8135" t="s">
        <v>42728</v>
      </c>
      <c r="U8135" t="s">
        <v>45990</v>
      </c>
      <c r="W8135" t="s">
        <v>38490</v>
      </c>
      <c r="X8135" t="s">
        <v>41259</v>
      </c>
    </row>
    <row r="8136" spans="1:24">
      <c r="A8136">
        <f>HYPERLINK("https://www.philgeps.gov.ph/GEPSNONPILOT/Tender/SplashBidNoticeAbstractUI.aspx?menuIndex=3&amp;refID=7065723&amp;Result=3","7065723")</f>
        <v>0</v>
      </c>
      <c r="B8136" t="s">
        <v>1509</v>
      </c>
      <c r="C8136" t="s">
        <v>11144</v>
      </c>
      <c r="D8136" t="s">
        <v>16660</v>
      </c>
      <c r="E8136" t="s">
        <v>23832</v>
      </c>
      <c r="F8136" t="s">
        <v>28669</v>
      </c>
      <c r="G8136" t="s">
        <v>28676</v>
      </c>
      <c r="H8136" t="s">
        <v>9998</v>
      </c>
      <c r="I8136" t="s">
        <v>28757</v>
      </c>
      <c r="J8136" t="s">
        <v>29899</v>
      </c>
      <c r="K8136" t="s">
        <v>37325</v>
      </c>
      <c r="M8136" t="s">
        <v>40198</v>
      </c>
      <c r="N8136" t="s">
        <v>41249</v>
      </c>
      <c r="O8136" t="s">
        <v>41250</v>
      </c>
      <c r="P8136">
        <v>0</v>
      </c>
      <c r="Q8136">
        <v>1</v>
      </c>
      <c r="R8136" t="s">
        <v>41258</v>
      </c>
      <c r="S8136" t="s">
        <v>41513</v>
      </c>
      <c r="T8136" t="s">
        <v>42938</v>
      </c>
      <c r="U8136" t="s">
        <v>49875</v>
      </c>
      <c r="W8136" t="s">
        <v>40198</v>
      </c>
      <c r="X8136" t="s">
        <v>41259</v>
      </c>
    </row>
    <row r="8137" spans="1:24">
      <c r="A8137">
        <f>HYPERLINK("https://www.philgeps.gov.ph/GEPSNONPILOT/Tender/SplashBidNoticeAbstractUI.aspx?menuIndex=3&amp;refID=7065789&amp;Result=3","7065789")</f>
        <v>0</v>
      </c>
      <c r="B8137" t="s">
        <v>2514</v>
      </c>
      <c r="C8137" t="s">
        <v>11145</v>
      </c>
      <c r="D8137" t="s">
        <v>16615</v>
      </c>
      <c r="E8137" t="s">
        <v>17029</v>
      </c>
      <c r="F8137" t="s">
        <v>28669</v>
      </c>
      <c r="G8137" t="s">
        <v>28680</v>
      </c>
      <c r="H8137" t="s">
        <v>9998</v>
      </c>
      <c r="I8137" t="s">
        <v>28723</v>
      </c>
      <c r="J8137" t="s">
        <v>30264</v>
      </c>
      <c r="K8137" t="s">
        <v>37204</v>
      </c>
      <c r="M8137" t="s">
        <v>40202</v>
      </c>
      <c r="N8137" t="s">
        <v>41249</v>
      </c>
      <c r="O8137" t="s">
        <v>41250</v>
      </c>
      <c r="P8137">
        <v>0</v>
      </c>
      <c r="Q8137">
        <v>1</v>
      </c>
      <c r="R8137" t="s">
        <v>41258</v>
      </c>
      <c r="S8137" t="s">
        <v>41513</v>
      </c>
      <c r="T8137" t="s">
        <v>42727</v>
      </c>
      <c r="U8137" t="s">
        <v>49876</v>
      </c>
      <c r="W8137" t="s">
        <v>40202</v>
      </c>
      <c r="X8137" t="s">
        <v>41259</v>
      </c>
    </row>
    <row r="8138" spans="1:24">
      <c r="A8138">
        <f>HYPERLINK("https://www.philgeps.gov.ph/GEPSNONPILOT/Tender/SplashBidNoticeAbstractUI.aspx?menuIndex=3&amp;refID=7065718&amp;Result=3","7065718")</f>
        <v>0</v>
      </c>
      <c r="B8138" t="s">
        <v>2515</v>
      </c>
      <c r="C8138" t="s">
        <v>11146</v>
      </c>
      <c r="D8138" t="s">
        <v>16619</v>
      </c>
      <c r="E8138" t="s">
        <v>18012</v>
      </c>
      <c r="F8138" t="s">
        <v>28669</v>
      </c>
      <c r="G8138" t="s">
        <v>28676</v>
      </c>
      <c r="H8138" t="s">
        <v>28684</v>
      </c>
      <c r="I8138" t="s">
        <v>5213</v>
      </c>
      <c r="J8138" t="s">
        <v>33895</v>
      </c>
      <c r="K8138" t="s">
        <v>37205</v>
      </c>
      <c r="M8138" t="s">
        <v>40203</v>
      </c>
      <c r="N8138" t="s">
        <v>41249</v>
      </c>
      <c r="O8138" t="s">
        <v>41250</v>
      </c>
      <c r="P8138">
        <v>0</v>
      </c>
      <c r="Q8138">
        <v>0</v>
      </c>
      <c r="R8138" t="s">
        <v>41258</v>
      </c>
      <c r="S8138" t="s">
        <v>41513</v>
      </c>
      <c r="T8138" t="s">
        <v>42747</v>
      </c>
      <c r="U8138" t="s">
        <v>49877</v>
      </c>
      <c r="W8138" t="s">
        <v>40203</v>
      </c>
      <c r="X8138" t="s">
        <v>41259</v>
      </c>
    </row>
    <row r="8139" spans="1:24">
      <c r="A8139">
        <f>HYPERLINK("https://www.philgeps.gov.ph/GEPSNONPILOT/Tender/SplashBidNoticeAbstractUI.aspx?menuIndex=3&amp;refID=7065788&amp;Result=3","7065788")</f>
        <v>0</v>
      </c>
      <c r="B8139" t="s">
        <v>236</v>
      </c>
      <c r="C8139" t="s">
        <v>11147</v>
      </c>
      <c r="D8139" t="s">
        <v>16663</v>
      </c>
      <c r="E8139" t="s">
        <v>11147</v>
      </c>
      <c r="F8139" t="s">
        <v>28669</v>
      </c>
      <c r="G8139" t="s">
        <v>28675</v>
      </c>
      <c r="H8139" t="s">
        <v>9998</v>
      </c>
      <c r="I8139" t="s">
        <v>28704</v>
      </c>
      <c r="J8139" t="s">
        <v>28878</v>
      </c>
      <c r="K8139" t="s">
        <v>37206</v>
      </c>
      <c r="M8139" t="s">
        <v>37714</v>
      </c>
      <c r="N8139" t="s">
        <v>41249</v>
      </c>
      <c r="O8139" t="s">
        <v>41250</v>
      </c>
      <c r="P8139">
        <v>0</v>
      </c>
      <c r="Q8139">
        <v>0</v>
      </c>
      <c r="R8139" t="s">
        <v>41258</v>
      </c>
      <c r="S8139" t="s">
        <v>41513</v>
      </c>
      <c r="T8139" t="s">
        <v>42734</v>
      </c>
      <c r="U8139" t="s">
        <v>49878</v>
      </c>
      <c r="W8139" t="s">
        <v>37714</v>
      </c>
      <c r="X8139" t="s">
        <v>41259</v>
      </c>
    </row>
    <row r="8140" spans="1:24">
      <c r="A8140">
        <f>HYPERLINK("https://www.philgeps.gov.ph/GEPSNONPILOT/Tender/SplashBidNoticeAbstractUI.aspx?menuIndex=3&amp;refID=7065713&amp;Result=3","7065713")</f>
        <v>0</v>
      </c>
      <c r="B8140" t="s">
        <v>812</v>
      </c>
      <c r="C8140" t="s">
        <v>11148</v>
      </c>
      <c r="D8140" t="s">
        <v>16658</v>
      </c>
      <c r="E8140" t="s">
        <v>23833</v>
      </c>
      <c r="F8140" t="s">
        <v>28669</v>
      </c>
      <c r="G8140" t="s">
        <v>28675</v>
      </c>
      <c r="H8140" t="s">
        <v>28686</v>
      </c>
      <c r="I8140" t="s">
        <v>28689</v>
      </c>
      <c r="J8140" t="s">
        <v>28836</v>
      </c>
      <c r="K8140" t="s">
        <v>37220</v>
      </c>
      <c r="M8140" t="s">
        <v>38327</v>
      </c>
      <c r="N8140" t="s">
        <v>41249</v>
      </c>
      <c r="O8140" t="s">
        <v>41250</v>
      </c>
      <c r="P8140">
        <v>0</v>
      </c>
      <c r="Q8140">
        <v>0</v>
      </c>
      <c r="R8140" t="s">
        <v>41258</v>
      </c>
      <c r="S8140" t="s">
        <v>41513</v>
      </c>
      <c r="T8140" t="s">
        <v>42782</v>
      </c>
      <c r="U8140" t="s">
        <v>49879</v>
      </c>
      <c r="W8140" t="s">
        <v>38327</v>
      </c>
      <c r="X8140" t="s">
        <v>41259</v>
      </c>
    </row>
    <row r="8141" spans="1:24">
      <c r="A8141">
        <f>HYPERLINK("https://www.philgeps.gov.ph/GEPSNONPILOT/Tender/SplashBidNoticeAbstractUI.aspx?menuIndex=3&amp;refID=7065710&amp;Result=3","7065710")</f>
        <v>0</v>
      </c>
      <c r="B8141" t="s">
        <v>1212</v>
      </c>
      <c r="C8141" t="s">
        <v>11103</v>
      </c>
      <c r="D8141" t="s">
        <v>16678</v>
      </c>
      <c r="E8141" t="s">
        <v>23834</v>
      </c>
      <c r="F8141" t="s">
        <v>28669</v>
      </c>
      <c r="G8141" t="s">
        <v>28675</v>
      </c>
      <c r="H8141" t="s">
        <v>9998</v>
      </c>
      <c r="I8141" t="s">
        <v>28714</v>
      </c>
      <c r="J8141" t="s">
        <v>33896</v>
      </c>
      <c r="K8141" t="s">
        <v>37209</v>
      </c>
      <c r="M8141" t="s">
        <v>39476</v>
      </c>
      <c r="N8141" t="s">
        <v>41249</v>
      </c>
      <c r="O8141" t="s">
        <v>41250</v>
      </c>
      <c r="P8141">
        <v>0</v>
      </c>
      <c r="Q8141">
        <v>10</v>
      </c>
      <c r="R8141" t="s">
        <v>41258</v>
      </c>
      <c r="S8141" t="s">
        <v>41513</v>
      </c>
      <c r="T8141" t="s">
        <v>42837</v>
      </c>
      <c r="U8141" t="s">
        <v>49844</v>
      </c>
      <c r="V8141" t="s">
        <v>55191</v>
      </c>
      <c r="W8141" t="s">
        <v>39476</v>
      </c>
      <c r="X8141" t="s">
        <v>41259</v>
      </c>
    </row>
    <row r="8142" spans="1:24">
      <c r="A8142">
        <f>HYPERLINK("https://www.philgeps.gov.ph/GEPSNONPILOT/Tender/SplashBidNoticeAbstractUI.aspx?menuIndex=3&amp;refID=7065784&amp;Result=3","7065784")</f>
        <v>0</v>
      </c>
      <c r="B8142" t="s">
        <v>1212</v>
      </c>
      <c r="C8142" t="s">
        <v>11103</v>
      </c>
      <c r="D8142" t="s">
        <v>16678</v>
      </c>
      <c r="E8142" t="s">
        <v>23835</v>
      </c>
      <c r="F8142" t="s">
        <v>28669</v>
      </c>
      <c r="G8142" t="s">
        <v>28675</v>
      </c>
      <c r="H8142" t="s">
        <v>9998</v>
      </c>
      <c r="I8142" t="s">
        <v>28714</v>
      </c>
      <c r="J8142" t="s">
        <v>31438</v>
      </c>
      <c r="K8142" t="s">
        <v>37209</v>
      </c>
      <c r="M8142" t="s">
        <v>39476</v>
      </c>
      <c r="N8142" t="s">
        <v>41249</v>
      </c>
      <c r="O8142" t="s">
        <v>41250</v>
      </c>
      <c r="P8142">
        <v>0</v>
      </c>
      <c r="Q8142">
        <v>9</v>
      </c>
      <c r="R8142" t="s">
        <v>41258</v>
      </c>
      <c r="S8142" t="s">
        <v>41513</v>
      </c>
      <c r="T8142" t="s">
        <v>42837</v>
      </c>
      <c r="U8142" t="s">
        <v>49844</v>
      </c>
      <c r="V8142" t="s">
        <v>55191</v>
      </c>
      <c r="W8142" t="s">
        <v>39476</v>
      </c>
      <c r="X8142" t="s">
        <v>41259</v>
      </c>
    </row>
    <row r="8143" spans="1:24">
      <c r="A8143">
        <f>HYPERLINK("https://www.philgeps.gov.ph/GEPSNONPILOT/Tender/SplashBidNoticeAbstractUI.aspx?menuIndex=3&amp;refID=7065820&amp;Result=3","7065820")</f>
        <v>0</v>
      </c>
      <c r="B8143" t="s">
        <v>236</v>
      </c>
      <c r="C8143" t="s">
        <v>11149</v>
      </c>
      <c r="D8143" t="s">
        <v>16663</v>
      </c>
      <c r="E8143" t="s">
        <v>11149</v>
      </c>
      <c r="F8143" t="s">
        <v>28669</v>
      </c>
      <c r="G8143" t="s">
        <v>28675</v>
      </c>
      <c r="H8143" t="s">
        <v>9998</v>
      </c>
      <c r="I8143" t="s">
        <v>11593</v>
      </c>
      <c r="J8143" t="s">
        <v>33897</v>
      </c>
      <c r="K8143" t="s">
        <v>37206</v>
      </c>
      <c r="M8143" t="s">
        <v>37714</v>
      </c>
      <c r="N8143" t="s">
        <v>41249</v>
      </c>
      <c r="O8143" t="s">
        <v>41250</v>
      </c>
      <c r="P8143">
        <v>0</v>
      </c>
      <c r="Q8143">
        <v>3</v>
      </c>
      <c r="R8143" t="s">
        <v>41258</v>
      </c>
      <c r="S8143" t="s">
        <v>41513</v>
      </c>
      <c r="T8143" t="s">
        <v>42734</v>
      </c>
      <c r="U8143" t="s">
        <v>49880</v>
      </c>
      <c r="W8143" t="s">
        <v>37714</v>
      </c>
      <c r="X8143" t="s">
        <v>41259</v>
      </c>
    </row>
    <row r="8144" spans="1:24">
      <c r="A8144">
        <f>HYPERLINK("https://www.philgeps.gov.ph/GEPSNONPILOT/Tender/SplashBidNoticeAbstractUI.aspx?menuIndex=3&amp;refID=7065794&amp;Result=3","7065794")</f>
        <v>0</v>
      </c>
      <c r="B8144" t="s">
        <v>2481</v>
      </c>
      <c r="C8144" t="s">
        <v>11150</v>
      </c>
      <c r="D8144" t="s">
        <v>16643</v>
      </c>
      <c r="E8144" t="s">
        <v>23836</v>
      </c>
      <c r="F8144" t="s">
        <v>28669</v>
      </c>
      <c r="G8144" t="s">
        <v>28676</v>
      </c>
      <c r="H8144" t="s">
        <v>9998</v>
      </c>
      <c r="I8144" t="s">
        <v>7352</v>
      </c>
      <c r="J8144" t="s">
        <v>33898</v>
      </c>
      <c r="K8144" t="s">
        <v>37205</v>
      </c>
      <c r="M8144" t="s">
        <v>40164</v>
      </c>
      <c r="N8144" t="s">
        <v>41249</v>
      </c>
      <c r="O8144" t="s">
        <v>41250</v>
      </c>
      <c r="P8144">
        <v>0</v>
      </c>
      <c r="Q8144">
        <v>2</v>
      </c>
      <c r="R8144" t="s">
        <v>41258</v>
      </c>
      <c r="S8144" t="s">
        <v>41513</v>
      </c>
      <c r="T8144" t="s">
        <v>42681</v>
      </c>
      <c r="U8144" t="s">
        <v>45452</v>
      </c>
      <c r="W8144" t="s">
        <v>40164</v>
      </c>
      <c r="X8144" t="s">
        <v>41259</v>
      </c>
    </row>
    <row r="8145" spans="1:24">
      <c r="A8145">
        <f>HYPERLINK("https://www.philgeps.gov.ph/GEPSNONPILOT/Tender/SplashBidNoticeAbstractUI.aspx?menuIndex=3&amp;refID=7065861&amp;Result=3","7065861")</f>
        <v>0</v>
      </c>
      <c r="B8145" t="s">
        <v>1005</v>
      </c>
      <c r="C8145" t="s">
        <v>11151</v>
      </c>
      <c r="D8145" t="s">
        <v>16608</v>
      </c>
      <c r="E8145" t="s">
        <v>23837</v>
      </c>
      <c r="F8145" t="s">
        <v>28669</v>
      </c>
      <c r="G8145" t="s">
        <v>28676</v>
      </c>
      <c r="H8145" t="s">
        <v>9998</v>
      </c>
      <c r="I8145" t="s">
        <v>11593</v>
      </c>
      <c r="J8145" t="s">
        <v>33899</v>
      </c>
      <c r="K8145" t="s">
        <v>37243</v>
      </c>
      <c r="M8145" t="s">
        <v>38534</v>
      </c>
      <c r="N8145" t="s">
        <v>41249</v>
      </c>
      <c r="O8145" t="s">
        <v>41250</v>
      </c>
      <c r="P8145">
        <v>0</v>
      </c>
      <c r="Q8145">
        <v>10</v>
      </c>
      <c r="R8145" t="s">
        <v>41258</v>
      </c>
      <c r="S8145" t="s">
        <v>41513</v>
      </c>
      <c r="T8145" t="s">
        <v>42883</v>
      </c>
      <c r="U8145" t="s">
        <v>49881</v>
      </c>
      <c r="W8145" t="s">
        <v>38534</v>
      </c>
      <c r="X8145" t="s">
        <v>41259</v>
      </c>
    </row>
    <row r="8146" spans="1:24">
      <c r="A8146">
        <f>HYPERLINK("https://www.philgeps.gov.ph/GEPSNONPILOT/Tender/SplashBidNoticeAbstractUI.aspx?menuIndex=3&amp;refID=7065736&amp;Result=3","7065736")</f>
        <v>0</v>
      </c>
      <c r="B8146" t="s">
        <v>2509</v>
      </c>
      <c r="C8146" t="s">
        <v>11152</v>
      </c>
      <c r="D8146" t="s">
        <v>16668</v>
      </c>
      <c r="E8146" t="s">
        <v>23838</v>
      </c>
      <c r="F8146" t="s">
        <v>28669</v>
      </c>
      <c r="G8146" t="s">
        <v>28675</v>
      </c>
      <c r="H8146" t="s">
        <v>28686</v>
      </c>
      <c r="I8146" t="s">
        <v>28689</v>
      </c>
      <c r="J8146" t="s">
        <v>28826</v>
      </c>
      <c r="K8146" t="s">
        <v>37206</v>
      </c>
      <c r="M8146" t="s">
        <v>40196</v>
      </c>
      <c r="N8146" t="s">
        <v>41249</v>
      </c>
      <c r="O8146" t="s">
        <v>41250</v>
      </c>
      <c r="P8146">
        <v>0</v>
      </c>
      <c r="Q8146">
        <v>0</v>
      </c>
      <c r="R8146" t="s">
        <v>41258</v>
      </c>
      <c r="S8146" t="s">
        <v>41513</v>
      </c>
      <c r="T8146" t="s">
        <v>42659</v>
      </c>
      <c r="U8146" t="s">
        <v>49859</v>
      </c>
      <c r="W8146" t="s">
        <v>40196</v>
      </c>
      <c r="X8146" t="s">
        <v>41259</v>
      </c>
    </row>
    <row r="8147" spans="1:24">
      <c r="A8147">
        <f>HYPERLINK("https://www.philgeps.gov.ph/GEPSNONPILOT/Tender/SplashBidNoticeAbstractUI.aspx?menuIndex=3&amp;refID=7065867&amp;Result=3","7065867")</f>
        <v>0</v>
      </c>
      <c r="B8147" t="s">
        <v>338</v>
      </c>
      <c r="C8147" t="s">
        <v>3408</v>
      </c>
      <c r="D8147" t="s">
        <v>16671</v>
      </c>
      <c r="E8147" t="s">
        <v>23839</v>
      </c>
      <c r="F8147" t="s">
        <v>28669</v>
      </c>
      <c r="G8147" t="s">
        <v>28675</v>
      </c>
      <c r="H8147" t="s">
        <v>28686</v>
      </c>
      <c r="I8147" t="s">
        <v>28689</v>
      </c>
      <c r="J8147" t="s">
        <v>33900</v>
      </c>
      <c r="K8147" t="s">
        <v>37213</v>
      </c>
      <c r="M8147" t="s">
        <v>37818</v>
      </c>
      <c r="N8147" t="s">
        <v>41249</v>
      </c>
      <c r="O8147" t="s">
        <v>41250</v>
      </c>
      <c r="P8147">
        <v>0</v>
      </c>
      <c r="Q8147">
        <v>1</v>
      </c>
      <c r="R8147" t="s">
        <v>41258</v>
      </c>
      <c r="S8147" t="s">
        <v>41513</v>
      </c>
      <c r="T8147" t="s">
        <v>42786</v>
      </c>
      <c r="U8147" t="s">
        <v>49882</v>
      </c>
      <c r="W8147" t="s">
        <v>37818</v>
      </c>
      <c r="X8147" t="s">
        <v>41259</v>
      </c>
    </row>
    <row r="8148" spans="1:24">
      <c r="A8148">
        <f>HYPERLINK("https://www.philgeps.gov.ph/GEPSNONPILOT/Tender/SplashBidNoticeAbstractUI.aspx?menuIndex=3&amp;refID=7065869&amp;Result=3","7065869")</f>
        <v>0</v>
      </c>
      <c r="B8148" t="s">
        <v>1509</v>
      </c>
      <c r="C8148" t="s">
        <v>11153</v>
      </c>
      <c r="D8148" t="s">
        <v>16660</v>
      </c>
      <c r="E8148" t="s">
        <v>23840</v>
      </c>
      <c r="F8148" t="s">
        <v>28669</v>
      </c>
      <c r="G8148" t="s">
        <v>28676</v>
      </c>
      <c r="H8148" t="s">
        <v>9998</v>
      </c>
      <c r="I8148" t="s">
        <v>28725</v>
      </c>
      <c r="J8148" t="s">
        <v>28912</v>
      </c>
      <c r="K8148" t="s">
        <v>37205</v>
      </c>
      <c r="M8148" t="s">
        <v>40198</v>
      </c>
      <c r="N8148" t="s">
        <v>41249</v>
      </c>
      <c r="O8148" t="s">
        <v>41250</v>
      </c>
      <c r="P8148">
        <v>0</v>
      </c>
      <c r="Q8148">
        <v>0</v>
      </c>
      <c r="R8148" t="s">
        <v>41258</v>
      </c>
      <c r="S8148" t="s">
        <v>41513</v>
      </c>
      <c r="T8148" t="s">
        <v>42938</v>
      </c>
      <c r="U8148" t="s">
        <v>46942</v>
      </c>
      <c r="W8148" t="s">
        <v>40198</v>
      </c>
      <c r="X8148" t="s">
        <v>41259</v>
      </c>
    </row>
    <row r="8149" spans="1:24">
      <c r="A8149">
        <f>HYPERLINK("https://www.philgeps.gov.ph/GEPSNONPILOT/Tender/SplashBidNoticeAbstractUI.aspx?menuIndex=3&amp;refID=7065866&amp;Result=3","7065866")</f>
        <v>0</v>
      </c>
      <c r="B8149" t="s">
        <v>965</v>
      </c>
      <c r="C8149" t="s">
        <v>11154</v>
      </c>
      <c r="D8149" t="s">
        <v>16608</v>
      </c>
      <c r="E8149" t="s">
        <v>23841</v>
      </c>
      <c r="F8149" t="s">
        <v>28669</v>
      </c>
      <c r="G8149" t="s">
        <v>28675</v>
      </c>
      <c r="H8149" t="s">
        <v>9998</v>
      </c>
      <c r="I8149" t="s">
        <v>5213</v>
      </c>
      <c r="J8149" t="s">
        <v>33901</v>
      </c>
      <c r="K8149" t="s">
        <v>37205</v>
      </c>
      <c r="M8149" t="s">
        <v>38490</v>
      </c>
      <c r="N8149" t="s">
        <v>41249</v>
      </c>
      <c r="O8149" t="s">
        <v>41250</v>
      </c>
      <c r="P8149">
        <v>0</v>
      </c>
      <c r="Q8149">
        <v>0</v>
      </c>
      <c r="R8149" t="s">
        <v>41258</v>
      </c>
      <c r="S8149" t="s">
        <v>41513</v>
      </c>
      <c r="T8149" t="s">
        <v>42728</v>
      </c>
      <c r="U8149" t="s">
        <v>45206</v>
      </c>
      <c r="W8149" t="s">
        <v>38490</v>
      </c>
      <c r="X8149" t="s">
        <v>41259</v>
      </c>
    </row>
    <row r="8150" spans="1:24">
      <c r="A8150">
        <f>HYPERLINK("https://www.philgeps.gov.ph/GEPSNONPILOT/Tender/SplashBidNoticeAbstractUI.aspx?menuIndex=3&amp;refID=7065863&amp;Result=3","7065863")</f>
        <v>0</v>
      </c>
      <c r="B8150" t="s">
        <v>603</v>
      </c>
      <c r="C8150" t="s">
        <v>11155</v>
      </c>
      <c r="D8150" t="s">
        <v>16615</v>
      </c>
      <c r="E8150" t="s">
        <v>23842</v>
      </c>
      <c r="F8150" t="s">
        <v>28669</v>
      </c>
      <c r="G8150" t="s">
        <v>28676</v>
      </c>
      <c r="H8150" t="s">
        <v>9998</v>
      </c>
      <c r="I8150" t="s">
        <v>28717</v>
      </c>
      <c r="J8150" t="s">
        <v>29225</v>
      </c>
      <c r="K8150" t="s">
        <v>37205</v>
      </c>
      <c r="M8150" t="s">
        <v>38103</v>
      </c>
      <c r="N8150" t="s">
        <v>41249</v>
      </c>
      <c r="O8150" t="s">
        <v>41250</v>
      </c>
      <c r="P8150">
        <v>0</v>
      </c>
      <c r="Q8150">
        <v>4</v>
      </c>
      <c r="R8150" t="s">
        <v>41258</v>
      </c>
      <c r="S8150" t="s">
        <v>41513</v>
      </c>
      <c r="T8150" t="s">
        <v>42887</v>
      </c>
      <c r="U8150" t="s">
        <v>49883</v>
      </c>
      <c r="W8150" t="s">
        <v>38103</v>
      </c>
      <c r="X8150" t="s">
        <v>41259</v>
      </c>
    </row>
    <row r="8151" spans="1:24">
      <c r="A8151">
        <f>HYPERLINK("https://www.philgeps.gov.ph/GEPSNONPILOT/Tender/SplashBidNoticeAbstractUI.aspx?menuIndex=3&amp;refID=7065856&amp;Result=3","7065856")</f>
        <v>0</v>
      </c>
      <c r="B8151" t="s">
        <v>2516</v>
      </c>
      <c r="C8151" t="s">
        <v>11156</v>
      </c>
      <c r="D8151" t="s">
        <v>16627</v>
      </c>
      <c r="E8151" t="s">
        <v>16820</v>
      </c>
      <c r="F8151" t="s">
        <v>28669</v>
      </c>
      <c r="G8151" t="s">
        <v>28675</v>
      </c>
      <c r="H8151" t="s">
        <v>28684</v>
      </c>
      <c r="I8151" t="s">
        <v>28689</v>
      </c>
      <c r="J8151" t="s">
        <v>33902</v>
      </c>
      <c r="K8151" t="s">
        <v>37258</v>
      </c>
      <c r="L8151" t="s">
        <v>2516</v>
      </c>
      <c r="M8151" t="s">
        <v>40204</v>
      </c>
      <c r="N8151" t="s">
        <v>41249</v>
      </c>
      <c r="O8151" t="s">
        <v>41250</v>
      </c>
      <c r="P8151">
        <v>0</v>
      </c>
      <c r="Q8151">
        <v>0</v>
      </c>
      <c r="R8151" t="s">
        <v>41258</v>
      </c>
      <c r="S8151" t="s">
        <v>41513</v>
      </c>
      <c r="T8151" t="s">
        <v>42992</v>
      </c>
      <c r="U8151" t="s">
        <v>49884</v>
      </c>
      <c r="W8151" t="s">
        <v>40204</v>
      </c>
      <c r="X8151" t="s">
        <v>41259</v>
      </c>
    </row>
    <row r="8152" spans="1:24">
      <c r="A8152">
        <f>HYPERLINK("https://www.philgeps.gov.ph/GEPSNONPILOT/Tender/SplashBidNoticeAbstractUI.aspx?menuIndex=3&amp;refID=7065850&amp;Result=3","7065850")</f>
        <v>0</v>
      </c>
      <c r="B8152" t="s">
        <v>236</v>
      </c>
      <c r="C8152" t="s">
        <v>11157</v>
      </c>
      <c r="D8152" t="s">
        <v>16663</v>
      </c>
      <c r="E8152" t="s">
        <v>11157</v>
      </c>
      <c r="F8152" t="s">
        <v>28669</v>
      </c>
      <c r="G8152" t="s">
        <v>28675</v>
      </c>
      <c r="H8152" t="s">
        <v>9998</v>
      </c>
      <c r="I8152" t="s">
        <v>28717</v>
      </c>
      <c r="J8152" t="s">
        <v>33903</v>
      </c>
      <c r="K8152" t="s">
        <v>37206</v>
      </c>
      <c r="M8152" t="s">
        <v>37714</v>
      </c>
      <c r="N8152" t="s">
        <v>41249</v>
      </c>
      <c r="O8152" t="s">
        <v>41250</v>
      </c>
      <c r="P8152">
        <v>0</v>
      </c>
      <c r="Q8152">
        <v>10</v>
      </c>
      <c r="R8152" t="s">
        <v>41258</v>
      </c>
      <c r="S8152" t="s">
        <v>41513</v>
      </c>
      <c r="T8152" t="s">
        <v>43063</v>
      </c>
      <c r="U8152" t="s">
        <v>49885</v>
      </c>
      <c r="W8152" t="s">
        <v>37714</v>
      </c>
      <c r="X8152" t="s">
        <v>41259</v>
      </c>
    </row>
    <row r="8153" spans="1:24">
      <c r="A8153">
        <f>HYPERLINK("https://www.philgeps.gov.ph/GEPSNONPILOT/Tender/SplashBidNoticeAbstractUI.aspx?menuIndex=3&amp;refID=7065845&amp;Result=3","7065845")</f>
        <v>0</v>
      </c>
      <c r="B8153" t="s">
        <v>965</v>
      </c>
      <c r="C8153" t="s">
        <v>11158</v>
      </c>
      <c r="D8153" t="s">
        <v>16608</v>
      </c>
      <c r="E8153" t="s">
        <v>23843</v>
      </c>
      <c r="F8153" t="s">
        <v>28669</v>
      </c>
      <c r="G8153" t="s">
        <v>28675</v>
      </c>
      <c r="H8153" t="s">
        <v>9998</v>
      </c>
      <c r="I8153" t="s">
        <v>5213</v>
      </c>
      <c r="J8153" t="s">
        <v>33904</v>
      </c>
      <c r="K8153" t="s">
        <v>37205</v>
      </c>
      <c r="M8153" t="s">
        <v>38490</v>
      </c>
      <c r="N8153" t="s">
        <v>41249</v>
      </c>
      <c r="O8153" t="s">
        <v>41250</v>
      </c>
      <c r="P8153">
        <v>0</v>
      </c>
      <c r="Q8153">
        <v>0</v>
      </c>
      <c r="R8153" t="s">
        <v>41258</v>
      </c>
      <c r="S8153" t="s">
        <v>41513</v>
      </c>
      <c r="T8153" t="s">
        <v>42728</v>
      </c>
      <c r="U8153" t="s">
        <v>45206</v>
      </c>
      <c r="W8153" t="s">
        <v>38490</v>
      </c>
      <c r="X8153" t="s">
        <v>41259</v>
      </c>
    </row>
    <row r="8154" spans="1:24">
      <c r="A8154">
        <f>HYPERLINK("https://www.philgeps.gov.ph/GEPSNONPILOT/Tender/SplashBidNoticeAbstractUI.aspx?menuIndex=3&amp;refID=7065842&amp;Result=3","7065842")</f>
        <v>0</v>
      </c>
      <c r="B8154" t="s">
        <v>1037</v>
      </c>
      <c r="C8154" t="s">
        <v>11159</v>
      </c>
      <c r="D8154" t="s">
        <v>16633</v>
      </c>
      <c r="E8154" t="s">
        <v>23844</v>
      </c>
      <c r="F8154" t="s">
        <v>28669</v>
      </c>
      <c r="G8154" t="s">
        <v>28675</v>
      </c>
      <c r="H8154" t="s">
        <v>9998</v>
      </c>
      <c r="I8154" t="s">
        <v>28736</v>
      </c>
      <c r="J8154" t="s">
        <v>29003</v>
      </c>
      <c r="K8154" t="s">
        <v>37204</v>
      </c>
      <c r="M8154" t="s">
        <v>38568</v>
      </c>
      <c r="N8154" t="s">
        <v>41249</v>
      </c>
      <c r="O8154" t="s">
        <v>41250</v>
      </c>
      <c r="P8154">
        <v>0</v>
      </c>
      <c r="Q8154">
        <v>2</v>
      </c>
      <c r="R8154" t="s">
        <v>41258</v>
      </c>
      <c r="S8154" t="s">
        <v>41513</v>
      </c>
      <c r="T8154" t="s">
        <v>42883</v>
      </c>
      <c r="U8154" t="s">
        <v>49886</v>
      </c>
      <c r="W8154" t="s">
        <v>38568</v>
      </c>
      <c r="X8154" t="s">
        <v>41259</v>
      </c>
    </row>
    <row r="8155" spans="1:24">
      <c r="A8155">
        <f>HYPERLINK("https://www.philgeps.gov.ph/GEPSNONPILOT/Tender/SplashBidNoticeAbstractUI.aspx?menuIndex=3&amp;refID=7065840&amp;Result=3","7065840")</f>
        <v>0</v>
      </c>
      <c r="B8155" t="s">
        <v>1142</v>
      </c>
      <c r="C8155" t="s">
        <v>11160</v>
      </c>
      <c r="D8155" t="s">
        <v>16626</v>
      </c>
      <c r="E8155" t="s">
        <v>23845</v>
      </c>
      <c r="F8155" t="s">
        <v>28669</v>
      </c>
      <c r="G8155" t="s">
        <v>28675</v>
      </c>
      <c r="H8155" t="s">
        <v>9998</v>
      </c>
      <c r="I8155" t="s">
        <v>28688</v>
      </c>
      <c r="J8155" t="s">
        <v>32274</v>
      </c>
      <c r="K8155" t="s">
        <v>37234</v>
      </c>
      <c r="M8155" t="s">
        <v>38677</v>
      </c>
      <c r="N8155" t="s">
        <v>41249</v>
      </c>
      <c r="O8155" t="s">
        <v>41250</v>
      </c>
      <c r="P8155">
        <v>0</v>
      </c>
      <c r="Q8155">
        <v>0</v>
      </c>
      <c r="R8155" t="s">
        <v>41258</v>
      </c>
      <c r="S8155" t="s">
        <v>41513</v>
      </c>
      <c r="T8155" t="s">
        <v>43041</v>
      </c>
      <c r="U8155" t="s">
        <v>49887</v>
      </c>
      <c r="W8155" t="s">
        <v>38677</v>
      </c>
      <c r="X8155" t="s">
        <v>41259</v>
      </c>
    </row>
    <row r="8156" spans="1:24">
      <c r="A8156">
        <f>HYPERLINK("https://www.philgeps.gov.ph/GEPSNONPILOT/Tender/SplashBidNoticeAbstractUI.aspx?menuIndex=3&amp;refID=7065497&amp;Result=3","7065497")</f>
        <v>0</v>
      </c>
      <c r="B8156" t="s">
        <v>2517</v>
      </c>
      <c r="C8156" t="s">
        <v>11161</v>
      </c>
      <c r="D8156" t="s">
        <v>16674</v>
      </c>
      <c r="E8156" t="s">
        <v>20910</v>
      </c>
      <c r="F8156" t="s">
        <v>28669</v>
      </c>
      <c r="G8156" t="s">
        <v>28675</v>
      </c>
      <c r="H8156" t="s">
        <v>9998</v>
      </c>
      <c r="I8156" t="s">
        <v>28713</v>
      </c>
      <c r="J8156" t="s">
        <v>29571</v>
      </c>
      <c r="K8156" t="s">
        <v>37205</v>
      </c>
      <c r="M8156" t="s">
        <v>40205</v>
      </c>
      <c r="N8156" t="s">
        <v>41249</v>
      </c>
      <c r="O8156" t="s">
        <v>41250</v>
      </c>
      <c r="P8156">
        <v>0</v>
      </c>
      <c r="Q8156">
        <v>6</v>
      </c>
      <c r="R8156" t="s">
        <v>41258</v>
      </c>
      <c r="S8156" t="s">
        <v>41513</v>
      </c>
      <c r="T8156" t="s">
        <v>42761</v>
      </c>
      <c r="U8156" t="s">
        <v>49888</v>
      </c>
      <c r="W8156" t="s">
        <v>40205</v>
      </c>
      <c r="X8156" t="s">
        <v>41259</v>
      </c>
    </row>
    <row r="8157" spans="1:24">
      <c r="A8157">
        <f>HYPERLINK("https://www.philgeps.gov.ph/GEPSNONPILOT/Tender/SplashBidNoticeAbstractUI.aspx?menuIndex=3&amp;refID=7065839&amp;Result=3","7065839")</f>
        <v>0</v>
      </c>
      <c r="B8157" t="s">
        <v>1829</v>
      </c>
      <c r="C8157" t="s">
        <v>11162</v>
      </c>
      <c r="D8157" t="s">
        <v>16661</v>
      </c>
      <c r="E8157" t="s">
        <v>23819</v>
      </c>
      <c r="F8157" t="s">
        <v>28669</v>
      </c>
      <c r="G8157" t="s">
        <v>28675</v>
      </c>
      <c r="H8157" t="s">
        <v>9998</v>
      </c>
      <c r="I8157" t="s">
        <v>28690</v>
      </c>
      <c r="J8157" t="s">
        <v>33905</v>
      </c>
      <c r="K8157" t="s">
        <v>37210</v>
      </c>
      <c r="M8157" t="s">
        <v>39634</v>
      </c>
      <c r="N8157" t="s">
        <v>41249</v>
      </c>
      <c r="O8157" t="s">
        <v>41250</v>
      </c>
      <c r="P8157">
        <v>0</v>
      </c>
      <c r="Q8157">
        <v>15</v>
      </c>
      <c r="R8157" t="s">
        <v>41258</v>
      </c>
      <c r="S8157" t="s">
        <v>41513</v>
      </c>
      <c r="T8157" t="s">
        <v>42911</v>
      </c>
      <c r="U8157" t="s">
        <v>49146</v>
      </c>
      <c r="V8157" t="s">
        <v>55103</v>
      </c>
      <c r="W8157" t="s">
        <v>55976</v>
      </c>
      <c r="X8157" t="s">
        <v>41259</v>
      </c>
    </row>
    <row r="8158" spans="1:24">
      <c r="A8158">
        <f>HYPERLINK("https://www.philgeps.gov.ph/GEPSNONPILOT/Tender/SplashBidNoticeAbstractUI.aspx?menuIndex=3&amp;refID=7065837&amp;Result=3","7065837")</f>
        <v>0</v>
      </c>
      <c r="B8158" t="s">
        <v>132</v>
      </c>
      <c r="C8158" t="s">
        <v>11163</v>
      </c>
      <c r="E8158" t="s">
        <v>23846</v>
      </c>
      <c r="F8158" t="s">
        <v>28669</v>
      </c>
      <c r="G8158" t="s">
        <v>28675</v>
      </c>
      <c r="H8158" t="s">
        <v>9998</v>
      </c>
      <c r="I8158" t="s">
        <v>15140</v>
      </c>
      <c r="J8158" t="s">
        <v>33906</v>
      </c>
      <c r="K8158" t="s">
        <v>37227</v>
      </c>
      <c r="M8158" t="s">
        <v>40165</v>
      </c>
      <c r="N8158" t="s">
        <v>41249</v>
      </c>
      <c r="O8158" t="s">
        <v>41250</v>
      </c>
      <c r="P8158">
        <v>0</v>
      </c>
      <c r="Q8158">
        <v>0</v>
      </c>
      <c r="R8158" t="s">
        <v>41258</v>
      </c>
      <c r="S8158" t="s">
        <v>41513</v>
      </c>
      <c r="T8158" t="s">
        <v>42811</v>
      </c>
      <c r="U8158" t="s">
        <v>49808</v>
      </c>
      <c r="W8158" t="s">
        <v>40165</v>
      </c>
      <c r="X8158" t="s">
        <v>41259</v>
      </c>
    </row>
    <row r="8159" spans="1:24">
      <c r="A8159">
        <f>HYPERLINK("https://www.philgeps.gov.ph/GEPSNONPILOT/Tender/SplashBidNoticeAbstractUI.aspx?menuIndex=3&amp;refID=7065833&amp;Result=3","7065833")</f>
        <v>0</v>
      </c>
      <c r="B8159" t="s">
        <v>965</v>
      </c>
      <c r="C8159" t="s">
        <v>11164</v>
      </c>
      <c r="D8159" t="s">
        <v>16608</v>
      </c>
      <c r="E8159" t="s">
        <v>23847</v>
      </c>
      <c r="F8159" t="s">
        <v>28669</v>
      </c>
      <c r="G8159" t="s">
        <v>28675</v>
      </c>
      <c r="H8159" t="s">
        <v>9998</v>
      </c>
      <c r="I8159" t="s">
        <v>5213</v>
      </c>
      <c r="J8159" t="s">
        <v>29511</v>
      </c>
      <c r="K8159" t="s">
        <v>37205</v>
      </c>
      <c r="M8159" t="s">
        <v>38490</v>
      </c>
      <c r="N8159" t="s">
        <v>41249</v>
      </c>
      <c r="O8159" t="s">
        <v>41250</v>
      </c>
      <c r="P8159">
        <v>0</v>
      </c>
      <c r="Q8159">
        <v>0</v>
      </c>
      <c r="R8159" t="s">
        <v>41258</v>
      </c>
      <c r="S8159" t="s">
        <v>41513</v>
      </c>
      <c r="T8159" t="s">
        <v>42728</v>
      </c>
      <c r="U8159" t="s">
        <v>45206</v>
      </c>
      <c r="W8159" t="s">
        <v>38490</v>
      </c>
      <c r="X8159" t="s">
        <v>41259</v>
      </c>
    </row>
    <row r="8160" spans="1:24">
      <c r="A8160">
        <f>HYPERLINK("https://www.philgeps.gov.ph/GEPSNONPILOT/Tender/SplashBidNoticeAbstractUI.aspx?menuIndex=3&amp;refID=7065836&amp;Result=3","7065836")</f>
        <v>0</v>
      </c>
      <c r="B8160" t="s">
        <v>236</v>
      </c>
      <c r="C8160" t="s">
        <v>11165</v>
      </c>
      <c r="D8160" t="s">
        <v>16663</v>
      </c>
      <c r="E8160" t="s">
        <v>11165</v>
      </c>
      <c r="F8160" t="s">
        <v>28669</v>
      </c>
      <c r="G8160" t="s">
        <v>28675</v>
      </c>
      <c r="H8160" t="s">
        <v>9998</v>
      </c>
      <c r="I8160" t="s">
        <v>5213</v>
      </c>
      <c r="J8160" t="s">
        <v>33907</v>
      </c>
      <c r="K8160" t="s">
        <v>37206</v>
      </c>
      <c r="M8160" t="s">
        <v>37714</v>
      </c>
      <c r="N8160" t="s">
        <v>41249</v>
      </c>
      <c r="O8160" t="s">
        <v>41250</v>
      </c>
      <c r="P8160">
        <v>0</v>
      </c>
      <c r="Q8160">
        <v>1</v>
      </c>
      <c r="R8160" t="s">
        <v>41258</v>
      </c>
      <c r="S8160" t="s">
        <v>41513</v>
      </c>
      <c r="T8160" t="s">
        <v>43063</v>
      </c>
      <c r="U8160" t="s">
        <v>49889</v>
      </c>
      <c r="W8160" t="s">
        <v>37714</v>
      </c>
      <c r="X8160" t="s">
        <v>41259</v>
      </c>
    </row>
    <row r="8161" spans="1:24">
      <c r="A8161">
        <f>HYPERLINK("https://www.philgeps.gov.ph/GEPSNONPILOT/Tender/SplashBidNoticeAbstractUI.aspx?menuIndex=3&amp;refID=7065830&amp;Result=3","7065830")</f>
        <v>0</v>
      </c>
      <c r="B8161" t="s">
        <v>1509</v>
      </c>
      <c r="C8161" t="s">
        <v>11166</v>
      </c>
      <c r="D8161" t="s">
        <v>16681</v>
      </c>
      <c r="E8161" t="s">
        <v>23848</v>
      </c>
      <c r="F8161" t="s">
        <v>28669</v>
      </c>
      <c r="G8161" t="s">
        <v>28676</v>
      </c>
      <c r="H8161" t="s">
        <v>9998</v>
      </c>
      <c r="I8161" t="s">
        <v>5033</v>
      </c>
      <c r="J8161" t="s">
        <v>29281</v>
      </c>
      <c r="K8161" t="s">
        <v>37220</v>
      </c>
      <c r="M8161" t="s">
        <v>40198</v>
      </c>
      <c r="N8161" t="s">
        <v>41249</v>
      </c>
      <c r="O8161" t="s">
        <v>41250</v>
      </c>
      <c r="P8161">
        <v>0</v>
      </c>
      <c r="Q8161">
        <v>2</v>
      </c>
      <c r="R8161" t="s">
        <v>41258</v>
      </c>
      <c r="S8161" t="s">
        <v>41513</v>
      </c>
      <c r="T8161" t="s">
        <v>42938</v>
      </c>
      <c r="U8161" t="s">
        <v>49867</v>
      </c>
      <c r="W8161" t="s">
        <v>40198</v>
      </c>
      <c r="X8161" t="s">
        <v>41259</v>
      </c>
    </row>
    <row r="8162" spans="1:24">
      <c r="A8162">
        <f>HYPERLINK("https://www.philgeps.gov.ph/GEPSNONPILOT/Tender/SplashBidNoticeAbstractUI.aspx?menuIndex=3&amp;refID=7065825&amp;Result=3","7065825")</f>
        <v>0</v>
      </c>
      <c r="B8162" t="s">
        <v>965</v>
      </c>
      <c r="C8162" t="s">
        <v>11167</v>
      </c>
      <c r="D8162" t="s">
        <v>16608</v>
      </c>
      <c r="E8162" t="s">
        <v>23849</v>
      </c>
      <c r="F8162" t="s">
        <v>28669</v>
      </c>
      <c r="G8162" t="s">
        <v>28675</v>
      </c>
      <c r="H8162" t="s">
        <v>9998</v>
      </c>
      <c r="I8162" t="s">
        <v>5213</v>
      </c>
      <c r="J8162" t="s">
        <v>33908</v>
      </c>
      <c r="K8162" t="s">
        <v>37205</v>
      </c>
      <c r="M8162" t="s">
        <v>38490</v>
      </c>
      <c r="N8162" t="s">
        <v>41249</v>
      </c>
      <c r="O8162" t="s">
        <v>41250</v>
      </c>
      <c r="P8162">
        <v>0</v>
      </c>
      <c r="Q8162">
        <v>0</v>
      </c>
      <c r="R8162" t="s">
        <v>41258</v>
      </c>
      <c r="S8162" t="s">
        <v>41513</v>
      </c>
      <c r="T8162" t="s">
        <v>42728</v>
      </c>
      <c r="U8162" t="s">
        <v>45206</v>
      </c>
      <c r="W8162" t="s">
        <v>38490</v>
      </c>
      <c r="X8162" t="s">
        <v>41259</v>
      </c>
    </row>
    <row r="8163" spans="1:24">
      <c r="A8163">
        <f>HYPERLINK("https://www.philgeps.gov.ph/GEPSNONPILOT/Tender/SplashBidNoticeAbstractUI.aspx?menuIndex=3&amp;refID=7065865&amp;Result=3","7065865")</f>
        <v>0</v>
      </c>
      <c r="B8163" t="s">
        <v>1522</v>
      </c>
      <c r="C8163" t="s">
        <v>11168</v>
      </c>
      <c r="D8163" t="s">
        <v>16686</v>
      </c>
      <c r="E8163" t="s">
        <v>23850</v>
      </c>
      <c r="F8163" t="s">
        <v>28669</v>
      </c>
      <c r="G8163" t="s">
        <v>28675</v>
      </c>
      <c r="H8163" t="s">
        <v>9998</v>
      </c>
      <c r="I8163" t="s">
        <v>6128</v>
      </c>
      <c r="J8163" t="s">
        <v>33909</v>
      </c>
      <c r="K8163" t="s">
        <v>37210</v>
      </c>
      <c r="M8163" t="s">
        <v>39573</v>
      </c>
      <c r="N8163" t="s">
        <v>41249</v>
      </c>
      <c r="O8163" t="s">
        <v>41250</v>
      </c>
      <c r="P8163">
        <v>0</v>
      </c>
      <c r="Q8163">
        <v>0</v>
      </c>
      <c r="R8163" t="s">
        <v>41258</v>
      </c>
      <c r="S8163" t="s">
        <v>41513</v>
      </c>
      <c r="T8163" t="s">
        <v>42663</v>
      </c>
      <c r="U8163" t="s">
        <v>49890</v>
      </c>
      <c r="W8163" t="s">
        <v>39573</v>
      </c>
      <c r="X8163" t="s">
        <v>41259</v>
      </c>
    </row>
    <row r="8164" spans="1:24">
      <c r="A8164">
        <f>HYPERLINK("https://www.philgeps.gov.ph/GEPSNONPILOT/Tender/SplashBidNoticeAbstractUI.aspx?menuIndex=3&amp;refID=7065823&amp;Result=3","7065823")</f>
        <v>0</v>
      </c>
      <c r="B8164" t="s">
        <v>1633</v>
      </c>
      <c r="C8164" t="s">
        <v>11169</v>
      </c>
      <c r="D8164" t="s">
        <v>16608</v>
      </c>
      <c r="E8164" t="s">
        <v>23851</v>
      </c>
      <c r="F8164" t="s">
        <v>28669</v>
      </c>
      <c r="G8164" t="s">
        <v>28678</v>
      </c>
      <c r="H8164" t="s">
        <v>9998</v>
      </c>
      <c r="I8164" t="s">
        <v>28764</v>
      </c>
      <c r="J8164" t="s">
        <v>33910</v>
      </c>
      <c r="K8164" t="s">
        <v>37220</v>
      </c>
      <c r="M8164" t="s">
        <v>39580</v>
      </c>
      <c r="N8164" t="s">
        <v>41249</v>
      </c>
      <c r="O8164" t="s">
        <v>41250</v>
      </c>
      <c r="P8164">
        <v>0</v>
      </c>
      <c r="Q8164">
        <v>8</v>
      </c>
      <c r="R8164" t="s">
        <v>41258</v>
      </c>
      <c r="S8164" t="s">
        <v>41513</v>
      </c>
      <c r="T8164" t="s">
        <v>42767</v>
      </c>
      <c r="U8164" t="s">
        <v>47958</v>
      </c>
      <c r="V8164" t="s">
        <v>55192</v>
      </c>
      <c r="W8164" t="s">
        <v>39580</v>
      </c>
      <c r="X8164" t="s">
        <v>41259</v>
      </c>
    </row>
    <row r="8165" spans="1:24">
      <c r="A8165">
        <f>HYPERLINK("https://www.philgeps.gov.ph/GEPSNONPILOT/Tender/SplashBidNoticeAbstractUI.aspx?menuIndex=3&amp;refID=7065843&amp;Result=3","7065843")</f>
        <v>0</v>
      </c>
      <c r="B8165" t="s">
        <v>2510</v>
      </c>
      <c r="C8165" t="s">
        <v>11170</v>
      </c>
      <c r="D8165" t="s">
        <v>16616</v>
      </c>
      <c r="E8165" t="s">
        <v>17028</v>
      </c>
      <c r="F8165" t="s">
        <v>28669</v>
      </c>
      <c r="G8165" t="s">
        <v>28675</v>
      </c>
      <c r="H8165" t="s">
        <v>9998</v>
      </c>
      <c r="I8165" t="s">
        <v>28773</v>
      </c>
      <c r="J8165" t="s">
        <v>29791</v>
      </c>
      <c r="K8165" t="s">
        <v>37231</v>
      </c>
      <c r="M8165" t="s">
        <v>40197</v>
      </c>
      <c r="N8165" t="s">
        <v>41249</v>
      </c>
      <c r="O8165" t="s">
        <v>41250</v>
      </c>
      <c r="P8165">
        <v>0</v>
      </c>
      <c r="Q8165">
        <v>0</v>
      </c>
      <c r="R8165" t="s">
        <v>41258</v>
      </c>
      <c r="S8165" t="s">
        <v>41513</v>
      </c>
      <c r="T8165" t="s">
        <v>42923</v>
      </c>
      <c r="U8165" t="s">
        <v>49891</v>
      </c>
      <c r="W8165" t="s">
        <v>40197</v>
      </c>
      <c r="X8165" t="s">
        <v>41259</v>
      </c>
    </row>
    <row r="8166" spans="1:24">
      <c r="A8166">
        <f>HYPERLINK("https://www.philgeps.gov.ph/GEPSNONPILOT/Tender/SplashBidNoticeAbstractUI.aspx?menuIndex=3&amp;refID=7065495&amp;Result=3","7065495")</f>
        <v>0</v>
      </c>
      <c r="B8166" t="s">
        <v>2518</v>
      </c>
      <c r="C8166" t="s">
        <v>11171</v>
      </c>
      <c r="E8166" t="s">
        <v>16877</v>
      </c>
      <c r="F8166" t="s">
        <v>28669</v>
      </c>
      <c r="G8166" t="s">
        <v>28675</v>
      </c>
      <c r="H8166" t="s">
        <v>9998</v>
      </c>
      <c r="I8166" t="s">
        <v>7352</v>
      </c>
      <c r="J8166" t="s">
        <v>33911</v>
      </c>
      <c r="K8166" t="s">
        <v>37209</v>
      </c>
      <c r="M8166" t="s">
        <v>40206</v>
      </c>
      <c r="N8166" t="s">
        <v>41249</v>
      </c>
      <c r="O8166" t="s">
        <v>41250</v>
      </c>
      <c r="P8166">
        <v>0</v>
      </c>
      <c r="Q8166">
        <v>0</v>
      </c>
      <c r="R8166" t="s">
        <v>41258</v>
      </c>
      <c r="S8166" t="s">
        <v>41513</v>
      </c>
      <c r="T8166" t="s">
        <v>42802</v>
      </c>
      <c r="U8166" t="s">
        <v>49892</v>
      </c>
      <c r="W8166" t="s">
        <v>40206</v>
      </c>
      <c r="X8166" t="s">
        <v>41259</v>
      </c>
    </row>
    <row r="8167" spans="1:24">
      <c r="A8167">
        <f>HYPERLINK("https://www.philgeps.gov.ph/GEPSNONPILOT/Tender/SplashBidNoticeAbstractUI.aspx?menuIndex=3&amp;refID=7065458&amp;Result=3","7065458")</f>
        <v>0</v>
      </c>
      <c r="B8167" t="s">
        <v>2519</v>
      </c>
      <c r="C8167" t="s">
        <v>11172</v>
      </c>
      <c r="D8167" t="s">
        <v>16670</v>
      </c>
      <c r="E8167" t="s">
        <v>23852</v>
      </c>
      <c r="F8167" t="s">
        <v>28669</v>
      </c>
      <c r="G8167" t="s">
        <v>28676</v>
      </c>
      <c r="H8167" t="s">
        <v>9998</v>
      </c>
      <c r="I8167" t="s">
        <v>28734</v>
      </c>
      <c r="J8167" t="s">
        <v>33912</v>
      </c>
      <c r="K8167" t="s">
        <v>37206</v>
      </c>
      <c r="M8167" t="s">
        <v>40207</v>
      </c>
      <c r="N8167" t="s">
        <v>41249</v>
      </c>
      <c r="O8167" t="s">
        <v>41250</v>
      </c>
      <c r="P8167">
        <v>0</v>
      </c>
      <c r="Q8167">
        <v>6</v>
      </c>
      <c r="R8167" t="s">
        <v>41258</v>
      </c>
      <c r="S8167" t="s">
        <v>41513</v>
      </c>
      <c r="T8167" t="s">
        <v>42883</v>
      </c>
      <c r="U8167" t="s">
        <v>49893</v>
      </c>
      <c r="W8167" t="s">
        <v>40207</v>
      </c>
      <c r="X8167" t="s">
        <v>41259</v>
      </c>
    </row>
    <row r="8168" spans="1:24">
      <c r="A8168">
        <f>HYPERLINK("https://www.philgeps.gov.ph/GEPSNONPILOT/Tender/SplashBidNoticeAbstractUI.aspx?menuIndex=3&amp;refID=7065456&amp;Result=3","7065456")</f>
        <v>0</v>
      </c>
      <c r="B8168" t="s">
        <v>1970</v>
      </c>
      <c r="C8168" t="s">
        <v>11173</v>
      </c>
      <c r="D8168" t="s">
        <v>16651</v>
      </c>
      <c r="E8168" t="s">
        <v>23853</v>
      </c>
      <c r="F8168" t="s">
        <v>28669</v>
      </c>
      <c r="G8168" t="s">
        <v>28675</v>
      </c>
      <c r="H8168" t="s">
        <v>28686</v>
      </c>
      <c r="I8168" t="s">
        <v>28689</v>
      </c>
      <c r="J8168" t="s">
        <v>31637</v>
      </c>
      <c r="K8168" t="s">
        <v>37215</v>
      </c>
      <c r="M8168" t="s">
        <v>39604</v>
      </c>
      <c r="N8168" t="s">
        <v>41249</v>
      </c>
      <c r="O8168" t="s">
        <v>41250</v>
      </c>
      <c r="P8168">
        <v>0</v>
      </c>
      <c r="Q8168">
        <v>4</v>
      </c>
      <c r="R8168" t="s">
        <v>41258</v>
      </c>
      <c r="S8168" t="s">
        <v>41513</v>
      </c>
      <c r="T8168" t="s">
        <v>42760</v>
      </c>
      <c r="U8168" t="s">
        <v>49894</v>
      </c>
      <c r="V8168" t="s">
        <v>55193</v>
      </c>
      <c r="W8168" t="s">
        <v>39604</v>
      </c>
      <c r="X8168" t="s">
        <v>41259</v>
      </c>
    </row>
    <row r="8169" spans="1:24">
      <c r="A8169">
        <f>HYPERLINK("https://www.philgeps.gov.ph/GEPSNONPILOT/Tender/SplashBidNoticeAbstractUI.aspx?menuIndex=3&amp;refID=7065418&amp;Result=3","7065418")</f>
        <v>0</v>
      </c>
      <c r="B8169" t="s">
        <v>2520</v>
      </c>
      <c r="C8169" t="s">
        <v>11174</v>
      </c>
      <c r="D8169" t="s">
        <v>16630</v>
      </c>
      <c r="E8169" t="s">
        <v>23854</v>
      </c>
      <c r="F8169" t="s">
        <v>28669</v>
      </c>
      <c r="G8169" t="s">
        <v>28675</v>
      </c>
      <c r="H8169" t="s">
        <v>28686</v>
      </c>
      <c r="I8169" t="s">
        <v>28689</v>
      </c>
      <c r="J8169" t="s">
        <v>33913</v>
      </c>
      <c r="K8169" t="s">
        <v>37213</v>
      </c>
      <c r="M8169" t="s">
        <v>40208</v>
      </c>
      <c r="N8169" t="s">
        <v>41249</v>
      </c>
      <c r="O8169" t="s">
        <v>41250</v>
      </c>
      <c r="P8169">
        <v>0</v>
      </c>
      <c r="Q8169">
        <v>1</v>
      </c>
      <c r="R8169" t="s">
        <v>41258</v>
      </c>
      <c r="S8169" t="s">
        <v>41513</v>
      </c>
      <c r="T8169" t="s">
        <v>42796</v>
      </c>
      <c r="U8169" t="s">
        <v>49895</v>
      </c>
      <c r="W8169" t="s">
        <v>40208</v>
      </c>
      <c r="X8169" t="s">
        <v>41259</v>
      </c>
    </row>
    <row r="8170" spans="1:24">
      <c r="A8170">
        <f>HYPERLINK("https://www.philgeps.gov.ph/GEPSNONPILOT/Tender/SplashBidNoticeAbstractUI.aspx?menuIndex=3&amp;refID=7065496&amp;Result=3","7065496")</f>
        <v>0</v>
      </c>
      <c r="B8170" t="s">
        <v>2491</v>
      </c>
      <c r="C8170" t="s">
        <v>11175</v>
      </c>
      <c r="D8170" t="s">
        <v>16626</v>
      </c>
      <c r="E8170" t="s">
        <v>17478</v>
      </c>
      <c r="F8170" t="s">
        <v>28669</v>
      </c>
      <c r="G8170" t="s">
        <v>28675</v>
      </c>
      <c r="H8170" t="s">
        <v>9998</v>
      </c>
      <c r="I8170" t="s">
        <v>6606</v>
      </c>
      <c r="J8170" t="s">
        <v>29653</v>
      </c>
      <c r="K8170" t="s">
        <v>37210</v>
      </c>
      <c r="M8170" t="s">
        <v>40175</v>
      </c>
      <c r="N8170" t="s">
        <v>41249</v>
      </c>
      <c r="O8170" t="s">
        <v>41250</v>
      </c>
      <c r="P8170">
        <v>0</v>
      </c>
      <c r="Q8170">
        <v>0</v>
      </c>
      <c r="R8170" t="s">
        <v>41258</v>
      </c>
      <c r="S8170" t="s">
        <v>41513</v>
      </c>
      <c r="T8170" t="s">
        <v>43064</v>
      </c>
      <c r="U8170" t="s">
        <v>49896</v>
      </c>
      <c r="W8170" t="s">
        <v>40175</v>
      </c>
      <c r="X8170" t="s">
        <v>41259</v>
      </c>
    </row>
    <row r="8171" spans="1:24">
      <c r="A8171">
        <f>HYPERLINK("https://www.philgeps.gov.ph/GEPSNONPILOT/Tender/SplashBidNoticeAbstractUI.aspx?menuIndex=3&amp;refID=7065411&amp;Result=3","7065411")</f>
        <v>0</v>
      </c>
      <c r="B8171" t="s">
        <v>2479</v>
      </c>
      <c r="C8171" t="s">
        <v>11176</v>
      </c>
      <c r="D8171" t="s">
        <v>16684</v>
      </c>
      <c r="E8171" t="s">
        <v>23803</v>
      </c>
      <c r="F8171" t="s">
        <v>28669</v>
      </c>
      <c r="G8171" t="s">
        <v>28675</v>
      </c>
      <c r="H8171" t="s">
        <v>28686</v>
      </c>
      <c r="I8171" t="s">
        <v>28689</v>
      </c>
      <c r="J8171" t="s">
        <v>28924</v>
      </c>
      <c r="K8171" t="s">
        <v>37233</v>
      </c>
      <c r="M8171" t="s">
        <v>40162</v>
      </c>
      <c r="N8171" t="s">
        <v>41249</v>
      </c>
      <c r="O8171" t="s">
        <v>41250</v>
      </c>
      <c r="Q8171">
        <v>0</v>
      </c>
      <c r="R8171" t="s">
        <v>41258</v>
      </c>
      <c r="S8171" t="s">
        <v>41536</v>
      </c>
      <c r="T8171" t="s">
        <v>42739</v>
      </c>
      <c r="U8171" t="s">
        <v>49897</v>
      </c>
      <c r="V8171" t="s">
        <v>55173</v>
      </c>
      <c r="W8171" t="s">
        <v>40162</v>
      </c>
      <c r="X8171" t="s">
        <v>41259</v>
      </c>
    </row>
    <row r="8172" spans="1:24">
      <c r="A8172">
        <f>HYPERLINK("https://www.philgeps.gov.ph/GEPSNONPILOT/Tender/SplashBidNoticeAbstractUI.aspx?menuIndex=3&amp;refID=7065494&amp;Result=3","7065494")</f>
        <v>0</v>
      </c>
      <c r="B8172" t="s">
        <v>454</v>
      </c>
      <c r="C8172" t="s">
        <v>11177</v>
      </c>
      <c r="D8172" t="s">
        <v>16632</v>
      </c>
      <c r="E8172" t="s">
        <v>20521</v>
      </c>
      <c r="F8172" t="s">
        <v>28669</v>
      </c>
      <c r="G8172" t="s">
        <v>28676</v>
      </c>
      <c r="H8172" t="s">
        <v>9998</v>
      </c>
      <c r="I8172" t="s">
        <v>6606</v>
      </c>
      <c r="J8172" t="s">
        <v>33914</v>
      </c>
      <c r="K8172" t="s">
        <v>37209</v>
      </c>
      <c r="M8172" t="s">
        <v>37942</v>
      </c>
      <c r="N8172" t="s">
        <v>41249</v>
      </c>
      <c r="O8172" t="s">
        <v>41250</v>
      </c>
      <c r="P8172">
        <v>0</v>
      </c>
      <c r="Q8172">
        <v>0</v>
      </c>
      <c r="R8172" t="s">
        <v>41258</v>
      </c>
      <c r="S8172" t="s">
        <v>41513</v>
      </c>
      <c r="T8172" t="s">
        <v>42758</v>
      </c>
      <c r="U8172" t="s">
        <v>48244</v>
      </c>
      <c r="W8172" t="s">
        <v>37942</v>
      </c>
      <c r="X8172" t="s">
        <v>41259</v>
      </c>
    </row>
    <row r="8173" spans="1:24">
      <c r="A8173">
        <f>HYPERLINK("https://www.philgeps.gov.ph/GEPSNONPILOT/Tender/SplashBidNoticeAbstractUI.aspx?menuIndex=3&amp;refID=7065453&amp;Result=3","7065453")</f>
        <v>0</v>
      </c>
      <c r="B8173" t="s">
        <v>454</v>
      </c>
      <c r="C8173" t="s">
        <v>11178</v>
      </c>
      <c r="D8173" t="s">
        <v>16632</v>
      </c>
      <c r="E8173" t="s">
        <v>18055</v>
      </c>
      <c r="F8173" t="s">
        <v>28669</v>
      </c>
      <c r="G8173" t="s">
        <v>28676</v>
      </c>
      <c r="H8173" t="s">
        <v>9998</v>
      </c>
      <c r="I8173" t="s">
        <v>28760</v>
      </c>
      <c r="J8173" t="s">
        <v>33915</v>
      </c>
      <c r="K8173" t="s">
        <v>37209</v>
      </c>
      <c r="M8173" t="s">
        <v>37942</v>
      </c>
      <c r="N8173" t="s">
        <v>41249</v>
      </c>
      <c r="O8173" t="s">
        <v>41250</v>
      </c>
      <c r="P8173">
        <v>0</v>
      </c>
      <c r="Q8173">
        <v>2</v>
      </c>
      <c r="R8173" t="s">
        <v>41258</v>
      </c>
      <c r="S8173" t="s">
        <v>41513</v>
      </c>
      <c r="T8173" t="s">
        <v>42758</v>
      </c>
      <c r="U8173" t="s">
        <v>48244</v>
      </c>
      <c r="W8173" t="s">
        <v>37942</v>
      </c>
      <c r="X8173" t="s">
        <v>41259</v>
      </c>
    </row>
    <row r="8174" spans="1:24">
      <c r="A8174">
        <f>HYPERLINK("https://www.philgeps.gov.ph/GEPSNONPILOT/Tender/SplashBidNoticeAbstractUI.aspx?menuIndex=3&amp;refID=7065419&amp;Result=3","7065419")</f>
        <v>0</v>
      </c>
      <c r="B8174" t="s">
        <v>318</v>
      </c>
      <c r="C8174" t="s">
        <v>11179</v>
      </c>
      <c r="D8174" t="s">
        <v>16619</v>
      </c>
      <c r="E8174" t="s">
        <v>17049</v>
      </c>
      <c r="F8174" t="s">
        <v>28669</v>
      </c>
      <c r="G8174" t="s">
        <v>28675</v>
      </c>
      <c r="H8174" t="s">
        <v>9998</v>
      </c>
      <c r="I8174" t="s">
        <v>11593</v>
      </c>
      <c r="J8174" t="s">
        <v>33916</v>
      </c>
      <c r="K8174" t="s">
        <v>37210</v>
      </c>
      <c r="M8174" t="s">
        <v>37798</v>
      </c>
      <c r="N8174" t="s">
        <v>41249</v>
      </c>
      <c r="O8174" t="s">
        <v>41250</v>
      </c>
      <c r="P8174">
        <v>0</v>
      </c>
      <c r="Q8174">
        <v>5</v>
      </c>
      <c r="R8174" t="s">
        <v>41258</v>
      </c>
      <c r="S8174" t="s">
        <v>41513</v>
      </c>
      <c r="T8174" t="s">
        <v>42697</v>
      </c>
      <c r="U8174" t="s">
        <v>49898</v>
      </c>
      <c r="W8174" t="s">
        <v>37798</v>
      </c>
      <c r="X8174" t="s">
        <v>41259</v>
      </c>
    </row>
    <row r="8175" spans="1:24">
      <c r="A8175">
        <f>HYPERLINK("https://www.philgeps.gov.ph/GEPSNONPILOT/Tender/SplashBidNoticeAbstractUI.aspx?menuIndex=3&amp;refID=7065722&amp;Result=3","7065722")</f>
        <v>0</v>
      </c>
      <c r="B8175" t="s">
        <v>965</v>
      </c>
      <c r="C8175" t="s">
        <v>11180</v>
      </c>
      <c r="D8175" t="s">
        <v>16608</v>
      </c>
      <c r="E8175" t="s">
        <v>23855</v>
      </c>
      <c r="F8175" t="s">
        <v>28669</v>
      </c>
      <c r="G8175" t="s">
        <v>28675</v>
      </c>
      <c r="H8175" t="s">
        <v>9998</v>
      </c>
      <c r="I8175" t="s">
        <v>15140</v>
      </c>
      <c r="J8175" t="s">
        <v>33917</v>
      </c>
      <c r="K8175" t="s">
        <v>37205</v>
      </c>
      <c r="M8175" t="s">
        <v>38490</v>
      </c>
      <c r="N8175" t="s">
        <v>41249</v>
      </c>
      <c r="O8175" t="s">
        <v>41250</v>
      </c>
      <c r="P8175">
        <v>0</v>
      </c>
      <c r="Q8175">
        <v>0</v>
      </c>
      <c r="R8175" t="s">
        <v>41258</v>
      </c>
      <c r="S8175" t="s">
        <v>41513</v>
      </c>
      <c r="T8175" t="s">
        <v>42728</v>
      </c>
      <c r="U8175" t="s">
        <v>45990</v>
      </c>
      <c r="W8175" t="s">
        <v>38490</v>
      </c>
      <c r="X8175" t="s">
        <v>41259</v>
      </c>
    </row>
    <row r="8176" spans="1:24">
      <c r="A8176">
        <f>HYPERLINK("https://www.philgeps.gov.ph/GEPSNONPILOT/Tender/SplashBidNoticeAbstractUI.aspx?menuIndex=3&amp;refID=7065814&amp;Result=3","7065814")</f>
        <v>0</v>
      </c>
      <c r="B8176" t="s">
        <v>965</v>
      </c>
      <c r="C8176" t="s">
        <v>11181</v>
      </c>
      <c r="D8176" t="s">
        <v>16608</v>
      </c>
      <c r="E8176" t="s">
        <v>23856</v>
      </c>
      <c r="F8176" t="s">
        <v>28669</v>
      </c>
      <c r="G8176" t="s">
        <v>28675</v>
      </c>
      <c r="H8176" t="s">
        <v>9998</v>
      </c>
      <c r="I8176" t="s">
        <v>5213</v>
      </c>
      <c r="J8176" t="s">
        <v>28905</v>
      </c>
      <c r="K8176" t="s">
        <v>37205</v>
      </c>
      <c r="M8176" t="s">
        <v>38490</v>
      </c>
      <c r="N8176" t="s">
        <v>41249</v>
      </c>
      <c r="O8176" t="s">
        <v>41250</v>
      </c>
      <c r="P8176">
        <v>0</v>
      </c>
      <c r="Q8176">
        <v>1</v>
      </c>
      <c r="R8176" t="s">
        <v>41258</v>
      </c>
      <c r="S8176" t="s">
        <v>41513</v>
      </c>
      <c r="T8176" t="s">
        <v>42728</v>
      </c>
      <c r="U8176" t="s">
        <v>45206</v>
      </c>
      <c r="W8176" t="s">
        <v>38490</v>
      </c>
      <c r="X8176" t="s">
        <v>41259</v>
      </c>
    </row>
    <row r="8177" spans="1:24">
      <c r="A8177">
        <f>HYPERLINK("https://www.philgeps.gov.ph/GEPSNONPILOT/Tender/SplashBidNoticeAbstractUI.aspx?menuIndex=3&amp;refID=7065408&amp;Result=3","7065408")</f>
        <v>0</v>
      </c>
      <c r="B8177" t="s">
        <v>1353</v>
      </c>
      <c r="C8177" t="s">
        <v>11182</v>
      </c>
      <c r="D8177" t="s">
        <v>16627</v>
      </c>
      <c r="E8177" t="s">
        <v>23857</v>
      </c>
      <c r="F8177" t="s">
        <v>28669</v>
      </c>
      <c r="G8177" t="s">
        <v>28675</v>
      </c>
      <c r="H8177" t="s">
        <v>9998</v>
      </c>
      <c r="I8177" t="s">
        <v>28708</v>
      </c>
      <c r="J8177" t="s">
        <v>33918</v>
      </c>
      <c r="K8177" t="s">
        <v>37206</v>
      </c>
      <c r="M8177" t="s">
        <v>39576</v>
      </c>
      <c r="N8177" t="s">
        <v>41249</v>
      </c>
      <c r="O8177" t="s">
        <v>41250</v>
      </c>
      <c r="P8177">
        <v>0</v>
      </c>
      <c r="Q8177">
        <v>5</v>
      </c>
      <c r="R8177" t="s">
        <v>41258</v>
      </c>
      <c r="S8177" t="s">
        <v>41513</v>
      </c>
      <c r="T8177" t="s">
        <v>42782</v>
      </c>
      <c r="U8177" t="s">
        <v>49899</v>
      </c>
      <c r="W8177" t="s">
        <v>39576</v>
      </c>
      <c r="X8177" t="s">
        <v>41259</v>
      </c>
    </row>
    <row r="8178" spans="1:24">
      <c r="A8178">
        <f>HYPERLINK("https://www.philgeps.gov.ph/GEPSNONPILOT/Tender/SplashBidNoticeAbstractUI.aspx?menuIndex=3&amp;refID=7065329&amp;Result=3","7065329")</f>
        <v>0</v>
      </c>
      <c r="B8178" t="s">
        <v>2455</v>
      </c>
      <c r="C8178" t="s">
        <v>11183</v>
      </c>
      <c r="D8178" t="s">
        <v>16644</v>
      </c>
      <c r="E8178" t="s">
        <v>23858</v>
      </c>
      <c r="F8178" t="s">
        <v>28669</v>
      </c>
      <c r="G8178" t="s">
        <v>28675</v>
      </c>
      <c r="H8178" t="s">
        <v>9998</v>
      </c>
      <c r="I8178" t="s">
        <v>28693</v>
      </c>
      <c r="J8178" t="s">
        <v>33919</v>
      </c>
      <c r="K8178" t="s">
        <v>37213</v>
      </c>
      <c r="M8178" t="s">
        <v>40138</v>
      </c>
      <c r="N8178" t="s">
        <v>41249</v>
      </c>
      <c r="O8178" t="s">
        <v>41250</v>
      </c>
      <c r="P8178">
        <v>0</v>
      </c>
      <c r="Q8178">
        <v>11</v>
      </c>
      <c r="R8178" t="s">
        <v>41258</v>
      </c>
      <c r="S8178" t="s">
        <v>41513</v>
      </c>
      <c r="T8178" t="s">
        <v>42837</v>
      </c>
      <c r="U8178" t="s">
        <v>49900</v>
      </c>
      <c r="W8178" t="s">
        <v>55995</v>
      </c>
      <c r="X8178" t="s">
        <v>41259</v>
      </c>
    </row>
    <row r="8179" spans="1:24">
      <c r="A8179">
        <f>HYPERLINK("https://www.philgeps.gov.ph/GEPSNONPILOT/Tender/SplashBidNoticeAbstractUI.aspx?menuIndex=3&amp;refID=7065340&amp;Result=3","7065340")</f>
        <v>0</v>
      </c>
      <c r="B8179" t="s">
        <v>2064</v>
      </c>
      <c r="C8179" t="s">
        <v>11184</v>
      </c>
      <c r="D8179" t="s">
        <v>16684</v>
      </c>
      <c r="E8179" t="s">
        <v>19027</v>
      </c>
      <c r="F8179" t="s">
        <v>28669</v>
      </c>
      <c r="G8179" t="s">
        <v>28675</v>
      </c>
      <c r="H8179" t="s">
        <v>28686</v>
      </c>
      <c r="I8179" t="s">
        <v>28689</v>
      </c>
      <c r="J8179" t="s">
        <v>33920</v>
      </c>
      <c r="K8179" t="s">
        <v>37213</v>
      </c>
      <c r="M8179" t="s">
        <v>39705</v>
      </c>
      <c r="N8179" t="s">
        <v>41249</v>
      </c>
      <c r="O8179" t="s">
        <v>41250</v>
      </c>
      <c r="P8179">
        <v>0</v>
      </c>
      <c r="Q8179">
        <v>0</v>
      </c>
      <c r="R8179" t="s">
        <v>41258</v>
      </c>
      <c r="S8179" t="s">
        <v>41513</v>
      </c>
      <c r="T8179" t="s">
        <v>42760</v>
      </c>
      <c r="U8179" t="s">
        <v>49901</v>
      </c>
      <c r="W8179" t="s">
        <v>39705</v>
      </c>
      <c r="X8179" t="s">
        <v>41259</v>
      </c>
    </row>
    <row r="8180" spans="1:24">
      <c r="A8180">
        <f>HYPERLINK("https://www.philgeps.gov.ph/GEPSNONPILOT/Tender/SplashBidNoticeAbstractUI.aspx?menuIndex=3&amp;refID=7065414&amp;Result=3","7065414")</f>
        <v>0</v>
      </c>
      <c r="B8180" t="s">
        <v>2521</v>
      </c>
      <c r="C8180" t="s">
        <v>11185</v>
      </c>
      <c r="D8180" t="s">
        <v>16658</v>
      </c>
      <c r="E8180" t="s">
        <v>23859</v>
      </c>
      <c r="F8180" t="s">
        <v>28669</v>
      </c>
      <c r="G8180" t="s">
        <v>28675</v>
      </c>
      <c r="H8180" t="s">
        <v>28686</v>
      </c>
      <c r="I8180" t="s">
        <v>28689</v>
      </c>
      <c r="J8180" t="s">
        <v>33921</v>
      </c>
      <c r="K8180" t="s">
        <v>37213</v>
      </c>
      <c r="M8180" t="s">
        <v>40209</v>
      </c>
      <c r="N8180" t="s">
        <v>41249</v>
      </c>
      <c r="O8180" t="s">
        <v>41250</v>
      </c>
      <c r="P8180">
        <v>0</v>
      </c>
      <c r="Q8180">
        <v>0</v>
      </c>
      <c r="R8180" t="s">
        <v>41258</v>
      </c>
      <c r="S8180" t="s">
        <v>41513</v>
      </c>
      <c r="T8180" t="s">
        <v>42761</v>
      </c>
      <c r="U8180" t="s">
        <v>49902</v>
      </c>
      <c r="W8180" t="s">
        <v>40211</v>
      </c>
      <c r="X8180" t="s">
        <v>41259</v>
      </c>
    </row>
    <row r="8181" spans="1:24">
      <c r="A8181">
        <f>HYPERLINK("https://www.philgeps.gov.ph/GEPSNONPILOT/Tender/SplashBidNoticeAbstractUI.aspx?menuIndex=3&amp;refID=7065415&amp;Result=3","7065415")</f>
        <v>0</v>
      </c>
      <c r="B8181" t="s">
        <v>965</v>
      </c>
      <c r="C8181" t="s">
        <v>11186</v>
      </c>
      <c r="D8181" t="s">
        <v>16608</v>
      </c>
      <c r="E8181" t="s">
        <v>23860</v>
      </c>
      <c r="F8181" t="s">
        <v>28669</v>
      </c>
      <c r="G8181" t="s">
        <v>28675</v>
      </c>
      <c r="H8181" t="s">
        <v>9998</v>
      </c>
      <c r="I8181" t="s">
        <v>6128</v>
      </c>
      <c r="J8181" t="s">
        <v>33922</v>
      </c>
      <c r="K8181" t="s">
        <v>37205</v>
      </c>
      <c r="M8181" t="s">
        <v>38759</v>
      </c>
      <c r="N8181" t="s">
        <v>41249</v>
      </c>
      <c r="O8181" t="s">
        <v>41250</v>
      </c>
      <c r="P8181">
        <v>0</v>
      </c>
      <c r="Q8181">
        <v>0</v>
      </c>
      <c r="R8181" t="s">
        <v>41258</v>
      </c>
      <c r="S8181" t="s">
        <v>41513</v>
      </c>
      <c r="T8181" t="s">
        <v>42728</v>
      </c>
      <c r="U8181" t="s">
        <v>44022</v>
      </c>
      <c r="W8181" t="s">
        <v>38759</v>
      </c>
      <c r="X8181" t="s">
        <v>41259</v>
      </c>
    </row>
    <row r="8182" spans="1:24">
      <c r="A8182">
        <f>HYPERLINK("https://www.philgeps.gov.ph/GEPSNONPILOT/Tender/SplashBidNoticeAbstractUI.aspx?menuIndex=3&amp;refID=7065327&amp;Result=3","7065327")</f>
        <v>0</v>
      </c>
      <c r="B8182" t="s">
        <v>2522</v>
      </c>
      <c r="C8182" t="s">
        <v>11187</v>
      </c>
      <c r="D8182" t="s">
        <v>16671</v>
      </c>
      <c r="E8182" t="s">
        <v>16904</v>
      </c>
      <c r="F8182" t="s">
        <v>28671</v>
      </c>
      <c r="G8182" t="s">
        <v>28675</v>
      </c>
      <c r="H8182" t="s">
        <v>9998</v>
      </c>
      <c r="I8182" t="s">
        <v>7352</v>
      </c>
      <c r="J8182" t="s">
        <v>33923</v>
      </c>
      <c r="K8182" t="s">
        <v>37215</v>
      </c>
      <c r="M8182" t="s">
        <v>40210</v>
      </c>
      <c r="N8182" t="s">
        <v>41249</v>
      </c>
      <c r="O8182" t="s">
        <v>41250</v>
      </c>
      <c r="P8182">
        <v>0</v>
      </c>
      <c r="Q8182">
        <v>0</v>
      </c>
      <c r="R8182" t="s">
        <v>41258</v>
      </c>
      <c r="S8182" t="s">
        <v>41513</v>
      </c>
      <c r="T8182" t="s">
        <v>42999</v>
      </c>
      <c r="U8182" t="s">
        <v>49903</v>
      </c>
      <c r="W8182" t="s">
        <v>40210</v>
      </c>
      <c r="X8182" t="s">
        <v>41259</v>
      </c>
    </row>
    <row r="8183" spans="1:24">
      <c r="A8183">
        <f>HYPERLINK("https://www.philgeps.gov.ph/GEPSNONPILOT/Tender/SplashBidNoticeAbstractUI.aspx?menuIndex=3&amp;refID=7065339&amp;Result=3","7065339")</f>
        <v>0</v>
      </c>
      <c r="B8183" t="s">
        <v>2521</v>
      </c>
      <c r="C8183" t="s">
        <v>11188</v>
      </c>
      <c r="D8183" t="s">
        <v>16658</v>
      </c>
      <c r="E8183" t="s">
        <v>23861</v>
      </c>
      <c r="F8183" t="s">
        <v>28669</v>
      </c>
      <c r="G8183" t="s">
        <v>28675</v>
      </c>
      <c r="H8183" t="s">
        <v>28686</v>
      </c>
      <c r="I8183" t="s">
        <v>28689</v>
      </c>
      <c r="J8183" t="s">
        <v>33924</v>
      </c>
      <c r="K8183" t="s">
        <v>37220</v>
      </c>
      <c r="M8183" t="s">
        <v>40211</v>
      </c>
      <c r="N8183" t="s">
        <v>41249</v>
      </c>
      <c r="O8183" t="s">
        <v>41250</v>
      </c>
      <c r="P8183">
        <v>0</v>
      </c>
      <c r="Q8183">
        <v>0</v>
      </c>
      <c r="R8183" t="s">
        <v>41258</v>
      </c>
      <c r="S8183" t="s">
        <v>41513</v>
      </c>
      <c r="T8183" t="s">
        <v>42761</v>
      </c>
      <c r="U8183" t="s">
        <v>49904</v>
      </c>
      <c r="W8183" t="s">
        <v>40211</v>
      </c>
      <c r="X8183" t="s">
        <v>41259</v>
      </c>
    </row>
    <row r="8184" spans="1:24">
      <c r="A8184">
        <f>HYPERLINK("https://www.philgeps.gov.ph/GEPSNONPILOT/Tender/SplashBidNoticeAbstractUI.aspx?menuIndex=3&amp;refID=7065402&amp;Result=3","7065402")</f>
        <v>0</v>
      </c>
      <c r="B8184" t="s">
        <v>2467</v>
      </c>
      <c r="C8184" t="s">
        <v>11189</v>
      </c>
      <c r="D8184" t="s">
        <v>16627</v>
      </c>
      <c r="E8184" t="s">
        <v>16861</v>
      </c>
      <c r="F8184" t="s">
        <v>28669</v>
      </c>
      <c r="G8184" t="s">
        <v>28675</v>
      </c>
      <c r="H8184" t="s">
        <v>28684</v>
      </c>
      <c r="I8184" t="s">
        <v>28689</v>
      </c>
      <c r="J8184" t="s">
        <v>30192</v>
      </c>
      <c r="K8184" t="s">
        <v>37227</v>
      </c>
      <c r="L8184" t="s">
        <v>2467</v>
      </c>
      <c r="M8184" t="s">
        <v>40150</v>
      </c>
      <c r="N8184" t="s">
        <v>41249</v>
      </c>
      <c r="O8184" t="s">
        <v>41250</v>
      </c>
      <c r="P8184">
        <v>0</v>
      </c>
      <c r="Q8184">
        <v>0</v>
      </c>
      <c r="R8184" t="s">
        <v>41258</v>
      </c>
      <c r="S8184" t="s">
        <v>41513</v>
      </c>
      <c r="T8184" t="s">
        <v>42938</v>
      </c>
      <c r="U8184" t="s">
        <v>49905</v>
      </c>
      <c r="W8184" t="s">
        <v>40150</v>
      </c>
      <c r="X8184" t="s">
        <v>41259</v>
      </c>
    </row>
    <row r="8185" spans="1:24">
      <c r="A8185">
        <f>HYPERLINK("https://www.philgeps.gov.ph/GEPSNONPILOT/Tender/SplashBidNoticeAbstractUI.aspx?menuIndex=3&amp;refID=7065332&amp;Result=3","7065332")</f>
        <v>0</v>
      </c>
      <c r="B8185" t="s">
        <v>438</v>
      </c>
      <c r="C8185" t="s">
        <v>11190</v>
      </c>
      <c r="D8185" t="s">
        <v>16616</v>
      </c>
      <c r="E8185" t="s">
        <v>23862</v>
      </c>
      <c r="F8185" t="s">
        <v>28669</v>
      </c>
      <c r="G8185" t="s">
        <v>28676</v>
      </c>
      <c r="H8185" t="s">
        <v>9998</v>
      </c>
      <c r="I8185" t="s">
        <v>28707</v>
      </c>
      <c r="J8185" t="s">
        <v>33925</v>
      </c>
      <c r="K8185" t="s">
        <v>37206</v>
      </c>
      <c r="M8185" t="s">
        <v>37923</v>
      </c>
      <c r="N8185" t="s">
        <v>41249</v>
      </c>
      <c r="O8185" t="s">
        <v>41250</v>
      </c>
      <c r="P8185">
        <v>0</v>
      </c>
      <c r="Q8185">
        <v>2</v>
      </c>
      <c r="R8185" t="s">
        <v>41258</v>
      </c>
      <c r="S8185" t="s">
        <v>41513</v>
      </c>
      <c r="T8185" t="s">
        <v>42728</v>
      </c>
      <c r="U8185" t="s">
        <v>49906</v>
      </c>
      <c r="W8185" t="s">
        <v>37923</v>
      </c>
      <c r="X8185" t="s">
        <v>41259</v>
      </c>
    </row>
    <row r="8186" spans="1:24">
      <c r="A8186">
        <f>HYPERLINK("https://www.philgeps.gov.ph/GEPSNONPILOT/Tender/SplashBidNoticeAbstractUI.aspx?menuIndex=3&amp;refID=7065907&amp;Result=3","7065907")</f>
        <v>0</v>
      </c>
      <c r="B8186" t="s">
        <v>2523</v>
      </c>
      <c r="C8186" t="s">
        <v>3485</v>
      </c>
      <c r="D8186" t="s">
        <v>16608</v>
      </c>
      <c r="E8186" t="s">
        <v>6569</v>
      </c>
      <c r="F8186" t="s">
        <v>28669</v>
      </c>
      <c r="G8186" t="s">
        <v>28675</v>
      </c>
      <c r="H8186" t="s">
        <v>9998</v>
      </c>
      <c r="I8186" t="s">
        <v>6128</v>
      </c>
      <c r="J8186" t="s">
        <v>28879</v>
      </c>
      <c r="K8186" t="s">
        <v>37208</v>
      </c>
      <c r="M8186" t="s">
        <v>40212</v>
      </c>
      <c r="N8186" t="s">
        <v>41249</v>
      </c>
      <c r="O8186" t="s">
        <v>41250</v>
      </c>
      <c r="P8186">
        <v>0</v>
      </c>
      <c r="Q8186">
        <v>5</v>
      </c>
      <c r="R8186" t="s">
        <v>41258</v>
      </c>
      <c r="S8186" t="s">
        <v>41513</v>
      </c>
      <c r="T8186" t="s">
        <v>42811</v>
      </c>
      <c r="U8186" t="s">
        <v>44022</v>
      </c>
      <c r="W8186" t="s">
        <v>40212</v>
      </c>
      <c r="X8186" t="s">
        <v>41259</v>
      </c>
    </row>
    <row r="8187" spans="1:24">
      <c r="A8187">
        <f>HYPERLINK("https://www.philgeps.gov.ph/GEPSNONPILOT/Tender/SplashBidNoticeAbstractUI.aspx?menuIndex=3&amp;refID=7065901&amp;Result=3","7065901")</f>
        <v>0</v>
      </c>
      <c r="B8187" t="s">
        <v>2504</v>
      </c>
      <c r="C8187" t="s">
        <v>11191</v>
      </c>
      <c r="D8187" t="s">
        <v>16621</v>
      </c>
      <c r="E8187" t="s">
        <v>23863</v>
      </c>
      <c r="F8187" t="s">
        <v>28669</v>
      </c>
      <c r="G8187" t="s">
        <v>28675</v>
      </c>
      <c r="H8187" t="s">
        <v>28686</v>
      </c>
      <c r="I8187" t="s">
        <v>28749</v>
      </c>
      <c r="J8187" t="s">
        <v>33926</v>
      </c>
      <c r="K8187" t="s">
        <v>37205</v>
      </c>
      <c r="M8187" t="s">
        <v>40190</v>
      </c>
      <c r="N8187" t="s">
        <v>41249</v>
      </c>
      <c r="O8187" t="s">
        <v>41250</v>
      </c>
      <c r="P8187">
        <v>0</v>
      </c>
      <c r="Q8187">
        <v>0</v>
      </c>
      <c r="R8187" t="s">
        <v>41258</v>
      </c>
      <c r="S8187" t="s">
        <v>41513</v>
      </c>
      <c r="T8187" t="s">
        <v>42760</v>
      </c>
      <c r="U8187" t="s">
        <v>49907</v>
      </c>
      <c r="W8187" t="s">
        <v>40190</v>
      </c>
      <c r="X8187" t="s">
        <v>41259</v>
      </c>
    </row>
    <row r="8188" spans="1:24">
      <c r="A8188">
        <f>HYPERLINK("https://www.philgeps.gov.ph/GEPSNONPILOT/Tender/SplashBidNoticeAbstractUI.aspx?menuIndex=3&amp;refID=7065896&amp;Result=3","7065896")</f>
        <v>0</v>
      </c>
      <c r="B8188" t="s">
        <v>965</v>
      </c>
      <c r="C8188" t="s">
        <v>11192</v>
      </c>
      <c r="D8188" t="s">
        <v>16608</v>
      </c>
      <c r="E8188" t="s">
        <v>23864</v>
      </c>
      <c r="F8188" t="s">
        <v>28669</v>
      </c>
      <c r="G8188" t="s">
        <v>28675</v>
      </c>
      <c r="H8188" t="s">
        <v>9998</v>
      </c>
      <c r="I8188" t="s">
        <v>5213</v>
      </c>
      <c r="J8188" t="s">
        <v>33927</v>
      </c>
      <c r="K8188" t="s">
        <v>37205</v>
      </c>
      <c r="M8188" t="s">
        <v>38490</v>
      </c>
      <c r="N8188" t="s">
        <v>41249</v>
      </c>
      <c r="O8188" t="s">
        <v>41250</v>
      </c>
      <c r="P8188">
        <v>0</v>
      </c>
      <c r="Q8188">
        <v>1</v>
      </c>
      <c r="R8188" t="s">
        <v>41258</v>
      </c>
      <c r="S8188" t="s">
        <v>41513</v>
      </c>
      <c r="T8188" t="s">
        <v>42728</v>
      </c>
      <c r="U8188" t="s">
        <v>45206</v>
      </c>
      <c r="W8188" t="s">
        <v>38490</v>
      </c>
      <c r="X8188" t="s">
        <v>41259</v>
      </c>
    </row>
    <row r="8189" spans="1:24">
      <c r="A8189">
        <f>HYPERLINK("https://www.philgeps.gov.ph/GEPSNONPILOT/Tender/SplashBidNoticeAbstractUI.aspx?menuIndex=3&amp;refID=7065914&amp;Result=3","7065914")</f>
        <v>0</v>
      </c>
      <c r="B8189" t="s">
        <v>2524</v>
      </c>
      <c r="C8189" t="s">
        <v>11193</v>
      </c>
      <c r="D8189" t="s">
        <v>16650</v>
      </c>
      <c r="E8189" t="s">
        <v>23865</v>
      </c>
      <c r="F8189" t="s">
        <v>28669</v>
      </c>
      <c r="G8189" t="s">
        <v>28678</v>
      </c>
      <c r="H8189" t="s">
        <v>9998</v>
      </c>
      <c r="I8189" t="s">
        <v>28697</v>
      </c>
      <c r="J8189" t="s">
        <v>29104</v>
      </c>
      <c r="K8189" t="s">
        <v>37206</v>
      </c>
      <c r="M8189" t="s">
        <v>40213</v>
      </c>
      <c r="N8189" t="s">
        <v>41249</v>
      </c>
      <c r="O8189" t="s">
        <v>41250</v>
      </c>
      <c r="P8189">
        <v>0</v>
      </c>
      <c r="Q8189">
        <v>9</v>
      </c>
      <c r="R8189" t="s">
        <v>41258</v>
      </c>
      <c r="S8189" t="s">
        <v>41513</v>
      </c>
      <c r="T8189" t="s">
        <v>42767</v>
      </c>
      <c r="U8189" t="s">
        <v>49908</v>
      </c>
      <c r="W8189" t="s">
        <v>40213</v>
      </c>
      <c r="X8189" t="s">
        <v>41259</v>
      </c>
    </row>
    <row r="8190" spans="1:24">
      <c r="A8190">
        <f>HYPERLINK("https://www.philgeps.gov.ph/GEPSNONPILOT/Tender/SplashBidNoticeAbstractUI.aspx?menuIndex=3&amp;refID=7065908&amp;Result=3","7065908")</f>
        <v>0</v>
      </c>
      <c r="B8190" t="s">
        <v>1633</v>
      </c>
      <c r="C8190" t="s">
        <v>11194</v>
      </c>
      <c r="D8190" t="s">
        <v>16608</v>
      </c>
      <c r="E8190" t="s">
        <v>23866</v>
      </c>
      <c r="F8190" t="s">
        <v>28669</v>
      </c>
      <c r="G8190" t="s">
        <v>28678</v>
      </c>
      <c r="H8190" t="s">
        <v>9998</v>
      </c>
      <c r="I8190" t="s">
        <v>5213</v>
      </c>
      <c r="J8190" t="s">
        <v>29183</v>
      </c>
      <c r="K8190" t="s">
        <v>37205</v>
      </c>
      <c r="M8190" t="s">
        <v>39580</v>
      </c>
      <c r="N8190" t="s">
        <v>41249</v>
      </c>
      <c r="O8190" t="s">
        <v>41250</v>
      </c>
      <c r="P8190">
        <v>0</v>
      </c>
      <c r="Q8190">
        <v>1</v>
      </c>
      <c r="R8190" t="s">
        <v>41258</v>
      </c>
      <c r="S8190" t="s">
        <v>41513</v>
      </c>
      <c r="T8190" t="s">
        <v>42743</v>
      </c>
      <c r="U8190" t="s">
        <v>47958</v>
      </c>
      <c r="V8190" t="s">
        <v>55194</v>
      </c>
      <c r="W8190" t="s">
        <v>39580</v>
      </c>
      <c r="X8190" t="s">
        <v>41259</v>
      </c>
    </row>
    <row r="8191" spans="1:24">
      <c r="A8191">
        <f>HYPERLINK("https://www.philgeps.gov.ph/GEPSNONPILOT/Tender/SplashBidNoticeAbstractUI.aspx?menuIndex=3&amp;refID=7065895&amp;Result=3","7065895")</f>
        <v>0</v>
      </c>
      <c r="B8191" t="s">
        <v>2525</v>
      </c>
      <c r="C8191" t="s">
        <v>11195</v>
      </c>
      <c r="D8191" t="s">
        <v>16626</v>
      </c>
      <c r="E8191" t="s">
        <v>23867</v>
      </c>
      <c r="F8191" t="s">
        <v>28669</v>
      </c>
      <c r="G8191" t="s">
        <v>28675</v>
      </c>
      <c r="H8191" t="s">
        <v>9998</v>
      </c>
      <c r="I8191" t="s">
        <v>28687</v>
      </c>
      <c r="J8191" t="s">
        <v>30162</v>
      </c>
      <c r="K8191" t="s">
        <v>37209</v>
      </c>
      <c r="M8191" t="s">
        <v>40214</v>
      </c>
      <c r="N8191" t="s">
        <v>41249</v>
      </c>
      <c r="O8191" t="s">
        <v>41250</v>
      </c>
      <c r="P8191">
        <v>0</v>
      </c>
      <c r="Q8191">
        <v>4</v>
      </c>
      <c r="R8191" t="s">
        <v>41258</v>
      </c>
      <c r="S8191" t="s">
        <v>41513</v>
      </c>
      <c r="T8191" t="s">
        <v>42760</v>
      </c>
      <c r="U8191" t="s">
        <v>49909</v>
      </c>
      <c r="W8191" t="s">
        <v>40214</v>
      </c>
      <c r="X8191" t="s">
        <v>41259</v>
      </c>
    </row>
    <row r="8192" spans="1:24">
      <c r="A8192">
        <f>HYPERLINK("https://www.philgeps.gov.ph/GEPSNONPILOT/Tender/SplashBidNoticeAbstractUI.aspx?menuIndex=3&amp;refID=7065887&amp;Result=3","7065887")</f>
        <v>0</v>
      </c>
      <c r="B8192" t="s">
        <v>1142</v>
      </c>
      <c r="C8192" t="s">
        <v>11196</v>
      </c>
      <c r="D8192" t="s">
        <v>16626</v>
      </c>
      <c r="E8192" t="s">
        <v>23868</v>
      </c>
      <c r="F8192" t="s">
        <v>28669</v>
      </c>
      <c r="G8192" t="s">
        <v>28675</v>
      </c>
      <c r="H8192" t="s">
        <v>9998</v>
      </c>
      <c r="I8192" t="s">
        <v>28688</v>
      </c>
      <c r="J8192" t="s">
        <v>31126</v>
      </c>
      <c r="K8192" t="s">
        <v>37234</v>
      </c>
      <c r="M8192" t="s">
        <v>38677</v>
      </c>
      <c r="N8192" t="s">
        <v>41249</v>
      </c>
      <c r="O8192" t="s">
        <v>41250</v>
      </c>
      <c r="P8192">
        <v>0</v>
      </c>
      <c r="Q8192">
        <v>1</v>
      </c>
      <c r="R8192" t="s">
        <v>41258</v>
      </c>
      <c r="S8192" t="s">
        <v>41513</v>
      </c>
      <c r="T8192" t="s">
        <v>43041</v>
      </c>
      <c r="U8192" t="s">
        <v>49910</v>
      </c>
      <c r="W8192" t="s">
        <v>38677</v>
      </c>
      <c r="X8192" t="s">
        <v>41259</v>
      </c>
    </row>
    <row r="8193" spans="1:24">
      <c r="A8193">
        <f>HYPERLINK("https://www.philgeps.gov.ph/GEPSNONPILOT/Tender/SplashBidNoticeAbstractUI.aspx?menuIndex=3&amp;refID=7065898&amp;Result=3","7065898")</f>
        <v>0</v>
      </c>
      <c r="B8193" t="s">
        <v>236</v>
      </c>
      <c r="C8193" t="s">
        <v>11197</v>
      </c>
      <c r="D8193" t="s">
        <v>16663</v>
      </c>
      <c r="E8193" t="s">
        <v>11197</v>
      </c>
      <c r="F8193" t="s">
        <v>28669</v>
      </c>
      <c r="G8193" t="s">
        <v>28675</v>
      </c>
      <c r="H8193" t="s">
        <v>9998</v>
      </c>
      <c r="I8193" t="s">
        <v>15140</v>
      </c>
      <c r="J8193" t="s">
        <v>30280</v>
      </c>
      <c r="K8193" t="s">
        <v>37206</v>
      </c>
      <c r="M8193" t="s">
        <v>37714</v>
      </c>
      <c r="N8193" t="s">
        <v>41249</v>
      </c>
      <c r="O8193" t="s">
        <v>41250</v>
      </c>
      <c r="P8193">
        <v>0</v>
      </c>
      <c r="Q8193">
        <v>0</v>
      </c>
      <c r="R8193" t="s">
        <v>41258</v>
      </c>
      <c r="S8193" t="s">
        <v>41513</v>
      </c>
      <c r="T8193" t="s">
        <v>43063</v>
      </c>
      <c r="U8193" t="s">
        <v>49911</v>
      </c>
      <c r="W8193" t="s">
        <v>37714</v>
      </c>
      <c r="X8193" t="s">
        <v>41259</v>
      </c>
    </row>
    <row r="8194" spans="1:24">
      <c r="A8194">
        <f>HYPERLINK("https://www.philgeps.gov.ph/GEPSNONPILOT/Tender/SplashBidNoticeAbstractUI.aspx?menuIndex=3&amp;refID=7065877&amp;Result=3","7065877")</f>
        <v>0</v>
      </c>
      <c r="B8194" t="s">
        <v>965</v>
      </c>
      <c r="C8194" t="s">
        <v>11198</v>
      </c>
      <c r="D8194" t="s">
        <v>16608</v>
      </c>
      <c r="E8194" t="s">
        <v>23869</v>
      </c>
      <c r="F8194" t="s">
        <v>28669</v>
      </c>
      <c r="G8194" t="s">
        <v>28675</v>
      </c>
      <c r="H8194" t="s">
        <v>9998</v>
      </c>
      <c r="I8194" t="s">
        <v>5213</v>
      </c>
      <c r="J8194" t="s">
        <v>33928</v>
      </c>
      <c r="K8194" t="s">
        <v>37205</v>
      </c>
      <c r="M8194" t="s">
        <v>38490</v>
      </c>
      <c r="N8194" t="s">
        <v>41249</v>
      </c>
      <c r="O8194" t="s">
        <v>41250</v>
      </c>
      <c r="P8194">
        <v>0</v>
      </c>
      <c r="Q8194">
        <v>0</v>
      </c>
      <c r="R8194" t="s">
        <v>41258</v>
      </c>
      <c r="S8194" t="s">
        <v>41513</v>
      </c>
      <c r="T8194" t="s">
        <v>42728</v>
      </c>
      <c r="U8194" t="s">
        <v>45206</v>
      </c>
      <c r="W8194" t="s">
        <v>38490</v>
      </c>
      <c r="X8194" t="s">
        <v>41259</v>
      </c>
    </row>
    <row r="8195" spans="1:24">
      <c r="A8195">
        <f>HYPERLINK("https://www.philgeps.gov.ph/GEPSNONPILOT/Tender/SplashBidNoticeAbstractUI.aspx?menuIndex=3&amp;refID=7065876&amp;Result=3","7065876")</f>
        <v>0</v>
      </c>
      <c r="B8195" t="s">
        <v>2526</v>
      </c>
      <c r="C8195" t="s">
        <v>11199</v>
      </c>
      <c r="D8195" t="s">
        <v>16618</v>
      </c>
      <c r="E8195" t="s">
        <v>23870</v>
      </c>
      <c r="F8195" t="s">
        <v>28669</v>
      </c>
      <c r="G8195" t="s">
        <v>28675</v>
      </c>
      <c r="H8195" t="s">
        <v>28686</v>
      </c>
      <c r="I8195" t="s">
        <v>28689</v>
      </c>
      <c r="J8195" t="s">
        <v>33929</v>
      </c>
      <c r="K8195" t="s">
        <v>37213</v>
      </c>
      <c r="M8195" t="s">
        <v>40215</v>
      </c>
      <c r="N8195" t="s">
        <v>41249</v>
      </c>
      <c r="O8195" t="s">
        <v>41250</v>
      </c>
      <c r="P8195">
        <v>0</v>
      </c>
      <c r="Q8195">
        <v>0</v>
      </c>
      <c r="R8195" t="s">
        <v>41258</v>
      </c>
      <c r="S8195" t="s">
        <v>41513</v>
      </c>
      <c r="T8195" t="s">
        <v>42796</v>
      </c>
      <c r="U8195" t="s">
        <v>49912</v>
      </c>
      <c r="W8195" t="s">
        <v>40215</v>
      </c>
      <c r="X8195" t="s">
        <v>41259</v>
      </c>
    </row>
    <row r="8196" spans="1:24">
      <c r="A8196">
        <f>HYPERLINK("https://www.philgeps.gov.ph/GEPSNONPILOT/Tender/SplashBidNoticeAbstractUI.aspx?menuIndex=3&amp;refID=7065890&amp;Result=3","7065890")</f>
        <v>0</v>
      </c>
      <c r="B8196" t="s">
        <v>2527</v>
      </c>
      <c r="C8196" t="s">
        <v>11200</v>
      </c>
      <c r="E8196" t="s">
        <v>17140</v>
      </c>
      <c r="F8196" t="s">
        <v>28669</v>
      </c>
      <c r="G8196" t="s">
        <v>28675</v>
      </c>
      <c r="H8196" t="s">
        <v>9998</v>
      </c>
      <c r="I8196" t="s">
        <v>7352</v>
      </c>
      <c r="J8196" t="s">
        <v>33930</v>
      </c>
      <c r="K8196" t="s">
        <v>37205</v>
      </c>
      <c r="M8196" t="s">
        <v>40216</v>
      </c>
      <c r="N8196" t="s">
        <v>41249</v>
      </c>
      <c r="O8196" t="s">
        <v>41250</v>
      </c>
      <c r="P8196">
        <v>0</v>
      </c>
      <c r="Q8196">
        <v>0</v>
      </c>
      <c r="R8196" t="s">
        <v>41258</v>
      </c>
      <c r="S8196" t="s">
        <v>41513</v>
      </c>
      <c r="T8196" t="s">
        <v>42857</v>
      </c>
      <c r="U8196" t="s">
        <v>49913</v>
      </c>
      <c r="W8196" t="s">
        <v>55999</v>
      </c>
      <c r="X8196" t="s">
        <v>41259</v>
      </c>
    </row>
    <row r="8197" spans="1:24">
      <c r="A8197">
        <f>HYPERLINK("https://www.philgeps.gov.ph/GEPSNONPILOT/Tender/SplashBidNoticeAbstractUI.aspx?menuIndex=3&amp;refID=7065875&amp;Result=3","7065875")</f>
        <v>0</v>
      </c>
      <c r="B8197" t="s">
        <v>2528</v>
      </c>
      <c r="C8197" t="s">
        <v>11201</v>
      </c>
      <c r="D8197" t="s">
        <v>16676</v>
      </c>
      <c r="E8197" t="s">
        <v>23871</v>
      </c>
      <c r="F8197" t="s">
        <v>28669</v>
      </c>
      <c r="G8197" t="s">
        <v>28676</v>
      </c>
      <c r="H8197" t="s">
        <v>9998</v>
      </c>
      <c r="I8197" t="s">
        <v>28709</v>
      </c>
      <c r="J8197" t="s">
        <v>28878</v>
      </c>
      <c r="K8197" t="s">
        <v>37204</v>
      </c>
      <c r="M8197" t="s">
        <v>40217</v>
      </c>
      <c r="N8197" t="s">
        <v>41249</v>
      </c>
      <c r="O8197" t="s">
        <v>41250</v>
      </c>
      <c r="P8197">
        <v>0</v>
      </c>
      <c r="Q8197">
        <v>2</v>
      </c>
      <c r="R8197" t="s">
        <v>41258</v>
      </c>
      <c r="S8197" t="s">
        <v>41513</v>
      </c>
      <c r="T8197" t="s">
        <v>42883</v>
      </c>
      <c r="U8197" t="s">
        <v>49914</v>
      </c>
      <c r="V8197" t="s">
        <v>55195</v>
      </c>
      <c r="W8197" t="s">
        <v>40217</v>
      </c>
      <c r="X8197" t="s">
        <v>41259</v>
      </c>
    </row>
    <row r="8198" spans="1:24">
      <c r="A8198">
        <f>HYPERLINK("https://www.philgeps.gov.ph/GEPSNONPILOT/Tender/SplashBidNoticeAbstractUI.aspx?menuIndex=3&amp;refID=7065884&amp;Result=3","7065884")</f>
        <v>0</v>
      </c>
      <c r="B8198" t="s">
        <v>2529</v>
      </c>
      <c r="C8198" t="s">
        <v>11202</v>
      </c>
      <c r="D8198" t="s">
        <v>16621</v>
      </c>
      <c r="E8198" t="s">
        <v>23872</v>
      </c>
      <c r="F8198" t="s">
        <v>28670</v>
      </c>
      <c r="G8198" t="s">
        <v>28677</v>
      </c>
      <c r="H8198" t="s">
        <v>9998</v>
      </c>
      <c r="I8198" t="s">
        <v>3679</v>
      </c>
      <c r="J8198" t="s">
        <v>33931</v>
      </c>
      <c r="K8198" t="s">
        <v>37210</v>
      </c>
      <c r="M8198" t="s">
        <v>40218</v>
      </c>
      <c r="N8198" t="s">
        <v>41249</v>
      </c>
      <c r="O8198" t="s">
        <v>41250</v>
      </c>
      <c r="P8198">
        <v>0</v>
      </c>
      <c r="Q8198">
        <v>1</v>
      </c>
      <c r="R8198" t="s">
        <v>41258</v>
      </c>
      <c r="S8198" t="s">
        <v>41513</v>
      </c>
      <c r="T8198" t="s">
        <v>42728</v>
      </c>
      <c r="U8198" t="s">
        <v>49915</v>
      </c>
      <c r="W8198" t="s">
        <v>40218</v>
      </c>
      <c r="X8198" t="s">
        <v>41259</v>
      </c>
    </row>
    <row r="8199" spans="1:24">
      <c r="A8199">
        <f>HYPERLINK("https://www.philgeps.gov.ph/GEPSNONPILOT/Tender/SplashBidNoticeAbstractUI.aspx?menuIndex=3&amp;refID=7065874&amp;Result=3","7065874")</f>
        <v>0</v>
      </c>
      <c r="B8199" t="s">
        <v>2530</v>
      </c>
      <c r="C8199" t="s">
        <v>11203</v>
      </c>
      <c r="E8199" t="s">
        <v>23873</v>
      </c>
      <c r="F8199" t="s">
        <v>28669</v>
      </c>
      <c r="G8199" t="s">
        <v>28675</v>
      </c>
      <c r="H8199" t="s">
        <v>9998</v>
      </c>
      <c r="I8199" t="s">
        <v>28733</v>
      </c>
      <c r="J8199" t="s">
        <v>28826</v>
      </c>
      <c r="K8199" t="s">
        <v>37204</v>
      </c>
      <c r="M8199" t="s">
        <v>40219</v>
      </c>
      <c r="N8199" t="s">
        <v>41249</v>
      </c>
      <c r="O8199" t="s">
        <v>41250</v>
      </c>
      <c r="P8199">
        <v>0</v>
      </c>
      <c r="Q8199">
        <v>1</v>
      </c>
      <c r="R8199" t="s">
        <v>41258</v>
      </c>
      <c r="S8199" t="s">
        <v>41513</v>
      </c>
      <c r="T8199" t="s">
        <v>42764</v>
      </c>
      <c r="U8199" t="s">
        <v>49916</v>
      </c>
      <c r="W8199" t="s">
        <v>40219</v>
      </c>
      <c r="X8199" t="s">
        <v>41259</v>
      </c>
    </row>
    <row r="8200" spans="1:24">
      <c r="A8200">
        <f>HYPERLINK("https://www.philgeps.gov.ph/GEPSNONPILOT/Tender/SplashBidNoticeAbstractUI.aspx?menuIndex=3&amp;refID=7065881&amp;Result=3","7065881")</f>
        <v>0</v>
      </c>
      <c r="B8200" t="s">
        <v>2481</v>
      </c>
      <c r="C8200" t="s">
        <v>11204</v>
      </c>
      <c r="D8200" t="s">
        <v>16643</v>
      </c>
      <c r="E8200" t="s">
        <v>23874</v>
      </c>
      <c r="F8200" t="s">
        <v>28669</v>
      </c>
      <c r="G8200" t="s">
        <v>28676</v>
      </c>
      <c r="H8200" t="s">
        <v>9998</v>
      </c>
      <c r="I8200" t="s">
        <v>7352</v>
      </c>
      <c r="J8200" t="s">
        <v>33932</v>
      </c>
      <c r="K8200" t="s">
        <v>37205</v>
      </c>
      <c r="M8200" t="s">
        <v>40164</v>
      </c>
      <c r="N8200" t="s">
        <v>41249</v>
      </c>
      <c r="O8200" t="s">
        <v>41250</v>
      </c>
      <c r="P8200">
        <v>0</v>
      </c>
      <c r="Q8200">
        <v>3</v>
      </c>
      <c r="R8200" t="s">
        <v>41258</v>
      </c>
      <c r="S8200" t="s">
        <v>41513</v>
      </c>
      <c r="T8200" t="s">
        <v>42681</v>
      </c>
      <c r="U8200" t="s">
        <v>49828</v>
      </c>
      <c r="W8200" t="s">
        <v>40164</v>
      </c>
      <c r="X8200" t="s">
        <v>41259</v>
      </c>
    </row>
    <row r="8201" spans="1:24">
      <c r="A8201">
        <f>HYPERLINK("https://www.philgeps.gov.ph/GEPSNONPILOT/Tender/SplashBidNoticeAbstractUI.aspx?menuIndex=3&amp;refID=7065870&amp;Result=3","7065870")</f>
        <v>0</v>
      </c>
      <c r="B8201" t="s">
        <v>1829</v>
      </c>
      <c r="C8201" t="s">
        <v>11205</v>
      </c>
      <c r="D8201" t="s">
        <v>16661</v>
      </c>
      <c r="E8201" t="s">
        <v>23875</v>
      </c>
      <c r="F8201" t="s">
        <v>28669</v>
      </c>
      <c r="G8201" t="s">
        <v>28675</v>
      </c>
      <c r="H8201" t="s">
        <v>9998</v>
      </c>
      <c r="I8201" t="s">
        <v>28704</v>
      </c>
      <c r="J8201" t="s">
        <v>33933</v>
      </c>
      <c r="K8201" t="s">
        <v>37210</v>
      </c>
      <c r="M8201" t="s">
        <v>39634</v>
      </c>
      <c r="N8201" t="s">
        <v>41249</v>
      </c>
      <c r="O8201" t="s">
        <v>41250</v>
      </c>
      <c r="P8201">
        <v>0</v>
      </c>
      <c r="Q8201">
        <v>2</v>
      </c>
      <c r="R8201" t="s">
        <v>41258</v>
      </c>
      <c r="S8201" t="s">
        <v>41513</v>
      </c>
      <c r="T8201" t="s">
        <v>42911</v>
      </c>
      <c r="U8201" t="s">
        <v>49146</v>
      </c>
      <c r="V8201" t="s">
        <v>55103</v>
      </c>
      <c r="W8201" t="s">
        <v>55976</v>
      </c>
      <c r="X8201" t="s">
        <v>41259</v>
      </c>
    </row>
    <row r="8202" spans="1:24">
      <c r="A8202">
        <f>HYPERLINK("https://www.philgeps.gov.ph/GEPSNONPILOT/Tender/SplashBidNoticeAbstractUI.aspx?menuIndex=3&amp;refID=7065905&amp;Result=3","7065905")</f>
        <v>0</v>
      </c>
      <c r="B8202" t="s">
        <v>2531</v>
      </c>
      <c r="C8202" t="s">
        <v>11206</v>
      </c>
      <c r="D8202" t="s">
        <v>16671</v>
      </c>
      <c r="E8202" t="s">
        <v>23876</v>
      </c>
      <c r="F8202" t="s">
        <v>28669</v>
      </c>
      <c r="G8202" t="s">
        <v>28675</v>
      </c>
      <c r="H8202" t="s">
        <v>9998</v>
      </c>
      <c r="I8202" t="s">
        <v>28726</v>
      </c>
      <c r="J8202" t="s">
        <v>31291</v>
      </c>
      <c r="K8202" t="s">
        <v>37216</v>
      </c>
      <c r="M8202" t="s">
        <v>40220</v>
      </c>
      <c r="N8202" t="s">
        <v>41249</v>
      </c>
      <c r="O8202" t="s">
        <v>41250</v>
      </c>
      <c r="P8202">
        <v>0</v>
      </c>
      <c r="Q8202">
        <v>2</v>
      </c>
      <c r="R8202" t="s">
        <v>41258</v>
      </c>
      <c r="S8202" t="s">
        <v>41513</v>
      </c>
      <c r="T8202" t="s">
        <v>42686</v>
      </c>
      <c r="U8202" t="s">
        <v>49917</v>
      </c>
      <c r="W8202" t="s">
        <v>40220</v>
      </c>
      <c r="X8202" t="s">
        <v>41259</v>
      </c>
    </row>
    <row r="8203" spans="1:24">
      <c r="A8203">
        <f>HYPERLINK("https://www.philgeps.gov.ph/GEPSNONPILOT/Tender/SplashBidNoticeAbstractUI.aspx?menuIndex=3&amp;refID=7065909&amp;Result=3","7065909")</f>
        <v>0</v>
      </c>
      <c r="B8203" t="s">
        <v>2532</v>
      </c>
      <c r="C8203" t="s">
        <v>11207</v>
      </c>
      <c r="D8203" t="s">
        <v>16686</v>
      </c>
      <c r="E8203" t="s">
        <v>23877</v>
      </c>
      <c r="F8203" t="s">
        <v>28669</v>
      </c>
      <c r="G8203" t="s">
        <v>28678</v>
      </c>
      <c r="H8203" t="s">
        <v>9998</v>
      </c>
      <c r="I8203" t="s">
        <v>6128</v>
      </c>
      <c r="J8203" t="s">
        <v>33934</v>
      </c>
      <c r="K8203" t="s">
        <v>37209</v>
      </c>
      <c r="M8203" t="s">
        <v>40221</v>
      </c>
      <c r="N8203" t="s">
        <v>41249</v>
      </c>
      <c r="O8203" t="s">
        <v>41250</v>
      </c>
      <c r="P8203">
        <v>0</v>
      </c>
      <c r="Q8203">
        <v>3</v>
      </c>
      <c r="R8203" t="s">
        <v>41258</v>
      </c>
      <c r="S8203" t="s">
        <v>41513</v>
      </c>
      <c r="T8203" t="s">
        <v>42665</v>
      </c>
      <c r="U8203" t="s">
        <v>49918</v>
      </c>
      <c r="W8203" t="s">
        <v>40221</v>
      </c>
      <c r="X8203" t="s">
        <v>41259</v>
      </c>
    </row>
    <row r="8204" spans="1:24">
      <c r="A8204">
        <f>HYPERLINK("https://www.philgeps.gov.ph/GEPSNONPILOT/Tender/SplashBidNoticeAbstractUI.aspx?menuIndex=3&amp;refID=7065872&amp;Result=3","7065872")</f>
        <v>0</v>
      </c>
      <c r="B8204" t="s">
        <v>2533</v>
      </c>
      <c r="C8204" t="s">
        <v>11208</v>
      </c>
      <c r="D8204" t="s">
        <v>16630</v>
      </c>
      <c r="E8204" t="s">
        <v>16861</v>
      </c>
      <c r="F8204" t="s">
        <v>28669</v>
      </c>
      <c r="G8204" t="s">
        <v>28675</v>
      </c>
      <c r="H8204" t="s">
        <v>9998</v>
      </c>
      <c r="I8204" t="s">
        <v>28697</v>
      </c>
      <c r="J8204" t="s">
        <v>33935</v>
      </c>
      <c r="K8204" t="s">
        <v>37234</v>
      </c>
      <c r="M8204" t="s">
        <v>40222</v>
      </c>
      <c r="N8204" t="s">
        <v>41249</v>
      </c>
      <c r="O8204" t="s">
        <v>41250</v>
      </c>
      <c r="P8204">
        <v>0</v>
      </c>
      <c r="Q8204">
        <v>1</v>
      </c>
      <c r="R8204" t="s">
        <v>41258</v>
      </c>
      <c r="S8204" t="s">
        <v>41513</v>
      </c>
      <c r="T8204" t="s">
        <v>42728</v>
      </c>
      <c r="U8204" t="s">
        <v>49919</v>
      </c>
      <c r="W8204" t="s">
        <v>40222</v>
      </c>
      <c r="X8204" t="s">
        <v>41259</v>
      </c>
    </row>
    <row r="8205" spans="1:24">
      <c r="A8205">
        <f>HYPERLINK("https://www.philgeps.gov.ph/GEPSNONPILOT/Tender/SplashBidNoticeAbstractUI.aspx?menuIndex=3&amp;refID=7065326&amp;Result=3","7065326")</f>
        <v>0</v>
      </c>
      <c r="B8205" t="s">
        <v>2469</v>
      </c>
      <c r="C8205" t="s">
        <v>11209</v>
      </c>
      <c r="D8205" t="s">
        <v>16655</v>
      </c>
      <c r="E8205" t="s">
        <v>23878</v>
      </c>
      <c r="F8205" t="s">
        <v>28669</v>
      </c>
      <c r="G8205" t="s">
        <v>28675</v>
      </c>
      <c r="H8205" t="s">
        <v>28686</v>
      </c>
      <c r="I8205" t="s">
        <v>28689</v>
      </c>
      <c r="J8205" t="s">
        <v>33936</v>
      </c>
      <c r="K8205" t="s">
        <v>37398</v>
      </c>
      <c r="L8205" t="s">
        <v>2469</v>
      </c>
      <c r="M8205" t="s">
        <v>40152</v>
      </c>
      <c r="N8205" t="s">
        <v>41249</v>
      </c>
      <c r="O8205" t="s">
        <v>41250</v>
      </c>
      <c r="P8205">
        <v>0</v>
      </c>
      <c r="Q8205">
        <v>0</v>
      </c>
      <c r="R8205" t="s">
        <v>41258</v>
      </c>
      <c r="S8205" t="s">
        <v>41513</v>
      </c>
      <c r="T8205" t="s">
        <v>42760</v>
      </c>
      <c r="U8205" t="s">
        <v>49920</v>
      </c>
      <c r="V8205" t="s">
        <v>55196</v>
      </c>
      <c r="W8205" t="s">
        <v>40152</v>
      </c>
      <c r="X8205" t="s">
        <v>41259</v>
      </c>
    </row>
    <row r="8206" spans="1:24">
      <c r="A8206">
        <f>HYPERLINK("https://www.philgeps.gov.ph/GEPSNONPILOT/Tender/SplashBidNoticeAbstractUI.aspx?menuIndex=3&amp;refID=7064916&amp;Result=3","7064916")</f>
        <v>0</v>
      </c>
      <c r="B8206" t="s">
        <v>474</v>
      </c>
      <c r="C8206" t="s">
        <v>11210</v>
      </c>
      <c r="D8206" t="s">
        <v>16668</v>
      </c>
      <c r="E8206" t="s">
        <v>23879</v>
      </c>
      <c r="F8206" t="s">
        <v>28669</v>
      </c>
      <c r="G8206" t="s">
        <v>28675</v>
      </c>
      <c r="H8206" t="s">
        <v>9998</v>
      </c>
      <c r="I8206" t="s">
        <v>28722</v>
      </c>
      <c r="J8206" t="s">
        <v>33937</v>
      </c>
      <c r="K8206" t="s">
        <v>37206</v>
      </c>
      <c r="L8206" t="s">
        <v>474</v>
      </c>
      <c r="M8206" t="s">
        <v>37962</v>
      </c>
      <c r="N8206" t="s">
        <v>41249</v>
      </c>
      <c r="O8206" t="s">
        <v>41250</v>
      </c>
      <c r="P8206">
        <v>0</v>
      </c>
      <c r="Q8206">
        <v>1</v>
      </c>
      <c r="R8206" t="s">
        <v>41258</v>
      </c>
      <c r="S8206" t="s">
        <v>41513</v>
      </c>
      <c r="T8206" t="s">
        <v>42755</v>
      </c>
      <c r="U8206" t="s">
        <v>49921</v>
      </c>
      <c r="V8206" t="s">
        <v>55159</v>
      </c>
      <c r="W8206" t="s">
        <v>37962</v>
      </c>
      <c r="X8206" t="s">
        <v>41259</v>
      </c>
    </row>
    <row r="8207" spans="1:24">
      <c r="A8207">
        <f>HYPERLINK("https://www.philgeps.gov.ph/GEPSNONPILOT/Tender/SplashBidNoticeAbstractUI.aspx?menuIndex=3&amp;refID=7065403&amp;Result=3","7065403")</f>
        <v>0</v>
      </c>
      <c r="B8207" t="s">
        <v>2534</v>
      </c>
      <c r="C8207" t="s">
        <v>9974</v>
      </c>
      <c r="D8207" t="s">
        <v>16616</v>
      </c>
      <c r="E8207" t="s">
        <v>23880</v>
      </c>
      <c r="F8207" t="s">
        <v>28669</v>
      </c>
      <c r="G8207" t="s">
        <v>28675</v>
      </c>
      <c r="H8207" t="s">
        <v>9998</v>
      </c>
      <c r="I8207" t="s">
        <v>11593</v>
      </c>
      <c r="J8207" t="s">
        <v>32360</v>
      </c>
      <c r="K8207" t="s">
        <v>37206</v>
      </c>
      <c r="M8207" t="s">
        <v>40223</v>
      </c>
      <c r="N8207" t="s">
        <v>41249</v>
      </c>
      <c r="O8207" t="s">
        <v>41250</v>
      </c>
      <c r="P8207">
        <v>0</v>
      </c>
      <c r="Q8207">
        <v>6</v>
      </c>
      <c r="R8207" t="s">
        <v>41258</v>
      </c>
      <c r="S8207" t="s">
        <v>41513</v>
      </c>
      <c r="T8207" t="s">
        <v>43041</v>
      </c>
      <c r="U8207" t="s">
        <v>49922</v>
      </c>
      <c r="W8207" t="s">
        <v>40223</v>
      </c>
      <c r="X8207" t="s">
        <v>41259</v>
      </c>
    </row>
    <row r="8208" spans="1:24">
      <c r="A8208">
        <f>HYPERLINK("https://www.philgeps.gov.ph/GEPSNONPILOT/Tender/SplashBidNoticeAbstractUI.aspx?menuIndex=3&amp;refID=7064655&amp;Result=3","7064655")</f>
        <v>0</v>
      </c>
      <c r="B8208" t="s">
        <v>1945</v>
      </c>
      <c r="C8208" t="s">
        <v>11211</v>
      </c>
      <c r="D8208" t="s">
        <v>16674</v>
      </c>
      <c r="E8208" t="s">
        <v>23881</v>
      </c>
      <c r="F8208" t="s">
        <v>28669</v>
      </c>
      <c r="G8208" t="s">
        <v>28675</v>
      </c>
      <c r="H8208" t="s">
        <v>9998</v>
      </c>
      <c r="I8208" t="s">
        <v>7352</v>
      </c>
      <c r="J8208" t="s">
        <v>32062</v>
      </c>
      <c r="K8208" t="s">
        <v>37205</v>
      </c>
      <c r="M8208" t="s">
        <v>39574</v>
      </c>
      <c r="N8208" t="s">
        <v>41249</v>
      </c>
      <c r="O8208" t="s">
        <v>41250</v>
      </c>
      <c r="P8208">
        <v>0</v>
      </c>
      <c r="Q8208">
        <v>1</v>
      </c>
      <c r="R8208" t="s">
        <v>41258</v>
      </c>
      <c r="S8208" t="s">
        <v>41513</v>
      </c>
      <c r="T8208" t="s">
        <v>42728</v>
      </c>
      <c r="U8208" t="s">
        <v>49923</v>
      </c>
      <c r="W8208" t="s">
        <v>39574</v>
      </c>
      <c r="X8208" t="s">
        <v>41259</v>
      </c>
    </row>
    <row r="8209" spans="1:24">
      <c r="A8209">
        <f>HYPERLINK("https://www.philgeps.gov.ph/GEPSNONPILOT/Tender/SplashBidNoticeAbstractUI.aspx?menuIndex=3&amp;refID=7065916&amp;Result=3","7065916")</f>
        <v>0</v>
      </c>
      <c r="B8209" t="s">
        <v>236</v>
      </c>
      <c r="C8209" t="s">
        <v>11212</v>
      </c>
      <c r="D8209" t="s">
        <v>16663</v>
      </c>
      <c r="E8209" t="s">
        <v>11212</v>
      </c>
      <c r="F8209" t="s">
        <v>28669</v>
      </c>
      <c r="G8209" t="s">
        <v>28675</v>
      </c>
      <c r="H8209" t="s">
        <v>9998</v>
      </c>
      <c r="I8209" t="s">
        <v>5286</v>
      </c>
      <c r="J8209" t="s">
        <v>28859</v>
      </c>
      <c r="K8209" t="s">
        <v>37209</v>
      </c>
      <c r="M8209" t="s">
        <v>37714</v>
      </c>
      <c r="N8209" t="s">
        <v>41249</v>
      </c>
      <c r="O8209" t="s">
        <v>41250</v>
      </c>
      <c r="P8209">
        <v>0</v>
      </c>
      <c r="Q8209">
        <v>0</v>
      </c>
      <c r="R8209" t="s">
        <v>41258</v>
      </c>
      <c r="S8209" t="s">
        <v>41513</v>
      </c>
      <c r="T8209" t="s">
        <v>42734</v>
      </c>
      <c r="U8209" t="s">
        <v>49924</v>
      </c>
      <c r="W8209" t="s">
        <v>37714</v>
      </c>
      <c r="X8209" t="s">
        <v>41259</v>
      </c>
    </row>
    <row r="8210" spans="1:24">
      <c r="A8210">
        <f>HYPERLINK("https://www.philgeps.gov.ph/GEPSNONPILOT/Tender/SplashBidNoticeAbstractUI.aspx?menuIndex=3&amp;refID=7065325&amp;Result=3","7065325")</f>
        <v>0</v>
      </c>
      <c r="B8210" t="s">
        <v>2497</v>
      </c>
      <c r="C8210" t="s">
        <v>11213</v>
      </c>
      <c r="D8210" t="s">
        <v>16654</v>
      </c>
      <c r="E8210" t="s">
        <v>23882</v>
      </c>
      <c r="F8210" t="s">
        <v>28669</v>
      </c>
      <c r="G8210" t="s">
        <v>28676</v>
      </c>
      <c r="H8210" t="s">
        <v>9998</v>
      </c>
      <c r="I8210" t="s">
        <v>28740</v>
      </c>
      <c r="J8210" t="s">
        <v>29545</v>
      </c>
      <c r="K8210" t="s">
        <v>37205</v>
      </c>
      <c r="M8210" t="s">
        <v>40182</v>
      </c>
      <c r="N8210" t="s">
        <v>41249</v>
      </c>
      <c r="O8210" t="s">
        <v>41250</v>
      </c>
      <c r="P8210">
        <v>0</v>
      </c>
      <c r="Q8210">
        <v>0</v>
      </c>
      <c r="R8210" t="s">
        <v>41258</v>
      </c>
      <c r="S8210" t="s">
        <v>41513</v>
      </c>
      <c r="T8210" t="s">
        <v>42883</v>
      </c>
      <c r="U8210" t="s">
        <v>49816</v>
      </c>
      <c r="V8210" t="s">
        <v>55197</v>
      </c>
      <c r="W8210" t="s">
        <v>40182</v>
      </c>
      <c r="X8210" t="s">
        <v>41259</v>
      </c>
    </row>
    <row r="8211" spans="1:24">
      <c r="A8211">
        <f>HYPERLINK("https://www.philgeps.gov.ph/GEPSNONPILOT/Tender/SplashBidNoticeAbstractUI.aspx?menuIndex=3&amp;refID=7064920&amp;Result=3","7064920")</f>
        <v>0</v>
      </c>
      <c r="B8211" t="s">
        <v>883</v>
      </c>
      <c r="C8211" t="s">
        <v>11214</v>
      </c>
      <c r="D8211" t="s">
        <v>16679</v>
      </c>
      <c r="E8211" t="s">
        <v>23883</v>
      </c>
      <c r="F8211" t="s">
        <v>28669</v>
      </c>
      <c r="G8211" t="s">
        <v>28675</v>
      </c>
      <c r="H8211" t="s">
        <v>28686</v>
      </c>
      <c r="I8211" t="s">
        <v>28691</v>
      </c>
      <c r="J8211" t="s">
        <v>33938</v>
      </c>
      <c r="K8211" t="s">
        <v>37220</v>
      </c>
      <c r="M8211" t="s">
        <v>38403</v>
      </c>
      <c r="N8211" t="s">
        <v>41249</v>
      </c>
      <c r="O8211" t="s">
        <v>41250</v>
      </c>
      <c r="P8211">
        <v>0</v>
      </c>
      <c r="Q8211">
        <v>4</v>
      </c>
      <c r="R8211" t="s">
        <v>41258</v>
      </c>
      <c r="S8211" t="s">
        <v>41513</v>
      </c>
      <c r="T8211" t="s">
        <v>42782</v>
      </c>
      <c r="U8211" t="s">
        <v>49674</v>
      </c>
      <c r="V8211" t="s">
        <v>55198</v>
      </c>
      <c r="W8211" t="s">
        <v>38403</v>
      </c>
      <c r="X8211" t="s">
        <v>41259</v>
      </c>
    </row>
    <row r="8212" spans="1:24">
      <c r="A8212">
        <f>HYPERLINK("https://www.philgeps.gov.ph/GEPSNONPILOT/Tender/SplashBidNoticeAbstractUI.aspx?menuIndex=3&amp;refID=7064919&amp;Result=3","7064919")</f>
        <v>0</v>
      </c>
      <c r="B8212" t="s">
        <v>2535</v>
      </c>
      <c r="C8212" t="s">
        <v>11215</v>
      </c>
      <c r="D8212" t="s">
        <v>16627</v>
      </c>
      <c r="E8212" t="s">
        <v>21164</v>
      </c>
      <c r="F8212" t="s">
        <v>28669</v>
      </c>
      <c r="G8212" t="s">
        <v>28676</v>
      </c>
      <c r="H8212" t="s">
        <v>9998</v>
      </c>
      <c r="I8212" t="s">
        <v>28710</v>
      </c>
      <c r="J8212" t="s">
        <v>28914</v>
      </c>
      <c r="K8212" t="s">
        <v>37206</v>
      </c>
      <c r="M8212" t="s">
        <v>40224</v>
      </c>
      <c r="N8212" t="s">
        <v>41249</v>
      </c>
      <c r="O8212" t="s">
        <v>41250</v>
      </c>
      <c r="P8212">
        <v>0</v>
      </c>
      <c r="Q8212">
        <v>4</v>
      </c>
      <c r="R8212" t="s">
        <v>41258</v>
      </c>
      <c r="S8212" t="s">
        <v>41513</v>
      </c>
      <c r="T8212" t="s">
        <v>42743</v>
      </c>
      <c r="U8212" t="s">
        <v>49925</v>
      </c>
      <c r="W8212" t="s">
        <v>40224</v>
      </c>
      <c r="X8212" t="s">
        <v>41259</v>
      </c>
    </row>
    <row r="8213" spans="1:24">
      <c r="A8213">
        <f>HYPERLINK("https://www.philgeps.gov.ph/GEPSNONPILOT/Tender/SplashBidNoticeAbstractUI.aspx?menuIndex=3&amp;refID=7065953&amp;Result=3","7065953")</f>
        <v>0</v>
      </c>
      <c r="B8213" t="s">
        <v>2527</v>
      </c>
      <c r="C8213" t="s">
        <v>11216</v>
      </c>
      <c r="E8213" t="s">
        <v>19625</v>
      </c>
      <c r="F8213" t="s">
        <v>28669</v>
      </c>
      <c r="G8213" t="s">
        <v>28675</v>
      </c>
      <c r="H8213" t="s">
        <v>9998</v>
      </c>
      <c r="I8213" t="s">
        <v>7352</v>
      </c>
      <c r="J8213" t="s">
        <v>33939</v>
      </c>
      <c r="K8213" t="s">
        <v>37205</v>
      </c>
      <c r="M8213" t="s">
        <v>40216</v>
      </c>
      <c r="N8213" t="s">
        <v>41249</v>
      </c>
      <c r="O8213" t="s">
        <v>41250</v>
      </c>
      <c r="P8213">
        <v>0</v>
      </c>
      <c r="Q8213">
        <v>0</v>
      </c>
      <c r="R8213" t="s">
        <v>41258</v>
      </c>
      <c r="S8213" t="s">
        <v>41513</v>
      </c>
      <c r="T8213" t="s">
        <v>42857</v>
      </c>
      <c r="U8213" t="s">
        <v>49913</v>
      </c>
      <c r="W8213" t="s">
        <v>55999</v>
      </c>
      <c r="X8213" t="s">
        <v>41259</v>
      </c>
    </row>
    <row r="8214" spans="1:24">
      <c r="A8214">
        <f>HYPERLINK("https://www.philgeps.gov.ph/GEPSNONPILOT/Tender/SplashBidNoticeAbstractUI.aspx?menuIndex=3&amp;refID=7064657&amp;Result=3","7064657")</f>
        <v>0</v>
      </c>
      <c r="B8214" t="s">
        <v>484</v>
      </c>
      <c r="C8214" t="s">
        <v>11217</v>
      </c>
      <c r="E8214" t="s">
        <v>23884</v>
      </c>
      <c r="F8214" t="s">
        <v>28669</v>
      </c>
      <c r="G8214" t="s">
        <v>28675</v>
      </c>
      <c r="H8214" t="s">
        <v>28686</v>
      </c>
      <c r="I8214" t="s">
        <v>28689</v>
      </c>
      <c r="J8214" t="s">
        <v>33940</v>
      </c>
      <c r="K8214" t="s">
        <v>37209</v>
      </c>
      <c r="M8214" t="s">
        <v>37972</v>
      </c>
      <c r="N8214" t="s">
        <v>41249</v>
      </c>
      <c r="O8214" t="s">
        <v>41250</v>
      </c>
      <c r="P8214">
        <v>0</v>
      </c>
      <c r="Q8214">
        <v>4</v>
      </c>
      <c r="R8214" t="s">
        <v>41258</v>
      </c>
      <c r="S8214" t="s">
        <v>41513</v>
      </c>
      <c r="T8214" t="s">
        <v>43059</v>
      </c>
      <c r="U8214" t="s">
        <v>49926</v>
      </c>
      <c r="V8214" t="s">
        <v>55153</v>
      </c>
      <c r="W8214" t="s">
        <v>37972</v>
      </c>
      <c r="X8214" t="s">
        <v>41259</v>
      </c>
    </row>
    <row r="8215" spans="1:24">
      <c r="A8215">
        <f>HYPERLINK("https://www.philgeps.gov.ph/GEPSNONPILOT/Tender/SplashBidNoticeAbstractUI.aspx?menuIndex=3&amp;refID=7065946&amp;Result=3","7065946")</f>
        <v>0</v>
      </c>
      <c r="B8215" t="s">
        <v>965</v>
      </c>
      <c r="C8215" t="s">
        <v>11218</v>
      </c>
      <c r="D8215" t="s">
        <v>16608</v>
      </c>
      <c r="E8215" t="s">
        <v>23885</v>
      </c>
      <c r="F8215" t="s">
        <v>28669</v>
      </c>
      <c r="G8215" t="s">
        <v>28675</v>
      </c>
      <c r="H8215" t="s">
        <v>9998</v>
      </c>
      <c r="I8215" t="s">
        <v>5213</v>
      </c>
      <c r="J8215" t="s">
        <v>33941</v>
      </c>
      <c r="K8215" t="s">
        <v>37205</v>
      </c>
      <c r="M8215" t="s">
        <v>38490</v>
      </c>
      <c r="N8215" t="s">
        <v>41249</v>
      </c>
      <c r="O8215" t="s">
        <v>41250</v>
      </c>
      <c r="P8215">
        <v>0</v>
      </c>
      <c r="Q8215">
        <v>1</v>
      </c>
      <c r="R8215" t="s">
        <v>41258</v>
      </c>
      <c r="S8215" t="s">
        <v>41513</v>
      </c>
      <c r="T8215" t="s">
        <v>42728</v>
      </c>
      <c r="U8215" t="s">
        <v>45206</v>
      </c>
      <c r="W8215" t="s">
        <v>38490</v>
      </c>
      <c r="X8215" t="s">
        <v>41259</v>
      </c>
    </row>
    <row r="8216" spans="1:24">
      <c r="A8216">
        <f>HYPERLINK("https://www.philgeps.gov.ph/GEPSNONPILOT/Tender/SplashBidNoticeAbstractUI.aspx?menuIndex=3&amp;refID=7065944&amp;Result=3","7065944")</f>
        <v>0</v>
      </c>
      <c r="B8216" t="s">
        <v>559</v>
      </c>
      <c r="C8216" t="s">
        <v>11219</v>
      </c>
      <c r="D8216" t="s">
        <v>16644</v>
      </c>
      <c r="E8216" t="s">
        <v>23886</v>
      </c>
      <c r="F8216" t="s">
        <v>28669</v>
      </c>
      <c r="G8216" t="s">
        <v>28675</v>
      </c>
      <c r="H8216" t="s">
        <v>9998</v>
      </c>
      <c r="I8216" t="s">
        <v>5286</v>
      </c>
      <c r="J8216" t="s">
        <v>33942</v>
      </c>
      <c r="K8216" t="s">
        <v>37213</v>
      </c>
      <c r="M8216" t="s">
        <v>40225</v>
      </c>
      <c r="N8216" t="s">
        <v>41249</v>
      </c>
      <c r="O8216" t="s">
        <v>41250</v>
      </c>
      <c r="P8216">
        <v>0</v>
      </c>
      <c r="Q8216">
        <v>7</v>
      </c>
      <c r="R8216" t="s">
        <v>41258</v>
      </c>
      <c r="S8216" t="s">
        <v>41513</v>
      </c>
      <c r="T8216" t="s">
        <v>42761</v>
      </c>
      <c r="U8216" t="s">
        <v>49927</v>
      </c>
      <c r="W8216" t="s">
        <v>40225</v>
      </c>
      <c r="X8216" t="s">
        <v>41259</v>
      </c>
    </row>
    <row r="8217" spans="1:24">
      <c r="A8217">
        <f>HYPERLINK("https://www.philgeps.gov.ph/GEPSNONPILOT/Tender/SplashBidNoticeAbstractUI.aspx?menuIndex=3&amp;refID=7064654&amp;Result=3","7064654")</f>
        <v>0</v>
      </c>
      <c r="B8217" t="s">
        <v>986</v>
      </c>
      <c r="C8217" t="s">
        <v>11220</v>
      </c>
      <c r="D8217" t="s">
        <v>16620</v>
      </c>
      <c r="E8217" t="s">
        <v>23887</v>
      </c>
      <c r="F8217" t="s">
        <v>28669</v>
      </c>
      <c r="G8217" t="s">
        <v>28675</v>
      </c>
      <c r="H8217" t="s">
        <v>9998</v>
      </c>
      <c r="I8217" t="s">
        <v>6458</v>
      </c>
      <c r="J8217" t="s">
        <v>33943</v>
      </c>
      <c r="K8217" t="s">
        <v>37206</v>
      </c>
      <c r="M8217" t="s">
        <v>38900</v>
      </c>
      <c r="N8217" t="s">
        <v>41249</v>
      </c>
      <c r="O8217" t="s">
        <v>41250</v>
      </c>
      <c r="P8217">
        <v>0</v>
      </c>
      <c r="Q8217">
        <v>0</v>
      </c>
      <c r="R8217" t="s">
        <v>41258</v>
      </c>
      <c r="S8217" t="s">
        <v>41513</v>
      </c>
      <c r="T8217" t="s">
        <v>42728</v>
      </c>
      <c r="U8217" t="s">
        <v>45210</v>
      </c>
      <c r="V8217" t="s">
        <v>54542</v>
      </c>
      <c r="W8217" t="s">
        <v>38900</v>
      </c>
      <c r="X8217" t="s">
        <v>41259</v>
      </c>
    </row>
    <row r="8218" spans="1:24">
      <c r="A8218">
        <f>HYPERLINK("https://www.philgeps.gov.ph/GEPSNONPILOT/Tender/SplashBidNoticeAbstractUI.aspx?menuIndex=3&amp;refID=7065943&amp;Result=3","7065943")</f>
        <v>0</v>
      </c>
      <c r="B8218" t="s">
        <v>29</v>
      </c>
      <c r="C8218" t="s">
        <v>11221</v>
      </c>
      <c r="D8218" t="s">
        <v>16611</v>
      </c>
      <c r="E8218" t="s">
        <v>23888</v>
      </c>
      <c r="F8218" t="s">
        <v>28669</v>
      </c>
      <c r="G8218" t="s">
        <v>28677</v>
      </c>
      <c r="H8218" t="s">
        <v>9998</v>
      </c>
      <c r="I8218" t="s">
        <v>28741</v>
      </c>
      <c r="J8218" t="s">
        <v>33944</v>
      </c>
      <c r="K8218" t="s">
        <v>37209</v>
      </c>
      <c r="M8218" t="s">
        <v>37931</v>
      </c>
      <c r="N8218" t="s">
        <v>41249</v>
      </c>
      <c r="O8218" t="s">
        <v>41250</v>
      </c>
      <c r="Q8218">
        <v>4</v>
      </c>
      <c r="R8218" t="s">
        <v>41258</v>
      </c>
      <c r="S8218" t="s">
        <v>41537</v>
      </c>
      <c r="T8218" t="s">
        <v>42686</v>
      </c>
      <c r="U8218" t="s">
        <v>49928</v>
      </c>
      <c r="W8218" t="s">
        <v>37931</v>
      </c>
      <c r="X8218" t="s">
        <v>41259</v>
      </c>
    </row>
    <row r="8219" spans="1:24">
      <c r="A8219">
        <f>HYPERLINK("https://www.philgeps.gov.ph/GEPSNONPILOT/Tender/SplashBidNoticeAbstractUI.aspx?menuIndex=3&amp;refID=7065934&amp;Result=3","7065934")</f>
        <v>0</v>
      </c>
      <c r="B8219" t="s">
        <v>236</v>
      </c>
      <c r="C8219" t="s">
        <v>11222</v>
      </c>
      <c r="D8219" t="s">
        <v>16663</v>
      </c>
      <c r="E8219" t="s">
        <v>23889</v>
      </c>
      <c r="F8219" t="s">
        <v>28669</v>
      </c>
      <c r="G8219" t="s">
        <v>28675</v>
      </c>
      <c r="H8219" t="s">
        <v>9998</v>
      </c>
      <c r="I8219" t="s">
        <v>5286</v>
      </c>
      <c r="J8219" t="s">
        <v>33945</v>
      </c>
      <c r="K8219" t="s">
        <v>37206</v>
      </c>
      <c r="M8219" t="s">
        <v>37714</v>
      </c>
      <c r="N8219" t="s">
        <v>41249</v>
      </c>
      <c r="O8219" t="s">
        <v>41250</v>
      </c>
      <c r="P8219">
        <v>0</v>
      </c>
      <c r="Q8219">
        <v>7</v>
      </c>
      <c r="R8219" t="s">
        <v>41258</v>
      </c>
      <c r="S8219" t="s">
        <v>41513</v>
      </c>
      <c r="T8219" t="s">
        <v>43063</v>
      </c>
      <c r="U8219" t="s">
        <v>49929</v>
      </c>
      <c r="W8219" t="s">
        <v>37714</v>
      </c>
      <c r="X8219" t="s">
        <v>41259</v>
      </c>
    </row>
    <row r="8220" spans="1:24">
      <c r="A8220">
        <f>HYPERLINK("https://www.philgeps.gov.ph/GEPSNONPILOT/Tender/SplashBidNoticeAbstractUI.aspx?menuIndex=3&amp;refID=7065961&amp;Result=3","7065961")</f>
        <v>0</v>
      </c>
      <c r="B8220" t="s">
        <v>1829</v>
      </c>
      <c r="C8220" t="s">
        <v>11223</v>
      </c>
      <c r="D8220" t="s">
        <v>16661</v>
      </c>
      <c r="E8220" t="s">
        <v>23890</v>
      </c>
      <c r="F8220" t="s">
        <v>28669</v>
      </c>
      <c r="G8220" t="s">
        <v>28675</v>
      </c>
      <c r="H8220" t="s">
        <v>9998</v>
      </c>
      <c r="I8220" t="s">
        <v>28717</v>
      </c>
      <c r="J8220" t="s">
        <v>33946</v>
      </c>
      <c r="K8220" t="s">
        <v>37210</v>
      </c>
      <c r="M8220" t="s">
        <v>39634</v>
      </c>
      <c r="N8220" t="s">
        <v>41249</v>
      </c>
      <c r="O8220" t="s">
        <v>41250</v>
      </c>
      <c r="P8220">
        <v>0</v>
      </c>
      <c r="Q8220">
        <v>7</v>
      </c>
      <c r="R8220" t="s">
        <v>41258</v>
      </c>
      <c r="S8220" t="s">
        <v>41513</v>
      </c>
      <c r="T8220" t="s">
        <v>42911</v>
      </c>
      <c r="U8220" t="s">
        <v>49146</v>
      </c>
      <c r="V8220" t="s">
        <v>55103</v>
      </c>
      <c r="W8220" t="s">
        <v>55976</v>
      </c>
      <c r="X8220" t="s">
        <v>41259</v>
      </c>
    </row>
    <row r="8221" spans="1:24">
      <c r="A8221">
        <f>HYPERLINK("https://www.philgeps.gov.ph/GEPSNONPILOT/Tender/SplashBidNoticeAbstractUI.aspx?menuIndex=3&amp;refID=7065931&amp;Result=3","7065931")</f>
        <v>0</v>
      </c>
      <c r="B8221" t="s">
        <v>731</v>
      </c>
      <c r="C8221" t="s">
        <v>11224</v>
      </c>
      <c r="D8221" t="s">
        <v>16646</v>
      </c>
      <c r="E8221" t="s">
        <v>23891</v>
      </c>
      <c r="F8221" t="s">
        <v>28669</v>
      </c>
      <c r="G8221" t="s">
        <v>28675</v>
      </c>
      <c r="H8221" t="s">
        <v>28686</v>
      </c>
      <c r="I8221" t="s">
        <v>28689</v>
      </c>
      <c r="J8221" t="s">
        <v>28836</v>
      </c>
      <c r="K8221" t="s">
        <v>37227</v>
      </c>
      <c r="M8221" t="s">
        <v>38239</v>
      </c>
      <c r="N8221" t="s">
        <v>41249</v>
      </c>
      <c r="O8221" t="s">
        <v>41250</v>
      </c>
      <c r="P8221">
        <v>0</v>
      </c>
      <c r="Q8221">
        <v>0</v>
      </c>
      <c r="R8221" t="s">
        <v>41258</v>
      </c>
      <c r="S8221" t="s">
        <v>41513</v>
      </c>
      <c r="T8221" t="s">
        <v>42736</v>
      </c>
      <c r="U8221" t="s">
        <v>44604</v>
      </c>
      <c r="V8221" t="s">
        <v>55199</v>
      </c>
      <c r="W8221" t="s">
        <v>38239</v>
      </c>
      <c r="X8221" t="s">
        <v>41259</v>
      </c>
    </row>
    <row r="8222" spans="1:24">
      <c r="A8222">
        <f>HYPERLINK("https://www.philgeps.gov.ph/GEPSNONPILOT/Tender/SplashBidNoticeAbstractUI.aspx?menuIndex=3&amp;refID=7065948&amp;Result=3","7065948")</f>
        <v>0</v>
      </c>
      <c r="B8222" t="s">
        <v>2526</v>
      </c>
      <c r="C8222" t="s">
        <v>11225</v>
      </c>
      <c r="D8222" t="s">
        <v>16618</v>
      </c>
      <c r="E8222" t="s">
        <v>23892</v>
      </c>
      <c r="F8222" t="s">
        <v>28669</v>
      </c>
      <c r="G8222" t="s">
        <v>28675</v>
      </c>
      <c r="H8222" t="s">
        <v>28686</v>
      </c>
      <c r="I8222" t="s">
        <v>28689</v>
      </c>
      <c r="J8222" t="s">
        <v>33947</v>
      </c>
      <c r="K8222" t="s">
        <v>37213</v>
      </c>
      <c r="M8222" t="s">
        <v>40215</v>
      </c>
      <c r="N8222" t="s">
        <v>41249</v>
      </c>
      <c r="O8222" t="s">
        <v>41250</v>
      </c>
      <c r="P8222">
        <v>0</v>
      </c>
      <c r="Q8222">
        <v>0</v>
      </c>
      <c r="R8222" t="s">
        <v>41258</v>
      </c>
      <c r="S8222" t="s">
        <v>41513</v>
      </c>
      <c r="T8222" t="s">
        <v>42796</v>
      </c>
      <c r="U8222" t="s">
        <v>49930</v>
      </c>
      <c r="W8222" t="s">
        <v>40215</v>
      </c>
      <c r="X8222" t="s">
        <v>41259</v>
      </c>
    </row>
    <row r="8223" spans="1:24">
      <c r="A8223">
        <f>HYPERLINK("https://www.philgeps.gov.ph/GEPSNONPILOT/Tender/SplashBidNoticeAbstractUI.aspx?menuIndex=3&amp;refID=7065962&amp;Result=3","7065962")</f>
        <v>0</v>
      </c>
      <c r="B8223" t="s">
        <v>2536</v>
      </c>
      <c r="C8223" t="s">
        <v>11226</v>
      </c>
      <c r="D8223" t="s">
        <v>16627</v>
      </c>
      <c r="E8223" t="s">
        <v>16820</v>
      </c>
      <c r="F8223" t="s">
        <v>28669</v>
      </c>
      <c r="G8223" t="s">
        <v>28675</v>
      </c>
      <c r="H8223" t="s">
        <v>28684</v>
      </c>
      <c r="I8223" t="s">
        <v>28689</v>
      </c>
      <c r="J8223" t="s">
        <v>29612</v>
      </c>
      <c r="K8223" t="s">
        <v>37206</v>
      </c>
      <c r="L8223" t="s">
        <v>2536</v>
      </c>
      <c r="M8223" t="s">
        <v>40226</v>
      </c>
      <c r="N8223" t="s">
        <v>41249</v>
      </c>
      <c r="O8223" t="s">
        <v>41250</v>
      </c>
      <c r="P8223">
        <v>0</v>
      </c>
      <c r="Q8223">
        <v>0</v>
      </c>
      <c r="R8223" t="s">
        <v>41258</v>
      </c>
      <c r="S8223" t="s">
        <v>41513</v>
      </c>
      <c r="T8223" t="s">
        <v>42992</v>
      </c>
      <c r="U8223" t="s">
        <v>49931</v>
      </c>
      <c r="W8223" t="s">
        <v>40226</v>
      </c>
      <c r="X8223" t="s">
        <v>41259</v>
      </c>
    </row>
    <row r="8224" spans="1:24">
      <c r="A8224">
        <f>HYPERLINK("https://www.philgeps.gov.ph/GEPSNONPILOT/Tender/SplashBidNoticeAbstractUI.aspx?menuIndex=3&amp;refID=7065996&amp;Result=3","7065996")</f>
        <v>0</v>
      </c>
      <c r="B8224" t="s">
        <v>1037</v>
      </c>
      <c r="C8224" t="s">
        <v>11227</v>
      </c>
      <c r="D8224" t="s">
        <v>16633</v>
      </c>
      <c r="E8224" t="s">
        <v>21296</v>
      </c>
      <c r="F8224" t="s">
        <v>28669</v>
      </c>
      <c r="G8224" t="s">
        <v>28675</v>
      </c>
      <c r="H8224" t="s">
        <v>9998</v>
      </c>
      <c r="I8224" t="s">
        <v>28738</v>
      </c>
      <c r="J8224" t="s">
        <v>29538</v>
      </c>
      <c r="K8224" t="s">
        <v>37204</v>
      </c>
      <c r="M8224" t="s">
        <v>38568</v>
      </c>
      <c r="N8224" t="s">
        <v>41249</v>
      </c>
      <c r="O8224" t="s">
        <v>41250</v>
      </c>
      <c r="P8224">
        <v>0</v>
      </c>
      <c r="Q8224">
        <v>1</v>
      </c>
      <c r="R8224" t="s">
        <v>41258</v>
      </c>
      <c r="S8224" t="s">
        <v>41513</v>
      </c>
      <c r="T8224" t="s">
        <v>42883</v>
      </c>
      <c r="U8224" t="s">
        <v>49932</v>
      </c>
      <c r="W8224" t="s">
        <v>38568</v>
      </c>
      <c r="X8224" t="s">
        <v>41259</v>
      </c>
    </row>
    <row r="8225" spans="1:24">
      <c r="A8225">
        <f>HYPERLINK("https://www.philgeps.gov.ph/GEPSNONPILOT/Tender/SplashBidNoticeAbstractUI.aspx?menuIndex=3&amp;refID=7065995&amp;Result=3","7065995")</f>
        <v>0</v>
      </c>
      <c r="B8225" t="s">
        <v>1509</v>
      </c>
      <c r="C8225" t="s">
        <v>11228</v>
      </c>
      <c r="D8225" t="s">
        <v>16673</v>
      </c>
      <c r="E8225" t="s">
        <v>23893</v>
      </c>
      <c r="F8225" t="s">
        <v>28669</v>
      </c>
      <c r="G8225" t="s">
        <v>28678</v>
      </c>
      <c r="H8225" t="s">
        <v>9998</v>
      </c>
      <c r="I8225" t="s">
        <v>5213</v>
      </c>
      <c r="J8225" t="s">
        <v>33948</v>
      </c>
      <c r="K8225" t="s">
        <v>37206</v>
      </c>
      <c r="M8225" t="s">
        <v>40198</v>
      </c>
      <c r="N8225" t="s">
        <v>41249</v>
      </c>
      <c r="O8225" t="s">
        <v>41250</v>
      </c>
      <c r="P8225">
        <v>0</v>
      </c>
      <c r="Q8225">
        <v>7</v>
      </c>
      <c r="R8225" t="s">
        <v>41258</v>
      </c>
      <c r="S8225" t="s">
        <v>41513</v>
      </c>
      <c r="T8225" t="s">
        <v>42938</v>
      </c>
      <c r="U8225" t="s">
        <v>46942</v>
      </c>
      <c r="W8225" t="s">
        <v>40198</v>
      </c>
      <c r="X8225" t="s">
        <v>41259</v>
      </c>
    </row>
    <row r="8226" spans="1:24">
      <c r="A8226">
        <f>HYPERLINK("https://www.philgeps.gov.ph/GEPSNONPILOT/Tender/SplashBidNoticeAbstractUI.aspx?menuIndex=3&amp;refID=7065935&amp;Result=3","7065935")</f>
        <v>0</v>
      </c>
      <c r="B8226" t="s">
        <v>2537</v>
      </c>
      <c r="C8226" t="s">
        <v>3747</v>
      </c>
      <c r="E8226" t="s">
        <v>23894</v>
      </c>
      <c r="F8226" t="s">
        <v>28669</v>
      </c>
      <c r="G8226" t="s">
        <v>28675</v>
      </c>
      <c r="H8226" t="s">
        <v>9998</v>
      </c>
      <c r="I8226" t="s">
        <v>28688</v>
      </c>
      <c r="J8226" t="s">
        <v>33949</v>
      </c>
      <c r="K8226" t="s">
        <v>37204</v>
      </c>
      <c r="M8226" t="s">
        <v>40227</v>
      </c>
      <c r="N8226" t="s">
        <v>41249</v>
      </c>
      <c r="O8226" t="s">
        <v>41250</v>
      </c>
      <c r="P8226">
        <v>0</v>
      </c>
      <c r="Q8226">
        <v>1</v>
      </c>
      <c r="R8226" t="s">
        <v>41258</v>
      </c>
      <c r="S8226" t="s">
        <v>41513</v>
      </c>
      <c r="T8226" t="s">
        <v>42727</v>
      </c>
      <c r="U8226" t="s">
        <v>49933</v>
      </c>
      <c r="W8226" t="s">
        <v>40227</v>
      </c>
      <c r="X8226" t="s">
        <v>41259</v>
      </c>
    </row>
    <row r="8227" spans="1:24">
      <c r="A8227">
        <f>HYPERLINK("https://www.philgeps.gov.ph/GEPSNONPILOT/Tender/SplashBidNoticeAbstractUI.aspx?menuIndex=3&amp;refID=7066015&amp;Result=3","7066015")</f>
        <v>0</v>
      </c>
      <c r="B8227" t="s">
        <v>1829</v>
      </c>
      <c r="C8227" t="s">
        <v>11229</v>
      </c>
      <c r="D8227" t="s">
        <v>16661</v>
      </c>
      <c r="E8227" t="s">
        <v>23895</v>
      </c>
      <c r="F8227" t="s">
        <v>28669</v>
      </c>
      <c r="G8227" t="s">
        <v>28675</v>
      </c>
      <c r="H8227" t="s">
        <v>9998</v>
      </c>
      <c r="I8227" t="s">
        <v>28756</v>
      </c>
      <c r="J8227" t="s">
        <v>33950</v>
      </c>
      <c r="K8227" t="s">
        <v>37210</v>
      </c>
      <c r="M8227" t="s">
        <v>39634</v>
      </c>
      <c r="N8227" t="s">
        <v>41249</v>
      </c>
      <c r="O8227" t="s">
        <v>41250</v>
      </c>
      <c r="P8227">
        <v>0</v>
      </c>
      <c r="Q8227">
        <v>0</v>
      </c>
      <c r="R8227" t="s">
        <v>41258</v>
      </c>
      <c r="S8227" t="s">
        <v>41513</v>
      </c>
      <c r="T8227" t="s">
        <v>42911</v>
      </c>
      <c r="U8227" t="s">
        <v>49146</v>
      </c>
      <c r="V8227" t="s">
        <v>55103</v>
      </c>
      <c r="W8227" t="s">
        <v>55976</v>
      </c>
      <c r="X8227" t="s">
        <v>41259</v>
      </c>
    </row>
    <row r="8228" spans="1:24">
      <c r="A8228">
        <f>HYPERLINK("https://www.philgeps.gov.ph/GEPSNONPILOT/Tender/SplashBidNoticeAbstractUI.aspx?menuIndex=3&amp;refID=7065933&amp;Result=3","7065933")</f>
        <v>0</v>
      </c>
      <c r="B8228" t="s">
        <v>965</v>
      </c>
      <c r="C8228" t="s">
        <v>11230</v>
      </c>
      <c r="D8228" t="s">
        <v>16608</v>
      </c>
      <c r="E8228" t="s">
        <v>23896</v>
      </c>
      <c r="F8228" t="s">
        <v>28669</v>
      </c>
      <c r="G8228" t="s">
        <v>28675</v>
      </c>
      <c r="H8228" t="s">
        <v>9998</v>
      </c>
      <c r="I8228" t="s">
        <v>5213</v>
      </c>
      <c r="J8228" t="s">
        <v>33951</v>
      </c>
      <c r="K8228" t="s">
        <v>37205</v>
      </c>
      <c r="M8228" t="s">
        <v>38490</v>
      </c>
      <c r="N8228" t="s">
        <v>41249</v>
      </c>
      <c r="O8228" t="s">
        <v>41250</v>
      </c>
      <c r="P8228">
        <v>0</v>
      </c>
      <c r="Q8228">
        <v>0</v>
      </c>
      <c r="R8228" t="s">
        <v>41258</v>
      </c>
      <c r="S8228" t="s">
        <v>41513</v>
      </c>
      <c r="T8228" t="s">
        <v>42728</v>
      </c>
      <c r="U8228" t="s">
        <v>45206</v>
      </c>
      <c r="W8228" t="s">
        <v>38490</v>
      </c>
      <c r="X8228" t="s">
        <v>41259</v>
      </c>
    </row>
    <row r="8229" spans="1:24">
      <c r="A8229">
        <f>HYPERLINK("https://www.philgeps.gov.ph/GEPSNONPILOT/Tender/SplashBidNoticeAbstractUI.aspx?menuIndex=3&amp;refID=7066009&amp;Result=3","7066009")</f>
        <v>0</v>
      </c>
      <c r="B8229" t="s">
        <v>2538</v>
      </c>
      <c r="C8229" t="s">
        <v>7008</v>
      </c>
      <c r="D8229" t="s">
        <v>16664</v>
      </c>
      <c r="E8229" t="s">
        <v>16877</v>
      </c>
      <c r="F8229" t="s">
        <v>28669</v>
      </c>
      <c r="G8229" t="s">
        <v>28675</v>
      </c>
      <c r="H8229" t="s">
        <v>9998</v>
      </c>
      <c r="I8229" t="s">
        <v>7352</v>
      </c>
      <c r="J8229" t="s">
        <v>33952</v>
      </c>
      <c r="K8229" t="s">
        <v>37206</v>
      </c>
      <c r="M8229" t="s">
        <v>40228</v>
      </c>
      <c r="N8229" t="s">
        <v>41249</v>
      </c>
      <c r="O8229" t="s">
        <v>41250</v>
      </c>
      <c r="P8229">
        <v>0</v>
      </c>
      <c r="Q8229">
        <v>0</v>
      </c>
      <c r="R8229" t="s">
        <v>41258</v>
      </c>
      <c r="S8229" t="s">
        <v>41513</v>
      </c>
      <c r="T8229" t="s">
        <v>42716</v>
      </c>
      <c r="U8229" t="s">
        <v>49934</v>
      </c>
      <c r="W8229" t="s">
        <v>40228</v>
      </c>
      <c r="X8229" t="s">
        <v>41259</v>
      </c>
    </row>
    <row r="8230" spans="1:24">
      <c r="A8230">
        <f>HYPERLINK("https://www.philgeps.gov.ph/GEPSNONPILOT/Tender/SplashBidNoticeAbstractUI.aspx?menuIndex=3&amp;refID=7065928&amp;Result=3","7065928")</f>
        <v>0</v>
      </c>
      <c r="B8230" t="s">
        <v>1037</v>
      </c>
      <c r="C8230" t="s">
        <v>11231</v>
      </c>
      <c r="D8230" t="s">
        <v>16633</v>
      </c>
      <c r="E8230" t="s">
        <v>23897</v>
      </c>
      <c r="F8230" t="s">
        <v>28669</v>
      </c>
      <c r="G8230" t="s">
        <v>28675</v>
      </c>
      <c r="H8230" t="s">
        <v>9998</v>
      </c>
      <c r="I8230" t="s">
        <v>28726</v>
      </c>
      <c r="J8230" t="s">
        <v>28851</v>
      </c>
      <c r="K8230" t="s">
        <v>37216</v>
      </c>
      <c r="M8230" t="s">
        <v>38568</v>
      </c>
      <c r="N8230" t="s">
        <v>41249</v>
      </c>
      <c r="O8230" t="s">
        <v>41250</v>
      </c>
      <c r="P8230">
        <v>0</v>
      </c>
      <c r="Q8230">
        <v>1</v>
      </c>
      <c r="R8230" t="s">
        <v>41258</v>
      </c>
      <c r="S8230" t="s">
        <v>41513</v>
      </c>
      <c r="T8230" t="s">
        <v>42883</v>
      </c>
      <c r="U8230" t="s">
        <v>49935</v>
      </c>
      <c r="W8230" t="s">
        <v>38568</v>
      </c>
      <c r="X8230" t="s">
        <v>41259</v>
      </c>
    </row>
    <row r="8231" spans="1:24">
      <c r="A8231">
        <f>HYPERLINK("https://www.philgeps.gov.ph/GEPSNONPILOT/Tender/SplashBidNoticeAbstractUI.aspx?menuIndex=3&amp;refID=7066001&amp;Result=3","7066001")</f>
        <v>0</v>
      </c>
      <c r="B8231" t="s">
        <v>2526</v>
      </c>
      <c r="C8231" t="s">
        <v>11232</v>
      </c>
      <c r="D8231" t="s">
        <v>16618</v>
      </c>
      <c r="E8231" t="s">
        <v>23898</v>
      </c>
      <c r="F8231" t="s">
        <v>28669</v>
      </c>
      <c r="G8231" t="s">
        <v>28675</v>
      </c>
      <c r="H8231" t="s">
        <v>28686</v>
      </c>
      <c r="I8231" t="s">
        <v>28689</v>
      </c>
      <c r="J8231" t="s">
        <v>33953</v>
      </c>
      <c r="K8231" t="s">
        <v>37220</v>
      </c>
      <c r="M8231" t="s">
        <v>40215</v>
      </c>
      <c r="N8231" t="s">
        <v>41249</v>
      </c>
      <c r="O8231" t="s">
        <v>41250</v>
      </c>
      <c r="P8231">
        <v>0</v>
      </c>
      <c r="Q8231">
        <v>0</v>
      </c>
      <c r="R8231" t="s">
        <v>41258</v>
      </c>
      <c r="S8231" t="s">
        <v>41513</v>
      </c>
      <c r="T8231" t="s">
        <v>42796</v>
      </c>
      <c r="U8231" t="s">
        <v>49936</v>
      </c>
      <c r="W8231" t="s">
        <v>40215</v>
      </c>
      <c r="X8231" t="s">
        <v>41259</v>
      </c>
    </row>
    <row r="8232" spans="1:24">
      <c r="A8232">
        <f>HYPERLINK("https://www.philgeps.gov.ph/GEPSNONPILOT/Tender/SplashBidNoticeAbstractUI.aspx?menuIndex=3&amp;refID=7065940&amp;Result=3","7065940")</f>
        <v>0</v>
      </c>
      <c r="B8232" t="s">
        <v>1829</v>
      </c>
      <c r="C8232" t="s">
        <v>11233</v>
      </c>
      <c r="D8232" t="s">
        <v>16661</v>
      </c>
      <c r="E8232" t="s">
        <v>23899</v>
      </c>
      <c r="F8232" t="s">
        <v>28669</v>
      </c>
      <c r="G8232" t="s">
        <v>28675</v>
      </c>
      <c r="H8232" t="s">
        <v>9998</v>
      </c>
      <c r="I8232" t="s">
        <v>28704</v>
      </c>
      <c r="J8232" t="s">
        <v>33933</v>
      </c>
      <c r="K8232" t="s">
        <v>37210</v>
      </c>
      <c r="M8232" t="s">
        <v>39634</v>
      </c>
      <c r="N8232" t="s">
        <v>41249</v>
      </c>
      <c r="O8232" t="s">
        <v>41250</v>
      </c>
      <c r="P8232">
        <v>0</v>
      </c>
      <c r="Q8232">
        <v>1</v>
      </c>
      <c r="R8232" t="s">
        <v>41258</v>
      </c>
      <c r="S8232" t="s">
        <v>41513</v>
      </c>
      <c r="T8232" t="s">
        <v>42911</v>
      </c>
      <c r="U8232" t="s">
        <v>49146</v>
      </c>
      <c r="V8232" t="s">
        <v>55103</v>
      </c>
      <c r="W8232" t="s">
        <v>55976</v>
      </c>
      <c r="X8232" t="s">
        <v>41259</v>
      </c>
    </row>
    <row r="8233" spans="1:24">
      <c r="A8233">
        <f>HYPERLINK("https://www.philgeps.gov.ph/GEPSNONPILOT/Tender/SplashBidNoticeAbstractUI.aspx?menuIndex=3&amp;refID=7065957&amp;Result=3","7065957")</f>
        <v>0</v>
      </c>
      <c r="B8233" t="s">
        <v>2038</v>
      </c>
      <c r="C8233" t="s">
        <v>11234</v>
      </c>
      <c r="D8233" t="s">
        <v>16627</v>
      </c>
      <c r="E8233" t="s">
        <v>23900</v>
      </c>
      <c r="F8233" t="s">
        <v>28669</v>
      </c>
      <c r="G8233" t="s">
        <v>28676</v>
      </c>
      <c r="H8233" t="s">
        <v>9998</v>
      </c>
      <c r="I8233" t="s">
        <v>28685</v>
      </c>
      <c r="J8233" t="s">
        <v>30036</v>
      </c>
      <c r="K8233" t="s">
        <v>37221</v>
      </c>
      <c r="M8233" t="s">
        <v>39678</v>
      </c>
      <c r="N8233" t="s">
        <v>41249</v>
      </c>
      <c r="O8233" t="s">
        <v>41250</v>
      </c>
      <c r="P8233">
        <v>0</v>
      </c>
      <c r="Q8233">
        <v>1</v>
      </c>
      <c r="R8233" t="s">
        <v>41258</v>
      </c>
      <c r="S8233" t="s">
        <v>41513</v>
      </c>
      <c r="T8233" t="s">
        <v>42883</v>
      </c>
      <c r="U8233" t="s">
        <v>49937</v>
      </c>
      <c r="W8233" t="s">
        <v>39678</v>
      </c>
      <c r="X8233" t="s">
        <v>41259</v>
      </c>
    </row>
    <row r="8234" spans="1:24">
      <c r="A8234">
        <f>HYPERLINK("https://www.philgeps.gov.ph/GEPSNONPILOT/Tender/SplashBidNoticeAbstractUI.aspx?menuIndex=3&amp;refID=7065873&amp;Result=3","7065873")</f>
        <v>0</v>
      </c>
      <c r="B8234" t="s">
        <v>236</v>
      </c>
      <c r="C8234" t="s">
        <v>11235</v>
      </c>
      <c r="D8234" t="s">
        <v>16663</v>
      </c>
      <c r="E8234" t="s">
        <v>11235</v>
      </c>
      <c r="F8234" t="s">
        <v>28669</v>
      </c>
      <c r="G8234" t="s">
        <v>28675</v>
      </c>
      <c r="H8234" t="s">
        <v>9998</v>
      </c>
      <c r="I8234" t="s">
        <v>28735</v>
      </c>
      <c r="J8234" t="s">
        <v>33954</v>
      </c>
      <c r="K8234" t="s">
        <v>37206</v>
      </c>
      <c r="M8234" t="s">
        <v>37714</v>
      </c>
      <c r="N8234" t="s">
        <v>41249</v>
      </c>
      <c r="O8234" t="s">
        <v>41250</v>
      </c>
      <c r="P8234">
        <v>0</v>
      </c>
      <c r="Q8234">
        <v>0</v>
      </c>
      <c r="R8234" t="s">
        <v>41258</v>
      </c>
      <c r="S8234" t="s">
        <v>41513</v>
      </c>
      <c r="T8234" t="s">
        <v>43063</v>
      </c>
      <c r="U8234" t="s">
        <v>49938</v>
      </c>
      <c r="W8234" t="s">
        <v>37714</v>
      </c>
      <c r="X8234" t="s">
        <v>41259</v>
      </c>
    </row>
    <row r="8235" spans="1:24">
      <c r="A8235">
        <f>HYPERLINK("https://www.philgeps.gov.ph/GEPSNONPILOT/Tender/SplashBidNoticeAbstractUI.aspx?menuIndex=3&amp;refID=7066011&amp;Result=3","7066011")</f>
        <v>0</v>
      </c>
      <c r="B8235" t="s">
        <v>2539</v>
      </c>
      <c r="C8235" t="s">
        <v>11236</v>
      </c>
      <c r="D8235" t="s">
        <v>16615</v>
      </c>
      <c r="E8235" t="s">
        <v>16877</v>
      </c>
      <c r="F8235" t="s">
        <v>28669</v>
      </c>
      <c r="G8235" t="s">
        <v>28677</v>
      </c>
      <c r="H8235" t="s">
        <v>9998</v>
      </c>
      <c r="I8235" t="s">
        <v>28690</v>
      </c>
      <c r="J8235" t="s">
        <v>30725</v>
      </c>
      <c r="K8235" t="s">
        <v>37206</v>
      </c>
      <c r="M8235" t="s">
        <v>40229</v>
      </c>
      <c r="N8235" t="s">
        <v>41249</v>
      </c>
      <c r="O8235" t="s">
        <v>41250</v>
      </c>
      <c r="P8235">
        <v>0</v>
      </c>
      <c r="Q8235">
        <v>4</v>
      </c>
      <c r="R8235" t="s">
        <v>41258</v>
      </c>
      <c r="S8235" t="s">
        <v>41513</v>
      </c>
      <c r="T8235" t="s">
        <v>42691</v>
      </c>
      <c r="U8235" t="s">
        <v>49939</v>
      </c>
      <c r="V8235" t="s">
        <v>55200</v>
      </c>
      <c r="W8235" t="s">
        <v>40229</v>
      </c>
      <c r="X8235" t="s">
        <v>41259</v>
      </c>
    </row>
    <row r="8236" spans="1:24">
      <c r="A8236">
        <f>HYPERLINK("https://www.philgeps.gov.ph/GEPSNONPILOT/Tender/SplashBidNoticeAbstractUI.aspx?menuIndex=3&amp;refID=7066010&amp;Result=3","7066010")</f>
        <v>0</v>
      </c>
      <c r="B8236" t="s">
        <v>2456</v>
      </c>
      <c r="C8236" t="s">
        <v>11237</v>
      </c>
      <c r="D8236" t="s">
        <v>16624</v>
      </c>
      <c r="E8236" t="s">
        <v>23901</v>
      </c>
      <c r="F8236" t="s">
        <v>28669</v>
      </c>
      <c r="G8236" t="s">
        <v>28676</v>
      </c>
      <c r="H8236" t="s">
        <v>9998</v>
      </c>
      <c r="I8236" t="s">
        <v>6458</v>
      </c>
      <c r="J8236" t="s">
        <v>33955</v>
      </c>
      <c r="K8236" t="s">
        <v>37205</v>
      </c>
      <c r="M8236" t="s">
        <v>40139</v>
      </c>
      <c r="N8236" t="s">
        <v>41249</v>
      </c>
      <c r="O8236" t="s">
        <v>41250</v>
      </c>
      <c r="P8236">
        <v>0</v>
      </c>
      <c r="Q8236">
        <v>0</v>
      </c>
      <c r="R8236" t="s">
        <v>41258</v>
      </c>
      <c r="S8236" t="s">
        <v>41513</v>
      </c>
      <c r="T8236" t="s">
        <v>42743</v>
      </c>
      <c r="U8236" t="s">
        <v>49940</v>
      </c>
      <c r="W8236" t="s">
        <v>40139</v>
      </c>
      <c r="X8236" t="s">
        <v>41259</v>
      </c>
    </row>
    <row r="8237" spans="1:24">
      <c r="A8237">
        <f>HYPERLINK("https://www.philgeps.gov.ph/GEPSNONPILOT/Tender/SplashBidNoticeAbstractUI.aspx?menuIndex=3&amp;refID=7066000&amp;Result=3","7066000")</f>
        <v>0</v>
      </c>
      <c r="B8237" t="s">
        <v>2430</v>
      </c>
      <c r="C8237" t="s">
        <v>11238</v>
      </c>
      <c r="D8237" t="s">
        <v>16658</v>
      </c>
      <c r="E8237" t="s">
        <v>23692</v>
      </c>
      <c r="F8237" t="s">
        <v>28669</v>
      </c>
      <c r="G8237" t="s">
        <v>28675</v>
      </c>
      <c r="H8237" t="s">
        <v>9998</v>
      </c>
      <c r="I8237" t="s">
        <v>7352</v>
      </c>
      <c r="J8237" t="s">
        <v>33956</v>
      </c>
      <c r="K8237" t="s">
        <v>37210</v>
      </c>
      <c r="L8237" t="s">
        <v>2430</v>
      </c>
      <c r="M8237" t="s">
        <v>40113</v>
      </c>
      <c r="N8237" t="s">
        <v>41249</v>
      </c>
      <c r="O8237" t="s">
        <v>41250</v>
      </c>
      <c r="P8237">
        <v>0</v>
      </c>
      <c r="Q8237">
        <v>2</v>
      </c>
      <c r="R8237" t="s">
        <v>41258</v>
      </c>
      <c r="S8237" t="s">
        <v>41513</v>
      </c>
      <c r="T8237" t="s">
        <v>42739</v>
      </c>
      <c r="U8237" t="s">
        <v>49645</v>
      </c>
      <c r="W8237" t="s">
        <v>40113</v>
      </c>
      <c r="X8237" t="s">
        <v>41259</v>
      </c>
    </row>
    <row r="8238" spans="1:24">
      <c r="A8238">
        <f>HYPERLINK("https://www.philgeps.gov.ph/GEPSNONPILOT/Tender/SplashBidNoticeAbstractUI.aspx?menuIndex=3&amp;refID=7065976&amp;Result=3","7065976")</f>
        <v>0</v>
      </c>
      <c r="B8238" t="s">
        <v>2540</v>
      </c>
      <c r="C8238" t="s">
        <v>11239</v>
      </c>
      <c r="D8238" t="s">
        <v>16647</v>
      </c>
      <c r="E8238" t="s">
        <v>23902</v>
      </c>
      <c r="F8238" t="s">
        <v>28669</v>
      </c>
      <c r="G8238" t="s">
        <v>28677</v>
      </c>
      <c r="H8238" t="s">
        <v>9998</v>
      </c>
      <c r="I8238" t="s">
        <v>28695</v>
      </c>
      <c r="J8238" t="s">
        <v>33957</v>
      </c>
      <c r="K8238" t="s">
        <v>37210</v>
      </c>
      <c r="M8238" t="s">
        <v>40230</v>
      </c>
      <c r="N8238" t="s">
        <v>41249</v>
      </c>
      <c r="O8238" t="s">
        <v>41250</v>
      </c>
      <c r="P8238">
        <v>0</v>
      </c>
      <c r="Q8238">
        <v>0</v>
      </c>
      <c r="R8238" t="s">
        <v>41258</v>
      </c>
      <c r="S8238" t="s">
        <v>41513</v>
      </c>
      <c r="T8238" t="s">
        <v>42681</v>
      </c>
      <c r="U8238" t="s">
        <v>49941</v>
      </c>
      <c r="W8238" t="s">
        <v>40230</v>
      </c>
      <c r="X8238" t="s">
        <v>41259</v>
      </c>
    </row>
    <row r="8239" spans="1:24">
      <c r="A8239">
        <f>HYPERLINK("https://www.philgeps.gov.ph/GEPSNONPILOT/Tender/SplashBidNoticeAbstractUI.aspx?menuIndex=3&amp;refID=7065990&amp;Result=3","7065990")</f>
        <v>0</v>
      </c>
      <c r="B8239" t="s">
        <v>2541</v>
      </c>
      <c r="C8239" t="s">
        <v>11240</v>
      </c>
      <c r="D8239" t="s">
        <v>16632</v>
      </c>
      <c r="E8239" t="s">
        <v>23903</v>
      </c>
      <c r="F8239" t="s">
        <v>28669</v>
      </c>
      <c r="G8239" t="s">
        <v>28675</v>
      </c>
      <c r="H8239" t="s">
        <v>28686</v>
      </c>
      <c r="I8239" t="s">
        <v>28689</v>
      </c>
      <c r="J8239" t="s">
        <v>33958</v>
      </c>
      <c r="K8239" t="s">
        <v>37342</v>
      </c>
      <c r="M8239" t="s">
        <v>40231</v>
      </c>
      <c r="N8239" t="s">
        <v>41249</v>
      </c>
      <c r="O8239" t="s">
        <v>41250</v>
      </c>
      <c r="P8239">
        <v>0</v>
      </c>
      <c r="Q8239">
        <v>1</v>
      </c>
      <c r="R8239" t="s">
        <v>41258</v>
      </c>
      <c r="S8239" t="s">
        <v>41513</v>
      </c>
      <c r="T8239" t="s">
        <v>42760</v>
      </c>
      <c r="U8239" t="s">
        <v>49942</v>
      </c>
      <c r="W8239" t="s">
        <v>40231</v>
      </c>
      <c r="X8239" t="s">
        <v>41259</v>
      </c>
    </row>
    <row r="8240" spans="1:24">
      <c r="A8240">
        <f>HYPERLINK("https://www.philgeps.gov.ph/GEPSNONPILOT/Tender/SplashBidNoticeAbstractUI.aspx?menuIndex=3&amp;refID=7065971&amp;Result=3","7065971")</f>
        <v>0</v>
      </c>
      <c r="B8240" t="s">
        <v>2542</v>
      </c>
      <c r="C8240" t="s">
        <v>11241</v>
      </c>
      <c r="E8240" t="s">
        <v>23904</v>
      </c>
      <c r="F8240" t="s">
        <v>28669</v>
      </c>
      <c r="G8240" t="s">
        <v>28675</v>
      </c>
      <c r="H8240" t="s">
        <v>28686</v>
      </c>
      <c r="I8240" t="s">
        <v>28689</v>
      </c>
      <c r="J8240" t="s">
        <v>28924</v>
      </c>
      <c r="K8240" t="s">
        <v>37209</v>
      </c>
      <c r="M8240" t="s">
        <v>40232</v>
      </c>
      <c r="N8240" t="s">
        <v>41249</v>
      </c>
      <c r="O8240" t="s">
        <v>41250</v>
      </c>
      <c r="Q8240">
        <v>0</v>
      </c>
      <c r="R8240" t="s">
        <v>41258</v>
      </c>
      <c r="S8240" t="s">
        <v>41538</v>
      </c>
      <c r="T8240" t="s">
        <v>42760</v>
      </c>
      <c r="U8240" t="s">
        <v>49943</v>
      </c>
      <c r="W8240" t="s">
        <v>40232</v>
      </c>
      <c r="X8240" t="s">
        <v>41259</v>
      </c>
    </row>
    <row r="8241" spans="1:24">
      <c r="A8241">
        <f>HYPERLINK("https://www.philgeps.gov.ph/GEPSNONPILOT/Tender/SplashBidNoticeAbstractUI.aspx?menuIndex=3&amp;refID=7065984&amp;Result=3","7065984")</f>
        <v>0</v>
      </c>
      <c r="B8241" t="s">
        <v>2543</v>
      </c>
      <c r="C8241" t="s">
        <v>11242</v>
      </c>
      <c r="D8241" t="s">
        <v>16657</v>
      </c>
      <c r="E8241" t="s">
        <v>19752</v>
      </c>
      <c r="F8241" t="s">
        <v>28669</v>
      </c>
      <c r="G8241" t="s">
        <v>28675</v>
      </c>
      <c r="H8241" t="s">
        <v>9998</v>
      </c>
      <c r="I8241" t="s">
        <v>7352</v>
      </c>
      <c r="J8241" t="s">
        <v>33959</v>
      </c>
      <c r="K8241" t="s">
        <v>37210</v>
      </c>
      <c r="M8241" t="s">
        <v>40233</v>
      </c>
      <c r="N8241" t="s">
        <v>41249</v>
      </c>
      <c r="O8241" t="s">
        <v>41250</v>
      </c>
      <c r="P8241">
        <v>0</v>
      </c>
      <c r="Q8241">
        <v>2</v>
      </c>
      <c r="R8241" t="s">
        <v>41258</v>
      </c>
      <c r="S8241" t="s">
        <v>41513</v>
      </c>
      <c r="T8241" t="s">
        <v>42992</v>
      </c>
      <c r="U8241" t="s">
        <v>49944</v>
      </c>
      <c r="W8241" t="s">
        <v>40233</v>
      </c>
      <c r="X8241" t="s">
        <v>41259</v>
      </c>
    </row>
    <row r="8242" spans="1:24">
      <c r="A8242">
        <f>HYPERLINK("https://www.philgeps.gov.ph/GEPSNONPILOT/Tender/SplashBidNoticeAbstractUI.aspx?menuIndex=3&amp;refID=7065983&amp;Result=3","7065983")</f>
        <v>0</v>
      </c>
      <c r="B8242" t="s">
        <v>1060</v>
      </c>
      <c r="C8242" t="s">
        <v>11243</v>
      </c>
      <c r="D8242" t="s">
        <v>16643</v>
      </c>
      <c r="E8242" t="s">
        <v>23905</v>
      </c>
      <c r="F8242" t="s">
        <v>28669</v>
      </c>
      <c r="G8242" t="s">
        <v>28676</v>
      </c>
      <c r="H8242" t="s">
        <v>9998</v>
      </c>
      <c r="I8242" t="s">
        <v>28694</v>
      </c>
      <c r="J8242" t="s">
        <v>28851</v>
      </c>
      <c r="K8242" t="s">
        <v>37209</v>
      </c>
      <c r="M8242" t="s">
        <v>38591</v>
      </c>
      <c r="N8242" t="s">
        <v>41249</v>
      </c>
      <c r="O8242" t="s">
        <v>41250</v>
      </c>
      <c r="P8242">
        <v>0</v>
      </c>
      <c r="Q8242">
        <v>1</v>
      </c>
      <c r="R8242" t="s">
        <v>41258</v>
      </c>
      <c r="S8242" t="s">
        <v>41513</v>
      </c>
      <c r="T8242" t="s">
        <v>42910</v>
      </c>
      <c r="U8242" t="s">
        <v>49945</v>
      </c>
      <c r="W8242" t="s">
        <v>38591</v>
      </c>
      <c r="X8242" t="s">
        <v>41259</v>
      </c>
    </row>
    <row r="8243" spans="1:24">
      <c r="A8243">
        <f>HYPERLINK("https://www.philgeps.gov.ph/GEPSNONPILOT/Tender/SplashBidNoticeAbstractUI.aspx?menuIndex=3&amp;refID=7065964&amp;Result=3","7065964")</f>
        <v>0</v>
      </c>
      <c r="B8243" t="s">
        <v>2391</v>
      </c>
      <c r="C8243" t="s">
        <v>11244</v>
      </c>
      <c r="D8243" t="s">
        <v>16638</v>
      </c>
      <c r="E8243" t="s">
        <v>23906</v>
      </c>
      <c r="F8243" t="s">
        <v>28669</v>
      </c>
      <c r="G8243" t="s">
        <v>28676</v>
      </c>
      <c r="H8243" t="s">
        <v>9998</v>
      </c>
      <c r="I8243" t="s">
        <v>28728</v>
      </c>
      <c r="J8243" t="s">
        <v>32096</v>
      </c>
      <c r="K8243" t="s">
        <v>37209</v>
      </c>
      <c r="M8243" t="s">
        <v>40234</v>
      </c>
      <c r="N8243" t="s">
        <v>41249</v>
      </c>
      <c r="O8243" t="s">
        <v>41250</v>
      </c>
      <c r="P8243">
        <v>0</v>
      </c>
      <c r="Q8243">
        <v>3</v>
      </c>
      <c r="R8243" t="s">
        <v>41258</v>
      </c>
      <c r="S8243" t="s">
        <v>41513</v>
      </c>
      <c r="T8243" t="s">
        <v>42665</v>
      </c>
      <c r="U8243" t="s">
        <v>49946</v>
      </c>
      <c r="V8243" t="s">
        <v>55201</v>
      </c>
      <c r="W8243" t="s">
        <v>40234</v>
      </c>
      <c r="X8243" t="s">
        <v>41259</v>
      </c>
    </row>
    <row r="8244" spans="1:24">
      <c r="A8244">
        <f>HYPERLINK("https://www.philgeps.gov.ph/GEPSNONPILOT/Tender/SplashBidNoticeAbstractUI.aspx?menuIndex=3&amp;refID=7065977&amp;Result=3","7065977")</f>
        <v>0</v>
      </c>
      <c r="B8244" t="s">
        <v>603</v>
      </c>
      <c r="C8244" t="s">
        <v>11245</v>
      </c>
      <c r="D8244" t="s">
        <v>16615</v>
      </c>
      <c r="E8244" t="s">
        <v>23907</v>
      </c>
      <c r="F8244" t="s">
        <v>28669</v>
      </c>
      <c r="G8244" t="s">
        <v>28677</v>
      </c>
      <c r="H8244" t="s">
        <v>9998</v>
      </c>
      <c r="I8244" t="s">
        <v>28693</v>
      </c>
      <c r="J8244" t="s">
        <v>33960</v>
      </c>
      <c r="K8244" t="s">
        <v>37205</v>
      </c>
      <c r="M8244" t="s">
        <v>38103</v>
      </c>
      <c r="N8244" t="s">
        <v>41249</v>
      </c>
      <c r="O8244" t="s">
        <v>41250</v>
      </c>
      <c r="P8244">
        <v>0</v>
      </c>
      <c r="Q8244">
        <v>9</v>
      </c>
      <c r="R8244" t="s">
        <v>41258</v>
      </c>
      <c r="S8244" t="s">
        <v>41513</v>
      </c>
      <c r="T8244" t="s">
        <v>42887</v>
      </c>
      <c r="U8244" t="s">
        <v>49947</v>
      </c>
      <c r="W8244" t="s">
        <v>38103</v>
      </c>
      <c r="X8244" t="s">
        <v>41259</v>
      </c>
    </row>
    <row r="8245" spans="1:24">
      <c r="A8245">
        <f>HYPERLINK("https://www.philgeps.gov.ph/GEPSNONPILOT/Tender/SplashBidNoticeAbstractUI.aspx?menuIndex=3&amp;refID=7065999&amp;Result=3","7065999")</f>
        <v>0</v>
      </c>
      <c r="B8245" t="s">
        <v>731</v>
      </c>
      <c r="C8245" t="s">
        <v>11246</v>
      </c>
      <c r="D8245" t="s">
        <v>16646</v>
      </c>
      <c r="E8245" t="s">
        <v>23908</v>
      </c>
      <c r="F8245" t="s">
        <v>28669</v>
      </c>
      <c r="G8245" t="s">
        <v>28675</v>
      </c>
      <c r="H8245" t="s">
        <v>9998</v>
      </c>
      <c r="I8245" t="s">
        <v>28689</v>
      </c>
      <c r="J8245" t="s">
        <v>28878</v>
      </c>
      <c r="K8245" t="s">
        <v>37207</v>
      </c>
      <c r="M8245" t="s">
        <v>38239</v>
      </c>
      <c r="N8245" t="s">
        <v>41249</v>
      </c>
      <c r="O8245" t="s">
        <v>41250</v>
      </c>
      <c r="P8245">
        <v>0</v>
      </c>
      <c r="Q8245">
        <v>1</v>
      </c>
      <c r="R8245" t="s">
        <v>41258</v>
      </c>
      <c r="S8245" t="s">
        <v>41513</v>
      </c>
      <c r="T8245" t="s">
        <v>42736</v>
      </c>
      <c r="U8245" t="s">
        <v>44604</v>
      </c>
      <c r="V8245" t="s">
        <v>55202</v>
      </c>
      <c r="W8245" t="s">
        <v>38239</v>
      </c>
      <c r="X8245" t="s">
        <v>41259</v>
      </c>
    </row>
    <row r="8246" spans="1:24">
      <c r="A8246">
        <f>HYPERLINK("https://www.philgeps.gov.ph/GEPSNONPILOT/Tender/SplashBidNoticeAbstractUI.aspx?menuIndex=3&amp;refID=7065927&amp;Result=3","7065927")</f>
        <v>0</v>
      </c>
      <c r="B8246" t="s">
        <v>1142</v>
      </c>
      <c r="C8246" t="s">
        <v>11247</v>
      </c>
      <c r="D8246" t="s">
        <v>16626</v>
      </c>
      <c r="E8246" t="s">
        <v>23909</v>
      </c>
      <c r="F8246" t="s">
        <v>28669</v>
      </c>
      <c r="G8246" t="s">
        <v>28675</v>
      </c>
      <c r="H8246" t="s">
        <v>9998</v>
      </c>
      <c r="I8246" t="s">
        <v>6128</v>
      </c>
      <c r="J8246" t="s">
        <v>33961</v>
      </c>
      <c r="K8246" t="s">
        <v>37234</v>
      </c>
      <c r="M8246" t="s">
        <v>38677</v>
      </c>
      <c r="N8246" t="s">
        <v>41249</v>
      </c>
      <c r="O8246" t="s">
        <v>41250</v>
      </c>
      <c r="P8246">
        <v>0</v>
      </c>
      <c r="Q8246">
        <v>1</v>
      </c>
      <c r="R8246" t="s">
        <v>41258</v>
      </c>
      <c r="S8246" t="s">
        <v>41513</v>
      </c>
      <c r="T8246" t="s">
        <v>43041</v>
      </c>
      <c r="U8246" t="s">
        <v>49948</v>
      </c>
      <c r="W8246" t="s">
        <v>38677</v>
      </c>
      <c r="X8246" t="s">
        <v>41259</v>
      </c>
    </row>
    <row r="8247" spans="1:24">
      <c r="A8247">
        <f>HYPERLINK("https://www.philgeps.gov.ph/GEPSNONPILOT/Tender/SplashBidNoticeAbstractUI.aspx?menuIndex=3&amp;refID=7065924&amp;Result=3","7065924")</f>
        <v>0</v>
      </c>
      <c r="B8247" t="s">
        <v>1092</v>
      </c>
      <c r="C8247" t="s">
        <v>11248</v>
      </c>
      <c r="D8247" t="s">
        <v>16678</v>
      </c>
      <c r="E8247" t="s">
        <v>23910</v>
      </c>
      <c r="F8247" t="s">
        <v>28669</v>
      </c>
      <c r="G8247" t="s">
        <v>28676</v>
      </c>
      <c r="H8247" t="s">
        <v>9998</v>
      </c>
      <c r="I8247" t="s">
        <v>28695</v>
      </c>
      <c r="J8247" t="s">
        <v>33962</v>
      </c>
      <c r="K8247" t="s">
        <v>37210</v>
      </c>
      <c r="M8247" t="s">
        <v>38624</v>
      </c>
      <c r="N8247" t="s">
        <v>41249</v>
      </c>
      <c r="O8247" t="s">
        <v>41250</v>
      </c>
      <c r="P8247">
        <v>0</v>
      </c>
      <c r="Q8247">
        <v>0</v>
      </c>
      <c r="R8247" t="s">
        <v>41258</v>
      </c>
      <c r="S8247" t="s">
        <v>41513</v>
      </c>
      <c r="T8247" t="s">
        <v>42767</v>
      </c>
      <c r="U8247" t="s">
        <v>45423</v>
      </c>
      <c r="W8247" t="s">
        <v>38624</v>
      </c>
      <c r="X8247" t="s">
        <v>41259</v>
      </c>
    </row>
    <row r="8248" spans="1:24">
      <c r="A8248">
        <f>HYPERLINK("https://www.philgeps.gov.ph/GEPSNONPILOT/Tender/SplashBidNoticeAbstractUI.aspx?menuIndex=3&amp;refID=7065919&amp;Result=3","7065919")</f>
        <v>0</v>
      </c>
      <c r="B8248" t="s">
        <v>1829</v>
      </c>
      <c r="C8248" t="s">
        <v>11249</v>
      </c>
      <c r="D8248" t="s">
        <v>16661</v>
      </c>
      <c r="E8248" t="s">
        <v>23911</v>
      </c>
      <c r="F8248" t="s">
        <v>28669</v>
      </c>
      <c r="G8248" t="s">
        <v>28675</v>
      </c>
      <c r="H8248" t="s">
        <v>9998</v>
      </c>
      <c r="I8248" t="s">
        <v>28704</v>
      </c>
      <c r="J8248" t="s">
        <v>33963</v>
      </c>
      <c r="K8248" t="s">
        <v>37210</v>
      </c>
      <c r="M8248" t="s">
        <v>39634</v>
      </c>
      <c r="N8248" t="s">
        <v>41249</v>
      </c>
      <c r="O8248" t="s">
        <v>41250</v>
      </c>
      <c r="P8248">
        <v>0</v>
      </c>
      <c r="Q8248">
        <v>3</v>
      </c>
      <c r="R8248" t="s">
        <v>41258</v>
      </c>
      <c r="S8248" t="s">
        <v>41513</v>
      </c>
      <c r="T8248" t="s">
        <v>42911</v>
      </c>
      <c r="U8248" t="s">
        <v>49146</v>
      </c>
      <c r="V8248" t="s">
        <v>55103</v>
      </c>
      <c r="W8248" t="s">
        <v>55976</v>
      </c>
      <c r="X8248" t="s">
        <v>41259</v>
      </c>
    </row>
    <row r="8249" spans="1:24">
      <c r="A8249">
        <f>HYPERLINK("https://www.philgeps.gov.ph/GEPSNONPILOT/Tender/SplashBidNoticeAbstractUI.aspx?menuIndex=3&amp;refID=7065988&amp;Result=3","7065988")</f>
        <v>0</v>
      </c>
      <c r="B8249" t="s">
        <v>132</v>
      </c>
      <c r="C8249" t="s">
        <v>11250</v>
      </c>
      <c r="D8249" t="s">
        <v>16639</v>
      </c>
      <c r="E8249" t="s">
        <v>23912</v>
      </c>
      <c r="F8249" t="s">
        <v>28669</v>
      </c>
      <c r="G8249" t="s">
        <v>28675</v>
      </c>
      <c r="H8249" t="s">
        <v>28686</v>
      </c>
      <c r="I8249" t="s">
        <v>28689</v>
      </c>
      <c r="J8249" t="s">
        <v>33964</v>
      </c>
      <c r="K8249" t="s">
        <v>37399</v>
      </c>
      <c r="M8249" t="s">
        <v>40235</v>
      </c>
      <c r="N8249" t="s">
        <v>41249</v>
      </c>
      <c r="O8249" t="s">
        <v>41250</v>
      </c>
      <c r="P8249">
        <v>0</v>
      </c>
      <c r="Q8249">
        <v>2</v>
      </c>
      <c r="R8249" t="s">
        <v>41258</v>
      </c>
      <c r="S8249" t="s">
        <v>41513</v>
      </c>
      <c r="T8249" t="s">
        <v>43023</v>
      </c>
      <c r="U8249" t="s">
        <v>49949</v>
      </c>
      <c r="W8249" t="s">
        <v>40235</v>
      </c>
      <c r="X8249" t="s">
        <v>41259</v>
      </c>
    </row>
    <row r="8250" spans="1:24">
      <c r="A8250">
        <f>HYPERLINK("https://www.philgeps.gov.ph/GEPSNONPILOT/Tender/SplashBidNoticeAbstractUI.aspx?menuIndex=3&amp;refID=7065987&amp;Result=3","7065987")</f>
        <v>0</v>
      </c>
      <c r="B8250" t="s">
        <v>2544</v>
      </c>
      <c r="C8250" t="s">
        <v>11251</v>
      </c>
      <c r="D8250" t="s">
        <v>16619</v>
      </c>
      <c r="E8250" t="s">
        <v>11251</v>
      </c>
      <c r="F8250" t="s">
        <v>28672</v>
      </c>
      <c r="G8250" t="s">
        <v>28676</v>
      </c>
      <c r="H8250" t="s">
        <v>9998</v>
      </c>
      <c r="I8250" t="s">
        <v>28709</v>
      </c>
      <c r="J8250" t="s">
        <v>33965</v>
      </c>
      <c r="K8250" t="s">
        <v>37208</v>
      </c>
      <c r="M8250" t="s">
        <v>40236</v>
      </c>
      <c r="N8250" t="s">
        <v>41249</v>
      </c>
      <c r="O8250" t="s">
        <v>41250</v>
      </c>
      <c r="P8250">
        <v>0</v>
      </c>
      <c r="Q8250">
        <v>2</v>
      </c>
      <c r="R8250" t="s">
        <v>41258</v>
      </c>
      <c r="S8250" t="s">
        <v>41513</v>
      </c>
      <c r="T8250" t="s">
        <v>42742</v>
      </c>
      <c r="U8250" t="s">
        <v>49950</v>
      </c>
      <c r="W8250" t="s">
        <v>40236</v>
      </c>
      <c r="X8250" t="s">
        <v>41259</v>
      </c>
    </row>
    <row r="8251" spans="1:24">
      <c r="A8251">
        <f>HYPERLINK("https://www.philgeps.gov.ph/GEPSNONPILOT/Tender/SplashBidNoticeAbstractUI.aspx?menuIndex=3&amp;refID=7066077&amp;Result=3","7066077")</f>
        <v>0</v>
      </c>
      <c r="B8251" t="s">
        <v>2481</v>
      </c>
      <c r="C8251" t="s">
        <v>11252</v>
      </c>
      <c r="D8251" t="s">
        <v>16643</v>
      </c>
      <c r="E8251" t="s">
        <v>23913</v>
      </c>
      <c r="F8251" t="s">
        <v>28669</v>
      </c>
      <c r="G8251" t="s">
        <v>28677</v>
      </c>
      <c r="H8251" t="s">
        <v>9998</v>
      </c>
      <c r="I8251" t="s">
        <v>7352</v>
      </c>
      <c r="J8251" t="s">
        <v>33966</v>
      </c>
      <c r="K8251" t="s">
        <v>37205</v>
      </c>
      <c r="M8251" t="s">
        <v>40164</v>
      </c>
      <c r="N8251" t="s">
        <v>41249</v>
      </c>
      <c r="O8251" t="s">
        <v>41250</v>
      </c>
      <c r="P8251">
        <v>0</v>
      </c>
      <c r="Q8251">
        <v>3</v>
      </c>
      <c r="R8251" t="s">
        <v>41258</v>
      </c>
      <c r="S8251" t="s">
        <v>41513</v>
      </c>
      <c r="T8251" t="s">
        <v>42681</v>
      </c>
      <c r="U8251" t="s">
        <v>49825</v>
      </c>
      <c r="W8251" t="s">
        <v>40164</v>
      </c>
      <c r="X8251" t="s">
        <v>41259</v>
      </c>
    </row>
    <row r="8252" spans="1:24">
      <c r="A8252">
        <f>HYPERLINK("https://www.philgeps.gov.ph/GEPSNONPILOT/Tender/SplashBidNoticeAbstractUI.aspx?menuIndex=3&amp;refID=7066076&amp;Result=3","7066076")</f>
        <v>0</v>
      </c>
      <c r="B8252" t="s">
        <v>2545</v>
      </c>
      <c r="C8252" t="s">
        <v>11253</v>
      </c>
      <c r="D8252" t="s">
        <v>16627</v>
      </c>
      <c r="E8252" t="s">
        <v>16820</v>
      </c>
      <c r="F8252" t="s">
        <v>28669</v>
      </c>
      <c r="G8252" t="s">
        <v>28675</v>
      </c>
      <c r="H8252" t="s">
        <v>28684</v>
      </c>
      <c r="I8252" t="s">
        <v>28689</v>
      </c>
      <c r="J8252" t="s">
        <v>33967</v>
      </c>
      <c r="K8252" t="s">
        <v>37231</v>
      </c>
      <c r="L8252" t="s">
        <v>2545</v>
      </c>
      <c r="M8252" t="s">
        <v>40237</v>
      </c>
      <c r="N8252" t="s">
        <v>41249</v>
      </c>
      <c r="O8252" t="s">
        <v>41250</v>
      </c>
      <c r="P8252">
        <v>0</v>
      </c>
      <c r="Q8252">
        <v>0</v>
      </c>
      <c r="R8252" t="s">
        <v>41258</v>
      </c>
      <c r="S8252" t="s">
        <v>41513</v>
      </c>
      <c r="T8252" t="s">
        <v>42992</v>
      </c>
      <c r="U8252" t="s">
        <v>49951</v>
      </c>
      <c r="W8252" t="s">
        <v>40237</v>
      </c>
      <c r="X8252" t="s">
        <v>41259</v>
      </c>
    </row>
    <row r="8253" spans="1:24">
      <c r="A8253">
        <f>HYPERLINK("https://www.philgeps.gov.ph/GEPSNONPILOT/Tender/SplashBidNoticeAbstractUI.aspx?menuIndex=3&amp;refID=7066079&amp;Result=3","7066079")</f>
        <v>0</v>
      </c>
      <c r="B8253" t="s">
        <v>2546</v>
      </c>
      <c r="C8253" t="s">
        <v>11254</v>
      </c>
      <c r="D8253" t="s">
        <v>16684</v>
      </c>
      <c r="E8253" t="s">
        <v>18432</v>
      </c>
      <c r="F8253" t="s">
        <v>28669</v>
      </c>
      <c r="G8253" t="s">
        <v>28677</v>
      </c>
      <c r="H8253" t="s">
        <v>9998</v>
      </c>
      <c r="I8253" t="s">
        <v>7352</v>
      </c>
      <c r="J8253" t="s">
        <v>33968</v>
      </c>
      <c r="K8253" t="s">
        <v>37243</v>
      </c>
      <c r="M8253" t="s">
        <v>40238</v>
      </c>
      <c r="N8253" t="s">
        <v>41249</v>
      </c>
      <c r="O8253" t="s">
        <v>41250</v>
      </c>
      <c r="P8253">
        <v>0</v>
      </c>
      <c r="Q8253">
        <v>1</v>
      </c>
      <c r="R8253" t="s">
        <v>41258</v>
      </c>
      <c r="S8253" t="s">
        <v>41513</v>
      </c>
      <c r="T8253" t="s">
        <v>42883</v>
      </c>
      <c r="U8253" t="s">
        <v>49952</v>
      </c>
      <c r="W8253" t="s">
        <v>40238</v>
      </c>
      <c r="X8253" t="s">
        <v>41259</v>
      </c>
    </row>
    <row r="8254" spans="1:24">
      <c r="A8254">
        <f>HYPERLINK("https://www.philgeps.gov.ph/GEPSNONPILOT/Tender/SplashBidNoticeAbstractUI.aspx?menuIndex=3&amp;refID=7065969&amp;Result=3","7065969")</f>
        <v>0</v>
      </c>
      <c r="B8254" t="s">
        <v>1419</v>
      </c>
      <c r="C8254" t="s">
        <v>11255</v>
      </c>
      <c r="D8254" t="s">
        <v>16671</v>
      </c>
      <c r="E8254" t="s">
        <v>20315</v>
      </c>
      <c r="F8254" t="s">
        <v>28669</v>
      </c>
      <c r="G8254" t="s">
        <v>28675</v>
      </c>
      <c r="H8254" t="s">
        <v>28686</v>
      </c>
      <c r="I8254" t="s">
        <v>28689</v>
      </c>
      <c r="J8254" t="s">
        <v>33969</v>
      </c>
      <c r="K8254" t="s">
        <v>37213</v>
      </c>
      <c r="M8254" t="s">
        <v>38982</v>
      </c>
      <c r="N8254" t="s">
        <v>41249</v>
      </c>
      <c r="O8254" t="s">
        <v>41250</v>
      </c>
      <c r="P8254">
        <v>0</v>
      </c>
      <c r="Q8254">
        <v>0</v>
      </c>
      <c r="R8254" t="s">
        <v>41258</v>
      </c>
      <c r="S8254" t="s">
        <v>41513</v>
      </c>
      <c r="T8254" t="s">
        <v>43016</v>
      </c>
      <c r="U8254" t="s">
        <v>49953</v>
      </c>
      <c r="V8254" t="s">
        <v>55203</v>
      </c>
      <c r="W8254" t="s">
        <v>38982</v>
      </c>
      <c r="X8254" t="s">
        <v>41259</v>
      </c>
    </row>
    <row r="8255" spans="1:24">
      <c r="A8255">
        <f>HYPERLINK("https://www.philgeps.gov.ph/GEPSNONPILOT/Tender/SplashBidNoticeAbstractUI.aspx?menuIndex=3&amp;refID=7066070&amp;Result=3","7066070")</f>
        <v>0</v>
      </c>
      <c r="B8255" t="s">
        <v>2547</v>
      </c>
      <c r="C8255" t="s">
        <v>11256</v>
      </c>
      <c r="D8255" t="s">
        <v>16654</v>
      </c>
      <c r="E8255" t="s">
        <v>23914</v>
      </c>
      <c r="F8255" t="s">
        <v>28669</v>
      </c>
      <c r="G8255" t="s">
        <v>28675</v>
      </c>
      <c r="H8255" t="s">
        <v>28686</v>
      </c>
      <c r="I8255" t="s">
        <v>28689</v>
      </c>
      <c r="J8255" t="s">
        <v>29950</v>
      </c>
      <c r="K8255" t="s">
        <v>37400</v>
      </c>
      <c r="M8255" t="s">
        <v>40239</v>
      </c>
      <c r="N8255" t="s">
        <v>41249</v>
      </c>
      <c r="O8255" t="s">
        <v>41250</v>
      </c>
      <c r="P8255">
        <v>0</v>
      </c>
      <c r="Q8255">
        <v>5</v>
      </c>
      <c r="R8255" t="s">
        <v>41258</v>
      </c>
      <c r="S8255" t="s">
        <v>41513</v>
      </c>
      <c r="T8255" t="s">
        <v>42760</v>
      </c>
      <c r="U8255" t="s">
        <v>49954</v>
      </c>
      <c r="W8255" t="s">
        <v>40239</v>
      </c>
      <c r="X8255" t="s">
        <v>41259</v>
      </c>
    </row>
    <row r="8256" spans="1:24">
      <c r="A8256">
        <f>HYPERLINK("https://www.philgeps.gov.ph/GEPSNONPILOT/Tender/SplashBidNoticeAbstractUI.aspx?menuIndex=3&amp;refID=7066065&amp;Result=3","7066065")</f>
        <v>0</v>
      </c>
      <c r="B8256" t="s">
        <v>1509</v>
      </c>
      <c r="C8256" t="s">
        <v>11257</v>
      </c>
      <c r="D8256" t="s">
        <v>16673</v>
      </c>
      <c r="E8256" t="s">
        <v>23915</v>
      </c>
      <c r="F8256" t="s">
        <v>28669</v>
      </c>
      <c r="G8256" t="s">
        <v>28676</v>
      </c>
      <c r="H8256" t="s">
        <v>9998</v>
      </c>
      <c r="I8256" t="s">
        <v>28751</v>
      </c>
      <c r="J8256" t="s">
        <v>33970</v>
      </c>
      <c r="K8256" t="s">
        <v>37220</v>
      </c>
      <c r="M8256" t="s">
        <v>40198</v>
      </c>
      <c r="N8256" t="s">
        <v>41249</v>
      </c>
      <c r="O8256" t="s">
        <v>41250</v>
      </c>
      <c r="P8256">
        <v>0</v>
      </c>
      <c r="Q8256">
        <v>9</v>
      </c>
      <c r="R8256" t="s">
        <v>41258</v>
      </c>
      <c r="S8256" t="s">
        <v>41513</v>
      </c>
      <c r="T8256" t="s">
        <v>43065</v>
      </c>
      <c r="U8256" t="s">
        <v>46942</v>
      </c>
      <c r="W8256" t="s">
        <v>40198</v>
      </c>
      <c r="X8256" t="s">
        <v>41259</v>
      </c>
    </row>
    <row r="8257" spans="1:24">
      <c r="A8257">
        <f>HYPERLINK("https://www.philgeps.gov.ph/GEPSNONPILOT/Tender/SplashBidNoticeAbstractUI.aspx?menuIndex=3&amp;refID=7066058&amp;Result=3","7066058")</f>
        <v>0</v>
      </c>
      <c r="B8257" t="s">
        <v>236</v>
      </c>
      <c r="C8257" t="s">
        <v>11258</v>
      </c>
      <c r="D8257" t="s">
        <v>16663</v>
      </c>
      <c r="E8257" t="s">
        <v>11258</v>
      </c>
      <c r="F8257" t="s">
        <v>28669</v>
      </c>
      <c r="G8257" t="s">
        <v>28675</v>
      </c>
      <c r="H8257" t="s">
        <v>9998</v>
      </c>
      <c r="I8257" t="s">
        <v>28738</v>
      </c>
      <c r="J8257" t="s">
        <v>32706</v>
      </c>
      <c r="K8257" t="s">
        <v>37206</v>
      </c>
      <c r="M8257" t="s">
        <v>37714</v>
      </c>
      <c r="N8257" t="s">
        <v>41249</v>
      </c>
      <c r="O8257" t="s">
        <v>41250</v>
      </c>
      <c r="P8257">
        <v>0</v>
      </c>
      <c r="Q8257">
        <v>4</v>
      </c>
      <c r="R8257" t="s">
        <v>41258</v>
      </c>
      <c r="S8257" t="s">
        <v>41513</v>
      </c>
      <c r="T8257" t="s">
        <v>42911</v>
      </c>
      <c r="U8257" t="s">
        <v>49955</v>
      </c>
      <c r="W8257" t="s">
        <v>37714</v>
      </c>
      <c r="X8257" t="s">
        <v>41259</v>
      </c>
    </row>
    <row r="8258" spans="1:24">
      <c r="A8258">
        <f>HYPERLINK("https://www.philgeps.gov.ph/GEPSNONPILOT/Tender/SplashBidNoticeAbstractUI.aspx?menuIndex=3&amp;refID=7066080&amp;Result=3","7066080")</f>
        <v>0</v>
      </c>
      <c r="B8258" t="s">
        <v>2548</v>
      </c>
      <c r="C8258" t="s">
        <v>11259</v>
      </c>
      <c r="D8258" t="s">
        <v>16679</v>
      </c>
      <c r="E8258" t="s">
        <v>23916</v>
      </c>
      <c r="F8258" t="s">
        <v>28669</v>
      </c>
      <c r="G8258" t="s">
        <v>28675</v>
      </c>
      <c r="H8258" t="s">
        <v>9998</v>
      </c>
      <c r="I8258" t="s">
        <v>5286</v>
      </c>
      <c r="J8258" t="s">
        <v>33971</v>
      </c>
      <c r="K8258" t="s">
        <v>37209</v>
      </c>
      <c r="M8258" t="s">
        <v>40240</v>
      </c>
      <c r="N8258" t="s">
        <v>41249</v>
      </c>
      <c r="O8258" t="s">
        <v>41250</v>
      </c>
      <c r="P8258">
        <v>0</v>
      </c>
      <c r="Q8258">
        <v>6</v>
      </c>
      <c r="R8258" t="s">
        <v>41258</v>
      </c>
      <c r="S8258" t="s">
        <v>41513</v>
      </c>
      <c r="T8258" t="s">
        <v>43051</v>
      </c>
      <c r="U8258" t="s">
        <v>49956</v>
      </c>
      <c r="W8258" t="s">
        <v>56000</v>
      </c>
      <c r="X8258" t="s">
        <v>41259</v>
      </c>
    </row>
    <row r="8259" spans="1:24">
      <c r="A8259">
        <f>HYPERLINK("https://www.philgeps.gov.ph/GEPSNONPILOT/Tender/SplashBidNoticeAbstractUI.aspx?menuIndex=3&amp;refID=7066039&amp;Result=3","7066039")</f>
        <v>0</v>
      </c>
      <c r="B8259" t="s">
        <v>476</v>
      </c>
      <c r="C8259" t="s">
        <v>11260</v>
      </c>
      <c r="D8259" t="s">
        <v>16615</v>
      </c>
      <c r="E8259" t="s">
        <v>23917</v>
      </c>
      <c r="F8259" t="s">
        <v>28669</v>
      </c>
      <c r="G8259" t="s">
        <v>28675</v>
      </c>
      <c r="H8259" t="s">
        <v>28686</v>
      </c>
      <c r="I8259" t="s">
        <v>28689</v>
      </c>
      <c r="J8259" t="s">
        <v>29950</v>
      </c>
      <c r="K8259" t="s">
        <v>37295</v>
      </c>
      <c r="M8259" t="s">
        <v>37964</v>
      </c>
      <c r="N8259" t="s">
        <v>41249</v>
      </c>
      <c r="O8259" t="s">
        <v>41250</v>
      </c>
      <c r="P8259">
        <v>0</v>
      </c>
      <c r="Q8259">
        <v>20</v>
      </c>
      <c r="R8259" t="s">
        <v>41258</v>
      </c>
      <c r="S8259" t="s">
        <v>41513</v>
      </c>
      <c r="T8259" t="s">
        <v>42712</v>
      </c>
      <c r="U8259" t="s">
        <v>48146</v>
      </c>
      <c r="W8259" t="s">
        <v>37964</v>
      </c>
      <c r="X8259" t="s">
        <v>41259</v>
      </c>
    </row>
    <row r="8260" spans="1:24">
      <c r="A8260">
        <f>HYPERLINK("https://www.philgeps.gov.ph/GEPSNONPILOT/Tender/SplashBidNoticeAbstractUI.aspx?menuIndex=3&amp;refID=7066036&amp;Result=3","7066036")</f>
        <v>0</v>
      </c>
      <c r="B8260" t="s">
        <v>2549</v>
      </c>
      <c r="C8260" t="s">
        <v>11261</v>
      </c>
      <c r="E8260" t="s">
        <v>23918</v>
      </c>
      <c r="F8260" t="s">
        <v>28669</v>
      </c>
      <c r="G8260" t="s">
        <v>28675</v>
      </c>
      <c r="H8260" t="s">
        <v>28686</v>
      </c>
      <c r="I8260" t="s">
        <v>28689</v>
      </c>
      <c r="J8260" t="s">
        <v>28914</v>
      </c>
      <c r="K8260" t="s">
        <v>37220</v>
      </c>
      <c r="M8260" t="s">
        <v>40241</v>
      </c>
      <c r="N8260" t="s">
        <v>41249</v>
      </c>
      <c r="O8260" t="s">
        <v>41250</v>
      </c>
      <c r="P8260">
        <v>0</v>
      </c>
      <c r="Q8260">
        <v>0</v>
      </c>
      <c r="R8260" t="s">
        <v>41258</v>
      </c>
      <c r="S8260" t="s">
        <v>41513</v>
      </c>
      <c r="T8260" t="s">
        <v>42782</v>
      </c>
      <c r="U8260" t="s">
        <v>49957</v>
      </c>
      <c r="W8260" t="s">
        <v>40241</v>
      </c>
      <c r="X8260" t="s">
        <v>41259</v>
      </c>
    </row>
    <row r="8261" spans="1:24">
      <c r="A8261">
        <f>HYPERLINK("https://www.philgeps.gov.ph/GEPSNONPILOT/Tender/SplashBidNoticeAbstractUI.aspx?menuIndex=3&amp;refID=7066078&amp;Result=3","7066078")</f>
        <v>0</v>
      </c>
      <c r="B8261" t="s">
        <v>2550</v>
      </c>
      <c r="C8261" t="s">
        <v>11262</v>
      </c>
      <c r="D8261" t="s">
        <v>16616</v>
      </c>
      <c r="E8261" t="s">
        <v>17028</v>
      </c>
      <c r="F8261" t="s">
        <v>28669</v>
      </c>
      <c r="G8261" t="s">
        <v>28675</v>
      </c>
      <c r="H8261" t="s">
        <v>28686</v>
      </c>
      <c r="I8261" t="s">
        <v>28689</v>
      </c>
      <c r="J8261" t="s">
        <v>33972</v>
      </c>
      <c r="K8261" t="s">
        <v>37221</v>
      </c>
      <c r="M8261" t="s">
        <v>40242</v>
      </c>
      <c r="N8261" t="s">
        <v>41249</v>
      </c>
      <c r="O8261" t="s">
        <v>41250</v>
      </c>
      <c r="P8261">
        <v>0</v>
      </c>
      <c r="Q8261">
        <v>0</v>
      </c>
      <c r="R8261" t="s">
        <v>41258</v>
      </c>
      <c r="S8261" t="s">
        <v>41513</v>
      </c>
      <c r="T8261" t="s">
        <v>42698</v>
      </c>
      <c r="U8261" t="s">
        <v>49958</v>
      </c>
      <c r="W8261" t="s">
        <v>40242</v>
      </c>
      <c r="X8261" t="s">
        <v>41259</v>
      </c>
    </row>
    <row r="8262" spans="1:24">
      <c r="A8262">
        <f>HYPERLINK("https://www.philgeps.gov.ph/GEPSNONPILOT/Tender/SplashBidNoticeAbstractUI.aspx?menuIndex=3&amp;refID=7066034&amp;Result=3","7066034")</f>
        <v>0</v>
      </c>
      <c r="B8262" t="s">
        <v>236</v>
      </c>
      <c r="C8262" t="s">
        <v>11263</v>
      </c>
      <c r="D8262" t="s">
        <v>16663</v>
      </c>
      <c r="E8262" t="s">
        <v>23919</v>
      </c>
      <c r="F8262" t="s">
        <v>28669</v>
      </c>
      <c r="G8262" t="s">
        <v>28675</v>
      </c>
      <c r="H8262" t="s">
        <v>9998</v>
      </c>
      <c r="I8262" t="s">
        <v>28713</v>
      </c>
      <c r="J8262" t="s">
        <v>33973</v>
      </c>
      <c r="K8262" t="s">
        <v>37206</v>
      </c>
      <c r="M8262" t="s">
        <v>37714</v>
      </c>
      <c r="N8262" t="s">
        <v>41249</v>
      </c>
      <c r="O8262" t="s">
        <v>41250</v>
      </c>
      <c r="P8262">
        <v>0</v>
      </c>
      <c r="Q8262">
        <v>8</v>
      </c>
      <c r="R8262" t="s">
        <v>41258</v>
      </c>
      <c r="S8262" t="s">
        <v>41513</v>
      </c>
      <c r="T8262" t="s">
        <v>43063</v>
      </c>
      <c r="U8262" t="s">
        <v>49959</v>
      </c>
      <c r="W8262" t="s">
        <v>37714</v>
      </c>
      <c r="X8262" t="s">
        <v>41259</v>
      </c>
    </row>
    <row r="8263" spans="1:24">
      <c r="A8263">
        <f>HYPERLINK("https://www.philgeps.gov.ph/GEPSNONPILOT/Tender/SplashBidNoticeAbstractUI.aspx?menuIndex=3&amp;refID=7066027&amp;Result=3","7066027")</f>
        <v>0</v>
      </c>
      <c r="B8263" t="s">
        <v>988</v>
      </c>
      <c r="C8263" t="s">
        <v>11264</v>
      </c>
      <c r="D8263" t="s">
        <v>16692</v>
      </c>
      <c r="E8263" t="s">
        <v>23920</v>
      </c>
      <c r="F8263" t="s">
        <v>28669</v>
      </c>
      <c r="G8263" t="s">
        <v>28675</v>
      </c>
      <c r="H8263" t="s">
        <v>28686</v>
      </c>
      <c r="I8263" t="s">
        <v>28689</v>
      </c>
      <c r="J8263" t="s">
        <v>33974</v>
      </c>
      <c r="K8263" t="s">
        <v>37220</v>
      </c>
      <c r="M8263" t="s">
        <v>40243</v>
      </c>
      <c r="N8263" t="s">
        <v>41249</v>
      </c>
      <c r="O8263" t="s">
        <v>41250</v>
      </c>
      <c r="P8263">
        <v>0</v>
      </c>
      <c r="Q8263">
        <v>2</v>
      </c>
      <c r="R8263" t="s">
        <v>41258</v>
      </c>
      <c r="S8263" t="s">
        <v>41513</v>
      </c>
      <c r="T8263" t="s">
        <v>43036</v>
      </c>
      <c r="U8263" t="s">
        <v>49960</v>
      </c>
      <c r="W8263" t="s">
        <v>40243</v>
      </c>
      <c r="X8263" t="s">
        <v>41259</v>
      </c>
    </row>
    <row r="8264" spans="1:24">
      <c r="A8264">
        <f>HYPERLINK("https://www.philgeps.gov.ph/GEPSNONPILOT/Tender/SplashBidNoticeAbstractUI.aspx?menuIndex=3&amp;refID=7066024&amp;Result=3","7066024")</f>
        <v>0</v>
      </c>
      <c r="B8264" t="s">
        <v>236</v>
      </c>
      <c r="C8264" t="s">
        <v>11265</v>
      </c>
      <c r="D8264" t="s">
        <v>16663</v>
      </c>
      <c r="E8264" t="s">
        <v>23921</v>
      </c>
      <c r="F8264" t="s">
        <v>28669</v>
      </c>
      <c r="G8264" t="s">
        <v>28675</v>
      </c>
      <c r="H8264" t="s">
        <v>9998</v>
      </c>
      <c r="I8264" t="s">
        <v>28713</v>
      </c>
      <c r="J8264" t="s">
        <v>33975</v>
      </c>
      <c r="K8264" t="s">
        <v>37206</v>
      </c>
      <c r="M8264" t="s">
        <v>37714</v>
      </c>
      <c r="N8264" t="s">
        <v>41249</v>
      </c>
      <c r="O8264" t="s">
        <v>41250</v>
      </c>
      <c r="P8264">
        <v>0</v>
      </c>
      <c r="Q8264">
        <v>8</v>
      </c>
      <c r="R8264" t="s">
        <v>41258</v>
      </c>
      <c r="S8264" t="s">
        <v>41513</v>
      </c>
      <c r="T8264" t="s">
        <v>43063</v>
      </c>
      <c r="U8264" t="s">
        <v>49961</v>
      </c>
      <c r="W8264" t="s">
        <v>37714</v>
      </c>
      <c r="X8264" t="s">
        <v>41259</v>
      </c>
    </row>
    <row r="8265" spans="1:24">
      <c r="A8265">
        <f>HYPERLINK("https://www.philgeps.gov.ph/GEPSNONPILOT/Tender/SplashBidNoticeAbstractUI.aspx?menuIndex=3&amp;refID=7066085&amp;Result=3","7066085")</f>
        <v>0</v>
      </c>
      <c r="B8265" t="s">
        <v>2551</v>
      </c>
      <c r="C8265" t="s">
        <v>11266</v>
      </c>
      <c r="D8265" t="s">
        <v>16645</v>
      </c>
      <c r="E8265" t="s">
        <v>23922</v>
      </c>
      <c r="F8265" t="s">
        <v>28669</v>
      </c>
      <c r="G8265" t="s">
        <v>28676</v>
      </c>
      <c r="H8265" t="s">
        <v>28684</v>
      </c>
      <c r="I8265" t="s">
        <v>28701</v>
      </c>
      <c r="J8265" t="s">
        <v>29364</v>
      </c>
      <c r="K8265" t="s">
        <v>37238</v>
      </c>
      <c r="M8265" t="s">
        <v>40244</v>
      </c>
      <c r="N8265" t="s">
        <v>41249</v>
      </c>
      <c r="O8265" t="s">
        <v>41250</v>
      </c>
      <c r="P8265">
        <v>0</v>
      </c>
      <c r="Q8265">
        <v>1</v>
      </c>
      <c r="R8265" t="s">
        <v>41258</v>
      </c>
      <c r="S8265" t="s">
        <v>41513</v>
      </c>
      <c r="T8265" t="s">
        <v>42811</v>
      </c>
      <c r="U8265" t="s">
        <v>49962</v>
      </c>
      <c r="W8265" t="s">
        <v>40244</v>
      </c>
      <c r="X8265" t="s">
        <v>41259</v>
      </c>
    </row>
    <row r="8266" spans="1:24">
      <c r="A8266">
        <f>HYPERLINK("https://www.philgeps.gov.ph/GEPSNONPILOT/Tender/SplashBidNoticeAbstractUI.aspx?menuIndex=3&amp;refID=7065921&amp;Result=3","7065921")</f>
        <v>0</v>
      </c>
      <c r="B8266" t="s">
        <v>1509</v>
      </c>
      <c r="C8266" t="s">
        <v>11267</v>
      </c>
      <c r="D8266" t="s">
        <v>16651</v>
      </c>
      <c r="E8266" t="s">
        <v>23923</v>
      </c>
      <c r="F8266" t="s">
        <v>28669</v>
      </c>
      <c r="G8266" t="s">
        <v>28676</v>
      </c>
      <c r="H8266" t="s">
        <v>9998</v>
      </c>
      <c r="I8266" t="s">
        <v>28751</v>
      </c>
      <c r="J8266" t="s">
        <v>28979</v>
      </c>
      <c r="K8266" t="s">
        <v>37206</v>
      </c>
      <c r="M8266" t="s">
        <v>40198</v>
      </c>
      <c r="N8266" t="s">
        <v>41249</v>
      </c>
      <c r="O8266" t="s">
        <v>41250</v>
      </c>
      <c r="P8266">
        <v>0</v>
      </c>
      <c r="Q8266">
        <v>4</v>
      </c>
      <c r="R8266" t="s">
        <v>41258</v>
      </c>
      <c r="S8266" t="s">
        <v>41513</v>
      </c>
      <c r="T8266" t="s">
        <v>42938</v>
      </c>
      <c r="U8266" t="s">
        <v>46942</v>
      </c>
      <c r="W8266" t="s">
        <v>40198</v>
      </c>
      <c r="X8266" t="s">
        <v>41259</v>
      </c>
    </row>
    <row r="8267" spans="1:24">
      <c r="A8267">
        <f>HYPERLINK("https://www.philgeps.gov.ph/GEPSNONPILOT/Tender/SplashBidNoticeAbstractUI.aspx?menuIndex=3&amp;refID=7066150&amp;Result=3","7066150")</f>
        <v>0</v>
      </c>
      <c r="B8267" t="s">
        <v>2400</v>
      </c>
      <c r="C8267" t="s">
        <v>11268</v>
      </c>
      <c r="D8267" t="s">
        <v>16620</v>
      </c>
      <c r="E8267" t="s">
        <v>23924</v>
      </c>
      <c r="F8267" t="s">
        <v>28669</v>
      </c>
      <c r="G8267" t="s">
        <v>28676</v>
      </c>
      <c r="H8267" t="s">
        <v>9998</v>
      </c>
      <c r="I8267" t="s">
        <v>7352</v>
      </c>
      <c r="J8267" t="s">
        <v>33976</v>
      </c>
      <c r="K8267" t="s">
        <v>37204</v>
      </c>
      <c r="M8267" t="s">
        <v>40078</v>
      </c>
      <c r="N8267" t="s">
        <v>41249</v>
      </c>
      <c r="O8267" t="s">
        <v>41250</v>
      </c>
      <c r="P8267">
        <v>0</v>
      </c>
      <c r="Q8267">
        <v>0</v>
      </c>
      <c r="R8267" t="s">
        <v>41258</v>
      </c>
      <c r="S8267" t="s">
        <v>41513</v>
      </c>
      <c r="T8267" t="s">
        <v>42883</v>
      </c>
      <c r="U8267" t="s">
        <v>49963</v>
      </c>
      <c r="W8267" t="s">
        <v>40078</v>
      </c>
      <c r="X8267" t="s">
        <v>41259</v>
      </c>
    </row>
    <row r="8268" spans="1:24">
      <c r="A8268">
        <f>HYPERLINK("https://www.philgeps.gov.ph/GEPSNONPILOT/Tender/SplashBidNoticeAbstractUI.aspx?menuIndex=3&amp;refID=7066144&amp;Result=3","7066144")</f>
        <v>0</v>
      </c>
      <c r="B8268" t="s">
        <v>2552</v>
      </c>
      <c r="C8268" t="s">
        <v>11269</v>
      </c>
      <c r="D8268" t="s">
        <v>16684</v>
      </c>
      <c r="E8268" t="s">
        <v>23925</v>
      </c>
      <c r="F8268" t="s">
        <v>28669</v>
      </c>
      <c r="G8268" t="s">
        <v>28676</v>
      </c>
      <c r="H8268" t="s">
        <v>9998</v>
      </c>
      <c r="I8268" t="s">
        <v>6458</v>
      </c>
      <c r="J8268" t="s">
        <v>30117</v>
      </c>
      <c r="K8268" t="s">
        <v>37227</v>
      </c>
      <c r="M8268" t="s">
        <v>40245</v>
      </c>
      <c r="N8268" t="s">
        <v>41249</v>
      </c>
      <c r="O8268" t="s">
        <v>41250</v>
      </c>
      <c r="P8268">
        <v>0</v>
      </c>
      <c r="Q8268">
        <v>5</v>
      </c>
      <c r="R8268" t="s">
        <v>41258</v>
      </c>
      <c r="S8268" t="s">
        <v>41513</v>
      </c>
      <c r="T8268" t="s">
        <v>42883</v>
      </c>
      <c r="U8268" t="s">
        <v>49964</v>
      </c>
      <c r="W8268" t="s">
        <v>40245</v>
      </c>
      <c r="X8268" t="s">
        <v>41259</v>
      </c>
    </row>
    <row r="8269" spans="1:24">
      <c r="A8269">
        <f>HYPERLINK("https://www.philgeps.gov.ph/GEPSNONPILOT/Tender/SplashBidNoticeAbstractUI.aspx?menuIndex=3&amp;refID=7066045&amp;Result=3","7066045")</f>
        <v>0</v>
      </c>
      <c r="B8269" t="s">
        <v>236</v>
      </c>
      <c r="C8269" t="s">
        <v>11270</v>
      </c>
      <c r="D8269" t="s">
        <v>16663</v>
      </c>
      <c r="E8269" t="s">
        <v>23926</v>
      </c>
      <c r="F8269" t="s">
        <v>28669</v>
      </c>
      <c r="G8269" t="s">
        <v>28675</v>
      </c>
      <c r="H8269" t="s">
        <v>9998</v>
      </c>
      <c r="I8269" t="s">
        <v>5286</v>
      </c>
      <c r="J8269" t="s">
        <v>33977</v>
      </c>
      <c r="K8269" t="s">
        <v>37206</v>
      </c>
      <c r="M8269" t="s">
        <v>37714</v>
      </c>
      <c r="N8269" t="s">
        <v>41249</v>
      </c>
      <c r="O8269" t="s">
        <v>41250</v>
      </c>
      <c r="P8269">
        <v>0</v>
      </c>
      <c r="Q8269">
        <v>7</v>
      </c>
      <c r="R8269" t="s">
        <v>41258</v>
      </c>
      <c r="S8269" t="s">
        <v>41513</v>
      </c>
      <c r="T8269" t="s">
        <v>43063</v>
      </c>
      <c r="U8269" t="s">
        <v>49965</v>
      </c>
      <c r="W8269" t="s">
        <v>37714</v>
      </c>
      <c r="X8269" t="s">
        <v>41259</v>
      </c>
    </row>
    <row r="8270" spans="1:24">
      <c r="A8270">
        <f>HYPERLINK("https://www.philgeps.gov.ph/GEPSNONPILOT/Tender/SplashBidNoticeAbstractUI.aspx?menuIndex=3&amp;refID=7066141&amp;Result=3","7066141")</f>
        <v>0</v>
      </c>
      <c r="B8270" t="s">
        <v>476</v>
      </c>
      <c r="C8270" t="s">
        <v>11271</v>
      </c>
      <c r="D8270" t="s">
        <v>16615</v>
      </c>
      <c r="E8270" t="s">
        <v>23927</v>
      </c>
      <c r="F8270" t="s">
        <v>28669</v>
      </c>
      <c r="G8270" t="s">
        <v>28675</v>
      </c>
      <c r="H8270" t="s">
        <v>28686</v>
      </c>
      <c r="I8270" t="s">
        <v>28689</v>
      </c>
      <c r="J8270" t="s">
        <v>29950</v>
      </c>
      <c r="K8270" t="s">
        <v>37254</v>
      </c>
      <c r="M8270" t="s">
        <v>37964</v>
      </c>
      <c r="N8270" t="s">
        <v>41249</v>
      </c>
      <c r="O8270" t="s">
        <v>41250</v>
      </c>
      <c r="P8270">
        <v>0</v>
      </c>
      <c r="Q8270">
        <v>20</v>
      </c>
      <c r="R8270" t="s">
        <v>41258</v>
      </c>
      <c r="S8270" t="s">
        <v>41513</v>
      </c>
      <c r="T8270" t="s">
        <v>42712</v>
      </c>
      <c r="U8270" t="s">
        <v>48146</v>
      </c>
      <c r="W8270" t="s">
        <v>37964</v>
      </c>
      <c r="X8270" t="s">
        <v>41259</v>
      </c>
    </row>
    <row r="8271" spans="1:24">
      <c r="A8271">
        <f>HYPERLINK("https://www.philgeps.gov.ph/GEPSNONPILOT/Tender/SplashBidNoticeAbstractUI.aspx?menuIndex=3&amp;refID=7066133&amp;Result=3","7066133")</f>
        <v>0</v>
      </c>
      <c r="B8271" t="s">
        <v>2548</v>
      </c>
      <c r="C8271" t="s">
        <v>11272</v>
      </c>
      <c r="D8271" t="s">
        <v>16679</v>
      </c>
      <c r="E8271" t="s">
        <v>23928</v>
      </c>
      <c r="F8271" t="s">
        <v>28669</v>
      </c>
      <c r="G8271" t="s">
        <v>28675</v>
      </c>
      <c r="H8271" t="s">
        <v>9998</v>
      </c>
      <c r="I8271" t="s">
        <v>28797</v>
      </c>
      <c r="J8271" t="s">
        <v>33978</v>
      </c>
      <c r="K8271" t="s">
        <v>37209</v>
      </c>
      <c r="M8271" t="s">
        <v>40240</v>
      </c>
      <c r="N8271" t="s">
        <v>41249</v>
      </c>
      <c r="O8271" t="s">
        <v>41250</v>
      </c>
      <c r="P8271">
        <v>0</v>
      </c>
      <c r="Q8271">
        <v>4</v>
      </c>
      <c r="R8271" t="s">
        <v>41258</v>
      </c>
      <c r="S8271" t="s">
        <v>41513</v>
      </c>
      <c r="T8271" t="s">
        <v>43051</v>
      </c>
      <c r="U8271" t="s">
        <v>49956</v>
      </c>
      <c r="W8271" t="s">
        <v>56000</v>
      </c>
      <c r="X8271" t="s">
        <v>41259</v>
      </c>
    </row>
    <row r="8272" spans="1:24">
      <c r="A8272">
        <f>HYPERLINK("https://www.philgeps.gov.ph/GEPSNONPILOT/Tender/SplashBidNoticeAbstractUI.aspx?menuIndex=3&amp;refID=7066131&amp;Result=3","7066131")</f>
        <v>0</v>
      </c>
      <c r="B8272" t="s">
        <v>1258</v>
      </c>
      <c r="C8272" t="s">
        <v>11273</v>
      </c>
      <c r="D8272" t="s">
        <v>16663</v>
      </c>
      <c r="E8272" t="s">
        <v>23929</v>
      </c>
      <c r="F8272" t="s">
        <v>28669</v>
      </c>
      <c r="G8272" t="s">
        <v>28676</v>
      </c>
      <c r="H8272" t="s">
        <v>9998</v>
      </c>
      <c r="I8272" t="s">
        <v>28690</v>
      </c>
      <c r="J8272" t="s">
        <v>33979</v>
      </c>
      <c r="K8272" t="s">
        <v>37227</v>
      </c>
      <c r="M8272" t="s">
        <v>38807</v>
      </c>
      <c r="N8272" t="s">
        <v>41249</v>
      </c>
      <c r="O8272" t="s">
        <v>41250</v>
      </c>
      <c r="P8272">
        <v>0</v>
      </c>
      <c r="Q8272">
        <v>1</v>
      </c>
      <c r="R8272" t="s">
        <v>41258</v>
      </c>
      <c r="S8272" t="s">
        <v>41513</v>
      </c>
      <c r="T8272" t="s">
        <v>42727</v>
      </c>
      <c r="U8272" t="s">
        <v>49966</v>
      </c>
      <c r="W8272" t="s">
        <v>38807</v>
      </c>
      <c r="X8272" t="s">
        <v>41259</v>
      </c>
    </row>
    <row r="8273" spans="1:24">
      <c r="A8273">
        <f>HYPERLINK("https://www.philgeps.gov.ph/GEPSNONPILOT/Tender/SplashBidNoticeAbstractUI.aspx?menuIndex=3&amp;refID=7066130&amp;Result=3","7066130")</f>
        <v>0</v>
      </c>
      <c r="B8273" t="s">
        <v>2540</v>
      </c>
      <c r="C8273" t="s">
        <v>11274</v>
      </c>
      <c r="D8273" t="s">
        <v>16647</v>
      </c>
      <c r="E8273" t="s">
        <v>23930</v>
      </c>
      <c r="F8273" t="s">
        <v>28669</v>
      </c>
      <c r="G8273" t="s">
        <v>28677</v>
      </c>
      <c r="H8273" t="s">
        <v>9998</v>
      </c>
      <c r="I8273" t="s">
        <v>28695</v>
      </c>
      <c r="J8273" t="s">
        <v>33980</v>
      </c>
      <c r="K8273" t="s">
        <v>37210</v>
      </c>
      <c r="M8273" t="s">
        <v>40230</v>
      </c>
      <c r="N8273" t="s">
        <v>41249</v>
      </c>
      <c r="O8273" t="s">
        <v>41250</v>
      </c>
      <c r="P8273">
        <v>0</v>
      </c>
      <c r="Q8273">
        <v>0</v>
      </c>
      <c r="R8273" t="s">
        <v>41258</v>
      </c>
      <c r="S8273" t="s">
        <v>41513</v>
      </c>
      <c r="T8273" t="s">
        <v>42681</v>
      </c>
      <c r="U8273" t="s">
        <v>49967</v>
      </c>
      <c r="W8273" t="s">
        <v>40230</v>
      </c>
      <c r="X8273" t="s">
        <v>41259</v>
      </c>
    </row>
    <row r="8274" spans="1:24">
      <c r="A8274">
        <f>HYPERLINK("https://www.philgeps.gov.ph/GEPSNONPILOT/Tender/SplashBidNoticeAbstractUI.aspx?menuIndex=3&amp;refID=7066087&amp;Result=3","7066087")</f>
        <v>0</v>
      </c>
      <c r="B8274" t="s">
        <v>2547</v>
      </c>
      <c r="C8274" t="s">
        <v>11275</v>
      </c>
      <c r="D8274" t="s">
        <v>16654</v>
      </c>
      <c r="E8274" t="s">
        <v>23931</v>
      </c>
      <c r="F8274" t="s">
        <v>28669</v>
      </c>
      <c r="G8274" t="s">
        <v>28675</v>
      </c>
      <c r="H8274" t="s">
        <v>28686</v>
      </c>
      <c r="I8274" t="s">
        <v>28689</v>
      </c>
      <c r="J8274" t="s">
        <v>29950</v>
      </c>
      <c r="K8274" t="s">
        <v>37274</v>
      </c>
      <c r="M8274" t="s">
        <v>40239</v>
      </c>
      <c r="N8274" t="s">
        <v>41249</v>
      </c>
      <c r="O8274" t="s">
        <v>41250</v>
      </c>
      <c r="P8274">
        <v>0</v>
      </c>
      <c r="Q8274">
        <v>4</v>
      </c>
      <c r="R8274" t="s">
        <v>41258</v>
      </c>
      <c r="S8274" t="s">
        <v>41513</v>
      </c>
      <c r="T8274" t="s">
        <v>42760</v>
      </c>
      <c r="U8274" t="s">
        <v>49954</v>
      </c>
      <c r="W8274" t="s">
        <v>40239</v>
      </c>
      <c r="X8274" t="s">
        <v>41259</v>
      </c>
    </row>
    <row r="8275" spans="1:24">
      <c r="A8275">
        <f>HYPERLINK("https://www.philgeps.gov.ph/GEPSNONPILOT/Tender/SplashBidNoticeAbstractUI.aspx?menuIndex=3&amp;refID=7066119&amp;Result=3","7066119")</f>
        <v>0</v>
      </c>
      <c r="B8275" t="s">
        <v>2553</v>
      </c>
      <c r="C8275" t="s">
        <v>11276</v>
      </c>
      <c r="D8275" t="s">
        <v>16639</v>
      </c>
      <c r="E8275" t="s">
        <v>23932</v>
      </c>
      <c r="F8275" t="s">
        <v>28669</v>
      </c>
      <c r="G8275" t="s">
        <v>28675</v>
      </c>
      <c r="H8275" t="s">
        <v>28686</v>
      </c>
      <c r="I8275" t="s">
        <v>28689</v>
      </c>
      <c r="J8275" t="s">
        <v>33981</v>
      </c>
      <c r="K8275" t="s">
        <v>37221</v>
      </c>
      <c r="M8275" t="s">
        <v>40246</v>
      </c>
      <c r="N8275" t="s">
        <v>41249</v>
      </c>
      <c r="O8275" t="s">
        <v>41250</v>
      </c>
      <c r="P8275">
        <v>0</v>
      </c>
      <c r="Q8275">
        <v>2</v>
      </c>
      <c r="R8275" t="s">
        <v>41258</v>
      </c>
      <c r="S8275" t="s">
        <v>41513</v>
      </c>
      <c r="T8275" t="s">
        <v>42881</v>
      </c>
      <c r="U8275" t="s">
        <v>49968</v>
      </c>
      <c r="W8275" t="s">
        <v>40246</v>
      </c>
      <c r="X8275" t="s">
        <v>41259</v>
      </c>
    </row>
    <row r="8276" spans="1:24">
      <c r="A8276">
        <f>HYPERLINK("https://www.philgeps.gov.ph/GEPSNONPILOT/Tender/SplashBidNoticeAbstractUI.aspx?menuIndex=3&amp;refID=7066112&amp;Result=3","7066112")</f>
        <v>0</v>
      </c>
      <c r="B8276" t="s">
        <v>1509</v>
      </c>
      <c r="C8276" t="s">
        <v>11277</v>
      </c>
      <c r="D8276" t="s">
        <v>16673</v>
      </c>
      <c r="E8276" t="s">
        <v>23933</v>
      </c>
      <c r="F8276" t="s">
        <v>28669</v>
      </c>
      <c r="G8276" t="s">
        <v>28678</v>
      </c>
      <c r="H8276" t="s">
        <v>9998</v>
      </c>
      <c r="I8276" t="s">
        <v>28777</v>
      </c>
      <c r="J8276" t="s">
        <v>28838</v>
      </c>
      <c r="K8276" t="s">
        <v>37206</v>
      </c>
      <c r="M8276" t="s">
        <v>40198</v>
      </c>
      <c r="N8276" t="s">
        <v>41249</v>
      </c>
      <c r="O8276" t="s">
        <v>41250</v>
      </c>
      <c r="P8276">
        <v>0</v>
      </c>
      <c r="Q8276">
        <v>7</v>
      </c>
      <c r="R8276" t="s">
        <v>41258</v>
      </c>
      <c r="S8276" t="s">
        <v>41513</v>
      </c>
      <c r="T8276" t="s">
        <v>42938</v>
      </c>
      <c r="U8276" t="s">
        <v>46942</v>
      </c>
      <c r="W8276" t="s">
        <v>40198</v>
      </c>
      <c r="X8276" t="s">
        <v>41259</v>
      </c>
    </row>
    <row r="8277" spans="1:24">
      <c r="A8277">
        <f>HYPERLINK("https://www.philgeps.gov.ph/GEPSNONPILOT/Tender/SplashBidNoticeAbstractUI.aspx?menuIndex=3&amp;refID=7066040&amp;Result=3","7066040")</f>
        <v>0</v>
      </c>
      <c r="B8277" t="s">
        <v>2124</v>
      </c>
      <c r="C8277" t="s">
        <v>11278</v>
      </c>
      <c r="D8277" t="s">
        <v>16611</v>
      </c>
      <c r="E8277" t="s">
        <v>23934</v>
      </c>
      <c r="F8277" t="s">
        <v>28669</v>
      </c>
      <c r="G8277" t="s">
        <v>28675</v>
      </c>
      <c r="H8277" t="s">
        <v>28686</v>
      </c>
      <c r="I8277" t="s">
        <v>28689</v>
      </c>
      <c r="J8277" t="s">
        <v>33099</v>
      </c>
      <c r="K8277" t="s">
        <v>37220</v>
      </c>
      <c r="M8277" t="s">
        <v>39768</v>
      </c>
      <c r="N8277" t="s">
        <v>41249</v>
      </c>
      <c r="O8277" t="s">
        <v>41250</v>
      </c>
      <c r="P8277">
        <v>0</v>
      </c>
      <c r="Q8277">
        <v>0</v>
      </c>
      <c r="R8277" t="s">
        <v>41258</v>
      </c>
      <c r="S8277" t="s">
        <v>41513</v>
      </c>
      <c r="T8277" t="s">
        <v>42883</v>
      </c>
      <c r="U8277" t="s">
        <v>49969</v>
      </c>
      <c r="W8277" t="s">
        <v>39768</v>
      </c>
      <c r="X8277" t="s">
        <v>41259</v>
      </c>
    </row>
    <row r="8278" spans="1:24">
      <c r="A8278">
        <f>HYPERLINK("https://www.philgeps.gov.ph/GEPSNONPILOT/Tender/SplashBidNoticeAbstractUI.aspx?menuIndex=3&amp;refID=7066038&amp;Result=3","7066038")</f>
        <v>0</v>
      </c>
      <c r="B8278" t="s">
        <v>731</v>
      </c>
      <c r="C8278" t="s">
        <v>11279</v>
      </c>
      <c r="D8278" t="s">
        <v>16646</v>
      </c>
      <c r="E8278" t="s">
        <v>23935</v>
      </c>
      <c r="F8278" t="s">
        <v>28669</v>
      </c>
      <c r="G8278" t="s">
        <v>28675</v>
      </c>
      <c r="H8278" t="s">
        <v>9998</v>
      </c>
      <c r="I8278" t="s">
        <v>28688</v>
      </c>
      <c r="J8278" t="s">
        <v>33982</v>
      </c>
      <c r="K8278" t="s">
        <v>37206</v>
      </c>
      <c r="M8278" t="s">
        <v>38239</v>
      </c>
      <c r="N8278" t="s">
        <v>41249</v>
      </c>
      <c r="O8278" t="s">
        <v>41250</v>
      </c>
      <c r="P8278">
        <v>0</v>
      </c>
      <c r="Q8278">
        <v>2</v>
      </c>
      <c r="R8278" t="s">
        <v>41258</v>
      </c>
      <c r="S8278" t="s">
        <v>41513</v>
      </c>
      <c r="T8278" t="s">
        <v>42729</v>
      </c>
      <c r="U8278" t="s">
        <v>44604</v>
      </c>
      <c r="V8278" t="s">
        <v>55204</v>
      </c>
      <c r="W8278" t="s">
        <v>38239</v>
      </c>
      <c r="X8278" t="s">
        <v>41259</v>
      </c>
    </row>
    <row r="8279" spans="1:24">
      <c r="A8279">
        <f>HYPERLINK("https://www.philgeps.gov.ph/GEPSNONPILOT/Tender/SplashBidNoticeAbstractUI.aspx?menuIndex=3&amp;refID=7066103&amp;Result=3","7066103")</f>
        <v>0</v>
      </c>
      <c r="B8279" t="s">
        <v>34</v>
      </c>
      <c r="C8279" t="s">
        <v>11280</v>
      </c>
      <c r="D8279" t="s">
        <v>16617</v>
      </c>
      <c r="E8279" t="s">
        <v>23936</v>
      </c>
      <c r="F8279" t="s">
        <v>28669</v>
      </c>
      <c r="G8279" t="s">
        <v>28675</v>
      </c>
      <c r="H8279" t="s">
        <v>9998</v>
      </c>
      <c r="I8279" t="s">
        <v>28687</v>
      </c>
      <c r="J8279" t="s">
        <v>33765</v>
      </c>
      <c r="K8279" t="s">
        <v>37209</v>
      </c>
      <c r="M8279" t="s">
        <v>37509</v>
      </c>
      <c r="N8279" t="s">
        <v>41249</v>
      </c>
      <c r="O8279" t="s">
        <v>41250</v>
      </c>
      <c r="P8279">
        <v>0</v>
      </c>
      <c r="Q8279">
        <v>7</v>
      </c>
      <c r="R8279" t="s">
        <v>41258</v>
      </c>
      <c r="S8279" t="s">
        <v>41513</v>
      </c>
      <c r="T8279" t="s">
        <v>42786</v>
      </c>
      <c r="U8279" t="s">
        <v>49970</v>
      </c>
      <c r="W8279" t="s">
        <v>37509</v>
      </c>
      <c r="X8279" t="s">
        <v>41259</v>
      </c>
    </row>
    <row r="8280" spans="1:24">
      <c r="A8280">
        <f>HYPERLINK("https://www.philgeps.gov.ph/GEPSNONPILOT/Tender/SplashBidNoticeAbstractUI.aspx?menuIndex=3&amp;refID=7066136&amp;Result=3","7066136")</f>
        <v>0</v>
      </c>
      <c r="B8280" t="s">
        <v>2481</v>
      </c>
      <c r="C8280" t="s">
        <v>11281</v>
      </c>
      <c r="D8280" t="s">
        <v>16643</v>
      </c>
      <c r="E8280" t="s">
        <v>23937</v>
      </c>
      <c r="F8280" t="s">
        <v>28669</v>
      </c>
      <c r="G8280" t="s">
        <v>28676</v>
      </c>
      <c r="H8280" t="s">
        <v>9998</v>
      </c>
      <c r="I8280" t="s">
        <v>7352</v>
      </c>
      <c r="J8280" t="s">
        <v>33983</v>
      </c>
      <c r="K8280" t="s">
        <v>37205</v>
      </c>
      <c r="M8280" t="s">
        <v>40164</v>
      </c>
      <c r="N8280" t="s">
        <v>41249</v>
      </c>
      <c r="O8280" t="s">
        <v>41250</v>
      </c>
      <c r="P8280">
        <v>0</v>
      </c>
      <c r="Q8280">
        <v>2</v>
      </c>
      <c r="R8280" t="s">
        <v>41258</v>
      </c>
      <c r="S8280" t="s">
        <v>41513</v>
      </c>
      <c r="T8280" t="s">
        <v>42681</v>
      </c>
      <c r="U8280" t="s">
        <v>49798</v>
      </c>
      <c r="W8280" t="s">
        <v>40164</v>
      </c>
      <c r="X8280" t="s">
        <v>41259</v>
      </c>
    </row>
    <row r="8281" spans="1:24">
      <c r="A8281">
        <f>HYPERLINK("https://www.philgeps.gov.ph/GEPSNONPILOT/Tender/SplashBidNoticeAbstractUI.aspx?menuIndex=3&amp;refID=7066102&amp;Result=3","7066102")</f>
        <v>0</v>
      </c>
      <c r="B8281" t="s">
        <v>2547</v>
      </c>
      <c r="C8281" t="s">
        <v>11282</v>
      </c>
      <c r="D8281" t="s">
        <v>16654</v>
      </c>
      <c r="E8281" t="s">
        <v>23938</v>
      </c>
      <c r="F8281" t="s">
        <v>28669</v>
      </c>
      <c r="G8281" t="s">
        <v>28675</v>
      </c>
      <c r="H8281" t="s">
        <v>28686</v>
      </c>
      <c r="I8281" t="s">
        <v>28689</v>
      </c>
      <c r="J8281" t="s">
        <v>29950</v>
      </c>
      <c r="K8281" t="s">
        <v>37295</v>
      </c>
      <c r="M8281" t="s">
        <v>40239</v>
      </c>
      <c r="N8281" t="s">
        <v>41249</v>
      </c>
      <c r="O8281" t="s">
        <v>41250</v>
      </c>
      <c r="P8281">
        <v>0</v>
      </c>
      <c r="Q8281">
        <v>4</v>
      </c>
      <c r="R8281" t="s">
        <v>41258</v>
      </c>
      <c r="S8281" t="s">
        <v>41513</v>
      </c>
      <c r="T8281" t="s">
        <v>42760</v>
      </c>
      <c r="U8281" t="s">
        <v>49954</v>
      </c>
      <c r="W8281" t="s">
        <v>40239</v>
      </c>
      <c r="X8281" t="s">
        <v>41259</v>
      </c>
    </row>
    <row r="8282" spans="1:24">
      <c r="A8282">
        <f>HYPERLINK("https://www.philgeps.gov.ph/GEPSNONPILOT/Tender/SplashBidNoticeAbstractUI.aspx?menuIndex=3&amp;refID=7066100&amp;Result=3","7066100")</f>
        <v>0</v>
      </c>
      <c r="B8282" t="s">
        <v>1223</v>
      </c>
      <c r="C8282" t="s">
        <v>11283</v>
      </c>
      <c r="D8282" t="s">
        <v>16684</v>
      </c>
      <c r="E8282" t="s">
        <v>23939</v>
      </c>
      <c r="F8282" t="s">
        <v>28671</v>
      </c>
      <c r="G8282" t="s">
        <v>28675</v>
      </c>
      <c r="H8282" t="s">
        <v>9998</v>
      </c>
      <c r="I8282" t="s">
        <v>7352</v>
      </c>
      <c r="J8282" t="s">
        <v>33984</v>
      </c>
      <c r="K8282" t="s">
        <v>37204</v>
      </c>
      <c r="M8282" t="s">
        <v>38766</v>
      </c>
      <c r="N8282" t="s">
        <v>41249</v>
      </c>
      <c r="O8282" t="s">
        <v>41250</v>
      </c>
      <c r="P8282">
        <v>0</v>
      </c>
      <c r="Q8282">
        <v>1</v>
      </c>
      <c r="R8282" t="s">
        <v>41258</v>
      </c>
      <c r="S8282" t="s">
        <v>41513</v>
      </c>
      <c r="T8282" t="s">
        <v>43051</v>
      </c>
      <c r="U8282" t="s">
        <v>49971</v>
      </c>
      <c r="V8282" t="s">
        <v>55205</v>
      </c>
      <c r="W8282" t="s">
        <v>38766</v>
      </c>
      <c r="X8282" t="s">
        <v>41259</v>
      </c>
    </row>
    <row r="8283" spans="1:24">
      <c r="A8283">
        <f>HYPERLINK("https://www.philgeps.gov.ph/GEPSNONPILOT/Tender/SplashBidNoticeAbstractUI.aspx?menuIndex=3&amp;refID=7066054&amp;Result=3","7066054")</f>
        <v>0</v>
      </c>
      <c r="B8283" t="s">
        <v>132</v>
      </c>
      <c r="C8283" t="s">
        <v>11284</v>
      </c>
      <c r="D8283" t="s">
        <v>16639</v>
      </c>
      <c r="E8283" t="s">
        <v>23940</v>
      </c>
      <c r="F8283" t="s">
        <v>28669</v>
      </c>
      <c r="G8283" t="s">
        <v>28675</v>
      </c>
      <c r="H8283" t="s">
        <v>28686</v>
      </c>
      <c r="I8283" t="s">
        <v>28689</v>
      </c>
      <c r="J8283" t="s">
        <v>33985</v>
      </c>
      <c r="K8283" t="s">
        <v>37273</v>
      </c>
      <c r="M8283" t="s">
        <v>40235</v>
      </c>
      <c r="N8283" t="s">
        <v>41249</v>
      </c>
      <c r="O8283" t="s">
        <v>41250</v>
      </c>
      <c r="P8283">
        <v>0</v>
      </c>
      <c r="Q8283">
        <v>2</v>
      </c>
      <c r="R8283" t="s">
        <v>41258</v>
      </c>
      <c r="S8283" t="s">
        <v>41513</v>
      </c>
      <c r="T8283" t="s">
        <v>43023</v>
      </c>
      <c r="U8283" t="s">
        <v>49972</v>
      </c>
      <c r="W8283" t="s">
        <v>40235</v>
      </c>
      <c r="X8283" t="s">
        <v>41259</v>
      </c>
    </row>
    <row r="8284" spans="1:24">
      <c r="A8284">
        <f>HYPERLINK("https://www.philgeps.gov.ph/GEPSNONPILOT/Tender/SplashBidNoticeAbstractUI.aspx?menuIndex=3&amp;refID=7066093&amp;Result=3","7066093")</f>
        <v>0</v>
      </c>
      <c r="B8284" t="s">
        <v>1509</v>
      </c>
      <c r="C8284" t="s">
        <v>11285</v>
      </c>
      <c r="D8284" t="s">
        <v>16673</v>
      </c>
      <c r="E8284" t="s">
        <v>23941</v>
      </c>
      <c r="F8284" t="s">
        <v>28669</v>
      </c>
      <c r="G8284" t="s">
        <v>28678</v>
      </c>
      <c r="H8284" t="s">
        <v>9998</v>
      </c>
      <c r="I8284" t="s">
        <v>28696</v>
      </c>
      <c r="J8284" t="s">
        <v>33986</v>
      </c>
      <c r="K8284" t="s">
        <v>37221</v>
      </c>
      <c r="M8284" t="s">
        <v>40198</v>
      </c>
      <c r="N8284" t="s">
        <v>41249</v>
      </c>
      <c r="O8284" t="s">
        <v>41250</v>
      </c>
      <c r="P8284">
        <v>0</v>
      </c>
      <c r="Q8284">
        <v>7</v>
      </c>
      <c r="R8284" t="s">
        <v>41258</v>
      </c>
      <c r="S8284" t="s">
        <v>41513</v>
      </c>
      <c r="T8284" t="s">
        <v>42938</v>
      </c>
      <c r="U8284" t="s">
        <v>46942</v>
      </c>
      <c r="W8284" t="s">
        <v>40198</v>
      </c>
      <c r="X8284" t="s">
        <v>41259</v>
      </c>
    </row>
    <row r="8285" spans="1:24">
      <c r="A8285">
        <f>HYPERLINK("https://www.philgeps.gov.ph/GEPSNONPILOT/Tender/SplashBidNoticeAbstractUI.aspx?menuIndex=3&amp;refID=7066111&amp;Result=3","7066111")</f>
        <v>0</v>
      </c>
      <c r="B8285" t="s">
        <v>2547</v>
      </c>
      <c r="C8285" t="s">
        <v>11286</v>
      </c>
      <c r="D8285" t="s">
        <v>16654</v>
      </c>
      <c r="E8285" t="s">
        <v>23942</v>
      </c>
      <c r="F8285" t="s">
        <v>28669</v>
      </c>
      <c r="G8285" t="s">
        <v>28675</v>
      </c>
      <c r="H8285" t="s">
        <v>28686</v>
      </c>
      <c r="I8285" t="s">
        <v>28689</v>
      </c>
      <c r="J8285" t="s">
        <v>29950</v>
      </c>
      <c r="K8285" t="s">
        <v>37389</v>
      </c>
      <c r="M8285" t="s">
        <v>40239</v>
      </c>
      <c r="N8285" t="s">
        <v>41249</v>
      </c>
      <c r="O8285" t="s">
        <v>41250</v>
      </c>
      <c r="P8285">
        <v>0</v>
      </c>
      <c r="Q8285">
        <v>4</v>
      </c>
      <c r="R8285" t="s">
        <v>41258</v>
      </c>
      <c r="S8285" t="s">
        <v>41513</v>
      </c>
      <c r="T8285" t="s">
        <v>42760</v>
      </c>
      <c r="U8285" t="s">
        <v>49954</v>
      </c>
      <c r="W8285" t="s">
        <v>40239</v>
      </c>
      <c r="X8285" t="s">
        <v>41259</v>
      </c>
    </row>
    <row r="8286" spans="1:24">
      <c r="A8286">
        <f>HYPERLINK("https://www.philgeps.gov.ph/GEPSNONPILOT/Tender/SplashBidNoticeAbstractUI.aspx?menuIndex=3&amp;refID=7066107&amp;Result=3","7066107")</f>
        <v>0</v>
      </c>
      <c r="B8286" t="s">
        <v>2554</v>
      </c>
      <c r="C8286" t="s">
        <v>11287</v>
      </c>
      <c r="D8286" t="s">
        <v>16664</v>
      </c>
      <c r="E8286" t="s">
        <v>17817</v>
      </c>
      <c r="F8286" t="s">
        <v>28669</v>
      </c>
      <c r="G8286" t="s">
        <v>28675</v>
      </c>
      <c r="H8286" t="s">
        <v>9998</v>
      </c>
      <c r="I8286" t="s">
        <v>6606</v>
      </c>
      <c r="J8286" t="s">
        <v>33987</v>
      </c>
      <c r="K8286" t="s">
        <v>37206</v>
      </c>
      <c r="M8286" t="s">
        <v>40247</v>
      </c>
      <c r="N8286" t="s">
        <v>41249</v>
      </c>
      <c r="O8286" t="s">
        <v>41250</v>
      </c>
      <c r="P8286">
        <v>0</v>
      </c>
      <c r="Q8286">
        <v>0</v>
      </c>
      <c r="R8286" t="s">
        <v>41258</v>
      </c>
      <c r="S8286" t="s">
        <v>41513</v>
      </c>
      <c r="T8286" t="s">
        <v>42728</v>
      </c>
      <c r="U8286" t="s">
        <v>46096</v>
      </c>
      <c r="W8286" t="s">
        <v>40247</v>
      </c>
      <c r="X8286" t="s">
        <v>41259</v>
      </c>
    </row>
    <row r="8287" spans="1:24">
      <c r="A8287">
        <f>HYPERLINK("https://www.philgeps.gov.ph/GEPSNONPILOT/Tender/SplashBidNoticeAbstractUI.aspx?menuIndex=3&amp;refID=7065917&amp;Result=3","7065917")</f>
        <v>0</v>
      </c>
      <c r="B8287" t="s">
        <v>2527</v>
      </c>
      <c r="C8287" t="s">
        <v>11288</v>
      </c>
      <c r="E8287" t="s">
        <v>16803</v>
      </c>
      <c r="F8287" t="s">
        <v>28669</v>
      </c>
      <c r="G8287" t="s">
        <v>28675</v>
      </c>
      <c r="H8287" t="s">
        <v>9998</v>
      </c>
      <c r="I8287" t="s">
        <v>7352</v>
      </c>
      <c r="J8287" t="s">
        <v>33988</v>
      </c>
      <c r="K8287" t="s">
        <v>37205</v>
      </c>
      <c r="M8287" t="s">
        <v>40216</v>
      </c>
      <c r="N8287" t="s">
        <v>41249</v>
      </c>
      <c r="O8287" t="s">
        <v>41250</v>
      </c>
      <c r="P8287">
        <v>0</v>
      </c>
      <c r="Q8287">
        <v>0</v>
      </c>
      <c r="R8287" t="s">
        <v>41258</v>
      </c>
      <c r="S8287" t="s">
        <v>41513</v>
      </c>
      <c r="T8287" t="s">
        <v>42857</v>
      </c>
      <c r="U8287" t="s">
        <v>49913</v>
      </c>
      <c r="W8287" t="s">
        <v>55999</v>
      </c>
      <c r="X8287" t="s">
        <v>41259</v>
      </c>
    </row>
    <row r="8288" spans="1:24">
      <c r="A8288">
        <f>HYPERLINK("https://www.philgeps.gov.ph/GEPSNONPILOT/Tender/SplashBidNoticeAbstractUI.aspx?menuIndex=3&amp;refID=7065915&amp;Result=3","7065915")</f>
        <v>0</v>
      </c>
      <c r="B8288" t="s">
        <v>965</v>
      </c>
      <c r="C8288" t="s">
        <v>11289</v>
      </c>
      <c r="D8288" t="s">
        <v>16608</v>
      </c>
      <c r="E8288" t="s">
        <v>23943</v>
      </c>
      <c r="F8288" t="s">
        <v>28669</v>
      </c>
      <c r="G8288" t="s">
        <v>28675</v>
      </c>
      <c r="H8288" t="s">
        <v>9998</v>
      </c>
      <c r="I8288" t="s">
        <v>5213</v>
      </c>
      <c r="J8288" t="s">
        <v>33989</v>
      </c>
      <c r="K8288" t="s">
        <v>37205</v>
      </c>
      <c r="M8288" t="s">
        <v>38490</v>
      </c>
      <c r="N8288" t="s">
        <v>41249</v>
      </c>
      <c r="O8288" t="s">
        <v>41250</v>
      </c>
      <c r="P8288">
        <v>0</v>
      </c>
      <c r="Q8288">
        <v>0</v>
      </c>
      <c r="R8288" t="s">
        <v>41258</v>
      </c>
      <c r="S8288" t="s">
        <v>41513</v>
      </c>
      <c r="T8288" t="s">
        <v>42728</v>
      </c>
      <c r="U8288" t="s">
        <v>45206</v>
      </c>
      <c r="W8288" t="s">
        <v>38490</v>
      </c>
      <c r="X8288" t="s">
        <v>41259</v>
      </c>
    </row>
    <row r="8289" spans="1:24">
      <c r="A8289">
        <f>HYPERLINK("https://www.philgeps.gov.ph/GEPSNONPILOT/Tender/SplashBidNoticeAbstractUI.aspx?menuIndex=3&amp;refID=7066021&amp;Result=3","7066021")</f>
        <v>0</v>
      </c>
      <c r="B8289" t="s">
        <v>2434</v>
      </c>
      <c r="C8289" t="s">
        <v>11290</v>
      </c>
      <c r="D8289" t="s">
        <v>16661</v>
      </c>
      <c r="E8289" t="s">
        <v>23944</v>
      </c>
      <c r="F8289" t="s">
        <v>28669</v>
      </c>
      <c r="G8289" t="s">
        <v>28675</v>
      </c>
      <c r="H8289" t="s">
        <v>9998</v>
      </c>
      <c r="I8289" t="s">
        <v>28713</v>
      </c>
      <c r="J8289" t="s">
        <v>33990</v>
      </c>
      <c r="K8289" t="s">
        <v>37209</v>
      </c>
      <c r="M8289" t="s">
        <v>40117</v>
      </c>
      <c r="N8289" t="s">
        <v>41249</v>
      </c>
      <c r="O8289" t="s">
        <v>41250</v>
      </c>
      <c r="P8289">
        <v>0</v>
      </c>
      <c r="Q8289">
        <v>18</v>
      </c>
      <c r="R8289" t="s">
        <v>41258</v>
      </c>
      <c r="S8289" t="s">
        <v>41513</v>
      </c>
      <c r="T8289" t="s">
        <v>42660</v>
      </c>
      <c r="U8289" t="s">
        <v>49973</v>
      </c>
      <c r="W8289" t="s">
        <v>40117</v>
      </c>
      <c r="X8289" t="s">
        <v>41259</v>
      </c>
    </row>
    <row r="8290" spans="1:24">
      <c r="A8290">
        <f>HYPERLINK("https://www.philgeps.gov.ph/GEPSNONPILOT/Tender/SplashBidNoticeAbstractUI.aspx?menuIndex=3&amp;refID=7066116&amp;Result=3","7066116")</f>
        <v>0</v>
      </c>
      <c r="B8290" t="s">
        <v>2430</v>
      </c>
      <c r="C8290" t="s">
        <v>11291</v>
      </c>
      <c r="D8290" t="s">
        <v>16658</v>
      </c>
      <c r="E8290" t="s">
        <v>19027</v>
      </c>
      <c r="F8290" t="s">
        <v>28669</v>
      </c>
      <c r="G8290" t="s">
        <v>28675</v>
      </c>
      <c r="H8290" t="s">
        <v>9998</v>
      </c>
      <c r="I8290" t="s">
        <v>7352</v>
      </c>
      <c r="J8290" t="s">
        <v>33991</v>
      </c>
      <c r="K8290" t="s">
        <v>37210</v>
      </c>
      <c r="L8290" t="s">
        <v>2430</v>
      </c>
      <c r="M8290" t="s">
        <v>40113</v>
      </c>
      <c r="N8290" t="s">
        <v>41249</v>
      </c>
      <c r="O8290" t="s">
        <v>41250</v>
      </c>
      <c r="P8290">
        <v>0</v>
      </c>
      <c r="Q8290">
        <v>1</v>
      </c>
      <c r="R8290" t="s">
        <v>41258</v>
      </c>
      <c r="S8290" t="s">
        <v>41513</v>
      </c>
      <c r="T8290" t="s">
        <v>42739</v>
      </c>
      <c r="U8290" t="s">
        <v>49974</v>
      </c>
      <c r="W8290" t="s">
        <v>40113</v>
      </c>
      <c r="X8290" t="s">
        <v>41259</v>
      </c>
    </row>
    <row r="8291" spans="1:24">
      <c r="A8291">
        <f>HYPERLINK("https://www.philgeps.gov.ph/GEPSNONPILOT/Tender/SplashBidNoticeAbstractUI.aspx?menuIndex=3&amp;refID=7064556&amp;Result=3","7064556")</f>
        <v>0</v>
      </c>
      <c r="B8291" t="s">
        <v>2421</v>
      </c>
      <c r="C8291" t="s">
        <v>11292</v>
      </c>
      <c r="E8291" t="s">
        <v>23945</v>
      </c>
      <c r="F8291" t="s">
        <v>28669</v>
      </c>
      <c r="G8291" t="s">
        <v>28677</v>
      </c>
      <c r="H8291" t="s">
        <v>28684</v>
      </c>
      <c r="I8291" t="s">
        <v>28694</v>
      </c>
      <c r="J8291" t="s">
        <v>28826</v>
      </c>
      <c r="K8291" t="s">
        <v>37243</v>
      </c>
      <c r="M8291" t="s">
        <v>40104</v>
      </c>
      <c r="N8291" t="s">
        <v>41249</v>
      </c>
      <c r="O8291" t="s">
        <v>41250</v>
      </c>
      <c r="Q8291">
        <v>0</v>
      </c>
      <c r="R8291" t="s">
        <v>41258</v>
      </c>
      <c r="S8291" t="s">
        <v>41539</v>
      </c>
      <c r="T8291" t="s">
        <v>42992</v>
      </c>
      <c r="U8291" t="s">
        <v>49975</v>
      </c>
      <c r="W8291" t="s">
        <v>40104</v>
      </c>
      <c r="X8291" t="s">
        <v>41259</v>
      </c>
    </row>
    <row r="8292" spans="1:24">
      <c r="A8292">
        <f>HYPERLINK("https://www.philgeps.gov.ph/GEPSNONPILOT/Tender/SplashBidNoticeAbstractUI.aspx?menuIndex=3&amp;refID=7066016&amp;Result=3","7066016")</f>
        <v>0</v>
      </c>
      <c r="B8292" t="s">
        <v>2550</v>
      </c>
      <c r="C8292" t="s">
        <v>11293</v>
      </c>
      <c r="D8292" t="s">
        <v>16616</v>
      </c>
      <c r="E8292" t="s">
        <v>17029</v>
      </c>
      <c r="F8292" t="s">
        <v>28669</v>
      </c>
      <c r="G8292" t="s">
        <v>28675</v>
      </c>
      <c r="H8292" t="s">
        <v>28686</v>
      </c>
      <c r="I8292" t="s">
        <v>28689</v>
      </c>
      <c r="J8292" t="s">
        <v>33992</v>
      </c>
      <c r="K8292" t="s">
        <v>37221</v>
      </c>
      <c r="M8292" t="s">
        <v>40242</v>
      </c>
      <c r="N8292" t="s">
        <v>41249</v>
      </c>
      <c r="O8292" t="s">
        <v>41250</v>
      </c>
      <c r="P8292">
        <v>0</v>
      </c>
      <c r="Q8292">
        <v>0</v>
      </c>
      <c r="R8292" t="s">
        <v>41258</v>
      </c>
      <c r="S8292" t="s">
        <v>41513</v>
      </c>
      <c r="T8292" t="s">
        <v>42696</v>
      </c>
      <c r="U8292" t="s">
        <v>49976</v>
      </c>
      <c r="W8292" t="s">
        <v>40242</v>
      </c>
      <c r="X8292" t="s">
        <v>41259</v>
      </c>
    </row>
    <row r="8293" spans="1:24">
      <c r="A8293">
        <f>HYPERLINK("https://www.philgeps.gov.ph/GEPSNONPILOT/Tender/SplashBidNoticeAbstractUI.aspx?menuIndex=3&amp;refID=7064552&amp;Result=3","7064552")</f>
        <v>0</v>
      </c>
      <c r="B8293" t="s">
        <v>2555</v>
      </c>
      <c r="C8293" t="s">
        <v>11294</v>
      </c>
      <c r="D8293" t="s">
        <v>16654</v>
      </c>
      <c r="E8293" t="s">
        <v>23946</v>
      </c>
      <c r="F8293" t="s">
        <v>28669</v>
      </c>
      <c r="G8293" t="s">
        <v>28675</v>
      </c>
      <c r="H8293" t="s">
        <v>28686</v>
      </c>
      <c r="I8293" t="s">
        <v>28689</v>
      </c>
      <c r="J8293" t="s">
        <v>33993</v>
      </c>
      <c r="K8293" t="s">
        <v>37221</v>
      </c>
      <c r="M8293" t="s">
        <v>40248</v>
      </c>
      <c r="N8293" t="s">
        <v>41249</v>
      </c>
      <c r="O8293" t="s">
        <v>41250</v>
      </c>
      <c r="P8293">
        <v>0</v>
      </c>
      <c r="Q8293">
        <v>2</v>
      </c>
      <c r="R8293" t="s">
        <v>41258</v>
      </c>
      <c r="S8293" t="s">
        <v>41513</v>
      </c>
      <c r="T8293" t="s">
        <v>42736</v>
      </c>
      <c r="U8293" t="s">
        <v>49977</v>
      </c>
      <c r="W8293" t="s">
        <v>40248</v>
      </c>
      <c r="X8293" t="s">
        <v>41259</v>
      </c>
    </row>
    <row r="8294" spans="1:24">
      <c r="A8294">
        <f>HYPERLINK("https://www.philgeps.gov.ph/GEPSNONPILOT/Tender/SplashBidNoticeAbstractUI.aspx?menuIndex=3&amp;refID=7066207&amp;Result=3","7066207")</f>
        <v>0</v>
      </c>
      <c r="B8294" t="s">
        <v>2556</v>
      </c>
      <c r="C8294" t="s">
        <v>11295</v>
      </c>
      <c r="D8294" t="s">
        <v>16675</v>
      </c>
      <c r="E8294" t="s">
        <v>17947</v>
      </c>
      <c r="F8294" t="s">
        <v>28671</v>
      </c>
      <c r="G8294" t="s">
        <v>28675</v>
      </c>
      <c r="H8294" t="s">
        <v>9998</v>
      </c>
      <c r="I8294" t="s">
        <v>7352</v>
      </c>
      <c r="J8294" t="s">
        <v>30429</v>
      </c>
      <c r="K8294" t="s">
        <v>37204</v>
      </c>
      <c r="M8294" t="s">
        <v>40249</v>
      </c>
      <c r="N8294" t="s">
        <v>41249</v>
      </c>
      <c r="O8294" t="s">
        <v>41250</v>
      </c>
      <c r="P8294">
        <v>0</v>
      </c>
      <c r="Q8294">
        <v>0</v>
      </c>
      <c r="R8294" t="s">
        <v>41258</v>
      </c>
      <c r="S8294" t="s">
        <v>41513</v>
      </c>
      <c r="T8294" t="s">
        <v>42678</v>
      </c>
      <c r="U8294" t="s">
        <v>49978</v>
      </c>
      <c r="W8294" t="s">
        <v>40249</v>
      </c>
      <c r="X8294" t="s">
        <v>41259</v>
      </c>
    </row>
    <row r="8295" spans="1:24">
      <c r="A8295">
        <f>HYPERLINK("https://www.philgeps.gov.ph/GEPSNONPILOT/Tender/SplashBidNoticeAbstractUI.aspx?menuIndex=3&amp;refID=7064648&amp;Result=3","7064648")</f>
        <v>0</v>
      </c>
      <c r="B8295" t="s">
        <v>986</v>
      </c>
      <c r="C8295" t="s">
        <v>11296</v>
      </c>
      <c r="D8295" t="s">
        <v>16620</v>
      </c>
      <c r="E8295" t="s">
        <v>23947</v>
      </c>
      <c r="F8295" t="s">
        <v>28669</v>
      </c>
      <c r="G8295" t="s">
        <v>28675</v>
      </c>
      <c r="H8295" t="s">
        <v>9998</v>
      </c>
      <c r="I8295" t="s">
        <v>11593</v>
      </c>
      <c r="J8295" t="s">
        <v>28931</v>
      </c>
      <c r="K8295" t="s">
        <v>37206</v>
      </c>
      <c r="M8295" t="s">
        <v>38900</v>
      </c>
      <c r="N8295" t="s">
        <v>41249</v>
      </c>
      <c r="O8295" t="s">
        <v>41250</v>
      </c>
      <c r="P8295">
        <v>0</v>
      </c>
      <c r="Q8295">
        <v>2</v>
      </c>
      <c r="R8295" t="s">
        <v>41258</v>
      </c>
      <c r="S8295" t="s">
        <v>41513</v>
      </c>
      <c r="T8295" t="s">
        <v>42728</v>
      </c>
      <c r="U8295" t="s">
        <v>45210</v>
      </c>
      <c r="V8295" t="s">
        <v>54542</v>
      </c>
      <c r="W8295" t="s">
        <v>38900</v>
      </c>
      <c r="X8295" t="s">
        <v>41259</v>
      </c>
    </row>
    <row r="8296" spans="1:24">
      <c r="A8296">
        <f>HYPERLINK("https://www.philgeps.gov.ph/GEPSNONPILOT/Tender/SplashBidNoticeAbstractUI.aspx?menuIndex=3&amp;refID=7066206&amp;Result=3","7066206")</f>
        <v>0</v>
      </c>
      <c r="B8296" t="s">
        <v>2557</v>
      </c>
      <c r="C8296" t="s">
        <v>11297</v>
      </c>
      <c r="D8296" t="s">
        <v>16640</v>
      </c>
      <c r="E8296" t="s">
        <v>17955</v>
      </c>
      <c r="F8296" t="s">
        <v>28669</v>
      </c>
      <c r="G8296" t="s">
        <v>28678</v>
      </c>
      <c r="H8296" t="s">
        <v>9998</v>
      </c>
      <c r="I8296" t="s">
        <v>28688</v>
      </c>
      <c r="J8296" t="s">
        <v>28905</v>
      </c>
      <c r="K8296" t="s">
        <v>37243</v>
      </c>
      <c r="M8296" t="s">
        <v>40250</v>
      </c>
      <c r="N8296" t="s">
        <v>41249</v>
      </c>
      <c r="O8296" t="s">
        <v>41250</v>
      </c>
      <c r="P8296">
        <v>0</v>
      </c>
      <c r="Q8296">
        <v>4</v>
      </c>
      <c r="R8296" t="s">
        <v>41258</v>
      </c>
      <c r="S8296" t="s">
        <v>41513</v>
      </c>
      <c r="T8296" t="s">
        <v>42758</v>
      </c>
      <c r="U8296" t="s">
        <v>49979</v>
      </c>
      <c r="W8296" t="s">
        <v>40250</v>
      </c>
      <c r="X8296" t="s">
        <v>41259</v>
      </c>
    </row>
    <row r="8297" spans="1:24">
      <c r="A8297">
        <f>HYPERLINK("https://www.philgeps.gov.ph/GEPSNONPILOT/Tender/SplashBidNoticeAbstractUI.aspx?menuIndex=3&amp;refID=7066204&amp;Result=3","7066204")</f>
        <v>0</v>
      </c>
      <c r="B8297" t="s">
        <v>1509</v>
      </c>
      <c r="C8297" t="s">
        <v>11298</v>
      </c>
      <c r="D8297" t="s">
        <v>16660</v>
      </c>
      <c r="E8297" t="s">
        <v>23948</v>
      </c>
      <c r="F8297" t="s">
        <v>28669</v>
      </c>
      <c r="G8297" t="s">
        <v>28676</v>
      </c>
      <c r="H8297" t="s">
        <v>9998</v>
      </c>
      <c r="I8297" t="s">
        <v>28734</v>
      </c>
      <c r="J8297" t="s">
        <v>33994</v>
      </c>
      <c r="K8297" t="s">
        <v>37208</v>
      </c>
      <c r="M8297" t="s">
        <v>40198</v>
      </c>
      <c r="N8297" t="s">
        <v>41249</v>
      </c>
      <c r="O8297" t="s">
        <v>41250</v>
      </c>
      <c r="P8297">
        <v>0</v>
      </c>
      <c r="Q8297">
        <v>1</v>
      </c>
      <c r="R8297" t="s">
        <v>41258</v>
      </c>
      <c r="S8297" t="s">
        <v>41513</v>
      </c>
      <c r="T8297" t="s">
        <v>42938</v>
      </c>
      <c r="U8297" t="s">
        <v>46942</v>
      </c>
      <c r="W8297" t="s">
        <v>40198</v>
      </c>
      <c r="X8297" t="s">
        <v>41259</v>
      </c>
    </row>
    <row r="8298" spans="1:24">
      <c r="A8298">
        <f>HYPERLINK("https://www.philgeps.gov.ph/GEPSNONPILOT/Tender/SplashBidNoticeAbstractUI.aspx?menuIndex=3&amp;refID=7064644&amp;Result=3","7064644")</f>
        <v>0</v>
      </c>
      <c r="B8298" t="s">
        <v>986</v>
      </c>
      <c r="C8298" t="s">
        <v>11299</v>
      </c>
      <c r="D8298" t="s">
        <v>16620</v>
      </c>
      <c r="E8298" t="s">
        <v>23949</v>
      </c>
      <c r="F8298" t="s">
        <v>28669</v>
      </c>
      <c r="G8298" t="s">
        <v>28675</v>
      </c>
      <c r="H8298" t="s">
        <v>9998</v>
      </c>
      <c r="I8298" t="s">
        <v>6128</v>
      </c>
      <c r="J8298" t="s">
        <v>30469</v>
      </c>
      <c r="K8298" t="s">
        <v>37206</v>
      </c>
      <c r="M8298" t="s">
        <v>38900</v>
      </c>
      <c r="N8298" t="s">
        <v>41249</v>
      </c>
      <c r="O8298" t="s">
        <v>41250</v>
      </c>
      <c r="P8298">
        <v>0</v>
      </c>
      <c r="Q8298">
        <v>0</v>
      </c>
      <c r="R8298" t="s">
        <v>41258</v>
      </c>
      <c r="S8298" t="s">
        <v>41513</v>
      </c>
      <c r="T8298" t="s">
        <v>42728</v>
      </c>
      <c r="U8298" t="s">
        <v>45210</v>
      </c>
      <c r="V8298" t="s">
        <v>54542</v>
      </c>
      <c r="W8298" t="s">
        <v>38900</v>
      </c>
      <c r="X8298" t="s">
        <v>41259</v>
      </c>
    </row>
    <row r="8299" spans="1:24">
      <c r="A8299">
        <f>HYPERLINK("https://www.philgeps.gov.ph/GEPSNONPILOT/Tender/SplashBidNoticeAbstractUI.aspx?menuIndex=3&amp;refID=7066200&amp;Result=3","7066200")</f>
        <v>0</v>
      </c>
      <c r="B8299" t="s">
        <v>235</v>
      </c>
      <c r="C8299" t="s">
        <v>11300</v>
      </c>
      <c r="D8299" t="s">
        <v>16646</v>
      </c>
      <c r="E8299" t="s">
        <v>23950</v>
      </c>
      <c r="F8299" t="s">
        <v>28669</v>
      </c>
      <c r="G8299" t="s">
        <v>28675</v>
      </c>
      <c r="H8299" t="s">
        <v>9998</v>
      </c>
      <c r="I8299" t="s">
        <v>5213</v>
      </c>
      <c r="J8299" t="s">
        <v>33995</v>
      </c>
      <c r="K8299" t="s">
        <v>37206</v>
      </c>
      <c r="M8299" t="s">
        <v>38057</v>
      </c>
      <c r="N8299" t="s">
        <v>41249</v>
      </c>
      <c r="O8299" t="s">
        <v>41250</v>
      </c>
      <c r="P8299">
        <v>0</v>
      </c>
      <c r="Q8299">
        <v>1</v>
      </c>
      <c r="R8299" t="s">
        <v>41258</v>
      </c>
      <c r="S8299" t="s">
        <v>41513</v>
      </c>
      <c r="T8299" t="s">
        <v>42747</v>
      </c>
      <c r="U8299" t="s">
        <v>49980</v>
      </c>
      <c r="W8299" t="s">
        <v>38057</v>
      </c>
      <c r="X8299" t="s">
        <v>41259</v>
      </c>
    </row>
    <row r="8300" spans="1:24">
      <c r="A8300">
        <f>HYPERLINK("https://www.philgeps.gov.ph/GEPSNONPILOT/Tender/SplashBidNoticeAbstractUI.aspx?menuIndex=3&amp;refID=7066195&amp;Result=3","7066195")</f>
        <v>0</v>
      </c>
      <c r="B8300" t="s">
        <v>2540</v>
      </c>
      <c r="C8300" t="s">
        <v>11301</v>
      </c>
      <c r="D8300" t="s">
        <v>16647</v>
      </c>
      <c r="E8300" t="s">
        <v>23951</v>
      </c>
      <c r="F8300" t="s">
        <v>28669</v>
      </c>
      <c r="G8300" t="s">
        <v>28677</v>
      </c>
      <c r="H8300" t="s">
        <v>9998</v>
      </c>
      <c r="I8300" t="s">
        <v>3718</v>
      </c>
      <c r="J8300" t="s">
        <v>30041</v>
      </c>
      <c r="K8300" t="s">
        <v>37205</v>
      </c>
      <c r="M8300" t="s">
        <v>40230</v>
      </c>
      <c r="N8300" t="s">
        <v>41249</v>
      </c>
      <c r="O8300" t="s">
        <v>41250</v>
      </c>
      <c r="P8300">
        <v>0</v>
      </c>
      <c r="Q8300">
        <v>0</v>
      </c>
      <c r="R8300" t="s">
        <v>41258</v>
      </c>
      <c r="S8300" t="s">
        <v>41513</v>
      </c>
      <c r="T8300" t="s">
        <v>42681</v>
      </c>
      <c r="U8300" t="s">
        <v>49981</v>
      </c>
      <c r="W8300" t="s">
        <v>40230</v>
      </c>
      <c r="X8300" t="s">
        <v>41259</v>
      </c>
    </row>
    <row r="8301" spans="1:24">
      <c r="A8301">
        <f>HYPERLINK("https://www.philgeps.gov.ph/GEPSNONPILOT/Tender/SplashBidNoticeAbstractUI.aspx?menuIndex=3&amp;refID=7066196&amp;Result=3","7066196")</f>
        <v>0</v>
      </c>
      <c r="B8301" t="s">
        <v>2558</v>
      </c>
      <c r="C8301" t="s">
        <v>11302</v>
      </c>
      <c r="D8301" t="s">
        <v>16618</v>
      </c>
      <c r="E8301" t="s">
        <v>23952</v>
      </c>
      <c r="F8301" t="s">
        <v>28669</v>
      </c>
      <c r="G8301" t="s">
        <v>28675</v>
      </c>
      <c r="H8301" t="s">
        <v>28686</v>
      </c>
      <c r="I8301" t="s">
        <v>28689</v>
      </c>
      <c r="J8301" t="s">
        <v>30285</v>
      </c>
      <c r="K8301" t="s">
        <v>37211</v>
      </c>
      <c r="L8301" t="s">
        <v>2558</v>
      </c>
      <c r="M8301" t="s">
        <v>40251</v>
      </c>
      <c r="N8301" t="s">
        <v>41249</v>
      </c>
      <c r="O8301" t="s">
        <v>41250</v>
      </c>
      <c r="P8301">
        <v>0</v>
      </c>
      <c r="Q8301">
        <v>5</v>
      </c>
      <c r="R8301" t="s">
        <v>41258</v>
      </c>
      <c r="S8301" t="s">
        <v>41513</v>
      </c>
      <c r="T8301" t="s">
        <v>43036</v>
      </c>
      <c r="U8301" t="s">
        <v>49982</v>
      </c>
      <c r="W8301" t="s">
        <v>40251</v>
      </c>
      <c r="X8301" t="s">
        <v>41259</v>
      </c>
    </row>
    <row r="8302" spans="1:24">
      <c r="A8302">
        <f>HYPERLINK("https://www.philgeps.gov.ph/GEPSNONPILOT/Tender/SplashBidNoticeAbstractUI.aspx?menuIndex=3&amp;refID=7066191&amp;Result=3","7066191")</f>
        <v>0</v>
      </c>
      <c r="B8302" t="s">
        <v>2559</v>
      </c>
      <c r="C8302" t="s">
        <v>11303</v>
      </c>
      <c r="E8302" t="s">
        <v>17883</v>
      </c>
      <c r="F8302" t="s">
        <v>28672</v>
      </c>
      <c r="G8302" t="s">
        <v>28675</v>
      </c>
      <c r="H8302" t="s">
        <v>9998</v>
      </c>
      <c r="I8302" t="s">
        <v>7352</v>
      </c>
      <c r="J8302" t="s">
        <v>32351</v>
      </c>
      <c r="K8302" t="s">
        <v>37209</v>
      </c>
      <c r="M8302" t="s">
        <v>40252</v>
      </c>
      <c r="N8302" t="s">
        <v>41249</v>
      </c>
      <c r="O8302" t="s">
        <v>41250</v>
      </c>
      <c r="P8302">
        <v>0</v>
      </c>
      <c r="Q8302">
        <v>0</v>
      </c>
      <c r="R8302" t="s">
        <v>41258</v>
      </c>
      <c r="S8302" t="s">
        <v>41513</v>
      </c>
      <c r="T8302" t="s">
        <v>42870</v>
      </c>
      <c r="U8302" t="s">
        <v>44283</v>
      </c>
      <c r="W8302" t="s">
        <v>40252</v>
      </c>
      <c r="X8302" t="s">
        <v>41259</v>
      </c>
    </row>
    <row r="8303" spans="1:24">
      <c r="A8303">
        <f>HYPERLINK("https://www.philgeps.gov.ph/GEPSNONPILOT/Tender/SplashBidNoticeAbstractUI.aspx?menuIndex=3&amp;refID=7066188&amp;Result=3","7066188")</f>
        <v>0</v>
      </c>
      <c r="B8303" t="s">
        <v>2481</v>
      </c>
      <c r="C8303" t="s">
        <v>11304</v>
      </c>
      <c r="D8303" t="s">
        <v>16643</v>
      </c>
      <c r="E8303" t="s">
        <v>23953</v>
      </c>
      <c r="F8303" t="s">
        <v>28669</v>
      </c>
      <c r="G8303" t="s">
        <v>28676</v>
      </c>
      <c r="H8303" t="s">
        <v>9998</v>
      </c>
      <c r="I8303" t="s">
        <v>7352</v>
      </c>
      <c r="J8303" t="s">
        <v>33996</v>
      </c>
      <c r="K8303" t="s">
        <v>37205</v>
      </c>
      <c r="M8303" t="s">
        <v>40164</v>
      </c>
      <c r="N8303" t="s">
        <v>41249</v>
      </c>
      <c r="O8303" t="s">
        <v>41250</v>
      </c>
      <c r="P8303">
        <v>0</v>
      </c>
      <c r="Q8303">
        <v>2</v>
      </c>
      <c r="R8303" t="s">
        <v>41258</v>
      </c>
      <c r="S8303" t="s">
        <v>41513</v>
      </c>
      <c r="T8303" t="s">
        <v>42681</v>
      </c>
      <c r="U8303" t="s">
        <v>49825</v>
      </c>
      <c r="W8303" t="s">
        <v>40164</v>
      </c>
      <c r="X8303" t="s">
        <v>41259</v>
      </c>
    </row>
    <row r="8304" spans="1:24">
      <c r="A8304">
        <f>HYPERLINK("https://www.philgeps.gov.ph/GEPSNONPILOT/Tender/SplashBidNoticeAbstractUI.aspx?menuIndex=3&amp;refID=7066184&amp;Result=3","7066184")</f>
        <v>0</v>
      </c>
      <c r="B8304" t="s">
        <v>648</v>
      </c>
      <c r="C8304" t="s">
        <v>11305</v>
      </c>
      <c r="D8304" t="s">
        <v>16648</v>
      </c>
      <c r="E8304" t="s">
        <v>23954</v>
      </c>
      <c r="F8304" t="s">
        <v>28669</v>
      </c>
      <c r="G8304" t="s">
        <v>28675</v>
      </c>
      <c r="H8304" t="s">
        <v>9998</v>
      </c>
      <c r="I8304" t="s">
        <v>5286</v>
      </c>
      <c r="J8304" t="s">
        <v>33997</v>
      </c>
      <c r="K8304" t="s">
        <v>37210</v>
      </c>
      <c r="M8304" t="s">
        <v>38149</v>
      </c>
      <c r="N8304" t="s">
        <v>41249</v>
      </c>
      <c r="O8304" t="s">
        <v>41250</v>
      </c>
      <c r="P8304">
        <v>0</v>
      </c>
      <c r="Q8304">
        <v>1</v>
      </c>
      <c r="R8304" t="s">
        <v>41258</v>
      </c>
      <c r="S8304" t="s">
        <v>41513</v>
      </c>
      <c r="T8304" t="s">
        <v>42727</v>
      </c>
      <c r="U8304" t="s">
        <v>49983</v>
      </c>
      <c r="W8304" t="s">
        <v>38149</v>
      </c>
      <c r="X8304" t="s">
        <v>41259</v>
      </c>
    </row>
    <row r="8305" spans="1:24">
      <c r="A8305">
        <f>HYPERLINK("https://www.philgeps.gov.ph/GEPSNONPILOT/Tender/SplashBidNoticeAbstractUI.aspx?menuIndex=3&amp;refID=7066182&amp;Result=3","7066182")</f>
        <v>0</v>
      </c>
      <c r="B8305" t="s">
        <v>2560</v>
      </c>
      <c r="C8305" t="s">
        <v>11306</v>
      </c>
      <c r="D8305" t="s">
        <v>16643</v>
      </c>
      <c r="E8305" t="s">
        <v>17428</v>
      </c>
      <c r="F8305" t="s">
        <v>28669</v>
      </c>
      <c r="G8305" t="s">
        <v>28675</v>
      </c>
      <c r="H8305" t="s">
        <v>9998</v>
      </c>
      <c r="I8305" t="s">
        <v>28693</v>
      </c>
      <c r="J8305" t="s">
        <v>28846</v>
      </c>
      <c r="K8305" t="s">
        <v>37213</v>
      </c>
      <c r="M8305" t="s">
        <v>40253</v>
      </c>
      <c r="N8305" t="s">
        <v>41249</v>
      </c>
      <c r="O8305" t="s">
        <v>41250</v>
      </c>
      <c r="P8305">
        <v>0</v>
      </c>
      <c r="Q8305">
        <v>28</v>
      </c>
      <c r="R8305" t="s">
        <v>41258</v>
      </c>
      <c r="S8305" t="s">
        <v>41513</v>
      </c>
      <c r="T8305" t="s">
        <v>42761</v>
      </c>
      <c r="U8305" t="s">
        <v>49984</v>
      </c>
      <c r="W8305" t="s">
        <v>56001</v>
      </c>
      <c r="X8305" t="s">
        <v>41259</v>
      </c>
    </row>
    <row r="8306" spans="1:24">
      <c r="A8306">
        <f>HYPERLINK("https://www.philgeps.gov.ph/GEPSNONPILOT/Tender/SplashBidNoticeAbstractUI.aspx?menuIndex=3&amp;refID=7066199&amp;Result=3","7066199")</f>
        <v>0</v>
      </c>
      <c r="B8306" t="s">
        <v>2561</v>
      </c>
      <c r="C8306" t="s">
        <v>11307</v>
      </c>
      <c r="D8306" t="s">
        <v>16618</v>
      </c>
      <c r="E8306" t="s">
        <v>23955</v>
      </c>
      <c r="F8306" t="s">
        <v>28669</v>
      </c>
      <c r="G8306" t="s">
        <v>28675</v>
      </c>
      <c r="H8306" t="s">
        <v>9998</v>
      </c>
      <c r="I8306" t="s">
        <v>28760</v>
      </c>
      <c r="J8306" t="s">
        <v>28975</v>
      </c>
      <c r="K8306" t="s">
        <v>37256</v>
      </c>
      <c r="M8306" t="s">
        <v>40254</v>
      </c>
      <c r="N8306" t="s">
        <v>41249</v>
      </c>
      <c r="O8306" t="s">
        <v>41250</v>
      </c>
      <c r="P8306">
        <v>0</v>
      </c>
      <c r="Q8306">
        <v>1</v>
      </c>
      <c r="R8306" t="s">
        <v>41258</v>
      </c>
      <c r="S8306" t="s">
        <v>41513</v>
      </c>
      <c r="T8306" t="s">
        <v>42883</v>
      </c>
      <c r="U8306" t="s">
        <v>49985</v>
      </c>
      <c r="W8306" t="s">
        <v>40254</v>
      </c>
      <c r="X8306" t="s">
        <v>41259</v>
      </c>
    </row>
    <row r="8307" spans="1:24">
      <c r="A8307">
        <f>HYPERLINK("https://www.philgeps.gov.ph/GEPSNONPILOT/Tender/SplashBidNoticeAbstractUI.aspx?menuIndex=3&amp;refID=7066180&amp;Result=3","7066180")</f>
        <v>0</v>
      </c>
      <c r="B8307" t="s">
        <v>559</v>
      </c>
      <c r="C8307" t="s">
        <v>11308</v>
      </c>
      <c r="D8307" t="s">
        <v>16644</v>
      </c>
      <c r="E8307" t="s">
        <v>23956</v>
      </c>
      <c r="F8307" t="s">
        <v>28669</v>
      </c>
      <c r="G8307" t="s">
        <v>28675</v>
      </c>
      <c r="H8307" t="s">
        <v>9998</v>
      </c>
      <c r="I8307" t="s">
        <v>5286</v>
      </c>
      <c r="J8307" t="s">
        <v>33998</v>
      </c>
      <c r="K8307" t="s">
        <v>37206</v>
      </c>
      <c r="M8307" t="s">
        <v>40225</v>
      </c>
      <c r="N8307" t="s">
        <v>41249</v>
      </c>
      <c r="O8307" t="s">
        <v>41250</v>
      </c>
      <c r="P8307">
        <v>0</v>
      </c>
      <c r="Q8307">
        <v>5</v>
      </c>
      <c r="R8307" t="s">
        <v>41258</v>
      </c>
      <c r="S8307" t="s">
        <v>41513</v>
      </c>
      <c r="T8307" t="s">
        <v>42668</v>
      </c>
      <c r="U8307" t="s">
        <v>49986</v>
      </c>
      <c r="W8307" t="s">
        <v>40225</v>
      </c>
      <c r="X8307" t="s">
        <v>41259</v>
      </c>
    </row>
    <row r="8308" spans="1:24">
      <c r="A8308">
        <f>HYPERLINK("https://www.philgeps.gov.ph/GEPSNONPILOT/Tender/SplashBidNoticeAbstractUI.aspx?menuIndex=3&amp;refID=7066169&amp;Result=3","7066169")</f>
        <v>0</v>
      </c>
      <c r="B8308" t="s">
        <v>1458</v>
      </c>
      <c r="C8308" t="s">
        <v>11309</v>
      </c>
      <c r="D8308" t="s">
        <v>16627</v>
      </c>
      <c r="E8308" t="s">
        <v>23957</v>
      </c>
      <c r="F8308" t="s">
        <v>28669</v>
      </c>
      <c r="G8308" t="s">
        <v>28675</v>
      </c>
      <c r="H8308" t="s">
        <v>28686</v>
      </c>
      <c r="I8308" t="s">
        <v>28689</v>
      </c>
      <c r="J8308" t="s">
        <v>33999</v>
      </c>
      <c r="K8308" t="s">
        <v>37215</v>
      </c>
      <c r="M8308" t="s">
        <v>39024</v>
      </c>
      <c r="N8308" t="s">
        <v>41249</v>
      </c>
      <c r="O8308" t="s">
        <v>41250</v>
      </c>
      <c r="P8308">
        <v>0</v>
      </c>
      <c r="Q8308">
        <v>1</v>
      </c>
      <c r="R8308" t="s">
        <v>41258</v>
      </c>
      <c r="S8308" t="s">
        <v>41513</v>
      </c>
      <c r="T8308" t="s">
        <v>42761</v>
      </c>
      <c r="U8308" t="s">
        <v>49987</v>
      </c>
      <c r="W8308" t="s">
        <v>39024</v>
      </c>
      <c r="X8308" t="s">
        <v>41259</v>
      </c>
    </row>
    <row r="8309" spans="1:24">
      <c r="A8309">
        <f>HYPERLINK("https://www.philgeps.gov.ph/GEPSNONPILOT/Tender/SplashBidNoticeAbstractUI.aspx?menuIndex=3&amp;refID=7066167&amp;Result=3","7066167")</f>
        <v>0</v>
      </c>
      <c r="B8309" t="s">
        <v>2562</v>
      </c>
      <c r="C8309" t="s">
        <v>11310</v>
      </c>
      <c r="E8309" t="s">
        <v>17883</v>
      </c>
      <c r="F8309" t="s">
        <v>28672</v>
      </c>
      <c r="G8309" t="s">
        <v>28675</v>
      </c>
      <c r="H8309" t="s">
        <v>9998</v>
      </c>
      <c r="I8309" t="s">
        <v>7352</v>
      </c>
      <c r="J8309" t="s">
        <v>29204</v>
      </c>
      <c r="K8309" t="s">
        <v>37209</v>
      </c>
      <c r="M8309" t="s">
        <v>40255</v>
      </c>
      <c r="N8309" t="s">
        <v>41249</v>
      </c>
      <c r="O8309" t="s">
        <v>41250</v>
      </c>
      <c r="P8309">
        <v>0</v>
      </c>
      <c r="Q8309">
        <v>0</v>
      </c>
      <c r="R8309" t="s">
        <v>41258</v>
      </c>
      <c r="S8309" t="s">
        <v>41513</v>
      </c>
      <c r="T8309" t="s">
        <v>42870</v>
      </c>
      <c r="U8309" t="s">
        <v>44283</v>
      </c>
      <c r="W8309" t="s">
        <v>40255</v>
      </c>
      <c r="X8309" t="s">
        <v>41259</v>
      </c>
    </row>
    <row r="8310" spans="1:24">
      <c r="A8310">
        <f>HYPERLINK("https://www.philgeps.gov.ph/GEPSNONPILOT/Tender/SplashBidNoticeAbstractUI.aspx?menuIndex=3&amp;refID=7066186&amp;Result=3","7066186")</f>
        <v>0</v>
      </c>
      <c r="B8310" t="s">
        <v>1060</v>
      </c>
      <c r="C8310" t="s">
        <v>11311</v>
      </c>
      <c r="D8310" t="s">
        <v>16643</v>
      </c>
      <c r="E8310" t="s">
        <v>23958</v>
      </c>
      <c r="F8310" t="s">
        <v>28669</v>
      </c>
      <c r="G8310" t="s">
        <v>28676</v>
      </c>
      <c r="H8310" t="s">
        <v>9998</v>
      </c>
      <c r="I8310" t="s">
        <v>6606</v>
      </c>
      <c r="J8310" t="s">
        <v>28878</v>
      </c>
      <c r="K8310" t="s">
        <v>37209</v>
      </c>
      <c r="M8310" t="s">
        <v>38591</v>
      </c>
      <c r="N8310" t="s">
        <v>41249</v>
      </c>
      <c r="O8310" t="s">
        <v>41250</v>
      </c>
      <c r="P8310">
        <v>0</v>
      </c>
      <c r="Q8310">
        <v>0</v>
      </c>
      <c r="R8310" t="s">
        <v>41258</v>
      </c>
      <c r="S8310" t="s">
        <v>41513</v>
      </c>
      <c r="T8310" t="s">
        <v>42910</v>
      </c>
      <c r="U8310" t="s">
        <v>49945</v>
      </c>
      <c r="W8310" t="s">
        <v>38591</v>
      </c>
      <c r="X8310" t="s">
        <v>41259</v>
      </c>
    </row>
    <row r="8311" spans="1:24">
      <c r="A8311">
        <f>HYPERLINK("https://www.philgeps.gov.ph/GEPSNONPILOT/Tender/SplashBidNoticeAbstractUI.aspx?menuIndex=3&amp;refID=7066162&amp;Result=3","7066162")</f>
        <v>0</v>
      </c>
      <c r="B8311" t="s">
        <v>34</v>
      </c>
      <c r="C8311" t="s">
        <v>11312</v>
      </c>
      <c r="D8311" t="s">
        <v>16617</v>
      </c>
      <c r="E8311" t="s">
        <v>23959</v>
      </c>
      <c r="F8311" t="s">
        <v>28669</v>
      </c>
      <c r="G8311" t="s">
        <v>28675</v>
      </c>
      <c r="H8311" t="s">
        <v>9998</v>
      </c>
      <c r="I8311" t="s">
        <v>28687</v>
      </c>
      <c r="J8311" t="s">
        <v>34000</v>
      </c>
      <c r="K8311" t="s">
        <v>37209</v>
      </c>
      <c r="M8311" t="s">
        <v>37509</v>
      </c>
      <c r="N8311" t="s">
        <v>41249</v>
      </c>
      <c r="O8311" t="s">
        <v>41250</v>
      </c>
      <c r="P8311">
        <v>0</v>
      </c>
      <c r="Q8311">
        <v>3</v>
      </c>
      <c r="R8311" t="s">
        <v>41258</v>
      </c>
      <c r="S8311" t="s">
        <v>41513</v>
      </c>
      <c r="T8311" t="s">
        <v>42786</v>
      </c>
      <c r="U8311" t="s">
        <v>49988</v>
      </c>
      <c r="W8311" t="s">
        <v>37509</v>
      </c>
      <c r="X8311" t="s">
        <v>41259</v>
      </c>
    </row>
    <row r="8312" spans="1:24">
      <c r="A8312">
        <f>HYPERLINK("https://www.philgeps.gov.ph/GEPSNONPILOT/Tender/SplashBidNoticeAbstractUI.aspx?menuIndex=3&amp;refID=7066152&amp;Result=3","7066152")</f>
        <v>0</v>
      </c>
      <c r="B8312" t="s">
        <v>2563</v>
      </c>
      <c r="C8312" t="s">
        <v>11313</v>
      </c>
      <c r="D8312" t="s">
        <v>16660</v>
      </c>
      <c r="E8312" t="s">
        <v>23960</v>
      </c>
      <c r="F8312" t="s">
        <v>28669</v>
      </c>
      <c r="G8312" t="s">
        <v>28676</v>
      </c>
      <c r="H8312" t="s">
        <v>28684</v>
      </c>
      <c r="I8312" t="s">
        <v>28695</v>
      </c>
      <c r="J8312" t="s">
        <v>34001</v>
      </c>
      <c r="K8312" t="s">
        <v>37238</v>
      </c>
      <c r="M8312" t="s">
        <v>40256</v>
      </c>
      <c r="N8312" t="s">
        <v>41249</v>
      </c>
      <c r="O8312" t="s">
        <v>41250</v>
      </c>
      <c r="P8312">
        <v>0</v>
      </c>
      <c r="Q8312">
        <v>0</v>
      </c>
      <c r="R8312" t="s">
        <v>41258</v>
      </c>
      <c r="S8312" t="s">
        <v>41513</v>
      </c>
      <c r="T8312" t="s">
        <v>42701</v>
      </c>
      <c r="U8312" t="s">
        <v>49989</v>
      </c>
      <c r="W8312" t="s">
        <v>40256</v>
      </c>
      <c r="X8312" t="s">
        <v>41259</v>
      </c>
    </row>
    <row r="8313" spans="1:24">
      <c r="A8313">
        <f>HYPERLINK("https://www.philgeps.gov.ph/GEPSNONPILOT/Tender/SplashBidNoticeAbstractUI.aspx?menuIndex=3&amp;refID=7063603&amp;Result=3","7063603")</f>
        <v>0</v>
      </c>
      <c r="B8313" t="s">
        <v>974</v>
      </c>
      <c r="C8313" t="s">
        <v>11314</v>
      </c>
      <c r="D8313" t="s">
        <v>16621</v>
      </c>
      <c r="E8313" t="s">
        <v>23961</v>
      </c>
      <c r="F8313" t="s">
        <v>28669</v>
      </c>
      <c r="G8313" t="s">
        <v>28675</v>
      </c>
      <c r="H8313" t="s">
        <v>9998</v>
      </c>
      <c r="I8313" t="s">
        <v>7352</v>
      </c>
      <c r="J8313" t="s">
        <v>34002</v>
      </c>
      <c r="K8313" t="s">
        <v>37205</v>
      </c>
      <c r="M8313" t="s">
        <v>39760</v>
      </c>
      <c r="N8313" t="s">
        <v>41249</v>
      </c>
      <c r="O8313" t="s">
        <v>41250</v>
      </c>
      <c r="P8313">
        <v>0</v>
      </c>
      <c r="Q8313">
        <v>2</v>
      </c>
      <c r="R8313" t="s">
        <v>41258</v>
      </c>
      <c r="S8313" t="s">
        <v>41513</v>
      </c>
      <c r="T8313" t="s">
        <v>43051</v>
      </c>
      <c r="U8313" t="s">
        <v>48477</v>
      </c>
      <c r="W8313" t="s">
        <v>39760</v>
      </c>
      <c r="X8313" t="s">
        <v>41260</v>
      </c>
    </row>
    <row r="8314" spans="1:24">
      <c r="A8314">
        <f>HYPERLINK("https://www.philgeps.gov.ph/GEPSNONPILOT/Tender/SplashBidNoticeAbstractUI.aspx?menuIndex=3&amp;refID=7063424&amp;Result=3","7063424")</f>
        <v>0</v>
      </c>
      <c r="B8314" t="s">
        <v>334</v>
      </c>
      <c r="C8314" t="s">
        <v>11315</v>
      </c>
      <c r="D8314" t="s">
        <v>16637</v>
      </c>
      <c r="E8314" t="s">
        <v>23962</v>
      </c>
      <c r="F8314" t="s">
        <v>28669</v>
      </c>
      <c r="G8314" t="s">
        <v>28675</v>
      </c>
      <c r="H8314" t="s">
        <v>9998</v>
      </c>
      <c r="I8314" t="s">
        <v>28688</v>
      </c>
      <c r="J8314" t="s">
        <v>34003</v>
      </c>
      <c r="K8314" t="s">
        <v>37206</v>
      </c>
      <c r="M8314" t="s">
        <v>37814</v>
      </c>
      <c r="N8314" t="s">
        <v>41249</v>
      </c>
      <c r="O8314" t="s">
        <v>41250</v>
      </c>
      <c r="P8314">
        <v>0</v>
      </c>
      <c r="Q8314">
        <v>2</v>
      </c>
      <c r="R8314" t="s">
        <v>41258</v>
      </c>
      <c r="S8314" t="s">
        <v>41513</v>
      </c>
      <c r="T8314" t="s">
        <v>42911</v>
      </c>
      <c r="U8314" t="s">
        <v>49990</v>
      </c>
      <c r="V8314" t="s">
        <v>55206</v>
      </c>
      <c r="W8314" t="s">
        <v>37814</v>
      </c>
      <c r="X8314" t="s">
        <v>41260</v>
      </c>
    </row>
    <row r="8315" spans="1:24">
      <c r="A8315">
        <f>HYPERLINK("https://www.philgeps.gov.ph/GEPSNONPILOT/Tender/SplashBidNoticeAbstractUI.aspx?menuIndex=3&amp;refID=7066214&amp;Result=3","7066214")</f>
        <v>0</v>
      </c>
      <c r="B8315" t="s">
        <v>1458</v>
      </c>
      <c r="C8315" t="s">
        <v>11316</v>
      </c>
      <c r="D8315" t="s">
        <v>16627</v>
      </c>
      <c r="E8315" t="s">
        <v>23963</v>
      </c>
      <c r="F8315" t="s">
        <v>28669</v>
      </c>
      <c r="G8315" t="s">
        <v>28675</v>
      </c>
      <c r="H8315" t="s">
        <v>28686</v>
      </c>
      <c r="I8315" t="s">
        <v>28689</v>
      </c>
      <c r="J8315" t="s">
        <v>34004</v>
      </c>
      <c r="K8315" t="s">
        <v>37215</v>
      </c>
      <c r="M8315" t="s">
        <v>39024</v>
      </c>
      <c r="N8315" t="s">
        <v>41249</v>
      </c>
      <c r="O8315" t="s">
        <v>41250</v>
      </c>
      <c r="P8315">
        <v>0</v>
      </c>
      <c r="Q8315">
        <v>1</v>
      </c>
      <c r="R8315" t="s">
        <v>41258</v>
      </c>
      <c r="S8315" t="s">
        <v>41513</v>
      </c>
      <c r="T8315" t="s">
        <v>42761</v>
      </c>
      <c r="U8315" t="s">
        <v>49987</v>
      </c>
      <c r="W8315" t="s">
        <v>39024</v>
      </c>
      <c r="X8315" t="s">
        <v>41259</v>
      </c>
    </row>
    <row r="8316" spans="1:24">
      <c r="A8316">
        <f>HYPERLINK("https://www.philgeps.gov.ph/GEPSNONPILOT/Tender/SplashBidNoticeAbstractUI.aspx?menuIndex=3&amp;refID=7066155&amp;Result=3","7066155")</f>
        <v>0</v>
      </c>
      <c r="B8316" t="s">
        <v>2562</v>
      </c>
      <c r="C8316" t="s">
        <v>11317</v>
      </c>
      <c r="E8316" t="s">
        <v>17883</v>
      </c>
      <c r="F8316" t="s">
        <v>28672</v>
      </c>
      <c r="G8316" t="s">
        <v>28675</v>
      </c>
      <c r="H8316" t="s">
        <v>9998</v>
      </c>
      <c r="I8316" t="s">
        <v>7352</v>
      </c>
      <c r="J8316" t="s">
        <v>31041</v>
      </c>
      <c r="K8316" t="s">
        <v>37209</v>
      </c>
      <c r="M8316" t="s">
        <v>40255</v>
      </c>
      <c r="N8316" t="s">
        <v>41249</v>
      </c>
      <c r="O8316" t="s">
        <v>41250</v>
      </c>
      <c r="P8316">
        <v>0</v>
      </c>
      <c r="Q8316">
        <v>1</v>
      </c>
      <c r="R8316" t="s">
        <v>41258</v>
      </c>
      <c r="S8316" t="s">
        <v>41513</v>
      </c>
      <c r="T8316" t="s">
        <v>42870</v>
      </c>
      <c r="U8316" t="s">
        <v>44283</v>
      </c>
      <c r="W8316" t="s">
        <v>40255</v>
      </c>
      <c r="X8316" t="s">
        <v>41259</v>
      </c>
    </row>
    <row r="8317" spans="1:24">
      <c r="A8317">
        <f>HYPERLINK("https://www.philgeps.gov.ph/GEPSNONPILOT/Tender/SplashBidNoticeAbstractUI.aspx?menuIndex=3&amp;refID=7066242&amp;Result=3","7066242")</f>
        <v>0</v>
      </c>
      <c r="B8317" t="s">
        <v>1091</v>
      </c>
      <c r="C8317" t="s">
        <v>11318</v>
      </c>
      <c r="D8317" t="s">
        <v>16620</v>
      </c>
      <c r="E8317" t="s">
        <v>18246</v>
      </c>
      <c r="F8317" t="s">
        <v>28669</v>
      </c>
      <c r="G8317" t="s">
        <v>28675</v>
      </c>
      <c r="H8317" t="s">
        <v>9998</v>
      </c>
      <c r="I8317" t="s">
        <v>28687</v>
      </c>
      <c r="J8317" t="s">
        <v>29320</v>
      </c>
      <c r="K8317" t="s">
        <v>37210</v>
      </c>
      <c r="M8317" t="s">
        <v>38623</v>
      </c>
      <c r="N8317" t="s">
        <v>41249</v>
      </c>
      <c r="O8317" t="s">
        <v>41250</v>
      </c>
      <c r="P8317">
        <v>0</v>
      </c>
      <c r="Q8317">
        <v>3</v>
      </c>
      <c r="R8317" t="s">
        <v>41258</v>
      </c>
      <c r="S8317" t="s">
        <v>41513</v>
      </c>
      <c r="T8317" t="s">
        <v>42839</v>
      </c>
      <c r="U8317" t="s">
        <v>49991</v>
      </c>
      <c r="W8317" t="s">
        <v>38623</v>
      </c>
      <c r="X8317" t="s">
        <v>41259</v>
      </c>
    </row>
    <row r="8318" spans="1:24">
      <c r="A8318">
        <f>HYPERLINK("https://www.philgeps.gov.ph/GEPSNONPILOT/Tender/SplashBidNoticeAbstractUI.aspx?menuIndex=3&amp;refID=7066181&amp;Result=3","7066181")</f>
        <v>0</v>
      </c>
      <c r="B8318" t="s">
        <v>52</v>
      </c>
      <c r="C8318" t="s">
        <v>8249</v>
      </c>
      <c r="D8318" t="s">
        <v>16629</v>
      </c>
      <c r="E8318" t="s">
        <v>23964</v>
      </c>
      <c r="F8318" t="s">
        <v>28670</v>
      </c>
      <c r="G8318" t="s">
        <v>28676</v>
      </c>
      <c r="H8318" t="s">
        <v>9998</v>
      </c>
      <c r="I8318" t="s">
        <v>6128</v>
      </c>
      <c r="J8318" t="s">
        <v>34005</v>
      </c>
      <c r="K8318" t="s">
        <v>37204</v>
      </c>
      <c r="M8318" t="s">
        <v>37527</v>
      </c>
      <c r="N8318" t="s">
        <v>41249</v>
      </c>
      <c r="O8318" t="s">
        <v>41250</v>
      </c>
      <c r="P8318">
        <v>0</v>
      </c>
      <c r="Q8318">
        <v>2</v>
      </c>
      <c r="R8318" t="s">
        <v>41258</v>
      </c>
      <c r="S8318" t="s">
        <v>41513</v>
      </c>
      <c r="T8318" t="s">
        <v>42767</v>
      </c>
      <c r="U8318" t="s">
        <v>49992</v>
      </c>
      <c r="W8318" t="s">
        <v>37527</v>
      </c>
      <c r="X8318" t="s">
        <v>41259</v>
      </c>
    </row>
    <row r="8319" spans="1:24">
      <c r="A8319">
        <f>HYPERLINK("https://www.philgeps.gov.ph/GEPSNONPILOT/Tender/SplashBidNoticeAbstractUI.aspx?menuIndex=3&amp;refID=7066018&amp;Result=3","7066018")</f>
        <v>0</v>
      </c>
      <c r="B8319" t="s">
        <v>1509</v>
      </c>
      <c r="C8319" t="s">
        <v>11319</v>
      </c>
      <c r="D8319" t="s">
        <v>16673</v>
      </c>
      <c r="E8319" t="s">
        <v>23965</v>
      </c>
      <c r="F8319" t="s">
        <v>28669</v>
      </c>
      <c r="G8319" t="s">
        <v>28676</v>
      </c>
      <c r="H8319" t="s">
        <v>9998</v>
      </c>
      <c r="I8319" t="s">
        <v>28751</v>
      </c>
      <c r="J8319" t="s">
        <v>34006</v>
      </c>
      <c r="K8319" t="s">
        <v>37206</v>
      </c>
      <c r="M8319" t="s">
        <v>40198</v>
      </c>
      <c r="N8319" t="s">
        <v>41249</v>
      </c>
      <c r="O8319" t="s">
        <v>41250</v>
      </c>
      <c r="P8319">
        <v>0</v>
      </c>
      <c r="Q8319">
        <v>9</v>
      </c>
      <c r="R8319" t="s">
        <v>41258</v>
      </c>
      <c r="S8319" t="s">
        <v>41513</v>
      </c>
      <c r="T8319" t="s">
        <v>42938</v>
      </c>
      <c r="U8319" t="s">
        <v>46942</v>
      </c>
      <c r="W8319" t="s">
        <v>40198</v>
      </c>
      <c r="X8319" t="s">
        <v>41259</v>
      </c>
    </row>
    <row r="8320" spans="1:24">
      <c r="A8320">
        <f>HYPERLINK("https://www.philgeps.gov.ph/GEPSNONPILOT/Tender/SplashBidNoticeAbstractUI.aspx?menuIndex=3&amp;refID=7066259&amp;Result=3","7066259")</f>
        <v>0</v>
      </c>
      <c r="B8320" t="s">
        <v>2564</v>
      </c>
      <c r="C8320" t="s">
        <v>11320</v>
      </c>
      <c r="E8320" t="s">
        <v>17883</v>
      </c>
      <c r="F8320" t="s">
        <v>28672</v>
      </c>
      <c r="G8320" t="s">
        <v>28675</v>
      </c>
      <c r="H8320" t="s">
        <v>9998</v>
      </c>
      <c r="I8320" t="s">
        <v>7352</v>
      </c>
      <c r="J8320" t="s">
        <v>34007</v>
      </c>
      <c r="K8320" t="s">
        <v>37209</v>
      </c>
      <c r="M8320" t="s">
        <v>40257</v>
      </c>
      <c r="N8320" t="s">
        <v>41249</v>
      </c>
      <c r="O8320" t="s">
        <v>41250</v>
      </c>
      <c r="P8320">
        <v>0</v>
      </c>
      <c r="Q8320">
        <v>1</v>
      </c>
      <c r="R8320" t="s">
        <v>41258</v>
      </c>
      <c r="S8320" t="s">
        <v>41513</v>
      </c>
      <c r="T8320" t="s">
        <v>42870</v>
      </c>
      <c r="U8320" t="s">
        <v>44283</v>
      </c>
      <c r="W8320" t="s">
        <v>40257</v>
      </c>
      <c r="X8320" t="s">
        <v>41259</v>
      </c>
    </row>
    <row r="8321" spans="1:24">
      <c r="A8321">
        <f>HYPERLINK("https://www.philgeps.gov.ph/GEPSNONPILOT/Tender/SplashBidNoticeAbstractUI.aspx?menuIndex=3&amp;refID=7066252&amp;Result=3","7066252")</f>
        <v>0</v>
      </c>
      <c r="B8321" t="s">
        <v>1134</v>
      </c>
      <c r="C8321" t="s">
        <v>11321</v>
      </c>
      <c r="D8321" t="s">
        <v>16638</v>
      </c>
      <c r="E8321" t="s">
        <v>22306</v>
      </c>
      <c r="F8321" t="s">
        <v>28669</v>
      </c>
      <c r="G8321" t="s">
        <v>28676</v>
      </c>
      <c r="H8321" t="s">
        <v>9998</v>
      </c>
      <c r="I8321" t="s">
        <v>5286</v>
      </c>
      <c r="J8321" t="s">
        <v>34008</v>
      </c>
      <c r="K8321" t="s">
        <v>37205</v>
      </c>
      <c r="M8321" t="s">
        <v>38668</v>
      </c>
      <c r="N8321" t="s">
        <v>41249</v>
      </c>
      <c r="O8321" t="s">
        <v>41250</v>
      </c>
      <c r="P8321">
        <v>0</v>
      </c>
      <c r="Q8321">
        <v>1</v>
      </c>
      <c r="R8321" t="s">
        <v>41258</v>
      </c>
      <c r="S8321" t="s">
        <v>41513</v>
      </c>
      <c r="T8321" t="s">
        <v>42767</v>
      </c>
      <c r="U8321" t="s">
        <v>49993</v>
      </c>
      <c r="W8321" t="s">
        <v>38668</v>
      </c>
      <c r="X8321" t="s">
        <v>41259</v>
      </c>
    </row>
    <row r="8322" spans="1:24">
      <c r="A8322">
        <f>HYPERLINK("https://www.philgeps.gov.ph/GEPSNONPILOT/Tender/SplashBidNoticeAbstractUI.aspx?menuIndex=3&amp;refID=7066250&amp;Result=3","7066250")</f>
        <v>0</v>
      </c>
      <c r="B8322" t="s">
        <v>2558</v>
      </c>
      <c r="C8322" t="s">
        <v>11322</v>
      </c>
      <c r="D8322" t="s">
        <v>16618</v>
      </c>
      <c r="E8322" t="s">
        <v>23966</v>
      </c>
      <c r="F8322" t="s">
        <v>28669</v>
      </c>
      <c r="G8322" t="s">
        <v>28675</v>
      </c>
      <c r="H8322" t="s">
        <v>28686</v>
      </c>
      <c r="I8322" t="s">
        <v>28689</v>
      </c>
      <c r="J8322" t="s">
        <v>30285</v>
      </c>
      <c r="K8322" t="s">
        <v>37290</v>
      </c>
      <c r="L8322" t="s">
        <v>2558</v>
      </c>
      <c r="M8322" t="s">
        <v>40251</v>
      </c>
      <c r="N8322" t="s">
        <v>41249</v>
      </c>
      <c r="O8322" t="s">
        <v>41250</v>
      </c>
      <c r="P8322">
        <v>0</v>
      </c>
      <c r="Q8322">
        <v>3</v>
      </c>
      <c r="R8322" t="s">
        <v>41258</v>
      </c>
      <c r="S8322" t="s">
        <v>41513</v>
      </c>
      <c r="T8322" t="s">
        <v>43036</v>
      </c>
      <c r="U8322" t="s">
        <v>49982</v>
      </c>
      <c r="W8322" t="s">
        <v>40251</v>
      </c>
      <c r="X8322" t="s">
        <v>41259</v>
      </c>
    </row>
    <row r="8323" spans="1:24">
      <c r="A8323">
        <f>HYPERLINK("https://www.philgeps.gov.ph/GEPSNONPILOT/Tender/SplashBidNoticeAbstractUI.aspx?menuIndex=3&amp;refID=7066248&amp;Result=3","7066248")</f>
        <v>0</v>
      </c>
      <c r="B8323" t="s">
        <v>2565</v>
      </c>
      <c r="C8323" t="s">
        <v>11323</v>
      </c>
      <c r="D8323" t="s">
        <v>16608</v>
      </c>
      <c r="E8323" t="s">
        <v>23967</v>
      </c>
      <c r="F8323" t="s">
        <v>28669</v>
      </c>
      <c r="G8323" t="s">
        <v>28675</v>
      </c>
      <c r="H8323" t="s">
        <v>9998</v>
      </c>
      <c r="I8323" t="s">
        <v>28792</v>
      </c>
      <c r="J8323" t="s">
        <v>29003</v>
      </c>
      <c r="K8323" t="s">
        <v>37204</v>
      </c>
      <c r="M8323" t="s">
        <v>40258</v>
      </c>
      <c r="N8323" t="s">
        <v>41249</v>
      </c>
      <c r="O8323" t="s">
        <v>41250</v>
      </c>
      <c r="P8323">
        <v>0</v>
      </c>
      <c r="Q8323">
        <v>1</v>
      </c>
      <c r="R8323" t="s">
        <v>41258</v>
      </c>
      <c r="S8323" t="s">
        <v>41513</v>
      </c>
      <c r="T8323" t="s">
        <v>42728</v>
      </c>
      <c r="U8323" t="s">
        <v>49994</v>
      </c>
      <c r="W8323" t="s">
        <v>40258</v>
      </c>
      <c r="X8323" t="s">
        <v>41259</v>
      </c>
    </row>
    <row r="8324" spans="1:24">
      <c r="A8324">
        <f>HYPERLINK("https://www.philgeps.gov.ph/GEPSNONPILOT/Tender/SplashBidNoticeAbstractUI.aspx?menuIndex=3&amp;refID=7066236&amp;Result=3","7066236")</f>
        <v>0</v>
      </c>
      <c r="B8324" t="s">
        <v>2565</v>
      </c>
      <c r="C8324" t="s">
        <v>3893</v>
      </c>
      <c r="D8324" t="s">
        <v>16608</v>
      </c>
      <c r="E8324" t="s">
        <v>23968</v>
      </c>
      <c r="F8324" t="s">
        <v>28669</v>
      </c>
      <c r="G8324" t="s">
        <v>28675</v>
      </c>
      <c r="H8324" t="s">
        <v>9998</v>
      </c>
      <c r="I8324" t="s">
        <v>28688</v>
      </c>
      <c r="J8324" t="s">
        <v>34009</v>
      </c>
      <c r="K8324" t="s">
        <v>37204</v>
      </c>
      <c r="M8324" t="s">
        <v>40258</v>
      </c>
      <c r="N8324" t="s">
        <v>41249</v>
      </c>
      <c r="O8324" t="s">
        <v>41250</v>
      </c>
      <c r="P8324">
        <v>0</v>
      </c>
      <c r="Q8324">
        <v>3</v>
      </c>
      <c r="R8324" t="s">
        <v>41258</v>
      </c>
      <c r="S8324" t="s">
        <v>41513</v>
      </c>
      <c r="T8324" t="s">
        <v>42728</v>
      </c>
      <c r="U8324" t="s">
        <v>49995</v>
      </c>
      <c r="W8324" t="s">
        <v>40258</v>
      </c>
      <c r="X8324" t="s">
        <v>41259</v>
      </c>
    </row>
    <row r="8325" spans="1:24">
      <c r="A8325">
        <f>HYPERLINK("https://www.philgeps.gov.ph/GEPSNONPILOT/Tender/SplashBidNoticeAbstractUI.aspx?menuIndex=3&amp;refID=7066260&amp;Result=3","7066260")</f>
        <v>0</v>
      </c>
      <c r="B8325" t="s">
        <v>2566</v>
      </c>
      <c r="C8325" t="s">
        <v>11324</v>
      </c>
      <c r="D8325" t="s">
        <v>16667</v>
      </c>
      <c r="E8325" t="s">
        <v>23969</v>
      </c>
      <c r="F8325" t="s">
        <v>28669</v>
      </c>
      <c r="G8325" t="s">
        <v>28675</v>
      </c>
      <c r="H8325" t="s">
        <v>9998</v>
      </c>
      <c r="I8325" t="s">
        <v>5213</v>
      </c>
      <c r="J8325" t="s">
        <v>28836</v>
      </c>
      <c r="K8325" t="s">
        <v>37206</v>
      </c>
      <c r="M8325" t="s">
        <v>40259</v>
      </c>
      <c r="N8325" t="s">
        <v>41249</v>
      </c>
      <c r="O8325" t="s">
        <v>41250</v>
      </c>
      <c r="P8325">
        <v>0</v>
      </c>
      <c r="Q8325">
        <v>1</v>
      </c>
      <c r="R8325" t="s">
        <v>41258</v>
      </c>
      <c r="S8325" t="s">
        <v>41513</v>
      </c>
      <c r="T8325" t="s">
        <v>42786</v>
      </c>
      <c r="U8325" t="s">
        <v>49996</v>
      </c>
      <c r="W8325" t="s">
        <v>40259</v>
      </c>
      <c r="X8325" t="s">
        <v>41259</v>
      </c>
    </row>
    <row r="8326" spans="1:24">
      <c r="A8326">
        <f>HYPERLINK("https://www.philgeps.gov.ph/GEPSNONPILOT/Tender/SplashBidNoticeAbstractUI.aspx?menuIndex=3&amp;refID=7066234&amp;Result=3","7066234")</f>
        <v>0</v>
      </c>
      <c r="B8326" t="s">
        <v>559</v>
      </c>
      <c r="C8326" t="s">
        <v>3482</v>
      </c>
      <c r="D8326" t="s">
        <v>16644</v>
      </c>
      <c r="E8326" t="s">
        <v>23970</v>
      </c>
      <c r="F8326" t="s">
        <v>28669</v>
      </c>
      <c r="G8326" t="s">
        <v>28675</v>
      </c>
      <c r="H8326" t="s">
        <v>9998</v>
      </c>
      <c r="I8326" t="s">
        <v>5286</v>
      </c>
      <c r="J8326" t="s">
        <v>34010</v>
      </c>
      <c r="K8326" t="s">
        <v>37213</v>
      </c>
      <c r="M8326" t="s">
        <v>40225</v>
      </c>
      <c r="N8326" t="s">
        <v>41249</v>
      </c>
      <c r="O8326" t="s">
        <v>41250</v>
      </c>
      <c r="P8326">
        <v>0</v>
      </c>
      <c r="Q8326">
        <v>5</v>
      </c>
      <c r="R8326" t="s">
        <v>41258</v>
      </c>
      <c r="S8326" t="s">
        <v>41513</v>
      </c>
      <c r="T8326" t="s">
        <v>43014</v>
      </c>
      <c r="U8326" t="s">
        <v>49997</v>
      </c>
      <c r="W8326" t="s">
        <v>40225</v>
      </c>
      <c r="X8326" t="s">
        <v>41259</v>
      </c>
    </row>
    <row r="8327" spans="1:24">
      <c r="A8327">
        <f>HYPERLINK("https://www.philgeps.gov.ph/GEPSNONPILOT/Tender/SplashBidNoticeAbstractUI.aspx?menuIndex=3&amp;refID=7066098&amp;Result=3","7066098")</f>
        <v>0</v>
      </c>
      <c r="B8327" t="s">
        <v>559</v>
      </c>
      <c r="C8327" t="s">
        <v>4590</v>
      </c>
      <c r="D8327" t="s">
        <v>16644</v>
      </c>
      <c r="E8327" t="s">
        <v>23971</v>
      </c>
      <c r="F8327" t="s">
        <v>28669</v>
      </c>
      <c r="G8327" t="s">
        <v>28675</v>
      </c>
      <c r="H8327" t="s">
        <v>9998</v>
      </c>
      <c r="I8327" t="s">
        <v>28690</v>
      </c>
      <c r="J8327" t="s">
        <v>34011</v>
      </c>
      <c r="K8327" t="s">
        <v>37213</v>
      </c>
      <c r="M8327" t="s">
        <v>40225</v>
      </c>
      <c r="N8327" t="s">
        <v>41249</v>
      </c>
      <c r="O8327" t="s">
        <v>41250</v>
      </c>
      <c r="P8327">
        <v>0</v>
      </c>
      <c r="Q8327">
        <v>16</v>
      </c>
      <c r="R8327" t="s">
        <v>41258</v>
      </c>
      <c r="S8327" t="s">
        <v>41513</v>
      </c>
      <c r="T8327" t="s">
        <v>42782</v>
      </c>
      <c r="U8327" t="s">
        <v>49998</v>
      </c>
      <c r="W8327" t="s">
        <v>40225</v>
      </c>
      <c r="X8327" t="s">
        <v>41259</v>
      </c>
    </row>
    <row r="8328" spans="1:24">
      <c r="A8328">
        <f>HYPERLINK("https://www.philgeps.gov.ph/GEPSNONPILOT/Tender/SplashBidNoticeAbstractUI.aspx?menuIndex=3&amp;refID=7066231&amp;Result=3","7066231")</f>
        <v>0</v>
      </c>
      <c r="B8328" t="s">
        <v>2567</v>
      </c>
      <c r="C8328" t="s">
        <v>11325</v>
      </c>
      <c r="D8328" t="s">
        <v>16610</v>
      </c>
      <c r="E8328" t="s">
        <v>23972</v>
      </c>
      <c r="F8328" t="s">
        <v>28669</v>
      </c>
      <c r="G8328" t="s">
        <v>28682</v>
      </c>
      <c r="H8328" t="s">
        <v>28685</v>
      </c>
      <c r="I8328" t="s">
        <v>28703</v>
      </c>
      <c r="J8328" t="s">
        <v>34012</v>
      </c>
      <c r="K8328" t="s">
        <v>37213</v>
      </c>
      <c r="M8328" t="s">
        <v>40260</v>
      </c>
      <c r="N8328" t="s">
        <v>41249</v>
      </c>
      <c r="O8328" t="s">
        <v>41250</v>
      </c>
      <c r="P8328">
        <v>0</v>
      </c>
      <c r="Q8328">
        <v>3</v>
      </c>
      <c r="R8328" t="s">
        <v>41258</v>
      </c>
      <c r="S8328" t="s">
        <v>41513</v>
      </c>
      <c r="T8328" t="s">
        <v>42676</v>
      </c>
      <c r="U8328" t="s">
        <v>49999</v>
      </c>
      <c r="W8328" t="s">
        <v>40260</v>
      </c>
      <c r="X8328" t="s">
        <v>41259</v>
      </c>
    </row>
    <row r="8329" spans="1:24">
      <c r="A8329">
        <f>HYPERLINK("https://www.philgeps.gov.ph/GEPSNONPILOT/Tender/SplashBidNoticeAbstractUI.aspx?menuIndex=3&amp;refID=7066227&amp;Result=3","7066227")</f>
        <v>0</v>
      </c>
      <c r="B8329" t="s">
        <v>1509</v>
      </c>
      <c r="C8329" t="s">
        <v>11326</v>
      </c>
      <c r="D8329" t="s">
        <v>16673</v>
      </c>
      <c r="E8329" t="s">
        <v>23973</v>
      </c>
      <c r="F8329" t="s">
        <v>28669</v>
      </c>
      <c r="G8329" t="s">
        <v>28676</v>
      </c>
      <c r="H8329" t="s">
        <v>9998</v>
      </c>
      <c r="I8329" t="s">
        <v>5033</v>
      </c>
      <c r="J8329" t="s">
        <v>29040</v>
      </c>
      <c r="K8329" t="s">
        <v>37206</v>
      </c>
      <c r="M8329" t="s">
        <v>40198</v>
      </c>
      <c r="N8329" t="s">
        <v>41249</v>
      </c>
      <c r="O8329" t="s">
        <v>41250</v>
      </c>
      <c r="P8329">
        <v>0</v>
      </c>
      <c r="Q8329">
        <v>1</v>
      </c>
      <c r="R8329" t="s">
        <v>41258</v>
      </c>
      <c r="S8329" t="s">
        <v>41513</v>
      </c>
      <c r="T8329" t="s">
        <v>42938</v>
      </c>
      <c r="U8329" t="s">
        <v>46942</v>
      </c>
      <c r="W8329" t="s">
        <v>40198</v>
      </c>
      <c r="X8329" t="s">
        <v>41259</v>
      </c>
    </row>
    <row r="8330" spans="1:24">
      <c r="A8330">
        <f>HYPERLINK("https://www.philgeps.gov.ph/GEPSNONPILOT/Tender/SplashBidNoticeAbstractUI.aspx?menuIndex=3&amp;refID=7066255&amp;Result=3","7066255")</f>
        <v>0</v>
      </c>
      <c r="B8330" t="s">
        <v>2561</v>
      </c>
      <c r="C8330" t="s">
        <v>11327</v>
      </c>
      <c r="D8330" t="s">
        <v>16640</v>
      </c>
      <c r="E8330" t="s">
        <v>23974</v>
      </c>
      <c r="F8330" t="s">
        <v>28669</v>
      </c>
      <c r="G8330" t="s">
        <v>28675</v>
      </c>
      <c r="H8330" t="s">
        <v>9998</v>
      </c>
      <c r="I8330" t="s">
        <v>28760</v>
      </c>
      <c r="J8330" t="s">
        <v>34013</v>
      </c>
      <c r="K8330" t="s">
        <v>37256</v>
      </c>
      <c r="M8330" t="s">
        <v>40254</v>
      </c>
      <c r="N8330" t="s">
        <v>41249</v>
      </c>
      <c r="O8330" t="s">
        <v>41250</v>
      </c>
      <c r="P8330">
        <v>0</v>
      </c>
      <c r="Q8330">
        <v>1</v>
      </c>
      <c r="R8330" t="s">
        <v>41258</v>
      </c>
      <c r="S8330" t="s">
        <v>41513</v>
      </c>
      <c r="T8330" t="s">
        <v>42883</v>
      </c>
      <c r="U8330" t="s">
        <v>50000</v>
      </c>
      <c r="W8330" t="s">
        <v>40254</v>
      </c>
      <c r="X8330" t="s">
        <v>41259</v>
      </c>
    </row>
    <row r="8331" spans="1:24">
      <c r="A8331">
        <f>HYPERLINK("https://www.philgeps.gov.ph/GEPSNONPILOT/Tender/SplashBidNoticeAbstractUI.aspx?menuIndex=3&amp;refID=7066090&amp;Result=3","7066090")</f>
        <v>0</v>
      </c>
      <c r="B8331" t="s">
        <v>1445</v>
      </c>
      <c r="C8331" t="s">
        <v>11328</v>
      </c>
      <c r="D8331" t="s">
        <v>16613</v>
      </c>
      <c r="E8331" t="s">
        <v>21190</v>
      </c>
      <c r="F8331" t="s">
        <v>28669</v>
      </c>
      <c r="G8331" t="s">
        <v>28675</v>
      </c>
      <c r="H8331" t="s">
        <v>9998</v>
      </c>
      <c r="I8331" t="s">
        <v>3718</v>
      </c>
      <c r="J8331" t="s">
        <v>34014</v>
      </c>
      <c r="K8331" t="s">
        <v>37204</v>
      </c>
      <c r="M8331" t="s">
        <v>39010</v>
      </c>
      <c r="N8331" t="s">
        <v>41249</v>
      </c>
      <c r="O8331" t="s">
        <v>41250</v>
      </c>
      <c r="P8331">
        <v>0</v>
      </c>
      <c r="Q8331">
        <v>0</v>
      </c>
      <c r="R8331" t="s">
        <v>41258</v>
      </c>
      <c r="S8331" t="s">
        <v>41513</v>
      </c>
      <c r="T8331" t="s">
        <v>42727</v>
      </c>
      <c r="U8331" t="s">
        <v>50001</v>
      </c>
      <c r="W8331" t="s">
        <v>39010</v>
      </c>
      <c r="X8331" t="s">
        <v>41259</v>
      </c>
    </row>
    <row r="8332" spans="1:24">
      <c r="A8332">
        <f>HYPERLINK("https://www.philgeps.gov.ph/GEPSNONPILOT/Tender/SplashBidNoticeAbstractUI.aspx?menuIndex=3&amp;refID=7063401&amp;Result=3","7063401")</f>
        <v>0</v>
      </c>
      <c r="B8332" t="s">
        <v>2326</v>
      </c>
      <c r="C8332" t="s">
        <v>11329</v>
      </c>
      <c r="D8332" t="s">
        <v>16617</v>
      </c>
      <c r="E8332" t="s">
        <v>23975</v>
      </c>
      <c r="F8332" t="s">
        <v>28669</v>
      </c>
      <c r="G8332" t="s">
        <v>28675</v>
      </c>
      <c r="H8332" t="s">
        <v>28686</v>
      </c>
      <c r="I8332" t="s">
        <v>28689</v>
      </c>
      <c r="J8332" t="s">
        <v>34015</v>
      </c>
      <c r="K8332" t="s">
        <v>37401</v>
      </c>
      <c r="M8332" t="s">
        <v>39987</v>
      </c>
      <c r="N8332" t="s">
        <v>41249</v>
      </c>
      <c r="O8332" t="s">
        <v>41250</v>
      </c>
      <c r="P8332">
        <v>0</v>
      </c>
      <c r="Q8332">
        <v>1</v>
      </c>
      <c r="R8332" t="s">
        <v>41258</v>
      </c>
      <c r="S8332" t="s">
        <v>41513</v>
      </c>
      <c r="T8332" t="s">
        <v>42761</v>
      </c>
      <c r="U8332" t="s">
        <v>50002</v>
      </c>
      <c r="W8332" t="s">
        <v>39987</v>
      </c>
      <c r="X8332" t="s">
        <v>41260</v>
      </c>
    </row>
    <row r="8333" spans="1:24">
      <c r="A8333">
        <f>HYPERLINK("https://www.philgeps.gov.ph/GEPSNONPILOT/Tender/SplashBidNoticeAbstractUI.aspx?menuIndex=3&amp;refID=7066316&amp;Result=3","7066316")</f>
        <v>0</v>
      </c>
      <c r="B8333" t="s">
        <v>528</v>
      </c>
      <c r="C8333" t="s">
        <v>11330</v>
      </c>
      <c r="D8333" t="s">
        <v>16608</v>
      </c>
      <c r="E8333" t="s">
        <v>23976</v>
      </c>
      <c r="F8333" t="s">
        <v>28669</v>
      </c>
      <c r="G8333" t="s">
        <v>28675</v>
      </c>
      <c r="H8333" t="s">
        <v>9998</v>
      </c>
      <c r="I8333" t="s">
        <v>5213</v>
      </c>
      <c r="J8333" t="s">
        <v>30051</v>
      </c>
      <c r="K8333" t="s">
        <v>37204</v>
      </c>
      <c r="M8333" t="s">
        <v>38019</v>
      </c>
      <c r="N8333" t="s">
        <v>41249</v>
      </c>
      <c r="O8333" t="s">
        <v>41250</v>
      </c>
      <c r="P8333">
        <v>0</v>
      </c>
      <c r="Q8333">
        <v>0</v>
      </c>
      <c r="R8333" t="s">
        <v>41258</v>
      </c>
      <c r="S8333" t="s">
        <v>41513</v>
      </c>
      <c r="T8333" t="s">
        <v>42767</v>
      </c>
      <c r="U8333" t="s">
        <v>44121</v>
      </c>
      <c r="W8333" t="s">
        <v>38019</v>
      </c>
      <c r="X8333" t="s">
        <v>41259</v>
      </c>
    </row>
    <row r="8334" spans="1:24">
      <c r="A8334">
        <f>HYPERLINK("https://www.philgeps.gov.ph/GEPSNONPILOT/Tender/SplashBidNoticeAbstractUI.aspx?menuIndex=3&amp;refID=7066232&amp;Result=3","7066232")</f>
        <v>0</v>
      </c>
      <c r="B8334" t="s">
        <v>2517</v>
      </c>
      <c r="C8334" t="s">
        <v>11331</v>
      </c>
      <c r="D8334" t="s">
        <v>16674</v>
      </c>
      <c r="E8334" t="s">
        <v>20918</v>
      </c>
      <c r="F8334" t="s">
        <v>28669</v>
      </c>
      <c r="G8334" t="s">
        <v>28675</v>
      </c>
      <c r="H8334" t="s">
        <v>9998</v>
      </c>
      <c r="I8334" t="s">
        <v>28690</v>
      </c>
      <c r="J8334" t="s">
        <v>34016</v>
      </c>
      <c r="K8334" t="s">
        <v>37205</v>
      </c>
      <c r="M8334" t="s">
        <v>40205</v>
      </c>
      <c r="N8334" t="s">
        <v>41249</v>
      </c>
      <c r="O8334" t="s">
        <v>41250</v>
      </c>
      <c r="P8334">
        <v>0</v>
      </c>
      <c r="Q8334">
        <v>0</v>
      </c>
      <c r="R8334" t="s">
        <v>41258</v>
      </c>
      <c r="S8334" t="s">
        <v>41513</v>
      </c>
      <c r="T8334" t="s">
        <v>43066</v>
      </c>
      <c r="U8334" t="s">
        <v>50003</v>
      </c>
      <c r="W8334" t="s">
        <v>40205</v>
      </c>
      <c r="X8334" t="s">
        <v>41259</v>
      </c>
    </row>
    <row r="8335" spans="1:24">
      <c r="A8335">
        <f>HYPERLINK("https://www.philgeps.gov.ph/GEPSNONPILOT/Tender/SplashBidNoticeAbstractUI.aspx?menuIndex=3&amp;refID=7066318&amp;Result=3","7066318")</f>
        <v>0</v>
      </c>
      <c r="B8335" t="s">
        <v>1694</v>
      </c>
      <c r="C8335" t="s">
        <v>11332</v>
      </c>
      <c r="D8335" t="s">
        <v>16616</v>
      </c>
      <c r="E8335" t="s">
        <v>23977</v>
      </c>
      <c r="F8335" t="s">
        <v>28669</v>
      </c>
      <c r="G8335" t="s">
        <v>28675</v>
      </c>
      <c r="H8335" t="s">
        <v>9998</v>
      </c>
      <c r="I8335" t="s">
        <v>5286</v>
      </c>
      <c r="J8335" t="s">
        <v>34017</v>
      </c>
      <c r="K8335" t="s">
        <v>37221</v>
      </c>
      <c r="M8335" t="s">
        <v>40261</v>
      </c>
      <c r="N8335" t="s">
        <v>41249</v>
      </c>
      <c r="O8335" t="s">
        <v>41250</v>
      </c>
      <c r="P8335">
        <v>0</v>
      </c>
      <c r="Q8335">
        <v>9</v>
      </c>
      <c r="R8335" t="s">
        <v>41258</v>
      </c>
      <c r="S8335" t="s">
        <v>41513</v>
      </c>
      <c r="T8335" t="s">
        <v>42721</v>
      </c>
      <c r="U8335" t="s">
        <v>50004</v>
      </c>
      <c r="V8335" t="s">
        <v>55207</v>
      </c>
      <c r="W8335" t="s">
        <v>40261</v>
      </c>
      <c r="X8335" t="s">
        <v>41259</v>
      </c>
    </row>
    <row r="8336" spans="1:24">
      <c r="A8336">
        <f>HYPERLINK("https://www.philgeps.gov.ph/GEPSNONPILOT/Tender/SplashBidNoticeAbstractUI.aspx?menuIndex=3&amp;refID=7066313&amp;Result=3","7066313")</f>
        <v>0</v>
      </c>
      <c r="B8336" t="s">
        <v>2561</v>
      </c>
      <c r="C8336" t="s">
        <v>11333</v>
      </c>
      <c r="D8336" t="s">
        <v>16677</v>
      </c>
      <c r="E8336" t="s">
        <v>23978</v>
      </c>
      <c r="F8336" t="s">
        <v>28669</v>
      </c>
      <c r="G8336" t="s">
        <v>28675</v>
      </c>
      <c r="H8336" t="s">
        <v>9998</v>
      </c>
      <c r="I8336" t="s">
        <v>28760</v>
      </c>
      <c r="J8336" t="s">
        <v>34018</v>
      </c>
      <c r="K8336" t="s">
        <v>37256</v>
      </c>
      <c r="M8336" t="s">
        <v>40254</v>
      </c>
      <c r="N8336" t="s">
        <v>41249</v>
      </c>
      <c r="O8336" t="s">
        <v>41250</v>
      </c>
      <c r="P8336">
        <v>0</v>
      </c>
      <c r="Q8336">
        <v>1</v>
      </c>
      <c r="R8336" t="s">
        <v>41258</v>
      </c>
      <c r="S8336" t="s">
        <v>41513</v>
      </c>
      <c r="T8336" t="s">
        <v>42883</v>
      </c>
      <c r="U8336" t="s">
        <v>50005</v>
      </c>
      <c r="W8336" t="s">
        <v>40254</v>
      </c>
      <c r="X8336" t="s">
        <v>41259</v>
      </c>
    </row>
    <row r="8337" spans="1:24">
      <c r="A8337">
        <f>HYPERLINK("https://www.philgeps.gov.ph/GEPSNONPILOT/Tender/SplashBidNoticeAbstractUI.aspx?menuIndex=3&amp;refID=7066302&amp;Result=3","7066302")</f>
        <v>0</v>
      </c>
      <c r="B8337" t="s">
        <v>2489</v>
      </c>
      <c r="C8337" t="s">
        <v>11334</v>
      </c>
      <c r="D8337" t="s">
        <v>16654</v>
      </c>
      <c r="E8337" t="s">
        <v>23979</v>
      </c>
      <c r="F8337" t="s">
        <v>28669</v>
      </c>
      <c r="G8337" t="s">
        <v>28676</v>
      </c>
      <c r="H8337" t="s">
        <v>9998</v>
      </c>
      <c r="I8337" t="s">
        <v>28699</v>
      </c>
      <c r="J8337" t="s">
        <v>28854</v>
      </c>
      <c r="K8337" t="s">
        <v>37206</v>
      </c>
      <c r="M8337" t="s">
        <v>40173</v>
      </c>
      <c r="N8337" t="s">
        <v>41249</v>
      </c>
      <c r="O8337" t="s">
        <v>41250</v>
      </c>
      <c r="P8337">
        <v>0</v>
      </c>
      <c r="Q8337">
        <v>3</v>
      </c>
      <c r="R8337" t="s">
        <v>41258</v>
      </c>
      <c r="S8337" t="s">
        <v>41513</v>
      </c>
      <c r="T8337" t="s">
        <v>42767</v>
      </c>
      <c r="U8337" t="s">
        <v>49800</v>
      </c>
      <c r="W8337" t="s">
        <v>40173</v>
      </c>
      <c r="X8337" t="s">
        <v>41259</v>
      </c>
    </row>
    <row r="8338" spans="1:24">
      <c r="A8338">
        <f>HYPERLINK("https://www.philgeps.gov.ph/GEPSNONPILOT/Tender/SplashBidNoticeAbstractUI.aspx?menuIndex=3&amp;refID=7066241&amp;Result=3","7066241")</f>
        <v>0</v>
      </c>
      <c r="B8338" t="s">
        <v>2541</v>
      </c>
      <c r="C8338" t="s">
        <v>11335</v>
      </c>
      <c r="D8338" t="s">
        <v>16632</v>
      </c>
      <c r="E8338" t="s">
        <v>23980</v>
      </c>
      <c r="F8338" t="s">
        <v>28669</v>
      </c>
      <c r="G8338" t="s">
        <v>28675</v>
      </c>
      <c r="H8338" t="s">
        <v>28686</v>
      </c>
      <c r="I8338" t="s">
        <v>28689</v>
      </c>
      <c r="J8338" t="s">
        <v>34019</v>
      </c>
      <c r="K8338" t="s">
        <v>37271</v>
      </c>
      <c r="M8338" t="s">
        <v>40231</v>
      </c>
      <c r="N8338" t="s">
        <v>41249</v>
      </c>
      <c r="O8338" t="s">
        <v>41250</v>
      </c>
      <c r="P8338">
        <v>0</v>
      </c>
      <c r="Q8338">
        <v>1</v>
      </c>
      <c r="R8338" t="s">
        <v>41258</v>
      </c>
      <c r="S8338" t="s">
        <v>41513</v>
      </c>
      <c r="T8338" t="s">
        <v>42760</v>
      </c>
      <c r="U8338" t="s">
        <v>49942</v>
      </c>
      <c r="W8338" t="s">
        <v>40231</v>
      </c>
      <c r="X8338" t="s">
        <v>41259</v>
      </c>
    </row>
    <row r="8339" spans="1:24">
      <c r="A8339">
        <f>HYPERLINK("https://www.philgeps.gov.ph/GEPSNONPILOT/Tender/SplashBidNoticeAbstractUI.aspx?menuIndex=3&amp;refID=7066229&amp;Result=3","7066229")</f>
        <v>0</v>
      </c>
      <c r="B8339" t="s">
        <v>2465</v>
      </c>
      <c r="C8339" t="s">
        <v>11336</v>
      </c>
      <c r="D8339" t="s">
        <v>16611</v>
      </c>
      <c r="E8339" t="s">
        <v>23702</v>
      </c>
      <c r="F8339" t="s">
        <v>28669</v>
      </c>
      <c r="G8339" t="s">
        <v>28675</v>
      </c>
      <c r="H8339" t="s">
        <v>28686</v>
      </c>
      <c r="I8339" t="s">
        <v>28689</v>
      </c>
      <c r="J8339" t="s">
        <v>28879</v>
      </c>
      <c r="K8339" t="s">
        <v>37221</v>
      </c>
      <c r="M8339" t="s">
        <v>40148</v>
      </c>
      <c r="N8339" t="s">
        <v>41249</v>
      </c>
      <c r="O8339" t="s">
        <v>41250</v>
      </c>
      <c r="P8339">
        <v>0</v>
      </c>
      <c r="Q8339">
        <v>0</v>
      </c>
      <c r="R8339" t="s">
        <v>41258</v>
      </c>
      <c r="S8339" t="s">
        <v>41513</v>
      </c>
      <c r="T8339" t="s">
        <v>42992</v>
      </c>
      <c r="U8339" t="s">
        <v>49751</v>
      </c>
      <c r="W8339" t="s">
        <v>40148</v>
      </c>
      <c r="X8339" t="s">
        <v>41259</v>
      </c>
    </row>
    <row r="8340" spans="1:24">
      <c r="A8340">
        <f>HYPERLINK("https://www.philgeps.gov.ph/GEPSNONPILOT/Tender/SplashBidNoticeAbstractUI.aspx?menuIndex=3&amp;refID=7066299&amp;Result=3","7066299")</f>
        <v>0</v>
      </c>
      <c r="B8340" t="s">
        <v>2558</v>
      </c>
      <c r="C8340" t="s">
        <v>11337</v>
      </c>
      <c r="D8340" t="s">
        <v>16618</v>
      </c>
      <c r="E8340" t="s">
        <v>23981</v>
      </c>
      <c r="F8340" t="s">
        <v>28669</v>
      </c>
      <c r="G8340" t="s">
        <v>28675</v>
      </c>
      <c r="H8340" t="s">
        <v>9998</v>
      </c>
      <c r="I8340" t="s">
        <v>28689</v>
      </c>
      <c r="J8340" t="s">
        <v>30285</v>
      </c>
      <c r="K8340" t="s">
        <v>37334</v>
      </c>
      <c r="L8340" t="s">
        <v>2558</v>
      </c>
      <c r="M8340" t="s">
        <v>40251</v>
      </c>
      <c r="N8340" t="s">
        <v>41249</v>
      </c>
      <c r="O8340" t="s">
        <v>41250</v>
      </c>
      <c r="P8340">
        <v>0</v>
      </c>
      <c r="Q8340">
        <v>4</v>
      </c>
      <c r="R8340" t="s">
        <v>41258</v>
      </c>
      <c r="S8340" t="s">
        <v>41513</v>
      </c>
      <c r="T8340" t="s">
        <v>43036</v>
      </c>
      <c r="U8340" t="s">
        <v>49982</v>
      </c>
      <c r="W8340" t="s">
        <v>40251</v>
      </c>
      <c r="X8340" t="s">
        <v>41259</v>
      </c>
    </row>
    <row r="8341" spans="1:24">
      <c r="A8341">
        <f>HYPERLINK("https://www.philgeps.gov.ph/GEPSNONPILOT/Tender/SplashBidNoticeAbstractUI.aspx?menuIndex=3&amp;refID=7066296&amp;Result=3","7066296")</f>
        <v>0</v>
      </c>
      <c r="B8341" t="s">
        <v>2568</v>
      </c>
      <c r="C8341" t="s">
        <v>11338</v>
      </c>
      <c r="D8341" t="s">
        <v>16678</v>
      </c>
      <c r="E8341" t="s">
        <v>16861</v>
      </c>
      <c r="F8341" t="s">
        <v>28669</v>
      </c>
      <c r="G8341" t="s">
        <v>28675</v>
      </c>
      <c r="H8341" t="s">
        <v>9998</v>
      </c>
      <c r="I8341" t="s">
        <v>7352</v>
      </c>
      <c r="J8341" t="s">
        <v>34020</v>
      </c>
      <c r="K8341" t="s">
        <v>37205</v>
      </c>
      <c r="M8341" t="s">
        <v>40262</v>
      </c>
      <c r="N8341" t="s">
        <v>41249</v>
      </c>
      <c r="O8341" t="s">
        <v>41250</v>
      </c>
      <c r="P8341">
        <v>0</v>
      </c>
      <c r="Q8341">
        <v>0</v>
      </c>
      <c r="R8341" t="s">
        <v>41258</v>
      </c>
      <c r="S8341" t="s">
        <v>41513</v>
      </c>
      <c r="T8341" t="s">
        <v>42778</v>
      </c>
      <c r="U8341" t="s">
        <v>50006</v>
      </c>
      <c r="W8341" t="s">
        <v>40262</v>
      </c>
      <c r="X8341" t="s">
        <v>41259</v>
      </c>
    </row>
    <row r="8342" spans="1:24">
      <c r="A8342">
        <f>HYPERLINK("https://www.philgeps.gov.ph/GEPSNONPILOT/Tender/SplashBidNoticeAbstractUI.aspx?menuIndex=3&amp;refID=7066321&amp;Result=3","7066321")</f>
        <v>0</v>
      </c>
      <c r="B8342" t="s">
        <v>775</v>
      </c>
      <c r="C8342" t="s">
        <v>11339</v>
      </c>
      <c r="E8342" t="s">
        <v>23982</v>
      </c>
      <c r="F8342" t="s">
        <v>28669</v>
      </c>
      <c r="G8342" t="s">
        <v>28675</v>
      </c>
      <c r="H8342" t="s">
        <v>28685</v>
      </c>
      <c r="I8342" t="s">
        <v>28685</v>
      </c>
      <c r="J8342" t="s">
        <v>34021</v>
      </c>
      <c r="K8342" t="s">
        <v>37209</v>
      </c>
      <c r="M8342" t="s">
        <v>38289</v>
      </c>
      <c r="N8342" t="s">
        <v>41249</v>
      </c>
      <c r="O8342" t="s">
        <v>41250</v>
      </c>
      <c r="P8342">
        <v>0</v>
      </c>
      <c r="Q8342">
        <v>9</v>
      </c>
      <c r="R8342" t="s">
        <v>41258</v>
      </c>
      <c r="S8342" t="s">
        <v>41513</v>
      </c>
      <c r="T8342" t="s">
        <v>42736</v>
      </c>
      <c r="U8342" t="s">
        <v>50007</v>
      </c>
      <c r="W8342" t="s">
        <v>55957</v>
      </c>
      <c r="X8342" t="s">
        <v>41259</v>
      </c>
    </row>
    <row r="8343" spans="1:24">
      <c r="A8343">
        <f>HYPERLINK("https://www.philgeps.gov.ph/GEPSNONPILOT/Tender/SplashBidNoticeAbstractUI.aspx?menuIndex=3&amp;refID=7066295&amp;Result=3","7066295")</f>
        <v>0</v>
      </c>
      <c r="B8343" t="s">
        <v>2565</v>
      </c>
      <c r="C8343" t="s">
        <v>8757</v>
      </c>
      <c r="D8343" t="s">
        <v>16608</v>
      </c>
      <c r="E8343" t="s">
        <v>23983</v>
      </c>
      <c r="F8343" t="s">
        <v>28669</v>
      </c>
      <c r="G8343" t="s">
        <v>28675</v>
      </c>
      <c r="H8343" t="s">
        <v>9998</v>
      </c>
      <c r="I8343" t="s">
        <v>28717</v>
      </c>
      <c r="J8343" t="s">
        <v>28851</v>
      </c>
      <c r="K8343" t="s">
        <v>37204</v>
      </c>
      <c r="M8343" t="s">
        <v>40258</v>
      </c>
      <c r="N8343" t="s">
        <v>41249</v>
      </c>
      <c r="O8343" t="s">
        <v>41250</v>
      </c>
      <c r="P8343">
        <v>0</v>
      </c>
      <c r="Q8343">
        <v>10</v>
      </c>
      <c r="R8343" t="s">
        <v>41258</v>
      </c>
      <c r="S8343" t="s">
        <v>41513</v>
      </c>
      <c r="T8343" t="s">
        <v>42728</v>
      </c>
      <c r="U8343" t="s">
        <v>50008</v>
      </c>
      <c r="W8343" t="s">
        <v>40258</v>
      </c>
      <c r="X8343" t="s">
        <v>41259</v>
      </c>
    </row>
    <row r="8344" spans="1:24">
      <c r="A8344">
        <f>HYPERLINK("https://www.philgeps.gov.ph/GEPSNONPILOT/Tender/SplashBidNoticeAbstractUI.aspx?menuIndex=3&amp;refID=7066312&amp;Result=3","7066312")</f>
        <v>0</v>
      </c>
      <c r="B8344" t="s">
        <v>2569</v>
      </c>
      <c r="C8344" t="s">
        <v>11340</v>
      </c>
      <c r="D8344" t="s">
        <v>16644</v>
      </c>
      <c r="E8344" t="s">
        <v>22339</v>
      </c>
      <c r="F8344" t="s">
        <v>28669</v>
      </c>
      <c r="G8344" t="s">
        <v>28675</v>
      </c>
      <c r="H8344" t="s">
        <v>28686</v>
      </c>
      <c r="I8344" t="s">
        <v>28689</v>
      </c>
      <c r="J8344" t="s">
        <v>34022</v>
      </c>
      <c r="K8344" t="s">
        <v>37325</v>
      </c>
      <c r="M8344" t="s">
        <v>40263</v>
      </c>
      <c r="N8344" t="s">
        <v>41249</v>
      </c>
      <c r="O8344" t="s">
        <v>41250</v>
      </c>
      <c r="P8344">
        <v>0</v>
      </c>
      <c r="Q8344">
        <v>1</v>
      </c>
      <c r="R8344" t="s">
        <v>41258</v>
      </c>
      <c r="S8344" t="s">
        <v>41513</v>
      </c>
      <c r="T8344" t="s">
        <v>43067</v>
      </c>
      <c r="U8344" t="s">
        <v>50009</v>
      </c>
      <c r="W8344" t="s">
        <v>40263</v>
      </c>
      <c r="X8344" t="s">
        <v>41259</v>
      </c>
    </row>
    <row r="8345" spans="1:24">
      <c r="A8345">
        <f>HYPERLINK("https://www.philgeps.gov.ph/GEPSNONPILOT/Tender/SplashBidNoticeAbstractUI.aspx?menuIndex=3&amp;refID=7066283&amp;Result=3","7066283")</f>
        <v>0</v>
      </c>
      <c r="B8345" t="s">
        <v>2570</v>
      </c>
      <c r="C8345" t="s">
        <v>11341</v>
      </c>
      <c r="D8345" t="s">
        <v>16618</v>
      </c>
      <c r="E8345" t="s">
        <v>23984</v>
      </c>
      <c r="F8345" t="s">
        <v>28669</v>
      </c>
      <c r="G8345" t="s">
        <v>28675</v>
      </c>
      <c r="H8345" t="s">
        <v>28686</v>
      </c>
      <c r="I8345" t="s">
        <v>28689</v>
      </c>
      <c r="J8345" t="s">
        <v>29890</v>
      </c>
      <c r="K8345" t="s">
        <v>37227</v>
      </c>
      <c r="M8345" t="s">
        <v>40264</v>
      </c>
      <c r="N8345" t="s">
        <v>41249</v>
      </c>
      <c r="O8345" t="s">
        <v>41250</v>
      </c>
      <c r="P8345">
        <v>0</v>
      </c>
      <c r="Q8345">
        <v>0</v>
      </c>
      <c r="R8345" t="s">
        <v>41258</v>
      </c>
      <c r="S8345" t="s">
        <v>41513</v>
      </c>
      <c r="T8345" t="s">
        <v>42754</v>
      </c>
      <c r="U8345" t="s">
        <v>50010</v>
      </c>
      <c r="W8345" t="s">
        <v>40264</v>
      </c>
      <c r="X8345" t="s">
        <v>41259</v>
      </c>
    </row>
    <row r="8346" spans="1:24">
      <c r="A8346">
        <f>HYPERLINK("https://www.philgeps.gov.ph/GEPSNONPILOT/Tender/SplashBidNoticeAbstractUI.aspx?menuIndex=3&amp;refID=7066303&amp;Result=3","7066303")</f>
        <v>0</v>
      </c>
      <c r="B8346" t="s">
        <v>1458</v>
      </c>
      <c r="C8346" t="s">
        <v>11342</v>
      </c>
      <c r="D8346" t="s">
        <v>16627</v>
      </c>
      <c r="E8346" t="s">
        <v>23985</v>
      </c>
      <c r="F8346" t="s">
        <v>28669</v>
      </c>
      <c r="G8346" t="s">
        <v>28675</v>
      </c>
      <c r="H8346" t="s">
        <v>28686</v>
      </c>
      <c r="I8346" t="s">
        <v>28689</v>
      </c>
      <c r="J8346" t="s">
        <v>34023</v>
      </c>
      <c r="K8346" t="s">
        <v>37206</v>
      </c>
      <c r="M8346" t="s">
        <v>39024</v>
      </c>
      <c r="N8346" t="s">
        <v>41249</v>
      </c>
      <c r="O8346" t="s">
        <v>41250</v>
      </c>
      <c r="P8346">
        <v>0</v>
      </c>
      <c r="Q8346">
        <v>0</v>
      </c>
      <c r="R8346" t="s">
        <v>41258</v>
      </c>
      <c r="S8346" t="s">
        <v>41513</v>
      </c>
      <c r="T8346" t="s">
        <v>42761</v>
      </c>
      <c r="U8346" t="s">
        <v>49987</v>
      </c>
      <c r="W8346" t="s">
        <v>39024</v>
      </c>
      <c r="X8346" t="s">
        <v>41259</v>
      </c>
    </row>
    <row r="8347" spans="1:24">
      <c r="A8347">
        <f>HYPERLINK("https://www.philgeps.gov.ph/GEPSNONPILOT/Tender/SplashBidNoticeAbstractUI.aspx?menuIndex=3&amp;refID=7066364&amp;Result=3","7066364")</f>
        <v>0</v>
      </c>
      <c r="B8347" t="s">
        <v>2558</v>
      </c>
      <c r="C8347" t="s">
        <v>11343</v>
      </c>
      <c r="D8347" t="s">
        <v>16618</v>
      </c>
      <c r="E8347" t="s">
        <v>23986</v>
      </c>
      <c r="F8347" t="s">
        <v>28669</v>
      </c>
      <c r="G8347" t="s">
        <v>28675</v>
      </c>
      <c r="H8347" t="s">
        <v>28686</v>
      </c>
      <c r="I8347" t="s">
        <v>28689</v>
      </c>
      <c r="J8347" t="s">
        <v>31637</v>
      </c>
      <c r="K8347" t="s">
        <v>37334</v>
      </c>
      <c r="L8347" t="s">
        <v>2558</v>
      </c>
      <c r="M8347" t="s">
        <v>40251</v>
      </c>
      <c r="N8347" t="s">
        <v>41249</v>
      </c>
      <c r="O8347" t="s">
        <v>41250</v>
      </c>
      <c r="P8347">
        <v>0</v>
      </c>
      <c r="Q8347">
        <v>4</v>
      </c>
      <c r="R8347" t="s">
        <v>41258</v>
      </c>
      <c r="S8347" t="s">
        <v>41513</v>
      </c>
      <c r="T8347" t="s">
        <v>43036</v>
      </c>
      <c r="U8347" t="s">
        <v>49982</v>
      </c>
      <c r="W8347" t="s">
        <v>40251</v>
      </c>
      <c r="X8347" t="s">
        <v>41259</v>
      </c>
    </row>
    <row r="8348" spans="1:24">
      <c r="A8348">
        <f>HYPERLINK("https://www.philgeps.gov.ph/GEPSNONPILOT/Tender/SplashBidNoticeAbstractUI.aspx?menuIndex=3&amp;refID=7066397&amp;Result=3","7066397")</f>
        <v>0</v>
      </c>
      <c r="B8348" t="s">
        <v>1458</v>
      </c>
      <c r="C8348" t="s">
        <v>11344</v>
      </c>
      <c r="D8348" t="s">
        <v>16627</v>
      </c>
      <c r="E8348" t="s">
        <v>23987</v>
      </c>
      <c r="F8348" t="s">
        <v>28669</v>
      </c>
      <c r="G8348" t="s">
        <v>28675</v>
      </c>
      <c r="H8348" t="s">
        <v>28686</v>
      </c>
      <c r="I8348" t="s">
        <v>28689</v>
      </c>
      <c r="J8348" t="s">
        <v>34024</v>
      </c>
      <c r="K8348" t="s">
        <v>37220</v>
      </c>
      <c r="M8348" t="s">
        <v>39024</v>
      </c>
      <c r="N8348" t="s">
        <v>41249</v>
      </c>
      <c r="O8348" t="s">
        <v>41250</v>
      </c>
      <c r="P8348">
        <v>0</v>
      </c>
      <c r="Q8348">
        <v>1</v>
      </c>
      <c r="R8348" t="s">
        <v>41258</v>
      </c>
      <c r="S8348" t="s">
        <v>41513</v>
      </c>
      <c r="T8348" t="s">
        <v>42761</v>
      </c>
      <c r="U8348" t="s">
        <v>49987</v>
      </c>
      <c r="W8348" t="s">
        <v>39024</v>
      </c>
      <c r="X8348" t="s">
        <v>41259</v>
      </c>
    </row>
    <row r="8349" spans="1:24">
      <c r="A8349">
        <f>HYPERLINK("https://www.philgeps.gov.ph/GEPSNONPILOT/Tender/SplashBidNoticeAbstractUI.aspx?menuIndex=3&amp;refID=7066298&amp;Result=3","7066298")</f>
        <v>0</v>
      </c>
      <c r="B8349" t="s">
        <v>2571</v>
      </c>
      <c r="C8349" t="s">
        <v>11345</v>
      </c>
      <c r="D8349" t="s">
        <v>16671</v>
      </c>
      <c r="E8349" t="s">
        <v>23988</v>
      </c>
      <c r="F8349" t="s">
        <v>28669</v>
      </c>
      <c r="G8349" t="s">
        <v>28675</v>
      </c>
      <c r="H8349" t="s">
        <v>28686</v>
      </c>
      <c r="I8349" t="s">
        <v>28689</v>
      </c>
      <c r="J8349" t="s">
        <v>29035</v>
      </c>
      <c r="K8349" t="s">
        <v>37213</v>
      </c>
      <c r="M8349" t="s">
        <v>40265</v>
      </c>
      <c r="N8349" t="s">
        <v>41249</v>
      </c>
      <c r="O8349" t="s">
        <v>41250</v>
      </c>
      <c r="P8349">
        <v>0</v>
      </c>
      <c r="Q8349">
        <v>0</v>
      </c>
      <c r="R8349" t="s">
        <v>41258</v>
      </c>
      <c r="S8349" t="s">
        <v>41513</v>
      </c>
      <c r="T8349" t="s">
        <v>42984</v>
      </c>
      <c r="U8349" t="s">
        <v>50011</v>
      </c>
      <c r="W8349" t="s">
        <v>40265</v>
      </c>
      <c r="X8349" t="s">
        <v>41259</v>
      </c>
    </row>
    <row r="8350" spans="1:24">
      <c r="A8350">
        <f>HYPERLINK("https://www.philgeps.gov.ph/GEPSNONPILOT/Tender/SplashBidNoticeAbstractUI.aspx?menuIndex=3&amp;refID=7066284&amp;Result=3","7066284")</f>
        <v>0</v>
      </c>
      <c r="B8350" t="s">
        <v>2565</v>
      </c>
      <c r="C8350" t="s">
        <v>11346</v>
      </c>
      <c r="D8350" t="s">
        <v>16608</v>
      </c>
      <c r="E8350" t="s">
        <v>23989</v>
      </c>
      <c r="F8350" t="s">
        <v>28669</v>
      </c>
      <c r="G8350" t="s">
        <v>28675</v>
      </c>
      <c r="H8350" t="s">
        <v>9998</v>
      </c>
      <c r="I8350" t="s">
        <v>28687</v>
      </c>
      <c r="J8350" t="s">
        <v>28878</v>
      </c>
      <c r="K8350" t="s">
        <v>37204</v>
      </c>
      <c r="M8350" t="s">
        <v>40258</v>
      </c>
      <c r="N8350" t="s">
        <v>41249</v>
      </c>
      <c r="O8350" t="s">
        <v>41250</v>
      </c>
      <c r="P8350">
        <v>0</v>
      </c>
      <c r="Q8350">
        <v>1</v>
      </c>
      <c r="R8350" t="s">
        <v>41258</v>
      </c>
      <c r="S8350" t="s">
        <v>41513</v>
      </c>
      <c r="T8350" t="s">
        <v>42728</v>
      </c>
      <c r="U8350" t="s">
        <v>50012</v>
      </c>
      <c r="W8350" t="s">
        <v>40258</v>
      </c>
      <c r="X8350" t="s">
        <v>41259</v>
      </c>
    </row>
    <row r="8351" spans="1:24">
      <c r="A8351">
        <f>HYPERLINK("https://www.philgeps.gov.ph/GEPSNONPILOT/Tender/SplashBidNoticeAbstractUI.aspx?menuIndex=3&amp;refID=7066391&amp;Result=3","7066391")</f>
        <v>0</v>
      </c>
      <c r="B8351" t="s">
        <v>2331</v>
      </c>
      <c r="C8351" t="s">
        <v>11347</v>
      </c>
      <c r="D8351" t="s">
        <v>16657</v>
      </c>
      <c r="E8351" t="s">
        <v>23990</v>
      </c>
      <c r="F8351" t="s">
        <v>28669</v>
      </c>
      <c r="G8351" t="s">
        <v>28675</v>
      </c>
      <c r="H8351" t="s">
        <v>28686</v>
      </c>
      <c r="I8351" t="s">
        <v>28689</v>
      </c>
      <c r="J8351" t="s">
        <v>29950</v>
      </c>
      <c r="K8351" t="s">
        <v>37335</v>
      </c>
      <c r="M8351" t="s">
        <v>39993</v>
      </c>
      <c r="N8351" t="s">
        <v>41249</v>
      </c>
      <c r="O8351" t="s">
        <v>41250</v>
      </c>
      <c r="P8351">
        <v>0</v>
      </c>
      <c r="Q8351">
        <v>19</v>
      </c>
      <c r="R8351" t="s">
        <v>41258</v>
      </c>
      <c r="S8351" t="s">
        <v>41513</v>
      </c>
      <c r="T8351" t="s">
        <v>42760</v>
      </c>
      <c r="U8351" t="s">
        <v>50013</v>
      </c>
      <c r="V8351" t="s">
        <v>55107</v>
      </c>
      <c r="W8351" t="s">
        <v>39993</v>
      </c>
      <c r="X8351" t="s">
        <v>41259</v>
      </c>
    </row>
    <row r="8352" spans="1:24">
      <c r="A8352">
        <f>HYPERLINK("https://www.philgeps.gov.ph/GEPSNONPILOT/Tender/SplashBidNoticeAbstractUI.aspx?menuIndex=3&amp;refID=7066381&amp;Result=3","7066381")</f>
        <v>0</v>
      </c>
      <c r="B8352" t="s">
        <v>2558</v>
      </c>
      <c r="C8352" t="s">
        <v>11348</v>
      </c>
      <c r="D8352" t="s">
        <v>16618</v>
      </c>
      <c r="E8352" t="s">
        <v>23991</v>
      </c>
      <c r="F8352" t="s">
        <v>28669</v>
      </c>
      <c r="G8352" t="s">
        <v>28675</v>
      </c>
      <c r="H8352" t="s">
        <v>28686</v>
      </c>
      <c r="I8352" t="s">
        <v>28689</v>
      </c>
      <c r="J8352" t="s">
        <v>30808</v>
      </c>
      <c r="K8352" t="s">
        <v>37334</v>
      </c>
      <c r="L8352" t="s">
        <v>2558</v>
      </c>
      <c r="M8352" t="s">
        <v>40251</v>
      </c>
      <c r="N8352" t="s">
        <v>41249</v>
      </c>
      <c r="O8352" t="s">
        <v>41250</v>
      </c>
      <c r="P8352">
        <v>0</v>
      </c>
      <c r="Q8352">
        <v>4</v>
      </c>
      <c r="R8352" t="s">
        <v>41258</v>
      </c>
      <c r="S8352" t="s">
        <v>41513</v>
      </c>
      <c r="T8352" t="s">
        <v>43036</v>
      </c>
      <c r="U8352" t="s">
        <v>49982</v>
      </c>
      <c r="W8352" t="s">
        <v>40251</v>
      </c>
      <c r="X8352" t="s">
        <v>41259</v>
      </c>
    </row>
    <row r="8353" spans="1:24">
      <c r="A8353">
        <f>HYPERLINK("https://www.philgeps.gov.ph/GEPSNONPILOT/Tender/SplashBidNoticeAbstractUI.aspx?menuIndex=3&amp;refID=7066377&amp;Result=3","7066377")</f>
        <v>0</v>
      </c>
      <c r="B8353" t="s">
        <v>641</v>
      </c>
      <c r="C8353" t="s">
        <v>11349</v>
      </c>
      <c r="D8353" t="s">
        <v>16622</v>
      </c>
      <c r="E8353" t="s">
        <v>23992</v>
      </c>
      <c r="F8353" t="s">
        <v>28669</v>
      </c>
      <c r="G8353" t="s">
        <v>28675</v>
      </c>
      <c r="H8353" t="s">
        <v>9998</v>
      </c>
      <c r="I8353" t="s">
        <v>28716</v>
      </c>
      <c r="J8353" t="s">
        <v>34025</v>
      </c>
      <c r="K8353" t="s">
        <v>37209</v>
      </c>
      <c r="M8353" t="s">
        <v>38142</v>
      </c>
      <c r="N8353" t="s">
        <v>41249</v>
      </c>
      <c r="O8353" t="s">
        <v>41250</v>
      </c>
      <c r="P8353">
        <v>0</v>
      </c>
      <c r="Q8353">
        <v>5</v>
      </c>
      <c r="R8353" t="s">
        <v>41258</v>
      </c>
      <c r="S8353" t="s">
        <v>41513</v>
      </c>
      <c r="T8353" t="s">
        <v>42755</v>
      </c>
      <c r="U8353" t="s">
        <v>50014</v>
      </c>
      <c r="W8353" t="s">
        <v>38142</v>
      </c>
      <c r="X8353" t="s">
        <v>41259</v>
      </c>
    </row>
    <row r="8354" spans="1:24">
      <c r="A8354">
        <f>HYPERLINK("https://www.philgeps.gov.ph/GEPSNONPILOT/Tender/SplashBidNoticeAbstractUI.aspx?menuIndex=3&amp;refID=7066394&amp;Result=3","7066394")</f>
        <v>0</v>
      </c>
      <c r="B8354" t="s">
        <v>2558</v>
      </c>
      <c r="C8354" t="s">
        <v>11350</v>
      </c>
      <c r="D8354" t="s">
        <v>16618</v>
      </c>
      <c r="E8354" t="s">
        <v>23993</v>
      </c>
      <c r="F8354" t="s">
        <v>28669</v>
      </c>
      <c r="G8354" t="s">
        <v>28675</v>
      </c>
      <c r="H8354" t="s">
        <v>28686</v>
      </c>
      <c r="I8354" t="s">
        <v>28689</v>
      </c>
      <c r="J8354" t="s">
        <v>30808</v>
      </c>
      <c r="K8354" t="s">
        <v>37334</v>
      </c>
      <c r="L8354" t="s">
        <v>2558</v>
      </c>
      <c r="M8354" t="s">
        <v>40251</v>
      </c>
      <c r="N8354" t="s">
        <v>41249</v>
      </c>
      <c r="O8354" t="s">
        <v>41250</v>
      </c>
      <c r="P8354">
        <v>0</v>
      </c>
      <c r="Q8354">
        <v>4</v>
      </c>
      <c r="R8354" t="s">
        <v>41258</v>
      </c>
      <c r="S8354" t="s">
        <v>41513</v>
      </c>
      <c r="T8354" t="s">
        <v>43036</v>
      </c>
      <c r="U8354" t="s">
        <v>49982</v>
      </c>
      <c r="W8354" t="s">
        <v>40251</v>
      </c>
      <c r="X8354" t="s">
        <v>41259</v>
      </c>
    </row>
    <row r="8355" spans="1:24">
      <c r="A8355">
        <f>HYPERLINK("https://www.philgeps.gov.ph/GEPSNONPILOT/Tender/SplashBidNoticeAbstractUI.aspx?menuIndex=3&amp;refID=7066372&amp;Result=3","7066372")</f>
        <v>0</v>
      </c>
      <c r="B8355" t="s">
        <v>2561</v>
      </c>
      <c r="C8355" t="s">
        <v>11351</v>
      </c>
      <c r="D8355" t="s">
        <v>16617</v>
      </c>
      <c r="E8355" t="s">
        <v>23994</v>
      </c>
      <c r="F8355" t="s">
        <v>28669</v>
      </c>
      <c r="G8355" t="s">
        <v>28675</v>
      </c>
      <c r="H8355" t="s">
        <v>9998</v>
      </c>
      <c r="I8355" t="s">
        <v>28760</v>
      </c>
      <c r="J8355" t="s">
        <v>33158</v>
      </c>
      <c r="K8355" t="s">
        <v>37256</v>
      </c>
      <c r="M8355" t="s">
        <v>40254</v>
      </c>
      <c r="N8355" t="s">
        <v>41249</v>
      </c>
      <c r="O8355" t="s">
        <v>41250</v>
      </c>
      <c r="P8355">
        <v>0</v>
      </c>
      <c r="Q8355">
        <v>1</v>
      </c>
      <c r="R8355" t="s">
        <v>41258</v>
      </c>
      <c r="S8355" t="s">
        <v>41513</v>
      </c>
      <c r="T8355" t="s">
        <v>42883</v>
      </c>
      <c r="U8355" t="s">
        <v>50015</v>
      </c>
      <c r="W8355" t="s">
        <v>40254</v>
      </c>
      <c r="X8355" t="s">
        <v>41259</v>
      </c>
    </row>
    <row r="8356" spans="1:24">
      <c r="A8356">
        <f>HYPERLINK("https://www.philgeps.gov.ph/GEPSNONPILOT/Tender/SplashBidNoticeAbstractUI.aspx?menuIndex=3&amp;refID=7066357&amp;Result=3","7066357")</f>
        <v>0</v>
      </c>
      <c r="B8356" t="s">
        <v>1458</v>
      </c>
      <c r="C8356" t="s">
        <v>11352</v>
      </c>
      <c r="D8356" t="s">
        <v>16627</v>
      </c>
      <c r="E8356" t="s">
        <v>23995</v>
      </c>
      <c r="F8356" t="s">
        <v>28669</v>
      </c>
      <c r="G8356" t="s">
        <v>28675</v>
      </c>
      <c r="H8356" t="s">
        <v>9998</v>
      </c>
      <c r="I8356" t="s">
        <v>3718</v>
      </c>
      <c r="J8356" t="s">
        <v>34026</v>
      </c>
      <c r="K8356" t="s">
        <v>37206</v>
      </c>
      <c r="M8356" t="s">
        <v>39024</v>
      </c>
      <c r="N8356" t="s">
        <v>41249</v>
      </c>
      <c r="O8356" t="s">
        <v>41250</v>
      </c>
      <c r="P8356">
        <v>0</v>
      </c>
      <c r="Q8356">
        <v>4</v>
      </c>
      <c r="R8356" t="s">
        <v>41258</v>
      </c>
      <c r="S8356" t="s">
        <v>41513</v>
      </c>
      <c r="T8356" t="s">
        <v>42761</v>
      </c>
      <c r="U8356" t="s">
        <v>49987</v>
      </c>
      <c r="W8356" t="s">
        <v>39024</v>
      </c>
      <c r="X8356" t="s">
        <v>41259</v>
      </c>
    </row>
    <row r="8357" spans="1:24">
      <c r="A8357">
        <f>HYPERLINK("https://www.philgeps.gov.ph/GEPSNONPILOT/Tender/SplashBidNoticeAbstractUI.aspx?menuIndex=3&amp;refID=7066355&amp;Result=3","7066355")</f>
        <v>0</v>
      </c>
      <c r="B8357" t="s">
        <v>454</v>
      </c>
      <c r="C8357" t="s">
        <v>11353</v>
      </c>
      <c r="D8357" t="s">
        <v>16632</v>
      </c>
      <c r="E8357" t="s">
        <v>23996</v>
      </c>
      <c r="F8357" t="s">
        <v>28669</v>
      </c>
      <c r="G8357" t="s">
        <v>28676</v>
      </c>
      <c r="H8357" t="s">
        <v>9998</v>
      </c>
      <c r="I8357" t="s">
        <v>6606</v>
      </c>
      <c r="J8357" t="s">
        <v>34027</v>
      </c>
      <c r="K8357" t="s">
        <v>37209</v>
      </c>
      <c r="M8357" t="s">
        <v>37942</v>
      </c>
      <c r="N8357" t="s">
        <v>41249</v>
      </c>
      <c r="O8357" t="s">
        <v>41250</v>
      </c>
      <c r="P8357">
        <v>0</v>
      </c>
      <c r="Q8357">
        <v>0</v>
      </c>
      <c r="R8357" t="s">
        <v>41258</v>
      </c>
      <c r="S8357" t="s">
        <v>41513</v>
      </c>
      <c r="T8357" t="s">
        <v>42758</v>
      </c>
      <c r="U8357" t="s">
        <v>48244</v>
      </c>
      <c r="W8357" t="s">
        <v>37942</v>
      </c>
      <c r="X8357" t="s">
        <v>41259</v>
      </c>
    </row>
    <row r="8358" spans="1:24">
      <c r="A8358">
        <f>HYPERLINK("https://www.philgeps.gov.ph/GEPSNONPILOT/Tender/SplashBidNoticeAbstractUI.aspx?menuIndex=3&amp;refID=7066290&amp;Result=3","7066290")</f>
        <v>0</v>
      </c>
      <c r="B8358" t="s">
        <v>2430</v>
      </c>
      <c r="C8358" t="s">
        <v>11354</v>
      </c>
      <c r="D8358" t="s">
        <v>16658</v>
      </c>
      <c r="E8358" t="s">
        <v>17986</v>
      </c>
      <c r="F8358" t="s">
        <v>28669</v>
      </c>
      <c r="G8358" t="s">
        <v>28675</v>
      </c>
      <c r="H8358" t="s">
        <v>9998</v>
      </c>
      <c r="I8358" t="s">
        <v>7352</v>
      </c>
      <c r="J8358" t="s">
        <v>34028</v>
      </c>
      <c r="K8358" t="s">
        <v>37210</v>
      </c>
      <c r="L8358" t="s">
        <v>2430</v>
      </c>
      <c r="M8358" t="s">
        <v>40113</v>
      </c>
      <c r="N8358" t="s">
        <v>41249</v>
      </c>
      <c r="O8358" t="s">
        <v>41250</v>
      </c>
      <c r="P8358">
        <v>0</v>
      </c>
      <c r="Q8358">
        <v>2</v>
      </c>
      <c r="R8358" t="s">
        <v>41258</v>
      </c>
      <c r="S8358" t="s">
        <v>41513</v>
      </c>
      <c r="T8358" t="s">
        <v>42739</v>
      </c>
      <c r="U8358" t="s">
        <v>49645</v>
      </c>
      <c r="W8358" t="s">
        <v>40113</v>
      </c>
      <c r="X8358" t="s">
        <v>41259</v>
      </c>
    </row>
    <row r="8359" spans="1:24">
      <c r="A8359">
        <f>HYPERLINK("https://www.philgeps.gov.ph/GEPSNONPILOT/Tender/SplashBidNoticeAbstractUI.aspx?menuIndex=3&amp;refID=7066347&amp;Result=3","7066347")</f>
        <v>0</v>
      </c>
      <c r="B8359" t="s">
        <v>2571</v>
      </c>
      <c r="C8359" t="s">
        <v>11355</v>
      </c>
      <c r="D8359" t="s">
        <v>16671</v>
      </c>
      <c r="E8359" t="s">
        <v>23997</v>
      </c>
      <c r="F8359" t="s">
        <v>28669</v>
      </c>
      <c r="G8359" t="s">
        <v>28675</v>
      </c>
      <c r="H8359" t="s">
        <v>28686</v>
      </c>
      <c r="I8359" t="s">
        <v>28689</v>
      </c>
      <c r="J8359" t="s">
        <v>28846</v>
      </c>
      <c r="K8359" t="s">
        <v>37211</v>
      </c>
      <c r="M8359" t="s">
        <v>40265</v>
      </c>
      <c r="N8359" t="s">
        <v>41249</v>
      </c>
      <c r="O8359" t="s">
        <v>41250</v>
      </c>
      <c r="P8359">
        <v>0</v>
      </c>
      <c r="Q8359">
        <v>0</v>
      </c>
      <c r="R8359" t="s">
        <v>41258</v>
      </c>
      <c r="S8359" t="s">
        <v>41513</v>
      </c>
      <c r="T8359" t="s">
        <v>42984</v>
      </c>
      <c r="U8359" t="s">
        <v>50016</v>
      </c>
      <c r="W8359" t="s">
        <v>40265</v>
      </c>
      <c r="X8359" t="s">
        <v>41259</v>
      </c>
    </row>
    <row r="8360" spans="1:24">
      <c r="A8360">
        <f>HYPERLINK("https://www.philgeps.gov.ph/GEPSNONPILOT/Tender/SplashBidNoticeAbstractUI.aspx?menuIndex=3&amp;refID=7066389&amp;Result=3","7066389")</f>
        <v>0</v>
      </c>
      <c r="B8360" t="s">
        <v>454</v>
      </c>
      <c r="C8360" t="s">
        <v>11356</v>
      </c>
      <c r="D8360" t="s">
        <v>16632</v>
      </c>
      <c r="E8360" t="s">
        <v>21069</v>
      </c>
      <c r="F8360" t="s">
        <v>28669</v>
      </c>
      <c r="G8360" t="s">
        <v>28676</v>
      </c>
      <c r="H8360" t="s">
        <v>9998</v>
      </c>
      <c r="I8360" t="s">
        <v>6606</v>
      </c>
      <c r="J8360" t="s">
        <v>34029</v>
      </c>
      <c r="K8360" t="s">
        <v>37209</v>
      </c>
      <c r="M8360" t="s">
        <v>37942</v>
      </c>
      <c r="N8360" t="s">
        <v>41249</v>
      </c>
      <c r="O8360" t="s">
        <v>41250</v>
      </c>
      <c r="P8360">
        <v>0</v>
      </c>
      <c r="Q8360">
        <v>0</v>
      </c>
      <c r="R8360" t="s">
        <v>41258</v>
      </c>
      <c r="S8360" t="s">
        <v>41513</v>
      </c>
      <c r="T8360" t="s">
        <v>42758</v>
      </c>
      <c r="U8360" t="s">
        <v>48244</v>
      </c>
      <c r="W8360" t="s">
        <v>37942</v>
      </c>
      <c r="X8360" t="s">
        <v>41259</v>
      </c>
    </row>
    <row r="8361" spans="1:24">
      <c r="A8361">
        <f>HYPERLINK("https://www.philgeps.gov.ph/GEPSNONPILOT/Tender/SplashBidNoticeAbstractUI.aspx?menuIndex=3&amp;refID=7066446&amp;Result=3","7066446")</f>
        <v>0</v>
      </c>
      <c r="B8361" t="s">
        <v>1658</v>
      </c>
      <c r="C8361" t="s">
        <v>11357</v>
      </c>
      <c r="D8361" t="s">
        <v>16624</v>
      </c>
      <c r="E8361" t="s">
        <v>23998</v>
      </c>
      <c r="F8361" t="s">
        <v>28669</v>
      </c>
      <c r="G8361" t="s">
        <v>28675</v>
      </c>
      <c r="H8361" t="s">
        <v>28686</v>
      </c>
      <c r="I8361" t="s">
        <v>28689</v>
      </c>
      <c r="J8361" t="s">
        <v>29950</v>
      </c>
      <c r="K8361" t="s">
        <v>37226</v>
      </c>
      <c r="M8361" t="s">
        <v>39249</v>
      </c>
      <c r="N8361" t="s">
        <v>41249</v>
      </c>
      <c r="O8361" t="s">
        <v>41250</v>
      </c>
      <c r="P8361">
        <v>0</v>
      </c>
      <c r="Q8361">
        <v>0</v>
      </c>
      <c r="R8361" t="s">
        <v>41258</v>
      </c>
      <c r="S8361" t="s">
        <v>41513</v>
      </c>
      <c r="T8361" t="s">
        <v>42782</v>
      </c>
      <c r="U8361" t="s">
        <v>50017</v>
      </c>
      <c r="W8361" t="s">
        <v>39249</v>
      </c>
      <c r="X8361" t="s">
        <v>41259</v>
      </c>
    </row>
    <row r="8362" spans="1:24">
      <c r="A8362">
        <f>HYPERLINK("https://www.philgeps.gov.ph/GEPSNONPILOT/Tender/SplashBidNoticeAbstractUI.aspx?menuIndex=3&amp;refID=7066411&amp;Result=3","7066411")</f>
        <v>0</v>
      </c>
      <c r="B8362" t="s">
        <v>641</v>
      </c>
      <c r="C8362" t="s">
        <v>11358</v>
      </c>
      <c r="D8362" t="s">
        <v>16622</v>
      </c>
      <c r="E8362" t="s">
        <v>23999</v>
      </c>
      <c r="F8362" t="s">
        <v>28669</v>
      </c>
      <c r="G8362" t="s">
        <v>28675</v>
      </c>
      <c r="H8362" t="s">
        <v>9998</v>
      </c>
      <c r="I8362" t="s">
        <v>28689</v>
      </c>
      <c r="J8362" t="s">
        <v>34030</v>
      </c>
      <c r="K8362" t="s">
        <v>37209</v>
      </c>
      <c r="M8362" t="s">
        <v>38142</v>
      </c>
      <c r="N8362" t="s">
        <v>41249</v>
      </c>
      <c r="O8362" t="s">
        <v>41250</v>
      </c>
      <c r="P8362">
        <v>0</v>
      </c>
      <c r="Q8362">
        <v>3</v>
      </c>
      <c r="R8362" t="s">
        <v>41258</v>
      </c>
      <c r="S8362" t="s">
        <v>41513</v>
      </c>
      <c r="T8362" t="s">
        <v>43058</v>
      </c>
      <c r="U8362" t="s">
        <v>50018</v>
      </c>
      <c r="W8362" t="s">
        <v>38142</v>
      </c>
      <c r="X8362" t="s">
        <v>41259</v>
      </c>
    </row>
    <row r="8363" spans="1:24">
      <c r="A8363">
        <f>HYPERLINK("https://www.philgeps.gov.ph/GEPSNONPILOT/Tender/SplashBidNoticeAbstractUI.aspx?menuIndex=3&amp;refID=7066362&amp;Result=3","7066362")</f>
        <v>0</v>
      </c>
      <c r="B8363" t="s">
        <v>2572</v>
      </c>
      <c r="C8363" t="s">
        <v>11359</v>
      </c>
      <c r="D8363" t="s">
        <v>16624</v>
      </c>
      <c r="E8363" t="s">
        <v>24000</v>
      </c>
      <c r="F8363" t="s">
        <v>28669</v>
      </c>
      <c r="G8363" t="s">
        <v>28675</v>
      </c>
      <c r="H8363" t="s">
        <v>9998</v>
      </c>
      <c r="I8363" t="s">
        <v>7352</v>
      </c>
      <c r="J8363" t="s">
        <v>34031</v>
      </c>
      <c r="K8363" t="s">
        <v>37229</v>
      </c>
      <c r="M8363" t="s">
        <v>40266</v>
      </c>
      <c r="N8363" t="s">
        <v>41249</v>
      </c>
      <c r="O8363" t="s">
        <v>41250</v>
      </c>
      <c r="P8363">
        <v>0</v>
      </c>
      <c r="Q8363">
        <v>0</v>
      </c>
      <c r="R8363" t="s">
        <v>41258</v>
      </c>
      <c r="S8363" t="s">
        <v>41513</v>
      </c>
      <c r="T8363" t="s">
        <v>42914</v>
      </c>
      <c r="U8363" t="s">
        <v>50019</v>
      </c>
      <c r="W8363" t="s">
        <v>40266</v>
      </c>
      <c r="X8363" t="s">
        <v>41259</v>
      </c>
    </row>
    <row r="8364" spans="1:24">
      <c r="A8364">
        <f>HYPERLINK("https://www.philgeps.gov.ph/GEPSNONPILOT/Tender/SplashBidNoticeAbstractUI.aspx?menuIndex=3&amp;refID=7066463&amp;Result=3","7066463")</f>
        <v>0</v>
      </c>
      <c r="B8364" t="s">
        <v>1829</v>
      </c>
      <c r="C8364" t="s">
        <v>11360</v>
      </c>
      <c r="D8364" t="s">
        <v>16661</v>
      </c>
      <c r="E8364" t="s">
        <v>24001</v>
      </c>
      <c r="F8364" t="s">
        <v>28669</v>
      </c>
      <c r="G8364" t="s">
        <v>28675</v>
      </c>
      <c r="H8364" t="s">
        <v>28686</v>
      </c>
      <c r="I8364" t="s">
        <v>28689</v>
      </c>
      <c r="J8364" t="s">
        <v>34032</v>
      </c>
      <c r="K8364" t="s">
        <v>37211</v>
      </c>
      <c r="M8364" t="s">
        <v>39634</v>
      </c>
      <c r="N8364" t="s">
        <v>41249</v>
      </c>
      <c r="O8364" t="s">
        <v>41250</v>
      </c>
      <c r="P8364">
        <v>0</v>
      </c>
      <c r="Q8364">
        <v>0</v>
      </c>
      <c r="R8364" t="s">
        <v>41258</v>
      </c>
      <c r="S8364" t="s">
        <v>41513</v>
      </c>
      <c r="T8364" t="s">
        <v>42929</v>
      </c>
      <c r="U8364" t="s">
        <v>50020</v>
      </c>
      <c r="V8364" t="s">
        <v>55208</v>
      </c>
      <c r="W8364" t="s">
        <v>55976</v>
      </c>
      <c r="X8364" t="s">
        <v>41259</v>
      </c>
    </row>
    <row r="8365" spans="1:24">
      <c r="A8365">
        <f>HYPERLINK("https://www.philgeps.gov.ph/GEPSNONPILOT/Tender/SplashBidNoticeAbstractUI.aspx?menuIndex=3&amp;refID=7066460&amp;Result=3","7066460")</f>
        <v>0</v>
      </c>
      <c r="B8365" t="s">
        <v>1694</v>
      </c>
      <c r="C8365" t="s">
        <v>11361</v>
      </c>
      <c r="D8365" t="s">
        <v>16616</v>
      </c>
      <c r="E8365" t="s">
        <v>24002</v>
      </c>
      <c r="F8365" t="s">
        <v>28669</v>
      </c>
      <c r="G8365" t="s">
        <v>28675</v>
      </c>
      <c r="H8365" t="s">
        <v>9998</v>
      </c>
      <c r="I8365" t="s">
        <v>28693</v>
      </c>
      <c r="J8365" t="s">
        <v>34033</v>
      </c>
      <c r="K8365" t="s">
        <v>37206</v>
      </c>
      <c r="M8365" t="s">
        <v>40261</v>
      </c>
      <c r="N8365" t="s">
        <v>41249</v>
      </c>
      <c r="O8365" t="s">
        <v>41250</v>
      </c>
      <c r="P8365">
        <v>0</v>
      </c>
      <c r="Q8365">
        <v>9</v>
      </c>
      <c r="R8365" t="s">
        <v>41258</v>
      </c>
      <c r="S8365" t="s">
        <v>41513</v>
      </c>
      <c r="T8365" t="s">
        <v>42721</v>
      </c>
      <c r="U8365" t="s">
        <v>50021</v>
      </c>
      <c r="V8365" t="s">
        <v>55209</v>
      </c>
      <c r="W8365" t="s">
        <v>40261</v>
      </c>
      <c r="X8365" t="s">
        <v>41259</v>
      </c>
    </row>
    <row r="8366" spans="1:24">
      <c r="A8366">
        <f>HYPERLINK("https://www.philgeps.gov.ph/GEPSNONPILOT/Tender/SplashBidNoticeAbstractUI.aspx?menuIndex=3&amp;refID=7066453&amp;Result=3","7066453")</f>
        <v>0</v>
      </c>
      <c r="B8366" t="s">
        <v>454</v>
      </c>
      <c r="C8366" t="s">
        <v>11362</v>
      </c>
      <c r="D8366" t="s">
        <v>16632</v>
      </c>
      <c r="E8366" t="s">
        <v>24003</v>
      </c>
      <c r="F8366" t="s">
        <v>28669</v>
      </c>
      <c r="G8366" t="s">
        <v>28676</v>
      </c>
      <c r="H8366" t="s">
        <v>9998</v>
      </c>
      <c r="I8366" t="s">
        <v>6606</v>
      </c>
      <c r="J8366" t="s">
        <v>34034</v>
      </c>
      <c r="K8366" t="s">
        <v>37209</v>
      </c>
      <c r="M8366" t="s">
        <v>37942</v>
      </c>
      <c r="N8366" t="s">
        <v>41249</v>
      </c>
      <c r="O8366" t="s">
        <v>41250</v>
      </c>
      <c r="P8366">
        <v>0</v>
      </c>
      <c r="Q8366">
        <v>0</v>
      </c>
      <c r="R8366" t="s">
        <v>41258</v>
      </c>
      <c r="S8366" t="s">
        <v>41513</v>
      </c>
      <c r="T8366" t="s">
        <v>42758</v>
      </c>
      <c r="U8366" t="s">
        <v>48244</v>
      </c>
      <c r="W8366" t="s">
        <v>37942</v>
      </c>
      <c r="X8366" t="s">
        <v>41259</v>
      </c>
    </row>
    <row r="8367" spans="1:24">
      <c r="A8367">
        <f>HYPERLINK("https://www.philgeps.gov.ph/GEPSNONPILOT/Tender/SplashBidNoticeAbstractUI.aspx?menuIndex=3&amp;refID=7066449&amp;Result=3","7066449")</f>
        <v>0</v>
      </c>
      <c r="B8367" t="s">
        <v>2053</v>
      </c>
      <c r="C8367" t="s">
        <v>11363</v>
      </c>
      <c r="D8367" t="s">
        <v>16663</v>
      </c>
      <c r="E8367" t="s">
        <v>24004</v>
      </c>
      <c r="F8367" t="s">
        <v>28669</v>
      </c>
      <c r="G8367" t="s">
        <v>28675</v>
      </c>
      <c r="H8367" t="s">
        <v>9998</v>
      </c>
      <c r="I8367" t="s">
        <v>28751</v>
      </c>
      <c r="J8367" t="s">
        <v>28985</v>
      </c>
      <c r="K8367" t="s">
        <v>37220</v>
      </c>
      <c r="M8367" t="s">
        <v>39693</v>
      </c>
      <c r="N8367" t="s">
        <v>41249</v>
      </c>
      <c r="O8367" t="s">
        <v>41250</v>
      </c>
      <c r="Q8367">
        <v>8</v>
      </c>
      <c r="R8367" t="s">
        <v>41258</v>
      </c>
      <c r="S8367" t="s">
        <v>41540</v>
      </c>
      <c r="T8367" t="s">
        <v>42722</v>
      </c>
      <c r="U8367" t="s">
        <v>50022</v>
      </c>
      <c r="W8367" t="s">
        <v>39693</v>
      </c>
      <c r="X8367" t="s">
        <v>41259</v>
      </c>
    </row>
    <row r="8368" spans="1:24">
      <c r="A8368">
        <f>HYPERLINK("https://www.philgeps.gov.ph/GEPSNONPILOT/Tender/SplashBidNoticeAbstractUI.aspx?menuIndex=3&amp;refID=7066448&amp;Result=3","7066448")</f>
        <v>0</v>
      </c>
      <c r="B8368" t="s">
        <v>1407</v>
      </c>
      <c r="C8368" t="s">
        <v>11364</v>
      </c>
      <c r="D8368" t="s">
        <v>16660</v>
      </c>
      <c r="E8368" t="s">
        <v>24005</v>
      </c>
      <c r="F8368" t="s">
        <v>28669</v>
      </c>
      <c r="G8368" t="s">
        <v>28675</v>
      </c>
      <c r="H8368" t="s">
        <v>9998</v>
      </c>
      <c r="I8368" t="s">
        <v>28687</v>
      </c>
      <c r="J8368" t="s">
        <v>29059</v>
      </c>
      <c r="K8368" t="s">
        <v>37205</v>
      </c>
      <c r="L8368" t="s">
        <v>1407</v>
      </c>
      <c r="M8368" t="s">
        <v>38970</v>
      </c>
      <c r="N8368" t="s">
        <v>41249</v>
      </c>
      <c r="O8368" t="s">
        <v>41250</v>
      </c>
      <c r="P8368">
        <v>0</v>
      </c>
      <c r="Q8368">
        <v>5</v>
      </c>
      <c r="R8368" t="s">
        <v>41258</v>
      </c>
      <c r="S8368" t="s">
        <v>41513</v>
      </c>
      <c r="T8368" t="s">
        <v>42668</v>
      </c>
      <c r="U8368" t="s">
        <v>46245</v>
      </c>
      <c r="V8368" t="s">
        <v>55210</v>
      </c>
      <c r="W8368" t="s">
        <v>38970</v>
      </c>
      <c r="X8368" t="s">
        <v>41259</v>
      </c>
    </row>
    <row r="8369" spans="1:24">
      <c r="A8369">
        <f>HYPERLINK("https://www.philgeps.gov.ph/GEPSNONPILOT/Tender/SplashBidNoticeAbstractUI.aspx?menuIndex=3&amp;refID=7066440&amp;Result=3","7066440")</f>
        <v>0</v>
      </c>
      <c r="B8369" t="s">
        <v>454</v>
      </c>
      <c r="C8369" t="s">
        <v>11365</v>
      </c>
      <c r="D8369" t="s">
        <v>16632</v>
      </c>
      <c r="E8369" t="s">
        <v>24006</v>
      </c>
      <c r="F8369" t="s">
        <v>28669</v>
      </c>
      <c r="G8369" t="s">
        <v>28676</v>
      </c>
      <c r="H8369" t="s">
        <v>9998</v>
      </c>
      <c r="I8369" t="s">
        <v>6606</v>
      </c>
      <c r="J8369" t="s">
        <v>33914</v>
      </c>
      <c r="K8369" t="s">
        <v>37209</v>
      </c>
      <c r="M8369" t="s">
        <v>37942</v>
      </c>
      <c r="N8369" t="s">
        <v>41249</v>
      </c>
      <c r="O8369" t="s">
        <v>41250</v>
      </c>
      <c r="P8369">
        <v>0</v>
      </c>
      <c r="Q8369">
        <v>0</v>
      </c>
      <c r="R8369" t="s">
        <v>41258</v>
      </c>
      <c r="S8369" t="s">
        <v>41513</v>
      </c>
      <c r="T8369" t="s">
        <v>42758</v>
      </c>
      <c r="U8369" t="s">
        <v>48244</v>
      </c>
      <c r="W8369" t="s">
        <v>37942</v>
      </c>
      <c r="X8369" t="s">
        <v>41259</v>
      </c>
    </row>
    <row r="8370" spans="1:24">
      <c r="A8370">
        <f>HYPERLINK("https://www.philgeps.gov.ph/GEPSNONPILOT/Tender/SplashBidNoticeAbstractUI.aspx?menuIndex=3&amp;refID=7066438&amp;Result=3","7066438")</f>
        <v>0</v>
      </c>
      <c r="B8370" t="s">
        <v>2561</v>
      </c>
      <c r="C8370" t="s">
        <v>11366</v>
      </c>
      <c r="D8370" t="s">
        <v>16658</v>
      </c>
      <c r="E8370" t="s">
        <v>24007</v>
      </c>
      <c r="F8370" t="s">
        <v>28669</v>
      </c>
      <c r="G8370" t="s">
        <v>28675</v>
      </c>
      <c r="H8370" t="s">
        <v>9998</v>
      </c>
      <c r="I8370" t="s">
        <v>28760</v>
      </c>
      <c r="J8370" t="s">
        <v>34035</v>
      </c>
      <c r="K8370" t="s">
        <v>37256</v>
      </c>
      <c r="M8370" t="s">
        <v>40254</v>
      </c>
      <c r="N8370" t="s">
        <v>41249</v>
      </c>
      <c r="O8370" t="s">
        <v>41250</v>
      </c>
      <c r="P8370">
        <v>0</v>
      </c>
      <c r="Q8370">
        <v>1</v>
      </c>
      <c r="R8370" t="s">
        <v>41258</v>
      </c>
      <c r="S8370" t="s">
        <v>41513</v>
      </c>
      <c r="T8370" t="s">
        <v>42883</v>
      </c>
      <c r="U8370" t="s">
        <v>50023</v>
      </c>
      <c r="W8370" t="s">
        <v>40254</v>
      </c>
      <c r="X8370" t="s">
        <v>41259</v>
      </c>
    </row>
    <row r="8371" spans="1:24">
      <c r="A8371">
        <f>HYPERLINK("https://www.philgeps.gov.ph/GEPSNONPILOT/Tender/SplashBidNoticeAbstractUI.aspx?menuIndex=3&amp;refID=7066305&amp;Result=3","7066305")</f>
        <v>0</v>
      </c>
      <c r="B8371" t="s">
        <v>2570</v>
      </c>
      <c r="C8371" t="s">
        <v>11367</v>
      </c>
      <c r="D8371" t="s">
        <v>16618</v>
      </c>
      <c r="E8371" t="s">
        <v>23984</v>
      </c>
      <c r="F8371" t="s">
        <v>28669</v>
      </c>
      <c r="G8371" t="s">
        <v>28675</v>
      </c>
      <c r="H8371" t="s">
        <v>28686</v>
      </c>
      <c r="I8371" t="s">
        <v>28685</v>
      </c>
      <c r="J8371" t="s">
        <v>34036</v>
      </c>
      <c r="K8371" t="s">
        <v>37227</v>
      </c>
      <c r="M8371" t="s">
        <v>40264</v>
      </c>
      <c r="N8371" t="s">
        <v>41249</v>
      </c>
      <c r="O8371" t="s">
        <v>41250</v>
      </c>
      <c r="P8371">
        <v>0</v>
      </c>
      <c r="Q8371">
        <v>0</v>
      </c>
      <c r="R8371" t="s">
        <v>41258</v>
      </c>
      <c r="S8371" t="s">
        <v>41513</v>
      </c>
      <c r="T8371" t="s">
        <v>42754</v>
      </c>
      <c r="U8371" t="s">
        <v>50024</v>
      </c>
      <c r="W8371" t="s">
        <v>40264</v>
      </c>
      <c r="X8371" t="s">
        <v>41259</v>
      </c>
    </row>
    <row r="8372" spans="1:24">
      <c r="A8372">
        <f>HYPERLINK("https://www.philgeps.gov.ph/GEPSNONPILOT/Tender/SplashBidNoticeAbstractUI.aspx?menuIndex=3&amp;refID=7066393&amp;Result=3","7066393")</f>
        <v>0</v>
      </c>
      <c r="B8372" t="s">
        <v>2573</v>
      </c>
      <c r="C8372" t="s">
        <v>11368</v>
      </c>
      <c r="E8372" t="s">
        <v>17435</v>
      </c>
      <c r="F8372" t="s">
        <v>28669</v>
      </c>
      <c r="G8372" t="s">
        <v>28675</v>
      </c>
      <c r="H8372" t="s">
        <v>9998</v>
      </c>
      <c r="I8372" t="s">
        <v>28792</v>
      </c>
      <c r="J8372" t="s">
        <v>34037</v>
      </c>
      <c r="K8372" t="s">
        <v>37209</v>
      </c>
      <c r="M8372" t="s">
        <v>40267</v>
      </c>
      <c r="N8372" t="s">
        <v>41249</v>
      </c>
      <c r="O8372" t="s">
        <v>41250</v>
      </c>
      <c r="Q8372">
        <v>4</v>
      </c>
      <c r="R8372" t="s">
        <v>41258</v>
      </c>
      <c r="S8372" t="s">
        <v>41541</v>
      </c>
      <c r="T8372" t="s">
        <v>43068</v>
      </c>
      <c r="U8372" t="s">
        <v>50025</v>
      </c>
      <c r="W8372" t="s">
        <v>40267</v>
      </c>
      <c r="X8372" t="s">
        <v>41259</v>
      </c>
    </row>
    <row r="8373" spans="1:24">
      <c r="A8373">
        <f>HYPERLINK("https://www.philgeps.gov.ph/GEPSNONPILOT/Tender/SplashBidNoticeAbstractUI.aspx?menuIndex=3&amp;refID=7066354&amp;Result=3","7066354")</f>
        <v>0</v>
      </c>
      <c r="B8373" t="s">
        <v>2558</v>
      </c>
      <c r="C8373" t="s">
        <v>11369</v>
      </c>
      <c r="D8373" t="s">
        <v>16618</v>
      </c>
      <c r="E8373" t="s">
        <v>24008</v>
      </c>
      <c r="F8373" t="s">
        <v>28669</v>
      </c>
      <c r="G8373" t="s">
        <v>28675</v>
      </c>
      <c r="H8373" t="s">
        <v>28686</v>
      </c>
      <c r="I8373" t="s">
        <v>28689</v>
      </c>
      <c r="J8373" t="s">
        <v>31637</v>
      </c>
      <c r="K8373" t="s">
        <v>37402</v>
      </c>
      <c r="L8373" t="s">
        <v>2558</v>
      </c>
      <c r="M8373" t="s">
        <v>40251</v>
      </c>
      <c r="N8373" t="s">
        <v>41249</v>
      </c>
      <c r="O8373" t="s">
        <v>41250</v>
      </c>
      <c r="P8373">
        <v>0</v>
      </c>
      <c r="Q8373">
        <v>4</v>
      </c>
      <c r="R8373" t="s">
        <v>41258</v>
      </c>
      <c r="S8373" t="s">
        <v>41513</v>
      </c>
      <c r="T8373" t="s">
        <v>43036</v>
      </c>
      <c r="U8373" t="s">
        <v>49982</v>
      </c>
      <c r="W8373" t="s">
        <v>40251</v>
      </c>
      <c r="X8373" t="s">
        <v>41259</v>
      </c>
    </row>
    <row r="8374" spans="1:24">
      <c r="A8374">
        <f>HYPERLINK("https://www.philgeps.gov.ph/GEPSNONPILOT/Tender/SplashBidNoticeAbstractUI.aspx?menuIndex=3&amp;refID=7066437&amp;Result=3","7066437")</f>
        <v>0</v>
      </c>
      <c r="B8374" t="s">
        <v>2558</v>
      </c>
      <c r="C8374" t="s">
        <v>11370</v>
      </c>
      <c r="D8374" t="s">
        <v>16618</v>
      </c>
      <c r="E8374" t="s">
        <v>24009</v>
      </c>
      <c r="F8374" t="s">
        <v>28669</v>
      </c>
      <c r="G8374" t="s">
        <v>28675</v>
      </c>
      <c r="H8374" t="s">
        <v>28686</v>
      </c>
      <c r="I8374" t="s">
        <v>28689</v>
      </c>
      <c r="J8374" t="s">
        <v>34038</v>
      </c>
      <c r="K8374" t="s">
        <v>37403</v>
      </c>
      <c r="L8374" t="s">
        <v>2558</v>
      </c>
      <c r="M8374" t="s">
        <v>40251</v>
      </c>
      <c r="N8374" t="s">
        <v>41249</v>
      </c>
      <c r="O8374" t="s">
        <v>41250</v>
      </c>
      <c r="P8374">
        <v>0</v>
      </c>
      <c r="Q8374">
        <v>0</v>
      </c>
      <c r="R8374" t="s">
        <v>41258</v>
      </c>
      <c r="S8374" t="s">
        <v>41513</v>
      </c>
      <c r="T8374" t="s">
        <v>43036</v>
      </c>
      <c r="U8374" t="s">
        <v>49982</v>
      </c>
      <c r="W8374" t="s">
        <v>40251</v>
      </c>
      <c r="X8374" t="s">
        <v>41259</v>
      </c>
    </row>
    <row r="8375" spans="1:24">
      <c r="A8375">
        <f>HYPERLINK("https://www.philgeps.gov.ph/GEPSNONPILOT/Tender/SplashBidNoticeAbstractUI.aspx?menuIndex=3&amp;refID=7066435&amp;Result=3","7066435")</f>
        <v>0</v>
      </c>
      <c r="B8375" t="s">
        <v>386</v>
      </c>
      <c r="C8375" t="s">
        <v>11371</v>
      </c>
      <c r="D8375" t="s">
        <v>16615</v>
      </c>
      <c r="E8375" t="s">
        <v>24010</v>
      </c>
      <c r="F8375" t="s">
        <v>28669</v>
      </c>
      <c r="G8375" t="s">
        <v>28675</v>
      </c>
      <c r="H8375" t="s">
        <v>9998</v>
      </c>
      <c r="I8375" t="s">
        <v>6128</v>
      </c>
      <c r="J8375" t="s">
        <v>34039</v>
      </c>
      <c r="K8375" t="s">
        <v>37209</v>
      </c>
      <c r="M8375" t="s">
        <v>37870</v>
      </c>
      <c r="N8375" t="s">
        <v>41249</v>
      </c>
      <c r="O8375" t="s">
        <v>41250</v>
      </c>
      <c r="P8375">
        <v>0</v>
      </c>
      <c r="Q8375">
        <v>0</v>
      </c>
      <c r="R8375" t="s">
        <v>41258</v>
      </c>
      <c r="S8375" t="s">
        <v>41513</v>
      </c>
      <c r="T8375" t="s">
        <v>42743</v>
      </c>
      <c r="U8375" t="s">
        <v>50026</v>
      </c>
      <c r="W8375" t="s">
        <v>37870</v>
      </c>
      <c r="X8375" t="s">
        <v>41259</v>
      </c>
    </row>
    <row r="8376" spans="1:24">
      <c r="A8376">
        <f>HYPERLINK("https://www.philgeps.gov.ph/GEPSNONPILOT/Tender/SplashBidNoticeAbstractUI.aspx?menuIndex=3&amp;refID=7066416&amp;Result=3","7066416")</f>
        <v>0</v>
      </c>
      <c r="B8376" t="s">
        <v>2574</v>
      </c>
      <c r="C8376" t="s">
        <v>11372</v>
      </c>
      <c r="D8376" t="s">
        <v>16666</v>
      </c>
      <c r="E8376" t="s">
        <v>24011</v>
      </c>
      <c r="F8376" t="s">
        <v>28669</v>
      </c>
      <c r="G8376" t="s">
        <v>28676</v>
      </c>
      <c r="H8376" t="s">
        <v>9998</v>
      </c>
      <c r="I8376" t="s">
        <v>28688</v>
      </c>
      <c r="J8376" t="s">
        <v>34040</v>
      </c>
      <c r="K8376" t="s">
        <v>37205</v>
      </c>
      <c r="M8376" t="s">
        <v>40268</v>
      </c>
      <c r="N8376" t="s">
        <v>41249</v>
      </c>
      <c r="O8376" t="s">
        <v>41250</v>
      </c>
      <c r="P8376">
        <v>0</v>
      </c>
      <c r="Q8376">
        <v>1</v>
      </c>
      <c r="R8376" t="s">
        <v>41258</v>
      </c>
      <c r="S8376" t="s">
        <v>41513</v>
      </c>
      <c r="T8376" t="s">
        <v>42887</v>
      </c>
      <c r="U8376" t="s">
        <v>50027</v>
      </c>
      <c r="W8376" t="s">
        <v>40268</v>
      </c>
      <c r="X8376" t="s">
        <v>41259</v>
      </c>
    </row>
    <row r="8377" spans="1:24">
      <c r="A8377">
        <f>HYPERLINK("https://www.philgeps.gov.ph/GEPSNONPILOT/Tender/SplashBidNoticeAbstractUI.aspx?menuIndex=3&amp;refID=7063484&amp;Result=3","7063484")</f>
        <v>0</v>
      </c>
      <c r="B8377" t="s">
        <v>762</v>
      </c>
      <c r="C8377" t="s">
        <v>11373</v>
      </c>
      <c r="E8377" t="s">
        <v>24012</v>
      </c>
      <c r="F8377" t="s">
        <v>28669</v>
      </c>
      <c r="G8377" t="s">
        <v>28675</v>
      </c>
      <c r="H8377" t="s">
        <v>9998</v>
      </c>
      <c r="I8377" t="s">
        <v>28693</v>
      </c>
      <c r="J8377" t="s">
        <v>34041</v>
      </c>
      <c r="K8377" t="s">
        <v>37209</v>
      </c>
      <c r="M8377" t="s">
        <v>38273</v>
      </c>
      <c r="N8377" t="s">
        <v>41249</v>
      </c>
      <c r="O8377" t="s">
        <v>41250</v>
      </c>
      <c r="P8377">
        <v>0</v>
      </c>
      <c r="Q8377">
        <v>15</v>
      </c>
      <c r="R8377" t="s">
        <v>41258</v>
      </c>
      <c r="S8377" t="s">
        <v>41513</v>
      </c>
      <c r="T8377" t="s">
        <v>43023</v>
      </c>
      <c r="U8377" t="s">
        <v>45818</v>
      </c>
      <c r="W8377" t="s">
        <v>38273</v>
      </c>
      <c r="X8377" t="s">
        <v>41260</v>
      </c>
    </row>
    <row r="8378" spans="1:24">
      <c r="A8378">
        <f>HYPERLINK("https://www.philgeps.gov.ph/GEPSNONPILOT/Tender/SplashBidNoticeAbstractUI.aspx?menuIndex=3&amp;refID=7066462&amp;Result=3","7066462")</f>
        <v>0</v>
      </c>
      <c r="B8378" t="s">
        <v>2575</v>
      </c>
      <c r="C8378" t="s">
        <v>11374</v>
      </c>
      <c r="D8378" t="s">
        <v>16648</v>
      </c>
      <c r="E8378" t="s">
        <v>24013</v>
      </c>
      <c r="F8378" t="s">
        <v>28669</v>
      </c>
      <c r="G8378" t="s">
        <v>28675</v>
      </c>
      <c r="H8378" t="s">
        <v>9998</v>
      </c>
      <c r="I8378" t="s">
        <v>28706</v>
      </c>
      <c r="J8378" t="s">
        <v>29203</v>
      </c>
      <c r="K8378" t="s">
        <v>37209</v>
      </c>
      <c r="M8378" t="s">
        <v>40269</v>
      </c>
      <c r="N8378" t="s">
        <v>41249</v>
      </c>
      <c r="O8378" t="s">
        <v>41250</v>
      </c>
      <c r="P8378">
        <v>0</v>
      </c>
      <c r="Q8378">
        <v>1</v>
      </c>
      <c r="R8378" t="s">
        <v>41258</v>
      </c>
      <c r="S8378" t="s">
        <v>41513</v>
      </c>
      <c r="T8378" t="s">
        <v>42700</v>
      </c>
      <c r="U8378" t="s">
        <v>50028</v>
      </c>
      <c r="W8378" t="s">
        <v>40269</v>
      </c>
      <c r="X8378" t="s">
        <v>41259</v>
      </c>
    </row>
    <row r="8379" spans="1:24">
      <c r="A8379">
        <f>HYPERLINK("https://www.philgeps.gov.ph/GEPSNONPILOT/Tender/SplashBidNoticeAbstractUI.aspx?menuIndex=3&amp;refID=7066415&amp;Result=3","7066415")</f>
        <v>0</v>
      </c>
      <c r="B8379" t="s">
        <v>2558</v>
      </c>
      <c r="C8379" t="s">
        <v>11375</v>
      </c>
      <c r="D8379" t="s">
        <v>16618</v>
      </c>
      <c r="E8379" t="s">
        <v>24014</v>
      </c>
      <c r="F8379" t="s">
        <v>28669</v>
      </c>
      <c r="G8379" t="s">
        <v>28675</v>
      </c>
      <c r="H8379" t="s">
        <v>28686</v>
      </c>
      <c r="I8379" t="s">
        <v>28689</v>
      </c>
      <c r="J8379" t="s">
        <v>32463</v>
      </c>
      <c r="K8379" t="s">
        <v>37322</v>
      </c>
      <c r="L8379" t="s">
        <v>2558</v>
      </c>
      <c r="M8379" t="s">
        <v>40251</v>
      </c>
      <c r="N8379" t="s">
        <v>41249</v>
      </c>
      <c r="O8379" t="s">
        <v>41250</v>
      </c>
      <c r="P8379">
        <v>0</v>
      </c>
      <c r="Q8379">
        <v>1</v>
      </c>
      <c r="R8379" t="s">
        <v>41258</v>
      </c>
      <c r="S8379" t="s">
        <v>41513</v>
      </c>
      <c r="T8379" t="s">
        <v>43036</v>
      </c>
      <c r="U8379" t="s">
        <v>49982</v>
      </c>
      <c r="W8379" t="s">
        <v>40251</v>
      </c>
      <c r="X8379" t="s">
        <v>41259</v>
      </c>
    </row>
    <row r="8380" spans="1:24">
      <c r="A8380">
        <f>HYPERLINK("https://www.philgeps.gov.ph/GEPSNONPILOT/Tender/SplashBidNoticeAbstractUI.aspx?menuIndex=3&amp;refID=7066414&amp;Result=3","7066414")</f>
        <v>0</v>
      </c>
      <c r="B8380" t="s">
        <v>2404</v>
      </c>
      <c r="C8380" t="s">
        <v>11376</v>
      </c>
      <c r="D8380" t="s">
        <v>16630</v>
      </c>
      <c r="E8380" t="s">
        <v>24015</v>
      </c>
      <c r="F8380" t="s">
        <v>28669</v>
      </c>
      <c r="G8380" t="s">
        <v>28676</v>
      </c>
      <c r="H8380" t="s">
        <v>9998</v>
      </c>
      <c r="I8380" t="s">
        <v>7352</v>
      </c>
      <c r="J8380" t="s">
        <v>34042</v>
      </c>
      <c r="K8380" t="s">
        <v>37234</v>
      </c>
      <c r="M8380" t="s">
        <v>40085</v>
      </c>
      <c r="N8380" t="s">
        <v>41249</v>
      </c>
      <c r="O8380" t="s">
        <v>41250</v>
      </c>
      <c r="P8380">
        <v>0</v>
      </c>
      <c r="Q8380">
        <v>1</v>
      </c>
      <c r="R8380" t="s">
        <v>41258</v>
      </c>
      <c r="S8380" t="s">
        <v>41513</v>
      </c>
      <c r="T8380" t="s">
        <v>42743</v>
      </c>
      <c r="U8380" t="s">
        <v>50029</v>
      </c>
      <c r="W8380" t="s">
        <v>40085</v>
      </c>
      <c r="X8380" t="s">
        <v>41259</v>
      </c>
    </row>
    <row r="8381" spans="1:24">
      <c r="A8381">
        <f>HYPERLINK("https://www.philgeps.gov.ph/GEPSNONPILOT/Tender/SplashBidNoticeAbstractUI.aspx?menuIndex=3&amp;refID=7066341&amp;Result=3","7066341")</f>
        <v>0</v>
      </c>
      <c r="B8381" t="s">
        <v>1829</v>
      </c>
      <c r="C8381" t="s">
        <v>11377</v>
      </c>
      <c r="D8381" t="s">
        <v>16661</v>
      </c>
      <c r="E8381" t="s">
        <v>24016</v>
      </c>
      <c r="F8381" t="s">
        <v>28669</v>
      </c>
      <c r="G8381" t="s">
        <v>28675</v>
      </c>
      <c r="H8381" t="s">
        <v>28686</v>
      </c>
      <c r="I8381" t="s">
        <v>28689</v>
      </c>
      <c r="J8381" t="s">
        <v>34043</v>
      </c>
      <c r="K8381" t="s">
        <v>37255</v>
      </c>
      <c r="M8381" t="s">
        <v>39634</v>
      </c>
      <c r="N8381" t="s">
        <v>41249</v>
      </c>
      <c r="O8381" t="s">
        <v>41250</v>
      </c>
      <c r="P8381">
        <v>0</v>
      </c>
      <c r="Q8381">
        <v>0</v>
      </c>
      <c r="R8381" t="s">
        <v>41258</v>
      </c>
      <c r="S8381" t="s">
        <v>41513</v>
      </c>
      <c r="T8381" t="s">
        <v>42929</v>
      </c>
      <c r="U8381" t="s">
        <v>50020</v>
      </c>
      <c r="V8381" t="s">
        <v>55208</v>
      </c>
      <c r="W8381" t="s">
        <v>55976</v>
      </c>
      <c r="X8381" t="s">
        <v>41259</v>
      </c>
    </row>
    <row r="8382" spans="1:24">
      <c r="A8382">
        <f>HYPERLINK("https://www.philgeps.gov.ph/GEPSNONPILOT/Tender/SplashBidNoticeAbstractUI.aspx?menuIndex=3&amp;refID=7066419&amp;Result=3","7066419")</f>
        <v>0</v>
      </c>
      <c r="B8382" t="s">
        <v>1258</v>
      </c>
      <c r="C8382" t="s">
        <v>11378</v>
      </c>
      <c r="D8382" t="s">
        <v>16663</v>
      </c>
      <c r="E8382" t="s">
        <v>24017</v>
      </c>
      <c r="F8382" t="s">
        <v>28669</v>
      </c>
      <c r="G8382" t="s">
        <v>28679</v>
      </c>
      <c r="H8382" t="s">
        <v>9998</v>
      </c>
      <c r="I8382" t="s">
        <v>3718</v>
      </c>
      <c r="J8382" t="s">
        <v>34044</v>
      </c>
      <c r="K8382" t="s">
        <v>37227</v>
      </c>
      <c r="M8382" t="s">
        <v>38807</v>
      </c>
      <c r="N8382" t="s">
        <v>41249</v>
      </c>
      <c r="O8382" t="s">
        <v>41250</v>
      </c>
      <c r="P8382">
        <v>0</v>
      </c>
      <c r="Q8382">
        <v>7</v>
      </c>
      <c r="R8382" t="s">
        <v>41258</v>
      </c>
      <c r="S8382" t="s">
        <v>41513</v>
      </c>
      <c r="T8382" t="s">
        <v>42736</v>
      </c>
      <c r="U8382" t="s">
        <v>50030</v>
      </c>
      <c r="W8382" t="s">
        <v>38807</v>
      </c>
      <c r="X8382" t="s">
        <v>41259</v>
      </c>
    </row>
    <row r="8383" spans="1:24">
      <c r="A8383">
        <f>HYPERLINK("https://www.philgeps.gov.ph/GEPSNONPILOT/Tender/SplashBidNoticeAbstractUI.aspx?menuIndex=3&amp;refID=7066421&amp;Result=3","7066421")</f>
        <v>0</v>
      </c>
      <c r="B8383" t="s">
        <v>2430</v>
      </c>
      <c r="C8383" t="s">
        <v>11379</v>
      </c>
      <c r="D8383" t="s">
        <v>16658</v>
      </c>
      <c r="E8383" t="s">
        <v>22240</v>
      </c>
      <c r="F8383" t="s">
        <v>28669</v>
      </c>
      <c r="G8383" t="s">
        <v>28675</v>
      </c>
      <c r="H8383" t="s">
        <v>9998</v>
      </c>
      <c r="I8383" t="s">
        <v>7352</v>
      </c>
      <c r="J8383" t="s">
        <v>34045</v>
      </c>
      <c r="K8383" t="s">
        <v>37210</v>
      </c>
      <c r="L8383" t="s">
        <v>2430</v>
      </c>
      <c r="M8383" t="s">
        <v>40113</v>
      </c>
      <c r="N8383" t="s">
        <v>41249</v>
      </c>
      <c r="O8383" t="s">
        <v>41250</v>
      </c>
      <c r="P8383">
        <v>0</v>
      </c>
      <c r="Q8383">
        <v>2</v>
      </c>
      <c r="R8383" t="s">
        <v>41258</v>
      </c>
      <c r="S8383" t="s">
        <v>41513</v>
      </c>
      <c r="T8383" t="s">
        <v>42739</v>
      </c>
      <c r="U8383" t="s">
        <v>49645</v>
      </c>
      <c r="W8383" t="s">
        <v>40113</v>
      </c>
      <c r="X8383" t="s">
        <v>41259</v>
      </c>
    </row>
    <row r="8384" spans="1:24">
      <c r="A8384">
        <f>HYPERLINK("https://www.philgeps.gov.ph/GEPSNONPILOT/Tender/SplashBidNoticeAbstractUI.aspx?menuIndex=3&amp;refID=7066339&amp;Result=3","7066339")</f>
        <v>0</v>
      </c>
      <c r="B8384" t="s">
        <v>667</v>
      </c>
      <c r="C8384" t="s">
        <v>11380</v>
      </c>
      <c r="D8384" t="s">
        <v>16630</v>
      </c>
      <c r="E8384" t="s">
        <v>24018</v>
      </c>
      <c r="F8384" t="s">
        <v>28669</v>
      </c>
      <c r="G8384" t="s">
        <v>28676</v>
      </c>
      <c r="H8384" t="s">
        <v>9998</v>
      </c>
      <c r="I8384" t="s">
        <v>28690</v>
      </c>
      <c r="J8384" t="s">
        <v>28979</v>
      </c>
      <c r="K8384" t="s">
        <v>37204</v>
      </c>
      <c r="M8384" t="s">
        <v>38170</v>
      </c>
      <c r="N8384" t="s">
        <v>41249</v>
      </c>
      <c r="O8384" t="s">
        <v>41250</v>
      </c>
      <c r="P8384">
        <v>0</v>
      </c>
      <c r="Q8384">
        <v>4</v>
      </c>
      <c r="R8384" t="s">
        <v>41258</v>
      </c>
      <c r="S8384" t="s">
        <v>41513</v>
      </c>
      <c r="T8384" t="s">
        <v>42767</v>
      </c>
      <c r="U8384" t="s">
        <v>50031</v>
      </c>
      <c r="W8384" t="s">
        <v>38170</v>
      </c>
      <c r="X8384" t="s">
        <v>41259</v>
      </c>
    </row>
    <row r="8385" spans="1:24">
      <c r="A8385">
        <f>HYPERLINK("https://www.philgeps.gov.ph/GEPSNONPILOT/Tender/SplashBidNoticeAbstractUI.aspx?menuIndex=3&amp;refID=7066324&amp;Result=3","7066324")</f>
        <v>0</v>
      </c>
      <c r="B8385" t="s">
        <v>2558</v>
      </c>
      <c r="C8385" t="s">
        <v>11381</v>
      </c>
      <c r="D8385" t="s">
        <v>16618</v>
      </c>
      <c r="E8385" t="s">
        <v>24019</v>
      </c>
      <c r="F8385" t="s">
        <v>28669</v>
      </c>
      <c r="G8385" t="s">
        <v>28675</v>
      </c>
      <c r="H8385" t="s">
        <v>28686</v>
      </c>
      <c r="I8385" t="s">
        <v>28689</v>
      </c>
      <c r="J8385" t="s">
        <v>31665</v>
      </c>
      <c r="K8385" t="s">
        <v>37276</v>
      </c>
      <c r="L8385" t="s">
        <v>2558</v>
      </c>
      <c r="M8385" t="s">
        <v>40251</v>
      </c>
      <c r="N8385" t="s">
        <v>41249</v>
      </c>
      <c r="O8385" t="s">
        <v>41250</v>
      </c>
      <c r="P8385">
        <v>0</v>
      </c>
      <c r="Q8385">
        <v>4</v>
      </c>
      <c r="R8385" t="s">
        <v>41258</v>
      </c>
      <c r="S8385" t="s">
        <v>41513</v>
      </c>
      <c r="T8385" t="s">
        <v>43069</v>
      </c>
      <c r="U8385" t="s">
        <v>49982</v>
      </c>
      <c r="W8385" t="s">
        <v>40251</v>
      </c>
      <c r="X8385" t="s">
        <v>41259</v>
      </c>
    </row>
    <row r="8386" spans="1:24">
      <c r="A8386">
        <f>HYPERLINK("https://www.philgeps.gov.ph/GEPSNONPILOT/Tender/SplashBidNoticeAbstractUI.aspx?menuIndex=3&amp;refID=7066278&amp;Result=3","7066278")</f>
        <v>0</v>
      </c>
      <c r="B8386" t="s">
        <v>2565</v>
      </c>
      <c r="C8386" t="s">
        <v>4108</v>
      </c>
      <c r="D8386" t="s">
        <v>16608</v>
      </c>
      <c r="E8386" t="s">
        <v>24020</v>
      </c>
      <c r="F8386" t="s">
        <v>28669</v>
      </c>
      <c r="G8386" t="s">
        <v>28675</v>
      </c>
      <c r="H8386" t="s">
        <v>9998</v>
      </c>
      <c r="I8386" t="s">
        <v>3718</v>
      </c>
      <c r="J8386" t="s">
        <v>30854</v>
      </c>
      <c r="K8386" t="s">
        <v>37204</v>
      </c>
      <c r="M8386" t="s">
        <v>40258</v>
      </c>
      <c r="N8386" t="s">
        <v>41249</v>
      </c>
      <c r="O8386" t="s">
        <v>41250</v>
      </c>
      <c r="P8386">
        <v>0</v>
      </c>
      <c r="Q8386">
        <v>6</v>
      </c>
      <c r="R8386" t="s">
        <v>41258</v>
      </c>
      <c r="S8386" t="s">
        <v>41513</v>
      </c>
      <c r="T8386" t="s">
        <v>42728</v>
      </c>
      <c r="U8386" t="s">
        <v>47440</v>
      </c>
      <c r="W8386" t="s">
        <v>40258</v>
      </c>
      <c r="X8386" t="s">
        <v>41259</v>
      </c>
    </row>
    <row r="8387" spans="1:24">
      <c r="A8387">
        <f>HYPERLINK("https://www.philgeps.gov.ph/GEPSNONPILOT/Tender/SplashBidNoticeAbstractUI.aspx?menuIndex=3&amp;refID=7066268&amp;Result=3","7066268")</f>
        <v>0</v>
      </c>
      <c r="B8387" t="s">
        <v>2576</v>
      </c>
      <c r="C8387" t="s">
        <v>11382</v>
      </c>
      <c r="D8387" t="s">
        <v>16633</v>
      </c>
      <c r="E8387" t="s">
        <v>24021</v>
      </c>
      <c r="F8387" t="s">
        <v>28669</v>
      </c>
      <c r="G8387" t="s">
        <v>28675</v>
      </c>
      <c r="H8387" t="s">
        <v>28685</v>
      </c>
      <c r="I8387" t="s">
        <v>28685</v>
      </c>
      <c r="J8387" t="s">
        <v>34046</v>
      </c>
      <c r="K8387" t="s">
        <v>37326</v>
      </c>
      <c r="M8387" t="s">
        <v>40270</v>
      </c>
      <c r="N8387" t="s">
        <v>41249</v>
      </c>
      <c r="O8387" t="s">
        <v>41250</v>
      </c>
      <c r="Q8387">
        <v>9</v>
      </c>
      <c r="R8387" t="s">
        <v>41258</v>
      </c>
      <c r="S8387" t="s">
        <v>41542</v>
      </c>
      <c r="T8387" t="s">
        <v>42767</v>
      </c>
      <c r="U8387" t="s">
        <v>50032</v>
      </c>
      <c r="W8387" t="s">
        <v>40270</v>
      </c>
      <c r="X8387" t="s">
        <v>41259</v>
      </c>
    </row>
    <row r="8388" spans="1:24">
      <c r="A8388">
        <f>HYPERLINK("https://www.philgeps.gov.ph/GEPSNONPILOT/Tender/SplashBidNoticeAbstractUI.aspx?menuIndex=3&amp;refID=7066412&amp;Result=3","7066412")</f>
        <v>0</v>
      </c>
      <c r="B8388" t="s">
        <v>324</v>
      </c>
      <c r="C8388" t="s">
        <v>11383</v>
      </c>
      <c r="D8388" t="s">
        <v>16658</v>
      </c>
      <c r="E8388" t="s">
        <v>24022</v>
      </c>
      <c r="F8388" t="s">
        <v>28669</v>
      </c>
      <c r="G8388" t="s">
        <v>28675</v>
      </c>
      <c r="H8388" t="s">
        <v>28686</v>
      </c>
      <c r="I8388" t="s">
        <v>28689</v>
      </c>
      <c r="J8388" t="s">
        <v>34047</v>
      </c>
      <c r="K8388" t="s">
        <v>37214</v>
      </c>
      <c r="M8388" t="s">
        <v>37804</v>
      </c>
      <c r="N8388" t="s">
        <v>41249</v>
      </c>
      <c r="O8388" t="s">
        <v>41250</v>
      </c>
      <c r="P8388">
        <v>0</v>
      </c>
      <c r="Q8388">
        <v>1</v>
      </c>
      <c r="R8388" t="s">
        <v>41258</v>
      </c>
      <c r="S8388" t="s">
        <v>41513</v>
      </c>
      <c r="T8388" t="s">
        <v>43027</v>
      </c>
      <c r="U8388" t="s">
        <v>50033</v>
      </c>
      <c r="W8388" t="s">
        <v>37804</v>
      </c>
      <c r="X8388" t="s">
        <v>41259</v>
      </c>
    </row>
    <row r="8389" spans="1:24">
      <c r="A8389">
        <f>HYPERLINK("https://www.philgeps.gov.ph/GEPSNONPILOT/Tender/SplashBidNoticeAbstractUI.aspx?menuIndex=3&amp;refID=7066263&amp;Result=3","7066263")</f>
        <v>0</v>
      </c>
      <c r="B8389" t="s">
        <v>667</v>
      </c>
      <c r="C8389" t="s">
        <v>11384</v>
      </c>
      <c r="D8389" t="s">
        <v>16630</v>
      </c>
      <c r="E8389" t="s">
        <v>24023</v>
      </c>
      <c r="F8389" t="s">
        <v>28669</v>
      </c>
      <c r="G8389" t="s">
        <v>28676</v>
      </c>
      <c r="H8389" t="s">
        <v>9998</v>
      </c>
      <c r="I8389" t="s">
        <v>5286</v>
      </c>
      <c r="J8389" t="s">
        <v>34048</v>
      </c>
      <c r="K8389" t="s">
        <v>37204</v>
      </c>
      <c r="M8389" t="s">
        <v>38170</v>
      </c>
      <c r="N8389" t="s">
        <v>41249</v>
      </c>
      <c r="O8389" t="s">
        <v>41250</v>
      </c>
      <c r="P8389">
        <v>0</v>
      </c>
      <c r="Q8389">
        <v>0</v>
      </c>
      <c r="R8389" t="s">
        <v>41258</v>
      </c>
      <c r="S8389" t="s">
        <v>41513</v>
      </c>
      <c r="T8389" t="s">
        <v>42767</v>
      </c>
      <c r="U8389" t="s">
        <v>50034</v>
      </c>
      <c r="W8389" t="s">
        <v>38170</v>
      </c>
      <c r="X8389" t="s">
        <v>41259</v>
      </c>
    </row>
    <row r="8390" spans="1:24">
      <c r="A8390">
        <f>HYPERLINK("https://www.philgeps.gov.ph/GEPSNONPILOT/Tender/SplashBidNoticeAbstractUI.aspx?menuIndex=3&amp;refID=7066261&amp;Result=3","7066261")</f>
        <v>0</v>
      </c>
      <c r="B8390" t="s">
        <v>1068</v>
      </c>
      <c r="C8390" t="s">
        <v>11385</v>
      </c>
      <c r="D8390" t="s">
        <v>16607</v>
      </c>
      <c r="E8390" t="s">
        <v>24024</v>
      </c>
      <c r="F8390" t="s">
        <v>28669</v>
      </c>
      <c r="G8390" t="s">
        <v>28675</v>
      </c>
      <c r="H8390" t="s">
        <v>28686</v>
      </c>
      <c r="I8390" t="s">
        <v>28689</v>
      </c>
      <c r="J8390" t="s">
        <v>28912</v>
      </c>
      <c r="K8390" t="s">
        <v>37243</v>
      </c>
      <c r="M8390" t="s">
        <v>38600</v>
      </c>
      <c r="N8390" t="s">
        <v>41249</v>
      </c>
      <c r="O8390" t="s">
        <v>41250</v>
      </c>
      <c r="P8390">
        <v>0</v>
      </c>
      <c r="Q8390">
        <v>0</v>
      </c>
      <c r="R8390" t="s">
        <v>41258</v>
      </c>
      <c r="S8390" t="s">
        <v>41513</v>
      </c>
      <c r="T8390" t="s">
        <v>42727</v>
      </c>
      <c r="U8390" t="s">
        <v>50035</v>
      </c>
      <c r="V8390" t="s">
        <v>55211</v>
      </c>
      <c r="W8390" t="s">
        <v>38600</v>
      </c>
      <c r="X8390" t="s">
        <v>41259</v>
      </c>
    </row>
    <row r="8391" spans="1:24">
      <c r="A8391">
        <f>HYPERLINK("https://www.philgeps.gov.ph/GEPSNONPILOT/Tender/SplashBidNoticeAbstractUI.aspx?menuIndex=3&amp;refID=7066226&amp;Result=3","7066226")</f>
        <v>0</v>
      </c>
      <c r="B8391" t="s">
        <v>1224</v>
      </c>
      <c r="C8391" t="s">
        <v>11386</v>
      </c>
      <c r="D8391" t="s">
        <v>16624</v>
      </c>
      <c r="E8391" t="s">
        <v>22180</v>
      </c>
      <c r="F8391" t="s">
        <v>28669</v>
      </c>
      <c r="G8391" t="s">
        <v>28675</v>
      </c>
      <c r="H8391" t="s">
        <v>28686</v>
      </c>
      <c r="I8391" t="s">
        <v>28689</v>
      </c>
      <c r="J8391" t="s">
        <v>30755</v>
      </c>
      <c r="K8391" t="s">
        <v>37209</v>
      </c>
      <c r="M8391" t="s">
        <v>38767</v>
      </c>
      <c r="N8391" t="s">
        <v>41249</v>
      </c>
      <c r="O8391" t="s">
        <v>41250</v>
      </c>
      <c r="P8391">
        <v>0</v>
      </c>
      <c r="Q8391">
        <v>0</v>
      </c>
      <c r="R8391" t="s">
        <v>41258</v>
      </c>
      <c r="S8391" t="s">
        <v>41513</v>
      </c>
      <c r="T8391" t="s">
        <v>42658</v>
      </c>
      <c r="U8391" t="s">
        <v>45759</v>
      </c>
      <c r="W8391" t="s">
        <v>38767</v>
      </c>
      <c r="X8391" t="s">
        <v>41259</v>
      </c>
    </row>
    <row r="8392" spans="1:24">
      <c r="A8392">
        <f>HYPERLINK("https://www.philgeps.gov.ph/GEPSNONPILOT/Tender/SplashBidNoticeAbstractUI.aspx?menuIndex=3&amp;refID=7066225&amp;Result=3","7066225")</f>
        <v>0</v>
      </c>
      <c r="B8392" t="s">
        <v>132</v>
      </c>
      <c r="C8392" t="s">
        <v>11387</v>
      </c>
      <c r="D8392" t="s">
        <v>16639</v>
      </c>
      <c r="E8392" t="s">
        <v>24025</v>
      </c>
      <c r="F8392" t="s">
        <v>28669</v>
      </c>
      <c r="G8392" t="s">
        <v>28675</v>
      </c>
      <c r="H8392" t="s">
        <v>28686</v>
      </c>
      <c r="I8392" t="s">
        <v>28689</v>
      </c>
      <c r="J8392" t="s">
        <v>34049</v>
      </c>
      <c r="K8392" t="s">
        <v>37268</v>
      </c>
      <c r="M8392" t="s">
        <v>40235</v>
      </c>
      <c r="N8392" t="s">
        <v>41249</v>
      </c>
      <c r="O8392" t="s">
        <v>41250</v>
      </c>
      <c r="P8392">
        <v>0</v>
      </c>
      <c r="Q8392">
        <v>1</v>
      </c>
      <c r="R8392" t="s">
        <v>41258</v>
      </c>
      <c r="S8392" t="s">
        <v>41513</v>
      </c>
      <c r="T8392" t="s">
        <v>43023</v>
      </c>
      <c r="U8392" t="s">
        <v>49972</v>
      </c>
      <c r="W8392" t="s">
        <v>40235</v>
      </c>
      <c r="X8392" t="s">
        <v>41259</v>
      </c>
    </row>
    <row r="8393" spans="1:24">
      <c r="A8393">
        <f>HYPERLINK("https://www.philgeps.gov.ph/GEPSNONPILOT/Tender/SplashBidNoticeAbstractUI.aspx?menuIndex=3&amp;refID=7066224&amp;Result=3","7066224")</f>
        <v>0</v>
      </c>
      <c r="B8393" t="s">
        <v>2577</v>
      </c>
      <c r="C8393" t="s">
        <v>5089</v>
      </c>
      <c r="D8393" t="s">
        <v>16615</v>
      </c>
      <c r="E8393" t="s">
        <v>18246</v>
      </c>
      <c r="F8393" t="s">
        <v>28669</v>
      </c>
      <c r="G8393" t="s">
        <v>28675</v>
      </c>
      <c r="H8393" t="s">
        <v>28686</v>
      </c>
      <c r="I8393" t="s">
        <v>28689</v>
      </c>
      <c r="J8393" t="s">
        <v>34050</v>
      </c>
      <c r="K8393" t="s">
        <v>37206</v>
      </c>
      <c r="M8393" t="s">
        <v>40271</v>
      </c>
      <c r="N8393" t="s">
        <v>41249</v>
      </c>
      <c r="O8393" t="s">
        <v>41250</v>
      </c>
      <c r="P8393">
        <v>0</v>
      </c>
      <c r="Q8393">
        <v>3</v>
      </c>
      <c r="R8393" t="s">
        <v>41258</v>
      </c>
      <c r="S8393" t="s">
        <v>41513</v>
      </c>
      <c r="T8393" t="s">
        <v>42664</v>
      </c>
      <c r="U8393" t="s">
        <v>50036</v>
      </c>
      <c r="W8393" t="s">
        <v>40271</v>
      </c>
      <c r="X8393" t="s">
        <v>41259</v>
      </c>
    </row>
    <row r="8394" spans="1:24">
      <c r="A8394">
        <f>HYPERLINK("https://www.philgeps.gov.ph/GEPSNONPILOT/Tender/SplashBidNoticeAbstractUI.aspx?menuIndex=3&amp;refID=7066264&amp;Result=3","7066264")</f>
        <v>0</v>
      </c>
      <c r="B8394" t="s">
        <v>2565</v>
      </c>
      <c r="C8394" t="s">
        <v>11388</v>
      </c>
      <c r="D8394" t="s">
        <v>16608</v>
      </c>
      <c r="E8394" t="s">
        <v>24026</v>
      </c>
      <c r="F8394" t="s">
        <v>28669</v>
      </c>
      <c r="G8394" t="s">
        <v>28675</v>
      </c>
      <c r="H8394" t="s">
        <v>9998</v>
      </c>
      <c r="I8394" t="s">
        <v>28704</v>
      </c>
      <c r="J8394" t="s">
        <v>34051</v>
      </c>
      <c r="K8394" t="s">
        <v>37204</v>
      </c>
      <c r="M8394" t="s">
        <v>40258</v>
      </c>
      <c r="N8394" t="s">
        <v>41249</v>
      </c>
      <c r="O8394" t="s">
        <v>41250</v>
      </c>
      <c r="P8394">
        <v>0</v>
      </c>
      <c r="Q8394">
        <v>1</v>
      </c>
      <c r="R8394" t="s">
        <v>41258</v>
      </c>
      <c r="S8394" t="s">
        <v>41513</v>
      </c>
      <c r="T8394" t="s">
        <v>42728</v>
      </c>
      <c r="U8394" t="s">
        <v>50037</v>
      </c>
      <c r="W8394" t="s">
        <v>40258</v>
      </c>
      <c r="X8394" t="s">
        <v>41259</v>
      </c>
    </row>
    <row r="8395" spans="1:24">
      <c r="A8395">
        <f>HYPERLINK("https://www.philgeps.gov.ph/GEPSNONPILOT/Tender/SplashBidNoticeAbstractUI.aspx?menuIndex=3&amp;refID=7066409&amp;Result=3","7066409")</f>
        <v>0</v>
      </c>
      <c r="B8395" t="s">
        <v>217</v>
      </c>
      <c r="C8395" t="s">
        <v>11389</v>
      </c>
      <c r="D8395" t="s">
        <v>16618</v>
      </c>
      <c r="E8395" t="s">
        <v>24027</v>
      </c>
      <c r="F8395" t="s">
        <v>28669</v>
      </c>
      <c r="G8395" t="s">
        <v>28676</v>
      </c>
      <c r="H8395" t="s">
        <v>9998</v>
      </c>
      <c r="I8395" t="s">
        <v>3658</v>
      </c>
      <c r="J8395" t="s">
        <v>34052</v>
      </c>
      <c r="K8395" t="s">
        <v>37206</v>
      </c>
      <c r="M8395" t="s">
        <v>37695</v>
      </c>
      <c r="N8395" t="s">
        <v>41249</v>
      </c>
      <c r="O8395" t="s">
        <v>41250</v>
      </c>
      <c r="P8395">
        <v>0</v>
      </c>
      <c r="Q8395">
        <v>1</v>
      </c>
      <c r="R8395" t="s">
        <v>41258</v>
      </c>
      <c r="S8395" t="s">
        <v>41513</v>
      </c>
      <c r="T8395" t="s">
        <v>42883</v>
      </c>
      <c r="U8395" t="s">
        <v>50038</v>
      </c>
      <c r="W8395" t="s">
        <v>37695</v>
      </c>
      <c r="X8395" t="s">
        <v>41259</v>
      </c>
    </row>
    <row r="8396" spans="1:24">
      <c r="A8396">
        <f>HYPERLINK("https://www.philgeps.gov.ph/GEPSNONPILOT/Tender/SplashBidNoticeAbstractUI.aspx?menuIndex=3&amp;refID=7066418&amp;Result=3","7066418")</f>
        <v>0</v>
      </c>
      <c r="B8396" t="s">
        <v>454</v>
      </c>
      <c r="C8396" t="s">
        <v>11390</v>
      </c>
      <c r="D8396" t="s">
        <v>16632</v>
      </c>
      <c r="E8396" t="s">
        <v>24028</v>
      </c>
      <c r="F8396" t="s">
        <v>28669</v>
      </c>
      <c r="G8396" t="s">
        <v>28676</v>
      </c>
      <c r="H8396" t="s">
        <v>9998</v>
      </c>
      <c r="I8396" t="s">
        <v>6606</v>
      </c>
      <c r="J8396" t="s">
        <v>34053</v>
      </c>
      <c r="K8396" t="s">
        <v>37209</v>
      </c>
      <c r="M8396" t="s">
        <v>37942</v>
      </c>
      <c r="N8396" t="s">
        <v>41249</v>
      </c>
      <c r="O8396" t="s">
        <v>41250</v>
      </c>
      <c r="P8396">
        <v>0</v>
      </c>
      <c r="Q8396">
        <v>1</v>
      </c>
      <c r="R8396" t="s">
        <v>41258</v>
      </c>
      <c r="S8396" t="s">
        <v>41513</v>
      </c>
      <c r="T8396" t="s">
        <v>42758</v>
      </c>
      <c r="U8396" t="s">
        <v>48244</v>
      </c>
      <c r="W8396" t="s">
        <v>37942</v>
      </c>
      <c r="X8396" t="s">
        <v>41259</v>
      </c>
    </row>
    <row r="8397" spans="1:24">
      <c r="A8397">
        <f>HYPERLINK("https://www.philgeps.gov.ph/GEPSNONPILOT/Tender/SplashBidNoticeAbstractUI.aspx?menuIndex=3&amp;refID=7066216&amp;Result=3","7066216")</f>
        <v>0</v>
      </c>
      <c r="B8397" t="s">
        <v>2578</v>
      </c>
      <c r="C8397" t="s">
        <v>11391</v>
      </c>
      <c r="D8397" t="s">
        <v>16633</v>
      </c>
      <c r="E8397" t="s">
        <v>24029</v>
      </c>
      <c r="F8397" t="s">
        <v>28669</v>
      </c>
      <c r="G8397" t="s">
        <v>28675</v>
      </c>
      <c r="H8397" t="s">
        <v>9998</v>
      </c>
      <c r="I8397" t="s">
        <v>28694</v>
      </c>
      <c r="J8397" t="s">
        <v>34054</v>
      </c>
      <c r="K8397" t="s">
        <v>37204</v>
      </c>
      <c r="M8397" t="s">
        <v>40272</v>
      </c>
      <c r="N8397" t="s">
        <v>41249</v>
      </c>
      <c r="O8397" t="s">
        <v>41250</v>
      </c>
      <c r="P8397">
        <v>0</v>
      </c>
      <c r="Q8397">
        <v>1</v>
      </c>
      <c r="R8397" t="s">
        <v>41258</v>
      </c>
      <c r="S8397" t="s">
        <v>41513</v>
      </c>
      <c r="T8397" t="s">
        <v>42727</v>
      </c>
      <c r="U8397" t="s">
        <v>50039</v>
      </c>
      <c r="V8397" t="s">
        <v>55212</v>
      </c>
      <c r="W8397" t="s">
        <v>40272</v>
      </c>
      <c r="X8397" t="s">
        <v>41259</v>
      </c>
    </row>
    <row r="8398" spans="1:24">
      <c r="A8398">
        <f>HYPERLINK("https://www.philgeps.gov.ph/GEPSNONPILOT/Tender/SplashBidNoticeAbstractUI.aspx?menuIndex=3&amp;refID=7066331&amp;Result=3","7066331")</f>
        <v>0</v>
      </c>
      <c r="B8398" t="s">
        <v>381</v>
      </c>
      <c r="C8398" t="s">
        <v>11392</v>
      </c>
      <c r="D8398" t="s">
        <v>16625</v>
      </c>
      <c r="E8398" t="s">
        <v>24030</v>
      </c>
      <c r="F8398" t="s">
        <v>28669</v>
      </c>
      <c r="G8398" t="s">
        <v>28675</v>
      </c>
      <c r="H8398" t="s">
        <v>9998</v>
      </c>
      <c r="I8398" t="s">
        <v>28743</v>
      </c>
      <c r="J8398" t="s">
        <v>34055</v>
      </c>
      <c r="K8398" t="s">
        <v>37205</v>
      </c>
      <c r="M8398" t="s">
        <v>37863</v>
      </c>
      <c r="N8398" t="s">
        <v>41249</v>
      </c>
      <c r="O8398" t="s">
        <v>41250</v>
      </c>
      <c r="P8398">
        <v>0</v>
      </c>
      <c r="Q8398">
        <v>2</v>
      </c>
      <c r="R8398" t="s">
        <v>41258</v>
      </c>
      <c r="S8398" t="s">
        <v>41513</v>
      </c>
      <c r="T8398" t="s">
        <v>42687</v>
      </c>
      <c r="U8398" t="s">
        <v>50040</v>
      </c>
      <c r="W8398" t="s">
        <v>55913</v>
      </c>
      <c r="X8398" t="s">
        <v>41259</v>
      </c>
    </row>
    <row r="8399" spans="1:24">
      <c r="A8399">
        <f>HYPERLINK("https://www.philgeps.gov.ph/GEPSNONPILOT/Tender/SplashBidNoticeAbstractUI.aspx?menuIndex=3&amp;refID=7066516&amp;Result=3","7066516")</f>
        <v>0</v>
      </c>
      <c r="B8399" t="s">
        <v>2558</v>
      </c>
      <c r="C8399" t="s">
        <v>11393</v>
      </c>
      <c r="D8399" t="s">
        <v>16618</v>
      </c>
      <c r="E8399" t="s">
        <v>24031</v>
      </c>
      <c r="F8399" t="s">
        <v>28669</v>
      </c>
      <c r="G8399" t="s">
        <v>28675</v>
      </c>
      <c r="H8399" t="s">
        <v>28686</v>
      </c>
      <c r="I8399" t="s">
        <v>28689</v>
      </c>
      <c r="J8399" t="s">
        <v>34038</v>
      </c>
      <c r="K8399" t="s">
        <v>37364</v>
      </c>
      <c r="L8399" t="s">
        <v>2558</v>
      </c>
      <c r="M8399" t="s">
        <v>40251</v>
      </c>
      <c r="N8399" t="s">
        <v>41249</v>
      </c>
      <c r="O8399" t="s">
        <v>41250</v>
      </c>
      <c r="P8399">
        <v>0</v>
      </c>
      <c r="Q8399">
        <v>0</v>
      </c>
      <c r="R8399" t="s">
        <v>41258</v>
      </c>
      <c r="S8399" t="s">
        <v>41513</v>
      </c>
      <c r="T8399" t="s">
        <v>43036</v>
      </c>
      <c r="U8399" t="s">
        <v>49982</v>
      </c>
      <c r="W8399" t="s">
        <v>40251</v>
      </c>
      <c r="X8399" t="s">
        <v>41259</v>
      </c>
    </row>
    <row r="8400" spans="1:24">
      <c r="A8400">
        <f>HYPERLINK("https://www.philgeps.gov.ph/GEPSNONPILOT/Tender/SplashBidNoticeAbstractUI.aspx?menuIndex=3&amp;refID=7066222&amp;Result=3","7066222")</f>
        <v>0</v>
      </c>
      <c r="B8400" t="s">
        <v>1510</v>
      </c>
      <c r="C8400" t="s">
        <v>11394</v>
      </c>
      <c r="D8400" t="s">
        <v>16641</v>
      </c>
      <c r="E8400" t="s">
        <v>24032</v>
      </c>
      <c r="F8400" t="s">
        <v>28669</v>
      </c>
      <c r="G8400" t="s">
        <v>28675</v>
      </c>
      <c r="H8400" t="s">
        <v>9998</v>
      </c>
      <c r="I8400" t="s">
        <v>28699</v>
      </c>
      <c r="J8400" t="s">
        <v>34056</v>
      </c>
      <c r="K8400" t="s">
        <v>37205</v>
      </c>
      <c r="M8400" t="s">
        <v>39084</v>
      </c>
      <c r="N8400" t="s">
        <v>41249</v>
      </c>
      <c r="O8400" t="s">
        <v>41250</v>
      </c>
      <c r="P8400">
        <v>0</v>
      </c>
      <c r="Q8400">
        <v>2</v>
      </c>
      <c r="R8400" t="s">
        <v>41258</v>
      </c>
      <c r="S8400" t="s">
        <v>41513</v>
      </c>
      <c r="T8400" t="s">
        <v>42987</v>
      </c>
      <c r="U8400" t="s">
        <v>50041</v>
      </c>
      <c r="V8400" t="s">
        <v>54700</v>
      </c>
      <c r="W8400" t="s">
        <v>39084</v>
      </c>
      <c r="X8400" t="s">
        <v>41259</v>
      </c>
    </row>
    <row r="8401" spans="1:24">
      <c r="A8401">
        <f>HYPERLINK("https://www.philgeps.gov.ph/GEPSNONPILOT/Tender/SplashBidNoticeAbstractUI.aspx?menuIndex=3&amp;refID=7066511&amp;Result=3","7066511")</f>
        <v>0</v>
      </c>
      <c r="B8401" t="s">
        <v>1789</v>
      </c>
      <c r="C8401" t="s">
        <v>11395</v>
      </c>
      <c r="D8401" t="s">
        <v>16617</v>
      </c>
      <c r="E8401" t="s">
        <v>24033</v>
      </c>
      <c r="F8401" t="s">
        <v>28669</v>
      </c>
      <c r="G8401" t="s">
        <v>28675</v>
      </c>
      <c r="H8401" t="s">
        <v>28685</v>
      </c>
      <c r="I8401" t="s">
        <v>28685</v>
      </c>
      <c r="J8401" t="s">
        <v>28879</v>
      </c>
      <c r="K8401" t="s">
        <v>37238</v>
      </c>
      <c r="M8401" t="s">
        <v>39396</v>
      </c>
      <c r="N8401" t="s">
        <v>41249</v>
      </c>
      <c r="O8401" t="s">
        <v>41250</v>
      </c>
      <c r="P8401">
        <v>0</v>
      </c>
      <c r="Q8401">
        <v>2</v>
      </c>
      <c r="R8401" t="s">
        <v>41258</v>
      </c>
      <c r="S8401" t="s">
        <v>41513</v>
      </c>
      <c r="T8401" t="s">
        <v>42743</v>
      </c>
      <c r="U8401" t="s">
        <v>47464</v>
      </c>
      <c r="W8401" t="s">
        <v>39396</v>
      </c>
      <c r="X8401" t="s">
        <v>41259</v>
      </c>
    </row>
    <row r="8402" spans="1:24">
      <c r="A8402">
        <f>HYPERLINK("https://www.philgeps.gov.ph/GEPSNONPILOT/Tender/SplashBidNoticeAbstractUI.aspx?menuIndex=3&amp;refID=7066512&amp;Result=3","7066512")</f>
        <v>0</v>
      </c>
      <c r="B8402" t="s">
        <v>2306</v>
      </c>
      <c r="C8402" t="s">
        <v>11396</v>
      </c>
      <c r="D8402" t="s">
        <v>16626</v>
      </c>
      <c r="E8402" t="s">
        <v>24034</v>
      </c>
      <c r="F8402" t="s">
        <v>28669</v>
      </c>
      <c r="G8402" t="s">
        <v>28675</v>
      </c>
      <c r="H8402" t="s">
        <v>9998</v>
      </c>
      <c r="I8402" t="s">
        <v>28706</v>
      </c>
      <c r="J8402" t="s">
        <v>34057</v>
      </c>
      <c r="K8402" t="s">
        <v>37220</v>
      </c>
      <c r="M8402" t="s">
        <v>39965</v>
      </c>
      <c r="N8402" t="s">
        <v>41249</v>
      </c>
      <c r="O8402" t="s">
        <v>41250</v>
      </c>
      <c r="P8402">
        <v>0</v>
      </c>
      <c r="Q8402">
        <v>0</v>
      </c>
      <c r="R8402" t="s">
        <v>41258</v>
      </c>
      <c r="S8402" t="s">
        <v>41513</v>
      </c>
      <c r="T8402" t="s">
        <v>42694</v>
      </c>
      <c r="U8402" t="s">
        <v>50042</v>
      </c>
      <c r="V8402" t="s">
        <v>55097</v>
      </c>
      <c r="W8402" t="s">
        <v>39965</v>
      </c>
      <c r="X8402" t="s">
        <v>41259</v>
      </c>
    </row>
    <row r="8403" spans="1:24">
      <c r="A8403">
        <f>HYPERLINK("https://www.philgeps.gov.ph/GEPSNONPILOT/Tender/SplashBidNoticeAbstractUI.aspx?menuIndex=3&amp;refID=7063397&amp;Result=3","7063397")</f>
        <v>0</v>
      </c>
      <c r="B8403" t="s">
        <v>942</v>
      </c>
      <c r="C8403" t="s">
        <v>11397</v>
      </c>
      <c r="D8403" t="s">
        <v>16620</v>
      </c>
      <c r="E8403" t="s">
        <v>24035</v>
      </c>
      <c r="F8403" t="s">
        <v>28669</v>
      </c>
      <c r="G8403" t="s">
        <v>28675</v>
      </c>
      <c r="H8403" t="s">
        <v>9998</v>
      </c>
      <c r="I8403" t="s">
        <v>28694</v>
      </c>
      <c r="J8403" t="s">
        <v>34058</v>
      </c>
      <c r="K8403" t="s">
        <v>37206</v>
      </c>
      <c r="M8403" t="s">
        <v>38465</v>
      </c>
      <c r="N8403" t="s">
        <v>41249</v>
      </c>
      <c r="O8403" t="s">
        <v>41250</v>
      </c>
      <c r="P8403">
        <v>0</v>
      </c>
      <c r="Q8403">
        <v>0</v>
      </c>
      <c r="R8403" t="s">
        <v>41258</v>
      </c>
      <c r="S8403" t="s">
        <v>41513</v>
      </c>
      <c r="T8403" t="s">
        <v>42767</v>
      </c>
      <c r="U8403" t="s">
        <v>50043</v>
      </c>
      <c r="W8403" t="s">
        <v>38465</v>
      </c>
      <c r="X8403" t="s">
        <v>41260</v>
      </c>
    </row>
    <row r="8404" spans="1:24">
      <c r="A8404">
        <f>HYPERLINK("https://www.philgeps.gov.ph/GEPSNONPILOT/Tender/SplashBidNoticeAbstractUI.aspx?menuIndex=3&amp;refID=7066508&amp;Result=3","7066508")</f>
        <v>0</v>
      </c>
      <c r="B8404" t="s">
        <v>532</v>
      </c>
      <c r="C8404" t="s">
        <v>11398</v>
      </c>
      <c r="D8404" t="s">
        <v>16675</v>
      </c>
      <c r="E8404" t="s">
        <v>21370</v>
      </c>
      <c r="F8404" t="s">
        <v>28669</v>
      </c>
      <c r="G8404" t="s">
        <v>28675</v>
      </c>
      <c r="H8404" t="s">
        <v>9998</v>
      </c>
      <c r="I8404" t="s">
        <v>6606</v>
      </c>
      <c r="J8404" t="s">
        <v>30593</v>
      </c>
      <c r="K8404" t="s">
        <v>37205</v>
      </c>
      <c r="M8404" t="s">
        <v>38023</v>
      </c>
      <c r="N8404" t="s">
        <v>41249</v>
      </c>
      <c r="O8404" t="s">
        <v>41250</v>
      </c>
      <c r="P8404">
        <v>0</v>
      </c>
      <c r="Q8404">
        <v>1</v>
      </c>
      <c r="R8404" t="s">
        <v>41258</v>
      </c>
      <c r="S8404" t="s">
        <v>41513</v>
      </c>
      <c r="T8404" t="s">
        <v>42754</v>
      </c>
      <c r="U8404" t="s">
        <v>50044</v>
      </c>
      <c r="W8404" t="s">
        <v>38023</v>
      </c>
      <c r="X8404" t="s">
        <v>41259</v>
      </c>
    </row>
    <row r="8405" spans="1:24">
      <c r="A8405">
        <f>HYPERLINK("https://www.philgeps.gov.ph/GEPSNONPILOT/Tender/SplashBidNoticeAbstractUI.aspx?menuIndex=3&amp;refID=7066507&amp;Result=3","7066507")</f>
        <v>0</v>
      </c>
      <c r="B8405" t="s">
        <v>1829</v>
      </c>
      <c r="C8405" t="s">
        <v>11399</v>
      </c>
      <c r="D8405" t="s">
        <v>16661</v>
      </c>
      <c r="E8405" t="s">
        <v>24036</v>
      </c>
      <c r="F8405" t="s">
        <v>28669</v>
      </c>
      <c r="G8405" t="s">
        <v>28675</v>
      </c>
      <c r="H8405" t="s">
        <v>28686</v>
      </c>
      <c r="I8405" t="s">
        <v>28689</v>
      </c>
      <c r="J8405" t="s">
        <v>34059</v>
      </c>
      <c r="K8405" t="s">
        <v>37259</v>
      </c>
      <c r="M8405" t="s">
        <v>39634</v>
      </c>
      <c r="N8405" t="s">
        <v>41249</v>
      </c>
      <c r="O8405" t="s">
        <v>41250</v>
      </c>
      <c r="P8405">
        <v>0</v>
      </c>
      <c r="Q8405">
        <v>0</v>
      </c>
      <c r="R8405" t="s">
        <v>41258</v>
      </c>
      <c r="S8405" t="s">
        <v>41513</v>
      </c>
      <c r="T8405" t="s">
        <v>42929</v>
      </c>
      <c r="U8405" t="s">
        <v>50020</v>
      </c>
      <c r="V8405" t="s">
        <v>55208</v>
      </c>
      <c r="W8405" t="s">
        <v>55976</v>
      </c>
      <c r="X8405" t="s">
        <v>41259</v>
      </c>
    </row>
    <row r="8406" spans="1:24">
      <c r="A8406">
        <f>HYPERLINK("https://www.philgeps.gov.ph/GEPSNONPILOT/Tender/SplashBidNoticeAbstractUI.aspx?menuIndex=3&amp;refID=7066505&amp;Result=3","7066505")</f>
        <v>0</v>
      </c>
      <c r="B8406" t="s">
        <v>2579</v>
      </c>
      <c r="C8406" t="s">
        <v>11400</v>
      </c>
      <c r="D8406" t="s">
        <v>16640</v>
      </c>
      <c r="E8406" t="s">
        <v>24037</v>
      </c>
      <c r="F8406" t="s">
        <v>28669</v>
      </c>
      <c r="G8406" t="s">
        <v>28677</v>
      </c>
      <c r="H8406" t="s">
        <v>9998</v>
      </c>
      <c r="I8406" t="s">
        <v>28689</v>
      </c>
      <c r="J8406" t="s">
        <v>34060</v>
      </c>
      <c r="K8406" t="s">
        <v>37210</v>
      </c>
      <c r="M8406" t="s">
        <v>40273</v>
      </c>
      <c r="N8406" t="s">
        <v>41249</v>
      </c>
      <c r="O8406" t="s">
        <v>41250</v>
      </c>
      <c r="P8406">
        <v>0</v>
      </c>
      <c r="Q8406">
        <v>0</v>
      </c>
      <c r="R8406" t="s">
        <v>41258</v>
      </c>
      <c r="S8406" t="s">
        <v>41513</v>
      </c>
      <c r="T8406" t="s">
        <v>42678</v>
      </c>
      <c r="U8406" t="s">
        <v>50045</v>
      </c>
      <c r="W8406" t="s">
        <v>40273</v>
      </c>
      <c r="X8406" t="s">
        <v>41259</v>
      </c>
    </row>
    <row r="8407" spans="1:24">
      <c r="A8407">
        <f>HYPERLINK("https://www.philgeps.gov.ph/GEPSNONPILOT/Tender/SplashBidNoticeAbstractUI.aspx?menuIndex=3&amp;refID=7066498&amp;Result=3","7066498")</f>
        <v>0</v>
      </c>
      <c r="B8407" t="s">
        <v>2580</v>
      </c>
      <c r="C8407" t="s">
        <v>11401</v>
      </c>
      <c r="D8407" t="s">
        <v>16648</v>
      </c>
      <c r="E8407" t="s">
        <v>24038</v>
      </c>
      <c r="F8407" t="s">
        <v>28669</v>
      </c>
      <c r="G8407" t="s">
        <v>28675</v>
      </c>
      <c r="H8407" t="s">
        <v>28686</v>
      </c>
      <c r="I8407" t="s">
        <v>28689</v>
      </c>
      <c r="J8407" t="s">
        <v>34061</v>
      </c>
      <c r="K8407" t="s">
        <v>37204</v>
      </c>
      <c r="M8407" t="s">
        <v>40274</v>
      </c>
      <c r="N8407" t="s">
        <v>41249</v>
      </c>
      <c r="O8407" t="s">
        <v>41250</v>
      </c>
      <c r="P8407">
        <v>0</v>
      </c>
      <c r="Q8407">
        <v>0</v>
      </c>
      <c r="R8407" t="s">
        <v>41258</v>
      </c>
      <c r="S8407" t="s">
        <v>41513</v>
      </c>
      <c r="T8407" t="s">
        <v>42918</v>
      </c>
      <c r="U8407" t="s">
        <v>50046</v>
      </c>
      <c r="W8407" t="s">
        <v>40274</v>
      </c>
      <c r="X8407" t="s">
        <v>41259</v>
      </c>
    </row>
    <row r="8408" spans="1:24">
      <c r="A8408">
        <f>HYPERLINK("https://www.philgeps.gov.ph/GEPSNONPILOT/Tender/SplashBidNoticeAbstractUI.aspx?menuIndex=3&amp;refID=7066218&amp;Result=3","7066218")</f>
        <v>0</v>
      </c>
      <c r="B8408" t="s">
        <v>2552</v>
      </c>
      <c r="C8408" t="s">
        <v>11402</v>
      </c>
      <c r="D8408" t="s">
        <v>16684</v>
      </c>
      <c r="E8408" t="s">
        <v>24039</v>
      </c>
      <c r="F8408" t="s">
        <v>28669</v>
      </c>
      <c r="G8408" t="s">
        <v>28676</v>
      </c>
      <c r="H8408" t="s">
        <v>9998</v>
      </c>
      <c r="I8408" t="s">
        <v>5213</v>
      </c>
      <c r="J8408" t="s">
        <v>34062</v>
      </c>
      <c r="K8408" t="s">
        <v>37227</v>
      </c>
      <c r="M8408" t="s">
        <v>40245</v>
      </c>
      <c r="N8408" t="s">
        <v>41249</v>
      </c>
      <c r="O8408" t="s">
        <v>41250</v>
      </c>
      <c r="P8408">
        <v>0</v>
      </c>
      <c r="Q8408">
        <v>5</v>
      </c>
      <c r="R8408" t="s">
        <v>41258</v>
      </c>
      <c r="S8408" t="s">
        <v>41513</v>
      </c>
      <c r="T8408" t="s">
        <v>42883</v>
      </c>
      <c r="U8408" t="s">
        <v>50047</v>
      </c>
      <c r="W8408" t="s">
        <v>40245</v>
      </c>
      <c r="X8408" t="s">
        <v>41259</v>
      </c>
    </row>
    <row r="8409" spans="1:24">
      <c r="A8409">
        <f>HYPERLINK("https://www.philgeps.gov.ph/GEPSNONPILOT/Tender/SplashBidNoticeAbstractUI.aspx?menuIndex=3&amp;refID=7066515&amp;Result=3","7066515")</f>
        <v>0</v>
      </c>
      <c r="B8409" t="s">
        <v>2581</v>
      </c>
      <c r="C8409" t="s">
        <v>11403</v>
      </c>
      <c r="D8409" t="s">
        <v>16627</v>
      </c>
      <c r="E8409" t="s">
        <v>24040</v>
      </c>
      <c r="F8409" t="s">
        <v>28669</v>
      </c>
      <c r="G8409" t="s">
        <v>28675</v>
      </c>
      <c r="H8409" t="s">
        <v>28686</v>
      </c>
      <c r="I8409" t="s">
        <v>7352</v>
      </c>
      <c r="J8409" t="s">
        <v>34063</v>
      </c>
      <c r="K8409" t="s">
        <v>37215</v>
      </c>
      <c r="M8409" t="s">
        <v>40275</v>
      </c>
      <c r="N8409" t="s">
        <v>41249</v>
      </c>
      <c r="O8409" t="s">
        <v>41250</v>
      </c>
      <c r="P8409">
        <v>0</v>
      </c>
      <c r="Q8409">
        <v>1</v>
      </c>
      <c r="R8409" t="s">
        <v>41258</v>
      </c>
      <c r="S8409" t="s">
        <v>41513</v>
      </c>
      <c r="T8409" t="s">
        <v>42684</v>
      </c>
      <c r="U8409" t="s">
        <v>50048</v>
      </c>
      <c r="W8409" t="s">
        <v>40275</v>
      </c>
      <c r="X8409" t="s">
        <v>41259</v>
      </c>
    </row>
    <row r="8410" spans="1:24">
      <c r="A8410">
        <f>HYPERLINK("https://www.philgeps.gov.ph/GEPSNONPILOT/Tender/SplashBidNoticeAbstractUI.aspx?menuIndex=3&amp;refID=7066497&amp;Result=3","7066497")</f>
        <v>0</v>
      </c>
      <c r="B8410" t="s">
        <v>1789</v>
      </c>
      <c r="C8410" t="s">
        <v>11404</v>
      </c>
      <c r="D8410" t="s">
        <v>16617</v>
      </c>
      <c r="E8410" t="s">
        <v>24041</v>
      </c>
      <c r="F8410" t="s">
        <v>28669</v>
      </c>
      <c r="G8410" t="s">
        <v>28675</v>
      </c>
      <c r="H8410" t="s">
        <v>28685</v>
      </c>
      <c r="I8410" t="s">
        <v>28685</v>
      </c>
      <c r="J8410" t="s">
        <v>28879</v>
      </c>
      <c r="K8410" t="s">
        <v>37238</v>
      </c>
      <c r="M8410" t="s">
        <v>39396</v>
      </c>
      <c r="N8410" t="s">
        <v>41249</v>
      </c>
      <c r="O8410" t="s">
        <v>41250</v>
      </c>
      <c r="P8410">
        <v>0</v>
      </c>
      <c r="Q8410">
        <v>2</v>
      </c>
      <c r="R8410" t="s">
        <v>41258</v>
      </c>
      <c r="S8410" t="s">
        <v>41513</v>
      </c>
      <c r="T8410" t="s">
        <v>42743</v>
      </c>
      <c r="U8410" t="s">
        <v>47464</v>
      </c>
      <c r="W8410" t="s">
        <v>39396</v>
      </c>
      <c r="X8410" t="s">
        <v>41259</v>
      </c>
    </row>
    <row r="8411" spans="1:24">
      <c r="A8411">
        <f>HYPERLINK("https://www.philgeps.gov.ph/GEPSNONPILOT/Tender/SplashBidNoticeAbstractUI.aspx?menuIndex=3&amp;refID=7066495&amp;Result=3","7066495")</f>
        <v>0</v>
      </c>
      <c r="B8411" t="s">
        <v>454</v>
      </c>
      <c r="C8411" t="s">
        <v>11405</v>
      </c>
      <c r="D8411" t="s">
        <v>16632</v>
      </c>
      <c r="E8411" t="s">
        <v>24042</v>
      </c>
      <c r="F8411" t="s">
        <v>28669</v>
      </c>
      <c r="G8411" t="s">
        <v>28676</v>
      </c>
      <c r="H8411" t="s">
        <v>9998</v>
      </c>
      <c r="I8411" t="s">
        <v>6606</v>
      </c>
      <c r="J8411" t="s">
        <v>29083</v>
      </c>
      <c r="K8411" t="s">
        <v>37209</v>
      </c>
      <c r="M8411" t="s">
        <v>37942</v>
      </c>
      <c r="N8411" t="s">
        <v>41249</v>
      </c>
      <c r="O8411" t="s">
        <v>41250</v>
      </c>
      <c r="P8411">
        <v>0</v>
      </c>
      <c r="Q8411">
        <v>0</v>
      </c>
      <c r="R8411" t="s">
        <v>41258</v>
      </c>
      <c r="S8411" t="s">
        <v>41513</v>
      </c>
      <c r="T8411" t="s">
        <v>42758</v>
      </c>
      <c r="U8411" t="s">
        <v>48244</v>
      </c>
      <c r="W8411" t="s">
        <v>37942</v>
      </c>
      <c r="X8411" t="s">
        <v>41259</v>
      </c>
    </row>
    <row r="8412" spans="1:24">
      <c r="A8412">
        <f>HYPERLINK("https://www.philgeps.gov.ph/GEPSNONPILOT/Tender/SplashBidNoticeAbstractUI.aspx?menuIndex=3&amp;refID=7066482&amp;Result=3","7066482")</f>
        <v>0</v>
      </c>
      <c r="B8412" t="s">
        <v>2491</v>
      </c>
      <c r="C8412" t="s">
        <v>11406</v>
      </c>
      <c r="D8412" t="s">
        <v>16626</v>
      </c>
      <c r="E8412" t="s">
        <v>24043</v>
      </c>
      <c r="F8412" t="s">
        <v>28669</v>
      </c>
      <c r="G8412" t="s">
        <v>28675</v>
      </c>
      <c r="H8412" t="s">
        <v>9998</v>
      </c>
      <c r="I8412" t="s">
        <v>3718</v>
      </c>
      <c r="J8412" t="s">
        <v>34064</v>
      </c>
      <c r="K8412" t="s">
        <v>37234</v>
      </c>
      <c r="M8412" t="s">
        <v>40175</v>
      </c>
      <c r="N8412" t="s">
        <v>41249</v>
      </c>
      <c r="O8412" t="s">
        <v>41250</v>
      </c>
      <c r="P8412">
        <v>0</v>
      </c>
      <c r="Q8412">
        <v>1</v>
      </c>
      <c r="R8412" t="s">
        <v>41258</v>
      </c>
      <c r="S8412" t="s">
        <v>41513</v>
      </c>
      <c r="T8412" t="s">
        <v>43064</v>
      </c>
      <c r="U8412" t="s">
        <v>50049</v>
      </c>
      <c r="W8412" t="s">
        <v>40175</v>
      </c>
      <c r="X8412" t="s">
        <v>41259</v>
      </c>
    </row>
    <row r="8413" spans="1:24">
      <c r="A8413">
        <f>HYPERLINK("https://www.philgeps.gov.ph/GEPSNONPILOT/Tender/SplashBidNoticeAbstractUI.aspx?menuIndex=3&amp;refID=7066481&amp;Result=3","7066481")</f>
        <v>0</v>
      </c>
      <c r="B8413" t="s">
        <v>667</v>
      </c>
      <c r="C8413" t="s">
        <v>11407</v>
      </c>
      <c r="D8413" t="s">
        <v>16630</v>
      </c>
      <c r="E8413" t="s">
        <v>24044</v>
      </c>
      <c r="F8413" t="s">
        <v>28669</v>
      </c>
      <c r="G8413" t="s">
        <v>28676</v>
      </c>
      <c r="H8413" t="s">
        <v>9998</v>
      </c>
      <c r="I8413" t="s">
        <v>7352</v>
      </c>
      <c r="J8413" t="s">
        <v>34065</v>
      </c>
      <c r="K8413" t="s">
        <v>37204</v>
      </c>
      <c r="M8413" t="s">
        <v>38170</v>
      </c>
      <c r="N8413" t="s">
        <v>41249</v>
      </c>
      <c r="O8413" t="s">
        <v>41250</v>
      </c>
      <c r="P8413">
        <v>0</v>
      </c>
      <c r="Q8413">
        <v>0</v>
      </c>
      <c r="R8413" t="s">
        <v>41258</v>
      </c>
      <c r="S8413" t="s">
        <v>41513</v>
      </c>
      <c r="T8413" t="s">
        <v>42767</v>
      </c>
      <c r="U8413" t="s">
        <v>50050</v>
      </c>
      <c r="W8413" t="s">
        <v>38170</v>
      </c>
      <c r="X8413" t="s">
        <v>41259</v>
      </c>
    </row>
    <row r="8414" spans="1:24">
      <c r="A8414">
        <f>HYPERLINK("https://www.philgeps.gov.ph/GEPSNONPILOT/Tender/SplashBidNoticeAbstractUI.aspx?menuIndex=3&amp;refID=7066478&amp;Result=3","7066478")</f>
        <v>0</v>
      </c>
      <c r="B8414" t="s">
        <v>454</v>
      </c>
      <c r="C8414" t="s">
        <v>11408</v>
      </c>
      <c r="D8414" t="s">
        <v>16632</v>
      </c>
      <c r="E8414" t="s">
        <v>23432</v>
      </c>
      <c r="F8414" t="s">
        <v>28669</v>
      </c>
      <c r="G8414" t="s">
        <v>28676</v>
      </c>
      <c r="H8414" t="s">
        <v>9998</v>
      </c>
      <c r="I8414" t="s">
        <v>6606</v>
      </c>
      <c r="J8414" t="s">
        <v>30620</v>
      </c>
      <c r="K8414" t="s">
        <v>37209</v>
      </c>
      <c r="M8414" t="s">
        <v>37942</v>
      </c>
      <c r="N8414" t="s">
        <v>41249</v>
      </c>
      <c r="O8414" t="s">
        <v>41250</v>
      </c>
      <c r="P8414">
        <v>0</v>
      </c>
      <c r="Q8414">
        <v>1</v>
      </c>
      <c r="R8414" t="s">
        <v>41258</v>
      </c>
      <c r="S8414" t="s">
        <v>41513</v>
      </c>
      <c r="T8414" t="s">
        <v>42758</v>
      </c>
      <c r="U8414" t="s">
        <v>48244</v>
      </c>
      <c r="W8414" t="s">
        <v>37942</v>
      </c>
      <c r="X8414" t="s">
        <v>41259</v>
      </c>
    </row>
    <row r="8415" spans="1:24">
      <c r="A8415">
        <f>HYPERLINK("https://www.philgeps.gov.ph/GEPSNONPILOT/Tender/SplashBidNoticeAbstractUI.aspx?menuIndex=3&amp;refID=7066502&amp;Result=3","7066502")</f>
        <v>0</v>
      </c>
      <c r="B8415" t="s">
        <v>2558</v>
      </c>
      <c r="C8415" t="s">
        <v>11409</v>
      </c>
      <c r="D8415" t="s">
        <v>16618</v>
      </c>
      <c r="E8415" t="s">
        <v>24045</v>
      </c>
      <c r="F8415" t="s">
        <v>28669</v>
      </c>
      <c r="G8415" t="s">
        <v>28675</v>
      </c>
      <c r="H8415" t="s">
        <v>28686</v>
      </c>
      <c r="I8415" t="s">
        <v>28689</v>
      </c>
      <c r="J8415" t="s">
        <v>34038</v>
      </c>
      <c r="K8415" t="s">
        <v>37211</v>
      </c>
      <c r="L8415" t="s">
        <v>2558</v>
      </c>
      <c r="M8415" t="s">
        <v>40251</v>
      </c>
      <c r="N8415" t="s">
        <v>41249</v>
      </c>
      <c r="O8415" t="s">
        <v>41250</v>
      </c>
      <c r="P8415">
        <v>0</v>
      </c>
      <c r="Q8415">
        <v>0</v>
      </c>
      <c r="R8415" t="s">
        <v>41258</v>
      </c>
      <c r="S8415" t="s">
        <v>41513</v>
      </c>
      <c r="T8415" t="s">
        <v>43036</v>
      </c>
      <c r="U8415" t="s">
        <v>49982</v>
      </c>
      <c r="W8415" t="s">
        <v>40251</v>
      </c>
      <c r="X8415" t="s">
        <v>41259</v>
      </c>
    </row>
    <row r="8416" spans="1:24">
      <c r="A8416">
        <f>HYPERLINK("https://www.philgeps.gov.ph/GEPSNONPILOT/Tender/SplashBidNoticeAbstractUI.aspx?menuIndex=3&amp;refID=7066475&amp;Result=3","7066475")</f>
        <v>0</v>
      </c>
      <c r="B8416" t="s">
        <v>2582</v>
      </c>
      <c r="C8416" t="s">
        <v>11410</v>
      </c>
      <c r="D8416" t="s">
        <v>16639</v>
      </c>
      <c r="E8416" t="s">
        <v>24046</v>
      </c>
      <c r="F8416" t="s">
        <v>28669</v>
      </c>
      <c r="G8416" t="s">
        <v>28677</v>
      </c>
      <c r="H8416" t="s">
        <v>9998</v>
      </c>
      <c r="I8416" t="s">
        <v>11593</v>
      </c>
      <c r="J8416" t="s">
        <v>30885</v>
      </c>
      <c r="K8416" t="s">
        <v>37220</v>
      </c>
      <c r="M8416" t="s">
        <v>40276</v>
      </c>
      <c r="N8416" t="s">
        <v>41249</v>
      </c>
      <c r="O8416" t="s">
        <v>41250</v>
      </c>
      <c r="P8416">
        <v>0</v>
      </c>
      <c r="Q8416">
        <v>3</v>
      </c>
      <c r="R8416" t="s">
        <v>41258</v>
      </c>
      <c r="S8416" t="s">
        <v>41513</v>
      </c>
      <c r="T8416" t="s">
        <v>42883</v>
      </c>
      <c r="U8416" t="s">
        <v>50051</v>
      </c>
      <c r="W8416" t="s">
        <v>40276</v>
      </c>
      <c r="X8416" t="s">
        <v>41259</v>
      </c>
    </row>
    <row r="8417" spans="1:24">
      <c r="A8417">
        <f>HYPERLINK("https://www.philgeps.gov.ph/GEPSNONPILOT/Tender/SplashBidNoticeAbstractUI.aspx?menuIndex=3&amp;refID=7066500&amp;Result=3","7066500")</f>
        <v>0</v>
      </c>
      <c r="B8417" t="s">
        <v>988</v>
      </c>
      <c r="C8417" t="s">
        <v>11411</v>
      </c>
      <c r="D8417" t="s">
        <v>16635</v>
      </c>
      <c r="E8417" t="s">
        <v>24047</v>
      </c>
      <c r="F8417" t="s">
        <v>28669</v>
      </c>
      <c r="G8417" t="s">
        <v>28675</v>
      </c>
      <c r="H8417" t="s">
        <v>28686</v>
      </c>
      <c r="I8417" t="s">
        <v>28689</v>
      </c>
      <c r="J8417" t="s">
        <v>34066</v>
      </c>
      <c r="K8417" t="s">
        <v>37220</v>
      </c>
      <c r="M8417" t="s">
        <v>40243</v>
      </c>
      <c r="N8417" t="s">
        <v>41249</v>
      </c>
      <c r="O8417" t="s">
        <v>41250</v>
      </c>
      <c r="P8417">
        <v>0</v>
      </c>
      <c r="Q8417">
        <v>10</v>
      </c>
      <c r="R8417" t="s">
        <v>41258</v>
      </c>
      <c r="S8417" t="s">
        <v>41513</v>
      </c>
      <c r="T8417" t="s">
        <v>43036</v>
      </c>
      <c r="U8417" t="s">
        <v>50052</v>
      </c>
      <c r="W8417" t="s">
        <v>40243</v>
      </c>
      <c r="X8417" t="s">
        <v>41259</v>
      </c>
    </row>
    <row r="8418" spans="1:24">
      <c r="A8418">
        <f>HYPERLINK("https://www.philgeps.gov.ph/GEPSNONPILOT/Tender/SplashBidNoticeAbstractUI.aspx?menuIndex=3&amp;refID=7066468&amp;Result=3","7066468")</f>
        <v>0</v>
      </c>
      <c r="B8418" t="s">
        <v>1781</v>
      </c>
      <c r="C8418" t="s">
        <v>11412</v>
      </c>
      <c r="D8418" t="s">
        <v>16621</v>
      </c>
      <c r="E8418" t="s">
        <v>24048</v>
      </c>
      <c r="F8418" t="s">
        <v>28669</v>
      </c>
      <c r="G8418" t="s">
        <v>28675</v>
      </c>
      <c r="H8418" t="s">
        <v>9998</v>
      </c>
      <c r="I8418" t="s">
        <v>28690</v>
      </c>
      <c r="J8418" t="s">
        <v>34067</v>
      </c>
      <c r="K8418" t="s">
        <v>37206</v>
      </c>
      <c r="M8418" t="s">
        <v>39385</v>
      </c>
      <c r="N8418" t="s">
        <v>41249</v>
      </c>
      <c r="O8418" t="s">
        <v>41250</v>
      </c>
      <c r="P8418">
        <v>0</v>
      </c>
      <c r="Q8418">
        <v>8</v>
      </c>
      <c r="R8418" t="s">
        <v>41258</v>
      </c>
      <c r="S8418" t="s">
        <v>41513</v>
      </c>
      <c r="T8418" t="s">
        <v>42786</v>
      </c>
      <c r="U8418" t="s">
        <v>50053</v>
      </c>
      <c r="W8418" t="s">
        <v>39385</v>
      </c>
      <c r="X8418" t="s">
        <v>41259</v>
      </c>
    </row>
    <row r="8419" spans="1:24">
      <c r="A8419">
        <f>HYPERLINK("https://www.philgeps.gov.ph/GEPSNONPILOT/Tender/SplashBidNoticeAbstractUI.aspx?menuIndex=3&amp;refID=7066465&amp;Result=3","7066465")</f>
        <v>0</v>
      </c>
      <c r="B8419" t="s">
        <v>2558</v>
      </c>
      <c r="C8419" t="s">
        <v>11413</v>
      </c>
      <c r="D8419" t="s">
        <v>16618</v>
      </c>
      <c r="E8419" t="s">
        <v>24049</v>
      </c>
      <c r="F8419" t="s">
        <v>28669</v>
      </c>
      <c r="G8419" t="s">
        <v>28675</v>
      </c>
      <c r="H8419" t="s">
        <v>28686</v>
      </c>
      <c r="I8419" t="s">
        <v>28689</v>
      </c>
      <c r="J8419" t="s">
        <v>34038</v>
      </c>
      <c r="K8419" t="s">
        <v>37404</v>
      </c>
      <c r="L8419" t="s">
        <v>2558</v>
      </c>
      <c r="M8419" t="s">
        <v>40251</v>
      </c>
      <c r="N8419" t="s">
        <v>41249</v>
      </c>
      <c r="O8419" t="s">
        <v>41250</v>
      </c>
      <c r="P8419">
        <v>0</v>
      </c>
      <c r="Q8419">
        <v>0</v>
      </c>
      <c r="R8419" t="s">
        <v>41258</v>
      </c>
      <c r="S8419" t="s">
        <v>41513</v>
      </c>
      <c r="T8419" t="s">
        <v>43036</v>
      </c>
      <c r="U8419" t="s">
        <v>49982</v>
      </c>
      <c r="W8419" t="s">
        <v>40251</v>
      </c>
      <c r="X8419" t="s">
        <v>41259</v>
      </c>
    </row>
    <row r="8420" spans="1:24">
      <c r="A8420">
        <f>HYPERLINK("https://www.philgeps.gov.ph/GEPSNONPILOT/Tender/SplashBidNoticeAbstractUI.aspx?menuIndex=3&amp;refID=7063383&amp;Result=3","7063383")</f>
        <v>0</v>
      </c>
      <c r="B8420" t="s">
        <v>2326</v>
      </c>
      <c r="C8420" t="s">
        <v>11414</v>
      </c>
      <c r="D8420" t="s">
        <v>16617</v>
      </c>
      <c r="E8420" t="s">
        <v>24050</v>
      </c>
      <c r="F8420" t="s">
        <v>28669</v>
      </c>
      <c r="G8420" t="s">
        <v>28675</v>
      </c>
      <c r="H8420" t="s">
        <v>28686</v>
      </c>
      <c r="I8420" t="s">
        <v>28689</v>
      </c>
      <c r="J8420" t="s">
        <v>29320</v>
      </c>
      <c r="K8420" t="s">
        <v>37226</v>
      </c>
      <c r="M8420" t="s">
        <v>39987</v>
      </c>
      <c r="N8420" t="s">
        <v>41249</v>
      </c>
      <c r="O8420" t="s">
        <v>41250</v>
      </c>
      <c r="P8420">
        <v>0</v>
      </c>
      <c r="Q8420">
        <v>0</v>
      </c>
      <c r="R8420" t="s">
        <v>41258</v>
      </c>
      <c r="S8420" t="s">
        <v>41513</v>
      </c>
      <c r="T8420" t="s">
        <v>42761</v>
      </c>
      <c r="U8420" t="s">
        <v>50054</v>
      </c>
      <c r="W8420" t="s">
        <v>39987</v>
      </c>
      <c r="X8420" t="s">
        <v>41260</v>
      </c>
    </row>
    <row r="8421" spans="1:24">
      <c r="A8421">
        <f>HYPERLINK("https://www.philgeps.gov.ph/GEPSNONPILOT/Tender/SplashBidNoticeAbstractUI.aspx?menuIndex=3&amp;refID=7063361&amp;Result=3","7063361")</f>
        <v>0</v>
      </c>
      <c r="B8421" t="s">
        <v>762</v>
      </c>
      <c r="C8421" t="s">
        <v>11415</v>
      </c>
      <c r="E8421" t="s">
        <v>24051</v>
      </c>
      <c r="F8421" t="s">
        <v>28669</v>
      </c>
      <c r="G8421" t="s">
        <v>28675</v>
      </c>
      <c r="H8421" t="s">
        <v>9998</v>
      </c>
      <c r="I8421" t="s">
        <v>28693</v>
      </c>
      <c r="J8421" t="s">
        <v>29112</v>
      </c>
      <c r="K8421" t="s">
        <v>37209</v>
      </c>
      <c r="M8421" t="s">
        <v>38273</v>
      </c>
      <c r="N8421" t="s">
        <v>41249</v>
      </c>
      <c r="O8421" t="s">
        <v>41250</v>
      </c>
      <c r="P8421">
        <v>0</v>
      </c>
      <c r="Q8421">
        <v>18</v>
      </c>
      <c r="R8421" t="s">
        <v>41258</v>
      </c>
      <c r="S8421" t="s">
        <v>41513</v>
      </c>
      <c r="T8421" t="s">
        <v>43023</v>
      </c>
      <c r="U8421" t="s">
        <v>45818</v>
      </c>
      <c r="W8421" t="s">
        <v>38273</v>
      </c>
      <c r="X8421" t="s">
        <v>41260</v>
      </c>
    </row>
    <row r="8422" spans="1:24">
      <c r="A8422">
        <f>HYPERLINK("https://www.philgeps.gov.ph/GEPSNONPILOT/Tender/SplashBidNoticeAbstractUI.aspx?menuIndex=3&amp;refID=7063311&amp;Result=3","7063311")</f>
        <v>0</v>
      </c>
      <c r="B8422" t="s">
        <v>2326</v>
      </c>
      <c r="C8422" t="s">
        <v>11416</v>
      </c>
      <c r="D8422" t="s">
        <v>16617</v>
      </c>
      <c r="E8422" t="s">
        <v>24052</v>
      </c>
      <c r="F8422" t="s">
        <v>28669</v>
      </c>
      <c r="G8422" t="s">
        <v>28675</v>
      </c>
      <c r="H8422" t="s">
        <v>28686</v>
      </c>
      <c r="I8422" t="s">
        <v>28689</v>
      </c>
      <c r="J8422" t="s">
        <v>28836</v>
      </c>
      <c r="K8422" t="s">
        <v>37405</v>
      </c>
      <c r="M8422" t="s">
        <v>39987</v>
      </c>
      <c r="N8422" t="s">
        <v>41249</v>
      </c>
      <c r="O8422" t="s">
        <v>41250</v>
      </c>
      <c r="P8422">
        <v>0</v>
      </c>
      <c r="Q8422">
        <v>0</v>
      </c>
      <c r="R8422" t="s">
        <v>41258</v>
      </c>
      <c r="S8422" t="s">
        <v>41513</v>
      </c>
      <c r="T8422" t="s">
        <v>42761</v>
      </c>
      <c r="U8422" t="s">
        <v>50055</v>
      </c>
      <c r="W8422" t="s">
        <v>39987</v>
      </c>
      <c r="X8422" t="s">
        <v>41260</v>
      </c>
    </row>
    <row r="8423" spans="1:24">
      <c r="A8423">
        <f>HYPERLINK("https://www.philgeps.gov.ph/GEPSNONPILOT/Tender/SplashBidNoticeAbstractUI.aspx?menuIndex=3&amp;refID=7063304&amp;Result=3","7063304")</f>
        <v>0</v>
      </c>
      <c r="B8423" t="s">
        <v>609</v>
      </c>
      <c r="C8423" t="s">
        <v>11417</v>
      </c>
      <c r="E8423" t="s">
        <v>24053</v>
      </c>
      <c r="F8423" t="s">
        <v>28669</v>
      </c>
      <c r="G8423" t="s">
        <v>28675</v>
      </c>
      <c r="H8423" t="s">
        <v>9998</v>
      </c>
      <c r="I8423" t="s">
        <v>28728</v>
      </c>
      <c r="J8423" t="s">
        <v>34068</v>
      </c>
      <c r="K8423" t="s">
        <v>37209</v>
      </c>
      <c r="M8423" t="s">
        <v>40277</v>
      </c>
      <c r="N8423" t="s">
        <v>41249</v>
      </c>
      <c r="O8423" t="s">
        <v>41250</v>
      </c>
      <c r="P8423">
        <v>0</v>
      </c>
      <c r="Q8423">
        <v>4</v>
      </c>
      <c r="R8423" t="s">
        <v>41258</v>
      </c>
      <c r="S8423" t="s">
        <v>41513</v>
      </c>
      <c r="T8423" t="s">
        <v>42660</v>
      </c>
      <c r="U8423" t="s">
        <v>50056</v>
      </c>
      <c r="W8423" t="s">
        <v>40277</v>
      </c>
      <c r="X8423" t="s">
        <v>41260</v>
      </c>
    </row>
    <row r="8424" spans="1:24">
      <c r="A8424">
        <f>HYPERLINK("https://www.philgeps.gov.ph/GEPSNONPILOT/Tender/SplashBidNoticeAbstractUI.aspx?menuIndex=3&amp;refID=7062745&amp;Result=3","7062745")</f>
        <v>0</v>
      </c>
      <c r="B8424" t="s">
        <v>2526</v>
      </c>
      <c r="C8424" t="s">
        <v>11418</v>
      </c>
      <c r="D8424" t="s">
        <v>16618</v>
      </c>
      <c r="E8424" t="s">
        <v>24054</v>
      </c>
      <c r="F8424" t="s">
        <v>28669</v>
      </c>
      <c r="G8424" t="s">
        <v>28675</v>
      </c>
      <c r="H8424" t="s">
        <v>9998</v>
      </c>
      <c r="I8424" t="s">
        <v>3679</v>
      </c>
      <c r="J8424" t="s">
        <v>34069</v>
      </c>
      <c r="K8424" t="s">
        <v>37220</v>
      </c>
      <c r="M8424" t="s">
        <v>40215</v>
      </c>
      <c r="N8424" t="s">
        <v>41249</v>
      </c>
      <c r="O8424" t="s">
        <v>41250</v>
      </c>
      <c r="P8424">
        <v>0</v>
      </c>
      <c r="Q8424">
        <v>0</v>
      </c>
      <c r="R8424" t="s">
        <v>41258</v>
      </c>
      <c r="S8424" t="s">
        <v>41513</v>
      </c>
      <c r="T8424" t="s">
        <v>42796</v>
      </c>
      <c r="U8424" t="s">
        <v>50057</v>
      </c>
      <c r="W8424" t="s">
        <v>40215</v>
      </c>
      <c r="X8424" t="s">
        <v>41260</v>
      </c>
    </row>
    <row r="8425" spans="1:24">
      <c r="A8425">
        <f>HYPERLINK("https://www.philgeps.gov.ph/GEPSNONPILOT/Tender/SplashBidNoticeAbstractUI.aspx?menuIndex=3&amp;refID=7062723&amp;Result=3","7062723")</f>
        <v>0</v>
      </c>
      <c r="B8425" t="s">
        <v>2397</v>
      </c>
      <c r="C8425" t="s">
        <v>11419</v>
      </c>
      <c r="D8425" t="s">
        <v>16617</v>
      </c>
      <c r="E8425" t="s">
        <v>24055</v>
      </c>
      <c r="F8425" t="s">
        <v>28669</v>
      </c>
      <c r="G8425" t="s">
        <v>28675</v>
      </c>
      <c r="H8425" t="s">
        <v>9998</v>
      </c>
      <c r="I8425" t="s">
        <v>3718</v>
      </c>
      <c r="J8425" t="s">
        <v>34070</v>
      </c>
      <c r="K8425" t="s">
        <v>37204</v>
      </c>
      <c r="M8425" t="s">
        <v>40073</v>
      </c>
      <c r="N8425" t="s">
        <v>41249</v>
      </c>
      <c r="O8425" t="s">
        <v>41250</v>
      </c>
      <c r="P8425">
        <v>0</v>
      </c>
      <c r="Q8425">
        <v>4</v>
      </c>
      <c r="R8425" t="s">
        <v>41258</v>
      </c>
      <c r="S8425" t="s">
        <v>41513</v>
      </c>
      <c r="T8425" t="s">
        <v>42930</v>
      </c>
      <c r="U8425" t="s">
        <v>50058</v>
      </c>
      <c r="W8425" t="s">
        <v>40073</v>
      </c>
      <c r="X8425" t="s">
        <v>41260</v>
      </c>
    </row>
    <row r="8426" spans="1:24">
      <c r="A8426">
        <f>HYPERLINK("https://www.philgeps.gov.ph/GEPSNONPILOT/Tender/SplashBidNoticeAbstractUI.aspx?menuIndex=3&amp;refID=7062715&amp;Result=3","7062715")</f>
        <v>0</v>
      </c>
      <c r="B8426" t="s">
        <v>2397</v>
      </c>
      <c r="C8426" t="s">
        <v>11420</v>
      </c>
      <c r="D8426" t="s">
        <v>16617</v>
      </c>
      <c r="E8426" t="s">
        <v>24056</v>
      </c>
      <c r="F8426" t="s">
        <v>28669</v>
      </c>
      <c r="G8426" t="s">
        <v>28675</v>
      </c>
      <c r="H8426" t="s">
        <v>9998</v>
      </c>
      <c r="I8426" t="s">
        <v>28708</v>
      </c>
      <c r="J8426" t="s">
        <v>34071</v>
      </c>
      <c r="K8426" t="s">
        <v>37204</v>
      </c>
      <c r="M8426" t="s">
        <v>40073</v>
      </c>
      <c r="N8426" t="s">
        <v>41249</v>
      </c>
      <c r="O8426" t="s">
        <v>41250</v>
      </c>
      <c r="P8426">
        <v>0</v>
      </c>
      <c r="Q8426">
        <v>3</v>
      </c>
      <c r="R8426" t="s">
        <v>41258</v>
      </c>
      <c r="S8426" t="s">
        <v>41513</v>
      </c>
      <c r="T8426" t="s">
        <v>42930</v>
      </c>
      <c r="U8426" t="s">
        <v>50059</v>
      </c>
      <c r="W8426" t="s">
        <v>40073</v>
      </c>
      <c r="X8426" t="s">
        <v>41260</v>
      </c>
    </row>
    <row r="8427" spans="1:24">
      <c r="A8427">
        <f>HYPERLINK("https://www.philgeps.gov.ph/GEPSNONPILOT/Tender/SplashBidNoticeAbstractUI.aspx?menuIndex=3&amp;refID=7062712&amp;Result=3","7062712")</f>
        <v>0</v>
      </c>
      <c r="B8427" t="s">
        <v>1680</v>
      </c>
      <c r="C8427" t="s">
        <v>11421</v>
      </c>
      <c r="E8427" t="s">
        <v>24057</v>
      </c>
      <c r="F8427" t="s">
        <v>28669</v>
      </c>
      <c r="G8427" t="s">
        <v>28675</v>
      </c>
      <c r="H8427" t="s">
        <v>9998</v>
      </c>
      <c r="I8427" t="s">
        <v>5213</v>
      </c>
      <c r="J8427" t="s">
        <v>34072</v>
      </c>
      <c r="K8427" t="s">
        <v>37243</v>
      </c>
      <c r="M8427" t="s">
        <v>39274</v>
      </c>
      <c r="N8427" t="s">
        <v>41249</v>
      </c>
      <c r="O8427" t="s">
        <v>41250</v>
      </c>
      <c r="P8427">
        <v>0</v>
      </c>
      <c r="Q8427">
        <v>1</v>
      </c>
      <c r="R8427" t="s">
        <v>41258</v>
      </c>
      <c r="S8427" t="s">
        <v>41513</v>
      </c>
      <c r="T8427" t="s">
        <v>42883</v>
      </c>
      <c r="U8427" t="s">
        <v>50060</v>
      </c>
      <c r="W8427" t="s">
        <v>39274</v>
      </c>
      <c r="X8427" t="s">
        <v>41260</v>
      </c>
    </row>
    <row r="8428" spans="1:24">
      <c r="A8428">
        <f>HYPERLINK("https://www.philgeps.gov.ph/GEPSNONPILOT/Tender/SplashBidNoticeAbstractUI.aspx?menuIndex=3&amp;refID=7059861&amp;Result=3","7059861")</f>
        <v>0</v>
      </c>
      <c r="B8428" t="s">
        <v>2393</v>
      </c>
      <c r="C8428" t="s">
        <v>11422</v>
      </c>
      <c r="D8428" t="s">
        <v>16643</v>
      </c>
      <c r="E8428" t="s">
        <v>24058</v>
      </c>
      <c r="F8428" t="s">
        <v>28669</v>
      </c>
      <c r="G8428" t="s">
        <v>28675</v>
      </c>
      <c r="H8428" t="s">
        <v>28686</v>
      </c>
      <c r="I8428" t="s">
        <v>28689</v>
      </c>
      <c r="J8428" t="s">
        <v>34073</v>
      </c>
      <c r="K8428" t="s">
        <v>37351</v>
      </c>
      <c r="M8428" t="s">
        <v>40068</v>
      </c>
      <c r="N8428" t="s">
        <v>41249</v>
      </c>
      <c r="O8428" t="s">
        <v>41250</v>
      </c>
      <c r="P8428">
        <v>0</v>
      </c>
      <c r="Q8428">
        <v>10</v>
      </c>
      <c r="R8428" t="s">
        <v>41258</v>
      </c>
      <c r="S8428" t="s">
        <v>41513</v>
      </c>
      <c r="T8428" t="s">
        <v>42740</v>
      </c>
      <c r="U8428" t="s">
        <v>50061</v>
      </c>
      <c r="V8428" t="s">
        <v>55128</v>
      </c>
      <c r="W8428" t="s">
        <v>55992</v>
      </c>
      <c r="X8428" t="s">
        <v>41261</v>
      </c>
    </row>
    <row r="8429" spans="1:24">
      <c r="A8429">
        <f>HYPERLINK("https://www.philgeps.gov.ph/GEPSNONPILOT/Tender/SplashBidNoticeAbstractUI.aspx?menuIndex=3&amp;refID=7066488&amp;Result=3","7066488")</f>
        <v>0</v>
      </c>
      <c r="B8429" t="s">
        <v>2558</v>
      </c>
      <c r="C8429" t="s">
        <v>11423</v>
      </c>
      <c r="D8429" t="s">
        <v>16618</v>
      </c>
      <c r="E8429" t="s">
        <v>24059</v>
      </c>
      <c r="F8429" t="s">
        <v>28669</v>
      </c>
      <c r="G8429" t="s">
        <v>28675</v>
      </c>
      <c r="H8429" t="s">
        <v>28686</v>
      </c>
      <c r="I8429" t="s">
        <v>28689</v>
      </c>
      <c r="J8429" t="s">
        <v>34038</v>
      </c>
      <c r="K8429" t="s">
        <v>37214</v>
      </c>
      <c r="L8429" t="s">
        <v>2558</v>
      </c>
      <c r="M8429" t="s">
        <v>40251</v>
      </c>
      <c r="N8429" t="s">
        <v>41249</v>
      </c>
      <c r="O8429" t="s">
        <v>41250</v>
      </c>
      <c r="P8429">
        <v>0</v>
      </c>
      <c r="Q8429">
        <v>1</v>
      </c>
      <c r="R8429" t="s">
        <v>41258</v>
      </c>
      <c r="S8429" t="s">
        <v>41513</v>
      </c>
      <c r="T8429" t="s">
        <v>43036</v>
      </c>
      <c r="U8429" t="s">
        <v>49982</v>
      </c>
      <c r="W8429" t="s">
        <v>40251</v>
      </c>
      <c r="X8429" t="s">
        <v>41259</v>
      </c>
    </row>
    <row r="8430" spans="1:24">
      <c r="A8430">
        <f>HYPERLINK("https://www.philgeps.gov.ph/GEPSNONPILOT/Tender/SplashBidNoticeAbstractUI.aspx?menuIndex=3&amp;refID=7059757&amp;Result=3","7059757")</f>
        <v>0</v>
      </c>
      <c r="B8430" t="s">
        <v>2397</v>
      </c>
      <c r="C8430" t="s">
        <v>11424</v>
      </c>
      <c r="D8430" t="s">
        <v>16617</v>
      </c>
      <c r="E8430" t="s">
        <v>24060</v>
      </c>
      <c r="F8430" t="s">
        <v>28669</v>
      </c>
      <c r="G8430" t="s">
        <v>28675</v>
      </c>
      <c r="H8430" t="s">
        <v>9998</v>
      </c>
      <c r="I8430" t="s">
        <v>6128</v>
      </c>
      <c r="J8430" t="s">
        <v>34074</v>
      </c>
      <c r="K8430" t="s">
        <v>37204</v>
      </c>
      <c r="M8430" t="s">
        <v>40073</v>
      </c>
      <c r="N8430" t="s">
        <v>41249</v>
      </c>
      <c r="O8430" t="s">
        <v>41250</v>
      </c>
      <c r="P8430">
        <v>0</v>
      </c>
      <c r="Q8430">
        <v>0</v>
      </c>
      <c r="R8430" t="s">
        <v>41258</v>
      </c>
      <c r="S8430" t="s">
        <v>41513</v>
      </c>
      <c r="T8430" t="s">
        <v>42930</v>
      </c>
      <c r="U8430" t="s">
        <v>50062</v>
      </c>
      <c r="W8430" t="s">
        <v>40073</v>
      </c>
      <c r="X8430" t="s">
        <v>41261</v>
      </c>
    </row>
    <row r="8431" spans="1:24">
      <c r="A8431">
        <f>HYPERLINK("https://www.philgeps.gov.ph/GEPSNONPILOT/Tender/SplashBidNoticeAbstractUI.aspx?menuIndex=3&amp;refID=7059700&amp;Result=3","7059700")</f>
        <v>0</v>
      </c>
      <c r="B8431" t="s">
        <v>937</v>
      </c>
      <c r="C8431" t="s">
        <v>11425</v>
      </c>
      <c r="E8431" t="s">
        <v>24061</v>
      </c>
      <c r="F8431" t="s">
        <v>28669</v>
      </c>
      <c r="G8431" t="s">
        <v>28676</v>
      </c>
      <c r="H8431" t="s">
        <v>9998</v>
      </c>
      <c r="I8431" t="s">
        <v>28716</v>
      </c>
      <c r="J8431" t="s">
        <v>34075</v>
      </c>
      <c r="K8431" t="s">
        <v>37206</v>
      </c>
      <c r="M8431" t="s">
        <v>40072</v>
      </c>
      <c r="N8431" t="s">
        <v>41249</v>
      </c>
      <c r="O8431" t="s">
        <v>41250</v>
      </c>
      <c r="P8431">
        <v>0</v>
      </c>
      <c r="Q8431">
        <v>5</v>
      </c>
      <c r="R8431" t="s">
        <v>41258</v>
      </c>
      <c r="S8431" t="s">
        <v>41513</v>
      </c>
      <c r="T8431" t="s">
        <v>42767</v>
      </c>
      <c r="U8431" t="s">
        <v>50063</v>
      </c>
      <c r="W8431" t="s">
        <v>40072</v>
      </c>
      <c r="X8431" t="s">
        <v>41261</v>
      </c>
    </row>
    <row r="8432" spans="1:24">
      <c r="A8432">
        <f>HYPERLINK("https://www.philgeps.gov.ph/GEPSNONPILOT/Tender/SplashBidNoticeAbstractUI.aspx?menuIndex=3&amp;refID=7062729&amp;Result=3","7062729")</f>
        <v>0</v>
      </c>
      <c r="B8432" t="s">
        <v>1125</v>
      </c>
      <c r="C8432" t="s">
        <v>11426</v>
      </c>
      <c r="D8432" t="s">
        <v>16616</v>
      </c>
      <c r="E8432" t="s">
        <v>24062</v>
      </c>
      <c r="F8432" t="s">
        <v>28669</v>
      </c>
      <c r="G8432" t="s">
        <v>28675</v>
      </c>
      <c r="H8432" t="s">
        <v>28686</v>
      </c>
      <c r="I8432" t="s">
        <v>28689</v>
      </c>
      <c r="J8432" t="s">
        <v>28846</v>
      </c>
      <c r="K8432" t="s">
        <v>37217</v>
      </c>
      <c r="M8432" t="s">
        <v>40077</v>
      </c>
      <c r="N8432" t="s">
        <v>41249</v>
      </c>
      <c r="O8432" t="s">
        <v>41250</v>
      </c>
      <c r="P8432">
        <v>0</v>
      </c>
      <c r="Q8432">
        <v>0</v>
      </c>
      <c r="R8432" t="s">
        <v>41258</v>
      </c>
      <c r="S8432" t="s">
        <v>41513</v>
      </c>
      <c r="T8432" t="s">
        <v>42660</v>
      </c>
      <c r="U8432" t="s">
        <v>50064</v>
      </c>
      <c r="W8432" t="s">
        <v>40077</v>
      </c>
      <c r="X8432" t="s">
        <v>41260</v>
      </c>
    </row>
    <row r="8433" spans="1:24">
      <c r="A8433">
        <f>HYPERLINK("https://www.philgeps.gov.ph/GEPSNONPILOT/Tender/SplashBidNoticeAbstractUI.aspx?menuIndex=3&amp;refID=7058585&amp;Result=3","7058585")</f>
        <v>0</v>
      </c>
      <c r="B8433" t="s">
        <v>431</v>
      </c>
      <c r="C8433" t="s">
        <v>11427</v>
      </c>
      <c r="D8433" t="s">
        <v>16607</v>
      </c>
      <c r="E8433" t="s">
        <v>18812</v>
      </c>
      <c r="F8433" t="s">
        <v>28669</v>
      </c>
      <c r="G8433" t="s">
        <v>28675</v>
      </c>
      <c r="H8433" t="s">
        <v>28686</v>
      </c>
      <c r="I8433" t="s">
        <v>28689</v>
      </c>
      <c r="J8433" t="s">
        <v>34076</v>
      </c>
      <c r="K8433" t="s">
        <v>37212</v>
      </c>
      <c r="M8433" t="s">
        <v>37916</v>
      </c>
      <c r="N8433" t="s">
        <v>41249</v>
      </c>
      <c r="O8433" t="s">
        <v>41250</v>
      </c>
      <c r="P8433">
        <v>0</v>
      </c>
      <c r="Q8433">
        <v>23</v>
      </c>
      <c r="R8433" t="s">
        <v>41258</v>
      </c>
      <c r="S8433" t="s">
        <v>41513</v>
      </c>
      <c r="T8433" t="s">
        <v>43051</v>
      </c>
      <c r="U8433" t="s">
        <v>50065</v>
      </c>
      <c r="W8433" t="s">
        <v>37916</v>
      </c>
      <c r="X8433" t="s">
        <v>41262</v>
      </c>
    </row>
    <row r="8434" spans="1:24">
      <c r="A8434">
        <f>HYPERLINK("https://www.philgeps.gov.ph/GEPSNONPILOT/Tender/SplashBidNoticeAbstractUI.aspx?menuIndex=3&amp;refID=7066472&amp;Result=3","7066472")</f>
        <v>0</v>
      </c>
      <c r="B8434" t="s">
        <v>217</v>
      </c>
      <c r="C8434" t="s">
        <v>11428</v>
      </c>
      <c r="D8434" t="s">
        <v>16618</v>
      </c>
      <c r="E8434" t="s">
        <v>24063</v>
      </c>
      <c r="F8434" t="s">
        <v>28669</v>
      </c>
      <c r="G8434" t="s">
        <v>28676</v>
      </c>
      <c r="H8434" t="s">
        <v>9998</v>
      </c>
      <c r="I8434" t="s">
        <v>28717</v>
      </c>
      <c r="J8434" t="s">
        <v>32096</v>
      </c>
      <c r="K8434" t="s">
        <v>37206</v>
      </c>
      <c r="M8434" t="s">
        <v>37695</v>
      </c>
      <c r="N8434" t="s">
        <v>41249</v>
      </c>
      <c r="O8434" t="s">
        <v>41250</v>
      </c>
      <c r="P8434">
        <v>0</v>
      </c>
      <c r="Q8434">
        <v>12</v>
      </c>
      <c r="R8434" t="s">
        <v>41258</v>
      </c>
      <c r="S8434" t="s">
        <v>41513</v>
      </c>
      <c r="T8434" t="s">
        <v>42883</v>
      </c>
      <c r="U8434" t="s">
        <v>50066</v>
      </c>
      <c r="W8434" t="s">
        <v>37695</v>
      </c>
      <c r="X8434" t="s">
        <v>41259</v>
      </c>
    </row>
    <row r="8435" spans="1:24">
      <c r="A8435">
        <f>HYPERLINK("https://www.philgeps.gov.ph/GEPSNONPILOT/Tender/SplashBidNoticeAbstractUI.aspx?menuIndex=3&amp;refID=7058260&amp;Result=3","7058260")</f>
        <v>0</v>
      </c>
      <c r="B8435" t="s">
        <v>930</v>
      </c>
      <c r="C8435" t="s">
        <v>11429</v>
      </c>
      <c r="D8435" t="s">
        <v>16658</v>
      </c>
      <c r="E8435" t="s">
        <v>24064</v>
      </c>
      <c r="F8435" t="s">
        <v>28669</v>
      </c>
      <c r="G8435" t="s">
        <v>28675</v>
      </c>
      <c r="H8435" t="s">
        <v>28686</v>
      </c>
      <c r="I8435" t="s">
        <v>28689</v>
      </c>
      <c r="J8435" t="s">
        <v>34077</v>
      </c>
      <c r="K8435" t="s">
        <v>37406</v>
      </c>
      <c r="M8435" t="s">
        <v>38452</v>
      </c>
      <c r="N8435" t="s">
        <v>41249</v>
      </c>
      <c r="O8435" t="s">
        <v>41250</v>
      </c>
      <c r="P8435">
        <v>0</v>
      </c>
      <c r="Q8435">
        <v>2</v>
      </c>
      <c r="R8435" t="s">
        <v>41258</v>
      </c>
      <c r="S8435" t="s">
        <v>41513</v>
      </c>
      <c r="T8435" t="s">
        <v>42930</v>
      </c>
      <c r="U8435" t="s">
        <v>50067</v>
      </c>
      <c r="W8435" t="s">
        <v>38452</v>
      </c>
      <c r="X8435" t="s">
        <v>41263</v>
      </c>
    </row>
    <row r="8436" spans="1:24">
      <c r="A8436">
        <f>HYPERLINK("https://www.philgeps.gov.ph/GEPSNONPILOT/Tender/SplashBidNoticeAbstractUI.aspx?menuIndex=3&amp;refID=7056935&amp;Result=3","7056935")</f>
        <v>0</v>
      </c>
      <c r="B8436" t="s">
        <v>36</v>
      </c>
      <c r="C8436" t="s">
        <v>11430</v>
      </c>
      <c r="D8436" t="s">
        <v>16619</v>
      </c>
      <c r="E8436" t="s">
        <v>24065</v>
      </c>
      <c r="F8436" t="s">
        <v>28669</v>
      </c>
      <c r="G8436" t="s">
        <v>28675</v>
      </c>
      <c r="H8436" t="s">
        <v>9998</v>
      </c>
      <c r="I8436" t="s">
        <v>28697</v>
      </c>
      <c r="J8436" t="s">
        <v>29112</v>
      </c>
      <c r="K8436" t="s">
        <v>37210</v>
      </c>
      <c r="M8436" t="s">
        <v>37511</v>
      </c>
      <c r="N8436" t="s">
        <v>41249</v>
      </c>
      <c r="O8436" t="s">
        <v>41250</v>
      </c>
      <c r="P8436">
        <v>0</v>
      </c>
      <c r="Q8436">
        <v>6</v>
      </c>
      <c r="R8436" t="s">
        <v>41258</v>
      </c>
      <c r="S8436" t="s">
        <v>41513</v>
      </c>
      <c r="T8436" t="s">
        <v>43027</v>
      </c>
      <c r="U8436" t="s">
        <v>44561</v>
      </c>
      <c r="V8436" t="s">
        <v>54253</v>
      </c>
      <c r="W8436" t="s">
        <v>37511</v>
      </c>
      <c r="X8436" t="s">
        <v>41264</v>
      </c>
    </row>
    <row r="8437" spans="1:24">
      <c r="A8437">
        <f>HYPERLINK("https://www.philgeps.gov.ph/GEPSNONPILOT/Tender/SplashBidNoticeAbstractUI.aspx?menuIndex=3&amp;refID=7066519&amp;Result=3","7066519")</f>
        <v>0</v>
      </c>
      <c r="B8437" t="s">
        <v>2491</v>
      </c>
      <c r="C8437" t="s">
        <v>11431</v>
      </c>
      <c r="D8437" t="s">
        <v>16626</v>
      </c>
      <c r="E8437" t="s">
        <v>24066</v>
      </c>
      <c r="F8437" t="s">
        <v>28669</v>
      </c>
      <c r="G8437" t="s">
        <v>28675</v>
      </c>
      <c r="H8437" t="s">
        <v>9998</v>
      </c>
      <c r="I8437" t="s">
        <v>28688</v>
      </c>
      <c r="J8437" t="s">
        <v>34078</v>
      </c>
      <c r="K8437" t="s">
        <v>37234</v>
      </c>
      <c r="M8437" t="s">
        <v>40175</v>
      </c>
      <c r="N8437" t="s">
        <v>41249</v>
      </c>
      <c r="O8437" t="s">
        <v>41250</v>
      </c>
      <c r="P8437">
        <v>0</v>
      </c>
      <c r="Q8437">
        <v>2</v>
      </c>
      <c r="R8437" t="s">
        <v>41258</v>
      </c>
      <c r="S8437" t="s">
        <v>41513</v>
      </c>
      <c r="T8437" t="s">
        <v>43061</v>
      </c>
      <c r="U8437" t="s">
        <v>50049</v>
      </c>
      <c r="W8437" t="s">
        <v>40175</v>
      </c>
      <c r="X8437" t="s">
        <v>41259</v>
      </c>
    </row>
    <row r="8438" spans="1:24">
      <c r="A8438">
        <f>HYPERLINK("https://www.philgeps.gov.ph/GEPSNONPILOT/Tender/SplashBidNoticeAbstractUI.aspx?menuIndex=3&amp;refID=7066537&amp;Result=3","7066537")</f>
        <v>0</v>
      </c>
      <c r="B8438" t="s">
        <v>1789</v>
      </c>
      <c r="C8438" t="s">
        <v>11432</v>
      </c>
      <c r="D8438" t="s">
        <v>16617</v>
      </c>
      <c r="E8438" t="s">
        <v>24067</v>
      </c>
      <c r="F8438" t="s">
        <v>28669</v>
      </c>
      <c r="G8438" t="s">
        <v>28675</v>
      </c>
      <c r="H8438" t="s">
        <v>28685</v>
      </c>
      <c r="I8438" t="s">
        <v>28685</v>
      </c>
      <c r="J8438" t="s">
        <v>29225</v>
      </c>
      <c r="K8438" t="s">
        <v>37238</v>
      </c>
      <c r="M8438" t="s">
        <v>39396</v>
      </c>
      <c r="N8438" t="s">
        <v>41249</v>
      </c>
      <c r="O8438" t="s">
        <v>41250</v>
      </c>
      <c r="P8438">
        <v>0</v>
      </c>
      <c r="Q8438">
        <v>1</v>
      </c>
      <c r="R8438" t="s">
        <v>41258</v>
      </c>
      <c r="S8438" t="s">
        <v>41513</v>
      </c>
      <c r="T8438" t="s">
        <v>42743</v>
      </c>
      <c r="U8438" t="s">
        <v>50068</v>
      </c>
      <c r="W8438" t="s">
        <v>39396</v>
      </c>
      <c r="X8438" t="s">
        <v>41259</v>
      </c>
    </row>
    <row r="8439" spans="1:24">
      <c r="A8439">
        <f>HYPERLINK("https://www.philgeps.gov.ph/GEPSNONPILOT/Tender/SplashBidNoticeAbstractUI.aspx?menuIndex=3&amp;refID=7058565&amp;Result=3","7058565")</f>
        <v>0</v>
      </c>
      <c r="B8439" t="s">
        <v>930</v>
      </c>
      <c r="C8439" t="s">
        <v>11433</v>
      </c>
      <c r="D8439" t="s">
        <v>16658</v>
      </c>
      <c r="E8439" t="s">
        <v>24068</v>
      </c>
      <c r="F8439" t="s">
        <v>28669</v>
      </c>
      <c r="G8439" t="s">
        <v>28675</v>
      </c>
      <c r="H8439" t="s">
        <v>9998</v>
      </c>
      <c r="I8439" t="s">
        <v>5033</v>
      </c>
      <c r="J8439" t="s">
        <v>34079</v>
      </c>
      <c r="K8439" t="s">
        <v>37206</v>
      </c>
      <c r="M8439" t="s">
        <v>38452</v>
      </c>
      <c r="N8439" t="s">
        <v>41249</v>
      </c>
      <c r="O8439" t="s">
        <v>41250</v>
      </c>
      <c r="P8439">
        <v>0</v>
      </c>
      <c r="Q8439">
        <v>5</v>
      </c>
      <c r="R8439" t="s">
        <v>41258</v>
      </c>
      <c r="S8439" t="s">
        <v>41513</v>
      </c>
      <c r="T8439" t="s">
        <v>43070</v>
      </c>
      <c r="U8439" t="s">
        <v>50069</v>
      </c>
      <c r="W8439" t="s">
        <v>38452</v>
      </c>
      <c r="X8439" t="s">
        <v>41262</v>
      </c>
    </row>
    <row r="8440" spans="1:24">
      <c r="A8440">
        <f>HYPERLINK("https://www.philgeps.gov.ph/GEPSNONPILOT/Tender/SplashBidNoticeAbstractUI.aspx?menuIndex=3&amp;refID=7066554&amp;Result=3","7066554")</f>
        <v>0</v>
      </c>
      <c r="B8440" t="s">
        <v>2581</v>
      </c>
      <c r="C8440" t="s">
        <v>11434</v>
      </c>
      <c r="D8440" t="s">
        <v>16627</v>
      </c>
      <c r="E8440" t="s">
        <v>24069</v>
      </c>
      <c r="F8440" t="s">
        <v>28669</v>
      </c>
      <c r="G8440" t="s">
        <v>28675</v>
      </c>
      <c r="H8440" t="s">
        <v>28686</v>
      </c>
      <c r="I8440" t="s">
        <v>7352</v>
      </c>
      <c r="J8440" t="s">
        <v>34080</v>
      </c>
      <c r="K8440" t="s">
        <v>37215</v>
      </c>
      <c r="M8440" t="s">
        <v>40275</v>
      </c>
      <c r="N8440" t="s">
        <v>41249</v>
      </c>
      <c r="O8440" t="s">
        <v>41250</v>
      </c>
      <c r="P8440">
        <v>0</v>
      </c>
      <c r="Q8440">
        <v>1</v>
      </c>
      <c r="R8440" t="s">
        <v>41258</v>
      </c>
      <c r="S8440" t="s">
        <v>41513</v>
      </c>
      <c r="T8440" t="s">
        <v>42684</v>
      </c>
      <c r="U8440" t="s">
        <v>50070</v>
      </c>
      <c r="W8440" t="s">
        <v>40275</v>
      </c>
      <c r="X8440" t="s">
        <v>41259</v>
      </c>
    </row>
    <row r="8441" spans="1:24">
      <c r="A8441">
        <f>HYPERLINK("https://www.philgeps.gov.ph/GEPSNONPILOT/Tender/SplashBidNoticeAbstractUI.aspx?menuIndex=3&amp;refID=7056983&amp;Result=3","7056983")</f>
        <v>0</v>
      </c>
      <c r="B8441" t="s">
        <v>36</v>
      </c>
      <c r="C8441" t="s">
        <v>11435</v>
      </c>
      <c r="D8441" t="s">
        <v>16619</v>
      </c>
      <c r="E8441" t="s">
        <v>24070</v>
      </c>
      <c r="F8441" t="s">
        <v>28669</v>
      </c>
      <c r="G8441" t="s">
        <v>28676</v>
      </c>
      <c r="H8441" t="s">
        <v>9998</v>
      </c>
      <c r="I8441" t="s">
        <v>28815</v>
      </c>
      <c r="J8441" t="s">
        <v>28879</v>
      </c>
      <c r="K8441" t="s">
        <v>37210</v>
      </c>
      <c r="M8441" t="s">
        <v>37511</v>
      </c>
      <c r="N8441" t="s">
        <v>41249</v>
      </c>
      <c r="O8441" t="s">
        <v>41250</v>
      </c>
      <c r="P8441">
        <v>0</v>
      </c>
      <c r="Q8441">
        <v>4</v>
      </c>
      <c r="R8441" t="s">
        <v>41258</v>
      </c>
      <c r="S8441" t="s">
        <v>41513</v>
      </c>
      <c r="T8441" t="s">
        <v>43002</v>
      </c>
      <c r="U8441" t="s">
        <v>43210</v>
      </c>
      <c r="V8441" t="s">
        <v>54253</v>
      </c>
      <c r="W8441" t="s">
        <v>37511</v>
      </c>
      <c r="X8441" t="s">
        <v>41264</v>
      </c>
    </row>
    <row r="8442" spans="1:24">
      <c r="A8442">
        <f>HYPERLINK("https://www.philgeps.gov.ph/GEPSNONPILOT/Tender/SplashBidNoticeAbstractUI.aspx?menuIndex=3&amp;refID=7059741&amp;Result=3","7059741")</f>
        <v>0</v>
      </c>
      <c r="B8442" t="s">
        <v>2393</v>
      </c>
      <c r="C8442" t="s">
        <v>11436</v>
      </c>
      <c r="D8442" t="s">
        <v>16643</v>
      </c>
      <c r="E8442" t="s">
        <v>24071</v>
      </c>
      <c r="F8442" t="s">
        <v>28669</v>
      </c>
      <c r="G8442" t="s">
        <v>28675</v>
      </c>
      <c r="H8442" t="s">
        <v>28686</v>
      </c>
      <c r="I8442" t="s">
        <v>28689</v>
      </c>
      <c r="J8442" t="s">
        <v>34081</v>
      </c>
      <c r="K8442" t="s">
        <v>37285</v>
      </c>
      <c r="M8442" t="s">
        <v>40068</v>
      </c>
      <c r="N8442" t="s">
        <v>41249</v>
      </c>
      <c r="O8442" t="s">
        <v>41250</v>
      </c>
      <c r="P8442">
        <v>0</v>
      </c>
      <c r="Q8442">
        <v>8</v>
      </c>
      <c r="R8442" t="s">
        <v>41258</v>
      </c>
      <c r="S8442" t="s">
        <v>41513</v>
      </c>
      <c r="T8442" t="s">
        <v>42740</v>
      </c>
      <c r="U8442" t="s">
        <v>50071</v>
      </c>
      <c r="V8442" t="s">
        <v>55128</v>
      </c>
      <c r="W8442" t="s">
        <v>55992</v>
      </c>
      <c r="X8442" t="s">
        <v>41261</v>
      </c>
    </row>
    <row r="8443" spans="1:24">
      <c r="A8443">
        <f>HYPERLINK("https://www.philgeps.gov.ph/GEPSNONPILOT/Tender/SplashBidNoticeAbstractUI.aspx?menuIndex=3&amp;refID=7066550&amp;Result=3","7066550")</f>
        <v>0</v>
      </c>
      <c r="B8443" t="s">
        <v>2558</v>
      </c>
      <c r="C8443" t="s">
        <v>11437</v>
      </c>
      <c r="D8443" t="s">
        <v>16618</v>
      </c>
      <c r="E8443" t="s">
        <v>24072</v>
      </c>
      <c r="F8443" t="s">
        <v>28669</v>
      </c>
      <c r="G8443" t="s">
        <v>28675</v>
      </c>
      <c r="H8443" t="s">
        <v>28686</v>
      </c>
      <c r="I8443" t="s">
        <v>28689</v>
      </c>
      <c r="J8443" t="s">
        <v>30289</v>
      </c>
      <c r="K8443" t="s">
        <v>37213</v>
      </c>
      <c r="L8443" t="s">
        <v>2558</v>
      </c>
      <c r="M8443" t="s">
        <v>40251</v>
      </c>
      <c r="N8443" t="s">
        <v>41249</v>
      </c>
      <c r="O8443" t="s">
        <v>41250</v>
      </c>
      <c r="P8443">
        <v>0</v>
      </c>
      <c r="Q8443">
        <v>0</v>
      </c>
      <c r="R8443" t="s">
        <v>41258</v>
      </c>
      <c r="S8443" t="s">
        <v>41513</v>
      </c>
      <c r="T8443" t="s">
        <v>43036</v>
      </c>
      <c r="U8443" t="s">
        <v>49982</v>
      </c>
      <c r="W8443" t="s">
        <v>40251</v>
      </c>
      <c r="X8443" t="s">
        <v>41259</v>
      </c>
    </row>
    <row r="8444" spans="1:24">
      <c r="A8444">
        <f>HYPERLINK("https://www.philgeps.gov.ph/GEPSNONPILOT/Tender/SplashBidNoticeAbstractUI.aspx?menuIndex=3&amp;refID=7066546&amp;Result=3","7066546")</f>
        <v>0</v>
      </c>
      <c r="B8444" t="s">
        <v>1466</v>
      </c>
      <c r="C8444" t="s">
        <v>11438</v>
      </c>
      <c r="D8444" t="s">
        <v>16679</v>
      </c>
      <c r="E8444" t="s">
        <v>24073</v>
      </c>
      <c r="F8444" t="s">
        <v>28669</v>
      </c>
      <c r="G8444" t="s">
        <v>28675</v>
      </c>
      <c r="H8444" t="s">
        <v>28686</v>
      </c>
      <c r="I8444" t="s">
        <v>28689</v>
      </c>
      <c r="J8444" t="s">
        <v>30840</v>
      </c>
      <c r="K8444" t="s">
        <v>37220</v>
      </c>
      <c r="M8444" t="s">
        <v>39034</v>
      </c>
      <c r="N8444" t="s">
        <v>41249</v>
      </c>
      <c r="O8444" t="s">
        <v>41250</v>
      </c>
      <c r="P8444">
        <v>0</v>
      </c>
      <c r="Q8444">
        <v>4</v>
      </c>
      <c r="R8444" t="s">
        <v>41258</v>
      </c>
      <c r="S8444" t="s">
        <v>41513</v>
      </c>
      <c r="T8444" t="s">
        <v>42911</v>
      </c>
      <c r="U8444" t="s">
        <v>50072</v>
      </c>
      <c r="W8444" t="s">
        <v>55956</v>
      </c>
      <c r="X8444" t="s">
        <v>41259</v>
      </c>
    </row>
    <row r="8445" spans="1:24">
      <c r="A8445">
        <f>HYPERLINK("https://www.philgeps.gov.ph/GEPSNONPILOT/Tender/SplashBidNoticeAbstractUI.aspx?menuIndex=3&amp;refID=7066545&amp;Result=3","7066545")</f>
        <v>0</v>
      </c>
      <c r="B8445" t="s">
        <v>1829</v>
      </c>
      <c r="C8445" t="s">
        <v>11439</v>
      </c>
      <c r="D8445" t="s">
        <v>16661</v>
      </c>
      <c r="E8445" t="s">
        <v>24074</v>
      </c>
      <c r="F8445" t="s">
        <v>28669</v>
      </c>
      <c r="G8445" t="s">
        <v>28675</v>
      </c>
      <c r="H8445" t="s">
        <v>28686</v>
      </c>
      <c r="I8445" t="s">
        <v>28689</v>
      </c>
      <c r="J8445" t="s">
        <v>34082</v>
      </c>
      <c r="K8445" t="s">
        <v>37221</v>
      </c>
      <c r="M8445" t="s">
        <v>39634</v>
      </c>
      <c r="N8445" t="s">
        <v>41249</v>
      </c>
      <c r="O8445" t="s">
        <v>41250</v>
      </c>
      <c r="P8445">
        <v>0</v>
      </c>
      <c r="Q8445">
        <v>0</v>
      </c>
      <c r="R8445" t="s">
        <v>41258</v>
      </c>
      <c r="S8445" t="s">
        <v>41513</v>
      </c>
      <c r="T8445" t="s">
        <v>42929</v>
      </c>
      <c r="U8445" t="s">
        <v>50020</v>
      </c>
      <c r="V8445" t="s">
        <v>55208</v>
      </c>
      <c r="W8445" t="s">
        <v>55976</v>
      </c>
      <c r="X8445" t="s">
        <v>41259</v>
      </c>
    </row>
    <row r="8446" spans="1:24">
      <c r="A8446">
        <f>HYPERLINK("https://www.philgeps.gov.ph/GEPSNONPILOT/Tender/SplashBidNoticeAbstractUI.aspx?menuIndex=3&amp;refID=7066325&amp;Result=3","7066325")</f>
        <v>0</v>
      </c>
      <c r="B8446" t="s">
        <v>2571</v>
      </c>
      <c r="C8446" t="s">
        <v>11440</v>
      </c>
      <c r="D8446" t="s">
        <v>16671</v>
      </c>
      <c r="E8446" t="s">
        <v>24075</v>
      </c>
      <c r="F8446" t="s">
        <v>28669</v>
      </c>
      <c r="G8446" t="s">
        <v>28675</v>
      </c>
      <c r="H8446" t="s">
        <v>28686</v>
      </c>
      <c r="I8446" t="s">
        <v>28689</v>
      </c>
      <c r="J8446" t="s">
        <v>34083</v>
      </c>
      <c r="K8446" t="s">
        <v>37213</v>
      </c>
      <c r="M8446" t="s">
        <v>40265</v>
      </c>
      <c r="N8446" t="s">
        <v>41249</v>
      </c>
      <c r="O8446" t="s">
        <v>41250</v>
      </c>
      <c r="P8446">
        <v>0</v>
      </c>
      <c r="Q8446">
        <v>0</v>
      </c>
      <c r="R8446" t="s">
        <v>41258</v>
      </c>
      <c r="S8446" t="s">
        <v>41513</v>
      </c>
      <c r="T8446" t="s">
        <v>42984</v>
      </c>
      <c r="U8446" t="s">
        <v>50073</v>
      </c>
      <c r="W8446" t="s">
        <v>40265</v>
      </c>
      <c r="X8446" t="s">
        <v>41259</v>
      </c>
    </row>
    <row r="8447" spans="1:24">
      <c r="A8447">
        <f>HYPERLINK("https://www.philgeps.gov.ph/GEPSNONPILOT/Tender/SplashBidNoticeAbstractUI.aspx?menuIndex=3&amp;refID=7062757&amp;Result=3","7062757")</f>
        <v>0</v>
      </c>
      <c r="B8447" t="s">
        <v>1125</v>
      </c>
      <c r="C8447" t="s">
        <v>11441</v>
      </c>
      <c r="D8447" t="s">
        <v>16616</v>
      </c>
      <c r="E8447" t="s">
        <v>24076</v>
      </c>
      <c r="F8447" t="s">
        <v>28669</v>
      </c>
      <c r="G8447" t="s">
        <v>28675</v>
      </c>
      <c r="H8447" t="s">
        <v>28686</v>
      </c>
      <c r="I8447" t="s">
        <v>28689</v>
      </c>
      <c r="J8447" t="s">
        <v>28847</v>
      </c>
      <c r="K8447" t="s">
        <v>37271</v>
      </c>
      <c r="M8447" t="s">
        <v>40077</v>
      </c>
      <c r="N8447" t="s">
        <v>41249</v>
      </c>
      <c r="O8447" t="s">
        <v>41250</v>
      </c>
      <c r="P8447">
        <v>0</v>
      </c>
      <c r="Q8447">
        <v>0</v>
      </c>
      <c r="R8447" t="s">
        <v>41258</v>
      </c>
      <c r="S8447" t="s">
        <v>41513</v>
      </c>
      <c r="T8447" t="s">
        <v>43016</v>
      </c>
      <c r="U8447" t="s">
        <v>50074</v>
      </c>
      <c r="W8447" t="s">
        <v>40077</v>
      </c>
      <c r="X8447" t="s">
        <v>41260</v>
      </c>
    </row>
    <row r="8448" spans="1:24">
      <c r="A8448">
        <f>HYPERLINK("https://www.philgeps.gov.ph/GEPSNONPILOT/Tender/SplashBidNoticeAbstractUI.aspx?menuIndex=3&amp;refID=7066539&amp;Result=3","7066539")</f>
        <v>0</v>
      </c>
      <c r="B8448" t="s">
        <v>667</v>
      </c>
      <c r="C8448" t="s">
        <v>11442</v>
      </c>
      <c r="D8448" t="s">
        <v>16630</v>
      </c>
      <c r="E8448" t="s">
        <v>24077</v>
      </c>
      <c r="F8448" t="s">
        <v>28669</v>
      </c>
      <c r="G8448" t="s">
        <v>28676</v>
      </c>
      <c r="H8448" t="s">
        <v>9998</v>
      </c>
      <c r="I8448" t="s">
        <v>7352</v>
      </c>
      <c r="J8448" t="s">
        <v>34084</v>
      </c>
      <c r="K8448" t="s">
        <v>37204</v>
      </c>
      <c r="M8448" t="s">
        <v>38170</v>
      </c>
      <c r="N8448" t="s">
        <v>41249</v>
      </c>
      <c r="O8448" t="s">
        <v>41250</v>
      </c>
      <c r="P8448">
        <v>0</v>
      </c>
      <c r="Q8448">
        <v>0</v>
      </c>
      <c r="R8448" t="s">
        <v>41258</v>
      </c>
      <c r="S8448" t="s">
        <v>41513</v>
      </c>
      <c r="T8448" t="s">
        <v>42767</v>
      </c>
      <c r="U8448" t="s">
        <v>50075</v>
      </c>
      <c r="W8448" t="s">
        <v>38170</v>
      </c>
      <c r="X8448" t="s">
        <v>41259</v>
      </c>
    </row>
    <row r="8449" spans="1:24">
      <c r="A8449">
        <f>HYPERLINK("https://www.philgeps.gov.ph/GEPSNONPILOT/Tender/SplashBidNoticeAbstractUI.aspx?menuIndex=3&amp;refID=7059750&amp;Result=3","7059750")</f>
        <v>0</v>
      </c>
      <c r="B8449" t="s">
        <v>2398</v>
      </c>
      <c r="C8449" t="s">
        <v>11443</v>
      </c>
      <c r="D8449" t="s">
        <v>16679</v>
      </c>
      <c r="E8449" t="s">
        <v>23413</v>
      </c>
      <c r="F8449" t="s">
        <v>28669</v>
      </c>
      <c r="G8449" t="s">
        <v>28675</v>
      </c>
      <c r="H8449" t="s">
        <v>9998</v>
      </c>
      <c r="I8449" t="s">
        <v>28744</v>
      </c>
      <c r="J8449" t="s">
        <v>34085</v>
      </c>
      <c r="K8449" t="s">
        <v>37204</v>
      </c>
      <c r="M8449" t="s">
        <v>40074</v>
      </c>
      <c r="N8449" t="s">
        <v>41249</v>
      </c>
      <c r="O8449" t="s">
        <v>41250</v>
      </c>
      <c r="P8449">
        <v>0</v>
      </c>
      <c r="Q8449">
        <v>2</v>
      </c>
      <c r="R8449" t="s">
        <v>41258</v>
      </c>
      <c r="S8449" t="s">
        <v>41513</v>
      </c>
      <c r="T8449" t="s">
        <v>42992</v>
      </c>
      <c r="U8449" t="s">
        <v>50076</v>
      </c>
      <c r="W8449" t="s">
        <v>40074</v>
      </c>
      <c r="X8449" t="s">
        <v>41261</v>
      </c>
    </row>
    <row r="8450" spans="1:24">
      <c r="A8450">
        <f>HYPERLINK("https://www.philgeps.gov.ph/GEPSNONPILOT/Tender/SplashBidNoticeAbstractUI.aspx?menuIndex=3&amp;refID=7066536&amp;Result=3","7066536")</f>
        <v>0</v>
      </c>
      <c r="B8450" t="s">
        <v>2583</v>
      </c>
      <c r="C8450" t="s">
        <v>11444</v>
      </c>
      <c r="D8450" t="s">
        <v>16618</v>
      </c>
      <c r="E8450" t="s">
        <v>24078</v>
      </c>
      <c r="F8450" t="s">
        <v>28669</v>
      </c>
      <c r="G8450" t="s">
        <v>28677</v>
      </c>
      <c r="H8450" t="s">
        <v>9998</v>
      </c>
      <c r="I8450" t="s">
        <v>5286</v>
      </c>
      <c r="J8450" t="s">
        <v>29110</v>
      </c>
      <c r="K8450" t="s">
        <v>37205</v>
      </c>
      <c r="M8450" t="s">
        <v>40278</v>
      </c>
      <c r="N8450" t="s">
        <v>41249</v>
      </c>
      <c r="O8450" t="s">
        <v>41250</v>
      </c>
      <c r="P8450">
        <v>0</v>
      </c>
      <c r="Q8450">
        <v>1</v>
      </c>
      <c r="R8450" t="s">
        <v>41258</v>
      </c>
      <c r="S8450" t="s">
        <v>41513</v>
      </c>
      <c r="T8450" t="s">
        <v>42728</v>
      </c>
      <c r="U8450" t="s">
        <v>50077</v>
      </c>
      <c r="W8450" t="s">
        <v>40278</v>
      </c>
      <c r="X8450" t="s">
        <v>41259</v>
      </c>
    </row>
    <row r="8451" spans="1:24">
      <c r="A8451">
        <f>HYPERLINK("https://www.philgeps.gov.ph/GEPSNONPILOT/Tender/SplashBidNoticeAbstractUI.aspx?menuIndex=3&amp;refID=7066535&amp;Result=3","7066535")</f>
        <v>0</v>
      </c>
      <c r="B8451" t="s">
        <v>1466</v>
      </c>
      <c r="C8451" t="s">
        <v>11445</v>
      </c>
      <c r="D8451" t="s">
        <v>16679</v>
      </c>
      <c r="E8451" t="s">
        <v>24079</v>
      </c>
      <c r="F8451" t="s">
        <v>28669</v>
      </c>
      <c r="G8451" t="s">
        <v>28675</v>
      </c>
      <c r="H8451" t="s">
        <v>28686</v>
      </c>
      <c r="I8451" t="s">
        <v>28689</v>
      </c>
      <c r="J8451" t="s">
        <v>28836</v>
      </c>
      <c r="K8451" t="s">
        <v>37221</v>
      </c>
      <c r="M8451" t="s">
        <v>39034</v>
      </c>
      <c r="N8451" t="s">
        <v>41249</v>
      </c>
      <c r="O8451" t="s">
        <v>41250</v>
      </c>
      <c r="P8451">
        <v>0</v>
      </c>
      <c r="Q8451">
        <v>4</v>
      </c>
      <c r="R8451" t="s">
        <v>41258</v>
      </c>
      <c r="S8451" t="s">
        <v>41513</v>
      </c>
      <c r="T8451" t="s">
        <v>42911</v>
      </c>
      <c r="U8451" t="s">
        <v>50072</v>
      </c>
      <c r="W8451" t="s">
        <v>55956</v>
      </c>
      <c r="X8451" t="s">
        <v>41259</v>
      </c>
    </row>
    <row r="8452" spans="1:24">
      <c r="A8452">
        <f>HYPERLINK("https://www.philgeps.gov.ph/GEPSNONPILOT/Tender/SplashBidNoticeAbstractUI.aspx?menuIndex=3&amp;refID=7066532&amp;Result=3","7066532")</f>
        <v>0</v>
      </c>
      <c r="B8452" t="s">
        <v>1628</v>
      </c>
      <c r="C8452" t="s">
        <v>11446</v>
      </c>
      <c r="D8452" t="s">
        <v>16652</v>
      </c>
      <c r="E8452" t="s">
        <v>18990</v>
      </c>
      <c r="F8452" t="s">
        <v>28669</v>
      </c>
      <c r="G8452" t="s">
        <v>28675</v>
      </c>
      <c r="H8452" t="s">
        <v>9998</v>
      </c>
      <c r="I8452" t="s">
        <v>28722</v>
      </c>
      <c r="J8452" t="s">
        <v>34086</v>
      </c>
      <c r="K8452" t="s">
        <v>37206</v>
      </c>
      <c r="M8452" t="s">
        <v>39215</v>
      </c>
      <c r="N8452" t="s">
        <v>41249</v>
      </c>
      <c r="O8452" t="s">
        <v>41250</v>
      </c>
      <c r="P8452">
        <v>0</v>
      </c>
      <c r="Q8452">
        <v>2</v>
      </c>
      <c r="R8452" t="s">
        <v>41258</v>
      </c>
      <c r="S8452" t="s">
        <v>41513</v>
      </c>
      <c r="T8452" t="s">
        <v>42747</v>
      </c>
      <c r="U8452" t="s">
        <v>50078</v>
      </c>
      <c r="W8452" t="s">
        <v>39215</v>
      </c>
      <c r="X8452" t="s">
        <v>41259</v>
      </c>
    </row>
    <row r="8453" spans="1:24">
      <c r="A8453">
        <f>HYPERLINK("https://www.philgeps.gov.ph/GEPSNONPILOT/Tender/SplashBidNoticeAbstractUI.aspx?menuIndex=3&amp;refID=7066531&amp;Result=3","7066531")</f>
        <v>0</v>
      </c>
      <c r="B8453" t="s">
        <v>2558</v>
      </c>
      <c r="C8453" t="s">
        <v>11447</v>
      </c>
      <c r="D8453" t="s">
        <v>16618</v>
      </c>
      <c r="E8453" t="s">
        <v>24080</v>
      </c>
      <c r="F8453" t="s">
        <v>28669</v>
      </c>
      <c r="G8453" t="s">
        <v>28675</v>
      </c>
      <c r="H8453" t="s">
        <v>28686</v>
      </c>
      <c r="I8453" t="s">
        <v>28689</v>
      </c>
      <c r="J8453" t="s">
        <v>30289</v>
      </c>
      <c r="K8453" t="s">
        <v>37213</v>
      </c>
      <c r="L8453" t="s">
        <v>2558</v>
      </c>
      <c r="M8453" t="s">
        <v>40251</v>
      </c>
      <c r="N8453" t="s">
        <v>41249</v>
      </c>
      <c r="O8453" t="s">
        <v>41250</v>
      </c>
      <c r="P8453">
        <v>0</v>
      </c>
      <c r="Q8453">
        <v>0</v>
      </c>
      <c r="R8453" t="s">
        <v>41258</v>
      </c>
      <c r="S8453" t="s">
        <v>41513</v>
      </c>
      <c r="T8453" t="s">
        <v>43036</v>
      </c>
      <c r="U8453" t="s">
        <v>49982</v>
      </c>
      <c r="W8453" t="s">
        <v>40251</v>
      </c>
      <c r="X8453" t="s">
        <v>41259</v>
      </c>
    </row>
    <row r="8454" spans="1:24">
      <c r="A8454">
        <f>HYPERLINK("https://www.philgeps.gov.ph/GEPSNONPILOT/Tender/SplashBidNoticeAbstractUI.aspx?menuIndex=3&amp;refID=7066530&amp;Result=3","7066530")</f>
        <v>0</v>
      </c>
      <c r="B8454" t="s">
        <v>2173</v>
      </c>
      <c r="C8454" t="s">
        <v>11448</v>
      </c>
      <c r="D8454" t="s">
        <v>16664</v>
      </c>
      <c r="E8454" t="s">
        <v>24081</v>
      </c>
      <c r="F8454" t="s">
        <v>28669</v>
      </c>
      <c r="G8454" t="s">
        <v>28675</v>
      </c>
      <c r="H8454" t="s">
        <v>9998</v>
      </c>
      <c r="I8454" t="s">
        <v>28693</v>
      </c>
      <c r="J8454" t="s">
        <v>34087</v>
      </c>
      <c r="K8454" t="s">
        <v>37207</v>
      </c>
      <c r="M8454" t="s">
        <v>39822</v>
      </c>
      <c r="N8454" t="s">
        <v>41249</v>
      </c>
      <c r="O8454" t="s">
        <v>41250</v>
      </c>
      <c r="P8454">
        <v>0</v>
      </c>
      <c r="Q8454">
        <v>3</v>
      </c>
      <c r="R8454" t="s">
        <v>41258</v>
      </c>
      <c r="S8454" t="s">
        <v>41513</v>
      </c>
      <c r="T8454" t="s">
        <v>42765</v>
      </c>
      <c r="U8454" t="s">
        <v>50079</v>
      </c>
      <c r="V8454" t="s">
        <v>55213</v>
      </c>
      <c r="W8454" t="s">
        <v>39822</v>
      </c>
      <c r="X8454" t="s">
        <v>41259</v>
      </c>
    </row>
    <row r="8455" spans="1:24">
      <c r="A8455">
        <f>HYPERLINK("https://www.philgeps.gov.ph/GEPSNONPILOT/Tender/SplashBidNoticeAbstractUI.aspx?menuIndex=3&amp;refID=7066529&amp;Result=3","7066529")</f>
        <v>0</v>
      </c>
      <c r="B8455" t="s">
        <v>2072</v>
      </c>
      <c r="C8455" t="s">
        <v>11449</v>
      </c>
      <c r="D8455" t="s">
        <v>16642</v>
      </c>
      <c r="E8455" t="s">
        <v>24082</v>
      </c>
      <c r="F8455" t="s">
        <v>28669</v>
      </c>
      <c r="G8455" t="s">
        <v>28675</v>
      </c>
      <c r="H8455" t="s">
        <v>9998</v>
      </c>
      <c r="I8455" t="s">
        <v>28708</v>
      </c>
      <c r="J8455" t="s">
        <v>34088</v>
      </c>
      <c r="K8455" t="s">
        <v>37205</v>
      </c>
      <c r="M8455" t="s">
        <v>39713</v>
      </c>
      <c r="N8455" t="s">
        <v>41249</v>
      </c>
      <c r="O8455" t="s">
        <v>41250</v>
      </c>
      <c r="P8455">
        <v>0</v>
      </c>
      <c r="Q8455">
        <v>1</v>
      </c>
      <c r="R8455" t="s">
        <v>41258</v>
      </c>
      <c r="S8455" t="s">
        <v>41513</v>
      </c>
      <c r="T8455" t="s">
        <v>42747</v>
      </c>
      <c r="U8455" t="s">
        <v>50080</v>
      </c>
      <c r="V8455" t="s">
        <v>55214</v>
      </c>
      <c r="W8455" t="s">
        <v>39713</v>
      </c>
      <c r="X8455" t="s">
        <v>41259</v>
      </c>
    </row>
    <row r="8456" spans="1:24">
      <c r="A8456">
        <f>HYPERLINK("https://www.philgeps.gov.ph/GEPSNONPILOT/Tender/SplashBidNoticeAbstractUI.aspx?menuIndex=3&amp;refID=7066542&amp;Result=3","7066542")</f>
        <v>0</v>
      </c>
      <c r="B8456" t="s">
        <v>1694</v>
      </c>
      <c r="C8456" t="s">
        <v>11450</v>
      </c>
      <c r="D8456" t="s">
        <v>16616</v>
      </c>
      <c r="E8456" t="s">
        <v>24083</v>
      </c>
      <c r="F8456" t="s">
        <v>28669</v>
      </c>
      <c r="G8456" t="s">
        <v>28675</v>
      </c>
      <c r="H8456" t="s">
        <v>9998</v>
      </c>
      <c r="I8456" t="s">
        <v>5286</v>
      </c>
      <c r="J8456" t="s">
        <v>34089</v>
      </c>
      <c r="K8456" t="s">
        <v>37221</v>
      </c>
      <c r="M8456" t="s">
        <v>40261</v>
      </c>
      <c r="N8456" t="s">
        <v>41249</v>
      </c>
      <c r="O8456" t="s">
        <v>41250</v>
      </c>
      <c r="P8456">
        <v>0</v>
      </c>
      <c r="Q8456">
        <v>7</v>
      </c>
      <c r="R8456" t="s">
        <v>41258</v>
      </c>
      <c r="S8456" t="s">
        <v>41513</v>
      </c>
      <c r="T8456" t="s">
        <v>42721</v>
      </c>
      <c r="U8456" t="s">
        <v>50081</v>
      </c>
      <c r="V8456" t="s">
        <v>55215</v>
      </c>
      <c r="W8456" t="s">
        <v>40261</v>
      </c>
      <c r="X8456" t="s">
        <v>41259</v>
      </c>
    </row>
    <row r="8457" spans="1:24">
      <c r="A8457">
        <f>HYPERLINK("https://www.philgeps.gov.ph/GEPSNONPILOT/Tender/SplashBidNoticeAbstractUI.aspx?menuIndex=3&amp;refID=7066523&amp;Result=3","7066523")</f>
        <v>0</v>
      </c>
      <c r="B8457" t="s">
        <v>2575</v>
      </c>
      <c r="C8457" t="s">
        <v>11451</v>
      </c>
      <c r="D8457" t="s">
        <v>16648</v>
      </c>
      <c r="E8457" t="s">
        <v>24084</v>
      </c>
      <c r="F8457" t="s">
        <v>28669</v>
      </c>
      <c r="G8457" t="s">
        <v>28675</v>
      </c>
      <c r="H8457" t="s">
        <v>9998</v>
      </c>
      <c r="I8457" t="s">
        <v>28706</v>
      </c>
      <c r="J8457" t="s">
        <v>34090</v>
      </c>
      <c r="K8457" t="s">
        <v>37209</v>
      </c>
      <c r="M8457" t="s">
        <v>40269</v>
      </c>
      <c r="N8457" t="s">
        <v>41249</v>
      </c>
      <c r="O8457" t="s">
        <v>41250</v>
      </c>
      <c r="P8457">
        <v>0</v>
      </c>
      <c r="Q8457">
        <v>1</v>
      </c>
      <c r="R8457" t="s">
        <v>41258</v>
      </c>
      <c r="S8457" t="s">
        <v>41513</v>
      </c>
      <c r="T8457" t="s">
        <v>42836</v>
      </c>
      <c r="U8457" t="s">
        <v>50082</v>
      </c>
      <c r="W8457" t="s">
        <v>40269</v>
      </c>
      <c r="X8457" t="s">
        <v>41259</v>
      </c>
    </row>
    <row r="8458" spans="1:24">
      <c r="A8458">
        <f>HYPERLINK("https://www.philgeps.gov.ph/GEPSNONPILOT/Tender/SplashBidNoticeAbstractUI.aspx?menuIndex=3&amp;refID=7066541&amp;Result=3","7066541")</f>
        <v>0</v>
      </c>
      <c r="B8458" t="s">
        <v>1658</v>
      </c>
      <c r="C8458" t="s">
        <v>11452</v>
      </c>
      <c r="D8458" t="s">
        <v>16624</v>
      </c>
      <c r="E8458" t="s">
        <v>24085</v>
      </c>
      <c r="F8458" t="s">
        <v>28669</v>
      </c>
      <c r="G8458" t="s">
        <v>28675</v>
      </c>
      <c r="H8458" t="s">
        <v>28686</v>
      </c>
      <c r="I8458" t="s">
        <v>28689</v>
      </c>
      <c r="J8458" t="s">
        <v>29950</v>
      </c>
      <c r="K8458" t="s">
        <v>37226</v>
      </c>
      <c r="M8458" t="s">
        <v>39249</v>
      </c>
      <c r="N8458" t="s">
        <v>41249</v>
      </c>
      <c r="O8458" t="s">
        <v>41250</v>
      </c>
      <c r="P8458">
        <v>0</v>
      </c>
      <c r="Q8458">
        <v>0</v>
      </c>
      <c r="R8458" t="s">
        <v>41258</v>
      </c>
      <c r="S8458" t="s">
        <v>41513</v>
      </c>
      <c r="T8458" t="s">
        <v>42782</v>
      </c>
      <c r="U8458" t="s">
        <v>50083</v>
      </c>
      <c r="W8458" t="s">
        <v>39249</v>
      </c>
      <c r="X8458" t="s">
        <v>41259</v>
      </c>
    </row>
    <row r="8459" spans="1:24">
      <c r="A8459">
        <f>HYPERLINK("https://www.philgeps.gov.ph/GEPSNONPILOT/Tender/SplashBidNoticeAbstractUI.aspx?menuIndex=3&amp;refID=7056696&amp;Result=3","7056696")</f>
        <v>0</v>
      </c>
      <c r="B8459" t="s">
        <v>2392</v>
      </c>
      <c r="C8459" t="s">
        <v>11453</v>
      </c>
      <c r="D8459" t="s">
        <v>16619</v>
      </c>
      <c r="E8459" t="s">
        <v>24086</v>
      </c>
      <c r="F8459" t="s">
        <v>28669</v>
      </c>
      <c r="G8459" t="s">
        <v>28675</v>
      </c>
      <c r="H8459" t="s">
        <v>9998</v>
      </c>
      <c r="I8459" t="s">
        <v>28709</v>
      </c>
      <c r="J8459" t="s">
        <v>33589</v>
      </c>
      <c r="K8459" t="s">
        <v>37205</v>
      </c>
      <c r="M8459" t="s">
        <v>40067</v>
      </c>
      <c r="N8459" t="s">
        <v>41249</v>
      </c>
      <c r="O8459" t="s">
        <v>41250</v>
      </c>
      <c r="P8459">
        <v>0</v>
      </c>
      <c r="Q8459">
        <v>4</v>
      </c>
      <c r="R8459" t="s">
        <v>41258</v>
      </c>
      <c r="S8459" t="s">
        <v>41513</v>
      </c>
      <c r="T8459" t="s">
        <v>42767</v>
      </c>
      <c r="U8459" t="s">
        <v>50084</v>
      </c>
      <c r="W8459" t="s">
        <v>40067</v>
      </c>
      <c r="X8459" t="s">
        <v>41264</v>
      </c>
    </row>
    <row r="8460" spans="1:24">
      <c r="A8460">
        <f>HYPERLINK("https://www.philgeps.gov.ph/GEPSNONPILOT/Tender/SplashBidNoticeAbstractUI.aspx?menuIndex=3&amp;refID=7066534&amp;Result=3","7066534")</f>
        <v>0</v>
      </c>
      <c r="B8460" t="s">
        <v>2584</v>
      </c>
      <c r="C8460" t="s">
        <v>11454</v>
      </c>
      <c r="D8460" t="s">
        <v>16671</v>
      </c>
      <c r="E8460" t="s">
        <v>24087</v>
      </c>
      <c r="F8460" t="s">
        <v>28669</v>
      </c>
      <c r="G8460" t="s">
        <v>28675</v>
      </c>
      <c r="H8460" t="s">
        <v>28686</v>
      </c>
      <c r="I8460" t="s">
        <v>28689</v>
      </c>
      <c r="J8460" t="s">
        <v>34091</v>
      </c>
      <c r="K8460" t="s">
        <v>37213</v>
      </c>
      <c r="M8460" t="s">
        <v>40279</v>
      </c>
      <c r="N8460" t="s">
        <v>41249</v>
      </c>
      <c r="O8460" t="s">
        <v>41250</v>
      </c>
      <c r="P8460">
        <v>0</v>
      </c>
      <c r="Q8460">
        <v>0</v>
      </c>
      <c r="R8460" t="s">
        <v>41258</v>
      </c>
      <c r="S8460" t="s">
        <v>41513</v>
      </c>
      <c r="T8460" t="s">
        <v>42760</v>
      </c>
      <c r="U8460" t="s">
        <v>50085</v>
      </c>
      <c r="V8460" t="s">
        <v>55216</v>
      </c>
      <c r="W8460" t="s">
        <v>40279</v>
      </c>
      <c r="X8460" t="s">
        <v>41259</v>
      </c>
    </row>
    <row r="8461" spans="1:24">
      <c r="A8461">
        <f>HYPERLINK("https://www.philgeps.gov.ph/GEPSNONPILOT/Tender/SplashBidNoticeAbstractUI.aspx?menuIndex=3&amp;refID=7051781&amp;Result=3","7051781")</f>
        <v>0</v>
      </c>
      <c r="B8461" t="s">
        <v>2079</v>
      </c>
      <c r="C8461" t="s">
        <v>11455</v>
      </c>
      <c r="D8461" t="s">
        <v>16611</v>
      </c>
      <c r="E8461" t="s">
        <v>24088</v>
      </c>
      <c r="F8461" t="s">
        <v>28669</v>
      </c>
      <c r="G8461" t="s">
        <v>28675</v>
      </c>
      <c r="H8461" t="s">
        <v>9998</v>
      </c>
      <c r="I8461" t="s">
        <v>28699</v>
      </c>
      <c r="J8461" t="s">
        <v>34092</v>
      </c>
      <c r="K8461" t="s">
        <v>37206</v>
      </c>
      <c r="M8461" t="s">
        <v>39720</v>
      </c>
      <c r="N8461" t="s">
        <v>41249</v>
      </c>
      <c r="O8461" t="s">
        <v>41250</v>
      </c>
      <c r="P8461">
        <v>0</v>
      </c>
      <c r="Q8461">
        <v>3</v>
      </c>
      <c r="R8461" t="s">
        <v>41258</v>
      </c>
      <c r="S8461" t="s">
        <v>41513</v>
      </c>
      <c r="T8461" t="s">
        <v>42679</v>
      </c>
      <c r="U8461" t="s">
        <v>50086</v>
      </c>
      <c r="V8461" t="s">
        <v>54960</v>
      </c>
      <c r="W8461" t="s">
        <v>39720</v>
      </c>
      <c r="X8461" t="s">
        <v>41266</v>
      </c>
    </row>
    <row r="8462" spans="1:24">
      <c r="A8462">
        <f>HYPERLINK("https://www.philgeps.gov.ph/GEPSNONPILOT/Tender/SplashBidNoticeAbstractUI.aspx?menuIndex=3&amp;refID=7051712&amp;Result=3","7051712")</f>
        <v>0</v>
      </c>
      <c r="B8462" t="s">
        <v>2079</v>
      </c>
      <c r="C8462" t="s">
        <v>11456</v>
      </c>
      <c r="D8462" t="s">
        <v>16611</v>
      </c>
      <c r="E8462" t="s">
        <v>24089</v>
      </c>
      <c r="F8462" t="s">
        <v>28669</v>
      </c>
      <c r="G8462" t="s">
        <v>28675</v>
      </c>
      <c r="H8462" t="s">
        <v>9998</v>
      </c>
      <c r="I8462" t="s">
        <v>6128</v>
      </c>
      <c r="J8462" t="s">
        <v>34093</v>
      </c>
      <c r="K8462" t="s">
        <v>37206</v>
      </c>
      <c r="M8462" t="s">
        <v>39720</v>
      </c>
      <c r="N8462" t="s">
        <v>41249</v>
      </c>
      <c r="O8462" t="s">
        <v>41250</v>
      </c>
      <c r="P8462">
        <v>0</v>
      </c>
      <c r="Q8462">
        <v>1</v>
      </c>
      <c r="R8462" t="s">
        <v>41258</v>
      </c>
      <c r="S8462" t="s">
        <v>41513</v>
      </c>
      <c r="T8462" t="s">
        <v>42679</v>
      </c>
      <c r="U8462" t="s">
        <v>50087</v>
      </c>
      <c r="V8462" t="s">
        <v>55217</v>
      </c>
      <c r="W8462" t="s">
        <v>39720</v>
      </c>
      <c r="X8462" t="s">
        <v>41266</v>
      </c>
    </row>
    <row r="8463" spans="1:24">
      <c r="A8463">
        <f>HYPERLINK("https://www.philgeps.gov.ph/GEPSNONPILOT/Tender/SplashBidNoticeAbstractUI.aspx?menuIndex=3&amp;refID=7051649&amp;Result=3","7051649")</f>
        <v>0</v>
      </c>
      <c r="B8463" t="s">
        <v>2079</v>
      </c>
      <c r="C8463" t="s">
        <v>11457</v>
      </c>
      <c r="D8463" t="s">
        <v>16611</v>
      </c>
      <c r="E8463" t="s">
        <v>24090</v>
      </c>
      <c r="F8463" t="s">
        <v>28669</v>
      </c>
      <c r="G8463" t="s">
        <v>28675</v>
      </c>
      <c r="H8463" t="s">
        <v>9998</v>
      </c>
      <c r="I8463" t="s">
        <v>28717</v>
      </c>
      <c r="J8463" t="s">
        <v>34094</v>
      </c>
      <c r="K8463" t="s">
        <v>37206</v>
      </c>
      <c r="M8463" t="s">
        <v>39720</v>
      </c>
      <c r="N8463" t="s">
        <v>41249</v>
      </c>
      <c r="O8463" t="s">
        <v>41250</v>
      </c>
      <c r="P8463">
        <v>0</v>
      </c>
      <c r="Q8463">
        <v>7</v>
      </c>
      <c r="R8463" t="s">
        <v>41258</v>
      </c>
      <c r="S8463" t="s">
        <v>41513</v>
      </c>
      <c r="T8463" t="s">
        <v>42679</v>
      </c>
      <c r="U8463" t="s">
        <v>50088</v>
      </c>
      <c r="V8463" t="s">
        <v>55217</v>
      </c>
      <c r="W8463" t="s">
        <v>39720</v>
      </c>
      <c r="X8463" t="s">
        <v>41266</v>
      </c>
    </row>
    <row r="8464" spans="1:24">
      <c r="A8464">
        <f>HYPERLINK("https://www.philgeps.gov.ph/GEPSNONPILOT/Tender/SplashBidNoticeAbstractUI.aspx?menuIndex=3&amp;refID=7051605&amp;Result=3","7051605")</f>
        <v>0</v>
      </c>
      <c r="B8464" t="s">
        <v>2079</v>
      </c>
      <c r="C8464" t="s">
        <v>9444</v>
      </c>
      <c r="D8464" t="s">
        <v>16611</v>
      </c>
      <c r="E8464" t="s">
        <v>24091</v>
      </c>
      <c r="F8464" t="s">
        <v>28669</v>
      </c>
      <c r="G8464" t="s">
        <v>28675</v>
      </c>
      <c r="H8464" t="s">
        <v>9998</v>
      </c>
      <c r="I8464" t="s">
        <v>28708</v>
      </c>
      <c r="J8464" t="s">
        <v>34095</v>
      </c>
      <c r="K8464" t="s">
        <v>37227</v>
      </c>
      <c r="M8464" t="s">
        <v>39720</v>
      </c>
      <c r="N8464" t="s">
        <v>41249</v>
      </c>
      <c r="O8464" t="s">
        <v>41250</v>
      </c>
      <c r="P8464">
        <v>0</v>
      </c>
      <c r="Q8464">
        <v>5</v>
      </c>
      <c r="R8464" t="s">
        <v>41258</v>
      </c>
      <c r="S8464" t="s">
        <v>41513</v>
      </c>
      <c r="T8464" t="s">
        <v>42679</v>
      </c>
      <c r="U8464" t="s">
        <v>50089</v>
      </c>
      <c r="V8464" t="s">
        <v>54960</v>
      </c>
      <c r="W8464" t="s">
        <v>39720</v>
      </c>
      <c r="X8464" t="s">
        <v>41266</v>
      </c>
    </row>
    <row r="8465" spans="1:24">
      <c r="A8465">
        <f>HYPERLINK("https://www.philgeps.gov.ph/GEPSNONPILOT/Tender/SplashBidNoticeAbstractUI.aspx?menuIndex=3&amp;refID=7050872&amp;Result=3","7050872")</f>
        <v>0</v>
      </c>
      <c r="B8465" t="s">
        <v>2079</v>
      </c>
      <c r="C8465" t="s">
        <v>11458</v>
      </c>
      <c r="D8465" t="s">
        <v>16611</v>
      </c>
      <c r="E8465" t="s">
        <v>11458</v>
      </c>
      <c r="F8465" t="s">
        <v>28669</v>
      </c>
      <c r="G8465" t="s">
        <v>28675</v>
      </c>
      <c r="H8465" t="s">
        <v>28686</v>
      </c>
      <c r="I8465" t="s">
        <v>28689</v>
      </c>
      <c r="J8465" t="s">
        <v>34096</v>
      </c>
      <c r="K8465" t="s">
        <v>37215</v>
      </c>
      <c r="M8465" t="s">
        <v>39720</v>
      </c>
      <c r="N8465" t="s">
        <v>41249</v>
      </c>
      <c r="O8465" t="s">
        <v>41250</v>
      </c>
      <c r="P8465">
        <v>0</v>
      </c>
      <c r="Q8465">
        <v>3</v>
      </c>
      <c r="R8465" t="s">
        <v>41258</v>
      </c>
      <c r="S8465" t="s">
        <v>41513</v>
      </c>
      <c r="T8465" t="s">
        <v>42760</v>
      </c>
      <c r="U8465" t="s">
        <v>50090</v>
      </c>
      <c r="W8465" t="s">
        <v>39720</v>
      </c>
      <c r="X8465" t="s">
        <v>41266</v>
      </c>
    </row>
    <row r="8466" spans="1:24">
      <c r="A8466">
        <f>HYPERLINK("https://www.philgeps.gov.ph/GEPSNONPILOT/Tender/SplashBidNoticeAbstractUI.aspx?menuIndex=3&amp;refID=7066521&amp;Result=3","7066521")</f>
        <v>0</v>
      </c>
      <c r="B8466" t="s">
        <v>2014</v>
      </c>
      <c r="C8466" t="s">
        <v>11459</v>
      </c>
      <c r="D8466" t="s">
        <v>16643</v>
      </c>
      <c r="E8466" t="s">
        <v>24092</v>
      </c>
      <c r="F8466" t="s">
        <v>28669</v>
      </c>
      <c r="G8466" t="s">
        <v>28675</v>
      </c>
      <c r="H8466" t="s">
        <v>28685</v>
      </c>
      <c r="I8466" t="s">
        <v>28703</v>
      </c>
      <c r="J8466" t="s">
        <v>34097</v>
      </c>
      <c r="K8466" t="s">
        <v>37209</v>
      </c>
      <c r="M8466" t="s">
        <v>39652</v>
      </c>
      <c r="N8466" t="s">
        <v>41249</v>
      </c>
      <c r="O8466" t="s">
        <v>41250</v>
      </c>
      <c r="P8466">
        <v>0</v>
      </c>
      <c r="Q8466">
        <v>6</v>
      </c>
      <c r="R8466" t="s">
        <v>41258</v>
      </c>
      <c r="S8466" t="s">
        <v>41513</v>
      </c>
      <c r="T8466" t="s">
        <v>42722</v>
      </c>
      <c r="U8466" t="s">
        <v>50091</v>
      </c>
      <c r="W8466" t="s">
        <v>39652</v>
      </c>
      <c r="X8466" t="s">
        <v>41259</v>
      </c>
    </row>
    <row r="8467" spans="1:24">
      <c r="A8467">
        <f>HYPERLINK("https://www.philgeps.gov.ph/GEPSNONPILOT/Tender/SplashBidNoticeAbstractUI.aspx?menuIndex=3&amp;refID=7051829&amp;Result=3","7051829")</f>
        <v>0</v>
      </c>
      <c r="B8467" t="s">
        <v>2079</v>
      </c>
      <c r="C8467" t="s">
        <v>11460</v>
      </c>
      <c r="D8467" t="s">
        <v>16611</v>
      </c>
      <c r="E8467" t="s">
        <v>24093</v>
      </c>
      <c r="F8467" t="s">
        <v>28669</v>
      </c>
      <c r="G8467" t="s">
        <v>28675</v>
      </c>
      <c r="H8467" t="s">
        <v>9998</v>
      </c>
      <c r="I8467" t="s">
        <v>6128</v>
      </c>
      <c r="J8467" t="s">
        <v>34098</v>
      </c>
      <c r="K8467" t="s">
        <v>37206</v>
      </c>
      <c r="M8467" t="s">
        <v>39720</v>
      </c>
      <c r="N8467" t="s">
        <v>41249</v>
      </c>
      <c r="O8467" t="s">
        <v>41250</v>
      </c>
      <c r="P8467">
        <v>0</v>
      </c>
      <c r="Q8467">
        <v>3</v>
      </c>
      <c r="R8467" t="s">
        <v>41258</v>
      </c>
      <c r="S8467" t="s">
        <v>41513</v>
      </c>
      <c r="T8467" t="s">
        <v>42760</v>
      </c>
      <c r="U8467" t="s">
        <v>50092</v>
      </c>
      <c r="V8467" t="s">
        <v>54960</v>
      </c>
      <c r="W8467" t="s">
        <v>39720</v>
      </c>
      <c r="X8467" t="s">
        <v>41266</v>
      </c>
    </row>
    <row r="8468" spans="1:24">
      <c r="A8468">
        <f>HYPERLINK("https://www.philgeps.gov.ph/GEPSNONPILOT/Tender/SplashBidNoticeAbstractUI.aspx?menuIndex=3&amp;refID=7070155&amp;Result=3","7070155")</f>
        <v>0</v>
      </c>
      <c r="B8468" t="s">
        <v>2376</v>
      </c>
      <c r="C8468" t="s">
        <v>11461</v>
      </c>
      <c r="D8468" t="s">
        <v>16684</v>
      </c>
      <c r="E8468" t="s">
        <v>24094</v>
      </c>
      <c r="F8468" t="s">
        <v>28669</v>
      </c>
      <c r="G8468" t="s">
        <v>28676</v>
      </c>
      <c r="H8468" t="s">
        <v>9998</v>
      </c>
      <c r="I8468" t="s">
        <v>5213</v>
      </c>
      <c r="J8468" t="s">
        <v>34099</v>
      </c>
      <c r="K8468" t="s">
        <v>37231</v>
      </c>
      <c r="M8468" t="s">
        <v>40046</v>
      </c>
      <c r="N8468" t="s">
        <v>41249</v>
      </c>
      <c r="O8468" t="s">
        <v>41250</v>
      </c>
      <c r="P8468">
        <v>0</v>
      </c>
      <c r="Q8468">
        <v>1</v>
      </c>
      <c r="R8468" t="s">
        <v>41257</v>
      </c>
      <c r="S8468" t="s">
        <v>41461</v>
      </c>
      <c r="T8468" t="s">
        <v>42729</v>
      </c>
      <c r="U8468" t="s">
        <v>50093</v>
      </c>
      <c r="W8468" t="s">
        <v>40046</v>
      </c>
      <c r="X8468" t="s">
        <v>41258</v>
      </c>
    </row>
    <row r="8469" spans="1:24">
      <c r="A8469">
        <f>HYPERLINK("https://www.philgeps.gov.ph/GEPSNONPILOT/Tender/SplashBidNoticeAbstractUI.aspx?menuIndex=3&amp;refID=7066524&amp;Result=3","7066524")</f>
        <v>0</v>
      </c>
      <c r="B8469" t="s">
        <v>2004</v>
      </c>
      <c r="C8469" t="s">
        <v>11462</v>
      </c>
      <c r="D8469" t="s">
        <v>16661</v>
      </c>
      <c r="E8469" t="s">
        <v>24095</v>
      </c>
      <c r="F8469" t="s">
        <v>28669</v>
      </c>
      <c r="G8469" t="s">
        <v>28677</v>
      </c>
      <c r="H8469" t="s">
        <v>9998</v>
      </c>
      <c r="I8469" t="s">
        <v>28695</v>
      </c>
      <c r="J8469" t="s">
        <v>34100</v>
      </c>
      <c r="K8469" t="s">
        <v>37206</v>
      </c>
      <c r="M8469" t="s">
        <v>39642</v>
      </c>
      <c r="N8469" t="s">
        <v>41249</v>
      </c>
      <c r="O8469" t="s">
        <v>41250</v>
      </c>
      <c r="P8469">
        <v>0</v>
      </c>
      <c r="Q8469">
        <v>0</v>
      </c>
      <c r="R8469" t="s">
        <v>41258</v>
      </c>
      <c r="S8469" t="s">
        <v>41513</v>
      </c>
      <c r="T8469" t="s">
        <v>42883</v>
      </c>
      <c r="U8469" t="s">
        <v>50094</v>
      </c>
      <c r="W8469" t="s">
        <v>39642</v>
      </c>
      <c r="X8469" t="s">
        <v>41259</v>
      </c>
    </row>
    <row r="8470" spans="1:24">
      <c r="A8470">
        <f>HYPERLINK("https://www.philgeps.gov.ph/GEPSNONPILOT/Tender/SplashBidNoticeAbstractUI.aspx?menuIndex=3&amp;refID=7069821&amp;Result=3","7069821")</f>
        <v>0</v>
      </c>
      <c r="B8470" t="s">
        <v>1990</v>
      </c>
      <c r="C8470" t="s">
        <v>11463</v>
      </c>
      <c r="D8470" t="s">
        <v>16643</v>
      </c>
      <c r="E8470" t="s">
        <v>24096</v>
      </c>
      <c r="F8470" t="s">
        <v>28669</v>
      </c>
      <c r="G8470" t="s">
        <v>28676</v>
      </c>
      <c r="H8470" t="s">
        <v>9998</v>
      </c>
      <c r="I8470" t="s">
        <v>28704</v>
      </c>
      <c r="J8470" t="s">
        <v>34101</v>
      </c>
      <c r="K8470" t="s">
        <v>37205</v>
      </c>
      <c r="M8470" t="s">
        <v>39626</v>
      </c>
      <c r="N8470" t="s">
        <v>41249</v>
      </c>
      <c r="O8470" t="s">
        <v>41250</v>
      </c>
      <c r="P8470">
        <v>0</v>
      </c>
      <c r="Q8470">
        <v>1</v>
      </c>
      <c r="R8470" t="s">
        <v>41257</v>
      </c>
      <c r="S8470" t="s">
        <v>41461</v>
      </c>
      <c r="T8470" t="s">
        <v>42910</v>
      </c>
      <c r="U8470" t="s">
        <v>48075</v>
      </c>
      <c r="W8470" t="s">
        <v>39626</v>
      </c>
      <c r="X8470" t="s">
        <v>41258</v>
      </c>
    </row>
    <row r="8471" spans="1:24">
      <c r="A8471">
        <f>HYPERLINK("https://www.philgeps.gov.ph/GEPSNONPILOT/Tender/SplashBidNoticeAbstractUI.aspx?menuIndex=3&amp;refID=7048707&amp;Result=3","7048707")</f>
        <v>0</v>
      </c>
      <c r="B8471" t="s">
        <v>2394</v>
      </c>
      <c r="C8471" t="s">
        <v>11464</v>
      </c>
      <c r="D8471" t="s">
        <v>16648</v>
      </c>
      <c r="E8471" t="s">
        <v>24097</v>
      </c>
      <c r="F8471" t="s">
        <v>28669</v>
      </c>
      <c r="G8471" t="s">
        <v>28675</v>
      </c>
      <c r="H8471" t="s">
        <v>9998</v>
      </c>
      <c r="I8471" t="s">
        <v>28687</v>
      </c>
      <c r="J8471" t="s">
        <v>29512</v>
      </c>
      <c r="K8471" t="s">
        <v>37206</v>
      </c>
      <c r="M8471" t="s">
        <v>40069</v>
      </c>
      <c r="N8471" t="s">
        <v>41249</v>
      </c>
      <c r="O8471" t="s">
        <v>41250</v>
      </c>
      <c r="P8471">
        <v>0</v>
      </c>
      <c r="Q8471">
        <v>0</v>
      </c>
      <c r="R8471" t="s">
        <v>41258</v>
      </c>
      <c r="S8471" t="s">
        <v>41513</v>
      </c>
      <c r="T8471" t="s">
        <v>42743</v>
      </c>
      <c r="U8471" t="s">
        <v>50095</v>
      </c>
      <c r="W8471" t="s">
        <v>40069</v>
      </c>
      <c r="X8471" t="s">
        <v>41267</v>
      </c>
    </row>
    <row r="8472" spans="1:24">
      <c r="A8472">
        <f>HYPERLINK("https://www.philgeps.gov.ph/GEPSNONPILOT/Tender/SplashBidNoticeAbstractUI.aspx?menuIndex=3&amp;refID=7069816&amp;Result=3","7069816")</f>
        <v>0</v>
      </c>
      <c r="B8472" t="s">
        <v>1327</v>
      </c>
      <c r="C8472" t="s">
        <v>11465</v>
      </c>
      <c r="D8472" t="s">
        <v>16627</v>
      </c>
      <c r="E8472" t="s">
        <v>24098</v>
      </c>
      <c r="F8472" t="s">
        <v>28669</v>
      </c>
      <c r="G8472" t="s">
        <v>28675</v>
      </c>
      <c r="H8472" t="s">
        <v>9998</v>
      </c>
      <c r="I8472" t="s">
        <v>28707</v>
      </c>
      <c r="J8472" t="s">
        <v>34102</v>
      </c>
      <c r="K8472" t="s">
        <v>37213</v>
      </c>
      <c r="M8472" t="s">
        <v>38880</v>
      </c>
      <c r="N8472" t="s">
        <v>41249</v>
      </c>
      <c r="O8472" t="s">
        <v>41250</v>
      </c>
      <c r="P8472">
        <v>0</v>
      </c>
      <c r="Q8472">
        <v>4</v>
      </c>
      <c r="R8472" t="s">
        <v>41257</v>
      </c>
      <c r="S8472" t="s">
        <v>41461</v>
      </c>
      <c r="T8472" t="s">
        <v>42715</v>
      </c>
      <c r="U8472" t="s">
        <v>49337</v>
      </c>
      <c r="W8472" t="s">
        <v>38880</v>
      </c>
      <c r="X8472" t="s">
        <v>41258</v>
      </c>
    </row>
    <row r="8473" spans="1:24">
      <c r="A8473">
        <f>HYPERLINK("https://www.philgeps.gov.ph/GEPSNONPILOT/Tender/SplashBidNoticeAbstractUI.aspx?menuIndex=3&amp;refID=7048312&amp;Result=3","7048312")</f>
        <v>0</v>
      </c>
      <c r="B8473" t="s">
        <v>2585</v>
      </c>
      <c r="C8473" t="s">
        <v>4075</v>
      </c>
      <c r="D8473" t="s">
        <v>16667</v>
      </c>
      <c r="E8473" t="s">
        <v>24099</v>
      </c>
      <c r="F8473" t="s">
        <v>28669</v>
      </c>
      <c r="G8473" t="s">
        <v>28675</v>
      </c>
      <c r="H8473" t="s">
        <v>28686</v>
      </c>
      <c r="I8473" t="s">
        <v>28689</v>
      </c>
      <c r="J8473" t="s">
        <v>28838</v>
      </c>
      <c r="K8473" t="s">
        <v>37262</v>
      </c>
      <c r="M8473" t="s">
        <v>40280</v>
      </c>
      <c r="N8473" t="s">
        <v>41249</v>
      </c>
      <c r="O8473" t="s">
        <v>41250</v>
      </c>
      <c r="P8473">
        <v>0</v>
      </c>
      <c r="Q8473">
        <v>0</v>
      </c>
      <c r="R8473" t="s">
        <v>41258</v>
      </c>
      <c r="S8473" t="s">
        <v>41513</v>
      </c>
      <c r="T8473" t="s">
        <v>42727</v>
      </c>
      <c r="U8473" t="s">
        <v>50096</v>
      </c>
      <c r="W8473" t="s">
        <v>40280</v>
      </c>
      <c r="X8473" t="s">
        <v>41267</v>
      </c>
    </row>
    <row r="8474" spans="1:24">
      <c r="A8474">
        <f>HYPERLINK("https://www.philgeps.gov.ph/GEPSNONPILOT/Tender/SplashBidNoticeAbstractUI.aspx?menuIndex=3&amp;refID=7069811&amp;Result=3","7069811")</f>
        <v>0</v>
      </c>
      <c r="B8474" t="s">
        <v>1533</v>
      </c>
      <c r="C8474" t="s">
        <v>11466</v>
      </c>
      <c r="D8474" t="s">
        <v>16617</v>
      </c>
      <c r="E8474" t="s">
        <v>24100</v>
      </c>
      <c r="F8474" t="s">
        <v>28669</v>
      </c>
      <c r="G8474" t="s">
        <v>28676</v>
      </c>
      <c r="H8474" t="s">
        <v>9998</v>
      </c>
      <c r="I8474" t="s">
        <v>28708</v>
      </c>
      <c r="J8474" t="s">
        <v>34103</v>
      </c>
      <c r="K8474" t="s">
        <v>37209</v>
      </c>
      <c r="M8474" t="s">
        <v>39108</v>
      </c>
      <c r="N8474" t="s">
        <v>41249</v>
      </c>
      <c r="O8474" t="s">
        <v>41250</v>
      </c>
      <c r="P8474">
        <v>0</v>
      </c>
      <c r="Q8474">
        <v>0</v>
      </c>
      <c r="R8474" t="s">
        <v>41257</v>
      </c>
      <c r="S8474" t="s">
        <v>41461</v>
      </c>
      <c r="T8474" t="s">
        <v>42883</v>
      </c>
      <c r="U8474" t="s">
        <v>50097</v>
      </c>
      <c r="V8474" t="s">
        <v>54709</v>
      </c>
      <c r="W8474" t="s">
        <v>39108</v>
      </c>
      <c r="X8474" t="s">
        <v>41258</v>
      </c>
    </row>
    <row r="8475" spans="1:24">
      <c r="A8475">
        <f>HYPERLINK("https://www.philgeps.gov.ph/GEPSNONPILOT/Tender/SplashBidNoticeAbstractUI.aspx?menuIndex=3&amp;refID=7069804&amp;Result=3","7069804")</f>
        <v>0</v>
      </c>
      <c r="B8475" t="s">
        <v>1722</v>
      </c>
      <c r="C8475" t="s">
        <v>11467</v>
      </c>
      <c r="D8475" t="s">
        <v>16660</v>
      </c>
      <c r="E8475" t="s">
        <v>24101</v>
      </c>
      <c r="F8475" t="s">
        <v>28669</v>
      </c>
      <c r="G8475" t="s">
        <v>28677</v>
      </c>
      <c r="H8475" t="s">
        <v>9998</v>
      </c>
      <c r="I8475" t="s">
        <v>28688</v>
      </c>
      <c r="J8475" t="s">
        <v>29797</v>
      </c>
      <c r="K8475" t="s">
        <v>37266</v>
      </c>
      <c r="M8475" t="s">
        <v>39321</v>
      </c>
      <c r="N8475" t="s">
        <v>41249</v>
      </c>
      <c r="O8475" t="s">
        <v>41250</v>
      </c>
      <c r="P8475">
        <v>0</v>
      </c>
      <c r="Q8475">
        <v>8</v>
      </c>
      <c r="R8475" t="s">
        <v>41257</v>
      </c>
      <c r="S8475" t="s">
        <v>41461</v>
      </c>
      <c r="T8475" t="s">
        <v>42883</v>
      </c>
      <c r="U8475" t="s">
        <v>50098</v>
      </c>
      <c r="W8475" t="s">
        <v>39321</v>
      </c>
      <c r="X8475" t="s">
        <v>41258</v>
      </c>
    </row>
    <row r="8476" spans="1:24">
      <c r="A8476">
        <f>HYPERLINK("https://www.philgeps.gov.ph/GEPSNONPILOT/Tender/SplashBidNoticeAbstractUI.aspx?menuIndex=3&amp;refID=7066552&amp;Result=3","7066552")</f>
        <v>0</v>
      </c>
      <c r="B8476" t="s">
        <v>1789</v>
      </c>
      <c r="C8476" t="s">
        <v>11468</v>
      </c>
      <c r="D8476" t="s">
        <v>16617</v>
      </c>
      <c r="E8476" t="s">
        <v>24102</v>
      </c>
      <c r="F8476" t="s">
        <v>28669</v>
      </c>
      <c r="G8476" t="s">
        <v>28675</v>
      </c>
      <c r="H8476" t="s">
        <v>28685</v>
      </c>
      <c r="I8476" t="s">
        <v>28685</v>
      </c>
      <c r="J8476" t="s">
        <v>28879</v>
      </c>
      <c r="K8476" t="s">
        <v>37238</v>
      </c>
      <c r="M8476" t="s">
        <v>39396</v>
      </c>
      <c r="N8476" t="s">
        <v>41249</v>
      </c>
      <c r="O8476" t="s">
        <v>41250</v>
      </c>
      <c r="P8476">
        <v>0</v>
      </c>
      <c r="Q8476">
        <v>0</v>
      </c>
      <c r="R8476" t="s">
        <v>41258</v>
      </c>
      <c r="S8476" t="s">
        <v>41513</v>
      </c>
      <c r="T8476" t="s">
        <v>42743</v>
      </c>
      <c r="U8476" t="s">
        <v>47464</v>
      </c>
      <c r="W8476" t="s">
        <v>39396</v>
      </c>
      <c r="X8476" t="s">
        <v>41259</v>
      </c>
    </row>
    <row r="8477" spans="1:24">
      <c r="A8477">
        <f>HYPERLINK("https://www.philgeps.gov.ph/GEPSNONPILOT/Tender/SplashBidNoticeAbstractUI.aspx?menuIndex=3&amp;refID=7069803&amp;Result=3","7069803")</f>
        <v>0</v>
      </c>
      <c r="B8477" t="s">
        <v>1126</v>
      </c>
      <c r="C8477" t="s">
        <v>11469</v>
      </c>
      <c r="D8477" t="s">
        <v>16630</v>
      </c>
      <c r="E8477" t="s">
        <v>24103</v>
      </c>
      <c r="F8477" t="s">
        <v>28669</v>
      </c>
      <c r="G8477" t="s">
        <v>28675</v>
      </c>
      <c r="H8477" t="s">
        <v>9998</v>
      </c>
      <c r="I8477" t="s">
        <v>5213</v>
      </c>
      <c r="J8477" t="s">
        <v>29112</v>
      </c>
      <c r="K8477" t="s">
        <v>37206</v>
      </c>
      <c r="M8477" t="s">
        <v>38660</v>
      </c>
      <c r="N8477" t="s">
        <v>41249</v>
      </c>
      <c r="O8477" t="s">
        <v>41250</v>
      </c>
      <c r="P8477">
        <v>0</v>
      </c>
      <c r="Q8477">
        <v>1</v>
      </c>
      <c r="R8477" t="s">
        <v>41257</v>
      </c>
      <c r="S8477" t="s">
        <v>41461</v>
      </c>
      <c r="T8477" t="s">
        <v>42796</v>
      </c>
      <c r="U8477" t="s">
        <v>50099</v>
      </c>
      <c r="W8477" t="s">
        <v>38660</v>
      </c>
      <c r="X8477" t="s">
        <v>41258</v>
      </c>
    </row>
    <row r="8478" spans="1:24">
      <c r="A8478">
        <f>HYPERLINK("https://www.philgeps.gov.ph/GEPSNONPILOT/Tender/SplashBidNoticeAbstractUI.aspx?menuIndex=3&amp;refID=7069758&amp;Result=3","7069758")</f>
        <v>0</v>
      </c>
      <c r="B8478" t="s">
        <v>1327</v>
      </c>
      <c r="C8478" t="s">
        <v>11470</v>
      </c>
      <c r="D8478" t="s">
        <v>16627</v>
      </c>
      <c r="E8478" t="s">
        <v>24104</v>
      </c>
      <c r="F8478" t="s">
        <v>28669</v>
      </c>
      <c r="G8478" t="s">
        <v>28675</v>
      </c>
      <c r="H8478" t="s">
        <v>9998</v>
      </c>
      <c r="I8478" t="s">
        <v>11142</v>
      </c>
      <c r="J8478" t="s">
        <v>34104</v>
      </c>
      <c r="K8478" t="s">
        <v>37213</v>
      </c>
      <c r="M8478" t="s">
        <v>38880</v>
      </c>
      <c r="N8478" t="s">
        <v>41249</v>
      </c>
      <c r="O8478" t="s">
        <v>41250</v>
      </c>
      <c r="P8478">
        <v>0</v>
      </c>
      <c r="Q8478">
        <v>5</v>
      </c>
      <c r="R8478" t="s">
        <v>41257</v>
      </c>
      <c r="S8478" t="s">
        <v>41461</v>
      </c>
      <c r="T8478" t="s">
        <v>42715</v>
      </c>
      <c r="U8478" t="s">
        <v>50100</v>
      </c>
      <c r="W8478" t="s">
        <v>38880</v>
      </c>
      <c r="X8478" t="s">
        <v>41258</v>
      </c>
    </row>
    <row r="8479" spans="1:24">
      <c r="A8479">
        <f>HYPERLINK("https://www.philgeps.gov.ph/GEPSNONPILOT/Tender/SplashBidNoticeAbstractUI.aspx?menuIndex=3&amp;refID=7066335&amp;Result=3","7066335")</f>
        <v>0</v>
      </c>
      <c r="B8479" t="s">
        <v>1479</v>
      </c>
      <c r="C8479" t="s">
        <v>11471</v>
      </c>
      <c r="D8479" t="s">
        <v>16648</v>
      </c>
      <c r="E8479" t="s">
        <v>24105</v>
      </c>
      <c r="F8479" t="s">
        <v>28669</v>
      </c>
      <c r="G8479" t="s">
        <v>28676</v>
      </c>
      <c r="H8479" t="s">
        <v>9998</v>
      </c>
      <c r="I8479" t="s">
        <v>28713</v>
      </c>
      <c r="J8479" t="s">
        <v>28826</v>
      </c>
      <c r="K8479" t="s">
        <v>37205</v>
      </c>
      <c r="M8479" t="s">
        <v>39048</v>
      </c>
      <c r="N8479" t="s">
        <v>41249</v>
      </c>
      <c r="O8479" t="s">
        <v>41250</v>
      </c>
      <c r="P8479">
        <v>0</v>
      </c>
      <c r="Q8479">
        <v>4</v>
      </c>
      <c r="R8479" t="s">
        <v>41258</v>
      </c>
      <c r="S8479" t="s">
        <v>41513</v>
      </c>
      <c r="T8479" t="s">
        <v>42774</v>
      </c>
      <c r="U8479" t="s">
        <v>50101</v>
      </c>
      <c r="W8479" t="s">
        <v>39048</v>
      </c>
      <c r="X8479" t="s">
        <v>41259</v>
      </c>
    </row>
    <row r="8480" spans="1:24">
      <c r="A8480">
        <f>HYPERLINK("https://www.philgeps.gov.ph/GEPSNONPILOT/Tender/SplashBidNoticeAbstractUI.aspx?menuIndex=3&amp;refID=7069449&amp;Result=3","7069449")</f>
        <v>0</v>
      </c>
      <c r="B8480" t="s">
        <v>2320</v>
      </c>
      <c r="C8480" t="s">
        <v>11472</v>
      </c>
      <c r="D8480" t="s">
        <v>16664</v>
      </c>
      <c r="E8480" t="s">
        <v>24106</v>
      </c>
      <c r="F8480" t="s">
        <v>28669</v>
      </c>
      <c r="G8480" t="s">
        <v>28675</v>
      </c>
      <c r="H8480" t="s">
        <v>9998</v>
      </c>
      <c r="I8480" t="s">
        <v>28697</v>
      </c>
      <c r="J8480" t="s">
        <v>34105</v>
      </c>
      <c r="K8480" t="s">
        <v>37210</v>
      </c>
      <c r="M8480" t="s">
        <v>39980</v>
      </c>
      <c r="N8480" t="s">
        <v>41249</v>
      </c>
      <c r="O8480" t="s">
        <v>41250</v>
      </c>
      <c r="P8480">
        <v>0</v>
      </c>
      <c r="Q8480">
        <v>1</v>
      </c>
      <c r="R8480" t="s">
        <v>41257</v>
      </c>
      <c r="S8480" t="s">
        <v>41461</v>
      </c>
      <c r="T8480" t="s">
        <v>42742</v>
      </c>
      <c r="U8480" t="s">
        <v>50102</v>
      </c>
      <c r="V8480" t="s">
        <v>55105</v>
      </c>
      <c r="W8480" t="s">
        <v>39980</v>
      </c>
      <c r="X8480" t="s">
        <v>41258</v>
      </c>
    </row>
    <row r="8481" spans="1:24">
      <c r="A8481">
        <f>HYPERLINK("https://www.philgeps.gov.ph/GEPSNONPILOT/Tender/SplashBidNoticeAbstractUI.aspx?menuIndex=3&amp;refID=7069277&amp;Result=3","7069277")</f>
        <v>0</v>
      </c>
      <c r="B8481" t="s">
        <v>2247</v>
      </c>
      <c r="C8481" t="s">
        <v>11473</v>
      </c>
      <c r="D8481" t="s">
        <v>16622</v>
      </c>
      <c r="E8481" t="s">
        <v>24107</v>
      </c>
      <c r="F8481" t="s">
        <v>28671</v>
      </c>
      <c r="G8481" t="s">
        <v>28676</v>
      </c>
      <c r="H8481" t="s">
        <v>9998</v>
      </c>
      <c r="I8481" t="s">
        <v>28704</v>
      </c>
      <c r="J8481" t="s">
        <v>29271</v>
      </c>
      <c r="K8481" t="s">
        <v>37243</v>
      </c>
      <c r="M8481" t="s">
        <v>39901</v>
      </c>
      <c r="N8481" t="s">
        <v>41249</v>
      </c>
      <c r="O8481" t="s">
        <v>41250</v>
      </c>
      <c r="P8481">
        <v>0</v>
      </c>
      <c r="Q8481">
        <v>0</v>
      </c>
      <c r="R8481" t="s">
        <v>41257</v>
      </c>
      <c r="S8481" t="s">
        <v>41461</v>
      </c>
      <c r="T8481" t="s">
        <v>42758</v>
      </c>
      <c r="U8481" t="s">
        <v>50103</v>
      </c>
      <c r="W8481" t="s">
        <v>39901</v>
      </c>
      <c r="X8481" t="s">
        <v>41258</v>
      </c>
    </row>
    <row r="8482" spans="1:24">
      <c r="A8482">
        <f>HYPERLINK("https://www.philgeps.gov.ph/GEPSNONPILOT/Tender/SplashBidNoticeAbstractUI.aspx?menuIndex=3&amp;refID=7069274&amp;Result=3","7069274")</f>
        <v>0</v>
      </c>
      <c r="B8482" t="s">
        <v>2305</v>
      </c>
      <c r="C8482" t="s">
        <v>11474</v>
      </c>
      <c r="D8482" t="s">
        <v>16643</v>
      </c>
      <c r="E8482" t="s">
        <v>24108</v>
      </c>
      <c r="F8482" t="s">
        <v>28669</v>
      </c>
      <c r="G8482" t="s">
        <v>28675</v>
      </c>
      <c r="H8482" t="s">
        <v>9998</v>
      </c>
      <c r="I8482" t="s">
        <v>28721</v>
      </c>
      <c r="J8482" t="s">
        <v>34106</v>
      </c>
      <c r="K8482" t="s">
        <v>37204</v>
      </c>
      <c r="M8482" t="s">
        <v>39964</v>
      </c>
      <c r="N8482" t="s">
        <v>41249</v>
      </c>
      <c r="O8482" t="s">
        <v>41250</v>
      </c>
      <c r="P8482">
        <v>0</v>
      </c>
      <c r="Q8482">
        <v>2</v>
      </c>
      <c r="R8482" t="s">
        <v>41257</v>
      </c>
      <c r="S8482" t="s">
        <v>41461</v>
      </c>
      <c r="T8482" t="s">
        <v>42766</v>
      </c>
      <c r="U8482" t="s">
        <v>50104</v>
      </c>
      <c r="V8482" t="s">
        <v>54340</v>
      </c>
      <c r="W8482" t="s">
        <v>39964</v>
      </c>
      <c r="X8482" t="s">
        <v>41258</v>
      </c>
    </row>
    <row r="8483" spans="1:24">
      <c r="A8483">
        <f>HYPERLINK("https://www.philgeps.gov.ph/GEPSNONPILOT/Tender/SplashBidNoticeAbstractUI.aspx?menuIndex=3&amp;refID=7069271&amp;Result=3","7069271")</f>
        <v>0</v>
      </c>
      <c r="B8483" t="s">
        <v>2310</v>
      </c>
      <c r="C8483" t="s">
        <v>11475</v>
      </c>
      <c r="D8483" t="s">
        <v>16648</v>
      </c>
      <c r="E8483" t="s">
        <v>24109</v>
      </c>
      <c r="F8483" t="s">
        <v>28669</v>
      </c>
      <c r="G8483" t="s">
        <v>28675</v>
      </c>
      <c r="H8483" t="s">
        <v>28686</v>
      </c>
      <c r="I8483" t="s">
        <v>28689</v>
      </c>
      <c r="J8483" t="s">
        <v>34107</v>
      </c>
      <c r="K8483" t="s">
        <v>37213</v>
      </c>
      <c r="M8483" t="s">
        <v>39969</v>
      </c>
      <c r="N8483" t="s">
        <v>41249</v>
      </c>
      <c r="O8483" t="s">
        <v>41250</v>
      </c>
      <c r="P8483">
        <v>0</v>
      </c>
      <c r="Q8483">
        <v>1</v>
      </c>
      <c r="R8483" t="s">
        <v>41257</v>
      </c>
      <c r="S8483" t="s">
        <v>41461</v>
      </c>
      <c r="T8483" t="s">
        <v>42911</v>
      </c>
      <c r="U8483" t="s">
        <v>50105</v>
      </c>
      <c r="W8483" t="s">
        <v>39969</v>
      </c>
      <c r="X8483" t="s">
        <v>41258</v>
      </c>
    </row>
    <row r="8484" spans="1:24">
      <c r="A8484">
        <f>HYPERLINK("https://www.philgeps.gov.ph/GEPSNONPILOT/Tender/SplashBidNoticeAbstractUI.aspx?menuIndex=3&amp;refID=7069233&amp;Result=3","7069233")</f>
        <v>0</v>
      </c>
      <c r="B8484" t="s">
        <v>2310</v>
      </c>
      <c r="C8484" t="s">
        <v>11476</v>
      </c>
      <c r="D8484" t="s">
        <v>16648</v>
      </c>
      <c r="E8484" t="s">
        <v>24110</v>
      </c>
      <c r="F8484" t="s">
        <v>28669</v>
      </c>
      <c r="G8484" t="s">
        <v>28675</v>
      </c>
      <c r="H8484" t="s">
        <v>28686</v>
      </c>
      <c r="I8484" t="s">
        <v>28689</v>
      </c>
      <c r="J8484" t="s">
        <v>34108</v>
      </c>
      <c r="K8484" t="s">
        <v>37206</v>
      </c>
      <c r="M8484" t="s">
        <v>39969</v>
      </c>
      <c r="N8484" t="s">
        <v>41249</v>
      </c>
      <c r="O8484" t="s">
        <v>41250</v>
      </c>
      <c r="P8484">
        <v>0</v>
      </c>
      <c r="Q8484">
        <v>1</v>
      </c>
      <c r="R8484" t="s">
        <v>41257</v>
      </c>
      <c r="S8484" t="s">
        <v>41461</v>
      </c>
      <c r="T8484" t="s">
        <v>42911</v>
      </c>
      <c r="U8484" t="s">
        <v>50106</v>
      </c>
      <c r="W8484" t="s">
        <v>39969</v>
      </c>
      <c r="X8484" t="s">
        <v>41258</v>
      </c>
    </row>
    <row r="8485" spans="1:24">
      <c r="A8485">
        <f>HYPERLINK("https://www.philgeps.gov.ph/GEPSNONPILOT/Tender/SplashBidNoticeAbstractUI.aspx?menuIndex=3&amp;refID=7069398&amp;Result=3","7069398")</f>
        <v>0</v>
      </c>
      <c r="B8485" t="s">
        <v>844</v>
      </c>
      <c r="C8485" t="s">
        <v>11477</v>
      </c>
      <c r="D8485" t="s">
        <v>16650</v>
      </c>
      <c r="E8485" t="s">
        <v>24111</v>
      </c>
      <c r="F8485" t="s">
        <v>28669</v>
      </c>
      <c r="G8485" t="s">
        <v>28675</v>
      </c>
      <c r="H8485" t="s">
        <v>28686</v>
      </c>
      <c r="I8485" t="s">
        <v>28689</v>
      </c>
      <c r="J8485" t="s">
        <v>33342</v>
      </c>
      <c r="K8485" t="s">
        <v>37205</v>
      </c>
      <c r="M8485" t="s">
        <v>38360</v>
      </c>
      <c r="N8485" t="s">
        <v>41249</v>
      </c>
      <c r="O8485" t="s">
        <v>41250</v>
      </c>
      <c r="P8485">
        <v>0</v>
      </c>
      <c r="Q8485">
        <v>0</v>
      </c>
      <c r="R8485" t="s">
        <v>41257</v>
      </c>
      <c r="S8485" t="s">
        <v>41461</v>
      </c>
      <c r="T8485" t="s">
        <v>42911</v>
      </c>
      <c r="U8485" t="s">
        <v>44857</v>
      </c>
      <c r="W8485" t="s">
        <v>38360</v>
      </c>
      <c r="X8485" t="s">
        <v>41258</v>
      </c>
    </row>
    <row r="8486" spans="1:24">
      <c r="A8486">
        <f>HYPERLINK("https://www.philgeps.gov.ph/GEPSNONPILOT/Tender/SplashBidNoticeAbstractUI.aspx?menuIndex=3&amp;refID=7069229&amp;Result=3","7069229")</f>
        <v>0</v>
      </c>
      <c r="B8486" t="s">
        <v>2586</v>
      </c>
      <c r="C8486" t="s">
        <v>11478</v>
      </c>
      <c r="D8486" t="s">
        <v>16627</v>
      </c>
      <c r="E8486" t="s">
        <v>24112</v>
      </c>
      <c r="F8486" t="s">
        <v>28669</v>
      </c>
      <c r="G8486" t="s">
        <v>28675</v>
      </c>
      <c r="H8486" t="s">
        <v>9998</v>
      </c>
      <c r="I8486" t="s">
        <v>7352</v>
      </c>
      <c r="J8486" t="s">
        <v>29655</v>
      </c>
      <c r="K8486" t="s">
        <v>37204</v>
      </c>
      <c r="M8486" t="s">
        <v>40281</v>
      </c>
      <c r="N8486" t="s">
        <v>41249</v>
      </c>
      <c r="O8486" t="s">
        <v>41250</v>
      </c>
      <c r="Q8486">
        <v>5</v>
      </c>
      <c r="R8486" t="s">
        <v>41257</v>
      </c>
      <c r="S8486" t="s">
        <v>41543</v>
      </c>
      <c r="T8486" t="s">
        <v>42782</v>
      </c>
      <c r="U8486" t="s">
        <v>50107</v>
      </c>
      <c r="W8486" t="s">
        <v>40281</v>
      </c>
      <c r="X8486" t="s">
        <v>41258</v>
      </c>
    </row>
    <row r="8487" spans="1:24">
      <c r="A8487">
        <f>HYPERLINK("https://www.philgeps.gov.ph/GEPSNONPILOT/Tender/SplashBidNoticeAbstractUI.aspx?menuIndex=3&amp;refID=7069224&amp;Result=3","7069224")</f>
        <v>0</v>
      </c>
      <c r="B8487" t="s">
        <v>2308</v>
      </c>
      <c r="C8487" t="s">
        <v>11479</v>
      </c>
      <c r="D8487" t="s">
        <v>16642</v>
      </c>
      <c r="E8487" t="s">
        <v>17204</v>
      </c>
      <c r="F8487" t="s">
        <v>28669</v>
      </c>
      <c r="G8487" t="s">
        <v>28676</v>
      </c>
      <c r="H8487" t="s">
        <v>9998</v>
      </c>
      <c r="I8487" t="s">
        <v>5286</v>
      </c>
      <c r="J8487" t="s">
        <v>34109</v>
      </c>
      <c r="K8487" t="s">
        <v>37216</v>
      </c>
      <c r="M8487" t="s">
        <v>39967</v>
      </c>
      <c r="N8487" t="s">
        <v>41249</v>
      </c>
      <c r="O8487" t="s">
        <v>41250</v>
      </c>
      <c r="P8487">
        <v>0</v>
      </c>
      <c r="Q8487">
        <v>4</v>
      </c>
      <c r="R8487" t="s">
        <v>41257</v>
      </c>
      <c r="S8487" t="s">
        <v>41461</v>
      </c>
      <c r="T8487" t="s">
        <v>42992</v>
      </c>
      <c r="U8487" t="s">
        <v>50108</v>
      </c>
      <c r="W8487" t="s">
        <v>39967</v>
      </c>
      <c r="X8487" t="s">
        <v>41258</v>
      </c>
    </row>
    <row r="8488" spans="1:24">
      <c r="A8488">
        <f>HYPERLINK("https://www.philgeps.gov.ph/GEPSNONPILOT/Tender/SplashBidNoticeAbstractUI.aspx?menuIndex=3&amp;refID=7069395&amp;Result=3","7069395")</f>
        <v>0</v>
      </c>
      <c r="B8488" t="s">
        <v>2587</v>
      </c>
      <c r="C8488" t="s">
        <v>11480</v>
      </c>
      <c r="D8488" t="s">
        <v>16681</v>
      </c>
      <c r="E8488" t="s">
        <v>24113</v>
      </c>
      <c r="F8488" t="s">
        <v>28669</v>
      </c>
      <c r="G8488" t="s">
        <v>28675</v>
      </c>
      <c r="H8488" t="s">
        <v>9998</v>
      </c>
      <c r="I8488" t="s">
        <v>28687</v>
      </c>
      <c r="J8488" t="s">
        <v>34110</v>
      </c>
      <c r="K8488" t="s">
        <v>37204</v>
      </c>
      <c r="M8488" t="s">
        <v>40282</v>
      </c>
      <c r="N8488" t="s">
        <v>41249</v>
      </c>
      <c r="O8488" t="s">
        <v>41250</v>
      </c>
      <c r="P8488">
        <v>0</v>
      </c>
      <c r="Q8488">
        <v>0</v>
      </c>
      <c r="R8488" t="s">
        <v>41257</v>
      </c>
      <c r="S8488" t="s">
        <v>41461</v>
      </c>
      <c r="T8488" t="s">
        <v>42729</v>
      </c>
      <c r="U8488" t="s">
        <v>50109</v>
      </c>
      <c r="W8488" t="s">
        <v>40282</v>
      </c>
      <c r="X8488" t="s">
        <v>41258</v>
      </c>
    </row>
    <row r="8489" spans="1:24">
      <c r="A8489">
        <f>HYPERLINK("https://www.philgeps.gov.ph/GEPSNONPILOT/Tender/SplashBidNoticeAbstractUI.aspx?menuIndex=3&amp;refID=7066556&amp;Result=3","7066556")</f>
        <v>0</v>
      </c>
      <c r="B8489" t="s">
        <v>2588</v>
      </c>
      <c r="C8489" t="s">
        <v>11481</v>
      </c>
      <c r="D8489" t="s">
        <v>16617</v>
      </c>
      <c r="E8489" t="s">
        <v>24114</v>
      </c>
      <c r="F8489" t="s">
        <v>28669</v>
      </c>
      <c r="G8489" t="s">
        <v>28675</v>
      </c>
      <c r="H8489" t="s">
        <v>9998</v>
      </c>
      <c r="I8489" t="s">
        <v>5213</v>
      </c>
      <c r="J8489" t="s">
        <v>28851</v>
      </c>
      <c r="K8489" t="s">
        <v>37206</v>
      </c>
      <c r="M8489" t="s">
        <v>40283</v>
      </c>
      <c r="N8489" t="s">
        <v>41249</v>
      </c>
      <c r="O8489" t="s">
        <v>41250</v>
      </c>
      <c r="P8489">
        <v>0</v>
      </c>
      <c r="Q8489">
        <v>3</v>
      </c>
      <c r="R8489" t="s">
        <v>41258</v>
      </c>
      <c r="S8489" t="s">
        <v>41513</v>
      </c>
      <c r="T8489" t="s">
        <v>42762</v>
      </c>
      <c r="U8489" t="s">
        <v>50110</v>
      </c>
      <c r="W8489" t="s">
        <v>40283</v>
      </c>
      <c r="X8489" t="s">
        <v>41259</v>
      </c>
    </row>
    <row r="8490" spans="1:24">
      <c r="A8490">
        <f>HYPERLINK("https://www.philgeps.gov.ph/GEPSNONPILOT/Tender/SplashBidNoticeAbstractUI.aspx?menuIndex=3&amp;refID=7069875&amp;Result=3","7069875")</f>
        <v>0</v>
      </c>
      <c r="B8490" t="s">
        <v>1990</v>
      </c>
      <c r="C8490" t="s">
        <v>11482</v>
      </c>
      <c r="D8490" t="s">
        <v>16643</v>
      </c>
      <c r="E8490" t="s">
        <v>24115</v>
      </c>
      <c r="F8490" t="s">
        <v>28669</v>
      </c>
      <c r="G8490" t="s">
        <v>28676</v>
      </c>
      <c r="H8490" t="s">
        <v>9998</v>
      </c>
      <c r="I8490" t="s">
        <v>28690</v>
      </c>
      <c r="J8490" t="s">
        <v>34111</v>
      </c>
      <c r="K8490" t="s">
        <v>37205</v>
      </c>
      <c r="M8490" t="s">
        <v>39626</v>
      </c>
      <c r="N8490" t="s">
        <v>41249</v>
      </c>
      <c r="O8490" t="s">
        <v>41250</v>
      </c>
      <c r="P8490">
        <v>0</v>
      </c>
      <c r="Q8490">
        <v>1</v>
      </c>
      <c r="R8490" t="s">
        <v>41257</v>
      </c>
      <c r="S8490" t="s">
        <v>41461</v>
      </c>
      <c r="T8490" t="s">
        <v>42910</v>
      </c>
      <c r="U8490" t="s">
        <v>48075</v>
      </c>
      <c r="W8490" t="s">
        <v>39626</v>
      </c>
      <c r="X8490" t="s">
        <v>41258</v>
      </c>
    </row>
    <row r="8491" spans="1:24">
      <c r="A8491">
        <f>HYPERLINK("https://www.philgeps.gov.ph/GEPSNONPILOT/Tender/SplashBidNoticeAbstractUI.aspx?menuIndex=3&amp;refID=7066587&amp;Result=3","7066587")</f>
        <v>0</v>
      </c>
      <c r="B8491" t="s">
        <v>1633</v>
      </c>
      <c r="C8491" t="s">
        <v>11483</v>
      </c>
      <c r="D8491" t="s">
        <v>16693</v>
      </c>
      <c r="E8491" t="s">
        <v>24116</v>
      </c>
      <c r="F8491" t="s">
        <v>28669</v>
      </c>
      <c r="G8491" t="s">
        <v>28675</v>
      </c>
      <c r="H8491" t="s">
        <v>9998</v>
      </c>
      <c r="I8491" t="s">
        <v>28707</v>
      </c>
      <c r="J8491" t="s">
        <v>34112</v>
      </c>
      <c r="K8491" t="s">
        <v>37213</v>
      </c>
      <c r="M8491" t="s">
        <v>39222</v>
      </c>
      <c r="N8491" t="s">
        <v>41249</v>
      </c>
      <c r="O8491" t="s">
        <v>41250</v>
      </c>
      <c r="Q8491">
        <v>9</v>
      </c>
      <c r="R8491" t="s">
        <v>41258</v>
      </c>
      <c r="S8491" t="s">
        <v>41544</v>
      </c>
      <c r="T8491" t="s">
        <v>42839</v>
      </c>
      <c r="U8491" t="s">
        <v>50111</v>
      </c>
      <c r="V8491" t="s">
        <v>54749</v>
      </c>
      <c r="W8491" t="s">
        <v>39222</v>
      </c>
      <c r="X8491" t="s">
        <v>41259</v>
      </c>
    </row>
    <row r="8492" spans="1:24">
      <c r="A8492">
        <f>HYPERLINK("https://www.philgeps.gov.ph/GEPSNONPILOT/Tender/SplashBidNoticeAbstractUI.aspx?menuIndex=3&amp;refID=7069754&amp;Result=3","7069754")</f>
        <v>0</v>
      </c>
      <c r="B8492" t="s">
        <v>2263</v>
      </c>
      <c r="C8492" t="s">
        <v>11484</v>
      </c>
      <c r="D8492" t="s">
        <v>16663</v>
      </c>
      <c r="E8492" t="s">
        <v>24117</v>
      </c>
      <c r="F8492" t="s">
        <v>28669</v>
      </c>
      <c r="G8492" t="s">
        <v>28676</v>
      </c>
      <c r="H8492" t="s">
        <v>9998</v>
      </c>
      <c r="I8492" t="s">
        <v>28688</v>
      </c>
      <c r="J8492" t="s">
        <v>34113</v>
      </c>
      <c r="K8492" t="s">
        <v>37206</v>
      </c>
      <c r="M8492" t="s">
        <v>39918</v>
      </c>
      <c r="N8492" t="s">
        <v>41249</v>
      </c>
      <c r="O8492" t="s">
        <v>41250</v>
      </c>
      <c r="P8492">
        <v>0</v>
      </c>
      <c r="Q8492">
        <v>5</v>
      </c>
      <c r="R8492" t="s">
        <v>41257</v>
      </c>
      <c r="S8492" t="s">
        <v>41461</v>
      </c>
      <c r="T8492" t="s">
        <v>42767</v>
      </c>
      <c r="U8492" t="s">
        <v>50112</v>
      </c>
      <c r="W8492" t="s">
        <v>39918</v>
      </c>
      <c r="X8492" t="s">
        <v>41258</v>
      </c>
    </row>
    <row r="8493" spans="1:24">
      <c r="A8493">
        <f>HYPERLINK("https://www.philgeps.gov.ph/GEPSNONPILOT/Tender/SplashBidNoticeAbstractUI.aspx?menuIndex=3&amp;refID=7066586&amp;Result=3","7066586")</f>
        <v>0</v>
      </c>
      <c r="B8493" t="s">
        <v>572</v>
      </c>
      <c r="C8493" t="s">
        <v>11485</v>
      </c>
      <c r="D8493" t="s">
        <v>16622</v>
      </c>
      <c r="E8493" t="s">
        <v>24118</v>
      </c>
      <c r="F8493" t="s">
        <v>28669</v>
      </c>
      <c r="G8493" t="s">
        <v>28679</v>
      </c>
      <c r="H8493" t="s">
        <v>9998</v>
      </c>
      <c r="I8493" t="s">
        <v>3718</v>
      </c>
      <c r="J8493" t="s">
        <v>34114</v>
      </c>
      <c r="K8493" t="s">
        <v>37209</v>
      </c>
      <c r="M8493" t="s">
        <v>38071</v>
      </c>
      <c r="N8493" t="s">
        <v>41249</v>
      </c>
      <c r="O8493" t="s">
        <v>41250</v>
      </c>
      <c r="P8493">
        <v>0</v>
      </c>
      <c r="Q8493">
        <v>5</v>
      </c>
      <c r="R8493" t="s">
        <v>41258</v>
      </c>
      <c r="S8493" t="s">
        <v>41513</v>
      </c>
      <c r="T8493" t="s">
        <v>42728</v>
      </c>
      <c r="U8493" t="s">
        <v>50113</v>
      </c>
      <c r="W8493" t="s">
        <v>38071</v>
      </c>
      <c r="X8493" t="s">
        <v>41259</v>
      </c>
    </row>
    <row r="8494" spans="1:24">
      <c r="A8494">
        <f>HYPERLINK("https://www.philgeps.gov.ph/GEPSNONPILOT/Tender/SplashBidNoticeAbstractUI.aspx?menuIndex=3&amp;refID=7066585&amp;Result=3","7066585")</f>
        <v>0</v>
      </c>
      <c r="B8494" t="s">
        <v>2558</v>
      </c>
      <c r="C8494" t="s">
        <v>11486</v>
      </c>
      <c r="D8494" t="s">
        <v>16618</v>
      </c>
      <c r="E8494" t="s">
        <v>24119</v>
      </c>
      <c r="F8494" t="s">
        <v>28669</v>
      </c>
      <c r="G8494" t="s">
        <v>28675</v>
      </c>
      <c r="H8494" t="s">
        <v>28686</v>
      </c>
      <c r="I8494" t="s">
        <v>28689</v>
      </c>
      <c r="J8494" t="s">
        <v>34115</v>
      </c>
      <c r="K8494" t="s">
        <v>37229</v>
      </c>
      <c r="L8494" t="s">
        <v>2558</v>
      </c>
      <c r="M8494" t="s">
        <v>40251</v>
      </c>
      <c r="N8494" t="s">
        <v>41249</v>
      </c>
      <c r="O8494" t="s">
        <v>41250</v>
      </c>
      <c r="P8494">
        <v>0</v>
      </c>
      <c r="Q8494">
        <v>0</v>
      </c>
      <c r="R8494" t="s">
        <v>41258</v>
      </c>
      <c r="S8494" t="s">
        <v>41513</v>
      </c>
      <c r="T8494" t="s">
        <v>43036</v>
      </c>
      <c r="U8494" t="s">
        <v>49982</v>
      </c>
      <c r="W8494" t="s">
        <v>40251</v>
      </c>
      <c r="X8494" t="s">
        <v>41259</v>
      </c>
    </row>
    <row r="8495" spans="1:24">
      <c r="A8495">
        <f>HYPERLINK("https://www.philgeps.gov.ph/GEPSNONPILOT/Tender/SplashBidNoticeAbstractUI.aspx?menuIndex=3&amp;refID=7069808&amp;Result=3","7069808")</f>
        <v>0</v>
      </c>
      <c r="B8495" t="s">
        <v>2589</v>
      </c>
      <c r="C8495" t="s">
        <v>11487</v>
      </c>
      <c r="D8495" t="s">
        <v>16611</v>
      </c>
      <c r="E8495" t="s">
        <v>24120</v>
      </c>
      <c r="F8495" t="s">
        <v>28669</v>
      </c>
      <c r="G8495" t="s">
        <v>28675</v>
      </c>
      <c r="H8495" t="s">
        <v>9998</v>
      </c>
      <c r="I8495" t="s">
        <v>28718</v>
      </c>
      <c r="J8495" t="s">
        <v>28863</v>
      </c>
      <c r="K8495" t="s">
        <v>37204</v>
      </c>
      <c r="M8495" t="s">
        <v>40284</v>
      </c>
      <c r="N8495" t="s">
        <v>41249</v>
      </c>
      <c r="O8495" t="s">
        <v>41250</v>
      </c>
      <c r="P8495">
        <v>0</v>
      </c>
      <c r="Q8495">
        <v>1</v>
      </c>
      <c r="R8495" t="s">
        <v>41257</v>
      </c>
      <c r="S8495" t="s">
        <v>41461</v>
      </c>
      <c r="T8495" t="s">
        <v>42738</v>
      </c>
      <c r="U8495" t="s">
        <v>50114</v>
      </c>
      <c r="W8495" t="s">
        <v>40284</v>
      </c>
      <c r="X8495" t="s">
        <v>41258</v>
      </c>
    </row>
    <row r="8496" spans="1:24">
      <c r="A8496">
        <f>HYPERLINK("https://www.philgeps.gov.ph/GEPSNONPILOT/Tender/SplashBidNoticeAbstractUI.aspx?menuIndex=3&amp;refID=7066583&amp;Result=3","7066583")</f>
        <v>0</v>
      </c>
      <c r="B8496" t="s">
        <v>1999</v>
      </c>
      <c r="C8496" t="s">
        <v>11488</v>
      </c>
      <c r="D8496" t="s">
        <v>16657</v>
      </c>
      <c r="E8496" t="s">
        <v>24121</v>
      </c>
      <c r="F8496" t="s">
        <v>28669</v>
      </c>
      <c r="G8496" t="s">
        <v>28675</v>
      </c>
      <c r="H8496" t="s">
        <v>9998</v>
      </c>
      <c r="I8496" t="s">
        <v>5286</v>
      </c>
      <c r="J8496" t="s">
        <v>34116</v>
      </c>
      <c r="K8496" t="s">
        <v>37221</v>
      </c>
      <c r="M8496" t="s">
        <v>39637</v>
      </c>
      <c r="N8496" t="s">
        <v>41249</v>
      </c>
      <c r="O8496" t="s">
        <v>41250</v>
      </c>
      <c r="Q8496">
        <v>7</v>
      </c>
      <c r="R8496" t="s">
        <v>41258</v>
      </c>
      <c r="S8496" t="s">
        <v>41545</v>
      </c>
      <c r="T8496" t="s">
        <v>42658</v>
      </c>
      <c r="U8496" t="s">
        <v>50115</v>
      </c>
      <c r="W8496" t="s">
        <v>39637</v>
      </c>
      <c r="X8496" t="s">
        <v>41259</v>
      </c>
    </row>
    <row r="8497" spans="1:24">
      <c r="A8497">
        <f>HYPERLINK("https://www.philgeps.gov.ph/GEPSNONPILOT/Tender/SplashBidNoticeAbstractUI.aspx?menuIndex=3&amp;refID=7069226&amp;Result=3","7069226")</f>
        <v>0</v>
      </c>
      <c r="B8497" t="s">
        <v>2024</v>
      </c>
      <c r="C8497" t="s">
        <v>11489</v>
      </c>
      <c r="D8497" t="s">
        <v>16608</v>
      </c>
      <c r="E8497" t="s">
        <v>24122</v>
      </c>
      <c r="F8497" t="s">
        <v>28669</v>
      </c>
      <c r="G8497" t="s">
        <v>28675</v>
      </c>
      <c r="H8497" t="s">
        <v>9998</v>
      </c>
      <c r="I8497" t="s">
        <v>5213</v>
      </c>
      <c r="J8497" t="s">
        <v>28834</v>
      </c>
      <c r="K8497" t="s">
        <v>37204</v>
      </c>
      <c r="M8497" t="s">
        <v>39663</v>
      </c>
      <c r="N8497" t="s">
        <v>41249</v>
      </c>
      <c r="O8497" t="s">
        <v>41250</v>
      </c>
      <c r="P8497">
        <v>0</v>
      </c>
      <c r="Q8497">
        <v>0</v>
      </c>
      <c r="R8497" t="s">
        <v>41257</v>
      </c>
      <c r="S8497" t="s">
        <v>41461</v>
      </c>
      <c r="T8497" t="s">
        <v>42884</v>
      </c>
      <c r="U8497" t="s">
        <v>50116</v>
      </c>
      <c r="W8497" t="s">
        <v>39663</v>
      </c>
      <c r="X8497" t="s">
        <v>41258</v>
      </c>
    </row>
    <row r="8498" spans="1:24">
      <c r="A8498">
        <f>HYPERLINK("https://www.philgeps.gov.ph/GEPSNONPILOT/Tender/SplashBidNoticeAbstractUI.aspx?menuIndex=3&amp;refID=7069823&amp;Result=3","7069823")</f>
        <v>0</v>
      </c>
      <c r="B8498" t="s">
        <v>799</v>
      </c>
      <c r="C8498" t="s">
        <v>11490</v>
      </c>
      <c r="D8498" t="s">
        <v>16652</v>
      </c>
      <c r="E8498" t="s">
        <v>24123</v>
      </c>
      <c r="F8498" t="s">
        <v>28669</v>
      </c>
      <c r="G8498" t="s">
        <v>28675</v>
      </c>
      <c r="H8498" t="s">
        <v>28686</v>
      </c>
      <c r="I8498" t="s">
        <v>28689</v>
      </c>
      <c r="J8498" t="s">
        <v>34117</v>
      </c>
      <c r="K8498" t="s">
        <v>37286</v>
      </c>
      <c r="M8498" t="s">
        <v>38314</v>
      </c>
      <c r="N8498" t="s">
        <v>41249</v>
      </c>
      <c r="O8498" t="s">
        <v>41250</v>
      </c>
      <c r="P8498">
        <v>0</v>
      </c>
      <c r="Q8498">
        <v>1</v>
      </c>
      <c r="R8498" t="s">
        <v>41257</v>
      </c>
      <c r="S8498" t="s">
        <v>41461</v>
      </c>
      <c r="T8498" t="s">
        <v>42660</v>
      </c>
      <c r="U8498" t="s">
        <v>50117</v>
      </c>
      <c r="W8498" t="s">
        <v>38314</v>
      </c>
      <c r="X8498" t="s">
        <v>41258</v>
      </c>
    </row>
    <row r="8499" spans="1:24">
      <c r="A8499">
        <f>HYPERLINK("https://www.philgeps.gov.ph/GEPSNONPILOT/Tender/SplashBidNoticeAbstractUI.aspx?menuIndex=3&amp;refID=7066601&amp;Result=3","7066601")</f>
        <v>0</v>
      </c>
      <c r="B8499" t="s">
        <v>667</v>
      </c>
      <c r="C8499" t="s">
        <v>11491</v>
      </c>
      <c r="D8499" t="s">
        <v>16630</v>
      </c>
      <c r="E8499" t="s">
        <v>24124</v>
      </c>
      <c r="F8499" t="s">
        <v>28669</v>
      </c>
      <c r="G8499" t="s">
        <v>28676</v>
      </c>
      <c r="H8499" t="s">
        <v>9998</v>
      </c>
      <c r="I8499" t="s">
        <v>11593</v>
      </c>
      <c r="J8499" t="s">
        <v>29286</v>
      </c>
      <c r="K8499" t="s">
        <v>37204</v>
      </c>
      <c r="M8499" t="s">
        <v>38170</v>
      </c>
      <c r="N8499" t="s">
        <v>41249</v>
      </c>
      <c r="O8499" t="s">
        <v>41250</v>
      </c>
      <c r="P8499">
        <v>0</v>
      </c>
      <c r="Q8499">
        <v>3</v>
      </c>
      <c r="R8499" t="s">
        <v>41258</v>
      </c>
      <c r="S8499" t="s">
        <v>41513</v>
      </c>
      <c r="T8499" t="s">
        <v>42767</v>
      </c>
      <c r="U8499" t="s">
        <v>50118</v>
      </c>
      <c r="W8499" t="s">
        <v>38170</v>
      </c>
      <c r="X8499" t="s">
        <v>41259</v>
      </c>
    </row>
    <row r="8500" spans="1:24">
      <c r="A8500">
        <f>HYPERLINK("https://www.philgeps.gov.ph/GEPSNONPILOT/Tender/SplashBidNoticeAbstractUI.aspx?menuIndex=3&amp;refID=7066591&amp;Result=3","7066591")</f>
        <v>0</v>
      </c>
      <c r="B8500" t="s">
        <v>1463</v>
      </c>
      <c r="C8500" t="s">
        <v>11492</v>
      </c>
      <c r="D8500" t="s">
        <v>16619</v>
      </c>
      <c r="E8500" t="s">
        <v>24125</v>
      </c>
      <c r="F8500" t="s">
        <v>28669</v>
      </c>
      <c r="G8500" t="s">
        <v>28676</v>
      </c>
      <c r="H8500" t="s">
        <v>9998</v>
      </c>
      <c r="I8500" t="s">
        <v>28704</v>
      </c>
      <c r="J8500" t="s">
        <v>34118</v>
      </c>
      <c r="K8500" t="s">
        <v>37210</v>
      </c>
      <c r="M8500" t="s">
        <v>39029</v>
      </c>
      <c r="N8500" t="s">
        <v>41249</v>
      </c>
      <c r="O8500" t="s">
        <v>41250</v>
      </c>
      <c r="P8500">
        <v>0</v>
      </c>
      <c r="Q8500">
        <v>1</v>
      </c>
      <c r="R8500" t="s">
        <v>41258</v>
      </c>
      <c r="S8500" t="s">
        <v>41513</v>
      </c>
      <c r="T8500" t="s">
        <v>42883</v>
      </c>
      <c r="U8500" t="s">
        <v>50119</v>
      </c>
      <c r="W8500" t="s">
        <v>39029</v>
      </c>
      <c r="X8500" t="s">
        <v>41259</v>
      </c>
    </row>
    <row r="8501" spans="1:24">
      <c r="A8501">
        <f>HYPERLINK("https://www.philgeps.gov.ph/GEPSNONPILOT/Tender/SplashBidNoticeAbstractUI.aspx?menuIndex=3&amp;refID=7066581&amp;Result=3","7066581")</f>
        <v>0</v>
      </c>
      <c r="B8501" t="s">
        <v>2579</v>
      </c>
      <c r="C8501" t="s">
        <v>11493</v>
      </c>
      <c r="D8501" t="s">
        <v>16640</v>
      </c>
      <c r="E8501" t="s">
        <v>24126</v>
      </c>
      <c r="F8501" t="s">
        <v>28669</v>
      </c>
      <c r="G8501" t="s">
        <v>28675</v>
      </c>
      <c r="H8501" t="s">
        <v>28686</v>
      </c>
      <c r="I8501" t="s">
        <v>28689</v>
      </c>
      <c r="J8501" t="s">
        <v>29053</v>
      </c>
      <c r="K8501" t="s">
        <v>37255</v>
      </c>
      <c r="M8501" t="s">
        <v>40273</v>
      </c>
      <c r="N8501" t="s">
        <v>41249</v>
      </c>
      <c r="O8501" t="s">
        <v>41250</v>
      </c>
      <c r="P8501">
        <v>0</v>
      </c>
      <c r="Q8501">
        <v>9</v>
      </c>
      <c r="R8501" t="s">
        <v>41258</v>
      </c>
      <c r="S8501" t="s">
        <v>41513</v>
      </c>
      <c r="T8501" t="s">
        <v>42972</v>
      </c>
      <c r="U8501" t="s">
        <v>50120</v>
      </c>
      <c r="W8501" t="s">
        <v>40273</v>
      </c>
      <c r="X8501" t="s">
        <v>41259</v>
      </c>
    </row>
    <row r="8502" spans="1:24">
      <c r="A8502">
        <f>HYPERLINK("https://www.philgeps.gov.ph/GEPSNONPILOT/Tender/SplashBidNoticeAbstractUI.aspx?menuIndex=3&amp;refID=7066573&amp;Result=3","7066573")</f>
        <v>0</v>
      </c>
      <c r="B8502" t="s">
        <v>2491</v>
      </c>
      <c r="C8502" t="s">
        <v>11494</v>
      </c>
      <c r="D8502" t="s">
        <v>16626</v>
      </c>
      <c r="E8502" t="s">
        <v>24127</v>
      </c>
      <c r="F8502" t="s">
        <v>28669</v>
      </c>
      <c r="G8502" t="s">
        <v>28675</v>
      </c>
      <c r="H8502" t="s">
        <v>9998</v>
      </c>
      <c r="I8502" t="s">
        <v>28726</v>
      </c>
      <c r="J8502" t="s">
        <v>29438</v>
      </c>
      <c r="K8502" t="s">
        <v>37234</v>
      </c>
      <c r="M8502" t="s">
        <v>40175</v>
      </c>
      <c r="N8502" t="s">
        <v>41249</v>
      </c>
      <c r="O8502" t="s">
        <v>41250</v>
      </c>
      <c r="P8502">
        <v>0</v>
      </c>
      <c r="Q8502">
        <v>0</v>
      </c>
      <c r="R8502" t="s">
        <v>41258</v>
      </c>
      <c r="S8502" t="s">
        <v>41513</v>
      </c>
      <c r="T8502" t="s">
        <v>43061</v>
      </c>
      <c r="U8502" t="s">
        <v>50049</v>
      </c>
      <c r="W8502" t="s">
        <v>40175</v>
      </c>
      <c r="X8502" t="s">
        <v>41259</v>
      </c>
    </row>
    <row r="8503" spans="1:24">
      <c r="A8503">
        <f>HYPERLINK("https://www.philgeps.gov.ph/GEPSNONPILOT/Tender/SplashBidNoticeAbstractUI.aspx?menuIndex=3&amp;refID=7066584&amp;Result=3","7066584")</f>
        <v>0</v>
      </c>
      <c r="B8503" t="s">
        <v>667</v>
      </c>
      <c r="C8503" t="s">
        <v>11495</v>
      </c>
      <c r="D8503" t="s">
        <v>16630</v>
      </c>
      <c r="E8503" t="s">
        <v>24128</v>
      </c>
      <c r="F8503" t="s">
        <v>28669</v>
      </c>
      <c r="G8503" t="s">
        <v>28676</v>
      </c>
      <c r="H8503" t="s">
        <v>9998</v>
      </c>
      <c r="I8503" t="s">
        <v>7352</v>
      </c>
      <c r="J8503" t="s">
        <v>34119</v>
      </c>
      <c r="K8503" t="s">
        <v>37204</v>
      </c>
      <c r="M8503" t="s">
        <v>38170</v>
      </c>
      <c r="N8503" t="s">
        <v>41249</v>
      </c>
      <c r="O8503" t="s">
        <v>41250</v>
      </c>
      <c r="P8503">
        <v>0</v>
      </c>
      <c r="Q8503">
        <v>0</v>
      </c>
      <c r="R8503" t="s">
        <v>41258</v>
      </c>
      <c r="S8503" t="s">
        <v>41513</v>
      </c>
      <c r="T8503" t="s">
        <v>42767</v>
      </c>
      <c r="U8503" t="s">
        <v>50121</v>
      </c>
      <c r="W8503" t="s">
        <v>38170</v>
      </c>
      <c r="X8503" t="s">
        <v>41259</v>
      </c>
    </row>
    <row r="8504" spans="1:24">
      <c r="A8504">
        <f>HYPERLINK("https://www.philgeps.gov.ph/GEPSNONPILOT/Tender/SplashBidNoticeAbstractUI.aspx?menuIndex=3&amp;refID=7066570&amp;Result=3","7066570")</f>
        <v>0</v>
      </c>
      <c r="B8504" t="s">
        <v>2584</v>
      </c>
      <c r="C8504" t="s">
        <v>11496</v>
      </c>
      <c r="D8504" t="s">
        <v>16671</v>
      </c>
      <c r="E8504" t="s">
        <v>24129</v>
      </c>
      <c r="F8504" t="s">
        <v>28669</v>
      </c>
      <c r="G8504" t="s">
        <v>28675</v>
      </c>
      <c r="H8504" t="s">
        <v>28686</v>
      </c>
      <c r="I8504" t="s">
        <v>28689</v>
      </c>
      <c r="J8504" t="s">
        <v>34120</v>
      </c>
      <c r="K8504" t="s">
        <v>37407</v>
      </c>
      <c r="M8504" t="s">
        <v>40279</v>
      </c>
      <c r="N8504" t="s">
        <v>41249</v>
      </c>
      <c r="O8504" t="s">
        <v>41250</v>
      </c>
      <c r="P8504">
        <v>0</v>
      </c>
      <c r="Q8504">
        <v>0</v>
      </c>
      <c r="R8504" t="s">
        <v>41258</v>
      </c>
      <c r="S8504" t="s">
        <v>41513</v>
      </c>
      <c r="T8504" t="s">
        <v>42760</v>
      </c>
      <c r="U8504" t="s">
        <v>50085</v>
      </c>
      <c r="V8504" t="s">
        <v>55218</v>
      </c>
      <c r="W8504" t="s">
        <v>40279</v>
      </c>
      <c r="X8504" t="s">
        <v>41259</v>
      </c>
    </row>
    <row r="8505" spans="1:24">
      <c r="A8505">
        <f>HYPERLINK("https://www.philgeps.gov.ph/GEPSNONPILOT/Tender/SplashBidNoticeAbstractUI.aspx?menuIndex=3&amp;refID=7066582&amp;Result=3","7066582")</f>
        <v>0</v>
      </c>
      <c r="B8505" t="s">
        <v>1466</v>
      </c>
      <c r="C8505" t="s">
        <v>11497</v>
      </c>
      <c r="D8505" t="s">
        <v>16679</v>
      </c>
      <c r="E8505" t="s">
        <v>24130</v>
      </c>
      <c r="F8505" t="s">
        <v>28669</v>
      </c>
      <c r="G8505" t="s">
        <v>28675</v>
      </c>
      <c r="H8505" t="s">
        <v>28686</v>
      </c>
      <c r="I8505" t="s">
        <v>28689</v>
      </c>
      <c r="J8505" t="s">
        <v>31313</v>
      </c>
      <c r="K8505" t="s">
        <v>37213</v>
      </c>
      <c r="M8505" t="s">
        <v>39034</v>
      </c>
      <c r="N8505" t="s">
        <v>41249</v>
      </c>
      <c r="O8505" t="s">
        <v>41250</v>
      </c>
      <c r="P8505">
        <v>0</v>
      </c>
      <c r="Q8505">
        <v>4</v>
      </c>
      <c r="R8505" t="s">
        <v>41258</v>
      </c>
      <c r="S8505" t="s">
        <v>41513</v>
      </c>
      <c r="T8505" t="s">
        <v>42911</v>
      </c>
      <c r="U8505" t="s">
        <v>50072</v>
      </c>
      <c r="W8505" t="s">
        <v>55956</v>
      </c>
      <c r="X8505" t="s">
        <v>41259</v>
      </c>
    </row>
    <row r="8506" spans="1:24">
      <c r="A8506">
        <f>HYPERLINK("https://www.philgeps.gov.ph/GEPSNONPILOT/Tender/SplashBidNoticeAbstractUI.aspx?menuIndex=3&amp;refID=7066559&amp;Result=3","7066559")</f>
        <v>0</v>
      </c>
      <c r="B8506" t="s">
        <v>667</v>
      </c>
      <c r="C8506" t="s">
        <v>11498</v>
      </c>
      <c r="D8506" t="s">
        <v>16630</v>
      </c>
      <c r="E8506" t="s">
        <v>24131</v>
      </c>
      <c r="F8506" t="s">
        <v>28669</v>
      </c>
      <c r="G8506" t="s">
        <v>28676</v>
      </c>
      <c r="H8506" t="s">
        <v>9998</v>
      </c>
      <c r="I8506" t="s">
        <v>7352</v>
      </c>
      <c r="J8506" t="s">
        <v>34121</v>
      </c>
      <c r="K8506" t="s">
        <v>37204</v>
      </c>
      <c r="M8506" t="s">
        <v>38170</v>
      </c>
      <c r="N8506" t="s">
        <v>41249</v>
      </c>
      <c r="O8506" t="s">
        <v>41250</v>
      </c>
      <c r="P8506">
        <v>0</v>
      </c>
      <c r="Q8506">
        <v>0</v>
      </c>
      <c r="R8506" t="s">
        <v>41258</v>
      </c>
      <c r="S8506" t="s">
        <v>41513</v>
      </c>
      <c r="T8506" t="s">
        <v>42767</v>
      </c>
      <c r="U8506" t="s">
        <v>50122</v>
      </c>
      <c r="W8506" t="s">
        <v>38170</v>
      </c>
      <c r="X8506" t="s">
        <v>41259</v>
      </c>
    </row>
    <row r="8507" spans="1:24">
      <c r="A8507">
        <f>HYPERLINK("https://www.philgeps.gov.ph/GEPSNONPILOT/Tender/SplashBidNoticeAbstractUI.aspx?menuIndex=3&amp;refID=7066567&amp;Result=3","7066567")</f>
        <v>0</v>
      </c>
      <c r="B8507" t="s">
        <v>2558</v>
      </c>
      <c r="C8507" t="s">
        <v>11499</v>
      </c>
      <c r="D8507" t="s">
        <v>16618</v>
      </c>
      <c r="E8507" t="s">
        <v>24132</v>
      </c>
      <c r="F8507" t="s">
        <v>28669</v>
      </c>
      <c r="G8507" t="s">
        <v>28675</v>
      </c>
      <c r="H8507" t="s">
        <v>28686</v>
      </c>
      <c r="I8507" t="s">
        <v>28689</v>
      </c>
      <c r="J8507" t="s">
        <v>34122</v>
      </c>
      <c r="K8507" t="s">
        <v>37227</v>
      </c>
      <c r="L8507" t="s">
        <v>2558</v>
      </c>
      <c r="M8507" t="s">
        <v>40251</v>
      </c>
      <c r="N8507" t="s">
        <v>41249</v>
      </c>
      <c r="O8507" t="s">
        <v>41250</v>
      </c>
      <c r="P8507">
        <v>0</v>
      </c>
      <c r="Q8507">
        <v>0</v>
      </c>
      <c r="R8507" t="s">
        <v>41258</v>
      </c>
      <c r="S8507" t="s">
        <v>41513</v>
      </c>
      <c r="T8507" t="s">
        <v>43036</v>
      </c>
      <c r="U8507" t="s">
        <v>49982</v>
      </c>
      <c r="W8507" t="s">
        <v>40251</v>
      </c>
      <c r="X8507" t="s">
        <v>41259</v>
      </c>
    </row>
    <row r="8508" spans="1:24">
      <c r="A8508">
        <f>HYPERLINK("https://www.philgeps.gov.ph/GEPSNONPILOT/Tender/SplashBidNoticeAbstractUI.aspx?menuIndex=3&amp;refID=7066558&amp;Result=3","7066558")</f>
        <v>0</v>
      </c>
      <c r="B8508" t="s">
        <v>2590</v>
      </c>
      <c r="C8508" t="s">
        <v>11500</v>
      </c>
      <c r="D8508" t="s">
        <v>16668</v>
      </c>
      <c r="E8508" t="s">
        <v>17903</v>
      </c>
      <c r="F8508" t="s">
        <v>28669</v>
      </c>
      <c r="G8508" t="s">
        <v>28675</v>
      </c>
      <c r="H8508" t="s">
        <v>28686</v>
      </c>
      <c r="I8508" t="s">
        <v>28689</v>
      </c>
      <c r="J8508" t="s">
        <v>34123</v>
      </c>
      <c r="K8508" t="s">
        <v>37328</v>
      </c>
      <c r="M8508" t="s">
        <v>40285</v>
      </c>
      <c r="N8508" t="s">
        <v>41249</v>
      </c>
      <c r="O8508" t="s">
        <v>41250</v>
      </c>
      <c r="P8508">
        <v>0</v>
      </c>
      <c r="Q8508">
        <v>0</v>
      </c>
      <c r="R8508" t="s">
        <v>41258</v>
      </c>
      <c r="S8508" t="s">
        <v>41513</v>
      </c>
      <c r="T8508" t="s">
        <v>43036</v>
      </c>
      <c r="U8508" t="s">
        <v>50123</v>
      </c>
      <c r="W8508" t="s">
        <v>40285</v>
      </c>
      <c r="X8508" t="s">
        <v>41259</v>
      </c>
    </row>
    <row r="8509" spans="1:24">
      <c r="A8509">
        <f>HYPERLINK("https://www.philgeps.gov.ph/GEPSNONPILOT/Tender/SplashBidNoticeAbstractUI.aspx?menuIndex=3&amp;refID=7066614&amp;Result=3","7066614")</f>
        <v>0</v>
      </c>
      <c r="B8509" t="s">
        <v>1466</v>
      </c>
      <c r="C8509" t="s">
        <v>11501</v>
      </c>
      <c r="D8509" t="s">
        <v>16679</v>
      </c>
      <c r="E8509" t="s">
        <v>24133</v>
      </c>
      <c r="F8509" t="s">
        <v>28669</v>
      </c>
      <c r="G8509" t="s">
        <v>28675</v>
      </c>
      <c r="H8509" t="s">
        <v>28686</v>
      </c>
      <c r="I8509" t="s">
        <v>28689</v>
      </c>
      <c r="J8509" t="s">
        <v>31313</v>
      </c>
      <c r="K8509" t="s">
        <v>37221</v>
      </c>
      <c r="M8509" t="s">
        <v>39034</v>
      </c>
      <c r="N8509" t="s">
        <v>41249</v>
      </c>
      <c r="O8509" t="s">
        <v>41250</v>
      </c>
      <c r="P8509">
        <v>0</v>
      </c>
      <c r="Q8509">
        <v>4</v>
      </c>
      <c r="R8509" t="s">
        <v>41258</v>
      </c>
      <c r="S8509" t="s">
        <v>41513</v>
      </c>
      <c r="T8509" t="s">
        <v>42911</v>
      </c>
      <c r="U8509" t="s">
        <v>50072</v>
      </c>
      <c r="W8509" t="s">
        <v>55956</v>
      </c>
      <c r="X8509" t="s">
        <v>41259</v>
      </c>
    </row>
    <row r="8510" spans="1:24">
      <c r="A8510">
        <f>HYPERLINK("https://www.philgeps.gov.ph/GEPSNONPILOT/Tender/SplashBidNoticeAbstractUI.aspx?menuIndex=3&amp;refID=7066594&amp;Result=3","7066594")</f>
        <v>0</v>
      </c>
      <c r="B8510" t="s">
        <v>1124</v>
      </c>
      <c r="C8510" t="s">
        <v>11502</v>
      </c>
      <c r="E8510" t="s">
        <v>24134</v>
      </c>
      <c r="F8510" t="s">
        <v>28669</v>
      </c>
      <c r="G8510" t="s">
        <v>28676</v>
      </c>
      <c r="H8510" t="s">
        <v>9998</v>
      </c>
      <c r="I8510" t="s">
        <v>6128</v>
      </c>
      <c r="J8510" t="s">
        <v>34124</v>
      </c>
      <c r="K8510" t="s">
        <v>37209</v>
      </c>
      <c r="M8510" t="s">
        <v>38658</v>
      </c>
      <c r="N8510" t="s">
        <v>41249</v>
      </c>
      <c r="O8510" t="s">
        <v>41250</v>
      </c>
      <c r="P8510">
        <v>0</v>
      </c>
      <c r="Q8510">
        <v>3</v>
      </c>
      <c r="R8510" t="s">
        <v>41258</v>
      </c>
      <c r="S8510" t="s">
        <v>41513</v>
      </c>
      <c r="T8510" t="s">
        <v>42681</v>
      </c>
      <c r="U8510" t="s">
        <v>45501</v>
      </c>
      <c r="W8510" t="s">
        <v>38658</v>
      </c>
      <c r="X8510" t="s">
        <v>41259</v>
      </c>
    </row>
    <row r="8511" spans="1:24">
      <c r="A8511">
        <f>HYPERLINK("https://www.philgeps.gov.ph/GEPSNONPILOT/Tender/SplashBidNoticeAbstractUI.aspx?menuIndex=3&amp;refID=7066664&amp;Result=3","7066664")</f>
        <v>0</v>
      </c>
      <c r="B8511" t="s">
        <v>2541</v>
      </c>
      <c r="C8511" t="s">
        <v>11503</v>
      </c>
      <c r="D8511" t="s">
        <v>16632</v>
      </c>
      <c r="E8511" t="s">
        <v>24135</v>
      </c>
      <c r="F8511" t="s">
        <v>28669</v>
      </c>
      <c r="G8511" t="s">
        <v>28675</v>
      </c>
      <c r="H8511" t="s">
        <v>28686</v>
      </c>
      <c r="I8511" t="s">
        <v>28689</v>
      </c>
      <c r="J8511" t="s">
        <v>34125</v>
      </c>
      <c r="K8511" t="s">
        <v>37271</v>
      </c>
      <c r="M8511" t="s">
        <v>40231</v>
      </c>
      <c r="N8511" t="s">
        <v>41249</v>
      </c>
      <c r="O8511" t="s">
        <v>41250</v>
      </c>
      <c r="P8511">
        <v>0</v>
      </c>
      <c r="Q8511">
        <v>1</v>
      </c>
      <c r="R8511" t="s">
        <v>41258</v>
      </c>
      <c r="S8511" t="s">
        <v>41513</v>
      </c>
      <c r="T8511" t="s">
        <v>42760</v>
      </c>
      <c r="U8511" t="s">
        <v>49942</v>
      </c>
      <c r="W8511" t="s">
        <v>40231</v>
      </c>
      <c r="X8511" t="s">
        <v>41259</v>
      </c>
    </row>
    <row r="8512" spans="1:24">
      <c r="A8512">
        <f>HYPERLINK("https://www.philgeps.gov.ph/GEPSNONPILOT/Tender/SplashBidNoticeAbstractUI.aspx?menuIndex=3&amp;refID=7066597&amp;Result=3","7066597")</f>
        <v>0</v>
      </c>
      <c r="B8512" t="s">
        <v>2581</v>
      </c>
      <c r="C8512" t="s">
        <v>11504</v>
      </c>
      <c r="D8512" t="s">
        <v>16627</v>
      </c>
      <c r="E8512" t="s">
        <v>24136</v>
      </c>
      <c r="F8512" t="s">
        <v>28669</v>
      </c>
      <c r="G8512" t="s">
        <v>28675</v>
      </c>
      <c r="H8512" t="s">
        <v>28686</v>
      </c>
      <c r="I8512" t="s">
        <v>7352</v>
      </c>
      <c r="J8512" t="s">
        <v>34126</v>
      </c>
      <c r="K8512" t="s">
        <v>37227</v>
      </c>
      <c r="M8512" t="s">
        <v>40275</v>
      </c>
      <c r="N8512" t="s">
        <v>41249</v>
      </c>
      <c r="O8512" t="s">
        <v>41250</v>
      </c>
      <c r="P8512">
        <v>0</v>
      </c>
      <c r="Q8512">
        <v>1</v>
      </c>
      <c r="R8512" t="s">
        <v>41258</v>
      </c>
      <c r="S8512" t="s">
        <v>41513</v>
      </c>
      <c r="T8512" t="s">
        <v>42684</v>
      </c>
      <c r="U8512" t="s">
        <v>50124</v>
      </c>
      <c r="W8512" t="s">
        <v>40275</v>
      </c>
      <c r="X8512" t="s">
        <v>41259</v>
      </c>
    </row>
    <row r="8513" spans="1:24">
      <c r="A8513">
        <f>HYPERLINK("https://www.philgeps.gov.ph/GEPSNONPILOT/Tender/SplashBidNoticeAbstractUI.aspx?menuIndex=3&amp;refID=7066650&amp;Result=3","7066650")</f>
        <v>0</v>
      </c>
      <c r="B8513" t="s">
        <v>2434</v>
      </c>
      <c r="C8513" t="s">
        <v>11505</v>
      </c>
      <c r="D8513" t="s">
        <v>16661</v>
      </c>
      <c r="E8513" t="s">
        <v>24137</v>
      </c>
      <c r="F8513" t="s">
        <v>28669</v>
      </c>
      <c r="G8513" t="s">
        <v>28675</v>
      </c>
      <c r="H8513" t="s">
        <v>9998</v>
      </c>
      <c r="I8513" t="s">
        <v>28713</v>
      </c>
      <c r="J8513" t="s">
        <v>28850</v>
      </c>
      <c r="K8513" t="s">
        <v>37209</v>
      </c>
      <c r="M8513" t="s">
        <v>40117</v>
      </c>
      <c r="N8513" t="s">
        <v>41249</v>
      </c>
      <c r="O8513" t="s">
        <v>41250</v>
      </c>
      <c r="P8513">
        <v>0</v>
      </c>
      <c r="Q8513">
        <v>21</v>
      </c>
      <c r="R8513" t="s">
        <v>41258</v>
      </c>
      <c r="S8513" t="s">
        <v>41513</v>
      </c>
      <c r="T8513" t="s">
        <v>42912</v>
      </c>
      <c r="U8513" t="s">
        <v>50125</v>
      </c>
      <c r="W8513" t="s">
        <v>40117</v>
      </c>
      <c r="X8513" t="s">
        <v>41259</v>
      </c>
    </row>
    <row r="8514" spans="1:24">
      <c r="A8514">
        <f>HYPERLINK("https://www.philgeps.gov.ph/GEPSNONPILOT/Tender/SplashBidNoticeAbstractUI.aspx?menuIndex=3&amp;refID=7066646&amp;Result=3","7066646")</f>
        <v>0</v>
      </c>
      <c r="B8514" t="s">
        <v>1768</v>
      </c>
      <c r="C8514" t="s">
        <v>11506</v>
      </c>
      <c r="D8514" t="s">
        <v>16644</v>
      </c>
      <c r="E8514" t="s">
        <v>24138</v>
      </c>
      <c r="F8514" t="s">
        <v>28669</v>
      </c>
      <c r="G8514" t="s">
        <v>28675</v>
      </c>
      <c r="H8514" t="s">
        <v>9998</v>
      </c>
      <c r="I8514" t="s">
        <v>28699</v>
      </c>
      <c r="J8514" t="s">
        <v>29349</v>
      </c>
      <c r="K8514" t="s">
        <v>37220</v>
      </c>
      <c r="M8514" t="s">
        <v>39370</v>
      </c>
      <c r="N8514" t="s">
        <v>41249</v>
      </c>
      <c r="O8514" t="s">
        <v>41250</v>
      </c>
      <c r="P8514">
        <v>0</v>
      </c>
      <c r="Q8514">
        <v>1</v>
      </c>
      <c r="R8514" t="s">
        <v>41258</v>
      </c>
      <c r="S8514" t="s">
        <v>41513</v>
      </c>
      <c r="T8514" t="s">
        <v>42835</v>
      </c>
      <c r="U8514" t="s">
        <v>50126</v>
      </c>
      <c r="W8514" t="s">
        <v>39370</v>
      </c>
      <c r="X8514" t="s">
        <v>41259</v>
      </c>
    </row>
    <row r="8515" spans="1:24">
      <c r="A8515">
        <f>HYPERLINK("https://www.philgeps.gov.ph/GEPSNONPILOT/Tender/SplashBidNoticeAbstractUI.aspx?menuIndex=3&amp;refID=7066557&amp;Result=3","7066557")</f>
        <v>0</v>
      </c>
      <c r="B8515" t="s">
        <v>782</v>
      </c>
      <c r="C8515" t="s">
        <v>11507</v>
      </c>
      <c r="D8515" t="s">
        <v>16658</v>
      </c>
      <c r="E8515" t="s">
        <v>24139</v>
      </c>
      <c r="F8515" t="s">
        <v>28669</v>
      </c>
      <c r="G8515" t="s">
        <v>28675</v>
      </c>
      <c r="H8515" t="s">
        <v>9998</v>
      </c>
      <c r="I8515" t="s">
        <v>3718</v>
      </c>
      <c r="J8515" t="s">
        <v>29104</v>
      </c>
      <c r="K8515" t="s">
        <v>37205</v>
      </c>
      <c r="M8515" t="s">
        <v>38296</v>
      </c>
      <c r="N8515" t="s">
        <v>41249</v>
      </c>
      <c r="O8515" t="s">
        <v>41250</v>
      </c>
      <c r="P8515">
        <v>0</v>
      </c>
      <c r="Q8515">
        <v>1</v>
      </c>
      <c r="R8515" t="s">
        <v>41258</v>
      </c>
      <c r="S8515" t="s">
        <v>41513</v>
      </c>
      <c r="T8515" t="s">
        <v>42754</v>
      </c>
      <c r="U8515" t="s">
        <v>50127</v>
      </c>
      <c r="W8515" t="s">
        <v>38296</v>
      </c>
      <c r="X8515" t="s">
        <v>41259</v>
      </c>
    </row>
    <row r="8516" spans="1:24">
      <c r="A8516">
        <f>HYPERLINK("https://www.philgeps.gov.ph/GEPSNONPILOT/Tender/SplashBidNoticeAbstractUI.aspx?menuIndex=3&amp;refID=7066634&amp;Result=3","7066634")</f>
        <v>0</v>
      </c>
      <c r="B8516" t="s">
        <v>1694</v>
      </c>
      <c r="C8516" t="s">
        <v>11508</v>
      </c>
      <c r="D8516" t="s">
        <v>16616</v>
      </c>
      <c r="E8516" t="s">
        <v>24140</v>
      </c>
      <c r="F8516" t="s">
        <v>28669</v>
      </c>
      <c r="G8516" t="s">
        <v>28675</v>
      </c>
      <c r="H8516" t="s">
        <v>9998</v>
      </c>
      <c r="I8516" t="s">
        <v>5286</v>
      </c>
      <c r="J8516" t="s">
        <v>34127</v>
      </c>
      <c r="K8516" t="s">
        <v>37220</v>
      </c>
      <c r="M8516" t="s">
        <v>40261</v>
      </c>
      <c r="N8516" t="s">
        <v>41249</v>
      </c>
      <c r="O8516" t="s">
        <v>41250</v>
      </c>
      <c r="P8516">
        <v>0</v>
      </c>
      <c r="Q8516">
        <v>10</v>
      </c>
      <c r="R8516" t="s">
        <v>41258</v>
      </c>
      <c r="S8516" t="s">
        <v>41513</v>
      </c>
      <c r="T8516" t="s">
        <v>42721</v>
      </c>
      <c r="U8516" t="s">
        <v>50128</v>
      </c>
      <c r="V8516" t="s">
        <v>55215</v>
      </c>
      <c r="W8516" t="s">
        <v>40261</v>
      </c>
      <c r="X8516" t="s">
        <v>41259</v>
      </c>
    </row>
    <row r="8517" spans="1:24">
      <c r="A8517">
        <f>HYPERLINK("https://www.philgeps.gov.ph/GEPSNONPILOT/Tender/SplashBidNoticeAbstractUI.aspx?menuIndex=3&amp;refID=7066682&amp;Result=3","7066682")</f>
        <v>0</v>
      </c>
      <c r="B8517" t="s">
        <v>2579</v>
      </c>
      <c r="C8517" t="s">
        <v>11509</v>
      </c>
      <c r="D8517" t="s">
        <v>16640</v>
      </c>
      <c r="E8517" t="s">
        <v>24141</v>
      </c>
      <c r="F8517" t="s">
        <v>28669</v>
      </c>
      <c r="G8517" t="s">
        <v>28675</v>
      </c>
      <c r="H8517" t="s">
        <v>28686</v>
      </c>
      <c r="I8517" t="s">
        <v>28689</v>
      </c>
      <c r="J8517" t="s">
        <v>29655</v>
      </c>
      <c r="K8517" t="s">
        <v>37255</v>
      </c>
      <c r="M8517" t="s">
        <v>40273</v>
      </c>
      <c r="N8517" t="s">
        <v>41249</v>
      </c>
      <c r="O8517" t="s">
        <v>41250</v>
      </c>
      <c r="P8517">
        <v>0</v>
      </c>
      <c r="Q8517">
        <v>9</v>
      </c>
      <c r="R8517" t="s">
        <v>41258</v>
      </c>
      <c r="S8517" t="s">
        <v>41513</v>
      </c>
      <c r="T8517" t="s">
        <v>42721</v>
      </c>
      <c r="U8517" t="s">
        <v>50120</v>
      </c>
      <c r="W8517" t="s">
        <v>40273</v>
      </c>
      <c r="X8517" t="s">
        <v>41259</v>
      </c>
    </row>
    <row r="8518" spans="1:24">
      <c r="A8518">
        <f>HYPERLINK("https://www.philgeps.gov.ph/GEPSNONPILOT/Tender/SplashBidNoticeAbstractUI.aspx?menuIndex=3&amp;refID=7066680&amp;Result=3","7066680")</f>
        <v>0</v>
      </c>
      <c r="B8518" t="s">
        <v>803</v>
      </c>
      <c r="C8518" t="s">
        <v>11510</v>
      </c>
      <c r="D8518" t="s">
        <v>16664</v>
      </c>
      <c r="E8518" t="s">
        <v>24142</v>
      </c>
      <c r="F8518" t="s">
        <v>28669</v>
      </c>
      <c r="G8518" t="s">
        <v>28676</v>
      </c>
      <c r="H8518" t="s">
        <v>9998</v>
      </c>
      <c r="I8518" t="s">
        <v>3679</v>
      </c>
      <c r="J8518" t="s">
        <v>32022</v>
      </c>
      <c r="K8518" t="s">
        <v>37206</v>
      </c>
      <c r="M8518" t="s">
        <v>38318</v>
      </c>
      <c r="N8518" t="s">
        <v>41249</v>
      </c>
      <c r="O8518" t="s">
        <v>41250</v>
      </c>
      <c r="P8518">
        <v>0</v>
      </c>
      <c r="Q8518">
        <v>0</v>
      </c>
      <c r="R8518" t="s">
        <v>41258</v>
      </c>
      <c r="S8518" t="s">
        <v>41513</v>
      </c>
      <c r="T8518" t="s">
        <v>42758</v>
      </c>
      <c r="U8518" t="s">
        <v>50129</v>
      </c>
      <c r="W8518" t="s">
        <v>38318</v>
      </c>
      <c r="X8518" t="s">
        <v>41259</v>
      </c>
    </row>
    <row r="8519" spans="1:24">
      <c r="A8519">
        <f>HYPERLINK("https://www.philgeps.gov.ph/GEPSNONPILOT/Tender/SplashBidNoticeAbstractUI.aspx?menuIndex=3&amp;refID=7066660&amp;Result=3","7066660")</f>
        <v>0</v>
      </c>
      <c r="B8519" t="s">
        <v>2591</v>
      </c>
      <c r="C8519" t="s">
        <v>11511</v>
      </c>
      <c r="D8519" t="s">
        <v>16644</v>
      </c>
      <c r="E8519" t="s">
        <v>24143</v>
      </c>
      <c r="F8519" t="s">
        <v>28669</v>
      </c>
      <c r="G8519" t="s">
        <v>28675</v>
      </c>
      <c r="H8519" t="s">
        <v>9998</v>
      </c>
      <c r="I8519" t="s">
        <v>7352</v>
      </c>
      <c r="J8519" t="s">
        <v>34128</v>
      </c>
      <c r="K8519" t="s">
        <v>37204</v>
      </c>
      <c r="M8519" t="s">
        <v>40286</v>
      </c>
      <c r="N8519" t="s">
        <v>41249</v>
      </c>
      <c r="O8519" t="s">
        <v>41250</v>
      </c>
      <c r="P8519">
        <v>0</v>
      </c>
      <c r="Q8519">
        <v>0</v>
      </c>
      <c r="R8519" t="s">
        <v>41258</v>
      </c>
      <c r="S8519" t="s">
        <v>41513</v>
      </c>
      <c r="T8519" t="s">
        <v>42761</v>
      </c>
      <c r="U8519" t="s">
        <v>50130</v>
      </c>
      <c r="W8519" t="s">
        <v>40286</v>
      </c>
      <c r="X8519" t="s">
        <v>41259</v>
      </c>
    </row>
    <row r="8520" spans="1:24">
      <c r="A8520">
        <f>HYPERLINK("https://www.philgeps.gov.ph/GEPSNONPILOT/Tender/SplashBidNoticeAbstractUI.aspx?menuIndex=3&amp;refID=7066674&amp;Result=3","7066674")</f>
        <v>0</v>
      </c>
      <c r="B8520" t="s">
        <v>532</v>
      </c>
      <c r="C8520" t="s">
        <v>11512</v>
      </c>
      <c r="D8520" t="s">
        <v>16675</v>
      </c>
      <c r="E8520" t="s">
        <v>24144</v>
      </c>
      <c r="F8520" t="s">
        <v>28669</v>
      </c>
      <c r="G8520" t="s">
        <v>28675</v>
      </c>
      <c r="H8520" t="s">
        <v>9998</v>
      </c>
      <c r="I8520" t="s">
        <v>28695</v>
      </c>
      <c r="J8520" t="s">
        <v>34129</v>
      </c>
      <c r="K8520" t="s">
        <v>37205</v>
      </c>
      <c r="M8520" t="s">
        <v>38023</v>
      </c>
      <c r="N8520" t="s">
        <v>41249</v>
      </c>
      <c r="O8520" t="s">
        <v>41250</v>
      </c>
      <c r="P8520">
        <v>0</v>
      </c>
      <c r="Q8520">
        <v>0</v>
      </c>
      <c r="R8520" t="s">
        <v>41258</v>
      </c>
      <c r="S8520" t="s">
        <v>41513</v>
      </c>
      <c r="T8520" t="s">
        <v>42754</v>
      </c>
      <c r="U8520" t="s">
        <v>50131</v>
      </c>
      <c r="W8520" t="s">
        <v>38023</v>
      </c>
      <c r="X8520" t="s">
        <v>41259</v>
      </c>
    </row>
    <row r="8521" spans="1:24">
      <c r="A8521">
        <f>HYPERLINK("https://www.philgeps.gov.ph/GEPSNONPILOT/Tender/SplashBidNoticeAbstractUI.aspx?menuIndex=3&amp;refID=7066673&amp;Result=3","7066673")</f>
        <v>0</v>
      </c>
      <c r="B8521" t="s">
        <v>2592</v>
      </c>
      <c r="C8521" t="s">
        <v>11513</v>
      </c>
      <c r="D8521" t="s">
        <v>16664</v>
      </c>
      <c r="E8521" t="s">
        <v>24145</v>
      </c>
      <c r="F8521" t="s">
        <v>28669</v>
      </c>
      <c r="G8521" t="s">
        <v>28675</v>
      </c>
      <c r="H8521" t="s">
        <v>9998</v>
      </c>
      <c r="I8521" t="s">
        <v>28716</v>
      </c>
      <c r="J8521" t="s">
        <v>33645</v>
      </c>
      <c r="K8521" t="s">
        <v>37221</v>
      </c>
      <c r="M8521" t="s">
        <v>40287</v>
      </c>
      <c r="N8521" t="s">
        <v>41249</v>
      </c>
      <c r="O8521" t="s">
        <v>41250</v>
      </c>
      <c r="P8521">
        <v>0</v>
      </c>
      <c r="Q8521">
        <v>3</v>
      </c>
      <c r="R8521" t="s">
        <v>41258</v>
      </c>
      <c r="S8521" t="s">
        <v>41513</v>
      </c>
      <c r="T8521" t="s">
        <v>42760</v>
      </c>
      <c r="U8521" t="s">
        <v>50132</v>
      </c>
      <c r="W8521" t="s">
        <v>40287</v>
      </c>
      <c r="X8521" t="s">
        <v>41259</v>
      </c>
    </row>
    <row r="8522" spans="1:24">
      <c r="A8522">
        <f>HYPERLINK("https://www.philgeps.gov.ph/GEPSNONPILOT/Tender/SplashBidNoticeAbstractUI.aspx?menuIndex=3&amp;refID=7066669&amp;Result=3","7066669")</f>
        <v>0</v>
      </c>
      <c r="B8522" t="s">
        <v>2593</v>
      </c>
      <c r="C8522" t="s">
        <v>11514</v>
      </c>
      <c r="D8522" t="s">
        <v>16616</v>
      </c>
      <c r="E8522" t="s">
        <v>18246</v>
      </c>
      <c r="F8522" t="s">
        <v>28669</v>
      </c>
      <c r="G8522" t="s">
        <v>28676</v>
      </c>
      <c r="H8522" t="s">
        <v>28684</v>
      </c>
      <c r="I8522" t="s">
        <v>28701</v>
      </c>
      <c r="J8522" t="s">
        <v>28943</v>
      </c>
      <c r="K8522" t="s">
        <v>37272</v>
      </c>
      <c r="M8522" t="s">
        <v>40288</v>
      </c>
      <c r="N8522" t="s">
        <v>41249</v>
      </c>
      <c r="O8522" t="s">
        <v>41250</v>
      </c>
      <c r="P8522">
        <v>0</v>
      </c>
      <c r="Q8522">
        <v>3</v>
      </c>
      <c r="R8522" t="s">
        <v>41258</v>
      </c>
      <c r="S8522" t="s">
        <v>41513</v>
      </c>
      <c r="T8522" t="s">
        <v>42811</v>
      </c>
      <c r="U8522" t="s">
        <v>50133</v>
      </c>
      <c r="W8522" t="s">
        <v>40288</v>
      </c>
      <c r="X8522" t="s">
        <v>41259</v>
      </c>
    </row>
    <row r="8523" spans="1:24">
      <c r="A8523">
        <f>HYPERLINK("https://www.philgeps.gov.ph/GEPSNONPILOT/Tender/SplashBidNoticeAbstractUI.aspx?menuIndex=3&amp;refID=7066666&amp;Result=3","7066666")</f>
        <v>0</v>
      </c>
      <c r="B8523" t="s">
        <v>2584</v>
      </c>
      <c r="C8523" t="s">
        <v>11515</v>
      </c>
      <c r="D8523" t="s">
        <v>16671</v>
      </c>
      <c r="E8523" t="s">
        <v>24146</v>
      </c>
      <c r="F8523" t="s">
        <v>28669</v>
      </c>
      <c r="G8523" t="s">
        <v>28675</v>
      </c>
      <c r="H8523" t="s">
        <v>28686</v>
      </c>
      <c r="I8523" t="s">
        <v>28689</v>
      </c>
      <c r="J8523" t="s">
        <v>34130</v>
      </c>
      <c r="K8523" t="s">
        <v>37322</v>
      </c>
      <c r="M8523" t="s">
        <v>40279</v>
      </c>
      <c r="N8523" t="s">
        <v>41249</v>
      </c>
      <c r="O8523" t="s">
        <v>41250</v>
      </c>
      <c r="P8523">
        <v>0</v>
      </c>
      <c r="Q8523">
        <v>0</v>
      </c>
      <c r="R8523" t="s">
        <v>41258</v>
      </c>
      <c r="S8523" t="s">
        <v>41513</v>
      </c>
      <c r="T8523" t="s">
        <v>42760</v>
      </c>
      <c r="U8523" t="s">
        <v>50085</v>
      </c>
      <c r="V8523" t="s">
        <v>55219</v>
      </c>
      <c r="W8523" t="s">
        <v>40279</v>
      </c>
      <c r="X8523" t="s">
        <v>41259</v>
      </c>
    </row>
    <row r="8524" spans="1:24">
      <c r="A8524">
        <f>HYPERLINK("https://www.philgeps.gov.ph/GEPSNONPILOT/Tender/SplashBidNoticeAbstractUI.aspx?menuIndex=3&amp;refID=7066632&amp;Result=3","7066632")</f>
        <v>0</v>
      </c>
      <c r="B8524" t="s">
        <v>2594</v>
      </c>
      <c r="C8524" t="s">
        <v>11516</v>
      </c>
      <c r="D8524" t="s">
        <v>16618</v>
      </c>
      <c r="E8524" t="s">
        <v>24147</v>
      </c>
      <c r="F8524" t="s">
        <v>28669</v>
      </c>
      <c r="G8524" t="s">
        <v>28675</v>
      </c>
      <c r="H8524" t="s">
        <v>9998</v>
      </c>
      <c r="I8524" t="s">
        <v>28708</v>
      </c>
      <c r="J8524" t="s">
        <v>28838</v>
      </c>
      <c r="K8524" t="s">
        <v>37206</v>
      </c>
      <c r="M8524" t="s">
        <v>40289</v>
      </c>
      <c r="N8524" t="s">
        <v>41249</v>
      </c>
      <c r="O8524" t="s">
        <v>41250</v>
      </c>
      <c r="P8524">
        <v>0</v>
      </c>
      <c r="Q8524">
        <v>0</v>
      </c>
      <c r="R8524" t="s">
        <v>41258</v>
      </c>
      <c r="S8524" t="s">
        <v>41513</v>
      </c>
      <c r="T8524" t="s">
        <v>42728</v>
      </c>
      <c r="U8524" t="s">
        <v>50134</v>
      </c>
      <c r="W8524" t="s">
        <v>40289</v>
      </c>
      <c r="X8524" t="s">
        <v>41259</v>
      </c>
    </row>
    <row r="8525" spans="1:24">
      <c r="A8525">
        <f>HYPERLINK("https://www.philgeps.gov.ph/GEPSNONPILOT/Tender/SplashBidNoticeAbstractUI.aspx?menuIndex=3&amp;refID=7066621&amp;Result=3","7066621")</f>
        <v>0</v>
      </c>
      <c r="B8525" t="s">
        <v>2584</v>
      </c>
      <c r="C8525" t="s">
        <v>11517</v>
      </c>
      <c r="D8525" t="s">
        <v>16671</v>
      </c>
      <c r="E8525" t="s">
        <v>24148</v>
      </c>
      <c r="F8525" t="s">
        <v>28669</v>
      </c>
      <c r="G8525" t="s">
        <v>28675</v>
      </c>
      <c r="H8525" t="s">
        <v>28686</v>
      </c>
      <c r="I8525" t="s">
        <v>28689</v>
      </c>
      <c r="J8525" t="s">
        <v>34131</v>
      </c>
      <c r="K8525" t="s">
        <v>37408</v>
      </c>
      <c r="M8525" t="s">
        <v>40279</v>
      </c>
      <c r="N8525" t="s">
        <v>41249</v>
      </c>
      <c r="O8525" t="s">
        <v>41250</v>
      </c>
      <c r="P8525">
        <v>0</v>
      </c>
      <c r="Q8525">
        <v>0</v>
      </c>
      <c r="R8525" t="s">
        <v>41258</v>
      </c>
      <c r="S8525" t="s">
        <v>41513</v>
      </c>
      <c r="T8525" t="s">
        <v>42760</v>
      </c>
      <c r="U8525" t="s">
        <v>50085</v>
      </c>
      <c r="V8525" t="s">
        <v>55220</v>
      </c>
      <c r="W8525" t="s">
        <v>40279</v>
      </c>
      <c r="X8525" t="s">
        <v>41259</v>
      </c>
    </row>
    <row r="8526" spans="1:24">
      <c r="A8526">
        <f>HYPERLINK("https://www.philgeps.gov.ph/GEPSNONPILOT/Tender/SplashBidNoticeAbstractUI.aspx?menuIndex=3&amp;refID=7066620&amp;Result=3","7066620")</f>
        <v>0</v>
      </c>
      <c r="B8526" t="s">
        <v>2548</v>
      </c>
      <c r="C8526" t="s">
        <v>11518</v>
      </c>
      <c r="D8526" t="s">
        <v>16679</v>
      </c>
      <c r="E8526" t="s">
        <v>24149</v>
      </c>
      <c r="F8526" t="s">
        <v>28669</v>
      </c>
      <c r="G8526" t="s">
        <v>28675</v>
      </c>
      <c r="H8526" t="s">
        <v>9998</v>
      </c>
      <c r="I8526" t="s">
        <v>5213</v>
      </c>
      <c r="J8526" t="s">
        <v>34132</v>
      </c>
      <c r="K8526" t="s">
        <v>37209</v>
      </c>
      <c r="M8526" t="s">
        <v>40240</v>
      </c>
      <c r="N8526" t="s">
        <v>41249</v>
      </c>
      <c r="O8526" t="s">
        <v>41250</v>
      </c>
      <c r="P8526">
        <v>0</v>
      </c>
      <c r="Q8526">
        <v>6</v>
      </c>
      <c r="R8526" t="s">
        <v>41258</v>
      </c>
      <c r="S8526" t="s">
        <v>41513</v>
      </c>
      <c r="T8526" t="s">
        <v>42761</v>
      </c>
      <c r="U8526" t="s">
        <v>50135</v>
      </c>
      <c r="W8526" t="s">
        <v>56000</v>
      </c>
      <c r="X8526" t="s">
        <v>41259</v>
      </c>
    </row>
    <row r="8527" spans="1:24">
      <c r="A8527">
        <f>HYPERLINK("https://www.philgeps.gov.ph/GEPSNONPILOT/Tender/SplashBidNoticeAbstractUI.aspx?menuIndex=3&amp;refID=7066616&amp;Result=3","7066616")</f>
        <v>0</v>
      </c>
      <c r="B8527" t="s">
        <v>1124</v>
      </c>
      <c r="C8527" t="s">
        <v>11519</v>
      </c>
      <c r="E8527" t="s">
        <v>24150</v>
      </c>
      <c r="F8527" t="s">
        <v>28669</v>
      </c>
      <c r="G8527" t="s">
        <v>28676</v>
      </c>
      <c r="H8527" t="s">
        <v>9998</v>
      </c>
      <c r="I8527" t="s">
        <v>6128</v>
      </c>
      <c r="J8527" t="s">
        <v>34133</v>
      </c>
      <c r="K8527" t="s">
        <v>37209</v>
      </c>
      <c r="M8527" t="s">
        <v>38658</v>
      </c>
      <c r="N8527" t="s">
        <v>41249</v>
      </c>
      <c r="O8527" t="s">
        <v>41250</v>
      </c>
      <c r="P8527">
        <v>0</v>
      </c>
      <c r="Q8527">
        <v>2</v>
      </c>
      <c r="R8527" t="s">
        <v>41258</v>
      </c>
      <c r="S8527" t="s">
        <v>41513</v>
      </c>
      <c r="T8527" t="s">
        <v>42681</v>
      </c>
      <c r="U8527" t="s">
        <v>45501</v>
      </c>
      <c r="W8527" t="s">
        <v>38658</v>
      </c>
      <c r="X8527" t="s">
        <v>41259</v>
      </c>
    </row>
    <row r="8528" spans="1:24">
      <c r="A8528">
        <f>HYPERLINK("https://www.philgeps.gov.ph/GEPSNONPILOT/Tender/SplashBidNoticeAbstractUI.aspx?menuIndex=3&amp;refID=7066615&amp;Result=3","7066615")</f>
        <v>0</v>
      </c>
      <c r="B8528" t="s">
        <v>1658</v>
      </c>
      <c r="C8528" t="s">
        <v>11520</v>
      </c>
      <c r="D8528" t="s">
        <v>16624</v>
      </c>
      <c r="E8528" t="s">
        <v>24151</v>
      </c>
      <c r="F8528" t="s">
        <v>28669</v>
      </c>
      <c r="G8528" t="s">
        <v>28675</v>
      </c>
      <c r="H8528" t="s">
        <v>28686</v>
      </c>
      <c r="I8528" t="s">
        <v>28689</v>
      </c>
      <c r="J8528" t="s">
        <v>29950</v>
      </c>
      <c r="K8528" t="s">
        <v>37226</v>
      </c>
      <c r="M8528" t="s">
        <v>39249</v>
      </c>
      <c r="N8528" t="s">
        <v>41249</v>
      </c>
      <c r="O8528" t="s">
        <v>41250</v>
      </c>
      <c r="P8528">
        <v>0</v>
      </c>
      <c r="Q8528">
        <v>0</v>
      </c>
      <c r="R8528" t="s">
        <v>41258</v>
      </c>
      <c r="S8528" t="s">
        <v>41513</v>
      </c>
      <c r="T8528" t="s">
        <v>42782</v>
      </c>
      <c r="U8528" t="s">
        <v>50136</v>
      </c>
      <c r="W8528" t="s">
        <v>39249</v>
      </c>
      <c r="X8528" t="s">
        <v>41259</v>
      </c>
    </row>
    <row r="8529" spans="1:24">
      <c r="A8529">
        <f>HYPERLINK("https://www.philgeps.gov.ph/GEPSNONPILOT/Tender/SplashBidNoticeAbstractUI.aspx?menuIndex=3&amp;refID=7066643&amp;Result=3","7066643")</f>
        <v>0</v>
      </c>
      <c r="B8529" t="s">
        <v>2548</v>
      </c>
      <c r="C8529" t="s">
        <v>11521</v>
      </c>
      <c r="D8529" t="s">
        <v>16679</v>
      </c>
      <c r="E8529" t="s">
        <v>24149</v>
      </c>
      <c r="F8529" t="s">
        <v>28669</v>
      </c>
      <c r="G8529" t="s">
        <v>28675</v>
      </c>
      <c r="H8529" t="s">
        <v>9998</v>
      </c>
      <c r="I8529" t="s">
        <v>28717</v>
      </c>
      <c r="J8529" t="s">
        <v>34134</v>
      </c>
      <c r="K8529" t="s">
        <v>37209</v>
      </c>
      <c r="M8529" t="s">
        <v>40240</v>
      </c>
      <c r="N8529" t="s">
        <v>41249</v>
      </c>
      <c r="O8529" t="s">
        <v>41250</v>
      </c>
      <c r="P8529">
        <v>0</v>
      </c>
      <c r="Q8529">
        <v>14</v>
      </c>
      <c r="R8529" t="s">
        <v>41258</v>
      </c>
      <c r="S8529" t="s">
        <v>41513</v>
      </c>
      <c r="T8529" t="s">
        <v>43051</v>
      </c>
      <c r="U8529" t="s">
        <v>50135</v>
      </c>
      <c r="W8529" t="s">
        <v>56000</v>
      </c>
      <c r="X8529" t="s">
        <v>41259</v>
      </c>
    </row>
    <row r="8530" spans="1:24">
      <c r="A8530">
        <f>HYPERLINK("https://www.philgeps.gov.ph/GEPSNONPILOT/Tender/SplashBidNoticeAbstractUI.aspx?menuIndex=3&amp;refID=7066599&amp;Result=3","7066599")</f>
        <v>0</v>
      </c>
      <c r="B8530" t="s">
        <v>1466</v>
      </c>
      <c r="C8530" t="s">
        <v>11522</v>
      </c>
      <c r="D8530" t="s">
        <v>16679</v>
      </c>
      <c r="E8530" t="s">
        <v>24152</v>
      </c>
      <c r="F8530" t="s">
        <v>28669</v>
      </c>
      <c r="G8530" t="s">
        <v>28675</v>
      </c>
      <c r="H8530" t="s">
        <v>28686</v>
      </c>
      <c r="I8530" t="s">
        <v>28689</v>
      </c>
      <c r="J8530" t="s">
        <v>31313</v>
      </c>
      <c r="K8530" t="s">
        <v>37220</v>
      </c>
      <c r="M8530" t="s">
        <v>39034</v>
      </c>
      <c r="N8530" t="s">
        <v>41249</v>
      </c>
      <c r="O8530" t="s">
        <v>41250</v>
      </c>
      <c r="P8530">
        <v>0</v>
      </c>
      <c r="Q8530">
        <v>4</v>
      </c>
      <c r="R8530" t="s">
        <v>41258</v>
      </c>
      <c r="S8530" t="s">
        <v>41513</v>
      </c>
      <c r="T8530" t="s">
        <v>42911</v>
      </c>
      <c r="U8530" t="s">
        <v>50072</v>
      </c>
      <c r="W8530" t="s">
        <v>55956</v>
      </c>
      <c r="X8530" t="s">
        <v>41259</v>
      </c>
    </row>
    <row r="8531" spans="1:24">
      <c r="A8531">
        <f>HYPERLINK("https://www.philgeps.gov.ph/GEPSNONPILOT/Tender/SplashBidNoticeAbstractUI.aspx?menuIndex=3&amp;refID=7066678&amp;Result=3","7066678")</f>
        <v>0</v>
      </c>
      <c r="B8531" t="s">
        <v>2595</v>
      </c>
      <c r="C8531" t="s">
        <v>11523</v>
      </c>
      <c r="E8531" t="s">
        <v>24153</v>
      </c>
      <c r="F8531" t="s">
        <v>28669</v>
      </c>
      <c r="G8531" t="s">
        <v>28675</v>
      </c>
      <c r="H8531" t="s">
        <v>9998</v>
      </c>
      <c r="I8531" t="s">
        <v>28687</v>
      </c>
      <c r="J8531" t="s">
        <v>29141</v>
      </c>
      <c r="K8531" t="s">
        <v>37205</v>
      </c>
      <c r="M8531" t="s">
        <v>40290</v>
      </c>
      <c r="N8531" t="s">
        <v>41249</v>
      </c>
      <c r="O8531" t="s">
        <v>41250</v>
      </c>
      <c r="P8531">
        <v>0</v>
      </c>
      <c r="Q8531">
        <v>5</v>
      </c>
      <c r="R8531" t="s">
        <v>41258</v>
      </c>
      <c r="S8531" t="s">
        <v>41513</v>
      </c>
      <c r="T8531" t="s">
        <v>43036</v>
      </c>
      <c r="U8531" t="s">
        <v>50137</v>
      </c>
      <c r="W8531" t="s">
        <v>40290</v>
      </c>
      <c r="X8531" t="s">
        <v>41259</v>
      </c>
    </row>
    <row r="8532" spans="1:24">
      <c r="A8532">
        <f>HYPERLINK("https://www.philgeps.gov.ph/GEPSNONPILOT/Tender/SplashBidNoticeAbstractUI.aspx?menuIndex=3&amp;refID=7066635&amp;Result=3","7066635")</f>
        <v>0</v>
      </c>
      <c r="B8532" t="s">
        <v>2596</v>
      </c>
      <c r="C8532" t="s">
        <v>11524</v>
      </c>
      <c r="D8532" t="s">
        <v>16668</v>
      </c>
      <c r="E8532" t="s">
        <v>17014</v>
      </c>
      <c r="F8532" t="s">
        <v>28669</v>
      </c>
      <c r="G8532" t="s">
        <v>28675</v>
      </c>
      <c r="H8532" t="s">
        <v>28686</v>
      </c>
      <c r="I8532" t="s">
        <v>28689</v>
      </c>
      <c r="J8532" t="s">
        <v>34135</v>
      </c>
      <c r="K8532" t="s">
        <v>37292</v>
      </c>
      <c r="M8532" t="s">
        <v>40291</v>
      </c>
      <c r="N8532" t="s">
        <v>41249</v>
      </c>
      <c r="O8532" t="s">
        <v>41250</v>
      </c>
      <c r="P8532">
        <v>0</v>
      </c>
      <c r="Q8532">
        <v>1</v>
      </c>
      <c r="R8532" t="s">
        <v>41258</v>
      </c>
      <c r="S8532" t="s">
        <v>41513</v>
      </c>
      <c r="T8532" t="s">
        <v>42755</v>
      </c>
      <c r="U8532" t="s">
        <v>50138</v>
      </c>
      <c r="W8532" t="s">
        <v>40291</v>
      </c>
      <c r="X8532" t="s">
        <v>41259</v>
      </c>
    </row>
    <row r="8533" spans="1:24">
      <c r="A8533">
        <f>HYPERLINK("https://www.philgeps.gov.ph/GEPSNONPILOT/Tender/SplashBidNoticeAbstractUI.aspx?menuIndex=3&amp;refID=7066569&amp;Result=3","7066569")</f>
        <v>0</v>
      </c>
      <c r="B8533" t="s">
        <v>1789</v>
      </c>
      <c r="C8533" t="s">
        <v>11525</v>
      </c>
      <c r="D8533" t="s">
        <v>16617</v>
      </c>
      <c r="E8533" t="s">
        <v>24154</v>
      </c>
      <c r="F8533" t="s">
        <v>28669</v>
      </c>
      <c r="G8533" t="s">
        <v>28675</v>
      </c>
      <c r="H8533" t="s">
        <v>28685</v>
      </c>
      <c r="I8533" t="s">
        <v>28685</v>
      </c>
      <c r="J8533" t="s">
        <v>30406</v>
      </c>
      <c r="K8533" t="s">
        <v>37238</v>
      </c>
      <c r="M8533" t="s">
        <v>39396</v>
      </c>
      <c r="N8533" t="s">
        <v>41249</v>
      </c>
      <c r="O8533" t="s">
        <v>41250</v>
      </c>
      <c r="P8533">
        <v>0</v>
      </c>
      <c r="Q8533">
        <v>1</v>
      </c>
      <c r="R8533" t="s">
        <v>41258</v>
      </c>
      <c r="S8533" t="s">
        <v>41513</v>
      </c>
      <c r="T8533" t="s">
        <v>42743</v>
      </c>
      <c r="U8533" t="s">
        <v>47464</v>
      </c>
      <c r="W8533" t="s">
        <v>39396</v>
      </c>
      <c r="X8533" t="s">
        <v>41259</v>
      </c>
    </row>
    <row r="8534" spans="1:24">
      <c r="A8534">
        <f>HYPERLINK("https://www.philgeps.gov.ph/GEPSNONPILOT/Tender/SplashBidNoticeAbstractUI.aspx?menuIndex=3&amp;refID=7066684&amp;Result=3","7066684")</f>
        <v>0</v>
      </c>
      <c r="B8534" t="s">
        <v>2004</v>
      </c>
      <c r="C8534" t="s">
        <v>11526</v>
      </c>
      <c r="D8534" t="s">
        <v>16661</v>
      </c>
      <c r="E8534" t="s">
        <v>24155</v>
      </c>
      <c r="F8534" t="s">
        <v>28669</v>
      </c>
      <c r="G8534" t="s">
        <v>28677</v>
      </c>
      <c r="H8534" t="s">
        <v>9998</v>
      </c>
      <c r="I8534" t="s">
        <v>28707</v>
      </c>
      <c r="J8534" t="s">
        <v>29020</v>
      </c>
      <c r="K8534" t="s">
        <v>37206</v>
      </c>
      <c r="M8534" t="s">
        <v>39642</v>
      </c>
      <c r="N8534" t="s">
        <v>41249</v>
      </c>
      <c r="O8534" t="s">
        <v>41250</v>
      </c>
      <c r="P8534">
        <v>0</v>
      </c>
      <c r="Q8534">
        <v>6</v>
      </c>
      <c r="R8534" t="s">
        <v>41258</v>
      </c>
      <c r="S8534" t="s">
        <v>41513</v>
      </c>
      <c r="T8534" t="s">
        <v>42883</v>
      </c>
      <c r="U8534" t="s">
        <v>50139</v>
      </c>
      <c r="W8534" t="s">
        <v>39642</v>
      </c>
      <c r="X8534" t="s">
        <v>41259</v>
      </c>
    </row>
    <row r="8535" spans="1:24">
      <c r="A8535">
        <f>HYPERLINK("https://www.philgeps.gov.ph/GEPSNONPILOT/Tender/SplashBidNoticeAbstractUI.aspx?menuIndex=3&amp;refID=7066744&amp;Result=3","7066744")</f>
        <v>0</v>
      </c>
      <c r="B8535" t="s">
        <v>2592</v>
      </c>
      <c r="C8535" t="s">
        <v>11527</v>
      </c>
      <c r="D8535" t="s">
        <v>16664</v>
      </c>
      <c r="E8535" t="s">
        <v>24156</v>
      </c>
      <c r="F8535" t="s">
        <v>28669</v>
      </c>
      <c r="G8535" t="s">
        <v>28675</v>
      </c>
      <c r="H8535" t="s">
        <v>28686</v>
      </c>
      <c r="I8535" t="s">
        <v>28689</v>
      </c>
      <c r="J8535" t="s">
        <v>34136</v>
      </c>
      <c r="K8535" t="s">
        <v>37211</v>
      </c>
      <c r="M8535" t="s">
        <v>40287</v>
      </c>
      <c r="N8535" t="s">
        <v>41249</v>
      </c>
      <c r="O8535" t="s">
        <v>41250</v>
      </c>
      <c r="P8535">
        <v>0</v>
      </c>
      <c r="Q8535">
        <v>1</v>
      </c>
      <c r="R8535" t="s">
        <v>41258</v>
      </c>
      <c r="S8535" t="s">
        <v>41513</v>
      </c>
      <c r="T8535" t="s">
        <v>42760</v>
      </c>
      <c r="U8535" t="s">
        <v>50140</v>
      </c>
      <c r="W8535" t="s">
        <v>40287</v>
      </c>
      <c r="X8535" t="s">
        <v>41259</v>
      </c>
    </row>
    <row r="8536" spans="1:24">
      <c r="A8536">
        <f>HYPERLINK("https://www.philgeps.gov.ph/GEPSNONPILOT/Tender/SplashBidNoticeAbstractUI.aspx?menuIndex=3&amp;refID=7066721&amp;Result=3","7066721")</f>
        <v>0</v>
      </c>
      <c r="B8536" t="s">
        <v>2597</v>
      </c>
      <c r="C8536" t="s">
        <v>11528</v>
      </c>
      <c r="D8536" t="s">
        <v>16626</v>
      </c>
      <c r="E8536" t="s">
        <v>24157</v>
      </c>
      <c r="F8536" t="s">
        <v>28669</v>
      </c>
      <c r="G8536" t="s">
        <v>28675</v>
      </c>
      <c r="H8536" t="s">
        <v>9998</v>
      </c>
      <c r="I8536" t="s">
        <v>7352</v>
      </c>
      <c r="J8536" t="s">
        <v>34137</v>
      </c>
      <c r="K8536" t="s">
        <v>37234</v>
      </c>
      <c r="M8536" t="s">
        <v>40292</v>
      </c>
      <c r="N8536" t="s">
        <v>41249</v>
      </c>
      <c r="O8536" t="s">
        <v>41250</v>
      </c>
      <c r="P8536">
        <v>0</v>
      </c>
      <c r="Q8536">
        <v>0</v>
      </c>
      <c r="R8536" t="s">
        <v>41258</v>
      </c>
      <c r="S8536" t="s">
        <v>41513</v>
      </c>
      <c r="T8536" t="s">
        <v>43059</v>
      </c>
      <c r="U8536" t="s">
        <v>50141</v>
      </c>
      <c r="W8536" t="s">
        <v>40292</v>
      </c>
      <c r="X8536" t="s">
        <v>41259</v>
      </c>
    </row>
    <row r="8537" spans="1:24">
      <c r="A8537">
        <f>HYPERLINK("https://www.philgeps.gov.ph/GEPSNONPILOT/Tender/SplashBidNoticeAbstractUI.aspx?menuIndex=3&amp;refID=7066720&amp;Result=3","7066720")</f>
        <v>0</v>
      </c>
      <c r="B8537" t="s">
        <v>1953</v>
      </c>
      <c r="C8537" t="s">
        <v>11529</v>
      </c>
      <c r="D8537" t="s">
        <v>16650</v>
      </c>
      <c r="E8537" t="s">
        <v>24158</v>
      </c>
      <c r="F8537" t="s">
        <v>28669</v>
      </c>
      <c r="G8537" t="s">
        <v>28675</v>
      </c>
      <c r="H8537" t="s">
        <v>9998</v>
      </c>
      <c r="I8537" t="s">
        <v>28752</v>
      </c>
      <c r="J8537" t="s">
        <v>29134</v>
      </c>
      <c r="K8537" t="s">
        <v>37206</v>
      </c>
      <c r="M8537" t="s">
        <v>39585</v>
      </c>
      <c r="N8537" t="s">
        <v>41249</v>
      </c>
      <c r="O8537" t="s">
        <v>41250</v>
      </c>
      <c r="P8537">
        <v>0</v>
      </c>
      <c r="Q8537">
        <v>1</v>
      </c>
      <c r="R8537" t="s">
        <v>41258</v>
      </c>
      <c r="S8537" t="s">
        <v>41513</v>
      </c>
      <c r="T8537" t="s">
        <v>42729</v>
      </c>
      <c r="U8537" t="s">
        <v>47969</v>
      </c>
      <c r="V8537" t="s">
        <v>54903</v>
      </c>
      <c r="W8537" t="s">
        <v>39585</v>
      </c>
      <c r="X8537" t="s">
        <v>41259</v>
      </c>
    </row>
    <row r="8538" spans="1:24">
      <c r="A8538">
        <f>HYPERLINK("https://www.philgeps.gov.ph/GEPSNONPILOT/Tender/SplashBidNoticeAbstractUI.aspx?menuIndex=3&amp;refID=7066717&amp;Result=3","7066717")</f>
        <v>0</v>
      </c>
      <c r="B8538" t="s">
        <v>2598</v>
      </c>
      <c r="C8538" t="s">
        <v>11530</v>
      </c>
      <c r="D8538" t="s">
        <v>16619</v>
      </c>
      <c r="E8538" t="s">
        <v>24159</v>
      </c>
      <c r="F8538" t="s">
        <v>28669</v>
      </c>
      <c r="G8538" t="s">
        <v>28675</v>
      </c>
      <c r="H8538" t="s">
        <v>28686</v>
      </c>
      <c r="I8538" t="s">
        <v>28689</v>
      </c>
      <c r="J8538" t="s">
        <v>34138</v>
      </c>
      <c r="K8538" t="s">
        <v>37215</v>
      </c>
      <c r="M8538" t="s">
        <v>40293</v>
      </c>
      <c r="N8538" t="s">
        <v>41249</v>
      </c>
      <c r="O8538" t="s">
        <v>41250</v>
      </c>
      <c r="P8538">
        <v>0</v>
      </c>
      <c r="Q8538">
        <v>2</v>
      </c>
      <c r="R8538" t="s">
        <v>41258</v>
      </c>
      <c r="S8538" t="s">
        <v>41513</v>
      </c>
      <c r="T8538" t="s">
        <v>42786</v>
      </c>
      <c r="U8538" t="s">
        <v>50142</v>
      </c>
      <c r="W8538" t="s">
        <v>40293</v>
      </c>
      <c r="X8538" t="s">
        <v>41259</v>
      </c>
    </row>
    <row r="8539" spans="1:24">
      <c r="A8539">
        <f>HYPERLINK("https://www.philgeps.gov.ph/GEPSNONPILOT/Tender/SplashBidNoticeAbstractUI.aspx?menuIndex=3&amp;refID=7066700&amp;Result=3","7066700")</f>
        <v>0</v>
      </c>
      <c r="B8539" t="s">
        <v>2365</v>
      </c>
      <c r="C8539" t="s">
        <v>11531</v>
      </c>
      <c r="D8539" t="s">
        <v>16628</v>
      </c>
      <c r="E8539" t="s">
        <v>24160</v>
      </c>
      <c r="F8539" t="s">
        <v>28669</v>
      </c>
      <c r="G8539" t="s">
        <v>28675</v>
      </c>
      <c r="H8539" t="s">
        <v>9998</v>
      </c>
      <c r="I8539" t="s">
        <v>7352</v>
      </c>
      <c r="J8539" t="s">
        <v>34139</v>
      </c>
      <c r="K8539" t="s">
        <v>37206</v>
      </c>
      <c r="M8539" t="s">
        <v>40034</v>
      </c>
      <c r="N8539" t="s">
        <v>41249</v>
      </c>
      <c r="O8539" t="s">
        <v>41250</v>
      </c>
      <c r="P8539">
        <v>0</v>
      </c>
      <c r="Q8539">
        <v>2</v>
      </c>
      <c r="R8539" t="s">
        <v>41258</v>
      </c>
      <c r="S8539" t="s">
        <v>41513</v>
      </c>
      <c r="T8539" t="s">
        <v>42929</v>
      </c>
      <c r="U8539" t="s">
        <v>50143</v>
      </c>
      <c r="W8539" t="s">
        <v>40034</v>
      </c>
      <c r="X8539" t="s">
        <v>41259</v>
      </c>
    </row>
    <row r="8540" spans="1:24">
      <c r="A8540">
        <f>HYPERLINK("https://www.philgeps.gov.ph/GEPSNONPILOT/Tender/SplashBidNoticeAbstractUI.aspx?menuIndex=3&amp;refID=7066685&amp;Result=3","7066685")</f>
        <v>0</v>
      </c>
      <c r="B8540" t="s">
        <v>1770</v>
      </c>
      <c r="C8540" t="s">
        <v>11532</v>
      </c>
      <c r="D8540" t="s">
        <v>16608</v>
      </c>
      <c r="E8540" t="s">
        <v>24161</v>
      </c>
      <c r="F8540" t="s">
        <v>28669</v>
      </c>
      <c r="G8540" t="s">
        <v>28676</v>
      </c>
      <c r="H8540" t="s">
        <v>9998</v>
      </c>
      <c r="I8540" t="s">
        <v>3718</v>
      </c>
      <c r="J8540" t="s">
        <v>34140</v>
      </c>
      <c r="K8540" t="s">
        <v>37205</v>
      </c>
      <c r="M8540" t="s">
        <v>39584</v>
      </c>
      <c r="N8540" t="s">
        <v>41249</v>
      </c>
      <c r="O8540" t="s">
        <v>41250</v>
      </c>
      <c r="P8540">
        <v>0</v>
      </c>
      <c r="Q8540">
        <v>19</v>
      </c>
      <c r="R8540" t="s">
        <v>41258</v>
      </c>
      <c r="S8540" t="s">
        <v>41513</v>
      </c>
      <c r="T8540" t="s">
        <v>42938</v>
      </c>
      <c r="U8540" t="s">
        <v>47967</v>
      </c>
      <c r="W8540" t="s">
        <v>39584</v>
      </c>
      <c r="X8540" t="s">
        <v>41259</v>
      </c>
    </row>
    <row r="8541" spans="1:24">
      <c r="A8541">
        <f>HYPERLINK("https://www.philgeps.gov.ph/GEPSNONPILOT/Tender/SplashBidNoticeAbstractUI.aspx?menuIndex=3&amp;refID=7066697&amp;Result=3","7066697")</f>
        <v>0</v>
      </c>
      <c r="B8541" t="s">
        <v>2155</v>
      </c>
      <c r="C8541" t="s">
        <v>11533</v>
      </c>
      <c r="D8541" t="s">
        <v>16627</v>
      </c>
      <c r="E8541" t="s">
        <v>24162</v>
      </c>
      <c r="F8541" t="s">
        <v>28671</v>
      </c>
      <c r="G8541" t="s">
        <v>28675</v>
      </c>
      <c r="H8541" t="s">
        <v>9998</v>
      </c>
      <c r="I8541" t="s">
        <v>5286</v>
      </c>
      <c r="J8541" t="s">
        <v>34141</v>
      </c>
      <c r="K8541" t="s">
        <v>37206</v>
      </c>
      <c r="M8541" t="s">
        <v>39800</v>
      </c>
      <c r="N8541" t="s">
        <v>41249</v>
      </c>
      <c r="O8541" t="s">
        <v>41250</v>
      </c>
      <c r="P8541">
        <v>0</v>
      </c>
      <c r="Q8541">
        <v>0</v>
      </c>
      <c r="R8541" t="s">
        <v>41258</v>
      </c>
      <c r="S8541" t="s">
        <v>41513</v>
      </c>
      <c r="T8541" t="s">
        <v>42658</v>
      </c>
      <c r="U8541" t="s">
        <v>50144</v>
      </c>
      <c r="V8541" t="s">
        <v>55148</v>
      </c>
      <c r="W8541" t="s">
        <v>39800</v>
      </c>
      <c r="X8541" t="s">
        <v>41259</v>
      </c>
    </row>
    <row r="8542" spans="1:24">
      <c r="A8542">
        <f>HYPERLINK("https://www.philgeps.gov.ph/GEPSNONPILOT/Tender/SplashBidNoticeAbstractUI.aspx?menuIndex=3&amp;refID=7066694&amp;Result=3","7066694")</f>
        <v>0</v>
      </c>
      <c r="B8542" t="s">
        <v>532</v>
      </c>
      <c r="C8542" t="s">
        <v>11534</v>
      </c>
      <c r="D8542" t="s">
        <v>16675</v>
      </c>
      <c r="E8542" t="s">
        <v>21360</v>
      </c>
      <c r="F8542" t="s">
        <v>28669</v>
      </c>
      <c r="G8542" t="s">
        <v>28675</v>
      </c>
      <c r="H8542" t="s">
        <v>28686</v>
      </c>
      <c r="I8542" t="s">
        <v>28696</v>
      </c>
      <c r="J8542" t="s">
        <v>34142</v>
      </c>
      <c r="K8542" t="s">
        <v>37221</v>
      </c>
      <c r="M8542" t="s">
        <v>38023</v>
      </c>
      <c r="N8542" t="s">
        <v>41249</v>
      </c>
      <c r="O8542" t="s">
        <v>41250</v>
      </c>
      <c r="P8542">
        <v>0</v>
      </c>
      <c r="Q8542">
        <v>1</v>
      </c>
      <c r="R8542" t="s">
        <v>41258</v>
      </c>
      <c r="S8542" t="s">
        <v>41513</v>
      </c>
      <c r="T8542" t="s">
        <v>42754</v>
      </c>
      <c r="U8542" t="s">
        <v>50145</v>
      </c>
      <c r="W8542" t="s">
        <v>38023</v>
      </c>
      <c r="X8542" t="s">
        <v>41259</v>
      </c>
    </row>
    <row r="8543" spans="1:24">
      <c r="A8543">
        <f>HYPERLINK("https://www.philgeps.gov.ph/GEPSNONPILOT/Tender/SplashBidNoticeAbstractUI.aspx?menuIndex=3&amp;refID=7066739&amp;Result=3","7066739")</f>
        <v>0</v>
      </c>
      <c r="B8543" t="s">
        <v>2579</v>
      </c>
      <c r="C8543" t="s">
        <v>11535</v>
      </c>
      <c r="D8543" t="s">
        <v>16640</v>
      </c>
      <c r="E8543" t="s">
        <v>24163</v>
      </c>
      <c r="F8543" t="s">
        <v>28669</v>
      </c>
      <c r="G8543" t="s">
        <v>28675</v>
      </c>
      <c r="H8543" t="s">
        <v>28686</v>
      </c>
      <c r="I8543" t="s">
        <v>28689</v>
      </c>
      <c r="J8543" t="s">
        <v>34143</v>
      </c>
      <c r="K8543" t="s">
        <v>37214</v>
      </c>
      <c r="M8543" t="s">
        <v>40273</v>
      </c>
      <c r="N8543" t="s">
        <v>41249</v>
      </c>
      <c r="O8543" t="s">
        <v>41250</v>
      </c>
      <c r="P8543">
        <v>0</v>
      </c>
      <c r="Q8543">
        <v>9</v>
      </c>
      <c r="R8543" t="s">
        <v>41258</v>
      </c>
      <c r="S8543" t="s">
        <v>41513</v>
      </c>
      <c r="T8543" t="s">
        <v>42721</v>
      </c>
      <c r="U8543" t="s">
        <v>50120</v>
      </c>
      <c r="W8543" t="s">
        <v>40273</v>
      </c>
      <c r="X8543" t="s">
        <v>41259</v>
      </c>
    </row>
    <row r="8544" spans="1:24">
      <c r="A8544">
        <f>HYPERLINK("https://www.philgeps.gov.ph/GEPSNONPILOT/Tender/SplashBidNoticeAbstractUI.aspx?menuIndex=3&amp;refID=7066689&amp;Result=3","7066689")</f>
        <v>0</v>
      </c>
      <c r="B8544" t="s">
        <v>1522</v>
      </c>
      <c r="C8544" t="s">
        <v>9868</v>
      </c>
      <c r="D8544" t="s">
        <v>16686</v>
      </c>
      <c r="E8544" t="s">
        <v>22683</v>
      </c>
      <c r="F8544" t="s">
        <v>28669</v>
      </c>
      <c r="G8544" t="s">
        <v>28675</v>
      </c>
      <c r="H8544" t="s">
        <v>9998</v>
      </c>
      <c r="I8544" t="s">
        <v>7352</v>
      </c>
      <c r="J8544" t="s">
        <v>33108</v>
      </c>
      <c r="K8544" t="s">
        <v>37210</v>
      </c>
      <c r="M8544" t="s">
        <v>39573</v>
      </c>
      <c r="N8544" t="s">
        <v>41249</v>
      </c>
      <c r="O8544" t="s">
        <v>41250</v>
      </c>
      <c r="P8544">
        <v>0</v>
      </c>
      <c r="Q8544">
        <v>1</v>
      </c>
      <c r="R8544" t="s">
        <v>41258</v>
      </c>
      <c r="S8544" t="s">
        <v>41513</v>
      </c>
      <c r="T8544" t="s">
        <v>42663</v>
      </c>
      <c r="U8544" t="s">
        <v>48821</v>
      </c>
      <c r="W8544" t="s">
        <v>39573</v>
      </c>
      <c r="X8544" t="s">
        <v>41259</v>
      </c>
    </row>
    <row r="8545" spans="1:24">
      <c r="A8545">
        <f>HYPERLINK("https://www.philgeps.gov.ph/GEPSNONPILOT/Tender/SplashBidNoticeAbstractUI.aspx?menuIndex=3&amp;refID=7066757&amp;Result=3","7066757")</f>
        <v>0</v>
      </c>
      <c r="B8545" t="s">
        <v>1770</v>
      </c>
      <c r="C8545" t="s">
        <v>6933</v>
      </c>
      <c r="D8545" t="s">
        <v>16608</v>
      </c>
      <c r="E8545" t="s">
        <v>24164</v>
      </c>
      <c r="F8545" t="s">
        <v>28669</v>
      </c>
      <c r="G8545" t="s">
        <v>28676</v>
      </c>
      <c r="H8545" t="s">
        <v>9998</v>
      </c>
      <c r="I8545" t="s">
        <v>28688</v>
      </c>
      <c r="J8545" t="s">
        <v>34144</v>
      </c>
      <c r="K8545" t="s">
        <v>37206</v>
      </c>
      <c r="M8545" t="s">
        <v>39584</v>
      </c>
      <c r="N8545" t="s">
        <v>41249</v>
      </c>
      <c r="O8545" t="s">
        <v>41250</v>
      </c>
      <c r="P8545">
        <v>0</v>
      </c>
      <c r="Q8545">
        <v>18</v>
      </c>
      <c r="R8545" t="s">
        <v>41258</v>
      </c>
      <c r="S8545" t="s">
        <v>41513</v>
      </c>
      <c r="T8545" t="s">
        <v>42938</v>
      </c>
      <c r="U8545" t="s">
        <v>47967</v>
      </c>
      <c r="W8545" t="s">
        <v>39584</v>
      </c>
      <c r="X8545" t="s">
        <v>41259</v>
      </c>
    </row>
    <row r="8546" spans="1:24">
      <c r="A8546">
        <f>HYPERLINK("https://www.philgeps.gov.ph/GEPSNONPILOT/Tender/SplashBidNoticeAbstractUI.aspx?menuIndex=3&amp;refID=7066756&amp;Result=3","7066756")</f>
        <v>0</v>
      </c>
      <c r="B8546" t="s">
        <v>2598</v>
      </c>
      <c r="C8546" t="s">
        <v>11536</v>
      </c>
      <c r="D8546" t="s">
        <v>16619</v>
      </c>
      <c r="E8546" t="s">
        <v>24165</v>
      </c>
      <c r="F8546" t="s">
        <v>28669</v>
      </c>
      <c r="G8546" t="s">
        <v>28675</v>
      </c>
      <c r="H8546" t="s">
        <v>28686</v>
      </c>
      <c r="I8546" t="s">
        <v>28689</v>
      </c>
      <c r="J8546" t="s">
        <v>34145</v>
      </c>
      <c r="K8546" t="s">
        <v>37215</v>
      </c>
      <c r="M8546" t="s">
        <v>40293</v>
      </c>
      <c r="N8546" t="s">
        <v>41249</v>
      </c>
      <c r="O8546" t="s">
        <v>41250</v>
      </c>
      <c r="P8546">
        <v>0</v>
      </c>
      <c r="Q8546">
        <v>1</v>
      </c>
      <c r="R8546" t="s">
        <v>41258</v>
      </c>
      <c r="S8546" t="s">
        <v>41513</v>
      </c>
      <c r="T8546" t="s">
        <v>42786</v>
      </c>
      <c r="U8546" t="s">
        <v>50146</v>
      </c>
      <c r="W8546" t="s">
        <v>40293</v>
      </c>
      <c r="X8546" t="s">
        <v>41259</v>
      </c>
    </row>
    <row r="8547" spans="1:24">
      <c r="A8547">
        <f>HYPERLINK("https://www.philgeps.gov.ph/GEPSNONPILOT/Tender/SplashBidNoticeAbstractUI.aspx?menuIndex=3&amp;refID=7066710&amp;Result=3","7066710")</f>
        <v>0</v>
      </c>
      <c r="B8547" t="s">
        <v>2579</v>
      </c>
      <c r="C8547" t="s">
        <v>11537</v>
      </c>
      <c r="D8547" t="s">
        <v>16640</v>
      </c>
      <c r="E8547" t="s">
        <v>24166</v>
      </c>
      <c r="F8547" t="s">
        <v>28669</v>
      </c>
      <c r="G8547" t="s">
        <v>28675</v>
      </c>
      <c r="H8547" t="s">
        <v>28686</v>
      </c>
      <c r="I8547" t="s">
        <v>28689</v>
      </c>
      <c r="J8547" t="s">
        <v>28924</v>
      </c>
      <c r="K8547" t="s">
        <v>37213</v>
      </c>
      <c r="M8547" t="s">
        <v>40273</v>
      </c>
      <c r="N8547" t="s">
        <v>41249</v>
      </c>
      <c r="O8547" t="s">
        <v>41250</v>
      </c>
      <c r="P8547">
        <v>0</v>
      </c>
      <c r="Q8547">
        <v>9</v>
      </c>
      <c r="R8547" t="s">
        <v>41258</v>
      </c>
      <c r="S8547" t="s">
        <v>41513</v>
      </c>
      <c r="T8547" t="s">
        <v>42721</v>
      </c>
      <c r="U8547" t="s">
        <v>50120</v>
      </c>
      <c r="W8547" t="s">
        <v>40273</v>
      </c>
      <c r="X8547" t="s">
        <v>41259</v>
      </c>
    </row>
    <row r="8548" spans="1:24">
      <c r="A8548">
        <f>HYPERLINK("https://www.philgeps.gov.ph/GEPSNONPILOT/Tender/SplashBidNoticeAbstractUI.aspx?menuIndex=3&amp;refID=7066745&amp;Result=3","7066745")</f>
        <v>0</v>
      </c>
      <c r="B8548" t="s">
        <v>2599</v>
      </c>
      <c r="C8548" t="s">
        <v>11538</v>
      </c>
      <c r="D8548" t="s">
        <v>16638</v>
      </c>
      <c r="E8548" t="s">
        <v>24167</v>
      </c>
      <c r="F8548" t="s">
        <v>28669</v>
      </c>
      <c r="G8548" t="s">
        <v>28675</v>
      </c>
      <c r="H8548" t="s">
        <v>9998</v>
      </c>
      <c r="I8548" t="s">
        <v>11593</v>
      </c>
      <c r="J8548" t="s">
        <v>34146</v>
      </c>
      <c r="K8548" t="s">
        <v>37206</v>
      </c>
      <c r="M8548" t="s">
        <v>40294</v>
      </c>
      <c r="N8548" t="s">
        <v>41249</v>
      </c>
      <c r="O8548" t="s">
        <v>41250</v>
      </c>
      <c r="P8548">
        <v>0</v>
      </c>
      <c r="Q8548">
        <v>3</v>
      </c>
      <c r="R8548" t="s">
        <v>41258</v>
      </c>
      <c r="S8548" t="s">
        <v>41513</v>
      </c>
      <c r="T8548" t="s">
        <v>42724</v>
      </c>
      <c r="U8548" t="s">
        <v>50147</v>
      </c>
      <c r="V8548" t="s">
        <v>55221</v>
      </c>
      <c r="W8548" t="s">
        <v>56002</v>
      </c>
      <c r="X8548" t="s">
        <v>41259</v>
      </c>
    </row>
    <row r="8549" spans="1:24">
      <c r="A8549">
        <f>HYPERLINK("https://www.philgeps.gov.ph/GEPSNONPILOT/Tender/SplashBidNoticeAbstractUI.aspx?menuIndex=3&amp;refID=7066728&amp;Result=3","7066728")</f>
        <v>0</v>
      </c>
      <c r="B8549" t="s">
        <v>2600</v>
      </c>
      <c r="C8549" t="s">
        <v>11539</v>
      </c>
      <c r="D8549" t="s">
        <v>16616</v>
      </c>
      <c r="E8549" t="s">
        <v>24168</v>
      </c>
      <c r="F8549" t="s">
        <v>28669</v>
      </c>
      <c r="G8549" t="s">
        <v>28675</v>
      </c>
      <c r="H8549" t="s">
        <v>9998</v>
      </c>
      <c r="I8549" t="s">
        <v>7352</v>
      </c>
      <c r="J8549" t="s">
        <v>34147</v>
      </c>
      <c r="K8549" t="s">
        <v>37210</v>
      </c>
      <c r="M8549" t="s">
        <v>40295</v>
      </c>
      <c r="N8549" t="s">
        <v>41249</v>
      </c>
      <c r="O8549" t="s">
        <v>41250</v>
      </c>
      <c r="P8549">
        <v>0</v>
      </c>
      <c r="Q8549">
        <v>0</v>
      </c>
      <c r="R8549" t="s">
        <v>41258</v>
      </c>
      <c r="S8549" t="s">
        <v>41513</v>
      </c>
      <c r="T8549" t="s">
        <v>42727</v>
      </c>
      <c r="U8549" t="s">
        <v>50148</v>
      </c>
      <c r="W8549" t="s">
        <v>40295</v>
      </c>
      <c r="X8549" t="s">
        <v>41259</v>
      </c>
    </row>
    <row r="8550" spans="1:24">
      <c r="A8550">
        <f>HYPERLINK("https://www.philgeps.gov.ph/GEPSNONPILOT/Tender/SplashBidNoticeAbstractUI.aspx?menuIndex=3&amp;refID=7066759&amp;Result=3","7066759")</f>
        <v>0</v>
      </c>
      <c r="B8550" t="s">
        <v>1197</v>
      </c>
      <c r="C8550" t="s">
        <v>11540</v>
      </c>
      <c r="D8550" t="s">
        <v>16624</v>
      </c>
      <c r="E8550" t="s">
        <v>18443</v>
      </c>
      <c r="F8550" t="s">
        <v>28669</v>
      </c>
      <c r="G8550" t="s">
        <v>28675</v>
      </c>
      <c r="H8550" t="s">
        <v>9998</v>
      </c>
      <c r="I8550" t="s">
        <v>28717</v>
      </c>
      <c r="J8550" t="s">
        <v>31461</v>
      </c>
      <c r="K8550" t="s">
        <v>37220</v>
      </c>
      <c r="M8550" t="s">
        <v>38737</v>
      </c>
      <c r="N8550" t="s">
        <v>41249</v>
      </c>
      <c r="O8550" t="s">
        <v>41250</v>
      </c>
      <c r="P8550">
        <v>0</v>
      </c>
      <c r="Q8550">
        <v>12</v>
      </c>
      <c r="R8550" t="s">
        <v>41258</v>
      </c>
      <c r="S8550" t="s">
        <v>41513</v>
      </c>
      <c r="T8550" t="s">
        <v>42761</v>
      </c>
      <c r="U8550" t="s">
        <v>50149</v>
      </c>
      <c r="V8550" t="s">
        <v>55222</v>
      </c>
      <c r="W8550" t="s">
        <v>38737</v>
      </c>
      <c r="X8550" t="s">
        <v>41259</v>
      </c>
    </row>
    <row r="8551" spans="1:24">
      <c r="A8551">
        <f>HYPERLINK("https://www.philgeps.gov.ph/GEPSNONPILOT/Tender/SplashBidNoticeAbstractUI.aspx?menuIndex=3&amp;refID=7066811&amp;Result=3","7066811")</f>
        <v>0</v>
      </c>
      <c r="B8551" t="s">
        <v>2601</v>
      </c>
      <c r="C8551" t="s">
        <v>11541</v>
      </c>
      <c r="D8551" t="s">
        <v>16618</v>
      </c>
      <c r="E8551" t="s">
        <v>24169</v>
      </c>
      <c r="F8551" t="s">
        <v>28669</v>
      </c>
      <c r="G8551" t="s">
        <v>28677</v>
      </c>
      <c r="H8551" t="s">
        <v>9998</v>
      </c>
      <c r="I8551" t="s">
        <v>5213</v>
      </c>
      <c r="J8551" t="s">
        <v>30989</v>
      </c>
      <c r="K8551" t="s">
        <v>37205</v>
      </c>
      <c r="M8551" t="s">
        <v>40296</v>
      </c>
      <c r="N8551" t="s">
        <v>41249</v>
      </c>
      <c r="O8551" t="s">
        <v>41250</v>
      </c>
      <c r="P8551">
        <v>0</v>
      </c>
      <c r="Q8551">
        <v>1</v>
      </c>
      <c r="R8551" t="s">
        <v>41258</v>
      </c>
      <c r="S8551" t="s">
        <v>41513</v>
      </c>
      <c r="T8551" t="s">
        <v>42728</v>
      </c>
      <c r="U8551" t="s">
        <v>50150</v>
      </c>
      <c r="W8551" t="s">
        <v>40296</v>
      </c>
      <c r="X8551" t="s">
        <v>41259</v>
      </c>
    </row>
    <row r="8552" spans="1:24">
      <c r="A8552">
        <f>HYPERLINK("https://www.philgeps.gov.ph/GEPSNONPILOT/Tender/SplashBidNoticeAbstractUI.aspx?menuIndex=3&amp;refID=7066688&amp;Result=3","7066688")</f>
        <v>0</v>
      </c>
      <c r="B8552" t="s">
        <v>46</v>
      </c>
      <c r="C8552" t="s">
        <v>11542</v>
      </c>
      <c r="D8552" t="s">
        <v>16627</v>
      </c>
      <c r="E8552" t="s">
        <v>17555</v>
      </c>
      <c r="F8552" t="s">
        <v>28669</v>
      </c>
      <c r="G8552" t="s">
        <v>28675</v>
      </c>
      <c r="H8552" t="s">
        <v>9998</v>
      </c>
      <c r="I8552" t="s">
        <v>3718</v>
      </c>
      <c r="J8552" t="s">
        <v>30036</v>
      </c>
      <c r="K8552" t="s">
        <v>37209</v>
      </c>
      <c r="M8552" t="s">
        <v>37521</v>
      </c>
      <c r="N8552" t="s">
        <v>41249</v>
      </c>
      <c r="O8552" t="s">
        <v>41250</v>
      </c>
      <c r="P8552">
        <v>0</v>
      </c>
      <c r="Q8552">
        <v>2</v>
      </c>
      <c r="R8552" t="s">
        <v>41258</v>
      </c>
      <c r="S8552" t="s">
        <v>41513</v>
      </c>
      <c r="T8552" t="s">
        <v>42757</v>
      </c>
      <c r="U8552" t="s">
        <v>50151</v>
      </c>
      <c r="W8552" t="s">
        <v>37521</v>
      </c>
      <c r="X8552" t="s">
        <v>41259</v>
      </c>
    </row>
    <row r="8553" spans="1:24">
      <c r="A8553">
        <f>HYPERLINK("https://www.philgeps.gov.ph/GEPSNONPILOT/Tender/SplashBidNoticeAbstractUI.aspx?menuIndex=3&amp;refID=7066754&amp;Result=3","7066754")</f>
        <v>0</v>
      </c>
      <c r="B8553" t="s">
        <v>2602</v>
      </c>
      <c r="C8553" t="s">
        <v>11543</v>
      </c>
      <c r="D8553" t="s">
        <v>16686</v>
      </c>
      <c r="E8553" t="s">
        <v>24170</v>
      </c>
      <c r="F8553" t="s">
        <v>28669</v>
      </c>
      <c r="G8553" t="s">
        <v>28675</v>
      </c>
      <c r="H8553" t="s">
        <v>28686</v>
      </c>
      <c r="I8553" t="s">
        <v>28689</v>
      </c>
      <c r="J8553" t="s">
        <v>31115</v>
      </c>
      <c r="K8553" t="s">
        <v>37209</v>
      </c>
      <c r="M8553" t="s">
        <v>40297</v>
      </c>
      <c r="N8553" t="s">
        <v>41249</v>
      </c>
      <c r="O8553" t="s">
        <v>41250</v>
      </c>
      <c r="P8553">
        <v>0</v>
      </c>
      <c r="Q8553">
        <v>0</v>
      </c>
      <c r="R8553" t="s">
        <v>41258</v>
      </c>
      <c r="S8553" t="s">
        <v>41513</v>
      </c>
      <c r="T8553" t="s">
        <v>43071</v>
      </c>
      <c r="U8553" t="s">
        <v>50152</v>
      </c>
      <c r="W8553" t="s">
        <v>40297</v>
      </c>
      <c r="X8553" t="s">
        <v>41259</v>
      </c>
    </row>
    <row r="8554" spans="1:24">
      <c r="A8554">
        <f>HYPERLINK("https://www.philgeps.gov.ph/GEPSNONPILOT/Tender/SplashBidNoticeAbstractUI.aspx?menuIndex=3&amp;refID=7066807&amp;Result=3","7066807")</f>
        <v>0</v>
      </c>
      <c r="B8554" t="s">
        <v>1522</v>
      </c>
      <c r="C8554" t="s">
        <v>11544</v>
      </c>
      <c r="D8554" t="s">
        <v>16686</v>
      </c>
      <c r="E8554" t="s">
        <v>24171</v>
      </c>
      <c r="F8554" t="s">
        <v>28669</v>
      </c>
      <c r="G8554" t="s">
        <v>28675</v>
      </c>
      <c r="H8554" t="s">
        <v>9998</v>
      </c>
      <c r="I8554" t="s">
        <v>3718</v>
      </c>
      <c r="J8554" t="s">
        <v>29523</v>
      </c>
      <c r="K8554" t="s">
        <v>37210</v>
      </c>
      <c r="M8554" t="s">
        <v>39573</v>
      </c>
      <c r="N8554" t="s">
        <v>41249</v>
      </c>
      <c r="O8554" t="s">
        <v>41250</v>
      </c>
      <c r="P8554">
        <v>0</v>
      </c>
      <c r="Q8554">
        <v>0</v>
      </c>
      <c r="R8554" t="s">
        <v>41258</v>
      </c>
      <c r="S8554" t="s">
        <v>41513</v>
      </c>
      <c r="T8554" t="s">
        <v>42663</v>
      </c>
      <c r="U8554" t="s">
        <v>50153</v>
      </c>
      <c r="W8554" t="s">
        <v>39573</v>
      </c>
      <c r="X8554" t="s">
        <v>41259</v>
      </c>
    </row>
    <row r="8555" spans="1:24">
      <c r="A8555">
        <f>HYPERLINK("https://www.philgeps.gov.ph/GEPSNONPILOT/Tender/SplashBidNoticeAbstractUI.aspx?menuIndex=3&amp;refID=7066725&amp;Result=3","7066725")</f>
        <v>0</v>
      </c>
      <c r="B8555" t="s">
        <v>1768</v>
      </c>
      <c r="C8555" t="s">
        <v>11545</v>
      </c>
      <c r="D8555" t="s">
        <v>16644</v>
      </c>
      <c r="E8555" t="s">
        <v>24172</v>
      </c>
      <c r="F8555" t="s">
        <v>28669</v>
      </c>
      <c r="G8555" t="s">
        <v>28675</v>
      </c>
      <c r="H8555" t="s">
        <v>28686</v>
      </c>
      <c r="I8555" t="s">
        <v>28689</v>
      </c>
      <c r="J8555" t="s">
        <v>28850</v>
      </c>
      <c r="K8555" t="s">
        <v>37213</v>
      </c>
      <c r="M8555" t="s">
        <v>39370</v>
      </c>
      <c r="N8555" t="s">
        <v>41249</v>
      </c>
      <c r="O8555" t="s">
        <v>41250</v>
      </c>
      <c r="P8555">
        <v>0</v>
      </c>
      <c r="Q8555">
        <v>0</v>
      </c>
      <c r="R8555" t="s">
        <v>41258</v>
      </c>
      <c r="S8555" t="s">
        <v>41513</v>
      </c>
      <c r="T8555" t="s">
        <v>42732</v>
      </c>
      <c r="U8555" t="s">
        <v>50154</v>
      </c>
      <c r="W8555" t="s">
        <v>39370</v>
      </c>
      <c r="X8555" t="s">
        <v>41259</v>
      </c>
    </row>
    <row r="8556" spans="1:24">
      <c r="A8556">
        <f>HYPERLINK("https://www.philgeps.gov.ph/GEPSNONPILOT/Tender/SplashBidNoticeAbstractUI.aspx?menuIndex=3&amp;refID=7066804&amp;Result=3","7066804")</f>
        <v>0</v>
      </c>
      <c r="B8556" t="s">
        <v>1770</v>
      </c>
      <c r="C8556" t="s">
        <v>11546</v>
      </c>
      <c r="D8556" t="s">
        <v>16608</v>
      </c>
      <c r="E8556" t="s">
        <v>24173</v>
      </c>
      <c r="F8556" t="s">
        <v>28669</v>
      </c>
      <c r="G8556" t="s">
        <v>28676</v>
      </c>
      <c r="H8556" t="s">
        <v>9998</v>
      </c>
      <c r="I8556" t="s">
        <v>28694</v>
      </c>
      <c r="J8556" t="s">
        <v>34148</v>
      </c>
      <c r="K8556" t="s">
        <v>37205</v>
      </c>
      <c r="M8556" t="s">
        <v>39584</v>
      </c>
      <c r="N8556" t="s">
        <v>41249</v>
      </c>
      <c r="O8556" t="s">
        <v>41250</v>
      </c>
      <c r="P8556">
        <v>0</v>
      </c>
      <c r="Q8556">
        <v>4</v>
      </c>
      <c r="R8556" t="s">
        <v>41258</v>
      </c>
      <c r="S8556" t="s">
        <v>41513</v>
      </c>
      <c r="T8556" t="s">
        <v>42938</v>
      </c>
      <c r="U8556" t="s">
        <v>47967</v>
      </c>
      <c r="W8556" t="s">
        <v>39584</v>
      </c>
      <c r="X8556" t="s">
        <v>41259</v>
      </c>
    </row>
    <row r="8557" spans="1:24">
      <c r="A8557">
        <f>HYPERLINK("https://www.philgeps.gov.ph/GEPSNONPILOT/Tender/SplashBidNoticeAbstractUI.aspx?menuIndex=3&amp;refID=7066801&amp;Result=3","7066801")</f>
        <v>0</v>
      </c>
      <c r="B8557" t="s">
        <v>1124</v>
      </c>
      <c r="C8557" t="s">
        <v>11547</v>
      </c>
      <c r="E8557" t="s">
        <v>24174</v>
      </c>
      <c r="F8557" t="s">
        <v>28669</v>
      </c>
      <c r="G8557" t="s">
        <v>28676</v>
      </c>
      <c r="H8557" t="s">
        <v>9998</v>
      </c>
      <c r="I8557" t="s">
        <v>6128</v>
      </c>
      <c r="J8557" t="s">
        <v>34149</v>
      </c>
      <c r="K8557" t="s">
        <v>37209</v>
      </c>
      <c r="M8557" t="s">
        <v>38658</v>
      </c>
      <c r="N8557" t="s">
        <v>41249</v>
      </c>
      <c r="O8557" t="s">
        <v>41250</v>
      </c>
      <c r="P8557">
        <v>0</v>
      </c>
      <c r="Q8557">
        <v>2</v>
      </c>
      <c r="R8557" t="s">
        <v>41258</v>
      </c>
      <c r="S8557" t="s">
        <v>41513</v>
      </c>
      <c r="T8557" t="s">
        <v>42681</v>
      </c>
      <c r="U8557" t="s">
        <v>45501</v>
      </c>
      <c r="W8557" t="s">
        <v>38658</v>
      </c>
      <c r="X8557" t="s">
        <v>41259</v>
      </c>
    </row>
    <row r="8558" spans="1:24">
      <c r="A8558">
        <f>HYPERLINK("https://www.philgeps.gov.ph/GEPSNONPILOT/Tender/SplashBidNoticeAbstractUI.aspx?menuIndex=3&amp;refID=7066785&amp;Result=3","7066785")</f>
        <v>0</v>
      </c>
      <c r="B8558" t="s">
        <v>1208</v>
      </c>
      <c r="C8558" t="s">
        <v>11548</v>
      </c>
      <c r="D8558" t="s">
        <v>16678</v>
      </c>
      <c r="E8558" t="s">
        <v>24175</v>
      </c>
      <c r="F8558" t="s">
        <v>28671</v>
      </c>
      <c r="G8558" t="s">
        <v>28677</v>
      </c>
      <c r="H8558" t="s">
        <v>9998</v>
      </c>
      <c r="I8558" t="s">
        <v>28697</v>
      </c>
      <c r="J8558" t="s">
        <v>28878</v>
      </c>
      <c r="K8558" t="s">
        <v>37205</v>
      </c>
      <c r="M8558" t="s">
        <v>38749</v>
      </c>
      <c r="N8558" t="s">
        <v>41249</v>
      </c>
      <c r="O8558" t="s">
        <v>41250</v>
      </c>
      <c r="P8558">
        <v>0</v>
      </c>
      <c r="Q8558">
        <v>13</v>
      </c>
      <c r="R8558" t="s">
        <v>41258</v>
      </c>
      <c r="S8558" t="s">
        <v>41513</v>
      </c>
      <c r="T8558" t="s">
        <v>42758</v>
      </c>
      <c r="U8558" t="s">
        <v>50155</v>
      </c>
      <c r="W8558" t="s">
        <v>38749</v>
      </c>
      <c r="X8558" t="s">
        <v>41259</v>
      </c>
    </row>
    <row r="8559" spans="1:24">
      <c r="A8559">
        <f>HYPERLINK("https://www.philgeps.gov.ph/GEPSNONPILOT/Tender/SplashBidNoticeAbstractUI.aspx?menuIndex=3&amp;refID=7066826&amp;Result=3","7066826")</f>
        <v>0</v>
      </c>
      <c r="B8559" t="s">
        <v>1770</v>
      </c>
      <c r="C8559" t="s">
        <v>11549</v>
      </c>
      <c r="D8559" t="s">
        <v>16608</v>
      </c>
      <c r="E8559" t="s">
        <v>24176</v>
      </c>
      <c r="F8559" t="s">
        <v>28669</v>
      </c>
      <c r="G8559" t="s">
        <v>28676</v>
      </c>
      <c r="H8559" t="s">
        <v>9998</v>
      </c>
      <c r="I8559" t="s">
        <v>28704</v>
      </c>
      <c r="J8559" t="s">
        <v>34150</v>
      </c>
      <c r="K8559" t="s">
        <v>37206</v>
      </c>
      <c r="M8559" t="s">
        <v>39584</v>
      </c>
      <c r="N8559" t="s">
        <v>41249</v>
      </c>
      <c r="O8559" t="s">
        <v>41250</v>
      </c>
      <c r="P8559">
        <v>0</v>
      </c>
      <c r="Q8559">
        <v>2</v>
      </c>
      <c r="R8559" t="s">
        <v>41258</v>
      </c>
      <c r="S8559" t="s">
        <v>41513</v>
      </c>
      <c r="T8559" t="s">
        <v>42938</v>
      </c>
      <c r="U8559" t="s">
        <v>47967</v>
      </c>
      <c r="W8559" t="s">
        <v>39584</v>
      </c>
      <c r="X8559" t="s">
        <v>41259</v>
      </c>
    </row>
    <row r="8560" spans="1:24">
      <c r="A8560">
        <f>HYPERLINK("https://www.philgeps.gov.ph/GEPSNONPILOT/Tender/SplashBidNoticeAbstractUI.aspx?menuIndex=3&amp;refID=7066781&amp;Result=3","7066781")</f>
        <v>0</v>
      </c>
      <c r="B8560" t="s">
        <v>1770</v>
      </c>
      <c r="C8560" t="s">
        <v>11550</v>
      </c>
      <c r="D8560" t="s">
        <v>16608</v>
      </c>
      <c r="E8560" t="s">
        <v>24177</v>
      </c>
      <c r="F8560" t="s">
        <v>28669</v>
      </c>
      <c r="G8560" t="s">
        <v>28676</v>
      </c>
      <c r="H8560" t="s">
        <v>9998</v>
      </c>
      <c r="I8560" t="s">
        <v>28688</v>
      </c>
      <c r="J8560" t="s">
        <v>30213</v>
      </c>
      <c r="K8560" t="s">
        <v>37205</v>
      </c>
      <c r="M8560" t="s">
        <v>39584</v>
      </c>
      <c r="N8560" t="s">
        <v>41249</v>
      </c>
      <c r="O8560" t="s">
        <v>41250</v>
      </c>
      <c r="P8560">
        <v>0</v>
      </c>
      <c r="Q8560">
        <v>14</v>
      </c>
      <c r="R8560" t="s">
        <v>41258</v>
      </c>
      <c r="S8560" t="s">
        <v>41513</v>
      </c>
      <c r="T8560" t="s">
        <v>42938</v>
      </c>
      <c r="U8560" t="s">
        <v>47967</v>
      </c>
      <c r="W8560" t="s">
        <v>39584</v>
      </c>
      <c r="X8560" t="s">
        <v>41259</v>
      </c>
    </row>
    <row r="8561" spans="1:24">
      <c r="A8561">
        <f>HYPERLINK("https://www.philgeps.gov.ph/GEPSNONPILOT/Tender/SplashBidNoticeAbstractUI.aspx?menuIndex=3&amp;refID=7066809&amp;Result=3","7066809")</f>
        <v>0</v>
      </c>
      <c r="B8561" t="s">
        <v>2598</v>
      </c>
      <c r="C8561" t="s">
        <v>11551</v>
      </c>
      <c r="D8561" t="s">
        <v>16619</v>
      </c>
      <c r="E8561" t="s">
        <v>24178</v>
      </c>
      <c r="F8561" t="s">
        <v>28669</v>
      </c>
      <c r="G8561" t="s">
        <v>28675</v>
      </c>
      <c r="H8561" t="s">
        <v>28686</v>
      </c>
      <c r="I8561" t="s">
        <v>28689</v>
      </c>
      <c r="J8561" t="s">
        <v>34151</v>
      </c>
      <c r="K8561" t="s">
        <v>37215</v>
      </c>
      <c r="M8561" t="s">
        <v>40293</v>
      </c>
      <c r="N8561" t="s">
        <v>41249</v>
      </c>
      <c r="O8561" t="s">
        <v>41250</v>
      </c>
      <c r="P8561">
        <v>0</v>
      </c>
      <c r="Q8561">
        <v>0</v>
      </c>
      <c r="R8561" t="s">
        <v>41258</v>
      </c>
      <c r="S8561" t="s">
        <v>41513</v>
      </c>
      <c r="T8561" t="s">
        <v>42786</v>
      </c>
      <c r="U8561" t="s">
        <v>50156</v>
      </c>
      <c r="W8561" t="s">
        <v>40293</v>
      </c>
      <c r="X8561" t="s">
        <v>41259</v>
      </c>
    </row>
    <row r="8562" spans="1:24">
      <c r="A8562">
        <f>HYPERLINK("https://www.philgeps.gov.ph/GEPSNONPILOT/Tender/SplashBidNoticeAbstractUI.aspx?menuIndex=3&amp;refID=7066836&amp;Result=3","7066836")</f>
        <v>0</v>
      </c>
      <c r="B8562" t="s">
        <v>2596</v>
      </c>
      <c r="C8562" t="s">
        <v>11552</v>
      </c>
      <c r="D8562" t="s">
        <v>16668</v>
      </c>
      <c r="E8562" t="s">
        <v>24179</v>
      </c>
      <c r="F8562" t="s">
        <v>28669</v>
      </c>
      <c r="G8562" t="s">
        <v>28675</v>
      </c>
      <c r="H8562" t="s">
        <v>28686</v>
      </c>
      <c r="I8562" t="s">
        <v>28689</v>
      </c>
      <c r="J8562" t="s">
        <v>34152</v>
      </c>
      <c r="K8562" t="s">
        <v>37221</v>
      </c>
      <c r="M8562" t="s">
        <v>40291</v>
      </c>
      <c r="N8562" t="s">
        <v>41249</v>
      </c>
      <c r="O8562" t="s">
        <v>41250</v>
      </c>
      <c r="P8562">
        <v>0</v>
      </c>
      <c r="Q8562">
        <v>1</v>
      </c>
      <c r="R8562" t="s">
        <v>41258</v>
      </c>
      <c r="S8562" t="s">
        <v>41513</v>
      </c>
      <c r="T8562" t="s">
        <v>42719</v>
      </c>
      <c r="U8562" t="s">
        <v>50157</v>
      </c>
      <c r="W8562" t="s">
        <v>40291</v>
      </c>
      <c r="X8562" t="s">
        <v>41259</v>
      </c>
    </row>
    <row r="8563" spans="1:24">
      <c r="A8563">
        <f>HYPERLINK("https://www.philgeps.gov.ph/GEPSNONPILOT/Tender/SplashBidNoticeAbstractUI.aspx?menuIndex=3&amp;refID=7066833&amp;Result=3","7066833")</f>
        <v>0</v>
      </c>
      <c r="B8563" t="s">
        <v>1218</v>
      </c>
      <c r="C8563" t="s">
        <v>11553</v>
      </c>
      <c r="D8563" t="s">
        <v>16615</v>
      </c>
      <c r="E8563" t="s">
        <v>23145</v>
      </c>
      <c r="F8563" t="s">
        <v>28669</v>
      </c>
      <c r="G8563" t="s">
        <v>28675</v>
      </c>
      <c r="H8563" t="s">
        <v>9998</v>
      </c>
      <c r="I8563" t="s">
        <v>28713</v>
      </c>
      <c r="J8563" t="s">
        <v>28881</v>
      </c>
      <c r="K8563" t="s">
        <v>37209</v>
      </c>
      <c r="M8563" t="s">
        <v>38761</v>
      </c>
      <c r="N8563" t="s">
        <v>41249</v>
      </c>
      <c r="O8563" t="s">
        <v>41250</v>
      </c>
      <c r="P8563">
        <v>0</v>
      </c>
      <c r="Q8563">
        <v>16</v>
      </c>
      <c r="R8563" t="s">
        <v>41258</v>
      </c>
      <c r="S8563" t="s">
        <v>41513</v>
      </c>
      <c r="T8563" t="s">
        <v>43062</v>
      </c>
      <c r="U8563" t="s">
        <v>50158</v>
      </c>
      <c r="V8563" t="s">
        <v>55182</v>
      </c>
      <c r="W8563" t="s">
        <v>38761</v>
      </c>
      <c r="X8563" t="s">
        <v>41259</v>
      </c>
    </row>
    <row r="8564" spans="1:24">
      <c r="A8564">
        <f>HYPERLINK("https://www.philgeps.gov.ph/GEPSNONPILOT/Tender/SplashBidNoticeAbstractUI.aspx?menuIndex=3&amp;refID=7066743&amp;Result=3","7066743")</f>
        <v>0</v>
      </c>
      <c r="B8564" t="s">
        <v>2365</v>
      </c>
      <c r="C8564" t="s">
        <v>11554</v>
      </c>
      <c r="D8564" t="s">
        <v>16628</v>
      </c>
      <c r="E8564" t="s">
        <v>24180</v>
      </c>
      <c r="F8564" t="s">
        <v>28669</v>
      </c>
      <c r="G8564" t="s">
        <v>28675</v>
      </c>
      <c r="H8564" t="s">
        <v>9998</v>
      </c>
      <c r="I8564" t="s">
        <v>7352</v>
      </c>
      <c r="J8564" t="s">
        <v>34153</v>
      </c>
      <c r="K8564" t="s">
        <v>37206</v>
      </c>
      <c r="M8564" t="s">
        <v>40034</v>
      </c>
      <c r="N8564" t="s">
        <v>41249</v>
      </c>
      <c r="O8564" t="s">
        <v>41250</v>
      </c>
      <c r="P8564">
        <v>0</v>
      </c>
      <c r="Q8564">
        <v>0</v>
      </c>
      <c r="R8564" t="s">
        <v>41258</v>
      </c>
      <c r="S8564" t="s">
        <v>41513</v>
      </c>
      <c r="T8564" t="s">
        <v>42929</v>
      </c>
      <c r="U8564" t="s">
        <v>50143</v>
      </c>
      <c r="W8564" t="s">
        <v>40034</v>
      </c>
      <c r="X8564" t="s">
        <v>41259</v>
      </c>
    </row>
    <row r="8565" spans="1:24">
      <c r="A8565">
        <f>HYPERLINK("https://www.philgeps.gov.ph/GEPSNONPILOT/Tender/SplashBidNoticeAbstractUI.aspx?menuIndex=3&amp;refID=7066827&amp;Result=3","7066827")</f>
        <v>0</v>
      </c>
      <c r="B8565" t="s">
        <v>803</v>
      </c>
      <c r="C8565" t="s">
        <v>11555</v>
      </c>
      <c r="D8565" t="s">
        <v>16664</v>
      </c>
      <c r="E8565" t="s">
        <v>24181</v>
      </c>
      <c r="F8565" t="s">
        <v>28669</v>
      </c>
      <c r="G8565" t="s">
        <v>28676</v>
      </c>
      <c r="H8565" t="s">
        <v>9998</v>
      </c>
      <c r="I8565" t="s">
        <v>28743</v>
      </c>
      <c r="J8565" t="s">
        <v>30429</v>
      </c>
      <c r="K8565" t="s">
        <v>37206</v>
      </c>
      <c r="M8565" t="s">
        <v>38318</v>
      </c>
      <c r="N8565" t="s">
        <v>41249</v>
      </c>
      <c r="O8565" t="s">
        <v>41250</v>
      </c>
      <c r="P8565">
        <v>0</v>
      </c>
      <c r="Q8565">
        <v>0</v>
      </c>
      <c r="R8565" t="s">
        <v>41258</v>
      </c>
      <c r="S8565" t="s">
        <v>41513</v>
      </c>
      <c r="T8565" t="s">
        <v>42758</v>
      </c>
      <c r="U8565" t="s">
        <v>50159</v>
      </c>
      <c r="W8565" t="s">
        <v>38318</v>
      </c>
      <c r="X8565" t="s">
        <v>41259</v>
      </c>
    </row>
    <row r="8566" spans="1:24">
      <c r="A8566">
        <f>HYPERLINK("https://www.philgeps.gov.ph/GEPSNONPILOT/Tender/SplashBidNoticeAbstractUI.aspx?menuIndex=3&amp;refID=7066775&amp;Result=3","7066775")</f>
        <v>0</v>
      </c>
      <c r="B8566" t="s">
        <v>2603</v>
      </c>
      <c r="C8566" t="s">
        <v>11556</v>
      </c>
      <c r="E8566" t="s">
        <v>18205</v>
      </c>
      <c r="F8566" t="s">
        <v>28669</v>
      </c>
      <c r="G8566" t="s">
        <v>28675</v>
      </c>
      <c r="H8566" t="s">
        <v>9998</v>
      </c>
      <c r="I8566" t="s">
        <v>28688</v>
      </c>
      <c r="J8566" t="s">
        <v>28894</v>
      </c>
      <c r="K8566" t="s">
        <v>37243</v>
      </c>
      <c r="L8566" t="s">
        <v>2603</v>
      </c>
      <c r="M8566" t="s">
        <v>40298</v>
      </c>
      <c r="N8566" t="s">
        <v>41249</v>
      </c>
      <c r="O8566" t="s">
        <v>41250</v>
      </c>
      <c r="P8566">
        <v>0</v>
      </c>
      <c r="Q8566">
        <v>1</v>
      </c>
      <c r="R8566" t="s">
        <v>41258</v>
      </c>
      <c r="S8566" t="s">
        <v>41513</v>
      </c>
      <c r="T8566" t="s">
        <v>43072</v>
      </c>
      <c r="U8566" t="s">
        <v>50160</v>
      </c>
      <c r="W8566" t="s">
        <v>40298</v>
      </c>
      <c r="X8566" t="s">
        <v>41259</v>
      </c>
    </row>
    <row r="8567" spans="1:24">
      <c r="A8567">
        <f>HYPERLINK("https://www.philgeps.gov.ph/GEPSNONPILOT/Tender/SplashBidNoticeAbstractUI.aspx?menuIndex=3&amp;refID=7066776&amp;Result=3","7066776")</f>
        <v>0</v>
      </c>
      <c r="B8567" t="s">
        <v>2598</v>
      </c>
      <c r="C8567" t="s">
        <v>11557</v>
      </c>
      <c r="D8567" t="s">
        <v>16619</v>
      </c>
      <c r="E8567" t="s">
        <v>24182</v>
      </c>
      <c r="F8567" t="s">
        <v>28669</v>
      </c>
      <c r="G8567" t="s">
        <v>28675</v>
      </c>
      <c r="H8567" t="s">
        <v>28686</v>
      </c>
      <c r="I8567" t="s">
        <v>28689</v>
      </c>
      <c r="J8567" t="s">
        <v>34154</v>
      </c>
      <c r="K8567" t="s">
        <v>37212</v>
      </c>
      <c r="M8567" t="s">
        <v>40293</v>
      </c>
      <c r="N8567" t="s">
        <v>41249</v>
      </c>
      <c r="O8567" t="s">
        <v>41250</v>
      </c>
      <c r="P8567">
        <v>0</v>
      </c>
      <c r="Q8567">
        <v>2</v>
      </c>
      <c r="R8567" t="s">
        <v>41258</v>
      </c>
      <c r="S8567" t="s">
        <v>41513</v>
      </c>
      <c r="T8567" t="s">
        <v>42786</v>
      </c>
      <c r="U8567" t="s">
        <v>50161</v>
      </c>
      <c r="W8567" t="s">
        <v>40293</v>
      </c>
      <c r="X8567" t="s">
        <v>41259</v>
      </c>
    </row>
    <row r="8568" spans="1:24">
      <c r="A8568">
        <f>HYPERLINK("https://www.philgeps.gov.ph/GEPSNONPILOT/Tender/SplashBidNoticeAbstractUI.aspx?menuIndex=3&amp;refID=7066771&amp;Result=3","7066771")</f>
        <v>0</v>
      </c>
      <c r="B8568" t="s">
        <v>2365</v>
      </c>
      <c r="C8568" t="s">
        <v>11558</v>
      </c>
      <c r="D8568" t="s">
        <v>16628</v>
      </c>
      <c r="E8568" t="s">
        <v>24183</v>
      </c>
      <c r="F8568" t="s">
        <v>28669</v>
      </c>
      <c r="G8568" t="s">
        <v>28675</v>
      </c>
      <c r="H8568" t="s">
        <v>9998</v>
      </c>
      <c r="I8568" t="s">
        <v>7352</v>
      </c>
      <c r="J8568" t="s">
        <v>34155</v>
      </c>
      <c r="K8568" t="s">
        <v>37206</v>
      </c>
      <c r="M8568" t="s">
        <v>40034</v>
      </c>
      <c r="N8568" t="s">
        <v>41249</v>
      </c>
      <c r="O8568" t="s">
        <v>41250</v>
      </c>
      <c r="P8568">
        <v>0</v>
      </c>
      <c r="Q8568">
        <v>1</v>
      </c>
      <c r="R8568" t="s">
        <v>41258</v>
      </c>
      <c r="S8568" t="s">
        <v>41513</v>
      </c>
      <c r="T8568" t="s">
        <v>42929</v>
      </c>
      <c r="U8568" t="s">
        <v>50143</v>
      </c>
      <c r="W8568" t="s">
        <v>40034</v>
      </c>
      <c r="X8568" t="s">
        <v>41259</v>
      </c>
    </row>
    <row r="8569" spans="1:24">
      <c r="A8569">
        <f>HYPERLINK("https://www.philgeps.gov.ph/GEPSNONPILOT/Tender/SplashBidNoticeAbstractUI.aspx?menuIndex=3&amp;refID=7066760&amp;Result=3","7066760")</f>
        <v>0</v>
      </c>
      <c r="B8569" t="s">
        <v>2434</v>
      </c>
      <c r="C8569" t="s">
        <v>11559</v>
      </c>
      <c r="D8569" t="s">
        <v>16661</v>
      </c>
      <c r="E8569" t="s">
        <v>24184</v>
      </c>
      <c r="F8569" t="s">
        <v>28669</v>
      </c>
      <c r="G8569" t="s">
        <v>28675</v>
      </c>
      <c r="H8569" t="s">
        <v>9998</v>
      </c>
      <c r="I8569" t="s">
        <v>28693</v>
      </c>
      <c r="J8569" t="s">
        <v>34156</v>
      </c>
      <c r="K8569" t="s">
        <v>37209</v>
      </c>
      <c r="M8569" t="s">
        <v>40299</v>
      </c>
      <c r="N8569" t="s">
        <v>41249</v>
      </c>
      <c r="O8569" t="s">
        <v>41250</v>
      </c>
      <c r="P8569">
        <v>0</v>
      </c>
      <c r="Q8569">
        <v>19</v>
      </c>
      <c r="R8569" t="s">
        <v>41258</v>
      </c>
      <c r="S8569" t="s">
        <v>41513</v>
      </c>
      <c r="T8569" t="s">
        <v>42721</v>
      </c>
      <c r="U8569" t="s">
        <v>50162</v>
      </c>
      <c r="W8569" t="s">
        <v>40299</v>
      </c>
      <c r="X8569" t="s">
        <v>41259</v>
      </c>
    </row>
    <row r="8570" spans="1:24">
      <c r="A8570">
        <f>HYPERLINK("https://www.philgeps.gov.ph/GEPSNONPILOT/Tender/SplashBidNoticeAbstractUI.aspx?menuIndex=3&amp;refID=7066838&amp;Result=3","7066838")</f>
        <v>0</v>
      </c>
      <c r="B8570" t="s">
        <v>2604</v>
      </c>
      <c r="C8570" t="s">
        <v>11560</v>
      </c>
      <c r="D8570" t="s">
        <v>16608</v>
      </c>
      <c r="E8570" t="s">
        <v>24185</v>
      </c>
      <c r="F8570" t="s">
        <v>28669</v>
      </c>
      <c r="G8570" t="s">
        <v>28675</v>
      </c>
      <c r="H8570" t="s">
        <v>28684</v>
      </c>
      <c r="I8570" t="s">
        <v>6606</v>
      </c>
      <c r="J8570" t="s">
        <v>34038</v>
      </c>
      <c r="K8570" t="s">
        <v>37327</v>
      </c>
      <c r="M8570" t="s">
        <v>40300</v>
      </c>
      <c r="N8570" t="s">
        <v>41249</v>
      </c>
      <c r="O8570" t="s">
        <v>41250</v>
      </c>
      <c r="P8570">
        <v>0</v>
      </c>
      <c r="Q8570">
        <v>5</v>
      </c>
      <c r="R8570" t="s">
        <v>41258</v>
      </c>
      <c r="S8570" t="s">
        <v>41513</v>
      </c>
      <c r="T8570" t="s">
        <v>42911</v>
      </c>
      <c r="U8570" t="s">
        <v>50163</v>
      </c>
      <c r="W8570" t="s">
        <v>40300</v>
      </c>
      <c r="X8570" t="s">
        <v>41259</v>
      </c>
    </row>
    <row r="8571" spans="1:24">
      <c r="A8571">
        <f>HYPERLINK("https://www.philgeps.gov.ph/GEPSNONPILOT/Tender/SplashBidNoticeAbstractUI.aspx?menuIndex=3&amp;refID=7066884&amp;Result=3","7066884")</f>
        <v>0</v>
      </c>
      <c r="B8571" t="s">
        <v>1945</v>
      </c>
      <c r="C8571" t="s">
        <v>11561</v>
      </c>
      <c r="D8571" t="s">
        <v>16674</v>
      </c>
      <c r="E8571" t="s">
        <v>24186</v>
      </c>
      <c r="F8571" t="s">
        <v>28669</v>
      </c>
      <c r="G8571" t="s">
        <v>28675</v>
      </c>
      <c r="H8571" t="s">
        <v>9998</v>
      </c>
      <c r="I8571" t="s">
        <v>28690</v>
      </c>
      <c r="J8571" t="s">
        <v>29191</v>
      </c>
      <c r="K8571" t="s">
        <v>37205</v>
      </c>
      <c r="M8571" t="s">
        <v>39574</v>
      </c>
      <c r="N8571" t="s">
        <v>41249</v>
      </c>
      <c r="O8571" t="s">
        <v>41250</v>
      </c>
      <c r="P8571">
        <v>0</v>
      </c>
      <c r="Q8571">
        <v>5</v>
      </c>
      <c r="R8571" t="s">
        <v>41258</v>
      </c>
      <c r="S8571" t="s">
        <v>41513</v>
      </c>
      <c r="T8571" t="s">
        <v>42728</v>
      </c>
      <c r="U8571" t="s">
        <v>50164</v>
      </c>
      <c r="W8571" t="s">
        <v>39574</v>
      </c>
      <c r="X8571" t="s">
        <v>41259</v>
      </c>
    </row>
    <row r="8572" spans="1:24">
      <c r="A8572">
        <f>HYPERLINK("https://www.philgeps.gov.ph/GEPSNONPILOT/Tender/SplashBidNoticeAbstractUI.aspx?menuIndex=3&amp;refID=7066810&amp;Result=3","7066810")</f>
        <v>0</v>
      </c>
      <c r="B8572" t="s">
        <v>2198</v>
      </c>
      <c r="C8572" t="s">
        <v>11562</v>
      </c>
      <c r="D8572" t="s">
        <v>16619</v>
      </c>
      <c r="E8572" t="s">
        <v>24187</v>
      </c>
      <c r="F8572" t="s">
        <v>28669</v>
      </c>
      <c r="G8572" t="s">
        <v>28676</v>
      </c>
      <c r="H8572" t="s">
        <v>9998</v>
      </c>
      <c r="I8572" t="s">
        <v>3679</v>
      </c>
      <c r="J8572" t="s">
        <v>34157</v>
      </c>
      <c r="K8572" t="s">
        <v>37205</v>
      </c>
      <c r="M8572" t="s">
        <v>39848</v>
      </c>
      <c r="N8572" t="s">
        <v>41249</v>
      </c>
      <c r="O8572" t="s">
        <v>41250</v>
      </c>
      <c r="P8572">
        <v>0</v>
      </c>
      <c r="Q8572">
        <v>0</v>
      </c>
      <c r="R8572" t="s">
        <v>41258</v>
      </c>
      <c r="S8572" t="s">
        <v>41513</v>
      </c>
      <c r="T8572" t="s">
        <v>42665</v>
      </c>
      <c r="U8572" t="s">
        <v>49699</v>
      </c>
      <c r="V8572" t="s">
        <v>55223</v>
      </c>
      <c r="W8572" t="s">
        <v>39848</v>
      </c>
      <c r="X8572" t="s">
        <v>41259</v>
      </c>
    </row>
    <row r="8573" spans="1:24">
      <c r="A8573">
        <f>HYPERLINK("https://www.philgeps.gov.ph/GEPSNONPILOT/Tender/SplashBidNoticeAbstractUI.aspx?menuIndex=3&amp;refID=7066806&amp;Result=3","7066806")</f>
        <v>0</v>
      </c>
      <c r="B8573" t="s">
        <v>1953</v>
      </c>
      <c r="C8573" t="s">
        <v>11563</v>
      </c>
      <c r="D8573" t="s">
        <v>16611</v>
      </c>
      <c r="E8573" t="s">
        <v>24188</v>
      </c>
      <c r="F8573" t="s">
        <v>28669</v>
      </c>
      <c r="G8573" t="s">
        <v>28675</v>
      </c>
      <c r="H8573" t="s">
        <v>9998</v>
      </c>
      <c r="I8573" t="s">
        <v>11142</v>
      </c>
      <c r="J8573" t="s">
        <v>34158</v>
      </c>
      <c r="K8573" t="s">
        <v>37220</v>
      </c>
      <c r="M8573" t="s">
        <v>39585</v>
      </c>
      <c r="N8573" t="s">
        <v>41249</v>
      </c>
      <c r="O8573" t="s">
        <v>41250</v>
      </c>
      <c r="P8573">
        <v>0</v>
      </c>
      <c r="Q8573">
        <v>3</v>
      </c>
      <c r="R8573" t="s">
        <v>41258</v>
      </c>
      <c r="S8573" t="s">
        <v>41513</v>
      </c>
      <c r="T8573" t="s">
        <v>42729</v>
      </c>
      <c r="U8573" t="s">
        <v>47969</v>
      </c>
      <c r="V8573" t="s">
        <v>54899</v>
      </c>
      <c r="W8573" t="s">
        <v>39585</v>
      </c>
      <c r="X8573" t="s">
        <v>41259</v>
      </c>
    </row>
    <row r="8574" spans="1:24">
      <c r="A8574">
        <f>HYPERLINK("https://www.philgeps.gov.ph/GEPSNONPILOT/Tender/SplashBidNoticeAbstractUI.aspx?menuIndex=3&amp;refID=7066865&amp;Result=3","7066865")</f>
        <v>0</v>
      </c>
      <c r="B8574" t="s">
        <v>2598</v>
      </c>
      <c r="C8574" t="s">
        <v>11564</v>
      </c>
      <c r="D8574" t="s">
        <v>16619</v>
      </c>
      <c r="E8574" t="s">
        <v>24189</v>
      </c>
      <c r="F8574" t="s">
        <v>28669</v>
      </c>
      <c r="G8574" t="s">
        <v>28675</v>
      </c>
      <c r="H8574" t="s">
        <v>28686</v>
      </c>
      <c r="I8574" t="s">
        <v>28689</v>
      </c>
      <c r="J8574" t="s">
        <v>34159</v>
      </c>
      <c r="K8574" t="s">
        <v>37215</v>
      </c>
      <c r="M8574" t="s">
        <v>40293</v>
      </c>
      <c r="N8574" t="s">
        <v>41249</v>
      </c>
      <c r="O8574" t="s">
        <v>41250</v>
      </c>
      <c r="P8574">
        <v>0</v>
      </c>
      <c r="Q8574">
        <v>0</v>
      </c>
      <c r="R8574" t="s">
        <v>41258</v>
      </c>
      <c r="S8574" t="s">
        <v>41513</v>
      </c>
      <c r="T8574" t="s">
        <v>42786</v>
      </c>
      <c r="U8574" t="s">
        <v>50165</v>
      </c>
      <c r="W8574" t="s">
        <v>40293</v>
      </c>
      <c r="X8574" t="s">
        <v>41259</v>
      </c>
    </row>
    <row r="8575" spans="1:24">
      <c r="A8575">
        <f>HYPERLINK("https://www.philgeps.gov.ph/GEPSNONPILOT/Tender/SplashBidNoticeAbstractUI.aspx?menuIndex=3&amp;refID=7066860&amp;Result=3","7066860")</f>
        <v>0</v>
      </c>
      <c r="B8575" t="s">
        <v>2596</v>
      </c>
      <c r="C8575" t="s">
        <v>11565</v>
      </c>
      <c r="D8575" t="s">
        <v>16668</v>
      </c>
      <c r="E8575" t="s">
        <v>24190</v>
      </c>
      <c r="F8575" t="s">
        <v>28669</v>
      </c>
      <c r="G8575" t="s">
        <v>28675</v>
      </c>
      <c r="H8575" t="s">
        <v>28686</v>
      </c>
      <c r="I8575" t="s">
        <v>28689</v>
      </c>
      <c r="J8575" t="s">
        <v>34160</v>
      </c>
      <c r="K8575" t="s">
        <v>37294</v>
      </c>
      <c r="M8575" t="s">
        <v>40291</v>
      </c>
      <c r="N8575" t="s">
        <v>41249</v>
      </c>
      <c r="O8575" t="s">
        <v>41250</v>
      </c>
      <c r="Q8575">
        <v>1</v>
      </c>
      <c r="R8575" t="s">
        <v>41258</v>
      </c>
      <c r="S8575" t="s">
        <v>41546</v>
      </c>
      <c r="T8575" t="s">
        <v>42755</v>
      </c>
      <c r="U8575" t="s">
        <v>50166</v>
      </c>
      <c r="W8575" t="s">
        <v>40291</v>
      </c>
      <c r="X8575" t="s">
        <v>41259</v>
      </c>
    </row>
    <row r="8576" spans="1:24">
      <c r="A8576">
        <f>HYPERLINK("https://www.philgeps.gov.ph/GEPSNONPILOT/Tender/SplashBidNoticeAbstractUI.aspx?menuIndex=3&amp;refID=7066854&amp;Result=3","7066854")</f>
        <v>0</v>
      </c>
      <c r="B8576" t="s">
        <v>2605</v>
      </c>
      <c r="C8576" t="s">
        <v>11566</v>
      </c>
      <c r="D8576" t="s">
        <v>16608</v>
      </c>
      <c r="E8576" t="s">
        <v>24191</v>
      </c>
      <c r="F8576" t="s">
        <v>28669</v>
      </c>
      <c r="G8576" t="s">
        <v>28675</v>
      </c>
      <c r="H8576" t="s">
        <v>9998</v>
      </c>
      <c r="I8576" t="s">
        <v>28731</v>
      </c>
      <c r="J8576" t="s">
        <v>34161</v>
      </c>
      <c r="K8576" t="s">
        <v>37220</v>
      </c>
      <c r="M8576" t="s">
        <v>40301</v>
      </c>
      <c r="N8576" t="s">
        <v>41249</v>
      </c>
      <c r="O8576" t="s">
        <v>41250</v>
      </c>
      <c r="Q8576">
        <v>21</v>
      </c>
      <c r="R8576" t="s">
        <v>41258</v>
      </c>
      <c r="S8576" t="s">
        <v>41547</v>
      </c>
      <c r="T8576" t="s">
        <v>42680</v>
      </c>
      <c r="U8576" t="s">
        <v>50167</v>
      </c>
      <c r="V8576" t="s">
        <v>55224</v>
      </c>
      <c r="W8576" t="s">
        <v>40301</v>
      </c>
      <c r="X8576" t="s">
        <v>41259</v>
      </c>
    </row>
    <row r="8577" spans="1:24">
      <c r="A8577">
        <f>HYPERLINK("https://www.philgeps.gov.ph/GEPSNONPILOT/Tender/SplashBidNoticeAbstractUI.aspx?menuIndex=3&amp;refID=7066852&amp;Result=3","7066852")</f>
        <v>0</v>
      </c>
      <c r="B8577" t="s">
        <v>2606</v>
      </c>
      <c r="C8577" t="s">
        <v>11567</v>
      </c>
      <c r="D8577" t="s">
        <v>16647</v>
      </c>
      <c r="E8577" t="s">
        <v>24192</v>
      </c>
      <c r="F8577" t="s">
        <v>28669</v>
      </c>
      <c r="G8577" t="s">
        <v>28675</v>
      </c>
      <c r="H8577" t="s">
        <v>28686</v>
      </c>
      <c r="I8577" t="s">
        <v>28689</v>
      </c>
      <c r="J8577" t="s">
        <v>29266</v>
      </c>
      <c r="K8577" t="s">
        <v>37209</v>
      </c>
      <c r="M8577" t="s">
        <v>40302</v>
      </c>
      <c r="N8577" t="s">
        <v>41249</v>
      </c>
      <c r="O8577" t="s">
        <v>41250</v>
      </c>
      <c r="P8577">
        <v>0</v>
      </c>
      <c r="Q8577">
        <v>12</v>
      </c>
      <c r="R8577" t="s">
        <v>41258</v>
      </c>
      <c r="S8577" t="s">
        <v>41513</v>
      </c>
      <c r="T8577" t="s">
        <v>42769</v>
      </c>
      <c r="U8577" t="s">
        <v>50168</v>
      </c>
      <c r="W8577" t="s">
        <v>40302</v>
      </c>
      <c r="X8577" t="s">
        <v>41259</v>
      </c>
    </row>
    <row r="8578" spans="1:24">
      <c r="A8578">
        <f>HYPERLINK("https://www.philgeps.gov.ph/GEPSNONPILOT/Tender/SplashBidNoticeAbstractUI.aspx?menuIndex=3&amp;refID=7066886&amp;Result=3","7066886")</f>
        <v>0</v>
      </c>
      <c r="B8578" t="s">
        <v>2365</v>
      </c>
      <c r="C8578" t="s">
        <v>11568</v>
      </c>
      <c r="D8578" t="s">
        <v>16628</v>
      </c>
      <c r="E8578" t="s">
        <v>24193</v>
      </c>
      <c r="F8578" t="s">
        <v>28669</v>
      </c>
      <c r="G8578" t="s">
        <v>28675</v>
      </c>
      <c r="H8578" t="s">
        <v>9998</v>
      </c>
      <c r="I8578" t="s">
        <v>28695</v>
      </c>
      <c r="J8578" t="s">
        <v>34162</v>
      </c>
      <c r="K8578" t="s">
        <v>37206</v>
      </c>
      <c r="M8578" t="s">
        <v>40034</v>
      </c>
      <c r="N8578" t="s">
        <v>41249</v>
      </c>
      <c r="O8578" t="s">
        <v>41250</v>
      </c>
      <c r="P8578">
        <v>0</v>
      </c>
      <c r="Q8578">
        <v>1</v>
      </c>
      <c r="R8578" t="s">
        <v>41258</v>
      </c>
      <c r="S8578" t="s">
        <v>41513</v>
      </c>
      <c r="T8578" t="s">
        <v>42929</v>
      </c>
      <c r="U8578" t="s">
        <v>50143</v>
      </c>
      <c r="W8578" t="s">
        <v>40034</v>
      </c>
      <c r="X8578" t="s">
        <v>41259</v>
      </c>
    </row>
    <row r="8579" spans="1:24">
      <c r="A8579">
        <f>HYPERLINK("https://www.philgeps.gov.ph/GEPSNONPILOT/Tender/SplashBidNoticeAbstractUI.aspx?menuIndex=3&amp;refID=7066883&amp;Result=3","7066883")</f>
        <v>0</v>
      </c>
      <c r="B8579" t="s">
        <v>1770</v>
      </c>
      <c r="C8579" t="s">
        <v>11569</v>
      </c>
      <c r="D8579" t="s">
        <v>16608</v>
      </c>
      <c r="E8579" t="s">
        <v>24194</v>
      </c>
      <c r="F8579" t="s">
        <v>28669</v>
      </c>
      <c r="G8579" t="s">
        <v>28676</v>
      </c>
      <c r="H8579" t="s">
        <v>9998</v>
      </c>
      <c r="I8579" t="s">
        <v>28704</v>
      </c>
      <c r="J8579" t="s">
        <v>31968</v>
      </c>
      <c r="K8579" t="s">
        <v>37206</v>
      </c>
      <c r="M8579" t="s">
        <v>39584</v>
      </c>
      <c r="N8579" t="s">
        <v>41249</v>
      </c>
      <c r="O8579" t="s">
        <v>41250</v>
      </c>
      <c r="P8579">
        <v>0</v>
      </c>
      <c r="Q8579">
        <v>4</v>
      </c>
      <c r="R8579" t="s">
        <v>41258</v>
      </c>
      <c r="S8579" t="s">
        <v>41513</v>
      </c>
      <c r="T8579" t="s">
        <v>42938</v>
      </c>
      <c r="U8579" t="s">
        <v>47967</v>
      </c>
      <c r="W8579" t="s">
        <v>39584</v>
      </c>
      <c r="X8579" t="s">
        <v>41259</v>
      </c>
    </row>
    <row r="8580" spans="1:24">
      <c r="A8580">
        <f>HYPERLINK("https://www.philgeps.gov.ph/GEPSNONPILOT/Tender/SplashBidNoticeAbstractUI.aspx?menuIndex=3&amp;refID=7066895&amp;Result=3","7066895")</f>
        <v>0</v>
      </c>
      <c r="B8580" t="s">
        <v>473</v>
      </c>
      <c r="C8580" t="s">
        <v>11570</v>
      </c>
      <c r="D8580" t="s">
        <v>16647</v>
      </c>
      <c r="E8580" t="s">
        <v>24195</v>
      </c>
      <c r="F8580" t="s">
        <v>28669</v>
      </c>
      <c r="G8580" t="s">
        <v>28675</v>
      </c>
      <c r="H8580" t="s">
        <v>28686</v>
      </c>
      <c r="I8580" t="s">
        <v>28689</v>
      </c>
      <c r="J8580" t="s">
        <v>28914</v>
      </c>
      <c r="K8580" t="s">
        <v>37258</v>
      </c>
      <c r="M8580" t="s">
        <v>37961</v>
      </c>
      <c r="N8580" t="s">
        <v>41249</v>
      </c>
      <c r="O8580" t="s">
        <v>41250</v>
      </c>
      <c r="P8580">
        <v>0</v>
      </c>
      <c r="Q8580">
        <v>2</v>
      </c>
      <c r="R8580" t="s">
        <v>41258</v>
      </c>
      <c r="S8580" t="s">
        <v>41513</v>
      </c>
      <c r="T8580" t="s">
        <v>42727</v>
      </c>
      <c r="U8580" t="s">
        <v>50169</v>
      </c>
      <c r="V8580" t="s">
        <v>55225</v>
      </c>
      <c r="W8580" t="s">
        <v>37961</v>
      </c>
      <c r="X8580" t="s">
        <v>41259</v>
      </c>
    </row>
    <row r="8581" spans="1:24">
      <c r="A8581">
        <f>HYPERLINK("https://www.philgeps.gov.ph/GEPSNONPILOT/Tender/SplashBidNoticeAbstractUI.aspx?menuIndex=3&amp;refID=7066861&amp;Result=3","7066861")</f>
        <v>0</v>
      </c>
      <c r="B8581" t="s">
        <v>2602</v>
      </c>
      <c r="C8581" t="s">
        <v>11571</v>
      </c>
      <c r="D8581" t="s">
        <v>16686</v>
      </c>
      <c r="E8581" t="s">
        <v>24196</v>
      </c>
      <c r="F8581" t="s">
        <v>28669</v>
      </c>
      <c r="G8581" t="s">
        <v>28675</v>
      </c>
      <c r="H8581" t="s">
        <v>28686</v>
      </c>
      <c r="I8581" t="s">
        <v>28689</v>
      </c>
      <c r="J8581" t="s">
        <v>30854</v>
      </c>
      <c r="K8581" t="s">
        <v>37209</v>
      </c>
      <c r="M8581" t="s">
        <v>40297</v>
      </c>
      <c r="N8581" t="s">
        <v>41249</v>
      </c>
      <c r="O8581" t="s">
        <v>41250</v>
      </c>
      <c r="P8581">
        <v>0</v>
      </c>
      <c r="Q8581">
        <v>0</v>
      </c>
      <c r="R8581" t="s">
        <v>41258</v>
      </c>
      <c r="S8581" t="s">
        <v>41513</v>
      </c>
      <c r="T8581" t="s">
        <v>42739</v>
      </c>
      <c r="U8581" t="s">
        <v>50170</v>
      </c>
      <c r="W8581" t="s">
        <v>40297</v>
      </c>
      <c r="X8581" t="s">
        <v>41259</v>
      </c>
    </row>
    <row r="8582" spans="1:24">
      <c r="A8582">
        <f>HYPERLINK("https://www.philgeps.gov.ph/GEPSNONPILOT/Tender/SplashBidNoticeAbstractUI.aspx?menuIndex=3&amp;refID=7066828&amp;Result=3","7066828")</f>
        <v>0</v>
      </c>
      <c r="B8582" t="s">
        <v>1124</v>
      </c>
      <c r="C8582" t="s">
        <v>11572</v>
      </c>
      <c r="E8582" t="s">
        <v>24197</v>
      </c>
      <c r="F8582" t="s">
        <v>28669</v>
      </c>
      <c r="G8582" t="s">
        <v>28676</v>
      </c>
      <c r="H8582" t="s">
        <v>9998</v>
      </c>
      <c r="I8582" t="s">
        <v>28688</v>
      </c>
      <c r="J8582" t="s">
        <v>34163</v>
      </c>
      <c r="K8582" t="s">
        <v>37209</v>
      </c>
      <c r="M8582" t="s">
        <v>38658</v>
      </c>
      <c r="N8582" t="s">
        <v>41249</v>
      </c>
      <c r="O8582" t="s">
        <v>41250</v>
      </c>
      <c r="P8582">
        <v>0</v>
      </c>
      <c r="Q8582">
        <v>2</v>
      </c>
      <c r="R8582" t="s">
        <v>41258</v>
      </c>
      <c r="S8582" t="s">
        <v>41513</v>
      </c>
      <c r="T8582" t="s">
        <v>42681</v>
      </c>
      <c r="U8582" t="s">
        <v>45501</v>
      </c>
      <c r="W8582" t="s">
        <v>38658</v>
      </c>
      <c r="X8582" t="s">
        <v>41259</v>
      </c>
    </row>
    <row r="8583" spans="1:24">
      <c r="A8583">
        <f>HYPERLINK("https://www.philgeps.gov.ph/GEPSNONPILOT/Tender/SplashBidNoticeAbstractUI.aspx?menuIndex=3&amp;refID=7066894&amp;Result=3","7066894")</f>
        <v>0</v>
      </c>
      <c r="B8583" t="s">
        <v>1953</v>
      </c>
      <c r="C8583" t="s">
        <v>11573</v>
      </c>
      <c r="D8583" t="s">
        <v>16650</v>
      </c>
      <c r="E8583" t="s">
        <v>24198</v>
      </c>
      <c r="F8583" t="s">
        <v>28669</v>
      </c>
      <c r="G8583" t="s">
        <v>28675</v>
      </c>
      <c r="H8583" t="s">
        <v>9998</v>
      </c>
      <c r="I8583" t="s">
        <v>5213</v>
      </c>
      <c r="J8583" t="s">
        <v>28878</v>
      </c>
      <c r="K8583" t="s">
        <v>37206</v>
      </c>
      <c r="M8583" t="s">
        <v>39585</v>
      </c>
      <c r="N8583" t="s">
        <v>41249</v>
      </c>
      <c r="O8583" t="s">
        <v>41250</v>
      </c>
      <c r="P8583">
        <v>0</v>
      </c>
      <c r="Q8583">
        <v>1</v>
      </c>
      <c r="R8583" t="s">
        <v>41258</v>
      </c>
      <c r="S8583" t="s">
        <v>41513</v>
      </c>
      <c r="T8583" t="s">
        <v>42729</v>
      </c>
      <c r="U8583" t="s">
        <v>47969</v>
      </c>
      <c r="V8583" t="s">
        <v>54903</v>
      </c>
      <c r="W8583" t="s">
        <v>39585</v>
      </c>
      <c r="X8583" t="s">
        <v>41259</v>
      </c>
    </row>
    <row r="8584" spans="1:24">
      <c r="A8584">
        <f>HYPERLINK("https://www.philgeps.gov.ph/GEPSNONPILOT/Tender/SplashBidNoticeAbstractUI.aspx?menuIndex=3&amp;refID=7066858&amp;Result=3","7066858")</f>
        <v>0</v>
      </c>
      <c r="B8584" t="s">
        <v>1770</v>
      </c>
      <c r="C8584" t="s">
        <v>11574</v>
      </c>
      <c r="D8584" t="s">
        <v>16608</v>
      </c>
      <c r="E8584" t="s">
        <v>24199</v>
      </c>
      <c r="F8584" t="s">
        <v>28669</v>
      </c>
      <c r="G8584" t="s">
        <v>28676</v>
      </c>
      <c r="H8584" t="s">
        <v>9998</v>
      </c>
      <c r="I8584" t="s">
        <v>28694</v>
      </c>
      <c r="J8584" t="s">
        <v>34164</v>
      </c>
      <c r="K8584" t="s">
        <v>37205</v>
      </c>
      <c r="M8584" t="s">
        <v>39584</v>
      </c>
      <c r="N8584" t="s">
        <v>41249</v>
      </c>
      <c r="O8584" t="s">
        <v>41250</v>
      </c>
      <c r="P8584">
        <v>0</v>
      </c>
      <c r="Q8584">
        <v>7</v>
      </c>
      <c r="R8584" t="s">
        <v>41258</v>
      </c>
      <c r="S8584" t="s">
        <v>41513</v>
      </c>
      <c r="T8584" t="s">
        <v>42938</v>
      </c>
      <c r="U8584" t="s">
        <v>47967</v>
      </c>
      <c r="W8584" t="s">
        <v>39584</v>
      </c>
      <c r="X8584" t="s">
        <v>41259</v>
      </c>
    </row>
    <row r="8585" spans="1:24">
      <c r="A8585">
        <f>HYPERLINK("https://www.philgeps.gov.ph/GEPSNONPILOT/Tender/SplashBidNoticeAbstractUI.aspx?menuIndex=3&amp;refID=7066891&amp;Result=3","7066891")</f>
        <v>0</v>
      </c>
      <c r="B8585" t="s">
        <v>2590</v>
      </c>
      <c r="C8585" t="s">
        <v>11575</v>
      </c>
      <c r="D8585" t="s">
        <v>16668</v>
      </c>
      <c r="E8585" t="s">
        <v>19349</v>
      </c>
      <c r="F8585" t="s">
        <v>28669</v>
      </c>
      <c r="G8585" t="s">
        <v>28675</v>
      </c>
      <c r="H8585" t="s">
        <v>28686</v>
      </c>
      <c r="I8585" t="s">
        <v>28689</v>
      </c>
      <c r="J8585" t="s">
        <v>34165</v>
      </c>
      <c r="K8585" t="s">
        <v>37404</v>
      </c>
      <c r="M8585" t="s">
        <v>40285</v>
      </c>
      <c r="N8585" t="s">
        <v>41249</v>
      </c>
      <c r="O8585" t="s">
        <v>41250</v>
      </c>
      <c r="P8585">
        <v>0</v>
      </c>
      <c r="Q8585">
        <v>0</v>
      </c>
      <c r="R8585" t="s">
        <v>41258</v>
      </c>
      <c r="S8585" t="s">
        <v>41513</v>
      </c>
      <c r="T8585" t="s">
        <v>43036</v>
      </c>
      <c r="U8585" t="s">
        <v>50171</v>
      </c>
      <c r="W8585" t="s">
        <v>40285</v>
      </c>
      <c r="X8585" t="s">
        <v>41259</v>
      </c>
    </row>
    <row r="8586" spans="1:24">
      <c r="A8586">
        <f>HYPERLINK("https://www.philgeps.gov.ph/GEPSNONPILOT/Tender/SplashBidNoticeAbstractUI.aspx?menuIndex=3&amp;refID=7066888&amp;Result=3","7066888")</f>
        <v>0</v>
      </c>
      <c r="B8586" t="s">
        <v>2598</v>
      </c>
      <c r="C8586" t="s">
        <v>11576</v>
      </c>
      <c r="D8586" t="s">
        <v>16619</v>
      </c>
      <c r="E8586" t="s">
        <v>24200</v>
      </c>
      <c r="F8586" t="s">
        <v>28669</v>
      </c>
      <c r="G8586" t="s">
        <v>28675</v>
      </c>
      <c r="H8586" t="s">
        <v>9998</v>
      </c>
      <c r="I8586" t="s">
        <v>28687</v>
      </c>
      <c r="J8586" t="s">
        <v>29059</v>
      </c>
      <c r="K8586" t="s">
        <v>37210</v>
      </c>
      <c r="M8586" t="s">
        <v>40293</v>
      </c>
      <c r="N8586" t="s">
        <v>41249</v>
      </c>
      <c r="O8586" t="s">
        <v>41250</v>
      </c>
      <c r="P8586">
        <v>0</v>
      </c>
      <c r="Q8586">
        <v>12</v>
      </c>
      <c r="R8586" t="s">
        <v>41258</v>
      </c>
      <c r="S8586" t="s">
        <v>41513</v>
      </c>
      <c r="T8586" t="s">
        <v>42786</v>
      </c>
      <c r="U8586" t="s">
        <v>50172</v>
      </c>
      <c r="W8586" t="s">
        <v>40293</v>
      </c>
      <c r="X8586" t="s">
        <v>41259</v>
      </c>
    </row>
    <row r="8587" spans="1:24">
      <c r="A8587">
        <f>HYPERLINK("https://www.philgeps.gov.ph/GEPSNONPILOT/Tender/SplashBidNoticeAbstractUI.aspx?menuIndex=3&amp;refID=7066867&amp;Result=3","7066867")</f>
        <v>0</v>
      </c>
      <c r="B8587" t="s">
        <v>803</v>
      </c>
      <c r="C8587" t="s">
        <v>11577</v>
      </c>
      <c r="D8587" t="s">
        <v>16664</v>
      </c>
      <c r="E8587" t="s">
        <v>24201</v>
      </c>
      <c r="F8587" t="s">
        <v>28669</v>
      </c>
      <c r="G8587" t="s">
        <v>28676</v>
      </c>
      <c r="H8587" t="s">
        <v>9998</v>
      </c>
      <c r="I8587" t="s">
        <v>28751</v>
      </c>
      <c r="J8587" t="s">
        <v>34166</v>
      </c>
      <c r="K8587" t="s">
        <v>37206</v>
      </c>
      <c r="M8587" t="s">
        <v>38318</v>
      </c>
      <c r="N8587" t="s">
        <v>41249</v>
      </c>
      <c r="O8587" t="s">
        <v>41250</v>
      </c>
      <c r="P8587">
        <v>0</v>
      </c>
      <c r="Q8587">
        <v>0</v>
      </c>
      <c r="R8587" t="s">
        <v>41258</v>
      </c>
      <c r="S8587" t="s">
        <v>41513</v>
      </c>
      <c r="T8587" t="s">
        <v>42758</v>
      </c>
      <c r="U8587" t="s">
        <v>50173</v>
      </c>
      <c r="W8587" t="s">
        <v>38318</v>
      </c>
      <c r="X8587" t="s">
        <v>41259</v>
      </c>
    </row>
    <row r="8588" spans="1:24">
      <c r="A8588">
        <f>HYPERLINK("https://www.philgeps.gov.ph/GEPSNONPILOT/Tender/SplashBidNoticeAbstractUI.aspx?menuIndex=3&amp;refID=7066832&amp;Result=3","7066832")</f>
        <v>0</v>
      </c>
      <c r="B8588" t="s">
        <v>2598</v>
      </c>
      <c r="C8588" t="s">
        <v>11578</v>
      </c>
      <c r="D8588" t="s">
        <v>16619</v>
      </c>
      <c r="E8588" t="s">
        <v>24202</v>
      </c>
      <c r="F8588" t="s">
        <v>28669</v>
      </c>
      <c r="G8588" t="s">
        <v>28675</v>
      </c>
      <c r="H8588" t="s">
        <v>28686</v>
      </c>
      <c r="I8588" t="s">
        <v>28689</v>
      </c>
      <c r="J8588" t="s">
        <v>34167</v>
      </c>
      <c r="K8588" t="s">
        <v>37215</v>
      </c>
      <c r="M8588" t="s">
        <v>40293</v>
      </c>
      <c r="N8588" t="s">
        <v>41249</v>
      </c>
      <c r="O8588" t="s">
        <v>41250</v>
      </c>
      <c r="P8588">
        <v>0</v>
      </c>
      <c r="Q8588">
        <v>0</v>
      </c>
      <c r="R8588" t="s">
        <v>41258</v>
      </c>
      <c r="S8588" t="s">
        <v>41513</v>
      </c>
      <c r="T8588" t="s">
        <v>42786</v>
      </c>
      <c r="U8588" t="s">
        <v>50174</v>
      </c>
      <c r="W8588" t="s">
        <v>40293</v>
      </c>
      <c r="X8588" t="s">
        <v>41259</v>
      </c>
    </row>
    <row r="8589" spans="1:24">
      <c r="A8589">
        <f>HYPERLINK("https://www.philgeps.gov.ph/GEPSNONPILOT/Tender/SplashBidNoticeAbstractUI.aspx?menuIndex=3&amp;refID=7066850&amp;Result=3","7066850")</f>
        <v>0</v>
      </c>
      <c r="B8589" t="s">
        <v>2598</v>
      </c>
      <c r="C8589" t="s">
        <v>11579</v>
      </c>
      <c r="D8589" t="s">
        <v>16619</v>
      </c>
      <c r="E8589" t="s">
        <v>24203</v>
      </c>
      <c r="F8589" t="s">
        <v>28669</v>
      </c>
      <c r="G8589" t="s">
        <v>28675</v>
      </c>
      <c r="H8589" t="s">
        <v>28686</v>
      </c>
      <c r="I8589" t="s">
        <v>28689</v>
      </c>
      <c r="J8589" t="s">
        <v>34168</v>
      </c>
      <c r="K8589" t="s">
        <v>37215</v>
      </c>
      <c r="M8589" t="s">
        <v>40293</v>
      </c>
      <c r="N8589" t="s">
        <v>41249</v>
      </c>
      <c r="O8589" t="s">
        <v>41250</v>
      </c>
      <c r="P8589">
        <v>0</v>
      </c>
      <c r="Q8589">
        <v>1</v>
      </c>
      <c r="R8589" t="s">
        <v>41258</v>
      </c>
      <c r="S8589" t="s">
        <v>41513</v>
      </c>
      <c r="T8589" t="s">
        <v>42786</v>
      </c>
      <c r="U8589" t="s">
        <v>50175</v>
      </c>
      <c r="W8589" t="s">
        <v>40293</v>
      </c>
      <c r="X8589" t="s">
        <v>41259</v>
      </c>
    </row>
    <row r="8590" spans="1:24">
      <c r="A8590">
        <f>HYPERLINK("https://www.philgeps.gov.ph/GEPSNONPILOT/Tender/SplashBidNoticeAbstractUI.aspx?menuIndex=3&amp;refID=7066849&amp;Result=3","7066849")</f>
        <v>0</v>
      </c>
      <c r="B8590" t="s">
        <v>2607</v>
      </c>
      <c r="C8590" t="s">
        <v>11580</v>
      </c>
      <c r="E8590" t="s">
        <v>24204</v>
      </c>
      <c r="F8590" t="s">
        <v>28669</v>
      </c>
      <c r="G8590" t="s">
        <v>28679</v>
      </c>
      <c r="H8590" t="s">
        <v>9998</v>
      </c>
      <c r="I8590" t="s">
        <v>28695</v>
      </c>
      <c r="J8590" t="s">
        <v>34169</v>
      </c>
      <c r="K8590" t="s">
        <v>37209</v>
      </c>
      <c r="M8590" t="s">
        <v>40303</v>
      </c>
      <c r="N8590" t="s">
        <v>41249</v>
      </c>
      <c r="O8590" t="s">
        <v>41250</v>
      </c>
      <c r="Q8590">
        <v>0</v>
      </c>
      <c r="R8590" t="s">
        <v>41258</v>
      </c>
      <c r="S8590" t="s">
        <v>41548</v>
      </c>
      <c r="T8590" t="s">
        <v>42729</v>
      </c>
      <c r="U8590" t="s">
        <v>50176</v>
      </c>
      <c r="W8590" t="s">
        <v>40303</v>
      </c>
      <c r="X8590" t="s">
        <v>41259</v>
      </c>
    </row>
    <row r="8591" spans="1:24">
      <c r="A8591">
        <f>HYPERLINK("https://www.philgeps.gov.ph/GEPSNONPILOT/Tender/SplashBidNoticeAbstractUI.aspx?menuIndex=3&amp;refID=7066947&amp;Result=3","7066947")</f>
        <v>0</v>
      </c>
      <c r="B8591" t="s">
        <v>2155</v>
      </c>
      <c r="C8591" t="s">
        <v>11581</v>
      </c>
      <c r="D8591" t="s">
        <v>16627</v>
      </c>
      <c r="E8591" t="s">
        <v>24205</v>
      </c>
      <c r="F8591" t="s">
        <v>28671</v>
      </c>
      <c r="G8591" t="s">
        <v>28675</v>
      </c>
      <c r="H8591" t="s">
        <v>9998</v>
      </c>
      <c r="I8591" t="s">
        <v>5286</v>
      </c>
      <c r="J8591" t="s">
        <v>34170</v>
      </c>
      <c r="K8591" t="s">
        <v>37206</v>
      </c>
      <c r="M8591" t="s">
        <v>39800</v>
      </c>
      <c r="N8591" t="s">
        <v>41249</v>
      </c>
      <c r="O8591" t="s">
        <v>41250</v>
      </c>
      <c r="P8591">
        <v>0</v>
      </c>
      <c r="Q8591">
        <v>0</v>
      </c>
      <c r="R8591" t="s">
        <v>41258</v>
      </c>
      <c r="S8591" t="s">
        <v>41513</v>
      </c>
      <c r="T8591" t="s">
        <v>42658</v>
      </c>
      <c r="U8591" t="s">
        <v>50177</v>
      </c>
      <c r="V8591" t="s">
        <v>55186</v>
      </c>
      <c r="W8591" t="s">
        <v>39800</v>
      </c>
      <c r="X8591" t="s">
        <v>41259</v>
      </c>
    </row>
    <row r="8592" spans="1:24">
      <c r="A8592">
        <f>HYPERLINK("https://www.philgeps.gov.ph/GEPSNONPILOT/Tender/SplashBidNoticeAbstractUI.aspx?menuIndex=3&amp;refID=7066904&amp;Result=3","7066904")</f>
        <v>0</v>
      </c>
      <c r="B8592" t="s">
        <v>1770</v>
      </c>
      <c r="C8592" t="s">
        <v>11582</v>
      </c>
      <c r="D8592" t="s">
        <v>16608</v>
      </c>
      <c r="E8592" t="s">
        <v>24206</v>
      </c>
      <c r="F8592" t="s">
        <v>28669</v>
      </c>
      <c r="G8592" t="s">
        <v>28676</v>
      </c>
      <c r="H8592" t="s">
        <v>9998</v>
      </c>
      <c r="I8592" t="s">
        <v>28688</v>
      </c>
      <c r="J8592" t="s">
        <v>29134</v>
      </c>
      <c r="K8592" t="s">
        <v>37206</v>
      </c>
      <c r="M8592" t="s">
        <v>39584</v>
      </c>
      <c r="N8592" t="s">
        <v>41249</v>
      </c>
      <c r="O8592" t="s">
        <v>41250</v>
      </c>
      <c r="P8592">
        <v>0</v>
      </c>
      <c r="Q8592">
        <v>10</v>
      </c>
      <c r="R8592" t="s">
        <v>41258</v>
      </c>
      <c r="S8592" t="s">
        <v>41513</v>
      </c>
      <c r="T8592" t="s">
        <v>42938</v>
      </c>
      <c r="U8592" t="s">
        <v>47967</v>
      </c>
      <c r="W8592" t="s">
        <v>39584</v>
      </c>
      <c r="X8592" t="s">
        <v>41259</v>
      </c>
    </row>
    <row r="8593" spans="1:24">
      <c r="A8593">
        <f>HYPERLINK("https://www.philgeps.gov.ph/GEPSNONPILOT/Tender/SplashBidNoticeAbstractUI.aspx?menuIndex=3&amp;refID=7066941&amp;Result=3","7066941")</f>
        <v>0</v>
      </c>
      <c r="B8593" t="s">
        <v>1542</v>
      </c>
      <c r="C8593" t="s">
        <v>11583</v>
      </c>
      <c r="D8593" t="s">
        <v>16640</v>
      </c>
      <c r="E8593" t="s">
        <v>17154</v>
      </c>
      <c r="F8593" t="s">
        <v>28669</v>
      </c>
      <c r="G8593" t="s">
        <v>28675</v>
      </c>
      <c r="H8593" t="s">
        <v>28686</v>
      </c>
      <c r="I8593" t="s">
        <v>28689</v>
      </c>
      <c r="J8593" t="s">
        <v>34171</v>
      </c>
      <c r="K8593" t="s">
        <v>37206</v>
      </c>
      <c r="M8593" t="s">
        <v>39117</v>
      </c>
      <c r="N8593" t="s">
        <v>41249</v>
      </c>
      <c r="O8593" t="s">
        <v>41250</v>
      </c>
      <c r="Q8593">
        <v>0</v>
      </c>
      <c r="R8593" t="s">
        <v>41258</v>
      </c>
      <c r="S8593" t="s">
        <v>41549</v>
      </c>
      <c r="T8593" t="s">
        <v>42761</v>
      </c>
      <c r="U8593" t="s">
        <v>50178</v>
      </c>
      <c r="V8593" t="s">
        <v>47939</v>
      </c>
      <c r="W8593" t="s">
        <v>56003</v>
      </c>
      <c r="X8593" t="s">
        <v>41259</v>
      </c>
    </row>
    <row r="8594" spans="1:24">
      <c r="A8594">
        <f>HYPERLINK("https://www.philgeps.gov.ph/GEPSNONPILOT/Tender/SplashBidNoticeAbstractUI.aspx?menuIndex=3&amp;refID=7066889&amp;Result=3","7066889")</f>
        <v>0</v>
      </c>
      <c r="B8594" t="s">
        <v>883</v>
      </c>
      <c r="C8594" t="s">
        <v>11584</v>
      </c>
      <c r="D8594" t="s">
        <v>16679</v>
      </c>
      <c r="E8594" t="s">
        <v>24207</v>
      </c>
      <c r="F8594" t="s">
        <v>28669</v>
      </c>
      <c r="G8594" t="s">
        <v>28675</v>
      </c>
      <c r="H8594" t="s">
        <v>28686</v>
      </c>
      <c r="I8594" t="s">
        <v>28689</v>
      </c>
      <c r="J8594" t="s">
        <v>34172</v>
      </c>
      <c r="K8594" t="s">
        <v>37286</v>
      </c>
      <c r="M8594" t="s">
        <v>38403</v>
      </c>
      <c r="N8594" t="s">
        <v>41249</v>
      </c>
      <c r="O8594" t="s">
        <v>41250</v>
      </c>
      <c r="Q8594">
        <v>4</v>
      </c>
      <c r="R8594" t="s">
        <v>41258</v>
      </c>
      <c r="S8594" t="s">
        <v>41550</v>
      </c>
      <c r="T8594" t="s">
        <v>42668</v>
      </c>
      <c r="U8594" t="s">
        <v>49674</v>
      </c>
      <c r="V8594" t="s">
        <v>55226</v>
      </c>
      <c r="W8594" t="s">
        <v>38403</v>
      </c>
      <c r="X8594" t="s">
        <v>41259</v>
      </c>
    </row>
    <row r="8595" spans="1:24">
      <c r="A8595">
        <f>HYPERLINK("https://www.philgeps.gov.ph/GEPSNONPILOT/Tender/SplashBidNoticeAbstractUI.aspx?menuIndex=3&amp;refID=7066887&amp;Result=3","7066887")</f>
        <v>0</v>
      </c>
      <c r="B8595" t="s">
        <v>2592</v>
      </c>
      <c r="C8595" t="s">
        <v>11585</v>
      </c>
      <c r="D8595" t="s">
        <v>16664</v>
      </c>
      <c r="E8595" t="s">
        <v>24208</v>
      </c>
      <c r="F8595" t="s">
        <v>28669</v>
      </c>
      <c r="G8595" t="s">
        <v>28675</v>
      </c>
      <c r="H8595" t="s">
        <v>28686</v>
      </c>
      <c r="I8595" t="s">
        <v>28689</v>
      </c>
      <c r="J8595" t="s">
        <v>34173</v>
      </c>
      <c r="K8595" t="s">
        <v>37214</v>
      </c>
      <c r="M8595" t="s">
        <v>40287</v>
      </c>
      <c r="N8595" t="s">
        <v>41249</v>
      </c>
      <c r="O8595" t="s">
        <v>41250</v>
      </c>
      <c r="P8595">
        <v>0</v>
      </c>
      <c r="Q8595">
        <v>1</v>
      </c>
      <c r="R8595" t="s">
        <v>41258</v>
      </c>
      <c r="S8595" t="s">
        <v>41513</v>
      </c>
      <c r="T8595" t="s">
        <v>42760</v>
      </c>
      <c r="U8595" t="s">
        <v>50179</v>
      </c>
      <c r="W8595" t="s">
        <v>40287</v>
      </c>
      <c r="X8595" t="s">
        <v>41259</v>
      </c>
    </row>
    <row r="8596" spans="1:24">
      <c r="A8596">
        <f>HYPERLINK("https://www.philgeps.gov.ph/GEPSNONPILOT/Tender/SplashBidNoticeAbstractUI.aspx?menuIndex=3&amp;refID=7066905&amp;Result=3","7066905")</f>
        <v>0</v>
      </c>
      <c r="B8596" t="s">
        <v>2596</v>
      </c>
      <c r="C8596" t="s">
        <v>11586</v>
      </c>
      <c r="D8596" t="s">
        <v>16668</v>
      </c>
      <c r="E8596" t="s">
        <v>24209</v>
      </c>
      <c r="F8596" t="s">
        <v>28669</v>
      </c>
      <c r="G8596" t="s">
        <v>28675</v>
      </c>
      <c r="H8596" t="s">
        <v>9998</v>
      </c>
      <c r="I8596" t="s">
        <v>11593</v>
      </c>
      <c r="J8596" t="s">
        <v>28879</v>
      </c>
      <c r="K8596" t="s">
        <v>37205</v>
      </c>
      <c r="M8596" t="s">
        <v>40291</v>
      </c>
      <c r="N8596" t="s">
        <v>41249</v>
      </c>
      <c r="O8596" t="s">
        <v>41250</v>
      </c>
      <c r="P8596">
        <v>0</v>
      </c>
      <c r="Q8596">
        <v>1</v>
      </c>
      <c r="R8596" t="s">
        <v>41258</v>
      </c>
      <c r="S8596" t="s">
        <v>41513</v>
      </c>
      <c r="T8596" t="s">
        <v>42755</v>
      </c>
      <c r="U8596" t="s">
        <v>50180</v>
      </c>
      <c r="W8596" t="s">
        <v>40291</v>
      </c>
      <c r="X8596" t="s">
        <v>41259</v>
      </c>
    </row>
    <row r="8597" spans="1:24">
      <c r="A8597">
        <f>HYPERLINK("https://www.philgeps.gov.ph/GEPSNONPILOT/Tender/SplashBidNoticeAbstractUI.aspx?menuIndex=3&amp;refID=7066944&amp;Result=3","7066944")</f>
        <v>0</v>
      </c>
      <c r="B8597" t="s">
        <v>2608</v>
      </c>
      <c r="C8597" t="s">
        <v>11587</v>
      </c>
      <c r="D8597" t="s">
        <v>16608</v>
      </c>
      <c r="E8597" t="s">
        <v>24210</v>
      </c>
      <c r="F8597" t="s">
        <v>28669</v>
      </c>
      <c r="G8597" t="s">
        <v>28677</v>
      </c>
      <c r="H8597" t="s">
        <v>9998</v>
      </c>
      <c r="I8597" t="s">
        <v>11593</v>
      </c>
      <c r="J8597" t="s">
        <v>30753</v>
      </c>
      <c r="K8597" t="s">
        <v>37204</v>
      </c>
      <c r="M8597" t="s">
        <v>40304</v>
      </c>
      <c r="N8597" t="s">
        <v>41249</v>
      </c>
      <c r="O8597" t="s">
        <v>41250</v>
      </c>
      <c r="Q8597">
        <v>10</v>
      </c>
      <c r="R8597" t="s">
        <v>41258</v>
      </c>
      <c r="S8597" t="s">
        <v>41551</v>
      </c>
      <c r="T8597" t="s">
        <v>42883</v>
      </c>
      <c r="U8597" t="s">
        <v>50181</v>
      </c>
      <c r="W8597" t="s">
        <v>40304</v>
      </c>
      <c r="X8597" t="s">
        <v>41259</v>
      </c>
    </row>
    <row r="8598" spans="1:24">
      <c r="A8598">
        <f>HYPERLINK("https://www.philgeps.gov.ph/GEPSNONPILOT/Tender/SplashBidNoticeAbstractUI.aspx?menuIndex=3&amp;refID=7066939&amp;Result=3","7066939")</f>
        <v>0</v>
      </c>
      <c r="B8598" t="s">
        <v>2605</v>
      </c>
      <c r="C8598" t="s">
        <v>11588</v>
      </c>
      <c r="D8598" t="s">
        <v>16608</v>
      </c>
      <c r="E8598" t="s">
        <v>24211</v>
      </c>
      <c r="F8598" t="s">
        <v>28669</v>
      </c>
      <c r="G8598" t="s">
        <v>28675</v>
      </c>
      <c r="H8598" t="s">
        <v>9998</v>
      </c>
      <c r="I8598" t="s">
        <v>28731</v>
      </c>
      <c r="J8598" t="s">
        <v>34174</v>
      </c>
      <c r="K8598" t="s">
        <v>37220</v>
      </c>
      <c r="M8598" t="s">
        <v>40301</v>
      </c>
      <c r="N8598" t="s">
        <v>41249</v>
      </c>
      <c r="O8598" t="s">
        <v>41250</v>
      </c>
      <c r="Q8598">
        <v>20</v>
      </c>
      <c r="R8598" t="s">
        <v>41258</v>
      </c>
      <c r="S8598" t="s">
        <v>41552</v>
      </c>
      <c r="T8598" t="s">
        <v>42680</v>
      </c>
      <c r="U8598" t="s">
        <v>50167</v>
      </c>
      <c r="V8598" t="s">
        <v>55224</v>
      </c>
      <c r="W8598" t="s">
        <v>40301</v>
      </c>
      <c r="X8598" t="s">
        <v>41259</v>
      </c>
    </row>
    <row r="8599" spans="1:24">
      <c r="A8599">
        <f>HYPERLINK("https://www.philgeps.gov.ph/GEPSNONPILOT/Tender/SplashBidNoticeAbstractUI.aspx?menuIndex=3&amp;refID=7066890&amp;Result=3","7066890")</f>
        <v>0</v>
      </c>
      <c r="B8599" t="s">
        <v>2604</v>
      </c>
      <c r="C8599" t="s">
        <v>11589</v>
      </c>
      <c r="D8599" t="s">
        <v>16608</v>
      </c>
      <c r="E8599" t="s">
        <v>24212</v>
      </c>
      <c r="F8599" t="s">
        <v>28669</v>
      </c>
      <c r="G8599" t="s">
        <v>28675</v>
      </c>
      <c r="H8599" t="s">
        <v>9998</v>
      </c>
      <c r="I8599" t="s">
        <v>11593</v>
      </c>
      <c r="J8599" t="s">
        <v>34175</v>
      </c>
      <c r="K8599" t="s">
        <v>37215</v>
      </c>
      <c r="M8599" t="s">
        <v>40300</v>
      </c>
      <c r="N8599" t="s">
        <v>41249</v>
      </c>
      <c r="O8599" t="s">
        <v>41250</v>
      </c>
      <c r="P8599">
        <v>0</v>
      </c>
      <c r="Q8599">
        <v>24</v>
      </c>
      <c r="R8599" t="s">
        <v>41258</v>
      </c>
      <c r="S8599" t="s">
        <v>41513</v>
      </c>
      <c r="T8599" t="s">
        <v>42911</v>
      </c>
      <c r="U8599" t="s">
        <v>50182</v>
      </c>
      <c r="W8599" t="s">
        <v>40300</v>
      </c>
      <c r="X8599" t="s">
        <v>41259</v>
      </c>
    </row>
    <row r="8600" spans="1:24">
      <c r="A8600">
        <f>HYPERLINK("https://www.philgeps.gov.ph/GEPSNONPILOT/Tender/SplashBidNoticeAbstractUI.aspx?menuIndex=3&amp;refID=7066930&amp;Result=3","7066930")</f>
        <v>0</v>
      </c>
      <c r="B8600" t="s">
        <v>1953</v>
      </c>
      <c r="C8600" t="s">
        <v>11590</v>
      </c>
      <c r="D8600" t="s">
        <v>16611</v>
      </c>
      <c r="E8600" t="s">
        <v>24213</v>
      </c>
      <c r="F8600" t="s">
        <v>28669</v>
      </c>
      <c r="G8600" t="s">
        <v>28675</v>
      </c>
      <c r="H8600" t="s">
        <v>9998</v>
      </c>
      <c r="I8600" t="s">
        <v>28800</v>
      </c>
      <c r="J8600" t="s">
        <v>29003</v>
      </c>
      <c r="K8600" t="s">
        <v>37220</v>
      </c>
      <c r="M8600" t="s">
        <v>39585</v>
      </c>
      <c r="N8600" t="s">
        <v>41249</v>
      </c>
      <c r="O8600" t="s">
        <v>41250</v>
      </c>
      <c r="P8600">
        <v>0</v>
      </c>
      <c r="Q8600">
        <v>5</v>
      </c>
      <c r="R8600" t="s">
        <v>41258</v>
      </c>
      <c r="S8600" t="s">
        <v>41513</v>
      </c>
      <c r="T8600" t="s">
        <v>42729</v>
      </c>
      <c r="U8600" t="s">
        <v>47969</v>
      </c>
      <c r="V8600" t="s">
        <v>54899</v>
      </c>
      <c r="W8600" t="s">
        <v>39585</v>
      </c>
      <c r="X8600" t="s">
        <v>41259</v>
      </c>
    </row>
    <row r="8601" spans="1:24">
      <c r="A8601">
        <f>HYPERLINK("https://www.philgeps.gov.ph/GEPSNONPILOT/Tender/SplashBidNoticeAbstractUI.aspx?menuIndex=3&amp;refID=7066964&amp;Result=3","7066964")</f>
        <v>0</v>
      </c>
      <c r="B8601" t="s">
        <v>1542</v>
      </c>
      <c r="C8601" t="s">
        <v>11591</v>
      </c>
      <c r="D8601" t="s">
        <v>16640</v>
      </c>
      <c r="E8601" t="s">
        <v>18465</v>
      </c>
      <c r="F8601" t="s">
        <v>28669</v>
      </c>
      <c r="G8601" t="s">
        <v>28675</v>
      </c>
      <c r="H8601" t="s">
        <v>28686</v>
      </c>
      <c r="I8601" t="s">
        <v>28689</v>
      </c>
      <c r="J8601" t="s">
        <v>34176</v>
      </c>
      <c r="K8601" t="s">
        <v>37212</v>
      </c>
      <c r="M8601" t="s">
        <v>40305</v>
      </c>
      <c r="N8601" t="s">
        <v>41249</v>
      </c>
      <c r="O8601" t="s">
        <v>41250</v>
      </c>
      <c r="Q8601">
        <v>2</v>
      </c>
      <c r="R8601" t="s">
        <v>41258</v>
      </c>
      <c r="S8601" t="s">
        <v>41553</v>
      </c>
      <c r="T8601" t="s">
        <v>42761</v>
      </c>
      <c r="U8601" t="s">
        <v>50183</v>
      </c>
      <c r="V8601" t="s">
        <v>45818</v>
      </c>
      <c r="W8601" t="s">
        <v>56003</v>
      </c>
      <c r="X8601" t="s">
        <v>41259</v>
      </c>
    </row>
    <row r="8602" spans="1:24">
      <c r="A8602">
        <f>HYPERLINK("https://www.philgeps.gov.ph/GEPSNONPILOT/Tender/SplashBidNoticeAbstractUI.aspx?menuIndex=3&amp;refID=7066926&amp;Result=3","7066926")</f>
        <v>0</v>
      </c>
      <c r="B8602" t="s">
        <v>792</v>
      </c>
      <c r="C8602" t="s">
        <v>11592</v>
      </c>
      <c r="D8602" t="s">
        <v>16640</v>
      </c>
      <c r="E8602" t="s">
        <v>18370</v>
      </c>
      <c r="F8602" t="s">
        <v>28669</v>
      </c>
      <c r="G8602" t="s">
        <v>28675</v>
      </c>
      <c r="H8602" t="s">
        <v>9998</v>
      </c>
      <c r="I8602" t="s">
        <v>28695</v>
      </c>
      <c r="J8602" t="s">
        <v>34177</v>
      </c>
      <c r="K8602" t="s">
        <v>37204</v>
      </c>
      <c r="M8602" t="s">
        <v>38306</v>
      </c>
      <c r="N8602" t="s">
        <v>41249</v>
      </c>
      <c r="O8602" t="s">
        <v>41250</v>
      </c>
      <c r="Q8602">
        <v>2</v>
      </c>
      <c r="R8602" t="s">
        <v>41258</v>
      </c>
      <c r="S8602" t="s">
        <v>41554</v>
      </c>
      <c r="T8602" t="s">
        <v>42739</v>
      </c>
      <c r="U8602" t="s">
        <v>50184</v>
      </c>
      <c r="V8602" t="s">
        <v>54474</v>
      </c>
      <c r="W8602" t="s">
        <v>38306</v>
      </c>
      <c r="X8602" t="s">
        <v>41259</v>
      </c>
    </row>
    <row r="8603" spans="1:24">
      <c r="A8603">
        <f>HYPERLINK("https://www.philgeps.gov.ph/GEPSNONPILOT/Tender/SplashBidNoticeAbstractUI.aspx?menuIndex=3&amp;refID=7066951&amp;Result=3","7066951")</f>
        <v>0</v>
      </c>
      <c r="B8603" t="s">
        <v>2609</v>
      </c>
      <c r="C8603" t="s">
        <v>11593</v>
      </c>
      <c r="D8603" t="s">
        <v>16663</v>
      </c>
      <c r="E8603" t="s">
        <v>24214</v>
      </c>
      <c r="F8603" t="s">
        <v>28669</v>
      </c>
      <c r="G8603" t="s">
        <v>28677</v>
      </c>
      <c r="H8603" t="s">
        <v>9998</v>
      </c>
      <c r="I8603" t="s">
        <v>11593</v>
      </c>
      <c r="J8603" t="s">
        <v>28912</v>
      </c>
      <c r="K8603" t="s">
        <v>37208</v>
      </c>
      <c r="M8603" t="s">
        <v>40306</v>
      </c>
      <c r="N8603" t="s">
        <v>41249</v>
      </c>
      <c r="O8603" t="s">
        <v>41250</v>
      </c>
      <c r="P8603">
        <v>0</v>
      </c>
      <c r="Q8603">
        <v>1</v>
      </c>
      <c r="R8603" t="s">
        <v>41258</v>
      </c>
      <c r="S8603" t="s">
        <v>41513</v>
      </c>
      <c r="T8603" t="s">
        <v>43073</v>
      </c>
      <c r="U8603" t="s">
        <v>50185</v>
      </c>
      <c r="W8603" t="s">
        <v>40306</v>
      </c>
      <c r="X8603" t="s">
        <v>41259</v>
      </c>
    </row>
    <row r="8604" spans="1:24">
      <c r="A8604">
        <f>HYPERLINK("https://www.philgeps.gov.ph/GEPSNONPILOT/Tender/SplashBidNoticeAbstractUI.aspx?menuIndex=3&amp;refID=7066924&amp;Result=3","7066924")</f>
        <v>0</v>
      </c>
      <c r="B8604" t="s">
        <v>2610</v>
      </c>
      <c r="C8604" t="s">
        <v>11594</v>
      </c>
      <c r="D8604" t="s">
        <v>16642</v>
      </c>
      <c r="E8604" t="s">
        <v>24215</v>
      </c>
      <c r="F8604" t="s">
        <v>28669</v>
      </c>
      <c r="G8604" t="s">
        <v>28675</v>
      </c>
      <c r="H8604" t="s">
        <v>28686</v>
      </c>
      <c r="I8604" t="s">
        <v>28689</v>
      </c>
      <c r="J8604" t="s">
        <v>34178</v>
      </c>
      <c r="K8604" t="s">
        <v>37215</v>
      </c>
      <c r="M8604" t="s">
        <v>40307</v>
      </c>
      <c r="N8604" t="s">
        <v>41249</v>
      </c>
      <c r="O8604" t="s">
        <v>41250</v>
      </c>
      <c r="Q8604">
        <v>0</v>
      </c>
      <c r="R8604" t="s">
        <v>41258</v>
      </c>
      <c r="S8604" t="s">
        <v>41522</v>
      </c>
      <c r="T8604" t="s">
        <v>42673</v>
      </c>
      <c r="U8604" t="s">
        <v>50186</v>
      </c>
      <c r="V8604" t="s">
        <v>55227</v>
      </c>
      <c r="W8604" t="s">
        <v>40307</v>
      </c>
      <c r="X8604" t="s">
        <v>41259</v>
      </c>
    </row>
    <row r="8605" spans="1:24">
      <c r="A8605">
        <f>HYPERLINK("https://www.philgeps.gov.ph/GEPSNONPILOT/Tender/SplashBidNoticeAbstractUI.aspx?menuIndex=3&amp;refID=7066950&amp;Result=3","7066950")</f>
        <v>0</v>
      </c>
      <c r="B8605" t="s">
        <v>2611</v>
      </c>
      <c r="C8605" t="s">
        <v>11595</v>
      </c>
      <c r="D8605" t="s">
        <v>16608</v>
      </c>
      <c r="E8605" t="s">
        <v>24216</v>
      </c>
      <c r="F8605" t="s">
        <v>28669</v>
      </c>
      <c r="G8605" t="s">
        <v>28675</v>
      </c>
      <c r="H8605" t="s">
        <v>9998</v>
      </c>
      <c r="I8605" t="s">
        <v>5213</v>
      </c>
      <c r="J8605" t="s">
        <v>29538</v>
      </c>
      <c r="K8605" t="s">
        <v>37243</v>
      </c>
      <c r="M8605" t="s">
        <v>40308</v>
      </c>
      <c r="N8605" t="s">
        <v>41249</v>
      </c>
      <c r="O8605" t="s">
        <v>41250</v>
      </c>
      <c r="P8605">
        <v>0</v>
      </c>
      <c r="Q8605">
        <v>1</v>
      </c>
      <c r="R8605" t="s">
        <v>41258</v>
      </c>
      <c r="S8605" t="s">
        <v>41513</v>
      </c>
      <c r="T8605" t="s">
        <v>42883</v>
      </c>
      <c r="U8605" t="s">
        <v>50187</v>
      </c>
      <c r="W8605" t="s">
        <v>40308</v>
      </c>
      <c r="X8605" t="s">
        <v>41259</v>
      </c>
    </row>
    <row r="8606" spans="1:24">
      <c r="A8606">
        <f>HYPERLINK("https://www.philgeps.gov.ph/GEPSNONPILOT/Tender/SplashBidNoticeAbstractUI.aspx?menuIndex=3&amp;refID=7066921&amp;Result=3","7066921")</f>
        <v>0</v>
      </c>
      <c r="B8606" t="s">
        <v>2365</v>
      </c>
      <c r="C8606" t="s">
        <v>11596</v>
      </c>
      <c r="D8606" t="s">
        <v>16628</v>
      </c>
      <c r="E8606" t="s">
        <v>24217</v>
      </c>
      <c r="F8606" t="s">
        <v>28669</v>
      </c>
      <c r="G8606" t="s">
        <v>28675</v>
      </c>
      <c r="H8606" t="s">
        <v>9998</v>
      </c>
      <c r="I8606" t="s">
        <v>7352</v>
      </c>
      <c r="J8606" t="s">
        <v>34179</v>
      </c>
      <c r="K8606" t="s">
        <v>37206</v>
      </c>
      <c r="M8606" t="s">
        <v>40034</v>
      </c>
      <c r="N8606" t="s">
        <v>41249</v>
      </c>
      <c r="O8606" t="s">
        <v>41250</v>
      </c>
      <c r="P8606">
        <v>0</v>
      </c>
      <c r="Q8606">
        <v>3</v>
      </c>
      <c r="R8606" t="s">
        <v>41258</v>
      </c>
      <c r="S8606" t="s">
        <v>41513</v>
      </c>
      <c r="T8606" t="s">
        <v>42929</v>
      </c>
      <c r="U8606" t="s">
        <v>50143</v>
      </c>
      <c r="W8606" t="s">
        <v>40034</v>
      </c>
      <c r="X8606" t="s">
        <v>41259</v>
      </c>
    </row>
    <row r="8607" spans="1:24">
      <c r="A8607">
        <f>HYPERLINK("https://www.philgeps.gov.ph/GEPSNONPILOT/Tender/SplashBidNoticeAbstractUI.aspx?menuIndex=3&amp;refID=7066932&amp;Result=3","7066932")</f>
        <v>0</v>
      </c>
      <c r="B8607" t="s">
        <v>943</v>
      </c>
      <c r="C8607" t="s">
        <v>11597</v>
      </c>
      <c r="D8607" t="s">
        <v>16665</v>
      </c>
      <c r="E8607" t="s">
        <v>24218</v>
      </c>
      <c r="F8607" t="s">
        <v>28673</v>
      </c>
      <c r="G8607" t="s">
        <v>28676</v>
      </c>
      <c r="H8607" t="s">
        <v>9998</v>
      </c>
      <c r="I8607" t="s">
        <v>28721</v>
      </c>
      <c r="J8607" t="s">
        <v>29325</v>
      </c>
      <c r="K8607" t="s">
        <v>37208</v>
      </c>
      <c r="M8607" t="s">
        <v>38466</v>
      </c>
      <c r="N8607" t="s">
        <v>41249</v>
      </c>
      <c r="O8607" t="s">
        <v>41250</v>
      </c>
      <c r="P8607">
        <v>0</v>
      </c>
      <c r="Q8607">
        <v>12</v>
      </c>
      <c r="R8607" t="s">
        <v>41258</v>
      </c>
      <c r="S8607" t="s">
        <v>41513</v>
      </c>
      <c r="T8607" t="s">
        <v>42883</v>
      </c>
      <c r="U8607" t="s">
        <v>45456</v>
      </c>
      <c r="W8607" t="s">
        <v>38466</v>
      </c>
      <c r="X8607" t="s">
        <v>41259</v>
      </c>
    </row>
    <row r="8608" spans="1:24">
      <c r="A8608">
        <f>HYPERLINK("https://www.philgeps.gov.ph/GEPSNONPILOT/Tender/SplashBidNoticeAbstractUI.aspx?menuIndex=3&amp;refID=7066967&amp;Result=3","7066967")</f>
        <v>0</v>
      </c>
      <c r="B8608" t="s">
        <v>792</v>
      </c>
      <c r="C8608" t="s">
        <v>11598</v>
      </c>
      <c r="D8608" t="s">
        <v>16640</v>
      </c>
      <c r="E8608" t="s">
        <v>24219</v>
      </c>
      <c r="F8608" t="s">
        <v>28669</v>
      </c>
      <c r="G8608" t="s">
        <v>28675</v>
      </c>
      <c r="H8608" t="s">
        <v>9998</v>
      </c>
      <c r="I8608" t="s">
        <v>28695</v>
      </c>
      <c r="J8608" t="s">
        <v>34180</v>
      </c>
      <c r="K8608" t="s">
        <v>37204</v>
      </c>
      <c r="M8608" t="s">
        <v>38306</v>
      </c>
      <c r="N8608" t="s">
        <v>41249</v>
      </c>
      <c r="O8608" t="s">
        <v>41250</v>
      </c>
      <c r="Q8608">
        <v>3</v>
      </c>
      <c r="R8608" t="s">
        <v>41258</v>
      </c>
      <c r="S8608" t="s">
        <v>41555</v>
      </c>
      <c r="T8608" t="s">
        <v>43074</v>
      </c>
      <c r="U8608" t="s">
        <v>50188</v>
      </c>
      <c r="V8608" t="s">
        <v>54474</v>
      </c>
      <c r="W8608" t="s">
        <v>38306</v>
      </c>
      <c r="X8608" t="s">
        <v>41259</v>
      </c>
    </row>
    <row r="8609" spans="1:24">
      <c r="A8609">
        <f>HYPERLINK("https://www.philgeps.gov.ph/GEPSNONPILOT/Tender/SplashBidNoticeAbstractUI.aspx?menuIndex=3&amp;refID=7066914&amp;Result=3","7066914")</f>
        <v>0</v>
      </c>
      <c r="B8609" t="s">
        <v>2605</v>
      </c>
      <c r="C8609" t="s">
        <v>11599</v>
      </c>
      <c r="D8609" t="s">
        <v>16608</v>
      </c>
      <c r="E8609" t="s">
        <v>24220</v>
      </c>
      <c r="F8609" t="s">
        <v>28669</v>
      </c>
      <c r="G8609" t="s">
        <v>28675</v>
      </c>
      <c r="H8609" t="s">
        <v>9998</v>
      </c>
      <c r="I8609" t="s">
        <v>28708</v>
      </c>
      <c r="J8609" t="s">
        <v>34181</v>
      </c>
      <c r="K8609" t="s">
        <v>37206</v>
      </c>
      <c r="M8609" t="s">
        <v>40301</v>
      </c>
      <c r="N8609" t="s">
        <v>41249</v>
      </c>
      <c r="O8609" t="s">
        <v>41250</v>
      </c>
      <c r="Q8609">
        <v>8</v>
      </c>
      <c r="R8609" t="s">
        <v>41258</v>
      </c>
      <c r="S8609" t="s">
        <v>41556</v>
      </c>
      <c r="T8609" t="s">
        <v>42680</v>
      </c>
      <c r="U8609" t="s">
        <v>50167</v>
      </c>
      <c r="V8609" t="s">
        <v>55224</v>
      </c>
      <c r="W8609" t="s">
        <v>40301</v>
      </c>
      <c r="X8609" t="s">
        <v>41259</v>
      </c>
    </row>
    <row r="8610" spans="1:24">
      <c r="A8610">
        <f>HYPERLINK("https://www.philgeps.gov.ph/GEPSNONPILOT/Tender/SplashBidNoticeAbstractUI.aspx?menuIndex=3&amp;refID=7066912&amp;Result=3","7066912")</f>
        <v>0</v>
      </c>
      <c r="B8610" t="s">
        <v>2612</v>
      </c>
      <c r="C8610" t="s">
        <v>7905</v>
      </c>
      <c r="D8610" t="s">
        <v>16608</v>
      </c>
      <c r="E8610" t="s">
        <v>24221</v>
      </c>
      <c r="F8610" t="s">
        <v>28669</v>
      </c>
      <c r="G8610" t="s">
        <v>28675</v>
      </c>
      <c r="H8610" t="s">
        <v>9998</v>
      </c>
      <c r="I8610" t="s">
        <v>5213</v>
      </c>
      <c r="J8610" t="s">
        <v>28879</v>
      </c>
      <c r="K8610" t="s">
        <v>37243</v>
      </c>
      <c r="M8610" t="s">
        <v>40309</v>
      </c>
      <c r="N8610" t="s">
        <v>41249</v>
      </c>
      <c r="O8610" t="s">
        <v>41250</v>
      </c>
      <c r="P8610">
        <v>0</v>
      </c>
      <c r="Q8610">
        <v>0</v>
      </c>
      <c r="R8610" t="s">
        <v>41258</v>
      </c>
      <c r="S8610" t="s">
        <v>41513</v>
      </c>
      <c r="T8610" t="s">
        <v>42991</v>
      </c>
      <c r="U8610" t="s">
        <v>50189</v>
      </c>
      <c r="W8610" t="s">
        <v>40309</v>
      </c>
      <c r="X8610" t="s">
        <v>41259</v>
      </c>
    </row>
    <row r="8611" spans="1:24">
      <c r="A8611">
        <f>HYPERLINK("https://www.philgeps.gov.ph/GEPSNONPILOT/Tender/SplashBidNoticeAbstractUI.aspx?menuIndex=3&amp;refID=7066899&amp;Result=3","7066899")</f>
        <v>0</v>
      </c>
      <c r="B8611" t="s">
        <v>2613</v>
      </c>
      <c r="C8611" t="s">
        <v>11600</v>
      </c>
      <c r="D8611" t="s">
        <v>16615</v>
      </c>
      <c r="E8611" t="s">
        <v>24222</v>
      </c>
      <c r="F8611" t="s">
        <v>28669</v>
      </c>
      <c r="G8611" t="s">
        <v>28677</v>
      </c>
      <c r="H8611" t="s">
        <v>9998</v>
      </c>
      <c r="I8611" t="s">
        <v>28782</v>
      </c>
      <c r="J8611" t="s">
        <v>29523</v>
      </c>
      <c r="K8611" t="s">
        <v>37243</v>
      </c>
      <c r="M8611" t="s">
        <v>40310</v>
      </c>
      <c r="N8611" t="s">
        <v>41249</v>
      </c>
      <c r="O8611" t="s">
        <v>41250</v>
      </c>
      <c r="P8611">
        <v>0</v>
      </c>
      <c r="Q8611">
        <v>0</v>
      </c>
      <c r="R8611" t="s">
        <v>41258</v>
      </c>
      <c r="S8611" t="s">
        <v>41513</v>
      </c>
      <c r="T8611" t="s">
        <v>42701</v>
      </c>
      <c r="U8611" t="s">
        <v>50190</v>
      </c>
      <c r="W8611" t="s">
        <v>40310</v>
      </c>
      <c r="X8611" t="s">
        <v>41259</v>
      </c>
    </row>
    <row r="8612" spans="1:24">
      <c r="A8612">
        <f>HYPERLINK("https://www.philgeps.gov.ph/GEPSNONPILOT/Tender/SplashBidNoticeAbstractUI.aspx?menuIndex=3&amp;refID=7066959&amp;Result=3","7066959")</f>
        <v>0</v>
      </c>
      <c r="B8612" t="s">
        <v>473</v>
      </c>
      <c r="C8612" t="s">
        <v>11601</v>
      </c>
      <c r="D8612" t="s">
        <v>16647</v>
      </c>
      <c r="E8612" t="s">
        <v>24223</v>
      </c>
      <c r="F8612" t="s">
        <v>28669</v>
      </c>
      <c r="G8612" t="s">
        <v>28675</v>
      </c>
      <c r="H8612" t="s">
        <v>9998</v>
      </c>
      <c r="I8612" t="s">
        <v>28694</v>
      </c>
      <c r="J8612" t="s">
        <v>34182</v>
      </c>
      <c r="K8612" t="s">
        <v>37204</v>
      </c>
      <c r="M8612" t="s">
        <v>37961</v>
      </c>
      <c r="N8612" t="s">
        <v>41249</v>
      </c>
      <c r="O8612" t="s">
        <v>41250</v>
      </c>
      <c r="P8612">
        <v>0</v>
      </c>
      <c r="Q8612">
        <v>1</v>
      </c>
      <c r="R8612" t="s">
        <v>41258</v>
      </c>
      <c r="S8612" t="s">
        <v>41513</v>
      </c>
      <c r="T8612" t="s">
        <v>42727</v>
      </c>
      <c r="U8612" t="s">
        <v>50191</v>
      </c>
      <c r="W8612" t="s">
        <v>37961</v>
      </c>
      <c r="X8612" t="s">
        <v>41259</v>
      </c>
    </row>
    <row r="8613" spans="1:24">
      <c r="A8613">
        <f>HYPERLINK("https://www.philgeps.gov.ph/GEPSNONPILOT/Tender/SplashBidNoticeAbstractUI.aspx?menuIndex=3&amp;refID=7066988&amp;Result=3","7066988")</f>
        <v>0</v>
      </c>
      <c r="B8613" t="s">
        <v>1953</v>
      </c>
      <c r="C8613" t="s">
        <v>11602</v>
      </c>
      <c r="D8613" t="s">
        <v>16656</v>
      </c>
      <c r="E8613" t="s">
        <v>24224</v>
      </c>
      <c r="F8613" t="s">
        <v>28669</v>
      </c>
      <c r="G8613" t="s">
        <v>28675</v>
      </c>
      <c r="H8613" t="s">
        <v>9998</v>
      </c>
      <c r="I8613" t="s">
        <v>28772</v>
      </c>
      <c r="J8613" t="s">
        <v>28942</v>
      </c>
      <c r="K8613" t="s">
        <v>37206</v>
      </c>
      <c r="M8613" t="s">
        <v>39585</v>
      </c>
      <c r="N8613" t="s">
        <v>41249</v>
      </c>
      <c r="O8613" t="s">
        <v>41250</v>
      </c>
      <c r="P8613">
        <v>0</v>
      </c>
      <c r="Q8613">
        <v>2</v>
      </c>
      <c r="R8613" t="s">
        <v>41258</v>
      </c>
      <c r="S8613" t="s">
        <v>41513</v>
      </c>
      <c r="T8613" t="s">
        <v>42729</v>
      </c>
      <c r="U8613" t="s">
        <v>47969</v>
      </c>
      <c r="V8613" t="s">
        <v>55228</v>
      </c>
      <c r="W8613" t="s">
        <v>39585</v>
      </c>
      <c r="X8613" t="s">
        <v>41259</v>
      </c>
    </row>
    <row r="8614" spans="1:24">
      <c r="A8614">
        <f>HYPERLINK("https://www.philgeps.gov.ph/GEPSNONPILOT/Tender/SplashBidNoticeAbstractUI.aspx?menuIndex=3&amp;refID=7067027&amp;Result=3","7067027")</f>
        <v>0</v>
      </c>
      <c r="B8614" t="s">
        <v>1935</v>
      </c>
      <c r="C8614" t="s">
        <v>11603</v>
      </c>
      <c r="E8614" t="s">
        <v>24225</v>
      </c>
      <c r="F8614" t="s">
        <v>28669</v>
      </c>
      <c r="G8614" t="s">
        <v>28675</v>
      </c>
      <c r="H8614" t="s">
        <v>9998</v>
      </c>
      <c r="I8614" t="s">
        <v>5286</v>
      </c>
      <c r="J8614" t="s">
        <v>34183</v>
      </c>
      <c r="K8614" t="s">
        <v>37209</v>
      </c>
      <c r="M8614" t="s">
        <v>39562</v>
      </c>
      <c r="N8614" t="s">
        <v>41249</v>
      </c>
      <c r="O8614" t="s">
        <v>41250</v>
      </c>
      <c r="P8614">
        <v>0</v>
      </c>
      <c r="Q8614">
        <v>2</v>
      </c>
      <c r="R8614" t="s">
        <v>41258</v>
      </c>
      <c r="S8614" t="s">
        <v>41513</v>
      </c>
      <c r="T8614" t="s">
        <v>42738</v>
      </c>
      <c r="U8614" t="s">
        <v>47924</v>
      </c>
      <c r="W8614" t="s">
        <v>39562</v>
      </c>
      <c r="X8614" t="s">
        <v>41259</v>
      </c>
    </row>
    <row r="8615" spans="1:24">
      <c r="A8615">
        <f>HYPERLINK("https://www.philgeps.gov.ph/GEPSNONPILOT/Tender/SplashBidNoticeAbstractUI.aspx?menuIndex=3&amp;refID=7066952&amp;Result=3","7066952")</f>
        <v>0</v>
      </c>
      <c r="B8615" t="s">
        <v>2596</v>
      </c>
      <c r="C8615" t="s">
        <v>11604</v>
      </c>
      <c r="D8615" t="s">
        <v>16668</v>
      </c>
      <c r="E8615" t="s">
        <v>19966</v>
      </c>
      <c r="F8615" t="s">
        <v>28669</v>
      </c>
      <c r="G8615" t="s">
        <v>28675</v>
      </c>
      <c r="H8615" t="s">
        <v>28686</v>
      </c>
      <c r="I8615" t="s">
        <v>28689</v>
      </c>
      <c r="J8615" t="s">
        <v>34184</v>
      </c>
      <c r="K8615" t="s">
        <v>37223</v>
      </c>
      <c r="M8615" t="s">
        <v>40291</v>
      </c>
      <c r="N8615" t="s">
        <v>41249</v>
      </c>
      <c r="O8615" t="s">
        <v>41250</v>
      </c>
      <c r="P8615">
        <v>0</v>
      </c>
      <c r="Q8615">
        <v>0</v>
      </c>
      <c r="R8615" t="s">
        <v>41258</v>
      </c>
      <c r="S8615" t="s">
        <v>41513</v>
      </c>
      <c r="T8615" t="s">
        <v>42755</v>
      </c>
      <c r="U8615" t="s">
        <v>50192</v>
      </c>
      <c r="W8615" t="s">
        <v>40291</v>
      </c>
      <c r="X8615" t="s">
        <v>41259</v>
      </c>
    </row>
    <row r="8616" spans="1:24">
      <c r="A8616">
        <f>HYPERLINK("https://www.philgeps.gov.ph/GEPSNONPILOT/Tender/SplashBidNoticeAbstractUI.aspx?menuIndex=3&amp;refID=7067051&amp;Result=3","7067051")</f>
        <v>0</v>
      </c>
      <c r="B8616" t="s">
        <v>1466</v>
      </c>
      <c r="C8616" t="s">
        <v>11605</v>
      </c>
      <c r="D8616" t="s">
        <v>16679</v>
      </c>
      <c r="E8616" t="s">
        <v>24226</v>
      </c>
      <c r="F8616" t="s">
        <v>28669</v>
      </c>
      <c r="G8616" t="s">
        <v>28675</v>
      </c>
      <c r="H8616" t="s">
        <v>28686</v>
      </c>
      <c r="I8616" t="s">
        <v>28689</v>
      </c>
      <c r="J8616" t="s">
        <v>31313</v>
      </c>
      <c r="K8616" t="s">
        <v>37213</v>
      </c>
      <c r="M8616" t="s">
        <v>39034</v>
      </c>
      <c r="N8616" t="s">
        <v>41249</v>
      </c>
      <c r="O8616" t="s">
        <v>41250</v>
      </c>
      <c r="P8616">
        <v>0</v>
      </c>
      <c r="Q8616">
        <v>4</v>
      </c>
      <c r="R8616" t="s">
        <v>41258</v>
      </c>
      <c r="S8616" t="s">
        <v>41513</v>
      </c>
      <c r="T8616" t="s">
        <v>42911</v>
      </c>
      <c r="U8616" t="s">
        <v>50072</v>
      </c>
      <c r="W8616" t="s">
        <v>55956</v>
      </c>
      <c r="X8616" t="s">
        <v>41259</v>
      </c>
    </row>
    <row r="8617" spans="1:24">
      <c r="A8617">
        <f>HYPERLINK("https://www.philgeps.gov.ph/GEPSNONPILOT/Tender/SplashBidNoticeAbstractUI.aspx?menuIndex=3&amp;refID=7067024&amp;Result=3","7067024")</f>
        <v>0</v>
      </c>
      <c r="B8617" t="s">
        <v>2614</v>
      </c>
      <c r="C8617" t="s">
        <v>11606</v>
      </c>
      <c r="D8617" t="s">
        <v>16622</v>
      </c>
      <c r="E8617" t="s">
        <v>24227</v>
      </c>
      <c r="F8617" t="s">
        <v>28669</v>
      </c>
      <c r="G8617" t="s">
        <v>28675</v>
      </c>
      <c r="H8617" t="s">
        <v>9998</v>
      </c>
      <c r="I8617" t="s">
        <v>7352</v>
      </c>
      <c r="J8617" t="s">
        <v>34185</v>
      </c>
      <c r="K8617" t="s">
        <v>37206</v>
      </c>
      <c r="M8617" t="s">
        <v>40311</v>
      </c>
      <c r="N8617" t="s">
        <v>41249</v>
      </c>
      <c r="O8617" t="s">
        <v>41250</v>
      </c>
      <c r="P8617">
        <v>0</v>
      </c>
      <c r="Q8617">
        <v>1</v>
      </c>
      <c r="R8617" t="s">
        <v>41258</v>
      </c>
      <c r="S8617" t="s">
        <v>41513</v>
      </c>
      <c r="T8617" t="s">
        <v>42758</v>
      </c>
      <c r="U8617" t="s">
        <v>50193</v>
      </c>
      <c r="W8617" t="s">
        <v>40311</v>
      </c>
      <c r="X8617" t="s">
        <v>41259</v>
      </c>
    </row>
    <row r="8618" spans="1:24">
      <c r="A8618">
        <f>HYPERLINK("https://www.philgeps.gov.ph/GEPSNONPILOT/Tender/SplashBidNoticeAbstractUI.aspx?menuIndex=3&amp;refID=7067010&amp;Result=3","7067010")</f>
        <v>0</v>
      </c>
      <c r="B8618" t="s">
        <v>2295</v>
      </c>
      <c r="C8618" t="s">
        <v>11607</v>
      </c>
      <c r="E8618" t="s">
        <v>24228</v>
      </c>
      <c r="F8618" t="s">
        <v>28669</v>
      </c>
      <c r="G8618" t="s">
        <v>28682</v>
      </c>
      <c r="H8618" t="s">
        <v>9998</v>
      </c>
      <c r="I8618" t="s">
        <v>28736</v>
      </c>
      <c r="J8618" t="s">
        <v>34186</v>
      </c>
      <c r="K8618" t="s">
        <v>37206</v>
      </c>
      <c r="M8618" t="s">
        <v>39952</v>
      </c>
      <c r="N8618" t="s">
        <v>41249</v>
      </c>
      <c r="O8618" t="s">
        <v>41250</v>
      </c>
      <c r="P8618">
        <v>0</v>
      </c>
      <c r="Q8618">
        <v>0</v>
      </c>
      <c r="R8618" t="s">
        <v>41258</v>
      </c>
      <c r="S8618" t="s">
        <v>41513</v>
      </c>
      <c r="T8618" t="s">
        <v>42760</v>
      </c>
      <c r="U8618" t="s">
        <v>50194</v>
      </c>
      <c r="V8618" t="s">
        <v>55229</v>
      </c>
      <c r="W8618" t="s">
        <v>39952</v>
      </c>
      <c r="X8618" t="s">
        <v>41259</v>
      </c>
    </row>
    <row r="8619" spans="1:24">
      <c r="A8619">
        <f>HYPERLINK("https://www.philgeps.gov.ph/GEPSNONPILOT/Tender/SplashBidNoticeAbstractUI.aspx?menuIndex=3&amp;refID=7067008&amp;Result=3","7067008")</f>
        <v>0</v>
      </c>
      <c r="B8619" t="s">
        <v>2615</v>
      </c>
      <c r="C8619" t="s">
        <v>11608</v>
      </c>
      <c r="D8619" t="s">
        <v>16663</v>
      </c>
      <c r="E8619" t="s">
        <v>24229</v>
      </c>
      <c r="F8619" t="s">
        <v>28669</v>
      </c>
      <c r="G8619" t="s">
        <v>28676</v>
      </c>
      <c r="H8619" t="s">
        <v>9998</v>
      </c>
      <c r="I8619" t="s">
        <v>28697</v>
      </c>
      <c r="J8619" t="s">
        <v>34187</v>
      </c>
      <c r="K8619" t="s">
        <v>37227</v>
      </c>
      <c r="M8619" t="s">
        <v>40312</v>
      </c>
      <c r="N8619" t="s">
        <v>41249</v>
      </c>
      <c r="O8619" t="s">
        <v>41250</v>
      </c>
      <c r="P8619">
        <v>0</v>
      </c>
      <c r="Q8619">
        <v>14</v>
      </c>
      <c r="R8619" t="s">
        <v>41258</v>
      </c>
      <c r="S8619" t="s">
        <v>41513</v>
      </c>
      <c r="T8619" t="s">
        <v>42767</v>
      </c>
      <c r="U8619" t="s">
        <v>50195</v>
      </c>
      <c r="W8619" t="s">
        <v>56004</v>
      </c>
      <c r="X8619" t="s">
        <v>41259</v>
      </c>
    </row>
    <row r="8620" spans="1:24">
      <c r="A8620">
        <f>HYPERLINK("https://www.philgeps.gov.ph/GEPSNONPILOT/Tender/SplashBidNoticeAbstractUI.aspx?menuIndex=3&amp;refID=7067045&amp;Result=3","7067045")</f>
        <v>0</v>
      </c>
      <c r="B8620" t="s">
        <v>1293</v>
      </c>
      <c r="C8620" t="s">
        <v>11609</v>
      </c>
      <c r="D8620" t="s">
        <v>16618</v>
      </c>
      <c r="E8620" t="s">
        <v>17820</v>
      </c>
      <c r="F8620" t="s">
        <v>28669</v>
      </c>
      <c r="G8620" t="s">
        <v>28675</v>
      </c>
      <c r="H8620" t="s">
        <v>9998</v>
      </c>
      <c r="I8620" t="s">
        <v>28694</v>
      </c>
      <c r="J8620" t="s">
        <v>28826</v>
      </c>
      <c r="K8620" t="s">
        <v>37209</v>
      </c>
      <c r="M8620" t="s">
        <v>38844</v>
      </c>
      <c r="N8620" t="s">
        <v>41249</v>
      </c>
      <c r="O8620" t="s">
        <v>41250</v>
      </c>
      <c r="P8620">
        <v>0</v>
      </c>
      <c r="Q8620">
        <v>0</v>
      </c>
      <c r="R8620" t="s">
        <v>41258</v>
      </c>
      <c r="S8620" t="s">
        <v>41513</v>
      </c>
      <c r="T8620" t="s">
        <v>42727</v>
      </c>
      <c r="U8620" t="s">
        <v>50196</v>
      </c>
      <c r="W8620" t="s">
        <v>38844</v>
      </c>
      <c r="X8620" t="s">
        <v>41259</v>
      </c>
    </row>
    <row r="8621" spans="1:24">
      <c r="A8621">
        <f>HYPERLINK("https://www.philgeps.gov.ph/GEPSNONPILOT/Tender/SplashBidNoticeAbstractUI.aspx?menuIndex=3&amp;refID=7067001&amp;Result=3","7067001")</f>
        <v>0</v>
      </c>
      <c r="B8621" t="s">
        <v>2295</v>
      </c>
      <c r="C8621" t="s">
        <v>11610</v>
      </c>
      <c r="E8621" t="s">
        <v>24230</v>
      </c>
      <c r="F8621" t="s">
        <v>28669</v>
      </c>
      <c r="G8621" t="s">
        <v>28682</v>
      </c>
      <c r="H8621" t="s">
        <v>9998</v>
      </c>
      <c r="I8621" t="s">
        <v>28736</v>
      </c>
      <c r="J8621" t="s">
        <v>34188</v>
      </c>
      <c r="K8621" t="s">
        <v>37206</v>
      </c>
      <c r="M8621" t="s">
        <v>39952</v>
      </c>
      <c r="N8621" t="s">
        <v>41249</v>
      </c>
      <c r="O8621" t="s">
        <v>41250</v>
      </c>
      <c r="P8621">
        <v>0</v>
      </c>
      <c r="Q8621">
        <v>0</v>
      </c>
      <c r="R8621" t="s">
        <v>41258</v>
      </c>
      <c r="S8621" t="s">
        <v>41513</v>
      </c>
      <c r="T8621" t="s">
        <v>42760</v>
      </c>
      <c r="U8621" t="s">
        <v>50197</v>
      </c>
      <c r="V8621" t="s">
        <v>55229</v>
      </c>
      <c r="W8621" t="s">
        <v>39952</v>
      </c>
      <c r="X8621" t="s">
        <v>41259</v>
      </c>
    </row>
    <row r="8622" spans="1:24">
      <c r="A8622">
        <f>HYPERLINK("https://www.philgeps.gov.ph/GEPSNONPILOT/Tender/SplashBidNoticeAbstractUI.aspx?menuIndex=3&amp;refID=7066996&amp;Result=3","7066996")</f>
        <v>0</v>
      </c>
      <c r="B8622" t="s">
        <v>939</v>
      </c>
      <c r="C8622" t="s">
        <v>11611</v>
      </c>
      <c r="D8622" t="s">
        <v>16657</v>
      </c>
      <c r="E8622" t="s">
        <v>24231</v>
      </c>
      <c r="F8622" t="s">
        <v>28669</v>
      </c>
      <c r="G8622" t="s">
        <v>28675</v>
      </c>
      <c r="H8622" t="s">
        <v>9998</v>
      </c>
      <c r="I8622" t="s">
        <v>28725</v>
      </c>
      <c r="J8622" t="s">
        <v>34189</v>
      </c>
      <c r="K8622" t="s">
        <v>37227</v>
      </c>
      <c r="M8622" t="s">
        <v>38462</v>
      </c>
      <c r="N8622" t="s">
        <v>41249</v>
      </c>
      <c r="O8622" t="s">
        <v>41250</v>
      </c>
      <c r="P8622">
        <v>0</v>
      </c>
      <c r="Q8622">
        <v>4</v>
      </c>
      <c r="R8622" t="s">
        <v>41258</v>
      </c>
      <c r="S8622" t="s">
        <v>41513</v>
      </c>
      <c r="T8622" t="s">
        <v>42911</v>
      </c>
      <c r="U8622" t="s">
        <v>50198</v>
      </c>
      <c r="W8622" t="s">
        <v>55938</v>
      </c>
      <c r="X8622" t="s">
        <v>41259</v>
      </c>
    </row>
    <row r="8623" spans="1:24">
      <c r="A8623">
        <f>HYPERLINK("https://www.philgeps.gov.ph/GEPSNONPILOT/Tender/SplashBidNoticeAbstractUI.aspx?menuIndex=3&amp;refID=7067034&amp;Result=3","7067034")</f>
        <v>0</v>
      </c>
      <c r="B8623" t="s">
        <v>143</v>
      </c>
      <c r="C8623" t="s">
        <v>11612</v>
      </c>
      <c r="D8623" t="s">
        <v>16640</v>
      </c>
      <c r="E8623" t="s">
        <v>24232</v>
      </c>
      <c r="F8623" t="s">
        <v>28669</v>
      </c>
      <c r="G8623" t="s">
        <v>28675</v>
      </c>
      <c r="H8623" t="s">
        <v>9998</v>
      </c>
      <c r="I8623" t="s">
        <v>28739</v>
      </c>
      <c r="J8623" t="s">
        <v>30564</v>
      </c>
      <c r="K8623" t="s">
        <v>37213</v>
      </c>
      <c r="M8623" t="s">
        <v>37620</v>
      </c>
      <c r="N8623" t="s">
        <v>41249</v>
      </c>
      <c r="O8623" t="s">
        <v>41250</v>
      </c>
      <c r="P8623">
        <v>0</v>
      </c>
      <c r="Q8623">
        <v>19</v>
      </c>
      <c r="R8623" t="s">
        <v>41258</v>
      </c>
      <c r="S8623" t="s">
        <v>41513</v>
      </c>
      <c r="T8623" t="s">
        <v>42782</v>
      </c>
      <c r="U8623" t="s">
        <v>50199</v>
      </c>
      <c r="W8623" t="s">
        <v>55901</v>
      </c>
      <c r="X8623" t="s">
        <v>41259</v>
      </c>
    </row>
    <row r="8624" spans="1:24">
      <c r="A8624">
        <f>HYPERLINK("https://www.philgeps.gov.ph/GEPSNONPILOT/Tender/SplashBidNoticeAbstractUI.aspx?menuIndex=3&amp;refID=7067062&amp;Result=3","7067062")</f>
        <v>0</v>
      </c>
      <c r="B8624" t="s">
        <v>2616</v>
      </c>
      <c r="C8624" t="s">
        <v>11613</v>
      </c>
      <c r="D8624" t="s">
        <v>16679</v>
      </c>
      <c r="E8624" t="s">
        <v>24233</v>
      </c>
      <c r="F8624" t="s">
        <v>28669</v>
      </c>
      <c r="G8624" t="s">
        <v>28675</v>
      </c>
      <c r="H8624" t="s">
        <v>28686</v>
      </c>
      <c r="I8624" t="s">
        <v>7352</v>
      </c>
      <c r="J8624" t="s">
        <v>29104</v>
      </c>
      <c r="K8624" t="s">
        <v>37209</v>
      </c>
      <c r="M8624" t="s">
        <v>40313</v>
      </c>
      <c r="N8624" t="s">
        <v>41249</v>
      </c>
      <c r="O8624" t="s">
        <v>41250</v>
      </c>
      <c r="P8624">
        <v>0</v>
      </c>
      <c r="Q8624">
        <v>0</v>
      </c>
      <c r="R8624" t="s">
        <v>41258</v>
      </c>
      <c r="S8624" t="s">
        <v>41513</v>
      </c>
      <c r="T8624" t="s">
        <v>42767</v>
      </c>
      <c r="U8624" t="s">
        <v>50200</v>
      </c>
      <c r="W8624" t="s">
        <v>40313</v>
      </c>
      <c r="X8624" t="s">
        <v>41259</v>
      </c>
    </row>
    <row r="8625" spans="1:24">
      <c r="A8625">
        <f>HYPERLINK("https://www.philgeps.gov.ph/GEPSNONPILOT/Tender/SplashBidNoticeAbstractUI.aspx?menuIndex=3&amp;refID=7067055&amp;Result=3","7067055")</f>
        <v>0</v>
      </c>
      <c r="B8625" t="s">
        <v>1466</v>
      </c>
      <c r="C8625" t="s">
        <v>11614</v>
      </c>
      <c r="D8625" t="s">
        <v>16679</v>
      </c>
      <c r="E8625" t="s">
        <v>24234</v>
      </c>
      <c r="F8625" t="s">
        <v>28669</v>
      </c>
      <c r="G8625" t="s">
        <v>28675</v>
      </c>
      <c r="H8625" t="s">
        <v>28686</v>
      </c>
      <c r="I8625" t="s">
        <v>28689</v>
      </c>
      <c r="J8625" t="s">
        <v>31313</v>
      </c>
      <c r="K8625" t="s">
        <v>37213</v>
      </c>
      <c r="M8625" t="s">
        <v>39034</v>
      </c>
      <c r="N8625" t="s">
        <v>41249</v>
      </c>
      <c r="O8625" t="s">
        <v>41250</v>
      </c>
      <c r="P8625">
        <v>0</v>
      </c>
      <c r="Q8625">
        <v>4</v>
      </c>
      <c r="R8625" t="s">
        <v>41258</v>
      </c>
      <c r="S8625" t="s">
        <v>41513</v>
      </c>
      <c r="T8625" t="s">
        <v>42911</v>
      </c>
      <c r="U8625" t="s">
        <v>50072</v>
      </c>
      <c r="W8625" t="s">
        <v>55956</v>
      </c>
      <c r="X8625" t="s">
        <v>41259</v>
      </c>
    </row>
    <row r="8626" spans="1:24">
      <c r="A8626">
        <f>HYPERLINK("https://www.philgeps.gov.ph/GEPSNONPILOT/Tender/SplashBidNoticeAbstractUI.aspx?menuIndex=3&amp;refID=7067052&amp;Result=3","7067052")</f>
        <v>0</v>
      </c>
      <c r="B8626" t="s">
        <v>1235</v>
      </c>
      <c r="C8626" t="s">
        <v>11615</v>
      </c>
      <c r="D8626" t="s">
        <v>16621</v>
      </c>
      <c r="E8626" t="s">
        <v>24235</v>
      </c>
      <c r="F8626" t="s">
        <v>28669</v>
      </c>
      <c r="G8626" t="s">
        <v>28676</v>
      </c>
      <c r="H8626" t="s">
        <v>9998</v>
      </c>
      <c r="I8626" t="s">
        <v>28725</v>
      </c>
      <c r="J8626" t="s">
        <v>34190</v>
      </c>
      <c r="K8626" t="s">
        <v>37205</v>
      </c>
      <c r="M8626" t="s">
        <v>38781</v>
      </c>
      <c r="N8626" t="s">
        <v>41249</v>
      </c>
      <c r="O8626" t="s">
        <v>41250</v>
      </c>
      <c r="P8626">
        <v>0</v>
      </c>
      <c r="Q8626">
        <v>0</v>
      </c>
      <c r="R8626" t="s">
        <v>41258</v>
      </c>
      <c r="S8626" t="s">
        <v>41513</v>
      </c>
      <c r="T8626" t="s">
        <v>42767</v>
      </c>
      <c r="U8626" t="s">
        <v>50201</v>
      </c>
      <c r="W8626" t="s">
        <v>38781</v>
      </c>
      <c r="X8626" t="s">
        <v>41259</v>
      </c>
    </row>
    <row r="8627" spans="1:24">
      <c r="A8627">
        <f>HYPERLINK("https://www.philgeps.gov.ph/GEPSNONPILOT/Tender/SplashBidNoticeAbstractUI.aspx?menuIndex=3&amp;refID=7067053&amp;Result=3","7067053")</f>
        <v>0</v>
      </c>
      <c r="B8627" t="s">
        <v>1466</v>
      </c>
      <c r="C8627" t="s">
        <v>11616</v>
      </c>
      <c r="D8627" t="s">
        <v>16679</v>
      </c>
      <c r="E8627" t="s">
        <v>24236</v>
      </c>
      <c r="F8627" t="s">
        <v>28669</v>
      </c>
      <c r="G8627" t="s">
        <v>28675</v>
      </c>
      <c r="H8627" t="s">
        <v>28686</v>
      </c>
      <c r="I8627" t="s">
        <v>28689</v>
      </c>
      <c r="J8627" t="s">
        <v>31313</v>
      </c>
      <c r="K8627" t="s">
        <v>37213</v>
      </c>
      <c r="M8627" t="s">
        <v>39034</v>
      </c>
      <c r="N8627" t="s">
        <v>41249</v>
      </c>
      <c r="O8627" t="s">
        <v>41250</v>
      </c>
      <c r="P8627">
        <v>0</v>
      </c>
      <c r="Q8627">
        <v>4</v>
      </c>
      <c r="R8627" t="s">
        <v>41258</v>
      </c>
      <c r="S8627" t="s">
        <v>41513</v>
      </c>
      <c r="T8627" t="s">
        <v>42911</v>
      </c>
      <c r="U8627" t="s">
        <v>50072</v>
      </c>
      <c r="W8627" t="s">
        <v>55956</v>
      </c>
      <c r="X8627" t="s">
        <v>41259</v>
      </c>
    </row>
    <row r="8628" spans="1:24">
      <c r="A8628">
        <f>HYPERLINK("https://www.philgeps.gov.ph/GEPSNONPILOT/Tender/SplashBidNoticeAbstractUI.aspx?menuIndex=3&amp;refID=7067017&amp;Result=3","7067017")</f>
        <v>0</v>
      </c>
      <c r="B8628" t="s">
        <v>2295</v>
      </c>
      <c r="C8628" t="s">
        <v>11617</v>
      </c>
      <c r="D8628" t="s">
        <v>16630</v>
      </c>
      <c r="E8628" t="s">
        <v>24237</v>
      </c>
      <c r="F8628" t="s">
        <v>28669</v>
      </c>
      <c r="G8628" t="s">
        <v>28682</v>
      </c>
      <c r="H8628" t="s">
        <v>28686</v>
      </c>
      <c r="I8628" t="s">
        <v>28689</v>
      </c>
      <c r="J8628" t="s">
        <v>34191</v>
      </c>
      <c r="K8628" t="s">
        <v>37211</v>
      </c>
      <c r="M8628" t="s">
        <v>39952</v>
      </c>
      <c r="N8628" t="s">
        <v>41249</v>
      </c>
      <c r="O8628" t="s">
        <v>41250</v>
      </c>
      <c r="P8628">
        <v>0</v>
      </c>
      <c r="Q8628">
        <v>2</v>
      </c>
      <c r="R8628" t="s">
        <v>41258</v>
      </c>
      <c r="S8628" t="s">
        <v>41513</v>
      </c>
      <c r="T8628" t="s">
        <v>42760</v>
      </c>
      <c r="U8628" t="s">
        <v>50202</v>
      </c>
      <c r="V8628" t="s">
        <v>55229</v>
      </c>
      <c r="W8628" t="s">
        <v>39952</v>
      </c>
      <c r="X8628" t="s">
        <v>41259</v>
      </c>
    </row>
    <row r="8629" spans="1:24">
      <c r="A8629">
        <f>HYPERLINK("https://www.philgeps.gov.ph/GEPSNONPILOT/Tender/SplashBidNoticeAbstractUI.aspx?menuIndex=3&amp;refID=7067064&amp;Result=3","7067064")</f>
        <v>0</v>
      </c>
      <c r="B8629" t="s">
        <v>1466</v>
      </c>
      <c r="C8629" t="s">
        <v>11618</v>
      </c>
      <c r="D8629" t="s">
        <v>16679</v>
      </c>
      <c r="E8629" t="s">
        <v>24238</v>
      </c>
      <c r="F8629" t="s">
        <v>28669</v>
      </c>
      <c r="G8629" t="s">
        <v>28675</v>
      </c>
      <c r="H8629" t="s">
        <v>28686</v>
      </c>
      <c r="I8629" t="s">
        <v>28689</v>
      </c>
      <c r="J8629" t="s">
        <v>31313</v>
      </c>
      <c r="K8629" t="s">
        <v>37213</v>
      </c>
      <c r="M8629" t="s">
        <v>39034</v>
      </c>
      <c r="N8629" t="s">
        <v>41249</v>
      </c>
      <c r="O8629" t="s">
        <v>41250</v>
      </c>
      <c r="P8629">
        <v>0</v>
      </c>
      <c r="Q8629">
        <v>4</v>
      </c>
      <c r="R8629" t="s">
        <v>41258</v>
      </c>
      <c r="S8629" t="s">
        <v>41513</v>
      </c>
      <c r="T8629" t="s">
        <v>42911</v>
      </c>
      <c r="U8629" t="s">
        <v>50072</v>
      </c>
      <c r="W8629" t="s">
        <v>55956</v>
      </c>
      <c r="X8629" t="s">
        <v>41259</v>
      </c>
    </row>
    <row r="8630" spans="1:24">
      <c r="A8630">
        <f>HYPERLINK("https://www.philgeps.gov.ph/GEPSNONPILOT/Tender/SplashBidNoticeAbstractUI.aspx?menuIndex=3&amp;refID=7067068&amp;Result=3","7067068")</f>
        <v>0</v>
      </c>
      <c r="B8630" t="s">
        <v>1466</v>
      </c>
      <c r="C8630" t="s">
        <v>11619</v>
      </c>
      <c r="D8630" t="s">
        <v>16679</v>
      </c>
      <c r="E8630" t="s">
        <v>24239</v>
      </c>
      <c r="F8630" t="s">
        <v>28669</v>
      </c>
      <c r="G8630" t="s">
        <v>28675</v>
      </c>
      <c r="H8630" t="s">
        <v>28686</v>
      </c>
      <c r="I8630" t="s">
        <v>28689</v>
      </c>
      <c r="J8630" t="s">
        <v>31313</v>
      </c>
      <c r="K8630" t="s">
        <v>37220</v>
      </c>
      <c r="M8630" t="s">
        <v>39034</v>
      </c>
      <c r="N8630" t="s">
        <v>41249</v>
      </c>
      <c r="O8630" t="s">
        <v>41250</v>
      </c>
      <c r="P8630">
        <v>0</v>
      </c>
      <c r="Q8630">
        <v>4</v>
      </c>
      <c r="R8630" t="s">
        <v>41258</v>
      </c>
      <c r="S8630" t="s">
        <v>41513</v>
      </c>
      <c r="T8630" t="s">
        <v>42911</v>
      </c>
      <c r="U8630" t="s">
        <v>50072</v>
      </c>
      <c r="W8630" t="s">
        <v>55956</v>
      </c>
      <c r="X8630" t="s">
        <v>41259</v>
      </c>
    </row>
    <row r="8631" spans="1:24">
      <c r="A8631">
        <f>HYPERLINK("https://www.philgeps.gov.ph/GEPSNONPILOT/Tender/SplashBidNoticeAbstractUI.aspx?menuIndex=3&amp;refID=7067063&amp;Result=3","7067063")</f>
        <v>0</v>
      </c>
      <c r="B8631" t="s">
        <v>2589</v>
      </c>
      <c r="C8631" t="s">
        <v>11620</v>
      </c>
      <c r="D8631" t="s">
        <v>16611</v>
      </c>
      <c r="E8631" t="s">
        <v>24120</v>
      </c>
      <c r="F8631" t="s">
        <v>28669</v>
      </c>
      <c r="G8631" t="s">
        <v>28675</v>
      </c>
      <c r="H8631" t="s">
        <v>9998</v>
      </c>
      <c r="I8631" t="s">
        <v>28718</v>
      </c>
      <c r="J8631" t="s">
        <v>29104</v>
      </c>
      <c r="K8631" t="s">
        <v>37204</v>
      </c>
      <c r="M8631" t="s">
        <v>40284</v>
      </c>
      <c r="N8631" t="s">
        <v>41249</v>
      </c>
      <c r="O8631" t="s">
        <v>41250</v>
      </c>
      <c r="P8631">
        <v>0</v>
      </c>
      <c r="Q8631">
        <v>1</v>
      </c>
      <c r="R8631" t="s">
        <v>41258</v>
      </c>
      <c r="S8631" t="s">
        <v>41513</v>
      </c>
      <c r="T8631" t="s">
        <v>42665</v>
      </c>
      <c r="U8631" t="s">
        <v>50203</v>
      </c>
      <c r="W8631" t="s">
        <v>40284</v>
      </c>
      <c r="X8631" t="s">
        <v>41259</v>
      </c>
    </row>
    <row r="8632" spans="1:24">
      <c r="A8632">
        <f>HYPERLINK("https://www.philgeps.gov.ph/GEPSNONPILOT/Tender/SplashBidNoticeAbstractUI.aspx?menuIndex=3&amp;refID=7067091&amp;Result=3","7067091")</f>
        <v>0</v>
      </c>
      <c r="B8632" t="s">
        <v>906</v>
      </c>
      <c r="C8632" t="s">
        <v>11621</v>
      </c>
      <c r="D8632" t="s">
        <v>16683</v>
      </c>
      <c r="E8632" t="s">
        <v>24240</v>
      </c>
      <c r="F8632" t="s">
        <v>28669</v>
      </c>
      <c r="G8632" t="s">
        <v>28675</v>
      </c>
      <c r="H8632" t="s">
        <v>28686</v>
      </c>
      <c r="I8632" t="s">
        <v>28689</v>
      </c>
      <c r="J8632" t="s">
        <v>34192</v>
      </c>
      <c r="K8632" t="s">
        <v>37206</v>
      </c>
      <c r="M8632" t="s">
        <v>38428</v>
      </c>
      <c r="N8632" t="s">
        <v>41249</v>
      </c>
      <c r="O8632" t="s">
        <v>41250</v>
      </c>
      <c r="P8632">
        <v>0</v>
      </c>
      <c r="Q8632">
        <v>0</v>
      </c>
      <c r="R8632" t="s">
        <v>41258</v>
      </c>
      <c r="S8632" t="s">
        <v>41513</v>
      </c>
      <c r="T8632" t="s">
        <v>42767</v>
      </c>
      <c r="U8632" t="s">
        <v>50204</v>
      </c>
      <c r="W8632" t="s">
        <v>38428</v>
      </c>
      <c r="X8632" t="s">
        <v>41259</v>
      </c>
    </row>
    <row r="8633" spans="1:24">
      <c r="A8633">
        <f>HYPERLINK("https://www.philgeps.gov.ph/GEPSNONPILOT/Tender/SplashBidNoticeAbstractUI.aspx?menuIndex=3&amp;refID=7066974&amp;Result=3","7066974")</f>
        <v>0</v>
      </c>
      <c r="B8633" t="s">
        <v>2605</v>
      </c>
      <c r="C8633" t="s">
        <v>11622</v>
      </c>
      <c r="D8633" t="s">
        <v>16608</v>
      </c>
      <c r="E8633" t="s">
        <v>24241</v>
      </c>
      <c r="F8633" t="s">
        <v>28669</v>
      </c>
      <c r="G8633" t="s">
        <v>28675</v>
      </c>
      <c r="H8633" t="s">
        <v>9998</v>
      </c>
      <c r="I8633" t="s">
        <v>28708</v>
      </c>
      <c r="J8633" t="s">
        <v>29386</v>
      </c>
      <c r="K8633" t="s">
        <v>37206</v>
      </c>
      <c r="M8633" t="s">
        <v>40301</v>
      </c>
      <c r="N8633" t="s">
        <v>41249</v>
      </c>
      <c r="O8633" t="s">
        <v>41250</v>
      </c>
      <c r="Q8633">
        <v>11</v>
      </c>
      <c r="R8633" t="s">
        <v>41258</v>
      </c>
      <c r="S8633" t="s">
        <v>41557</v>
      </c>
      <c r="T8633" t="s">
        <v>42680</v>
      </c>
      <c r="U8633" t="s">
        <v>50167</v>
      </c>
      <c r="V8633" t="s">
        <v>55224</v>
      </c>
      <c r="W8633" t="s">
        <v>40301</v>
      </c>
      <c r="X8633" t="s">
        <v>41259</v>
      </c>
    </row>
    <row r="8634" spans="1:24">
      <c r="A8634">
        <f>HYPERLINK("https://www.philgeps.gov.ph/GEPSNONPILOT/Tender/SplashBidNoticeAbstractUI.aspx?menuIndex=3&amp;refID=7067087&amp;Result=3","7067087")</f>
        <v>0</v>
      </c>
      <c r="B8634" t="s">
        <v>2617</v>
      </c>
      <c r="C8634" t="s">
        <v>11623</v>
      </c>
      <c r="E8634" t="s">
        <v>24242</v>
      </c>
      <c r="F8634" t="s">
        <v>28669</v>
      </c>
      <c r="G8634" t="s">
        <v>28675</v>
      </c>
      <c r="H8634" t="s">
        <v>9998</v>
      </c>
      <c r="I8634" t="s">
        <v>5213</v>
      </c>
      <c r="J8634" t="s">
        <v>34193</v>
      </c>
      <c r="K8634" t="s">
        <v>37243</v>
      </c>
      <c r="M8634" t="s">
        <v>40314</v>
      </c>
      <c r="N8634" t="s">
        <v>41249</v>
      </c>
      <c r="O8634" t="s">
        <v>41250</v>
      </c>
      <c r="P8634">
        <v>0</v>
      </c>
      <c r="Q8634">
        <v>0</v>
      </c>
      <c r="R8634" t="s">
        <v>41258</v>
      </c>
      <c r="S8634" t="s">
        <v>41513</v>
      </c>
      <c r="T8634" t="s">
        <v>42728</v>
      </c>
      <c r="U8634" t="s">
        <v>50205</v>
      </c>
      <c r="W8634" t="s">
        <v>40314</v>
      </c>
      <c r="X8634" t="s">
        <v>41259</v>
      </c>
    </row>
    <row r="8635" spans="1:24">
      <c r="A8635">
        <f>HYPERLINK("https://www.philgeps.gov.ph/GEPSNONPILOT/Tender/SplashBidNoticeAbstractUI.aspx?menuIndex=3&amp;refID=7067085&amp;Result=3","7067085")</f>
        <v>0</v>
      </c>
      <c r="B8635" t="s">
        <v>2618</v>
      </c>
      <c r="C8635" t="s">
        <v>11624</v>
      </c>
      <c r="E8635" t="s">
        <v>24243</v>
      </c>
      <c r="F8635" t="s">
        <v>28669</v>
      </c>
      <c r="G8635" t="s">
        <v>28676</v>
      </c>
      <c r="H8635" t="s">
        <v>9998</v>
      </c>
      <c r="I8635" t="s">
        <v>5213</v>
      </c>
      <c r="J8635" t="s">
        <v>32475</v>
      </c>
      <c r="K8635" t="s">
        <v>37206</v>
      </c>
      <c r="M8635" t="s">
        <v>40315</v>
      </c>
      <c r="N8635" t="s">
        <v>41249</v>
      </c>
      <c r="O8635" t="s">
        <v>41250</v>
      </c>
      <c r="P8635">
        <v>0</v>
      </c>
      <c r="Q8635">
        <v>6</v>
      </c>
      <c r="R8635" t="s">
        <v>41258</v>
      </c>
      <c r="S8635" t="s">
        <v>41513</v>
      </c>
      <c r="T8635" t="s">
        <v>42991</v>
      </c>
      <c r="U8635" t="s">
        <v>50206</v>
      </c>
      <c r="W8635" t="s">
        <v>40315</v>
      </c>
      <c r="X8635" t="s">
        <v>41259</v>
      </c>
    </row>
    <row r="8636" spans="1:24">
      <c r="A8636">
        <f>HYPERLINK("https://www.philgeps.gov.ph/GEPSNONPILOT/Tender/SplashBidNoticeAbstractUI.aspx?menuIndex=3&amp;refID=7067081&amp;Result=3","7067081")</f>
        <v>0</v>
      </c>
      <c r="B8636" t="s">
        <v>1466</v>
      </c>
      <c r="C8636" t="s">
        <v>11625</v>
      </c>
      <c r="D8636" t="s">
        <v>16679</v>
      </c>
      <c r="E8636" t="s">
        <v>24244</v>
      </c>
      <c r="F8636" t="s">
        <v>28669</v>
      </c>
      <c r="G8636" t="s">
        <v>28675</v>
      </c>
      <c r="H8636" t="s">
        <v>28686</v>
      </c>
      <c r="I8636" t="s">
        <v>28689</v>
      </c>
      <c r="J8636" t="s">
        <v>30559</v>
      </c>
      <c r="K8636" t="s">
        <v>37213</v>
      </c>
      <c r="M8636" t="s">
        <v>39034</v>
      </c>
      <c r="N8636" t="s">
        <v>41249</v>
      </c>
      <c r="O8636" t="s">
        <v>41250</v>
      </c>
      <c r="P8636">
        <v>0</v>
      </c>
      <c r="Q8636">
        <v>6</v>
      </c>
      <c r="R8636" t="s">
        <v>41258</v>
      </c>
      <c r="S8636" t="s">
        <v>41513</v>
      </c>
      <c r="T8636" t="s">
        <v>42911</v>
      </c>
      <c r="U8636" t="s">
        <v>50072</v>
      </c>
      <c r="W8636" t="s">
        <v>55956</v>
      </c>
      <c r="X8636" t="s">
        <v>41259</v>
      </c>
    </row>
    <row r="8637" spans="1:24">
      <c r="A8637">
        <f>HYPERLINK("https://www.philgeps.gov.ph/GEPSNONPILOT/Tender/SplashBidNoticeAbstractUI.aspx?menuIndex=3&amp;refID=7067079&amp;Result=3","7067079")</f>
        <v>0</v>
      </c>
      <c r="B8637" t="s">
        <v>1466</v>
      </c>
      <c r="C8637" t="s">
        <v>11626</v>
      </c>
      <c r="D8637" t="s">
        <v>16679</v>
      </c>
      <c r="E8637" t="s">
        <v>24245</v>
      </c>
      <c r="F8637" t="s">
        <v>28669</v>
      </c>
      <c r="G8637" t="s">
        <v>28675</v>
      </c>
      <c r="H8637" t="s">
        <v>28686</v>
      </c>
      <c r="I8637" t="s">
        <v>28689</v>
      </c>
      <c r="J8637" t="s">
        <v>31677</v>
      </c>
      <c r="K8637" t="s">
        <v>37213</v>
      </c>
      <c r="M8637" t="s">
        <v>39034</v>
      </c>
      <c r="N8637" t="s">
        <v>41249</v>
      </c>
      <c r="O8637" t="s">
        <v>41250</v>
      </c>
      <c r="P8637">
        <v>0</v>
      </c>
      <c r="Q8637">
        <v>6</v>
      </c>
      <c r="R8637" t="s">
        <v>41258</v>
      </c>
      <c r="S8637" t="s">
        <v>41513</v>
      </c>
      <c r="T8637" t="s">
        <v>42911</v>
      </c>
      <c r="U8637" t="s">
        <v>50072</v>
      </c>
      <c r="W8637" t="s">
        <v>55956</v>
      </c>
      <c r="X8637" t="s">
        <v>41259</v>
      </c>
    </row>
    <row r="8638" spans="1:24">
      <c r="A8638">
        <f>HYPERLINK("https://www.philgeps.gov.ph/GEPSNONPILOT/Tender/SplashBidNoticeAbstractUI.aspx?menuIndex=3&amp;refID=7067018&amp;Result=3","7067018")</f>
        <v>0</v>
      </c>
      <c r="B8638" t="s">
        <v>1496</v>
      </c>
      <c r="C8638" t="s">
        <v>11627</v>
      </c>
      <c r="D8638" t="s">
        <v>16659</v>
      </c>
      <c r="E8638" t="s">
        <v>24246</v>
      </c>
      <c r="F8638" t="s">
        <v>28669</v>
      </c>
      <c r="G8638" t="s">
        <v>28675</v>
      </c>
      <c r="H8638" t="s">
        <v>28686</v>
      </c>
      <c r="I8638" t="s">
        <v>28689</v>
      </c>
      <c r="J8638" t="s">
        <v>34194</v>
      </c>
      <c r="K8638" t="s">
        <v>37290</v>
      </c>
      <c r="M8638" t="s">
        <v>40316</v>
      </c>
      <c r="N8638" t="s">
        <v>41249</v>
      </c>
      <c r="O8638" t="s">
        <v>41250</v>
      </c>
      <c r="Q8638">
        <v>0</v>
      </c>
      <c r="R8638" t="s">
        <v>41258</v>
      </c>
      <c r="S8638" t="s">
        <v>41558</v>
      </c>
      <c r="T8638" t="s">
        <v>42658</v>
      </c>
      <c r="U8638" t="s">
        <v>50207</v>
      </c>
      <c r="W8638" t="s">
        <v>40316</v>
      </c>
      <c r="X8638" t="s">
        <v>41259</v>
      </c>
    </row>
    <row r="8639" spans="1:24">
      <c r="A8639">
        <f>HYPERLINK("https://www.philgeps.gov.ph/GEPSNONPILOT/Tender/SplashBidNoticeAbstractUI.aspx?menuIndex=3&amp;refID=7067104&amp;Result=3","7067104")</f>
        <v>0</v>
      </c>
      <c r="B8639" t="s">
        <v>906</v>
      </c>
      <c r="C8639" t="s">
        <v>11628</v>
      </c>
      <c r="D8639" t="s">
        <v>16683</v>
      </c>
      <c r="E8639" t="s">
        <v>24247</v>
      </c>
      <c r="F8639" t="s">
        <v>28669</v>
      </c>
      <c r="G8639" t="s">
        <v>28675</v>
      </c>
      <c r="H8639" t="s">
        <v>28686</v>
      </c>
      <c r="I8639" t="s">
        <v>28689</v>
      </c>
      <c r="J8639" t="s">
        <v>34195</v>
      </c>
      <c r="K8639" t="s">
        <v>37206</v>
      </c>
      <c r="M8639" t="s">
        <v>38428</v>
      </c>
      <c r="N8639" t="s">
        <v>41249</v>
      </c>
      <c r="O8639" t="s">
        <v>41250</v>
      </c>
      <c r="P8639">
        <v>0</v>
      </c>
      <c r="Q8639">
        <v>0</v>
      </c>
      <c r="R8639" t="s">
        <v>41258</v>
      </c>
      <c r="S8639" t="s">
        <v>41513</v>
      </c>
      <c r="T8639" t="s">
        <v>42767</v>
      </c>
      <c r="U8639" t="s">
        <v>50208</v>
      </c>
      <c r="W8639" t="s">
        <v>38428</v>
      </c>
      <c r="X8639" t="s">
        <v>41259</v>
      </c>
    </row>
    <row r="8640" spans="1:24">
      <c r="A8640">
        <f>HYPERLINK("https://www.philgeps.gov.ph/GEPSNONPILOT/Tender/SplashBidNoticeAbstractUI.aspx?menuIndex=3&amp;refID=7067089&amp;Result=3","7067089")</f>
        <v>0</v>
      </c>
      <c r="B8640" t="s">
        <v>2619</v>
      </c>
      <c r="C8640" t="s">
        <v>11629</v>
      </c>
      <c r="D8640" t="s">
        <v>16641</v>
      </c>
      <c r="E8640" t="s">
        <v>16709</v>
      </c>
      <c r="F8640" t="s">
        <v>28669</v>
      </c>
      <c r="G8640" t="s">
        <v>28675</v>
      </c>
      <c r="H8640" t="s">
        <v>9998</v>
      </c>
      <c r="I8640" t="s">
        <v>28792</v>
      </c>
      <c r="J8640" t="s">
        <v>28877</v>
      </c>
      <c r="K8640" t="s">
        <v>37216</v>
      </c>
      <c r="M8640" t="s">
        <v>40317</v>
      </c>
      <c r="N8640" t="s">
        <v>41249</v>
      </c>
      <c r="O8640" t="s">
        <v>41250</v>
      </c>
      <c r="P8640">
        <v>0</v>
      </c>
      <c r="Q8640">
        <v>3</v>
      </c>
      <c r="R8640" t="s">
        <v>41258</v>
      </c>
      <c r="S8640" t="s">
        <v>41513</v>
      </c>
      <c r="T8640" t="s">
        <v>42728</v>
      </c>
      <c r="U8640" t="s">
        <v>50209</v>
      </c>
      <c r="W8640" t="s">
        <v>40317</v>
      </c>
      <c r="X8640" t="s">
        <v>41259</v>
      </c>
    </row>
    <row r="8641" spans="1:24">
      <c r="A8641">
        <f>HYPERLINK("https://www.philgeps.gov.ph/GEPSNONPILOT/Tender/SplashBidNoticeAbstractUI.aspx?menuIndex=3&amp;refID=7067077&amp;Result=3","7067077")</f>
        <v>0</v>
      </c>
      <c r="B8641" t="s">
        <v>1466</v>
      </c>
      <c r="C8641" t="s">
        <v>11630</v>
      </c>
      <c r="D8641" t="s">
        <v>16679</v>
      </c>
      <c r="E8641" t="s">
        <v>24248</v>
      </c>
      <c r="F8641" t="s">
        <v>28669</v>
      </c>
      <c r="G8641" t="s">
        <v>28675</v>
      </c>
      <c r="H8641" t="s">
        <v>28686</v>
      </c>
      <c r="I8641" t="s">
        <v>28689</v>
      </c>
      <c r="J8641" t="s">
        <v>31197</v>
      </c>
      <c r="K8641" t="s">
        <v>37221</v>
      </c>
      <c r="M8641" t="s">
        <v>39034</v>
      </c>
      <c r="N8641" t="s">
        <v>41249</v>
      </c>
      <c r="O8641" t="s">
        <v>41250</v>
      </c>
      <c r="P8641">
        <v>0</v>
      </c>
      <c r="Q8641">
        <v>6</v>
      </c>
      <c r="R8641" t="s">
        <v>41258</v>
      </c>
      <c r="S8641" t="s">
        <v>41513</v>
      </c>
      <c r="T8641" t="s">
        <v>42911</v>
      </c>
      <c r="U8641" t="s">
        <v>50072</v>
      </c>
      <c r="W8641" t="s">
        <v>55956</v>
      </c>
      <c r="X8641" t="s">
        <v>41259</v>
      </c>
    </row>
    <row r="8642" spans="1:24">
      <c r="A8642">
        <f>HYPERLINK("https://www.philgeps.gov.ph/GEPSNONPILOT/Tender/SplashBidNoticeAbstractUI.aspx?menuIndex=3&amp;refID=7066991&amp;Result=3","7066991")</f>
        <v>0</v>
      </c>
      <c r="B8642" t="s">
        <v>473</v>
      </c>
      <c r="C8642" t="s">
        <v>11631</v>
      </c>
      <c r="D8642" t="s">
        <v>16647</v>
      </c>
      <c r="E8642" t="s">
        <v>24249</v>
      </c>
      <c r="F8642" t="s">
        <v>28669</v>
      </c>
      <c r="G8642" t="s">
        <v>28675</v>
      </c>
      <c r="H8642" t="s">
        <v>9998</v>
      </c>
      <c r="I8642" t="s">
        <v>28694</v>
      </c>
      <c r="J8642" t="s">
        <v>34196</v>
      </c>
      <c r="K8642" t="s">
        <v>37204</v>
      </c>
      <c r="M8642" t="s">
        <v>37961</v>
      </c>
      <c r="N8642" t="s">
        <v>41249</v>
      </c>
      <c r="O8642" t="s">
        <v>41250</v>
      </c>
      <c r="P8642">
        <v>0</v>
      </c>
      <c r="Q8642">
        <v>3</v>
      </c>
      <c r="R8642" t="s">
        <v>41258</v>
      </c>
      <c r="S8642" t="s">
        <v>41513</v>
      </c>
      <c r="T8642" t="s">
        <v>42727</v>
      </c>
      <c r="U8642" t="s">
        <v>50191</v>
      </c>
      <c r="W8642" t="s">
        <v>37961</v>
      </c>
      <c r="X8642" t="s">
        <v>41259</v>
      </c>
    </row>
    <row r="8643" spans="1:24">
      <c r="A8643">
        <f>HYPERLINK("https://www.philgeps.gov.ph/GEPSNONPILOT/Tender/SplashBidNoticeAbstractUI.aspx?menuIndex=3&amp;refID=7067078&amp;Result=3","7067078")</f>
        <v>0</v>
      </c>
      <c r="B8643" t="s">
        <v>1466</v>
      </c>
      <c r="C8643" t="s">
        <v>11632</v>
      </c>
      <c r="D8643" t="s">
        <v>16679</v>
      </c>
      <c r="E8643" t="s">
        <v>24250</v>
      </c>
      <c r="F8643" t="s">
        <v>28669</v>
      </c>
      <c r="G8643" t="s">
        <v>28675</v>
      </c>
      <c r="H8643" t="s">
        <v>28686</v>
      </c>
      <c r="I8643" t="s">
        <v>28689</v>
      </c>
      <c r="J8643" t="s">
        <v>30503</v>
      </c>
      <c r="K8643" t="s">
        <v>37214</v>
      </c>
      <c r="M8643" t="s">
        <v>39034</v>
      </c>
      <c r="N8643" t="s">
        <v>41249</v>
      </c>
      <c r="O8643" t="s">
        <v>41250</v>
      </c>
      <c r="P8643">
        <v>0</v>
      </c>
      <c r="Q8643">
        <v>5</v>
      </c>
      <c r="R8643" t="s">
        <v>41258</v>
      </c>
      <c r="S8643" t="s">
        <v>41513</v>
      </c>
      <c r="T8643" t="s">
        <v>42911</v>
      </c>
      <c r="U8643" t="s">
        <v>50072</v>
      </c>
      <c r="W8643" t="s">
        <v>55956</v>
      </c>
      <c r="X8643" t="s">
        <v>41259</v>
      </c>
    </row>
    <row r="8644" spans="1:24">
      <c r="A8644">
        <f>HYPERLINK("https://www.philgeps.gov.ph/GEPSNONPILOT/Tender/SplashBidNoticeAbstractUI.aspx?menuIndex=3&amp;refID=7067076&amp;Result=3","7067076")</f>
        <v>0</v>
      </c>
      <c r="B8644" t="s">
        <v>1466</v>
      </c>
      <c r="C8644" t="s">
        <v>11633</v>
      </c>
      <c r="D8644" t="s">
        <v>16679</v>
      </c>
      <c r="E8644" t="s">
        <v>24251</v>
      </c>
      <c r="F8644" t="s">
        <v>28669</v>
      </c>
      <c r="G8644" t="s">
        <v>28675</v>
      </c>
      <c r="H8644" t="s">
        <v>28686</v>
      </c>
      <c r="I8644" t="s">
        <v>28689</v>
      </c>
      <c r="J8644" t="s">
        <v>34197</v>
      </c>
      <c r="K8644" t="s">
        <v>37213</v>
      </c>
      <c r="M8644" t="s">
        <v>39034</v>
      </c>
      <c r="N8644" t="s">
        <v>41249</v>
      </c>
      <c r="O8644" t="s">
        <v>41250</v>
      </c>
      <c r="P8644">
        <v>0</v>
      </c>
      <c r="Q8644">
        <v>5</v>
      </c>
      <c r="R8644" t="s">
        <v>41258</v>
      </c>
      <c r="S8644" t="s">
        <v>41513</v>
      </c>
      <c r="T8644" t="s">
        <v>42911</v>
      </c>
      <c r="U8644" t="s">
        <v>50072</v>
      </c>
      <c r="W8644" t="s">
        <v>55956</v>
      </c>
      <c r="X8644" t="s">
        <v>41259</v>
      </c>
    </row>
    <row r="8645" spans="1:24">
      <c r="A8645">
        <f>HYPERLINK("https://www.philgeps.gov.ph/GEPSNONPILOT/Tender/SplashBidNoticeAbstractUI.aspx?menuIndex=3&amp;refID=7067073&amp;Result=3","7067073")</f>
        <v>0</v>
      </c>
      <c r="B8645" t="s">
        <v>1466</v>
      </c>
      <c r="C8645" t="s">
        <v>11634</v>
      </c>
      <c r="D8645" t="s">
        <v>16679</v>
      </c>
      <c r="E8645" t="s">
        <v>24252</v>
      </c>
      <c r="F8645" t="s">
        <v>28669</v>
      </c>
      <c r="G8645" t="s">
        <v>28675</v>
      </c>
      <c r="H8645" t="s">
        <v>28686</v>
      </c>
      <c r="I8645" t="s">
        <v>28689</v>
      </c>
      <c r="J8645" t="s">
        <v>31313</v>
      </c>
      <c r="K8645" t="s">
        <v>37220</v>
      </c>
      <c r="M8645" t="s">
        <v>39034</v>
      </c>
      <c r="N8645" t="s">
        <v>41249</v>
      </c>
      <c r="O8645" t="s">
        <v>41250</v>
      </c>
      <c r="P8645">
        <v>0</v>
      </c>
      <c r="Q8645">
        <v>4</v>
      </c>
      <c r="R8645" t="s">
        <v>41258</v>
      </c>
      <c r="S8645" t="s">
        <v>41513</v>
      </c>
      <c r="T8645" t="s">
        <v>42911</v>
      </c>
      <c r="U8645" t="s">
        <v>50072</v>
      </c>
      <c r="W8645" t="s">
        <v>55956</v>
      </c>
      <c r="X8645" t="s">
        <v>41259</v>
      </c>
    </row>
    <row r="8646" spans="1:24">
      <c r="A8646">
        <f>HYPERLINK("https://www.philgeps.gov.ph/GEPSNONPILOT/Tender/SplashBidNoticeAbstractUI.aspx?menuIndex=3&amp;refID=7067092&amp;Result=3","7067092")</f>
        <v>0</v>
      </c>
      <c r="B8646" t="s">
        <v>2589</v>
      </c>
      <c r="C8646" t="s">
        <v>11635</v>
      </c>
      <c r="D8646" t="s">
        <v>16611</v>
      </c>
      <c r="E8646" t="s">
        <v>24253</v>
      </c>
      <c r="F8646" t="s">
        <v>28669</v>
      </c>
      <c r="G8646" t="s">
        <v>28675</v>
      </c>
      <c r="H8646" t="s">
        <v>9998</v>
      </c>
      <c r="I8646" t="s">
        <v>11142</v>
      </c>
      <c r="J8646" t="s">
        <v>28834</v>
      </c>
      <c r="K8646" t="s">
        <v>37204</v>
      </c>
      <c r="M8646" t="s">
        <v>40284</v>
      </c>
      <c r="N8646" t="s">
        <v>41249</v>
      </c>
      <c r="O8646" t="s">
        <v>41250</v>
      </c>
      <c r="P8646">
        <v>0</v>
      </c>
      <c r="Q8646">
        <v>0</v>
      </c>
      <c r="R8646" t="s">
        <v>41258</v>
      </c>
      <c r="S8646" t="s">
        <v>41513</v>
      </c>
      <c r="T8646" t="s">
        <v>42665</v>
      </c>
      <c r="U8646" t="s">
        <v>50210</v>
      </c>
      <c r="W8646" t="s">
        <v>40284</v>
      </c>
      <c r="X8646" t="s">
        <v>41259</v>
      </c>
    </row>
    <row r="8647" spans="1:24">
      <c r="A8647">
        <f>HYPERLINK("https://www.philgeps.gov.ph/GEPSNONPILOT/Tender/SplashBidNoticeAbstractUI.aspx?menuIndex=3&amp;refID=7067072&amp;Result=3","7067072")</f>
        <v>0</v>
      </c>
      <c r="B8647" t="s">
        <v>877</v>
      </c>
      <c r="C8647" t="s">
        <v>11636</v>
      </c>
      <c r="D8647" t="s">
        <v>16658</v>
      </c>
      <c r="E8647" t="s">
        <v>24254</v>
      </c>
      <c r="F8647" t="s">
        <v>28669</v>
      </c>
      <c r="G8647" t="s">
        <v>28675</v>
      </c>
      <c r="H8647" t="s">
        <v>9998</v>
      </c>
      <c r="I8647" t="s">
        <v>7352</v>
      </c>
      <c r="J8647" t="s">
        <v>29538</v>
      </c>
      <c r="K8647" t="s">
        <v>37210</v>
      </c>
      <c r="M8647" t="s">
        <v>38397</v>
      </c>
      <c r="N8647" t="s">
        <v>41249</v>
      </c>
      <c r="O8647" t="s">
        <v>41250</v>
      </c>
      <c r="P8647">
        <v>0</v>
      </c>
      <c r="Q8647">
        <v>0</v>
      </c>
      <c r="R8647" t="s">
        <v>41258</v>
      </c>
      <c r="S8647" t="s">
        <v>41513</v>
      </c>
      <c r="T8647" t="s">
        <v>42703</v>
      </c>
      <c r="U8647" t="s">
        <v>50211</v>
      </c>
      <c r="W8647" t="s">
        <v>38397</v>
      </c>
      <c r="X8647" t="s">
        <v>41259</v>
      </c>
    </row>
    <row r="8648" spans="1:24">
      <c r="A8648">
        <f>HYPERLINK("https://www.philgeps.gov.ph/GEPSNONPILOT/Tender/SplashBidNoticeAbstractUI.aspx?menuIndex=3&amp;refID=7067080&amp;Result=3","7067080")</f>
        <v>0</v>
      </c>
      <c r="B8648" t="s">
        <v>2620</v>
      </c>
      <c r="C8648" t="s">
        <v>8039</v>
      </c>
      <c r="D8648" t="s">
        <v>16608</v>
      </c>
      <c r="E8648" t="s">
        <v>24255</v>
      </c>
      <c r="F8648" t="s">
        <v>28669</v>
      </c>
      <c r="G8648" t="s">
        <v>28676</v>
      </c>
      <c r="H8648" t="s">
        <v>9998</v>
      </c>
      <c r="I8648" t="s">
        <v>28733</v>
      </c>
      <c r="J8648" t="s">
        <v>29532</v>
      </c>
      <c r="K8648" t="s">
        <v>37208</v>
      </c>
      <c r="M8648" t="s">
        <v>40318</v>
      </c>
      <c r="N8648" t="s">
        <v>41249</v>
      </c>
      <c r="O8648" t="s">
        <v>41250</v>
      </c>
      <c r="P8648">
        <v>0</v>
      </c>
      <c r="Q8648">
        <v>3</v>
      </c>
      <c r="R8648" t="s">
        <v>41258</v>
      </c>
      <c r="S8648" t="s">
        <v>41513</v>
      </c>
      <c r="T8648" t="s">
        <v>42992</v>
      </c>
      <c r="U8648" t="s">
        <v>50212</v>
      </c>
      <c r="V8648" t="s">
        <v>55230</v>
      </c>
      <c r="W8648" t="s">
        <v>40318</v>
      </c>
      <c r="X8648" t="s">
        <v>41259</v>
      </c>
    </row>
    <row r="8649" spans="1:24">
      <c r="A8649">
        <f>HYPERLINK("https://www.philgeps.gov.ph/GEPSNONPILOT/Tender/SplashBidNoticeAbstractUI.aspx?menuIndex=3&amp;refID=7067115&amp;Result=3","7067115")</f>
        <v>0</v>
      </c>
      <c r="B8649" t="s">
        <v>2621</v>
      </c>
      <c r="C8649" t="s">
        <v>9092</v>
      </c>
      <c r="D8649" t="s">
        <v>16658</v>
      </c>
      <c r="E8649" t="s">
        <v>16707</v>
      </c>
      <c r="F8649" t="s">
        <v>28669</v>
      </c>
      <c r="G8649" t="s">
        <v>28675</v>
      </c>
      <c r="H8649" t="s">
        <v>9998</v>
      </c>
      <c r="I8649" t="s">
        <v>7352</v>
      </c>
      <c r="J8649" t="s">
        <v>34198</v>
      </c>
      <c r="K8649" t="s">
        <v>37210</v>
      </c>
      <c r="M8649" t="s">
        <v>40319</v>
      </c>
      <c r="N8649" t="s">
        <v>41249</v>
      </c>
      <c r="O8649" t="s">
        <v>41250</v>
      </c>
      <c r="P8649">
        <v>0</v>
      </c>
      <c r="Q8649">
        <v>0</v>
      </c>
      <c r="R8649" t="s">
        <v>41258</v>
      </c>
      <c r="S8649" t="s">
        <v>41513</v>
      </c>
      <c r="T8649" t="s">
        <v>42767</v>
      </c>
      <c r="U8649" t="s">
        <v>50213</v>
      </c>
      <c r="W8649" t="s">
        <v>40319</v>
      </c>
      <c r="X8649" t="s">
        <v>41259</v>
      </c>
    </row>
    <row r="8650" spans="1:24">
      <c r="A8650">
        <f>HYPERLINK("https://www.philgeps.gov.ph/GEPSNONPILOT/Tender/SplashBidNoticeAbstractUI.aspx?menuIndex=3&amp;refID=7067113&amp;Result=3","7067113")</f>
        <v>0</v>
      </c>
      <c r="B8650" t="s">
        <v>2541</v>
      </c>
      <c r="C8650" t="s">
        <v>11637</v>
      </c>
      <c r="D8650" t="s">
        <v>16632</v>
      </c>
      <c r="E8650" t="s">
        <v>24256</v>
      </c>
      <c r="F8650" t="s">
        <v>28669</v>
      </c>
      <c r="G8650" t="s">
        <v>28675</v>
      </c>
      <c r="H8650" t="s">
        <v>28686</v>
      </c>
      <c r="I8650" t="s">
        <v>28689</v>
      </c>
      <c r="J8650" t="s">
        <v>34199</v>
      </c>
      <c r="K8650" t="s">
        <v>37271</v>
      </c>
      <c r="M8650" t="s">
        <v>40231</v>
      </c>
      <c r="N8650" t="s">
        <v>41249</v>
      </c>
      <c r="O8650" t="s">
        <v>41250</v>
      </c>
      <c r="P8650">
        <v>0</v>
      </c>
      <c r="Q8650">
        <v>1</v>
      </c>
      <c r="R8650" t="s">
        <v>41258</v>
      </c>
      <c r="S8650" t="s">
        <v>41513</v>
      </c>
      <c r="T8650" t="s">
        <v>42760</v>
      </c>
      <c r="U8650" t="s">
        <v>49942</v>
      </c>
      <c r="W8650" t="s">
        <v>40231</v>
      </c>
      <c r="X8650" t="s">
        <v>41259</v>
      </c>
    </row>
    <row r="8651" spans="1:24">
      <c r="A8651">
        <f>HYPERLINK("https://www.philgeps.gov.ph/GEPSNONPILOT/Tender/SplashBidNoticeAbstractUI.aspx?menuIndex=3&amp;refID=7067146&amp;Result=3","7067146")</f>
        <v>0</v>
      </c>
      <c r="B8651" t="s">
        <v>2541</v>
      </c>
      <c r="C8651" t="s">
        <v>11638</v>
      </c>
      <c r="D8651" t="s">
        <v>16632</v>
      </c>
      <c r="E8651" t="s">
        <v>24257</v>
      </c>
      <c r="F8651" t="s">
        <v>28669</v>
      </c>
      <c r="G8651" t="s">
        <v>28675</v>
      </c>
      <c r="H8651" t="s">
        <v>28686</v>
      </c>
      <c r="I8651" t="s">
        <v>28689</v>
      </c>
      <c r="J8651" t="s">
        <v>34200</v>
      </c>
      <c r="K8651" t="s">
        <v>37215</v>
      </c>
      <c r="M8651" t="s">
        <v>40231</v>
      </c>
      <c r="N8651" t="s">
        <v>41249</v>
      </c>
      <c r="O8651" t="s">
        <v>41250</v>
      </c>
      <c r="P8651">
        <v>0</v>
      </c>
      <c r="Q8651">
        <v>1</v>
      </c>
      <c r="R8651" t="s">
        <v>41258</v>
      </c>
      <c r="S8651" t="s">
        <v>41513</v>
      </c>
      <c r="T8651" t="s">
        <v>42760</v>
      </c>
      <c r="U8651" t="s">
        <v>49942</v>
      </c>
      <c r="W8651" t="s">
        <v>40231</v>
      </c>
      <c r="X8651" t="s">
        <v>41259</v>
      </c>
    </row>
    <row r="8652" spans="1:24">
      <c r="A8652">
        <f>HYPERLINK("https://www.philgeps.gov.ph/GEPSNONPILOT/Tender/SplashBidNoticeAbstractUI.aspx?menuIndex=3&amp;refID=7067098&amp;Result=3","7067098")</f>
        <v>0</v>
      </c>
      <c r="B8652" t="s">
        <v>906</v>
      </c>
      <c r="C8652" t="s">
        <v>11639</v>
      </c>
      <c r="D8652" t="s">
        <v>16683</v>
      </c>
      <c r="E8652" t="s">
        <v>24258</v>
      </c>
      <c r="F8652" t="s">
        <v>28669</v>
      </c>
      <c r="G8652" t="s">
        <v>28675</v>
      </c>
      <c r="H8652" t="s">
        <v>28686</v>
      </c>
      <c r="I8652" t="s">
        <v>28689</v>
      </c>
      <c r="J8652" t="s">
        <v>34201</v>
      </c>
      <c r="K8652" t="s">
        <v>37206</v>
      </c>
      <c r="M8652" t="s">
        <v>38428</v>
      </c>
      <c r="N8652" t="s">
        <v>41249</v>
      </c>
      <c r="O8652" t="s">
        <v>41250</v>
      </c>
      <c r="P8652">
        <v>0</v>
      </c>
      <c r="Q8652">
        <v>0</v>
      </c>
      <c r="R8652" t="s">
        <v>41258</v>
      </c>
      <c r="S8652" t="s">
        <v>41513</v>
      </c>
      <c r="T8652" t="s">
        <v>42767</v>
      </c>
      <c r="U8652" t="s">
        <v>50214</v>
      </c>
      <c r="W8652" t="s">
        <v>38428</v>
      </c>
      <c r="X8652" t="s">
        <v>41259</v>
      </c>
    </row>
    <row r="8653" spans="1:24">
      <c r="A8653">
        <f>HYPERLINK("https://www.philgeps.gov.ph/GEPSNONPILOT/Tender/SplashBidNoticeAbstractUI.aspx?menuIndex=3&amp;refID=7067074&amp;Result=3","7067074")</f>
        <v>0</v>
      </c>
      <c r="B8653" t="s">
        <v>1466</v>
      </c>
      <c r="C8653" t="s">
        <v>11640</v>
      </c>
      <c r="D8653" t="s">
        <v>16679</v>
      </c>
      <c r="E8653" t="s">
        <v>24259</v>
      </c>
      <c r="F8653" t="s">
        <v>28669</v>
      </c>
      <c r="G8653" t="s">
        <v>28675</v>
      </c>
      <c r="H8653" t="s">
        <v>28686</v>
      </c>
      <c r="I8653" t="s">
        <v>28689</v>
      </c>
      <c r="J8653" t="s">
        <v>31399</v>
      </c>
      <c r="K8653" t="s">
        <v>37220</v>
      </c>
      <c r="M8653" t="s">
        <v>39034</v>
      </c>
      <c r="N8653" t="s">
        <v>41249</v>
      </c>
      <c r="O8653" t="s">
        <v>41250</v>
      </c>
      <c r="P8653">
        <v>0</v>
      </c>
      <c r="Q8653">
        <v>5</v>
      </c>
      <c r="R8653" t="s">
        <v>41258</v>
      </c>
      <c r="S8653" t="s">
        <v>41513</v>
      </c>
      <c r="T8653" t="s">
        <v>42911</v>
      </c>
      <c r="U8653" t="s">
        <v>50072</v>
      </c>
      <c r="W8653" t="s">
        <v>55956</v>
      </c>
      <c r="X8653" t="s">
        <v>41259</v>
      </c>
    </row>
    <row r="8654" spans="1:24">
      <c r="A8654">
        <f>HYPERLINK("https://www.philgeps.gov.ph/GEPSNONPILOT/Tender/SplashBidNoticeAbstractUI.aspx?menuIndex=3&amp;refID=7067179&amp;Result=3","7067179")</f>
        <v>0</v>
      </c>
      <c r="B8654" t="s">
        <v>1611</v>
      </c>
      <c r="C8654" t="s">
        <v>11641</v>
      </c>
      <c r="D8654" t="s">
        <v>16608</v>
      </c>
      <c r="E8654" t="s">
        <v>17578</v>
      </c>
      <c r="F8654" t="s">
        <v>28669</v>
      </c>
      <c r="G8654" t="s">
        <v>28675</v>
      </c>
      <c r="H8654" t="s">
        <v>28684</v>
      </c>
      <c r="I8654" t="s">
        <v>28728</v>
      </c>
      <c r="J8654" t="s">
        <v>34202</v>
      </c>
      <c r="K8654" t="s">
        <v>37327</v>
      </c>
      <c r="M8654" t="s">
        <v>39195</v>
      </c>
      <c r="N8654" t="s">
        <v>41249</v>
      </c>
      <c r="O8654" t="s">
        <v>41250</v>
      </c>
      <c r="P8654">
        <v>0</v>
      </c>
      <c r="Q8654">
        <v>3</v>
      </c>
      <c r="R8654" t="s">
        <v>41258</v>
      </c>
      <c r="S8654" t="s">
        <v>41513</v>
      </c>
      <c r="T8654" t="s">
        <v>42761</v>
      </c>
      <c r="U8654" t="s">
        <v>50215</v>
      </c>
      <c r="W8654" t="s">
        <v>39195</v>
      </c>
      <c r="X8654" t="s">
        <v>41259</v>
      </c>
    </row>
    <row r="8655" spans="1:24">
      <c r="A8655">
        <f>HYPERLINK("https://www.philgeps.gov.ph/GEPSNONPILOT/Tender/SplashBidNoticeAbstractUI.aspx?menuIndex=3&amp;refID=7067176&amp;Result=3","7067176")</f>
        <v>0</v>
      </c>
      <c r="B8655" t="s">
        <v>968</v>
      </c>
      <c r="C8655" t="s">
        <v>11642</v>
      </c>
      <c r="E8655" t="s">
        <v>24260</v>
      </c>
      <c r="F8655" t="s">
        <v>28669</v>
      </c>
      <c r="G8655" t="s">
        <v>28675</v>
      </c>
      <c r="H8655" t="s">
        <v>9998</v>
      </c>
      <c r="I8655" t="s">
        <v>28689</v>
      </c>
      <c r="J8655" t="s">
        <v>34203</v>
      </c>
      <c r="K8655" t="s">
        <v>37209</v>
      </c>
      <c r="M8655" t="s">
        <v>38493</v>
      </c>
      <c r="N8655" t="s">
        <v>41249</v>
      </c>
      <c r="O8655" t="s">
        <v>41250</v>
      </c>
      <c r="P8655">
        <v>0</v>
      </c>
      <c r="Q8655">
        <v>3</v>
      </c>
      <c r="R8655" t="s">
        <v>41258</v>
      </c>
      <c r="S8655" t="s">
        <v>41513</v>
      </c>
      <c r="T8655" t="s">
        <v>42743</v>
      </c>
      <c r="U8655" t="s">
        <v>50216</v>
      </c>
      <c r="W8655" t="s">
        <v>38493</v>
      </c>
      <c r="X8655" t="s">
        <v>41259</v>
      </c>
    </row>
    <row r="8656" spans="1:24">
      <c r="A8656">
        <f>HYPERLINK("https://www.philgeps.gov.ph/GEPSNONPILOT/Tender/SplashBidNoticeAbstractUI.aspx?menuIndex=3&amp;refID=7067071&amp;Result=3","7067071")</f>
        <v>0</v>
      </c>
      <c r="B8656" t="s">
        <v>1466</v>
      </c>
      <c r="C8656" t="s">
        <v>11643</v>
      </c>
      <c r="D8656" t="s">
        <v>16679</v>
      </c>
      <c r="E8656" t="s">
        <v>24261</v>
      </c>
      <c r="F8656" t="s">
        <v>28669</v>
      </c>
      <c r="G8656" t="s">
        <v>28675</v>
      </c>
      <c r="H8656" t="s">
        <v>28686</v>
      </c>
      <c r="I8656" t="s">
        <v>28689</v>
      </c>
      <c r="J8656" t="s">
        <v>31313</v>
      </c>
      <c r="K8656" t="s">
        <v>37221</v>
      </c>
      <c r="M8656" t="s">
        <v>39034</v>
      </c>
      <c r="N8656" t="s">
        <v>41249</v>
      </c>
      <c r="O8656" t="s">
        <v>41250</v>
      </c>
      <c r="P8656">
        <v>0</v>
      </c>
      <c r="Q8656">
        <v>4</v>
      </c>
      <c r="R8656" t="s">
        <v>41258</v>
      </c>
      <c r="S8656" t="s">
        <v>41513</v>
      </c>
      <c r="T8656" t="s">
        <v>42911</v>
      </c>
      <c r="U8656" t="s">
        <v>50072</v>
      </c>
      <c r="W8656" t="s">
        <v>55956</v>
      </c>
      <c r="X8656" t="s">
        <v>41259</v>
      </c>
    </row>
    <row r="8657" spans="1:24">
      <c r="A8657">
        <f>HYPERLINK("https://www.philgeps.gov.ph/GEPSNONPILOT/Tender/SplashBidNoticeAbstractUI.aspx?menuIndex=3&amp;refID=7067165&amp;Result=3","7067165")</f>
        <v>0</v>
      </c>
      <c r="B8657" t="s">
        <v>1777</v>
      </c>
      <c r="C8657" t="s">
        <v>3788</v>
      </c>
      <c r="D8657" t="s">
        <v>16608</v>
      </c>
      <c r="E8657" t="s">
        <v>24262</v>
      </c>
      <c r="F8657" t="s">
        <v>28669</v>
      </c>
      <c r="G8657" t="s">
        <v>28678</v>
      </c>
      <c r="H8657" t="s">
        <v>9998</v>
      </c>
      <c r="I8657" t="s">
        <v>28688</v>
      </c>
      <c r="J8657" t="s">
        <v>34204</v>
      </c>
      <c r="K8657" t="s">
        <v>37210</v>
      </c>
      <c r="M8657" t="s">
        <v>39380</v>
      </c>
      <c r="N8657" t="s">
        <v>41249</v>
      </c>
      <c r="O8657" t="s">
        <v>41250</v>
      </c>
      <c r="P8657">
        <v>0</v>
      </c>
      <c r="Q8657">
        <v>5</v>
      </c>
      <c r="R8657" t="s">
        <v>41258</v>
      </c>
      <c r="S8657" t="s">
        <v>41513</v>
      </c>
      <c r="T8657" t="s">
        <v>42767</v>
      </c>
      <c r="U8657" t="s">
        <v>50217</v>
      </c>
      <c r="W8657" t="s">
        <v>39380</v>
      </c>
      <c r="X8657" t="s">
        <v>41259</v>
      </c>
    </row>
    <row r="8658" spans="1:24">
      <c r="A8658">
        <f>HYPERLINK("https://www.philgeps.gov.ph/GEPSNONPILOT/Tender/SplashBidNoticeAbstractUI.aspx?menuIndex=3&amp;refID=7067116&amp;Result=3","7067116")</f>
        <v>0</v>
      </c>
      <c r="B8658" t="s">
        <v>906</v>
      </c>
      <c r="C8658" t="s">
        <v>11644</v>
      </c>
      <c r="D8658" t="s">
        <v>16683</v>
      </c>
      <c r="E8658" t="s">
        <v>24263</v>
      </c>
      <c r="F8658" t="s">
        <v>28669</v>
      </c>
      <c r="G8658" t="s">
        <v>28675</v>
      </c>
      <c r="H8658" t="s">
        <v>28686</v>
      </c>
      <c r="I8658" t="s">
        <v>28689</v>
      </c>
      <c r="J8658" t="s">
        <v>34205</v>
      </c>
      <c r="K8658" t="s">
        <v>37206</v>
      </c>
      <c r="M8658" t="s">
        <v>38428</v>
      </c>
      <c r="N8658" t="s">
        <v>41249</v>
      </c>
      <c r="O8658" t="s">
        <v>41250</v>
      </c>
      <c r="P8658">
        <v>0</v>
      </c>
      <c r="Q8658">
        <v>0</v>
      </c>
      <c r="R8658" t="s">
        <v>41258</v>
      </c>
      <c r="S8658" t="s">
        <v>41513</v>
      </c>
      <c r="T8658" t="s">
        <v>42767</v>
      </c>
      <c r="U8658" t="s">
        <v>50218</v>
      </c>
      <c r="W8658" t="s">
        <v>38428</v>
      </c>
      <c r="X8658" t="s">
        <v>41259</v>
      </c>
    </row>
    <row r="8659" spans="1:24">
      <c r="A8659">
        <f>HYPERLINK("https://www.philgeps.gov.ph/GEPSNONPILOT/Tender/SplashBidNoticeAbstractUI.aspx?menuIndex=3&amp;refID=7067162&amp;Result=3","7067162")</f>
        <v>0</v>
      </c>
      <c r="B8659" t="s">
        <v>951</v>
      </c>
      <c r="C8659" t="s">
        <v>11645</v>
      </c>
      <c r="D8659" t="s">
        <v>16666</v>
      </c>
      <c r="E8659" t="s">
        <v>24264</v>
      </c>
      <c r="F8659" t="s">
        <v>28669</v>
      </c>
      <c r="G8659" t="s">
        <v>28679</v>
      </c>
      <c r="H8659" t="s">
        <v>9998</v>
      </c>
      <c r="I8659" t="s">
        <v>28743</v>
      </c>
      <c r="J8659" t="s">
        <v>34206</v>
      </c>
      <c r="K8659" t="s">
        <v>37206</v>
      </c>
      <c r="M8659" t="s">
        <v>38475</v>
      </c>
      <c r="N8659" t="s">
        <v>41249</v>
      </c>
      <c r="O8659" t="s">
        <v>41250</v>
      </c>
      <c r="P8659">
        <v>0</v>
      </c>
      <c r="Q8659">
        <v>2</v>
      </c>
      <c r="R8659" t="s">
        <v>41258</v>
      </c>
      <c r="S8659" t="s">
        <v>41513</v>
      </c>
      <c r="T8659" t="s">
        <v>42887</v>
      </c>
      <c r="U8659" t="s">
        <v>50219</v>
      </c>
      <c r="W8659" t="s">
        <v>38475</v>
      </c>
      <c r="X8659" t="s">
        <v>41259</v>
      </c>
    </row>
    <row r="8660" spans="1:24">
      <c r="A8660">
        <f>HYPERLINK("https://www.philgeps.gov.ph/GEPSNONPILOT/Tender/SplashBidNoticeAbstractUI.aspx?menuIndex=3&amp;refID=7067147&amp;Result=3","7067147")</f>
        <v>0</v>
      </c>
      <c r="B8660" t="s">
        <v>951</v>
      </c>
      <c r="C8660" t="s">
        <v>11646</v>
      </c>
      <c r="D8660" t="s">
        <v>16666</v>
      </c>
      <c r="E8660" t="s">
        <v>24265</v>
      </c>
      <c r="F8660" t="s">
        <v>28669</v>
      </c>
      <c r="G8660" t="s">
        <v>28679</v>
      </c>
      <c r="H8660" t="s">
        <v>9998</v>
      </c>
      <c r="I8660" t="s">
        <v>28726</v>
      </c>
      <c r="J8660" t="s">
        <v>34207</v>
      </c>
      <c r="K8660" t="s">
        <v>37243</v>
      </c>
      <c r="M8660" t="s">
        <v>38475</v>
      </c>
      <c r="N8660" t="s">
        <v>41249</v>
      </c>
      <c r="O8660" t="s">
        <v>41250</v>
      </c>
      <c r="P8660">
        <v>0</v>
      </c>
      <c r="Q8660">
        <v>3</v>
      </c>
      <c r="R8660" t="s">
        <v>41258</v>
      </c>
      <c r="S8660" t="s">
        <v>41513</v>
      </c>
      <c r="T8660" t="s">
        <v>42887</v>
      </c>
      <c r="U8660" t="s">
        <v>50220</v>
      </c>
      <c r="W8660" t="s">
        <v>38475</v>
      </c>
      <c r="X8660" t="s">
        <v>41259</v>
      </c>
    </row>
    <row r="8661" spans="1:24">
      <c r="A8661">
        <f>HYPERLINK("https://www.philgeps.gov.ph/GEPSNONPILOT/Tender/SplashBidNoticeAbstractUI.aspx?menuIndex=3&amp;refID=7067153&amp;Result=3","7067153")</f>
        <v>0</v>
      </c>
      <c r="B8661" t="s">
        <v>100</v>
      </c>
      <c r="C8661" t="s">
        <v>11647</v>
      </c>
      <c r="D8661" t="s">
        <v>16608</v>
      </c>
      <c r="E8661" t="s">
        <v>24266</v>
      </c>
      <c r="F8661" t="s">
        <v>28669</v>
      </c>
      <c r="G8661" t="s">
        <v>28675</v>
      </c>
      <c r="H8661" t="s">
        <v>9998</v>
      </c>
      <c r="I8661" t="s">
        <v>28699</v>
      </c>
      <c r="J8661" t="s">
        <v>34208</v>
      </c>
      <c r="K8661" t="s">
        <v>37409</v>
      </c>
      <c r="M8661" t="s">
        <v>40320</v>
      </c>
      <c r="N8661" t="s">
        <v>41249</v>
      </c>
      <c r="O8661" t="s">
        <v>41250</v>
      </c>
      <c r="P8661">
        <v>0</v>
      </c>
      <c r="Q8661">
        <v>9</v>
      </c>
      <c r="R8661" t="s">
        <v>41258</v>
      </c>
      <c r="S8661" t="s">
        <v>41513</v>
      </c>
      <c r="T8661" t="s">
        <v>42796</v>
      </c>
      <c r="U8661" t="s">
        <v>50221</v>
      </c>
      <c r="V8661" t="s">
        <v>55231</v>
      </c>
      <c r="W8661" t="s">
        <v>40320</v>
      </c>
      <c r="X8661" t="s">
        <v>41259</v>
      </c>
    </row>
    <row r="8662" spans="1:24">
      <c r="A8662">
        <f>HYPERLINK("https://www.philgeps.gov.ph/GEPSNONPILOT/Tender/SplashBidNoticeAbstractUI.aspx?menuIndex=3&amp;refID=7067136&amp;Result=3","7067136")</f>
        <v>0</v>
      </c>
      <c r="B8662" t="s">
        <v>2589</v>
      </c>
      <c r="C8662" t="s">
        <v>11648</v>
      </c>
      <c r="D8662" t="s">
        <v>16611</v>
      </c>
      <c r="E8662" t="s">
        <v>24267</v>
      </c>
      <c r="F8662" t="s">
        <v>28669</v>
      </c>
      <c r="G8662" t="s">
        <v>28675</v>
      </c>
      <c r="H8662" t="s">
        <v>9998</v>
      </c>
      <c r="I8662" t="s">
        <v>28749</v>
      </c>
      <c r="J8662" t="s">
        <v>34209</v>
      </c>
      <c r="K8662" t="s">
        <v>37204</v>
      </c>
      <c r="M8662" t="s">
        <v>40284</v>
      </c>
      <c r="N8662" t="s">
        <v>41249</v>
      </c>
      <c r="O8662" t="s">
        <v>41250</v>
      </c>
      <c r="P8662">
        <v>0</v>
      </c>
      <c r="Q8662">
        <v>1</v>
      </c>
      <c r="R8662" t="s">
        <v>41258</v>
      </c>
      <c r="S8662" t="s">
        <v>41513</v>
      </c>
      <c r="T8662" t="s">
        <v>42665</v>
      </c>
      <c r="U8662" t="s">
        <v>50222</v>
      </c>
      <c r="W8662" t="s">
        <v>40284</v>
      </c>
      <c r="X8662" t="s">
        <v>41259</v>
      </c>
    </row>
    <row r="8663" spans="1:24">
      <c r="A8663">
        <f>HYPERLINK("https://www.philgeps.gov.ph/GEPSNONPILOT/Tender/SplashBidNoticeAbstractUI.aspx?menuIndex=3&amp;refID=7067134&amp;Result=3","7067134")</f>
        <v>0</v>
      </c>
      <c r="B8663" t="s">
        <v>1777</v>
      </c>
      <c r="C8663" t="s">
        <v>11649</v>
      </c>
      <c r="D8663" t="s">
        <v>16608</v>
      </c>
      <c r="E8663" t="s">
        <v>24268</v>
      </c>
      <c r="F8663" t="s">
        <v>28669</v>
      </c>
      <c r="G8663" t="s">
        <v>28678</v>
      </c>
      <c r="H8663" t="s">
        <v>9998</v>
      </c>
      <c r="I8663" t="s">
        <v>28708</v>
      </c>
      <c r="J8663" t="s">
        <v>28943</v>
      </c>
      <c r="K8663" t="s">
        <v>37227</v>
      </c>
      <c r="M8663" t="s">
        <v>39380</v>
      </c>
      <c r="N8663" t="s">
        <v>41249</v>
      </c>
      <c r="O8663" t="s">
        <v>41250</v>
      </c>
      <c r="P8663">
        <v>0</v>
      </c>
      <c r="Q8663">
        <v>10</v>
      </c>
      <c r="R8663" t="s">
        <v>41258</v>
      </c>
      <c r="S8663" t="s">
        <v>41513</v>
      </c>
      <c r="T8663" t="s">
        <v>42767</v>
      </c>
      <c r="U8663" t="s">
        <v>50223</v>
      </c>
      <c r="W8663" t="s">
        <v>39380</v>
      </c>
      <c r="X8663" t="s">
        <v>41259</v>
      </c>
    </row>
    <row r="8664" spans="1:24">
      <c r="A8664">
        <f>HYPERLINK("https://www.philgeps.gov.ph/GEPSNONPILOT/Tender/SplashBidNoticeAbstractUI.aspx?menuIndex=3&amp;refID=7067057&amp;Result=3","7067057")</f>
        <v>0</v>
      </c>
      <c r="B8664" t="s">
        <v>1466</v>
      </c>
      <c r="C8664" t="s">
        <v>11650</v>
      </c>
      <c r="D8664" t="s">
        <v>16679</v>
      </c>
      <c r="E8664" t="s">
        <v>24269</v>
      </c>
      <c r="F8664" t="s">
        <v>28669</v>
      </c>
      <c r="G8664" t="s">
        <v>28675</v>
      </c>
      <c r="H8664" t="s">
        <v>28686</v>
      </c>
      <c r="I8664" t="s">
        <v>28689</v>
      </c>
      <c r="J8664" t="s">
        <v>31313</v>
      </c>
      <c r="K8664" t="s">
        <v>37220</v>
      </c>
      <c r="M8664" t="s">
        <v>39034</v>
      </c>
      <c r="N8664" t="s">
        <v>41249</v>
      </c>
      <c r="O8664" t="s">
        <v>41250</v>
      </c>
      <c r="P8664">
        <v>0</v>
      </c>
      <c r="Q8664">
        <v>4</v>
      </c>
      <c r="R8664" t="s">
        <v>41258</v>
      </c>
      <c r="S8664" t="s">
        <v>41513</v>
      </c>
      <c r="T8664" t="s">
        <v>42911</v>
      </c>
      <c r="U8664" t="s">
        <v>50072</v>
      </c>
      <c r="W8664" t="s">
        <v>55956</v>
      </c>
      <c r="X8664" t="s">
        <v>41259</v>
      </c>
    </row>
    <row r="8665" spans="1:24">
      <c r="A8665">
        <f>HYPERLINK("https://www.philgeps.gov.ph/GEPSNONPILOT/Tender/SplashBidNoticeAbstractUI.aspx?menuIndex=3&amp;refID=7067129&amp;Result=3","7067129")</f>
        <v>0</v>
      </c>
      <c r="B8665" t="s">
        <v>906</v>
      </c>
      <c r="C8665" t="s">
        <v>11651</v>
      </c>
      <c r="D8665" t="s">
        <v>16683</v>
      </c>
      <c r="E8665" t="s">
        <v>24270</v>
      </c>
      <c r="F8665" t="s">
        <v>28669</v>
      </c>
      <c r="G8665" t="s">
        <v>28675</v>
      </c>
      <c r="H8665" t="s">
        <v>28686</v>
      </c>
      <c r="I8665" t="s">
        <v>28689</v>
      </c>
      <c r="J8665" t="s">
        <v>34210</v>
      </c>
      <c r="K8665" t="s">
        <v>37214</v>
      </c>
      <c r="M8665" t="s">
        <v>38428</v>
      </c>
      <c r="N8665" t="s">
        <v>41249</v>
      </c>
      <c r="O8665" t="s">
        <v>41250</v>
      </c>
      <c r="P8665">
        <v>0</v>
      </c>
      <c r="Q8665">
        <v>0</v>
      </c>
      <c r="R8665" t="s">
        <v>41258</v>
      </c>
      <c r="S8665" t="s">
        <v>41513</v>
      </c>
      <c r="T8665" t="s">
        <v>42767</v>
      </c>
      <c r="U8665" t="s">
        <v>50224</v>
      </c>
      <c r="W8665" t="s">
        <v>38428</v>
      </c>
      <c r="X8665" t="s">
        <v>41259</v>
      </c>
    </row>
    <row r="8666" spans="1:24">
      <c r="A8666">
        <f>HYPERLINK("https://www.philgeps.gov.ph/GEPSNONPILOT/Tender/SplashBidNoticeAbstractUI.aspx?menuIndex=3&amp;refID=7067122&amp;Result=3","7067122")</f>
        <v>0</v>
      </c>
      <c r="B8666" t="s">
        <v>906</v>
      </c>
      <c r="C8666" t="s">
        <v>11652</v>
      </c>
      <c r="D8666" t="s">
        <v>16683</v>
      </c>
      <c r="E8666" t="s">
        <v>24271</v>
      </c>
      <c r="F8666" t="s">
        <v>28669</v>
      </c>
      <c r="G8666" t="s">
        <v>28675</v>
      </c>
      <c r="H8666" t="s">
        <v>28686</v>
      </c>
      <c r="I8666" t="s">
        <v>28689</v>
      </c>
      <c r="J8666" t="s">
        <v>34211</v>
      </c>
      <c r="K8666" t="s">
        <v>37223</v>
      </c>
      <c r="M8666" t="s">
        <v>38428</v>
      </c>
      <c r="N8666" t="s">
        <v>41249</v>
      </c>
      <c r="O8666" t="s">
        <v>41250</v>
      </c>
      <c r="P8666">
        <v>0</v>
      </c>
      <c r="Q8666">
        <v>0</v>
      </c>
      <c r="R8666" t="s">
        <v>41258</v>
      </c>
      <c r="S8666" t="s">
        <v>41513</v>
      </c>
      <c r="T8666" t="s">
        <v>42767</v>
      </c>
      <c r="U8666" t="s">
        <v>50204</v>
      </c>
      <c r="W8666" t="s">
        <v>38428</v>
      </c>
      <c r="X8666" t="s">
        <v>41259</v>
      </c>
    </row>
    <row r="8667" spans="1:24">
      <c r="A8667">
        <f>HYPERLINK("https://www.philgeps.gov.ph/GEPSNONPILOT/Tender/SplashBidNoticeAbstractUI.aspx?menuIndex=3&amp;refID=7067117&amp;Result=3","7067117")</f>
        <v>0</v>
      </c>
      <c r="B8667" t="s">
        <v>2619</v>
      </c>
      <c r="C8667" t="s">
        <v>11653</v>
      </c>
      <c r="D8667" t="s">
        <v>16641</v>
      </c>
      <c r="E8667" t="s">
        <v>21057</v>
      </c>
      <c r="F8667" t="s">
        <v>28669</v>
      </c>
      <c r="G8667" t="s">
        <v>28683</v>
      </c>
      <c r="H8667" t="s">
        <v>9998</v>
      </c>
      <c r="I8667" t="s">
        <v>6128</v>
      </c>
      <c r="J8667" t="s">
        <v>34212</v>
      </c>
      <c r="K8667" t="s">
        <v>37216</v>
      </c>
      <c r="M8667" t="s">
        <v>40317</v>
      </c>
      <c r="N8667" t="s">
        <v>41249</v>
      </c>
      <c r="O8667" t="s">
        <v>41250</v>
      </c>
      <c r="P8667">
        <v>0</v>
      </c>
      <c r="Q8667">
        <v>2</v>
      </c>
      <c r="R8667" t="s">
        <v>41258</v>
      </c>
      <c r="S8667" t="s">
        <v>41513</v>
      </c>
      <c r="T8667" t="s">
        <v>42728</v>
      </c>
      <c r="U8667" t="s">
        <v>50209</v>
      </c>
      <c r="W8667" t="s">
        <v>40317</v>
      </c>
      <c r="X8667" t="s">
        <v>41259</v>
      </c>
    </row>
    <row r="8668" spans="1:24">
      <c r="A8668">
        <f>HYPERLINK("https://www.philgeps.gov.ph/GEPSNONPILOT/Tender/SplashBidNoticeAbstractUI.aspx?menuIndex=3&amp;refID=7067158&amp;Result=3","7067158")</f>
        <v>0</v>
      </c>
      <c r="B8668" t="s">
        <v>1777</v>
      </c>
      <c r="C8668" t="s">
        <v>11654</v>
      </c>
      <c r="D8668" t="s">
        <v>16608</v>
      </c>
      <c r="E8668" t="s">
        <v>24272</v>
      </c>
      <c r="F8668" t="s">
        <v>28669</v>
      </c>
      <c r="G8668" t="s">
        <v>28678</v>
      </c>
      <c r="H8668" t="s">
        <v>9998</v>
      </c>
      <c r="I8668" t="s">
        <v>28708</v>
      </c>
      <c r="J8668" t="s">
        <v>29281</v>
      </c>
      <c r="K8668" t="s">
        <v>37227</v>
      </c>
      <c r="M8668" t="s">
        <v>39380</v>
      </c>
      <c r="N8668" t="s">
        <v>41249</v>
      </c>
      <c r="O8668" t="s">
        <v>41250</v>
      </c>
      <c r="P8668">
        <v>0</v>
      </c>
      <c r="Q8668">
        <v>9</v>
      </c>
      <c r="R8668" t="s">
        <v>41258</v>
      </c>
      <c r="S8668" t="s">
        <v>41513</v>
      </c>
      <c r="T8668" t="s">
        <v>42767</v>
      </c>
      <c r="U8668" t="s">
        <v>50225</v>
      </c>
      <c r="W8668" t="s">
        <v>39380</v>
      </c>
      <c r="X8668" t="s">
        <v>41259</v>
      </c>
    </row>
    <row r="8669" spans="1:24">
      <c r="A8669">
        <f>HYPERLINK("https://www.philgeps.gov.ph/GEPSNONPILOT/Tender/SplashBidNoticeAbstractUI.aspx?menuIndex=3&amp;refID=7067151&amp;Result=3","7067151")</f>
        <v>0</v>
      </c>
      <c r="B8669" t="s">
        <v>609</v>
      </c>
      <c r="C8669" t="s">
        <v>11655</v>
      </c>
      <c r="E8669" t="s">
        <v>24273</v>
      </c>
      <c r="F8669" t="s">
        <v>28669</v>
      </c>
      <c r="G8669" t="s">
        <v>28675</v>
      </c>
      <c r="H8669" t="s">
        <v>9998</v>
      </c>
      <c r="I8669" t="s">
        <v>28728</v>
      </c>
      <c r="J8669" t="s">
        <v>34213</v>
      </c>
      <c r="K8669" t="s">
        <v>37299</v>
      </c>
      <c r="M8669" t="s">
        <v>40277</v>
      </c>
      <c r="N8669" t="s">
        <v>41249</v>
      </c>
      <c r="O8669" t="s">
        <v>41250</v>
      </c>
      <c r="P8669">
        <v>0</v>
      </c>
      <c r="Q8669">
        <v>5</v>
      </c>
      <c r="R8669" t="s">
        <v>41258</v>
      </c>
      <c r="S8669" t="s">
        <v>41513</v>
      </c>
      <c r="T8669" t="s">
        <v>42660</v>
      </c>
      <c r="U8669" t="s">
        <v>50226</v>
      </c>
      <c r="W8669" t="s">
        <v>40277</v>
      </c>
      <c r="X8669" t="s">
        <v>41259</v>
      </c>
    </row>
    <row r="8670" spans="1:24">
      <c r="A8670">
        <f>HYPERLINK("https://www.philgeps.gov.ph/GEPSNONPILOT/Tender/SplashBidNoticeAbstractUI.aspx?menuIndex=3&amp;refID=7067047&amp;Result=3","7067047")</f>
        <v>0</v>
      </c>
      <c r="B8670" t="s">
        <v>1466</v>
      </c>
      <c r="C8670" t="s">
        <v>11656</v>
      </c>
      <c r="D8670" t="s">
        <v>16679</v>
      </c>
      <c r="E8670" t="s">
        <v>24274</v>
      </c>
      <c r="F8670" t="s">
        <v>28669</v>
      </c>
      <c r="G8670" t="s">
        <v>28675</v>
      </c>
      <c r="H8670" t="s">
        <v>28686</v>
      </c>
      <c r="I8670" t="s">
        <v>28689</v>
      </c>
      <c r="J8670" t="s">
        <v>31313</v>
      </c>
      <c r="K8670" t="s">
        <v>37213</v>
      </c>
      <c r="M8670" t="s">
        <v>39034</v>
      </c>
      <c r="N8670" t="s">
        <v>41249</v>
      </c>
      <c r="O8670" t="s">
        <v>41250</v>
      </c>
      <c r="P8670">
        <v>0</v>
      </c>
      <c r="Q8670">
        <v>4</v>
      </c>
      <c r="R8670" t="s">
        <v>41258</v>
      </c>
      <c r="S8670" t="s">
        <v>41513</v>
      </c>
      <c r="T8670" t="s">
        <v>42911</v>
      </c>
      <c r="U8670" t="s">
        <v>50072</v>
      </c>
      <c r="W8670" t="s">
        <v>55956</v>
      </c>
      <c r="X8670" t="s">
        <v>41259</v>
      </c>
    </row>
    <row r="8671" spans="1:24">
      <c r="A8671">
        <f>HYPERLINK("https://www.philgeps.gov.ph/GEPSNONPILOT/Tender/SplashBidNoticeAbstractUI.aspx?menuIndex=3&amp;refID=7067180&amp;Result=3","7067180")</f>
        <v>0</v>
      </c>
      <c r="B8671" t="s">
        <v>2523</v>
      </c>
      <c r="C8671" t="s">
        <v>11657</v>
      </c>
      <c r="D8671" t="s">
        <v>16608</v>
      </c>
      <c r="E8671" t="s">
        <v>6876</v>
      </c>
      <c r="F8671" t="s">
        <v>28669</v>
      </c>
      <c r="G8671" t="s">
        <v>28675</v>
      </c>
      <c r="H8671" t="s">
        <v>9998</v>
      </c>
      <c r="I8671" t="s">
        <v>11593</v>
      </c>
      <c r="J8671" t="s">
        <v>28826</v>
      </c>
      <c r="K8671" t="s">
        <v>37243</v>
      </c>
      <c r="M8671" t="s">
        <v>40212</v>
      </c>
      <c r="N8671" t="s">
        <v>41249</v>
      </c>
      <c r="O8671" t="s">
        <v>41250</v>
      </c>
      <c r="P8671">
        <v>0</v>
      </c>
      <c r="Q8671">
        <v>4</v>
      </c>
      <c r="R8671" t="s">
        <v>41258</v>
      </c>
      <c r="S8671" t="s">
        <v>41513</v>
      </c>
      <c r="T8671" t="s">
        <v>42728</v>
      </c>
      <c r="U8671" t="s">
        <v>50227</v>
      </c>
      <c r="W8671" t="s">
        <v>40212</v>
      </c>
      <c r="X8671" t="s">
        <v>41259</v>
      </c>
    </row>
    <row r="8672" spans="1:24">
      <c r="A8672">
        <f>HYPERLINK("https://www.philgeps.gov.ph/GEPSNONPILOT/Tender/SplashBidNoticeAbstractUI.aspx?menuIndex=3&amp;refID=7067237&amp;Result=3","7067237")</f>
        <v>0</v>
      </c>
      <c r="B8672" t="s">
        <v>345</v>
      </c>
      <c r="C8672" t="s">
        <v>11658</v>
      </c>
      <c r="D8672" t="s">
        <v>16666</v>
      </c>
      <c r="E8672" t="s">
        <v>24275</v>
      </c>
      <c r="F8672" t="s">
        <v>28669</v>
      </c>
      <c r="G8672" t="s">
        <v>28676</v>
      </c>
      <c r="H8672" t="s">
        <v>9998</v>
      </c>
      <c r="I8672" t="s">
        <v>28726</v>
      </c>
      <c r="J8672" t="s">
        <v>29433</v>
      </c>
      <c r="K8672" t="s">
        <v>37209</v>
      </c>
      <c r="M8672" t="s">
        <v>37825</v>
      </c>
      <c r="N8672" t="s">
        <v>41249</v>
      </c>
      <c r="O8672" t="s">
        <v>41250</v>
      </c>
      <c r="Q8672">
        <v>2</v>
      </c>
      <c r="R8672" t="s">
        <v>41258</v>
      </c>
      <c r="S8672" t="s">
        <v>41559</v>
      </c>
      <c r="T8672" t="s">
        <v>42802</v>
      </c>
      <c r="U8672" t="s">
        <v>43748</v>
      </c>
      <c r="W8672" t="s">
        <v>37825</v>
      </c>
      <c r="X8672" t="s">
        <v>41259</v>
      </c>
    </row>
    <row r="8673" spans="1:24">
      <c r="A8673">
        <f>HYPERLINK("https://www.philgeps.gov.ph/GEPSNONPILOT/Tender/SplashBidNoticeAbstractUI.aspx?menuIndex=3&amp;refID=7067118&amp;Result=3","7067118")</f>
        <v>0</v>
      </c>
      <c r="B8673" t="s">
        <v>2622</v>
      </c>
      <c r="C8673" t="s">
        <v>11659</v>
      </c>
      <c r="D8673" t="s">
        <v>16608</v>
      </c>
      <c r="E8673" t="s">
        <v>24276</v>
      </c>
      <c r="F8673" t="s">
        <v>28669</v>
      </c>
      <c r="G8673" t="s">
        <v>28675</v>
      </c>
      <c r="H8673" t="s">
        <v>9998</v>
      </c>
      <c r="I8673" t="s">
        <v>5213</v>
      </c>
      <c r="J8673" t="s">
        <v>34214</v>
      </c>
      <c r="K8673" t="s">
        <v>37243</v>
      </c>
      <c r="M8673" t="s">
        <v>40321</v>
      </c>
      <c r="N8673" t="s">
        <v>41249</v>
      </c>
      <c r="O8673" t="s">
        <v>41250</v>
      </c>
      <c r="P8673">
        <v>0</v>
      </c>
      <c r="Q8673">
        <v>5</v>
      </c>
      <c r="R8673" t="s">
        <v>41258</v>
      </c>
      <c r="S8673" t="s">
        <v>41513</v>
      </c>
      <c r="T8673" t="s">
        <v>42736</v>
      </c>
      <c r="U8673" t="s">
        <v>50228</v>
      </c>
      <c r="V8673" t="s">
        <v>55232</v>
      </c>
      <c r="W8673" t="s">
        <v>40321</v>
      </c>
      <c r="X8673" t="s">
        <v>41259</v>
      </c>
    </row>
    <row r="8674" spans="1:24">
      <c r="A8674">
        <f>HYPERLINK("https://www.philgeps.gov.ph/GEPSNONPILOT/Tender/SplashBidNoticeAbstractUI.aspx?menuIndex=3&amp;refID=7067221&amp;Result=3","7067221")</f>
        <v>0</v>
      </c>
      <c r="B8674" t="s">
        <v>2104</v>
      </c>
      <c r="C8674" t="s">
        <v>11660</v>
      </c>
      <c r="D8674" t="s">
        <v>16625</v>
      </c>
      <c r="E8674" t="s">
        <v>24277</v>
      </c>
      <c r="F8674" t="s">
        <v>28669</v>
      </c>
      <c r="G8674" t="s">
        <v>28675</v>
      </c>
      <c r="H8674" t="s">
        <v>9998</v>
      </c>
      <c r="I8674" t="s">
        <v>7352</v>
      </c>
      <c r="J8674" t="s">
        <v>29497</v>
      </c>
      <c r="K8674" t="s">
        <v>37206</v>
      </c>
      <c r="M8674" t="s">
        <v>39747</v>
      </c>
      <c r="N8674" t="s">
        <v>41249</v>
      </c>
      <c r="O8674" t="s">
        <v>41250</v>
      </c>
      <c r="P8674">
        <v>0</v>
      </c>
      <c r="Q8674">
        <v>0</v>
      </c>
      <c r="R8674" t="s">
        <v>41258</v>
      </c>
      <c r="S8674" t="s">
        <v>41513</v>
      </c>
      <c r="T8674" t="s">
        <v>42673</v>
      </c>
      <c r="U8674" t="s">
        <v>50229</v>
      </c>
      <c r="V8674" t="s">
        <v>55233</v>
      </c>
      <c r="W8674" t="s">
        <v>39747</v>
      </c>
      <c r="X8674" t="s">
        <v>41259</v>
      </c>
    </row>
    <row r="8675" spans="1:24">
      <c r="A8675">
        <f>HYPERLINK("https://www.philgeps.gov.ph/GEPSNONPILOT/Tender/SplashBidNoticeAbstractUI.aspx?menuIndex=3&amp;refID=7067220&amp;Result=3","7067220")</f>
        <v>0</v>
      </c>
      <c r="B8675" t="s">
        <v>2623</v>
      </c>
      <c r="C8675" t="s">
        <v>11661</v>
      </c>
      <c r="D8675" t="s">
        <v>16613</v>
      </c>
      <c r="E8675" t="s">
        <v>24278</v>
      </c>
      <c r="F8675" t="s">
        <v>28669</v>
      </c>
      <c r="G8675" t="s">
        <v>28675</v>
      </c>
      <c r="H8675" t="s">
        <v>28686</v>
      </c>
      <c r="I8675" t="s">
        <v>28689</v>
      </c>
      <c r="J8675" t="s">
        <v>28881</v>
      </c>
      <c r="K8675" t="s">
        <v>37213</v>
      </c>
      <c r="M8675" t="s">
        <v>40322</v>
      </c>
      <c r="N8675" t="s">
        <v>41249</v>
      </c>
      <c r="O8675" t="s">
        <v>41250</v>
      </c>
      <c r="P8675">
        <v>0</v>
      </c>
      <c r="Q8675">
        <v>1</v>
      </c>
      <c r="R8675" t="s">
        <v>41258</v>
      </c>
      <c r="S8675" t="s">
        <v>41513</v>
      </c>
      <c r="T8675" t="s">
        <v>42972</v>
      </c>
      <c r="U8675" t="s">
        <v>50230</v>
      </c>
      <c r="W8675" t="s">
        <v>56005</v>
      </c>
      <c r="X8675" t="s">
        <v>41259</v>
      </c>
    </row>
    <row r="8676" spans="1:24">
      <c r="A8676">
        <f>HYPERLINK("https://www.philgeps.gov.ph/GEPSNONPILOT/Tender/SplashBidNoticeAbstractUI.aspx?menuIndex=3&amp;refID=7067213&amp;Result=3","7067213")</f>
        <v>0</v>
      </c>
      <c r="B8676" t="s">
        <v>2104</v>
      </c>
      <c r="C8676" t="s">
        <v>11662</v>
      </c>
      <c r="D8676" t="s">
        <v>16625</v>
      </c>
      <c r="E8676" t="s">
        <v>18546</v>
      </c>
      <c r="F8676" t="s">
        <v>28669</v>
      </c>
      <c r="G8676" t="s">
        <v>28675</v>
      </c>
      <c r="H8676" t="s">
        <v>9998</v>
      </c>
      <c r="I8676" t="s">
        <v>28706</v>
      </c>
      <c r="J8676" t="s">
        <v>34215</v>
      </c>
      <c r="K8676" t="s">
        <v>37210</v>
      </c>
      <c r="M8676" t="s">
        <v>39747</v>
      </c>
      <c r="N8676" t="s">
        <v>41249</v>
      </c>
      <c r="O8676" t="s">
        <v>41250</v>
      </c>
      <c r="P8676">
        <v>0</v>
      </c>
      <c r="Q8676">
        <v>0</v>
      </c>
      <c r="R8676" t="s">
        <v>41258</v>
      </c>
      <c r="S8676" t="s">
        <v>41513</v>
      </c>
      <c r="T8676" t="s">
        <v>42673</v>
      </c>
      <c r="U8676" t="s">
        <v>50231</v>
      </c>
      <c r="V8676" t="s">
        <v>55234</v>
      </c>
      <c r="W8676" t="s">
        <v>39747</v>
      </c>
      <c r="X8676" t="s">
        <v>41259</v>
      </c>
    </row>
    <row r="8677" spans="1:24">
      <c r="A8677">
        <f>HYPERLINK("https://www.philgeps.gov.ph/GEPSNONPILOT/Tender/SplashBidNoticeAbstractUI.aspx?menuIndex=3&amp;refID=7067150&amp;Result=3","7067150")</f>
        <v>0</v>
      </c>
      <c r="B8677" t="s">
        <v>1777</v>
      </c>
      <c r="C8677" t="s">
        <v>11663</v>
      </c>
      <c r="D8677" t="s">
        <v>16608</v>
      </c>
      <c r="E8677" t="s">
        <v>24279</v>
      </c>
      <c r="F8677" t="s">
        <v>28669</v>
      </c>
      <c r="G8677" t="s">
        <v>28678</v>
      </c>
      <c r="H8677" t="s">
        <v>9998</v>
      </c>
      <c r="I8677" t="s">
        <v>28708</v>
      </c>
      <c r="J8677" t="s">
        <v>33079</v>
      </c>
      <c r="K8677" t="s">
        <v>37227</v>
      </c>
      <c r="M8677" t="s">
        <v>39380</v>
      </c>
      <c r="N8677" t="s">
        <v>41249</v>
      </c>
      <c r="O8677" t="s">
        <v>41250</v>
      </c>
      <c r="P8677">
        <v>0</v>
      </c>
      <c r="Q8677">
        <v>10</v>
      </c>
      <c r="R8677" t="s">
        <v>41258</v>
      </c>
      <c r="S8677" t="s">
        <v>41513</v>
      </c>
      <c r="T8677" t="s">
        <v>42767</v>
      </c>
      <c r="U8677" t="s">
        <v>50232</v>
      </c>
      <c r="W8677" t="s">
        <v>39380</v>
      </c>
      <c r="X8677" t="s">
        <v>41259</v>
      </c>
    </row>
    <row r="8678" spans="1:24">
      <c r="A8678">
        <f>HYPERLINK("https://www.philgeps.gov.ph/GEPSNONPILOT/Tender/SplashBidNoticeAbstractUI.aspx?menuIndex=3&amp;refID=7067187&amp;Result=3","7067187")</f>
        <v>0</v>
      </c>
      <c r="B8678" t="s">
        <v>1503</v>
      </c>
      <c r="C8678" t="s">
        <v>11664</v>
      </c>
      <c r="D8678" t="s">
        <v>16666</v>
      </c>
      <c r="E8678" t="s">
        <v>24280</v>
      </c>
      <c r="F8678" t="s">
        <v>28669</v>
      </c>
      <c r="G8678" t="s">
        <v>28675</v>
      </c>
      <c r="H8678" t="s">
        <v>9998</v>
      </c>
      <c r="I8678" t="s">
        <v>28736</v>
      </c>
      <c r="J8678" t="s">
        <v>34216</v>
      </c>
      <c r="K8678" t="s">
        <v>37206</v>
      </c>
      <c r="M8678" t="s">
        <v>39076</v>
      </c>
      <c r="N8678" t="s">
        <v>41249</v>
      </c>
      <c r="O8678" t="s">
        <v>41250</v>
      </c>
      <c r="P8678">
        <v>0</v>
      </c>
      <c r="Q8678">
        <v>4</v>
      </c>
      <c r="R8678" t="s">
        <v>41258</v>
      </c>
      <c r="S8678" t="s">
        <v>41513</v>
      </c>
      <c r="T8678" t="s">
        <v>42693</v>
      </c>
      <c r="U8678" t="s">
        <v>50233</v>
      </c>
      <c r="W8678" t="s">
        <v>55959</v>
      </c>
      <c r="X8678" t="s">
        <v>41259</v>
      </c>
    </row>
    <row r="8679" spans="1:24">
      <c r="A8679">
        <f>HYPERLINK("https://www.philgeps.gov.ph/GEPSNONPILOT/Tender/SplashBidNoticeAbstractUI.aspx?menuIndex=3&amp;refID=7067226&amp;Result=3","7067226")</f>
        <v>0</v>
      </c>
      <c r="B8679" t="s">
        <v>2624</v>
      </c>
      <c r="C8679" t="s">
        <v>11665</v>
      </c>
      <c r="D8679" t="s">
        <v>16616</v>
      </c>
      <c r="E8679" t="s">
        <v>24281</v>
      </c>
      <c r="F8679" t="s">
        <v>28670</v>
      </c>
      <c r="G8679" t="s">
        <v>28677</v>
      </c>
      <c r="H8679" t="s">
        <v>9998</v>
      </c>
      <c r="I8679" t="s">
        <v>28711</v>
      </c>
      <c r="J8679" t="s">
        <v>28834</v>
      </c>
      <c r="K8679" t="s">
        <v>37205</v>
      </c>
      <c r="M8679" t="s">
        <v>40323</v>
      </c>
      <c r="N8679" t="s">
        <v>41249</v>
      </c>
      <c r="O8679" t="s">
        <v>41250</v>
      </c>
      <c r="P8679">
        <v>0</v>
      </c>
      <c r="Q8679">
        <v>8</v>
      </c>
      <c r="R8679" t="s">
        <v>41258</v>
      </c>
      <c r="S8679" t="s">
        <v>41513</v>
      </c>
      <c r="T8679" t="s">
        <v>42883</v>
      </c>
      <c r="U8679" t="s">
        <v>50234</v>
      </c>
      <c r="W8679" t="s">
        <v>40323</v>
      </c>
      <c r="X8679" t="s">
        <v>41259</v>
      </c>
    </row>
    <row r="8680" spans="1:24">
      <c r="A8680">
        <f>HYPERLINK("https://www.philgeps.gov.ph/GEPSNONPILOT/Tender/SplashBidNoticeAbstractUI.aspx?menuIndex=3&amp;refID=7067235&amp;Result=3","7067235")</f>
        <v>0</v>
      </c>
      <c r="B8680" t="s">
        <v>991</v>
      </c>
      <c r="C8680" t="s">
        <v>11666</v>
      </c>
      <c r="E8680" t="s">
        <v>24282</v>
      </c>
      <c r="F8680" t="s">
        <v>28669</v>
      </c>
      <c r="G8680" t="s">
        <v>28682</v>
      </c>
      <c r="H8680" t="s">
        <v>9998</v>
      </c>
      <c r="I8680" t="s">
        <v>28736</v>
      </c>
      <c r="J8680" t="s">
        <v>34217</v>
      </c>
      <c r="K8680" t="s">
        <v>37220</v>
      </c>
      <c r="M8680" t="s">
        <v>38805</v>
      </c>
      <c r="N8680" t="s">
        <v>41249</v>
      </c>
      <c r="O8680" t="s">
        <v>41250</v>
      </c>
      <c r="P8680">
        <v>0</v>
      </c>
      <c r="Q8680">
        <v>2</v>
      </c>
      <c r="R8680" t="s">
        <v>41258</v>
      </c>
      <c r="S8680" t="s">
        <v>41513</v>
      </c>
      <c r="T8680" t="s">
        <v>42761</v>
      </c>
      <c r="U8680" t="s">
        <v>50235</v>
      </c>
      <c r="V8680" t="s">
        <v>54615</v>
      </c>
      <c r="W8680" t="s">
        <v>38805</v>
      </c>
      <c r="X8680" t="s">
        <v>41259</v>
      </c>
    </row>
    <row r="8681" spans="1:24">
      <c r="A8681">
        <f>HYPERLINK("https://www.philgeps.gov.ph/GEPSNONPILOT/Tender/SplashBidNoticeAbstractUI.aspx?menuIndex=3&amp;refID=7067246&amp;Result=3","7067246")</f>
        <v>0</v>
      </c>
      <c r="B8681" t="s">
        <v>36</v>
      </c>
      <c r="C8681" t="s">
        <v>11667</v>
      </c>
      <c r="D8681" t="s">
        <v>16619</v>
      </c>
      <c r="E8681" t="s">
        <v>24283</v>
      </c>
      <c r="F8681" t="s">
        <v>28669</v>
      </c>
      <c r="G8681" t="s">
        <v>28675</v>
      </c>
      <c r="H8681" t="s">
        <v>9998</v>
      </c>
      <c r="I8681" t="s">
        <v>28687</v>
      </c>
      <c r="J8681" t="s">
        <v>34181</v>
      </c>
      <c r="K8681" t="s">
        <v>37210</v>
      </c>
      <c r="M8681" t="s">
        <v>37511</v>
      </c>
      <c r="N8681" t="s">
        <v>41249</v>
      </c>
      <c r="O8681" t="s">
        <v>41250</v>
      </c>
      <c r="P8681">
        <v>0</v>
      </c>
      <c r="Q8681">
        <v>1</v>
      </c>
      <c r="R8681" t="s">
        <v>41258</v>
      </c>
      <c r="S8681" t="s">
        <v>41513</v>
      </c>
      <c r="T8681" t="s">
        <v>43002</v>
      </c>
      <c r="U8681" t="s">
        <v>44561</v>
      </c>
      <c r="V8681" t="s">
        <v>54253</v>
      </c>
      <c r="W8681" t="s">
        <v>37511</v>
      </c>
      <c r="X8681" t="s">
        <v>41259</v>
      </c>
    </row>
    <row r="8682" spans="1:24">
      <c r="A8682">
        <f>HYPERLINK("https://www.philgeps.gov.ph/GEPSNONPILOT/Tender/SplashBidNoticeAbstractUI.aspx?menuIndex=3&amp;refID=7067242&amp;Result=3","7067242")</f>
        <v>0</v>
      </c>
      <c r="B8682" t="s">
        <v>846</v>
      </c>
      <c r="C8682" t="s">
        <v>11668</v>
      </c>
      <c r="D8682" t="s">
        <v>16670</v>
      </c>
      <c r="E8682" t="s">
        <v>18472</v>
      </c>
      <c r="F8682" t="s">
        <v>28669</v>
      </c>
      <c r="G8682" t="s">
        <v>28675</v>
      </c>
      <c r="H8682" t="s">
        <v>9998</v>
      </c>
      <c r="I8682" t="s">
        <v>28696</v>
      </c>
      <c r="J8682" t="s">
        <v>34218</v>
      </c>
      <c r="K8682" t="s">
        <v>37206</v>
      </c>
      <c r="M8682" t="s">
        <v>38362</v>
      </c>
      <c r="N8682" t="s">
        <v>41249</v>
      </c>
      <c r="O8682" t="s">
        <v>41250</v>
      </c>
      <c r="P8682">
        <v>0</v>
      </c>
      <c r="Q8682">
        <v>0</v>
      </c>
      <c r="R8682" t="s">
        <v>41258</v>
      </c>
      <c r="S8682" t="s">
        <v>41513</v>
      </c>
      <c r="T8682" t="s">
        <v>42914</v>
      </c>
      <c r="U8682" t="s">
        <v>50236</v>
      </c>
      <c r="W8682" t="s">
        <v>38362</v>
      </c>
      <c r="X8682" t="s">
        <v>41259</v>
      </c>
    </row>
    <row r="8683" spans="1:24">
      <c r="A8683">
        <f>HYPERLINK("https://www.philgeps.gov.ph/GEPSNONPILOT/Tender/SplashBidNoticeAbstractUI.aspx?menuIndex=3&amp;refID=7067241&amp;Result=3","7067241")</f>
        <v>0</v>
      </c>
      <c r="B8683" t="s">
        <v>345</v>
      </c>
      <c r="C8683" t="s">
        <v>11669</v>
      </c>
      <c r="D8683" t="s">
        <v>16666</v>
      </c>
      <c r="E8683" t="s">
        <v>24284</v>
      </c>
      <c r="F8683" t="s">
        <v>28669</v>
      </c>
      <c r="G8683" t="s">
        <v>28676</v>
      </c>
      <c r="H8683" t="s">
        <v>9998</v>
      </c>
      <c r="I8683" t="s">
        <v>28690</v>
      </c>
      <c r="J8683" t="s">
        <v>28859</v>
      </c>
      <c r="K8683" t="s">
        <v>37209</v>
      </c>
      <c r="M8683" t="s">
        <v>37825</v>
      </c>
      <c r="N8683" t="s">
        <v>41249</v>
      </c>
      <c r="O8683" t="s">
        <v>41250</v>
      </c>
      <c r="Q8683">
        <v>4</v>
      </c>
      <c r="R8683" t="s">
        <v>41258</v>
      </c>
      <c r="S8683" t="s">
        <v>41560</v>
      </c>
      <c r="T8683" t="s">
        <v>42802</v>
      </c>
      <c r="U8683" t="s">
        <v>43748</v>
      </c>
      <c r="W8683" t="s">
        <v>37825</v>
      </c>
      <c r="X8683" t="s">
        <v>41259</v>
      </c>
    </row>
    <row r="8684" spans="1:24">
      <c r="A8684">
        <f>HYPERLINK("https://www.philgeps.gov.ph/GEPSNONPILOT/Tender/SplashBidNoticeAbstractUI.aspx?menuIndex=3&amp;refID=7067195&amp;Result=3","7067195")</f>
        <v>0</v>
      </c>
      <c r="B8684" t="s">
        <v>2625</v>
      </c>
      <c r="C8684" t="s">
        <v>11670</v>
      </c>
      <c r="D8684" t="s">
        <v>16627</v>
      </c>
      <c r="E8684" t="s">
        <v>17014</v>
      </c>
      <c r="F8684" t="s">
        <v>28669</v>
      </c>
      <c r="G8684" t="s">
        <v>28676</v>
      </c>
      <c r="H8684" t="s">
        <v>9998</v>
      </c>
      <c r="I8684" t="s">
        <v>28688</v>
      </c>
      <c r="J8684" t="s">
        <v>29355</v>
      </c>
      <c r="K8684" t="s">
        <v>37205</v>
      </c>
      <c r="M8684" t="s">
        <v>40324</v>
      </c>
      <c r="N8684" t="s">
        <v>41249</v>
      </c>
      <c r="O8684" t="s">
        <v>41250</v>
      </c>
      <c r="P8684">
        <v>0</v>
      </c>
      <c r="Q8684">
        <v>4</v>
      </c>
      <c r="R8684" t="s">
        <v>41258</v>
      </c>
      <c r="S8684" t="s">
        <v>41513</v>
      </c>
      <c r="T8684" t="s">
        <v>43075</v>
      </c>
      <c r="U8684" t="s">
        <v>47237</v>
      </c>
      <c r="W8684" t="s">
        <v>40324</v>
      </c>
      <c r="X8684" t="s">
        <v>41259</v>
      </c>
    </row>
    <row r="8685" spans="1:24">
      <c r="A8685">
        <f>HYPERLINK("https://www.philgeps.gov.ph/GEPSNONPILOT/Tender/SplashBidNoticeAbstractUI.aspx?menuIndex=3&amp;refID=7067194&amp;Result=3","7067194")</f>
        <v>0</v>
      </c>
      <c r="B8685" t="s">
        <v>1855</v>
      </c>
      <c r="C8685" t="s">
        <v>11671</v>
      </c>
      <c r="D8685" t="s">
        <v>16639</v>
      </c>
      <c r="E8685" t="s">
        <v>24285</v>
      </c>
      <c r="F8685" t="s">
        <v>28671</v>
      </c>
      <c r="G8685" t="s">
        <v>28676</v>
      </c>
      <c r="H8685" t="s">
        <v>9998</v>
      </c>
      <c r="I8685" t="s">
        <v>28704</v>
      </c>
      <c r="J8685" t="s">
        <v>34219</v>
      </c>
      <c r="K8685" t="s">
        <v>37206</v>
      </c>
      <c r="M8685" t="s">
        <v>39474</v>
      </c>
      <c r="N8685" t="s">
        <v>41249</v>
      </c>
      <c r="O8685" t="s">
        <v>41250</v>
      </c>
      <c r="P8685">
        <v>0</v>
      </c>
      <c r="Q8685">
        <v>0</v>
      </c>
      <c r="R8685" t="s">
        <v>41258</v>
      </c>
      <c r="S8685" t="s">
        <v>41513</v>
      </c>
      <c r="T8685" t="s">
        <v>42992</v>
      </c>
      <c r="U8685" t="s">
        <v>50237</v>
      </c>
      <c r="W8685" t="s">
        <v>39474</v>
      </c>
      <c r="X8685" t="s">
        <v>41259</v>
      </c>
    </row>
    <row r="8686" spans="1:24">
      <c r="A8686">
        <f>HYPERLINK("https://www.philgeps.gov.ph/GEPSNONPILOT/Tender/SplashBidNoticeAbstractUI.aspx?menuIndex=3&amp;refID=7067193&amp;Result=3","7067193")</f>
        <v>0</v>
      </c>
      <c r="B8686" t="s">
        <v>2626</v>
      </c>
      <c r="C8686" t="s">
        <v>11672</v>
      </c>
      <c r="D8686" t="s">
        <v>16625</v>
      </c>
      <c r="E8686" t="s">
        <v>24286</v>
      </c>
      <c r="F8686" t="s">
        <v>28669</v>
      </c>
      <c r="G8686" t="s">
        <v>28675</v>
      </c>
      <c r="H8686" t="s">
        <v>9998</v>
      </c>
      <c r="I8686" t="s">
        <v>28717</v>
      </c>
      <c r="J8686" t="s">
        <v>34220</v>
      </c>
      <c r="K8686" t="s">
        <v>37206</v>
      </c>
      <c r="M8686" t="s">
        <v>40325</v>
      </c>
      <c r="N8686" t="s">
        <v>41249</v>
      </c>
      <c r="O8686" t="s">
        <v>41250</v>
      </c>
      <c r="P8686">
        <v>0</v>
      </c>
      <c r="Q8686">
        <v>4</v>
      </c>
      <c r="R8686" t="s">
        <v>41258</v>
      </c>
      <c r="S8686" t="s">
        <v>41513</v>
      </c>
      <c r="T8686" t="s">
        <v>42701</v>
      </c>
      <c r="U8686" t="s">
        <v>50238</v>
      </c>
      <c r="W8686" t="s">
        <v>40325</v>
      </c>
      <c r="X8686" t="s">
        <v>41259</v>
      </c>
    </row>
    <row r="8687" spans="1:24">
      <c r="A8687">
        <f>HYPERLINK("https://www.philgeps.gov.ph/GEPSNONPILOT/Tender/SplashBidNoticeAbstractUI.aspx?menuIndex=3&amp;refID=7067248&amp;Result=3","7067248")</f>
        <v>0</v>
      </c>
      <c r="B8687" t="s">
        <v>823</v>
      </c>
      <c r="C8687" t="s">
        <v>11673</v>
      </c>
      <c r="D8687" t="s">
        <v>16626</v>
      </c>
      <c r="E8687" t="s">
        <v>18481</v>
      </c>
      <c r="F8687" t="s">
        <v>28669</v>
      </c>
      <c r="G8687" t="s">
        <v>28675</v>
      </c>
      <c r="H8687" t="s">
        <v>9998</v>
      </c>
      <c r="I8687" t="s">
        <v>28709</v>
      </c>
      <c r="J8687" t="s">
        <v>34221</v>
      </c>
      <c r="K8687" t="s">
        <v>37234</v>
      </c>
      <c r="M8687" t="s">
        <v>38339</v>
      </c>
      <c r="N8687" t="s">
        <v>41249</v>
      </c>
      <c r="O8687" t="s">
        <v>41250</v>
      </c>
      <c r="P8687">
        <v>0</v>
      </c>
      <c r="Q8687">
        <v>0</v>
      </c>
      <c r="R8687" t="s">
        <v>41258</v>
      </c>
      <c r="S8687" t="s">
        <v>41513</v>
      </c>
      <c r="T8687" t="s">
        <v>42711</v>
      </c>
      <c r="U8687" t="s">
        <v>44022</v>
      </c>
      <c r="W8687" t="s">
        <v>38339</v>
      </c>
      <c r="X8687" t="s">
        <v>41259</v>
      </c>
    </row>
    <row r="8688" spans="1:24">
      <c r="A8688">
        <f>HYPERLINK("https://www.philgeps.gov.ph/GEPSNONPILOT/Tender/SplashBidNoticeAbstractUI.aspx?menuIndex=3&amp;refID=7067244&amp;Result=3","7067244")</f>
        <v>0</v>
      </c>
      <c r="B8688" t="s">
        <v>2627</v>
      </c>
      <c r="C8688" t="s">
        <v>11674</v>
      </c>
      <c r="D8688" t="s">
        <v>16621</v>
      </c>
      <c r="E8688" t="s">
        <v>22339</v>
      </c>
      <c r="F8688" t="s">
        <v>28669</v>
      </c>
      <c r="G8688" t="s">
        <v>28675</v>
      </c>
      <c r="H8688" t="s">
        <v>28686</v>
      </c>
      <c r="I8688" t="s">
        <v>28689</v>
      </c>
      <c r="J8688" t="s">
        <v>29245</v>
      </c>
      <c r="K8688" t="s">
        <v>37205</v>
      </c>
      <c r="M8688" t="s">
        <v>40326</v>
      </c>
      <c r="N8688" t="s">
        <v>41249</v>
      </c>
      <c r="O8688" t="s">
        <v>41250</v>
      </c>
      <c r="P8688">
        <v>0</v>
      </c>
      <c r="Q8688">
        <v>0</v>
      </c>
      <c r="R8688" t="s">
        <v>41258</v>
      </c>
      <c r="S8688" t="s">
        <v>41513</v>
      </c>
      <c r="T8688" t="s">
        <v>42678</v>
      </c>
      <c r="U8688" t="s">
        <v>50239</v>
      </c>
      <c r="W8688" t="s">
        <v>40326</v>
      </c>
      <c r="X8688" t="s">
        <v>41259</v>
      </c>
    </row>
    <row r="8689" spans="1:24">
      <c r="A8689">
        <f>HYPERLINK("https://www.philgeps.gov.ph/GEPSNONPILOT/Tender/SplashBidNoticeAbstractUI.aspx?menuIndex=3&amp;refID=7067243&amp;Result=3","7067243")</f>
        <v>0</v>
      </c>
      <c r="B8689" t="s">
        <v>991</v>
      </c>
      <c r="C8689" t="s">
        <v>11675</v>
      </c>
      <c r="E8689" t="s">
        <v>24282</v>
      </c>
      <c r="F8689" t="s">
        <v>28669</v>
      </c>
      <c r="G8689" t="s">
        <v>28682</v>
      </c>
      <c r="H8689" t="s">
        <v>9998</v>
      </c>
      <c r="I8689" t="s">
        <v>28736</v>
      </c>
      <c r="J8689" t="s">
        <v>34222</v>
      </c>
      <c r="K8689" t="s">
        <v>37220</v>
      </c>
      <c r="M8689" t="s">
        <v>38805</v>
      </c>
      <c r="N8689" t="s">
        <v>41249</v>
      </c>
      <c r="O8689" t="s">
        <v>41250</v>
      </c>
      <c r="P8689">
        <v>0</v>
      </c>
      <c r="Q8689">
        <v>2</v>
      </c>
      <c r="R8689" t="s">
        <v>41258</v>
      </c>
      <c r="S8689" t="s">
        <v>41513</v>
      </c>
      <c r="T8689" t="s">
        <v>43062</v>
      </c>
      <c r="U8689" t="s">
        <v>50235</v>
      </c>
      <c r="V8689" t="s">
        <v>54615</v>
      </c>
      <c r="W8689" t="s">
        <v>38805</v>
      </c>
      <c r="X8689" t="s">
        <v>41259</v>
      </c>
    </row>
    <row r="8690" spans="1:24">
      <c r="A8690">
        <f>HYPERLINK("https://www.philgeps.gov.ph/GEPSNONPILOT/Tender/SplashBidNoticeAbstractUI.aspx?menuIndex=3&amp;refID=7067284&amp;Result=3","7067284")</f>
        <v>0</v>
      </c>
      <c r="B8690" t="s">
        <v>823</v>
      </c>
      <c r="C8690" t="s">
        <v>11676</v>
      </c>
      <c r="D8690" t="s">
        <v>16626</v>
      </c>
      <c r="E8690" t="s">
        <v>18495</v>
      </c>
      <c r="F8690" t="s">
        <v>28669</v>
      </c>
      <c r="G8690" t="s">
        <v>28675</v>
      </c>
      <c r="H8690" t="s">
        <v>9998</v>
      </c>
      <c r="I8690" t="s">
        <v>28709</v>
      </c>
      <c r="J8690" t="s">
        <v>34223</v>
      </c>
      <c r="K8690" t="s">
        <v>37234</v>
      </c>
      <c r="M8690" t="s">
        <v>38339</v>
      </c>
      <c r="N8690" t="s">
        <v>41249</v>
      </c>
      <c r="O8690" t="s">
        <v>41250</v>
      </c>
      <c r="P8690">
        <v>0</v>
      </c>
      <c r="Q8690">
        <v>0</v>
      </c>
      <c r="R8690" t="s">
        <v>41258</v>
      </c>
      <c r="S8690" t="s">
        <v>41513</v>
      </c>
      <c r="T8690" t="s">
        <v>42711</v>
      </c>
      <c r="U8690" t="s">
        <v>50240</v>
      </c>
      <c r="W8690" t="s">
        <v>38339</v>
      </c>
      <c r="X8690" t="s">
        <v>41259</v>
      </c>
    </row>
    <row r="8691" spans="1:24">
      <c r="A8691">
        <f>HYPERLINK("https://www.philgeps.gov.ph/GEPSNONPILOT/Tender/SplashBidNoticeAbstractUI.aspx?menuIndex=3&amp;refID=7067282&amp;Result=3","7067282")</f>
        <v>0</v>
      </c>
      <c r="B8691" t="s">
        <v>2628</v>
      </c>
      <c r="C8691" t="s">
        <v>11677</v>
      </c>
      <c r="D8691" t="s">
        <v>16665</v>
      </c>
      <c r="E8691" t="s">
        <v>24287</v>
      </c>
      <c r="F8691" t="s">
        <v>28669</v>
      </c>
      <c r="G8691" t="s">
        <v>28675</v>
      </c>
      <c r="H8691" t="s">
        <v>28684</v>
      </c>
      <c r="I8691" t="s">
        <v>28814</v>
      </c>
      <c r="J8691" t="s">
        <v>34224</v>
      </c>
      <c r="K8691" t="s">
        <v>37213</v>
      </c>
      <c r="M8691" t="s">
        <v>40327</v>
      </c>
      <c r="N8691" t="s">
        <v>41249</v>
      </c>
      <c r="O8691" t="s">
        <v>41250</v>
      </c>
      <c r="P8691">
        <v>0</v>
      </c>
      <c r="Q8691">
        <v>0</v>
      </c>
      <c r="R8691" t="s">
        <v>41258</v>
      </c>
      <c r="S8691" t="s">
        <v>41513</v>
      </c>
      <c r="T8691" t="s">
        <v>42881</v>
      </c>
      <c r="U8691" t="s">
        <v>50241</v>
      </c>
      <c r="W8691" t="s">
        <v>40327</v>
      </c>
      <c r="X8691" t="s">
        <v>41259</v>
      </c>
    </row>
    <row r="8692" spans="1:24">
      <c r="A8692">
        <f>HYPERLINK("https://www.philgeps.gov.ph/GEPSNONPILOT/Tender/SplashBidNoticeAbstractUI.aspx?menuIndex=3&amp;refID=7067281&amp;Result=3","7067281")</f>
        <v>0</v>
      </c>
      <c r="B8692" t="s">
        <v>2629</v>
      </c>
      <c r="C8692" t="s">
        <v>11678</v>
      </c>
      <c r="D8692" t="s">
        <v>16670</v>
      </c>
      <c r="E8692" t="s">
        <v>18472</v>
      </c>
      <c r="F8692" t="s">
        <v>28669</v>
      </c>
      <c r="G8692" t="s">
        <v>28675</v>
      </c>
      <c r="H8692" t="s">
        <v>9998</v>
      </c>
      <c r="I8692" t="s">
        <v>28697</v>
      </c>
      <c r="J8692" t="s">
        <v>34225</v>
      </c>
      <c r="K8692" t="s">
        <v>37206</v>
      </c>
      <c r="M8692" t="s">
        <v>40328</v>
      </c>
      <c r="N8692" t="s">
        <v>41249</v>
      </c>
      <c r="O8692" t="s">
        <v>41250</v>
      </c>
      <c r="P8692">
        <v>0</v>
      </c>
      <c r="Q8692">
        <v>1</v>
      </c>
      <c r="R8692" t="s">
        <v>41258</v>
      </c>
      <c r="S8692" t="s">
        <v>41513</v>
      </c>
      <c r="T8692" t="s">
        <v>42914</v>
      </c>
      <c r="U8692" t="s">
        <v>50242</v>
      </c>
      <c r="W8692" t="s">
        <v>40328</v>
      </c>
      <c r="X8692" t="s">
        <v>41259</v>
      </c>
    </row>
    <row r="8693" spans="1:24">
      <c r="A8693">
        <f>HYPERLINK("https://www.philgeps.gov.ph/GEPSNONPILOT/Tender/SplashBidNoticeAbstractUI.aspx?menuIndex=3&amp;refID=7067271&amp;Result=3","7067271")</f>
        <v>0</v>
      </c>
      <c r="B8693" t="s">
        <v>2630</v>
      </c>
      <c r="C8693" t="s">
        <v>11679</v>
      </c>
      <c r="D8693" t="s">
        <v>16672</v>
      </c>
      <c r="E8693" t="s">
        <v>24288</v>
      </c>
      <c r="F8693" t="s">
        <v>28669</v>
      </c>
      <c r="G8693" t="s">
        <v>28675</v>
      </c>
      <c r="H8693" t="s">
        <v>9998</v>
      </c>
      <c r="I8693" t="s">
        <v>28710</v>
      </c>
      <c r="J8693" t="s">
        <v>34226</v>
      </c>
      <c r="K8693" t="s">
        <v>37210</v>
      </c>
      <c r="M8693" t="s">
        <v>40329</v>
      </c>
      <c r="N8693" t="s">
        <v>41249</v>
      </c>
      <c r="O8693" t="s">
        <v>41250</v>
      </c>
      <c r="P8693">
        <v>0</v>
      </c>
      <c r="Q8693">
        <v>0</v>
      </c>
      <c r="R8693" t="s">
        <v>41258</v>
      </c>
      <c r="S8693" t="s">
        <v>41513</v>
      </c>
      <c r="T8693" t="s">
        <v>42881</v>
      </c>
      <c r="U8693" t="s">
        <v>50243</v>
      </c>
      <c r="W8693" t="s">
        <v>40329</v>
      </c>
      <c r="X8693" t="s">
        <v>41259</v>
      </c>
    </row>
    <row r="8694" spans="1:24">
      <c r="A8694">
        <f>HYPERLINK("https://www.philgeps.gov.ph/GEPSNONPILOT/Tender/SplashBidNoticeAbstractUI.aspx?menuIndex=3&amp;refID=7067269&amp;Result=3","7067269")</f>
        <v>0</v>
      </c>
      <c r="B8694" t="s">
        <v>2629</v>
      </c>
      <c r="C8694" t="s">
        <v>11680</v>
      </c>
      <c r="D8694" t="s">
        <v>16670</v>
      </c>
      <c r="E8694" t="s">
        <v>18652</v>
      </c>
      <c r="F8694" t="s">
        <v>28669</v>
      </c>
      <c r="G8694" t="s">
        <v>28675</v>
      </c>
      <c r="H8694" t="s">
        <v>9998</v>
      </c>
      <c r="I8694" t="s">
        <v>7352</v>
      </c>
      <c r="J8694" t="s">
        <v>29304</v>
      </c>
      <c r="K8694" t="s">
        <v>37206</v>
      </c>
      <c r="M8694" t="s">
        <v>40328</v>
      </c>
      <c r="N8694" t="s">
        <v>41249</v>
      </c>
      <c r="O8694" t="s">
        <v>41250</v>
      </c>
      <c r="P8694">
        <v>0</v>
      </c>
      <c r="Q8694">
        <v>0</v>
      </c>
      <c r="R8694" t="s">
        <v>41258</v>
      </c>
      <c r="S8694" t="s">
        <v>41513</v>
      </c>
      <c r="T8694" t="s">
        <v>42914</v>
      </c>
      <c r="U8694" t="s">
        <v>50244</v>
      </c>
      <c r="W8694" t="s">
        <v>40328</v>
      </c>
      <c r="X8694" t="s">
        <v>41259</v>
      </c>
    </row>
    <row r="8695" spans="1:24">
      <c r="A8695">
        <f>HYPERLINK("https://www.philgeps.gov.ph/GEPSNONPILOT/Tender/SplashBidNoticeAbstractUI.aspx?menuIndex=3&amp;refID=7067297&amp;Result=3","7067297")</f>
        <v>0</v>
      </c>
      <c r="B8695" t="s">
        <v>2628</v>
      </c>
      <c r="C8695" t="s">
        <v>11681</v>
      </c>
      <c r="D8695" t="s">
        <v>16665</v>
      </c>
      <c r="E8695" t="s">
        <v>24289</v>
      </c>
      <c r="F8695" t="s">
        <v>28669</v>
      </c>
      <c r="G8695" t="s">
        <v>28675</v>
      </c>
      <c r="H8695" t="s">
        <v>28684</v>
      </c>
      <c r="I8695" t="s">
        <v>28687</v>
      </c>
      <c r="J8695" t="s">
        <v>28878</v>
      </c>
      <c r="K8695" t="s">
        <v>37206</v>
      </c>
      <c r="M8695" t="s">
        <v>40327</v>
      </c>
      <c r="N8695" t="s">
        <v>41249</v>
      </c>
      <c r="O8695" t="s">
        <v>41250</v>
      </c>
      <c r="P8695">
        <v>0</v>
      </c>
      <c r="Q8695">
        <v>2</v>
      </c>
      <c r="R8695" t="s">
        <v>41258</v>
      </c>
      <c r="S8695" t="s">
        <v>41513</v>
      </c>
      <c r="T8695" t="s">
        <v>42881</v>
      </c>
      <c r="U8695" t="s">
        <v>50245</v>
      </c>
      <c r="W8695" t="s">
        <v>40327</v>
      </c>
      <c r="X8695" t="s">
        <v>41259</v>
      </c>
    </row>
    <row r="8696" spans="1:24">
      <c r="A8696">
        <f>HYPERLINK("https://www.philgeps.gov.ph/GEPSNONPILOT/Tender/SplashBidNoticeAbstractUI.aspx?menuIndex=3&amp;refID=7067188&amp;Result=3","7067188")</f>
        <v>0</v>
      </c>
      <c r="B8696" t="s">
        <v>2313</v>
      </c>
      <c r="C8696" t="s">
        <v>11682</v>
      </c>
      <c r="D8696" t="s">
        <v>16633</v>
      </c>
      <c r="E8696" t="s">
        <v>24290</v>
      </c>
      <c r="F8696" t="s">
        <v>28669</v>
      </c>
      <c r="G8696" t="s">
        <v>28675</v>
      </c>
      <c r="H8696" t="s">
        <v>28686</v>
      </c>
      <c r="I8696" t="s">
        <v>28689</v>
      </c>
      <c r="J8696" t="s">
        <v>34227</v>
      </c>
      <c r="K8696" t="s">
        <v>37207</v>
      </c>
      <c r="M8696" t="s">
        <v>39973</v>
      </c>
      <c r="N8696" t="s">
        <v>41249</v>
      </c>
      <c r="O8696" t="s">
        <v>41250</v>
      </c>
      <c r="P8696">
        <v>0</v>
      </c>
      <c r="Q8696">
        <v>0</v>
      </c>
      <c r="R8696" t="s">
        <v>41258</v>
      </c>
      <c r="S8696" t="s">
        <v>41513</v>
      </c>
      <c r="T8696" t="s">
        <v>42760</v>
      </c>
      <c r="U8696" t="s">
        <v>50246</v>
      </c>
      <c r="W8696" t="s">
        <v>39973</v>
      </c>
      <c r="X8696" t="s">
        <v>41259</v>
      </c>
    </row>
    <row r="8697" spans="1:24">
      <c r="A8697">
        <f>HYPERLINK("https://www.philgeps.gov.ph/GEPSNONPILOT/Tender/SplashBidNoticeAbstractUI.aspx?menuIndex=3&amp;refID=7067296&amp;Result=3","7067296")</f>
        <v>0</v>
      </c>
      <c r="B8697" t="s">
        <v>2358</v>
      </c>
      <c r="C8697" t="s">
        <v>11683</v>
      </c>
      <c r="D8697" t="s">
        <v>16624</v>
      </c>
      <c r="E8697" t="s">
        <v>24291</v>
      </c>
      <c r="F8697" t="s">
        <v>28669</v>
      </c>
      <c r="G8697" t="s">
        <v>28675</v>
      </c>
      <c r="H8697" t="s">
        <v>28686</v>
      </c>
      <c r="I8697" t="s">
        <v>28689</v>
      </c>
      <c r="J8697" t="s">
        <v>34228</v>
      </c>
      <c r="K8697" t="s">
        <v>37221</v>
      </c>
      <c r="M8697" t="s">
        <v>40026</v>
      </c>
      <c r="N8697" t="s">
        <v>41249</v>
      </c>
      <c r="O8697" t="s">
        <v>41250</v>
      </c>
      <c r="P8697">
        <v>0</v>
      </c>
      <c r="Q8697">
        <v>0</v>
      </c>
      <c r="R8697" t="s">
        <v>41258</v>
      </c>
      <c r="S8697" t="s">
        <v>41513</v>
      </c>
      <c r="T8697" t="s">
        <v>42755</v>
      </c>
      <c r="U8697" t="s">
        <v>50247</v>
      </c>
      <c r="W8697" t="s">
        <v>55988</v>
      </c>
      <c r="X8697" t="s">
        <v>41259</v>
      </c>
    </row>
    <row r="8698" spans="1:24">
      <c r="A8698">
        <f>HYPERLINK("https://www.philgeps.gov.ph/GEPSNONPILOT/Tender/SplashBidNoticeAbstractUI.aspx?menuIndex=3&amp;refID=7067294&amp;Result=3","7067294")</f>
        <v>0</v>
      </c>
      <c r="B8698" t="s">
        <v>2628</v>
      </c>
      <c r="C8698" t="s">
        <v>11684</v>
      </c>
      <c r="D8698" t="s">
        <v>16665</v>
      </c>
      <c r="E8698" t="s">
        <v>24292</v>
      </c>
      <c r="F8698" t="s">
        <v>28669</v>
      </c>
      <c r="G8698" t="s">
        <v>28675</v>
      </c>
      <c r="H8698" t="s">
        <v>28684</v>
      </c>
      <c r="I8698" t="s">
        <v>28708</v>
      </c>
      <c r="J8698" t="s">
        <v>34229</v>
      </c>
      <c r="K8698" t="s">
        <v>37206</v>
      </c>
      <c r="M8698" t="s">
        <v>40327</v>
      </c>
      <c r="N8698" t="s">
        <v>41249</v>
      </c>
      <c r="O8698" t="s">
        <v>41250</v>
      </c>
      <c r="P8698">
        <v>0</v>
      </c>
      <c r="Q8698">
        <v>4</v>
      </c>
      <c r="R8698" t="s">
        <v>41258</v>
      </c>
      <c r="S8698" t="s">
        <v>41513</v>
      </c>
      <c r="T8698" t="s">
        <v>42881</v>
      </c>
      <c r="U8698" t="s">
        <v>50248</v>
      </c>
      <c r="W8698" t="s">
        <v>40327</v>
      </c>
      <c r="X8698" t="s">
        <v>41259</v>
      </c>
    </row>
    <row r="8699" spans="1:24">
      <c r="A8699">
        <f>HYPERLINK("https://www.philgeps.gov.ph/GEPSNONPILOT/Tender/SplashBidNoticeAbstractUI.aspx?menuIndex=3&amp;refID=7067289&amp;Result=3","7067289")</f>
        <v>0</v>
      </c>
      <c r="B8699" t="s">
        <v>2628</v>
      </c>
      <c r="C8699" t="s">
        <v>11685</v>
      </c>
      <c r="D8699" t="s">
        <v>16665</v>
      </c>
      <c r="E8699" t="s">
        <v>24293</v>
      </c>
      <c r="F8699" t="s">
        <v>28669</v>
      </c>
      <c r="G8699" t="s">
        <v>28675</v>
      </c>
      <c r="H8699" t="s">
        <v>9998</v>
      </c>
      <c r="I8699" t="s">
        <v>3679</v>
      </c>
      <c r="J8699" t="s">
        <v>34230</v>
      </c>
      <c r="K8699" t="s">
        <v>37206</v>
      </c>
      <c r="M8699" t="s">
        <v>40327</v>
      </c>
      <c r="N8699" t="s">
        <v>41249</v>
      </c>
      <c r="O8699" t="s">
        <v>41250</v>
      </c>
      <c r="P8699">
        <v>0</v>
      </c>
      <c r="Q8699">
        <v>0</v>
      </c>
      <c r="R8699" t="s">
        <v>41258</v>
      </c>
      <c r="S8699" t="s">
        <v>41513</v>
      </c>
      <c r="T8699" t="s">
        <v>42881</v>
      </c>
      <c r="U8699" t="s">
        <v>50249</v>
      </c>
      <c r="W8699" t="s">
        <v>40327</v>
      </c>
      <c r="X8699" t="s">
        <v>41259</v>
      </c>
    </row>
    <row r="8700" spans="1:24">
      <c r="A8700">
        <f>HYPERLINK("https://www.philgeps.gov.ph/GEPSNONPILOT/Tender/SplashBidNoticeAbstractUI.aspx?menuIndex=3&amp;refID=7067208&amp;Result=3","7067208")</f>
        <v>0</v>
      </c>
      <c r="B8700" t="s">
        <v>2631</v>
      </c>
      <c r="C8700" t="s">
        <v>11686</v>
      </c>
      <c r="D8700" t="s">
        <v>16608</v>
      </c>
      <c r="E8700" t="s">
        <v>6569</v>
      </c>
      <c r="F8700" t="s">
        <v>28669</v>
      </c>
      <c r="G8700" t="s">
        <v>28675</v>
      </c>
      <c r="H8700" t="s">
        <v>28686</v>
      </c>
      <c r="I8700" t="s">
        <v>28689</v>
      </c>
      <c r="J8700" t="s">
        <v>29053</v>
      </c>
      <c r="K8700" t="s">
        <v>37221</v>
      </c>
      <c r="M8700" t="s">
        <v>40330</v>
      </c>
      <c r="N8700" t="s">
        <v>41249</v>
      </c>
      <c r="O8700" t="s">
        <v>41250</v>
      </c>
      <c r="P8700">
        <v>0</v>
      </c>
      <c r="Q8700">
        <v>2</v>
      </c>
      <c r="R8700" t="s">
        <v>41258</v>
      </c>
      <c r="S8700" t="s">
        <v>41513</v>
      </c>
      <c r="T8700" t="s">
        <v>42662</v>
      </c>
      <c r="U8700" t="s">
        <v>50250</v>
      </c>
      <c r="W8700" t="s">
        <v>40330</v>
      </c>
      <c r="X8700" t="s">
        <v>41259</v>
      </c>
    </row>
    <row r="8701" spans="1:24">
      <c r="A8701">
        <f>HYPERLINK("https://www.philgeps.gov.ph/GEPSNONPILOT/Tender/SplashBidNoticeAbstractUI.aspx?menuIndex=3&amp;refID=7067268&amp;Result=3","7067268")</f>
        <v>0</v>
      </c>
      <c r="B8701" t="s">
        <v>2632</v>
      </c>
      <c r="C8701" t="s">
        <v>11687</v>
      </c>
      <c r="D8701" t="s">
        <v>16643</v>
      </c>
      <c r="E8701" t="s">
        <v>21957</v>
      </c>
      <c r="F8701" t="s">
        <v>28669</v>
      </c>
      <c r="G8701" t="s">
        <v>28675</v>
      </c>
      <c r="H8701" t="s">
        <v>9998</v>
      </c>
      <c r="I8701" t="s">
        <v>3718</v>
      </c>
      <c r="J8701" t="s">
        <v>33986</v>
      </c>
      <c r="K8701" t="s">
        <v>37206</v>
      </c>
      <c r="M8701" t="s">
        <v>40331</v>
      </c>
      <c r="N8701" t="s">
        <v>41249</v>
      </c>
      <c r="O8701" t="s">
        <v>41250</v>
      </c>
      <c r="P8701">
        <v>0</v>
      </c>
      <c r="Q8701">
        <v>0</v>
      </c>
      <c r="R8701" t="s">
        <v>41258</v>
      </c>
      <c r="S8701" t="s">
        <v>41513</v>
      </c>
      <c r="T8701" t="s">
        <v>42668</v>
      </c>
      <c r="U8701" t="s">
        <v>50251</v>
      </c>
      <c r="W8701" t="s">
        <v>40331</v>
      </c>
      <c r="X8701" t="s">
        <v>41259</v>
      </c>
    </row>
    <row r="8702" spans="1:24">
      <c r="A8702">
        <f>HYPERLINK("https://www.philgeps.gov.ph/GEPSNONPILOT/Tender/SplashBidNoticeAbstractUI.aspx?menuIndex=3&amp;refID=7067266&amp;Result=3","7067266")</f>
        <v>0</v>
      </c>
      <c r="B8702" t="s">
        <v>2362</v>
      </c>
      <c r="C8702" t="s">
        <v>11688</v>
      </c>
      <c r="D8702" t="s">
        <v>16608</v>
      </c>
      <c r="E8702" t="s">
        <v>24294</v>
      </c>
      <c r="F8702" t="s">
        <v>28669</v>
      </c>
      <c r="G8702" t="s">
        <v>28675</v>
      </c>
      <c r="H8702" t="s">
        <v>28684</v>
      </c>
      <c r="I8702" t="s">
        <v>28744</v>
      </c>
      <c r="J8702" t="s">
        <v>32798</v>
      </c>
      <c r="K8702" t="s">
        <v>37272</v>
      </c>
      <c r="M8702" t="s">
        <v>40053</v>
      </c>
      <c r="N8702" t="s">
        <v>41249</v>
      </c>
      <c r="O8702" t="s">
        <v>41250</v>
      </c>
      <c r="P8702">
        <v>0</v>
      </c>
      <c r="Q8702">
        <v>3</v>
      </c>
      <c r="R8702" t="s">
        <v>41258</v>
      </c>
      <c r="S8702" t="s">
        <v>41513</v>
      </c>
      <c r="T8702" t="s">
        <v>43076</v>
      </c>
      <c r="U8702" t="s">
        <v>50252</v>
      </c>
      <c r="W8702" t="s">
        <v>40053</v>
      </c>
      <c r="X8702" t="s">
        <v>41259</v>
      </c>
    </row>
    <row r="8703" spans="1:24">
      <c r="A8703">
        <f>HYPERLINK("https://www.philgeps.gov.ph/GEPSNONPILOT/Tender/SplashBidNoticeAbstractUI.aspx?menuIndex=3&amp;refID=7067263&amp;Result=3","7067263")</f>
        <v>0</v>
      </c>
      <c r="B8703" t="s">
        <v>2633</v>
      </c>
      <c r="C8703" t="s">
        <v>11689</v>
      </c>
      <c r="D8703" t="s">
        <v>16621</v>
      </c>
      <c r="E8703" t="s">
        <v>24295</v>
      </c>
      <c r="F8703" t="s">
        <v>28669</v>
      </c>
      <c r="G8703" t="s">
        <v>28675</v>
      </c>
      <c r="H8703" t="s">
        <v>28686</v>
      </c>
      <c r="I8703" t="s">
        <v>28733</v>
      </c>
      <c r="J8703" t="s">
        <v>28905</v>
      </c>
      <c r="K8703" t="s">
        <v>37206</v>
      </c>
      <c r="M8703" t="s">
        <v>40332</v>
      </c>
      <c r="N8703" t="s">
        <v>41249</v>
      </c>
      <c r="O8703" t="s">
        <v>41250</v>
      </c>
      <c r="P8703">
        <v>0</v>
      </c>
      <c r="Q8703">
        <v>1</v>
      </c>
      <c r="R8703" t="s">
        <v>41258</v>
      </c>
      <c r="S8703" t="s">
        <v>41513</v>
      </c>
      <c r="T8703" t="s">
        <v>42992</v>
      </c>
      <c r="U8703" t="s">
        <v>50253</v>
      </c>
      <c r="W8703" t="s">
        <v>40332</v>
      </c>
      <c r="X8703" t="s">
        <v>41259</v>
      </c>
    </row>
    <row r="8704" spans="1:24">
      <c r="A8704">
        <f>HYPERLINK("https://www.philgeps.gov.ph/GEPSNONPILOT/Tender/SplashBidNoticeAbstractUI.aspx?menuIndex=3&amp;refID=7067262&amp;Result=3","7067262")</f>
        <v>0</v>
      </c>
      <c r="B8704" t="s">
        <v>2628</v>
      </c>
      <c r="C8704" t="s">
        <v>11690</v>
      </c>
      <c r="D8704" t="s">
        <v>16665</v>
      </c>
      <c r="E8704" t="s">
        <v>24296</v>
      </c>
      <c r="F8704" t="s">
        <v>28669</v>
      </c>
      <c r="G8704" t="s">
        <v>28675</v>
      </c>
      <c r="H8704" t="s">
        <v>9998</v>
      </c>
      <c r="I8704" t="s">
        <v>28700</v>
      </c>
      <c r="J8704" t="s">
        <v>34231</v>
      </c>
      <c r="K8704" t="s">
        <v>37206</v>
      </c>
      <c r="M8704" t="s">
        <v>40327</v>
      </c>
      <c r="N8704" t="s">
        <v>41249</v>
      </c>
      <c r="O8704" t="s">
        <v>41250</v>
      </c>
      <c r="P8704">
        <v>0</v>
      </c>
      <c r="Q8704">
        <v>4</v>
      </c>
      <c r="R8704" t="s">
        <v>41258</v>
      </c>
      <c r="S8704" t="s">
        <v>41513</v>
      </c>
      <c r="T8704" t="s">
        <v>42881</v>
      </c>
      <c r="U8704" t="s">
        <v>50254</v>
      </c>
      <c r="W8704" t="s">
        <v>40327</v>
      </c>
      <c r="X8704" t="s">
        <v>41259</v>
      </c>
    </row>
    <row r="8705" spans="1:24">
      <c r="A8705">
        <f>HYPERLINK("https://www.philgeps.gov.ph/GEPSNONPILOT/Tender/SplashBidNoticeAbstractUI.aspx?menuIndex=3&amp;refID=7067258&amp;Result=3","7067258")</f>
        <v>0</v>
      </c>
      <c r="B8705" t="s">
        <v>2632</v>
      </c>
      <c r="C8705" t="s">
        <v>11691</v>
      </c>
      <c r="D8705" t="s">
        <v>16643</v>
      </c>
      <c r="E8705" t="s">
        <v>24297</v>
      </c>
      <c r="F8705" t="s">
        <v>28669</v>
      </c>
      <c r="G8705" t="s">
        <v>28675</v>
      </c>
      <c r="H8705" t="s">
        <v>9998</v>
      </c>
      <c r="I8705" t="s">
        <v>28695</v>
      </c>
      <c r="J8705" t="s">
        <v>34232</v>
      </c>
      <c r="K8705" t="s">
        <v>37206</v>
      </c>
      <c r="M8705" t="s">
        <v>40331</v>
      </c>
      <c r="N8705" t="s">
        <v>41249</v>
      </c>
      <c r="O8705" t="s">
        <v>41250</v>
      </c>
      <c r="P8705">
        <v>0</v>
      </c>
      <c r="Q8705">
        <v>0</v>
      </c>
      <c r="R8705" t="s">
        <v>41258</v>
      </c>
      <c r="S8705" t="s">
        <v>41513</v>
      </c>
      <c r="T8705" t="s">
        <v>42668</v>
      </c>
      <c r="U8705" t="s">
        <v>50255</v>
      </c>
      <c r="W8705" t="s">
        <v>40331</v>
      </c>
      <c r="X8705" t="s">
        <v>41259</v>
      </c>
    </row>
    <row r="8706" spans="1:24">
      <c r="A8706">
        <f>HYPERLINK("https://www.philgeps.gov.ph/GEPSNONPILOT/Tender/SplashBidNoticeAbstractUI.aspx?menuIndex=3&amp;refID=7067257&amp;Result=3","7067257")</f>
        <v>0</v>
      </c>
      <c r="B8706" t="s">
        <v>2634</v>
      </c>
      <c r="C8706" t="s">
        <v>11692</v>
      </c>
      <c r="D8706" t="s">
        <v>16660</v>
      </c>
      <c r="E8706" t="s">
        <v>17319</v>
      </c>
      <c r="F8706" t="s">
        <v>28669</v>
      </c>
      <c r="G8706" t="s">
        <v>28675</v>
      </c>
      <c r="H8706" t="s">
        <v>28686</v>
      </c>
      <c r="I8706" t="s">
        <v>28689</v>
      </c>
      <c r="J8706" t="s">
        <v>34233</v>
      </c>
      <c r="K8706" t="s">
        <v>37374</v>
      </c>
      <c r="M8706" t="s">
        <v>40333</v>
      </c>
      <c r="N8706" t="s">
        <v>41249</v>
      </c>
      <c r="O8706" t="s">
        <v>41250</v>
      </c>
      <c r="P8706">
        <v>0</v>
      </c>
      <c r="Q8706">
        <v>2</v>
      </c>
      <c r="R8706" t="s">
        <v>41258</v>
      </c>
      <c r="S8706" t="s">
        <v>41513</v>
      </c>
      <c r="T8706" t="s">
        <v>43062</v>
      </c>
      <c r="U8706" t="s">
        <v>50256</v>
      </c>
      <c r="V8706" t="s">
        <v>55235</v>
      </c>
      <c r="W8706" t="s">
        <v>40333</v>
      </c>
      <c r="X8706" t="s">
        <v>41259</v>
      </c>
    </row>
    <row r="8707" spans="1:24">
      <c r="A8707">
        <f>HYPERLINK("https://www.philgeps.gov.ph/GEPSNONPILOT/Tender/SplashBidNoticeAbstractUI.aspx?menuIndex=3&amp;refID=7067249&amp;Result=3","7067249")</f>
        <v>0</v>
      </c>
      <c r="B8707" t="s">
        <v>345</v>
      </c>
      <c r="C8707" t="s">
        <v>11693</v>
      </c>
      <c r="D8707" t="s">
        <v>16666</v>
      </c>
      <c r="E8707" t="s">
        <v>24298</v>
      </c>
      <c r="F8707" t="s">
        <v>28669</v>
      </c>
      <c r="G8707" t="s">
        <v>28676</v>
      </c>
      <c r="H8707" t="s">
        <v>9998</v>
      </c>
      <c r="I8707" t="s">
        <v>3718</v>
      </c>
      <c r="J8707" t="s">
        <v>29546</v>
      </c>
      <c r="K8707" t="s">
        <v>37209</v>
      </c>
      <c r="M8707" t="s">
        <v>37825</v>
      </c>
      <c r="N8707" t="s">
        <v>41249</v>
      </c>
      <c r="O8707" t="s">
        <v>41250</v>
      </c>
      <c r="Q8707">
        <v>3</v>
      </c>
      <c r="R8707" t="s">
        <v>41258</v>
      </c>
      <c r="S8707" t="s">
        <v>41561</v>
      </c>
      <c r="T8707" t="s">
        <v>42802</v>
      </c>
      <c r="U8707" t="s">
        <v>43748</v>
      </c>
      <c r="W8707" t="s">
        <v>37825</v>
      </c>
      <c r="X8707" t="s">
        <v>41259</v>
      </c>
    </row>
    <row r="8708" spans="1:24">
      <c r="A8708">
        <f>HYPERLINK("https://www.philgeps.gov.ph/GEPSNONPILOT/Tender/SplashBidNoticeAbstractUI.aspx?menuIndex=3&amp;refID=7067290&amp;Result=3","7067290")</f>
        <v>0</v>
      </c>
      <c r="B8708" t="s">
        <v>2362</v>
      </c>
      <c r="C8708" t="s">
        <v>11694</v>
      </c>
      <c r="D8708" t="s">
        <v>16608</v>
      </c>
      <c r="E8708" t="s">
        <v>24299</v>
      </c>
      <c r="F8708" t="s">
        <v>28669</v>
      </c>
      <c r="G8708" t="s">
        <v>28675</v>
      </c>
      <c r="H8708" t="s">
        <v>9998</v>
      </c>
      <c r="I8708" t="s">
        <v>28687</v>
      </c>
      <c r="J8708" t="s">
        <v>34234</v>
      </c>
      <c r="K8708" t="s">
        <v>37206</v>
      </c>
      <c r="M8708" t="s">
        <v>40053</v>
      </c>
      <c r="N8708" t="s">
        <v>41249</v>
      </c>
      <c r="O8708" t="s">
        <v>41250</v>
      </c>
      <c r="P8708">
        <v>0</v>
      </c>
      <c r="Q8708">
        <v>14</v>
      </c>
      <c r="R8708" t="s">
        <v>41258</v>
      </c>
      <c r="S8708" t="s">
        <v>41513</v>
      </c>
      <c r="T8708" t="s">
        <v>42911</v>
      </c>
      <c r="U8708" t="s">
        <v>50257</v>
      </c>
      <c r="W8708" t="s">
        <v>40053</v>
      </c>
      <c r="X8708" t="s">
        <v>41259</v>
      </c>
    </row>
    <row r="8709" spans="1:24">
      <c r="A8709">
        <f>HYPERLINK("https://www.philgeps.gov.ph/GEPSNONPILOT/Tender/SplashBidNoticeAbstractUI.aspx?menuIndex=3&amp;refID=7067304&amp;Result=3","7067304")</f>
        <v>0</v>
      </c>
      <c r="B8709" t="s">
        <v>730</v>
      </c>
      <c r="C8709" t="s">
        <v>4987</v>
      </c>
      <c r="D8709" t="s">
        <v>16626</v>
      </c>
      <c r="E8709" t="s">
        <v>24300</v>
      </c>
      <c r="F8709" t="s">
        <v>28669</v>
      </c>
      <c r="G8709" t="s">
        <v>28675</v>
      </c>
      <c r="H8709" t="s">
        <v>9998</v>
      </c>
      <c r="I8709" t="s">
        <v>28688</v>
      </c>
      <c r="J8709" t="s">
        <v>34235</v>
      </c>
      <c r="K8709" t="s">
        <v>37234</v>
      </c>
      <c r="M8709" t="s">
        <v>38238</v>
      </c>
      <c r="N8709" t="s">
        <v>41249</v>
      </c>
      <c r="O8709" t="s">
        <v>41250</v>
      </c>
      <c r="P8709">
        <v>0</v>
      </c>
      <c r="Q8709">
        <v>1</v>
      </c>
      <c r="R8709" t="s">
        <v>41258</v>
      </c>
      <c r="S8709" t="s">
        <v>41513</v>
      </c>
      <c r="T8709" t="s">
        <v>42882</v>
      </c>
      <c r="U8709" t="s">
        <v>50258</v>
      </c>
      <c r="W8709" t="s">
        <v>38238</v>
      </c>
      <c r="X8709" t="s">
        <v>41259</v>
      </c>
    </row>
    <row r="8710" spans="1:24">
      <c r="A8710">
        <f>HYPERLINK("https://www.philgeps.gov.ph/GEPSNONPILOT/Tender/SplashBidNoticeAbstractUI.aspx?menuIndex=3&amp;refID=7067324&amp;Result=3","7067324")</f>
        <v>0</v>
      </c>
      <c r="B8710" t="s">
        <v>2635</v>
      </c>
      <c r="C8710" t="s">
        <v>11695</v>
      </c>
      <c r="D8710" t="s">
        <v>16652</v>
      </c>
      <c r="E8710" t="s">
        <v>24301</v>
      </c>
      <c r="F8710" t="s">
        <v>28669</v>
      </c>
      <c r="G8710" t="s">
        <v>28675</v>
      </c>
      <c r="H8710" t="s">
        <v>28686</v>
      </c>
      <c r="I8710" t="s">
        <v>28689</v>
      </c>
      <c r="J8710" t="s">
        <v>29655</v>
      </c>
      <c r="K8710" t="s">
        <v>37214</v>
      </c>
      <c r="M8710" t="s">
        <v>40334</v>
      </c>
      <c r="N8710" t="s">
        <v>41249</v>
      </c>
      <c r="O8710" t="s">
        <v>41250</v>
      </c>
      <c r="P8710">
        <v>0</v>
      </c>
      <c r="Q8710">
        <v>3</v>
      </c>
      <c r="R8710" t="s">
        <v>41258</v>
      </c>
      <c r="S8710" t="s">
        <v>41513</v>
      </c>
      <c r="T8710" t="s">
        <v>42782</v>
      </c>
      <c r="U8710" t="s">
        <v>50259</v>
      </c>
      <c r="W8710" t="s">
        <v>40334</v>
      </c>
      <c r="X8710" t="s">
        <v>41259</v>
      </c>
    </row>
    <row r="8711" spans="1:24">
      <c r="A8711">
        <f>HYPERLINK("https://www.philgeps.gov.ph/GEPSNONPILOT/Tender/SplashBidNoticeAbstractUI.aspx?menuIndex=3&amp;refID=7067331&amp;Result=3","7067331")</f>
        <v>0</v>
      </c>
      <c r="B8711" t="s">
        <v>2636</v>
      </c>
      <c r="C8711" t="s">
        <v>11696</v>
      </c>
      <c r="D8711" t="s">
        <v>16608</v>
      </c>
      <c r="E8711" t="s">
        <v>24302</v>
      </c>
      <c r="F8711" t="s">
        <v>28669</v>
      </c>
      <c r="G8711" t="s">
        <v>28675</v>
      </c>
      <c r="H8711" t="s">
        <v>9998</v>
      </c>
      <c r="I8711" t="s">
        <v>11593</v>
      </c>
      <c r="J8711" t="s">
        <v>29047</v>
      </c>
      <c r="K8711" t="s">
        <v>37206</v>
      </c>
      <c r="M8711" t="s">
        <v>40335</v>
      </c>
      <c r="N8711" t="s">
        <v>41249</v>
      </c>
      <c r="O8711" t="s">
        <v>41250</v>
      </c>
      <c r="P8711">
        <v>0</v>
      </c>
      <c r="Q8711">
        <v>16</v>
      </c>
      <c r="R8711" t="s">
        <v>41258</v>
      </c>
      <c r="S8711" t="s">
        <v>41513</v>
      </c>
      <c r="T8711" t="s">
        <v>42789</v>
      </c>
      <c r="U8711" t="s">
        <v>50260</v>
      </c>
      <c r="W8711" t="s">
        <v>40335</v>
      </c>
      <c r="X8711" t="s">
        <v>41259</v>
      </c>
    </row>
    <row r="8712" spans="1:24">
      <c r="A8712">
        <f>HYPERLINK("https://www.philgeps.gov.ph/GEPSNONPILOT/Tender/SplashBidNoticeAbstractUI.aspx?menuIndex=3&amp;refID=7067330&amp;Result=3","7067330")</f>
        <v>0</v>
      </c>
      <c r="B8712" t="s">
        <v>2637</v>
      </c>
      <c r="C8712" t="s">
        <v>11697</v>
      </c>
      <c r="D8712" t="s">
        <v>16608</v>
      </c>
      <c r="E8712" t="s">
        <v>11697</v>
      </c>
      <c r="F8712" t="s">
        <v>28669</v>
      </c>
      <c r="G8712" t="s">
        <v>28675</v>
      </c>
      <c r="H8712" t="s">
        <v>9998</v>
      </c>
      <c r="I8712" t="s">
        <v>28688</v>
      </c>
      <c r="J8712" t="s">
        <v>34236</v>
      </c>
      <c r="K8712" t="s">
        <v>37206</v>
      </c>
      <c r="M8712" t="s">
        <v>40336</v>
      </c>
      <c r="N8712" t="s">
        <v>41249</v>
      </c>
      <c r="O8712" t="s">
        <v>41250</v>
      </c>
      <c r="P8712">
        <v>0</v>
      </c>
      <c r="Q8712">
        <v>1</v>
      </c>
      <c r="R8712" t="s">
        <v>41258</v>
      </c>
      <c r="S8712" t="s">
        <v>41513</v>
      </c>
      <c r="T8712" t="s">
        <v>42881</v>
      </c>
      <c r="U8712" t="s">
        <v>50261</v>
      </c>
      <c r="W8712" t="s">
        <v>40336</v>
      </c>
      <c r="X8712" t="s">
        <v>41259</v>
      </c>
    </row>
    <row r="8713" spans="1:24">
      <c r="A8713">
        <f>HYPERLINK("https://www.philgeps.gov.ph/GEPSNONPILOT/Tender/SplashBidNoticeAbstractUI.aspx?menuIndex=3&amp;refID=7067326&amp;Result=3","7067326")</f>
        <v>0</v>
      </c>
      <c r="B8713" t="s">
        <v>2636</v>
      </c>
      <c r="C8713" t="s">
        <v>11698</v>
      </c>
      <c r="D8713" t="s">
        <v>16608</v>
      </c>
      <c r="E8713" t="s">
        <v>24303</v>
      </c>
      <c r="F8713" t="s">
        <v>28669</v>
      </c>
      <c r="G8713" t="s">
        <v>28675</v>
      </c>
      <c r="H8713" t="s">
        <v>9998</v>
      </c>
      <c r="I8713" t="s">
        <v>11593</v>
      </c>
      <c r="J8713" t="s">
        <v>32798</v>
      </c>
      <c r="K8713" t="s">
        <v>37220</v>
      </c>
      <c r="M8713" t="s">
        <v>40335</v>
      </c>
      <c r="N8713" t="s">
        <v>41249</v>
      </c>
      <c r="O8713" t="s">
        <v>41250</v>
      </c>
      <c r="P8713">
        <v>0</v>
      </c>
      <c r="Q8713">
        <v>10</v>
      </c>
      <c r="R8713" t="s">
        <v>41258</v>
      </c>
      <c r="S8713" t="s">
        <v>41513</v>
      </c>
      <c r="T8713" t="s">
        <v>42782</v>
      </c>
      <c r="U8713" t="s">
        <v>50262</v>
      </c>
      <c r="W8713" t="s">
        <v>40335</v>
      </c>
      <c r="X8713" t="s">
        <v>41259</v>
      </c>
    </row>
    <row r="8714" spans="1:24">
      <c r="A8714">
        <f>HYPERLINK("https://www.philgeps.gov.ph/GEPSNONPILOT/Tender/SplashBidNoticeAbstractUI.aspx?menuIndex=3&amp;refID=7067275&amp;Result=3","7067275")</f>
        <v>0</v>
      </c>
      <c r="B8714" t="s">
        <v>2638</v>
      </c>
      <c r="C8714" t="s">
        <v>11699</v>
      </c>
      <c r="D8714" t="s">
        <v>16677</v>
      </c>
      <c r="E8714" t="s">
        <v>21880</v>
      </c>
      <c r="F8714" t="s">
        <v>28669</v>
      </c>
      <c r="G8714" t="s">
        <v>28675</v>
      </c>
      <c r="H8714" t="s">
        <v>9998</v>
      </c>
      <c r="I8714" t="s">
        <v>6128</v>
      </c>
      <c r="J8714" t="s">
        <v>32103</v>
      </c>
      <c r="K8714" t="s">
        <v>37347</v>
      </c>
      <c r="M8714" t="s">
        <v>40337</v>
      </c>
      <c r="N8714" t="s">
        <v>41249</v>
      </c>
      <c r="O8714" t="s">
        <v>41250</v>
      </c>
      <c r="P8714">
        <v>0</v>
      </c>
      <c r="Q8714">
        <v>11</v>
      </c>
      <c r="R8714" t="s">
        <v>41258</v>
      </c>
      <c r="S8714" t="s">
        <v>41513</v>
      </c>
      <c r="T8714" t="s">
        <v>42728</v>
      </c>
      <c r="U8714" t="s">
        <v>50263</v>
      </c>
      <c r="W8714" t="s">
        <v>40337</v>
      </c>
      <c r="X8714" t="s">
        <v>41259</v>
      </c>
    </row>
    <row r="8715" spans="1:24">
      <c r="A8715">
        <f>HYPERLINK("https://www.philgeps.gov.ph/GEPSNONPILOT/Tender/SplashBidNoticeAbstractUI.aspx?menuIndex=3&amp;refID=7067323&amp;Result=3","7067323")</f>
        <v>0</v>
      </c>
      <c r="B8715" t="s">
        <v>2636</v>
      </c>
      <c r="C8715" t="s">
        <v>11700</v>
      </c>
      <c r="D8715" t="s">
        <v>16608</v>
      </c>
      <c r="E8715" t="s">
        <v>24304</v>
      </c>
      <c r="F8715" t="s">
        <v>28669</v>
      </c>
      <c r="G8715" t="s">
        <v>28675</v>
      </c>
      <c r="H8715" t="s">
        <v>9998</v>
      </c>
      <c r="I8715" t="s">
        <v>11593</v>
      </c>
      <c r="J8715" t="s">
        <v>28847</v>
      </c>
      <c r="K8715" t="s">
        <v>37206</v>
      </c>
      <c r="M8715" t="s">
        <v>40335</v>
      </c>
      <c r="N8715" t="s">
        <v>41249</v>
      </c>
      <c r="O8715" t="s">
        <v>41250</v>
      </c>
      <c r="P8715">
        <v>0</v>
      </c>
      <c r="Q8715">
        <v>9</v>
      </c>
      <c r="R8715" t="s">
        <v>41258</v>
      </c>
      <c r="S8715" t="s">
        <v>41513</v>
      </c>
      <c r="T8715" t="s">
        <v>42761</v>
      </c>
      <c r="U8715" t="s">
        <v>50264</v>
      </c>
      <c r="W8715" t="s">
        <v>40335</v>
      </c>
      <c r="X8715" t="s">
        <v>41259</v>
      </c>
    </row>
    <row r="8716" spans="1:24">
      <c r="A8716">
        <f>HYPERLINK("https://www.philgeps.gov.ph/GEPSNONPILOT/Tender/SplashBidNoticeAbstractUI.aspx?menuIndex=3&amp;refID=7067288&amp;Result=3","7067288")</f>
        <v>0</v>
      </c>
      <c r="B8716" t="s">
        <v>2638</v>
      </c>
      <c r="C8716" t="s">
        <v>11701</v>
      </c>
      <c r="D8716" t="s">
        <v>16677</v>
      </c>
      <c r="E8716" t="s">
        <v>23579</v>
      </c>
      <c r="F8716" t="s">
        <v>28669</v>
      </c>
      <c r="G8716" t="s">
        <v>28675</v>
      </c>
      <c r="H8716" t="s">
        <v>9998</v>
      </c>
      <c r="I8716" t="s">
        <v>28699</v>
      </c>
      <c r="J8716" t="s">
        <v>34237</v>
      </c>
      <c r="K8716" t="s">
        <v>37220</v>
      </c>
      <c r="M8716" t="s">
        <v>40337</v>
      </c>
      <c r="N8716" t="s">
        <v>41249</v>
      </c>
      <c r="O8716" t="s">
        <v>41250</v>
      </c>
      <c r="P8716">
        <v>0</v>
      </c>
      <c r="Q8716">
        <v>4</v>
      </c>
      <c r="R8716" t="s">
        <v>41258</v>
      </c>
      <c r="S8716" t="s">
        <v>41513</v>
      </c>
      <c r="T8716" t="s">
        <v>42755</v>
      </c>
      <c r="U8716" t="s">
        <v>50265</v>
      </c>
      <c r="W8716" t="s">
        <v>40337</v>
      </c>
      <c r="X8716" t="s">
        <v>41259</v>
      </c>
    </row>
    <row r="8717" spans="1:24">
      <c r="A8717">
        <f>HYPERLINK("https://www.philgeps.gov.ph/GEPSNONPILOT/Tender/SplashBidNoticeAbstractUI.aspx?menuIndex=3&amp;refID=7067322&amp;Result=3","7067322")</f>
        <v>0</v>
      </c>
      <c r="B8717" t="s">
        <v>730</v>
      </c>
      <c r="C8717" t="s">
        <v>11702</v>
      </c>
      <c r="D8717" t="s">
        <v>16626</v>
      </c>
      <c r="E8717" t="s">
        <v>24305</v>
      </c>
      <c r="F8717" t="s">
        <v>28669</v>
      </c>
      <c r="G8717" t="s">
        <v>28675</v>
      </c>
      <c r="H8717" t="s">
        <v>9998</v>
      </c>
      <c r="I8717" t="s">
        <v>7352</v>
      </c>
      <c r="J8717" t="s">
        <v>34238</v>
      </c>
      <c r="K8717" t="s">
        <v>37234</v>
      </c>
      <c r="M8717" t="s">
        <v>38238</v>
      </c>
      <c r="N8717" t="s">
        <v>41249</v>
      </c>
      <c r="O8717" t="s">
        <v>41250</v>
      </c>
      <c r="P8717">
        <v>0</v>
      </c>
      <c r="Q8717">
        <v>0</v>
      </c>
      <c r="R8717" t="s">
        <v>41258</v>
      </c>
      <c r="S8717" t="s">
        <v>41513</v>
      </c>
      <c r="T8717" t="s">
        <v>42882</v>
      </c>
      <c r="U8717" t="s">
        <v>50266</v>
      </c>
      <c r="W8717" t="s">
        <v>38238</v>
      </c>
      <c r="X8717" t="s">
        <v>41259</v>
      </c>
    </row>
    <row r="8718" spans="1:24">
      <c r="A8718">
        <f>HYPERLINK("https://www.philgeps.gov.ph/GEPSNONPILOT/Tender/SplashBidNoticeAbstractUI.aspx?menuIndex=3&amp;refID=7067318&amp;Result=3","7067318")</f>
        <v>0</v>
      </c>
      <c r="B8718" t="s">
        <v>534</v>
      </c>
      <c r="C8718" t="s">
        <v>11703</v>
      </c>
      <c r="D8718" t="s">
        <v>16630</v>
      </c>
      <c r="E8718" t="s">
        <v>24306</v>
      </c>
      <c r="F8718" t="s">
        <v>28669</v>
      </c>
      <c r="G8718" t="s">
        <v>28675</v>
      </c>
      <c r="H8718" t="s">
        <v>9998</v>
      </c>
      <c r="I8718" t="s">
        <v>28708</v>
      </c>
      <c r="J8718" t="s">
        <v>29245</v>
      </c>
      <c r="K8718" t="s">
        <v>37220</v>
      </c>
      <c r="M8718" t="s">
        <v>38025</v>
      </c>
      <c r="N8718" t="s">
        <v>41249</v>
      </c>
      <c r="O8718" t="s">
        <v>41250</v>
      </c>
      <c r="P8718">
        <v>0</v>
      </c>
      <c r="Q8718">
        <v>6</v>
      </c>
      <c r="R8718" t="s">
        <v>41258</v>
      </c>
      <c r="S8718" t="s">
        <v>41513</v>
      </c>
      <c r="T8718" t="s">
        <v>42665</v>
      </c>
      <c r="U8718" t="s">
        <v>50267</v>
      </c>
      <c r="W8718" t="s">
        <v>38025</v>
      </c>
      <c r="X8718" t="s">
        <v>41259</v>
      </c>
    </row>
    <row r="8719" spans="1:24">
      <c r="A8719">
        <f>HYPERLINK("https://www.philgeps.gov.ph/GEPSNONPILOT/Tender/SplashBidNoticeAbstractUI.aspx?menuIndex=3&amp;refID=7067317&amp;Result=3","7067317")</f>
        <v>0</v>
      </c>
      <c r="B8719" t="s">
        <v>730</v>
      </c>
      <c r="C8719" t="s">
        <v>11704</v>
      </c>
      <c r="D8719" t="s">
        <v>16626</v>
      </c>
      <c r="E8719" t="s">
        <v>24307</v>
      </c>
      <c r="F8719" t="s">
        <v>28669</v>
      </c>
      <c r="G8719" t="s">
        <v>28675</v>
      </c>
      <c r="H8719" t="s">
        <v>9998</v>
      </c>
      <c r="I8719" t="s">
        <v>7352</v>
      </c>
      <c r="J8719" t="s">
        <v>29438</v>
      </c>
      <c r="K8719" t="s">
        <v>37234</v>
      </c>
      <c r="M8719" t="s">
        <v>38238</v>
      </c>
      <c r="N8719" t="s">
        <v>41249</v>
      </c>
      <c r="O8719" t="s">
        <v>41250</v>
      </c>
      <c r="P8719">
        <v>0</v>
      </c>
      <c r="Q8719">
        <v>0</v>
      </c>
      <c r="R8719" t="s">
        <v>41258</v>
      </c>
      <c r="S8719" t="s">
        <v>41513</v>
      </c>
      <c r="T8719" t="s">
        <v>42882</v>
      </c>
      <c r="U8719" t="s">
        <v>50268</v>
      </c>
      <c r="W8719" t="s">
        <v>38238</v>
      </c>
      <c r="X8719" t="s">
        <v>41259</v>
      </c>
    </row>
    <row r="8720" spans="1:24">
      <c r="A8720">
        <f>HYPERLINK("https://www.philgeps.gov.ph/GEPSNONPILOT/Tender/SplashBidNoticeAbstractUI.aspx?menuIndex=3&amp;refID=7067328&amp;Result=3","7067328")</f>
        <v>0</v>
      </c>
      <c r="B8720" t="s">
        <v>2637</v>
      </c>
      <c r="C8720" t="s">
        <v>11705</v>
      </c>
      <c r="D8720" t="s">
        <v>16608</v>
      </c>
      <c r="E8720" t="s">
        <v>11705</v>
      </c>
      <c r="F8720" t="s">
        <v>28669</v>
      </c>
      <c r="G8720" t="s">
        <v>28675</v>
      </c>
      <c r="H8720" t="s">
        <v>9998</v>
      </c>
      <c r="I8720" t="s">
        <v>28688</v>
      </c>
      <c r="J8720" t="s">
        <v>34239</v>
      </c>
      <c r="K8720" t="s">
        <v>37206</v>
      </c>
      <c r="M8720" t="s">
        <v>40336</v>
      </c>
      <c r="N8720" t="s">
        <v>41249</v>
      </c>
      <c r="O8720" t="s">
        <v>41250</v>
      </c>
      <c r="P8720">
        <v>0</v>
      </c>
      <c r="Q8720">
        <v>1</v>
      </c>
      <c r="R8720" t="s">
        <v>41258</v>
      </c>
      <c r="S8720" t="s">
        <v>41513</v>
      </c>
      <c r="T8720" t="s">
        <v>42881</v>
      </c>
      <c r="U8720" t="s">
        <v>50261</v>
      </c>
      <c r="W8720" t="s">
        <v>40336</v>
      </c>
      <c r="X8720" t="s">
        <v>41259</v>
      </c>
    </row>
    <row r="8721" spans="1:24">
      <c r="A8721">
        <f>HYPERLINK("https://www.philgeps.gov.ph/GEPSNONPILOT/Tender/SplashBidNoticeAbstractUI.aspx?menuIndex=3&amp;refID=7067316&amp;Result=3","7067316")</f>
        <v>0</v>
      </c>
      <c r="B8721" t="s">
        <v>534</v>
      </c>
      <c r="C8721" t="s">
        <v>11706</v>
      </c>
      <c r="D8721" t="s">
        <v>16630</v>
      </c>
      <c r="E8721" t="s">
        <v>24308</v>
      </c>
      <c r="F8721" t="s">
        <v>28669</v>
      </c>
      <c r="G8721" t="s">
        <v>28675</v>
      </c>
      <c r="H8721" t="s">
        <v>9998</v>
      </c>
      <c r="I8721" t="s">
        <v>7352</v>
      </c>
      <c r="J8721" t="s">
        <v>34240</v>
      </c>
      <c r="K8721" t="s">
        <v>37206</v>
      </c>
      <c r="M8721" t="s">
        <v>38025</v>
      </c>
      <c r="N8721" t="s">
        <v>41249</v>
      </c>
      <c r="O8721" t="s">
        <v>41250</v>
      </c>
      <c r="P8721">
        <v>0</v>
      </c>
      <c r="Q8721">
        <v>0</v>
      </c>
      <c r="R8721" t="s">
        <v>41258</v>
      </c>
      <c r="S8721" t="s">
        <v>41513</v>
      </c>
      <c r="T8721" t="s">
        <v>42665</v>
      </c>
      <c r="U8721" t="s">
        <v>50269</v>
      </c>
      <c r="W8721" t="s">
        <v>38025</v>
      </c>
      <c r="X8721" t="s">
        <v>41259</v>
      </c>
    </row>
    <row r="8722" spans="1:24">
      <c r="A8722">
        <f>HYPERLINK("https://www.philgeps.gov.ph/GEPSNONPILOT/Tender/SplashBidNoticeAbstractUI.aspx?menuIndex=3&amp;refID=7067217&amp;Result=3","7067217")</f>
        <v>0</v>
      </c>
      <c r="B8722" t="s">
        <v>991</v>
      </c>
      <c r="C8722" t="s">
        <v>11707</v>
      </c>
      <c r="D8722" t="s">
        <v>16619</v>
      </c>
      <c r="E8722" t="s">
        <v>24309</v>
      </c>
      <c r="F8722" t="s">
        <v>28669</v>
      </c>
      <c r="G8722" t="s">
        <v>28682</v>
      </c>
      <c r="H8722" t="s">
        <v>9998</v>
      </c>
      <c r="I8722" t="s">
        <v>28722</v>
      </c>
      <c r="J8722" t="s">
        <v>34241</v>
      </c>
      <c r="K8722" t="s">
        <v>37220</v>
      </c>
      <c r="M8722" t="s">
        <v>38805</v>
      </c>
      <c r="N8722" t="s">
        <v>41249</v>
      </c>
      <c r="O8722" t="s">
        <v>41250</v>
      </c>
      <c r="P8722">
        <v>0</v>
      </c>
      <c r="Q8722">
        <v>1</v>
      </c>
      <c r="R8722" t="s">
        <v>41258</v>
      </c>
      <c r="S8722" t="s">
        <v>41513</v>
      </c>
      <c r="T8722" t="s">
        <v>42796</v>
      </c>
      <c r="U8722" t="s">
        <v>50270</v>
      </c>
      <c r="V8722" t="s">
        <v>54615</v>
      </c>
      <c r="W8722" t="s">
        <v>38805</v>
      </c>
      <c r="X8722" t="s">
        <v>41259</v>
      </c>
    </row>
    <row r="8723" spans="1:24">
      <c r="A8723">
        <f>HYPERLINK("https://www.philgeps.gov.ph/GEPSNONPILOT/Tender/SplashBidNoticeAbstractUI.aspx?menuIndex=3&amp;refID=7067315&amp;Result=3","7067315")</f>
        <v>0</v>
      </c>
      <c r="B8723" t="s">
        <v>823</v>
      </c>
      <c r="C8723" t="s">
        <v>11673</v>
      </c>
      <c r="D8723" t="s">
        <v>16626</v>
      </c>
      <c r="E8723" t="s">
        <v>22477</v>
      </c>
      <c r="F8723" t="s">
        <v>28669</v>
      </c>
      <c r="G8723" t="s">
        <v>28675</v>
      </c>
      <c r="H8723" t="s">
        <v>9998</v>
      </c>
      <c r="I8723" t="s">
        <v>28709</v>
      </c>
      <c r="J8723" t="s">
        <v>34242</v>
      </c>
      <c r="K8723" t="s">
        <v>37234</v>
      </c>
      <c r="M8723" t="s">
        <v>38339</v>
      </c>
      <c r="N8723" t="s">
        <v>41249</v>
      </c>
      <c r="O8723" t="s">
        <v>41250</v>
      </c>
      <c r="P8723">
        <v>0</v>
      </c>
      <c r="Q8723">
        <v>0</v>
      </c>
      <c r="R8723" t="s">
        <v>41258</v>
      </c>
      <c r="S8723" t="s">
        <v>41513</v>
      </c>
      <c r="T8723" t="s">
        <v>42711</v>
      </c>
      <c r="U8723" t="s">
        <v>48639</v>
      </c>
      <c r="W8723" t="s">
        <v>38339</v>
      </c>
      <c r="X8723" t="s">
        <v>41259</v>
      </c>
    </row>
    <row r="8724" spans="1:24">
      <c r="A8724">
        <f>HYPERLINK("https://www.philgeps.gov.ph/GEPSNONPILOT/Tender/SplashBidNoticeAbstractUI.aspx?menuIndex=3&amp;refID=7067325&amp;Result=3","7067325")</f>
        <v>0</v>
      </c>
      <c r="B8724" t="s">
        <v>2637</v>
      </c>
      <c r="C8724" t="s">
        <v>11708</v>
      </c>
      <c r="D8724" t="s">
        <v>16608</v>
      </c>
      <c r="E8724" t="s">
        <v>11708</v>
      </c>
      <c r="F8724" t="s">
        <v>28669</v>
      </c>
      <c r="G8724" t="s">
        <v>28675</v>
      </c>
      <c r="H8724" t="s">
        <v>9998</v>
      </c>
      <c r="I8724" t="s">
        <v>28688</v>
      </c>
      <c r="J8724" t="s">
        <v>29051</v>
      </c>
      <c r="K8724" t="s">
        <v>37206</v>
      </c>
      <c r="M8724" t="s">
        <v>40336</v>
      </c>
      <c r="N8724" t="s">
        <v>41249</v>
      </c>
      <c r="O8724" t="s">
        <v>41250</v>
      </c>
      <c r="P8724">
        <v>0</v>
      </c>
      <c r="Q8724">
        <v>1</v>
      </c>
      <c r="R8724" t="s">
        <v>41258</v>
      </c>
      <c r="S8724" t="s">
        <v>41513</v>
      </c>
      <c r="T8724" t="s">
        <v>42881</v>
      </c>
      <c r="U8724" t="s">
        <v>50261</v>
      </c>
      <c r="W8724" t="s">
        <v>40336</v>
      </c>
      <c r="X8724" t="s">
        <v>41259</v>
      </c>
    </row>
    <row r="8725" spans="1:24">
      <c r="A8725">
        <f>HYPERLINK("https://www.philgeps.gov.ph/GEPSNONPILOT/Tender/SplashBidNoticeAbstractUI.aspx?menuIndex=3&amp;refID=7067313&amp;Result=3","7067313")</f>
        <v>0</v>
      </c>
      <c r="B8725" t="s">
        <v>36</v>
      </c>
      <c r="C8725" t="s">
        <v>11709</v>
      </c>
      <c r="D8725" t="s">
        <v>16619</v>
      </c>
      <c r="E8725" t="s">
        <v>24310</v>
      </c>
      <c r="F8725" t="s">
        <v>28669</v>
      </c>
      <c r="G8725" t="s">
        <v>28675</v>
      </c>
      <c r="H8725" t="s">
        <v>9998</v>
      </c>
      <c r="I8725" t="s">
        <v>28709</v>
      </c>
      <c r="J8725" t="s">
        <v>34243</v>
      </c>
      <c r="K8725" t="s">
        <v>37210</v>
      </c>
      <c r="M8725" t="s">
        <v>37511</v>
      </c>
      <c r="N8725" t="s">
        <v>41249</v>
      </c>
      <c r="O8725" t="s">
        <v>41250</v>
      </c>
      <c r="P8725">
        <v>0</v>
      </c>
      <c r="Q8725">
        <v>2</v>
      </c>
      <c r="R8725" t="s">
        <v>41258</v>
      </c>
      <c r="S8725" t="s">
        <v>41513</v>
      </c>
      <c r="T8725" t="s">
        <v>43002</v>
      </c>
      <c r="U8725" t="s">
        <v>44561</v>
      </c>
      <c r="V8725" t="s">
        <v>54253</v>
      </c>
      <c r="W8725" t="s">
        <v>37511</v>
      </c>
      <c r="X8725" t="s">
        <v>41259</v>
      </c>
    </row>
    <row r="8726" spans="1:24">
      <c r="A8726">
        <f>HYPERLINK("https://www.philgeps.gov.ph/GEPSNONPILOT/Tender/SplashBidNoticeAbstractUI.aspx?menuIndex=3&amp;refID=7067338&amp;Result=3","7067338")</f>
        <v>0</v>
      </c>
      <c r="B8726" t="s">
        <v>2637</v>
      </c>
      <c r="C8726" t="s">
        <v>11710</v>
      </c>
      <c r="D8726" t="s">
        <v>16608</v>
      </c>
      <c r="E8726" t="s">
        <v>11710</v>
      </c>
      <c r="F8726" t="s">
        <v>28669</v>
      </c>
      <c r="G8726" t="s">
        <v>28675</v>
      </c>
      <c r="H8726" t="s">
        <v>9998</v>
      </c>
      <c r="I8726" t="s">
        <v>15140</v>
      </c>
      <c r="J8726" t="s">
        <v>34244</v>
      </c>
      <c r="K8726" t="s">
        <v>37206</v>
      </c>
      <c r="M8726" t="s">
        <v>40336</v>
      </c>
      <c r="N8726" t="s">
        <v>41249</v>
      </c>
      <c r="O8726" t="s">
        <v>41250</v>
      </c>
      <c r="P8726">
        <v>0</v>
      </c>
      <c r="Q8726">
        <v>0</v>
      </c>
      <c r="R8726" t="s">
        <v>41258</v>
      </c>
      <c r="S8726" t="s">
        <v>41513</v>
      </c>
      <c r="T8726" t="s">
        <v>42881</v>
      </c>
      <c r="U8726" t="s">
        <v>50271</v>
      </c>
      <c r="W8726" t="s">
        <v>40336</v>
      </c>
      <c r="X8726" t="s">
        <v>41259</v>
      </c>
    </row>
    <row r="8727" spans="1:24">
      <c r="A8727">
        <f>HYPERLINK("https://www.philgeps.gov.ph/GEPSNONPILOT/Tender/SplashBidNoticeAbstractUI.aspx?menuIndex=3&amp;refID=7067359&amp;Result=3","7067359")</f>
        <v>0</v>
      </c>
      <c r="B8727" t="s">
        <v>1140</v>
      </c>
      <c r="C8727" t="s">
        <v>11711</v>
      </c>
      <c r="D8727" t="s">
        <v>16667</v>
      </c>
      <c r="E8727" t="s">
        <v>24311</v>
      </c>
      <c r="F8727" t="s">
        <v>28669</v>
      </c>
      <c r="G8727" t="s">
        <v>28675</v>
      </c>
      <c r="H8727" t="s">
        <v>28686</v>
      </c>
      <c r="I8727" t="s">
        <v>28689</v>
      </c>
      <c r="J8727" t="s">
        <v>28836</v>
      </c>
      <c r="K8727" t="s">
        <v>37321</v>
      </c>
      <c r="M8727" t="s">
        <v>38675</v>
      </c>
      <c r="N8727" t="s">
        <v>41249</v>
      </c>
      <c r="O8727" t="s">
        <v>41250</v>
      </c>
      <c r="P8727">
        <v>0</v>
      </c>
      <c r="Q8727">
        <v>1</v>
      </c>
      <c r="R8727" t="s">
        <v>41258</v>
      </c>
      <c r="S8727" t="s">
        <v>41513</v>
      </c>
      <c r="T8727" t="s">
        <v>42727</v>
      </c>
      <c r="U8727" t="s">
        <v>50272</v>
      </c>
      <c r="W8727" t="s">
        <v>38675</v>
      </c>
      <c r="X8727" t="s">
        <v>41259</v>
      </c>
    </row>
    <row r="8728" spans="1:24">
      <c r="A8728">
        <f>HYPERLINK("https://www.philgeps.gov.ph/GEPSNONPILOT/Tender/SplashBidNoticeAbstractUI.aspx?menuIndex=3&amp;refID=7067321&amp;Result=3","7067321")</f>
        <v>0</v>
      </c>
      <c r="B8728" t="s">
        <v>2240</v>
      </c>
      <c r="C8728" t="s">
        <v>11712</v>
      </c>
      <c r="D8728" t="s">
        <v>16616</v>
      </c>
      <c r="E8728" t="s">
        <v>24312</v>
      </c>
      <c r="F8728" t="s">
        <v>28669</v>
      </c>
      <c r="G8728" t="s">
        <v>28678</v>
      </c>
      <c r="H8728" t="s">
        <v>9998</v>
      </c>
      <c r="I8728" t="s">
        <v>28697</v>
      </c>
      <c r="J8728" t="s">
        <v>29790</v>
      </c>
      <c r="K8728" t="s">
        <v>37210</v>
      </c>
      <c r="M8728" t="s">
        <v>39894</v>
      </c>
      <c r="N8728" t="s">
        <v>41249</v>
      </c>
      <c r="O8728" t="s">
        <v>41250</v>
      </c>
      <c r="P8728">
        <v>0</v>
      </c>
      <c r="Q8728">
        <v>0</v>
      </c>
      <c r="R8728" t="s">
        <v>41258</v>
      </c>
      <c r="S8728" t="s">
        <v>41513</v>
      </c>
      <c r="T8728" t="s">
        <v>42992</v>
      </c>
      <c r="U8728" t="s">
        <v>48881</v>
      </c>
      <c r="W8728" t="s">
        <v>39894</v>
      </c>
      <c r="X8728" t="s">
        <v>41259</v>
      </c>
    </row>
    <row r="8729" spans="1:24">
      <c r="A8729">
        <f>HYPERLINK("https://www.philgeps.gov.ph/GEPSNONPILOT/Tender/SplashBidNoticeAbstractUI.aspx?menuIndex=3&amp;refID=7067358&amp;Result=3","7067358")</f>
        <v>0</v>
      </c>
      <c r="B8729" t="s">
        <v>2637</v>
      </c>
      <c r="C8729" t="s">
        <v>11713</v>
      </c>
      <c r="D8729" t="s">
        <v>16608</v>
      </c>
      <c r="E8729" t="s">
        <v>24313</v>
      </c>
      <c r="F8729" t="s">
        <v>28669</v>
      </c>
      <c r="G8729" t="s">
        <v>28675</v>
      </c>
      <c r="H8729" t="s">
        <v>9998</v>
      </c>
      <c r="I8729" t="s">
        <v>28693</v>
      </c>
      <c r="J8729" t="s">
        <v>34245</v>
      </c>
      <c r="K8729" t="s">
        <v>37206</v>
      </c>
      <c r="M8729" t="s">
        <v>40336</v>
      </c>
      <c r="N8729" t="s">
        <v>41249</v>
      </c>
      <c r="O8729" t="s">
        <v>41250</v>
      </c>
      <c r="P8729">
        <v>0</v>
      </c>
      <c r="Q8729">
        <v>6</v>
      </c>
      <c r="R8729" t="s">
        <v>41258</v>
      </c>
      <c r="S8729" t="s">
        <v>41513</v>
      </c>
      <c r="T8729" t="s">
        <v>42881</v>
      </c>
      <c r="U8729" t="s">
        <v>50273</v>
      </c>
      <c r="W8729" t="s">
        <v>40336</v>
      </c>
      <c r="X8729" t="s">
        <v>41259</v>
      </c>
    </row>
    <row r="8730" spans="1:24">
      <c r="A8730">
        <f>HYPERLINK("https://www.philgeps.gov.ph/GEPSNONPILOT/Tender/SplashBidNoticeAbstractUI.aspx?menuIndex=3&amp;refID=7067229&amp;Result=3","7067229")</f>
        <v>0</v>
      </c>
      <c r="B8730" t="s">
        <v>2623</v>
      </c>
      <c r="C8730" t="s">
        <v>11714</v>
      </c>
      <c r="D8730" t="s">
        <v>16613</v>
      </c>
      <c r="E8730" t="s">
        <v>24314</v>
      </c>
      <c r="F8730" t="s">
        <v>28669</v>
      </c>
      <c r="G8730" t="s">
        <v>28675</v>
      </c>
      <c r="H8730" t="s">
        <v>28686</v>
      </c>
      <c r="I8730" t="s">
        <v>28689</v>
      </c>
      <c r="J8730" t="s">
        <v>29003</v>
      </c>
      <c r="K8730" t="s">
        <v>37206</v>
      </c>
      <c r="M8730" t="s">
        <v>40322</v>
      </c>
      <c r="N8730" t="s">
        <v>41249</v>
      </c>
      <c r="O8730" t="s">
        <v>41250</v>
      </c>
      <c r="P8730">
        <v>0</v>
      </c>
      <c r="Q8730">
        <v>1</v>
      </c>
      <c r="R8730" t="s">
        <v>41258</v>
      </c>
      <c r="S8730" t="s">
        <v>41513</v>
      </c>
      <c r="T8730" t="s">
        <v>42747</v>
      </c>
      <c r="U8730" t="s">
        <v>50274</v>
      </c>
      <c r="W8730" t="s">
        <v>56005</v>
      </c>
      <c r="X8730" t="s">
        <v>41259</v>
      </c>
    </row>
    <row r="8731" spans="1:24">
      <c r="A8731">
        <f>HYPERLINK("https://www.philgeps.gov.ph/GEPSNONPILOT/Tender/SplashBidNoticeAbstractUI.aspx?menuIndex=3&amp;refID=7067356&amp;Result=3","7067356")</f>
        <v>0</v>
      </c>
      <c r="B8731" t="s">
        <v>1140</v>
      </c>
      <c r="C8731" t="s">
        <v>11715</v>
      </c>
      <c r="D8731" t="s">
        <v>16667</v>
      </c>
      <c r="E8731" t="s">
        <v>24315</v>
      </c>
      <c r="F8731" t="s">
        <v>28669</v>
      </c>
      <c r="G8731" t="s">
        <v>28675</v>
      </c>
      <c r="H8731" t="s">
        <v>28686</v>
      </c>
      <c r="I8731" t="s">
        <v>28689</v>
      </c>
      <c r="J8731" t="s">
        <v>28836</v>
      </c>
      <c r="K8731" t="s">
        <v>37223</v>
      </c>
      <c r="M8731" t="s">
        <v>38675</v>
      </c>
      <c r="N8731" t="s">
        <v>41249</v>
      </c>
      <c r="O8731" t="s">
        <v>41250</v>
      </c>
      <c r="P8731">
        <v>0</v>
      </c>
      <c r="Q8731">
        <v>1</v>
      </c>
      <c r="R8731" t="s">
        <v>41258</v>
      </c>
      <c r="S8731" t="s">
        <v>41513</v>
      </c>
      <c r="T8731" t="s">
        <v>42727</v>
      </c>
      <c r="U8731" t="s">
        <v>50275</v>
      </c>
      <c r="W8731" t="s">
        <v>38675</v>
      </c>
      <c r="X8731" t="s">
        <v>41259</v>
      </c>
    </row>
    <row r="8732" spans="1:24">
      <c r="A8732">
        <f>HYPERLINK("https://www.philgeps.gov.ph/GEPSNONPILOT/Tender/SplashBidNoticeAbstractUI.aspx?menuIndex=3&amp;refID=7067355&amp;Result=3","7067355")</f>
        <v>0</v>
      </c>
      <c r="B8732" t="s">
        <v>2637</v>
      </c>
      <c r="C8732" t="s">
        <v>11716</v>
      </c>
      <c r="D8732" t="s">
        <v>16608</v>
      </c>
      <c r="E8732" t="s">
        <v>24316</v>
      </c>
      <c r="F8732" t="s">
        <v>28669</v>
      </c>
      <c r="G8732" t="s">
        <v>28675</v>
      </c>
      <c r="H8732" t="s">
        <v>9998</v>
      </c>
      <c r="I8732" t="s">
        <v>28693</v>
      </c>
      <c r="J8732" t="s">
        <v>34246</v>
      </c>
      <c r="K8732" t="s">
        <v>37206</v>
      </c>
      <c r="M8732" t="s">
        <v>40336</v>
      </c>
      <c r="N8732" t="s">
        <v>41249</v>
      </c>
      <c r="O8732" t="s">
        <v>41250</v>
      </c>
      <c r="P8732">
        <v>0</v>
      </c>
      <c r="Q8732">
        <v>2</v>
      </c>
      <c r="R8732" t="s">
        <v>41258</v>
      </c>
      <c r="S8732" t="s">
        <v>41513</v>
      </c>
      <c r="T8732" t="s">
        <v>42881</v>
      </c>
      <c r="U8732" t="s">
        <v>50273</v>
      </c>
      <c r="W8732" t="s">
        <v>40336</v>
      </c>
      <c r="X8732" t="s">
        <v>41259</v>
      </c>
    </row>
    <row r="8733" spans="1:24">
      <c r="A8733">
        <f>HYPERLINK("https://www.philgeps.gov.ph/GEPSNONPILOT/Tender/SplashBidNoticeAbstractUI.aspx?menuIndex=3&amp;refID=7067352&amp;Result=3","7067352")</f>
        <v>0</v>
      </c>
      <c r="B8733" t="s">
        <v>2637</v>
      </c>
      <c r="C8733" t="s">
        <v>11717</v>
      </c>
      <c r="D8733" t="s">
        <v>16608</v>
      </c>
      <c r="E8733" t="s">
        <v>24317</v>
      </c>
      <c r="F8733" t="s">
        <v>28669</v>
      </c>
      <c r="G8733" t="s">
        <v>28675</v>
      </c>
      <c r="H8733" t="s">
        <v>9998</v>
      </c>
      <c r="I8733" t="s">
        <v>28693</v>
      </c>
      <c r="J8733" t="s">
        <v>33118</v>
      </c>
      <c r="K8733" t="s">
        <v>37206</v>
      </c>
      <c r="M8733" t="s">
        <v>40336</v>
      </c>
      <c r="N8733" t="s">
        <v>41249</v>
      </c>
      <c r="O8733" t="s">
        <v>41250</v>
      </c>
      <c r="P8733">
        <v>0</v>
      </c>
      <c r="Q8733">
        <v>5</v>
      </c>
      <c r="R8733" t="s">
        <v>41258</v>
      </c>
      <c r="S8733" t="s">
        <v>41513</v>
      </c>
      <c r="T8733" t="s">
        <v>42881</v>
      </c>
      <c r="U8733" t="s">
        <v>50273</v>
      </c>
      <c r="W8733" t="s">
        <v>40336</v>
      </c>
      <c r="X8733" t="s">
        <v>41259</v>
      </c>
    </row>
    <row r="8734" spans="1:24">
      <c r="A8734">
        <f>HYPERLINK("https://www.philgeps.gov.ph/GEPSNONPILOT/Tender/SplashBidNoticeAbstractUI.aspx?menuIndex=3&amp;refID=7067354&amp;Result=3","7067354")</f>
        <v>0</v>
      </c>
      <c r="B8734" t="s">
        <v>287</v>
      </c>
      <c r="C8734" t="s">
        <v>11718</v>
      </c>
      <c r="D8734" t="s">
        <v>16611</v>
      </c>
      <c r="E8734" t="s">
        <v>24318</v>
      </c>
      <c r="F8734" t="s">
        <v>28669</v>
      </c>
      <c r="G8734" t="s">
        <v>28675</v>
      </c>
      <c r="H8734" t="s">
        <v>28686</v>
      </c>
      <c r="I8734" t="s">
        <v>28689</v>
      </c>
      <c r="J8734" t="s">
        <v>30036</v>
      </c>
      <c r="K8734" t="s">
        <v>37216</v>
      </c>
      <c r="M8734" t="s">
        <v>37766</v>
      </c>
      <c r="N8734" t="s">
        <v>41249</v>
      </c>
      <c r="O8734" t="s">
        <v>41250</v>
      </c>
      <c r="P8734">
        <v>0</v>
      </c>
      <c r="Q8734">
        <v>0</v>
      </c>
      <c r="R8734" t="s">
        <v>41258</v>
      </c>
      <c r="S8734" t="s">
        <v>41513</v>
      </c>
      <c r="T8734" t="s">
        <v>42736</v>
      </c>
      <c r="U8734" t="s">
        <v>50276</v>
      </c>
      <c r="W8734" t="s">
        <v>37766</v>
      </c>
      <c r="X8734" t="s">
        <v>41259</v>
      </c>
    </row>
    <row r="8735" spans="1:24">
      <c r="A8735">
        <f>HYPERLINK("https://www.philgeps.gov.ph/GEPSNONPILOT/Tender/SplashBidNoticeAbstractUI.aspx?menuIndex=3&amp;refID=7067349&amp;Result=3","7067349")</f>
        <v>0</v>
      </c>
      <c r="B8735" t="s">
        <v>2637</v>
      </c>
      <c r="C8735" t="s">
        <v>11719</v>
      </c>
      <c r="D8735" t="s">
        <v>16608</v>
      </c>
      <c r="E8735" t="s">
        <v>24319</v>
      </c>
      <c r="F8735" t="s">
        <v>28669</v>
      </c>
      <c r="G8735" t="s">
        <v>28675</v>
      </c>
      <c r="H8735" t="s">
        <v>9998</v>
      </c>
      <c r="I8735" t="s">
        <v>28693</v>
      </c>
      <c r="J8735" t="s">
        <v>34247</v>
      </c>
      <c r="K8735" t="s">
        <v>37206</v>
      </c>
      <c r="M8735" t="s">
        <v>40336</v>
      </c>
      <c r="N8735" t="s">
        <v>41249</v>
      </c>
      <c r="O8735" t="s">
        <v>41250</v>
      </c>
      <c r="P8735">
        <v>0</v>
      </c>
      <c r="Q8735">
        <v>4</v>
      </c>
      <c r="R8735" t="s">
        <v>41258</v>
      </c>
      <c r="S8735" t="s">
        <v>41513</v>
      </c>
      <c r="T8735" t="s">
        <v>42881</v>
      </c>
      <c r="U8735" t="s">
        <v>50273</v>
      </c>
      <c r="W8735" t="s">
        <v>40336</v>
      </c>
      <c r="X8735" t="s">
        <v>41259</v>
      </c>
    </row>
    <row r="8736" spans="1:24">
      <c r="A8736">
        <f>HYPERLINK("https://www.philgeps.gov.ph/GEPSNONPILOT/Tender/SplashBidNoticeAbstractUI.aspx?menuIndex=3&amp;refID=7067357&amp;Result=3","7067357")</f>
        <v>0</v>
      </c>
      <c r="B8736" t="s">
        <v>2637</v>
      </c>
      <c r="C8736" t="s">
        <v>11720</v>
      </c>
      <c r="D8736" t="s">
        <v>16608</v>
      </c>
      <c r="E8736" t="s">
        <v>24320</v>
      </c>
      <c r="F8736" t="s">
        <v>28669</v>
      </c>
      <c r="G8736" t="s">
        <v>28675</v>
      </c>
      <c r="H8736" t="s">
        <v>9998</v>
      </c>
      <c r="I8736" t="s">
        <v>28693</v>
      </c>
      <c r="J8736" t="s">
        <v>29134</v>
      </c>
      <c r="K8736" t="s">
        <v>37206</v>
      </c>
      <c r="M8736" t="s">
        <v>40336</v>
      </c>
      <c r="N8736" t="s">
        <v>41249</v>
      </c>
      <c r="O8736" t="s">
        <v>41250</v>
      </c>
      <c r="P8736">
        <v>0</v>
      </c>
      <c r="Q8736">
        <v>5</v>
      </c>
      <c r="R8736" t="s">
        <v>41258</v>
      </c>
      <c r="S8736" t="s">
        <v>41513</v>
      </c>
      <c r="T8736" t="s">
        <v>42881</v>
      </c>
      <c r="U8736" t="s">
        <v>50273</v>
      </c>
      <c r="W8736" t="s">
        <v>40336</v>
      </c>
      <c r="X8736" t="s">
        <v>41259</v>
      </c>
    </row>
    <row r="8737" spans="1:24">
      <c r="A8737">
        <f>HYPERLINK("https://www.philgeps.gov.ph/GEPSNONPILOT/Tender/SplashBidNoticeAbstractUI.aspx?menuIndex=3&amp;refID=7067347&amp;Result=3","7067347")</f>
        <v>0</v>
      </c>
      <c r="B8737" t="s">
        <v>2637</v>
      </c>
      <c r="C8737" t="s">
        <v>11721</v>
      </c>
      <c r="D8737" t="s">
        <v>16608</v>
      </c>
      <c r="E8737" t="s">
        <v>24321</v>
      </c>
      <c r="F8737" t="s">
        <v>28669</v>
      </c>
      <c r="G8737" t="s">
        <v>28675</v>
      </c>
      <c r="H8737" t="s">
        <v>9998</v>
      </c>
      <c r="I8737" t="s">
        <v>28693</v>
      </c>
      <c r="J8737" t="s">
        <v>34248</v>
      </c>
      <c r="K8737" t="s">
        <v>37206</v>
      </c>
      <c r="M8737" t="s">
        <v>40336</v>
      </c>
      <c r="N8737" t="s">
        <v>41249</v>
      </c>
      <c r="O8737" t="s">
        <v>41250</v>
      </c>
      <c r="P8737">
        <v>0</v>
      </c>
      <c r="Q8737">
        <v>9</v>
      </c>
      <c r="R8737" t="s">
        <v>41258</v>
      </c>
      <c r="S8737" t="s">
        <v>41513</v>
      </c>
      <c r="T8737" t="s">
        <v>42881</v>
      </c>
      <c r="U8737" t="s">
        <v>50277</v>
      </c>
      <c r="W8737" t="s">
        <v>40336</v>
      </c>
      <c r="X8737" t="s">
        <v>41259</v>
      </c>
    </row>
    <row r="8738" spans="1:24">
      <c r="A8738">
        <f>HYPERLINK("https://www.philgeps.gov.ph/GEPSNONPILOT/Tender/SplashBidNoticeAbstractUI.aspx?menuIndex=3&amp;refID=7067346&amp;Result=3","7067346")</f>
        <v>0</v>
      </c>
      <c r="B8738" t="s">
        <v>473</v>
      </c>
      <c r="C8738" t="s">
        <v>11722</v>
      </c>
      <c r="D8738" t="s">
        <v>16647</v>
      </c>
      <c r="E8738" t="s">
        <v>24322</v>
      </c>
      <c r="F8738" t="s">
        <v>28669</v>
      </c>
      <c r="G8738" t="s">
        <v>28675</v>
      </c>
      <c r="H8738" t="s">
        <v>9998</v>
      </c>
      <c r="I8738" t="s">
        <v>28687</v>
      </c>
      <c r="J8738" t="s">
        <v>28914</v>
      </c>
      <c r="K8738" t="s">
        <v>37205</v>
      </c>
      <c r="M8738" t="s">
        <v>37961</v>
      </c>
      <c r="N8738" t="s">
        <v>41249</v>
      </c>
      <c r="O8738" t="s">
        <v>41250</v>
      </c>
      <c r="P8738">
        <v>0</v>
      </c>
      <c r="Q8738">
        <v>1</v>
      </c>
      <c r="R8738" t="s">
        <v>41258</v>
      </c>
      <c r="S8738" t="s">
        <v>41513</v>
      </c>
      <c r="T8738" t="s">
        <v>42727</v>
      </c>
      <c r="U8738" t="s">
        <v>50278</v>
      </c>
      <c r="W8738" t="s">
        <v>37961</v>
      </c>
      <c r="X8738" t="s">
        <v>41259</v>
      </c>
    </row>
    <row r="8739" spans="1:24">
      <c r="A8739">
        <f>HYPERLINK("https://www.philgeps.gov.ph/GEPSNONPILOT/Tender/SplashBidNoticeAbstractUI.aspx?menuIndex=3&amp;refID=7067350&amp;Result=3","7067350")</f>
        <v>0</v>
      </c>
      <c r="B8739" t="s">
        <v>1140</v>
      </c>
      <c r="C8739" t="s">
        <v>11723</v>
      </c>
      <c r="D8739" t="s">
        <v>16667</v>
      </c>
      <c r="E8739" t="s">
        <v>23712</v>
      </c>
      <c r="F8739" t="s">
        <v>28669</v>
      </c>
      <c r="G8739" t="s">
        <v>28675</v>
      </c>
      <c r="H8739" t="s">
        <v>28686</v>
      </c>
      <c r="I8739" t="s">
        <v>28689</v>
      </c>
      <c r="J8739" t="s">
        <v>29744</v>
      </c>
      <c r="K8739" t="s">
        <v>37227</v>
      </c>
      <c r="M8739" t="s">
        <v>38675</v>
      </c>
      <c r="N8739" t="s">
        <v>41249</v>
      </c>
      <c r="O8739" t="s">
        <v>41250</v>
      </c>
      <c r="P8739">
        <v>0</v>
      </c>
      <c r="Q8739">
        <v>0</v>
      </c>
      <c r="R8739" t="s">
        <v>41258</v>
      </c>
      <c r="S8739" t="s">
        <v>41513</v>
      </c>
      <c r="T8739" t="s">
        <v>42727</v>
      </c>
      <c r="U8739" t="s">
        <v>50279</v>
      </c>
      <c r="W8739" t="s">
        <v>38675</v>
      </c>
      <c r="X8739" t="s">
        <v>41259</v>
      </c>
    </row>
    <row r="8740" spans="1:24">
      <c r="A8740">
        <f>HYPERLINK("https://www.philgeps.gov.ph/GEPSNONPILOT/Tender/SplashBidNoticeAbstractUI.aspx?menuIndex=3&amp;refID=7067344&amp;Result=3","7067344")</f>
        <v>0</v>
      </c>
      <c r="B8740" t="s">
        <v>2637</v>
      </c>
      <c r="C8740" t="s">
        <v>11724</v>
      </c>
      <c r="D8740" t="s">
        <v>16608</v>
      </c>
      <c r="E8740" t="s">
        <v>24323</v>
      </c>
      <c r="F8740" t="s">
        <v>28669</v>
      </c>
      <c r="G8740" t="s">
        <v>28675</v>
      </c>
      <c r="H8740" t="s">
        <v>9998</v>
      </c>
      <c r="I8740" t="s">
        <v>28693</v>
      </c>
      <c r="J8740" t="s">
        <v>34249</v>
      </c>
      <c r="K8740" t="s">
        <v>37206</v>
      </c>
      <c r="M8740" t="s">
        <v>40336</v>
      </c>
      <c r="N8740" t="s">
        <v>41249</v>
      </c>
      <c r="O8740" t="s">
        <v>41250</v>
      </c>
      <c r="P8740">
        <v>0</v>
      </c>
      <c r="Q8740">
        <v>9</v>
      </c>
      <c r="R8740" t="s">
        <v>41258</v>
      </c>
      <c r="S8740" t="s">
        <v>41513</v>
      </c>
      <c r="T8740" t="s">
        <v>42881</v>
      </c>
      <c r="U8740" t="s">
        <v>50277</v>
      </c>
      <c r="W8740" t="s">
        <v>40336</v>
      </c>
      <c r="X8740" t="s">
        <v>41259</v>
      </c>
    </row>
    <row r="8741" spans="1:24">
      <c r="A8741">
        <f>HYPERLINK("https://www.philgeps.gov.ph/GEPSNONPILOT/Tender/SplashBidNoticeAbstractUI.aspx?menuIndex=3&amp;refID=7067311&amp;Result=3","7067311")</f>
        <v>0</v>
      </c>
      <c r="B8741" t="s">
        <v>730</v>
      </c>
      <c r="C8741" t="s">
        <v>5261</v>
      </c>
      <c r="D8741" t="s">
        <v>16626</v>
      </c>
      <c r="E8741" t="s">
        <v>24324</v>
      </c>
      <c r="F8741" t="s">
        <v>28669</v>
      </c>
      <c r="G8741" t="s">
        <v>28675</v>
      </c>
      <c r="H8741" t="s">
        <v>9998</v>
      </c>
      <c r="I8741" t="s">
        <v>28711</v>
      </c>
      <c r="J8741" t="s">
        <v>29487</v>
      </c>
      <c r="K8741" t="s">
        <v>37234</v>
      </c>
      <c r="M8741" t="s">
        <v>38238</v>
      </c>
      <c r="N8741" t="s">
        <v>41249</v>
      </c>
      <c r="O8741" t="s">
        <v>41250</v>
      </c>
      <c r="P8741">
        <v>0</v>
      </c>
      <c r="Q8741">
        <v>1</v>
      </c>
      <c r="R8741" t="s">
        <v>41258</v>
      </c>
      <c r="S8741" t="s">
        <v>41513</v>
      </c>
      <c r="T8741" t="s">
        <v>42882</v>
      </c>
      <c r="U8741" t="s">
        <v>50280</v>
      </c>
      <c r="W8741" t="s">
        <v>38238</v>
      </c>
      <c r="X8741" t="s">
        <v>41259</v>
      </c>
    </row>
    <row r="8742" spans="1:24">
      <c r="A8742">
        <f>HYPERLINK("https://www.philgeps.gov.ph/GEPSNONPILOT/Tender/SplashBidNoticeAbstractUI.aspx?menuIndex=3&amp;refID=7067343&amp;Result=3","7067343")</f>
        <v>0</v>
      </c>
      <c r="B8742" t="s">
        <v>2637</v>
      </c>
      <c r="C8742" t="s">
        <v>11725</v>
      </c>
      <c r="D8742" t="s">
        <v>16608</v>
      </c>
      <c r="E8742" t="s">
        <v>11725</v>
      </c>
      <c r="F8742" t="s">
        <v>28669</v>
      </c>
      <c r="G8742" t="s">
        <v>28675</v>
      </c>
      <c r="H8742" t="s">
        <v>9998</v>
      </c>
      <c r="I8742" t="s">
        <v>15140</v>
      </c>
      <c r="J8742" t="s">
        <v>34250</v>
      </c>
      <c r="K8742" t="s">
        <v>37206</v>
      </c>
      <c r="M8742" t="s">
        <v>40336</v>
      </c>
      <c r="N8742" t="s">
        <v>41249</v>
      </c>
      <c r="O8742" t="s">
        <v>41250</v>
      </c>
      <c r="P8742">
        <v>0</v>
      </c>
      <c r="Q8742">
        <v>1</v>
      </c>
      <c r="R8742" t="s">
        <v>41258</v>
      </c>
      <c r="S8742" t="s">
        <v>41513</v>
      </c>
      <c r="T8742" t="s">
        <v>42881</v>
      </c>
      <c r="U8742" t="s">
        <v>50271</v>
      </c>
      <c r="W8742" t="s">
        <v>40336</v>
      </c>
      <c r="X8742" t="s">
        <v>41259</v>
      </c>
    </row>
    <row r="8743" spans="1:24">
      <c r="A8743">
        <f>HYPERLINK("https://www.philgeps.gov.ph/GEPSNONPILOT/Tender/SplashBidNoticeAbstractUI.aspx?menuIndex=3&amp;refID=6949730&amp;Result=3","6949730")</f>
        <v>0</v>
      </c>
      <c r="B8743" t="s">
        <v>2639</v>
      </c>
      <c r="C8743" t="s">
        <v>11726</v>
      </c>
      <c r="E8743" t="s">
        <v>16820</v>
      </c>
      <c r="F8743" t="s">
        <v>28669</v>
      </c>
      <c r="G8743" t="s">
        <v>28675</v>
      </c>
      <c r="H8743" t="s">
        <v>9998</v>
      </c>
      <c r="I8743" t="s">
        <v>28697</v>
      </c>
      <c r="J8743" t="s">
        <v>34251</v>
      </c>
      <c r="K8743" t="s">
        <v>37208</v>
      </c>
      <c r="M8743" t="s">
        <v>40338</v>
      </c>
      <c r="N8743" t="s">
        <v>41249</v>
      </c>
      <c r="O8743" t="s">
        <v>41250</v>
      </c>
      <c r="P8743">
        <v>0</v>
      </c>
      <c r="Q8743">
        <v>0</v>
      </c>
      <c r="R8743" t="s">
        <v>41259</v>
      </c>
      <c r="S8743" t="s">
        <v>41562</v>
      </c>
      <c r="T8743" t="s">
        <v>42739</v>
      </c>
      <c r="U8743" t="s">
        <v>50281</v>
      </c>
      <c r="W8743" t="s">
        <v>40338</v>
      </c>
      <c r="X8743" t="s">
        <v>56047</v>
      </c>
    </row>
    <row r="8744" spans="1:24">
      <c r="A8744">
        <f>HYPERLINK("https://www.philgeps.gov.ph/GEPSNONPILOT/Tender/SplashBidNoticeAbstractUI.aspx?menuIndex=3&amp;refID=7056981&amp;Result=3","7056981")</f>
        <v>0</v>
      </c>
      <c r="B8744" t="s">
        <v>2069</v>
      </c>
      <c r="C8744" t="s">
        <v>11727</v>
      </c>
      <c r="D8744" t="s">
        <v>16678</v>
      </c>
      <c r="E8744" t="s">
        <v>24325</v>
      </c>
      <c r="F8744" t="s">
        <v>28669</v>
      </c>
      <c r="G8744" t="s">
        <v>28675</v>
      </c>
      <c r="H8744" t="s">
        <v>9998</v>
      </c>
      <c r="I8744" t="s">
        <v>28687</v>
      </c>
      <c r="J8744" t="s">
        <v>31117</v>
      </c>
      <c r="K8744" t="s">
        <v>37220</v>
      </c>
      <c r="M8744" t="s">
        <v>39710</v>
      </c>
      <c r="N8744" t="s">
        <v>41249</v>
      </c>
      <c r="O8744" t="s">
        <v>41250</v>
      </c>
      <c r="P8744">
        <v>0</v>
      </c>
      <c r="Q8744">
        <v>4</v>
      </c>
      <c r="R8744" t="s">
        <v>41259</v>
      </c>
      <c r="S8744" t="s">
        <v>41562</v>
      </c>
      <c r="T8744" t="s">
        <v>42836</v>
      </c>
      <c r="U8744" t="s">
        <v>50282</v>
      </c>
      <c r="W8744" t="s">
        <v>39710</v>
      </c>
      <c r="X8744" t="s">
        <v>41264</v>
      </c>
    </row>
    <row r="8745" spans="1:24">
      <c r="A8745">
        <f>HYPERLINK("https://www.philgeps.gov.ph/GEPSNONPILOT/Tender/SplashBidNoticeAbstractUI.aspx?menuIndex=3&amp;refID=7056081&amp;Result=3","7056081")</f>
        <v>0</v>
      </c>
      <c r="B8745" t="s">
        <v>42</v>
      </c>
      <c r="C8745" t="s">
        <v>11728</v>
      </c>
      <c r="D8745" t="s">
        <v>16623</v>
      </c>
      <c r="E8745" t="s">
        <v>24326</v>
      </c>
      <c r="F8745" t="s">
        <v>28669</v>
      </c>
      <c r="G8745" t="s">
        <v>28675</v>
      </c>
      <c r="H8745" t="s">
        <v>9998</v>
      </c>
      <c r="I8745" t="s">
        <v>28729</v>
      </c>
      <c r="J8745" t="s">
        <v>29110</v>
      </c>
      <c r="K8745" t="s">
        <v>37210</v>
      </c>
      <c r="M8745" t="s">
        <v>37517</v>
      </c>
      <c r="N8745" t="s">
        <v>41249</v>
      </c>
      <c r="O8745" t="s">
        <v>41250</v>
      </c>
      <c r="P8745">
        <v>0</v>
      </c>
      <c r="Q8745">
        <v>2</v>
      </c>
      <c r="R8745" t="s">
        <v>41259</v>
      </c>
      <c r="S8745" t="s">
        <v>41562</v>
      </c>
      <c r="T8745" t="s">
        <v>42728</v>
      </c>
      <c r="U8745" t="s">
        <v>50283</v>
      </c>
      <c r="W8745" t="s">
        <v>37517</v>
      </c>
      <c r="X8745" t="s">
        <v>41264</v>
      </c>
    </row>
    <row r="8746" spans="1:24">
      <c r="A8746">
        <f>HYPERLINK("https://www.philgeps.gov.ph/GEPSNONPILOT/Tender/SplashBidNoticeAbstractUI.aspx?menuIndex=3&amp;refID=7067314&amp;Result=3","7067314")</f>
        <v>0</v>
      </c>
      <c r="B8746" t="s">
        <v>730</v>
      </c>
      <c r="C8746" t="s">
        <v>5261</v>
      </c>
      <c r="D8746" t="s">
        <v>16626</v>
      </c>
      <c r="E8746" t="s">
        <v>24327</v>
      </c>
      <c r="F8746" t="s">
        <v>28669</v>
      </c>
      <c r="G8746" t="s">
        <v>28675</v>
      </c>
      <c r="H8746" t="s">
        <v>9998</v>
      </c>
      <c r="I8746" t="s">
        <v>6128</v>
      </c>
      <c r="J8746" t="s">
        <v>29825</v>
      </c>
      <c r="K8746" t="s">
        <v>37234</v>
      </c>
      <c r="M8746" t="s">
        <v>38238</v>
      </c>
      <c r="N8746" t="s">
        <v>41249</v>
      </c>
      <c r="O8746" t="s">
        <v>41250</v>
      </c>
      <c r="P8746">
        <v>0</v>
      </c>
      <c r="Q8746">
        <v>0</v>
      </c>
      <c r="R8746" t="s">
        <v>41258</v>
      </c>
      <c r="S8746" t="s">
        <v>41513</v>
      </c>
      <c r="T8746" t="s">
        <v>42882</v>
      </c>
      <c r="U8746" t="s">
        <v>50284</v>
      </c>
      <c r="W8746" t="s">
        <v>38238</v>
      </c>
      <c r="X8746" t="s">
        <v>41259</v>
      </c>
    </row>
    <row r="8747" spans="1:24">
      <c r="A8747">
        <f>HYPERLINK("https://www.philgeps.gov.ph/GEPSNONPILOT/Tender/SplashBidNoticeAbstractUI.aspx?menuIndex=3&amp;refID=7055996&amp;Result=3","7055996")</f>
        <v>0</v>
      </c>
      <c r="B8747" t="s">
        <v>2640</v>
      </c>
      <c r="C8747" t="s">
        <v>11729</v>
      </c>
      <c r="D8747" t="s">
        <v>16679</v>
      </c>
      <c r="E8747" t="s">
        <v>24328</v>
      </c>
      <c r="F8747" t="s">
        <v>28669</v>
      </c>
      <c r="G8747" t="s">
        <v>28675</v>
      </c>
      <c r="H8747" t="s">
        <v>9998</v>
      </c>
      <c r="I8747" t="s">
        <v>28687</v>
      </c>
      <c r="J8747" t="s">
        <v>30575</v>
      </c>
      <c r="K8747" t="s">
        <v>37206</v>
      </c>
      <c r="M8747" t="s">
        <v>40339</v>
      </c>
      <c r="N8747" t="s">
        <v>41249</v>
      </c>
      <c r="O8747" t="s">
        <v>41250</v>
      </c>
      <c r="P8747">
        <v>0</v>
      </c>
      <c r="Q8747">
        <v>3</v>
      </c>
      <c r="R8747" t="s">
        <v>41259</v>
      </c>
      <c r="S8747" t="s">
        <v>41562</v>
      </c>
      <c r="T8747" t="s">
        <v>42881</v>
      </c>
      <c r="U8747" t="s">
        <v>50285</v>
      </c>
      <c r="W8747" t="s">
        <v>40339</v>
      </c>
      <c r="X8747" t="s">
        <v>41264</v>
      </c>
    </row>
    <row r="8748" spans="1:24">
      <c r="A8748">
        <f>HYPERLINK("https://www.philgeps.gov.ph/GEPSNONPILOT/Tender/SplashBidNoticeAbstractUI.aspx?menuIndex=3&amp;refID=7055868&amp;Result=3","7055868")</f>
        <v>0</v>
      </c>
      <c r="B8748" t="s">
        <v>44</v>
      </c>
      <c r="C8748" t="s">
        <v>11730</v>
      </c>
      <c r="D8748" t="s">
        <v>16625</v>
      </c>
      <c r="E8748" t="s">
        <v>24329</v>
      </c>
      <c r="F8748" t="s">
        <v>28669</v>
      </c>
      <c r="G8748" t="s">
        <v>28675</v>
      </c>
      <c r="H8748" t="s">
        <v>9998</v>
      </c>
      <c r="I8748" t="s">
        <v>28722</v>
      </c>
      <c r="J8748" t="s">
        <v>34252</v>
      </c>
      <c r="K8748" t="s">
        <v>37210</v>
      </c>
      <c r="M8748" t="s">
        <v>38457</v>
      </c>
      <c r="N8748" t="s">
        <v>41249</v>
      </c>
      <c r="O8748" t="s">
        <v>41250</v>
      </c>
      <c r="P8748">
        <v>0</v>
      </c>
      <c r="Q8748">
        <v>5</v>
      </c>
      <c r="R8748" t="s">
        <v>41259</v>
      </c>
      <c r="S8748" t="s">
        <v>41562</v>
      </c>
      <c r="T8748" t="s">
        <v>42728</v>
      </c>
      <c r="U8748" t="s">
        <v>50286</v>
      </c>
      <c r="W8748" t="s">
        <v>38457</v>
      </c>
      <c r="X8748" t="s">
        <v>41264</v>
      </c>
    </row>
    <row r="8749" spans="1:24">
      <c r="A8749">
        <f>HYPERLINK("https://www.philgeps.gov.ph/GEPSNONPILOT/Tender/SplashBidNoticeAbstractUI.aspx?menuIndex=3&amp;refID=7054891&amp;Result=3","7054891")</f>
        <v>0</v>
      </c>
      <c r="B8749" t="s">
        <v>870</v>
      </c>
      <c r="C8749" t="s">
        <v>11731</v>
      </c>
      <c r="D8749" t="s">
        <v>16618</v>
      </c>
      <c r="E8749" t="s">
        <v>24330</v>
      </c>
      <c r="F8749" t="s">
        <v>28669</v>
      </c>
      <c r="G8749" t="s">
        <v>28675</v>
      </c>
      <c r="H8749" t="s">
        <v>9998</v>
      </c>
      <c r="I8749" t="s">
        <v>28695</v>
      </c>
      <c r="J8749" t="s">
        <v>34253</v>
      </c>
      <c r="K8749" t="s">
        <v>37213</v>
      </c>
      <c r="M8749" t="s">
        <v>40340</v>
      </c>
      <c r="N8749" t="s">
        <v>41249</v>
      </c>
      <c r="O8749" t="s">
        <v>41250</v>
      </c>
      <c r="P8749">
        <v>0</v>
      </c>
      <c r="Q8749">
        <v>1</v>
      </c>
      <c r="R8749" t="s">
        <v>41259</v>
      </c>
      <c r="S8749" t="s">
        <v>41562</v>
      </c>
      <c r="T8749" t="s">
        <v>42755</v>
      </c>
      <c r="U8749" t="s">
        <v>50287</v>
      </c>
      <c r="V8749" t="s">
        <v>55236</v>
      </c>
      <c r="W8749" t="s">
        <v>40340</v>
      </c>
      <c r="X8749" t="s">
        <v>41265</v>
      </c>
    </row>
    <row r="8750" spans="1:24">
      <c r="A8750">
        <f>HYPERLINK("https://www.philgeps.gov.ph/GEPSNONPILOT/Tender/SplashBidNoticeAbstractUI.aspx?menuIndex=3&amp;refID=7067341&amp;Result=3","7067341")</f>
        <v>0</v>
      </c>
      <c r="B8750" t="s">
        <v>2637</v>
      </c>
      <c r="C8750" t="s">
        <v>11732</v>
      </c>
      <c r="D8750" t="s">
        <v>16608</v>
      </c>
      <c r="E8750" t="s">
        <v>11732</v>
      </c>
      <c r="F8750" t="s">
        <v>28669</v>
      </c>
      <c r="G8750" t="s">
        <v>28675</v>
      </c>
      <c r="H8750" t="s">
        <v>9998</v>
      </c>
      <c r="I8750" t="s">
        <v>15140</v>
      </c>
      <c r="J8750" t="s">
        <v>34254</v>
      </c>
      <c r="K8750" t="s">
        <v>37206</v>
      </c>
      <c r="M8750" t="s">
        <v>40336</v>
      </c>
      <c r="N8750" t="s">
        <v>41249</v>
      </c>
      <c r="O8750" t="s">
        <v>41250</v>
      </c>
      <c r="P8750">
        <v>0</v>
      </c>
      <c r="Q8750">
        <v>0</v>
      </c>
      <c r="R8750" t="s">
        <v>41258</v>
      </c>
      <c r="S8750" t="s">
        <v>41513</v>
      </c>
      <c r="T8750" t="s">
        <v>42881</v>
      </c>
      <c r="U8750" t="s">
        <v>50271</v>
      </c>
      <c r="W8750" t="s">
        <v>40336</v>
      </c>
      <c r="X8750" t="s">
        <v>41259</v>
      </c>
    </row>
    <row r="8751" spans="1:24">
      <c r="A8751">
        <f>HYPERLINK("https://www.philgeps.gov.ph/GEPSNONPILOT/Tender/SplashBidNoticeAbstractUI.aspx?menuIndex=3&amp;refID=7054571&amp;Result=3","7054571")</f>
        <v>0</v>
      </c>
      <c r="B8751" t="s">
        <v>238</v>
      </c>
      <c r="C8751" t="s">
        <v>11733</v>
      </c>
      <c r="D8751" t="s">
        <v>16640</v>
      </c>
      <c r="E8751" t="s">
        <v>24331</v>
      </c>
      <c r="F8751" t="s">
        <v>28669</v>
      </c>
      <c r="G8751" t="s">
        <v>28675</v>
      </c>
      <c r="H8751" t="s">
        <v>9998</v>
      </c>
      <c r="I8751" t="s">
        <v>11593</v>
      </c>
      <c r="J8751" t="s">
        <v>29655</v>
      </c>
      <c r="K8751" t="s">
        <v>37209</v>
      </c>
      <c r="M8751" t="s">
        <v>37716</v>
      </c>
      <c r="N8751" t="s">
        <v>41249</v>
      </c>
      <c r="O8751" t="s">
        <v>41250</v>
      </c>
      <c r="P8751">
        <v>0</v>
      </c>
      <c r="Q8751">
        <v>10</v>
      </c>
      <c r="R8751" t="s">
        <v>41259</v>
      </c>
      <c r="S8751" t="s">
        <v>41562</v>
      </c>
      <c r="T8751" t="s">
        <v>42760</v>
      </c>
      <c r="U8751" t="s">
        <v>50288</v>
      </c>
      <c r="W8751" t="s">
        <v>37716</v>
      </c>
      <c r="X8751" t="s">
        <v>41265</v>
      </c>
    </row>
    <row r="8752" spans="1:24">
      <c r="A8752">
        <f>HYPERLINK("https://www.philgeps.gov.ph/GEPSNONPILOT/Tender/SplashBidNoticeAbstractUI.aspx?menuIndex=3&amp;refID=7056243&amp;Result=3","7056243")</f>
        <v>0</v>
      </c>
      <c r="B8752" t="s">
        <v>139</v>
      </c>
      <c r="C8752" t="s">
        <v>11734</v>
      </c>
      <c r="D8752" t="s">
        <v>16654</v>
      </c>
      <c r="E8752" t="s">
        <v>16939</v>
      </c>
      <c r="F8752" t="s">
        <v>28669</v>
      </c>
      <c r="G8752" t="s">
        <v>28675</v>
      </c>
      <c r="H8752" t="s">
        <v>28686</v>
      </c>
      <c r="I8752" t="s">
        <v>28689</v>
      </c>
      <c r="J8752" t="s">
        <v>29665</v>
      </c>
      <c r="K8752" t="s">
        <v>37209</v>
      </c>
      <c r="M8752" t="s">
        <v>37616</v>
      </c>
      <c r="N8752" t="s">
        <v>41249</v>
      </c>
      <c r="O8752" t="s">
        <v>41250</v>
      </c>
      <c r="P8752">
        <v>0</v>
      </c>
      <c r="Q8752">
        <v>1</v>
      </c>
      <c r="R8752" t="s">
        <v>41259</v>
      </c>
      <c r="S8752" t="s">
        <v>41562</v>
      </c>
      <c r="T8752" t="s">
        <v>42760</v>
      </c>
      <c r="U8752" t="s">
        <v>50289</v>
      </c>
      <c r="W8752" t="s">
        <v>37616</v>
      </c>
      <c r="X8752" t="s">
        <v>41264</v>
      </c>
    </row>
    <row r="8753" spans="1:24">
      <c r="A8753">
        <f>HYPERLINK("https://www.philgeps.gov.ph/GEPSNONPILOT/Tender/SplashBidNoticeAbstractUI.aspx?menuIndex=3&amp;refID=7053450&amp;Result=3","7053450")</f>
        <v>0</v>
      </c>
      <c r="B8753" t="s">
        <v>410</v>
      </c>
      <c r="C8753" t="s">
        <v>11735</v>
      </c>
      <c r="D8753" t="s">
        <v>16630</v>
      </c>
      <c r="E8753" t="s">
        <v>24332</v>
      </c>
      <c r="F8753" t="s">
        <v>28669</v>
      </c>
      <c r="G8753" t="s">
        <v>28675</v>
      </c>
      <c r="H8753" t="s">
        <v>28686</v>
      </c>
      <c r="I8753" t="s">
        <v>28689</v>
      </c>
      <c r="J8753" t="s">
        <v>34255</v>
      </c>
      <c r="K8753" t="s">
        <v>37247</v>
      </c>
      <c r="M8753" t="s">
        <v>37895</v>
      </c>
      <c r="N8753" t="s">
        <v>41249</v>
      </c>
      <c r="O8753" t="s">
        <v>41250</v>
      </c>
      <c r="P8753">
        <v>0</v>
      </c>
      <c r="Q8753">
        <v>0</v>
      </c>
      <c r="R8753" t="s">
        <v>41259</v>
      </c>
      <c r="S8753" t="s">
        <v>41562</v>
      </c>
      <c r="T8753" t="s">
        <v>42913</v>
      </c>
      <c r="U8753" t="s">
        <v>50290</v>
      </c>
      <c r="W8753" t="s">
        <v>37895</v>
      </c>
      <c r="X8753" t="s">
        <v>41265</v>
      </c>
    </row>
    <row r="8754" spans="1:24">
      <c r="A8754">
        <f>HYPERLINK("https://www.philgeps.gov.ph/GEPSNONPILOT/Tender/SplashBidNoticeAbstractUI.aspx?menuIndex=3&amp;refID=7067120&amp;Result=3","7067120")</f>
        <v>0</v>
      </c>
      <c r="B8754" t="s">
        <v>609</v>
      </c>
      <c r="C8754" t="s">
        <v>11736</v>
      </c>
      <c r="E8754" t="s">
        <v>24333</v>
      </c>
      <c r="F8754" t="s">
        <v>28669</v>
      </c>
      <c r="G8754" t="s">
        <v>28675</v>
      </c>
      <c r="H8754" t="s">
        <v>9998</v>
      </c>
      <c r="I8754" t="s">
        <v>28687</v>
      </c>
      <c r="J8754" t="s">
        <v>34256</v>
      </c>
      <c r="K8754" t="s">
        <v>37215</v>
      </c>
      <c r="M8754" t="s">
        <v>40277</v>
      </c>
      <c r="N8754" t="s">
        <v>41249</v>
      </c>
      <c r="O8754" t="s">
        <v>41250</v>
      </c>
      <c r="P8754">
        <v>0</v>
      </c>
      <c r="Q8754">
        <v>15</v>
      </c>
      <c r="R8754" t="s">
        <v>41258</v>
      </c>
      <c r="S8754" t="s">
        <v>41513</v>
      </c>
      <c r="T8754" t="s">
        <v>42660</v>
      </c>
      <c r="U8754" t="s">
        <v>50291</v>
      </c>
      <c r="W8754" t="s">
        <v>40277</v>
      </c>
      <c r="X8754" t="s">
        <v>41259</v>
      </c>
    </row>
    <row r="8755" spans="1:24">
      <c r="A8755">
        <f>HYPERLINK("https://www.philgeps.gov.ph/GEPSNONPILOT/Tender/SplashBidNoticeAbstractUI.aspx?menuIndex=3&amp;refID=7053315&amp;Result=3","7053315")</f>
        <v>0</v>
      </c>
      <c r="B8755" t="s">
        <v>410</v>
      </c>
      <c r="C8755" t="s">
        <v>11737</v>
      </c>
      <c r="D8755" t="s">
        <v>16630</v>
      </c>
      <c r="E8755" t="s">
        <v>24334</v>
      </c>
      <c r="F8755" t="s">
        <v>28669</v>
      </c>
      <c r="G8755" t="s">
        <v>28675</v>
      </c>
      <c r="H8755" t="s">
        <v>28686</v>
      </c>
      <c r="I8755" t="s">
        <v>28689</v>
      </c>
      <c r="J8755" t="s">
        <v>34257</v>
      </c>
      <c r="K8755" t="s">
        <v>37345</v>
      </c>
      <c r="M8755" t="s">
        <v>37895</v>
      </c>
      <c r="N8755" t="s">
        <v>41249</v>
      </c>
      <c r="O8755" t="s">
        <v>41250</v>
      </c>
      <c r="P8755">
        <v>0</v>
      </c>
      <c r="Q8755">
        <v>0</v>
      </c>
      <c r="R8755" t="s">
        <v>41259</v>
      </c>
      <c r="S8755" t="s">
        <v>41562</v>
      </c>
      <c r="T8755" t="s">
        <v>42729</v>
      </c>
      <c r="U8755" t="s">
        <v>50292</v>
      </c>
      <c r="W8755" t="s">
        <v>37895</v>
      </c>
      <c r="X8755" t="s">
        <v>41265</v>
      </c>
    </row>
    <row r="8756" spans="1:24">
      <c r="A8756">
        <f>HYPERLINK("https://www.philgeps.gov.ph/GEPSNONPILOT/Tender/SplashBidNoticeAbstractUI.aspx?menuIndex=3&amp;refID=7067353&amp;Result=3","7067353")</f>
        <v>0</v>
      </c>
      <c r="B8756" t="s">
        <v>2637</v>
      </c>
      <c r="C8756" t="s">
        <v>11738</v>
      </c>
      <c r="D8756" t="s">
        <v>16608</v>
      </c>
      <c r="E8756" t="s">
        <v>24335</v>
      </c>
      <c r="F8756" t="s">
        <v>28669</v>
      </c>
      <c r="G8756" t="s">
        <v>28675</v>
      </c>
      <c r="H8756" t="s">
        <v>9998</v>
      </c>
      <c r="I8756" t="s">
        <v>28693</v>
      </c>
      <c r="J8756" t="s">
        <v>34258</v>
      </c>
      <c r="K8756" t="s">
        <v>37206</v>
      </c>
      <c r="M8756" t="s">
        <v>40336</v>
      </c>
      <c r="N8756" t="s">
        <v>41249</v>
      </c>
      <c r="O8756" t="s">
        <v>41250</v>
      </c>
      <c r="P8756">
        <v>0</v>
      </c>
      <c r="Q8756">
        <v>4</v>
      </c>
      <c r="R8756" t="s">
        <v>41258</v>
      </c>
      <c r="S8756" t="s">
        <v>41513</v>
      </c>
      <c r="T8756" t="s">
        <v>42881</v>
      </c>
      <c r="U8756" t="s">
        <v>50273</v>
      </c>
      <c r="W8756" t="s">
        <v>40336</v>
      </c>
      <c r="X8756" t="s">
        <v>41259</v>
      </c>
    </row>
    <row r="8757" spans="1:24">
      <c r="A8757">
        <f>HYPERLINK("https://www.philgeps.gov.ph/GEPSNONPILOT/Tender/SplashBidNoticeAbstractUI.aspx?menuIndex=3&amp;refID=7047893&amp;Result=3","7047893")</f>
        <v>0</v>
      </c>
      <c r="B8757" t="s">
        <v>2641</v>
      </c>
      <c r="C8757" t="s">
        <v>11739</v>
      </c>
      <c r="D8757" t="s">
        <v>16643</v>
      </c>
      <c r="E8757" t="s">
        <v>16837</v>
      </c>
      <c r="F8757" t="s">
        <v>28669</v>
      </c>
      <c r="G8757" t="s">
        <v>28675</v>
      </c>
      <c r="H8757" t="s">
        <v>28686</v>
      </c>
      <c r="I8757" t="s">
        <v>28689</v>
      </c>
      <c r="J8757" t="s">
        <v>28889</v>
      </c>
      <c r="K8757" t="s">
        <v>37206</v>
      </c>
      <c r="M8757" t="s">
        <v>40341</v>
      </c>
      <c r="N8757" t="s">
        <v>41249</v>
      </c>
      <c r="O8757" t="s">
        <v>41250</v>
      </c>
      <c r="P8757">
        <v>0</v>
      </c>
      <c r="Q8757">
        <v>0</v>
      </c>
      <c r="R8757" t="s">
        <v>41259</v>
      </c>
      <c r="S8757" t="s">
        <v>41562</v>
      </c>
      <c r="T8757" t="s">
        <v>42743</v>
      </c>
      <c r="U8757" t="s">
        <v>50293</v>
      </c>
      <c r="W8757" t="s">
        <v>40341</v>
      </c>
      <c r="X8757" t="s">
        <v>41267</v>
      </c>
    </row>
    <row r="8758" spans="1:24">
      <c r="A8758">
        <f>HYPERLINK("https://www.philgeps.gov.ph/GEPSNONPILOT/Tender/SplashBidNoticeAbstractUI.aspx?menuIndex=3&amp;refID=7054369&amp;Result=3","7054369")</f>
        <v>0</v>
      </c>
      <c r="B8758" t="s">
        <v>2642</v>
      </c>
      <c r="C8758" t="s">
        <v>11740</v>
      </c>
      <c r="D8758" t="s">
        <v>16610</v>
      </c>
      <c r="E8758" t="s">
        <v>23803</v>
      </c>
      <c r="F8758" t="s">
        <v>28669</v>
      </c>
      <c r="G8758" t="s">
        <v>28675</v>
      </c>
      <c r="H8758" t="s">
        <v>28686</v>
      </c>
      <c r="I8758" t="s">
        <v>28689</v>
      </c>
      <c r="J8758" t="s">
        <v>34259</v>
      </c>
      <c r="K8758" t="s">
        <v>37258</v>
      </c>
      <c r="M8758" t="s">
        <v>40342</v>
      </c>
      <c r="N8758" t="s">
        <v>41249</v>
      </c>
      <c r="O8758" t="s">
        <v>41250</v>
      </c>
      <c r="P8758">
        <v>0</v>
      </c>
      <c r="Q8758">
        <v>0</v>
      </c>
      <c r="R8758" t="s">
        <v>41259</v>
      </c>
      <c r="S8758" t="s">
        <v>41562</v>
      </c>
      <c r="T8758" t="s">
        <v>42755</v>
      </c>
      <c r="U8758" t="s">
        <v>50294</v>
      </c>
      <c r="W8758" t="s">
        <v>40342</v>
      </c>
      <c r="X8758" t="s">
        <v>41265</v>
      </c>
    </row>
    <row r="8759" spans="1:24">
      <c r="A8759">
        <f>HYPERLINK("https://www.philgeps.gov.ph/GEPSNONPILOT/Tender/SplashBidNoticeAbstractUI.aspx?menuIndex=3&amp;refID=7059052&amp;Result=3","7059052")</f>
        <v>0</v>
      </c>
      <c r="B8759" t="s">
        <v>629</v>
      </c>
      <c r="C8759" t="s">
        <v>11741</v>
      </c>
      <c r="D8759" t="s">
        <v>16648</v>
      </c>
      <c r="E8759" t="s">
        <v>24336</v>
      </c>
      <c r="F8759" t="s">
        <v>28669</v>
      </c>
      <c r="G8759" t="s">
        <v>28675</v>
      </c>
      <c r="H8759" t="s">
        <v>9998</v>
      </c>
      <c r="I8759" t="s">
        <v>7352</v>
      </c>
      <c r="J8759" t="s">
        <v>34260</v>
      </c>
      <c r="K8759" t="s">
        <v>37209</v>
      </c>
      <c r="M8759" t="s">
        <v>38129</v>
      </c>
      <c r="N8759" t="s">
        <v>41249</v>
      </c>
      <c r="O8759" t="s">
        <v>41250</v>
      </c>
      <c r="P8759">
        <v>0</v>
      </c>
      <c r="Q8759">
        <v>0</v>
      </c>
      <c r="R8759" t="s">
        <v>41259</v>
      </c>
      <c r="S8759" t="s">
        <v>41562</v>
      </c>
      <c r="T8759" t="s">
        <v>42873</v>
      </c>
      <c r="U8759" t="s">
        <v>50295</v>
      </c>
      <c r="W8759" t="s">
        <v>38129</v>
      </c>
      <c r="X8759" t="s">
        <v>41261</v>
      </c>
    </row>
    <row r="8760" spans="1:24">
      <c r="A8760">
        <f>HYPERLINK("https://www.philgeps.gov.ph/GEPSNONPILOT/Tender/SplashBidNoticeAbstractUI.aspx?menuIndex=3&amp;refID=7059109&amp;Result=3","7059109")</f>
        <v>0</v>
      </c>
      <c r="B8760" t="s">
        <v>629</v>
      </c>
      <c r="C8760" t="s">
        <v>11742</v>
      </c>
      <c r="D8760" t="s">
        <v>16648</v>
      </c>
      <c r="E8760" t="s">
        <v>24337</v>
      </c>
      <c r="F8760" t="s">
        <v>28669</v>
      </c>
      <c r="G8760" t="s">
        <v>28675</v>
      </c>
      <c r="H8760" t="s">
        <v>9998</v>
      </c>
      <c r="I8760" t="s">
        <v>7352</v>
      </c>
      <c r="J8760" t="s">
        <v>34261</v>
      </c>
      <c r="K8760" t="s">
        <v>37209</v>
      </c>
      <c r="M8760" t="s">
        <v>38129</v>
      </c>
      <c r="N8760" t="s">
        <v>41249</v>
      </c>
      <c r="O8760" t="s">
        <v>41250</v>
      </c>
      <c r="P8760">
        <v>0</v>
      </c>
      <c r="Q8760">
        <v>0</v>
      </c>
      <c r="R8760" t="s">
        <v>41259</v>
      </c>
      <c r="S8760" t="s">
        <v>41562</v>
      </c>
      <c r="T8760" t="s">
        <v>42858</v>
      </c>
      <c r="U8760" t="s">
        <v>50296</v>
      </c>
      <c r="W8760" t="s">
        <v>38129</v>
      </c>
      <c r="X8760" t="s">
        <v>41261</v>
      </c>
    </row>
    <row r="8761" spans="1:24">
      <c r="A8761">
        <f>HYPERLINK("https://www.philgeps.gov.ph/GEPSNONPILOT/Tender/SplashBidNoticeAbstractUI.aspx?menuIndex=3&amp;refID=7059113&amp;Result=3","7059113")</f>
        <v>0</v>
      </c>
      <c r="B8761" t="s">
        <v>33</v>
      </c>
      <c r="C8761" t="s">
        <v>11743</v>
      </c>
      <c r="D8761" t="s">
        <v>16616</v>
      </c>
      <c r="E8761" t="s">
        <v>24338</v>
      </c>
      <c r="F8761" t="s">
        <v>28669</v>
      </c>
      <c r="G8761" t="s">
        <v>28675</v>
      </c>
      <c r="H8761" t="s">
        <v>9998</v>
      </c>
      <c r="I8761" t="s">
        <v>28690</v>
      </c>
      <c r="J8761" t="s">
        <v>29034</v>
      </c>
      <c r="K8761" t="s">
        <v>37216</v>
      </c>
      <c r="M8761" t="s">
        <v>37727</v>
      </c>
      <c r="N8761" t="s">
        <v>41249</v>
      </c>
      <c r="O8761" t="s">
        <v>41250</v>
      </c>
      <c r="P8761">
        <v>0</v>
      </c>
      <c r="Q8761">
        <v>0</v>
      </c>
      <c r="R8761" t="s">
        <v>41259</v>
      </c>
      <c r="S8761" t="s">
        <v>41562</v>
      </c>
      <c r="T8761" t="s">
        <v>42729</v>
      </c>
      <c r="U8761" t="s">
        <v>50297</v>
      </c>
      <c r="V8761" t="s">
        <v>54251</v>
      </c>
      <c r="W8761" t="s">
        <v>37727</v>
      </c>
      <c r="X8761" t="s">
        <v>41261</v>
      </c>
    </row>
    <row r="8762" spans="1:24">
      <c r="A8762">
        <f>HYPERLINK("https://www.philgeps.gov.ph/GEPSNONPILOT/Tender/SplashBidNoticeAbstractUI.aspx?menuIndex=3&amp;refID=7059090&amp;Result=3","7059090")</f>
        <v>0</v>
      </c>
      <c r="B8762" t="s">
        <v>2643</v>
      </c>
      <c r="C8762" t="s">
        <v>11744</v>
      </c>
      <c r="E8762" t="s">
        <v>24339</v>
      </c>
      <c r="F8762" t="s">
        <v>28669</v>
      </c>
      <c r="G8762" t="s">
        <v>28675</v>
      </c>
      <c r="H8762" t="s">
        <v>9998</v>
      </c>
      <c r="I8762" t="s">
        <v>28773</v>
      </c>
      <c r="J8762" t="s">
        <v>34262</v>
      </c>
      <c r="K8762" t="s">
        <v>37213</v>
      </c>
      <c r="M8762" t="s">
        <v>40343</v>
      </c>
      <c r="N8762" t="s">
        <v>41249</v>
      </c>
      <c r="O8762" t="s">
        <v>41250</v>
      </c>
      <c r="Q8762">
        <v>4</v>
      </c>
      <c r="R8762" t="s">
        <v>41259</v>
      </c>
      <c r="S8762" t="s">
        <v>41563</v>
      </c>
      <c r="T8762" t="s">
        <v>42760</v>
      </c>
      <c r="U8762" t="s">
        <v>50298</v>
      </c>
      <c r="V8762" t="s">
        <v>50298</v>
      </c>
      <c r="W8762" t="s">
        <v>40343</v>
      </c>
      <c r="X8762" t="s">
        <v>41261</v>
      </c>
    </row>
    <row r="8763" spans="1:24">
      <c r="A8763">
        <f>HYPERLINK("https://www.philgeps.gov.ph/GEPSNONPILOT/Tender/SplashBidNoticeAbstractUI.aspx?menuIndex=3&amp;refID=7059068&amp;Result=3","7059068")</f>
        <v>0</v>
      </c>
      <c r="B8763" t="s">
        <v>33</v>
      </c>
      <c r="C8763" t="s">
        <v>11745</v>
      </c>
      <c r="D8763" t="s">
        <v>16616</v>
      </c>
      <c r="E8763" t="s">
        <v>24340</v>
      </c>
      <c r="F8763" t="s">
        <v>28669</v>
      </c>
      <c r="G8763" t="s">
        <v>28675</v>
      </c>
      <c r="H8763" t="s">
        <v>9998</v>
      </c>
      <c r="I8763" t="s">
        <v>28693</v>
      </c>
      <c r="J8763" t="s">
        <v>29040</v>
      </c>
      <c r="K8763" t="s">
        <v>37216</v>
      </c>
      <c r="M8763" t="s">
        <v>37727</v>
      </c>
      <c r="N8763" t="s">
        <v>41249</v>
      </c>
      <c r="O8763" t="s">
        <v>41250</v>
      </c>
      <c r="P8763">
        <v>0</v>
      </c>
      <c r="Q8763">
        <v>4</v>
      </c>
      <c r="R8763" t="s">
        <v>41259</v>
      </c>
      <c r="S8763" t="s">
        <v>41562</v>
      </c>
      <c r="T8763" t="s">
        <v>42729</v>
      </c>
      <c r="U8763" t="s">
        <v>50299</v>
      </c>
      <c r="V8763" t="s">
        <v>54251</v>
      </c>
      <c r="W8763" t="s">
        <v>37727</v>
      </c>
      <c r="X8763" t="s">
        <v>41261</v>
      </c>
    </row>
    <row r="8764" spans="1:24">
      <c r="A8764">
        <f>HYPERLINK("https://www.philgeps.gov.ph/GEPSNONPILOT/Tender/SplashBidNoticeAbstractUI.aspx?menuIndex=3&amp;refID=7035863-2&amp;Result=3","7035863-2")</f>
        <v>0</v>
      </c>
      <c r="B8764" t="s">
        <v>2644</v>
      </c>
      <c r="C8764" t="s">
        <v>11746</v>
      </c>
      <c r="D8764" t="s">
        <v>16625</v>
      </c>
      <c r="E8764" t="s">
        <v>24341</v>
      </c>
      <c r="F8764" t="s">
        <v>28669</v>
      </c>
      <c r="G8764" t="s">
        <v>28675</v>
      </c>
      <c r="H8764" t="s">
        <v>28685</v>
      </c>
      <c r="I8764" t="s">
        <v>28685</v>
      </c>
      <c r="J8764" t="s">
        <v>34263</v>
      </c>
      <c r="K8764" t="s">
        <v>37316</v>
      </c>
      <c r="L8764" t="s">
        <v>37498</v>
      </c>
      <c r="M8764" t="s">
        <v>40344</v>
      </c>
      <c r="N8764" t="s">
        <v>41249</v>
      </c>
      <c r="O8764" t="s">
        <v>41250</v>
      </c>
      <c r="P8764">
        <v>0</v>
      </c>
      <c r="Q8764">
        <v>1</v>
      </c>
      <c r="R8764" t="s">
        <v>41259</v>
      </c>
      <c r="S8764" t="s">
        <v>41562</v>
      </c>
      <c r="T8764" t="s">
        <v>42760</v>
      </c>
      <c r="U8764" t="s">
        <v>50300</v>
      </c>
      <c r="W8764" t="s">
        <v>40344</v>
      </c>
      <c r="X8764" t="s">
        <v>41260</v>
      </c>
    </row>
    <row r="8765" spans="1:24">
      <c r="A8765">
        <f>HYPERLINK("https://www.philgeps.gov.ph/GEPSNONPILOT/Tender/SplashBidNoticeAbstractUI.aspx?menuIndex=3&amp;refID=7067348&amp;Result=3","7067348")</f>
        <v>0</v>
      </c>
      <c r="B8765" t="s">
        <v>2637</v>
      </c>
      <c r="C8765" t="s">
        <v>11747</v>
      </c>
      <c r="D8765" t="s">
        <v>16608</v>
      </c>
      <c r="E8765" t="s">
        <v>24342</v>
      </c>
      <c r="F8765" t="s">
        <v>28669</v>
      </c>
      <c r="G8765" t="s">
        <v>28675</v>
      </c>
      <c r="H8765" t="s">
        <v>9998</v>
      </c>
      <c r="I8765" t="s">
        <v>28693</v>
      </c>
      <c r="J8765" t="s">
        <v>31916</v>
      </c>
      <c r="K8765" t="s">
        <v>37206</v>
      </c>
      <c r="M8765" t="s">
        <v>40336</v>
      </c>
      <c r="N8765" t="s">
        <v>41249</v>
      </c>
      <c r="O8765" t="s">
        <v>41250</v>
      </c>
      <c r="P8765">
        <v>0</v>
      </c>
      <c r="Q8765">
        <v>5</v>
      </c>
      <c r="R8765" t="s">
        <v>41258</v>
      </c>
      <c r="S8765" t="s">
        <v>41513</v>
      </c>
      <c r="T8765" t="s">
        <v>42881</v>
      </c>
      <c r="U8765" t="s">
        <v>50277</v>
      </c>
      <c r="W8765" t="s">
        <v>40336</v>
      </c>
      <c r="X8765" t="s">
        <v>41259</v>
      </c>
    </row>
    <row r="8766" spans="1:24">
      <c r="A8766">
        <f>HYPERLINK("https://www.philgeps.gov.ph/GEPSNONPILOT/Tender/SplashBidNoticeAbstractUI.aspx?menuIndex=3&amp;refID=7058259&amp;Result=3","7058259")</f>
        <v>0</v>
      </c>
      <c r="B8766" t="s">
        <v>33</v>
      </c>
      <c r="C8766" t="s">
        <v>11748</v>
      </c>
      <c r="D8766" t="s">
        <v>16616</v>
      </c>
      <c r="E8766" t="s">
        <v>24343</v>
      </c>
      <c r="F8766" t="s">
        <v>28669</v>
      </c>
      <c r="G8766" t="s">
        <v>28675</v>
      </c>
      <c r="H8766" t="s">
        <v>9998</v>
      </c>
      <c r="I8766" t="s">
        <v>28713</v>
      </c>
      <c r="J8766" t="s">
        <v>28838</v>
      </c>
      <c r="K8766" t="s">
        <v>37206</v>
      </c>
      <c r="M8766" t="s">
        <v>37727</v>
      </c>
      <c r="N8766" t="s">
        <v>41249</v>
      </c>
      <c r="O8766" t="s">
        <v>41250</v>
      </c>
      <c r="P8766">
        <v>0</v>
      </c>
      <c r="Q8766">
        <v>3</v>
      </c>
      <c r="R8766" t="s">
        <v>41259</v>
      </c>
      <c r="S8766" t="s">
        <v>41562</v>
      </c>
      <c r="T8766" t="s">
        <v>42721</v>
      </c>
      <c r="U8766" t="s">
        <v>50301</v>
      </c>
      <c r="V8766" t="s">
        <v>55237</v>
      </c>
      <c r="W8766" t="s">
        <v>37727</v>
      </c>
      <c r="X8766" t="s">
        <v>41263</v>
      </c>
    </row>
    <row r="8767" spans="1:24">
      <c r="A8767">
        <f>HYPERLINK("https://www.philgeps.gov.ph/GEPSNONPILOT/Tender/SplashBidNoticeAbstractUI.aspx?menuIndex=3&amp;refID=7054540&amp;Result=3","7054540")</f>
        <v>0</v>
      </c>
      <c r="B8767" t="s">
        <v>2642</v>
      </c>
      <c r="C8767" t="s">
        <v>11749</v>
      </c>
      <c r="D8767" t="s">
        <v>16610</v>
      </c>
      <c r="E8767" t="s">
        <v>16864</v>
      </c>
      <c r="F8767" t="s">
        <v>28669</v>
      </c>
      <c r="G8767" t="s">
        <v>28675</v>
      </c>
      <c r="H8767" t="s">
        <v>28686</v>
      </c>
      <c r="I8767" t="s">
        <v>28689</v>
      </c>
      <c r="J8767" t="s">
        <v>31229</v>
      </c>
      <c r="K8767" t="s">
        <v>37227</v>
      </c>
      <c r="M8767" t="s">
        <v>40342</v>
      </c>
      <c r="N8767" t="s">
        <v>41249</v>
      </c>
      <c r="O8767" t="s">
        <v>41250</v>
      </c>
      <c r="P8767">
        <v>0</v>
      </c>
      <c r="Q8767">
        <v>0</v>
      </c>
      <c r="R8767" t="s">
        <v>41259</v>
      </c>
      <c r="S8767" t="s">
        <v>41562</v>
      </c>
      <c r="T8767" t="s">
        <v>42755</v>
      </c>
      <c r="U8767" t="s">
        <v>50302</v>
      </c>
      <c r="W8767" t="s">
        <v>40342</v>
      </c>
      <c r="X8767" t="s">
        <v>41265</v>
      </c>
    </row>
    <row r="8768" spans="1:24">
      <c r="A8768">
        <f>HYPERLINK("https://www.philgeps.gov.ph/GEPSNONPILOT/Tender/SplashBidNoticeAbstractUI.aspx?menuIndex=3&amp;refID=7058258&amp;Result=3","7058258")</f>
        <v>0</v>
      </c>
      <c r="B8768" t="s">
        <v>33</v>
      </c>
      <c r="C8768" t="s">
        <v>11750</v>
      </c>
      <c r="D8768" t="s">
        <v>16616</v>
      </c>
      <c r="E8768" t="s">
        <v>24344</v>
      </c>
      <c r="F8768" t="s">
        <v>28669</v>
      </c>
      <c r="G8768" t="s">
        <v>28675</v>
      </c>
      <c r="H8768" t="s">
        <v>9998</v>
      </c>
      <c r="I8768" t="s">
        <v>28713</v>
      </c>
      <c r="J8768" t="s">
        <v>29576</v>
      </c>
      <c r="K8768" t="s">
        <v>37206</v>
      </c>
      <c r="M8768" t="s">
        <v>37727</v>
      </c>
      <c r="N8768" t="s">
        <v>41249</v>
      </c>
      <c r="O8768" t="s">
        <v>41250</v>
      </c>
      <c r="P8768">
        <v>0</v>
      </c>
      <c r="Q8768">
        <v>1</v>
      </c>
      <c r="R8768" t="s">
        <v>41259</v>
      </c>
      <c r="S8768" t="s">
        <v>41562</v>
      </c>
      <c r="T8768" t="s">
        <v>42721</v>
      </c>
      <c r="U8768" t="s">
        <v>50303</v>
      </c>
      <c r="V8768" t="s">
        <v>55237</v>
      </c>
      <c r="W8768" t="s">
        <v>37727</v>
      </c>
      <c r="X8768" t="s">
        <v>41263</v>
      </c>
    </row>
    <row r="8769" spans="1:24">
      <c r="A8769">
        <f>HYPERLINK("https://www.philgeps.gov.ph/GEPSNONPILOT/Tender/SplashBidNoticeAbstractUI.aspx?menuIndex=3&amp;refID=7058250&amp;Result=3","7058250")</f>
        <v>0</v>
      </c>
      <c r="B8769" t="s">
        <v>33</v>
      </c>
      <c r="C8769" t="s">
        <v>11751</v>
      </c>
      <c r="D8769" t="s">
        <v>16616</v>
      </c>
      <c r="E8769" t="s">
        <v>24345</v>
      </c>
      <c r="F8769" t="s">
        <v>28669</v>
      </c>
      <c r="G8769" t="s">
        <v>28675</v>
      </c>
      <c r="H8769" t="s">
        <v>9998</v>
      </c>
      <c r="I8769" t="s">
        <v>6458</v>
      </c>
      <c r="J8769" t="s">
        <v>34264</v>
      </c>
      <c r="K8769" t="s">
        <v>37216</v>
      </c>
      <c r="M8769" t="s">
        <v>37727</v>
      </c>
      <c r="N8769" t="s">
        <v>41249</v>
      </c>
      <c r="O8769" t="s">
        <v>41250</v>
      </c>
      <c r="P8769">
        <v>0</v>
      </c>
      <c r="Q8769">
        <v>0</v>
      </c>
      <c r="R8769" t="s">
        <v>41259</v>
      </c>
      <c r="S8769" t="s">
        <v>41562</v>
      </c>
      <c r="T8769" t="s">
        <v>42729</v>
      </c>
      <c r="U8769" t="s">
        <v>50304</v>
      </c>
      <c r="V8769" t="s">
        <v>55237</v>
      </c>
      <c r="W8769" t="s">
        <v>37727</v>
      </c>
      <c r="X8769" t="s">
        <v>41263</v>
      </c>
    </row>
    <row r="8770" spans="1:24">
      <c r="A8770">
        <f>HYPERLINK("https://www.philgeps.gov.ph/GEPSNONPILOT/Tender/SplashBidNoticeAbstractUI.aspx?menuIndex=3&amp;refID=7057879&amp;Result=3","7057879")</f>
        <v>0</v>
      </c>
      <c r="B8770" t="s">
        <v>2645</v>
      </c>
      <c r="C8770" t="s">
        <v>11752</v>
      </c>
      <c r="D8770" t="s">
        <v>16612</v>
      </c>
      <c r="E8770" t="s">
        <v>24346</v>
      </c>
      <c r="F8770" t="s">
        <v>28669</v>
      </c>
      <c r="G8770" t="s">
        <v>28678</v>
      </c>
      <c r="H8770" t="s">
        <v>9998</v>
      </c>
      <c r="I8770" t="s">
        <v>28688</v>
      </c>
      <c r="J8770" t="s">
        <v>34265</v>
      </c>
      <c r="K8770" t="s">
        <v>37210</v>
      </c>
      <c r="M8770" t="s">
        <v>40345</v>
      </c>
      <c r="N8770" t="s">
        <v>41249</v>
      </c>
      <c r="O8770" t="s">
        <v>41250</v>
      </c>
      <c r="P8770">
        <v>0</v>
      </c>
      <c r="Q8770">
        <v>2</v>
      </c>
      <c r="R8770" t="s">
        <v>41259</v>
      </c>
      <c r="S8770" t="s">
        <v>41562</v>
      </c>
      <c r="T8770" t="s">
        <v>42767</v>
      </c>
      <c r="U8770" t="s">
        <v>50305</v>
      </c>
      <c r="W8770" t="s">
        <v>40345</v>
      </c>
      <c r="X8770" t="s">
        <v>41264</v>
      </c>
    </row>
    <row r="8771" spans="1:24">
      <c r="A8771">
        <f>HYPERLINK("https://www.philgeps.gov.ph/GEPSNONPILOT/Tender/SplashBidNoticeAbstractUI.aspx?menuIndex=3&amp;refID=7055666&amp;Result=3","7055666")</f>
        <v>0</v>
      </c>
      <c r="B8771" t="s">
        <v>2646</v>
      </c>
      <c r="C8771" t="s">
        <v>11753</v>
      </c>
      <c r="D8771" t="s">
        <v>16619</v>
      </c>
      <c r="E8771" t="s">
        <v>24347</v>
      </c>
      <c r="F8771" t="s">
        <v>28671</v>
      </c>
      <c r="G8771" t="s">
        <v>28676</v>
      </c>
      <c r="H8771" t="s">
        <v>9998</v>
      </c>
      <c r="I8771" t="s">
        <v>28688</v>
      </c>
      <c r="J8771" t="s">
        <v>28912</v>
      </c>
      <c r="K8771" t="s">
        <v>37208</v>
      </c>
      <c r="M8771" t="s">
        <v>40346</v>
      </c>
      <c r="N8771" t="s">
        <v>41249</v>
      </c>
      <c r="O8771" t="s">
        <v>41250</v>
      </c>
      <c r="P8771">
        <v>0</v>
      </c>
      <c r="Q8771">
        <v>0</v>
      </c>
      <c r="R8771" t="s">
        <v>41259</v>
      </c>
      <c r="S8771" t="s">
        <v>41562</v>
      </c>
      <c r="T8771" t="s">
        <v>42758</v>
      </c>
      <c r="U8771" t="s">
        <v>50306</v>
      </c>
      <c r="W8771" t="s">
        <v>40346</v>
      </c>
      <c r="X8771" t="s">
        <v>41264</v>
      </c>
    </row>
    <row r="8772" spans="1:24">
      <c r="A8772">
        <f>HYPERLINK("https://www.philgeps.gov.ph/GEPSNONPILOT/Tender/SplashBidNoticeAbstractUI.aspx?menuIndex=3&amp;refID=7059063&amp;Result=3","7059063")</f>
        <v>0</v>
      </c>
      <c r="B8772" t="s">
        <v>629</v>
      </c>
      <c r="C8772" t="s">
        <v>11754</v>
      </c>
      <c r="D8772" t="s">
        <v>16648</v>
      </c>
      <c r="E8772" t="s">
        <v>24348</v>
      </c>
      <c r="F8772" t="s">
        <v>28669</v>
      </c>
      <c r="G8772" t="s">
        <v>28675</v>
      </c>
      <c r="H8772" t="s">
        <v>9998</v>
      </c>
      <c r="I8772" t="s">
        <v>7352</v>
      </c>
      <c r="J8772" t="s">
        <v>34266</v>
      </c>
      <c r="K8772" t="s">
        <v>37209</v>
      </c>
      <c r="M8772" t="s">
        <v>38129</v>
      </c>
      <c r="N8772" t="s">
        <v>41249</v>
      </c>
      <c r="O8772" t="s">
        <v>41250</v>
      </c>
      <c r="P8772">
        <v>0</v>
      </c>
      <c r="Q8772">
        <v>0</v>
      </c>
      <c r="R8772" t="s">
        <v>41259</v>
      </c>
      <c r="S8772" t="s">
        <v>41562</v>
      </c>
      <c r="T8772" t="s">
        <v>42858</v>
      </c>
      <c r="U8772" t="s">
        <v>50307</v>
      </c>
      <c r="W8772" t="s">
        <v>38129</v>
      </c>
      <c r="X8772" t="s">
        <v>41261</v>
      </c>
    </row>
    <row r="8773" spans="1:24">
      <c r="A8773">
        <f>HYPERLINK("https://www.philgeps.gov.ph/GEPSNONPILOT/Tender/SplashBidNoticeAbstractUI.aspx?menuIndex=3&amp;refID=7057446&amp;Result=3","7057446")</f>
        <v>0</v>
      </c>
      <c r="B8773" t="s">
        <v>1698</v>
      </c>
      <c r="C8773" t="s">
        <v>11755</v>
      </c>
      <c r="D8773" t="s">
        <v>16627</v>
      </c>
      <c r="E8773" t="s">
        <v>24349</v>
      </c>
      <c r="F8773" t="s">
        <v>28669</v>
      </c>
      <c r="G8773" t="s">
        <v>28675</v>
      </c>
      <c r="H8773" t="s">
        <v>28686</v>
      </c>
      <c r="I8773" t="s">
        <v>28689</v>
      </c>
      <c r="J8773" t="s">
        <v>34267</v>
      </c>
      <c r="K8773" t="s">
        <v>37410</v>
      </c>
      <c r="M8773" t="s">
        <v>40347</v>
      </c>
      <c r="N8773" t="s">
        <v>41249</v>
      </c>
      <c r="O8773" t="s">
        <v>41250</v>
      </c>
      <c r="Q8773">
        <v>2</v>
      </c>
      <c r="R8773" t="s">
        <v>41259</v>
      </c>
      <c r="S8773" t="s">
        <v>41564</v>
      </c>
      <c r="T8773" t="s">
        <v>42688</v>
      </c>
      <c r="U8773" t="s">
        <v>50308</v>
      </c>
      <c r="W8773" t="s">
        <v>40347</v>
      </c>
      <c r="X8773" t="s">
        <v>41264</v>
      </c>
    </row>
    <row r="8774" spans="1:24">
      <c r="A8774">
        <f>HYPERLINK("https://www.philgeps.gov.ph/GEPSNONPILOT/Tender/SplashBidNoticeAbstractUI.aspx?menuIndex=3&amp;refID=7057438&amp;Result=3","7057438")</f>
        <v>0</v>
      </c>
      <c r="B8774" t="s">
        <v>1698</v>
      </c>
      <c r="C8774" t="s">
        <v>11756</v>
      </c>
      <c r="D8774" t="s">
        <v>16627</v>
      </c>
      <c r="E8774" t="s">
        <v>24350</v>
      </c>
      <c r="F8774" t="s">
        <v>28669</v>
      </c>
      <c r="G8774" t="s">
        <v>28675</v>
      </c>
      <c r="H8774" t="s">
        <v>28686</v>
      </c>
      <c r="I8774" t="s">
        <v>28689</v>
      </c>
      <c r="J8774" t="s">
        <v>34268</v>
      </c>
      <c r="K8774" t="s">
        <v>37357</v>
      </c>
      <c r="M8774" t="s">
        <v>40347</v>
      </c>
      <c r="N8774" t="s">
        <v>41249</v>
      </c>
      <c r="O8774" t="s">
        <v>41250</v>
      </c>
      <c r="Q8774">
        <v>1</v>
      </c>
      <c r="R8774" t="s">
        <v>41259</v>
      </c>
      <c r="S8774" t="s">
        <v>41565</v>
      </c>
      <c r="T8774" t="s">
        <v>42688</v>
      </c>
      <c r="U8774" t="s">
        <v>50309</v>
      </c>
      <c r="W8774" t="s">
        <v>40347</v>
      </c>
      <c r="X8774" t="s">
        <v>41264</v>
      </c>
    </row>
    <row r="8775" spans="1:24">
      <c r="A8775">
        <f>HYPERLINK("https://www.philgeps.gov.ph/GEPSNONPILOT/Tender/SplashBidNoticeAbstractUI.aspx?menuIndex=3&amp;refID=7058254&amp;Result=3","7058254")</f>
        <v>0</v>
      </c>
      <c r="B8775" t="s">
        <v>33</v>
      </c>
      <c r="C8775" t="s">
        <v>11757</v>
      </c>
      <c r="D8775" t="s">
        <v>16616</v>
      </c>
      <c r="E8775" t="s">
        <v>24351</v>
      </c>
      <c r="F8775" t="s">
        <v>28669</v>
      </c>
      <c r="G8775" t="s">
        <v>28675</v>
      </c>
      <c r="H8775" t="s">
        <v>9998</v>
      </c>
      <c r="I8775" t="s">
        <v>6128</v>
      </c>
      <c r="J8775" t="s">
        <v>34269</v>
      </c>
      <c r="K8775" t="s">
        <v>37216</v>
      </c>
      <c r="M8775" t="s">
        <v>37727</v>
      </c>
      <c r="N8775" t="s">
        <v>41249</v>
      </c>
      <c r="O8775" t="s">
        <v>41250</v>
      </c>
      <c r="P8775">
        <v>0</v>
      </c>
      <c r="Q8775">
        <v>0</v>
      </c>
      <c r="R8775" t="s">
        <v>41259</v>
      </c>
      <c r="S8775" t="s">
        <v>41562</v>
      </c>
      <c r="T8775" t="s">
        <v>42729</v>
      </c>
      <c r="U8775" t="s">
        <v>50310</v>
      </c>
      <c r="V8775" t="s">
        <v>55237</v>
      </c>
      <c r="W8775" t="s">
        <v>37727</v>
      </c>
      <c r="X8775" t="s">
        <v>41263</v>
      </c>
    </row>
    <row r="8776" spans="1:24">
      <c r="A8776">
        <f>HYPERLINK("https://www.philgeps.gov.ph/GEPSNONPILOT/Tender/SplashBidNoticeAbstractUI.aspx?menuIndex=3&amp;refID=7057509&amp;Result=3","7057509")</f>
        <v>0</v>
      </c>
      <c r="B8776" t="s">
        <v>1407</v>
      </c>
      <c r="C8776" t="s">
        <v>11758</v>
      </c>
      <c r="D8776" t="s">
        <v>16660</v>
      </c>
      <c r="E8776" t="s">
        <v>24352</v>
      </c>
      <c r="F8776" t="s">
        <v>28669</v>
      </c>
      <c r="G8776" t="s">
        <v>28675</v>
      </c>
      <c r="H8776" t="s">
        <v>9998</v>
      </c>
      <c r="I8776" t="s">
        <v>28722</v>
      </c>
      <c r="J8776" t="s">
        <v>34270</v>
      </c>
      <c r="K8776" t="s">
        <v>37205</v>
      </c>
      <c r="L8776" t="s">
        <v>1407</v>
      </c>
      <c r="M8776" t="s">
        <v>38970</v>
      </c>
      <c r="N8776" t="s">
        <v>41249</v>
      </c>
      <c r="O8776" t="s">
        <v>41250</v>
      </c>
      <c r="P8776">
        <v>0</v>
      </c>
      <c r="Q8776">
        <v>2</v>
      </c>
      <c r="R8776" t="s">
        <v>41259</v>
      </c>
      <c r="S8776" t="s">
        <v>41562</v>
      </c>
      <c r="T8776" t="s">
        <v>42767</v>
      </c>
      <c r="U8776" t="s">
        <v>46245</v>
      </c>
      <c r="V8776" t="s">
        <v>54662</v>
      </c>
      <c r="W8776" t="s">
        <v>38970</v>
      </c>
      <c r="X8776" t="s">
        <v>41264</v>
      </c>
    </row>
    <row r="8777" spans="1:24">
      <c r="A8777">
        <f>HYPERLINK("https://www.philgeps.gov.ph/GEPSNONPILOT/Tender/SplashBidNoticeAbstractUI.aspx?menuIndex=3&amp;refID=7059332&amp;Result=3","7059332")</f>
        <v>0</v>
      </c>
      <c r="B8777" t="s">
        <v>629</v>
      </c>
      <c r="C8777" t="s">
        <v>11759</v>
      </c>
      <c r="D8777" t="s">
        <v>16648</v>
      </c>
      <c r="E8777" t="s">
        <v>24353</v>
      </c>
      <c r="F8777" t="s">
        <v>28669</v>
      </c>
      <c r="G8777" t="s">
        <v>28675</v>
      </c>
      <c r="H8777" t="s">
        <v>9998</v>
      </c>
      <c r="I8777" t="s">
        <v>7352</v>
      </c>
      <c r="J8777" t="s">
        <v>34271</v>
      </c>
      <c r="K8777" t="s">
        <v>37209</v>
      </c>
      <c r="M8777" t="s">
        <v>38129</v>
      </c>
      <c r="N8777" t="s">
        <v>41249</v>
      </c>
      <c r="O8777" t="s">
        <v>41250</v>
      </c>
      <c r="P8777">
        <v>0</v>
      </c>
      <c r="Q8777">
        <v>0</v>
      </c>
      <c r="R8777" t="s">
        <v>41259</v>
      </c>
      <c r="S8777" t="s">
        <v>41562</v>
      </c>
      <c r="T8777" t="s">
        <v>42858</v>
      </c>
      <c r="U8777" t="s">
        <v>50311</v>
      </c>
      <c r="W8777" t="s">
        <v>38129</v>
      </c>
      <c r="X8777" t="s">
        <v>41261</v>
      </c>
    </row>
    <row r="8778" spans="1:24">
      <c r="A8778">
        <f>HYPERLINK("https://www.philgeps.gov.ph/GEPSNONPILOT/Tender/SplashBidNoticeAbstractUI.aspx?menuIndex=3&amp;refID=7059278&amp;Result=3","7059278")</f>
        <v>0</v>
      </c>
      <c r="B8778" t="s">
        <v>629</v>
      </c>
      <c r="C8778" t="s">
        <v>11760</v>
      </c>
      <c r="D8778" t="s">
        <v>16648</v>
      </c>
      <c r="E8778" t="s">
        <v>24354</v>
      </c>
      <c r="F8778" t="s">
        <v>28669</v>
      </c>
      <c r="G8778" t="s">
        <v>28675</v>
      </c>
      <c r="H8778" t="s">
        <v>9998</v>
      </c>
      <c r="I8778" t="s">
        <v>7352</v>
      </c>
      <c r="J8778" t="s">
        <v>34272</v>
      </c>
      <c r="K8778" t="s">
        <v>37209</v>
      </c>
      <c r="M8778" t="s">
        <v>38129</v>
      </c>
      <c r="N8778" t="s">
        <v>41249</v>
      </c>
      <c r="O8778" t="s">
        <v>41250</v>
      </c>
      <c r="P8778">
        <v>0</v>
      </c>
      <c r="Q8778">
        <v>1</v>
      </c>
      <c r="R8778" t="s">
        <v>41259</v>
      </c>
      <c r="S8778" t="s">
        <v>41562</v>
      </c>
      <c r="T8778" t="s">
        <v>42858</v>
      </c>
      <c r="U8778" t="s">
        <v>50312</v>
      </c>
      <c r="W8778" t="s">
        <v>38129</v>
      </c>
      <c r="X8778" t="s">
        <v>41261</v>
      </c>
    </row>
    <row r="8779" spans="1:24">
      <c r="A8779">
        <f>HYPERLINK("https://www.philgeps.gov.ph/GEPSNONPILOT/Tender/SplashBidNoticeAbstractUI.aspx?menuIndex=3&amp;refID=7057482&amp;Result=3","7057482")</f>
        <v>0</v>
      </c>
      <c r="B8779" t="s">
        <v>1472</v>
      </c>
      <c r="C8779" t="s">
        <v>11761</v>
      </c>
      <c r="D8779" t="s">
        <v>16630</v>
      </c>
      <c r="E8779" t="s">
        <v>24355</v>
      </c>
      <c r="F8779" t="s">
        <v>28669</v>
      </c>
      <c r="G8779" t="s">
        <v>28675</v>
      </c>
      <c r="H8779" t="s">
        <v>9998</v>
      </c>
      <c r="I8779" t="s">
        <v>28710</v>
      </c>
      <c r="J8779" t="s">
        <v>34273</v>
      </c>
      <c r="K8779" t="s">
        <v>37220</v>
      </c>
      <c r="M8779" t="s">
        <v>39040</v>
      </c>
      <c r="N8779" t="s">
        <v>41249</v>
      </c>
      <c r="O8779" t="s">
        <v>41250</v>
      </c>
      <c r="P8779">
        <v>0</v>
      </c>
      <c r="Q8779">
        <v>7</v>
      </c>
      <c r="R8779" t="s">
        <v>41259</v>
      </c>
      <c r="S8779" t="s">
        <v>41562</v>
      </c>
      <c r="T8779" t="s">
        <v>43027</v>
      </c>
      <c r="U8779" t="s">
        <v>50313</v>
      </c>
      <c r="V8779" t="s">
        <v>55238</v>
      </c>
      <c r="W8779" t="s">
        <v>39040</v>
      </c>
      <c r="X8779" t="s">
        <v>41264</v>
      </c>
    </row>
    <row r="8780" spans="1:24">
      <c r="A8780">
        <f>HYPERLINK("https://www.philgeps.gov.ph/GEPSNONPILOT/Tender/SplashBidNoticeAbstractUI.aspx?menuIndex=3&amp;refID=7057471&amp;Result=3","7057471")</f>
        <v>0</v>
      </c>
      <c r="B8780" t="s">
        <v>1407</v>
      </c>
      <c r="C8780" t="s">
        <v>11762</v>
      </c>
      <c r="D8780" t="s">
        <v>16660</v>
      </c>
      <c r="E8780" t="s">
        <v>24356</v>
      </c>
      <c r="F8780" t="s">
        <v>28669</v>
      </c>
      <c r="G8780" t="s">
        <v>28675</v>
      </c>
      <c r="H8780" t="s">
        <v>9998</v>
      </c>
      <c r="I8780" t="s">
        <v>28699</v>
      </c>
      <c r="J8780" t="s">
        <v>29027</v>
      </c>
      <c r="K8780" t="s">
        <v>37205</v>
      </c>
      <c r="L8780" t="s">
        <v>1407</v>
      </c>
      <c r="M8780" t="s">
        <v>38970</v>
      </c>
      <c r="N8780" t="s">
        <v>41249</v>
      </c>
      <c r="O8780" t="s">
        <v>41250</v>
      </c>
      <c r="P8780">
        <v>0</v>
      </c>
      <c r="Q8780">
        <v>3</v>
      </c>
      <c r="R8780" t="s">
        <v>41259</v>
      </c>
      <c r="S8780" t="s">
        <v>41562</v>
      </c>
      <c r="T8780" t="s">
        <v>42767</v>
      </c>
      <c r="U8780" t="s">
        <v>46245</v>
      </c>
      <c r="V8780" t="s">
        <v>54662</v>
      </c>
      <c r="W8780" t="s">
        <v>38970</v>
      </c>
      <c r="X8780" t="s">
        <v>41264</v>
      </c>
    </row>
    <row r="8781" spans="1:24">
      <c r="A8781">
        <f>HYPERLINK("https://www.philgeps.gov.ph/GEPSNONPILOT/Tender/SplashBidNoticeAbstractUI.aspx?menuIndex=3&amp;refID=7059269&amp;Result=3","7059269")</f>
        <v>0</v>
      </c>
      <c r="B8781" t="s">
        <v>2081</v>
      </c>
      <c r="C8781" t="s">
        <v>11763</v>
      </c>
      <c r="D8781" t="s">
        <v>16665</v>
      </c>
      <c r="E8781" t="s">
        <v>24357</v>
      </c>
      <c r="F8781" t="s">
        <v>28669</v>
      </c>
      <c r="G8781" t="s">
        <v>28675</v>
      </c>
      <c r="H8781" t="s">
        <v>9998</v>
      </c>
      <c r="I8781" t="s">
        <v>7352</v>
      </c>
      <c r="J8781" t="s">
        <v>34274</v>
      </c>
      <c r="K8781" t="s">
        <v>37227</v>
      </c>
      <c r="M8781" t="s">
        <v>39722</v>
      </c>
      <c r="N8781" t="s">
        <v>41249</v>
      </c>
      <c r="O8781" t="s">
        <v>41250</v>
      </c>
      <c r="P8781">
        <v>0</v>
      </c>
      <c r="Q8781">
        <v>0</v>
      </c>
      <c r="R8781" t="s">
        <v>41259</v>
      </c>
      <c r="S8781" t="s">
        <v>41562</v>
      </c>
      <c r="T8781" t="s">
        <v>42767</v>
      </c>
      <c r="U8781" t="s">
        <v>50314</v>
      </c>
      <c r="W8781" t="s">
        <v>39722</v>
      </c>
      <c r="X8781" t="s">
        <v>41261</v>
      </c>
    </row>
    <row r="8782" spans="1:24">
      <c r="A8782">
        <f>HYPERLINK("https://www.philgeps.gov.ph/GEPSNONPILOT/Tender/SplashBidNoticeAbstractUI.aspx?menuIndex=3&amp;refID=7059262&amp;Result=3","7059262")</f>
        <v>0</v>
      </c>
      <c r="B8782" t="s">
        <v>65</v>
      </c>
      <c r="C8782" t="s">
        <v>11764</v>
      </c>
      <c r="D8782" t="s">
        <v>16626</v>
      </c>
      <c r="E8782" t="s">
        <v>24358</v>
      </c>
      <c r="F8782" t="s">
        <v>28669</v>
      </c>
      <c r="G8782" t="s">
        <v>28678</v>
      </c>
      <c r="H8782" t="s">
        <v>9998</v>
      </c>
      <c r="I8782" t="s">
        <v>28727</v>
      </c>
      <c r="J8782" t="s">
        <v>30446</v>
      </c>
      <c r="K8782" t="s">
        <v>37227</v>
      </c>
      <c r="M8782" t="s">
        <v>37540</v>
      </c>
      <c r="N8782" t="s">
        <v>41249</v>
      </c>
      <c r="O8782" t="s">
        <v>41250</v>
      </c>
      <c r="P8782">
        <v>0</v>
      </c>
      <c r="Q8782">
        <v>3</v>
      </c>
      <c r="R8782" t="s">
        <v>41259</v>
      </c>
      <c r="S8782" t="s">
        <v>41562</v>
      </c>
      <c r="T8782" t="s">
        <v>42910</v>
      </c>
      <c r="U8782" t="s">
        <v>43259</v>
      </c>
      <c r="W8782" t="s">
        <v>55899</v>
      </c>
      <c r="X8782" t="s">
        <v>41261</v>
      </c>
    </row>
    <row r="8783" spans="1:24">
      <c r="A8783">
        <f>HYPERLINK("https://www.philgeps.gov.ph/GEPSNONPILOT/Tender/SplashBidNoticeAbstractUI.aspx?menuIndex=3&amp;refID=7059246&amp;Result=3","7059246")</f>
        <v>0</v>
      </c>
      <c r="B8783" t="s">
        <v>2081</v>
      </c>
      <c r="C8783" t="s">
        <v>11765</v>
      </c>
      <c r="D8783" t="s">
        <v>16665</v>
      </c>
      <c r="E8783" t="s">
        <v>24359</v>
      </c>
      <c r="F8783" t="s">
        <v>28669</v>
      </c>
      <c r="G8783" t="s">
        <v>28675</v>
      </c>
      <c r="H8783" t="s">
        <v>9998</v>
      </c>
      <c r="I8783" t="s">
        <v>7352</v>
      </c>
      <c r="J8783" t="s">
        <v>34275</v>
      </c>
      <c r="K8783" t="s">
        <v>37227</v>
      </c>
      <c r="M8783" t="s">
        <v>39722</v>
      </c>
      <c r="N8783" t="s">
        <v>41249</v>
      </c>
      <c r="O8783" t="s">
        <v>41250</v>
      </c>
      <c r="P8783">
        <v>0</v>
      </c>
      <c r="Q8783">
        <v>1</v>
      </c>
      <c r="R8783" t="s">
        <v>41259</v>
      </c>
      <c r="S8783" t="s">
        <v>41562</v>
      </c>
      <c r="T8783" t="s">
        <v>42767</v>
      </c>
      <c r="U8783" t="s">
        <v>50315</v>
      </c>
      <c r="W8783" t="s">
        <v>39722</v>
      </c>
      <c r="X8783" t="s">
        <v>41261</v>
      </c>
    </row>
    <row r="8784" spans="1:24">
      <c r="A8784">
        <f>HYPERLINK("https://www.philgeps.gov.ph/GEPSNONPILOT/Tender/SplashBidNoticeAbstractUI.aspx?menuIndex=3&amp;refID=7059236&amp;Result=3","7059236")</f>
        <v>0</v>
      </c>
      <c r="B8784" t="s">
        <v>33</v>
      </c>
      <c r="C8784" t="s">
        <v>11766</v>
      </c>
      <c r="D8784" t="s">
        <v>16616</v>
      </c>
      <c r="E8784" t="s">
        <v>24360</v>
      </c>
      <c r="F8784" t="s">
        <v>28669</v>
      </c>
      <c r="G8784" t="s">
        <v>28675</v>
      </c>
      <c r="H8784" t="s">
        <v>9998</v>
      </c>
      <c r="I8784" t="s">
        <v>5286</v>
      </c>
      <c r="J8784" t="s">
        <v>31011</v>
      </c>
      <c r="K8784" t="s">
        <v>37216</v>
      </c>
      <c r="M8784" t="s">
        <v>37727</v>
      </c>
      <c r="N8784" t="s">
        <v>41249</v>
      </c>
      <c r="O8784" t="s">
        <v>41250</v>
      </c>
      <c r="P8784">
        <v>0</v>
      </c>
      <c r="Q8784">
        <v>1</v>
      </c>
      <c r="R8784" t="s">
        <v>41259</v>
      </c>
      <c r="S8784" t="s">
        <v>41562</v>
      </c>
      <c r="T8784" t="s">
        <v>42729</v>
      </c>
      <c r="U8784" t="s">
        <v>50316</v>
      </c>
      <c r="V8784" t="s">
        <v>54251</v>
      </c>
      <c r="W8784" t="s">
        <v>37727</v>
      </c>
      <c r="X8784" t="s">
        <v>41261</v>
      </c>
    </row>
    <row r="8785" spans="1:24">
      <c r="A8785">
        <f>HYPERLINK("https://www.philgeps.gov.ph/GEPSNONPILOT/Tender/SplashBidNoticeAbstractUI.aspx?menuIndex=3&amp;refID=7059221&amp;Result=3","7059221")</f>
        <v>0</v>
      </c>
      <c r="B8785" t="s">
        <v>2643</v>
      </c>
      <c r="C8785" t="s">
        <v>11767</v>
      </c>
      <c r="D8785" t="s">
        <v>16644</v>
      </c>
      <c r="E8785" t="s">
        <v>24361</v>
      </c>
      <c r="F8785" t="s">
        <v>28669</v>
      </c>
      <c r="G8785" t="s">
        <v>28675</v>
      </c>
      <c r="H8785" t="s">
        <v>9998</v>
      </c>
      <c r="I8785" t="s">
        <v>28693</v>
      </c>
      <c r="J8785" t="s">
        <v>34276</v>
      </c>
      <c r="K8785" t="s">
        <v>37220</v>
      </c>
      <c r="M8785" t="s">
        <v>40343</v>
      </c>
      <c r="N8785" t="s">
        <v>41249</v>
      </c>
      <c r="O8785" t="s">
        <v>41250</v>
      </c>
      <c r="Q8785">
        <v>20</v>
      </c>
      <c r="R8785" t="s">
        <v>41259</v>
      </c>
      <c r="S8785" t="s">
        <v>41566</v>
      </c>
      <c r="T8785" t="s">
        <v>42760</v>
      </c>
      <c r="U8785" t="s">
        <v>50298</v>
      </c>
      <c r="V8785" t="s">
        <v>50298</v>
      </c>
      <c r="W8785" t="s">
        <v>40343</v>
      </c>
      <c r="X8785" t="s">
        <v>41261</v>
      </c>
    </row>
    <row r="8786" spans="1:24">
      <c r="A8786">
        <f>HYPERLINK("https://www.philgeps.gov.ph/GEPSNONPILOT/Tender/SplashBidNoticeAbstractUI.aspx?menuIndex=3&amp;refID=7059250&amp;Result=3","7059250")</f>
        <v>0</v>
      </c>
      <c r="B8786" t="s">
        <v>629</v>
      </c>
      <c r="C8786" t="s">
        <v>11768</v>
      </c>
      <c r="D8786" t="s">
        <v>16648</v>
      </c>
      <c r="E8786" t="s">
        <v>24362</v>
      </c>
      <c r="F8786" t="s">
        <v>28669</v>
      </c>
      <c r="G8786" t="s">
        <v>28675</v>
      </c>
      <c r="H8786" t="s">
        <v>9998</v>
      </c>
      <c r="I8786" t="s">
        <v>7352</v>
      </c>
      <c r="J8786" t="s">
        <v>34277</v>
      </c>
      <c r="K8786" t="s">
        <v>37209</v>
      </c>
      <c r="M8786" t="s">
        <v>38129</v>
      </c>
      <c r="N8786" t="s">
        <v>41249</v>
      </c>
      <c r="O8786" t="s">
        <v>41250</v>
      </c>
      <c r="P8786">
        <v>0</v>
      </c>
      <c r="Q8786">
        <v>0</v>
      </c>
      <c r="R8786" t="s">
        <v>41259</v>
      </c>
      <c r="S8786" t="s">
        <v>41562</v>
      </c>
      <c r="T8786" t="s">
        <v>42858</v>
      </c>
      <c r="U8786" t="s">
        <v>50317</v>
      </c>
      <c r="W8786" t="s">
        <v>38129</v>
      </c>
      <c r="X8786" t="s">
        <v>41261</v>
      </c>
    </row>
    <row r="8787" spans="1:24">
      <c r="A8787">
        <f>HYPERLINK("https://www.philgeps.gov.ph/GEPSNONPILOT/Tender/SplashBidNoticeAbstractUI.aspx?menuIndex=3&amp;refID=7059231&amp;Result=3","7059231")</f>
        <v>0</v>
      </c>
      <c r="B8787" t="s">
        <v>65</v>
      </c>
      <c r="C8787" t="s">
        <v>11769</v>
      </c>
      <c r="D8787" t="s">
        <v>16626</v>
      </c>
      <c r="E8787" t="s">
        <v>24363</v>
      </c>
      <c r="F8787" t="s">
        <v>28669</v>
      </c>
      <c r="G8787" t="s">
        <v>28678</v>
      </c>
      <c r="H8787" t="s">
        <v>9998</v>
      </c>
      <c r="I8787" t="s">
        <v>11593</v>
      </c>
      <c r="J8787" t="s">
        <v>28989</v>
      </c>
      <c r="K8787" t="s">
        <v>37227</v>
      </c>
      <c r="M8787" t="s">
        <v>37540</v>
      </c>
      <c r="N8787" t="s">
        <v>41249</v>
      </c>
      <c r="O8787" t="s">
        <v>41250</v>
      </c>
      <c r="P8787">
        <v>0</v>
      </c>
      <c r="Q8787">
        <v>3</v>
      </c>
      <c r="R8787" t="s">
        <v>41259</v>
      </c>
      <c r="S8787" t="s">
        <v>41562</v>
      </c>
      <c r="T8787" t="s">
        <v>42910</v>
      </c>
      <c r="U8787" t="s">
        <v>43259</v>
      </c>
      <c r="W8787" t="s">
        <v>55899</v>
      </c>
      <c r="X8787" t="s">
        <v>41261</v>
      </c>
    </row>
    <row r="8788" spans="1:24">
      <c r="A8788">
        <f>HYPERLINK("https://www.philgeps.gov.ph/GEPSNONPILOT/Tender/SplashBidNoticeAbstractUI.aspx?menuIndex=3&amp;refID=7059187&amp;Result=3","7059187")</f>
        <v>0</v>
      </c>
      <c r="B8788" t="s">
        <v>629</v>
      </c>
      <c r="C8788" t="s">
        <v>11770</v>
      </c>
      <c r="D8788" t="s">
        <v>16648</v>
      </c>
      <c r="E8788" t="s">
        <v>24364</v>
      </c>
      <c r="F8788" t="s">
        <v>28669</v>
      </c>
      <c r="G8788" t="s">
        <v>28675</v>
      </c>
      <c r="H8788" t="s">
        <v>9998</v>
      </c>
      <c r="I8788" t="s">
        <v>7352</v>
      </c>
      <c r="J8788" t="s">
        <v>34278</v>
      </c>
      <c r="K8788" t="s">
        <v>37209</v>
      </c>
      <c r="M8788" t="s">
        <v>38129</v>
      </c>
      <c r="N8788" t="s">
        <v>41249</v>
      </c>
      <c r="O8788" t="s">
        <v>41250</v>
      </c>
      <c r="P8788">
        <v>0</v>
      </c>
      <c r="Q8788">
        <v>1</v>
      </c>
      <c r="R8788" t="s">
        <v>41259</v>
      </c>
      <c r="S8788" t="s">
        <v>41562</v>
      </c>
      <c r="T8788" t="s">
        <v>42858</v>
      </c>
      <c r="U8788" t="s">
        <v>50318</v>
      </c>
      <c r="W8788" t="s">
        <v>38129</v>
      </c>
      <c r="X8788" t="s">
        <v>41261</v>
      </c>
    </row>
    <row r="8789" spans="1:24">
      <c r="A8789">
        <f>HYPERLINK("https://www.philgeps.gov.ph/GEPSNONPILOT/Tender/SplashBidNoticeAbstractUI.aspx?menuIndex=3&amp;refID=7059306&amp;Result=3","7059306")</f>
        <v>0</v>
      </c>
      <c r="B8789" t="s">
        <v>629</v>
      </c>
      <c r="C8789" t="s">
        <v>11771</v>
      </c>
      <c r="D8789" t="s">
        <v>16648</v>
      </c>
      <c r="E8789" t="s">
        <v>24365</v>
      </c>
      <c r="F8789" t="s">
        <v>28669</v>
      </c>
      <c r="G8789" t="s">
        <v>28675</v>
      </c>
      <c r="H8789" t="s">
        <v>9998</v>
      </c>
      <c r="I8789" t="s">
        <v>11142</v>
      </c>
      <c r="J8789" t="s">
        <v>34279</v>
      </c>
      <c r="K8789" t="s">
        <v>37209</v>
      </c>
      <c r="M8789" t="s">
        <v>38129</v>
      </c>
      <c r="N8789" t="s">
        <v>41249</v>
      </c>
      <c r="O8789" t="s">
        <v>41250</v>
      </c>
      <c r="P8789">
        <v>0</v>
      </c>
      <c r="Q8789">
        <v>2</v>
      </c>
      <c r="R8789" t="s">
        <v>41259</v>
      </c>
      <c r="S8789" t="s">
        <v>41562</v>
      </c>
      <c r="T8789" t="s">
        <v>42858</v>
      </c>
      <c r="U8789" t="s">
        <v>50319</v>
      </c>
      <c r="W8789" t="s">
        <v>38129</v>
      </c>
      <c r="X8789" t="s">
        <v>41261</v>
      </c>
    </row>
    <row r="8790" spans="1:24">
      <c r="A8790">
        <f>HYPERLINK("https://www.philgeps.gov.ph/GEPSNONPILOT/Tender/SplashBidNoticeAbstractUI.aspx?menuIndex=3&amp;refID=7058208&amp;Result=3","7058208")</f>
        <v>0</v>
      </c>
      <c r="B8790" t="s">
        <v>1218</v>
      </c>
      <c r="C8790" t="s">
        <v>11772</v>
      </c>
      <c r="D8790" t="s">
        <v>16615</v>
      </c>
      <c r="E8790" t="s">
        <v>24366</v>
      </c>
      <c r="F8790" t="s">
        <v>28669</v>
      </c>
      <c r="G8790" t="s">
        <v>28675</v>
      </c>
      <c r="H8790" t="s">
        <v>9998</v>
      </c>
      <c r="I8790" t="s">
        <v>7352</v>
      </c>
      <c r="J8790" t="s">
        <v>34280</v>
      </c>
      <c r="K8790" t="s">
        <v>37209</v>
      </c>
      <c r="M8790" t="s">
        <v>38761</v>
      </c>
      <c r="N8790" t="s">
        <v>41249</v>
      </c>
      <c r="O8790" t="s">
        <v>41250</v>
      </c>
      <c r="P8790">
        <v>0</v>
      </c>
      <c r="Q8790">
        <v>0</v>
      </c>
      <c r="R8790" t="s">
        <v>41259</v>
      </c>
      <c r="S8790" t="s">
        <v>41562</v>
      </c>
      <c r="T8790" t="s">
        <v>43058</v>
      </c>
      <c r="U8790" t="s">
        <v>50320</v>
      </c>
      <c r="V8790" t="s">
        <v>55182</v>
      </c>
      <c r="W8790" t="s">
        <v>38761</v>
      </c>
      <c r="X8790" t="s">
        <v>41263</v>
      </c>
    </row>
    <row r="8791" spans="1:24">
      <c r="A8791">
        <f>HYPERLINK("https://www.philgeps.gov.ph/GEPSNONPILOT/Tender/SplashBidNoticeAbstractUI.aspx?menuIndex=3&amp;refID=7059160&amp;Result=3","7059160")</f>
        <v>0</v>
      </c>
      <c r="B8791" t="s">
        <v>629</v>
      </c>
      <c r="C8791" t="s">
        <v>11773</v>
      </c>
      <c r="D8791" t="s">
        <v>16648</v>
      </c>
      <c r="E8791" t="s">
        <v>24367</v>
      </c>
      <c r="F8791" t="s">
        <v>28669</v>
      </c>
      <c r="G8791" t="s">
        <v>28675</v>
      </c>
      <c r="H8791" t="s">
        <v>9998</v>
      </c>
      <c r="I8791" t="s">
        <v>7352</v>
      </c>
      <c r="J8791" t="s">
        <v>34281</v>
      </c>
      <c r="K8791" t="s">
        <v>37209</v>
      </c>
      <c r="M8791" t="s">
        <v>38129</v>
      </c>
      <c r="N8791" t="s">
        <v>41249</v>
      </c>
      <c r="O8791" t="s">
        <v>41250</v>
      </c>
      <c r="P8791">
        <v>0</v>
      </c>
      <c r="Q8791">
        <v>0</v>
      </c>
      <c r="R8791" t="s">
        <v>41259</v>
      </c>
      <c r="S8791" t="s">
        <v>41562</v>
      </c>
      <c r="T8791" t="s">
        <v>42858</v>
      </c>
      <c r="U8791" t="s">
        <v>50321</v>
      </c>
      <c r="W8791" t="s">
        <v>38129</v>
      </c>
      <c r="X8791" t="s">
        <v>41261</v>
      </c>
    </row>
    <row r="8792" spans="1:24">
      <c r="A8792">
        <f>HYPERLINK("https://www.philgeps.gov.ph/GEPSNONPILOT/Tender/SplashBidNoticeAbstractUI.aspx?menuIndex=3&amp;refID=7059155&amp;Result=3","7059155")</f>
        <v>0</v>
      </c>
      <c r="B8792" t="s">
        <v>2640</v>
      </c>
      <c r="C8792" t="s">
        <v>11774</v>
      </c>
      <c r="D8792" t="s">
        <v>16679</v>
      </c>
      <c r="E8792" t="s">
        <v>24368</v>
      </c>
      <c r="F8792" t="s">
        <v>28669</v>
      </c>
      <c r="G8792" t="s">
        <v>28675</v>
      </c>
      <c r="H8792" t="s">
        <v>9998</v>
      </c>
      <c r="I8792" t="s">
        <v>28792</v>
      </c>
      <c r="J8792" t="s">
        <v>34276</v>
      </c>
      <c r="K8792" t="s">
        <v>37205</v>
      </c>
      <c r="M8792" t="s">
        <v>40339</v>
      </c>
      <c r="N8792" t="s">
        <v>41249</v>
      </c>
      <c r="O8792" t="s">
        <v>41250</v>
      </c>
      <c r="P8792">
        <v>0</v>
      </c>
      <c r="Q8792">
        <v>9</v>
      </c>
      <c r="R8792" t="s">
        <v>41259</v>
      </c>
      <c r="S8792" t="s">
        <v>41562</v>
      </c>
      <c r="T8792" t="s">
        <v>43077</v>
      </c>
      <c r="U8792" t="s">
        <v>50322</v>
      </c>
      <c r="W8792" t="s">
        <v>40339</v>
      </c>
      <c r="X8792" t="s">
        <v>41261</v>
      </c>
    </row>
    <row r="8793" spans="1:24">
      <c r="A8793">
        <f>HYPERLINK("https://www.philgeps.gov.ph/GEPSNONPILOT/Tender/SplashBidNoticeAbstractUI.aspx?menuIndex=3&amp;refID=7059137&amp;Result=3","7059137")</f>
        <v>0</v>
      </c>
      <c r="B8793" t="s">
        <v>2643</v>
      </c>
      <c r="C8793" t="s">
        <v>11775</v>
      </c>
      <c r="D8793" t="s">
        <v>16684</v>
      </c>
      <c r="E8793" t="s">
        <v>24369</v>
      </c>
      <c r="F8793" t="s">
        <v>28669</v>
      </c>
      <c r="G8793" t="s">
        <v>28675</v>
      </c>
      <c r="H8793" t="s">
        <v>28686</v>
      </c>
      <c r="I8793" t="s">
        <v>28689</v>
      </c>
      <c r="J8793" t="s">
        <v>34282</v>
      </c>
      <c r="K8793" t="s">
        <v>37315</v>
      </c>
      <c r="M8793" t="s">
        <v>40343</v>
      </c>
      <c r="N8793" t="s">
        <v>41249</v>
      </c>
      <c r="O8793" t="s">
        <v>41250</v>
      </c>
      <c r="Q8793">
        <v>3</v>
      </c>
      <c r="R8793" t="s">
        <v>41259</v>
      </c>
      <c r="S8793" t="s">
        <v>41567</v>
      </c>
      <c r="T8793" t="s">
        <v>42760</v>
      </c>
      <c r="U8793" t="s">
        <v>50298</v>
      </c>
      <c r="V8793" t="s">
        <v>50298</v>
      </c>
      <c r="W8793" t="s">
        <v>40343</v>
      </c>
      <c r="X8793" t="s">
        <v>41261</v>
      </c>
    </row>
    <row r="8794" spans="1:24">
      <c r="A8794">
        <f>HYPERLINK("https://www.philgeps.gov.ph/GEPSNONPILOT/Tender/SplashBidNoticeAbstractUI.aspx?menuIndex=3&amp;refID=7059213&amp;Result=3","7059213")</f>
        <v>0</v>
      </c>
      <c r="B8794" t="s">
        <v>33</v>
      </c>
      <c r="C8794" t="s">
        <v>11776</v>
      </c>
      <c r="D8794" t="s">
        <v>16616</v>
      </c>
      <c r="E8794" t="s">
        <v>24370</v>
      </c>
      <c r="F8794" t="s">
        <v>28669</v>
      </c>
      <c r="G8794" t="s">
        <v>28675</v>
      </c>
      <c r="H8794" t="s">
        <v>9998</v>
      </c>
      <c r="I8794" t="s">
        <v>5286</v>
      </c>
      <c r="J8794" t="s">
        <v>34283</v>
      </c>
      <c r="K8794" t="s">
        <v>37216</v>
      </c>
      <c r="M8794" t="s">
        <v>37727</v>
      </c>
      <c r="N8794" t="s">
        <v>41249</v>
      </c>
      <c r="O8794" t="s">
        <v>41250</v>
      </c>
      <c r="P8794">
        <v>0</v>
      </c>
      <c r="Q8794">
        <v>2</v>
      </c>
      <c r="R8794" t="s">
        <v>41259</v>
      </c>
      <c r="S8794" t="s">
        <v>41562</v>
      </c>
      <c r="T8794" t="s">
        <v>42729</v>
      </c>
      <c r="U8794" t="s">
        <v>50323</v>
      </c>
      <c r="V8794" t="s">
        <v>54251</v>
      </c>
      <c r="W8794" t="s">
        <v>37727</v>
      </c>
      <c r="X8794" t="s">
        <v>41261</v>
      </c>
    </row>
    <row r="8795" spans="1:24">
      <c r="A8795">
        <f>HYPERLINK("https://www.philgeps.gov.ph/GEPSNONPILOT/Tender/SplashBidNoticeAbstractUI.aspx?menuIndex=3&amp;refID=7059270&amp;Result=3","7059270")</f>
        <v>0</v>
      </c>
      <c r="B8795" t="s">
        <v>65</v>
      </c>
      <c r="C8795" t="s">
        <v>11777</v>
      </c>
      <c r="D8795" t="s">
        <v>16626</v>
      </c>
      <c r="E8795" t="s">
        <v>24371</v>
      </c>
      <c r="F8795" t="s">
        <v>28669</v>
      </c>
      <c r="G8795" t="s">
        <v>28679</v>
      </c>
      <c r="H8795" t="s">
        <v>9998</v>
      </c>
      <c r="I8795" t="s">
        <v>28715</v>
      </c>
      <c r="J8795" t="s">
        <v>34284</v>
      </c>
      <c r="K8795" t="s">
        <v>37227</v>
      </c>
      <c r="M8795" t="s">
        <v>37540</v>
      </c>
      <c r="N8795" t="s">
        <v>41249</v>
      </c>
      <c r="O8795" t="s">
        <v>41250</v>
      </c>
      <c r="P8795">
        <v>0</v>
      </c>
      <c r="Q8795">
        <v>3</v>
      </c>
      <c r="R8795" t="s">
        <v>41259</v>
      </c>
      <c r="S8795" t="s">
        <v>41562</v>
      </c>
      <c r="T8795" t="s">
        <v>42910</v>
      </c>
      <c r="U8795" t="s">
        <v>43259</v>
      </c>
      <c r="W8795" t="s">
        <v>55899</v>
      </c>
      <c r="X8795" t="s">
        <v>41261</v>
      </c>
    </row>
    <row r="8796" spans="1:24">
      <c r="A8796">
        <f>HYPERLINK("https://www.philgeps.gov.ph/GEPSNONPILOT/Tender/SplashBidNoticeAbstractUI.aspx?menuIndex=3&amp;refID=7057432&amp;Result=3","7057432")</f>
        <v>0</v>
      </c>
      <c r="B8796" t="s">
        <v>1698</v>
      </c>
      <c r="C8796" t="s">
        <v>11778</v>
      </c>
      <c r="D8796" t="s">
        <v>16627</v>
      </c>
      <c r="E8796" t="s">
        <v>24372</v>
      </c>
      <c r="F8796" t="s">
        <v>28669</v>
      </c>
      <c r="G8796" t="s">
        <v>28675</v>
      </c>
      <c r="H8796" t="s">
        <v>28686</v>
      </c>
      <c r="I8796" t="s">
        <v>28689</v>
      </c>
      <c r="J8796" t="s">
        <v>34285</v>
      </c>
      <c r="K8796" t="s">
        <v>37280</v>
      </c>
      <c r="M8796" t="s">
        <v>40347</v>
      </c>
      <c r="N8796" t="s">
        <v>41249</v>
      </c>
      <c r="O8796" t="s">
        <v>41250</v>
      </c>
      <c r="Q8796">
        <v>1</v>
      </c>
      <c r="R8796" t="s">
        <v>41259</v>
      </c>
      <c r="S8796" t="s">
        <v>41568</v>
      </c>
      <c r="T8796" t="s">
        <v>42688</v>
      </c>
      <c r="U8796" t="s">
        <v>50324</v>
      </c>
      <c r="W8796" t="s">
        <v>40347</v>
      </c>
      <c r="X8796" t="s">
        <v>41264</v>
      </c>
    </row>
    <row r="8797" spans="1:24">
      <c r="A8797">
        <f>HYPERLINK("https://www.philgeps.gov.ph/GEPSNONPILOT/Tender/SplashBidNoticeAbstractUI.aspx?menuIndex=3&amp;refID=7057198&amp;Result=3","7057198")</f>
        <v>0</v>
      </c>
      <c r="B8797" t="s">
        <v>2069</v>
      </c>
      <c r="C8797" t="s">
        <v>11779</v>
      </c>
      <c r="D8797" t="s">
        <v>16678</v>
      </c>
      <c r="E8797" t="s">
        <v>24373</v>
      </c>
      <c r="F8797" t="s">
        <v>28669</v>
      </c>
      <c r="G8797" t="s">
        <v>28675</v>
      </c>
      <c r="H8797" t="s">
        <v>28686</v>
      </c>
      <c r="I8797" t="s">
        <v>28689</v>
      </c>
      <c r="J8797" t="s">
        <v>29134</v>
      </c>
      <c r="K8797" t="s">
        <v>37220</v>
      </c>
      <c r="M8797" t="s">
        <v>39710</v>
      </c>
      <c r="N8797" t="s">
        <v>41249</v>
      </c>
      <c r="O8797" t="s">
        <v>41250</v>
      </c>
      <c r="P8797">
        <v>0</v>
      </c>
      <c r="Q8797">
        <v>0</v>
      </c>
      <c r="R8797" t="s">
        <v>41259</v>
      </c>
      <c r="S8797" t="s">
        <v>41562</v>
      </c>
      <c r="T8797" t="s">
        <v>42836</v>
      </c>
      <c r="U8797" t="s">
        <v>50325</v>
      </c>
      <c r="W8797" t="s">
        <v>39710</v>
      </c>
      <c r="X8797" t="s">
        <v>41264</v>
      </c>
    </row>
    <row r="8798" spans="1:24">
      <c r="A8798">
        <f>HYPERLINK("https://www.philgeps.gov.ph/GEPSNONPILOT/Tender/SplashBidNoticeAbstractUI.aspx?menuIndex=3&amp;refID=7059138&amp;Result=3","7059138")</f>
        <v>0</v>
      </c>
      <c r="B8798" t="s">
        <v>65</v>
      </c>
      <c r="C8798" t="s">
        <v>11780</v>
      </c>
      <c r="D8798" t="s">
        <v>16626</v>
      </c>
      <c r="E8798" t="s">
        <v>24374</v>
      </c>
      <c r="F8798" t="s">
        <v>28669</v>
      </c>
      <c r="G8798" t="s">
        <v>28676</v>
      </c>
      <c r="H8798" t="s">
        <v>9998</v>
      </c>
      <c r="I8798" t="s">
        <v>6606</v>
      </c>
      <c r="J8798" t="s">
        <v>31171</v>
      </c>
      <c r="K8798" t="s">
        <v>37227</v>
      </c>
      <c r="M8798" t="s">
        <v>37540</v>
      </c>
      <c r="N8798" t="s">
        <v>41249</v>
      </c>
      <c r="O8798" t="s">
        <v>41250</v>
      </c>
      <c r="P8798">
        <v>0</v>
      </c>
      <c r="Q8798">
        <v>0</v>
      </c>
      <c r="R8798" t="s">
        <v>41259</v>
      </c>
      <c r="S8798" t="s">
        <v>41562</v>
      </c>
      <c r="T8798" t="s">
        <v>42910</v>
      </c>
      <c r="U8798" t="s">
        <v>48486</v>
      </c>
      <c r="W8798" t="s">
        <v>55899</v>
      </c>
      <c r="X8798" t="s">
        <v>41261</v>
      </c>
    </row>
    <row r="8799" spans="1:24">
      <c r="A8799">
        <f>HYPERLINK("https://www.philgeps.gov.ph/GEPSNONPILOT/Tender/SplashBidNoticeAbstractUI.aspx?menuIndex=3&amp;refID=6920277&amp;Result=3","6920277")</f>
        <v>0</v>
      </c>
      <c r="B8799" t="s">
        <v>2647</v>
      </c>
      <c r="C8799" t="s">
        <v>11781</v>
      </c>
      <c r="D8799" t="s">
        <v>16616</v>
      </c>
      <c r="E8799" t="s">
        <v>16877</v>
      </c>
      <c r="F8799" t="s">
        <v>28669</v>
      </c>
      <c r="G8799" t="s">
        <v>28675</v>
      </c>
      <c r="H8799" t="s">
        <v>28686</v>
      </c>
      <c r="I8799" t="s">
        <v>28689</v>
      </c>
      <c r="J8799" t="s">
        <v>28836</v>
      </c>
      <c r="K8799" t="s">
        <v>37211</v>
      </c>
      <c r="L8799" t="s">
        <v>2647</v>
      </c>
      <c r="M8799" t="s">
        <v>40348</v>
      </c>
      <c r="N8799" t="s">
        <v>41249</v>
      </c>
      <c r="O8799" t="s">
        <v>41250</v>
      </c>
      <c r="P8799">
        <v>0</v>
      </c>
      <c r="Q8799">
        <v>4</v>
      </c>
      <c r="R8799" t="s">
        <v>41259</v>
      </c>
      <c r="S8799" t="s">
        <v>41562</v>
      </c>
      <c r="T8799" t="s">
        <v>42927</v>
      </c>
      <c r="U8799" t="s">
        <v>50326</v>
      </c>
      <c r="V8799" t="s">
        <v>55239</v>
      </c>
      <c r="W8799" t="s">
        <v>40348</v>
      </c>
      <c r="X8799" t="s">
        <v>41325</v>
      </c>
    </row>
    <row r="8800" spans="1:24">
      <c r="A8800">
        <f>HYPERLINK("https://www.philgeps.gov.ph/GEPSNONPILOT/Tender/SplashBidNoticeAbstractUI.aspx?menuIndex=3&amp;refID=7053083&amp;Result=3","7053083")</f>
        <v>0</v>
      </c>
      <c r="B8800" t="s">
        <v>410</v>
      </c>
      <c r="C8800" t="s">
        <v>11782</v>
      </c>
      <c r="D8800" t="s">
        <v>16630</v>
      </c>
      <c r="E8800" t="s">
        <v>24375</v>
      </c>
      <c r="F8800" t="s">
        <v>28669</v>
      </c>
      <c r="G8800" t="s">
        <v>28675</v>
      </c>
      <c r="H8800" t="s">
        <v>28686</v>
      </c>
      <c r="I8800" t="s">
        <v>28689</v>
      </c>
      <c r="J8800" t="s">
        <v>34286</v>
      </c>
      <c r="K8800" t="s">
        <v>37221</v>
      </c>
      <c r="M8800" t="s">
        <v>37895</v>
      </c>
      <c r="N8800" t="s">
        <v>41249</v>
      </c>
      <c r="O8800" t="s">
        <v>41250</v>
      </c>
      <c r="P8800">
        <v>0</v>
      </c>
      <c r="Q8800">
        <v>0</v>
      </c>
      <c r="R8800" t="s">
        <v>41259</v>
      </c>
      <c r="S8800" t="s">
        <v>41562</v>
      </c>
      <c r="T8800" t="s">
        <v>42913</v>
      </c>
      <c r="U8800" t="s">
        <v>50327</v>
      </c>
      <c r="W8800" t="s">
        <v>37895</v>
      </c>
      <c r="X8800" t="s">
        <v>41265</v>
      </c>
    </row>
    <row r="8801" spans="1:24">
      <c r="A8801">
        <f>HYPERLINK("https://www.philgeps.gov.ph/GEPSNONPILOT/Tender/SplashBidNoticeAbstractUI.aspx?menuIndex=3&amp;refID=5942824&amp;Result=3","5942824")</f>
        <v>0</v>
      </c>
      <c r="B8801" t="s">
        <v>2648</v>
      </c>
      <c r="C8801" t="s">
        <v>11783</v>
      </c>
      <c r="D8801" t="s">
        <v>16664</v>
      </c>
      <c r="E8801" t="s">
        <v>17248</v>
      </c>
      <c r="F8801" t="s">
        <v>28669</v>
      </c>
      <c r="G8801" t="s">
        <v>28675</v>
      </c>
      <c r="H8801" t="s">
        <v>28686</v>
      </c>
      <c r="I8801" t="s">
        <v>28689</v>
      </c>
      <c r="J8801" t="s">
        <v>34287</v>
      </c>
      <c r="K8801" t="s">
        <v>37222</v>
      </c>
      <c r="M8801" t="s">
        <v>40349</v>
      </c>
      <c r="N8801" t="s">
        <v>41249</v>
      </c>
      <c r="O8801" t="s">
        <v>41250</v>
      </c>
      <c r="P8801">
        <v>0</v>
      </c>
      <c r="Q8801">
        <v>1</v>
      </c>
      <c r="R8801" t="s">
        <v>41259</v>
      </c>
      <c r="S8801" t="s">
        <v>41562</v>
      </c>
      <c r="T8801" t="s">
        <v>43027</v>
      </c>
      <c r="U8801" t="s">
        <v>50328</v>
      </c>
      <c r="W8801" t="s">
        <v>40349</v>
      </c>
      <c r="X8801" t="s">
        <v>56048</v>
      </c>
    </row>
    <row r="8802" spans="1:24">
      <c r="A8802">
        <f>HYPERLINK("https://www.philgeps.gov.ph/GEPSNONPILOT/Tender/SplashBidNoticeAbstractUI.aspx?menuIndex=3&amp;refID=7059216&amp;Result=3","7059216")</f>
        <v>0</v>
      </c>
      <c r="B8802" t="s">
        <v>629</v>
      </c>
      <c r="C8802" t="s">
        <v>11784</v>
      </c>
      <c r="D8802" t="s">
        <v>16648</v>
      </c>
      <c r="E8802" t="s">
        <v>24376</v>
      </c>
      <c r="F8802" t="s">
        <v>28669</v>
      </c>
      <c r="G8802" t="s">
        <v>28675</v>
      </c>
      <c r="H8802" t="s">
        <v>9998</v>
      </c>
      <c r="I8802" t="s">
        <v>7352</v>
      </c>
      <c r="J8802" t="s">
        <v>34288</v>
      </c>
      <c r="K8802" t="s">
        <v>37209</v>
      </c>
      <c r="M8802" t="s">
        <v>38129</v>
      </c>
      <c r="N8802" t="s">
        <v>41249</v>
      </c>
      <c r="O8802" t="s">
        <v>41250</v>
      </c>
      <c r="P8802">
        <v>0</v>
      </c>
      <c r="Q8802">
        <v>0</v>
      </c>
      <c r="R8802" t="s">
        <v>41259</v>
      </c>
      <c r="S8802" t="s">
        <v>41562</v>
      </c>
      <c r="T8802" t="s">
        <v>42858</v>
      </c>
      <c r="U8802" t="s">
        <v>50329</v>
      </c>
      <c r="W8802" t="s">
        <v>38129</v>
      </c>
      <c r="X8802" t="s">
        <v>41261</v>
      </c>
    </row>
    <row r="8803" spans="1:24">
      <c r="A8803">
        <f>HYPERLINK("https://www.philgeps.gov.ph/GEPSNONPILOT/Tender/SplashBidNoticeAbstractUI.aspx?menuIndex=3&amp;refID=7059133&amp;Result=3","7059133")</f>
        <v>0</v>
      </c>
      <c r="B8803" t="s">
        <v>629</v>
      </c>
      <c r="C8803" t="s">
        <v>11785</v>
      </c>
      <c r="D8803" t="s">
        <v>16648</v>
      </c>
      <c r="E8803" t="s">
        <v>24377</v>
      </c>
      <c r="F8803" t="s">
        <v>28669</v>
      </c>
      <c r="G8803" t="s">
        <v>28675</v>
      </c>
      <c r="H8803" t="s">
        <v>9998</v>
      </c>
      <c r="I8803" t="s">
        <v>7352</v>
      </c>
      <c r="J8803" t="s">
        <v>34289</v>
      </c>
      <c r="K8803" t="s">
        <v>37209</v>
      </c>
      <c r="M8803" t="s">
        <v>38129</v>
      </c>
      <c r="N8803" t="s">
        <v>41249</v>
      </c>
      <c r="O8803" t="s">
        <v>41250</v>
      </c>
      <c r="P8803">
        <v>0</v>
      </c>
      <c r="Q8803">
        <v>0</v>
      </c>
      <c r="R8803" t="s">
        <v>41259</v>
      </c>
      <c r="S8803" t="s">
        <v>41562</v>
      </c>
      <c r="T8803" t="s">
        <v>42858</v>
      </c>
      <c r="U8803" t="s">
        <v>50330</v>
      </c>
      <c r="W8803" t="s">
        <v>38129</v>
      </c>
      <c r="X8803" t="s">
        <v>41261</v>
      </c>
    </row>
    <row r="8804" spans="1:24">
      <c r="A8804">
        <f>HYPERLINK("https://www.philgeps.gov.ph/GEPSNONPILOT/Tender/SplashBidNoticeAbstractUI.aspx?menuIndex=3&amp;refID=7067335&amp;Result=3","7067335")</f>
        <v>0</v>
      </c>
      <c r="B8804" t="s">
        <v>2637</v>
      </c>
      <c r="C8804" t="s">
        <v>11786</v>
      </c>
      <c r="D8804" t="s">
        <v>16608</v>
      </c>
      <c r="E8804" t="s">
        <v>11786</v>
      </c>
      <c r="F8804" t="s">
        <v>28669</v>
      </c>
      <c r="G8804" t="s">
        <v>28675</v>
      </c>
      <c r="H8804" t="s">
        <v>9998</v>
      </c>
      <c r="I8804" t="s">
        <v>15140</v>
      </c>
      <c r="J8804" t="s">
        <v>29332</v>
      </c>
      <c r="K8804" t="s">
        <v>37206</v>
      </c>
      <c r="M8804" t="s">
        <v>40336</v>
      </c>
      <c r="N8804" t="s">
        <v>41249</v>
      </c>
      <c r="O8804" t="s">
        <v>41250</v>
      </c>
      <c r="P8804">
        <v>0</v>
      </c>
      <c r="Q8804">
        <v>0</v>
      </c>
      <c r="R8804" t="s">
        <v>41258</v>
      </c>
      <c r="S8804" t="s">
        <v>41513</v>
      </c>
      <c r="T8804" t="s">
        <v>42881</v>
      </c>
      <c r="U8804" t="s">
        <v>50271</v>
      </c>
      <c r="W8804" t="s">
        <v>40336</v>
      </c>
      <c r="X8804" t="s">
        <v>41259</v>
      </c>
    </row>
    <row r="8805" spans="1:24">
      <c r="A8805">
        <f>HYPERLINK("https://www.philgeps.gov.ph/GEPSNONPILOT/Tender/SplashBidNoticeAbstractUI.aspx?menuIndex=3&amp;refID=7067334&amp;Result=3","7067334")</f>
        <v>0</v>
      </c>
      <c r="B8805" t="s">
        <v>2637</v>
      </c>
      <c r="C8805" t="s">
        <v>11787</v>
      </c>
      <c r="D8805" t="s">
        <v>16608</v>
      </c>
      <c r="E8805" t="s">
        <v>11787</v>
      </c>
      <c r="F8805" t="s">
        <v>28669</v>
      </c>
      <c r="G8805" t="s">
        <v>28675</v>
      </c>
      <c r="H8805" t="s">
        <v>9998</v>
      </c>
      <c r="I8805" t="s">
        <v>28688</v>
      </c>
      <c r="J8805" t="s">
        <v>34290</v>
      </c>
      <c r="K8805" t="s">
        <v>37206</v>
      </c>
      <c r="M8805" t="s">
        <v>40336</v>
      </c>
      <c r="N8805" t="s">
        <v>41249</v>
      </c>
      <c r="O8805" t="s">
        <v>41250</v>
      </c>
      <c r="P8805">
        <v>0</v>
      </c>
      <c r="Q8805">
        <v>1</v>
      </c>
      <c r="R8805" t="s">
        <v>41258</v>
      </c>
      <c r="S8805" t="s">
        <v>41513</v>
      </c>
      <c r="T8805" t="s">
        <v>42881</v>
      </c>
      <c r="U8805" t="s">
        <v>50261</v>
      </c>
      <c r="W8805" t="s">
        <v>40336</v>
      </c>
      <c r="X8805" t="s">
        <v>41259</v>
      </c>
    </row>
    <row r="8806" spans="1:24">
      <c r="A8806">
        <f>HYPERLINK("https://www.philgeps.gov.ph/GEPSNONPILOT/Tender/SplashBidNoticeAbstractUI.aspx?menuIndex=3&amp;refID=7067310&amp;Result=3","7067310")</f>
        <v>0</v>
      </c>
      <c r="B8806" t="s">
        <v>2358</v>
      </c>
      <c r="C8806" t="s">
        <v>11788</v>
      </c>
      <c r="D8806" t="s">
        <v>16624</v>
      </c>
      <c r="E8806" t="s">
        <v>22339</v>
      </c>
      <c r="F8806" t="s">
        <v>28669</v>
      </c>
      <c r="G8806" t="s">
        <v>28675</v>
      </c>
      <c r="H8806" t="s">
        <v>9998</v>
      </c>
      <c r="I8806" t="s">
        <v>28693</v>
      </c>
      <c r="J8806" t="s">
        <v>34291</v>
      </c>
      <c r="K8806" t="s">
        <v>37210</v>
      </c>
      <c r="M8806" t="s">
        <v>40026</v>
      </c>
      <c r="N8806" t="s">
        <v>41249</v>
      </c>
      <c r="O8806" t="s">
        <v>41250</v>
      </c>
      <c r="P8806">
        <v>0</v>
      </c>
      <c r="Q8806">
        <v>2</v>
      </c>
      <c r="R8806" t="s">
        <v>41258</v>
      </c>
      <c r="S8806" t="s">
        <v>41513</v>
      </c>
      <c r="T8806" t="s">
        <v>42755</v>
      </c>
      <c r="U8806" t="s">
        <v>50331</v>
      </c>
      <c r="W8806" t="s">
        <v>55988</v>
      </c>
      <c r="X8806" t="s">
        <v>41259</v>
      </c>
    </row>
    <row r="8807" spans="1:24">
      <c r="A8807">
        <f>HYPERLINK("https://www.philgeps.gov.ph/GEPSNONPILOT/Tender/SplashBidNoticeAbstractUI.aspx?menuIndex=3&amp;refID=7067303&amp;Result=3","7067303")</f>
        <v>0</v>
      </c>
      <c r="B8807" t="s">
        <v>2628</v>
      </c>
      <c r="C8807" t="s">
        <v>11789</v>
      </c>
      <c r="D8807" t="s">
        <v>16665</v>
      </c>
      <c r="E8807" t="s">
        <v>24378</v>
      </c>
      <c r="F8807" t="s">
        <v>28669</v>
      </c>
      <c r="G8807" t="s">
        <v>28675</v>
      </c>
      <c r="H8807" t="s">
        <v>28684</v>
      </c>
      <c r="I8807" t="s">
        <v>28722</v>
      </c>
      <c r="J8807" t="s">
        <v>34292</v>
      </c>
      <c r="K8807" t="s">
        <v>37206</v>
      </c>
      <c r="M8807" t="s">
        <v>40327</v>
      </c>
      <c r="N8807" t="s">
        <v>41249</v>
      </c>
      <c r="O8807" t="s">
        <v>41250</v>
      </c>
      <c r="P8807">
        <v>0</v>
      </c>
      <c r="Q8807">
        <v>0</v>
      </c>
      <c r="R8807" t="s">
        <v>41258</v>
      </c>
      <c r="S8807" t="s">
        <v>41513</v>
      </c>
      <c r="T8807" t="s">
        <v>42881</v>
      </c>
      <c r="U8807" t="s">
        <v>50332</v>
      </c>
      <c r="W8807" t="s">
        <v>40327</v>
      </c>
      <c r="X8807" t="s">
        <v>41259</v>
      </c>
    </row>
    <row r="8808" spans="1:24">
      <c r="A8808">
        <f>HYPERLINK("https://www.philgeps.gov.ph/GEPSNONPILOT/Tender/SplashBidNoticeAbstractUI.aspx?menuIndex=3&amp;refID=7059348&amp;Result=3","7059348")</f>
        <v>0</v>
      </c>
      <c r="B8808" t="s">
        <v>629</v>
      </c>
      <c r="C8808" t="s">
        <v>11790</v>
      </c>
      <c r="D8808" t="s">
        <v>16648</v>
      </c>
      <c r="E8808" t="s">
        <v>24379</v>
      </c>
      <c r="F8808" t="s">
        <v>28669</v>
      </c>
      <c r="G8808" t="s">
        <v>28675</v>
      </c>
      <c r="H8808" t="s">
        <v>9998</v>
      </c>
      <c r="I8808" t="s">
        <v>7352</v>
      </c>
      <c r="J8808" t="s">
        <v>34293</v>
      </c>
      <c r="K8808" t="s">
        <v>37209</v>
      </c>
      <c r="M8808" t="s">
        <v>38129</v>
      </c>
      <c r="N8808" t="s">
        <v>41249</v>
      </c>
      <c r="O8808" t="s">
        <v>41250</v>
      </c>
      <c r="P8808">
        <v>0</v>
      </c>
      <c r="Q8808">
        <v>1</v>
      </c>
      <c r="R8808" t="s">
        <v>41259</v>
      </c>
      <c r="S8808" t="s">
        <v>41562</v>
      </c>
      <c r="T8808" t="s">
        <v>42858</v>
      </c>
      <c r="U8808" t="s">
        <v>50333</v>
      </c>
      <c r="W8808" t="s">
        <v>38129</v>
      </c>
      <c r="X8808" t="s">
        <v>41261</v>
      </c>
    </row>
    <row r="8809" spans="1:24">
      <c r="A8809">
        <f>HYPERLINK("https://www.philgeps.gov.ph/GEPSNONPILOT/Tender/SplashBidNoticeAbstractUI.aspx?menuIndex=3&amp;refID=7057118&amp;Result=3","7057118")</f>
        <v>0</v>
      </c>
      <c r="B8809" t="s">
        <v>2069</v>
      </c>
      <c r="C8809" t="s">
        <v>11791</v>
      </c>
      <c r="D8809" t="s">
        <v>16678</v>
      </c>
      <c r="E8809" t="s">
        <v>24380</v>
      </c>
      <c r="F8809" t="s">
        <v>28669</v>
      </c>
      <c r="G8809" t="s">
        <v>28675</v>
      </c>
      <c r="H8809" t="s">
        <v>9998</v>
      </c>
      <c r="I8809" t="s">
        <v>28736</v>
      </c>
      <c r="J8809" t="s">
        <v>33963</v>
      </c>
      <c r="K8809" t="s">
        <v>37205</v>
      </c>
      <c r="M8809" t="s">
        <v>39710</v>
      </c>
      <c r="N8809" t="s">
        <v>41249</v>
      </c>
      <c r="O8809" t="s">
        <v>41250</v>
      </c>
      <c r="P8809">
        <v>0</v>
      </c>
      <c r="Q8809">
        <v>1</v>
      </c>
      <c r="R8809" t="s">
        <v>41259</v>
      </c>
      <c r="S8809" t="s">
        <v>41562</v>
      </c>
      <c r="T8809" t="s">
        <v>42836</v>
      </c>
      <c r="U8809" t="s">
        <v>50334</v>
      </c>
      <c r="W8809" t="s">
        <v>39710</v>
      </c>
      <c r="X8809" t="s">
        <v>41264</v>
      </c>
    </row>
    <row r="8810" spans="1:24">
      <c r="A8810">
        <f>HYPERLINK("https://www.philgeps.gov.ph/GEPSNONPILOT/Tender/SplashBidNoticeAbstractUI.aspx?menuIndex=3&amp;refID=7059575&amp;Result=3","7059575")</f>
        <v>0</v>
      </c>
      <c r="B8810" t="s">
        <v>2081</v>
      </c>
      <c r="C8810" t="s">
        <v>11792</v>
      </c>
      <c r="D8810" t="s">
        <v>16665</v>
      </c>
      <c r="E8810" t="s">
        <v>24381</v>
      </c>
      <c r="F8810" t="s">
        <v>28669</v>
      </c>
      <c r="G8810" t="s">
        <v>28675</v>
      </c>
      <c r="H8810" t="s">
        <v>9998</v>
      </c>
      <c r="I8810" t="s">
        <v>5213</v>
      </c>
      <c r="J8810" t="s">
        <v>28836</v>
      </c>
      <c r="K8810" t="s">
        <v>37206</v>
      </c>
      <c r="M8810" t="s">
        <v>39722</v>
      </c>
      <c r="N8810" t="s">
        <v>41249</v>
      </c>
      <c r="O8810" t="s">
        <v>41250</v>
      </c>
      <c r="P8810">
        <v>0</v>
      </c>
      <c r="Q8810">
        <v>2</v>
      </c>
      <c r="R8810" t="s">
        <v>41259</v>
      </c>
      <c r="S8810" t="s">
        <v>41562</v>
      </c>
      <c r="T8810" t="s">
        <v>42881</v>
      </c>
      <c r="U8810" t="s">
        <v>50335</v>
      </c>
      <c r="W8810" t="s">
        <v>39722</v>
      </c>
      <c r="X8810" t="s">
        <v>41261</v>
      </c>
    </row>
    <row r="8811" spans="1:24">
      <c r="A8811">
        <f>HYPERLINK("https://www.philgeps.gov.ph/GEPSNONPILOT/Tender/SplashBidNoticeAbstractUI.aspx?menuIndex=3&amp;refID=7059572&amp;Result=3","7059572")</f>
        <v>0</v>
      </c>
      <c r="B8811" t="s">
        <v>629</v>
      </c>
      <c r="C8811" t="s">
        <v>11793</v>
      </c>
      <c r="D8811" t="s">
        <v>16648</v>
      </c>
      <c r="E8811" t="s">
        <v>24382</v>
      </c>
      <c r="F8811" t="s">
        <v>28669</v>
      </c>
      <c r="G8811" t="s">
        <v>28675</v>
      </c>
      <c r="H8811" t="s">
        <v>9998</v>
      </c>
      <c r="I8811" t="s">
        <v>7352</v>
      </c>
      <c r="J8811" t="s">
        <v>34294</v>
      </c>
      <c r="K8811" t="s">
        <v>37209</v>
      </c>
      <c r="M8811" t="s">
        <v>38129</v>
      </c>
      <c r="N8811" t="s">
        <v>41249</v>
      </c>
      <c r="O8811" t="s">
        <v>41250</v>
      </c>
      <c r="P8811">
        <v>0</v>
      </c>
      <c r="Q8811">
        <v>0</v>
      </c>
      <c r="R8811" t="s">
        <v>41259</v>
      </c>
      <c r="S8811" t="s">
        <v>41562</v>
      </c>
      <c r="T8811" t="s">
        <v>42858</v>
      </c>
      <c r="U8811" t="s">
        <v>50336</v>
      </c>
      <c r="W8811" t="s">
        <v>38129</v>
      </c>
      <c r="X8811" t="s">
        <v>41261</v>
      </c>
    </row>
    <row r="8812" spans="1:24">
      <c r="A8812">
        <f>HYPERLINK("https://www.philgeps.gov.ph/GEPSNONPILOT/Tender/SplashBidNoticeAbstractUI.aspx?menuIndex=3&amp;refID=7059557&amp;Result=3","7059557")</f>
        <v>0</v>
      </c>
      <c r="B8812" t="s">
        <v>1698</v>
      </c>
      <c r="C8812" t="s">
        <v>11794</v>
      </c>
      <c r="D8812" t="s">
        <v>16627</v>
      </c>
      <c r="E8812" t="s">
        <v>24383</v>
      </c>
      <c r="F8812" t="s">
        <v>28669</v>
      </c>
      <c r="G8812" t="s">
        <v>28675</v>
      </c>
      <c r="H8812" t="s">
        <v>28686</v>
      </c>
      <c r="I8812" t="s">
        <v>28689</v>
      </c>
      <c r="J8812" t="s">
        <v>34295</v>
      </c>
      <c r="K8812" t="s">
        <v>37411</v>
      </c>
      <c r="M8812" t="s">
        <v>40347</v>
      </c>
      <c r="N8812" t="s">
        <v>41249</v>
      </c>
      <c r="O8812" t="s">
        <v>41250</v>
      </c>
      <c r="Q8812">
        <v>0</v>
      </c>
      <c r="R8812" t="s">
        <v>41259</v>
      </c>
      <c r="S8812" t="s">
        <v>41569</v>
      </c>
      <c r="T8812" t="s">
        <v>42688</v>
      </c>
      <c r="U8812" t="s">
        <v>50337</v>
      </c>
      <c r="W8812" t="s">
        <v>40347</v>
      </c>
      <c r="X8812" t="s">
        <v>41261</v>
      </c>
    </row>
    <row r="8813" spans="1:24">
      <c r="A8813">
        <f>HYPERLINK("https://www.philgeps.gov.ph/GEPSNONPILOT/Tender/SplashBidNoticeAbstractUI.aspx?menuIndex=3&amp;refID=7067333&amp;Result=3","7067333")</f>
        <v>0</v>
      </c>
      <c r="B8813" t="s">
        <v>2637</v>
      </c>
      <c r="C8813" t="s">
        <v>11795</v>
      </c>
      <c r="D8813" t="s">
        <v>16608</v>
      </c>
      <c r="E8813" t="s">
        <v>11795</v>
      </c>
      <c r="F8813" t="s">
        <v>28669</v>
      </c>
      <c r="G8813" t="s">
        <v>28675</v>
      </c>
      <c r="H8813" t="s">
        <v>9998</v>
      </c>
      <c r="I8813" t="s">
        <v>28688</v>
      </c>
      <c r="J8813" t="s">
        <v>34296</v>
      </c>
      <c r="K8813" t="s">
        <v>37206</v>
      </c>
      <c r="M8813" t="s">
        <v>40336</v>
      </c>
      <c r="N8813" t="s">
        <v>41249</v>
      </c>
      <c r="O8813" t="s">
        <v>41250</v>
      </c>
      <c r="P8813">
        <v>0</v>
      </c>
      <c r="Q8813">
        <v>1</v>
      </c>
      <c r="R8813" t="s">
        <v>41258</v>
      </c>
      <c r="S8813" t="s">
        <v>41513</v>
      </c>
      <c r="T8813" t="s">
        <v>42881</v>
      </c>
      <c r="U8813" t="s">
        <v>50261</v>
      </c>
      <c r="W8813" t="s">
        <v>40336</v>
      </c>
      <c r="X8813" t="s">
        <v>41259</v>
      </c>
    </row>
    <row r="8814" spans="1:24">
      <c r="A8814">
        <f>HYPERLINK("https://www.philgeps.gov.ph/GEPSNONPILOT/Tender/SplashBidNoticeAbstractUI.aspx?menuIndex=3&amp;refID=7059533&amp;Result=3","7059533")</f>
        <v>0</v>
      </c>
      <c r="B8814" t="s">
        <v>1698</v>
      </c>
      <c r="C8814" t="s">
        <v>11796</v>
      </c>
      <c r="D8814" t="s">
        <v>16627</v>
      </c>
      <c r="E8814" t="s">
        <v>24384</v>
      </c>
      <c r="F8814" t="s">
        <v>28669</v>
      </c>
      <c r="G8814" t="s">
        <v>28675</v>
      </c>
      <c r="H8814" t="s">
        <v>28686</v>
      </c>
      <c r="I8814" t="s">
        <v>28689</v>
      </c>
      <c r="J8814" t="s">
        <v>34295</v>
      </c>
      <c r="K8814" t="s">
        <v>37411</v>
      </c>
      <c r="M8814" t="s">
        <v>40347</v>
      </c>
      <c r="N8814" t="s">
        <v>41249</v>
      </c>
      <c r="O8814" t="s">
        <v>41250</v>
      </c>
      <c r="Q8814">
        <v>1</v>
      </c>
      <c r="R8814" t="s">
        <v>41259</v>
      </c>
      <c r="S8814" t="s">
        <v>41570</v>
      </c>
      <c r="T8814" t="s">
        <v>42688</v>
      </c>
      <c r="U8814" t="s">
        <v>50338</v>
      </c>
      <c r="W8814" t="s">
        <v>40347</v>
      </c>
      <c r="X8814" t="s">
        <v>41261</v>
      </c>
    </row>
    <row r="8815" spans="1:24">
      <c r="A8815">
        <f>HYPERLINK("https://www.philgeps.gov.ph/GEPSNONPILOT/Tender/SplashBidNoticeAbstractUI.aspx?menuIndex=3&amp;refID=7067305&amp;Result=3","7067305")</f>
        <v>0</v>
      </c>
      <c r="B8815" t="s">
        <v>2649</v>
      </c>
      <c r="C8815" t="s">
        <v>11797</v>
      </c>
      <c r="D8815" t="s">
        <v>16661</v>
      </c>
      <c r="E8815" t="s">
        <v>24385</v>
      </c>
      <c r="F8815" t="s">
        <v>28671</v>
      </c>
      <c r="G8815" t="s">
        <v>28675</v>
      </c>
      <c r="H8815" t="s">
        <v>9998</v>
      </c>
      <c r="I8815" t="s">
        <v>7352</v>
      </c>
      <c r="J8815" t="s">
        <v>34297</v>
      </c>
      <c r="K8815" t="s">
        <v>37210</v>
      </c>
      <c r="M8815" t="s">
        <v>40350</v>
      </c>
      <c r="N8815" t="s">
        <v>41249</v>
      </c>
      <c r="O8815" t="s">
        <v>41250</v>
      </c>
      <c r="P8815">
        <v>0</v>
      </c>
      <c r="Q8815">
        <v>1</v>
      </c>
      <c r="R8815" t="s">
        <v>41258</v>
      </c>
      <c r="S8815" t="s">
        <v>41513</v>
      </c>
      <c r="T8815" t="s">
        <v>42678</v>
      </c>
      <c r="U8815" t="s">
        <v>50339</v>
      </c>
      <c r="W8815" t="s">
        <v>40350</v>
      </c>
      <c r="X8815" t="s">
        <v>41259</v>
      </c>
    </row>
    <row r="8816" spans="1:24">
      <c r="A8816">
        <f>HYPERLINK("https://www.philgeps.gov.ph/GEPSNONPILOT/Tender/SplashBidNoticeAbstractUI.aspx?menuIndex=3&amp;refID=6949748&amp;Result=3","6949748")</f>
        <v>0</v>
      </c>
      <c r="B8816" t="s">
        <v>2639</v>
      </c>
      <c r="C8816" t="s">
        <v>11798</v>
      </c>
      <c r="D8816" t="s">
        <v>16667</v>
      </c>
      <c r="E8816" t="s">
        <v>23873</v>
      </c>
      <c r="F8816" t="s">
        <v>28669</v>
      </c>
      <c r="G8816" t="s">
        <v>28675</v>
      </c>
      <c r="H8816" t="s">
        <v>9998</v>
      </c>
      <c r="I8816" t="s">
        <v>7352</v>
      </c>
      <c r="J8816" t="s">
        <v>34298</v>
      </c>
      <c r="K8816" t="s">
        <v>37204</v>
      </c>
      <c r="M8816" t="s">
        <v>40338</v>
      </c>
      <c r="N8816" t="s">
        <v>41249</v>
      </c>
      <c r="O8816" t="s">
        <v>41250</v>
      </c>
      <c r="P8816">
        <v>0</v>
      </c>
      <c r="Q8816">
        <v>0</v>
      </c>
      <c r="R8816" t="s">
        <v>41259</v>
      </c>
      <c r="S8816" t="s">
        <v>41562</v>
      </c>
      <c r="T8816" t="s">
        <v>42700</v>
      </c>
      <c r="U8816" t="s">
        <v>50340</v>
      </c>
      <c r="W8816" t="s">
        <v>40338</v>
      </c>
      <c r="X8816" t="s">
        <v>56047</v>
      </c>
    </row>
    <row r="8817" spans="1:24">
      <c r="A8817">
        <f>HYPERLINK("https://www.philgeps.gov.ph/GEPSNONPILOT/Tender/SplashBidNoticeAbstractUI.aspx?menuIndex=3&amp;refID=7059523&amp;Result=3","7059523")</f>
        <v>0</v>
      </c>
      <c r="B8817" t="s">
        <v>1698</v>
      </c>
      <c r="C8817" t="s">
        <v>11799</v>
      </c>
      <c r="D8817" t="s">
        <v>16627</v>
      </c>
      <c r="E8817" t="s">
        <v>24386</v>
      </c>
      <c r="F8817" t="s">
        <v>28669</v>
      </c>
      <c r="G8817" t="s">
        <v>28675</v>
      </c>
      <c r="H8817" t="s">
        <v>28686</v>
      </c>
      <c r="I8817" t="s">
        <v>28689</v>
      </c>
      <c r="J8817" t="s">
        <v>34299</v>
      </c>
      <c r="K8817" t="s">
        <v>37387</v>
      </c>
      <c r="M8817" t="s">
        <v>40347</v>
      </c>
      <c r="N8817" t="s">
        <v>41249</v>
      </c>
      <c r="O8817" t="s">
        <v>41250</v>
      </c>
      <c r="Q8817">
        <v>1</v>
      </c>
      <c r="R8817" t="s">
        <v>41259</v>
      </c>
      <c r="S8817" t="s">
        <v>41571</v>
      </c>
      <c r="T8817" t="s">
        <v>42688</v>
      </c>
      <c r="U8817" t="s">
        <v>50341</v>
      </c>
      <c r="W8817" t="s">
        <v>40347</v>
      </c>
      <c r="X8817" t="s">
        <v>41261</v>
      </c>
    </row>
    <row r="8818" spans="1:24">
      <c r="A8818">
        <f>HYPERLINK("https://www.philgeps.gov.ph/GEPSNONPILOT/Tender/SplashBidNoticeAbstractUI.aspx?menuIndex=3&amp;refID=7059511&amp;Result=3","7059511")</f>
        <v>0</v>
      </c>
      <c r="B8818" t="s">
        <v>1698</v>
      </c>
      <c r="C8818" t="s">
        <v>11800</v>
      </c>
      <c r="D8818" t="s">
        <v>16627</v>
      </c>
      <c r="E8818" t="s">
        <v>24387</v>
      </c>
      <c r="F8818" t="s">
        <v>28669</v>
      </c>
      <c r="G8818" t="s">
        <v>28675</v>
      </c>
      <c r="H8818" t="s">
        <v>28686</v>
      </c>
      <c r="I8818" t="s">
        <v>28689</v>
      </c>
      <c r="J8818" t="s">
        <v>34300</v>
      </c>
      <c r="K8818" t="s">
        <v>37399</v>
      </c>
      <c r="M8818" t="s">
        <v>40347</v>
      </c>
      <c r="N8818" t="s">
        <v>41249</v>
      </c>
      <c r="O8818" t="s">
        <v>41250</v>
      </c>
      <c r="Q8818">
        <v>0</v>
      </c>
      <c r="R8818" t="s">
        <v>41259</v>
      </c>
      <c r="S8818" t="s">
        <v>41572</v>
      </c>
      <c r="T8818" t="s">
        <v>42688</v>
      </c>
      <c r="U8818" t="s">
        <v>50342</v>
      </c>
      <c r="W8818" t="s">
        <v>40347</v>
      </c>
      <c r="X8818" t="s">
        <v>41261</v>
      </c>
    </row>
    <row r="8819" spans="1:24">
      <c r="A8819">
        <f>HYPERLINK("https://www.philgeps.gov.ph/GEPSNONPILOT/Tender/SplashBidNoticeAbstractUI.aspx?menuIndex=3&amp;refID=6842744&amp;Result=3","6842744")</f>
        <v>0</v>
      </c>
      <c r="B8819" t="s">
        <v>2650</v>
      </c>
      <c r="C8819" t="s">
        <v>11801</v>
      </c>
      <c r="D8819" t="s">
        <v>16679</v>
      </c>
      <c r="E8819" t="s">
        <v>24388</v>
      </c>
      <c r="F8819" t="s">
        <v>28669</v>
      </c>
      <c r="G8819" t="s">
        <v>28676</v>
      </c>
      <c r="H8819" t="s">
        <v>9998</v>
      </c>
      <c r="I8819" t="s">
        <v>11142</v>
      </c>
      <c r="J8819" t="s">
        <v>28826</v>
      </c>
      <c r="K8819" t="s">
        <v>37209</v>
      </c>
      <c r="M8819" t="s">
        <v>40351</v>
      </c>
      <c r="N8819" t="s">
        <v>41249</v>
      </c>
      <c r="O8819" t="s">
        <v>41250</v>
      </c>
      <c r="P8819">
        <v>0</v>
      </c>
      <c r="Q8819">
        <v>2</v>
      </c>
      <c r="R8819" t="s">
        <v>41259</v>
      </c>
      <c r="S8819" t="s">
        <v>41562</v>
      </c>
      <c r="T8819" t="s">
        <v>42747</v>
      </c>
      <c r="U8819" t="s">
        <v>50343</v>
      </c>
      <c r="W8819" t="s">
        <v>40351</v>
      </c>
      <c r="X8819" t="s">
        <v>41344</v>
      </c>
    </row>
    <row r="8820" spans="1:24">
      <c r="A8820">
        <f>HYPERLINK("https://www.philgeps.gov.ph/GEPSNONPILOT/Tender/SplashBidNoticeAbstractUI.aspx?menuIndex=3&amp;refID=7059505&amp;Result=3","7059505")</f>
        <v>0</v>
      </c>
      <c r="B8820" t="s">
        <v>65</v>
      </c>
      <c r="C8820" t="s">
        <v>11802</v>
      </c>
      <c r="D8820" t="s">
        <v>16626</v>
      </c>
      <c r="E8820" t="s">
        <v>24389</v>
      </c>
      <c r="F8820" t="s">
        <v>28669</v>
      </c>
      <c r="G8820" t="s">
        <v>28676</v>
      </c>
      <c r="H8820" t="s">
        <v>9998</v>
      </c>
      <c r="I8820" t="s">
        <v>28760</v>
      </c>
      <c r="J8820" t="s">
        <v>29104</v>
      </c>
      <c r="K8820" t="s">
        <v>37227</v>
      </c>
      <c r="M8820" t="s">
        <v>37540</v>
      </c>
      <c r="N8820" t="s">
        <v>41249</v>
      </c>
      <c r="O8820" t="s">
        <v>41250</v>
      </c>
      <c r="P8820">
        <v>0</v>
      </c>
      <c r="Q8820">
        <v>0</v>
      </c>
      <c r="R8820" t="s">
        <v>41259</v>
      </c>
      <c r="S8820" t="s">
        <v>41562</v>
      </c>
      <c r="T8820" t="s">
        <v>42910</v>
      </c>
      <c r="U8820" t="s">
        <v>50344</v>
      </c>
      <c r="W8820" t="s">
        <v>55899</v>
      </c>
      <c r="X8820" t="s">
        <v>41261</v>
      </c>
    </row>
    <row r="8821" spans="1:24">
      <c r="A8821">
        <f>HYPERLINK("https://www.philgeps.gov.ph/GEPSNONPILOT/Tender/SplashBidNoticeAbstractUI.aspx?menuIndex=3&amp;refID=7059481&amp;Result=3","7059481")</f>
        <v>0</v>
      </c>
      <c r="B8821" t="s">
        <v>1698</v>
      </c>
      <c r="C8821" t="s">
        <v>11803</v>
      </c>
      <c r="D8821" t="s">
        <v>16627</v>
      </c>
      <c r="E8821" t="s">
        <v>24390</v>
      </c>
      <c r="F8821" t="s">
        <v>28669</v>
      </c>
      <c r="G8821" t="s">
        <v>28675</v>
      </c>
      <c r="H8821" t="s">
        <v>28686</v>
      </c>
      <c r="I8821" t="s">
        <v>28689</v>
      </c>
      <c r="J8821" t="s">
        <v>34301</v>
      </c>
      <c r="K8821" t="s">
        <v>37318</v>
      </c>
      <c r="M8821" t="s">
        <v>40347</v>
      </c>
      <c r="N8821" t="s">
        <v>41249</v>
      </c>
      <c r="O8821" t="s">
        <v>41250</v>
      </c>
      <c r="Q8821">
        <v>1</v>
      </c>
      <c r="R8821" t="s">
        <v>41259</v>
      </c>
      <c r="S8821" t="s">
        <v>41573</v>
      </c>
      <c r="T8821" t="s">
        <v>42688</v>
      </c>
      <c r="U8821" t="s">
        <v>50345</v>
      </c>
      <c r="W8821" t="s">
        <v>40347</v>
      </c>
      <c r="X8821" t="s">
        <v>41261</v>
      </c>
    </row>
    <row r="8822" spans="1:24">
      <c r="A8822">
        <f>HYPERLINK("https://www.philgeps.gov.ph/GEPSNONPILOT/Tender/SplashBidNoticeAbstractUI.aspx?menuIndex=3&amp;refID=7059119&amp;Result=3","7059119")</f>
        <v>0</v>
      </c>
      <c r="B8822" t="s">
        <v>65</v>
      </c>
      <c r="C8822" t="s">
        <v>11804</v>
      </c>
      <c r="D8822" t="s">
        <v>16626</v>
      </c>
      <c r="E8822" t="s">
        <v>24391</v>
      </c>
      <c r="F8822" t="s">
        <v>28669</v>
      </c>
      <c r="G8822" t="s">
        <v>28676</v>
      </c>
      <c r="H8822" t="s">
        <v>9998</v>
      </c>
      <c r="I8822" t="s">
        <v>6606</v>
      </c>
      <c r="J8822" t="s">
        <v>30274</v>
      </c>
      <c r="K8822" t="s">
        <v>37227</v>
      </c>
      <c r="M8822" t="s">
        <v>37540</v>
      </c>
      <c r="N8822" t="s">
        <v>41249</v>
      </c>
      <c r="O8822" t="s">
        <v>41250</v>
      </c>
      <c r="P8822">
        <v>0</v>
      </c>
      <c r="Q8822">
        <v>0</v>
      </c>
      <c r="R8822" t="s">
        <v>41259</v>
      </c>
      <c r="S8822" t="s">
        <v>41562</v>
      </c>
      <c r="T8822" t="s">
        <v>42910</v>
      </c>
      <c r="U8822" t="s">
        <v>48486</v>
      </c>
      <c r="W8822" t="s">
        <v>55899</v>
      </c>
      <c r="X8822" t="s">
        <v>41261</v>
      </c>
    </row>
    <row r="8823" spans="1:24">
      <c r="A8823">
        <f>HYPERLINK("https://www.philgeps.gov.ph/GEPSNONPILOT/Tender/SplashBidNoticeAbstractUI.aspx?menuIndex=3&amp;refID=7059440&amp;Result=3","7059440")</f>
        <v>0</v>
      </c>
      <c r="B8823" t="s">
        <v>2643</v>
      </c>
      <c r="C8823" t="s">
        <v>11805</v>
      </c>
      <c r="D8823" t="s">
        <v>16622</v>
      </c>
      <c r="E8823" t="s">
        <v>24392</v>
      </c>
      <c r="F8823" t="s">
        <v>28669</v>
      </c>
      <c r="G8823" t="s">
        <v>28675</v>
      </c>
      <c r="H8823" t="s">
        <v>9998</v>
      </c>
      <c r="I8823" t="s">
        <v>28743</v>
      </c>
      <c r="J8823" t="s">
        <v>34302</v>
      </c>
      <c r="K8823" t="s">
        <v>37238</v>
      </c>
      <c r="M8823" t="s">
        <v>40343</v>
      </c>
      <c r="N8823" t="s">
        <v>41249</v>
      </c>
      <c r="O8823" t="s">
        <v>41250</v>
      </c>
      <c r="Q8823">
        <v>0</v>
      </c>
      <c r="R8823" t="s">
        <v>41259</v>
      </c>
      <c r="S8823" t="s">
        <v>41574</v>
      </c>
      <c r="T8823" t="s">
        <v>42760</v>
      </c>
      <c r="U8823" t="s">
        <v>50298</v>
      </c>
      <c r="V8823" t="s">
        <v>50298</v>
      </c>
      <c r="W8823" t="s">
        <v>40343</v>
      </c>
      <c r="X8823" t="s">
        <v>41261</v>
      </c>
    </row>
    <row r="8824" spans="1:24">
      <c r="A8824">
        <f>HYPERLINK("https://www.philgeps.gov.ph/GEPSNONPILOT/Tender/SplashBidNoticeAbstractUI.aspx?menuIndex=3&amp;refID=7059552&amp;Result=3","7059552")</f>
        <v>0</v>
      </c>
      <c r="B8824" t="s">
        <v>1698</v>
      </c>
      <c r="C8824" t="s">
        <v>11806</v>
      </c>
      <c r="D8824" t="s">
        <v>16627</v>
      </c>
      <c r="E8824" t="s">
        <v>24393</v>
      </c>
      <c r="F8824" t="s">
        <v>28669</v>
      </c>
      <c r="G8824" t="s">
        <v>28675</v>
      </c>
      <c r="H8824" t="s">
        <v>28686</v>
      </c>
      <c r="I8824" t="s">
        <v>28689</v>
      </c>
      <c r="J8824" t="s">
        <v>34303</v>
      </c>
      <c r="K8824" t="s">
        <v>37214</v>
      </c>
      <c r="M8824" t="s">
        <v>40347</v>
      </c>
      <c r="N8824" t="s">
        <v>41249</v>
      </c>
      <c r="O8824" t="s">
        <v>41250</v>
      </c>
      <c r="Q8824">
        <v>1</v>
      </c>
      <c r="R8824" t="s">
        <v>41259</v>
      </c>
      <c r="S8824" t="s">
        <v>41575</v>
      </c>
      <c r="T8824" t="s">
        <v>42688</v>
      </c>
      <c r="U8824" t="s">
        <v>50346</v>
      </c>
      <c r="W8824" t="s">
        <v>40347</v>
      </c>
      <c r="X8824" t="s">
        <v>41261</v>
      </c>
    </row>
    <row r="8825" spans="1:24">
      <c r="A8825">
        <f>HYPERLINK("https://www.philgeps.gov.ph/GEPSNONPILOT/Tender/SplashBidNoticeAbstractUI.aspx?menuIndex=3&amp;refID=7059429&amp;Result=3","7059429")</f>
        <v>0</v>
      </c>
      <c r="B8825" t="s">
        <v>2651</v>
      </c>
      <c r="C8825" t="s">
        <v>11807</v>
      </c>
      <c r="D8825" t="s">
        <v>16622</v>
      </c>
      <c r="E8825" t="s">
        <v>21417</v>
      </c>
      <c r="F8825" t="s">
        <v>28669</v>
      </c>
      <c r="G8825" t="s">
        <v>28675</v>
      </c>
      <c r="H8825" t="s">
        <v>28686</v>
      </c>
      <c r="I8825" t="s">
        <v>28689</v>
      </c>
      <c r="J8825" t="s">
        <v>29003</v>
      </c>
      <c r="K8825" t="s">
        <v>37206</v>
      </c>
      <c r="M8825" t="s">
        <v>40352</v>
      </c>
      <c r="N8825" t="s">
        <v>41249</v>
      </c>
      <c r="O8825" t="s">
        <v>41250</v>
      </c>
      <c r="P8825">
        <v>0</v>
      </c>
      <c r="Q8825">
        <v>0</v>
      </c>
      <c r="R8825" t="s">
        <v>41259</v>
      </c>
      <c r="S8825" t="s">
        <v>41562</v>
      </c>
      <c r="T8825" t="s">
        <v>42760</v>
      </c>
      <c r="U8825" t="s">
        <v>50347</v>
      </c>
      <c r="W8825" t="s">
        <v>40352</v>
      </c>
      <c r="X8825" t="s">
        <v>41261</v>
      </c>
    </row>
    <row r="8826" spans="1:24">
      <c r="A8826">
        <f>HYPERLINK("https://www.philgeps.gov.ph/GEPSNONPILOT/Tender/SplashBidNoticeAbstractUI.aspx?menuIndex=3&amp;refID=7059516&amp;Result=3","7059516")</f>
        <v>0</v>
      </c>
      <c r="B8826" t="s">
        <v>1698</v>
      </c>
      <c r="C8826" t="s">
        <v>11808</v>
      </c>
      <c r="D8826" t="s">
        <v>16627</v>
      </c>
      <c r="E8826" t="s">
        <v>24394</v>
      </c>
      <c r="F8826" t="s">
        <v>28669</v>
      </c>
      <c r="G8826" t="s">
        <v>28675</v>
      </c>
      <c r="H8826" t="s">
        <v>28686</v>
      </c>
      <c r="I8826" t="s">
        <v>28689</v>
      </c>
      <c r="J8826" t="s">
        <v>34304</v>
      </c>
      <c r="K8826" t="s">
        <v>37291</v>
      </c>
      <c r="M8826" t="s">
        <v>40347</v>
      </c>
      <c r="N8826" t="s">
        <v>41249</v>
      </c>
      <c r="O8826" t="s">
        <v>41250</v>
      </c>
      <c r="Q8826">
        <v>0</v>
      </c>
      <c r="R8826" t="s">
        <v>41259</v>
      </c>
      <c r="S8826" t="s">
        <v>41571</v>
      </c>
      <c r="T8826" t="s">
        <v>42688</v>
      </c>
      <c r="U8826" t="s">
        <v>50348</v>
      </c>
      <c r="W8826" t="s">
        <v>40347</v>
      </c>
      <c r="X8826" t="s">
        <v>41261</v>
      </c>
    </row>
    <row r="8827" spans="1:24">
      <c r="A8827">
        <f>HYPERLINK("https://www.philgeps.gov.ph/GEPSNONPILOT/Tender/SplashBidNoticeAbstractUI.aspx?menuIndex=3&amp;refID=7059886&amp;Result=3","7059886")</f>
        <v>0</v>
      </c>
      <c r="B8827" t="s">
        <v>346</v>
      </c>
      <c r="C8827" t="s">
        <v>11809</v>
      </c>
      <c r="D8827" t="s">
        <v>16658</v>
      </c>
      <c r="E8827" t="s">
        <v>24395</v>
      </c>
      <c r="F8827" t="s">
        <v>28669</v>
      </c>
      <c r="G8827" t="s">
        <v>28675</v>
      </c>
      <c r="H8827" t="s">
        <v>28686</v>
      </c>
      <c r="I8827" t="s">
        <v>28689</v>
      </c>
      <c r="J8827" t="s">
        <v>34305</v>
      </c>
      <c r="K8827" t="s">
        <v>37212</v>
      </c>
      <c r="M8827" t="s">
        <v>37826</v>
      </c>
      <c r="N8827" t="s">
        <v>41249</v>
      </c>
      <c r="O8827" t="s">
        <v>41250</v>
      </c>
      <c r="P8827">
        <v>0</v>
      </c>
      <c r="Q8827">
        <v>5</v>
      </c>
      <c r="R8827" t="s">
        <v>41259</v>
      </c>
      <c r="S8827" t="s">
        <v>41562</v>
      </c>
      <c r="T8827" t="s">
        <v>42739</v>
      </c>
      <c r="U8827" t="s">
        <v>50349</v>
      </c>
      <c r="W8827" t="s">
        <v>37826</v>
      </c>
      <c r="X8827" t="s">
        <v>41261</v>
      </c>
    </row>
    <row r="8828" spans="1:24">
      <c r="A8828">
        <f>HYPERLINK("https://www.philgeps.gov.ph/GEPSNONPILOT/Tender/SplashBidNoticeAbstractUI.aspx?menuIndex=3&amp;refID=7059876&amp;Result=3","7059876")</f>
        <v>0</v>
      </c>
      <c r="B8828" t="s">
        <v>346</v>
      </c>
      <c r="C8828" t="s">
        <v>11810</v>
      </c>
      <c r="D8828" t="s">
        <v>16658</v>
      </c>
      <c r="E8828" t="s">
        <v>24396</v>
      </c>
      <c r="F8828" t="s">
        <v>28669</v>
      </c>
      <c r="G8828" t="s">
        <v>28675</v>
      </c>
      <c r="H8828" t="s">
        <v>28686</v>
      </c>
      <c r="I8828" t="s">
        <v>28689</v>
      </c>
      <c r="J8828" t="s">
        <v>34306</v>
      </c>
      <c r="K8828" t="s">
        <v>37290</v>
      </c>
      <c r="M8828" t="s">
        <v>37826</v>
      </c>
      <c r="N8828" t="s">
        <v>41249</v>
      </c>
      <c r="O8828" t="s">
        <v>41250</v>
      </c>
      <c r="P8828">
        <v>0</v>
      </c>
      <c r="Q8828">
        <v>4</v>
      </c>
      <c r="R8828" t="s">
        <v>41259</v>
      </c>
      <c r="S8828" t="s">
        <v>41562</v>
      </c>
      <c r="T8828" t="s">
        <v>42739</v>
      </c>
      <c r="U8828" t="s">
        <v>50350</v>
      </c>
      <c r="W8828" t="s">
        <v>37826</v>
      </c>
      <c r="X8828" t="s">
        <v>41261</v>
      </c>
    </row>
    <row r="8829" spans="1:24">
      <c r="A8829">
        <f>HYPERLINK("https://www.philgeps.gov.ph/GEPSNONPILOT/Tender/SplashBidNoticeAbstractUI.aspx?menuIndex=3&amp;refID=7059504&amp;Result=3","7059504")</f>
        <v>0</v>
      </c>
      <c r="B8829" t="s">
        <v>1698</v>
      </c>
      <c r="C8829" t="s">
        <v>11811</v>
      </c>
      <c r="D8829" t="s">
        <v>16627</v>
      </c>
      <c r="E8829" t="s">
        <v>24397</v>
      </c>
      <c r="F8829" t="s">
        <v>28669</v>
      </c>
      <c r="G8829" t="s">
        <v>28675</v>
      </c>
      <c r="H8829" t="s">
        <v>28686</v>
      </c>
      <c r="I8829" t="s">
        <v>28689</v>
      </c>
      <c r="J8829" t="s">
        <v>34307</v>
      </c>
      <c r="K8829" t="s">
        <v>37309</v>
      </c>
      <c r="M8829" t="s">
        <v>40347</v>
      </c>
      <c r="N8829" t="s">
        <v>41249</v>
      </c>
      <c r="O8829" t="s">
        <v>41250</v>
      </c>
      <c r="Q8829">
        <v>1</v>
      </c>
      <c r="R8829" t="s">
        <v>41259</v>
      </c>
      <c r="S8829" t="s">
        <v>41576</v>
      </c>
      <c r="T8829" t="s">
        <v>42688</v>
      </c>
      <c r="U8829" t="s">
        <v>50351</v>
      </c>
      <c r="W8829" t="s">
        <v>40347</v>
      </c>
      <c r="X8829" t="s">
        <v>41261</v>
      </c>
    </row>
    <row r="8830" spans="1:24">
      <c r="A8830">
        <f>HYPERLINK("https://www.philgeps.gov.ph/GEPSNONPILOT/Tender/SplashBidNoticeAbstractUI.aspx?menuIndex=3&amp;refID=7059788&amp;Result=3","7059788")</f>
        <v>0</v>
      </c>
      <c r="B8830" t="s">
        <v>346</v>
      </c>
      <c r="C8830" t="s">
        <v>11812</v>
      </c>
      <c r="D8830" t="s">
        <v>16658</v>
      </c>
      <c r="E8830" t="s">
        <v>24398</v>
      </c>
      <c r="F8830" t="s">
        <v>28669</v>
      </c>
      <c r="G8830" t="s">
        <v>28675</v>
      </c>
      <c r="H8830" t="s">
        <v>28686</v>
      </c>
      <c r="I8830" t="s">
        <v>28689</v>
      </c>
      <c r="J8830" t="s">
        <v>34308</v>
      </c>
      <c r="K8830" t="s">
        <v>37212</v>
      </c>
      <c r="M8830" t="s">
        <v>37826</v>
      </c>
      <c r="N8830" t="s">
        <v>41249</v>
      </c>
      <c r="O8830" t="s">
        <v>41250</v>
      </c>
      <c r="P8830">
        <v>0</v>
      </c>
      <c r="Q8830">
        <v>4</v>
      </c>
      <c r="R8830" t="s">
        <v>41259</v>
      </c>
      <c r="S8830" t="s">
        <v>41562</v>
      </c>
      <c r="T8830" t="s">
        <v>42739</v>
      </c>
      <c r="U8830" t="s">
        <v>50352</v>
      </c>
      <c r="W8830" t="s">
        <v>37826</v>
      </c>
      <c r="X8830" t="s">
        <v>41261</v>
      </c>
    </row>
    <row r="8831" spans="1:24">
      <c r="A8831">
        <f>HYPERLINK("https://www.philgeps.gov.ph/GEPSNONPILOT/Tender/SplashBidNoticeAbstractUI.aspx?menuIndex=3&amp;refID=7059490&amp;Result=3","7059490")</f>
        <v>0</v>
      </c>
      <c r="B8831" t="s">
        <v>1698</v>
      </c>
      <c r="C8831" t="s">
        <v>11813</v>
      </c>
      <c r="D8831" t="s">
        <v>16627</v>
      </c>
      <c r="E8831" t="s">
        <v>24399</v>
      </c>
      <c r="F8831" t="s">
        <v>28669</v>
      </c>
      <c r="G8831" t="s">
        <v>28675</v>
      </c>
      <c r="H8831" t="s">
        <v>28686</v>
      </c>
      <c r="I8831" t="s">
        <v>28689</v>
      </c>
      <c r="J8831" t="s">
        <v>34309</v>
      </c>
      <c r="K8831" t="s">
        <v>37412</v>
      </c>
      <c r="M8831" t="s">
        <v>40347</v>
      </c>
      <c r="N8831" t="s">
        <v>41249</v>
      </c>
      <c r="O8831" t="s">
        <v>41250</v>
      </c>
      <c r="Q8831">
        <v>1</v>
      </c>
      <c r="R8831" t="s">
        <v>41259</v>
      </c>
      <c r="S8831" t="s">
        <v>41577</v>
      </c>
      <c r="T8831" t="s">
        <v>42688</v>
      </c>
      <c r="U8831" t="s">
        <v>50353</v>
      </c>
      <c r="W8831" t="s">
        <v>40347</v>
      </c>
      <c r="X8831" t="s">
        <v>41261</v>
      </c>
    </row>
    <row r="8832" spans="1:24">
      <c r="A8832">
        <f>HYPERLINK("https://www.philgeps.gov.ph/GEPSNONPILOT/Tender/SplashBidNoticeAbstractUI.aspx?menuIndex=3&amp;refID=7059774&amp;Result=3","7059774")</f>
        <v>0</v>
      </c>
      <c r="B8832" t="s">
        <v>1125</v>
      </c>
      <c r="C8832" t="s">
        <v>11814</v>
      </c>
      <c r="D8832" t="s">
        <v>16616</v>
      </c>
      <c r="E8832" t="s">
        <v>24400</v>
      </c>
      <c r="F8832" t="s">
        <v>28669</v>
      </c>
      <c r="G8832" t="s">
        <v>28676</v>
      </c>
      <c r="H8832" t="s">
        <v>9998</v>
      </c>
      <c r="I8832" t="s">
        <v>5213</v>
      </c>
      <c r="J8832" t="s">
        <v>30893</v>
      </c>
      <c r="K8832" t="s">
        <v>37209</v>
      </c>
      <c r="M8832" t="s">
        <v>38659</v>
      </c>
      <c r="N8832" t="s">
        <v>41249</v>
      </c>
      <c r="O8832" t="s">
        <v>41250</v>
      </c>
      <c r="P8832">
        <v>0</v>
      </c>
      <c r="Q8832">
        <v>1</v>
      </c>
      <c r="R8832" t="s">
        <v>41259</v>
      </c>
      <c r="S8832" t="s">
        <v>41562</v>
      </c>
      <c r="T8832" t="s">
        <v>42727</v>
      </c>
      <c r="U8832" t="s">
        <v>45510</v>
      </c>
      <c r="W8832" t="s">
        <v>38659</v>
      </c>
      <c r="X8832" t="s">
        <v>41261</v>
      </c>
    </row>
    <row r="8833" spans="1:24">
      <c r="A8833">
        <f>HYPERLINK("https://www.philgeps.gov.ph/GEPSNONPILOT/Tender/SplashBidNoticeAbstractUI.aspx?menuIndex=3&amp;refID=7059743&amp;Result=3","7059743")</f>
        <v>0</v>
      </c>
      <c r="B8833" t="s">
        <v>1125</v>
      </c>
      <c r="C8833" t="s">
        <v>11815</v>
      </c>
      <c r="D8833" t="s">
        <v>16616</v>
      </c>
      <c r="E8833" t="s">
        <v>24401</v>
      </c>
      <c r="F8833" t="s">
        <v>28669</v>
      </c>
      <c r="G8833" t="s">
        <v>28676</v>
      </c>
      <c r="H8833" t="s">
        <v>9998</v>
      </c>
      <c r="I8833" t="s">
        <v>28729</v>
      </c>
      <c r="J8833" t="s">
        <v>29027</v>
      </c>
      <c r="K8833" t="s">
        <v>37209</v>
      </c>
      <c r="M8833" t="s">
        <v>38659</v>
      </c>
      <c r="N8833" t="s">
        <v>41249</v>
      </c>
      <c r="O8833" t="s">
        <v>41250</v>
      </c>
      <c r="P8833">
        <v>0</v>
      </c>
      <c r="Q8833">
        <v>9</v>
      </c>
      <c r="R8833" t="s">
        <v>41259</v>
      </c>
      <c r="S8833" t="s">
        <v>41562</v>
      </c>
      <c r="T8833" t="s">
        <v>42727</v>
      </c>
      <c r="U8833" t="s">
        <v>45510</v>
      </c>
      <c r="W8833" t="s">
        <v>38659</v>
      </c>
      <c r="X8833" t="s">
        <v>41261</v>
      </c>
    </row>
    <row r="8834" spans="1:24">
      <c r="A8834">
        <f>HYPERLINK("https://www.philgeps.gov.ph/GEPSNONPILOT/Tender/SplashBidNoticeAbstractUI.aspx?menuIndex=3&amp;refID=7059714&amp;Result=3","7059714")</f>
        <v>0</v>
      </c>
      <c r="B8834" t="s">
        <v>629</v>
      </c>
      <c r="C8834" t="s">
        <v>11816</v>
      </c>
      <c r="D8834" t="s">
        <v>16648</v>
      </c>
      <c r="E8834" t="s">
        <v>24402</v>
      </c>
      <c r="F8834" t="s">
        <v>28669</v>
      </c>
      <c r="G8834" t="s">
        <v>28675</v>
      </c>
      <c r="H8834" t="s">
        <v>9998</v>
      </c>
      <c r="I8834" t="s">
        <v>7352</v>
      </c>
      <c r="J8834" t="s">
        <v>34310</v>
      </c>
      <c r="K8834" t="s">
        <v>37209</v>
      </c>
      <c r="M8834" t="s">
        <v>38129</v>
      </c>
      <c r="N8834" t="s">
        <v>41249</v>
      </c>
      <c r="O8834" t="s">
        <v>41250</v>
      </c>
      <c r="P8834">
        <v>0</v>
      </c>
      <c r="Q8834">
        <v>0</v>
      </c>
      <c r="R8834" t="s">
        <v>41259</v>
      </c>
      <c r="S8834" t="s">
        <v>41562</v>
      </c>
      <c r="T8834" t="s">
        <v>42858</v>
      </c>
      <c r="U8834" t="s">
        <v>50354</v>
      </c>
      <c r="W8834" t="s">
        <v>38129</v>
      </c>
      <c r="X8834" t="s">
        <v>41261</v>
      </c>
    </row>
    <row r="8835" spans="1:24">
      <c r="A8835">
        <f>HYPERLINK("https://www.philgeps.gov.ph/GEPSNONPILOT/Tender/SplashBidNoticeAbstractUI.aspx?menuIndex=3&amp;refID=7059658&amp;Result=3","7059658")</f>
        <v>0</v>
      </c>
      <c r="B8835" t="s">
        <v>2652</v>
      </c>
      <c r="C8835" t="s">
        <v>11817</v>
      </c>
      <c r="D8835" t="s">
        <v>16655</v>
      </c>
      <c r="E8835" t="s">
        <v>24403</v>
      </c>
      <c r="F8835" t="s">
        <v>28669</v>
      </c>
      <c r="G8835" t="s">
        <v>28675</v>
      </c>
      <c r="H8835" t="s">
        <v>9998</v>
      </c>
      <c r="I8835" t="s">
        <v>28699</v>
      </c>
      <c r="J8835" t="s">
        <v>29203</v>
      </c>
      <c r="K8835" t="s">
        <v>37205</v>
      </c>
      <c r="M8835" t="s">
        <v>40353</v>
      </c>
      <c r="N8835" t="s">
        <v>41249</v>
      </c>
      <c r="O8835" t="s">
        <v>41250</v>
      </c>
      <c r="P8835">
        <v>0</v>
      </c>
      <c r="Q8835">
        <v>2</v>
      </c>
      <c r="R8835" t="s">
        <v>41259</v>
      </c>
      <c r="S8835" t="s">
        <v>41562</v>
      </c>
      <c r="T8835" t="s">
        <v>43078</v>
      </c>
      <c r="U8835" t="s">
        <v>50355</v>
      </c>
      <c r="W8835" t="s">
        <v>40608</v>
      </c>
      <c r="X8835" t="s">
        <v>41261</v>
      </c>
    </row>
    <row r="8836" spans="1:24">
      <c r="A8836">
        <f>HYPERLINK("https://www.philgeps.gov.ph/GEPSNONPILOT/Tender/SplashBidNoticeAbstractUI.aspx?menuIndex=3&amp;refID=7059653&amp;Result=3","7059653")</f>
        <v>0</v>
      </c>
      <c r="B8836" t="s">
        <v>1125</v>
      </c>
      <c r="C8836" t="s">
        <v>11818</v>
      </c>
      <c r="D8836" t="s">
        <v>16616</v>
      </c>
      <c r="E8836" t="s">
        <v>24404</v>
      </c>
      <c r="F8836" t="s">
        <v>28669</v>
      </c>
      <c r="G8836" t="s">
        <v>28676</v>
      </c>
      <c r="H8836" t="s">
        <v>9998</v>
      </c>
      <c r="I8836" t="s">
        <v>28722</v>
      </c>
      <c r="J8836" t="s">
        <v>29787</v>
      </c>
      <c r="K8836" t="s">
        <v>37209</v>
      </c>
      <c r="M8836" t="s">
        <v>38659</v>
      </c>
      <c r="N8836" t="s">
        <v>41249</v>
      </c>
      <c r="O8836" t="s">
        <v>41250</v>
      </c>
      <c r="P8836">
        <v>0</v>
      </c>
      <c r="Q8836">
        <v>0</v>
      </c>
      <c r="R8836" t="s">
        <v>41259</v>
      </c>
      <c r="S8836" t="s">
        <v>41562</v>
      </c>
      <c r="T8836" t="s">
        <v>42727</v>
      </c>
      <c r="U8836" t="s">
        <v>45510</v>
      </c>
      <c r="W8836" t="s">
        <v>38659</v>
      </c>
      <c r="X8836" t="s">
        <v>41261</v>
      </c>
    </row>
    <row r="8837" spans="1:24">
      <c r="A8837">
        <f>HYPERLINK("https://www.philgeps.gov.ph/GEPSNONPILOT/Tender/SplashBidNoticeAbstractUI.aspx?menuIndex=3&amp;refID=7059650&amp;Result=3","7059650")</f>
        <v>0</v>
      </c>
      <c r="B8837" t="s">
        <v>629</v>
      </c>
      <c r="C8837" t="s">
        <v>11819</v>
      </c>
      <c r="D8837" t="s">
        <v>16648</v>
      </c>
      <c r="E8837" t="s">
        <v>24405</v>
      </c>
      <c r="F8837" t="s">
        <v>28669</v>
      </c>
      <c r="G8837" t="s">
        <v>28675</v>
      </c>
      <c r="H8837" t="s">
        <v>9998</v>
      </c>
      <c r="I8837" t="s">
        <v>7352</v>
      </c>
      <c r="J8837" t="s">
        <v>34311</v>
      </c>
      <c r="K8837" t="s">
        <v>37209</v>
      </c>
      <c r="M8837" t="s">
        <v>38129</v>
      </c>
      <c r="N8837" t="s">
        <v>41249</v>
      </c>
      <c r="O8837" t="s">
        <v>41250</v>
      </c>
      <c r="P8837">
        <v>0</v>
      </c>
      <c r="Q8837">
        <v>0</v>
      </c>
      <c r="R8837" t="s">
        <v>41259</v>
      </c>
      <c r="S8837" t="s">
        <v>41562</v>
      </c>
      <c r="T8837" t="s">
        <v>42858</v>
      </c>
      <c r="U8837" t="s">
        <v>50356</v>
      </c>
      <c r="W8837" t="s">
        <v>38129</v>
      </c>
      <c r="X8837" t="s">
        <v>41261</v>
      </c>
    </row>
    <row r="8838" spans="1:24">
      <c r="A8838">
        <f>HYPERLINK("https://www.philgeps.gov.ph/GEPSNONPILOT/Tender/SplashBidNoticeAbstractUI.aspx?menuIndex=3&amp;refID=7059804&amp;Result=3","7059804")</f>
        <v>0</v>
      </c>
      <c r="B8838" t="s">
        <v>1125</v>
      </c>
      <c r="C8838" t="s">
        <v>11820</v>
      </c>
      <c r="D8838" t="s">
        <v>16616</v>
      </c>
      <c r="E8838" t="s">
        <v>24406</v>
      </c>
      <c r="F8838" t="s">
        <v>28669</v>
      </c>
      <c r="G8838" t="s">
        <v>28676</v>
      </c>
      <c r="H8838" t="s">
        <v>9998</v>
      </c>
      <c r="I8838" t="s">
        <v>28688</v>
      </c>
      <c r="J8838" t="s">
        <v>34312</v>
      </c>
      <c r="K8838" t="s">
        <v>37209</v>
      </c>
      <c r="M8838" t="s">
        <v>38659</v>
      </c>
      <c r="N8838" t="s">
        <v>41249</v>
      </c>
      <c r="O8838" t="s">
        <v>41250</v>
      </c>
      <c r="P8838">
        <v>0</v>
      </c>
      <c r="Q8838">
        <v>4</v>
      </c>
      <c r="R8838" t="s">
        <v>41259</v>
      </c>
      <c r="S8838" t="s">
        <v>41562</v>
      </c>
      <c r="T8838" t="s">
        <v>42727</v>
      </c>
      <c r="U8838" t="s">
        <v>45510</v>
      </c>
      <c r="W8838" t="s">
        <v>38659</v>
      </c>
      <c r="X8838" t="s">
        <v>41261</v>
      </c>
    </row>
    <row r="8839" spans="1:24">
      <c r="A8839">
        <f>HYPERLINK("https://www.philgeps.gov.ph/GEPSNONPILOT/Tender/SplashBidNoticeAbstractUI.aspx?menuIndex=3&amp;refID=7059639&amp;Result=3","7059639")</f>
        <v>0</v>
      </c>
      <c r="B8839" t="s">
        <v>2167</v>
      </c>
      <c r="C8839" t="s">
        <v>11821</v>
      </c>
      <c r="D8839" t="s">
        <v>16627</v>
      </c>
      <c r="E8839" t="s">
        <v>24407</v>
      </c>
      <c r="F8839" t="s">
        <v>28669</v>
      </c>
      <c r="G8839" t="s">
        <v>28675</v>
      </c>
      <c r="H8839" t="s">
        <v>9998</v>
      </c>
      <c r="I8839" t="s">
        <v>11593</v>
      </c>
      <c r="J8839" t="s">
        <v>32096</v>
      </c>
      <c r="K8839" t="s">
        <v>37206</v>
      </c>
      <c r="M8839" t="s">
        <v>40354</v>
      </c>
      <c r="N8839" t="s">
        <v>41249</v>
      </c>
      <c r="O8839" t="s">
        <v>41250</v>
      </c>
      <c r="Q8839">
        <v>6</v>
      </c>
      <c r="R8839" t="s">
        <v>41259</v>
      </c>
      <c r="S8839" t="s">
        <v>41578</v>
      </c>
      <c r="T8839" t="s">
        <v>42716</v>
      </c>
      <c r="U8839" t="s">
        <v>50357</v>
      </c>
      <c r="W8839" t="s">
        <v>56006</v>
      </c>
      <c r="X8839" t="s">
        <v>41261</v>
      </c>
    </row>
    <row r="8840" spans="1:24">
      <c r="A8840">
        <f>HYPERLINK("https://www.philgeps.gov.ph/GEPSNONPILOT/Tender/SplashBidNoticeAbstractUI.aspx?menuIndex=3&amp;refID=7059627&amp;Result=3","7059627")</f>
        <v>0</v>
      </c>
      <c r="B8840" t="s">
        <v>1698</v>
      </c>
      <c r="C8840" t="s">
        <v>11822</v>
      </c>
      <c r="D8840" t="s">
        <v>16627</v>
      </c>
      <c r="E8840" t="s">
        <v>24408</v>
      </c>
      <c r="F8840" t="s">
        <v>28669</v>
      </c>
      <c r="G8840" t="s">
        <v>28675</v>
      </c>
      <c r="H8840" t="s">
        <v>28686</v>
      </c>
      <c r="I8840" t="s">
        <v>28689</v>
      </c>
      <c r="J8840" t="s">
        <v>28836</v>
      </c>
      <c r="K8840" t="s">
        <v>37312</v>
      </c>
      <c r="M8840" t="s">
        <v>40347</v>
      </c>
      <c r="N8840" t="s">
        <v>41249</v>
      </c>
      <c r="O8840" t="s">
        <v>41250</v>
      </c>
      <c r="Q8840">
        <v>1</v>
      </c>
      <c r="R8840" t="s">
        <v>41259</v>
      </c>
      <c r="S8840" t="s">
        <v>41579</v>
      </c>
      <c r="T8840" t="s">
        <v>42688</v>
      </c>
      <c r="U8840" t="s">
        <v>50358</v>
      </c>
      <c r="W8840" t="s">
        <v>40347</v>
      </c>
      <c r="X8840" t="s">
        <v>41261</v>
      </c>
    </row>
    <row r="8841" spans="1:24">
      <c r="A8841">
        <f>HYPERLINK("https://www.philgeps.gov.ph/GEPSNONPILOT/Tender/SplashBidNoticeAbstractUI.aspx?menuIndex=3&amp;refID=7059598&amp;Result=3","7059598")</f>
        <v>0</v>
      </c>
      <c r="B8841" t="s">
        <v>2167</v>
      </c>
      <c r="C8841" t="s">
        <v>11823</v>
      </c>
      <c r="D8841" t="s">
        <v>16627</v>
      </c>
      <c r="E8841" t="s">
        <v>24409</v>
      </c>
      <c r="F8841" t="s">
        <v>28669</v>
      </c>
      <c r="G8841" t="s">
        <v>28675</v>
      </c>
      <c r="H8841" t="s">
        <v>9998</v>
      </c>
      <c r="I8841" t="s">
        <v>11593</v>
      </c>
      <c r="J8841" t="s">
        <v>31020</v>
      </c>
      <c r="K8841" t="s">
        <v>37206</v>
      </c>
      <c r="M8841" t="s">
        <v>40354</v>
      </c>
      <c r="N8841" t="s">
        <v>41249</v>
      </c>
      <c r="O8841" t="s">
        <v>41250</v>
      </c>
      <c r="Q8841">
        <v>4</v>
      </c>
      <c r="R8841" t="s">
        <v>41259</v>
      </c>
      <c r="S8841" t="s">
        <v>41580</v>
      </c>
      <c r="T8841" t="s">
        <v>42716</v>
      </c>
      <c r="U8841" t="s">
        <v>50359</v>
      </c>
      <c r="W8841" t="s">
        <v>56006</v>
      </c>
      <c r="X8841" t="s">
        <v>41261</v>
      </c>
    </row>
    <row r="8842" spans="1:24">
      <c r="A8842">
        <f>HYPERLINK("https://www.philgeps.gov.ph/GEPSNONPILOT/Tender/SplashBidNoticeAbstractUI.aspx?menuIndex=3&amp;refID=7059672&amp;Result=3","7059672")</f>
        <v>0</v>
      </c>
      <c r="B8842" t="s">
        <v>629</v>
      </c>
      <c r="C8842" t="s">
        <v>11824</v>
      </c>
      <c r="D8842" t="s">
        <v>16648</v>
      </c>
      <c r="E8842" t="s">
        <v>24410</v>
      </c>
      <c r="F8842" t="s">
        <v>28669</v>
      </c>
      <c r="G8842" t="s">
        <v>28675</v>
      </c>
      <c r="H8842" t="s">
        <v>9998</v>
      </c>
      <c r="I8842" t="s">
        <v>7352</v>
      </c>
      <c r="J8842" t="s">
        <v>34313</v>
      </c>
      <c r="K8842" t="s">
        <v>37209</v>
      </c>
      <c r="M8842" t="s">
        <v>38129</v>
      </c>
      <c r="N8842" t="s">
        <v>41249</v>
      </c>
      <c r="O8842" t="s">
        <v>41250</v>
      </c>
      <c r="P8842">
        <v>0</v>
      </c>
      <c r="Q8842">
        <v>0</v>
      </c>
      <c r="R8842" t="s">
        <v>41259</v>
      </c>
      <c r="S8842" t="s">
        <v>41562</v>
      </c>
      <c r="T8842" t="s">
        <v>42858</v>
      </c>
      <c r="U8842" t="s">
        <v>50360</v>
      </c>
      <c r="W8842" t="s">
        <v>38129</v>
      </c>
      <c r="X8842" t="s">
        <v>41261</v>
      </c>
    </row>
    <row r="8843" spans="1:24">
      <c r="A8843">
        <f>HYPERLINK("https://www.philgeps.gov.ph/GEPSNONPILOT/Tender/SplashBidNoticeAbstractUI.aspx?menuIndex=3&amp;refID=7059915&amp;Result=3","7059915")</f>
        <v>0</v>
      </c>
      <c r="B8843" t="s">
        <v>346</v>
      </c>
      <c r="C8843" t="s">
        <v>11825</v>
      </c>
      <c r="D8843" t="s">
        <v>16658</v>
      </c>
      <c r="E8843" t="s">
        <v>24411</v>
      </c>
      <c r="F8843" t="s">
        <v>28669</v>
      </c>
      <c r="G8843" t="s">
        <v>28675</v>
      </c>
      <c r="H8843" t="s">
        <v>28686</v>
      </c>
      <c r="I8843" t="s">
        <v>28689</v>
      </c>
      <c r="J8843" t="s">
        <v>34306</v>
      </c>
      <c r="K8843" t="s">
        <v>37290</v>
      </c>
      <c r="M8843" t="s">
        <v>37826</v>
      </c>
      <c r="N8843" t="s">
        <v>41249</v>
      </c>
      <c r="O8843" t="s">
        <v>41250</v>
      </c>
      <c r="P8843">
        <v>0</v>
      </c>
      <c r="Q8843">
        <v>2</v>
      </c>
      <c r="R8843" t="s">
        <v>41259</v>
      </c>
      <c r="S8843" t="s">
        <v>41562</v>
      </c>
      <c r="T8843" t="s">
        <v>42739</v>
      </c>
      <c r="U8843" t="s">
        <v>50361</v>
      </c>
      <c r="W8843" t="s">
        <v>37826</v>
      </c>
      <c r="X8843" t="s">
        <v>41261</v>
      </c>
    </row>
    <row r="8844" spans="1:24">
      <c r="A8844">
        <f>HYPERLINK("https://www.philgeps.gov.ph/GEPSNONPILOT/Tender/SplashBidNoticeAbstractUI.aspx?menuIndex=3&amp;refID=7061179&amp;Result=3","7061179")</f>
        <v>0</v>
      </c>
      <c r="B8844" t="s">
        <v>1379</v>
      </c>
      <c r="C8844" t="s">
        <v>11826</v>
      </c>
      <c r="D8844" t="s">
        <v>16648</v>
      </c>
      <c r="E8844" t="s">
        <v>24412</v>
      </c>
      <c r="F8844" t="s">
        <v>28669</v>
      </c>
      <c r="G8844" t="s">
        <v>28675</v>
      </c>
      <c r="H8844" t="s">
        <v>28686</v>
      </c>
      <c r="I8844" t="s">
        <v>28689</v>
      </c>
      <c r="J8844" t="s">
        <v>34314</v>
      </c>
      <c r="K8844" t="s">
        <v>37213</v>
      </c>
      <c r="M8844" t="s">
        <v>38938</v>
      </c>
      <c r="N8844" t="s">
        <v>41249</v>
      </c>
      <c r="O8844" t="s">
        <v>41250</v>
      </c>
      <c r="P8844">
        <v>0</v>
      </c>
      <c r="Q8844">
        <v>0</v>
      </c>
      <c r="R8844" t="s">
        <v>41259</v>
      </c>
      <c r="S8844" t="s">
        <v>41562</v>
      </c>
      <c r="T8844" t="s">
        <v>42672</v>
      </c>
      <c r="U8844" t="s">
        <v>50362</v>
      </c>
      <c r="W8844" t="s">
        <v>38938</v>
      </c>
      <c r="X8844" t="s">
        <v>41261</v>
      </c>
    </row>
    <row r="8845" spans="1:24">
      <c r="A8845">
        <f>HYPERLINK("https://www.philgeps.gov.ph/GEPSNONPILOT/Tender/SplashBidNoticeAbstractUI.aspx?menuIndex=3&amp;refID=7059640&amp;Result=3","7059640")</f>
        <v>0</v>
      </c>
      <c r="B8845" t="s">
        <v>1698</v>
      </c>
      <c r="C8845" t="s">
        <v>11827</v>
      </c>
      <c r="D8845" t="s">
        <v>16627</v>
      </c>
      <c r="E8845" t="s">
        <v>24413</v>
      </c>
      <c r="F8845" t="s">
        <v>28669</v>
      </c>
      <c r="G8845" t="s">
        <v>28675</v>
      </c>
      <c r="H8845" t="s">
        <v>28686</v>
      </c>
      <c r="I8845" t="s">
        <v>28689</v>
      </c>
      <c r="J8845" t="s">
        <v>31648</v>
      </c>
      <c r="K8845" t="s">
        <v>37407</v>
      </c>
      <c r="M8845" t="s">
        <v>40347</v>
      </c>
      <c r="N8845" t="s">
        <v>41249</v>
      </c>
      <c r="O8845" t="s">
        <v>41250</v>
      </c>
      <c r="Q8845">
        <v>3</v>
      </c>
      <c r="R8845" t="s">
        <v>41259</v>
      </c>
      <c r="S8845" t="s">
        <v>41581</v>
      </c>
      <c r="T8845" t="s">
        <v>42688</v>
      </c>
      <c r="U8845" t="s">
        <v>50363</v>
      </c>
      <c r="W8845" t="s">
        <v>40347</v>
      </c>
      <c r="X8845" t="s">
        <v>41261</v>
      </c>
    </row>
    <row r="8846" spans="1:24">
      <c r="A8846">
        <f>HYPERLINK("https://www.philgeps.gov.ph/GEPSNONPILOT/Tender/SplashBidNoticeAbstractUI.aspx?menuIndex=3&amp;refID=7059543&amp;Result=3","7059543")</f>
        <v>0</v>
      </c>
      <c r="B8846" t="s">
        <v>1698</v>
      </c>
      <c r="C8846" t="s">
        <v>11828</v>
      </c>
      <c r="D8846" t="s">
        <v>16627</v>
      </c>
      <c r="E8846" t="s">
        <v>24414</v>
      </c>
      <c r="F8846" t="s">
        <v>28669</v>
      </c>
      <c r="G8846" t="s">
        <v>28675</v>
      </c>
      <c r="H8846" t="s">
        <v>28686</v>
      </c>
      <c r="I8846" t="s">
        <v>28689</v>
      </c>
      <c r="J8846" t="s">
        <v>34307</v>
      </c>
      <c r="K8846" t="s">
        <v>37309</v>
      </c>
      <c r="M8846" t="s">
        <v>40347</v>
      </c>
      <c r="N8846" t="s">
        <v>41249</v>
      </c>
      <c r="O8846" t="s">
        <v>41250</v>
      </c>
      <c r="Q8846">
        <v>0</v>
      </c>
      <c r="R8846" t="s">
        <v>41259</v>
      </c>
      <c r="S8846" t="s">
        <v>41582</v>
      </c>
      <c r="T8846" t="s">
        <v>42688</v>
      </c>
      <c r="U8846" t="s">
        <v>50351</v>
      </c>
      <c r="W8846" t="s">
        <v>40347</v>
      </c>
      <c r="X8846" t="s">
        <v>41261</v>
      </c>
    </row>
    <row r="8847" spans="1:24">
      <c r="A8847">
        <f>HYPERLINK("https://www.philgeps.gov.ph/GEPSNONPILOT/Tender/SplashBidNoticeAbstractUI.aspx?menuIndex=3&amp;refID=7059633&amp;Result=3","7059633")</f>
        <v>0</v>
      </c>
      <c r="B8847" t="s">
        <v>1698</v>
      </c>
      <c r="C8847" t="s">
        <v>11829</v>
      </c>
      <c r="D8847" t="s">
        <v>16627</v>
      </c>
      <c r="E8847" t="s">
        <v>24415</v>
      </c>
      <c r="F8847" t="s">
        <v>28669</v>
      </c>
      <c r="G8847" t="s">
        <v>28675</v>
      </c>
      <c r="H8847" t="s">
        <v>28686</v>
      </c>
      <c r="I8847" t="s">
        <v>28689</v>
      </c>
      <c r="J8847" t="s">
        <v>29484</v>
      </c>
      <c r="K8847" t="s">
        <v>37346</v>
      </c>
      <c r="M8847" t="s">
        <v>40347</v>
      </c>
      <c r="N8847" t="s">
        <v>41249</v>
      </c>
      <c r="O8847" t="s">
        <v>41250</v>
      </c>
      <c r="Q8847">
        <v>1</v>
      </c>
      <c r="R8847" t="s">
        <v>41259</v>
      </c>
      <c r="S8847" t="s">
        <v>41581</v>
      </c>
      <c r="T8847" t="s">
        <v>42688</v>
      </c>
      <c r="U8847" t="s">
        <v>50364</v>
      </c>
      <c r="W8847" t="s">
        <v>40347</v>
      </c>
      <c r="X8847" t="s">
        <v>41261</v>
      </c>
    </row>
    <row r="8848" spans="1:24">
      <c r="A8848">
        <f>HYPERLINK("https://www.philgeps.gov.ph/GEPSNONPILOT/Tender/SplashBidNoticeAbstractUI.aspx?menuIndex=3&amp;refID=7060740&amp;Result=3","7060740")</f>
        <v>0</v>
      </c>
      <c r="B8848" t="s">
        <v>906</v>
      </c>
      <c r="C8848" t="s">
        <v>11830</v>
      </c>
      <c r="D8848" t="s">
        <v>16683</v>
      </c>
      <c r="E8848" t="s">
        <v>24416</v>
      </c>
      <c r="F8848" t="s">
        <v>28669</v>
      </c>
      <c r="G8848" t="s">
        <v>28675</v>
      </c>
      <c r="H8848" t="s">
        <v>9998</v>
      </c>
      <c r="I8848" t="s">
        <v>28687</v>
      </c>
      <c r="J8848" t="s">
        <v>34315</v>
      </c>
      <c r="K8848" t="s">
        <v>37210</v>
      </c>
      <c r="M8848" t="s">
        <v>38428</v>
      </c>
      <c r="N8848" t="s">
        <v>41249</v>
      </c>
      <c r="O8848" t="s">
        <v>41250</v>
      </c>
      <c r="P8848">
        <v>0</v>
      </c>
      <c r="Q8848">
        <v>4</v>
      </c>
      <c r="R8848" t="s">
        <v>41259</v>
      </c>
      <c r="S8848" t="s">
        <v>41562</v>
      </c>
      <c r="T8848" t="s">
        <v>42881</v>
      </c>
      <c r="U8848" t="s">
        <v>50365</v>
      </c>
      <c r="V8848" t="s">
        <v>55240</v>
      </c>
      <c r="W8848" t="s">
        <v>38428</v>
      </c>
      <c r="X8848" t="s">
        <v>41261</v>
      </c>
    </row>
    <row r="8849" spans="1:24">
      <c r="A8849">
        <f>HYPERLINK("https://www.philgeps.gov.ph/GEPSNONPILOT/Tender/SplashBidNoticeAbstractUI.aspx?menuIndex=3&amp;refID=7059912&amp;Result=3","7059912")</f>
        <v>0</v>
      </c>
      <c r="B8849" t="s">
        <v>346</v>
      </c>
      <c r="C8849" t="s">
        <v>11831</v>
      </c>
      <c r="D8849" t="s">
        <v>16658</v>
      </c>
      <c r="E8849" t="s">
        <v>24417</v>
      </c>
      <c r="F8849" t="s">
        <v>28669</v>
      </c>
      <c r="G8849" t="s">
        <v>28675</v>
      </c>
      <c r="H8849" t="s">
        <v>28686</v>
      </c>
      <c r="I8849" t="s">
        <v>28689</v>
      </c>
      <c r="J8849" t="s">
        <v>34305</v>
      </c>
      <c r="K8849" t="s">
        <v>37212</v>
      </c>
      <c r="M8849" t="s">
        <v>37826</v>
      </c>
      <c r="N8849" t="s">
        <v>41249</v>
      </c>
      <c r="O8849" t="s">
        <v>41250</v>
      </c>
      <c r="P8849">
        <v>0</v>
      </c>
      <c r="Q8849">
        <v>5</v>
      </c>
      <c r="R8849" t="s">
        <v>41259</v>
      </c>
      <c r="S8849" t="s">
        <v>41562</v>
      </c>
      <c r="T8849" t="s">
        <v>42739</v>
      </c>
      <c r="U8849" t="s">
        <v>50366</v>
      </c>
      <c r="W8849" t="s">
        <v>37826</v>
      </c>
      <c r="X8849" t="s">
        <v>41261</v>
      </c>
    </row>
    <row r="8850" spans="1:24">
      <c r="A8850">
        <f>HYPERLINK("https://www.philgeps.gov.ph/GEPSNONPILOT/Tender/SplashBidNoticeAbstractUI.aspx?menuIndex=3&amp;refID=7059690&amp;Result=3","7059690")</f>
        <v>0</v>
      </c>
      <c r="B8850" t="s">
        <v>629</v>
      </c>
      <c r="C8850" t="s">
        <v>11832</v>
      </c>
      <c r="D8850" t="s">
        <v>16648</v>
      </c>
      <c r="E8850" t="s">
        <v>24418</v>
      </c>
      <c r="F8850" t="s">
        <v>28669</v>
      </c>
      <c r="G8850" t="s">
        <v>28675</v>
      </c>
      <c r="H8850" t="s">
        <v>9998</v>
      </c>
      <c r="I8850" t="s">
        <v>7352</v>
      </c>
      <c r="J8850" t="s">
        <v>34316</v>
      </c>
      <c r="K8850" t="s">
        <v>37209</v>
      </c>
      <c r="M8850" t="s">
        <v>38129</v>
      </c>
      <c r="N8850" t="s">
        <v>41249</v>
      </c>
      <c r="O8850" t="s">
        <v>41250</v>
      </c>
      <c r="P8850">
        <v>0</v>
      </c>
      <c r="Q8850">
        <v>0</v>
      </c>
      <c r="R8850" t="s">
        <v>41259</v>
      </c>
      <c r="S8850" t="s">
        <v>41562</v>
      </c>
      <c r="T8850" t="s">
        <v>42858</v>
      </c>
      <c r="U8850" t="s">
        <v>50367</v>
      </c>
      <c r="W8850" t="s">
        <v>38129</v>
      </c>
      <c r="X8850" t="s">
        <v>41261</v>
      </c>
    </row>
    <row r="8851" spans="1:24">
      <c r="A8851">
        <f>HYPERLINK("https://www.philgeps.gov.ph/GEPSNONPILOT/Tender/SplashBidNoticeAbstractUI.aspx?menuIndex=3&amp;refID=7060597&amp;Result=3","7060597")</f>
        <v>0</v>
      </c>
      <c r="B8851" t="s">
        <v>157</v>
      </c>
      <c r="C8851" t="s">
        <v>11833</v>
      </c>
      <c r="D8851" t="s">
        <v>16664</v>
      </c>
      <c r="E8851" t="s">
        <v>24419</v>
      </c>
      <c r="F8851" t="s">
        <v>28669</v>
      </c>
      <c r="G8851" t="s">
        <v>28675</v>
      </c>
      <c r="H8851" t="s">
        <v>28686</v>
      </c>
      <c r="I8851" t="s">
        <v>28752</v>
      </c>
      <c r="J8851" t="s">
        <v>34317</v>
      </c>
      <c r="K8851" t="s">
        <v>37215</v>
      </c>
      <c r="M8851" t="s">
        <v>37634</v>
      </c>
      <c r="N8851" t="s">
        <v>41249</v>
      </c>
      <c r="O8851" t="s">
        <v>41250</v>
      </c>
      <c r="P8851">
        <v>0</v>
      </c>
      <c r="Q8851">
        <v>2</v>
      </c>
      <c r="R8851" t="s">
        <v>41259</v>
      </c>
      <c r="S8851" t="s">
        <v>41562</v>
      </c>
      <c r="T8851" t="s">
        <v>42786</v>
      </c>
      <c r="U8851" t="s">
        <v>50368</v>
      </c>
      <c r="W8851" t="s">
        <v>37634</v>
      </c>
      <c r="X8851" t="s">
        <v>41261</v>
      </c>
    </row>
    <row r="8852" spans="1:24">
      <c r="A8852">
        <f>HYPERLINK("https://www.philgeps.gov.ph/GEPSNONPILOT/Tender/SplashBidNoticeAbstractUI.aspx?menuIndex=3&amp;refID=7060516&amp;Result=3","7060516")</f>
        <v>0</v>
      </c>
      <c r="B8852" t="s">
        <v>2653</v>
      </c>
      <c r="C8852" t="s">
        <v>11834</v>
      </c>
      <c r="D8852" t="s">
        <v>16615</v>
      </c>
      <c r="E8852" t="s">
        <v>24420</v>
      </c>
      <c r="F8852" t="s">
        <v>28669</v>
      </c>
      <c r="G8852" t="s">
        <v>28675</v>
      </c>
      <c r="H8852" t="s">
        <v>28686</v>
      </c>
      <c r="I8852" t="s">
        <v>28689</v>
      </c>
      <c r="J8852" t="s">
        <v>34318</v>
      </c>
      <c r="K8852" t="s">
        <v>37215</v>
      </c>
      <c r="L8852" t="s">
        <v>2653</v>
      </c>
      <c r="M8852" t="s">
        <v>40355</v>
      </c>
      <c r="N8852" t="s">
        <v>41249</v>
      </c>
      <c r="O8852" t="s">
        <v>41250</v>
      </c>
      <c r="P8852">
        <v>0</v>
      </c>
      <c r="Q8852">
        <v>23</v>
      </c>
      <c r="R8852" t="s">
        <v>41259</v>
      </c>
      <c r="S8852" t="s">
        <v>41562</v>
      </c>
      <c r="T8852" t="s">
        <v>42739</v>
      </c>
      <c r="U8852" t="s">
        <v>50369</v>
      </c>
      <c r="W8852" t="s">
        <v>40355</v>
      </c>
      <c r="X8852" t="s">
        <v>41261</v>
      </c>
    </row>
    <row r="8853" spans="1:24">
      <c r="A8853">
        <f>HYPERLINK("https://www.philgeps.gov.ph/GEPSNONPILOT/Tender/SplashBidNoticeAbstractUI.aspx?menuIndex=3&amp;refID=7061069&amp;Result=3","7061069")</f>
        <v>0</v>
      </c>
      <c r="B8853" t="s">
        <v>2325</v>
      </c>
      <c r="C8853" t="s">
        <v>11835</v>
      </c>
      <c r="D8853" t="s">
        <v>16646</v>
      </c>
      <c r="E8853" t="s">
        <v>24421</v>
      </c>
      <c r="F8853" t="s">
        <v>28669</v>
      </c>
      <c r="G8853" t="s">
        <v>28675</v>
      </c>
      <c r="H8853" t="s">
        <v>9998</v>
      </c>
      <c r="I8853" t="s">
        <v>28727</v>
      </c>
      <c r="J8853" t="s">
        <v>34319</v>
      </c>
      <c r="K8853" t="s">
        <v>37212</v>
      </c>
      <c r="M8853" t="s">
        <v>39986</v>
      </c>
      <c r="N8853" t="s">
        <v>41249</v>
      </c>
      <c r="O8853" t="s">
        <v>41250</v>
      </c>
      <c r="P8853">
        <v>0</v>
      </c>
      <c r="Q8853">
        <v>8</v>
      </c>
      <c r="R8853" t="s">
        <v>41259</v>
      </c>
      <c r="S8853" t="s">
        <v>41562</v>
      </c>
      <c r="T8853" t="s">
        <v>42911</v>
      </c>
      <c r="U8853" t="s">
        <v>50370</v>
      </c>
      <c r="W8853" t="s">
        <v>39986</v>
      </c>
      <c r="X8853" t="s">
        <v>41261</v>
      </c>
    </row>
    <row r="8854" spans="1:24">
      <c r="A8854">
        <f>HYPERLINK("https://www.philgeps.gov.ph/GEPSNONPILOT/Tender/SplashBidNoticeAbstractUI.aspx?menuIndex=3&amp;refID=7061021&amp;Result=3","7061021")</f>
        <v>0</v>
      </c>
      <c r="B8854" t="s">
        <v>2081</v>
      </c>
      <c r="C8854" t="s">
        <v>11836</v>
      </c>
      <c r="D8854" t="s">
        <v>16665</v>
      </c>
      <c r="E8854" t="s">
        <v>24422</v>
      </c>
      <c r="F8854" t="s">
        <v>28669</v>
      </c>
      <c r="G8854" t="s">
        <v>28675</v>
      </c>
      <c r="H8854" t="s">
        <v>9998</v>
      </c>
      <c r="I8854" t="s">
        <v>7352</v>
      </c>
      <c r="J8854" t="s">
        <v>34320</v>
      </c>
      <c r="K8854" t="s">
        <v>37227</v>
      </c>
      <c r="M8854" t="s">
        <v>39722</v>
      </c>
      <c r="N8854" t="s">
        <v>41249</v>
      </c>
      <c r="O8854" t="s">
        <v>41250</v>
      </c>
      <c r="P8854">
        <v>0</v>
      </c>
      <c r="Q8854">
        <v>0</v>
      </c>
      <c r="R8854" t="s">
        <v>41259</v>
      </c>
      <c r="S8854" t="s">
        <v>41562</v>
      </c>
      <c r="T8854" t="s">
        <v>42767</v>
      </c>
      <c r="U8854" t="s">
        <v>50371</v>
      </c>
      <c r="W8854" t="s">
        <v>39722</v>
      </c>
      <c r="X8854" t="s">
        <v>41261</v>
      </c>
    </row>
    <row r="8855" spans="1:24">
      <c r="A8855">
        <f>HYPERLINK("https://www.philgeps.gov.ph/GEPSNONPILOT/Tender/SplashBidNoticeAbstractUI.aspx?menuIndex=3&amp;refID=7060452&amp;Result=3","7060452")</f>
        <v>0</v>
      </c>
      <c r="B8855" t="s">
        <v>2653</v>
      </c>
      <c r="C8855" t="s">
        <v>11837</v>
      </c>
      <c r="D8855" t="s">
        <v>16615</v>
      </c>
      <c r="E8855" t="s">
        <v>24423</v>
      </c>
      <c r="F8855" t="s">
        <v>28669</v>
      </c>
      <c r="G8855" t="s">
        <v>28675</v>
      </c>
      <c r="H8855" t="s">
        <v>28686</v>
      </c>
      <c r="I8855" t="s">
        <v>28689</v>
      </c>
      <c r="J8855" t="s">
        <v>34321</v>
      </c>
      <c r="K8855" t="s">
        <v>37215</v>
      </c>
      <c r="L8855" t="s">
        <v>2653</v>
      </c>
      <c r="M8855" t="s">
        <v>40355</v>
      </c>
      <c r="N8855" t="s">
        <v>41249</v>
      </c>
      <c r="O8855" t="s">
        <v>41250</v>
      </c>
      <c r="P8855">
        <v>0</v>
      </c>
      <c r="Q8855">
        <v>20</v>
      </c>
      <c r="R8855" t="s">
        <v>41259</v>
      </c>
      <c r="S8855" t="s">
        <v>41562</v>
      </c>
      <c r="T8855" t="s">
        <v>42739</v>
      </c>
      <c r="U8855" t="s">
        <v>50369</v>
      </c>
      <c r="V8855" t="s">
        <v>55241</v>
      </c>
      <c r="W8855" t="s">
        <v>40355</v>
      </c>
      <c r="X8855" t="s">
        <v>41261</v>
      </c>
    </row>
    <row r="8856" spans="1:24">
      <c r="A8856">
        <f>HYPERLINK("https://www.philgeps.gov.ph/GEPSNONPILOT/Tender/SplashBidNoticeAbstractUI.aspx?menuIndex=3&amp;refID=7060288&amp;Result=3","7060288")</f>
        <v>0</v>
      </c>
      <c r="B8856" t="s">
        <v>1218</v>
      </c>
      <c r="C8856" t="s">
        <v>11838</v>
      </c>
      <c r="D8856" t="s">
        <v>16615</v>
      </c>
      <c r="E8856" t="s">
        <v>24424</v>
      </c>
      <c r="F8856" t="s">
        <v>28669</v>
      </c>
      <c r="G8856" t="s">
        <v>28675</v>
      </c>
      <c r="H8856" t="s">
        <v>9998</v>
      </c>
      <c r="I8856" t="s">
        <v>28713</v>
      </c>
      <c r="J8856" t="s">
        <v>34322</v>
      </c>
      <c r="K8856" t="s">
        <v>37209</v>
      </c>
      <c r="M8856" t="s">
        <v>38761</v>
      </c>
      <c r="N8856" t="s">
        <v>41249</v>
      </c>
      <c r="O8856" t="s">
        <v>41250</v>
      </c>
      <c r="P8856">
        <v>0</v>
      </c>
      <c r="Q8856">
        <v>21</v>
      </c>
      <c r="R8856" t="s">
        <v>41259</v>
      </c>
      <c r="S8856" t="s">
        <v>41562</v>
      </c>
      <c r="T8856" t="s">
        <v>42839</v>
      </c>
      <c r="U8856" t="s">
        <v>50372</v>
      </c>
      <c r="V8856" t="s">
        <v>55242</v>
      </c>
      <c r="W8856" t="s">
        <v>38761</v>
      </c>
      <c r="X8856" t="s">
        <v>41261</v>
      </c>
    </row>
    <row r="8857" spans="1:24">
      <c r="A8857">
        <f>HYPERLINK("https://www.philgeps.gov.ph/GEPSNONPILOT/Tender/SplashBidNoticeAbstractUI.aspx?menuIndex=3&amp;refID=7060533&amp;Result=3","7060533")</f>
        <v>0</v>
      </c>
      <c r="B8857" t="s">
        <v>2121</v>
      </c>
      <c r="C8857" t="s">
        <v>11839</v>
      </c>
      <c r="D8857" t="s">
        <v>16610</v>
      </c>
      <c r="E8857" t="s">
        <v>16820</v>
      </c>
      <c r="F8857" t="s">
        <v>28669</v>
      </c>
      <c r="G8857" t="s">
        <v>28675</v>
      </c>
      <c r="H8857" t="s">
        <v>9998</v>
      </c>
      <c r="I8857" t="s">
        <v>7352</v>
      </c>
      <c r="J8857" t="s">
        <v>34323</v>
      </c>
      <c r="K8857" t="s">
        <v>37204</v>
      </c>
      <c r="M8857" t="s">
        <v>39765</v>
      </c>
      <c r="N8857" t="s">
        <v>41249</v>
      </c>
      <c r="O8857" t="s">
        <v>41250</v>
      </c>
      <c r="P8857">
        <v>0</v>
      </c>
      <c r="Q8857">
        <v>0</v>
      </c>
      <c r="R8857" t="s">
        <v>41259</v>
      </c>
      <c r="S8857" t="s">
        <v>41562</v>
      </c>
      <c r="T8857" t="s">
        <v>42728</v>
      </c>
      <c r="U8857" t="s">
        <v>50373</v>
      </c>
      <c r="V8857" t="s">
        <v>55243</v>
      </c>
      <c r="W8857" t="s">
        <v>39765</v>
      </c>
      <c r="X8857" t="s">
        <v>41261</v>
      </c>
    </row>
    <row r="8858" spans="1:24">
      <c r="A8858">
        <f>HYPERLINK("https://www.philgeps.gov.ph/GEPSNONPILOT/Tender/SplashBidNoticeAbstractUI.aspx?menuIndex=3&amp;refID=7060527&amp;Result=3","7060527")</f>
        <v>0</v>
      </c>
      <c r="B8858" t="s">
        <v>2653</v>
      </c>
      <c r="C8858" t="s">
        <v>11840</v>
      </c>
      <c r="D8858" t="s">
        <v>16615</v>
      </c>
      <c r="E8858" t="s">
        <v>24425</v>
      </c>
      <c r="F8858" t="s">
        <v>28669</v>
      </c>
      <c r="G8858" t="s">
        <v>28675</v>
      </c>
      <c r="H8858" t="s">
        <v>28686</v>
      </c>
      <c r="I8858" t="s">
        <v>28689</v>
      </c>
      <c r="J8858" t="s">
        <v>34324</v>
      </c>
      <c r="K8858" t="s">
        <v>37234</v>
      </c>
      <c r="L8858" t="s">
        <v>2653</v>
      </c>
      <c r="M8858" t="s">
        <v>40355</v>
      </c>
      <c r="N8858" t="s">
        <v>41249</v>
      </c>
      <c r="O8858" t="s">
        <v>41250</v>
      </c>
      <c r="P8858">
        <v>0</v>
      </c>
      <c r="Q8858">
        <v>21</v>
      </c>
      <c r="R8858" t="s">
        <v>41259</v>
      </c>
      <c r="S8858" t="s">
        <v>41562</v>
      </c>
      <c r="T8858" t="s">
        <v>42739</v>
      </c>
      <c r="U8858" t="s">
        <v>50369</v>
      </c>
      <c r="W8858" t="s">
        <v>40355</v>
      </c>
      <c r="X8858" t="s">
        <v>41261</v>
      </c>
    </row>
    <row r="8859" spans="1:24">
      <c r="A8859">
        <f>HYPERLINK("https://www.philgeps.gov.ph/GEPSNONPILOT/Tender/SplashBidNoticeAbstractUI.aspx?menuIndex=3&amp;refID=7060272&amp;Result=3","7060272")</f>
        <v>0</v>
      </c>
      <c r="B8859" t="s">
        <v>44</v>
      </c>
      <c r="C8859" t="s">
        <v>11841</v>
      </c>
      <c r="D8859" t="s">
        <v>16625</v>
      </c>
      <c r="E8859" t="s">
        <v>24426</v>
      </c>
      <c r="F8859" t="s">
        <v>28669</v>
      </c>
      <c r="G8859" t="s">
        <v>28675</v>
      </c>
      <c r="H8859" t="s">
        <v>28686</v>
      </c>
      <c r="I8859" t="s">
        <v>28689</v>
      </c>
      <c r="J8859" t="s">
        <v>34325</v>
      </c>
      <c r="K8859" t="s">
        <v>37205</v>
      </c>
      <c r="M8859" t="s">
        <v>37519</v>
      </c>
      <c r="N8859" t="s">
        <v>41249</v>
      </c>
      <c r="O8859" t="s">
        <v>41250</v>
      </c>
      <c r="Q8859">
        <v>0</v>
      </c>
      <c r="R8859" t="s">
        <v>41259</v>
      </c>
      <c r="S8859" t="s">
        <v>41583</v>
      </c>
      <c r="T8859" t="s">
        <v>42728</v>
      </c>
      <c r="U8859" t="s">
        <v>50374</v>
      </c>
      <c r="V8859" t="s">
        <v>54257</v>
      </c>
      <c r="W8859" t="s">
        <v>37519</v>
      </c>
      <c r="X8859" t="s">
        <v>41261</v>
      </c>
    </row>
    <row r="8860" spans="1:24">
      <c r="A8860">
        <f>HYPERLINK("https://www.philgeps.gov.ph/GEPSNONPILOT/Tender/SplashBidNoticeAbstractUI.aspx?menuIndex=3&amp;refID=7061767&amp;Result=3","7061767")</f>
        <v>0</v>
      </c>
      <c r="B8860" t="s">
        <v>2654</v>
      </c>
      <c r="C8860" t="s">
        <v>11842</v>
      </c>
      <c r="D8860" t="s">
        <v>16678</v>
      </c>
      <c r="E8860" t="s">
        <v>17029</v>
      </c>
      <c r="F8860" t="s">
        <v>28669</v>
      </c>
      <c r="G8860" t="s">
        <v>28675</v>
      </c>
      <c r="H8860" t="s">
        <v>9998</v>
      </c>
      <c r="I8860" t="s">
        <v>7352</v>
      </c>
      <c r="J8860" t="s">
        <v>34326</v>
      </c>
      <c r="K8860" t="s">
        <v>37206</v>
      </c>
      <c r="M8860" t="s">
        <v>40356</v>
      </c>
      <c r="N8860" t="s">
        <v>41249</v>
      </c>
      <c r="O8860" t="s">
        <v>41250</v>
      </c>
      <c r="P8860">
        <v>0</v>
      </c>
      <c r="Q8860">
        <v>0</v>
      </c>
      <c r="R8860" t="s">
        <v>41259</v>
      </c>
      <c r="S8860" t="s">
        <v>41562</v>
      </c>
      <c r="T8860" t="s">
        <v>42736</v>
      </c>
      <c r="U8860" t="s">
        <v>50375</v>
      </c>
      <c r="W8860" t="s">
        <v>40356</v>
      </c>
      <c r="X8860" t="s">
        <v>41260</v>
      </c>
    </row>
    <row r="8861" spans="1:24">
      <c r="A8861">
        <f>HYPERLINK("https://www.philgeps.gov.ph/GEPSNONPILOT/Tender/SplashBidNoticeAbstractUI.aspx?menuIndex=3&amp;refID=7060377&amp;Result=3","7060377")</f>
        <v>0</v>
      </c>
      <c r="B8861" t="s">
        <v>1386</v>
      </c>
      <c r="C8861" t="s">
        <v>11843</v>
      </c>
      <c r="E8861" t="s">
        <v>18990</v>
      </c>
      <c r="F8861" t="s">
        <v>28669</v>
      </c>
      <c r="G8861" t="s">
        <v>28675</v>
      </c>
      <c r="H8861" t="s">
        <v>9998</v>
      </c>
      <c r="I8861" t="s">
        <v>28706</v>
      </c>
      <c r="J8861" t="s">
        <v>34327</v>
      </c>
      <c r="K8861" t="s">
        <v>37209</v>
      </c>
      <c r="M8861" t="s">
        <v>38948</v>
      </c>
      <c r="N8861" t="s">
        <v>41249</v>
      </c>
      <c r="O8861" t="s">
        <v>41250</v>
      </c>
      <c r="P8861">
        <v>0</v>
      </c>
      <c r="Q8861">
        <v>8</v>
      </c>
      <c r="R8861" t="s">
        <v>41259</v>
      </c>
      <c r="S8861" t="s">
        <v>41562</v>
      </c>
      <c r="T8861" t="s">
        <v>42884</v>
      </c>
      <c r="U8861" t="s">
        <v>50376</v>
      </c>
      <c r="W8861" t="s">
        <v>38948</v>
      </c>
      <c r="X8861" t="s">
        <v>41261</v>
      </c>
    </row>
    <row r="8862" spans="1:24">
      <c r="A8862">
        <f>HYPERLINK("https://www.philgeps.gov.ph/GEPSNONPILOT/Tender/SplashBidNoticeAbstractUI.aspx?menuIndex=3&amp;refID=7061755&amp;Result=3","7061755")</f>
        <v>0</v>
      </c>
      <c r="B8862" t="s">
        <v>1124</v>
      </c>
      <c r="C8862" t="s">
        <v>11844</v>
      </c>
      <c r="E8862" t="s">
        <v>24427</v>
      </c>
      <c r="F8862" t="s">
        <v>28669</v>
      </c>
      <c r="G8862" t="s">
        <v>28676</v>
      </c>
      <c r="H8862" t="s">
        <v>9998</v>
      </c>
      <c r="I8862" t="s">
        <v>28728</v>
      </c>
      <c r="J8862" t="s">
        <v>33310</v>
      </c>
      <c r="K8862" t="s">
        <v>37209</v>
      </c>
      <c r="M8862" t="s">
        <v>38883</v>
      </c>
      <c r="N8862" t="s">
        <v>41249</v>
      </c>
      <c r="O8862" t="s">
        <v>41250</v>
      </c>
      <c r="P8862">
        <v>0</v>
      </c>
      <c r="Q8862">
        <v>0</v>
      </c>
      <c r="R8862" t="s">
        <v>41259</v>
      </c>
      <c r="S8862" t="s">
        <v>41562</v>
      </c>
      <c r="T8862" t="s">
        <v>42728</v>
      </c>
      <c r="U8862" t="s">
        <v>50377</v>
      </c>
      <c r="W8862" t="s">
        <v>38883</v>
      </c>
      <c r="X8862" t="s">
        <v>41260</v>
      </c>
    </row>
    <row r="8863" spans="1:24">
      <c r="A8863">
        <f>HYPERLINK("https://www.philgeps.gov.ph/GEPSNONPILOT/Tender/SplashBidNoticeAbstractUI.aspx?menuIndex=3&amp;refID=7061766&amp;Result=3","7061766")</f>
        <v>0</v>
      </c>
      <c r="B8863" t="s">
        <v>1124</v>
      </c>
      <c r="C8863" t="s">
        <v>11845</v>
      </c>
      <c r="E8863" t="s">
        <v>24428</v>
      </c>
      <c r="F8863" t="s">
        <v>28669</v>
      </c>
      <c r="G8863" t="s">
        <v>28676</v>
      </c>
      <c r="H8863" t="s">
        <v>9998</v>
      </c>
      <c r="I8863" t="s">
        <v>28728</v>
      </c>
      <c r="J8863" t="s">
        <v>34328</v>
      </c>
      <c r="K8863" t="s">
        <v>37209</v>
      </c>
      <c r="M8863" t="s">
        <v>38883</v>
      </c>
      <c r="N8863" t="s">
        <v>41249</v>
      </c>
      <c r="O8863" t="s">
        <v>41250</v>
      </c>
      <c r="P8863">
        <v>0</v>
      </c>
      <c r="Q8863">
        <v>0</v>
      </c>
      <c r="R8863" t="s">
        <v>41259</v>
      </c>
      <c r="S8863" t="s">
        <v>41562</v>
      </c>
      <c r="T8863" t="s">
        <v>42728</v>
      </c>
      <c r="U8863" t="s">
        <v>50378</v>
      </c>
      <c r="W8863" t="s">
        <v>38883</v>
      </c>
      <c r="X8863" t="s">
        <v>41260</v>
      </c>
    </row>
    <row r="8864" spans="1:24">
      <c r="A8864">
        <f>HYPERLINK("https://www.philgeps.gov.ph/GEPSNONPILOT/Tender/SplashBidNoticeAbstractUI.aspx?menuIndex=3&amp;refID=7061749&amp;Result=3","7061749")</f>
        <v>0</v>
      </c>
      <c r="B8864" t="s">
        <v>2655</v>
      </c>
      <c r="C8864" t="s">
        <v>11846</v>
      </c>
      <c r="D8864" t="s">
        <v>16658</v>
      </c>
      <c r="E8864" t="s">
        <v>16758</v>
      </c>
      <c r="F8864" t="s">
        <v>28669</v>
      </c>
      <c r="G8864" t="s">
        <v>28675</v>
      </c>
      <c r="H8864" t="s">
        <v>9998</v>
      </c>
      <c r="I8864" t="s">
        <v>7352</v>
      </c>
      <c r="J8864" t="s">
        <v>34329</v>
      </c>
      <c r="K8864" t="s">
        <v>37210</v>
      </c>
      <c r="M8864" t="s">
        <v>40357</v>
      </c>
      <c r="N8864" t="s">
        <v>41249</v>
      </c>
      <c r="O8864" t="s">
        <v>41250</v>
      </c>
      <c r="P8864">
        <v>0</v>
      </c>
      <c r="Q8864">
        <v>0</v>
      </c>
      <c r="R8864" t="s">
        <v>41259</v>
      </c>
      <c r="S8864" t="s">
        <v>41562</v>
      </c>
      <c r="T8864" t="s">
        <v>42992</v>
      </c>
      <c r="U8864" t="s">
        <v>50379</v>
      </c>
      <c r="W8864" t="s">
        <v>40357</v>
      </c>
      <c r="X8864" t="s">
        <v>41260</v>
      </c>
    </row>
    <row r="8865" spans="1:24">
      <c r="A8865">
        <f>HYPERLINK("https://www.philgeps.gov.ph/GEPSNONPILOT/Tender/SplashBidNoticeAbstractUI.aspx?menuIndex=3&amp;refID=7061259&amp;Result=3","7061259")</f>
        <v>0</v>
      </c>
      <c r="B8865" t="s">
        <v>763</v>
      </c>
      <c r="C8865" t="s">
        <v>11847</v>
      </c>
      <c r="D8865" t="s">
        <v>16627</v>
      </c>
      <c r="E8865" t="s">
        <v>24429</v>
      </c>
      <c r="F8865" t="s">
        <v>28669</v>
      </c>
      <c r="G8865" t="s">
        <v>28675</v>
      </c>
      <c r="H8865" t="s">
        <v>28686</v>
      </c>
      <c r="I8865" t="s">
        <v>28689</v>
      </c>
      <c r="J8865" t="s">
        <v>29338</v>
      </c>
      <c r="K8865" t="s">
        <v>37212</v>
      </c>
      <c r="M8865" t="s">
        <v>38274</v>
      </c>
      <c r="N8865" t="s">
        <v>41249</v>
      </c>
      <c r="O8865" t="s">
        <v>41250</v>
      </c>
      <c r="Q8865">
        <v>2</v>
      </c>
      <c r="R8865" t="s">
        <v>41259</v>
      </c>
      <c r="S8865" t="s">
        <v>41584</v>
      </c>
      <c r="T8865" t="s">
        <v>42683</v>
      </c>
      <c r="U8865" t="s">
        <v>50380</v>
      </c>
      <c r="W8865" t="s">
        <v>38274</v>
      </c>
      <c r="X8865" t="s">
        <v>41261</v>
      </c>
    </row>
    <row r="8866" spans="1:24">
      <c r="A8866">
        <f>HYPERLINK("https://www.philgeps.gov.ph/GEPSNONPILOT/Tender/SplashBidNoticeAbstractUI.aspx?menuIndex=3&amp;refID=7061748&amp;Result=3","7061748")</f>
        <v>0</v>
      </c>
      <c r="B8866" t="s">
        <v>2656</v>
      </c>
      <c r="C8866" t="s">
        <v>11848</v>
      </c>
      <c r="D8866" t="s">
        <v>16615</v>
      </c>
      <c r="E8866" t="s">
        <v>24430</v>
      </c>
      <c r="F8866" t="s">
        <v>28669</v>
      </c>
      <c r="G8866" t="s">
        <v>28675</v>
      </c>
      <c r="H8866" t="s">
        <v>28686</v>
      </c>
      <c r="I8866" t="s">
        <v>28689</v>
      </c>
      <c r="J8866" t="s">
        <v>34330</v>
      </c>
      <c r="K8866" t="s">
        <v>37214</v>
      </c>
      <c r="M8866" t="s">
        <v>40358</v>
      </c>
      <c r="N8866" t="s">
        <v>41249</v>
      </c>
      <c r="O8866" t="s">
        <v>41250</v>
      </c>
      <c r="P8866">
        <v>0</v>
      </c>
      <c r="Q8866">
        <v>6</v>
      </c>
      <c r="R8866" t="s">
        <v>41259</v>
      </c>
      <c r="S8866" t="s">
        <v>41562</v>
      </c>
      <c r="T8866" t="s">
        <v>42760</v>
      </c>
      <c r="U8866" t="s">
        <v>50381</v>
      </c>
      <c r="W8866" t="s">
        <v>40358</v>
      </c>
      <c r="X8866" t="s">
        <v>41260</v>
      </c>
    </row>
    <row r="8867" spans="1:24">
      <c r="A8867">
        <f>HYPERLINK("https://www.philgeps.gov.ph/GEPSNONPILOT/Tender/SplashBidNoticeAbstractUI.aspx?menuIndex=3&amp;refID=7061741&amp;Result=3","7061741")</f>
        <v>0</v>
      </c>
      <c r="B8867" t="s">
        <v>2391</v>
      </c>
      <c r="C8867" t="s">
        <v>11849</v>
      </c>
      <c r="D8867" t="s">
        <v>16638</v>
      </c>
      <c r="E8867" t="s">
        <v>24431</v>
      </c>
      <c r="F8867" t="s">
        <v>28669</v>
      </c>
      <c r="G8867" t="s">
        <v>28677</v>
      </c>
      <c r="H8867" t="s">
        <v>9998</v>
      </c>
      <c r="I8867" t="s">
        <v>28694</v>
      </c>
      <c r="J8867" t="s">
        <v>34331</v>
      </c>
      <c r="K8867" t="s">
        <v>37208</v>
      </c>
      <c r="M8867" t="s">
        <v>40359</v>
      </c>
      <c r="N8867" t="s">
        <v>41249</v>
      </c>
      <c r="O8867" t="s">
        <v>41250</v>
      </c>
      <c r="Q8867">
        <v>7</v>
      </c>
      <c r="R8867" t="s">
        <v>41259</v>
      </c>
      <c r="S8867" t="s">
        <v>41585</v>
      </c>
      <c r="T8867" t="s">
        <v>42665</v>
      </c>
      <c r="U8867" t="s">
        <v>50382</v>
      </c>
      <c r="V8867" t="s">
        <v>55244</v>
      </c>
      <c r="W8867" t="s">
        <v>40359</v>
      </c>
      <c r="X8867" t="s">
        <v>41260</v>
      </c>
    </row>
    <row r="8868" spans="1:24">
      <c r="A8868">
        <f>HYPERLINK("https://www.philgeps.gov.ph/GEPSNONPILOT/Tender/SplashBidNoticeAbstractUI.aspx?menuIndex=3&amp;refID=7060477&amp;Result=3","7060477")</f>
        <v>0</v>
      </c>
      <c r="B8868" t="s">
        <v>2653</v>
      </c>
      <c r="C8868" t="s">
        <v>11850</v>
      </c>
      <c r="D8868" t="s">
        <v>16615</v>
      </c>
      <c r="E8868" t="s">
        <v>24432</v>
      </c>
      <c r="F8868" t="s">
        <v>28669</v>
      </c>
      <c r="G8868" t="s">
        <v>28675</v>
      </c>
      <c r="H8868" t="s">
        <v>28686</v>
      </c>
      <c r="I8868" t="s">
        <v>28689</v>
      </c>
      <c r="J8868" t="s">
        <v>34332</v>
      </c>
      <c r="K8868" t="s">
        <v>37234</v>
      </c>
      <c r="L8868" t="s">
        <v>2653</v>
      </c>
      <c r="M8868" t="s">
        <v>40355</v>
      </c>
      <c r="N8868" t="s">
        <v>41249</v>
      </c>
      <c r="O8868" t="s">
        <v>41250</v>
      </c>
      <c r="P8868">
        <v>0</v>
      </c>
      <c r="Q8868">
        <v>21</v>
      </c>
      <c r="R8868" t="s">
        <v>41259</v>
      </c>
      <c r="S8868" t="s">
        <v>41562</v>
      </c>
      <c r="T8868" t="s">
        <v>42739</v>
      </c>
      <c r="U8868" t="s">
        <v>50369</v>
      </c>
      <c r="W8868" t="s">
        <v>40355</v>
      </c>
      <c r="X8868" t="s">
        <v>41261</v>
      </c>
    </row>
    <row r="8869" spans="1:24">
      <c r="A8869">
        <f>HYPERLINK("https://www.philgeps.gov.ph/GEPSNONPILOT/Tender/SplashBidNoticeAbstractUI.aspx?menuIndex=3&amp;refID=7061697&amp;Result=3","7061697")</f>
        <v>0</v>
      </c>
      <c r="B8869" t="s">
        <v>2657</v>
      </c>
      <c r="C8869" t="s">
        <v>11851</v>
      </c>
      <c r="D8869" t="s">
        <v>16611</v>
      </c>
      <c r="E8869" t="s">
        <v>19365</v>
      </c>
      <c r="F8869" t="s">
        <v>28669</v>
      </c>
      <c r="G8869" t="s">
        <v>28675</v>
      </c>
      <c r="H8869" t="s">
        <v>9998</v>
      </c>
      <c r="I8869" t="s">
        <v>7352</v>
      </c>
      <c r="J8869" t="s">
        <v>34333</v>
      </c>
      <c r="K8869" t="s">
        <v>37204</v>
      </c>
      <c r="M8869" t="s">
        <v>40360</v>
      </c>
      <c r="N8869" t="s">
        <v>41249</v>
      </c>
      <c r="O8869" t="s">
        <v>41250</v>
      </c>
      <c r="P8869">
        <v>0</v>
      </c>
      <c r="Q8869">
        <v>1</v>
      </c>
      <c r="R8869" t="s">
        <v>41259</v>
      </c>
      <c r="S8869" t="s">
        <v>41562</v>
      </c>
      <c r="T8869" t="s">
        <v>42992</v>
      </c>
      <c r="U8869" t="s">
        <v>50383</v>
      </c>
      <c r="W8869" t="s">
        <v>40360</v>
      </c>
      <c r="X8869" t="s">
        <v>41260</v>
      </c>
    </row>
    <row r="8870" spans="1:24">
      <c r="A8870">
        <f>HYPERLINK("https://www.philgeps.gov.ph/GEPSNONPILOT/Tender/SplashBidNoticeAbstractUI.aspx?menuIndex=3&amp;refID=7061695&amp;Result=3","7061695")</f>
        <v>0</v>
      </c>
      <c r="B8870" t="s">
        <v>2658</v>
      </c>
      <c r="C8870" t="s">
        <v>11852</v>
      </c>
      <c r="D8870" t="s">
        <v>16626</v>
      </c>
      <c r="E8870" t="s">
        <v>24433</v>
      </c>
      <c r="F8870" t="s">
        <v>28669</v>
      </c>
      <c r="G8870" t="s">
        <v>28675</v>
      </c>
      <c r="H8870" t="s">
        <v>9998</v>
      </c>
      <c r="I8870" t="s">
        <v>28709</v>
      </c>
      <c r="J8870" t="s">
        <v>32549</v>
      </c>
      <c r="K8870" t="s">
        <v>37243</v>
      </c>
      <c r="M8870" t="s">
        <v>40361</v>
      </c>
      <c r="N8870" t="s">
        <v>41249</v>
      </c>
      <c r="O8870" t="s">
        <v>41250</v>
      </c>
      <c r="P8870">
        <v>0</v>
      </c>
      <c r="Q8870">
        <v>0</v>
      </c>
      <c r="R8870" t="s">
        <v>41259</v>
      </c>
      <c r="S8870" t="s">
        <v>41562</v>
      </c>
      <c r="T8870" t="s">
        <v>42659</v>
      </c>
      <c r="U8870" t="s">
        <v>50384</v>
      </c>
      <c r="W8870" t="s">
        <v>40361</v>
      </c>
      <c r="X8870" t="s">
        <v>41260</v>
      </c>
    </row>
    <row r="8871" spans="1:24">
      <c r="A8871">
        <f>HYPERLINK("https://www.philgeps.gov.ph/GEPSNONPILOT/Tender/SplashBidNoticeAbstractUI.aspx?menuIndex=3&amp;refID=7061658&amp;Result=3","7061658")</f>
        <v>0</v>
      </c>
      <c r="B8871" t="s">
        <v>761</v>
      </c>
      <c r="C8871" t="s">
        <v>11853</v>
      </c>
      <c r="E8871" t="s">
        <v>24434</v>
      </c>
      <c r="F8871" t="s">
        <v>28669</v>
      </c>
      <c r="G8871" t="s">
        <v>28675</v>
      </c>
      <c r="H8871" t="s">
        <v>28684</v>
      </c>
      <c r="I8871" t="s">
        <v>28739</v>
      </c>
      <c r="J8871" t="s">
        <v>34334</v>
      </c>
      <c r="K8871" t="s">
        <v>37255</v>
      </c>
      <c r="M8871" t="s">
        <v>40362</v>
      </c>
      <c r="N8871" t="s">
        <v>41249</v>
      </c>
      <c r="O8871" t="s">
        <v>41250</v>
      </c>
      <c r="P8871">
        <v>0</v>
      </c>
      <c r="Q8871">
        <v>17</v>
      </c>
      <c r="R8871" t="s">
        <v>41259</v>
      </c>
      <c r="S8871" t="s">
        <v>41562</v>
      </c>
      <c r="T8871" t="s">
        <v>42659</v>
      </c>
      <c r="U8871" t="s">
        <v>50385</v>
      </c>
      <c r="W8871" t="s">
        <v>40362</v>
      </c>
      <c r="X8871" t="s">
        <v>41261</v>
      </c>
    </row>
    <row r="8872" spans="1:24">
      <c r="A8872">
        <f>HYPERLINK("https://www.philgeps.gov.ph/GEPSNONPILOT/Tender/SplashBidNoticeAbstractUI.aspx?menuIndex=3&amp;refID=7061419&amp;Result=3","7061419")</f>
        <v>0</v>
      </c>
      <c r="B8872" t="s">
        <v>763</v>
      </c>
      <c r="C8872" t="s">
        <v>11854</v>
      </c>
      <c r="D8872" t="s">
        <v>16627</v>
      </c>
      <c r="E8872" t="s">
        <v>24435</v>
      </c>
      <c r="F8872" t="s">
        <v>28669</v>
      </c>
      <c r="G8872" t="s">
        <v>28675</v>
      </c>
      <c r="H8872" t="s">
        <v>28686</v>
      </c>
      <c r="I8872" t="s">
        <v>28689</v>
      </c>
      <c r="J8872" t="s">
        <v>34335</v>
      </c>
      <c r="K8872" t="s">
        <v>37215</v>
      </c>
      <c r="M8872" t="s">
        <v>38274</v>
      </c>
      <c r="N8872" t="s">
        <v>41249</v>
      </c>
      <c r="O8872" t="s">
        <v>41250</v>
      </c>
      <c r="P8872">
        <v>0</v>
      </c>
      <c r="Q8872">
        <v>0</v>
      </c>
      <c r="R8872" t="s">
        <v>41259</v>
      </c>
      <c r="S8872" t="s">
        <v>41562</v>
      </c>
      <c r="T8872" t="s">
        <v>42683</v>
      </c>
      <c r="U8872" t="s">
        <v>50386</v>
      </c>
      <c r="W8872" t="s">
        <v>38274</v>
      </c>
      <c r="X8872" t="s">
        <v>41261</v>
      </c>
    </row>
    <row r="8873" spans="1:24">
      <c r="A8873">
        <f>HYPERLINK("https://www.philgeps.gov.ph/GEPSNONPILOT/Tender/SplashBidNoticeAbstractUI.aspx?menuIndex=3&amp;refID=7061374&amp;Result=3","7061374")</f>
        <v>0</v>
      </c>
      <c r="B8873" t="s">
        <v>427</v>
      </c>
      <c r="C8873" t="s">
        <v>11855</v>
      </c>
      <c r="D8873" t="s">
        <v>16608</v>
      </c>
      <c r="E8873" t="s">
        <v>24436</v>
      </c>
      <c r="F8873" t="s">
        <v>28669</v>
      </c>
      <c r="G8873" t="s">
        <v>28676</v>
      </c>
      <c r="H8873" t="s">
        <v>9998</v>
      </c>
      <c r="I8873" t="s">
        <v>28728</v>
      </c>
      <c r="J8873" t="s">
        <v>28878</v>
      </c>
      <c r="K8873" t="s">
        <v>37206</v>
      </c>
      <c r="M8873" t="s">
        <v>40363</v>
      </c>
      <c r="N8873" t="s">
        <v>41249</v>
      </c>
      <c r="O8873" t="s">
        <v>41250</v>
      </c>
      <c r="Q8873">
        <v>3</v>
      </c>
      <c r="R8873" t="s">
        <v>41259</v>
      </c>
      <c r="S8873" t="s">
        <v>41586</v>
      </c>
      <c r="T8873" t="s">
        <v>42736</v>
      </c>
      <c r="U8873" t="s">
        <v>50387</v>
      </c>
      <c r="W8873" t="s">
        <v>40363</v>
      </c>
      <c r="X8873" t="s">
        <v>41261</v>
      </c>
    </row>
    <row r="8874" spans="1:24">
      <c r="A8874">
        <f>HYPERLINK("https://www.philgeps.gov.ph/GEPSNONPILOT/Tender/SplashBidNoticeAbstractUI.aspx?menuIndex=3&amp;refID=7061311&amp;Result=3","7061311")</f>
        <v>0</v>
      </c>
      <c r="B8874" t="s">
        <v>763</v>
      </c>
      <c r="C8874" t="s">
        <v>11856</v>
      </c>
      <c r="D8874" t="s">
        <v>16627</v>
      </c>
      <c r="E8874" t="s">
        <v>24437</v>
      </c>
      <c r="F8874" t="s">
        <v>28669</v>
      </c>
      <c r="G8874" t="s">
        <v>28675</v>
      </c>
      <c r="H8874" t="s">
        <v>28686</v>
      </c>
      <c r="I8874" t="s">
        <v>28689</v>
      </c>
      <c r="J8874" t="s">
        <v>29346</v>
      </c>
      <c r="K8874" t="s">
        <v>37413</v>
      </c>
      <c r="M8874" t="s">
        <v>38274</v>
      </c>
      <c r="N8874" t="s">
        <v>41249</v>
      </c>
      <c r="O8874" t="s">
        <v>41250</v>
      </c>
      <c r="Q8874">
        <v>1</v>
      </c>
      <c r="R8874" t="s">
        <v>41259</v>
      </c>
      <c r="S8874" t="s">
        <v>41587</v>
      </c>
      <c r="T8874" t="s">
        <v>42683</v>
      </c>
      <c r="U8874" t="s">
        <v>50380</v>
      </c>
      <c r="W8874" t="s">
        <v>38274</v>
      </c>
      <c r="X8874" t="s">
        <v>41261</v>
      </c>
    </row>
    <row r="8875" spans="1:24">
      <c r="A8875">
        <f>HYPERLINK("https://www.philgeps.gov.ph/GEPSNONPILOT/Tender/SplashBidNoticeAbstractUI.aspx?menuIndex=3&amp;refID=7061293&amp;Result=3","7061293")</f>
        <v>0</v>
      </c>
      <c r="B8875" t="s">
        <v>2659</v>
      </c>
      <c r="C8875" t="s">
        <v>11857</v>
      </c>
      <c r="D8875" t="s">
        <v>16675</v>
      </c>
      <c r="E8875" t="s">
        <v>17947</v>
      </c>
      <c r="F8875" t="s">
        <v>28671</v>
      </c>
      <c r="G8875" t="s">
        <v>28675</v>
      </c>
      <c r="H8875" t="s">
        <v>9998</v>
      </c>
      <c r="I8875" t="s">
        <v>7352</v>
      </c>
      <c r="J8875" t="s">
        <v>34336</v>
      </c>
      <c r="K8875" t="s">
        <v>37210</v>
      </c>
      <c r="M8875" t="s">
        <v>40364</v>
      </c>
      <c r="N8875" t="s">
        <v>41249</v>
      </c>
      <c r="O8875" t="s">
        <v>41250</v>
      </c>
      <c r="P8875">
        <v>0</v>
      </c>
      <c r="Q8875">
        <v>0</v>
      </c>
      <c r="R8875" t="s">
        <v>41259</v>
      </c>
      <c r="S8875" t="s">
        <v>41562</v>
      </c>
      <c r="T8875" t="s">
        <v>42670</v>
      </c>
      <c r="U8875" t="s">
        <v>50388</v>
      </c>
      <c r="W8875" t="s">
        <v>40364</v>
      </c>
      <c r="X8875" t="s">
        <v>41261</v>
      </c>
    </row>
    <row r="8876" spans="1:24">
      <c r="A8876">
        <f>HYPERLINK("https://www.philgeps.gov.ph/GEPSNONPILOT/Tender/SplashBidNoticeAbstractUI.aspx?menuIndex=3&amp;refID=7061699&amp;Result=3","7061699")</f>
        <v>0</v>
      </c>
      <c r="B8876" t="s">
        <v>2658</v>
      </c>
      <c r="C8876" t="s">
        <v>11858</v>
      </c>
      <c r="D8876" t="s">
        <v>16626</v>
      </c>
      <c r="E8876" t="s">
        <v>24438</v>
      </c>
      <c r="F8876" t="s">
        <v>28669</v>
      </c>
      <c r="G8876" t="s">
        <v>28675</v>
      </c>
      <c r="H8876" t="s">
        <v>28685</v>
      </c>
      <c r="I8876" t="s">
        <v>28729</v>
      </c>
      <c r="J8876" t="s">
        <v>34337</v>
      </c>
      <c r="K8876" t="s">
        <v>37243</v>
      </c>
      <c r="M8876" t="s">
        <v>40361</v>
      </c>
      <c r="N8876" t="s">
        <v>41249</v>
      </c>
      <c r="O8876" t="s">
        <v>41250</v>
      </c>
      <c r="P8876">
        <v>0</v>
      </c>
      <c r="Q8876">
        <v>3</v>
      </c>
      <c r="R8876" t="s">
        <v>41259</v>
      </c>
      <c r="S8876" t="s">
        <v>41562</v>
      </c>
      <c r="T8876" t="s">
        <v>42659</v>
      </c>
      <c r="U8876" t="s">
        <v>50389</v>
      </c>
      <c r="W8876" t="s">
        <v>40361</v>
      </c>
      <c r="X8876" t="s">
        <v>41260</v>
      </c>
    </row>
    <row r="8877" spans="1:24">
      <c r="A8877">
        <f>HYPERLINK("https://www.philgeps.gov.ph/GEPSNONPILOT/Tender/SplashBidNoticeAbstractUI.aspx?menuIndex=3&amp;refID=7061273&amp;Result=3","7061273")</f>
        <v>0</v>
      </c>
      <c r="B8877" t="s">
        <v>2659</v>
      </c>
      <c r="C8877" t="s">
        <v>11859</v>
      </c>
      <c r="D8877" t="s">
        <v>16675</v>
      </c>
      <c r="E8877" t="s">
        <v>17835</v>
      </c>
      <c r="F8877" t="s">
        <v>28671</v>
      </c>
      <c r="G8877" t="s">
        <v>28675</v>
      </c>
      <c r="H8877" t="s">
        <v>9998</v>
      </c>
      <c r="I8877" t="s">
        <v>7352</v>
      </c>
      <c r="J8877" t="s">
        <v>30893</v>
      </c>
      <c r="K8877" t="s">
        <v>37205</v>
      </c>
      <c r="M8877" t="s">
        <v>40364</v>
      </c>
      <c r="N8877" t="s">
        <v>41249</v>
      </c>
      <c r="O8877" t="s">
        <v>41250</v>
      </c>
      <c r="P8877">
        <v>0</v>
      </c>
      <c r="Q8877">
        <v>0</v>
      </c>
      <c r="R8877" t="s">
        <v>41259</v>
      </c>
      <c r="S8877" t="s">
        <v>41562</v>
      </c>
      <c r="T8877" t="s">
        <v>42690</v>
      </c>
      <c r="U8877" t="s">
        <v>50390</v>
      </c>
      <c r="W8877" t="s">
        <v>40364</v>
      </c>
      <c r="X8877" t="s">
        <v>41261</v>
      </c>
    </row>
    <row r="8878" spans="1:24">
      <c r="A8878">
        <f>HYPERLINK("https://www.philgeps.gov.ph/GEPSNONPILOT/Tender/SplashBidNoticeAbstractUI.aspx?menuIndex=3&amp;refID=7061235&amp;Result=3","7061235")</f>
        <v>0</v>
      </c>
      <c r="B8878" t="s">
        <v>1379</v>
      </c>
      <c r="C8878" t="s">
        <v>11860</v>
      </c>
      <c r="D8878" t="s">
        <v>16648</v>
      </c>
      <c r="E8878" t="s">
        <v>24439</v>
      </c>
      <c r="F8878" t="s">
        <v>28669</v>
      </c>
      <c r="G8878" t="s">
        <v>28675</v>
      </c>
      <c r="H8878" t="s">
        <v>28686</v>
      </c>
      <c r="I8878" t="s">
        <v>28689</v>
      </c>
      <c r="J8878" t="s">
        <v>34338</v>
      </c>
      <c r="K8878" t="s">
        <v>37233</v>
      </c>
      <c r="M8878" t="s">
        <v>38938</v>
      </c>
      <c r="N8878" t="s">
        <v>41249</v>
      </c>
      <c r="O8878" t="s">
        <v>41250</v>
      </c>
      <c r="P8878">
        <v>0</v>
      </c>
      <c r="Q8878">
        <v>0</v>
      </c>
      <c r="R8878" t="s">
        <v>41259</v>
      </c>
      <c r="S8878" t="s">
        <v>41562</v>
      </c>
      <c r="T8878" t="s">
        <v>42672</v>
      </c>
      <c r="U8878" t="s">
        <v>50391</v>
      </c>
      <c r="W8878" t="s">
        <v>38938</v>
      </c>
      <c r="X8878" t="s">
        <v>41261</v>
      </c>
    </row>
    <row r="8879" spans="1:24">
      <c r="A8879">
        <f>HYPERLINK("https://www.philgeps.gov.ph/GEPSNONPILOT/Tender/SplashBidNoticeAbstractUI.aspx?menuIndex=3&amp;refID=7060260&amp;Result=3","7060260")</f>
        <v>0</v>
      </c>
      <c r="B8879" t="s">
        <v>65</v>
      </c>
      <c r="C8879" t="s">
        <v>11861</v>
      </c>
      <c r="D8879" t="s">
        <v>16626</v>
      </c>
      <c r="E8879" t="s">
        <v>24440</v>
      </c>
      <c r="F8879" t="s">
        <v>28669</v>
      </c>
      <c r="G8879" t="s">
        <v>28678</v>
      </c>
      <c r="H8879" t="s">
        <v>9998</v>
      </c>
      <c r="I8879" t="s">
        <v>28693</v>
      </c>
      <c r="J8879" t="s">
        <v>34339</v>
      </c>
      <c r="K8879" t="s">
        <v>37227</v>
      </c>
      <c r="M8879" t="s">
        <v>37540</v>
      </c>
      <c r="N8879" t="s">
        <v>41249</v>
      </c>
      <c r="O8879" t="s">
        <v>41250</v>
      </c>
      <c r="P8879">
        <v>0</v>
      </c>
      <c r="Q8879">
        <v>13</v>
      </c>
      <c r="R8879" t="s">
        <v>41259</v>
      </c>
      <c r="S8879" t="s">
        <v>41562</v>
      </c>
      <c r="T8879" t="s">
        <v>42910</v>
      </c>
      <c r="U8879" t="s">
        <v>43259</v>
      </c>
      <c r="W8879" t="s">
        <v>55899</v>
      </c>
      <c r="X8879" t="s">
        <v>41261</v>
      </c>
    </row>
    <row r="8880" spans="1:24">
      <c r="A8880">
        <f>HYPERLINK("https://www.philgeps.gov.ph/GEPSNONPILOT/Tender/SplashBidNoticeAbstractUI.aspx?menuIndex=3&amp;refID=7060244&amp;Result=3","7060244")</f>
        <v>0</v>
      </c>
      <c r="B8880" t="s">
        <v>44</v>
      </c>
      <c r="C8880" t="s">
        <v>11862</v>
      </c>
      <c r="D8880" t="s">
        <v>16625</v>
      </c>
      <c r="E8880" t="s">
        <v>24441</v>
      </c>
      <c r="F8880" t="s">
        <v>28669</v>
      </c>
      <c r="G8880" t="s">
        <v>28675</v>
      </c>
      <c r="H8880" t="s">
        <v>28686</v>
      </c>
      <c r="I8880" t="s">
        <v>28689</v>
      </c>
      <c r="J8880" t="s">
        <v>34340</v>
      </c>
      <c r="K8880" t="s">
        <v>37221</v>
      </c>
      <c r="M8880" t="s">
        <v>37519</v>
      </c>
      <c r="N8880" t="s">
        <v>41249</v>
      </c>
      <c r="O8880" t="s">
        <v>41250</v>
      </c>
      <c r="P8880">
        <v>0</v>
      </c>
      <c r="Q8880">
        <v>0</v>
      </c>
      <c r="R8880" t="s">
        <v>41259</v>
      </c>
      <c r="S8880" t="s">
        <v>41562</v>
      </c>
      <c r="T8880" t="s">
        <v>42728</v>
      </c>
      <c r="U8880" t="s">
        <v>50392</v>
      </c>
      <c r="V8880" t="s">
        <v>54257</v>
      </c>
      <c r="W8880" t="s">
        <v>37519</v>
      </c>
      <c r="X8880" t="s">
        <v>41261</v>
      </c>
    </row>
    <row r="8881" spans="1:24">
      <c r="A8881">
        <f>HYPERLINK("https://www.philgeps.gov.ph/GEPSNONPILOT/Tender/SplashBidNoticeAbstractUI.aspx?menuIndex=3&amp;refID=7060459&amp;Result=3","7060459")</f>
        <v>0</v>
      </c>
      <c r="B8881" t="s">
        <v>2660</v>
      </c>
      <c r="C8881" t="s">
        <v>11863</v>
      </c>
      <c r="D8881" t="s">
        <v>16673</v>
      </c>
      <c r="E8881" t="s">
        <v>24442</v>
      </c>
      <c r="F8881" t="s">
        <v>28669</v>
      </c>
      <c r="G8881" t="s">
        <v>28675</v>
      </c>
      <c r="H8881" t="s">
        <v>28686</v>
      </c>
      <c r="I8881" t="s">
        <v>28689</v>
      </c>
      <c r="J8881" t="s">
        <v>30575</v>
      </c>
      <c r="K8881" t="s">
        <v>37322</v>
      </c>
      <c r="M8881" t="s">
        <v>40365</v>
      </c>
      <c r="N8881" t="s">
        <v>41249</v>
      </c>
      <c r="O8881" t="s">
        <v>41250</v>
      </c>
      <c r="P8881">
        <v>0</v>
      </c>
      <c r="Q8881">
        <v>0</v>
      </c>
      <c r="R8881" t="s">
        <v>41259</v>
      </c>
      <c r="S8881" t="s">
        <v>41562</v>
      </c>
      <c r="T8881" t="s">
        <v>42760</v>
      </c>
      <c r="U8881" t="s">
        <v>50393</v>
      </c>
      <c r="W8881" t="s">
        <v>40365</v>
      </c>
      <c r="X8881" t="s">
        <v>41261</v>
      </c>
    </row>
    <row r="8882" spans="1:24">
      <c r="A8882">
        <f>HYPERLINK("https://www.philgeps.gov.ph/GEPSNONPILOT/Tender/SplashBidNoticeAbstractUI.aspx?menuIndex=3&amp;refID=7061739&amp;Result=3","7061739")</f>
        <v>0</v>
      </c>
      <c r="B8882" t="s">
        <v>2661</v>
      </c>
      <c r="C8882" t="s">
        <v>11864</v>
      </c>
      <c r="D8882" t="s">
        <v>16678</v>
      </c>
      <c r="E8882" t="s">
        <v>17029</v>
      </c>
      <c r="F8882" t="s">
        <v>28669</v>
      </c>
      <c r="G8882" t="s">
        <v>28675</v>
      </c>
      <c r="H8882" t="s">
        <v>9998</v>
      </c>
      <c r="I8882" t="s">
        <v>7352</v>
      </c>
      <c r="J8882" t="s">
        <v>29552</v>
      </c>
      <c r="K8882" t="s">
        <v>37206</v>
      </c>
      <c r="M8882" t="s">
        <v>40366</v>
      </c>
      <c r="N8882" t="s">
        <v>41249</v>
      </c>
      <c r="O8882" t="s">
        <v>41250</v>
      </c>
      <c r="P8882">
        <v>0</v>
      </c>
      <c r="Q8882">
        <v>0</v>
      </c>
      <c r="R8882" t="s">
        <v>41259</v>
      </c>
      <c r="S8882" t="s">
        <v>41562</v>
      </c>
      <c r="T8882" t="s">
        <v>42736</v>
      </c>
      <c r="U8882" t="s">
        <v>50394</v>
      </c>
      <c r="W8882" t="s">
        <v>40366</v>
      </c>
      <c r="X8882" t="s">
        <v>41260</v>
      </c>
    </row>
    <row r="8883" spans="1:24">
      <c r="A8883">
        <f>HYPERLINK("https://www.philgeps.gov.ph/GEPSNONPILOT/Tender/SplashBidNoticeAbstractUI.aspx?menuIndex=3&amp;refID=7060745&amp;Result=3","7060745")</f>
        <v>0</v>
      </c>
      <c r="B8883" t="s">
        <v>2662</v>
      </c>
      <c r="C8883" t="s">
        <v>11865</v>
      </c>
      <c r="D8883" t="s">
        <v>16681</v>
      </c>
      <c r="E8883" t="s">
        <v>24443</v>
      </c>
      <c r="F8883" t="s">
        <v>28669</v>
      </c>
      <c r="G8883" t="s">
        <v>28675</v>
      </c>
      <c r="H8883" t="s">
        <v>9998</v>
      </c>
      <c r="I8883" t="s">
        <v>7352</v>
      </c>
      <c r="J8883" t="s">
        <v>34341</v>
      </c>
      <c r="K8883" t="s">
        <v>37221</v>
      </c>
      <c r="M8883" t="s">
        <v>40367</v>
      </c>
      <c r="N8883" t="s">
        <v>41249</v>
      </c>
      <c r="O8883" t="s">
        <v>41250</v>
      </c>
      <c r="P8883">
        <v>0</v>
      </c>
      <c r="Q8883">
        <v>0</v>
      </c>
      <c r="R8883" t="s">
        <v>41259</v>
      </c>
      <c r="S8883" t="s">
        <v>41562</v>
      </c>
      <c r="T8883" t="s">
        <v>42881</v>
      </c>
      <c r="U8883" t="s">
        <v>50395</v>
      </c>
      <c r="W8883" t="s">
        <v>40367</v>
      </c>
      <c r="X8883" t="s">
        <v>41261</v>
      </c>
    </row>
    <row r="8884" spans="1:24">
      <c r="A8884">
        <f>HYPERLINK("https://www.philgeps.gov.ph/GEPSNONPILOT/Tender/SplashBidNoticeAbstractUI.aspx?menuIndex=3&amp;refID=7059603&amp;Result=3","7059603")</f>
        <v>0</v>
      </c>
      <c r="B8884" t="s">
        <v>629</v>
      </c>
      <c r="C8884" t="s">
        <v>11866</v>
      </c>
      <c r="D8884" t="s">
        <v>16648</v>
      </c>
      <c r="E8884" t="s">
        <v>24444</v>
      </c>
      <c r="F8884" t="s">
        <v>28669</v>
      </c>
      <c r="G8884" t="s">
        <v>28675</v>
      </c>
      <c r="H8884" t="s">
        <v>9998</v>
      </c>
      <c r="I8884" t="s">
        <v>7352</v>
      </c>
      <c r="J8884" t="s">
        <v>32986</v>
      </c>
      <c r="K8884" t="s">
        <v>37209</v>
      </c>
      <c r="M8884" t="s">
        <v>38129</v>
      </c>
      <c r="N8884" t="s">
        <v>41249</v>
      </c>
      <c r="O8884" t="s">
        <v>41250</v>
      </c>
      <c r="P8884">
        <v>0</v>
      </c>
      <c r="Q8884">
        <v>0</v>
      </c>
      <c r="R8884" t="s">
        <v>41259</v>
      </c>
      <c r="S8884" t="s">
        <v>41562</v>
      </c>
      <c r="T8884" t="s">
        <v>42858</v>
      </c>
      <c r="U8884" t="s">
        <v>50396</v>
      </c>
      <c r="W8884" t="s">
        <v>38129</v>
      </c>
      <c r="X8884" t="s">
        <v>41261</v>
      </c>
    </row>
    <row r="8885" spans="1:24">
      <c r="A8885">
        <f>HYPERLINK("https://www.philgeps.gov.ph/GEPSNONPILOT/Tender/SplashBidNoticeAbstractUI.aspx?menuIndex=3&amp;refID=7059589&amp;Result=3","7059589")</f>
        <v>0</v>
      </c>
      <c r="B8885" t="s">
        <v>2663</v>
      </c>
      <c r="C8885" t="s">
        <v>11867</v>
      </c>
      <c r="D8885" t="s">
        <v>16625</v>
      </c>
      <c r="E8885" t="s">
        <v>24445</v>
      </c>
      <c r="F8885" t="s">
        <v>28669</v>
      </c>
      <c r="G8885" t="s">
        <v>28675</v>
      </c>
      <c r="H8885" t="s">
        <v>9998</v>
      </c>
      <c r="I8885" t="s">
        <v>5213</v>
      </c>
      <c r="J8885" t="s">
        <v>34342</v>
      </c>
      <c r="K8885" t="s">
        <v>37209</v>
      </c>
      <c r="M8885" t="s">
        <v>40368</v>
      </c>
      <c r="N8885" t="s">
        <v>41249</v>
      </c>
      <c r="O8885" t="s">
        <v>41250</v>
      </c>
      <c r="P8885">
        <v>0</v>
      </c>
      <c r="Q8885">
        <v>3</v>
      </c>
      <c r="R8885" t="s">
        <v>41259</v>
      </c>
      <c r="S8885" t="s">
        <v>41562</v>
      </c>
      <c r="T8885" t="s">
        <v>42752</v>
      </c>
      <c r="U8885" t="s">
        <v>50397</v>
      </c>
      <c r="W8885" t="s">
        <v>40368</v>
      </c>
      <c r="X8885" t="s">
        <v>41261</v>
      </c>
    </row>
    <row r="8886" spans="1:24">
      <c r="A8886">
        <f>HYPERLINK("https://www.philgeps.gov.ph/GEPSNONPILOT/Tender/SplashBidNoticeAbstractUI.aspx?menuIndex=3&amp;refID=7061759&amp;Result=3","7061759")</f>
        <v>0</v>
      </c>
      <c r="B8886" t="s">
        <v>2664</v>
      </c>
      <c r="C8886" t="s">
        <v>11868</v>
      </c>
      <c r="D8886" t="s">
        <v>16658</v>
      </c>
      <c r="E8886" t="s">
        <v>16758</v>
      </c>
      <c r="F8886" t="s">
        <v>28669</v>
      </c>
      <c r="G8886" t="s">
        <v>28675</v>
      </c>
      <c r="H8886" t="s">
        <v>9998</v>
      </c>
      <c r="I8886" t="s">
        <v>11142</v>
      </c>
      <c r="J8886" t="s">
        <v>34027</v>
      </c>
      <c r="K8886" t="s">
        <v>37210</v>
      </c>
      <c r="M8886" t="s">
        <v>40369</v>
      </c>
      <c r="N8886" t="s">
        <v>41249</v>
      </c>
      <c r="O8886" t="s">
        <v>41250</v>
      </c>
      <c r="P8886">
        <v>0</v>
      </c>
      <c r="Q8886">
        <v>0</v>
      </c>
      <c r="R8886" t="s">
        <v>41259</v>
      </c>
      <c r="S8886" t="s">
        <v>41562</v>
      </c>
      <c r="T8886" t="s">
        <v>42992</v>
      </c>
      <c r="U8886" t="s">
        <v>50398</v>
      </c>
      <c r="W8886" t="s">
        <v>40369</v>
      </c>
      <c r="X8886" t="s">
        <v>41260</v>
      </c>
    </row>
    <row r="8887" spans="1:24">
      <c r="A8887">
        <f>HYPERLINK("https://www.philgeps.gov.ph/GEPSNONPILOT/Tender/SplashBidNoticeAbstractUI.aspx?menuIndex=3&amp;refID=7061205&amp;Result=3","7061205")</f>
        <v>0</v>
      </c>
      <c r="B8887" t="s">
        <v>1379</v>
      </c>
      <c r="C8887" t="s">
        <v>11869</v>
      </c>
      <c r="D8887" t="s">
        <v>16648</v>
      </c>
      <c r="E8887" t="s">
        <v>24446</v>
      </c>
      <c r="F8887" t="s">
        <v>28669</v>
      </c>
      <c r="G8887" t="s">
        <v>28675</v>
      </c>
      <c r="H8887" t="s">
        <v>28686</v>
      </c>
      <c r="I8887" t="s">
        <v>28689</v>
      </c>
      <c r="J8887" t="s">
        <v>34343</v>
      </c>
      <c r="K8887" t="s">
        <v>37233</v>
      </c>
      <c r="M8887" t="s">
        <v>38938</v>
      </c>
      <c r="N8887" t="s">
        <v>41249</v>
      </c>
      <c r="O8887" t="s">
        <v>41250</v>
      </c>
      <c r="P8887">
        <v>0</v>
      </c>
      <c r="Q8887">
        <v>0</v>
      </c>
      <c r="R8887" t="s">
        <v>41259</v>
      </c>
      <c r="S8887" t="s">
        <v>41562</v>
      </c>
      <c r="T8887" t="s">
        <v>42672</v>
      </c>
      <c r="U8887" t="s">
        <v>50399</v>
      </c>
      <c r="W8887" t="s">
        <v>38938</v>
      </c>
      <c r="X8887" t="s">
        <v>41261</v>
      </c>
    </row>
    <row r="8888" spans="1:24">
      <c r="A8888">
        <f>HYPERLINK("https://www.philgeps.gov.ph/GEPSNONPILOT/Tender/SplashBidNoticeAbstractUI.aspx?menuIndex=3&amp;refID=7059372&amp;Result=3","7059372")</f>
        <v>0</v>
      </c>
      <c r="B8888" t="s">
        <v>629</v>
      </c>
      <c r="C8888" t="s">
        <v>11870</v>
      </c>
      <c r="D8888" t="s">
        <v>16648</v>
      </c>
      <c r="E8888" t="s">
        <v>24447</v>
      </c>
      <c r="F8888" t="s">
        <v>28669</v>
      </c>
      <c r="G8888" t="s">
        <v>28675</v>
      </c>
      <c r="H8888" t="s">
        <v>9998</v>
      </c>
      <c r="I8888" t="s">
        <v>11142</v>
      </c>
      <c r="J8888" t="s">
        <v>34344</v>
      </c>
      <c r="K8888" t="s">
        <v>37209</v>
      </c>
      <c r="M8888" t="s">
        <v>38129</v>
      </c>
      <c r="N8888" t="s">
        <v>41249</v>
      </c>
      <c r="O8888" t="s">
        <v>41250</v>
      </c>
      <c r="P8888">
        <v>0</v>
      </c>
      <c r="Q8888">
        <v>0</v>
      </c>
      <c r="R8888" t="s">
        <v>41259</v>
      </c>
      <c r="S8888" t="s">
        <v>41562</v>
      </c>
      <c r="T8888" t="s">
        <v>42858</v>
      </c>
      <c r="U8888" t="s">
        <v>50400</v>
      </c>
      <c r="W8888" t="s">
        <v>38129</v>
      </c>
      <c r="X8888" t="s">
        <v>41261</v>
      </c>
    </row>
    <row r="8889" spans="1:24">
      <c r="A8889">
        <f>HYPERLINK("https://www.philgeps.gov.ph/GEPSNONPILOT/Tender/SplashBidNoticeAbstractUI.aspx?menuIndex=3&amp;refID=7061771&amp;Result=3","7061771")</f>
        <v>0</v>
      </c>
      <c r="B8889" t="s">
        <v>1124</v>
      </c>
      <c r="C8889" t="s">
        <v>11871</v>
      </c>
      <c r="E8889" t="s">
        <v>24448</v>
      </c>
      <c r="F8889" t="s">
        <v>28669</v>
      </c>
      <c r="G8889" t="s">
        <v>28676</v>
      </c>
      <c r="H8889" t="s">
        <v>9998</v>
      </c>
      <c r="I8889" t="s">
        <v>28728</v>
      </c>
      <c r="J8889" t="s">
        <v>30589</v>
      </c>
      <c r="K8889" t="s">
        <v>37209</v>
      </c>
      <c r="M8889" t="s">
        <v>38883</v>
      </c>
      <c r="N8889" t="s">
        <v>41249</v>
      </c>
      <c r="O8889" t="s">
        <v>41250</v>
      </c>
      <c r="P8889">
        <v>0</v>
      </c>
      <c r="Q8889">
        <v>0</v>
      </c>
      <c r="R8889" t="s">
        <v>41259</v>
      </c>
      <c r="S8889" t="s">
        <v>41562</v>
      </c>
      <c r="T8889" t="s">
        <v>42728</v>
      </c>
      <c r="U8889" t="s">
        <v>50401</v>
      </c>
      <c r="W8889" t="s">
        <v>38883</v>
      </c>
      <c r="X8889" t="s">
        <v>41260</v>
      </c>
    </row>
    <row r="8890" spans="1:24">
      <c r="A8890">
        <f>HYPERLINK("https://www.philgeps.gov.ph/GEPSNONPILOT/Tender/SplashBidNoticeAbstractUI.aspx?menuIndex=3&amp;refID=7060043&amp;Result=3","7060043")</f>
        <v>0</v>
      </c>
      <c r="B8890" t="s">
        <v>2656</v>
      </c>
      <c r="C8890" t="s">
        <v>11872</v>
      </c>
      <c r="D8890" t="s">
        <v>16615</v>
      </c>
      <c r="E8890" t="s">
        <v>24449</v>
      </c>
      <c r="F8890" t="s">
        <v>28669</v>
      </c>
      <c r="G8890" t="s">
        <v>28675</v>
      </c>
      <c r="H8890" t="s">
        <v>28686</v>
      </c>
      <c r="I8890" t="s">
        <v>28689</v>
      </c>
      <c r="J8890" t="s">
        <v>34345</v>
      </c>
      <c r="K8890" t="s">
        <v>37214</v>
      </c>
      <c r="M8890" t="s">
        <v>40370</v>
      </c>
      <c r="N8890" t="s">
        <v>41249</v>
      </c>
      <c r="O8890" t="s">
        <v>41250</v>
      </c>
      <c r="P8890">
        <v>0</v>
      </c>
      <c r="Q8890">
        <v>7</v>
      </c>
      <c r="R8890" t="s">
        <v>41259</v>
      </c>
      <c r="S8890" t="s">
        <v>41562</v>
      </c>
      <c r="T8890" t="s">
        <v>42760</v>
      </c>
      <c r="U8890" t="s">
        <v>50381</v>
      </c>
      <c r="W8890" t="s">
        <v>40370</v>
      </c>
      <c r="X8890" t="s">
        <v>41261</v>
      </c>
    </row>
    <row r="8891" spans="1:24">
      <c r="A8891">
        <f>HYPERLINK("https://www.philgeps.gov.ph/GEPSNONPILOT/Tender/SplashBidNoticeAbstractUI.aspx?menuIndex=3&amp;refID=7061863&amp;Result=3","7061863")</f>
        <v>0</v>
      </c>
      <c r="B8891" t="s">
        <v>2665</v>
      </c>
      <c r="C8891" t="s">
        <v>11873</v>
      </c>
      <c r="D8891" t="s">
        <v>16668</v>
      </c>
      <c r="E8891" t="s">
        <v>24450</v>
      </c>
      <c r="F8891" t="s">
        <v>28669</v>
      </c>
      <c r="G8891" t="s">
        <v>28676</v>
      </c>
      <c r="H8891" t="s">
        <v>9998</v>
      </c>
      <c r="I8891" t="s">
        <v>28775</v>
      </c>
      <c r="J8891" t="s">
        <v>34346</v>
      </c>
      <c r="K8891" t="s">
        <v>37205</v>
      </c>
      <c r="M8891" t="s">
        <v>40371</v>
      </c>
      <c r="N8891" t="s">
        <v>41249</v>
      </c>
      <c r="O8891" t="s">
        <v>41250</v>
      </c>
      <c r="P8891">
        <v>0</v>
      </c>
      <c r="Q8891">
        <v>3</v>
      </c>
      <c r="R8891" t="s">
        <v>41259</v>
      </c>
      <c r="S8891" t="s">
        <v>41562</v>
      </c>
      <c r="T8891" t="s">
        <v>42727</v>
      </c>
      <c r="U8891" t="s">
        <v>50402</v>
      </c>
      <c r="W8891" t="s">
        <v>56007</v>
      </c>
      <c r="X8891" t="s">
        <v>41260</v>
      </c>
    </row>
    <row r="8892" spans="1:24">
      <c r="A8892">
        <f>HYPERLINK("https://www.philgeps.gov.ph/GEPSNONPILOT/Tender/SplashBidNoticeAbstractUI.aspx?menuIndex=3&amp;refID=7061858&amp;Result=3","7061858")</f>
        <v>0</v>
      </c>
      <c r="B8892" t="s">
        <v>1340</v>
      </c>
      <c r="C8892" t="s">
        <v>11874</v>
      </c>
      <c r="D8892" t="s">
        <v>16621</v>
      </c>
      <c r="E8892" t="s">
        <v>24451</v>
      </c>
      <c r="F8892" t="s">
        <v>28669</v>
      </c>
      <c r="G8892" t="s">
        <v>28675</v>
      </c>
      <c r="H8892" t="s">
        <v>28686</v>
      </c>
      <c r="I8892" t="s">
        <v>28689</v>
      </c>
      <c r="J8892" t="s">
        <v>34347</v>
      </c>
      <c r="K8892" t="s">
        <v>37213</v>
      </c>
      <c r="M8892" t="s">
        <v>40372</v>
      </c>
      <c r="N8892" t="s">
        <v>41249</v>
      </c>
      <c r="O8892" t="s">
        <v>41250</v>
      </c>
      <c r="P8892">
        <v>0</v>
      </c>
      <c r="Q8892">
        <v>0</v>
      </c>
      <c r="R8892" t="s">
        <v>41259</v>
      </c>
      <c r="S8892" t="s">
        <v>41562</v>
      </c>
      <c r="T8892" t="s">
        <v>42760</v>
      </c>
      <c r="U8892" t="s">
        <v>50403</v>
      </c>
      <c r="V8892" t="s">
        <v>55245</v>
      </c>
      <c r="W8892" t="s">
        <v>40372</v>
      </c>
      <c r="X8892" t="s">
        <v>41260</v>
      </c>
    </row>
    <row r="8893" spans="1:24">
      <c r="A8893">
        <f>HYPERLINK("https://www.philgeps.gov.ph/GEPSNONPILOT/Tender/SplashBidNoticeAbstractUI.aspx?menuIndex=3&amp;refID=7061847&amp;Result=3","7061847")</f>
        <v>0</v>
      </c>
      <c r="B8893" t="s">
        <v>1340</v>
      </c>
      <c r="C8893" t="s">
        <v>11875</v>
      </c>
      <c r="D8893" t="s">
        <v>16621</v>
      </c>
      <c r="E8893" t="s">
        <v>24452</v>
      </c>
      <c r="F8893" t="s">
        <v>28669</v>
      </c>
      <c r="G8893" t="s">
        <v>28675</v>
      </c>
      <c r="H8893" t="s">
        <v>28686</v>
      </c>
      <c r="I8893" t="s">
        <v>28689</v>
      </c>
      <c r="J8893" t="s">
        <v>34348</v>
      </c>
      <c r="K8893" t="s">
        <v>37213</v>
      </c>
      <c r="M8893" t="s">
        <v>40372</v>
      </c>
      <c r="N8893" t="s">
        <v>41249</v>
      </c>
      <c r="O8893" t="s">
        <v>41250</v>
      </c>
      <c r="Q8893">
        <v>0</v>
      </c>
      <c r="R8893" t="s">
        <v>41259</v>
      </c>
      <c r="S8893" t="s">
        <v>41588</v>
      </c>
      <c r="T8893" t="s">
        <v>42760</v>
      </c>
      <c r="U8893" t="s">
        <v>50404</v>
      </c>
      <c r="V8893" t="s">
        <v>55245</v>
      </c>
      <c r="W8893" t="s">
        <v>40372</v>
      </c>
      <c r="X8893" t="s">
        <v>41260</v>
      </c>
    </row>
    <row r="8894" spans="1:24">
      <c r="A8894">
        <f>HYPERLINK("https://www.philgeps.gov.ph/GEPSNONPILOT/Tender/SplashBidNoticeAbstractUI.aspx?menuIndex=3&amp;refID=7059381&amp;Result=3","7059381")</f>
        <v>0</v>
      </c>
      <c r="B8894" t="s">
        <v>2643</v>
      </c>
      <c r="C8894" t="s">
        <v>11876</v>
      </c>
      <c r="D8894" t="s">
        <v>16664</v>
      </c>
      <c r="E8894" t="s">
        <v>24453</v>
      </c>
      <c r="F8894" t="s">
        <v>28669</v>
      </c>
      <c r="G8894" t="s">
        <v>28675</v>
      </c>
      <c r="H8894" t="s">
        <v>9998</v>
      </c>
      <c r="I8894" t="s">
        <v>28743</v>
      </c>
      <c r="J8894" t="s">
        <v>32073</v>
      </c>
      <c r="K8894" t="s">
        <v>37220</v>
      </c>
      <c r="M8894" t="s">
        <v>40343</v>
      </c>
      <c r="N8894" t="s">
        <v>41249</v>
      </c>
      <c r="O8894" t="s">
        <v>41250</v>
      </c>
      <c r="Q8894">
        <v>1</v>
      </c>
      <c r="R8894" t="s">
        <v>41259</v>
      </c>
      <c r="S8894" t="s">
        <v>41589</v>
      </c>
      <c r="T8894" t="s">
        <v>42760</v>
      </c>
      <c r="U8894" t="s">
        <v>50298</v>
      </c>
      <c r="V8894" t="s">
        <v>50298</v>
      </c>
      <c r="W8894" t="s">
        <v>40343</v>
      </c>
      <c r="X8894" t="s">
        <v>41261</v>
      </c>
    </row>
    <row r="8895" spans="1:24">
      <c r="A8895">
        <f>HYPERLINK("https://www.philgeps.gov.ph/GEPSNONPILOT/Tender/SplashBidNoticeAbstractUI.aspx?menuIndex=3&amp;refID=7061886&amp;Result=3","7061886")</f>
        <v>0</v>
      </c>
      <c r="B8895" t="s">
        <v>2445</v>
      </c>
      <c r="C8895" t="s">
        <v>11877</v>
      </c>
      <c r="D8895" t="s">
        <v>16669</v>
      </c>
      <c r="E8895" t="s">
        <v>24454</v>
      </c>
      <c r="F8895" t="s">
        <v>28669</v>
      </c>
      <c r="G8895" t="s">
        <v>28676</v>
      </c>
      <c r="H8895" t="s">
        <v>9998</v>
      </c>
      <c r="I8895" t="s">
        <v>15140</v>
      </c>
      <c r="J8895" t="s">
        <v>34349</v>
      </c>
      <c r="K8895" t="s">
        <v>37204</v>
      </c>
      <c r="M8895" t="s">
        <v>40373</v>
      </c>
      <c r="N8895" t="s">
        <v>41249</v>
      </c>
      <c r="O8895" t="s">
        <v>41250</v>
      </c>
      <c r="P8895">
        <v>0</v>
      </c>
      <c r="Q8895">
        <v>0</v>
      </c>
      <c r="R8895" t="s">
        <v>41259</v>
      </c>
      <c r="S8895" t="s">
        <v>41562</v>
      </c>
      <c r="T8895" t="s">
        <v>42703</v>
      </c>
      <c r="U8895" t="s">
        <v>50405</v>
      </c>
      <c r="W8895" t="s">
        <v>40373</v>
      </c>
      <c r="X8895" t="s">
        <v>41260</v>
      </c>
    </row>
    <row r="8896" spans="1:24">
      <c r="A8896">
        <f>HYPERLINK("https://www.philgeps.gov.ph/GEPSNONPILOT/Tender/SplashBidNoticeAbstractUI.aspx?menuIndex=3&amp;refID=7061840&amp;Result=3","7061840")</f>
        <v>0</v>
      </c>
      <c r="B8896" t="s">
        <v>2445</v>
      </c>
      <c r="C8896" t="s">
        <v>11878</v>
      </c>
      <c r="D8896" t="s">
        <v>16669</v>
      </c>
      <c r="E8896" t="s">
        <v>24455</v>
      </c>
      <c r="F8896" t="s">
        <v>28669</v>
      </c>
      <c r="G8896" t="s">
        <v>28678</v>
      </c>
      <c r="H8896" t="s">
        <v>9998</v>
      </c>
      <c r="I8896" t="s">
        <v>3718</v>
      </c>
      <c r="J8896" t="s">
        <v>28923</v>
      </c>
      <c r="K8896" t="s">
        <v>37204</v>
      </c>
      <c r="M8896" t="s">
        <v>40373</v>
      </c>
      <c r="N8896" t="s">
        <v>41249</v>
      </c>
      <c r="O8896" t="s">
        <v>41250</v>
      </c>
      <c r="P8896">
        <v>0</v>
      </c>
      <c r="Q8896">
        <v>11</v>
      </c>
      <c r="R8896" t="s">
        <v>41259</v>
      </c>
      <c r="S8896" t="s">
        <v>41562</v>
      </c>
      <c r="T8896" t="s">
        <v>42742</v>
      </c>
      <c r="U8896" t="s">
        <v>50406</v>
      </c>
      <c r="W8896" t="s">
        <v>40373</v>
      </c>
      <c r="X8896" t="s">
        <v>41260</v>
      </c>
    </row>
    <row r="8897" spans="1:24">
      <c r="A8897">
        <f>HYPERLINK("https://www.philgeps.gov.ph/GEPSNONPILOT/Tender/SplashBidNoticeAbstractUI.aspx?menuIndex=3&amp;refID=7059395&amp;Result=3","7059395")</f>
        <v>0</v>
      </c>
      <c r="B8897" t="s">
        <v>65</v>
      </c>
      <c r="C8897" t="s">
        <v>11879</v>
      </c>
      <c r="D8897" t="s">
        <v>16626</v>
      </c>
      <c r="E8897" t="s">
        <v>24456</v>
      </c>
      <c r="F8897" t="s">
        <v>28669</v>
      </c>
      <c r="G8897" t="s">
        <v>28676</v>
      </c>
      <c r="H8897" t="s">
        <v>9998</v>
      </c>
      <c r="I8897" t="s">
        <v>28690</v>
      </c>
      <c r="J8897" t="s">
        <v>34350</v>
      </c>
      <c r="K8897" t="s">
        <v>37227</v>
      </c>
      <c r="M8897" t="s">
        <v>37540</v>
      </c>
      <c r="N8897" t="s">
        <v>41249</v>
      </c>
      <c r="O8897" t="s">
        <v>41250</v>
      </c>
      <c r="P8897">
        <v>0</v>
      </c>
      <c r="Q8897">
        <v>8</v>
      </c>
      <c r="R8897" t="s">
        <v>41259</v>
      </c>
      <c r="S8897" t="s">
        <v>41562</v>
      </c>
      <c r="T8897" t="s">
        <v>42910</v>
      </c>
      <c r="U8897" t="s">
        <v>43259</v>
      </c>
      <c r="W8897" t="s">
        <v>55899</v>
      </c>
      <c r="X8897" t="s">
        <v>41261</v>
      </c>
    </row>
    <row r="8898" spans="1:24">
      <c r="A8898">
        <f>HYPERLINK("https://www.philgeps.gov.ph/GEPSNONPILOT/Tender/SplashBidNoticeAbstractUI.aspx?menuIndex=3&amp;refID=7061865&amp;Result=3","7061865")</f>
        <v>0</v>
      </c>
      <c r="B8898" t="s">
        <v>1340</v>
      </c>
      <c r="C8898" t="s">
        <v>11880</v>
      </c>
      <c r="D8898" t="s">
        <v>16621</v>
      </c>
      <c r="E8898" t="s">
        <v>24457</v>
      </c>
      <c r="F8898" t="s">
        <v>28669</v>
      </c>
      <c r="G8898" t="s">
        <v>28675</v>
      </c>
      <c r="H8898" t="s">
        <v>28686</v>
      </c>
      <c r="I8898" t="s">
        <v>28689</v>
      </c>
      <c r="J8898" t="s">
        <v>34351</v>
      </c>
      <c r="K8898" t="s">
        <v>37212</v>
      </c>
      <c r="M8898" t="s">
        <v>40372</v>
      </c>
      <c r="N8898" t="s">
        <v>41249</v>
      </c>
      <c r="O8898" t="s">
        <v>41250</v>
      </c>
      <c r="P8898">
        <v>0</v>
      </c>
      <c r="Q8898">
        <v>0</v>
      </c>
      <c r="R8898" t="s">
        <v>41259</v>
      </c>
      <c r="S8898" t="s">
        <v>41562</v>
      </c>
      <c r="T8898" t="s">
        <v>42760</v>
      </c>
      <c r="U8898" t="s">
        <v>50403</v>
      </c>
      <c r="V8898" t="s">
        <v>55245</v>
      </c>
      <c r="W8898" t="s">
        <v>40372</v>
      </c>
      <c r="X8898" t="s">
        <v>41260</v>
      </c>
    </row>
    <row r="8899" spans="1:24">
      <c r="A8899">
        <f>HYPERLINK("https://www.philgeps.gov.ph/GEPSNONPILOT/Tender/SplashBidNoticeAbstractUI.aspx?menuIndex=3&amp;refID=7061811&amp;Result=3","7061811")</f>
        <v>0</v>
      </c>
      <c r="B8899" t="s">
        <v>2666</v>
      </c>
      <c r="C8899" t="s">
        <v>11881</v>
      </c>
      <c r="D8899" t="s">
        <v>16654</v>
      </c>
      <c r="E8899" t="s">
        <v>24458</v>
      </c>
      <c r="F8899" t="s">
        <v>28669</v>
      </c>
      <c r="G8899" t="s">
        <v>28675</v>
      </c>
      <c r="H8899" t="s">
        <v>28686</v>
      </c>
      <c r="I8899" t="s">
        <v>28689</v>
      </c>
      <c r="J8899" t="s">
        <v>30575</v>
      </c>
      <c r="K8899" t="s">
        <v>37345</v>
      </c>
      <c r="M8899" t="s">
        <v>40374</v>
      </c>
      <c r="N8899" t="s">
        <v>41249</v>
      </c>
      <c r="O8899" t="s">
        <v>41250</v>
      </c>
      <c r="P8899">
        <v>0</v>
      </c>
      <c r="Q8899">
        <v>0</v>
      </c>
      <c r="R8899" t="s">
        <v>41259</v>
      </c>
      <c r="S8899" t="s">
        <v>41562</v>
      </c>
      <c r="T8899" t="s">
        <v>42760</v>
      </c>
      <c r="U8899" t="s">
        <v>50407</v>
      </c>
      <c r="W8899" t="s">
        <v>40374</v>
      </c>
      <c r="X8899" t="s">
        <v>41260</v>
      </c>
    </row>
    <row r="8900" spans="1:24">
      <c r="A8900">
        <f>HYPERLINK("https://www.philgeps.gov.ph/GEPSNONPILOT/Tender/SplashBidNoticeAbstractUI.aspx?menuIndex=3&amp;refID=7061907&amp;Result=3","7061907")</f>
        <v>0</v>
      </c>
      <c r="B8900" t="s">
        <v>2444</v>
      </c>
      <c r="C8900" t="s">
        <v>11882</v>
      </c>
      <c r="D8900" t="s">
        <v>16610</v>
      </c>
      <c r="E8900" t="s">
        <v>24459</v>
      </c>
      <c r="F8900" t="s">
        <v>28669</v>
      </c>
      <c r="G8900" t="s">
        <v>28675</v>
      </c>
      <c r="H8900" t="s">
        <v>9998</v>
      </c>
      <c r="I8900" t="s">
        <v>5213</v>
      </c>
      <c r="J8900" t="s">
        <v>34352</v>
      </c>
      <c r="K8900" t="s">
        <v>37220</v>
      </c>
      <c r="M8900" t="s">
        <v>40127</v>
      </c>
      <c r="N8900" t="s">
        <v>41249</v>
      </c>
      <c r="O8900" t="s">
        <v>41250</v>
      </c>
      <c r="P8900">
        <v>0</v>
      </c>
      <c r="Q8900">
        <v>1</v>
      </c>
      <c r="R8900" t="s">
        <v>41259</v>
      </c>
      <c r="S8900" t="s">
        <v>41562</v>
      </c>
      <c r="T8900" t="s">
        <v>42808</v>
      </c>
      <c r="U8900" t="s">
        <v>50408</v>
      </c>
      <c r="W8900" t="s">
        <v>40127</v>
      </c>
      <c r="X8900" t="s">
        <v>41260</v>
      </c>
    </row>
    <row r="8901" spans="1:24">
      <c r="A8901">
        <f>HYPERLINK("https://www.philgeps.gov.ph/GEPSNONPILOT/Tender/SplashBidNoticeAbstractUI.aspx?menuIndex=3&amp;refID=7061809&amp;Result=3","7061809")</f>
        <v>0</v>
      </c>
      <c r="B8901" t="s">
        <v>1143</v>
      </c>
      <c r="C8901" t="s">
        <v>11883</v>
      </c>
      <c r="D8901" t="s">
        <v>16608</v>
      </c>
      <c r="E8901" t="s">
        <v>24460</v>
      </c>
      <c r="F8901" t="s">
        <v>28669</v>
      </c>
      <c r="G8901" t="s">
        <v>28675</v>
      </c>
      <c r="H8901" t="s">
        <v>9998</v>
      </c>
      <c r="I8901" t="s">
        <v>7352</v>
      </c>
      <c r="J8901" t="s">
        <v>34353</v>
      </c>
      <c r="K8901" t="s">
        <v>37205</v>
      </c>
      <c r="M8901" t="s">
        <v>38678</v>
      </c>
      <c r="N8901" t="s">
        <v>41249</v>
      </c>
      <c r="O8901" t="s">
        <v>41250</v>
      </c>
      <c r="P8901">
        <v>0</v>
      </c>
      <c r="Q8901">
        <v>3</v>
      </c>
      <c r="R8901" t="s">
        <v>41259</v>
      </c>
      <c r="S8901" t="s">
        <v>41562</v>
      </c>
      <c r="T8901" t="s">
        <v>43063</v>
      </c>
      <c r="U8901" t="s">
        <v>50409</v>
      </c>
      <c r="W8901" t="s">
        <v>38678</v>
      </c>
      <c r="X8901" t="s">
        <v>41260</v>
      </c>
    </row>
    <row r="8902" spans="1:24">
      <c r="A8902">
        <f>HYPERLINK("https://www.philgeps.gov.ph/GEPSNONPILOT/Tender/SplashBidNoticeAbstractUI.aspx?menuIndex=3&amp;refID=7061807&amp;Result=3","7061807")</f>
        <v>0</v>
      </c>
      <c r="B8902" t="s">
        <v>2444</v>
      </c>
      <c r="C8902" t="s">
        <v>11884</v>
      </c>
      <c r="D8902" t="s">
        <v>16610</v>
      </c>
      <c r="E8902" t="s">
        <v>24461</v>
      </c>
      <c r="F8902" t="s">
        <v>28669</v>
      </c>
      <c r="G8902" t="s">
        <v>28675</v>
      </c>
      <c r="H8902" t="s">
        <v>9998</v>
      </c>
      <c r="I8902" t="s">
        <v>28687</v>
      </c>
      <c r="J8902" t="s">
        <v>28836</v>
      </c>
      <c r="K8902" t="s">
        <v>37213</v>
      </c>
      <c r="M8902" t="s">
        <v>40127</v>
      </c>
      <c r="N8902" t="s">
        <v>41249</v>
      </c>
      <c r="O8902" t="s">
        <v>41250</v>
      </c>
      <c r="P8902">
        <v>0</v>
      </c>
      <c r="Q8902">
        <v>3</v>
      </c>
      <c r="R8902" t="s">
        <v>41259</v>
      </c>
      <c r="S8902" t="s">
        <v>41562</v>
      </c>
      <c r="T8902" t="s">
        <v>42808</v>
      </c>
      <c r="U8902" t="s">
        <v>50410</v>
      </c>
      <c r="W8902" t="s">
        <v>40127</v>
      </c>
      <c r="X8902" t="s">
        <v>41260</v>
      </c>
    </row>
    <row r="8903" spans="1:24">
      <c r="A8903">
        <f>HYPERLINK("https://www.philgeps.gov.ph/GEPSNONPILOT/Tender/SplashBidNoticeAbstractUI.aspx?menuIndex=3&amp;refID=7061877&amp;Result=3","7061877")</f>
        <v>0</v>
      </c>
      <c r="B8903" t="s">
        <v>1340</v>
      </c>
      <c r="C8903" t="s">
        <v>11885</v>
      </c>
      <c r="D8903" t="s">
        <v>16621</v>
      </c>
      <c r="E8903" t="s">
        <v>24462</v>
      </c>
      <c r="F8903" t="s">
        <v>28669</v>
      </c>
      <c r="G8903" t="s">
        <v>28675</v>
      </c>
      <c r="H8903" t="s">
        <v>28686</v>
      </c>
      <c r="I8903" t="s">
        <v>28689</v>
      </c>
      <c r="J8903" t="s">
        <v>34354</v>
      </c>
      <c r="K8903" t="s">
        <v>37215</v>
      </c>
      <c r="M8903" t="s">
        <v>40372</v>
      </c>
      <c r="N8903" t="s">
        <v>41249</v>
      </c>
      <c r="O8903" t="s">
        <v>41250</v>
      </c>
      <c r="P8903">
        <v>0</v>
      </c>
      <c r="Q8903">
        <v>0</v>
      </c>
      <c r="R8903" t="s">
        <v>41259</v>
      </c>
      <c r="S8903" t="s">
        <v>41562</v>
      </c>
      <c r="T8903" t="s">
        <v>42760</v>
      </c>
      <c r="U8903" t="s">
        <v>50411</v>
      </c>
      <c r="V8903" t="s">
        <v>55245</v>
      </c>
      <c r="W8903" t="s">
        <v>40372</v>
      </c>
      <c r="X8903" t="s">
        <v>41260</v>
      </c>
    </row>
    <row r="8904" spans="1:24">
      <c r="A8904">
        <f>HYPERLINK("https://www.philgeps.gov.ph/GEPSNONPILOT/Tender/SplashBidNoticeAbstractUI.aspx?menuIndex=3&amp;refID=7061792&amp;Result=3","7061792")</f>
        <v>0</v>
      </c>
      <c r="B8904" t="s">
        <v>974</v>
      </c>
      <c r="C8904" t="s">
        <v>11886</v>
      </c>
      <c r="D8904" t="s">
        <v>16621</v>
      </c>
      <c r="E8904" t="s">
        <v>24463</v>
      </c>
      <c r="F8904" t="s">
        <v>28669</v>
      </c>
      <c r="G8904" t="s">
        <v>28675</v>
      </c>
      <c r="H8904" t="s">
        <v>28686</v>
      </c>
      <c r="I8904" t="s">
        <v>28689</v>
      </c>
      <c r="J8904" t="s">
        <v>34355</v>
      </c>
      <c r="K8904" t="s">
        <v>37212</v>
      </c>
      <c r="M8904" t="s">
        <v>38499</v>
      </c>
      <c r="N8904" t="s">
        <v>41249</v>
      </c>
      <c r="O8904" t="s">
        <v>41250</v>
      </c>
      <c r="P8904">
        <v>0</v>
      </c>
      <c r="Q8904">
        <v>1</v>
      </c>
      <c r="R8904" t="s">
        <v>41259</v>
      </c>
      <c r="S8904" t="s">
        <v>41562</v>
      </c>
      <c r="T8904" t="s">
        <v>43079</v>
      </c>
      <c r="U8904" t="s">
        <v>45182</v>
      </c>
      <c r="W8904" t="s">
        <v>38499</v>
      </c>
      <c r="X8904" t="s">
        <v>41260</v>
      </c>
    </row>
    <row r="8905" spans="1:24">
      <c r="A8905">
        <f>HYPERLINK("https://www.philgeps.gov.ph/GEPSNONPILOT/Tender/SplashBidNoticeAbstractUI.aspx?menuIndex=3&amp;refID=7061790&amp;Result=3","7061790")</f>
        <v>0</v>
      </c>
      <c r="B8905" t="s">
        <v>2667</v>
      </c>
      <c r="C8905" t="s">
        <v>11887</v>
      </c>
      <c r="D8905" t="s">
        <v>16654</v>
      </c>
      <c r="E8905" t="s">
        <v>24464</v>
      </c>
      <c r="F8905" t="s">
        <v>28669</v>
      </c>
      <c r="G8905" t="s">
        <v>28675</v>
      </c>
      <c r="H8905" t="s">
        <v>9998</v>
      </c>
      <c r="I8905" t="s">
        <v>28706</v>
      </c>
      <c r="J8905" t="s">
        <v>34356</v>
      </c>
      <c r="K8905" t="s">
        <v>37209</v>
      </c>
      <c r="M8905" t="s">
        <v>40375</v>
      </c>
      <c r="N8905" t="s">
        <v>41249</v>
      </c>
      <c r="O8905" t="s">
        <v>41250</v>
      </c>
      <c r="P8905">
        <v>0</v>
      </c>
      <c r="Q8905">
        <v>2</v>
      </c>
      <c r="R8905" t="s">
        <v>41259</v>
      </c>
      <c r="S8905" t="s">
        <v>41562</v>
      </c>
      <c r="T8905" t="s">
        <v>43063</v>
      </c>
      <c r="U8905" t="s">
        <v>50412</v>
      </c>
      <c r="W8905" t="s">
        <v>40375</v>
      </c>
      <c r="X8905" t="s">
        <v>41260</v>
      </c>
    </row>
    <row r="8906" spans="1:24">
      <c r="A8906">
        <f>HYPERLINK("https://www.philgeps.gov.ph/GEPSNONPILOT/Tender/SplashBidNoticeAbstractUI.aspx?menuIndex=3&amp;refID=7061909&amp;Result=3","7061909")</f>
        <v>0</v>
      </c>
      <c r="B8906" t="s">
        <v>2668</v>
      </c>
      <c r="C8906" t="s">
        <v>11888</v>
      </c>
      <c r="D8906" t="s">
        <v>16623</v>
      </c>
      <c r="E8906" t="s">
        <v>24465</v>
      </c>
      <c r="F8906" t="s">
        <v>28669</v>
      </c>
      <c r="G8906" t="s">
        <v>28676</v>
      </c>
      <c r="H8906" t="s">
        <v>9998</v>
      </c>
      <c r="I8906" t="s">
        <v>6128</v>
      </c>
      <c r="J8906" t="s">
        <v>29183</v>
      </c>
      <c r="K8906" t="s">
        <v>37204</v>
      </c>
      <c r="M8906" t="s">
        <v>40376</v>
      </c>
      <c r="N8906" t="s">
        <v>41249</v>
      </c>
      <c r="O8906" t="s">
        <v>41250</v>
      </c>
      <c r="P8906">
        <v>0</v>
      </c>
      <c r="Q8906">
        <v>6</v>
      </c>
      <c r="R8906" t="s">
        <v>41259</v>
      </c>
      <c r="S8906" t="s">
        <v>41562</v>
      </c>
      <c r="T8906" t="s">
        <v>42758</v>
      </c>
      <c r="U8906" t="s">
        <v>50413</v>
      </c>
      <c r="W8906" t="s">
        <v>40376</v>
      </c>
      <c r="X8906" t="s">
        <v>41260</v>
      </c>
    </row>
    <row r="8907" spans="1:24">
      <c r="A8907">
        <f>HYPERLINK("https://www.philgeps.gov.ph/GEPSNONPILOT/Tender/SplashBidNoticeAbstractUI.aspx?menuIndex=3&amp;refID=7062034&amp;Result=3","7062034")</f>
        <v>0</v>
      </c>
      <c r="B8907" t="s">
        <v>2665</v>
      </c>
      <c r="C8907" t="s">
        <v>11889</v>
      </c>
      <c r="D8907" t="s">
        <v>16668</v>
      </c>
      <c r="E8907" t="s">
        <v>24466</v>
      </c>
      <c r="F8907" t="s">
        <v>28669</v>
      </c>
      <c r="G8907" t="s">
        <v>28676</v>
      </c>
      <c r="H8907" t="s">
        <v>28684</v>
      </c>
      <c r="I8907" t="s">
        <v>28701</v>
      </c>
      <c r="J8907" t="s">
        <v>33279</v>
      </c>
      <c r="K8907" t="s">
        <v>37205</v>
      </c>
      <c r="M8907" t="s">
        <v>40371</v>
      </c>
      <c r="N8907" t="s">
        <v>41249</v>
      </c>
      <c r="O8907" t="s">
        <v>41250</v>
      </c>
      <c r="P8907">
        <v>0</v>
      </c>
      <c r="Q8907">
        <v>1</v>
      </c>
      <c r="R8907" t="s">
        <v>41259</v>
      </c>
      <c r="S8907" t="s">
        <v>41562</v>
      </c>
      <c r="T8907" t="s">
        <v>42728</v>
      </c>
      <c r="U8907" t="s">
        <v>50414</v>
      </c>
      <c r="W8907" t="s">
        <v>56007</v>
      </c>
      <c r="X8907" t="s">
        <v>41260</v>
      </c>
    </row>
    <row r="8908" spans="1:24">
      <c r="A8908">
        <f>HYPERLINK("https://www.philgeps.gov.ph/GEPSNONPILOT/Tender/SplashBidNoticeAbstractUI.aspx?menuIndex=3&amp;refID=7061814&amp;Result=3","7061814")</f>
        <v>0</v>
      </c>
      <c r="B8908" t="s">
        <v>2669</v>
      </c>
      <c r="C8908" t="s">
        <v>11890</v>
      </c>
      <c r="D8908" t="s">
        <v>16662</v>
      </c>
      <c r="E8908" t="s">
        <v>24467</v>
      </c>
      <c r="F8908" t="s">
        <v>28669</v>
      </c>
      <c r="G8908" t="s">
        <v>28675</v>
      </c>
      <c r="H8908" t="s">
        <v>9998</v>
      </c>
      <c r="I8908" t="s">
        <v>28722</v>
      </c>
      <c r="J8908" t="s">
        <v>34357</v>
      </c>
      <c r="K8908" t="s">
        <v>37206</v>
      </c>
      <c r="M8908" t="s">
        <v>40377</v>
      </c>
      <c r="N8908" t="s">
        <v>41249</v>
      </c>
      <c r="O8908" t="s">
        <v>41250</v>
      </c>
      <c r="P8908">
        <v>0</v>
      </c>
      <c r="Q8908">
        <v>0</v>
      </c>
      <c r="R8908" t="s">
        <v>41259</v>
      </c>
      <c r="S8908" t="s">
        <v>41562</v>
      </c>
      <c r="T8908" t="s">
        <v>42767</v>
      </c>
      <c r="U8908" t="s">
        <v>50415</v>
      </c>
      <c r="W8908" t="s">
        <v>40377</v>
      </c>
      <c r="X8908" t="s">
        <v>41260</v>
      </c>
    </row>
    <row r="8909" spans="1:24">
      <c r="A8909">
        <f>HYPERLINK("https://www.philgeps.gov.ph/GEPSNONPILOT/Tender/SplashBidNoticeAbstractUI.aspx?menuIndex=3&amp;refID=7062032&amp;Result=3","7062032")</f>
        <v>0</v>
      </c>
      <c r="B8909" t="s">
        <v>2670</v>
      </c>
      <c r="C8909" t="s">
        <v>11891</v>
      </c>
      <c r="D8909" t="s">
        <v>16626</v>
      </c>
      <c r="E8909" t="s">
        <v>24468</v>
      </c>
      <c r="F8909" t="s">
        <v>28669</v>
      </c>
      <c r="G8909" t="s">
        <v>28675</v>
      </c>
      <c r="H8909" t="s">
        <v>28686</v>
      </c>
      <c r="I8909" t="s">
        <v>28689</v>
      </c>
      <c r="J8909" t="s">
        <v>34358</v>
      </c>
      <c r="K8909" t="s">
        <v>37205</v>
      </c>
      <c r="M8909" t="s">
        <v>40378</v>
      </c>
      <c r="N8909" t="s">
        <v>41249</v>
      </c>
      <c r="O8909" t="s">
        <v>41250</v>
      </c>
      <c r="P8909">
        <v>0</v>
      </c>
      <c r="Q8909">
        <v>1</v>
      </c>
      <c r="R8909" t="s">
        <v>41259</v>
      </c>
      <c r="S8909" t="s">
        <v>41562</v>
      </c>
      <c r="T8909" t="s">
        <v>42743</v>
      </c>
      <c r="U8909" t="s">
        <v>50416</v>
      </c>
      <c r="W8909" t="s">
        <v>40378</v>
      </c>
      <c r="X8909" t="s">
        <v>41260</v>
      </c>
    </row>
    <row r="8910" spans="1:24">
      <c r="A8910">
        <f>HYPERLINK("https://www.philgeps.gov.ph/GEPSNONPILOT/Tender/SplashBidNoticeAbstractUI.aspx?menuIndex=3&amp;refID=7062024&amp;Result=3","7062024")</f>
        <v>0</v>
      </c>
      <c r="B8910" t="s">
        <v>1340</v>
      </c>
      <c r="C8910" t="s">
        <v>11892</v>
      </c>
      <c r="D8910" t="s">
        <v>16621</v>
      </c>
      <c r="E8910" t="s">
        <v>24469</v>
      </c>
      <c r="F8910" t="s">
        <v>28669</v>
      </c>
      <c r="G8910" t="s">
        <v>28675</v>
      </c>
      <c r="H8910" t="s">
        <v>28686</v>
      </c>
      <c r="I8910" t="s">
        <v>28689</v>
      </c>
      <c r="J8910" t="s">
        <v>34359</v>
      </c>
      <c r="K8910" t="s">
        <v>37214</v>
      </c>
      <c r="M8910" t="s">
        <v>40372</v>
      </c>
      <c r="N8910" t="s">
        <v>41249</v>
      </c>
      <c r="O8910" t="s">
        <v>41250</v>
      </c>
      <c r="P8910">
        <v>0</v>
      </c>
      <c r="Q8910">
        <v>0</v>
      </c>
      <c r="R8910" t="s">
        <v>41259</v>
      </c>
      <c r="S8910" t="s">
        <v>41562</v>
      </c>
      <c r="T8910" t="s">
        <v>42760</v>
      </c>
      <c r="U8910" t="s">
        <v>50417</v>
      </c>
      <c r="V8910" t="s">
        <v>55245</v>
      </c>
      <c r="W8910" t="s">
        <v>40372</v>
      </c>
      <c r="X8910" t="s">
        <v>41260</v>
      </c>
    </row>
    <row r="8911" spans="1:24">
      <c r="A8911">
        <f>HYPERLINK("https://www.philgeps.gov.ph/GEPSNONPILOT/Tender/SplashBidNoticeAbstractUI.aspx?menuIndex=3&amp;refID=7062025&amp;Result=3","7062025")</f>
        <v>0</v>
      </c>
      <c r="B8911" t="s">
        <v>2444</v>
      </c>
      <c r="C8911" t="s">
        <v>11893</v>
      </c>
      <c r="D8911" t="s">
        <v>16610</v>
      </c>
      <c r="E8911" t="s">
        <v>24470</v>
      </c>
      <c r="F8911" t="s">
        <v>28669</v>
      </c>
      <c r="G8911" t="s">
        <v>28675</v>
      </c>
      <c r="H8911" t="s">
        <v>28686</v>
      </c>
      <c r="I8911" t="s">
        <v>28689</v>
      </c>
      <c r="J8911" t="s">
        <v>34360</v>
      </c>
      <c r="K8911" t="s">
        <v>37227</v>
      </c>
      <c r="M8911" t="s">
        <v>40127</v>
      </c>
      <c r="N8911" t="s">
        <v>41249</v>
      </c>
      <c r="O8911" t="s">
        <v>41250</v>
      </c>
      <c r="P8911">
        <v>0</v>
      </c>
      <c r="Q8911">
        <v>0</v>
      </c>
      <c r="R8911" t="s">
        <v>41259</v>
      </c>
      <c r="S8911" t="s">
        <v>41562</v>
      </c>
      <c r="T8911" t="s">
        <v>42754</v>
      </c>
      <c r="U8911" t="s">
        <v>50418</v>
      </c>
      <c r="W8911" t="s">
        <v>40127</v>
      </c>
      <c r="X8911" t="s">
        <v>41260</v>
      </c>
    </row>
    <row r="8912" spans="1:24">
      <c r="A8912">
        <f>HYPERLINK("https://www.philgeps.gov.ph/GEPSNONPILOT/Tender/SplashBidNoticeAbstractUI.aspx?menuIndex=3&amp;refID=7062009&amp;Result=3","7062009")</f>
        <v>0</v>
      </c>
      <c r="B8912" t="s">
        <v>1340</v>
      </c>
      <c r="C8912" t="s">
        <v>11894</v>
      </c>
      <c r="D8912" t="s">
        <v>16621</v>
      </c>
      <c r="E8912" t="s">
        <v>24471</v>
      </c>
      <c r="F8912" t="s">
        <v>28669</v>
      </c>
      <c r="G8912" t="s">
        <v>28675</v>
      </c>
      <c r="H8912" t="s">
        <v>28686</v>
      </c>
      <c r="I8912" t="s">
        <v>28689</v>
      </c>
      <c r="J8912" t="s">
        <v>34361</v>
      </c>
      <c r="K8912" t="s">
        <v>37255</v>
      </c>
      <c r="M8912" t="s">
        <v>40372</v>
      </c>
      <c r="N8912" t="s">
        <v>41249</v>
      </c>
      <c r="O8912" t="s">
        <v>41250</v>
      </c>
      <c r="P8912">
        <v>0</v>
      </c>
      <c r="Q8912">
        <v>0</v>
      </c>
      <c r="R8912" t="s">
        <v>41259</v>
      </c>
      <c r="S8912" t="s">
        <v>41562</v>
      </c>
      <c r="T8912" t="s">
        <v>42760</v>
      </c>
      <c r="U8912" t="s">
        <v>50419</v>
      </c>
      <c r="V8912" t="s">
        <v>55245</v>
      </c>
      <c r="W8912" t="s">
        <v>40372</v>
      </c>
      <c r="X8912" t="s">
        <v>41260</v>
      </c>
    </row>
    <row r="8913" spans="1:24">
      <c r="A8913">
        <f>HYPERLINK("https://www.philgeps.gov.ph/GEPSNONPILOT/Tender/SplashBidNoticeAbstractUI.aspx?menuIndex=3&amp;refID=7062000&amp;Result=3","7062000")</f>
        <v>0</v>
      </c>
      <c r="B8913" t="s">
        <v>260</v>
      </c>
      <c r="C8913" t="s">
        <v>11895</v>
      </c>
      <c r="D8913" t="s">
        <v>16646</v>
      </c>
      <c r="E8913" t="s">
        <v>24472</v>
      </c>
      <c r="F8913" t="s">
        <v>28669</v>
      </c>
      <c r="G8913" t="s">
        <v>28675</v>
      </c>
      <c r="H8913" t="s">
        <v>28686</v>
      </c>
      <c r="I8913" t="s">
        <v>28689</v>
      </c>
      <c r="J8913" t="s">
        <v>34362</v>
      </c>
      <c r="K8913" t="s">
        <v>37375</v>
      </c>
      <c r="M8913" t="s">
        <v>37738</v>
      </c>
      <c r="N8913" t="s">
        <v>41249</v>
      </c>
      <c r="O8913" t="s">
        <v>41250</v>
      </c>
      <c r="P8913">
        <v>0</v>
      </c>
      <c r="Q8913">
        <v>0</v>
      </c>
      <c r="R8913" t="s">
        <v>41259</v>
      </c>
      <c r="S8913" t="s">
        <v>41562</v>
      </c>
      <c r="T8913" t="s">
        <v>42665</v>
      </c>
      <c r="U8913" t="s">
        <v>50420</v>
      </c>
      <c r="W8913" t="s">
        <v>37738</v>
      </c>
      <c r="X8913" t="s">
        <v>41260</v>
      </c>
    </row>
    <row r="8914" spans="1:24">
      <c r="A8914">
        <f>HYPERLINK("https://www.philgeps.gov.ph/GEPSNONPILOT/Tender/SplashBidNoticeAbstractUI.aspx?menuIndex=3&amp;refID=7061999&amp;Result=3","7061999")</f>
        <v>0</v>
      </c>
      <c r="B8914" t="s">
        <v>299</v>
      </c>
      <c r="C8914" t="s">
        <v>11896</v>
      </c>
      <c r="D8914" t="s">
        <v>16639</v>
      </c>
      <c r="E8914" t="s">
        <v>24473</v>
      </c>
      <c r="F8914" t="s">
        <v>28669</v>
      </c>
      <c r="G8914" t="s">
        <v>28675</v>
      </c>
      <c r="H8914" t="s">
        <v>28686</v>
      </c>
      <c r="I8914" t="s">
        <v>28689</v>
      </c>
      <c r="J8914" t="s">
        <v>34363</v>
      </c>
      <c r="K8914" t="s">
        <v>37220</v>
      </c>
      <c r="M8914" t="s">
        <v>37778</v>
      </c>
      <c r="N8914" t="s">
        <v>41249</v>
      </c>
      <c r="O8914" t="s">
        <v>41250</v>
      </c>
      <c r="P8914">
        <v>0</v>
      </c>
      <c r="Q8914">
        <v>3</v>
      </c>
      <c r="R8914" t="s">
        <v>41259</v>
      </c>
      <c r="S8914" t="s">
        <v>41562</v>
      </c>
      <c r="T8914" t="s">
        <v>42660</v>
      </c>
      <c r="U8914" t="s">
        <v>50421</v>
      </c>
      <c r="W8914" t="s">
        <v>37778</v>
      </c>
      <c r="X8914" t="s">
        <v>41260</v>
      </c>
    </row>
    <row r="8915" spans="1:24">
      <c r="A8915">
        <f>HYPERLINK("https://www.philgeps.gov.ph/GEPSNONPILOT/Tender/SplashBidNoticeAbstractUI.aspx?menuIndex=3&amp;refID=7059342&amp;Result=3","7059342")</f>
        <v>0</v>
      </c>
      <c r="B8915" t="s">
        <v>1477</v>
      </c>
      <c r="C8915" t="s">
        <v>11897</v>
      </c>
      <c r="D8915" t="s">
        <v>16671</v>
      </c>
      <c r="E8915" t="s">
        <v>22530</v>
      </c>
      <c r="F8915" t="s">
        <v>28671</v>
      </c>
      <c r="G8915" t="s">
        <v>28679</v>
      </c>
      <c r="H8915" t="s">
        <v>28686</v>
      </c>
      <c r="I8915" t="s">
        <v>28689</v>
      </c>
      <c r="J8915" t="s">
        <v>34364</v>
      </c>
      <c r="K8915" t="s">
        <v>37221</v>
      </c>
      <c r="M8915" t="s">
        <v>39045</v>
      </c>
      <c r="N8915" t="s">
        <v>41249</v>
      </c>
      <c r="O8915" t="s">
        <v>41250</v>
      </c>
      <c r="P8915">
        <v>0</v>
      </c>
      <c r="Q8915">
        <v>1</v>
      </c>
      <c r="R8915" t="s">
        <v>41259</v>
      </c>
      <c r="S8915" t="s">
        <v>41562</v>
      </c>
      <c r="T8915" t="s">
        <v>42670</v>
      </c>
      <c r="U8915" t="s">
        <v>50422</v>
      </c>
      <c r="W8915" t="s">
        <v>39045</v>
      </c>
      <c r="X8915" t="s">
        <v>41261</v>
      </c>
    </row>
    <row r="8916" spans="1:24">
      <c r="A8916">
        <f>HYPERLINK("https://www.philgeps.gov.ph/GEPSNONPILOT/Tender/SplashBidNoticeAbstractUI.aspx?menuIndex=3&amp;refID=7061977&amp;Result=3","7061977")</f>
        <v>0</v>
      </c>
      <c r="B8916" t="s">
        <v>2669</v>
      </c>
      <c r="C8916" t="s">
        <v>11898</v>
      </c>
      <c r="D8916" t="s">
        <v>16662</v>
      </c>
      <c r="E8916" t="s">
        <v>24474</v>
      </c>
      <c r="F8916" t="s">
        <v>28669</v>
      </c>
      <c r="G8916" t="s">
        <v>28675</v>
      </c>
      <c r="H8916" t="s">
        <v>9998</v>
      </c>
      <c r="I8916" t="s">
        <v>28695</v>
      </c>
      <c r="J8916" t="s">
        <v>34365</v>
      </c>
      <c r="K8916" t="s">
        <v>37206</v>
      </c>
      <c r="M8916" t="s">
        <v>40377</v>
      </c>
      <c r="N8916" t="s">
        <v>41249</v>
      </c>
      <c r="O8916" t="s">
        <v>41250</v>
      </c>
      <c r="P8916">
        <v>0</v>
      </c>
      <c r="Q8916">
        <v>0</v>
      </c>
      <c r="R8916" t="s">
        <v>41259</v>
      </c>
      <c r="S8916" t="s">
        <v>41562</v>
      </c>
      <c r="T8916" t="s">
        <v>42668</v>
      </c>
      <c r="U8916" t="s">
        <v>50423</v>
      </c>
      <c r="W8916" t="s">
        <v>40377</v>
      </c>
      <c r="X8916" t="s">
        <v>41260</v>
      </c>
    </row>
    <row r="8917" spans="1:24">
      <c r="A8917">
        <f>HYPERLINK("https://www.philgeps.gov.ph/GEPSNONPILOT/Tender/SplashBidNoticeAbstractUI.aspx?menuIndex=3&amp;refID=7061949&amp;Result=3","7061949")</f>
        <v>0</v>
      </c>
      <c r="B8917" t="s">
        <v>1340</v>
      </c>
      <c r="C8917" t="s">
        <v>11899</v>
      </c>
      <c r="D8917" t="s">
        <v>16621</v>
      </c>
      <c r="E8917" t="s">
        <v>24475</v>
      </c>
      <c r="F8917" t="s">
        <v>28669</v>
      </c>
      <c r="G8917" t="s">
        <v>28675</v>
      </c>
      <c r="H8917" t="s">
        <v>28686</v>
      </c>
      <c r="I8917" t="s">
        <v>28689</v>
      </c>
      <c r="J8917" t="s">
        <v>34366</v>
      </c>
      <c r="K8917" t="s">
        <v>37215</v>
      </c>
      <c r="M8917" t="s">
        <v>40372</v>
      </c>
      <c r="N8917" t="s">
        <v>41249</v>
      </c>
      <c r="O8917" t="s">
        <v>41250</v>
      </c>
      <c r="P8917">
        <v>0</v>
      </c>
      <c r="Q8917">
        <v>0</v>
      </c>
      <c r="R8917" t="s">
        <v>41259</v>
      </c>
      <c r="S8917" t="s">
        <v>41562</v>
      </c>
      <c r="T8917" t="s">
        <v>42760</v>
      </c>
      <c r="U8917" t="s">
        <v>50424</v>
      </c>
      <c r="V8917" t="s">
        <v>55245</v>
      </c>
      <c r="W8917" t="s">
        <v>40372</v>
      </c>
      <c r="X8917" t="s">
        <v>41260</v>
      </c>
    </row>
    <row r="8918" spans="1:24">
      <c r="A8918">
        <f>HYPERLINK("https://www.philgeps.gov.ph/GEPSNONPILOT/Tender/SplashBidNoticeAbstractUI.aspx?menuIndex=3&amp;refID=7061823&amp;Result=3","7061823")</f>
        <v>0</v>
      </c>
      <c r="B8918" t="s">
        <v>1340</v>
      </c>
      <c r="C8918" t="s">
        <v>11900</v>
      </c>
      <c r="D8918" t="s">
        <v>16621</v>
      </c>
      <c r="E8918" t="s">
        <v>24476</v>
      </c>
      <c r="F8918" t="s">
        <v>28669</v>
      </c>
      <c r="G8918" t="s">
        <v>28675</v>
      </c>
      <c r="H8918" t="s">
        <v>28686</v>
      </c>
      <c r="I8918" t="s">
        <v>28689</v>
      </c>
      <c r="J8918" t="s">
        <v>34367</v>
      </c>
      <c r="K8918" t="s">
        <v>37218</v>
      </c>
      <c r="M8918" t="s">
        <v>40372</v>
      </c>
      <c r="N8918" t="s">
        <v>41249</v>
      </c>
      <c r="O8918" t="s">
        <v>41250</v>
      </c>
      <c r="P8918">
        <v>0</v>
      </c>
      <c r="Q8918">
        <v>1</v>
      </c>
      <c r="R8918" t="s">
        <v>41259</v>
      </c>
      <c r="S8918" t="s">
        <v>41562</v>
      </c>
      <c r="T8918" t="s">
        <v>42760</v>
      </c>
      <c r="U8918" t="s">
        <v>50425</v>
      </c>
      <c r="V8918" t="s">
        <v>55245</v>
      </c>
      <c r="W8918" t="s">
        <v>40372</v>
      </c>
      <c r="X8918" t="s">
        <v>41260</v>
      </c>
    </row>
    <row r="8919" spans="1:24">
      <c r="A8919">
        <f>HYPERLINK("https://www.philgeps.gov.ph/GEPSNONPILOT/Tender/SplashBidNoticeAbstractUI.aspx?menuIndex=3&amp;refID=7061939&amp;Result=3","7061939")</f>
        <v>0</v>
      </c>
      <c r="B8919" t="s">
        <v>1340</v>
      </c>
      <c r="C8919" t="s">
        <v>11901</v>
      </c>
      <c r="D8919" t="s">
        <v>16621</v>
      </c>
      <c r="E8919" t="s">
        <v>24477</v>
      </c>
      <c r="F8919" t="s">
        <v>28669</v>
      </c>
      <c r="G8919" t="s">
        <v>28675</v>
      </c>
      <c r="H8919" t="s">
        <v>28686</v>
      </c>
      <c r="I8919" t="s">
        <v>28689</v>
      </c>
      <c r="J8919" t="s">
        <v>34368</v>
      </c>
      <c r="K8919" t="s">
        <v>37213</v>
      </c>
      <c r="M8919" t="s">
        <v>40372</v>
      </c>
      <c r="N8919" t="s">
        <v>41249</v>
      </c>
      <c r="O8919" t="s">
        <v>41250</v>
      </c>
      <c r="P8919">
        <v>0</v>
      </c>
      <c r="Q8919">
        <v>0</v>
      </c>
      <c r="R8919" t="s">
        <v>41259</v>
      </c>
      <c r="S8919" t="s">
        <v>41562</v>
      </c>
      <c r="T8919" t="s">
        <v>42760</v>
      </c>
      <c r="U8919" t="s">
        <v>50426</v>
      </c>
      <c r="V8919" t="s">
        <v>55245</v>
      </c>
      <c r="W8919" t="s">
        <v>40372</v>
      </c>
      <c r="X8919" t="s">
        <v>41260</v>
      </c>
    </row>
    <row r="8920" spans="1:24">
      <c r="A8920">
        <f>HYPERLINK("https://www.philgeps.gov.ph/GEPSNONPILOT/Tender/SplashBidNoticeAbstractUI.aspx?menuIndex=3&amp;refID=7062051&amp;Result=3","7062051")</f>
        <v>0</v>
      </c>
      <c r="B8920" t="s">
        <v>546</v>
      </c>
      <c r="C8920" t="s">
        <v>11902</v>
      </c>
      <c r="D8920" t="s">
        <v>16629</v>
      </c>
      <c r="E8920" t="s">
        <v>17140</v>
      </c>
      <c r="F8920" t="s">
        <v>28669</v>
      </c>
      <c r="G8920" t="s">
        <v>28675</v>
      </c>
      <c r="H8920" t="s">
        <v>9998</v>
      </c>
      <c r="I8920" t="s">
        <v>7352</v>
      </c>
      <c r="J8920" t="s">
        <v>34369</v>
      </c>
      <c r="K8920" t="s">
        <v>37227</v>
      </c>
      <c r="M8920" t="s">
        <v>38039</v>
      </c>
      <c r="N8920" t="s">
        <v>41249</v>
      </c>
      <c r="O8920" t="s">
        <v>41250</v>
      </c>
      <c r="P8920">
        <v>0</v>
      </c>
      <c r="Q8920">
        <v>0</v>
      </c>
      <c r="R8920" t="s">
        <v>41259</v>
      </c>
      <c r="S8920" t="s">
        <v>41562</v>
      </c>
      <c r="T8920" t="s">
        <v>42679</v>
      </c>
      <c r="U8920" t="s">
        <v>50427</v>
      </c>
      <c r="W8920" t="s">
        <v>38039</v>
      </c>
      <c r="X8920" t="s">
        <v>41260</v>
      </c>
    </row>
    <row r="8921" spans="1:24">
      <c r="A8921">
        <f>HYPERLINK("https://www.philgeps.gov.ph/GEPSNONPILOT/Tender/SplashBidNoticeAbstractUI.aspx?menuIndex=3&amp;refID=7061996&amp;Result=3","7061996")</f>
        <v>0</v>
      </c>
      <c r="B8921" t="s">
        <v>524</v>
      </c>
      <c r="C8921" t="s">
        <v>11903</v>
      </c>
      <c r="D8921" t="s">
        <v>16654</v>
      </c>
      <c r="E8921" t="s">
        <v>24478</v>
      </c>
      <c r="F8921" t="s">
        <v>28669</v>
      </c>
      <c r="G8921" t="s">
        <v>28675</v>
      </c>
      <c r="H8921" t="s">
        <v>28686</v>
      </c>
      <c r="I8921" t="s">
        <v>28689</v>
      </c>
      <c r="J8921" t="s">
        <v>34370</v>
      </c>
      <c r="K8921" t="s">
        <v>37206</v>
      </c>
      <c r="M8921" t="s">
        <v>38015</v>
      </c>
      <c r="N8921" t="s">
        <v>41249</v>
      </c>
      <c r="O8921" t="s">
        <v>41250</v>
      </c>
      <c r="P8921">
        <v>0</v>
      </c>
      <c r="Q8921">
        <v>0</v>
      </c>
      <c r="R8921" t="s">
        <v>41259</v>
      </c>
      <c r="S8921" t="s">
        <v>41562</v>
      </c>
      <c r="T8921" t="s">
        <v>42703</v>
      </c>
      <c r="U8921" t="s">
        <v>50428</v>
      </c>
      <c r="W8921" t="s">
        <v>38015</v>
      </c>
      <c r="X8921" t="s">
        <v>41260</v>
      </c>
    </row>
    <row r="8922" spans="1:24">
      <c r="A8922">
        <f>HYPERLINK("https://www.philgeps.gov.ph/GEPSNONPILOT/Tender/SplashBidNoticeAbstractUI.aspx?menuIndex=3&amp;refID=7062042&amp;Result=3","7062042")</f>
        <v>0</v>
      </c>
      <c r="B8922" t="s">
        <v>1156</v>
      </c>
      <c r="C8922" t="s">
        <v>11904</v>
      </c>
      <c r="D8922" t="s">
        <v>16678</v>
      </c>
      <c r="E8922" t="s">
        <v>24479</v>
      </c>
      <c r="F8922" t="s">
        <v>28669</v>
      </c>
      <c r="G8922" t="s">
        <v>28675</v>
      </c>
      <c r="H8922" t="s">
        <v>9998</v>
      </c>
      <c r="I8922" t="s">
        <v>28698</v>
      </c>
      <c r="J8922" t="s">
        <v>34371</v>
      </c>
      <c r="K8922" t="s">
        <v>37212</v>
      </c>
      <c r="M8922" t="s">
        <v>38693</v>
      </c>
      <c r="N8922" t="s">
        <v>41249</v>
      </c>
      <c r="O8922" t="s">
        <v>41250</v>
      </c>
      <c r="P8922">
        <v>0</v>
      </c>
      <c r="Q8922">
        <v>2</v>
      </c>
      <c r="R8922" t="s">
        <v>41259</v>
      </c>
      <c r="S8922" t="s">
        <v>41562</v>
      </c>
      <c r="T8922" t="s">
        <v>42679</v>
      </c>
      <c r="U8922" t="s">
        <v>50429</v>
      </c>
      <c r="W8922" t="s">
        <v>38693</v>
      </c>
      <c r="X8922" t="s">
        <v>41260</v>
      </c>
    </row>
    <row r="8923" spans="1:24">
      <c r="A8923">
        <f>HYPERLINK("https://www.philgeps.gov.ph/GEPSNONPILOT/Tender/SplashBidNoticeAbstractUI.aspx?menuIndex=3&amp;refID=7061995&amp;Result=3","7061995")</f>
        <v>0</v>
      </c>
      <c r="B8923" t="s">
        <v>2671</v>
      </c>
      <c r="C8923" t="s">
        <v>11905</v>
      </c>
      <c r="E8923" t="s">
        <v>24480</v>
      </c>
      <c r="F8923" t="s">
        <v>28669</v>
      </c>
      <c r="G8923" t="s">
        <v>28675</v>
      </c>
      <c r="H8923" t="s">
        <v>9998</v>
      </c>
      <c r="I8923" t="s">
        <v>5213</v>
      </c>
      <c r="J8923" t="s">
        <v>34372</v>
      </c>
      <c r="K8923" t="s">
        <v>37204</v>
      </c>
      <c r="M8923" t="s">
        <v>40379</v>
      </c>
      <c r="N8923" t="s">
        <v>41249</v>
      </c>
      <c r="O8923" t="s">
        <v>41250</v>
      </c>
      <c r="P8923">
        <v>0</v>
      </c>
      <c r="Q8923">
        <v>2</v>
      </c>
      <c r="R8923" t="s">
        <v>41259</v>
      </c>
      <c r="S8923" t="s">
        <v>41562</v>
      </c>
      <c r="T8923" t="s">
        <v>42758</v>
      </c>
      <c r="U8923" t="s">
        <v>50430</v>
      </c>
      <c r="V8923" t="s">
        <v>55246</v>
      </c>
      <c r="W8923" t="s">
        <v>40379</v>
      </c>
      <c r="X8923" t="s">
        <v>41260</v>
      </c>
    </row>
    <row r="8924" spans="1:24">
      <c r="A8924">
        <f>HYPERLINK("https://www.philgeps.gov.ph/GEPSNONPILOT/Tender/SplashBidNoticeAbstractUI.aspx?menuIndex=3&amp;refID=7061943&amp;Result=3","7061943")</f>
        <v>0</v>
      </c>
      <c r="B8924" t="s">
        <v>532</v>
      </c>
      <c r="C8924" t="s">
        <v>11906</v>
      </c>
      <c r="D8924" t="s">
        <v>16675</v>
      </c>
      <c r="E8924" t="s">
        <v>17155</v>
      </c>
      <c r="F8924" t="s">
        <v>28669</v>
      </c>
      <c r="G8924" t="s">
        <v>28675</v>
      </c>
      <c r="H8924" t="s">
        <v>9998</v>
      </c>
      <c r="I8924" t="s">
        <v>28706</v>
      </c>
      <c r="J8924" t="s">
        <v>29053</v>
      </c>
      <c r="K8924" t="s">
        <v>37206</v>
      </c>
      <c r="M8924" t="s">
        <v>38023</v>
      </c>
      <c r="N8924" t="s">
        <v>41249</v>
      </c>
      <c r="O8924" t="s">
        <v>41250</v>
      </c>
      <c r="P8924">
        <v>0</v>
      </c>
      <c r="Q8924">
        <v>5</v>
      </c>
      <c r="R8924" t="s">
        <v>41259</v>
      </c>
      <c r="S8924" t="s">
        <v>41562</v>
      </c>
      <c r="T8924" t="s">
        <v>42805</v>
      </c>
      <c r="U8924" t="s">
        <v>50431</v>
      </c>
      <c r="W8924" t="s">
        <v>38023</v>
      </c>
      <c r="X8924" t="s">
        <v>41260</v>
      </c>
    </row>
    <row r="8925" spans="1:24">
      <c r="A8925">
        <f>HYPERLINK("https://www.philgeps.gov.ph/GEPSNONPILOT/Tender/SplashBidNoticeAbstractUI.aspx?menuIndex=3&amp;refID=7062139&amp;Result=3","7062139")</f>
        <v>0</v>
      </c>
      <c r="B8925" t="s">
        <v>2672</v>
      </c>
      <c r="C8925" t="s">
        <v>11907</v>
      </c>
      <c r="D8925" t="s">
        <v>16671</v>
      </c>
      <c r="E8925" t="s">
        <v>24481</v>
      </c>
      <c r="F8925" t="s">
        <v>28669</v>
      </c>
      <c r="G8925" t="s">
        <v>28675</v>
      </c>
      <c r="H8925" t="s">
        <v>28686</v>
      </c>
      <c r="I8925" t="s">
        <v>28689</v>
      </c>
      <c r="J8925" t="s">
        <v>28878</v>
      </c>
      <c r="K8925" t="s">
        <v>37209</v>
      </c>
      <c r="M8925" t="s">
        <v>40380</v>
      </c>
      <c r="N8925" t="s">
        <v>41249</v>
      </c>
      <c r="O8925" t="s">
        <v>41250</v>
      </c>
      <c r="P8925">
        <v>0</v>
      </c>
      <c r="Q8925">
        <v>0</v>
      </c>
      <c r="R8925" t="s">
        <v>41259</v>
      </c>
      <c r="S8925" t="s">
        <v>41562</v>
      </c>
      <c r="T8925" t="s">
        <v>42836</v>
      </c>
      <c r="U8925" t="s">
        <v>50432</v>
      </c>
      <c r="V8925" t="s">
        <v>55247</v>
      </c>
      <c r="W8925" t="s">
        <v>40380</v>
      </c>
      <c r="X8925" t="s">
        <v>41260</v>
      </c>
    </row>
    <row r="8926" spans="1:24">
      <c r="A8926">
        <f>HYPERLINK("https://www.philgeps.gov.ph/GEPSNONPILOT/Tender/SplashBidNoticeAbstractUI.aspx?menuIndex=3&amp;refID=7062138&amp;Result=3","7062138")</f>
        <v>0</v>
      </c>
      <c r="B8926" t="s">
        <v>2673</v>
      </c>
      <c r="C8926" t="s">
        <v>11908</v>
      </c>
      <c r="D8926" t="s">
        <v>16618</v>
      </c>
      <c r="E8926" t="s">
        <v>21035</v>
      </c>
      <c r="F8926" t="s">
        <v>28669</v>
      </c>
      <c r="G8926" t="s">
        <v>28675</v>
      </c>
      <c r="H8926" t="s">
        <v>9998</v>
      </c>
      <c r="I8926" t="s">
        <v>5213</v>
      </c>
      <c r="J8926" t="s">
        <v>34373</v>
      </c>
      <c r="K8926" t="s">
        <v>37209</v>
      </c>
      <c r="M8926" t="s">
        <v>40381</v>
      </c>
      <c r="N8926" t="s">
        <v>41249</v>
      </c>
      <c r="O8926" t="s">
        <v>41250</v>
      </c>
      <c r="P8926">
        <v>0</v>
      </c>
      <c r="Q8926">
        <v>1</v>
      </c>
      <c r="R8926" t="s">
        <v>41259</v>
      </c>
      <c r="S8926" t="s">
        <v>41562</v>
      </c>
      <c r="T8926" t="s">
        <v>42989</v>
      </c>
      <c r="U8926" t="s">
        <v>50433</v>
      </c>
      <c r="W8926" t="s">
        <v>40381</v>
      </c>
      <c r="X8926" t="s">
        <v>41260</v>
      </c>
    </row>
    <row r="8927" spans="1:24">
      <c r="A8927">
        <f>HYPERLINK("https://www.philgeps.gov.ph/GEPSNONPILOT/Tender/SplashBidNoticeAbstractUI.aspx?menuIndex=3&amp;refID=7061774&amp;Result=3","7061774")</f>
        <v>0</v>
      </c>
      <c r="B8927" t="s">
        <v>1124</v>
      </c>
      <c r="C8927" t="s">
        <v>11909</v>
      </c>
      <c r="E8927" t="s">
        <v>24482</v>
      </c>
      <c r="F8927" t="s">
        <v>28669</v>
      </c>
      <c r="G8927" t="s">
        <v>28676</v>
      </c>
      <c r="H8927" t="s">
        <v>9998</v>
      </c>
      <c r="I8927" t="s">
        <v>28728</v>
      </c>
      <c r="J8927" t="s">
        <v>28990</v>
      </c>
      <c r="K8927" t="s">
        <v>37209</v>
      </c>
      <c r="M8927" t="s">
        <v>38883</v>
      </c>
      <c r="N8927" t="s">
        <v>41249</v>
      </c>
      <c r="O8927" t="s">
        <v>41250</v>
      </c>
      <c r="P8927">
        <v>0</v>
      </c>
      <c r="Q8927">
        <v>0</v>
      </c>
      <c r="R8927" t="s">
        <v>41259</v>
      </c>
      <c r="S8927" t="s">
        <v>41562</v>
      </c>
      <c r="T8927" t="s">
        <v>42728</v>
      </c>
      <c r="U8927" t="s">
        <v>50434</v>
      </c>
      <c r="W8927" t="s">
        <v>38883</v>
      </c>
      <c r="X8927" t="s">
        <v>41260</v>
      </c>
    </row>
    <row r="8928" spans="1:24">
      <c r="A8928">
        <f>HYPERLINK("https://www.philgeps.gov.ph/GEPSNONPILOT/Tender/SplashBidNoticeAbstractUI.aspx?menuIndex=3&amp;refID=7062135&amp;Result=3","7062135")</f>
        <v>0</v>
      </c>
      <c r="B8928" t="s">
        <v>260</v>
      </c>
      <c r="C8928" t="s">
        <v>11910</v>
      </c>
      <c r="D8928" t="s">
        <v>16646</v>
      </c>
      <c r="E8928" t="s">
        <v>24483</v>
      </c>
      <c r="F8928" t="s">
        <v>28669</v>
      </c>
      <c r="G8928" t="s">
        <v>28675</v>
      </c>
      <c r="H8928" t="s">
        <v>28686</v>
      </c>
      <c r="I8928" t="s">
        <v>28689</v>
      </c>
      <c r="J8928" t="s">
        <v>34374</v>
      </c>
      <c r="K8928" t="s">
        <v>37206</v>
      </c>
      <c r="M8928" t="s">
        <v>37738</v>
      </c>
      <c r="N8928" t="s">
        <v>41249</v>
      </c>
      <c r="O8928" t="s">
        <v>41250</v>
      </c>
      <c r="P8928">
        <v>0</v>
      </c>
      <c r="Q8928">
        <v>0</v>
      </c>
      <c r="R8928" t="s">
        <v>41259</v>
      </c>
      <c r="S8928" t="s">
        <v>41562</v>
      </c>
      <c r="T8928" t="s">
        <v>42665</v>
      </c>
      <c r="U8928" t="s">
        <v>50435</v>
      </c>
      <c r="W8928" t="s">
        <v>37738</v>
      </c>
      <c r="X8928" t="s">
        <v>41260</v>
      </c>
    </row>
    <row r="8929" spans="1:24">
      <c r="A8929">
        <f>HYPERLINK("https://www.philgeps.gov.ph/GEPSNONPILOT/Tender/SplashBidNoticeAbstractUI.aspx?menuIndex=3&amp;refID=7062172&amp;Result=3","7062172")</f>
        <v>0</v>
      </c>
      <c r="B8929" t="s">
        <v>2674</v>
      </c>
      <c r="C8929" t="s">
        <v>11911</v>
      </c>
      <c r="D8929" t="s">
        <v>16609</v>
      </c>
      <c r="E8929" t="s">
        <v>24484</v>
      </c>
      <c r="F8929" t="s">
        <v>28669</v>
      </c>
      <c r="G8929" t="s">
        <v>28675</v>
      </c>
      <c r="H8929" t="s">
        <v>28686</v>
      </c>
      <c r="I8929" t="s">
        <v>28689</v>
      </c>
      <c r="J8929" t="s">
        <v>34375</v>
      </c>
      <c r="K8929" t="s">
        <v>37209</v>
      </c>
      <c r="M8929" t="s">
        <v>40382</v>
      </c>
      <c r="N8929" t="s">
        <v>41249</v>
      </c>
      <c r="O8929" t="s">
        <v>41250</v>
      </c>
      <c r="P8929">
        <v>0</v>
      </c>
      <c r="Q8929">
        <v>0</v>
      </c>
      <c r="R8929" t="s">
        <v>41259</v>
      </c>
      <c r="S8929" t="s">
        <v>41562</v>
      </c>
      <c r="T8929" t="s">
        <v>42696</v>
      </c>
      <c r="U8929" t="s">
        <v>50436</v>
      </c>
      <c r="W8929" t="s">
        <v>40382</v>
      </c>
      <c r="X8929" t="s">
        <v>41260</v>
      </c>
    </row>
    <row r="8930" spans="1:24">
      <c r="A8930">
        <f>HYPERLINK("https://www.philgeps.gov.ph/GEPSNONPILOT/Tender/SplashBidNoticeAbstractUI.aspx?menuIndex=3&amp;refID=7062112&amp;Result=3","7062112")</f>
        <v>0</v>
      </c>
      <c r="B8930" t="s">
        <v>2675</v>
      </c>
      <c r="C8930" t="s">
        <v>11912</v>
      </c>
      <c r="D8930" t="s">
        <v>16672</v>
      </c>
      <c r="E8930" t="s">
        <v>23314</v>
      </c>
      <c r="F8930" t="s">
        <v>28669</v>
      </c>
      <c r="G8930" t="s">
        <v>28677</v>
      </c>
      <c r="H8930" t="s">
        <v>9998</v>
      </c>
      <c r="I8930" t="s">
        <v>28739</v>
      </c>
      <c r="J8930" t="s">
        <v>29060</v>
      </c>
      <c r="K8930" t="s">
        <v>37204</v>
      </c>
      <c r="M8930" t="s">
        <v>40383</v>
      </c>
      <c r="N8930" t="s">
        <v>41249</v>
      </c>
      <c r="O8930" t="s">
        <v>41250</v>
      </c>
      <c r="P8930">
        <v>0</v>
      </c>
      <c r="Q8930">
        <v>1</v>
      </c>
      <c r="R8930" t="s">
        <v>41259</v>
      </c>
      <c r="S8930" t="s">
        <v>41562</v>
      </c>
      <c r="T8930" t="s">
        <v>42767</v>
      </c>
      <c r="U8930" t="s">
        <v>50437</v>
      </c>
      <c r="W8930" t="s">
        <v>40383</v>
      </c>
      <c r="X8930" t="s">
        <v>41260</v>
      </c>
    </row>
    <row r="8931" spans="1:24">
      <c r="A8931">
        <f>HYPERLINK("https://www.philgeps.gov.ph/GEPSNONPILOT/Tender/SplashBidNoticeAbstractUI.aspx?menuIndex=3&amp;refID=7062109&amp;Result=3","7062109")</f>
        <v>0</v>
      </c>
      <c r="B8931" t="s">
        <v>532</v>
      </c>
      <c r="C8931" t="s">
        <v>11913</v>
      </c>
      <c r="D8931" t="s">
        <v>16675</v>
      </c>
      <c r="E8931" t="s">
        <v>16998</v>
      </c>
      <c r="F8931" t="s">
        <v>28669</v>
      </c>
      <c r="G8931" t="s">
        <v>28679</v>
      </c>
      <c r="H8931" t="s">
        <v>9998</v>
      </c>
      <c r="I8931" t="s">
        <v>28691</v>
      </c>
      <c r="J8931" t="s">
        <v>28905</v>
      </c>
      <c r="K8931" t="s">
        <v>37227</v>
      </c>
      <c r="M8931" t="s">
        <v>38023</v>
      </c>
      <c r="N8931" t="s">
        <v>41249</v>
      </c>
      <c r="O8931" t="s">
        <v>41250</v>
      </c>
      <c r="P8931">
        <v>0</v>
      </c>
      <c r="Q8931">
        <v>0</v>
      </c>
      <c r="R8931" t="s">
        <v>41259</v>
      </c>
      <c r="S8931" t="s">
        <v>41562</v>
      </c>
      <c r="T8931" t="s">
        <v>42743</v>
      </c>
      <c r="U8931" t="s">
        <v>50438</v>
      </c>
      <c r="W8931" t="s">
        <v>38023</v>
      </c>
      <c r="X8931" t="s">
        <v>41260</v>
      </c>
    </row>
    <row r="8932" spans="1:24">
      <c r="A8932">
        <f>HYPERLINK("https://www.philgeps.gov.ph/GEPSNONPILOT/Tender/SplashBidNoticeAbstractUI.aspx?menuIndex=3&amp;refID=7062158&amp;Result=3","7062158")</f>
        <v>0</v>
      </c>
      <c r="B8932" t="s">
        <v>2676</v>
      </c>
      <c r="C8932" t="s">
        <v>11914</v>
      </c>
      <c r="D8932" t="s">
        <v>16673</v>
      </c>
      <c r="E8932" t="s">
        <v>24485</v>
      </c>
      <c r="F8932" t="s">
        <v>28669</v>
      </c>
      <c r="G8932" t="s">
        <v>28676</v>
      </c>
      <c r="H8932" t="s">
        <v>28684</v>
      </c>
      <c r="I8932" t="s">
        <v>28733</v>
      </c>
      <c r="J8932" t="s">
        <v>28894</v>
      </c>
      <c r="K8932" t="s">
        <v>37234</v>
      </c>
      <c r="M8932" t="s">
        <v>40384</v>
      </c>
      <c r="N8932" t="s">
        <v>41249</v>
      </c>
      <c r="O8932" t="s">
        <v>41250</v>
      </c>
      <c r="Q8932">
        <v>2</v>
      </c>
      <c r="R8932" t="s">
        <v>41259</v>
      </c>
      <c r="S8932" t="s">
        <v>41590</v>
      </c>
      <c r="T8932" t="s">
        <v>42665</v>
      </c>
      <c r="U8932" t="s">
        <v>50439</v>
      </c>
      <c r="W8932" t="s">
        <v>40384</v>
      </c>
      <c r="X8932" t="s">
        <v>41260</v>
      </c>
    </row>
    <row r="8933" spans="1:24">
      <c r="A8933">
        <f>HYPERLINK("https://www.philgeps.gov.ph/GEPSNONPILOT/Tender/SplashBidNoticeAbstractUI.aspx?menuIndex=3&amp;refID=7061934&amp;Result=3","7061934")</f>
        <v>0</v>
      </c>
      <c r="B8933" t="s">
        <v>2669</v>
      </c>
      <c r="C8933" t="s">
        <v>11915</v>
      </c>
      <c r="D8933" t="s">
        <v>16662</v>
      </c>
      <c r="E8933" t="s">
        <v>24486</v>
      </c>
      <c r="F8933" t="s">
        <v>28669</v>
      </c>
      <c r="G8933" t="s">
        <v>28675</v>
      </c>
      <c r="H8933" t="s">
        <v>9998</v>
      </c>
      <c r="I8933" t="s">
        <v>7352</v>
      </c>
      <c r="J8933" t="s">
        <v>34376</v>
      </c>
      <c r="K8933" t="s">
        <v>37206</v>
      </c>
      <c r="M8933" t="s">
        <v>40377</v>
      </c>
      <c r="N8933" t="s">
        <v>41249</v>
      </c>
      <c r="O8933" t="s">
        <v>41250</v>
      </c>
      <c r="P8933">
        <v>0</v>
      </c>
      <c r="Q8933">
        <v>0</v>
      </c>
      <c r="R8933" t="s">
        <v>41259</v>
      </c>
      <c r="S8933" t="s">
        <v>41562</v>
      </c>
      <c r="T8933" t="s">
        <v>42767</v>
      </c>
      <c r="U8933" t="s">
        <v>50440</v>
      </c>
      <c r="W8933" t="s">
        <v>40377</v>
      </c>
      <c r="X8933" t="s">
        <v>41260</v>
      </c>
    </row>
    <row r="8934" spans="1:24">
      <c r="A8934">
        <f>HYPERLINK("https://www.philgeps.gov.ph/GEPSNONPILOT/Tender/SplashBidNoticeAbstractUI.aspx?menuIndex=3&amp;refID=7062083&amp;Result=3","7062083")</f>
        <v>0</v>
      </c>
      <c r="B8934" t="s">
        <v>2675</v>
      </c>
      <c r="C8934" t="s">
        <v>11916</v>
      </c>
      <c r="D8934" t="s">
        <v>16672</v>
      </c>
      <c r="E8934" t="s">
        <v>20150</v>
      </c>
      <c r="F8934" t="s">
        <v>28669</v>
      </c>
      <c r="G8934" t="s">
        <v>28677</v>
      </c>
      <c r="H8934" t="s">
        <v>9998</v>
      </c>
      <c r="I8934" t="s">
        <v>28739</v>
      </c>
      <c r="J8934" t="s">
        <v>29060</v>
      </c>
      <c r="K8934" t="s">
        <v>37204</v>
      </c>
      <c r="M8934" t="s">
        <v>40383</v>
      </c>
      <c r="N8934" t="s">
        <v>41249</v>
      </c>
      <c r="O8934" t="s">
        <v>41250</v>
      </c>
      <c r="P8934">
        <v>0</v>
      </c>
      <c r="Q8934">
        <v>1</v>
      </c>
      <c r="R8934" t="s">
        <v>41259</v>
      </c>
      <c r="S8934" t="s">
        <v>41562</v>
      </c>
      <c r="T8934" t="s">
        <v>42767</v>
      </c>
      <c r="U8934" t="s">
        <v>50441</v>
      </c>
      <c r="W8934" t="s">
        <v>40383</v>
      </c>
      <c r="X8934" t="s">
        <v>41260</v>
      </c>
    </row>
    <row r="8935" spans="1:24">
      <c r="A8935">
        <f>HYPERLINK("https://www.philgeps.gov.ph/GEPSNONPILOT/Tender/SplashBidNoticeAbstractUI.aspx?menuIndex=3&amp;refID=7060089&amp;Result=3","7060089")</f>
        <v>0</v>
      </c>
      <c r="B8935" t="s">
        <v>763</v>
      </c>
      <c r="C8935" t="s">
        <v>11917</v>
      </c>
      <c r="D8935" t="s">
        <v>16627</v>
      </c>
      <c r="E8935" t="s">
        <v>24487</v>
      </c>
      <c r="F8935" t="s">
        <v>28669</v>
      </c>
      <c r="G8935" t="s">
        <v>28675</v>
      </c>
      <c r="H8935" t="s">
        <v>28686</v>
      </c>
      <c r="I8935" t="s">
        <v>28689</v>
      </c>
      <c r="J8935" t="s">
        <v>29338</v>
      </c>
      <c r="K8935" t="s">
        <v>37212</v>
      </c>
      <c r="M8935" t="s">
        <v>38274</v>
      </c>
      <c r="N8935" t="s">
        <v>41249</v>
      </c>
      <c r="O8935" t="s">
        <v>41250</v>
      </c>
      <c r="Q8935">
        <v>4</v>
      </c>
      <c r="R8935" t="s">
        <v>41259</v>
      </c>
      <c r="S8935" t="s">
        <v>41398</v>
      </c>
      <c r="T8935" t="s">
        <v>42683</v>
      </c>
      <c r="U8935" t="s">
        <v>50380</v>
      </c>
      <c r="W8935" t="s">
        <v>38274</v>
      </c>
      <c r="X8935" t="s">
        <v>41261</v>
      </c>
    </row>
    <row r="8936" spans="1:24">
      <c r="A8936">
        <f>HYPERLINK("https://www.philgeps.gov.ph/GEPSNONPILOT/Tender/SplashBidNoticeAbstractUI.aspx?menuIndex=3&amp;refID=7062076&amp;Result=3","7062076")</f>
        <v>0</v>
      </c>
      <c r="B8936" t="s">
        <v>1920</v>
      </c>
      <c r="C8936" t="s">
        <v>11918</v>
      </c>
      <c r="D8936" t="s">
        <v>16648</v>
      </c>
      <c r="E8936" t="s">
        <v>24488</v>
      </c>
      <c r="F8936" t="s">
        <v>28669</v>
      </c>
      <c r="G8936" t="s">
        <v>28675</v>
      </c>
      <c r="H8936" t="s">
        <v>28686</v>
      </c>
      <c r="I8936" t="s">
        <v>28689</v>
      </c>
      <c r="J8936" t="s">
        <v>34377</v>
      </c>
      <c r="K8936" t="s">
        <v>37209</v>
      </c>
      <c r="M8936" t="s">
        <v>39547</v>
      </c>
      <c r="N8936" t="s">
        <v>41249</v>
      </c>
      <c r="O8936" t="s">
        <v>41250</v>
      </c>
      <c r="P8936">
        <v>0</v>
      </c>
      <c r="Q8936">
        <v>1</v>
      </c>
      <c r="R8936" t="s">
        <v>41259</v>
      </c>
      <c r="S8936" t="s">
        <v>41562</v>
      </c>
      <c r="T8936" t="s">
        <v>42659</v>
      </c>
      <c r="U8936" t="s">
        <v>50442</v>
      </c>
      <c r="W8936" t="s">
        <v>39547</v>
      </c>
      <c r="X8936" t="s">
        <v>41260</v>
      </c>
    </row>
    <row r="8937" spans="1:24">
      <c r="A8937">
        <f>HYPERLINK("https://www.philgeps.gov.ph/GEPSNONPILOT/Tender/SplashBidNoticeAbstractUI.aspx?menuIndex=3&amp;refID=7062130&amp;Result=3","7062130")</f>
        <v>0</v>
      </c>
      <c r="B8937" t="s">
        <v>359</v>
      </c>
      <c r="C8937" t="s">
        <v>11919</v>
      </c>
      <c r="D8937" t="s">
        <v>16672</v>
      </c>
      <c r="E8937" t="s">
        <v>24489</v>
      </c>
      <c r="F8937" t="s">
        <v>28669</v>
      </c>
      <c r="G8937" t="s">
        <v>28675</v>
      </c>
      <c r="H8937" t="s">
        <v>28686</v>
      </c>
      <c r="I8937" t="s">
        <v>28689</v>
      </c>
      <c r="J8937" t="s">
        <v>34090</v>
      </c>
      <c r="K8937" t="s">
        <v>37206</v>
      </c>
      <c r="M8937" t="s">
        <v>37840</v>
      </c>
      <c r="N8937" t="s">
        <v>41249</v>
      </c>
      <c r="O8937" t="s">
        <v>41250</v>
      </c>
      <c r="P8937">
        <v>0</v>
      </c>
      <c r="Q8937">
        <v>0</v>
      </c>
      <c r="R8937" t="s">
        <v>41259</v>
      </c>
      <c r="S8937" t="s">
        <v>41562</v>
      </c>
      <c r="T8937" t="s">
        <v>42796</v>
      </c>
      <c r="U8937" t="s">
        <v>50443</v>
      </c>
      <c r="W8937" t="s">
        <v>37840</v>
      </c>
      <c r="X8937" t="s">
        <v>41260</v>
      </c>
    </row>
    <row r="8938" spans="1:24">
      <c r="A8938">
        <f>HYPERLINK("https://www.philgeps.gov.ph/GEPSNONPILOT/Tender/SplashBidNoticeAbstractUI.aspx?menuIndex=3&amp;refID=7062254&amp;Result=3","7062254")</f>
        <v>0</v>
      </c>
      <c r="B8938" t="s">
        <v>326</v>
      </c>
      <c r="C8938" t="s">
        <v>11920</v>
      </c>
      <c r="D8938" t="s">
        <v>16665</v>
      </c>
      <c r="E8938" t="s">
        <v>24490</v>
      </c>
      <c r="F8938" t="s">
        <v>28670</v>
      </c>
      <c r="G8938" t="s">
        <v>28677</v>
      </c>
      <c r="H8938" t="s">
        <v>28686</v>
      </c>
      <c r="I8938" t="s">
        <v>28689</v>
      </c>
      <c r="J8938" t="s">
        <v>29053</v>
      </c>
      <c r="K8938" t="s">
        <v>37315</v>
      </c>
      <c r="M8938" t="s">
        <v>37806</v>
      </c>
      <c r="N8938" t="s">
        <v>41249</v>
      </c>
      <c r="O8938" t="s">
        <v>41250</v>
      </c>
      <c r="P8938">
        <v>0</v>
      </c>
      <c r="Q8938">
        <v>0</v>
      </c>
      <c r="R8938" t="s">
        <v>41259</v>
      </c>
      <c r="S8938" t="s">
        <v>41562</v>
      </c>
      <c r="T8938" t="s">
        <v>42714</v>
      </c>
      <c r="U8938" t="s">
        <v>50444</v>
      </c>
      <c r="V8938" t="s">
        <v>55248</v>
      </c>
      <c r="W8938" t="s">
        <v>37806</v>
      </c>
      <c r="X8938" t="s">
        <v>41260</v>
      </c>
    </row>
    <row r="8939" spans="1:24">
      <c r="A8939">
        <f>HYPERLINK("https://www.philgeps.gov.ph/GEPSNONPILOT/Tender/SplashBidNoticeAbstractUI.aspx?menuIndex=3&amp;refID=7062129&amp;Result=3","7062129")</f>
        <v>0</v>
      </c>
      <c r="B8939" t="s">
        <v>974</v>
      </c>
      <c r="C8939" t="s">
        <v>11921</v>
      </c>
      <c r="D8939" t="s">
        <v>16621</v>
      </c>
      <c r="E8939" t="s">
        <v>24491</v>
      </c>
      <c r="F8939" t="s">
        <v>28669</v>
      </c>
      <c r="G8939" t="s">
        <v>28675</v>
      </c>
      <c r="H8939" t="s">
        <v>28686</v>
      </c>
      <c r="I8939" t="s">
        <v>28689</v>
      </c>
      <c r="J8939" t="s">
        <v>34378</v>
      </c>
      <c r="K8939" t="s">
        <v>37213</v>
      </c>
      <c r="M8939" t="s">
        <v>38499</v>
      </c>
      <c r="N8939" t="s">
        <v>41249</v>
      </c>
      <c r="O8939" t="s">
        <v>41250</v>
      </c>
      <c r="P8939">
        <v>0</v>
      </c>
      <c r="Q8939">
        <v>1</v>
      </c>
      <c r="R8939" t="s">
        <v>41259</v>
      </c>
      <c r="S8939" t="s">
        <v>41562</v>
      </c>
      <c r="T8939" t="s">
        <v>43079</v>
      </c>
      <c r="U8939" t="s">
        <v>45182</v>
      </c>
      <c r="V8939" t="s">
        <v>54891</v>
      </c>
      <c r="W8939" t="s">
        <v>38499</v>
      </c>
      <c r="X8939" t="s">
        <v>41260</v>
      </c>
    </row>
    <row r="8940" spans="1:24">
      <c r="A8940">
        <f>HYPERLINK("https://www.philgeps.gov.ph/GEPSNONPILOT/Tender/SplashBidNoticeAbstractUI.aspx?menuIndex=3&amp;refID=7062092&amp;Result=3","7062092")</f>
        <v>0</v>
      </c>
      <c r="B8940" t="s">
        <v>2677</v>
      </c>
      <c r="C8940" t="s">
        <v>11922</v>
      </c>
      <c r="D8940" t="s">
        <v>16612</v>
      </c>
      <c r="E8940" t="s">
        <v>24492</v>
      </c>
      <c r="F8940" t="s">
        <v>28669</v>
      </c>
      <c r="G8940" t="s">
        <v>28675</v>
      </c>
      <c r="H8940" t="s">
        <v>28686</v>
      </c>
      <c r="I8940" t="s">
        <v>28689</v>
      </c>
      <c r="J8940" t="s">
        <v>34379</v>
      </c>
      <c r="K8940" t="s">
        <v>37210</v>
      </c>
      <c r="M8940" t="s">
        <v>40385</v>
      </c>
      <c r="N8940" t="s">
        <v>41249</v>
      </c>
      <c r="O8940" t="s">
        <v>41250</v>
      </c>
      <c r="P8940">
        <v>0</v>
      </c>
      <c r="Q8940">
        <v>0</v>
      </c>
      <c r="R8940" t="s">
        <v>41259</v>
      </c>
      <c r="S8940" t="s">
        <v>41562</v>
      </c>
      <c r="T8940" t="s">
        <v>42719</v>
      </c>
      <c r="U8940" t="s">
        <v>50445</v>
      </c>
      <c r="W8940" t="s">
        <v>40385</v>
      </c>
      <c r="X8940" t="s">
        <v>41260</v>
      </c>
    </row>
    <row r="8941" spans="1:24">
      <c r="A8941">
        <f>HYPERLINK("https://www.philgeps.gov.ph/GEPSNONPILOT/Tender/SplashBidNoticeAbstractUI.aspx?menuIndex=3&amp;refID=7062248&amp;Result=3","7062248")</f>
        <v>0</v>
      </c>
      <c r="B8941" t="s">
        <v>2678</v>
      </c>
      <c r="C8941" t="s">
        <v>11923</v>
      </c>
      <c r="D8941" t="s">
        <v>16667</v>
      </c>
      <c r="E8941" t="s">
        <v>24493</v>
      </c>
      <c r="F8941" t="s">
        <v>28669</v>
      </c>
      <c r="G8941" t="s">
        <v>28675</v>
      </c>
      <c r="H8941" t="s">
        <v>9998</v>
      </c>
      <c r="I8941" t="s">
        <v>5286</v>
      </c>
      <c r="J8941" t="s">
        <v>34380</v>
      </c>
      <c r="K8941" t="s">
        <v>37227</v>
      </c>
      <c r="M8941" t="s">
        <v>40386</v>
      </c>
      <c r="N8941" t="s">
        <v>41249</v>
      </c>
      <c r="O8941" t="s">
        <v>41250</v>
      </c>
      <c r="P8941">
        <v>0</v>
      </c>
      <c r="Q8941">
        <v>2</v>
      </c>
      <c r="R8941" t="s">
        <v>41259</v>
      </c>
      <c r="S8941" t="s">
        <v>41562</v>
      </c>
      <c r="T8941" t="s">
        <v>42836</v>
      </c>
      <c r="U8941" t="s">
        <v>50446</v>
      </c>
      <c r="W8941" t="s">
        <v>40386</v>
      </c>
      <c r="X8941" t="s">
        <v>41260</v>
      </c>
    </row>
    <row r="8942" spans="1:24">
      <c r="A8942">
        <f>HYPERLINK("https://www.philgeps.gov.ph/GEPSNONPILOT/Tender/SplashBidNoticeAbstractUI.aspx?menuIndex=3&amp;refID=7062079&amp;Result=3","7062079")</f>
        <v>0</v>
      </c>
      <c r="B8942" t="s">
        <v>260</v>
      </c>
      <c r="C8942" t="s">
        <v>11924</v>
      </c>
      <c r="D8942" t="s">
        <v>16646</v>
      </c>
      <c r="E8942" t="s">
        <v>24494</v>
      </c>
      <c r="F8942" t="s">
        <v>28669</v>
      </c>
      <c r="G8942" t="s">
        <v>28675</v>
      </c>
      <c r="H8942" t="s">
        <v>28686</v>
      </c>
      <c r="I8942" t="s">
        <v>28689</v>
      </c>
      <c r="J8942" t="s">
        <v>34381</v>
      </c>
      <c r="K8942" t="s">
        <v>37206</v>
      </c>
      <c r="M8942" t="s">
        <v>37738</v>
      </c>
      <c r="N8942" t="s">
        <v>41249</v>
      </c>
      <c r="O8942" t="s">
        <v>41250</v>
      </c>
      <c r="P8942">
        <v>0</v>
      </c>
      <c r="Q8942">
        <v>0</v>
      </c>
      <c r="R8942" t="s">
        <v>41259</v>
      </c>
      <c r="S8942" t="s">
        <v>41562</v>
      </c>
      <c r="T8942" t="s">
        <v>42665</v>
      </c>
      <c r="U8942" t="s">
        <v>50447</v>
      </c>
      <c r="W8942" t="s">
        <v>37738</v>
      </c>
      <c r="X8942" t="s">
        <v>41260</v>
      </c>
    </row>
    <row r="8943" spans="1:24">
      <c r="A8943">
        <f>HYPERLINK("https://www.philgeps.gov.ph/GEPSNONPILOT/Tender/SplashBidNoticeAbstractUI.aspx?menuIndex=3&amp;refID=7062241&amp;Result=3","7062241")</f>
        <v>0</v>
      </c>
      <c r="B8943" t="s">
        <v>2679</v>
      </c>
      <c r="C8943" t="s">
        <v>11925</v>
      </c>
      <c r="D8943" t="s">
        <v>16627</v>
      </c>
      <c r="E8943" t="s">
        <v>24495</v>
      </c>
      <c r="F8943" t="s">
        <v>28669</v>
      </c>
      <c r="G8943" t="s">
        <v>28675</v>
      </c>
      <c r="H8943" t="s">
        <v>9998</v>
      </c>
      <c r="I8943" t="s">
        <v>28687</v>
      </c>
      <c r="J8943" t="s">
        <v>28924</v>
      </c>
      <c r="K8943" t="s">
        <v>37209</v>
      </c>
      <c r="M8943" t="s">
        <v>40387</v>
      </c>
      <c r="N8943" t="s">
        <v>41249</v>
      </c>
      <c r="O8943" t="s">
        <v>41250</v>
      </c>
      <c r="P8943">
        <v>0</v>
      </c>
      <c r="Q8943">
        <v>3</v>
      </c>
      <c r="R8943" t="s">
        <v>41259</v>
      </c>
      <c r="S8943" t="s">
        <v>41562</v>
      </c>
      <c r="T8943" t="s">
        <v>42755</v>
      </c>
      <c r="U8943" t="s">
        <v>50448</v>
      </c>
      <c r="V8943" t="s">
        <v>55249</v>
      </c>
      <c r="W8943" t="s">
        <v>40387</v>
      </c>
      <c r="X8943" t="s">
        <v>41260</v>
      </c>
    </row>
    <row r="8944" spans="1:24">
      <c r="A8944">
        <f>HYPERLINK("https://www.philgeps.gov.ph/GEPSNONPILOT/Tender/SplashBidNoticeAbstractUI.aspx?menuIndex=3&amp;refID=7062233&amp;Result=3","7062233")</f>
        <v>0</v>
      </c>
      <c r="B8944" t="s">
        <v>2680</v>
      </c>
      <c r="C8944" t="s">
        <v>11926</v>
      </c>
      <c r="D8944" t="s">
        <v>16627</v>
      </c>
      <c r="E8944" t="s">
        <v>24496</v>
      </c>
      <c r="F8944" t="s">
        <v>28669</v>
      </c>
      <c r="G8944" t="s">
        <v>28675</v>
      </c>
      <c r="H8944" t="s">
        <v>9998</v>
      </c>
      <c r="I8944" t="s">
        <v>28690</v>
      </c>
      <c r="J8944" t="s">
        <v>34382</v>
      </c>
      <c r="K8944" t="s">
        <v>37205</v>
      </c>
      <c r="M8944" t="s">
        <v>40388</v>
      </c>
      <c r="N8944" t="s">
        <v>41249</v>
      </c>
      <c r="O8944" t="s">
        <v>41250</v>
      </c>
      <c r="P8944">
        <v>0</v>
      </c>
      <c r="Q8944">
        <v>5</v>
      </c>
      <c r="R8944" t="s">
        <v>41259</v>
      </c>
      <c r="S8944" t="s">
        <v>41562</v>
      </c>
      <c r="T8944" t="s">
        <v>42836</v>
      </c>
      <c r="U8944" t="s">
        <v>50449</v>
      </c>
      <c r="W8944" t="s">
        <v>40388</v>
      </c>
      <c r="X8944" t="s">
        <v>41260</v>
      </c>
    </row>
    <row r="8945" spans="1:24">
      <c r="A8945">
        <f>HYPERLINK("https://www.philgeps.gov.ph/GEPSNONPILOT/Tender/SplashBidNoticeAbstractUI.aspx?menuIndex=3&amp;refID=7062228&amp;Result=3","7062228")</f>
        <v>0</v>
      </c>
      <c r="B8945" t="s">
        <v>2672</v>
      </c>
      <c r="C8945" t="s">
        <v>11927</v>
      </c>
      <c r="D8945" t="s">
        <v>16671</v>
      </c>
      <c r="E8945" t="s">
        <v>24497</v>
      </c>
      <c r="F8945" t="s">
        <v>28669</v>
      </c>
      <c r="G8945" t="s">
        <v>28675</v>
      </c>
      <c r="H8945" t="s">
        <v>9998</v>
      </c>
      <c r="I8945" t="s">
        <v>28695</v>
      </c>
      <c r="J8945" t="s">
        <v>34383</v>
      </c>
      <c r="K8945" t="s">
        <v>37209</v>
      </c>
      <c r="M8945" t="s">
        <v>40380</v>
      </c>
      <c r="N8945" t="s">
        <v>41249</v>
      </c>
      <c r="O8945" t="s">
        <v>41250</v>
      </c>
      <c r="P8945">
        <v>0</v>
      </c>
      <c r="Q8945">
        <v>0</v>
      </c>
      <c r="R8945" t="s">
        <v>41259</v>
      </c>
      <c r="S8945" t="s">
        <v>41562</v>
      </c>
      <c r="T8945" t="s">
        <v>42836</v>
      </c>
      <c r="U8945" t="s">
        <v>50450</v>
      </c>
      <c r="V8945" t="s">
        <v>55247</v>
      </c>
      <c r="W8945" t="s">
        <v>40380</v>
      </c>
      <c r="X8945" t="s">
        <v>41260</v>
      </c>
    </row>
    <row r="8946" spans="1:24">
      <c r="A8946">
        <f>HYPERLINK("https://www.philgeps.gov.ph/GEPSNONPILOT/Tender/SplashBidNoticeAbstractUI.aspx?menuIndex=3&amp;refID=7062252&amp;Result=3","7062252")</f>
        <v>0</v>
      </c>
      <c r="B8946" t="s">
        <v>2681</v>
      </c>
      <c r="C8946" t="s">
        <v>11928</v>
      </c>
      <c r="D8946" t="s">
        <v>16609</v>
      </c>
      <c r="E8946" t="s">
        <v>19012</v>
      </c>
      <c r="F8946" t="s">
        <v>28669</v>
      </c>
      <c r="G8946" t="s">
        <v>28675</v>
      </c>
      <c r="H8946" t="s">
        <v>28686</v>
      </c>
      <c r="I8946" t="s">
        <v>28689</v>
      </c>
      <c r="J8946" t="s">
        <v>34384</v>
      </c>
      <c r="K8946" t="s">
        <v>37209</v>
      </c>
      <c r="M8946" t="s">
        <v>40389</v>
      </c>
      <c r="N8946" t="s">
        <v>41249</v>
      </c>
      <c r="O8946" t="s">
        <v>41250</v>
      </c>
      <c r="P8946">
        <v>0</v>
      </c>
      <c r="Q8946">
        <v>0</v>
      </c>
      <c r="R8946" t="s">
        <v>41259</v>
      </c>
      <c r="S8946" t="s">
        <v>41562</v>
      </c>
      <c r="T8946" t="s">
        <v>42696</v>
      </c>
      <c r="U8946" t="s">
        <v>50451</v>
      </c>
      <c r="W8946" t="s">
        <v>40389</v>
      </c>
      <c r="X8946" t="s">
        <v>41260</v>
      </c>
    </row>
    <row r="8947" spans="1:24">
      <c r="A8947">
        <f>HYPERLINK("https://www.philgeps.gov.ph/GEPSNONPILOT/Tender/SplashBidNoticeAbstractUI.aspx?menuIndex=3&amp;refID=7062211&amp;Result=3","7062211")</f>
        <v>0</v>
      </c>
      <c r="B8947" t="s">
        <v>1399</v>
      </c>
      <c r="C8947" t="s">
        <v>11929</v>
      </c>
      <c r="D8947" t="s">
        <v>16611</v>
      </c>
      <c r="E8947" t="s">
        <v>24498</v>
      </c>
      <c r="F8947" t="s">
        <v>28669</v>
      </c>
      <c r="G8947" t="s">
        <v>28675</v>
      </c>
      <c r="H8947" t="s">
        <v>9998</v>
      </c>
      <c r="I8947" t="s">
        <v>28688</v>
      </c>
      <c r="J8947" t="s">
        <v>34385</v>
      </c>
      <c r="K8947" t="s">
        <v>37209</v>
      </c>
      <c r="M8947" t="s">
        <v>40390</v>
      </c>
      <c r="N8947" t="s">
        <v>41249</v>
      </c>
      <c r="O8947" t="s">
        <v>41250</v>
      </c>
      <c r="P8947">
        <v>0</v>
      </c>
      <c r="Q8947">
        <v>0</v>
      </c>
      <c r="R8947" t="s">
        <v>41259</v>
      </c>
      <c r="S8947" t="s">
        <v>41562</v>
      </c>
      <c r="T8947" t="s">
        <v>42727</v>
      </c>
      <c r="U8947" t="s">
        <v>50452</v>
      </c>
      <c r="W8947" t="s">
        <v>40390</v>
      </c>
      <c r="X8947" t="s">
        <v>41260</v>
      </c>
    </row>
    <row r="8948" spans="1:24">
      <c r="A8948">
        <f>HYPERLINK("https://www.philgeps.gov.ph/GEPSNONPILOT/Tender/SplashBidNoticeAbstractUI.aspx?menuIndex=3&amp;refID=7062133&amp;Result=3","7062133")</f>
        <v>0</v>
      </c>
      <c r="B8948" t="s">
        <v>1191</v>
      </c>
      <c r="C8948" t="s">
        <v>11930</v>
      </c>
      <c r="D8948" t="s">
        <v>16687</v>
      </c>
      <c r="E8948" t="s">
        <v>24499</v>
      </c>
      <c r="F8948" t="s">
        <v>28669</v>
      </c>
      <c r="G8948" t="s">
        <v>28677</v>
      </c>
      <c r="H8948" t="s">
        <v>9998</v>
      </c>
      <c r="I8948" t="s">
        <v>28704</v>
      </c>
      <c r="J8948" t="s">
        <v>34386</v>
      </c>
      <c r="K8948" t="s">
        <v>37205</v>
      </c>
      <c r="M8948" t="s">
        <v>38731</v>
      </c>
      <c r="N8948" t="s">
        <v>41249</v>
      </c>
      <c r="O8948" t="s">
        <v>41250</v>
      </c>
      <c r="P8948">
        <v>0</v>
      </c>
      <c r="Q8948">
        <v>0</v>
      </c>
      <c r="R8948" t="s">
        <v>41259</v>
      </c>
      <c r="S8948" t="s">
        <v>41562</v>
      </c>
      <c r="T8948" t="s">
        <v>42714</v>
      </c>
      <c r="U8948" t="s">
        <v>50453</v>
      </c>
      <c r="W8948" t="s">
        <v>38731</v>
      </c>
      <c r="X8948" t="s">
        <v>41260</v>
      </c>
    </row>
    <row r="8949" spans="1:24">
      <c r="A8949">
        <f>HYPERLINK("https://www.philgeps.gov.ph/GEPSNONPILOT/Tender/SplashBidNoticeAbstractUI.aspx?menuIndex=3&amp;refID=7062242&amp;Result=3","7062242")</f>
        <v>0</v>
      </c>
      <c r="B8949" t="s">
        <v>2682</v>
      </c>
      <c r="C8949" t="s">
        <v>11931</v>
      </c>
      <c r="D8949" t="s">
        <v>16620</v>
      </c>
      <c r="E8949" t="s">
        <v>24500</v>
      </c>
      <c r="F8949" t="s">
        <v>28669</v>
      </c>
      <c r="G8949" t="s">
        <v>28675</v>
      </c>
      <c r="H8949" t="s">
        <v>9998</v>
      </c>
      <c r="I8949" t="s">
        <v>6606</v>
      </c>
      <c r="J8949" t="s">
        <v>31123</v>
      </c>
      <c r="K8949" t="s">
        <v>37210</v>
      </c>
      <c r="M8949" t="s">
        <v>40391</v>
      </c>
      <c r="N8949" t="s">
        <v>41249</v>
      </c>
      <c r="O8949" t="s">
        <v>41250</v>
      </c>
      <c r="P8949">
        <v>0</v>
      </c>
      <c r="Q8949">
        <v>0</v>
      </c>
      <c r="R8949" t="s">
        <v>41259</v>
      </c>
      <c r="S8949" t="s">
        <v>41562</v>
      </c>
      <c r="T8949" t="s">
        <v>42767</v>
      </c>
      <c r="U8949" t="s">
        <v>50454</v>
      </c>
      <c r="W8949" t="s">
        <v>40391</v>
      </c>
      <c r="X8949" t="s">
        <v>41260</v>
      </c>
    </row>
    <row r="8950" spans="1:24">
      <c r="A8950">
        <f>HYPERLINK("https://www.philgeps.gov.ph/GEPSNONPILOT/Tender/SplashBidNoticeAbstractUI.aspx?menuIndex=3&amp;refID=7062234&amp;Result=3","7062234")</f>
        <v>0</v>
      </c>
      <c r="B8950" t="s">
        <v>2011</v>
      </c>
      <c r="C8950" t="s">
        <v>11932</v>
      </c>
      <c r="D8950" t="s">
        <v>16611</v>
      </c>
      <c r="E8950" t="s">
        <v>19409</v>
      </c>
      <c r="F8950" t="s">
        <v>28671</v>
      </c>
      <c r="G8950" t="s">
        <v>28675</v>
      </c>
      <c r="H8950" t="s">
        <v>9998</v>
      </c>
      <c r="I8950" t="s">
        <v>28690</v>
      </c>
      <c r="J8950" t="s">
        <v>34387</v>
      </c>
      <c r="K8950" t="s">
        <v>37204</v>
      </c>
      <c r="M8950" t="s">
        <v>39649</v>
      </c>
      <c r="N8950" t="s">
        <v>41249</v>
      </c>
      <c r="O8950" t="s">
        <v>41250</v>
      </c>
      <c r="P8950">
        <v>0</v>
      </c>
      <c r="Q8950">
        <v>1</v>
      </c>
      <c r="R8950" t="s">
        <v>41259</v>
      </c>
      <c r="S8950" t="s">
        <v>41562</v>
      </c>
      <c r="T8950" t="s">
        <v>42760</v>
      </c>
      <c r="U8950" t="s">
        <v>50455</v>
      </c>
      <c r="V8950" t="s">
        <v>55250</v>
      </c>
      <c r="W8950" t="s">
        <v>39649</v>
      </c>
      <c r="X8950" t="s">
        <v>41260</v>
      </c>
    </row>
    <row r="8951" spans="1:24">
      <c r="A8951">
        <f>HYPERLINK("https://www.philgeps.gov.ph/GEPSNONPILOT/Tender/SplashBidNoticeAbstractUI.aspx?menuIndex=3&amp;refID=7062210&amp;Result=3","7062210")</f>
        <v>0</v>
      </c>
      <c r="B8951" t="s">
        <v>2683</v>
      </c>
      <c r="C8951" t="s">
        <v>11933</v>
      </c>
      <c r="D8951" t="s">
        <v>16670</v>
      </c>
      <c r="E8951" t="s">
        <v>24501</v>
      </c>
      <c r="F8951" t="s">
        <v>28669</v>
      </c>
      <c r="G8951" t="s">
        <v>28675</v>
      </c>
      <c r="H8951" t="s">
        <v>9998</v>
      </c>
      <c r="I8951" t="s">
        <v>28688</v>
      </c>
      <c r="J8951" t="s">
        <v>34388</v>
      </c>
      <c r="K8951" t="s">
        <v>37206</v>
      </c>
      <c r="M8951" t="s">
        <v>40392</v>
      </c>
      <c r="N8951" t="s">
        <v>41249</v>
      </c>
      <c r="O8951" t="s">
        <v>41250</v>
      </c>
      <c r="P8951">
        <v>0</v>
      </c>
      <c r="Q8951">
        <v>1</v>
      </c>
      <c r="R8951" t="s">
        <v>41259</v>
      </c>
      <c r="S8951" t="s">
        <v>41562</v>
      </c>
      <c r="T8951" t="s">
        <v>42687</v>
      </c>
      <c r="U8951" t="s">
        <v>45224</v>
      </c>
      <c r="V8951" t="s">
        <v>55251</v>
      </c>
      <c r="W8951" t="s">
        <v>40392</v>
      </c>
      <c r="X8951" t="s">
        <v>41260</v>
      </c>
    </row>
    <row r="8952" spans="1:24">
      <c r="A8952">
        <f>HYPERLINK("https://www.philgeps.gov.ph/GEPSNONPILOT/Tender/SplashBidNoticeAbstractUI.aspx?menuIndex=3&amp;refID=7062201&amp;Result=3","7062201")</f>
        <v>0</v>
      </c>
      <c r="B8952" t="s">
        <v>2011</v>
      </c>
      <c r="C8952" t="s">
        <v>11934</v>
      </c>
      <c r="D8952" t="s">
        <v>16611</v>
      </c>
      <c r="E8952" t="s">
        <v>19719</v>
      </c>
      <c r="F8952" t="s">
        <v>28671</v>
      </c>
      <c r="G8952" t="s">
        <v>28675</v>
      </c>
      <c r="H8952" t="s">
        <v>9998</v>
      </c>
      <c r="I8952" t="s">
        <v>5286</v>
      </c>
      <c r="J8952" t="s">
        <v>34389</v>
      </c>
      <c r="K8952" t="s">
        <v>37204</v>
      </c>
      <c r="M8952" t="s">
        <v>39649</v>
      </c>
      <c r="N8952" t="s">
        <v>41249</v>
      </c>
      <c r="O8952" t="s">
        <v>41250</v>
      </c>
      <c r="P8952">
        <v>0</v>
      </c>
      <c r="Q8952">
        <v>1</v>
      </c>
      <c r="R8952" t="s">
        <v>41259</v>
      </c>
      <c r="S8952" t="s">
        <v>41562</v>
      </c>
      <c r="T8952" t="s">
        <v>42760</v>
      </c>
      <c r="U8952" t="s">
        <v>50456</v>
      </c>
      <c r="V8952" t="s">
        <v>55250</v>
      </c>
      <c r="W8952" t="s">
        <v>39649</v>
      </c>
      <c r="X8952" t="s">
        <v>41260</v>
      </c>
    </row>
    <row r="8953" spans="1:24">
      <c r="A8953">
        <f>HYPERLINK("https://www.philgeps.gov.ph/GEPSNONPILOT/Tender/SplashBidNoticeAbstractUI.aspx?menuIndex=3&amp;refID=7062197&amp;Result=3","7062197")</f>
        <v>0</v>
      </c>
      <c r="B8953" t="s">
        <v>2499</v>
      </c>
      <c r="C8953" t="s">
        <v>11935</v>
      </c>
      <c r="D8953" t="s">
        <v>16634</v>
      </c>
      <c r="E8953" t="s">
        <v>24502</v>
      </c>
      <c r="F8953" t="s">
        <v>28669</v>
      </c>
      <c r="G8953" t="s">
        <v>28675</v>
      </c>
      <c r="H8953" t="s">
        <v>9998</v>
      </c>
      <c r="I8953" t="s">
        <v>7352</v>
      </c>
      <c r="J8953" t="s">
        <v>34390</v>
      </c>
      <c r="K8953" t="s">
        <v>37206</v>
      </c>
      <c r="M8953" t="s">
        <v>40185</v>
      </c>
      <c r="N8953" t="s">
        <v>41249</v>
      </c>
      <c r="O8953" t="s">
        <v>41250</v>
      </c>
      <c r="P8953">
        <v>0</v>
      </c>
      <c r="Q8953">
        <v>0</v>
      </c>
      <c r="R8953" t="s">
        <v>41259</v>
      </c>
      <c r="S8953" t="s">
        <v>41562</v>
      </c>
      <c r="T8953" t="s">
        <v>42836</v>
      </c>
      <c r="U8953" t="s">
        <v>50457</v>
      </c>
      <c r="W8953" t="s">
        <v>40185</v>
      </c>
      <c r="X8953" t="s">
        <v>41260</v>
      </c>
    </row>
    <row r="8954" spans="1:24">
      <c r="A8954">
        <f>HYPERLINK("https://www.philgeps.gov.ph/GEPSNONPILOT/Tender/SplashBidNoticeAbstractUI.aspx?menuIndex=3&amp;refID=7062195&amp;Result=3","7062195")</f>
        <v>0</v>
      </c>
      <c r="B8954" t="s">
        <v>2684</v>
      </c>
      <c r="C8954" t="s">
        <v>11936</v>
      </c>
      <c r="D8954" t="s">
        <v>16663</v>
      </c>
      <c r="E8954" t="s">
        <v>16820</v>
      </c>
      <c r="F8954" t="s">
        <v>28669</v>
      </c>
      <c r="G8954" t="s">
        <v>28675</v>
      </c>
      <c r="H8954" t="s">
        <v>9998</v>
      </c>
      <c r="I8954" t="s">
        <v>28694</v>
      </c>
      <c r="J8954" t="s">
        <v>29819</v>
      </c>
      <c r="K8954" t="s">
        <v>37205</v>
      </c>
      <c r="M8954" t="s">
        <v>40393</v>
      </c>
      <c r="N8954" t="s">
        <v>41249</v>
      </c>
      <c r="O8954" t="s">
        <v>41250</v>
      </c>
      <c r="P8954">
        <v>0</v>
      </c>
      <c r="Q8954">
        <v>1</v>
      </c>
      <c r="R8954" t="s">
        <v>41259</v>
      </c>
      <c r="S8954" t="s">
        <v>41562</v>
      </c>
      <c r="T8954" t="s">
        <v>42717</v>
      </c>
      <c r="U8954" t="s">
        <v>50458</v>
      </c>
      <c r="W8954" t="s">
        <v>40393</v>
      </c>
      <c r="X8954" t="s">
        <v>41260</v>
      </c>
    </row>
    <row r="8955" spans="1:24">
      <c r="A8955">
        <f>HYPERLINK("https://www.philgeps.gov.ph/GEPSNONPILOT/Tender/SplashBidNoticeAbstractUI.aspx?menuIndex=3&amp;refID=7062182&amp;Result=3","7062182")</f>
        <v>0</v>
      </c>
      <c r="B8955" t="s">
        <v>2504</v>
      </c>
      <c r="C8955" t="s">
        <v>11937</v>
      </c>
      <c r="D8955" t="s">
        <v>16621</v>
      </c>
      <c r="E8955" t="s">
        <v>24503</v>
      </c>
      <c r="F8955" t="s">
        <v>28669</v>
      </c>
      <c r="G8955" t="s">
        <v>28675</v>
      </c>
      <c r="H8955" t="s">
        <v>28686</v>
      </c>
      <c r="I8955" t="s">
        <v>28689</v>
      </c>
      <c r="J8955" t="s">
        <v>28877</v>
      </c>
      <c r="K8955" t="s">
        <v>37221</v>
      </c>
      <c r="M8955" t="s">
        <v>40190</v>
      </c>
      <c r="N8955" t="s">
        <v>41249</v>
      </c>
      <c r="O8955" t="s">
        <v>41250</v>
      </c>
      <c r="P8955">
        <v>0</v>
      </c>
      <c r="Q8955">
        <v>0</v>
      </c>
      <c r="R8955" t="s">
        <v>41259</v>
      </c>
      <c r="S8955" t="s">
        <v>41562</v>
      </c>
      <c r="T8955" t="s">
        <v>42760</v>
      </c>
      <c r="U8955" t="s">
        <v>50459</v>
      </c>
      <c r="W8955" t="s">
        <v>40190</v>
      </c>
      <c r="X8955" t="s">
        <v>41260</v>
      </c>
    </row>
    <row r="8956" spans="1:24">
      <c r="A8956">
        <f>HYPERLINK("https://www.philgeps.gov.ph/GEPSNONPILOT/Tender/SplashBidNoticeAbstractUI.aspx?menuIndex=3&amp;refID=7062181&amp;Result=3","7062181")</f>
        <v>0</v>
      </c>
      <c r="B8956" t="s">
        <v>2685</v>
      </c>
      <c r="C8956" t="s">
        <v>11938</v>
      </c>
      <c r="E8956" t="s">
        <v>16877</v>
      </c>
      <c r="F8956" t="s">
        <v>28669</v>
      </c>
      <c r="G8956" t="s">
        <v>28675</v>
      </c>
      <c r="H8956" t="s">
        <v>9998</v>
      </c>
      <c r="I8956" t="s">
        <v>28696</v>
      </c>
      <c r="J8956" t="s">
        <v>28905</v>
      </c>
      <c r="K8956" t="s">
        <v>37209</v>
      </c>
      <c r="M8956" t="s">
        <v>40394</v>
      </c>
      <c r="N8956" t="s">
        <v>41249</v>
      </c>
      <c r="O8956" t="s">
        <v>41250</v>
      </c>
      <c r="P8956">
        <v>0</v>
      </c>
      <c r="Q8956">
        <v>1</v>
      </c>
      <c r="R8956" t="s">
        <v>41259</v>
      </c>
      <c r="S8956" t="s">
        <v>41562</v>
      </c>
      <c r="T8956" t="s">
        <v>42726</v>
      </c>
      <c r="U8956" t="s">
        <v>50460</v>
      </c>
      <c r="W8956" t="s">
        <v>40394</v>
      </c>
      <c r="X8956" t="s">
        <v>41260</v>
      </c>
    </row>
    <row r="8957" spans="1:24">
      <c r="A8957">
        <f>HYPERLINK("https://www.philgeps.gov.ph/GEPSNONPILOT/Tender/SplashBidNoticeAbstractUI.aspx?menuIndex=3&amp;refID=7062174&amp;Result=3","7062174")</f>
        <v>0</v>
      </c>
      <c r="B8957" t="s">
        <v>2683</v>
      </c>
      <c r="C8957" t="s">
        <v>11939</v>
      </c>
      <c r="D8957" t="s">
        <v>16670</v>
      </c>
      <c r="E8957" t="s">
        <v>24504</v>
      </c>
      <c r="F8957" t="s">
        <v>28669</v>
      </c>
      <c r="G8957" t="s">
        <v>28675</v>
      </c>
      <c r="H8957" t="s">
        <v>9998</v>
      </c>
      <c r="I8957" t="s">
        <v>28694</v>
      </c>
      <c r="J8957" t="s">
        <v>30827</v>
      </c>
      <c r="K8957" t="s">
        <v>37206</v>
      </c>
      <c r="M8957" t="s">
        <v>40392</v>
      </c>
      <c r="N8957" t="s">
        <v>41249</v>
      </c>
      <c r="O8957" t="s">
        <v>41250</v>
      </c>
      <c r="P8957">
        <v>0</v>
      </c>
      <c r="Q8957">
        <v>0</v>
      </c>
      <c r="R8957" t="s">
        <v>41259</v>
      </c>
      <c r="S8957" t="s">
        <v>41562</v>
      </c>
      <c r="T8957" t="s">
        <v>42687</v>
      </c>
      <c r="U8957" t="s">
        <v>45224</v>
      </c>
      <c r="V8957" t="s">
        <v>55252</v>
      </c>
      <c r="W8957" t="s">
        <v>40392</v>
      </c>
      <c r="X8957" t="s">
        <v>41260</v>
      </c>
    </row>
    <row r="8958" spans="1:24">
      <c r="A8958">
        <f>HYPERLINK("https://www.philgeps.gov.ph/GEPSNONPILOT/Tender/SplashBidNoticeAbstractUI.aspx?menuIndex=3&amp;refID=7062063&amp;Result=3","7062063")</f>
        <v>0</v>
      </c>
      <c r="B8958" t="s">
        <v>1340</v>
      </c>
      <c r="C8958" t="s">
        <v>11940</v>
      </c>
      <c r="D8958" t="s">
        <v>16621</v>
      </c>
      <c r="E8958" t="s">
        <v>24505</v>
      </c>
      <c r="F8958" t="s">
        <v>28669</v>
      </c>
      <c r="G8958" t="s">
        <v>28675</v>
      </c>
      <c r="H8958" t="s">
        <v>28686</v>
      </c>
      <c r="I8958" t="s">
        <v>28689</v>
      </c>
      <c r="J8958" t="s">
        <v>34391</v>
      </c>
      <c r="K8958" t="s">
        <v>37214</v>
      </c>
      <c r="M8958" t="s">
        <v>40372</v>
      </c>
      <c r="N8958" t="s">
        <v>41249</v>
      </c>
      <c r="O8958" t="s">
        <v>41250</v>
      </c>
      <c r="P8958">
        <v>0</v>
      </c>
      <c r="Q8958">
        <v>0</v>
      </c>
      <c r="R8958" t="s">
        <v>41259</v>
      </c>
      <c r="S8958" t="s">
        <v>41562</v>
      </c>
      <c r="T8958" t="s">
        <v>42760</v>
      </c>
      <c r="U8958" t="s">
        <v>50417</v>
      </c>
      <c r="V8958" t="s">
        <v>55245</v>
      </c>
      <c r="W8958" t="s">
        <v>40372</v>
      </c>
      <c r="X8958" t="s">
        <v>41260</v>
      </c>
    </row>
    <row r="8959" spans="1:24">
      <c r="A8959">
        <f>HYPERLINK("https://www.philgeps.gov.ph/GEPSNONPILOT/Tender/SplashBidNoticeAbstractUI.aspx?menuIndex=3&amp;refID=7062059&amp;Result=3","7062059")</f>
        <v>0</v>
      </c>
      <c r="B8959" t="s">
        <v>1963</v>
      </c>
      <c r="C8959" t="s">
        <v>11941</v>
      </c>
      <c r="D8959" t="s">
        <v>16675</v>
      </c>
      <c r="E8959" t="s">
        <v>24506</v>
      </c>
      <c r="F8959" t="s">
        <v>28669</v>
      </c>
      <c r="G8959" t="s">
        <v>28675</v>
      </c>
      <c r="H8959" t="s">
        <v>9998</v>
      </c>
      <c r="I8959" t="s">
        <v>7352</v>
      </c>
      <c r="J8959" t="s">
        <v>34392</v>
      </c>
      <c r="K8959" t="s">
        <v>37205</v>
      </c>
      <c r="M8959" t="s">
        <v>39596</v>
      </c>
      <c r="N8959" t="s">
        <v>41249</v>
      </c>
      <c r="O8959" t="s">
        <v>41250</v>
      </c>
      <c r="P8959">
        <v>0</v>
      </c>
      <c r="Q8959">
        <v>0</v>
      </c>
      <c r="R8959" t="s">
        <v>41259</v>
      </c>
      <c r="S8959" t="s">
        <v>41562</v>
      </c>
      <c r="T8959" t="s">
        <v>42759</v>
      </c>
      <c r="U8959" t="s">
        <v>50461</v>
      </c>
      <c r="W8959" t="s">
        <v>39596</v>
      </c>
      <c r="X8959" t="s">
        <v>41260</v>
      </c>
    </row>
    <row r="8960" spans="1:24">
      <c r="A8960">
        <f>HYPERLINK("https://www.philgeps.gov.ph/GEPSNONPILOT/Tender/SplashBidNoticeAbstractUI.aspx?menuIndex=3&amp;refID=7062055&amp;Result=3","7062055")</f>
        <v>0</v>
      </c>
      <c r="B8960" t="s">
        <v>326</v>
      </c>
      <c r="C8960" t="s">
        <v>11942</v>
      </c>
      <c r="D8960" t="s">
        <v>16665</v>
      </c>
      <c r="E8960" t="s">
        <v>24507</v>
      </c>
      <c r="F8960" t="s">
        <v>28669</v>
      </c>
      <c r="G8960" t="s">
        <v>28675</v>
      </c>
      <c r="H8960" t="s">
        <v>28686</v>
      </c>
      <c r="I8960" t="s">
        <v>28689</v>
      </c>
      <c r="J8960" t="s">
        <v>34393</v>
      </c>
      <c r="K8960" t="s">
        <v>37211</v>
      </c>
      <c r="M8960" t="s">
        <v>37806</v>
      </c>
      <c r="N8960" t="s">
        <v>41249</v>
      </c>
      <c r="O8960" t="s">
        <v>41250</v>
      </c>
      <c r="P8960">
        <v>0</v>
      </c>
      <c r="Q8960">
        <v>0</v>
      </c>
      <c r="R8960" t="s">
        <v>41259</v>
      </c>
      <c r="S8960" t="s">
        <v>41562</v>
      </c>
      <c r="T8960" t="s">
        <v>42836</v>
      </c>
      <c r="U8960" t="s">
        <v>50462</v>
      </c>
      <c r="W8960" t="s">
        <v>37806</v>
      </c>
      <c r="X8960" t="s">
        <v>41260</v>
      </c>
    </row>
    <row r="8961" spans="1:24">
      <c r="A8961">
        <f>HYPERLINK("https://www.philgeps.gov.ph/GEPSNONPILOT/Tender/SplashBidNoticeAbstractUI.aspx?menuIndex=3&amp;refID=7062049&amp;Result=3","7062049")</f>
        <v>0</v>
      </c>
      <c r="B8961" t="s">
        <v>2686</v>
      </c>
      <c r="C8961" t="s">
        <v>11943</v>
      </c>
      <c r="D8961" t="s">
        <v>16609</v>
      </c>
      <c r="E8961" t="s">
        <v>24508</v>
      </c>
      <c r="F8961" t="s">
        <v>28669</v>
      </c>
      <c r="G8961" t="s">
        <v>28675</v>
      </c>
      <c r="H8961" t="s">
        <v>28686</v>
      </c>
      <c r="I8961" t="s">
        <v>28689</v>
      </c>
      <c r="J8961" t="s">
        <v>34394</v>
      </c>
      <c r="K8961" t="s">
        <v>37209</v>
      </c>
      <c r="M8961" t="s">
        <v>40395</v>
      </c>
      <c r="N8961" t="s">
        <v>41249</v>
      </c>
      <c r="O8961" t="s">
        <v>41250</v>
      </c>
      <c r="P8961">
        <v>0</v>
      </c>
      <c r="Q8961">
        <v>0</v>
      </c>
      <c r="R8961" t="s">
        <v>41259</v>
      </c>
      <c r="S8961" t="s">
        <v>41562</v>
      </c>
      <c r="T8961" t="s">
        <v>42696</v>
      </c>
      <c r="U8961" t="s">
        <v>50463</v>
      </c>
      <c r="W8961" t="s">
        <v>40395</v>
      </c>
      <c r="X8961" t="s">
        <v>41260</v>
      </c>
    </row>
    <row r="8962" spans="1:24">
      <c r="A8962">
        <f>HYPERLINK("https://www.philgeps.gov.ph/GEPSNONPILOT/Tender/SplashBidNoticeAbstractUI.aspx?menuIndex=3&amp;refID=7062048&amp;Result=3","7062048")</f>
        <v>0</v>
      </c>
      <c r="B8962" t="s">
        <v>532</v>
      </c>
      <c r="C8962" t="s">
        <v>11944</v>
      </c>
      <c r="D8962" t="s">
        <v>16675</v>
      </c>
      <c r="E8962" t="s">
        <v>23159</v>
      </c>
      <c r="F8962" t="s">
        <v>28669</v>
      </c>
      <c r="G8962" t="s">
        <v>28675</v>
      </c>
      <c r="H8962" t="s">
        <v>9998</v>
      </c>
      <c r="I8962" t="s">
        <v>28687</v>
      </c>
      <c r="J8962" t="s">
        <v>34395</v>
      </c>
      <c r="K8962" t="s">
        <v>37220</v>
      </c>
      <c r="M8962" t="s">
        <v>38023</v>
      </c>
      <c r="N8962" t="s">
        <v>41249</v>
      </c>
      <c r="O8962" t="s">
        <v>41250</v>
      </c>
      <c r="P8962">
        <v>0</v>
      </c>
      <c r="Q8962">
        <v>5</v>
      </c>
      <c r="R8962" t="s">
        <v>41259</v>
      </c>
      <c r="S8962" t="s">
        <v>41562</v>
      </c>
      <c r="T8962" t="s">
        <v>42743</v>
      </c>
      <c r="U8962" t="s">
        <v>50464</v>
      </c>
      <c r="W8962" t="s">
        <v>38023</v>
      </c>
      <c r="X8962" t="s">
        <v>41260</v>
      </c>
    </row>
    <row r="8963" spans="1:24">
      <c r="A8963">
        <f>HYPERLINK("https://www.philgeps.gov.ph/GEPSNONPILOT/Tender/SplashBidNoticeAbstractUI.aspx?menuIndex=3&amp;refID=7062317&amp;Result=3","7062317")</f>
        <v>0</v>
      </c>
      <c r="B8963" t="s">
        <v>2504</v>
      </c>
      <c r="C8963" t="s">
        <v>11945</v>
      </c>
      <c r="D8963" t="s">
        <v>16621</v>
      </c>
      <c r="E8963" t="s">
        <v>24509</v>
      </c>
      <c r="F8963" t="s">
        <v>28669</v>
      </c>
      <c r="G8963" t="s">
        <v>28675</v>
      </c>
      <c r="H8963" t="s">
        <v>28686</v>
      </c>
      <c r="I8963" t="s">
        <v>28689</v>
      </c>
      <c r="J8963" t="s">
        <v>28877</v>
      </c>
      <c r="K8963" t="s">
        <v>37206</v>
      </c>
      <c r="M8963" t="s">
        <v>40190</v>
      </c>
      <c r="N8963" t="s">
        <v>41249</v>
      </c>
      <c r="O8963" t="s">
        <v>41250</v>
      </c>
      <c r="P8963">
        <v>0</v>
      </c>
      <c r="Q8963">
        <v>0</v>
      </c>
      <c r="R8963" t="s">
        <v>41259</v>
      </c>
      <c r="S8963" t="s">
        <v>41562</v>
      </c>
      <c r="T8963" t="s">
        <v>42760</v>
      </c>
      <c r="U8963" t="s">
        <v>50465</v>
      </c>
      <c r="W8963" t="s">
        <v>40190</v>
      </c>
      <c r="X8963" t="s">
        <v>41260</v>
      </c>
    </row>
    <row r="8964" spans="1:24">
      <c r="A8964">
        <f>HYPERLINK("https://www.philgeps.gov.ph/GEPSNONPILOT/Tender/SplashBidNoticeAbstractUI.aspx?menuIndex=3&amp;refID=7062237&amp;Result=3","7062237")</f>
        <v>0</v>
      </c>
      <c r="B8964" t="s">
        <v>577</v>
      </c>
      <c r="C8964" t="s">
        <v>11946</v>
      </c>
      <c r="D8964" t="s">
        <v>16626</v>
      </c>
      <c r="E8964" t="s">
        <v>24510</v>
      </c>
      <c r="F8964" t="s">
        <v>28669</v>
      </c>
      <c r="G8964" t="s">
        <v>28675</v>
      </c>
      <c r="H8964" t="s">
        <v>9998</v>
      </c>
      <c r="I8964" t="s">
        <v>28687</v>
      </c>
      <c r="J8964" t="s">
        <v>29499</v>
      </c>
      <c r="K8964" t="s">
        <v>37206</v>
      </c>
      <c r="M8964" t="s">
        <v>38076</v>
      </c>
      <c r="N8964" t="s">
        <v>41249</v>
      </c>
      <c r="O8964" t="s">
        <v>41250</v>
      </c>
      <c r="P8964">
        <v>0</v>
      </c>
      <c r="Q8964">
        <v>4</v>
      </c>
      <c r="R8964" t="s">
        <v>41259</v>
      </c>
      <c r="S8964" t="s">
        <v>41562</v>
      </c>
      <c r="T8964" t="s">
        <v>42836</v>
      </c>
      <c r="U8964" t="s">
        <v>50466</v>
      </c>
      <c r="W8964" t="s">
        <v>38076</v>
      </c>
      <c r="X8964" t="s">
        <v>41260</v>
      </c>
    </row>
    <row r="8965" spans="1:24">
      <c r="A8965">
        <f>HYPERLINK("https://www.philgeps.gov.ph/GEPSNONPILOT/Tender/SplashBidNoticeAbstractUI.aspx?menuIndex=3&amp;refID=7062316&amp;Result=3","7062316")</f>
        <v>0</v>
      </c>
      <c r="B8965" t="s">
        <v>2687</v>
      </c>
      <c r="C8965" t="s">
        <v>11947</v>
      </c>
      <c r="D8965" t="s">
        <v>16626</v>
      </c>
      <c r="E8965" t="s">
        <v>24511</v>
      </c>
      <c r="F8965" t="s">
        <v>28669</v>
      </c>
      <c r="G8965" t="s">
        <v>28675</v>
      </c>
      <c r="H8965" t="s">
        <v>28686</v>
      </c>
      <c r="I8965" t="s">
        <v>28689</v>
      </c>
      <c r="J8965" t="s">
        <v>28905</v>
      </c>
      <c r="K8965" t="s">
        <v>37215</v>
      </c>
      <c r="M8965" t="s">
        <v>40396</v>
      </c>
      <c r="N8965" t="s">
        <v>41249</v>
      </c>
      <c r="O8965" t="s">
        <v>41250</v>
      </c>
      <c r="P8965">
        <v>0</v>
      </c>
      <c r="Q8965">
        <v>0</v>
      </c>
      <c r="R8965" t="s">
        <v>41259</v>
      </c>
      <c r="S8965" t="s">
        <v>41562</v>
      </c>
      <c r="T8965" t="s">
        <v>42748</v>
      </c>
      <c r="U8965" t="s">
        <v>50467</v>
      </c>
      <c r="V8965" t="s">
        <v>55253</v>
      </c>
      <c r="W8965" t="s">
        <v>40396</v>
      </c>
      <c r="X8965" t="s">
        <v>41260</v>
      </c>
    </row>
    <row r="8966" spans="1:24">
      <c r="A8966">
        <f>HYPERLINK("https://www.philgeps.gov.ph/GEPSNONPILOT/Tender/SplashBidNoticeAbstractUI.aspx?menuIndex=3&amp;refID=7062222&amp;Result=3","7062222")</f>
        <v>0</v>
      </c>
      <c r="B8966" t="s">
        <v>1302</v>
      </c>
      <c r="C8966" t="s">
        <v>11948</v>
      </c>
      <c r="D8966" t="s">
        <v>16608</v>
      </c>
      <c r="E8966" t="s">
        <v>24512</v>
      </c>
      <c r="F8966" t="s">
        <v>28669</v>
      </c>
      <c r="G8966" t="s">
        <v>28675</v>
      </c>
      <c r="H8966" t="s">
        <v>9998</v>
      </c>
      <c r="I8966" t="s">
        <v>28714</v>
      </c>
      <c r="J8966" t="s">
        <v>34396</v>
      </c>
      <c r="K8966" t="s">
        <v>37209</v>
      </c>
      <c r="M8966" t="s">
        <v>40397</v>
      </c>
      <c r="N8966" t="s">
        <v>41249</v>
      </c>
      <c r="O8966" t="s">
        <v>41250</v>
      </c>
      <c r="P8966">
        <v>0</v>
      </c>
      <c r="Q8966">
        <v>50</v>
      </c>
      <c r="R8966" t="s">
        <v>41259</v>
      </c>
      <c r="S8966" t="s">
        <v>41562</v>
      </c>
      <c r="T8966" t="s">
        <v>42782</v>
      </c>
      <c r="U8966" t="s">
        <v>50468</v>
      </c>
      <c r="W8966" t="s">
        <v>40397</v>
      </c>
      <c r="X8966" t="s">
        <v>41260</v>
      </c>
    </row>
    <row r="8967" spans="1:24">
      <c r="A8967">
        <f>HYPERLINK("https://www.philgeps.gov.ph/GEPSNONPILOT/Tender/SplashBidNoticeAbstractUI.aspx?menuIndex=3&amp;refID=7062303&amp;Result=3","7062303")</f>
        <v>0</v>
      </c>
      <c r="B8967" t="s">
        <v>956</v>
      </c>
      <c r="C8967" t="s">
        <v>11949</v>
      </c>
      <c r="D8967" t="s">
        <v>16679</v>
      </c>
      <c r="E8967" t="s">
        <v>24513</v>
      </c>
      <c r="F8967" t="s">
        <v>28669</v>
      </c>
      <c r="G8967" t="s">
        <v>28675</v>
      </c>
      <c r="H8967" t="s">
        <v>9998</v>
      </c>
      <c r="I8967" t="s">
        <v>28688</v>
      </c>
      <c r="J8967" t="s">
        <v>34397</v>
      </c>
      <c r="K8967" t="s">
        <v>37205</v>
      </c>
      <c r="M8967" t="s">
        <v>38480</v>
      </c>
      <c r="N8967" t="s">
        <v>41249</v>
      </c>
      <c r="O8967" t="s">
        <v>41250</v>
      </c>
      <c r="P8967">
        <v>0</v>
      </c>
      <c r="Q8967">
        <v>5</v>
      </c>
      <c r="R8967" t="s">
        <v>41259</v>
      </c>
      <c r="S8967" t="s">
        <v>41562</v>
      </c>
      <c r="T8967" t="s">
        <v>42767</v>
      </c>
      <c r="U8967" t="s">
        <v>50469</v>
      </c>
      <c r="V8967" t="s">
        <v>54528</v>
      </c>
      <c r="W8967" t="s">
        <v>38480</v>
      </c>
      <c r="X8967" t="s">
        <v>41260</v>
      </c>
    </row>
    <row r="8968" spans="1:24">
      <c r="A8968">
        <f>HYPERLINK("https://www.philgeps.gov.ph/GEPSNONPILOT/Tender/SplashBidNoticeAbstractUI.aspx?menuIndex=3&amp;refID=7062302&amp;Result=3","7062302")</f>
        <v>0</v>
      </c>
      <c r="B8968" t="s">
        <v>2688</v>
      </c>
      <c r="C8968" t="s">
        <v>11950</v>
      </c>
      <c r="D8968" t="s">
        <v>16675</v>
      </c>
      <c r="E8968" t="s">
        <v>22561</v>
      </c>
      <c r="F8968" t="s">
        <v>28669</v>
      </c>
      <c r="G8968" t="s">
        <v>28675</v>
      </c>
      <c r="H8968" t="s">
        <v>28686</v>
      </c>
      <c r="I8968" t="s">
        <v>28689</v>
      </c>
      <c r="J8968" t="s">
        <v>34398</v>
      </c>
      <c r="K8968" t="s">
        <v>37390</v>
      </c>
      <c r="M8968" t="s">
        <v>40398</v>
      </c>
      <c r="N8968" t="s">
        <v>41249</v>
      </c>
      <c r="O8968" t="s">
        <v>41250</v>
      </c>
      <c r="P8968">
        <v>0</v>
      </c>
      <c r="Q8968">
        <v>0</v>
      </c>
      <c r="R8968" t="s">
        <v>41259</v>
      </c>
      <c r="S8968" t="s">
        <v>41562</v>
      </c>
      <c r="T8968" t="s">
        <v>42782</v>
      </c>
      <c r="U8968" t="s">
        <v>50470</v>
      </c>
      <c r="W8968" t="s">
        <v>40398</v>
      </c>
      <c r="X8968" t="s">
        <v>41260</v>
      </c>
    </row>
    <row r="8969" spans="1:24">
      <c r="A8969">
        <f>HYPERLINK("https://www.philgeps.gov.ph/GEPSNONPILOT/Tender/SplashBidNoticeAbstractUI.aspx?menuIndex=3&amp;refID=7062259&amp;Result=3","7062259")</f>
        <v>0</v>
      </c>
      <c r="B8969" t="s">
        <v>299</v>
      </c>
      <c r="C8969" t="s">
        <v>11951</v>
      </c>
      <c r="D8969" t="s">
        <v>16639</v>
      </c>
      <c r="E8969" t="s">
        <v>24514</v>
      </c>
      <c r="F8969" t="s">
        <v>28669</v>
      </c>
      <c r="G8969" t="s">
        <v>28675</v>
      </c>
      <c r="H8969" t="s">
        <v>28686</v>
      </c>
      <c r="I8969" t="s">
        <v>28689</v>
      </c>
      <c r="J8969" t="s">
        <v>34399</v>
      </c>
      <c r="K8969" t="s">
        <v>37207</v>
      </c>
      <c r="M8969" t="s">
        <v>37778</v>
      </c>
      <c r="N8969" t="s">
        <v>41249</v>
      </c>
      <c r="O8969" t="s">
        <v>41250</v>
      </c>
      <c r="P8969">
        <v>0</v>
      </c>
      <c r="Q8969">
        <v>0</v>
      </c>
      <c r="R8969" t="s">
        <v>41259</v>
      </c>
      <c r="S8969" t="s">
        <v>41562</v>
      </c>
      <c r="T8969" t="s">
        <v>42728</v>
      </c>
      <c r="U8969" t="s">
        <v>50471</v>
      </c>
      <c r="W8969" t="s">
        <v>37778</v>
      </c>
      <c r="X8969" t="s">
        <v>41260</v>
      </c>
    </row>
    <row r="8970" spans="1:24">
      <c r="A8970">
        <f>HYPERLINK("https://www.philgeps.gov.ph/GEPSNONPILOT/Tender/SplashBidNoticeAbstractUI.aspx?menuIndex=3&amp;refID=7062295&amp;Result=3","7062295")</f>
        <v>0</v>
      </c>
      <c r="B8970" t="s">
        <v>990</v>
      </c>
      <c r="C8970" t="s">
        <v>11952</v>
      </c>
      <c r="D8970" t="s">
        <v>16658</v>
      </c>
      <c r="E8970" t="s">
        <v>24515</v>
      </c>
      <c r="F8970" t="s">
        <v>28669</v>
      </c>
      <c r="G8970" t="s">
        <v>28675</v>
      </c>
      <c r="H8970" t="s">
        <v>9998</v>
      </c>
      <c r="I8970" t="s">
        <v>28690</v>
      </c>
      <c r="J8970" t="s">
        <v>34400</v>
      </c>
      <c r="K8970" t="s">
        <v>37209</v>
      </c>
      <c r="M8970" t="s">
        <v>38517</v>
      </c>
      <c r="N8970" t="s">
        <v>41249</v>
      </c>
      <c r="O8970" t="s">
        <v>41250</v>
      </c>
      <c r="P8970">
        <v>0</v>
      </c>
      <c r="Q8970">
        <v>9</v>
      </c>
      <c r="R8970" t="s">
        <v>41259</v>
      </c>
      <c r="S8970" t="s">
        <v>41562</v>
      </c>
      <c r="T8970" t="s">
        <v>42728</v>
      </c>
      <c r="U8970" t="s">
        <v>45220</v>
      </c>
      <c r="W8970" t="s">
        <v>38517</v>
      </c>
      <c r="X8970" t="s">
        <v>41260</v>
      </c>
    </row>
    <row r="8971" spans="1:24">
      <c r="A8971">
        <f>HYPERLINK("https://www.philgeps.gov.ph/GEPSNONPILOT/Tender/SplashBidNoticeAbstractUI.aspx?menuIndex=3&amp;refID=7062291&amp;Result=3","7062291")</f>
        <v>0</v>
      </c>
      <c r="B8971" t="s">
        <v>2678</v>
      </c>
      <c r="C8971" t="s">
        <v>11953</v>
      </c>
      <c r="D8971" t="s">
        <v>16667</v>
      </c>
      <c r="E8971" t="s">
        <v>24516</v>
      </c>
      <c r="F8971" t="s">
        <v>28669</v>
      </c>
      <c r="G8971" t="s">
        <v>28675</v>
      </c>
      <c r="H8971" t="s">
        <v>9998</v>
      </c>
      <c r="I8971" t="s">
        <v>3658</v>
      </c>
      <c r="J8971" t="s">
        <v>34401</v>
      </c>
      <c r="K8971" t="s">
        <v>37210</v>
      </c>
      <c r="M8971" t="s">
        <v>40386</v>
      </c>
      <c r="N8971" t="s">
        <v>41249</v>
      </c>
      <c r="O8971" t="s">
        <v>41250</v>
      </c>
      <c r="P8971">
        <v>0</v>
      </c>
      <c r="Q8971">
        <v>0</v>
      </c>
      <c r="R8971" t="s">
        <v>41259</v>
      </c>
      <c r="S8971" t="s">
        <v>41562</v>
      </c>
      <c r="T8971" t="s">
        <v>42836</v>
      </c>
      <c r="U8971" t="s">
        <v>50472</v>
      </c>
      <c r="W8971" t="s">
        <v>40386</v>
      </c>
      <c r="X8971" t="s">
        <v>41260</v>
      </c>
    </row>
    <row r="8972" spans="1:24">
      <c r="A8972">
        <f>HYPERLINK("https://www.philgeps.gov.ph/GEPSNONPILOT/Tender/SplashBidNoticeAbstractUI.aspx?menuIndex=3&amp;refID=7062309&amp;Result=3","7062309")</f>
        <v>0</v>
      </c>
      <c r="B8972" t="s">
        <v>248</v>
      </c>
      <c r="C8972" t="s">
        <v>11954</v>
      </c>
      <c r="D8972" t="s">
        <v>16625</v>
      </c>
      <c r="E8972" t="s">
        <v>24517</v>
      </c>
      <c r="F8972" t="s">
        <v>28669</v>
      </c>
      <c r="G8972" t="s">
        <v>28675</v>
      </c>
      <c r="H8972" t="s">
        <v>9998</v>
      </c>
      <c r="I8972" t="s">
        <v>28689</v>
      </c>
      <c r="J8972" t="s">
        <v>34402</v>
      </c>
      <c r="K8972" t="s">
        <v>37206</v>
      </c>
      <c r="M8972" t="s">
        <v>37726</v>
      </c>
      <c r="N8972" t="s">
        <v>41249</v>
      </c>
      <c r="O8972" t="s">
        <v>41250</v>
      </c>
      <c r="P8972">
        <v>0</v>
      </c>
      <c r="Q8972">
        <v>1</v>
      </c>
      <c r="R8972" t="s">
        <v>41259</v>
      </c>
      <c r="S8972" t="s">
        <v>41562</v>
      </c>
      <c r="T8972" t="s">
        <v>42760</v>
      </c>
      <c r="U8972" t="s">
        <v>50473</v>
      </c>
      <c r="V8972" t="s">
        <v>55254</v>
      </c>
      <c r="W8972" t="s">
        <v>37726</v>
      </c>
      <c r="X8972" t="s">
        <v>41260</v>
      </c>
    </row>
    <row r="8973" spans="1:24">
      <c r="A8973">
        <f>HYPERLINK("https://www.philgeps.gov.ph/GEPSNONPILOT/Tender/SplashBidNoticeAbstractUI.aspx?menuIndex=3&amp;refID=7062283&amp;Result=3","7062283")</f>
        <v>0</v>
      </c>
      <c r="B8973" t="s">
        <v>1399</v>
      </c>
      <c r="C8973" t="s">
        <v>11929</v>
      </c>
      <c r="D8973" t="s">
        <v>16611</v>
      </c>
      <c r="E8973" t="s">
        <v>24518</v>
      </c>
      <c r="F8973" t="s">
        <v>28669</v>
      </c>
      <c r="G8973" t="s">
        <v>28675</v>
      </c>
      <c r="H8973" t="s">
        <v>9998</v>
      </c>
      <c r="I8973" t="s">
        <v>28688</v>
      </c>
      <c r="J8973" t="s">
        <v>34403</v>
      </c>
      <c r="K8973" t="s">
        <v>37209</v>
      </c>
      <c r="M8973" t="s">
        <v>40390</v>
      </c>
      <c r="N8973" t="s">
        <v>41249</v>
      </c>
      <c r="O8973" t="s">
        <v>41250</v>
      </c>
      <c r="P8973">
        <v>0</v>
      </c>
      <c r="Q8973">
        <v>0</v>
      </c>
      <c r="R8973" t="s">
        <v>41259</v>
      </c>
      <c r="S8973" t="s">
        <v>41562</v>
      </c>
      <c r="T8973" t="s">
        <v>42727</v>
      </c>
      <c r="U8973" t="s">
        <v>50452</v>
      </c>
      <c r="W8973" t="s">
        <v>40390</v>
      </c>
      <c r="X8973" t="s">
        <v>41260</v>
      </c>
    </row>
    <row r="8974" spans="1:24">
      <c r="A8974">
        <f>HYPERLINK("https://www.philgeps.gov.ph/GEPSNONPILOT/Tender/SplashBidNoticeAbstractUI.aspx?menuIndex=3&amp;refID=7062282&amp;Result=3","7062282")</f>
        <v>0</v>
      </c>
      <c r="B8974" t="s">
        <v>2689</v>
      </c>
      <c r="C8974" t="s">
        <v>11955</v>
      </c>
      <c r="D8974" t="s">
        <v>16625</v>
      </c>
      <c r="E8974" t="s">
        <v>16737</v>
      </c>
      <c r="F8974" t="s">
        <v>28671</v>
      </c>
      <c r="G8974" t="s">
        <v>28675</v>
      </c>
      <c r="H8974" t="s">
        <v>9998</v>
      </c>
      <c r="I8974" t="s">
        <v>6606</v>
      </c>
      <c r="J8974" t="s">
        <v>28859</v>
      </c>
      <c r="K8974" t="s">
        <v>37209</v>
      </c>
      <c r="M8974" t="s">
        <v>40399</v>
      </c>
      <c r="N8974" t="s">
        <v>41249</v>
      </c>
      <c r="O8974" t="s">
        <v>41250</v>
      </c>
      <c r="P8974">
        <v>0</v>
      </c>
      <c r="Q8974">
        <v>1</v>
      </c>
      <c r="R8974" t="s">
        <v>41259</v>
      </c>
      <c r="S8974" t="s">
        <v>41562</v>
      </c>
      <c r="T8974" t="s">
        <v>42682</v>
      </c>
      <c r="U8974" t="s">
        <v>50474</v>
      </c>
      <c r="W8974" t="s">
        <v>40399</v>
      </c>
      <c r="X8974" t="s">
        <v>41260</v>
      </c>
    </row>
    <row r="8975" spans="1:24">
      <c r="A8975">
        <f>HYPERLINK("https://www.philgeps.gov.ph/GEPSNONPILOT/Tender/SplashBidNoticeAbstractUI.aspx?menuIndex=3&amp;refID=7062281&amp;Result=3","7062281")</f>
        <v>0</v>
      </c>
      <c r="B8975" t="s">
        <v>2671</v>
      </c>
      <c r="C8975" t="s">
        <v>3517</v>
      </c>
      <c r="E8975" t="s">
        <v>24519</v>
      </c>
      <c r="F8975" t="s">
        <v>28669</v>
      </c>
      <c r="G8975" t="s">
        <v>28675</v>
      </c>
      <c r="H8975" t="s">
        <v>9998</v>
      </c>
      <c r="I8975" t="s">
        <v>28687</v>
      </c>
      <c r="J8975" t="s">
        <v>29059</v>
      </c>
      <c r="K8975" t="s">
        <v>37206</v>
      </c>
      <c r="M8975" t="s">
        <v>40379</v>
      </c>
      <c r="N8975" t="s">
        <v>41249</v>
      </c>
      <c r="O8975" t="s">
        <v>41250</v>
      </c>
      <c r="P8975">
        <v>0</v>
      </c>
      <c r="Q8975">
        <v>8</v>
      </c>
      <c r="R8975" t="s">
        <v>41259</v>
      </c>
      <c r="S8975" t="s">
        <v>41562</v>
      </c>
      <c r="T8975" t="s">
        <v>42694</v>
      </c>
      <c r="U8975" t="s">
        <v>50475</v>
      </c>
      <c r="V8975" t="s">
        <v>55255</v>
      </c>
      <c r="W8975" t="s">
        <v>40379</v>
      </c>
      <c r="X8975" t="s">
        <v>41260</v>
      </c>
    </row>
    <row r="8976" spans="1:24">
      <c r="A8976">
        <f>HYPERLINK("https://www.philgeps.gov.ph/GEPSNONPILOT/Tender/SplashBidNoticeAbstractUI.aspx?menuIndex=3&amp;refID=7062276&amp;Result=3","7062276")</f>
        <v>0</v>
      </c>
      <c r="B8976" t="s">
        <v>2690</v>
      </c>
      <c r="C8976" t="s">
        <v>11956</v>
      </c>
      <c r="E8976" t="s">
        <v>24520</v>
      </c>
      <c r="F8976" t="s">
        <v>28669</v>
      </c>
      <c r="G8976" t="s">
        <v>28676</v>
      </c>
      <c r="H8976" t="s">
        <v>9998</v>
      </c>
      <c r="I8976" t="s">
        <v>11142</v>
      </c>
      <c r="J8976" t="s">
        <v>34404</v>
      </c>
      <c r="K8976" t="s">
        <v>37208</v>
      </c>
      <c r="M8976" t="s">
        <v>40400</v>
      </c>
      <c r="N8976" t="s">
        <v>41249</v>
      </c>
      <c r="O8976" t="s">
        <v>41250</v>
      </c>
      <c r="P8976">
        <v>0</v>
      </c>
      <c r="Q8976">
        <v>0</v>
      </c>
      <c r="R8976" t="s">
        <v>41259</v>
      </c>
      <c r="S8976" t="s">
        <v>41562</v>
      </c>
      <c r="T8976" t="s">
        <v>42698</v>
      </c>
      <c r="U8976" t="s">
        <v>50476</v>
      </c>
      <c r="V8976" t="s">
        <v>55256</v>
      </c>
      <c r="W8976" t="s">
        <v>40400</v>
      </c>
      <c r="X8976" t="s">
        <v>41260</v>
      </c>
    </row>
    <row r="8977" spans="1:24">
      <c r="A8977">
        <f>HYPERLINK("https://www.philgeps.gov.ph/GEPSNONPILOT/Tender/SplashBidNoticeAbstractUI.aspx?menuIndex=3&amp;refID=7062274&amp;Result=3","7062274")</f>
        <v>0</v>
      </c>
      <c r="B8977" t="s">
        <v>2444</v>
      </c>
      <c r="C8977" t="s">
        <v>11957</v>
      </c>
      <c r="D8977" t="s">
        <v>16610</v>
      </c>
      <c r="E8977" t="s">
        <v>24521</v>
      </c>
      <c r="F8977" t="s">
        <v>28669</v>
      </c>
      <c r="G8977" t="s">
        <v>28675</v>
      </c>
      <c r="H8977" t="s">
        <v>28686</v>
      </c>
      <c r="I8977" t="s">
        <v>28689</v>
      </c>
      <c r="J8977" t="s">
        <v>34405</v>
      </c>
      <c r="K8977" t="s">
        <v>37221</v>
      </c>
      <c r="M8977" t="s">
        <v>40127</v>
      </c>
      <c r="N8977" t="s">
        <v>41249</v>
      </c>
      <c r="O8977" t="s">
        <v>41250</v>
      </c>
      <c r="P8977">
        <v>0</v>
      </c>
      <c r="Q8977">
        <v>0</v>
      </c>
      <c r="R8977" t="s">
        <v>41259</v>
      </c>
      <c r="S8977" t="s">
        <v>41562</v>
      </c>
      <c r="T8977" t="s">
        <v>42808</v>
      </c>
      <c r="U8977" t="s">
        <v>50477</v>
      </c>
      <c r="W8977" t="s">
        <v>40127</v>
      </c>
      <c r="X8977" t="s">
        <v>41260</v>
      </c>
    </row>
    <row r="8978" spans="1:24">
      <c r="A8978">
        <f>HYPERLINK("https://www.philgeps.gov.ph/GEPSNONPILOT/Tender/SplashBidNoticeAbstractUI.aspx?menuIndex=3&amp;refID=7062287&amp;Result=3","7062287")</f>
        <v>0</v>
      </c>
      <c r="B8978" t="s">
        <v>2691</v>
      </c>
      <c r="C8978" t="s">
        <v>11958</v>
      </c>
      <c r="E8978" t="s">
        <v>16803</v>
      </c>
      <c r="F8978" t="s">
        <v>28669</v>
      </c>
      <c r="G8978" t="s">
        <v>28675</v>
      </c>
      <c r="H8978" t="s">
        <v>9998</v>
      </c>
      <c r="I8978" t="s">
        <v>7352</v>
      </c>
      <c r="J8978" t="s">
        <v>34406</v>
      </c>
      <c r="K8978" t="s">
        <v>37209</v>
      </c>
      <c r="M8978" t="s">
        <v>40401</v>
      </c>
      <c r="N8978" t="s">
        <v>41249</v>
      </c>
      <c r="O8978" t="s">
        <v>41250</v>
      </c>
      <c r="P8978">
        <v>0</v>
      </c>
      <c r="Q8978">
        <v>1</v>
      </c>
      <c r="R8978" t="s">
        <v>41259</v>
      </c>
      <c r="S8978" t="s">
        <v>41562</v>
      </c>
      <c r="T8978" t="s">
        <v>42836</v>
      </c>
      <c r="U8978" t="s">
        <v>50478</v>
      </c>
      <c r="W8978" t="s">
        <v>40401</v>
      </c>
      <c r="X8978" t="s">
        <v>41260</v>
      </c>
    </row>
    <row r="8979" spans="1:24">
      <c r="A8979">
        <f>HYPERLINK("https://www.philgeps.gov.ph/GEPSNONPILOT/Tender/SplashBidNoticeAbstractUI.aspx?menuIndex=3&amp;refID=7062273&amp;Result=3","7062273")</f>
        <v>0</v>
      </c>
      <c r="B8979" t="s">
        <v>2679</v>
      </c>
      <c r="C8979" t="s">
        <v>11959</v>
      </c>
      <c r="D8979" t="s">
        <v>16627</v>
      </c>
      <c r="E8979" t="s">
        <v>24522</v>
      </c>
      <c r="F8979" t="s">
        <v>28669</v>
      </c>
      <c r="G8979" t="s">
        <v>28675</v>
      </c>
      <c r="H8979" t="s">
        <v>9998</v>
      </c>
      <c r="I8979" t="s">
        <v>28710</v>
      </c>
      <c r="J8979" t="s">
        <v>29053</v>
      </c>
      <c r="K8979" t="s">
        <v>37209</v>
      </c>
      <c r="M8979" t="s">
        <v>40387</v>
      </c>
      <c r="N8979" t="s">
        <v>41249</v>
      </c>
      <c r="O8979" t="s">
        <v>41250</v>
      </c>
      <c r="P8979">
        <v>0</v>
      </c>
      <c r="Q8979">
        <v>3</v>
      </c>
      <c r="R8979" t="s">
        <v>41259</v>
      </c>
      <c r="S8979" t="s">
        <v>41562</v>
      </c>
      <c r="T8979" t="s">
        <v>42755</v>
      </c>
      <c r="U8979" t="s">
        <v>50479</v>
      </c>
      <c r="V8979" t="s">
        <v>55249</v>
      </c>
      <c r="W8979" t="s">
        <v>40387</v>
      </c>
      <c r="X8979" t="s">
        <v>41260</v>
      </c>
    </row>
    <row r="8980" spans="1:24">
      <c r="A8980">
        <f>HYPERLINK("https://www.philgeps.gov.ph/GEPSNONPILOT/Tender/SplashBidNoticeAbstractUI.aspx?menuIndex=3&amp;refID=7062271&amp;Result=3","7062271")</f>
        <v>0</v>
      </c>
      <c r="B8980" t="s">
        <v>2682</v>
      </c>
      <c r="C8980" t="s">
        <v>11960</v>
      </c>
      <c r="D8980" t="s">
        <v>16620</v>
      </c>
      <c r="E8980" t="s">
        <v>24523</v>
      </c>
      <c r="F8980" t="s">
        <v>28669</v>
      </c>
      <c r="G8980" t="s">
        <v>28675</v>
      </c>
      <c r="H8980" t="s">
        <v>9998</v>
      </c>
      <c r="I8980" t="s">
        <v>7352</v>
      </c>
      <c r="J8980" t="s">
        <v>34407</v>
      </c>
      <c r="K8980" t="s">
        <v>37210</v>
      </c>
      <c r="M8980" t="s">
        <v>40391</v>
      </c>
      <c r="N8980" t="s">
        <v>41249</v>
      </c>
      <c r="O8980" t="s">
        <v>41250</v>
      </c>
      <c r="P8980">
        <v>0</v>
      </c>
      <c r="Q8980">
        <v>0</v>
      </c>
      <c r="R8980" t="s">
        <v>41259</v>
      </c>
      <c r="S8980" t="s">
        <v>41562</v>
      </c>
      <c r="T8980" t="s">
        <v>42767</v>
      </c>
      <c r="U8980" t="s">
        <v>50480</v>
      </c>
      <c r="W8980" t="s">
        <v>40391</v>
      </c>
      <c r="X8980" t="s">
        <v>41260</v>
      </c>
    </row>
    <row r="8981" spans="1:24">
      <c r="A8981">
        <f>HYPERLINK("https://www.philgeps.gov.ph/GEPSNONPILOT/Tender/SplashBidNoticeAbstractUI.aspx?menuIndex=3&amp;refID=7062270&amp;Result=3","7062270")</f>
        <v>0</v>
      </c>
      <c r="B8981" t="s">
        <v>186</v>
      </c>
      <c r="C8981" t="s">
        <v>11961</v>
      </c>
      <c r="D8981" t="s">
        <v>16654</v>
      </c>
      <c r="E8981" t="s">
        <v>24524</v>
      </c>
      <c r="F8981" t="s">
        <v>28669</v>
      </c>
      <c r="G8981" t="s">
        <v>28675</v>
      </c>
      <c r="H8981" t="s">
        <v>9998</v>
      </c>
      <c r="I8981" t="s">
        <v>28773</v>
      </c>
      <c r="J8981" t="s">
        <v>34408</v>
      </c>
      <c r="K8981" t="s">
        <v>37231</v>
      </c>
      <c r="M8981" t="s">
        <v>37664</v>
      </c>
      <c r="N8981" t="s">
        <v>41249</v>
      </c>
      <c r="O8981" t="s">
        <v>41250</v>
      </c>
      <c r="P8981">
        <v>0</v>
      </c>
      <c r="Q8981">
        <v>3</v>
      </c>
      <c r="R8981" t="s">
        <v>41259</v>
      </c>
      <c r="S8981" t="s">
        <v>41562</v>
      </c>
      <c r="T8981" t="s">
        <v>43041</v>
      </c>
      <c r="U8981" t="s">
        <v>50481</v>
      </c>
      <c r="W8981" t="s">
        <v>37664</v>
      </c>
      <c r="X8981" t="s">
        <v>41260</v>
      </c>
    </row>
    <row r="8982" spans="1:24">
      <c r="A8982">
        <f>HYPERLINK("https://www.philgeps.gov.ph/GEPSNONPILOT/Tender/SplashBidNoticeAbstractUI.aspx?menuIndex=3&amp;refID=7061933&amp;Result=3","7061933")</f>
        <v>0</v>
      </c>
      <c r="B8982" t="s">
        <v>1340</v>
      </c>
      <c r="C8982" t="s">
        <v>11962</v>
      </c>
      <c r="D8982" t="s">
        <v>16621</v>
      </c>
      <c r="E8982" t="s">
        <v>24525</v>
      </c>
      <c r="F8982" t="s">
        <v>28669</v>
      </c>
      <c r="G8982" t="s">
        <v>28675</v>
      </c>
      <c r="H8982" t="s">
        <v>28686</v>
      </c>
      <c r="I8982" t="s">
        <v>28689</v>
      </c>
      <c r="J8982" t="s">
        <v>34409</v>
      </c>
      <c r="K8982" t="s">
        <v>37212</v>
      </c>
      <c r="M8982" t="s">
        <v>40372</v>
      </c>
      <c r="N8982" t="s">
        <v>41249</v>
      </c>
      <c r="O8982" t="s">
        <v>41250</v>
      </c>
      <c r="P8982">
        <v>0</v>
      </c>
      <c r="Q8982">
        <v>0</v>
      </c>
      <c r="R8982" t="s">
        <v>41259</v>
      </c>
      <c r="S8982" t="s">
        <v>41562</v>
      </c>
      <c r="T8982" t="s">
        <v>42760</v>
      </c>
      <c r="U8982" t="s">
        <v>50482</v>
      </c>
      <c r="V8982" t="s">
        <v>55245</v>
      </c>
      <c r="W8982" t="s">
        <v>40372</v>
      </c>
      <c r="X8982" t="s">
        <v>41260</v>
      </c>
    </row>
    <row r="8983" spans="1:24">
      <c r="A8983">
        <f>HYPERLINK("https://www.philgeps.gov.ph/GEPSNONPILOT/Tender/SplashBidNoticeAbstractUI.aspx?menuIndex=3&amp;refID=7062214&amp;Result=3","7062214")</f>
        <v>0</v>
      </c>
      <c r="B8983" t="s">
        <v>2682</v>
      </c>
      <c r="C8983" t="s">
        <v>11963</v>
      </c>
      <c r="D8983" t="s">
        <v>16620</v>
      </c>
      <c r="E8983" t="s">
        <v>24526</v>
      </c>
      <c r="F8983" t="s">
        <v>28669</v>
      </c>
      <c r="G8983" t="s">
        <v>28675</v>
      </c>
      <c r="H8983" t="s">
        <v>9998</v>
      </c>
      <c r="I8983" t="s">
        <v>28695</v>
      </c>
      <c r="J8983" t="s">
        <v>34410</v>
      </c>
      <c r="K8983" t="s">
        <v>37210</v>
      </c>
      <c r="M8983" t="s">
        <v>40391</v>
      </c>
      <c r="N8983" t="s">
        <v>41249</v>
      </c>
      <c r="O8983" t="s">
        <v>41250</v>
      </c>
      <c r="P8983">
        <v>0</v>
      </c>
      <c r="Q8983">
        <v>0</v>
      </c>
      <c r="R8983" t="s">
        <v>41259</v>
      </c>
      <c r="S8983" t="s">
        <v>41562</v>
      </c>
      <c r="T8983" t="s">
        <v>42767</v>
      </c>
      <c r="U8983" t="s">
        <v>50483</v>
      </c>
      <c r="W8983" t="s">
        <v>40391</v>
      </c>
      <c r="X8983" t="s">
        <v>41260</v>
      </c>
    </row>
    <row r="8984" spans="1:24">
      <c r="A8984">
        <f>HYPERLINK("https://www.philgeps.gov.ph/GEPSNONPILOT/Tender/SplashBidNoticeAbstractUI.aspx?menuIndex=3&amp;refID=7061929&amp;Result=3","7061929")</f>
        <v>0</v>
      </c>
      <c r="B8984" t="s">
        <v>2134</v>
      </c>
      <c r="C8984" t="s">
        <v>11964</v>
      </c>
      <c r="D8984" t="s">
        <v>16676</v>
      </c>
      <c r="E8984" t="s">
        <v>24527</v>
      </c>
      <c r="F8984" t="s">
        <v>28669</v>
      </c>
      <c r="G8984" t="s">
        <v>28675</v>
      </c>
      <c r="H8984" t="s">
        <v>28686</v>
      </c>
      <c r="I8984" t="s">
        <v>28689</v>
      </c>
      <c r="J8984" t="s">
        <v>34411</v>
      </c>
      <c r="K8984" t="s">
        <v>37214</v>
      </c>
      <c r="M8984" t="s">
        <v>39779</v>
      </c>
      <c r="N8984" t="s">
        <v>41249</v>
      </c>
      <c r="O8984" t="s">
        <v>41250</v>
      </c>
      <c r="P8984">
        <v>0</v>
      </c>
      <c r="Q8984">
        <v>3</v>
      </c>
      <c r="R8984" t="s">
        <v>41259</v>
      </c>
      <c r="S8984" t="s">
        <v>41562</v>
      </c>
      <c r="T8984" t="s">
        <v>42760</v>
      </c>
      <c r="U8984" t="s">
        <v>48534</v>
      </c>
      <c r="V8984" t="s">
        <v>55257</v>
      </c>
      <c r="W8984" t="s">
        <v>39779</v>
      </c>
      <c r="X8984" t="s">
        <v>41260</v>
      </c>
    </row>
    <row r="8985" spans="1:24">
      <c r="A8985">
        <f>HYPERLINK("https://www.philgeps.gov.ph/GEPSNONPILOT/Tender/SplashBidNoticeAbstractUI.aspx?menuIndex=3&amp;refID=7061919&amp;Result=3","7061919")</f>
        <v>0</v>
      </c>
      <c r="B8985" t="s">
        <v>1340</v>
      </c>
      <c r="C8985" t="s">
        <v>11965</v>
      </c>
      <c r="D8985" t="s">
        <v>16621</v>
      </c>
      <c r="E8985" t="s">
        <v>24528</v>
      </c>
      <c r="F8985" t="s">
        <v>28669</v>
      </c>
      <c r="G8985" t="s">
        <v>28675</v>
      </c>
      <c r="H8985" t="s">
        <v>28686</v>
      </c>
      <c r="I8985" t="s">
        <v>28689</v>
      </c>
      <c r="J8985" t="s">
        <v>34412</v>
      </c>
      <c r="K8985" t="s">
        <v>37220</v>
      </c>
      <c r="M8985" t="s">
        <v>40372</v>
      </c>
      <c r="N8985" t="s">
        <v>41249</v>
      </c>
      <c r="O8985" t="s">
        <v>41250</v>
      </c>
      <c r="P8985">
        <v>0</v>
      </c>
      <c r="Q8985">
        <v>0</v>
      </c>
      <c r="R8985" t="s">
        <v>41259</v>
      </c>
      <c r="S8985" t="s">
        <v>41562</v>
      </c>
      <c r="T8985" t="s">
        <v>42760</v>
      </c>
      <c r="U8985" t="s">
        <v>50484</v>
      </c>
      <c r="V8985" t="s">
        <v>55245</v>
      </c>
      <c r="W8985" t="s">
        <v>40372</v>
      </c>
      <c r="X8985" t="s">
        <v>41260</v>
      </c>
    </row>
    <row r="8986" spans="1:24">
      <c r="A8986">
        <f>HYPERLINK("https://www.philgeps.gov.ph/GEPSNONPILOT/Tender/SplashBidNoticeAbstractUI.aspx?menuIndex=3&amp;refID=7061779&amp;Result=3","7061779")</f>
        <v>0</v>
      </c>
      <c r="B8986" t="s">
        <v>2669</v>
      </c>
      <c r="C8986" t="s">
        <v>11966</v>
      </c>
      <c r="D8986" t="s">
        <v>16662</v>
      </c>
      <c r="E8986" t="s">
        <v>24529</v>
      </c>
      <c r="F8986" t="s">
        <v>28669</v>
      </c>
      <c r="G8986" t="s">
        <v>28675</v>
      </c>
      <c r="H8986" t="s">
        <v>9998</v>
      </c>
      <c r="I8986" t="s">
        <v>11593</v>
      </c>
      <c r="J8986" t="s">
        <v>34413</v>
      </c>
      <c r="K8986" t="s">
        <v>37206</v>
      </c>
      <c r="M8986" t="s">
        <v>40377</v>
      </c>
      <c r="N8986" t="s">
        <v>41249</v>
      </c>
      <c r="O8986" t="s">
        <v>41250</v>
      </c>
      <c r="P8986">
        <v>0</v>
      </c>
      <c r="Q8986">
        <v>1</v>
      </c>
      <c r="R8986" t="s">
        <v>41259</v>
      </c>
      <c r="S8986" t="s">
        <v>41562</v>
      </c>
      <c r="T8986" t="s">
        <v>42767</v>
      </c>
      <c r="U8986" t="s">
        <v>50485</v>
      </c>
      <c r="W8986" t="s">
        <v>40377</v>
      </c>
      <c r="X8986" t="s">
        <v>41260</v>
      </c>
    </row>
    <row r="8987" spans="1:24">
      <c r="A8987">
        <f>HYPERLINK("https://www.philgeps.gov.ph/GEPSNONPILOT/Tender/SplashBidNoticeAbstractUI.aspx?menuIndex=3&amp;refID=7062204&amp;Result=3","7062204")</f>
        <v>0</v>
      </c>
      <c r="B8987" t="s">
        <v>2692</v>
      </c>
      <c r="C8987" t="s">
        <v>11967</v>
      </c>
      <c r="D8987" t="s">
        <v>16609</v>
      </c>
      <c r="E8987" t="s">
        <v>18887</v>
      </c>
      <c r="F8987" t="s">
        <v>28669</v>
      </c>
      <c r="G8987" t="s">
        <v>28675</v>
      </c>
      <c r="H8987" t="s">
        <v>28686</v>
      </c>
      <c r="I8987" t="s">
        <v>28689</v>
      </c>
      <c r="J8987" t="s">
        <v>34414</v>
      </c>
      <c r="K8987" t="s">
        <v>37209</v>
      </c>
      <c r="M8987" t="s">
        <v>40402</v>
      </c>
      <c r="N8987" t="s">
        <v>41249</v>
      </c>
      <c r="O8987" t="s">
        <v>41250</v>
      </c>
      <c r="P8987">
        <v>0</v>
      </c>
      <c r="Q8987">
        <v>0</v>
      </c>
      <c r="R8987" t="s">
        <v>41259</v>
      </c>
      <c r="S8987" t="s">
        <v>41562</v>
      </c>
      <c r="T8987" t="s">
        <v>42696</v>
      </c>
      <c r="U8987" t="s">
        <v>50486</v>
      </c>
      <c r="W8987" t="s">
        <v>40402</v>
      </c>
      <c r="X8987" t="s">
        <v>41260</v>
      </c>
    </row>
    <row r="8988" spans="1:24">
      <c r="A8988">
        <f>HYPERLINK("https://www.philgeps.gov.ph/GEPSNONPILOT/Tender/SplashBidNoticeAbstractUI.aspx?menuIndex=3&amp;refID=7062267&amp;Result=3","7062267")</f>
        <v>0</v>
      </c>
      <c r="B8988" t="s">
        <v>2499</v>
      </c>
      <c r="C8988" t="s">
        <v>11968</v>
      </c>
      <c r="D8988" t="s">
        <v>16634</v>
      </c>
      <c r="E8988" t="s">
        <v>24530</v>
      </c>
      <c r="F8988" t="s">
        <v>28669</v>
      </c>
      <c r="G8988" t="s">
        <v>28675</v>
      </c>
      <c r="H8988" t="s">
        <v>28686</v>
      </c>
      <c r="I8988" t="s">
        <v>28719</v>
      </c>
      <c r="J8988" t="s">
        <v>34415</v>
      </c>
      <c r="K8988" t="s">
        <v>37206</v>
      </c>
      <c r="M8988" t="s">
        <v>40185</v>
      </c>
      <c r="N8988" t="s">
        <v>41249</v>
      </c>
      <c r="O8988" t="s">
        <v>41250</v>
      </c>
      <c r="P8988">
        <v>0</v>
      </c>
      <c r="Q8988">
        <v>7</v>
      </c>
      <c r="R8988" t="s">
        <v>41259</v>
      </c>
      <c r="S8988" t="s">
        <v>41562</v>
      </c>
      <c r="T8988" t="s">
        <v>42808</v>
      </c>
      <c r="U8988" t="s">
        <v>50487</v>
      </c>
      <c r="W8988" t="s">
        <v>40185</v>
      </c>
      <c r="X8988" t="s">
        <v>41260</v>
      </c>
    </row>
    <row r="8989" spans="1:24">
      <c r="A8989">
        <f>HYPERLINK("https://www.philgeps.gov.ph/GEPSNONPILOT/Tender/SplashBidNoticeAbstractUI.aspx?menuIndex=3&amp;refID=7061917&amp;Result=3","7061917")</f>
        <v>0</v>
      </c>
      <c r="B8989" t="s">
        <v>532</v>
      </c>
      <c r="C8989" t="s">
        <v>11969</v>
      </c>
      <c r="D8989" t="s">
        <v>16675</v>
      </c>
      <c r="E8989" t="s">
        <v>21367</v>
      </c>
      <c r="F8989" t="s">
        <v>28669</v>
      </c>
      <c r="G8989" t="s">
        <v>28675</v>
      </c>
      <c r="H8989" t="s">
        <v>28686</v>
      </c>
      <c r="I8989" t="s">
        <v>28689</v>
      </c>
      <c r="J8989" t="s">
        <v>28850</v>
      </c>
      <c r="K8989" t="s">
        <v>37414</v>
      </c>
      <c r="M8989" t="s">
        <v>38023</v>
      </c>
      <c r="N8989" t="s">
        <v>41249</v>
      </c>
      <c r="O8989" t="s">
        <v>41250</v>
      </c>
      <c r="P8989">
        <v>0</v>
      </c>
      <c r="Q8989">
        <v>1</v>
      </c>
      <c r="R8989" t="s">
        <v>41259</v>
      </c>
      <c r="S8989" t="s">
        <v>41562</v>
      </c>
      <c r="T8989" t="s">
        <v>42805</v>
      </c>
      <c r="U8989" t="s">
        <v>50488</v>
      </c>
      <c r="W8989" t="s">
        <v>38023</v>
      </c>
      <c r="X8989" t="s">
        <v>41260</v>
      </c>
    </row>
    <row r="8990" spans="1:24">
      <c r="A8990">
        <f>HYPERLINK("https://www.philgeps.gov.ph/GEPSNONPILOT/Tender/SplashBidNoticeAbstractUI.aspx?menuIndex=3&amp;refID=7061785&amp;Result=3","7061785")</f>
        <v>0</v>
      </c>
      <c r="B8990" t="s">
        <v>2666</v>
      </c>
      <c r="C8990" t="s">
        <v>11970</v>
      </c>
      <c r="D8990" t="s">
        <v>16654</v>
      </c>
      <c r="E8990" t="s">
        <v>24531</v>
      </c>
      <c r="F8990" t="s">
        <v>28669</v>
      </c>
      <c r="G8990" t="s">
        <v>28675</v>
      </c>
      <c r="H8990" t="s">
        <v>9998</v>
      </c>
      <c r="I8990" t="s">
        <v>28699</v>
      </c>
      <c r="J8990" t="s">
        <v>28914</v>
      </c>
      <c r="K8990" t="s">
        <v>37204</v>
      </c>
      <c r="M8990" t="s">
        <v>40374</v>
      </c>
      <c r="N8990" t="s">
        <v>41249</v>
      </c>
      <c r="O8990" t="s">
        <v>41250</v>
      </c>
      <c r="P8990">
        <v>0</v>
      </c>
      <c r="Q8990">
        <v>3</v>
      </c>
      <c r="R8990" t="s">
        <v>41259</v>
      </c>
      <c r="S8990" t="s">
        <v>41562</v>
      </c>
      <c r="T8990" t="s">
        <v>42727</v>
      </c>
      <c r="U8990" t="s">
        <v>50489</v>
      </c>
      <c r="V8990" t="s">
        <v>55258</v>
      </c>
      <c r="W8990" t="s">
        <v>40374</v>
      </c>
      <c r="X8990" t="s">
        <v>41260</v>
      </c>
    </row>
    <row r="8991" spans="1:24">
      <c r="A8991">
        <f>HYPERLINK("https://www.philgeps.gov.ph/GEPSNONPILOT/Tender/SplashBidNoticeAbstractUI.aspx?menuIndex=3&amp;refID=7062324&amp;Result=3","7062324")</f>
        <v>0</v>
      </c>
      <c r="B8991" t="s">
        <v>1399</v>
      </c>
      <c r="C8991" t="s">
        <v>11971</v>
      </c>
      <c r="D8991" t="s">
        <v>16611</v>
      </c>
      <c r="E8991" t="s">
        <v>24532</v>
      </c>
      <c r="F8991" t="s">
        <v>28669</v>
      </c>
      <c r="G8991" t="s">
        <v>28675</v>
      </c>
      <c r="H8991" t="s">
        <v>9998</v>
      </c>
      <c r="I8991" t="s">
        <v>28688</v>
      </c>
      <c r="J8991" t="s">
        <v>34416</v>
      </c>
      <c r="K8991" t="s">
        <v>37209</v>
      </c>
      <c r="M8991" t="s">
        <v>40390</v>
      </c>
      <c r="N8991" t="s">
        <v>41249</v>
      </c>
      <c r="O8991" t="s">
        <v>41250</v>
      </c>
      <c r="P8991">
        <v>0</v>
      </c>
      <c r="Q8991">
        <v>0</v>
      </c>
      <c r="R8991" t="s">
        <v>41259</v>
      </c>
      <c r="S8991" t="s">
        <v>41562</v>
      </c>
      <c r="T8991" t="s">
        <v>42727</v>
      </c>
      <c r="U8991" t="s">
        <v>50452</v>
      </c>
      <c r="W8991" t="s">
        <v>40390</v>
      </c>
      <c r="X8991" t="s">
        <v>41260</v>
      </c>
    </row>
    <row r="8992" spans="1:24">
      <c r="A8992">
        <f>HYPERLINK("https://www.philgeps.gov.ph/GEPSNONPILOT/Tender/SplashBidNoticeAbstractUI.aspx?menuIndex=3&amp;refID=7062356&amp;Result=3","7062356")</f>
        <v>0</v>
      </c>
      <c r="B8992" t="s">
        <v>974</v>
      </c>
      <c r="C8992" t="s">
        <v>11972</v>
      </c>
      <c r="D8992" t="s">
        <v>16621</v>
      </c>
      <c r="E8992" t="s">
        <v>24533</v>
      </c>
      <c r="F8992" t="s">
        <v>28669</v>
      </c>
      <c r="G8992" t="s">
        <v>28675</v>
      </c>
      <c r="H8992" t="s">
        <v>28686</v>
      </c>
      <c r="I8992" t="s">
        <v>28689</v>
      </c>
      <c r="J8992" t="s">
        <v>34417</v>
      </c>
      <c r="K8992" t="s">
        <v>37211</v>
      </c>
      <c r="M8992" t="s">
        <v>38499</v>
      </c>
      <c r="N8992" t="s">
        <v>41249</v>
      </c>
      <c r="O8992" t="s">
        <v>41250</v>
      </c>
      <c r="P8992">
        <v>0</v>
      </c>
      <c r="Q8992">
        <v>1</v>
      </c>
      <c r="R8992" t="s">
        <v>41259</v>
      </c>
      <c r="S8992" t="s">
        <v>41562</v>
      </c>
      <c r="T8992" t="s">
        <v>43079</v>
      </c>
      <c r="U8992" t="s">
        <v>45182</v>
      </c>
      <c r="V8992" t="s">
        <v>55259</v>
      </c>
      <c r="W8992" t="s">
        <v>38499</v>
      </c>
      <c r="X8992" t="s">
        <v>41260</v>
      </c>
    </row>
    <row r="8993" spans="1:24">
      <c r="A8993">
        <f>HYPERLINK("https://www.philgeps.gov.ph/GEPSNONPILOT/Tender/SplashBidNoticeAbstractUI.aspx?menuIndex=3&amp;refID=7061778&amp;Result=3","7061778")</f>
        <v>0</v>
      </c>
      <c r="B8993" t="s">
        <v>1124</v>
      </c>
      <c r="C8993" t="s">
        <v>11973</v>
      </c>
      <c r="E8993" t="s">
        <v>24534</v>
      </c>
      <c r="F8993" t="s">
        <v>28669</v>
      </c>
      <c r="G8993" t="s">
        <v>28676</v>
      </c>
      <c r="H8993" t="s">
        <v>9998</v>
      </c>
      <c r="I8993" t="s">
        <v>28728</v>
      </c>
      <c r="J8993" t="s">
        <v>33310</v>
      </c>
      <c r="K8993" t="s">
        <v>37209</v>
      </c>
      <c r="M8993" t="s">
        <v>38883</v>
      </c>
      <c r="N8993" t="s">
        <v>41249</v>
      </c>
      <c r="O8993" t="s">
        <v>41250</v>
      </c>
      <c r="P8993">
        <v>0</v>
      </c>
      <c r="Q8993">
        <v>0</v>
      </c>
      <c r="R8993" t="s">
        <v>41259</v>
      </c>
      <c r="S8993" t="s">
        <v>41562</v>
      </c>
      <c r="T8993" t="s">
        <v>42728</v>
      </c>
      <c r="U8993" t="s">
        <v>50490</v>
      </c>
      <c r="W8993" t="s">
        <v>38883</v>
      </c>
      <c r="X8993" t="s">
        <v>41260</v>
      </c>
    </row>
    <row r="8994" spans="1:24">
      <c r="A8994">
        <f>HYPERLINK("https://www.philgeps.gov.ph/GEPSNONPILOT/Tender/SplashBidNoticeAbstractUI.aspx?menuIndex=3&amp;refID=7062354&amp;Result=3","7062354")</f>
        <v>0</v>
      </c>
      <c r="B8994" t="s">
        <v>1399</v>
      </c>
      <c r="C8994" t="s">
        <v>11974</v>
      </c>
      <c r="D8994" t="s">
        <v>16611</v>
      </c>
      <c r="E8994" t="s">
        <v>24535</v>
      </c>
      <c r="F8994" t="s">
        <v>28669</v>
      </c>
      <c r="G8994" t="s">
        <v>28675</v>
      </c>
      <c r="H8994" t="s">
        <v>9998</v>
      </c>
      <c r="I8994" t="s">
        <v>28695</v>
      </c>
      <c r="J8994" t="s">
        <v>34418</v>
      </c>
      <c r="K8994" t="s">
        <v>37209</v>
      </c>
      <c r="M8994" t="s">
        <v>40390</v>
      </c>
      <c r="N8994" t="s">
        <v>41249</v>
      </c>
      <c r="O8994" t="s">
        <v>41250</v>
      </c>
      <c r="P8994">
        <v>0</v>
      </c>
      <c r="Q8994">
        <v>0</v>
      </c>
      <c r="R8994" t="s">
        <v>41259</v>
      </c>
      <c r="S8994" t="s">
        <v>41562</v>
      </c>
      <c r="T8994" t="s">
        <v>42727</v>
      </c>
      <c r="U8994" t="s">
        <v>50452</v>
      </c>
      <c r="W8994" t="s">
        <v>40390</v>
      </c>
      <c r="X8994" t="s">
        <v>41260</v>
      </c>
    </row>
    <row r="8995" spans="1:24">
      <c r="A8995">
        <f>HYPERLINK("https://www.philgeps.gov.ph/GEPSNONPILOT/Tender/SplashBidNoticeAbstractUI.aspx?menuIndex=3&amp;refID=7062301&amp;Result=3","7062301")</f>
        <v>0</v>
      </c>
      <c r="B8995" t="s">
        <v>1153</v>
      </c>
      <c r="C8995" t="s">
        <v>11975</v>
      </c>
      <c r="D8995" t="s">
        <v>16633</v>
      </c>
      <c r="E8995" t="s">
        <v>21239</v>
      </c>
      <c r="F8995" t="s">
        <v>28669</v>
      </c>
      <c r="G8995" t="s">
        <v>28676</v>
      </c>
      <c r="H8995" t="s">
        <v>9998</v>
      </c>
      <c r="I8995" t="s">
        <v>28773</v>
      </c>
      <c r="J8995" t="s">
        <v>28854</v>
      </c>
      <c r="K8995" t="s">
        <v>37208</v>
      </c>
      <c r="M8995" t="s">
        <v>38690</v>
      </c>
      <c r="N8995" t="s">
        <v>41249</v>
      </c>
      <c r="O8995" t="s">
        <v>41250</v>
      </c>
      <c r="P8995">
        <v>0</v>
      </c>
      <c r="Q8995">
        <v>2</v>
      </c>
      <c r="R8995" t="s">
        <v>41259</v>
      </c>
      <c r="S8995" t="s">
        <v>41562</v>
      </c>
      <c r="T8995" t="s">
        <v>42758</v>
      </c>
      <c r="U8995" t="s">
        <v>50491</v>
      </c>
      <c r="W8995" t="s">
        <v>38690</v>
      </c>
      <c r="X8995" t="s">
        <v>41260</v>
      </c>
    </row>
    <row r="8996" spans="1:24">
      <c r="A8996">
        <f>HYPERLINK("https://www.philgeps.gov.ph/GEPSNONPILOT/Tender/SplashBidNoticeAbstractUI.aspx?menuIndex=3&amp;refID=7062344&amp;Result=3","7062344")</f>
        <v>0</v>
      </c>
      <c r="B8996" t="s">
        <v>2693</v>
      </c>
      <c r="C8996" t="s">
        <v>11976</v>
      </c>
      <c r="D8996" t="s">
        <v>16658</v>
      </c>
      <c r="E8996" t="s">
        <v>24536</v>
      </c>
      <c r="F8996" t="s">
        <v>28669</v>
      </c>
      <c r="G8996" t="s">
        <v>28675</v>
      </c>
      <c r="H8996" t="s">
        <v>9998</v>
      </c>
      <c r="I8996" t="s">
        <v>28695</v>
      </c>
      <c r="J8996" t="s">
        <v>34419</v>
      </c>
      <c r="K8996" t="s">
        <v>37204</v>
      </c>
      <c r="M8996" t="s">
        <v>40403</v>
      </c>
      <c r="N8996" t="s">
        <v>41249</v>
      </c>
      <c r="O8996" t="s">
        <v>41250</v>
      </c>
      <c r="P8996">
        <v>0</v>
      </c>
      <c r="Q8996">
        <v>0</v>
      </c>
      <c r="R8996" t="s">
        <v>41259</v>
      </c>
      <c r="S8996" t="s">
        <v>41562</v>
      </c>
      <c r="T8996" t="s">
        <v>42700</v>
      </c>
      <c r="U8996" t="s">
        <v>50492</v>
      </c>
      <c r="W8996" t="s">
        <v>40403</v>
      </c>
      <c r="X8996" t="s">
        <v>41260</v>
      </c>
    </row>
    <row r="8997" spans="1:24">
      <c r="A8997">
        <f>HYPERLINK("https://www.philgeps.gov.ph/GEPSNONPILOT/Tender/SplashBidNoticeAbstractUI.aspx?menuIndex=3&amp;refID=7062341&amp;Result=3","7062341")</f>
        <v>0</v>
      </c>
      <c r="B8997" t="s">
        <v>2660</v>
      </c>
      <c r="C8997" t="s">
        <v>11977</v>
      </c>
      <c r="D8997" t="s">
        <v>16673</v>
      </c>
      <c r="E8997" t="s">
        <v>24537</v>
      </c>
      <c r="F8997" t="s">
        <v>28669</v>
      </c>
      <c r="G8997" t="s">
        <v>28675</v>
      </c>
      <c r="H8997" t="s">
        <v>28684</v>
      </c>
      <c r="I8997" t="s">
        <v>28687</v>
      </c>
      <c r="J8997" t="s">
        <v>34420</v>
      </c>
      <c r="K8997" t="s">
        <v>37220</v>
      </c>
      <c r="M8997" t="s">
        <v>40365</v>
      </c>
      <c r="N8997" t="s">
        <v>41249</v>
      </c>
      <c r="O8997" t="s">
        <v>41250</v>
      </c>
      <c r="P8997">
        <v>0</v>
      </c>
      <c r="Q8997">
        <v>13</v>
      </c>
      <c r="R8997" t="s">
        <v>41259</v>
      </c>
      <c r="S8997" t="s">
        <v>41562</v>
      </c>
      <c r="T8997" t="s">
        <v>42658</v>
      </c>
      <c r="U8997" t="s">
        <v>50493</v>
      </c>
      <c r="W8997" t="s">
        <v>40365</v>
      </c>
      <c r="X8997" t="s">
        <v>41260</v>
      </c>
    </row>
    <row r="8998" spans="1:24">
      <c r="A8998">
        <f>HYPERLINK("https://www.philgeps.gov.ph/GEPSNONPILOT/Tender/SplashBidNoticeAbstractUI.aspx?menuIndex=3&amp;refID=7062358&amp;Result=3","7062358")</f>
        <v>0</v>
      </c>
      <c r="B8998" t="s">
        <v>2682</v>
      </c>
      <c r="C8998" t="s">
        <v>11978</v>
      </c>
      <c r="D8998" t="s">
        <v>16620</v>
      </c>
      <c r="E8998" t="s">
        <v>24538</v>
      </c>
      <c r="F8998" t="s">
        <v>28669</v>
      </c>
      <c r="G8998" t="s">
        <v>28675</v>
      </c>
      <c r="H8998" t="s">
        <v>9998</v>
      </c>
      <c r="I8998" t="s">
        <v>7352</v>
      </c>
      <c r="J8998" t="s">
        <v>34421</v>
      </c>
      <c r="K8998" t="s">
        <v>37210</v>
      </c>
      <c r="M8998" t="s">
        <v>40391</v>
      </c>
      <c r="N8998" t="s">
        <v>41249</v>
      </c>
      <c r="O8998" t="s">
        <v>41250</v>
      </c>
      <c r="P8998">
        <v>0</v>
      </c>
      <c r="Q8998">
        <v>0</v>
      </c>
      <c r="R8998" t="s">
        <v>41259</v>
      </c>
      <c r="S8998" t="s">
        <v>41562</v>
      </c>
      <c r="T8998" t="s">
        <v>42767</v>
      </c>
      <c r="U8998" t="s">
        <v>50480</v>
      </c>
      <c r="W8998" t="s">
        <v>40391</v>
      </c>
      <c r="X8998" t="s">
        <v>41260</v>
      </c>
    </row>
    <row r="8999" spans="1:24">
      <c r="A8999">
        <f>HYPERLINK("https://www.philgeps.gov.ph/GEPSNONPILOT/Tender/SplashBidNoticeAbstractUI.aspx?menuIndex=3&amp;refID=7062299&amp;Result=3","7062299")</f>
        <v>0</v>
      </c>
      <c r="B8999" t="s">
        <v>2694</v>
      </c>
      <c r="C8999" t="s">
        <v>11979</v>
      </c>
      <c r="D8999" t="s">
        <v>16609</v>
      </c>
      <c r="E8999" t="s">
        <v>23803</v>
      </c>
      <c r="F8999" t="s">
        <v>28669</v>
      </c>
      <c r="G8999" t="s">
        <v>28675</v>
      </c>
      <c r="H8999" t="s">
        <v>28686</v>
      </c>
      <c r="I8999" t="s">
        <v>28689</v>
      </c>
      <c r="J8999" t="s">
        <v>28905</v>
      </c>
      <c r="K8999" t="s">
        <v>37209</v>
      </c>
      <c r="M8999" t="s">
        <v>40404</v>
      </c>
      <c r="N8999" t="s">
        <v>41249</v>
      </c>
      <c r="O8999" t="s">
        <v>41250</v>
      </c>
      <c r="P8999">
        <v>0</v>
      </c>
      <c r="Q8999">
        <v>0</v>
      </c>
      <c r="R8999" t="s">
        <v>41259</v>
      </c>
      <c r="S8999" t="s">
        <v>41562</v>
      </c>
      <c r="T8999" t="s">
        <v>43046</v>
      </c>
      <c r="U8999" t="s">
        <v>50494</v>
      </c>
      <c r="W8999" t="s">
        <v>40404</v>
      </c>
      <c r="X8999" t="s">
        <v>41260</v>
      </c>
    </row>
    <row r="9000" spans="1:24">
      <c r="A9000">
        <f>HYPERLINK("https://www.philgeps.gov.ph/GEPSNONPILOT/Tender/SplashBidNoticeAbstractUI.aspx?menuIndex=3&amp;refID=7062379&amp;Result=3","7062379")</f>
        <v>0</v>
      </c>
      <c r="B9000" t="s">
        <v>1970</v>
      </c>
      <c r="C9000" t="s">
        <v>11980</v>
      </c>
      <c r="D9000" t="s">
        <v>16651</v>
      </c>
      <c r="E9000" t="s">
        <v>24539</v>
      </c>
      <c r="F9000" t="s">
        <v>28669</v>
      </c>
      <c r="G9000" t="s">
        <v>28675</v>
      </c>
      <c r="H9000" t="s">
        <v>28686</v>
      </c>
      <c r="I9000" t="s">
        <v>28689</v>
      </c>
      <c r="J9000" t="s">
        <v>34422</v>
      </c>
      <c r="K9000" t="s">
        <v>37297</v>
      </c>
      <c r="M9000" t="s">
        <v>39604</v>
      </c>
      <c r="N9000" t="s">
        <v>41249</v>
      </c>
      <c r="O9000" t="s">
        <v>41250</v>
      </c>
      <c r="P9000">
        <v>0</v>
      </c>
      <c r="Q9000">
        <v>4</v>
      </c>
      <c r="R9000" t="s">
        <v>41259</v>
      </c>
      <c r="S9000" t="s">
        <v>41562</v>
      </c>
      <c r="T9000" t="s">
        <v>42739</v>
      </c>
      <c r="U9000" t="s">
        <v>50495</v>
      </c>
      <c r="W9000" t="s">
        <v>39604</v>
      </c>
      <c r="X9000" t="s">
        <v>41260</v>
      </c>
    </row>
    <row r="9001" spans="1:24">
      <c r="A9001">
        <f>HYPERLINK("https://www.philgeps.gov.ph/GEPSNONPILOT/Tender/SplashBidNoticeAbstractUI.aspx?menuIndex=3&amp;refID=7062346&amp;Result=3","7062346")</f>
        <v>0</v>
      </c>
      <c r="B9001" t="s">
        <v>492</v>
      </c>
      <c r="C9001" t="s">
        <v>11981</v>
      </c>
      <c r="D9001" t="s">
        <v>16621</v>
      </c>
      <c r="E9001" t="s">
        <v>24540</v>
      </c>
      <c r="F9001" t="s">
        <v>28669</v>
      </c>
      <c r="G9001" t="s">
        <v>28675</v>
      </c>
      <c r="H9001" t="s">
        <v>9998</v>
      </c>
      <c r="I9001" t="s">
        <v>5286</v>
      </c>
      <c r="J9001" t="s">
        <v>28877</v>
      </c>
      <c r="K9001" t="s">
        <v>37210</v>
      </c>
      <c r="M9001" t="s">
        <v>37981</v>
      </c>
      <c r="N9001" t="s">
        <v>41249</v>
      </c>
      <c r="O9001" t="s">
        <v>41250</v>
      </c>
      <c r="P9001">
        <v>0</v>
      </c>
      <c r="Q9001">
        <v>0</v>
      </c>
      <c r="R9001" t="s">
        <v>41259</v>
      </c>
      <c r="S9001" t="s">
        <v>41562</v>
      </c>
      <c r="T9001" t="s">
        <v>42881</v>
      </c>
      <c r="U9001" t="s">
        <v>50496</v>
      </c>
      <c r="W9001" t="s">
        <v>37981</v>
      </c>
      <c r="X9001" t="s">
        <v>41260</v>
      </c>
    </row>
    <row r="9002" spans="1:24">
      <c r="A9002">
        <f>HYPERLINK("https://www.philgeps.gov.ph/GEPSNONPILOT/Tender/SplashBidNoticeAbstractUI.aspx?menuIndex=3&amp;refID=7062376&amp;Result=3","7062376")</f>
        <v>0</v>
      </c>
      <c r="B9002" t="s">
        <v>2695</v>
      </c>
      <c r="C9002" t="s">
        <v>11982</v>
      </c>
      <c r="D9002" t="s">
        <v>16642</v>
      </c>
      <c r="E9002" t="s">
        <v>24541</v>
      </c>
      <c r="F9002" t="s">
        <v>28669</v>
      </c>
      <c r="G9002" t="s">
        <v>28676</v>
      </c>
      <c r="H9002" t="s">
        <v>9998</v>
      </c>
      <c r="I9002" t="s">
        <v>28708</v>
      </c>
      <c r="J9002" t="s">
        <v>28826</v>
      </c>
      <c r="K9002" t="s">
        <v>37209</v>
      </c>
      <c r="M9002" t="s">
        <v>40405</v>
      </c>
      <c r="N9002" t="s">
        <v>41249</v>
      </c>
      <c r="O9002" t="s">
        <v>41250</v>
      </c>
      <c r="P9002">
        <v>0</v>
      </c>
      <c r="Q9002">
        <v>2</v>
      </c>
      <c r="R9002" t="s">
        <v>41259</v>
      </c>
      <c r="S9002" t="s">
        <v>41562</v>
      </c>
      <c r="T9002" t="s">
        <v>42757</v>
      </c>
      <c r="U9002" t="s">
        <v>50497</v>
      </c>
      <c r="W9002" t="s">
        <v>40405</v>
      </c>
      <c r="X9002" t="s">
        <v>41260</v>
      </c>
    </row>
    <row r="9003" spans="1:24">
      <c r="A9003">
        <f>HYPERLINK("https://www.philgeps.gov.ph/GEPSNONPILOT/Tender/SplashBidNoticeAbstractUI.aspx?menuIndex=3&amp;refID=7062374&amp;Result=3","7062374")</f>
        <v>0</v>
      </c>
      <c r="B9003" t="s">
        <v>1399</v>
      </c>
      <c r="C9003" t="s">
        <v>11974</v>
      </c>
      <c r="D9003" t="s">
        <v>16611</v>
      </c>
      <c r="E9003" t="s">
        <v>24542</v>
      </c>
      <c r="F9003" t="s">
        <v>28669</v>
      </c>
      <c r="G9003" t="s">
        <v>28675</v>
      </c>
      <c r="H9003" t="s">
        <v>9998</v>
      </c>
      <c r="I9003" t="s">
        <v>28695</v>
      </c>
      <c r="J9003" t="s">
        <v>32096</v>
      </c>
      <c r="K9003" t="s">
        <v>37209</v>
      </c>
      <c r="M9003" t="s">
        <v>40390</v>
      </c>
      <c r="N9003" t="s">
        <v>41249</v>
      </c>
      <c r="O9003" t="s">
        <v>41250</v>
      </c>
      <c r="P9003">
        <v>0</v>
      </c>
      <c r="Q9003">
        <v>0</v>
      </c>
      <c r="R9003" t="s">
        <v>41259</v>
      </c>
      <c r="S9003" t="s">
        <v>41562</v>
      </c>
      <c r="T9003" t="s">
        <v>42727</v>
      </c>
      <c r="U9003" t="s">
        <v>50452</v>
      </c>
      <c r="W9003" t="s">
        <v>40390</v>
      </c>
      <c r="X9003" t="s">
        <v>41260</v>
      </c>
    </row>
    <row r="9004" spans="1:24">
      <c r="A9004">
        <f>HYPERLINK("https://www.philgeps.gov.ph/GEPSNONPILOT/Tender/SplashBidNoticeAbstractUI.aspx?menuIndex=3&amp;refID=7062373&amp;Result=3","7062373")</f>
        <v>0</v>
      </c>
      <c r="B9004" t="s">
        <v>2688</v>
      </c>
      <c r="C9004" t="s">
        <v>11983</v>
      </c>
      <c r="D9004" t="s">
        <v>16675</v>
      </c>
      <c r="E9004" t="s">
        <v>23186</v>
      </c>
      <c r="F9004" t="s">
        <v>28669</v>
      </c>
      <c r="G9004" t="s">
        <v>28675</v>
      </c>
      <c r="H9004" t="s">
        <v>28686</v>
      </c>
      <c r="I9004" t="s">
        <v>28761</v>
      </c>
      <c r="J9004" t="s">
        <v>30815</v>
      </c>
      <c r="K9004" t="s">
        <v>37415</v>
      </c>
      <c r="M9004" t="s">
        <v>40398</v>
      </c>
      <c r="N9004" t="s">
        <v>41249</v>
      </c>
      <c r="O9004" t="s">
        <v>41250</v>
      </c>
      <c r="P9004">
        <v>0</v>
      </c>
      <c r="Q9004">
        <v>0</v>
      </c>
      <c r="R9004" t="s">
        <v>41259</v>
      </c>
      <c r="S9004" t="s">
        <v>41562</v>
      </c>
      <c r="T9004" t="s">
        <v>42782</v>
      </c>
      <c r="U9004" t="s">
        <v>50498</v>
      </c>
      <c r="W9004" t="s">
        <v>40398</v>
      </c>
      <c r="X9004" t="s">
        <v>41260</v>
      </c>
    </row>
    <row r="9005" spans="1:24">
      <c r="A9005">
        <f>HYPERLINK("https://www.philgeps.gov.ph/GEPSNONPILOT/Tender/SplashBidNoticeAbstractUI.aspx?menuIndex=3&amp;refID=7062338&amp;Result=3","7062338")</f>
        <v>0</v>
      </c>
      <c r="B9005" t="s">
        <v>2696</v>
      </c>
      <c r="C9005" t="s">
        <v>11984</v>
      </c>
      <c r="D9005" t="s">
        <v>16670</v>
      </c>
      <c r="E9005" t="s">
        <v>24543</v>
      </c>
      <c r="F9005" t="s">
        <v>28669</v>
      </c>
      <c r="G9005" t="s">
        <v>28675</v>
      </c>
      <c r="H9005" t="s">
        <v>28686</v>
      </c>
      <c r="I9005" t="s">
        <v>7352</v>
      </c>
      <c r="J9005" t="s">
        <v>34423</v>
      </c>
      <c r="K9005" t="s">
        <v>37205</v>
      </c>
      <c r="M9005" t="s">
        <v>40406</v>
      </c>
      <c r="N9005" t="s">
        <v>41249</v>
      </c>
      <c r="O9005" t="s">
        <v>41250</v>
      </c>
      <c r="P9005">
        <v>0</v>
      </c>
      <c r="Q9005">
        <v>0</v>
      </c>
      <c r="R9005" t="s">
        <v>41259</v>
      </c>
      <c r="S9005" t="s">
        <v>41562</v>
      </c>
      <c r="T9005" t="s">
        <v>42999</v>
      </c>
      <c r="U9005" t="s">
        <v>50499</v>
      </c>
      <c r="V9005" t="s">
        <v>55260</v>
      </c>
      <c r="W9005" t="s">
        <v>40406</v>
      </c>
      <c r="X9005" t="s">
        <v>41260</v>
      </c>
    </row>
    <row r="9006" spans="1:24">
      <c r="A9006">
        <f>HYPERLINK("https://www.philgeps.gov.ph/GEPSNONPILOT/Tender/SplashBidNoticeAbstractUI.aspx?menuIndex=3&amp;refID=7062340&amp;Result=3","7062340")</f>
        <v>0</v>
      </c>
      <c r="B9006" t="s">
        <v>2697</v>
      </c>
      <c r="C9006" t="s">
        <v>11985</v>
      </c>
      <c r="D9006" t="s">
        <v>16664</v>
      </c>
      <c r="E9006" t="s">
        <v>24544</v>
      </c>
      <c r="F9006" t="s">
        <v>28669</v>
      </c>
      <c r="G9006" t="s">
        <v>28675</v>
      </c>
      <c r="H9006" t="s">
        <v>28686</v>
      </c>
      <c r="I9006" t="s">
        <v>28689</v>
      </c>
      <c r="J9006" t="s">
        <v>34424</v>
      </c>
      <c r="K9006" t="s">
        <v>37416</v>
      </c>
      <c r="M9006" t="s">
        <v>40407</v>
      </c>
      <c r="N9006" t="s">
        <v>41249</v>
      </c>
      <c r="O9006" t="s">
        <v>41250</v>
      </c>
      <c r="P9006">
        <v>0</v>
      </c>
      <c r="Q9006">
        <v>2</v>
      </c>
      <c r="R9006" t="s">
        <v>41259</v>
      </c>
      <c r="S9006" t="s">
        <v>41562</v>
      </c>
      <c r="T9006" t="s">
        <v>42881</v>
      </c>
      <c r="U9006" t="s">
        <v>50500</v>
      </c>
      <c r="W9006" t="s">
        <v>40407</v>
      </c>
      <c r="X9006" t="s">
        <v>41260</v>
      </c>
    </row>
    <row r="9007" spans="1:24">
      <c r="A9007">
        <f>HYPERLINK("https://www.philgeps.gov.ph/GEPSNONPILOT/Tender/SplashBidNoticeAbstractUI.aspx?menuIndex=3&amp;refID=7062332&amp;Result=3","7062332")</f>
        <v>0</v>
      </c>
      <c r="B9007" t="s">
        <v>2682</v>
      </c>
      <c r="C9007" t="s">
        <v>11986</v>
      </c>
      <c r="D9007" t="s">
        <v>16620</v>
      </c>
      <c r="E9007" t="s">
        <v>24545</v>
      </c>
      <c r="F9007" t="s">
        <v>28669</v>
      </c>
      <c r="G9007" t="s">
        <v>28675</v>
      </c>
      <c r="H9007" t="s">
        <v>9998</v>
      </c>
      <c r="I9007" t="s">
        <v>7352</v>
      </c>
      <c r="J9007" t="s">
        <v>34421</v>
      </c>
      <c r="K9007" t="s">
        <v>37210</v>
      </c>
      <c r="M9007" t="s">
        <v>40391</v>
      </c>
      <c r="N9007" t="s">
        <v>41249</v>
      </c>
      <c r="O9007" t="s">
        <v>41250</v>
      </c>
      <c r="P9007">
        <v>0</v>
      </c>
      <c r="Q9007">
        <v>0</v>
      </c>
      <c r="R9007" t="s">
        <v>41259</v>
      </c>
      <c r="S9007" t="s">
        <v>41562</v>
      </c>
      <c r="T9007" t="s">
        <v>42767</v>
      </c>
      <c r="U9007" t="s">
        <v>50480</v>
      </c>
      <c r="W9007" t="s">
        <v>40391</v>
      </c>
      <c r="X9007" t="s">
        <v>41260</v>
      </c>
    </row>
    <row r="9008" spans="1:24">
      <c r="A9008">
        <f>HYPERLINK("https://www.philgeps.gov.ph/GEPSNONPILOT/Tender/SplashBidNoticeAbstractUI.aspx?menuIndex=3&amp;refID=7062352&amp;Result=3","7062352")</f>
        <v>0</v>
      </c>
      <c r="B9008" t="s">
        <v>1970</v>
      </c>
      <c r="C9008" t="s">
        <v>11987</v>
      </c>
      <c r="D9008" t="s">
        <v>16651</v>
      </c>
      <c r="E9008" t="s">
        <v>24546</v>
      </c>
      <c r="F9008" t="s">
        <v>28669</v>
      </c>
      <c r="G9008" t="s">
        <v>28675</v>
      </c>
      <c r="H9008" t="s">
        <v>28686</v>
      </c>
      <c r="I9008" t="s">
        <v>28689</v>
      </c>
      <c r="J9008" t="s">
        <v>34422</v>
      </c>
      <c r="K9008" t="s">
        <v>37297</v>
      </c>
      <c r="M9008" t="s">
        <v>39604</v>
      </c>
      <c r="N9008" t="s">
        <v>41249</v>
      </c>
      <c r="O9008" t="s">
        <v>41250</v>
      </c>
      <c r="P9008">
        <v>0</v>
      </c>
      <c r="Q9008">
        <v>4</v>
      </c>
      <c r="R9008" t="s">
        <v>41259</v>
      </c>
      <c r="S9008" t="s">
        <v>41562</v>
      </c>
      <c r="T9008" t="s">
        <v>42739</v>
      </c>
      <c r="U9008" t="s">
        <v>50501</v>
      </c>
      <c r="W9008" t="s">
        <v>39604</v>
      </c>
      <c r="X9008" t="s">
        <v>41260</v>
      </c>
    </row>
    <row r="9009" spans="1:24">
      <c r="A9009">
        <f>HYPERLINK("https://www.philgeps.gov.ph/GEPSNONPILOT/Tender/SplashBidNoticeAbstractUI.aspx?menuIndex=3&amp;refID=7062325&amp;Result=3","7062325")</f>
        <v>0</v>
      </c>
      <c r="B9009" t="s">
        <v>2698</v>
      </c>
      <c r="C9009" t="s">
        <v>11988</v>
      </c>
      <c r="D9009" t="s">
        <v>16654</v>
      </c>
      <c r="E9009" t="s">
        <v>24547</v>
      </c>
      <c r="F9009" t="s">
        <v>28669</v>
      </c>
      <c r="G9009" t="s">
        <v>28675</v>
      </c>
      <c r="H9009" t="s">
        <v>9998</v>
      </c>
      <c r="I9009" t="s">
        <v>6128</v>
      </c>
      <c r="J9009" t="s">
        <v>34425</v>
      </c>
      <c r="K9009" t="s">
        <v>37221</v>
      </c>
      <c r="M9009" t="s">
        <v>40408</v>
      </c>
      <c r="N9009" t="s">
        <v>41249</v>
      </c>
      <c r="O9009" t="s">
        <v>41250</v>
      </c>
      <c r="P9009">
        <v>0</v>
      </c>
      <c r="Q9009">
        <v>3</v>
      </c>
      <c r="R9009" t="s">
        <v>41259</v>
      </c>
      <c r="S9009" t="s">
        <v>41562</v>
      </c>
      <c r="T9009" t="s">
        <v>42758</v>
      </c>
      <c r="U9009" t="s">
        <v>50502</v>
      </c>
      <c r="W9009" t="s">
        <v>40408</v>
      </c>
      <c r="X9009" t="s">
        <v>41260</v>
      </c>
    </row>
    <row r="9010" spans="1:24">
      <c r="A9010">
        <f>HYPERLINK("https://www.philgeps.gov.ph/GEPSNONPILOT/Tender/SplashBidNoticeAbstractUI.aspx?menuIndex=3&amp;refID=7062438&amp;Result=3","7062438")</f>
        <v>0</v>
      </c>
      <c r="B9010" t="s">
        <v>2682</v>
      </c>
      <c r="C9010" t="s">
        <v>11989</v>
      </c>
      <c r="D9010" t="s">
        <v>16620</v>
      </c>
      <c r="E9010" t="s">
        <v>24548</v>
      </c>
      <c r="F9010" t="s">
        <v>28669</v>
      </c>
      <c r="G9010" t="s">
        <v>28675</v>
      </c>
      <c r="H9010" t="s">
        <v>9998</v>
      </c>
      <c r="I9010" t="s">
        <v>7352</v>
      </c>
      <c r="J9010" t="s">
        <v>34421</v>
      </c>
      <c r="K9010" t="s">
        <v>37210</v>
      </c>
      <c r="M9010" t="s">
        <v>40391</v>
      </c>
      <c r="N9010" t="s">
        <v>41249</v>
      </c>
      <c r="O9010" t="s">
        <v>41250</v>
      </c>
      <c r="P9010">
        <v>0</v>
      </c>
      <c r="Q9010">
        <v>0</v>
      </c>
      <c r="R9010" t="s">
        <v>41259</v>
      </c>
      <c r="S9010" t="s">
        <v>41562</v>
      </c>
      <c r="T9010" t="s">
        <v>42767</v>
      </c>
      <c r="U9010" t="s">
        <v>50480</v>
      </c>
      <c r="W9010" t="s">
        <v>40391</v>
      </c>
      <c r="X9010" t="s">
        <v>41260</v>
      </c>
    </row>
    <row r="9011" spans="1:24">
      <c r="A9011">
        <f>HYPERLINK("https://www.philgeps.gov.ph/GEPSNONPILOT/Tender/SplashBidNoticeAbstractUI.aspx?menuIndex=3&amp;refID=7062426&amp;Result=3","7062426")</f>
        <v>0</v>
      </c>
      <c r="B9011" t="s">
        <v>720</v>
      </c>
      <c r="C9011" t="s">
        <v>11990</v>
      </c>
      <c r="D9011" t="s">
        <v>16640</v>
      </c>
      <c r="E9011" t="s">
        <v>24549</v>
      </c>
      <c r="F9011" t="s">
        <v>28669</v>
      </c>
      <c r="G9011" t="s">
        <v>28677</v>
      </c>
      <c r="H9011" t="s">
        <v>9998</v>
      </c>
      <c r="I9011" t="s">
        <v>15140</v>
      </c>
      <c r="J9011" t="s">
        <v>29395</v>
      </c>
      <c r="K9011" t="s">
        <v>37243</v>
      </c>
      <c r="M9011" t="s">
        <v>38228</v>
      </c>
      <c r="N9011" t="s">
        <v>41249</v>
      </c>
      <c r="O9011" t="s">
        <v>41250</v>
      </c>
      <c r="P9011">
        <v>0</v>
      </c>
      <c r="Q9011">
        <v>0</v>
      </c>
      <c r="R9011" t="s">
        <v>41259</v>
      </c>
      <c r="S9011" t="s">
        <v>41562</v>
      </c>
      <c r="T9011" t="s">
        <v>42758</v>
      </c>
      <c r="U9011" t="s">
        <v>50503</v>
      </c>
      <c r="W9011" t="s">
        <v>55928</v>
      </c>
      <c r="X9011" t="s">
        <v>41260</v>
      </c>
    </row>
    <row r="9012" spans="1:24">
      <c r="A9012">
        <f>HYPERLINK("https://www.philgeps.gov.ph/GEPSNONPILOT/Tender/SplashBidNoticeAbstractUI.aspx?menuIndex=3&amp;refID=7062366&amp;Result=3","7062366")</f>
        <v>0</v>
      </c>
      <c r="B9012" t="s">
        <v>2693</v>
      </c>
      <c r="C9012" t="s">
        <v>11991</v>
      </c>
      <c r="D9012" t="s">
        <v>16658</v>
      </c>
      <c r="E9012" t="s">
        <v>24550</v>
      </c>
      <c r="F9012" t="s">
        <v>28669</v>
      </c>
      <c r="G9012" t="s">
        <v>28675</v>
      </c>
      <c r="H9012" t="s">
        <v>9998</v>
      </c>
      <c r="I9012" t="s">
        <v>28690</v>
      </c>
      <c r="J9012" t="s">
        <v>28877</v>
      </c>
      <c r="K9012" t="s">
        <v>37204</v>
      </c>
      <c r="M9012" t="s">
        <v>40403</v>
      </c>
      <c r="N9012" t="s">
        <v>41249</v>
      </c>
      <c r="O9012" t="s">
        <v>41250</v>
      </c>
      <c r="P9012">
        <v>0</v>
      </c>
      <c r="Q9012">
        <v>0</v>
      </c>
      <c r="R9012" t="s">
        <v>41259</v>
      </c>
      <c r="S9012" t="s">
        <v>41562</v>
      </c>
      <c r="T9012" t="s">
        <v>42700</v>
      </c>
      <c r="U9012" t="s">
        <v>50492</v>
      </c>
      <c r="W9012" t="s">
        <v>40403</v>
      </c>
      <c r="X9012" t="s">
        <v>41260</v>
      </c>
    </row>
    <row r="9013" spans="1:24">
      <c r="A9013">
        <f>HYPERLINK("https://www.philgeps.gov.ph/GEPSNONPILOT/Tender/SplashBidNoticeAbstractUI.aspx?menuIndex=3&amp;refID=7062364&amp;Result=3","7062364")</f>
        <v>0</v>
      </c>
      <c r="B9013" t="s">
        <v>1024</v>
      </c>
      <c r="C9013" t="s">
        <v>11992</v>
      </c>
      <c r="D9013" t="s">
        <v>16608</v>
      </c>
      <c r="E9013" t="s">
        <v>24551</v>
      </c>
      <c r="F9013" t="s">
        <v>28669</v>
      </c>
      <c r="G9013" t="s">
        <v>28675</v>
      </c>
      <c r="H9013" t="s">
        <v>28686</v>
      </c>
      <c r="I9013" t="s">
        <v>28689</v>
      </c>
      <c r="J9013" t="s">
        <v>34426</v>
      </c>
      <c r="K9013" t="s">
        <v>37218</v>
      </c>
      <c r="M9013" t="s">
        <v>39657</v>
      </c>
      <c r="N9013" t="s">
        <v>41249</v>
      </c>
      <c r="O9013" t="s">
        <v>41250</v>
      </c>
      <c r="P9013">
        <v>0</v>
      </c>
      <c r="Q9013">
        <v>94</v>
      </c>
      <c r="R9013" t="s">
        <v>41259</v>
      </c>
      <c r="S9013" t="s">
        <v>41562</v>
      </c>
      <c r="T9013" t="s">
        <v>42712</v>
      </c>
      <c r="U9013" t="s">
        <v>48161</v>
      </c>
      <c r="V9013" t="s">
        <v>55261</v>
      </c>
      <c r="W9013" t="s">
        <v>39657</v>
      </c>
      <c r="X9013" t="s">
        <v>41260</v>
      </c>
    </row>
    <row r="9014" spans="1:24">
      <c r="A9014">
        <f>HYPERLINK("https://www.philgeps.gov.ph/GEPSNONPILOT/Tender/SplashBidNoticeAbstractUI.aspx?menuIndex=3&amp;refID=7062425&amp;Result=3","7062425")</f>
        <v>0</v>
      </c>
      <c r="B9014" t="s">
        <v>1024</v>
      </c>
      <c r="C9014" t="s">
        <v>11993</v>
      </c>
      <c r="D9014" t="s">
        <v>16608</v>
      </c>
      <c r="E9014" t="s">
        <v>24552</v>
      </c>
      <c r="F9014" t="s">
        <v>28669</v>
      </c>
      <c r="G9014" t="s">
        <v>28675</v>
      </c>
      <c r="H9014" t="s">
        <v>28686</v>
      </c>
      <c r="I9014" t="s">
        <v>28689</v>
      </c>
      <c r="J9014" t="s">
        <v>34427</v>
      </c>
      <c r="K9014" t="s">
        <v>37215</v>
      </c>
      <c r="M9014" t="s">
        <v>39657</v>
      </c>
      <c r="N9014" t="s">
        <v>41249</v>
      </c>
      <c r="O9014" t="s">
        <v>41250</v>
      </c>
      <c r="P9014">
        <v>0</v>
      </c>
      <c r="Q9014">
        <v>73</v>
      </c>
      <c r="R9014" t="s">
        <v>41259</v>
      </c>
      <c r="S9014" t="s">
        <v>41562</v>
      </c>
      <c r="T9014" t="s">
        <v>42712</v>
      </c>
      <c r="U9014" t="s">
        <v>48161</v>
      </c>
      <c r="V9014" t="s">
        <v>55262</v>
      </c>
      <c r="W9014" t="s">
        <v>39657</v>
      </c>
      <c r="X9014" t="s">
        <v>41260</v>
      </c>
    </row>
    <row r="9015" spans="1:24">
      <c r="A9015">
        <f>HYPERLINK("https://www.philgeps.gov.ph/GEPSNONPILOT/Tender/SplashBidNoticeAbstractUI.aspx?menuIndex=3&amp;refID=7062421&amp;Result=3","7062421")</f>
        <v>0</v>
      </c>
      <c r="B9015" t="s">
        <v>2682</v>
      </c>
      <c r="C9015" t="s">
        <v>11994</v>
      </c>
      <c r="D9015" t="s">
        <v>16620</v>
      </c>
      <c r="E9015" t="s">
        <v>24553</v>
      </c>
      <c r="F9015" t="s">
        <v>28669</v>
      </c>
      <c r="G9015" t="s">
        <v>28675</v>
      </c>
      <c r="H9015" t="s">
        <v>9998</v>
      </c>
      <c r="I9015" t="s">
        <v>7352</v>
      </c>
      <c r="J9015" t="s">
        <v>34421</v>
      </c>
      <c r="K9015" t="s">
        <v>37210</v>
      </c>
      <c r="M9015" t="s">
        <v>40391</v>
      </c>
      <c r="N9015" t="s">
        <v>41249</v>
      </c>
      <c r="O9015" t="s">
        <v>41250</v>
      </c>
      <c r="P9015">
        <v>0</v>
      </c>
      <c r="Q9015">
        <v>0</v>
      </c>
      <c r="R9015" t="s">
        <v>41259</v>
      </c>
      <c r="S9015" t="s">
        <v>41562</v>
      </c>
      <c r="T9015" t="s">
        <v>42767</v>
      </c>
      <c r="U9015" t="s">
        <v>50454</v>
      </c>
      <c r="W9015" t="s">
        <v>40391</v>
      </c>
      <c r="X9015" t="s">
        <v>41260</v>
      </c>
    </row>
    <row r="9016" spans="1:24">
      <c r="A9016">
        <f>HYPERLINK("https://www.philgeps.gov.ph/GEPSNONPILOT/Tender/SplashBidNoticeAbstractUI.aspx?menuIndex=3&amp;refID=7062418&amp;Result=3","7062418")</f>
        <v>0</v>
      </c>
      <c r="B9016" t="s">
        <v>2699</v>
      </c>
      <c r="C9016" t="s">
        <v>11995</v>
      </c>
      <c r="D9016" t="s">
        <v>16620</v>
      </c>
      <c r="E9016" t="s">
        <v>24554</v>
      </c>
      <c r="F9016" t="s">
        <v>28669</v>
      </c>
      <c r="G9016" t="s">
        <v>28675</v>
      </c>
      <c r="H9016" t="s">
        <v>28686</v>
      </c>
      <c r="I9016" t="s">
        <v>28689</v>
      </c>
      <c r="J9016" t="s">
        <v>34428</v>
      </c>
      <c r="K9016" t="s">
        <v>37213</v>
      </c>
      <c r="M9016" t="s">
        <v>40409</v>
      </c>
      <c r="N9016" t="s">
        <v>41249</v>
      </c>
      <c r="O9016" t="s">
        <v>41250</v>
      </c>
      <c r="P9016">
        <v>0</v>
      </c>
      <c r="Q9016">
        <v>1</v>
      </c>
      <c r="R9016" t="s">
        <v>41259</v>
      </c>
      <c r="S9016" t="s">
        <v>41562</v>
      </c>
      <c r="T9016" t="s">
        <v>42658</v>
      </c>
      <c r="U9016" t="s">
        <v>50504</v>
      </c>
      <c r="W9016" t="s">
        <v>40409</v>
      </c>
      <c r="X9016" t="s">
        <v>41260</v>
      </c>
    </row>
    <row r="9017" spans="1:24">
      <c r="A9017">
        <f>HYPERLINK("https://www.philgeps.gov.ph/GEPSNONPILOT/Tender/SplashBidNoticeAbstractUI.aspx?menuIndex=3&amp;refID=7062378&amp;Result=3","7062378")</f>
        <v>0</v>
      </c>
      <c r="B9017" t="s">
        <v>1468</v>
      </c>
      <c r="C9017" t="s">
        <v>11996</v>
      </c>
      <c r="D9017" t="s">
        <v>16611</v>
      </c>
      <c r="E9017" t="s">
        <v>24555</v>
      </c>
      <c r="F9017" t="s">
        <v>28669</v>
      </c>
      <c r="G9017" t="s">
        <v>28675</v>
      </c>
      <c r="H9017" t="s">
        <v>9998</v>
      </c>
      <c r="I9017" t="s">
        <v>28736</v>
      </c>
      <c r="J9017" t="s">
        <v>34429</v>
      </c>
      <c r="K9017" t="s">
        <v>37206</v>
      </c>
      <c r="M9017" t="s">
        <v>39036</v>
      </c>
      <c r="N9017" t="s">
        <v>41249</v>
      </c>
      <c r="O9017" t="s">
        <v>41250</v>
      </c>
      <c r="P9017">
        <v>0</v>
      </c>
      <c r="Q9017">
        <v>1</v>
      </c>
      <c r="R9017" t="s">
        <v>41259</v>
      </c>
      <c r="S9017" t="s">
        <v>41562</v>
      </c>
      <c r="T9017" t="s">
        <v>42728</v>
      </c>
      <c r="U9017" t="s">
        <v>49319</v>
      </c>
      <c r="W9017" t="s">
        <v>39036</v>
      </c>
      <c r="X9017" t="s">
        <v>41260</v>
      </c>
    </row>
    <row r="9018" spans="1:24">
      <c r="A9018">
        <f>HYPERLINK("https://www.philgeps.gov.ph/GEPSNONPILOT/Tender/SplashBidNoticeAbstractUI.aspx?menuIndex=3&amp;refID=7062386&amp;Result=3","7062386")</f>
        <v>0</v>
      </c>
      <c r="B9018" t="s">
        <v>1990</v>
      </c>
      <c r="C9018" t="s">
        <v>11997</v>
      </c>
      <c r="D9018" t="s">
        <v>16643</v>
      </c>
      <c r="E9018" t="s">
        <v>24556</v>
      </c>
      <c r="F9018" t="s">
        <v>28669</v>
      </c>
      <c r="G9018" t="s">
        <v>28675</v>
      </c>
      <c r="H9018" t="s">
        <v>9998</v>
      </c>
      <c r="I9018" t="s">
        <v>28695</v>
      </c>
      <c r="J9018" t="s">
        <v>34430</v>
      </c>
      <c r="K9018" t="s">
        <v>37205</v>
      </c>
      <c r="M9018" t="s">
        <v>39626</v>
      </c>
      <c r="N9018" t="s">
        <v>41249</v>
      </c>
      <c r="O9018" t="s">
        <v>41250</v>
      </c>
      <c r="P9018">
        <v>0</v>
      </c>
      <c r="Q9018">
        <v>0</v>
      </c>
      <c r="R9018" t="s">
        <v>41259</v>
      </c>
      <c r="S9018" t="s">
        <v>41562</v>
      </c>
      <c r="T9018" t="s">
        <v>42910</v>
      </c>
      <c r="U9018" t="s">
        <v>50505</v>
      </c>
      <c r="W9018" t="s">
        <v>39626</v>
      </c>
      <c r="X9018" t="s">
        <v>41260</v>
      </c>
    </row>
    <row r="9019" spans="1:24">
      <c r="A9019">
        <f>HYPERLINK("https://www.philgeps.gov.ph/GEPSNONPILOT/Tender/SplashBidNoticeAbstractUI.aspx?menuIndex=3&amp;refID=7062383&amp;Result=3","7062383")</f>
        <v>0</v>
      </c>
      <c r="B9019" t="s">
        <v>2682</v>
      </c>
      <c r="C9019" t="s">
        <v>11998</v>
      </c>
      <c r="D9019" t="s">
        <v>16620</v>
      </c>
      <c r="E9019" t="s">
        <v>24557</v>
      </c>
      <c r="F9019" t="s">
        <v>28669</v>
      </c>
      <c r="G9019" t="s">
        <v>28675</v>
      </c>
      <c r="H9019" t="s">
        <v>9998</v>
      </c>
      <c r="I9019" t="s">
        <v>7352</v>
      </c>
      <c r="J9019" t="s">
        <v>34421</v>
      </c>
      <c r="K9019" t="s">
        <v>37210</v>
      </c>
      <c r="M9019" t="s">
        <v>40391</v>
      </c>
      <c r="N9019" t="s">
        <v>41249</v>
      </c>
      <c r="O9019" t="s">
        <v>41250</v>
      </c>
      <c r="P9019">
        <v>0</v>
      </c>
      <c r="Q9019">
        <v>0</v>
      </c>
      <c r="R9019" t="s">
        <v>41259</v>
      </c>
      <c r="S9019" t="s">
        <v>41562</v>
      </c>
      <c r="T9019" t="s">
        <v>42767</v>
      </c>
      <c r="U9019" t="s">
        <v>50480</v>
      </c>
      <c r="W9019" t="s">
        <v>40391</v>
      </c>
      <c r="X9019" t="s">
        <v>41260</v>
      </c>
    </row>
    <row r="9020" spans="1:24">
      <c r="A9020">
        <f>HYPERLINK("https://www.philgeps.gov.ph/GEPSNONPILOT/Tender/SplashBidNoticeAbstractUI.aspx?menuIndex=3&amp;refID=7062462&amp;Result=3","7062462")</f>
        <v>0</v>
      </c>
      <c r="B9020" t="s">
        <v>2682</v>
      </c>
      <c r="C9020" t="s">
        <v>11999</v>
      </c>
      <c r="D9020" t="s">
        <v>16620</v>
      </c>
      <c r="E9020" t="s">
        <v>24558</v>
      </c>
      <c r="F9020" t="s">
        <v>28669</v>
      </c>
      <c r="G9020" t="s">
        <v>28675</v>
      </c>
      <c r="H9020" t="s">
        <v>9998</v>
      </c>
      <c r="I9020" t="s">
        <v>7352</v>
      </c>
      <c r="J9020" t="s">
        <v>34421</v>
      </c>
      <c r="K9020" t="s">
        <v>37210</v>
      </c>
      <c r="M9020" t="s">
        <v>40391</v>
      </c>
      <c r="N9020" t="s">
        <v>41249</v>
      </c>
      <c r="O9020" t="s">
        <v>41250</v>
      </c>
      <c r="P9020">
        <v>0</v>
      </c>
      <c r="Q9020">
        <v>0</v>
      </c>
      <c r="R9020" t="s">
        <v>41259</v>
      </c>
      <c r="S9020" t="s">
        <v>41562</v>
      </c>
      <c r="T9020" t="s">
        <v>42767</v>
      </c>
      <c r="U9020" t="s">
        <v>50480</v>
      </c>
      <c r="W9020" t="s">
        <v>40391</v>
      </c>
      <c r="X9020" t="s">
        <v>41260</v>
      </c>
    </row>
    <row r="9021" spans="1:24">
      <c r="A9021">
        <f>HYPERLINK("https://www.philgeps.gov.ph/GEPSNONPILOT/Tender/SplashBidNoticeAbstractUI.aspx?menuIndex=3&amp;refID=7062362&amp;Result=3","7062362")</f>
        <v>0</v>
      </c>
      <c r="B9021" t="s">
        <v>2700</v>
      </c>
      <c r="C9021" t="s">
        <v>12000</v>
      </c>
      <c r="D9021" t="s">
        <v>16609</v>
      </c>
      <c r="E9021" t="s">
        <v>16864</v>
      </c>
      <c r="F9021" t="s">
        <v>28669</v>
      </c>
      <c r="G9021" t="s">
        <v>28675</v>
      </c>
      <c r="H9021" t="s">
        <v>28686</v>
      </c>
      <c r="I9021" t="s">
        <v>28689</v>
      </c>
      <c r="J9021" t="s">
        <v>34431</v>
      </c>
      <c r="K9021" t="s">
        <v>37209</v>
      </c>
      <c r="M9021" t="s">
        <v>40410</v>
      </c>
      <c r="N9021" t="s">
        <v>41249</v>
      </c>
      <c r="O9021" t="s">
        <v>41250</v>
      </c>
      <c r="P9021">
        <v>0</v>
      </c>
      <c r="Q9021">
        <v>0</v>
      </c>
      <c r="R9021" t="s">
        <v>41259</v>
      </c>
      <c r="S9021" t="s">
        <v>41562</v>
      </c>
      <c r="T9021" t="s">
        <v>42999</v>
      </c>
      <c r="U9021" t="s">
        <v>50506</v>
      </c>
      <c r="W9021" t="s">
        <v>40410</v>
      </c>
      <c r="X9021" t="s">
        <v>41260</v>
      </c>
    </row>
    <row r="9022" spans="1:24">
      <c r="A9022">
        <f>HYPERLINK("https://www.philgeps.gov.ph/GEPSNONPILOT/Tender/SplashBidNoticeAbstractUI.aspx?menuIndex=3&amp;refID=7062451&amp;Result=3","7062451")</f>
        <v>0</v>
      </c>
      <c r="B9022" t="s">
        <v>720</v>
      </c>
      <c r="C9022" t="s">
        <v>12001</v>
      </c>
      <c r="D9022" t="s">
        <v>16640</v>
      </c>
      <c r="E9022" t="s">
        <v>24559</v>
      </c>
      <c r="F9022" t="s">
        <v>28669</v>
      </c>
      <c r="G9022" t="s">
        <v>28677</v>
      </c>
      <c r="H9022" t="s">
        <v>9998</v>
      </c>
      <c r="I9022" t="s">
        <v>28696</v>
      </c>
      <c r="J9022" t="s">
        <v>29545</v>
      </c>
      <c r="K9022" t="s">
        <v>37204</v>
      </c>
      <c r="M9022" t="s">
        <v>38228</v>
      </c>
      <c r="N9022" t="s">
        <v>41249</v>
      </c>
      <c r="O9022" t="s">
        <v>41250</v>
      </c>
      <c r="P9022">
        <v>0</v>
      </c>
      <c r="Q9022">
        <v>0</v>
      </c>
      <c r="R9022" t="s">
        <v>41259</v>
      </c>
      <c r="S9022" t="s">
        <v>41562</v>
      </c>
      <c r="T9022" t="s">
        <v>42758</v>
      </c>
      <c r="U9022" t="s">
        <v>50507</v>
      </c>
      <c r="W9022" t="s">
        <v>55928</v>
      </c>
      <c r="X9022" t="s">
        <v>41260</v>
      </c>
    </row>
    <row r="9023" spans="1:24">
      <c r="A9023">
        <f>HYPERLINK("https://www.philgeps.gov.ph/GEPSNONPILOT/Tender/SplashBidNoticeAbstractUI.aspx?menuIndex=3&amp;refID=7062439&amp;Result=3","7062439")</f>
        <v>0</v>
      </c>
      <c r="B9023" t="s">
        <v>2701</v>
      </c>
      <c r="C9023" t="s">
        <v>12002</v>
      </c>
      <c r="D9023" t="s">
        <v>16609</v>
      </c>
      <c r="E9023" t="s">
        <v>18170</v>
      </c>
      <c r="F9023" t="s">
        <v>28669</v>
      </c>
      <c r="G9023" t="s">
        <v>28675</v>
      </c>
      <c r="H9023" t="s">
        <v>28686</v>
      </c>
      <c r="I9023" t="s">
        <v>28689</v>
      </c>
      <c r="J9023" t="s">
        <v>28826</v>
      </c>
      <c r="K9023" t="s">
        <v>37209</v>
      </c>
      <c r="M9023" t="s">
        <v>40411</v>
      </c>
      <c r="N9023" t="s">
        <v>41249</v>
      </c>
      <c r="O9023" t="s">
        <v>41250</v>
      </c>
      <c r="P9023">
        <v>0</v>
      </c>
      <c r="Q9023">
        <v>0</v>
      </c>
      <c r="R9023" t="s">
        <v>41259</v>
      </c>
      <c r="S9023" t="s">
        <v>41562</v>
      </c>
      <c r="T9023" t="s">
        <v>43046</v>
      </c>
      <c r="U9023" t="s">
        <v>50508</v>
      </c>
      <c r="W9023" t="s">
        <v>40411</v>
      </c>
      <c r="X9023" t="s">
        <v>41260</v>
      </c>
    </row>
    <row r="9024" spans="1:24">
      <c r="A9024">
        <f>HYPERLINK("https://www.philgeps.gov.ph/GEPSNONPILOT/Tender/SplashBidNoticeAbstractUI.aspx?menuIndex=3&amp;refID=7062410&amp;Result=3","7062410")</f>
        <v>0</v>
      </c>
      <c r="B9024" t="s">
        <v>2702</v>
      </c>
      <c r="C9024" t="s">
        <v>12003</v>
      </c>
      <c r="D9024" t="s">
        <v>16661</v>
      </c>
      <c r="E9024" t="s">
        <v>24560</v>
      </c>
      <c r="F9024" t="s">
        <v>28671</v>
      </c>
      <c r="G9024" t="s">
        <v>28675</v>
      </c>
      <c r="H9024" t="s">
        <v>9998</v>
      </c>
      <c r="I9024" t="s">
        <v>28689</v>
      </c>
      <c r="J9024" t="s">
        <v>28826</v>
      </c>
      <c r="K9024" t="s">
        <v>37231</v>
      </c>
      <c r="M9024" t="s">
        <v>40412</v>
      </c>
      <c r="N9024" t="s">
        <v>41249</v>
      </c>
      <c r="O9024" t="s">
        <v>41250</v>
      </c>
      <c r="P9024">
        <v>0</v>
      </c>
      <c r="Q9024">
        <v>0</v>
      </c>
      <c r="R9024" t="s">
        <v>41259</v>
      </c>
      <c r="S9024" t="s">
        <v>41562</v>
      </c>
      <c r="T9024" t="s">
        <v>42714</v>
      </c>
      <c r="U9024" t="s">
        <v>50509</v>
      </c>
      <c r="W9024" t="s">
        <v>40412</v>
      </c>
      <c r="X9024" t="s">
        <v>41260</v>
      </c>
    </row>
    <row r="9025" spans="1:24">
      <c r="A9025">
        <f>HYPERLINK("https://www.philgeps.gov.ph/GEPSNONPILOT/Tender/SplashBidNoticeAbstractUI.aspx?menuIndex=3&amp;refID=7062441&amp;Result=3","7062441")</f>
        <v>0</v>
      </c>
      <c r="B9025" t="s">
        <v>2444</v>
      </c>
      <c r="C9025" t="s">
        <v>12004</v>
      </c>
      <c r="D9025" t="s">
        <v>16610</v>
      </c>
      <c r="E9025" t="s">
        <v>24561</v>
      </c>
      <c r="F9025" t="s">
        <v>28669</v>
      </c>
      <c r="G9025" t="s">
        <v>28675</v>
      </c>
      <c r="H9025" t="s">
        <v>28686</v>
      </c>
      <c r="I9025" t="s">
        <v>28689</v>
      </c>
      <c r="J9025" t="s">
        <v>34432</v>
      </c>
      <c r="K9025" t="s">
        <v>37291</v>
      </c>
      <c r="M9025" t="s">
        <v>40127</v>
      </c>
      <c r="N9025" t="s">
        <v>41249</v>
      </c>
      <c r="O9025" t="s">
        <v>41250</v>
      </c>
      <c r="P9025">
        <v>0</v>
      </c>
      <c r="Q9025">
        <v>0</v>
      </c>
      <c r="R9025" t="s">
        <v>41259</v>
      </c>
      <c r="S9025" t="s">
        <v>41562</v>
      </c>
      <c r="T9025" t="s">
        <v>42754</v>
      </c>
      <c r="U9025" t="s">
        <v>50510</v>
      </c>
      <c r="W9025" t="s">
        <v>40127</v>
      </c>
      <c r="X9025" t="s">
        <v>41260</v>
      </c>
    </row>
    <row r="9026" spans="1:24">
      <c r="A9026">
        <f>HYPERLINK("https://www.philgeps.gov.ph/GEPSNONPILOT/Tender/SplashBidNoticeAbstractUI.aspx?menuIndex=3&amp;refID=7062407&amp;Result=3","7062407")</f>
        <v>0</v>
      </c>
      <c r="B9026" t="s">
        <v>1970</v>
      </c>
      <c r="C9026" t="s">
        <v>12005</v>
      </c>
      <c r="D9026" t="s">
        <v>16651</v>
      </c>
      <c r="E9026" t="s">
        <v>24562</v>
      </c>
      <c r="F9026" t="s">
        <v>28669</v>
      </c>
      <c r="G9026" t="s">
        <v>28675</v>
      </c>
      <c r="H9026" t="s">
        <v>28686</v>
      </c>
      <c r="I9026" t="s">
        <v>28689</v>
      </c>
      <c r="J9026" t="s">
        <v>34422</v>
      </c>
      <c r="K9026" t="s">
        <v>37297</v>
      </c>
      <c r="M9026" t="s">
        <v>39604</v>
      </c>
      <c r="N9026" t="s">
        <v>41249</v>
      </c>
      <c r="O9026" t="s">
        <v>41250</v>
      </c>
      <c r="P9026">
        <v>0</v>
      </c>
      <c r="Q9026">
        <v>4</v>
      </c>
      <c r="R9026" t="s">
        <v>41259</v>
      </c>
      <c r="S9026" t="s">
        <v>41562</v>
      </c>
      <c r="T9026" t="s">
        <v>42739</v>
      </c>
      <c r="U9026" t="s">
        <v>50511</v>
      </c>
      <c r="W9026" t="s">
        <v>39604</v>
      </c>
      <c r="X9026" t="s">
        <v>41260</v>
      </c>
    </row>
    <row r="9027" spans="1:24">
      <c r="A9027">
        <f>HYPERLINK("https://www.philgeps.gov.ph/GEPSNONPILOT/Tender/SplashBidNoticeAbstractUI.aspx?menuIndex=3&amp;refID=7062403&amp;Result=3","7062403")</f>
        <v>0</v>
      </c>
      <c r="B9027" t="s">
        <v>2682</v>
      </c>
      <c r="C9027" t="s">
        <v>12006</v>
      </c>
      <c r="D9027" t="s">
        <v>16620</v>
      </c>
      <c r="E9027" t="s">
        <v>24553</v>
      </c>
      <c r="F9027" t="s">
        <v>28669</v>
      </c>
      <c r="G9027" t="s">
        <v>28675</v>
      </c>
      <c r="H9027" t="s">
        <v>9998</v>
      </c>
      <c r="I9027" t="s">
        <v>7352</v>
      </c>
      <c r="J9027" t="s">
        <v>34421</v>
      </c>
      <c r="K9027" t="s">
        <v>37210</v>
      </c>
      <c r="M9027" t="s">
        <v>40391</v>
      </c>
      <c r="N9027" t="s">
        <v>41249</v>
      </c>
      <c r="O9027" t="s">
        <v>41250</v>
      </c>
      <c r="P9027">
        <v>0</v>
      </c>
      <c r="Q9027">
        <v>0</v>
      </c>
      <c r="R9027" t="s">
        <v>41259</v>
      </c>
      <c r="S9027" t="s">
        <v>41562</v>
      </c>
      <c r="T9027" t="s">
        <v>42767</v>
      </c>
      <c r="U9027" t="s">
        <v>50480</v>
      </c>
      <c r="W9027" t="s">
        <v>40391</v>
      </c>
      <c r="X9027" t="s">
        <v>41260</v>
      </c>
    </row>
    <row r="9028" spans="1:24">
      <c r="A9028">
        <f>HYPERLINK("https://www.philgeps.gov.ph/GEPSNONPILOT/Tender/SplashBidNoticeAbstractUI.aspx?menuIndex=3&amp;refID=7062401&amp;Result=3","7062401")</f>
        <v>0</v>
      </c>
      <c r="B9028" t="s">
        <v>2703</v>
      </c>
      <c r="C9028" t="s">
        <v>12007</v>
      </c>
      <c r="D9028" t="s">
        <v>16609</v>
      </c>
      <c r="E9028" t="s">
        <v>16746</v>
      </c>
      <c r="F9028" t="s">
        <v>28669</v>
      </c>
      <c r="G9028" t="s">
        <v>28675</v>
      </c>
      <c r="H9028" t="s">
        <v>28686</v>
      </c>
      <c r="I9028" t="s">
        <v>28689</v>
      </c>
      <c r="J9028" t="s">
        <v>30854</v>
      </c>
      <c r="K9028" t="s">
        <v>37209</v>
      </c>
      <c r="M9028" t="s">
        <v>40413</v>
      </c>
      <c r="N9028" t="s">
        <v>41249</v>
      </c>
      <c r="O9028" t="s">
        <v>41250</v>
      </c>
      <c r="P9028">
        <v>0</v>
      </c>
      <c r="Q9028">
        <v>0</v>
      </c>
      <c r="R9028" t="s">
        <v>41259</v>
      </c>
      <c r="S9028" t="s">
        <v>41562</v>
      </c>
      <c r="T9028" t="s">
        <v>43046</v>
      </c>
      <c r="U9028" t="s">
        <v>50512</v>
      </c>
      <c r="W9028" t="s">
        <v>40413</v>
      </c>
      <c r="X9028" t="s">
        <v>41260</v>
      </c>
    </row>
    <row r="9029" spans="1:24">
      <c r="A9029">
        <f>HYPERLINK("https://www.philgeps.gov.ph/GEPSNONPILOT/Tender/SplashBidNoticeAbstractUI.aspx?menuIndex=3&amp;refID=7062397&amp;Result=3","7062397")</f>
        <v>0</v>
      </c>
      <c r="B9029" t="s">
        <v>2430</v>
      </c>
      <c r="C9029" t="s">
        <v>12008</v>
      </c>
      <c r="D9029" t="s">
        <v>16658</v>
      </c>
      <c r="E9029" t="s">
        <v>24563</v>
      </c>
      <c r="F9029" t="s">
        <v>28669</v>
      </c>
      <c r="G9029" t="s">
        <v>28675</v>
      </c>
      <c r="H9029" t="s">
        <v>9998</v>
      </c>
      <c r="I9029" t="s">
        <v>7352</v>
      </c>
      <c r="J9029" t="s">
        <v>34433</v>
      </c>
      <c r="K9029" t="s">
        <v>37210</v>
      </c>
      <c r="L9029" t="s">
        <v>2430</v>
      </c>
      <c r="M9029" t="s">
        <v>40113</v>
      </c>
      <c r="N9029" t="s">
        <v>41249</v>
      </c>
      <c r="O9029" t="s">
        <v>41250</v>
      </c>
      <c r="P9029">
        <v>0</v>
      </c>
      <c r="Q9029">
        <v>2</v>
      </c>
      <c r="R9029" t="s">
        <v>41259</v>
      </c>
      <c r="S9029" t="s">
        <v>41562</v>
      </c>
      <c r="T9029" t="s">
        <v>42739</v>
      </c>
      <c r="U9029" t="s">
        <v>49645</v>
      </c>
      <c r="W9029" t="s">
        <v>40113</v>
      </c>
      <c r="X9029" t="s">
        <v>41260</v>
      </c>
    </row>
    <row r="9030" spans="1:24">
      <c r="A9030">
        <f>HYPERLINK("https://www.philgeps.gov.ph/GEPSNONPILOT/Tender/SplashBidNoticeAbstractUI.aspx?menuIndex=3&amp;refID=7062472&amp;Result=3","7062472")</f>
        <v>0</v>
      </c>
      <c r="B9030" t="s">
        <v>2701</v>
      </c>
      <c r="C9030" t="s">
        <v>11928</v>
      </c>
      <c r="D9030" t="s">
        <v>16609</v>
      </c>
      <c r="E9030" t="s">
        <v>22306</v>
      </c>
      <c r="F9030" t="s">
        <v>28669</v>
      </c>
      <c r="G9030" t="s">
        <v>28675</v>
      </c>
      <c r="H9030" t="s">
        <v>28686</v>
      </c>
      <c r="I9030" t="s">
        <v>28689</v>
      </c>
      <c r="J9030" t="s">
        <v>34434</v>
      </c>
      <c r="K9030" t="s">
        <v>37209</v>
      </c>
      <c r="M9030" t="s">
        <v>40411</v>
      </c>
      <c r="N9030" t="s">
        <v>41249</v>
      </c>
      <c r="O9030" t="s">
        <v>41250</v>
      </c>
      <c r="P9030">
        <v>0</v>
      </c>
      <c r="Q9030">
        <v>0</v>
      </c>
      <c r="R9030" t="s">
        <v>41259</v>
      </c>
      <c r="S9030" t="s">
        <v>41562</v>
      </c>
      <c r="T9030" t="s">
        <v>43046</v>
      </c>
      <c r="U9030" t="s">
        <v>50513</v>
      </c>
      <c r="W9030" t="s">
        <v>40411</v>
      </c>
      <c r="X9030" t="s">
        <v>41260</v>
      </c>
    </row>
    <row r="9031" spans="1:24">
      <c r="A9031">
        <f>HYPERLINK("https://www.philgeps.gov.ph/GEPSNONPILOT/Tender/SplashBidNoticeAbstractUI.aspx?menuIndex=3&amp;refID=7062523&amp;Result=3","7062523")</f>
        <v>0</v>
      </c>
      <c r="B9031" t="s">
        <v>2704</v>
      </c>
      <c r="C9031" t="s">
        <v>12009</v>
      </c>
      <c r="D9031" t="s">
        <v>16657</v>
      </c>
      <c r="E9031" t="s">
        <v>17244</v>
      </c>
      <c r="F9031" t="s">
        <v>28669</v>
      </c>
      <c r="G9031" t="s">
        <v>28675</v>
      </c>
      <c r="H9031" t="s">
        <v>9998</v>
      </c>
      <c r="I9031" t="s">
        <v>7352</v>
      </c>
      <c r="J9031" t="s">
        <v>34435</v>
      </c>
      <c r="K9031" t="s">
        <v>37210</v>
      </c>
      <c r="L9031" t="s">
        <v>2704</v>
      </c>
      <c r="M9031" t="s">
        <v>40414</v>
      </c>
      <c r="N9031" t="s">
        <v>41249</v>
      </c>
      <c r="O9031" t="s">
        <v>41250</v>
      </c>
      <c r="P9031">
        <v>0</v>
      </c>
      <c r="Q9031">
        <v>3</v>
      </c>
      <c r="R9031" t="s">
        <v>41259</v>
      </c>
      <c r="S9031" t="s">
        <v>41562</v>
      </c>
      <c r="T9031" t="s">
        <v>42767</v>
      </c>
      <c r="U9031" t="s">
        <v>50514</v>
      </c>
      <c r="W9031" t="s">
        <v>40414</v>
      </c>
      <c r="X9031" t="s">
        <v>41260</v>
      </c>
    </row>
    <row r="9032" spans="1:24">
      <c r="A9032">
        <f>HYPERLINK("https://www.philgeps.gov.ph/GEPSNONPILOT/Tender/SplashBidNoticeAbstractUI.aspx?menuIndex=3&amp;refID=7062500&amp;Result=3","7062500")</f>
        <v>0</v>
      </c>
      <c r="B9032" t="s">
        <v>2705</v>
      </c>
      <c r="C9032" t="s">
        <v>12010</v>
      </c>
      <c r="D9032" t="s">
        <v>16609</v>
      </c>
      <c r="E9032" t="s">
        <v>17178</v>
      </c>
      <c r="F9032" t="s">
        <v>28669</v>
      </c>
      <c r="G9032" t="s">
        <v>28675</v>
      </c>
      <c r="H9032" t="s">
        <v>28686</v>
      </c>
      <c r="I9032" t="s">
        <v>28689</v>
      </c>
      <c r="J9032" t="s">
        <v>34436</v>
      </c>
      <c r="K9032" t="s">
        <v>37209</v>
      </c>
      <c r="M9032" t="s">
        <v>40415</v>
      </c>
      <c r="N9032" t="s">
        <v>41249</v>
      </c>
      <c r="O9032" t="s">
        <v>41250</v>
      </c>
      <c r="P9032">
        <v>0</v>
      </c>
      <c r="Q9032">
        <v>0</v>
      </c>
      <c r="R9032" t="s">
        <v>41259</v>
      </c>
      <c r="S9032" t="s">
        <v>41562</v>
      </c>
      <c r="T9032" t="s">
        <v>43046</v>
      </c>
      <c r="U9032" t="s">
        <v>50515</v>
      </c>
      <c r="W9032" t="s">
        <v>40415</v>
      </c>
      <c r="X9032" t="s">
        <v>41260</v>
      </c>
    </row>
    <row r="9033" spans="1:24">
      <c r="A9033">
        <f>HYPERLINK("https://www.philgeps.gov.ph/GEPSNONPILOT/Tender/SplashBidNoticeAbstractUI.aspx?menuIndex=3&amp;refID=7062496&amp;Result=3","7062496")</f>
        <v>0</v>
      </c>
      <c r="B9033" t="s">
        <v>2682</v>
      </c>
      <c r="C9033" t="s">
        <v>12011</v>
      </c>
      <c r="D9033" t="s">
        <v>16620</v>
      </c>
      <c r="E9033" t="s">
        <v>24564</v>
      </c>
      <c r="F9033" t="s">
        <v>28669</v>
      </c>
      <c r="G9033" t="s">
        <v>28675</v>
      </c>
      <c r="H9033" t="s">
        <v>9998</v>
      </c>
      <c r="I9033" t="s">
        <v>7352</v>
      </c>
      <c r="J9033" t="s">
        <v>34437</v>
      </c>
      <c r="K9033" t="s">
        <v>37210</v>
      </c>
      <c r="M9033" t="s">
        <v>40391</v>
      </c>
      <c r="N9033" t="s">
        <v>41249</v>
      </c>
      <c r="O9033" t="s">
        <v>41250</v>
      </c>
      <c r="P9033">
        <v>0</v>
      </c>
      <c r="Q9033">
        <v>0</v>
      </c>
      <c r="R9033" t="s">
        <v>41259</v>
      </c>
      <c r="S9033" t="s">
        <v>41562</v>
      </c>
      <c r="T9033" t="s">
        <v>42767</v>
      </c>
      <c r="U9033" t="s">
        <v>50480</v>
      </c>
      <c r="W9033" t="s">
        <v>40391</v>
      </c>
      <c r="X9033" t="s">
        <v>41260</v>
      </c>
    </row>
    <row r="9034" spans="1:24">
      <c r="A9034">
        <f>HYPERLINK("https://www.philgeps.gov.ph/GEPSNONPILOT/Tender/SplashBidNoticeAbstractUI.aspx?menuIndex=3&amp;refID=7062461&amp;Result=3","7062461")</f>
        <v>0</v>
      </c>
      <c r="B9034" t="s">
        <v>1024</v>
      </c>
      <c r="C9034" t="s">
        <v>12012</v>
      </c>
      <c r="D9034" t="s">
        <v>16608</v>
      </c>
      <c r="E9034" t="s">
        <v>24565</v>
      </c>
      <c r="F9034" t="s">
        <v>28669</v>
      </c>
      <c r="G9034" t="s">
        <v>28675</v>
      </c>
      <c r="H9034" t="s">
        <v>28686</v>
      </c>
      <c r="I9034" t="s">
        <v>28689</v>
      </c>
      <c r="J9034" t="s">
        <v>34438</v>
      </c>
      <c r="K9034" t="s">
        <v>37211</v>
      </c>
      <c r="M9034" t="s">
        <v>39657</v>
      </c>
      <c r="N9034" t="s">
        <v>41249</v>
      </c>
      <c r="O9034" t="s">
        <v>41250</v>
      </c>
      <c r="P9034">
        <v>0</v>
      </c>
      <c r="Q9034">
        <v>74</v>
      </c>
      <c r="R9034" t="s">
        <v>41259</v>
      </c>
      <c r="S9034" t="s">
        <v>41562</v>
      </c>
      <c r="T9034" t="s">
        <v>42712</v>
      </c>
      <c r="U9034" t="s">
        <v>48161</v>
      </c>
      <c r="V9034" t="s">
        <v>55263</v>
      </c>
      <c r="W9034" t="s">
        <v>39657</v>
      </c>
      <c r="X9034" t="s">
        <v>41260</v>
      </c>
    </row>
    <row r="9035" spans="1:24">
      <c r="A9035">
        <f>HYPERLINK("https://www.philgeps.gov.ph/GEPSNONPILOT/Tender/SplashBidNoticeAbstractUI.aspx?menuIndex=3&amp;refID=7062488&amp;Result=3","7062488")</f>
        <v>0</v>
      </c>
      <c r="B9035" t="s">
        <v>1024</v>
      </c>
      <c r="C9035" t="s">
        <v>12013</v>
      </c>
      <c r="D9035" t="s">
        <v>16608</v>
      </c>
      <c r="E9035" t="s">
        <v>24566</v>
      </c>
      <c r="F9035" t="s">
        <v>28669</v>
      </c>
      <c r="G9035" t="s">
        <v>28675</v>
      </c>
      <c r="H9035" t="s">
        <v>28686</v>
      </c>
      <c r="I9035" t="s">
        <v>28689</v>
      </c>
      <c r="J9035" t="s">
        <v>34439</v>
      </c>
      <c r="K9035" t="s">
        <v>37206</v>
      </c>
      <c r="M9035" t="s">
        <v>39657</v>
      </c>
      <c r="N9035" t="s">
        <v>41249</v>
      </c>
      <c r="O9035" t="s">
        <v>41250</v>
      </c>
      <c r="P9035">
        <v>0</v>
      </c>
      <c r="Q9035">
        <v>62</v>
      </c>
      <c r="R9035" t="s">
        <v>41259</v>
      </c>
      <c r="S9035" t="s">
        <v>41562</v>
      </c>
      <c r="T9035" t="s">
        <v>42712</v>
      </c>
      <c r="U9035" t="s">
        <v>48161</v>
      </c>
      <c r="V9035" t="s">
        <v>55264</v>
      </c>
      <c r="W9035" t="s">
        <v>39657</v>
      </c>
      <c r="X9035" t="s">
        <v>41260</v>
      </c>
    </row>
    <row r="9036" spans="1:24">
      <c r="A9036">
        <f>HYPERLINK("https://www.philgeps.gov.ph/GEPSNONPILOT/Tender/SplashBidNoticeAbstractUI.aspx?menuIndex=3&amp;refID=7062424&amp;Result=3","7062424")</f>
        <v>0</v>
      </c>
      <c r="B9036" t="s">
        <v>1970</v>
      </c>
      <c r="C9036" t="s">
        <v>12014</v>
      </c>
      <c r="D9036" t="s">
        <v>16651</v>
      </c>
      <c r="E9036" t="s">
        <v>24567</v>
      </c>
      <c r="F9036" t="s">
        <v>28669</v>
      </c>
      <c r="G9036" t="s">
        <v>28675</v>
      </c>
      <c r="H9036" t="s">
        <v>28686</v>
      </c>
      <c r="I9036" t="s">
        <v>28689</v>
      </c>
      <c r="J9036" t="s">
        <v>34422</v>
      </c>
      <c r="K9036" t="s">
        <v>37297</v>
      </c>
      <c r="M9036" t="s">
        <v>39604</v>
      </c>
      <c r="N9036" t="s">
        <v>41249</v>
      </c>
      <c r="O9036" t="s">
        <v>41250</v>
      </c>
      <c r="P9036">
        <v>0</v>
      </c>
      <c r="Q9036">
        <v>4</v>
      </c>
      <c r="R9036" t="s">
        <v>41259</v>
      </c>
      <c r="S9036" t="s">
        <v>41562</v>
      </c>
      <c r="T9036" t="s">
        <v>42739</v>
      </c>
      <c r="U9036" t="s">
        <v>50516</v>
      </c>
      <c r="W9036" t="s">
        <v>39604</v>
      </c>
      <c r="X9036" t="s">
        <v>41260</v>
      </c>
    </row>
    <row r="9037" spans="1:24">
      <c r="A9037">
        <f>HYPERLINK("https://www.philgeps.gov.ph/GEPSNONPILOT/Tender/SplashBidNoticeAbstractUI.aspx?menuIndex=3&amp;refID=7062484&amp;Result=3","7062484")</f>
        <v>0</v>
      </c>
      <c r="B9037" t="s">
        <v>2173</v>
      </c>
      <c r="C9037" t="s">
        <v>12015</v>
      </c>
      <c r="D9037" t="s">
        <v>16664</v>
      </c>
      <c r="E9037" t="s">
        <v>24568</v>
      </c>
      <c r="F9037" t="s">
        <v>28669</v>
      </c>
      <c r="G9037" t="s">
        <v>28675</v>
      </c>
      <c r="H9037" t="s">
        <v>9998</v>
      </c>
      <c r="I9037" t="s">
        <v>28717</v>
      </c>
      <c r="J9037" t="s">
        <v>29916</v>
      </c>
      <c r="K9037" t="s">
        <v>37206</v>
      </c>
      <c r="M9037" t="s">
        <v>39822</v>
      </c>
      <c r="N9037" t="s">
        <v>41249</v>
      </c>
      <c r="O9037" t="s">
        <v>41250</v>
      </c>
      <c r="P9037">
        <v>0</v>
      </c>
      <c r="Q9037">
        <v>5</v>
      </c>
      <c r="R9037" t="s">
        <v>41259</v>
      </c>
      <c r="S9037" t="s">
        <v>41562</v>
      </c>
      <c r="T9037" t="s">
        <v>42765</v>
      </c>
      <c r="U9037" t="s">
        <v>50517</v>
      </c>
      <c r="V9037" t="s">
        <v>55265</v>
      </c>
      <c r="W9037" t="s">
        <v>39822</v>
      </c>
      <c r="X9037" t="s">
        <v>41260</v>
      </c>
    </row>
    <row r="9038" spans="1:24">
      <c r="A9038">
        <f>HYPERLINK("https://www.philgeps.gov.ph/GEPSNONPILOT/Tender/SplashBidNoticeAbstractUI.aspx?menuIndex=3&amp;refID=7062483&amp;Result=3","7062483")</f>
        <v>0</v>
      </c>
      <c r="B9038" t="s">
        <v>2706</v>
      </c>
      <c r="C9038" t="s">
        <v>12016</v>
      </c>
      <c r="D9038" t="s">
        <v>16639</v>
      </c>
      <c r="E9038" t="s">
        <v>17051</v>
      </c>
      <c r="F9038" t="s">
        <v>28669</v>
      </c>
      <c r="G9038" t="s">
        <v>28675</v>
      </c>
      <c r="H9038" t="s">
        <v>28684</v>
      </c>
      <c r="I9038" t="s">
        <v>28756</v>
      </c>
      <c r="J9038" t="s">
        <v>30564</v>
      </c>
      <c r="K9038" t="s">
        <v>37272</v>
      </c>
      <c r="M9038" t="s">
        <v>40416</v>
      </c>
      <c r="N9038" t="s">
        <v>41249</v>
      </c>
      <c r="O9038" t="s">
        <v>41250</v>
      </c>
      <c r="P9038">
        <v>0</v>
      </c>
      <c r="Q9038">
        <v>0</v>
      </c>
      <c r="R9038" t="s">
        <v>41259</v>
      </c>
      <c r="S9038" t="s">
        <v>41562</v>
      </c>
      <c r="T9038" t="s">
        <v>42767</v>
      </c>
      <c r="U9038" t="s">
        <v>50518</v>
      </c>
      <c r="W9038" t="s">
        <v>40416</v>
      </c>
      <c r="X9038" t="s">
        <v>41260</v>
      </c>
    </row>
    <row r="9039" spans="1:24">
      <c r="A9039">
        <f>HYPERLINK("https://www.philgeps.gov.ph/GEPSNONPILOT/Tender/SplashBidNoticeAbstractUI.aspx?menuIndex=3&amp;refID=7062548&amp;Result=3","7062548")</f>
        <v>0</v>
      </c>
      <c r="B9039" t="s">
        <v>2682</v>
      </c>
      <c r="C9039" t="s">
        <v>12017</v>
      </c>
      <c r="D9039" t="s">
        <v>16620</v>
      </c>
      <c r="E9039" t="s">
        <v>24569</v>
      </c>
      <c r="F9039" t="s">
        <v>28669</v>
      </c>
      <c r="G9039" t="s">
        <v>28675</v>
      </c>
      <c r="H9039" t="s">
        <v>9998</v>
      </c>
      <c r="I9039" t="s">
        <v>7352</v>
      </c>
      <c r="J9039" t="s">
        <v>34440</v>
      </c>
      <c r="K9039" t="s">
        <v>37210</v>
      </c>
      <c r="M9039" t="s">
        <v>40391</v>
      </c>
      <c r="N9039" t="s">
        <v>41249</v>
      </c>
      <c r="O9039" t="s">
        <v>41250</v>
      </c>
      <c r="P9039">
        <v>0</v>
      </c>
      <c r="Q9039">
        <v>1</v>
      </c>
      <c r="R9039" t="s">
        <v>41259</v>
      </c>
      <c r="S9039" t="s">
        <v>41562</v>
      </c>
      <c r="T9039" t="s">
        <v>42767</v>
      </c>
      <c r="U9039" t="s">
        <v>50480</v>
      </c>
      <c r="W9039" t="s">
        <v>40391</v>
      </c>
      <c r="X9039" t="s">
        <v>41260</v>
      </c>
    </row>
    <row r="9040" spans="1:24">
      <c r="A9040">
        <f>HYPERLINK("https://www.philgeps.gov.ph/GEPSNONPILOT/Tender/SplashBidNoticeAbstractUI.aspx?menuIndex=3&amp;refID=7062541&amp;Result=3","7062541")</f>
        <v>0</v>
      </c>
      <c r="B9040" t="s">
        <v>2707</v>
      </c>
      <c r="C9040" t="s">
        <v>5491</v>
      </c>
      <c r="D9040" t="s">
        <v>16622</v>
      </c>
      <c r="E9040" t="s">
        <v>24570</v>
      </c>
      <c r="F9040" t="s">
        <v>28671</v>
      </c>
      <c r="G9040" t="s">
        <v>28675</v>
      </c>
      <c r="H9040" t="s">
        <v>9998</v>
      </c>
      <c r="I9040" t="s">
        <v>7352</v>
      </c>
      <c r="J9040" t="s">
        <v>28826</v>
      </c>
      <c r="K9040" t="s">
        <v>37216</v>
      </c>
      <c r="M9040" t="s">
        <v>40417</v>
      </c>
      <c r="N9040" t="s">
        <v>41249</v>
      </c>
      <c r="O9040" t="s">
        <v>41250</v>
      </c>
      <c r="P9040">
        <v>0</v>
      </c>
      <c r="Q9040">
        <v>1</v>
      </c>
      <c r="R9040" t="s">
        <v>41259</v>
      </c>
      <c r="S9040" t="s">
        <v>41562</v>
      </c>
      <c r="T9040" t="s">
        <v>42764</v>
      </c>
      <c r="U9040" t="s">
        <v>50519</v>
      </c>
      <c r="W9040" t="s">
        <v>40417</v>
      </c>
      <c r="X9040" t="s">
        <v>41260</v>
      </c>
    </row>
    <row r="9041" spans="1:24">
      <c r="A9041">
        <f>HYPERLINK("https://www.philgeps.gov.ph/GEPSNONPILOT/Tender/SplashBidNoticeAbstractUI.aspx?menuIndex=3&amp;refID=7062538&amp;Result=3","7062538")</f>
        <v>0</v>
      </c>
      <c r="B9041" t="s">
        <v>2708</v>
      </c>
      <c r="C9041" t="s">
        <v>12018</v>
      </c>
      <c r="D9041" t="s">
        <v>16609</v>
      </c>
      <c r="E9041" t="s">
        <v>18429</v>
      </c>
      <c r="F9041" t="s">
        <v>28669</v>
      </c>
      <c r="G9041" t="s">
        <v>28675</v>
      </c>
      <c r="H9041" t="s">
        <v>28686</v>
      </c>
      <c r="I9041" t="s">
        <v>28689</v>
      </c>
      <c r="J9041" t="s">
        <v>34441</v>
      </c>
      <c r="K9041" t="s">
        <v>37209</v>
      </c>
      <c r="M9041" t="s">
        <v>40418</v>
      </c>
      <c r="N9041" t="s">
        <v>41249</v>
      </c>
      <c r="O9041" t="s">
        <v>41250</v>
      </c>
      <c r="P9041">
        <v>0</v>
      </c>
      <c r="Q9041">
        <v>0</v>
      </c>
      <c r="R9041" t="s">
        <v>41259</v>
      </c>
      <c r="S9041" t="s">
        <v>41562</v>
      </c>
      <c r="T9041" t="s">
        <v>43046</v>
      </c>
      <c r="U9041" t="s">
        <v>50520</v>
      </c>
      <c r="W9041" t="s">
        <v>40418</v>
      </c>
      <c r="X9041" t="s">
        <v>41260</v>
      </c>
    </row>
    <row r="9042" spans="1:24">
      <c r="A9042">
        <f>HYPERLINK("https://www.philgeps.gov.ph/GEPSNONPILOT/Tender/SplashBidNoticeAbstractUI.aspx?menuIndex=3&amp;refID=7062519&amp;Result=3","7062519")</f>
        <v>0</v>
      </c>
      <c r="B9042" t="s">
        <v>720</v>
      </c>
      <c r="C9042" t="s">
        <v>12019</v>
      </c>
      <c r="D9042" t="s">
        <v>16640</v>
      </c>
      <c r="E9042" t="s">
        <v>24571</v>
      </c>
      <c r="F9042" t="s">
        <v>28669</v>
      </c>
      <c r="G9042" t="s">
        <v>28675</v>
      </c>
      <c r="H9042" t="s">
        <v>9998</v>
      </c>
      <c r="I9042" t="s">
        <v>7352</v>
      </c>
      <c r="J9042" t="s">
        <v>34442</v>
      </c>
      <c r="K9042" t="s">
        <v>37205</v>
      </c>
      <c r="M9042" t="s">
        <v>40419</v>
      </c>
      <c r="N9042" t="s">
        <v>41249</v>
      </c>
      <c r="O9042" t="s">
        <v>41250</v>
      </c>
      <c r="P9042">
        <v>0</v>
      </c>
      <c r="Q9042">
        <v>1</v>
      </c>
      <c r="R9042" t="s">
        <v>41259</v>
      </c>
      <c r="S9042" t="s">
        <v>41562</v>
      </c>
      <c r="T9042" t="s">
        <v>42712</v>
      </c>
      <c r="U9042" t="s">
        <v>50521</v>
      </c>
      <c r="V9042" t="s">
        <v>55266</v>
      </c>
      <c r="W9042" t="s">
        <v>55928</v>
      </c>
      <c r="X9042" t="s">
        <v>41260</v>
      </c>
    </row>
    <row r="9043" spans="1:24">
      <c r="A9043">
        <f>HYPERLINK("https://www.philgeps.gov.ph/GEPSNONPILOT/Tender/SplashBidNoticeAbstractUI.aspx?menuIndex=3&amp;refID=7062536&amp;Result=3","7062536")</f>
        <v>0</v>
      </c>
      <c r="B9043" t="s">
        <v>2709</v>
      </c>
      <c r="C9043" t="s">
        <v>12020</v>
      </c>
      <c r="E9043" t="s">
        <v>24572</v>
      </c>
      <c r="F9043" t="s">
        <v>28669</v>
      </c>
      <c r="G9043" t="s">
        <v>28675</v>
      </c>
      <c r="H9043" t="s">
        <v>28686</v>
      </c>
      <c r="I9043" t="s">
        <v>28689</v>
      </c>
      <c r="J9043" t="s">
        <v>29034</v>
      </c>
      <c r="K9043" t="s">
        <v>37209</v>
      </c>
      <c r="M9043" t="s">
        <v>40420</v>
      </c>
      <c r="N9043" t="s">
        <v>41249</v>
      </c>
      <c r="O9043" t="s">
        <v>41250</v>
      </c>
      <c r="P9043">
        <v>0</v>
      </c>
      <c r="Q9043">
        <v>0</v>
      </c>
      <c r="R9043" t="s">
        <v>41259</v>
      </c>
      <c r="S9043" t="s">
        <v>41562</v>
      </c>
      <c r="T9043" t="s">
        <v>43047</v>
      </c>
      <c r="U9043" t="s">
        <v>50522</v>
      </c>
      <c r="W9043" t="s">
        <v>40420</v>
      </c>
      <c r="X9043" t="s">
        <v>41260</v>
      </c>
    </row>
    <row r="9044" spans="1:24">
      <c r="A9044">
        <f>HYPERLINK("https://www.philgeps.gov.ph/GEPSNONPILOT/Tender/SplashBidNoticeAbstractUI.aspx?menuIndex=3&amp;refID=7062533&amp;Result=3","7062533")</f>
        <v>0</v>
      </c>
      <c r="B9044" t="s">
        <v>1472</v>
      </c>
      <c r="C9044" t="s">
        <v>12021</v>
      </c>
      <c r="D9044" t="s">
        <v>16630</v>
      </c>
      <c r="E9044" t="s">
        <v>24573</v>
      </c>
      <c r="F9044" t="s">
        <v>28669</v>
      </c>
      <c r="G9044" t="s">
        <v>28675</v>
      </c>
      <c r="H9044" t="s">
        <v>9998</v>
      </c>
      <c r="I9044" t="s">
        <v>28694</v>
      </c>
      <c r="J9044" t="s">
        <v>34443</v>
      </c>
      <c r="K9044" t="s">
        <v>37221</v>
      </c>
      <c r="M9044" t="s">
        <v>39040</v>
      </c>
      <c r="N9044" t="s">
        <v>41249</v>
      </c>
      <c r="O9044" t="s">
        <v>41250</v>
      </c>
      <c r="P9044">
        <v>0</v>
      </c>
      <c r="Q9044">
        <v>0</v>
      </c>
      <c r="R9044" t="s">
        <v>41259</v>
      </c>
      <c r="S9044" t="s">
        <v>41562</v>
      </c>
      <c r="T9044" t="s">
        <v>42747</v>
      </c>
      <c r="U9044" t="s">
        <v>50523</v>
      </c>
      <c r="W9044" t="s">
        <v>39040</v>
      </c>
      <c r="X9044" t="s">
        <v>41260</v>
      </c>
    </row>
    <row r="9045" spans="1:24">
      <c r="A9045">
        <f>HYPERLINK("https://www.philgeps.gov.ph/GEPSNONPILOT/Tender/SplashBidNoticeAbstractUI.aspx?menuIndex=3&amp;refID=7062524&amp;Result=3","7062524")</f>
        <v>0</v>
      </c>
      <c r="B9045" t="s">
        <v>2710</v>
      </c>
      <c r="C9045" t="s">
        <v>12022</v>
      </c>
      <c r="D9045" t="s">
        <v>16662</v>
      </c>
      <c r="E9045" t="s">
        <v>24574</v>
      </c>
      <c r="F9045" t="s">
        <v>28669</v>
      </c>
      <c r="G9045" t="s">
        <v>28675</v>
      </c>
      <c r="H9045" t="s">
        <v>9998</v>
      </c>
      <c r="I9045" t="s">
        <v>3718</v>
      </c>
      <c r="J9045" t="s">
        <v>29126</v>
      </c>
      <c r="K9045" t="s">
        <v>37206</v>
      </c>
      <c r="M9045" t="s">
        <v>40421</v>
      </c>
      <c r="N9045" t="s">
        <v>41249</v>
      </c>
      <c r="O9045" t="s">
        <v>41250</v>
      </c>
      <c r="P9045">
        <v>0</v>
      </c>
      <c r="Q9045">
        <v>2</v>
      </c>
      <c r="R9045" t="s">
        <v>41259</v>
      </c>
      <c r="S9045" t="s">
        <v>41562</v>
      </c>
      <c r="T9045" t="s">
        <v>42722</v>
      </c>
      <c r="U9045" t="s">
        <v>50524</v>
      </c>
      <c r="W9045" t="s">
        <v>40421</v>
      </c>
      <c r="X9045" t="s">
        <v>41260</v>
      </c>
    </row>
    <row r="9046" spans="1:24">
      <c r="A9046">
        <f>HYPERLINK("https://www.philgeps.gov.ph/GEPSNONPILOT/Tender/SplashBidNoticeAbstractUI.aspx?menuIndex=3&amp;refID=7062477&amp;Result=3","7062477")</f>
        <v>0</v>
      </c>
      <c r="B9046" t="s">
        <v>2660</v>
      </c>
      <c r="C9046" t="s">
        <v>12023</v>
      </c>
      <c r="D9046" t="s">
        <v>16673</v>
      </c>
      <c r="E9046" t="s">
        <v>24575</v>
      </c>
      <c r="F9046" t="s">
        <v>28669</v>
      </c>
      <c r="G9046" t="s">
        <v>28675</v>
      </c>
      <c r="H9046" t="s">
        <v>9998</v>
      </c>
      <c r="I9046" t="s">
        <v>28792</v>
      </c>
      <c r="J9046" t="s">
        <v>30342</v>
      </c>
      <c r="K9046" t="s">
        <v>37220</v>
      </c>
      <c r="M9046" t="s">
        <v>40365</v>
      </c>
      <c r="N9046" t="s">
        <v>41249</v>
      </c>
      <c r="O9046" t="s">
        <v>41250</v>
      </c>
      <c r="P9046">
        <v>0</v>
      </c>
      <c r="Q9046">
        <v>9</v>
      </c>
      <c r="R9046" t="s">
        <v>41259</v>
      </c>
      <c r="S9046" t="s">
        <v>41562</v>
      </c>
      <c r="T9046" t="s">
        <v>42658</v>
      </c>
      <c r="U9046" t="s">
        <v>50525</v>
      </c>
      <c r="W9046" t="s">
        <v>40365</v>
      </c>
      <c r="X9046" t="s">
        <v>41260</v>
      </c>
    </row>
    <row r="9047" spans="1:24">
      <c r="A9047">
        <f>HYPERLINK("https://www.philgeps.gov.ph/GEPSNONPILOT/Tender/SplashBidNoticeAbstractUI.aspx?menuIndex=3&amp;refID=7062476&amp;Result=3","7062476")</f>
        <v>0</v>
      </c>
      <c r="B9047" t="s">
        <v>1970</v>
      </c>
      <c r="C9047" t="s">
        <v>12024</v>
      </c>
      <c r="D9047" t="s">
        <v>16651</v>
      </c>
      <c r="E9047" t="s">
        <v>24576</v>
      </c>
      <c r="F9047" t="s">
        <v>28669</v>
      </c>
      <c r="G9047" t="s">
        <v>28675</v>
      </c>
      <c r="H9047" t="s">
        <v>28686</v>
      </c>
      <c r="I9047" t="s">
        <v>28689</v>
      </c>
      <c r="J9047" t="s">
        <v>34422</v>
      </c>
      <c r="K9047" t="s">
        <v>37297</v>
      </c>
      <c r="M9047" t="s">
        <v>39604</v>
      </c>
      <c r="N9047" t="s">
        <v>41249</v>
      </c>
      <c r="O9047" t="s">
        <v>41250</v>
      </c>
      <c r="P9047">
        <v>0</v>
      </c>
      <c r="Q9047">
        <v>4</v>
      </c>
      <c r="R9047" t="s">
        <v>41259</v>
      </c>
      <c r="S9047" t="s">
        <v>41562</v>
      </c>
      <c r="T9047" t="s">
        <v>42739</v>
      </c>
      <c r="U9047" t="s">
        <v>50526</v>
      </c>
      <c r="W9047" t="s">
        <v>39604</v>
      </c>
      <c r="X9047" t="s">
        <v>41260</v>
      </c>
    </row>
    <row r="9048" spans="1:24">
      <c r="A9048">
        <f>HYPERLINK("https://www.philgeps.gov.ph/GEPSNONPILOT/Tender/SplashBidNoticeAbstractUI.aspx?menuIndex=3&amp;refID=7062473&amp;Result=3","7062473")</f>
        <v>0</v>
      </c>
      <c r="B9048" t="s">
        <v>720</v>
      </c>
      <c r="C9048" t="s">
        <v>12025</v>
      </c>
      <c r="D9048" t="s">
        <v>16640</v>
      </c>
      <c r="E9048" t="s">
        <v>24577</v>
      </c>
      <c r="F9048" t="s">
        <v>28669</v>
      </c>
      <c r="G9048" t="s">
        <v>28677</v>
      </c>
      <c r="H9048" t="s">
        <v>9998</v>
      </c>
      <c r="I9048" t="s">
        <v>28697</v>
      </c>
      <c r="J9048" t="s">
        <v>34444</v>
      </c>
      <c r="K9048" t="s">
        <v>37204</v>
      </c>
      <c r="M9048" t="s">
        <v>40419</v>
      </c>
      <c r="N9048" t="s">
        <v>41249</v>
      </c>
      <c r="O9048" t="s">
        <v>41250</v>
      </c>
      <c r="P9048">
        <v>0</v>
      </c>
      <c r="Q9048">
        <v>3</v>
      </c>
      <c r="R9048" t="s">
        <v>41259</v>
      </c>
      <c r="S9048" t="s">
        <v>41562</v>
      </c>
      <c r="T9048" t="s">
        <v>42758</v>
      </c>
      <c r="U9048" t="s">
        <v>50527</v>
      </c>
      <c r="W9048" t="s">
        <v>55928</v>
      </c>
      <c r="X9048" t="s">
        <v>41260</v>
      </c>
    </row>
    <row r="9049" spans="1:24">
      <c r="A9049">
        <f>HYPERLINK("https://www.philgeps.gov.ph/GEPSNONPILOT/Tender/SplashBidNoticeAbstractUI.aspx?menuIndex=3&amp;refID=7062480&amp;Result=3","7062480")</f>
        <v>0</v>
      </c>
      <c r="B9049" t="s">
        <v>2711</v>
      </c>
      <c r="C9049" t="s">
        <v>12026</v>
      </c>
      <c r="D9049" t="s">
        <v>16637</v>
      </c>
      <c r="E9049" t="s">
        <v>24578</v>
      </c>
      <c r="F9049" t="s">
        <v>28669</v>
      </c>
      <c r="G9049" t="s">
        <v>28675</v>
      </c>
      <c r="H9049" t="s">
        <v>9998</v>
      </c>
      <c r="I9049" t="s">
        <v>7352</v>
      </c>
      <c r="J9049" t="s">
        <v>34445</v>
      </c>
      <c r="K9049" t="s">
        <v>37206</v>
      </c>
      <c r="M9049" t="s">
        <v>40422</v>
      </c>
      <c r="N9049" t="s">
        <v>41249</v>
      </c>
      <c r="O9049" t="s">
        <v>41250</v>
      </c>
      <c r="P9049">
        <v>0</v>
      </c>
      <c r="Q9049">
        <v>0</v>
      </c>
      <c r="R9049" t="s">
        <v>41259</v>
      </c>
      <c r="S9049" t="s">
        <v>41562</v>
      </c>
      <c r="T9049" t="s">
        <v>42736</v>
      </c>
      <c r="U9049" t="s">
        <v>50521</v>
      </c>
      <c r="W9049" t="s">
        <v>40422</v>
      </c>
      <c r="X9049" t="s">
        <v>41260</v>
      </c>
    </row>
    <row r="9050" spans="1:24">
      <c r="A9050">
        <f>HYPERLINK("https://www.philgeps.gov.ph/GEPSNONPILOT/Tender/SplashBidNoticeAbstractUI.aspx?menuIndex=3&amp;refID=7062491&amp;Result=3","7062491")</f>
        <v>0</v>
      </c>
      <c r="B9050" t="s">
        <v>720</v>
      </c>
      <c r="C9050" t="s">
        <v>12027</v>
      </c>
      <c r="D9050" t="s">
        <v>16640</v>
      </c>
      <c r="E9050" t="s">
        <v>24579</v>
      </c>
      <c r="F9050" t="s">
        <v>28669</v>
      </c>
      <c r="G9050" t="s">
        <v>28677</v>
      </c>
      <c r="H9050" t="s">
        <v>9998</v>
      </c>
      <c r="I9050" t="s">
        <v>7352</v>
      </c>
      <c r="J9050" t="s">
        <v>34446</v>
      </c>
      <c r="K9050" t="s">
        <v>37210</v>
      </c>
      <c r="M9050" t="s">
        <v>40419</v>
      </c>
      <c r="N9050" t="s">
        <v>41249</v>
      </c>
      <c r="O9050" t="s">
        <v>41250</v>
      </c>
      <c r="P9050">
        <v>0</v>
      </c>
      <c r="Q9050">
        <v>1</v>
      </c>
      <c r="R9050" t="s">
        <v>41259</v>
      </c>
      <c r="S9050" t="s">
        <v>41562</v>
      </c>
      <c r="T9050" t="s">
        <v>42758</v>
      </c>
      <c r="U9050" t="s">
        <v>50521</v>
      </c>
      <c r="W9050" t="s">
        <v>55928</v>
      </c>
      <c r="X9050" t="s">
        <v>41260</v>
      </c>
    </row>
    <row r="9051" spans="1:24">
      <c r="A9051">
        <f>HYPERLINK("https://www.philgeps.gov.ph/GEPSNONPILOT/Tender/SplashBidNoticeAbstractUI.aspx?menuIndex=3&amp;refID=7062393&amp;Result=3","7062393")</f>
        <v>0</v>
      </c>
      <c r="B9051" t="s">
        <v>2504</v>
      </c>
      <c r="C9051" t="s">
        <v>12028</v>
      </c>
      <c r="D9051" t="s">
        <v>16621</v>
      </c>
      <c r="E9051" t="s">
        <v>24580</v>
      </c>
      <c r="F9051" t="s">
        <v>28669</v>
      </c>
      <c r="G9051" t="s">
        <v>28675</v>
      </c>
      <c r="H9051" t="s">
        <v>28686</v>
      </c>
      <c r="I9051" t="s">
        <v>28689</v>
      </c>
      <c r="J9051" t="s">
        <v>28879</v>
      </c>
      <c r="K9051" t="s">
        <v>37221</v>
      </c>
      <c r="M9051" t="s">
        <v>40190</v>
      </c>
      <c r="N9051" t="s">
        <v>41249</v>
      </c>
      <c r="O9051" t="s">
        <v>41250</v>
      </c>
      <c r="P9051">
        <v>0</v>
      </c>
      <c r="Q9051">
        <v>0</v>
      </c>
      <c r="R9051" t="s">
        <v>41259</v>
      </c>
      <c r="S9051" t="s">
        <v>41562</v>
      </c>
      <c r="T9051" t="s">
        <v>42760</v>
      </c>
      <c r="U9051" t="s">
        <v>50528</v>
      </c>
      <c r="W9051" t="s">
        <v>40190</v>
      </c>
      <c r="X9051" t="s">
        <v>41260</v>
      </c>
    </row>
    <row r="9052" spans="1:24">
      <c r="A9052">
        <f>HYPERLINK("https://www.philgeps.gov.ph/GEPSNONPILOT/Tender/SplashBidNoticeAbstractUI.aspx?menuIndex=3&amp;refID=7062549&amp;Result=3","7062549")</f>
        <v>0</v>
      </c>
      <c r="B9052" t="s">
        <v>2712</v>
      </c>
      <c r="C9052" t="s">
        <v>12029</v>
      </c>
      <c r="D9052" t="s">
        <v>16662</v>
      </c>
      <c r="E9052" t="s">
        <v>22561</v>
      </c>
      <c r="F9052" t="s">
        <v>28669</v>
      </c>
      <c r="G9052" t="s">
        <v>28675</v>
      </c>
      <c r="H9052" t="s">
        <v>9998</v>
      </c>
      <c r="I9052" t="s">
        <v>11593</v>
      </c>
      <c r="J9052" t="s">
        <v>34447</v>
      </c>
      <c r="K9052" t="s">
        <v>37206</v>
      </c>
      <c r="M9052" t="s">
        <v>40423</v>
      </c>
      <c r="N9052" t="s">
        <v>41249</v>
      </c>
      <c r="O9052" t="s">
        <v>41250</v>
      </c>
      <c r="P9052">
        <v>0</v>
      </c>
      <c r="Q9052">
        <v>3</v>
      </c>
      <c r="R9052" t="s">
        <v>41259</v>
      </c>
      <c r="S9052" t="s">
        <v>41562</v>
      </c>
      <c r="T9052" t="s">
        <v>43000</v>
      </c>
      <c r="U9052" t="s">
        <v>50529</v>
      </c>
      <c r="W9052" t="s">
        <v>40423</v>
      </c>
      <c r="X9052" t="s">
        <v>41260</v>
      </c>
    </row>
    <row r="9053" spans="1:24">
      <c r="A9053">
        <f>HYPERLINK("https://www.philgeps.gov.ph/GEPSNONPILOT/Tender/SplashBidNoticeAbstractUI.aspx?menuIndex=3&amp;refID=7062591&amp;Result=3","7062591")</f>
        <v>0</v>
      </c>
      <c r="B9053" t="s">
        <v>1970</v>
      </c>
      <c r="C9053" t="s">
        <v>12030</v>
      </c>
      <c r="D9053" t="s">
        <v>16651</v>
      </c>
      <c r="E9053" t="s">
        <v>24581</v>
      </c>
      <c r="F9053" t="s">
        <v>28669</v>
      </c>
      <c r="G9053" t="s">
        <v>28675</v>
      </c>
      <c r="H9053" t="s">
        <v>28686</v>
      </c>
      <c r="I9053" t="s">
        <v>28689</v>
      </c>
      <c r="J9053" t="s">
        <v>34422</v>
      </c>
      <c r="K9053" t="s">
        <v>37297</v>
      </c>
      <c r="M9053" t="s">
        <v>39604</v>
      </c>
      <c r="N9053" t="s">
        <v>41249</v>
      </c>
      <c r="O9053" t="s">
        <v>41250</v>
      </c>
      <c r="P9053">
        <v>0</v>
      </c>
      <c r="Q9053">
        <v>3</v>
      </c>
      <c r="R9053" t="s">
        <v>41259</v>
      </c>
      <c r="S9053" t="s">
        <v>41562</v>
      </c>
      <c r="T9053" t="s">
        <v>42739</v>
      </c>
      <c r="U9053" t="s">
        <v>50530</v>
      </c>
      <c r="W9053" t="s">
        <v>39604</v>
      </c>
      <c r="X9053" t="s">
        <v>41260</v>
      </c>
    </row>
    <row r="9054" spans="1:24">
      <c r="A9054">
        <f>HYPERLINK("https://www.philgeps.gov.ph/GEPSNONPILOT/Tender/SplashBidNoticeAbstractUI.aspx?menuIndex=3&amp;refID=7062588&amp;Result=3","7062588")</f>
        <v>0</v>
      </c>
      <c r="B9054" t="s">
        <v>2430</v>
      </c>
      <c r="C9054" t="s">
        <v>12031</v>
      </c>
      <c r="D9054" t="s">
        <v>16658</v>
      </c>
      <c r="E9054" t="s">
        <v>24582</v>
      </c>
      <c r="F9054" t="s">
        <v>28669</v>
      </c>
      <c r="G9054" t="s">
        <v>28675</v>
      </c>
      <c r="H9054" t="s">
        <v>9998</v>
      </c>
      <c r="I9054" t="s">
        <v>7352</v>
      </c>
      <c r="J9054" t="s">
        <v>34448</v>
      </c>
      <c r="K9054" t="s">
        <v>37210</v>
      </c>
      <c r="L9054" t="s">
        <v>2430</v>
      </c>
      <c r="M9054" t="s">
        <v>40113</v>
      </c>
      <c r="N9054" t="s">
        <v>41249</v>
      </c>
      <c r="O9054" t="s">
        <v>41250</v>
      </c>
      <c r="P9054">
        <v>0</v>
      </c>
      <c r="Q9054">
        <v>1</v>
      </c>
      <c r="R9054" t="s">
        <v>41259</v>
      </c>
      <c r="S9054" t="s">
        <v>41562</v>
      </c>
      <c r="T9054" t="s">
        <v>42739</v>
      </c>
      <c r="U9054" t="s">
        <v>49645</v>
      </c>
      <c r="W9054" t="s">
        <v>40113</v>
      </c>
      <c r="X9054" t="s">
        <v>41260</v>
      </c>
    </row>
    <row r="9055" spans="1:24">
      <c r="A9055">
        <f>HYPERLINK("https://www.philgeps.gov.ph/GEPSNONPILOT/Tender/SplashBidNoticeAbstractUI.aspx?menuIndex=3&amp;refID=7062587&amp;Result=3","7062587")</f>
        <v>0</v>
      </c>
      <c r="B9055" t="s">
        <v>2713</v>
      </c>
      <c r="C9055" t="s">
        <v>12032</v>
      </c>
      <c r="D9055" t="s">
        <v>16686</v>
      </c>
      <c r="E9055" t="s">
        <v>24583</v>
      </c>
      <c r="F9055" t="s">
        <v>28669</v>
      </c>
      <c r="G9055" t="s">
        <v>28675</v>
      </c>
      <c r="H9055" t="s">
        <v>9998</v>
      </c>
      <c r="I9055" t="s">
        <v>3718</v>
      </c>
      <c r="J9055" t="s">
        <v>28838</v>
      </c>
      <c r="K9055" t="s">
        <v>37206</v>
      </c>
      <c r="M9055" t="s">
        <v>40424</v>
      </c>
      <c r="N9055" t="s">
        <v>41249</v>
      </c>
      <c r="O9055" t="s">
        <v>41250</v>
      </c>
      <c r="P9055">
        <v>0</v>
      </c>
      <c r="Q9055">
        <v>1</v>
      </c>
      <c r="R9055" t="s">
        <v>41259</v>
      </c>
      <c r="S9055" t="s">
        <v>41562</v>
      </c>
      <c r="T9055" t="s">
        <v>42706</v>
      </c>
      <c r="U9055" t="s">
        <v>50531</v>
      </c>
      <c r="W9055" t="s">
        <v>40424</v>
      </c>
      <c r="X9055" t="s">
        <v>41260</v>
      </c>
    </row>
    <row r="9056" spans="1:24">
      <c r="A9056">
        <f>HYPERLINK("https://www.philgeps.gov.ph/GEPSNONPILOT/Tender/SplashBidNoticeAbstractUI.aspx?menuIndex=3&amp;refID=7062617&amp;Result=3","7062617")</f>
        <v>0</v>
      </c>
      <c r="B9056" t="s">
        <v>1970</v>
      </c>
      <c r="C9056" t="s">
        <v>12033</v>
      </c>
      <c r="D9056" t="s">
        <v>16651</v>
      </c>
      <c r="E9056" t="s">
        <v>24584</v>
      </c>
      <c r="F9056" t="s">
        <v>28669</v>
      </c>
      <c r="G9056" t="s">
        <v>28675</v>
      </c>
      <c r="H9056" t="s">
        <v>28686</v>
      </c>
      <c r="I9056" t="s">
        <v>28689</v>
      </c>
      <c r="J9056" t="s">
        <v>34422</v>
      </c>
      <c r="K9056" t="s">
        <v>37297</v>
      </c>
      <c r="M9056" t="s">
        <v>39604</v>
      </c>
      <c r="N9056" t="s">
        <v>41249</v>
      </c>
      <c r="O9056" t="s">
        <v>41250</v>
      </c>
      <c r="P9056">
        <v>0</v>
      </c>
      <c r="Q9056">
        <v>5</v>
      </c>
      <c r="R9056" t="s">
        <v>41259</v>
      </c>
      <c r="S9056" t="s">
        <v>41562</v>
      </c>
      <c r="T9056" t="s">
        <v>42739</v>
      </c>
      <c r="U9056" t="s">
        <v>50532</v>
      </c>
      <c r="V9056" t="s">
        <v>55267</v>
      </c>
      <c r="W9056" t="s">
        <v>39604</v>
      </c>
      <c r="X9056" t="s">
        <v>41260</v>
      </c>
    </row>
    <row r="9057" spans="1:24">
      <c r="A9057">
        <f>HYPERLINK("https://www.philgeps.gov.ph/GEPSNONPILOT/Tender/SplashBidNoticeAbstractUI.aspx?menuIndex=3&amp;refID=7062613&amp;Result=3","7062613")</f>
        <v>0</v>
      </c>
      <c r="B9057" t="s">
        <v>1340</v>
      </c>
      <c r="C9057" t="s">
        <v>12034</v>
      </c>
      <c r="D9057" t="s">
        <v>16621</v>
      </c>
      <c r="E9057" t="s">
        <v>24585</v>
      </c>
      <c r="F9057" t="s">
        <v>28669</v>
      </c>
      <c r="G9057" t="s">
        <v>28675</v>
      </c>
      <c r="H9057" t="s">
        <v>28686</v>
      </c>
      <c r="I9057" t="s">
        <v>28689</v>
      </c>
      <c r="J9057" t="s">
        <v>34449</v>
      </c>
      <c r="K9057" t="s">
        <v>37269</v>
      </c>
      <c r="M9057" t="s">
        <v>40372</v>
      </c>
      <c r="N9057" t="s">
        <v>41249</v>
      </c>
      <c r="O9057" t="s">
        <v>41250</v>
      </c>
      <c r="P9057">
        <v>0</v>
      </c>
      <c r="Q9057">
        <v>0</v>
      </c>
      <c r="R9057" t="s">
        <v>41259</v>
      </c>
      <c r="S9057" t="s">
        <v>41562</v>
      </c>
      <c r="T9057" t="s">
        <v>42782</v>
      </c>
      <c r="U9057" t="s">
        <v>50417</v>
      </c>
      <c r="V9057" t="s">
        <v>55245</v>
      </c>
      <c r="W9057" t="s">
        <v>40372</v>
      </c>
      <c r="X9057" t="s">
        <v>41260</v>
      </c>
    </row>
    <row r="9058" spans="1:24">
      <c r="A9058">
        <f>HYPERLINK("https://www.philgeps.gov.ph/GEPSNONPILOT/Tender/SplashBidNoticeAbstractUI.aspx?menuIndex=3&amp;refID=7062608&amp;Result=3","7062608")</f>
        <v>0</v>
      </c>
      <c r="B9058" t="s">
        <v>561</v>
      </c>
      <c r="C9058" t="s">
        <v>4046</v>
      </c>
      <c r="E9058" t="s">
        <v>24586</v>
      </c>
      <c r="F9058" t="s">
        <v>28669</v>
      </c>
      <c r="G9058" t="s">
        <v>28675</v>
      </c>
      <c r="H9058" t="s">
        <v>9998</v>
      </c>
      <c r="I9058" t="s">
        <v>28695</v>
      </c>
      <c r="J9058" t="s">
        <v>34450</v>
      </c>
      <c r="K9058" t="s">
        <v>37209</v>
      </c>
      <c r="M9058" t="s">
        <v>38054</v>
      </c>
      <c r="N9058" t="s">
        <v>41249</v>
      </c>
      <c r="O9058" t="s">
        <v>41250</v>
      </c>
      <c r="P9058">
        <v>0</v>
      </c>
      <c r="Q9058">
        <v>0</v>
      </c>
      <c r="R9058" t="s">
        <v>41259</v>
      </c>
      <c r="S9058" t="s">
        <v>41562</v>
      </c>
      <c r="T9058" t="s">
        <v>43074</v>
      </c>
      <c r="U9058" t="s">
        <v>50533</v>
      </c>
      <c r="W9058" t="s">
        <v>38054</v>
      </c>
      <c r="X9058" t="s">
        <v>41260</v>
      </c>
    </row>
    <row r="9059" spans="1:24">
      <c r="A9059">
        <f>HYPERLINK("https://www.philgeps.gov.ph/GEPSNONPILOT/Tender/SplashBidNoticeAbstractUI.aspx?menuIndex=3&amp;refID=7062607&amp;Result=3","7062607")</f>
        <v>0</v>
      </c>
      <c r="B9059" t="s">
        <v>1970</v>
      </c>
      <c r="C9059" t="s">
        <v>12035</v>
      </c>
      <c r="D9059" t="s">
        <v>16651</v>
      </c>
      <c r="E9059" t="s">
        <v>24587</v>
      </c>
      <c r="F9059" t="s">
        <v>28669</v>
      </c>
      <c r="G9059" t="s">
        <v>28675</v>
      </c>
      <c r="H9059" t="s">
        <v>28686</v>
      </c>
      <c r="I9059" t="s">
        <v>28689</v>
      </c>
      <c r="J9059" t="s">
        <v>34451</v>
      </c>
      <c r="K9059" t="s">
        <v>37358</v>
      </c>
      <c r="M9059" t="s">
        <v>39604</v>
      </c>
      <c r="N9059" t="s">
        <v>41249</v>
      </c>
      <c r="O9059" t="s">
        <v>41250</v>
      </c>
      <c r="P9059">
        <v>0</v>
      </c>
      <c r="Q9059">
        <v>6</v>
      </c>
      <c r="R9059" t="s">
        <v>41259</v>
      </c>
      <c r="S9059" t="s">
        <v>41562</v>
      </c>
      <c r="T9059" t="s">
        <v>42739</v>
      </c>
      <c r="U9059" t="s">
        <v>50534</v>
      </c>
      <c r="W9059" t="s">
        <v>39604</v>
      </c>
      <c r="X9059" t="s">
        <v>41260</v>
      </c>
    </row>
    <row r="9060" spans="1:24">
      <c r="A9060">
        <f>HYPERLINK("https://www.philgeps.gov.ph/GEPSNONPILOT/Tender/SplashBidNoticeAbstractUI.aspx?menuIndex=3&amp;refID=7062556&amp;Result=3","7062556")</f>
        <v>0</v>
      </c>
      <c r="B9060" t="s">
        <v>2660</v>
      </c>
      <c r="C9060" t="s">
        <v>12036</v>
      </c>
      <c r="D9060" t="s">
        <v>16673</v>
      </c>
      <c r="E9060" t="s">
        <v>24588</v>
      </c>
      <c r="F9060" t="s">
        <v>28669</v>
      </c>
      <c r="G9060" t="s">
        <v>28675</v>
      </c>
      <c r="H9060" t="s">
        <v>28684</v>
      </c>
      <c r="I9060" t="s">
        <v>28687</v>
      </c>
      <c r="J9060" t="s">
        <v>29112</v>
      </c>
      <c r="K9060" t="s">
        <v>37220</v>
      </c>
      <c r="M9060" t="s">
        <v>40365</v>
      </c>
      <c r="N9060" t="s">
        <v>41249</v>
      </c>
      <c r="O9060" t="s">
        <v>41250</v>
      </c>
      <c r="P9060">
        <v>0</v>
      </c>
      <c r="Q9060">
        <v>6</v>
      </c>
      <c r="R9060" t="s">
        <v>41259</v>
      </c>
      <c r="S9060" t="s">
        <v>41562</v>
      </c>
      <c r="T9060" t="s">
        <v>42658</v>
      </c>
      <c r="U9060" t="s">
        <v>50535</v>
      </c>
      <c r="W9060" t="s">
        <v>40365</v>
      </c>
      <c r="X9060" t="s">
        <v>41260</v>
      </c>
    </row>
    <row r="9061" spans="1:24">
      <c r="A9061">
        <f>HYPERLINK("https://www.philgeps.gov.ph/GEPSNONPILOT/Tender/SplashBidNoticeAbstractUI.aspx?menuIndex=3&amp;refID=7062662&amp;Result=3","7062662")</f>
        <v>0</v>
      </c>
      <c r="B9061" t="s">
        <v>1970</v>
      </c>
      <c r="C9061" t="s">
        <v>12037</v>
      </c>
      <c r="D9061" t="s">
        <v>16651</v>
      </c>
      <c r="E9061" t="s">
        <v>24589</v>
      </c>
      <c r="F9061" t="s">
        <v>28669</v>
      </c>
      <c r="G9061" t="s">
        <v>28675</v>
      </c>
      <c r="H9061" t="s">
        <v>28686</v>
      </c>
      <c r="I9061" t="s">
        <v>28689</v>
      </c>
      <c r="J9061" t="s">
        <v>34422</v>
      </c>
      <c r="K9061" t="s">
        <v>37297</v>
      </c>
      <c r="M9061" t="s">
        <v>39604</v>
      </c>
      <c r="N9061" t="s">
        <v>41249</v>
      </c>
      <c r="O9061" t="s">
        <v>41250</v>
      </c>
      <c r="P9061">
        <v>0</v>
      </c>
      <c r="Q9061">
        <v>4</v>
      </c>
      <c r="R9061" t="s">
        <v>41259</v>
      </c>
      <c r="S9061" t="s">
        <v>41562</v>
      </c>
      <c r="T9061" t="s">
        <v>42739</v>
      </c>
      <c r="U9061" t="s">
        <v>50536</v>
      </c>
      <c r="W9061" t="s">
        <v>39604</v>
      </c>
      <c r="X9061" t="s">
        <v>41260</v>
      </c>
    </row>
    <row r="9062" spans="1:24">
      <c r="A9062">
        <f>HYPERLINK("https://www.philgeps.gov.ph/GEPSNONPILOT/Tender/SplashBidNoticeAbstractUI.aspx?menuIndex=3&amp;refID=7062596&amp;Result=3","7062596")</f>
        <v>0</v>
      </c>
      <c r="B9062" t="s">
        <v>1340</v>
      </c>
      <c r="C9062" t="s">
        <v>12038</v>
      </c>
      <c r="D9062" t="s">
        <v>16621</v>
      </c>
      <c r="E9062" t="s">
        <v>24590</v>
      </c>
      <c r="F9062" t="s">
        <v>28669</v>
      </c>
      <c r="G9062" t="s">
        <v>28675</v>
      </c>
      <c r="H9062" t="s">
        <v>28686</v>
      </c>
      <c r="I9062" t="s">
        <v>28689</v>
      </c>
      <c r="J9062" t="s">
        <v>34452</v>
      </c>
      <c r="K9062" t="s">
        <v>37269</v>
      </c>
      <c r="M9062" t="s">
        <v>40372</v>
      </c>
      <c r="N9062" t="s">
        <v>41249</v>
      </c>
      <c r="O9062" t="s">
        <v>41250</v>
      </c>
      <c r="Q9062">
        <v>0</v>
      </c>
      <c r="R9062" t="s">
        <v>41259</v>
      </c>
      <c r="S9062" t="s">
        <v>41591</v>
      </c>
      <c r="T9062" t="s">
        <v>42782</v>
      </c>
      <c r="U9062" t="s">
        <v>50537</v>
      </c>
      <c r="V9062" t="s">
        <v>55245</v>
      </c>
      <c r="W9062" t="s">
        <v>40372</v>
      </c>
      <c r="X9062" t="s">
        <v>41260</v>
      </c>
    </row>
    <row r="9063" spans="1:24">
      <c r="A9063">
        <f>HYPERLINK("https://www.philgeps.gov.ph/GEPSNONPILOT/Tender/SplashBidNoticeAbstractUI.aspx?menuIndex=3&amp;refID=7062646&amp;Result=3","7062646")</f>
        <v>0</v>
      </c>
      <c r="B9063" t="s">
        <v>1693</v>
      </c>
      <c r="C9063" t="s">
        <v>12039</v>
      </c>
      <c r="D9063" t="s">
        <v>16684</v>
      </c>
      <c r="E9063" t="s">
        <v>20977</v>
      </c>
      <c r="F9063" t="s">
        <v>28669</v>
      </c>
      <c r="G9063" t="s">
        <v>28675</v>
      </c>
      <c r="H9063" t="s">
        <v>28686</v>
      </c>
      <c r="I9063" t="s">
        <v>28689</v>
      </c>
      <c r="J9063" t="s">
        <v>34453</v>
      </c>
      <c r="K9063" t="s">
        <v>37220</v>
      </c>
      <c r="M9063" t="s">
        <v>39289</v>
      </c>
      <c r="N9063" t="s">
        <v>41249</v>
      </c>
      <c r="O9063" t="s">
        <v>41250</v>
      </c>
      <c r="P9063">
        <v>0</v>
      </c>
      <c r="Q9063">
        <v>1</v>
      </c>
      <c r="R9063" t="s">
        <v>41259</v>
      </c>
      <c r="S9063" t="s">
        <v>41562</v>
      </c>
      <c r="T9063" t="s">
        <v>43080</v>
      </c>
      <c r="U9063" t="s">
        <v>50538</v>
      </c>
      <c r="V9063" t="s">
        <v>55268</v>
      </c>
      <c r="W9063" t="s">
        <v>39289</v>
      </c>
      <c r="X9063" t="s">
        <v>41260</v>
      </c>
    </row>
    <row r="9064" spans="1:24">
      <c r="A9064">
        <f>HYPERLINK("https://www.philgeps.gov.ph/GEPSNONPILOT/Tender/SplashBidNoticeAbstractUI.aspx?menuIndex=3&amp;refID=7062637&amp;Result=3","7062637")</f>
        <v>0</v>
      </c>
      <c r="B9064" t="s">
        <v>2180</v>
      </c>
      <c r="C9064" t="s">
        <v>12040</v>
      </c>
      <c r="D9064" t="s">
        <v>16620</v>
      </c>
      <c r="E9064" t="s">
        <v>24591</v>
      </c>
      <c r="F9064" t="s">
        <v>28671</v>
      </c>
      <c r="G9064" t="s">
        <v>28676</v>
      </c>
      <c r="H9064" t="s">
        <v>9998</v>
      </c>
      <c r="I9064" t="s">
        <v>11142</v>
      </c>
      <c r="J9064" t="s">
        <v>30803</v>
      </c>
      <c r="K9064" t="s">
        <v>37204</v>
      </c>
      <c r="M9064" t="s">
        <v>39829</v>
      </c>
      <c r="N9064" t="s">
        <v>41249</v>
      </c>
      <c r="O9064" t="s">
        <v>41250</v>
      </c>
      <c r="P9064">
        <v>0</v>
      </c>
      <c r="Q9064">
        <v>3</v>
      </c>
      <c r="R9064" t="s">
        <v>41259</v>
      </c>
      <c r="S9064" t="s">
        <v>41562</v>
      </c>
      <c r="T9064" t="s">
        <v>42754</v>
      </c>
      <c r="U9064" t="s">
        <v>48714</v>
      </c>
      <c r="V9064" t="s">
        <v>55036</v>
      </c>
      <c r="W9064" t="s">
        <v>55981</v>
      </c>
      <c r="X9064" t="s">
        <v>41260</v>
      </c>
    </row>
    <row r="9065" spans="1:24">
      <c r="A9065">
        <f>HYPERLINK("https://www.philgeps.gov.ph/GEPSNONPILOT/Tender/SplashBidNoticeAbstractUI.aspx?menuIndex=3&amp;refID=7062631&amp;Result=3","7062631")</f>
        <v>0</v>
      </c>
      <c r="B9065" t="s">
        <v>737</v>
      </c>
      <c r="C9065" t="s">
        <v>12041</v>
      </c>
      <c r="D9065" t="s">
        <v>16669</v>
      </c>
      <c r="E9065" t="s">
        <v>24592</v>
      </c>
      <c r="F9065" t="s">
        <v>28669</v>
      </c>
      <c r="G9065" t="s">
        <v>28675</v>
      </c>
      <c r="H9065" t="s">
        <v>9998</v>
      </c>
      <c r="I9065" t="s">
        <v>7352</v>
      </c>
      <c r="J9065" t="s">
        <v>34454</v>
      </c>
      <c r="K9065" t="s">
        <v>37210</v>
      </c>
      <c r="M9065" t="s">
        <v>38246</v>
      </c>
      <c r="N9065" t="s">
        <v>41249</v>
      </c>
      <c r="O9065" t="s">
        <v>41250</v>
      </c>
      <c r="P9065">
        <v>0</v>
      </c>
      <c r="Q9065">
        <v>0</v>
      </c>
      <c r="R9065" t="s">
        <v>41259</v>
      </c>
      <c r="S9065" t="s">
        <v>41562</v>
      </c>
      <c r="T9065" t="s">
        <v>42883</v>
      </c>
      <c r="U9065" t="s">
        <v>50539</v>
      </c>
      <c r="W9065" t="s">
        <v>38246</v>
      </c>
      <c r="X9065" t="s">
        <v>41260</v>
      </c>
    </row>
    <row r="9066" spans="1:24">
      <c r="A9066">
        <f>HYPERLINK("https://www.philgeps.gov.ph/GEPSNONPILOT/Tender/SplashBidNoticeAbstractUI.aspx?menuIndex=3&amp;refID=7062659&amp;Result=3","7062659")</f>
        <v>0</v>
      </c>
      <c r="B9066" t="s">
        <v>578</v>
      </c>
      <c r="C9066" t="s">
        <v>12042</v>
      </c>
      <c r="D9066" t="s">
        <v>16616</v>
      </c>
      <c r="E9066" t="s">
        <v>24593</v>
      </c>
      <c r="F9066" t="s">
        <v>28669</v>
      </c>
      <c r="G9066" t="s">
        <v>28675</v>
      </c>
      <c r="H9066" t="s">
        <v>9998</v>
      </c>
      <c r="I9066" t="s">
        <v>11142</v>
      </c>
      <c r="J9066" t="s">
        <v>34455</v>
      </c>
      <c r="K9066" t="s">
        <v>37205</v>
      </c>
      <c r="M9066" t="s">
        <v>38077</v>
      </c>
      <c r="N9066" t="s">
        <v>41249</v>
      </c>
      <c r="O9066" t="s">
        <v>41250</v>
      </c>
      <c r="P9066">
        <v>0</v>
      </c>
      <c r="Q9066">
        <v>0</v>
      </c>
      <c r="R9066" t="s">
        <v>41259</v>
      </c>
      <c r="S9066" t="s">
        <v>41562</v>
      </c>
      <c r="T9066" t="s">
        <v>42707</v>
      </c>
      <c r="U9066" t="s">
        <v>50540</v>
      </c>
      <c r="V9066" t="s">
        <v>55269</v>
      </c>
      <c r="W9066" t="s">
        <v>38077</v>
      </c>
      <c r="X9066" t="s">
        <v>41260</v>
      </c>
    </row>
    <row r="9067" spans="1:24">
      <c r="A9067">
        <f>HYPERLINK("https://www.philgeps.gov.ph/GEPSNONPILOT/Tender/SplashBidNoticeAbstractUI.aspx?menuIndex=3&amp;refID=7062634&amp;Result=3","7062634")</f>
        <v>0</v>
      </c>
      <c r="B9067" t="s">
        <v>561</v>
      </c>
      <c r="C9067" t="s">
        <v>12043</v>
      </c>
      <c r="E9067" t="s">
        <v>24594</v>
      </c>
      <c r="F9067" t="s">
        <v>28669</v>
      </c>
      <c r="G9067" t="s">
        <v>28675</v>
      </c>
      <c r="H9067" t="s">
        <v>9998</v>
      </c>
      <c r="I9067" t="s">
        <v>28704</v>
      </c>
      <c r="J9067" t="s">
        <v>34456</v>
      </c>
      <c r="K9067" t="s">
        <v>37209</v>
      </c>
      <c r="M9067" t="s">
        <v>38054</v>
      </c>
      <c r="N9067" t="s">
        <v>41249</v>
      </c>
      <c r="O9067" t="s">
        <v>41250</v>
      </c>
      <c r="P9067">
        <v>0</v>
      </c>
      <c r="Q9067">
        <v>0</v>
      </c>
      <c r="R9067" t="s">
        <v>41259</v>
      </c>
      <c r="S9067" t="s">
        <v>41562</v>
      </c>
      <c r="T9067" t="s">
        <v>43074</v>
      </c>
      <c r="U9067" t="s">
        <v>50541</v>
      </c>
      <c r="W9067" t="s">
        <v>38054</v>
      </c>
      <c r="X9067" t="s">
        <v>41260</v>
      </c>
    </row>
    <row r="9068" spans="1:24">
      <c r="A9068">
        <f>HYPERLINK("https://www.philgeps.gov.ph/GEPSNONPILOT/Tender/SplashBidNoticeAbstractUI.aspx?menuIndex=3&amp;refID=7062618&amp;Result=3","7062618")</f>
        <v>0</v>
      </c>
      <c r="B9068" t="s">
        <v>561</v>
      </c>
      <c r="C9068" t="s">
        <v>12044</v>
      </c>
      <c r="E9068" t="s">
        <v>24595</v>
      </c>
      <c r="F9068" t="s">
        <v>28669</v>
      </c>
      <c r="G9068" t="s">
        <v>28675</v>
      </c>
      <c r="H9068" t="s">
        <v>9998</v>
      </c>
      <c r="I9068" t="s">
        <v>28773</v>
      </c>
      <c r="J9068" t="s">
        <v>29040</v>
      </c>
      <c r="K9068" t="s">
        <v>37209</v>
      </c>
      <c r="M9068" t="s">
        <v>38054</v>
      </c>
      <c r="N9068" t="s">
        <v>41249</v>
      </c>
      <c r="O9068" t="s">
        <v>41250</v>
      </c>
      <c r="P9068">
        <v>0</v>
      </c>
      <c r="Q9068">
        <v>1</v>
      </c>
      <c r="R9068" t="s">
        <v>41259</v>
      </c>
      <c r="S9068" t="s">
        <v>41562</v>
      </c>
      <c r="T9068" t="s">
        <v>43074</v>
      </c>
      <c r="U9068" t="s">
        <v>50542</v>
      </c>
      <c r="W9068" t="s">
        <v>38054</v>
      </c>
      <c r="X9068" t="s">
        <v>41260</v>
      </c>
    </row>
    <row r="9069" spans="1:24">
      <c r="A9069">
        <f>HYPERLINK("https://www.philgeps.gov.ph/GEPSNONPILOT/Tender/SplashBidNoticeAbstractUI.aspx?menuIndex=3&amp;refID=7062669&amp;Result=3","7062669")</f>
        <v>0</v>
      </c>
      <c r="B9069" t="s">
        <v>2714</v>
      </c>
      <c r="C9069" t="s">
        <v>12045</v>
      </c>
      <c r="D9069" t="s">
        <v>16622</v>
      </c>
      <c r="E9069" t="s">
        <v>16861</v>
      </c>
      <c r="F9069" t="s">
        <v>28669</v>
      </c>
      <c r="G9069" t="s">
        <v>28675</v>
      </c>
      <c r="H9069" t="s">
        <v>28686</v>
      </c>
      <c r="I9069" t="s">
        <v>28696</v>
      </c>
      <c r="J9069" t="s">
        <v>28905</v>
      </c>
      <c r="K9069" t="s">
        <v>37215</v>
      </c>
      <c r="M9069" t="s">
        <v>40425</v>
      </c>
      <c r="N9069" t="s">
        <v>41249</v>
      </c>
      <c r="O9069" t="s">
        <v>41250</v>
      </c>
      <c r="P9069">
        <v>0</v>
      </c>
      <c r="Q9069">
        <v>1</v>
      </c>
      <c r="R9069" t="s">
        <v>41259</v>
      </c>
      <c r="S9069" t="s">
        <v>41562</v>
      </c>
      <c r="T9069" t="s">
        <v>42738</v>
      </c>
      <c r="U9069" t="s">
        <v>45694</v>
      </c>
      <c r="W9069" t="s">
        <v>40425</v>
      </c>
      <c r="X9069" t="s">
        <v>41260</v>
      </c>
    </row>
    <row r="9070" spans="1:24">
      <c r="A9070">
        <f>HYPERLINK("https://www.philgeps.gov.ph/GEPSNONPILOT/Tender/SplashBidNoticeAbstractUI.aspx?menuIndex=3&amp;refID=7062583&amp;Result=3","7062583")</f>
        <v>0</v>
      </c>
      <c r="B9070" t="s">
        <v>849</v>
      </c>
      <c r="C9070" t="s">
        <v>10944</v>
      </c>
      <c r="D9070" t="s">
        <v>16626</v>
      </c>
      <c r="E9070" t="s">
        <v>24596</v>
      </c>
      <c r="F9070" t="s">
        <v>28669</v>
      </c>
      <c r="G9070" t="s">
        <v>28676</v>
      </c>
      <c r="H9070" t="s">
        <v>9998</v>
      </c>
      <c r="I9070" t="s">
        <v>15140</v>
      </c>
      <c r="J9070" t="s">
        <v>29157</v>
      </c>
      <c r="K9070" t="s">
        <v>37209</v>
      </c>
      <c r="M9070" t="s">
        <v>38365</v>
      </c>
      <c r="N9070" t="s">
        <v>41249</v>
      </c>
      <c r="O9070" t="s">
        <v>41250</v>
      </c>
      <c r="P9070">
        <v>0</v>
      </c>
      <c r="Q9070">
        <v>0</v>
      </c>
      <c r="R9070" t="s">
        <v>41259</v>
      </c>
      <c r="S9070" t="s">
        <v>41562</v>
      </c>
      <c r="T9070" t="s">
        <v>42727</v>
      </c>
      <c r="U9070" t="s">
        <v>44865</v>
      </c>
      <c r="W9070" t="s">
        <v>38365</v>
      </c>
      <c r="X9070" t="s">
        <v>41260</v>
      </c>
    </row>
    <row r="9071" spans="1:24">
      <c r="A9071">
        <f>HYPERLINK("https://www.philgeps.gov.ph/GEPSNONPILOT/Tender/SplashBidNoticeAbstractUI.aspx?menuIndex=3&amp;refID=7062763&amp;Result=3","7062763")</f>
        <v>0</v>
      </c>
      <c r="B9071" t="s">
        <v>2715</v>
      </c>
      <c r="C9071" t="s">
        <v>12046</v>
      </c>
      <c r="D9071" t="s">
        <v>16611</v>
      </c>
      <c r="E9071" t="s">
        <v>17101</v>
      </c>
      <c r="F9071" t="s">
        <v>28669</v>
      </c>
      <c r="G9071" t="s">
        <v>28675</v>
      </c>
      <c r="H9071" t="s">
        <v>28686</v>
      </c>
      <c r="I9071" t="s">
        <v>28689</v>
      </c>
      <c r="J9071" t="s">
        <v>28859</v>
      </c>
      <c r="K9071" t="s">
        <v>37221</v>
      </c>
      <c r="M9071" t="s">
        <v>40426</v>
      </c>
      <c r="N9071" t="s">
        <v>41249</v>
      </c>
      <c r="O9071" t="s">
        <v>41250</v>
      </c>
      <c r="P9071">
        <v>0</v>
      </c>
      <c r="Q9071">
        <v>0</v>
      </c>
      <c r="R9071" t="s">
        <v>41259</v>
      </c>
      <c r="S9071" t="s">
        <v>41562</v>
      </c>
      <c r="T9071" t="s">
        <v>42750</v>
      </c>
      <c r="U9071" t="s">
        <v>45991</v>
      </c>
      <c r="W9071" t="s">
        <v>40426</v>
      </c>
      <c r="X9071" t="s">
        <v>41260</v>
      </c>
    </row>
    <row r="9072" spans="1:24">
      <c r="A9072">
        <f>HYPERLINK("https://www.philgeps.gov.ph/GEPSNONPILOT/Tender/SplashBidNoticeAbstractUI.aspx?menuIndex=3&amp;refID=7062762&amp;Result=3","7062762")</f>
        <v>0</v>
      </c>
      <c r="B9072" t="s">
        <v>2049</v>
      </c>
      <c r="C9072" t="s">
        <v>12047</v>
      </c>
      <c r="D9072" t="s">
        <v>16648</v>
      </c>
      <c r="E9072" t="s">
        <v>24597</v>
      </c>
      <c r="F9072" t="s">
        <v>28669</v>
      </c>
      <c r="G9072" t="s">
        <v>28675</v>
      </c>
      <c r="H9072" t="s">
        <v>9998</v>
      </c>
      <c r="I9072" t="s">
        <v>7352</v>
      </c>
      <c r="J9072" t="s">
        <v>34457</v>
      </c>
      <c r="K9072" t="s">
        <v>37209</v>
      </c>
      <c r="M9072" t="s">
        <v>39689</v>
      </c>
      <c r="N9072" t="s">
        <v>41249</v>
      </c>
      <c r="O9072" t="s">
        <v>41250</v>
      </c>
      <c r="P9072">
        <v>0</v>
      </c>
      <c r="Q9072">
        <v>0</v>
      </c>
      <c r="R9072" t="s">
        <v>41259</v>
      </c>
      <c r="S9072" t="s">
        <v>41562</v>
      </c>
      <c r="T9072" t="s">
        <v>42767</v>
      </c>
      <c r="U9072" t="s">
        <v>48255</v>
      </c>
      <c r="W9072" t="s">
        <v>39689</v>
      </c>
      <c r="X9072" t="s">
        <v>41260</v>
      </c>
    </row>
    <row r="9073" spans="1:24">
      <c r="A9073">
        <f>HYPERLINK("https://www.philgeps.gov.ph/GEPSNONPILOT/Tender/SplashBidNoticeAbstractUI.aspx?menuIndex=3&amp;refID=7062761&amp;Result=3","7062761")</f>
        <v>0</v>
      </c>
      <c r="B9073" t="s">
        <v>577</v>
      </c>
      <c r="C9073" t="s">
        <v>12048</v>
      </c>
      <c r="D9073" t="s">
        <v>16626</v>
      </c>
      <c r="E9073" t="s">
        <v>24598</v>
      </c>
      <c r="F9073" t="s">
        <v>28669</v>
      </c>
      <c r="G9073" t="s">
        <v>28675</v>
      </c>
      <c r="H9073" t="s">
        <v>28686</v>
      </c>
      <c r="I9073" t="s">
        <v>28689</v>
      </c>
      <c r="J9073" t="s">
        <v>34458</v>
      </c>
      <c r="K9073" t="s">
        <v>37209</v>
      </c>
      <c r="M9073" t="s">
        <v>40427</v>
      </c>
      <c r="N9073" t="s">
        <v>41249</v>
      </c>
      <c r="O9073" t="s">
        <v>41250</v>
      </c>
      <c r="P9073">
        <v>0</v>
      </c>
      <c r="Q9073">
        <v>0</v>
      </c>
      <c r="R9073" t="s">
        <v>41259</v>
      </c>
      <c r="S9073" t="s">
        <v>41562</v>
      </c>
      <c r="T9073" t="s">
        <v>42727</v>
      </c>
      <c r="U9073" t="s">
        <v>50543</v>
      </c>
      <c r="W9073" t="s">
        <v>40427</v>
      </c>
      <c r="X9073" t="s">
        <v>41260</v>
      </c>
    </row>
    <row r="9074" spans="1:24">
      <c r="A9074">
        <f>HYPERLINK("https://www.philgeps.gov.ph/GEPSNONPILOT/Tender/SplashBidNoticeAbstractUI.aspx?menuIndex=3&amp;refID=7062652&amp;Result=3","7062652")</f>
        <v>0</v>
      </c>
      <c r="B9074" t="s">
        <v>1472</v>
      </c>
      <c r="C9074" t="s">
        <v>12049</v>
      </c>
      <c r="D9074" t="s">
        <v>16630</v>
      </c>
      <c r="E9074" t="s">
        <v>24599</v>
      </c>
      <c r="F9074" t="s">
        <v>28669</v>
      </c>
      <c r="G9074" t="s">
        <v>28675</v>
      </c>
      <c r="H9074" t="s">
        <v>9998</v>
      </c>
      <c r="I9074" t="s">
        <v>28694</v>
      </c>
      <c r="J9074" t="s">
        <v>34459</v>
      </c>
      <c r="K9074" t="s">
        <v>37205</v>
      </c>
      <c r="M9074" t="s">
        <v>39040</v>
      </c>
      <c r="N9074" t="s">
        <v>41249</v>
      </c>
      <c r="O9074" t="s">
        <v>41250</v>
      </c>
      <c r="P9074">
        <v>0</v>
      </c>
      <c r="Q9074">
        <v>0</v>
      </c>
      <c r="R9074" t="s">
        <v>41259</v>
      </c>
      <c r="S9074" t="s">
        <v>41562</v>
      </c>
      <c r="T9074" t="s">
        <v>42857</v>
      </c>
      <c r="U9074" t="s">
        <v>50544</v>
      </c>
      <c r="W9074" t="s">
        <v>39040</v>
      </c>
      <c r="X9074" t="s">
        <v>41260</v>
      </c>
    </row>
    <row r="9075" spans="1:24">
      <c r="A9075">
        <f>HYPERLINK("https://www.philgeps.gov.ph/GEPSNONPILOT/Tender/SplashBidNoticeAbstractUI.aspx?menuIndex=3&amp;refID=7062752&amp;Result=3","7062752")</f>
        <v>0</v>
      </c>
      <c r="B9075" t="s">
        <v>2716</v>
      </c>
      <c r="C9075" t="s">
        <v>12050</v>
      </c>
      <c r="D9075" t="s">
        <v>16608</v>
      </c>
      <c r="E9075" t="s">
        <v>24600</v>
      </c>
      <c r="F9075" t="s">
        <v>28669</v>
      </c>
      <c r="G9075" t="s">
        <v>28675</v>
      </c>
      <c r="H9075" t="s">
        <v>28684</v>
      </c>
      <c r="I9075" t="s">
        <v>5213</v>
      </c>
      <c r="J9075" t="s">
        <v>29320</v>
      </c>
      <c r="K9075" t="s">
        <v>37205</v>
      </c>
      <c r="M9075" t="s">
        <v>40428</v>
      </c>
      <c r="N9075" t="s">
        <v>41249</v>
      </c>
      <c r="O9075" t="s">
        <v>41250</v>
      </c>
      <c r="P9075">
        <v>0</v>
      </c>
      <c r="Q9075">
        <v>1</v>
      </c>
      <c r="R9075" t="s">
        <v>41259</v>
      </c>
      <c r="S9075" t="s">
        <v>41562</v>
      </c>
      <c r="T9075" t="s">
        <v>42696</v>
      </c>
      <c r="U9075" t="s">
        <v>50545</v>
      </c>
      <c r="V9075" t="s">
        <v>55270</v>
      </c>
      <c r="W9075" t="s">
        <v>40428</v>
      </c>
      <c r="X9075" t="s">
        <v>41260</v>
      </c>
    </row>
    <row r="9076" spans="1:24">
      <c r="A9076">
        <f>HYPERLINK("https://www.philgeps.gov.ph/GEPSNONPILOT/Tender/SplashBidNoticeAbstractUI.aspx?menuIndex=3&amp;refID=7062776&amp;Result=3","7062776")</f>
        <v>0</v>
      </c>
      <c r="B9076" t="s">
        <v>2716</v>
      </c>
      <c r="C9076" t="s">
        <v>12051</v>
      </c>
      <c r="D9076" t="s">
        <v>16608</v>
      </c>
      <c r="E9076" t="s">
        <v>24601</v>
      </c>
      <c r="F9076" t="s">
        <v>28669</v>
      </c>
      <c r="G9076" t="s">
        <v>28675</v>
      </c>
      <c r="H9076" t="s">
        <v>28684</v>
      </c>
      <c r="I9076" t="s">
        <v>28733</v>
      </c>
      <c r="J9076" t="s">
        <v>32073</v>
      </c>
      <c r="K9076" t="s">
        <v>37206</v>
      </c>
      <c r="M9076" t="s">
        <v>40428</v>
      </c>
      <c r="N9076" t="s">
        <v>41249</v>
      </c>
      <c r="O9076" t="s">
        <v>41250</v>
      </c>
      <c r="P9076">
        <v>0</v>
      </c>
      <c r="Q9076">
        <v>5</v>
      </c>
      <c r="R9076" t="s">
        <v>41259</v>
      </c>
      <c r="S9076" t="s">
        <v>41562</v>
      </c>
      <c r="T9076" t="s">
        <v>42970</v>
      </c>
      <c r="U9076" t="s">
        <v>50546</v>
      </c>
      <c r="V9076" t="s">
        <v>55270</v>
      </c>
      <c r="W9076" t="s">
        <v>40428</v>
      </c>
      <c r="X9076" t="s">
        <v>41260</v>
      </c>
    </row>
    <row r="9077" spans="1:24">
      <c r="A9077">
        <f>HYPERLINK("https://www.philgeps.gov.ph/GEPSNONPILOT/Tender/SplashBidNoticeAbstractUI.aspx?menuIndex=3&amp;refID=7062678&amp;Result=3","7062678")</f>
        <v>0</v>
      </c>
      <c r="B9077" t="s">
        <v>2717</v>
      </c>
      <c r="C9077" t="s">
        <v>12052</v>
      </c>
      <c r="D9077" t="s">
        <v>16654</v>
      </c>
      <c r="E9077" t="s">
        <v>24602</v>
      </c>
      <c r="F9077" t="s">
        <v>28669</v>
      </c>
      <c r="G9077" t="s">
        <v>28675</v>
      </c>
      <c r="H9077" t="s">
        <v>9998</v>
      </c>
      <c r="I9077" t="s">
        <v>5213</v>
      </c>
      <c r="J9077" t="s">
        <v>34460</v>
      </c>
      <c r="K9077" t="s">
        <v>37206</v>
      </c>
      <c r="M9077" t="s">
        <v>40429</v>
      </c>
      <c r="N9077" t="s">
        <v>41249</v>
      </c>
      <c r="O9077" t="s">
        <v>41250</v>
      </c>
      <c r="P9077">
        <v>0</v>
      </c>
      <c r="Q9077">
        <v>5</v>
      </c>
      <c r="R9077" t="s">
        <v>41259</v>
      </c>
      <c r="S9077" t="s">
        <v>41562</v>
      </c>
      <c r="T9077" t="s">
        <v>42743</v>
      </c>
      <c r="U9077" t="s">
        <v>50547</v>
      </c>
      <c r="W9077" t="s">
        <v>40429</v>
      </c>
      <c r="X9077" t="s">
        <v>41260</v>
      </c>
    </row>
    <row r="9078" spans="1:24">
      <c r="A9078">
        <f>HYPERLINK("https://www.philgeps.gov.ph/GEPSNONPILOT/Tender/SplashBidNoticeAbstractUI.aspx?menuIndex=3&amp;refID=7062774&amp;Result=3","7062774")</f>
        <v>0</v>
      </c>
      <c r="B9078" t="s">
        <v>2558</v>
      </c>
      <c r="C9078" t="s">
        <v>12053</v>
      </c>
      <c r="D9078" t="s">
        <v>16618</v>
      </c>
      <c r="E9078" t="s">
        <v>24603</v>
      </c>
      <c r="F9078" t="s">
        <v>28669</v>
      </c>
      <c r="G9078" t="s">
        <v>28675</v>
      </c>
      <c r="H9078" t="s">
        <v>28686</v>
      </c>
      <c r="I9078" t="s">
        <v>28689</v>
      </c>
      <c r="J9078" t="s">
        <v>34461</v>
      </c>
      <c r="K9078" t="s">
        <v>37213</v>
      </c>
      <c r="L9078" t="s">
        <v>2558</v>
      </c>
      <c r="M9078" t="s">
        <v>40251</v>
      </c>
      <c r="N9078" t="s">
        <v>41249</v>
      </c>
      <c r="O9078" t="s">
        <v>41250</v>
      </c>
      <c r="P9078">
        <v>0</v>
      </c>
      <c r="Q9078">
        <v>0</v>
      </c>
      <c r="R9078" t="s">
        <v>41259</v>
      </c>
      <c r="S9078" t="s">
        <v>41562</v>
      </c>
      <c r="T9078" t="s">
        <v>42839</v>
      </c>
      <c r="U9078" t="s">
        <v>50548</v>
      </c>
      <c r="W9078" t="s">
        <v>40251</v>
      </c>
      <c r="X9078" t="s">
        <v>41260</v>
      </c>
    </row>
    <row r="9079" spans="1:24">
      <c r="A9079">
        <f>HYPERLINK("https://www.philgeps.gov.ph/GEPSNONPILOT/Tender/SplashBidNoticeAbstractUI.aspx?menuIndex=3&amp;refID=7062508&amp;Result=3","7062508")</f>
        <v>0</v>
      </c>
      <c r="B9079" t="s">
        <v>2660</v>
      </c>
      <c r="C9079" t="s">
        <v>12054</v>
      </c>
      <c r="D9079" t="s">
        <v>16673</v>
      </c>
      <c r="E9079" t="s">
        <v>24604</v>
      </c>
      <c r="F9079" t="s">
        <v>28669</v>
      </c>
      <c r="G9079" t="s">
        <v>28675</v>
      </c>
      <c r="H9079" t="s">
        <v>28684</v>
      </c>
      <c r="I9079" t="s">
        <v>28687</v>
      </c>
      <c r="J9079" t="s">
        <v>29112</v>
      </c>
      <c r="K9079" t="s">
        <v>37220</v>
      </c>
      <c r="M9079" t="s">
        <v>40365</v>
      </c>
      <c r="N9079" t="s">
        <v>41249</v>
      </c>
      <c r="O9079" t="s">
        <v>41250</v>
      </c>
      <c r="P9079">
        <v>0</v>
      </c>
      <c r="Q9079">
        <v>4</v>
      </c>
      <c r="R9079" t="s">
        <v>41259</v>
      </c>
      <c r="S9079" t="s">
        <v>41562</v>
      </c>
      <c r="T9079" t="s">
        <v>42658</v>
      </c>
      <c r="U9079" t="s">
        <v>50549</v>
      </c>
      <c r="W9079" t="s">
        <v>40365</v>
      </c>
      <c r="X9079" t="s">
        <v>41260</v>
      </c>
    </row>
    <row r="9080" spans="1:24">
      <c r="A9080">
        <f>HYPERLINK("https://www.philgeps.gov.ph/GEPSNONPILOT/Tender/SplashBidNoticeAbstractUI.aspx?menuIndex=3&amp;refID=7062772&amp;Result=3","7062772")</f>
        <v>0</v>
      </c>
      <c r="B9080" t="s">
        <v>2049</v>
      </c>
      <c r="C9080" t="s">
        <v>12047</v>
      </c>
      <c r="D9080" t="s">
        <v>16648</v>
      </c>
      <c r="E9080" t="s">
        <v>24605</v>
      </c>
      <c r="F9080" t="s">
        <v>28669</v>
      </c>
      <c r="G9080" t="s">
        <v>28675</v>
      </c>
      <c r="H9080" t="s">
        <v>9998</v>
      </c>
      <c r="I9080" t="s">
        <v>28731</v>
      </c>
      <c r="J9080" t="s">
        <v>34462</v>
      </c>
      <c r="K9080" t="s">
        <v>37209</v>
      </c>
      <c r="M9080" t="s">
        <v>39689</v>
      </c>
      <c r="N9080" t="s">
        <v>41249</v>
      </c>
      <c r="O9080" t="s">
        <v>41250</v>
      </c>
      <c r="P9080">
        <v>0</v>
      </c>
      <c r="Q9080">
        <v>0</v>
      </c>
      <c r="R9080" t="s">
        <v>41259</v>
      </c>
      <c r="S9080" t="s">
        <v>41562</v>
      </c>
      <c r="T9080" t="s">
        <v>42767</v>
      </c>
      <c r="U9080" t="s">
        <v>48255</v>
      </c>
      <c r="W9080" t="s">
        <v>39689</v>
      </c>
      <c r="X9080" t="s">
        <v>41260</v>
      </c>
    </row>
    <row r="9081" spans="1:24">
      <c r="A9081">
        <f>HYPERLINK("https://www.philgeps.gov.ph/GEPSNONPILOT/Tender/SplashBidNoticeAbstractUI.aspx?menuIndex=3&amp;refID=7062767&amp;Result=3","7062767")</f>
        <v>0</v>
      </c>
      <c r="B9081" t="s">
        <v>939</v>
      </c>
      <c r="C9081" t="s">
        <v>12055</v>
      </c>
      <c r="D9081" t="s">
        <v>16657</v>
      </c>
      <c r="E9081" t="s">
        <v>24606</v>
      </c>
      <c r="F9081" t="s">
        <v>28669</v>
      </c>
      <c r="G9081" t="s">
        <v>28675</v>
      </c>
      <c r="H9081" t="s">
        <v>28686</v>
      </c>
      <c r="I9081" t="s">
        <v>28689</v>
      </c>
      <c r="J9081" t="s">
        <v>34463</v>
      </c>
      <c r="K9081" t="s">
        <v>37206</v>
      </c>
      <c r="M9081" t="s">
        <v>38462</v>
      </c>
      <c r="N9081" t="s">
        <v>41249</v>
      </c>
      <c r="O9081" t="s">
        <v>41250</v>
      </c>
      <c r="P9081">
        <v>0</v>
      </c>
      <c r="Q9081">
        <v>4</v>
      </c>
      <c r="R9081" t="s">
        <v>41259</v>
      </c>
      <c r="S9081" t="s">
        <v>41562</v>
      </c>
      <c r="T9081" t="s">
        <v>42698</v>
      </c>
      <c r="U9081" t="s">
        <v>50550</v>
      </c>
      <c r="V9081" t="s">
        <v>55271</v>
      </c>
      <c r="W9081" t="s">
        <v>38462</v>
      </c>
      <c r="X9081" t="s">
        <v>41260</v>
      </c>
    </row>
    <row r="9082" spans="1:24">
      <c r="A9082">
        <f>HYPERLINK("https://www.philgeps.gov.ph/GEPSNONPILOT/Tender/SplashBidNoticeAbstractUI.aspx?menuIndex=3&amp;refID=7062751&amp;Result=3","7062751")</f>
        <v>0</v>
      </c>
      <c r="B9082" t="s">
        <v>2049</v>
      </c>
      <c r="C9082" t="s">
        <v>12047</v>
      </c>
      <c r="D9082" t="s">
        <v>16648</v>
      </c>
      <c r="E9082" t="s">
        <v>24607</v>
      </c>
      <c r="F9082" t="s">
        <v>28669</v>
      </c>
      <c r="G9082" t="s">
        <v>28675</v>
      </c>
      <c r="H9082" t="s">
        <v>9998</v>
      </c>
      <c r="I9082" t="s">
        <v>7352</v>
      </c>
      <c r="J9082" t="s">
        <v>31715</v>
      </c>
      <c r="K9082" t="s">
        <v>37209</v>
      </c>
      <c r="M9082" t="s">
        <v>39689</v>
      </c>
      <c r="N9082" t="s">
        <v>41249</v>
      </c>
      <c r="O9082" t="s">
        <v>41250</v>
      </c>
      <c r="P9082">
        <v>0</v>
      </c>
      <c r="Q9082">
        <v>0</v>
      </c>
      <c r="R9082" t="s">
        <v>41259</v>
      </c>
      <c r="S9082" t="s">
        <v>41562</v>
      </c>
      <c r="T9082" t="s">
        <v>42767</v>
      </c>
      <c r="U9082" t="s">
        <v>48255</v>
      </c>
      <c r="W9082" t="s">
        <v>39689</v>
      </c>
      <c r="X9082" t="s">
        <v>41260</v>
      </c>
    </row>
    <row r="9083" spans="1:24">
      <c r="A9083">
        <f>HYPERLINK("https://www.philgeps.gov.ph/GEPSNONPILOT/Tender/SplashBidNoticeAbstractUI.aspx?menuIndex=3&amp;refID=7062744&amp;Result=3","7062744")</f>
        <v>0</v>
      </c>
      <c r="B9083" t="s">
        <v>2049</v>
      </c>
      <c r="C9083" t="s">
        <v>12047</v>
      </c>
      <c r="D9083" t="s">
        <v>16648</v>
      </c>
      <c r="E9083" t="s">
        <v>24608</v>
      </c>
      <c r="F9083" t="s">
        <v>28669</v>
      </c>
      <c r="G9083" t="s">
        <v>28675</v>
      </c>
      <c r="H9083" t="s">
        <v>9998</v>
      </c>
      <c r="I9083" t="s">
        <v>7352</v>
      </c>
      <c r="J9083" t="s">
        <v>34464</v>
      </c>
      <c r="K9083" t="s">
        <v>37209</v>
      </c>
      <c r="M9083" t="s">
        <v>39689</v>
      </c>
      <c r="N9083" t="s">
        <v>41249</v>
      </c>
      <c r="O9083" t="s">
        <v>41250</v>
      </c>
      <c r="P9083">
        <v>0</v>
      </c>
      <c r="Q9083">
        <v>0</v>
      </c>
      <c r="R9083" t="s">
        <v>41259</v>
      </c>
      <c r="S9083" t="s">
        <v>41562</v>
      </c>
      <c r="T9083" t="s">
        <v>42767</v>
      </c>
      <c r="U9083" t="s">
        <v>48255</v>
      </c>
      <c r="W9083" t="s">
        <v>39689</v>
      </c>
      <c r="X9083" t="s">
        <v>41260</v>
      </c>
    </row>
    <row r="9084" spans="1:24">
      <c r="A9084">
        <f>HYPERLINK("https://www.philgeps.gov.ph/GEPSNONPILOT/Tender/SplashBidNoticeAbstractUI.aspx?menuIndex=3&amp;refID=7062738&amp;Result=3","7062738")</f>
        <v>0</v>
      </c>
      <c r="B9084" t="s">
        <v>715</v>
      </c>
      <c r="C9084" t="s">
        <v>12056</v>
      </c>
      <c r="D9084" t="s">
        <v>16622</v>
      </c>
      <c r="E9084" t="s">
        <v>23692</v>
      </c>
      <c r="F9084" t="s">
        <v>28669</v>
      </c>
      <c r="G9084" t="s">
        <v>28675</v>
      </c>
      <c r="H9084" t="s">
        <v>28684</v>
      </c>
      <c r="I9084" t="s">
        <v>28701</v>
      </c>
      <c r="J9084" t="s">
        <v>34465</v>
      </c>
      <c r="K9084" t="s">
        <v>37272</v>
      </c>
      <c r="M9084" t="s">
        <v>40430</v>
      </c>
      <c r="N9084" t="s">
        <v>41249</v>
      </c>
      <c r="O9084" t="s">
        <v>41250</v>
      </c>
      <c r="P9084">
        <v>0</v>
      </c>
      <c r="Q9084">
        <v>3</v>
      </c>
      <c r="R9084" t="s">
        <v>41259</v>
      </c>
      <c r="S9084" t="s">
        <v>41562</v>
      </c>
      <c r="T9084" t="s">
        <v>43063</v>
      </c>
      <c r="U9084" t="s">
        <v>50551</v>
      </c>
      <c r="V9084" t="s">
        <v>55272</v>
      </c>
      <c r="W9084" t="s">
        <v>40430</v>
      </c>
      <c r="X9084" t="s">
        <v>41260</v>
      </c>
    </row>
    <row r="9085" spans="1:24">
      <c r="A9085">
        <f>HYPERLINK("https://www.philgeps.gov.ph/GEPSNONPILOT/Tender/SplashBidNoticeAbstractUI.aspx?menuIndex=3&amp;refID=7062734&amp;Result=3","7062734")</f>
        <v>0</v>
      </c>
      <c r="B9085" t="s">
        <v>2049</v>
      </c>
      <c r="C9085" t="s">
        <v>12047</v>
      </c>
      <c r="D9085" t="s">
        <v>16648</v>
      </c>
      <c r="E9085" t="s">
        <v>24609</v>
      </c>
      <c r="F9085" t="s">
        <v>28669</v>
      </c>
      <c r="G9085" t="s">
        <v>28675</v>
      </c>
      <c r="H9085" t="s">
        <v>9998</v>
      </c>
      <c r="I9085" t="s">
        <v>28695</v>
      </c>
      <c r="J9085" t="s">
        <v>34466</v>
      </c>
      <c r="K9085" t="s">
        <v>37209</v>
      </c>
      <c r="M9085" t="s">
        <v>39689</v>
      </c>
      <c r="N9085" t="s">
        <v>41249</v>
      </c>
      <c r="O9085" t="s">
        <v>41250</v>
      </c>
      <c r="P9085">
        <v>0</v>
      </c>
      <c r="Q9085">
        <v>0</v>
      </c>
      <c r="R9085" t="s">
        <v>41259</v>
      </c>
      <c r="S9085" t="s">
        <v>41562</v>
      </c>
      <c r="T9085" t="s">
        <v>42767</v>
      </c>
      <c r="U9085" t="s">
        <v>48255</v>
      </c>
      <c r="W9085" t="s">
        <v>39689</v>
      </c>
      <c r="X9085" t="s">
        <v>41260</v>
      </c>
    </row>
    <row r="9086" spans="1:24">
      <c r="A9086">
        <f>HYPERLINK("https://www.philgeps.gov.ph/GEPSNONPILOT/Tender/SplashBidNoticeAbstractUI.aspx?menuIndex=3&amp;refID=7062721&amp;Result=3","7062721")</f>
        <v>0</v>
      </c>
      <c r="B9086" t="s">
        <v>1970</v>
      </c>
      <c r="C9086" t="s">
        <v>12057</v>
      </c>
      <c r="D9086" t="s">
        <v>16651</v>
      </c>
      <c r="E9086" t="s">
        <v>24610</v>
      </c>
      <c r="F9086" t="s">
        <v>28669</v>
      </c>
      <c r="G9086" t="s">
        <v>28675</v>
      </c>
      <c r="H9086" t="s">
        <v>28686</v>
      </c>
      <c r="I9086" t="s">
        <v>28689</v>
      </c>
      <c r="J9086" t="s">
        <v>34467</v>
      </c>
      <c r="K9086" t="s">
        <v>37417</v>
      </c>
      <c r="M9086" t="s">
        <v>39604</v>
      </c>
      <c r="N9086" t="s">
        <v>41249</v>
      </c>
      <c r="O9086" t="s">
        <v>41250</v>
      </c>
      <c r="P9086">
        <v>0</v>
      </c>
      <c r="Q9086">
        <v>6</v>
      </c>
      <c r="R9086" t="s">
        <v>41259</v>
      </c>
      <c r="S9086" t="s">
        <v>41562</v>
      </c>
      <c r="T9086" t="s">
        <v>42739</v>
      </c>
      <c r="U9086" t="s">
        <v>50552</v>
      </c>
      <c r="W9086" t="s">
        <v>39604</v>
      </c>
      <c r="X9086" t="s">
        <v>41260</v>
      </c>
    </row>
    <row r="9087" spans="1:24">
      <c r="A9087">
        <f>HYPERLINK("https://www.philgeps.gov.ph/GEPSNONPILOT/Tender/SplashBidNoticeAbstractUI.aspx?menuIndex=3&amp;refID=7062699&amp;Result=3","7062699")</f>
        <v>0</v>
      </c>
      <c r="B9087" t="s">
        <v>1970</v>
      </c>
      <c r="C9087" t="s">
        <v>12058</v>
      </c>
      <c r="D9087" t="s">
        <v>16651</v>
      </c>
      <c r="E9087" t="s">
        <v>24611</v>
      </c>
      <c r="F9087" t="s">
        <v>28669</v>
      </c>
      <c r="G9087" t="s">
        <v>28675</v>
      </c>
      <c r="H9087" t="s">
        <v>28686</v>
      </c>
      <c r="I9087" t="s">
        <v>28689</v>
      </c>
      <c r="J9087" t="s">
        <v>34467</v>
      </c>
      <c r="K9087" t="s">
        <v>37417</v>
      </c>
      <c r="M9087" t="s">
        <v>39604</v>
      </c>
      <c r="N9087" t="s">
        <v>41249</v>
      </c>
      <c r="O9087" t="s">
        <v>41250</v>
      </c>
      <c r="P9087">
        <v>0</v>
      </c>
      <c r="Q9087">
        <v>6</v>
      </c>
      <c r="R9087" t="s">
        <v>41259</v>
      </c>
      <c r="S9087" t="s">
        <v>41562</v>
      </c>
      <c r="T9087" t="s">
        <v>42739</v>
      </c>
      <c r="U9087" t="s">
        <v>50553</v>
      </c>
      <c r="W9087" t="s">
        <v>39604</v>
      </c>
      <c r="X9087" t="s">
        <v>41260</v>
      </c>
    </row>
    <row r="9088" spans="1:24">
      <c r="A9088">
        <f>HYPERLINK("https://www.philgeps.gov.ph/GEPSNONPILOT/Tender/SplashBidNoticeAbstractUI.aspx?menuIndex=3&amp;refID=7062694&amp;Result=3","7062694")</f>
        <v>0</v>
      </c>
      <c r="B9088" t="s">
        <v>1970</v>
      </c>
      <c r="C9088" t="s">
        <v>12059</v>
      </c>
      <c r="D9088" t="s">
        <v>16651</v>
      </c>
      <c r="E9088" t="s">
        <v>24612</v>
      </c>
      <c r="F9088" t="s">
        <v>28669</v>
      </c>
      <c r="G9088" t="s">
        <v>28675</v>
      </c>
      <c r="H9088" t="s">
        <v>28686</v>
      </c>
      <c r="I9088" t="s">
        <v>28689</v>
      </c>
      <c r="J9088" t="s">
        <v>34468</v>
      </c>
      <c r="K9088" t="s">
        <v>37308</v>
      </c>
      <c r="M9088" t="s">
        <v>39604</v>
      </c>
      <c r="N9088" t="s">
        <v>41249</v>
      </c>
      <c r="O9088" t="s">
        <v>41250</v>
      </c>
      <c r="P9088">
        <v>0</v>
      </c>
      <c r="Q9088">
        <v>3</v>
      </c>
      <c r="R9088" t="s">
        <v>41259</v>
      </c>
      <c r="S9088" t="s">
        <v>41562</v>
      </c>
      <c r="T9088" t="s">
        <v>42739</v>
      </c>
      <c r="U9088" t="s">
        <v>50554</v>
      </c>
      <c r="W9088" t="s">
        <v>39604</v>
      </c>
      <c r="X9088" t="s">
        <v>41260</v>
      </c>
    </row>
    <row r="9089" spans="1:24">
      <c r="A9089">
        <f>HYPERLINK("https://www.philgeps.gov.ph/GEPSNONPILOT/Tender/SplashBidNoticeAbstractUI.aspx?menuIndex=3&amp;refID=7062688&amp;Result=3","7062688")</f>
        <v>0</v>
      </c>
      <c r="B9089" t="s">
        <v>1970</v>
      </c>
      <c r="C9089" t="s">
        <v>12060</v>
      </c>
      <c r="D9089" t="s">
        <v>16651</v>
      </c>
      <c r="E9089" t="s">
        <v>24613</v>
      </c>
      <c r="F9089" t="s">
        <v>28669</v>
      </c>
      <c r="G9089" t="s">
        <v>28675</v>
      </c>
      <c r="H9089" t="s">
        <v>28686</v>
      </c>
      <c r="I9089" t="s">
        <v>28689</v>
      </c>
      <c r="J9089" t="s">
        <v>34422</v>
      </c>
      <c r="K9089" t="s">
        <v>37297</v>
      </c>
      <c r="M9089" t="s">
        <v>39604</v>
      </c>
      <c r="N9089" t="s">
        <v>41249</v>
      </c>
      <c r="O9089" t="s">
        <v>41250</v>
      </c>
      <c r="P9089">
        <v>0</v>
      </c>
      <c r="Q9089">
        <v>4</v>
      </c>
      <c r="R9089" t="s">
        <v>41259</v>
      </c>
      <c r="S9089" t="s">
        <v>41562</v>
      </c>
      <c r="T9089" t="s">
        <v>42739</v>
      </c>
      <c r="U9089" t="s">
        <v>50555</v>
      </c>
      <c r="W9089" t="s">
        <v>39604</v>
      </c>
      <c r="X9089" t="s">
        <v>41260</v>
      </c>
    </row>
    <row r="9090" spans="1:24">
      <c r="A9090">
        <f>HYPERLINK("https://www.philgeps.gov.ph/GEPSNONPILOT/Tender/SplashBidNoticeAbstractUI.aspx?menuIndex=3&amp;refID=7062433&amp;Result=3","7062433")</f>
        <v>0</v>
      </c>
      <c r="B9090" t="s">
        <v>1413</v>
      </c>
      <c r="C9090" t="s">
        <v>12061</v>
      </c>
      <c r="D9090" t="s">
        <v>16618</v>
      </c>
      <c r="E9090" t="s">
        <v>24614</v>
      </c>
      <c r="F9090" t="s">
        <v>28669</v>
      </c>
      <c r="G9090" t="s">
        <v>28675</v>
      </c>
      <c r="H9090" t="s">
        <v>28686</v>
      </c>
      <c r="I9090" t="s">
        <v>28689</v>
      </c>
      <c r="J9090" t="s">
        <v>28847</v>
      </c>
      <c r="K9090" t="s">
        <v>37209</v>
      </c>
      <c r="M9090" t="s">
        <v>38976</v>
      </c>
      <c r="N9090" t="s">
        <v>41249</v>
      </c>
      <c r="O9090" t="s">
        <v>41250</v>
      </c>
      <c r="P9090">
        <v>0</v>
      </c>
      <c r="Q9090">
        <v>0</v>
      </c>
      <c r="R9090" t="s">
        <v>41259</v>
      </c>
      <c r="S9090" t="s">
        <v>41562</v>
      </c>
      <c r="T9090" t="s">
        <v>42931</v>
      </c>
      <c r="U9090" t="s">
        <v>50556</v>
      </c>
      <c r="V9090" t="s">
        <v>55273</v>
      </c>
      <c r="W9090" t="s">
        <v>38976</v>
      </c>
      <c r="X9090" t="s">
        <v>41260</v>
      </c>
    </row>
    <row r="9091" spans="1:24">
      <c r="A9091">
        <f>HYPERLINK("https://www.philgeps.gov.ph/GEPSNONPILOT/Tender/SplashBidNoticeAbstractUI.aspx?menuIndex=3&amp;refID=7062707&amp;Result=3","7062707")</f>
        <v>0</v>
      </c>
      <c r="B9091" t="s">
        <v>1970</v>
      </c>
      <c r="C9091" t="s">
        <v>12062</v>
      </c>
      <c r="D9091" t="s">
        <v>16651</v>
      </c>
      <c r="E9091" t="s">
        <v>24615</v>
      </c>
      <c r="F9091" t="s">
        <v>28669</v>
      </c>
      <c r="G9091" t="s">
        <v>28675</v>
      </c>
      <c r="H9091" t="s">
        <v>28686</v>
      </c>
      <c r="I9091" t="s">
        <v>28689</v>
      </c>
      <c r="J9091" t="s">
        <v>34467</v>
      </c>
      <c r="K9091" t="s">
        <v>37417</v>
      </c>
      <c r="M9091" t="s">
        <v>39604</v>
      </c>
      <c r="N9091" t="s">
        <v>41249</v>
      </c>
      <c r="O9091" t="s">
        <v>41250</v>
      </c>
      <c r="P9091">
        <v>0</v>
      </c>
      <c r="Q9091">
        <v>6</v>
      </c>
      <c r="R9091" t="s">
        <v>41259</v>
      </c>
      <c r="S9091" t="s">
        <v>41562</v>
      </c>
      <c r="T9091" t="s">
        <v>42739</v>
      </c>
      <c r="U9091" t="s">
        <v>50557</v>
      </c>
      <c r="W9091" t="s">
        <v>39604</v>
      </c>
      <c r="X9091" t="s">
        <v>41260</v>
      </c>
    </row>
    <row r="9092" spans="1:24">
      <c r="A9092">
        <f>HYPERLINK("https://www.philgeps.gov.ph/GEPSNONPILOT/Tender/SplashBidNoticeAbstractUI.aspx?menuIndex=3&amp;refID=7062779&amp;Result=3","7062779")</f>
        <v>0</v>
      </c>
      <c r="B9092" t="s">
        <v>547</v>
      </c>
      <c r="C9092" t="s">
        <v>12063</v>
      </c>
      <c r="D9092" t="s">
        <v>16627</v>
      </c>
      <c r="E9092" t="s">
        <v>24616</v>
      </c>
      <c r="F9092" t="s">
        <v>28669</v>
      </c>
      <c r="G9092" t="s">
        <v>28675</v>
      </c>
      <c r="H9092" t="s">
        <v>9998</v>
      </c>
      <c r="I9092" t="s">
        <v>28695</v>
      </c>
      <c r="J9092" t="s">
        <v>34469</v>
      </c>
      <c r="K9092" t="s">
        <v>37214</v>
      </c>
      <c r="M9092" t="s">
        <v>38040</v>
      </c>
      <c r="N9092" t="s">
        <v>41249</v>
      </c>
      <c r="O9092" t="s">
        <v>41250</v>
      </c>
      <c r="P9092">
        <v>0</v>
      </c>
      <c r="Q9092">
        <v>0</v>
      </c>
      <c r="R9092" t="s">
        <v>41259</v>
      </c>
      <c r="S9092" t="s">
        <v>41562</v>
      </c>
      <c r="T9092" t="s">
        <v>42688</v>
      </c>
      <c r="U9092" t="s">
        <v>50558</v>
      </c>
      <c r="W9092" t="s">
        <v>38040</v>
      </c>
      <c r="X9092" t="s">
        <v>41260</v>
      </c>
    </row>
    <row r="9093" spans="1:24">
      <c r="A9093">
        <f>HYPERLINK("https://www.philgeps.gov.ph/GEPSNONPILOT/Tender/SplashBidNoticeAbstractUI.aspx?menuIndex=3&amp;refID=7062840&amp;Result=3","7062840")</f>
        <v>0</v>
      </c>
      <c r="B9093" t="s">
        <v>2049</v>
      </c>
      <c r="C9093" t="s">
        <v>12047</v>
      </c>
      <c r="D9093" t="s">
        <v>16648</v>
      </c>
      <c r="E9093" t="s">
        <v>24617</v>
      </c>
      <c r="F9093" t="s">
        <v>28669</v>
      </c>
      <c r="G9093" t="s">
        <v>28675</v>
      </c>
      <c r="H9093" t="s">
        <v>9998</v>
      </c>
      <c r="I9093" t="s">
        <v>11142</v>
      </c>
      <c r="J9093" t="s">
        <v>34470</v>
      </c>
      <c r="K9093" t="s">
        <v>37209</v>
      </c>
      <c r="M9093" t="s">
        <v>39689</v>
      </c>
      <c r="N9093" t="s">
        <v>41249</v>
      </c>
      <c r="O9093" t="s">
        <v>41250</v>
      </c>
      <c r="P9093">
        <v>0</v>
      </c>
      <c r="Q9093">
        <v>0</v>
      </c>
      <c r="R9093" t="s">
        <v>41259</v>
      </c>
      <c r="S9093" t="s">
        <v>41562</v>
      </c>
      <c r="T9093" t="s">
        <v>42767</v>
      </c>
      <c r="U9093" t="s">
        <v>48255</v>
      </c>
      <c r="W9093" t="s">
        <v>39689</v>
      </c>
      <c r="X9093" t="s">
        <v>41260</v>
      </c>
    </row>
    <row r="9094" spans="1:24">
      <c r="A9094">
        <f>HYPERLINK("https://www.philgeps.gov.ph/GEPSNONPILOT/Tender/SplashBidNoticeAbstractUI.aspx?menuIndex=3&amp;refID=7062562&amp;Result=3","7062562")</f>
        <v>0</v>
      </c>
      <c r="B9094" t="s">
        <v>1024</v>
      </c>
      <c r="C9094" t="s">
        <v>12064</v>
      </c>
      <c r="D9094" t="s">
        <v>16608</v>
      </c>
      <c r="E9094" t="s">
        <v>24618</v>
      </c>
      <c r="F9094" t="s">
        <v>28669</v>
      </c>
      <c r="G9094" t="s">
        <v>28675</v>
      </c>
      <c r="H9094" t="s">
        <v>28686</v>
      </c>
      <c r="I9094" t="s">
        <v>28689</v>
      </c>
      <c r="J9094" t="s">
        <v>34471</v>
      </c>
      <c r="K9094" t="s">
        <v>37205</v>
      </c>
      <c r="M9094" t="s">
        <v>39657</v>
      </c>
      <c r="N9094" t="s">
        <v>41249</v>
      </c>
      <c r="O9094" t="s">
        <v>41250</v>
      </c>
      <c r="P9094">
        <v>0</v>
      </c>
      <c r="Q9094">
        <v>34</v>
      </c>
      <c r="R9094" t="s">
        <v>41259</v>
      </c>
      <c r="S9094" t="s">
        <v>41562</v>
      </c>
      <c r="T9094" t="s">
        <v>42712</v>
      </c>
      <c r="U9094" t="s">
        <v>48161</v>
      </c>
      <c r="V9094" t="s">
        <v>55274</v>
      </c>
      <c r="W9094" t="s">
        <v>39657</v>
      </c>
      <c r="X9094" t="s">
        <v>41260</v>
      </c>
    </row>
    <row r="9095" spans="1:24">
      <c r="A9095">
        <f>HYPERLINK("https://www.philgeps.gov.ph/GEPSNONPILOT/Tender/SplashBidNoticeAbstractUI.aspx?menuIndex=3&amp;refID=7062827&amp;Result=3","7062827")</f>
        <v>0</v>
      </c>
      <c r="B9095" t="s">
        <v>2718</v>
      </c>
      <c r="C9095" t="s">
        <v>12065</v>
      </c>
      <c r="D9095" t="s">
        <v>16643</v>
      </c>
      <c r="E9095" t="s">
        <v>17149</v>
      </c>
      <c r="F9095" t="s">
        <v>28672</v>
      </c>
      <c r="G9095" t="s">
        <v>28675</v>
      </c>
      <c r="H9095" t="s">
        <v>9998</v>
      </c>
      <c r="I9095" t="s">
        <v>28687</v>
      </c>
      <c r="J9095" t="s">
        <v>29047</v>
      </c>
      <c r="K9095" t="s">
        <v>37210</v>
      </c>
      <c r="M9095" t="s">
        <v>40431</v>
      </c>
      <c r="N9095" t="s">
        <v>41249</v>
      </c>
      <c r="O9095" t="s">
        <v>41250</v>
      </c>
      <c r="P9095">
        <v>0</v>
      </c>
      <c r="Q9095">
        <v>6</v>
      </c>
      <c r="R9095" t="s">
        <v>41259</v>
      </c>
      <c r="S9095" t="s">
        <v>41562</v>
      </c>
      <c r="T9095" t="s">
        <v>42778</v>
      </c>
      <c r="U9095" t="s">
        <v>50559</v>
      </c>
      <c r="V9095" t="s">
        <v>55275</v>
      </c>
      <c r="W9095" t="s">
        <v>40431</v>
      </c>
      <c r="X9095" t="s">
        <v>41260</v>
      </c>
    </row>
    <row r="9096" spans="1:24">
      <c r="A9096">
        <f>HYPERLINK("https://www.philgeps.gov.ph/GEPSNONPILOT/Tender/SplashBidNoticeAbstractUI.aspx?menuIndex=3&amp;refID=7062769&amp;Result=3","7062769")</f>
        <v>0</v>
      </c>
      <c r="B9096" t="s">
        <v>2719</v>
      </c>
      <c r="C9096" t="s">
        <v>12066</v>
      </c>
      <c r="D9096" t="s">
        <v>16654</v>
      </c>
      <c r="E9096" t="s">
        <v>24619</v>
      </c>
      <c r="F9096" t="s">
        <v>28669</v>
      </c>
      <c r="G9096" t="s">
        <v>28675</v>
      </c>
      <c r="H9096" t="s">
        <v>28686</v>
      </c>
      <c r="I9096" t="s">
        <v>28689</v>
      </c>
      <c r="J9096" t="s">
        <v>29612</v>
      </c>
      <c r="K9096" t="s">
        <v>37227</v>
      </c>
      <c r="M9096" t="s">
        <v>40432</v>
      </c>
      <c r="N9096" t="s">
        <v>41249</v>
      </c>
      <c r="O9096" t="s">
        <v>41250</v>
      </c>
      <c r="P9096">
        <v>0</v>
      </c>
      <c r="Q9096">
        <v>0</v>
      </c>
      <c r="R9096" t="s">
        <v>41259</v>
      </c>
      <c r="S9096" t="s">
        <v>41562</v>
      </c>
      <c r="T9096" t="s">
        <v>42755</v>
      </c>
      <c r="U9096" t="s">
        <v>50560</v>
      </c>
      <c r="W9096" t="s">
        <v>40432</v>
      </c>
      <c r="X9096" t="s">
        <v>41260</v>
      </c>
    </row>
    <row r="9097" spans="1:24">
      <c r="A9097">
        <f>HYPERLINK("https://www.philgeps.gov.ph/GEPSNONPILOT/Tender/SplashBidNoticeAbstractUI.aspx?menuIndex=3&amp;refID=7062825&amp;Result=3","7062825")</f>
        <v>0</v>
      </c>
      <c r="B9097" t="s">
        <v>2558</v>
      </c>
      <c r="C9097" t="s">
        <v>12067</v>
      </c>
      <c r="D9097" t="s">
        <v>16618</v>
      </c>
      <c r="E9097" t="s">
        <v>24620</v>
      </c>
      <c r="F9097" t="s">
        <v>28669</v>
      </c>
      <c r="G9097" t="s">
        <v>28675</v>
      </c>
      <c r="H9097" t="s">
        <v>28686</v>
      </c>
      <c r="I9097" t="s">
        <v>28689</v>
      </c>
      <c r="J9097" t="s">
        <v>32463</v>
      </c>
      <c r="K9097" t="s">
        <v>37346</v>
      </c>
      <c r="L9097" t="s">
        <v>2558</v>
      </c>
      <c r="M9097" t="s">
        <v>40251</v>
      </c>
      <c r="N9097" t="s">
        <v>41249</v>
      </c>
      <c r="O9097" t="s">
        <v>41250</v>
      </c>
      <c r="P9097">
        <v>0</v>
      </c>
      <c r="Q9097">
        <v>1</v>
      </c>
      <c r="R9097" t="s">
        <v>41259</v>
      </c>
      <c r="S9097" t="s">
        <v>41562</v>
      </c>
      <c r="T9097" t="s">
        <v>42839</v>
      </c>
      <c r="U9097" t="s">
        <v>50548</v>
      </c>
      <c r="W9097" t="s">
        <v>40251</v>
      </c>
      <c r="X9097" t="s">
        <v>41260</v>
      </c>
    </row>
    <row r="9098" spans="1:24">
      <c r="A9098">
        <f>HYPERLINK("https://www.philgeps.gov.ph/GEPSNONPILOT/Tender/SplashBidNoticeAbstractUI.aspx?menuIndex=3&amp;refID=7062809&amp;Result=3","7062809")</f>
        <v>0</v>
      </c>
      <c r="B9098" t="s">
        <v>2716</v>
      </c>
      <c r="C9098" t="s">
        <v>12068</v>
      </c>
      <c r="D9098" t="s">
        <v>16608</v>
      </c>
      <c r="E9098" t="s">
        <v>24621</v>
      </c>
      <c r="F9098" t="s">
        <v>28669</v>
      </c>
      <c r="G9098" t="s">
        <v>28675</v>
      </c>
      <c r="H9098" t="s">
        <v>28684</v>
      </c>
      <c r="I9098" t="s">
        <v>5213</v>
      </c>
      <c r="J9098" t="s">
        <v>28826</v>
      </c>
      <c r="K9098" t="s">
        <v>37204</v>
      </c>
      <c r="M9098" t="s">
        <v>40428</v>
      </c>
      <c r="N9098" t="s">
        <v>41249</v>
      </c>
      <c r="O9098" t="s">
        <v>41250</v>
      </c>
      <c r="P9098">
        <v>0</v>
      </c>
      <c r="Q9098">
        <v>2</v>
      </c>
      <c r="R9098" t="s">
        <v>41259</v>
      </c>
      <c r="S9098" t="s">
        <v>41562</v>
      </c>
      <c r="T9098" t="s">
        <v>42729</v>
      </c>
      <c r="U9098" t="s">
        <v>50561</v>
      </c>
      <c r="V9098" t="s">
        <v>55270</v>
      </c>
      <c r="W9098" t="s">
        <v>40428</v>
      </c>
      <c r="X9098" t="s">
        <v>41260</v>
      </c>
    </row>
    <row r="9099" spans="1:24">
      <c r="A9099">
        <f>HYPERLINK("https://www.philgeps.gov.ph/GEPSNONPILOT/Tender/SplashBidNoticeAbstractUI.aspx?menuIndex=3&amp;refID=7062784&amp;Result=3","7062784")</f>
        <v>0</v>
      </c>
      <c r="B9099" t="s">
        <v>788</v>
      </c>
      <c r="C9099" t="s">
        <v>12069</v>
      </c>
      <c r="D9099" t="s">
        <v>16648</v>
      </c>
      <c r="E9099" t="s">
        <v>24622</v>
      </c>
      <c r="F9099" t="s">
        <v>28669</v>
      </c>
      <c r="G9099" t="s">
        <v>28675</v>
      </c>
      <c r="H9099" t="s">
        <v>28686</v>
      </c>
      <c r="I9099" t="s">
        <v>28689</v>
      </c>
      <c r="J9099" t="s">
        <v>28924</v>
      </c>
      <c r="K9099" t="s">
        <v>37215</v>
      </c>
      <c r="M9099" t="s">
        <v>38302</v>
      </c>
      <c r="N9099" t="s">
        <v>41249</v>
      </c>
      <c r="O9099" t="s">
        <v>41250</v>
      </c>
      <c r="P9099">
        <v>0</v>
      </c>
      <c r="Q9099">
        <v>1</v>
      </c>
      <c r="R9099" t="s">
        <v>41259</v>
      </c>
      <c r="S9099" t="s">
        <v>41562</v>
      </c>
      <c r="T9099" t="s">
        <v>42755</v>
      </c>
      <c r="U9099" t="s">
        <v>50562</v>
      </c>
      <c r="W9099" t="s">
        <v>38302</v>
      </c>
      <c r="X9099" t="s">
        <v>41260</v>
      </c>
    </row>
    <row r="9100" spans="1:24">
      <c r="A9100">
        <f>HYPERLINK("https://www.philgeps.gov.ph/GEPSNONPILOT/Tender/SplashBidNoticeAbstractUI.aspx?menuIndex=3&amp;refID=7062795&amp;Result=3","7062795")</f>
        <v>0</v>
      </c>
      <c r="B9100" t="s">
        <v>990</v>
      </c>
      <c r="C9100" t="s">
        <v>12070</v>
      </c>
      <c r="D9100" t="s">
        <v>16658</v>
      </c>
      <c r="E9100" t="s">
        <v>24623</v>
      </c>
      <c r="F9100" t="s">
        <v>28669</v>
      </c>
      <c r="G9100" t="s">
        <v>28675</v>
      </c>
      <c r="H9100" t="s">
        <v>9998</v>
      </c>
      <c r="I9100" t="s">
        <v>11593</v>
      </c>
      <c r="J9100" t="s">
        <v>29187</v>
      </c>
      <c r="K9100" t="s">
        <v>37209</v>
      </c>
      <c r="M9100" t="s">
        <v>38517</v>
      </c>
      <c r="N9100" t="s">
        <v>41249</v>
      </c>
      <c r="O9100" t="s">
        <v>41250</v>
      </c>
      <c r="P9100">
        <v>0</v>
      </c>
      <c r="Q9100">
        <v>5</v>
      </c>
      <c r="R9100" t="s">
        <v>41259</v>
      </c>
      <c r="S9100" t="s">
        <v>41562</v>
      </c>
      <c r="T9100" t="s">
        <v>42728</v>
      </c>
      <c r="U9100" t="s">
        <v>45220</v>
      </c>
      <c r="W9100" t="s">
        <v>38517</v>
      </c>
      <c r="X9100" t="s">
        <v>41260</v>
      </c>
    </row>
    <row r="9101" spans="1:24">
      <c r="A9101">
        <f>HYPERLINK("https://www.philgeps.gov.ph/GEPSNONPILOT/Tender/SplashBidNoticeAbstractUI.aspx?menuIndex=3&amp;refID=7062836&amp;Result=3","7062836")</f>
        <v>0</v>
      </c>
      <c r="B9101" t="s">
        <v>2720</v>
      </c>
      <c r="C9101" t="s">
        <v>12071</v>
      </c>
      <c r="D9101" t="s">
        <v>16626</v>
      </c>
      <c r="E9101" t="s">
        <v>24624</v>
      </c>
      <c r="F9101" t="s">
        <v>28669</v>
      </c>
      <c r="G9101" t="s">
        <v>28675</v>
      </c>
      <c r="H9101" t="s">
        <v>9998</v>
      </c>
      <c r="I9101" t="s">
        <v>3679</v>
      </c>
      <c r="J9101" t="s">
        <v>34472</v>
      </c>
      <c r="K9101" t="s">
        <v>37209</v>
      </c>
      <c r="M9101" t="s">
        <v>40433</v>
      </c>
      <c r="N9101" t="s">
        <v>41249</v>
      </c>
      <c r="O9101" t="s">
        <v>41250</v>
      </c>
      <c r="P9101">
        <v>0</v>
      </c>
      <c r="Q9101">
        <v>1</v>
      </c>
      <c r="R9101" t="s">
        <v>41259</v>
      </c>
      <c r="S9101" t="s">
        <v>41562</v>
      </c>
      <c r="T9101" t="s">
        <v>42910</v>
      </c>
      <c r="U9101" t="s">
        <v>50563</v>
      </c>
      <c r="V9101" t="s">
        <v>55276</v>
      </c>
      <c r="W9101" t="s">
        <v>40433</v>
      </c>
      <c r="X9101" t="s">
        <v>41260</v>
      </c>
    </row>
    <row r="9102" spans="1:24">
      <c r="A9102">
        <f>HYPERLINK("https://www.philgeps.gov.ph/GEPSNONPILOT/Tender/SplashBidNoticeAbstractUI.aspx?menuIndex=3&amp;refID=7062846&amp;Result=3","7062846")</f>
        <v>0</v>
      </c>
      <c r="B9102" t="s">
        <v>2721</v>
      </c>
      <c r="C9102" t="s">
        <v>12072</v>
      </c>
      <c r="D9102" t="s">
        <v>16622</v>
      </c>
      <c r="E9102" t="s">
        <v>24625</v>
      </c>
      <c r="F9102" t="s">
        <v>28669</v>
      </c>
      <c r="G9102" t="s">
        <v>28675</v>
      </c>
      <c r="H9102" t="s">
        <v>28686</v>
      </c>
      <c r="I9102" t="s">
        <v>28689</v>
      </c>
      <c r="J9102" t="s">
        <v>34473</v>
      </c>
      <c r="K9102" t="s">
        <v>37209</v>
      </c>
      <c r="M9102" t="s">
        <v>40434</v>
      </c>
      <c r="N9102" t="s">
        <v>41249</v>
      </c>
      <c r="O9102" t="s">
        <v>41250</v>
      </c>
      <c r="P9102">
        <v>0</v>
      </c>
      <c r="Q9102">
        <v>0</v>
      </c>
      <c r="R9102" t="s">
        <v>41259</v>
      </c>
      <c r="S9102" t="s">
        <v>41562</v>
      </c>
      <c r="T9102" t="s">
        <v>42761</v>
      </c>
      <c r="U9102" t="s">
        <v>50564</v>
      </c>
      <c r="W9102" t="s">
        <v>40434</v>
      </c>
      <c r="X9102" t="s">
        <v>41260</v>
      </c>
    </row>
    <row r="9103" spans="1:24">
      <c r="A9103">
        <f>HYPERLINK("https://www.philgeps.gov.ph/GEPSNONPILOT/Tender/SplashBidNoticeAbstractUI.aspx?menuIndex=3&amp;refID=7062844&amp;Result=3","7062844")</f>
        <v>0</v>
      </c>
      <c r="B9103" t="s">
        <v>705</v>
      </c>
      <c r="C9103" t="s">
        <v>12073</v>
      </c>
      <c r="D9103" t="s">
        <v>16658</v>
      </c>
      <c r="E9103" t="s">
        <v>23459</v>
      </c>
      <c r="F9103" t="s">
        <v>28669</v>
      </c>
      <c r="G9103" t="s">
        <v>28675</v>
      </c>
      <c r="H9103" t="s">
        <v>9998</v>
      </c>
      <c r="I9103" t="s">
        <v>3718</v>
      </c>
      <c r="J9103" t="s">
        <v>34474</v>
      </c>
      <c r="K9103" t="s">
        <v>37206</v>
      </c>
      <c r="M9103" t="s">
        <v>38212</v>
      </c>
      <c r="N9103" t="s">
        <v>41249</v>
      </c>
      <c r="O9103" t="s">
        <v>41250</v>
      </c>
      <c r="P9103">
        <v>0</v>
      </c>
      <c r="Q9103">
        <v>3</v>
      </c>
      <c r="R9103" t="s">
        <v>41259</v>
      </c>
      <c r="S9103" t="s">
        <v>41562</v>
      </c>
      <c r="T9103" t="s">
        <v>42739</v>
      </c>
      <c r="U9103" t="s">
        <v>50565</v>
      </c>
      <c r="V9103" t="s">
        <v>55277</v>
      </c>
      <c r="W9103" t="s">
        <v>38212</v>
      </c>
      <c r="X9103" t="s">
        <v>41260</v>
      </c>
    </row>
    <row r="9104" spans="1:24">
      <c r="A9104">
        <f>HYPERLINK("https://www.philgeps.gov.ph/GEPSNONPILOT/Tender/SplashBidNoticeAbstractUI.aspx?menuIndex=3&amp;refID=7062842&amp;Result=3","7062842")</f>
        <v>0</v>
      </c>
      <c r="B9104" t="s">
        <v>2716</v>
      </c>
      <c r="C9104" t="s">
        <v>6458</v>
      </c>
      <c r="D9104" t="s">
        <v>16608</v>
      </c>
      <c r="E9104" t="s">
        <v>24626</v>
      </c>
      <c r="F9104" t="s">
        <v>28669</v>
      </c>
      <c r="G9104" t="s">
        <v>28675</v>
      </c>
      <c r="H9104" t="s">
        <v>28684</v>
      </c>
      <c r="I9104" t="s">
        <v>5213</v>
      </c>
      <c r="J9104" t="s">
        <v>28877</v>
      </c>
      <c r="K9104" t="s">
        <v>37204</v>
      </c>
      <c r="M9104" t="s">
        <v>40428</v>
      </c>
      <c r="N9104" t="s">
        <v>41249</v>
      </c>
      <c r="O9104" t="s">
        <v>41250</v>
      </c>
      <c r="P9104">
        <v>0</v>
      </c>
      <c r="Q9104">
        <v>2</v>
      </c>
      <c r="R9104" t="s">
        <v>41259</v>
      </c>
      <c r="S9104" t="s">
        <v>41562</v>
      </c>
      <c r="T9104" t="s">
        <v>42884</v>
      </c>
      <c r="U9104" t="s">
        <v>50566</v>
      </c>
      <c r="V9104" t="s">
        <v>55270</v>
      </c>
      <c r="W9104" t="s">
        <v>40428</v>
      </c>
      <c r="X9104" t="s">
        <v>41260</v>
      </c>
    </row>
    <row r="9105" spans="1:24">
      <c r="A9105">
        <f>HYPERLINK("https://www.philgeps.gov.ph/GEPSNONPILOT/Tender/SplashBidNoticeAbstractUI.aspx?menuIndex=3&amp;refID=7062841&amp;Result=3","7062841")</f>
        <v>0</v>
      </c>
      <c r="B9105" t="s">
        <v>2722</v>
      </c>
      <c r="C9105" t="s">
        <v>12074</v>
      </c>
      <c r="D9105" t="s">
        <v>16608</v>
      </c>
      <c r="E9105" t="s">
        <v>24627</v>
      </c>
      <c r="F9105" t="s">
        <v>28669</v>
      </c>
      <c r="G9105" t="s">
        <v>28675</v>
      </c>
      <c r="H9105" t="s">
        <v>9998</v>
      </c>
      <c r="I9105" t="s">
        <v>28688</v>
      </c>
      <c r="J9105" t="s">
        <v>28823</v>
      </c>
      <c r="K9105" t="s">
        <v>37221</v>
      </c>
      <c r="M9105" t="s">
        <v>40435</v>
      </c>
      <c r="N9105" t="s">
        <v>41249</v>
      </c>
      <c r="O9105" t="s">
        <v>41250</v>
      </c>
      <c r="P9105">
        <v>0</v>
      </c>
      <c r="Q9105">
        <v>0</v>
      </c>
      <c r="R9105" t="s">
        <v>41259</v>
      </c>
      <c r="S9105" t="s">
        <v>41562</v>
      </c>
      <c r="T9105" t="s">
        <v>42881</v>
      </c>
      <c r="U9105" t="s">
        <v>50567</v>
      </c>
      <c r="W9105" t="s">
        <v>40435</v>
      </c>
      <c r="X9105" t="s">
        <v>41260</v>
      </c>
    </row>
    <row r="9106" spans="1:24">
      <c r="A9106">
        <f>HYPERLINK("https://www.philgeps.gov.ph/GEPSNONPILOT/Tender/SplashBidNoticeAbstractUI.aspx?menuIndex=3&amp;refID=7062789&amp;Result=3","7062789")</f>
        <v>0</v>
      </c>
      <c r="B9106" t="s">
        <v>2049</v>
      </c>
      <c r="C9106" t="s">
        <v>12047</v>
      </c>
      <c r="D9106" t="s">
        <v>16648</v>
      </c>
      <c r="E9106" t="s">
        <v>24628</v>
      </c>
      <c r="F9106" t="s">
        <v>28669</v>
      </c>
      <c r="G9106" t="s">
        <v>28675</v>
      </c>
      <c r="H9106" t="s">
        <v>9998</v>
      </c>
      <c r="I9106" t="s">
        <v>7352</v>
      </c>
      <c r="J9106" t="s">
        <v>34475</v>
      </c>
      <c r="K9106" t="s">
        <v>37209</v>
      </c>
      <c r="M9106" t="s">
        <v>39689</v>
      </c>
      <c r="N9106" t="s">
        <v>41249</v>
      </c>
      <c r="O9106" t="s">
        <v>41250</v>
      </c>
      <c r="P9106">
        <v>0</v>
      </c>
      <c r="Q9106">
        <v>0</v>
      </c>
      <c r="R9106" t="s">
        <v>41259</v>
      </c>
      <c r="S9106" t="s">
        <v>41562</v>
      </c>
      <c r="T9106" t="s">
        <v>42767</v>
      </c>
      <c r="U9106" t="s">
        <v>48255</v>
      </c>
      <c r="W9106" t="s">
        <v>39689</v>
      </c>
      <c r="X9106" t="s">
        <v>41260</v>
      </c>
    </row>
    <row r="9107" spans="1:24">
      <c r="A9107">
        <f>HYPERLINK("https://www.philgeps.gov.ph/GEPSNONPILOT/Tender/SplashBidNoticeAbstractUI.aspx?menuIndex=3&amp;refID=7062801&amp;Result=3","7062801")</f>
        <v>0</v>
      </c>
      <c r="B9107" t="s">
        <v>2558</v>
      </c>
      <c r="C9107" t="s">
        <v>12075</v>
      </c>
      <c r="D9107" t="s">
        <v>16618</v>
      </c>
      <c r="E9107" t="s">
        <v>24629</v>
      </c>
      <c r="F9107" t="s">
        <v>28669</v>
      </c>
      <c r="G9107" t="s">
        <v>28675</v>
      </c>
      <c r="H9107" t="s">
        <v>28686</v>
      </c>
      <c r="I9107" t="s">
        <v>28689</v>
      </c>
      <c r="J9107" t="s">
        <v>31637</v>
      </c>
      <c r="K9107" t="s">
        <v>37418</v>
      </c>
      <c r="L9107" t="s">
        <v>2558</v>
      </c>
      <c r="M9107" t="s">
        <v>40251</v>
      </c>
      <c r="N9107" t="s">
        <v>41249</v>
      </c>
      <c r="O9107" t="s">
        <v>41250</v>
      </c>
      <c r="P9107">
        <v>0</v>
      </c>
      <c r="Q9107">
        <v>6</v>
      </c>
      <c r="R9107" t="s">
        <v>41259</v>
      </c>
      <c r="S9107" t="s">
        <v>41562</v>
      </c>
      <c r="T9107" t="s">
        <v>42839</v>
      </c>
      <c r="U9107" t="s">
        <v>50548</v>
      </c>
      <c r="W9107" t="s">
        <v>40251</v>
      </c>
      <c r="X9107" t="s">
        <v>41260</v>
      </c>
    </row>
    <row r="9108" spans="1:24">
      <c r="A9108">
        <f>HYPERLINK("https://www.philgeps.gov.ph/GEPSNONPILOT/Tender/SplashBidNoticeAbstractUI.aspx?menuIndex=3&amp;refID=7062786&amp;Result=3","7062786")</f>
        <v>0</v>
      </c>
      <c r="B9108" t="s">
        <v>260</v>
      </c>
      <c r="C9108" t="s">
        <v>12076</v>
      </c>
      <c r="D9108" t="s">
        <v>16646</v>
      </c>
      <c r="E9108" t="s">
        <v>24630</v>
      </c>
      <c r="F9108" t="s">
        <v>28669</v>
      </c>
      <c r="G9108" t="s">
        <v>28675</v>
      </c>
      <c r="H9108" t="s">
        <v>28686</v>
      </c>
      <c r="I9108" t="s">
        <v>28689</v>
      </c>
      <c r="J9108" t="s">
        <v>34476</v>
      </c>
      <c r="K9108" t="s">
        <v>37221</v>
      </c>
      <c r="M9108" t="s">
        <v>37738</v>
      </c>
      <c r="N9108" t="s">
        <v>41249</v>
      </c>
      <c r="O9108" t="s">
        <v>41250</v>
      </c>
      <c r="P9108">
        <v>0</v>
      </c>
      <c r="Q9108">
        <v>0</v>
      </c>
      <c r="R9108" t="s">
        <v>41259</v>
      </c>
      <c r="S9108" t="s">
        <v>41562</v>
      </c>
      <c r="T9108" t="s">
        <v>42686</v>
      </c>
      <c r="U9108" t="s">
        <v>50568</v>
      </c>
      <c r="W9108" t="s">
        <v>37738</v>
      </c>
      <c r="X9108" t="s">
        <v>41260</v>
      </c>
    </row>
    <row r="9109" spans="1:24">
      <c r="A9109">
        <f>HYPERLINK("https://www.philgeps.gov.ph/GEPSNONPILOT/Tender/SplashBidNoticeAbstractUI.aspx?menuIndex=3&amp;refID=7062833&amp;Result=3","7062833")</f>
        <v>0</v>
      </c>
      <c r="B9109" t="s">
        <v>990</v>
      </c>
      <c r="C9109" t="s">
        <v>12077</v>
      </c>
      <c r="D9109" t="s">
        <v>16658</v>
      </c>
      <c r="E9109" t="s">
        <v>24631</v>
      </c>
      <c r="F9109" t="s">
        <v>28669</v>
      </c>
      <c r="G9109" t="s">
        <v>28675</v>
      </c>
      <c r="H9109" t="s">
        <v>9998</v>
      </c>
      <c r="I9109" t="s">
        <v>28687</v>
      </c>
      <c r="J9109" t="s">
        <v>28914</v>
      </c>
      <c r="K9109" t="s">
        <v>37209</v>
      </c>
      <c r="M9109" t="s">
        <v>38517</v>
      </c>
      <c r="N9109" t="s">
        <v>41249</v>
      </c>
      <c r="O9109" t="s">
        <v>41250</v>
      </c>
      <c r="P9109">
        <v>0</v>
      </c>
      <c r="Q9109">
        <v>0</v>
      </c>
      <c r="R9109" t="s">
        <v>41259</v>
      </c>
      <c r="S9109" t="s">
        <v>41562</v>
      </c>
      <c r="T9109" t="s">
        <v>42728</v>
      </c>
      <c r="U9109" t="s">
        <v>45220</v>
      </c>
      <c r="W9109" t="s">
        <v>38517</v>
      </c>
      <c r="X9109" t="s">
        <v>41260</v>
      </c>
    </row>
    <row r="9110" spans="1:24">
      <c r="A9110">
        <f>HYPERLINK("https://www.philgeps.gov.ph/GEPSNONPILOT/Tender/SplashBidNoticeAbstractUI.aspx?menuIndex=3&amp;refID=7062810&amp;Result=3","7062810")</f>
        <v>0</v>
      </c>
      <c r="B9110" t="s">
        <v>2049</v>
      </c>
      <c r="C9110" t="s">
        <v>12047</v>
      </c>
      <c r="D9110" t="s">
        <v>16648</v>
      </c>
      <c r="E9110" t="s">
        <v>24632</v>
      </c>
      <c r="F9110" t="s">
        <v>28669</v>
      </c>
      <c r="G9110" t="s">
        <v>28675</v>
      </c>
      <c r="H9110" t="s">
        <v>9998</v>
      </c>
      <c r="I9110" t="s">
        <v>7352</v>
      </c>
      <c r="J9110" t="s">
        <v>34477</v>
      </c>
      <c r="K9110" t="s">
        <v>37209</v>
      </c>
      <c r="M9110" t="s">
        <v>39689</v>
      </c>
      <c r="N9110" t="s">
        <v>41249</v>
      </c>
      <c r="O9110" t="s">
        <v>41250</v>
      </c>
      <c r="P9110">
        <v>0</v>
      </c>
      <c r="Q9110">
        <v>0</v>
      </c>
      <c r="R9110" t="s">
        <v>41259</v>
      </c>
      <c r="S9110" t="s">
        <v>41562</v>
      </c>
      <c r="T9110" t="s">
        <v>42767</v>
      </c>
      <c r="U9110" t="s">
        <v>48255</v>
      </c>
      <c r="W9110" t="s">
        <v>39689</v>
      </c>
      <c r="X9110" t="s">
        <v>41260</v>
      </c>
    </row>
    <row r="9111" spans="1:24">
      <c r="A9111">
        <f>HYPERLINK("https://www.philgeps.gov.ph/GEPSNONPILOT/Tender/SplashBidNoticeAbstractUI.aspx?menuIndex=3&amp;refID=7062793&amp;Result=3","7062793")</f>
        <v>0</v>
      </c>
      <c r="B9111" t="s">
        <v>2722</v>
      </c>
      <c r="C9111" t="s">
        <v>9673</v>
      </c>
      <c r="D9111" t="s">
        <v>16608</v>
      </c>
      <c r="E9111" t="s">
        <v>24633</v>
      </c>
      <c r="F9111" t="s">
        <v>28669</v>
      </c>
      <c r="G9111" t="s">
        <v>28675</v>
      </c>
      <c r="H9111" t="s">
        <v>9998</v>
      </c>
      <c r="I9111" t="s">
        <v>3718</v>
      </c>
      <c r="J9111" t="s">
        <v>28836</v>
      </c>
      <c r="K9111" t="s">
        <v>37221</v>
      </c>
      <c r="M9111" t="s">
        <v>40435</v>
      </c>
      <c r="N9111" t="s">
        <v>41249</v>
      </c>
      <c r="O9111" t="s">
        <v>41250</v>
      </c>
      <c r="P9111">
        <v>0</v>
      </c>
      <c r="Q9111">
        <v>2</v>
      </c>
      <c r="R9111" t="s">
        <v>41259</v>
      </c>
      <c r="S9111" t="s">
        <v>41562</v>
      </c>
      <c r="T9111" t="s">
        <v>42881</v>
      </c>
      <c r="U9111" t="s">
        <v>50569</v>
      </c>
      <c r="W9111" t="s">
        <v>40435</v>
      </c>
      <c r="X9111" t="s">
        <v>41260</v>
      </c>
    </row>
    <row r="9112" spans="1:24">
      <c r="A9112">
        <f>HYPERLINK("https://www.philgeps.gov.ph/GEPSNONPILOT/Tender/SplashBidNoticeAbstractUI.aspx?menuIndex=3&amp;refID=7062778&amp;Result=3","7062778")</f>
        <v>0</v>
      </c>
      <c r="B9112" t="s">
        <v>853</v>
      </c>
      <c r="C9112" t="s">
        <v>12078</v>
      </c>
      <c r="D9112" t="s">
        <v>16617</v>
      </c>
      <c r="E9112" t="s">
        <v>24634</v>
      </c>
      <c r="F9112" t="s">
        <v>28669</v>
      </c>
      <c r="G9112" t="s">
        <v>28675</v>
      </c>
      <c r="H9112" t="s">
        <v>28684</v>
      </c>
      <c r="I9112" t="s">
        <v>28785</v>
      </c>
      <c r="J9112" t="s">
        <v>34478</v>
      </c>
      <c r="K9112" t="s">
        <v>37206</v>
      </c>
      <c r="M9112" t="s">
        <v>38369</v>
      </c>
      <c r="N9112" t="s">
        <v>41249</v>
      </c>
      <c r="O9112" t="s">
        <v>41250</v>
      </c>
      <c r="P9112">
        <v>0</v>
      </c>
      <c r="Q9112">
        <v>14</v>
      </c>
      <c r="R9112" t="s">
        <v>41259</v>
      </c>
      <c r="S9112" t="s">
        <v>41562</v>
      </c>
      <c r="T9112" t="s">
        <v>42761</v>
      </c>
      <c r="U9112" t="s">
        <v>44874</v>
      </c>
      <c r="V9112" t="s">
        <v>54665</v>
      </c>
      <c r="W9112" t="s">
        <v>38369</v>
      </c>
      <c r="X9112" t="s">
        <v>41260</v>
      </c>
    </row>
    <row r="9113" spans="1:24">
      <c r="A9113">
        <f>HYPERLINK("https://www.philgeps.gov.ph/GEPSNONPILOT/Tender/SplashBidNoticeAbstractUI.aspx?menuIndex=3&amp;refID=7062887&amp;Result=3","7062887")</f>
        <v>0</v>
      </c>
      <c r="B9113" t="s">
        <v>2181</v>
      </c>
      <c r="C9113" t="s">
        <v>12079</v>
      </c>
      <c r="D9113" t="s">
        <v>16686</v>
      </c>
      <c r="E9113" t="s">
        <v>20817</v>
      </c>
      <c r="F9113" t="s">
        <v>28669</v>
      </c>
      <c r="G9113" t="s">
        <v>28675</v>
      </c>
      <c r="H9113" t="s">
        <v>9998</v>
      </c>
      <c r="I9113" t="s">
        <v>7352</v>
      </c>
      <c r="J9113" t="s">
        <v>28879</v>
      </c>
      <c r="K9113" t="s">
        <v>37206</v>
      </c>
      <c r="M9113" t="s">
        <v>39830</v>
      </c>
      <c r="N9113" t="s">
        <v>41249</v>
      </c>
      <c r="O9113" t="s">
        <v>41250</v>
      </c>
      <c r="P9113">
        <v>0</v>
      </c>
      <c r="Q9113">
        <v>1</v>
      </c>
      <c r="R9113" t="s">
        <v>41259</v>
      </c>
      <c r="S9113" t="s">
        <v>41562</v>
      </c>
      <c r="T9113" t="s">
        <v>42728</v>
      </c>
      <c r="U9113" t="s">
        <v>50570</v>
      </c>
      <c r="V9113" t="s">
        <v>55278</v>
      </c>
      <c r="W9113" t="s">
        <v>39830</v>
      </c>
      <c r="X9113" t="s">
        <v>41260</v>
      </c>
    </row>
    <row r="9114" spans="1:24">
      <c r="A9114">
        <f>HYPERLINK("https://www.philgeps.gov.ph/GEPSNONPILOT/Tender/SplashBidNoticeAbstractUI.aspx?menuIndex=3&amp;refID=7062852&amp;Result=3","7062852")</f>
        <v>0</v>
      </c>
      <c r="B9114" t="s">
        <v>990</v>
      </c>
      <c r="C9114" t="s">
        <v>12080</v>
      </c>
      <c r="D9114" t="s">
        <v>16658</v>
      </c>
      <c r="E9114" t="s">
        <v>24635</v>
      </c>
      <c r="F9114" t="s">
        <v>28669</v>
      </c>
      <c r="G9114" t="s">
        <v>28679</v>
      </c>
      <c r="H9114" t="s">
        <v>28686</v>
      </c>
      <c r="I9114" t="s">
        <v>28689</v>
      </c>
      <c r="J9114" t="s">
        <v>34479</v>
      </c>
      <c r="K9114" t="s">
        <v>37209</v>
      </c>
      <c r="M9114" t="s">
        <v>38517</v>
      </c>
      <c r="N9114" t="s">
        <v>41249</v>
      </c>
      <c r="O9114" t="s">
        <v>41250</v>
      </c>
      <c r="P9114">
        <v>0</v>
      </c>
      <c r="Q9114">
        <v>1</v>
      </c>
      <c r="R9114" t="s">
        <v>41259</v>
      </c>
      <c r="S9114" t="s">
        <v>41562</v>
      </c>
      <c r="T9114" t="s">
        <v>42728</v>
      </c>
      <c r="U9114" t="s">
        <v>45220</v>
      </c>
      <c r="W9114" t="s">
        <v>38517</v>
      </c>
      <c r="X9114" t="s">
        <v>41260</v>
      </c>
    </row>
    <row r="9115" spans="1:24">
      <c r="A9115">
        <f>HYPERLINK("https://www.philgeps.gov.ph/GEPSNONPILOT/Tender/SplashBidNoticeAbstractUI.aspx?menuIndex=3&amp;refID=7062806&amp;Result=3","7062806")</f>
        <v>0</v>
      </c>
      <c r="B9115" t="s">
        <v>2219</v>
      </c>
      <c r="C9115" t="s">
        <v>12081</v>
      </c>
      <c r="D9115" t="s">
        <v>16658</v>
      </c>
      <c r="E9115" t="s">
        <v>24636</v>
      </c>
      <c r="F9115" t="s">
        <v>28669</v>
      </c>
      <c r="G9115" t="s">
        <v>28675</v>
      </c>
      <c r="H9115" t="s">
        <v>28686</v>
      </c>
      <c r="I9115" t="s">
        <v>28689</v>
      </c>
      <c r="J9115" t="s">
        <v>34480</v>
      </c>
      <c r="K9115" t="s">
        <v>37419</v>
      </c>
      <c r="M9115" t="s">
        <v>39871</v>
      </c>
      <c r="N9115" t="s">
        <v>41249</v>
      </c>
      <c r="O9115" t="s">
        <v>41250</v>
      </c>
      <c r="P9115">
        <v>0</v>
      </c>
      <c r="Q9115">
        <v>0</v>
      </c>
      <c r="R9115" t="s">
        <v>41259</v>
      </c>
      <c r="S9115" t="s">
        <v>41562</v>
      </c>
      <c r="T9115" t="s">
        <v>42881</v>
      </c>
      <c r="U9115" t="s">
        <v>50571</v>
      </c>
      <c r="W9115" t="s">
        <v>39871</v>
      </c>
      <c r="X9115" t="s">
        <v>41260</v>
      </c>
    </row>
    <row r="9116" spans="1:24">
      <c r="A9116">
        <f>HYPERLINK("https://www.philgeps.gov.ph/GEPSNONPILOT/Tender/SplashBidNoticeAbstractUI.aspx?menuIndex=3&amp;refID=7062878&amp;Result=3","7062878")</f>
        <v>0</v>
      </c>
      <c r="B9116" t="s">
        <v>2558</v>
      </c>
      <c r="C9116" t="s">
        <v>12082</v>
      </c>
      <c r="D9116" t="s">
        <v>16618</v>
      </c>
      <c r="E9116" t="s">
        <v>24637</v>
      </c>
      <c r="F9116" t="s">
        <v>28669</v>
      </c>
      <c r="G9116" t="s">
        <v>28675</v>
      </c>
      <c r="H9116" t="s">
        <v>28686</v>
      </c>
      <c r="I9116" t="s">
        <v>28689</v>
      </c>
      <c r="J9116" t="s">
        <v>34481</v>
      </c>
      <c r="K9116" t="s">
        <v>37213</v>
      </c>
      <c r="L9116" t="s">
        <v>2558</v>
      </c>
      <c r="M9116" t="s">
        <v>40251</v>
      </c>
      <c r="N9116" t="s">
        <v>41249</v>
      </c>
      <c r="O9116" t="s">
        <v>41250</v>
      </c>
      <c r="P9116">
        <v>0</v>
      </c>
      <c r="Q9116">
        <v>0</v>
      </c>
      <c r="R9116" t="s">
        <v>41259</v>
      </c>
      <c r="S9116" t="s">
        <v>41562</v>
      </c>
      <c r="T9116" t="s">
        <v>42839</v>
      </c>
      <c r="U9116" t="s">
        <v>50548</v>
      </c>
      <c r="W9116" t="s">
        <v>40251</v>
      </c>
      <c r="X9116" t="s">
        <v>41260</v>
      </c>
    </row>
    <row r="9117" spans="1:24">
      <c r="A9117">
        <f>HYPERLINK("https://www.philgeps.gov.ph/GEPSNONPILOT/Tender/SplashBidNoticeAbstractUI.aspx?menuIndex=3&amp;refID=7062875&amp;Result=3","7062875")</f>
        <v>0</v>
      </c>
      <c r="B9117" t="s">
        <v>2723</v>
      </c>
      <c r="C9117" t="s">
        <v>12083</v>
      </c>
      <c r="D9117" t="s">
        <v>16643</v>
      </c>
      <c r="E9117" t="s">
        <v>24638</v>
      </c>
      <c r="F9117" t="s">
        <v>28669</v>
      </c>
      <c r="G9117" t="s">
        <v>28675</v>
      </c>
      <c r="H9117" t="s">
        <v>28686</v>
      </c>
      <c r="I9117" t="s">
        <v>28689</v>
      </c>
      <c r="J9117" t="s">
        <v>34482</v>
      </c>
      <c r="K9117" t="s">
        <v>37420</v>
      </c>
      <c r="M9117" t="s">
        <v>40436</v>
      </c>
      <c r="N9117" t="s">
        <v>41249</v>
      </c>
      <c r="O9117" t="s">
        <v>41250</v>
      </c>
      <c r="P9117">
        <v>0</v>
      </c>
      <c r="Q9117">
        <v>0</v>
      </c>
      <c r="R9117" t="s">
        <v>41259</v>
      </c>
      <c r="S9117" t="s">
        <v>41562</v>
      </c>
      <c r="T9117" t="s">
        <v>42673</v>
      </c>
      <c r="U9117" t="s">
        <v>50572</v>
      </c>
      <c r="W9117" t="s">
        <v>40436</v>
      </c>
      <c r="X9117" t="s">
        <v>41260</v>
      </c>
    </row>
    <row r="9118" spans="1:24">
      <c r="A9118">
        <f>HYPERLINK("https://www.philgeps.gov.ph/GEPSNONPILOT/Tender/SplashBidNoticeAbstractUI.aspx?menuIndex=3&amp;refID=7062855&amp;Result=3","7062855")</f>
        <v>0</v>
      </c>
      <c r="B9118" t="s">
        <v>2724</v>
      </c>
      <c r="C9118" t="s">
        <v>12084</v>
      </c>
      <c r="D9118" t="s">
        <v>16664</v>
      </c>
      <c r="E9118" t="s">
        <v>19719</v>
      </c>
      <c r="F9118" t="s">
        <v>28669</v>
      </c>
      <c r="G9118" t="s">
        <v>28675</v>
      </c>
      <c r="H9118" t="s">
        <v>9998</v>
      </c>
      <c r="I9118" t="s">
        <v>28694</v>
      </c>
      <c r="J9118" t="s">
        <v>34483</v>
      </c>
      <c r="K9118" t="s">
        <v>37227</v>
      </c>
      <c r="M9118" t="s">
        <v>40437</v>
      </c>
      <c r="N9118" t="s">
        <v>41249</v>
      </c>
      <c r="O9118" t="s">
        <v>41250</v>
      </c>
      <c r="P9118">
        <v>0</v>
      </c>
      <c r="Q9118">
        <v>0</v>
      </c>
      <c r="R9118" t="s">
        <v>41259</v>
      </c>
      <c r="S9118" t="s">
        <v>41562</v>
      </c>
      <c r="T9118" t="s">
        <v>42743</v>
      </c>
      <c r="U9118" t="s">
        <v>50573</v>
      </c>
      <c r="W9118" t="s">
        <v>40437</v>
      </c>
      <c r="X9118" t="s">
        <v>41260</v>
      </c>
    </row>
    <row r="9119" spans="1:24">
      <c r="A9119">
        <f>HYPERLINK("https://www.philgeps.gov.ph/GEPSNONPILOT/Tender/SplashBidNoticeAbstractUI.aspx?menuIndex=3&amp;refID=7062888&amp;Result=3","7062888")</f>
        <v>0</v>
      </c>
      <c r="B9119" t="s">
        <v>2716</v>
      </c>
      <c r="C9119" t="s">
        <v>12085</v>
      </c>
      <c r="D9119" t="s">
        <v>16608</v>
      </c>
      <c r="E9119" t="s">
        <v>24639</v>
      </c>
      <c r="F9119" t="s">
        <v>28669</v>
      </c>
      <c r="G9119" t="s">
        <v>28675</v>
      </c>
      <c r="H9119" t="s">
        <v>28684</v>
      </c>
      <c r="I9119" t="s">
        <v>28687</v>
      </c>
      <c r="J9119" t="s">
        <v>28914</v>
      </c>
      <c r="K9119" t="s">
        <v>37206</v>
      </c>
      <c r="M9119" t="s">
        <v>40428</v>
      </c>
      <c r="N9119" t="s">
        <v>41249</v>
      </c>
      <c r="O9119" t="s">
        <v>41250</v>
      </c>
      <c r="P9119">
        <v>0</v>
      </c>
      <c r="Q9119">
        <v>2</v>
      </c>
      <c r="R9119" t="s">
        <v>41259</v>
      </c>
      <c r="S9119" t="s">
        <v>41562</v>
      </c>
      <c r="T9119" t="s">
        <v>42727</v>
      </c>
      <c r="U9119" t="s">
        <v>50574</v>
      </c>
      <c r="V9119" t="s">
        <v>55270</v>
      </c>
      <c r="W9119" t="s">
        <v>40428</v>
      </c>
      <c r="X9119" t="s">
        <v>41260</v>
      </c>
    </row>
    <row r="9120" spans="1:24">
      <c r="A9120">
        <f>HYPERLINK("https://www.philgeps.gov.ph/GEPSNONPILOT/Tender/SplashBidNoticeAbstractUI.aspx?menuIndex=3&amp;refID=7062870&amp;Result=3","7062870")</f>
        <v>0</v>
      </c>
      <c r="B9120" t="s">
        <v>2720</v>
      </c>
      <c r="C9120" t="s">
        <v>12086</v>
      </c>
      <c r="D9120" t="s">
        <v>16626</v>
      </c>
      <c r="E9120" t="s">
        <v>24640</v>
      </c>
      <c r="F9120" t="s">
        <v>28669</v>
      </c>
      <c r="G9120" t="s">
        <v>28675</v>
      </c>
      <c r="H9120" t="s">
        <v>9998</v>
      </c>
      <c r="I9120" t="s">
        <v>7352</v>
      </c>
      <c r="J9120" t="s">
        <v>34484</v>
      </c>
      <c r="K9120" t="s">
        <v>37209</v>
      </c>
      <c r="M9120" t="s">
        <v>40433</v>
      </c>
      <c r="N9120" t="s">
        <v>41249</v>
      </c>
      <c r="O9120" t="s">
        <v>41250</v>
      </c>
      <c r="P9120">
        <v>0</v>
      </c>
      <c r="Q9120">
        <v>0</v>
      </c>
      <c r="R9120" t="s">
        <v>41259</v>
      </c>
      <c r="S9120" t="s">
        <v>41562</v>
      </c>
      <c r="T9120" t="s">
        <v>42910</v>
      </c>
      <c r="U9120" t="s">
        <v>50575</v>
      </c>
      <c r="V9120" t="s">
        <v>55276</v>
      </c>
      <c r="W9120" t="s">
        <v>40433</v>
      </c>
      <c r="X9120" t="s">
        <v>41260</v>
      </c>
    </row>
    <row r="9121" spans="1:24">
      <c r="A9121">
        <f>HYPERLINK("https://www.philgeps.gov.ph/GEPSNONPILOT/Tender/SplashBidNoticeAbstractUI.aspx?menuIndex=3&amp;refID=7062861&amp;Result=3","7062861")</f>
        <v>0</v>
      </c>
      <c r="B9121" t="s">
        <v>1340</v>
      </c>
      <c r="C9121" t="s">
        <v>12087</v>
      </c>
      <c r="D9121" t="s">
        <v>16621</v>
      </c>
      <c r="E9121" t="s">
        <v>24641</v>
      </c>
      <c r="F9121" t="s">
        <v>28669</v>
      </c>
      <c r="G9121" t="s">
        <v>28675</v>
      </c>
      <c r="H9121" t="s">
        <v>28686</v>
      </c>
      <c r="I9121" t="s">
        <v>28689</v>
      </c>
      <c r="J9121" t="s">
        <v>34485</v>
      </c>
      <c r="K9121" t="s">
        <v>37206</v>
      </c>
      <c r="M9121" t="s">
        <v>40372</v>
      </c>
      <c r="N9121" t="s">
        <v>41249</v>
      </c>
      <c r="O9121" t="s">
        <v>41250</v>
      </c>
      <c r="P9121">
        <v>0</v>
      </c>
      <c r="Q9121">
        <v>0</v>
      </c>
      <c r="R9121" t="s">
        <v>41259</v>
      </c>
      <c r="S9121" t="s">
        <v>41562</v>
      </c>
      <c r="T9121" t="s">
        <v>42782</v>
      </c>
      <c r="U9121" t="s">
        <v>50576</v>
      </c>
      <c r="V9121" t="s">
        <v>55245</v>
      </c>
      <c r="W9121" t="s">
        <v>40372</v>
      </c>
      <c r="X9121" t="s">
        <v>41260</v>
      </c>
    </row>
    <row r="9122" spans="1:24">
      <c r="A9122">
        <f>HYPERLINK("https://www.philgeps.gov.ph/GEPSNONPILOT/Tender/SplashBidNoticeAbstractUI.aspx?menuIndex=3&amp;refID=7062874&amp;Result=3","7062874")</f>
        <v>0</v>
      </c>
      <c r="B9122" t="s">
        <v>2725</v>
      </c>
      <c r="C9122" t="s">
        <v>12088</v>
      </c>
      <c r="D9122" t="s">
        <v>16616</v>
      </c>
      <c r="E9122" t="s">
        <v>18464</v>
      </c>
      <c r="F9122" t="s">
        <v>28669</v>
      </c>
      <c r="G9122" t="s">
        <v>28675</v>
      </c>
      <c r="H9122" t="s">
        <v>28686</v>
      </c>
      <c r="I9122" t="s">
        <v>28689</v>
      </c>
      <c r="J9122" t="s">
        <v>28914</v>
      </c>
      <c r="K9122" t="s">
        <v>37220</v>
      </c>
      <c r="M9122" t="s">
        <v>40438</v>
      </c>
      <c r="N9122" t="s">
        <v>41249</v>
      </c>
      <c r="O9122" t="s">
        <v>41250</v>
      </c>
      <c r="P9122">
        <v>0</v>
      </c>
      <c r="Q9122">
        <v>0</v>
      </c>
      <c r="R9122" t="s">
        <v>41259</v>
      </c>
      <c r="S9122" t="s">
        <v>41562</v>
      </c>
      <c r="T9122" t="s">
        <v>42802</v>
      </c>
      <c r="U9122" t="s">
        <v>50577</v>
      </c>
      <c r="W9122" t="s">
        <v>40438</v>
      </c>
      <c r="X9122" t="s">
        <v>41260</v>
      </c>
    </row>
    <row r="9123" spans="1:24">
      <c r="A9123">
        <f>HYPERLINK("https://www.philgeps.gov.ph/GEPSNONPILOT/Tender/SplashBidNoticeAbstractUI.aspx?menuIndex=3&amp;refID=7062863&amp;Result=3","7062863")</f>
        <v>0</v>
      </c>
      <c r="B9123" t="s">
        <v>2049</v>
      </c>
      <c r="C9123" t="s">
        <v>12047</v>
      </c>
      <c r="D9123" t="s">
        <v>16648</v>
      </c>
      <c r="E9123" t="s">
        <v>24642</v>
      </c>
      <c r="F9123" t="s">
        <v>28669</v>
      </c>
      <c r="G9123" t="s">
        <v>28675</v>
      </c>
      <c r="H9123" t="s">
        <v>9998</v>
      </c>
      <c r="I9123" t="s">
        <v>28710</v>
      </c>
      <c r="J9123" t="s">
        <v>28863</v>
      </c>
      <c r="K9123" t="s">
        <v>37209</v>
      </c>
      <c r="M9123" t="s">
        <v>39689</v>
      </c>
      <c r="N9123" t="s">
        <v>41249</v>
      </c>
      <c r="O9123" t="s">
        <v>41250</v>
      </c>
      <c r="P9123">
        <v>0</v>
      </c>
      <c r="Q9123">
        <v>0</v>
      </c>
      <c r="R9123" t="s">
        <v>41259</v>
      </c>
      <c r="S9123" t="s">
        <v>41562</v>
      </c>
      <c r="T9123" t="s">
        <v>42767</v>
      </c>
      <c r="U9123" t="s">
        <v>48255</v>
      </c>
      <c r="W9123" t="s">
        <v>39689</v>
      </c>
      <c r="X9123" t="s">
        <v>41260</v>
      </c>
    </row>
    <row r="9124" spans="1:24">
      <c r="A9124">
        <f>HYPERLINK("https://www.philgeps.gov.ph/GEPSNONPILOT/Tender/SplashBidNoticeAbstractUI.aspx?menuIndex=3&amp;refID=7062873&amp;Result=3","7062873")</f>
        <v>0</v>
      </c>
      <c r="B9124" t="s">
        <v>2716</v>
      </c>
      <c r="C9124" t="s">
        <v>12089</v>
      </c>
      <c r="D9124" t="s">
        <v>16608</v>
      </c>
      <c r="E9124" t="s">
        <v>24643</v>
      </c>
      <c r="F9124" t="s">
        <v>28669</v>
      </c>
      <c r="G9124" t="s">
        <v>28675</v>
      </c>
      <c r="H9124" t="s">
        <v>28684</v>
      </c>
      <c r="I9124" t="s">
        <v>3658</v>
      </c>
      <c r="J9124" t="s">
        <v>29034</v>
      </c>
      <c r="K9124" t="s">
        <v>37204</v>
      </c>
      <c r="M9124" t="s">
        <v>40428</v>
      </c>
      <c r="N9124" t="s">
        <v>41249</v>
      </c>
      <c r="O9124" t="s">
        <v>41250</v>
      </c>
      <c r="P9124">
        <v>0</v>
      </c>
      <c r="Q9124">
        <v>2</v>
      </c>
      <c r="R9124" t="s">
        <v>41259</v>
      </c>
      <c r="S9124" t="s">
        <v>41562</v>
      </c>
      <c r="T9124" t="s">
        <v>42908</v>
      </c>
      <c r="U9124" t="s">
        <v>50578</v>
      </c>
      <c r="V9124" t="s">
        <v>55270</v>
      </c>
      <c r="W9124" t="s">
        <v>40428</v>
      </c>
      <c r="X9124" t="s">
        <v>41260</v>
      </c>
    </row>
    <row r="9125" spans="1:24">
      <c r="A9125">
        <f>HYPERLINK("https://www.philgeps.gov.ph/GEPSNONPILOT/Tender/SplashBidNoticeAbstractUI.aspx?menuIndex=3&amp;refID=7062892&amp;Result=3","7062892")</f>
        <v>0</v>
      </c>
      <c r="B9125" t="s">
        <v>2720</v>
      </c>
      <c r="C9125" t="s">
        <v>12090</v>
      </c>
      <c r="D9125" t="s">
        <v>16626</v>
      </c>
      <c r="E9125" t="s">
        <v>24644</v>
      </c>
      <c r="F9125" t="s">
        <v>28669</v>
      </c>
      <c r="G9125" t="s">
        <v>28675</v>
      </c>
      <c r="H9125" t="s">
        <v>9998</v>
      </c>
      <c r="I9125" t="s">
        <v>7352</v>
      </c>
      <c r="J9125" t="s">
        <v>34486</v>
      </c>
      <c r="K9125" t="s">
        <v>37209</v>
      </c>
      <c r="M9125" t="s">
        <v>40433</v>
      </c>
      <c r="N9125" t="s">
        <v>41249</v>
      </c>
      <c r="O9125" t="s">
        <v>41250</v>
      </c>
      <c r="P9125">
        <v>0</v>
      </c>
      <c r="Q9125">
        <v>0</v>
      </c>
      <c r="R9125" t="s">
        <v>41259</v>
      </c>
      <c r="S9125" t="s">
        <v>41562</v>
      </c>
      <c r="T9125" t="s">
        <v>42910</v>
      </c>
      <c r="U9125" t="s">
        <v>50579</v>
      </c>
      <c r="V9125" t="s">
        <v>55276</v>
      </c>
      <c r="W9125" t="s">
        <v>40433</v>
      </c>
      <c r="X9125" t="s">
        <v>41260</v>
      </c>
    </row>
    <row r="9126" spans="1:24">
      <c r="A9126">
        <f>HYPERLINK("https://www.philgeps.gov.ph/GEPSNONPILOT/Tender/SplashBidNoticeAbstractUI.aspx?menuIndex=3&amp;refID=7062895&amp;Result=3","7062895")</f>
        <v>0</v>
      </c>
      <c r="B9126" t="s">
        <v>648</v>
      </c>
      <c r="C9126" t="s">
        <v>12091</v>
      </c>
      <c r="D9126" t="s">
        <v>16648</v>
      </c>
      <c r="E9126" t="s">
        <v>24645</v>
      </c>
      <c r="F9126" t="s">
        <v>28669</v>
      </c>
      <c r="G9126" t="s">
        <v>28675</v>
      </c>
      <c r="H9126" t="s">
        <v>9998</v>
      </c>
      <c r="I9126" t="s">
        <v>7352</v>
      </c>
      <c r="J9126" t="s">
        <v>34487</v>
      </c>
      <c r="K9126" t="s">
        <v>37210</v>
      </c>
      <c r="M9126" t="s">
        <v>38149</v>
      </c>
      <c r="N9126" t="s">
        <v>41249</v>
      </c>
      <c r="O9126" t="s">
        <v>41250</v>
      </c>
      <c r="P9126">
        <v>0</v>
      </c>
      <c r="Q9126">
        <v>0</v>
      </c>
      <c r="R9126" t="s">
        <v>41259</v>
      </c>
      <c r="S9126" t="s">
        <v>41562</v>
      </c>
      <c r="T9126" t="s">
        <v>42727</v>
      </c>
      <c r="U9126" t="s">
        <v>50580</v>
      </c>
      <c r="W9126" t="s">
        <v>38149</v>
      </c>
      <c r="X9126" t="s">
        <v>41260</v>
      </c>
    </row>
    <row r="9127" spans="1:24">
      <c r="A9127">
        <f>HYPERLINK("https://www.philgeps.gov.ph/GEPSNONPILOT/Tender/SplashBidNoticeAbstractUI.aspx?menuIndex=3&amp;refID=7062860&amp;Result=3","7062860")</f>
        <v>0</v>
      </c>
      <c r="B9127" t="s">
        <v>2716</v>
      </c>
      <c r="C9127" t="s">
        <v>3707</v>
      </c>
      <c r="D9127" t="s">
        <v>16608</v>
      </c>
      <c r="E9127" t="s">
        <v>24646</v>
      </c>
      <c r="F9127" t="s">
        <v>28669</v>
      </c>
      <c r="G9127" t="s">
        <v>28675</v>
      </c>
      <c r="H9127" t="s">
        <v>28684</v>
      </c>
      <c r="I9127" t="s">
        <v>5213</v>
      </c>
      <c r="J9127" t="s">
        <v>34488</v>
      </c>
      <c r="K9127" t="s">
        <v>37204</v>
      </c>
      <c r="M9127" t="s">
        <v>40428</v>
      </c>
      <c r="N9127" t="s">
        <v>41249</v>
      </c>
      <c r="O9127" t="s">
        <v>41250</v>
      </c>
      <c r="P9127">
        <v>0</v>
      </c>
      <c r="Q9127">
        <v>3</v>
      </c>
      <c r="R9127" t="s">
        <v>41259</v>
      </c>
      <c r="S9127" t="s">
        <v>41562</v>
      </c>
      <c r="T9127" t="s">
        <v>42736</v>
      </c>
      <c r="U9127" t="s">
        <v>50581</v>
      </c>
      <c r="V9127" t="s">
        <v>55270</v>
      </c>
      <c r="W9127" t="s">
        <v>40428</v>
      </c>
      <c r="X9127" t="s">
        <v>41260</v>
      </c>
    </row>
    <row r="9128" spans="1:24">
      <c r="A9128">
        <f>HYPERLINK("https://www.philgeps.gov.ph/GEPSNONPILOT/Tender/SplashBidNoticeAbstractUI.aspx?menuIndex=3&amp;refID=7062858&amp;Result=3","7062858")</f>
        <v>0</v>
      </c>
      <c r="B9128" t="s">
        <v>547</v>
      </c>
      <c r="C9128" t="s">
        <v>12092</v>
      </c>
      <c r="D9128" t="s">
        <v>16627</v>
      </c>
      <c r="E9128" t="s">
        <v>24647</v>
      </c>
      <c r="F9128" t="s">
        <v>28669</v>
      </c>
      <c r="G9128" t="s">
        <v>28675</v>
      </c>
      <c r="H9128" t="s">
        <v>28686</v>
      </c>
      <c r="I9128" t="s">
        <v>28689</v>
      </c>
      <c r="J9128" t="s">
        <v>34489</v>
      </c>
      <c r="K9128" t="s">
        <v>37213</v>
      </c>
      <c r="M9128" t="s">
        <v>38040</v>
      </c>
      <c r="N9128" t="s">
        <v>41249</v>
      </c>
      <c r="O9128" t="s">
        <v>41250</v>
      </c>
      <c r="P9128">
        <v>0</v>
      </c>
      <c r="Q9128">
        <v>0</v>
      </c>
      <c r="R9128" t="s">
        <v>41259</v>
      </c>
      <c r="S9128" t="s">
        <v>41562</v>
      </c>
      <c r="T9128" t="s">
        <v>42688</v>
      </c>
      <c r="U9128" t="s">
        <v>50582</v>
      </c>
      <c r="W9128" t="s">
        <v>38040</v>
      </c>
      <c r="X9128" t="s">
        <v>41260</v>
      </c>
    </row>
    <row r="9129" spans="1:24">
      <c r="A9129">
        <f>HYPERLINK("https://www.philgeps.gov.ph/GEPSNONPILOT/Tender/SplashBidNoticeAbstractUI.aspx?menuIndex=3&amp;refID=7062851&amp;Result=3","7062851")</f>
        <v>0</v>
      </c>
      <c r="B9129" t="s">
        <v>788</v>
      </c>
      <c r="C9129" t="s">
        <v>12093</v>
      </c>
      <c r="D9129" t="s">
        <v>16648</v>
      </c>
      <c r="E9129" t="s">
        <v>24648</v>
      </c>
      <c r="F9129" t="s">
        <v>28669</v>
      </c>
      <c r="G9129" t="s">
        <v>28675</v>
      </c>
      <c r="H9129" t="s">
        <v>28686</v>
      </c>
      <c r="I9129" t="s">
        <v>28689</v>
      </c>
      <c r="J9129" t="s">
        <v>34490</v>
      </c>
      <c r="K9129" t="s">
        <v>37290</v>
      </c>
      <c r="M9129" t="s">
        <v>38302</v>
      </c>
      <c r="N9129" t="s">
        <v>41249</v>
      </c>
      <c r="O9129" t="s">
        <v>41250</v>
      </c>
      <c r="P9129">
        <v>0</v>
      </c>
      <c r="Q9129">
        <v>1</v>
      </c>
      <c r="R9129" t="s">
        <v>41259</v>
      </c>
      <c r="S9129" t="s">
        <v>41562</v>
      </c>
      <c r="T9129" t="s">
        <v>42755</v>
      </c>
      <c r="U9129" t="s">
        <v>50583</v>
      </c>
      <c r="W9129" t="s">
        <v>38302</v>
      </c>
      <c r="X9129" t="s">
        <v>41260</v>
      </c>
    </row>
    <row r="9130" spans="1:24">
      <c r="A9130">
        <f>HYPERLINK("https://www.philgeps.gov.ph/GEPSNONPILOT/Tender/SplashBidNoticeAbstractUI.aspx?menuIndex=3&amp;refID=7062893&amp;Result=3","7062893")</f>
        <v>0</v>
      </c>
      <c r="B9130" t="s">
        <v>2726</v>
      </c>
      <c r="C9130" t="s">
        <v>12094</v>
      </c>
      <c r="D9130" t="s">
        <v>16642</v>
      </c>
      <c r="E9130" t="s">
        <v>16803</v>
      </c>
      <c r="F9130" t="s">
        <v>28669</v>
      </c>
      <c r="G9130" t="s">
        <v>28675</v>
      </c>
      <c r="H9130" t="s">
        <v>9998</v>
      </c>
      <c r="I9130" t="s">
        <v>3718</v>
      </c>
      <c r="J9130" t="s">
        <v>29040</v>
      </c>
      <c r="K9130" t="s">
        <v>37204</v>
      </c>
      <c r="M9130" t="s">
        <v>40439</v>
      </c>
      <c r="N9130" t="s">
        <v>41249</v>
      </c>
      <c r="O9130" t="s">
        <v>41250</v>
      </c>
      <c r="P9130">
        <v>0</v>
      </c>
      <c r="Q9130">
        <v>1</v>
      </c>
      <c r="R9130" t="s">
        <v>41259</v>
      </c>
      <c r="S9130" t="s">
        <v>41562</v>
      </c>
      <c r="T9130" t="s">
        <v>42758</v>
      </c>
      <c r="U9130" t="s">
        <v>50584</v>
      </c>
      <c r="W9130" t="s">
        <v>40439</v>
      </c>
      <c r="X9130" t="s">
        <v>41260</v>
      </c>
    </row>
    <row r="9131" spans="1:24">
      <c r="A9131">
        <f>HYPERLINK("https://www.philgeps.gov.ph/GEPSNONPILOT/Tender/SplashBidNoticeAbstractUI.aspx?menuIndex=3&amp;refID=7062902&amp;Result=3","7062902")</f>
        <v>0</v>
      </c>
      <c r="B9131" t="s">
        <v>2727</v>
      </c>
      <c r="C9131" t="s">
        <v>12095</v>
      </c>
      <c r="D9131" t="s">
        <v>16670</v>
      </c>
      <c r="E9131" t="s">
        <v>24649</v>
      </c>
      <c r="F9131" t="s">
        <v>28669</v>
      </c>
      <c r="G9131" t="s">
        <v>28675</v>
      </c>
      <c r="H9131" t="s">
        <v>28686</v>
      </c>
      <c r="I9131" t="s">
        <v>28689</v>
      </c>
      <c r="J9131" t="s">
        <v>34491</v>
      </c>
      <c r="K9131" t="s">
        <v>37207</v>
      </c>
      <c r="M9131" t="s">
        <v>40440</v>
      </c>
      <c r="N9131" t="s">
        <v>41249</v>
      </c>
      <c r="O9131" t="s">
        <v>41250</v>
      </c>
      <c r="P9131">
        <v>0</v>
      </c>
      <c r="Q9131">
        <v>1</v>
      </c>
      <c r="R9131" t="s">
        <v>41259</v>
      </c>
      <c r="S9131" t="s">
        <v>41562</v>
      </c>
      <c r="T9131" t="s">
        <v>42809</v>
      </c>
      <c r="U9131" t="s">
        <v>50585</v>
      </c>
      <c r="V9131" t="s">
        <v>55279</v>
      </c>
      <c r="W9131" t="s">
        <v>40440</v>
      </c>
      <c r="X9131" t="s">
        <v>41260</v>
      </c>
    </row>
    <row r="9132" spans="1:24">
      <c r="A9132">
        <f>HYPERLINK("https://www.philgeps.gov.ph/GEPSNONPILOT/Tender/SplashBidNoticeAbstractUI.aspx?menuIndex=3&amp;refID=7062954&amp;Result=3","7062954")</f>
        <v>0</v>
      </c>
      <c r="B9132" t="s">
        <v>1340</v>
      </c>
      <c r="C9132" t="s">
        <v>12096</v>
      </c>
      <c r="D9132" t="s">
        <v>16621</v>
      </c>
      <c r="E9132" t="s">
        <v>24650</v>
      </c>
      <c r="F9132" t="s">
        <v>28669</v>
      </c>
      <c r="G9132" t="s">
        <v>28675</v>
      </c>
      <c r="H9132" t="s">
        <v>28686</v>
      </c>
      <c r="I9132" t="s">
        <v>28689</v>
      </c>
      <c r="J9132" t="s">
        <v>34492</v>
      </c>
      <c r="K9132" t="s">
        <v>37213</v>
      </c>
      <c r="M9132" t="s">
        <v>40372</v>
      </c>
      <c r="N9132" t="s">
        <v>41249</v>
      </c>
      <c r="O9132" t="s">
        <v>41250</v>
      </c>
      <c r="P9132">
        <v>0</v>
      </c>
      <c r="Q9132">
        <v>0</v>
      </c>
      <c r="R9132" t="s">
        <v>41259</v>
      </c>
      <c r="S9132" t="s">
        <v>41562</v>
      </c>
      <c r="T9132" t="s">
        <v>42782</v>
      </c>
      <c r="U9132" t="s">
        <v>50576</v>
      </c>
      <c r="V9132" t="s">
        <v>55245</v>
      </c>
      <c r="W9132" t="s">
        <v>40372</v>
      </c>
      <c r="X9132" t="s">
        <v>41260</v>
      </c>
    </row>
    <row r="9133" spans="1:24">
      <c r="A9133">
        <f>HYPERLINK("https://www.philgeps.gov.ph/GEPSNONPILOT/Tender/SplashBidNoticeAbstractUI.aspx?menuIndex=3&amp;refID=7062900&amp;Result=3","7062900")</f>
        <v>0</v>
      </c>
      <c r="B9133" t="s">
        <v>2721</v>
      </c>
      <c r="C9133" t="s">
        <v>12097</v>
      </c>
      <c r="D9133" t="s">
        <v>16622</v>
      </c>
      <c r="E9133" t="s">
        <v>24651</v>
      </c>
      <c r="F9133" t="s">
        <v>28669</v>
      </c>
      <c r="G9133" t="s">
        <v>28675</v>
      </c>
      <c r="H9133" t="s">
        <v>28686</v>
      </c>
      <c r="I9133" t="s">
        <v>28689</v>
      </c>
      <c r="J9133" t="s">
        <v>34493</v>
      </c>
      <c r="K9133" t="s">
        <v>37209</v>
      </c>
      <c r="M9133" t="s">
        <v>40434</v>
      </c>
      <c r="N9133" t="s">
        <v>41249</v>
      </c>
      <c r="O9133" t="s">
        <v>41250</v>
      </c>
      <c r="P9133">
        <v>0</v>
      </c>
      <c r="Q9133">
        <v>0</v>
      </c>
      <c r="R9133" t="s">
        <v>41259</v>
      </c>
      <c r="S9133" t="s">
        <v>41562</v>
      </c>
      <c r="T9133" t="s">
        <v>42761</v>
      </c>
      <c r="U9133" t="s">
        <v>50586</v>
      </c>
      <c r="W9133" t="s">
        <v>40434</v>
      </c>
      <c r="X9133" t="s">
        <v>41260</v>
      </c>
    </row>
    <row r="9134" spans="1:24">
      <c r="A9134">
        <f>HYPERLINK("https://www.philgeps.gov.ph/GEPSNONPILOT/Tender/SplashBidNoticeAbstractUI.aspx?menuIndex=3&amp;refID=7062952&amp;Result=3","7062952")</f>
        <v>0</v>
      </c>
      <c r="B9134" t="s">
        <v>193</v>
      </c>
      <c r="C9134" t="s">
        <v>12098</v>
      </c>
      <c r="D9134" t="s">
        <v>16658</v>
      </c>
      <c r="E9134" t="s">
        <v>24652</v>
      </c>
      <c r="F9134" t="s">
        <v>28669</v>
      </c>
      <c r="G9134" t="s">
        <v>28679</v>
      </c>
      <c r="H9134" t="s">
        <v>28686</v>
      </c>
      <c r="I9134" t="s">
        <v>28689</v>
      </c>
      <c r="J9134" t="s">
        <v>34494</v>
      </c>
      <c r="K9134" t="s">
        <v>37205</v>
      </c>
      <c r="M9134" t="s">
        <v>37671</v>
      </c>
      <c r="N9134" t="s">
        <v>41249</v>
      </c>
      <c r="O9134" t="s">
        <v>41250</v>
      </c>
      <c r="P9134">
        <v>0</v>
      </c>
      <c r="Q9134">
        <v>0</v>
      </c>
      <c r="R9134" t="s">
        <v>41259</v>
      </c>
      <c r="S9134" t="s">
        <v>41562</v>
      </c>
      <c r="T9134" t="s">
        <v>42736</v>
      </c>
      <c r="U9134" t="s">
        <v>50587</v>
      </c>
      <c r="W9134" t="s">
        <v>37671</v>
      </c>
      <c r="X9134" t="s">
        <v>41260</v>
      </c>
    </row>
    <row r="9135" spans="1:24">
      <c r="A9135">
        <f>HYPERLINK("https://www.philgeps.gov.ph/GEPSNONPILOT/Tender/SplashBidNoticeAbstractUI.aspx?menuIndex=3&amp;refID=7062941&amp;Result=3","7062941")</f>
        <v>0</v>
      </c>
      <c r="B9135" t="s">
        <v>193</v>
      </c>
      <c r="C9135" t="s">
        <v>12099</v>
      </c>
      <c r="D9135" t="s">
        <v>16658</v>
      </c>
      <c r="E9135" t="s">
        <v>24653</v>
      </c>
      <c r="F9135" t="s">
        <v>28669</v>
      </c>
      <c r="G9135" t="s">
        <v>28675</v>
      </c>
      <c r="H9135" t="s">
        <v>28686</v>
      </c>
      <c r="I9135" t="s">
        <v>28689</v>
      </c>
      <c r="J9135" t="s">
        <v>34495</v>
      </c>
      <c r="K9135" t="s">
        <v>37220</v>
      </c>
      <c r="M9135" t="s">
        <v>37671</v>
      </c>
      <c r="N9135" t="s">
        <v>41249</v>
      </c>
      <c r="O9135" t="s">
        <v>41250</v>
      </c>
      <c r="P9135">
        <v>0</v>
      </c>
      <c r="Q9135">
        <v>0</v>
      </c>
      <c r="R9135" t="s">
        <v>41259</v>
      </c>
      <c r="S9135" t="s">
        <v>41562</v>
      </c>
      <c r="T9135" t="s">
        <v>42760</v>
      </c>
      <c r="U9135" t="s">
        <v>50588</v>
      </c>
      <c r="V9135" t="s">
        <v>54425</v>
      </c>
      <c r="W9135" t="s">
        <v>37671</v>
      </c>
      <c r="X9135" t="s">
        <v>41260</v>
      </c>
    </row>
    <row r="9136" spans="1:24">
      <c r="A9136">
        <f>HYPERLINK("https://www.philgeps.gov.ph/GEPSNONPILOT/Tender/SplashBidNoticeAbstractUI.aspx?menuIndex=3&amp;refID=7062939&amp;Result=3","7062939")</f>
        <v>0</v>
      </c>
      <c r="B9136" t="s">
        <v>990</v>
      </c>
      <c r="C9136" t="s">
        <v>12100</v>
      </c>
      <c r="D9136" t="s">
        <v>16658</v>
      </c>
      <c r="E9136" t="s">
        <v>24654</v>
      </c>
      <c r="F9136" t="s">
        <v>28669</v>
      </c>
      <c r="G9136" t="s">
        <v>28679</v>
      </c>
      <c r="H9136" t="s">
        <v>28686</v>
      </c>
      <c r="I9136" t="s">
        <v>28689</v>
      </c>
      <c r="J9136" t="s">
        <v>34496</v>
      </c>
      <c r="K9136" t="s">
        <v>37209</v>
      </c>
      <c r="M9136" t="s">
        <v>38517</v>
      </c>
      <c r="N9136" t="s">
        <v>41249</v>
      </c>
      <c r="O9136" t="s">
        <v>41250</v>
      </c>
      <c r="P9136">
        <v>0</v>
      </c>
      <c r="Q9136">
        <v>1</v>
      </c>
      <c r="R9136" t="s">
        <v>41259</v>
      </c>
      <c r="S9136" t="s">
        <v>41562</v>
      </c>
      <c r="T9136" t="s">
        <v>42728</v>
      </c>
      <c r="U9136" t="s">
        <v>45220</v>
      </c>
      <c r="W9136" t="s">
        <v>38517</v>
      </c>
      <c r="X9136" t="s">
        <v>41260</v>
      </c>
    </row>
    <row r="9137" spans="1:24">
      <c r="A9137">
        <f>HYPERLINK("https://www.philgeps.gov.ph/GEPSNONPILOT/Tender/SplashBidNoticeAbstractUI.aspx?menuIndex=3&amp;refID=7062937&amp;Result=3","7062937")</f>
        <v>0</v>
      </c>
      <c r="B9137" t="s">
        <v>2728</v>
      </c>
      <c r="C9137" t="s">
        <v>12101</v>
      </c>
      <c r="D9137" t="s">
        <v>16679</v>
      </c>
      <c r="E9137" t="s">
        <v>24655</v>
      </c>
      <c r="F9137" t="s">
        <v>28669</v>
      </c>
      <c r="G9137" t="s">
        <v>28676</v>
      </c>
      <c r="H9137" t="s">
        <v>9998</v>
      </c>
      <c r="I9137" t="s">
        <v>28729</v>
      </c>
      <c r="J9137" t="s">
        <v>28834</v>
      </c>
      <c r="K9137" t="s">
        <v>37206</v>
      </c>
      <c r="M9137" t="s">
        <v>40441</v>
      </c>
      <c r="N9137" t="s">
        <v>41249</v>
      </c>
      <c r="O9137" t="s">
        <v>41250</v>
      </c>
      <c r="P9137">
        <v>0</v>
      </c>
      <c r="Q9137">
        <v>9</v>
      </c>
      <c r="R9137" t="s">
        <v>41259</v>
      </c>
      <c r="S9137" t="s">
        <v>41562</v>
      </c>
      <c r="T9137" t="s">
        <v>42754</v>
      </c>
      <c r="U9137" t="s">
        <v>50589</v>
      </c>
      <c r="W9137" t="s">
        <v>40441</v>
      </c>
      <c r="X9137" t="s">
        <v>41260</v>
      </c>
    </row>
    <row r="9138" spans="1:24">
      <c r="A9138">
        <f>HYPERLINK("https://www.philgeps.gov.ph/GEPSNONPILOT/Tender/SplashBidNoticeAbstractUI.aspx?menuIndex=3&amp;refID=7062928&amp;Result=3","7062928")</f>
        <v>0</v>
      </c>
      <c r="B9138" t="s">
        <v>648</v>
      </c>
      <c r="C9138" t="s">
        <v>12102</v>
      </c>
      <c r="D9138" t="s">
        <v>16648</v>
      </c>
      <c r="E9138" t="s">
        <v>24656</v>
      </c>
      <c r="F9138" t="s">
        <v>28669</v>
      </c>
      <c r="G9138" t="s">
        <v>28675</v>
      </c>
      <c r="H9138" t="s">
        <v>9998</v>
      </c>
      <c r="I9138" t="s">
        <v>7352</v>
      </c>
      <c r="J9138" t="s">
        <v>34497</v>
      </c>
      <c r="K9138" t="s">
        <v>37210</v>
      </c>
      <c r="M9138" t="s">
        <v>38149</v>
      </c>
      <c r="N9138" t="s">
        <v>41249</v>
      </c>
      <c r="O9138" t="s">
        <v>41250</v>
      </c>
      <c r="P9138">
        <v>0</v>
      </c>
      <c r="Q9138">
        <v>0</v>
      </c>
      <c r="R9138" t="s">
        <v>41259</v>
      </c>
      <c r="S9138" t="s">
        <v>41562</v>
      </c>
      <c r="T9138" t="s">
        <v>42727</v>
      </c>
      <c r="U9138" t="s">
        <v>50590</v>
      </c>
      <c r="W9138" t="s">
        <v>38149</v>
      </c>
      <c r="X9138" t="s">
        <v>41260</v>
      </c>
    </row>
    <row r="9139" spans="1:24">
      <c r="A9139">
        <f>HYPERLINK("https://www.philgeps.gov.ph/GEPSNONPILOT/Tender/SplashBidNoticeAbstractUI.aspx?menuIndex=3&amp;refID=7062955&amp;Result=3","7062955")</f>
        <v>0</v>
      </c>
      <c r="B9139" t="s">
        <v>2430</v>
      </c>
      <c r="C9139" t="s">
        <v>12103</v>
      </c>
      <c r="D9139" t="s">
        <v>16658</v>
      </c>
      <c r="E9139" t="s">
        <v>24657</v>
      </c>
      <c r="F9139" t="s">
        <v>28669</v>
      </c>
      <c r="G9139" t="s">
        <v>28675</v>
      </c>
      <c r="H9139" t="s">
        <v>9998</v>
      </c>
      <c r="I9139" t="s">
        <v>7352</v>
      </c>
      <c r="J9139" t="s">
        <v>34498</v>
      </c>
      <c r="K9139" t="s">
        <v>37210</v>
      </c>
      <c r="L9139" t="s">
        <v>2430</v>
      </c>
      <c r="M9139" t="s">
        <v>40113</v>
      </c>
      <c r="N9139" t="s">
        <v>41249</v>
      </c>
      <c r="O9139" t="s">
        <v>41250</v>
      </c>
      <c r="P9139">
        <v>0</v>
      </c>
      <c r="Q9139">
        <v>2</v>
      </c>
      <c r="R9139" t="s">
        <v>41259</v>
      </c>
      <c r="S9139" t="s">
        <v>41562</v>
      </c>
      <c r="T9139" t="s">
        <v>42739</v>
      </c>
      <c r="U9139" t="s">
        <v>49645</v>
      </c>
      <c r="W9139" t="s">
        <v>40113</v>
      </c>
      <c r="X9139" t="s">
        <v>41260</v>
      </c>
    </row>
    <row r="9140" spans="1:24">
      <c r="A9140">
        <f>HYPERLINK("https://www.philgeps.gov.ph/GEPSNONPILOT/Tender/SplashBidNoticeAbstractUI.aspx?menuIndex=3&amp;refID=7062891&amp;Result=3","7062891")</f>
        <v>0</v>
      </c>
      <c r="B9140" t="s">
        <v>2558</v>
      </c>
      <c r="C9140" t="s">
        <v>12104</v>
      </c>
      <c r="D9140" t="s">
        <v>16618</v>
      </c>
      <c r="E9140" t="s">
        <v>24658</v>
      </c>
      <c r="F9140" t="s">
        <v>28669</v>
      </c>
      <c r="G9140" t="s">
        <v>28675</v>
      </c>
      <c r="H9140" t="s">
        <v>28686</v>
      </c>
      <c r="I9140" t="s">
        <v>28689</v>
      </c>
      <c r="J9140" t="s">
        <v>30289</v>
      </c>
      <c r="K9140" t="s">
        <v>37219</v>
      </c>
      <c r="L9140" t="s">
        <v>2558</v>
      </c>
      <c r="M9140" t="s">
        <v>40251</v>
      </c>
      <c r="N9140" t="s">
        <v>41249</v>
      </c>
      <c r="O9140" t="s">
        <v>41250</v>
      </c>
      <c r="P9140">
        <v>0</v>
      </c>
      <c r="Q9140">
        <v>0</v>
      </c>
      <c r="R9140" t="s">
        <v>41259</v>
      </c>
      <c r="S9140" t="s">
        <v>41562</v>
      </c>
      <c r="T9140" t="s">
        <v>42839</v>
      </c>
      <c r="U9140" t="s">
        <v>50548</v>
      </c>
      <c r="W9140" t="s">
        <v>40251</v>
      </c>
      <c r="X9140" t="s">
        <v>41260</v>
      </c>
    </row>
    <row r="9141" spans="1:24">
      <c r="A9141">
        <f>HYPERLINK("https://www.philgeps.gov.ph/GEPSNONPILOT/Tender/SplashBidNoticeAbstractUI.aspx?menuIndex=3&amp;refID=7062884&amp;Result=3","7062884")</f>
        <v>0</v>
      </c>
      <c r="B9141" t="s">
        <v>2049</v>
      </c>
      <c r="C9141" t="s">
        <v>12047</v>
      </c>
      <c r="D9141" t="s">
        <v>16648</v>
      </c>
      <c r="E9141" t="s">
        <v>24659</v>
      </c>
      <c r="F9141" t="s">
        <v>28669</v>
      </c>
      <c r="G9141" t="s">
        <v>28675</v>
      </c>
      <c r="H9141" t="s">
        <v>9998</v>
      </c>
      <c r="I9141" t="s">
        <v>28710</v>
      </c>
      <c r="J9141" t="s">
        <v>29797</v>
      </c>
      <c r="K9141" t="s">
        <v>37209</v>
      </c>
      <c r="M9141" t="s">
        <v>39689</v>
      </c>
      <c r="N9141" t="s">
        <v>41249</v>
      </c>
      <c r="O9141" t="s">
        <v>41250</v>
      </c>
      <c r="P9141">
        <v>0</v>
      </c>
      <c r="Q9141">
        <v>0</v>
      </c>
      <c r="R9141" t="s">
        <v>41259</v>
      </c>
      <c r="S9141" t="s">
        <v>41562</v>
      </c>
      <c r="T9141" t="s">
        <v>42767</v>
      </c>
      <c r="U9141" t="s">
        <v>48255</v>
      </c>
      <c r="W9141" t="s">
        <v>39689</v>
      </c>
      <c r="X9141" t="s">
        <v>41260</v>
      </c>
    </row>
    <row r="9142" spans="1:24">
      <c r="A9142">
        <f>HYPERLINK("https://www.philgeps.gov.ph/GEPSNONPILOT/Tender/SplashBidNoticeAbstractUI.aspx?menuIndex=3&amp;refID=7062976&amp;Result=3","7062976")</f>
        <v>0</v>
      </c>
      <c r="B9142" t="s">
        <v>990</v>
      </c>
      <c r="C9142" t="s">
        <v>12105</v>
      </c>
      <c r="D9142" t="s">
        <v>16658</v>
      </c>
      <c r="E9142" t="s">
        <v>24660</v>
      </c>
      <c r="F9142" t="s">
        <v>28669</v>
      </c>
      <c r="G9142" t="s">
        <v>28675</v>
      </c>
      <c r="H9142" t="s">
        <v>28686</v>
      </c>
      <c r="I9142" t="s">
        <v>28689</v>
      </c>
      <c r="J9142" t="s">
        <v>34499</v>
      </c>
      <c r="K9142" t="s">
        <v>37209</v>
      </c>
      <c r="M9142" t="s">
        <v>38517</v>
      </c>
      <c r="N9142" t="s">
        <v>41249</v>
      </c>
      <c r="O9142" t="s">
        <v>41250</v>
      </c>
      <c r="P9142">
        <v>0</v>
      </c>
      <c r="Q9142">
        <v>1</v>
      </c>
      <c r="R9142" t="s">
        <v>41259</v>
      </c>
      <c r="S9142" t="s">
        <v>41562</v>
      </c>
      <c r="T9142" t="s">
        <v>42728</v>
      </c>
      <c r="U9142" t="s">
        <v>45220</v>
      </c>
      <c r="W9142" t="s">
        <v>38517</v>
      </c>
      <c r="X9142" t="s">
        <v>41260</v>
      </c>
    </row>
    <row r="9143" spans="1:24">
      <c r="A9143">
        <f>HYPERLINK("https://www.philgeps.gov.ph/GEPSNONPILOT/Tender/SplashBidNoticeAbstractUI.aspx?menuIndex=3&amp;refID=7062922&amp;Result=3","7062922")</f>
        <v>0</v>
      </c>
      <c r="B9143" t="s">
        <v>2558</v>
      </c>
      <c r="C9143" t="s">
        <v>12106</v>
      </c>
      <c r="D9143" t="s">
        <v>16618</v>
      </c>
      <c r="E9143" t="s">
        <v>24661</v>
      </c>
      <c r="F9143" t="s">
        <v>28669</v>
      </c>
      <c r="G9143" t="s">
        <v>28675</v>
      </c>
      <c r="H9143" t="s">
        <v>28686</v>
      </c>
      <c r="I9143" t="s">
        <v>28689</v>
      </c>
      <c r="J9143" t="s">
        <v>30289</v>
      </c>
      <c r="K9143" t="s">
        <v>37213</v>
      </c>
      <c r="L9143" t="s">
        <v>2558</v>
      </c>
      <c r="M9143" t="s">
        <v>40251</v>
      </c>
      <c r="N9143" t="s">
        <v>41249</v>
      </c>
      <c r="O9143" t="s">
        <v>41250</v>
      </c>
      <c r="P9143">
        <v>0</v>
      </c>
      <c r="Q9143">
        <v>0</v>
      </c>
      <c r="R9143" t="s">
        <v>41259</v>
      </c>
      <c r="S9143" t="s">
        <v>41562</v>
      </c>
      <c r="T9143" t="s">
        <v>42839</v>
      </c>
      <c r="U9143" t="s">
        <v>50548</v>
      </c>
      <c r="W9143" t="s">
        <v>40251</v>
      </c>
      <c r="X9143" t="s">
        <v>41260</v>
      </c>
    </row>
    <row r="9144" spans="1:24">
      <c r="A9144">
        <f>HYPERLINK("https://www.philgeps.gov.ph/GEPSNONPILOT/Tender/SplashBidNoticeAbstractUI.aspx?menuIndex=3&amp;refID=7062970&amp;Result=3","7062970")</f>
        <v>0</v>
      </c>
      <c r="B9144" t="s">
        <v>193</v>
      </c>
      <c r="C9144" t="s">
        <v>12107</v>
      </c>
      <c r="D9144" t="s">
        <v>16658</v>
      </c>
      <c r="E9144" t="s">
        <v>24662</v>
      </c>
      <c r="F9144" t="s">
        <v>28669</v>
      </c>
      <c r="G9144" t="s">
        <v>28679</v>
      </c>
      <c r="H9144" t="s">
        <v>28686</v>
      </c>
      <c r="I9144" t="s">
        <v>28689</v>
      </c>
      <c r="J9144" t="s">
        <v>34500</v>
      </c>
      <c r="K9144" t="s">
        <v>37205</v>
      </c>
      <c r="M9144" t="s">
        <v>37671</v>
      </c>
      <c r="N9144" t="s">
        <v>41249</v>
      </c>
      <c r="O9144" t="s">
        <v>41250</v>
      </c>
      <c r="P9144">
        <v>0</v>
      </c>
      <c r="Q9144">
        <v>0</v>
      </c>
      <c r="R9144" t="s">
        <v>41259</v>
      </c>
      <c r="S9144" t="s">
        <v>41562</v>
      </c>
      <c r="T9144" t="s">
        <v>42736</v>
      </c>
      <c r="U9144" t="s">
        <v>50591</v>
      </c>
      <c r="W9144" t="s">
        <v>37671</v>
      </c>
      <c r="X9144" t="s">
        <v>41260</v>
      </c>
    </row>
    <row r="9145" spans="1:24">
      <c r="A9145">
        <f>HYPERLINK("https://www.philgeps.gov.ph/GEPSNONPILOT/Tender/SplashBidNoticeAbstractUI.aspx?menuIndex=3&amp;refID=7062917&amp;Result=3","7062917")</f>
        <v>0</v>
      </c>
      <c r="B9145" t="s">
        <v>1961</v>
      </c>
      <c r="C9145" t="s">
        <v>12108</v>
      </c>
      <c r="D9145" t="s">
        <v>16608</v>
      </c>
      <c r="E9145" t="s">
        <v>24663</v>
      </c>
      <c r="F9145" t="s">
        <v>28669</v>
      </c>
      <c r="G9145" t="s">
        <v>28675</v>
      </c>
      <c r="H9145" t="s">
        <v>9998</v>
      </c>
      <c r="I9145" t="s">
        <v>28693</v>
      </c>
      <c r="J9145" t="s">
        <v>34501</v>
      </c>
      <c r="K9145" t="s">
        <v>37209</v>
      </c>
      <c r="M9145" t="s">
        <v>40442</v>
      </c>
      <c r="N9145" t="s">
        <v>41249</v>
      </c>
      <c r="O9145" t="s">
        <v>41250</v>
      </c>
      <c r="P9145">
        <v>0</v>
      </c>
      <c r="Q9145">
        <v>9</v>
      </c>
      <c r="R9145" t="s">
        <v>41259</v>
      </c>
      <c r="S9145" t="s">
        <v>41562</v>
      </c>
      <c r="T9145" t="s">
        <v>42870</v>
      </c>
      <c r="U9145" t="s">
        <v>50592</v>
      </c>
      <c r="W9145" t="s">
        <v>40442</v>
      </c>
      <c r="X9145" t="s">
        <v>41260</v>
      </c>
    </row>
    <row r="9146" spans="1:24">
      <c r="A9146">
        <f>HYPERLINK("https://www.philgeps.gov.ph/GEPSNONPILOT/Tender/SplashBidNoticeAbstractUI.aspx?menuIndex=3&amp;refID=7062961&amp;Result=3","7062961")</f>
        <v>0</v>
      </c>
      <c r="B9146" t="s">
        <v>2729</v>
      </c>
      <c r="C9146" t="s">
        <v>12109</v>
      </c>
      <c r="D9146" t="s">
        <v>16622</v>
      </c>
      <c r="E9146" t="s">
        <v>18177</v>
      </c>
      <c r="F9146" t="s">
        <v>28669</v>
      </c>
      <c r="G9146" t="s">
        <v>28675</v>
      </c>
      <c r="H9146" t="s">
        <v>28686</v>
      </c>
      <c r="I9146" t="s">
        <v>28689</v>
      </c>
      <c r="J9146" t="s">
        <v>34502</v>
      </c>
      <c r="K9146" t="s">
        <v>37213</v>
      </c>
      <c r="M9146" t="s">
        <v>40443</v>
      </c>
      <c r="N9146" t="s">
        <v>41249</v>
      </c>
      <c r="O9146" t="s">
        <v>41250</v>
      </c>
      <c r="P9146">
        <v>0</v>
      </c>
      <c r="Q9146">
        <v>0</v>
      </c>
      <c r="R9146" t="s">
        <v>41259</v>
      </c>
      <c r="S9146" t="s">
        <v>41562</v>
      </c>
      <c r="T9146" t="s">
        <v>42754</v>
      </c>
      <c r="U9146" t="s">
        <v>50593</v>
      </c>
      <c r="W9146" t="s">
        <v>40443</v>
      </c>
      <c r="X9146" t="s">
        <v>41260</v>
      </c>
    </row>
    <row r="9147" spans="1:24">
      <c r="A9147">
        <f>HYPERLINK("https://www.philgeps.gov.ph/GEPSNONPILOT/Tender/SplashBidNoticeAbstractUI.aspx?menuIndex=3&amp;refID=7062908&amp;Result=3","7062908")</f>
        <v>0</v>
      </c>
      <c r="B9147" t="s">
        <v>2716</v>
      </c>
      <c r="C9147" t="s">
        <v>12110</v>
      </c>
      <c r="D9147" t="s">
        <v>16608</v>
      </c>
      <c r="E9147" t="s">
        <v>24664</v>
      </c>
      <c r="F9147" t="s">
        <v>28669</v>
      </c>
      <c r="G9147" t="s">
        <v>28675</v>
      </c>
      <c r="H9147" t="s">
        <v>28684</v>
      </c>
      <c r="I9147" t="s">
        <v>28687</v>
      </c>
      <c r="J9147" t="s">
        <v>28914</v>
      </c>
      <c r="K9147" t="s">
        <v>37206</v>
      </c>
      <c r="M9147" t="s">
        <v>40428</v>
      </c>
      <c r="N9147" t="s">
        <v>41249</v>
      </c>
      <c r="O9147" t="s">
        <v>41250</v>
      </c>
      <c r="P9147">
        <v>0</v>
      </c>
      <c r="Q9147">
        <v>2</v>
      </c>
      <c r="R9147" t="s">
        <v>41259</v>
      </c>
      <c r="S9147" t="s">
        <v>41562</v>
      </c>
      <c r="T9147" t="s">
        <v>43081</v>
      </c>
      <c r="U9147" t="s">
        <v>50594</v>
      </c>
      <c r="V9147" t="s">
        <v>55270</v>
      </c>
      <c r="W9147" t="s">
        <v>40428</v>
      </c>
      <c r="X9147" t="s">
        <v>41260</v>
      </c>
    </row>
    <row r="9148" spans="1:24">
      <c r="A9148">
        <f>HYPERLINK("https://www.philgeps.gov.ph/GEPSNONPILOT/Tender/SplashBidNoticeAbstractUI.aspx?menuIndex=3&amp;refID=7062959&amp;Result=3","7062959")</f>
        <v>0</v>
      </c>
      <c r="B9148" t="s">
        <v>648</v>
      </c>
      <c r="C9148" t="s">
        <v>12111</v>
      </c>
      <c r="D9148" t="s">
        <v>16648</v>
      </c>
      <c r="E9148" t="s">
        <v>24665</v>
      </c>
      <c r="F9148" t="s">
        <v>28669</v>
      </c>
      <c r="G9148" t="s">
        <v>28675</v>
      </c>
      <c r="H9148" t="s">
        <v>9998</v>
      </c>
      <c r="I9148" t="s">
        <v>7352</v>
      </c>
      <c r="J9148" t="s">
        <v>34503</v>
      </c>
      <c r="K9148" t="s">
        <v>37210</v>
      </c>
      <c r="M9148" t="s">
        <v>38149</v>
      </c>
      <c r="N9148" t="s">
        <v>41249</v>
      </c>
      <c r="O9148" t="s">
        <v>41250</v>
      </c>
      <c r="P9148">
        <v>0</v>
      </c>
      <c r="Q9148">
        <v>0</v>
      </c>
      <c r="R9148" t="s">
        <v>41259</v>
      </c>
      <c r="S9148" t="s">
        <v>41562</v>
      </c>
      <c r="T9148" t="s">
        <v>42727</v>
      </c>
      <c r="U9148" t="s">
        <v>50595</v>
      </c>
      <c r="W9148" t="s">
        <v>38149</v>
      </c>
      <c r="X9148" t="s">
        <v>41260</v>
      </c>
    </row>
    <row r="9149" spans="1:24">
      <c r="A9149">
        <f>HYPERLINK("https://www.philgeps.gov.ph/GEPSNONPILOT/Tender/SplashBidNoticeAbstractUI.aspx?menuIndex=3&amp;refID=7062906&amp;Result=3","7062906")</f>
        <v>0</v>
      </c>
      <c r="B9149" t="s">
        <v>990</v>
      </c>
      <c r="C9149" t="s">
        <v>12112</v>
      </c>
      <c r="D9149" t="s">
        <v>16658</v>
      </c>
      <c r="E9149" t="s">
        <v>24666</v>
      </c>
      <c r="F9149" t="s">
        <v>28669</v>
      </c>
      <c r="G9149" t="s">
        <v>28679</v>
      </c>
      <c r="H9149" t="s">
        <v>28686</v>
      </c>
      <c r="I9149" t="s">
        <v>28689</v>
      </c>
      <c r="J9149" t="s">
        <v>34504</v>
      </c>
      <c r="K9149" t="s">
        <v>37209</v>
      </c>
      <c r="M9149" t="s">
        <v>38517</v>
      </c>
      <c r="N9149" t="s">
        <v>41249</v>
      </c>
      <c r="O9149" t="s">
        <v>41250</v>
      </c>
      <c r="P9149">
        <v>0</v>
      </c>
      <c r="Q9149">
        <v>0</v>
      </c>
      <c r="R9149" t="s">
        <v>41259</v>
      </c>
      <c r="S9149" t="s">
        <v>41562</v>
      </c>
      <c r="T9149" t="s">
        <v>42887</v>
      </c>
      <c r="U9149" t="s">
        <v>45220</v>
      </c>
      <c r="W9149" t="s">
        <v>38517</v>
      </c>
      <c r="X9149" t="s">
        <v>41260</v>
      </c>
    </row>
    <row r="9150" spans="1:24">
      <c r="A9150">
        <f>HYPERLINK("https://www.philgeps.gov.ph/GEPSNONPILOT/Tender/SplashBidNoticeAbstractUI.aspx?menuIndex=3&amp;refID=7062973&amp;Result=3","7062973")</f>
        <v>0</v>
      </c>
      <c r="B9150" t="s">
        <v>2558</v>
      </c>
      <c r="C9150" t="s">
        <v>12113</v>
      </c>
      <c r="D9150" t="s">
        <v>16618</v>
      </c>
      <c r="E9150" t="s">
        <v>24667</v>
      </c>
      <c r="F9150" t="s">
        <v>28669</v>
      </c>
      <c r="G9150" t="s">
        <v>28675</v>
      </c>
      <c r="H9150" t="s">
        <v>28686</v>
      </c>
      <c r="I9150" t="s">
        <v>28689</v>
      </c>
      <c r="J9150" t="s">
        <v>30289</v>
      </c>
      <c r="K9150" t="s">
        <v>37273</v>
      </c>
      <c r="L9150" t="s">
        <v>2558</v>
      </c>
      <c r="M9150" t="s">
        <v>40251</v>
      </c>
      <c r="N9150" t="s">
        <v>41249</v>
      </c>
      <c r="O9150" t="s">
        <v>41250</v>
      </c>
      <c r="P9150">
        <v>0</v>
      </c>
      <c r="Q9150">
        <v>1</v>
      </c>
      <c r="R9150" t="s">
        <v>41259</v>
      </c>
      <c r="S9150" t="s">
        <v>41562</v>
      </c>
      <c r="T9150" t="s">
        <v>42839</v>
      </c>
      <c r="U9150" t="s">
        <v>50548</v>
      </c>
      <c r="W9150" t="s">
        <v>40251</v>
      </c>
      <c r="X9150" t="s">
        <v>41260</v>
      </c>
    </row>
    <row r="9151" spans="1:24">
      <c r="A9151">
        <f>HYPERLINK("https://www.philgeps.gov.ph/GEPSNONPILOT/Tender/SplashBidNoticeAbstractUI.aspx?menuIndex=3&amp;refID=7062960&amp;Result=3","7062960")</f>
        <v>0</v>
      </c>
      <c r="B9151" t="s">
        <v>193</v>
      </c>
      <c r="C9151" t="s">
        <v>12114</v>
      </c>
      <c r="D9151" t="s">
        <v>16658</v>
      </c>
      <c r="E9151" t="s">
        <v>24668</v>
      </c>
      <c r="F9151" t="s">
        <v>28669</v>
      </c>
      <c r="G9151" t="s">
        <v>28679</v>
      </c>
      <c r="H9151" t="s">
        <v>28686</v>
      </c>
      <c r="I9151" t="s">
        <v>28689</v>
      </c>
      <c r="J9151" t="s">
        <v>34505</v>
      </c>
      <c r="K9151" t="s">
        <v>37205</v>
      </c>
      <c r="M9151" t="s">
        <v>37671</v>
      </c>
      <c r="N9151" t="s">
        <v>41249</v>
      </c>
      <c r="O9151" t="s">
        <v>41250</v>
      </c>
      <c r="P9151">
        <v>0</v>
      </c>
      <c r="Q9151">
        <v>0</v>
      </c>
      <c r="R9151" t="s">
        <v>41259</v>
      </c>
      <c r="S9151" t="s">
        <v>41562</v>
      </c>
      <c r="T9151" t="s">
        <v>42736</v>
      </c>
      <c r="U9151" t="s">
        <v>50591</v>
      </c>
      <c r="W9151" t="s">
        <v>37671</v>
      </c>
      <c r="X9151" t="s">
        <v>41260</v>
      </c>
    </row>
    <row r="9152" spans="1:24">
      <c r="A9152">
        <f>HYPERLINK("https://www.philgeps.gov.ph/GEPSNONPILOT/Tender/SplashBidNoticeAbstractUI.aspx?menuIndex=3&amp;refID=7062962&amp;Result=3","7062962")</f>
        <v>0</v>
      </c>
      <c r="B9152" t="s">
        <v>2721</v>
      </c>
      <c r="C9152" t="s">
        <v>12115</v>
      </c>
      <c r="D9152" t="s">
        <v>16622</v>
      </c>
      <c r="E9152" t="s">
        <v>24669</v>
      </c>
      <c r="F9152" t="s">
        <v>28669</v>
      </c>
      <c r="G9152" t="s">
        <v>28675</v>
      </c>
      <c r="H9152" t="s">
        <v>28686</v>
      </c>
      <c r="I9152" t="s">
        <v>28689</v>
      </c>
      <c r="J9152" t="s">
        <v>34506</v>
      </c>
      <c r="K9152" t="s">
        <v>37209</v>
      </c>
      <c r="M9152" t="s">
        <v>40434</v>
      </c>
      <c r="N9152" t="s">
        <v>41249</v>
      </c>
      <c r="O9152" t="s">
        <v>41250</v>
      </c>
      <c r="P9152">
        <v>0</v>
      </c>
      <c r="Q9152">
        <v>0</v>
      </c>
      <c r="R9152" t="s">
        <v>41259</v>
      </c>
      <c r="S9152" t="s">
        <v>41562</v>
      </c>
      <c r="T9152" t="s">
        <v>42761</v>
      </c>
      <c r="U9152" t="s">
        <v>50596</v>
      </c>
      <c r="W9152" t="s">
        <v>40434</v>
      </c>
      <c r="X9152" t="s">
        <v>41260</v>
      </c>
    </row>
    <row r="9153" spans="1:24">
      <c r="A9153">
        <f>HYPERLINK("https://www.philgeps.gov.ph/GEPSNONPILOT/Tender/SplashBidNoticeAbstractUI.aspx?menuIndex=3&amp;refID=7062980&amp;Result=3","7062980")</f>
        <v>0</v>
      </c>
      <c r="B9153" t="s">
        <v>2730</v>
      </c>
      <c r="C9153" t="s">
        <v>12116</v>
      </c>
      <c r="D9153" t="s">
        <v>16640</v>
      </c>
      <c r="E9153" t="s">
        <v>24670</v>
      </c>
      <c r="F9153" t="s">
        <v>28669</v>
      </c>
      <c r="G9153" t="s">
        <v>28681</v>
      </c>
      <c r="H9153" t="s">
        <v>28685</v>
      </c>
      <c r="I9153" t="s">
        <v>28685</v>
      </c>
      <c r="J9153" t="s">
        <v>29003</v>
      </c>
      <c r="K9153" t="s">
        <v>37209</v>
      </c>
      <c r="M9153" t="s">
        <v>40444</v>
      </c>
      <c r="N9153" t="s">
        <v>41249</v>
      </c>
      <c r="O9153" t="s">
        <v>41250</v>
      </c>
      <c r="P9153">
        <v>0</v>
      </c>
      <c r="Q9153">
        <v>4</v>
      </c>
      <c r="R9153" t="s">
        <v>41259</v>
      </c>
      <c r="S9153" t="s">
        <v>41562</v>
      </c>
      <c r="T9153" t="s">
        <v>42743</v>
      </c>
      <c r="U9153" t="s">
        <v>50597</v>
      </c>
      <c r="V9153" t="s">
        <v>55280</v>
      </c>
      <c r="W9153" t="s">
        <v>56008</v>
      </c>
      <c r="X9153" t="s">
        <v>41260</v>
      </c>
    </row>
    <row r="9154" spans="1:24">
      <c r="A9154">
        <f>HYPERLINK("https://www.philgeps.gov.ph/GEPSNONPILOT/Tender/SplashBidNoticeAbstractUI.aspx?menuIndex=3&amp;refID=7063024&amp;Result=3","7063024")</f>
        <v>0</v>
      </c>
      <c r="B9154" t="s">
        <v>483</v>
      </c>
      <c r="C9154" t="s">
        <v>12117</v>
      </c>
      <c r="D9154" t="s">
        <v>16676</v>
      </c>
      <c r="E9154" t="s">
        <v>24671</v>
      </c>
      <c r="F9154" t="s">
        <v>28669</v>
      </c>
      <c r="G9154" t="s">
        <v>28675</v>
      </c>
      <c r="H9154" t="s">
        <v>9998</v>
      </c>
      <c r="I9154" t="s">
        <v>28695</v>
      </c>
      <c r="J9154" t="s">
        <v>34507</v>
      </c>
      <c r="K9154" t="s">
        <v>37213</v>
      </c>
      <c r="M9154" t="s">
        <v>37971</v>
      </c>
      <c r="N9154" t="s">
        <v>41249</v>
      </c>
      <c r="O9154" t="s">
        <v>41250</v>
      </c>
      <c r="P9154">
        <v>0</v>
      </c>
      <c r="Q9154">
        <v>0</v>
      </c>
      <c r="R9154" t="s">
        <v>41259</v>
      </c>
      <c r="S9154" t="s">
        <v>41562</v>
      </c>
      <c r="T9154" t="s">
        <v>42760</v>
      </c>
      <c r="U9154" t="s">
        <v>50598</v>
      </c>
      <c r="W9154" t="s">
        <v>37971</v>
      </c>
      <c r="X9154" t="s">
        <v>41260</v>
      </c>
    </row>
    <row r="9155" spans="1:24">
      <c r="A9155">
        <f>HYPERLINK("https://www.philgeps.gov.ph/GEPSNONPILOT/Tender/SplashBidNoticeAbstractUI.aspx?menuIndex=3&amp;refID=7062967&amp;Result=3","7062967")</f>
        <v>0</v>
      </c>
      <c r="B9155" t="s">
        <v>2727</v>
      </c>
      <c r="C9155" t="s">
        <v>12118</v>
      </c>
      <c r="D9155" t="s">
        <v>16670</v>
      </c>
      <c r="E9155" t="s">
        <v>24672</v>
      </c>
      <c r="F9155" t="s">
        <v>28669</v>
      </c>
      <c r="G9155" t="s">
        <v>28675</v>
      </c>
      <c r="H9155" t="s">
        <v>28686</v>
      </c>
      <c r="I9155" t="s">
        <v>28689</v>
      </c>
      <c r="J9155" t="s">
        <v>34508</v>
      </c>
      <c r="K9155" t="s">
        <v>37220</v>
      </c>
      <c r="M9155" t="s">
        <v>40440</v>
      </c>
      <c r="N9155" t="s">
        <v>41249</v>
      </c>
      <c r="O9155" t="s">
        <v>41250</v>
      </c>
      <c r="P9155">
        <v>0</v>
      </c>
      <c r="Q9155">
        <v>1</v>
      </c>
      <c r="R9155" t="s">
        <v>41259</v>
      </c>
      <c r="S9155" t="s">
        <v>41562</v>
      </c>
      <c r="T9155" t="s">
        <v>42809</v>
      </c>
      <c r="U9155" t="s">
        <v>50599</v>
      </c>
      <c r="V9155" t="s">
        <v>55279</v>
      </c>
      <c r="W9155" t="s">
        <v>40440</v>
      </c>
      <c r="X9155" t="s">
        <v>41260</v>
      </c>
    </row>
    <row r="9156" spans="1:24">
      <c r="A9156">
        <f>HYPERLINK("https://www.philgeps.gov.ph/GEPSNONPILOT/Tender/SplashBidNoticeAbstractUI.aspx?menuIndex=3&amp;refID=7063020&amp;Result=3","7063020")</f>
        <v>0</v>
      </c>
      <c r="B9156" t="s">
        <v>2558</v>
      </c>
      <c r="C9156" t="s">
        <v>12119</v>
      </c>
      <c r="E9156" t="s">
        <v>24673</v>
      </c>
      <c r="F9156" t="s">
        <v>28669</v>
      </c>
      <c r="G9156" t="s">
        <v>28675</v>
      </c>
      <c r="H9156" t="s">
        <v>28686</v>
      </c>
      <c r="I9156" t="s">
        <v>28689</v>
      </c>
      <c r="J9156" t="s">
        <v>30503</v>
      </c>
      <c r="K9156" t="s">
        <v>37213</v>
      </c>
      <c r="L9156" t="s">
        <v>2558</v>
      </c>
      <c r="M9156" t="s">
        <v>40251</v>
      </c>
      <c r="N9156" t="s">
        <v>41249</v>
      </c>
      <c r="O9156" t="s">
        <v>41250</v>
      </c>
      <c r="P9156">
        <v>0</v>
      </c>
      <c r="Q9156">
        <v>0</v>
      </c>
      <c r="R9156" t="s">
        <v>41259</v>
      </c>
      <c r="S9156" t="s">
        <v>41562</v>
      </c>
      <c r="T9156" t="s">
        <v>42839</v>
      </c>
      <c r="U9156" t="s">
        <v>50548</v>
      </c>
      <c r="W9156" t="s">
        <v>40251</v>
      </c>
      <c r="X9156" t="s">
        <v>41260</v>
      </c>
    </row>
    <row r="9157" spans="1:24">
      <c r="A9157">
        <f>HYPERLINK("https://www.philgeps.gov.ph/GEPSNONPILOT/Tender/SplashBidNoticeAbstractUI.aspx?menuIndex=3&amp;refID=7063012&amp;Result=3","7063012")</f>
        <v>0</v>
      </c>
      <c r="B9157" t="s">
        <v>2558</v>
      </c>
      <c r="C9157" t="s">
        <v>12120</v>
      </c>
      <c r="D9157" t="s">
        <v>16618</v>
      </c>
      <c r="E9157" t="s">
        <v>24674</v>
      </c>
      <c r="F9157" t="s">
        <v>28669</v>
      </c>
      <c r="G9157" t="s">
        <v>28675</v>
      </c>
      <c r="H9157" t="s">
        <v>28686</v>
      </c>
      <c r="I9157" t="s">
        <v>28689</v>
      </c>
      <c r="J9157" t="s">
        <v>30503</v>
      </c>
      <c r="K9157" t="s">
        <v>37214</v>
      </c>
      <c r="L9157" t="s">
        <v>2558</v>
      </c>
      <c r="M9157" t="s">
        <v>40251</v>
      </c>
      <c r="N9157" t="s">
        <v>41249</v>
      </c>
      <c r="O9157" t="s">
        <v>41250</v>
      </c>
      <c r="P9157">
        <v>0</v>
      </c>
      <c r="Q9157">
        <v>0</v>
      </c>
      <c r="R9157" t="s">
        <v>41259</v>
      </c>
      <c r="S9157" t="s">
        <v>41562</v>
      </c>
      <c r="T9157" t="s">
        <v>42839</v>
      </c>
      <c r="U9157" t="s">
        <v>50548</v>
      </c>
      <c r="W9157" t="s">
        <v>40251</v>
      </c>
      <c r="X9157" t="s">
        <v>41260</v>
      </c>
    </row>
    <row r="9158" spans="1:24">
      <c r="A9158">
        <f>HYPERLINK("https://www.philgeps.gov.ph/GEPSNONPILOT/Tender/SplashBidNoticeAbstractUI.aspx?menuIndex=3&amp;refID=7063011&amp;Result=3","7063011")</f>
        <v>0</v>
      </c>
      <c r="B9158" t="s">
        <v>2430</v>
      </c>
      <c r="C9158" t="s">
        <v>12121</v>
      </c>
      <c r="D9158" t="s">
        <v>16658</v>
      </c>
      <c r="E9158" t="s">
        <v>24675</v>
      </c>
      <c r="F9158" t="s">
        <v>28669</v>
      </c>
      <c r="G9158" t="s">
        <v>28675</v>
      </c>
      <c r="H9158" t="s">
        <v>9998</v>
      </c>
      <c r="I9158" t="s">
        <v>7352</v>
      </c>
      <c r="J9158" t="s">
        <v>34509</v>
      </c>
      <c r="K9158" t="s">
        <v>37210</v>
      </c>
      <c r="L9158" t="s">
        <v>2430</v>
      </c>
      <c r="M9158" t="s">
        <v>40113</v>
      </c>
      <c r="N9158" t="s">
        <v>41249</v>
      </c>
      <c r="O9158" t="s">
        <v>41250</v>
      </c>
      <c r="P9158">
        <v>0</v>
      </c>
      <c r="Q9158">
        <v>1</v>
      </c>
      <c r="R9158" t="s">
        <v>41259</v>
      </c>
      <c r="S9158" t="s">
        <v>41562</v>
      </c>
      <c r="T9158" t="s">
        <v>42739</v>
      </c>
      <c r="U9158" t="s">
        <v>49645</v>
      </c>
      <c r="W9158" t="s">
        <v>40113</v>
      </c>
      <c r="X9158" t="s">
        <v>41260</v>
      </c>
    </row>
    <row r="9159" spans="1:24">
      <c r="A9159">
        <f>HYPERLINK("https://www.philgeps.gov.ph/GEPSNONPILOT/Tender/SplashBidNoticeAbstractUI.aspx?menuIndex=3&amp;refID=7063007&amp;Result=3","7063007")</f>
        <v>0</v>
      </c>
      <c r="B9159" t="s">
        <v>705</v>
      </c>
      <c r="C9159" t="s">
        <v>12122</v>
      </c>
      <c r="D9159" t="s">
        <v>16658</v>
      </c>
      <c r="E9159" t="s">
        <v>22658</v>
      </c>
      <c r="F9159" t="s">
        <v>28669</v>
      </c>
      <c r="G9159" t="s">
        <v>28675</v>
      </c>
      <c r="H9159" t="s">
        <v>9998</v>
      </c>
      <c r="I9159" t="s">
        <v>28728</v>
      </c>
      <c r="J9159" t="s">
        <v>29003</v>
      </c>
      <c r="K9159" t="s">
        <v>37206</v>
      </c>
      <c r="M9159" t="s">
        <v>38212</v>
      </c>
      <c r="N9159" t="s">
        <v>41249</v>
      </c>
      <c r="O9159" t="s">
        <v>41250</v>
      </c>
      <c r="P9159">
        <v>0</v>
      </c>
      <c r="Q9159">
        <v>4</v>
      </c>
      <c r="R9159" t="s">
        <v>41259</v>
      </c>
      <c r="S9159" t="s">
        <v>41562</v>
      </c>
      <c r="T9159" t="s">
        <v>42739</v>
      </c>
      <c r="U9159" t="s">
        <v>50600</v>
      </c>
      <c r="V9159" t="s">
        <v>55281</v>
      </c>
      <c r="W9159" t="s">
        <v>38212</v>
      </c>
      <c r="X9159" t="s">
        <v>41260</v>
      </c>
    </row>
    <row r="9160" spans="1:24">
      <c r="A9160">
        <f>HYPERLINK("https://www.philgeps.gov.ph/GEPSNONPILOT/Tender/SplashBidNoticeAbstractUI.aspx?menuIndex=3&amp;refID=7062990&amp;Result=3","7062990")</f>
        <v>0</v>
      </c>
      <c r="B9160" t="s">
        <v>2731</v>
      </c>
      <c r="C9160" t="s">
        <v>12123</v>
      </c>
      <c r="D9160" t="s">
        <v>16608</v>
      </c>
      <c r="E9160" t="s">
        <v>24676</v>
      </c>
      <c r="F9160" t="s">
        <v>28669</v>
      </c>
      <c r="G9160" t="s">
        <v>28677</v>
      </c>
      <c r="H9160" t="s">
        <v>9998</v>
      </c>
      <c r="I9160" t="s">
        <v>6128</v>
      </c>
      <c r="J9160" t="s">
        <v>29114</v>
      </c>
      <c r="K9160" t="s">
        <v>37206</v>
      </c>
      <c r="M9160" t="s">
        <v>40445</v>
      </c>
      <c r="N9160" t="s">
        <v>41249</v>
      </c>
      <c r="O9160" t="s">
        <v>41250</v>
      </c>
      <c r="Q9160">
        <v>3</v>
      </c>
      <c r="R9160" t="s">
        <v>41259</v>
      </c>
      <c r="S9160" t="s">
        <v>41592</v>
      </c>
      <c r="T9160" t="s">
        <v>42665</v>
      </c>
      <c r="U9160" t="s">
        <v>50601</v>
      </c>
      <c r="W9160" t="s">
        <v>40445</v>
      </c>
      <c r="X9160" t="s">
        <v>41260</v>
      </c>
    </row>
    <row r="9161" spans="1:24">
      <c r="A9161">
        <f>HYPERLINK("https://www.philgeps.gov.ph/GEPSNONPILOT/Tender/SplashBidNoticeAbstractUI.aspx?menuIndex=3&amp;refID=7062978&amp;Result=3","7062978")</f>
        <v>0</v>
      </c>
      <c r="B9161" t="s">
        <v>193</v>
      </c>
      <c r="C9161" t="s">
        <v>12124</v>
      </c>
      <c r="D9161" t="s">
        <v>16658</v>
      </c>
      <c r="E9161" t="s">
        <v>24677</v>
      </c>
      <c r="F9161" t="s">
        <v>28669</v>
      </c>
      <c r="G9161" t="s">
        <v>28679</v>
      </c>
      <c r="H9161" t="s">
        <v>28686</v>
      </c>
      <c r="I9161" t="s">
        <v>28689</v>
      </c>
      <c r="J9161" t="s">
        <v>34505</v>
      </c>
      <c r="K9161" t="s">
        <v>37205</v>
      </c>
      <c r="M9161" t="s">
        <v>37671</v>
      </c>
      <c r="N9161" t="s">
        <v>41249</v>
      </c>
      <c r="O9161" t="s">
        <v>41250</v>
      </c>
      <c r="P9161">
        <v>0</v>
      </c>
      <c r="Q9161">
        <v>0</v>
      </c>
      <c r="R9161" t="s">
        <v>41259</v>
      </c>
      <c r="S9161" t="s">
        <v>41562</v>
      </c>
      <c r="T9161" t="s">
        <v>42736</v>
      </c>
      <c r="U9161" t="s">
        <v>50591</v>
      </c>
      <c r="W9161" t="s">
        <v>37671</v>
      </c>
      <c r="X9161" t="s">
        <v>41260</v>
      </c>
    </row>
    <row r="9162" spans="1:24">
      <c r="A9162">
        <f>HYPERLINK("https://www.philgeps.gov.ph/GEPSNONPILOT/Tender/SplashBidNoticeAbstractUI.aspx?menuIndex=3&amp;refID=7062989&amp;Result=3","7062989")</f>
        <v>0</v>
      </c>
      <c r="B9162" t="s">
        <v>2498</v>
      </c>
      <c r="C9162" t="s">
        <v>12125</v>
      </c>
      <c r="D9162" t="s">
        <v>16639</v>
      </c>
      <c r="E9162" t="s">
        <v>24678</v>
      </c>
      <c r="F9162" t="s">
        <v>28669</v>
      </c>
      <c r="G9162" t="s">
        <v>28675</v>
      </c>
      <c r="H9162" t="s">
        <v>28686</v>
      </c>
      <c r="I9162" t="s">
        <v>28689</v>
      </c>
      <c r="J9162" t="s">
        <v>34510</v>
      </c>
      <c r="K9162" t="s">
        <v>37342</v>
      </c>
      <c r="M9162" t="s">
        <v>40183</v>
      </c>
      <c r="N9162" t="s">
        <v>41249</v>
      </c>
      <c r="O9162" t="s">
        <v>41250</v>
      </c>
      <c r="Q9162">
        <v>3</v>
      </c>
      <c r="R9162" t="s">
        <v>41259</v>
      </c>
      <c r="S9162" t="s">
        <v>41593</v>
      </c>
      <c r="T9162" t="s">
        <v>42700</v>
      </c>
      <c r="U9162" t="s">
        <v>50602</v>
      </c>
      <c r="W9162" t="s">
        <v>40183</v>
      </c>
      <c r="X9162" t="s">
        <v>41260</v>
      </c>
    </row>
    <row r="9163" spans="1:24">
      <c r="A9163">
        <f>HYPERLINK("https://www.philgeps.gov.ph/GEPSNONPILOT/Tender/SplashBidNoticeAbstractUI.aspx?menuIndex=3&amp;refID=7063042&amp;Result=3","7063042")</f>
        <v>0</v>
      </c>
      <c r="B9163" t="s">
        <v>394</v>
      </c>
      <c r="C9163" t="s">
        <v>12126</v>
      </c>
      <c r="D9163" t="s">
        <v>16675</v>
      </c>
      <c r="E9163" t="s">
        <v>24679</v>
      </c>
      <c r="F9163" t="s">
        <v>28669</v>
      </c>
      <c r="G9163" t="s">
        <v>28675</v>
      </c>
      <c r="H9163" t="s">
        <v>9998</v>
      </c>
      <c r="I9163" t="s">
        <v>28704</v>
      </c>
      <c r="J9163" t="s">
        <v>34511</v>
      </c>
      <c r="K9163" t="s">
        <v>37210</v>
      </c>
      <c r="L9163" t="s">
        <v>394</v>
      </c>
      <c r="M9163" t="s">
        <v>37878</v>
      </c>
      <c r="N9163" t="s">
        <v>41249</v>
      </c>
      <c r="O9163" t="s">
        <v>41250</v>
      </c>
      <c r="P9163">
        <v>0</v>
      </c>
      <c r="Q9163">
        <v>2</v>
      </c>
      <c r="R9163" t="s">
        <v>41259</v>
      </c>
      <c r="S9163" t="s">
        <v>41562</v>
      </c>
      <c r="T9163" t="s">
        <v>42728</v>
      </c>
      <c r="U9163" t="s">
        <v>43969</v>
      </c>
      <c r="V9163" t="s">
        <v>55282</v>
      </c>
      <c r="W9163" t="s">
        <v>37878</v>
      </c>
      <c r="X9163" t="s">
        <v>41260</v>
      </c>
    </row>
    <row r="9164" spans="1:24">
      <c r="A9164">
        <f>HYPERLINK("https://www.philgeps.gov.ph/GEPSNONPILOT/Tender/SplashBidNoticeAbstractUI.aspx?menuIndex=3&amp;refID=7063039&amp;Result=3","7063039")</f>
        <v>0</v>
      </c>
      <c r="B9164" t="s">
        <v>1340</v>
      </c>
      <c r="C9164" t="s">
        <v>12127</v>
      </c>
      <c r="D9164" t="s">
        <v>16621</v>
      </c>
      <c r="E9164" t="s">
        <v>24680</v>
      </c>
      <c r="F9164" t="s">
        <v>28669</v>
      </c>
      <c r="G9164" t="s">
        <v>28675</v>
      </c>
      <c r="H9164" t="s">
        <v>28686</v>
      </c>
      <c r="I9164" t="s">
        <v>28689</v>
      </c>
      <c r="J9164" t="s">
        <v>34512</v>
      </c>
      <c r="K9164" t="s">
        <v>37214</v>
      </c>
      <c r="M9164" t="s">
        <v>40372</v>
      </c>
      <c r="N9164" t="s">
        <v>41249</v>
      </c>
      <c r="O9164" t="s">
        <v>41250</v>
      </c>
      <c r="P9164">
        <v>0</v>
      </c>
      <c r="Q9164">
        <v>0</v>
      </c>
      <c r="R9164" t="s">
        <v>41259</v>
      </c>
      <c r="S9164" t="s">
        <v>41562</v>
      </c>
      <c r="T9164" t="s">
        <v>42782</v>
      </c>
      <c r="U9164" t="s">
        <v>50603</v>
      </c>
      <c r="V9164" t="s">
        <v>55245</v>
      </c>
      <c r="W9164" t="s">
        <v>40372</v>
      </c>
      <c r="X9164" t="s">
        <v>41260</v>
      </c>
    </row>
    <row r="9165" spans="1:24">
      <c r="A9165">
        <f>HYPERLINK("https://www.philgeps.gov.ph/GEPSNONPILOT/Tender/SplashBidNoticeAbstractUI.aspx?menuIndex=3&amp;refID=7063009&amp;Result=3","7063009")</f>
        <v>0</v>
      </c>
      <c r="B9165" t="s">
        <v>1340</v>
      </c>
      <c r="C9165" t="s">
        <v>12128</v>
      </c>
      <c r="D9165" t="s">
        <v>16621</v>
      </c>
      <c r="E9165" t="s">
        <v>24681</v>
      </c>
      <c r="F9165" t="s">
        <v>28669</v>
      </c>
      <c r="G9165" t="s">
        <v>28675</v>
      </c>
      <c r="H9165" t="s">
        <v>28686</v>
      </c>
      <c r="I9165" t="s">
        <v>28689</v>
      </c>
      <c r="J9165" t="s">
        <v>34513</v>
      </c>
      <c r="K9165" t="s">
        <v>37269</v>
      </c>
      <c r="M9165" t="s">
        <v>40372</v>
      </c>
      <c r="N9165" t="s">
        <v>41249</v>
      </c>
      <c r="O9165" t="s">
        <v>41250</v>
      </c>
      <c r="P9165">
        <v>0</v>
      </c>
      <c r="Q9165">
        <v>0</v>
      </c>
      <c r="R9165" t="s">
        <v>41259</v>
      </c>
      <c r="S9165" t="s">
        <v>41562</v>
      </c>
      <c r="T9165" t="s">
        <v>42782</v>
      </c>
      <c r="U9165" t="s">
        <v>50576</v>
      </c>
      <c r="V9165" t="s">
        <v>55245</v>
      </c>
      <c r="W9165" t="s">
        <v>40372</v>
      </c>
      <c r="X9165" t="s">
        <v>41260</v>
      </c>
    </row>
    <row r="9166" spans="1:24">
      <c r="A9166">
        <f>HYPERLINK("https://www.philgeps.gov.ph/GEPSNONPILOT/Tender/SplashBidNoticeAbstractUI.aspx?menuIndex=3&amp;refID=7063001&amp;Result=3","7063001")</f>
        <v>0</v>
      </c>
      <c r="B9166" t="s">
        <v>2558</v>
      </c>
      <c r="C9166" t="s">
        <v>12129</v>
      </c>
      <c r="D9166" t="s">
        <v>16618</v>
      </c>
      <c r="E9166" t="s">
        <v>24682</v>
      </c>
      <c r="F9166" t="s">
        <v>28669</v>
      </c>
      <c r="G9166" t="s">
        <v>28675</v>
      </c>
      <c r="H9166" t="s">
        <v>28686</v>
      </c>
      <c r="I9166" t="s">
        <v>28689</v>
      </c>
      <c r="J9166" t="s">
        <v>30823</v>
      </c>
      <c r="K9166" t="s">
        <v>37215</v>
      </c>
      <c r="L9166" t="s">
        <v>2558</v>
      </c>
      <c r="M9166" t="s">
        <v>40251</v>
      </c>
      <c r="N9166" t="s">
        <v>41249</v>
      </c>
      <c r="O9166" t="s">
        <v>41250</v>
      </c>
      <c r="P9166">
        <v>0</v>
      </c>
      <c r="Q9166">
        <v>1</v>
      </c>
      <c r="R9166" t="s">
        <v>41259</v>
      </c>
      <c r="S9166" t="s">
        <v>41562</v>
      </c>
      <c r="T9166" t="s">
        <v>42839</v>
      </c>
      <c r="U9166" t="s">
        <v>50548</v>
      </c>
      <c r="W9166" t="s">
        <v>40251</v>
      </c>
      <c r="X9166" t="s">
        <v>41260</v>
      </c>
    </row>
    <row r="9167" spans="1:24">
      <c r="A9167">
        <f>HYPERLINK("https://www.philgeps.gov.ph/GEPSNONPILOT/Tender/SplashBidNoticeAbstractUI.aspx?menuIndex=3&amp;refID=7063023&amp;Result=3","7063023")</f>
        <v>0</v>
      </c>
      <c r="B9167" t="s">
        <v>2732</v>
      </c>
      <c r="C9167" t="s">
        <v>12130</v>
      </c>
      <c r="D9167" t="s">
        <v>16668</v>
      </c>
      <c r="E9167" t="s">
        <v>24683</v>
      </c>
      <c r="F9167" t="s">
        <v>28669</v>
      </c>
      <c r="G9167" t="s">
        <v>28675</v>
      </c>
      <c r="H9167" t="s">
        <v>9998</v>
      </c>
      <c r="I9167" t="s">
        <v>11593</v>
      </c>
      <c r="J9167" t="s">
        <v>28924</v>
      </c>
      <c r="K9167" t="s">
        <v>37205</v>
      </c>
      <c r="M9167" t="s">
        <v>40446</v>
      </c>
      <c r="N9167" t="s">
        <v>41249</v>
      </c>
      <c r="O9167" t="s">
        <v>41250</v>
      </c>
      <c r="P9167">
        <v>0</v>
      </c>
      <c r="Q9167">
        <v>8</v>
      </c>
      <c r="R9167" t="s">
        <v>41259</v>
      </c>
      <c r="S9167" t="s">
        <v>41562</v>
      </c>
      <c r="T9167" t="s">
        <v>42755</v>
      </c>
      <c r="U9167" t="s">
        <v>50604</v>
      </c>
      <c r="W9167" t="s">
        <v>40446</v>
      </c>
      <c r="X9167" t="s">
        <v>41260</v>
      </c>
    </row>
    <row r="9168" spans="1:24">
      <c r="A9168">
        <f>HYPERLINK("https://www.philgeps.gov.ph/GEPSNONPILOT/Tender/SplashBidNoticeAbstractUI.aspx?menuIndex=3&amp;refID=7062986&amp;Result=3","7062986")</f>
        <v>0</v>
      </c>
      <c r="B9168" t="s">
        <v>2721</v>
      </c>
      <c r="C9168" t="s">
        <v>12131</v>
      </c>
      <c r="D9168" t="s">
        <v>16622</v>
      </c>
      <c r="E9168" t="s">
        <v>24684</v>
      </c>
      <c r="F9168" t="s">
        <v>28669</v>
      </c>
      <c r="G9168" t="s">
        <v>28675</v>
      </c>
      <c r="H9168" t="s">
        <v>9998</v>
      </c>
      <c r="I9168" t="s">
        <v>28706</v>
      </c>
      <c r="J9168" t="s">
        <v>34514</v>
      </c>
      <c r="K9168" t="s">
        <v>37209</v>
      </c>
      <c r="M9168" t="s">
        <v>40434</v>
      </c>
      <c r="N9168" t="s">
        <v>41249</v>
      </c>
      <c r="O9168" t="s">
        <v>41250</v>
      </c>
      <c r="P9168">
        <v>0</v>
      </c>
      <c r="Q9168">
        <v>1</v>
      </c>
      <c r="R9168" t="s">
        <v>41259</v>
      </c>
      <c r="S9168" t="s">
        <v>41562</v>
      </c>
      <c r="T9168" t="s">
        <v>42761</v>
      </c>
      <c r="U9168" t="s">
        <v>50605</v>
      </c>
      <c r="W9168" t="s">
        <v>40434</v>
      </c>
      <c r="X9168" t="s">
        <v>41260</v>
      </c>
    </row>
    <row r="9169" spans="1:24">
      <c r="A9169">
        <f>HYPERLINK("https://www.philgeps.gov.ph/GEPSNONPILOT/Tender/SplashBidNoticeAbstractUI.aspx?menuIndex=3&amp;refID=7062985&amp;Result=3","7062985")</f>
        <v>0</v>
      </c>
      <c r="B9169" t="s">
        <v>2558</v>
      </c>
      <c r="C9169" t="s">
        <v>12132</v>
      </c>
      <c r="D9169" t="s">
        <v>16618</v>
      </c>
      <c r="E9169" t="s">
        <v>24685</v>
      </c>
      <c r="F9169" t="s">
        <v>28669</v>
      </c>
      <c r="G9169" t="s">
        <v>28675</v>
      </c>
      <c r="H9169" t="s">
        <v>9998</v>
      </c>
      <c r="I9169" t="s">
        <v>28689</v>
      </c>
      <c r="J9169" t="s">
        <v>30289</v>
      </c>
      <c r="K9169" t="s">
        <v>37213</v>
      </c>
      <c r="L9169" t="s">
        <v>2558</v>
      </c>
      <c r="M9169" t="s">
        <v>40251</v>
      </c>
      <c r="N9169" t="s">
        <v>41249</v>
      </c>
      <c r="O9169" t="s">
        <v>41250</v>
      </c>
      <c r="P9169">
        <v>0</v>
      </c>
      <c r="Q9169">
        <v>0</v>
      </c>
      <c r="R9169" t="s">
        <v>41259</v>
      </c>
      <c r="S9169" t="s">
        <v>41562</v>
      </c>
      <c r="T9169" t="s">
        <v>42839</v>
      </c>
      <c r="U9169" t="s">
        <v>50548</v>
      </c>
      <c r="W9169" t="s">
        <v>40251</v>
      </c>
      <c r="X9169" t="s">
        <v>41260</v>
      </c>
    </row>
    <row r="9170" spans="1:24">
      <c r="A9170">
        <f>HYPERLINK("https://www.philgeps.gov.ph/GEPSNONPILOT/Tender/SplashBidNoticeAbstractUI.aspx?menuIndex=3&amp;refID=7063034&amp;Result=3","7063034")</f>
        <v>0</v>
      </c>
      <c r="B9170" t="s">
        <v>728</v>
      </c>
      <c r="C9170" t="s">
        <v>12133</v>
      </c>
      <c r="D9170" t="s">
        <v>16624</v>
      </c>
      <c r="E9170" t="s">
        <v>24686</v>
      </c>
      <c r="F9170" t="s">
        <v>28669</v>
      </c>
      <c r="G9170" t="s">
        <v>28675</v>
      </c>
      <c r="H9170" t="s">
        <v>9998</v>
      </c>
      <c r="I9170" t="s">
        <v>8667</v>
      </c>
      <c r="J9170" t="s">
        <v>34515</v>
      </c>
      <c r="K9170" t="s">
        <v>37205</v>
      </c>
      <c r="M9170" t="s">
        <v>38236</v>
      </c>
      <c r="N9170" t="s">
        <v>41249</v>
      </c>
      <c r="O9170" t="s">
        <v>41250</v>
      </c>
      <c r="P9170">
        <v>0</v>
      </c>
      <c r="Q9170">
        <v>2</v>
      </c>
      <c r="R9170" t="s">
        <v>41259</v>
      </c>
      <c r="S9170" t="s">
        <v>41562</v>
      </c>
      <c r="T9170" t="s">
        <v>42966</v>
      </c>
      <c r="U9170" t="s">
        <v>50606</v>
      </c>
      <c r="W9170" t="s">
        <v>38236</v>
      </c>
      <c r="X9170" t="s">
        <v>41260</v>
      </c>
    </row>
    <row r="9171" spans="1:24">
      <c r="A9171">
        <f>HYPERLINK("https://www.philgeps.gov.ph/GEPSNONPILOT/Tender/SplashBidNoticeAbstractUI.aspx?menuIndex=3&amp;refID=7062988&amp;Result=3","7062988")</f>
        <v>0</v>
      </c>
      <c r="B9171" t="s">
        <v>2434</v>
      </c>
      <c r="C9171" t="s">
        <v>12134</v>
      </c>
      <c r="D9171" t="s">
        <v>16661</v>
      </c>
      <c r="E9171" t="s">
        <v>24687</v>
      </c>
      <c r="F9171" t="s">
        <v>28669</v>
      </c>
      <c r="G9171" t="s">
        <v>28676</v>
      </c>
      <c r="H9171" t="s">
        <v>9998</v>
      </c>
      <c r="I9171" t="s">
        <v>5213</v>
      </c>
      <c r="J9171" t="s">
        <v>29304</v>
      </c>
      <c r="K9171" t="s">
        <v>37209</v>
      </c>
      <c r="M9171" t="s">
        <v>40447</v>
      </c>
      <c r="N9171" t="s">
        <v>41249</v>
      </c>
      <c r="O9171" t="s">
        <v>41250</v>
      </c>
      <c r="P9171">
        <v>0</v>
      </c>
      <c r="Q9171">
        <v>3</v>
      </c>
      <c r="R9171" t="s">
        <v>41259</v>
      </c>
      <c r="S9171" t="s">
        <v>41562</v>
      </c>
      <c r="T9171" t="s">
        <v>42767</v>
      </c>
      <c r="U9171" t="s">
        <v>50607</v>
      </c>
      <c r="W9171" t="s">
        <v>40447</v>
      </c>
      <c r="X9171" t="s">
        <v>41260</v>
      </c>
    </row>
    <row r="9172" spans="1:24">
      <c r="A9172">
        <f>HYPERLINK("https://www.philgeps.gov.ph/GEPSNONPILOT/Tender/SplashBidNoticeAbstractUI.aspx?menuIndex=3&amp;refID=7063090&amp;Result=3","7063090")</f>
        <v>0</v>
      </c>
      <c r="B9172" t="s">
        <v>1340</v>
      </c>
      <c r="C9172" t="s">
        <v>12135</v>
      </c>
      <c r="D9172" t="s">
        <v>16621</v>
      </c>
      <c r="E9172" t="s">
        <v>24688</v>
      </c>
      <c r="F9172" t="s">
        <v>28669</v>
      </c>
      <c r="G9172" t="s">
        <v>28675</v>
      </c>
      <c r="H9172" t="s">
        <v>28686</v>
      </c>
      <c r="I9172" t="s">
        <v>28689</v>
      </c>
      <c r="J9172" t="s">
        <v>34516</v>
      </c>
      <c r="K9172" t="s">
        <v>37214</v>
      </c>
      <c r="M9172" t="s">
        <v>40372</v>
      </c>
      <c r="N9172" t="s">
        <v>41249</v>
      </c>
      <c r="O9172" t="s">
        <v>41250</v>
      </c>
      <c r="P9172">
        <v>0</v>
      </c>
      <c r="Q9172">
        <v>0</v>
      </c>
      <c r="R9172" t="s">
        <v>41259</v>
      </c>
      <c r="S9172" t="s">
        <v>41562</v>
      </c>
      <c r="T9172" t="s">
        <v>42782</v>
      </c>
      <c r="U9172" t="s">
        <v>50603</v>
      </c>
      <c r="V9172" t="s">
        <v>55245</v>
      </c>
      <c r="W9172" t="s">
        <v>40372</v>
      </c>
      <c r="X9172" t="s">
        <v>41260</v>
      </c>
    </row>
    <row r="9173" spans="1:24">
      <c r="A9173">
        <f>HYPERLINK("https://www.philgeps.gov.ph/GEPSNONPILOT/Tender/SplashBidNoticeAbstractUI.aspx?menuIndex=3&amp;refID=7063045&amp;Result=3","7063045")</f>
        <v>0</v>
      </c>
      <c r="B9173" t="s">
        <v>1693</v>
      </c>
      <c r="C9173" t="s">
        <v>12136</v>
      </c>
      <c r="D9173" t="s">
        <v>16684</v>
      </c>
      <c r="E9173" t="s">
        <v>18535</v>
      </c>
      <c r="F9173" t="s">
        <v>28669</v>
      </c>
      <c r="G9173" t="s">
        <v>28675</v>
      </c>
      <c r="H9173" t="s">
        <v>28686</v>
      </c>
      <c r="I9173" t="s">
        <v>28689</v>
      </c>
      <c r="J9173" t="s">
        <v>29112</v>
      </c>
      <c r="K9173" t="s">
        <v>37214</v>
      </c>
      <c r="M9173" t="s">
        <v>39289</v>
      </c>
      <c r="N9173" t="s">
        <v>41249</v>
      </c>
      <c r="O9173" t="s">
        <v>41250</v>
      </c>
      <c r="P9173">
        <v>0</v>
      </c>
      <c r="Q9173">
        <v>1</v>
      </c>
      <c r="R9173" t="s">
        <v>41259</v>
      </c>
      <c r="S9173" t="s">
        <v>41562</v>
      </c>
      <c r="T9173" t="s">
        <v>43082</v>
      </c>
      <c r="U9173" t="s">
        <v>50608</v>
      </c>
      <c r="V9173" t="s">
        <v>55283</v>
      </c>
      <c r="W9173" t="s">
        <v>39289</v>
      </c>
      <c r="X9173" t="s">
        <v>41260</v>
      </c>
    </row>
    <row r="9174" spans="1:24">
      <c r="A9174">
        <f>HYPERLINK("https://www.philgeps.gov.ph/GEPSNONPILOT/Tender/SplashBidNoticeAbstractUI.aspx?menuIndex=3&amp;refID=7063037&amp;Result=3","7063037")</f>
        <v>0</v>
      </c>
      <c r="B9174" t="s">
        <v>39</v>
      </c>
      <c r="C9174" t="s">
        <v>12137</v>
      </c>
      <c r="E9174" t="s">
        <v>24689</v>
      </c>
      <c r="F9174" t="s">
        <v>28669</v>
      </c>
      <c r="G9174" t="s">
        <v>28675</v>
      </c>
      <c r="H9174" t="s">
        <v>28686</v>
      </c>
      <c r="I9174" t="s">
        <v>28689</v>
      </c>
      <c r="J9174" t="s">
        <v>34517</v>
      </c>
      <c r="K9174" t="s">
        <v>37209</v>
      </c>
      <c r="M9174" t="s">
        <v>37514</v>
      </c>
      <c r="N9174" t="s">
        <v>41249</v>
      </c>
      <c r="O9174" t="s">
        <v>41250</v>
      </c>
      <c r="P9174">
        <v>0</v>
      </c>
      <c r="Q9174">
        <v>0</v>
      </c>
      <c r="R9174" t="s">
        <v>41259</v>
      </c>
      <c r="S9174" t="s">
        <v>41562</v>
      </c>
      <c r="T9174" t="s">
        <v>42701</v>
      </c>
      <c r="U9174" t="s">
        <v>50609</v>
      </c>
      <c r="W9174" t="s">
        <v>37514</v>
      </c>
      <c r="X9174" t="s">
        <v>41260</v>
      </c>
    </row>
    <row r="9175" spans="1:24">
      <c r="A9175">
        <f>HYPERLINK("https://www.philgeps.gov.ph/GEPSNONPILOT/Tender/SplashBidNoticeAbstractUI.aspx?menuIndex=3&amp;refID=7063021&amp;Result=3","7063021")</f>
        <v>0</v>
      </c>
      <c r="B9175" t="s">
        <v>2071</v>
      </c>
      <c r="C9175" t="s">
        <v>12138</v>
      </c>
      <c r="D9175" t="s">
        <v>16611</v>
      </c>
      <c r="E9175" t="s">
        <v>24690</v>
      </c>
      <c r="F9175" t="s">
        <v>28669</v>
      </c>
      <c r="G9175" t="s">
        <v>28676</v>
      </c>
      <c r="H9175" t="s">
        <v>9998</v>
      </c>
      <c r="I9175" t="s">
        <v>28697</v>
      </c>
      <c r="J9175" t="s">
        <v>31399</v>
      </c>
      <c r="K9175" t="s">
        <v>37213</v>
      </c>
      <c r="M9175" t="s">
        <v>39712</v>
      </c>
      <c r="N9175" t="s">
        <v>41249</v>
      </c>
      <c r="O9175" t="s">
        <v>41250</v>
      </c>
      <c r="P9175">
        <v>0</v>
      </c>
      <c r="Q9175">
        <v>8</v>
      </c>
      <c r="R9175" t="s">
        <v>41259</v>
      </c>
      <c r="S9175" t="s">
        <v>41562</v>
      </c>
      <c r="T9175" t="s">
        <v>42759</v>
      </c>
      <c r="U9175" t="s">
        <v>50610</v>
      </c>
      <c r="W9175" t="s">
        <v>39712</v>
      </c>
      <c r="X9175" t="s">
        <v>41260</v>
      </c>
    </row>
    <row r="9176" spans="1:24">
      <c r="A9176">
        <f>HYPERLINK("https://www.philgeps.gov.ph/GEPSNONPILOT/Tender/SplashBidNoticeAbstractUI.aspx?menuIndex=3&amp;refID=7063077&amp;Result=3","7063077")</f>
        <v>0</v>
      </c>
      <c r="B9176" t="s">
        <v>849</v>
      </c>
      <c r="C9176" t="s">
        <v>12139</v>
      </c>
      <c r="D9176" t="s">
        <v>16626</v>
      </c>
      <c r="E9176" t="s">
        <v>24691</v>
      </c>
      <c r="F9176" t="s">
        <v>28669</v>
      </c>
      <c r="G9176" t="s">
        <v>28676</v>
      </c>
      <c r="H9176" t="s">
        <v>9998</v>
      </c>
      <c r="I9176" t="s">
        <v>7352</v>
      </c>
      <c r="J9176" t="s">
        <v>28879</v>
      </c>
      <c r="K9176" t="s">
        <v>37209</v>
      </c>
      <c r="M9176" t="s">
        <v>38365</v>
      </c>
      <c r="N9176" t="s">
        <v>41249</v>
      </c>
      <c r="O9176" t="s">
        <v>41250</v>
      </c>
      <c r="P9176">
        <v>0</v>
      </c>
      <c r="Q9176">
        <v>0</v>
      </c>
      <c r="R9176" t="s">
        <v>41259</v>
      </c>
      <c r="S9176" t="s">
        <v>41562</v>
      </c>
      <c r="T9176" t="s">
        <v>42914</v>
      </c>
      <c r="U9176" t="s">
        <v>50611</v>
      </c>
      <c r="W9176" t="s">
        <v>38365</v>
      </c>
      <c r="X9176" t="s">
        <v>41260</v>
      </c>
    </row>
    <row r="9177" spans="1:24">
      <c r="A9177">
        <f>HYPERLINK("https://www.philgeps.gov.ph/GEPSNONPILOT/Tender/SplashBidNoticeAbstractUI.aspx?menuIndex=3&amp;refID=7063073&amp;Result=3","7063073")</f>
        <v>0</v>
      </c>
      <c r="B9177" t="s">
        <v>1340</v>
      </c>
      <c r="C9177" t="s">
        <v>12140</v>
      </c>
      <c r="D9177" t="s">
        <v>16621</v>
      </c>
      <c r="E9177" t="s">
        <v>24692</v>
      </c>
      <c r="F9177" t="s">
        <v>28669</v>
      </c>
      <c r="G9177" t="s">
        <v>28675</v>
      </c>
      <c r="H9177" t="s">
        <v>28686</v>
      </c>
      <c r="I9177" t="s">
        <v>28689</v>
      </c>
      <c r="J9177" t="s">
        <v>34518</v>
      </c>
      <c r="K9177" t="s">
        <v>37253</v>
      </c>
      <c r="M9177" t="s">
        <v>40372</v>
      </c>
      <c r="N9177" t="s">
        <v>41249</v>
      </c>
      <c r="O9177" t="s">
        <v>41250</v>
      </c>
      <c r="P9177">
        <v>0</v>
      </c>
      <c r="Q9177">
        <v>0</v>
      </c>
      <c r="R9177" t="s">
        <v>41259</v>
      </c>
      <c r="S9177" t="s">
        <v>41562</v>
      </c>
      <c r="T9177" t="s">
        <v>42782</v>
      </c>
      <c r="U9177" t="s">
        <v>50603</v>
      </c>
      <c r="V9177" t="s">
        <v>55245</v>
      </c>
      <c r="W9177" t="s">
        <v>40372</v>
      </c>
      <c r="X9177" t="s">
        <v>41260</v>
      </c>
    </row>
    <row r="9178" spans="1:24">
      <c r="A9178">
        <f>HYPERLINK("https://www.philgeps.gov.ph/GEPSNONPILOT/Tender/SplashBidNoticeAbstractUI.aspx?menuIndex=3&amp;refID=7063071&amp;Result=3","7063071")</f>
        <v>0</v>
      </c>
      <c r="B9178" t="s">
        <v>39</v>
      </c>
      <c r="C9178" t="s">
        <v>12141</v>
      </c>
      <c r="E9178" t="s">
        <v>24693</v>
      </c>
      <c r="F9178" t="s">
        <v>28669</v>
      </c>
      <c r="G9178" t="s">
        <v>28675</v>
      </c>
      <c r="H9178" t="s">
        <v>28686</v>
      </c>
      <c r="I9178" t="s">
        <v>28689</v>
      </c>
      <c r="J9178" t="s">
        <v>28851</v>
      </c>
      <c r="K9178" t="s">
        <v>37209</v>
      </c>
      <c r="M9178" t="s">
        <v>37514</v>
      </c>
      <c r="N9178" t="s">
        <v>41249</v>
      </c>
      <c r="O9178" t="s">
        <v>41250</v>
      </c>
      <c r="P9178">
        <v>0</v>
      </c>
      <c r="Q9178">
        <v>0</v>
      </c>
      <c r="R9178" t="s">
        <v>41259</v>
      </c>
      <c r="S9178" t="s">
        <v>41562</v>
      </c>
      <c r="T9178" t="s">
        <v>42701</v>
      </c>
      <c r="U9178" t="s">
        <v>50612</v>
      </c>
      <c r="W9178" t="s">
        <v>37514</v>
      </c>
      <c r="X9178" t="s">
        <v>41260</v>
      </c>
    </row>
    <row r="9179" spans="1:24">
      <c r="A9179">
        <f>HYPERLINK("https://www.philgeps.gov.ph/GEPSNONPILOT/Tender/SplashBidNoticeAbstractUI.aspx?menuIndex=3&amp;refID=7063049&amp;Result=3","7063049")</f>
        <v>0</v>
      </c>
      <c r="B9179" t="s">
        <v>1655</v>
      </c>
      <c r="C9179" t="s">
        <v>9286</v>
      </c>
      <c r="D9179" t="s">
        <v>16639</v>
      </c>
      <c r="E9179" t="s">
        <v>24694</v>
      </c>
      <c r="F9179" t="s">
        <v>28669</v>
      </c>
      <c r="G9179" t="s">
        <v>28677</v>
      </c>
      <c r="H9179" t="s">
        <v>9998</v>
      </c>
      <c r="I9179" t="s">
        <v>28690</v>
      </c>
      <c r="J9179" t="s">
        <v>34519</v>
      </c>
      <c r="K9179" t="s">
        <v>37210</v>
      </c>
      <c r="M9179" t="s">
        <v>39246</v>
      </c>
      <c r="N9179" t="s">
        <v>41249</v>
      </c>
      <c r="O9179" t="s">
        <v>41250</v>
      </c>
      <c r="P9179">
        <v>0</v>
      </c>
      <c r="Q9179">
        <v>3</v>
      </c>
      <c r="R9179" t="s">
        <v>41259</v>
      </c>
      <c r="S9179" t="s">
        <v>41562</v>
      </c>
      <c r="T9179" t="s">
        <v>42701</v>
      </c>
      <c r="U9179" t="s">
        <v>50613</v>
      </c>
      <c r="W9179" t="s">
        <v>39246</v>
      </c>
      <c r="X9179" t="s">
        <v>41260</v>
      </c>
    </row>
    <row r="9180" spans="1:24">
      <c r="A9180">
        <f>HYPERLINK("https://www.philgeps.gov.ph/GEPSNONPILOT/Tender/SplashBidNoticeAbstractUI.aspx?menuIndex=3&amp;refID=7063064&amp;Result=3","7063064")</f>
        <v>0</v>
      </c>
      <c r="B9180" t="s">
        <v>870</v>
      </c>
      <c r="C9180" t="s">
        <v>12142</v>
      </c>
      <c r="D9180" t="s">
        <v>16618</v>
      </c>
      <c r="E9180" t="s">
        <v>24695</v>
      </c>
      <c r="F9180" t="s">
        <v>28669</v>
      </c>
      <c r="G9180" t="s">
        <v>28675</v>
      </c>
      <c r="H9180" t="s">
        <v>9998</v>
      </c>
      <c r="I9180" t="s">
        <v>28725</v>
      </c>
      <c r="J9180" t="s">
        <v>34520</v>
      </c>
      <c r="K9180" t="s">
        <v>37206</v>
      </c>
      <c r="M9180" t="s">
        <v>40340</v>
      </c>
      <c r="N9180" t="s">
        <v>41249</v>
      </c>
      <c r="O9180" t="s">
        <v>41250</v>
      </c>
      <c r="P9180">
        <v>0</v>
      </c>
      <c r="Q9180">
        <v>3</v>
      </c>
      <c r="R9180" t="s">
        <v>41259</v>
      </c>
      <c r="S9180" t="s">
        <v>41562</v>
      </c>
      <c r="T9180" t="s">
        <v>42755</v>
      </c>
      <c r="U9180" t="s">
        <v>50614</v>
      </c>
      <c r="V9180" t="s">
        <v>55236</v>
      </c>
      <c r="W9180" t="s">
        <v>40340</v>
      </c>
      <c r="X9180" t="s">
        <v>41260</v>
      </c>
    </row>
    <row r="9181" spans="1:24">
      <c r="A9181">
        <f>HYPERLINK("https://www.philgeps.gov.ph/GEPSNONPILOT/Tender/SplashBidNoticeAbstractUI.aspx?menuIndex=3&amp;refID=7063092&amp;Result=3","7063092")</f>
        <v>0</v>
      </c>
      <c r="B9181" t="s">
        <v>39</v>
      </c>
      <c r="C9181" t="s">
        <v>12143</v>
      </c>
      <c r="E9181" t="s">
        <v>24696</v>
      </c>
      <c r="F9181" t="s">
        <v>28669</v>
      </c>
      <c r="G9181" t="s">
        <v>28675</v>
      </c>
      <c r="H9181" t="s">
        <v>28686</v>
      </c>
      <c r="I9181" t="s">
        <v>28689</v>
      </c>
      <c r="J9181" t="s">
        <v>34521</v>
      </c>
      <c r="K9181" t="s">
        <v>37209</v>
      </c>
      <c r="M9181" t="s">
        <v>37514</v>
      </c>
      <c r="N9181" t="s">
        <v>41249</v>
      </c>
      <c r="O9181" t="s">
        <v>41250</v>
      </c>
      <c r="P9181">
        <v>0</v>
      </c>
      <c r="Q9181">
        <v>0</v>
      </c>
      <c r="R9181" t="s">
        <v>41259</v>
      </c>
      <c r="S9181" t="s">
        <v>41562</v>
      </c>
      <c r="T9181" t="s">
        <v>42701</v>
      </c>
      <c r="U9181" t="s">
        <v>50204</v>
      </c>
      <c r="W9181" t="s">
        <v>37514</v>
      </c>
      <c r="X9181" t="s">
        <v>41260</v>
      </c>
    </row>
    <row r="9182" spans="1:24">
      <c r="A9182">
        <f>HYPERLINK("https://www.philgeps.gov.ph/GEPSNONPILOT/Tender/SplashBidNoticeAbstractUI.aspx?menuIndex=3&amp;refID=7063088&amp;Result=3","7063088")</f>
        <v>0</v>
      </c>
      <c r="B9182" t="s">
        <v>2430</v>
      </c>
      <c r="C9182" t="s">
        <v>12144</v>
      </c>
      <c r="D9182" t="s">
        <v>16658</v>
      </c>
      <c r="E9182" t="s">
        <v>24697</v>
      </c>
      <c r="F9182" t="s">
        <v>28669</v>
      </c>
      <c r="G9182" t="s">
        <v>28675</v>
      </c>
      <c r="H9182" t="s">
        <v>9998</v>
      </c>
      <c r="I9182" t="s">
        <v>7352</v>
      </c>
      <c r="J9182" t="s">
        <v>34522</v>
      </c>
      <c r="K9182" t="s">
        <v>37210</v>
      </c>
      <c r="L9182" t="s">
        <v>2430</v>
      </c>
      <c r="M9182" t="s">
        <v>40113</v>
      </c>
      <c r="N9182" t="s">
        <v>41249</v>
      </c>
      <c r="O9182" t="s">
        <v>41250</v>
      </c>
      <c r="P9182">
        <v>0</v>
      </c>
      <c r="Q9182">
        <v>1</v>
      </c>
      <c r="R9182" t="s">
        <v>41259</v>
      </c>
      <c r="S9182" t="s">
        <v>41562</v>
      </c>
      <c r="T9182" t="s">
        <v>42739</v>
      </c>
      <c r="U9182" t="s">
        <v>49645</v>
      </c>
      <c r="W9182" t="s">
        <v>40113</v>
      </c>
      <c r="X9182" t="s">
        <v>41260</v>
      </c>
    </row>
    <row r="9183" spans="1:24">
      <c r="A9183">
        <f>HYPERLINK("https://www.philgeps.gov.ph/GEPSNONPILOT/Tender/SplashBidNoticeAbstractUI.aspx?menuIndex=3&amp;refID=7063111&amp;Result=3","7063111")</f>
        <v>0</v>
      </c>
      <c r="B9183" t="s">
        <v>2733</v>
      </c>
      <c r="C9183" t="s">
        <v>5285</v>
      </c>
      <c r="D9183" t="s">
        <v>16658</v>
      </c>
      <c r="E9183" t="s">
        <v>24698</v>
      </c>
      <c r="F9183" t="s">
        <v>28669</v>
      </c>
      <c r="G9183" t="s">
        <v>28675</v>
      </c>
      <c r="H9183" t="s">
        <v>9998</v>
      </c>
      <c r="I9183" t="s">
        <v>11142</v>
      </c>
      <c r="J9183" t="s">
        <v>28834</v>
      </c>
      <c r="K9183" t="s">
        <v>37205</v>
      </c>
      <c r="M9183" t="s">
        <v>40448</v>
      </c>
      <c r="N9183" t="s">
        <v>41249</v>
      </c>
      <c r="O9183" t="s">
        <v>41250</v>
      </c>
      <c r="P9183">
        <v>0</v>
      </c>
      <c r="Q9183">
        <v>0</v>
      </c>
      <c r="R9183" t="s">
        <v>41259</v>
      </c>
      <c r="S9183" t="s">
        <v>41562</v>
      </c>
      <c r="T9183" t="s">
        <v>42992</v>
      </c>
      <c r="U9183" t="s">
        <v>50615</v>
      </c>
      <c r="W9183" t="s">
        <v>40448</v>
      </c>
      <c r="X9183" t="s">
        <v>41260</v>
      </c>
    </row>
    <row r="9184" spans="1:24">
      <c r="A9184">
        <f>HYPERLINK("https://www.philgeps.gov.ph/GEPSNONPILOT/Tender/SplashBidNoticeAbstractUI.aspx?menuIndex=3&amp;refID=7063060&amp;Result=3","7063060")</f>
        <v>0</v>
      </c>
      <c r="B9184" t="s">
        <v>2732</v>
      </c>
      <c r="C9184" t="s">
        <v>12145</v>
      </c>
      <c r="D9184" t="s">
        <v>16668</v>
      </c>
      <c r="E9184" t="s">
        <v>24699</v>
      </c>
      <c r="F9184" t="s">
        <v>28669</v>
      </c>
      <c r="G9184" t="s">
        <v>28675</v>
      </c>
      <c r="H9184" t="s">
        <v>9998</v>
      </c>
      <c r="I9184" t="s">
        <v>6128</v>
      </c>
      <c r="J9184" t="s">
        <v>34523</v>
      </c>
      <c r="K9184" t="s">
        <v>37205</v>
      </c>
      <c r="M9184" t="s">
        <v>40446</v>
      </c>
      <c r="N9184" t="s">
        <v>41249</v>
      </c>
      <c r="O9184" t="s">
        <v>41250</v>
      </c>
      <c r="P9184">
        <v>0</v>
      </c>
      <c r="Q9184">
        <v>3</v>
      </c>
      <c r="R9184" t="s">
        <v>41259</v>
      </c>
      <c r="S9184" t="s">
        <v>41562</v>
      </c>
      <c r="T9184" t="s">
        <v>42755</v>
      </c>
      <c r="U9184" t="s">
        <v>50616</v>
      </c>
      <c r="W9184" t="s">
        <v>40446</v>
      </c>
      <c r="X9184" t="s">
        <v>41260</v>
      </c>
    </row>
    <row r="9185" spans="1:24">
      <c r="A9185">
        <f>HYPERLINK("https://www.philgeps.gov.ph/GEPSNONPILOT/Tender/SplashBidNoticeAbstractUI.aspx?menuIndex=3&amp;refID=7063102&amp;Result=3","7063102")</f>
        <v>0</v>
      </c>
      <c r="B9185" t="s">
        <v>394</v>
      </c>
      <c r="C9185" t="s">
        <v>12146</v>
      </c>
      <c r="D9185" t="s">
        <v>16675</v>
      </c>
      <c r="E9185" t="s">
        <v>24700</v>
      </c>
      <c r="F9185" t="s">
        <v>28669</v>
      </c>
      <c r="G9185" t="s">
        <v>28675</v>
      </c>
      <c r="H9185" t="s">
        <v>9998</v>
      </c>
      <c r="I9185" t="s">
        <v>28693</v>
      </c>
      <c r="J9185" t="s">
        <v>34524</v>
      </c>
      <c r="K9185" t="s">
        <v>37210</v>
      </c>
      <c r="L9185" t="s">
        <v>394</v>
      </c>
      <c r="M9185" t="s">
        <v>37878</v>
      </c>
      <c r="N9185" t="s">
        <v>41249</v>
      </c>
      <c r="O9185" t="s">
        <v>41250</v>
      </c>
      <c r="P9185">
        <v>0</v>
      </c>
      <c r="Q9185">
        <v>12</v>
      </c>
      <c r="R9185" t="s">
        <v>41259</v>
      </c>
      <c r="S9185" t="s">
        <v>41562</v>
      </c>
      <c r="T9185" t="s">
        <v>42728</v>
      </c>
      <c r="U9185" t="s">
        <v>50617</v>
      </c>
      <c r="V9185" t="s">
        <v>55282</v>
      </c>
      <c r="W9185" t="s">
        <v>37878</v>
      </c>
      <c r="X9185" t="s">
        <v>41260</v>
      </c>
    </row>
    <row r="9186" spans="1:24">
      <c r="A9186">
        <f>HYPERLINK("https://www.philgeps.gov.ph/GEPSNONPILOT/Tender/SplashBidNoticeAbstractUI.aspx?menuIndex=3&amp;refID=7063108&amp;Result=3","7063108")</f>
        <v>0</v>
      </c>
      <c r="B9186" t="s">
        <v>870</v>
      </c>
      <c r="C9186" t="s">
        <v>12147</v>
      </c>
      <c r="D9186" t="s">
        <v>16618</v>
      </c>
      <c r="E9186" t="s">
        <v>24701</v>
      </c>
      <c r="F9186" t="s">
        <v>28669</v>
      </c>
      <c r="G9186" t="s">
        <v>28675</v>
      </c>
      <c r="H9186" t="s">
        <v>9998</v>
      </c>
      <c r="I9186" t="s">
        <v>28725</v>
      </c>
      <c r="J9186" t="s">
        <v>34525</v>
      </c>
      <c r="K9186" t="s">
        <v>37206</v>
      </c>
      <c r="M9186" t="s">
        <v>40340</v>
      </c>
      <c r="N9186" t="s">
        <v>41249</v>
      </c>
      <c r="O9186" t="s">
        <v>41250</v>
      </c>
      <c r="P9186">
        <v>0</v>
      </c>
      <c r="Q9186">
        <v>1</v>
      </c>
      <c r="R9186" t="s">
        <v>41259</v>
      </c>
      <c r="S9186" t="s">
        <v>41562</v>
      </c>
      <c r="T9186" t="s">
        <v>42755</v>
      </c>
      <c r="U9186" t="s">
        <v>50618</v>
      </c>
      <c r="V9186" t="s">
        <v>55236</v>
      </c>
      <c r="W9186" t="s">
        <v>40340</v>
      </c>
      <c r="X9186" t="s">
        <v>41260</v>
      </c>
    </row>
    <row r="9187" spans="1:24">
      <c r="A9187">
        <f>HYPERLINK("https://www.philgeps.gov.ph/GEPSNONPILOT/Tender/SplashBidNoticeAbstractUI.aspx?menuIndex=3&amp;refID=7063065&amp;Result=3","7063065")</f>
        <v>0</v>
      </c>
      <c r="B9187" t="s">
        <v>1976</v>
      </c>
      <c r="C9187" t="s">
        <v>12148</v>
      </c>
      <c r="E9187" t="s">
        <v>24702</v>
      </c>
      <c r="F9187" t="s">
        <v>28669</v>
      </c>
      <c r="G9187" t="s">
        <v>28675</v>
      </c>
      <c r="H9187" t="s">
        <v>9998</v>
      </c>
      <c r="I9187" t="s">
        <v>28695</v>
      </c>
      <c r="J9187" t="s">
        <v>34526</v>
      </c>
      <c r="K9187" t="s">
        <v>37209</v>
      </c>
      <c r="M9187" t="s">
        <v>39610</v>
      </c>
      <c r="N9187" t="s">
        <v>41249</v>
      </c>
      <c r="O9187" t="s">
        <v>41250</v>
      </c>
      <c r="Q9187">
        <v>6</v>
      </c>
      <c r="R9187" t="s">
        <v>41259</v>
      </c>
      <c r="S9187" t="s">
        <v>41594</v>
      </c>
      <c r="T9187" t="s">
        <v>42782</v>
      </c>
      <c r="U9187" t="s">
        <v>50619</v>
      </c>
      <c r="W9187" t="s">
        <v>39610</v>
      </c>
      <c r="X9187" t="s">
        <v>41260</v>
      </c>
    </row>
    <row r="9188" spans="1:24">
      <c r="A9188">
        <f>HYPERLINK("https://www.philgeps.gov.ph/GEPSNONPILOT/Tender/SplashBidNoticeAbstractUI.aspx?menuIndex=3&amp;refID=7063053&amp;Result=3","7063053")</f>
        <v>0</v>
      </c>
      <c r="B9188" t="s">
        <v>775</v>
      </c>
      <c r="C9188" t="s">
        <v>12149</v>
      </c>
      <c r="E9188" t="s">
        <v>24703</v>
      </c>
      <c r="F9188" t="s">
        <v>28669</v>
      </c>
      <c r="G9188" t="s">
        <v>28675</v>
      </c>
      <c r="H9188" t="s">
        <v>9998</v>
      </c>
      <c r="I9188" t="s">
        <v>28694</v>
      </c>
      <c r="J9188" t="s">
        <v>34527</v>
      </c>
      <c r="K9188" t="s">
        <v>37209</v>
      </c>
      <c r="M9188" t="s">
        <v>38289</v>
      </c>
      <c r="N9188" t="s">
        <v>41249</v>
      </c>
      <c r="O9188" t="s">
        <v>41250</v>
      </c>
      <c r="P9188">
        <v>0</v>
      </c>
      <c r="Q9188">
        <v>2</v>
      </c>
      <c r="R9188" t="s">
        <v>41259</v>
      </c>
      <c r="S9188" t="s">
        <v>41562</v>
      </c>
      <c r="T9188" t="s">
        <v>42739</v>
      </c>
      <c r="U9188" t="s">
        <v>50620</v>
      </c>
      <c r="W9188" t="s">
        <v>55931</v>
      </c>
      <c r="X9188" t="s">
        <v>41260</v>
      </c>
    </row>
    <row r="9189" spans="1:24">
      <c r="A9189">
        <f>HYPERLINK("https://www.philgeps.gov.ph/GEPSNONPILOT/Tender/SplashBidNoticeAbstractUI.aspx?menuIndex=3&amp;refID=7063091&amp;Result=3","7063091")</f>
        <v>0</v>
      </c>
      <c r="B9189" t="s">
        <v>2724</v>
      </c>
      <c r="C9189" t="s">
        <v>12150</v>
      </c>
      <c r="D9189" t="s">
        <v>16664</v>
      </c>
      <c r="E9189" t="s">
        <v>19409</v>
      </c>
      <c r="F9189" t="s">
        <v>28669</v>
      </c>
      <c r="G9189" t="s">
        <v>28675</v>
      </c>
      <c r="H9189" t="s">
        <v>9998</v>
      </c>
      <c r="I9189" t="s">
        <v>28724</v>
      </c>
      <c r="J9189" t="s">
        <v>34528</v>
      </c>
      <c r="K9189" t="s">
        <v>37227</v>
      </c>
      <c r="M9189" t="s">
        <v>40437</v>
      </c>
      <c r="N9189" t="s">
        <v>41249</v>
      </c>
      <c r="O9189" t="s">
        <v>41250</v>
      </c>
      <c r="P9189">
        <v>0</v>
      </c>
      <c r="Q9189">
        <v>1</v>
      </c>
      <c r="R9189" t="s">
        <v>41259</v>
      </c>
      <c r="S9189" t="s">
        <v>41562</v>
      </c>
      <c r="T9189" t="s">
        <v>42857</v>
      </c>
      <c r="U9189" t="s">
        <v>50573</v>
      </c>
      <c r="W9189" t="s">
        <v>40437</v>
      </c>
      <c r="X9189" t="s">
        <v>41260</v>
      </c>
    </row>
    <row r="9190" spans="1:24">
      <c r="A9190">
        <f>HYPERLINK("https://www.philgeps.gov.ph/GEPSNONPILOT/Tender/SplashBidNoticeAbstractUI.aspx?menuIndex=3&amp;refID=7063112&amp;Result=3","7063112")</f>
        <v>0</v>
      </c>
      <c r="B9190" t="s">
        <v>990</v>
      </c>
      <c r="C9190" t="s">
        <v>12151</v>
      </c>
      <c r="D9190" t="s">
        <v>16658</v>
      </c>
      <c r="E9190" t="s">
        <v>24704</v>
      </c>
      <c r="F9190" t="s">
        <v>28669</v>
      </c>
      <c r="G9190" t="s">
        <v>28675</v>
      </c>
      <c r="H9190" t="s">
        <v>28686</v>
      </c>
      <c r="I9190" t="s">
        <v>28689</v>
      </c>
      <c r="J9190" t="s">
        <v>34529</v>
      </c>
      <c r="K9190" t="s">
        <v>37209</v>
      </c>
      <c r="M9190" t="s">
        <v>38517</v>
      </c>
      <c r="N9190" t="s">
        <v>41249</v>
      </c>
      <c r="O9190" t="s">
        <v>41250</v>
      </c>
      <c r="P9190">
        <v>0</v>
      </c>
      <c r="Q9190">
        <v>1</v>
      </c>
      <c r="R9190" t="s">
        <v>41259</v>
      </c>
      <c r="S9190" t="s">
        <v>41562</v>
      </c>
      <c r="T9190" t="s">
        <v>42728</v>
      </c>
      <c r="U9190" t="s">
        <v>45220</v>
      </c>
      <c r="W9190" t="s">
        <v>38517</v>
      </c>
      <c r="X9190" t="s">
        <v>41260</v>
      </c>
    </row>
    <row r="9191" spans="1:24">
      <c r="A9191">
        <f>HYPERLINK("https://www.philgeps.gov.ph/GEPSNONPILOT/Tender/SplashBidNoticeAbstractUI.aspx?menuIndex=3&amp;refID=7063159&amp;Result=3","7063159")</f>
        <v>0</v>
      </c>
      <c r="B9191" t="s">
        <v>2734</v>
      </c>
      <c r="C9191" t="s">
        <v>12152</v>
      </c>
      <c r="D9191" t="s">
        <v>16615</v>
      </c>
      <c r="E9191" t="s">
        <v>16708</v>
      </c>
      <c r="F9191" t="s">
        <v>28671</v>
      </c>
      <c r="G9191" t="s">
        <v>28682</v>
      </c>
      <c r="H9191" t="s">
        <v>28686</v>
      </c>
      <c r="I9191" t="s">
        <v>28689</v>
      </c>
      <c r="J9191" t="s">
        <v>28851</v>
      </c>
      <c r="K9191" t="s">
        <v>37213</v>
      </c>
      <c r="M9191" t="s">
        <v>40449</v>
      </c>
      <c r="N9191" t="s">
        <v>41249</v>
      </c>
      <c r="O9191" t="s">
        <v>41250</v>
      </c>
      <c r="P9191">
        <v>0</v>
      </c>
      <c r="Q9191">
        <v>1</v>
      </c>
      <c r="R9191" t="s">
        <v>41259</v>
      </c>
      <c r="S9191" t="s">
        <v>41562</v>
      </c>
      <c r="T9191" t="s">
        <v>42778</v>
      </c>
      <c r="U9191" t="s">
        <v>50621</v>
      </c>
      <c r="W9191" t="s">
        <v>40449</v>
      </c>
      <c r="X9191" t="s">
        <v>41260</v>
      </c>
    </row>
    <row r="9192" spans="1:24">
      <c r="A9192">
        <f>HYPERLINK("https://www.philgeps.gov.ph/GEPSNONPILOT/Tender/SplashBidNoticeAbstractUI.aspx?menuIndex=3&amp;refID=7063150&amp;Result=3","7063150")</f>
        <v>0</v>
      </c>
      <c r="B9192" t="s">
        <v>2553</v>
      </c>
      <c r="C9192" t="s">
        <v>12153</v>
      </c>
      <c r="D9192" t="s">
        <v>16639</v>
      </c>
      <c r="E9192" t="s">
        <v>24705</v>
      </c>
      <c r="F9192" t="s">
        <v>28669</v>
      </c>
      <c r="G9192" t="s">
        <v>28675</v>
      </c>
      <c r="H9192" t="s">
        <v>9998</v>
      </c>
      <c r="I9192" t="s">
        <v>7352</v>
      </c>
      <c r="J9192" t="s">
        <v>29203</v>
      </c>
      <c r="K9192" t="s">
        <v>37221</v>
      </c>
      <c r="M9192" t="s">
        <v>40246</v>
      </c>
      <c r="N9192" t="s">
        <v>41249</v>
      </c>
      <c r="O9192" t="s">
        <v>41250</v>
      </c>
      <c r="P9192">
        <v>0</v>
      </c>
      <c r="Q9192">
        <v>2</v>
      </c>
      <c r="R9192" t="s">
        <v>41259</v>
      </c>
      <c r="S9192" t="s">
        <v>41562</v>
      </c>
      <c r="T9192" t="s">
        <v>42881</v>
      </c>
      <c r="U9192" t="s">
        <v>50622</v>
      </c>
      <c r="W9192" t="s">
        <v>40246</v>
      </c>
      <c r="X9192" t="s">
        <v>41260</v>
      </c>
    </row>
    <row r="9193" spans="1:24">
      <c r="A9193">
        <f>HYPERLINK("https://www.philgeps.gov.ph/GEPSNONPILOT/Tender/SplashBidNoticeAbstractUI.aspx?menuIndex=3&amp;refID=7063154&amp;Result=3","7063154")</f>
        <v>0</v>
      </c>
      <c r="B9193" t="s">
        <v>2735</v>
      </c>
      <c r="C9193" t="s">
        <v>12154</v>
      </c>
      <c r="D9193" t="s">
        <v>16611</v>
      </c>
      <c r="E9193" t="s">
        <v>24706</v>
      </c>
      <c r="F9193" t="s">
        <v>28669</v>
      </c>
      <c r="G9193" t="s">
        <v>28675</v>
      </c>
      <c r="H9193" t="s">
        <v>9998</v>
      </c>
      <c r="I9193" t="s">
        <v>28694</v>
      </c>
      <c r="J9193" t="s">
        <v>34530</v>
      </c>
      <c r="K9193" t="s">
        <v>37206</v>
      </c>
      <c r="M9193" t="s">
        <v>40450</v>
      </c>
      <c r="N9193" t="s">
        <v>41249</v>
      </c>
      <c r="O9193" t="s">
        <v>41250</v>
      </c>
      <c r="P9193">
        <v>0</v>
      </c>
      <c r="Q9193">
        <v>0</v>
      </c>
      <c r="R9193" t="s">
        <v>41259</v>
      </c>
      <c r="S9193" t="s">
        <v>41562</v>
      </c>
      <c r="T9193" t="s">
        <v>42911</v>
      </c>
      <c r="U9193" t="s">
        <v>50623</v>
      </c>
      <c r="V9193" t="s">
        <v>55284</v>
      </c>
      <c r="W9193" t="s">
        <v>40450</v>
      </c>
      <c r="X9193" t="s">
        <v>41260</v>
      </c>
    </row>
    <row r="9194" spans="1:24">
      <c r="A9194">
        <f>HYPERLINK("https://www.philgeps.gov.ph/GEPSNONPILOT/Tender/SplashBidNoticeAbstractUI.aspx?menuIndex=3&amp;refID=7063149&amp;Result=3","7063149")</f>
        <v>0</v>
      </c>
      <c r="B9194" t="s">
        <v>1961</v>
      </c>
      <c r="C9194" t="s">
        <v>12155</v>
      </c>
      <c r="D9194" t="s">
        <v>16608</v>
      </c>
      <c r="E9194" t="s">
        <v>24707</v>
      </c>
      <c r="F9194" t="s">
        <v>28669</v>
      </c>
      <c r="G9194" t="s">
        <v>28675</v>
      </c>
      <c r="H9194" t="s">
        <v>9998</v>
      </c>
      <c r="I9194" t="s">
        <v>28693</v>
      </c>
      <c r="J9194" t="s">
        <v>34377</v>
      </c>
      <c r="K9194" t="s">
        <v>37220</v>
      </c>
      <c r="M9194" t="s">
        <v>40442</v>
      </c>
      <c r="N9194" t="s">
        <v>41249</v>
      </c>
      <c r="O9194" t="s">
        <v>41250</v>
      </c>
      <c r="P9194">
        <v>0</v>
      </c>
      <c r="Q9194">
        <v>10</v>
      </c>
      <c r="R9194" t="s">
        <v>41259</v>
      </c>
      <c r="S9194" t="s">
        <v>41562</v>
      </c>
      <c r="T9194" t="s">
        <v>42870</v>
      </c>
      <c r="U9194" t="s">
        <v>50624</v>
      </c>
      <c r="W9194" t="s">
        <v>40442</v>
      </c>
      <c r="X9194" t="s">
        <v>41260</v>
      </c>
    </row>
    <row r="9195" spans="1:24">
      <c r="A9195">
        <f>HYPERLINK("https://www.philgeps.gov.ph/GEPSNONPILOT/Tender/SplashBidNoticeAbstractUI.aspx?menuIndex=3&amp;refID=7063145&amp;Result=3","7063145")</f>
        <v>0</v>
      </c>
      <c r="B9195" t="s">
        <v>394</v>
      </c>
      <c r="C9195" t="s">
        <v>12156</v>
      </c>
      <c r="D9195" t="s">
        <v>16675</v>
      </c>
      <c r="E9195" t="s">
        <v>24708</v>
      </c>
      <c r="F9195" t="s">
        <v>28669</v>
      </c>
      <c r="G9195" t="s">
        <v>28675</v>
      </c>
      <c r="H9195" t="s">
        <v>9998</v>
      </c>
      <c r="I9195" t="s">
        <v>28704</v>
      </c>
      <c r="J9195" t="s">
        <v>34531</v>
      </c>
      <c r="K9195" t="s">
        <v>37210</v>
      </c>
      <c r="L9195" t="s">
        <v>394</v>
      </c>
      <c r="M9195" t="s">
        <v>37878</v>
      </c>
      <c r="N9195" t="s">
        <v>41249</v>
      </c>
      <c r="O9195" t="s">
        <v>41250</v>
      </c>
      <c r="P9195">
        <v>0</v>
      </c>
      <c r="Q9195">
        <v>2</v>
      </c>
      <c r="R9195" t="s">
        <v>41259</v>
      </c>
      <c r="S9195" t="s">
        <v>41562</v>
      </c>
      <c r="T9195" t="s">
        <v>42728</v>
      </c>
      <c r="U9195" t="s">
        <v>43969</v>
      </c>
      <c r="V9195" t="s">
        <v>55282</v>
      </c>
      <c r="W9195" t="s">
        <v>37878</v>
      </c>
      <c r="X9195" t="s">
        <v>41260</v>
      </c>
    </row>
    <row r="9196" spans="1:24">
      <c r="A9196">
        <f>HYPERLINK("https://www.philgeps.gov.ph/GEPSNONPILOT/Tender/SplashBidNoticeAbstractUI.aspx?menuIndex=3&amp;refID=7063054&amp;Result=3","7063054")</f>
        <v>0</v>
      </c>
      <c r="B9196" t="s">
        <v>181</v>
      </c>
      <c r="C9196" t="s">
        <v>12157</v>
      </c>
      <c r="D9196" t="s">
        <v>16647</v>
      </c>
      <c r="E9196" t="s">
        <v>24709</v>
      </c>
      <c r="F9196" t="s">
        <v>28669</v>
      </c>
      <c r="G9196" t="s">
        <v>28675</v>
      </c>
      <c r="H9196" t="s">
        <v>9998</v>
      </c>
      <c r="I9196" t="s">
        <v>6606</v>
      </c>
      <c r="J9196" t="s">
        <v>29651</v>
      </c>
      <c r="K9196" t="s">
        <v>37210</v>
      </c>
      <c r="M9196" t="s">
        <v>37658</v>
      </c>
      <c r="N9196" t="s">
        <v>41249</v>
      </c>
      <c r="O9196" t="s">
        <v>41250</v>
      </c>
      <c r="P9196">
        <v>0</v>
      </c>
      <c r="Q9196">
        <v>0</v>
      </c>
      <c r="R9196" t="s">
        <v>41259</v>
      </c>
      <c r="S9196" t="s">
        <v>41562</v>
      </c>
      <c r="T9196" t="s">
        <v>42914</v>
      </c>
      <c r="U9196" t="s">
        <v>50625</v>
      </c>
      <c r="W9196" t="s">
        <v>37658</v>
      </c>
      <c r="X9196" t="s">
        <v>41260</v>
      </c>
    </row>
    <row r="9197" spans="1:24">
      <c r="A9197">
        <f>HYPERLINK("https://www.philgeps.gov.ph/GEPSNONPILOT/Tender/SplashBidNoticeAbstractUI.aspx?menuIndex=3&amp;refID=7063134&amp;Result=3","7063134")</f>
        <v>0</v>
      </c>
      <c r="B9197" t="s">
        <v>2071</v>
      </c>
      <c r="C9197" t="s">
        <v>12158</v>
      </c>
      <c r="D9197" t="s">
        <v>16611</v>
      </c>
      <c r="E9197" t="s">
        <v>24710</v>
      </c>
      <c r="F9197" t="s">
        <v>28669</v>
      </c>
      <c r="G9197" t="s">
        <v>28676</v>
      </c>
      <c r="H9197" t="s">
        <v>9998</v>
      </c>
      <c r="I9197" t="s">
        <v>28687</v>
      </c>
      <c r="J9197" t="s">
        <v>34532</v>
      </c>
      <c r="K9197" t="s">
        <v>37213</v>
      </c>
      <c r="M9197" t="s">
        <v>39712</v>
      </c>
      <c r="N9197" t="s">
        <v>41249</v>
      </c>
      <c r="O9197" t="s">
        <v>41250</v>
      </c>
      <c r="P9197">
        <v>0</v>
      </c>
      <c r="Q9197">
        <v>4</v>
      </c>
      <c r="R9197" t="s">
        <v>41259</v>
      </c>
      <c r="S9197" t="s">
        <v>41562</v>
      </c>
      <c r="T9197" t="s">
        <v>42679</v>
      </c>
      <c r="U9197" t="s">
        <v>50626</v>
      </c>
      <c r="W9197" t="s">
        <v>39712</v>
      </c>
      <c r="X9197" t="s">
        <v>41260</v>
      </c>
    </row>
    <row r="9198" spans="1:24">
      <c r="A9198">
        <f>HYPERLINK("https://www.philgeps.gov.ph/GEPSNONPILOT/Tender/SplashBidNoticeAbstractUI.aspx?menuIndex=3&amp;refID=7063052&amp;Result=3","7063052")</f>
        <v>0</v>
      </c>
      <c r="B9198" t="s">
        <v>709</v>
      </c>
      <c r="C9198" t="s">
        <v>12159</v>
      </c>
      <c r="D9198" t="s">
        <v>16621</v>
      </c>
      <c r="E9198" t="s">
        <v>24711</v>
      </c>
      <c r="F9198" t="s">
        <v>28669</v>
      </c>
      <c r="G9198" t="s">
        <v>28675</v>
      </c>
      <c r="H9198" t="s">
        <v>28686</v>
      </c>
      <c r="I9198" t="s">
        <v>28689</v>
      </c>
      <c r="J9198" t="s">
        <v>29059</v>
      </c>
      <c r="K9198" t="s">
        <v>37207</v>
      </c>
      <c r="M9198" t="s">
        <v>38216</v>
      </c>
      <c r="N9198" t="s">
        <v>41249</v>
      </c>
      <c r="O9198" t="s">
        <v>41250</v>
      </c>
      <c r="P9198">
        <v>0</v>
      </c>
      <c r="Q9198">
        <v>3</v>
      </c>
      <c r="R9198" t="s">
        <v>41259</v>
      </c>
      <c r="S9198" t="s">
        <v>41562</v>
      </c>
      <c r="T9198" t="s">
        <v>42760</v>
      </c>
      <c r="U9198" t="s">
        <v>50627</v>
      </c>
      <c r="W9198" t="s">
        <v>38216</v>
      </c>
      <c r="X9198" t="s">
        <v>41260</v>
      </c>
    </row>
    <row r="9199" spans="1:24">
      <c r="A9199">
        <f>HYPERLINK("https://www.philgeps.gov.ph/GEPSNONPILOT/Tender/SplashBidNoticeAbstractUI.aspx?menuIndex=3&amp;refID=7063044&amp;Result=3","7063044")</f>
        <v>0</v>
      </c>
      <c r="B9199" t="s">
        <v>1976</v>
      </c>
      <c r="C9199" t="s">
        <v>12160</v>
      </c>
      <c r="E9199" t="s">
        <v>24712</v>
      </c>
      <c r="F9199" t="s">
        <v>28669</v>
      </c>
      <c r="G9199" t="s">
        <v>28675</v>
      </c>
      <c r="H9199" t="s">
        <v>9998</v>
      </c>
      <c r="I9199" t="s">
        <v>7352</v>
      </c>
      <c r="J9199" t="s">
        <v>34533</v>
      </c>
      <c r="K9199" t="s">
        <v>37209</v>
      </c>
      <c r="M9199" t="s">
        <v>39610</v>
      </c>
      <c r="N9199" t="s">
        <v>41249</v>
      </c>
      <c r="O9199" t="s">
        <v>41250</v>
      </c>
      <c r="P9199">
        <v>0</v>
      </c>
      <c r="Q9199">
        <v>5</v>
      </c>
      <c r="R9199" t="s">
        <v>41259</v>
      </c>
      <c r="S9199" t="s">
        <v>41562</v>
      </c>
      <c r="T9199" t="s">
        <v>42782</v>
      </c>
      <c r="U9199" t="s">
        <v>50619</v>
      </c>
      <c r="W9199" t="s">
        <v>39610</v>
      </c>
      <c r="X9199" t="s">
        <v>41260</v>
      </c>
    </row>
    <row r="9200" spans="1:24">
      <c r="A9200">
        <f>HYPERLINK("https://www.philgeps.gov.ph/GEPSNONPILOT/Tender/SplashBidNoticeAbstractUI.aspx?menuIndex=3&amp;refID=7063084&amp;Result=3","7063084")</f>
        <v>0</v>
      </c>
      <c r="B9200" t="s">
        <v>2736</v>
      </c>
      <c r="C9200" t="s">
        <v>12161</v>
      </c>
      <c r="D9200" t="s">
        <v>16627</v>
      </c>
      <c r="E9200" t="s">
        <v>24713</v>
      </c>
      <c r="F9200" t="s">
        <v>28669</v>
      </c>
      <c r="G9200" t="s">
        <v>28675</v>
      </c>
      <c r="H9200" t="s">
        <v>28686</v>
      </c>
      <c r="I9200" t="s">
        <v>28689</v>
      </c>
      <c r="J9200" t="s">
        <v>34534</v>
      </c>
      <c r="K9200" t="s">
        <v>37213</v>
      </c>
      <c r="M9200" t="s">
        <v>40451</v>
      </c>
      <c r="N9200" t="s">
        <v>41249</v>
      </c>
      <c r="O9200" t="s">
        <v>41250</v>
      </c>
      <c r="P9200">
        <v>0</v>
      </c>
      <c r="Q9200">
        <v>0</v>
      </c>
      <c r="R9200" t="s">
        <v>41259</v>
      </c>
      <c r="S9200" t="s">
        <v>41562</v>
      </c>
      <c r="T9200" t="s">
        <v>42727</v>
      </c>
      <c r="U9200" t="s">
        <v>50628</v>
      </c>
      <c r="W9200" t="s">
        <v>40451</v>
      </c>
      <c r="X9200" t="s">
        <v>41260</v>
      </c>
    </row>
    <row r="9201" spans="1:24">
      <c r="A9201">
        <f>HYPERLINK("https://www.philgeps.gov.ph/GEPSNONPILOT/Tender/SplashBidNoticeAbstractUI.aspx?menuIndex=3&amp;refID=7063180&amp;Result=3","7063180")</f>
        <v>0</v>
      </c>
      <c r="B9201" t="s">
        <v>2737</v>
      </c>
      <c r="C9201" t="s">
        <v>12162</v>
      </c>
      <c r="E9201" t="s">
        <v>24714</v>
      </c>
      <c r="F9201" t="s">
        <v>28669</v>
      </c>
      <c r="G9201" t="s">
        <v>28675</v>
      </c>
      <c r="H9201" t="s">
        <v>28685</v>
      </c>
      <c r="I9201" t="s">
        <v>28685</v>
      </c>
      <c r="J9201" t="s">
        <v>28878</v>
      </c>
      <c r="K9201" t="s">
        <v>37209</v>
      </c>
      <c r="M9201" t="s">
        <v>40452</v>
      </c>
      <c r="N9201" t="s">
        <v>41249</v>
      </c>
      <c r="O9201" t="s">
        <v>41250</v>
      </c>
      <c r="P9201">
        <v>0</v>
      </c>
      <c r="Q9201">
        <v>1</v>
      </c>
      <c r="R9201" t="s">
        <v>41259</v>
      </c>
      <c r="S9201" t="s">
        <v>41562</v>
      </c>
      <c r="T9201" t="s">
        <v>42910</v>
      </c>
      <c r="U9201" t="s">
        <v>50629</v>
      </c>
      <c r="W9201" t="s">
        <v>40452</v>
      </c>
      <c r="X9201" t="s">
        <v>41260</v>
      </c>
    </row>
    <row r="9202" spans="1:24">
      <c r="A9202">
        <f>HYPERLINK("https://www.philgeps.gov.ph/GEPSNONPILOT/Tender/SplashBidNoticeAbstractUI.aspx?menuIndex=3&amp;refID=7063166&amp;Result=3","7063166")</f>
        <v>0</v>
      </c>
      <c r="B9202" t="s">
        <v>1366</v>
      </c>
      <c r="C9202" t="s">
        <v>12163</v>
      </c>
      <c r="D9202" t="s">
        <v>16644</v>
      </c>
      <c r="E9202" t="s">
        <v>24715</v>
      </c>
      <c r="F9202" t="s">
        <v>28669</v>
      </c>
      <c r="G9202" t="s">
        <v>28675</v>
      </c>
      <c r="H9202" t="s">
        <v>9998</v>
      </c>
      <c r="I9202" t="s">
        <v>6128</v>
      </c>
      <c r="J9202" t="s">
        <v>34535</v>
      </c>
      <c r="K9202" t="s">
        <v>37209</v>
      </c>
      <c r="M9202" t="s">
        <v>38923</v>
      </c>
      <c r="N9202" t="s">
        <v>41249</v>
      </c>
      <c r="O9202" t="s">
        <v>41250</v>
      </c>
      <c r="P9202">
        <v>0</v>
      </c>
      <c r="Q9202">
        <v>3</v>
      </c>
      <c r="R9202" t="s">
        <v>41259</v>
      </c>
      <c r="S9202" t="s">
        <v>41562</v>
      </c>
      <c r="T9202" t="s">
        <v>42701</v>
      </c>
      <c r="U9202" t="s">
        <v>50630</v>
      </c>
      <c r="W9202" t="s">
        <v>38923</v>
      </c>
      <c r="X9202" t="s">
        <v>41260</v>
      </c>
    </row>
    <row r="9203" spans="1:24">
      <c r="A9203">
        <f>HYPERLINK("https://www.philgeps.gov.ph/GEPSNONPILOT/Tender/SplashBidNoticeAbstractUI.aspx?menuIndex=3&amp;refID=7063135&amp;Result=3","7063135")</f>
        <v>0</v>
      </c>
      <c r="B9203" t="s">
        <v>2727</v>
      </c>
      <c r="C9203" t="s">
        <v>12164</v>
      </c>
      <c r="D9203" t="s">
        <v>16670</v>
      </c>
      <c r="E9203" t="s">
        <v>24716</v>
      </c>
      <c r="F9203" t="s">
        <v>28669</v>
      </c>
      <c r="G9203" t="s">
        <v>28675</v>
      </c>
      <c r="H9203" t="s">
        <v>28686</v>
      </c>
      <c r="I9203" t="s">
        <v>28689</v>
      </c>
      <c r="J9203" t="s">
        <v>34536</v>
      </c>
      <c r="K9203" t="s">
        <v>37224</v>
      </c>
      <c r="M9203" t="s">
        <v>40440</v>
      </c>
      <c r="N9203" t="s">
        <v>41249</v>
      </c>
      <c r="O9203" t="s">
        <v>41250</v>
      </c>
      <c r="P9203">
        <v>0</v>
      </c>
      <c r="Q9203">
        <v>1</v>
      </c>
      <c r="R9203" t="s">
        <v>41259</v>
      </c>
      <c r="S9203" t="s">
        <v>41562</v>
      </c>
      <c r="T9203" t="s">
        <v>42809</v>
      </c>
      <c r="U9203" t="s">
        <v>50631</v>
      </c>
      <c r="V9203" t="s">
        <v>55279</v>
      </c>
      <c r="W9203" t="s">
        <v>40440</v>
      </c>
      <c r="X9203" t="s">
        <v>41260</v>
      </c>
    </row>
    <row r="9204" spans="1:24">
      <c r="A9204">
        <f>HYPERLINK("https://www.philgeps.gov.ph/GEPSNONPILOT/Tender/SplashBidNoticeAbstractUI.aspx?menuIndex=3&amp;refID=7063164&amp;Result=3","7063164")</f>
        <v>0</v>
      </c>
      <c r="B9204" t="s">
        <v>2738</v>
      </c>
      <c r="C9204" t="s">
        <v>12165</v>
      </c>
      <c r="D9204" t="s">
        <v>16663</v>
      </c>
      <c r="E9204" t="s">
        <v>24717</v>
      </c>
      <c r="F9204" t="s">
        <v>28669</v>
      </c>
      <c r="G9204" t="s">
        <v>28675</v>
      </c>
      <c r="H9204" t="s">
        <v>28686</v>
      </c>
      <c r="I9204" t="s">
        <v>28689</v>
      </c>
      <c r="J9204" t="s">
        <v>28924</v>
      </c>
      <c r="K9204" t="s">
        <v>37405</v>
      </c>
      <c r="L9204" t="s">
        <v>2738</v>
      </c>
      <c r="M9204" t="s">
        <v>40453</v>
      </c>
      <c r="N9204" t="s">
        <v>41249</v>
      </c>
      <c r="O9204" t="s">
        <v>41250</v>
      </c>
      <c r="P9204">
        <v>0</v>
      </c>
      <c r="Q9204">
        <v>1</v>
      </c>
      <c r="R9204" t="s">
        <v>41259</v>
      </c>
      <c r="S9204" t="s">
        <v>41562</v>
      </c>
      <c r="T9204" t="s">
        <v>42760</v>
      </c>
      <c r="U9204" t="s">
        <v>50632</v>
      </c>
      <c r="W9204" t="s">
        <v>40453</v>
      </c>
      <c r="X9204" t="s">
        <v>41260</v>
      </c>
    </row>
    <row r="9205" spans="1:24">
      <c r="A9205">
        <f>HYPERLINK("https://www.philgeps.gov.ph/GEPSNONPILOT/Tender/SplashBidNoticeAbstractUI.aspx?menuIndex=3&amp;refID=7063133&amp;Result=3","7063133")</f>
        <v>0</v>
      </c>
      <c r="B9205" t="s">
        <v>181</v>
      </c>
      <c r="C9205" t="s">
        <v>12166</v>
      </c>
      <c r="D9205" t="s">
        <v>16647</v>
      </c>
      <c r="E9205" t="s">
        <v>24718</v>
      </c>
      <c r="F9205" t="s">
        <v>28669</v>
      </c>
      <c r="G9205" t="s">
        <v>28675</v>
      </c>
      <c r="H9205" t="s">
        <v>9998</v>
      </c>
      <c r="I9205" t="s">
        <v>6128</v>
      </c>
      <c r="J9205" t="s">
        <v>34537</v>
      </c>
      <c r="K9205" t="s">
        <v>37210</v>
      </c>
      <c r="M9205" t="s">
        <v>37658</v>
      </c>
      <c r="N9205" t="s">
        <v>41249</v>
      </c>
      <c r="O9205" t="s">
        <v>41250</v>
      </c>
      <c r="P9205">
        <v>0</v>
      </c>
      <c r="Q9205">
        <v>0</v>
      </c>
      <c r="R9205" t="s">
        <v>41259</v>
      </c>
      <c r="S9205" t="s">
        <v>41562</v>
      </c>
      <c r="T9205" t="s">
        <v>42914</v>
      </c>
      <c r="U9205" t="s">
        <v>44022</v>
      </c>
      <c r="W9205" t="s">
        <v>37658</v>
      </c>
      <c r="X9205" t="s">
        <v>41260</v>
      </c>
    </row>
    <row r="9206" spans="1:24">
      <c r="A9206">
        <f>HYPERLINK("https://www.philgeps.gov.ph/GEPSNONPILOT/Tender/SplashBidNoticeAbstractUI.aspx?menuIndex=3&amp;refID=7063121&amp;Result=3","7063121")</f>
        <v>0</v>
      </c>
      <c r="B9206" t="s">
        <v>2739</v>
      </c>
      <c r="C9206" t="s">
        <v>12167</v>
      </c>
      <c r="D9206" t="s">
        <v>16654</v>
      </c>
      <c r="E9206" t="s">
        <v>24719</v>
      </c>
      <c r="F9206" t="s">
        <v>28669</v>
      </c>
      <c r="G9206" t="s">
        <v>28675</v>
      </c>
      <c r="H9206" t="s">
        <v>28686</v>
      </c>
      <c r="I9206" t="s">
        <v>28689</v>
      </c>
      <c r="J9206" t="s">
        <v>34538</v>
      </c>
      <c r="K9206" t="s">
        <v>37215</v>
      </c>
      <c r="L9206" t="s">
        <v>2739</v>
      </c>
      <c r="M9206" t="s">
        <v>40454</v>
      </c>
      <c r="N9206" t="s">
        <v>41249</v>
      </c>
      <c r="O9206" t="s">
        <v>41250</v>
      </c>
      <c r="P9206">
        <v>0</v>
      </c>
      <c r="Q9206">
        <v>1</v>
      </c>
      <c r="R9206" t="s">
        <v>41259</v>
      </c>
      <c r="S9206" t="s">
        <v>41562</v>
      </c>
      <c r="T9206" t="s">
        <v>42761</v>
      </c>
      <c r="U9206" t="s">
        <v>50633</v>
      </c>
      <c r="W9206" t="s">
        <v>40454</v>
      </c>
      <c r="X9206" t="s">
        <v>41260</v>
      </c>
    </row>
    <row r="9207" spans="1:24">
      <c r="A9207">
        <f>HYPERLINK("https://www.philgeps.gov.ph/GEPSNONPILOT/Tender/SplashBidNoticeAbstractUI.aspx?menuIndex=3&amp;refID=7063177&amp;Result=3","7063177")</f>
        <v>0</v>
      </c>
      <c r="B9207" t="s">
        <v>181</v>
      </c>
      <c r="C9207" t="s">
        <v>12168</v>
      </c>
      <c r="D9207" t="s">
        <v>16647</v>
      </c>
      <c r="E9207" t="s">
        <v>24720</v>
      </c>
      <c r="F9207" t="s">
        <v>28669</v>
      </c>
      <c r="G9207" t="s">
        <v>28675</v>
      </c>
      <c r="H9207" t="s">
        <v>9998</v>
      </c>
      <c r="I9207" t="s">
        <v>6128</v>
      </c>
      <c r="J9207" t="s">
        <v>34539</v>
      </c>
      <c r="K9207" t="s">
        <v>37210</v>
      </c>
      <c r="M9207" t="s">
        <v>37658</v>
      </c>
      <c r="N9207" t="s">
        <v>41249</v>
      </c>
      <c r="O9207" t="s">
        <v>41250</v>
      </c>
      <c r="P9207">
        <v>0</v>
      </c>
      <c r="Q9207">
        <v>1</v>
      </c>
      <c r="R9207" t="s">
        <v>41259</v>
      </c>
      <c r="S9207" t="s">
        <v>41562</v>
      </c>
      <c r="T9207" t="s">
        <v>42914</v>
      </c>
      <c r="U9207" t="s">
        <v>44022</v>
      </c>
      <c r="W9207" t="s">
        <v>37658</v>
      </c>
      <c r="X9207" t="s">
        <v>41260</v>
      </c>
    </row>
    <row r="9208" spans="1:24">
      <c r="A9208">
        <f>HYPERLINK("https://www.philgeps.gov.ph/GEPSNONPILOT/Tender/SplashBidNoticeAbstractUI.aspx?menuIndex=3&amp;refID=7063117&amp;Result=3","7063117")</f>
        <v>0</v>
      </c>
      <c r="B9208" t="s">
        <v>797</v>
      </c>
      <c r="C9208" t="s">
        <v>12169</v>
      </c>
      <c r="D9208" t="s">
        <v>16677</v>
      </c>
      <c r="E9208" t="s">
        <v>24721</v>
      </c>
      <c r="F9208" t="s">
        <v>28669</v>
      </c>
      <c r="G9208" t="s">
        <v>28675</v>
      </c>
      <c r="H9208" t="s">
        <v>9998</v>
      </c>
      <c r="I9208" t="s">
        <v>28690</v>
      </c>
      <c r="J9208" t="s">
        <v>29847</v>
      </c>
      <c r="K9208" t="s">
        <v>37210</v>
      </c>
      <c r="M9208" t="s">
        <v>38312</v>
      </c>
      <c r="N9208" t="s">
        <v>41249</v>
      </c>
      <c r="O9208" t="s">
        <v>41250</v>
      </c>
      <c r="P9208">
        <v>0</v>
      </c>
      <c r="Q9208">
        <v>23</v>
      </c>
      <c r="R9208" t="s">
        <v>41259</v>
      </c>
      <c r="S9208" t="s">
        <v>41562</v>
      </c>
      <c r="T9208" t="s">
        <v>42989</v>
      </c>
      <c r="U9208" t="s">
        <v>50634</v>
      </c>
      <c r="V9208" t="s">
        <v>54475</v>
      </c>
      <c r="W9208" t="s">
        <v>38312</v>
      </c>
      <c r="X9208" t="s">
        <v>41260</v>
      </c>
    </row>
    <row r="9209" spans="1:24">
      <c r="A9209">
        <f>HYPERLINK("https://www.philgeps.gov.ph/GEPSNONPILOT/Tender/SplashBidNoticeAbstractUI.aspx?menuIndex=3&amp;refID=7063174&amp;Result=3","7063174")</f>
        <v>0</v>
      </c>
      <c r="B9209" t="s">
        <v>394</v>
      </c>
      <c r="C9209" t="s">
        <v>12170</v>
      </c>
      <c r="D9209" t="s">
        <v>16675</v>
      </c>
      <c r="E9209" t="s">
        <v>24722</v>
      </c>
      <c r="F9209" t="s">
        <v>28669</v>
      </c>
      <c r="G9209" t="s">
        <v>28675</v>
      </c>
      <c r="H9209" t="s">
        <v>9998</v>
      </c>
      <c r="I9209" t="s">
        <v>15140</v>
      </c>
      <c r="J9209" t="s">
        <v>34540</v>
      </c>
      <c r="K9209" t="s">
        <v>37210</v>
      </c>
      <c r="L9209" t="s">
        <v>394</v>
      </c>
      <c r="M9209" t="s">
        <v>37878</v>
      </c>
      <c r="N9209" t="s">
        <v>41249</v>
      </c>
      <c r="O9209" t="s">
        <v>41250</v>
      </c>
      <c r="P9209">
        <v>0</v>
      </c>
      <c r="Q9209">
        <v>4</v>
      </c>
      <c r="R9209" t="s">
        <v>41259</v>
      </c>
      <c r="S9209" t="s">
        <v>41562</v>
      </c>
      <c r="T9209" t="s">
        <v>42728</v>
      </c>
      <c r="U9209" t="s">
        <v>43906</v>
      </c>
      <c r="V9209" t="s">
        <v>55282</v>
      </c>
      <c r="W9209" t="s">
        <v>37878</v>
      </c>
      <c r="X9209" t="s">
        <v>41260</v>
      </c>
    </row>
    <row r="9210" spans="1:24">
      <c r="A9210">
        <f>HYPERLINK("https://www.philgeps.gov.ph/GEPSNONPILOT/Tender/SplashBidNoticeAbstractUI.aspx?menuIndex=3&amp;refID=7063181&amp;Result=3","7063181")</f>
        <v>0</v>
      </c>
      <c r="B9210" t="s">
        <v>1340</v>
      </c>
      <c r="C9210" t="s">
        <v>12171</v>
      </c>
      <c r="D9210" t="s">
        <v>16621</v>
      </c>
      <c r="E9210" t="s">
        <v>24723</v>
      </c>
      <c r="F9210" t="s">
        <v>28669</v>
      </c>
      <c r="G9210" t="s">
        <v>28675</v>
      </c>
      <c r="H9210" t="s">
        <v>28686</v>
      </c>
      <c r="I9210" t="s">
        <v>28689</v>
      </c>
      <c r="J9210" t="s">
        <v>34541</v>
      </c>
      <c r="K9210" t="s">
        <v>37214</v>
      </c>
      <c r="M9210" t="s">
        <v>40372</v>
      </c>
      <c r="N9210" t="s">
        <v>41249</v>
      </c>
      <c r="O9210" t="s">
        <v>41250</v>
      </c>
      <c r="P9210">
        <v>0</v>
      </c>
      <c r="Q9210">
        <v>0</v>
      </c>
      <c r="R9210" t="s">
        <v>41259</v>
      </c>
      <c r="S9210" t="s">
        <v>41562</v>
      </c>
      <c r="T9210" t="s">
        <v>42782</v>
      </c>
      <c r="U9210" t="s">
        <v>50603</v>
      </c>
      <c r="V9210" t="s">
        <v>55245</v>
      </c>
      <c r="W9210" t="s">
        <v>40372</v>
      </c>
      <c r="X9210" t="s">
        <v>41260</v>
      </c>
    </row>
    <row r="9211" spans="1:24">
      <c r="A9211">
        <f>HYPERLINK("https://www.philgeps.gov.ph/GEPSNONPILOT/Tender/SplashBidNoticeAbstractUI.aspx?menuIndex=3&amp;refID=7063233&amp;Result=3","7063233")</f>
        <v>0</v>
      </c>
      <c r="B9211" t="s">
        <v>2740</v>
      </c>
      <c r="C9211" t="s">
        <v>12172</v>
      </c>
      <c r="D9211" t="s">
        <v>16676</v>
      </c>
      <c r="E9211" t="s">
        <v>24724</v>
      </c>
      <c r="F9211" t="s">
        <v>28669</v>
      </c>
      <c r="G9211" t="s">
        <v>28675</v>
      </c>
      <c r="H9211" t="s">
        <v>28686</v>
      </c>
      <c r="I9211" t="s">
        <v>28689</v>
      </c>
      <c r="J9211" t="s">
        <v>29053</v>
      </c>
      <c r="K9211" t="s">
        <v>37421</v>
      </c>
      <c r="M9211" t="s">
        <v>40455</v>
      </c>
      <c r="N9211" t="s">
        <v>41249</v>
      </c>
      <c r="O9211" t="s">
        <v>41250</v>
      </c>
      <c r="P9211">
        <v>0</v>
      </c>
      <c r="Q9211">
        <v>1</v>
      </c>
      <c r="R9211" t="s">
        <v>41259</v>
      </c>
      <c r="S9211" t="s">
        <v>41562</v>
      </c>
      <c r="T9211" t="s">
        <v>42712</v>
      </c>
      <c r="U9211" t="s">
        <v>50635</v>
      </c>
      <c r="V9211" t="s">
        <v>55285</v>
      </c>
      <c r="W9211" t="s">
        <v>40455</v>
      </c>
      <c r="X9211" t="s">
        <v>41260</v>
      </c>
    </row>
    <row r="9212" spans="1:24">
      <c r="A9212">
        <f>HYPERLINK("https://www.philgeps.gov.ph/GEPSNONPILOT/Tender/SplashBidNoticeAbstractUI.aspx?menuIndex=3&amp;refID=7063144&amp;Result=3","7063144")</f>
        <v>0</v>
      </c>
      <c r="B9212" t="s">
        <v>990</v>
      </c>
      <c r="C9212" t="s">
        <v>12173</v>
      </c>
      <c r="D9212" t="s">
        <v>16658</v>
      </c>
      <c r="E9212" t="s">
        <v>24725</v>
      </c>
      <c r="F9212" t="s">
        <v>28669</v>
      </c>
      <c r="G9212" t="s">
        <v>28675</v>
      </c>
      <c r="H9212" t="s">
        <v>28686</v>
      </c>
      <c r="I9212" t="s">
        <v>28689</v>
      </c>
      <c r="J9212" t="s">
        <v>34542</v>
      </c>
      <c r="K9212" t="s">
        <v>37209</v>
      </c>
      <c r="M9212" t="s">
        <v>38517</v>
      </c>
      <c r="N9212" t="s">
        <v>41249</v>
      </c>
      <c r="O9212" t="s">
        <v>41250</v>
      </c>
      <c r="P9212">
        <v>0</v>
      </c>
      <c r="Q9212">
        <v>0</v>
      </c>
      <c r="R9212" t="s">
        <v>41259</v>
      </c>
      <c r="S9212" t="s">
        <v>41562</v>
      </c>
      <c r="T9212" t="s">
        <v>42728</v>
      </c>
      <c r="U9212" t="s">
        <v>45220</v>
      </c>
      <c r="W9212" t="s">
        <v>38517</v>
      </c>
      <c r="X9212" t="s">
        <v>41260</v>
      </c>
    </row>
    <row r="9213" spans="1:24">
      <c r="A9213">
        <f>HYPERLINK("https://www.philgeps.gov.ph/GEPSNONPILOT/Tender/SplashBidNoticeAbstractUI.aspx?menuIndex=3&amp;refID=7063232&amp;Result=3","7063232")</f>
        <v>0</v>
      </c>
      <c r="B9213" t="s">
        <v>2299</v>
      </c>
      <c r="C9213" t="s">
        <v>12174</v>
      </c>
      <c r="D9213" t="s">
        <v>16619</v>
      </c>
      <c r="E9213" t="s">
        <v>24726</v>
      </c>
      <c r="F9213" t="s">
        <v>28669</v>
      </c>
      <c r="G9213" t="s">
        <v>28675</v>
      </c>
      <c r="H9213" t="s">
        <v>28686</v>
      </c>
      <c r="I9213" t="s">
        <v>28689</v>
      </c>
      <c r="J9213" t="s">
        <v>28836</v>
      </c>
      <c r="K9213" t="s">
        <v>37213</v>
      </c>
      <c r="M9213" t="s">
        <v>39957</v>
      </c>
      <c r="N9213" t="s">
        <v>41249</v>
      </c>
      <c r="O9213" t="s">
        <v>41250</v>
      </c>
      <c r="P9213">
        <v>0</v>
      </c>
      <c r="Q9213">
        <v>0</v>
      </c>
      <c r="R9213" t="s">
        <v>41259</v>
      </c>
      <c r="S9213" t="s">
        <v>41562</v>
      </c>
      <c r="T9213" t="s">
        <v>42760</v>
      </c>
      <c r="U9213" t="s">
        <v>50636</v>
      </c>
      <c r="V9213" t="s">
        <v>55286</v>
      </c>
      <c r="W9213" t="s">
        <v>39957</v>
      </c>
      <c r="X9213" t="s">
        <v>41260</v>
      </c>
    </row>
    <row r="9214" spans="1:24">
      <c r="A9214">
        <f>HYPERLINK("https://www.philgeps.gov.ph/GEPSNONPILOT/Tender/SplashBidNoticeAbstractUI.aspx?menuIndex=3&amp;refID=7063160&amp;Result=3","7063160")</f>
        <v>0</v>
      </c>
      <c r="B9214" t="s">
        <v>181</v>
      </c>
      <c r="C9214" t="s">
        <v>12175</v>
      </c>
      <c r="D9214" t="s">
        <v>16647</v>
      </c>
      <c r="E9214" t="s">
        <v>24727</v>
      </c>
      <c r="F9214" t="s">
        <v>28669</v>
      </c>
      <c r="G9214" t="s">
        <v>28675</v>
      </c>
      <c r="H9214" t="s">
        <v>9998</v>
      </c>
      <c r="I9214" t="s">
        <v>28708</v>
      </c>
      <c r="J9214" t="s">
        <v>29088</v>
      </c>
      <c r="K9214" t="s">
        <v>37210</v>
      </c>
      <c r="M9214" t="s">
        <v>37658</v>
      </c>
      <c r="N9214" t="s">
        <v>41249</v>
      </c>
      <c r="O9214" t="s">
        <v>41250</v>
      </c>
      <c r="P9214">
        <v>0</v>
      </c>
      <c r="Q9214">
        <v>0</v>
      </c>
      <c r="R9214" t="s">
        <v>41259</v>
      </c>
      <c r="S9214" t="s">
        <v>41562</v>
      </c>
      <c r="T9214" t="s">
        <v>42914</v>
      </c>
      <c r="U9214" t="s">
        <v>50637</v>
      </c>
      <c r="W9214" t="s">
        <v>37658</v>
      </c>
      <c r="X9214" t="s">
        <v>41260</v>
      </c>
    </row>
    <row r="9215" spans="1:24">
      <c r="A9215">
        <f>HYPERLINK("https://www.philgeps.gov.ph/GEPSNONPILOT/Tender/SplashBidNoticeAbstractUI.aspx?menuIndex=3&amp;refID=7063246&amp;Result=3","7063246")</f>
        <v>0</v>
      </c>
      <c r="B9215" t="s">
        <v>2295</v>
      </c>
      <c r="C9215" t="s">
        <v>12176</v>
      </c>
      <c r="E9215" t="s">
        <v>24728</v>
      </c>
      <c r="F9215" t="s">
        <v>28669</v>
      </c>
      <c r="G9215" t="s">
        <v>28682</v>
      </c>
      <c r="H9215" t="s">
        <v>9998</v>
      </c>
      <c r="I9215" t="s">
        <v>28743</v>
      </c>
      <c r="J9215" t="s">
        <v>34543</v>
      </c>
      <c r="K9215" t="s">
        <v>37206</v>
      </c>
      <c r="M9215" t="s">
        <v>39952</v>
      </c>
      <c r="N9215" t="s">
        <v>41249</v>
      </c>
      <c r="O9215" t="s">
        <v>41250</v>
      </c>
      <c r="P9215">
        <v>0</v>
      </c>
      <c r="Q9215">
        <v>0</v>
      </c>
      <c r="R9215" t="s">
        <v>41259</v>
      </c>
      <c r="S9215" t="s">
        <v>41562</v>
      </c>
      <c r="T9215" t="s">
        <v>42760</v>
      </c>
      <c r="U9215" t="s">
        <v>50638</v>
      </c>
      <c r="V9215" t="s">
        <v>55229</v>
      </c>
      <c r="W9215" t="s">
        <v>39952</v>
      </c>
      <c r="X9215" t="s">
        <v>41260</v>
      </c>
    </row>
    <row r="9216" spans="1:24">
      <c r="A9216">
        <f>HYPERLINK("https://www.philgeps.gov.ph/GEPSNONPILOT/Tender/SplashBidNoticeAbstractUI.aspx?menuIndex=3&amp;refID=7063158&amp;Result=3","7063158")</f>
        <v>0</v>
      </c>
      <c r="B9216" t="s">
        <v>2498</v>
      </c>
      <c r="C9216" t="s">
        <v>12177</v>
      </c>
      <c r="D9216" t="s">
        <v>16639</v>
      </c>
      <c r="E9216" t="s">
        <v>24729</v>
      </c>
      <c r="F9216" t="s">
        <v>28669</v>
      </c>
      <c r="G9216" t="s">
        <v>28675</v>
      </c>
      <c r="H9216" t="s">
        <v>28686</v>
      </c>
      <c r="I9216" t="s">
        <v>28689</v>
      </c>
      <c r="J9216" t="s">
        <v>34544</v>
      </c>
      <c r="K9216" t="s">
        <v>37257</v>
      </c>
      <c r="M9216" t="s">
        <v>40183</v>
      </c>
      <c r="N9216" t="s">
        <v>41249</v>
      </c>
      <c r="O9216" t="s">
        <v>41250</v>
      </c>
      <c r="P9216">
        <v>0</v>
      </c>
      <c r="Q9216">
        <v>2</v>
      </c>
      <c r="R9216" t="s">
        <v>41259</v>
      </c>
      <c r="S9216" t="s">
        <v>41562</v>
      </c>
      <c r="T9216" t="s">
        <v>42700</v>
      </c>
      <c r="U9216" t="s">
        <v>50602</v>
      </c>
      <c r="W9216" t="s">
        <v>40183</v>
      </c>
      <c r="X9216" t="s">
        <v>41260</v>
      </c>
    </row>
    <row r="9217" spans="1:24">
      <c r="A9217">
        <f>HYPERLINK("https://www.philgeps.gov.ph/GEPSNONPILOT/Tender/SplashBidNoticeAbstractUI.aspx?menuIndex=3&amp;refID=7063245&amp;Result=3","7063245")</f>
        <v>0</v>
      </c>
      <c r="B9217" t="s">
        <v>1340</v>
      </c>
      <c r="C9217" t="s">
        <v>12178</v>
      </c>
      <c r="D9217" t="s">
        <v>16621</v>
      </c>
      <c r="E9217" t="s">
        <v>24730</v>
      </c>
      <c r="F9217" t="s">
        <v>28669</v>
      </c>
      <c r="G9217" t="s">
        <v>28675</v>
      </c>
      <c r="H9217" t="s">
        <v>28686</v>
      </c>
      <c r="I9217" t="s">
        <v>28689</v>
      </c>
      <c r="J9217" t="s">
        <v>34545</v>
      </c>
      <c r="K9217" t="s">
        <v>37220</v>
      </c>
      <c r="M9217" t="s">
        <v>40372</v>
      </c>
      <c r="N9217" t="s">
        <v>41249</v>
      </c>
      <c r="O9217" t="s">
        <v>41250</v>
      </c>
      <c r="P9217">
        <v>0</v>
      </c>
      <c r="Q9217">
        <v>0</v>
      </c>
      <c r="R9217" t="s">
        <v>41259</v>
      </c>
      <c r="S9217" t="s">
        <v>41562</v>
      </c>
      <c r="T9217" t="s">
        <v>42782</v>
      </c>
      <c r="U9217" t="s">
        <v>50639</v>
      </c>
      <c r="V9217" t="s">
        <v>55245</v>
      </c>
      <c r="W9217" t="s">
        <v>40372</v>
      </c>
      <c r="X9217" t="s">
        <v>41260</v>
      </c>
    </row>
    <row r="9218" spans="1:24">
      <c r="A9218">
        <f>HYPERLINK("https://www.philgeps.gov.ph/GEPSNONPILOT/Tender/SplashBidNoticeAbstractUI.aspx?menuIndex=3&amp;refID=7063185&amp;Result=3","7063185")</f>
        <v>0</v>
      </c>
      <c r="B9218" t="s">
        <v>990</v>
      </c>
      <c r="C9218" t="s">
        <v>12179</v>
      </c>
      <c r="D9218" t="s">
        <v>16658</v>
      </c>
      <c r="E9218" t="s">
        <v>24731</v>
      </c>
      <c r="F9218" t="s">
        <v>28669</v>
      </c>
      <c r="G9218" t="s">
        <v>28675</v>
      </c>
      <c r="H9218" t="s">
        <v>28686</v>
      </c>
      <c r="I9218" t="s">
        <v>28689</v>
      </c>
      <c r="J9218" t="s">
        <v>34542</v>
      </c>
      <c r="K9218" t="s">
        <v>37209</v>
      </c>
      <c r="M9218" t="s">
        <v>38517</v>
      </c>
      <c r="N9218" t="s">
        <v>41249</v>
      </c>
      <c r="O9218" t="s">
        <v>41250</v>
      </c>
      <c r="P9218">
        <v>0</v>
      </c>
      <c r="Q9218">
        <v>1</v>
      </c>
      <c r="R9218" t="s">
        <v>41259</v>
      </c>
      <c r="S9218" t="s">
        <v>41562</v>
      </c>
      <c r="T9218" t="s">
        <v>42887</v>
      </c>
      <c r="U9218" t="s">
        <v>45220</v>
      </c>
      <c r="W9218" t="s">
        <v>38517</v>
      </c>
      <c r="X9218" t="s">
        <v>41260</v>
      </c>
    </row>
    <row r="9219" spans="1:24">
      <c r="A9219">
        <f>HYPERLINK("https://www.philgeps.gov.ph/GEPSNONPILOT/Tender/SplashBidNoticeAbstractUI.aspx?menuIndex=3&amp;refID=7063239&amp;Result=3","7063239")</f>
        <v>0</v>
      </c>
      <c r="B9219" t="s">
        <v>990</v>
      </c>
      <c r="C9219" t="s">
        <v>12180</v>
      </c>
      <c r="D9219" t="s">
        <v>16658</v>
      </c>
      <c r="E9219" t="s">
        <v>24732</v>
      </c>
      <c r="F9219" t="s">
        <v>28669</v>
      </c>
      <c r="G9219" t="s">
        <v>28675</v>
      </c>
      <c r="H9219" t="s">
        <v>28686</v>
      </c>
      <c r="I9219" t="s">
        <v>28689</v>
      </c>
      <c r="J9219" t="s">
        <v>34542</v>
      </c>
      <c r="K9219" t="s">
        <v>37209</v>
      </c>
      <c r="M9219" t="s">
        <v>38517</v>
      </c>
      <c r="N9219" t="s">
        <v>41249</v>
      </c>
      <c r="O9219" t="s">
        <v>41250</v>
      </c>
      <c r="P9219">
        <v>0</v>
      </c>
      <c r="Q9219">
        <v>1</v>
      </c>
      <c r="R9219" t="s">
        <v>41259</v>
      </c>
      <c r="S9219" t="s">
        <v>41562</v>
      </c>
      <c r="T9219" t="s">
        <v>42887</v>
      </c>
      <c r="U9219" t="s">
        <v>45220</v>
      </c>
      <c r="W9219" t="s">
        <v>38517</v>
      </c>
      <c r="X9219" t="s">
        <v>41260</v>
      </c>
    </row>
    <row r="9220" spans="1:24">
      <c r="A9220">
        <f>HYPERLINK("https://www.philgeps.gov.ph/GEPSNONPILOT/Tender/SplashBidNoticeAbstractUI.aspx?menuIndex=3&amp;refID=7063220&amp;Result=3","7063220")</f>
        <v>0</v>
      </c>
      <c r="B9220" t="s">
        <v>2741</v>
      </c>
      <c r="C9220" t="s">
        <v>12181</v>
      </c>
      <c r="D9220" t="s">
        <v>16663</v>
      </c>
      <c r="E9220" t="s">
        <v>24733</v>
      </c>
      <c r="F9220" t="s">
        <v>28669</v>
      </c>
      <c r="G9220" t="s">
        <v>28675</v>
      </c>
      <c r="H9220" t="s">
        <v>9998</v>
      </c>
      <c r="I9220" t="s">
        <v>28700</v>
      </c>
      <c r="J9220" t="s">
        <v>34546</v>
      </c>
      <c r="K9220" t="s">
        <v>37220</v>
      </c>
      <c r="M9220" t="s">
        <v>40456</v>
      </c>
      <c r="N9220" t="s">
        <v>41249</v>
      </c>
      <c r="O9220" t="s">
        <v>41250</v>
      </c>
      <c r="P9220">
        <v>0</v>
      </c>
      <c r="Q9220">
        <v>3</v>
      </c>
      <c r="R9220" t="s">
        <v>41259</v>
      </c>
      <c r="S9220" t="s">
        <v>41562</v>
      </c>
      <c r="T9220" t="s">
        <v>42754</v>
      </c>
      <c r="U9220" t="s">
        <v>50640</v>
      </c>
      <c r="W9220" t="s">
        <v>56009</v>
      </c>
      <c r="X9220" t="s">
        <v>41260</v>
      </c>
    </row>
    <row r="9221" spans="1:24">
      <c r="A9221">
        <f>HYPERLINK("https://www.philgeps.gov.ph/GEPSNONPILOT/Tender/SplashBidNoticeAbstractUI.aspx?menuIndex=3&amp;refID=7063227&amp;Result=3","7063227")</f>
        <v>0</v>
      </c>
      <c r="B9221" t="s">
        <v>327</v>
      </c>
      <c r="C9221" t="s">
        <v>12182</v>
      </c>
      <c r="D9221" t="s">
        <v>16682</v>
      </c>
      <c r="E9221" t="s">
        <v>24734</v>
      </c>
      <c r="F9221" t="s">
        <v>28669</v>
      </c>
      <c r="G9221" t="s">
        <v>28675</v>
      </c>
      <c r="H9221" t="s">
        <v>9998</v>
      </c>
      <c r="I9221" t="s">
        <v>28687</v>
      </c>
      <c r="J9221" t="s">
        <v>34547</v>
      </c>
      <c r="K9221" t="s">
        <v>37221</v>
      </c>
      <c r="M9221" t="s">
        <v>37807</v>
      </c>
      <c r="N9221" t="s">
        <v>41249</v>
      </c>
      <c r="O9221" t="s">
        <v>41250</v>
      </c>
      <c r="P9221">
        <v>0</v>
      </c>
      <c r="Q9221">
        <v>5</v>
      </c>
      <c r="R9221" t="s">
        <v>41259</v>
      </c>
      <c r="S9221" t="s">
        <v>41562</v>
      </c>
      <c r="T9221" t="s">
        <v>43000</v>
      </c>
      <c r="U9221" t="s">
        <v>50641</v>
      </c>
      <c r="V9221" t="s">
        <v>54328</v>
      </c>
      <c r="W9221" t="s">
        <v>37807</v>
      </c>
      <c r="X9221" t="s">
        <v>41260</v>
      </c>
    </row>
    <row r="9222" spans="1:24">
      <c r="A9222">
        <f>HYPERLINK("https://www.philgeps.gov.ph/GEPSNONPILOT/Tender/SplashBidNoticeAbstractUI.aspx?menuIndex=3&amp;refID=7063217&amp;Result=3","7063217")</f>
        <v>0</v>
      </c>
      <c r="B9222" t="s">
        <v>181</v>
      </c>
      <c r="C9222" t="s">
        <v>12183</v>
      </c>
      <c r="D9222" t="s">
        <v>16647</v>
      </c>
      <c r="E9222" t="s">
        <v>24735</v>
      </c>
      <c r="F9222" t="s">
        <v>28669</v>
      </c>
      <c r="G9222" t="s">
        <v>28675</v>
      </c>
      <c r="H9222" t="s">
        <v>9998</v>
      </c>
      <c r="I9222" t="s">
        <v>28695</v>
      </c>
      <c r="J9222" t="s">
        <v>29487</v>
      </c>
      <c r="K9222" t="s">
        <v>37210</v>
      </c>
      <c r="M9222" t="s">
        <v>37658</v>
      </c>
      <c r="N9222" t="s">
        <v>41249</v>
      </c>
      <c r="O9222" t="s">
        <v>41250</v>
      </c>
      <c r="P9222">
        <v>0</v>
      </c>
      <c r="Q9222">
        <v>0</v>
      </c>
      <c r="R9222" t="s">
        <v>41259</v>
      </c>
      <c r="S9222" t="s">
        <v>41562</v>
      </c>
      <c r="T9222" t="s">
        <v>42914</v>
      </c>
      <c r="U9222" t="s">
        <v>50642</v>
      </c>
      <c r="W9222" t="s">
        <v>37658</v>
      </c>
      <c r="X9222" t="s">
        <v>41260</v>
      </c>
    </row>
    <row r="9223" spans="1:24">
      <c r="A9223">
        <f>HYPERLINK("https://www.philgeps.gov.ph/GEPSNONPILOT/Tender/SplashBidNoticeAbstractUI.aspx?menuIndex=3&amp;refID=7063212&amp;Result=3","7063212")</f>
        <v>0</v>
      </c>
      <c r="B9223" t="s">
        <v>2733</v>
      </c>
      <c r="C9223" t="s">
        <v>12184</v>
      </c>
      <c r="D9223" t="s">
        <v>16658</v>
      </c>
      <c r="E9223" t="s">
        <v>24736</v>
      </c>
      <c r="F9223" t="s">
        <v>28669</v>
      </c>
      <c r="G9223" t="s">
        <v>28675</v>
      </c>
      <c r="H9223" t="s">
        <v>9998</v>
      </c>
      <c r="I9223" t="s">
        <v>7352</v>
      </c>
      <c r="J9223" t="s">
        <v>28905</v>
      </c>
      <c r="K9223" t="s">
        <v>37205</v>
      </c>
      <c r="M9223" t="s">
        <v>40448</v>
      </c>
      <c r="N9223" t="s">
        <v>41249</v>
      </c>
      <c r="O9223" t="s">
        <v>41250</v>
      </c>
      <c r="P9223">
        <v>0</v>
      </c>
      <c r="Q9223">
        <v>0</v>
      </c>
      <c r="R9223" t="s">
        <v>41259</v>
      </c>
      <c r="S9223" t="s">
        <v>41562</v>
      </c>
      <c r="T9223" t="s">
        <v>42992</v>
      </c>
      <c r="U9223" t="s">
        <v>50643</v>
      </c>
      <c r="W9223" t="s">
        <v>40448</v>
      </c>
      <c r="X9223" t="s">
        <v>41260</v>
      </c>
    </row>
    <row r="9224" spans="1:24">
      <c r="A9224">
        <f>HYPERLINK("https://www.philgeps.gov.ph/GEPSNONPILOT/Tender/SplashBidNoticeAbstractUI.aspx?menuIndex=3&amp;refID=7063208&amp;Result=3","7063208")</f>
        <v>0</v>
      </c>
      <c r="B9224" t="s">
        <v>433</v>
      </c>
      <c r="C9224" t="s">
        <v>12185</v>
      </c>
      <c r="D9224" t="s">
        <v>16626</v>
      </c>
      <c r="E9224" t="s">
        <v>24737</v>
      </c>
      <c r="F9224" t="s">
        <v>28669</v>
      </c>
      <c r="G9224" t="s">
        <v>28675</v>
      </c>
      <c r="H9224" t="s">
        <v>9998</v>
      </c>
      <c r="I9224" t="s">
        <v>28722</v>
      </c>
      <c r="J9224" t="s">
        <v>34548</v>
      </c>
      <c r="K9224" t="s">
        <v>37227</v>
      </c>
      <c r="M9224" t="s">
        <v>37918</v>
      </c>
      <c r="N9224" t="s">
        <v>41249</v>
      </c>
      <c r="O9224" t="s">
        <v>41250</v>
      </c>
      <c r="P9224">
        <v>0</v>
      </c>
      <c r="Q9224">
        <v>2</v>
      </c>
      <c r="R9224" t="s">
        <v>41259</v>
      </c>
      <c r="S9224" t="s">
        <v>41562</v>
      </c>
      <c r="T9224" t="s">
        <v>42726</v>
      </c>
      <c r="U9224" t="s">
        <v>43916</v>
      </c>
      <c r="W9224" t="s">
        <v>37918</v>
      </c>
      <c r="X9224" t="s">
        <v>41260</v>
      </c>
    </row>
    <row r="9225" spans="1:24">
      <c r="A9225">
        <f>HYPERLINK("https://www.philgeps.gov.ph/GEPSNONPILOT/Tender/SplashBidNoticeAbstractUI.aspx?menuIndex=3&amp;refID=7063206&amp;Result=3","7063206")</f>
        <v>0</v>
      </c>
      <c r="B9225" t="s">
        <v>1062</v>
      </c>
      <c r="C9225" t="s">
        <v>12186</v>
      </c>
      <c r="D9225" t="s">
        <v>16641</v>
      </c>
      <c r="E9225" t="s">
        <v>19893</v>
      </c>
      <c r="F9225" t="s">
        <v>28669</v>
      </c>
      <c r="G9225" t="s">
        <v>28677</v>
      </c>
      <c r="H9225" t="s">
        <v>9998</v>
      </c>
      <c r="I9225" t="s">
        <v>28687</v>
      </c>
      <c r="J9225" t="s">
        <v>29208</v>
      </c>
      <c r="K9225" t="s">
        <v>37204</v>
      </c>
      <c r="M9225" t="s">
        <v>38593</v>
      </c>
      <c r="N9225" t="s">
        <v>41249</v>
      </c>
      <c r="O9225" t="s">
        <v>41250</v>
      </c>
      <c r="P9225">
        <v>0</v>
      </c>
      <c r="Q9225">
        <v>0</v>
      </c>
      <c r="R9225" t="s">
        <v>41259</v>
      </c>
      <c r="S9225" t="s">
        <v>41562</v>
      </c>
      <c r="T9225" t="s">
        <v>42728</v>
      </c>
      <c r="U9225" t="s">
        <v>50644</v>
      </c>
      <c r="W9225" t="s">
        <v>38593</v>
      </c>
      <c r="X9225" t="s">
        <v>41260</v>
      </c>
    </row>
    <row r="9226" spans="1:24">
      <c r="A9226">
        <f>HYPERLINK("https://www.philgeps.gov.ph/GEPSNONPILOT/Tender/SplashBidNoticeAbstractUI.aspx?menuIndex=3&amp;refID=7063240&amp;Result=3","7063240")</f>
        <v>0</v>
      </c>
      <c r="B9226" t="s">
        <v>2712</v>
      </c>
      <c r="C9226" t="s">
        <v>12187</v>
      </c>
      <c r="D9226" t="s">
        <v>16662</v>
      </c>
      <c r="E9226" t="s">
        <v>17629</v>
      </c>
      <c r="F9226" t="s">
        <v>28669</v>
      </c>
      <c r="G9226" t="s">
        <v>28675</v>
      </c>
      <c r="H9226" t="s">
        <v>9998</v>
      </c>
      <c r="I9226" t="s">
        <v>5033</v>
      </c>
      <c r="J9226" t="s">
        <v>33758</v>
      </c>
      <c r="K9226" t="s">
        <v>37206</v>
      </c>
      <c r="M9226" t="s">
        <v>40423</v>
      </c>
      <c r="N9226" t="s">
        <v>41249</v>
      </c>
      <c r="O9226" t="s">
        <v>41250</v>
      </c>
      <c r="P9226">
        <v>0</v>
      </c>
      <c r="Q9226">
        <v>3</v>
      </c>
      <c r="R9226" t="s">
        <v>41259</v>
      </c>
      <c r="S9226" t="s">
        <v>41562</v>
      </c>
      <c r="T9226" t="s">
        <v>42930</v>
      </c>
      <c r="U9226" t="s">
        <v>50645</v>
      </c>
      <c r="W9226" t="s">
        <v>40423</v>
      </c>
      <c r="X9226" t="s">
        <v>41260</v>
      </c>
    </row>
    <row r="9227" spans="1:24">
      <c r="A9227">
        <f>HYPERLINK("https://www.philgeps.gov.ph/GEPSNONPILOT/Tender/SplashBidNoticeAbstractUI.aspx?menuIndex=3&amp;refID=7063202&amp;Result=3","7063202")</f>
        <v>0</v>
      </c>
      <c r="B9227" t="s">
        <v>849</v>
      </c>
      <c r="C9227" t="s">
        <v>12139</v>
      </c>
      <c r="D9227" t="s">
        <v>16626</v>
      </c>
      <c r="E9227" t="s">
        <v>24738</v>
      </c>
      <c r="F9227" t="s">
        <v>28669</v>
      </c>
      <c r="G9227" t="s">
        <v>28676</v>
      </c>
      <c r="H9227" t="s">
        <v>9998</v>
      </c>
      <c r="I9227" t="s">
        <v>7352</v>
      </c>
      <c r="J9227" t="s">
        <v>28879</v>
      </c>
      <c r="K9227" t="s">
        <v>37209</v>
      </c>
      <c r="M9227" t="s">
        <v>38365</v>
      </c>
      <c r="N9227" t="s">
        <v>41249</v>
      </c>
      <c r="O9227" t="s">
        <v>41250</v>
      </c>
      <c r="P9227">
        <v>0</v>
      </c>
      <c r="Q9227">
        <v>0</v>
      </c>
      <c r="R9227" t="s">
        <v>41259</v>
      </c>
      <c r="S9227" t="s">
        <v>41562</v>
      </c>
      <c r="T9227" t="s">
        <v>42992</v>
      </c>
      <c r="U9227" t="s">
        <v>50611</v>
      </c>
      <c r="W9227" t="s">
        <v>38365</v>
      </c>
      <c r="X9227" t="s">
        <v>41260</v>
      </c>
    </row>
    <row r="9228" spans="1:24">
      <c r="A9228">
        <f>HYPERLINK("https://www.philgeps.gov.ph/GEPSNONPILOT/Tender/SplashBidNoticeAbstractUI.aspx?menuIndex=3&amp;refID=7063224&amp;Result=3","7063224")</f>
        <v>0</v>
      </c>
      <c r="B9228" t="s">
        <v>1340</v>
      </c>
      <c r="C9228" t="s">
        <v>12188</v>
      </c>
      <c r="D9228" t="s">
        <v>16621</v>
      </c>
      <c r="E9228" t="s">
        <v>24739</v>
      </c>
      <c r="F9228" t="s">
        <v>28669</v>
      </c>
      <c r="G9228" t="s">
        <v>28675</v>
      </c>
      <c r="H9228" t="s">
        <v>28686</v>
      </c>
      <c r="I9228" t="s">
        <v>28689</v>
      </c>
      <c r="J9228" t="s">
        <v>34549</v>
      </c>
      <c r="K9228" t="s">
        <v>37250</v>
      </c>
      <c r="M9228" t="s">
        <v>40372</v>
      </c>
      <c r="N9228" t="s">
        <v>41249</v>
      </c>
      <c r="O9228" t="s">
        <v>41250</v>
      </c>
      <c r="P9228">
        <v>0</v>
      </c>
      <c r="Q9228">
        <v>0</v>
      </c>
      <c r="R9228" t="s">
        <v>41259</v>
      </c>
      <c r="S9228" t="s">
        <v>41562</v>
      </c>
      <c r="T9228" t="s">
        <v>42782</v>
      </c>
      <c r="U9228" t="s">
        <v>50646</v>
      </c>
      <c r="V9228" t="s">
        <v>55245</v>
      </c>
      <c r="W9228" t="s">
        <v>40372</v>
      </c>
      <c r="X9228" t="s">
        <v>41260</v>
      </c>
    </row>
    <row r="9229" spans="1:24">
      <c r="A9229">
        <f>HYPERLINK("https://www.philgeps.gov.ph/GEPSNONPILOT/Tender/SplashBidNoticeAbstractUI.aspx?menuIndex=3&amp;refID=7063186&amp;Result=3","7063186")</f>
        <v>0</v>
      </c>
      <c r="B9229" t="s">
        <v>614</v>
      </c>
      <c r="C9229" t="s">
        <v>12189</v>
      </c>
      <c r="D9229" t="s">
        <v>16648</v>
      </c>
      <c r="E9229" t="s">
        <v>24740</v>
      </c>
      <c r="F9229" t="s">
        <v>28669</v>
      </c>
      <c r="G9229" t="s">
        <v>28675</v>
      </c>
      <c r="H9229" t="s">
        <v>9998</v>
      </c>
      <c r="I9229" t="s">
        <v>28733</v>
      </c>
      <c r="J9229" t="s">
        <v>28924</v>
      </c>
      <c r="K9229" t="s">
        <v>37216</v>
      </c>
      <c r="M9229" t="s">
        <v>38114</v>
      </c>
      <c r="N9229" t="s">
        <v>41249</v>
      </c>
      <c r="O9229" t="s">
        <v>41250</v>
      </c>
      <c r="P9229">
        <v>0</v>
      </c>
      <c r="Q9229">
        <v>4</v>
      </c>
      <c r="R9229" t="s">
        <v>41259</v>
      </c>
      <c r="S9229" t="s">
        <v>41562</v>
      </c>
      <c r="T9229" t="s">
        <v>42679</v>
      </c>
      <c r="U9229" t="s">
        <v>50647</v>
      </c>
      <c r="W9229" t="s">
        <v>38114</v>
      </c>
      <c r="X9229" t="s">
        <v>41260</v>
      </c>
    </row>
    <row r="9230" spans="1:24">
      <c r="A9230">
        <f>HYPERLINK("https://www.philgeps.gov.ph/GEPSNONPILOT/Tender/SplashBidNoticeAbstractUI.aspx?menuIndex=3&amp;refID=7063188&amp;Result=3","7063188")</f>
        <v>0</v>
      </c>
      <c r="B9230" t="s">
        <v>2727</v>
      </c>
      <c r="C9230" t="s">
        <v>12190</v>
      </c>
      <c r="D9230" t="s">
        <v>16670</v>
      </c>
      <c r="E9230" t="s">
        <v>24741</v>
      </c>
      <c r="F9230" t="s">
        <v>28669</v>
      </c>
      <c r="G9230" t="s">
        <v>28675</v>
      </c>
      <c r="H9230" t="s">
        <v>28686</v>
      </c>
      <c r="I9230" t="s">
        <v>28689</v>
      </c>
      <c r="J9230" t="s">
        <v>34550</v>
      </c>
      <c r="K9230" t="s">
        <v>37206</v>
      </c>
      <c r="M9230" t="s">
        <v>40440</v>
      </c>
      <c r="N9230" t="s">
        <v>41249</v>
      </c>
      <c r="O9230" t="s">
        <v>41250</v>
      </c>
      <c r="P9230">
        <v>0</v>
      </c>
      <c r="Q9230">
        <v>1</v>
      </c>
      <c r="R9230" t="s">
        <v>41259</v>
      </c>
      <c r="S9230" t="s">
        <v>41562</v>
      </c>
      <c r="T9230" t="s">
        <v>42809</v>
      </c>
      <c r="U9230" t="s">
        <v>50648</v>
      </c>
      <c r="V9230" t="s">
        <v>55279</v>
      </c>
      <c r="W9230" t="s">
        <v>40440</v>
      </c>
      <c r="X9230" t="s">
        <v>41260</v>
      </c>
    </row>
    <row r="9231" spans="1:24">
      <c r="A9231">
        <f>HYPERLINK("https://www.philgeps.gov.ph/GEPSNONPILOT/Tender/SplashBidNoticeAbstractUI.aspx?menuIndex=3&amp;refID=7063230&amp;Result=3","7063230")</f>
        <v>0</v>
      </c>
      <c r="B9231" t="s">
        <v>2498</v>
      </c>
      <c r="C9231" t="s">
        <v>12191</v>
      </c>
      <c r="D9231" t="s">
        <v>16639</v>
      </c>
      <c r="E9231" t="s">
        <v>24742</v>
      </c>
      <c r="F9231" t="s">
        <v>28669</v>
      </c>
      <c r="G9231" t="s">
        <v>28675</v>
      </c>
      <c r="H9231" t="s">
        <v>28686</v>
      </c>
      <c r="I9231" t="s">
        <v>28689</v>
      </c>
      <c r="J9231" t="s">
        <v>31313</v>
      </c>
      <c r="K9231" t="s">
        <v>37418</v>
      </c>
      <c r="M9231" t="s">
        <v>40183</v>
      </c>
      <c r="N9231" t="s">
        <v>41249</v>
      </c>
      <c r="O9231" t="s">
        <v>41250</v>
      </c>
      <c r="P9231">
        <v>0</v>
      </c>
      <c r="Q9231">
        <v>3</v>
      </c>
      <c r="R9231" t="s">
        <v>41259</v>
      </c>
      <c r="S9231" t="s">
        <v>41562</v>
      </c>
      <c r="T9231" t="s">
        <v>42700</v>
      </c>
      <c r="U9231" t="s">
        <v>50602</v>
      </c>
      <c r="W9231" t="s">
        <v>40183</v>
      </c>
      <c r="X9231" t="s">
        <v>41260</v>
      </c>
    </row>
    <row r="9232" spans="1:24">
      <c r="A9232">
        <f>HYPERLINK("https://www.philgeps.gov.ph/GEPSNONPILOT/Tender/SplashBidNoticeAbstractUI.aspx?menuIndex=3&amp;refID=7063226&amp;Result=3","7063226")</f>
        <v>0</v>
      </c>
      <c r="B9232" t="s">
        <v>394</v>
      </c>
      <c r="C9232" t="s">
        <v>12192</v>
      </c>
      <c r="D9232" t="s">
        <v>16675</v>
      </c>
      <c r="E9232" t="s">
        <v>24743</v>
      </c>
      <c r="F9232" t="s">
        <v>28669</v>
      </c>
      <c r="G9232" t="s">
        <v>28675</v>
      </c>
      <c r="H9232" t="s">
        <v>9998</v>
      </c>
      <c r="I9232" t="s">
        <v>28693</v>
      </c>
      <c r="J9232" t="s">
        <v>34551</v>
      </c>
      <c r="K9232" t="s">
        <v>37210</v>
      </c>
      <c r="L9232" t="s">
        <v>394</v>
      </c>
      <c r="M9232" t="s">
        <v>37878</v>
      </c>
      <c r="N9232" t="s">
        <v>41249</v>
      </c>
      <c r="O9232" t="s">
        <v>41250</v>
      </c>
      <c r="P9232">
        <v>0</v>
      </c>
      <c r="Q9232">
        <v>12</v>
      </c>
      <c r="R9232" t="s">
        <v>41259</v>
      </c>
      <c r="S9232" t="s">
        <v>41562</v>
      </c>
      <c r="T9232" t="s">
        <v>42728</v>
      </c>
      <c r="U9232" t="s">
        <v>43891</v>
      </c>
      <c r="V9232" t="s">
        <v>55282</v>
      </c>
      <c r="W9232" t="s">
        <v>37878</v>
      </c>
      <c r="X9232" t="s">
        <v>41260</v>
      </c>
    </row>
    <row r="9233" spans="1:24">
      <c r="A9233">
        <f>HYPERLINK("https://www.philgeps.gov.ph/GEPSNONPILOT/Tender/SplashBidNoticeAbstractUI.aspx?menuIndex=3&amp;refID=7063293&amp;Result=3","7063293")</f>
        <v>0</v>
      </c>
      <c r="B9233" t="s">
        <v>2741</v>
      </c>
      <c r="C9233" t="s">
        <v>12193</v>
      </c>
      <c r="D9233" t="s">
        <v>16663</v>
      </c>
      <c r="E9233" t="s">
        <v>24744</v>
      </c>
      <c r="F9233" t="s">
        <v>28669</v>
      </c>
      <c r="G9233" t="s">
        <v>28675</v>
      </c>
      <c r="H9233" t="s">
        <v>9998</v>
      </c>
      <c r="I9233" t="s">
        <v>5286</v>
      </c>
      <c r="J9233" t="s">
        <v>34552</v>
      </c>
      <c r="K9233" t="s">
        <v>37220</v>
      </c>
      <c r="M9233" t="s">
        <v>40456</v>
      </c>
      <c r="N9233" t="s">
        <v>41249</v>
      </c>
      <c r="O9233" t="s">
        <v>41250</v>
      </c>
      <c r="P9233">
        <v>0</v>
      </c>
      <c r="Q9233">
        <v>5</v>
      </c>
      <c r="R9233" t="s">
        <v>41259</v>
      </c>
      <c r="S9233" t="s">
        <v>41562</v>
      </c>
      <c r="T9233" t="s">
        <v>42808</v>
      </c>
      <c r="U9233" t="s">
        <v>50649</v>
      </c>
      <c r="W9233" t="s">
        <v>56009</v>
      </c>
      <c r="X9233" t="s">
        <v>41260</v>
      </c>
    </row>
    <row r="9234" spans="1:24">
      <c r="A9234">
        <f>HYPERLINK("https://www.philgeps.gov.ph/GEPSNONPILOT/Tender/SplashBidNoticeAbstractUI.aspx?menuIndex=3&amp;refID=7063250&amp;Result=3","7063250")</f>
        <v>0</v>
      </c>
      <c r="B9234" t="s">
        <v>2741</v>
      </c>
      <c r="C9234" t="s">
        <v>12194</v>
      </c>
      <c r="D9234" t="s">
        <v>16663</v>
      </c>
      <c r="E9234" t="s">
        <v>24745</v>
      </c>
      <c r="F9234" t="s">
        <v>28669</v>
      </c>
      <c r="G9234" t="s">
        <v>28675</v>
      </c>
      <c r="H9234" t="s">
        <v>9998</v>
      </c>
      <c r="I9234" t="s">
        <v>28690</v>
      </c>
      <c r="J9234" t="s">
        <v>28878</v>
      </c>
      <c r="K9234" t="s">
        <v>37220</v>
      </c>
      <c r="M9234" t="s">
        <v>40456</v>
      </c>
      <c r="N9234" t="s">
        <v>41249</v>
      </c>
      <c r="O9234" t="s">
        <v>41250</v>
      </c>
      <c r="P9234">
        <v>0</v>
      </c>
      <c r="Q9234">
        <v>3</v>
      </c>
      <c r="R9234" t="s">
        <v>41259</v>
      </c>
      <c r="S9234" t="s">
        <v>41562</v>
      </c>
      <c r="T9234" t="s">
        <v>42754</v>
      </c>
      <c r="U9234" t="s">
        <v>50650</v>
      </c>
      <c r="W9234" t="s">
        <v>56009</v>
      </c>
      <c r="X9234" t="s">
        <v>41260</v>
      </c>
    </row>
    <row r="9235" spans="1:24">
      <c r="A9235">
        <f>HYPERLINK("https://www.philgeps.gov.ph/GEPSNONPILOT/Tender/SplashBidNoticeAbstractUI.aspx?menuIndex=3&amp;refID=7063287&amp;Result=3","7063287")</f>
        <v>0</v>
      </c>
      <c r="B9235" t="s">
        <v>2742</v>
      </c>
      <c r="C9235" t="s">
        <v>12195</v>
      </c>
      <c r="D9235" t="s">
        <v>16678</v>
      </c>
      <c r="E9235" t="s">
        <v>16737</v>
      </c>
      <c r="F9235" t="s">
        <v>28669</v>
      </c>
      <c r="G9235" t="s">
        <v>28675</v>
      </c>
      <c r="H9235" t="s">
        <v>9998</v>
      </c>
      <c r="I9235" t="s">
        <v>28696</v>
      </c>
      <c r="J9235" t="s">
        <v>29034</v>
      </c>
      <c r="K9235" t="s">
        <v>37206</v>
      </c>
      <c r="M9235" t="s">
        <v>40457</v>
      </c>
      <c r="N9235" t="s">
        <v>41249</v>
      </c>
      <c r="O9235" t="s">
        <v>41250</v>
      </c>
      <c r="P9235">
        <v>0</v>
      </c>
      <c r="Q9235">
        <v>0</v>
      </c>
      <c r="R9235" t="s">
        <v>41259</v>
      </c>
      <c r="S9235" t="s">
        <v>41562</v>
      </c>
      <c r="T9235" t="s">
        <v>42711</v>
      </c>
      <c r="U9235" t="s">
        <v>50651</v>
      </c>
      <c r="W9235" t="s">
        <v>40457</v>
      </c>
      <c r="X9235" t="s">
        <v>41260</v>
      </c>
    </row>
    <row r="9236" spans="1:24">
      <c r="A9236">
        <f>HYPERLINK("https://www.philgeps.gov.ph/GEPSNONPILOT/Tender/SplashBidNoticeAbstractUI.aspx?menuIndex=3&amp;refID=7063285&amp;Result=3","7063285")</f>
        <v>0</v>
      </c>
      <c r="B9236" t="s">
        <v>335</v>
      </c>
      <c r="C9236" t="s">
        <v>12196</v>
      </c>
      <c r="D9236" t="s">
        <v>16639</v>
      </c>
      <c r="E9236" t="s">
        <v>24746</v>
      </c>
      <c r="F9236" t="s">
        <v>28669</v>
      </c>
      <c r="G9236" t="s">
        <v>28675</v>
      </c>
      <c r="H9236" t="s">
        <v>9998</v>
      </c>
      <c r="I9236" t="s">
        <v>28708</v>
      </c>
      <c r="J9236" t="s">
        <v>34553</v>
      </c>
      <c r="K9236" t="s">
        <v>37206</v>
      </c>
      <c r="M9236" t="s">
        <v>37815</v>
      </c>
      <c r="N9236" t="s">
        <v>41249</v>
      </c>
      <c r="O9236" t="s">
        <v>41250</v>
      </c>
      <c r="P9236">
        <v>0</v>
      </c>
      <c r="Q9236">
        <v>4</v>
      </c>
      <c r="R9236" t="s">
        <v>41259</v>
      </c>
      <c r="S9236" t="s">
        <v>41562</v>
      </c>
      <c r="T9236" t="s">
        <v>43083</v>
      </c>
      <c r="U9236" t="s">
        <v>48765</v>
      </c>
      <c r="W9236" t="s">
        <v>37815</v>
      </c>
      <c r="X9236" t="s">
        <v>41260</v>
      </c>
    </row>
    <row r="9237" spans="1:24">
      <c r="A9237">
        <f>HYPERLINK("https://www.philgeps.gov.ph/GEPSNONPILOT/Tender/SplashBidNoticeAbstractUI.aspx?menuIndex=3&amp;refID=7063120&amp;Result=3","7063120")</f>
        <v>0</v>
      </c>
      <c r="B9237" t="s">
        <v>1770</v>
      </c>
      <c r="C9237" t="s">
        <v>12197</v>
      </c>
      <c r="D9237" t="s">
        <v>16608</v>
      </c>
      <c r="E9237" t="s">
        <v>24747</v>
      </c>
      <c r="F9237" t="s">
        <v>28669</v>
      </c>
      <c r="G9237" t="s">
        <v>28675</v>
      </c>
      <c r="H9237" t="s">
        <v>9998</v>
      </c>
      <c r="I9237" t="s">
        <v>7352</v>
      </c>
      <c r="J9237" t="s">
        <v>34554</v>
      </c>
      <c r="K9237" t="s">
        <v>37213</v>
      </c>
      <c r="M9237" t="s">
        <v>39372</v>
      </c>
      <c r="N9237" t="s">
        <v>41249</v>
      </c>
      <c r="O9237" t="s">
        <v>41250</v>
      </c>
      <c r="Q9237">
        <v>7</v>
      </c>
      <c r="R9237" t="s">
        <v>41259</v>
      </c>
      <c r="S9237" t="s">
        <v>41595</v>
      </c>
      <c r="T9237" t="s">
        <v>42700</v>
      </c>
      <c r="U9237" t="s">
        <v>50652</v>
      </c>
      <c r="W9237" t="s">
        <v>39372</v>
      </c>
      <c r="X9237" t="s">
        <v>41260</v>
      </c>
    </row>
    <row r="9238" spans="1:24">
      <c r="A9238">
        <f>HYPERLINK("https://www.philgeps.gov.ph/GEPSNONPILOT/Tender/SplashBidNoticeAbstractUI.aspx?menuIndex=3&amp;refID=7063258&amp;Result=3","7063258")</f>
        <v>0</v>
      </c>
      <c r="B9238" t="s">
        <v>394</v>
      </c>
      <c r="C9238" t="s">
        <v>12198</v>
      </c>
      <c r="D9238" t="s">
        <v>16675</v>
      </c>
      <c r="E9238" t="s">
        <v>24748</v>
      </c>
      <c r="F9238" t="s">
        <v>28669</v>
      </c>
      <c r="G9238" t="s">
        <v>28675</v>
      </c>
      <c r="H9238" t="s">
        <v>9998</v>
      </c>
      <c r="I9238" t="s">
        <v>28693</v>
      </c>
      <c r="J9238" t="s">
        <v>34555</v>
      </c>
      <c r="K9238" t="s">
        <v>37210</v>
      </c>
      <c r="L9238" t="s">
        <v>394</v>
      </c>
      <c r="M9238" t="s">
        <v>37878</v>
      </c>
      <c r="N9238" t="s">
        <v>41249</v>
      </c>
      <c r="O9238" t="s">
        <v>41250</v>
      </c>
      <c r="P9238">
        <v>0</v>
      </c>
      <c r="Q9238">
        <v>11</v>
      </c>
      <c r="R9238" t="s">
        <v>41259</v>
      </c>
      <c r="S9238" t="s">
        <v>41562</v>
      </c>
      <c r="T9238" t="s">
        <v>42728</v>
      </c>
      <c r="U9238" t="s">
        <v>43891</v>
      </c>
      <c r="V9238" t="s">
        <v>55282</v>
      </c>
      <c r="W9238" t="s">
        <v>37878</v>
      </c>
      <c r="X9238" t="s">
        <v>41260</v>
      </c>
    </row>
    <row r="9239" spans="1:24">
      <c r="A9239">
        <f>HYPERLINK("https://www.philgeps.gov.ph/GEPSNONPILOT/Tender/SplashBidNoticeAbstractUI.aspx?menuIndex=3&amp;refID=7063295&amp;Result=3","7063295")</f>
        <v>0</v>
      </c>
      <c r="B9239" t="s">
        <v>988</v>
      </c>
      <c r="C9239" t="s">
        <v>12199</v>
      </c>
      <c r="D9239" t="s">
        <v>16635</v>
      </c>
      <c r="E9239" t="s">
        <v>12199</v>
      </c>
      <c r="F9239" t="s">
        <v>28669</v>
      </c>
      <c r="G9239" t="s">
        <v>28677</v>
      </c>
      <c r="H9239" t="s">
        <v>9998</v>
      </c>
      <c r="I9239" t="s">
        <v>28731</v>
      </c>
      <c r="J9239" t="s">
        <v>29914</v>
      </c>
      <c r="K9239" t="s">
        <v>37206</v>
      </c>
      <c r="M9239" t="s">
        <v>40458</v>
      </c>
      <c r="N9239" t="s">
        <v>41249</v>
      </c>
      <c r="O9239" t="s">
        <v>41250</v>
      </c>
      <c r="P9239">
        <v>0</v>
      </c>
      <c r="Q9239">
        <v>6</v>
      </c>
      <c r="R9239" t="s">
        <v>41259</v>
      </c>
      <c r="S9239" t="s">
        <v>41562</v>
      </c>
      <c r="T9239" t="s">
        <v>42876</v>
      </c>
      <c r="U9239" t="s">
        <v>50653</v>
      </c>
      <c r="W9239" t="s">
        <v>40458</v>
      </c>
      <c r="X9239" t="s">
        <v>41260</v>
      </c>
    </row>
    <row r="9240" spans="1:24">
      <c r="A9240">
        <f>HYPERLINK("https://www.philgeps.gov.ph/GEPSNONPILOT/Tender/SplashBidNoticeAbstractUI.aspx?menuIndex=3&amp;refID=7063276&amp;Result=3","7063276")</f>
        <v>0</v>
      </c>
      <c r="B9240" t="s">
        <v>181</v>
      </c>
      <c r="C9240" t="s">
        <v>12200</v>
      </c>
      <c r="D9240" t="s">
        <v>16647</v>
      </c>
      <c r="E9240" t="s">
        <v>24749</v>
      </c>
      <c r="F9240" t="s">
        <v>28669</v>
      </c>
      <c r="G9240" t="s">
        <v>28675</v>
      </c>
      <c r="H9240" t="s">
        <v>9998</v>
      </c>
      <c r="I9240" t="s">
        <v>6128</v>
      </c>
      <c r="J9240" t="s">
        <v>34281</v>
      </c>
      <c r="K9240" t="s">
        <v>37210</v>
      </c>
      <c r="M9240" t="s">
        <v>37658</v>
      </c>
      <c r="N9240" t="s">
        <v>41249</v>
      </c>
      <c r="O9240" t="s">
        <v>41250</v>
      </c>
      <c r="P9240">
        <v>0</v>
      </c>
      <c r="Q9240">
        <v>0</v>
      </c>
      <c r="R9240" t="s">
        <v>41259</v>
      </c>
      <c r="S9240" t="s">
        <v>41562</v>
      </c>
      <c r="T9240" t="s">
        <v>42914</v>
      </c>
      <c r="U9240" t="s">
        <v>44022</v>
      </c>
      <c r="W9240" t="s">
        <v>37658</v>
      </c>
      <c r="X9240" t="s">
        <v>41260</v>
      </c>
    </row>
    <row r="9241" spans="1:24">
      <c r="A9241">
        <f>HYPERLINK("https://www.philgeps.gov.ph/GEPSNONPILOT/Tender/SplashBidNoticeAbstractUI.aspx?menuIndex=3&amp;refID=7063273&amp;Result=3","7063273")</f>
        <v>0</v>
      </c>
      <c r="B9241" t="s">
        <v>1129</v>
      </c>
      <c r="C9241" t="s">
        <v>12201</v>
      </c>
      <c r="D9241" t="s">
        <v>16612</v>
      </c>
      <c r="E9241" t="s">
        <v>17835</v>
      </c>
      <c r="F9241" t="s">
        <v>28669</v>
      </c>
      <c r="G9241" t="s">
        <v>28675</v>
      </c>
      <c r="H9241" t="s">
        <v>9998</v>
      </c>
      <c r="I9241" t="s">
        <v>11593</v>
      </c>
      <c r="J9241" t="s">
        <v>33896</v>
      </c>
      <c r="K9241" t="s">
        <v>37207</v>
      </c>
      <c r="M9241" t="s">
        <v>38663</v>
      </c>
      <c r="N9241" t="s">
        <v>41249</v>
      </c>
      <c r="O9241" t="s">
        <v>41250</v>
      </c>
      <c r="P9241">
        <v>0</v>
      </c>
      <c r="Q9241">
        <v>2</v>
      </c>
      <c r="R9241" t="s">
        <v>41259</v>
      </c>
      <c r="S9241" t="s">
        <v>41562</v>
      </c>
      <c r="T9241" t="s">
        <v>43084</v>
      </c>
      <c r="U9241" t="s">
        <v>50654</v>
      </c>
      <c r="W9241" t="s">
        <v>38663</v>
      </c>
      <c r="X9241" t="s">
        <v>41260</v>
      </c>
    </row>
    <row r="9242" spans="1:24">
      <c r="A9242">
        <f>HYPERLINK("https://www.philgeps.gov.ph/GEPSNONPILOT/Tender/SplashBidNoticeAbstractUI.aspx?menuIndex=3&amp;refID=7063303&amp;Result=3","7063303")</f>
        <v>0</v>
      </c>
      <c r="B9242" t="s">
        <v>990</v>
      </c>
      <c r="C9242" t="s">
        <v>12202</v>
      </c>
      <c r="D9242" t="s">
        <v>16658</v>
      </c>
      <c r="E9242" t="s">
        <v>24750</v>
      </c>
      <c r="F9242" t="s">
        <v>28669</v>
      </c>
      <c r="G9242" t="s">
        <v>28675</v>
      </c>
      <c r="H9242" t="s">
        <v>28686</v>
      </c>
      <c r="I9242" t="s">
        <v>28689</v>
      </c>
      <c r="J9242" t="s">
        <v>34556</v>
      </c>
      <c r="K9242" t="s">
        <v>37209</v>
      </c>
      <c r="M9242" t="s">
        <v>38517</v>
      </c>
      <c r="N9242" t="s">
        <v>41249</v>
      </c>
      <c r="O9242" t="s">
        <v>41250</v>
      </c>
      <c r="P9242">
        <v>0</v>
      </c>
      <c r="Q9242">
        <v>1</v>
      </c>
      <c r="R9242" t="s">
        <v>41259</v>
      </c>
      <c r="S9242" t="s">
        <v>41562</v>
      </c>
      <c r="T9242" t="s">
        <v>42728</v>
      </c>
      <c r="U9242" t="s">
        <v>45220</v>
      </c>
      <c r="W9242" t="s">
        <v>38517</v>
      </c>
      <c r="X9242" t="s">
        <v>41260</v>
      </c>
    </row>
    <row r="9243" spans="1:24">
      <c r="A9243">
        <f>HYPERLINK("https://www.philgeps.gov.ph/GEPSNONPILOT/Tender/SplashBidNoticeAbstractUI.aspx?menuIndex=3&amp;refID=7063302&amp;Result=3","7063302")</f>
        <v>0</v>
      </c>
      <c r="B9243" t="s">
        <v>1770</v>
      </c>
      <c r="C9243" t="s">
        <v>12203</v>
      </c>
      <c r="D9243" t="s">
        <v>16608</v>
      </c>
      <c r="E9243" t="s">
        <v>24751</v>
      </c>
      <c r="F9243" t="s">
        <v>28669</v>
      </c>
      <c r="G9243" t="s">
        <v>28675</v>
      </c>
      <c r="H9243" t="s">
        <v>9998</v>
      </c>
      <c r="I9243" t="s">
        <v>7352</v>
      </c>
      <c r="J9243" t="s">
        <v>34557</v>
      </c>
      <c r="K9243" t="s">
        <v>37206</v>
      </c>
      <c r="M9243" t="s">
        <v>39372</v>
      </c>
      <c r="N9243" t="s">
        <v>41249</v>
      </c>
      <c r="O9243" t="s">
        <v>41250</v>
      </c>
      <c r="P9243">
        <v>0</v>
      </c>
      <c r="Q9243">
        <v>5</v>
      </c>
      <c r="R9243" t="s">
        <v>41259</v>
      </c>
      <c r="S9243" t="s">
        <v>41562</v>
      </c>
      <c r="T9243" t="s">
        <v>42700</v>
      </c>
      <c r="U9243" t="s">
        <v>50655</v>
      </c>
      <c r="W9243" t="s">
        <v>39372</v>
      </c>
      <c r="X9243" t="s">
        <v>41260</v>
      </c>
    </row>
    <row r="9244" spans="1:24">
      <c r="A9244">
        <f>HYPERLINK("https://www.philgeps.gov.ph/GEPSNONPILOT/Tender/SplashBidNoticeAbstractUI.aspx?menuIndex=3&amp;refID=7063284&amp;Result=3","7063284")</f>
        <v>0</v>
      </c>
      <c r="B9244" t="s">
        <v>1522</v>
      </c>
      <c r="C9244" t="s">
        <v>12204</v>
      </c>
      <c r="D9244" t="s">
        <v>16686</v>
      </c>
      <c r="E9244" t="s">
        <v>24752</v>
      </c>
      <c r="F9244" t="s">
        <v>28669</v>
      </c>
      <c r="G9244" t="s">
        <v>28675</v>
      </c>
      <c r="H9244" t="s">
        <v>9998</v>
      </c>
      <c r="I9244" t="s">
        <v>6606</v>
      </c>
      <c r="J9244" t="s">
        <v>34558</v>
      </c>
      <c r="K9244" t="s">
        <v>37210</v>
      </c>
      <c r="M9244" t="s">
        <v>39573</v>
      </c>
      <c r="N9244" t="s">
        <v>41249</v>
      </c>
      <c r="O9244" t="s">
        <v>41250</v>
      </c>
      <c r="P9244">
        <v>0</v>
      </c>
      <c r="Q9244">
        <v>0</v>
      </c>
      <c r="R9244" t="s">
        <v>41259</v>
      </c>
      <c r="S9244" t="s">
        <v>41562</v>
      </c>
      <c r="T9244" t="s">
        <v>42663</v>
      </c>
      <c r="U9244" t="s">
        <v>50656</v>
      </c>
      <c r="W9244" t="s">
        <v>39573</v>
      </c>
      <c r="X9244" t="s">
        <v>41260</v>
      </c>
    </row>
    <row r="9245" spans="1:24">
      <c r="A9245">
        <f>HYPERLINK("https://www.philgeps.gov.ph/GEPSNONPILOT/Tender/SplashBidNoticeAbstractUI.aspx?menuIndex=3&amp;refID=7063300&amp;Result=3","7063300")</f>
        <v>0</v>
      </c>
      <c r="B9245" t="s">
        <v>1340</v>
      </c>
      <c r="C9245" t="s">
        <v>12205</v>
      </c>
      <c r="D9245" t="s">
        <v>16621</v>
      </c>
      <c r="E9245" t="s">
        <v>24753</v>
      </c>
      <c r="F9245" t="s">
        <v>28669</v>
      </c>
      <c r="G9245" t="s">
        <v>28675</v>
      </c>
      <c r="H9245" t="s">
        <v>28686</v>
      </c>
      <c r="I9245" t="s">
        <v>28689</v>
      </c>
      <c r="J9245" t="s">
        <v>34559</v>
      </c>
      <c r="K9245" t="s">
        <v>37213</v>
      </c>
      <c r="M9245" t="s">
        <v>40372</v>
      </c>
      <c r="N9245" t="s">
        <v>41249</v>
      </c>
      <c r="O9245" t="s">
        <v>41250</v>
      </c>
      <c r="P9245">
        <v>0</v>
      </c>
      <c r="Q9245">
        <v>0</v>
      </c>
      <c r="R9245" t="s">
        <v>41259</v>
      </c>
      <c r="S9245" t="s">
        <v>41562</v>
      </c>
      <c r="T9245" t="s">
        <v>42911</v>
      </c>
      <c r="U9245" t="s">
        <v>50639</v>
      </c>
      <c r="V9245" t="s">
        <v>55245</v>
      </c>
      <c r="W9245" t="s">
        <v>40372</v>
      </c>
      <c r="X9245" t="s">
        <v>41260</v>
      </c>
    </row>
    <row r="9246" spans="1:24">
      <c r="A9246">
        <f>HYPERLINK("https://www.philgeps.gov.ph/GEPSNONPILOT/Tender/SplashBidNoticeAbstractUI.aspx?menuIndex=3&amp;refID=7063277&amp;Result=3","7063277")</f>
        <v>0</v>
      </c>
      <c r="B9246" t="s">
        <v>33</v>
      </c>
      <c r="C9246" t="s">
        <v>12206</v>
      </c>
      <c r="D9246" t="s">
        <v>16616</v>
      </c>
      <c r="E9246" t="s">
        <v>24754</v>
      </c>
      <c r="F9246" t="s">
        <v>28669</v>
      </c>
      <c r="G9246" t="s">
        <v>28675</v>
      </c>
      <c r="H9246" t="s">
        <v>9998</v>
      </c>
      <c r="I9246" t="s">
        <v>5286</v>
      </c>
      <c r="J9246" t="s">
        <v>34560</v>
      </c>
      <c r="K9246" t="s">
        <v>37206</v>
      </c>
      <c r="M9246" t="s">
        <v>38482</v>
      </c>
      <c r="N9246" t="s">
        <v>41249</v>
      </c>
      <c r="O9246" t="s">
        <v>41250</v>
      </c>
      <c r="P9246">
        <v>0</v>
      </c>
      <c r="Q9246">
        <v>3</v>
      </c>
      <c r="R9246" t="s">
        <v>41259</v>
      </c>
      <c r="S9246" t="s">
        <v>41562</v>
      </c>
      <c r="T9246" t="s">
        <v>42761</v>
      </c>
      <c r="U9246" t="s">
        <v>50657</v>
      </c>
      <c r="V9246" t="s">
        <v>54251</v>
      </c>
      <c r="W9246" t="s">
        <v>38482</v>
      </c>
      <c r="X9246" t="s">
        <v>41260</v>
      </c>
    </row>
    <row r="9247" spans="1:24">
      <c r="A9247">
        <f>HYPERLINK("https://www.philgeps.gov.ph/GEPSNONPILOT/Tender/SplashBidNoticeAbstractUI.aspx?menuIndex=3&amp;refID=7063268&amp;Result=3","7063268")</f>
        <v>0</v>
      </c>
      <c r="B9247" t="s">
        <v>2295</v>
      </c>
      <c r="C9247" t="s">
        <v>12207</v>
      </c>
      <c r="D9247" t="s">
        <v>16672</v>
      </c>
      <c r="E9247" t="s">
        <v>24755</v>
      </c>
      <c r="F9247" t="s">
        <v>28669</v>
      </c>
      <c r="G9247" t="s">
        <v>28682</v>
      </c>
      <c r="H9247" t="s">
        <v>9998</v>
      </c>
      <c r="I9247" t="s">
        <v>28743</v>
      </c>
      <c r="J9247" t="s">
        <v>34561</v>
      </c>
      <c r="K9247" t="s">
        <v>37206</v>
      </c>
      <c r="M9247" t="s">
        <v>39952</v>
      </c>
      <c r="N9247" t="s">
        <v>41249</v>
      </c>
      <c r="O9247" t="s">
        <v>41250</v>
      </c>
      <c r="P9247">
        <v>0</v>
      </c>
      <c r="Q9247">
        <v>2</v>
      </c>
      <c r="R9247" t="s">
        <v>41259</v>
      </c>
      <c r="S9247" t="s">
        <v>41562</v>
      </c>
      <c r="T9247" t="s">
        <v>42760</v>
      </c>
      <c r="U9247" t="s">
        <v>50658</v>
      </c>
      <c r="V9247" t="s">
        <v>55229</v>
      </c>
      <c r="W9247" t="s">
        <v>39952</v>
      </c>
      <c r="X9247" t="s">
        <v>41260</v>
      </c>
    </row>
    <row r="9248" spans="1:24">
      <c r="A9248">
        <f>HYPERLINK("https://www.philgeps.gov.ph/GEPSNONPILOT/Tender/SplashBidNoticeAbstractUI.aspx?menuIndex=3&amp;refID=7063265&amp;Result=3","7063265")</f>
        <v>0</v>
      </c>
      <c r="B9248" t="s">
        <v>2698</v>
      </c>
      <c r="C9248" t="s">
        <v>12208</v>
      </c>
      <c r="D9248" t="s">
        <v>16654</v>
      </c>
      <c r="E9248" t="s">
        <v>24756</v>
      </c>
      <c r="F9248" t="s">
        <v>28669</v>
      </c>
      <c r="G9248" t="s">
        <v>28675</v>
      </c>
      <c r="H9248" t="s">
        <v>9998</v>
      </c>
      <c r="I9248" t="s">
        <v>28697</v>
      </c>
      <c r="J9248" t="s">
        <v>34562</v>
      </c>
      <c r="K9248" t="s">
        <v>37220</v>
      </c>
      <c r="M9248" t="s">
        <v>40408</v>
      </c>
      <c r="N9248" t="s">
        <v>41249</v>
      </c>
      <c r="O9248" t="s">
        <v>41250</v>
      </c>
      <c r="P9248">
        <v>0</v>
      </c>
      <c r="Q9248">
        <v>5</v>
      </c>
      <c r="R9248" t="s">
        <v>41259</v>
      </c>
      <c r="S9248" t="s">
        <v>41562</v>
      </c>
      <c r="T9248" t="s">
        <v>42758</v>
      </c>
      <c r="U9248" t="s">
        <v>50659</v>
      </c>
      <c r="W9248" t="s">
        <v>40408</v>
      </c>
      <c r="X9248" t="s">
        <v>41260</v>
      </c>
    </row>
    <row r="9249" spans="1:24">
      <c r="A9249">
        <f>HYPERLINK("https://www.philgeps.gov.ph/GEPSNONPILOT/Tender/SplashBidNoticeAbstractUI.aspx?menuIndex=3&amp;refID=7063264&amp;Result=3","7063264")</f>
        <v>0</v>
      </c>
      <c r="B9249" t="s">
        <v>1340</v>
      </c>
      <c r="C9249" t="s">
        <v>12209</v>
      </c>
      <c r="D9249" t="s">
        <v>16621</v>
      </c>
      <c r="E9249" t="s">
        <v>24757</v>
      </c>
      <c r="F9249" t="s">
        <v>28669</v>
      </c>
      <c r="G9249" t="s">
        <v>28675</v>
      </c>
      <c r="H9249" t="s">
        <v>28686</v>
      </c>
      <c r="I9249" t="s">
        <v>28689</v>
      </c>
      <c r="J9249" t="s">
        <v>34563</v>
      </c>
      <c r="K9249" t="s">
        <v>37221</v>
      </c>
      <c r="M9249" t="s">
        <v>40372</v>
      </c>
      <c r="N9249" t="s">
        <v>41249</v>
      </c>
      <c r="O9249" t="s">
        <v>41250</v>
      </c>
      <c r="P9249">
        <v>0</v>
      </c>
      <c r="Q9249">
        <v>0</v>
      </c>
      <c r="R9249" t="s">
        <v>41259</v>
      </c>
      <c r="S9249" t="s">
        <v>41562</v>
      </c>
      <c r="T9249" t="s">
        <v>42782</v>
      </c>
      <c r="U9249" t="s">
        <v>50639</v>
      </c>
      <c r="V9249" t="s">
        <v>55245</v>
      </c>
      <c r="W9249" t="s">
        <v>40372</v>
      </c>
      <c r="X9249" t="s">
        <v>41260</v>
      </c>
    </row>
    <row r="9250" spans="1:24">
      <c r="A9250">
        <f>HYPERLINK("https://www.philgeps.gov.ph/GEPSNONPILOT/Tender/SplashBidNoticeAbstractUI.aspx?menuIndex=3&amp;refID=7063291&amp;Result=3","7063291")</f>
        <v>0</v>
      </c>
      <c r="B9250" t="s">
        <v>1600</v>
      </c>
      <c r="C9250" t="s">
        <v>12210</v>
      </c>
      <c r="D9250" t="s">
        <v>16608</v>
      </c>
      <c r="E9250" t="s">
        <v>24758</v>
      </c>
      <c r="F9250" t="s">
        <v>28669</v>
      </c>
      <c r="G9250" t="s">
        <v>28675</v>
      </c>
      <c r="H9250" t="s">
        <v>9998</v>
      </c>
      <c r="I9250" t="s">
        <v>28738</v>
      </c>
      <c r="J9250" t="s">
        <v>34564</v>
      </c>
      <c r="K9250" t="s">
        <v>37220</v>
      </c>
      <c r="M9250" t="s">
        <v>39183</v>
      </c>
      <c r="N9250" t="s">
        <v>41249</v>
      </c>
      <c r="O9250" t="s">
        <v>41250</v>
      </c>
      <c r="P9250">
        <v>0</v>
      </c>
      <c r="Q9250">
        <v>5</v>
      </c>
      <c r="R9250" t="s">
        <v>41259</v>
      </c>
      <c r="S9250" t="s">
        <v>41562</v>
      </c>
      <c r="T9250" t="s">
        <v>42797</v>
      </c>
      <c r="U9250" t="s">
        <v>50660</v>
      </c>
      <c r="V9250" t="s">
        <v>54738</v>
      </c>
      <c r="W9250" t="s">
        <v>39183</v>
      </c>
      <c r="X9250" t="s">
        <v>41260</v>
      </c>
    </row>
    <row r="9251" spans="1:24">
      <c r="A9251">
        <f>HYPERLINK("https://www.philgeps.gov.ph/GEPSNONPILOT/Tender/SplashBidNoticeAbstractUI.aspx?menuIndex=3&amp;refID=7063281&amp;Result=3","7063281")</f>
        <v>0</v>
      </c>
      <c r="B9251" t="s">
        <v>2743</v>
      </c>
      <c r="C9251" t="s">
        <v>12211</v>
      </c>
      <c r="E9251" t="s">
        <v>23351</v>
      </c>
      <c r="F9251" t="s">
        <v>28669</v>
      </c>
      <c r="G9251" t="s">
        <v>28675</v>
      </c>
      <c r="H9251" t="s">
        <v>9998</v>
      </c>
      <c r="I9251" t="s">
        <v>5213</v>
      </c>
      <c r="J9251" t="s">
        <v>34565</v>
      </c>
      <c r="K9251" t="s">
        <v>37209</v>
      </c>
      <c r="M9251" t="s">
        <v>40459</v>
      </c>
      <c r="N9251" t="s">
        <v>41249</v>
      </c>
      <c r="O9251" t="s">
        <v>41250</v>
      </c>
      <c r="P9251">
        <v>0</v>
      </c>
      <c r="Q9251">
        <v>3</v>
      </c>
      <c r="R9251" t="s">
        <v>41259</v>
      </c>
      <c r="S9251" t="s">
        <v>41562</v>
      </c>
      <c r="T9251" t="s">
        <v>42987</v>
      </c>
      <c r="U9251" t="s">
        <v>50661</v>
      </c>
      <c r="W9251" t="s">
        <v>40459</v>
      </c>
      <c r="X9251" t="s">
        <v>41260</v>
      </c>
    </row>
    <row r="9252" spans="1:24">
      <c r="A9252">
        <f>HYPERLINK("https://www.philgeps.gov.ph/GEPSNONPILOT/Tender/SplashBidNoticeAbstractUI.aspx?menuIndex=3&amp;refID=7063261&amp;Result=3","7063261")</f>
        <v>0</v>
      </c>
      <c r="B9252" t="s">
        <v>990</v>
      </c>
      <c r="C9252" t="s">
        <v>12212</v>
      </c>
      <c r="D9252" t="s">
        <v>16658</v>
      </c>
      <c r="E9252" t="s">
        <v>24759</v>
      </c>
      <c r="F9252" t="s">
        <v>28669</v>
      </c>
      <c r="G9252" t="s">
        <v>28675</v>
      </c>
      <c r="H9252" t="s">
        <v>28686</v>
      </c>
      <c r="I9252" t="s">
        <v>28689</v>
      </c>
      <c r="J9252" t="s">
        <v>34566</v>
      </c>
      <c r="K9252" t="s">
        <v>37209</v>
      </c>
      <c r="M9252" t="s">
        <v>38517</v>
      </c>
      <c r="N9252" t="s">
        <v>41249</v>
      </c>
      <c r="O9252" t="s">
        <v>41250</v>
      </c>
      <c r="P9252">
        <v>0</v>
      </c>
      <c r="Q9252">
        <v>1</v>
      </c>
      <c r="R9252" t="s">
        <v>41259</v>
      </c>
      <c r="S9252" t="s">
        <v>41562</v>
      </c>
      <c r="T9252" t="s">
        <v>42728</v>
      </c>
      <c r="U9252" t="s">
        <v>45220</v>
      </c>
      <c r="W9252" t="s">
        <v>38517</v>
      </c>
      <c r="X9252" t="s">
        <v>41260</v>
      </c>
    </row>
    <row r="9253" spans="1:24">
      <c r="A9253">
        <f>HYPERLINK("https://www.philgeps.gov.ph/GEPSNONPILOT/Tender/SplashBidNoticeAbstractUI.aspx?menuIndex=3&amp;refID=7063314&amp;Result=3","7063314")</f>
        <v>0</v>
      </c>
      <c r="B9253" t="s">
        <v>2295</v>
      </c>
      <c r="C9253" t="s">
        <v>12213</v>
      </c>
      <c r="E9253" t="s">
        <v>24760</v>
      </c>
      <c r="F9253" t="s">
        <v>28669</v>
      </c>
      <c r="G9253" t="s">
        <v>28682</v>
      </c>
      <c r="H9253" t="s">
        <v>9998</v>
      </c>
      <c r="I9253" t="s">
        <v>28722</v>
      </c>
      <c r="J9253" t="s">
        <v>34567</v>
      </c>
      <c r="K9253" t="s">
        <v>37206</v>
      </c>
      <c r="M9253" t="s">
        <v>39952</v>
      </c>
      <c r="N9253" t="s">
        <v>41249</v>
      </c>
      <c r="O9253" t="s">
        <v>41250</v>
      </c>
      <c r="P9253">
        <v>0</v>
      </c>
      <c r="Q9253">
        <v>0</v>
      </c>
      <c r="R9253" t="s">
        <v>41259</v>
      </c>
      <c r="S9253" t="s">
        <v>41562</v>
      </c>
      <c r="T9253" t="s">
        <v>42760</v>
      </c>
      <c r="U9253" t="s">
        <v>50662</v>
      </c>
      <c r="V9253" t="s">
        <v>55229</v>
      </c>
      <c r="W9253" t="s">
        <v>39952</v>
      </c>
      <c r="X9253" t="s">
        <v>41260</v>
      </c>
    </row>
    <row r="9254" spans="1:24">
      <c r="A9254">
        <f>HYPERLINK("https://www.philgeps.gov.ph/GEPSNONPILOT/Tender/SplashBidNoticeAbstractUI.aspx?menuIndex=3&amp;refID=7063337&amp;Result=3","7063337")</f>
        <v>0</v>
      </c>
      <c r="B9254" t="s">
        <v>2295</v>
      </c>
      <c r="C9254" t="s">
        <v>12214</v>
      </c>
      <c r="E9254" t="s">
        <v>24761</v>
      </c>
      <c r="F9254" t="s">
        <v>28669</v>
      </c>
      <c r="G9254" t="s">
        <v>28682</v>
      </c>
      <c r="H9254" t="s">
        <v>9998</v>
      </c>
      <c r="I9254" t="s">
        <v>28736</v>
      </c>
      <c r="J9254" t="s">
        <v>34568</v>
      </c>
      <c r="K9254" t="s">
        <v>37206</v>
      </c>
      <c r="M9254" t="s">
        <v>39952</v>
      </c>
      <c r="N9254" t="s">
        <v>41249</v>
      </c>
      <c r="O9254" t="s">
        <v>41250</v>
      </c>
      <c r="P9254">
        <v>0</v>
      </c>
      <c r="Q9254">
        <v>2</v>
      </c>
      <c r="R9254" t="s">
        <v>41259</v>
      </c>
      <c r="S9254" t="s">
        <v>41562</v>
      </c>
      <c r="T9254" t="s">
        <v>42760</v>
      </c>
      <c r="U9254" t="s">
        <v>50663</v>
      </c>
      <c r="V9254" t="s">
        <v>55229</v>
      </c>
      <c r="W9254" t="s">
        <v>39952</v>
      </c>
      <c r="X9254" t="s">
        <v>41260</v>
      </c>
    </row>
    <row r="9255" spans="1:24">
      <c r="A9255">
        <f>HYPERLINK("https://www.philgeps.gov.ph/GEPSNONPILOT/Tender/SplashBidNoticeAbstractUI.aspx?menuIndex=3&amp;refID=7063334&amp;Result=3","7063334")</f>
        <v>0</v>
      </c>
      <c r="B9255" t="s">
        <v>2304</v>
      </c>
      <c r="C9255" t="s">
        <v>12215</v>
      </c>
      <c r="D9255" t="s">
        <v>16671</v>
      </c>
      <c r="E9255" t="s">
        <v>24762</v>
      </c>
      <c r="F9255" t="s">
        <v>28669</v>
      </c>
      <c r="G9255" t="s">
        <v>28675</v>
      </c>
      <c r="H9255" t="s">
        <v>9998</v>
      </c>
      <c r="I9255" t="s">
        <v>28687</v>
      </c>
      <c r="J9255" t="s">
        <v>28924</v>
      </c>
      <c r="K9255" t="s">
        <v>37220</v>
      </c>
      <c r="M9255" t="s">
        <v>39963</v>
      </c>
      <c r="N9255" t="s">
        <v>41249</v>
      </c>
      <c r="O9255" t="s">
        <v>41250</v>
      </c>
      <c r="P9255">
        <v>0</v>
      </c>
      <c r="Q9255">
        <v>1</v>
      </c>
      <c r="R9255" t="s">
        <v>41259</v>
      </c>
      <c r="S9255" t="s">
        <v>41562</v>
      </c>
      <c r="T9255" t="s">
        <v>42659</v>
      </c>
      <c r="U9255" t="s">
        <v>50664</v>
      </c>
      <c r="W9255" t="s">
        <v>39963</v>
      </c>
      <c r="X9255" t="s">
        <v>41260</v>
      </c>
    </row>
    <row r="9256" spans="1:24">
      <c r="A9256">
        <f>HYPERLINK("https://www.philgeps.gov.ph/GEPSNONPILOT/Tender/SplashBidNoticeAbstractUI.aspx?menuIndex=3&amp;refID=7063321&amp;Result=3","7063321")</f>
        <v>0</v>
      </c>
      <c r="B9256" t="s">
        <v>33</v>
      </c>
      <c r="C9256" t="s">
        <v>12216</v>
      </c>
      <c r="D9256" t="s">
        <v>16616</v>
      </c>
      <c r="E9256" t="s">
        <v>24763</v>
      </c>
      <c r="F9256" t="s">
        <v>28669</v>
      </c>
      <c r="G9256" t="s">
        <v>28675</v>
      </c>
      <c r="H9256" t="s">
        <v>9998</v>
      </c>
      <c r="I9256" t="s">
        <v>28714</v>
      </c>
      <c r="J9256" t="s">
        <v>33963</v>
      </c>
      <c r="K9256" t="s">
        <v>37216</v>
      </c>
      <c r="M9256" t="s">
        <v>38482</v>
      </c>
      <c r="N9256" t="s">
        <v>41249</v>
      </c>
      <c r="O9256" t="s">
        <v>41250</v>
      </c>
      <c r="P9256">
        <v>0</v>
      </c>
      <c r="Q9256">
        <v>4</v>
      </c>
      <c r="R9256" t="s">
        <v>41259</v>
      </c>
      <c r="S9256" t="s">
        <v>41562</v>
      </c>
      <c r="T9256" t="s">
        <v>42761</v>
      </c>
      <c r="U9256" t="s">
        <v>50665</v>
      </c>
      <c r="V9256" t="s">
        <v>54251</v>
      </c>
      <c r="W9256" t="s">
        <v>38482</v>
      </c>
      <c r="X9256" t="s">
        <v>41260</v>
      </c>
    </row>
    <row r="9257" spans="1:24">
      <c r="A9257">
        <f>HYPERLINK("https://www.philgeps.gov.ph/GEPSNONPILOT/Tender/SplashBidNoticeAbstractUI.aspx?menuIndex=3&amp;refID=7063288&amp;Result=3","7063288")</f>
        <v>0</v>
      </c>
      <c r="B9257" t="s">
        <v>2462</v>
      </c>
      <c r="C9257" t="s">
        <v>12217</v>
      </c>
      <c r="D9257" t="s">
        <v>16636</v>
      </c>
      <c r="E9257" t="s">
        <v>24764</v>
      </c>
      <c r="F9257" t="s">
        <v>28669</v>
      </c>
      <c r="G9257" t="s">
        <v>28675</v>
      </c>
      <c r="H9257" t="s">
        <v>28686</v>
      </c>
      <c r="I9257" t="s">
        <v>28689</v>
      </c>
      <c r="J9257" t="s">
        <v>34569</v>
      </c>
      <c r="K9257" t="s">
        <v>37255</v>
      </c>
      <c r="M9257" t="s">
        <v>40145</v>
      </c>
      <c r="N9257" t="s">
        <v>41249</v>
      </c>
      <c r="O9257" t="s">
        <v>41250</v>
      </c>
      <c r="P9257">
        <v>0</v>
      </c>
      <c r="Q9257">
        <v>0</v>
      </c>
      <c r="R9257" t="s">
        <v>41259</v>
      </c>
      <c r="S9257" t="s">
        <v>41562</v>
      </c>
      <c r="T9257" t="s">
        <v>42739</v>
      </c>
      <c r="U9257" t="s">
        <v>50666</v>
      </c>
      <c r="W9257" t="s">
        <v>40145</v>
      </c>
      <c r="X9257" t="s">
        <v>41260</v>
      </c>
    </row>
    <row r="9258" spans="1:24">
      <c r="A9258">
        <f>HYPERLINK("https://www.philgeps.gov.ph/GEPSNONPILOT/Tender/SplashBidNoticeAbstractUI.aspx?menuIndex=3&amp;refID=7063320&amp;Result=3","7063320")</f>
        <v>0</v>
      </c>
      <c r="B9258" t="s">
        <v>1340</v>
      </c>
      <c r="C9258" t="s">
        <v>12218</v>
      </c>
      <c r="D9258" t="s">
        <v>16621</v>
      </c>
      <c r="E9258" t="s">
        <v>24765</v>
      </c>
      <c r="F9258" t="s">
        <v>28669</v>
      </c>
      <c r="G9258" t="s">
        <v>28675</v>
      </c>
      <c r="H9258" t="s">
        <v>28686</v>
      </c>
      <c r="I9258" t="s">
        <v>28689</v>
      </c>
      <c r="J9258" t="s">
        <v>34570</v>
      </c>
      <c r="K9258" t="s">
        <v>37213</v>
      </c>
      <c r="M9258" t="s">
        <v>40372</v>
      </c>
      <c r="N9258" t="s">
        <v>41249</v>
      </c>
      <c r="O9258" t="s">
        <v>41250</v>
      </c>
      <c r="P9258">
        <v>0</v>
      </c>
      <c r="Q9258">
        <v>0</v>
      </c>
      <c r="R9258" t="s">
        <v>41259</v>
      </c>
      <c r="S9258" t="s">
        <v>41562</v>
      </c>
      <c r="T9258" t="s">
        <v>42911</v>
      </c>
      <c r="U9258" t="s">
        <v>50667</v>
      </c>
      <c r="V9258" t="s">
        <v>55245</v>
      </c>
      <c r="W9258" t="s">
        <v>40372</v>
      </c>
      <c r="X9258" t="s">
        <v>41260</v>
      </c>
    </row>
    <row r="9259" spans="1:24">
      <c r="A9259">
        <f>HYPERLINK("https://www.philgeps.gov.ph/GEPSNONPILOT/Tender/SplashBidNoticeAbstractUI.aspx?menuIndex=3&amp;refID=7063318&amp;Result=3","7063318")</f>
        <v>0</v>
      </c>
      <c r="B9259" t="s">
        <v>596</v>
      </c>
      <c r="C9259" t="s">
        <v>12219</v>
      </c>
      <c r="E9259" t="s">
        <v>24766</v>
      </c>
      <c r="F9259" t="s">
        <v>28669</v>
      </c>
      <c r="G9259" t="s">
        <v>28675</v>
      </c>
      <c r="H9259" t="s">
        <v>28686</v>
      </c>
      <c r="I9259" t="s">
        <v>28689</v>
      </c>
      <c r="J9259" t="s">
        <v>34571</v>
      </c>
      <c r="K9259" t="s">
        <v>37211</v>
      </c>
      <c r="M9259" t="s">
        <v>40460</v>
      </c>
      <c r="N9259" t="s">
        <v>41249</v>
      </c>
      <c r="O9259" t="s">
        <v>41250</v>
      </c>
      <c r="Q9259">
        <v>1</v>
      </c>
      <c r="R9259" t="s">
        <v>41259</v>
      </c>
      <c r="S9259" t="s">
        <v>41596</v>
      </c>
      <c r="T9259" t="s">
        <v>42782</v>
      </c>
      <c r="U9259" t="s">
        <v>50668</v>
      </c>
      <c r="W9259" t="s">
        <v>40460</v>
      </c>
      <c r="X9259" t="s">
        <v>41260</v>
      </c>
    </row>
    <row r="9260" spans="1:24">
      <c r="A9260">
        <f>HYPERLINK("https://www.philgeps.gov.ph/GEPSNONPILOT/Tender/SplashBidNoticeAbstractUI.aspx?menuIndex=3&amp;refID=7063335&amp;Result=3","7063335")</f>
        <v>0</v>
      </c>
      <c r="B9260" t="s">
        <v>988</v>
      </c>
      <c r="C9260" t="s">
        <v>12220</v>
      </c>
      <c r="D9260" t="s">
        <v>16635</v>
      </c>
      <c r="E9260" t="s">
        <v>12220</v>
      </c>
      <c r="F9260" t="s">
        <v>28669</v>
      </c>
      <c r="G9260" t="s">
        <v>28677</v>
      </c>
      <c r="H9260" t="s">
        <v>9998</v>
      </c>
      <c r="I9260" t="s">
        <v>28816</v>
      </c>
      <c r="J9260" t="s">
        <v>29161</v>
      </c>
      <c r="K9260" t="s">
        <v>37206</v>
      </c>
      <c r="M9260" t="s">
        <v>40458</v>
      </c>
      <c r="N9260" t="s">
        <v>41249</v>
      </c>
      <c r="O9260" t="s">
        <v>41250</v>
      </c>
      <c r="P9260">
        <v>0</v>
      </c>
      <c r="Q9260">
        <v>4</v>
      </c>
      <c r="R9260" t="s">
        <v>41259</v>
      </c>
      <c r="S9260" t="s">
        <v>41562</v>
      </c>
      <c r="T9260" t="s">
        <v>42742</v>
      </c>
      <c r="U9260" t="s">
        <v>50669</v>
      </c>
      <c r="W9260" t="s">
        <v>40458</v>
      </c>
      <c r="X9260" t="s">
        <v>41260</v>
      </c>
    </row>
    <row r="9261" spans="1:24">
      <c r="A9261">
        <f>HYPERLINK("https://www.philgeps.gov.ph/GEPSNONPILOT/Tender/SplashBidNoticeAbstractUI.aspx?menuIndex=3&amp;refID=7063312&amp;Result=3","7063312")</f>
        <v>0</v>
      </c>
      <c r="B9261" t="s">
        <v>2744</v>
      </c>
      <c r="C9261" t="s">
        <v>12221</v>
      </c>
      <c r="D9261" t="s">
        <v>16625</v>
      </c>
      <c r="E9261" t="s">
        <v>16861</v>
      </c>
      <c r="F9261" t="s">
        <v>28669</v>
      </c>
      <c r="G9261" t="s">
        <v>28675</v>
      </c>
      <c r="H9261" t="s">
        <v>9998</v>
      </c>
      <c r="I9261" t="s">
        <v>28687</v>
      </c>
      <c r="J9261" t="s">
        <v>34572</v>
      </c>
      <c r="K9261" t="s">
        <v>37220</v>
      </c>
      <c r="M9261" t="s">
        <v>40461</v>
      </c>
      <c r="N9261" t="s">
        <v>41249</v>
      </c>
      <c r="O9261" t="s">
        <v>41250</v>
      </c>
      <c r="P9261">
        <v>0</v>
      </c>
      <c r="Q9261">
        <v>3</v>
      </c>
      <c r="R9261" t="s">
        <v>41259</v>
      </c>
      <c r="S9261" t="s">
        <v>41562</v>
      </c>
      <c r="T9261" t="s">
        <v>42668</v>
      </c>
      <c r="U9261" t="s">
        <v>50670</v>
      </c>
      <c r="W9261" t="s">
        <v>40461</v>
      </c>
      <c r="X9261" t="s">
        <v>41260</v>
      </c>
    </row>
    <row r="9262" spans="1:24">
      <c r="A9262">
        <f>HYPERLINK("https://www.philgeps.gov.ph/GEPSNONPILOT/Tender/SplashBidNoticeAbstractUI.aspx?menuIndex=3&amp;refID=7063331&amp;Result=3","7063331")</f>
        <v>0</v>
      </c>
      <c r="B9262" t="s">
        <v>2745</v>
      </c>
      <c r="C9262" t="s">
        <v>12222</v>
      </c>
      <c r="D9262" t="s">
        <v>16661</v>
      </c>
      <c r="E9262" t="s">
        <v>24767</v>
      </c>
      <c r="F9262" t="s">
        <v>28669</v>
      </c>
      <c r="G9262" t="s">
        <v>28675</v>
      </c>
      <c r="H9262" t="s">
        <v>9998</v>
      </c>
      <c r="I9262" t="s">
        <v>28689</v>
      </c>
      <c r="J9262" t="s">
        <v>29191</v>
      </c>
      <c r="K9262" t="s">
        <v>37206</v>
      </c>
      <c r="M9262" t="s">
        <v>40462</v>
      </c>
      <c r="N9262" t="s">
        <v>41249</v>
      </c>
      <c r="O9262" t="s">
        <v>41250</v>
      </c>
      <c r="P9262">
        <v>0</v>
      </c>
      <c r="Q9262">
        <v>1</v>
      </c>
      <c r="R9262" t="s">
        <v>41259</v>
      </c>
      <c r="S9262" t="s">
        <v>41562</v>
      </c>
      <c r="T9262" t="s">
        <v>42727</v>
      </c>
      <c r="U9262" t="s">
        <v>50671</v>
      </c>
      <c r="W9262" t="s">
        <v>40462</v>
      </c>
      <c r="X9262" t="s">
        <v>41260</v>
      </c>
    </row>
    <row r="9263" spans="1:24">
      <c r="A9263">
        <f>HYPERLINK("https://www.philgeps.gov.ph/GEPSNONPILOT/Tender/SplashBidNoticeAbstractUI.aspx?menuIndex=3&amp;refID=7063357&amp;Result=3","7063357")</f>
        <v>0</v>
      </c>
      <c r="B9263" t="s">
        <v>1770</v>
      </c>
      <c r="C9263" t="s">
        <v>12223</v>
      </c>
      <c r="D9263" t="s">
        <v>16608</v>
      </c>
      <c r="E9263" t="s">
        <v>24768</v>
      </c>
      <c r="F9263" t="s">
        <v>28669</v>
      </c>
      <c r="G9263" t="s">
        <v>28675</v>
      </c>
      <c r="H9263" t="s">
        <v>9998</v>
      </c>
      <c r="I9263" t="s">
        <v>28730</v>
      </c>
      <c r="J9263" t="s">
        <v>34573</v>
      </c>
      <c r="K9263" t="s">
        <v>37220</v>
      </c>
      <c r="M9263" t="s">
        <v>39372</v>
      </c>
      <c r="N9263" t="s">
        <v>41249</v>
      </c>
      <c r="O9263" t="s">
        <v>41250</v>
      </c>
      <c r="P9263">
        <v>0</v>
      </c>
      <c r="Q9263">
        <v>5</v>
      </c>
      <c r="R9263" t="s">
        <v>41259</v>
      </c>
      <c r="S9263" t="s">
        <v>41562</v>
      </c>
      <c r="T9263" t="s">
        <v>42700</v>
      </c>
      <c r="U9263" t="s">
        <v>50672</v>
      </c>
      <c r="W9263" t="s">
        <v>39372</v>
      </c>
      <c r="X9263" t="s">
        <v>41260</v>
      </c>
    </row>
    <row r="9264" spans="1:24">
      <c r="A9264">
        <f>HYPERLINK("https://www.philgeps.gov.ph/GEPSNONPILOT/Tender/SplashBidNoticeAbstractUI.aspx?menuIndex=3&amp;refID=7063351&amp;Result=3","7063351")</f>
        <v>0</v>
      </c>
      <c r="B9264" t="s">
        <v>2733</v>
      </c>
      <c r="C9264" t="s">
        <v>12224</v>
      </c>
      <c r="D9264" t="s">
        <v>16658</v>
      </c>
      <c r="E9264" t="s">
        <v>24769</v>
      </c>
      <c r="F9264" t="s">
        <v>28669</v>
      </c>
      <c r="G9264" t="s">
        <v>28675</v>
      </c>
      <c r="H9264" t="s">
        <v>9998</v>
      </c>
      <c r="I9264" t="s">
        <v>7352</v>
      </c>
      <c r="J9264" t="s">
        <v>28826</v>
      </c>
      <c r="K9264" t="s">
        <v>37205</v>
      </c>
      <c r="M9264" t="s">
        <v>40448</v>
      </c>
      <c r="N9264" t="s">
        <v>41249</v>
      </c>
      <c r="O9264" t="s">
        <v>41250</v>
      </c>
      <c r="P9264">
        <v>0</v>
      </c>
      <c r="Q9264">
        <v>0</v>
      </c>
      <c r="R9264" t="s">
        <v>41259</v>
      </c>
      <c r="S9264" t="s">
        <v>41562</v>
      </c>
      <c r="T9264" t="s">
        <v>42992</v>
      </c>
      <c r="U9264" t="s">
        <v>50673</v>
      </c>
      <c r="W9264" t="s">
        <v>40448</v>
      </c>
      <c r="X9264" t="s">
        <v>41260</v>
      </c>
    </row>
    <row r="9265" spans="1:24">
      <c r="A9265">
        <f>HYPERLINK("https://www.philgeps.gov.ph/GEPSNONPILOT/Tender/SplashBidNoticeAbstractUI.aspx?menuIndex=3&amp;refID=7063349&amp;Result=3","7063349")</f>
        <v>0</v>
      </c>
      <c r="B9265" t="s">
        <v>2727</v>
      </c>
      <c r="C9265" t="s">
        <v>12225</v>
      </c>
      <c r="D9265" t="s">
        <v>16670</v>
      </c>
      <c r="E9265" t="s">
        <v>24770</v>
      </c>
      <c r="F9265" t="s">
        <v>28669</v>
      </c>
      <c r="G9265" t="s">
        <v>28675</v>
      </c>
      <c r="H9265" t="s">
        <v>28686</v>
      </c>
      <c r="I9265" t="s">
        <v>28689</v>
      </c>
      <c r="J9265" t="s">
        <v>34574</v>
      </c>
      <c r="K9265" t="s">
        <v>37253</v>
      </c>
      <c r="M9265" t="s">
        <v>40440</v>
      </c>
      <c r="N9265" t="s">
        <v>41249</v>
      </c>
      <c r="O9265" t="s">
        <v>41250</v>
      </c>
      <c r="P9265">
        <v>0</v>
      </c>
      <c r="Q9265">
        <v>1</v>
      </c>
      <c r="R9265" t="s">
        <v>41259</v>
      </c>
      <c r="S9265" t="s">
        <v>41562</v>
      </c>
      <c r="T9265" t="s">
        <v>42809</v>
      </c>
      <c r="U9265" t="s">
        <v>50674</v>
      </c>
      <c r="V9265" t="s">
        <v>55279</v>
      </c>
      <c r="W9265" t="s">
        <v>40440</v>
      </c>
      <c r="X9265" t="s">
        <v>41260</v>
      </c>
    </row>
    <row r="9266" spans="1:24">
      <c r="A9266">
        <f>HYPERLINK("https://www.philgeps.gov.ph/GEPSNONPILOT/Tender/SplashBidNoticeAbstractUI.aspx?menuIndex=3&amp;refID=7063348&amp;Result=3","7063348")</f>
        <v>0</v>
      </c>
      <c r="B9266" t="s">
        <v>2504</v>
      </c>
      <c r="C9266" t="s">
        <v>12226</v>
      </c>
      <c r="D9266" t="s">
        <v>16621</v>
      </c>
      <c r="E9266" t="s">
        <v>24771</v>
      </c>
      <c r="F9266" t="s">
        <v>28669</v>
      </c>
      <c r="G9266" t="s">
        <v>28675</v>
      </c>
      <c r="H9266" t="s">
        <v>28686</v>
      </c>
      <c r="I9266" t="s">
        <v>11142</v>
      </c>
      <c r="J9266" t="s">
        <v>34575</v>
      </c>
      <c r="K9266" t="s">
        <v>37221</v>
      </c>
      <c r="M9266" t="s">
        <v>40190</v>
      </c>
      <c r="N9266" t="s">
        <v>41249</v>
      </c>
      <c r="O9266" t="s">
        <v>41250</v>
      </c>
      <c r="P9266">
        <v>0</v>
      </c>
      <c r="Q9266">
        <v>0</v>
      </c>
      <c r="R9266" t="s">
        <v>41259</v>
      </c>
      <c r="S9266" t="s">
        <v>41562</v>
      </c>
      <c r="T9266" t="s">
        <v>42760</v>
      </c>
      <c r="U9266" t="s">
        <v>50675</v>
      </c>
      <c r="W9266" t="s">
        <v>40190</v>
      </c>
      <c r="X9266" t="s">
        <v>41260</v>
      </c>
    </row>
    <row r="9267" spans="1:24">
      <c r="A9267">
        <f>HYPERLINK("https://www.philgeps.gov.ph/GEPSNONPILOT/Tender/SplashBidNoticeAbstractUI.aspx?menuIndex=3&amp;refID=7063344&amp;Result=3","7063344")</f>
        <v>0</v>
      </c>
      <c r="B9267" t="s">
        <v>797</v>
      </c>
      <c r="C9267" t="s">
        <v>6534</v>
      </c>
      <c r="D9267" t="s">
        <v>16677</v>
      </c>
      <c r="E9267" t="s">
        <v>18377</v>
      </c>
      <c r="F9267" t="s">
        <v>28669</v>
      </c>
      <c r="G9267" t="s">
        <v>28675</v>
      </c>
      <c r="H9267" t="s">
        <v>9998</v>
      </c>
      <c r="I9267" t="s">
        <v>6128</v>
      </c>
      <c r="J9267" t="s">
        <v>34576</v>
      </c>
      <c r="K9267" t="s">
        <v>37206</v>
      </c>
      <c r="M9267" t="s">
        <v>38312</v>
      </c>
      <c r="N9267" t="s">
        <v>41249</v>
      </c>
      <c r="O9267" t="s">
        <v>41250</v>
      </c>
      <c r="P9267">
        <v>0</v>
      </c>
      <c r="Q9267">
        <v>2</v>
      </c>
      <c r="R9267" t="s">
        <v>41259</v>
      </c>
      <c r="S9267" t="s">
        <v>41562</v>
      </c>
      <c r="T9267" t="s">
        <v>42989</v>
      </c>
      <c r="U9267" t="s">
        <v>50676</v>
      </c>
      <c r="V9267" t="s">
        <v>54475</v>
      </c>
      <c r="W9267" t="s">
        <v>38312</v>
      </c>
      <c r="X9267" t="s">
        <v>41260</v>
      </c>
    </row>
    <row r="9268" spans="1:24">
      <c r="A9268">
        <f>HYPERLINK("https://www.philgeps.gov.ph/GEPSNONPILOT/Tender/SplashBidNoticeAbstractUI.aspx?menuIndex=3&amp;refID=7063360&amp;Result=3","7063360")</f>
        <v>0</v>
      </c>
      <c r="B9268" t="s">
        <v>181</v>
      </c>
      <c r="C9268" t="s">
        <v>12227</v>
      </c>
      <c r="D9268" t="s">
        <v>16647</v>
      </c>
      <c r="E9268" t="s">
        <v>24772</v>
      </c>
      <c r="F9268" t="s">
        <v>28669</v>
      </c>
      <c r="G9268" t="s">
        <v>28675</v>
      </c>
      <c r="H9268" t="s">
        <v>9998</v>
      </c>
      <c r="I9268" t="s">
        <v>28710</v>
      </c>
      <c r="J9268" t="s">
        <v>28905</v>
      </c>
      <c r="K9268" t="s">
        <v>37210</v>
      </c>
      <c r="M9268" t="s">
        <v>37658</v>
      </c>
      <c r="N9268" t="s">
        <v>41249</v>
      </c>
      <c r="O9268" t="s">
        <v>41250</v>
      </c>
      <c r="P9268">
        <v>0</v>
      </c>
      <c r="Q9268">
        <v>1</v>
      </c>
      <c r="R9268" t="s">
        <v>41259</v>
      </c>
      <c r="S9268" t="s">
        <v>41562</v>
      </c>
      <c r="T9268" t="s">
        <v>42914</v>
      </c>
      <c r="U9268" t="s">
        <v>50677</v>
      </c>
      <c r="W9268" t="s">
        <v>37658</v>
      </c>
      <c r="X9268" t="s">
        <v>41260</v>
      </c>
    </row>
    <row r="9269" spans="1:24">
      <c r="A9269">
        <f>HYPERLINK("https://www.philgeps.gov.ph/GEPSNONPILOT/Tender/SplashBidNoticeAbstractUI.aspx?menuIndex=3&amp;refID=7063404&amp;Result=3","7063404")</f>
        <v>0</v>
      </c>
      <c r="B9269" t="s">
        <v>408</v>
      </c>
      <c r="C9269" t="s">
        <v>12228</v>
      </c>
      <c r="D9269" t="s">
        <v>16673</v>
      </c>
      <c r="E9269" t="s">
        <v>24773</v>
      </c>
      <c r="F9269" t="s">
        <v>28669</v>
      </c>
      <c r="G9269" t="s">
        <v>28675</v>
      </c>
      <c r="H9269" t="s">
        <v>9998</v>
      </c>
      <c r="I9269" t="s">
        <v>28722</v>
      </c>
      <c r="J9269" t="s">
        <v>34577</v>
      </c>
      <c r="K9269" t="s">
        <v>37209</v>
      </c>
      <c r="M9269" t="s">
        <v>37893</v>
      </c>
      <c r="N9269" t="s">
        <v>41249</v>
      </c>
      <c r="O9269" t="s">
        <v>41250</v>
      </c>
      <c r="P9269">
        <v>0</v>
      </c>
      <c r="Q9269">
        <v>2</v>
      </c>
      <c r="R9269" t="s">
        <v>41259</v>
      </c>
      <c r="S9269" t="s">
        <v>41562</v>
      </c>
      <c r="T9269" t="s">
        <v>42911</v>
      </c>
      <c r="U9269" t="s">
        <v>50678</v>
      </c>
      <c r="V9269" t="s">
        <v>55287</v>
      </c>
      <c r="W9269" t="s">
        <v>37893</v>
      </c>
      <c r="X9269" t="s">
        <v>41260</v>
      </c>
    </row>
    <row r="9270" spans="1:24">
      <c r="A9270">
        <f>HYPERLINK("https://www.philgeps.gov.ph/GEPSNONPILOT/Tender/SplashBidNoticeAbstractUI.aspx?menuIndex=3&amp;refID=7063355&amp;Result=3","7063355")</f>
        <v>0</v>
      </c>
      <c r="B9270" t="s">
        <v>988</v>
      </c>
      <c r="C9270" t="s">
        <v>12229</v>
      </c>
      <c r="D9270" t="s">
        <v>16635</v>
      </c>
      <c r="E9270" t="s">
        <v>12229</v>
      </c>
      <c r="F9270" t="s">
        <v>28669</v>
      </c>
      <c r="G9270" t="s">
        <v>28677</v>
      </c>
      <c r="H9270" t="s">
        <v>9998</v>
      </c>
      <c r="I9270" t="s">
        <v>11142</v>
      </c>
      <c r="J9270" t="s">
        <v>34578</v>
      </c>
      <c r="K9270" t="s">
        <v>37206</v>
      </c>
      <c r="M9270" t="s">
        <v>40458</v>
      </c>
      <c r="N9270" t="s">
        <v>41249</v>
      </c>
      <c r="O9270" t="s">
        <v>41250</v>
      </c>
      <c r="P9270">
        <v>0</v>
      </c>
      <c r="Q9270">
        <v>5</v>
      </c>
      <c r="R9270" t="s">
        <v>41259</v>
      </c>
      <c r="S9270" t="s">
        <v>41562</v>
      </c>
      <c r="T9270" t="s">
        <v>42876</v>
      </c>
      <c r="U9270" t="s">
        <v>50679</v>
      </c>
      <c r="W9270" t="s">
        <v>40458</v>
      </c>
      <c r="X9270" t="s">
        <v>41260</v>
      </c>
    </row>
    <row r="9271" spans="1:24">
      <c r="A9271">
        <f>HYPERLINK("https://www.philgeps.gov.ph/GEPSNONPILOT/Tender/SplashBidNoticeAbstractUI.aspx?menuIndex=3&amp;refID=7063402&amp;Result=3","7063402")</f>
        <v>0</v>
      </c>
      <c r="B9271" t="s">
        <v>2746</v>
      </c>
      <c r="C9271" t="s">
        <v>12230</v>
      </c>
      <c r="D9271" t="s">
        <v>16622</v>
      </c>
      <c r="E9271" t="s">
        <v>24774</v>
      </c>
      <c r="F9271" t="s">
        <v>28669</v>
      </c>
      <c r="G9271" t="s">
        <v>28675</v>
      </c>
      <c r="H9271" t="s">
        <v>28686</v>
      </c>
      <c r="I9271" t="s">
        <v>28689</v>
      </c>
      <c r="J9271" t="s">
        <v>34579</v>
      </c>
      <c r="K9271" t="s">
        <v>37211</v>
      </c>
      <c r="M9271" t="s">
        <v>40463</v>
      </c>
      <c r="N9271" t="s">
        <v>41249</v>
      </c>
      <c r="O9271" t="s">
        <v>41250</v>
      </c>
      <c r="P9271">
        <v>0</v>
      </c>
      <c r="Q9271">
        <v>1</v>
      </c>
      <c r="R9271" t="s">
        <v>41259</v>
      </c>
      <c r="S9271" t="s">
        <v>41562</v>
      </c>
      <c r="T9271" t="s">
        <v>42755</v>
      </c>
      <c r="U9271" t="s">
        <v>50680</v>
      </c>
      <c r="W9271" t="s">
        <v>40463</v>
      </c>
      <c r="X9271" t="s">
        <v>41260</v>
      </c>
    </row>
    <row r="9272" spans="1:24">
      <c r="A9272">
        <f>HYPERLINK("https://www.philgeps.gov.ph/GEPSNONPILOT/Tender/SplashBidNoticeAbstractUI.aspx?menuIndex=3&amp;refID=7063395&amp;Result=3","7063395")</f>
        <v>0</v>
      </c>
      <c r="B9272" t="s">
        <v>988</v>
      </c>
      <c r="C9272" t="s">
        <v>12231</v>
      </c>
      <c r="D9272" t="s">
        <v>16635</v>
      </c>
      <c r="E9272" t="s">
        <v>12231</v>
      </c>
      <c r="F9272" t="s">
        <v>28669</v>
      </c>
      <c r="G9272" t="s">
        <v>28677</v>
      </c>
      <c r="H9272" t="s">
        <v>9998</v>
      </c>
      <c r="I9272" t="s">
        <v>28693</v>
      </c>
      <c r="J9272" t="s">
        <v>34580</v>
      </c>
      <c r="K9272" t="s">
        <v>37206</v>
      </c>
      <c r="M9272" t="s">
        <v>40458</v>
      </c>
      <c r="N9272" t="s">
        <v>41249</v>
      </c>
      <c r="O9272" t="s">
        <v>41250</v>
      </c>
      <c r="P9272">
        <v>0</v>
      </c>
      <c r="Q9272">
        <v>1</v>
      </c>
      <c r="R9272" t="s">
        <v>41259</v>
      </c>
      <c r="S9272" t="s">
        <v>41562</v>
      </c>
      <c r="T9272" t="s">
        <v>42742</v>
      </c>
      <c r="U9272" t="s">
        <v>50681</v>
      </c>
      <c r="W9272" t="s">
        <v>40458</v>
      </c>
      <c r="X9272" t="s">
        <v>41260</v>
      </c>
    </row>
    <row r="9273" spans="1:24">
      <c r="A9273">
        <f>HYPERLINK("https://www.philgeps.gov.ph/GEPSNONPILOT/Tender/SplashBidNoticeAbstractUI.aspx?menuIndex=3&amp;refID=7063306&amp;Result=3","7063306")</f>
        <v>0</v>
      </c>
      <c r="B9273" t="s">
        <v>394</v>
      </c>
      <c r="C9273" t="s">
        <v>12232</v>
      </c>
      <c r="D9273" t="s">
        <v>16675</v>
      </c>
      <c r="E9273" t="s">
        <v>24775</v>
      </c>
      <c r="F9273" t="s">
        <v>28669</v>
      </c>
      <c r="G9273" t="s">
        <v>28675</v>
      </c>
      <c r="H9273" t="s">
        <v>9998</v>
      </c>
      <c r="I9273" t="s">
        <v>15140</v>
      </c>
      <c r="J9273" t="s">
        <v>34581</v>
      </c>
      <c r="K9273" t="s">
        <v>37210</v>
      </c>
      <c r="L9273" t="s">
        <v>394</v>
      </c>
      <c r="M9273" t="s">
        <v>37878</v>
      </c>
      <c r="N9273" t="s">
        <v>41249</v>
      </c>
      <c r="O9273" t="s">
        <v>41250</v>
      </c>
      <c r="P9273">
        <v>0</v>
      </c>
      <c r="Q9273">
        <v>5</v>
      </c>
      <c r="R9273" t="s">
        <v>41259</v>
      </c>
      <c r="S9273" t="s">
        <v>41562</v>
      </c>
      <c r="T9273" t="s">
        <v>42728</v>
      </c>
      <c r="U9273" t="s">
        <v>43966</v>
      </c>
      <c r="V9273" t="s">
        <v>55282</v>
      </c>
      <c r="W9273" t="s">
        <v>37878</v>
      </c>
      <c r="X9273" t="s">
        <v>41260</v>
      </c>
    </row>
    <row r="9274" spans="1:24">
      <c r="A9274">
        <f>HYPERLINK("https://www.philgeps.gov.ph/GEPSNONPILOT/Tender/SplashBidNoticeAbstractUI.aspx?menuIndex=3&amp;refID=7063392&amp;Result=3","7063392")</f>
        <v>0</v>
      </c>
      <c r="B9274" t="s">
        <v>2747</v>
      </c>
      <c r="C9274" t="s">
        <v>12233</v>
      </c>
      <c r="D9274" t="s">
        <v>16622</v>
      </c>
      <c r="E9274" t="s">
        <v>23637</v>
      </c>
      <c r="F9274" t="s">
        <v>28669</v>
      </c>
      <c r="G9274" t="s">
        <v>28675</v>
      </c>
      <c r="H9274" t="s">
        <v>28686</v>
      </c>
      <c r="I9274" t="s">
        <v>28689</v>
      </c>
      <c r="J9274" t="s">
        <v>34582</v>
      </c>
      <c r="K9274" t="s">
        <v>37213</v>
      </c>
      <c r="M9274" t="s">
        <v>40464</v>
      </c>
      <c r="N9274" t="s">
        <v>41249</v>
      </c>
      <c r="O9274" t="s">
        <v>41250</v>
      </c>
      <c r="P9274">
        <v>0</v>
      </c>
      <c r="Q9274">
        <v>0</v>
      </c>
      <c r="R9274" t="s">
        <v>41259</v>
      </c>
      <c r="S9274" t="s">
        <v>41562</v>
      </c>
      <c r="T9274" t="s">
        <v>42761</v>
      </c>
      <c r="U9274" t="s">
        <v>50682</v>
      </c>
      <c r="W9274" t="s">
        <v>40464</v>
      </c>
      <c r="X9274" t="s">
        <v>41260</v>
      </c>
    </row>
    <row r="9275" spans="1:24">
      <c r="A9275">
        <f>HYPERLINK("https://www.philgeps.gov.ph/GEPSNONPILOT/Tender/SplashBidNoticeAbstractUI.aspx?menuIndex=3&amp;refID=7063339&amp;Result=3","7063339")</f>
        <v>0</v>
      </c>
      <c r="B9275" t="s">
        <v>596</v>
      </c>
      <c r="C9275" t="s">
        <v>12234</v>
      </c>
      <c r="E9275" t="s">
        <v>24776</v>
      </c>
      <c r="F9275" t="s">
        <v>28669</v>
      </c>
      <c r="G9275" t="s">
        <v>28675</v>
      </c>
      <c r="H9275" t="s">
        <v>28686</v>
      </c>
      <c r="I9275" t="s">
        <v>28689</v>
      </c>
      <c r="J9275" t="s">
        <v>34583</v>
      </c>
      <c r="K9275" t="s">
        <v>37215</v>
      </c>
      <c r="M9275" t="s">
        <v>40460</v>
      </c>
      <c r="N9275" t="s">
        <v>41249</v>
      </c>
      <c r="O9275" t="s">
        <v>41250</v>
      </c>
      <c r="Q9275">
        <v>0</v>
      </c>
      <c r="R9275" t="s">
        <v>41259</v>
      </c>
      <c r="S9275" t="s">
        <v>41597</v>
      </c>
      <c r="T9275" t="s">
        <v>42782</v>
      </c>
      <c r="U9275" t="s">
        <v>50683</v>
      </c>
      <c r="W9275" t="s">
        <v>40460</v>
      </c>
      <c r="X9275" t="s">
        <v>41260</v>
      </c>
    </row>
    <row r="9276" spans="1:24">
      <c r="A9276">
        <f>HYPERLINK("https://www.philgeps.gov.ph/GEPSNONPILOT/Tender/SplashBidNoticeAbstractUI.aspx?menuIndex=3&amp;refID=7063391&amp;Result=3","7063391")</f>
        <v>0</v>
      </c>
      <c r="B9276" t="s">
        <v>1770</v>
      </c>
      <c r="C9276" t="s">
        <v>12235</v>
      </c>
      <c r="D9276" t="s">
        <v>16608</v>
      </c>
      <c r="E9276" t="s">
        <v>24777</v>
      </c>
      <c r="F9276" t="s">
        <v>28669</v>
      </c>
      <c r="G9276" t="s">
        <v>28675</v>
      </c>
      <c r="H9276" t="s">
        <v>9998</v>
      </c>
      <c r="I9276" t="s">
        <v>7352</v>
      </c>
      <c r="J9276" t="s">
        <v>34584</v>
      </c>
      <c r="K9276" t="s">
        <v>37212</v>
      </c>
      <c r="M9276" t="s">
        <v>39372</v>
      </c>
      <c r="N9276" t="s">
        <v>41249</v>
      </c>
      <c r="O9276" t="s">
        <v>41250</v>
      </c>
      <c r="P9276">
        <v>0</v>
      </c>
      <c r="Q9276">
        <v>5</v>
      </c>
      <c r="R9276" t="s">
        <v>41259</v>
      </c>
      <c r="S9276" t="s">
        <v>41562</v>
      </c>
      <c r="T9276" t="s">
        <v>42700</v>
      </c>
      <c r="U9276" t="s">
        <v>50684</v>
      </c>
      <c r="W9276" t="s">
        <v>39372</v>
      </c>
      <c r="X9276" t="s">
        <v>41260</v>
      </c>
    </row>
    <row r="9277" spans="1:24">
      <c r="A9277">
        <f>HYPERLINK("https://www.philgeps.gov.ph/GEPSNONPILOT/Tender/SplashBidNoticeAbstractUI.aspx?menuIndex=3&amp;refID=7063358&amp;Result=3","7063358")</f>
        <v>0</v>
      </c>
      <c r="B9277" t="s">
        <v>2748</v>
      </c>
      <c r="C9277" t="s">
        <v>12236</v>
      </c>
      <c r="D9277" t="s">
        <v>16661</v>
      </c>
      <c r="E9277" t="s">
        <v>24778</v>
      </c>
      <c r="F9277" t="s">
        <v>28671</v>
      </c>
      <c r="G9277" t="s">
        <v>28675</v>
      </c>
      <c r="H9277" t="s">
        <v>9998</v>
      </c>
      <c r="I9277" t="s">
        <v>28733</v>
      </c>
      <c r="J9277" t="s">
        <v>28838</v>
      </c>
      <c r="K9277" t="s">
        <v>37215</v>
      </c>
      <c r="M9277" t="s">
        <v>40465</v>
      </c>
      <c r="N9277" t="s">
        <v>41249</v>
      </c>
      <c r="O9277" t="s">
        <v>41250</v>
      </c>
      <c r="P9277">
        <v>0</v>
      </c>
      <c r="Q9277">
        <v>4</v>
      </c>
      <c r="R9277" t="s">
        <v>41259</v>
      </c>
      <c r="S9277" t="s">
        <v>41562</v>
      </c>
      <c r="T9277" t="s">
        <v>42676</v>
      </c>
      <c r="U9277" t="s">
        <v>50685</v>
      </c>
      <c r="V9277" t="s">
        <v>55288</v>
      </c>
      <c r="W9277" t="s">
        <v>40465</v>
      </c>
      <c r="X9277" t="s">
        <v>41260</v>
      </c>
    </row>
    <row r="9278" spans="1:24">
      <c r="A9278">
        <f>HYPERLINK("https://www.philgeps.gov.ph/GEPSNONPILOT/Tender/SplashBidNoticeAbstractUI.aspx?menuIndex=3&amp;refID=7063412&amp;Result=3","7063412")</f>
        <v>0</v>
      </c>
      <c r="B9278" t="s">
        <v>988</v>
      </c>
      <c r="C9278" t="s">
        <v>12237</v>
      </c>
      <c r="D9278" t="s">
        <v>16635</v>
      </c>
      <c r="E9278" t="s">
        <v>12237</v>
      </c>
      <c r="F9278" t="s">
        <v>28669</v>
      </c>
      <c r="G9278" t="s">
        <v>28677</v>
      </c>
      <c r="H9278" t="s">
        <v>9998</v>
      </c>
      <c r="I9278" t="s">
        <v>28731</v>
      </c>
      <c r="J9278" t="s">
        <v>28879</v>
      </c>
      <c r="K9278" t="s">
        <v>37206</v>
      </c>
      <c r="M9278" t="s">
        <v>40458</v>
      </c>
      <c r="N9278" t="s">
        <v>41249</v>
      </c>
      <c r="O9278" t="s">
        <v>41250</v>
      </c>
      <c r="P9278">
        <v>0</v>
      </c>
      <c r="Q9278">
        <v>6</v>
      </c>
      <c r="R9278" t="s">
        <v>41259</v>
      </c>
      <c r="S9278" t="s">
        <v>41562</v>
      </c>
      <c r="T9278" t="s">
        <v>42742</v>
      </c>
      <c r="U9278" t="s">
        <v>50653</v>
      </c>
      <c r="W9278" t="s">
        <v>40458</v>
      </c>
      <c r="X9278" t="s">
        <v>41260</v>
      </c>
    </row>
    <row r="9279" spans="1:24">
      <c r="A9279">
        <f>HYPERLINK("https://www.philgeps.gov.ph/GEPSNONPILOT/Tender/SplashBidNoticeAbstractUI.aspx?menuIndex=3&amp;refID=7063410&amp;Result=3","7063410")</f>
        <v>0</v>
      </c>
      <c r="B9279" t="s">
        <v>990</v>
      </c>
      <c r="C9279" t="s">
        <v>12238</v>
      </c>
      <c r="D9279" t="s">
        <v>16658</v>
      </c>
      <c r="E9279" t="s">
        <v>24779</v>
      </c>
      <c r="F9279" t="s">
        <v>28669</v>
      </c>
      <c r="G9279" t="s">
        <v>28675</v>
      </c>
      <c r="H9279" t="s">
        <v>28686</v>
      </c>
      <c r="I9279" t="s">
        <v>28689</v>
      </c>
      <c r="J9279" t="s">
        <v>34585</v>
      </c>
      <c r="K9279" t="s">
        <v>37209</v>
      </c>
      <c r="M9279" t="s">
        <v>38517</v>
      </c>
      <c r="N9279" t="s">
        <v>41249</v>
      </c>
      <c r="O9279" t="s">
        <v>41250</v>
      </c>
      <c r="P9279">
        <v>0</v>
      </c>
      <c r="Q9279">
        <v>1</v>
      </c>
      <c r="R9279" t="s">
        <v>41259</v>
      </c>
      <c r="S9279" t="s">
        <v>41562</v>
      </c>
      <c r="T9279" t="s">
        <v>42728</v>
      </c>
      <c r="U9279" t="s">
        <v>45220</v>
      </c>
      <c r="W9279" t="s">
        <v>38517</v>
      </c>
      <c r="X9279" t="s">
        <v>41260</v>
      </c>
    </row>
    <row r="9280" spans="1:24">
      <c r="A9280">
        <f>HYPERLINK("https://www.philgeps.gov.ph/GEPSNONPILOT/Tender/SplashBidNoticeAbstractUI.aspx?menuIndex=3&amp;refID=7063409&amp;Result=3","7063409")</f>
        <v>0</v>
      </c>
      <c r="B9280" t="s">
        <v>2254</v>
      </c>
      <c r="C9280" t="s">
        <v>12239</v>
      </c>
      <c r="D9280" t="s">
        <v>16616</v>
      </c>
      <c r="E9280" t="s">
        <v>24780</v>
      </c>
      <c r="F9280" t="s">
        <v>28669</v>
      </c>
      <c r="G9280" t="s">
        <v>28675</v>
      </c>
      <c r="H9280" t="s">
        <v>9998</v>
      </c>
      <c r="I9280" t="s">
        <v>11593</v>
      </c>
      <c r="J9280" t="s">
        <v>28924</v>
      </c>
      <c r="K9280" t="s">
        <v>37220</v>
      </c>
      <c r="M9280" t="s">
        <v>39909</v>
      </c>
      <c r="N9280" t="s">
        <v>41249</v>
      </c>
      <c r="O9280" t="s">
        <v>41250</v>
      </c>
      <c r="P9280">
        <v>0</v>
      </c>
      <c r="Q9280">
        <v>10</v>
      </c>
      <c r="R9280" t="s">
        <v>41259</v>
      </c>
      <c r="S9280" t="s">
        <v>41562</v>
      </c>
      <c r="T9280" t="s">
        <v>43036</v>
      </c>
      <c r="U9280" t="s">
        <v>50686</v>
      </c>
      <c r="W9280" t="s">
        <v>39909</v>
      </c>
      <c r="X9280" t="s">
        <v>41260</v>
      </c>
    </row>
    <row r="9281" spans="1:24">
      <c r="A9281">
        <f>HYPERLINK("https://www.philgeps.gov.ph/GEPSNONPILOT/Tender/SplashBidNoticeAbstractUI.aspx?menuIndex=3&amp;refID=7063407&amp;Result=3","7063407")</f>
        <v>0</v>
      </c>
      <c r="B9281" t="s">
        <v>2295</v>
      </c>
      <c r="C9281" t="s">
        <v>12240</v>
      </c>
      <c r="E9281" t="s">
        <v>24781</v>
      </c>
      <c r="F9281" t="s">
        <v>28669</v>
      </c>
      <c r="G9281" t="s">
        <v>28682</v>
      </c>
      <c r="H9281" t="s">
        <v>9998</v>
      </c>
      <c r="I9281" t="s">
        <v>28745</v>
      </c>
      <c r="J9281" t="s">
        <v>34586</v>
      </c>
      <c r="K9281" t="s">
        <v>37206</v>
      </c>
      <c r="M9281" t="s">
        <v>39952</v>
      </c>
      <c r="N9281" t="s">
        <v>41249</v>
      </c>
      <c r="O9281" t="s">
        <v>41250</v>
      </c>
      <c r="P9281">
        <v>0</v>
      </c>
      <c r="Q9281">
        <v>0</v>
      </c>
      <c r="R9281" t="s">
        <v>41259</v>
      </c>
      <c r="S9281" t="s">
        <v>41562</v>
      </c>
      <c r="T9281" t="s">
        <v>42760</v>
      </c>
      <c r="U9281" t="s">
        <v>50687</v>
      </c>
      <c r="V9281" t="s">
        <v>55229</v>
      </c>
      <c r="W9281" t="s">
        <v>39952</v>
      </c>
      <c r="X9281" t="s">
        <v>41260</v>
      </c>
    </row>
    <row r="9282" spans="1:24">
      <c r="A9282">
        <f>HYPERLINK("https://www.philgeps.gov.ph/GEPSNONPILOT/Tender/SplashBidNoticeAbstractUI.aspx?menuIndex=3&amp;refID=7063405&amp;Result=3","7063405")</f>
        <v>0</v>
      </c>
      <c r="B9282" t="s">
        <v>1340</v>
      </c>
      <c r="C9282" t="s">
        <v>12241</v>
      </c>
      <c r="D9282" t="s">
        <v>16621</v>
      </c>
      <c r="E9282" t="s">
        <v>24782</v>
      </c>
      <c r="F9282" t="s">
        <v>28669</v>
      </c>
      <c r="G9282" t="s">
        <v>28675</v>
      </c>
      <c r="H9282" t="s">
        <v>28686</v>
      </c>
      <c r="I9282" t="s">
        <v>28689</v>
      </c>
      <c r="J9282" t="s">
        <v>34587</v>
      </c>
      <c r="K9282" t="s">
        <v>37269</v>
      </c>
      <c r="M9282" t="s">
        <v>40372</v>
      </c>
      <c r="N9282" t="s">
        <v>41249</v>
      </c>
      <c r="O9282" t="s">
        <v>41250</v>
      </c>
      <c r="P9282">
        <v>0</v>
      </c>
      <c r="Q9282">
        <v>0</v>
      </c>
      <c r="R9282" t="s">
        <v>41259</v>
      </c>
      <c r="S9282" t="s">
        <v>41562</v>
      </c>
      <c r="T9282" t="s">
        <v>42911</v>
      </c>
      <c r="U9282" t="s">
        <v>50639</v>
      </c>
      <c r="V9282" t="s">
        <v>55245</v>
      </c>
      <c r="W9282" t="s">
        <v>40372</v>
      </c>
      <c r="X9282" t="s">
        <v>41260</v>
      </c>
    </row>
    <row r="9283" spans="1:24">
      <c r="A9283">
        <f>HYPERLINK("https://www.philgeps.gov.ph/GEPSNONPILOT/Tender/SplashBidNoticeAbstractUI.aspx?menuIndex=3&amp;refID=7063384&amp;Result=3","7063384")</f>
        <v>0</v>
      </c>
      <c r="B9283" t="s">
        <v>2295</v>
      </c>
      <c r="C9283" t="s">
        <v>12242</v>
      </c>
      <c r="E9283" t="s">
        <v>24783</v>
      </c>
      <c r="F9283" t="s">
        <v>28669</v>
      </c>
      <c r="G9283" t="s">
        <v>28682</v>
      </c>
      <c r="H9283" t="s">
        <v>9998</v>
      </c>
      <c r="I9283" t="s">
        <v>28743</v>
      </c>
      <c r="J9283" t="s">
        <v>34588</v>
      </c>
      <c r="K9283" t="s">
        <v>37206</v>
      </c>
      <c r="M9283" t="s">
        <v>39952</v>
      </c>
      <c r="N9283" t="s">
        <v>41249</v>
      </c>
      <c r="O9283" t="s">
        <v>41250</v>
      </c>
      <c r="P9283">
        <v>0</v>
      </c>
      <c r="Q9283">
        <v>1</v>
      </c>
      <c r="R9283" t="s">
        <v>41259</v>
      </c>
      <c r="S9283" t="s">
        <v>41562</v>
      </c>
      <c r="T9283" t="s">
        <v>42760</v>
      </c>
      <c r="U9283" t="s">
        <v>50688</v>
      </c>
      <c r="V9283" t="s">
        <v>55229</v>
      </c>
      <c r="W9283" t="s">
        <v>39952</v>
      </c>
      <c r="X9283" t="s">
        <v>41260</v>
      </c>
    </row>
    <row r="9284" spans="1:24">
      <c r="A9284">
        <f>HYPERLINK("https://www.philgeps.gov.ph/GEPSNONPILOT/Tender/SplashBidNoticeAbstractUI.aspx?menuIndex=3&amp;refID=7063388&amp;Result=3","7063388")</f>
        <v>0</v>
      </c>
      <c r="B9284" t="s">
        <v>988</v>
      </c>
      <c r="C9284" t="s">
        <v>12243</v>
      </c>
      <c r="D9284" t="s">
        <v>16635</v>
      </c>
      <c r="E9284" t="s">
        <v>12243</v>
      </c>
      <c r="F9284" t="s">
        <v>28669</v>
      </c>
      <c r="G9284" t="s">
        <v>28677</v>
      </c>
      <c r="H9284" t="s">
        <v>9998</v>
      </c>
      <c r="I9284" t="s">
        <v>11142</v>
      </c>
      <c r="J9284" t="s">
        <v>28905</v>
      </c>
      <c r="K9284" t="s">
        <v>37206</v>
      </c>
      <c r="M9284" t="s">
        <v>40458</v>
      </c>
      <c r="N9284" t="s">
        <v>41249</v>
      </c>
      <c r="O9284" t="s">
        <v>41250</v>
      </c>
      <c r="P9284">
        <v>0</v>
      </c>
      <c r="Q9284">
        <v>3</v>
      </c>
      <c r="R9284" t="s">
        <v>41259</v>
      </c>
      <c r="S9284" t="s">
        <v>41562</v>
      </c>
      <c r="T9284" t="s">
        <v>42876</v>
      </c>
      <c r="U9284" t="s">
        <v>50689</v>
      </c>
      <c r="W9284" t="s">
        <v>40458</v>
      </c>
      <c r="X9284" t="s">
        <v>41260</v>
      </c>
    </row>
    <row r="9285" spans="1:24">
      <c r="A9285">
        <f>HYPERLINK("https://www.philgeps.gov.ph/GEPSNONPILOT/Tender/SplashBidNoticeAbstractUI.aspx?menuIndex=3&amp;refID=7063372&amp;Result=3","7063372")</f>
        <v>0</v>
      </c>
      <c r="B9285" t="s">
        <v>2295</v>
      </c>
      <c r="C9285" t="s">
        <v>12244</v>
      </c>
      <c r="E9285" t="s">
        <v>24784</v>
      </c>
      <c r="F9285" t="s">
        <v>28669</v>
      </c>
      <c r="G9285" t="s">
        <v>28682</v>
      </c>
      <c r="H9285" t="s">
        <v>9998</v>
      </c>
      <c r="I9285" t="s">
        <v>28743</v>
      </c>
      <c r="J9285" t="s">
        <v>34589</v>
      </c>
      <c r="K9285" t="s">
        <v>37206</v>
      </c>
      <c r="M9285" t="s">
        <v>39952</v>
      </c>
      <c r="N9285" t="s">
        <v>41249</v>
      </c>
      <c r="O9285" t="s">
        <v>41250</v>
      </c>
      <c r="P9285">
        <v>0</v>
      </c>
      <c r="Q9285">
        <v>2</v>
      </c>
      <c r="R9285" t="s">
        <v>41259</v>
      </c>
      <c r="S9285" t="s">
        <v>41562</v>
      </c>
      <c r="T9285" t="s">
        <v>42760</v>
      </c>
      <c r="U9285" t="s">
        <v>50690</v>
      </c>
      <c r="V9285" t="s">
        <v>55229</v>
      </c>
      <c r="W9285" t="s">
        <v>39952</v>
      </c>
      <c r="X9285" t="s">
        <v>41260</v>
      </c>
    </row>
    <row r="9286" spans="1:24">
      <c r="A9286">
        <f>HYPERLINK("https://www.philgeps.gov.ph/GEPSNONPILOT/Tender/SplashBidNoticeAbstractUI.aspx?menuIndex=3&amp;refID=7063368&amp;Result=3","7063368")</f>
        <v>0</v>
      </c>
      <c r="B9286" t="s">
        <v>849</v>
      </c>
      <c r="C9286" t="s">
        <v>12139</v>
      </c>
      <c r="D9286" t="s">
        <v>16626</v>
      </c>
      <c r="E9286" t="s">
        <v>24785</v>
      </c>
      <c r="F9286" t="s">
        <v>28669</v>
      </c>
      <c r="G9286" t="s">
        <v>28680</v>
      </c>
      <c r="H9286" t="s">
        <v>9998</v>
      </c>
      <c r="I9286" t="s">
        <v>7352</v>
      </c>
      <c r="J9286" t="s">
        <v>28879</v>
      </c>
      <c r="K9286" t="s">
        <v>37209</v>
      </c>
      <c r="M9286" t="s">
        <v>38365</v>
      </c>
      <c r="N9286" t="s">
        <v>41249</v>
      </c>
      <c r="O9286" t="s">
        <v>41250</v>
      </c>
      <c r="P9286">
        <v>0</v>
      </c>
      <c r="Q9286">
        <v>0</v>
      </c>
      <c r="R9286" t="s">
        <v>41259</v>
      </c>
      <c r="S9286" t="s">
        <v>41562</v>
      </c>
      <c r="T9286" t="s">
        <v>42767</v>
      </c>
      <c r="U9286" t="s">
        <v>50611</v>
      </c>
      <c r="W9286" t="s">
        <v>38365</v>
      </c>
      <c r="X9286" t="s">
        <v>41260</v>
      </c>
    </row>
    <row r="9287" spans="1:24">
      <c r="A9287">
        <f>HYPERLINK("https://www.philgeps.gov.ph/GEPSNONPILOT/Tender/SplashBidNoticeAbstractUI.aspx?menuIndex=3&amp;refID=7063364&amp;Result=3","7063364")</f>
        <v>0</v>
      </c>
      <c r="B9287" t="s">
        <v>988</v>
      </c>
      <c r="C9287" t="s">
        <v>12245</v>
      </c>
      <c r="D9287" t="s">
        <v>16635</v>
      </c>
      <c r="E9287" t="s">
        <v>12245</v>
      </c>
      <c r="F9287" t="s">
        <v>28669</v>
      </c>
      <c r="G9287" t="s">
        <v>28677</v>
      </c>
      <c r="H9287" t="s">
        <v>9998</v>
      </c>
      <c r="I9287" t="s">
        <v>28693</v>
      </c>
      <c r="J9287" t="s">
        <v>29104</v>
      </c>
      <c r="K9287" t="s">
        <v>37206</v>
      </c>
      <c r="M9287" t="s">
        <v>40458</v>
      </c>
      <c r="N9287" t="s">
        <v>41249</v>
      </c>
      <c r="O9287" t="s">
        <v>41250</v>
      </c>
      <c r="P9287">
        <v>0</v>
      </c>
      <c r="Q9287">
        <v>3</v>
      </c>
      <c r="R9287" t="s">
        <v>41259</v>
      </c>
      <c r="S9287" t="s">
        <v>41562</v>
      </c>
      <c r="T9287" t="s">
        <v>42876</v>
      </c>
      <c r="U9287" t="s">
        <v>50691</v>
      </c>
      <c r="W9287" t="s">
        <v>40458</v>
      </c>
      <c r="X9287" t="s">
        <v>41260</v>
      </c>
    </row>
    <row r="9288" spans="1:24">
      <c r="A9288">
        <f>HYPERLINK("https://www.philgeps.gov.ph/GEPSNONPILOT/Tender/SplashBidNoticeAbstractUI.aspx?menuIndex=3&amp;refID=7063432&amp;Result=3","7063432")</f>
        <v>0</v>
      </c>
      <c r="B9288" t="s">
        <v>181</v>
      </c>
      <c r="C9288" t="s">
        <v>12246</v>
      </c>
      <c r="D9288" t="s">
        <v>16647</v>
      </c>
      <c r="E9288" t="s">
        <v>24786</v>
      </c>
      <c r="F9288" t="s">
        <v>28669</v>
      </c>
      <c r="G9288" t="s">
        <v>28675</v>
      </c>
      <c r="H9288" t="s">
        <v>9998</v>
      </c>
      <c r="I9288" t="s">
        <v>28722</v>
      </c>
      <c r="J9288" t="s">
        <v>29487</v>
      </c>
      <c r="K9288" t="s">
        <v>37210</v>
      </c>
      <c r="M9288" t="s">
        <v>37658</v>
      </c>
      <c r="N9288" t="s">
        <v>41249</v>
      </c>
      <c r="O9288" t="s">
        <v>41250</v>
      </c>
      <c r="P9288">
        <v>0</v>
      </c>
      <c r="Q9288">
        <v>1</v>
      </c>
      <c r="R9288" t="s">
        <v>41259</v>
      </c>
      <c r="S9288" t="s">
        <v>41562</v>
      </c>
      <c r="T9288" t="s">
        <v>42914</v>
      </c>
      <c r="U9288" t="s">
        <v>50692</v>
      </c>
      <c r="W9288" t="s">
        <v>37658</v>
      </c>
      <c r="X9288" t="s">
        <v>41260</v>
      </c>
    </row>
    <row r="9289" spans="1:24">
      <c r="A9289">
        <f>HYPERLINK("https://www.philgeps.gov.ph/GEPSNONPILOT/Tender/SplashBidNoticeAbstractUI.aspx?menuIndex=3&amp;refID=7063415&amp;Result=3","7063415")</f>
        <v>0</v>
      </c>
      <c r="B9289" t="s">
        <v>1302</v>
      </c>
      <c r="C9289" t="s">
        <v>12247</v>
      </c>
      <c r="D9289" t="s">
        <v>16608</v>
      </c>
      <c r="E9289" t="s">
        <v>24787</v>
      </c>
      <c r="F9289" t="s">
        <v>28669</v>
      </c>
      <c r="G9289" t="s">
        <v>28675</v>
      </c>
      <c r="H9289" t="s">
        <v>9998</v>
      </c>
      <c r="I9289" t="s">
        <v>28714</v>
      </c>
      <c r="J9289" t="s">
        <v>34590</v>
      </c>
      <c r="K9289" t="s">
        <v>37209</v>
      </c>
      <c r="M9289" t="s">
        <v>40397</v>
      </c>
      <c r="N9289" t="s">
        <v>41249</v>
      </c>
      <c r="O9289" t="s">
        <v>41250</v>
      </c>
      <c r="P9289">
        <v>0</v>
      </c>
      <c r="Q9289">
        <v>48</v>
      </c>
      <c r="R9289" t="s">
        <v>41259</v>
      </c>
      <c r="S9289" t="s">
        <v>41562</v>
      </c>
      <c r="T9289" t="s">
        <v>42782</v>
      </c>
      <c r="U9289" t="s">
        <v>50468</v>
      </c>
      <c r="W9289" t="s">
        <v>40397</v>
      </c>
      <c r="X9289" t="s">
        <v>41260</v>
      </c>
    </row>
    <row r="9290" spans="1:24">
      <c r="A9290">
        <f>HYPERLINK("https://www.philgeps.gov.ph/GEPSNONPILOT/Tender/SplashBidNoticeAbstractUI.aspx?menuIndex=3&amp;refID=7063393&amp;Result=3","7063393")</f>
        <v>0</v>
      </c>
      <c r="B9290" t="s">
        <v>990</v>
      </c>
      <c r="C9290" t="s">
        <v>12248</v>
      </c>
      <c r="D9290" t="s">
        <v>16658</v>
      </c>
      <c r="E9290" t="s">
        <v>24788</v>
      </c>
      <c r="F9290" t="s">
        <v>28669</v>
      </c>
      <c r="G9290" t="s">
        <v>28675</v>
      </c>
      <c r="H9290" t="s">
        <v>28686</v>
      </c>
      <c r="I9290" t="s">
        <v>28689</v>
      </c>
      <c r="J9290" t="s">
        <v>34591</v>
      </c>
      <c r="K9290" t="s">
        <v>37209</v>
      </c>
      <c r="M9290" t="s">
        <v>38517</v>
      </c>
      <c r="N9290" t="s">
        <v>41249</v>
      </c>
      <c r="O9290" t="s">
        <v>41250</v>
      </c>
      <c r="P9290">
        <v>0</v>
      </c>
      <c r="Q9290">
        <v>1</v>
      </c>
      <c r="R9290" t="s">
        <v>41259</v>
      </c>
      <c r="S9290" t="s">
        <v>41562</v>
      </c>
      <c r="T9290" t="s">
        <v>42728</v>
      </c>
      <c r="U9290" t="s">
        <v>45220</v>
      </c>
      <c r="W9290" t="s">
        <v>38517</v>
      </c>
      <c r="X9290" t="s">
        <v>41260</v>
      </c>
    </row>
    <row r="9291" spans="1:24">
      <c r="A9291">
        <f>HYPERLINK("https://www.philgeps.gov.ph/GEPSNONPILOT/Tender/SplashBidNoticeAbstractUI.aspx?menuIndex=3&amp;refID=7063455&amp;Result=3","7063455")</f>
        <v>0</v>
      </c>
      <c r="B9291" t="s">
        <v>1302</v>
      </c>
      <c r="C9291" t="s">
        <v>12249</v>
      </c>
      <c r="D9291" t="s">
        <v>16608</v>
      </c>
      <c r="E9291" t="s">
        <v>24789</v>
      </c>
      <c r="F9291" t="s">
        <v>28669</v>
      </c>
      <c r="G9291" t="s">
        <v>28675</v>
      </c>
      <c r="H9291" t="s">
        <v>9998</v>
      </c>
      <c r="I9291" t="s">
        <v>28714</v>
      </c>
      <c r="J9291" t="s">
        <v>34592</v>
      </c>
      <c r="K9291" t="s">
        <v>37209</v>
      </c>
      <c r="M9291" t="s">
        <v>40397</v>
      </c>
      <c r="N9291" t="s">
        <v>41249</v>
      </c>
      <c r="O9291" t="s">
        <v>41250</v>
      </c>
      <c r="P9291">
        <v>0</v>
      </c>
      <c r="Q9291">
        <v>47</v>
      </c>
      <c r="R9291" t="s">
        <v>41259</v>
      </c>
      <c r="S9291" t="s">
        <v>41562</v>
      </c>
      <c r="T9291" t="s">
        <v>42782</v>
      </c>
      <c r="U9291" t="s">
        <v>50468</v>
      </c>
      <c r="W9291" t="s">
        <v>40397</v>
      </c>
      <c r="X9291" t="s">
        <v>41260</v>
      </c>
    </row>
    <row r="9292" spans="1:24">
      <c r="A9292">
        <f>HYPERLINK("https://www.philgeps.gov.ph/GEPSNONPILOT/Tender/SplashBidNoticeAbstractUI.aspx?menuIndex=3&amp;refID=7063443&amp;Result=3","7063443")</f>
        <v>0</v>
      </c>
      <c r="B9292" t="s">
        <v>2242</v>
      </c>
      <c r="C9292" t="s">
        <v>12250</v>
      </c>
      <c r="D9292" t="s">
        <v>16609</v>
      </c>
      <c r="E9292" t="s">
        <v>24790</v>
      </c>
      <c r="F9292" t="s">
        <v>28669</v>
      </c>
      <c r="G9292" t="s">
        <v>28676</v>
      </c>
      <c r="H9292" t="s">
        <v>28684</v>
      </c>
      <c r="I9292" t="s">
        <v>28788</v>
      </c>
      <c r="J9292" t="s">
        <v>29143</v>
      </c>
      <c r="K9292" t="s">
        <v>37205</v>
      </c>
      <c r="M9292" t="s">
        <v>39896</v>
      </c>
      <c r="N9292" t="s">
        <v>41249</v>
      </c>
      <c r="O9292" t="s">
        <v>41250</v>
      </c>
      <c r="P9292">
        <v>0</v>
      </c>
      <c r="Q9292">
        <v>2</v>
      </c>
      <c r="R9292" t="s">
        <v>41259</v>
      </c>
      <c r="S9292" t="s">
        <v>41562</v>
      </c>
      <c r="T9292" t="s">
        <v>42728</v>
      </c>
      <c r="U9292" t="s">
        <v>50693</v>
      </c>
      <c r="W9292" t="s">
        <v>39896</v>
      </c>
      <c r="X9292" t="s">
        <v>41260</v>
      </c>
    </row>
    <row r="9293" spans="1:24">
      <c r="A9293">
        <f>HYPERLINK("https://www.philgeps.gov.ph/GEPSNONPILOT/Tender/SplashBidNoticeAbstractUI.aspx?menuIndex=3&amp;refID=7063441&amp;Result=3","7063441")</f>
        <v>0</v>
      </c>
      <c r="B9293" t="s">
        <v>1600</v>
      </c>
      <c r="C9293" t="s">
        <v>12251</v>
      </c>
      <c r="D9293" t="s">
        <v>16608</v>
      </c>
      <c r="E9293" t="s">
        <v>24791</v>
      </c>
      <c r="F9293" t="s">
        <v>28669</v>
      </c>
      <c r="G9293" t="s">
        <v>28675</v>
      </c>
      <c r="H9293" t="s">
        <v>9998</v>
      </c>
      <c r="I9293" t="s">
        <v>28738</v>
      </c>
      <c r="J9293" t="s">
        <v>34593</v>
      </c>
      <c r="K9293" t="s">
        <v>37220</v>
      </c>
      <c r="M9293" t="s">
        <v>39183</v>
      </c>
      <c r="N9293" t="s">
        <v>41249</v>
      </c>
      <c r="O9293" t="s">
        <v>41250</v>
      </c>
      <c r="P9293">
        <v>0</v>
      </c>
      <c r="Q9293">
        <v>4</v>
      </c>
      <c r="R9293" t="s">
        <v>41259</v>
      </c>
      <c r="S9293" t="s">
        <v>41562</v>
      </c>
      <c r="T9293" t="s">
        <v>42929</v>
      </c>
      <c r="U9293" t="s">
        <v>50694</v>
      </c>
      <c r="V9293" t="s">
        <v>54738</v>
      </c>
      <c r="W9293" t="s">
        <v>39183</v>
      </c>
      <c r="X9293" t="s">
        <v>41260</v>
      </c>
    </row>
    <row r="9294" spans="1:24">
      <c r="A9294">
        <f>HYPERLINK("https://www.philgeps.gov.ph/GEPSNONPILOT/Tender/SplashBidNoticeAbstractUI.aspx?menuIndex=3&amp;refID=7063473&amp;Result=3","7063473")</f>
        <v>0</v>
      </c>
      <c r="B9294" t="s">
        <v>988</v>
      </c>
      <c r="C9294" t="s">
        <v>12252</v>
      </c>
      <c r="D9294" t="s">
        <v>16635</v>
      </c>
      <c r="E9294" t="s">
        <v>12252</v>
      </c>
      <c r="F9294" t="s">
        <v>28669</v>
      </c>
      <c r="G9294" t="s">
        <v>28677</v>
      </c>
      <c r="H9294" t="s">
        <v>9998</v>
      </c>
      <c r="I9294" t="s">
        <v>28704</v>
      </c>
      <c r="J9294" t="s">
        <v>34594</v>
      </c>
      <c r="K9294" t="s">
        <v>37206</v>
      </c>
      <c r="M9294" t="s">
        <v>40458</v>
      </c>
      <c r="N9294" t="s">
        <v>41249</v>
      </c>
      <c r="O9294" t="s">
        <v>41250</v>
      </c>
      <c r="P9294">
        <v>0</v>
      </c>
      <c r="Q9294">
        <v>0</v>
      </c>
      <c r="R9294" t="s">
        <v>41259</v>
      </c>
      <c r="S9294" t="s">
        <v>41562</v>
      </c>
      <c r="T9294" t="s">
        <v>42742</v>
      </c>
      <c r="U9294" t="s">
        <v>50695</v>
      </c>
      <c r="W9294" t="s">
        <v>40458</v>
      </c>
      <c r="X9294" t="s">
        <v>41260</v>
      </c>
    </row>
    <row r="9295" spans="1:24">
      <c r="A9295">
        <f>HYPERLINK("https://www.philgeps.gov.ph/GEPSNONPILOT/Tender/SplashBidNoticeAbstractUI.aspx?menuIndex=3&amp;refID=7063365&amp;Result=3","7063365")</f>
        <v>0</v>
      </c>
      <c r="B9295" t="s">
        <v>2739</v>
      </c>
      <c r="C9295" t="s">
        <v>12253</v>
      </c>
      <c r="D9295" t="s">
        <v>16654</v>
      </c>
      <c r="E9295" t="s">
        <v>24792</v>
      </c>
      <c r="F9295" t="s">
        <v>28669</v>
      </c>
      <c r="G9295" t="s">
        <v>28675</v>
      </c>
      <c r="H9295" t="s">
        <v>28686</v>
      </c>
      <c r="I9295" t="s">
        <v>28689</v>
      </c>
      <c r="J9295" t="s">
        <v>34595</v>
      </c>
      <c r="K9295" t="s">
        <v>37215</v>
      </c>
      <c r="L9295" t="s">
        <v>2739</v>
      </c>
      <c r="M9295" t="s">
        <v>40454</v>
      </c>
      <c r="N9295" t="s">
        <v>41249</v>
      </c>
      <c r="O9295" t="s">
        <v>41250</v>
      </c>
      <c r="P9295">
        <v>0</v>
      </c>
      <c r="Q9295">
        <v>1</v>
      </c>
      <c r="R9295" t="s">
        <v>41259</v>
      </c>
      <c r="S9295" t="s">
        <v>41562</v>
      </c>
      <c r="T9295" t="s">
        <v>42761</v>
      </c>
      <c r="U9295" t="s">
        <v>50633</v>
      </c>
      <c r="W9295" t="s">
        <v>40454</v>
      </c>
      <c r="X9295" t="s">
        <v>41260</v>
      </c>
    </row>
    <row r="9296" spans="1:24">
      <c r="A9296">
        <f>HYPERLINK("https://www.philgeps.gov.ph/GEPSNONPILOT/Tender/SplashBidNoticeAbstractUI.aspx?menuIndex=3&amp;refID=7063466&amp;Result=3","7063466")</f>
        <v>0</v>
      </c>
      <c r="B9296" t="s">
        <v>2304</v>
      </c>
      <c r="C9296" t="s">
        <v>12254</v>
      </c>
      <c r="D9296" t="s">
        <v>16671</v>
      </c>
      <c r="E9296" t="s">
        <v>24793</v>
      </c>
      <c r="F9296" t="s">
        <v>28669</v>
      </c>
      <c r="G9296" t="s">
        <v>28675</v>
      </c>
      <c r="H9296" t="s">
        <v>28686</v>
      </c>
      <c r="I9296" t="s">
        <v>28689</v>
      </c>
      <c r="J9296" t="s">
        <v>34596</v>
      </c>
      <c r="K9296" t="s">
        <v>37206</v>
      </c>
      <c r="M9296" t="s">
        <v>39963</v>
      </c>
      <c r="N9296" t="s">
        <v>41249</v>
      </c>
      <c r="O9296" t="s">
        <v>41250</v>
      </c>
      <c r="P9296">
        <v>0</v>
      </c>
      <c r="Q9296">
        <v>0</v>
      </c>
      <c r="R9296" t="s">
        <v>41259</v>
      </c>
      <c r="S9296" t="s">
        <v>41562</v>
      </c>
      <c r="T9296" t="s">
        <v>42739</v>
      </c>
      <c r="U9296" t="s">
        <v>50696</v>
      </c>
      <c r="W9296" t="s">
        <v>39963</v>
      </c>
      <c r="X9296" t="s">
        <v>41260</v>
      </c>
    </row>
    <row r="9297" spans="1:24">
      <c r="A9297">
        <f>HYPERLINK("https://www.philgeps.gov.ph/GEPSNONPILOT/Tender/SplashBidNoticeAbstractUI.aspx?menuIndex=3&amp;refID=7063338&amp;Result=3","7063338")</f>
        <v>0</v>
      </c>
      <c r="B9297" t="s">
        <v>2698</v>
      </c>
      <c r="C9297" t="s">
        <v>12255</v>
      </c>
      <c r="D9297" t="s">
        <v>16654</v>
      </c>
      <c r="E9297" t="s">
        <v>24794</v>
      </c>
      <c r="F9297" t="s">
        <v>28669</v>
      </c>
      <c r="G9297" t="s">
        <v>28675</v>
      </c>
      <c r="H9297" t="s">
        <v>9998</v>
      </c>
      <c r="I9297" t="s">
        <v>28693</v>
      </c>
      <c r="J9297" t="s">
        <v>29112</v>
      </c>
      <c r="K9297" t="s">
        <v>37221</v>
      </c>
      <c r="M9297" t="s">
        <v>40408</v>
      </c>
      <c r="N9297" t="s">
        <v>41249</v>
      </c>
      <c r="O9297" t="s">
        <v>41250</v>
      </c>
      <c r="P9297">
        <v>0</v>
      </c>
      <c r="Q9297">
        <v>3</v>
      </c>
      <c r="R9297" t="s">
        <v>41259</v>
      </c>
      <c r="S9297" t="s">
        <v>41562</v>
      </c>
      <c r="T9297" t="s">
        <v>42758</v>
      </c>
      <c r="U9297" t="s">
        <v>50697</v>
      </c>
      <c r="W9297" t="s">
        <v>40408</v>
      </c>
      <c r="X9297" t="s">
        <v>41260</v>
      </c>
    </row>
    <row r="9298" spans="1:24">
      <c r="A9298">
        <f>HYPERLINK("https://www.philgeps.gov.ph/GEPSNONPILOT/Tender/SplashBidNoticeAbstractUI.aspx?menuIndex=3&amp;refID=7063343&amp;Result=3","7063343")</f>
        <v>0</v>
      </c>
      <c r="B9298" t="s">
        <v>637</v>
      </c>
      <c r="C9298" t="s">
        <v>12256</v>
      </c>
      <c r="D9298" t="s">
        <v>16647</v>
      </c>
      <c r="E9298" t="s">
        <v>24795</v>
      </c>
      <c r="F9298" t="s">
        <v>28669</v>
      </c>
      <c r="G9298" t="s">
        <v>28676</v>
      </c>
      <c r="H9298" t="s">
        <v>9998</v>
      </c>
      <c r="I9298" t="s">
        <v>3679</v>
      </c>
      <c r="J9298" t="s">
        <v>34597</v>
      </c>
      <c r="K9298" t="s">
        <v>37213</v>
      </c>
      <c r="M9298" t="s">
        <v>38138</v>
      </c>
      <c r="N9298" t="s">
        <v>41249</v>
      </c>
      <c r="O9298" t="s">
        <v>41250</v>
      </c>
      <c r="P9298">
        <v>0</v>
      </c>
      <c r="Q9298">
        <v>0</v>
      </c>
      <c r="R9298" t="s">
        <v>41259</v>
      </c>
      <c r="S9298" t="s">
        <v>41562</v>
      </c>
      <c r="T9298" t="s">
        <v>42736</v>
      </c>
      <c r="U9298" t="s">
        <v>50698</v>
      </c>
      <c r="W9298" t="s">
        <v>38138</v>
      </c>
      <c r="X9298" t="s">
        <v>41260</v>
      </c>
    </row>
    <row r="9299" spans="1:24">
      <c r="A9299">
        <f>HYPERLINK("https://www.philgeps.gov.ph/GEPSNONPILOT/Tender/SplashBidNoticeAbstractUI.aspx?menuIndex=3&amp;refID=7063440&amp;Result=3","7063440")</f>
        <v>0</v>
      </c>
      <c r="B9299" t="s">
        <v>2748</v>
      </c>
      <c r="C9299" t="s">
        <v>12257</v>
      </c>
      <c r="D9299" t="s">
        <v>16661</v>
      </c>
      <c r="E9299" t="s">
        <v>24796</v>
      </c>
      <c r="F9299" t="s">
        <v>28671</v>
      </c>
      <c r="G9299" t="s">
        <v>28675</v>
      </c>
      <c r="H9299" t="s">
        <v>9998</v>
      </c>
      <c r="I9299" t="s">
        <v>28733</v>
      </c>
      <c r="J9299" t="s">
        <v>34598</v>
      </c>
      <c r="K9299" t="s">
        <v>37215</v>
      </c>
      <c r="M9299" t="s">
        <v>40465</v>
      </c>
      <c r="N9299" t="s">
        <v>41249</v>
      </c>
      <c r="O9299" t="s">
        <v>41250</v>
      </c>
      <c r="P9299">
        <v>0</v>
      </c>
      <c r="Q9299">
        <v>7</v>
      </c>
      <c r="R9299" t="s">
        <v>41259</v>
      </c>
      <c r="S9299" t="s">
        <v>41562</v>
      </c>
      <c r="T9299" t="s">
        <v>42676</v>
      </c>
      <c r="U9299" t="s">
        <v>50699</v>
      </c>
      <c r="V9299" t="s">
        <v>55289</v>
      </c>
      <c r="W9299" t="s">
        <v>40465</v>
      </c>
      <c r="X9299" t="s">
        <v>41260</v>
      </c>
    </row>
    <row r="9300" spans="1:24">
      <c r="A9300">
        <f>HYPERLINK("https://www.philgeps.gov.ph/GEPSNONPILOT/Tender/SplashBidNoticeAbstractUI.aspx?menuIndex=3&amp;refID=7063463&amp;Result=3","7063463")</f>
        <v>0</v>
      </c>
      <c r="B9300" t="s">
        <v>2739</v>
      </c>
      <c r="C9300" t="s">
        <v>12258</v>
      </c>
      <c r="D9300" t="s">
        <v>16654</v>
      </c>
      <c r="E9300" t="s">
        <v>24797</v>
      </c>
      <c r="F9300" t="s">
        <v>28669</v>
      </c>
      <c r="G9300" t="s">
        <v>28675</v>
      </c>
      <c r="H9300" t="s">
        <v>28686</v>
      </c>
      <c r="I9300" t="s">
        <v>28689</v>
      </c>
      <c r="J9300" t="s">
        <v>31640</v>
      </c>
      <c r="K9300" t="s">
        <v>37215</v>
      </c>
      <c r="L9300" t="s">
        <v>2739</v>
      </c>
      <c r="M9300" t="s">
        <v>40454</v>
      </c>
      <c r="N9300" t="s">
        <v>41249</v>
      </c>
      <c r="O9300" t="s">
        <v>41250</v>
      </c>
      <c r="P9300">
        <v>0</v>
      </c>
      <c r="Q9300">
        <v>0</v>
      </c>
      <c r="R9300" t="s">
        <v>41259</v>
      </c>
      <c r="S9300" t="s">
        <v>41562</v>
      </c>
      <c r="T9300" t="s">
        <v>42761</v>
      </c>
      <c r="U9300" t="s">
        <v>50633</v>
      </c>
      <c r="W9300" t="s">
        <v>40454</v>
      </c>
      <c r="X9300" t="s">
        <v>41260</v>
      </c>
    </row>
    <row r="9301" spans="1:24">
      <c r="A9301">
        <f>HYPERLINK("https://www.philgeps.gov.ph/GEPSNONPILOT/Tender/SplashBidNoticeAbstractUI.aspx?menuIndex=3&amp;refID=7063385&amp;Result=3","7063385")</f>
        <v>0</v>
      </c>
      <c r="B9301" t="s">
        <v>1302</v>
      </c>
      <c r="C9301" t="s">
        <v>12259</v>
      </c>
      <c r="D9301" t="s">
        <v>16608</v>
      </c>
      <c r="E9301" t="s">
        <v>24798</v>
      </c>
      <c r="F9301" t="s">
        <v>28669</v>
      </c>
      <c r="G9301" t="s">
        <v>28675</v>
      </c>
      <c r="H9301" t="s">
        <v>9998</v>
      </c>
      <c r="I9301" t="s">
        <v>28714</v>
      </c>
      <c r="J9301" t="s">
        <v>33025</v>
      </c>
      <c r="K9301" t="s">
        <v>37209</v>
      </c>
      <c r="M9301" t="s">
        <v>40397</v>
      </c>
      <c r="N9301" t="s">
        <v>41249</v>
      </c>
      <c r="O9301" t="s">
        <v>41250</v>
      </c>
      <c r="P9301">
        <v>0</v>
      </c>
      <c r="Q9301">
        <v>44</v>
      </c>
      <c r="R9301" t="s">
        <v>41259</v>
      </c>
      <c r="S9301" t="s">
        <v>41562</v>
      </c>
      <c r="T9301" t="s">
        <v>42782</v>
      </c>
      <c r="U9301" t="s">
        <v>50468</v>
      </c>
      <c r="W9301" t="s">
        <v>40397</v>
      </c>
      <c r="X9301" t="s">
        <v>41260</v>
      </c>
    </row>
    <row r="9302" spans="1:24">
      <c r="A9302">
        <f>HYPERLINK("https://www.philgeps.gov.ph/GEPSNONPILOT/Tender/SplashBidNoticeAbstractUI.aspx?menuIndex=3&amp;refID=7063461&amp;Result=3","7063461")</f>
        <v>0</v>
      </c>
      <c r="B9302" t="s">
        <v>327</v>
      </c>
      <c r="C9302" t="s">
        <v>12182</v>
      </c>
      <c r="D9302" t="s">
        <v>16682</v>
      </c>
      <c r="E9302" t="s">
        <v>24799</v>
      </c>
      <c r="F9302" t="s">
        <v>28669</v>
      </c>
      <c r="G9302" t="s">
        <v>28675</v>
      </c>
      <c r="H9302" t="s">
        <v>9998</v>
      </c>
      <c r="I9302" t="s">
        <v>28687</v>
      </c>
      <c r="J9302" t="s">
        <v>34599</v>
      </c>
      <c r="K9302" t="s">
        <v>37221</v>
      </c>
      <c r="M9302" t="s">
        <v>37807</v>
      </c>
      <c r="N9302" t="s">
        <v>41249</v>
      </c>
      <c r="O9302" t="s">
        <v>41250</v>
      </c>
      <c r="P9302">
        <v>0</v>
      </c>
      <c r="Q9302">
        <v>3</v>
      </c>
      <c r="R9302" t="s">
        <v>41259</v>
      </c>
      <c r="S9302" t="s">
        <v>41562</v>
      </c>
      <c r="T9302" t="s">
        <v>42881</v>
      </c>
      <c r="U9302" t="s">
        <v>50641</v>
      </c>
      <c r="V9302" t="s">
        <v>54328</v>
      </c>
      <c r="W9302" t="s">
        <v>37807</v>
      </c>
      <c r="X9302" t="s">
        <v>41260</v>
      </c>
    </row>
    <row r="9303" spans="1:24">
      <c r="A9303">
        <f>HYPERLINK("https://www.philgeps.gov.ph/GEPSNONPILOT/Tender/SplashBidNoticeAbstractUI.aspx?menuIndex=3&amp;refID=7063459&amp;Result=3","7063459")</f>
        <v>0</v>
      </c>
      <c r="B9303" t="s">
        <v>988</v>
      </c>
      <c r="C9303" t="s">
        <v>12260</v>
      </c>
      <c r="D9303" t="s">
        <v>16635</v>
      </c>
      <c r="E9303" t="s">
        <v>12260</v>
      </c>
      <c r="F9303" t="s">
        <v>28669</v>
      </c>
      <c r="G9303" t="s">
        <v>28677</v>
      </c>
      <c r="H9303" t="s">
        <v>9998</v>
      </c>
      <c r="I9303" t="s">
        <v>28704</v>
      </c>
      <c r="J9303" t="s">
        <v>34600</v>
      </c>
      <c r="K9303" t="s">
        <v>37206</v>
      </c>
      <c r="M9303" t="s">
        <v>40458</v>
      </c>
      <c r="N9303" t="s">
        <v>41249</v>
      </c>
      <c r="O9303" t="s">
        <v>41250</v>
      </c>
      <c r="P9303">
        <v>0</v>
      </c>
      <c r="Q9303">
        <v>0</v>
      </c>
      <c r="R9303" t="s">
        <v>41259</v>
      </c>
      <c r="S9303" t="s">
        <v>41562</v>
      </c>
      <c r="T9303" t="s">
        <v>42876</v>
      </c>
      <c r="U9303" t="s">
        <v>50700</v>
      </c>
      <c r="W9303" t="s">
        <v>40458</v>
      </c>
      <c r="X9303" t="s">
        <v>41260</v>
      </c>
    </row>
    <row r="9304" spans="1:24">
      <c r="A9304">
        <f>HYPERLINK("https://www.philgeps.gov.ph/GEPSNONPILOT/Tender/SplashBidNoticeAbstractUI.aspx?menuIndex=3&amp;refID=7063457&amp;Result=3","7063457")</f>
        <v>0</v>
      </c>
      <c r="B9304" t="s">
        <v>849</v>
      </c>
      <c r="C9304" t="s">
        <v>12139</v>
      </c>
      <c r="D9304" t="s">
        <v>16626</v>
      </c>
      <c r="E9304" t="s">
        <v>24800</v>
      </c>
      <c r="F9304" t="s">
        <v>28669</v>
      </c>
      <c r="G9304" t="s">
        <v>28676</v>
      </c>
      <c r="H9304" t="s">
        <v>9998</v>
      </c>
      <c r="I9304" t="s">
        <v>7352</v>
      </c>
      <c r="J9304" t="s">
        <v>28879</v>
      </c>
      <c r="K9304" t="s">
        <v>37209</v>
      </c>
      <c r="M9304" t="s">
        <v>38365</v>
      </c>
      <c r="N9304" t="s">
        <v>41249</v>
      </c>
      <c r="O9304" t="s">
        <v>41250</v>
      </c>
      <c r="P9304">
        <v>0</v>
      </c>
      <c r="Q9304">
        <v>0</v>
      </c>
      <c r="R9304" t="s">
        <v>41259</v>
      </c>
      <c r="S9304" t="s">
        <v>41562</v>
      </c>
      <c r="T9304" t="s">
        <v>42938</v>
      </c>
      <c r="U9304" t="s">
        <v>50611</v>
      </c>
      <c r="W9304" t="s">
        <v>38365</v>
      </c>
      <c r="X9304" t="s">
        <v>41260</v>
      </c>
    </row>
    <row r="9305" spans="1:24">
      <c r="A9305">
        <f>HYPERLINK("https://www.philgeps.gov.ph/GEPSNONPILOT/Tender/SplashBidNoticeAbstractUI.aspx?menuIndex=3&amp;refID=7063438&amp;Result=3","7063438")</f>
        <v>0</v>
      </c>
      <c r="B9305" t="s">
        <v>1340</v>
      </c>
      <c r="C9305" t="s">
        <v>12261</v>
      </c>
      <c r="D9305" t="s">
        <v>16621</v>
      </c>
      <c r="E9305" t="s">
        <v>24801</v>
      </c>
      <c r="F9305" t="s">
        <v>28669</v>
      </c>
      <c r="G9305" t="s">
        <v>28675</v>
      </c>
      <c r="H9305" t="s">
        <v>28686</v>
      </c>
      <c r="I9305" t="s">
        <v>28689</v>
      </c>
      <c r="J9305" t="s">
        <v>34601</v>
      </c>
      <c r="K9305" t="s">
        <v>37220</v>
      </c>
      <c r="M9305" t="s">
        <v>40372</v>
      </c>
      <c r="N9305" t="s">
        <v>41249</v>
      </c>
      <c r="O9305" t="s">
        <v>41250</v>
      </c>
      <c r="P9305">
        <v>0</v>
      </c>
      <c r="Q9305">
        <v>0</v>
      </c>
      <c r="R9305" t="s">
        <v>41259</v>
      </c>
      <c r="S9305" t="s">
        <v>41562</v>
      </c>
      <c r="T9305" t="s">
        <v>42911</v>
      </c>
      <c r="U9305" t="s">
        <v>50639</v>
      </c>
      <c r="V9305" t="s">
        <v>55245</v>
      </c>
      <c r="W9305" t="s">
        <v>40372</v>
      </c>
      <c r="X9305" t="s">
        <v>41260</v>
      </c>
    </row>
    <row r="9306" spans="1:24">
      <c r="A9306">
        <f>HYPERLINK("https://www.philgeps.gov.ph/GEPSNONPILOT/Tender/SplashBidNoticeAbstractUI.aspx?menuIndex=3&amp;refID=7063315&amp;Result=3","7063315")</f>
        <v>0</v>
      </c>
      <c r="B9306" t="s">
        <v>988</v>
      </c>
      <c r="C9306" t="s">
        <v>12262</v>
      </c>
      <c r="D9306" t="s">
        <v>16635</v>
      </c>
      <c r="E9306" t="s">
        <v>12262</v>
      </c>
      <c r="F9306" t="s">
        <v>28669</v>
      </c>
      <c r="G9306" t="s">
        <v>28677</v>
      </c>
      <c r="H9306" t="s">
        <v>9998</v>
      </c>
      <c r="I9306" t="s">
        <v>11142</v>
      </c>
      <c r="J9306" t="s">
        <v>34602</v>
      </c>
      <c r="K9306" t="s">
        <v>37206</v>
      </c>
      <c r="M9306" t="s">
        <v>40458</v>
      </c>
      <c r="N9306" t="s">
        <v>41249</v>
      </c>
      <c r="O9306" t="s">
        <v>41250</v>
      </c>
      <c r="P9306">
        <v>0</v>
      </c>
      <c r="Q9306">
        <v>5</v>
      </c>
      <c r="R9306" t="s">
        <v>41259</v>
      </c>
      <c r="S9306" t="s">
        <v>41562</v>
      </c>
      <c r="T9306" t="s">
        <v>42876</v>
      </c>
      <c r="U9306" t="s">
        <v>50679</v>
      </c>
      <c r="W9306" t="s">
        <v>40458</v>
      </c>
      <c r="X9306" t="s">
        <v>41260</v>
      </c>
    </row>
    <row r="9307" spans="1:24">
      <c r="A9307">
        <f>HYPERLINK("https://www.philgeps.gov.ph/GEPSNONPILOT/Tender/SplashBidNoticeAbstractUI.aspx?menuIndex=3&amp;refID=7063435&amp;Result=3","7063435")</f>
        <v>0</v>
      </c>
      <c r="B9307" t="s">
        <v>2746</v>
      </c>
      <c r="C9307" t="s">
        <v>12263</v>
      </c>
      <c r="D9307" t="s">
        <v>16622</v>
      </c>
      <c r="E9307" t="s">
        <v>24802</v>
      </c>
      <c r="F9307" t="s">
        <v>28669</v>
      </c>
      <c r="G9307" t="s">
        <v>28675</v>
      </c>
      <c r="H9307" t="s">
        <v>28686</v>
      </c>
      <c r="I9307" t="s">
        <v>28689</v>
      </c>
      <c r="J9307" t="s">
        <v>34603</v>
      </c>
      <c r="K9307" t="s">
        <v>37334</v>
      </c>
      <c r="M9307" t="s">
        <v>40463</v>
      </c>
      <c r="N9307" t="s">
        <v>41249</v>
      </c>
      <c r="O9307" t="s">
        <v>41250</v>
      </c>
      <c r="P9307">
        <v>0</v>
      </c>
      <c r="Q9307">
        <v>1</v>
      </c>
      <c r="R9307" t="s">
        <v>41259</v>
      </c>
      <c r="S9307" t="s">
        <v>41562</v>
      </c>
      <c r="T9307" t="s">
        <v>42755</v>
      </c>
      <c r="U9307" t="s">
        <v>50701</v>
      </c>
      <c r="W9307" t="s">
        <v>40463</v>
      </c>
      <c r="X9307" t="s">
        <v>41260</v>
      </c>
    </row>
    <row r="9308" spans="1:24">
      <c r="A9308">
        <f>HYPERLINK("https://www.philgeps.gov.ph/GEPSNONPILOT/Tender/SplashBidNoticeAbstractUI.aspx?menuIndex=3&amp;refID=7063478&amp;Result=3","7063478")</f>
        <v>0</v>
      </c>
      <c r="B9308" t="s">
        <v>1091</v>
      </c>
      <c r="C9308" t="s">
        <v>12264</v>
      </c>
      <c r="D9308" t="s">
        <v>16620</v>
      </c>
      <c r="E9308" t="s">
        <v>24803</v>
      </c>
      <c r="F9308" t="s">
        <v>28669</v>
      </c>
      <c r="G9308" t="s">
        <v>28675</v>
      </c>
      <c r="H9308" t="s">
        <v>9998</v>
      </c>
      <c r="I9308" t="s">
        <v>11142</v>
      </c>
      <c r="J9308" t="s">
        <v>31881</v>
      </c>
      <c r="K9308" t="s">
        <v>37210</v>
      </c>
      <c r="M9308" t="s">
        <v>38623</v>
      </c>
      <c r="N9308" t="s">
        <v>41249</v>
      </c>
      <c r="O9308" t="s">
        <v>41250</v>
      </c>
      <c r="P9308">
        <v>0</v>
      </c>
      <c r="Q9308">
        <v>0</v>
      </c>
      <c r="R9308" t="s">
        <v>41259</v>
      </c>
      <c r="S9308" t="s">
        <v>41562</v>
      </c>
      <c r="T9308" t="s">
        <v>42876</v>
      </c>
      <c r="U9308" t="s">
        <v>45422</v>
      </c>
      <c r="W9308" t="s">
        <v>38623</v>
      </c>
      <c r="X9308" t="s">
        <v>41260</v>
      </c>
    </row>
    <row r="9309" spans="1:24">
      <c r="A9309">
        <f>HYPERLINK("https://www.philgeps.gov.ph/GEPSNONPILOT/Tender/SplashBidNoticeAbstractUI.aspx?menuIndex=3&amp;refID=7063465&amp;Result=3","7063465")</f>
        <v>0</v>
      </c>
      <c r="B9309" t="s">
        <v>986</v>
      </c>
      <c r="C9309" t="s">
        <v>12265</v>
      </c>
      <c r="D9309" t="s">
        <v>16620</v>
      </c>
      <c r="E9309" t="s">
        <v>24804</v>
      </c>
      <c r="F9309" t="s">
        <v>28669</v>
      </c>
      <c r="G9309" t="s">
        <v>28675</v>
      </c>
      <c r="H9309" t="s">
        <v>9998</v>
      </c>
      <c r="I9309" t="s">
        <v>28695</v>
      </c>
      <c r="J9309" t="s">
        <v>34604</v>
      </c>
      <c r="K9309" t="s">
        <v>37206</v>
      </c>
      <c r="M9309" t="s">
        <v>38511</v>
      </c>
      <c r="N9309" t="s">
        <v>41249</v>
      </c>
      <c r="O9309" t="s">
        <v>41250</v>
      </c>
      <c r="P9309">
        <v>0</v>
      </c>
      <c r="Q9309">
        <v>0</v>
      </c>
      <c r="R9309" t="s">
        <v>41259</v>
      </c>
      <c r="S9309" t="s">
        <v>41562</v>
      </c>
      <c r="T9309" t="s">
        <v>42755</v>
      </c>
      <c r="U9309" t="s">
        <v>50702</v>
      </c>
      <c r="V9309" t="s">
        <v>54542</v>
      </c>
      <c r="W9309" t="s">
        <v>38511</v>
      </c>
      <c r="X9309" t="s">
        <v>41260</v>
      </c>
    </row>
    <row r="9310" spans="1:24">
      <c r="A9310">
        <f>HYPERLINK("https://www.philgeps.gov.ph/GEPSNONPILOT/Tender/SplashBidNoticeAbstractUI.aspx?menuIndex=3&amp;refID=7063523&amp;Result=3","7063523")</f>
        <v>0</v>
      </c>
      <c r="B9310" t="s">
        <v>1302</v>
      </c>
      <c r="C9310" t="s">
        <v>12266</v>
      </c>
      <c r="D9310" t="s">
        <v>16608</v>
      </c>
      <c r="E9310" t="s">
        <v>24805</v>
      </c>
      <c r="F9310" t="s">
        <v>28669</v>
      </c>
      <c r="G9310" t="s">
        <v>28675</v>
      </c>
      <c r="H9310" t="s">
        <v>9998</v>
      </c>
      <c r="I9310" t="s">
        <v>28714</v>
      </c>
      <c r="J9310" t="s">
        <v>32766</v>
      </c>
      <c r="K9310" t="s">
        <v>37209</v>
      </c>
      <c r="M9310" t="s">
        <v>40397</v>
      </c>
      <c r="N9310" t="s">
        <v>41249</v>
      </c>
      <c r="O9310" t="s">
        <v>41250</v>
      </c>
      <c r="P9310">
        <v>0</v>
      </c>
      <c r="Q9310">
        <v>62</v>
      </c>
      <c r="R9310" t="s">
        <v>41259</v>
      </c>
      <c r="S9310" t="s">
        <v>41562</v>
      </c>
      <c r="T9310" t="s">
        <v>42782</v>
      </c>
      <c r="U9310" t="s">
        <v>50468</v>
      </c>
      <c r="W9310" t="s">
        <v>40397</v>
      </c>
      <c r="X9310" t="s">
        <v>41260</v>
      </c>
    </row>
    <row r="9311" spans="1:24">
      <c r="A9311">
        <f>HYPERLINK("https://www.philgeps.gov.ph/GEPSNONPILOT/Tender/SplashBidNoticeAbstractUI.aspx?menuIndex=3&amp;refID=7063534&amp;Result=3","7063534")</f>
        <v>0</v>
      </c>
      <c r="B9311" t="s">
        <v>2746</v>
      </c>
      <c r="C9311" t="s">
        <v>12267</v>
      </c>
      <c r="D9311" t="s">
        <v>16622</v>
      </c>
      <c r="E9311" t="s">
        <v>24806</v>
      </c>
      <c r="F9311" t="s">
        <v>28669</v>
      </c>
      <c r="G9311" t="s">
        <v>28675</v>
      </c>
      <c r="H9311" t="s">
        <v>28686</v>
      </c>
      <c r="I9311" t="s">
        <v>28689</v>
      </c>
      <c r="J9311" t="s">
        <v>34605</v>
      </c>
      <c r="K9311" t="s">
        <v>37334</v>
      </c>
      <c r="M9311" t="s">
        <v>40463</v>
      </c>
      <c r="N9311" t="s">
        <v>41249</v>
      </c>
      <c r="O9311" t="s">
        <v>41250</v>
      </c>
      <c r="P9311">
        <v>0</v>
      </c>
      <c r="Q9311">
        <v>0</v>
      </c>
      <c r="R9311" t="s">
        <v>41259</v>
      </c>
      <c r="S9311" t="s">
        <v>41562</v>
      </c>
      <c r="T9311" t="s">
        <v>42755</v>
      </c>
      <c r="U9311" t="s">
        <v>50703</v>
      </c>
      <c r="W9311" t="s">
        <v>40463</v>
      </c>
      <c r="X9311" t="s">
        <v>41260</v>
      </c>
    </row>
    <row r="9312" spans="1:24">
      <c r="A9312">
        <f>HYPERLINK("https://www.philgeps.gov.ph/GEPSNONPILOT/Tender/SplashBidNoticeAbstractUI.aspx?menuIndex=3&amp;refID=7063530&amp;Result=3","7063530")</f>
        <v>0</v>
      </c>
      <c r="B9312" t="s">
        <v>2749</v>
      </c>
      <c r="C9312" t="s">
        <v>12268</v>
      </c>
      <c r="D9312" t="s">
        <v>16641</v>
      </c>
      <c r="E9312" t="s">
        <v>24807</v>
      </c>
      <c r="F9312" t="s">
        <v>28669</v>
      </c>
      <c r="G9312" t="s">
        <v>28676</v>
      </c>
      <c r="H9312" t="s">
        <v>9998</v>
      </c>
      <c r="I9312" t="s">
        <v>28722</v>
      </c>
      <c r="J9312" t="s">
        <v>29304</v>
      </c>
      <c r="K9312" t="s">
        <v>37205</v>
      </c>
      <c r="M9312" t="s">
        <v>40466</v>
      </c>
      <c r="N9312" t="s">
        <v>41249</v>
      </c>
      <c r="O9312" t="s">
        <v>41250</v>
      </c>
      <c r="P9312">
        <v>0</v>
      </c>
      <c r="Q9312">
        <v>5</v>
      </c>
      <c r="R9312" t="s">
        <v>41259</v>
      </c>
      <c r="S9312" t="s">
        <v>41562</v>
      </c>
      <c r="T9312" t="s">
        <v>42757</v>
      </c>
      <c r="U9312" t="s">
        <v>50704</v>
      </c>
      <c r="W9312" t="s">
        <v>40466</v>
      </c>
      <c r="X9312" t="s">
        <v>41260</v>
      </c>
    </row>
    <row r="9313" spans="1:24">
      <c r="A9313">
        <f>HYPERLINK("https://www.philgeps.gov.ph/GEPSNONPILOT/Tender/SplashBidNoticeAbstractUI.aspx?menuIndex=3&amp;refID=7063517&amp;Result=3","7063517")</f>
        <v>0</v>
      </c>
      <c r="B9313" t="s">
        <v>2739</v>
      </c>
      <c r="C9313" t="s">
        <v>12269</v>
      </c>
      <c r="D9313" t="s">
        <v>16654</v>
      </c>
      <c r="E9313" t="s">
        <v>24808</v>
      </c>
      <c r="F9313" t="s">
        <v>28669</v>
      </c>
      <c r="G9313" t="s">
        <v>28675</v>
      </c>
      <c r="H9313" t="s">
        <v>28686</v>
      </c>
      <c r="I9313" t="s">
        <v>28689</v>
      </c>
      <c r="J9313" t="s">
        <v>31640</v>
      </c>
      <c r="K9313" t="s">
        <v>37215</v>
      </c>
      <c r="L9313" t="s">
        <v>2739</v>
      </c>
      <c r="M9313" t="s">
        <v>40454</v>
      </c>
      <c r="N9313" t="s">
        <v>41249</v>
      </c>
      <c r="O9313" t="s">
        <v>41250</v>
      </c>
      <c r="P9313">
        <v>0</v>
      </c>
      <c r="Q9313">
        <v>1</v>
      </c>
      <c r="R9313" t="s">
        <v>41259</v>
      </c>
      <c r="S9313" t="s">
        <v>41562</v>
      </c>
      <c r="T9313" t="s">
        <v>42761</v>
      </c>
      <c r="U9313" t="s">
        <v>50633</v>
      </c>
      <c r="W9313" t="s">
        <v>40454</v>
      </c>
      <c r="X9313" t="s">
        <v>41260</v>
      </c>
    </row>
    <row r="9314" spans="1:24">
      <c r="A9314">
        <f>HYPERLINK("https://www.philgeps.gov.ph/GEPSNONPILOT/Tender/SplashBidNoticeAbstractUI.aspx?menuIndex=3&amp;refID=7063439&amp;Result=3","7063439")</f>
        <v>0</v>
      </c>
      <c r="B9314" t="s">
        <v>988</v>
      </c>
      <c r="C9314" t="s">
        <v>12270</v>
      </c>
      <c r="D9314" t="s">
        <v>16635</v>
      </c>
      <c r="E9314" t="s">
        <v>12270</v>
      </c>
      <c r="F9314" t="s">
        <v>28669</v>
      </c>
      <c r="G9314" t="s">
        <v>28677</v>
      </c>
      <c r="H9314" t="s">
        <v>9998</v>
      </c>
      <c r="I9314" t="s">
        <v>28704</v>
      </c>
      <c r="J9314" t="s">
        <v>34606</v>
      </c>
      <c r="K9314" t="s">
        <v>37206</v>
      </c>
      <c r="M9314" t="s">
        <v>40458</v>
      </c>
      <c r="N9314" t="s">
        <v>41249</v>
      </c>
      <c r="O9314" t="s">
        <v>41250</v>
      </c>
      <c r="P9314">
        <v>0</v>
      </c>
      <c r="Q9314">
        <v>0</v>
      </c>
      <c r="R9314" t="s">
        <v>41259</v>
      </c>
      <c r="S9314" t="s">
        <v>41562</v>
      </c>
      <c r="T9314" t="s">
        <v>42814</v>
      </c>
      <c r="U9314" t="s">
        <v>50705</v>
      </c>
      <c r="W9314" t="s">
        <v>40458</v>
      </c>
      <c r="X9314" t="s">
        <v>41260</v>
      </c>
    </row>
    <row r="9315" spans="1:24">
      <c r="A9315">
        <f>HYPERLINK("https://www.philgeps.gov.ph/GEPSNONPILOT/Tender/SplashBidNoticeAbstractUI.aspx?menuIndex=3&amp;refID=7063460&amp;Result=3","7063460")</f>
        <v>0</v>
      </c>
      <c r="B9315" t="s">
        <v>2746</v>
      </c>
      <c r="C9315" t="s">
        <v>12271</v>
      </c>
      <c r="D9315" t="s">
        <v>16622</v>
      </c>
      <c r="E9315" t="s">
        <v>24809</v>
      </c>
      <c r="F9315" t="s">
        <v>28669</v>
      </c>
      <c r="G9315" t="s">
        <v>28675</v>
      </c>
      <c r="H9315" t="s">
        <v>28685</v>
      </c>
      <c r="I9315" t="s">
        <v>28689</v>
      </c>
      <c r="J9315" t="s">
        <v>34607</v>
      </c>
      <c r="K9315" t="s">
        <v>37334</v>
      </c>
      <c r="M9315" t="s">
        <v>40463</v>
      </c>
      <c r="N9315" t="s">
        <v>41249</v>
      </c>
      <c r="O9315" t="s">
        <v>41250</v>
      </c>
      <c r="P9315">
        <v>0</v>
      </c>
      <c r="Q9315">
        <v>0</v>
      </c>
      <c r="R9315" t="s">
        <v>41259</v>
      </c>
      <c r="S9315" t="s">
        <v>41562</v>
      </c>
      <c r="T9315" t="s">
        <v>42755</v>
      </c>
      <c r="U9315" t="s">
        <v>50706</v>
      </c>
      <c r="W9315" t="s">
        <v>40463</v>
      </c>
      <c r="X9315" t="s">
        <v>41260</v>
      </c>
    </row>
    <row r="9316" spans="1:24">
      <c r="A9316">
        <f>HYPERLINK("https://www.philgeps.gov.ph/GEPSNONPILOT/Tender/SplashBidNoticeAbstractUI.aspx?menuIndex=3&amp;refID=7063515&amp;Result=3","7063515")</f>
        <v>0</v>
      </c>
      <c r="B9316" t="s">
        <v>2295</v>
      </c>
      <c r="C9316" t="s">
        <v>12272</v>
      </c>
      <c r="D9316" t="s">
        <v>16630</v>
      </c>
      <c r="E9316" t="s">
        <v>24810</v>
      </c>
      <c r="F9316" t="s">
        <v>28669</v>
      </c>
      <c r="G9316" t="s">
        <v>28682</v>
      </c>
      <c r="H9316" t="s">
        <v>9998</v>
      </c>
      <c r="I9316" t="s">
        <v>28706</v>
      </c>
      <c r="J9316" t="s">
        <v>29035</v>
      </c>
      <c r="K9316" t="s">
        <v>37206</v>
      </c>
      <c r="M9316" t="s">
        <v>39952</v>
      </c>
      <c r="N9316" t="s">
        <v>41249</v>
      </c>
      <c r="O9316" t="s">
        <v>41250</v>
      </c>
      <c r="P9316">
        <v>0</v>
      </c>
      <c r="Q9316">
        <v>3</v>
      </c>
      <c r="R9316" t="s">
        <v>41259</v>
      </c>
      <c r="S9316" t="s">
        <v>41562</v>
      </c>
      <c r="T9316" t="s">
        <v>42760</v>
      </c>
      <c r="U9316" t="s">
        <v>50707</v>
      </c>
      <c r="V9316" t="s">
        <v>55290</v>
      </c>
      <c r="W9316" t="s">
        <v>39952</v>
      </c>
      <c r="X9316" t="s">
        <v>41260</v>
      </c>
    </row>
    <row r="9317" spans="1:24">
      <c r="A9317">
        <f>HYPERLINK("https://www.philgeps.gov.ph/GEPSNONPILOT/Tender/SplashBidNoticeAbstractUI.aspx?menuIndex=3&amp;refID=7063511&amp;Result=3","7063511")</f>
        <v>0</v>
      </c>
      <c r="B9317" t="s">
        <v>2750</v>
      </c>
      <c r="C9317" t="s">
        <v>12273</v>
      </c>
      <c r="D9317" t="s">
        <v>16643</v>
      </c>
      <c r="E9317" t="s">
        <v>24811</v>
      </c>
      <c r="F9317" t="s">
        <v>28669</v>
      </c>
      <c r="G9317" t="s">
        <v>28676</v>
      </c>
      <c r="H9317" t="s">
        <v>9998</v>
      </c>
      <c r="I9317" t="s">
        <v>28690</v>
      </c>
      <c r="J9317" t="s">
        <v>34608</v>
      </c>
      <c r="K9317" t="s">
        <v>37210</v>
      </c>
      <c r="L9317" t="s">
        <v>2750</v>
      </c>
      <c r="M9317" t="s">
        <v>40467</v>
      </c>
      <c r="N9317" t="s">
        <v>41249</v>
      </c>
      <c r="O9317" t="s">
        <v>41250</v>
      </c>
      <c r="P9317">
        <v>0</v>
      </c>
      <c r="Q9317">
        <v>3</v>
      </c>
      <c r="R9317" t="s">
        <v>41259</v>
      </c>
      <c r="S9317" t="s">
        <v>41562</v>
      </c>
      <c r="T9317" t="s">
        <v>42883</v>
      </c>
      <c r="U9317" t="s">
        <v>50708</v>
      </c>
      <c r="W9317" t="s">
        <v>40467</v>
      </c>
      <c r="X9317" t="s">
        <v>41260</v>
      </c>
    </row>
    <row r="9318" spans="1:24">
      <c r="A9318">
        <f>HYPERLINK("https://www.philgeps.gov.ph/GEPSNONPILOT/Tender/SplashBidNoticeAbstractUI.aspx?menuIndex=3&amp;refID=7063462&amp;Result=3","7063462")</f>
        <v>0</v>
      </c>
      <c r="B9318" t="s">
        <v>700</v>
      </c>
      <c r="C9318" t="s">
        <v>12274</v>
      </c>
      <c r="D9318" t="s">
        <v>16620</v>
      </c>
      <c r="E9318" t="s">
        <v>24812</v>
      </c>
      <c r="F9318" t="s">
        <v>28669</v>
      </c>
      <c r="G9318" t="s">
        <v>28675</v>
      </c>
      <c r="H9318" t="s">
        <v>28686</v>
      </c>
      <c r="I9318" t="s">
        <v>28689</v>
      </c>
      <c r="J9318" t="s">
        <v>34609</v>
      </c>
      <c r="K9318" t="s">
        <v>37212</v>
      </c>
      <c r="M9318" t="s">
        <v>40468</v>
      </c>
      <c r="N9318" t="s">
        <v>41249</v>
      </c>
      <c r="O9318" t="s">
        <v>41250</v>
      </c>
      <c r="P9318">
        <v>0</v>
      </c>
      <c r="Q9318">
        <v>0</v>
      </c>
      <c r="R9318" t="s">
        <v>41259</v>
      </c>
      <c r="S9318" t="s">
        <v>41562</v>
      </c>
      <c r="T9318" t="s">
        <v>42760</v>
      </c>
      <c r="U9318" t="s">
        <v>50709</v>
      </c>
      <c r="V9318" t="s">
        <v>55291</v>
      </c>
      <c r="W9318" t="s">
        <v>40468</v>
      </c>
      <c r="X9318" t="s">
        <v>41260</v>
      </c>
    </row>
    <row r="9319" spans="1:24">
      <c r="A9319">
        <f>HYPERLINK("https://www.philgeps.gov.ph/GEPSNONPILOT/Tender/SplashBidNoticeAbstractUI.aspx?menuIndex=3&amp;refID=7063510&amp;Result=3","7063510")</f>
        <v>0</v>
      </c>
      <c r="B9319" t="s">
        <v>394</v>
      </c>
      <c r="C9319" t="s">
        <v>12275</v>
      </c>
      <c r="D9319" t="s">
        <v>16675</v>
      </c>
      <c r="E9319" t="s">
        <v>24813</v>
      </c>
      <c r="F9319" t="s">
        <v>28669</v>
      </c>
      <c r="G9319" t="s">
        <v>28675</v>
      </c>
      <c r="H9319" t="s">
        <v>9998</v>
      </c>
      <c r="I9319" t="s">
        <v>5286</v>
      </c>
      <c r="J9319" t="s">
        <v>34610</v>
      </c>
      <c r="K9319" t="s">
        <v>37210</v>
      </c>
      <c r="L9319" t="s">
        <v>394</v>
      </c>
      <c r="M9319" t="s">
        <v>37878</v>
      </c>
      <c r="N9319" t="s">
        <v>41249</v>
      </c>
      <c r="O9319" t="s">
        <v>41250</v>
      </c>
      <c r="P9319">
        <v>0</v>
      </c>
      <c r="Q9319">
        <v>8</v>
      </c>
      <c r="R9319" t="s">
        <v>41259</v>
      </c>
      <c r="S9319" t="s">
        <v>41562</v>
      </c>
      <c r="T9319" t="s">
        <v>42755</v>
      </c>
      <c r="U9319" t="s">
        <v>43891</v>
      </c>
      <c r="V9319" t="s">
        <v>55282</v>
      </c>
      <c r="W9319" t="s">
        <v>37878</v>
      </c>
      <c r="X9319" t="s">
        <v>41260</v>
      </c>
    </row>
    <row r="9320" spans="1:24">
      <c r="A9320">
        <f>HYPERLINK("https://www.philgeps.gov.ph/GEPSNONPILOT/Tender/SplashBidNoticeAbstractUI.aspx?menuIndex=3&amp;refID=7063529&amp;Result=3","7063529")</f>
        <v>0</v>
      </c>
      <c r="B9320" t="s">
        <v>988</v>
      </c>
      <c r="C9320" t="s">
        <v>12276</v>
      </c>
      <c r="D9320" t="s">
        <v>16635</v>
      </c>
      <c r="E9320" t="s">
        <v>12276</v>
      </c>
      <c r="F9320" t="s">
        <v>28669</v>
      </c>
      <c r="G9320" t="s">
        <v>28677</v>
      </c>
      <c r="H9320" t="s">
        <v>9998</v>
      </c>
      <c r="I9320" t="s">
        <v>28704</v>
      </c>
      <c r="J9320" t="s">
        <v>34611</v>
      </c>
      <c r="K9320" t="s">
        <v>37206</v>
      </c>
      <c r="M9320" t="s">
        <v>40458</v>
      </c>
      <c r="N9320" t="s">
        <v>41249</v>
      </c>
      <c r="O9320" t="s">
        <v>41250</v>
      </c>
      <c r="P9320">
        <v>0</v>
      </c>
      <c r="Q9320">
        <v>0</v>
      </c>
      <c r="R9320" t="s">
        <v>41259</v>
      </c>
      <c r="S9320" t="s">
        <v>41562</v>
      </c>
      <c r="T9320" t="s">
        <v>42876</v>
      </c>
      <c r="U9320" t="s">
        <v>50710</v>
      </c>
      <c r="W9320" t="s">
        <v>40458</v>
      </c>
      <c r="X9320" t="s">
        <v>41260</v>
      </c>
    </row>
    <row r="9321" spans="1:24">
      <c r="A9321">
        <f>HYPERLINK("https://www.philgeps.gov.ph/GEPSNONPILOT/Tender/SplashBidNoticeAbstractUI.aspx?menuIndex=3&amp;refID=7063505&amp;Result=3","7063505")</f>
        <v>0</v>
      </c>
      <c r="B9321" t="s">
        <v>195</v>
      </c>
      <c r="C9321" t="s">
        <v>12277</v>
      </c>
      <c r="D9321" t="s">
        <v>16636</v>
      </c>
      <c r="E9321" t="s">
        <v>18481</v>
      </c>
      <c r="F9321" t="s">
        <v>28669</v>
      </c>
      <c r="G9321" t="s">
        <v>28675</v>
      </c>
      <c r="H9321" t="s">
        <v>28686</v>
      </c>
      <c r="I9321" t="s">
        <v>28689</v>
      </c>
      <c r="J9321" t="s">
        <v>28847</v>
      </c>
      <c r="K9321" t="s">
        <v>37215</v>
      </c>
      <c r="M9321" t="s">
        <v>37673</v>
      </c>
      <c r="N9321" t="s">
        <v>41249</v>
      </c>
      <c r="O9321" t="s">
        <v>41250</v>
      </c>
      <c r="P9321">
        <v>0</v>
      </c>
      <c r="Q9321">
        <v>2</v>
      </c>
      <c r="R9321" t="s">
        <v>41259</v>
      </c>
      <c r="S9321" t="s">
        <v>41562</v>
      </c>
      <c r="T9321" t="s">
        <v>43085</v>
      </c>
      <c r="U9321" t="s">
        <v>50711</v>
      </c>
      <c r="W9321" t="s">
        <v>37673</v>
      </c>
      <c r="X9321" t="s">
        <v>41260</v>
      </c>
    </row>
    <row r="9322" spans="1:24">
      <c r="A9322">
        <f>HYPERLINK("https://www.philgeps.gov.ph/GEPSNONPILOT/Tender/SplashBidNoticeAbstractUI.aspx?menuIndex=3&amp;refID=7063524&amp;Result=3","7063524")</f>
        <v>0</v>
      </c>
      <c r="B9322" t="s">
        <v>370</v>
      </c>
      <c r="C9322" t="s">
        <v>12278</v>
      </c>
      <c r="D9322" t="s">
        <v>16630</v>
      </c>
      <c r="E9322" t="s">
        <v>24814</v>
      </c>
      <c r="F9322" t="s">
        <v>28669</v>
      </c>
      <c r="G9322" t="s">
        <v>28675</v>
      </c>
      <c r="H9322" t="s">
        <v>28686</v>
      </c>
      <c r="I9322" t="s">
        <v>28689</v>
      </c>
      <c r="J9322" t="s">
        <v>29332</v>
      </c>
      <c r="K9322" t="s">
        <v>37213</v>
      </c>
      <c r="M9322" t="s">
        <v>37852</v>
      </c>
      <c r="N9322" t="s">
        <v>41249</v>
      </c>
      <c r="O9322" t="s">
        <v>41250</v>
      </c>
      <c r="Q9322">
        <v>0</v>
      </c>
      <c r="R9322" t="s">
        <v>41259</v>
      </c>
      <c r="S9322" t="s">
        <v>41598</v>
      </c>
      <c r="T9322" t="s">
        <v>43086</v>
      </c>
      <c r="U9322" t="s">
        <v>50712</v>
      </c>
      <c r="V9322" t="s">
        <v>55292</v>
      </c>
      <c r="W9322" t="s">
        <v>37852</v>
      </c>
      <c r="X9322" t="s">
        <v>41260</v>
      </c>
    </row>
    <row r="9323" spans="1:24">
      <c r="A9323">
        <f>HYPERLINK("https://www.philgeps.gov.ph/GEPSNONPILOT/Tender/SplashBidNoticeAbstractUI.aspx?menuIndex=3&amp;refID=7063498&amp;Result=3","7063498")</f>
        <v>0</v>
      </c>
      <c r="B9323" t="s">
        <v>988</v>
      </c>
      <c r="C9323" t="s">
        <v>12279</v>
      </c>
      <c r="D9323" t="s">
        <v>16635</v>
      </c>
      <c r="E9323" t="s">
        <v>12279</v>
      </c>
      <c r="F9323" t="s">
        <v>28669</v>
      </c>
      <c r="G9323" t="s">
        <v>28677</v>
      </c>
      <c r="H9323" t="s">
        <v>9998</v>
      </c>
      <c r="I9323" t="s">
        <v>28751</v>
      </c>
      <c r="J9323" t="s">
        <v>34612</v>
      </c>
      <c r="K9323" t="s">
        <v>37206</v>
      </c>
      <c r="M9323" t="s">
        <v>40458</v>
      </c>
      <c r="N9323" t="s">
        <v>41249</v>
      </c>
      <c r="O9323" t="s">
        <v>41250</v>
      </c>
      <c r="P9323">
        <v>0</v>
      </c>
      <c r="Q9323">
        <v>1</v>
      </c>
      <c r="R9323" t="s">
        <v>41259</v>
      </c>
      <c r="S9323" t="s">
        <v>41562</v>
      </c>
      <c r="T9323" t="s">
        <v>42876</v>
      </c>
      <c r="U9323" t="s">
        <v>50713</v>
      </c>
      <c r="W9323" t="s">
        <v>40458</v>
      </c>
      <c r="X9323" t="s">
        <v>41260</v>
      </c>
    </row>
    <row r="9324" spans="1:24">
      <c r="A9324">
        <f>HYPERLINK("https://www.philgeps.gov.ph/GEPSNONPILOT/Tender/SplashBidNoticeAbstractUI.aspx?menuIndex=3&amp;refID=7063495&amp;Result=3","7063495")</f>
        <v>0</v>
      </c>
      <c r="B9324" t="s">
        <v>1302</v>
      </c>
      <c r="C9324" t="s">
        <v>12280</v>
      </c>
      <c r="D9324" t="s">
        <v>16608</v>
      </c>
      <c r="E9324" t="s">
        <v>24815</v>
      </c>
      <c r="F9324" t="s">
        <v>28669</v>
      </c>
      <c r="G9324" t="s">
        <v>28675</v>
      </c>
      <c r="H9324" t="s">
        <v>9998</v>
      </c>
      <c r="I9324" t="s">
        <v>28714</v>
      </c>
      <c r="J9324" t="s">
        <v>34613</v>
      </c>
      <c r="K9324" t="s">
        <v>37209</v>
      </c>
      <c r="M9324" t="s">
        <v>40397</v>
      </c>
      <c r="N9324" t="s">
        <v>41249</v>
      </c>
      <c r="O9324" t="s">
        <v>41250</v>
      </c>
      <c r="P9324">
        <v>0</v>
      </c>
      <c r="Q9324">
        <v>57</v>
      </c>
      <c r="R9324" t="s">
        <v>41259</v>
      </c>
      <c r="S9324" t="s">
        <v>41562</v>
      </c>
      <c r="T9324" t="s">
        <v>42782</v>
      </c>
      <c r="U9324" t="s">
        <v>50468</v>
      </c>
      <c r="W9324" t="s">
        <v>40397</v>
      </c>
      <c r="X9324" t="s">
        <v>41260</v>
      </c>
    </row>
    <row r="9325" spans="1:24">
      <c r="A9325">
        <f>HYPERLINK("https://www.philgeps.gov.ph/GEPSNONPILOT/Tender/SplashBidNoticeAbstractUI.aspx?menuIndex=3&amp;refID=7063512&amp;Result=3","7063512")</f>
        <v>0</v>
      </c>
      <c r="B9325" t="s">
        <v>2736</v>
      </c>
      <c r="C9325" t="s">
        <v>12281</v>
      </c>
      <c r="D9325" t="s">
        <v>16627</v>
      </c>
      <c r="E9325" t="s">
        <v>24816</v>
      </c>
      <c r="F9325" t="s">
        <v>28669</v>
      </c>
      <c r="G9325" t="s">
        <v>28675</v>
      </c>
      <c r="H9325" t="s">
        <v>28686</v>
      </c>
      <c r="I9325" t="s">
        <v>28689</v>
      </c>
      <c r="J9325" t="s">
        <v>34534</v>
      </c>
      <c r="K9325" t="s">
        <v>37213</v>
      </c>
      <c r="M9325" t="s">
        <v>40451</v>
      </c>
      <c r="N9325" t="s">
        <v>41249</v>
      </c>
      <c r="O9325" t="s">
        <v>41250</v>
      </c>
      <c r="P9325">
        <v>0</v>
      </c>
      <c r="Q9325">
        <v>0</v>
      </c>
      <c r="R9325" t="s">
        <v>41259</v>
      </c>
      <c r="S9325" t="s">
        <v>41562</v>
      </c>
      <c r="T9325" t="s">
        <v>42727</v>
      </c>
      <c r="U9325" t="s">
        <v>50714</v>
      </c>
      <c r="W9325" t="s">
        <v>40451</v>
      </c>
      <c r="X9325" t="s">
        <v>41260</v>
      </c>
    </row>
    <row r="9326" spans="1:24">
      <c r="A9326">
        <f>HYPERLINK("https://www.philgeps.gov.ph/GEPSNONPILOT/Tender/SplashBidNoticeAbstractUI.aspx?menuIndex=3&amp;refID=7063477&amp;Result=3","7063477")</f>
        <v>0</v>
      </c>
      <c r="B9326" t="s">
        <v>2751</v>
      </c>
      <c r="C9326" t="s">
        <v>12282</v>
      </c>
      <c r="D9326" t="s">
        <v>16608</v>
      </c>
      <c r="E9326" t="s">
        <v>24817</v>
      </c>
      <c r="F9326" t="s">
        <v>28671</v>
      </c>
      <c r="G9326" t="s">
        <v>28675</v>
      </c>
      <c r="H9326" t="s">
        <v>9998</v>
      </c>
      <c r="I9326" t="s">
        <v>28688</v>
      </c>
      <c r="J9326" t="s">
        <v>28878</v>
      </c>
      <c r="K9326" t="s">
        <v>37206</v>
      </c>
      <c r="M9326" t="s">
        <v>40469</v>
      </c>
      <c r="N9326" t="s">
        <v>41249</v>
      </c>
      <c r="O9326" t="s">
        <v>41250</v>
      </c>
      <c r="P9326">
        <v>0</v>
      </c>
      <c r="Q9326">
        <v>1</v>
      </c>
      <c r="R9326" t="s">
        <v>41259</v>
      </c>
      <c r="S9326" t="s">
        <v>41562</v>
      </c>
      <c r="T9326" t="s">
        <v>42670</v>
      </c>
      <c r="U9326" t="s">
        <v>50715</v>
      </c>
      <c r="V9326" t="s">
        <v>55293</v>
      </c>
      <c r="W9326" t="s">
        <v>40469</v>
      </c>
      <c r="X9326" t="s">
        <v>41260</v>
      </c>
    </row>
    <row r="9327" spans="1:24">
      <c r="A9327">
        <f>HYPERLINK("https://www.philgeps.gov.ph/GEPSNONPILOT/Tender/SplashBidNoticeAbstractUI.aspx?menuIndex=3&amp;refID=7063469&amp;Result=3","7063469")</f>
        <v>0</v>
      </c>
      <c r="B9327" t="s">
        <v>2295</v>
      </c>
      <c r="C9327" t="s">
        <v>12283</v>
      </c>
      <c r="D9327" t="s">
        <v>16672</v>
      </c>
      <c r="E9327" t="s">
        <v>24818</v>
      </c>
      <c r="F9327" t="s">
        <v>28669</v>
      </c>
      <c r="G9327" t="s">
        <v>28682</v>
      </c>
      <c r="H9327" t="s">
        <v>9998</v>
      </c>
      <c r="I9327" t="s">
        <v>28706</v>
      </c>
      <c r="J9327" t="s">
        <v>29655</v>
      </c>
      <c r="K9327" t="s">
        <v>37206</v>
      </c>
      <c r="M9327" t="s">
        <v>39952</v>
      </c>
      <c r="N9327" t="s">
        <v>41249</v>
      </c>
      <c r="O9327" t="s">
        <v>41250</v>
      </c>
      <c r="P9327">
        <v>0</v>
      </c>
      <c r="Q9327">
        <v>7</v>
      </c>
      <c r="R9327" t="s">
        <v>41259</v>
      </c>
      <c r="S9327" t="s">
        <v>41562</v>
      </c>
      <c r="T9327" t="s">
        <v>42760</v>
      </c>
      <c r="U9327" t="s">
        <v>50716</v>
      </c>
      <c r="V9327" t="s">
        <v>55290</v>
      </c>
      <c r="W9327" t="s">
        <v>39952</v>
      </c>
      <c r="X9327" t="s">
        <v>41260</v>
      </c>
    </row>
    <row r="9328" spans="1:24">
      <c r="A9328">
        <f>HYPERLINK("https://www.philgeps.gov.ph/GEPSNONPILOT/Tender/SplashBidNoticeAbstractUI.aspx?menuIndex=3&amp;refID=7063502&amp;Result=3","7063502")</f>
        <v>0</v>
      </c>
      <c r="B9328" t="s">
        <v>2746</v>
      </c>
      <c r="C9328" t="s">
        <v>12284</v>
      </c>
      <c r="D9328" t="s">
        <v>16622</v>
      </c>
      <c r="E9328" t="s">
        <v>24819</v>
      </c>
      <c r="F9328" t="s">
        <v>28669</v>
      </c>
      <c r="G9328" t="s">
        <v>28675</v>
      </c>
      <c r="H9328" t="s">
        <v>28686</v>
      </c>
      <c r="I9328" t="s">
        <v>28689</v>
      </c>
      <c r="J9328" t="s">
        <v>34605</v>
      </c>
      <c r="K9328" t="s">
        <v>37334</v>
      </c>
      <c r="M9328" t="s">
        <v>40463</v>
      </c>
      <c r="N9328" t="s">
        <v>41249</v>
      </c>
      <c r="O9328" t="s">
        <v>41250</v>
      </c>
      <c r="P9328">
        <v>0</v>
      </c>
      <c r="Q9328">
        <v>0</v>
      </c>
      <c r="R9328" t="s">
        <v>41259</v>
      </c>
      <c r="S9328" t="s">
        <v>41562</v>
      </c>
      <c r="T9328" t="s">
        <v>42755</v>
      </c>
      <c r="U9328" t="s">
        <v>50703</v>
      </c>
      <c r="W9328" t="s">
        <v>40463</v>
      </c>
      <c r="X9328" t="s">
        <v>41260</v>
      </c>
    </row>
    <row r="9329" spans="1:24">
      <c r="A9329">
        <f>HYPERLINK("https://www.philgeps.gov.ph/GEPSNONPILOT/Tender/SplashBidNoticeAbstractUI.aspx?menuIndex=3&amp;refID=7063516&amp;Result=3","7063516")</f>
        <v>0</v>
      </c>
      <c r="B9329" t="s">
        <v>1770</v>
      </c>
      <c r="C9329" t="s">
        <v>12285</v>
      </c>
      <c r="D9329" t="s">
        <v>16608</v>
      </c>
      <c r="E9329" t="s">
        <v>24820</v>
      </c>
      <c r="F9329" t="s">
        <v>28669</v>
      </c>
      <c r="G9329" t="s">
        <v>28675</v>
      </c>
      <c r="H9329" t="s">
        <v>9998</v>
      </c>
      <c r="I9329" t="s">
        <v>28731</v>
      </c>
      <c r="J9329" t="s">
        <v>30856</v>
      </c>
      <c r="K9329" t="s">
        <v>37220</v>
      </c>
      <c r="M9329" t="s">
        <v>39372</v>
      </c>
      <c r="N9329" t="s">
        <v>41249</v>
      </c>
      <c r="O9329" t="s">
        <v>41250</v>
      </c>
      <c r="Q9329">
        <v>13</v>
      </c>
      <c r="R9329" t="s">
        <v>41259</v>
      </c>
      <c r="S9329" t="s">
        <v>41599</v>
      </c>
      <c r="T9329" t="s">
        <v>42712</v>
      </c>
      <c r="U9329" t="s">
        <v>50717</v>
      </c>
      <c r="W9329" t="s">
        <v>39372</v>
      </c>
      <c r="X9329" t="s">
        <v>41260</v>
      </c>
    </row>
    <row r="9330" spans="1:24">
      <c r="A9330">
        <f>HYPERLINK("https://www.philgeps.gov.ph/GEPSNONPILOT/Tender/SplashBidNoticeAbstractUI.aspx?menuIndex=3&amp;refID=7063538&amp;Result=3","7063538")</f>
        <v>0</v>
      </c>
      <c r="B9330" t="s">
        <v>1183</v>
      </c>
      <c r="C9330" t="s">
        <v>12286</v>
      </c>
      <c r="D9330" t="s">
        <v>16654</v>
      </c>
      <c r="E9330" t="s">
        <v>24821</v>
      </c>
      <c r="F9330" t="s">
        <v>28669</v>
      </c>
      <c r="G9330" t="s">
        <v>28675</v>
      </c>
      <c r="H9330" t="s">
        <v>28686</v>
      </c>
      <c r="I9330" t="s">
        <v>28689</v>
      </c>
      <c r="J9330" t="s">
        <v>28851</v>
      </c>
      <c r="K9330" t="s">
        <v>37206</v>
      </c>
      <c r="M9330" t="s">
        <v>38723</v>
      </c>
      <c r="N9330" t="s">
        <v>41249</v>
      </c>
      <c r="O9330" t="s">
        <v>41250</v>
      </c>
      <c r="P9330">
        <v>0</v>
      </c>
      <c r="Q9330">
        <v>1</v>
      </c>
      <c r="R9330" t="s">
        <v>41259</v>
      </c>
      <c r="S9330" t="s">
        <v>41562</v>
      </c>
      <c r="T9330" t="s">
        <v>42676</v>
      </c>
      <c r="U9330" t="s">
        <v>50718</v>
      </c>
      <c r="W9330" t="s">
        <v>38723</v>
      </c>
      <c r="X9330" t="s">
        <v>41260</v>
      </c>
    </row>
    <row r="9331" spans="1:24">
      <c r="A9331">
        <f>HYPERLINK("https://www.philgeps.gov.ph/GEPSNONPILOT/Tender/SplashBidNoticeAbstractUI.aspx?menuIndex=3&amp;refID=7063491&amp;Result=3","7063491")</f>
        <v>0</v>
      </c>
      <c r="B9331" t="s">
        <v>2727</v>
      </c>
      <c r="C9331" t="s">
        <v>12287</v>
      </c>
      <c r="D9331" t="s">
        <v>16670</v>
      </c>
      <c r="E9331" t="s">
        <v>24822</v>
      </c>
      <c r="F9331" t="s">
        <v>28669</v>
      </c>
      <c r="G9331" t="s">
        <v>28675</v>
      </c>
      <c r="H9331" t="s">
        <v>28686</v>
      </c>
      <c r="I9331" t="s">
        <v>28689</v>
      </c>
      <c r="J9331" t="s">
        <v>34614</v>
      </c>
      <c r="K9331" t="s">
        <v>37227</v>
      </c>
      <c r="M9331" t="s">
        <v>40440</v>
      </c>
      <c r="N9331" t="s">
        <v>41249</v>
      </c>
      <c r="O9331" t="s">
        <v>41250</v>
      </c>
      <c r="P9331">
        <v>0</v>
      </c>
      <c r="Q9331">
        <v>0</v>
      </c>
      <c r="R9331" t="s">
        <v>41259</v>
      </c>
      <c r="S9331" t="s">
        <v>41562</v>
      </c>
      <c r="T9331" t="s">
        <v>42809</v>
      </c>
      <c r="U9331" t="s">
        <v>50719</v>
      </c>
      <c r="V9331" t="s">
        <v>55279</v>
      </c>
      <c r="W9331" t="s">
        <v>40440</v>
      </c>
      <c r="X9331" t="s">
        <v>41260</v>
      </c>
    </row>
    <row r="9332" spans="1:24">
      <c r="A9332">
        <f>HYPERLINK("https://www.philgeps.gov.ph/GEPSNONPILOT/Tender/SplashBidNoticeAbstractUI.aspx?menuIndex=3&amp;refID=7063564&amp;Result=3","7063564")</f>
        <v>0</v>
      </c>
      <c r="B9332" t="s">
        <v>849</v>
      </c>
      <c r="C9332" t="s">
        <v>12139</v>
      </c>
      <c r="D9332" t="s">
        <v>16626</v>
      </c>
      <c r="E9332" t="s">
        <v>24823</v>
      </c>
      <c r="F9332" t="s">
        <v>28669</v>
      </c>
      <c r="G9332" t="s">
        <v>28676</v>
      </c>
      <c r="H9332" t="s">
        <v>9998</v>
      </c>
      <c r="I9332" t="s">
        <v>7352</v>
      </c>
      <c r="J9332" t="s">
        <v>28879</v>
      </c>
      <c r="K9332" t="s">
        <v>37209</v>
      </c>
      <c r="M9332" t="s">
        <v>38365</v>
      </c>
      <c r="N9332" t="s">
        <v>41249</v>
      </c>
      <c r="O9332" t="s">
        <v>41250</v>
      </c>
      <c r="P9332">
        <v>0</v>
      </c>
      <c r="Q9332">
        <v>0</v>
      </c>
      <c r="R9332" t="s">
        <v>41259</v>
      </c>
      <c r="S9332" t="s">
        <v>41562</v>
      </c>
      <c r="T9332" t="s">
        <v>42989</v>
      </c>
      <c r="U9332" t="s">
        <v>50611</v>
      </c>
      <c r="W9332" t="s">
        <v>38365</v>
      </c>
      <c r="X9332" t="s">
        <v>41260</v>
      </c>
    </row>
    <row r="9333" spans="1:24">
      <c r="A9333">
        <f>HYPERLINK("https://www.philgeps.gov.ph/GEPSNONPILOT/Tender/SplashBidNoticeAbstractUI.aspx?menuIndex=3&amp;refID=7063557&amp;Result=3","7063557")</f>
        <v>0</v>
      </c>
      <c r="B9333" t="s">
        <v>2752</v>
      </c>
      <c r="C9333" t="s">
        <v>12288</v>
      </c>
      <c r="D9333" t="s">
        <v>16664</v>
      </c>
      <c r="E9333" t="s">
        <v>24484</v>
      </c>
      <c r="F9333" t="s">
        <v>28669</v>
      </c>
      <c r="G9333" t="s">
        <v>28675</v>
      </c>
      <c r="H9333" t="s">
        <v>9998</v>
      </c>
      <c r="I9333" t="s">
        <v>7352</v>
      </c>
      <c r="J9333" t="s">
        <v>34615</v>
      </c>
      <c r="K9333" t="s">
        <v>37206</v>
      </c>
      <c r="M9333" t="s">
        <v>40470</v>
      </c>
      <c r="N9333" t="s">
        <v>41249</v>
      </c>
      <c r="O9333" t="s">
        <v>41250</v>
      </c>
      <c r="Q9333">
        <v>0</v>
      </c>
      <c r="R9333" t="s">
        <v>41259</v>
      </c>
      <c r="S9333" t="s">
        <v>41600</v>
      </c>
      <c r="T9333" t="s">
        <v>42754</v>
      </c>
      <c r="U9333" t="s">
        <v>50720</v>
      </c>
      <c r="W9333" t="s">
        <v>40470</v>
      </c>
      <c r="X9333" t="s">
        <v>41260</v>
      </c>
    </row>
    <row r="9334" spans="1:24">
      <c r="A9334">
        <f>HYPERLINK("https://www.philgeps.gov.ph/GEPSNONPILOT/Tender/SplashBidNoticeAbstractUI.aspx?menuIndex=3&amp;refID=7063476&amp;Result=3","7063476")</f>
        <v>0</v>
      </c>
      <c r="B9334" t="s">
        <v>986</v>
      </c>
      <c r="C9334" t="s">
        <v>12289</v>
      </c>
      <c r="D9334" t="s">
        <v>16620</v>
      </c>
      <c r="E9334" t="s">
        <v>24824</v>
      </c>
      <c r="F9334" t="s">
        <v>28669</v>
      </c>
      <c r="G9334" t="s">
        <v>28675</v>
      </c>
      <c r="H9334" t="s">
        <v>9998</v>
      </c>
      <c r="I9334" t="s">
        <v>5286</v>
      </c>
      <c r="J9334" t="s">
        <v>34616</v>
      </c>
      <c r="K9334" t="s">
        <v>37206</v>
      </c>
      <c r="M9334" t="s">
        <v>38511</v>
      </c>
      <c r="N9334" t="s">
        <v>41249</v>
      </c>
      <c r="O9334" t="s">
        <v>41250</v>
      </c>
      <c r="P9334">
        <v>0</v>
      </c>
      <c r="Q9334">
        <v>5</v>
      </c>
      <c r="R9334" t="s">
        <v>41259</v>
      </c>
      <c r="S9334" t="s">
        <v>41562</v>
      </c>
      <c r="T9334" t="s">
        <v>42755</v>
      </c>
      <c r="U9334" t="s">
        <v>50702</v>
      </c>
      <c r="V9334" t="s">
        <v>54542</v>
      </c>
      <c r="W9334" t="s">
        <v>38511</v>
      </c>
      <c r="X9334" t="s">
        <v>41260</v>
      </c>
    </row>
    <row r="9335" spans="1:24">
      <c r="A9335">
        <f>HYPERLINK("https://www.philgeps.gov.ph/GEPSNONPILOT/Tender/SplashBidNoticeAbstractUI.aspx?menuIndex=3&amp;refID=7063555&amp;Result=3","7063555")</f>
        <v>0</v>
      </c>
      <c r="B9335" t="s">
        <v>2282</v>
      </c>
      <c r="C9335" t="s">
        <v>12290</v>
      </c>
      <c r="D9335" t="s">
        <v>16686</v>
      </c>
      <c r="E9335" t="s">
        <v>24825</v>
      </c>
      <c r="F9335" t="s">
        <v>28669</v>
      </c>
      <c r="G9335" t="s">
        <v>28675</v>
      </c>
      <c r="H9335" t="s">
        <v>28686</v>
      </c>
      <c r="I9335" t="s">
        <v>28689</v>
      </c>
      <c r="J9335" t="s">
        <v>34617</v>
      </c>
      <c r="K9335" t="s">
        <v>37215</v>
      </c>
      <c r="M9335" t="s">
        <v>39937</v>
      </c>
      <c r="N9335" t="s">
        <v>41249</v>
      </c>
      <c r="O9335" t="s">
        <v>41250</v>
      </c>
      <c r="P9335">
        <v>0</v>
      </c>
      <c r="Q9335">
        <v>1</v>
      </c>
      <c r="R9335" t="s">
        <v>41259</v>
      </c>
      <c r="S9335" t="s">
        <v>41562</v>
      </c>
      <c r="T9335" t="s">
        <v>42987</v>
      </c>
      <c r="U9335" t="s">
        <v>50721</v>
      </c>
      <c r="V9335" t="s">
        <v>54252</v>
      </c>
      <c r="W9335" t="s">
        <v>39937</v>
      </c>
      <c r="X9335" t="s">
        <v>41260</v>
      </c>
    </row>
    <row r="9336" spans="1:24">
      <c r="A9336">
        <f>HYPERLINK("https://www.philgeps.gov.ph/GEPSNONPILOT/Tender/SplashBidNoticeAbstractUI.aspx?menuIndex=3&amp;refID=7063553&amp;Result=3","7063553")</f>
        <v>0</v>
      </c>
      <c r="B9336" t="s">
        <v>394</v>
      </c>
      <c r="C9336" t="s">
        <v>12291</v>
      </c>
      <c r="D9336" t="s">
        <v>16675</v>
      </c>
      <c r="E9336" t="s">
        <v>24826</v>
      </c>
      <c r="F9336" t="s">
        <v>28669</v>
      </c>
      <c r="G9336" t="s">
        <v>28675</v>
      </c>
      <c r="H9336" t="s">
        <v>9998</v>
      </c>
      <c r="I9336" t="s">
        <v>28690</v>
      </c>
      <c r="J9336" t="s">
        <v>34618</v>
      </c>
      <c r="K9336" t="s">
        <v>37210</v>
      </c>
      <c r="L9336" t="s">
        <v>394</v>
      </c>
      <c r="M9336" t="s">
        <v>37878</v>
      </c>
      <c r="N9336" t="s">
        <v>41249</v>
      </c>
      <c r="O9336" t="s">
        <v>41250</v>
      </c>
      <c r="P9336">
        <v>0</v>
      </c>
      <c r="Q9336">
        <v>16</v>
      </c>
      <c r="R9336" t="s">
        <v>41259</v>
      </c>
      <c r="S9336" t="s">
        <v>41562</v>
      </c>
      <c r="T9336" t="s">
        <v>42755</v>
      </c>
      <c r="U9336" t="s">
        <v>43891</v>
      </c>
      <c r="V9336" t="s">
        <v>55282</v>
      </c>
      <c r="W9336" t="s">
        <v>37878</v>
      </c>
      <c r="X9336" t="s">
        <v>41260</v>
      </c>
    </row>
    <row r="9337" spans="1:24">
      <c r="A9337">
        <f>HYPERLINK("https://www.philgeps.gov.ph/GEPSNONPILOT/Tender/SplashBidNoticeAbstractUI.aspx?menuIndex=3&amp;refID=7063551&amp;Result=3","7063551")</f>
        <v>0</v>
      </c>
      <c r="B9337" t="s">
        <v>1340</v>
      </c>
      <c r="C9337" t="s">
        <v>12292</v>
      </c>
      <c r="D9337" t="s">
        <v>16621</v>
      </c>
      <c r="E9337" t="s">
        <v>24827</v>
      </c>
      <c r="F9337" t="s">
        <v>28669</v>
      </c>
      <c r="G9337" t="s">
        <v>28675</v>
      </c>
      <c r="H9337" t="s">
        <v>28686</v>
      </c>
      <c r="I9337" t="s">
        <v>28689</v>
      </c>
      <c r="J9337" t="s">
        <v>34619</v>
      </c>
      <c r="K9337" t="s">
        <v>37213</v>
      </c>
      <c r="M9337" t="s">
        <v>40372</v>
      </c>
      <c r="N9337" t="s">
        <v>41249</v>
      </c>
      <c r="O9337" t="s">
        <v>41250</v>
      </c>
      <c r="P9337">
        <v>0</v>
      </c>
      <c r="Q9337">
        <v>0</v>
      </c>
      <c r="R9337" t="s">
        <v>41259</v>
      </c>
      <c r="S9337" t="s">
        <v>41562</v>
      </c>
      <c r="T9337" t="s">
        <v>42911</v>
      </c>
      <c r="U9337" t="s">
        <v>50722</v>
      </c>
      <c r="V9337" t="s">
        <v>55245</v>
      </c>
      <c r="W9337" t="s">
        <v>40372</v>
      </c>
      <c r="X9337" t="s">
        <v>41260</v>
      </c>
    </row>
    <row r="9338" spans="1:24">
      <c r="A9338">
        <f>HYPERLINK("https://www.philgeps.gov.ph/GEPSNONPILOT/Tender/SplashBidNoticeAbstractUI.aspx?menuIndex=3&amp;refID=7063547&amp;Result=3","7063547")</f>
        <v>0</v>
      </c>
      <c r="B9338" t="s">
        <v>2746</v>
      </c>
      <c r="C9338" t="s">
        <v>12293</v>
      </c>
      <c r="D9338" t="s">
        <v>16622</v>
      </c>
      <c r="E9338" t="s">
        <v>24828</v>
      </c>
      <c r="F9338" t="s">
        <v>28669</v>
      </c>
      <c r="G9338" t="s">
        <v>28675</v>
      </c>
      <c r="H9338" t="s">
        <v>28686</v>
      </c>
      <c r="I9338" t="s">
        <v>28689</v>
      </c>
      <c r="J9338" t="s">
        <v>34620</v>
      </c>
      <c r="K9338" t="s">
        <v>37334</v>
      </c>
      <c r="M9338" t="s">
        <v>40463</v>
      </c>
      <c r="N9338" t="s">
        <v>41249</v>
      </c>
      <c r="O9338" t="s">
        <v>41250</v>
      </c>
      <c r="P9338">
        <v>0</v>
      </c>
      <c r="Q9338">
        <v>0</v>
      </c>
      <c r="R9338" t="s">
        <v>41259</v>
      </c>
      <c r="S9338" t="s">
        <v>41562</v>
      </c>
      <c r="T9338" t="s">
        <v>42755</v>
      </c>
      <c r="U9338" t="s">
        <v>50723</v>
      </c>
      <c r="W9338" t="s">
        <v>40463</v>
      </c>
      <c r="X9338" t="s">
        <v>41260</v>
      </c>
    </row>
    <row r="9339" spans="1:24">
      <c r="A9339">
        <f>HYPERLINK("https://www.philgeps.gov.ph/GEPSNONPILOT/Tender/SplashBidNoticeAbstractUI.aspx?menuIndex=3&amp;refID=7063483&amp;Result=3","7063483")</f>
        <v>0</v>
      </c>
      <c r="B9339" t="s">
        <v>2753</v>
      </c>
      <c r="C9339" t="s">
        <v>12294</v>
      </c>
      <c r="D9339" t="s">
        <v>16653</v>
      </c>
      <c r="E9339" t="s">
        <v>23644</v>
      </c>
      <c r="F9339" t="s">
        <v>28669</v>
      </c>
      <c r="G9339" t="s">
        <v>28675</v>
      </c>
      <c r="H9339" t="s">
        <v>28686</v>
      </c>
      <c r="I9339" t="s">
        <v>28689</v>
      </c>
      <c r="J9339" t="s">
        <v>34621</v>
      </c>
      <c r="K9339" t="s">
        <v>37218</v>
      </c>
      <c r="M9339" t="s">
        <v>40471</v>
      </c>
      <c r="N9339" t="s">
        <v>41249</v>
      </c>
      <c r="O9339" t="s">
        <v>41250</v>
      </c>
      <c r="P9339">
        <v>0</v>
      </c>
      <c r="Q9339">
        <v>1</v>
      </c>
      <c r="R9339" t="s">
        <v>41259</v>
      </c>
      <c r="S9339" t="s">
        <v>41562</v>
      </c>
      <c r="T9339" t="s">
        <v>42839</v>
      </c>
      <c r="U9339" t="s">
        <v>50724</v>
      </c>
      <c r="W9339" t="s">
        <v>40471</v>
      </c>
      <c r="X9339" t="s">
        <v>41260</v>
      </c>
    </row>
    <row r="9340" spans="1:24">
      <c r="A9340">
        <f>HYPERLINK("https://www.philgeps.gov.ph/GEPSNONPILOT/Tender/SplashBidNoticeAbstractUI.aspx?menuIndex=3&amp;refID=7063600&amp;Result=3","7063600")</f>
        <v>0</v>
      </c>
      <c r="B9340" t="s">
        <v>2739</v>
      </c>
      <c r="C9340" t="s">
        <v>12295</v>
      </c>
      <c r="D9340" t="s">
        <v>16654</v>
      </c>
      <c r="E9340" t="s">
        <v>24829</v>
      </c>
      <c r="F9340" t="s">
        <v>28669</v>
      </c>
      <c r="G9340" t="s">
        <v>28675</v>
      </c>
      <c r="H9340" t="s">
        <v>28686</v>
      </c>
      <c r="I9340" t="s">
        <v>28689</v>
      </c>
      <c r="J9340" t="s">
        <v>34622</v>
      </c>
      <c r="K9340" t="s">
        <v>37334</v>
      </c>
      <c r="L9340" t="s">
        <v>2739</v>
      </c>
      <c r="M9340" t="s">
        <v>40454</v>
      </c>
      <c r="N9340" t="s">
        <v>41249</v>
      </c>
      <c r="O9340" t="s">
        <v>41250</v>
      </c>
      <c r="P9340">
        <v>0</v>
      </c>
      <c r="Q9340">
        <v>0</v>
      </c>
      <c r="R9340" t="s">
        <v>41259</v>
      </c>
      <c r="S9340" t="s">
        <v>41562</v>
      </c>
      <c r="T9340" t="s">
        <v>42761</v>
      </c>
      <c r="U9340" t="s">
        <v>50633</v>
      </c>
      <c r="W9340" t="s">
        <v>40454</v>
      </c>
      <c r="X9340" t="s">
        <v>41260</v>
      </c>
    </row>
    <row r="9341" spans="1:24">
      <c r="A9341">
        <f>HYPERLINK("https://www.philgeps.gov.ph/GEPSNONPILOT/Tender/SplashBidNoticeAbstractUI.aspx?menuIndex=3&amp;refID=7063562&amp;Result=3","7063562")</f>
        <v>0</v>
      </c>
      <c r="B9341" t="s">
        <v>2739</v>
      </c>
      <c r="C9341" t="s">
        <v>12296</v>
      </c>
      <c r="D9341" t="s">
        <v>16654</v>
      </c>
      <c r="E9341" t="s">
        <v>24830</v>
      </c>
      <c r="F9341" t="s">
        <v>28669</v>
      </c>
      <c r="G9341" t="s">
        <v>28675</v>
      </c>
      <c r="H9341" t="s">
        <v>28686</v>
      </c>
      <c r="I9341" t="s">
        <v>28689</v>
      </c>
      <c r="J9341" t="s">
        <v>34622</v>
      </c>
      <c r="K9341" t="s">
        <v>37334</v>
      </c>
      <c r="L9341" t="s">
        <v>2739</v>
      </c>
      <c r="M9341" t="s">
        <v>40454</v>
      </c>
      <c r="N9341" t="s">
        <v>41249</v>
      </c>
      <c r="O9341" t="s">
        <v>41250</v>
      </c>
      <c r="P9341">
        <v>0</v>
      </c>
      <c r="Q9341">
        <v>0</v>
      </c>
      <c r="R9341" t="s">
        <v>41259</v>
      </c>
      <c r="S9341" t="s">
        <v>41562</v>
      </c>
      <c r="T9341" t="s">
        <v>42761</v>
      </c>
      <c r="U9341" t="s">
        <v>50633</v>
      </c>
      <c r="W9341" t="s">
        <v>40454</v>
      </c>
      <c r="X9341" t="s">
        <v>41260</v>
      </c>
    </row>
    <row r="9342" spans="1:24">
      <c r="A9342">
        <f>HYPERLINK("https://www.philgeps.gov.ph/GEPSNONPILOT/Tender/SplashBidNoticeAbstractUI.aspx?menuIndex=3&amp;refID=7063591&amp;Result=3","7063591")</f>
        <v>0</v>
      </c>
      <c r="B9342" t="s">
        <v>988</v>
      </c>
      <c r="C9342" t="s">
        <v>12297</v>
      </c>
      <c r="D9342" t="s">
        <v>16635</v>
      </c>
      <c r="E9342" t="s">
        <v>12297</v>
      </c>
      <c r="F9342" t="s">
        <v>28669</v>
      </c>
      <c r="G9342" t="s">
        <v>28677</v>
      </c>
      <c r="H9342" t="s">
        <v>9998</v>
      </c>
      <c r="I9342" t="s">
        <v>3679</v>
      </c>
      <c r="J9342" t="s">
        <v>34623</v>
      </c>
      <c r="K9342" t="s">
        <v>37206</v>
      </c>
      <c r="M9342" t="s">
        <v>40458</v>
      </c>
      <c r="N9342" t="s">
        <v>41249</v>
      </c>
      <c r="O9342" t="s">
        <v>41250</v>
      </c>
      <c r="P9342">
        <v>0</v>
      </c>
      <c r="Q9342">
        <v>0</v>
      </c>
      <c r="R9342" t="s">
        <v>41259</v>
      </c>
      <c r="S9342" t="s">
        <v>41562</v>
      </c>
      <c r="T9342" t="s">
        <v>42876</v>
      </c>
      <c r="U9342" t="s">
        <v>50725</v>
      </c>
      <c r="W9342" t="s">
        <v>40458</v>
      </c>
      <c r="X9342" t="s">
        <v>41260</v>
      </c>
    </row>
    <row r="9343" spans="1:24">
      <c r="A9343">
        <f>HYPERLINK("https://www.philgeps.gov.ph/GEPSNONPILOT/Tender/SplashBidNoticeAbstractUI.aspx?menuIndex=3&amp;refID=7063585&amp;Result=3","7063585")</f>
        <v>0</v>
      </c>
      <c r="B9343" t="s">
        <v>2727</v>
      </c>
      <c r="C9343" t="s">
        <v>12298</v>
      </c>
      <c r="D9343" t="s">
        <v>16670</v>
      </c>
      <c r="E9343" t="s">
        <v>24831</v>
      </c>
      <c r="F9343" t="s">
        <v>28669</v>
      </c>
      <c r="G9343" t="s">
        <v>28675</v>
      </c>
      <c r="H9343" t="s">
        <v>28686</v>
      </c>
      <c r="I9343" t="s">
        <v>28689</v>
      </c>
      <c r="J9343" t="s">
        <v>34624</v>
      </c>
      <c r="K9343" t="s">
        <v>37206</v>
      </c>
      <c r="M9343" t="s">
        <v>40440</v>
      </c>
      <c r="N9343" t="s">
        <v>41249</v>
      </c>
      <c r="O9343" t="s">
        <v>41250</v>
      </c>
      <c r="P9343">
        <v>0</v>
      </c>
      <c r="Q9343">
        <v>0</v>
      </c>
      <c r="R9343" t="s">
        <v>41259</v>
      </c>
      <c r="S9343" t="s">
        <v>41562</v>
      </c>
      <c r="T9343" t="s">
        <v>42809</v>
      </c>
      <c r="U9343" t="s">
        <v>50726</v>
      </c>
      <c r="V9343" t="s">
        <v>55279</v>
      </c>
      <c r="W9343" t="s">
        <v>40440</v>
      </c>
      <c r="X9343" t="s">
        <v>41260</v>
      </c>
    </row>
    <row r="9344" spans="1:24">
      <c r="A9344">
        <f>HYPERLINK("https://www.philgeps.gov.ph/GEPSNONPILOT/Tender/SplashBidNoticeAbstractUI.aspx?menuIndex=3&amp;refID=7063570&amp;Result=3","7063570")</f>
        <v>0</v>
      </c>
      <c r="B9344" t="s">
        <v>1693</v>
      </c>
      <c r="C9344" t="s">
        <v>12299</v>
      </c>
      <c r="D9344" t="s">
        <v>16684</v>
      </c>
      <c r="E9344" t="s">
        <v>19712</v>
      </c>
      <c r="F9344" t="s">
        <v>28669</v>
      </c>
      <c r="G9344" t="s">
        <v>28675</v>
      </c>
      <c r="H9344" t="s">
        <v>28686</v>
      </c>
      <c r="I9344" t="s">
        <v>28689</v>
      </c>
      <c r="J9344" t="s">
        <v>34625</v>
      </c>
      <c r="K9344" t="s">
        <v>37213</v>
      </c>
      <c r="M9344" t="s">
        <v>39289</v>
      </c>
      <c r="N9344" t="s">
        <v>41249</v>
      </c>
      <c r="O9344" t="s">
        <v>41250</v>
      </c>
      <c r="P9344">
        <v>0</v>
      </c>
      <c r="Q9344">
        <v>0</v>
      </c>
      <c r="R9344" t="s">
        <v>41259</v>
      </c>
      <c r="S9344" t="s">
        <v>41562</v>
      </c>
      <c r="T9344" t="s">
        <v>43087</v>
      </c>
      <c r="U9344" t="s">
        <v>50727</v>
      </c>
      <c r="V9344" t="s">
        <v>55283</v>
      </c>
      <c r="W9344" t="s">
        <v>39289</v>
      </c>
      <c r="X9344" t="s">
        <v>41260</v>
      </c>
    </row>
    <row r="9345" spans="1:24">
      <c r="A9345">
        <f>HYPERLINK("https://www.philgeps.gov.ph/GEPSNONPILOT/Tender/SplashBidNoticeAbstractUI.aspx?menuIndex=3&amp;refID=7063545&amp;Result=3","7063545")</f>
        <v>0</v>
      </c>
      <c r="B9345" t="s">
        <v>988</v>
      </c>
      <c r="C9345" t="s">
        <v>12300</v>
      </c>
      <c r="D9345" t="s">
        <v>16635</v>
      </c>
      <c r="E9345" t="s">
        <v>12300</v>
      </c>
      <c r="F9345" t="s">
        <v>28669</v>
      </c>
      <c r="G9345" t="s">
        <v>28677</v>
      </c>
      <c r="H9345" t="s">
        <v>9998</v>
      </c>
      <c r="I9345" t="s">
        <v>28704</v>
      </c>
      <c r="J9345" t="s">
        <v>34626</v>
      </c>
      <c r="K9345" t="s">
        <v>37206</v>
      </c>
      <c r="M9345" t="s">
        <v>40458</v>
      </c>
      <c r="N9345" t="s">
        <v>41249</v>
      </c>
      <c r="O9345" t="s">
        <v>41250</v>
      </c>
      <c r="P9345">
        <v>0</v>
      </c>
      <c r="Q9345">
        <v>0</v>
      </c>
      <c r="R9345" t="s">
        <v>41259</v>
      </c>
      <c r="S9345" t="s">
        <v>41562</v>
      </c>
      <c r="T9345" t="s">
        <v>42876</v>
      </c>
      <c r="U9345" t="s">
        <v>50728</v>
      </c>
      <c r="W9345" t="s">
        <v>40458</v>
      </c>
      <c r="X9345" t="s">
        <v>41260</v>
      </c>
    </row>
    <row r="9346" spans="1:24">
      <c r="A9346">
        <f>HYPERLINK("https://www.philgeps.gov.ph/GEPSNONPILOT/Tender/SplashBidNoticeAbstractUI.aspx?menuIndex=3&amp;refID=7063543&amp;Result=3","7063543")</f>
        <v>0</v>
      </c>
      <c r="B9346" t="s">
        <v>1477</v>
      </c>
      <c r="C9346" t="s">
        <v>12301</v>
      </c>
      <c r="D9346" t="s">
        <v>16665</v>
      </c>
      <c r="E9346" t="s">
        <v>22522</v>
      </c>
      <c r="F9346" t="s">
        <v>28671</v>
      </c>
      <c r="G9346" t="s">
        <v>28682</v>
      </c>
      <c r="H9346" t="s">
        <v>9998</v>
      </c>
      <c r="I9346" t="s">
        <v>28708</v>
      </c>
      <c r="J9346" t="s">
        <v>34627</v>
      </c>
      <c r="K9346" t="s">
        <v>37221</v>
      </c>
      <c r="M9346" t="s">
        <v>39045</v>
      </c>
      <c r="N9346" t="s">
        <v>41249</v>
      </c>
      <c r="O9346" t="s">
        <v>41250</v>
      </c>
      <c r="P9346">
        <v>0</v>
      </c>
      <c r="Q9346">
        <v>6</v>
      </c>
      <c r="R9346" t="s">
        <v>41259</v>
      </c>
      <c r="S9346" t="s">
        <v>41562</v>
      </c>
      <c r="T9346" t="s">
        <v>42755</v>
      </c>
      <c r="U9346" t="s">
        <v>50729</v>
      </c>
      <c r="W9346" t="s">
        <v>39045</v>
      </c>
      <c r="X9346" t="s">
        <v>41260</v>
      </c>
    </row>
    <row r="9347" spans="1:24">
      <c r="A9347">
        <f>HYPERLINK("https://www.philgeps.gov.ph/GEPSNONPILOT/Tender/SplashBidNoticeAbstractUI.aspx?menuIndex=3&amp;refID=7063539&amp;Result=3","7063539")</f>
        <v>0</v>
      </c>
      <c r="B9347" t="s">
        <v>2733</v>
      </c>
      <c r="C9347" t="s">
        <v>12302</v>
      </c>
      <c r="D9347" t="s">
        <v>16658</v>
      </c>
      <c r="E9347" t="s">
        <v>24832</v>
      </c>
      <c r="F9347" t="s">
        <v>28669</v>
      </c>
      <c r="G9347" t="s">
        <v>28675</v>
      </c>
      <c r="H9347" t="s">
        <v>9998</v>
      </c>
      <c r="I9347" t="s">
        <v>28697</v>
      </c>
      <c r="J9347" t="s">
        <v>29191</v>
      </c>
      <c r="K9347" t="s">
        <v>37205</v>
      </c>
      <c r="M9347" t="s">
        <v>40448</v>
      </c>
      <c r="N9347" t="s">
        <v>41249</v>
      </c>
      <c r="O9347" t="s">
        <v>41250</v>
      </c>
      <c r="P9347">
        <v>0</v>
      </c>
      <c r="Q9347">
        <v>1</v>
      </c>
      <c r="R9347" t="s">
        <v>41259</v>
      </c>
      <c r="S9347" t="s">
        <v>41562</v>
      </c>
      <c r="T9347" t="s">
        <v>42992</v>
      </c>
      <c r="U9347" t="s">
        <v>50730</v>
      </c>
      <c r="W9347" t="s">
        <v>40448</v>
      </c>
      <c r="X9347" t="s">
        <v>41260</v>
      </c>
    </row>
    <row r="9348" spans="1:24">
      <c r="A9348">
        <f>HYPERLINK("https://www.philgeps.gov.ph/GEPSNONPILOT/Tender/SplashBidNoticeAbstractUI.aspx?menuIndex=3&amp;refID=7063572&amp;Result=3","7063572")</f>
        <v>0</v>
      </c>
      <c r="B9348" t="s">
        <v>1340</v>
      </c>
      <c r="C9348" t="s">
        <v>12303</v>
      </c>
      <c r="D9348" t="s">
        <v>16621</v>
      </c>
      <c r="E9348" t="s">
        <v>24833</v>
      </c>
      <c r="F9348" t="s">
        <v>28669</v>
      </c>
      <c r="G9348" t="s">
        <v>28675</v>
      </c>
      <c r="H9348" t="s">
        <v>28686</v>
      </c>
      <c r="I9348" t="s">
        <v>28689</v>
      </c>
      <c r="J9348" t="s">
        <v>34628</v>
      </c>
      <c r="K9348" t="s">
        <v>37213</v>
      </c>
      <c r="M9348" t="s">
        <v>40372</v>
      </c>
      <c r="N9348" t="s">
        <v>41249</v>
      </c>
      <c r="O9348" t="s">
        <v>41250</v>
      </c>
      <c r="P9348">
        <v>0</v>
      </c>
      <c r="Q9348">
        <v>0</v>
      </c>
      <c r="R9348" t="s">
        <v>41259</v>
      </c>
      <c r="S9348" t="s">
        <v>41562</v>
      </c>
      <c r="T9348" t="s">
        <v>42911</v>
      </c>
      <c r="U9348" t="s">
        <v>50722</v>
      </c>
      <c r="V9348" t="s">
        <v>55245</v>
      </c>
      <c r="W9348" t="s">
        <v>40372</v>
      </c>
      <c r="X9348" t="s">
        <v>41260</v>
      </c>
    </row>
    <row r="9349" spans="1:24">
      <c r="A9349">
        <f>HYPERLINK("https://www.philgeps.gov.ph/GEPSNONPILOT/Tender/SplashBidNoticeAbstractUI.aspx?menuIndex=3&amp;refID=7063541&amp;Result=3","7063541")</f>
        <v>0</v>
      </c>
      <c r="B9349" t="s">
        <v>1340</v>
      </c>
      <c r="C9349" t="s">
        <v>12304</v>
      </c>
      <c r="D9349" t="s">
        <v>16621</v>
      </c>
      <c r="E9349" t="s">
        <v>24834</v>
      </c>
      <c r="F9349" t="s">
        <v>28669</v>
      </c>
      <c r="G9349" t="s">
        <v>28675</v>
      </c>
      <c r="H9349" t="s">
        <v>28686</v>
      </c>
      <c r="I9349" t="s">
        <v>28689</v>
      </c>
      <c r="J9349" t="s">
        <v>34629</v>
      </c>
      <c r="K9349" t="s">
        <v>37220</v>
      </c>
      <c r="M9349" t="s">
        <v>40372</v>
      </c>
      <c r="N9349" t="s">
        <v>41249</v>
      </c>
      <c r="O9349" t="s">
        <v>41250</v>
      </c>
      <c r="P9349">
        <v>0</v>
      </c>
      <c r="Q9349">
        <v>0</v>
      </c>
      <c r="R9349" t="s">
        <v>41259</v>
      </c>
      <c r="S9349" t="s">
        <v>41562</v>
      </c>
      <c r="T9349" t="s">
        <v>42911</v>
      </c>
      <c r="U9349" t="s">
        <v>50731</v>
      </c>
      <c r="V9349" t="s">
        <v>55245</v>
      </c>
      <c r="W9349" t="s">
        <v>40372</v>
      </c>
      <c r="X9349" t="s">
        <v>41260</v>
      </c>
    </row>
    <row r="9350" spans="1:24">
      <c r="A9350">
        <f>HYPERLINK("https://www.philgeps.gov.ph/GEPSNONPILOT/Tender/SplashBidNoticeAbstractUI.aspx?menuIndex=3&amp;refID=7063596&amp;Result=3","7063596")</f>
        <v>0</v>
      </c>
      <c r="B9350" t="s">
        <v>1340</v>
      </c>
      <c r="C9350" t="s">
        <v>12305</v>
      </c>
      <c r="D9350" t="s">
        <v>16621</v>
      </c>
      <c r="E9350" t="s">
        <v>24835</v>
      </c>
      <c r="F9350" t="s">
        <v>28669</v>
      </c>
      <c r="G9350" t="s">
        <v>28675</v>
      </c>
      <c r="H9350" t="s">
        <v>28686</v>
      </c>
      <c r="I9350" t="s">
        <v>28689</v>
      </c>
      <c r="J9350" t="s">
        <v>34630</v>
      </c>
      <c r="K9350" t="s">
        <v>37220</v>
      </c>
      <c r="M9350" t="s">
        <v>40372</v>
      </c>
      <c r="N9350" t="s">
        <v>41249</v>
      </c>
      <c r="O9350" t="s">
        <v>41250</v>
      </c>
      <c r="P9350">
        <v>0</v>
      </c>
      <c r="Q9350">
        <v>0</v>
      </c>
      <c r="R9350" t="s">
        <v>41259</v>
      </c>
      <c r="S9350" t="s">
        <v>41562</v>
      </c>
      <c r="T9350" t="s">
        <v>42911</v>
      </c>
      <c r="U9350" t="s">
        <v>50722</v>
      </c>
      <c r="V9350" t="s">
        <v>55245</v>
      </c>
      <c r="W9350" t="s">
        <v>40372</v>
      </c>
      <c r="X9350" t="s">
        <v>41260</v>
      </c>
    </row>
    <row r="9351" spans="1:24">
      <c r="A9351">
        <f>HYPERLINK("https://www.philgeps.gov.ph/GEPSNONPILOT/Tender/SplashBidNoticeAbstractUI.aspx?menuIndex=3&amp;refID=7063609&amp;Result=3","7063609")</f>
        <v>0</v>
      </c>
      <c r="B9351" t="s">
        <v>50</v>
      </c>
      <c r="C9351" t="s">
        <v>12306</v>
      </c>
      <c r="D9351" t="s">
        <v>16630</v>
      </c>
      <c r="E9351" t="s">
        <v>24836</v>
      </c>
      <c r="F9351" t="s">
        <v>28669</v>
      </c>
      <c r="G9351" t="s">
        <v>28675</v>
      </c>
      <c r="H9351" t="s">
        <v>28686</v>
      </c>
      <c r="I9351" t="s">
        <v>28689</v>
      </c>
      <c r="J9351" t="s">
        <v>34631</v>
      </c>
      <c r="K9351" t="s">
        <v>37232</v>
      </c>
      <c r="M9351" t="s">
        <v>37525</v>
      </c>
      <c r="N9351" t="s">
        <v>41249</v>
      </c>
      <c r="O9351" t="s">
        <v>41250</v>
      </c>
      <c r="P9351">
        <v>0</v>
      </c>
      <c r="Q9351">
        <v>4</v>
      </c>
      <c r="R9351" t="s">
        <v>41259</v>
      </c>
      <c r="S9351" t="s">
        <v>41562</v>
      </c>
      <c r="T9351" t="s">
        <v>42987</v>
      </c>
      <c r="U9351" t="s">
        <v>50732</v>
      </c>
      <c r="W9351" t="s">
        <v>37525</v>
      </c>
      <c r="X9351" t="s">
        <v>41260</v>
      </c>
    </row>
    <row r="9352" spans="1:24">
      <c r="A9352">
        <f>HYPERLINK("https://www.philgeps.gov.ph/GEPSNONPILOT/Tender/SplashBidNoticeAbstractUI.aspx?menuIndex=3&amp;refID=7063647&amp;Result=3","7063647")</f>
        <v>0</v>
      </c>
      <c r="B9352" t="s">
        <v>1335</v>
      </c>
      <c r="C9352" t="s">
        <v>12307</v>
      </c>
      <c r="D9352" t="s">
        <v>16658</v>
      </c>
      <c r="E9352" t="s">
        <v>24837</v>
      </c>
      <c r="F9352" t="s">
        <v>28669</v>
      </c>
      <c r="G9352" t="s">
        <v>28675</v>
      </c>
      <c r="H9352" t="s">
        <v>9998</v>
      </c>
      <c r="I9352" t="s">
        <v>28751</v>
      </c>
      <c r="J9352" t="s">
        <v>28881</v>
      </c>
      <c r="K9352" t="s">
        <v>37221</v>
      </c>
      <c r="M9352" t="s">
        <v>38889</v>
      </c>
      <c r="N9352" t="s">
        <v>41249</v>
      </c>
      <c r="O9352" t="s">
        <v>41250</v>
      </c>
      <c r="P9352">
        <v>0</v>
      </c>
      <c r="Q9352">
        <v>8</v>
      </c>
      <c r="R9352" t="s">
        <v>41259</v>
      </c>
      <c r="S9352" t="s">
        <v>41562</v>
      </c>
      <c r="T9352" t="s">
        <v>42668</v>
      </c>
      <c r="U9352" t="s">
        <v>46002</v>
      </c>
      <c r="W9352" t="s">
        <v>38889</v>
      </c>
      <c r="X9352" t="s">
        <v>41260</v>
      </c>
    </row>
    <row r="9353" spans="1:24">
      <c r="A9353">
        <f>HYPERLINK("https://www.philgeps.gov.ph/GEPSNONPILOT/Tender/SplashBidNoticeAbstractUI.aspx?menuIndex=3&amp;refID=7063642&amp;Result=3","7063642")</f>
        <v>0</v>
      </c>
      <c r="B9353" t="s">
        <v>2754</v>
      </c>
      <c r="C9353" t="s">
        <v>12308</v>
      </c>
      <c r="D9353" t="s">
        <v>16616</v>
      </c>
      <c r="E9353" t="s">
        <v>24838</v>
      </c>
      <c r="F9353" t="s">
        <v>28669</v>
      </c>
      <c r="G9353" t="s">
        <v>28675</v>
      </c>
      <c r="H9353" t="s">
        <v>9998</v>
      </c>
      <c r="I9353" t="s">
        <v>28687</v>
      </c>
      <c r="J9353" t="s">
        <v>30162</v>
      </c>
      <c r="K9353" t="s">
        <v>37220</v>
      </c>
      <c r="M9353" t="s">
        <v>40472</v>
      </c>
      <c r="N9353" t="s">
        <v>41249</v>
      </c>
      <c r="O9353" t="s">
        <v>41250</v>
      </c>
      <c r="P9353">
        <v>0</v>
      </c>
      <c r="Q9353">
        <v>1</v>
      </c>
      <c r="R9353" t="s">
        <v>41259</v>
      </c>
      <c r="S9353" t="s">
        <v>41562</v>
      </c>
      <c r="T9353" t="s">
        <v>43088</v>
      </c>
      <c r="U9353" t="s">
        <v>50733</v>
      </c>
      <c r="V9353" t="s">
        <v>55294</v>
      </c>
      <c r="W9353" t="s">
        <v>40472</v>
      </c>
      <c r="X9353" t="s">
        <v>41260</v>
      </c>
    </row>
    <row r="9354" spans="1:24">
      <c r="A9354">
        <f>HYPERLINK("https://www.philgeps.gov.ph/GEPSNONPILOT/Tender/SplashBidNoticeAbstractUI.aspx?menuIndex=3&amp;refID=7063641&amp;Result=3","7063641")</f>
        <v>0</v>
      </c>
      <c r="B9354" t="s">
        <v>210</v>
      </c>
      <c r="C9354" t="s">
        <v>12309</v>
      </c>
      <c r="D9354" t="s">
        <v>16633</v>
      </c>
      <c r="E9354" t="s">
        <v>24839</v>
      </c>
      <c r="F9354" t="s">
        <v>28669</v>
      </c>
      <c r="G9354" t="s">
        <v>28675</v>
      </c>
      <c r="H9354" t="s">
        <v>28686</v>
      </c>
      <c r="I9354" t="s">
        <v>28689</v>
      </c>
      <c r="J9354" t="s">
        <v>34632</v>
      </c>
      <c r="K9354" t="s">
        <v>37222</v>
      </c>
      <c r="M9354" t="s">
        <v>37688</v>
      </c>
      <c r="N9354" t="s">
        <v>41249</v>
      </c>
      <c r="O9354" t="s">
        <v>41250</v>
      </c>
      <c r="P9354">
        <v>0</v>
      </c>
      <c r="Q9354">
        <v>1</v>
      </c>
      <c r="R9354" t="s">
        <v>41259</v>
      </c>
      <c r="S9354" t="s">
        <v>41562</v>
      </c>
      <c r="T9354" t="s">
        <v>42782</v>
      </c>
      <c r="U9354" t="s">
        <v>50734</v>
      </c>
      <c r="W9354" t="s">
        <v>37688</v>
      </c>
      <c r="X9354" t="s">
        <v>41260</v>
      </c>
    </row>
    <row r="9355" spans="1:24">
      <c r="A9355">
        <f>HYPERLINK("https://www.philgeps.gov.ph/GEPSNONPILOT/Tender/SplashBidNoticeAbstractUI.aspx?menuIndex=3&amp;refID=7063651&amp;Result=3","7063651")</f>
        <v>0</v>
      </c>
      <c r="B9355" t="s">
        <v>1340</v>
      </c>
      <c r="C9355" t="s">
        <v>12310</v>
      </c>
      <c r="D9355" t="s">
        <v>16621</v>
      </c>
      <c r="E9355" t="s">
        <v>24840</v>
      </c>
      <c r="F9355" t="s">
        <v>28669</v>
      </c>
      <c r="G9355" t="s">
        <v>28675</v>
      </c>
      <c r="H9355" t="s">
        <v>28686</v>
      </c>
      <c r="I9355" t="s">
        <v>28689</v>
      </c>
      <c r="J9355" t="s">
        <v>34633</v>
      </c>
      <c r="K9355" t="s">
        <v>37220</v>
      </c>
      <c r="M9355" t="s">
        <v>40372</v>
      </c>
      <c r="N9355" t="s">
        <v>41249</v>
      </c>
      <c r="O9355" t="s">
        <v>41250</v>
      </c>
      <c r="P9355">
        <v>0</v>
      </c>
      <c r="Q9355">
        <v>0</v>
      </c>
      <c r="R9355" t="s">
        <v>41259</v>
      </c>
      <c r="S9355" t="s">
        <v>41562</v>
      </c>
      <c r="T9355" t="s">
        <v>42911</v>
      </c>
      <c r="U9355" t="s">
        <v>50735</v>
      </c>
      <c r="V9355" t="s">
        <v>55245</v>
      </c>
      <c r="W9355" t="s">
        <v>40372</v>
      </c>
      <c r="X9355" t="s">
        <v>41260</v>
      </c>
    </row>
    <row r="9356" spans="1:24">
      <c r="A9356">
        <f>HYPERLINK("https://www.philgeps.gov.ph/GEPSNONPILOT/Tender/SplashBidNoticeAbstractUI.aspx?menuIndex=3&amp;refID=7063635&amp;Result=3","7063635")</f>
        <v>0</v>
      </c>
      <c r="B9356" t="s">
        <v>2733</v>
      </c>
      <c r="C9356" t="s">
        <v>12302</v>
      </c>
      <c r="D9356" t="s">
        <v>16658</v>
      </c>
      <c r="E9356" t="s">
        <v>24841</v>
      </c>
      <c r="F9356" t="s">
        <v>28669</v>
      </c>
      <c r="G9356" t="s">
        <v>28675</v>
      </c>
      <c r="H9356" t="s">
        <v>9998</v>
      </c>
      <c r="I9356" t="s">
        <v>28697</v>
      </c>
      <c r="J9356" t="s">
        <v>28834</v>
      </c>
      <c r="K9356" t="s">
        <v>37205</v>
      </c>
      <c r="M9356" t="s">
        <v>40448</v>
      </c>
      <c r="N9356" t="s">
        <v>41249</v>
      </c>
      <c r="O9356" t="s">
        <v>41250</v>
      </c>
      <c r="P9356">
        <v>0</v>
      </c>
      <c r="Q9356">
        <v>1</v>
      </c>
      <c r="R9356" t="s">
        <v>41259</v>
      </c>
      <c r="S9356" t="s">
        <v>41562</v>
      </c>
      <c r="T9356" t="s">
        <v>42992</v>
      </c>
      <c r="U9356" t="s">
        <v>50736</v>
      </c>
      <c r="W9356" t="s">
        <v>40448</v>
      </c>
      <c r="X9356" t="s">
        <v>41260</v>
      </c>
    </row>
    <row r="9357" spans="1:24">
      <c r="A9357">
        <f>HYPERLINK("https://www.philgeps.gov.ph/GEPSNONPILOT/Tender/SplashBidNoticeAbstractUI.aspx?menuIndex=3&amp;refID=7063630&amp;Result=3","7063630")</f>
        <v>0</v>
      </c>
      <c r="B9357" t="s">
        <v>2739</v>
      </c>
      <c r="C9357" t="s">
        <v>12311</v>
      </c>
      <c r="D9357" t="s">
        <v>16654</v>
      </c>
      <c r="E9357" t="s">
        <v>24842</v>
      </c>
      <c r="F9357" t="s">
        <v>28669</v>
      </c>
      <c r="G9357" t="s">
        <v>28675</v>
      </c>
      <c r="H9357" t="s">
        <v>28686</v>
      </c>
      <c r="I9357" t="s">
        <v>28689</v>
      </c>
      <c r="J9357" t="s">
        <v>34634</v>
      </c>
      <c r="K9357" t="s">
        <v>37334</v>
      </c>
      <c r="L9357" t="s">
        <v>2739</v>
      </c>
      <c r="M9357" t="s">
        <v>40454</v>
      </c>
      <c r="N9357" t="s">
        <v>41249</v>
      </c>
      <c r="O9357" t="s">
        <v>41250</v>
      </c>
      <c r="P9357">
        <v>0</v>
      </c>
      <c r="Q9357">
        <v>1</v>
      </c>
      <c r="R9357" t="s">
        <v>41259</v>
      </c>
      <c r="S9357" t="s">
        <v>41562</v>
      </c>
      <c r="T9357" t="s">
        <v>42761</v>
      </c>
      <c r="U9357" t="s">
        <v>50633</v>
      </c>
      <c r="W9357" t="s">
        <v>40454</v>
      </c>
      <c r="X9357" t="s">
        <v>41260</v>
      </c>
    </row>
    <row r="9358" spans="1:24">
      <c r="A9358">
        <f>HYPERLINK("https://www.philgeps.gov.ph/GEPSNONPILOT/Tender/SplashBidNoticeAbstractUI.aspx?menuIndex=3&amp;refID=7063623&amp;Result=3","7063623")</f>
        <v>0</v>
      </c>
      <c r="B9358" t="s">
        <v>988</v>
      </c>
      <c r="C9358" t="s">
        <v>12312</v>
      </c>
      <c r="D9358" t="s">
        <v>16635</v>
      </c>
      <c r="E9358" t="s">
        <v>12312</v>
      </c>
      <c r="F9358" t="s">
        <v>28669</v>
      </c>
      <c r="G9358" t="s">
        <v>28677</v>
      </c>
      <c r="H9358" t="s">
        <v>9998</v>
      </c>
      <c r="I9358" t="s">
        <v>28749</v>
      </c>
      <c r="J9358" t="s">
        <v>34635</v>
      </c>
      <c r="K9358" t="s">
        <v>37206</v>
      </c>
      <c r="M9358" t="s">
        <v>40458</v>
      </c>
      <c r="N9358" t="s">
        <v>41249</v>
      </c>
      <c r="O9358" t="s">
        <v>41250</v>
      </c>
      <c r="P9358">
        <v>0</v>
      </c>
      <c r="Q9358">
        <v>2</v>
      </c>
      <c r="R9358" t="s">
        <v>41259</v>
      </c>
      <c r="S9358" t="s">
        <v>41562</v>
      </c>
      <c r="T9358" t="s">
        <v>42876</v>
      </c>
      <c r="U9358" t="s">
        <v>50737</v>
      </c>
      <c r="W9358" t="s">
        <v>40458</v>
      </c>
      <c r="X9358" t="s">
        <v>41260</v>
      </c>
    </row>
    <row r="9359" spans="1:24">
      <c r="A9359">
        <f>HYPERLINK("https://www.philgeps.gov.ph/GEPSNONPILOT/Tender/SplashBidNoticeAbstractUI.aspx?menuIndex=3&amp;refID=7063643&amp;Result=3","7063643")</f>
        <v>0</v>
      </c>
      <c r="B9359" t="s">
        <v>988</v>
      </c>
      <c r="C9359" t="s">
        <v>12313</v>
      </c>
      <c r="D9359" t="s">
        <v>16635</v>
      </c>
      <c r="E9359" t="s">
        <v>12313</v>
      </c>
      <c r="F9359" t="s">
        <v>28669</v>
      </c>
      <c r="G9359" t="s">
        <v>28677</v>
      </c>
      <c r="H9359" t="s">
        <v>9998</v>
      </c>
      <c r="I9359" t="s">
        <v>28704</v>
      </c>
      <c r="J9359" t="s">
        <v>34636</v>
      </c>
      <c r="K9359" t="s">
        <v>37206</v>
      </c>
      <c r="M9359" t="s">
        <v>40458</v>
      </c>
      <c r="N9359" t="s">
        <v>41249</v>
      </c>
      <c r="O9359" t="s">
        <v>41250</v>
      </c>
      <c r="P9359">
        <v>0</v>
      </c>
      <c r="Q9359">
        <v>0</v>
      </c>
      <c r="R9359" t="s">
        <v>41259</v>
      </c>
      <c r="S9359" t="s">
        <v>41562</v>
      </c>
      <c r="T9359" t="s">
        <v>42876</v>
      </c>
      <c r="U9359" t="s">
        <v>50700</v>
      </c>
      <c r="W9359" t="s">
        <v>40458</v>
      </c>
      <c r="X9359" t="s">
        <v>41260</v>
      </c>
    </row>
    <row r="9360" spans="1:24">
      <c r="A9360">
        <f>HYPERLINK("https://www.philgeps.gov.ph/GEPSNONPILOT/Tender/SplashBidNoticeAbstractUI.aspx?menuIndex=3&amp;refID=7063620&amp;Result=3","7063620")</f>
        <v>0</v>
      </c>
      <c r="B9360" t="s">
        <v>1438</v>
      </c>
      <c r="C9360" t="s">
        <v>12314</v>
      </c>
      <c r="D9360" t="s">
        <v>16609</v>
      </c>
      <c r="E9360" t="s">
        <v>24843</v>
      </c>
      <c r="F9360" t="s">
        <v>28669</v>
      </c>
      <c r="G9360" t="s">
        <v>28678</v>
      </c>
      <c r="H9360" t="s">
        <v>9998</v>
      </c>
      <c r="I9360" t="s">
        <v>3718</v>
      </c>
      <c r="J9360" t="s">
        <v>28905</v>
      </c>
      <c r="K9360" t="s">
        <v>37220</v>
      </c>
      <c r="M9360" t="s">
        <v>39002</v>
      </c>
      <c r="N9360" t="s">
        <v>41249</v>
      </c>
      <c r="O9360" t="s">
        <v>41250</v>
      </c>
      <c r="P9360">
        <v>0</v>
      </c>
      <c r="Q9360">
        <v>3</v>
      </c>
      <c r="R9360" t="s">
        <v>41259</v>
      </c>
      <c r="S9360" t="s">
        <v>41562</v>
      </c>
      <c r="T9360" t="s">
        <v>42727</v>
      </c>
      <c r="U9360" t="s">
        <v>50738</v>
      </c>
      <c r="V9360" t="s">
        <v>55295</v>
      </c>
      <c r="W9360" t="s">
        <v>39002</v>
      </c>
      <c r="X9360" t="s">
        <v>41260</v>
      </c>
    </row>
    <row r="9361" spans="1:24">
      <c r="A9361">
        <f>HYPERLINK("https://www.philgeps.gov.ph/GEPSNONPILOT/Tender/SplashBidNoticeAbstractUI.aspx?menuIndex=3&amp;refID=7063681&amp;Result=3","7063681")</f>
        <v>0</v>
      </c>
      <c r="B9361" t="s">
        <v>2755</v>
      </c>
      <c r="C9361" t="s">
        <v>12315</v>
      </c>
      <c r="D9361" t="s">
        <v>16640</v>
      </c>
      <c r="E9361" t="s">
        <v>24844</v>
      </c>
      <c r="F9361" t="s">
        <v>28669</v>
      </c>
      <c r="G9361" t="s">
        <v>28675</v>
      </c>
      <c r="H9361" t="s">
        <v>28686</v>
      </c>
      <c r="I9361" t="s">
        <v>28689</v>
      </c>
      <c r="J9361" t="s">
        <v>34637</v>
      </c>
      <c r="K9361" t="s">
        <v>37254</v>
      </c>
      <c r="M9361" t="s">
        <v>40473</v>
      </c>
      <c r="N9361" t="s">
        <v>41249</v>
      </c>
      <c r="O9361" t="s">
        <v>41250</v>
      </c>
      <c r="P9361">
        <v>0</v>
      </c>
      <c r="Q9361">
        <v>0</v>
      </c>
      <c r="R9361" t="s">
        <v>41259</v>
      </c>
      <c r="S9361" t="s">
        <v>41562</v>
      </c>
      <c r="T9361" t="s">
        <v>42739</v>
      </c>
      <c r="U9361" t="s">
        <v>50739</v>
      </c>
      <c r="W9361" t="s">
        <v>40473</v>
      </c>
      <c r="X9361" t="s">
        <v>41260</v>
      </c>
    </row>
    <row r="9362" spans="1:24">
      <c r="A9362">
        <f>HYPERLINK("https://www.philgeps.gov.ph/GEPSNONPILOT/Tender/SplashBidNoticeAbstractUI.aspx?menuIndex=3&amp;refID=7063674&amp;Result=3","7063674")</f>
        <v>0</v>
      </c>
      <c r="B9362" t="s">
        <v>2430</v>
      </c>
      <c r="C9362" t="s">
        <v>12316</v>
      </c>
      <c r="D9362" t="s">
        <v>16658</v>
      </c>
      <c r="E9362" t="s">
        <v>24845</v>
      </c>
      <c r="F9362" t="s">
        <v>28669</v>
      </c>
      <c r="G9362" t="s">
        <v>28675</v>
      </c>
      <c r="H9362" t="s">
        <v>9998</v>
      </c>
      <c r="I9362" t="s">
        <v>7352</v>
      </c>
      <c r="J9362" t="s">
        <v>34638</v>
      </c>
      <c r="K9362" t="s">
        <v>37210</v>
      </c>
      <c r="L9362" t="s">
        <v>2430</v>
      </c>
      <c r="M9362" t="s">
        <v>40113</v>
      </c>
      <c r="N9362" t="s">
        <v>41249</v>
      </c>
      <c r="O9362" t="s">
        <v>41250</v>
      </c>
      <c r="P9362">
        <v>0</v>
      </c>
      <c r="Q9362">
        <v>0</v>
      </c>
      <c r="R9362" t="s">
        <v>41259</v>
      </c>
      <c r="S9362" t="s">
        <v>41562</v>
      </c>
      <c r="T9362" t="s">
        <v>42739</v>
      </c>
      <c r="U9362" t="s">
        <v>49645</v>
      </c>
      <c r="W9362" t="s">
        <v>40113</v>
      </c>
      <c r="X9362" t="s">
        <v>41260</v>
      </c>
    </row>
    <row r="9363" spans="1:24">
      <c r="A9363">
        <f>HYPERLINK("https://www.philgeps.gov.ph/GEPSNONPILOT/Tender/SplashBidNoticeAbstractUI.aspx?menuIndex=3&amp;refID=7063670&amp;Result=3","7063670")</f>
        <v>0</v>
      </c>
      <c r="B9363" t="s">
        <v>1340</v>
      </c>
      <c r="C9363" t="s">
        <v>12317</v>
      </c>
      <c r="D9363" t="s">
        <v>16621</v>
      </c>
      <c r="E9363" t="s">
        <v>24846</v>
      </c>
      <c r="F9363" t="s">
        <v>28669</v>
      </c>
      <c r="G9363" t="s">
        <v>28675</v>
      </c>
      <c r="H9363" t="s">
        <v>28686</v>
      </c>
      <c r="I9363" t="s">
        <v>28689</v>
      </c>
      <c r="J9363" t="s">
        <v>34639</v>
      </c>
      <c r="K9363" t="s">
        <v>37220</v>
      </c>
      <c r="M9363" t="s">
        <v>40372</v>
      </c>
      <c r="N9363" t="s">
        <v>41249</v>
      </c>
      <c r="O9363" t="s">
        <v>41250</v>
      </c>
      <c r="P9363">
        <v>0</v>
      </c>
      <c r="Q9363">
        <v>0</v>
      </c>
      <c r="R9363" t="s">
        <v>41259</v>
      </c>
      <c r="S9363" t="s">
        <v>41562</v>
      </c>
      <c r="T9363" t="s">
        <v>42911</v>
      </c>
      <c r="U9363" t="s">
        <v>50735</v>
      </c>
      <c r="V9363" t="s">
        <v>55245</v>
      </c>
      <c r="W9363" t="s">
        <v>40372</v>
      </c>
      <c r="X9363" t="s">
        <v>41260</v>
      </c>
    </row>
    <row r="9364" spans="1:24">
      <c r="A9364">
        <f>HYPERLINK("https://www.philgeps.gov.ph/GEPSNONPILOT/Tender/SplashBidNoticeAbstractUI.aspx?menuIndex=3&amp;refID=7063667&amp;Result=3","7063667")</f>
        <v>0</v>
      </c>
      <c r="B9364" t="s">
        <v>1064</v>
      </c>
      <c r="C9364" t="s">
        <v>12318</v>
      </c>
      <c r="D9364" t="s">
        <v>16655</v>
      </c>
      <c r="E9364" t="s">
        <v>24847</v>
      </c>
      <c r="F9364" t="s">
        <v>28669</v>
      </c>
      <c r="G9364" t="s">
        <v>28675</v>
      </c>
      <c r="H9364" t="s">
        <v>28686</v>
      </c>
      <c r="I9364" t="s">
        <v>28689</v>
      </c>
      <c r="J9364" t="s">
        <v>34640</v>
      </c>
      <c r="K9364" t="s">
        <v>37223</v>
      </c>
      <c r="M9364" t="s">
        <v>38595</v>
      </c>
      <c r="N9364" t="s">
        <v>41249</v>
      </c>
      <c r="O9364" t="s">
        <v>41250</v>
      </c>
      <c r="P9364">
        <v>0</v>
      </c>
      <c r="Q9364">
        <v>0</v>
      </c>
      <c r="R9364" t="s">
        <v>41259</v>
      </c>
      <c r="S9364" t="s">
        <v>41562</v>
      </c>
      <c r="T9364" t="s">
        <v>42761</v>
      </c>
      <c r="U9364" t="s">
        <v>45354</v>
      </c>
      <c r="W9364" t="s">
        <v>38595</v>
      </c>
      <c r="X9364" t="s">
        <v>41260</v>
      </c>
    </row>
    <row r="9365" spans="1:24">
      <c r="A9365">
        <f>HYPERLINK("https://www.philgeps.gov.ph/GEPSNONPILOT/Tender/SplashBidNoticeAbstractUI.aspx?menuIndex=3&amp;refID=7063685&amp;Result=3","7063685")</f>
        <v>0</v>
      </c>
      <c r="B9365" t="s">
        <v>1340</v>
      </c>
      <c r="C9365" t="s">
        <v>12319</v>
      </c>
      <c r="D9365" t="s">
        <v>16621</v>
      </c>
      <c r="E9365" t="s">
        <v>24848</v>
      </c>
      <c r="F9365" t="s">
        <v>28669</v>
      </c>
      <c r="G9365" t="s">
        <v>28675</v>
      </c>
      <c r="H9365" t="s">
        <v>28686</v>
      </c>
      <c r="I9365" t="s">
        <v>28689</v>
      </c>
      <c r="J9365" t="s">
        <v>34641</v>
      </c>
      <c r="K9365" t="s">
        <v>37221</v>
      </c>
      <c r="M9365" t="s">
        <v>40372</v>
      </c>
      <c r="N9365" t="s">
        <v>41249</v>
      </c>
      <c r="O9365" t="s">
        <v>41250</v>
      </c>
      <c r="P9365">
        <v>0</v>
      </c>
      <c r="Q9365">
        <v>0</v>
      </c>
      <c r="R9365" t="s">
        <v>41259</v>
      </c>
      <c r="S9365" t="s">
        <v>41562</v>
      </c>
      <c r="T9365" t="s">
        <v>42911</v>
      </c>
      <c r="U9365" t="s">
        <v>50735</v>
      </c>
      <c r="V9365" t="s">
        <v>55245</v>
      </c>
      <c r="W9365" t="s">
        <v>40372</v>
      </c>
      <c r="X9365" t="s">
        <v>41260</v>
      </c>
    </row>
    <row r="9366" spans="1:24">
      <c r="A9366">
        <f>HYPERLINK("https://www.philgeps.gov.ph/GEPSNONPILOT/Tender/SplashBidNoticeAbstractUI.aspx?menuIndex=3&amp;refID=7063657&amp;Result=3","7063657")</f>
        <v>0</v>
      </c>
      <c r="B9366" t="s">
        <v>988</v>
      </c>
      <c r="C9366" t="s">
        <v>12320</v>
      </c>
      <c r="D9366" t="s">
        <v>16635</v>
      </c>
      <c r="E9366" t="s">
        <v>12320</v>
      </c>
      <c r="F9366" t="s">
        <v>28669</v>
      </c>
      <c r="G9366" t="s">
        <v>28677</v>
      </c>
      <c r="H9366" t="s">
        <v>9998</v>
      </c>
      <c r="I9366" t="s">
        <v>28704</v>
      </c>
      <c r="J9366" t="s">
        <v>29114</v>
      </c>
      <c r="K9366" t="s">
        <v>37206</v>
      </c>
      <c r="M9366" t="s">
        <v>40458</v>
      </c>
      <c r="N9366" t="s">
        <v>41249</v>
      </c>
      <c r="O9366" t="s">
        <v>41250</v>
      </c>
      <c r="P9366">
        <v>0</v>
      </c>
      <c r="Q9366">
        <v>0</v>
      </c>
      <c r="R9366" t="s">
        <v>41259</v>
      </c>
      <c r="S9366" t="s">
        <v>41562</v>
      </c>
      <c r="T9366" t="s">
        <v>42876</v>
      </c>
      <c r="U9366" t="s">
        <v>50700</v>
      </c>
      <c r="W9366" t="s">
        <v>40458</v>
      </c>
      <c r="X9366" t="s">
        <v>41260</v>
      </c>
    </row>
    <row r="9367" spans="1:24">
      <c r="A9367">
        <f>HYPERLINK("https://www.philgeps.gov.ph/GEPSNONPILOT/Tender/SplashBidNoticeAbstractUI.aspx?menuIndex=3&amp;refID=7063611&amp;Result=3","7063611")</f>
        <v>0</v>
      </c>
      <c r="B9367" t="s">
        <v>1340</v>
      </c>
      <c r="C9367" t="s">
        <v>12321</v>
      </c>
      <c r="D9367" t="s">
        <v>16621</v>
      </c>
      <c r="E9367" t="s">
        <v>24849</v>
      </c>
      <c r="F9367" t="s">
        <v>28669</v>
      </c>
      <c r="G9367" t="s">
        <v>28675</v>
      </c>
      <c r="H9367" t="s">
        <v>28686</v>
      </c>
      <c r="I9367" t="s">
        <v>28689</v>
      </c>
      <c r="J9367" t="s">
        <v>34642</v>
      </c>
      <c r="K9367" t="s">
        <v>37206</v>
      </c>
      <c r="M9367" t="s">
        <v>40372</v>
      </c>
      <c r="N9367" t="s">
        <v>41249</v>
      </c>
      <c r="O9367" t="s">
        <v>41250</v>
      </c>
      <c r="P9367">
        <v>0</v>
      </c>
      <c r="Q9367">
        <v>0</v>
      </c>
      <c r="R9367" t="s">
        <v>41259</v>
      </c>
      <c r="S9367" t="s">
        <v>41562</v>
      </c>
      <c r="T9367" t="s">
        <v>42911</v>
      </c>
      <c r="U9367" t="s">
        <v>50722</v>
      </c>
      <c r="V9367" t="s">
        <v>55245</v>
      </c>
      <c r="W9367" t="s">
        <v>40372</v>
      </c>
      <c r="X9367" t="s">
        <v>41260</v>
      </c>
    </row>
    <row r="9368" spans="1:24">
      <c r="A9368">
        <f>HYPERLINK("https://www.philgeps.gov.ph/GEPSNONPILOT/Tender/SplashBidNoticeAbstractUI.aspx?menuIndex=3&amp;refID=7063662&amp;Result=3","7063662")</f>
        <v>0</v>
      </c>
      <c r="B9368" t="s">
        <v>2679</v>
      </c>
      <c r="C9368" t="s">
        <v>12322</v>
      </c>
      <c r="D9368" t="s">
        <v>16627</v>
      </c>
      <c r="E9368" t="s">
        <v>24850</v>
      </c>
      <c r="F9368" t="s">
        <v>28669</v>
      </c>
      <c r="G9368" t="s">
        <v>28675</v>
      </c>
      <c r="H9368" t="s">
        <v>9998</v>
      </c>
      <c r="I9368" t="s">
        <v>28690</v>
      </c>
      <c r="J9368" t="s">
        <v>34643</v>
      </c>
      <c r="K9368" t="s">
        <v>37209</v>
      </c>
      <c r="M9368" t="s">
        <v>40387</v>
      </c>
      <c r="N9368" t="s">
        <v>41249</v>
      </c>
      <c r="O9368" t="s">
        <v>41250</v>
      </c>
      <c r="P9368">
        <v>0</v>
      </c>
      <c r="Q9368">
        <v>15</v>
      </c>
      <c r="R9368" t="s">
        <v>41259</v>
      </c>
      <c r="S9368" t="s">
        <v>41562</v>
      </c>
      <c r="T9368" t="s">
        <v>42767</v>
      </c>
      <c r="U9368" t="s">
        <v>50740</v>
      </c>
      <c r="V9368" t="s">
        <v>55249</v>
      </c>
      <c r="W9368" t="s">
        <v>40387</v>
      </c>
      <c r="X9368" t="s">
        <v>41260</v>
      </c>
    </row>
    <row r="9369" spans="1:24">
      <c r="A9369">
        <f>HYPERLINK("https://www.philgeps.gov.ph/GEPSNONPILOT/Tender/SplashBidNoticeAbstractUI.aspx?menuIndex=3&amp;refID=7063690&amp;Result=3","7063690")</f>
        <v>0</v>
      </c>
      <c r="B9369" t="s">
        <v>1368</v>
      </c>
      <c r="C9369" t="s">
        <v>12323</v>
      </c>
      <c r="D9369" t="s">
        <v>16662</v>
      </c>
      <c r="E9369" t="s">
        <v>24851</v>
      </c>
      <c r="F9369" t="s">
        <v>28669</v>
      </c>
      <c r="G9369" t="s">
        <v>28676</v>
      </c>
      <c r="H9369" t="s">
        <v>9998</v>
      </c>
      <c r="I9369" t="s">
        <v>7352</v>
      </c>
      <c r="J9369" t="s">
        <v>34644</v>
      </c>
      <c r="K9369" t="s">
        <v>37210</v>
      </c>
      <c r="M9369" t="s">
        <v>38926</v>
      </c>
      <c r="N9369" t="s">
        <v>41249</v>
      </c>
      <c r="O9369" t="s">
        <v>41250</v>
      </c>
      <c r="P9369">
        <v>0</v>
      </c>
      <c r="Q9369">
        <v>1</v>
      </c>
      <c r="R9369" t="s">
        <v>41259</v>
      </c>
      <c r="S9369" t="s">
        <v>41562</v>
      </c>
      <c r="T9369" t="s">
        <v>43089</v>
      </c>
      <c r="U9369" t="s">
        <v>50741</v>
      </c>
      <c r="W9369" t="s">
        <v>38926</v>
      </c>
      <c r="X9369" t="s">
        <v>41260</v>
      </c>
    </row>
    <row r="9370" spans="1:24">
      <c r="A9370">
        <f>HYPERLINK("https://www.philgeps.gov.ph/GEPSNONPILOT/Tender/SplashBidNoticeAbstractUI.aspx?menuIndex=3&amp;refID=7063742&amp;Result=3","7063742")</f>
        <v>0</v>
      </c>
      <c r="B9370" t="s">
        <v>754</v>
      </c>
      <c r="C9370" t="s">
        <v>6933</v>
      </c>
      <c r="D9370" t="s">
        <v>16608</v>
      </c>
      <c r="E9370" t="s">
        <v>24852</v>
      </c>
      <c r="F9370" t="s">
        <v>28669</v>
      </c>
      <c r="G9370" t="s">
        <v>28678</v>
      </c>
      <c r="H9370" t="s">
        <v>9998</v>
      </c>
      <c r="I9370" t="s">
        <v>6128</v>
      </c>
      <c r="J9370" t="s">
        <v>34645</v>
      </c>
      <c r="K9370" t="s">
        <v>37204</v>
      </c>
      <c r="M9370" t="s">
        <v>38265</v>
      </c>
      <c r="N9370" t="s">
        <v>41249</v>
      </c>
      <c r="O9370" t="s">
        <v>41250</v>
      </c>
      <c r="Q9370">
        <v>9</v>
      </c>
      <c r="R9370" t="s">
        <v>41259</v>
      </c>
      <c r="S9370" t="s">
        <v>41601</v>
      </c>
      <c r="T9370" t="s">
        <v>42705</v>
      </c>
      <c r="U9370" t="s">
        <v>44657</v>
      </c>
      <c r="W9370" t="s">
        <v>38265</v>
      </c>
      <c r="X9370" t="s">
        <v>41260</v>
      </c>
    </row>
    <row r="9371" spans="1:24">
      <c r="A9371">
        <f>HYPERLINK("https://www.philgeps.gov.ph/GEPSNONPILOT/Tender/SplashBidNoticeAbstractUI.aspx?menuIndex=3&amp;refID=7063739&amp;Result=3","7063739")</f>
        <v>0</v>
      </c>
      <c r="B9371" t="s">
        <v>50</v>
      </c>
      <c r="C9371" t="s">
        <v>12324</v>
      </c>
      <c r="D9371" t="s">
        <v>16630</v>
      </c>
      <c r="E9371" t="s">
        <v>24853</v>
      </c>
      <c r="F9371" t="s">
        <v>28669</v>
      </c>
      <c r="G9371" t="s">
        <v>28675</v>
      </c>
      <c r="H9371" t="s">
        <v>28686</v>
      </c>
      <c r="I9371" t="s">
        <v>28689</v>
      </c>
      <c r="J9371" t="s">
        <v>34646</v>
      </c>
      <c r="K9371" t="s">
        <v>37232</v>
      </c>
      <c r="M9371" t="s">
        <v>37525</v>
      </c>
      <c r="N9371" t="s">
        <v>41249</v>
      </c>
      <c r="O9371" t="s">
        <v>41250</v>
      </c>
      <c r="P9371">
        <v>0</v>
      </c>
      <c r="Q9371">
        <v>5</v>
      </c>
      <c r="R9371" t="s">
        <v>41259</v>
      </c>
      <c r="S9371" t="s">
        <v>41562</v>
      </c>
      <c r="T9371" t="s">
        <v>42987</v>
      </c>
      <c r="U9371" t="s">
        <v>50742</v>
      </c>
      <c r="W9371" t="s">
        <v>37525</v>
      </c>
      <c r="X9371" t="s">
        <v>41260</v>
      </c>
    </row>
    <row r="9372" spans="1:24">
      <c r="A9372">
        <f>HYPERLINK("https://www.philgeps.gov.ph/GEPSNONPILOT/Tender/SplashBidNoticeAbstractUI.aspx?menuIndex=3&amp;refID=7063738&amp;Result=3","7063738")</f>
        <v>0</v>
      </c>
      <c r="B9372" t="s">
        <v>2756</v>
      </c>
      <c r="C9372" t="s">
        <v>12325</v>
      </c>
      <c r="D9372" t="s">
        <v>16623</v>
      </c>
      <c r="E9372" t="s">
        <v>24854</v>
      </c>
      <c r="F9372" t="s">
        <v>28669</v>
      </c>
      <c r="G9372" t="s">
        <v>28676</v>
      </c>
      <c r="H9372" t="s">
        <v>9998</v>
      </c>
      <c r="I9372" t="s">
        <v>6128</v>
      </c>
      <c r="J9372" t="s">
        <v>34647</v>
      </c>
      <c r="K9372" t="s">
        <v>37210</v>
      </c>
      <c r="M9372" t="s">
        <v>40474</v>
      </c>
      <c r="N9372" t="s">
        <v>41249</v>
      </c>
      <c r="O9372" t="s">
        <v>41250</v>
      </c>
      <c r="P9372">
        <v>0</v>
      </c>
      <c r="Q9372">
        <v>0</v>
      </c>
      <c r="R9372" t="s">
        <v>41259</v>
      </c>
      <c r="S9372" t="s">
        <v>41562</v>
      </c>
      <c r="T9372" t="s">
        <v>42738</v>
      </c>
      <c r="U9372" t="s">
        <v>50743</v>
      </c>
      <c r="W9372" t="s">
        <v>40474</v>
      </c>
      <c r="X9372" t="s">
        <v>41260</v>
      </c>
    </row>
    <row r="9373" spans="1:24">
      <c r="A9373">
        <f>HYPERLINK("https://www.philgeps.gov.ph/GEPSNONPILOT/Tender/SplashBidNoticeAbstractUI.aspx?menuIndex=3&amp;refID=7063737&amp;Result=3","7063737")</f>
        <v>0</v>
      </c>
      <c r="B9373" t="s">
        <v>2757</v>
      </c>
      <c r="C9373" t="s">
        <v>12326</v>
      </c>
      <c r="D9373" t="s">
        <v>16677</v>
      </c>
      <c r="E9373" t="s">
        <v>24855</v>
      </c>
      <c r="F9373" t="s">
        <v>28669</v>
      </c>
      <c r="G9373" t="s">
        <v>28675</v>
      </c>
      <c r="H9373" t="s">
        <v>9998</v>
      </c>
      <c r="I9373" t="s">
        <v>28690</v>
      </c>
      <c r="J9373" t="s">
        <v>34648</v>
      </c>
      <c r="K9373" t="s">
        <v>37204</v>
      </c>
      <c r="M9373" t="s">
        <v>40475</v>
      </c>
      <c r="N9373" t="s">
        <v>41249</v>
      </c>
      <c r="O9373" t="s">
        <v>41250</v>
      </c>
      <c r="P9373">
        <v>0</v>
      </c>
      <c r="Q9373">
        <v>3</v>
      </c>
      <c r="R9373" t="s">
        <v>41259</v>
      </c>
      <c r="S9373" t="s">
        <v>41562</v>
      </c>
      <c r="T9373" t="s">
        <v>42881</v>
      </c>
      <c r="U9373" t="s">
        <v>50744</v>
      </c>
      <c r="W9373" t="s">
        <v>40475</v>
      </c>
      <c r="X9373" t="s">
        <v>41260</v>
      </c>
    </row>
    <row r="9374" spans="1:24">
      <c r="A9374">
        <f>HYPERLINK("https://www.philgeps.gov.ph/GEPSNONPILOT/Tender/SplashBidNoticeAbstractUI.aspx?menuIndex=3&amp;refID=7063732&amp;Result=3","7063732")</f>
        <v>0</v>
      </c>
      <c r="B9374" t="s">
        <v>988</v>
      </c>
      <c r="C9374" t="s">
        <v>12327</v>
      </c>
      <c r="D9374" t="s">
        <v>16635</v>
      </c>
      <c r="E9374" t="s">
        <v>24856</v>
      </c>
      <c r="F9374" t="s">
        <v>28669</v>
      </c>
      <c r="G9374" t="s">
        <v>28678</v>
      </c>
      <c r="H9374" t="s">
        <v>9998</v>
      </c>
      <c r="I9374" t="s">
        <v>28708</v>
      </c>
      <c r="J9374" t="s">
        <v>28879</v>
      </c>
      <c r="K9374" t="s">
        <v>37206</v>
      </c>
      <c r="M9374" t="s">
        <v>39801</v>
      </c>
      <c r="N9374" t="s">
        <v>41249</v>
      </c>
      <c r="O9374" t="s">
        <v>41250</v>
      </c>
      <c r="P9374">
        <v>0</v>
      </c>
      <c r="Q9374">
        <v>10</v>
      </c>
      <c r="R9374" t="s">
        <v>41259</v>
      </c>
      <c r="S9374" t="s">
        <v>41562</v>
      </c>
      <c r="T9374" t="s">
        <v>42690</v>
      </c>
      <c r="U9374" t="s">
        <v>50745</v>
      </c>
      <c r="W9374" t="s">
        <v>39801</v>
      </c>
      <c r="X9374" t="s">
        <v>41260</v>
      </c>
    </row>
    <row r="9375" spans="1:24">
      <c r="A9375">
        <f>HYPERLINK("https://www.philgeps.gov.ph/GEPSNONPILOT/Tender/SplashBidNoticeAbstractUI.aspx?menuIndex=3&amp;refID=7063724&amp;Result=3","7063724")</f>
        <v>0</v>
      </c>
      <c r="B9375" t="s">
        <v>619</v>
      </c>
      <c r="C9375" t="s">
        <v>12328</v>
      </c>
      <c r="D9375" t="s">
        <v>16640</v>
      </c>
      <c r="E9375" t="s">
        <v>24857</v>
      </c>
      <c r="F9375" t="s">
        <v>28669</v>
      </c>
      <c r="G9375" t="s">
        <v>28675</v>
      </c>
      <c r="H9375" t="s">
        <v>9998</v>
      </c>
      <c r="I9375" t="s">
        <v>5033</v>
      </c>
      <c r="J9375" t="s">
        <v>28877</v>
      </c>
      <c r="K9375" t="s">
        <v>37204</v>
      </c>
      <c r="M9375" t="s">
        <v>38119</v>
      </c>
      <c r="N9375" t="s">
        <v>41249</v>
      </c>
      <c r="O9375" t="s">
        <v>41250</v>
      </c>
      <c r="P9375">
        <v>0</v>
      </c>
      <c r="Q9375">
        <v>5</v>
      </c>
      <c r="R9375" t="s">
        <v>41259</v>
      </c>
      <c r="S9375" t="s">
        <v>41562</v>
      </c>
      <c r="T9375" t="s">
        <v>42698</v>
      </c>
      <c r="U9375" t="s">
        <v>44333</v>
      </c>
      <c r="W9375" t="s">
        <v>38119</v>
      </c>
      <c r="X9375" t="s">
        <v>41260</v>
      </c>
    </row>
    <row r="9376" spans="1:24">
      <c r="A9376">
        <f>HYPERLINK("https://www.philgeps.gov.ph/GEPSNONPILOT/Tender/SplashBidNoticeAbstractUI.aspx?menuIndex=3&amp;refID=7063711&amp;Result=3","7063711")</f>
        <v>0</v>
      </c>
      <c r="B9376" t="s">
        <v>453</v>
      </c>
      <c r="C9376" t="s">
        <v>12329</v>
      </c>
      <c r="D9376" t="s">
        <v>16633</v>
      </c>
      <c r="E9376" t="s">
        <v>24858</v>
      </c>
      <c r="F9376" t="s">
        <v>28669</v>
      </c>
      <c r="G9376" t="s">
        <v>28675</v>
      </c>
      <c r="H9376" t="s">
        <v>9998</v>
      </c>
      <c r="I9376" t="s">
        <v>28736</v>
      </c>
      <c r="J9376" t="s">
        <v>34649</v>
      </c>
      <c r="K9376" t="s">
        <v>37227</v>
      </c>
      <c r="M9376" t="s">
        <v>37941</v>
      </c>
      <c r="N9376" t="s">
        <v>41249</v>
      </c>
      <c r="O9376" t="s">
        <v>41250</v>
      </c>
      <c r="P9376">
        <v>0</v>
      </c>
      <c r="Q9376">
        <v>3</v>
      </c>
      <c r="R9376" t="s">
        <v>41259</v>
      </c>
      <c r="S9376" t="s">
        <v>41562</v>
      </c>
      <c r="T9376" t="s">
        <v>43090</v>
      </c>
      <c r="U9376" t="s">
        <v>50746</v>
      </c>
      <c r="W9376" t="s">
        <v>37941</v>
      </c>
      <c r="X9376" t="s">
        <v>41260</v>
      </c>
    </row>
    <row r="9377" spans="1:24">
      <c r="A9377">
        <f>HYPERLINK("https://www.philgeps.gov.ph/GEPSNONPILOT/Tender/SplashBidNoticeAbstractUI.aspx?menuIndex=3&amp;refID=7063709&amp;Result=3","7063709")</f>
        <v>0</v>
      </c>
      <c r="B9377" t="s">
        <v>988</v>
      </c>
      <c r="C9377" t="s">
        <v>12330</v>
      </c>
      <c r="D9377" t="s">
        <v>16635</v>
      </c>
      <c r="E9377" t="s">
        <v>24859</v>
      </c>
      <c r="F9377" t="s">
        <v>28669</v>
      </c>
      <c r="G9377" t="s">
        <v>28676</v>
      </c>
      <c r="H9377" t="s">
        <v>9998</v>
      </c>
      <c r="I9377" t="s">
        <v>28728</v>
      </c>
      <c r="J9377" t="s">
        <v>28836</v>
      </c>
      <c r="K9377" t="s">
        <v>37253</v>
      </c>
      <c r="M9377" t="s">
        <v>39801</v>
      </c>
      <c r="N9377" t="s">
        <v>41249</v>
      </c>
      <c r="O9377" t="s">
        <v>41250</v>
      </c>
      <c r="P9377">
        <v>0</v>
      </c>
      <c r="Q9377">
        <v>2</v>
      </c>
      <c r="R9377" t="s">
        <v>41259</v>
      </c>
      <c r="S9377" t="s">
        <v>41562</v>
      </c>
      <c r="T9377" t="s">
        <v>42690</v>
      </c>
      <c r="U9377" t="s">
        <v>50747</v>
      </c>
      <c r="W9377" t="s">
        <v>39801</v>
      </c>
      <c r="X9377" t="s">
        <v>41260</v>
      </c>
    </row>
    <row r="9378" spans="1:24">
      <c r="A9378">
        <f>HYPERLINK("https://www.philgeps.gov.ph/GEPSNONPILOT/Tender/SplashBidNoticeAbstractUI.aspx?menuIndex=3&amp;refID=7063755&amp;Result=3","7063755")</f>
        <v>0</v>
      </c>
      <c r="B9378" t="s">
        <v>2171</v>
      </c>
      <c r="C9378" t="s">
        <v>12331</v>
      </c>
      <c r="D9378" t="s">
        <v>16621</v>
      </c>
      <c r="E9378" t="s">
        <v>24860</v>
      </c>
      <c r="F9378" t="s">
        <v>28669</v>
      </c>
      <c r="G9378" t="s">
        <v>28675</v>
      </c>
      <c r="H9378" t="s">
        <v>28686</v>
      </c>
      <c r="I9378" t="s">
        <v>28689</v>
      </c>
      <c r="J9378" t="s">
        <v>34650</v>
      </c>
      <c r="K9378" t="s">
        <v>37220</v>
      </c>
      <c r="M9378" t="s">
        <v>39820</v>
      </c>
      <c r="N9378" t="s">
        <v>41249</v>
      </c>
      <c r="O9378" t="s">
        <v>41250</v>
      </c>
      <c r="P9378">
        <v>0</v>
      </c>
      <c r="Q9378">
        <v>3</v>
      </c>
      <c r="R9378" t="s">
        <v>41259</v>
      </c>
      <c r="S9378" t="s">
        <v>41562</v>
      </c>
      <c r="T9378" t="s">
        <v>42719</v>
      </c>
      <c r="U9378" t="s">
        <v>49581</v>
      </c>
      <c r="W9378" t="s">
        <v>39820</v>
      </c>
      <c r="X9378" t="s">
        <v>41260</v>
      </c>
    </row>
    <row r="9379" spans="1:24">
      <c r="A9379">
        <f>HYPERLINK("https://www.philgeps.gov.ph/GEPSNONPILOT/Tender/SplashBidNoticeAbstractUI.aspx?menuIndex=3&amp;refID=7063754&amp;Result=3","7063754")</f>
        <v>0</v>
      </c>
      <c r="B9379" t="s">
        <v>2754</v>
      </c>
      <c r="C9379" t="s">
        <v>12332</v>
      </c>
      <c r="D9379" t="s">
        <v>16616</v>
      </c>
      <c r="E9379" t="s">
        <v>24861</v>
      </c>
      <c r="F9379" t="s">
        <v>28669</v>
      </c>
      <c r="G9379" t="s">
        <v>28675</v>
      </c>
      <c r="H9379" t="s">
        <v>28686</v>
      </c>
      <c r="I9379" t="s">
        <v>28689</v>
      </c>
      <c r="J9379" t="s">
        <v>28823</v>
      </c>
      <c r="K9379" t="s">
        <v>37212</v>
      </c>
      <c r="M9379" t="s">
        <v>40472</v>
      </c>
      <c r="N9379" t="s">
        <v>41249</v>
      </c>
      <c r="O9379" t="s">
        <v>41250</v>
      </c>
      <c r="P9379">
        <v>0</v>
      </c>
      <c r="Q9379">
        <v>7</v>
      </c>
      <c r="R9379" t="s">
        <v>41259</v>
      </c>
      <c r="S9379" t="s">
        <v>41562</v>
      </c>
      <c r="T9379" t="s">
        <v>43091</v>
      </c>
      <c r="U9379" t="s">
        <v>50748</v>
      </c>
      <c r="V9379" t="s">
        <v>55296</v>
      </c>
      <c r="W9379" t="s">
        <v>40472</v>
      </c>
      <c r="X9379" t="s">
        <v>41260</v>
      </c>
    </row>
    <row r="9380" spans="1:24">
      <c r="A9380">
        <f>HYPERLINK("https://www.philgeps.gov.ph/GEPSNONPILOT/Tender/SplashBidNoticeAbstractUI.aspx?menuIndex=3&amp;refID=7063616&amp;Result=3","7063616")</f>
        <v>0</v>
      </c>
      <c r="B9380" t="s">
        <v>2335</v>
      </c>
      <c r="C9380" t="s">
        <v>12333</v>
      </c>
      <c r="D9380" t="s">
        <v>16663</v>
      </c>
      <c r="E9380" t="s">
        <v>24862</v>
      </c>
      <c r="F9380" t="s">
        <v>28669</v>
      </c>
      <c r="G9380" t="s">
        <v>28675</v>
      </c>
      <c r="H9380" t="s">
        <v>9998</v>
      </c>
      <c r="I9380" t="s">
        <v>28687</v>
      </c>
      <c r="J9380" t="s">
        <v>29035</v>
      </c>
      <c r="K9380" t="s">
        <v>37204</v>
      </c>
      <c r="M9380" t="s">
        <v>39998</v>
      </c>
      <c r="N9380" t="s">
        <v>41249</v>
      </c>
      <c r="O9380" t="s">
        <v>41250</v>
      </c>
      <c r="P9380">
        <v>0</v>
      </c>
      <c r="Q9380">
        <v>1</v>
      </c>
      <c r="R9380" t="s">
        <v>41259</v>
      </c>
      <c r="S9380" t="s">
        <v>41562</v>
      </c>
      <c r="T9380" t="s">
        <v>42786</v>
      </c>
      <c r="U9380" t="s">
        <v>50749</v>
      </c>
      <c r="W9380" t="s">
        <v>39998</v>
      </c>
      <c r="X9380" t="s">
        <v>41260</v>
      </c>
    </row>
    <row r="9381" spans="1:24">
      <c r="A9381">
        <f>HYPERLINK("https://www.philgeps.gov.ph/GEPSNONPILOT/Tender/SplashBidNoticeAbstractUI.aspx?menuIndex=3&amp;refID=7063747&amp;Result=3","7063747")</f>
        <v>0</v>
      </c>
      <c r="B9381" t="s">
        <v>988</v>
      </c>
      <c r="C9381" t="s">
        <v>12334</v>
      </c>
      <c r="D9381" t="s">
        <v>16635</v>
      </c>
      <c r="E9381" t="s">
        <v>24863</v>
      </c>
      <c r="F9381" t="s">
        <v>28669</v>
      </c>
      <c r="G9381" t="s">
        <v>28678</v>
      </c>
      <c r="H9381" t="s">
        <v>9998</v>
      </c>
      <c r="I9381" t="s">
        <v>5213</v>
      </c>
      <c r="J9381" t="s">
        <v>34651</v>
      </c>
      <c r="K9381" t="s">
        <v>37206</v>
      </c>
      <c r="M9381" t="s">
        <v>39801</v>
      </c>
      <c r="N9381" t="s">
        <v>41249</v>
      </c>
      <c r="O9381" t="s">
        <v>41250</v>
      </c>
      <c r="P9381">
        <v>0</v>
      </c>
      <c r="Q9381">
        <v>6</v>
      </c>
      <c r="R9381" t="s">
        <v>41259</v>
      </c>
      <c r="S9381" t="s">
        <v>41562</v>
      </c>
      <c r="T9381" t="s">
        <v>42690</v>
      </c>
      <c r="U9381" t="s">
        <v>49632</v>
      </c>
      <c r="W9381" t="s">
        <v>39801</v>
      </c>
      <c r="X9381" t="s">
        <v>41260</v>
      </c>
    </row>
    <row r="9382" spans="1:24">
      <c r="A9382">
        <f>HYPERLINK("https://www.philgeps.gov.ph/GEPSNONPILOT/Tender/SplashBidNoticeAbstractUI.aspx?menuIndex=3&amp;refID=7063713&amp;Result=3","7063713")</f>
        <v>0</v>
      </c>
      <c r="B9382" t="s">
        <v>274</v>
      </c>
      <c r="C9382" t="s">
        <v>12335</v>
      </c>
      <c r="D9382" t="s">
        <v>16680</v>
      </c>
      <c r="E9382" t="s">
        <v>24864</v>
      </c>
      <c r="F9382" t="s">
        <v>28669</v>
      </c>
      <c r="G9382" t="s">
        <v>28675</v>
      </c>
      <c r="H9382" t="s">
        <v>9998</v>
      </c>
      <c r="I9382" t="s">
        <v>28687</v>
      </c>
      <c r="J9382" t="s">
        <v>29112</v>
      </c>
      <c r="K9382" t="s">
        <v>37206</v>
      </c>
      <c r="M9382" t="s">
        <v>37752</v>
      </c>
      <c r="N9382" t="s">
        <v>41249</v>
      </c>
      <c r="O9382" t="s">
        <v>41250</v>
      </c>
      <c r="P9382">
        <v>0</v>
      </c>
      <c r="Q9382">
        <v>0</v>
      </c>
      <c r="R9382" t="s">
        <v>41259</v>
      </c>
      <c r="S9382" t="s">
        <v>41562</v>
      </c>
      <c r="T9382" t="s">
        <v>42966</v>
      </c>
      <c r="U9382" t="s">
        <v>50750</v>
      </c>
      <c r="W9382" t="s">
        <v>37752</v>
      </c>
      <c r="X9382" t="s">
        <v>41260</v>
      </c>
    </row>
    <row r="9383" spans="1:24">
      <c r="A9383">
        <f>HYPERLINK("https://www.philgeps.gov.ph/GEPSNONPILOT/Tender/SplashBidNoticeAbstractUI.aspx?menuIndex=3&amp;refID=7063746&amp;Result=3","7063746")</f>
        <v>0</v>
      </c>
      <c r="B9383" t="s">
        <v>2758</v>
      </c>
      <c r="C9383" t="s">
        <v>12336</v>
      </c>
      <c r="D9383" t="s">
        <v>16610</v>
      </c>
      <c r="E9383" t="s">
        <v>24865</v>
      </c>
      <c r="F9383" t="s">
        <v>28669</v>
      </c>
      <c r="G9383" t="s">
        <v>28675</v>
      </c>
      <c r="H9383" t="s">
        <v>9998</v>
      </c>
      <c r="I9383" t="s">
        <v>28782</v>
      </c>
      <c r="J9383" t="s">
        <v>34652</v>
      </c>
      <c r="K9383" t="s">
        <v>37206</v>
      </c>
      <c r="M9383" t="s">
        <v>40476</v>
      </c>
      <c r="N9383" t="s">
        <v>41249</v>
      </c>
      <c r="O9383" t="s">
        <v>41250</v>
      </c>
      <c r="P9383">
        <v>0</v>
      </c>
      <c r="Q9383">
        <v>7</v>
      </c>
      <c r="R9383" t="s">
        <v>41259</v>
      </c>
      <c r="S9383" t="s">
        <v>41562</v>
      </c>
      <c r="T9383" t="s">
        <v>42727</v>
      </c>
      <c r="U9383" t="s">
        <v>50751</v>
      </c>
      <c r="W9383" t="s">
        <v>40476</v>
      </c>
      <c r="X9383" t="s">
        <v>41260</v>
      </c>
    </row>
    <row r="9384" spans="1:24">
      <c r="A9384">
        <f>HYPERLINK("https://www.philgeps.gov.ph/GEPSNONPILOT/Tender/SplashBidNoticeAbstractUI.aspx?menuIndex=3&amp;refID=7063652&amp;Result=3","7063652")</f>
        <v>0</v>
      </c>
      <c r="B9384" t="s">
        <v>2299</v>
      </c>
      <c r="C9384" t="s">
        <v>12337</v>
      </c>
      <c r="D9384" t="s">
        <v>16619</v>
      </c>
      <c r="E9384" t="s">
        <v>24866</v>
      </c>
      <c r="F9384" t="s">
        <v>28669</v>
      </c>
      <c r="G9384" t="s">
        <v>28675</v>
      </c>
      <c r="H9384" t="s">
        <v>9998</v>
      </c>
      <c r="I9384" t="s">
        <v>28722</v>
      </c>
      <c r="J9384" t="s">
        <v>28914</v>
      </c>
      <c r="K9384" t="s">
        <v>37205</v>
      </c>
      <c r="M9384" t="s">
        <v>39957</v>
      </c>
      <c r="N9384" t="s">
        <v>41249</v>
      </c>
      <c r="O9384" t="s">
        <v>41250</v>
      </c>
      <c r="P9384">
        <v>0</v>
      </c>
      <c r="Q9384">
        <v>2</v>
      </c>
      <c r="R9384" t="s">
        <v>41259</v>
      </c>
      <c r="S9384" t="s">
        <v>41562</v>
      </c>
      <c r="T9384" t="s">
        <v>42727</v>
      </c>
      <c r="U9384" t="s">
        <v>50752</v>
      </c>
      <c r="V9384" t="s">
        <v>55297</v>
      </c>
      <c r="W9384" t="s">
        <v>39957</v>
      </c>
      <c r="X9384" t="s">
        <v>41260</v>
      </c>
    </row>
    <row r="9385" spans="1:24">
      <c r="A9385">
        <f>HYPERLINK("https://www.philgeps.gov.ph/GEPSNONPILOT/Tender/SplashBidNoticeAbstractUI.aspx?menuIndex=3&amp;refID=7063702&amp;Result=3","7063702")</f>
        <v>0</v>
      </c>
      <c r="B9385" t="s">
        <v>2171</v>
      </c>
      <c r="C9385" t="s">
        <v>12338</v>
      </c>
      <c r="D9385" t="s">
        <v>16621</v>
      </c>
      <c r="E9385" t="s">
        <v>24867</v>
      </c>
      <c r="F9385" t="s">
        <v>28669</v>
      </c>
      <c r="G9385" t="s">
        <v>28675</v>
      </c>
      <c r="H9385" t="s">
        <v>28686</v>
      </c>
      <c r="I9385" t="s">
        <v>28689</v>
      </c>
      <c r="J9385" t="s">
        <v>34653</v>
      </c>
      <c r="K9385" t="s">
        <v>37213</v>
      </c>
      <c r="M9385" t="s">
        <v>39820</v>
      </c>
      <c r="N9385" t="s">
        <v>41249</v>
      </c>
      <c r="O9385" t="s">
        <v>41250</v>
      </c>
      <c r="P9385">
        <v>0</v>
      </c>
      <c r="Q9385">
        <v>3</v>
      </c>
      <c r="R9385" t="s">
        <v>41259</v>
      </c>
      <c r="S9385" t="s">
        <v>41562</v>
      </c>
      <c r="T9385" t="s">
        <v>42658</v>
      </c>
      <c r="U9385" t="s">
        <v>49581</v>
      </c>
      <c r="W9385" t="s">
        <v>39820</v>
      </c>
      <c r="X9385" t="s">
        <v>41260</v>
      </c>
    </row>
    <row r="9386" spans="1:24">
      <c r="A9386">
        <f>HYPERLINK("https://www.philgeps.gov.ph/GEPSNONPILOT/Tender/SplashBidNoticeAbstractUI.aspx?menuIndex=3&amp;refID=7063749&amp;Result=3","7063749")</f>
        <v>0</v>
      </c>
      <c r="B9386" t="s">
        <v>2089</v>
      </c>
      <c r="C9386" t="s">
        <v>12339</v>
      </c>
      <c r="D9386" t="s">
        <v>16700</v>
      </c>
      <c r="E9386" t="s">
        <v>24868</v>
      </c>
      <c r="F9386" t="s">
        <v>28669</v>
      </c>
      <c r="G9386" t="s">
        <v>28675</v>
      </c>
      <c r="H9386" t="s">
        <v>9998</v>
      </c>
      <c r="I9386" t="s">
        <v>6606</v>
      </c>
      <c r="J9386" t="s">
        <v>34654</v>
      </c>
      <c r="K9386" t="s">
        <v>37289</v>
      </c>
      <c r="M9386" t="s">
        <v>40477</v>
      </c>
      <c r="N9386" t="s">
        <v>41249</v>
      </c>
      <c r="O9386" t="s">
        <v>41250</v>
      </c>
      <c r="P9386">
        <v>0</v>
      </c>
      <c r="Q9386">
        <v>1</v>
      </c>
      <c r="R9386" t="s">
        <v>41259</v>
      </c>
      <c r="S9386" t="s">
        <v>41562</v>
      </c>
      <c r="T9386" t="s">
        <v>42691</v>
      </c>
      <c r="U9386" t="s">
        <v>50753</v>
      </c>
      <c r="V9386" t="s">
        <v>55298</v>
      </c>
      <c r="W9386" t="s">
        <v>39730</v>
      </c>
      <c r="X9386" t="s">
        <v>41260</v>
      </c>
    </row>
    <row r="9387" spans="1:24">
      <c r="A9387">
        <f>HYPERLINK("https://www.philgeps.gov.ph/GEPSNONPILOT/Tender/SplashBidNoticeAbstractUI.aspx?menuIndex=3&amp;refID=7063696&amp;Result=3","7063696")</f>
        <v>0</v>
      </c>
      <c r="B9387" t="s">
        <v>327</v>
      </c>
      <c r="C9387" t="s">
        <v>12340</v>
      </c>
      <c r="D9387" t="s">
        <v>16682</v>
      </c>
      <c r="E9387" t="s">
        <v>24869</v>
      </c>
      <c r="F9387" t="s">
        <v>28669</v>
      </c>
      <c r="G9387" t="s">
        <v>28675</v>
      </c>
      <c r="H9387" t="s">
        <v>9998</v>
      </c>
      <c r="I9387" t="s">
        <v>28687</v>
      </c>
      <c r="J9387" t="s">
        <v>34655</v>
      </c>
      <c r="K9387" t="s">
        <v>37221</v>
      </c>
      <c r="M9387" t="s">
        <v>37807</v>
      </c>
      <c r="N9387" t="s">
        <v>41249</v>
      </c>
      <c r="O9387" t="s">
        <v>41250</v>
      </c>
      <c r="P9387">
        <v>0</v>
      </c>
      <c r="Q9387">
        <v>4</v>
      </c>
      <c r="R9387" t="s">
        <v>41259</v>
      </c>
      <c r="S9387" t="s">
        <v>41562</v>
      </c>
      <c r="T9387" t="s">
        <v>42930</v>
      </c>
      <c r="U9387" t="s">
        <v>50641</v>
      </c>
      <c r="V9387" t="s">
        <v>54328</v>
      </c>
      <c r="W9387" t="s">
        <v>37807</v>
      </c>
      <c r="X9387" t="s">
        <v>41260</v>
      </c>
    </row>
    <row r="9388" spans="1:24">
      <c r="A9388">
        <f>HYPERLINK("https://www.philgeps.gov.ph/GEPSNONPILOT/Tender/SplashBidNoticeAbstractUI.aspx?menuIndex=3&amp;refID=7063757&amp;Result=3","7063757")</f>
        <v>0</v>
      </c>
      <c r="B9388" t="s">
        <v>1368</v>
      </c>
      <c r="C9388" t="s">
        <v>12341</v>
      </c>
      <c r="D9388" t="s">
        <v>16662</v>
      </c>
      <c r="E9388" t="s">
        <v>24870</v>
      </c>
      <c r="F9388" t="s">
        <v>28669</v>
      </c>
      <c r="G9388" t="s">
        <v>28676</v>
      </c>
      <c r="H9388" t="s">
        <v>9998</v>
      </c>
      <c r="I9388" t="s">
        <v>7352</v>
      </c>
      <c r="J9388" t="s">
        <v>29247</v>
      </c>
      <c r="K9388" t="s">
        <v>37210</v>
      </c>
      <c r="M9388" t="s">
        <v>38926</v>
      </c>
      <c r="N9388" t="s">
        <v>41249</v>
      </c>
      <c r="O9388" t="s">
        <v>41250</v>
      </c>
      <c r="P9388">
        <v>0</v>
      </c>
      <c r="Q9388">
        <v>2</v>
      </c>
      <c r="R9388" t="s">
        <v>41259</v>
      </c>
      <c r="S9388" t="s">
        <v>41562</v>
      </c>
      <c r="T9388" t="s">
        <v>43089</v>
      </c>
      <c r="U9388" t="s">
        <v>50754</v>
      </c>
      <c r="W9388" t="s">
        <v>38926</v>
      </c>
      <c r="X9388" t="s">
        <v>41260</v>
      </c>
    </row>
    <row r="9389" spans="1:24">
      <c r="A9389">
        <f>HYPERLINK("https://www.philgeps.gov.ph/GEPSNONPILOT/Tender/SplashBidNoticeAbstractUI.aspx?menuIndex=3&amp;refID=7063743&amp;Result=3","7063743")</f>
        <v>0</v>
      </c>
      <c r="B9389" t="s">
        <v>2759</v>
      </c>
      <c r="C9389" t="s">
        <v>12342</v>
      </c>
      <c r="D9389" t="s">
        <v>16628</v>
      </c>
      <c r="E9389" t="s">
        <v>24871</v>
      </c>
      <c r="F9389" t="s">
        <v>28669</v>
      </c>
      <c r="G9389" t="s">
        <v>28675</v>
      </c>
      <c r="H9389" t="s">
        <v>28686</v>
      </c>
      <c r="I9389" t="s">
        <v>28689</v>
      </c>
      <c r="J9389" t="s">
        <v>34656</v>
      </c>
      <c r="K9389" t="s">
        <v>37213</v>
      </c>
      <c r="M9389" t="s">
        <v>40478</v>
      </c>
      <c r="N9389" t="s">
        <v>41249</v>
      </c>
      <c r="O9389" t="s">
        <v>41250</v>
      </c>
      <c r="Q9389">
        <v>0</v>
      </c>
      <c r="R9389" t="s">
        <v>41259</v>
      </c>
      <c r="S9389" t="s">
        <v>41602</v>
      </c>
      <c r="T9389" t="s">
        <v>42658</v>
      </c>
      <c r="U9389" t="s">
        <v>50755</v>
      </c>
      <c r="W9389" t="s">
        <v>40478</v>
      </c>
      <c r="X9389" t="s">
        <v>41260</v>
      </c>
    </row>
    <row r="9390" spans="1:24">
      <c r="A9390">
        <f>HYPERLINK("https://www.philgeps.gov.ph/GEPSNONPILOT/Tender/SplashBidNoticeAbstractUI.aspx?menuIndex=3&amp;refID=7063844&amp;Result=3","7063844")</f>
        <v>0</v>
      </c>
      <c r="B9390" t="s">
        <v>327</v>
      </c>
      <c r="C9390" t="s">
        <v>12343</v>
      </c>
      <c r="D9390" t="s">
        <v>16682</v>
      </c>
      <c r="E9390" t="s">
        <v>24872</v>
      </c>
      <c r="F9390" t="s">
        <v>28669</v>
      </c>
      <c r="G9390" t="s">
        <v>28675</v>
      </c>
      <c r="H9390" t="s">
        <v>9998</v>
      </c>
      <c r="I9390" t="s">
        <v>28687</v>
      </c>
      <c r="J9390" t="s">
        <v>28924</v>
      </c>
      <c r="K9390" t="s">
        <v>37221</v>
      </c>
      <c r="M9390" t="s">
        <v>37807</v>
      </c>
      <c r="N9390" t="s">
        <v>41249</v>
      </c>
      <c r="O9390" t="s">
        <v>41250</v>
      </c>
      <c r="P9390">
        <v>0</v>
      </c>
      <c r="Q9390">
        <v>3</v>
      </c>
      <c r="R9390" t="s">
        <v>41259</v>
      </c>
      <c r="S9390" t="s">
        <v>41562</v>
      </c>
      <c r="T9390" t="s">
        <v>43077</v>
      </c>
      <c r="U9390" t="s">
        <v>50756</v>
      </c>
      <c r="V9390" t="s">
        <v>54328</v>
      </c>
      <c r="W9390" t="s">
        <v>37807</v>
      </c>
      <c r="X9390" t="s">
        <v>41260</v>
      </c>
    </row>
    <row r="9391" spans="1:24">
      <c r="A9391">
        <f>HYPERLINK("https://www.philgeps.gov.ph/GEPSNONPILOT/Tender/SplashBidNoticeAbstractUI.aspx?menuIndex=3&amp;refID=7063566&amp;Result=3","7063566")</f>
        <v>0</v>
      </c>
      <c r="B9391" t="s">
        <v>2746</v>
      </c>
      <c r="C9391" t="s">
        <v>12344</v>
      </c>
      <c r="D9391" t="s">
        <v>16622</v>
      </c>
      <c r="E9391" t="s">
        <v>24873</v>
      </c>
      <c r="F9391" t="s">
        <v>28669</v>
      </c>
      <c r="G9391" t="s">
        <v>28675</v>
      </c>
      <c r="H9391" t="s">
        <v>28686</v>
      </c>
      <c r="I9391" t="s">
        <v>28689</v>
      </c>
      <c r="J9391" t="s">
        <v>34657</v>
      </c>
      <c r="K9391" t="s">
        <v>37334</v>
      </c>
      <c r="M9391" t="s">
        <v>40463</v>
      </c>
      <c r="N9391" t="s">
        <v>41249</v>
      </c>
      <c r="O9391" t="s">
        <v>41250</v>
      </c>
      <c r="P9391">
        <v>0</v>
      </c>
      <c r="Q9391">
        <v>0</v>
      </c>
      <c r="R9391" t="s">
        <v>41259</v>
      </c>
      <c r="S9391" t="s">
        <v>41562</v>
      </c>
      <c r="T9391" t="s">
        <v>42755</v>
      </c>
      <c r="U9391" t="s">
        <v>50757</v>
      </c>
      <c r="W9391" t="s">
        <v>40463</v>
      </c>
      <c r="X9391" t="s">
        <v>41260</v>
      </c>
    </row>
    <row r="9392" spans="1:24">
      <c r="A9392">
        <f>HYPERLINK("https://www.philgeps.gov.ph/GEPSNONPILOT/Tender/SplashBidNoticeAbstractUI.aspx?menuIndex=3&amp;refID=7063825&amp;Result=3","7063825")</f>
        <v>0</v>
      </c>
      <c r="B9392" t="s">
        <v>1522</v>
      </c>
      <c r="C9392" t="s">
        <v>12345</v>
      </c>
      <c r="D9392" t="s">
        <v>16686</v>
      </c>
      <c r="E9392" t="s">
        <v>24874</v>
      </c>
      <c r="F9392" t="s">
        <v>28669</v>
      </c>
      <c r="G9392" t="s">
        <v>28675</v>
      </c>
      <c r="H9392" t="s">
        <v>9998</v>
      </c>
      <c r="I9392" t="s">
        <v>28722</v>
      </c>
      <c r="J9392" t="s">
        <v>29349</v>
      </c>
      <c r="K9392" t="s">
        <v>37210</v>
      </c>
      <c r="M9392" t="s">
        <v>39573</v>
      </c>
      <c r="N9392" t="s">
        <v>41249</v>
      </c>
      <c r="O9392" t="s">
        <v>41250</v>
      </c>
      <c r="P9392">
        <v>0</v>
      </c>
      <c r="Q9392">
        <v>0</v>
      </c>
      <c r="R9392" t="s">
        <v>41259</v>
      </c>
      <c r="S9392" t="s">
        <v>41562</v>
      </c>
      <c r="T9392" t="s">
        <v>42663</v>
      </c>
      <c r="U9392" t="s">
        <v>50758</v>
      </c>
      <c r="W9392" t="s">
        <v>39573</v>
      </c>
      <c r="X9392" t="s">
        <v>41260</v>
      </c>
    </row>
    <row r="9393" spans="1:24">
      <c r="A9393">
        <f>HYPERLINK("https://www.philgeps.gov.ph/GEPSNONPILOT/Tender/SplashBidNoticeAbstractUI.aspx?menuIndex=3&amp;refID=7063823&amp;Result=3","7063823")</f>
        <v>0</v>
      </c>
      <c r="B9393" t="s">
        <v>2754</v>
      </c>
      <c r="C9393" t="s">
        <v>12346</v>
      </c>
      <c r="D9393" t="s">
        <v>16616</v>
      </c>
      <c r="E9393" t="s">
        <v>24875</v>
      </c>
      <c r="F9393" t="s">
        <v>28669</v>
      </c>
      <c r="G9393" t="s">
        <v>28675</v>
      </c>
      <c r="H9393" t="s">
        <v>28686</v>
      </c>
      <c r="I9393" t="s">
        <v>28689</v>
      </c>
      <c r="J9393" t="s">
        <v>28905</v>
      </c>
      <c r="K9393" t="s">
        <v>37212</v>
      </c>
      <c r="M9393" t="s">
        <v>40472</v>
      </c>
      <c r="N9393" t="s">
        <v>41249</v>
      </c>
      <c r="O9393" t="s">
        <v>41250</v>
      </c>
      <c r="P9393">
        <v>0</v>
      </c>
      <c r="Q9393">
        <v>1</v>
      </c>
      <c r="R9393" t="s">
        <v>41259</v>
      </c>
      <c r="S9393" t="s">
        <v>41562</v>
      </c>
      <c r="T9393" t="s">
        <v>43092</v>
      </c>
      <c r="U9393" t="s">
        <v>50759</v>
      </c>
      <c r="V9393" t="s">
        <v>55296</v>
      </c>
      <c r="W9393" t="s">
        <v>40472</v>
      </c>
      <c r="X9393" t="s">
        <v>41260</v>
      </c>
    </row>
    <row r="9394" spans="1:24">
      <c r="A9394">
        <f>HYPERLINK("https://www.philgeps.gov.ph/GEPSNONPILOT/Tender/SplashBidNoticeAbstractUI.aspx?menuIndex=3&amp;refID=7063707&amp;Result=3","7063707")</f>
        <v>0</v>
      </c>
      <c r="B9394" t="s">
        <v>2757</v>
      </c>
      <c r="C9394" t="s">
        <v>12347</v>
      </c>
      <c r="D9394" t="s">
        <v>16677</v>
      </c>
      <c r="E9394" t="s">
        <v>24876</v>
      </c>
      <c r="F9394" t="s">
        <v>28669</v>
      </c>
      <c r="G9394" t="s">
        <v>28675</v>
      </c>
      <c r="H9394" t="s">
        <v>9998</v>
      </c>
      <c r="I9394" t="s">
        <v>28690</v>
      </c>
      <c r="J9394" t="s">
        <v>34658</v>
      </c>
      <c r="K9394" t="s">
        <v>37204</v>
      </c>
      <c r="M9394" t="s">
        <v>40475</v>
      </c>
      <c r="N9394" t="s">
        <v>41249</v>
      </c>
      <c r="O9394" t="s">
        <v>41250</v>
      </c>
      <c r="P9394">
        <v>0</v>
      </c>
      <c r="Q9394">
        <v>5</v>
      </c>
      <c r="R9394" t="s">
        <v>41259</v>
      </c>
      <c r="S9394" t="s">
        <v>41562</v>
      </c>
      <c r="T9394" t="s">
        <v>42881</v>
      </c>
      <c r="U9394" t="s">
        <v>50760</v>
      </c>
      <c r="W9394" t="s">
        <v>40475</v>
      </c>
      <c r="X9394" t="s">
        <v>41260</v>
      </c>
    </row>
    <row r="9395" spans="1:24">
      <c r="A9395">
        <f>HYPERLINK("https://www.philgeps.gov.ph/GEPSNONPILOT/Tender/SplashBidNoticeAbstractUI.aspx?menuIndex=3&amp;refID=7063815&amp;Result=3","7063815")</f>
        <v>0</v>
      </c>
      <c r="B9395" t="s">
        <v>2760</v>
      </c>
      <c r="C9395" t="s">
        <v>12348</v>
      </c>
      <c r="D9395" t="s">
        <v>16684</v>
      </c>
      <c r="E9395" t="s">
        <v>20862</v>
      </c>
      <c r="F9395" t="s">
        <v>28669</v>
      </c>
      <c r="G9395" t="s">
        <v>28675</v>
      </c>
      <c r="H9395" t="s">
        <v>9998</v>
      </c>
      <c r="I9395" t="s">
        <v>7352</v>
      </c>
      <c r="J9395" t="s">
        <v>34659</v>
      </c>
      <c r="K9395" t="s">
        <v>37210</v>
      </c>
      <c r="M9395" t="s">
        <v>40479</v>
      </c>
      <c r="N9395" t="s">
        <v>41249</v>
      </c>
      <c r="O9395" t="s">
        <v>41250</v>
      </c>
      <c r="P9395">
        <v>0</v>
      </c>
      <c r="Q9395">
        <v>2</v>
      </c>
      <c r="R9395" t="s">
        <v>41259</v>
      </c>
      <c r="S9395" t="s">
        <v>41562</v>
      </c>
      <c r="T9395" t="s">
        <v>42727</v>
      </c>
      <c r="U9395" t="s">
        <v>50761</v>
      </c>
      <c r="W9395" t="s">
        <v>40479</v>
      </c>
      <c r="X9395" t="s">
        <v>41260</v>
      </c>
    </row>
    <row r="9396" spans="1:24">
      <c r="A9396">
        <f>HYPERLINK("https://www.philgeps.gov.ph/GEPSNONPILOT/Tender/SplashBidNoticeAbstractUI.aspx?menuIndex=3&amp;refID=7063800&amp;Result=3","7063800")</f>
        <v>0</v>
      </c>
      <c r="B9396" t="s">
        <v>1604</v>
      </c>
      <c r="C9396" t="s">
        <v>12349</v>
      </c>
      <c r="D9396" t="s">
        <v>16608</v>
      </c>
      <c r="E9396" t="s">
        <v>24877</v>
      </c>
      <c r="F9396" t="s">
        <v>28669</v>
      </c>
      <c r="G9396" t="s">
        <v>28676</v>
      </c>
      <c r="H9396" t="s">
        <v>28685</v>
      </c>
      <c r="I9396" t="s">
        <v>28685</v>
      </c>
      <c r="J9396" t="s">
        <v>29763</v>
      </c>
      <c r="K9396" t="s">
        <v>37209</v>
      </c>
      <c r="M9396" t="s">
        <v>39188</v>
      </c>
      <c r="N9396" t="s">
        <v>41249</v>
      </c>
      <c r="O9396" t="s">
        <v>41250</v>
      </c>
      <c r="Q9396">
        <v>2</v>
      </c>
      <c r="R9396" t="s">
        <v>41259</v>
      </c>
      <c r="S9396" t="s">
        <v>41603</v>
      </c>
      <c r="T9396" t="s">
        <v>43047</v>
      </c>
      <c r="U9396" t="s">
        <v>50762</v>
      </c>
      <c r="V9396" t="s">
        <v>54740</v>
      </c>
      <c r="W9396" t="s">
        <v>39188</v>
      </c>
      <c r="X9396" t="s">
        <v>41260</v>
      </c>
    </row>
    <row r="9397" spans="1:24">
      <c r="A9397">
        <f>HYPERLINK("https://www.philgeps.gov.ph/GEPSNONPILOT/Tender/SplashBidNoticeAbstractUI.aspx?menuIndex=3&amp;refID=7063693&amp;Result=3","7063693")</f>
        <v>0</v>
      </c>
      <c r="B9397" t="s">
        <v>860</v>
      </c>
      <c r="C9397" t="s">
        <v>12350</v>
      </c>
      <c r="D9397" t="s">
        <v>16678</v>
      </c>
      <c r="E9397" t="s">
        <v>24878</v>
      </c>
      <c r="F9397" t="s">
        <v>28671</v>
      </c>
      <c r="G9397" t="s">
        <v>28675</v>
      </c>
      <c r="H9397" t="s">
        <v>9998</v>
      </c>
      <c r="I9397" t="s">
        <v>28702</v>
      </c>
      <c r="J9397" t="s">
        <v>34660</v>
      </c>
      <c r="K9397" t="s">
        <v>37215</v>
      </c>
      <c r="L9397" t="s">
        <v>860</v>
      </c>
      <c r="M9397" t="s">
        <v>38378</v>
      </c>
      <c r="N9397" t="s">
        <v>41249</v>
      </c>
      <c r="O9397" t="s">
        <v>41250</v>
      </c>
      <c r="P9397">
        <v>0</v>
      </c>
      <c r="Q9397">
        <v>0</v>
      </c>
      <c r="R9397" t="s">
        <v>41259</v>
      </c>
      <c r="S9397" t="s">
        <v>41562</v>
      </c>
      <c r="T9397" t="s">
        <v>42881</v>
      </c>
      <c r="U9397" t="s">
        <v>50763</v>
      </c>
      <c r="W9397" t="s">
        <v>38378</v>
      </c>
      <c r="X9397" t="s">
        <v>41260</v>
      </c>
    </row>
    <row r="9398" spans="1:24">
      <c r="A9398">
        <f>HYPERLINK("https://www.philgeps.gov.ph/GEPSNONPILOT/Tender/SplashBidNoticeAbstractUI.aspx?menuIndex=3&amp;refID=7063567&amp;Result=3","7063567")</f>
        <v>0</v>
      </c>
      <c r="B9398" t="s">
        <v>2171</v>
      </c>
      <c r="C9398" t="s">
        <v>12351</v>
      </c>
      <c r="D9398" t="s">
        <v>16621</v>
      </c>
      <c r="E9398" t="s">
        <v>24879</v>
      </c>
      <c r="F9398" t="s">
        <v>28669</v>
      </c>
      <c r="G9398" t="s">
        <v>28675</v>
      </c>
      <c r="H9398" t="s">
        <v>28686</v>
      </c>
      <c r="I9398" t="s">
        <v>28689</v>
      </c>
      <c r="J9398" t="s">
        <v>34661</v>
      </c>
      <c r="K9398" t="s">
        <v>37213</v>
      </c>
      <c r="M9398" t="s">
        <v>39820</v>
      </c>
      <c r="N9398" t="s">
        <v>41249</v>
      </c>
      <c r="O9398" t="s">
        <v>41250</v>
      </c>
      <c r="P9398">
        <v>0</v>
      </c>
      <c r="Q9398">
        <v>2</v>
      </c>
      <c r="R9398" t="s">
        <v>41259</v>
      </c>
      <c r="S9398" t="s">
        <v>41562</v>
      </c>
      <c r="T9398" t="s">
        <v>42658</v>
      </c>
      <c r="U9398" t="s">
        <v>49581</v>
      </c>
      <c r="W9398" t="s">
        <v>39820</v>
      </c>
      <c r="X9398" t="s">
        <v>41260</v>
      </c>
    </row>
    <row r="9399" spans="1:24">
      <c r="A9399">
        <f>HYPERLINK("https://www.philgeps.gov.ph/GEPSNONPILOT/Tender/SplashBidNoticeAbstractUI.aspx?menuIndex=3&amp;refID=7063853&amp;Result=3","7063853")</f>
        <v>0</v>
      </c>
      <c r="B9399" t="s">
        <v>1747</v>
      </c>
      <c r="C9399" t="s">
        <v>12352</v>
      </c>
      <c r="D9399" t="s">
        <v>16616</v>
      </c>
      <c r="E9399" t="s">
        <v>24880</v>
      </c>
      <c r="F9399" t="s">
        <v>28669</v>
      </c>
      <c r="G9399" t="s">
        <v>28675</v>
      </c>
      <c r="H9399" t="s">
        <v>9998</v>
      </c>
      <c r="I9399" t="s">
        <v>28687</v>
      </c>
      <c r="J9399" t="s">
        <v>34662</v>
      </c>
      <c r="K9399" t="s">
        <v>37213</v>
      </c>
      <c r="M9399" t="s">
        <v>39349</v>
      </c>
      <c r="N9399" t="s">
        <v>41249</v>
      </c>
      <c r="O9399" t="s">
        <v>41250</v>
      </c>
      <c r="P9399">
        <v>0</v>
      </c>
      <c r="Q9399">
        <v>5</v>
      </c>
      <c r="R9399" t="s">
        <v>41259</v>
      </c>
      <c r="S9399" t="s">
        <v>41562</v>
      </c>
      <c r="T9399" t="s">
        <v>42987</v>
      </c>
      <c r="U9399" t="s">
        <v>50764</v>
      </c>
      <c r="W9399" t="s">
        <v>39349</v>
      </c>
      <c r="X9399" t="s">
        <v>41260</v>
      </c>
    </row>
    <row r="9400" spans="1:24">
      <c r="A9400">
        <f>HYPERLINK("https://www.philgeps.gov.ph/GEPSNONPILOT/Tender/SplashBidNoticeAbstractUI.aspx?menuIndex=3&amp;refID=7063833&amp;Result=3","7063833")</f>
        <v>0</v>
      </c>
      <c r="B9400" t="s">
        <v>2299</v>
      </c>
      <c r="C9400" t="s">
        <v>12353</v>
      </c>
      <c r="D9400" t="s">
        <v>16619</v>
      </c>
      <c r="E9400" t="s">
        <v>24881</v>
      </c>
      <c r="F9400" t="s">
        <v>28669</v>
      </c>
      <c r="G9400" t="s">
        <v>28675</v>
      </c>
      <c r="H9400" t="s">
        <v>9998</v>
      </c>
      <c r="I9400" t="s">
        <v>28706</v>
      </c>
      <c r="J9400" t="s">
        <v>31802</v>
      </c>
      <c r="K9400" t="s">
        <v>37205</v>
      </c>
      <c r="M9400" t="s">
        <v>39957</v>
      </c>
      <c r="N9400" t="s">
        <v>41249</v>
      </c>
      <c r="O9400" t="s">
        <v>41250</v>
      </c>
      <c r="P9400">
        <v>0</v>
      </c>
      <c r="Q9400">
        <v>2</v>
      </c>
      <c r="R9400" t="s">
        <v>41259</v>
      </c>
      <c r="S9400" t="s">
        <v>41562</v>
      </c>
      <c r="T9400" t="s">
        <v>42727</v>
      </c>
      <c r="U9400" t="s">
        <v>50765</v>
      </c>
      <c r="V9400" t="s">
        <v>55299</v>
      </c>
      <c r="W9400" t="s">
        <v>39957</v>
      </c>
      <c r="X9400" t="s">
        <v>41260</v>
      </c>
    </row>
    <row r="9401" spans="1:24">
      <c r="A9401">
        <f>HYPERLINK("https://www.philgeps.gov.ph/GEPSNONPILOT/Tender/SplashBidNoticeAbstractUI.aspx?menuIndex=3&amp;refID=7063817&amp;Result=3","7063817")</f>
        <v>0</v>
      </c>
      <c r="B9401" t="s">
        <v>2579</v>
      </c>
      <c r="C9401" t="s">
        <v>12354</v>
      </c>
      <c r="D9401" t="s">
        <v>16640</v>
      </c>
      <c r="E9401" t="s">
        <v>24882</v>
      </c>
      <c r="F9401" t="s">
        <v>28669</v>
      </c>
      <c r="G9401" t="s">
        <v>28675</v>
      </c>
      <c r="H9401" t="s">
        <v>28686</v>
      </c>
      <c r="I9401" t="s">
        <v>28689</v>
      </c>
      <c r="J9401" t="s">
        <v>30285</v>
      </c>
      <c r="K9401" t="s">
        <v>37325</v>
      </c>
      <c r="M9401" t="s">
        <v>40273</v>
      </c>
      <c r="N9401" t="s">
        <v>41249</v>
      </c>
      <c r="O9401" t="s">
        <v>41250</v>
      </c>
      <c r="P9401">
        <v>0</v>
      </c>
      <c r="Q9401">
        <v>21</v>
      </c>
      <c r="R9401" t="s">
        <v>41259</v>
      </c>
      <c r="S9401" t="s">
        <v>41562</v>
      </c>
      <c r="T9401" t="s">
        <v>42660</v>
      </c>
      <c r="U9401" t="s">
        <v>50766</v>
      </c>
      <c r="W9401" t="s">
        <v>40273</v>
      </c>
      <c r="X9401" t="s">
        <v>41260</v>
      </c>
    </row>
    <row r="9402" spans="1:24">
      <c r="A9402">
        <f>HYPERLINK("https://www.philgeps.gov.ph/GEPSNONPILOT/Tender/SplashBidNoticeAbstractUI.aspx?menuIndex=3&amp;refID=7063797&amp;Result=3","7063797")</f>
        <v>0</v>
      </c>
      <c r="B9402" t="s">
        <v>2171</v>
      </c>
      <c r="C9402" t="s">
        <v>12355</v>
      </c>
      <c r="D9402" t="s">
        <v>16621</v>
      </c>
      <c r="E9402" t="s">
        <v>24883</v>
      </c>
      <c r="F9402" t="s">
        <v>28669</v>
      </c>
      <c r="G9402" t="s">
        <v>28675</v>
      </c>
      <c r="H9402" t="s">
        <v>28686</v>
      </c>
      <c r="I9402" t="s">
        <v>28689</v>
      </c>
      <c r="J9402" t="s">
        <v>34663</v>
      </c>
      <c r="K9402" t="s">
        <v>37269</v>
      </c>
      <c r="M9402" t="s">
        <v>39820</v>
      </c>
      <c r="N9402" t="s">
        <v>41249</v>
      </c>
      <c r="O9402" t="s">
        <v>41250</v>
      </c>
      <c r="P9402">
        <v>0</v>
      </c>
      <c r="Q9402">
        <v>4</v>
      </c>
      <c r="R9402" t="s">
        <v>41259</v>
      </c>
      <c r="S9402" t="s">
        <v>41562</v>
      </c>
      <c r="T9402" t="s">
        <v>42658</v>
      </c>
      <c r="U9402" t="s">
        <v>49581</v>
      </c>
      <c r="W9402" t="s">
        <v>39820</v>
      </c>
      <c r="X9402" t="s">
        <v>41260</v>
      </c>
    </row>
    <row r="9403" spans="1:24">
      <c r="A9403">
        <f>HYPERLINK("https://www.philgeps.gov.ph/GEPSNONPILOT/Tender/SplashBidNoticeAbstractUI.aspx?menuIndex=3&amp;refID=7063780&amp;Result=3","7063780")</f>
        <v>0</v>
      </c>
      <c r="B9403" t="s">
        <v>545</v>
      </c>
      <c r="C9403" t="s">
        <v>12356</v>
      </c>
      <c r="D9403" t="s">
        <v>16676</v>
      </c>
      <c r="E9403" t="s">
        <v>24884</v>
      </c>
      <c r="F9403" t="s">
        <v>28669</v>
      </c>
      <c r="G9403" t="s">
        <v>28675</v>
      </c>
      <c r="H9403" t="s">
        <v>28686</v>
      </c>
      <c r="I9403" t="s">
        <v>28702</v>
      </c>
      <c r="J9403" t="s">
        <v>34664</v>
      </c>
      <c r="K9403" t="s">
        <v>37209</v>
      </c>
      <c r="M9403" t="s">
        <v>40480</v>
      </c>
      <c r="N9403" t="s">
        <v>41249</v>
      </c>
      <c r="O9403" t="s">
        <v>41250</v>
      </c>
      <c r="P9403">
        <v>0</v>
      </c>
      <c r="Q9403">
        <v>1</v>
      </c>
      <c r="R9403" t="s">
        <v>41259</v>
      </c>
      <c r="S9403" t="s">
        <v>41562</v>
      </c>
      <c r="T9403" t="s">
        <v>42976</v>
      </c>
      <c r="U9403" t="s">
        <v>50767</v>
      </c>
      <c r="V9403" t="s">
        <v>55300</v>
      </c>
      <c r="W9403" t="s">
        <v>38038</v>
      </c>
      <c r="X9403" t="s">
        <v>41260</v>
      </c>
    </row>
    <row r="9404" spans="1:24">
      <c r="A9404">
        <f>HYPERLINK("https://www.philgeps.gov.ph/GEPSNONPILOT/Tender/SplashBidNoticeAbstractUI.aspx?menuIndex=3&amp;refID=7063848&amp;Result=3","7063848")</f>
        <v>0</v>
      </c>
      <c r="B9404" t="s">
        <v>743</v>
      </c>
      <c r="C9404" t="s">
        <v>12357</v>
      </c>
      <c r="E9404" t="s">
        <v>24885</v>
      </c>
      <c r="F9404" t="s">
        <v>28669</v>
      </c>
      <c r="G9404" t="s">
        <v>28675</v>
      </c>
      <c r="H9404" t="s">
        <v>9998</v>
      </c>
      <c r="I9404" t="s">
        <v>28773</v>
      </c>
      <c r="J9404" t="s">
        <v>34665</v>
      </c>
      <c r="K9404" t="s">
        <v>37205</v>
      </c>
      <c r="M9404" t="s">
        <v>38820</v>
      </c>
      <c r="N9404" t="s">
        <v>41249</v>
      </c>
      <c r="O9404" t="s">
        <v>41250</v>
      </c>
      <c r="P9404">
        <v>0</v>
      </c>
      <c r="Q9404">
        <v>2</v>
      </c>
      <c r="R9404" t="s">
        <v>41259</v>
      </c>
      <c r="S9404" t="s">
        <v>41562</v>
      </c>
      <c r="T9404" t="s">
        <v>43093</v>
      </c>
      <c r="U9404" t="s">
        <v>50768</v>
      </c>
      <c r="V9404" t="s">
        <v>54252</v>
      </c>
      <c r="W9404" t="s">
        <v>38820</v>
      </c>
      <c r="X9404" t="s">
        <v>41260</v>
      </c>
    </row>
    <row r="9405" spans="1:24">
      <c r="A9405">
        <f>HYPERLINK("https://www.philgeps.gov.ph/GEPSNONPILOT/Tender/SplashBidNoticeAbstractUI.aspx?menuIndex=3&amp;refID=7063846&amp;Result=3","7063846")</f>
        <v>0</v>
      </c>
      <c r="B9405" t="s">
        <v>949</v>
      </c>
      <c r="C9405" t="s">
        <v>12358</v>
      </c>
      <c r="D9405" t="s">
        <v>16675</v>
      </c>
      <c r="E9405" t="s">
        <v>24886</v>
      </c>
      <c r="F9405" t="s">
        <v>28669</v>
      </c>
      <c r="G9405" t="s">
        <v>28675</v>
      </c>
      <c r="H9405" t="s">
        <v>28685</v>
      </c>
      <c r="I9405" t="s">
        <v>28685</v>
      </c>
      <c r="J9405" t="s">
        <v>29059</v>
      </c>
      <c r="K9405" t="s">
        <v>37238</v>
      </c>
      <c r="M9405" t="s">
        <v>38473</v>
      </c>
      <c r="N9405" t="s">
        <v>41249</v>
      </c>
      <c r="O9405" t="s">
        <v>41250</v>
      </c>
      <c r="P9405">
        <v>0</v>
      </c>
      <c r="Q9405">
        <v>6</v>
      </c>
      <c r="R9405" t="s">
        <v>41259</v>
      </c>
      <c r="S9405" t="s">
        <v>41562</v>
      </c>
      <c r="T9405" t="s">
        <v>42752</v>
      </c>
      <c r="U9405" t="s">
        <v>50769</v>
      </c>
      <c r="W9405" t="s">
        <v>38473</v>
      </c>
      <c r="X9405" t="s">
        <v>41260</v>
      </c>
    </row>
    <row r="9406" spans="1:24">
      <c r="A9406">
        <f>HYPERLINK("https://www.philgeps.gov.ph/GEPSNONPILOT/Tender/SplashBidNoticeAbstractUI.aspx?menuIndex=3&amp;refID=7063764&amp;Result=3","7063764")</f>
        <v>0</v>
      </c>
      <c r="B9406" t="s">
        <v>2756</v>
      </c>
      <c r="C9406" t="s">
        <v>12359</v>
      </c>
      <c r="D9406" t="s">
        <v>16623</v>
      </c>
      <c r="E9406" t="s">
        <v>24887</v>
      </c>
      <c r="F9406" t="s">
        <v>28669</v>
      </c>
      <c r="G9406" t="s">
        <v>28676</v>
      </c>
      <c r="H9406" t="s">
        <v>9998</v>
      </c>
      <c r="I9406" t="s">
        <v>7352</v>
      </c>
      <c r="J9406" t="s">
        <v>34666</v>
      </c>
      <c r="K9406" t="s">
        <v>37210</v>
      </c>
      <c r="M9406" t="s">
        <v>40474</v>
      </c>
      <c r="N9406" t="s">
        <v>41249</v>
      </c>
      <c r="O9406" t="s">
        <v>41250</v>
      </c>
      <c r="P9406">
        <v>0</v>
      </c>
      <c r="Q9406">
        <v>0</v>
      </c>
      <c r="R9406" t="s">
        <v>41259</v>
      </c>
      <c r="S9406" t="s">
        <v>41562</v>
      </c>
      <c r="T9406" t="s">
        <v>42738</v>
      </c>
      <c r="U9406" t="s">
        <v>50770</v>
      </c>
      <c r="W9406" t="s">
        <v>40474</v>
      </c>
      <c r="X9406" t="s">
        <v>41260</v>
      </c>
    </row>
    <row r="9407" spans="1:24">
      <c r="A9407">
        <f>HYPERLINK("https://www.philgeps.gov.ph/GEPSNONPILOT/Tender/SplashBidNoticeAbstractUI.aspx?menuIndex=3&amp;refID=7063763&amp;Result=3","7063763")</f>
        <v>0</v>
      </c>
      <c r="B9407" t="s">
        <v>2759</v>
      </c>
      <c r="C9407" t="s">
        <v>12360</v>
      </c>
      <c r="D9407" t="s">
        <v>16628</v>
      </c>
      <c r="E9407" t="s">
        <v>24888</v>
      </c>
      <c r="F9407" t="s">
        <v>28669</v>
      </c>
      <c r="G9407" t="s">
        <v>28675</v>
      </c>
      <c r="H9407" t="s">
        <v>28686</v>
      </c>
      <c r="I9407" t="s">
        <v>28689</v>
      </c>
      <c r="J9407" t="s">
        <v>34667</v>
      </c>
      <c r="K9407" t="s">
        <v>37220</v>
      </c>
      <c r="M9407" t="s">
        <v>40478</v>
      </c>
      <c r="N9407" t="s">
        <v>41249</v>
      </c>
      <c r="O9407" t="s">
        <v>41250</v>
      </c>
      <c r="Q9407">
        <v>1</v>
      </c>
      <c r="R9407" t="s">
        <v>41259</v>
      </c>
      <c r="S9407" t="s">
        <v>41604</v>
      </c>
      <c r="T9407" t="s">
        <v>42658</v>
      </c>
      <c r="U9407" t="s">
        <v>50771</v>
      </c>
      <c r="W9407" t="s">
        <v>40478</v>
      </c>
      <c r="X9407" t="s">
        <v>41260</v>
      </c>
    </row>
    <row r="9408" spans="1:24">
      <c r="A9408">
        <f>HYPERLINK("https://www.philgeps.gov.ph/GEPSNONPILOT/Tender/SplashBidNoticeAbstractUI.aspx?menuIndex=3&amp;refID=7063758&amp;Result=3","7063758")</f>
        <v>0</v>
      </c>
      <c r="B9408" t="s">
        <v>2761</v>
      </c>
      <c r="C9408" t="s">
        <v>12361</v>
      </c>
      <c r="D9408" t="s">
        <v>16654</v>
      </c>
      <c r="E9408" t="s">
        <v>19625</v>
      </c>
      <c r="F9408" t="s">
        <v>28669</v>
      </c>
      <c r="G9408" t="s">
        <v>28675</v>
      </c>
      <c r="H9408" t="s">
        <v>9998</v>
      </c>
      <c r="I9408" t="s">
        <v>7352</v>
      </c>
      <c r="J9408" t="s">
        <v>28878</v>
      </c>
      <c r="K9408" t="s">
        <v>37204</v>
      </c>
      <c r="M9408" t="s">
        <v>40481</v>
      </c>
      <c r="N9408" t="s">
        <v>41249</v>
      </c>
      <c r="O9408" t="s">
        <v>41250</v>
      </c>
      <c r="P9408">
        <v>0</v>
      </c>
      <c r="Q9408">
        <v>0</v>
      </c>
      <c r="R9408" t="s">
        <v>41259</v>
      </c>
      <c r="S9408" t="s">
        <v>41562</v>
      </c>
      <c r="T9408" t="s">
        <v>42758</v>
      </c>
      <c r="U9408" t="s">
        <v>50772</v>
      </c>
      <c r="W9408" t="s">
        <v>56010</v>
      </c>
      <c r="X9408" t="s">
        <v>41260</v>
      </c>
    </row>
    <row r="9409" spans="1:24">
      <c r="A9409">
        <f>HYPERLINK("https://www.philgeps.gov.ph/GEPSNONPILOT/Tender/SplashBidNoticeAbstractUI.aspx?menuIndex=3&amp;refID=7063850&amp;Result=3","7063850")</f>
        <v>0</v>
      </c>
      <c r="B9409" t="s">
        <v>1316</v>
      </c>
      <c r="C9409" t="s">
        <v>12362</v>
      </c>
      <c r="D9409" t="s">
        <v>16654</v>
      </c>
      <c r="E9409" t="s">
        <v>24520</v>
      </c>
      <c r="F9409" t="s">
        <v>28669</v>
      </c>
      <c r="G9409" t="s">
        <v>28675</v>
      </c>
      <c r="H9409" t="s">
        <v>9998</v>
      </c>
      <c r="I9409" t="s">
        <v>5286</v>
      </c>
      <c r="J9409" t="s">
        <v>28879</v>
      </c>
      <c r="K9409" t="s">
        <v>37243</v>
      </c>
      <c r="M9409" t="s">
        <v>38868</v>
      </c>
      <c r="N9409" t="s">
        <v>41249</v>
      </c>
      <c r="O9409" t="s">
        <v>41250</v>
      </c>
      <c r="P9409">
        <v>0</v>
      </c>
      <c r="Q9409">
        <v>2</v>
      </c>
      <c r="R9409" t="s">
        <v>41259</v>
      </c>
      <c r="S9409" t="s">
        <v>41562</v>
      </c>
      <c r="T9409" t="s">
        <v>42758</v>
      </c>
      <c r="U9409" t="s">
        <v>50773</v>
      </c>
      <c r="W9409" t="s">
        <v>38868</v>
      </c>
      <c r="X9409" t="s">
        <v>41260</v>
      </c>
    </row>
    <row r="9410" spans="1:24">
      <c r="A9410">
        <f>HYPERLINK("https://www.philgeps.gov.ph/GEPSNONPILOT/Tender/SplashBidNoticeAbstractUI.aspx?menuIndex=3&amp;refID=7063854&amp;Result=3","7063854")</f>
        <v>0</v>
      </c>
      <c r="B9410" t="s">
        <v>2762</v>
      </c>
      <c r="C9410" t="s">
        <v>12363</v>
      </c>
      <c r="D9410" t="s">
        <v>16613</v>
      </c>
      <c r="E9410" t="s">
        <v>24889</v>
      </c>
      <c r="F9410" t="s">
        <v>28671</v>
      </c>
      <c r="G9410" t="s">
        <v>28675</v>
      </c>
      <c r="H9410" t="s">
        <v>28686</v>
      </c>
      <c r="I9410" t="s">
        <v>28689</v>
      </c>
      <c r="J9410" t="s">
        <v>30575</v>
      </c>
      <c r="K9410" t="s">
        <v>37422</v>
      </c>
      <c r="M9410" t="s">
        <v>40482</v>
      </c>
      <c r="N9410" t="s">
        <v>41249</v>
      </c>
      <c r="O9410" t="s">
        <v>41250</v>
      </c>
      <c r="P9410">
        <v>0</v>
      </c>
      <c r="Q9410">
        <v>0</v>
      </c>
      <c r="R9410" t="s">
        <v>41259</v>
      </c>
      <c r="S9410" t="s">
        <v>41562</v>
      </c>
      <c r="T9410" t="s">
        <v>42670</v>
      </c>
      <c r="U9410" t="s">
        <v>50774</v>
      </c>
      <c r="W9410" t="s">
        <v>40482</v>
      </c>
      <c r="X9410" t="s">
        <v>41260</v>
      </c>
    </row>
    <row r="9411" spans="1:24">
      <c r="A9411">
        <f>HYPERLINK("https://www.philgeps.gov.ph/GEPSNONPILOT/Tender/SplashBidNoticeAbstractUI.aspx?menuIndex=3&amp;refID=7063849&amp;Result=3","7063849")</f>
        <v>0</v>
      </c>
      <c r="B9411" t="s">
        <v>1522</v>
      </c>
      <c r="C9411" t="s">
        <v>12364</v>
      </c>
      <c r="D9411" t="s">
        <v>16686</v>
      </c>
      <c r="E9411" t="s">
        <v>24890</v>
      </c>
      <c r="F9411" t="s">
        <v>28669</v>
      </c>
      <c r="G9411" t="s">
        <v>28675</v>
      </c>
      <c r="H9411" t="s">
        <v>9998</v>
      </c>
      <c r="I9411" t="s">
        <v>15140</v>
      </c>
      <c r="J9411" t="s">
        <v>34668</v>
      </c>
      <c r="K9411" t="s">
        <v>37210</v>
      </c>
      <c r="M9411" t="s">
        <v>39573</v>
      </c>
      <c r="N9411" t="s">
        <v>41249</v>
      </c>
      <c r="O9411" t="s">
        <v>41250</v>
      </c>
      <c r="P9411">
        <v>0</v>
      </c>
      <c r="Q9411">
        <v>1</v>
      </c>
      <c r="R9411" t="s">
        <v>41259</v>
      </c>
      <c r="S9411" t="s">
        <v>41562</v>
      </c>
      <c r="T9411" t="s">
        <v>42663</v>
      </c>
      <c r="U9411" t="s">
        <v>50775</v>
      </c>
      <c r="W9411" t="s">
        <v>39573</v>
      </c>
      <c r="X9411" t="s">
        <v>41260</v>
      </c>
    </row>
    <row r="9412" spans="1:24">
      <c r="A9412">
        <f>HYPERLINK("https://www.philgeps.gov.ph/GEPSNONPILOT/Tender/SplashBidNoticeAbstractUI.aspx?menuIndex=3&amp;refID=7063895&amp;Result=3","7063895")</f>
        <v>0</v>
      </c>
      <c r="B9412" t="s">
        <v>2758</v>
      </c>
      <c r="C9412" t="s">
        <v>12365</v>
      </c>
      <c r="D9412" t="s">
        <v>16610</v>
      </c>
      <c r="E9412" t="s">
        <v>24891</v>
      </c>
      <c r="F9412" t="s">
        <v>28669</v>
      </c>
      <c r="G9412" t="s">
        <v>28675</v>
      </c>
      <c r="H9412" t="s">
        <v>9998</v>
      </c>
      <c r="I9412" t="s">
        <v>28688</v>
      </c>
      <c r="J9412" t="s">
        <v>34669</v>
      </c>
      <c r="K9412" t="s">
        <v>37205</v>
      </c>
      <c r="M9412" t="s">
        <v>40476</v>
      </c>
      <c r="N9412" t="s">
        <v>41249</v>
      </c>
      <c r="O9412" t="s">
        <v>41250</v>
      </c>
      <c r="P9412">
        <v>0</v>
      </c>
      <c r="Q9412">
        <v>5</v>
      </c>
      <c r="R9412" t="s">
        <v>41259</v>
      </c>
      <c r="S9412" t="s">
        <v>41562</v>
      </c>
      <c r="T9412" t="s">
        <v>42727</v>
      </c>
      <c r="U9412" t="s">
        <v>50751</v>
      </c>
      <c r="W9412" t="s">
        <v>40476</v>
      </c>
      <c r="X9412" t="s">
        <v>41260</v>
      </c>
    </row>
    <row r="9413" spans="1:24">
      <c r="A9413">
        <f>HYPERLINK("https://www.philgeps.gov.ph/GEPSNONPILOT/Tender/SplashBidNoticeAbstractUI.aspx?menuIndex=3&amp;refID=7063897&amp;Result=3","7063897")</f>
        <v>0</v>
      </c>
      <c r="B9413" t="s">
        <v>2763</v>
      </c>
      <c r="C9413" t="s">
        <v>12366</v>
      </c>
      <c r="D9413" t="s">
        <v>16658</v>
      </c>
      <c r="E9413" t="s">
        <v>24892</v>
      </c>
      <c r="F9413" t="s">
        <v>28669</v>
      </c>
      <c r="G9413" t="s">
        <v>28675</v>
      </c>
      <c r="H9413" t="s">
        <v>9998</v>
      </c>
      <c r="I9413" t="s">
        <v>28717</v>
      </c>
      <c r="J9413" t="s">
        <v>34670</v>
      </c>
      <c r="K9413" t="s">
        <v>37220</v>
      </c>
      <c r="M9413" t="s">
        <v>40483</v>
      </c>
      <c r="N9413" t="s">
        <v>41249</v>
      </c>
      <c r="O9413" t="s">
        <v>41250</v>
      </c>
      <c r="P9413">
        <v>0</v>
      </c>
      <c r="Q9413">
        <v>17</v>
      </c>
      <c r="R9413" t="s">
        <v>41259</v>
      </c>
      <c r="S9413" t="s">
        <v>41562</v>
      </c>
      <c r="T9413" t="s">
        <v>43000</v>
      </c>
      <c r="U9413" t="s">
        <v>50776</v>
      </c>
      <c r="W9413" t="s">
        <v>40483</v>
      </c>
      <c r="X9413" t="s">
        <v>41260</v>
      </c>
    </row>
    <row r="9414" spans="1:24">
      <c r="A9414">
        <f>HYPERLINK("https://www.philgeps.gov.ph/GEPSNONPILOT/Tender/SplashBidNoticeAbstractUI.aspx?menuIndex=3&amp;refID=7063894&amp;Result=3","7063894")</f>
        <v>0</v>
      </c>
      <c r="B9414" t="s">
        <v>2511</v>
      </c>
      <c r="C9414" t="s">
        <v>12367</v>
      </c>
      <c r="D9414" t="s">
        <v>16676</v>
      </c>
      <c r="E9414" t="s">
        <v>24893</v>
      </c>
      <c r="F9414" t="s">
        <v>28669</v>
      </c>
      <c r="G9414" t="s">
        <v>28676</v>
      </c>
      <c r="H9414" t="s">
        <v>9998</v>
      </c>
      <c r="I9414" t="s">
        <v>28734</v>
      </c>
      <c r="J9414" t="s">
        <v>34671</v>
      </c>
      <c r="K9414" t="s">
        <v>37206</v>
      </c>
      <c r="M9414" t="s">
        <v>40199</v>
      </c>
      <c r="N9414" t="s">
        <v>41249</v>
      </c>
      <c r="O9414" t="s">
        <v>41250</v>
      </c>
      <c r="P9414">
        <v>0</v>
      </c>
      <c r="Q9414">
        <v>4</v>
      </c>
      <c r="R9414" t="s">
        <v>41259</v>
      </c>
      <c r="S9414" t="s">
        <v>41562</v>
      </c>
      <c r="T9414" t="s">
        <v>42733</v>
      </c>
      <c r="U9414" t="s">
        <v>50777</v>
      </c>
      <c r="W9414" t="s">
        <v>40199</v>
      </c>
      <c r="X9414" t="s">
        <v>41260</v>
      </c>
    </row>
    <row r="9415" spans="1:24">
      <c r="A9415">
        <f>HYPERLINK("https://www.philgeps.gov.ph/GEPSNONPILOT/Tender/SplashBidNoticeAbstractUI.aspx?menuIndex=3&amp;refID=7063890&amp;Result=3","7063890")</f>
        <v>0</v>
      </c>
      <c r="B9415" t="s">
        <v>1522</v>
      </c>
      <c r="C9415" t="s">
        <v>12368</v>
      </c>
      <c r="D9415" t="s">
        <v>16686</v>
      </c>
      <c r="E9415" t="s">
        <v>24894</v>
      </c>
      <c r="F9415" t="s">
        <v>28669</v>
      </c>
      <c r="G9415" t="s">
        <v>28675</v>
      </c>
      <c r="H9415" t="s">
        <v>9998</v>
      </c>
      <c r="I9415" t="s">
        <v>15140</v>
      </c>
      <c r="J9415" t="s">
        <v>34668</v>
      </c>
      <c r="K9415" t="s">
        <v>37210</v>
      </c>
      <c r="M9415" t="s">
        <v>39573</v>
      </c>
      <c r="N9415" t="s">
        <v>41249</v>
      </c>
      <c r="O9415" t="s">
        <v>41250</v>
      </c>
      <c r="P9415">
        <v>0</v>
      </c>
      <c r="Q9415">
        <v>0</v>
      </c>
      <c r="R9415" t="s">
        <v>41259</v>
      </c>
      <c r="S9415" t="s">
        <v>41562</v>
      </c>
      <c r="T9415" t="s">
        <v>42663</v>
      </c>
      <c r="U9415" t="s">
        <v>50775</v>
      </c>
      <c r="W9415" t="s">
        <v>39573</v>
      </c>
      <c r="X9415" t="s">
        <v>41260</v>
      </c>
    </row>
    <row r="9416" spans="1:24">
      <c r="A9416">
        <f>HYPERLINK("https://www.philgeps.gov.ph/GEPSNONPILOT/Tender/SplashBidNoticeAbstractUI.aspx?menuIndex=3&amp;refID=7063879&amp;Result=3","7063879")</f>
        <v>0</v>
      </c>
      <c r="B9416" t="s">
        <v>2055</v>
      </c>
      <c r="C9416" t="s">
        <v>12369</v>
      </c>
      <c r="D9416" t="s">
        <v>16644</v>
      </c>
      <c r="E9416" t="s">
        <v>24895</v>
      </c>
      <c r="F9416" t="s">
        <v>28669</v>
      </c>
      <c r="G9416" t="s">
        <v>28675</v>
      </c>
      <c r="H9416" t="s">
        <v>28686</v>
      </c>
      <c r="I9416" t="s">
        <v>28689</v>
      </c>
      <c r="J9416" t="s">
        <v>31640</v>
      </c>
      <c r="K9416" t="s">
        <v>37423</v>
      </c>
      <c r="M9416" t="s">
        <v>39695</v>
      </c>
      <c r="N9416" t="s">
        <v>41249</v>
      </c>
      <c r="O9416" t="s">
        <v>41250</v>
      </c>
      <c r="P9416">
        <v>0</v>
      </c>
      <c r="Q9416">
        <v>1</v>
      </c>
      <c r="R9416" t="s">
        <v>41259</v>
      </c>
      <c r="S9416" t="s">
        <v>41562</v>
      </c>
      <c r="T9416" t="s">
        <v>42748</v>
      </c>
      <c r="U9416" t="s">
        <v>50778</v>
      </c>
      <c r="W9416" t="s">
        <v>39695</v>
      </c>
      <c r="X9416" t="s">
        <v>41260</v>
      </c>
    </row>
    <row r="9417" spans="1:24">
      <c r="A9417">
        <f>HYPERLINK("https://www.philgeps.gov.ph/GEPSNONPILOT/Tender/SplashBidNoticeAbstractUI.aspx?menuIndex=3&amp;refID=7063777&amp;Result=3","7063777")</f>
        <v>0</v>
      </c>
      <c r="B9417" t="s">
        <v>1471</v>
      </c>
      <c r="C9417" t="s">
        <v>12370</v>
      </c>
      <c r="D9417" t="s">
        <v>16615</v>
      </c>
      <c r="E9417" t="s">
        <v>24896</v>
      </c>
      <c r="F9417" t="s">
        <v>28669</v>
      </c>
      <c r="G9417" t="s">
        <v>28682</v>
      </c>
      <c r="H9417" t="s">
        <v>28686</v>
      </c>
      <c r="I9417" t="s">
        <v>28689</v>
      </c>
      <c r="J9417" t="s">
        <v>34672</v>
      </c>
      <c r="K9417" t="s">
        <v>37212</v>
      </c>
      <c r="M9417" t="s">
        <v>39039</v>
      </c>
      <c r="N9417" t="s">
        <v>41249</v>
      </c>
      <c r="O9417" t="s">
        <v>41250</v>
      </c>
      <c r="P9417">
        <v>0</v>
      </c>
      <c r="Q9417">
        <v>7</v>
      </c>
      <c r="R9417" t="s">
        <v>41259</v>
      </c>
      <c r="S9417" t="s">
        <v>41562</v>
      </c>
      <c r="T9417" t="s">
        <v>42760</v>
      </c>
      <c r="U9417" t="s">
        <v>50779</v>
      </c>
      <c r="V9417" t="s">
        <v>54688</v>
      </c>
      <c r="W9417" t="s">
        <v>39039</v>
      </c>
      <c r="X9417" t="s">
        <v>41260</v>
      </c>
    </row>
    <row r="9418" spans="1:24">
      <c r="A9418">
        <f>HYPERLINK("https://www.philgeps.gov.ph/GEPSNONPILOT/Tender/SplashBidNoticeAbstractUI.aspx?menuIndex=3&amp;refID=7063869&amp;Result=3","7063869")</f>
        <v>0</v>
      </c>
      <c r="B9418" t="s">
        <v>260</v>
      </c>
      <c r="C9418" t="s">
        <v>12371</v>
      </c>
      <c r="D9418" t="s">
        <v>16646</v>
      </c>
      <c r="E9418" t="s">
        <v>24897</v>
      </c>
      <c r="F9418" t="s">
        <v>28669</v>
      </c>
      <c r="G9418" t="s">
        <v>28675</v>
      </c>
      <c r="H9418" t="s">
        <v>9998</v>
      </c>
      <c r="I9418" t="s">
        <v>28766</v>
      </c>
      <c r="J9418" t="s">
        <v>28889</v>
      </c>
      <c r="K9418" t="s">
        <v>37205</v>
      </c>
      <c r="M9418" t="s">
        <v>37738</v>
      </c>
      <c r="N9418" t="s">
        <v>41249</v>
      </c>
      <c r="O9418" t="s">
        <v>41250</v>
      </c>
      <c r="P9418">
        <v>0</v>
      </c>
      <c r="Q9418">
        <v>5</v>
      </c>
      <c r="R9418" t="s">
        <v>41259</v>
      </c>
      <c r="S9418" t="s">
        <v>41562</v>
      </c>
      <c r="T9418" t="s">
        <v>42686</v>
      </c>
      <c r="U9418" t="s">
        <v>50780</v>
      </c>
      <c r="W9418" t="s">
        <v>37738</v>
      </c>
      <c r="X9418" t="s">
        <v>41260</v>
      </c>
    </row>
    <row r="9419" spans="1:24">
      <c r="A9419">
        <f>HYPERLINK("https://www.philgeps.gov.ph/GEPSNONPILOT/Tender/SplashBidNoticeAbstractUI.aspx?menuIndex=3&amp;refID=7063868&amp;Result=3","7063868")</f>
        <v>0</v>
      </c>
      <c r="B9419" t="s">
        <v>1368</v>
      </c>
      <c r="C9419" t="s">
        <v>12372</v>
      </c>
      <c r="D9419" t="s">
        <v>16662</v>
      </c>
      <c r="E9419" t="s">
        <v>24898</v>
      </c>
      <c r="F9419" t="s">
        <v>28669</v>
      </c>
      <c r="G9419" t="s">
        <v>28676</v>
      </c>
      <c r="H9419" t="s">
        <v>9998</v>
      </c>
      <c r="I9419" t="s">
        <v>7352</v>
      </c>
      <c r="J9419" t="s">
        <v>29247</v>
      </c>
      <c r="K9419" t="s">
        <v>37210</v>
      </c>
      <c r="M9419" t="s">
        <v>38926</v>
      </c>
      <c r="N9419" t="s">
        <v>41249</v>
      </c>
      <c r="O9419" t="s">
        <v>41250</v>
      </c>
      <c r="P9419">
        <v>0</v>
      </c>
      <c r="Q9419">
        <v>2</v>
      </c>
      <c r="R9419" t="s">
        <v>41259</v>
      </c>
      <c r="S9419" t="s">
        <v>41562</v>
      </c>
      <c r="T9419" t="s">
        <v>43089</v>
      </c>
      <c r="U9419" t="s">
        <v>50781</v>
      </c>
      <c r="W9419" t="s">
        <v>38926</v>
      </c>
      <c r="X9419" t="s">
        <v>41260</v>
      </c>
    </row>
    <row r="9420" spans="1:24">
      <c r="A9420">
        <f>HYPERLINK("https://www.philgeps.gov.ph/GEPSNONPILOT/Tender/SplashBidNoticeAbstractUI.aspx?menuIndex=3&amp;refID=7063865&amp;Result=3","7063865")</f>
        <v>0</v>
      </c>
      <c r="B9420" t="s">
        <v>754</v>
      </c>
      <c r="C9420" t="s">
        <v>6933</v>
      </c>
      <c r="D9420" t="s">
        <v>16608</v>
      </c>
      <c r="E9420" t="s">
        <v>24899</v>
      </c>
      <c r="F9420" t="s">
        <v>28669</v>
      </c>
      <c r="G9420" t="s">
        <v>28678</v>
      </c>
      <c r="H9420" t="s">
        <v>9998</v>
      </c>
      <c r="I9420" t="s">
        <v>6128</v>
      </c>
      <c r="J9420" t="s">
        <v>34673</v>
      </c>
      <c r="K9420" t="s">
        <v>37204</v>
      </c>
      <c r="M9420" t="s">
        <v>38265</v>
      </c>
      <c r="N9420" t="s">
        <v>41249</v>
      </c>
      <c r="O9420" t="s">
        <v>41250</v>
      </c>
      <c r="Q9420">
        <v>9</v>
      </c>
      <c r="R9420" t="s">
        <v>41259</v>
      </c>
      <c r="S9420" t="s">
        <v>41605</v>
      </c>
      <c r="T9420" t="s">
        <v>42705</v>
      </c>
      <c r="U9420" t="s">
        <v>44657</v>
      </c>
      <c r="W9420" t="s">
        <v>38265</v>
      </c>
      <c r="X9420" t="s">
        <v>41260</v>
      </c>
    </row>
    <row r="9421" spans="1:24">
      <c r="A9421">
        <f>HYPERLINK("https://www.philgeps.gov.ph/GEPSNONPILOT/Tender/SplashBidNoticeAbstractUI.aspx?menuIndex=3&amp;refID=7063929&amp;Result=3","7063929")</f>
        <v>0</v>
      </c>
      <c r="B9421" t="s">
        <v>546</v>
      </c>
      <c r="C9421" t="s">
        <v>12373</v>
      </c>
      <c r="D9421" t="s">
        <v>16629</v>
      </c>
      <c r="E9421" t="s">
        <v>18454</v>
      </c>
      <c r="F9421" t="s">
        <v>28669</v>
      </c>
      <c r="G9421" t="s">
        <v>28675</v>
      </c>
      <c r="H9421" t="s">
        <v>9998</v>
      </c>
      <c r="I9421" t="s">
        <v>7352</v>
      </c>
      <c r="J9421" t="s">
        <v>34674</v>
      </c>
      <c r="K9421" t="s">
        <v>37227</v>
      </c>
      <c r="M9421" t="s">
        <v>38039</v>
      </c>
      <c r="N9421" t="s">
        <v>41249</v>
      </c>
      <c r="O9421" t="s">
        <v>41250</v>
      </c>
      <c r="P9421">
        <v>0</v>
      </c>
      <c r="Q9421">
        <v>0</v>
      </c>
      <c r="R9421" t="s">
        <v>41259</v>
      </c>
      <c r="S9421" t="s">
        <v>41562</v>
      </c>
      <c r="T9421" t="s">
        <v>42728</v>
      </c>
      <c r="U9421" t="s">
        <v>50782</v>
      </c>
      <c r="W9421" t="s">
        <v>38039</v>
      </c>
      <c r="X9421" t="s">
        <v>41260</v>
      </c>
    </row>
    <row r="9422" spans="1:24">
      <c r="A9422">
        <f>HYPERLINK("https://www.philgeps.gov.ph/GEPSNONPILOT/Tender/SplashBidNoticeAbstractUI.aspx?menuIndex=3&amp;refID=7063433&amp;Result=3","7063433")</f>
        <v>0</v>
      </c>
      <c r="B9422" t="s">
        <v>2753</v>
      </c>
      <c r="C9422" t="s">
        <v>12374</v>
      </c>
      <c r="D9422" t="s">
        <v>16653</v>
      </c>
      <c r="E9422" t="s">
        <v>24900</v>
      </c>
      <c r="F9422" t="s">
        <v>28669</v>
      </c>
      <c r="G9422" t="s">
        <v>28675</v>
      </c>
      <c r="H9422" t="s">
        <v>28686</v>
      </c>
      <c r="I9422" t="s">
        <v>28689</v>
      </c>
      <c r="J9422" t="s">
        <v>34675</v>
      </c>
      <c r="K9422" t="s">
        <v>37218</v>
      </c>
      <c r="M9422" t="s">
        <v>40471</v>
      </c>
      <c r="N9422" t="s">
        <v>41249</v>
      </c>
      <c r="O9422" t="s">
        <v>41250</v>
      </c>
      <c r="P9422">
        <v>0</v>
      </c>
      <c r="Q9422">
        <v>0</v>
      </c>
      <c r="R9422" t="s">
        <v>41259</v>
      </c>
      <c r="S9422" t="s">
        <v>41562</v>
      </c>
      <c r="T9422" t="s">
        <v>42839</v>
      </c>
      <c r="U9422" t="s">
        <v>50783</v>
      </c>
      <c r="W9422" t="s">
        <v>40471</v>
      </c>
      <c r="X9422" t="s">
        <v>41260</v>
      </c>
    </row>
    <row r="9423" spans="1:24">
      <c r="A9423">
        <f>HYPERLINK("https://www.philgeps.gov.ph/GEPSNONPILOT/Tender/SplashBidNoticeAbstractUI.aspx?menuIndex=3&amp;refID=7063928&amp;Result=3","7063928")</f>
        <v>0</v>
      </c>
      <c r="B9423" t="s">
        <v>2760</v>
      </c>
      <c r="C9423" t="s">
        <v>12375</v>
      </c>
      <c r="D9423" t="s">
        <v>16684</v>
      </c>
      <c r="E9423" t="s">
        <v>19911</v>
      </c>
      <c r="F9423" t="s">
        <v>28669</v>
      </c>
      <c r="G9423" t="s">
        <v>28675</v>
      </c>
      <c r="H9423" t="s">
        <v>9998</v>
      </c>
      <c r="I9423" t="s">
        <v>28688</v>
      </c>
      <c r="J9423" t="s">
        <v>29308</v>
      </c>
      <c r="K9423" t="s">
        <v>37210</v>
      </c>
      <c r="M9423" t="s">
        <v>40479</v>
      </c>
      <c r="N9423" t="s">
        <v>41249</v>
      </c>
      <c r="O9423" t="s">
        <v>41250</v>
      </c>
      <c r="P9423">
        <v>0</v>
      </c>
      <c r="Q9423">
        <v>2</v>
      </c>
      <c r="R9423" t="s">
        <v>41259</v>
      </c>
      <c r="S9423" t="s">
        <v>41562</v>
      </c>
      <c r="T9423" t="s">
        <v>42727</v>
      </c>
      <c r="U9423" t="s">
        <v>50784</v>
      </c>
      <c r="W9423" t="s">
        <v>40479</v>
      </c>
      <c r="X9423" t="s">
        <v>41260</v>
      </c>
    </row>
    <row r="9424" spans="1:24">
      <c r="A9424">
        <f>HYPERLINK("https://www.philgeps.gov.ph/GEPSNONPILOT/Tender/SplashBidNoticeAbstractUI.aspx?menuIndex=3&amp;refID=7063899&amp;Result=3","7063899")</f>
        <v>0</v>
      </c>
      <c r="B9424" t="s">
        <v>2299</v>
      </c>
      <c r="C9424" t="s">
        <v>12376</v>
      </c>
      <c r="D9424" t="s">
        <v>16619</v>
      </c>
      <c r="E9424" t="s">
        <v>24901</v>
      </c>
      <c r="F9424" t="s">
        <v>28669</v>
      </c>
      <c r="G9424" t="s">
        <v>28675</v>
      </c>
      <c r="H9424" t="s">
        <v>9998</v>
      </c>
      <c r="I9424" t="s">
        <v>28706</v>
      </c>
      <c r="J9424" t="s">
        <v>33099</v>
      </c>
      <c r="K9424" t="s">
        <v>37205</v>
      </c>
      <c r="M9424" t="s">
        <v>39957</v>
      </c>
      <c r="N9424" t="s">
        <v>41249</v>
      </c>
      <c r="O9424" t="s">
        <v>41250</v>
      </c>
      <c r="P9424">
        <v>0</v>
      </c>
      <c r="Q9424">
        <v>2</v>
      </c>
      <c r="R9424" t="s">
        <v>41259</v>
      </c>
      <c r="S9424" t="s">
        <v>41562</v>
      </c>
      <c r="T9424" t="s">
        <v>42727</v>
      </c>
      <c r="U9424" t="s">
        <v>50785</v>
      </c>
      <c r="V9424" t="s">
        <v>55301</v>
      </c>
      <c r="W9424" t="s">
        <v>39957</v>
      </c>
      <c r="X9424" t="s">
        <v>41260</v>
      </c>
    </row>
    <row r="9425" spans="1:24">
      <c r="A9425">
        <f>HYPERLINK("https://www.philgeps.gov.ph/GEPSNONPILOT/Tender/SplashBidNoticeAbstractUI.aspx?menuIndex=3&amp;refID=7063920&amp;Result=3","7063920")</f>
        <v>0</v>
      </c>
      <c r="B9425" t="s">
        <v>327</v>
      </c>
      <c r="C9425" t="s">
        <v>12377</v>
      </c>
      <c r="D9425" t="s">
        <v>16682</v>
      </c>
      <c r="E9425" t="s">
        <v>24902</v>
      </c>
      <c r="F9425" t="s">
        <v>28669</v>
      </c>
      <c r="G9425" t="s">
        <v>28675</v>
      </c>
      <c r="H9425" t="s">
        <v>9998</v>
      </c>
      <c r="I9425" t="s">
        <v>28706</v>
      </c>
      <c r="J9425" t="s">
        <v>34676</v>
      </c>
      <c r="K9425" t="s">
        <v>37213</v>
      </c>
      <c r="M9425" t="s">
        <v>37807</v>
      </c>
      <c r="N9425" t="s">
        <v>41249</v>
      </c>
      <c r="O9425" t="s">
        <v>41250</v>
      </c>
      <c r="P9425">
        <v>0</v>
      </c>
      <c r="Q9425">
        <v>6</v>
      </c>
      <c r="R9425" t="s">
        <v>41259</v>
      </c>
      <c r="S9425" t="s">
        <v>41562</v>
      </c>
      <c r="T9425" t="s">
        <v>43094</v>
      </c>
      <c r="U9425" t="s">
        <v>50786</v>
      </c>
      <c r="V9425" t="s">
        <v>54328</v>
      </c>
      <c r="W9425" t="s">
        <v>37807</v>
      </c>
      <c r="X9425" t="s">
        <v>41260</v>
      </c>
    </row>
    <row r="9426" spans="1:24">
      <c r="A9426">
        <f>HYPERLINK("https://www.philgeps.gov.ph/GEPSNONPILOT/Tender/SplashBidNoticeAbstractUI.aspx?menuIndex=3&amp;refID=7063875&amp;Result=3","7063875")</f>
        <v>0</v>
      </c>
      <c r="B9426" t="s">
        <v>2764</v>
      </c>
      <c r="C9426" t="s">
        <v>12378</v>
      </c>
      <c r="D9426" t="s">
        <v>16654</v>
      </c>
      <c r="E9426" t="s">
        <v>24903</v>
      </c>
      <c r="F9426" t="s">
        <v>28669</v>
      </c>
      <c r="G9426" t="s">
        <v>28675</v>
      </c>
      <c r="H9426" t="s">
        <v>28686</v>
      </c>
      <c r="I9426" t="s">
        <v>28689</v>
      </c>
      <c r="J9426" t="s">
        <v>34677</v>
      </c>
      <c r="K9426" t="s">
        <v>37411</v>
      </c>
      <c r="M9426" t="s">
        <v>40484</v>
      </c>
      <c r="N9426" t="s">
        <v>41249</v>
      </c>
      <c r="O9426" t="s">
        <v>41250</v>
      </c>
      <c r="P9426">
        <v>0</v>
      </c>
      <c r="Q9426">
        <v>4</v>
      </c>
      <c r="R9426" t="s">
        <v>41259</v>
      </c>
      <c r="S9426" t="s">
        <v>41562</v>
      </c>
      <c r="T9426" t="s">
        <v>42760</v>
      </c>
      <c r="U9426" t="s">
        <v>50787</v>
      </c>
      <c r="V9426" t="s">
        <v>55302</v>
      </c>
      <c r="W9426" t="s">
        <v>40484</v>
      </c>
      <c r="X9426" t="s">
        <v>41260</v>
      </c>
    </row>
    <row r="9427" spans="1:24">
      <c r="A9427">
        <f>HYPERLINK("https://www.philgeps.gov.ph/GEPSNONPILOT/Tender/SplashBidNoticeAbstractUI.aspx?menuIndex=3&amp;refID=7063855&amp;Result=3","7063855")</f>
        <v>0</v>
      </c>
      <c r="B9427" t="s">
        <v>2763</v>
      </c>
      <c r="C9427" t="s">
        <v>12379</v>
      </c>
      <c r="D9427" t="s">
        <v>16658</v>
      </c>
      <c r="E9427" t="s">
        <v>24904</v>
      </c>
      <c r="F9427" t="s">
        <v>28669</v>
      </c>
      <c r="G9427" t="s">
        <v>28675</v>
      </c>
      <c r="H9427" t="s">
        <v>9998</v>
      </c>
      <c r="I9427" t="s">
        <v>28772</v>
      </c>
      <c r="J9427" t="s">
        <v>28823</v>
      </c>
      <c r="K9427" t="s">
        <v>37314</v>
      </c>
      <c r="M9427" t="s">
        <v>40483</v>
      </c>
      <c r="N9427" t="s">
        <v>41249</v>
      </c>
      <c r="O9427" t="s">
        <v>41250</v>
      </c>
      <c r="P9427">
        <v>0</v>
      </c>
      <c r="Q9427">
        <v>1</v>
      </c>
      <c r="R9427" t="s">
        <v>41259</v>
      </c>
      <c r="S9427" t="s">
        <v>41562</v>
      </c>
      <c r="T9427" t="s">
        <v>43058</v>
      </c>
      <c r="U9427" t="s">
        <v>50788</v>
      </c>
      <c r="W9427" t="s">
        <v>40483</v>
      </c>
      <c r="X9427" t="s">
        <v>41260</v>
      </c>
    </row>
    <row r="9428" spans="1:24">
      <c r="A9428">
        <f>HYPERLINK("https://www.philgeps.gov.ph/GEPSNONPILOT/Tender/SplashBidNoticeAbstractUI.aspx?menuIndex=3&amp;refID=7063931&amp;Result=3","7063931")</f>
        <v>0</v>
      </c>
      <c r="B9428" t="s">
        <v>2765</v>
      </c>
      <c r="C9428" t="s">
        <v>12380</v>
      </c>
      <c r="D9428" t="s">
        <v>16608</v>
      </c>
      <c r="E9428" t="s">
        <v>24905</v>
      </c>
      <c r="F9428" t="s">
        <v>28669</v>
      </c>
      <c r="G9428" t="s">
        <v>28675</v>
      </c>
      <c r="H9428" t="s">
        <v>28684</v>
      </c>
      <c r="I9428" t="s">
        <v>28772</v>
      </c>
      <c r="J9428" t="s">
        <v>28924</v>
      </c>
      <c r="K9428" t="s">
        <v>37256</v>
      </c>
      <c r="M9428" t="s">
        <v>40485</v>
      </c>
      <c r="N9428" t="s">
        <v>41249</v>
      </c>
      <c r="O9428" t="s">
        <v>41250</v>
      </c>
      <c r="P9428">
        <v>0</v>
      </c>
      <c r="Q9428">
        <v>3</v>
      </c>
      <c r="R9428" t="s">
        <v>41259</v>
      </c>
      <c r="S9428" t="s">
        <v>41562</v>
      </c>
      <c r="T9428" t="s">
        <v>42918</v>
      </c>
      <c r="U9428" t="s">
        <v>50789</v>
      </c>
      <c r="W9428" t="s">
        <v>56011</v>
      </c>
      <c r="X9428" t="s">
        <v>41260</v>
      </c>
    </row>
    <row r="9429" spans="1:24">
      <c r="A9429">
        <f>HYPERLINK("https://www.philgeps.gov.ph/GEPSNONPILOT/Tender/SplashBidNoticeAbstractUI.aspx?menuIndex=3&amp;refID=7063960&amp;Result=3","7063960")</f>
        <v>0</v>
      </c>
      <c r="B9429" t="s">
        <v>2758</v>
      </c>
      <c r="C9429" t="s">
        <v>12381</v>
      </c>
      <c r="D9429" t="s">
        <v>16610</v>
      </c>
      <c r="E9429" t="s">
        <v>24906</v>
      </c>
      <c r="F9429" t="s">
        <v>28669</v>
      </c>
      <c r="G9429" t="s">
        <v>28675</v>
      </c>
      <c r="H9429" t="s">
        <v>9998</v>
      </c>
      <c r="I9429" t="s">
        <v>7352</v>
      </c>
      <c r="J9429" t="s">
        <v>34678</v>
      </c>
      <c r="K9429" t="s">
        <v>37227</v>
      </c>
      <c r="M9429" t="s">
        <v>40476</v>
      </c>
      <c r="N9429" t="s">
        <v>41249</v>
      </c>
      <c r="O9429" t="s">
        <v>41250</v>
      </c>
      <c r="P9429">
        <v>0</v>
      </c>
      <c r="Q9429">
        <v>1</v>
      </c>
      <c r="R9429" t="s">
        <v>41259</v>
      </c>
      <c r="S9429" t="s">
        <v>41562</v>
      </c>
      <c r="T9429" t="s">
        <v>42727</v>
      </c>
      <c r="U9429" t="s">
        <v>50751</v>
      </c>
      <c r="W9429" t="s">
        <v>40476</v>
      </c>
      <c r="X9429" t="s">
        <v>41260</v>
      </c>
    </row>
    <row r="9430" spans="1:24">
      <c r="A9430">
        <f>HYPERLINK("https://www.philgeps.gov.ph/GEPSNONPILOT/Tender/SplashBidNoticeAbstractUI.aspx?menuIndex=3&amp;refID=7063902&amp;Result=3","7063902")</f>
        <v>0</v>
      </c>
      <c r="B9430" t="s">
        <v>2171</v>
      </c>
      <c r="C9430" t="s">
        <v>12382</v>
      </c>
      <c r="D9430" t="s">
        <v>16621</v>
      </c>
      <c r="E9430" t="s">
        <v>24907</v>
      </c>
      <c r="F9430" t="s">
        <v>28669</v>
      </c>
      <c r="G9430" t="s">
        <v>28675</v>
      </c>
      <c r="H9430" t="s">
        <v>28686</v>
      </c>
      <c r="I9430" t="s">
        <v>28689</v>
      </c>
      <c r="J9430" t="s">
        <v>34679</v>
      </c>
      <c r="K9430" t="s">
        <v>37345</v>
      </c>
      <c r="M9430" t="s">
        <v>39820</v>
      </c>
      <c r="N9430" t="s">
        <v>41249</v>
      </c>
      <c r="O9430" t="s">
        <v>41250</v>
      </c>
      <c r="P9430">
        <v>0</v>
      </c>
      <c r="Q9430">
        <v>4</v>
      </c>
      <c r="R9430" t="s">
        <v>41259</v>
      </c>
      <c r="S9430" t="s">
        <v>41562</v>
      </c>
      <c r="T9430" t="s">
        <v>42658</v>
      </c>
      <c r="U9430" t="s">
        <v>49581</v>
      </c>
      <c r="W9430" t="s">
        <v>39820</v>
      </c>
      <c r="X9430" t="s">
        <v>41260</v>
      </c>
    </row>
    <row r="9431" spans="1:24">
      <c r="A9431">
        <f>HYPERLINK("https://www.philgeps.gov.ph/GEPSNONPILOT/Tender/SplashBidNoticeAbstractUI.aspx?menuIndex=3&amp;refID=7063957&amp;Result=3","7063957")</f>
        <v>0</v>
      </c>
      <c r="B9431" t="s">
        <v>2766</v>
      </c>
      <c r="C9431" t="s">
        <v>12383</v>
      </c>
      <c r="D9431" t="s">
        <v>16627</v>
      </c>
      <c r="E9431" t="s">
        <v>24908</v>
      </c>
      <c r="F9431" t="s">
        <v>28669</v>
      </c>
      <c r="G9431" t="s">
        <v>28675</v>
      </c>
      <c r="H9431" t="s">
        <v>9998</v>
      </c>
      <c r="I9431" t="s">
        <v>28708</v>
      </c>
      <c r="J9431" t="s">
        <v>34680</v>
      </c>
      <c r="K9431" t="s">
        <v>37209</v>
      </c>
      <c r="M9431" t="s">
        <v>40486</v>
      </c>
      <c r="N9431" t="s">
        <v>41249</v>
      </c>
      <c r="O9431" t="s">
        <v>41250</v>
      </c>
      <c r="P9431">
        <v>0</v>
      </c>
      <c r="Q9431">
        <v>2</v>
      </c>
      <c r="R9431" t="s">
        <v>41259</v>
      </c>
      <c r="S9431" t="s">
        <v>41562</v>
      </c>
      <c r="T9431" t="s">
        <v>42739</v>
      </c>
      <c r="U9431" t="s">
        <v>50790</v>
      </c>
      <c r="W9431" t="s">
        <v>40486</v>
      </c>
      <c r="X9431" t="s">
        <v>41260</v>
      </c>
    </row>
    <row r="9432" spans="1:24">
      <c r="A9432">
        <f>HYPERLINK("https://www.philgeps.gov.ph/GEPSNONPILOT/Tender/SplashBidNoticeAbstractUI.aspx?menuIndex=3&amp;refID=7063914&amp;Result=3","7063914")</f>
        <v>0</v>
      </c>
      <c r="B9432" t="s">
        <v>2579</v>
      </c>
      <c r="C9432" t="s">
        <v>12384</v>
      </c>
      <c r="D9432" t="s">
        <v>16640</v>
      </c>
      <c r="E9432" t="s">
        <v>24909</v>
      </c>
      <c r="F9432" t="s">
        <v>28669</v>
      </c>
      <c r="G9432" t="s">
        <v>28675</v>
      </c>
      <c r="H9432" t="s">
        <v>28686</v>
      </c>
      <c r="I9432" t="s">
        <v>28689</v>
      </c>
      <c r="J9432" t="s">
        <v>30503</v>
      </c>
      <c r="K9432" t="s">
        <v>37212</v>
      </c>
      <c r="M9432" t="s">
        <v>40273</v>
      </c>
      <c r="N9432" t="s">
        <v>41249</v>
      </c>
      <c r="O9432" t="s">
        <v>41250</v>
      </c>
      <c r="P9432">
        <v>0</v>
      </c>
      <c r="Q9432">
        <v>16</v>
      </c>
      <c r="R9432" t="s">
        <v>41259</v>
      </c>
      <c r="S9432" t="s">
        <v>41562</v>
      </c>
      <c r="T9432" t="s">
        <v>42660</v>
      </c>
      <c r="U9432" t="s">
        <v>50791</v>
      </c>
      <c r="W9432" t="s">
        <v>40273</v>
      </c>
      <c r="X9432" t="s">
        <v>41260</v>
      </c>
    </row>
    <row r="9433" spans="1:24">
      <c r="A9433">
        <f>HYPERLINK("https://www.philgeps.gov.ph/GEPSNONPILOT/Tender/SplashBidNoticeAbstractUI.aspx?menuIndex=3&amp;refID=7063952&amp;Result=3","7063952")</f>
        <v>0</v>
      </c>
      <c r="B9433" t="s">
        <v>1289</v>
      </c>
      <c r="C9433" t="s">
        <v>12385</v>
      </c>
      <c r="D9433" t="s">
        <v>16635</v>
      </c>
      <c r="E9433" t="s">
        <v>24910</v>
      </c>
      <c r="F9433" t="s">
        <v>28669</v>
      </c>
      <c r="G9433" t="s">
        <v>28675</v>
      </c>
      <c r="H9433" t="s">
        <v>28686</v>
      </c>
      <c r="I9433" t="s">
        <v>28689</v>
      </c>
      <c r="J9433" t="s">
        <v>34681</v>
      </c>
      <c r="K9433" t="s">
        <v>37212</v>
      </c>
      <c r="M9433" t="s">
        <v>38840</v>
      </c>
      <c r="N9433" t="s">
        <v>41249</v>
      </c>
      <c r="O9433" t="s">
        <v>41250</v>
      </c>
      <c r="P9433">
        <v>0</v>
      </c>
      <c r="Q9433">
        <v>1</v>
      </c>
      <c r="R9433" t="s">
        <v>41259</v>
      </c>
      <c r="S9433" t="s">
        <v>41562</v>
      </c>
      <c r="T9433" t="s">
        <v>42658</v>
      </c>
      <c r="U9433" t="s">
        <v>50792</v>
      </c>
      <c r="W9433" t="s">
        <v>38840</v>
      </c>
      <c r="X9433" t="s">
        <v>41260</v>
      </c>
    </row>
    <row r="9434" spans="1:24">
      <c r="A9434">
        <f>HYPERLINK("https://www.philgeps.gov.ph/GEPSNONPILOT/Tender/SplashBidNoticeAbstractUI.aspx?menuIndex=3&amp;refID=7063863&amp;Result=3","7063863")</f>
        <v>0</v>
      </c>
      <c r="B9434" t="s">
        <v>2767</v>
      </c>
      <c r="C9434" t="s">
        <v>12386</v>
      </c>
      <c r="D9434" t="s">
        <v>16640</v>
      </c>
      <c r="E9434" t="s">
        <v>24911</v>
      </c>
      <c r="F9434" t="s">
        <v>28669</v>
      </c>
      <c r="G9434" t="s">
        <v>28675</v>
      </c>
      <c r="H9434" t="s">
        <v>28686</v>
      </c>
      <c r="I9434" t="s">
        <v>28689</v>
      </c>
      <c r="J9434" t="s">
        <v>34682</v>
      </c>
      <c r="K9434" t="s">
        <v>37212</v>
      </c>
      <c r="M9434" t="s">
        <v>40487</v>
      </c>
      <c r="N9434" t="s">
        <v>41249</v>
      </c>
      <c r="O9434" t="s">
        <v>41250</v>
      </c>
      <c r="P9434">
        <v>0</v>
      </c>
      <c r="Q9434">
        <v>3</v>
      </c>
      <c r="R9434" t="s">
        <v>41259</v>
      </c>
      <c r="S9434" t="s">
        <v>41562</v>
      </c>
      <c r="T9434" t="s">
        <v>42755</v>
      </c>
      <c r="U9434" t="s">
        <v>50793</v>
      </c>
      <c r="W9434" t="s">
        <v>40487</v>
      </c>
      <c r="X9434" t="s">
        <v>41260</v>
      </c>
    </row>
    <row r="9435" spans="1:24">
      <c r="A9435">
        <f>HYPERLINK("https://www.philgeps.gov.ph/GEPSNONPILOT/Tender/SplashBidNoticeAbstractUI.aspx?menuIndex=3&amp;refID=7063851&amp;Result=3","7063851")</f>
        <v>0</v>
      </c>
      <c r="B9435" t="s">
        <v>2768</v>
      </c>
      <c r="C9435" t="s">
        <v>12387</v>
      </c>
      <c r="D9435" t="s">
        <v>16621</v>
      </c>
      <c r="E9435" t="s">
        <v>24912</v>
      </c>
      <c r="F9435" t="s">
        <v>28669</v>
      </c>
      <c r="G9435" t="s">
        <v>28675</v>
      </c>
      <c r="H9435" t="s">
        <v>9998</v>
      </c>
      <c r="I9435" t="s">
        <v>28722</v>
      </c>
      <c r="J9435" t="s">
        <v>34683</v>
      </c>
      <c r="K9435" t="s">
        <v>37206</v>
      </c>
      <c r="M9435" t="s">
        <v>40488</v>
      </c>
      <c r="N9435" t="s">
        <v>41249</v>
      </c>
      <c r="O9435" t="s">
        <v>41250</v>
      </c>
      <c r="P9435">
        <v>0</v>
      </c>
      <c r="Q9435">
        <v>2</v>
      </c>
      <c r="R9435" t="s">
        <v>41259</v>
      </c>
      <c r="S9435" t="s">
        <v>41562</v>
      </c>
      <c r="T9435" t="s">
        <v>43095</v>
      </c>
      <c r="U9435" t="s">
        <v>50794</v>
      </c>
      <c r="V9435" t="s">
        <v>55303</v>
      </c>
      <c r="W9435" t="s">
        <v>40488</v>
      </c>
      <c r="X9435" t="s">
        <v>41260</v>
      </c>
    </row>
    <row r="9436" spans="1:24">
      <c r="A9436">
        <f>HYPERLINK("https://www.philgeps.gov.ph/GEPSNONPILOT/Tender/SplashBidNoticeAbstractUI.aspx?menuIndex=3&amp;refID=7063949&amp;Result=3","7063949")</f>
        <v>0</v>
      </c>
      <c r="B9436" t="s">
        <v>2055</v>
      </c>
      <c r="C9436" t="s">
        <v>12388</v>
      </c>
      <c r="D9436" t="s">
        <v>16644</v>
      </c>
      <c r="E9436" t="s">
        <v>24913</v>
      </c>
      <c r="F9436" t="s">
        <v>28669</v>
      </c>
      <c r="G9436" t="s">
        <v>28675</v>
      </c>
      <c r="H9436" t="s">
        <v>28686</v>
      </c>
      <c r="I9436" t="s">
        <v>28689</v>
      </c>
      <c r="J9436" t="s">
        <v>28905</v>
      </c>
      <c r="K9436" t="s">
        <v>37220</v>
      </c>
      <c r="M9436" t="s">
        <v>39695</v>
      </c>
      <c r="N9436" t="s">
        <v>41249</v>
      </c>
      <c r="O9436" t="s">
        <v>41250</v>
      </c>
      <c r="P9436">
        <v>0</v>
      </c>
      <c r="Q9436">
        <v>0</v>
      </c>
      <c r="R9436" t="s">
        <v>41259</v>
      </c>
      <c r="S9436" t="s">
        <v>41562</v>
      </c>
      <c r="T9436" t="s">
        <v>42748</v>
      </c>
      <c r="U9436" t="s">
        <v>50795</v>
      </c>
      <c r="W9436" t="s">
        <v>39695</v>
      </c>
      <c r="X9436" t="s">
        <v>41260</v>
      </c>
    </row>
    <row r="9437" spans="1:24">
      <c r="A9437">
        <f>HYPERLINK("https://www.philgeps.gov.ph/GEPSNONPILOT/Tender/SplashBidNoticeAbstractUI.aspx?menuIndex=3&amp;refID=7063962&amp;Result=3","7063962")</f>
        <v>0</v>
      </c>
      <c r="B9437" t="s">
        <v>1522</v>
      </c>
      <c r="C9437" t="s">
        <v>12389</v>
      </c>
      <c r="D9437" t="s">
        <v>16686</v>
      </c>
      <c r="E9437" t="s">
        <v>24914</v>
      </c>
      <c r="F9437" t="s">
        <v>28669</v>
      </c>
      <c r="G9437" t="s">
        <v>28675</v>
      </c>
      <c r="H9437" t="s">
        <v>9998</v>
      </c>
      <c r="I9437" t="s">
        <v>6128</v>
      </c>
      <c r="J9437" t="s">
        <v>30263</v>
      </c>
      <c r="K9437" t="s">
        <v>37210</v>
      </c>
      <c r="M9437" t="s">
        <v>39573</v>
      </c>
      <c r="N9437" t="s">
        <v>41249</v>
      </c>
      <c r="O9437" t="s">
        <v>41250</v>
      </c>
      <c r="P9437">
        <v>0</v>
      </c>
      <c r="Q9437">
        <v>0</v>
      </c>
      <c r="R9437" t="s">
        <v>41259</v>
      </c>
      <c r="S9437" t="s">
        <v>41562</v>
      </c>
      <c r="T9437" t="s">
        <v>42663</v>
      </c>
      <c r="U9437" t="s">
        <v>50796</v>
      </c>
      <c r="W9437" t="s">
        <v>39573</v>
      </c>
      <c r="X9437" t="s">
        <v>41260</v>
      </c>
    </row>
    <row r="9438" spans="1:24">
      <c r="A9438">
        <f>HYPERLINK("https://www.philgeps.gov.ph/GEPSNONPILOT/Tender/SplashBidNoticeAbstractUI.aspx?menuIndex=3&amp;refID=7064011&amp;Result=3","7064011")</f>
        <v>0</v>
      </c>
      <c r="B9438" t="s">
        <v>2478</v>
      </c>
      <c r="C9438" t="s">
        <v>12390</v>
      </c>
      <c r="D9438" t="s">
        <v>16674</v>
      </c>
      <c r="E9438" t="s">
        <v>24915</v>
      </c>
      <c r="F9438" t="s">
        <v>28669</v>
      </c>
      <c r="G9438" t="s">
        <v>28675</v>
      </c>
      <c r="H9438" t="s">
        <v>28686</v>
      </c>
      <c r="I9438" t="s">
        <v>28689</v>
      </c>
      <c r="J9438" t="s">
        <v>34684</v>
      </c>
      <c r="K9438" t="s">
        <v>37324</v>
      </c>
      <c r="M9438" t="s">
        <v>40161</v>
      </c>
      <c r="N9438" t="s">
        <v>41249</v>
      </c>
      <c r="O9438" t="s">
        <v>41250</v>
      </c>
      <c r="P9438">
        <v>0</v>
      </c>
      <c r="Q9438">
        <v>0</v>
      </c>
      <c r="R9438" t="s">
        <v>41259</v>
      </c>
      <c r="S9438" t="s">
        <v>41562</v>
      </c>
      <c r="T9438" t="s">
        <v>42911</v>
      </c>
      <c r="U9438" t="s">
        <v>50797</v>
      </c>
      <c r="V9438" t="s">
        <v>55304</v>
      </c>
      <c r="W9438" t="s">
        <v>40161</v>
      </c>
      <c r="X9438" t="s">
        <v>41260</v>
      </c>
    </row>
    <row r="9439" spans="1:24">
      <c r="A9439">
        <f>HYPERLINK("https://www.philgeps.gov.ph/GEPSNONPILOT/Tender/SplashBidNoticeAbstractUI.aspx?menuIndex=3&amp;refID=7063924&amp;Result=3","7063924")</f>
        <v>0</v>
      </c>
      <c r="B9439" t="s">
        <v>1522</v>
      </c>
      <c r="C9439" t="s">
        <v>12391</v>
      </c>
      <c r="D9439" t="s">
        <v>16686</v>
      </c>
      <c r="E9439" t="s">
        <v>24916</v>
      </c>
      <c r="F9439" t="s">
        <v>28669</v>
      </c>
      <c r="G9439" t="s">
        <v>28675</v>
      </c>
      <c r="H9439" t="s">
        <v>9998</v>
      </c>
      <c r="I9439" t="s">
        <v>6128</v>
      </c>
      <c r="J9439" t="s">
        <v>34685</v>
      </c>
      <c r="K9439" t="s">
        <v>37210</v>
      </c>
      <c r="M9439" t="s">
        <v>39573</v>
      </c>
      <c r="N9439" t="s">
        <v>41249</v>
      </c>
      <c r="O9439" t="s">
        <v>41250</v>
      </c>
      <c r="P9439">
        <v>0</v>
      </c>
      <c r="Q9439">
        <v>0</v>
      </c>
      <c r="R9439" t="s">
        <v>41259</v>
      </c>
      <c r="S9439" t="s">
        <v>41562</v>
      </c>
      <c r="T9439" t="s">
        <v>42663</v>
      </c>
      <c r="U9439" t="s">
        <v>50798</v>
      </c>
      <c r="W9439" t="s">
        <v>39573</v>
      </c>
      <c r="X9439" t="s">
        <v>41260</v>
      </c>
    </row>
    <row r="9440" spans="1:24">
      <c r="A9440">
        <f>HYPERLINK("https://www.philgeps.gov.ph/GEPSNONPILOT/Tender/SplashBidNoticeAbstractUI.aspx?menuIndex=3&amp;refID=7063922&amp;Result=3","7063922")</f>
        <v>0</v>
      </c>
      <c r="B9440" t="s">
        <v>2662</v>
      </c>
      <c r="C9440" t="s">
        <v>12392</v>
      </c>
      <c r="D9440" t="s">
        <v>16681</v>
      </c>
      <c r="E9440" t="s">
        <v>24917</v>
      </c>
      <c r="F9440" t="s">
        <v>28669</v>
      </c>
      <c r="G9440" t="s">
        <v>28675</v>
      </c>
      <c r="H9440" t="s">
        <v>28686</v>
      </c>
      <c r="I9440" t="s">
        <v>28689</v>
      </c>
      <c r="J9440" t="s">
        <v>29346</v>
      </c>
      <c r="K9440" t="s">
        <v>37215</v>
      </c>
      <c r="M9440" t="s">
        <v>40489</v>
      </c>
      <c r="N9440" t="s">
        <v>41249</v>
      </c>
      <c r="O9440" t="s">
        <v>41250</v>
      </c>
      <c r="Q9440">
        <v>0</v>
      </c>
      <c r="R9440" t="s">
        <v>41259</v>
      </c>
      <c r="S9440" t="s">
        <v>41606</v>
      </c>
      <c r="T9440" t="s">
        <v>42881</v>
      </c>
      <c r="U9440" t="s">
        <v>50799</v>
      </c>
      <c r="W9440" t="s">
        <v>40489</v>
      </c>
      <c r="X9440" t="s">
        <v>41260</v>
      </c>
    </row>
    <row r="9441" spans="1:24">
      <c r="A9441">
        <f>HYPERLINK("https://www.philgeps.gov.ph/GEPSNONPILOT/Tender/SplashBidNoticeAbstractUI.aspx?menuIndex=3&amp;refID=7063994&amp;Result=3","7063994")</f>
        <v>0</v>
      </c>
      <c r="B9441" t="s">
        <v>2055</v>
      </c>
      <c r="C9441" t="s">
        <v>12393</v>
      </c>
      <c r="D9441" t="s">
        <v>16644</v>
      </c>
      <c r="E9441" t="s">
        <v>24918</v>
      </c>
      <c r="F9441" t="s">
        <v>28669</v>
      </c>
      <c r="G9441" t="s">
        <v>28675</v>
      </c>
      <c r="H9441" t="s">
        <v>9998</v>
      </c>
      <c r="I9441" t="s">
        <v>28687</v>
      </c>
      <c r="J9441" t="s">
        <v>30227</v>
      </c>
      <c r="K9441" t="s">
        <v>37206</v>
      </c>
      <c r="M9441" t="s">
        <v>39695</v>
      </c>
      <c r="N9441" t="s">
        <v>41249</v>
      </c>
      <c r="O9441" t="s">
        <v>41250</v>
      </c>
      <c r="P9441">
        <v>0</v>
      </c>
      <c r="Q9441">
        <v>4</v>
      </c>
      <c r="R9441" t="s">
        <v>41259</v>
      </c>
      <c r="S9441" t="s">
        <v>41562</v>
      </c>
      <c r="T9441" t="s">
        <v>42748</v>
      </c>
      <c r="U9441" t="s">
        <v>50800</v>
      </c>
      <c r="W9441" t="s">
        <v>39695</v>
      </c>
      <c r="X9441" t="s">
        <v>41260</v>
      </c>
    </row>
    <row r="9442" spans="1:24">
      <c r="A9442">
        <f>HYPERLINK("https://www.philgeps.gov.ph/GEPSNONPILOT/Tender/SplashBidNoticeAbstractUI.aspx?menuIndex=3&amp;refID=7063954&amp;Result=3","7063954")</f>
        <v>0</v>
      </c>
      <c r="B9442" t="s">
        <v>1935</v>
      </c>
      <c r="C9442" t="s">
        <v>12394</v>
      </c>
      <c r="E9442" t="s">
        <v>24919</v>
      </c>
      <c r="F9442" t="s">
        <v>28669</v>
      </c>
      <c r="G9442" t="s">
        <v>28675</v>
      </c>
      <c r="H9442" t="s">
        <v>28686</v>
      </c>
      <c r="I9442" t="s">
        <v>28689</v>
      </c>
      <c r="J9442" t="s">
        <v>34686</v>
      </c>
      <c r="K9442" t="s">
        <v>37209</v>
      </c>
      <c r="M9442" t="s">
        <v>39562</v>
      </c>
      <c r="N9442" t="s">
        <v>41249</v>
      </c>
      <c r="O9442" t="s">
        <v>41250</v>
      </c>
      <c r="P9442">
        <v>0</v>
      </c>
      <c r="Q9442">
        <v>2</v>
      </c>
      <c r="R9442" t="s">
        <v>41259</v>
      </c>
      <c r="S9442" t="s">
        <v>41562</v>
      </c>
      <c r="T9442" t="s">
        <v>42693</v>
      </c>
      <c r="U9442" t="s">
        <v>50801</v>
      </c>
      <c r="W9442" t="s">
        <v>39562</v>
      </c>
      <c r="X9442" t="s">
        <v>41260</v>
      </c>
    </row>
    <row r="9443" spans="1:24">
      <c r="A9443">
        <f>HYPERLINK("https://www.philgeps.gov.ph/GEPSNONPILOT/Tender/SplashBidNoticeAbstractUI.aspx?menuIndex=3&amp;refID=7063997&amp;Result=3","7063997")</f>
        <v>0</v>
      </c>
      <c r="B9443" t="s">
        <v>2171</v>
      </c>
      <c r="C9443" t="s">
        <v>12395</v>
      </c>
      <c r="D9443" t="s">
        <v>16621</v>
      </c>
      <c r="E9443" t="s">
        <v>24920</v>
      </c>
      <c r="F9443" t="s">
        <v>28669</v>
      </c>
      <c r="G9443" t="s">
        <v>28675</v>
      </c>
      <c r="H9443" t="s">
        <v>28686</v>
      </c>
      <c r="I9443" t="s">
        <v>28689</v>
      </c>
      <c r="J9443" t="s">
        <v>34687</v>
      </c>
      <c r="K9443" t="s">
        <v>37213</v>
      </c>
      <c r="M9443" t="s">
        <v>39820</v>
      </c>
      <c r="N9443" t="s">
        <v>41249</v>
      </c>
      <c r="O9443" t="s">
        <v>41250</v>
      </c>
      <c r="P9443">
        <v>0</v>
      </c>
      <c r="Q9443">
        <v>3</v>
      </c>
      <c r="R9443" t="s">
        <v>41259</v>
      </c>
      <c r="S9443" t="s">
        <v>41562</v>
      </c>
      <c r="T9443" t="s">
        <v>42658</v>
      </c>
      <c r="U9443" t="s">
        <v>49581</v>
      </c>
      <c r="W9443" t="s">
        <v>39820</v>
      </c>
      <c r="X9443" t="s">
        <v>41260</v>
      </c>
    </row>
    <row r="9444" spans="1:24">
      <c r="A9444">
        <f>HYPERLINK("https://www.philgeps.gov.ph/GEPSNONPILOT/Tender/SplashBidNoticeAbstractUI.aspx?menuIndex=3&amp;refID=7063992&amp;Result=3","7063992")</f>
        <v>0</v>
      </c>
      <c r="B9444" t="s">
        <v>2769</v>
      </c>
      <c r="C9444" t="s">
        <v>12396</v>
      </c>
      <c r="D9444" t="s">
        <v>16659</v>
      </c>
      <c r="E9444" t="s">
        <v>24921</v>
      </c>
      <c r="F9444" t="s">
        <v>28669</v>
      </c>
      <c r="G9444" t="s">
        <v>28675</v>
      </c>
      <c r="H9444" t="s">
        <v>28686</v>
      </c>
      <c r="I9444" t="s">
        <v>28689</v>
      </c>
      <c r="J9444" t="s">
        <v>34688</v>
      </c>
      <c r="K9444" t="s">
        <v>37211</v>
      </c>
      <c r="M9444" t="s">
        <v>40490</v>
      </c>
      <c r="N9444" t="s">
        <v>41249</v>
      </c>
      <c r="O9444" t="s">
        <v>41250</v>
      </c>
      <c r="P9444">
        <v>0</v>
      </c>
      <c r="Q9444">
        <v>3</v>
      </c>
      <c r="R9444" t="s">
        <v>41259</v>
      </c>
      <c r="S9444" t="s">
        <v>41562</v>
      </c>
      <c r="T9444" t="s">
        <v>42755</v>
      </c>
      <c r="U9444" t="s">
        <v>50802</v>
      </c>
      <c r="W9444" t="s">
        <v>40490</v>
      </c>
      <c r="X9444" t="s">
        <v>41260</v>
      </c>
    </row>
    <row r="9445" spans="1:24">
      <c r="A9445">
        <f>HYPERLINK("https://www.philgeps.gov.ph/GEPSNONPILOT/Tender/SplashBidNoticeAbstractUI.aspx?menuIndex=3&amp;refID=7063978&amp;Result=3","7063978")</f>
        <v>0</v>
      </c>
      <c r="B9445" t="s">
        <v>327</v>
      </c>
      <c r="C9445" t="s">
        <v>12397</v>
      </c>
      <c r="D9445" t="s">
        <v>16682</v>
      </c>
      <c r="E9445" t="s">
        <v>24922</v>
      </c>
      <c r="F9445" t="s">
        <v>28669</v>
      </c>
      <c r="G9445" t="s">
        <v>28675</v>
      </c>
      <c r="H9445" t="s">
        <v>9998</v>
      </c>
      <c r="I9445" t="s">
        <v>28753</v>
      </c>
      <c r="J9445" t="s">
        <v>34327</v>
      </c>
      <c r="K9445" t="s">
        <v>37221</v>
      </c>
      <c r="M9445" t="s">
        <v>37807</v>
      </c>
      <c r="N9445" t="s">
        <v>41249</v>
      </c>
      <c r="O9445" t="s">
        <v>41250</v>
      </c>
      <c r="P9445">
        <v>0</v>
      </c>
      <c r="Q9445">
        <v>3</v>
      </c>
      <c r="R9445" t="s">
        <v>41259</v>
      </c>
      <c r="S9445" t="s">
        <v>41562</v>
      </c>
      <c r="T9445" t="s">
        <v>42832</v>
      </c>
      <c r="U9445" t="s">
        <v>50803</v>
      </c>
      <c r="V9445" t="s">
        <v>54328</v>
      </c>
      <c r="W9445" t="s">
        <v>37807</v>
      </c>
      <c r="X9445" t="s">
        <v>41260</v>
      </c>
    </row>
    <row r="9446" spans="1:24">
      <c r="A9446">
        <f>HYPERLINK("https://www.philgeps.gov.ph/GEPSNONPILOT/Tender/SplashBidNoticeAbstractUI.aspx?menuIndex=3&amp;refID=7063973&amp;Result=3","7063973")</f>
        <v>0</v>
      </c>
      <c r="B9446" t="s">
        <v>2769</v>
      </c>
      <c r="C9446" t="s">
        <v>12398</v>
      </c>
      <c r="D9446" t="s">
        <v>16659</v>
      </c>
      <c r="E9446" t="s">
        <v>24923</v>
      </c>
      <c r="F9446" t="s">
        <v>28669</v>
      </c>
      <c r="G9446" t="s">
        <v>28675</v>
      </c>
      <c r="H9446" t="s">
        <v>28686</v>
      </c>
      <c r="I9446" t="s">
        <v>28689</v>
      </c>
      <c r="J9446" t="s">
        <v>34689</v>
      </c>
      <c r="K9446" t="s">
        <v>37211</v>
      </c>
      <c r="M9446" t="s">
        <v>40490</v>
      </c>
      <c r="N9446" t="s">
        <v>41249</v>
      </c>
      <c r="O9446" t="s">
        <v>41250</v>
      </c>
      <c r="P9446">
        <v>0</v>
      </c>
      <c r="Q9446">
        <v>3</v>
      </c>
      <c r="R9446" t="s">
        <v>41259</v>
      </c>
      <c r="S9446" t="s">
        <v>41562</v>
      </c>
      <c r="T9446" t="s">
        <v>42755</v>
      </c>
      <c r="U9446" t="s">
        <v>50804</v>
      </c>
      <c r="W9446" t="s">
        <v>40490</v>
      </c>
      <c r="X9446" t="s">
        <v>41260</v>
      </c>
    </row>
    <row r="9447" spans="1:24">
      <c r="A9447">
        <f>HYPERLINK("https://www.philgeps.gov.ph/GEPSNONPILOT/Tender/SplashBidNoticeAbstractUI.aspx?menuIndex=3&amp;refID=7063965&amp;Result=3","7063965")</f>
        <v>0</v>
      </c>
      <c r="B9447" t="s">
        <v>2770</v>
      </c>
      <c r="C9447" t="s">
        <v>12399</v>
      </c>
      <c r="D9447" t="s">
        <v>16662</v>
      </c>
      <c r="E9447" t="s">
        <v>24924</v>
      </c>
      <c r="F9447" t="s">
        <v>28669</v>
      </c>
      <c r="G9447" t="s">
        <v>28675</v>
      </c>
      <c r="H9447" t="s">
        <v>9998</v>
      </c>
      <c r="I9447" t="s">
        <v>28696</v>
      </c>
      <c r="J9447" t="s">
        <v>34690</v>
      </c>
      <c r="K9447" t="s">
        <v>37221</v>
      </c>
      <c r="M9447" t="s">
        <v>40491</v>
      </c>
      <c r="N9447" t="s">
        <v>41249</v>
      </c>
      <c r="O9447" t="s">
        <v>41250</v>
      </c>
      <c r="P9447">
        <v>0</v>
      </c>
      <c r="Q9447">
        <v>0</v>
      </c>
      <c r="R9447" t="s">
        <v>41259</v>
      </c>
      <c r="S9447" t="s">
        <v>41562</v>
      </c>
      <c r="T9447" t="s">
        <v>42881</v>
      </c>
      <c r="U9447" t="s">
        <v>50805</v>
      </c>
      <c r="W9447" t="s">
        <v>40491</v>
      </c>
      <c r="X9447" t="s">
        <v>41260</v>
      </c>
    </row>
    <row r="9448" spans="1:24">
      <c r="A9448">
        <f>HYPERLINK("https://www.philgeps.gov.ph/GEPSNONPILOT/Tender/SplashBidNoticeAbstractUI.aspx?menuIndex=3&amp;refID=7063934&amp;Result=3","7063934")</f>
        <v>0</v>
      </c>
      <c r="B9448" t="s">
        <v>2155</v>
      </c>
      <c r="C9448" t="s">
        <v>12400</v>
      </c>
      <c r="D9448" t="s">
        <v>16627</v>
      </c>
      <c r="E9448" t="s">
        <v>24925</v>
      </c>
      <c r="F9448" t="s">
        <v>28671</v>
      </c>
      <c r="G9448" t="s">
        <v>28675</v>
      </c>
      <c r="H9448" t="s">
        <v>28686</v>
      </c>
      <c r="I9448" t="s">
        <v>28710</v>
      </c>
      <c r="J9448" t="s">
        <v>28850</v>
      </c>
      <c r="K9448" t="s">
        <v>37211</v>
      </c>
      <c r="M9448" t="s">
        <v>39800</v>
      </c>
      <c r="N9448" t="s">
        <v>41249</v>
      </c>
      <c r="O9448" t="s">
        <v>41250</v>
      </c>
      <c r="P9448">
        <v>0</v>
      </c>
      <c r="Q9448">
        <v>0</v>
      </c>
      <c r="R9448" t="s">
        <v>41259</v>
      </c>
      <c r="S9448" t="s">
        <v>41562</v>
      </c>
      <c r="T9448" t="s">
        <v>42700</v>
      </c>
      <c r="U9448" t="s">
        <v>50806</v>
      </c>
      <c r="V9448" t="s">
        <v>55148</v>
      </c>
      <c r="W9448" t="s">
        <v>39800</v>
      </c>
      <c r="X9448" t="s">
        <v>41260</v>
      </c>
    </row>
    <row r="9449" spans="1:24">
      <c r="A9449">
        <f>HYPERLINK("https://www.philgeps.gov.ph/GEPSNONPILOT/Tender/SplashBidNoticeAbstractUI.aspx?menuIndex=3&amp;refID=7063933&amp;Result=3","7063933")</f>
        <v>0</v>
      </c>
      <c r="B9449" t="s">
        <v>2756</v>
      </c>
      <c r="C9449" t="s">
        <v>12401</v>
      </c>
      <c r="D9449" t="s">
        <v>16623</v>
      </c>
      <c r="E9449" t="s">
        <v>24926</v>
      </c>
      <c r="F9449" t="s">
        <v>28669</v>
      </c>
      <c r="G9449" t="s">
        <v>28675</v>
      </c>
      <c r="H9449" t="s">
        <v>9998</v>
      </c>
      <c r="I9449" t="s">
        <v>7352</v>
      </c>
      <c r="J9449" t="s">
        <v>34691</v>
      </c>
      <c r="K9449" t="s">
        <v>37206</v>
      </c>
      <c r="M9449" t="s">
        <v>40474</v>
      </c>
      <c r="N9449" t="s">
        <v>41249</v>
      </c>
      <c r="O9449" t="s">
        <v>41250</v>
      </c>
      <c r="P9449">
        <v>0</v>
      </c>
      <c r="Q9449">
        <v>0</v>
      </c>
      <c r="R9449" t="s">
        <v>41259</v>
      </c>
      <c r="S9449" t="s">
        <v>41562</v>
      </c>
      <c r="T9449" t="s">
        <v>42738</v>
      </c>
      <c r="U9449" t="s">
        <v>50807</v>
      </c>
      <c r="W9449" t="s">
        <v>40474</v>
      </c>
      <c r="X9449" t="s">
        <v>41260</v>
      </c>
    </row>
    <row r="9450" spans="1:24">
      <c r="A9450">
        <f>HYPERLINK("https://www.philgeps.gov.ph/GEPSNONPILOT/Tender/SplashBidNoticeAbstractUI.aspx?menuIndex=3&amp;refID=7064005&amp;Result=3","7064005")</f>
        <v>0</v>
      </c>
      <c r="B9450" t="s">
        <v>299</v>
      </c>
      <c r="C9450" t="s">
        <v>12402</v>
      </c>
      <c r="D9450" t="s">
        <v>16639</v>
      </c>
      <c r="E9450" t="s">
        <v>24927</v>
      </c>
      <c r="F9450" t="s">
        <v>28669</v>
      </c>
      <c r="G9450" t="s">
        <v>28675</v>
      </c>
      <c r="H9450" t="s">
        <v>28686</v>
      </c>
      <c r="I9450" t="s">
        <v>28689</v>
      </c>
      <c r="J9450" t="s">
        <v>34692</v>
      </c>
      <c r="K9450" t="s">
        <v>37213</v>
      </c>
      <c r="M9450" t="s">
        <v>37778</v>
      </c>
      <c r="N9450" t="s">
        <v>41249</v>
      </c>
      <c r="O9450" t="s">
        <v>41250</v>
      </c>
      <c r="P9450">
        <v>0</v>
      </c>
      <c r="Q9450">
        <v>3</v>
      </c>
      <c r="R9450" t="s">
        <v>41259</v>
      </c>
      <c r="S9450" t="s">
        <v>41562</v>
      </c>
      <c r="T9450" t="s">
        <v>42660</v>
      </c>
      <c r="U9450" t="s">
        <v>50808</v>
      </c>
      <c r="W9450" t="s">
        <v>37778</v>
      </c>
      <c r="X9450" t="s">
        <v>41260</v>
      </c>
    </row>
    <row r="9451" spans="1:24">
      <c r="A9451">
        <f>HYPERLINK("https://www.philgeps.gov.ph/GEPSNONPILOT/Tender/SplashBidNoticeAbstractUI.aspx?menuIndex=3&amp;refID=7063991&amp;Result=3","7063991")</f>
        <v>0</v>
      </c>
      <c r="B9451" t="s">
        <v>1522</v>
      </c>
      <c r="C9451" t="s">
        <v>12403</v>
      </c>
      <c r="D9451" t="s">
        <v>16686</v>
      </c>
      <c r="E9451" t="s">
        <v>24928</v>
      </c>
      <c r="F9451" t="s">
        <v>28669</v>
      </c>
      <c r="G9451" t="s">
        <v>28675</v>
      </c>
      <c r="H9451" t="s">
        <v>9998</v>
      </c>
      <c r="I9451" t="s">
        <v>7352</v>
      </c>
      <c r="J9451" t="s">
        <v>34693</v>
      </c>
      <c r="K9451" t="s">
        <v>37210</v>
      </c>
      <c r="M9451" t="s">
        <v>39573</v>
      </c>
      <c r="N9451" t="s">
        <v>41249</v>
      </c>
      <c r="O9451" t="s">
        <v>41250</v>
      </c>
      <c r="P9451">
        <v>0</v>
      </c>
      <c r="Q9451">
        <v>1</v>
      </c>
      <c r="R9451" t="s">
        <v>41259</v>
      </c>
      <c r="S9451" t="s">
        <v>41562</v>
      </c>
      <c r="T9451" t="s">
        <v>42663</v>
      </c>
      <c r="U9451" t="s">
        <v>50809</v>
      </c>
      <c r="W9451" t="s">
        <v>39573</v>
      </c>
      <c r="X9451" t="s">
        <v>41260</v>
      </c>
    </row>
    <row r="9452" spans="1:24">
      <c r="A9452">
        <f>HYPERLINK("https://www.philgeps.gov.ph/GEPSNONPILOT/Tender/SplashBidNoticeAbstractUI.aspx?menuIndex=3&amp;refID=7063943&amp;Result=3","7063943")</f>
        <v>0</v>
      </c>
      <c r="B9452" t="s">
        <v>1471</v>
      </c>
      <c r="C9452" t="s">
        <v>12404</v>
      </c>
      <c r="D9452" t="s">
        <v>16615</v>
      </c>
      <c r="E9452" t="s">
        <v>24929</v>
      </c>
      <c r="F9452" t="s">
        <v>28669</v>
      </c>
      <c r="G9452" t="s">
        <v>28682</v>
      </c>
      <c r="H9452" t="s">
        <v>28686</v>
      </c>
      <c r="I9452" t="s">
        <v>28689</v>
      </c>
      <c r="J9452" t="s">
        <v>34694</v>
      </c>
      <c r="K9452" t="s">
        <v>37215</v>
      </c>
      <c r="M9452" t="s">
        <v>39039</v>
      </c>
      <c r="N9452" t="s">
        <v>41249</v>
      </c>
      <c r="O9452" t="s">
        <v>41250</v>
      </c>
      <c r="P9452">
        <v>0</v>
      </c>
      <c r="Q9452">
        <v>7</v>
      </c>
      <c r="R9452" t="s">
        <v>41259</v>
      </c>
      <c r="S9452" t="s">
        <v>41562</v>
      </c>
      <c r="T9452" t="s">
        <v>42760</v>
      </c>
      <c r="U9452" t="s">
        <v>50810</v>
      </c>
      <c r="V9452" t="s">
        <v>54688</v>
      </c>
      <c r="W9452" t="s">
        <v>39039</v>
      </c>
      <c r="X9452" t="s">
        <v>41260</v>
      </c>
    </row>
    <row r="9453" spans="1:24">
      <c r="A9453">
        <f>HYPERLINK("https://www.philgeps.gov.ph/GEPSNONPILOT/Tender/SplashBidNoticeAbstractUI.aspx?menuIndex=3&amp;refID=7063947&amp;Result=3","7063947")</f>
        <v>0</v>
      </c>
      <c r="B9453" t="s">
        <v>1522</v>
      </c>
      <c r="C9453" t="s">
        <v>12405</v>
      </c>
      <c r="D9453" t="s">
        <v>16686</v>
      </c>
      <c r="E9453" t="s">
        <v>24930</v>
      </c>
      <c r="F9453" t="s">
        <v>28669</v>
      </c>
      <c r="G9453" t="s">
        <v>28675</v>
      </c>
      <c r="H9453" t="s">
        <v>9998</v>
      </c>
      <c r="I9453" t="s">
        <v>6128</v>
      </c>
      <c r="J9453" t="s">
        <v>34695</v>
      </c>
      <c r="K9453" t="s">
        <v>37210</v>
      </c>
      <c r="M9453" t="s">
        <v>39573</v>
      </c>
      <c r="N9453" t="s">
        <v>41249</v>
      </c>
      <c r="O9453" t="s">
        <v>41250</v>
      </c>
      <c r="P9453">
        <v>0</v>
      </c>
      <c r="Q9453">
        <v>0</v>
      </c>
      <c r="R9453" t="s">
        <v>41259</v>
      </c>
      <c r="S9453" t="s">
        <v>41562</v>
      </c>
      <c r="T9453" t="s">
        <v>42663</v>
      </c>
      <c r="U9453" t="s">
        <v>50811</v>
      </c>
      <c r="W9453" t="s">
        <v>39573</v>
      </c>
      <c r="X9453" t="s">
        <v>41260</v>
      </c>
    </row>
    <row r="9454" spans="1:24">
      <c r="A9454">
        <f>HYPERLINK("https://www.philgeps.gov.ph/GEPSNONPILOT/Tender/SplashBidNoticeAbstractUI.aspx?menuIndex=3&amp;refID=7064018&amp;Result=3","7064018")</f>
        <v>0</v>
      </c>
      <c r="B9454" t="s">
        <v>2769</v>
      </c>
      <c r="C9454" t="s">
        <v>12406</v>
      </c>
      <c r="D9454" t="s">
        <v>16659</v>
      </c>
      <c r="E9454" t="s">
        <v>24931</v>
      </c>
      <c r="F9454" t="s">
        <v>28669</v>
      </c>
      <c r="G9454" t="s">
        <v>28675</v>
      </c>
      <c r="H9454" t="s">
        <v>9998</v>
      </c>
      <c r="I9454" t="s">
        <v>28697</v>
      </c>
      <c r="J9454" t="s">
        <v>34696</v>
      </c>
      <c r="K9454" t="s">
        <v>37321</v>
      </c>
      <c r="M9454" t="s">
        <v>40490</v>
      </c>
      <c r="N9454" t="s">
        <v>41249</v>
      </c>
      <c r="O9454" t="s">
        <v>41250</v>
      </c>
      <c r="P9454">
        <v>0</v>
      </c>
      <c r="Q9454">
        <v>1</v>
      </c>
      <c r="R9454" t="s">
        <v>41259</v>
      </c>
      <c r="S9454" t="s">
        <v>41562</v>
      </c>
      <c r="T9454" t="s">
        <v>42755</v>
      </c>
      <c r="U9454" t="s">
        <v>50812</v>
      </c>
      <c r="W9454" t="s">
        <v>40490</v>
      </c>
      <c r="X9454" t="s">
        <v>41260</v>
      </c>
    </row>
    <row r="9455" spans="1:24">
      <c r="A9455">
        <f>HYPERLINK("https://www.philgeps.gov.ph/GEPSNONPILOT/Tender/SplashBidNoticeAbstractUI.aspx?menuIndex=3&amp;refID=7064072&amp;Result=3","7064072")</f>
        <v>0</v>
      </c>
      <c r="B9455" t="s">
        <v>1600</v>
      </c>
      <c r="C9455" t="s">
        <v>12407</v>
      </c>
      <c r="D9455" t="s">
        <v>16608</v>
      </c>
      <c r="E9455" t="s">
        <v>24932</v>
      </c>
      <c r="F9455" t="s">
        <v>28669</v>
      </c>
      <c r="G9455" t="s">
        <v>28676</v>
      </c>
      <c r="H9455" t="s">
        <v>9998</v>
      </c>
      <c r="I9455" t="s">
        <v>28693</v>
      </c>
      <c r="J9455" t="s">
        <v>34697</v>
      </c>
      <c r="K9455" t="s">
        <v>37206</v>
      </c>
      <c r="M9455" t="s">
        <v>39183</v>
      </c>
      <c r="N9455" t="s">
        <v>41249</v>
      </c>
      <c r="O9455" t="s">
        <v>41250</v>
      </c>
      <c r="P9455">
        <v>0</v>
      </c>
      <c r="Q9455">
        <v>22</v>
      </c>
      <c r="R9455" t="s">
        <v>41259</v>
      </c>
      <c r="S9455" t="s">
        <v>41562</v>
      </c>
      <c r="T9455" t="s">
        <v>42675</v>
      </c>
      <c r="U9455" t="s">
        <v>50813</v>
      </c>
      <c r="V9455" t="s">
        <v>55305</v>
      </c>
      <c r="W9455" t="s">
        <v>39183</v>
      </c>
      <c r="X9455" t="s">
        <v>41260</v>
      </c>
    </row>
    <row r="9456" spans="1:24">
      <c r="A9456">
        <f>HYPERLINK("https://www.philgeps.gov.ph/GEPSNONPILOT/Tender/SplashBidNoticeAbstractUI.aspx?menuIndex=3&amp;refID=7064065&amp;Result=3","7064065")</f>
        <v>0</v>
      </c>
      <c r="B9456" t="s">
        <v>1600</v>
      </c>
      <c r="C9456" t="s">
        <v>12408</v>
      </c>
      <c r="D9456" t="s">
        <v>16608</v>
      </c>
      <c r="E9456" t="s">
        <v>24933</v>
      </c>
      <c r="F9456" t="s">
        <v>28669</v>
      </c>
      <c r="G9456" t="s">
        <v>28676</v>
      </c>
      <c r="H9456" t="s">
        <v>9998</v>
      </c>
      <c r="I9456" t="s">
        <v>28693</v>
      </c>
      <c r="J9456" t="s">
        <v>34698</v>
      </c>
      <c r="K9456" t="s">
        <v>37206</v>
      </c>
      <c r="M9456" t="s">
        <v>39183</v>
      </c>
      <c r="N9456" t="s">
        <v>41249</v>
      </c>
      <c r="O9456" t="s">
        <v>41250</v>
      </c>
      <c r="P9456">
        <v>0</v>
      </c>
      <c r="Q9456">
        <v>15</v>
      </c>
      <c r="R9456" t="s">
        <v>41259</v>
      </c>
      <c r="S9456" t="s">
        <v>41562</v>
      </c>
      <c r="T9456" t="s">
        <v>42883</v>
      </c>
      <c r="U9456" t="s">
        <v>50814</v>
      </c>
      <c r="V9456" t="s">
        <v>55305</v>
      </c>
      <c r="W9456" t="s">
        <v>39183</v>
      </c>
      <c r="X9456" t="s">
        <v>41260</v>
      </c>
    </row>
    <row r="9457" spans="1:24">
      <c r="A9457">
        <f>HYPERLINK("https://www.philgeps.gov.ph/GEPSNONPILOT/Tender/SplashBidNoticeAbstractUI.aspx?menuIndex=3&amp;refID=7064056&amp;Result=3","7064056")</f>
        <v>0</v>
      </c>
      <c r="B9457" t="s">
        <v>2769</v>
      </c>
      <c r="C9457" t="s">
        <v>12409</v>
      </c>
      <c r="D9457" t="s">
        <v>16659</v>
      </c>
      <c r="E9457" t="s">
        <v>24934</v>
      </c>
      <c r="F9457" t="s">
        <v>28669</v>
      </c>
      <c r="G9457" t="s">
        <v>28675</v>
      </c>
      <c r="H9457" t="s">
        <v>9998</v>
      </c>
      <c r="I9457" t="s">
        <v>28784</v>
      </c>
      <c r="J9457" t="s">
        <v>34699</v>
      </c>
      <c r="K9457" t="s">
        <v>37321</v>
      </c>
      <c r="M9457" t="s">
        <v>40490</v>
      </c>
      <c r="N9457" t="s">
        <v>41249</v>
      </c>
      <c r="O9457" t="s">
        <v>41250</v>
      </c>
      <c r="P9457">
        <v>0</v>
      </c>
      <c r="Q9457">
        <v>1</v>
      </c>
      <c r="R9457" t="s">
        <v>41259</v>
      </c>
      <c r="S9457" t="s">
        <v>41562</v>
      </c>
      <c r="T9457" t="s">
        <v>42755</v>
      </c>
      <c r="U9457" t="s">
        <v>50815</v>
      </c>
      <c r="W9457" t="s">
        <v>40490</v>
      </c>
      <c r="X9457" t="s">
        <v>41260</v>
      </c>
    </row>
    <row r="9458" spans="1:24">
      <c r="A9458">
        <f>HYPERLINK("https://www.philgeps.gov.ph/GEPSNONPILOT/Tender/SplashBidNoticeAbstractUI.aspx?menuIndex=3&amp;refID=7064017&amp;Result=3","7064017")</f>
        <v>0</v>
      </c>
      <c r="B9458" t="s">
        <v>743</v>
      </c>
      <c r="C9458" t="s">
        <v>12410</v>
      </c>
      <c r="D9458" t="s">
        <v>16629</v>
      </c>
      <c r="E9458" t="s">
        <v>24935</v>
      </c>
      <c r="F9458" t="s">
        <v>28669</v>
      </c>
      <c r="G9458" t="s">
        <v>28675</v>
      </c>
      <c r="H9458" t="s">
        <v>9998</v>
      </c>
      <c r="I9458" t="s">
        <v>7352</v>
      </c>
      <c r="J9458" t="s">
        <v>34700</v>
      </c>
      <c r="K9458" t="s">
        <v>37205</v>
      </c>
      <c r="M9458" t="s">
        <v>38702</v>
      </c>
      <c r="N9458" t="s">
        <v>41249</v>
      </c>
      <c r="O9458" t="s">
        <v>41250</v>
      </c>
      <c r="Q9458">
        <v>0</v>
      </c>
      <c r="R9458" t="s">
        <v>41259</v>
      </c>
      <c r="S9458" t="s">
        <v>41607</v>
      </c>
      <c r="T9458" t="s">
        <v>43093</v>
      </c>
      <c r="U9458" t="s">
        <v>50816</v>
      </c>
      <c r="W9458" t="s">
        <v>38702</v>
      </c>
      <c r="X9458" t="s">
        <v>41260</v>
      </c>
    </row>
    <row r="9459" spans="1:24">
      <c r="A9459">
        <f>HYPERLINK("https://www.philgeps.gov.ph/GEPSNONPILOT/Tender/SplashBidNoticeAbstractUI.aspx?menuIndex=3&amp;refID=7064077&amp;Result=3","7064077")</f>
        <v>0</v>
      </c>
      <c r="B9459" t="s">
        <v>1600</v>
      </c>
      <c r="C9459" t="s">
        <v>12411</v>
      </c>
      <c r="D9459" t="s">
        <v>16608</v>
      </c>
      <c r="E9459" t="s">
        <v>24936</v>
      </c>
      <c r="F9459" t="s">
        <v>28669</v>
      </c>
      <c r="G9459" t="s">
        <v>28676</v>
      </c>
      <c r="H9459" t="s">
        <v>9998</v>
      </c>
      <c r="I9459" t="s">
        <v>28693</v>
      </c>
      <c r="J9459" t="s">
        <v>34701</v>
      </c>
      <c r="K9459" t="s">
        <v>37206</v>
      </c>
      <c r="M9459" t="s">
        <v>39183</v>
      </c>
      <c r="N9459" t="s">
        <v>41249</v>
      </c>
      <c r="O9459" t="s">
        <v>41250</v>
      </c>
      <c r="P9459">
        <v>0</v>
      </c>
      <c r="Q9459">
        <v>23</v>
      </c>
      <c r="R9459" t="s">
        <v>41259</v>
      </c>
      <c r="S9459" t="s">
        <v>41562</v>
      </c>
      <c r="T9459" t="s">
        <v>42675</v>
      </c>
      <c r="U9459" t="s">
        <v>50817</v>
      </c>
      <c r="V9459" t="s">
        <v>55305</v>
      </c>
      <c r="W9459" t="s">
        <v>39183</v>
      </c>
      <c r="X9459" t="s">
        <v>41260</v>
      </c>
    </row>
    <row r="9460" spans="1:24">
      <c r="A9460">
        <f>HYPERLINK("https://www.philgeps.gov.ph/GEPSNONPILOT/Tender/SplashBidNoticeAbstractUI.aspx?menuIndex=3&amp;refID=7064068&amp;Result=3","7064068")</f>
        <v>0</v>
      </c>
      <c r="B9460" t="s">
        <v>142</v>
      </c>
      <c r="C9460" t="s">
        <v>12412</v>
      </c>
      <c r="D9460" t="s">
        <v>16608</v>
      </c>
      <c r="E9460" t="s">
        <v>24937</v>
      </c>
      <c r="F9460" t="s">
        <v>28669</v>
      </c>
      <c r="G9460" t="s">
        <v>28675</v>
      </c>
      <c r="H9460" t="s">
        <v>9998</v>
      </c>
      <c r="I9460" t="s">
        <v>28734</v>
      </c>
      <c r="J9460" t="s">
        <v>34702</v>
      </c>
      <c r="K9460" t="s">
        <v>37209</v>
      </c>
      <c r="M9460" t="s">
        <v>39601</v>
      </c>
      <c r="N9460" t="s">
        <v>41249</v>
      </c>
      <c r="O9460" t="s">
        <v>41250</v>
      </c>
      <c r="P9460">
        <v>0</v>
      </c>
      <c r="Q9460">
        <v>2</v>
      </c>
      <c r="R9460" t="s">
        <v>41259</v>
      </c>
      <c r="S9460" t="s">
        <v>41562</v>
      </c>
      <c r="T9460" t="s">
        <v>42761</v>
      </c>
      <c r="U9460" t="s">
        <v>50818</v>
      </c>
      <c r="V9460" t="s">
        <v>55306</v>
      </c>
      <c r="W9460" t="s">
        <v>39601</v>
      </c>
      <c r="X9460" t="s">
        <v>41260</v>
      </c>
    </row>
    <row r="9461" spans="1:24">
      <c r="A9461">
        <f>HYPERLINK("https://www.philgeps.gov.ph/GEPSNONPILOT/Tender/SplashBidNoticeAbstractUI.aspx?menuIndex=3&amp;refID=7064039&amp;Result=3","7064039")</f>
        <v>0</v>
      </c>
      <c r="B9461" t="s">
        <v>232</v>
      </c>
      <c r="C9461" t="s">
        <v>12413</v>
      </c>
      <c r="D9461" t="s">
        <v>16618</v>
      </c>
      <c r="E9461" t="s">
        <v>24938</v>
      </c>
      <c r="F9461" t="s">
        <v>28670</v>
      </c>
      <c r="G9461" t="s">
        <v>28682</v>
      </c>
      <c r="H9461" t="s">
        <v>9998</v>
      </c>
      <c r="I9461" t="s">
        <v>28743</v>
      </c>
      <c r="J9461" t="s">
        <v>30025</v>
      </c>
      <c r="K9461" t="s">
        <v>37209</v>
      </c>
      <c r="M9461" t="s">
        <v>40492</v>
      </c>
      <c r="N9461" t="s">
        <v>41249</v>
      </c>
      <c r="O9461" t="s">
        <v>41250</v>
      </c>
      <c r="P9461">
        <v>0</v>
      </c>
      <c r="Q9461">
        <v>1</v>
      </c>
      <c r="R9461" t="s">
        <v>41259</v>
      </c>
      <c r="S9461" t="s">
        <v>41562</v>
      </c>
      <c r="T9461" t="s">
        <v>42860</v>
      </c>
      <c r="U9461" t="s">
        <v>50819</v>
      </c>
      <c r="W9461" t="s">
        <v>40492</v>
      </c>
      <c r="X9461" t="s">
        <v>41260</v>
      </c>
    </row>
    <row r="9462" spans="1:24">
      <c r="A9462">
        <f>HYPERLINK("https://www.philgeps.gov.ph/GEPSNONPILOT/Tender/SplashBidNoticeAbstractUI.aspx?menuIndex=3&amp;refID=7064024&amp;Result=3","7064024")</f>
        <v>0</v>
      </c>
      <c r="B9462" t="s">
        <v>2171</v>
      </c>
      <c r="C9462" t="s">
        <v>12414</v>
      </c>
      <c r="D9462" t="s">
        <v>16621</v>
      </c>
      <c r="E9462" t="s">
        <v>24939</v>
      </c>
      <c r="F9462" t="s">
        <v>28669</v>
      </c>
      <c r="G9462" t="s">
        <v>28675</v>
      </c>
      <c r="H9462" t="s">
        <v>28686</v>
      </c>
      <c r="I9462" t="s">
        <v>28689</v>
      </c>
      <c r="J9462" t="s">
        <v>34703</v>
      </c>
      <c r="K9462" t="s">
        <v>37220</v>
      </c>
      <c r="M9462" t="s">
        <v>39820</v>
      </c>
      <c r="N9462" t="s">
        <v>41249</v>
      </c>
      <c r="O9462" t="s">
        <v>41250</v>
      </c>
      <c r="P9462">
        <v>0</v>
      </c>
      <c r="Q9462">
        <v>4</v>
      </c>
      <c r="R9462" t="s">
        <v>41259</v>
      </c>
      <c r="S9462" t="s">
        <v>41562</v>
      </c>
      <c r="T9462" t="s">
        <v>42658</v>
      </c>
      <c r="U9462" t="s">
        <v>49581</v>
      </c>
      <c r="W9462" t="s">
        <v>39820</v>
      </c>
      <c r="X9462" t="s">
        <v>41260</v>
      </c>
    </row>
    <row r="9463" spans="1:24">
      <c r="A9463">
        <f>HYPERLINK("https://www.philgeps.gov.ph/GEPSNONPILOT/Tender/SplashBidNoticeAbstractUI.aspx?menuIndex=3&amp;refID=7064023&amp;Result=3","7064023")</f>
        <v>0</v>
      </c>
      <c r="B9463" t="s">
        <v>2771</v>
      </c>
      <c r="C9463" t="s">
        <v>12415</v>
      </c>
      <c r="D9463" t="s">
        <v>16646</v>
      </c>
      <c r="E9463" t="s">
        <v>24940</v>
      </c>
      <c r="F9463" t="s">
        <v>28669</v>
      </c>
      <c r="G9463" t="s">
        <v>28675</v>
      </c>
      <c r="H9463" t="s">
        <v>28686</v>
      </c>
      <c r="I9463" t="s">
        <v>28689</v>
      </c>
      <c r="J9463" t="s">
        <v>34704</v>
      </c>
      <c r="K9463" t="s">
        <v>37205</v>
      </c>
      <c r="M9463" t="s">
        <v>40493</v>
      </c>
      <c r="N9463" t="s">
        <v>41249</v>
      </c>
      <c r="O9463" t="s">
        <v>41250</v>
      </c>
      <c r="P9463">
        <v>0</v>
      </c>
      <c r="Q9463">
        <v>0</v>
      </c>
      <c r="R9463" t="s">
        <v>41259</v>
      </c>
      <c r="S9463" t="s">
        <v>41562</v>
      </c>
      <c r="T9463" t="s">
        <v>42673</v>
      </c>
      <c r="U9463" t="s">
        <v>50820</v>
      </c>
      <c r="W9463" t="s">
        <v>40493</v>
      </c>
      <c r="X9463" t="s">
        <v>41260</v>
      </c>
    </row>
    <row r="9464" spans="1:24">
      <c r="A9464">
        <f>HYPERLINK("https://www.philgeps.gov.ph/GEPSNONPILOT/Tender/SplashBidNoticeAbstractUI.aspx?menuIndex=3&amp;refID=7064059&amp;Result=3","7064059")</f>
        <v>0</v>
      </c>
      <c r="B9464" t="s">
        <v>135</v>
      </c>
      <c r="C9464" t="s">
        <v>12416</v>
      </c>
      <c r="D9464" t="s">
        <v>16622</v>
      </c>
      <c r="E9464" t="s">
        <v>24941</v>
      </c>
      <c r="F9464" t="s">
        <v>28669</v>
      </c>
      <c r="G9464" t="s">
        <v>28675</v>
      </c>
      <c r="H9464" t="s">
        <v>28685</v>
      </c>
      <c r="I9464" t="s">
        <v>28685</v>
      </c>
      <c r="J9464" t="s">
        <v>29059</v>
      </c>
      <c r="K9464" t="s">
        <v>37228</v>
      </c>
      <c r="M9464" t="s">
        <v>39732</v>
      </c>
      <c r="N9464" t="s">
        <v>41249</v>
      </c>
      <c r="O9464" t="s">
        <v>41250</v>
      </c>
      <c r="Q9464">
        <v>3</v>
      </c>
      <c r="R9464" t="s">
        <v>41259</v>
      </c>
      <c r="S9464" t="s">
        <v>41608</v>
      </c>
      <c r="T9464" t="s">
        <v>43023</v>
      </c>
      <c r="U9464" t="s">
        <v>50821</v>
      </c>
      <c r="W9464" t="s">
        <v>39732</v>
      </c>
      <c r="X9464" t="s">
        <v>41260</v>
      </c>
    </row>
    <row r="9465" spans="1:24">
      <c r="A9465">
        <f>HYPERLINK("https://www.philgeps.gov.ph/GEPSNONPILOT/Tender/SplashBidNoticeAbstractUI.aspx?menuIndex=3&amp;refID=7064093&amp;Result=3","7064093")</f>
        <v>0</v>
      </c>
      <c r="B9465" t="s">
        <v>600</v>
      </c>
      <c r="C9465" t="s">
        <v>12417</v>
      </c>
      <c r="D9465" t="s">
        <v>16608</v>
      </c>
      <c r="E9465" t="s">
        <v>24942</v>
      </c>
      <c r="F9465" t="s">
        <v>28669</v>
      </c>
      <c r="G9465" t="s">
        <v>28675</v>
      </c>
      <c r="H9465" t="s">
        <v>9998</v>
      </c>
      <c r="I9465" t="s">
        <v>10128</v>
      </c>
      <c r="J9465" t="s">
        <v>34705</v>
      </c>
      <c r="K9465" t="s">
        <v>37209</v>
      </c>
      <c r="M9465" t="s">
        <v>38876</v>
      </c>
      <c r="N9465" t="s">
        <v>41249</v>
      </c>
      <c r="O9465" t="s">
        <v>41250</v>
      </c>
      <c r="Q9465">
        <v>5</v>
      </c>
      <c r="R9465" t="s">
        <v>41259</v>
      </c>
      <c r="S9465" t="s">
        <v>41609</v>
      </c>
      <c r="T9465" t="s">
        <v>42760</v>
      </c>
      <c r="U9465" t="s">
        <v>50822</v>
      </c>
      <c r="W9465" t="s">
        <v>38876</v>
      </c>
      <c r="X9465" t="s">
        <v>41260</v>
      </c>
    </row>
    <row r="9466" spans="1:24">
      <c r="A9466">
        <f>HYPERLINK("https://www.philgeps.gov.ph/GEPSNONPILOT/Tender/SplashBidNoticeAbstractUI.aspx?menuIndex=3&amp;refID=7064045&amp;Result=3","7064045")</f>
        <v>0</v>
      </c>
      <c r="B9466" t="s">
        <v>1600</v>
      </c>
      <c r="C9466" t="s">
        <v>12418</v>
      </c>
      <c r="D9466" t="s">
        <v>16608</v>
      </c>
      <c r="E9466" t="s">
        <v>24943</v>
      </c>
      <c r="F9466" t="s">
        <v>28669</v>
      </c>
      <c r="G9466" t="s">
        <v>28676</v>
      </c>
      <c r="H9466" t="s">
        <v>9998</v>
      </c>
      <c r="I9466" t="s">
        <v>11593</v>
      </c>
      <c r="J9466" t="s">
        <v>34706</v>
      </c>
      <c r="K9466" t="s">
        <v>37206</v>
      </c>
      <c r="M9466" t="s">
        <v>39183</v>
      </c>
      <c r="N9466" t="s">
        <v>41249</v>
      </c>
      <c r="O9466" t="s">
        <v>41250</v>
      </c>
      <c r="P9466">
        <v>0</v>
      </c>
      <c r="Q9466">
        <v>11</v>
      </c>
      <c r="R9466" t="s">
        <v>41259</v>
      </c>
      <c r="S9466" t="s">
        <v>41562</v>
      </c>
      <c r="T9466" t="s">
        <v>42883</v>
      </c>
      <c r="U9466" t="s">
        <v>50823</v>
      </c>
      <c r="V9466" t="s">
        <v>55305</v>
      </c>
      <c r="W9466" t="s">
        <v>39183</v>
      </c>
      <c r="X9466" t="s">
        <v>41260</v>
      </c>
    </row>
    <row r="9467" spans="1:24">
      <c r="A9467">
        <f>HYPERLINK("https://www.philgeps.gov.ph/GEPSNONPILOT/Tender/SplashBidNoticeAbstractUI.aspx?menuIndex=3&amp;refID=7064085&amp;Result=3","7064085")</f>
        <v>0</v>
      </c>
      <c r="B9467" t="s">
        <v>925</v>
      </c>
      <c r="C9467" t="s">
        <v>12419</v>
      </c>
      <c r="D9467" t="s">
        <v>16645</v>
      </c>
      <c r="E9467" t="s">
        <v>24944</v>
      </c>
      <c r="F9467" t="s">
        <v>28669</v>
      </c>
      <c r="G9467" t="s">
        <v>28675</v>
      </c>
      <c r="H9467" t="s">
        <v>9998</v>
      </c>
      <c r="I9467" t="s">
        <v>5213</v>
      </c>
      <c r="J9467" t="s">
        <v>34707</v>
      </c>
      <c r="K9467" t="s">
        <v>37216</v>
      </c>
      <c r="M9467" t="s">
        <v>40494</v>
      </c>
      <c r="N9467" t="s">
        <v>41249</v>
      </c>
      <c r="O9467" t="s">
        <v>41250</v>
      </c>
      <c r="P9467">
        <v>0</v>
      </c>
      <c r="Q9467">
        <v>4</v>
      </c>
      <c r="R9467" t="s">
        <v>41259</v>
      </c>
      <c r="S9467" t="s">
        <v>41562</v>
      </c>
      <c r="T9467" t="s">
        <v>43063</v>
      </c>
      <c r="U9467" t="s">
        <v>50824</v>
      </c>
      <c r="V9467" t="s">
        <v>55307</v>
      </c>
      <c r="W9467" t="s">
        <v>38447</v>
      </c>
      <c r="X9467" t="s">
        <v>41260</v>
      </c>
    </row>
    <row r="9468" spans="1:24">
      <c r="A9468">
        <f>HYPERLINK("https://www.philgeps.gov.ph/GEPSNONPILOT/Tender/SplashBidNoticeAbstractUI.aspx?menuIndex=3&amp;refID=7064067&amp;Result=3","7064067")</f>
        <v>0</v>
      </c>
      <c r="B9468" t="s">
        <v>1600</v>
      </c>
      <c r="C9468" t="s">
        <v>12420</v>
      </c>
      <c r="D9468" t="s">
        <v>16608</v>
      </c>
      <c r="E9468" t="s">
        <v>24945</v>
      </c>
      <c r="F9468" t="s">
        <v>28669</v>
      </c>
      <c r="G9468" t="s">
        <v>28676</v>
      </c>
      <c r="H9468" t="s">
        <v>9998</v>
      </c>
      <c r="I9468" t="s">
        <v>28693</v>
      </c>
      <c r="J9468" t="s">
        <v>30589</v>
      </c>
      <c r="K9468" t="s">
        <v>37206</v>
      </c>
      <c r="M9468" t="s">
        <v>39183</v>
      </c>
      <c r="N9468" t="s">
        <v>41249</v>
      </c>
      <c r="O9468" t="s">
        <v>41250</v>
      </c>
      <c r="P9468">
        <v>0</v>
      </c>
      <c r="Q9468">
        <v>8</v>
      </c>
      <c r="R9468" t="s">
        <v>41259</v>
      </c>
      <c r="S9468" t="s">
        <v>41562</v>
      </c>
      <c r="T9468" t="s">
        <v>42701</v>
      </c>
      <c r="U9468" t="s">
        <v>50825</v>
      </c>
      <c r="V9468" t="s">
        <v>55305</v>
      </c>
      <c r="W9468" t="s">
        <v>39183</v>
      </c>
      <c r="X9468" t="s">
        <v>41260</v>
      </c>
    </row>
    <row r="9469" spans="1:24">
      <c r="A9469">
        <f>HYPERLINK("https://www.philgeps.gov.ph/GEPSNONPILOT/Tender/SplashBidNoticeAbstractUI.aspx?menuIndex=3&amp;refID=7064026&amp;Result=3","7064026")</f>
        <v>0</v>
      </c>
      <c r="B9469" t="s">
        <v>2768</v>
      </c>
      <c r="C9469" t="s">
        <v>12421</v>
      </c>
      <c r="D9469" t="s">
        <v>16621</v>
      </c>
      <c r="E9469" t="s">
        <v>24946</v>
      </c>
      <c r="F9469" t="s">
        <v>28669</v>
      </c>
      <c r="G9469" t="s">
        <v>28675</v>
      </c>
      <c r="H9469" t="s">
        <v>28686</v>
      </c>
      <c r="I9469" t="s">
        <v>28689</v>
      </c>
      <c r="J9469" t="s">
        <v>30297</v>
      </c>
      <c r="K9469" t="s">
        <v>37213</v>
      </c>
      <c r="M9469" t="s">
        <v>40488</v>
      </c>
      <c r="N9469" t="s">
        <v>41249</v>
      </c>
      <c r="O9469" t="s">
        <v>41250</v>
      </c>
      <c r="P9469">
        <v>0</v>
      </c>
      <c r="Q9469">
        <v>8</v>
      </c>
      <c r="R9469" t="s">
        <v>41259</v>
      </c>
      <c r="S9469" t="s">
        <v>41562</v>
      </c>
      <c r="T9469" t="s">
        <v>43096</v>
      </c>
      <c r="U9469" t="s">
        <v>50826</v>
      </c>
      <c r="V9469" t="s">
        <v>55303</v>
      </c>
      <c r="W9469" t="s">
        <v>40488</v>
      </c>
      <c r="X9469" t="s">
        <v>41260</v>
      </c>
    </row>
    <row r="9470" spans="1:24">
      <c r="A9470">
        <f>HYPERLINK("https://www.philgeps.gov.ph/GEPSNONPILOT/Tender/SplashBidNoticeAbstractUI.aspx?menuIndex=3&amp;refID=7064113&amp;Result=3","7064113")</f>
        <v>0</v>
      </c>
      <c r="B9470" t="s">
        <v>2772</v>
      </c>
      <c r="C9470" t="s">
        <v>12422</v>
      </c>
      <c r="D9470" t="s">
        <v>16660</v>
      </c>
      <c r="E9470" t="s">
        <v>24947</v>
      </c>
      <c r="F9470" t="s">
        <v>28669</v>
      </c>
      <c r="G9470" t="s">
        <v>28675</v>
      </c>
      <c r="H9470" t="s">
        <v>9998</v>
      </c>
      <c r="I9470" t="s">
        <v>28689</v>
      </c>
      <c r="J9470" t="s">
        <v>34708</v>
      </c>
      <c r="K9470" t="s">
        <v>37206</v>
      </c>
      <c r="M9470" t="s">
        <v>40495</v>
      </c>
      <c r="N9470" t="s">
        <v>41249</v>
      </c>
      <c r="O9470" t="s">
        <v>41250</v>
      </c>
      <c r="P9470">
        <v>0</v>
      </c>
      <c r="Q9470">
        <v>4</v>
      </c>
      <c r="R9470" t="s">
        <v>41259</v>
      </c>
      <c r="S9470" t="s">
        <v>41562</v>
      </c>
      <c r="T9470" t="s">
        <v>42992</v>
      </c>
      <c r="U9470" t="s">
        <v>50827</v>
      </c>
      <c r="W9470" t="s">
        <v>40495</v>
      </c>
      <c r="X9470" t="s">
        <v>41260</v>
      </c>
    </row>
    <row r="9471" spans="1:24">
      <c r="A9471">
        <f>HYPERLINK("https://www.philgeps.gov.ph/GEPSNONPILOT/Tender/SplashBidNoticeAbstractUI.aspx?menuIndex=3&amp;refID=7064103&amp;Result=3","7064103")</f>
        <v>0</v>
      </c>
      <c r="B9471" t="s">
        <v>2773</v>
      </c>
      <c r="C9471" t="s">
        <v>12423</v>
      </c>
      <c r="D9471" t="s">
        <v>16622</v>
      </c>
      <c r="E9471" t="s">
        <v>24948</v>
      </c>
      <c r="F9471" t="s">
        <v>28669</v>
      </c>
      <c r="G9471" t="s">
        <v>28675</v>
      </c>
      <c r="H9471" t="s">
        <v>9998</v>
      </c>
      <c r="I9471" t="s">
        <v>28784</v>
      </c>
      <c r="J9471" t="s">
        <v>31948</v>
      </c>
      <c r="K9471" t="s">
        <v>37206</v>
      </c>
      <c r="M9471" t="s">
        <v>40496</v>
      </c>
      <c r="N9471" t="s">
        <v>41249</v>
      </c>
      <c r="O9471" t="s">
        <v>41250</v>
      </c>
      <c r="P9471">
        <v>0</v>
      </c>
      <c r="Q9471">
        <v>3</v>
      </c>
      <c r="R9471" t="s">
        <v>41259</v>
      </c>
      <c r="S9471" t="s">
        <v>41562</v>
      </c>
      <c r="T9471" t="s">
        <v>42782</v>
      </c>
      <c r="U9471" t="s">
        <v>50828</v>
      </c>
      <c r="W9471" t="s">
        <v>40496</v>
      </c>
      <c r="X9471" t="s">
        <v>41260</v>
      </c>
    </row>
    <row r="9472" spans="1:24">
      <c r="A9472">
        <f>HYPERLINK("https://www.philgeps.gov.ph/GEPSNONPILOT/Tender/SplashBidNoticeAbstractUI.aspx?menuIndex=3&amp;refID=7064169&amp;Result=3","7064169")</f>
        <v>0</v>
      </c>
      <c r="B9472" t="s">
        <v>2774</v>
      </c>
      <c r="C9472" t="s">
        <v>12424</v>
      </c>
      <c r="D9472" t="s">
        <v>16642</v>
      </c>
      <c r="E9472" t="s">
        <v>24949</v>
      </c>
      <c r="F9472" t="s">
        <v>28669</v>
      </c>
      <c r="G9472" t="s">
        <v>28675</v>
      </c>
      <c r="H9472" t="s">
        <v>28686</v>
      </c>
      <c r="I9472" t="s">
        <v>28689</v>
      </c>
      <c r="J9472" t="s">
        <v>28845</v>
      </c>
      <c r="K9472" t="s">
        <v>37207</v>
      </c>
      <c r="M9472" t="s">
        <v>40497</v>
      </c>
      <c r="N9472" t="s">
        <v>41249</v>
      </c>
      <c r="O9472" t="s">
        <v>41250</v>
      </c>
      <c r="P9472">
        <v>0</v>
      </c>
      <c r="Q9472">
        <v>0</v>
      </c>
      <c r="R9472" t="s">
        <v>41259</v>
      </c>
      <c r="S9472" t="s">
        <v>41562</v>
      </c>
      <c r="T9472" t="s">
        <v>42760</v>
      </c>
      <c r="U9472" t="s">
        <v>50829</v>
      </c>
      <c r="V9472" t="s">
        <v>55308</v>
      </c>
      <c r="W9472" t="s">
        <v>40497</v>
      </c>
      <c r="X9472" t="s">
        <v>41260</v>
      </c>
    </row>
    <row r="9473" spans="1:24">
      <c r="A9473">
        <f>HYPERLINK("https://www.philgeps.gov.ph/GEPSNONPILOT/Tender/SplashBidNoticeAbstractUI.aspx?menuIndex=3&amp;refID=7064164&amp;Result=3","7064164")</f>
        <v>0</v>
      </c>
      <c r="B9473" t="s">
        <v>822</v>
      </c>
      <c r="C9473" t="s">
        <v>12425</v>
      </c>
      <c r="D9473" t="s">
        <v>16627</v>
      </c>
      <c r="E9473" t="s">
        <v>17178</v>
      </c>
      <c r="F9473" t="s">
        <v>28669</v>
      </c>
      <c r="G9473" t="s">
        <v>28676</v>
      </c>
      <c r="H9473" t="s">
        <v>9998</v>
      </c>
      <c r="I9473" t="s">
        <v>28699</v>
      </c>
      <c r="J9473" t="s">
        <v>34709</v>
      </c>
      <c r="K9473" t="s">
        <v>37210</v>
      </c>
      <c r="M9473" t="s">
        <v>38338</v>
      </c>
      <c r="N9473" t="s">
        <v>41249</v>
      </c>
      <c r="O9473" t="s">
        <v>41250</v>
      </c>
      <c r="P9473">
        <v>0</v>
      </c>
      <c r="Q9473">
        <v>3</v>
      </c>
      <c r="R9473" t="s">
        <v>41259</v>
      </c>
      <c r="S9473" t="s">
        <v>41562</v>
      </c>
      <c r="T9473" t="s">
        <v>42767</v>
      </c>
      <c r="U9473" t="s">
        <v>44812</v>
      </c>
      <c r="V9473" t="s">
        <v>55309</v>
      </c>
      <c r="W9473" t="s">
        <v>38338</v>
      </c>
      <c r="X9473" t="s">
        <v>41260</v>
      </c>
    </row>
    <row r="9474" spans="1:24">
      <c r="A9474">
        <f>HYPERLINK("https://www.philgeps.gov.ph/GEPSNONPILOT/Tender/SplashBidNoticeAbstractUI.aspx?menuIndex=3&amp;refID=7064159&amp;Result=3","7064159")</f>
        <v>0</v>
      </c>
      <c r="B9474" t="s">
        <v>2774</v>
      </c>
      <c r="C9474" t="s">
        <v>12426</v>
      </c>
      <c r="D9474" t="s">
        <v>16642</v>
      </c>
      <c r="E9474" t="s">
        <v>24950</v>
      </c>
      <c r="F9474" t="s">
        <v>28669</v>
      </c>
      <c r="G9474" t="s">
        <v>28675</v>
      </c>
      <c r="H9474" t="s">
        <v>28686</v>
      </c>
      <c r="I9474" t="s">
        <v>28689</v>
      </c>
      <c r="J9474" t="s">
        <v>28905</v>
      </c>
      <c r="K9474" t="s">
        <v>37221</v>
      </c>
      <c r="M9474" t="s">
        <v>40497</v>
      </c>
      <c r="N9474" t="s">
        <v>41249</v>
      </c>
      <c r="O9474" t="s">
        <v>41250</v>
      </c>
      <c r="P9474">
        <v>0</v>
      </c>
      <c r="Q9474">
        <v>0</v>
      </c>
      <c r="R9474" t="s">
        <v>41259</v>
      </c>
      <c r="S9474" t="s">
        <v>41562</v>
      </c>
      <c r="T9474" t="s">
        <v>42760</v>
      </c>
      <c r="U9474" t="s">
        <v>50830</v>
      </c>
      <c r="V9474" t="s">
        <v>55308</v>
      </c>
      <c r="W9474" t="s">
        <v>40497</v>
      </c>
      <c r="X9474" t="s">
        <v>41260</v>
      </c>
    </row>
    <row r="9475" spans="1:24">
      <c r="A9475">
        <f>HYPERLINK("https://www.philgeps.gov.ph/GEPSNONPILOT/Tender/SplashBidNoticeAbstractUI.aspx?menuIndex=3&amp;refID=7064157&amp;Result=3","7064157")</f>
        <v>0</v>
      </c>
      <c r="B9475" t="s">
        <v>2775</v>
      </c>
      <c r="C9475" t="s">
        <v>12427</v>
      </c>
      <c r="D9475" t="s">
        <v>16608</v>
      </c>
      <c r="E9475" t="s">
        <v>24951</v>
      </c>
      <c r="F9475" t="s">
        <v>28669</v>
      </c>
      <c r="G9475" t="s">
        <v>28675</v>
      </c>
      <c r="H9475" t="s">
        <v>28685</v>
      </c>
      <c r="I9475" t="s">
        <v>28685</v>
      </c>
      <c r="J9475" t="s">
        <v>28881</v>
      </c>
      <c r="K9475" t="s">
        <v>37314</v>
      </c>
      <c r="M9475" t="s">
        <v>40498</v>
      </c>
      <c r="N9475" t="s">
        <v>41249</v>
      </c>
      <c r="O9475" t="s">
        <v>41250</v>
      </c>
      <c r="Q9475">
        <v>3</v>
      </c>
      <c r="R9475" t="s">
        <v>41259</v>
      </c>
      <c r="S9475" t="s">
        <v>41610</v>
      </c>
      <c r="T9475" t="s">
        <v>42709</v>
      </c>
      <c r="U9475" t="s">
        <v>50831</v>
      </c>
      <c r="W9475" t="s">
        <v>40498</v>
      </c>
      <c r="X9475" t="s">
        <v>41260</v>
      </c>
    </row>
    <row r="9476" spans="1:24">
      <c r="A9476">
        <f>HYPERLINK("https://www.philgeps.gov.ph/GEPSNONPILOT/Tender/SplashBidNoticeAbstractUI.aspx?menuIndex=3&amp;refID=7064155&amp;Result=3","7064155")</f>
        <v>0</v>
      </c>
      <c r="B9476" t="s">
        <v>2774</v>
      </c>
      <c r="C9476" t="s">
        <v>12428</v>
      </c>
      <c r="D9476" t="s">
        <v>16642</v>
      </c>
      <c r="E9476" t="s">
        <v>24952</v>
      </c>
      <c r="F9476" t="s">
        <v>28669</v>
      </c>
      <c r="G9476" t="s">
        <v>28675</v>
      </c>
      <c r="H9476" t="s">
        <v>28686</v>
      </c>
      <c r="I9476" t="s">
        <v>28689</v>
      </c>
      <c r="J9476" t="s">
        <v>28878</v>
      </c>
      <c r="K9476" t="s">
        <v>37223</v>
      </c>
      <c r="M9476" t="s">
        <v>40497</v>
      </c>
      <c r="N9476" t="s">
        <v>41249</v>
      </c>
      <c r="O9476" t="s">
        <v>41250</v>
      </c>
      <c r="P9476">
        <v>0</v>
      </c>
      <c r="Q9476">
        <v>0</v>
      </c>
      <c r="R9476" t="s">
        <v>41259</v>
      </c>
      <c r="S9476" t="s">
        <v>41562</v>
      </c>
      <c r="T9476" t="s">
        <v>42760</v>
      </c>
      <c r="U9476" t="s">
        <v>50832</v>
      </c>
      <c r="V9476" t="s">
        <v>55308</v>
      </c>
      <c r="W9476" t="s">
        <v>40497</v>
      </c>
      <c r="X9476" t="s">
        <v>41260</v>
      </c>
    </row>
    <row r="9477" spans="1:24">
      <c r="A9477">
        <f>HYPERLINK("https://www.philgeps.gov.ph/GEPSNONPILOT/Tender/SplashBidNoticeAbstractUI.aspx?menuIndex=3&amp;refID=7064153&amp;Result=3","7064153")</f>
        <v>0</v>
      </c>
      <c r="B9477" t="s">
        <v>2774</v>
      </c>
      <c r="C9477" t="s">
        <v>12429</v>
      </c>
      <c r="D9477" t="s">
        <v>16642</v>
      </c>
      <c r="E9477" t="s">
        <v>24953</v>
      </c>
      <c r="F9477" t="s">
        <v>28669</v>
      </c>
      <c r="G9477" t="s">
        <v>28675</v>
      </c>
      <c r="H9477" t="s">
        <v>28686</v>
      </c>
      <c r="I9477" t="s">
        <v>28689</v>
      </c>
      <c r="J9477" t="s">
        <v>28905</v>
      </c>
      <c r="K9477" t="s">
        <v>37223</v>
      </c>
      <c r="M9477" t="s">
        <v>40497</v>
      </c>
      <c r="N9477" t="s">
        <v>41249</v>
      </c>
      <c r="O9477" t="s">
        <v>41250</v>
      </c>
      <c r="P9477">
        <v>0</v>
      </c>
      <c r="Q9477">
        <v>0</v>
      </c>
      <c r="R9477" t="s">
        <v>41259</v>
      </c>
      <c r="S9477" t="s">
        <v>41562</v>
      </c>
      <c r="T9477" t="s">
        <v>42760</v>
      </c>
      <c r="U9477" t="s">
        <v>50833</v>
      </c>
      <c r="V9477" t="s">
        <v>55308</v>
      </c>
      <c r="W9477" t="s">
        <v>40497</v>
      </c>
      <c r="X9477" t="s">
        <v>41260</v>
      </c>
    </row>
    <row r="9478" spans="1:24">
      <c r="A9478">
        <f>HYPERLINK("https://www.philgeps.gov.ph/GEPSNONPILOT/Tender/SplashBidNoticeAbstractUI.aspx?menuIndex=3&amp;refID=7064122&amp;Result=3","7064122")</f>
        <v>0</v>
      </c>
      <c r="B9478" t="s">
        <v>2774</v>
      </c>
      <c r="C9478" t="s">
        <v>12430</v>
      </c>
      <c r="D9478" t="s">
        <v>16642</v>
      </c>
      <c r="E9478" t="s">
        <v>24954</v>
      </c>
      <c r="F9478" t="s">
        <v>28669</v>
      </c>
      <c r="G9478" t="s">
        <v>28675</v>
      </c>
      <c r="H9478" t="s">
        <v>28686</v>
      </c>
      <c r="I9478" t="s">
        <v>28689</v>
      </c>
      <c r="J9478" t="s">
        <v>28845</v>
      </c>
      <c r="K9478" t="s">
        <v>37206</v>
      </c>
      <c r="M9478" t="s">
        <v>40497</v>
      </c>
      <c r="N9478" t="s">
        <v>41249</v>
      </c>
      <c r="O9478" t="s">
        <v>41250</v>
      </c>
      <c r="P9478">
        <v>0</v>
      </c>
      <c r="Q9478">
        <v>0</v>
      </c>
      <c r="R9478" t="s">
        <v>41259</v>
      </c>
      <c r="S9478" t="s">
        <v>41562</v>
      </c>
      <c r="T9478" t="s">
        <v>42760</v>
      </c>
      <c r="U9478" t="s">
        <v>50834</v>
      </c>
      <c r="V9478" t="s">
        <v>55308</v>
      </c>
      <c r="W9478" t="s">
        <v>40497</v>
      </c>
      <c r="X9478" t="s">
        <v>41260</v>
      </c>
    </row>
    <row r="9479" spans="1:24">
      <c r="A9479">
        <f>HYPERLINK("https://www.philgeps.gov.ph/GEPSNONPILOT/Tender/SplashBidNoticeAbstractUI.aspx?menuIndex=3&amp;refID=7064066&amp;Result=3","7064066")</f>
        <v>0</v>
      </c>
      <c r="B9479" t="s">
        <v>1452</v>
      </c>
      <c r="C9479" t="s">
        <v>12431</v>
      </c>
      <c r="D9479" t="s">
        <v>16652</v>
      </c>
      <c r="E9479" t="s">
        <v>24955</v>
      </c>
      <c r="F9479" t="s">
        <v>28669</v>
      </c>
      <c r="G9479" t="s">
        <v>28675</v>
      </c>
      <c r="H9479" t="s">
        <v>28686</v>
      </c>
      <c r="I9479" t="s">
        <v>28689</v>
      </c>
      <c r="J9479" t="s">
        <v>28836</v>
      </c>
      <c r="K9479" t="s">
        <v>37220</v>
      </c>
      <c r="M9479" t="s">
        <v>39017</v>
      </c>
      <c r="N9479" t="s">
        <v>41249</v>
      </c>
      <c r="O9479" t="s">
        <v>41250</v>
      </c>
      <c r="P9479">
        <v>0</v>
      </c>
      <c r="Q9479">
        <v>0</v>
      </c>
      <c r="R9479" t="s">
        <v>41259</v>
      </c>
      <c r="S9479" t="s">
        <v>41562</v>
      </c>
      <c r="T9479" t="s">
        <v>42700</v>
      </c>
      <c r="U9479" t="s">
        <v>50835</v>
      </c>
      <c r="W9479" t="s">
        <v>39017</v>
      </c>
      <c r="X9479" t="s">
        <v>41260</v>
      </c>
    </row>
    <row r="9480" spans="1:24">
      <c r="A9480">
        <f>HYPERLINK("https://www.philgeps.gov.ph/GEPSNONPILOT/Tender/SplashBidNoticeAbstractUI.aspx?menuIndex=3&amp;refID=7064088&amp;Result=3","7064088")</f>
        <v>0</v>
      </c>
      <c r="B9480" t="s">
        <v>2776</v>
      </c>
      <c r="C9480" t="s">
        <v>12432</v>
      </c>
      <c r="D9480" t="s">
        <v>16663</v>
      </c>
      <c r="E9480" t="s">
        <v>24956</v>
      </c>
      <c r="F9480" t="s">
        <v>28669</v>
      </c>
      <c r="G9480" t="s">
        <v>28675</v>
      </c>
      <c r="H9480" t="s">
        <v>28684</v>
      </c>
      <c r="I9480" t="s">
        <v>28761</v>
      </c>
      <c r="J9480" t="s">
        <v>34710</v>
      </c>
      <c r="K9480" t="s">
        <v>37327</v>
      </c>
      <c r="M9480" t="s">
        <v>40499</v>
      </c>
      <c r="N9480" t="s">
        <v>41249</v>
      </c>
      <c r="O9480" t="s">
        <v>41250</v>
      </c>
      <c r="P9480">
        <v>0</v>
      </c>
      <c r="Q9480">
        <v>1</v>
      </c>
      <c r="R9480" t="s">
        <v>41259</v>
      </c>
      <c r="S9480" t="s">
        <v>41562</v>
      </c>
      <c r="T9480" t="s">
        <v>42911</v>
      </c>
      <c r="U9480" t="s">
        <v>50836</v>
      </c>
      <c r="W9480" t="s">
        <v>40499</v>
      </c>
      <c r="X9480" t="s">
        <v>41260</v>
      </c>
    </row>
    <row r="9481" spans="1:24">
      <c r="A9481">
        <f>HYPERLINK("https://www.philgeps.gov.ph/GEPSNONPILOT/Tender/SplashBidNoticeAbstractUI.aspx?menuIndex=3&amp;refID=7064191&amp;Result=3","7064191")</f>
        <v>0</v>
      </c>
      <c r="B9481" t="s">
        <v>2774</v>
      </c>
      <c r="C9481" t="s">
        <v>12433</v>
      </c>
      <c r="D9481" t="s">
        <v>16642</v>
      </c>
      <c r="E9481" t="s">
        <v>24957</v>
      </c>
      <c r="F9481" t="s">
        <v>28669</v>
      </c>
      <c r="G9481" t="s">
        <v>28675</v>
      </c>
      <c r="H9481" t="s">
        <v>28686</v>
      </c>
      <c r="I9481" t="s">
        <v>28689</v>
      </c>
      <c r="J9481" t="s">
        <v>29003</v>
      </c>
      <c r="K9481" t="s">
        <v>37221</v>
      </c>
      <c r="M9481" t="s">
        <v>40497</v>
      </c>
      <c r="N9481" t="s">
        <v>41249</v>
      </c>
      <c r="O9481" t="s">
        <v>41250</v>
      </c>
      <c r="P9481">
        <v>0</v>
      </c>
      <c r="Q9481">
        <v>0</v>
      </c>
      <c r="R9481" t="s">
        <v>41259</v>
      </c>
      <c r="S9481" t="s">
        <v>41562</v>
      </c>
      <c r="T9481" t="s">
        <v>42760</v>
      </c>
      <c r="U9481" t="s">
        <v>50837</v>
      </c>
      <c r="V9481" t="s">
        <v>55308</v>
      </c>
      <c r="W9481" t="s">
        <v>40497</v>
      </c>
      <c r="X9481" t="s">
        <v>41260</v>
      </c>
    </row>
    <row r="9482" spans="1:24">
      <c r="A9482">
        <f>HYPERLINK("https://www.philgeps.gov.ph/GEPSNONPILOT/Tender/SplashBidNoticeAbstractUI.aspx?menuIndex=3&amp;refID=7064189&amp;Result=3","7064189")</f>
        <v>0</v>
      </c>
      <c r="B9482" t="s">
        <v>2774</v>
      </c>
      <c r="C9482" t="s">
        <v>12434</v>
      </c>
      <c r="D9482" t="s">
        <v>16642</v>
      </c>
      <c r="E9482" t="s">
        <v>24958</v>
      </c>
      <c r="F9482" t="s">
        <v>28669</v>
      </c>
      <c r="G9482" t="s">
        <v>28675</v>
      </c>
      <c r="H9482" t="s">
        <v>28686</v>
      </c>
      <c r="I9482" t="s">
        <v>28689</v>
      </c>
      <c r="J9482" t="s">
        <v>29003</v>
      </c>
      <c r="K9482" t="s">
        <v>37424</v>
      </c>
      <c r="M9482" t="s">
        <v>40497</v>
      </c>
      <c r="N9482" t="s">
        <v>41249</v>
      </c>
      <c r="O9482" t="s">
        <v>41250</v>
      </c>
      <c r="P9482">
        <v>0</v>
      </c>
      <c r="Q9482">
        <v>0</v>
      </c>
      <c r="R9482" t="s">
        <v>41259</v>
      </c>
      <c r="S9482" t="s">
        <v>41562</v>
      </c>
      <c r="T9482" t="s">
        <v>42760</v>
      </c>
      <c r="U9482" t="s">
        <v>50838</v>
      </c>
      <c r="V9482" t="s">
        <v>55308</v>
      </c>
      <c r="W9482" t="s">
        <v>40497</v>
      </c>
      <c r="X9482" t="s">
        <v>41260</v>
      </c>
    </row>
    <row r="9483" spans="1:24">
      <c r="A9483">
        <f>HYPERLINK("https://www.philgeps.gov.ph/GEPSNONPILOT/Tender/SplashBidNoticeAbstractUI.aspx?menuIndex=3&amp;refID=7064185&amp;Result=3","7064185")</f>
        <v>0</v>
      </c>
      <c r="B9483" t="s">
        <v>2774</v>
      </c>
      <c r="C9483" t="s">
        <v>12435</v>
      </c>
      <c r="D9483" t="s">
        <v>16642</v>
      </c>
      <c r="E9483" t="s">
        <v>24959</v>
      </c>
      <c r="F9483" t="s">
        <v>28669</v>
      </c>
      <c r="G9483" t="s">
        <v>28675</v>
      </c>
      <c r="H9483" t="s">
        <v>28686</v>
      </c>
      <c r="I9483" t="s">
        <v>28689</v>
      </c>
      <c r="J9483" t="s">
        <v>29003</v>
      </c>
      <c r="K9483" t="s">
        <v>37258</v>
      </c>
      <c r="M9483" t="s">
        <v>40497</v>
      </c>
      <c r="N9483" t="s">
        <v>41249</v>
      </c>
      <c r="O9483" t="s">
        <v>41250</v>
      </c>
      <c r="P9483">
        <v>0</v>
      </c>
      <c r="Q9483">
        <v>0</v>
      </c>
      <c r="R9483" t="s">
        <v>41259</v>
      </c>
      <c r="S9483" t="s">
        <v>41562</v>
      </c>
      <c r="T9483" t="s">
        <v>42760</v>
      </c>
      <c r="U9483" t="s">
        <v>50839</v>
      </c>
      <c r="V9483" t="s">
        <v>55308</v>
      </c>
      <c r="W9483" t="s">
        <v>40497</v>
      </c>
      <c r="X9483" t="s">
        <v>41260</v>
      </c>
    </row>
    <row r="9484" spans="1:24">
      <c r="A9484">
        <f>HYPERLINK("https://www.philgeps.gov.ph/GEPSNONPILOT/Tender/SplashBidNoticeAbstractUI.aspx?menuIndex=3&amp;refID=7064150&amp;Result=3","7064150")</f>
        <v>0</v>
      </c>
      <c r="B9484" t="s">
        <v>135</v>
      </c>
      <c r="C9484" t="s">
        <v>12436</v>
      </c>
      <c r="D9484" t="s">
        <v>16622</v>
      </c>
      <c r="E9484" t="s">
        <v>24960</v>
      </c>
      <c r="F9484" t="s">
        <v>28669</v>
      </c>
      <c r="G9484" t="s">
        <v>28675</v>
      </c>
      <c r="H9484" t="s">
        <v>28686</v>
      </c>
      <c r="I9484" t="s">
        <v>28806</v>
      </c>
      <c r="J9484" t="s">
        <v>34711</v>
      </c>
      <c r="K9484" t="s">
        <v>37275</v>
      </c>
      <c r="M9484" t="s">
        <v>39732</v>
      </c>
      <c r="N9484" t="s">
        <v>41249</v>
      </c>
      <c r="O9484" t="s">
        <v>41250</v>
      </c>
      <c r="Q9484">
        <v>0</v>
      </c>
      <c r="R9484" t="s">
        <v>41259</v>
      </c>
      <c r="S9484" t="s">
        <v>41611</v>
      </c>
      <c r="T9484" t="s">
        <v>42660</v>
      </c>
      <c r="U9484" t="s">
        <v>50840</v>
      </c>
      <c r="V9484" t="s">
        <v>55310</v>
      </c>
      <c r="W9484" t="s">
        <v>39732</v>
      </c>
      <c r="X9484" t="s">
        <v>41260</v>
      </c>
    </row>
    <row r="9485" spans="1:24">
      <c r="A9485">
        <f>HYPERLINK("https://www.philgeps.gov.ph/GEPSNONPILOT/Tender/SplashBidNoticeAbstractUI.aspx?menuIndex=3&amp;refID=7064179&amp;Result=3","7064179")</f>
        <v>0</v>
      </c>
      <c r="B9485" t="s">
        <v>2777</v>
      </c>
      <c r="C9485" t="s">
        <v>12437</v>
      </c>
      <c r="D9485" t="s">
        <v>16625</v>
      </c>
      <c r="E9485" t="s">
        <v>24961</v>
      </c>
      <c r="F9485" t="s">
        <v>28669</v>
      </c>
      <c r="G9485" t="s">
        <v>28676</v>
      </c>
      <c r="H9485" t="s">
        <v>28684</v>
      </c>
      <c r="I9485" t="s">
        <v>6128</v>
      </c>
      <c r="J9485" t="s">
        <v>34712</v>
      </c>
      <c r="K9485" t="s">
        <v>37234</v>
      </c>
      <c r="M9485" t="s">
        <v>40500</v>
      </c>
      <c r="N9485" t="s">
        <v>41249</v>
      </c>
      <c r="O9485" t="s">
        <v>41250</v>
      </c>
      <c r="P9485">
        <v>0</v>
      </c>
      <c r="Q9485">
        <v>0</v>
      </c>
      <c r="R9485" t="s">
        <v>41259</v>
      </c>
      <c r="S9485" t="s">
        <v>41562</v>
      </c>
      <c r="T9485" t="s">
        <v>42727</v>
      </c>
      <c r="U9485" t="s">
        <v>50841</v>
      </c>
      <c r="W9485" t="s">
        <v>40500</v>
      </c>
      <c r="X9485" t="s">
        <v>41260</v>
      </c>
    </row>
    <row r="9486" spans="1:24">
      <c r="A9486">
        <f>HYPERLINK("https://www.philgeps.gov.ph/GEPSNONPILOT/Tender/SplashBidNoticeAbstractUI.aspx?menuIndex=3&amp;refID=7064140&amp;Result=3","7064140")</f>
        <v>0</v>
      </c>
      <c r="B9486" t="s">
        <v>2774</v>
      </c>
      <c r="C9486" t="s">
        <v>12438</v>
      </c>
      <c r="D9486" t="s">
        <v>16642</v>
      </c>
      <c r="E9486" t="s">
        <v>24962</v>
      </c>
      <c r="F9486" t="s">
        <v>28669</v>
      </c>
      <c r="G9486" t="s">
        <v>28675</v>
      </c>
      <c r="H9486" t="s">
        <v>28686</v>
      </c>
      <c r="I9486" t="s">
        <v>28689</v>
      </c>
      <c r="J9486" t="s">
        <v>28826</v>
      </c>
      <c r="K9486" t="s">
        <v>37231</v>
      </c>
      <c r="M9486" t="s">
        <v>40497</v>
      </c>
      <c r="N9486" t="s">
        <v>41249</v>
      </c>
      <c r="O9486" t="s">
        <v>41250</v>
      </c>
      <c r="P9486">
        <v>0</v>
      </c>
      <c r="Q9486">
        <v>0</v>
      </c>
      <c r="R9486" t="s">
        <v>41259</v>
      </c>
      <c r="S9486" t="s">
        <v>41562</v>
      </c>
      <c r="T9486" t="s">
        <v>42760</v>
      </c>
      <c r="U9486" t="s">
        <v>50842</v>
      </c>
      <c r="V9486" t="s">
        <v>55308</v>
      </c>
      <c r="W9486" t="s">
        <v>40497</v>
      </c>
      <c r="X9486" t="s">
        <v>41260</v>
      </c>
    </row>
    <row r="9487" spans="1:24">
      <c r="A9487">
        <f>HYPERLINK("https://www.philgeps.gov.ph/GEPSNONPILOT/Tender/SplashBidNoticeAbstractUI.aspx?menuIndex=3&amp;refID=7064139&amp;Result=3","7064139")</f>
        <v>0</v>
      </c>
      <c r="B9487" t="s">
        <v>897</v>
      </c>
      <c r="C9487" t="s">
        <v>12439</v>
      </c>
      <c r="D9487" t="s">
        <v>16631</v>
      </c>
      <c r="E9487" t="s">
        <v>24963</v>
      </c>
      <c r="F9487" t="s">
        <v>28669</v>
      </c>
      <c r="G9487" t="s">
        <v>28675</v>
      </c>
      <c r="H9487" t="s">
        <v>9998</v>
      </c>
      <c r="I9487" t="s">
        <v>5213</v>
      </c>
      <c r="J9487" t="s">
        <v>29044</v>
      </c>
      <c r="K9487" t="s">
        <v>37206</v>
      </c>
      <c r="M9487" t="s">
        <v>38418</v>
      </c>
      <c r="N9487" t="s">
        <v>41249</v>
      </c>
      <c r="O9487" t="s">
        <v>41250</v>
      </c>
      <c r="P9487">
        <v>0</v>
      </c>
      <c r="Q9487">
        <v>0</v>
      </c>
      <c r="R9487" t="s">
        <v>41259</v>
      </c>
      <c r="S9487" t="s">
        <v>41562</v>
      </c>
      <c r="T9487" t="s">
        <v>42805</v>
      </c>
      <c r="U9487" t="s">
        <v>44959</v>
      </c>
      <c r="W9487" t="s">
        <v>38418</v>
      </c>
      <c r="X9487" t="s">
        <v>41260</v>
      </c>
    </row>
    <row r="9488" spans="1:24">
      <c r="A9488">
        <f>HYPERLINK("https://www.philgeps.gov.ph/GEPSNONPILOT/Tender/SplashBidNoticeAbstractUI.aspx?menuIndex=3&amp;refID=7064147&amp;Result=3","7064147")</f>
        <v>0</v>
      </c>
      <c r="B9488" t="s">
        <v>2774</v>
      </c>
      <c r="C9488" t="s">
        <v>12440</v>
      </c>
      <c r="D9488" t="s">
        <v>16642</v>
      </c>
      <c r="E9488" t="s">
        <v>24964</v>
      </c>
      <c r="F9488" t="s">
        <v>28669</v>
      </c>
      <c r="G9488" t="s">
        <v>28675</v>
      </c>
      <c r="H9488" t="s">
        <v>28686</v>
      </c>
      <c r="I9488" t="s">
        <v>28689</v>
      </c>
      <c r="J9488" t="s">
        <v>28826</v>
      </c>
      <c r="K9488" t="s">
        <v>37227</v>
      </c>
      <c r="M9488" t="s">
        <v>40497</v>
      </c>
      <c r="N9488" t="s">
        <v>41249</v>
      </c>
      <c r="O9488" t="s">
        <v>41250</v>
      </c>
      <c r="P9488">
        <v>0</v>
      </c>
      <c r="Q9488">
        <v>0</v>
      </c>
      <c r="R9488" t="s">
        <v>41259</v>
      </c>
      <c r="S9488" t="s">
        <v>41562</v>
      </c>
      <c r="T9488" t="s">
        <v>42760</v>
      </c>
      <c r="U9488" t="s">
        <v>50843</v>
      </c>
      <c r="V9488" t="s">
        <v>55308</v>
      </c>
      <c r="W9488" t="s">
        <v>40497</v>
      </c>
      <c r="X9488" t="s">
        <v>41260</v>
      </c>
    </row>
    <row r="9489" spans="1:24">
      <c r="A9489">
        <f>HYPERLINK("https://www.philgeps.gov.ph/GEPSNONPILOT/Tender/SplashBidNoticeAbstractUI.aspx?menuIndex=3&amp;refID=7064172&amp;Result=3","7064172")</f>
        <v>0</v>
      </c>
      <c r="B9489" t="s">
        <v>2774</v>
      </c>
      <c r="C9489" t="s">
        <v>12441</v>
      </c>
      <c r="D9489" t="s">
        <v>16642</v>
      </c>
      <c r="E9489" t="s">
        <v>24965</v>
      </c>
      <c r="F9489" t="s">
        <v>28669</v>
      </c>
      <c r="G9489" t="s">
        <v>28675</v>
      </c>
      <c r="H9489" t="s">
        <v>28686</v>
      </c>
      <c r="I9489" t="s">
        <v>28689</v>
      </c>
      <c r="J9489" t="s">
        <v>28905</v>
      </c>
      <c r="K9489" t="s">
        <v>37206</v>
      </c>
      <c r="M9489" t="s">
        <v>40497</v>
      </c>
      <c r="N9489" t="s">
        <v>41249</v>
      </c>
      <c r="O9489" t="s">
        <v>41250</v>
      </c>
      <c r="P9489">
        <v>0</v>
      </c>
      <c r="Q9489">
        <v>0</v>
      </c>
      <c r="R9489" t="s">
        <v>41259</v>
      </c>
      <c r="S9489" t="s">
        <v>41562</v>
      </c>
      <c r="T9489" t="s">
        <v>42760</v>
      </c>
      <c r="U9489" t="s">
        <v>50844</v>
      </c>
      <c r="V9489" t="s">
        <v>55308</v>
      </c>
      <c r="W9489" t="s">
        <v>40497</v>
      </c>
      <c r="X9489" t="s">
        <v>41260</v>
      </c>
    </row>
    <row r="9490" spans="1:24">
      <c r="A9490">
        <f>HYPERLINK("https://www.philgeps.gov.ph/GEPSNONPILOT/Tender/SplashBidNoticeAbstractUI.aspx?menuIndex=3&amp;refID=7064212&amp;Result=3","7064212")</f>
        <v>0</v>
      </c>
      <c r="B9490" t="s">
        <v>2774</v>
      </c>
      <c r="C9490" t="s">
        <v>12442</v>
      </c>
      <c r="D9490" t="s">
        <v>16642</v>
      </c>
      <c r="E9490" t="s">
        <v>24966</v>
      </c>
      <c r="F9490" t="s">
        <v>28669</v>
      </c>
      <c r="G9490" t="s">
        <v>28675</v>
      </c>
      <c r="H9490" t="s">
        <v>28686</v>
      </c>
      <c r="I9490" t="s">
        <v>28689</v>
      </c>
      <c r="J9490" t="s">
        <v>28914</v>
      </c>
      <c r="K9490" t="s">
        <v>37224</v>
      </c>
      <c r="M9490" t="s">
        <v>40497</v>
      </c>
      <c r="N9490" t="s">
        <v>41249</v>
      </c>
      <c r="O9490" t="s">
        <v>41250</v>
      </c>
      <c r="P9490">
        <v>0</v>
      </c>
      <c r="Q9490">
        <v>0</v>
      </c>
      <c r="R9490" t="s">
        <v>41259</v>
      </c>
      <c r="S9490" t="s">
        <v>41562</v>
      </c>
      <c r="T9490" t="s">
        <v>42760</v>
      </c>
      <c r="U9490" t="s">
        <v>50837</v>
      </c>
      <c r="V9490" t="s">
        <v>55308</v>
      </c>
      <c r="W9490" t="s">
        <v>40497</v>
      </c>
      <c r="X9490" t="s">
        <v>41260</v>
      </c>
    </row>
    <row r="9491" spans="1:24">
      <c r="A9491">
        <f>HYPERLINK("https://www.philgeps.gov.ph/GEPSNONPILOT/Tender/SplashBidNoticeAbstractUI.aspx?menuIndex=3&amp;refID=7064207&amp;Result=3","7064207")</f>
        <v>0</v>
      </c>
      <c r="B9491" t="s">
        <v>2774</v>
      </c>
      <c r="C9491" t="s">
        <v>12443</v>
      </c>
      <c r="D9491" t="s">
        <v>16642</v>
      </c>
      <c r="E9491" t="s">
        <v>24967</v>
      </c>
      <c r="F9491" t="s">
        <v>28669</v>
      </c>
      <c r="G9491" t="s">
        <v>28675</v>
      </c>
      <c r="H9491" t="s">
        <v>28686</v>
      </c>
      <c r="I9491" t="s">
        <v>28689</v>
      </c>
      <c r="J9491" t="s">
        <v>29003</v>
      </c>
      <c r="K9491" t="s">
        <v>37302</v>
      </c>
      <c r="M9491" t="s">
        <v>40497</v>
      </c>
      <c r="N9491" t="s">
        <v>41249</v>
      </c>
      <c r="O9491" t="s">
        <v>41250</v>
      </c>
      <c r="P9491">
        <v>0</v>
      </c>
      <c r="Q9491">
        <v>0</v>
      </c>
      <c r="R9491" t="s">
        <v>41259</v>
      </c>
      <c r="S9491" t="s">
        <v>41562</v>
      </c>
      <c r="T9491" t="s">
        <v>42760</v>
      </c>
      <c r="U9491" t="s">
        <v>50845</v>
      </c>
      <c r="V9491" t="s">
        <v>55308</v>
      </c>
      <c r="W9491" t="s">
        <v>40497</v>
      </c>
      <c r="X9491" t="s">
        <v>41260</v>
      </c>
    </row>
    <row r="9492" spans="1:24">
      <c r="A9492">
        <f>HYPERLINK("https://www.philgeps.gov.ph/GEPSNONPILOT/Tender/SplashBidNoticeAbstractUI.aspx?menuIndex=3&amp;refID=7064247&amp;Result=3","7064247")</f>
        <v>0</v>
      </c>
      <c r="B9492" t="s">
        <v>2778</v>
      </c>
      <c r="C9492" t="s">
        <v>12444</v>
      </c>
      <c r="D9492" t="s">
        <v>16645</v>
      </c>
      <c r="E9492" t="s">
        <v>24578</v>
      </c>
      <c r="F9492" t="s">
        <v>28669</v>
      </c>
      <c r="G9492" t="s">
        <v>28676</v>
      </c>
      <c r="H9492" t="s">
        <v>9998</v>
      </c>
      <c r="I9492" t="s">
        <v>28733</v>
      </c>
      <c r="J9492" t="s">
        <v>34713</v>
      </c>
      <c r="K9492" t="s">
        <v>37220</v>
      </c>
      <c r="M9492" t="s">
        <v>40501</v>
      </c>
      <c r="N9492" t="s">
        <v>41249</v>
      </c>
      <c r="O9492" t="s">
        <v>41250</v>
      </c>
      <c r="P9492">
        <v>0</v>
      </c>
      <c r="Q9492">
        <v>7</v>
      </c>
      <c r="R9492" t="s">
        <v>41259</v>
      </c>
      <c r="S9492" t="s">
        <v>41562</v>
      </c>
      <c r="T9492" t="s">
        <v>42758</v>
      </c>
      <c r="U9492" t="s">
        <v>50846</v>
      </c>
      <c r="V9492" t="s">
        <v>55311</v>
      </c>
      <c r="W9492" t="s">
        <v>40501</v>
      </c>
      <c r="X9492" t="s">
        <v>41260</v>
      </c>
    </row>
    <row r="9493" spans="1:24">
      <c r="A9493">
        <f>HYPERLINK("https://www.philgeps.gov.ph/GEPSNONPILOT/Tender/SplashBidNoticeAbstractUI.aspx?menuIndex=3&amp;refID=7064242&amp;Result=3","7064242")</f>
        <v>0</v>
      </c>
      <c r="B9493" t="s">
        <v>1619</v>
      </c>
      <c r="C9493" t="s">
        <v>12445</v>
      </c>
      <c r="D9493" t="s">
        <v>16678</v>
      </c>
      <c r="E9493" t="s">
        <v>24968</v>
      </c>
      <c r="F9493" t="s">
        <v>28669</v>
      </c>
      <c r="G9493" t="s">
        <v>28675</v>
      </c>
      <c r="H9493" t="s">
        <v>28686</v>
      </c>
      <c r="I9493" t="s">
        <v>28689</v>
      </c>
      <c r="J9493" t="s">
        <v>34714</v>
      </c>
      <c r="K9493" t="s">
        <v>37214</v>
      </c>
      <c r="M9493" t="s">
        <v>39205</v>
      </c>
      <c r="N9493" t="s">
        <v>41249</v>
      </c>
      <c r="O9493" t="s">
        <v>41250</v>
      </c>
      <c r="P9493">
        <v>0</v>
      </c>
      <c r="Q9493">
        <v>0</v>
      </c>
      <c r="R9493" t="s">
        <v>41259</v>
      </c>
      <c r="S9493" t="s">
        <v>41562</v>
      </c>
      <c r="T9493" t="s">
        <v>42658</v>
      </c>
      <c r="U9493" t="s">
        <v>47959</v>
      </c>
      <c r="W9493" t="s">
        <v>39205</v>
      </c>
      <c r="X9493" t="s">
        <v>41260</v>
      </c>
    </row>
    <row r="9494" spans="1:24">
      <c r="A9494">
        <f>HYPERLINK("https://www.philgeps.gov.ph/GEPSNONPILOT/Tender/SplashBidNoticeAbstractUI.aspx?menuIndex=3&amp;refID=7064240&amp;Result=3","7064240")</f>
        <v>0</v>
      </c>
      <c r="B9494" t="s">
        <v>2774</v>
      </c>
      <c r="C9494" t="s">
        <v>12446</v>
      </c>
      <c r="D9494" t="s">
        <v>16642</v>
      </c>
      <c r="E9494" t="s">
        <v>24969</v>
      </c>
      <c r="F9494" t="s">
        <v>28669</v>
      </c>
      <c r="G9494" t="s">
        <v>28675</v>
      </c>
      <c r="H9494" t="s">
        <v>28686</v>
      </c>
      <c r="I9494" t="s">
        <v>28689</v>
      </c>
      <c r="J9494" t="s">
        <v>28879</v>
      </c>
      <c r="K9494" t="s">
        <v>37231</v>
      </c>
      <c r="M9494" t="s">
        <v>40497</v>
      </c>
      <c r="N9494" t="s">
        <v>41249</v>
      </c>
      <c r="O9494" t="s">
        <v>41250</v>
      </c>
      <c r="P9494">
        <v>0</v>
      </c>
      <c r="Q9494">
        <v>0</v>
      </c>
      <c r="R9494" t="s">
        <v>41259</v>
      </c>
      <c r="S9494" t="s">
        <v>41562</v>
      </c>
      <c r="T9494" t="s">
        <v>42760</v>
      </c>
      <c r="U9494" t="s">
        <v>50847</v>
      </c>
      <c r="V9494" t="s">
        <v>55308</v>
      </c>
      <c r="W9494" t="s">
        <v>40497</v>
      </c>
      <c r="X9494" t="s">
        <v>41260</v>
      </c>
    </row>
    <row r="9495" spans="1:24">
      <c r="A9495">
        <f>HYPERLINK("https://www.philgeps.gov.ph/GEPSNONPILOT/Tender/SplashBidNoticeAbstractUI.aspx?menuIndex=3&amp;refID=7064239&amp;Result=3","7064239")</f>
        <v>0</v>
      </c>
      <c r="B9495" t="s">
        <v>2779</v>
      </c>
      <c r="C9495" t="s">
        <v>12447</v>
      </c>
      <c r="D9495" t="s">
        <v>16664</v>
      </c>
      <c r="E9495" t="s">
        <v>21691</v>
      </c>
      <c r="F9495" t="s">
        <v>28669</v>
      </c>
      <c r="G9495" t="s">
        <v>28675</v>
      </c>
      <c r="H9495" t="s">
        <v>9998</v>
      </c>
      <c r="I9495" t="s">
        <v>28714</v>
      </c>
      <c r="J9495" t="s">
        <v>34715</v>
      </c>
      <c r="K9495" t="s">
        <v>37220</v>
      </c>
      <c r="M9495" t="s">
        <v>40502</v>
      </c>
      <c r="N9495" t="s">
        <v>41249</v>
      </c>
      <c r="O9495" t="s">
        <v>41250</v>
      </c>
      <c r="Q9495">
        <v>26</v>
      </c>
      <c r="R9495" t="s">
        <v>41259</v>
      </c>
      <c r="S9495" t="s">
        <v>41612</v>
      </c>
      <c r="T9495" t="s">
        <v>42660</v>
      </c>
      <c r="U9495" t="s">
        <v>50848</v>
      </c>
      <c r="W9495" t="s">
        <v>40502</v>
      </c>
      <c r="X9495" t="s">
        <v>41260</v>
      </c>
    </row>
    <row r="9496" spans="1:24">
      <c r="A9496">
        <f>HYPERLINK("https://www.philgeps.gov.ph/GEPSNONPILOT/Tender/SplashBidNoticeAbstractUI.aspx?menuIndex=3&amp;refID=7064238&amp;Result=3","7064238")</f>
        <v>0</v>
      </c>
      <c r="B9496" t="s">
        <v>2365</v>
      </c>
      <c r="C9496" t="s">
        <v>12448</v>
      </c>
      <c r="D9496" t="s">
        <v>16628</v>
      </c>
      <c r="E9496" t="s">
        <v>24970</v>
      </c>
      <c r="F9496" t="s">
        <v>28669</v>
      </c>
      <c r="G9496" t="s">
        <v>28675</v>
      </c>
      <c r="H9496" t="s">
        <v>9998</v>
      </c>
      <c r="I9496" t="s">
        <v>7352</v>
      </c>
      <c r="J9496" t="s">
        <v>34716</v>
      </c>
      <c r="K9496" t="s">
        <v>37205</v>
      </c>
      <c r="M9496" t="s">
        <v>40034</v>
      </c>
      <c r="N9496" t="s">
        <v>41249</v>
      </c>
      <c r="O9496" t="s">
        <v>41250</v>
      </c>
      <c r="P9496">
        <v>0</v>
      </c>
      <c r="Q9496">
        <v>1</v>
      </c>
      <c r="R9496" t="s">
        <v>41259</v>
      </c>
      <c r="S9496" t="s">
        <v>41562</v>
      </c>
      <c r="T9496" t="s">
        <v>42764</v>
      </c>
      <c r="U9496" t="s">
        <v>50143</v>
      </c>
      <c r="W9496" t="s">
        <v>40034</v>
      </c>
      <c r="X9496" t="s">
        <v>41260</v>
      </c>
    </row>
    <row r="9497" spans="1:24">
      <c r="A9497">
        <f>HYPERLINK("https://www.philgeps.gov.ph/GEPSNONPILOT/Tender/SplashBidNoticeAbstractUI.aspx?menuIndex=3&amp;refID=7064236&amp;Result=3","7064236")</f>
        <v>0</v>
      </c>
      <c r="B9497" t="s">
        <v>2774</v>
      </c>
      <c r="C9497" t="s">
        <v>12449</v>
      </c>
      <c r="D9497" t="s">
        <v>16642</v>
      </c>
      <c r="E9497" t="s">
        <v>24971</v>
      </c>
      <c r="F9497" t="s">
        <v>28669</v>
      </c>
      <c r="G9497" t="s">
        <v>28675</v>
      </c>
      <c r="H9497" t="s">
        <v>28686</v>
      </c>
      <c r="I9497" t="s">
        <v>28689</v>
      </c>
      <c r="J9497" t="s">
        <v>28877</v>
      </c>
      <c r="K9497" t="s">
        <v>37345</v>
      </c>
      <c r="M9497" t="s">
        <v>40497</v>
      </c>
      <c r="N9497" t="s">
        <v>41249</v>
      </c>
      <c r="O9497" t="s">
        <v>41250</v>
      </c>
      <c r="P9497">
        <v>0</v>
      </c>
      <c r="Q9497">
        <v>0</v>
      </c>
      <c r="R9497" t="s">
        <v>41259</v>
      </c>
      <c r="S9497" t="s">
        <v>41562</v>
      </c>
      <c r="T9497" t="s">
        <v>42760</v>
      </c>
      <c r="U9497" t="s">
        <v>50849</v>
      </c>
      <c r="V9497" t="s">
        <v>55308</v>
      </c>
      <c r="W9497" t="s">
        <v>40497</v>
      </c>
      <c r="X9497" t="s">
        <v>41260</v>
      </c>
    </row>
    <row r="9498" spans="1:24">
      <c r="A9498">
        <f>HYPERLINK("https://www.philgeps.gov.ph/GEPSNONPILOT/Tender/SplashBidNoticeAbstractUI.aspx?menuIndex=3&amp;refID=7064216&amp;Result=3","7064216")</f>
        <v>0</v>
      </c>
      <c r="B9498" t="s">
        <v>2780</v>
      </c>
      <c r="C9498" t="s">
        <v>12450</v>
      </c>
      <c r="D9498" t="s">
        <v>16658</v>
      </c>
      <c r="E9498" t="s">
        <v>24972</v>
      </c>
      <c r="F9498" t="s">
        <v>28669</v>
      </c>
      <c r="G9498" t="s">
        <v>28675</v>
      </c>
      <c r="H9498" t="s">
        <v>9998</v>
      </c>
      <c r="I9498" t="s">
        <v>28687</v>
      </c>
      <c r="J9498" t="s">
        <v>29332</v>
      </c>
      <c r="K9498" t="s">
        <v>37204</v>
      </c>
      <c r="M9498" t="s">
        <v>40503</v>
      </c>
      <c r="N9498" t="s">
        <v>41249</v>
      </c>
      <c r="O9498" t="s">
        <v>41250</v>
      </c>
      <c r="P9498">
        <v>0</v>
      </c>
      <c r="Q9498">
        <v>2</v>
      </c>
      <c r="R9498" t="s">
        <v>41259</v>
      </c>
      <c r="S9498" t="s">
        <v>41562</v>
      </c>
      <c r="T9498" t="s">
        <v>42690</v>
      </c>
      <c r="U9498" t="s">
        <v>50850</v>
      </c>
      <c r="V9498" t="s">
        <v>55312</v>
      </c>
      <c r="W9498" t="s">
        <v>40503</v>
      </c>
      <c r="X9498" t="s">
        <v>41260</v>
      </c>
    </row>
    <row r="9499" spans="1:24">
      <c r="A9499">
        <f>HYPERLINK("https://www.philgeps.gov.ph/GEPSNONPILOT/Tender/SplashBidNoticeAbstractUI.aspx?menuIndex=3&amp;refID=7064199&amp;Result=3","7064199")</f>
        <v>0</v>
      </c>
      <c r="B9499" t="s">
        <v>2774</v>
      </c>
      <c r="C9499" t="s">
        <v>12451</v>
      </c>
      <c r="D9499" t="s">
        <v>16642</v>
      </c>
      <c r="E9499" t="s">
        <v>24973</v>
      </c>
      <c r="F9499" t="s">
        <v>28669</v>
      </c>
      <c r="G9499" t="s">
        <v>28675</v>
      </c>
      <c r="H9499" t="s">
        <v>28686</v>
      </c>
      <c r="I9499" t="s">
        <v>28689</v>
      </c>
      <c r="J9499" t="s">
        <v>29003</v>
      </c>
      <c r="K9499" t="s">
        <v>37258</v>
      </c>
      <c r="M9499" t="s">
        <v>40497</v>
      </c>
      <c r="N9499" t="s">
        <v>41249</v>
      </c>
      <c r="O9499" t="s">
        <v>41250</v>
      </c>
      <c r="P9499">
        <v>0</v>
      </c>
      <c r="Q9499">
        <v>0</v>
      </c>
      <c r="R9499" t="s">
        <v>41259</v>
      </c>
      <c r="S9499" t="s">
        <v>41562</v>
      </c>
      <c r="T9499" t="s">
        <v>42760</v>
      </c>
      <c r="U9499" t="s">
        <v>50851</v>
      </c>
      <c r="V9499" t="s">
        <v>55308</v>
      </c>
      <c r="W9499" t="s">
        <v>40497</v>
      </c>
      <c r="X9499" t="s">
        <v>41260</v>
      </c>
    </row>
    <row r="9500" spans="1:24">
      <c r="A9500">
        <f>HYPERLINK("https://www.philgeps.gov.ph/GEPSNONPILOT/Tender/SplashBidNoticeAbstractUI.aspx?menuIndex=3&amp;refID=7064243&amp;Result=3","7064243")</f>
        <v>0</v>
      </c>
      <c r="B9500" t="s">
        <v>2774</v>
      </c>
      <c r="C9500" t="s">
        <v>12452</v>
      </c>
      <c r="D9500" t="s">
        <v>16642</v>
      </c>
      <c r="E9500" t="s">
        <v>24974</v>
      </c>
      <c r="F9500" t="s">
        <v>28669</v>
      </c>
      <c r="G9500" t="s">
        <v>28675</v>
      </c>
      <c r="H9500" t="s">
        <v>28686</v>
      </c>
      <c r="I9500" t="s">
        <v>28689</v>
      </c>
      <c r="J9500" t="s">
        <v>28851</v>
      </c>
      <c r="K9500" t="s">
        <v>37425</v>
      </c>
      <c r="M9500" t="s">
        <v>40497</v>
      </c>
      <c r="N9500" t="s">
        <v>41249</v>
      </c>
      <c r="O9500" t="s">
        <v>41250</v>
      </c>
      <c r="P9500">
        <v>0</v>
      </c>
      <c r="Q9500">
        <v>0</v>
      </c>
      <c r="R9500" t="s">
        <v>41259</v>
      </c>
      <c r="S9500" t="s">
        <v>41562</v>
      </c>
      <c r="T9500" t="s">
        <v>42760</v>
      </c>
      <c r="U9500" t="s">
        <v>50852</v>
      </c>
      <c r="V9500" t="s">
        <v>55308</v>
      </c>
      <c r="W9500" t="s">
        <v>40497</v>
      </c>
      <c r="X9500" t="s">
        <v>41260</v>
      </c>
    </row>
    <row r="9501" spans="1:24">
      <c r="A9501">
        <f>HYPERLINK("https://www.philgeps.gov.ph/GEPSNONPILOT/Tender/SplashBidNoticeAbstractUI.aspx?menuIndex=3&amp;refID=7064249&amp;Result=3","7064249")</f>
        <v>0</v>
      </c>
      <c r="B9501" t="s">
        <v>1619</v>
      </c>
      <c r="C9501" t="s">
        <v>12453</v>
      </c>
      <c r="D9501" t="s">
        <v>16678</v>
      </c>
      <c r="E9501" t="s">
        <v>24975</v>
      </c>
      <c r="F9501" t="s">
        <v>28669</v>
      </c>
      <c r="G9501" t="s">
        <v>28675</v>
      </c>
      <c r="H9501" t="s">
        <v>28686</v>
      </c>
      <c r="I9501" t="s">
        <v>28689</v>
      </c>
      <c r="J9501" t="s">
        <v>34717</v>
      </c>
      <c r="K9501" t="s">
        <v>37241</v>
      </c>
      <c r="M9501" t="s">
        <v>39205</v>
      </c>
      <c r="N9501" t="s">
        <v>41249</v>
      </c>
      <c r="O9501" t="s">
        <v>41250</v>
      </c>
      <c r="P9501">
        <v>0</v>
      </c>
      <c r="Q9501">
        <v>0</v>
      </c>
      <c r="R9501" t="s">
        <v>41259</v>
      </c>
      <c r="S9501" t="s">
        <v>41562</v>
      </c>
      <c r="T9501" t="s">
        <v>42658</v>
      </c>
      <c r="U9501" t="s">
        <v>47959</v>
      </c>
      <c r="W9501" t="s">
        <v>39205</v>
      </c>
      <c r="X9501" t="s">
        <v>41260</v>
      </c>
    </row>
    <row r="9502" spans="1:24">
      <c r="A9502">
        <f>HYPERLINK("https://www.philgeps.gov.ph/GEPSNONPILOT/Tender/SplashBidNoticeAbstractUI.aspx?menuIndex=3&amp;refID=7064133&amp;Result=3","7064133")</f>
        <v>0</v>
      </c>
      <c r="B9502" t="s">
        <v>2774</v>
      </c>
      <c r="C9502" t="s">
        <v>12454</v>
      </c>
      <c r="D9502" t="s">
        <v>16642</v>
      </c>
      <c r="E9502" t="s">
        <v>24976</v>
      </c>
      <c r="F9502" t="s">
        <v>28669</v>
      </c>
      <c r="G9502" t="s">
        <v>28675</v>
      </c>
      <c r="H9502" t="s">
        <v>28686</v>
      </c>
      <c r="I9502" t="s">
        <v>28689</v>
      </c>
      <c r="J9502" t="s">
        <v>28845</v>
      </c>
      <c r="K9502" t="s">
        <v>37206</v>
      </c>
      <c r="M9502" t="s">
        <v>40497</v>
      </c>
      <c r="N9502" t="s">
        <v>41249</v>
      </c>
      <c r="O9502" t="s">
        <v>41250</v>
      </c>
      <c r="P9502">
        <v>0</v>
      </c>
      <c r="Q9502">
        <v>0</v>
      </c>
      <c r="R9502" t="s">
        <v>41259</v>
      </c>
      <c r="S9502" t="s">
        <v>41562</v>
      </c>
      <c r="T9502" t="s">
        <v>42760</v>
      </c>
      <c r="U9502" t="s">
        <v>50853</v>
      </c>
      <c r="V9502" t="s">
        <v>55308</v>
      </c>
      <c r="W9502" t="s">
        <v>40497</v>
      </c>
      <c r="X9502" t="s">
        <v>41260</v>
      </c>
    </row>
    <row r="9503" spans="1:24">
      <c r="A9503">
        <f>HYPERLINK("https://www.philgeps.gov.ph/GEPSNONPILOT/Tender/SplashBidNoticeAbstractUI.aspx?menuIndex=3&amp;refID=7064235&amp;Result=3","7064235")</f>
        <v>0</v>
      </c>
      <c r="B9503" t="s">
        <v>268</v>
      </c>
      <c r="C9503" t="s">
        <v>12455</v>
      </c>
      <c r="D9503" t="s">
        <v>16608</v>
      </c>
      <c r="E9503" t="s">
        <v>24977</v>
      </c>
      <c r="F9503" t="s">
        <v>28669</v>
      </c>
      <c r="G9503" t="s">
        <v>28675</v>
      </c>
      <c r="H9503" t="s">
        <v>9998</v>
      </c>
      <c r="I9503" t="s">
        <v>28709</v>
      </c>
      <c r="J9503" t="s">
        <v>34718</v>
      </c>
      <c r="K9503" t="s">
        <v>37206</v>
      </c>
      <c r="M9503" t="s">
        <v>40504</v>
      </c>
      <c r="N9503" t="s">
        <v>41249</v>
      </c>
      <c r="O9503" t="s">
        <v>41250</v>
      </c>
      <c r="P9503">
        <v>0</v>
      </c>
      <c r="Q9503">
        <v>1</v>
      </c>
      <c r="R9503" t="s">
        <v>41259</v>
      </c>
      <c r="S9503" t="s">
        <v>41562</v>
      </c>
      <c r="T9503" t="s">
        <v>42818</v>
      </c>
      <c r="U9503" t="s">
        <v>50854</v>
      </c>
      <c r="W9503" t="s">
        <v>40504</v>
      </c>
      <c r="X9503" t="s">
        <v>41260</v>
      </c>
    </row>
    <row r="9504" spans="1:24">
      <c r="A9504">
        <f>HYPERLINK("https://www.philgeps.gov.ph/GEPSNONPILOT/Tender/SplashBidNoticeAbstractUI.aspx?menuIndex=3&amp;refID=7064232&amp;Result=3","7064232")</f>
        <v>0</v>
      </c>
      <c r="B9504" t="s">
        <v>2365</v>
      </c>
      <c r="C9504" t="s">
        <v>12456</v>
      </c>
      <c r="D9504" t="s">
        <v>16628</v>
      </c>
      <c r="E9504" t="s">
        <v>24978</v>
      </c>
      <c r="F9504" t="s">
        <v>28669</v>
      </c>
      <c r="G9504" t="s">
        <v>28675</v>
      </c>
      <c r="H9504" t="s">
        <v>9998</v>
      </c>
      <c r="I9504" t="s">
        <v>7352</v>
      </c>
      <c r="J9504" t="s">
        <v>34719</v>
      </c>
      <c r="K9504" t="s">
        <v>37206</v>
      </c>
      <c r="M9504" t="s">
        <v>40034</v>
      </c>
      <c r="N9504" t="s">
        <v>41249</v>
      </c>
      <c r="O9504" t="s">
        <v>41250</v>
      </c>
      <c r="P9504">
        <v>0</v>
      </c>
      <c r="Q9504">
        <v>2</v>
      </c>
      <c r="R9504" t="s">
        <v>41259</v>
      </c>
      <c r="S9504" t="s">
        <v>41562</v>
      </c>
      <c r="T9504" t="s">
        <v>42764</v>
      </c>
      <c r="U9504" t="s">
        <v>50143</v>
      </c>
      <c r="W9504" t="s">
        <v>40034</v>
      </c>
      <c r="X9504" t="s">
        <v>41260</v>
      </c>
    </row>
    <row r="9505" spans="1:24">
      <c r="A9505">
        <f>HYPERLINK("https://www.philgeps.gov.ph/GEPSNONPILOT/Tender/SplashBidNoticeAbstractUI.aspx?menuIndex=3&amp;refID=7064251&amp;Result=3","7064251")</f>
        <v>0</v>
      </c>
      <c r="B9505" t="s">
        <v>2774</v>
      </c>
      <c r="C9505" t="s">
        <v>12457</v>
      </c>
      <c r="D9505" t="s">
        <v>16642</v>
      </c>
      <c r="E9505" t="s">
        <v>24979</v>
      </c>
      <c r="F9505" t="s">
        <v>28669</v>
      </c>
      <c r="G9505" t="s">
        <v>28675</v>
      </c>
      <c r="H9505" t="s">
        <v>28686</v>
      </c>
      <c r="I9505" t="s">
        <v>28689</v>
      </c>
      <c r="J9505" t="s">
        <v>28914</v>
      </c>
      <c r="K9505" t="s">
        <v>37221</v>
      </c>
      <c r="M9505" t="s">
        <v>40497</v>
      </c>
      <c r="N9505" t="s">
        <v>41249</v>
      </c>
      <c r="O9505" t="s">
        <v>41250</v>
      </c>
      <c r="P9505">
        <v>0</v>
      </c>
      <c r="Q9505">
        <v>0</v>
      </c>
      <c r="R9505" t="s">
        <v>41259</v>
      </c>
      <c r="S9505" t="s">
        <v>41562</v>
      </c>
      <c r="T9505" t="s">
        <v>42760</v>
      </c>
      <c r="U9505" t="s">
        <v>50204</v>
      </c>
      <c r="V9505" t="s">
        <v>55308</v>
      </c>
      <c r="W9505" t="s">
        <v>40497</v>
      </c>
      <c r="X9505" t="s">
        <v>41260</v>
      </c>
    </row>
    <row r="9506" spans="1:24">
      <c r="A9506">
        <f>HYPERLINK("https://www.philgeps.gov.ph/GEPSNONPILOT/Tender/SplashBidNoticeAbstractUI.aspx?menuIndex=3&amp;refID=7064220&amp;Result=3","7064220")</f>
        <v>0</v>
      </c>
      <c r="B9506" t="s">
        <v>2365</v>
      </c>
      <c r="C9506" t="s">
        <v>12458</v>
      </c>
      <c r="D9506" t="s">
        <v>16628</v>
      </c>
      <c r="E9506" t="s">
        <v>24980</v>
      </c>
      <c r="F9506" t="s">
        <v>28669</v>
      </c>
      <c r="G9506" t="s">
        <v>28675</v>
      </c>
      <c r="H9506" t="s">
        <v>9998</v>
      </c>
      <c r="I9506" t="s">
        <v>28721</v>
      </c>
      <c r="J9506" t="s">
        <v>34720</v>
      </c>
      <c r="K9506" t="s">
        <v>37205</v>
      </c>
      <c r="M9506" t="s">
        <v>40034</v>
      </c>
      <c r="N9506" t="s">
        <v>41249</v>
      </c>
      <c r="O9506" t="s">
        <v>41250</v>
      </c>
      <c r="P9506">
        <v>0</v>
      </c>
      <c r="Q9506">
        <v>4</v>
      </c>
      <c r="R9506" t="s">
        <v>41259</v>
      </c>
      <c r="S9506" t="s">
        <v>41562</v>
      </c>
      <c r="T9506" t="s">
        <v>42764</v>
      </c>
      <c r="U9506" t="s">
        <v>50143</v>
      </c>
      <c r="W9506" t="s">
        <v>40034</v>
      </c>
      <c r="X9506" t="s">
        <v>41260</v>
      </c>
    </row>
    <row r="9507" spans="1:24">
      <c r="A9507">
        <f>HYPERLINK("https://www.philgeps.gov.ph/GEPSNONPILOT/Tender/SplashBidNoticeAbstractUI.aspx?menuIndex=3&amp;refID=7064130&amp;Result=3","7064130")</f>
        <v>0</v>
      </c>
      <c r="B9507" t="s">
        <v>2774</v>
      </c>
      <c r="C9507" t="s">
        <v>12459</v>
      </c>
      <c r="D9507" t="s">
        <v>16642</v>
      </c>
      <c r="E9507" t="s">
        <v>24981</v>
      </c>
      <c r="F9507" t="s">
        <v>28669</v>
      </c>
      <c r="G9507" t="s">
        <v>28675</v>
      </c>
      <c r="H9507" t="s">
        <v>28686</v>
      </c>
      <c r="I9507" t="s">
        <v>28689</v>
      </c>
      <c r="J9507" t="s">
        <v>29247</v>
      </c>
      <c r="K9507" t="s">
        <v>37220</v>
      </c>
      <c r="M9507" t="s">
        <v>40497</v>
      </c>
      <c r="N9507" t="s">
        <v>41249</v>
      </c>
      <c r="O9507" t="s">
        <v>41250</v>
      </c>
      <c r="P9507">
        <v>0</v>
      </c>
      <c r="Q9507">
        <v>0</v>
      </c>
      <c r="R9507" t="s">
        <v>41259</v>
      </c>
      <c r="S9507" t="s">
        <v>41562</v>
      </c>
      <c r="T9507" t="s">
        <v>42760</v>
      </c>
      <c r="U9507" t="s">
        <v>50855</v>
      </c>
      <c r="V9507" t="s">
        <v>55308</v>
      </c>
      <c r="W9507" t="s">
        <v>40497</v>
      </c>
      <c r="X9507" t="s">
        <v>41260</v>
      </c>
    </row>
    <row r="9508" spans="1:24">
      <c r="A9508">
        <f>HYPERLINK("https://www.philgeps.gov.ph/GEPSNONPILOT/Tender/SplashBidNoticeAbstractUI.aspx?menuIndex=3&amp;refID=7064217&amp;Result=3","7064217")</f>
        <v>0</v>
      </c>
      <c r="B9508" t="s">
        <v>268</v>
      </c>
      <c r="C9508" t="s">
        <v>12460</v>
      </c>
      <c r="D9508" t="s">
        <v>16608</v>
      </c>
      <c r="E9508" t="s">
        <v>24982</v>
      </c>
      <c r="F9508" t="s">
        <v>28669</v>
      </c>
      <c r="G9508" t="s">
        <v>28679</v>
      </c>
      <c r="H9508" t="s">
        <v>9998</v>
      </c>
      <c r="I9508" t="s">
        <v>28709</v>
      </c>
      <c r="J9508" t="s">
        <v>34721</v>
      </c>
      <c r="K9508" t="s">
        <v>37205</v>
      </c>
      <c r="M9508" t="s">
        <v>40504</v>
      </c>
      <c r="N9508" t="s">
        <v>41249</v>
      </c>
      <c r="O9508" t="s">
        <v>41250</v>
      </c>
      <c r="P9508">
        <v>0</v>
      </c>
      <c r="Q9508">
        <v>1</v>
      </c>
      <c r="R9508" t="s">
        <v>41259</v>
      </c>
      <c r="S9508" t="s">
        <v>41562</v>
      </c>
      <c r="T9508" t="s">
        <v>42658</v>
      </c>
      <c r="U9508" t="s">
        <v>50856</v>
      </c>
      <c r="W9508" t="s">
        <v>40504</v>
      </c>
      <c r="X9508" t="s">
        <v>41260</v>
      </c>
    </row>
    <row r="9509" spans="1:24">
      <c r="A9509">
        <f>HYPERLINK("https://www.philgeps.gov.ph/GEPSNONPILOT/Tender/SplashBidNoticeAbstractUI.aspx?menuIndex=3&amp;refID=7064248&amp;Result=3","7064248")</f>
        <v>0</v>
      </c>
      <c r="B9509" t="s">
        <v>29</v>
      </c>
      <c r="C9509" t="s">
        <v>12461</v>
      </c>
      <c r="D9509" t="s">
        <v>16611</v>
      </c>
      <c r="E9509" t="s">
        <v>24983</v>
      </c>
      <c r="F9509" t="s">
        <v>28669</v>
      </c>
      <c r="G9509" t="s">
        <v>28677</v>
      </c>
      <c r="H9509" t="s">
        <v>9998</v>
      </c>
      <c r="I9509" t="s">
        <v>28700</v>
      </c>
      <c r="J9509" t="s">
        <v>34722</v>
      </c>
      <c r="K9509" t="s">
        <v>37209</v>
      </c>
      <c r="M9509" t="s">
        <v>37931</v>
      </c>
      <c r="N9509" t="s">
        <v>41249</v>
      </c>
      <c r="O9509" t="s">
        <v>41250</v>
      </c>
      <c r="Q9509">
        <v>1</v>
      </c>
      <c r="R9509" t="s">
        <v>41259</v>
      </c>
      <c r="S9509" t="s">
        <v>41613</v>
      </c>
      <c r="T9509" t="s">
        <v>42686</v>
      </c>
      <c r="U9509" t="s">
        <v>50857</v>
      </c>
      <c r="W9509" t="s">
        <v>37931</v>
      </c>
      <c r="X9509" t="s">
        <v>41260</v>
      </c>
    </row>
    <row r="9510" spans="1:24">
      <c r="A9510">
        <f>HYPERLINK("https://www.philgeps.gov.ph/GEPSNONPILOT/Tender/SplashBidNoticeAbstractUI.aspx?menuIndex=3&amp;refID=7064253&amp;Result=3","7064253")</f>
        <v>0</v>
      </c>
      <c r="B9510" t="s">
        <v>2365</v>
      </c>
      <c r="C9510" t="s">
        <v>12462</v>
      </c>
      <c r="D9510" t="s">
        <v>16628</v>
      </c>
      <c r="E9510" t="s">
        <v>24984</v>
      </c>
      <c r="F9510" t="s">
        <v>28669</v>
      </c>
      <c r="G9510" t="s">
        <v>28675</v>
      </c>
      <c r="H9510" t="s">
        <v>9998</v>
      </c>
      <c r="I9510" t="s">
        <v>28688</v>
      </c>
      <c r="J9510" t="s">
        <v>34723</v>
      </c>
      <c r="K9510" t="s">
        <v>37205</v>
      </c>
      <c r="M9510" t="s">
        <v>40034</v>
      </c>
      <c r="N9510" t="s">
        <v>41249</v>
      </c>
      <c r="O9510" t="s">
        <v>41250</v>
      </c>
      <c r="P9510">
        <v>0</v>
      </c>
      <c r="Q9510">
        <v>1</v>
      </c>
      <c r="R9510" t="s">
        <v>41259</v>
      </c>
      <c r="S9510" t="s">
        <v>41562</v>
      </c>
      <c r="T9510" t="s">
        <v>42764</v>
      </c>
      <c r="U9510" t="s">
        <v>50143</v>
      </c>
      <c r="W9510" t="s">
        <v>40034</v>
      </c>
      <c r="X9510" t="s">
        <v>41260</v>
      </c>
    </row>
    <row r="9511" spans="1:24">
      <c r="A9511">
        <f>HYPERLINK("https://www.philgeps.gov.ph/GEPSNONPILOT/Tender/SplashBidNoticeAbstractUI.aspx?menuIndex=3&amp;refID=7064287&amp;Result=3","7064287")</f>
        <v>0</v>
      </c>
      <c r="B9511" t="s">
        <v>2774</v>
      </c>
      <c r="C9511" t="s">
        <v>12463</v>
      </c>
      <c r="D9511" t="s">
        <v>16642</v>
      </c>
      <c r="E9511" t="s">
        <v>24985</v>
      </c>
      <c r="F9511" t="s">
        <v>28669</v>
      </c>
      <c r="G9511" t="s">
        <v>28675</v>
      </c>
      <c r="H9511" t="s">
        <v>28686</v>
      </c>
      <c r="I9511" t="s">
        <v>28689</v>
      </c>
      <c r="J9511" t="s">
        <v>29003</v>
      </c>
      <c r="K9511" t="s">
        <v>37206</v>
      </c>
      <c r="M9511" t="s">
        <v>40497</v>
      </c>
      <c r="N9511" t="s">
        <v>41249</v>
      </c>
      <c r="O9511" t="s">
        <v>41250</v>
      </c>
      <c r="P9511">
        <v>0</v>
      </c>
      <c r="Q9511">
        <v>0</v>
      </c>
      <c r="R9511" t="s">
        <v>41259</v>
      </c>
      <c r="S9511" t="s">
        <v>41562</v>
      </c>
      <c r="T9511" t="s">
        <v>42760</v>
      </c>
      <c r="U9511" t="s">
        <v>50834</v>
      </c>
      <c r="V9511" t="s">
        <v>55308</v>
      </c>
      <c r="W9511" t="s">
        <v>40497</v>
      </c>
      <c r="X9511" t="s">
        <v>41260</v>
      </c>
    </row>
    <row r="9512" spans="1:24">
      <c r="A9512">
        <f>HYPERLINK("https://www.philgeps.gov.ph/GEPSNONPILOT/Tender/SplashBidNoticeAbstractUI.aspx?menuIndex=3&amp;refID=7064233&amp;Result=3","7064233")</f>
        <v>0</v>
      </c>
      <c r="B9512" t="s">
        <v>2774</v>
      </c>
      <c r="C9512" t="s">
        <v>12464</v>
      </c>
      <c r="D9512" t="s">
        <v>16642</v>
      </c>
      <c r="E9512" t="s">
        <v>24986</v>
      </c>
      <c r="F9512" t="s">
        <v>28669</v>
      </c>
      <c r="G9512" t="s">
        <v>28675</v>
      </c>
      <c r="H9512" t="s">
        <v>28686</v>
      </c>
      <c r="I9512" t="s">
        <v>28689</v>
      </c>
      <c r="J9512" t="s">
        <v>28905</v>
      </c>
      <c r="K9512" t="s">
        <v>37241</v>
      </c>
      <c r="M9512" t="s">
        <v>40497</v>
      </c>
      <c r="N9512" t="s">
        <v>41249</v>
      </c>
      <c r="O9512" t="s">
        <v>41250</v>
      </c>
      <c r="P9512">
        <v>0</v>
      </c>
      <c r="Q9512">
        <v>0</v>
      </c>
      <c r="R9512" t="s">
        <v>41259</v>
      </c>
      <c r="S9512" t="s">
        <v>41562</v>
      </c>
      <c r="T9512" t="s">
        <v>42760</v>
      </c>
      <c r="U9512" t="s">
        <v>50837</v>
      </c>
      <c r="V9512" t="s">
        <v>55308</v>
      </c>
      <c r="W9512" t="s">
        <v>40497</v>
      </c>
      <c r="X9512" t="s">
        <v>41260</v>
      </c>
    </row>
    <row r="9513" spans="1:24">
      <c r="A9513">
        <f>HYPERLINK("https://www.philgeps.gov.ph/GEPSNONPILOT/Tender/SplashBidNoticeAbstractUI.aspx?menuIndex=3&amp;refID=7064285&amp;Result=3","7064285")</f>
        <v>0</v>
      </c>
      <c r="B9513" t="s">
        <v>1619</v>
      </c>
      <c r="C9513" t="s">
        <v>12465</v>
      </c>
      <c r="D9513" t="s">
        <v>16678</v>
      </c>
      <c r="E9513" t="s">
        <v>24987</v>
      </c>
      <c r="F9513" t="s">
        <v>28669</v>
      </c>
      <c r="G9513" t="s">
        <v>28675</v>
      </c>
      <c r="H9513" t="s">
        <v>28686</v>
      </c>
      <c r="I9513" t="s">
        <v>28689</v>
      </c>
      <c r="J9513" t="s">
        <v>34724</v>
      </c>
      <c r="K9513" t="s">
        <v>37426</v>
      </c>
      <c r="M9513" t="s">
        <v>39205</v>
      </c>
      <c r="N9513" t="s">
        <v>41249</v>
      </c>
      <c r="O9513" t="s">
        <v>41250</v>
      </c>
      <c r="P9513">
        <v>0</v>
      </c>
      <c r="Q9513">
        <v>0</v>
      </c>
      <c r="R9513" t="s">
        <v>41259</v>
      </c>
      <c r="S9513" t="s">
        <v>41562</v>
      </c>
      <c r="T9513" t="s">
        <v>42658</v>
      </c>
      <c r="U9513" t="s">
        <v>47959</v>
      </c>
      <c r="W9513" t="s">
        <v>39205</v>
      </c>
      <c r="X9513" t="s">
        <v>41260</v>
      </c>
    </row>
    <row r="9514" spans="1:24">
      <c r="A9514">
        <f>HYPERLINK("https://www.philgeps.gov.ph/GEPSNONPILOT/Tender/SplashBidNoticeAbstractUI.aspx?menuIndex=3&amp;refID=7064284&amp;Result=3","7064284")</f>
        <v>0</v>
      </c>
      <c r="B9514" t="s">
        <v>2774</v>
      </c>
      <c r="C9514" t="s">
        <v>12466</v>
      </c>
      <c r="D9514" t="s">
        <v>16642</v>
      </c>
      <c r="E9514" t="s">
        <v>24988</v>
      </c>
      <c r="F9514" t="s">
        <v>28669</v>
      </c>
      <c r="G9514" t="s">
        <v>28675</v>
      </c>
      <c r="H9514" t="s">
        <v>28686</v>
      </c>
      <c r="I9514" t="s">
        <v>28689</v>
      </c>
      <c r="J9514" t="s">
        <v>28905</v>
      </c>
      <c r="K9514" t="s">
        <v>37206</v>
      </c>
      <c r="M9514" t="s">
        <v>40497</v>
      </c>
      <c r="N9514" t="s">
        <v>41249</v>
      </c>
      <c r="O9514" t="s">
        <v>41250</v>
      </c>
      <c r="P9514">
        <v>0</v>
      </c>
      <c r="Q9514">
        <v>0</v>
      </c>
      <c r="R9514" t="s">
        <v>41259</v>
      </c>
      <c r="S9514" t="s">
        <v>41562</v>
      </c>
      <c r="T9514" t="s">
        <v>42760</v>
      </c>
      <c r="U9514" t="s">
        <v>50858</v>
      </c>
      <c r="V9514" t="s">
        <v>55308</v>
      </c>
      <c r="W9514" t="s">
        <v>40497</v>
      </c>
      <c r="X9514" t="s">
        <v>41260</v>
      </c>
    </row>
    <row r="9515" spans="1:24">
      <c r="A9515">
        <f>HYPERLINK("https://www.philgeps.gov.ph/GEPSNONPILOT/Tender/SplashBidNoticeAbstractUI.aspx?menuIndex=3&amp;refID=7064283&amp;Result=3","7064283")</f>
        <v>0</v>
      </c>
      <c r="B9515" t="s">
        <v>2630</v>
      </c>
      <c r="C9515" t="s">
        <v>9588</v>
      </c>
      <c r="D9515" t="s">
        <v>16672</v>
      </c>
      <c r="E9515" t="s">
        <v>17094</v>
      </c>
      <c r="F9515" t="s">
        <v>28669</v>
      </c>
      <c r="G9515" t="s">
        <v>28675</v>
      </c>
      <c r="H9515" t="s">
        <v>9998</v>
      </c>
      <c r="I9515" t="s">
        <v>7352</v>
      </c>
      <c r="J9515" t="s">
        <v>34725</v>
      </c>
      <c r="K9515" t="s">
        <v>37210</v>
      </c>
      <c r="M9515" t="s">
        <v>40329</v>
      </c>
      <c r="N9515" t="s">
        <v>41249</v>
      </c>
      <c r="O9515" t="s">
        <v>41250</v>
      </c>
      <c r="P9515">
        <v>0</v>
      </c>
      <c r="Q9515">
        <v>0</v>
      </c>
      <c r="R9515" t="s">
        <v>41259</v>
      </c>
      <c r="S9515" t="s">
        <v>41562</v>
      </c>
      <c r="T9515" t="s">
        <v>42881</v>
      </c>
      <c r="U9515" t="s">
        <v>50859</v>
      </c>
      <c r="W9515" t="s">
        <v>40329</v>
      </c>
      <c r="X9515" t="s">
        <v>41260</v>
      </c>
    </row>
    <row r="9516" spans="1:24">
      <c r="A9516">
        <f>HYPERLINK("https://www.philgeps.gov.ph/GEPSNONPILOT/Tender/SplashBidNoticeAbstractUI.aspx?menuIndex=3&amp;refID=7064230&amp;Result=3","7064230")</f>
        <v>0</v>
      </c>
      <c r="B9516" t="s">
        <v>2777</v>
      </c>
      <c r="C9516" t="s">
        <v>12467</v>
      </c>
      <c r="D9516" t="s">
        <v>16625</v>
      </c>
      <c r="E9516" t="s">
        <v>24989</v>
      </c>
      <c r="F9516" t="s">
        <v>28669</v>
      </c>
      <c r="G9516" t="s">
        <v>28676</v>
      </c>
      <c r="H9516" t="s">
        <v>28684</v>
      </c>
      <c r="I9516" t="s">
        <v>6458</v>
      </c>
      <c r="J9516" t="s">
        <v>29088</v>
      </c>
      <c r="K9516" t="s">
        <v>37234</v>
      </c>
      <c r="M9516" t="s">
        <v>40500</v>
      </c>
      <c r="N9516" t="s">
        <v>41249</v>
      </c>
      <c r="O9516" t="s">
        <v>41250</v>
      </c>
      <c r="P9516">
        <v>0</v>
      </c>
      <c r="Q9516">
        <v>0</v>
      </c>
      <c r="R9516" t="s">
        <v>41259</v>
      </c>
      <c r="S9516" t="s">
        <v>41562</v>
      </c>
      <c r="T9516" t="s">
        <v>42727</v>
      </c>
      <c r="U9516" t="s">
        <v>50860</v>
      </c>
      <c r="W9516" t="s">
        <v>40500</v>
      </c>
      <c r="X9516" t="s">
        <v>41260</v>
      </c>
    </row>
    <row r="9517" spans="1:24">
      <c r="A9517">
        <f>HYPERLINK("https://www.philgeps.gov.ph/GEPSNONPILOT/Tender/SplashBidNoticeAbstractUI.aspx?menuIndex=3&amp;refID=7064280&amp;Result=3","7064280")</f>
        <v>0</v>
      </c>
      <c r="B9517" t="s">
        <v>2774</v>
      </c>
      <c r="C9517" t="s">
        <v>12468</v>
      </c>
      <c r="D9517" t="s">
        <v>16642</v>
      </c>
      <c r="E9517" t="s">
        <v>24990</v>
      </c>
      <c r="F9517" t="s">
        <v>28669</v>
      </c>
      <c r="G9517" t="s">
        <v>28675</v>
      </c>
      <c r="H9517" t="s">
        <v>28686</v>
      </c>
      <c r="I9517" t="s">
        <v>28689</v>
      </c>
      <c r="J9517" t="s">
        <v>28878</v>
      </c>
      <c r="K9517" t="s">
        <v>37424</v>
      </c>
      <c r="M9517" t="s">
        <v>40497</v>
      </c>
      <c r="N9517" t="s">
        <v>41249</v>
      </c>
      <c r="O9517" t="s">
        <v>41250</v>
      </c>
      <c r="P9517">
        <v>0</v>
      </c>
      <c r="Q9517">
        <v>0</v>
      </c>
      <c r="R9517" t="s">
        <v>41259</v>
      </c>
      <c r="S9517" t="s">
        <v>41562</v>
      </c>
      <c r="T9517" t="s">
        <v>42760</v>
      </c>
      <c r="U9517" t="s">
        <v>50861</v>
      </c>
      <c r="V9517" t="s">
        <v>55308</v>
      </c>
      <c r="W9517" t="s">
        <v>40497</v>
      </c>
      <c r="X9517" t="s">
        <v>41260</v>
      </c>
    </row>
    <row r="9518" spans="1:24">
      <c r="A9518">
        <f>HYPERLINK("https://www.philgeps.gov.ph/GEPSNONPILOT/Tender/SplashBidNoticeAbstractUI.aspx?menuIndex=3&amp;refID=7064278&amp;Result=3","7064278")</f>
        <v>0</v>
      </c>
      <c r="B9518" t="s">
        <v>2778</v>
      </c>
      <c r="C9518" t="s">
        <v>12469</v>
      </c>
      <c r="E9518" t="s">
        <v>22930</v>
      </c>
      <c r="F9518" t="s">
        <v>28669</v>
      </c>
      <c r="G9518" t="s">
        <v>28676</v>
      </c>
      <c r="H9518" t="s">
        <v>9998</v>
      </c>
      <c r="I9518" t="s">
        <v>28719</v>
      </c>
      <c r="J9518" t="s">
        <v>34726</v>
      </c>
      <c r="K9518" t="s">
        <v>37220</v>
      </c>
      <c r="M9518" t="s">
        <v>40501</v>
      </c>
      <c r="N9518" t="s">
        <v>41249</v>
      </c>
      <c r="O9518" t="s">
        <v>41250</v>
      </c>
      <c r="P9518">
        <v>0</v>
      </c>
      <c r="Q9518">
        <v>3</v>
      </c>
      <c r="R9518" t="s">
        <v>41259</v>
      </c>
      <c r="S9518" t="s">
        <v>41562</v>
      </c>
      <c r="T9518" t="s">
        <v>42758</v>
      </c>
      <c r="U9518" t="s">
        <v>50862</v>
      </c>
      <c r="V9518" t="s">
        <v>55311</v>
      </c>
      <c r="W9518" t="s">
        <v>40501</v>
      </c>
      <c r="X9518" t="s">
        <v>41260</v>
      </c>
    </row>
    <row r="9519" spans="1:24">
      <c r="A9519">
        <f>HYPERLINK("https://www.philgeps.gov.ph/GEPSNONPILOT/Tender/SplashBidNoticeAbstractUI.aspx?menuIndex=3&amp;refID=7064273&amp;Result=3","7064273")</f>
        <v>0</v>
      </c>
      <c r="B9519" t="s">
        <v>2774</v>
      </c>
      <c r="C9519" t="s">
        <v>12470</v>
      </c>
      <c r="D9519" t="s">
        <v>16642</v>
      </c>
      <c r="E9519" t="s">
        <v>24991</v>
      </c>
      <c r="F9519" t="s">
        <v>28669</v>
      </c>
      <c r="G9519" t="s">
        <v>28675</v>
      </c>
      <c r="H9519" t="s">
        <v>28686</v>
      </c>
      <c r="I9519" t="s">
        <v>28689</v>
      </c>
      <c r="J9519" t="s">
        <v>28826</v>
      </c>
      <c r="K9519" t="s">
        <v>37231</v>
      </c>
      <c r="M9519" t="s">
        <v>40497</v>
      </c>
      <c r="N9519" t="s">
        <v>41249</v>
      </c>
      <c r="O9519" t="s">
        <v>41250</v>
      </c>
      <c r="P9519">
        <v>0</v>
      </c>
      <c r="Q9519">
        <v>0</v>
      </c>
      <c r="R9519" t="s">
        <v>41259</v>
      </c>
      <c r="S9519" t="s">
        <v>41562</v>
      </c>
      <c r="T9519" t="s">
        <v>42760</v>
      </c>
      <c r="U9519" t="s">
        <v>50863</v>
      </c>
      <c r="V9519" t="s">
        <v>55308</v>
      </c>
      <c r="W9519" t="s">
        <v>40497</v>
      </c>
      <c r="X9519" t="s">
        <v>41260</v>
      </c>
    </row>
    <row r="9520" spans="1:24">
      <c r="A9520">
        <f>HYPERLINK("https://www.philgeps.gov.ph/GEPSNONPILOT/Tender/SplashBidNoticeAbstractUI.aspx?menuIndex=3&amp;refID=7064302&amp;Result=3","7064302")</f>
        <v>0</v>
      </c>
      <c r="B9520" t="s">
        <v>2781</v>
      </c>
      <c r="C9520" t="s">
        <v>12471</v>
      </c>
      <c r="D9520" t="s">
        <v>16609</v>
      </c>
      <c r="E9520" t="s">
        <v>24992</v>
      </c>
      <c r="F9520" t="s">
        <v>28669</v>
      </c>
      <c r="G9520" t="s">
        <v>28675</v>
      </c>
      <c r="H9520" t="s">
        <v>9998</v>
      </c>
      <c r="I9520" t="s">
        <v>28706</v>
      </c>
      <c r="J9520" t="s">
        <v>34727</v>
      </c>
      <c r="K9520" t="s">
        <v>37210</v>
      </c>
      <c r="M9520" t="s">
        <v>40505</v>
      </c>
      <c r="N9520" t="s">
        <v>41249</v>
      </c>
      <c r="O9520" t="s">
        <v>41250</v>
      </c>
      <c r="P9520">
        <v>0</v>
      </c>
      <c r="Q9520">
        <v>1</v>
      </c>
      <c r="R9520" t="s">
        <v>41259</v>
      </c>
      <c r="S9520" t="s">
        <v>41562</v>
      </c>
      <c r="T9520" t="s">
        <v>42736</v>
      </c>
      <c r="U9520" t="s">
        <v>50864</v>
      </c>
      <c r="V9520" t="s">
        <v>54508</v>
      </c>
      <c r="W9520" t="s">
        <v>40505</v>
      </c>
      <c r="X9520" t="s">
        <v>41260</v>
      </c>
    </row>
    <row r="9521" spans="1:24">
      <c r="A9521">
        <f>HYPERLINK("https://www.philgeps.gov.ph/GEPSNONPILOT/Tender/SplashBidNoticeAbstractUI.aspx?menuIndex=3&amp;refID=7064255&amp;Result=3","7064255")</f>
        <v>0</v>
      </c>
      <c r="B9521" t="s">
        <v>2774</v>
      </c>
      <c r="C9521" t="s">
        <v>12472</v>
      </c>
      <c r="D9521" t="s">
        <v>16642</v>
      </c>
      <c r="E9521" t="s">
        <v>24993</v>
      </c>
      <c r="F9521" t="s">
        <v>28669</v>
      </c>
      <c r="G9521" t="s">
        <v>28675</v>
      </c>
      <c r="H9521" t="s">
        <v>28686</v>
      </c>
      <c r="I9521" t="s">
        <v>28689</v>
      </c>
      <c r="J9521" t="s">
        <v>28878</v>
      </c>
      <c r="K9521" t="s">
        <v>37207</v>
      </c>
      <c r="M9521" t="s">
        <v>40497</v>
      </c>
      <c r="N9521" t="s">
        <v>41249</v>
      </c>
      <c r="O9521" t="s">
        <v>41250</v>
      </c>
      <c r="P9521">
        <v>0</v>
      </c>
      <c r="Q9521">
        <v>0</v>
      </c>
      <c r="R9521" t="s">
        <v>41259</v>
      </c>
      <c r="S9521" t="s">
        <v>41562</v>
      </c>
      <c r="T9521" t="s">
        <v>42760</v>
      </c>
      <c r="U9521" t="s">
        <v>50865</v>
      </c>
      <c r="V9521" t="s">
        <v>55308</v>
      </c>
      <c r="W9521" t="s">
        <v>40497</v>
      </c>
      <c r="X9521" t="s">
        <v>41260</v>
      </c>
    </row>
    <row r="9522" spans="1:24">
      <c r="A9522">
        <f>HYPERLINK("https://www.philgeps.gov.ph/GEPSNONPILOT/Tender/SplashBidNoticeAbstractUI.aspx?menuIndex=3&amp;refID=7064292&amp;Result=3","7064292")</f>
        <v>0</v>
      </c>
      <c r="B9522" t="s">
        <v>2774</v>
      </c>
      <c r="C9522" t="s">
        <v>12473</v>
      </c>
      <c r="D9522" t="s">
        <v>16642</v>
      </c>
      <c r="E9522" t="s">
        <v>24994</v>
      </c>
      <c r="F9522" t="s">
        <v>28669</v>
      </c>
      <c r="G9522" t="s">
        <v>28675</v>
      </c>
      <c r="H9522" t="s">
        <v>28686</v>
      </c>
      <c r="I9522" t="s">
        <v>28689</v>
      </c>
      <c r="J9522" t="s">
        <v>28905</v>
      </c>
      <c r="K9522" t="s">
        <v>37223</v>
      </c>
      <c r="M9522" t="s">
        <v>40497</v>
      </c>
      <c r="N9522" t="s">
        <v>41249</v>
      </c>
      <c r="O9522" t="s">
        <v>41250</v>
      </c>
      <c r="P9522">
        <v>0</v>
      </c>
      <c r="Q9522">
        <v>0</v>
      </c>
      <c r="R9522" t="s">
        <v>41259</v>
      </c>
      <c r="S9522" t="s">
        <v>41562</v>
      </c>
      <c r="T9522" t="s">
        <v>42760</v>
      </c>
      <c r="U9522" t="s">
        <v>50866</v>
      </c>
      <c r="V9522" t="s">
        <v>55308</v>
      </c>
      <c r="W9522" t="s">
        <v>40497</v>
      </c>
      <c r="X9522" t="s">
        <v>41260</v>
      </c>
    </row>
    <row r="9523" spans="1:24">
      <c r="A9523">
        <f>HYPERLINK("https://www.philgeps.gov.ph/GEPSNONPILOT/Tender/SplashBidNoticeAbstractUI.aspx?menuIndex=3&amp;refID=7064300&amp;Result=3","7064300")</f>
        <v>0</v>
      </c>
      <c r="B9523" t="s">
        <v>2774</v>
      </c>
      <c r="C9523" t="s">
        <v>12474</v>
      </c>
      <c r="D9523" t="s">
        <v>16642</v>
      </c>
      <c r="E9523" t="s">
        <v>24995</v>
      </c>
      <c r="F9523" t="s">
        <v>28669</v>
      </c>
      <c r="G9523" t="s">
        <v>28675</v>
      </c>
      <c r="H9523" t="s">
        <v>28686</v>
      </c>
      <c r="I9523" t="s">
        <v>28689</v>
      </c>
      <c r="J9523" t="s">
        <v>28878</v>
      </c>
      <c r="K9523" t="s">
        <v>37223</v>
      </c>
      <c r="M9523" t="s">
        <v>40497</v>
      </c>
      <c r="N9523" t="s">
        <v>41249</v>
      </c>
      <c r="O9523" t="s">
        <v>41250</v>
      </c>
      <c r="P9523">
        <v>0</v>
      </c>
      <c r="Q9523">
        <v>0</v>
      </c>
      <c r="R9523" t="s">
        <v>41259</v>
      </c>
      <c r="S9523" t="s">
        <v>41562</v>
      </c>
      <c r="T9523" t="s">
        <v>42760</v>
      </c>
      <c r="U9523" t="s">
        <v>50866</v>
      </c>
      <c r="V9523" t="s">
        <v>55308</v>
      </c>
      <c r="W9523" t="s">
        <v>40497</v>
      </c>
      <c r="X9523" t="s">
        <v>41260</v>
      </c>
    </row>
    <row r="9524" spans="1:24">
      <c r="A9524">
        <f>HYPERLINK("https://www.philgeps.gov.ph/GEPSNONPILOT/Tender/SplashBidNoticeAbstractUI.aspx?menuIndex=3&amp;refID=7064295&amp;Result=3","7064295")</f>
        <v>0</v>
      </c>
      <c r="B9524" t="s">
        <v>2774</v>
      </c>
      <c r="C9524" t="s">
        <v>12475</v>
      </c>
      <c r="D9524" t="s">
        <v>16642</v>
      </c>
      <c r="E9524" t="s">
        <v>24996</v>
      </c>
      <c r="F9524" t="s">
        <v>28669</v>
      </c>
      <c r="G9524" t="s">
        <v>28675</v>
      </c>
      <c r="H9524" t="s">
        <v>28686</v>
      </c>
      <c r="I9524" t="s">
        <v>28689</v>
      </c>
      <c r="J9524" t="s">
        <v>28905</v>
      </c>
      <c r="K9524" t="s">
        <v>37206</v>
      </c>
      <c r="M9524" t="s">
        <v>40497</v>
      </c>
      <c r="N9524" t="s">
        <v>41249</v>
      </c>
      <c r="O9524" t="s">
        <v>41250</v>
      </c>
      <c r="P9524">
        <v>0</v>
      </c>
      <c r="Q9524">
        <v>0</v>
      </c>
      <c r="R9524" t="s">
        <v>41259</v>
      </c>
      <c r="S9524" t="s">
        <v>41562</v>
      </c>
      <c r="T9524" t="s">
        <v>42760</v>
      </c>
      <c r="U9524" t="s">
        <v>50867</v>
      </c>
      <c r="V9524" t="s">
        <v>55308</v>
      </c>
      <c r="W9524" t="s">
        <v>40497</v>
      </c>
      <c r="X9524" t="s">
        <v>41260</v>
      </c>
    </row>
    <row r="9525" spans="1:24">
      <c r="A9525">
        <f>HYPERLINK("https://www.philgeps.gov.ph/GEPSNONPILOT/Tender/SplashBidNoticeAbstractUI.aspx?menuIndex=3&amp;refID=7064268&amp;Result=3","7064268")</f>
        <v>0</v>
      </c>
      <c r="B9525" t="s">
        <v>2778</v>
      </c>
      <c r="C9525" t="s">
        <v>12476</v>
      </c>
      <c r="D9525" t="s">
        <v>16645</v>
      </c>
      <c r="E9525" t="s">
        <v>24997</v>
      </c>
      <c r="F9525" t="s">
        <v>28669</v>
      </c>
      <c r="G9525" t="s">
        <v>28675</v>
      </c>
      <c r="H9525" t="s">
        <v>9998</v>
      </c>
      <c r="I9525" t="s">
        <v>28696</v>
      </c>
      <c r="J9525" t="s">
        <v>34728</v>
      </c>
      <c r="K9525" t="s">
        <v>37220</v>
      </c>
      <c r="M9525" t="s">
        <v>40501</v>
      </c>
      <c r="N9525" t="s">
        <v>41249</v>
      </c>
      <c r="O9525" t="s">
        <v>41250</v>
      </c>
      <c r="Q9525">
        <v>5</v>
      </c>
      <c r="R9525" t="s">
        <v>41259</v>
      </c>
      <c r="S9525" t="s">
        <v>41614</v>
      </c>
      <c r="T9525" t="s">
        <v>42758</v>
      </c>
      <c r="U9525" t="s">
        <v>50868</v>
      </c>
      <c r="V9525" t="s">
        <v>55313</v>
      </c>
      <c r="W9525" t="s">
        <v>40501</v>
      </c>
      <c r="X9525" t="s">
        <v>41260</v>
      </c>
    </row>
    <row r="9526" spans="1:24">
      <c r="A9526">
        <f>HYPERLINK("https://www.philgeps.gov.ph/GEPSNONPILOT/Tender/SplashBidNoticeAbstractUI.aspx?menuIndex=3&amp;refID=7064275&amp;Result=3","7064275")</f>
        <v>0</v>
      </c>
      <c r="B9526" t="s">
        <v>2774</v>
      </c>
      <c r="C9526" t="s">
        <v>12477</v>
      </c>
      <c r="D9526" t="s">
        <v>16642</v>
      </c>
      <c r="E9526" t="s">
        <v>24998</v>
      </c>
      <c r="F9526" t="s">
        <v>28669</v>
      </c>
      <c r="G9526" t="s">
        <v>28675</v>
      </c>
      <c r="H9526" t="s">
        <v>28686</v>
      </c>
      <c r="I9526" t="s">
        <v>28689</v>
      </c>
      <c r="J9526" t="s">
        <v>28826</v>
      </c>
      <c r="K9526" t="s">
        <v>37231</v>
      </c>
      <c r="M9526" t="s">
        <v>40497</v>
      </c>
      <c r="N9526" t="s">
        <v>41249</v>
      </c>
      <c r="O9526" t="s">
        <v>41250</v>
      </c>
      <c r="P9526">
        <v>0</v>
      </c>
      <c r="Q9526">
        <v>0</v>
      </c>
      <c r="R9526" t="s">
        <v>41259</v>
      </c>
      <c r="S9526" t="s">
        <v>41562</v>
      </c>
      <c r="T9526" t="s">
        <v>42760</v>
      </c>
      <c r="U9526" t="s">
        <v>50863</v>
      </c>
      <c r="V9526" t="s">
        <v>55308</v>
      </c>
      <c r="W9526" t="s">
        <v>40497</v>
      </c>
      <c r="X9526" t="s">
        <v>41260</v>
      </c>
    </row>
    <row r="9527" spans="1:24">
      <c r="A9527">
        <f>HYPERLINK("https://www.philgeps.gov.ph/GEPSNONPILOT/Tender/SplashBidNoticeAbstractUI.aspx?menuIndex=3&amp;refID=7064266&amp;Result=3","7064266")</f>
        <v>0</v>
      </c>
      <c r="B9527" t="s">
        <v>2774</v>
      </c>
      <c r="C9527" t="s">
        <v>12478</v>
      </c>
      <c r="D9527" t="s">
        <v>16642</v>
      </c>
      <c r="E9527" t="s">
        <v>24999</v>
      </c>
      <c r="F9527" t="s">
        <v>28669</v>
      </c>
      <c r="G9527" t="s">
        <v>28675</v>
      </c>
      <c r="H9527" t="s">
        <v>28686</v>
      </c>
      <c r="I9527" t="s">
        <v>28689</v>
      </c>
      <c r="J9527" t="s">
        <v>28905</v>
      </c>
      <c r="K9527" t="s">
        <v>37377</v>
      </c>
      <c r="M9527" t="s">
        <v>40497</v>
      </c>
      <c r="N9527" t="s">
        <v>41249</v>
      </c>
      <c r="O9527" t="s">
        <v>41250</v>
      </c>
      <c r="P9527">
        <v>0</v>
      </c>
      <c r="Q9527">
        <v>0</v>
      </c>
      <c r="R9527" t="s">
        <v>41259</v>
      </c>
      <c r="S9527" t="s">
        <v>41562</v>
      </c>
      <c r="T9527" t="s">
        <v>42760</v>
      </c>
      <c r="U9527" t="s">
        <v>50861</v>
      </c>
      <c r="V9527" t="s">
        <v>55308</v>
      </c>
      <c r="W9527" t="s">
        <v>40497</v>
      </c>
      <c r="X9527" t="s">
        <v>41260</v>
      </c>
    </row>
    <row r="9528" spans="1:24">
      <c r="A9528">
        <f>HYPERLINK("https://www.philgeps.gov.ph/GEPSNONPILOT/Tender/SplashBidNoticeAbstractUI.aspx?menuIndex=3&amp;refID=7064016&amp;Result=3","7064016")</f>
        <v>0</v>
      </c>
      <c r="B9528" t="s">
        <v>1522</v>
      </c>
      <c r="C9528" t="s">
        <v>12479</v>
      </c>
      <c r="D9528" t="s">
        <v>16686</v>
      </c>
      <c r="E9528" t="s">
        <v>25000</v>
      </c>
      <c r="F9528" t="s">
        <v>28669</v>
      </c>
      <c r="G9528" t="s">
        <v>28675</v>
      </c>
      <c r="H9528" t="s">
        <v>9998</v>
      </c>
      <c r="I9528" t="s">
        <v>7352</v>
      </c>
      <c r="J9528" t="s">
        <v>34729</v>
      </c>
      <c r="K9528" t="s">
        <v>37210</v>
      </c>
      <c r="M9528" t="s">
        <v>39573</v>
      </c>
      <c r="N9528" t="s">
        <v>41249</v>
      </c>
      <c r="O9528" t="s">
        <v>41250</v>
      </c>
      <c r="P9528">
        <v>0</v>
      </c>
      <c r="Q9528">
        <v>1</v>
      </c>
      <c r="R9528" t="s">
        <v>41259</v>
      </c>
      <c r="S9528" t="s">
        <v>41562</v>
      </c>
      <c r="T9528" t="s">
        <v>42663</v>
      </c>
      <c r="U9528" t="s">
        <v>50869</v>
      </c>
      <c r="W9528" t="s">
        <v>39573</v>
      </c>
      <c r="X9528" t="s">
        <v>41260</v>
      </c>
    </row>
    <row r="9529" spans="1:24">
      <c r="A9529">
        <f>HYPERLINK("https://www.philgeps.gov.ph/GEPSNONPILOT/Tender/SplashBidNoticeAbstractUI.aspx?menuIndex=3&amp;refID=7064279&amp;Result=3","7064279")</f>
        <v>0</v>
      </c>
      <c r="B9529" t="s">
        <v>2774</v>
      </c>
      <c r="C9529" t="s">
        <v>12480</v>
      </c>
      <c r="D9529" t="s">
        <v>16642</v>
      </c>
      <c r="E9529" t="s">
        <v>25001</v>
      </c>
      <c r="F9529" t="s">
        <v>28669</v>
      </c>
      <c r="G9529" t="s">
        <v>28675</v>
      </c>
      <c r="H9529" t="s">
        <v>28686</v>
      </c>
      <c r="I9529" t="s">
        <v>28689</v>
      </c>
      <c r="J9529" t="s">
        <v>28905</v>
      </c>
      <c r="K9529" t="s">
        <v>37375</v>
      </c>
      <c r="M9529" t="s">
        <v>40497</v>
      </c>
      <c r="N9529" t="s">
        <v>41249</v>
      </c>
      <c r="O9529" t="s">
        <v>41250</v>
      </c>
      <c r="P9529">
        <v>0</v>
      </c>
      <c r="Q9529">
        <v>0</v>
      </c>
      <c r="R9529" t="s">
        <v>41259</v>
      </c>
      <c r="S9529" t="s">
        <v>41562</v>
      </c>
      <c r="T9529" t="s">
        <v>42760</v>
      </c>
      <c r="U9529" t="s">
        <v>50870</v>
      </c>
      <c r="V9529" t="s">
        <v>55308</v>
      </c>
      <c r="W9529" t="s">
        <v>40497</v>
      </c>
      <c r="X9529" t="s">
        <v>41260</v>
      </c>
    </row>
    <row r="9530" spans="1:24">
      <c r="A9530">
        <f>HYPERLINK("https://www.philgeps.gov.ph/GEPSNONPILOT/Tender/SplashBidNoticeAbstractUI.aspx?menuIndex=3&amp;refID=7064269&amp;Result=3","7064269")</f>
        <v>0</v>
      </c>
      <c r="B9530" t="s">
        <v>2774</v>
      </c>
      <c r="C9530" t="s">
        <v>12481</v>
      </c>
      <c r="D9530" t="s">
        <v>16642</v>
      </c>
      <c r="E9530" t="s">
        <v>25002</v>
      </c>
      <c r="F9530" t="s">
        <v>28669</v>
      </c>
      <c r="G9530" t="s">
        <v>28675</v>
      </c>
      <c r="H9530" t="s">
        <v>28686</v>
      </c>
      <c r="I9530" t="s">
        <v>28689</v>
      </c>
      <c r="J9530" t="s">
        <v>28905</v>
      </c>
      <c r="K9530" t="s">
        <v>37377</v>
      </c>
      <c r="M9530" t="s">
        <v>40497</v>
      </c>
      <c r="N9530" t="s">
        <v>41249</v>
      </c>
      <c r="O9530" t="s">
        <v>41250</v>
      </c>
      <c r="P9530">
        <v>0</v>
      </c>
      <c r="Q9530">
        <v>0</v>
      </c>
      <c r="R9530" t="s">
        <v>41259</v>
      </c>
      <c r="S9530" t="s">
        <v>41562</v>
      </c>
      <c r="T9530" t="s">
        <v>42760</v>
      </c>
      <c r="U9530" t="s">
        <v>50861</v>
      </c>
      <c r="V9530" t="s">
        <v>55308</v>
      </c>
      <c r="W9530" t="s">
        <v>40497</v>
      </c>
      <c r="X9530" t="s">
        <v>41260</v>
      </c>
    </row>
    <row r="9531" spans="1:24">
      <c r="A9531">
        <f>HYPERLINK("https://www.philgeps.gov.ph/GEPSNONPILOT/Tender/SplashBidNoticeAbstractUI.aspx?menuIndex=3&amp;refID=7064261&amp;Result=3","7064261")</f>
        <v>0</v>
      </c>
      <c r="B9531" t="s">
        <v>2774</v>
      </c>
      <c r="C9531" t="s">
        <v>12482</v>
      </c>
      <c r="D9531" t="s">
        <v>16642</v>
      </c>
      <c r="E9531" t="s">
        <v>25003</v>
      </c>
      <c r="F9531" t="s">
        <v>28669</v>
      </c>
      <c r="G9531" t="s">
        <v>28675</v>
      </c>
      <c r="H9531" t="s">
        <v>28686</v>
      </c>
      <c r="I9531" t="s">
        <v>28689</v>
      </c>
      <c r="J9531" t="s">
        <v>28879</v>
      </c>
      <c r="K9531" t="s">
        <v>37377</v>
      </c>
      <c r="M9531" t="s">
        <v>40497</v>
      </c>
      <c r="N9531" t="s">
        <v>41249</v>
      </c>
      <c r="O9531" t="s">
        <v>41250</v>
      </c>
      <c r="P9531">
        <v>0</v>
      </c>
      <c r="Q9531">
        <v>0</v>
      </c>
      <c r="R9531" t="s">
        <v>41259</v>
      </c>
      <c r="S9531" t="s">
        <v>41562</v>
      </c>
      <c r="T9531" t="s">
        <v>42760</v>
      </c>
      <c r="U9531" t="s">
        <v>50861</v>
      </c>
      <c r="V9531" t="s">
        <v>55308</v>
      </c>
      <c r="W9531" t="s">
        <v>40497</v>
      </c>
      <c r="X9531" t="s">
        <v>41260</v>
      </c>
    </row>
    <row r="9532" spans="1:24">
      <c r="A9532">
        <f>HYPERLINK("https://www.philgeps.gov.ph/GEPSNONPILOT/Tender/SplashBidNoticeAbstractUI.aspx?menuIndex=3&amp;refID=7064299&amp;Result=3","7064299")</f>
        <v>0</v>
      </c>
      <c r="B9532" t="s">
        <v>2410</v>
      </c>
      <c r="C9532" t="s">
        <v>9080</v>
      </c>
      <c r="D9532" t="s">
        <v>16672</v>
      </c>
      <c r="E9532" t="s">
        <v>17028</v>
      </c>
      <c r="F9532" t="s">
        <v>28669</v>
      </c>
      <c r="G9532" t="s">
        <v>28675</v>
      </c>
      <c r="H9532" t="s">
        <v>28686</v>
      </c>
      <c r="I9532" t="s">
        <v>28689</v>
      </c>
      <c r="J9532" t="s">
        <v>28912</v>
      </c>
      <c r="K9532" t="s">
        <v>37229</v>
      </c>
      <c r="M9532" t="s">
        <v>40092</v>
      </c>
      <c r="N9532" t="s">
        <v>41249</v>
      </c>
      <c r="O9532" t="s">
        <v>41250</v>
      </c>
      <c r="P9532">
        <v>0</v>
      </c>
      <c r="Q9532">
        <v>0</v>
      </c>
      <c r="R9532" t="s">
        <v>41259</v>
      </c>
      <c r="S9532" t="s">
        <v>41562</v>
      </c>
      <c r="T9532" t="s">
        <v>42972</v>
      </c>
      <c r="U9532" t="s">
        <v>50871</v>
      </c>
      <c r="V9532" t="s">
        <v>55140</v>
      </c>
      <c r="W9532" t="s">
        <v>40092</v>
      </c>
      <c r="X9532" t="s">
        <v>41260</v>
      </c>
    </row>
    <row r="9533" spans="1:24">
      <c r="A9533">
        <f>HYPERLINK("https://www.philgeps.gov.ph/GEPSNONPILOT/Tender/SplashBidNoticeAbstractUI.aspx?menuIndex=3&amp;refID=7064306&amp;Result=3","7064306")</f>
        <v>0</v>
      </c>
      <c r="B9533" t="s">
        <v>439</v>
      </c>
      <c r="C9533" t="s">
        <v>12483</v>
      </c>
      <c r="D9533" t="s">
        <v>16608</v>
      </c>
      <c r="E9533" t="s">
        <v>25004</v>
      </c>
      <c r="F9533" t="s">
        <v>28669</v>
      </c>
      <c r="G9533" t="s">
        <v>28675</v>
      </c>
      <c r="H9533" t="s">
        <v>28686</v>
      </c>
      <c r="I9533" t="s">
        <v>28689</v>
      </c>
      <c r="J9533" t="s">
        <v>34730</v>
      </c>
      <c r="K9533" t="s">
        <v>37218</v>
      </c>
      <c r="M9533" t="s">
        <v>37924</v>
      </c>
      <c r="N9533" t="s">
        <v>41249</v>
      </c>
      <c r="O9533" t="s">
        <v>41250</v>
      </c>
      <c r="Q9533">
        <v>17</v>
      </c>
      <c r="R9533" t="s">
        <v>41259</v>
      </c>
      <c r="S9533" t="s">
        <v>41615</v>
      </c>
      <c r="T9533" t="s">
        <v>42782</v>
      </c>
      <c r="U9533" t="s">
        <v>50872</v>
      </c>
      <c r="W9533" t="s">
        <v>37924</v>
      </c>
      <c r="X9533" t="s">
        <v>41260</v>
      </c>
    </row>
    <row r="9534" spans="1:24">
      <c r="A9534">
        <f>HYPERLINK("https://www.philgeps.gov.ph/GEPSNONPILOT/Tender/SplashBidNoticeAbstractUI.aspx?menuIndex=3&amp;refID=7064326&amp;Result=3","7064326")</f>
        <v>0</v>
      </c>
      <c r="B9534" t="s">
        <v>2774</v>
      </c>
      <c r="C9534" t="s">
        <v>12484</v>
      </c>
      <c r="D9534" t="s">
        <v>16642</v>
      </c>
      <c r="E9534" t="s">
        <v>25005</v>
      </c>
      <c r="F9534" t="s">
        <v>28669</v>
      </c>
      <c r="G9534" t="s">
        <v>28675</v>
      </c>
      <c r="H9534" t="s">
        <v>28686</v>
      </c>
      <c r="I9534" t="s">
        <v>28689</v>
      </c>
      <c r="J9534" t="s">
        <v>34731</v>
      </c>
      <c r="K9534" t="s">
        <v>37206</v>
      </c>
      <c r="M9534" t="s">
        <v>40497</v>
      </c>
      <c r="N9534" t="s">
        <v>41249</v>
      </c>
      <c r="O9534" t="s">
        <v>41250</v>
      </c>
      <c r="P9534">
        <v>0</v>
      </c>
      <c r="Q9534">
        <v>0</v>
      </c>
      <c r="R9534" t="s">
        <v>41259</v>
      </c>
      <c r="S9534" t="s">
        <v>41562</v>
      </c>
      <c r="T9534" t="s">
        <v>42760</v>
      </c>
      <c r="U9534" t="s">
        <v>50873</v>
      </c>
      <c r="V9534" t="s">
        <v>55308</v>
      </c>
      <c r="W9534" t="s">
        <v>40497</v>
      </c>
      <c r="X9534" t="s">
        <v>41260</v>
      </c>
    </row>
    <row r="9535" spans="1:24">
      <c r="A9535">
        <f>HYPERLINK("https://www.philgeps.gov.ph/GEPSNONPILOT/Tender/SplashBidNoticeAbstractUI.aspx?menuIndex=3&amp;refID=7064339&amp;Result=3","7064339")</f>
        <v>0</v>
      </c>
      <c r="B9535" t="s">
        <v>2774</v>
      </c>
      <c r="C9535" t="s">
        <v>12485</v>
      </c>
      <c r="D9535" t="s">
        <v>16642</v>
      </c>
      <c r="E9535" t="s">
        <v>25006</v>
      </c>
      <c r="F9535" t="s">
        <v>28669</v>
      </c>
      <c r="G9535" t="s">
        <v>28675</v>
      </c>
      <c r="H9535" t="s">
        <v>28686</v>
      </c>
      <c r="I9535" t="s">
        <v>28689</v>
      </c>
      <c r="J9535" t="s">
        <v>28912</v>
      </c>
      <c r="K9535" t="s">
        <v>37227</v>
      </c>
      <c r="M9535" t="s">
        <v>40497</v>
      </c>
      <c r="N9535" t="s">
        <v>41249</v>
      </c>
      <c r="O9535" t="s">
        <v>41250</v>
      </c>
      <c r="P9535">
        <v>0</v>
      </c>
      <c r="Q9535">
        <v>0</v>
      </c>
      <c r="R9535" t="s">
        <v>41259</v>
      </c>
      <c r="S9535" t="s">
        <v>41562</v>
      </c>
      <c r="T9535" t="s">
        <v>42760</v>
      </c>
      <c r="U9535" t="s">
        <v>50874</v>
      </c>
      <c r="V9535" t="s">
        <v>55308</v>
      </c>
      <c r="W9535" t="s">
        <v>40497</v>
      </c>
      <c r="X9535" t="s">
        <v>41260</v>
      </c>
    </row>
    <row r="9536" spans="1:24">
      <c r="A9536">
        <f>HYPERLINK("https://www.philgeps.gov.ph/GEPSNONPILOT/Tender/SplashBidNoticeAbstractUI.aspx?menuIndex=3&amp;refID=7064320&amp;Result=3","7064320")</f>
        <v>0</v>
      </c>
      <c r="B9536" t="s">
        <v>28</v>
      </c>
      <c r="C9536" t="s">
        <v>12486</v>
      </c>
      <c r="D9536" t="s">
        <v>16610</v>
      </c>
      <c r="E9536" t="s">
        <v>25007</v>
      </c>
      <c r="F9536" t="s">
        <v>28669</v>
      </c>
      <c r="G9536" t="s">
        <v>28675</v>
      </c>
      <c r="H9536" t="s">
        <v>28686</v>
      </c>
      <c r="I9536" t="s">
        <v>28689</v>
      </c>
      <c r="J9536" t="s">
        <v>34732</v>
      </c>
      <c r="K9536" t="s">
        <v>37427</v>
      </c>
      <c r="L9536" t="s">
        <v>28</v>
      </c>
      <c r="M9536" t="s">
        <v>37503</v>
      </c>
      <c r="N9536" t="s">
        <v>41249</v>
      </c>
      <c r="O9536" t="s">
        <v>41250</v>
      </c>
      <c r="P9536">
        <v>0</v>
      </c>
      <c r="Q9536">
        <v>0</v>
      </c>
      <c r="R9536" t="s">
        <v>41259</v>
      </c>
      <c r="S9536" t="s">
        <v>41562</v>
      </c>
      <c r="T9536" t="s">
        <v>42782</v>
      </c>
      <c r="U9536" t="s">
        <v>50875</v>
      </c>
      <c r="W9536" t="s">
        <v>37503</v>
      </c>
      <c r="X9536" t="s">
        <v>41260</v>
      </c>
    </row>
    <row r="9537" spans="1:24">
      <c r="A9537">
        <f>HYPERLINK("https://www.philgeps.gov.ph/GEPSNONPILOT/Tender/SplashBidNoticeAbstractUI.aspx?menuIndex=3&amp;refID=7064319&amp;Result=3","7064319")</f>
        <v>0</v>
      </c>
      <c r="B9537" t="s">
        <v>2774</v>
      </c>
      <c r="C9537" t="s">
        <v>12487</v>
      </c>
      <c r="D9537" t="s">
        <v>16642</v>
      </c>
      <c r="E9537" t="s">
        <v>25008</v>
      </c>
      <c r="F9537" t="s">
        <v>28669</v>
      </c>
      <c r="G9537" t="s">
        <v>28675</v>
      </c>
      <c r="H9537" t="s">
        <v>28686</v>
      </c>
      <c r="I9537" t="s">
        <v>28689</v>
      </c>
      <c r="J9537" t="s">
        <v>28905</v>
      </c>
      <c r="K9537" t="s">
        <v>37206</v>
      </c>
      <c r="M9537" t="s">
        <v>40497</v>
      </c>
      <c r="N9537" t="s">
        <v>41249</v>
      </c>
      <c r="O9537" t="s">
        <v>41250</v>
      </c>
      <c r="P9537">
        <v>0</v>
      </c>
      <c r="Q9537">
        <v>0</v>
      </c>
      <c r="R9537" t="s">
        <v>41259</v>
      </c>
      <c r="S9537" t="s">
        <v>41562</v>
      </c>
      <c r="T9537" t="s">
        <v>42760</v>
      </c>
      <c r="U9537" t="s">
        <v>50876</v>
      </c>
      <c r="V9537" t="s">
        <v>55308</v>
      </c>
      <c r="W9537" t="s">
        <v>40497</v>
      </c>
      <c r="X9537" t="s">
        <v>41260</v>
      </c>
    </row>
    <row r="9538" spans="1:24">
      <c r="A9538">
        <f>HYPERLINK("https://www.philgeps.gov.ph/GEPSNONPILOT/Tender/SplashBidNoticeAbstractUI.aspx?menuIndex=3&amp;refID=7064303&amp;Result=3","7064303")</f>
        <v>0</v>
      </c>
      <c r="B9538" t="s">
        <v>439</v>
      </c>
      <c r="C9538" t="s">
        <v>12488</v>
      </c>
      <c r="D9538" t="s">
        <v>16608</v>
      </c>
      <c r="E9538" t="s">
        <v>25009</v>
      </c>
      <c r="F9538" t="s">
        <v>28669</v>
      </c>
      <c r="G9538" t="s">
        <v>28675</v>
      </c>
      <c r="H9538" t="s">
        <v>28686</v>
      </c>
      <c r="I9538" t="s">
        <v>28689</v>
      </c>
      <c r="J9538" t="s">
        <v>34733</v>
      </c>
      <c r="K9538" t="s">
        <v>37211</v>
      </c>
      <c r="M9538" t="s">
        <v>37924</v>
      </c>
      <c r="N9538" t="s">
        <v>41249</v>
      </c>
      <c r="O9538" t="s">
        <v>41250</v>
      </c>
      <c r="Q9538">
        <v>10</v>
      </c>
      <c r="R9538" t="s">
        <v>41259</v>
      </c>
      <c r="S9538" t="s">
        <v>41616</v>
      </c>
      <c r="T9538" t="s">
        <v>42782</v>
      </c>
      <c r="U9538" t="s">
        <v>50877</v>
      </c>
      <c r="W9538" t="s">
        <v>37924</v>
      </c>
      <c r="X9538" t="s">
        <v>41260</v>
      </c>
    </row>
    <row r="9539" spans="1:24">
      <c r="A9539">
        <f>HYPERLINK("https://www.philgeps.gov.ph/GEPSNONPILOT/Tender/SplashBidNoticeAbstractUI.aspx?menuIndex=3&amp;refID=7064317&amp;Result=3","7064317")</f>
        <v>0</v>
      </c>
      <c r="B9539" t="s">
        <v>2774</v>
      </c>
      <c r="C9539" t="s">
        <v>12489</v>
      </c>
      <c r="D9539" t="s">
        <v>16642</v>
      </c>
      <c r="E9539" t="s">
        <v>25010</v>
      </c>
      <c r="F9539" t="s">
        <v>28669</v>
      </c>
      <c r="G9539" t="s">
        <v>28675</v>
      </c>
      <c r="H9539" t="s">
        <v>28686</v>
      </c>
      <c r="I9539" t="s">
        <v>28689</v>
      </c>
      <c r="J9539" t="s">
        <v>28826</v>
      </c>
      <c r="K9539" t="s">
        <v>37236</v>
      </c>
      <c r="M9539" t="s">
        <v>40497</v>
      </c>
      <c r="N9539" t="s">
        <v>41249</v>
      </c>
      <c r="O9539" t="s">
        <v>41250</v>
      </c>
      <c r="P9539">
        <v>0</v>
      </c>
      <c r="Q9539">
        <v>0</v>
      </c>
      <c r="R9539" t="s">
        <v>41259</v>
      </c>
      <c r="S9539" t="s">
        <v>41562</v>
      </c>
      <c r="T9539" t="s">
        <v>42760</v>
      </c>
      <c r="U9539" t="s">
        <v>50878</v>
      </c>
      <c r="V9539" t="s">
        <v>55308</v>
      </c>
      <c r="W9539" t="s">
        <v>40497</v>
      </c>
      <c r="X9539" t="s">
        <v>41260</v>
      </c>
    </row>
    <row r="9540" spans="1:24">
      <c r="A9540">
        <f>HYPERLINK("https://www.philgeps.gov.ph/GEPSNONPILOT/Tender/SplashBidNoticeAbstractUI.aspx?menuIndex=3&amp;refID=7064313&amp;Result=3","7064313")</f>
        <v>0</v>
      </c>
      <c r="B9540" t="s">
        <v>2774</v>
      </c>
      <c r="C9540" t="s">
        <v>12490</v>
      </c>
      <c r="D9540" t="s">
        <v>16642</v>
      </c>
      <c r="E9540" t="s">
        <v>25011</v>
      </c>
      <c r="F9540" t="s">
        <v>28669</v>
      </c>
      <c r="G9540" t="s">
        <v>28675</v>
      </c>
      <c r="H9540" t="s">
        <v>28686</v>
      </c>
      <c r="I9540" t="s">
        <v>28689</v>
      </c>
      <c r="J9540" t="s">
        <v>28826</v>
      </c>
      <c r="K9540" t="s">
        <v>37231</v>
      </c>
      <c r="M9540" t="s">
        <v>40497</v>
      </c>
      <c r="N9540" t="s">
        <v>41249</v>
      </c>
      <c r="O9540" t="s">
        <v>41250</v>
      </c>
      <c r="P9540">
        <v>0</v>
      </c>
      <c r="Q9540">
        <v>0</v>
      </c>
      <c r="R9540" t="s">
        <v>41259</v>
      </c>
      <c r="S9540" t="s">
        <v>41562</v>
      </c>
      <c r="T9540" t="s">
        <v>42760</v>
      </c>
      <c r="U9540" t="s">
        <v>50879</v>
      </c>
      <c r="V9540" t="s">
        <v>55308</v>
      </c>
      <c r="W9540" t="s">
        <v>40497</v>
      </c>
      <c r="X9540" t="s">
        <v>41260</v>
      </c>
    </row>
    <row r="9541" spans="1:24">
      <c r="A9541">
        <f>HYPERLINK("https://www.philgeps.gov.ph/GEPSNONPILOT/Tender/SplashBidNoticeAbstractUI.aspx?menuIndex=3&amp;refID=7064328&amp;Result=3","7064328")</f>
        <v>0</v>
      </c>
      <c r="B9541" t="s">
        <v>2782</v>
      </c>
      <c r="C9541" t="s">
        <v>9092</v>
      </c>
      <c r="D9541" t="s">
        <v>16658</v>
      </c>
      <c r="E9541" t="s">
        <v>16707</v>
      </c>
      <c r="F9541" t="s">
        <v>28669</v>
      </c>
      <c r="G9541" t="s">
        <v>28675</v>
      </c>
      <c r="H9541" t="s">
        <v>9998</v>
      </c>
      <c r="I9541" t="s">
        <v>7352</v>
      </c>
      <c r="J9541" t="s">
        <v>34734</v>
      </c>
      <c r="K9541" t="s">
        <v>37210</v>
      </c>
      <c r="M9541" t="s">
        <v>40506</v>
      </c>
      <c r="N9541" t="s">
        <v>41249</v>
      </c>
      <c r="O9541" t="s">
        <v>41250</v>
      </c>
      <c r="P9541">
        <v>0</v>
      </c>
      <c r="Q9541">
        <v>0</v>
      </c>
      <c r="R9541" t="s">
        <v>41259</v>
      </c>
      <c r="S9541" t="s">
        <v>41562</v>
      </c>
      <c r="T9541" t="s">
        <v>42767</v>
      </c>
      <c r="U9541" t="s">
        <v>50880</v>
      </c>
      <c r="W9541" t="s">
        <v>40506</v>
      </c>
      <c r="X9541" t="s">
        <v>41260</v>
      </c>
    </row>
    <row r="9542" spans="1:24">
      <c r="A9542">
        <f>HYPERLINK("https://www.philgeps.gov.ph/GEPSNONPILOT/Tender/SplashBidNoticeAbstractUI.aspx?menuIndex=3&amp;refID=7064308&amp;Result=3","7064308")</f>
        <v>0</v>
      </c>
      <c r="B9542" t="s">
        <v>2774</v>
      </c>
      <c r="C9542" t="s">
        <v>12491</v>
      </c>
      <c r="D9542" t="s">
        <v>16642</v>
      </c>
      <c r="E9542" t="s">
        <v>25012</v>
      </c>
      <c r="F9542" t="s">
        <v>28669</v>
      </c>
      <c r="G9542" t="s">
        <v>28675</v>
      </c>
      <c r="H9542" t="s">
        <v>28686</v>
      </c>
      <c r="I9542" t="s">
        <v>28689</v>
      </c>
      <c r="J9542" t="s">
        <v>28879</v>
      </c>
      <c r="K9542" t="s">
        <v>37206</v>
      </c>
      <c r="M9542" t="s">
        <v>40497</v>
      </c>
      <c r="N9542" t="s">
        <v>41249</v>
      </c>
      <c r="O9542" t="s">
        <v>41250</v>
      </c>
      <c r="P9542">
        <v>0</v>
      </c>
      <c r="Q9542">
        <v>0</v>
      </c>
      <c r="R9542" t="s">
        <v>41259</v>
      </c>
      <c r="S9542" t="s">
        <v>41562</v>
      </c>
      <c r="T9542" t="s">
        <v>42760</v>
      </c>
      <c r="U9542" t="s">
        <v>50881</v>
      </c>
      <c r="V9542" t="s">
        <v>55308</v>
      </c>
      <c r="W9542" t="s">
        <v>40497</v>
      </c>
      <c r="X9542" t="s">
        <v>41260</v>
      </c>
    </row>
    <row r="9543" spans="1:24">
      <c r="A9543">
        <f>HYPERLINK("https://www.philgeps.gov.ph/GEPSNONPILOT/Tender/SplashBidNoticeAbstractUI.aspx?menuIndex=3&amp;refID=7064307&amp;Result=3","7064307")</f>
        <v>0</v>
      </c>
      <c r="B9543" t="s">
        <v>2783</v>
      </c>
      <c r="C9543" t="s">
        <v>12492</v>
      </c>
      <c r="D9543" t="s">
        <v>16608</v>
      </c>
      <c r="E9543" t="s">
        <v>25013</v>
      </c>
      <c r="F9543" t="s">
        <v>28669</v>
      </c>
      <c r="G9543" t="s">
        <v>28676</v>
      </c>
      <c r="H9543" t="s">
        <v>9998</v>
      </c>
      <c r="I9543" t="s">
        <v>6128</v>
      </c>
      <c r="J9543" t="s">
        <v>34735</v>
      </c>
      <c r="K9543" t="s">
        <v>37209</v>
      </c>
      <c r="M9543" t="s">
        <v>40507</v>
      </c>
      <c r="N9543" t="s">
        <v>41249</v>
      </c>
      <c r="O9543" t="s">
        <v>41250</v>
      </c>
      <c r="Q9543">
        <v>12</v>
      </c>
      <c r="R9543" t="s">
        <v>41259</v>
      </c>
      <c r="S9543" t="s">
        <v>41617</v>
      </c>
      <c r="T9543" t="s">
        <v>42679</v>
      </c>
      <c r="U9543" t="s">
        <v>50882</v>
      </c>
      <c r="W9543" t="s">
        <v>40507</v>
      </c>
      <c r="X9543" t="s">
        <v>41260</v>
      </c>
    </row>
    <row r="9544" spans="1:24">
      <c r="A9544">
        <f>HYPERLINK("https://www.philgeps.gov.ph/GEPSNONPILOT/Tender/SplashBidNoticeAbstractUI.aspx?menuIndex=3&amp;refID=7064355&amp;Result=3","7064355")</f>
        <v>0</v>
      </c>
      <c r="B9544" t="s">
        <v>743</v>
      </c>
      <c r="C9544" t="s">
        <v>12493</v>
      </c>
      <c r="D9544" t="s">
        <v>16629</v>
      </c>
      <c r="E9544" t="s">
        <v>25014</v>
      </c>
      <c r="F9544" t="s">
        <v>28669</v>
      </c>
      <c r="G9544" t="s">
        <v>28675</v>
      </c>
      <c r="H9544" t="s">
        <v>9998</v>
      </c>
      <c r="I9544" t="s">
        <v>28773</v>
      </c>
      <c r="J9544" t="s">
        <v>34736</v>
      </c>
      <c r="K9544" t="s">
        <v>37205</v>
      </c>
      <c r="M9544" t="s">
        <v>38820</v>
      </c>
      <c r="N9544" t="s">
        <v>41249</v>
      </c>
      <c r="O9544" t="s">
        <v>41250</v>
      </c>
      <c r="P9544">
        <v>0</v>
      </c>
      <c r="Q9544">
        <v>3</v>
      </c>
      <c r="R9544" t="s">
        <v>41259</v>
      </c>
      <c r="S9544" t="s">
        <v>41562</v>
      </c>
      <c r="T9544" t="s">
        <v>43093</v>
      </c>
      <c r="U9544" t="s">
        <v>50883</v>
      </c>
      <c r="V9544" t="s">
        <v>54252</v>
      </c>
      <c r="W9544" t="s">
        <v>38820</v>
      </c>
      <c r="X9544" t="s">
        <v>41260</v>
      </c>
    </row>
    <row r="9545" spans="1:24">
      <c r="A9545">
        <f>HYPERLINK("https://www.philgeps.gov.ph/GEPSNONPILOT/Tender/SplashBidNoticeAbstractUI.aspx?menuIndex=3&amp;refID=7064345&amp;Result=3","7064345")</f>
        <v>0</v>
      </c>
      <c r="B9545" t="s">
        <v>439</v>
      </c>
      <c r="C9545" t="s">
        <v>12494</v>
      </c>
      <c r="D9545" t="s">
        <v>16608</v>
      </c>
      <c r="E9545" t="s">
        <v>25015</v>
      </c>
      <c r="F9545" t="s">
        <v>28669</v>
      </c>
      <c r="G9545" t="s">
        <v>28675</v>
      </c>
      <c r="H9545" t="s">
        <v>28686</v>
      </c>
      <c r="I9545" t="s">
        <v>28689</v>
      </c>
      <c r="J9545" t="s">
        <v>34737</v>
      </c>
      <c r="K9545" t="s">
        <v>37285</v>
      </c>
      <c r="M9545" t="s">
        <v>37924</v>
      </c>
      <c r="N9545" t="s">
        <v>41249</v>
      </c>
      <c r="O9545" t="s">
        <v>41250</v>
      </c>
      <c r="Q9545">
        <v>16</v>
      </c>
      <c r="R9545" t="s">
        <v>41259</v>
      </c>
      <c r="S9545" t="s">
        <v>41618</v>
      </c>
      <c r="T9545" t="s">
        <v>42782</v>
      </c>
      <c r="U9545" t="s">
        <v>50884</v>
      </c>
      <c r="W9545" t="s">
        <v>37924</v>
      </c>
      <c r="X9545" t="s">
        <v>41260</v>
      </c>
    </row>
    <row r="9546" spans="1:24">
      <c r="A9546">
        <f>HYPERLINK("https://www.philgeps.gov.ph/GEPSNONPILOT/Tender/SplashBidNoticeAbstractUI.aspx?menuIndex=3&amp;refID=7064341&amp;Result=3","7064341")</f>
        <v>0</v>
      </c>
      <c r="B9546" t="s">
        <v>439</v>
      </c>
      <c r="C9546" t="s">
        <v>12495</v>
      </c>
      <c r="D9546" t="s">
        <v>16608</v>
      </c>
      <c r="E9546" t="s">
        <v>25016</v>
      </c>
      <c r="F9546" t="s">
        <v>28669</v>
      </c>
      <c r="G9546" t="s">
        <v>28675</v>
      </c>
      <c r="H9546" t="s">
        <v>28686</v>
      </c>
      <c r="I9546" t="s">
        <v>28689</v>
      </c>
      <c r="J9546" t="s">
        <v>34738</v>
      </c>
      <c r="K9546" t="s">
        <v>37285</v>
      </c>
      <c r="M9546" t="s">
        <v>37924</v>
      </c>
      <c r="N9546" t="s">
        <v>41249</v>
      </c>
      <c r="O9546" t="s">
        <v>41250</v>
      </c>
      <c r="Q9546">
        <v>13</v>
      </c>
      <c r="R9546" t="s">
        <v>41259</v>
      </c>
      <c r="S9546" t="s">
        <v>41619</v>
      </c>
      <c r="T9546" t="s">
        <v>42782</v>
      </c>
      <c r="U9546" t="s">
        <v>50885</v>
      </c>
      <c r="W9546" t="s">
        <v>37924</v>
      </c>
      <c r="X9546" t="s">
        <v>41260</v>
      </c>
    </row>
    <row r="9547" spans="1:24">
      <c r="A9547">
        <f>HYPERLINK("https://www.philgeps.gov.ph/GEPSNONPILOT/Tender/SplashBidNoticeAbstractUI.aspx?menuIndex=3&amp;refID=7064340&amp;Result=3","7064340")</f>
        <v>0</v>
      </c>
      <c r="B9547" t="s">
        <v>439</v>
      </c>
      <c r="C9547" t="s">
        <v>12496</v>
      </c>
      <c r="D9547" t="s">
        <v>16608</v>
      </c>
      <c r="E9547" t="s">
        <v>25017</v>
      </c>
      <c r="F9547" t="s">
        <v>28669</v>
      </c>
      <c r="G9547" t="s">
        <v>28675</v>
      </c>
      <c r="H9547" t="s">
        <v>28686</v>
      </c>
      <c r="I9547" t="s">
        <v>28689</v>
      </c>
      <c r="J9547" t="s">
        <v>34739</v>
      </c>
      <c r="K9547" t="s">
        <v>37218</v>
      </c>
      <c r="M9547" t="s">
        <v>37924</v>
      </c>
      <c r="N9547" t="s">
        <v>41249</v>
      </c>
      <c r="O9547" t="s">
        <v>41250</v>
      </c>
      <c r="Q9547">
        <v>13</v>
      </c>
      <c r="R9547" t="s">
        <v>41259</v>
      </c>
      <c r="S9547" t="s">
        <v>41615</v>
      </c>
      <c r="T9547" t="s">
        <v>42782</v>
      </c>
      <c r="U9547" t="s">
        <v>50886</v>
      </c>
      <c r="W9547" t="s">
        <v>37924</v>
      </c>
      <c r="X9547" t="s">
        <v>41260</v>
      </c>
    </row>
    <row r="9548" spans="1:24">
      <c r="A9548">
        <f>HYPERLINK("https://www.philgeps.gov.ph/GEPSNONPILOT/Tender/SplashBidNoticeAbstractUI.aspx?menuIndex=3&amp;refID=7064321&amp;Result=3","7064321")</f>
        <v>0</v>
      </c>
      <c r="B9548" t="s">
        <v>2774</v>
      </c>
      <c r="C9548" t="s">
        <v>12497</v>
      </c>
      <c r="D9548" t="s">
        <v>16642</v>
      </c>
      <c r="E9548" t="s">
        <v>25018</v>
      </c>
      <c r="F9548" t="s">
        <v>28669</v>
      </c>
      <c r="G9548" t="s">
        <v>28675</v>
      </c>
      <c r="H9548" t="s">
        <v>28686</v>
      </c>
      <c r="I9548" t="s">
        <v>28689</v>
      </c>
      <c r="J9548" t="s">
        <v>28905</v>
      </c>
      <c r="K9548" t="s">
        <v>37377</v>
      </c>
      <c r="M9548" t="s">
        <v>40497</v>
      </c>
      <c r="N9548" t="s">
        <v>41249</v>
      </c>
      <c r="O9548" t="s">
        <v>41250</v>
      </c>
      <c r="P9548">
        <v>0</v>
      </c>
      <c r="Q9548">
        <v>0</v>
      </c>
      <c r="R9548" t="s">
        <v>41259</v>
      </c>
      <c r="S9548" t="s">
        <v>41562</v>
      </c>
      <c r="T9548" t="s">
        <v>42760</v>
      </c>
      <c r="U9548" t="s">
        <v>50887</v>
      </c>
      <c r="V9548" t="s">
        <v>55308</v>
      </c>
      <c r="W9548" t="s">
        <v>40497</v>
      </c>
      <c r="X9548" t="s">
        <v>41260</v>
      </c>
    </row>
    <row r="9549" spans="1:24">
      <c r="A9549">
        <f>HYPERLINK("https://www.philgeps.gov.ph/GEPSNONPILOT/Tender/SplashBidNoticeAbstractUI.aspx?menuIndex=3&amp;refID=7064377&amp;Result=3","7064377")</f>
        <v>0</v>
      </c>
      <c r="B9549" t="s">
        <v>2313</v>
      </c>
      <c r="C9549" t="s">
        <v>12498</v>
      </c>
      <c r="D9549" t="s">
        <v>16633</v>
      </c>
      <c r="E9549" t="s">
        <v>25019</v>
      </c>
      <c r="F9549" t="s">
        <v>28669</v>
      </c>
      <c r="G9549" t="s">
        <v>28675</v>
      </c>
      <c r="H9549" t="s">
        <v>28686</v>
      </c>
      <c r="I9549" t="s">
        <v>28689</v>
      </c>
      <c r="J9549" t="s">
        <v>34740</v>
      </c>
      <c r="K9549" t="s">
        <v>37205</v>
      </c>
      <c r="M9549" t="s">
        <v>39973</v>
      </c>
      <c r="N9549" t="s">
        <v>41249</v>
      </c>
      <c r="O9549" t="s">
        <v>41250</v>
      </c>
      <c r="P9549">
        <v>0</v>
      </c>
      <c r="Q9549">
        <v>1</v>
      </c>
      <c r="R9549" t="s">
        <v>41259</v>
      </c>
      <c r="S9549" t="s">
        <v>41562</v>
      </c>
      <c r="T9549" t="s">
        <v>42679</v>
      </c>
      <c r="U9549" t="s">
        <v>50888</v>
      </c>
      <c r="W9549" t="s">
        <v>39973</v>
      </c>
      <c r="X9549" t="s">
        <v>41260</v>
      </c>
    </row>
    <row r="9550" spans="1:24">
      <c r="A9550">
        <f>HYPERLINK("https://www.philgeps.gov.ph/GEPSNONPILOT/Tender/SplashBidNoticeAbstractUI.aspx?menuIndex=3&amp;refID=7064435&amp;Result=3","7064435")</f>
        <v>0</v>
      </c>
      <c r="B9550" t="s">
        <v>142</v>
      </c>
      <c r="C9550" t="s">
        <v>12499</v>
      </c>
      <c r="E9550" t="s">
        <v>25020</v>
      </c>
      <c r="F9550" t="s">
        <v>28669</v>
      </c>
      <c r="G9550" t="s">
        <v>28682</v>
      </c>
      <c r="H9550" t="s">
        <v>9998</v>
      </c>
      <c r="I9550" t="s">
        <v>28746</v>
      </c>
      <c r="J9550" t="s">
        <v>32945</v>
      </c>
      <c r="K9550" t="s">
        <v>37209</v>
      </c>
      <c r="M9550" t="s">
        <v>40508</v>
      </c>
      <c r="N9550" t="s">
        <v>41249</v>
      </c>
      <c r="O9550" t="s">
        <v>41250</v>
      </c>
      <c r="Q9550">
        <v>8</v>
      </c>
      <c r="R9550" t="s">
        <v>41259</v>
      </c>
      <c r="S9550" t="s">
        <v>41620</v>
      </c>
      <c r="T9550" t="s">
        <v>42761</v>
      </c>
      <c r="U9550" t="s">
        <v>50889</v>
      </c>
      <c r="V9550" t="s">
        <v>55314</v>
      </c>
      <c r="W9550" t="s">
        <v>40508</v>
      </c>
      <c r="X9550" t="s">
        <v>41260</v>
      </c>
    </row>
    <row r="9551" spans="1:24">
      <c r="A9551">
        <f>HYPERLINK("https://www.philgeps.gov.ph/GEPSNONPILOT/Tender/SplashBidNoticeAbstractUI.aspx?menuIndex=3&amp;refID=7064342&amp;Result=3","7064342")</f>
        <v>0</v>
      </c>
      <c r="B9551" t="s">
        <v>743</v>
      </c>
      <c r="C9551" t="s">
        <v>12500</v>
      </c>
      <c r="D9551" t="s">
        <v>16629</v>
      </c>
      <c r="E9551" t="s">
        <v>25021</v>
      </c>
      <c r="F9551" t="s">
        <v>28669</v>
      </c>
      <c r="G9551" t="s">
        <v>28675</v>
      </c>
      <c r="H9551" t="s">
        <v>9998</v>
      </c>
      <c r="I9551" t="s">
        <v>11593</v>
      </c>
      <c r="J9551" t="s">
        <v>30002</v>
      </c>
      <c r="K9551" t="s">
        <v>37205</v>
      </c>
      <c r="M9551" t="s">
        <v>38820</v>
      </c>
      <c r="N9551" t="s">
        <v>41249</v>
      </c>
      <c r="O9551" t="s">
        <v>41250</v>
      </c>
      <c r="P9551">
        <v>0</v>
      </c>
      <c r="Q9551">
        <v>1</v>
      </c>
      <c r="R9551" t="s">
        <v>41259</v>
      </c>
      <c r="S9551" t="s">
        <v>41562</v>
      </c>
      <c r="T9551" t="s">
        <v>43093</v>
      </c>
      <c r="U9551" t="s">
        <v>50890</v>
      </c>
      <c r="V9551" t="s">
        <v>54252</v>
      </c>
      <c r="W9551" t="s">
        <v>38820</v>
      </c>
      <c r="X9551" t="s">
        <v>41260</v>
      </c>
    </row>
    <row r="9552" spans="1:24">
      <c r="A9552">
        <f>HYPERLINK("https://www.philgeps.gov.ph/GEPSNONPILOT/Tender/SplashBidNoticeAbstractUI.aspx?menuIndex=3&amp;refID=7064250&amp;Result=3","7064250")</f>
        <v>0</v>
      </c>
      <c r="B9552" t="s">
        <v>2365</v>
      </c>
      <c r="C9552" t="s">
        <v>12501</v>
      </c>
      <c r="D9552" t="s">
        <v>16628</v>
      </c>
      <c r="E9552" t="s">
        <v>25022</v>
      </c>
      <c r="F9552" t="s">
        <v>28669</v>
      </c>
      <c r="G9552" t="s">
        <v>28675</v>
      </c>
      <c r="H9552" t="s">
        <v>9998</v>
      </c>
      <c r="I9552" t="s">
        <v>7352</v>
      </c>
      <c r="J9552" t="s">
        <v>34741</v>
      </c>
      <c r="K9552" t="s">
        <v>37205</v>
      </c>
      <c r="M9552" t="s">
        <v>40034</v>
      </c>
      <c r="N9552" t="s">
        <v>41249</v>
      </c>
      <c r="O9552" t="s">
        <v>41250</v>
      </c>
      <c r="P9552">
        <v>0</v>
      </c>
      <c r="Q9552">
        <v>2</v>
      </c>
      <c r="R9552" t="s">
        <v>41259</v>
      </c>
      <c r="S9552" t="s">
        <v>41562</v>
      </c>
      <c r="T9552" t="s">
        <v>42764</v>
      </c>
      <c r="U9552" t="s">
        <v>50143</v>
      </c>
      <c r="W9552" t="s">
        <v>40034</v>
      </c>
      <c r="X9552" t="s">
        <v>41260</v>
      </c>
    </row>
    <row r="9553" spans="1:24">
      <c r="A9553">
        <f>HYPERLINK("https://www.philgeps.gov.ph/GEPSNONPILOT/Tender/SplashBidNoticeAbstractUI.aspx?menuIndex=3&amp;refID=7064434&amp;Result=3","7064434")</f>
        <v>0</v>
      </c>
      <c r="B9553" t="s">
        <v>2784</v>
      </c>
      <c r="C9553" t="s">
        <v>12502</v>
      </c>
      <c r="D9553" t="s">
        <v>16626</v>
      </c>
      <c r="E9553" t="s">
        <v>25023</v>
      </c>
      <c r="F9553" t="s">
        <v>28669</v>
      </c>
      <c r="G9553" t="s">
        <v>28675</v>
      </c>
      <c r="H9553" t="s">
        <v>28686</v>
      </c>
      <c r="I9553" t="s">
        <v>28689</v>
      </c>
      <c r="J9553" t="s">
        <v>34742</v>
      </c>
      <c r="K9553" t="s">
        <v>37215</v>
      </c>
      <c r="M9553" t="s">
        <v>40509</v>
      </c>
      <c r="N9553" t="s">
        <v>41249</v>
      </c>
      <c r="O9553" t="s">
        <v>41250</v>
      </c>
      <c r="P9553">
        <v>0</v>
      </c>
      <c r="Q9553">
        <v>2</v>
      </c>
      <c r="R9553" t="s">
        <v>41259</v>
      </c>
      <c r="S9553" t="s">
        <v>41562</v>
      </c>
      <c r="T9553" t="s">
        <v>43097</v>
      </c>
      <c r="U9553" t="s">
        <v>50891</v>
      </c>
      <c r="V9553" t="s">
        <v>55315</v>
      </c>
      <c r="W9553" t="s">
        <v>56012</v>
      </c>
      <c r="X9553" t="s">
        <v>41260</v>
      </c>
    </row>
    <row r="9554" spans="1:24">
      <c r="A9554">
        <f>HYPERLINK("https://www.philgeps.gov.ph/GEPSNONPILOT/Tender/SplashBidNoticeAbstractUI.aspx?menuIndex=3&amp;refID=7064429&amp;Result=3","7064429")</f>
        <v>0</v>
      </c>
      <c r="B9554" t="s">
        <v>2313</v>
      </c>
      <c r="C9554" t="s">
        <v>12503</v>
      </c>
      <c r="D9554" t="s">
        <v>16633</v>
      </c>
      <c r="E9554" t="s">
        <v>12503</v>
      </c>
      <c r="F9554" t="s">
        <v>28669</v>
      </c>
      <c r="G9554" t="s">
        <v>28675</v>
      </c>
      <c r="H9554" t="s">
        <v>28686</v>
      </c>
      <c r="I9554" t="s">
        <v>28689</v>
      </c>
      <c r="J9554" t="s">
        <v>34743</v>
      </c>
      <c r="K9554" t="s">
        <v>37227</v>
      </c>
      <c r="M9554" t="s">
        <v>39973</v>
      </c>
      <c r="N9554" t="s">
        <v>41249</v>
      </c>
      <c r="O9554" t="s">
        <v>41250</v>
      </c>
      <c r="P9554">
        <v>0</v>
      </c>
      <c r="Q9554">
        <v>1</v>
      </c>
      <c r="R9554" t="s">
        <v>41259</v>
      </c>
      <c r="S9554" t="s">
        <v>41562</v>
      </c>
      <c r="T9554" t="s">
        <v>42679</v>
      </c>
      <c r="U9554" t="s">
        <v>50892</v>
      </c>
      <c r="W9554" t="s">
        <v>39973</v>
      </c>
      <c r="X9554" t="s">
        <v>41260</v>
      </c>
    </row>
    <row r="9555" spans="1:24">
      <c r="A9555">
        <f>HYPERLINK("https://www.philgeps.gov.ph/GEPSNONPILOT/Tender/SplashBidNoticeAbstractUI.aspx?menuIndex=3&amp;refID=7064418&amp;Result=3","7064418")</f>
        <v>0</v>
      </c>
      <c r="B9555" t="s">
        <v>823</v>
      </c>
      <c r="C9555" t="s">
        <v>11676</v>
      </c>
      <c r="D9555" t="s">
        <v>16626</v>
      </c>
      <c r="E9555" t="s">
        <v>25024</v>
      </c>
      <c r="F9555" t="s">
        <v>28669</v>
      </c>
      <c r="G9555" t="s">
        <v>28675</v>
      </c>
      <c r="H9555" t="s">
        <v>9998</v>
      </c>
      <c r="I9555" t="s">
        <v>28709</v>
      </c>
      <c r="J9555" t="s">
        <v>29404</v>
      </c>
      <c r="K9555" t="s">
        <v>37234</v>
      </c>
      <c r="M9555" t="s">
        <v>38339</v>
      </c>
      <c r="N9555" t="s">
        <v>41249</v>
      </c>
      <c r="O9555" t="s">
        <v>41250</v>
      </c>
      <c r="P9555">
        <v>0</v>
      </c>
      <c r="Q9555">
        <v>0</v>
      </c>
      <c r="R9555" t="s">
        <v>41259</v>
      </c>
      <c r="S9555" t="s">
        <v>41562</v>
      </c>
      <c r="T9555" t="s">
        <v>42729</v>
      </c>
      <c r="U9555" t="s">
        <v>50893</v>
      </c>
      <c r="W9555" t="s">
        <v>38339</v>
      </c>
      <c r="X9555" t="s">
        <v>41260</v>
      </c>
    </row>
    <row r="9556" spans="1:24">
      <c r="A9556">
        <f>HYPERLINK("https://www.philgeps.gov.ph/GEPSNONPILOT/Tender/SplashBidNoticeAbstractUI.aspx?menuIndex=3&amp;refID=7064413&amp;Result=3","7064413")</f>
        <v>0</v>
      </c>
      <c r="B9556" t="s">
        <v>1611</v>
      </c>
      <c r="C9556" t="s">
        <v>12504</v>
      </c>
      <c r="D9556" t="s">
        <v>16608</v>
      </c>
      <c r="E9556" t="s">
        <v>25025</v>
      </c>
      <c r="F9556" t="s">
        <v>28669</v>
      </c>
      <c r="G9556" t="s">
        <v>28675</v>
      </c>
      <c r="H9556" t="s">
        <v>9998</v>
      </c>
      <c r="I9556" t="s">
        <v>28693</v>
      </c>
      <c r="J9556" t="s">
        <v>29655</v>
      </c>
      <c r="K9556" t="s">
        <v>37213</v>
      </c>
      <c r="M9556" t="s">
        <v>39195</v>
      </c>
      <c r="N9556" t="s">
        <v>41249</v>
      </c>
      <c r="O9556" t="s">
        <v>41250</v>
      </c>
      <c r="P9556">
        <v>0</v>
      </c>
      <c r="Q9556">
        <v>18</v>
      </c>
      <c r="R9556" t="s">
        <v>41259</v>
      </c>
      <c r="S9556" t="s">
        <v>41562</v>
      </c>
      <c r="T9556" t="s">
        <v>42755</v>
      </c>
      <c r="U9556" t="s">
        <v>50894</v>
      </c>
      <c r="W9556" t="s">
        <v>39195</v>
      </c>
      <c r="X9556" t="s">
        <v>41260</v>
      </c>
    </row>
    <row r="9557" spans="1:24">
      <c r="A9557">
        <f>HYPERLINK("https://www.philgeps.gov.ph/GEPSNONPILOT/Tender/SplashBidNoticeAbstractUI.aspx?menuIndex=3&amp;refID=7064409&amp;Result=3","7064409")</f>
        <v>0</v>
      </c>
      <c r="B9557" t="s">
        <v>721</v>
      </c>
      <c r="C9557" t="s">
        <v>12505</v>
      </c>
      <c r="D9557" t="s">
        <v>16680</v>
      </c>
      <c r="E9557" t="s">
        <v>25026</v>
      </c>
      <c r="F9557" t="s">
        <v>28669</v>
      </c>
      <c r="G9557" t="s">
        <v>28675</v>
      </c>
      <c r="H9557" t="s">
        <v>28686</v>
      </c>
      <c r="I9557" t="s">
        <v>28689</v>
      </c>
      <c r="J9557" t="s">
        <v>34744</v>
      </c>
      <c r="K9557" t="s">
        <v>37215</v>
      </c>
      <c r="M9557" t="s">
        <v>38229</v>
      </c>
      <c r="N9557" t="s">
        <v>41249</v>
      </c>
      <c r="O9557" t="s">
        <v>41250</v>
      </c>
      <c r="P9557">
        <v>0</v>
      </c>
      <c r="Q9557">
        <v>1</v>
      </c>
      <c r="R9557" t="s">
        <v>41259</v>
      </c>
      <c r="S9557" t="s">
        <v>41562</v>
      </c>
      <c r="T9557" t="s">
        <v>42760</v>
      </c>
      <c r="U9557" t="s">
        <v>50895</v>
      </c>
      <c r="W9557" t="s">
        <v>38229</v>
      </c>
      <c r="X9557" t="s">
        <v>41260</v>
      </c>
    </row>
    <row r="9558" spans="1:24">
      <c r="A9558">
        <f>HYPERLINK("https://www.philgeps.gov.ph/GEPSNONPILOT/Tender/SplashBidNoticeAbstractUI.aspx?menuIndex=3&amp;refID=7064360&amp;Result=3","7064360")</f>
        <v>0</v>
      </c>
      <c r="B9558" t="s">
        <v>2785</v>
      </c>
      <c r="C9558" t="s">
        <v>9092</v>
      </c>
      <c r="D9558" t="s">
        <v>16658</v>
      </c>
      <c r="E9558" t="s">
        <v>16707</v>
      </c>
      <c r="F9558" t="s">
        <v>28669</v>
      </c>
      <c r="G9558" t="s">
        <v>28675</v>
      </c>
      <c r="H9558" t="s">
        <v>9998</v>
      </c>
      <c r="I9558" t="s">
        <v>7352</v>
      </c>
      <c r="J9558" t="s">
        <v>34745</v>
      </c>
      <c r="K9558" t="s">
        <v>37210</v>
      </c>
      <c r="M9558" t="s">
        <v>40510</v>
      </c>
      <c r="N9558" t="s">
        <v>41249</v>
      </c>
      <c r="O9558" t="s">
        <v>41250</v>
      </c>
      <c r="P9558">
        <v>0</v>
      </c>
      <c r="Q9558">
        <v>0</v>
      </c>
      <c r="R9558" t="s">
        <v>41259</v>
      </c>
      <c r="S9558" t="s">
        <v>41562</v>
      </c>
      <c r="T9558" t="s">
        <v>42767</v>
      </c>
      <c r="U9558" t="s">
        <v>50896</v>
      </c>
      <c r="W9558" t="s">
        <v>40510</v>
      </c>
      <c r="X9558" t="s">
        <v>41260</v>
      </c>
    </row>
    <row r="9559" spans="1:24">
      <c r="A9559">
        <f>HYPERLINK("https://www.philgeps.gov.ph/GEPSNONPILOT/Tender/SplashBidNoticeAbstractUI.aspx?menuIndex=3&amp;refID=7064440&amp;Result=3","7064440")</f>
        <v>0</v>
      </c>
      <c r="B9559" t="s">
        <v>2786</v>
      </c>
      <c r="C9559" t="s">
        <v>12506</v>
      </c>
      <c r="D9559" t="s">
        <v>16608</v>
      </c>
      <c r="E9559" t="s">
        <v>25027</v>
      </c>
      <c r="F9559" t="s">
        <v>28669</v>
      </c>
      <c r="G9559" t="s">
        <v>28675</v>
      </c>
      <c r="H9559" t="s">
        <v>9998</v>
      </c>
      <c r="I9559" t="s">
        <v>5213</v>
      </c>
      <c r="J9559" t="s">
        <v>34746</v>
      </c>
      <c r="K9559" t="s">
        <v>37243</v>
      </c>
      <c r="M9559" t="s">
        <v>40511</v>
      </c>
      <c r="N9559" t="s">
        <v>41249</v>
      </c>
      <c r="O9559" t="s">
        <v>41250</v>
      </c>
      <c r="P9559">
        <v>0</v>
      </c>
      <c r="Q9559">
        <v>5</v>
      </c>
      <c r="R9559" t="s">
        <v>41259</v>
      </c>
      <c r="S9559" t="s">
        <v>41562</v>
      </c>
      <c r="T9559" t="s">
        <v>42727</v>
      </c>
      <c r="U9559" t="s">
        <v>50897</v>
      </c>
      <c r="V9559" t="s">
        <v>55316</v>
      </c>
      <c r="W9559" t="s">
        <v>40511</v>
      </c>
      <c r="X9559" t="s">
        <v>41260</v>
      </c>
    </row>
    <row r="9560" spans="1:24">
      <c r="A9560">
        <f>HYPERLINK("https://www.philgeps.gov.ph/GEPSNONPILOT/Tender/SplashBidNoticeAbstractUI.aspx?menuIndex=3&amp;refID=7064329&amp;Result=3","7064329")</f>
        <v>0</v>
      </c>
      <c r="B9560" t="s">
        <v>2774</v>
      </c>
      <c r="C9560" t="s">
        <v>12507</v>
      </c>
      <c r="D9560" t="s">
        <v>16642</v>
      </c>
      <c r="E9560" t="s">
        <v>25028</v>
      </c>
      <c r="F9560" t="s">
        <v>28669</v>
      </c>
      <c r="G9560" t="s">
        <v>28675</v>
      </c>
      <c r="H9560" t="s">
        <v>28686</v>
      </c>
      <c r="I9560" t="s">
        <v>28689</v>
      </c>
      <c r="J9560" t="s">
        <v>28912</v>
      </c>
      <c r="K9560" t="s">
        <v>37284</v>
      </c>
      <c r="M9560" t="s">
        <v>40497</v>
      </c>
      <c r="N9560" t="s">
        <v>41249</v>
      </c>
      <c r="O9560" t="s">
        <v>41250</v>
      </c>
      <c r="P9560">
        <v>0</v>
      </c>
      <c r="Q9560">
        <v>0</v>
      </c>
      <c r="R9560" t="s">
        <v>41259</v>
      </c>
      <c r="S9560" t="s">
        <v>41562</v>
      </c>
      <c r="T9560" t="s">
        <v>42760</v>
      </c>
      <c r="U9560" t="s">
        <v>50878</v>
      </c>
      <c r="V9560" t="s">
        <v>55308</v>
      </c>
      <c r="W9560" t="s">
        <v>40497</v>
      </c>
      <c r="X9560" t="s">
        <v>41260</v>
      </c>
    </row>
    <row r="9561" spans="1:24">
      <c r="A9561">
        <f>HYPERLINK("https://www.philgeps.gov.ph/GEPSNONPILOT/Tender/SplashBidNoticeAbstractUI.aspx?menuIndex=3&amp;refID=7064439&amp;Result=3","7064439")</f>
        <v>0</v>
      </c>
      <c r="B9561" t="s">
        <v>2787</v>
      </c>
      <c r="C9561" t="s">
        <v>12508</v>
      </c>
      <c r="D9561" t="s">
        <v>16608</v>
      </c>
      <c r="E9561" t="s">
        <v>25029</v>
      </c>
      <c r="F9561" t="s">
        <v>28669</v>
      </c>
      <c r="G9561" t="s">
        <v>28675</v>
      </c>
      <c r="H9561" t="s">
        <v>28686</v>
      </c>
      <c r="I9561" t="s">
        <v>28689</v>
      </c>
      <c r="J9561" t="s">
        <v>34747</v>
      </c>
      <c r="K9561" t="s">
        <v>37215</v>
      </c>
      <c r="M9561" t="s">
        <v>40512</v>
      </c>
      <c r="N9561" t="s">
        <v>41249</v>
      </c>
      <c r="O9561" t="s">
        <v>41250</v>
      </c>
      <c r="P9561">
        <v>0</v>
      </c>
      <c r="Q9561">
        <v>3</v>
      </c>
      <c r="R9561" t="s">
        <v>41259</v>
      </c>
      <c r="S9561" t="s">
        <v>41562</v>
      </c>
      <c r="T9561" t="s">
        <v>42660</v>
      </c>
      <c r="U9561" t="s">
        <v>50898</v>
      </c>
      <c r="W9561" t="s">
        <v>40512</v>
      </c>
      <c r="X9561" t="s">
        <v>41260</v>
      </c>
    </row>
    <row r="9562" spans="1:24">
      <c r="A9562">
        <f>HYPERLINK("https://www.philgeps.gov.ph/GEPSNONPILOT/Tender/SplashBidNoticeAbstractUI.aspx?menuIndex=3&amp;refID=7064437&amp;Result=3","7064437")</f>
        <v>0</v>
      </c>
      <c r="B9562" t="s">
        <v>2382</v>
      </c>
      <c r="C9562" t="s">
        <v>12509</v>
      </c>
      <c r="D9562" t="s">
        <v>16626</v>
      </c>
      <c r="E9562" t="s">
        <v>17947</v>
      </c>
      <c r="F9562" t="s">
        <v>28669</v>
      </c>
      <c r="G9562" t="s">
        <v>28675</v>
      </c>
      <c r="H9562" t="s">
        <v>9998</v>
      </c>
      <c r="I9562" t="s">
        <v>6128</v>
      </c>
      <c r="J9562" t="s">
        <v>34748</v>
      </c>
      <c r="K9562" t="s">
        <v>37234</v>
      </c>
      <c r="M9562" t="s">
        <v>40055</v>
      </c>
      <c r="N9562" t="s">
        <v>41249</v>
      </c>
      <c r="O9562" t="s">
        <v>41250</v>
      </c>
      <c r="P9562">
        <v>0</v>
      </c>
      <c r="Q9562">
        <v>0</v>
      </c>
      <c r="R9562" t="s">
        <v>41259</v>
      </c>
      <c r="S9562" t="s">
        <v>41562</v>
      </c>
      <c r="T9562" t="s">
        <v>42689</v>
      </c>
      <c r="U9562" t="s">
        <v>50899</v>
      </c>
      <c r="W9562" t="s">
        <v>40055</v>
      </c>
      <c r="X9562" t="s">
        <v>41260</v>
      </c>
    </row>
    <row r="9563" spans="1:24">
      <c r="A9563">
        <f>HYPERLINK("https://www.philgeps.gov.ph/GEPSNONPILOT/Tender/SplashBidNoticeAbstractUI.aspx?menuIndex=3&amp;refID=7064400&amp;Result=3","7064400")</f>
        <v>0</v>
      </c>
      <c r="B9563" t="s">
        <v>2788</v>
      </c>
      <c r="C9563" t="s">
        <v>12510</v>
      </c>
      <c r="D9563" t="s">
        <v>16608</v>
      </c>
      <c r="E9563" t="s">
        <v>25030</v>
      </c>
      <c r="F9563" t="s">
        <v>28669</v>
      </c>
      <c r="G9563" t="s">
        <v>28676</v>
      </c>
      <c r="H9563" t="s">
        <v>9998</v>
      </c>
      <c r="I9563" t="s">
        <v>28693</v>
      </c>
      <c r="J9563" t="s">
        <v>28905</v>
      </c>
      <c r="K9563" t="s">
        <v>37214</v>
      </c>
      <c r="M9563" t="s">
        <v>40513</v>
      </c>
      <c r="N9563" t="s">
        <v>41249</v>
      </c>
      <c r="O9563" t="s">
        <v>41250</v>
      </c>
      <c r="P9563">
        <v>0</v>
      </c>
      <c r="Q9563">
        <v>15</v>
      </c>
      <c r="R9563" t="s">
        <v>41259</v>
      </c>
      <c r="S9563" t="s">
        <v>41562</v>
      </c>
      <c r="T9563" t="s">
        <v>42914</v>
      </c>
      <c r="U9563" t="s">
        <v>50900</v>
      </c>
      <c r="V9563" t="s">
        <v>55317</v>
      </c>
      <c r="W9563" t="s">
        <v>40513</v>
      </c>
      <c r="X9563" t="s">
        <v>41260</v>
      </c>
    </row>
    <row r="9564" spans="1:24">
      <c r="A9564">
        <f>HYPERLINK("https://www.philgeps.gov.ph/GEPSNONPILOT/Tender/SplashBidNoticeAbstractUI.aspx?menuIndex=3&amp;refID=7064391&amp;Result=3","7064391")</f>
        <v>0</v>
      </c>
      <c r="B9564" t="s">
        <v>2313</v>
      </c>
      <c r="C9564" t="s">
        <v>12511</v>
      </c>
      <c r="D9564" t="s">
        <v>16633</v>
      </c>
      <c r="E9564" t="s">
        <v>25031</v>
      </c>
      <c r="F9564" t="s">
        <v>28669</v>
      </c>
      <c r="G9564" t="s">
        <v>28675</v>
      </c>
      <c r="H9564" t="s">
        <v>28686</v>
      </c>
      <c r="I9564" t="s">
        <v>28689</v>
      </c>
      <c r="J9564" t="s">
        <v>34749</v>
      </c>
      <c r="K9564" t="s">
        <v>37206</v>
      </c>
      <c r="M9564" t="s">
        <v>39973</v>
      </c>
      <c r="N9564" t="s">
        <v>41249</v>
      </c>
      <c r="O9564" t="s">
        <v>41250</v>
      </c>
      <c r="P9564">
        <v>0</v>
      </c>
      <c r="Q9564">
        <v>0</v>
      </c>
      <c r="R9564" t="s">
        <v>41259</v>
      </c>
      <c r="S9564" t="s">
        <v>41562</v>
      </c>
      <c r="T9564" t="s">
        <v>42742</v>
      </c>
      <c r="U9564" t="s">
        <v>50901</v>
      </c>
      <c r="W9564" t="s">
        <v>39973</v>
      </c>
      <c r="X9564" t="s">
        <v>41260</v>
      </c>
    </row>
    <row r="9565" spans="1:24">
      <c r="A9565">
        <f>HYPERLINK("https://www.philgeps.gov.ph/GEPSNONPILOT/Tender/SplashBidNoticeAbstractUI.aspx?menuIndex=3&amp;refID=7064356&amp;Result=3","7064356")</f>
        <v>0</v>
      </c>
      <c r="B9565" t="s">
        <v>2789</v>
      </c>
      <c r="C9565" t="s">
        <v>12512</v>
      </c>
      <c r="D9565" t="s">
        <v>16640</v>
      </c>
      <c r="E9565" t="s">
        <v>20072</v>
      </c>
      <c r="F9565" t="s">
        <v>28669</v>
      </c>
      <c r="G9565" t="s">
        <v>28675</v>
      </c>
      <c r="H9565" t="s">
        <v>9998</v>
      </c>
      <c r="I9565" t="s">
        <v>3718</v>
      </c>
      <c r="J9565" t="s">
        <v>28834</v>
      </c>
      <c r="K9565" t="s">
        <v>37210</v>
      </c>
      <c r="M9565" t="s">
        <v>40514</v>
      </c>
      <c r="N9565" t="s">
        <v>41249</v>
      </c>
      <c r="O9565" t="s">
        <v>41250</v>
      </c>
      <c r="P9565">
        <v>0</v>
      </c>
      <c r="Q9565">
        <v>1</v>
      </c>
      <c r="R9565" t="s">
        <v>41259</v>
      </c>
      <c r="S9565" t="s">
        <v>41562</v>
      </c>
      <c r="T9565" t="s">
        <v>42727</v>
      </c>
      <c r="U9565" t="s">
        <v>50902</v>
      </c>
      <c r="V9565" t="s">
        <v>55318</v>
      </c>
      <c r="W9565" t="s">
        <v>40514</v>
      </c>
      <c r="X9565" t="s">
        <v>41260</v>
      </c>
    </row>
    <row r="9566" spans="1:24">
      <c r="A9566">
        <f>HYPERLINK("https://www.philgeps.gov.ph/GEPSNONPILOT/Tender/SplashBidNoticeAbstractUI.aspx?menuIndex=3&amp;refID=7064406&amp;Result=3","7064406")</f>
        <v>0</v>
      </c>
      <c r="B9566" t="s">
        <v>2790</v>
      </c>
      <c r="C9566" t="s">
        <v>12513</v>
      </c>
      <c r="D9566" t="s">
        <v>16658</v>
      </c>
      <c r="E9566" t="s">
        <v>16707</v>
      </c>
      <c r="F9566" t="s">
        <v>28669</v>
      </c>
      <c r="G9566" t="s">
        <v>28675</v>
      </c>
      <c r="H9566" t="s">
        <v>9998</v>
      </c>
      <c r="I9566" t="s">
        <v>7352</v>
      </c>
      <c r="J9566" t="s">
        <v>34750</v>
      </c>
      <c r="K9566" t="s">
        <v>37210</v>
      </c>
      <c r="M9566" t="s">
        <v>40515</v>
      </c>
      <c r="N9566" t="s">
        <v>41249</v>
      </c>
      <c r="O9566" t="s">
        <v>41250</v>
      </c>
      <c r="P9566">
        <v>0</v>
      </c>
      <c r="Q9566">
        <v>0</v>
      </c>
      <c r="R9566" t="s">
        <v>41259</v>
      </c>
      <c r="S9566" t="s">
        <v>41562</v>
      </c>
      <c r="T9566" t="s">
        <v>42743</v>
      </c>
      <c r="U9566" t="s">
        <v>50903</v>
      </c>
      <c r="W9566" t="s">
        <v>40515</v>
      </c>
      <c r="X9566" t="s">
        <v>41260</v>
      </c>
    </row>
    <row r="9567" spans="1:24">
      <c r="A9567">
        <f>HYPERLINK("https://www.philgeps.gov.ph/GEPSNONPILOT/Tender/SplashBidNoticeAbstractUI.aspx?menuIndex=3&amp;refID=7064382&amp;Result=3","7064382")</f>
        <v>0</v>
      </c>
      <c r="B9567" t="s">
        <v>2788</v>
      </c>
      <c r="C9567" t="s">
        <v>12514</v>
      </c>
      <c r="D9567" t="s">
        <v>16608</v>
      </c>
      <c r="E9567" t="s">
        <v>25032</v>
      </c>
      <c r="F9567" t="s">
        <v>28669</v>
      </c>
      <c r="G9567" t="s">
        <v>28676</v>
      </c>
      <c r="H9567" t="s">
        <v>9998</v>
      </c>
      <c r="I9567" t="s">
        <v>11593</v>
      </c>
      <c r="J9567" t="s">
        <v>28985</v>
      </c>
      <c r="K9567" t="s">
        <v>37204</v>
      </c>
      <c r="M9567" t="s">
        <v>40513</v>
      </c>
      <c r="N9567" t="s">
        <v>41249</v>
      </c>
      <c r="O9567" t="s">
        <v>41250</v>
      </c>
      <c r="P9567">
        <v>0</v>
      </c>
      <c r="Q9567">
        <v>8</v>
      </c>
      <c r="R9567" t="s">
        <v>41259</v>
      </c>
      <c r="S9567" t="s">
        <v>41562</v>
      </c>
      <c r="T9567" t="s">
        <v>42914</v>
      </c>
      <c r="U9567" t="s">
        <v>50904</v>
      </c>
      <c r="V9567" t="s">
        <v>55319</v>
      </c>
      <c r="W9567" t="s">
        <v>40513</v>
      </c>
      <c r="X9567" t="s">
        <v>41260</v>
      </c>
    </row>
    <row r="9568" spans="1:24">
      <c r="A9568">
        <f>HYPERLINK("https://www.philgeps.gov.ph/GEPSNONPILOT/Tender/SplashBidNoticeAbstractUI.aspx?menuIndex=3&amp;refID=7064335&amp;Result=3","7064335")</f>
        <v>0</v>
      </c>
      <c r="B9568" t="s">
        <v>2774</v>
      </c>
      <c r="C9568" t="s">
        <v>12515</v>
      </c>
      <c r="D9568" t="s">
        <v>16642</v>
      </c>
      <c r="E9568" t="s">
        <v>25033</v>
      </c>
      <c r="F9568" t="s">
        <v>28669</v>
      </c>
      <c r="G9568" t="s">
        <v>28675</v>
      </c>
      <c r="H9568" t="s">
        <v>28686</v>
      </c>
      <c r="I9568" t="s">
        <v>28689</v>
      </c>
      <c r="J9568" t="s">
        <v>28912</v>
      </c>
      <c r="K9568" t="s">
        <v>37227</v>
      </c>
      <c r="M9568" t="s">
        <v>40497</v>
      </c>
      <c r="N9568" t="s">
        <v>41249</v>
      </c>
      <c r="O9568" t="s">
        <v>41250</v>
      </c>
      <c r="P9568">
        <v>0</v>
      </c>
      <c r="Q9568">
        <v>0</v>
      </c>
      <c r="R9568" t="s">
        <v>41259</v>
      </c>
      <c r="S9568" t="s">
        <v>41562</v>
      </c>
      <c r="T9568" t="s">
        <v>42760</v>
      </c>
      <c r="U9568" t="s">
        <v>50874</v>
      </c>
      <c r="V9568" t="s">
        <v>55308</v>
      </c>
      <c r="W9568" t="s">
        <v>40497</v>
      </c>
      <c r="X9568" t="s">
        <v>41260</v>
      </c>
    </row>
    <row r="9569" spans="1:24">
      <c r="A9569">
        <f>HYPERLINK("https://www.philgeps.gov.ph/GEPSNONPILOT/Tender/SplashBidNoticeAbstractUI.aspx?menuIndex=3&amp;refID=7064461&amp;Result=3","7064461")</f>
        <v>0</v>
      </c>
      <c r="B9569" t="s">
        <v>2791</v>
      </c>
      <c r="C9569" t="s">
        <v>9092</v>
      </c>
      <c r="D9569" t="s">
        <v>16658</v>
      </c>
      <c r="E9569" t="s">
        <v>16707</v>
      </c>
      <c r="F9569" t="s">
        <v>28669</v>
      </c>
      <c r="G9569" t="s">
        <v>28675</v>
      </c>
      <c r="H9569" t="s">
        <v>9998</v>
      </c>
      <c r="I9569" t="s">
        <v>7352</v>
      </c>
      <c r="J9569" t="s">
        <v>34751</v>
      </c>
      <c r="K9569" t="s">
        <v>37210</v>
      </c>
      <c r="M9569" t="s">
        <v>40516</v>
      </c>
      <c r="N9569" t="s">
        <v>41249</v>
      </c>
      <c r="O9569" t="s">
        <v>41250</v>
      </c>
      <c r="P9569">
        <v>0</v>
      </c>
      <c r="Q9569">
        <v>0</v>
      </c>
      <c r="R9569" t="s">
        <v>41259</v>
      </c>
      <c r="S9569" t="s">
        <v>41562</v>
      </c>
      <c r="T9569" t="s">
        <v>42743</v>
      </c>
      <c r="U9569" t="s">
        <v>50905</v>
      </c>
      <c r="W9569" t="s">
        <v>40516</v>
      </c>
      <c r="X9569" t="s">
        <v>41260</v>
      </c>
    </row>
    <row r="9570" spans="1:24">
      <c r="A9570">
        <f>HYPERLINK("https://www.philgeps.gov.ph/GEPSNONPILOT/Tender/SplashBidNoticeAbstractUI.aspx?menuIndex=3&amp;refID=7064394&amp;Result=3","7064394")</f>
        <v>0</v>
      </c>
      <c r="B9570" t="s">
        <v>2792</v>
      </c>
      <c r="C9570" t="s">
        <v>12516</v>
      </c>
      <c r="D9570" t="s">
        <v>16611</v>
      </c>
      <c r="E9570" t="s">
        <v>25034</v>
      </c>
      <c r="F9570" t="s">
        <v>28671</v>
      </c>
      <c r="G9570" t="s">
        <v>28675</v>
      </c>
      <c r="H9570" t="s">
        <v>9998</v>
      </c>
      <c r="I9570" t="s">
        <v>28717</v>
      </c>
      <c r="J9570" t="s">
        <v>34752</v>
      </c>
      <c r="K9570" t="s">
        <v>37209</v>
      </c>
      <c r="M9570" t="s">
        <v>40517</v>
      </c>
      <c r="N9570" t="s">
        <v>41249</v>
      </c>
      <c r="O9570" t="s">
        <v>41250</v>
      </c>
      <c r="P9570">
        <v>0</v>
      </c>
      <c r="Q9570">
        <v>3</v>
      </c>
      <c r="R9570" t="s">
        <v>41259</v>
      </c>
      <c r="S9570" t="s">
        <v>41562</v>
      </c>
      <c r="T9570" t="s">
        <v>42775</v>
      </c>
      <c r="U9570" t="s">
        <v>50906</v>
      </c>
      <c r="W9570" t="s">
        <v>40517</v>
      </c>
      <c r="X9570" t="s">
        <v>41260</v>
      </c>
    </row>
    <row r="9571" spans="1:24">
      <c r="A9571">
        <f>HYPERLINK("https://www.philgeps.gov.ph/GEPSNONPILOT/Tender/SplashBidNoticeAbstractUI.aspx?menuIndex=3&amp;refID=7064459&amp;Result=3","7064459")</f>
        <v>0</v>
      </c>
      <c r="B9571" t="s">
        <v>2793</v>
      </c>
      <c r="C9571" t="s">
        <v>12517</v>
      </c>
      <c r="D9571" t="s">
        <v>16608</v>
      </c>
      <c r="E9571" t="s">
        <v>25035</v>
      </c>
      <c r="F9571" t="s">
        <v>28669</v>
      </c>
      <c r="G9571" t="s">
        <v>28675</v>
      </c>
      <c r="H9571" t="s">
        <v>9998</v>
      </c>
      <c r="I9571" t="s">
        <v>5213</v>
      </c>
      <c r="J9571" t="s">
        <v>34753</v>
      </c>
      <c r="K9571" t="s">
        <v>37243</v>
      </c>
      <c r="M9571" t="s">
        <v>40518</v>
      </c>
      <c r="N9571" t="s">
        <v>41249</v>
      </c>
      <c r="O9571" t="s">
        <v>41250</v>
      </c>
      <c r="P9571">
        <v>0</v>
      </c>
      <c r="Q9571">
        <v>4</v>
      </c>
      <c r="R9571" t="s">
        <v>41259</v>
      </c>
      <c r="S9571" t="s">
        <v>41562</v>
      </c>
      <c r="T9571" t="s">
        <v>42727</v>
      </c>
      <c r="U9571" t="s">
        <v>50907</v>
      </c>
      <c r="V9571" t="s">
        <v>55320</v>
      </c>
      <c r="W9571" t="s">
        <v>40518</v>
      </c>
      <c r="X9571" t="s">
        <v>41260</v>
      </c>
    </row>
    <row r="9572" spans="1:24">
      <c r="A9572">
        <f>HYPERLINK("https://www.philgeps.gov.ph/GEPSNONPILOT/Tender/SplashBidNoticeAbstractUI.aspx?menuIndex=3&amp;refID=7064421&amp;Result=3","7064421")</f>
        <v>0</v>
      </c>
      <c r="B9572" t="s">
        <v>33</v>
      </c>
      <c r="C9572" t="s">
        <v>12518</v>
      </c>
      <c r="D9572" t="s">
        <v>16616</v>
      </c>
      <c r="E9572" t="s">
        <v>25036</v>
      </c>
      <c r="F9572" t="s">
        <v>28669</v>
      </c>
      <c r="G9572" t="s">
        <v>28675</v>
      </c>
      <c r="H9572" t="s">
        <v>9998</v>
      </c>
      <c r="I9572" t="s">
        <v>5286</v>
      </c>
      <c r="J9572" t="s">
        <v>34754</v>
      </c>
      <c r="K9572" t="s">
        <v>37327</v>
      </c>
      <c r="M9572" t="s">
        <v>40519</v>
      </c>
      <c r="N9572" t="s">
        <v>41249</v>
      </c>
      <c r="O9572" t="s">
        <v>41250</v>
      </c>
      <c r="P9572">
        <v>0</v>
      </c>
      <c r="Q9572">
        <v>3</v>
      </c>
      <c r="R9572" t="s">
        <v>41259</v>
      </c>
      <c r="S9572" t="s">
        <v>41562</v>
      </c>
      <c r="T9572" t="s">
        <v>42761</v>
      </c>
      <c r="U9572" t="s">
        <v>50908</v>
      </c>
      <c r="V9572" t="s">
        <v>54251</v>
      </c>
      <c r="W9572" t="s">
        <v>40519</v>
      </c>
      <c r="X9572" t="s">
        <v>41260</v>
      </c>
    </row>
    <row r="9573" spans="1:24">
      <c r="A9573">
        <f>HYPERLINK("https://www.philgeps.gov.ph/GEPSNONPILOT/Tender/SplashBidNoticeAbstractUI.aspx?menuIndex=3&amp;refID=7064449&amp;Result=3","7064449")</f>
        <v>0</v>
      </c>
      <c r="B9573" t="s">
        <v>2794</v>
      </c>
      <c r="C9573" t="s">
        <v>12519</v>
      </c>
      <c r="D9573" t="s">
        <v>16672</v>
      </c>
      <c r="E9573" t="s">
        <v>25037</v>
      </c>
      <c r="F9573" t="s">
        <v>28669</v>
      </c>
      <c r="G9573" t="s">
        <v>28675</v>
      </c>
      <c r="H9573" t="s">
        <v>9998</v>
      </c>
      <c r="I9573" t="s">
        <v>3718</v>
      </c>
      <c r="J9573" t="s">
        <v>28877</v>
      </c>
      <c r="K9573" t="s">
        <v>37227</v>
      </c>
      <c r="M9573" t="s">
        <v>40520</v>
      </c>
      <c r="N9573" t="s">
        <v>41249</v>
      </c>
      <c r="O9573" t="s">
        <v>41250</v>
      </c>
      <c r="P9573">
        <v>0</v>
      </c>
      <c r="Q9573">
        <v>2</v>
      </c>
      <c r="R9573" t="s">
        <v>41259</v>
      </c>
      <c r="S9573" t="s">
        <v>41562</v>
      </c>
      <c r="T9573" t="s">
        <v>43008</v>
      </c>
      <c r="U9573" t="s">
        <v>50909</v>
      </c>
      <c r="V9573" t="s">
        <v>55321</v>
      </c>
      <c r="W9573" t="s">
        <v>40520</v>
      </c>
      <c r="X9573" t="s">
        <v>41260</v>
      </c>
    </row>
    <row r="9574" spans="1:24">
      <c r="A9574">
        <f>HYPERLINK("https://www.philgeps.gov.ph/GEPSNONPILOT/Tender/SplashBidNoticeAbstractUI.aspx?menuIndex=3&amp;refID=7064511&amp;Result=3","7064511")</f>
        <v>0</v>
      </c>
      <c r="B9574" t="s">
        <v>2382</v>
      </c>
      <c r="C9574" t="s">
        <v>12520</v>
      </c>
      <c r="D9574" t="s">
        <v>16626</v>
      </c>
      <c r="E9574" t="s">
        <v>17954</v>
      </c>
      <c r="F9574" t="s">
        <v>28669</v>
      </c>
      <c r="G9574" t="s">
        <v>28675</v>
      </c>
      <c r="H9574" t="s">
        <v>9998</v>
      </c>
      <c r="I9574" t="s">
        <v>28690</v>
      </c>
      <c r="J9574" t="s">
        <v>29438</v>
      </c>
      <c r="K9574" t="s">
        <v>37234</v>
      </c>
      <c r="M9574" t="s">
        <v>40055</v>
      </c>
      <c r="N9574" t="s">
        <v>41249</v>
      </c>
      <c r="O9574" t="s">
        <v>41250</v>
      </c>
      <c r="P9574">
        <v>0</v>
      </c>
      <c r="Q9574">
        <v>1</v>
      </c>
      <c r="R9574" t="s">
        <v>41259</v>
      </c>
      <c r="S9574" t="s">
        <v>41562</v>
      </c>
      <c r="T9574" t="s">
        <v>42689</v>
      </c>
      <c r="U9574" t="s">
        <v>50910</v>
      </c>
      <c r="W9574" t="s">
        <v>40055</v>
      </c>
      <c r="X9574" t="s">
        <v>41260</v>
      </c>
    </row>
    <row r="9575" spans="1:24">
      <c r="A9575">
        <f>HYPERLINK("https://www.philgeps.gov.ph/GEPSNONPILOT/Tender/SplashBidNoticeAbstractUI.aspx?menuIndex=3&amp;refID=7064509&amp;Result=3","7064509")</f>
        <v>0</v>
      </c>
      <c r="B9575" t="s">
        <v>29</v>
      </c>
      <c r="C9575" t="s">
        <v>12521</v>
      </c>
      <c r="D9575" t="s">
        <v>16611</v>
      </c>
      <c r="E9575" t="s">
        <v>25038</v>
      </c>
      <c r="F9575" t="s">
        <v>28669</v>
      </c>
      <c r="G9575" t="s">
        <v>28677</v>
      </c>
      <c r="H9575" t="s">
        <v>9998</v>
      </c>
      <c r="I9575" t="s">
        <v>15140</v>
      </c>
      <c r="J9575" t="s">
        <v>34755</v>
      </c>
      <c r="K9575" t="s">
        <v>37209</v>
      </c>
      <c r="M9575" t="s">
        <v>37931</v>
      </c>
      <c r="N9575" t="s">
        <v>41249</v>
      </c>
      <c r="O9575" t="s">
        <v>41250</v>
      </c>
      <c r="Q9575">
        <v>0</v>
      </c>
      <c r="R9575" t="s">
        <v>41259</v>
      </c>
      <c r="S9575" t="s">
        <v>41621</v>
      </c>
      <c r="T9575" t="s">
        <v>42686</v>
      </c>
      <c r="U9575" t="s">
        <v>50911</v>
      </c>
      <c r="W9575" t="s">
        <v>37931</v>
      </c>
      <c r="X9575" t="s">
        <v>41260</v>
      </c>
    </row>
    <row r="9576" spans="1:24">
      <c r="A9576">
        <f>HYPERLINK("https://www.philgeps.gov.ph/GEPSNONPILOT/Tender/SplashBidNoticeAbstractUI.aspx?menuIndex=3&amp;refID=7064517&amp;Result=3","7064517")</f>
        <v>0</v>
      </c>
      <c r="B9576" t="s">
        <v>2795</v>
      </c>
      <c r="C9576" t="s">
        <v>12522</v>
      </c>
      <c r="D9576" t="s">
        <v>16622</v>
      </c>
      <c r="E9576" t="s">
        <v>25039</v>
      </c>
      <c r="F9576" t="s">
        <v>28669</v>
      </c>
      <c r="G9576" t="s">
        <v>28675</v>
      </c>
      <c r="H9576" t="s">
        <v>28686</v>
      </c>
      <c r="I9576" t="s">
        <v>28689</v>
      </c>
      <c r="J9576" t="s">
        <v>34756</v>
      </c>
      <c r="K9576" t="s">
        <v>37213</v>
      </c>
      <c r="M9576" t="s">
        <v>40521</v>
      </c>
      <c r="N9576" t="s">
        <v>41249</v>
      </c>
      <c r="O9576" t="s">
        <v>41250</v>
      </c>
      <c r="P9576">
        <v>0</v>
      </c>
      <c r="Q9576">
        <v>8</v>
      </c>
      <c r="R9576" t="s">
        <v>41259</v>
      </c>
      <c r="S9576" t="s">
        <v>41562</v>
      </c>
      <c r="T9576" t="s">
        <v>42782</v>
      </c>
      <c r="U9576" t="s">
        <v>50912</v>
      </c>
      <c r="W9576" t="s">
        <v>40521</v>
      </c>
      <c r="X9576" t="s">
        <v>41260</v>
      </c>
    </row>
    <row r="9577" spans="1:24">
      <c r="A9577">
        <f>HYPERLINK("https://www.philgeps.gov.ph/GEPSNONPILOT/Tender/SplashBidNoticeAbstractUI.aspx?menuIndex=3&amp;refID=7064387&amp;Result=3","7064387")</f>
        <v>0</v>
      </c>
      <c r="B9577" t="s">
        <v>2796</v>
      </c>
      <c r="C9577" t="s">
        <v>12523</v>
      </c>
      <c r="E9577" t="s">
        <v>16737</v>
      </c>
      <c r="F9577" t="s">
        <v>28669</v>
      </c>
      <c r="G9577" t="s">
        <v>28675</v>
      </c>
      <c r="H9577" t="s">
        <v>28686</v>
      </c>
      <c r="I9577" t="s">
        <v>28689</v>
      </c>
      <c r="J9577" t="s">
        <v>28850</v>
      </c>
      <c r="K9577" t="s">
        <v>37209</v>
      </c>
      <c r="M9577" t="s">
        <v>40522</v>
      </c>
      <c r="N9577" t="s">
        <v>41249</v>
      </c>
      <c r="O9577" t="s">
        <v>41250</v>
      </c>
      <c r="P9577">
        <v>0</v>
      </c>
      <c r="Q9577">
        <v>0</v>
      </c>
      <c r="R9577" t="s">
        <v>41259</v>
      </c>
      <c r="S9577" t="s">
        <v>41562</v>
      </c>
      <c r="T9577" t="s">
        <v>42836</v>
      </c>
      <c r="U9577" t="s">
        <v>50913</v>
      </c>
      <c r="W9577" t="s">
        <v>40522</v>
      </c>
      <c r="X9577" t="s">
        <v>41260</v>
      </c>
    </row>
    <row r="9578" spans="1:24">
      <c r="A9578">
        <f>HYPERLINK("https://www.philgeps.gov.ph/GEPSNONPILOT/Tender/SplashBidNoticeAbstractUI.aspx?menuIndex=3&amp;refID=7064504&amp;Result=3","7064504")</f>
        <v>0</v>
      </c>
      <c r="B9578" t="s">
        <v>2797</v>
      </c>
      <c r="C9578" t="s">
        <v>12524</v>
      </c>
      <c r="D9578" t="s">
        <v>16676</v>
      </c>
      <c r="E9578" t="s">
        <v>17140</v>
      </c>
      <c r="F9578" t="s">
        <v>28669</v>
      </c>
      <c r="G9578" t="s">
        <v>28675</v>
      </c>
      <c r="H9578" t="s">
        <v>28685</v>
      </c>
      <c r="I9578" t="s">
        <v>28703</v>
      </c>
      <c r="J9578" t="s">
        <v>33596</v>
      </c>
      <c r="K9578" t="s">
        <v>37206</v>
      </c>
      <c r="M9578" t="s">
        <v>40523</v>
      </c>
      <c r="N9578" t="s">
        <v>41249</v>
      </c>
      <c r="O9578" t="s">
        <v>41250</v>
      </c>
      <c r="P9578">
        <v>0</v>
      </c>
      <c r="Q9578">
        <v>2</v>
      </c>
      <c r="R9578" t="s">
        <v>41259</v>
      </c>
      <c r="S9578" t="s">
        <v>41562</v>
      </c>
      <c r="T9578" t="s">
        <v>42976</v>
      </c>
      <c r="U9578" t="s">
        <v>50914</v>
      </c>
      <c r="V9578" t="s">
        <v>54252</v>
      </c>
      <c r="W9578" t="s">
        <v>40523</v>
      </c>
      <c r="X9578" t="s">
        <v>41260</v>
      </c>
    </row>
    <row r="9579" spans="1:24">
      <c r="A9579">
        <f>HYPERLINK("https://www.philgeps.gov.ph/GEPSNONPILOT/Tender/SplashBidNoticeAbstractUI.aspx?menuIndex=3&amp;refID=7064381&amp;Result=3","7064381")</f>
        <v>0</v>
      </c>
      <c r="B9579" t="s">
        <v>721</v>
      </c>
      <c r="C9579" t="s">
        <v>12525</v>
      </c>
      <c r="D9579" t="s">
        <v>16680</v>
      </c>
      <c r="E9579" t="s">
        <v>25040</v>
      </c>
      <c r="F9579" t="s">
        <v>28669</v>
      </c>
      <c r="G9579" t="s">
        <v>28675</v>
      </c>
      <c r="H9579" t="s">
        <v>9998</v>
      </c>
      <c r="I9579" t="s">
        <v>28742</v>
      </c>
      <c r="J9579" t="s">
        <v>30575</v>
      </c>
      <c r="K9579" t="s">
        <v>37206</v>
      </c>
      <c r="M9579" t="s">
        <v>38229</v>
      </c>
      <c r="N9579" t="s">
        <v>41249</v>
      </c>
      <c r="O9579" t="s">
        <v>41250</v>
      </c>
      <c r="P9579">
        <v>0</v>
      </c>
      <c r="Q9579">
        <v>13</v>
      </c>
      <c r="R9579" t="s">
        <v>41259</v>
      </c>
      <c r="S9579" t="s">
        <v>41562</v>
      </c>
      <c r="T9579" t="s">
        <v>42760</v>
      </c>
      <c r="U9579" t="s">
        <v>50915</v>
      </c>
      <c r="W9579" t="s">
        <v>38229</v>
      </c>
      <c r="X9579" t="s">
        <v>41260</v>
      </c>
    </row>
    <row r="9580" spans="1:24">
      <c r="A9580">
        <f>HYPERLINK("https://www.philgeps.gov.ph/GEPSNONPILOT/Tender/SplashBidNoticeAbstractUI.aspx?menuIndex=3&amp;refID=7064490&amp;Result=3","7064490")</f>
        <v>0</v>
      </c>
      <c r="B9580" t="s">
        <v>2794</v>
      </c>
      <c r="C9580" t="s">
        <v>12526</v>
      </c>
      <c r="D9580" t="s">
        <v>16672</v>
      </c>
      <c r="E9580" t="s">
        <v>25041</v>
      </c>
      <c r="F9580" t="s">
        <v>28669</v>
      </c>
      <c r="G9580" t="s">
        <v>28675</v>
      </c>
      <c r="H9580" t="s">
        <v>9998</v>
      </c>
      <c r="I9580" t="s">
        <v>5213</v>
      </c>
      <c r="J9580" t="s">
        <v>34757</v>
      </c>
      <c r="K9580" t="s">
        <v>37227</v>
      </c>
      <c r="M9580" t="s">
        <v>40520</v>
      </c>
      <c r="N9580" t="s">
        <v>41249</v>
      </c>
      <c r="O9580" t="s">
        <v>41250</v>
      </c>
      <c r="P9580">
        <v>0</v>
      </c>
      <c r="Q9580">
        <v>1</v>
      </c>
      <c r="R9580" t="s">
        <v>41259</v>
      </c>
      <c r="S9580" t="s">
        <v>41562</v>
      </c>
      <c r="T9580" t="s">
        <v>43093</v>
      </c>
      <c r="U9580" t="s">
        <v>50916</v>
      </c>
      <c r="V9580" t="s">
        <v>55321</v>
      </c>
      <c r="W9580" t="s">
        <v>40520</v>
      </c>
      <c r="X9580" t="s">
        <v>41260</v>
      </c>
    </row>
    <row r="9581" spans="1:24">
      <c r="A9581">
        <f>HYPERLINK("https://www.philgeps.gov.ph/GEPSNONPILOT/Tender/SplashBidNoticeAbstractUI.aspx?menuIndex=3&amp;refID=7064483&amp;Result=3","7064483")</f>
        <v>0</v>
      </c>
      <c r="B9581" t="s">
        <v>881</v>
      </c>
      <c r="C9581" t="s">
        <v>12527</v>
      </c>
      <c r="D9581" t="s">
        <v>16652</v>
      </c>
      <c r="E9581" t="s">
        <v>25042</v>
      </c>
      <c r="F9581" t="s">
        <v>28669</v>
      </c>
      <c r="G9581" t="s">
        <v>28676</v>
      </c>
      <c r="H9581" t="s">
        <v>9998</v>
      </c>
      <c r="I9581" t="s">
        <v>28714</v>
      </c>
      <c r="J9581" t="s">
        <v>34758</v>
      </c>
      <c r="K9581" t="s">
        <v>37204</v>
      </c>
      <c r="M9581" t="s">
        <v>38401</v>
      </c>
      <c r="N9581" t="s">
        <v>41249</v>
      </c>
      <c r="O9581" t="s">
        <v>41250</v>
      </c>
      <c r="P9581">
        <v>0</v>
      </c>
      <c r="Q9581">
        <v>4</v>
      </c>
      <c r="R9581" t="s">
        <v>41259</v>
      </c>
      <c r="S9581" t="s">
        <v>41562</v>
      </c>
      <c r="T9581" t="s">
        <v>42883</v>
      </c>
      <c r="U9581" t="s">
        <v>50917</v>
      </c>
      <c r="W9581" t="s">
        <v>55935</v>
      </c>
      <c r="X9581" t="s">
        <v>41260</v>
      </c>
    </row>
    <row r="9582" spans="1:24">
      <c r="A9582">
        <f>HYPERLINK("https://www.philgeps.gov.ph/GEPSNONPILOT/Tender/SplashBidNoticeAbstractUI.aspx?menuIndex=3&amp;refID=7064482&amp;Result=3","7064482")</f>
        <v>0</v>
      </c>
      <c r="B9582" t="s">
        <v>2794</v>
      </c>
      <c r="C9582" t="s">
        <v>12528</v>
      </c>
      <c r="D9582" t="s">
        <v>16672</v>
      </c>
      <c r="E9582" t="s">
        <v>25043</v>
      </c>
      <c r="F9582" t="s">
        <v>28669</v>
      </c>
      <c r="G9582" t="s">
        <v>28675</v>
      </c>
      <c r="H9582" t="s">
        <v>9998</v>
      </c>
      <c r="I9582" t="s">
        <v>28742</v>
      </c>
      <c r="J9582" t="s">
        <v>29003</v>
      </c>
      <c r="K9582" t="s">
        <v>37227</v>
      </c>
      <c r="M9582" t="s">
        <v>40520</v>
      </c>
      <c r="N9582" t="s">
        <v>41249</v>
      </c>
      <c r="O9582" t="s">
        <v>41250</v>
      </c>
      <c r="P9582">
        <v>0</v>
      </c>
      <c r="Q9582">
        <v>6</v>
      </c>
      <c r="R9582" t="s">
        <v>41259</v>
      </c>
      <c r="S9582" t="s">
        <v>41562</v>
      </c>
      <c r="T9582" t="s">
        <v>43008</v>
      </c>
      <c r="U9582" t="s">
        <v>50918</v>
      </c>
      <c r="V9582" t="s">
        <v>55321</v>
      </c>
      <c r="W9582" t="s">
        <v>40520</v>
      </c>
      <c r="X9582" t="s">
        <v>41260</v>
      </c>
    </row>
    <row r="9583" spans="1:24">
      <c r="A9583">
        <f>HYPERLINK("https://www.philgeps.gov.ph/GEPSNONPILOT/Tender/SplashBidNoticeAbstractUI.aspx?menuIndex=3&amp;refID=7064479&amp;Result=3","7064479")</f>
        <v>0</v>
      </c>
      <c r="B9583" t="s">
        <v>2313</v>
      </c>
      <c r="C9583" t="s">
        <v>12529</v>
      </c>
      <c r="E9583" t="s">
        <v>25044</v>
      </c>
      <c r="F9583" t="s">
        <v>28669</v>
      </c>
      <c r="G9583" t="s">
        <v>28675</v>
      </c>
      <c r="H9583" t="s">
        <v>9998</v>
      </c>
      <c r="I9583" t="s">
        <v>28689</v>
      </c>
      <c r="J9583" t="s">
        <v>29059</v>
      </c>
      <c r="K9583" t="s">
        <v>37206</v>
      </c>
      <c r="M9583" t="s">
        <v>39973</v>
      </c>
      <c r="N9583" t="s">
        <v>41249</v>
      </c>
      <c r="O9583" t="s">
        <v>41250</v>
      </c>
      <c r="P9583">
        <v>0</v>
      </c>
      <c r="Q9583">
        <v>3</v>
      </c>
      <c r="R9583" t="s">
        <v>41259</v>
      </c>
      <c r="S9583" t="s">
        <v>41562</v>
      </c>
      <c r="T9583" t="s">
        <v>42719</v>
      </c>
      <c r="U9583" t="s">
        <v>50919</v>
      </c>
      <c r="W9583" t="s">
        <v>39973</v>
      </c>
      <c r="X9583" t="s">
        <v>41260</v>
      </c>
    </row>
    <row r="9584" spans="1:24">
      <c r="A9584">
        <f>HYPERLINK("https://www.philgeps.gov.ph/GEPSNONPILOT/Tender/SplashBidNoticeAbstractUI.aspx?menuIndex=3&amp;refID=7064523&amp;Result=3","7064523")</f>
        <v>0</v>
      </c>
      <c r="B9584" t="s">
        <v>2382</v>
      </c>
      <c r="C9584" t="s">
        <v>12530</v>
      </c>
      <c r="D9584" t="s">
        <v>16626</v>
      </c>
      <c r="E9584" t="s">
        <v>18003</v>
      </c>
      <c r="F9584" t="s">
        <v>28669</v>
      </c>
      <c r="G9584" t="s">
        <v>28675</v>
      </c>
      <c r="H9584" t="s">
        <v>9998</v>
      </c>
      <c r="I9584" t="s">
        <v>28757</v>
      </c>
      <c r="J9584" t="s">
        <v>29545</v>
      </c>
      <c r="K9584" t="s">
        <v>37234</v>
      </c>
      <c r="M9584" t="s">
        <v>40055</v>
      </c>
      <c r="N9584" t="s">
        <v>41249</v>
      </c>
      <c r="O9584" t="s">
        <v>41250</v>
      </c>
      <c r="P9584">
        <v>0</v>
      </c>
      <c r="Q9584">
        <v>0</v>
      </c>
      <c r="R9584" t="s">
        <v>41259</v>
      </c>
      <c r="S9584" t="s">
        <v>41562</v>
      </c>
      <c r="T9584" t="s">
        <v>42689</v>
      </c>
      <c r="U9584" t="s">
        <v>50920</v>
      </c>
      <c r="W9584" t="s">
        <v>40055</v>
      </c>
      <c r="X9584" t="s">
        <v>41260</v>
      </c>
    </row>
    <row r="9585" spans="1:24">
      <c r="A9585">
        <f>HYPERLINK("https://www.philgeps.gov.ph/GEPSNONPILOT/Tender/SplashBidNoticeAbstractUI.aspx?menuIndex=3&amp;refID=7064473&amp;Result=3","7064473")</f>
        <v>0</v>
      </c>
      <c r="B9585" t="s">
        <v>2798</v>
      </c>
      <c r="C9585" t="s">
        <v>9588</v>
      </c>
      <c r="D9585" t="s">
        <v>16672</v>
      </c>
      <c r="E9585" t="s">
        <v>19189</v>
      </c>
      <c r="F9585" t="s">
        <v>28669</v>
      </c>
      <c r="G9585" t="s">
        <v>28675</v>
      </c>
      <c r="H9585" t="s">
        <v>9998</v>
      </c>
      <c r="I9585" t="s">
        <v>7352</v>
      </c>
      <c r="J9585" t="s">
        <v>34759</v>
      </c>
      <c r="K9585" t="s">
        <v>37210</v>
      </c>
      <c r="M9585" t="s">
        <v>40524</v>
      </c>
      <c r="N9585" t="s">
        <v>41249</v>
      </c>
      <c r="O9585" t="s">
        <v>41250</v>
      </c>
      <c r="P9585">
        <v>0</v>
      </c>
      <c r="Q9585">
        <v>0</v>
      </c>
      <c r="R9585" t="s">
        <v>41259</v>
      </c>
      <c r="S9585" t="s">
        <v>41562</v>
      </c>
      <c r="T9585" t="s">
        <v>42782</v>
      </c>
      <c r="U9585" t="s">
        <v>50921</v>
      </c>
      <c r="W9585" t="s">
        <v>40524</v>
      </c>
      <c r="X9585" t="s">
        <v>41260</v>
      </c>
    </row>
    <row r="9586" spans="1:24">
      <c r="A9586">
        <f>HYPERLINK("https://www.philgeps.gov.ph/GEPSNONPILOT/Tender/SplashBidNoticeAbstractUI.aspx?menuIndex=3&amp;refID=7064472&amp;Result=3","7064472")</f>
        <v>0</v>
      </c>
      <c r="B9586" t="s">
        <v>2794</v>
      </c>
      <c r="C9586" t="s">
        <v>12531</v>
      </c>
      <c r="D9586" t="s">
        <v>16672</v>
      </c>
      <c r="E9586" t="s">
        <v>25045</v>
      </c>
      <c r="F9586" t="s">
        <v>28669</v>
      </c>
      <c r="G9586" t="s">
        <v>28675</v>
      </c>
      <c r="H9586" t="s">
        <v>9998</v>
      </c>
      <c r="I9586" t="s">
        <v>5213</v>
      </c>
      <c r="J9586" t="s">
        <v>34760</v>
      </c>
      <c r="K9586" t="s">
        <v>37227</v>
      </c>
      <c r="M9586" t="s">
        <v>40520</v>
      </c>
      <c r="N9586" t="s">
        <v>41249</v>
      </c>
      <c r="O9586" t="s">
        <v>41250</v>
      </c>
      <c r="P9586">
        <v>0</v>
      </c>
      <c r="Q9586">
        <v>3</v>
      </c>
      <c r="R9586" t="s">
        <v>41259</v>
      </c>
      <c r="S9586" t="s">
        <v>41562</v>
      </c>
      <c r="T9586" t="s">
        <v>43008</v>
      </c>
      <c r="U9586" t="s">
        <v>50922</v>
      </c>
      <c r="V9586" t="s">
        <v>55321</v>
      </c>
      <c r="W9586" t="s">
        <v>40520</v>
      </c>
      <c r="X9586" t="s">
        <v>41260</v>
      </c>
    </row>
    <row r="9587" spans="1:24">
      <c r="A9587">
        <f>HYPERLINK("https://www.philgeps.gov.ph/GEPSNONPILOT/Tender/SplashBidNoticeAbstractUI.aspx?menuIndex=3&amp;refID=7064462&amp;Result=3","7064462")</f>
        <v>0</v>
      </c>
      <c r="B9587" t="s">
        <v>2794</v>
      </c>
      <c r="C9587" t="s">
        <v>12532</v>
      </c>
      <c r="D9587" t="s">
        <v>16672</v>
      </c>
      <c r="E9587" t="s">
        <v>25046</v>
      </c>
      <c r="F9587" t="s">
        <v>28669</v>
      </c>
      <c r="G9587" t="s">
        <v>28675</v>
      </c>
      <c r="H9587" t="s">
        <v>9998</v>
      </c>
      <c r="I9587" t="s">
        <v>28719</v>
      </c>
      <c r="J9587" t="s">
        <v>28845</v>
      </c>
      <c r="K9587" t="s">
        <v>37227</v>
      </c>
      <c r="M9587" t="s">
        <v>40520</v>
      </c>
      <c r="N9587" t="s">
        <v>41249</v>
      </c>
      <c r="O9587" t="s">
        <v>41250</v>
      </c>
      <c r="P9587">
        <v>0</v>
      </c>
      <c r="Q9587">
        <v>4</v>
      </c>
      <c r="R9587" t="s">
        <v>41259</v>
      </c>
      <c r="S9587" t="s">
        <v>41562</v>
      </c>
      <c r="T9587" t="s">
        <v>43008</v>
      </c>
      <c r="U9587" t="s">
        <v>50923</v>
      </c>
      <c r="V9587" t="s">
        <v>55321</v>
      </c>
      <c r="W9587" t="s">
        <v>40520</v>
      </c>
      <c r="X9587" t="s">
        <v>41260</v>
      </c>
    </row>
    <row r="9588" spans="1:24">
      <c r="A9588">
        <f>HYPERLINK("https://www.philgeps.gov.ph/GEPSNONPILOT/Tender/SplashBidNoticeAbstractUI.aspx?menuIndex=3&amp;refID=7064464&amp;Result=3","7064464")</f>
        <v>0</v>
      </c>
      <c r="B9588" t="s">
        <v>2799</v>
      </c>
      <c r="C9588" t="s">
        <v>12533</v>
      </c>
      <c r="D9588" t="s">
        <v>16608</v>
      </c>
      <c r="E9588" t="s">
        <v>25047</v>
      </c>
      <c r="F9588" t="s">
        <v>28669</v>
      </c>
      <c r="G9588" t="s">
        <v>28675</v>
      </c>
      <c r="H9588" t="s">
        <v>9998</v>
      </c>
      <c r="I9588" t="s">
        <v>7352</v>
      </c>
      <c r="J9588" t="s">
        <v>34761</v>
      </c>
      <c r="K9588" t="s">
        <v>37211</v>
      </c>
      <c r="M9588" t="s">
        <v>40525</v>
      </c>
      <c r="N9588" t="s">
        <v>41249</v>
      </c>
      <c r="O9588" t="s">
        <v>41250</v>
      </c>
      <c r="Q9588">
        <v>11</v>
      </c>
      <c r="R9588" t="s">
        <v>41259</v>
      </c>
      <c r="S9588" t="s">
        <v>41622</v>
      </c>
      <c r="T9588" t="s">
        <v>42755</v>
      </c>
      <c r="U9588" t="s">
        <v>50924</v>
      </c>
      <c r="W9588" t="s">
        <v>40525</v>
      </c>
      <c r="X9588" t="s">
        <v>41260</v>
      </c>
    </row>
    <row r="9589" spans="1:24">
      <c r="A9589">
        <f>HYPERLINK("https://www.philgeps.gov.ph/GEPSNONPILOT/Tender/SplashBidNoticeAbstractUI.aspx?menuIndex=3&amp;refID=7064495&amp;Result=3","7064495")</f>
        <v>0</v>
      </c>
      <c r="B9589" t="s">
        <v>29</v>
      </c>
      <c r="C9589" t="s">
        <v>12534</v>
      </c>
      <c r="D9589" t="s">
        <v>16611</v>
      </c>
      <c r="E9589" t="s">
        <v>25048</v>
      </c>
      <c r="F9589" t="s">
        <v>28669</v>
      </c>
      <c r="G9589" t="s">
        <v>28677</v>
      </c>
      <c r="H9589" t="s">
        <v>9998</v>
      </c>
      <c r="I9589" t="s">
        <v>15140</v>
      </c>
      <c r="J9589" t="s">
        <v>34762</v>
      </c>
      <c r="K9589" t="s">
        <v>37209</v>
      </c>
      <c r="M9589" t="s">
        <v>37931</v>
      </c>
      <c r="N9589" t="s">
        <v>41249</v>
      </c>
      <c r="O9589" t="s">
        <v>41250</v>
      </c>
      <c r="Q9589">
        <v>0</v>
      </c>
      <c r="R9589" t="s">
        <v>41259</v>
      </c>
      <c r="S9589" t="s">
        <v>41559</v>
      </c>
      <c r="T9589" t="s">
        <v>42686</v>
      </c>
      <c r="U9589" t="s">
        <v>50925</v>
      </c>
      <c r="W9589" t="s">
        <v>37931</v>
      </c>
      <c r="X9589" t="s">
        <v>41260</v>
      </c>
    </row>
    <row r="9590" spans="1:24">
      <c r="A9590">
        <f>HYPERLINK("https://www.philgeps.gov.ph/GEPSNONPILOT/Tender/SplashBidNoticeAbstractUI.aspx?menuIndex=3&amp;refID=7064334&amp;Result=3","7064334")</f>
        <v>0</v>
      </c>
      <c r="B9590" t="s">
        <v>2774</v>
      </c>
      <c r="C9590" t="s">
        <v>12535</v>
      </c>
      <c r="D9590" t="s">
        <v>16642</v>
      </c>
      <c r="E9590" t="s">
        <v>25049</v>
      </c>
      <c r="F9590" t="s">
        <v>28669</v>
      </c>
      <c r="G9590" t="s">
        <v>28675</v>
      </c>
      <c r="H9590" t="s">
        <v>28686</v>
      </c>
      <c r="I9590" t="s">
        <v>28689</v>
      </c>
      <c r="J9590" t="s">
        <v>28912</v>
      </c>
      <c r="K9590" t="s">
        <v>37227</v>
      </c>
      <c r="M9590" t="s">
        <v>40497</v>
      </c>
      <c r="N9590" t="s">
        <v>41249</v>
      </c>
      <c r="O9590" t="s">
        <v>41250</v>
      </c>
      <c r="P9590">
        <v>0</v>
      </c>
      <c r="Q9590">
        <v>0</v>
      </c>
      <c r="R9590" t="s">
        <v>41259</v>
      </c>
      <c r="S9590" t="s">
        <v>41562</v>
      </c>
      <c r="T9590" t="s">
        <v>42760</v>
      </c>
      <c r="U9590" t="s">
        <v>50870</v>
      </c>
      <c r="V9590" t="s">
        <v>55308</v>
      </c>
      <c r="W9590" t="s">
        <v>40497</v>
      </c>
      <c r="X9590" t="s">
        <v>41260</v>
      </c>
    </row>
    <row r="9591" spans="1:24">
      <c r="A9591">
        <f>HYPERLINK("https://www.philgeps.gov.ph/GEPSNONPILOT/Tender/SplashBidNoticeAbstractUI.aspx?menuIndex=3&amp;refID=7064465&amp;Result=3","7064465")</f>
        <v>0</v>
      </c>
      <c r="B9591" t="s">
        <v>29</v>
      </c>
      <c r="C9591" t="s">
        <v>12536</v>
      </c>
      <c r="D9591" t="s">
        <v>16611</v>
      </c>
      <c r="E9591" t="s">
        <v>25050</v>
      </c>
      <c r="F9591" t="s">
        <v>28669</v>
      </c>
      <c r="G9591" t="s">
        <v>28677</v>
      </c>
      <c r="H9591" t="s">
        <v>9998</v>
      </c>
      <c r="I9591" t="s">
        <v>28741</v>
      </c>
      <c r="J9591" t="s">
        <v>34763</v>
      </c>
      <c r="K9591" t="s">
        <v>37209</v>
      </c>
      <c r="M9591" t="s">
        <v>37931</v>
      </c>
      <c r="N9591" t="s">
        <v>41249</v>
      </c>
      <c r="O9591" t="s">
        <v>41250</v>
      </c>
      <c r="Q9591">
        <v>2</v>
      </c>
      <c r="R9591" t="s">
        <v>41259</v>
      </c>
      <c r="S9591" t="s">
        <v>41623</v>
      </c>
      <c r="T9591" t="s">
        <v>42686</v>
      </c>
      <c r="U9591" t="s">
        <v>50926</v>
      </c>
      <c r="W9591" t="s">
        <v>37931</v>
      </c>
      <c r="X9591" t="s">
        <v>41260</v>
      </c>
    </row>
    <row r="9592" spans="1:24">
      <c r="A9592">
        <f>HYPERLINK("https://www.philgeps.gov.ph/GEPSNONPILOT/Tender/SplashBidNoticeAbstractUI.aspx?menuIndex=3&amp;refID=7064468&amp;Result=3","7064468")</f>
        <v>0</v>
      </c>
      <c r="B9592" t="s">
        <v>1329</v>
      </c>
      <c r="C9592" t="s">
        <v>12537</v>
      </c>
      <c r="D9592" t="s">
        <v>16617</v>
      </c>
      <c r="E9592" t="s">
        <v>25051</v>
      </c>
      <c r="F9592" t="s">
        <v>28669</v>
      </c>
      <c r="G9592" t="s">
        <v>28675</v>
      </c>
      <c r="H9592" t="s">
        <v>9998</v>
      </c>
      <c r="I9592" t="s">
        <v>28697</v>
      </c>
      <c r="J9592" t="s">
        <v>34764</v>
      </c>
      <c r="K9592" t="s">
        <v>37206</v>
      </c>
      <c r="M9592" t="s">
        <v>38882</v>
      </c>
      <c r="N9592" t="s">
        <v>41249</v>
      </c>
      <c r="O9592" t="s">
        <v>41250</v>
      </c>
      <c r="P9592">
        <v>0</v>
      </c>
      <c r="Q9592">
        <v>11</v>
      </c>
      <c r="R9592" t="s">
        <v>41259</v>
      </c>
      <c r="S9592" t="s">
        <v>41562</v>
      </c>
      <c r="T9592" t="s">
        <v>43098</v>
      </c>
      <c r="U9592" t="s">
        <v>50927</v>
      </c>
      <c r="W9592" t="s">
        <v>38882</v>
      </c>
      <c r="X9592" t="s">
        <v>41260</v>
      </c>
    </row>
    <row r="9593" spans="1:24">
      <c r="A9593">
        <f>HYPERLINK("https://www.philgeps.gov.ph/GEPSNONPILOT/Tender/SplashBidNoticeAbstractUI.aspx?menuIndex=3&amp;refID=7064528&amp;Result=3","7064528")</f>
        <v>0</v>
      </c>
      <c r="B9593" t="s">
        <v>2382</v>
      </c>
      <c r="C9593" t="s">
        <v>12538</v>
      </c>
      <c r="D9593" t="s">
        <v>16626</v>
      </c>
      <c r="E9593" t="s">
        <v>18092</v>
      </c>
      <c r="F9593" t="s">
        <v>28669</v>
      </c>
      <c r="G9593" t="s">
        <v>28675</v>
      </c>
      <c r="H9593" t="s">
        <v>9998</v>
      </c>
      <c r="I9593" t="s">
        <v>7352</v>
      </c>
      <c r="J9593" t="s">
        <v>29263</v>
      </c>
      <c r="K9593" t="s">
        <v>37234</v>
      </c>
      <c r="M9593" t="s">
        <v>40055</v>
      </c>
      <c r="N9593" t="s">
        <v>41249</v>
      </c>
      <c r="O9593" t="s">
        <v>41250</v>
      </c>
      <c r="P9593">
        <v>0</v>
      </c>
      <c r="Q9593">
        <v>0</v>
      </c>
      <c r="R9593" t="s">
        <v>41259</v>
      </c>
      <c r="S9593" t="s">
        <v>41562</v>
      </c>
      <c r="T9593" t="s">
        <v>42689</v>
      </c>
      <c r="U9593" t="s">
        <v>50928</v>
      </c>
      <c r="W9593" t="s">
        <v>40055</v>
      </c>
      <c r="X9593" t="s">
        <v>41260</v>
      </c>
    </row>
    <row r="9594" spans="1:24">
      <c r="A9594">
        <f>HYPERLINK("https://www.philgeps.gov.ph/GEPSNONPILOT/Tender/SplashBidNoticeAbstractUI.aspx?menuIndex=3&amp;refID=7042247&amp;Result=3","7042247")</f>
        <v>0</v>
      </c>
      <c r="B9594" t="s">
        <v>2800</v>
      </c>
      <c r="C9594" t="s">
        <v>12539</v>
      </c>
      <c r="D9594" t="s">
        <v>16615</v>
      </c>
      <c r="E9594" t="s">
        <v>25052</v>
      </c>
      <c r="F9594" t="s">
        <v>28669</v>
      </c>
      <c r="G9594" t="s">
        <v>28675</v>
      </c>
      <c r="H9594" t="s">
        <v>28686</v>
      </c>
      <c r="I9594" t="s">
        <v>28689</v>
      </c>
      <c r="J9594" t="s">
        <v>34765</v>
      </c>
      <c r="K9594" t="s">
        <v>37428</v>
      </c>
      <c r="M9594" t="s">
        <v>40526</v>
      </c>
      <c r="N9594" t="s">
        <v>41249</v>
      </c>
      <c r="O9594" t="s">
        <v>41250</v>
      </c>
      <c r="P9594">
        <v>0</v>
      </c>
      <c r="Q9594">
        <v>13</v>
      </c>
      <c r="R9594" t="s">
        <v>41260</v>
      </c>
      <c r="S9594" t="s">
        <v>41624</v>
      </c>
      <c r="T9594" t="s">
        <v>42760</v>
      </c>
      <c r="U9594" t="s">
        <v>50929</v>
      </c>
      <c r="V9594" t="s">
        <v>55322</v>
      </c>
      <c r="W9594" t="s">
        <v>40526</v>
      </c>
      <c r="X9594" t="s">
        <v>41272</v>
      </c>
    </row>
    <row r="9595" spans="1:24">
      <c r="A9595">
        <f>HYPERLINK("https://www.philgeps.gov.ph/GEPSNONPILOT/Tender/SplashBidNoticeAbstractUI.aspx?menuIndex=3&amp;refID=7064505&amp;Result=3","7064505")</f>
        <v>0</v>
      </c>
      <c r="B9595" t="s">
        <v>2794</v>
      </c>
      <c r="C9595" t="s">
        <v>12540</v>
      </c>
      <c r="D9595" t="s">
        <v>16672</v>
      </c>
      <c r="E9595" t="s">
        <v>25053</v>
      </c>
      <c r="F9595" t="s">
        <v>28669</v>
      </c>
      <c r="G9595" t="s">
        <v>28675</v>
      </c>
      <c r="H9595" t="s">
        <v>9998</v>
      </c>
      <c r="I9595" t="s">
        <v>28687</v>
      </c>
      <c r="J9595" t="s">
        <v>29033</v>
      </c>
      <c r="K9595" t="s">
        <v>37206</v>
      </c>
      <c r="M9595" t="s">
        <v>40520</v>
      </c>
      <c r="N9595" t="s">
        <v>41249</v>
      </c>
      <c r="O9595" t="s">
        <v>41250</v>
      </c>
      <c r="P9595">
        <v>0</v>
      </c>
      <c r="Q9595">
        <v>1</v>
      </c>
      <c r="R9595" t="s">
        <v>41259</v>
      </c>
      <c r="S9595" t="s">
        <v>41562</v>
      </c>
      <c r="T9595" t="s">
        <v>43093</v>
      </c>
      <c r="U9595" t="s">
        <v>50930</v>
      </c>
      <c r="V9595" t="s">
        <v>55321</v>
      </c>
      <c r="W9595" t="s">
        <v>40520</v>
      </c>
      <c r="X9595" t="s">
        <v>41260</v>
      </c>
    </row>
    <row r="9596" spans="1:24">
      <c r="A9596">
        <f>HYPERLINK("https://www.philgeps.gov.ph/GEPSNONPILOT/Tender/SplashBidNoticeAbstractUI.aspx?menuIndex=3&amp;refID=7032304-2&amp;Result=3","7032304-2")</f>
        <v>0</v>
      </c>
      <c r="B9596" t="s">
        <v>2801</v>
      </c>
      <c r="C9596" t="s">
        <v>12541</v>
      </c>
      <c r="E9596" t="s">
        <v>25054</v>
      </c>
      <c r="F9596" t="s">
        <v>28669</v>
      </c>
      <c r="G9596" t="s">
        <v>28675</v>
      </c>
      <c r="H9596" t="s">
        <v>28685</v>
      </c>
      <c r="I9596" t="s">
        <v>28685</v>
      </c>
      <c r="J9596" t="s">
        <v>34766</v>
      </c>
      <c r="K9596" t="s">
        <v>37209</v>
      </c>
      <c r="M9596" t="s">
        <v>40527</v>
      </c>
      <c r="N9596" t="s">
        <v>41249</v>
      </c>
      <c r="O9596" t="s">
        <v>41250</v>
      </c>
      <c r="Q9596">
        <v>0</v>
      </c>
      <c r="R9596" t="s">
        <v>41260</v>
      </c>
      <c r="S9596" t="s">
        <v>41625</v>
      </c>
      <c r="T9596" t="s">
        <v>42739</v>
      </c>
      <c r="U9596" t="s">
        <v>50931</v>
      </c>
      <c r="V9596" t="s">
        <v>55323</v>
      </c>
      <c r="W9596" t="s">
        <v>40527</v>
      </c>
      <c r="X9596" t="s">
        <v>41261</v>
      </c>
    </row>
    <row r="9597" spans="1:24">
      <c r="A9597">
        <f>HYPERLINK("https://www.philgeps.gov.ph/GEPSNONPILOT/Tender/SplashBidNoticeAbstractUI.aspx?menuIndex=3&amp;refID=7032302-2&amp;Result=3","7032302-2")</f>
        <v>0</v>
      </c>
      <c r="B9597" t="s">
        <v>2801</v>
      </c>
      <c r="C9597" t="s">
        <v>12542</v>
      </c>
      <c r="E9597" t="s">
        <v>25055</v>
      </c>
      <c r="F9597" t="s">
        <v>28669</v>
      </c>
      <c r="G9597" t="s">
        <v>28675</v>
      </c>
      <c r="H9597" t="s">
        <v>28685</v>
      </c>
      <c r="I9597" t="s">
        <v>28685</v>
      </c>
      <c r="J9597" t="s">
        <v>34767</v>
      </c>
      <c r="K9597" t="s">
        <v>37209</v>
      </c>
      <c r="M9597" t="s">
        <v>40527</v>
      </c>
      <c r="N9597" t="s">
        <v>41249</v>
      </c>
      <c r="O9597" t="s">
        <v>41250</v>
      </c>
      <c r="Q9597">
        <v>0</v>
      </c>
      <c r="R9597" t="s">
        <v>41260</v>
      </c>
      <c r="S9597" t="s">
        <v>41626</v>
      </c>
      <c r="T9597" t="s">
        <v>42739</v>
      </c>
      <c r="U9597" t="s">
        <v>50932</v>
      </c>
      <c r="V9597" t="s">
        <v>55324</v>
      </c>
      <c r="W9597" t="s">
        <v>40527</v>
      </c>
      <c r="X9597" t="s">
        <v>41261</v>
      </c>
    </row>
    <row r="9598" spans="1:24">
      <c r="A9598">
        <f>HYPERLINK("https://www.philgeps.gov.ph/GEPSNONPILOT/Tender/SplashBidNoticeAbstractUI.aspx?menuIndex=3&amp;refID=7064550&amp;Result=3","7064550")</f>
        <v>0</v>
      </c>
      <c r="B9598" t="s">
        <v>891</v>
      </c>
      <c r="C9598" t="s">
        <v>12543</v>
      </c>
      <c r="D9598" t="s">
        <v>16631</v>
      </c>
      <c r="E9598" t="s">
        <v>25056</v>
      </c>
      <c r="F9598" t="s">
        <v>28669</v>
      </c>
      <c r="G9598" t="s">
        <v>28675</v>
      </c>
      <c r="H9598" t="s">
        <v>9998</v>
      </c>
      <c r="I9598" t="s">
        <v>28687</v>
      </c>
      <c r="J9598" t="s">
        <v>34768</v>
      </c>
      <c r="K9598" t="s">
        <v>37213</v>
      </c>
      <c r="M9598" t="s">
        <v>38412</v>
      </c>
      <c r="N9598" t="s">
        <v>41249</v>
      </c>
      <c r="O9598" t="s">
        <v>41250</v>
      </c>
      <c r="P9598">
        <v>0</v>
      </c>
      <c r="Q9598">
        <v>8</v>
      </c>
      <c r="R9598" t="s">
        <v>41259</v>
      </c>
      <c r="S9598" t="s">
        <v>41562</v>
      </c>
      <c r="T9598" t="s">
        <v>42658</v>
      </c>
      <c r="U9598" t="s">
        <v>50933</v>
      </c>
      <c r="W9598" t="s">
        <v>40528</v>
      </c>
      <c r="X9598" t="s">
        <v>41260</v>
      </c>
    </row>
    <row r="9599" spans="1:24">
      <c r="A9599">
        <f>HYPERLINK("https://www.philgeps.gov.ph/GEPSNONPILOT/Tender/SplashBidNoticeAbstractUI.aspx?menuIndex=3&amp;refID=7064544&amp;Result=3","7064544")</f>
        <v>0</v>
      </c>
      <c r="B9599" t="s">
        <v>891</v>
      </c>
      <c r="C9599" t="s">
        <v>12544</v>
      </c>
      <c r="D9599" t="s">
        <v>16631</v>
      </c>
      <c r="E9599" t="s">
        <v>25057</v>
      </c>
      <c r="F9599" t="s">
        <v>28669</v>
      </c>
      <c r="G9599" t="s">
        <v>28675</v>
      </c>
      <c r="H9599" t="s">
        <v>9998</v>
      </c>
      <c r="I9599" t="s">
        <v>28706</v>
      </c>
      <c r="J9599" t="s">
        <v>29033</v>
      </c>
      <c r="K9599" t="s">
        <v>37213</v>
      </c>
      <c r="M9599" t="s">
        <v>38412</v>
      </c>
      <c r="N9599" t="s">
        <v>41249</v>
      </c>
      <c r="O9599" t="s">
        <v>41250</v>
      </c>
      <c r="P9599">
        <v>0</v>
      </c>
      <c r="Q9599">
        <v>2</v>
      </c>
      <c r="R9599" t="s">
        <v>41259</v>
      </c>
      <c r="S9599" t="s">
        <v>41562</v>
      </c>
      <c r="T9599" t="s">
        <v>42658</v>
      </c>
      <c r="U9599" t="s">
        <v>50933</v>
      </c>
      <c r="W9599" t="s">
        <v>40528</v>
      </c>
      <c r="X9599" t="s">
        <v>41260</v>
      </c>
    </row>
    <row r="9600" spans="1:24">
      <c r="A9600">
        <f>HYPERLINK("https://www.philgeps.gov.ph/GEPSNONPILOT/Tender/SplashBidNoticeAbstractUI.aspx?menuIndex=3&amp;refID=7064542&amp;Result=3","7064542")</f>
        <v>0</v>
      </c>
      <c r="B9600" t="s">
        <v>891</v>
      </c>
      <c r="C9600" t="s">
        <v>12545</v>
      </c>
      <c r="D9600" t="s">
        <v>16631</v>
      </c>
      <c r="E9600" t="s">
        <v>25058</v>
      </c>
      <c r="F9600" t="s">
        <v>28669</v>
      </c>
      <c r="G9600" t="s">
        <v>28675</v>
      </c>
      <c r="H9600" t="s">
        <v>9998</v>
      </c>
      <c r="I9600" t="s">
        <v>28695</v>
      </c>
      <c r="J9600" t="s">
        <v>34769</v>
      </c>
      <c r="K9600" t="s">
        <v>37204</v>
      </c>
      <c r="M9600" t="s">
        <v>40528</v>
      </c>
      <c r="N9600" t="s">
        <v>41249</v>
      </c>
      <c r="O9600" t="s">
        <v>41250</v>
      </c>
      <c r="P9600">
        <v>0</v>
      </c>
      <c r="Q9600">
        <v>1</v>
      </c>
      <c r="R9600" t="s">
        <v>41259</v>
      </c>
      <c r="S9600" t="s">
        <v>41562</v>
      </c>
      <c r="T9600" t="s">
        <v>42658</v>
      </c>
      <c r="U9600" t="s">
        <v>50933</v>
      </c>
      <c r="W9600" t="s">
        <v>40528</v>
      </c>
      <c r="X9600" t="s">
        <v>41260</v>
      </c>
    </row>
    <row r="9601" spans="1:24">
      <c r="A9601">
        <f>HYPERLINK("https://www.philgeps.gov.ph/GEPSNONPILOT/Tender/SplashBidNoticeAbstractUI.aspx?menuIndex=3&amp;refID=7064539&amp;Result=3","7064539")</f>
        <v>0</v>
      </c>
      <c r="B9601" t="s">
        <v>891</v>
      </c>
      <c r="C9601" t="s">
        <v>12546</v>
      </c>
      <c r="D9601" t="s">
        <v>16631</v>
      </c>
      <c r="E9601" t="s">
        <v>25059</v>
      </c>
      <c r="F9601" t="s">
        <v>28669</v>
      </c>
      <c r="G9601" t="s">
        <v>28675</v>
      </c>
      <c r="H9601" t="s">
        <v>9998</v>
      </c>
      <c r="I9601" t="s">
        <v>28695</v>
      </c>
      <c r="J9601" t="s">
        <v>34770</v>
      </c>
      <c r="K9601" t="s">
        <v>37204</v>
      </c>
      <c r="M9601" t="s">
        <v>38412</v>
      </c>
      <c r="N9601" t="s">
        <v>41249</v>
      </c>
      <c r="O9601" t="s">
        <v>41250</v>
      </c>
      <c r="P9601">
        <v>0</v>
      </c>
      <c r="Q9601">
        <v>0</v>
      </c>
      <c r="R9601" t="s">
        <v>41259</v>
      </c>
      <c r="S9601" t="s">
        <v>41562</v>
      </c>
      <c r="T9601" t="s">
        <v>42658</v>
      </c>
      <c r="U9601" t="s">
        <v>50933</v>
      </c>
      <c r="W9601" t="s">
        <v>40528</v>
      </c>
      <c r="X9601" t="s">
        <v>41260</v>
      </c>
    </row>
    <row r="9602" spans="1:24">
      <c r="A9602">
        <f>HYPERLINK("https://www.philgeps.gov.ph/GEPSNONPILOT/Tender/SplashBidNoticeAbstractUI.aspx?menuIndex=3&amp;refID=7064538&amp;Result=3","7064538")</f>
        <v>0</v>
      </c>
      <c r="B9602" t="s">
        <v>891</v>
      </c>
      <c r="C9602" t="s">
        <v>12547</v>
      </c>
      <c r="D9602" t="s">
        <v>16631</v>
      </c>
      <c r="E9602" t="s">
        <v>25060</v>
      </c>
      <c r="F9602" t="s">
        <v>28669</v>
      </c>
      <c r="G9602" t="s">
        <v>28675</v>
      </c>
      <c r="H9602" t="s">
        <v>9998</v>
      </c>
      <c r="I9602" t="s">
        <v>5213</v>
      </c>
      <c r="J9602" t="s">
        <v>34771</v>
      </c>
      <c r="K9602" t="s">
        <v>37216</v>
      </c>
      <c r="M9602" t="s">
        <v>38412</v>
      </c>
      <c r="N9602" t="s">
        <v>41249</v>
      </c>
      <c r="O9602" t="s">
        <v>41250</v>
      </c>
      <c r="P9602">
        <v>0</v>
      </c>
      <c r="Q9602">
        <v>2</v>
      </c>
      <c r="R9602" t="s">
        <v>41259</v>
      </c>
      <c r="S9602" t="s">
        <v>41562</v>
      </c>
      <c r="T9602" t="s">
        <v>42658</v>
      </c>
      <c r="U9602" t="s">
        <v>50933</v>
      </c>
      <c r="W9602" t="s">
        <v>40528</v>
      </c>
      <c r="X9602" t="s">
        <v>41260</v>
      </c>
    </row>
    <row r="9603" spans="1:24">
      <c r="A9603">
        <f>HYPERLINK("https://www.philgeps.gov.ph/GEPSNONPILOT/Tender/SplashBidNoticeAbstractUI.aspx?menuIndex=3&amp;refID=7050113&amp;Result=3","7050113")</f>
        <v>0</v>
      </c>
      <c r="B9603" t="s">
        <v>2577</v>
      </c>
      <c r="C9603" t="s">
        <v>12548</v>
      </c>
      <c r="D9603" t="s">
        <v>16615</v>
      </c>
      <c r="E9603" t="s">
        <v>16861</v>
      </c>
      <c r="F9603" t="s">
        <v>28669</v>
      </c>
      <c r="G9603" t="s">
        <v>28675</v>
      </c>
      <c r="H9603" t="s">
        <v>28686</v>
      </c>
      <c r="I9603" t="s">
        <v>28689</v>
      </c>
      <c r="J9603" t="s">
        <v>34772</v>
      </c>
      <c r="K9603" t="s">
        <v>37220</v>
      </c>
      <c r="M9603" t="s">
        <v>40271</v>
      </c>
      <c r="N9603" t="s">
        <v>41249</v>
      </c>
      <c r="O9603" t="s">
        <v>41250</v>
      </c>
      <c r="P9603">
        <v>0</v>
      </c>
      <c r="Q9603">
        <v>4</v>
      </c>
      <c r="R9603" t="s">
        <v>41260</v>
      </c>
      <c r="S9603" t="s">
        <v>41624</v>
      </c>
      <c r="T9603" t="s">
        <v>42682</v>
      </c>
      <c r="U9603" t="s">
        <v>50934</v>
      </c>
      <c r="W9603" t="s">
        <v>40271</v>
      </c>
      <c r="X9603" t="s">
        <v>41266</v>
      </c>
    </row>
    <row r="9604" spans="1:24">
      <c r="A9604">
        <f>HYPERLINK("https://www.philgeps.gov.ph/GEPSNONPILOT/Tender/SplashBidNoticeAbstractUI.aspx?menuIndex=3&amp;refID=7049369&amp;Result=3","7049369")</f>
        <v>0</v>
      </c>
      <c r="B9604" t="s">
        <v>447</v>
      </c>
      <c r="C9604" t="s">
        <v>12549</v>
      </c>
      <c r="D9604" t="s">
        <v>16608</v>
      </c>
      <c r="E9604" t="s">
        <v>25061</v>
      </c>
      <c r="F9604" t="s">
        <v>28669</v>
      </c>
      <c r="G9604" t="s">
        <v>28675</v>
      </c>
      <c r="H9604" t="s">
        <v>9998</v>
      </c>
      <c r="I9604" t="s">
        <v>6128</v>
      </c>
      <c r="J9604" t="s">
        <v>34773</v>
      </c>
      <c r="K9604" t="s">
        <v>37209</v>
      </c>
      <c r="M9604" t="s">
        <v>39343</v>
      </c>
      <c r="N9604" t="s">
        <v>41249</v>
      </c>
      <c r="O9604" t="s">
        <v>41250</v>
      </c>
      <c r="P9604">
        <v>0</v>
      </c>
      <c r="Q9604">
        <v>2</v>
      </c>
      <c r="R9604" t="s">
        <v>41260</v>
      </c>
      <c r="S9604" t="s">
        <v>41624</v>
      </c>
      <c r="T9604" t="s">
        <v>42659</v>
      </c>
      <c r="U9604" t="s">
        <v>50935</v>
      </c>
      <c r="W9604" t="s">
        <v>39343</v>
      </c>
      <c r="X9604" t="s">
        <v>41267</v>
      </c>
    </row>
    <row r="9605" spans="1:24">
      <c r="A9605">
        <f>HYPERLINK("https://www.philgeps.gov.ph/GEPSNONPILOT/Tender/SplashBidNoticeAbstractUI.aspx?menuIndex=3&amp;refID=7049313&amp;Result=3","7049313")</f>
        <v>0</v>
      </c>
      <c r="B9605" t="s">
        <v>447</v>
      </c>
      <c r="C9605" t="s">
        <v>12550</v>
      </c>
      <c r="D9605" t="s">
        <v>16608</v>
      </c>
      <c r="E9605" t="s">
        <v>25062</v>
      </c>
      <c r="F9605" t="s">
        <v>28669</v>
      </c>
      <c r="G9605" t="s">
        <v>28675</v>
      </c>
      <c r="H9605" t="s">
        <v>9998</v>
      </c>
      <c r="I9605" t="s">
        <v>28711</v>
      </c>
      <c r="J9605" t="s">
        <v>34774</v>
      </c>
      <c r="K9605" t="s">
        <v>37209</v>
      </c>
      <c r="M9605" t="s">
        <v>39343</v>
      </c>
      <c r="N9605" t="s">
        <v>41249</v>
      </c>
      <c r="O9605" t="s">
        <v>41250</v>
      </c>
      <c r="P9605">
        <v>0</v>
      </c>
      <c r="Q9605">
        <v>2</v>
      </c>
      <c r="R9605" t="s">
        <v>41260</v>
      </c>
      <c r="S9605" t="s">
        <v>41624</v>
      </c>
      <c r="T9605" t="s">
        <v>42659</v>
      </c>
      <c r="U9605" t="s">
        <v>50936</v>
      </c>
      <c r="W9605" t="s">
        <v>39343</v>
      </c>
      <c r="X9605" t="s">
        <v>41267</v>
      </c>
    </row>
    <row r="9606" spans="1:24">
      <c r="A9606">
        <f>HYPERLINK("https://www.philgeps.gov.ph/GEPSNONPILOT/Tender/SplashBidNoticeAbstractUI.aspx?menuIndex=3&amp;refID=7064534&amp;Result=3","7064534")</f>
        <v>0</v>
      </c>
      <c r="B9606" t="s">
        <v>891</v>
      </c>
      <c r="C9606" t="s">
        <v>12551</v>
      </c>
      <c r="D9606" t="s">
        <v>16631</v>
      </c>
      <c r="E9606" t="s">
        <v>25063</v>
      </c>
      <c r="F9606" t="s">
        <v>28669</v>
      </c>
      <c r="G9606" t="s">
        <v>28675</v>
      </c>
      <c r="H9606" t="s">
        <v>9998</v>
      </c>
      <c r="I9606" t="s">
        <v>28695</v>
      </c>
      <c r="J9606" t="s">
        <v>34775</v>
      </c>
      <c r="K9606" t="s">
        <v>37204</v>
      </c>
      <c r="M9606" t="s">
        <v>38412</v>
      </c>
      <c r="N9606" t="s">
        <v>41249</v>
      </c>
      <c r="O9606" t="s">
        <v>41250</v>
      </c>
      <c r="P9606">
        <v>0</v>
      </c>
      <c r="Q9606">
        <v>0</v>
      </c>
      <c r="R9606" t="s">
        <v>41259</v>
      </c>
      <c r="S9606" t="s">
        <v>41562</v>
      </c>
      <c r="T9606" t="s">
        <v>42658</v>
      </c>
      <c r="U9606" t="s">
        <v>50933</v>
      </c>
      <c r="W9606" t="s">
        <v>40528</v>
      </c>
      <c r="X9606" t="s">
        <v>41260</v>
      </c>
    </row>
    <row r="9607" spans="1:24">
      <c r="A9607">
        <f>HYPERLINK("https://www.philgeps.gov.ph/GEPSNONPILOT/Tender/SplashBidNoticeAbstractUI.aspx?menuIndex=3&amp;refID=7035201&amp;Result=3","7035201")</f>
        <v>0</v>
      </c>
      <c r="B9607" t="s">
        <v>958</v>
      </c>
      <c r="C9607" t="s">
        <v>12552</v>
      </c>
      <c r="D9607" t="s">
        <v>16658</v>
      </c>
      <c r="E9607" t="s">
        <v>25064</v>
      </c>
      <c r="F9607" t="s">
        <v>28669</v>
      </c>
      <c r="G9607" t="s">
        <v>28675</v>
      </c>
      <c r="H9607" t="s">
        <v>28686</v>
      </c>
      <c r="I9607" t="s">
        <v>7352</v>
      </c>
      <c r="J9607" t="s">
        <v>34776</v>
      </c>
      <c r="K9607" t="s">
        <v>37206</v>
      </c>
      <c r="M9607" t="s">
        <v>38483</v>
      </c>
      <c r="N9607" t="s">
        <v>41249</v>
      </c>
      <c r="O9607" t="s">
        <v>41250</v>
      </c>
      <c r="P9607">
        <v>0</v>
      </c>
      <c r="Q9607">
        <v>0</v>
      </c>
      <c r="R9607" t="s">
        <v>41260</v>
      </c>
      <c r="S9607" t="s">
        <v>41624</v>
      </c>
      <c r="T9607" t="s">
        <v>42811</v>
      </c>
      <c r="U9607" t="s">
        <v>50937</v>
      </c>
      <c r="W9607" t="s">
        <v>38483</v>
      </c>
      <c r="X9607" t="s">
        <v>41275</v>
      </c>
    </row>
    <row r="9608" spans="1:24">
      <c r="A9608">
        <f>HYPERLINK("https://www.philgeps.gov.ph/GEPSNONPILOT/Tender/SplashBidNoticeAbstractUI.aspx?menuIndex=3&amp;refID=7052053&amp;Result=3","7052053")</f>
        <v>0</v>
      </c>
      <c r="B9608" t="s">
        <v>2802</v>
      </c>
      <c r="C9608" t="s">
        <v>12553</v>
      </c>
      <c r="D9608" t="s">
        <v>16691</v>
      </c>
      <c r="E9608" t="s">
        <v>25065</v>
      </c>
      <c r="F9608" t="s">
        <v>28669</v>
      </c>
      <c r="G9608" t="s">
        <v>28675</v>
      </c>
      <c r="H9608" t="s">
        <v>28686</v>
      </c>
      <c r="I9608" t="s">
        <v>28689</v>
      </c>
      <c r="J9608" t="s">
        <v>28877</v>
      </c>
      <c r="K9608" t="s">
        <v>37206</v>
      </c>
      <c r="M9608" t="s">
        <v>40529</v>
      </c>
      <c r="N9608" t="s">
        <v>41249</v>
      </c>
      <c r="O9608" t="s">
        <v>41250</v>
      </c>
      <c r="P9608">
        <v>0</v>
      </c>
      <c r="Q9608">
        <v>0</v>
      </c>
      <c r="R9608" t="s">
        <v>41260</v>
      </c>
      <c r="S9608" t="s">
        <v>41624</v>
      </c>
      <c r="T9608" t="s">
        <v>42760</v>
      </c>
      <c r="U9608" t="s">
        <v>48301</v>
      </c>
      <c r="W9608" t="s">
        <v>40529</v>
      </c>
      <c r="X9608" t="s">
        <v>41266</v>
      </c>
    </row>
    <row r="9609" spans="1:24">
      <c r="A9609">
        <f>HYPERLINK("https://www.philgeps.gov.ph/GEPSNONPILOT/Tender/SplashBidNoticeAbstractUI.aspx?menuIndex=3&amp;refID=7051864&amp;Result=3","7051864")</f>
        <v>0</v>
      </c>
      <c r="B9609" t="s">
        <v>2803</v>
      </c>
      <c r="C9609" t="s">
        <v>12554</v>
      </c>
      <c r="D9609" t="s">
        <v>16616</v>
      </c>
      <c r="E9609" t="s">
        <v>16904</v>
      </c>
      <c r="F9609" t="s">
        <v>28669</v>
      </c>
      <c r="G9609" t="s">
        <v>28675</v>
      </c>
      <c r="H9609" t="s">
        <v>28686</v>
      </c>
      <c r="I9609" t="s">
        <v>28689</v>
      </c>
      <c r="J9609" t="s">
        <v>28847</v>
      </c>
      <c r="K9609" t="s">
        <v>37215</v>
      </c>
      <c r="M9609" t="s">
        <v>40530</v>
      </c>
      <c r="N9609" t="s">
        <v>41249</v>
      </c>
      <c r="O9609" t="s">
        <v>41250</v>
      </c>
      <c r="P9609">
        <v>0</v>
      </c>
      <c r="Q9609">
        <v>1</v>
      </c>
      <c r="R9609" t="s">
        <v>41260</v>
      </c>
      <c r="S9609" t="s">
        <v>41624</v>
      </c>
      <c r="T9609" t="s">
        <v>42987</v>
      </c>
      <c r="U9609" t="s">
        <v>50938</v>
      </c>
      <c r="W9609" t="s">
        <v>40530</v>
      </c>
      <c r="X9609" t="s">
        <v>41266</v>
      </c>
    </row>
    <row r="9610" spans="1:24">
      <c r="A9610">
        <f>HYPERLINK("https://www.philgeps.gov.ph/GEPSNONPILOT/Tender/SplashBidNoticeAbstractUI.aspx?menuIndex=3&amp;refID=7050141&amp;Result=3","7050141")</f>
        <v>0</v>
      </c>
      <c r="B9610" t="s">
        <v>2804</v>
      </c>
      <c r="C9610" t="s">
        <v>12555</v>
      </c>
      <c r="D9610" t="s">
        <v>16663</v>
      </c>
      <c r="E9610" t="s">
        <v>25066</v>
      </c>
      <c r="F9610" t="s">
        <v>28669</v>
      </c>
      <c r="G9610" t="s">
        <v>28675</v>
      </c>
      <c r="H9610" t="s">
        <v>9998</v>
      </c>
      <c r="I9610" t="s">
        <v>28687</v>
      </c>
      <c r="J9610" t="s">
        <v>34777</v>
      </c>
      <c r="K9610" t="s">
        <v>37221</v>
      </c>
      <c r="M9610" t="s">
        <v>40531</v>
      </c>
      <c r="N9610" t="s">
        <v>41249</v>
      </c>
      <c r="O9610" t="s">
        <v>41250</v>
      </c>
      <c r="P9610">
        <v>0</v>
      </c>
      <c r="Q9610">
        <v>4</v>
      </c>
      <c r="R9610" t="s">
        <v>41260</v>
      </c>
      <c r="S9610" t="s">
        <v>41624</v>
      </c>
      <c r="T9610" t="s">
        <v>42976</v>
      </c>
      <c r="U9610" t="s">
        <v>50939</v>
      </c>
      <c r="W9610" t="s">
        <v>40531</v>
      </c>
      <c r="X9610" t="s">
        <v>41266</v>
      </c>
    </row>
    <row r="9611" spans="1:24">
      <c r="A9611">
        <f>HYPERLINK("https://www.philgeps.gov.ph/GEPSNONPILOT/Tender/SplashBidNoticeAbstractUI.aspx?menuIndex=3&amp;refID=7055715&amp;Result=3","7055715")</f>
        <v>0</v>
      </c>
      <c r="B9611" t="s">
        <v>1124</v>
      </c>
      <c r="C9611" t="s">
        <v>12556</v>
      </c>
      <c r="E9611" t="s">
        <v>25067</v>
      </c>
      <c r="F9611" t="s">
        <v>28669</v>
      </c>
      <c r="G9611" t="s">
        <v>28675</v>
      </c>
      <c r="H9611" t="s">
        <v>9998</v>
      </c>
      <c r="I9611" t="s">
        <v>28704</v>
      </c>
      <c r="J9611" t="s">
        <v>34778</v>
      </c>
      <c r="K9611" t="s">
        <v>37209</v>
      </c>
      <c r="M9611" t="s">
        <v>38883</v>
      </c>
      <c r="N9611" t="s">
        <v>41249</v>
      </c>
      <c r="O9611" t="s">
        <v>41250</v>
      </c>
      <c r="P9611">
        <v>0</v>
      </c>
      <c r="Q9611">
        <v>1</v>
      </c>
      <c r="R9611" t="s">
        <v>41260</v>
      </c>
      <c r="S9611" t="s">
        <v>41624</v>
      </c>
      <c r="T9611" t="s">
        <v>42759</v>
      </c>
      <c r="U9611" t="s">
        <v>50940</v>
      </c>
      <c r="W9611" t="s">
        <v>38883</v>
      </c>
      <c r="X9611" t="s">
        <v>41264</v>
      </c>
    </row>
    <row r="9612" spans="1:24">
      <c r="A9612">
        <f>HYPERLINK("https://www.philgeps.gov.ph/GEPSNONPILOT/Tender/SplashBidNoticeAbstractUI.aspx?menuIndex=3&amp;refID=7055405&amp;Result=3","7055405")</f>
        <v>0</v>
      </c>
      <c r="B9612" t="s">
        <v>2805</v>
      </c>
      <c r="C9612" t="s">
        <v>12557</v>
      </c>
      <c r="D9612" t="s">
        <v>16657</v>
      </c>
      <c r="E9612" t="s">
        <v>6569</v>
      </c>
      <c r="F9612" t="s">
        <v>28669</v>
      </c>
      <c r="G9612" t="s">
        <v>28681</v>
      </c>
      <c r="H9612" t="s">
        <v>9998</v>
      </c>
      <c r="I9612" t="s">
        <v>28701</v>
      </c>
      <c r="J9612" t="s">
        <v>29060</v>
      </c>
      <c r="K9612" t="s">
        <v>37210</v>
      </c>
      <c r="M9612" t="s">
        <v>40532</v>
      </c>
      <c r="N9612" t="s">
        <v>41249</v>
      </c>
      <c r="O9612" t="s">
        <v>41250</v>
      </c>
      <c r="P9612">
        <v>0</v>
      </c>
      <c r="Q9612">
        <v>1</v>
      </c>
      <c r="R9612" t="s">
        <v>41260</v>
      </c>
      <c r="S9612" t="s">
        <v>41624</v>
      </c>
      <c r="T9612" t="s">
        <v>42694</v>
      </c>
      <c r="U9612" t="s">
        <v>50941</v>
      </c>
      <c r="V9612" t="s">
        <v>55325</v>
      </c>
      <c r="W9612" t="s">
        <v>40532</v>
      </c>
      <c r="X9612" t="s">
        <v>41265</v>
      </c>
    </row>
    <row r="9613" spans="1:24">
      <c r="A9613">
        <f>HYPERLINK("https://www.philgeps.gov.ph/GEPSNONPILOT/Tender/SplashBidNoticeAbstractUI.aspx?menuIndex=3&amp;refID=7064536&amp;Result=3","7064536")</f>
        <v>0</v>
      </c>
      <c r="B9613" t="s">
        <v>891</v>
      </c>
      <c r="C9613" t="s">
        <v>12558</v>
      </c>
      <c r="D9613" t="s">
        <v>16631</v>
      </c>
      <c r="E9613" t="s">
        <v>25068</v>
      </c>
      <c r="F9613" t="s">
        <v>28669</v>
      </c>
      <c r="G9613" t="s">
        <v>28675</v>
      </c>
      <c r="H9613" t="s">
        <v>9998</v>
      </c>
      <c r="I9613" t="s">
        <v>28695</v>
      </c>
      <c r="J9613" t="s">
        <v>34779</v>
      </c>
      <c r="K9613" t="s">
        <v>37204</v>
      </c>
      <c r="M9613" t="s">
        <v>38412</v>
      </c>
      <c r="N9613" t="s">
        <v>41249</v>
      </c>
      <c r="O9613" t="s">
        <v>41250</v>
      </c>
      <c r="P9613">
        <v>0</v>
      </c>
      <c r="Q9613">
        <v>0</v>
      </c>
      <c r="R9613" t="s">
        <v>41259</v>
      </c>
      <c r="S9613" t="s">
        <v>41562</v>
      </c>
      <c r="T9613" t="s">
        <v>42658</v>
      </c>
      <c r="U9613" t="s">
        <v>50933</v>
      </c>
      <c r="W9613" t="s">
        <v>40528</v>
      </c>
      <c r="X9613" t="s">
        <v>41260</v>
      </c>
    </row>
    <row r="9614" spans="1:24">
      <c r="A9614">
        <f>HYPERLINK("https://www.philgeps.gov.ph/GEPSNONPILOT/Tender/SplashBidNoticeAbstractUI.aspx?menuIndex=3&amp;refID=7055349&amp;Result=3","7055349")</f>
        <v>0</v>
      </c>
      <c r="B9614" t="s">
        <v>958</v>
      </c>
      <c r="C9614" t="s">
        <v>12559</v>
      </c>
      <c r="D9614" t="s">
        <v>16658</v>
      </c>
      <c r="E9614" t="s">
        <v>25069</v>
      </c>
      <c r="F9614" t="s">
        <v>28669</v>
      </c>
      <c r="G9614" t="s">
        <v>28675</v>
      </c>
      <c r="H9614" t="s">
        <v>28686</v>
      </c>
      <c r="I9614" t="s">
        <v>28689</v>
      </c>
      <c r="J9614" t="s">
        <v>34780</v>
      </c>
      <c r="K9614" t="s">
        <v>37220</v>
      </c>
      <c r="M9614" t="s">
        <v>38483</v>
      </c>
      <c r="N9614" t="s">
        <v>41249</v>
      </c>
      <c r="O9614" t="s">
        <v>41250</v>
      </c>
      <c r="P9614">
        <v>0</v>
      </c>
      <c r="Q9614">
        <v>1</v>
      </c>
      <c r="R9614" t="s">
        <v>41260</v>
      </c>
      <c r="S9614" t="s">
        <v>41624</v>
      </c>
      <c r="T9614" t="s">
        <v>42811</v>
      </c>
      <c r="U9614" t="s">
        <v>50942</v>
      </c>
      <c r="W9614" t="s">
        <v>38483</v>
      </c>
      <c r="X9614" t="s">
        <v>41265</v>
      </c>
    </row>
    <row r="9615" spans="1:24">
      <c r="A9615">
        <f>HYPERLINK("https://www.philgeps.gov.ph/GEPSNONPILOT/Tender/SplashBidNoticeAbstractUI.aspx?menuIndex=3&amp;refID=7055334&amp;Result=3","7055334")</f>
        <v>0</v>
      </c>
      <c r="B9615" t="s">
        <v>422</v>
      </c>
      <c r="C9615" t="s">
        <v>12560</v>
      </c>
      <c r="D9615" t="s">
        <v>16640</v>
      </c>
      <c r="E9615" t="s">
        <v>25070</v>
      </c>
      <c r="F9615" t="s">
        <v>28669</v>
      </c>
      <c r="G9615" t="s">
        <v>28675</v>
      </c>
      <c r="H9615" t="s">
        <v>9998</v>
      </c>
      <c r="I9615" t="s">
        <v>28719</v>
      </c>
      <c r="J9615" t="s">
        <v>34156</v>
      </c>
      <c r="K9615" t="s">
        <v>37213</v>
      </c>
      <c r="M9615" t="s">
        <v>37907</v>
      </c>
      <c r="N9615" t="s">
        <v>41249</v>
      </c>
      <c r="O9615" t="s">
        <v>41250</v>
      </c>
      <c r="P9615">
        <v>0</v>
      </c>
      <c r="Q9615">
        <v>20</v>
      </c>
      <c r="R9615" t="s">
        <v>41260</v>
      </c>
      <c r="S9615" t="s">
        <v>41624</v>
      </c>
      <c r="T9615" t="s">
        <v>42782</v>
      </c>
      <c r="U9615" t="s">
        <v>50943</v>
      </c>
      <c r="W9615" t="s">
        <v>56013</v>
      </c>
      <c r="X9615" t="s">
        <v>41265</v>
      </c>
    </row>
    <row r="9616" spans="1:24">
      <c r="A9616">
        <f>HYPERLINK("https://www.philgeps.gov.ph/GEPSNONPILOT/Tender/SplashBidNoticeAbstractUI.aspx?menuIndex=3&amp;refID=7055804&amp;Result=3","7055804")</f>
        <v>0</v>
      </c>
      <c r="B9616" t="s">
        <v>319</v>
      </c>
      <c r="C9616" t="s">
        <v>3912</v>
      </c>
      <c r="D9616" t="s">
        <v>16664</v>
      </c>
      <c r="E9616" t="s">
        <v>25071</v>
      </c>
      <c r="F9616" t="s">
        <v>28671</v>
      </c>
      <c r="G9616" t="s">
        <v>28677</v>
      </c>
      <c r="H9616" t="s">
        <v>9998</v>
      </c>
      <c r="I9616" t="s">
        <v>15140</v>
      </c>
      <c r="J9616" t="s">
        <v>34781</v>
      </c>
      <c r="K9616" t="s">
        <v>37210</v>
      </c>
      <c r="M9616" t="s">
        <v>37799</v>
      </c>
      <c r="N9616" t="s">
        <v>41249</v>
      </c>
      <c r="O9616" t="s">
        <v>41250</v>
      </c>
      <c r="P9616">
        <v>0</v>
      </c>
      <c r="Q9616">
        <v>0</v>
      </c>
      <c r="R9616" t="s">
        <v>41260</v>
      </c>
      <c r="S9616" t="s">
        <v>41624</v>
      </c>
      <c r="T9616" t="s">
        <v>42679</v>
      </c>
      <c r="U9616" t="s">
        <v>50944</v>
      </c>
      <c r="W9616" t="s">
        <v>37799</v>
      </c>
      <c r="X9616" t="s">
        <v>41264</v>
      </c>
    </row>
    <row r="9617" spans="1:24">
      <c r="A9617">
        <f>HYPERLINK("https://www.philgeps.gov.ph/GEPSNONPILOT/Tender/SplashBidNoticeAbstractUI.aspx?menuIndex=3&amp;refID=7064546&amp;Result=3","7064546")</f>
        <v>0</v>
      </c>
      <c r="B9617" t="s">
        <v>891</v>
      </c>
      <c r="C9617" t="s">
        <v>12561</v>
      </c>
      <c r="D9617" t="s">
        <v>16631</v>
      </c>
      <c r="E9617" t="s">
        <v>25072</v>
      </c>
      <c r="F9617" t="s">
        <v>28669</v>
      </c>
      <c r="G9617" t="s">
        <v>28675</v>
      </c>
      <c r="H9617" t="s">
        <v>9998</v>
      </c>
      <c r="I9617" t="s">
        <v>28706</v>
      </c>
      <c r="J9617" t="s">
        <v>34782</v>
      </c>
      <c r="K9617" t="s">
        <v>37213</v>
      </c>
      <c r="M9617" t="s">
        <v>38412</v>
      </c>
      <c r="N9617" t="s">
        <v>41249</v>
      </c>
      <c r="O9617" t="s">
        <v>41250</v>
      </c>
      <c r="P9617">
        <v>0</v>
      </c>
      <c r="Q9617">
        <v>7</v>
      </c>
      <c r="R9617" t="s">
        <v>41259</v>
      </c>
      <c r="S9617" t="s">
        <v>41562</v>
      </c>
      <c r="T9617" t="s">
        <v>42658</v>
      </c>
      <c r="U9617" t="s">
        <v>50933</v>
      </c>
      <c r="W9617" t="s">
        <v>40528</v>
      </c>
      <c r="X9617" t="s">
        <v>41260</v>
      </c>
    </row>
    <row r="9618" spans="1:24">
      <c r="A9618">
        <f>HYPERLINK("https://www.philgeps.gov.ph/GEPSNONPILOT/Tender/SplashBidNoticeAbstractUI.aspx?menuIndex=3&amp;refID=7048687&amp;Result=3","7048687")</f>
        <v>0</v>
      </c>
      <c r="B9618" t="s">
        <v>903</v>
      </c>
      <c r="C9618" t="s">
        <v>12562</v>
      </c>
      <c r="D9618" t="s">
        <v>16678</v>
      </c>
      <c r="E9618" t="s">
        <v>25073</v>
      </c>
      <c r="F9618" t="s">
        <v>28669</v>
      </c>
      <c r="G9618" t="s">
        <v>28675</v>
      </c>
      <c r="H9618" t="s">
        <v>28686</v>
      </c>
      <c r="I9618" t="s">
        <v>28689</v>
      </c>
      <c r="J9618" t="s">
        <v>29332</v>
      </c>
      <c r="K9618" t="s">
        <v>37215</v>
      </c>
      <c r="M9618" t="s">
        <v>38424</v>
      </c>
      <c r="N9618" t="s">
        <v>41249</v>
      </c>
      <c r="O9618" t="s">
        <v>41250</v>
      </c>
      <c r="P9618">
        <v>0</v>
      </c>
      <c r="Q9618">
        <v>0</v>
      </c>
      <c r="R9618" t="s">
        <v>41260</v>
      </c>
      <c r="S9618" t="s">
        <v>41624</v>
      </c>
      <c r="T9618" t="s">
        <v>42755</v>
      </c>
      <c r="U9618" t="s">
        <v>50945</v>
      </c>
      <c r="W9618" t="s">
        <v>38424</v>
      </c>
      <c r="X9618" t="s">
        <v>41267</v>
      </c>
    </row>
    <row r="9619" spans="1:24">
      <c r="A9619">
        <f>HYPERLINK("https://www.philgeps.gov.ph/GEPSNONPILOT/Tender/SplashBidNoticeAbstractUI.aspx?menuIndex=3&amp;refID=7055776&amp;Result=3","7055776")</f>
        <v>0</v>
      </c>
      <c r="B9619" t="s">
        <v>1057</v>
      </c>
      <c r="C9619" t="s">
        <v>12563</v>
      </c>
      <c r="D9619" t="s">
        <v>16626</v>
      </c>
      <c r="E9619" t="s">
        <v>25074</v>
      </c>
      <c r="F9619" t="s">
        <v>28669</v>
      </c>
      <c r="G9619" t="s">
        <v>28675</v>
      </c>
      <c r="H9619" t="s">
        <v>28686</v>
      </c>
      <c r="I9619" t="s">
        <v>28689</v>
      </c>
      <c r="J9619" t="s">
        <v>34783</v>
      </c>
      <c r="K9619" t="s">
        <v>37429</v>
      </c>
      <c r="M9619" t="s">
        <v>38588</v>
      </c>
      <c r="N9619" t="s">
        <v>41249</v>
      </c>
      <c r="O9619" t="s">
        <v>41250</v>
      </c>
      <c r="Q9619">
        <v>5</v>
      </c>
      <c r="R9619" t="s">
        <v>41260</v>
      </c>
      <c r="S9619" t="s">
        <v>41627</v>
      </c>
      <c r="T9619" t="s">
        <v>42755</v>
      </c>
      <c r="U9619" t="s">
        <v>45338</v>
      </c>
      <c r="W9619" t="s">
        <v>38588</v>
      </c>
      <c r="X9619" t="s">
        <v>41264</v>
      </c>
    </row>
    <row r="9620" spans="1:24">
      <c r="A9620">
        <f>HYPERLINK("https://www.philgeps.gov.ph/GEPSNONPILOT/Tender/SplashBidNoticeAbstractUI.aspx?menuIndex=3&amp;refID=7055374&amp;Result=3","7055374")</f>
        <v>0</v>
      </c>
      <c r="B9620" t="s">
        <v>958</v>
      </c>
      <c r="C9620" t="s">
        <v>12564</v>
      </c>
      <c r="D9620" t="s">
        <v>16658</v>
      </c>
      <c r="E9620" t="s">
        <v>25075</v>
      </c>
      <c r="F9620" t="s">
        <v>28669</v>
      </c>
      <c r="G9620" t="s">
        <v>28675</v>
      </c>
      <c r="H9620" t="s">
        <v>28686</v>
      </c>
      <c r="I9620" t="s">
        <v>28689</v>
      </c>
      <c r="J9620" t="s">
        <v>34784</v>
      </c>
      <c r="K9620" t="s">
        <v>37258</v>
      </c>
      <c r="M9620" t="s">
        <v>38483</v>
      </c>
      <c r="N9620" t="s">
        <v>41249</v>
      </c>
      <c r="O9620" t="s">
        <v>41250</v>
      </c>
      <c r="P9620">
        <v>0</v>
      </c>
      <c r="Q9620">
        <v>1</v>
      </c>
      <c r="R9620" t="s">
        <v>41260</v>
      </c>
      <c r="S9620" t="s">
        <v>41624</v>
      </c>
      <c r="T9620" t="s">
        <v>42811</v>
      </c>
      <c r="U9620" t="s">
        <v>50946</v>
      </c>
      <c r="W9620" t="s">
        <v>38483</v>
      </c>
      <c r="X9620" t="s">
        <v>41265</v>
      </c>
    </row>
    <row r="9621" spans="1:24">
      <c r="A9621">
        <f>HYPERLINK("https://www.philgeps.gov.ph/GEPSNONPILOT/Tender/SplashBidNoticeAbstractUI.aspx?menuIndex=3&amp;refID=7055760&amp;Result=3","7055760")</f>
        <v>0</v>
      </c>
      <c r="B9621" t="s">
        <v>1124</v>
      </c>
      <c r="C9621" t="s">
        <v>12565</v>
      </c>
      <c r="E9621" t="s">
        <v>25076</v>
      </c>
      <c r="F9621" t="s">
        <v>28669</v>
      </c>
      <c r="G9621" t="s">
        <v>28675</v>
      </c>
      <c r="H9621" t="s">
        <v>9998</v>
      </c>
      <c r="I9621" t="s">
        <v>28693</v>
      </c>
      <c r="J9621" t="s">
        <v>34785</v>
      </c>
      <c r="K9621" t="s">
        <v>37209</v>
      </c>
      <c r="M9621" t="s">
        <v>38883</v>
      </c>
      <c r="N9621" t="s">
        <v>41249</v>
      </c>
      <c r="O9621" t="s">
        <v>41250</v>
      </c>
      <c r="P9621">
        <v>0</v>
      </c>
      <c r="Q9621">
        <v>13</v>
      </c>
      <c r="R9621" t="s">
        <v>41260</v>
      </c>
      <c r="S9621" t="s">
        <v>41624</v>
      </c>
      <c r="T9621" t="s">
        <v>42759</v>
      </c>
      <c r="U9621" t="s">
        <v>50947</v>
      </c>
      <c r="W9621" t="s">
        <v>38883</v>
      </c>
      <c r="X9621" t="s">
        <v>41264</v>
      </c>
    </row>
    <row r="9622" spans="1:24">
      <c r="A9622">
        <f>HYPERLINK("https://www.philgeps.gov.ph/GEPSNONPILOT/Tender/SplashBidNoticeAbstractUI.aspx?menuIndex=3&amp;refID=7055113&amp;Result=3","7055113")</f>
        <v>0</v>
      </c>
      <c r="B9622" t="s">
        <v>1084</v>
      </c>
      <c r="C9622" t="s">
        <v>12566</v>
      </c>
      <c r="D9622" t="s">
        <v>16667</v>
      </c>
      <c r="E9622" t="s">
        <v>25077</v>
      </c>
      <c r="F9622" t="s">
        <v>28669</v>
      </c>
      <c r="G9622" t="s">
        <v>28675</v>
      </c>
      <c r="H9622" t="s">
        <v>9998</v>
      </c>
      <c r="I9622" t="s">
        <v>28690</v>
      </c>
      <c r="J9622" t="s">
        <v>34786</v>
      </c>
      <c r="K9622" t="s">
        <v>37220</v>
      </c>
      <c r="M9622" t="s">
        <v>38616</v>
      </c>
      <c r="N9622" t="s">
        <v>41249</v>
      </c>
      <c r="O9622" t="s">
        <v>41250</v>
      </c>
      <c r="P9622">
        <v>0</v>
      </c>
      <c r="Q9622">
        <v>4</v>
      </c>
      <c r="R9622" t="s">
        <v>41260</v>
      </c>
      <c r="S9622" t="s">
        <v>41624</v>
      </c>
      <c r="T9622" t="s">
        <v>42836</v>
      </c>
      <c r="U9622" t="s">
        <v>50948</v>
      </c>
      <c r="W9622" t="s">
        <v>38616</v>
      </c>
      <c r="X9622" t="s">
        <v>41265</v>
      </c>
    </row>
    <row r="9623" spans="1:24">
      <c r="A9623">
        <f>HYPERLINK("https://www.philgeps.gov.ph/GEPSNONPILOT/Tender/SplashBidNoticeAbstractUI.aspx?menuIndex=3&amp;refID=7054857&amp;Result=3","7054857")</f>
        <v>0</v>
      </c>
      <c r="B9623" t="s">
        <v>1084</v>
      </c>
      <c r="C9623" t="s">
        <v>12567</v>
      </c>
      <c r="D9623" t="s">
        <v>16667</v>
      </c>
      <c r="E9623" t="s">
        <v>25078</v>
      </c>
      <c r="F9623" t="s">
        <v>28669</v>
      </c>
      <c r="G9623" t="s">
        <v>28675</v>
      </c>
      <c r="H9623" t="s">
        <v>9998</v>
      </c>
      <c r="I9623" t="s">
        <v>5286</v>
      </c>
      <c r="J9623" t="s">
        <v>28924</v>
      </c>
      <c r="K9623" t="s">
        <v>37220</v>
      </c>
      <c r="M9623" t="s">
        <v>38616</v>
      </c>
      <c r="N9623" t="s">
        <v>41249</v>
      </c>
      <c r="O9623" t="s">
        <v>41250</v>
      </c>
      <c r="P9623">
        <v>0</v>
      </c>
      <c r="Q9623">
        <v>2</v>
      </c>
      <c r="R9623" t="s">
        <v>41260</v>
      </c>
      <c r="S9623" t="s">
        <v>41624</v>
      </c>
      <c r="T9623" t="s">
        <v>42836</v>
      </c>
      <c r="U9623" t="s">
        <v>50949</v>
      </c>
      <c r="W9623" t="s">
        <v>38616</v>
      </c>
      <c r="X9623" t="s">
        <v>41265</v>
      </c>
    </row>
    <row r="9624" spans="1:24">
      <c r="A9624">
        <f>HYPERLINK("https://www.philgeps.gov.ph/GEPSNONPILOT/Tender/SplashBidNoticeAbstractUI.aspx?menuIndex=3&amp;refID=7054458&amp;Result=3","7054458")</f>
        <v>0</v>
      </c>
      <c r="B9624" t="s">
        <v>238</v>
      </c>
      <c r="C9624" t="s">
        <v>12568</v>
      </c>
      <c r="D9624" t="s">
        <v>16640</v>
      </c>
      <c r="E9624" t="s">
        <v>25079</v>
      </c>
      <c r="F9624" t="s">
        <v>28669</v>
      </c>
      <c r="G9624" t="s">
        <v>28675</v>
      </c>
      <c r="H9624" t="s">
        <v>28686</v>
      </c>
      <c r="I9624" t="s">
        <v>28689</v>
      </c>
      <c r="J9624" t="s">
        <v>28850</v>
      </c>
      <c r="K9624" t="s">
        <v>37211</v>
      </c>
      <c r="M9624" t="s">
        <v>37716</v>
      </c>
      <c r="N9624" t="s">
        <v>41249</v>
      </c>
      <c r="O9624" t="s">
        <v>41250</v>
      </c>
      <c r="P9624">
        <v>0</v>
      </c>
      <c r="Q9624">
        <v>1</v>
      </c>
      <c r="R9624" t="s">
        <v>41260</v>
      </c>
      <c r="S9624" t="s">
        <v>41624</v>
      </c>
      <c r="T9624" t="s">
        <v>42739</v>
      </c>
      <c r="U9624" t="s">
        <v>50950</v>
      </c>
      <c r="W9624" t="s">
        <v>37716</v>
      </c>
      <c r="X9624" t="s">
        <v>41265</v>
      </c>
    </row>
    <row r="9625" spans="1:24">
      <c r="A9625">
        <f>HYPERLINK("https://www.philgeps.gov.ph/GEPSNONPILOT/Tender/SplashBidNoticeAbstractUI.aspx?menuIndex=3&amp;refID=7054375&amp;Result=3","7054375")</f>
        <v>0</v>
      </c>
      <c r="B9625" t="s">
        <v>903</v>
      </c>
      <c r="C9625" t="s">
        <v>12569</v>
      </c>
      <c r="D9625" t="s">
        <v>16678</v>
      </c>
      <c r="E9625" t="s">
        <v>25080</v>
      </c>
      <c r="F9625" t="s">
        <v>28669</v>
      </c>
      <c r="G9625" t="s">
        <v>28675</v>
      </c>
      <c r="H9625" t="s">
        <v>9998</v>
      </c>
      <c r="I9625" t="s">
        <v>28687</v>
      </c>
      <c r="J9625" t="s">
        <v>29724</v>
      </c>
      <c r="K9625" t="s">
        <v>37299</v>
      </c>
      <c r="M9625" t="s">
        <v>38424</v>
      </c>
      <c r="N9625" t="s">
        <v>41249</v>
      </c>
      <c r="O9625" t="s">
        <v>41250</v>
      </c>
      <c r="P9625">
        <v>0</v>
      </c>
      <c r="Q9625">
        <v>4</v>
      </c>
      <c r="R9625" t="s">
        <v>41260</v>
      </c>
      <c r="S9625" t="s">
        <v>41624</v>
      </c>
      <c r="T9625" t="s">
        <v>42755</v>
      </c>
      <c r="U9625" t="s">
        <v>50951</v>
      </c>
      <c r="W9625" t="s">
        <v>38424</v>
      </c>
      <c r="X9625" t="s">
        <v>41265</v>
      </c>
    </row>
    <row r="9626" spans="1:24">
      <c r="A9626">
        <f>HYPERLINK("https://www.philgeps.gov.ph/GEPSNONPILOT/Tender/SplashBidNoticeAbstractUI.aspx?menuIndex=3&amp;refID=7054211&amp;Result=3","7054211")</f>
        <v>0</v>
      </c>
      <c r="B9626" t="s">
        <v>942</v>
      </c>
      <c r="C9626" t="s">
        <v>12570</v>
      </c>
      <c r="D9626" t="s">
        <v>16620</v>
      </c>
      <c r="E9626" t="s">
        <v>25081</v>
      </c>
      <c r="F9626" t="s">
        <v>28669</v>
      </c>
      <c r="G9626" t="s">
        <v>28675</v>
      </c>
      <c r="H9626" t="s">
        <v>28686</v>
      </c>
      <c r="I9626" t="s">
        <v>28689</v>
      </c>
      <c r="J9626" t="s">
        <v>29655</v>
      </c>
      <c r="K9626" t="s">
        <v>37255</v>
      </c>
      <c r="M9626" t="s">
        <v>38465</v>
      </c>
      <c r="N9626" t="s">
        <v>41249</v>
      </c>
      <c r="O9626" t="s">
        <v>41250</v>
      </c>
      <c r="P9626">
        <v>0</v>
      </c>
      <c r="Q9626">
        <v>0</v>
      </c>
      <c r="R9626" t="s">
        <v>41260</v>
      </c>
      <c r="S9626" t="s">
        <v>41624</v>
      </c>
      <c r="T9626" t="s">
        <v>42881</v>
      </c>
      <c r="U9626" t="s">
        <v>50952</v>
      </c>
      <c r="W9626" t="s">
        <v>38465</v>
      </c>
      <c r="X9626" t="s">
        <v>41265</v>
      </c>
    </row>
    <row r="9627" spans="1:24">
      <c r="A9627">
        <f>HYPERLINK("https://www.philgeps.gov.ph/GEPSNONPILOT/Tender/SplashBidNoticeAbstractUI.aspx?menuIndex=3&amp;refID=7052148&amp;Result=3","7052148")</f>
        <v>0</v>
      </c>
      <c r="B9627" t="s">
        <v>2806</v>
      </c>
      <c r="C9627" t="s">
        <v>12571</v>
      </c>
      <c r="D9627" t="s">
        <v>16691</v>
      </c>
      <c r="E9627" t="s">
        <v>25082</v>
      </c>
      <c r="F9627" t="s">
        <v>28669</v>
      </c>
      <c r="G9627" t="s">
        <v>28675</v>
      </c>
      <c r="H9627" t="s">
        <v>9998</v>
      </c>
      <c r="I9627" t="s">
        <v>7352</v>
      </c>
      <c r="J9627" t="s">
        <v>34787</v>
      </c>
      <c r="K9627" t="s">
        <v>37205</v>
      </c>
      <c r="M9627" t="s">
        <v>40533</v>
      </c>
      <c r="N9627" t="s">
        <v>41249</v>
      </c>
      <c r="O9627" t="s">
        <v>41250</v>
      </c>
      <c r="P9627">
        <v>0</v>
      </c>
      <c r="Q9627">
        <v>0</v>
      </c>
      <c r="R9627" t="s">
        <v>41260</v>
      </c>
      <c r="S9627" t="s">
        <v>41624</v>
      </c>
      <c r="T9627" t="s">
        <v>42760</v>
      </c>
      <c r="U9627" t="s">
        <v>44974</v>
      </c>
      <c r="W9627" t="s">
        <v>40533</v>
      </c>
      <c r="X9627" t="s">
        <v>41266</v>
      </c>
    </row>
    <row r="9628" spans="1:24">
      <c r="A9628">
        <f>HYPERLINK("https://www.philgeps.gov.ph/GEPSNONPILOT/Tender/SplashBidNoticeAbstractUI.aspx?menuIndex=3&amp;refID=7052099&amp;Result=3","7052099")</f>
        <v>0</v>
      </c>
      <c r="B9628" t="s">
        <v>2806</v>
      </c>
      <c r="C9628" t="s">
        <v>12572</v>
      </c>
      <c r="D9628" t="s">
        <v>16691</v>
      </c>
      <c r="E9628" t="s">
        <v>25083</v>
      </c>
      <c r="F9628" t="s">
        <v>28669</v>
      </c>
      <c r="G9628" t="s">
        <v>28675</v>
      </c>
      <c r="H9628" t="s">
        <v>9998</v>
      </c>
      <c r="I9628" t="s">
        <v>28696</v>
      </c>
      <c r="J9628" t="s">
        <v>34788</v>
      </c>
      <c r="K9628" t="s">
        <v>37205</v>
      </c>
      <c r="M9628" t="s">
        <v>40533</v>
      </c>
      <c r="N9628" t="s">
        <v>41249</v>
      </c>
      <c r="O9628" t="s">
        <v>41250</v>
      </c>
      <c r="P9628">
        <v>0</v>
      </c>
      <c r="Q9628">
        <v>1</v>
      </c>
      <c r="R9628" t="s">
        <v>41260</v>
      </c>
      <c r="S9628" t="s">
        <v>41624</v>
      </c>
      <c r="T9628" t="s">
        <v>42760</v>
      </c>
      <c r="U9628" t="s">
        <v>44974</v>
      </c>
      <c r="W9628" t="s">
        <v>40533</v>
      </c>
      <c r="X9628" t="s">
        <v>41266</v>
      </c>
    </row>
    <row r="9629" spans="1:24">
      <c r="A9629">
        <f>HYPERLINK("https://www.philgeps.gov.ph/GEPSNONPILOT/Tender/SplashBidNoticeAbstractUI.aspx?menuIndex=3&amp;refID=7054532&amp;Result=3","7054532")</f>
        <v>0</v>
      </c>
      <c r="B9629" t="s">
        <v>238</v>
      </c>
      <c r="C9629" t="s">
        <v>12573</v>
      </c>
      <c r="D9629" t="s">
        <v>16640</v>
      </c>
      <c r="E9629" t="s">
        <v>25084</v>
      </c>
      <c r="F9629" t="s">
        <v>28669</v>
      </c>
      <c r="G9629" t="s">
        <v>28675</v>
      </c>
      <c r="H9629" t="s">
        <v>9998</v>
      </c>
      <c r="I9629" t="s">
        <v>28687</v>
      </c>
      <c r="J9629" t="s">
        <v>29847</v>
      </c>
      <c r="K9629" t="s">
        <v>37209</v>
      </c>
      <c r="M9629" t="s">
        <v>37716</v>
      </c>
      <c r="N9629" t="s">
        <v>41249</v>
      </c>
      <c r="O9629" t="s">
        <v>41250</v>
      </c>
      <c r="P9629">
        <v>0</v>
      </c>
      <c r="Q9629">
        <v>11</v>
      </c>
      <c r="R9629" t="s">
        <v>41260</v>
      </c>
      <c r="S9629" t="s">
        <v>41624</v>
      </c>
      <c r="T9629" t="s">
        <v>42700</v>
      </c>
      <c r="U9629" t="s">
        <v>50953</v>
      </c>
      <c r="W9629" t="s">
        <v>37716</v>
      </c>
      <c r="X9629" t="s">
        <v>41265</v>
      </c>
    </row>
    <row r="9630" spans="1:24">
      <c r="A9630">
        <f>HYPERLINK("https://www.philgeps.gov.ph/GEPSNONPILOT/Tender/SplashBidNoticeAbstractUI.aspx?menuIndex=3&amp;refID=7055789&amp;Result=3","7055789")</f>
        <v>0</v>
      </c>
      <c r="B9630" t="s">
        <v>1057</v>
      </c>
      <c r="C9630" t="s">
        <v>12574</v>
      </c>
      <c r="D9630" t="s">
        <v>16626</v>
      </c>
      <c r="E9630" t="s">
        <v>25085</v>
      </c>
      <c r="F9630" t="s">
        <v>28669</v>
      </c>
      <c r="G9630" t="s">
        <v>28675</v>
      </c>
      <c r="H9630" t="s">
        <v>28686</v>
      </c>
      <c r="I9630" t="s">
        <v>28689</v>
      </c>
      <c r="J9630" t="s">
        <v>34789</v>
      </c>
      <c r="K9630" t="s">
        <v>37429</v>
      </c>
      <c r="M9630" t="s">
        <v>38588</v>
      </c>
      <c r="N9630" t="s">
        <v>41249</v>
      </c>
      <c r="O9630" t="s">
        <v>41250</v>
      </c>
      <c r="Q9630">
        <v>5</v>
      </c>
      <c r="R9630" t="s">
        <v>41260</v>
      </c>
      <c r="S9630" t="s">
        <v>41628</v>
      </c>
      <c r="T9630" t="s">
        <v>42755</v>
      </c>
      <c r="U9630" t="s">
        <v>45338</v>
      </c>
      <c r="W9630" t="s">
        <v>38588</v>
      </c>
      <c r="X9630" t="s">
        <v>41264</v>
      </c>
    </row>
    <row r="9631" spans="1:24">
      <c r="A9631">
        <f>HYPERLINK("https://www.philgeps.gov.ph/GEPSNONPILOT/Tender/SplashBidNoticeAbstractUI.aspx?menuIndex=3&amp;refID=7037731-2&amp;Result=3","7037731-2")</f>
        <v>0</v>
      </c>
      <c r="B9631" t="s">
        <v>2807</v>
      </c>
      <c r="C9631" t="s">
        <v>12575</v>
      </c>
      <c r="D9631" t="s">
        <v>16671</v>
      </c>
      <c r="E9631" t="s">
        <v>25086</v>
      </c>
      <c r="F9631" t="s">
        <v>28669</v>
      </c>
      <c r="G9631" t="s">
        <v>28675</v>
      </c>
      <c r="H9631" t="s">
        <v>28685</v>
      </c>
      <c r="I9631" t="s">
        <v>28685</v>
      </c>
      <c r="J9631" t="s">
        <v>34790</v>
      </c>
      <c r="K9631" t="s">
        <v>37220</v>
      </c>
      <c r="M9631" t="s">
        <v>40534</v>
      </c>
      <c r="N9631" t="s">
        <v>41249</v>
      </c>
      <c r="O9631" t="s">
        <v>41250</v>
      </c>
      <c r="P9631">
        <v>0</v>
      </c>
      <c r="Q9631">
        <v>1</v>
      </c>
      <c r="R9631" t="s">
        <v>41260</v>
      </c>
      <c r="S9631" t="s">
        <v>41624</v>
      </c>
      <c r="T9631" t="s">
        <v>42679</v>
      </c>
      <c r="U9631" t="s">
        <v>50954</v>
      </c>
      <c r="W9631" t="s">
        <v>40534</v>
      </c>
      <c r="X9631" t="s">
        <v>41261</v>
      </c>
    </row>
    <row r="9632" spans="1:24">
      <c r="A9632">
        <f>HYPERLINK("https://www.philgeps.gov.ph/GEPSNONPILOT/Tender/SplashBidNoticeAbstractUI.aspx?menuIndex=3&amp;refID=7056176&amp;Result=3","7056176")</f>
        <v>0</v>
      </c>
      <c r="B9632" t="s">
        <v>2107</v>
      </c>
      <c r="C9632" t="s">
        <v>12576</v>
      </c>
      <c r="E9632" t="s">
        <v>25087</v>
      </c>
      <c r="F9632" t="s">
        <v>28669</v>
      </c>
      <c r="G9632" t="s">
        <v>28675</v>
      </c>
      <c r="H9632" t="s">
        <v>9998</v>
      </c>
      <c r="I9632" t="s">
        <v>28726</v>
      </c>
      <c r="J9632" t="s">
        <v>32099</v>
      </c>
      <c r="K9632" t="s">
        <v>37209</v>
      </c>
      <c r="M9632" t="s">
        <v>39750</v>
      </c>
      <c r="N9632" t="s">
        <v>41249</v>
      </c>
      <c r="O9632" t="s">
        <v>41250</v>
      </c>
      <c r="P9632">
        <v>0</v>
      </c>
      <c r="Q9632">
        <v>2</v>
      </c>
      <c r="R9632" t="s">
        <v>41260</v>
      </c>
      <c r="S9632" t="s">
        <v>41624</v>
      </c>
      <c r="T9632" t="s">
        <v>42782</v>
      </c>
      <c r="U9632" t="s">
        <v>50955</v>
      </c>
      <c r="W9632" t="s">
        <v>39750</v>
      </c>
      <c r="X9632" t="s">
        <v>41264</v>
      </c>
    </row>
    <row r="9633" spans="1:24">
      <c r="A9633">
        <f>HYPERLINK("https://www.philgeps.gov.ph/GEPSNONPILOT/Tender/SplashBidNoticeAbstractUI.aspx?menuIndex=3&amp;refID=7037492-2&amp;Result=3","7037492-2")</f>
        <v>0</v>
      </c>
      <c r="B9633" t="s">
        <v>2807</v>
      </c>
      <c r="C9633" t="s">
        <v>12577</v>
      </c>
      <c r="D9633" t="s">
        <v>16671</v>
      </c>
      <c r="E9633" t="s">
        <v>25088</v>
      </c>
      <c r="F9633" t="s">
        <v>28669</v>
      </c>
      <c r="G9633" t="s">
        <v>28675</v>
      </c>
      <c r="H9633" t="s">
        <v>28685</v>
      </c>
      <c r="I9633" t="s">
        <v>28685</v>
      </c>
      <c r="J9633" t="s">
        <v>34791</v>
      </c>
      <c r="K9633" t="s">
        <v>37206</v>
      </c>
      <c r="M9633" t="s">
        <v>40534</v>
      </c>
      <c r="N9633" t="s">
        <v>41249</v>
      </c>
      <c r="O9633" t="s">
        <v>41250</v>
      </c>
      <c r="P9633">
        <v>0</v>
      </c>
      <c r="Q9633">
        <v>1</v>
      </c>
      <c r="R9633" t="s">
        <v>41260</v>
      </c>
      <c r="S9633" t="s">
        <v>41624</v>
      </c>
      <c r="T9633" t="s">
        <v>42679</v>
      </c>
      <c r="U9633" t="s">
        <v>50956</v>
      </c>
      <c r="W9633" t="s">
        <v>40534</v>
      </c>
      <c r="X9633" t="s">
        <v>41261</v>
      </c>
    </row>
    <row r="9634" spans="1:24">
      <c r="A9634">
        <f>HYPERLINK("https://www.philgeps.gov.ph/GEPSNONPILOT/Tender/SplashBidNoticeAbstractUI.aspx?menuIndex=3&amp;refID=7057026&amp;Result=3","7057026")</f>
        <v>0</v>
      </c>
      <c r="B9634" t="s">
        <v>1769</v>
      </c>
      <c r="C9634" t="s">
        <v>12578</v>
      </c>
      <c r="D9634" t="s">
        <v>16648</v>
      </c>
      <c r="E9634" t="s">
        <v>25089</v>
      </c>
      <c r="F9634" t="s">
        <v>28669</v>
      </c>
      <c r="G9634" t="s">
        <v>28675</v>
      </c>
      <c r="H9634" t="s">
        <v>28685</v>
      </c>
      <c r="I9634" t="s">
        <v>28685</v>
      </c>
      <c r="J9634" t="s">
        <v>34792</v>
      </c>
      <c r="K9634" t="s">
        <v>37303</v>
      </c>
      <c r="M9634" t="s">
        <v>39371</v>
      </c>
      <c r="N9634" t="s">
        <v>41249</v>
      </c>
      <c r="O9634" t="s">
        <v>41250</v>
      </c>
      <c r="P9634">
        <v>0</v>
      </c>
      <c r="Q9634">
        <v>4</v>
      </c>
      <c r="R9634" t="s">
        <v>41260</v>
      </c>
      <c r="S9634" t="s">
        <v>41624</v>
      </c>
      <c r="T9634" t="s">
        <v>42692</v>
      </c>
      <c r="U9634" t="s">
        <v>50957</v>
      </c>
      <c r="W9634" t="s">
        <v>39371</v>
      </c>
      <c r="X9634" t="s">
        <v>41264</v>
      </c>
    </row>
    <row r="9635" spans="1:24">
      <c r="A9635">
        <f>HYPERLINK("https://www.philgeps.gov.ph/GEPSNONPILOT/Tender/SplashBidNoticeAbstractUI.aspx?menuIndex=3&amp;refID=7057369&amp;Result=3","7057369")</f>
        <v>0</v>
      </c>
      <c r="B9635" t="s">
        <v>51</v>
      </c>
      <c r="C9635" t="s">
        <v>3542</v>
      </c>
      <c r="D9635" t="s">
        <v>16631</v>
      </c>
      <c r="E9635" t="s">
        <v>25090</v>
      </c>
      <c r="F9635" t="s">
        <v>28669</v>
      </c>
      <c r="G9635" t="s">
        <v>28675</v>
      </c>
      <c r="H9635" t="s">
        <v>9998</v>
      </c>
      <c r="I9635" t="s">
        <v>28687</v>
      </c>
      <c r="J9635" t="s">
        <v>29724</v>
      </c>
      <c r="K9635" t="s">
        <v>37206</v>
      </c>
      <c r="M9635" t="s">
        <v>37526</v>
      </c>
      <c r="N9635" t="s">
        <v>41249</v>
      </c>
      <c r="O9635" t="s">
        <v>41250</v>
      </c>
      <c r="P9635">
        <v>0</v>
      </c>
      <c r="Q9635">
        <v>2</v>
      </c>
      <c r="R9635" t="s">
        <v>41260</v>
      </c>
      <c r="S9635" t="s">
        <v>41624</v>
      </c>
      <c r="T9635" t="s">
        <v>43036</v>
      </c>
      <c r="U9635" t="s">
        <v>43234</v>
      </c>
      <c r="V9635" t="s">
        <v>55326</v>
      </c>
      <c r="W9635" t="s">
        <v>37526</v>
      </c>
      <c r="X9635" t="s">
        <v>41264</v>
      </c>
    </row>
    <row r="9636" spans="1:24">
      <c r="A9636">
        <f>HYPERLINK("https://www.philgeps.gov.ph/GEPSNONPILOT/Tender/SplashBidNoticeAbstractUI.aspx?menuIndex=3&amp;refID=7056926&amp;Result=3","7056926")</f>
        <v>0</v>
      </c>
      <c r="B9636" t="s">
        <v>2808</v>
      </c>
      <c r="C9636" t="s">
        <v>12579</v>
      </c>
      <c r="D9636" t="s">
        <v>16627</v>
      </c>
      <c r="E9636" t="s">
        <v>25091</v>
      </c>
      <c r="F9636" t="s">
        <v>28669</v>
      </c>
      <c r="G9636" t="s">
        <v>28675</v>
      </c>
      <c r="H9636" t="s">
        <v>28686</v>
      </c>
      <c r="I9636" t="s">
        <v>28689</v>
      </c>
      <c r="J9636" t="s">
        <v>34793</v>
      </c>
      <c r="K9636" t="s">
        <v>37208</v>
      </c>
      <c r="M9636" t="s">
        <v>40535</v>
      </c>
      <c r="N9636" t="s">
        <v>41249</v>
      </c>
      <c r="O9636" t="s">
        <v>41250</v>
      </c>
      <c r="P9636">
        <v>0</v>
      </c>
      <c r="Q9636">
        <v>2</v>
      </c>
      <c r="R9636" t="s">
        <v>41260</v>
      </c>
      <c r="S9636" t="s">
        <v>41624</v>
      </c>
      <c r="T9636" t="s">
        <v>42755</v>
      </c>
      <c r="U9636" t="s">
        <v>50958</v>
      </c>
      <c r="W9636" t="s">
        <v>40535</v>
      </c>
      <c r="X9636" t="s">
        <v>41264</v>
      </c>
    </row>
    <row r="9637" spans="1:24">
      <c r="A9637">
        <f>HYPERLINK("https://www.philgeps.gov.ph/GEPSNONPILOT/Tender/SplashBidNoticeAbstractUI.aspx?menuIndex=3&amp;refID=7056798&amp;Result=3","7056798")</f>
        <v>0</v>
      </c>
      <c r="B9637" t="s">
        <v>1084</v>
      </c>
      <c r="C9637" t="s">
        <v>12580</v>
      </c>
      <c r="D9637" t="s">
        <v>16667</v>
      </c>
      <c r="E9637" t="s">
        <v>25092</v>
      </c>
      <c r="F9637" t="s">
        <v>28669</v>
      </c>
      <c r="G9637" t="s">
        <v>28675</v>
      </c>
      <c r="H9637" t="s">
        <v>9998</v>
      </c>
      <c r="I9637" t="s">
        <v>8667</v>
      </c>
      <c r="J9637" t="s">
        <v>29513</v>
      </c>
      <c r="K9637" t="s">
        <v>37220</v>
      </c>
      <c r="M9637" t="s">
        <v>38616</v>
      </c>
      <c r="N9637" t="s">
        <v>41249</v>
      </c>
      <c r="O9637" t="s">
        <v>41250</v>
      </c>
      <c r="P9637">
        <v>0</v>
      </c>
      <c r="Q9637">
        <v>0</v>
      </c>
      <c r="R9637" t="s">
        <v>41260</v>
      </c>
      <c r="S9637" t="s">
        <v>41624</v>
      </c>
      <c r="T9637" t="s">
        <v>42836</v>
      </c>
      <c r="U9637" t="s">
        <v>50959</v>
      </c>
      <c r="W9637" t="s">
        <v>38616</v>
      </c>
      <c r="X9637" t="s">
        <v>41264</v>
      </c>
    </row>
    <row r="9638" spans="1:24">
      <c r="A9638">
        <f>HYPERLINK("https://www.philgeps.gov.ph/GEPSNONPILOT/Tender/SplashBidNoticeAbstractUI.aspx?menuIndex=3&amp;refID=7056447&amp;Result=3","7056447")</f>
        <v>0</v>
      </c>
      <c r="B9638" t="s">
        <v>826</v>
      </c>
      <c r="C9638" t="s">
        <v>12581</v>
      </c>
      <c r="D9638" t="s">
        <v>16626</v>
      </c>
      <c r="E9638" t="s">
        <v>25093</v>
      </c>
      <c r="F9638" t="s">
        <v>28669</v>
      </c>
      <c r="G9638" t="s">
        <v>28675</v>
      </c>
      <c r="H9638" t="s">
        <v>28686</v>
      </c>
      <c r="I9638" t="s">
        <v>28689</v>
      </c>
      <c r="J9638" t="s">
        <v>34794</v>
      </c>
      <c r="K9638" t="s">
        <v>37221</v>
      </c>
      <c r="M9638" t="s">
        <v>40536</v>
      </c>
      <c r="N9638" t="s">
        <v>41249</v>
      </c>
      <c r="O9638" t="s">
        <v>41250</v>
      </c>
      <c r="P9638">
        <v>0</v>
      </c>
      <c r="Q9638">
        <v>4</v>
      </c>
      <c r="R9638" t="s">
        <v>41260</v>
      </c>
      <c r="S9638" t="s">
        <v>41624</v>
      </c>
      <c r="T9638" t="s">
        <v>42659</v>
      </c>
      <c r="U9638" t="s">
        <v>50960</v>
      </c>
      <c r="W9638" t="s">
        <v>40536</v>
      </c>
      <c r="X9638" t="s">
        <v>41264</v>
      </c>
    </row>
    <row r="9639" spans="1:24">
      <c r="A9639">
        <f>HYPERLINK("https://www.philgeps.gov.ph/GEPSNONPILOT/Tender/SplashBidNoticeAbstractUI.aspx?menuIndex=3&amp;refID=7057347&amp;Result=3","7057347")</f>
        <v>0</v>
      </c>
      <c r="B9639" t="s">
        <v>2808</v>
      </c>
      <c r="C9639" t="s">
        <v>12582</v>
      </c>
      <c r="D9639" t="s">
        <v>16627</v>
      </c>
      <c r="E9639" t="s">
        <v>25094</v>
      </c>
      <c r="F9639" t="s">
        <v>28669</v>
      </c>
      <c r="G9639" t="s">
        <v>28675</v>
      </c>
      <c r="H9639" t="s">
        <v>9998</v>
      </c>
      <c r="I9639" t="s">
        <v>7352</v>
      </c>
      <c r="J9639" t="s">
        <v>34795</v>
      </c>
      <c r="K9639" t="s">
        <v>37204</v>
      </c>
      <c r="M9639" t="s">
        <v>40535</v>
      </c>
      <c r="N9639" t="s">
        <v>41249</v>
      </c>
      <c r="O9639" t="s">
        <v>41250</v>
      </c>
      <c r="P9639">
        <v>0</v>
      </c>
      <c r="Q9639">
        <v>3</v>
      </c>
      <c r="R9639" t="s">
        <v>41260</v>
      </c>
      <c r="S9639" t="s">
        <v>41624</v>
      </c>
      <c r="T9639" t="s">
        <v>42755</v>
      </c>
      <c r="U9639" t="s">
        <v>50961</v>
      </c>
      <c r="W9639" t="s">
        <v>40535</v>
      </c>
      <c r="X9639" t="s">
        <v>41264</v>
      </c>
    </row>
    <row r="9640" spans="1:24">
      <c r="A9640">
        <f>HYPERLINK("https://www.philgeps.gov.ph/GEPSNONPILOT/Tender/SplashBidNoticeAbstractUI.aspx?menuIndex=3&amp;refID=7056058&amp;Result=3","7056058")</f>
        <v>0</v>
      </c>
      <c r="B9640" t="s">
        <v>101</v>
      </c>
      <c r="C9640" t="s">
        <v>12583</v>
      </c>
      <c r="D9640" t="s">
        <v>16644</v>
      </c>
      <c r="E9640" t="s">
        <v>25095</v>
      </c>
      <c r="F9640" t="s">
        <v>28669</v>
      </c>
      <c r="G9640" t="s">
        <v>28675</v>
      </c>
      <c r="H9640" t="s">
        <v>28686</v>
      </c>
      <c r="I9640" t="s">
        <v>28725</v>
      </c>
      <c r="J9640" t="s">
        <v>34796</v>
      </c>
      <c r="K9640" t="s">
        <v>37215</v>
      </c>
      <c r="M9640" t="s">
        <v>40537</v>
      </c>
      <c r="N9640" t="s">
        <v>41249</v>
      </c>
      <c r="O9640" t="s">
        <v>41250</v>
      </c>
      <c r="P9640">
        <v>0</v>
      </c>
      <c r="Q9640">
        <v>6</v>
      </c>
      <c r="R9640" t="s">
        <v>41260</v>
      </c>
      <c r="S9640" t="s">
        <v>41624</v>
      </c>
      <c r="T9640" t="s">
        <v>42987</v>
      </c>
      <c r="U9640" t="s">
        <v>50962</v>
      </c>
      <c r="W9640" t="s">
        <v>40537</v>
      </c>
      <c r="X9640" t="s">
        <v>41264</v>
      </c>
    </row>
    <row r="9641" spans="1:24">
      <c r="A9641">
        <f>HYPERLINK("https://www.philgeps.gov.ph/GEPSNONPILOT/Tender/SplashBidNoticeAbstractUI.aspx?menuIndex=3&amp;refID=7037629-2&amp;Result=3","7037629-2")</f>
        <v>0</v>
      </c>
      <c r="B9641" t="s">
        <v>2807</v>
      </c>
      <c r="C9641" t="s">
        <v>12584</v>
      </c>
      <c r="D9641" t="s">
        <v>16671</v>
      </c>
      <c r="E9641" t="s">
        <v>25096</v>
      </c>
      <c r="F9641" t="s">
        <v>28669</v>
      </c>
      <c r="G9641" t="s">
        <v>28675</v>
      </c>
      <c r="H9641" t="s">
        <v>28685</v>
      </c>
      <c r="I9641" t="s">
        <v>28685</v>
      </c>
      <c r="J9641" t="s">
        <v>34790</v>
      </c>
      <c r="K9641" t="s">
        <v>37220</v>
      </c>
      <c r="M9641" t="s">
        <v>40534</v>
      </c>
      <c r="N9641" t="s">
        <v>41249</v>
      </c>
      <c r="O9641" t="s">
        <v>41250</v>
      </c>
      <c r="P9641">
        <v>0</v>
      </c>
      <c r="Q9641">
        <v>1</v>
      </c>
      <c r="R9641" t="s">
        <v>41260</v>
      </c>
      <c r="S9641" t="s">
        <v>41624</v>
      </c>
      <c r="T9641" t="s">
        <v>42679</v>
      </c>
      <c r="U9641" t="s">
        <v>50963</v>
      </c>
      <c r="W9641" t="s">
        <v>40534</v>
      </c>
      <c r="X9641" t="s">
        <v>41261</v>
      </c>
    </row>
    <row r="9642" spans="1:24">
      <c r="A9642">
        <f>HYPERLINK("https://www.philgeps.gov.ph/GEPSNONPILOT/Tender/SplashBidNoticeAbstractUI.aspx?menuIndex=3&amp;refID=7056419&amp;Result=3","7056419")</f>
        <v>0</v>
      </c>
      <c r="B9642" t="s">
        <v>1084</v>
      </c>
      <c r="C9642" t="s">
        <v>12585</v>
      </c>
      <c r="D9642" t="s">
        <v>16667</v>
      </c>
      <c r="E9642" t="s">
        <v>25097</v>
      </c>
      <c r="F9642" t="s">
        <v>28669</v>
      </c>
      <c r="G9642" t="s">
        <v>28675</v>
      </c>
      <c r="H9642" t="s">
        <v>9998</v>
      </c>
      <c r="I9642" t="s">
        <v>15140</v>
      </c>
      <c r="J9642" t="s">
        <v>34797</v>
      </c>
      <c r="K9642" t="s">
        <v>37220</v>
      </c>
      <c r="M9642" t="s">
        <v>38616</v>
      </c>
      <c r="N9642" t="s">
        <v>41249</v>
      </c>
      <c r="O9642" t="s">
        <v>41250</v>
      </c>
      <c r="P9642">
        <v>0</v>
      </c>
      <c r="Q9642">
        <v>0</v>
      </c>
      <c r="R9642" t="s">
        <v>41260</v>
      </c>
      <c r="S9642" t="s">
        <v>41624</v>
      </c>
      <c r="T9642" t="s">
        <v>42836</v>
      </c>
      <c r="U9642" t="s">
        <v>50964</v>
      </c>
      <c r="W9642" t="s">
        <v>38616</v>
      </c>
      <c r="X9642" t="s">
        <v>41264</v>
      </c>
    </row>
    <row r="9643" spans="1:24">
      <c r="A9643">
        <f>HYPERLINK("https://www.philgeps.gov.ph/GEPSNONPILOT/Tender/SplashBidNoticeAbstractUI.aspx?menuIndex=3&amp;refID=7056341&amp;Result=3","7056341")</f>
        <v>0</v>
      </c>
      <c r="B9643" t="s">
        <v>1084</v>
      </c>
      <c r="C9643" t="s">
        <v>12586</v>
      </c>
      <c r="D9643" t="s">
        <v>16667</v>
      </c>
      <c r="E9643" t="s">
        <v>25098</v>
      </c>
      <c r="F9643" t="s">
        <v>28669</v>
      </c>
      <c r="G9643" t="s">
        <v>28675</v>
      </c>
      <c r="H9643" t="s">
        <v>9998</v>
      </c>
      <c r="I9643" t="s">
        <v>5213</v>
      </c>
      <c r="J9643" t="s">
        <v>34798</v>
      </c>
      <c r="K9643" t="s">
        <v>37220</v>
      </c>
      <c r="M9643" t="s">
        <v>38616</v>
      </c>
      <c r="N9643" t="s">
        <v>41249</v>
      </c>
      <c r="O9643" t="s">
        <v>41250</v>
      </c>
      <c r="P9643">
        <v>0</v>
      </c>
      <c r="Q9643">
        <v>0</v>
      </c>
      <c r="R9643" t="s">
        <v>41260</v>
      </c>
      <c r="S9643" t="s">
        <v>41624</v>
      </c>
      <c r="T9643" t="s">
        <v>42836</v>
      </c>
      <c r="U9643" t="s">
        <v>50965</v>
      </c>
      <c r="W9643" t="s">
        <v>38616</v>
      </c>
      <c r="X9643" t="s">
        <v>41264</v>
      </c>
    </row>
    <row r="9644" spans="1:24">
      <c r="A9644">
        <f>HYPERLINK("https://www.philgeps.gov.ph/GEPSNONPILOT/Tender/SplashBidNoticeAbstractUI.aspx?menuIndex=3&amp;refID=7058050&amp;Result=3","7058050")</f>
        <v>0</v>
      </c>
      <c r="B9644" t="s">
        <v>2809</v>
      </c>
      <c r="C9644" t="s">
        <v>12587</v>
      </c>
      <c r="D9644" t="s">
        <v>16643</v>
      </c>
      <c r="E9644" t="s">
        <v>25099</v>
      </c>
      <c r="F9644" t="s">
        <v>28669</v>
      </c>
      <c r="G9644" t="s">
        <v>28675</v>
      </c>
      <c r="H9644" t="s">
        <v>9998</v>
      </c>
      <c r="I9644" t="s">
        <v>28701</v>
      </c>
      <c r="J9644" t="s">
        <v>34799</v>
      </c>
      <c r="K9644" t="s">
        <v>37209</v>
      </c>
      <c r="M9644" t="s">
        <v>40538</v>
      </c>
      <c r="N9644" t="s">
        <v>41249</v>
      </c>
      <c r="O9644" t="s">
        <v>41250</v>
      </c>
      <c r="P9644">
        <v>0</v>
      </c>
      <c r="Q9644">
        <v>5</v>
      </c>
      <c r="R9644" t="s">
        <v>41260</v>
      </c>
      <c r="S9644" t="s">
        <v>41624</v>
      </c>
      <c r="T9644" t="s">
        <v>42966</v>
      </c>
      <c r="U9644" t="s">
        <v>50966</v>
      </c>
      <c r="W9644" t="s">
        <v>40538</v>
      </c>
      <c r="X9644" t="s">
        <v>41264</v>
      </c>
    </row>
    <row r="9645" spans="1:24">
      <c r="A9645">
        <f>HYPERLINK("https://www.philgeps.gov.ph/GEPSNONPILOT/Tender/SplashBidNoticeAbstractUI.aspx?menuIndex=3&amp;refID=7057661&amp;Result=3","7057661")</f>
        <v>0</v>
      </c>
      <c r="B9645" t="s">
        <v>51</v>
      </c>
      <c r="C9645" t="s">
        <v>12588</v>
      </c>
      <c r="D9645" t="s">
        <v>16631</v>
      </c>
      <c r="E9645" t="s">
        <v>25100</v>
      </c>
      <c r="F9645" t="s">
        <v>28669</v>
      </c>
      <c r="G9645" t="s">
        <v>28675</v>
      </c>
      <c r="H9645" t="s">
        <v>28686</v>
      </c>
      <c r="I9645" t="s">
        <v>28689</v>
      </c>
      <c r="J9645" t="s">
        <v>34800</v>
      </c>
      <c r="K9645" t="s">
        <v>37213</v>
      </c>
      <c r="M9645" t="s">
        <v>38699</v>
      </c>
      <c r="N9645" t="s">
        <v>41249</v>
      </c>
      <c r="O9645" t="s">
        <v>41250</v>
      </c>
      <c r="P9645">
        <v>0</v>
      </c>
      <c r="Q9645">
        <v>1</v>
      </c>
      <c r="R9645" t="s">
        <v>41260</v>
      </c>
      <c r="S9645" t="s">
        <v>41624</v>
      </c>
      <c r="T9645" t="s">
        <v>42668</v>
      </c>
      <c r="U9645" t="s">
        <v>50967</v>
      </c>
      <c r="W9645" t="s">
        <v>38699</v>
      </c>
      <c r="X9645" t="s">
        <v>41264</v>
      </c>
    </row>
    <row r="9646" spans="1:24">
      <c r="A9646">
        <f>HYPERLINK("https://www.philgeps.gov.ph/GEPSNONPILOT/Tender/SplashBidNoticeAbstractUI.aspx?menuIndex=3&amp;refID=7056914&amp;Result=3","7056914")</f>
        <v>0</v>
      </c>
      <c r="B9646" t="s">
        <v>1084</v>
      </c>
      <c r="C9646" t="s">
        <v>12589</v>
      </c>
      <c r="D9646" t="s">
        <v>16667</v>
      </c>
      <c r="E9646" t="s">
        <v>25101</v>
      </c>
      <c r="F9646" t="s">
        <v>28669</v>
      </c>
      <c r="G9646" t="s">
        <v>28675</v>
      </c>
      <c r="H9646" t="s">
        <v>28684</v>
      </c>
      <c r="I9646" t="s">
        <v>28806</v>
      </c>
      <c r="J9646" t="s">
        <v>28877</v>
      </c>
      <c r="K9646" t="s">
        <v>37220</v>
      </c>
      <c r="M9646" t="s">
        <v>38616</v>
      </c>
      <c r="N9646" t="s">
        <v>41249</v>
      </c>
      <c r="O9646" t="s">
        <v>41250</v>
      </c>
      <c r="P9646">
        <v>0</v>
      </c>
      <c r="Q9646">
        <v>0</v>
      </c>
      <c r="R9646" t="s">
        <v>41260</v>
      </c>
      <c r="S9646" t="s">
        <v>41624</v>
      </c>
      <c r="T9646" t="s">
        <v>42836</v>
      </c>
      <c r="U9646" t="s">
        <v>50968</v>
      </c>
      <c r="W9646" t="s">
        <v>38616</v>
      </c>
      <c r="X9646" t="s">
        <v>41264</v>
      </c>
    </row>
    <row r="9647" spans="1:24">
      <c r="A9647">
        <f>HYPERLINK("https://www.philgeps.gov.ph/GEPSNONPILOT/Tender/SplashBidNoticeAbstractUI.aspx?menuIndex=3&amp;refID=7057409&amp;Result=3","7057409")</f>
        <v>0</v>
      </c>
      <c r="B9647" t="s">
        <v>51</v>
      </c>
      <c r="C9647" t="s">
        <v>3542</v>
      </c>
      <c r="D9647" t="s">
        <v>16631</v>
      </c>
      <c r="E9647" t="s">
        <v>25102</v>
      </c>
      <c r="F9647" t="s">
        <v>28669</v>
      </c>
      <c r="G9647" t="s">
        <v>28675</v>
      </c>
      <c r="H9647" t="s">
        <v>9998</v>
      </c>
      <c r="I9647" t="s">
        <v>28687</v>
      </c>
      <c r="J9647" t="s">
        <v>34801</v>
      </c>
      <c r="K9647" t="s">
        <v>37206</v>
      </c>
      <c r="M9647" t="s">
        <v>37526</v>
      </c>
      <c r="N9647" t="s">
        <v>41249</v>
      </c>
      <c r="O9647" t="s">
        <v>41250</v>
      </c>
      <c r="P9647">
        <v>0</v>
      </c>
      <c r="Q9647">
        <v>4</v>
      </c>
      <c r="R9647" t="s">
        <v>41260</v>
      </c>
      <c r="S9647" t="s">
        <v>41624</v>
      </c>
      <c r="T9647" t="s">
        <v>43036</v>
      </c>
      <c r="U9647" t="s">
        <v>43230</v>
      </c>
      <c r="V9647" t="s">
        <v>55327</v>
      </c>
      <c r="W9647" t="s">
        <v>37526</v>
      </c>
      <c r="X9647" t="s">
        <v>41264</v>
      </c>
    </row>
    <row r="9648" spans="1:24">
      <c r="A9648">
        <f>HYPERLINK("https://www.philgeps.gov.ph/GEPSNONPILOT/Tender/SplashBidNoticeAbstractUI.aspx?menuIndex=3&amp;refID=7057383&amp;Result=3","7057383")</f>
        <v>0</v>
      </c>
      <c r="B9648" t="s">
        <v>942</v>
      </c>
      <c r="C9648" t="s">
        <v>12590</v>
      </c>
      <c r="D9648" t="s">
        <v>16620</v>
      </c>
      <c r="E9648" t="s">
        <v>25103</v>
      </c>
      <c r="F9648" t="s">
        <v>28669</v>
      </c>
      <c r="G9648" t="s">
        <v>28675</v>
      </c>
      <c r="H9648" t="s">
        <v>9998</v>
      </c>
      <c r="I9648" t="s">
        <v>28687</v>
      </c>
      <c r="J9648" t="s">
        <v>28924</v>
      </c>
      <c r="K9648" t="s">
        <v>37206</v>
      </c>
      <c r="M9648" t="s">
        <v>38465</v>
      </c>
      <c r="N9648" t="s">
        <v>41249</v>
      </c>
      <c r="O9648" t="s">
        <v>41250</v>
      </c>
      <c r="P9648">
        <v>0</v>
      </c>
      <c r="Q9648">
        <v>3</v>
      </c>
      <c r="R9648" t="s">
        <v>41260</v>
      </c>
      <c r="S9648" t="s">
        <v>41624</v>
      </c>
      <c r="T9648" t="s">
        <v>42881</v>
      </c>
      <c r="U9648" t="s">
        <v>50969</v>
      </c>
      <c r="W9648" t="s">
        <v>38465</v>
      </c>
      <c r="X9648" t="s">
        <v>41264</v>
      </c>
    </row>
    <row r="9649" spans="1:24">
      <c r="A9649">
        <f>HYPERLINK("https://www.philgeps.gov.ph/GEPSNONPILOT/Tender/SplashBidNoticeAbstractUI.aspx?menuIndex=3&amp;refID=7057381&amp;Result=3","7057381")</f>
        <v>0</v>
      </c>
      <c r="B9649" t="s">
        <v>51</v>
      </c>
      <c r="C9649" t="s">
        <v>12591</v>
      </c>
      <c r="D9649" t="s">
        <v>16631</v>
      </c>
      <c r="E9649" t="s">
        <v>25104</v>
      </c>
      <c r="F9649" t="s">
        <v>28669</v>
      </c>
      <c r="G9649" t="s">
        <v>28675</v>
      </c>
      <c r="H9649" t="s">
        <v>9998</v>
      </c>
      <c r="I9649" t="s">
        <v>28701</v>
      </c>
      <c r="J9649" t="s">
        <v>31229</v>
      </c>
      <c r="K9649" t="s">
        <v>37204</v>
      </c>
      <c r="M9649" t="s">
        <v>37526</v>
      </c>
      <c r="N9649" t="s">
        <v>41249</v>
      </c>
      <c r="O9649" t="s">
        <v>41250</v>
      </c>
      <c r="P9649">
        <v>0</v>
      </c>
      <c r="Q9649">
        <v>0</v>
      </c>
      <c r="R9649" t="s">
        <v>41260</v>
      </c>
      <c r="S9649" t="s">
        <v>41624</v>
      </c>
      <c r="T9649" t="s">
        <v>43036</v>
      </c>
      <c r="U9649" t="s">
        <v>43234</v>
      </c>
      <c r="V9649" t="s">
        <v>55328</v>
      </c>
      <c r="W9649" t="s">
        <v>37526</v>
      </c>
      <c r="X9649" t="s">
        <v>41264</v>
      </c>
    </row>
    <row r="9650" spans="1:24">
      <c r="A9650">
        <f>HYPERLINK("https://www.philgeps.gov.ph/GEPSNONPILOT/Tender/SplashBidNoticeAbstractUI.aspx?menuIndex=3&amp;refID=7057884&amp;Result=3","7057884")</f>
        <v>0</v>
      </c>
      <c r="B9650" t="s">
        <v>2810</v>
      </c>
      <c r="C9650" t="s">
        <v>12592</v>
      </c>
      <c r="D9650" t="s">
        <v>16654</v>
      </c>
      <c r="E9650" t="s">
        <v>23298</v>
      </c>
      <c r="F9650" t="s">
        <v>28669</v>
      </c>
      <c r="G9650" t="s">
        <v>28675</v>
      </c>
      <c r="H9650" t="s">
        <v>9998</v>
      </c>
      <c r="I9650" t="s">
        <v>5213</v>
      </c>
      <c r="J9650" t="s">
        <v>28879</v>
      </c>
      <c r="K9650" t="s">
        <v>37243</v>
      </c>
      <c r="L9650" t="s">
        <v>2810</v>
      </c>
      <c r="M9650" t="s">
        <v>40539</v>
      </c>
      <c r="N9650" t="s">
        <v>41249</v>
      </c>
      <c r="O9650" t="s">
        <v>41250</v>
      </c>
      <c r="P9650">
        <v>0</v>
      </c>
      <c r="Q9650">
        <v>2</v>
      </c>
      <c r="R9650" t="s">
        <v>41260</v>
      </c>
      <c r="S9650" t="s">
        <v>41624</v>
      </c>
      <c r="T9650" t="s">
        <v>42739</v>
      </c>
      <c r="U9650" t="s">
        <v>50970</v>
      </c>
      <c r="W9650" t="s">
        <v>40539</v>
      </c>
      <c r="X9650" t="s">
        <v>41264</v>
      </c>
    </row>
    <row r="9651" spans="1:24">
      <c r="A9651">
        <f>HYPERLINK("https://www.philgeps.gov.ph/GEPSNONPILOT/Tender/SplashBidNoticeAbstractUI.aspx?menuIndex=3&amp;refID=7056940&amp;Result=3","7056940")</f>
        <v>0</v>
      </c>
      <c r="B9651" t="s">
        <v>2811</v>
      </c>
      <c r="C9651" t="s">
        <v>12593</v>
      </c>
      <c r="D9651" t="s">
        <v>16668</v>
      </c>
      <c r="E9651" t="s">
        <v>25105</v>
      </c>
      <c r="F9651" t="s">
        <v>28669</v>
      </c>
      <c r="G9651" t="s">
        <v>28675</v>
      </c>
      <c r="H9651" t="s">
        <v>9998</v>
      </c>
      <c r="I9651" t="s">
        <v>28739</v>
      </c>
      <c r="J9651" t="s">
        <v>30575</v>
      </c>
      <c r="K9651" t="s">
        <v>37206</v>
      </c>
      <c r="M9651" t="s">
        <v>40540</v>
      </c>
      <c r="N9651" t="s">
        <v>41249</v>
      </c>
      <c r="O9651" t="s">
        <v>41250</v>
      </c>
      <c r="P9651">
        <v>0</v>
      </c>
      <c r="Q9651">
        <v>8</v>
      </c>
      <c r="R9651" t="s">
        <v>41260</v>
      </c>
      <c r="S9651" t="s">
        <v>41624</v>
      </c>
      <c r="T9651" t="s">
        <v>42836</v>
      </c>
      <c r="U9651" t="s">
        <v>50971</v>
      </c>
      <c r="W9651" t="s">
        <v>40540</v>
      </c>
      <c r="X9651" t="s">
        <v>41264</v>
      </c>
    </row>
    <row r="9652" spans="1:24">
      <c r="A9652">
        <f>HYPERLINK("https://www.philgeps.gov.ph/GEPSNONPILOT/Tender/SplashBidNoticeAbstractUI.aspx?menuIndex=3&amp;refID=7058093&amp;Result=3","7058093")</f>
        <v>0</v>
      </c>
      <c r="B9652" t="s">
        <v>1218</v>
      </c>
      <c r="C9652" t="s">
        <v>12594</v>
      </c>
      <c r="D9652" t="s">
        <v>16615</v>
      </c>
      <c r="E9652" t="s">
        <v>25106</v>
      </c>
      <c r="F9652" t="s">
        <v>28669</v>
      </c>
      <c r="G9652" t="s">
        <v>28675</v>
      </c>
      <c r="H9652" t="s">
        <v>9998</v>
      </c>
      <c r="I9652" t="s">
        <v>28713</v>
      </c>
      <c r="J9652" t="s">
        <v>29047</v>
      </c>
      <c r="K9652" t="s">
        <v>37209</v>
      </c>
      <c r="M9652" t="s">
        <v>38761</v>
      </c>
      <c r="N9652" t="s">
        <v>41249</v>
      </c>
      <c r="O9652" t="s">
        <v>41250</v>
      </c>
      <c r="P9652">
        <v>0</v>
      </c>
      <c r="Q9652">
        <v>24</v>
      </c>
      <c r="R9652" t="s">
        <v>41260</v>
      </c>
      <c r="S9652" t="s">
        <v>41624</v>
      </c>
      <c r="T9652" t="s">
        <v>43041</v>
      </c>
      <c r="U9652" t="s">
        <v>50972</v>
      </c>
      <c r="V9652" t="s">
        <v>55329</v>
      </c>
      <c r="W9652" t="s">
        <v>38761</v>
      </c>
      <c r="X9652" t="s">
        <v>41263</v>
      </c>
    </row>
    <row r="9653" spans="1:24">
      <c r="A9653">
        <f>HYPERLINK("https://www.philgeps.gov.ph/GEPSNONPILOT/Tender/SplashBidNoticeAbstractUI.aspx?menuIndex=3&amp;refID=7057557&amp;Result=3","7057557")</f>
        <v>0</v>
      </c>
      <c r="B9653" t="s">
        <v>51</v>
      </c>
      <c r="C9653" t="s">
        <v>12595</v>
      </c>
      <c r="D9653" t="s">
        <v>16631</v>
      </c>
      <c r="E9653" t="s">
        <v>25107</v>
      </c>
      <c r="F9653" t="s">
        <v>28669</v>
      </c>
      <c r="G9653" t="s">
        <v>28675</v>
      </c>
      <c r="H9653" t="s">
        <v>28686</v>
      </c>
      <c r="I9653" t="s">
        <v>28689</v>
      </c>
      <c r="J9653" t="s">
        <v>30588</v>
      </c>
      <c r="K9653" t="s">
        <v>37215</v>
      </c>
      <c r="M9653" t="s">
        <v>38699</v>
      </c>
      <c r="N9653" t="s">
        <v>41249</v>
      </c>
      <c r="O9653" t="s">
        <v>41250</v>
      </c>
      <c r="P9653">
        <v>0</v>
      </c>
      <c r="Q9653">
        <v>5</v>
      </c>
      <c r="R9653" t="s">
        <v>41260</v>
      </c>
      <c r="S9653" t="s">
        <v>41624</v>
      </c>
      <c r="T9653" t="s">
        <v>42668</v>
      </c>
      <c r="U9653" t="s">
        <v>50973</v>
      </c>
      <c r="W9653" t="s">
        <v>38699</v>
      </c>
      <c r="X9653" t="s">
        <v>41264</v>
      </c>
    </row>
    <row r="9654" spans="1:24">
      <c r="A9654">
        <f>HYPERLINK("https://www.philgeps.gov.ph/GEPSNONPILOT/Tender/SplashBidNoticeAbstractUI.aspx?menuIndex=3&amp;refID=7058684&amp;Result=3","7058684")</f>
        <v>0</v>
      </c>
      <c r="B9654" t="s">
        <v>2812</v>
      </c>
      <c r="C9654" t="s">
        <v>12596</v>
      </c>
      <c r="E9654" t="s">
        <v>25108</v>
      </c>
      <c r="F9654" t="s">
        <v>28669</v>
      </c>
      <c r="G9654" t="s">
        <v>28675</v>
      </c>
      <c r="H9654" t="s">
        <v>9998</v>
      </c>
      <c r="I9654" t="s">
        <v>5286</v>
      </c>
      <c r="J9654" t="s">
        <v>34802</v>
      </c>
      <c r="K9654" t="s">
        <v>37209</v>
      </c>
      <c r="M9654" t="s">
        <v>40541</v>
      </c>
      <c r="N9654" t="s">
        <v>41249</v>
      </c>
      <c r="O9654" t="s">
        <v>41250</v>
      </c>
      <c r="P9654">
        <v>0</v>
      </c>
      <c r="Q9654">
        <v>22</v>
      </c>
      <c r="R9654" t="s">
        <v>41260</v>
      </c>
      <c r="S9654" t="s">
        <v>41624</v>
      </c>
      <c r="T9654" t="s">
        <v>42719</v>
      </c>
      <c r="U9654" t="s">
        <v>50974</v>
      </c>
      <c r="W9654" t="s">
        <v>40541</v>
      </c>
      <c r="X9654" t="s">
        <v>41262</v>
      </c>
    </row>
    <row r="9655" spans="1:24">
      <c r="A9655">
        <f>HYPERLINK("https://www.philgeps.gov.ph/GEPSNONPILOT/Tender/SplashBidNoticeAbstractUI.aspx?menuIndex=3&amp;refID=7058680&amp;Result=3","7058680")</f>
        <v>0</v>
      </c>
      <c r="B9655" t="s">
        <v>2812</v>
      </c>
      <c r="C9655" t="s">
        <v>12597</v>
      </c>
      <c r="E9655" t="s">
        <v>25109</v>
      </c>
      <c r="F9655" t="s">
        <v>28669</v>
      </c>
      <c r="G9655" t="s">
        <v>28675</v>
      </c>
      <c r="H9655" t="s">
        <v>9998</v>
      </c>
      <c r="I9655" t="s">
        <v>5286</v>
      </c>
      <c r="J9655" t="s">
        <v>34803</v>
      </c>
      <c r="K9655" t="s">
        <v>37209</v>
      </c>
      <c r="M9655" t="s">
        <v>40541</v>
      </c>
      <c r="N9655" t="s">
        <v>41249</v>
      </c>
      <c r="O9655" t="s">
        <v>41250</v>
      </c>
      <c r="P9655">
        <v>0</v>
      </c>
      <c r="Q9655">
        <v>12</v>
      </c>
      <c r="R9655" t="s">
        <v>41260</v>
      </c>
      <c r="S9655" t="s">
        <v>41624</v>
      </c>
      <c r="T9655" t="s">
        <v>42719</v>
      </c>
      <c r="U9655" t="s">
        <v>50974</v>
      </c>
      <c r="W9655" t="s">
        <v>40541</v>
      </c>
      <c r="X9655" t="s">
        <v>41262</v>
      </c>
    </row>
    <row r="9656" spans="1:24">
      <c r="A9656">
        <f>HYPERLINK("https://www.philgeps.gov.ph/GEPSNONPILOT/Tender/SplashBidNoticeAbstractUI.aspx?menuIndex=3&amp;refID=7058661&amp;Result=3","7058661")</f>
        <v>0</v>
      </c>
      <c r="B9656" t="s">
        <v>892</v>
      </c>
      <c r="C9656" t="s">
        <v>12598</v>
      </c>
      <c r="D9656" t="s">
        <v>16664</v>
      </c>
      <c r="E9656" t="s">
        <v>25110</v>
      </c>
      <c r="F9656" t="s">
        <v>28669</v>
      </c>
      <c r="G9656" t="s">
        <v>28675</v>
      </c>
      <c r="H9656" t="s">
        <v>28686</v>
      </c>
      <c r="I9656" t="s">
        <v>28689</v>
      </c>
      <c r="J9656" t="s">
        <v>34804</v>
      </c>
      <c r="K9656" t="s">
        <v>37212</v>
      </c>
      <c r="M9656" t="s">
        <v>38413</v>
      </c>
      <c r="N9656" t="s">
        <v>41249</v>
      </c>
      <c r="O9656" t="s">
        <v>41250</v>
      </c>
      <c r="P9656">
        <v>0</v>
      </c>
      <c r="Q9656">
        <v>0</v>
      </c>
      <c r="R9656" t="s">
        <v>41260</v>
      </c>
      <c r="S9656" t="s">
        <v>41624</v>
      </c>
      <c r="T9656" t="s">
        <v>42739</v>
      </c>
      <c r="U9656" t="s">
        <v>50975</v>
      </c>
      <c r="W9656" t="s">
        <v>38413</v>
      </c>
      <c r="X9656" t="s">
        <v>41262</v>
      </c>
    </row>
    <row r="9657" spans="1:24">
      <c r="A9657">
        <f>HYPERLINK("https://www.philgeps.gov.ph/GEPSNONPILOT/Tender/SplashBidNoticeAbstractUI.aspx?menuIndex=3&amp;refID=7058516&amp;Result=3","7058516")</f>
        <v>0</v>
      </c>
      <c r="B9657" t="s">
        <v>51</v>
      </c>
      <c r="C9657" t="s">
        <v>12599</v>
      </c>
      <c r="D9657" t="s">
        <v>16631</v>
      </c>
      <c r="E9657" t="s">
        <v>25111</v>
      </c>
      <c r="F9657" t="s">
        <v>28669</v>
      </c>
      <c r="G9657" t="s">
        <v>28675</v>
      </c>
      <c r="H9657" t="s">
        <v>28686</v>
      </c>
      <c r="I9657" t="s">
        <v>28689</v>
      </c>
      <c r="J9657" t="s">
        <v>31461</v>
      </c>
      <c r="K9657" t="s">
        <v>37220</v>
      </c>
      <c r="M9657" t="s">
        <v>38699</v>
      </c>
      <c r="N9657" t="s">
        <v>41249</v>
      </c>
      <c r="O9657" t="s">
        <v>41250</v>
      </c>
      <c r="P9657">
        <v>0</v>
      </c>
      <c r="Q9657">
        <v>1</v>
      </c>
      <c r="R9657" t="s">
        <v>41260</v>
      </c>
      <c r="S9657" t="s">
        <v>41624</v>
      </c>
      <c r="T9657" t="s">
        <v>42668</v>
      </c>
      <c r="U9657" t="s">
        <v>50976</v>
      </c>
      <c r="W9657" t="s">
        <v>38699</v>
      </c>
      <c r="X9657" t="s">
        <v>41262</v>
      </c>
    </row>
    <row r="9658" spans="1:24">
      <c r="A9658">
        <f>HYPERLINK("https://www.philgeps.gov.ph/GEPSNONPILOT/Tender/SplashBidNoticeAbstractUI.aspx?menuIndex=3&amp;refID=7058507&amp;Result=3","7058507")</f>
        <v>0</v>
      </c>
      <c r="B9658" t="s">
        <v>51</v>
      </c>
      <c r="C9658" t="s">
        <v>12600</v>
      </c>
      <c r="D9658" t="s">
        <v>16631</v>
      </c>
      <c r="E9658" t="s">
        <v>25112</v>
      </c>
      <c r="F9658" t="s">
        <v>28669</v>
      </c>
      <c r="G9658" t="s">
        <v>28675</v>
      </c>
      <c r="H9658" t="s">
        <v>28686</v>
      </c>
      <c r="I9658" t="s">
        <v>28689</v>
      </c>
      <c r="J9658" t="s">
        <v>31461</v>
      </c>
      <c r="K9658" t="s">
        <v>37220</v>
      </c>
      <c r="M9658" t="s">
        <v>38699</v>
      </c>
      <c r="N9658" t="s">
        <v>41249</v>
      </c>
      <c r="O9658" t="s">
        <v>41250</v>
      </c>
      <c r="P9658">
        <v>0</v>
      </c>
      <c r="Q9658">
        <v>1</v>
      </c>
      <c r="R9658" t="s">
        <v>41260</v>
      </c>
      <c r="S9658" t="s">
        <v>41624</v>
      </c>
      <c r="T9658" t="s">
        <v>42668</v>
      </c>
      <c r="U9658" t="s">
        <v>50977</v>
      </c>
      <c r="W9658" t="s">
        <v>38699</v>
      </c>
      <c r="X9658" t="s">
        <v>41263</v>
      </c>
    </row>
    <row r="9659" spans="1:24">
      <c r="A9659">
        <f>HYPERLINK("https://www.philgeps.gov.ph/GEPSNONPILOT/Tender/SplashBidNoticeAbstractUI.aspx?menuIndex=3&amp;refID=7058483&amp;Result=3","7058483")</f>
        <v>0</v>
      </c>
      <c r="B9659" t="s">
        <v>51</v>
      </c>
      <c r="C9659" t="s">
        <v>12601</v>
      </c>
      <c r="D9659" t="s">
        <v>16631</v>
      </c>
      <c r="E9659" t="s">
        <v>25113</v>
      </c>
      <c r="F9659" t="s">
        <v>28669</v>
      </c>
      <c r="G9659" t="s">
        <v>28675</v>
      </c>
      <c r="H9659" t="s">
        <v>28686</v>
      </c>
      <c r="I9659" t="s">
        <v>28689</v>
      </c>
      <c r="J9659" t="s">
        <v>31461</v>
      </c>
      <c r="K9659" t="s">
        <v>37220</v>
      </c>
      <c r="M9659" t="s">
        <v>38699</v>
      </c>
      <c r="N9659" t="s">
        <v>41249</v>
      </c>
      <c r="O9659" t="s">
        <v>41250</v>
      </c>
      <c r="P9659">
        <v>0</v>
      </c>
      <c r="Q9659">
        <v>2</v>
      </c>
      <c r="R9659" t="s">
        <v>41260</v>
      </c>
      <c r="S9659" t="s">
        <v>41624</v>
      </c>
      <c r="T9659" t="s">
        <v>42668</v>
      </c>
      <c r="U9659" t="s">
        <v>50978</v>
      </c>
      <c r="W9659" t="s">
        <v>38699</v>
      </c>
      <c r="X9659" t="s">
        <v>41263</v>
      </c>
    </row>
    <row r="9660" spans="1:24">
      <c r="A9660">
        <f>HYPERLINK("https://www.philgeps.gov.ph/GEPSNONPILOT/Tender/SplashBidNoticeAbstractUI.aspx?menuIndex=3&amp;refID=7058170&amp;Result=3","7058170")</f>
        <v>0</v>
      </c>
      <c r="B9660" t="s">
        <v>502</v>
      </c>
      <c r="C9660" t="s">
        <v>12602</v>
      </c>
      <c r="D9660" t="s">
        <v>16646</v>
      </c>
      <c r="E9660" t="s">
        <v>25114</v>
      </c>
      <c r="F9660" t="s">
        <v>28669</v>
      </c>
      <c r="G9660" t="s">
        <v>28675</v>
      </c>
      <c r="H9660" t="s">
        <v>9998</v>
      </c>
      <c r="I9660" t="s">
        <v>11593</v>
      </c>
      <c r="J9660" t="s">
        <v>34805</v>
      </c>
      <c r="K9660" t="s">
        <v>37213</v>
      </c>
      <c r="M9660" t="s">
        <v>40542</v>
      </c>
      <c r="N9660" t="s">
        <v>41249</v>
      </c>
      <c r="O9660" t="s">
        <v>41250</v>
      </c>
      <c r="P9660">
        <v>0</v>
      </c>
      <c r="Q9660">
        <v>15</v>
      </c>
      <c r="R9660" t="s">
        <v>41260</v>
      </c>
      <c r="S9660" t="s">
        <v>41624</v>
      </c>
      <c r="T9660" t="s">
        <v>42755</v>
      </c>
      <c r="U9660" t="s">
        <v>50979</v>
      </c>
      <c r="W9660" t="s">
        <v>40542</v>
      </c>
      <c r="X9660" t="s">
        <v>41263</v>
      </c>
    </row>
    <row r="9661" spans="1:24">
      <c r="A9661">
        <f>HYPERLINK("https://www.philgeps.gov.ph/GEPSNONPILOT/Tender/SplashBidNoticeAbstractUI.aspx?menuIndex=3&amp;refID=7058838&amp;Result=3","7058838")</f>
        <v>0</v>
      </c>
      <c r="B9661" t="s">
        <v>327</v>
      </c>
      <c r="C9661" t="s">
        <v>12603</v>
      </c>
      <c r="D9661" t="s">
        <v>16682</v>
      </c>
      <c r="E9661" t="s">
        <v>25115</v>
      </c>
      <c r="F9661" t="s">
        <v>28669</v>
      </c>
      <c r="G9661" t="s">
        <v>28675</v>
      </c>
      <c r="H9661" t="s">
        <v>28686</v>
      </c>
      <c r="I9661" t="s">
        <v>28689</v>
      </c>
      <c r="J9661" t="s">
        <v>34806</v>
      </c>
      <c r="K9661" t="s">
        <v>37281</v>
      </c>
      <c r="M9661" t="s">
        <v>37807</v>
      </c>
      <c r="N9661" t="s">
        <v>41249</v>
      </c>
      <c r="O9661" t="s">
        <v>41250</v>
      </c>
      <c r="P9661">
        <v>0</v>
      </c>
      <c r="Q9661">
        <v>1</v>
      </c>
      <c r="R9661" t="s">
        <v>41260</v>
      </c>
      <c r="S9661" t="s">
        <v>41624</v>
      </c>
      <c r="T9661" t="s">
        <v>42668</v>
      </c>
      <c r="U9661" t="s">
        <v>50980</v>
      </c>
      <c r="V9661" t="s">
        <v>54328</v>
      </c>
      <c r="W9661" t="s">
        <v>37807</v>
      </c>
      <c r="X9661" t="s">
        <v>41262</v>
      </c>
    </row>
    <row r="9662" spans="1:24">
      <c r="A9662">
        <f>HYPERLINK("https://www.philgeps.gov.ph/GEPSNONPILOT/Tender/SplashBidNoticeAbstractUI.aspx?menuIndex=3&amp;refID=7058822&amp;Result=3","7058822")</f>
        <v>0</v>
      </c>
      <c r="B9662" t="s">
        <v>327</v>
      </c>
      <c r="C9662" t="s">
        <v>12604</v>
      </c>
      <c r="D9662" t="s">
        <v>16682</v>
      </c>
      <c r="E9662" t="s">
        <v>25116</v>
      </c>
      <c r="F9662" t="s">
        <v>28669</v>
      </c>
      <c r="G9662" t="s">
        <v>28675</v>
      </c>
      <c r="H9662" t="s">
        <v>28686</v>
      </c>
      <c r="I9662" t="s">
        <v>28689</v>
      </c>
      <c r="J9662" t="s">
        <v>34807</v>
      </c>
      <c r="K9662" t="s">
        <v>37211</v>
      </c>
      <c r="M9662" t="s">
        <v>37807</v>
      </c>
      <c r="N9662" t="s">
        <v>41249</v>
      </c>
      <c r="O9662" t="s">
        <v>41250</v>
      </c>
      <c r="P9662">
        <v>0</v>
      </c>
      <c r="Q9662">
        <v>0</v>
      </c>
      <c r="R9662" t="s">
        <v>41260</v>
      </c>
      <c r="S9662" t="s">
        <v>41624</v>
      </c>
      <c r="T9662" t="s">
        <v>42668</v>
      </c>
      <c r="U9662" t="s">
        <v>50981</v>
      </c>
      <c r="V9662" t="s">
        <v>54328</v>
      </c>
      <c r="W9662" t="s">
        <v>37807</v>
      </c>
      <c r="X9662" t="s">
        <v>41262</v>
      </c>
    </row>
    <row r="9663" spans="1:24">
      <c r="A9663">
        <f>HYPERLINK("https://www.philgeps.gov.ph/GEPSNONPILOT/Tender/SplashBidNoticeAbstractUI.aspx?menuIndex=3&amp;refID=7058787&amp;Result=3","7058787")</f>
        <v>0</v>
      </c>
      <c r="B9663" t="s">
        <v>327</v>
      </c>
      <c r="C9663" t="s">
        <v>12605</v>
      </c>
      <c r="D9663" t="s">
        <v>16682</v>
      </c>
      <c r="E9663" t="s">
        <v>25117</v>
      </c>
      <c r="F9663" t="s">
        <v>28669</v>
      </c>
      <c r="G9663" t="s">
        <v>28675</v>
      </c>
      <c r="H9663" t="s">
        <v>28686</v>
      </c>
      <c r="I9663" t="s">
        <v>28689</v>
      </c>
      <c r="J9663" t="s">
        <v>34808</v>
      </c>
      <c r="K9663" t="s">
        <v>37331</v>
      </c>
      <c r="M9663" t="s">
        <v>37807</v>
      </c>
      <c r="N9663" t="s">
        <v>41249</v>
      </c>
      <c r="O9663" t="s">
        <v>41250</v>
      </c>
      <c r="P9663">
        <v>0</v>
      </c>
      <c r="Q9663">
        <v>1</v>
      </c>
      <c r="R9663" t="s">
        <v>41260</v>
      </c>
      <c r="S9663" t="s">
        <v>41624</v>
      </c>
      <c r="T9663" t="s">
        <v>42668</v>
      </c>
      <c r="U9663" t="s">
        <v>50982</v>
      </c>
      <c r="V9663" t="s">
        <v>54328</v>
      </c>
      <c r="W9663" t="s">
        <v>37807</v>
      </c>
      <c r="X9663" t="s">
        <v>41262</v>
      </c>
    </row>
    <row r="9664" spans="1:24">
      <c r="A9664">
        <f>HYPERLINK("https://www.philgeps.gov.ph/GEPSNONPILOT/Tender/SplashBidNoticeAbstractUI.aspx?menuIndex=3&amp;refID=7058670&amp;Result=3","7058670")</f>
        <v>0</v>
      </c>
      <c r="B9664" t="s">
        <v>104</v>
      </c>
      <c r="C9664" t="s">
        <v>12606</v>
      </c>
      <c r="D9664" t="s">
        <v>16608</v>
      </c>
      <c r="E9664" t="s">
        <v>16820</v>
      </c>
      <c r="F9664" t="s">
        <v>28671</v>
      </c>
      <c r="G9664" t="s">
        <v>28675</v>
      </c>
      <c r="H9664" t="s">
        <v>9998</v>
      </c>
      <c r="I9664" t="s">
        <v>28713</v>
      </c>
      <c r="J9664" t="s">
        <v>34809</v>
      </c>
      <c r="K9664" t="s">
        <v>37243</v>
      </c>
      <c r="M9664" t="s">
        <v>37579</v>
      </c>
      <c r="N9664" t="s">
        <v>41249</v>
      </c>
      <c r="O9664" t="s">
        <v>41250</v>
      </c>
      <c r="P9664">
        <v>0</v>
      </c>
      <c r="Q9664">
        <v>4</v>
      </c>
      <c r="R9664" t="s">
        <v>41260</v>
      </c>
      <c r="S9664" t="s">
        <v>41624</v>
      </c>
      <c r="T9664" t="s">
        <v>42682</v>
      </c>
      <c r="U9664" t="s">
        <v>50983</v>
      </c>
      <c r="W9664" t="s">
        <v>37579</v>
      </c>
      <c r="X9664" t="s">
        <v>41262</v>
      </c>
    </row>
    <row r="9665" spans="1:24">
      <c r="A9665">
        <f>HYPERLINK("https://www.philgeps.gov.ph/GEPSNONPILOT/Tender/SplashBidNoticeAbstractUI.aspx?menuIndex=3&amp;refID=7058777&amp;Result=3","7058777")</f>
        <v>0</v>
      </c>
      <c r="B9665" t="s">
        <v>327</v>
      </c>
      <c r="C9665" t="s">
        <v>12607</v>
      </c>
      <c r="D9665" t="s">
        <v>16682</v>
      </c>
      <c r="E9665" t="s">
        <v>25118</v>
      </c>
      <c r="F9665" t="s">
        <v>28669</v>
      </c>
      <c r="G9665" t="s">
        <v>28675</v>
      </c>
      <c r="H9665" t="s">
        <v>28686</v>
      </c>
      <c r="I9665" t="s">
        <v>28689</v>
      </c>
      <c r="J9665" t="s">
        <v>34810</v>
      </c>
      <c r="K9665" t="s">
        <v>37422</v>
      </c>
      <c r="M9665" t="s">
        <v>37807</v>
      </c>
      <c r="N9665" t="s">
        <v>41249</v>
      </c>
      <c r="O9665" t="s">
        <v>41250</v>
      </c>
      <c r="P9665">
        <v>0</v>
      </c>
      <c r="Q9665">
        <v>0</v>
      </c>
      <c r="R9665" t="s">
        <v>41260</v>
      </c>
      <c r="S9665" t="s">
        <v>41624</v>
      </c>
      <c r="T9665" t="s">
        <v>42668</v>
      </c>
      <c r="U9665" t="s">
        <v>50984</v>
      </c>
      <c r="V9665" t="s">
        <v>54328</v>
      </c>
      <c r="W9665" t="s">
        <v>37807</v>
      </c>
      <c r="X9665" t="s">
        <v>41262</v>
      </c>
    </row>
    <row r="9666" spans="1:24">
      <c r="A9666">
        <f>HYPERLINK("https://www.philgeps.gov.ph/GEPSNONPILOT/Tender/SplashBidNoticeAbstractUI.aspx?menuIndex=3&amp;refID=7058151&amp;Result=3","7058151")</f>
        <v>0</v>
      </c>
      <c r="B9666" t="s">
        <v>502</v>
      </c>
      <c r="C9666" t="s">
        <v>12608</v>
      </c>
      <c r="D9666" t="s">
        <v>16646</v>
      </c>
      <c r="E9666" t="s">
        <v>25119</v>
      </c>
      <c r="F9666" t="s">
        <v>28669</v>
      </c>
      <c r="G9666" t="s">
        <v>28675</v>
      </c>
      <c r="H9666" t="s">
        <v>28686</v>
      </c>
      <c r="I9666" t="s">
        <v>28696</v>
      </c>
      <c r="J9666" t="s">
        <v>34811</v>
      </c>
      <c r="K9666" t="s">
        <v>37212</v>
      </c>
      <c r="M9666" t="s">
        <v>40542</v>
      </c>
      <c r="N9666" t="s">
        <v>41249</v>
      </c>
      <c r="O9666" t="s">
        <v>41250</v>
      </c>
      <c r="P9666">
        <v>0</v>
      </c>
      <c r="Q9666">
        <v>10</v>
      </c>
      <c r="R9666" t="s">
        <v>41260</v>
      </c>
      <c r="S9666" t="s">
        <v>41624</v>
      </c>
      <c r="T9666" t="s">
        <v>42755</v>
      </c>
      <c r="U9666" t="s">
        <v>50979</v>
      </c>
      <c r="W9666" t="s">
        <v>40542</v>
      </c>
      <c r="X9666" t="s">
        <v>41263</v>
      </c>
    </row>
    <row r="9667" spans="1:24">
      <c r="A9667">
        <f>HYPERLINK("https://www.philgeps.gov.ph/GEPSNONPILOT/Tender/SplashBidNoticeAbstractUI.aspx?menuIndex=3&amp;refID=7058969&amp;Result=3","7058969")</f>
        <v>0</v>
      </c>
      <c r="B9667" t="s">
        <v>1193</v>
      </c>
      <c r="C9667" t="s">
        <v>12609</v>
      </c>
      <c r="D9667" t="s">
        <v>16673</v>
      </c>
      <c r="E9667" t="s">
        <v>25120</v>
      </c>
      <c r="F9667" t="s">
        <v>28669</v>
      </c>
      <c r="G9667" t="s">
        <v>28675</v>
      </c>
      <c r="H9667" t="s">
        <v>9998</v>
      </c>
      <c r="I9667" t="s">
        <v>28697</v>
      </c>
      <c r="J9667" t="s">
        <v>29499</v>
      </c>
      <c r="K9667" t="s">
        <v>37205</v>
      </c>
      <c r="M9667" t="s">
        <v>38733</v>
      </c>
      <c r="N9667" t="s">
        <v>41249</v>
      </c>
      <c r="O9667" t="s">
        <v>41250</v>
      </c>
      <c r="P9667">
        <v>0</v>
      </c>
      <c r="Q9667">
        <v>11</v>
      </c>
      <c r="R9667" t="s">
        <v>41260</v>
      </c>
      <c r="S9667" t="s">
        <v>41624</v>
      </c>
      <c r="T9667" t="s">
        <v>42739</v>
      </c>
      <c r="U9667" t="s">
        <v>50985</v>
      </c>
      <c r="W9667" t="s">
        <v>38733</v>
      </c>
      <c r="X9667" t="s">
        <v>41261</v>
      </c>
    </row>
    <row r="9668" spans="1:24">
      <c r="A9668">
        <f>HYPERLINK("https://www.philgeps.gov.ph/GEPSNONPILOT/Tender/SplashBidNoticeAbstractUI.aspx?menuIndex=3&amp;refID=7058804&amp;Result=3","7058804")</f>
        <v>0</v>
      </c>
      <c r="B9668" t="s">
        <v>327</v>
      </c>
      <c r="C9668" t="s">
        <v>12610</v>
      </c>
      <c r="D9668" t="s">
        <v>16682</v>
      </c>
      <c r="E9668" t="s">
        <v>25121</v>
      </c>
      <c r="F9668" t="s">
        <v>28669</v>
      </c>
      <c r="G9668" t="s">
        <v>28675</v>
      </c>
      <c r="H9668" t="s">
        <v>28686</v>
      </c>
      <c r="I9668" t="s">
        <v>28689</v>
      </c>
      <c r="J9668" t="s">
        <v>34812</v>
      </c>
      <c r="K9668" t="s">
        <v>37211</v>
      </c>
      <c r="M9668" t="s">
        <v>37807</v>
      </c>
      <c r="N9668" t="s">
        <v>41249</v>
      </c>
      <c r="O9668" t="s">
        <v>41250</v>
      </c>
      <c r="P9668">
        <v>0</v>
      </c>
      <c r="Q9668">
        <v>1</v>
      </c>
      <c r="R9668" t="s">
        <v>41260</v>
      </c>
      <c r="S9668" t="s">
        <v>41624</v>
      </c>
      <c r="T9668" t="s">
        <v>42668</v>
      </c>
      <c r="U9668" t="s">
        <v>50986</v>
      </c>
      <c r="V9668" t="s">
        <v>54328</v>
      </c>
      <c r="W9668" t="s">
        <v>37807</v>
      </c>
      <c r="X9668" t="s">
        <v>41262</v>
      </c>
    </row>
    <row r="9669" spans="1:24">
      <c r="A9669">
        <f>HYPERLINK("https://www.philgeps.gov.ph/GEPSNONPILOT/Tender/SplashBidNoticeAbstractUI.aspx?menuIndex=3&amp;refID=7058924&amp;Result=3","7058924")</f>
        <v>0</v>
      </c>
      <c r="B9669" t="s">
        <v>2813</v>
      </c>
      <c r="C9669" t="s">
        <v>12611</v>
      </c>
      <c r="D9669" t="s">
        <v>16633</v>
      </c>
      <c r="E9669" t="s">
        <v>25122</v>
      </c>
      <c r="F9669" t="s">
        <v>28669</v>
      </c>
      <c r="G9669" t="s">
        <v>28675</v>
      </c>
      <c r="H9669" t="s">
        <v>9998</v>
      </c>
      <c r="I9669" t="s">
        <v>28751</v>
      </c>
      <c r="J9669" t="s">
        <v>29594</v>
      </c>
      <c r="K9669" t="s">
        <v>37210</v>
      </c>
      <c r="M9669" t="s">
        <v>40543</v>
      </c>
      <c r="N9669" t="s">
        <v>41249</v>
      </c>
      <c r="O9669" t="s">
        <v>41250</v>
      </c>
      <c r="P9669">
        <v>0</v>
      </c>
      <c r="Q9669">
        <v>5</v>
      </c>
      <c r="R9669" t="s">
        <v>41260</v>
      </c>
      <c r="S9669" t="s">
        <v>41624</v>
      </c>
      <c r="T9669" t="s">
        <v>42836</v>
      </c>
      <c r="U9669" t="s">
        <v>50987</v>
      </c>
      <c r="V9669" t="s">
        <v>55330</v>
      </c>
      <c r="W9669" t="s">
        <v>40543</v>
      </c>
      <c r="X9669" t="s">
        <v>41262</v>
      </c>
    </row>
    <row r="9670" spans="1:24">
      <c r="A9670">
        <f>HYPERLINK("https://www.philgeps.gov.ph/GEPSNONPILOT/Tender/SplashBidNoticeAbstractUI.aspx?menuIndex=3&amp;refID=7057288&amp;Result=3","7057288")</f>
        <v>0</v>
      </c>
      <c r="B9670" t="s">
        <v>2808</v>
      </c>
      <c r="C9670" t="s">
        <v>12612</v>
      </c>
      <c r="D9670" t="s">
        <v>16627</v>
      </c>
      <c r="E9670" t="s">
        <v>25123</v>
      </c>
      <c r="F9670" t="s">
        <v>28669</v>
      </c>
      <c r="G9670" t="s">
        <v>28675</v>
      </c>
      <c r="H9670" t="s">
        <v>9998</v>
      </c>
      <c r="I9670" t="s">
        <v>28697</v>
      </c>
      <c r="J9670" t="s">
        <v>34813</v>
      </c>
      <c r="K9670" t="s">
        <v>37204</v>
      </c>
      <c r="M9670" t="s">
        <v>40535</v>
      </c>
      <c r="N9670" t="s">
        <v>41249</v>
      </c>
      <c r="O9670" t="s">
        <v>41250</v>
      </c>
      <c r="P9670">
        <v>0</v>
      </c>
      <c r="Q9670">
        <v>5</v>
      </c>
      <c r="R9670" t="s">
        <v>41260</v>
      </c>
      <c r="S9670" t="s">
        <v>41624</v>
      </c>
      <c r="T9670" t="s">
        <v>42755</v>
      </c>
      <c r="U9670" t="s">
        <v>50988</v>
      </c>
      <c r="W9670" t="s">
        <v>40535</v>
      </c>
      <c r="X9670" t="s">
        <v>41264</v>
      </c>
    </row>
    <row r="9671" spans="1:24">
      <c r="A9671">
        <f>HYPERLINK("https://www.philgeps.gov.ph/GEPSNONPILOT/Tender/SplashBidNoticeAbstractUI.aspx?menuIndex=3&amp;refID=7058764&amp;Result=3","7058764")</f>
        <v>0</v>
      </c>
      <c r="B9671" t="s">
        <v>327</v>
      </c>
      <c r="C9671" t="s">
        <v>12613</v>
      </c>
      <c r="D9671" t="s">
        <v>16682</v>
      </c>
      <c r="E9671" t="s">
        <v>25124</v>
      </c>
      <c r="F9671" t="s">
        <v>28669</v>
      </c>
      <c r="G9671" t="s">
        <v>28675</v>
      </c>
      <c r="H9671" t="s">
        <v>28686</v>
      </c>
      <c r="I9671" t="s">
        <v>28689</v>
      </c>
      <c r="J9671" t="s">
        <v>34814</v>
      </c>
      <c r="K9671" t="s">
        <v>37430</v>
      </c>
      <c r="M9671" t="s">
        <v>37807</v>
      </c>
      <c r="N9671" t="s">
        <v>41249</v>
      </c>
      <c r="O9671" t="s">
        <v>41250</v>
      </c>
      <c r="P9671">
        <v>0</v>
      </c>
      <c r="Q9671">
        <v>2</v>
      </c>
      <c r="R9671" t="s">
        <v>41260</v>
      </c>
      <c r="S9671" t="s">
        <v>41624</v>
      </c>
      <c r="T9671" t="s">
        <v>42668</v>
      </c>
      <c r="U9671" t="s">
        <v>50989</v>
      </c>
      <c r="V9671" t="s">
        <v>54328</v>
      </c>
      <c r="W9671" t="s">
        <v>37807</v>
      </c>
      <c r="X9671" t="s">
        <v>41262</v>
      </c>
    </row>
    <row r="9672" spans="1:24">
      <c r="A9672">
        <f>HYPERLINK("https://www.philgeps.gov.ph/GEPSNONPILOT/Tender/SplashBidNoticeAbstractUI.aspx?menuIndex=3&amp;refID=7059064&amp;Result=3","7059064")</f>
        <v>0</v>
      </c>
      <c r="B9672" t="s">
        <v>2814</v>
      </c>
      <c r="C9672" t="s">
        <v>12614</v>
      </c>
      <c r="D9672" t="s">
        <v>16618</v>
      </c>
      <c r="E9672" t="s">
        <v>25125</v>
      </c>
      <c r="F9672" t="s">
        <v>28669</v>
      </c>
      <c r="G9672" t="s">
        <v>28675</v>
      </c>
      <c r="H9672" t="s">
        <v>28686</v>
      </c>
      <c r="I9672" t="s">
        <v>7352</v>
      </c>
      <c r="J9672" t="s">
        <v>28881</v>
      </c>
      <c r="K9672" t="s">
        <v>37211</v>
      </c>
      <c r="M9672" t="s">
        <v>40544</v>
      </c>
      <c r="N9672" t="s">
        <v>41249</v>
      </c>
      <c r="O9672" t="s">
        <v>41250</v>
      </c>
      <c r="P9672">
        <v>0</v>
      </c>
      <c r="Q9672">
        <v>0</v>
      </c>
      <c r="R9672" t="s">
        <v>41260</v>
      </c>
      <c r="S9672" t="s">
        <v>41624</v>
      </c>
      <c r="T9672" t="s">
        <v>42757</v>
      </c>
      <c r="U9672" t="s">
        <v>50990</v>
      </c>
      <c r="V9672" t="s">
        <v>45711</v>
      </c>
      <c r="W9672" t="s">
        <v>40544</v>
      </c>
      <c r="X9672" t="s">
        <v>41261</v>
      </c>
    </row>
    <row r="9673" spans="1:24">
      <c r="A9673">
        <f>HYPERLINK("https://www.philgeps.gov.ph/GEPSNONPILOT/Tender/SplashBidNoticeAbstractUI.aspx?menuIndex=3&amp;refID=7059050&amp;Result=3","7059050")</f>
        <v>0</v>
      </c>
      <c r="B9673" t="s">
        <v>2814</v>
      </c>
      <c r="C9673" t="s">
        <v>12615</v>
      </c>
      <c r="D9673" t="s">
        <v>16618</v>
      </c>
      <c r="E9673" t="s">
        <v>25126</v>
      </c>
      <c r="F9673" t="s">
        <v>28669</v>
      </c>
      <c r="G9673" t="s">
        <v>28675</v>
      </c>
      <c r="H9673" t="s">
        <v>28686</v>
      </c>
      <c r="I9673" t="s">
        <v>7352</v>
      </c>
      <c r="J9673" t="s">
        <v>29112</v>
      </c>
      <c r="K9673" t="s">
        <v>37215</v>
      </c>
      <c r="M9673" t="s">
        <v>40544</v>
      </c>
      <c r="N9673" t="s">
        <v>41249</v>
      </c>
      <c r="O9673" t="s">
        <v>41250</v>
      </c>
      <c r="P9673">
        <v>0</v>
      </c>
      <c r="Q9673">
        <v>0</v>
      </c>
      <c r="R9673" t="s">
        <v>41260</v>
      </c>
      <c r="S9673" t="s">
        <v>41624</v>
      </c>
      <c r="T9673" t="s">
        <v>42757</v>
      </c>
      <c r="U9673" t="s">
        <v>50990</v>
      </c>
      <c r="V9673" t="s">
        <v>45711</v>
      </c>
      <c r="W9673" t="s">
        <v>40544</v>
      </c>
      <c r="X9673" t="s">
        <v>41261</v>
      </c>
    </row>
    <row r="9674" spans="1:24">
      <c r="A9674">
        <f>HYPERLINK("https://www.philgeps.gov.ph/GEPSNONPILOT/Tender/SplashBidNoticeAbstractUI.aspx?menuIndex=3&amp;refID=7058131&amp;Result=3","7058131")</f>
        <v>0</v>
      </c>
      <c r="B9674" t="s">
        <v>1218</v>
      </c>
      <c r="C9674" t="s">
        <v>12616</v>
      </c>
      <c r="D9674" t="s">
        <v>16615</v>
      </c>
      <c r="E9674" t="s">
        <v>25127</v>
      </c>
      <c r="F9674" t="s">
        <v>28669</v>
      </c>
      <c r="G9674" t="s">
        <v>28675</v>
      </c>
      <c r="H9674" t="s">
        <v>9998</v>
      </c>
      <c r="I9674" t="s">
        <v>28713</v>
      </c>
      <c r="J9674" t="s">
        <v>34815</v>
      </c>
      <c r="K9674" t="s">
        <v>37209</v>
      </c>
      <c r="M9674" t="s">
        <v>38761</v>
      </c>
      <c r="N9674" t="s">
        <v>41249</v>
      </c>
      <c r="O9674" t="s">
        <v>41250</v>
      </c>
      <c r="P9674">
        <v>0</v>
      </c>
      <c r="Q9674">
        <v>18</v>
      </c>
      <c r="R9674" t="s">
        <v>41260</v>
      </c>
      <c r="S9674" t="s">
        <v>41624</v>
      </c>
      <c r="T9674" t="s">
        <v>43074</v>
      </c>
      <c r="U9674" t="s">
        <v>50991</v>
      </c>
      <c r="V9674" t="s">
        <v>55331</v>
      </c>
      <c r="W9674" t="s">
        <v>38761</v>
      </c>
      <c r="X9674" t="s">
        <v>41263</v>
      </c>
    </row>
    <row r="9675" spans="1:24">
      <c r="A9675">
        <f>HYPERLINK("https://www.philgeps.gov.ph/GEPSNONPILOT/Tender/SplashBidNoticeAbstractUI.aspx?menuIndex=3&amp;refID=7059039&amp;Result=3","7059039")</f>
        <v>0</v>
      </c>
      <c r="B9675" t="s">
        <v>2814</v>
      </c>
      <c r="C9675" t="s">
        <v>12617</v>
      </c>
      <c r="D9675" t="s">
        <v>16618</v>
      </c>
      <c r="E9675" t="s">
        <v>25128</v>
      </c>
      <c r="F9675" t="s">
        <v>28669</v>
      </c>
      <c r="G9675" t="s">
        <v>28675</v>
      </c>
      <c r="H9675" t="s">
        <v>28686</v>
      </c>
      <c r="I9675" t="s">
        <v>7352</v>
      </c>
      <c r="J9675" t="s">
        <v>28881</v>
      </c>
      <c r="K9675" t="s">
        <v>37211</v>
      </c>
      <c r="M9675" t="s">
        <v>40544</v>
      </c>
      <c r="N9675" t="s">
        <v>41249</v>
      </c>
      <c r="O9675" t="s">
        <v>41250</v>
      </c>
      <c r="P9675">
        <v>0</v>
      </c>
      <c r="Q9675">
        <v>0</v>
      </c>
      <c r="R9675" t="s">
        <v>41260</v>
      </c>
      <c r="S9675" t="s">
        <v>41624</v>
      </c>
      <c r="T9675" t="s">
        <v>42757</v>
      </c>
      <c r="U9675" t="s">
        <v>50990</v>
      </c>
      <c r="V9675" t="s">
        <v>45711</v>
      </c>
      <c r="W9675" t="s">
        <v>40544</v>
      </c>
      <c r="X9675" t="s">
        <v>41261</v>
      </c>
    </row>
    <row r="9676" spans="1:24">
      <c r="A9676">
        <f>HYPERLINK("https://www.philgeps.gov.ph/GEPSNONPILOT/Tender/SplashBidNoticeAbstractUI.aspx?menuIndex=3&amp;refID=7058732&amp;Result=3","7058732")</f>
        <v>0</v>
      </c>
      <c r="B9676" t="s">
        <v>2815</v>
      </c>
      <c r="C9676" t="s">
        <v>12618</v>
      </c>
      <c r="D9676" t="s">
        <v>16611</v>
      </c>
      <c r="E9676" t="s">
        <v>25129</v>
      </c>
      <c r="F9676" t="s">
        <v>28669</v>
      </c>
      <c r="G9676" t="s">
        <v>28675</v>
      </c>
      <c r="H9676" t="s">
        <v>9998</v>
      </c>
      <c r="I9676" t="s">
        <v>7352</v>
      </c>
      <c r="J9676" t="s">
        <v>34816</v>
      </c>
      <c r="K9676" t="s">
        <v>37205</v>
      </c>
      <c r="M9676" t="s">
        <v>40545</v>
      </c>
      <c r="N9676" t="s">
        <v>41249</v>
      </c>
      <c r="O9676" t="s">
        <v>41250</v>
      </c>
      <c r="P9676">
        <v>0</v>
      </c>
      <c r="Q9676">
        <v>0</v>
      </c>
      <c r="R9676" t="s">
        <v>41260</v>
      </c>
      <c r="S9676" t="s">
        <v>41624</v>
      </c>
      <c r="T9676" t="s">
        <v>42809</v>
      </c>
      <c r="U9676" t="s">
        <v>50992</v>
      </c>
      <c r="V9676" t="s">
        <v>55332</v>
      </c>
      <c r="W9676" t="s">
        <v>40545</v>
      </c>
      <c r="X9676" t="s">
        <v>41262</v>
      </c>
    </row>
    <row r="9677" spans="1:24">
      <c r="A9677">
        <f>HYPERLINK("https://www.philgeps.gov.ph/GEPSNONPILOT/Tender/SplashBidNoticeAbstractUI.aspx?menuIndex=3&amp;refID=7059082&amp;Result=3","7059082")</f>
        <v>0</v>
      </c>
      <c r="B9677" t="s">
        <v>2816</v>
      </c>
      <c r="C9677" t="s">
        <v>12619</v>
      </c>
      <c r="D9677" t="s">
        <v>16658</v>
      </c>
      <c r="E9677" t="s">
        <v>17140</v>
      </c>
      <c r="F9677" t="s">
        <v>28669</v>
      </c>
      <c r="G9677" t="s">
        <v>28675</v>
      </c>
      <c r="H9677" t="s">
        <v>9998</v>
      </c>
      <c r="I9677" t="s">
        <v>7352</v>
      </c>
      <c r="J9677" t="s">
        <v>34817</v>
      </c>
      <c r="K9677" t="s">
        <v>37205</v>
      </c>
      <c r="M9677" t="s">
        <v>40546</v>
      </c>
      <c r="N9677" t="s">
        <v>41249</v>
      </c>
      <c r="O9677" t="s">
        <v>41250</v>
      </c>
      <c r="P9677">
        <v>0</v>
      </c>
      <c r="Q9677">
        <v>1</v>
      </c>
      <c r="R9677" t="s">
        <v>41260</v>
      </c>
      <c r="S9677" t="s">
        <v>41624</v>
      </c>
      <c r="T9677" t="s">
        <v>42659</v>
      </c>
      <c r="U9677" t="s">
        <v>50993</v>
      </c>
      <c r="W9677" t="s">
        <v>40546</v>
      </c>
      <c r="X9677" t="s">
        <v>41261</v>
      </c>
    </row>
    <row r="9678" spans="1:24">
      <c r="A9678">
        <f>HYPERLINK("https://www.philgeps.gov.ph/GEPSNONPILOT/Tender/SplashBidNoticeAbstractUI.aspx?menuIndex=3&amp;refID=7059073&amp;Result=3","7059073")</f>
        <v>0</v>
      </c>
      <c r="B9678" t="s">
        <v>679</v>
      </c>
      <c r="C9678" t="s">
        <v>12620</v>
      </c>
      <c r="D9678" t="s">
        <v>16634</v>
      </c>
      <c r="E9678" t="s">
        <v>25130</v>
      </c>
      <c r="F9678" t="s">
        <v>28669</v>
      </c>
      <c r="G9678" t="s">
        <v>28675</v>
      </c>
      <c r="H9678" t="s">
        <v>9998</v>
      </c>
      <c r="I9678" t="s">
        <v>28687</v>
      </c>
      <c r="J9678" t="s">
        <v>29002</v>
      </c>
      <c r="K9678" t="s">
        <v>37206</v>
      </c>
      <c r="M9678" t="s">
        <v>38183</v>
      </c>
      <c r="N9678" t="s">
        <v>41249</v>
      </c>
      <c r="O9678" t="s">
        <v>41250</v>
      </c>
      <c r="P9678">
        <v>0</v>
      </c>
      <c r="Q9678">
        <v>2</v>
      </c>
      <c r="R9678" t="s">
        <v>41260</v>
      </c>
      <c r="S9678" t="s">
        <v>41624</v>
      </c>
      <c r="T9678" t="s">
        <v>42755</v>
      </c>
      <c r="U9678" t="s">
        <v>50994</v>
      </c>
      <c r="W9678" t="s">
        <v>38183</v>
      </c>
      <c r="X9678" t="s">
        <v>41261</v>
      </c>
    </row>
    <row r="9679" spans="1:24">
      <c r="A9679">
        <f>HYPERLINK("https://www.philgeps.gov.ph/GEPSNONPILOT/Tender/SplashBidNoticeAbstractUI.aspx?menuIndex=3&amp;refID=7059043&amp;Result=3","7059043")</f>
        <v>0</v>
      </c>
      <c r="B9679" t="s">
        <v>679</v>
      </c>
      <c r="C9679" t="s">
        <v>12621</v>
      </c>
      <c r="D9679" t="s">
        <v>16634</v>
      </c>
      <c r="E9679" t="s">
        <v>25131</v>
      </c>
      <c r="F9679" t="s">
        <v>28669</v>
      </c>
      <c r="G9679" t="s">
        <v>28675</v>
      </c>
      <c r="H9679" t="s">
        <v>9998</v>
      </c>
      <c r="I9679" t="s">
        <v>28687</v>
      </c>
      <c r="J9679" t="s">
        <v>29002</v>
      </c>
      <c r="K9679" t="s">
        <v>37206</v>
      </c>
      <c r="M9679" t="s">
        <v>38183</v>
      </c>
      <c r="N9679" t="s">
        <v>41249</v>
      </c>
      <c r="O9679" t="s">
        <v>41250</v>
      </c>
      <c r="P9679">
        <v>0</v>
      </c>
      <c r="Q9679">
        <v>2</v>
      </c>
      <c r="R9679" t="s">
        <v>41260</v>
      </c>
      <c r="S9679" t="s">
        <v>41624</v>
      </c>
      <c r="T9679" t="s">
        <v>42755</v>
      </c>
      <c r="U9679" t="s">
        <v>50995</v>
      </c>
      <c r="W9679" t="s">
        <v>38183</v>
      </c>
      <c r="X9679" t="s">
        <v>41261</v>
      </c>
    </row>
    <row r="9680" spans="1:24">
      <c r="A9680">
        <f>HYPERLINK("https://www.philgeps.gov.ph/GEPSNONPILOT/Tender/SplashBidNoticeAbstractUI.aspx?menuIndex=3&amp;refID=7059058&amp;Result=3","7059058")</f>
        <v>0</v>
      </c>
      <c r="B9680" t="s">
        <v>679</v>
      </c>
      <c r="C9680" t="s">
        <v>12622</v>
      </c>
      <c r="D9680" t="s">
        <v>16634</v>
      </c>
      <c r="E9680" t="s">
        <v>25132</v>
      </c>
      <c r="F9680" t="s">
        <v>28669</v>
      </c>
      <c r="G9680" t="s">
        <v>28675</v>
      </c>
      <c r="H9680" t="s">
        <v>9998</v>
      </c>
      <c r="I9680" t="s">
        <v>28687</v>
      </c>
      <c r="J9680" t="s">
        <v>29943</v>
      </c>
      <c r="K9680" t="s">
        <v>37206</v>
      </c>
      <c r="M9680" t="s">
        <v>38183</v>
      </c>
      <c r="N9680" t="s">
        <v>41249</v>
      </c>
      <c r="O9680" t="s">
        <v>41250</v>
      </c>
      <c r="Q9680">
        <v>7</v>
      </c>
      <c r="R9680" t="s">
        <v>41260</v>
      </c>
      <c r="S9680" t="s">
        <v>41629</v>
      </c>
      <c r="T9680" t="s">
        <v>42755</v>
      </c>
      <c r="U9680" t="s">
        <v>50996</v>
      </c>
      <c r="W9680" t="s">
        <v>38183</v>
      </c>
      <c r="X9680" t="s">
        <v>41261</v>
      </c>
    </row>
    <row r="9681" spans="1:24">
      <c r="A9681">
        <f>HYPERLINK("https://www.philgeps.gov.ph/GEPSNONPILOT/Tender/SplashBidNoticeAbstractUI.aspx?menuIndex=3&amp;refID=7059035&amp;Result=3","7059035")</f>
        <v>0</v>
      </c>
      <c r="B9681" t="s">
        <v>853</v>
      </c>
      <c r="C9681" t="s">
        <v>12623</v>
      </c>
      <c r="D9681" t="s">
        <v>16689</v>
      </c>
      <c r="E9681" t="s">
        <v>25133</v>
      </c>
      <c r="F9681" t="s">
        <v>28669</v>
      </c>
      <c r="G9681" t="s">
        <v>28675</v>
      </c>
      <c r="H9681" t="s">
        <v>28686</v>
      </c>
      <c r="I9681" t="s">
        <v>7352</v>
      </c>
      <c r="J9681" t="s">
        <v>34818</v>
      </c>
      <c r="K9681" t="s">
        <v>37213</v>
      </c>
      <c r="M9681" t="s">
        <v>38369</v>
      </c>
      <c r="N9681" t="s">
        <v>41249</v>
      </c>
      <c r="O9681" t="s">
        <v>41250</v>
      </c>
      <c r="P9681">
        <v>0</v>
      </c>
      <c r="Q9681">
        <v>4</v>
      </c>
      <c r="R9681" t="s">
        <v>41260</v>
      </c>
      <c r="S9681" t="s">
        <v>41624</v>
      </c>
      <c r="T9681" t="s">
        <v>42761</v>
      </c>
      <c r="U9681" t="s">
        <v>44874</v>
      </c>
      <c r="V9681" t="s">
        <v>54494</v>
      </c>
      <c r="W9681" t="s">
        <v>38369</v>
      </c>
      <c r="X9681" t="s">
        <v>41261</v>
      </c>
    </row>
    <row r="9682" spans="1:24">
      <c r="A9682">
        <f>HYPERLINK("https://www.philgeps.gov.ph/GEPSNONPILOT/Tender/SplashBidNoticeAbstractUI.aspx?menuIndex=3&amp;refID=7058693&amp;Result=3","7058693")</f>
        <v>0</v>
      </c>
      <c r="B9682" t="s">
        <v>2812</v>
      </c>
      <c r="C9682" t="s">
        <v>12624</v>
      </c>
      <c r="E9682" t="s">
        <v>25134</v>
      </c>
      <c r="F9682" t="s">
        <v>28669</v>
      </c>
      <c r="G9682" t="s">
        <v>28675</v>
      </c>
      <c r="H9682" t="s">
        <v>9998</v>
      </c>
      <c r="I9682" t="s">
        <v>28729</v>
      </c>
      <c r="J9682" t="s">
        <v>34819</v>
      </c>
      <c r="K9682" t="s">
        <v>37209</v>
      </c>
      <c r="M9682" t="s">
        <v>40541</v>
      </c>
      <c r="N9682" t="s">
        <v>41249</v>
      </c>
      <c r="O9682" t="s">
        <v>41250</v>
      </c>
      <c r="P9682">
        <v>0</v>
      </c>
      <c r="Q9682">
        <v>15</v>
      </c>
      <c r="R9682" t="s">
        <v>41260</v>
      </c>
      <c r="S9682" t="s">
        <v>41624</v>
      </c>
      <c r="T9682" t="s">
        <v>42719</v>
      </c>
      <c r="U9682" t="s">
        <v>50974</v>
      </c>
      <c r="W9682" t="s">
        <v>40541</v>
      </c>
      <c r="X9682" t="s">
        <v>41262</v>
      </c>
    </row>
    <row r="9683" spans="1:24">
      <c r="A9683">
        <f>HYPERLINK("https://www.philgeps.gov.ph/GEPSNONPILOT/Tender/SplashBidNoticeAbstractUI.aspx?menuIndex=3&amp;refID=7059022&amp;Result=3","7059022")</f>
        <v>0</v>
      </c>
      <c r="B9683" t="s">
        <v>2814</v>
      </c>
      <c r="C9683" t="s">
        <v>12625</v>
      </c>
      <c r="D9683" t="s">
        <v>16618</v>
      </c>
      <c r="E9683" t="s">
        <v>25135</v>
      </c>
      <c r="F9683" t="s">
        <v>28669</v>
      </c>
      <c r="G9683" t="s">
        <v>28675</v>
      </c>
      <c r="H9683" t="s">
        <v>28686</v>
      </c>
      <c r="I9683" t="s">
        <v>7352</v>
      </c>
      <c r="J9683" t="s">
        <v>28924</v>
      </c>
      <c r="K9683" t="s">
        <v>37215</v>
      </c>
      <c r="M9683" t="s">
        <v>40544</v>
      </c>
      <c r="N9683" t="s">
        <v>41249</v>
      </c>
      <c r="O9683" t="s">
        <v>41250</v>
      </c>
      <c r="P9683">
        <v>0</v>
      </c>
      <c r="Q9683">
        <v>1</v>
      </c>
      <c r="R9683" t="s">
        <v>41260</v>
      </c>
      <c r="S9683" t="s">
        <v>41624</v>
      </c>
      <c r="T9683" t="s">
        <v>42757</v>
      </c>
      <c r="U9683" t="s">
        <v>50990</v>
      </c>
      <c r="V9683" t="s">
        <v>45711</v>
      </c>
      <c r="W9683" t="s">
        <v>40544</v>
      </c>
      <c r="X9683" t="s">
        <v>41261</v>
      </c>
    </row>
    <row r="9684" spans="1:24">
      <c r="A9684">
        <f>HYPERLINK("https://www.philgeps.gov.ph/GEPSNONPILOT/Tender/SplashBidNoticeAbstractUI.aspx?menuIndex=3&amp;refID=7059015&amp;Result=3","7059015")</f>
        <v>0</v>
      </c>
      <c r="B9684" t="s">
        <v>1193</v>
      </c>
      <c r="C9684" t="s">
        <v>12626</v>
      </c>
      <c r="D9684" t="s">
        <v>16673</v>
      </c>
      <c r="E9684" t="s">
        <v>25136</v>
      </c>
      <c r="F9684" t="s">
        <v>28669</v>
      </c>
      <c r="G9684" t="s">
        <v>28675</v>
      </c>
      <c r="H9684" t="s">
        <v>9998</v>
      </c>
      <c r="I9684" t="s">
        <v>28697</v>
      </c>
      <c r="J9684" t="s">
        <v>30807</v>
      </c>
      <c r="K9684" t="s">
        <v>37205</v>
      </c>
      <c r="M9684" t="s">
        <v>38733</v>
      </c>
      <c r="N9684" t="s">
        <v>41249</v>
      </c>
      <c r="O9684" t="s">
        <v>41250</v>
      </c>
      <c r="P9684">
        <v>0</v>
      </c>
      <c r="Q9684">
        <v>8</v>
      </c>
      <c r="R9684" t="s">
        <v>41260</v>
      </c>
      <c r="S9684" t="s">
        <v>41624</v>
      </c>
      <c r="T9684" t="s">
        <v>42918</v>
      </c>
      <c r="U9684" t="s">
        <v>50997</v>
      </c>
      <c r="W9684" t="s">
        <v>38733</v>
      </c>
      <c r="X9684" t="s">
        <v>41261</v>
      </c>
    </row>
    <row r="9685" spans="1:24">
      <c r="A9685">
        <f>HYPERLINK("https://www.philgeps.gov.ph/GEPSNONPILOT/Tender/SplashBidNoticeAbstractUI.aspx?menuIndex=3&amp;refID=7059000&amp;Result=3","7059000")</f>
        <v>0</v>
      </c>
      <c r="B9685" t="s">
        <v>2817</v>
      </c>
      <c r="C9685" t="s">
        <v>12627</v>
      </c>
      <c r="D9685" t="s">
        <v>16648</v>
      </c>
      <c r="E9685" t="s">
        <v>18990</v>
      </c>
      <c r="F9685" t="s">
        <v>28669</v>
      </c>
      <c r="G9685" t="s">
        <v>28675</v>
      </c>
      <c r="H9685" t="s">
        <v>9998</v>
      </c>
      <c r="I9685" t="s">
        <v>5033</v>
      </c>
      <c r="J9685" t="s">
        <v>34820</v>
      </c>
      <c r="K9685" t="s">
        <v>37209</v>
      </c>
      <c r="M9685" t="s">
        <v>40547</v>
      </c>
      <c r="N9685" t="s">
        <v>41249</v>
      </c>
      <c r="O9685" t="s">
        <v>41250</v>
      </c>
      <c r="P9685">
        <v>0</v>
      </c>
      <c r="Q9685">
        <v>2</v>
      </c>
      <c r="R9685" t="s">
        <v>41260</v>
      </c>
      <c r="S9685" t="s">
        <v>41624</v>
      </c>
      <c r="T9685" t="s">
        <v>42660</v>
      </c>
      <c r="U9685" t="s">
        <v>50998</v>
      </c>
      <c r="W9685" t="s">
        <v>40547</v>
      </c>
      <c r="X9685" t="s">
        <v>41261</v>
      </c>
    </row>
    <row r="9686" spans="1:24">
      <c r="A9686">
        <f>HYPERLINK("https://www.philgeps.gov.ph/GEPSNONPILOT/Tender/SplashBidNoticeAbstractUI.aspx?menuIndex=3&amp;refID=7058988&amp;Result=3","7058988")</f>
        <v>0</v>
      </c>
      <c r="B9686" t="s">
        <v>893</v>
      </c>
      <c r="C9686" t="s">
        <v>12628</v>
      </c>
      <c r="D9686" t="s">
        <v>16608</v>
      </c>
      <c r="E9686" t="s">
        <v>25137</v>
      </c>
      <c r="F9686" t="s">
        <v>28669</v>
      </c>
      <c r="G9686" t="s">
        <v>28676</v>
      </c>
      <c r="H9686" t="s">
        <v>9998</v>
      </c>
      <c r="I9686" t="s">
        <v>28697</v>
      </c>
      <c r="J9686" t="s">
        <v>29546</v>
      </c>
      <c r="K9686" t="s">
        <v>37206</v>
      </c>
      <c r="M9686" t="s">
        <v>38414</v>
      </c>
      <c r="N9686" t="s">
        <v>41249</v>
      </c>
      <c r="O9686" t="s">
        <v>41250</v>
      </c>
      <c r="Q9686">
        <v>0</v>
      </c>
      <c r="R9686" t="s">
        <v>41260</v>
      </c>
      <c r="S9686" t="s">
        <v>41630</v>
      </c>
      <c r="T9686" t="s">
        <v>42711</v>
      </c>
      <c r="U9686" t="s">
        <v>50999</v>
      </c>
      <c r="W9686" t="s">
        <v>38414</v>
      </c>
      <c r="X9686" t="s">
        <v>41261</v>
      </c>
    </row>
    <row r="9687" spans="1:24">
      <c r="A9687">
        <f>HYPERLINK("https://www.philgeps.gov.ph/GEPSNONPILOT/Tender/SplashBidNoticeAbstractUI.aspx?menuIndex=3&amp;refID=7059102&amp;Result=3","7059102")</f>
        <v>0</v>
      </c>
      <c r="B9687" t="s">
        <v>2818</v>
      </c>
      <c r="C9687" t="s">
        <v>12629</v>
      </c>
      <c r="D9687" t="s">
        <v>16686</v>
      </c>
      <c r="E9687" t="s">
        <v>25138</v>
      </c>
      <c r="F9687" t="s">
        <v>28669</v>
      </c>
      <c r="G9687" t="s">
        <v>28675</v>
      </c>
      <c r="H9687" t="s">
        <v>9998</v>
      </c>
      <c r="I9687" t="s">
        <v>28704</v>
      </c>
      <c r="J9687" t="s">
        <v>34821</v>
      </c>
      <c r="K9687" t="s">
        <v>37215</v>
      </c>
      <c r="M9687" t="s">
        <v>40548</v>
      </c>
      <c r="N9687" t="s">
        <v>41249</v>
      </c>
      <c r="O9687" t="s">
        <v>41250</v>
      </c>
      <c r="P9687">
        <v>0</v>
      </c>
      <c r="Q9687">
        <v>2</v>
      </c>
      <c r="R9687" t="s">
        <v>41260</v>
      </c>
      <c r="S9687" t="s">
        <v>41624</v>
      </c>
      <c r="T9687" t="s">
        <v>43093</v>
      </c>
      <c r="U9687" t="s">
        <v>51000</v>
      </c>
      <c r="W9687" t="s">
        <v>56014</v>
      </c>
      <c r="X9687" t="s">
        <v>41261</v>
      </c>
    </row>
    <row r="9688" spans="1:24">
      <c r="A9688">
        <f>HYPERLINK("https://www.philgeps.gov.ph/GEPSNONPILOT/Tender/SplashBidNoticeAbstractUI.aspx?menuIndex=3&amp;refID=7059037&amp;Result=3","7059037")</f>
        <v>0</v>
      </c>
      <c r="B9688" t="s">
        <v>2819</v>
      </c>
      <c r="C9688" t="s">
        <v>12630</v>
      </c>
      <c r="D9688" t="s">
        <v>16654</v>
      </c>
      <c r="E9688" t="s">
        <v>25139</v>
      </c>
      <c r="F9688" t="s">
        <v>28669</v>
      </c>
      <c r="G9688" t="s">
        <v>28675</v>
      </c>
      <c r="H9688" t="s">
        <v>9998</v>
      </c>
      <c r="I9688" t="s">
        <v>28697</v>
      </c>
      <c r="J9688" t="s">
        <v>34822</v>
      </c>
      <c r="K9688" t="s">
        <v>37204</v>
      </c>
      <c r="M9688" t="s">
        <v>40549</v>
      </c>
      <c r="N9688" t="s">
        <v>41249</v>
      </c>
      <c r="O9688" t="s">
        <v>41250</v>
      </c>
      <c r="P9688">
        <v>0</v>
      </c>
      <c r="Q9688">
        <v>10</v>
      </c>
      <c r="R9688" t="s">
        <v>41260</v>
      </c>
      <c r="S9688" t="s">
        <v>41624</v>
      </c>
      <c r="T9688" t="s">
        <v>42918</v>
      </c>
      <c r="U9688" t="s">
        <v>51001</v>
      </c>
      <c r="W9688" t="s">
        <v>40549</v>
      </c>
      <c r="X9688" t="s">
        <v>41261</v>
      </c>
    </row>
    <row r="9689" spans="1:24">
      <c r="A9689">
        <f>HYPERLINK("https://www.philgeps.gov.ph/GEPSNONPILOT/Tender/SplashBidNoticeAbstractUI.aspx?menuIndex=3&amp;refID=7059086&amp;Result=3","7059086")</f>
        <v>0</v>
      </c>
      <c r="B9689" t="s">
        <v>2820</v>
      </c>
      <c r="C9689" t="s">
        <v>12631</v>
      </c>
      <c r="D9689" t="s">
        <v>16664</v>
      </c>
      <c r="E9689" t="s">
        <v>25140</v>
      </c>
      <c r="F9689" t="s">
        <v>28669</v>
      </c>
      <c r="G9689" t="s">
        <v>28676</v>
      </c>
      <c r="H9689" t="s">
        <v>28686</v>
      </c>
      <c r="I9689" t="s">
        <v>28710</v>
      </c>
      <c r="J9689" t="s">
        <v>28884</v>
      </c>
      <c r="K9689" t="s">
        <v>37211</v>
      </c>
      <c r="L9689" t="s">
        <v>2820</v>
      </c>
      <c r="M9689" t="s">
        <v>40550</v>
      </c>
      <c r="N9689" t="s">
        <v>41249</v>
      </c>
      <c r="O9689" t="s">
        <v>41250</v>
      </c>
      <c r="P9689">
        <v>0</v>
      </c>
      <c r="Q9689">
        <v>0</v>
      </c>
      <c r="R9689" t="s">
        <v>41260</v>
      </c>
      <c r="S9689" t="s">
        <v>41624</v>
      </c>
      <c r="T9689" t="s">
        <v>42714</v>
      </c>
      <c r="U9689" t="s">
        <v>51002</v>
      </c>
      <c r="W9689" t="s">
        <v>40550</v>
      </c>
      <c r="X9689" t="s">
        <v>41261</v>
      </c>
    </row>
    <row r="9690" spans="1:24">
      <c r="A9690">
        <f>HYPERLINK("https://www.philgeps.gov.ph/GEPSNONPILOT/Tender/SplashBidNoticeAbstractUI.aspx?menuIndex=3&amp;refID=7058998&amp;Result=3","7058998")</f>
        <v>0</v>
      </c>
      <c r="B9690" t="s">
        <v>2558</v>
      </c>
      <c r="C9690" t="s">
        <v>12632</v>
      </c>
      <c r="D9690" t="s">
        <v>16618</v>
      </c>
      <c r="E9690" t="s">
        <v>25141</v>
      </c>
      <c r="F9690" t="s">
        <v>28669</v>
      </c>
      <c r="G9690" t="s">
        <v>28677</v>
      </c>
      <c r="H9690" t="s">
        <v>9998</v>
      </c>
      <c r="I9690" t="s">
        <v>28695</v>
      </c>
      <c r="J9690" t="s">
        <v>34823</v>
      </c>
      <c r="K9690" t="s">
        <v>37213</v>
      </c>
      <c r="L9690" t="s">
        <v>2558</v>
      </c>
      <c r="M9690" t="s">
        <v>40551</v>
      </c>
      <c r="N9690" t="s">
        <v>41249</v>
      </c>
      <c r="O9690" t="s">
        <v>41250</v>
      </c>
      <c r="Q9690">
        <v>0</v>
      </c>
      <c r="R9690" t="s">
        <v>41260</v>
      </c>
      <c r="S9690" t="s">
        <v>41631</v>
      </c>
      <c r="T9690" t="s">
        <v>42727</v>
      </c>
      <c r="U9690" t="s">
        <v>51003</v>
      </c>
      <c r="W9690" t="s">
        <v>40551</v>
      </c>
      <c r="X9690" t="s">
        <v>41261</v>
      </c>
    </row>
    <row r="9691" spans="1:24">
      <c r="A9691">
        <f>HYPERLINK("https://www.philgeps.gov.ph/GEPSNONPILOT/Tender/SplashBidNoticeAbstractUI.aspx?menuIndex=3&amp;refID=7059066&amp;Result=3","7059066")</f>
        <v>0</v>
      </c>
      <c r="B9691" t="s">
        <v>2821</v>
      </c>
      <c r="C9691" t="s">
        <v>12633</v>
      </c>
      <c r="D9691" t="s">
        <v>16608</v>
      </c>
      <c r="E9691" t="s">
        <v>25142</v>
      </c>
      <c r="F9691" t="s">
        <v>28669</v>
      </c>
      <c r="G9691" t="s">
        <v>28675</v>
      </c>
      <c r="H9691" t="s">
        <v>28684</v>
      </c>
      <c r="I9691" t="s">
        <v>11593</v>
      </c>
      <c r="J9691" t="s">
        <v>34824</v>
      </c>
      <c r="K9691" t="s">
        <v>37204</v>
      </c>
      <c r="M9691" t="s">
        <v>40552</v>
      </c>
      <c r="N9691" t="s">
        <v>41249</v>
      </c>
      <c r="O9691" t="s">
        <v>41250</v>
      </c>
      <c r="P9691">
        <v>0</v>
      </c>
      <c r="Q9691">
        <v>19</v>
      </c>
      <c r="R9691" t="s">
        <v>41260</v>
      </c>
      <c r="S9691" t="s">
        <v>41624</v>
      </c>
      <c r="T9691" t="s">
        <v>43045</v>
      </c>
      <c r="U9691" t="s">
        <v>51004</v>
      </c>
      <c r="W9691" t="s">
        <v>40552</v>
      </c>
      <c r="X9691" t="s">
        <v>41261</v>
      </c>
    </row>
    <row r="9692" spans="1:24">
      <c r="A9692">
        <f>HYPERLINK("https://www.philgeps.gov.ph/GEPSNONPILOT/Tender/SplashBidNoticeAbstractUI.aspx?menuIndex=3&amp;refID=7059279&amp;Result=3","7059279")</f>
        <v>0</v>
      </c>
      <c r="B9692" t="s">
        <v>1517</v>
      </c>
      <c r="C9692" t="s">
        <v>12634</v>
      </c>
      <c r="D9692" t="s">
        <v>16632</v>
      </c>
      <c r="E9692" t="s">
        <v>25143</v>
      </c>
      <c r="F9692" t="s">
        <v>28669</v>
      </c>
      <c r="G9692" t="s">
        <v>28675</v>
      </c>
      <c r="H9692" t="s">
        <v>9998</v>
      </c>
      <c r="I9692" t="s">
        <v>3718</v>
      </c>
      <c r="J9692" t="s">
        <v>30893</v>
      </c>
      <c r="K9692" t="s">
        <v>37204</v>
      </c>
      <c r="M9692" t="s">
        <v>39091</v>
      </c>
      <c r="N9692" t="s">
        <v>41249</v>
      </c>
      <c r="O9692" t="s">
        <v>41250</v>
      </c>
      <c r="P9692">
        <v>0</v>
      </c>
      <c r="Q9692">
        <v>1</v>
      </c>
      <c r="R9692" t="s">
        <v>41260</v>
      </c>
      <c r="S9692" t="s">
        <v>41624</v>
      </c>
      <c r="T9692" t="s">
        <v>42754</v>
      </c>
      <c r="U9692" t="s">
        <v>51005</v>
      </c>
      <c r="V9692" t="s">
        <v>55333</v>
      </c>
      <c r="W9692" t="s">
        <v>39091</v>
      </c>
      <c r="X9692" t="s">
        <v>41261</v>
      </c>
    </row>
    <row r="9693" spans="1:24">
      <c r="A9693">
        <f>HYPERLINK("https://www.philgeps.gov.ph/GEPSNONPILOT/Tender/SplashBidNoticeAbstractUI.aspx?menuIndex=3&amp;refID=7059276&amp;Result=3","7059276")</f>
        <v>0</v>
      </c>
      <c r="B9693" t="s">
        <v>2822</v>
      </c>
      <c r="C9693" t="s">
        <v>12635</v>
      </c>
      <c r="D9693" t="s">
        <v>16608</v>
      </c>
      <c r="E9693" t="s">
        <v>25144</v>
      </c>
      <c r="F9693" t="s">
        <v>28669</v>
      </c>
      <c r="G9693" t="s">
        <v>28675</v>
      </c>
      <c r="H9693" t="s">
        <v>28686</v>
      </c>
      <c r="I9693" t="s">
        <v>28689</v>
      </c>
      <c r="J9693" t="s">
        <v>34825</v>
      </c>
      <c r="K9693" t="s">
        <v>37206</v>
      </c>
      <c r="M9693" t="s">
        <v>40553</v>
      </c>
      <c r="N9693" t="s">
        <v>41249</v>
      </c>
      <c r="O9693" t="s">
        <v>41250</v>
      </c>
      <c r="P9693">
        <v>0</v>
      </c>
      <c r="Q9693">
        <v>6</v>
      </c>
      <c r="R9693" t="s">
        <v>41260</v>
      </c>
      <c r="S9693" t="s">
        <v>41624</v>
      </c>
      <c r="T9693" t="s">
        <v>42764</v>
      </c>
      <c r="U9693" t="s">
        <v>51006</v>
      </c>
      <c r="W9693" t="s">
        <v>56015</v>
      </c>
      <c r="X9693" t="s">
        <v>41261</v>
      </c>
    </row>
    <row r="9694" spans="1:24">
      <c r="A9694">
        <f>HYPERLINK("https://www.philgeps.gov.ph/GEPSNONPILOT/Tender/SplashBidNoticeAbstractUI.aspx?menuIndex=3&amp;refID=7058979&amp;Result=3","7058979")</f>
        <v>0</v>
      </c>
      <c r="B9694" t="s">
        <v>2264</v>
      </c>
      <c r="C9694" t="s">
        <v>12636</v>
      </c>
      <c r="D9694" t="s">
        <v>16615</v>
      </c>
      <c r="E9694" t="s">
        <v>25145</v>
      </c>
      <c r="F9694" t="s">
        <v>28669</v>
      </c>
      <c r="G9694" t="s">
        <v>28675</v>
      </c>
      <c r="H9694" t="s">
        <v>28686</v>
      </c>
      <c r="I9694" t="s">
        <v>28689</v>
      </c>
      <c r="J9694" t="s">
        <v>34826</v>
      </c>
      <c r="K9694" t="s">
        <v>37215</v>
      </c>
      <c r="M9694" t="s">
        <v>40554</v>
      </c>
      <c r="N9694" t="s">
        <v>41249</v>
      </c>
      <c r="O9694" t="s">
        <v>41250</v>
      </c>
      <c r="P9694">
        <v>0</v>
      </c>
      <c r="Q9694">
        <v>12</v>
      </c>
      <c r="R9694" t="s">
        <v>41260</v>
      </c>
      <c r="S9694" t="s">
        <v>41624</v>
      </c>
      <c r="T9694" t="s">
        <v>42799</v>
      </c>
      <c r="U9694" t="s">
        <v>51007</v>
      </c>
      <c r="W9694" t="s">
        <v>40554</v>
      </c>
      <c r="X9694" t="s">
        <v>41261</v>
      </c>
    </row>
    <row r="9695" spans="1:24">
      <c r="A9695">
        <f>HYPERLINK("https://www.philgeps.gov.ph/GEPSNONPILOT/Tender/SplashBidNoticeAbstractUI.aspx?menuIndex=3&amp;refID=7059254&amp;Result=3","7059254")</f>
        <v>0</v>
      </c>
      <c r="B9695" t="s">
        <v>1517</v>
      </c>
      <c r="C9695" t="s">
        <v>7396</v>
      </c>
      <c r="D9695" t="s">
        <v>16632</v>
      </c>
      <c r="E9695" t="s">
        <v>25146</v>
      </c>
      <c r="F9695" t="s">
        <v>28669</v>
      </c>
      <c r="G9695" t="s">
        <v>28675</v>
      </c>
      <c r="H9695" t="s">
        <v>9998</v>
      </c>
      <c r="I9695" t="s">
        <v>28690</v>
      </c>
      <c r="J9695" t="s">
        <v>34827</v>
      </c>
      <c r="K9695" t="s">
        <v>37204</v>
      </c>
      <c r="M9695" t="s">
        <v>39091</v>
      </c>
      <c r="N9695" t="s">
        <v>41249</v>
      </c>
      <c r="O9695" t="s">
        <v>41250</v>
      </c>
      <c r="P9695">
        <v>0</v>
      </c>
      <c r="Q9695">
        <v>5</v>
      </c>
      <c r="R9695" t="s">
        <v>41260</v>
      </c>
      <c r="S9695" t="s">
        <v>41624</v>
      </c>
      <c r="T9695" t="s">
        <v>42754</v>
      </c>
      <c r="U9695" t="s">
        <v>46672</v>
      </c>
      <c r="V9695" t="s">
        <v>55334</v>
      </c>
      <c r="W9695" t="s">
        <v>39091</v>
      </c>
      <c r="X9695" t="s">
        <v>41261</v>
      </c>
    </row>
    <row r="9696" spans="1:24">
      <c r="A9696">
        <f>HYPERLINK("https://www.philgeps.gov.ph/GEPSNONPILOT/Tender/SplashBidNoticeAbstractUI.aspx?menuIndex=3&amp;refID=7059249&amp;Result=3","7059249")</f>
        <v>0</v>
      </c>
      <c r="B9696" t="s">
        <v>2823</v>
      </c>
      <c r="C9696" t="s">
        <v>12637</v>
      </c>
      <c r="D9696" t="s">
        <v>16629</v>
      </c>
      <c r="E9696" t="s">
        <v>25147</v>
      </c>
      <c r="F9696" t="s">
        <v>28669</v>
      </c>
      <c r="G9696" t="s">
        <v>28678</v>
      </c>
      <c r="H9696" t="s">
        <v>9998</v>
      </c>
      <c r="I9696" t="s">
        <v>6128</v>
      </c>
      <c r="J9696" t="s">
        <v>34828</v>
      </c>
      <c r="K9696" t="s">
        <v>37210</v>
      </c>
      <c r="M9696" t="s">
        <v>40555</v>
      </c>
      <c r="N9696" t="s">
        <v>41249</v>
      </c>
      <c r="O9696" t="s">
        <v>41250</v>
      </c>
      <c r="P9696">
        <v>0</v>
      </c>
      <c r="Q9696">
        <v>6</v>
      </c>
      <c r="R9696" t="s">
        <v>41260</v>
      </c>
      <c r="S9696" t="s">
        <v>41624</v>
      </c>
      <c r="T9696" t="s">
        <v>42690</v>
      </c>
      <c r="U9696" t="s">
        <v>51008</v>
      </c>
      <c r="W9696" t="s">
        <v>40555</v>
      </c>
      <c r="X9696" t="s">
        <v>41261</v>
      </c>
    </row>
    <row r="9697" spans="1:24">
      <c r="A9697">
        <f>HYPERLINK("https://www.philgeps.gov.ph/GEPSNONPILOT/Tender/SplashBidNoticeAbstractUI.aspx?menuIndex=3&amp;refID=7059245&amp;Result=3","7059245")</f>
        <v>0</v>
      </c>
      <c r="B9697" t="s">
        <v>2824</v>
      </c>
      <c r="C9697" t="s">
        <v>12638</v>
      </c>
      <c r="D9697" t="s">
        <v>16607</v>
      </c>
      <c r="E9697" t="s">
        <v>17170</v>
      </c>
      <c r="F9697" t="s">
        <v>28672</v>
      </c>
      <c r="G9697" t="s">
        <v>28675</v>
      </c>
      <c r="H9697" t="s">
        <v>9998</v>
      </c>
      <c r="I9697" t="s">
        <v>7352</v>
      </c>
      <c r="J9697" t="s">
        <v>34829</v>
      </c>
      <c r="K9697" t="s">
        <v>37205</v>
      </c>
      <c r="M9697" t="s">
        <v>40556</v>
      </c>
      <c r="N9697" t="s">
        <v>41249</v>
      </c>
      <c r="O9697" t="s">
        <v>41250</v>
      </c>
      <c r="P9697">
        <v>0</v>
      </c>
      <c r="Q9697">
        <v>2</v>
      </c>
      <c r="R9697" t="s">
        <v>41260</v>
      </c>
      <c r="S9697" t="s">
        <v>41624</v>
      </c>
      <c r="T9697" t="s">
        <v>42696</v>
      </c>
      <c r="U9697" t="s">
        <v>51009</v>
      </c>
      <c r="V9697" t="s">
        <v>54406</v>
      </c>
      <c r="W9697" t="s">
        <v>40556</v>
      </c>
      <c r="X9697" t="s">
        <v>41261</v>
      </c>
    </row>
    <row r="9698" spans="1:24">
      <c r="A9698">
        <f>HYPERLINK("https://www.philgeps.gov.ph/GEPSNONPILOT/Tender/SplashBidNoticeAbstractUI.aspx?menuIndex=3&amp;refID=7059228&amp;Result=3","7059228")</f>
        <v>0</v>
      </c>
      <c r="B9698" t="s">
        <v>2823</v>
      </c>
      <c r="C9698" t="s">
        <v>12639</v>
      </c>
      <c r="D9698" t="s">
        <v>16629</v>
      </c>
      <c r="E9698" t="s">
        <v>25148</v>
      </c>
      <c r="F9698" t="s">
        <v>28669</v>
      </c>
      <c r="G9698" t="s">
        <v>28678</v>
      </c>
      <c r="H9698" t="s">
        <v>9998</v>
      </c>
      <c r="I9698" t="s">
        <v>6128</v>
      </c>
      <c r="J9698" t="s">
        <v>28834</v>
      </c>
      <c r="K9698" t="s">
        <v>37210</v>
      </c>
      <c r="M9698" t="s">
        <v>40555</v>
      </c>
      <c r="N9698" t="s">
        <v>41249</v>
      </c>
      <c r="O9698" t="s">
        <v>41250</v>
      </c>
      <c r="P9698">
        <v>0</v>
      </c>
      <c r="Q9698">
        <v>2</v>
      </c>
      <c r="R9698" t="s">
        <v>41260</v>
      </c>
      <c r="S9698" t="s">
        <v>41624</v>
      </c>
      <c r="T9698" t="s">
        <v>42690</v>
      </c>
      <c r="U9698" t="s">
        <v>51010</v>
      </c>
      <c r="W9698" t="s">
        <v>40555</v>
      </c>
      <c r="X9698" t="s">
        <v>41261</v>
      </c>
    </row>
    <row r="9699" spans="1:24">
      <c r="A9699">
        <f>HYPERLINK("https://www.philgeps.gov.ph/GEPSNONPILOT/Tender/SplashBidNoticeAbstractUI.aspx?menuIndex=3&amp;refID=7058886&amp;Result=3","7058886")</f>
        <v>0</v>
      </c>
      <c r="B9699" t="s">
        <v>321</v>
      </c>
      <c r="C9699" t="s">
        <v>12640</v>
      </c>
      <c r="D9699" t="s">
        <v>16665</v>
      </c>
      <c r="E9699" t="s">
        <v>25149</v>
      </c>
      <c r="F9699" t="s">
        <v>28669</v>
      </c>
      <c r="G9699" t="s">
        <v>28675</v>
      </c>
      <c r="H9699" t="s">
        <v>9998</v>
      </c>
      <c r="I9699" t="s">
        <v>28806</v>
      </c>
      <c r="J9699" t="s">
        <v>29332</v>
      </c>
      <c r="K9699" t="s">
        <v>37206</v>
      </c>
      <c r="M9699" t="s">
        <v>39077</v>
      </c>
      <c r="N9699" t="s">
        <v>41249</v>
      </c>
      <c r="O9699" t="s">
        <v>41250</v>
      </c>
      <c r="P9699">
        <v>0</v>
      </c>
      <c r="Q9699">
        <v>1</v>
      </c>
      <c r="R9699" t="s">
        <v>41260</v>
      </c>
      <c r="S9699" t="s">
        <v>41624</v>
      </c>
      <c r="T9699" t="s">
        <v>42660</v>
      </c>
      <c r="U9699" t="s">
        <v>51011</v>
      </c>
      <c r="W9699" t="s">
        <v>39077</v>
      </c>
      <c r="X9699" t="s">
        <v>41262</v>
      </c>
    </row>
    <row r="9700" spans="1:24">
      <c r="A9700">
        <f>HYPERLINK("https://www.philgeps.gov.ph/GEPSNONPILOT/Tender/SplashBidNoticeAbstractUI.aspx?menuIndex=3&amp;refID=7059205&amp;Result=3","7059205")</f>
        <v>0</v>
      </c>
      <c r="B9700" t="s">
        <v>2606</v>
      </c>
      <c r="C9700" t="s">
        <v>12641</v>
      </c>
      <c r="D9700" t="s">
        <v>16647</v>
      </c>
      <c r="E9700" t="s">
        <v>25150</v>
      </c>
      <c r="F9700" t="s">
        <v>28670</v>
      </c>
      <c r="G9700" t="s">
        <v>28675</v>
      </c>
      <c r="H9700" t="s">
        <v>9998</v>
      </c>
      <c r="I9700" t="s">
        <v>28687</v>
      </c>
      <c r="J9700" t="s">
        <v>28847</v>
      </c>
      <c r="K9700" t="s">
        <v>37205</v>
      </c>
      <c r="M9700" t="s">
        <v>40302</v>
      </c>
      <c r="N9700" t="s">
        <v>41249</v>
      </c>
      <c r="O9700" t="s">
        <v>41250</v>
      </c>
      <c r="P9700">
        <v>0</v>
      </c>
      <c r="Q9700">
        <v>5</v>
      </c>
      <c r="R9700" t="s">
        <v>41260</v>
      </c>
      <c r="S9700" t="s">
        <v>41624</v>
      </c>
      <c r="T9700" t="s">
        <v>42658</v>
      </c>
      <c r="U9700" t="s">
        <v>51012</v>
      </c>
      <c r="W9700" t="s">
        <v>40302</v>
      </c>
      <c r="X9700" t="s">
        <v>41261</v>
      </c>
    </row>
    <row r="9701" spans="1:24">
      <c r="A9701">
        <f>HYPERLINK("https://www.philgeps.gov.ph/GEPSNONPILOT/Tender/SplashBidNoticeAbstractUI.aspx?menuIndex=3&amp;refID=7059200&amp;Result=3","7059200")</f>
        <v>0</v>
      </c>
      <c r="B9701" t="s">
        <v>2813</v>
      </c>
      <c r="C9701" t="s">
        <v>12642</v>
      </c>
      <c r="D9701" t="s">
        <v>16633</v>
      </c>
      <c r="E9701" t="s">
        <v>25151</v>
      </c>
      <c r="F9701" t="s">
        <v>28669</v>
      </c>
      <c r="G9701" t="s">
        <v>28675</v>
      </c>
      <c r="H9701" t="s">
        <v>9998</v>
      </c>
      <c r="I9701" t="s">
        <v>11593</v>
      </c>
      <c r="J9701" t="s">
        <v>29529</v>
      </c>
      <c r="K9701" t="s">
        <v>37210</v>
      </c>
      <c r="M9701" t="s">
        <v>40543</v>
      </c>
      <c r="N9701" t="s">
        <v>41249</v>
      </c>
      <c r="O9701" t="s">
        <v>41250</v>
      </c>
      <c r="P9701">
        <v>0</v>
      </c>
      <c r="Q9701">
        <v>6</v>
      </c>
      <c r="R9701" t="s">
        <v>41260</v>
      </c>
      <c r="S9701" t="s">
        <v>41624</v>
      </c>
      <c r="T9701" t="s">
        <v>42836</v>
      </c>
      <c r="U9701" t="s">
        <v>51013</v>
      </c>
      <c r="V9701" t="s">
        <v>55330</v>
      </c>
      <c r="W9701" t="s">
        <v>40543</v>
      </c>
      <c r="X9701" t="s">
        <v>41261</v>
      </c>
    </row>
    <row r="9702" spans="1:24">
      <c r="A9702">
        <f>HYPERLINK("https://www.philgeps.gov.ph/GEPSNONPILOT/Tender/SplashBidNoticeAbstractUI.aspx?menuIndex=3&amp;refID=7059256&amp;Result=3","7059256")</f>
        <v>0</v>
      </c>
      <c r="B9702" t="s">
        <v>1084</v>
      </c>
      <c r="C9702" t="s">
        <v>12643</v>
      </c>
      <c r="D9702" t="s">
        <v>16667</v>
      </c>
      <c r="E9702" t="s">
        <v>25152</v>
      </c>
      <c r="F9702" t="s">
        <v>28669</v>
      </c>
      <c r="G9702" t="s">
        <v>28675</v>
      </c>
      <c r="H9702" t="s">
        <v>9998</v>
      </c>
      <c r="I9702" t="s">
        <v>15140</v>
      </c>
      <c r="J9702" t="s">
        <v>34830</v>
      </c>
      <c r="K9702" t="s">
        <v>37220</v>
      </c>
      <c r="M9702" t="s">
        <v>38616</v>
      </c>
      <c r="N9702" t="s">
        <v>41249</v>
      </c>
      <c r="O9702" t="s">
        <v>41250</v>
      </c>
      <c r="P9702">
        <v>0</v>
      </c>
      <c r="Q9702">
        <v>0</v>
      </c>
      <c r="R9702" t="s">
        <v>41260</v>
      </c>
      <c r="S9702" t="s">
        <v>41624</v>
      </c>
      <c r="T9702" t="s">
        <v>42836</v>
      </c>
      <c r="U9702" t="s">
        <v>51014</v>
      </c>
      <c r="W9702" t="s">
        <v>38616</v>
      </c>
      <c r="X9702" t="s">
        <v>41261</v>
      </c>
    </row>
    <row r="9703" spans="1:24">
      <c r="A9703">
        <f>HYPERLINK("https://www.philgeps.gov.ph/GEPSNONPILOT/Tender/SplashBidNoticeAbstractUI.aspx?menuIndex=3&amp;refID=7059188&amp;Result=3","7059188")</f>
        <v>0</v>
      </c>
      <c r="B9703" t="s">
        <v>564</v>
      </c>
      <c r="C9703" t="s">
        <v>12644</v>
      </c>
      <c r="D9703" t="s">
        <v>16627</v>
      </c>
      <c r="E9703" t="s">
        <v>25153</v>
      </c>
      <c r="F9703" t="s">
        <v>28669</v>
      </c>
      <c r="G9703" t="s">
        <v>28675</v>
      </c>
      <c r="H9703" t="s">
        <v>28686</v>
      </c>
      <c r="I9703" t="s">
        <v>28689</v>
      </c>
      <c r="J9703" t="s">
        <v>34831</v>
      </c>
      <c r="K9703" t="s">
        <v>37317</v>
      </c>
      <c r="M9703" t="s">
        <v>38060</v>
      </c>
      <c r="N9703" t="s">
        <v>41249</v>
      </c>
      <c r="O9703" t="s">
        <v>41250</v>
      </c>
      <c r="P9703">
        <v>0</v>
      </c>
      <c r="Q9703">
        <v>4</v>
      </c>
      <c r="R9703" t="s">
        <v>41260</v>
      </c>
      <c r="S9703" t="s">
        <v>41624</v>
      </c>
      <c r="T9703" t="s">
        <v>42782</v>
      </c>
      <c r="U9703" t="s">
        <v>51015</v>
      </c>
      <c r="V9703" t="s">
        <v>54383</v>
      </c>
      <c r="W9703" t="s">
        <v>38060</v>
      </c>
      <c r="X9703" t="s">
        <v>41261</v>
      </c>
    </row>
    <row r="9704" spans="1:24">
      <c r="A9704">
        <f>HYPERLINK("https://www.philgeps.gov.ph/GEPSNONPILOT/Tender/SplashBidNoticeAbstractUI.aspx?menuIndex=3&amp;refID=7059184&amp;Result=3","7059184")</f>
        <v>0</v>
      </c>
      <c r="B9704" t="s">
        <v>2825</v>
      </c>
      <c r="C9704" t="s">
        <v>12645</v>
      </c>
      <c r="D9704" t="s">
        <v>16665</v>
      </c>
      <c r="E9704" t="s">
        <v>25154</v>
      </c>
      <c r="F9704" t="s">
        <v>28669</v>
      </c>
      <c r="G9704" t="s">
        <v>28675</v>
      </c>
      <c r="H9704" t="s">
        <v>28686</v>
      </c>
      <c r="I9704" t="s">
        <v>28689</v>
      </c>
      <c r="J9704" t="s">
        <v>34832</v>
      </c>
      <c r="K9704" t="s">
        <v>37220</v>
      </c>
      <c r="M9704" t="s">
        <v>40557</v>
      </c>
      <c r="N9704" t="s">
        <v>41249</v>
      </c>
      <c r="O9704" t="s">
        <v>41250</v>
      </c>
      <c r="P9704">
        <v>0</v>
      </c>
      <c r="Q9704">
        <v>0</v>
      </c>
      <c r="R9704" t="s">
        <v>41260</v>
      </c>
      <c r="S9704" t="s">
        <v>41624</v>
      </c>
      <c r="T9704" t="s">
        <v>42760</v>
      </c>
      <c r="U9704" t="s">
        <v>51016</v>
      </c>
      <c r="W9704" t="s">
        <v>40557</v>
      </c>
      <c r="X9704" t="s">
        <v>41261</v>
      </c>
    </row>
    <row r="9705" spans="1:24">
      <c r="A9705">
        <f>HYPERLINK("https://www.philgeps.gov.ph/GEPSNONPILOT/Tender/SplashBidNoticeAbstractUI.aspx?menuIndex=3&amp;refID=7059253&amp;Result=3","7059253")</f>
        <v>0</v>
      </c>
      <c r="B9705" t="s">
        <v>2826</v>
      </c>
      <c r="C9705" t="s">
        <v>12646</v>
      </c>
      <c r="D9705" t="s">
        <v>16663</v>
      </c>
      <c r="E9705" t="s">
        <v>25155</v>
      </c>
      <c r="F9705" t="s">
        <v>28669</v>
      </c>
      <c r="G9705" t="s">
        <v>28675</v>
      </c>
      <c r="H9705" t="s">
        <v>28686</v>
      </c>
      <c r="I9705" t="s">
        <v>28689</v>
      </c>
      <c r="J9705" t="s">
        <v>29003</v>
      </c>
      <c r="K9705" t="s">
        <v>37206</v>
      </c>
      <c r="M9705" t="s">
        <v>40558</v>
      </c>
      <c r="N9705" t="s">
        <v>41249</v>
      </c>
      <c r="O9705" t="s">
        <v>41250</v>
      </c>
      <c r="P9705">
        <v>0</v>
      </c>
      <c r="Q9705">
        <v>0</v>
      </c>
      <c r="R9705" t="s">
        <v>41260</v>
      </c>
      <c r="S9705" t="s">
        <v>41624</v>
      </c>
      <c r="T9705" t="s">
        <v>42836</v>
      </c>
      <c r="U9705" t="s">
        <v>51017</v>
      </c>
      <c r="W9705" t="s">
        <v>40558</v>
      </c>
      <c r="X9705" t="s">
        <v>41261</v>
      </c>
    </row>
    <row r="9706" spans="1:24">
      <c r="A9706">
        <f>HYPERLINK("https://www.philgeps.gov.ph/GEPSNONPILOT/Tender/SplashBidNoticeAbstractUI.aspx?menuIndex=3&amp;refID=7059303&amp;Result=3","7059303")</f>
        <v>0</v>
      </c>
      <c r="B9706" t="s">
        <v>1725</v>
      </c>
      <c r="C9706" t="s">
        <v>12647</v>
      </c>
      <c r="D9706" t="s">
        <v>16655</v>
      </c>
      <c r="E9706" t="s">
        <v>25156</v>
      </c>
      <c r="F9706" t="s">
        <v>28669</v>
      </c>
      <c r="G9706" t="s">
        <v>28675</v>
      </c>
      <c r="H9706" t="s">
        <v>28686</v>
      </c>
      <c r="I9706" t="s">
        <v>28689</v>
      </c>
      <c r="J9706" t="s">
        <v>28836</v>
      </c>
      <c r="K9706" t="s">
        <v>37213</v>
      </c>
      <c r="M9706" t="s">
        <v>39324</v>
      </c>
      <c r="N9706" t="s">
        <v>41249</v>
      </c>
      <c r="O9706" t="s">
        <v>41250</v>
      </c>
      <c r="P9706">
        <v>0</v>
      </c>
      <c r="Q9706">
        <v>0</v>
      </c>
      <c r="R9706" t="s">
        <v>41260</v>
      </c>
      <c r="S9706" t="s">
        <v>41624</v>
      </c>
      <c r="T9706" t="s">
        <v>43063</v>
      </c>
      <c r="U9706" t="s">
        <v>51018</v>
      </c>
      <c r="W9706" t="s">
        <v>39324</v>
      </c>
      <c r="X9706" t="s">
        <v>41261</v>
      </c>
    </row>
    <row r="9707" spans="1:24">
      <c r="A9707">
        <f>HYPERLINK("https://www.philgeps.gov.ph/GEPSNONPILOT/Tender/SplashBidNoticeAbstractUI.aspx?menuIndex=3&amp;refID=7059393&amp;Result=3","7059393")</f>
        <v>0</v>
      </c>
      <c r="B9707" t="s">
        <v>1493</v>
      </c>
      <c r="C9707" t="s">
        <v>12648</v>
      </c>
      <c r="D9707" t="s">
        <v>16630</v>
      </c>
      <c r="E9707" t="s">
        <v>25157</v>
      </c>
      <c r="F9707" t="s">
        <v>28669</v>
      </c>
      <c r="G9707" t="s">
        <v>28675</v>
      </c>
      <c r="H9707" t="s">
        <v>9998</v>
      </c>
      <c r="I9707" t="s">
        <v>7352</v>
      </c>
      <c r="J9707" t="s">
        <v>34833</v>
      </c>
      <c r="K9707" t="s">
        <v>37317</v>
      </c>
      <c r="M9707" t="s">
        <v>39064</v>
      </c>
      <c r="N9707" t="s">
        <v>41249</v>
      </c>
      <c r="O9707" t="s">
        <v>41250</v>
      </c>
      <c r="P9707">
        <v>0</v>
      </c>
      <c r="Q9707">
        <v>2</v>
      </c>
      <c r="R9707" t="s">
        <v>41260</v>
      </c>
      <c r="S9707" t="s">
        <v>41624</v>
      </c>
      <c r="T9707" t="s">
        <v>42764</v>
      </c>
      <c r="U9707" t="s">
        <v>51019</v>
      </c>
      <c r="W9707" t="s">
        <v>55958</v>
      </c>
      <c r="X9707" t="s">
        <v>41261</v>
      </c>
    </row>
    <row r="9708" spans="1:24">
      <c r="A9708">
        <f>HYPERLINK("https://www.philgeps.gov.ph/GEPSNONPILOT/Tender/SplashBidNoticeAbstractUI.aspx?menuIndex=3&amp;refID=7059379&amp;Result=3","7059379")</f>
        <v>0</v>
      </c>
      <c r="B9708" t="s">
        <v>1493</v>
      </c>
      <c r="C9708" t="s">
        <v>12649</v>
      </c>
      <c r="D9708" t="s">
        <v>16630</v>
      </c>
      <c r="E9708" t="s">
        <v>18099</v>
      </c>
      <c r="F9708" t="s">
        <v>28669</v>
      </c>
      <c r="G9708" t="s">
        <v>28675</v>
      </c>
      <c r="H9708" t="s">
        <v>9998</v>
      </c>
      <c r="I9708" t="s">
        <v>7352</v>
      </c>
      <c r="J9708" t="s">
        <v>34834</v>
      </c>
      <c r="K9708" t="s">
        <v>37224</v>
      </c>
      <c r="M9708" t="s">
        <v>39064</v>
      </c>
      <c r="N9708" t="s">
        <v>41249</v>
      </c>
      <c r="O9708" t="s">
        <v>41250</v>
      </c>
      <c r="P9708">
        <v>0</v>
      </c>
      <c r="Q9708">
        <v>3</v>
      </c>
      <c r="R9708" t="s">
        <v>41260</v>
      </c>
      <c r="S9708" t="s">
        <v>41624</v>
      </c>
      <c r="T9708" t="s">
        <v>42678</v>
      </c>
      <c r="U9708" t="s">
        <v>51020</v>
      </c>
      <c r="W9708" t="s">
        <v>55958</v>
      </c>
      <c r="X9708" t="s">
        <v>41261</v>
      </c>
    </row>
    <row r="9709" spans="1:24">
      <c r="A9709">
        <f>HYPERLINK("https://www.philgeps.gov.ph/GEPSNONPILOT/Tender/SplashBidNoticeAbstractUI.aspx?menuIndex=3&amp;refID=7059375&amp;Result=3","7059375")</f>
        <v>0</v>
      </c>
      <c r="B9709" t="s">
        <v>2827</v>
      </c>
      <c r="C9709" t="s">
        <v>12650</v>
      </c>
      <c r="D9709" t="s">
        <v>16679</v>
      </c>
      <c r="E9709" t="s">
        <v>18012</v>
      </c>
      <c r="F9709" t="s">
        <v>28674</v>
      </c>
      <c r="G9709" t="s">
        <v>28675</v>
      </c>
      <c r="H9709" t="s">
        <v>9998</v>
      </c>
      <c r="I9709" t="s">
        <v>28699</v>
      </c>
      <c r="J9709" t="s">
        <v>34419</v>
      </c>
      <c r="K9709" t="s">
        <v>37206</v>
      </c>
      <c r="M9709" t="s">
        <v>40559</v>
      </c>
      <c r="N9709" t="s">
        <v>41249</v>
      </c>
      <c r="O9709" t="s">
        <v>41250</v>
      </c>
      <c r="P9709">
        <v>0</v>
      </c>
      <c r="Q9709">
        <v>4</v>
      </c>
      <c r="R9709" t="s">
        <v>41260</v>
      </c>
      <c r="S9709" t="s">
        <v>41624</v>
      </c>
      <c r="T9709" t="s">
        <v>42695</v>
      </c>
      <c r="U9709" t="s">
        <v>51021</v>
      </c>
      <c r="W9709" t="s">
        <v>40559</v>
      </c>
      <c r="X9709" t="s">
        <v>41261</v>
      </c>
    </row>
    <row r="9710" spans="1:24">
      <c r="A9710">
        <f>HYPERLINK("https://www.philgeps.gov.ph/GEPSNONPILOT/Tender/SplashBidNoticeAbstractUI.aspx?menuIndex=3&amp;refID=7059355&amp;Result=3","7059355")</f>
        <v>0</v>
      </c>
      <c r="B9710" t="s">
        <v>1493</v>
      </c>
      <c r="C9710" t="s">
        <v>12651</v>
      </c>
      <c r="D9710" t="s">
        <v>16630</v>
      </c>
      <c r="E9710" t="s">
        <v>21223</v>
      </c>
      <c r="F9710" t="s">
        <v>28669</v>
      </c>
      <c r="G9710" t="s">
        <v>28675</v>
      </c>
      <c r="H9710" t="s">
        <v>28686</v>
      </c>
      <c r="I9710" t="s">
        <v>28689</v>
      </c>
      <c r="J9710" t="s">
        <v>34835</v>
      </c>
      <c r="K9710" t="s">
        <v>37346</v>
      </c>
      <c r="M9710" t="s">
        <v>39064</v>
      </c>
      <c r="N9710" t="s">
        <v>41249</v>
      </c>
      <c r="O9710" t="s">
        <v>41250</v>
      </c>
      <c r="P9710">
        <v>0</v>
      </c>
      <c r="Q9710">
        <v>1</v>
      </c>
      <c r="R9710" t="s">
        <v>41260</v>
      </c>
      <c r="S9710" t="s">
        <v>41624</v>
      </c>
      <c r="T9710" t="s">
        <v>43024</v>
      </c>
      <c r="U9710" t="s">
        <v>51022</v>
      </c>
      <c r="W9710" t="s">
        <v>55958</v>
      </c>
      <c r="X9710" t="s">
        <v>41261</v>
      </c>
    </row>
    <row r="9711" spans="1:24">
      <c r="A9711">
        <f>HYPERLINK("https://www.philgeps.gov.ph/GEPSNONPILOT/Tender/SplashBidNoticeAbstractUI.aspx?menuIndex=3&amp;refID=7059354&amp;Result=3","7059354")</f>
        <v>0</v>
      </c>
      <c r="B9711" t="s">
        <v>1124</v>
      </c>
      <c r="C9711" t="s">
        <v>12652</v>
      </c>
      <c r="E9711" t="s">
        <v>25158</v>
      </c>
      <c r="F9711" t="s">
        <v>28669</v>
      </c>
      <c r="G9711" t="s">
        <v>28675</v>
      </c>
      <c r="H9711" t="s">
        <v>9998</v>
      </c>
      <c r="I9711" t="s">
        <v>28694</v>
      </c>
      <c r="J9711" t="s">
        <v>34836</v>
      </c>
      <c r="K9711" t="s">
        <v>37209</v>
      </c>
      <c r="M9711" t="s">
        <v>40560</v>
      </c>
      <c r="N9711" t="s">
        <v>41249</v>
      </c>
      <c r="O9711" t="s">
        <v>41250</v>
      </c>
      <c r="P9711">
        <v>0</v>
      </c>
      <c r="Q9711">
        <v>1</v>
      </c>
      <c r="R9711" t="s">
        <v>41260</v>
      </c>
      <c r="S9711" t="s">
        <v>41624</v>
      </c>
      <c r="T9711" t="s">
        <v>42759</v>
      </c>
      <c r="U9711" t="s">
        <v>51023</v>
      </c>
      <c r="W9711" t="s">
        <v>40560</v>
      </c>
      <c r="X9711" t="s">
        <v>41261</v>
      </c>
    </row>
    <row r="9712" spans="1:24">
      <c r="A9712">
        <f>HYPERLINK("https://www.philgeps.gov.ph/GEPSNONPILOT/Tender/SplashBidNoticeAbstractUI.aspx?menuIndex=3&amp;refID=7059349&amp;Result=3","7059349")</f>
        <v>0</v>
      </c>
      <c r="B9712" t="s">
        <v>2822</v>
      </c>
      <c r="C9712" t="s">
        <v>12653</v>
      </c>
      <c r="D9712" t="s">
        <v>16608</v>
      </c>
      <c r="E9712" t="s">
        <v>25159</v>
      </c>
      <c r="F9712" t="s">
        <v>28669</v>
      </c>
      <c r="G9712" t="s">
        <v>28675</v>
      </c>
      <c r="H9712" t="s">
        <v>28686</v>
      </c>
      <c r="I9712" t="s">
        <v>28689</v>
      </c>
      <c r="J9712" t="s">
        <v>34837</v>
      </c>
      <c r="K9712" t="s">
        <v>37213</v>
      </c>
      <c r="M9712" t="s">
        <v>40553</v>
      </c>
      <c r="N9712" t="s">
        <v>41249</v>
      </c>
      <c r="O9712" t="s">
        <v>41250</v>
      </c>
      <c r="P9712">
        <v>0</v>
      </c>
      <c r="Q9712">
        <v>5</v>
      </c>
      <c r="R9712" t="s">
        <v>41260</v>
      </c>
      <c r="S9712" t="s">
        <v>41624</v>
      </c>
      <c r="T9712" t="s">
        <v>42764</v>
      </c>
      <c r="U9712" t="s">
        <v>51024</v>
      </c>
      <c r="W9712" t="s">
        <v>56015</v>
      </c>
      <c r="X9712" t="s">
        <v>41261</v>
      </c>
    </row>
    <row r="9713" spans="1:24">
      <c r="A9713">
        <f>HYPERLINK("https://www.philgeps.gov.ph/GEPSNONPILOT/Tender/SplashBidNoticeAbstractUI.aspx?menuIndex=3&amp;refID=7059344&amp;Result=3","7059344")</f>
        <v>0</v>
      </c>
      <c r="B9713" t="s">
        <v>1050</v>
      </c>
      <c r="C9713" t="s">
        <v>12654</v>
      </c>
      <c r="D9713" t="s">
        <v>16648</v>
      </c>
      <c r="E9713" t="s">
        <v>25160</v>
      </c>
      <c r="F9713" t="s">
        <v>28669</v>
      </c>
      <c r="G9713" t="s">
        <v>28675</v>
      </c>
      <c r="H9713" t="s">
        <v>9998</v>
      </c>
      <c r="I9713" t="s">
        <v>28687</v>
      </c>
      <c r="J9713" t="s">
        <v>34691</v>
      </c>
      <c r="K9713" t="s">
        <v>37204</v>
      </c>
      <c r="M9713" t="s">
        <v>38581</v>
      </c>
      <c r="N9713" t="s">
        <v>41249</v>
      </c>
      <c r="O9713" t="s">
        <v>41250</v>
      </c>
      <c r="P9713">
        <v>0</v>
      </c>
      <c r="Q9713">
        <v>6</v>
      </c>
      <c r="R9713" t="s">
        <v>41260</v>
      </c>
      <c r="S9713" t="s">
        <v>41624</v>
      </c>
      <c r="T9713" t="s">
        <v>43000</v>
      </c>
      <c r="U9713" t="s">
        <v>51025</v>
      </c>
      <c r="W9713" t="s">
        <v>38581</v>
      </c>
      <c r="X9713" t="s">
        <v>41261</v>
      </c>
    </row>
    <row r="9714" spans="1:24">
      <c r="A9714">
        <f>HYPERLINK("https://www.philgeps.gov.ph/GEPSNONPILOT/Tender/SplashBidNoticeAbstractUI.aspx?menuIndex=3&amp;refID=7059343&amp;Result=3","7059343")</f>
        <v>0</v>
      </c>
      <c r="B9714" t="s">
        <v>2391</v>
      </c>
      <c r="C9714" t="s">
        <v>12655</v>
      </c>
      <c r="D9714" t="s">
        <v>16638</v>
      </c>
      <c r="E9714" t="s">
        <v>25161</v>
      </c>
      <c r="F9714" t="s">
        <v>28669</v>
      </c>
      <c r="G9714" t="s">
        <v>28675</v>
      </c>
      <c r="H9714" t="s">
        <v>9998</v>
      </c>
      <c r="I9714" t="s">
        <v>28688</v>
      </c>
      <c r="J9714" t="s">
        <v>34838</v>
      </c>
      <c r="K9714" t="s">
        <v>37206</v>
      </c>
      <c r="M9714" t="s">
        <v>40066</v>
      </c>
      <c r="N9714" t="s">
        <v>41249</v>
      </c>
      <c r="O9714" t="s">
        <v>41250</v>
      </c>
      <c r="P9714">
        <v>0</v>
      </c>
      <c r="Q9714">
        <v>9</v>
      </c>
      <c r="R9714" t="s">
        <v>41260</v>
      </c>
      <c r="S9714" t="s">
        <v>41624</v>
      </c>
      <c r="T9714" t="s">
        <v>42668</v>
      </c>
      <c r="U9714" t="s">
        <v>51026</v>
      </c>
      <c r="W9714" t="s">
        <v>55991</v>
      </c>
      <c r="X9714" t="s">
        <v>41261</v>
      </c>
    </row>
    <row r="9715" spans="1:24">
      <c r="A9715">
        <f>HYPERLINK("https://www.philgeps.gov.ph/GEPSNONPILOT/Tender/SplashBidNoticeAbstractUI.aspx?menuIndex=3&amp;refID=7059385&amp;Result=3","7059385")</f>
        <v>0</v>
      </c>
      <c r="B9715" t="s">
        <v>2828</v>
      </c>
      <c r="C9715" t="s">
        <v>12656</v>
      </c>
      <c r="D9715" t="s">
        <v>16643</v>
      </c>
      <c r="E9715" t="s">
        <v>17029</v>
      </c>
      <c r="F9715" t="s">
        <v>28669</v>
      </c>
      <c r="G9715" t="s">
        <v>28677</v>
      </c>
      <c r="H9715" t="s">
        <v>9998</v>
      </c>
      <c r="I9715" t="s">
        <v>5213</v>
      </c>
      <c r="J9715" t="s">
        <v>34839</v>
      </c>
      <c r="K9715" t="s">
        <v>37210</v>
      </c>
      <c r="M9715" t="s">
        <v>40561</v>
      </c>
      <c r="N9715" t="s">
        <v>41249</v>
      </c>
      <c r="O9715" t="s">
        <v>41250</v>
      </c>
      <c r="P9715">
        <v>0</v>
      </c>
      <c r="Q9715">
        <v>0</v>
      </c>
      <c r="R9715" t="s">
        <v>41260</v>
      </c>
      <c r="S9715" t="s">
        <v>41624</v>
      </c>
      <c r="T9715" t="s">
        <v>42883</v>
      </c>
      <c r="U9715" t="s">
        <v>51027</v>
      </c>
      <c r="W9715" t="s">
        <v>40561</v>
      </c>
      <c r="X9715" t="s">
        <v>41261</v>
      </c>
    </row>
    <row r="9716" spans="1:24">
      <c r="A9716">
        <f>HYPERLINK("https://www.philgeps.gov.ph/GEPSNONPILOT/Tender/SplashBidNoticeAbstractUI.aspx?menuIndex=3&amp;refID=7058720&amp;Result=3","7058720")</f>
        <v>0</v>
      </c>
      <c r="B9716" t="s">
        <v>2829</v>
      </c>
      <c r="C9716" t="s">
        <v>12657</v>
      </c>
      <c r="D9716" t="s">
        <v>16631</v>
      </c>
      <c r="E9716" t="s">
        <v>25162</v>
      </c>
      <c r="F9716" t="s">
        <v>28669</v>
      </c>
      <c r="G9716" t="s">
        <v>28675</v>
      </c>
      <c r="H9716" t="s">
        <v>9998</v>
      </c>
      <c r="I9716" t="s">
        <v>28697</v>
      </c>
      <c r="J9716" t="s">
        <v>34840</v>
      </c>
      <c r="K9716" t="s">
        <v>37210</v>
      </c>
      <c r="M9716" t="s">
        <v>40562</v>
      </c>
      <c r="N9716" t="s">
        <v>41249</v>
      </c>
      <c r="O9716" t="s">
        <v>41250</v>
      </c>
      <c r="P9716">
        <v>0</v>
      </c>
      <c r="Q9716">
        <v>3</v>
      </c>
      <c r="R9716" t="s">
        <v>41260</v>
      </c>
      <c r="S9716" t="s">
        <v>41624</v>
      </c>
      <c r="T9716" t="s">
        <v>42759</v>
      </c>
      <c r="U9716" t="s">
        <v>51028</v>
      </c>
      <c r="W9716" t="s">
        <v>40562</v>
      </c>
      <c r="X9716" t="s">
        <v>41262</v>
      </c>
    </row>
    <row r="9717" spans="1:24">
      <c r="A9717">
        <f>HYPERLINK("https://www.philgeps.gov.ph/GEPSNONPILOT/Tender/SplashBidNoticeAbstractUI.aspx?menuIndex=3&amp;refID=7059322&amp;Result=3","7059322")</f>
        <v>0</v>
      </c>
      <c r="B9717" t="s">
        <v>2822</v>
      </c>
      <c r="C9717" t="s">
        <v>12658</v>
      </c>
      <c r="D9717" t="s">
        <v>16608</v>
      </c>
      <c r="E9717" t="s">
        <v>25163</v>
      </c>
      <c r="F9717" t="s">
        <v>28669</v>
      </c>
      <c r="G9717" t="s">
        <v>28675</v>
      </c>
      <c r="H9717" t="s">
        <v>28686</v>
      </c>
      <c r="I9717" t="s">
        <v>28689</v>
      </c>
      <c r="J9717" t="s">
        <v>34841</v>
      </c>
      <c r="K9717" t="s">
        <v>37215</v>
      </c>
      <c r="M9717" t="s">
        <v>40553</v>
      </c>
      <c r="N9717" t="s">
        <v>41249</v>
      </c>
      <c r="O9717" t="s">
        <v>41250</v>
      </c>
      <c r="P9717">
        <v>0</v>
      </c>
      <c r="Q9717">
        <v>5</v>
      </c>
      <c r="R9717" t="s">
        <v>41260</v>
      </c>
      <c r="S9717" t="s">
        <v>41624</v>
      </c>
      <c r="T9717" t="s">
        <v>42764</v>
      </c>
      <c r="U9717" t="s">
        <v>51029</v>
      </c>
      <c r="W9717" t="s">
        <v>56015</v>
      </c>
      <c r="X9717" t="s">
        <v>41261</v>
      </c>
    </row>
    <row r="9718" spans="1:24">
      <c r="A9718">
        <f>HYPERLINK("https://www.philgeps.gov.ph/GEPSNONPILOT/Tender/SplashBidNoticeAbstractUI.aspx?menuIndex=3&amp;refID=7059338&amp;Result=3","7059338")</f>
        <v>0</v>
      </c>
      <c r="B9718" t="s">
        <v>1084</v>
      </c>
      <c r="C9718" t="s">
        <v>12659</v>
      </c>
      <c r="D9718" t="s">
        <v>16667</v>
      </c>
      <c r="E9718" t="s">
        <v>25164</v>
      </c>
      <c r="F9718" t="s">
        <v>28669</v>
      </c>
      <c r="G9718" t="s">
        <v>28675</v>
      </c>
      <c r="H9718" t="s">
        <v>9998</v>
      </c>
      <c r="I9718" t="s">
        <v>15140</v>
      </c>
      <c r="J9718" t="s">
        <v>34842</v>
      </c>
      <c r="K9718" t="s">
        <v>37220</v>
      </c>
      <c r="M9718" t="s">
        <v>38616</v>
      </c>
      <c r="N9718" t="s">
        <v>41249</v>
      </c>
      <c r="O9718" t="s">
        <v>41250</v>
      </c>
      <c r="P9718">
        <v>0</v>
      </c>
      <c r="Q9718">
        <v>0</v>
      </c>
      <c r="R9718" t="s">
        <v>41260</v>
      </c>
      <c r="S9718" t="s">
        <v>41624</v>
      </c>
      <c r="T9718" t="s">
        <v>42836</v>
      </c>
      <c r="U9718" t="s">
        <v>51030</v>
      </c>
      <c r="W9718" t="s">
        <v>38616</v>
      </c>
      <c r="X9718" t="s">
        <v>41261</v>
      </c>
    </row>
    <row r="9719" spans="1:24">
      <c r="A9719">
        <f>HYPERLINK("https://www.philgeps.gov.ph/GEPSNONPILOT/Tender/SplashBidNoticeAbstractUI.aspx?menuIndex=3&amp;refID=7059313&amp;Result=3","7059313")</f>
        <v>0</v>
      </c>
      <c r="B9719" t="s">
        <v>1765</v>
      </c>
      <c r="C9719" t="s">
        <v>12660</v>
      </c>
      <c r="D9719" t="s">
        <v>16639</v>
      </c>
      <c r="E9719" t="s">
        <v>25165</v>
      </c>
      <c r="F9719" t="s">
        <v>28669</v>
      </c>
      <c r="G9719" t="s">
        <v>28675</v>
      </c>
      <c r="H9719" t="s">
        <v>9998</v>
      </c>
      <c r="I9719" t="s">
        <v>7352</v>
      </c>
      <c r="J9719" t="s">
        <v>34843</v>
      </c>
      <c r="K9719" t="s">
        <v>37216</v>
      </c>
      <c r="M9719" t="s">
        <v>39367</v>
      </c>
      <c r="N9719" t="s">
        <v>41249</v>
      </c>
      <c r="O9719" t="s">
        <v>41250</v>
      </c>
      <c r="P9719">
        <v>0</v>
      </c>
      <c r="Q9719">
        <v>4</v>
      </c>
      <c r="R9719" t="s">
        <v>41260</v>
      </c>
      <c r="S9719" t="s">
        <v>41624</v>
      </c>
      <c r="T9719" t="s">
        <v>42755</v>
      </c>
      <c r="U9719" t="s">
        <v>51031</v>
      </c>
      <c r="V9719" t="s">
        <v>54830</v>
      </c>
      <c r="W9719" t="s">
        <v>39367</v>
      </c>
      <c r="X9719" t="s">
        <v>41261</v>
      </c>
    </row>
    <row r="9720" spans="1:24">
      <c r="A9720">
        <f>HYPERLINK("https://www.philgeps.gov.ph/GEPSNONPILOT/Tender/SplashBidNoticeAbstractUI.aspx?menuIndex=3&amp;refID=7059324&amp;Result=3","7059324")</f>
        <v>0</v>
      </c>
      <c r="B9720" t="s">
        <v>1522</v>
      </c>
      <c r="C9720" t="s">
        <v>12661</v>
      </c>
      <c r="D9720" t="s">
        <v>16686</v>
      </c>
      <c r="E9720" t="s">
        <v>25166</v>
      </c>
      <c r="F9720" t="s">
        <v>28669</v>
      </c>
      <c r="G9720" t="s">
        <v>28675</v>
      </c>
      <c r="H9720" t="s">
        <v>9998</v>
      </c>
      <c r="I9720" t="s">
        <v>28687</v>
      </c>
      <c r="J9720" t="s">
        <v>29724</v>
      </c>
      <c r="K9720" t="s">
        <v>37210</v>
      </c>
      <c r="M9720" t="s">
        <v>39573</v>
      </c>
      <c r="N9720" t="s">
        <v>41249</v>
      </c>
      <c r="O9720" t="s">
        <v>41250</v>
      </c>
      <c r="P9720">
        <v>0</v>
      </c>
      <c r="Q9720">
        <v>3</v>
      </c>
      <c r="R9720" t="s">
        <v>41260</v>
      </c>
      <c r="S9720" t="s">
        <v>41624</v>
      </c>
      <c r="T9720" t="s">
        <v>42792</v>
      </c>
      <c r="U9720" t="s">
        <v>51032</v>
      </c>
      <c r="W9720" t="s">
        <v>39573</v>
      </c>
      <c r="X9720" t="s">
        <v>41261</v>
      </c>
    </row>
    <row r="9721" spans="1:24">
      <c r="A9721">
        <f>HYPERLINK("https://www.philgeps.gov.ph/GEPSNONPILOT/Tender/SplashBidNoticeAbstractUI.aspx?menuIndex=3&amp;refID=7059298&amp;Result=3","7059298")</f>
        <v>0</v>
      </c>
      <c r="B9721" t="s">
        <v>2830</v>
      </c>
      <c r="C9721" t="s">
        <v>12662</v>
      </c>
      <c r="D9721" t="s">
        <v>16608</v>
      </c>
      <c r="E9721" t="s">
        <v>25167</v>
      </c>
      <c r="F9721" t="s">
        <v>28671</v>
      </c>
      <c r="G9721" t="s">
        <v>28676</v>
      </c>
      <c r="H9721" t="s">
        <v>9998</v>
      </c>
      <c r="I9721" t="s">
        <v>28689</v>
      </c>
      <c r="J9721" t="s">
        <v>34844</v>
      </c>
      <c r="K9721" t="s">
        <v>37206</v>
      </c>
      <c r="M9721" t="s">
        <v>40563</v>
      </c>
      <c r="N9721" t="s">
        <v>41249</v>
      </c>
      <c r="O9721" t="s">
        <v>41250</v>
      </c>
      <c r="P9721">
        <v>0</v>
      </c>
      <c r="Q9721">
        <v>2</v>
      </c>
      <c r="R9721" t="s">
        <v>41260</v>
      </c>
      <c r="S9721" t="s">
        <v>41624</v>
      </c>
      <c r="T9721" t="s">
        <v>42914</v>
      </c>
      <c r="U9721" t="s">
        <v>51033</v>
      </c>
      <c r="W9721" t="s">
        <v>40563</v>
      </c>
      <c r="X9721" t="s">
        <v>41261</v>
      </c>
    </row>
    <row r="9722" spans="1:24">
      <c r="A9722">
        <f>HYPERLINK("https://www.philgeps.gov.ph/GEPSNONPILOT/Tender/SplashBidNoticeAbstractUI.aspx?menuIndex=3&amp;refID=7059304&amp;Result=3","7059304")</f>
        <v>0</v>
      </c>
      <c r="B9722" t="s">
        <v>2826</v>
      </c>
      <c r="C9722" t="s">
        <v>12663</v>
      </c>
      <c r="D9722" t="s">
        <v>16663</v>
      </c>
      <c r="E9722" t="s">
        <v>25168</v>
      </c>
      <c r="F9722" t="s">
        <v>28669</v>
      </c>
      <c r="G9722" t="s">
        <v>28675</v>
      </c>
      <c r="H9722" t="s">
        <v>28686</v>
      </c>
      <c r="I9722" t="s">
        <v>28689</v>
      </c>
      <c r="J9722" t="s">
        <v>29112</v>
      </c>
      <c r="K9722" t="s">
        <v>37213</v>
      </c>
      <c r="M9722" t="s">
        <v>40558</v>
      </c>
      <c r="N9722" t="s">
        <v>41249</v>
      </c>
      <c r="O9722" t="s">
        <v>41250</v>
      </c>
      <c r="P9722">
        <v>0</v>
      </c>
      <c r="Q9722">
        <v>1</v>
      </c>
      <c r="R9722" t="s">
        <v>41260</v>
      </c>
      <c r="S9722" t="s">
        <v>41624</v>
      </c>
      <c r="T9722" t="s">
        <v>42836</v>
      </c>
      <c r="U9722" t="s">
        <v>51034</v>
      </c>
      <c r="W9722" t="s">
        <v>40558</v>
      </c>
      <c r="X9722" t="s">
        <v>41261</v>
      </c>
    </row>
    <row r="9723" spans="1:24">
      <c r="A9723">
        <f>HYPERLINK("https://www.philgeps.gov.ph/GEPSNONPILOT/Tender/SplashBidNoticeAbstractUI.aspx?menuIndex=3&amp;refID=7059289&amp;Result=3","7059289")</f>
        <v>0</v>
      </c>
      <c r="B9723" t="s">
        <v>2831</v>
      </c>
      <c r="C9723" t="s">
        <v>12664</v>
      </c>
      <c r="D9723" t="s">
        <v>16654</v>
      </c>
      <c r="E9723" t="s">
        <v>17248</v>
      </c>
      <c r="F9723" t="s">
        <v>28669</v>
      </c>
      <c r="G9723" t="s">
        <v>28675</v>
      </c>
      <c r="H9723" t="s">
        <v>9998</v>
      </c>
      <c r="I9723" t="s">
        <v>28697</v>
      </c>
      <c r="J9723" t="s">
        <v>30258</v>
      </c>
      <c r="K9723" t="s">
        <v>37205</v>
      </c>
      <c r="M9723" t="s">
        <v>40564</v>
      </c>
      <c r="N9723" t="s">
        <v>41249</v>
      </c>
      <c r="O9723" t="s">
        <v>41250</v>
      </c>
      <c r="P9723">
        <v>0</v>
      </c>
      <c r="Q9723">
        <v>13</v>
      </c>
      <c r="R9723" t="s">
        <v>41260</v>
      </c>
      <c r="S9723" t="s">
        <v>41624</v>
      </c>
      <c r="T9723" t="s">
        <v>43099</v>
      </c>
      <c r="U9723" t="s">
        <v>51035</v>
      </c>
      <c r="W9723" t="s">
        <v>40564</v>
      </c>
      <c r="X9723" t="s">
        <v>41261</v>
      </c>
    </row>
    <row r="9724" spans="1:24">
      <c r="A9724">
        <f>HYPERLINK("https://www.philgeps.gov.ph/GEPSNONPILOT/Tender/SplashBidNoticeAbstractUI.aspx?menuIndex=3&amp;refID=7059288&amp;Result=3","7059288")</f>
        <v>0</v>
      </c>
      <c r="B9724" t="s">
        <v>178</v>
      </c>
      <c r="C9724" t="s">
        <v>12665</v>
      </c>
      <c r="D9724" t="s">
        <v>16608</v>
      </c>
      <c r="E9724" t="s">
        <v>25169</v>
      </c>
      <c r="F9724" t="s">
        <v>28669</v>
      </c>
      <c r="G9724" t="s">
        <v>28676</v>
      </c>
      <c r="H9724" t="s">
        <v>9998</v>
      </c>
      <c r="I9724" t="s">
        <v>5213</v>
      </c>
      <c r="J9724" t="s">
        <v>28894</v>
      </c>
      <c r="K9724" t="s">
        <v>37209</v>
      </c>
      <c r="M9724" t="s">
        <v>40565</v>
      </c>
      <c r="N9724" t="s">
        <v>41249</v>
      </c>
      <c r="O9724" t="s">
        <v>41250</v>
      </c>
      <c r="Q9724">
        <v>2</v>
      </c>
      <c r="R9724" t="s">
        <v>41260</v>
      </c>
      <c r="S9724" t="s">
        <v>41632</v>
      </c>
      <c r="T9724" t="s">
        <v>42701</v>
      </c>
      <c r="U9724" t="s">
        <v>51036</v>
      </c>
      <c r="W9724" t="s">
        <v>40565</v>
      </c>
      <c r="X9724" t="s">
        <v>41261</v>
      </c>
    </row>
    <row r="9725" spans="1:24">
      <c r="A9725">
        <f>HYPERLINK("https://www.philgeps.gov.ph/GEPSNONPILOT/Tender/SplashBidNoticeAbstractUI.aspx?menuIndex=3&amp;refID=7059180&amp;Result=3","7059180")</f>
        <v>0</v>
      </c>
      <c r="B9725" t="s">
        <v>2822</v>
      </c>
      <c r="C9725" t="s">
        <v>12666</v>
      </c>
      <c r="D9725" t="s">
        <v>16608</v>
      </c>
      <c r="E9725" t="s">
        <v>25170</v>
      </c>
      <c r="F9725" t="s">
        <v>28669</v>
      </c>
      <c r="G9725" t="s">
        <v>28675</v>
      </c>
      <c r="H9725" t="s">
        <v>28686</v>
      </c>
      <c r="I9725" t="s">
        <v>28689</v>
      </c>
      <c r="J9725" t="s">
        <v>34845</v>
      </c>
      <c r="K9725" t="s">
        <v>37206</v>
      </c>
      <c r="M9725" t="s">
        <v>40553</v>
      </c>
      <c r="N9725" t="s">
        <v>41249</v>
      </c>
      <c r="O9725" t="s">
        <v>41250</v>
      </c>
      <c r="P9725">
        <v>0</v>
      </c>
      <c r="Q9725">
        <v>6</v>
      </c>
      <c r="R9725" t="s">
        <v>41260</v>
      </c>
      <c r="S9725" t="s">
        <v>41624</v>
      </c>
      <c r="T9725" t="s">
        <v>42764</v>
      </c>
      <c r="U9725" t="s">
        <v>51024</v>
      </c>
      <c r="W9725" t="s">
        <v>56015</v>
      </c>
      <c r="X9725" t="s">
        <v>41261</v>
      </c>
    </row>
    <row r="9726" spans="1:24">
      <c r="A9726">
        <f>HYPERLINK("https://www.philgeps.gov.ph/GEPSNONPILOT/Tender/SplashBidNoticeAbstractUI.aspx?menuIndex=3&amp;refID=7059396&amp;Result=3","7059396")</f>
        <v>0</v>
      </c>
      <c r="B9726" t="s">
        <v>1732</v>
      </c>
      <c r="C9726" t="s">
        <v>12667</v>
      </c>
      <c r="D9726" t="s">
        <v>16633</v>
      </c>
      <c r="E9726" t="s">
        <v>25171</v>
      </c>
      <c r="F9726" t="s">
        <v>28669</v>
      </c>
      <c r="G9726" t="s">
        <v>28675</v>
      </c>
      <c r="H9726" t="s">
        <v>28686</v>
      </c>
      <c r="I9726" t="s">
        <v>28689</v>
      </c>
      <c r="J9726" t="s">
        <v>34846</v>
      </c>
      <c r="K9726" t="s">
        <v>37426</v>
      </c>
      <c r="M9726" t="s">
        <v>39331</v>
      </c>
      <c r="N9726" t="s">
        <v>41249</v>
      </c>
      <c r="O9726" t="s">
        <v>41250</v>
      </c>
      <c r="P9726">
        <v>0</v>
      </c>
      <c r="Q9726">
        <v>1</v>
      </c>
      <c r="R9726" t="s">
        <v>41260</v>
      </c>
      <c r="S9726" t="s">
        <v>41624</v>
      </c>
      <c r="T9726" t="s">
        <v>42739</v>
      </c>
      <c r="U9726" t="s">
        <v>47262</v>
      </c>
      <c r="W9726" t="s">
        <v>39331</v>
      </c>
      <c r="X9726" t="s">
        <v>41261</v>
      </c>
    </row>
    <row r="9727" spans="1:24">
      <c r="A9727">
        <f>HYPERLINK("https://www.philgeps.gov.ph/GEPSNONPILOT/Tender/SplashBidNoticeAbstractUI.aspx?menuIndex=3&amp;refID=7059319&amp;Result=3","7059319")</f>
        <v>0</v>
      </c>
      <c r="B9727" t="s">
        <v>637</v>
      </c>
      <c r="C9727" t="s">
        <v>12668</v>
      </c>
      <c r="D9727" t="s">
        <v>16647</v>
      </c>
      <c r="E9727" t="s">
        <v>25172</v>
      </c>
      <c r="F9727" t="s">
        <v>28669</v>
      </c>
      <c r="G9727" t="s">
        <v>28676</v>
      </c>
      <c r="H9727" t="s">
        <v>9998</v>
      </c>
      <c r="I9727" t="s">
        <v>6128</v>
      </c>
      <c r="J9727" t="s">
        <v>29263</v>
      </c>
      <c r="K9727" t="s">
        <v>37213</v>
      </c>
      <c r="M9727" t="s">
        <v>38138</v>
      </c>
      <c r="N9727" t="s">
        <v>41249</v>
      </c>
      <c r="O9727" t="s">
        <v>41250</v>
      </c>
      <c r="P9727">
        <v>0</v>
      </c>
      <c r="Q9727">
        <v>0</v>
      </c>
      <c r="R9727" t="s">
        <v>41260</v>
      </c>
      <c r="S9727" t="s">
        <v>41624</v>
      </c>
      <c r="T9727" t="s">
        <v>42708</v>
      </c>
      <c r="U9727" t="s">
        <v>44378</v>
      </c>
      <c r="W9727" t="s">
        <v>38138</v>
      </c>
      <c r="X9727" t="s">
        <v>41261</v>
      </c>
    </row>
    <row r="9728" spans="1:24">
      <c r="A9728">
        <f>HYPERLINK("https://www.philgeps.gov.ph/GEPSNONPILOT/Tender/SplashBidNoticeAbstractUI.aspx?menuIndex=3&amp;refID=7059496&amp;Result=3","7059496")</f>
        <v>0</v>
      </c>
      <c r="B9728" t="s">
        <v>988</v>
      </c>
      <c r="C9728" t="s">
        <v>12669</v>
      </c>
      <c r="D9728" t="s">
        <v>16635</v>
      </c>
      <c r="E9728" t="s">
        <v>25173</v>
      </c>
      <c r="F9728" t="s">
        <v>28669</v>
      </c>
      <c r="G9728" t="s">
        <v>28676</v>
      </c>
      <c r="H9728" t="s">
        <v>9998</v>
      </c>
      <c r="I9728" t="s">
        <v>28728</v>
      </c>
      <c r="J9728" t="s">
        <v>28826</v>
      </c>
      <c r="K9728" t="s">
        <v>37227</v>
      </c>
      <c r="M9728" t="s">
        <v>39801</v>
      </c>
      <c r="N9728" t="s">
        <v>41249</v>
      </c>
      <c r="O9728" t="s">
        <v>41250</v>
      </c>
      <c r="Q9728">
        <v>1</v>
      </c>
      <c r="R9728" t="s">
        <v>41260</v>
      </c>
      <c r="S9728" t="s">
        <v>41633</v>
      </c>
      <c r="T9728" t="s">
        <v>42690</v>
      </c>
      <c r="U9728" t="s">
        <v>51037</v>
      </c>
      <c r="W9728" t="s">
        <v>39801</v>
      </c>
      <c r="X9728" t="s">
        <v>41261</v>
      </c>
    </row>
    <row r="9729" spans="1:24">
      <c r="A9729">
        <f>HYPERLINK("https://www.philgeps.gov.ph/GEPSNONPILOT/Tender/SplashBidNoticeAbstractUI.aspx?menuIndex=3&amp;refID=7059394&amp;Result=3","7059394")</f>
        <v>0</v>
      </c>
      <c r="B9729" t="s">
        <v>1522</v>
      </c>
      <c r="C9729" t="s">
        <v>12670</v>
      </c>
      <c r="D9729" t="s">
        <v>16686</v>
      </c>
      <c r="E9729" t="s">
        <v>25174</v>
      </c>
      <c r="F9729" t="s">
        <v>28669</v>
      </c>
      <c r="G9729" t="s">
        <v>28675</v>
      </c>
      <c r="H9729" t="s">
        <v>9998</v>
      </c>
      <c r="I9729" t="s">
        <v>3718</v>
      </c>
      <c r="J9729" t="s">
        <v>32274</v>
      </c>
      <c r="K9729" t="s">
        <v>37210</v>
      </c>
      <c r="M9729" t="s">
        <v>39573</v>
      </c>
      <c r="N9729" t="s">
        <v>41249</v>
      </c>
      <c r="O9729" t="s">
        <v>41250</v>
      </c>
      <c r="P9729">
        <v>0</v>
      </c>
      <c r="Q9729">
        <v>0</v>
      </c>
      <c r="R9729" t="s">
        <v>41260</v>
      </c>
      <c r="S9729" t="s">
        <v>41624</v>
      </c>
      <c r="T9729" t="s">
        <v>42663</v>
      </c>
      <c r="U9729" t="s">
        <v>51038</v>
      </c>
      <c r="W9729" t="s">
        <v>39573</v>
      </c>
      <c r="X9729" t="s">
        <v>41261</v>
      </c>
    </row>
    <row r="9730" spans="1:24">
      <c r="A9730">
        <f>HYPERLINK("https://www.philgeps.gov.ph/GEPSNONPILOT/Tender/SplashBidNoticeAbstractUI.aspx?menuIndex=3&amp;refID=7059470&amp;Result=3","7059470")</f>
        <v>0</v>
      </c>
      <c r="B9730" t="s">
        <v>2813</v>
      </c>
      <c r="C9730" t="s">
        <v>12671</v>
      </c>
      <c r="D9730" t="s">
        <v>16633</v>
      </c>
      <c r="E9730" t="s">
        <v>25175</v>
      </c>
      <c r="F9730" t="s">
        <v>28669</v>
      </c>
      <c r="G9730" t="s">
        <v>28675</v>
      </c>
      <c r="H9730" t="s">
        <v>9998</v>
      </c>
      <c r="I9730" t="s">
        <v>28774</v>
      </c>
      <c r="J9730" t="s">
        <v>34847</v>
      </c>
      <c r="K9730" t="s">
        <v>37210</v>
      </c>
      <c r="M9730" t="s">
        <v>40543</v>
      </c>
      <c r="N9730" t="s">
        <v>41249</v>
      </c>
      <c r="O9730" t="s">
        <v>41250</v>
      </c>
      <c r="P9730">
        <v>0</v>
      </c>
      <c r="Q9730">
        <v>1</v>
      </c>
      <c r="R9730" t="s">
        <v>41260</v>
      </c>
      <c r="S9730" t="s">
        <v>41624</v>
      </c>
      <c r="T9730" t="s">
        <v>42836</v>
      </c>
      <c r="U9730" t="s">
        <v>51039</v>
      </c>
      <c r="V9730" t="s">
        <v>55330</v>
      </c>
      <c r="W9730" t="s">
        <v>40543</v>
      </c>
      <c r="X9730" t="s">
        <v>41261</v>
      </c>
    </row>
    <row r="9731" spans="1:24">
      <c r="A9731">
        <f>HYPERLINK("https://www.philgeps.gov.ph/GEPSNONPILOT/Tender/SplashBidNoticeAbstractUI.aspx?menuIndex=3&amp;refID=7059341&amp;Result=3","7059341")</f>
        <v>0</v>
      </c>
      <c r="B9731" t="s">
        <v>51</v>
      </c>
      <c r="C9731" t="s">
        <v>12672</v>
      </c>
      <c r="D9731" t="s">
        <v>16631</v>
      </c>
      <c r="E9731" t="s">
        <v>25176</v>
      </c>
      <c r="F9731" t="s">
        <v>28669</v>
      </c>
      <c r="G9731" t="s">
        <v>28675</v>
      </c>
      <c r="H9731" t="s">
        <v>28686</v>
      </c>
      <c r="I9731" t="s">
        <v>28689</v>
      </c>
      <c r="J9731" t="s">
        <v>30575</v>
      </c>
      <c r="K9731" t="s">
        <v>37215</v>
      </c>
      <c r="M9731" t="s">
        <v>38699</v>
      </c>
      <c r="N9731" t="s">
        <v>41249</v>
      </c>
      <c r="O9731" t="s">
        <v>41250</v>
      </c>
      <c r="P9731">
        <v>0</v>
      </c>
      <c r="Q9731">
        <v>1</v>
      </c>
      <c r="R9731" t="s">
        <v>41260</v>
      </c>
      <c r="S9731" t="s">
        <v>41624</v>
      </c>
      <c r="T9731" t="s">
        <v>42668</v>
      </c>
      <c r="U9731" t="s">
        <v>51040</v>
      </c>
      <c r="W9731" t="s">
        <v>38699</v>
      </c>
      <c r="X9731" t="s">
        <v>41261</v>
      </c>
    </row>
    <row r="9732" spans="1:24">
      <c r="A9732">
        <f>HYPERLINK("https://www.philgeps.gov.ph/GEPSNONPILOT/Tender/SplashBidNoticeAbstractUI.aspx?menuIndex=3&amp;refID=7059468&amp;Result=3","7059468")</f>
        <v>0</v>
      </c>
      <c r="B9732" t="s">
        <v>2046</v>
      </c>
      <c r="C9732" t="s">
        <v>12673</v>
      </c>
      <c r="D9732" t="s">
        <v>16643</v>
      </c>
      <c r="E9732" t="s">
        <v>25177</v>
      </c>
      <c r="F9732" t="s">
        <v>28669</v>
      </c>
      <c r="G9732" t="s">
        <v>28677</v>
      </c>
      <c r="H9732" t="s">
        <v>9998</v>
      </c>
      <c r="I9732" t="s">
        <v>28693</v>
      </c>
      <c r="J9732" t="s">
        <v>28863</v>
      </c>
      <c r="K9732" t="s">
        <v>37220</v>
      </c>
      <c r="M9732" t="s">
        <v>39686</v>
      </c>
      <c r="N9732" t="s">
        <v>41249</v>
      </c>
      <c r="O9732" t="s">
        <v>41250</v>
      </c>
      <c r="Q9732">
        <v>25</v>
      </c>
      <c r="R9732" t="s">
        <v>41260</v>
      </c>
      <c r="S9732" t="s">
        <v>41548</v>
      </c>
      <c r="T9732" t="s">
        <v>42883</v>
      </c>
      <c r="U9732" t="s">
        <v>48244</v>
      </c>
      <c r="W9732" t="s">
        <v>39686</v>
      </c>
      <c r="X9732" t="s">
        <v>41261</v>
      </c>
    </row>
    <row r="9733" spans="1:24">
      <c r="A9733">
        <f>HYPERLINK("https://www.philgeps.gov.ph/GEPSNONPILOT/Tender/SplashBidNoticeAbstractUI.aspx?menuIndex=3&amp;refID=7059465&amp;Result=3","7059465")</f>
        <v>0</v>
      </c>
      <c r="B9733" t="s">
        <v>1765</v>
      </c>
      <c r="C9733" t="s">
        <v>12674</v>
      </c>
      <c r="D9733" t="s">
        <v>16639</v>
      </c>
      <c r="E9733" t="s">
        <v>25178</v>
      </c>
      <c r="F9733" t="s">
        <v>28669</v>
      </c>
      <c r="G9733" t="s">
        <v>28675</v>
      </c>
      <c r="H9733" t="s">
        <v>9998</v>
      </c>
      <c r="I9733" t="s">
        <v>7352</v>
      </c>
      <c r="J9733" t="s">
        <v>34848</v>
      </c>
      <c r="K9733" t="s">
        <v>37216</v>
      </c>
      <c r="M9733" t="s">
        <v>39367</v>
      </c>
      <c r="N9733" t="s">
        <v>41249</v>
      </c>
      <c r="O9733" t="s">
        <v>41250</v>
      </c>
      <c r="P9733">
        <v>0</v>
      </c>
      <c r="Q9733">
        <v>3</v>
      </c>
      <c r="R9733" t="s">
        <v>41260</v>
      </c>
      <c r="S9733" t="s">
        <v>41624</v>
      </c>
      <c r="T9733" t="s">
        <v>42755</v>
      </c>
      <c r="U9733" t="s">
        <v>51041</v>
      </c>
      <c r="V9733" t="s">
        <v>54830</v>
      </c>
      <c r="W9733" t="s">
        <v>39367</v>
      </c>
      <c r="X9733" t="s">
        <v>41261</v>
      </c>
    </row>
    <row r="9734" spans="1:24">
      <c r="A9734">
        <f>HYPERLINK("https://www.philgeps.gov.ph/GEPSNONPILOT/Tender/SplashBidNoticeAbstractUI.aspx?menuIndex=3&amp;refID=7059466&amp;Result=3","7059466")</f>
        <v>0</v>
      </c>
      <c r="B9734" t="s">
        <v>1050</v>
      </c>
      <c r="C9734" t="s">
        <v>12675</v>
      </c>
      <c r="D9734" t="s">
        <v>16648</v>
      </c>
      <c r="E9734" t="s">
        <v>25179</v>
      </c>
      <c r="F9734" t="s">
        <v>28669</v>
      </c>
      <c r="G9734" t="s">
        <v>28675</v>
      </c>
      <c r="H9734" t="s">
        <v>9998</v>
      </c>
      <c r="I9734" t="s">
        <v>28739</v>
      </c>
      <c r="J9734" t="s">
        <v>34849</v>
      </c>
      <c r="K9734" t="s">
        <v>37204</v>
      </c>
      <c r="M9734" t="s">
        <v>38581</v>
      </c>
      <c r="N9734" t="s">
        <v>41249</v>
      </c>
      <c r="O9734" t="s">
        <v>41250</v>
      </c>
      <c r="P9734">
        <v>0</v>
      </c>
      <c r="Q9734">
        <v>1</v>
      </c>
      <c r="R9734" t="s">
        <v>41260</v>
      </c>
      <c r="S9734" t="s">
        <v>41624</v>
      </c>
      <c r="T9734" t="s">
        <v>43000</v>
      </c>
      <c r="U9734" t="s">
        <v>51042</v>
      </c>
      <c r="W9734" t="s">
        <v>38581</v>
      </c>
      <c r="X9734" t="s">
        <v>41261</v>
      </c>
    </row>
    <row r="9735" spans="1:24">
      <c r="A9735">
        <f>HYPERLINK("https://www.philgeps.gov.ph/GEPSNONPILOT/Tender/SplashBidNoticeAbstractUI.aspx?menuIndex=3&amp;refID=7059128&amp;Result=3","7059128")</f>
        <v>0</v>
      </c>
      <c r="B9735" t="s">
        <v>2213</v>
      </c>
      <c r="C9735" t="s">
        <v>12676</v>
      </c>
      <c r="D9735" t="s">
        <v>16627</v>
      </c>
      <c r="E9735" t="s">
        <v>20828</v>
      </c>
      <c r="F9735" t="s">
        <v>28669</v>
      </c>
      <c r="G9735" t="s">
        <v>28675</v>
      </c>
      <c r="H9735" t="s">
        <v>9998</v>
      </c>
      <c r="I9735" t="s">
        <v>28687</v>
      </c>
      <c r="J9735" t="s">
        <v>28924</v>
      </c>
      <c r="K9735" t="s">
        <v>37205</v>
      </c>
      <c r="M9735" t="s">
        <v>39865</v>
      </c>
      <c r="N9735" t="s">
        <v>41249</v>
      </c>
      <c r="O9735" t="s">
        <v>41250</v>
      </c>
      <c r="P9735">
        <v>0</v>
      </c>
      <c r="Q9735">
        <v>7</v>
      </c>
      <c r="R9735" t="s">
        <v>41260</v>
      </c>
      <c r="S9735" t="s">
        <v>41624</v>
      </c>
      <c r="T9735" t="s">
        <v>43100</v>
      </c>
      <c r="U9735" t="s">
        <v>51043</v>
      </c>
      <c r="W9735" t="s">
        <v>39865</v>
      </c>
      <c r="X9735" t="s">
        <v>41261</v>
      </c>
    </row>
    <row r="9736" spans="1:24">
      <c r="A9736">
        <f>HYPERLINK("https://www.philgeps.gov.ph/GEPSNONPILOT/Tender/SplashBidNoticeAbstractUI.aspx?menuIndex=3&amp;refID=7059495&amp;Result=3","7059495")</f>
        <v>0</v>
      </c>
      <c r="B9736" t="s">
        <v>51</v>
      </c>
      <c r="C9736" t="s">
        <v>12677</v>
      </c>
      <c r="D9736" t="s">
        <v>16631</v>
      </c>
      <c r="E9736" t="s">
        <v>25180</v>
      </c>
      <c r="F9736" t="s">
        <v>28669</v>
      </c>
      <c r="G9736" t="s">
        <v>28675</v>
      </c>
      <c r="H9736" t="s">
        <v>28686</v>
      </c>
      <c r="I9736" t="s">
        <v>28689</v>
      </c>
      <c r="J9736" t="s">
        <v>30575</v>
      </c>
      <c r="K9736" t="s">
        <v>37215</v>
      </c>
      <c r="M9736" t="s">
        <v>38699</v>
      </c>
      <c r="N9736" t="s">
        <v>41249</v>
      </c>
      <c r="O9736" t="s">
        <v>41250</v>
      </c>
      <c r="P9736">
        <v>0</v>
      </c>
      <c r="Q9736">
        <v>2</v>
      </c>
      <c r="R9736" t="s">
        <v>41260</v>
      </c>
      <c r="S9736" t="s">
        <v>41624</v>
      </c>
      <c r="T9736" t="s">
        <v>42668</v>
      </c>
      <c r="U9736" t="s">
        <v>51044</v>
      </c>
      <c r="W9736" t="s">
        <v>38699</v>
      </c>
      <c r="X9736" t="s">
        <v>41261</v>
      </c>
    </row>
    <row r="9737" spans="1:24">
      <c r="A9737">
        <f>HYPERLINK("https://www.philgeps.gov.ph/GEPSNONPILOT/Tender/SplashBidNoticeAbstractUI.aspx?menuIndex=3&amp;refID=7059441&amp;Result=3","7059441")</f>
        <v>0</v>
      </c>
      <c r="B9737" t="s">
        <v>1522</v>
      </c>
      <c r="C9737" t="s">
        <v>12678</v>
      </c>
      <c r="D9737" t="s">
        <v>16686</v>
      </c>
      <c r="E9737" t="s">
        <v>25181</v>
      </c>
      <c r="F9737" t="s">
        <v>28669</v>
      </c>
      <c r="G9737" t="s">
        <v>28675</v>
      </c>
      <c r="H9737" t="s">
        <v>9998</v>
      </c>
      <c r="I9737" t="s">
        <v>28722</v>
      </c>
      <c r="J9737" t="s">
        <v>28879</v>
      </c>
      <c r="K9737" t="s">
        <v>37210</v>
      </c>
      <c r="M9737" t="s">
        <v>39573</v>
      </c>
      <c r="N9737" t="s">
        <v>41249</v>
      </c>
      <c r="O9737" t="s">
        <v>41250</v>
      </c>
      <c r="P9737">
        <v>0</v>
      </c>
      <c r="Q9737">
        <v>0</v>
      </c>
      <c r="R9737" t="s">
        <v>41260</v>
      </c>
      <c r="S9737" t="s">
        <v>41624</v>
      </c>
      <c r="T9737" t="s">
        <v>42663</v>
      </c>
      <c r="U9737" t="s">
        <v>51045</v>
      </c>
      <c r="W9737" t="s">
        <v>39573</v>
      </c>
      <c r="X9737" t="s">
        <v>41261</v>
      </c>
    </row>
    <row r="9738" spans="1:24">
      <c r="A9738">
        <f>HYPERLINK("https://www.philgeps.gov.ph/GEPSNONPILOT/Tender/SplashBidNoticeAbstractUI.aspx?menuIndex=3&amp;refID=7059225&amp;Result=3","7059225")</f>
        <v>0</v>
      </c>
      <c r="B9738" t="s">
        <v>2822</v>
      </c>
      <c r="C9738" t="s">
        <v>12679</v>
      </c>
      <c r="D9738" t="s">
        <v>16608</v>
      </c>
      <c r="E9738" t="s">
        <v>25182</v>
      </c>
      <c r="F9738" t="s">
        <v>28669</v>
      </c>
      <c r="G9738" t="s">
        <v>28675</v>
      </c>
      <c r="H9738" t="s">
        <v>28686</v>
      </c>
      <c r="I9738" t="s">
        <v>28689</v>
      </c>
      <c r="J9738" t="s">
        <v>34845</v>
      </c>
      <c r="K9738" t="s">
        <v>37206</v>
      </c>
      <c r="M9738" t="s">
        <v>40553</v>
      </c>
      <c r="N9738" t="s">
        <v>41249</v>
      </c>
      <c r="O9738" t="s">
        <v>41250</v>
      </c>
      <c r="P9738">
        <v>0</v>
      </c>
      <c r="Q9738">
        <v>5</v>
      </c>
      <c r="R9738" t="s">
        <v>41260</v>
      </c>
      <c r="S9738" t="s">
        <v>41624</v>
      </c>
      <c r="T9738" t="s">
        <v>42764</v>
      </c>
      <c r="U9738" t="s">
        <v>51024</v>
      </c>
      <c r="W9738" t="s">
        <v>56015</v>
      </c>
      <c r="X9738" t="s">
        <v>41261</v>
      </c>
    </row>
    <row r="9739" spans="1:24">
      <c r="A9739">
        <f>HYPERLINK("https://www.philgeps.gov.ph/GEPSNONPILOT/Tender/SplashBidNoticeAbstractUI.aspx?menuIndex=3&amp;refID=7059436&amp;Result=3","7059436")</f>
        <v>0</v>
      </c>
      <c r="B9739" t="s">
        <v>1050</v>
      </c>
      <c r="C9739" t="s">
        <v>12680</v>
      </c>
      <c r="D9739" t="s">
        <v>16648</v>
      </c>
      <c r="E9739" t="s">
        <v>25183</v>
      </c>
      <c r="F9739" t="s">
        <v>28669</v>
      </c>
      <c r="G9739" t="s">
        <v>28675</v>
      </c>
      <c r="H9739" t="s">
        <v>9998</v>
      </c>
      <c r="I9739" t="s">
        <v>7352</v>
      </c>
      <c r="J9739" t="s">
        <v>34850</v>
      </c>
      <c r="K9739" t="s">
        <v>37204</v>
      </c>
      <c r="M9739" t="s">
        <v>38581</v>
      </c>
      <c r="N9739" t="s">
        <v>41249</v>
      </c>
      <c r="O9739" t="s">
        <v>41250</v>
      </c>
      <c r="P9739">
        <v>0</v>
      </c>
      <c r="Q9739">
        <v>0</v>
      </c>
      <c r="R9739" t="s">
        <v>41260</v>
      </c>
      <c r="S9739" t="s">
        <v>41624</v>
      </c>
      <c r="T9739" t="s">
        <v>43000</v>
      </c>
      <c r="U9739" t="s">
        <v>51046</v>
      </c>
      <c r="W9739" t="s">
        <v>38581</v>
      </c>
      <c r="X9739" t="s">
        <v>41261</v>
      </c>
    </row>
    <row r="9740" spans="1:24">
      <c r="A9740">
        <f>HYPERLINK("https://www.philgeps.gov.ph/GEPSNONPILOT/Tender/SplashBidNoticeAbstractUI.aspx?menuIndex=3&amp;refID=7059647&amp;Result=3","7059647")</f>
        <v>0</v>
      </c>
      <c r="B9740" t="s">
        <v>2597</v>
      </c>
      <c r="C9740" t="s">
        <v>12681</v>
      </c>
      <c r="D9740" t="s">
        <v>16626</v>
      </c>
      <c r="E9740" t="s">
        <v>25184</v>
      </c>
      <c r="F9740" t="s">
        <v>28669</v>
      </c>
      <c r="G9740" t="s">
        <v>28679</v>
      </c>
      <c r="H9740" t="s">
        <v>9998</v>
      </c>
      <c r="I9740" t="s">
        <v>28726</v>
      </c>
      <c r="J9740" t="s">
        <v>34851</v>
      </c>
      <c r="K9740" t="s">
        <v>37234</v>
      </c>
      <c r="M9740" t="s">
        <v>40292</v>
      </c>
      <c r="N9740" t="s">
        <v>41249</v>
      </c>
      <c r="O9740" t="s">
        <v>41250</v>
      </c>
      <c r="P9740">
        <v>0</v>
      </c>
      <c r="Q9740">
        <v>1</v>
      </c>
      <c r="R9740" t="s">
        <v>41260</v>
      </c>
      <c r="S9740" t="s">
        <v>41624</v>
      </c>
      <c r="T9740" t="s">
        <v>42882</v>
      </c>
      <c r="U9740" t="s">
        <v>51047</v>
      </c>
      <c r="W9740" t="s">
        <v>40292</v>
      </c>
      <c r="X9740" t="s">
        <v>41261</v>
      </c>
    </row>
    <row r="9741" spans="1:24">
      <c r="A9741">
        <f>HYPERLINK("https://www.philgeps.gov.ph/GEPSNONPILOT/Tender/SplashBidNoticeAbstractUI.aspx?menuIndex=3&amp;refID=7059638&amp;Result=3","7059638")</f>
        <v>0</v>
      </c>
      <c r="B9741" t="s">
        <v>2832</v>
      </c>
      <c r="C9741" t="s">
        <v>12682</v>
      </c>
      <c r="D9741" t="s">
        <v>16610</v>
      </c>
      <c r="E9741" t="s">
        <v>25185</v>
      </c>
      <c r="F9741" t="s">
        <v>28669</v>
      </c>
      <c r="G9741" t="s">
        <v>28675</v>
      </c>
      <c r="H9741" t="s">
        <v>28686</v>
      </c>
      <c r="I9741" t="s">
        <v>28689</v>
      </c>
      <c r="J9741" t="s">
        <v>34852</v>
      </c>
      <c r="K9741" t="s">
        <v>37220</v>
      </c>
      <c r="L9741" t="s">
        <v>2832</v>
      </c>
      <c r="M9741" t="s">
        <v>40566</v>
      </c>
      <c r="N9741" t="s">
        <v>41249</v>
      </c>
      <c r="O9741" t="s">
        <v>41250</v>
      </c>
      <c r="P9741">
        <v>0</v>
      </c>
      <c r="Q9741">
        <v>2</v>
      </c>
      <c r="R9741" t="s">
        <v>41260</v>
      </c>
      <c r="S9741" t="s">
        <v>41624</v>
      </c>
      <c r="T9741" t="s">
        <v>43101</v>
      </c>
      <c r="U9741" t="s">
        <v>51048</v>
      </c>
      <c r="W9741" t="s">
        <v>40566</v>
      </c>
      <c r="X9741" t="s">
        <v>41261</v>
      </c>
    </row>
    <row r="9742" spans="1:24">
      <c r="A9742">
        <f>HYPERLINK("https://www.philgeps.gov.ph/GEPSNONPILOT/Tender/SplashBidNoticeAbstractUI.aspx?menuIndex=3&amp;refID=7059624&amp;Result=3","7059624")</f>
        <v>0</v>
      </c>
      <c r="B9742" t="s">
        <v>345</v>
      </c>
      <c r="C9742" t="s">
        <v>12683</v>
      </c>
      <c r="D9742" t="s">
        <v>16666</v>
      </c>
      <c r="E9742" t="s">
        <v>25186</v>
      </c>
      <c r="F9742" t="s">
        <v>28669</v>
      </c>
      <c r="G9742" t="s">
        <v>28675</v>
      </c>
      <c r="H9742" t="s">
        <v>9998</v>
      </c>
      <c r="I9742" t="s">
        <v>28713</v>
      </c>
      <c r="J9742" t="s">
        <v>34853</v>
      </c>
      <c r="K9742" t="s">
        <v>37209</v>
      </c>
      <c r="M9742" t="s">
        <v>40567</v>
      </c>
      <c r="N9742" t="s">
        <v>41249</v>
      </c>
      <c r="O9742" t="s">
        <v>41250</v>
      </c>
      <c r="Q9742">
        <v>52</v>
      </c>
      <c r="R9742" t="s">
        <v>41260</v>
      </c>
      <c r="S9742" t="s">
        <v>41634</v>
      </c>
      <c r="T9742" t="s">
        <v>42659</v>
      </c>
      <c r="U9742" t="s">
        <v>51049</v>
      </c>
      <c r="W9742" t="s">
        <v>40567</v>
      </c>
      <c r="X9742" t="s">
        <v>41261</v>
      </c>
    </row>
    <row r="9743" spans="1:24">
      <c r="A9743">
        <f>HYPERLINK("https://www.philgeps.gov.ph/GEPSNONPILOT/Tender/SplashBidNoticeAbstractUI.aspx?menuIndex=3&amp;refID=7059491&amp;Result=3","7059491")</f>
        <v>0</v>
      </c>
      <c r="B9743" t="s">
        <v>2391</v>
      </c>
      <c r="C9743" t="s">
        <v>12684</v>
      </c>
      <c r="D9743" t="s">
        <v>16638</v>
      </c>
      <c r="E9743" t="s">
        <v>25187</v>
      </c>
      <c r="F9743" t="s">
        <v>28669</v>
      </c>
      <c r="G9743" t="s">
        <v>28675</v>
      </c>
      <c r="H9743" t="s">
        <v>9998</v>
      </c>
      <c r="I9743" t="s">
        <v>28721</v>
      </c>
      <c r="J9743" t="s">
        <v>29655</v>
      </c>
      <c r="K9743" t="s">
        <v>37220</v>
      </c>
      <c r="M9743" t="s">
        <v>40066</v>
      </c>
      <c r="N9743" t="s">
        <v>41249</v>
      </c>
      <c r="O9743" t="s">
        <v>41250</v>
      </c>
      <c r="P9743">
        <v>0</v>
      </c>
      <c r="Q9743">
        <v>9</v>
      </c>
      <c r="R9743" t="s">
        <v>41260</v>
      </c>
      <c r="S9743" t="s">
        <v>41624</v>
      </c>
      <c r="T9743" t="s">
        <v>42668</v>
      </c>
      <c r="U9743" t="s">
        <v>51050</v>
      </c>
      <c r="W9743" t="s">
        <v>55991</v>
      </c>
      <c r="X9743" t="s">
        <v>41261</v>
      </c>
    </row>
    <row r="9744" spans="1:24">
      <c r="A9744">
        <f>HYPERLINK("https://www.philgeps.gov.ph/GEPSNONPILOT/Tender/SplashBidNoticeAbstractUI.aspx?menuIndex=3&amp;refID=7059605&amp;Result=3","7059605")</f>
        <v>0</v>
      </c>
      <c r="B9744" t="s">
        <v>2813</v>
      </c>
      <c r="C9744" t="s">
        <v>12685</v>
      </c>
      <c r="D9744" t="s">
        <v>16633</v>
      </c>
      <c r="E9744" t="s">
        <v>25188</v>
      </c>
      <c r="F9744" t="s">
        <v>28669</v>
      </c>
      <c r="G9744" t="s">
        <v>28675</v>
      </c>
      <c r="H9744" t="s">
        <v>9998</v>
      </c>
      <c r="I9744" t="s">
        <v>11593</v>
      </c>
      <c r="J9744" t="s">
        <v>34854</v>
      </c>
      <c r="K9744" t="s">
        <v>37210</v>
      </c>
      <c r="M9744" t="s">
        <v>40543</v>
      </c>
      <c r="N9744" t="s">
        <v>41249</v>
      </c>
      <c r="O9744" t="s">
        <v>41250</v>
      </c>
      <c r="P9744">
        <v>0</v>
      </c>
      <c r="Q9744">
        <v>4</v>
      </c>
      <c r="R9744" t="s">
        <v>41260</v>
      </c>
      <c r="S9744" t="s">
        <v>41624</v>
      </c>
      <c r="T9744" t="s">
        <v>42836</v>
      </c>
      <c r="U9744" t="s">
        <v>51051</v>
      </c>
      <c r="V9744" t="s">
        <v>55330</v>
      </c>
      <c r="W9744" t="s">
        <v>40543</v>
      </c>
      <c r="X9744" t="s">
        <v>41261</v>
      </c>
    </row>
    <row r="9745" spans="1:24">
      <c r="A9745">
        <f>HYPERLINK("https://www.philgeps.gov.ph/GEPSNONPILOT/Tender/SplashBidNoticeAbstractUI.aspx?menuIndex=3&amp;refID=7059602&amp;Result=3","7059602")</f>
        <v>0</v>
      </c>
      <c r="B9745" t="s">
        <v>2833</v>
      </c>
      <c r="C9745" t="s">
        <v>8007</v>
      </c>
      <c r="D9745" t="s">
        <v>16618</v>
      </c>
      <c r="E9745" t="s">
        <v>21035</v>
      </c>
      <c r="F9745" t="s">
        <v>28669</v>
      </c>
      <c r="G9745" t="s">
        <v>28675</v>
      </c>
      <c r="H9745" t="s">
        <v>9998</v>
      </c>
      <c r="I9745" t="s">
        <v>5213</v>
      </c>
      <c r="J9745" t="s">
        <v>29191</v>
      </c>
      <c r="K9745" t="s">
        <v>37209</v>
      </c>
      <c r="M9745" t="s">
        <v>40568</v>
      </c>
      <c r="N9745" t="s">
        <v>41249</v>
      </c>
      <c r="O9745" t="s">
        <v>41250</v>
      </c>
      <c r="P9745">
        <v>0</v>
      </c>
      <c r="Q9745">
        <v>0</v>
      </c>
      <c r="R9745" t="s">
        <v>41260</v>
      </c>
      <c r="S9745" t="s">
        <v>41624</v>
      </c>
      <c r="T9745" t="s">
        <v>42767</v>
      </c>
      <c r="U9745" t="s">
        <v>51052</v>
      </c>
      <c r="W9745" t="s">
        <v>40568</v>
      </c>
      <c r="X9745" t="s">
        <v>41261</v>
      </c>
    </row>
    <row r="9746" spans="1:24">
      <c r="A9746">
        <f>HYPERLINK("https://www.philgeps.gov.ph/GEPSNONPILOT/Tender/SplashBidNoticeAbstractUI.aspx?menuIndex=3&amp;refID=7059596&amp;Result=3","7059596")</f>
        <v>0</v>
      </c>
      <c r="B9746" t="s">
        <v>1084</v>
      </c>
      <c r="C9746" t="s">
        <v>12686</v>
      </c>
      <c r="D9746" t="s">
        <v>16667</v>
      </c>
      <c r="E9746" t="s">
        <v>25189</v>
      </c>
      <c r="F9746" t="s">
        <v>28669</v>
      </c>
      <c r="G9746" t="s">
        <v>28675</v>
      </c>
      <c r="H9746" t="s">
        <v>9998</v>
      </c>
      <c r="I9746" t="s">
        <v>5286</v>
      </c>
      <c r="J9746" t="s">
        <v>34855</v>
      </c>
      <c r="K9746" t="s">
        <v>37220</v>
      </c>
      <c r="M9746" t="s">
        <v>38616</v>
      </c>
      <c r="N9746" t="s">
        <v>41249</v>
      </c>
      <c r="O9746" t="s">
        <v>41250</v>
      </c>
      <c r="P9746">
        <v>0</v>
      </c>
      <c r="Q9746">
        <v>0</v>
      </c>
      <c r="R9746" t="s">
        <v>41260</v>
      </c>
      <c r="S9746" t="s">
        <v>41624</v>
      </c>
      <c r="T9746" t="s">
        <v>42836</v>
      </c>
      <c r="U9746" t="s">
        <v>51053</v>
      </c>
      <c r="W9746" t="s">
        <v>38616</v>
      </c>
      <c r="X9746" t="s">
        <v>41261</v>
      </c>
    </row>
    <row r="9747" spans="1:24">
      <c r="A9747">
        <f>HYPERLINK("https://www.philgeps.gov.ph/GEPSNONPILOT/Tender/SplashBidNoticeAbstractUI.aspx?menuIndex=3&amp;refID=7059593&amp;Result=3","7059593")</f>
        <v>0</v>
      </c>
      <c r="B9747" t="s">
        <v>2834</v>
      </c>
      <c r="C9747" t="s">
        <v>12687</v>
      </c>
      <c r="D9747" t="s">
        <v>16618</v>
      </c>
      <c r="E9747" t="s">
        <v>25190</v>
      </c>
      <c r="F9747" t="s">
        <v>28669</v>
      </c>
      <c r="G9747" t="s">
        <v>28675</v>
      </c>
      <c r="H9747" t="s">
        <v>28686</v>
      </c>
      <c r="I9747" t="s">
        <v>28689</v>
      </c>
      <c r="J9747" t="s">
        <v>34856</v>
      </c>
      <c r="K9747" t="s">
        <v>37215</v>
      </c>
      <c r="M9747" t="s">
        <v>40569</v>
      </c>
      <c r="N9747" t="s">
        <v>41249</v>
      </c>
      <c r="O9747" t="s">
        <v>41250</v>
      </c>
      <c r="P9747">
        <v>0</v>
      </c>
      <c r="Q9747">
        <v>0</v>
      </c>
      <c r="R9747" t="s">
        <v>41260</v>
      </c>
      <c r="S9747" t="s">
        <v>41624</v>
      </c>
      <c r="T9747" t="s">
        <v>42739</v>
      </c>
      <c r="U9747" t="s">
        <v>51054</v>
      </c>
      <c r="V9747" t="s">
        <v>55335</v>
      </c>
      <c r="W9747" t="s">
        <v>40569</v>
      </c>
      <c r="X9747" t="s">
        <v>41261</v>
      </c>
    </row>
    <row r="9748" spans="1:24">
      <c r="A9748">
        <f>HYPERLINK("https://www.philgeps.gov.ph/GEPSNONPILOT/Tender/SplashBidNoticeAbstractUI.aspx?menuIndex=3&amp;refID=7059635&amp;Result=3","7059635")</f>
        <v>0</v>
      </c>
      <c r="B9748" t="s">
        <v>2046</v>
      </c>
      <c r="C9748" t="s">
        <v>12688</v>
      </c>
      <c r="D9748" t="s">
        <v>16643</v>
      </c>
      <c r="E9748" t="s">
        <v>25191</v>
      </c>
      <c r="F9748" t="s">
        <v>28669</v>
      </c>
      <c r="G9748" t="s">
        <v>28677</v>
      </c>
      <c r="H9748" t="s">
        <v>9998</v>
      </c>
      <c r="I9748" t="s">
        <v>28693</v>
      </c>
      <c r="J9748" t="s">
        <v>34857</v>
      </c>
      <c r="K9748" t="s">
        <v>37221</v>
      </c>
      <c r="M9748" t="s">
        <v>39686</v>
      </c>
      <c r="N9748" t="s">
        <v>41249</v>
      </c>
      <c r="O9748" t="s">
        <v>41250</v>
      </c>
      <c r="Q9748">
        <v>22</v>
      </c>
      <c r="R9748" t="s">
        <v>41260</v>
      </c>
      <c r="S9748" t="s">
        <v>41635</v>
      </c>
      <c r="T9748" t="s">
        <v>42883</v>
      </c>
      <c r="U9748" t="s">
        <v>48244</v>
      </c>
      <c r="W9748" t="s">
        <v>39686</v>
      </c>
      <c r="X9748" t="s">
        <v>41261</v>
      </c>
    </row>
    <row r="9749" spans="1:24">
      <c r="A9749">
        <f>HYPERLINK("https://www.philgeps.gov.ph/GEPSNONPILOT/Tender/SplashBidNoticeAbstractUI.aspx?menuIndex=3&amp;refID=7059577&amp;Result=3","7059577")</f>
        <v>0</v>
      </c>
      <c r="B9749" t="s">
        <v>2813</v>
      </c>
      <c r="C9749" t="s">
        <v>12689</v>
      </c>
      <c r="D9749" t="s">
        <v>16633</v>
      </c>
      <c r="E9749" t="s">
        <v>25192</v>
      </c>
      <c r="F9749" t="s">
        <v>28669</v>
      </c>
      <c r="G9749" t="s">
        <v>28675</v>
      </c>
      <c r="H9749" t="s">
        <v>9998</v>
      </c>
      <c r="I9749" t="s">
        <v>11593</v>
      </c>
      <c r="J9749" t="s">
        <v>28912</v>
      </c>
      <c r="K9749" t="s">
        <v>37210</v>
      </c>
      <c r="M9749" t="s">
        <v>40543</v>
      </c>
      <c r="N9749" t="s">
        <v>41249</v>
      </c>
      <c r="O9749" t="s">
        <v>41250</v>
      </c>
      <c r="P9749">
        <v>0</v>
      </c>
      <c r="Q9749">
        <v>2</v>
      </c>
      <c r="R9749" t="s">
        <v>41260</v>
      </c>
      <c r="S9749" t="s">
        <v>41624</v>
      </c>
      <c r="T9749" t="s">
        <v>42836</v>
      </c>
      <c r="U9749" t="s">
        <v>51055</v>
      </c>
      <c r="V9749" t="s">
        <v>55330</v>
      </c>
      <c r="W9749" t="s">
        <v>40543</v>
      </c>
      <c r="X9749" t="s">
        <v>41261</v>
      </c>
    </row>
    <row r="9750" spans="1:24">
      <c r="A9750">
        <f>HYPERLINK("https://www.philgeps.gov.ph/GEPSNONPILOT/Tender/SplashBidNoticeAbstractUI.aspx?menuIndex=3&amp;refID=7059576&amp;Result=3","7059576")</f>
        <v>0</v>
      </c>
      <c r="B9750" t="s">
        <v>1633</v>
      </c>
      <c r="C9750" t="s">
        <v>12690</v>
      </c>
      <c r="D9750" t="s">
        <v>16608</v>
      </c>
      <c r="E9750" t="s">
        <v>25193</v>
      </c>
      <c r="F9750" t="s">
        <v>28669</v>
      </c>
      <c r="G9750" t="s">
        <v>28678</v>
      </c>
      <c r="H9750" t="s">
        <v>9998</v>
      </c>
      <c r="I9750" t="s">
        <v>28688</v>
      </c>
      <c r="J9750" t="s">
        <v>34858</v>
      </c>
      <c r="K9750" t="s">
        <v>37205</v>
      </c>
      <c r="M9750" t="s">
        <v>39580</v>
      </c>
      <c r="N9750" t="s">
        <v>41249</v>
      </c>
      <c r="O9750" t="s">
        <v>41250</v>
      </c>
      <c r="P9750">
        <v>0</v>
      </c>
      <c r="Q9750">
        <v>9</v>
      </c>
      <c r="R9750" t="s">
        <v>41260</v>
      </c>
      <c r="S9750" t="s">
        <v>41624</v>
      </c>
      <c r="T9750" t="s">
        <v>42754</v>
      </c>
      <c r="U9750" t="s">
        <v>47958</v>
      </c>
      <c r="V9750" t="s">
        <v>55336</v>
      </c>
      <c r="W9750" t="s">
        <v>39580</v>
      </c>
      <c r="X9750" t="s">
        <v>41261</v>
      </c>
    </row>
    <row r="9751" spans="1:24">
      <c r="A9751">
        <f>HYPERLINK("https://www.philgeps.gov.ph/GEPSNONPILOT/Tender/SplashBidNoticeAbstractUI.aspx?menuIndex=3&amp;refID=7059463&amp;Result=3","7059463")</f>
        <v>0</v>
      </c>
      <c r="B9751" t="s">
        <v>2832</v>
      </c>
      <c r="C9751" t="s">
        <v>12691</v>
      </c>
      <c r="D9751" t="s">
        <v>16610</v>
      </c>
      <c r="E9751" t="s">
        <v>25194</v>
      </c>
      <c r="F9751" t="s">
        <v>28669</v>
      </c>
      <c r="G9751" t="s">
        <v>28675</v>
      </c>
      <c r="H9751" t="s">
        <v>9998</v>
      </c>
      <c r="I9751" t="s">
        <v>7352</v>
      </c>
      <c r="J9751" t="s">
        <v>34859</v>
      </c>
      <c r="K9751" t="s">
        <v>37229</v>
      </c>
      <c r="L9751" t="s">
        <v>2832</v>
      </c>
      <c r="M9751" t="s">
        <v>40566</v>
      </c>
      <c r="N9751" t="s">
        <v>41249</v>
      </c>
      <c r="O9751" t="s">
        <v>41250</v>
      </c>
      <c r="P9751">
        <v>0</v>
      </c>
      <c r="Q9751">
        <v>1</v>
      </c>
      <c r="R9751" t="s">
        <v>41260</v>
      </c>
      <c r="S9751" t="s">
        <v>41624</v>
      </c>
      <c r="T9751" t="s">
        <v>42726</v>
      </c>
      <c r="U9751" t="s">
        <v>51048</v>
      </c>
      <c r="W9751" t="s">
        <v>40566</v>
      </c>
      <c r="X9751" t="s">
        <v>41261</v>
      </c>
    </row>
    <row r="9752" spans="1:24">
      <c r="A9752">
        <f>HYPERLINK("https://www.philgeps.gov.ph/GEPSNONPILOT/Tender/SplashBidNoticeAbstractUI.aspx?menuIndex=3&amp;refID=7059571&amp;Result=3","7059571")</f>
        <v>0</v>
      </c>
      <c r="B9752" t="s">
        <v>2835</v>
      </c>
      <c r="C9752" t="s">
        <v>12692</v>
      </c>
      <c r="D9752" t="s">
        <v>16611</v>
      </c>
      <c r="E9752" t="s">
        <v>25195</v>
      </c>
      <c r="F9752" t="s">
        <v>28669</v>
      </c>
      <c r="G9752" t="s">
        <v>28676</v>
      </c>
      <c r="H9752" t="s">
        <v>9998</v>
      </c>
      <c r="I9752" t="s">
        <v>28728</v>
      </c>
      <c r="J9752" t="s">
        <v>34860</v>
      </c>
      <c r="K9752" t="s">
        <v>37206</v>
      </c>
      <c r="M9752" t="s">
        <v>40570</v>
      </c>
      <c r="N9752" t="s">
        <v>41249</v>
      </c>
      <c r="O9752" t="s">
        <v>41250</v>
      </c>
      <c r="P9752">
        <v>0</v>
      </c>
      <c r="Q9752">
        <v>0</v>
      </c>
      <c r="R9752" t="s">
        <v>41260</v>
      </c>
      <c r="S9752" t="s">
        <v>41624</v>
      </c>
      <c r="T9752" t="s">
        <v>42867</v>
      </c>
      <c r="U9752" t="s">
        <v>51056</v>
      </c>
      <c r="W9752" t="s">
        <v>40570</v>
      </c>
      <c r="X9752" t="s">
        <v>41261</v>
      </c>
    </row>
    <row r="9753" spans="1:24">
      <c r="A9753">
        <f>HYPERLINK("https://www.philgeps.gov.ph/GEPSNONPILOT/Tender/SplashBidNoticeAbstractUI.aspx?menuIndex=3&amp;refID=7059558&amp;Result=3","7059558")</f>
        <v>0</v>
      </c>
      <c r="B9753" t="s">
        <v>655</v>
      </c>
      <c r="C9753" t="s">
        <v>12693</v>
      </c>
      <c r="D9753" t="s">
        <v>16624</v>
      </c>
      <c r="E9753" t="s">
        <v>22694</v>
      </c>
      <c r="F9753" t="s">
        <v>28669</v>
      </c>
      <c r="G9753" t="s">
        <v>28675</v>
      </c>
      <c r="H9753" t="s">
        <v>9998</v>
      </c>
      <c r="I9753" t="s">
        <v>28697</v>
      </c>
      <c r="J9753" t="s">
        <v>28891</v>
      </c>
      <c r="K9753" t="s">
        <v>37327</v>
      </c>
      <c r="M9753" t="s">
        <v>38156</v>
      </c>
      <c r="N9753" t="s">
        <v>41249</v>
      </c>
      <c r="O9753" t="s">
        <v>41250</v>
      </c>
      <c r="Q9753">
        <v>12</v>
      </c>
      <c r="R9753" t="s">
        <v>41260</v>
      </c>
      <c r="S9753" t="s">
        <v>41636</v>
      </c>
      <c r="T9753" t="s">
        <v>42887</v>
      </c>
      <c r="U9753" t="s">
        <v>51057</v>
      </c>
      <c r="V9753" t="s">
        <v>55337</v>
      </c>
      <c r="W9753" t="s">
        <v>38156</v>
      </c>
      <c r="X9753" t="s">
        <v>41261</v>
      </c>
    </row>
    <row r="9754" spans="1:24">
      <c r="A9754">
        <f>HYPERLINK("https://www.philgeps.gov.ph/GEPSNONPILOT/Tender/SplashBidNoticeAbstractUI.aspx?menuIndex=3&amp;refID=7059594&amp;Result=3","7059594")</f>
        <v>0</v>
      </c>
      <c r="B9754" t="s">
        <v>2826</v>
      </c>
      <c r="C9754" t="s">
        <v>12694</v>
      </c>
      <c r="D9754" t="s">
        <v>16663</v>
      </c>
      <c r="E9754" t="s">
        <v>25196</v>
      </c>
      <c r="F9754" t="s">
        <v>28669</v>
      </c>
      <c r="G9754" t="s">
        <v>28675</v>
      </c>
      <c r="H9754" t="s">
        <v>9998</v>
      </c>
      <c r="I9754" t="s">
        <v>11142</v>
      </c>
      <c r="J9754" t="s">
        <v>34861</v>
      </c>
      <c r="K9754" t="s">
        <v>37227</v>
      </c>
      <c r="M9754" t="s">
        <v>40558</v>
      </c>
      <c r="N9754" t="s">
        <v>41249</v>
      </c>
      <c r="O9754" t="s">
        <v>41250</v>
      </c>
      <c r="P9754">
        <v>0</v>
      </c>
      <c r="Q9754">
        <v>4</v>
      </c>
      <c r="R9754" t="s">
        <v>41260</v>
      </c>
      <c r="S9754" t="s">
        <v>41624</v>
      </c>
      <c r="T9754" t="s">
        <v>42836</v>
      </c>
      <c r="U9754" t="s">
        <v>51058</v>
      </c>
      <c r="W9754" t="s">
        <v>40558</v>
      </c>
      <c r="X9754" t="s">
        <v>41261</v>
      </c>
    </row>
    <row r="9755" spans="1:24">
      <c r="A9755">
        <f>HYPERLINK("https://www.philgeps.gov.ph/GEPSNONPILOT/Tender/SplashBidNoticeAbstractUI.aspx?menuIndex=3&amp;refID=7059540&amp;Result=3","7059540")</f>
        <v>0</v>
      </c>
      <c r="B9755" t="s">
        <v>221</v>
      </c>
      <c r="C9755" t="s">
        <v>12695</v>
      </c>
      <c r="E9755" t="s">
        <v>25197</v>
      </c>
      <c r="F9755" t="s">
        <v>28669</v>
      </c>
      <c r="G9755" t="s">
        <v>28675</v>
      </c>
      <c r="H9755" t="s">
        <v>28686</v>
      </c>
      <c r="I9755" t="s">
        <v>28689</v>
      </c>
      <c r="J9755" t="s">
        <v>28847</v>
      </c>
      <c r="K9755" t="s">
        <v>37213</v>
      </c>
      <c r="M9755" t="s">
        <v>37699</v>
      </c>
      <c r="N9755" t="s">
        <v>41249</v>
      </c>
      <c r="O9755" t="s">
        <v>41250</v>
      </c>
      <c r="P9755">
        <v>0</v>
      </c>
      <c r="Q9755">
        <v>0</v>
      </c>
      <c r="R9755" t="s">
        <v>41260</v>
      </c>
      <c r="S9755" t="s">
        <v>41624</v>
      </c>
      <c r="T9755" t="s">
        <v>42881</v>
      </c>
      <c r="U9755" t="s">
        <v>51059</v>
      </c>
      <c r="W9755" t="s">
        <v>37699</v>
      </c>
      <c r="X9755" t="s">
        <v>41261</v>
      </c>
    </row>
    <row r="9756" spans="1:24">
      <c r="A9756">
        <f>HYPERLINK("https://www.philgeps.gov.ph/GEPSNONPILOT/Tender/SplashBidNoticeAbstractUI.aspx?menuIndex=3&amp;refID=7059535&amp;Result=3","7059535")</f>
        <v>0</v>
      </c>
      <c r="B9756" t="s">
        <v>2836</v>
      </c>
      <c r="C9756" t="s">
        <v>12696</v>
      </c>
      <c r="E9756" t="s">
        <v>25198</v>
      </c>
      <c r="F9756" t="s">
        <v>28669</v>
      </c>
      <c r="G9756" t="s">
        <v>28677</v>
      </c>
      <c r="H9756" t="s">
        <v>28684</v>
      </c>
      <c r="I9756" t="s">
        <v>28701</v>
      </c>
      <c r="J9756" t="s">
        <v>29110</v>
      </c>
      <c r="K9756" t="s">
        <v>37210</v>
      </c>
      <c r="M9756" t="s">
        <v>40571</v>
      </c>
      <c r="N9756" t="s">
        <v>41249</v>
      </c>
      <c r="O9756" t="s">
        <v>41250</v>
      </c>
      <c r="P9756">
        <v>0</v>
      </c>
      <c r="Q9756">
        <v>0</v>
      </c>
      <c r="R9756" t="s">
        <v>41260</v>
      </c>
      <c r="S9756" t="s">
        <v>41624</v>
      </c>
      <c r="T9756" t="s">
        <v>42682</v>
      </c>
      <c r="U9756" t="s">
        <v>51060</v>
      </c>
      <c r="W9756" t="s">
        <v>40571</v>
      </c>
      <c r="X9756" t="s">
        <v>41261</v>
      </c>
    </row>
    <row r="9757" spans="1:24">
      <c r="A9757">
        <f>HYPERLINK("https://www.philgeps.gov.ph/GEPSNONPILOT/Tender/SplashBidNoticeAbstractUI.aspx?menuIndex=3&amp;refID=7059591&amp;Result=3","7059591")</f>
        <v>0</v>
      </c>
      <c r="B9757" t="s">
        <v>2046</v>
      </c>
      <c r="C9757" t="s">
        <v>12697</v>
      </c>
      <c r="D9757" t="s">
        <v>16643</v>
      </c>
      <c r="E9757" t="s">
        <v>25199</v>
      </c>
      <c r="F9757" t="s">
        <v>28669</v>
      </c>
      <c r="G9757" t="s">
        <v>28677</v>
      </c>
      <c r="H9757" t="s">
        <v>9998</v>
      </c>
      <c r="I9757" t="s">
        <v>28693</v>
      </c>
      <c r="J9757" t="s">
        <v>34862</v>
      </c>
      <c r="K9757" t="s">
        <v>37220</v>
      </c>
      <c r="M9757" t="s">
        <v>39686</v>
      </c>
      <c r="N9757" t="s">
        <v>41249</v>
      </c>
      <c r="O9757" t="s">
        <v>41250</v>
      </c>
      <c r="Q9757">
        <v>31</v>
      </c>
      <c r="R9757" t="s">
        <v>41260</v>
      </c>
      <c r="S9757" t="s">
        <v>41548</v>
      </c>
      <c r="T9757" t="s">
        <v>42883</v>
      </c>
      <c r="U9757" t="s">
        <v>48244</v>
      </c>
      <c r="W9757" t="s">
        <v>39686</v>
      </c>
      <c r="X9757" t="s">
        <v>41261</v>
      </c>
    </row>
    <row r="9758" spans="1:24">
      <c r="A9758">
        <f>HYPERLINK("https://www.philgeps.gov.ph/GEPSNONPILOT/Tender/SplashBidNoticeAbstractUI.aspx?menuIndex=3&amp;refID=7059509&amp;Result=3","7059509")</f>
        <v>0</v>
      </c>
      <c r="B9758" t="s">
        <v>65</v>
      </c>
      <c r="C9758" t="s">
        <v>12698</v>
      </c>
      <c r="D9758" t="s">
        <v>16626</v>
      </c>
      <c r="E9758" t="s">
        <v>25200</v>
      </c>
      <c r="F9758" t="s">
        <v>28669</v>
      </c>
      <c r="G9758" t="s">
        <v>28675</v>
      </c>
      <c r="H9758" t="s">
        <v>28686</v>
      </c>
      <c r="I9758" t="s">
        <v>28689</v>
      </c>
      <c r="J9758" t="s">
        <v>34863</v>
      </c>
      <c r="K9758" t="s">
        <v>37211</v>
      </c>
      <c r="M9758" t="s">
        <v>37540</v>
      </c>
      <c r="N9758" t="s">
        <v>41249</v>
      </c>
      <c r="O9758" t="s">
        <v>41250</v>
      </c>
      <c r="P9758">
        <v>0</v>
      </c>
      <c r="Q9758">
        <v>11</v>
      </c>
      <c r="R9758" t="s">
        <v>41260</v>
      </c>
      <c r="S9758" t="s">
        <v>41624</v>
      </c>
      <c r="T9758" t="s">
        <v>42836</v>
      </c>
      <c r="U9758" t="s">
        <v>51061</v>
      </c>
      <c r="W9758" t="s">
        <v>56016</v>
      </c>
      <c r="X9758" t="s">
        <v>41261</v>
      </c>
    </row>
    <row r="9759" spans="1:24">
      <c r="A9759">
        <f>HYPERLINK("https://www.philgeps.gov.ph/GEPSNONPILOT/Tender/SplashBidNoticeAbstractUI.aspx?menuIndex=3&amp;refID=7059546&amp;Result=3","7059546")</f>
        <v>0</v>
      </c>
      <c r="B9759" t="s">
        <v>2813</v>
      </c>
      <c r="C9759" t="s">
        <v>12699</v>
      </c>
      <c r="D9759" t="s">
        <v>16633</v>
      </c>
      <c r="E9759" t="s">
        <v>25201</v>
      </c>
      <c r="F9759" t="s">
        <v>28669</v>
      </c>
      <c r="G9759" t="s">
        <v>28675</v>
      </c>
      <c r="H9759" t="s">
        <v>9998</v>
      </c>
      <c r="I9759" t="s">
        <v>11593</v>
      </c>
      <c r="J9759" t="s">
        <v>32521</v>
      </c>
      <c r="K9759" t="s">
        <v>37210</v>
      </c>
      <c r="M9759" t="s">
        <v>40543</v>
      </c>
      <c r="N9759" t="s">
        <v>41249</v>
      </c>
      <c r="O9759" t="s">
        <v>41250</v>
      </c>
      <c r="P9759">
        <v>0</v>
      </c>
      <c r="Q9759">
        <v>3</v>
      </c>
      <c r="R9759" t="s">
        <v>41260</v>
      </c>
      <c r="S9759" t="s">
        <v>41624</v>
      </c>
      <c r="T9759" t="s">
        <v>42836</v>
      </c>
      <c r="U9759" t="s">
        <v>51062</v>
      </c>
      <c r="V9759" t="s">
        <v>55330</v>
      </c>
      <c r="W9759" t="s">
        <v>40543</v>
      </c>
      <c r="X9759" t="s">
        <v>41261</v>
      </c>
    </row>
    <row r="9760" spans="1:24">
      <c r="A9760">
        <f>HYPERLINK("https://www.philgeps.gov.ph/GEPSNONPILOT/Tender/SplashBidNoticeAbstractUI.aspx?menuIndex=3&amp;refID=7059513&amp;Result=3","7059513")</f>
        <v>0</v>
      </c>
      <c r="B9760" t="s">
        <v>1193</v>
      </c>
      <c r="C9760" t="s">
        <v>12700</v>
      </c>
      <c r="D9760" t="s">
        <v>16673</v>
      </c>
      <c r="E9760" t="s">
        <v>25202</v>
      </c>
      <c r="F9760" t="s">
        <v>28669</v>
      </c>
      <c r="G9760" t="s">
        <v>28675</v>
      </c>
      <c r="H9760" t="s">
        <v>9998</v>
      </c>
      <c r="I9760" t="s">
        <v>28697</v>
      </c>
      <c r="J9760" t="s">
        <v>34864</v>
      </c>
      <c r="K9760" t="s">
        <v>37205</v>
      </c>
      <c r="M9760" t="s">
        <v>38733</v>
      </c>
      <c r="N9760" t="s">
        <v>41249</v>
      </c>
      <c r="O9760" t="s">
        <v>41250</v>
      </c>
      <c r="P9760">
        <v>0</v>
      </c>
      <c r="Q9760">
        <v>11</v>
      </c>
      <c r="R9760" t="s">
        <v>41260</v>
      </c>
      <c r="S9760" t="s">
        <v>41624</v>
      </c>
      <c r="T9760" t="s">
        <v>42700</v>
      </c>
      <c r="U9760" t="s">
        <v>51063</v>
      </c>
      <c r="W9760" t="s">
        <v>38733</v>
      </c>
      <c r="X9760" t="s">
        <v>41261</v>
      </c>
    </row>
    <row r="9761" spans="1:24">
      <c r="A9761">
        <f>HYPERLINK("https://www.philgeps.gov.ph/GEPSNONPILOT/Tender/SplashBidNoticeAbstractUI.aspx?menuIndex=3&amp;refID=7059786&amp;Result=3","7059786")</f>
        <v>0</v>
      </c>
      <c r="B9761" t="s">
        <v>293</v>
      </c>
      <c r="C9761" t="s">
        <v>12701</v>
      </c>
      <c r="D9761" t="s">
        <v>16668</v>
      </c>
      <c r="E9761" t="s">
        <v>25203</v>
      </c>
      <c r="F9761" t="s">
        <v>28669</v>
      </c>
      <c r="G9761" t="s">
        <v>28675</v>
      </c>
      <c r="H9761" t="s">
        <v>9998</v>
      </c>
      <c r="I9761" t="s">
        <v>15140</v>
      </c>
      <c r="J9761" t="s">
        <v>34865</v>
      </c>
      <c r="K9761" t="s">
        <v>37206</v>
      </c>
      <c r="M9761" t="s">
        <v>37772</v>
      </c>
      <c r="N9761" t="s">
        <v>41249</v>
      </c>
      <c r="O9761" t="s">
        <v>41250</v>
      </c>
      <c r="P9761">
        <v>0</v>
      </c>
      <c r="Q9761">
        <v>0</v>
      </c>
      <c r="R9761" t="s">
        <v>41260</v>
      </c>
      <c r="S9761" t="s">
        <v>41624</v>
      </c>
      <c r="T9761" t="s">
        <v>42694</v>
      </c>
      <c r="U9761" t="s">
        <v>51064</v>
      </c>
      <c r="W9761" t="s">
        <v>37772</v>
      </c>
      <c r="X9761" t="s">
        <v>41261</v>
      </c>
    </row>
    <row r="9762" spans="1:24">
      <c r="A9762">
        <f>HYPERLINK("https://www.philgeps.gov.ph/GEPSNONPILOT/Tender/SplashBidNoticeAbstractUI.aspx?menuIndex=3&amp;refID=7059784&amp;Result=3","7059784")</f>
        <v>0</v>
      </c>
      <c r="B9762" t="s">
        <v>2837</v>
      </c>
      <c r="C9762" t="s">
        <v>7705</v>
      </c>
      <c r="D9762" t="s">
        <v>16627</v>
      </c>
      <c r="E9762" t="s">
        <v>25204</v>
      </c>
      <c r="F9762" t="s">
        <v>28669</v>
      </c>
      <c r="G9762" t="s">
        <v>28675</v>
      </c>
      <c r="H9762" t="s">
        <v>9998</v>
      </c>
      <c r="I9762" t="s">
        <v>3658</v>
      </c>
      <c r="J9762" t="s">
        <v>28878</v>
      </c>
      <c r="K9762" t="s">
        <v>37206</v>
      </c>
      <c r="M9762" t="s">
        <v>40572</v>
      </c>
      <c r="N9762" t="s">
        <v>41249</v>
      </c>
      <c r="O9762" t="s">
        <v>41250</v>
      </c>
      <c r="P9762">
        <v>0</v>
      </c>
      <c r="Q9762">
        <v>3</v>
      </c>
      <c r="R9762" t="s">
        <v>41260</v>
      </c>
      <c r="S9762" t="s">
        <v>41624</v>
      </c>
      <c r="T9762" t="s">
        <v>42739</v>
      </c>
      <c r="U9762" t="s">
        <v>51065</v>
      </c>
      <c r="W9762" t="s">
        <v>40572</v>
      </c>
      <c r="X9762" t="s">
        <v>41261</v>
      </c>
    </row>
    <row r="9763" spans="1:24">
      <c r="A9763">
        <f>HYPERLINK("https://www.philgeps.gov.ph/GEPSNONPILOT/Tender/SplashBidNoticeAbstractUI.aspx?menuIndex=3&amp;refID=7059778&amp;Result=3","7059778")</f>
        <v>0</v>
      </c>
      <c r="B9763" t="s">
        <v>51</v>
      </c>
      <c r="C9763" t="s">
        <v>12702</v>
      </c>
      <c r="D9763" t="s">
        <v>16631</v>
      </c>
      <c r="E9763" t="s">
        <v>25205</v>
      </c>
      <c r="F9763" t="s">
        <v>28669</v>
      </c>
      <c r="G9763" t="s">
        <v>28675</v>
      </c>
      <c r="H9763" t="s">
        <v>28686</v>
      </c>
      <c r="I9763" t="s">
        <v>28689</v>
      </c>
      <c r="J9763" t="s">
        <v>34866</v>
      </c>
      <c r="K9763" t="s">
        <v>37220</v>
      </c>
      <c r="M9763" t="s">
        <v>38699</v>
      </c>
      <c r="N9763" t="s">
        <v>41249</v>
      </c>
      <c r="O9763" t="s">
        <v>41250</v>
      </c>
      <c r="P9763">
        <v>0</v>
      </c>
      <c r="Q9763">
        <v>1</v>
      </c>
      <c r="R9763" t="s">
        <v>41260</v>
      </c>
      <c r="S9763" t="s">
        <v>41624</v>
      </c>
      <c r="T9763" t="s">
        <v>42668</v>
      </c>
      <c r="U9763" t="s">
        <v>51066</v>
      </c>
      <c r="W9763" t="s">
        <v>38699</v>
      </c>
      <c r="X9763" t="s">
        <v>41261</v>
      </c>
    </row>
    <row r="9764" spans="1:24">
      <c r="A9764">
        <f>HYPERLINK("https://www.philgeps.gov.ph/GEPSNONPILOT/Tender/SplashBidNoticeAbstractUI.aspx?menuIndex=3&amp;refID=7059547&amp;Result=3","7059547")</f>
        <v>0</v>
      </c>
      <c r="B9764" t="s">
        <v>164</v>
      </c>
      <c r="C9764" t="s">
        <v>12703</v>
      </c>
      <c r="D9764" t="s">
        <v>16624</v>
      </c>
      <c r="E9764" t="s">
        <v>22954</v>
      </c>
      <c r="F9764" t="s">
        <v>28669</v>
      </c>
      <c r="G9764" t="s">
        <v>28675</v>
      </c>
      <c r="H9764" t="s">
        <v>9998</v>
      </c>
      <c r="I9764" t="s">
        <v>28690</v>
      </c>
      <c r="J9764" t="s">
        <v>34867</v>
      </c>
      <c r="K9764" t="s">
        <v>37206</v>
      </c>
      <c r="M9764" t="s">
        <v>37641</v>
      </c>
      <c r="N9764" t="s">
        <v>41249</v>
      </c>
      <c r="O9764" t="s">
        <v>41250</v>
      </c>
      <c r="P9764">
        <v>0</v>
      </c>
      <c r="Q9764">
        <v>9</v>
      </c>
      <c r="R9764" t="s">
        <v>41260</v>
      </c>
      <c r="S9764" t="s">
        <v>41624</v>
      </c>
      <c r="T9764" t="s">
        <v>42858</v>
      </c>
      <c r="U9764" t="s">
        <v>51067</v>
      </c>
      <c r="W9764" t="s">
        <v>37641</v>
      </c>
      <c r="X9764" t="s">
        <v>41261</v>
      </c>
    </row>
    <row r="9765" spans="1:24">
      <c r="A9765">
        <f>HYPERLINK("https://www.philgeps.gov.ph/GEPSNONPILOT/Tender/SplashBidNoticeAbstractUI.aspx?menuIndex=3&amp;refID=7059773&amp;Result=3","7059773")</f>
        <v>0</v>
      </c>
      <c r="B9765" t="s">
        <v>2837</v>
      </c>
      <c r="C9765" t="s">
        <v>7705</v>
      </c>
      <c r="D9765" t="s">
        <v>16627</v>
      </c>
      <c r="E9765" t="s">
        <v>25206</v>
      </c>
      <c r="F9765" t="s">
        <v>28669</v>
      </c>
      <c r="G9765" t="s">
        <v>28675</v>
      </c>
      <c r="H9765" t="s">
        <v>9998</v>
      </c>
      <c r="I9765" t="s">
        <v>3658</v>
      </c>
      <c r="J9765" t="s">
        <v>34868</v>
      </c>
      <c r="K9765" t="s">
        <v>37206</v>
      </c>
      <c r="M9765" t="s">
        <v>40572</v>
      </c>
      <c r="N9765" t="s">
        <v>41249</v>
      </c>
      <c r="O9765" t="s">
        <v>41250</v>
      </c>
      <c r="P9765">
        <v>0</v>
      </c>
      <c r="Q9765">
        <v>3</v>
      </c>
      <c r="R9765" t="s">
        <v>41260</v>
      </c>
      <c r="S9765" t="s">
        <v>41624</v>
      </c>
      <c r="T9765" t="s">
        <v>42739</v>
      </c>
      <c r="U9765" t="s">
        <v>51068</v>
      </c>
      <c r="W9765" t="s">
        <v>40572</v>
      </c>
      <c r="X9765" t="s">
        <v>41261</v>
      </c>
    </row>
    <row r="9766" spans="1:24">
      <c r="A9766">
        <f>HYPERLINK("https://www.philgeps.gov.ph/GEPSNONPILOT/Tender/SplashBidNoticeAbstractUI.aspx?menuIndex=3&amp;refID=7059771&amp;Result=3","7059771")</f>
        <v>0</v>
      </c>
      <c r="B9766" t="s">
        <v>2826</v>
      </c>
      <c r="C9766" t="s">
        <v>12704</v>
      </c>
      <c r="D9766" t="s">
        <v>16663</v>
      </c>
      <c r="E9766" t="s">
        <v>25207</v>
      </c>
      <c r="F9766" t="s">
        <v>28669</v>
      </c>
      <c r="G9766" t="s">
        <v>28675</v>
      </c>
      <c r="H9766" t="s">
        <v>9998</v>
      </c>
      <c r="I9766" t="s">
        <v>7352</v>
      </c>
      <c r="J9766" t="s">
        <v>34869</v>
      </c>
      <c r="K9766" t="s">
        <v>37227</v>
      </c>
      <c r="M9766" t="s">
        <v>40558</v>
      </c>
      <c r="N9766" t="s">
        <v>41249</v>
      </c>
      <c r="O9766" t="s">
        <v>41250</v>
      </c>
      <c r="P9766">
        <v>0</v>
      </c>
      <c r="Q9766">
        <v>2</v>
      </c>
      <c r="R9766" t="s">
        <v>41260</v>
      </c>
      <c r="S9766" t="s">
        <v>41624</v>
      </c>
      <c r="T9766" t="s">
        <v>42836</v>
      </c>
      <c r="U9766" t="s">
        <v>51069</v>
      </c>
      <c r="W9766" t="s">
        <v>40558</v>
      </c>
      <c r="X9766" t="s">
        <v>41261</v>
      </c>
    </row>
    <row r="9767" spans="1:24">
      <c r="A9767">
        <f>HYPERLINK("https://www.philgeps.gov.ph/GEPSNONPILOT/Tender/SplashBidNoticeAbstractUI.aspx?menuIndex=3&amp;refID=7059767&amp;Result=3","7059767")</f>
        <v>0</v>
      </c>
      <c r="B9767" t="s">
        <v>293</v>
      </c>
      <c r="C9767" t="s">
        <v>12705</v>
      </c>
      <c r="D9767" t="s">
        <v>16668</v>
      </c>
      <c r="E9767" t="s">
        <v>25208</v>
      </c>
      <c r="F9767" t="s">
        <v>28669</v>
      </c>
      <c r="G9767" t="s">
        <v>28675</v>
      </c>
      <c r="H9767" t="s">
        <v>9998</v>
      </c>
      <c r="I9767" t="s">
        <v>7352</v>
      </c>
      <c r="J9767" t="s">
        <v>29034</v>
      </c>
      <c r="K9767" t="s">
        <v>37206</v>
      </c>
      <c r="M9767" t="s">
        <v>37772</v>
      </c>
      <c r="N9767" t="s">
        <v>41249</v>
      </c>
      <c r="O9767" t="s">
        <v>41250</v>
      </c>
      <c r="P9767">
        <v>0</v>
      </c>
      <c r="Q9767">
        <v>0</v>
      </c>
      <c r="R9767" t="s">
        <v>41260</v>
      </c>
      <c r="S9767" t="s">
        <v>41624</v>
      </c>
      <c r="T9767" t="s">
        <v>42712</v>
      </c>
      <c r="U9767" t="s">
        <v>48885</v>
      </c>
      <c r="W9767" t="s">
        <v>37772</v>
      </c>
      <c r="X9767" t="s">
        <v>41261</v>
      </c>
    </row>
    <row r="9768" spans="1:24">
      <c r="A9768">
        <f>HYPERLINK("https://www.philgeps.gov.ph/GEPSNONPILOT/Tender/SplashBidNoticeAbstractUI.aspx?menuIndex=3&amp;refID=7059799&amp;Result=3","7059799")</f>
        <v>0</v>
      </c>
      <c r="B9768" t="s">
        <v>2837</v>
      </c>
      <c r="C9768" t="s">
        <v>3933</v>
      </c>
      <c r="D9768" t="s">
        <v>16627</v>
      </c>
      <c r="E9768" t="s">
        <v>25209</v>
      </c>
      <c r="F9768" t="s">
        <v>28669</v>
      </c>
      <c r="G9768" t="s">
        <v>28675</v>
      </c>
      <c r="H9768" t="s">
        <v>9998</v>
      </c>
      <c r="I9768" t="s">
        <v>3718</v>
      </c>
      <c r="J9768" t="s">
        <v>28912</v>
      </c>
      <c r="K9768" t="s">
        <v>37206</v>
      </c>
      <c r="M9768" t="s">
        <v>40572</v>
      </c>
      <c r="N9768" t="s">
        <v>41249</v>
      </c>
      <c r="O9768" t="s">
        <v>41250</v>
      </c>
      <c r="P9768">
        <v>0</v>
      </c>
      <c r="Q9768">
        <v>4</v>
      </c>
      <c r="R9768" t="s">
        <v>41260</v>
      </c>
      <c r="S9768" t="s">
        <v>41624</v>
      </c>
      <c r="T9768" t="s">
        <v>42739</v>
      </c>
      <c r="U9768" t="s">
        <v>51070</v>
      </c>
      <c r="W9768" t="s">
        <v>40572</v>
      </c>
      <c r="X9768" t="s">
        <v>41261</v>
      </c>
    </row>
    <row r="9769" spans="1:24">
      <c r="A9769">
        <f>HYPERLINK("https://www.philgeps.gov.ph/GEPSNONPILOT/Tender/SplashBidNoticeAbstractUI.aspx?menuIndex=3&amp;refID=7059766&amp;Result=3","7059766")</f>
        <v>0</v>
      </c>
      <c r="B9769" t="s">
        <v>2046</v>
      </c>
      <c r="C9769" t="s">
        <v>12706</v>
      </c>
      <c r="D9769" t="s">
        <v>16643</v>
      </c>
      <c r="E9769" t="s">
        <v>25210</v>
      </c>
      <c r="F9769" t="s">
        <v>28669</v>
      </c>
      <c r="G9769" t="s">
        <v>28677</v>
      </c>
      <c r="H9769" t="s">
        <v>9998</v>
      </c>
      <c r="I9769" t="s">
        <v>28697</v>
      </c>
      <c r="J9769" t="s">
        <v>29364</v>
      </c>
      <c r="K9769" t="s">
        <v>37221</v>
      </c>
      <c r="M9769" t="s">
        <v>39686</v>
      </c>
      <c r="N9769" t="s">
        <v>41249</v>
      </c>
      <c r="O9769" t="s">
        <v>41250</v>
      </c>
      <c r="Q9769">
        <v>1</v>
      </c>
      <c r="R9769" t="s">
        <v>41260</v>
      </c>
      <c r="S9769" t="s">
        <v>41637</v>
      </c>
      <c r="T9769" t="s">
        <v>42883</v>
      </c>
      <c r="U9769" t="s">
        <v>48244</v>
      </c>
      <c r="W9769" t="s">
        <v>39686</v>
      </c>
      <c r="X9769" t="s">
        <v>41261</v>
      </c>
    </row>
    <row r="9770" spans="1:24">
      <c r="A9770">
        <f>HYPERLINK("https://www.philgeps.gov.ph/GEPSNONPILOT/Tender/SplashBidNoticeAbstractUI.aspx?menuIndex=3&amp;refID=7059801&amp;Result=3","7059801")</f>
        <v>0</v>
      </c>
      <c r="B9770" t="s">
        <v>2046</v>
      </c>
      <c r="C9770" t="s">
        <v>12707</v>
      </c>
      <c r="D9770" t="s">
        <v>16643</v>
      </c>
      <c r="E9770" t="s">
        <v>25211</v>
      </c>
      <c r="F9770" t="s">
        <v>28669</v>
      </c>
      <c r="G9770" t="s">
        <v>28677</v>
      </c>
      <c r="H9770" t="s">
        <v>9998</v>
      </c>
      <c r="I9770" t="s">
        <v>28724</v>
      </c>
      <c r="J9770" t="s">
        <v>28859</v>
      </c>
      <c r="K9770" t="s">
        <v>37209</v>
      </c>
      <c r="M9770" t="s">
        <v>39686</v>
      </c>
      <c r="N9770" t="s">
        <v>41249</v>
      </c>
      <c r="O9770" t="s">
        <v>41250</v>
      </c>
      <c r="Q9770">
        <v>3</v>
      </c>
      <c r="R9770" t="s">
        <v>41260</v>
      </c>
      <c r="S9770" t="s">
        <v>41638</v>
      </c>
      <c r="T9770" t="s">
        <v>42883</v>
      </c>
      <c r="U9770" t="s">
        <v>48244</v>
      </c>
      <c r="W9770" t="s">
        <v>39686</v>
      </c>
      <c r="X9770" t="s">
        <v>41261</v>
      </c>
    </row>
    <row r="9771" spans="1:24">
      <c r="A9771">
        <f>HYPERLINK("https://www.philgeps.gov.ph/GEPSNONPILOT/Tender/SplashBidNoticeAbstractUI.aspx?menuIndex=3&amp;refID=7059433&amp;Result=3","7059433")</f>
        <v>0</v>
      </c>
      <c r="B9771" t="s">
        <v>2838</v>
      </c>
      <c r="C9771" t="s">
        <v>12708</v>
      </c>
      <c r="D9771" t="s">
        <v>16622</v>
      </c>
      <c r="E9771" t="s">
        <v>25212</v>
      </c>
      <c r="F9771" t="s">
        <v>28669</v>
      </c>
      <c r="G9771" t="s">
        <v>28675</v>
      </c>
      <c r="H9771" t="s">
        <v>9998</v>
      </c>
      <c r="I9771" t="s">
        <v>11593</v>
      </c>
      <c r="J9771" t="s">
        <v>34870</v>
      </c>
      <c r="K9771" t="s">
        <v>37221</v>
      </c>
      <c r="M9771" t="s">
        <v>40573</v>
      </c>
      <c r="N9771" t="s">
        <v>41249</v>
      </c>
      <c r="O9771" t="s">
        <v>41250</v>
      </c>
      <c r="P9771">
        <v>0</v>
      </c>
      <c r="Q9771">
        <v>6</v>
      </c>
      <c r="R9771" t="s">
        <v>41260</v>
      </c>
      <c r="S9771" t="s">
        <v>41624</v>
      </c>
      <c r="T9771" t="s">
        <v>43051</v>
      </c>
      <c r="U9771" t="s">
        <v>51071</v>
      </c>
      <c r="V9771" t="s">
        <v>51071</v>
      </c>
      <c r="W9771" t="s">
        <v>40573</v>
      </c>
      <c r="X9771" t="s">
        <v>41261</v>
      </c>
    </row>
    <row r="9772" spans="1:24">
      <c r="A9772">
        <f>HYPERLINK("https://www.philgeps.gov.ph/GEPSNONPILOT/Tender/SplashBidNoticeAbstractUI.aspx?menuIndex=3&amp;refID=7059926&amp;Result=3","7059926")</f>
        <v>0</v>
      </c>
      <c r="B9772" t="s">
        <v>2418</v>
      </c>
      <c r="C9772" t="s">
        <v>12709</v>
      </c>
      <c r="D9772" t="s">
        <v>16657</v>
      </c>
      <c r="E9772" t="s">
        <v>25213</v>
      </c>
      <c r="F9772" t="s">
        <v>28669</v>
      </c>
      <c r="G9772" t="s">
        <v>28676</v>
      </c>
      <c r="H9772" t="s">
        <v>9998</v>
      </c>
      <c r="I9772" t="s">
        <v>28717</v>
      </c>
      <c r="J9772" t="s">
        <v>34871</v>
      </c>
      <c r="K9772" t="s">
        <v>37227</v>
      </c>
      <c r="M9772" t="s">
        <v>40101</v>
      </c>
      <c r="N9772" t="s">
        <v>41249</v>
      </c>
      <c r="O9772" t="s">
        <v>41250</v>
      </c>
      <c r="P9772">
        <v>0</v>
      </c>
      <c r="Q9772">
        <v>10</v>
      </c>
      <c r="R9772" t="s">
        <v>41260</v>
      </c>
      <c r="S9772" t="s">
        <v>41624</v>
      </c>
      <c r="T9772" t="s">
        <v>42767</v>
      </c>
      <c r="U9772" t="s">
        <v>51072</v>
      </c>
      <c r="V9772" t="s">
        <v>55144</v>
      </c>
      <c r="W9772" t="s">
        <v>40101</v>
      </c>
      <c r="X9772" t="s">
        <v>41261</v>
      </c>
    </row>
    <row r="9773" spans="1:24">
      <c r="A9773">
        <f>HYPERLINK("https://www.philgeps.gov.ph/GEPSNONPILOT/Tender/SplashBidNoticeAbstractUI.aspx?menuIndex=3&amp;refID=7059768&amp;Result=3","7059768")</f>
        <v>0</v>
      </c>
      <c r="B9773" t="s">
        <v>2549</v>
      </c>
      <c r="C9773" t="s">
        <v>12710</v>
      </c>
      <c r="E9773" t="s">
        <v>25214</v>
      </c>
      <c r="F9773" t="s">
        <v>28669</v>
      </c>
      <c r="G9773" t="s">
        <v>28675</v>
      </c>
      <c r="H9773" t="s">
        <v>28686</v>
      </c>
      <c r="I9773" t="s">
        <v>28689</v>
      </c>
      <c r="J9773" t="s">
        <v>34872</v>
      </c>
      <c r="K9773" t="s">
        <v>37220</v>
      </c>
      <c r="M9773" t="s">
        <v>40241</v>
      </c>
      <c r="N9773" t="s">
        <v>41249</v>
      </c>
      <c r="O9773" t="s">
        <v>41250</v>
      </c>
      <c r="P9773">
        <v>0</v>
      </c>
      <c r="Q9773">
        <v>1</v>
      </c>
      <c r="R9773" t="s">
        <v>41260</v>
      </c>
      <c r="S9773" t="s">
        <v>41624</v>
      </c>
      <c r="T9773" t="s">
        <v>42789</v>
      </c>
      <c r="U9773" t="s">
        <v>51073</v>
      </c>
      <c r="W9773" t="s">
        <v>40241</v>
      </c>
      <c r="X9773" t="s">
        <v>41261</v>
      </c>
    </row>
    <row r="9774" spans="1:24">
      <c r="A9774">
        <f>HYPERLINK("https://www.philgeps.gov.ph/GEPSNONPILOT/Tender/SplashBidNoticeAbstractUI.aspx?menuIndex=3&amp;refID=7059761&amp;Result=3","7059761")</f>
        <v>0</v>
      </c>
      <c r="B9774" t="s">
        <v>2391</v>
      </c>
      <c r="C9774" t="s">
        <v>12711</v>
      </c>
      <c r="D9774" t="s">
        <v>16638</v>
      </c>
      <c r="E9774" t="s">
        <v>25215</v>
      </c>
      <c r="F9774" t="s">
        <v>28669</v>
      </c>
      <c r="G9774" t="s">
        <v>28675</v>
      </c>
      <c r="H9774" t="s">
        <v>9998</v>
      </c>
      <c r="I9774" t="s">
        <v>28739</v>
      </c>
      <c r="J9774" t="s">
        <v>29927</v>
      </c>
      <c r="K9774" t="s">
        <v>37220</v>
      </c>
      <c r="M9774" t="s">
        <v>40066</v>
      </c>
      <c r="N9774" t="s">
        <v>41249</v>
      </c>
      <c r="O9774" t="s">
        <v>41250</v>
      </c>
      <c r="P9774">
        <v>0</v>
      </c>
      <c r="Q9774">
        <v>17</v>
      </c>
      <c r="R9774" t="s">
        <v>41260</v>
      </c>
      <c r="S9774" t="s">
        <v>41624</v>
      </c>
      <c r="T9774" t="s">
        <v>42668</v>
      </c>
      <c r="U9774" t="s">
        <v>51074</v>
      </c>
      <c r="W9774" t="s">
        <v>55991</v>
      </c>
      <c r="X9774" t="s">
        <v>41261</v>
      </c>
    </row>
    <row r="9775" spans="1:24">
      <c r="A9775">
        <f>HYPERLINK("https://www.philgeps.gov.ph/GEPSNONPILOT/Tender/SplashBidNoticeAbstractUI.aspx?menuIndex=3&amp;refID=7059910&amp;Result=3","7059910")</f>
        <v>0</v>
      </c>
      <c r="B9775" t="s">
        <v>2839</v>
      </c>
      <c r="C9775" t="s">
        <v>12712</v>
      </c>
      <c r="D9775" t="s">
        <v>16616</v>
      </c>
      <c r="E9775" t="s">
        <v>25216</v>
      </c>
      <c r="F9775" t="s">
        <v>28669</v>
      </c>
      <c r="G9775" t="s">
        <v>28675</v>
      </c>
      <c r="H9775" t="s">
        <v>9998</v>
      </c>
      <c r="I9775" t="s">
        <v>28689</v>
      </c>
      <c r="J9775" t="s">
        <v>28914</v>
      </c>
      <c r="K9775" t="s">
        <v>37206</v>
      </c>
      <c r="M9775" t="s">
        <v>40574</v>
      </c>
      <c r="N9775" t="s">
        <v>41249</v>
      </c>
      <c r="O9775" t="s">
        <v>41250</v>
      </c>
      <c r="P9775">
        <v>0</v>
      </c>
      <c r="Q9775">
        <v>0</v>
      </c>
      <c r="R9775" t="s">
        <v>41260</v>
      </c>
      <c r="S9775" t="s">
        <v>41624</v>
      </c>
      <c r="T9775" t="s">
        <v>42727</v>
      </c>
      <c r="U9775" t="s">
        <v>48301</v>
      </c>
      <c r="V9775" t="s">
        <v>55338</v>
      </c>
      <c r="W9775" t="s">
        <v>40574</v>
      </c>
      <c r="X9775" t="s">
        <v>41261</v>
      </c>
    </row>
    <row r="9776" spans="1:24">
      <c r="A9776">
        <f>HYPERLINK("https://www.philgeps.gov.ph/GEPSNONPILOT/Tender/SplashBidNoticeAbstractUI.aspx?menuIndex=3&amp;refID=7059754&amp;Result=3","7059754")</f>
        <v>0</v>
      </c>
      <c r="B9776" t="s">
        <v>2449</v>
      </c>
      <c r="C9776" t="s">
        <v>12713</v>
      </c>
      <c r="D9776" t="s">
        <v>16645</v>
      </c>
      <c r="E9776" t="s">
        <v>25217</v>
      </c>
      <c r="F9776" t="s">
        <v>28669</v>
      </c>
      <c r="G9776" t="s">
        <v>28677</v>
      </c>
      <c r="H9776" t="s">
        <v>9998</v>
      </c>
      <c r="I9776" t="s">
        <v>3718</v>
      </c>
      <c r="J9776" t="s">
        <v>29404</v>
      </c>
      <c r="K9776" t="s">
        <v>37209</v>
      </c>
      <c r="M9776" t="s">
        <v>40132</v>
      </c>
      <c r="N9776" t="s">
        <v>41249</v>
      </c>
      <c r="O9776" t="s">
        <v>41250</v>
      </c>
      <c r="P9776">
        <v>0</v>
      </c>
      <c r="Q9776">
        <v>0</v>
      </c>
      <c r="R9776" t="s">
        <v>41260</v>
      </c>
      <c r="S9776" t="s">
        <v>41624</v>
      </c>
      <c r="T9776" t="s">
        <v>42694</v>
      </c>
      <c r="U9776" t="s">
        <v>49714</v>
      </c>
      <c r="W9776" t="s">
        <v>40132</v>
      </c>
      <c r="X9776" t="s">
        <v>41261</v>
      </c>
    </row>
    <row r="9777" spans="1:24">
      <c r="A9777">
        <f>HYPERLINK("https://www.philgeps.gov.ph/GEPSNONPILOT/Tender/SplashBidNoticeAbstractUI.aspx?menuIndex=3&amp;refID=7059906&amp;Result=3","7059906")</f>
        <v>0</v>
      </c>
      <c r="B9777" t="s">
        <v>1307</v>
      </c>
      <c r="C9777" t="s">
        <v>12714</v>
      </c>
      <c r="D9777" t="s">
        <v>16608</v>
      </c>
      <c r="E9777" t="s">
        <v>25218</v>
      </c>
      <c r="F9777" t="s">
        <v>28669</v>
      </c>
      <c r="G9777" t="s">
        <v>28675</v>
      </c>
      <c r="H9777" t="s">
        <v>9998</v>
      </c>
      <c r="I9777" t="s">
        <v>11593</v>
      </c>
      <c r="J9777" t="s">
        <v>34873</v>
      </c>
      <c r="K9777" t="s">
        <v>37212</v>
      </c>
      <c r="M9777" t="s">
        <v>38859</v>
      </c>
      <c r="N9777" t="s">
        <v>41249</v>
      </c>
      <c r="O9777" t="s">
        <v>41250</v>
      </c>
      <c r="P9777">
        <v>0</v>
      </c>
      <c r="Q9777">
        <v>24</v>
      </c>
      <c r="R9777" t="s">
        <v>41260</v>
      </c>
      <c r="S9777" t="s">
        <v>41624</v>
      </c>
      <c r="T9777" t="s">
        <v>42786</v>
      </c>
      <c r="U9777" t="s">
        <v>51075</v>
      </c>
      <c r="W9777" t="s">
        <v>38859</v>
      </c>
      <c r="X9777" t="s">
        <v>41261</v>
      </c>
    </row>
    <row r="9778" spans="1:24">
      <c r="A9778">
        <f>HYPERLINK("https://www.philgeps.gov.ph/GEPSNONPILOT/Tender/SplashBidNoticeAbstractUI.aspx?menuIndex=3&amp;refID=7059887&amp;Result=3","7059887")</f>
        <v>0</v>
      </c>
      <c r="B9778" t="s">
        <v>1490</v>
      </c>
      <c r="C9778" t="s">
        <v>12715</v>
      </c>
      <c r="D9778" t="s">
        <v>16654</v>
      </c>
      <c r="E9778" t="s">
        <v>25219</v>
      </c>
      <c r="F9778" t="s">
        <v>28669</v>
      </c>
      <c r="G9778" t="s">
        <v>28675</v>
      </c>
      <c r="H9778" t="s">
        <v>28686</v>
      </c>
      <c r="I9778" t="s">
        <v>28689</v>
      </c>
      <c r="J9778" t="s">
        <v>29950</v>
      </c>
      <c r="K9778" t="s">
        <v>37212</v>
      </c>
      <c r="M9778" t="s">
        <v>39061</v>
      </c>
      <c r="N9778" t="s">
        <v>41249</v>
      </c>
      <c r="O9778" t="s">
        <v>41250</v>
      </c>
      <c r="P9778">
        <v>0</v>
      </c>
      <c r="Q9778">
        <v>2</v>
      </c>
      <c r="R9778" t="s">
        <v>41260</v>
      </c>
      <c r="S9778" t="s">
        <v>41624</v>
      </c>
      <c r="T9778" t="s">
        <v>42839</v>
      </c>
      <c r="U9778" t="s">
        <v>43343</v>
      </c>
      <c r="W9778" t="s">
        <v>39061</v>
      </c>
      <c r="X9778" t="s">
        <v>41261</v>
      </c>
    </row>
    <row r="9779" spans="1:24">
      <c r="A9779">
        <f>HYPERLINK("https://www.philgeps.gov.ph/GEPSNONPILOT/Tender/SplashBidNoticeAbstractUI.aspx?menuIndex=3&amp;refID=7059880&amp;Result=3","7059880")</f>
        <v>0</v>
      </c>
      <c r="B9779" t="s">
        <v>69</v>
      </c>
      <c r="C9779" t="s">
        <v>12716</v>
      </c>
      <c r="D9779" t="s">
        <v>16642</v>
      </c>
      <c r="E9779" t="s">
        <v>25220</v>
      </c>
      <c r="F9779" t="s">
        <v>28669</v>
      </c>
      <c r="G9779" t="s">
        <v>28675</v>
      </c>
      <c r="H9779" t="s">
        <v>28686</v>
      </c>
      <c r="I9779" t="s">
        <v>28689</v>
      </c>
      <c r="J9779" t="s">
        <v>34874</v>
      </c>
      <c r="K9779" t="s">
        <v>37215</v>
      </c>
      <c r="M9779" t="s">
        <v>40575</v>
      </c>
      <c r="N9779" t="s">
        <v>41249</v>
      </c>
      <c r="O9779" t="s">
        <v>41250</v>
      </c>
      <c r="P9779">
        <v>0</v>
      </c>
      <c r="Q9779">
        <v>0</v>
      </c>
      <c r="R9779" t="s">
        <v>41260</v>
      </c>
      <c r="S9779" t="s">
        <v>41624</v>
      </c>
      <c r="T9779" t="s">
        <v>42739</v>
      </c>
      <c r="U9779" t="s">
        <v>51076</v>
      </c>
      <c r="W9779" t="s">
        <v>40575</v>
      </c>
      <c r="X9779" t="s">
        <v>41261</v>
      </c>
    </row>
    <row r="9780" spans="1:24">
      <c r="A9780">
        <f>HYPERLINK("https://www.philgeps.gov.ph/GEPSNONPILOT/Tender/SplashBidNoticeAbstractUI.aspx?menuIndex=3&amp;refID=7059935&amp;Result=3","7059935")</f>
        <v>0</v>
      </c>
      <c r="B9780" t="s">
        <v>2840</v>
      </c>
      <c r="C9780" t="s">
        <v>12717</v>
      </c>
      <c r="D9780" t="s">
        <v>16611</v>
      </c>
      <c r="E9780" t="s">
        <v>25221</v>
      </c>
      <c r="F9780" t="s">
        <v>28669</v>
      </c>
      <c r="G9780" t="s">
        <v>28675</v>
      </c>
      <c r="H9780" t="s">
        <v>28686</v>
      </c>
      <c r="I9780" t="s">
        <v>7352</v>
      </c>
      <c r="J9780" t="s">
        <v>34875</v>
      </c>
      <c r="K9780" t="s">
        <v>37215</v>
      </c>
      <c r="L9780" t="s">
        <v>2840</v>
      </c>
      <c r="M9780" t="s">
        <v>40576</v>
      </c>
      <c r="N9780" t="s">
        <v>41249</v>
      </c>
      <c r="O9780" t="s">
        <v>41250</v>
      </c>
      <c r="P9780">
        <v>0</v>
      </c>
      <c r="Q9780">
        <v>1</v>
      </c>
      <c r="R9780" t="s">
        <v>41260</v>
      </c>
      <c r="S9780" t="s">
        <v>41624</v>
      </c>
      <c r="T9780" t="s">
        <v>42670</v>
      </c>
      <c r="U9780" t="s">
        <v>51077</v>
      </c>
      <c r="W9780" t="s">
        <v>40576</v>
      </c>
      <c r="X9780" t="s">
        <v>41261</v>
      </c>
    </row>
    <row r="9781" spans="1:24">
      <c r="A9781">
        <f>HYPERLINK("https://www.philgeps.gov.ph/GEPSNONPILOT/Tender/SplashBidNoticeAbstractUI.aspx?menuIndex=3&amp;refID=7059879&amp;Result=3","7059879")</f>
        <v>0</v>
      </c>
      <c r="B9781" t="s">
        <v>1490</v>
      </c>
      <c r="C9781" t="s">
        <v>12718</v>
      </c>
      <c r="D9781" t="s">
        <v>16654</v>
      </c>
      <c r="E9781" t="s">
        <v>25222</v>
      </c>
      <c r="F9781" t="s">
        <v>28669</v>
      </c>
      <c r="G9781" t="s">
        <v>28675</v>
      </c>
      <c r="H9781" t="s">
        <v>28686</v>
      </c>
      <c r="I9781" t="s">
        <v>28689</v>
      </c>
      <c r="J9781" t="s">
        <v>29950</v>
      </c>
      <c r="K9781" t="s">
        <v>37212</v>
      </c>
      <c r="M9781" t="s">
        <v>39061</v>
      </c>
      <c r="N9781" t="s">
        <v>41249</v>
      </c>
      <c r="O9781" t="s">
        <v>41250</v>
      </c>
      <c r="P9781">
        <v>0</v>
      </c>
      <c r="Q9781">
        <v>3</v>
      </c>
      <c r="R9781" t="s">
        <v>41260</v>
      </c>
      <c r="S9781" t="s">
        <v>41624</v>
      </c>
      <c r="T9781" t="s">
        <v>42839</v>
      </c>
      <c r="U9781" t="s">
        <v>51078</v>
      </c>
      <c r="W9781" t="s">
        <v>39061</v>
      </c>
      <c r="X9781" t="s">
        <v>41261</v>
      </c>
    </row>
    <row r="9782" spans="1:24">
      <c r="A9782">
        <f>HYPERLINK("https://www.philgeps.gov.ph/GEPSNONPILOT/Tender/SplashBidNoticeAbstractUI.aspx?menuIndex=3&amp;refID=7059868&amp;Result=3","7059868")</f>
        <v>0</v>
      </c>
      <c r="B9782" t="s">
        <v>2357</v>
      </c>
      <c r="C9782" t="s">
        <v>12719</v>
      </c>
      <c r="D9782" t="s">
        <v>16666</v>
      </c>
      <c r="E9782" t="s">
        <v>25223</v>
      </c>
      <c r="F9782" t="s">
        <v>28669</v>
      </c>
      <c r="G9782" t="s">
        <v>28675</v>
      </c>
      <c r="H9782" t="s">
        <v>28686</v>
      </c>
      <c r="I9782" t="s">
        <v>28689</v>
      </c>
      <c r="J9782" t="s">
        <v>34876</v>
      </c>
      <c r="K9782" t="s">
        <v>37215</v>
      </c>
      <c r="M9782" t="s">
        <v>40025</v>
      </c>
      <c r="N9782" t="s">
        <v>41249</v>
      </c>
      <c r="O9782" t="s">
        <v>41250</v>
      </c>
      <c r="P9782">
        <v>0</v>
      </c>
      <c r="Q9782">
        <v>0</v>
      </c>
      <c r="R9782" t="s">
        <v>41260</v>
      </c>
      <c r="S9782" t="s">
        <v>41624</v>
      </c>
      <c r="T9782" t="s">
        <v>42739</v>
      </c>
      <c r="U9782" t="s">
        <v>49315</v>
      </c>
      <c r="W9782" t="s">
        <v>40025</v>
      </c>
      <c r="X9782" t="s">
        <v>41261</v>
      </c>
    </row>
    <row r="9783" spans="1:24">
      <c r="A9783">
        <f>HYPERLINK("https://www.philgeps.gov.ph/GEPSNONPILOT/Tender/SplashBidNoticeAbstractUI.aspx?menuIndex=3&amp;refID=7059981&amp;Result=3","7059981")</f>
        <v>0</v>
      </c>
      <c r="B9783" t="s">
        <v>371</v>
      </c>
      <c r="C9783" t="s">
        <v>12720</v>
      </c>
      <c r="D9783" t="s">
        <v>16622</v>
      </c>
      <c r="E9783" t="s">
        <v>25224</v>
      </c>
      <c r="F9783" t="s">
        <v>28669</v>
      </c>
      <c r="G9783" t="s">
        <v>28675</v>
      </c>
      <c r="H9783" t="s">
        <v>9998</v>
      </c>
      <c r="I9783" t="s">
        <v>28688</v>
      </c>
      <c r="J9783" t="s">
        <v>34877</v>
      </c>
      <c r="K9783" t="s">
        <v>37205</v>
      </c>
      <c r="M9783" t="s">
        <v>37853</v>
      </c>
      <c r="N9783" t="s">
        <v>41249</v>
      </c>
      <c r="O9783" t="s">
        <v>41250</v>
      </c>
      <c r="P9783">
        <v>0</v>
      </c>
      <c r="Q9783">
        <v>2</v>
      </c>
      <c r="R9783" t="s">
        <v>41260</v>
      </c>
      <c r="S9783" t="s">
        <v>41624</v>
      </c>
      <c r="T9783" t="s">
        <v>42679</v>
      </c>
      <c r="U9783" t="s">
        <v>51079</v>
      </c>
      <c r="W9783" t="s">
        <v>37853</v>
      </c>
      <c r="X9783" t="s">
        <v>41261</v>
      </c>
    </row>
    <row r="9784" spans="1:24">
      <c r="A9784">
        <f>HYPERLINK("https://www.philgeps.gov.ph/GEPSNONPILOT/Tender/SplashBidNoticeAbstractUI.aspx?menuIndex=3&amp;refID=7059917&amp;Result=3","7059917")</f>
        <v>0</v>
      </c>
      <c r="B9784" t="s">
        <v>2774</v>
      </c>
      <c r="C9784" t="s">
        <v>12721</v>
      </c>
      <c r="D9784" t="s">
        <v>16642</v>
      </c>
      <c r="E9784" t="s">
        <v>25225</v>
      </c>
      <c r="F9784" t="s">
        <v>28669</v>
      </c>
      <c r="G9784" t="s">
        <v>28675</v>
      </c>
      <c r="H9784" t="s">
        <v>28686</v>
      </c>
      <c r="I9784" t="s">
        <v>28689</v>
      </c>
      <c r="J9784" t="s">
        <v>28836</v>
      </c>
      <c r="K9784" t="s">
        <v>37220</v>
      </c>
      <c r="M9784" t="s">
        <v>40497</v>
      </c>
      <c r="N9784" t="s">
        <v>41249</v>
      </c>
      <c r="O9784" t="s">
        <v>41250</v>
      </c>
      <c r="P9784">
        <v>0</v>
      </c>
      <c r="Q9784">
        <v>0</v>
      </c>
      <c r="R9784" t="s">
        <v>41260</v>
      </c>
      <c r="S9784" t="s">
        <v>41624</v>
      </c>
      <c r="T9784" t="s">
        <v>42760</v>
      </c>
      <c r="U9784" t="s">
        <v>51080</v>
      </c>
      <c r="V9784" t="s">
        <v>55308</v>
      </c>
      <c r="W9784" t="s">
        <v>40497</v>
      </c>
      <c r="X9784" t="s">
        <v>41261</v>
      </c>
    </row>
    <row r="9785" spans="1:24">
      <c r="A9785">
        <f>HYPERLINK("https://www.philgeps.gov.ph/GEPSNONPILOT/Tender/SplashBidNoticeAbstractUI.aspx?menuIndex=3&amp;refID=7060017&amp;Result=3","7060017")</f>
        <v>0</v>
      </c>
      <c r="B9785" t="s">
        <v>2841</v>
      </c>
      <c r="C9785" t="s">
        <v>12722</v>
      </c>
      <c r="D9785" t="s">
        <v>16613</v>
      </c>
      <c r="E9785" t="s">
        <v>25226</v>
      </c>
      <c r="F9785" t="s">
        <v>28669</v>
      </c>
      <c r="G9785" t="s">
        <v>28675</v>
      </c>
      <c r="H9785" t="s">
        <v>9998</v>
      </c>
      <c r="I9785" t="s">
        <v>28706</v>
      </c>
      <c r="J9785" t="s">
        <v>28836</v>
      </c>
      <c r="K9785" t="s">
        <v>37204</v>
      </c>
      <c r="M9785" t="s">
        <v>40577</v>
      </c>
      <c r="N9785" t="s">
        <v>41249</v>
      </c>
      <c r="O9785" t="s">
        <v>41250</v>
      </c>
      <c r="P9785">
        <v>0</v>
      </c>
      <c r="Q9785">
        <v>3</v>
      </c>
      <c r="R9785" t="s">
        <v>41260</v>
      </c>
      <c r="S9785" t="s">
        <v>41624</v>
      </c>
      <c r="T9785" t="s">
        <v>43102</v>
      </c>
      <c r="U9785" t="s">
        <v>51081</v>
      </c>
      <c r="V9785" t="s">
        <v>55339</v>
      </c>
      <c r="W9785" t="s">
        <v>40577</v>
      </c>
      <c r="X9785" t="s">
        <v>41261</v>
      </c>
    </row>
    <row r="9786" spans="1:24">
      <c r="A9786">
        <f>HYPERLINK("https://www.philgeps.gov.ph/GEPSNONPILOT/Tender/SplashBidNoticeAbstractUI.aspx?menuIndex=3&amp;refID=7060001&amp;Result=3","7060001")</f>
        <v>0</v>
      </c>
      <c r="B9786" t="s">
        <v>2842</v>
      </c>
      <c r="C9786" t="s">
        <v>12723</v>
      </c>
      <c r="D9786" t="s">
        <v>16616</v>
      </c>
      <c r="E9786" t="s">
        <v>25227</v>
      </c>
      <c r="F9786" t="s">
        <v>28669</v>
      </c>
      <c r="G9786" t="s">
        <v>28675</v>
      </c>
      <c r="H9786" t="s">
        <v>9998</v>
      </c>
      <c r="I9786" t="s">
        <v>7352</v>
      </c>
      <c r="J9786" t="s">
        <v>34878</v>
      </c>
      <c r="K9786" t="s">
        <v>37210</v>
      </c>
      <c r="M9786" t="s">
        <v>40578</v>
      </c>
      <c r="N9786" t="s">
        <v>41249</v>
      </c>
      <c r="O9786" t="s">
        <v>41250</v>
      </c>
      <c r="P9786">
        <v>0</v>
      </c>
      <c r="Q9786">
        <v>0</v>
      </c>
      <c r="R9786" t="s">
        <v>41260</v>
      </c>
      <c r="S9786" t="s">
        <v>41624</v>
      </c>
      <c r="T9786" t="s">
        <v>42739</v>
      </c>
      <c r="U9786" t="s">
        <v>51082</v>
      </c>
      <c r="V9786" t="s">
        <v>55340</v>
      </c>
      <c r="W9786" t="s">
        <v>40578</v>
      </c>
      <c r="X9786" t="s">
        <v>41261</v>
      </c>
    </row>
    <row r="9787" spans="1:24">
      <c r="A9787">
        <f>HYPERLINK("https://www.philgeps.gov.ph/GEPSNONPILOT/Tender/SplashBidNoticeAbstractUI.aspx?menuIndex=3&amp;refID=7059995&amp;Result=3","7059995")</f>
        <v>0</v>
      </c>
      <c r="B9787" t="s">
        <v>2597</v>
      </c>
      <c r="C9787" t="s">
        <v>12724</v>
      </c>
      <c r="D9787" t="s">
        <v>16626</v>
      </c>
      <c r="E9787" t="s">
        <v>19162</v>
      </c>
      <c r="F9787" t="s">
        <v>28669</v>
      </c>
      <c r="G9787" t="s">
        <v>28675</v>
      </c>
      <c r="H9787" t="s">
        <v>9998</v>
      </c>
      <c r="I9787" t="s">
        <v>6128</v>
      </c>
      <c r="J9787" t="s">
        <v>29110</v>
      </c>
      <c r="K9787" t="s">
        <v>37234</v>
      </c>
      <c r="M9787" t="s">
        <v>40292</v>
      </c>
      <c r="N9787" t="s">
        <v>41249</v>
      </c>
      <c r="O9787" t="s">
        <v>41250</v>
      </c>
      <c r="P9787">
        <v>0</v>
      </c>
      <c r="Q9787">
        <v>1</v>
      </c>
      <c r="R9787" t="s">
        <v>41260</v>
      </c>
      <c r="S9787" t="s">
        <v>41624</v>
      </c>
      <c r="T9787" t="s">
        <v>42882</v>
      </c>
      <c r="U9787" t="s">
        <v>51083</v>
      </c>
      <c r="W9787" t="s">
        <v>40292</v>
      </c>
      <c r="X9787" t="s">
        <v>41261</v>
      </c>
    </row>
    <row r="9788" spans="1:24">
      <c r="A9788">
        <f>HYPERLINK("https://www.philgeps.gov.ph/GEPSNONPILOT/Tender/SplashBidNoticeAbstractUI.aspx?menuIndex=3&amp;refID=7059992&amp;Result=3","7059992")</f>
        <v>0</v>
      </c>
      <c r="B9788" t="s">
        <v>2832</v>
      </c>
      <c r="C9788" t="s">
        <v>12725</v>
      </c>
      <c r="D9788" t="s">
        <v>16610</v>
      </c>
      <c r="E9788" t="s">
        <v>25228</v>
      </c>
      <c r="F9788" t="s">
        <v>28669</v>
      </c>
      <c r="G9788" t="s">
        <v>28675</v>
      </c>
      <c r="H9788" t="s">
        <v>28686</v>
      </c>
      <c r="I9788" t="s">
        <v>28689</v>
      </c>
      <c r="J9788" t="s">
        <v>34879</v>
      </c>
      <c r="K9788" t="s">
        <v>37206</v>
      </c>
      <c r="L9788" t="s">
        <v>2832</v>
      </c>
      <c r="M9788" t="s">
        <v>40566</v>
      </c>
      <c r="N9788" t="s">
        <v>41249</v>
      </c>
      <c r="O9788" t="s">
        <v>41250</v>
      </c>
      <c r="P9788">
        <v>0</v>
      </c>
      <c r="Q9788">
        <v>0</v>
      </c>
      <c r="R9788" t="s">
        <v>41260</v>
      </c>
      <c r="S9788" t="s">
        <v>41624</v>
      </c>
      <c r="T9788" t="s">
        <v>42674</v>
      </c>
      <c r="U9788" t="s">
        <v>51048</v>
      </c>
      <c r="W9788" t="s">
        <v>40566</v>
      </c>
      <c r="X9788" t="s">
        <v>41261</v>
      </c>
    </row>
    <row r="9789" spans="1:24">
      <c r="A9789">
        <f>HYPERLINK("https://www.philgeps.gov.ph/GEPSNONPILOT/Tender/SplashBidNoticeAbstractUI.aspx?menuIndex=3&amp;refID=7059896&amp;Result=3","7059896")</f>
        <v>0</v>
      </c>
      <c r="B9789" t="s">
        <v>2843</v>
      </c>
      <c r="C9789" t="s">
        <v>12726</v>
      </c>
      <c r="D9789" t="s">
        <v>16631</v>
      </c>
      <c r="E9789" t="s">
        <v>25229</v>
      </c>
      <c r="F9789" t="s">
        <v>28669</v>
      </c>
      <c r="G9789" t="s">
        <v>28675</v>
      </c>
      <c r="H9789" t="s">
        <v>9998</v>
      </c>
      <c r="I9789" t="s">
        <v>8667</v>
      </c>
      <c r="J9789" t="s">
        <v>28905</v>
      </c>
      <c r="K9789" t="s">
        <v>37205</v>
      </c>
      <c r="M9789" t="s">
        <v>40579</v>
      </c>
      <c r="N9789" t="s">
        <v>41249</v>
      </c>
      <c r="O9789" t="s">
        <v>41250</v>
      </c>
      <c r="P9789">
        <v>0</v>
      </c>
      <c r="Q9789">
        <v>0</v>
      </c>
      <c r="R9789" t="s">
        <v>41260</v>
      </c>
      <c r="S9789" t="s">
        <v>41624</v>
      </c>
      <c r="T9789" t="s">
        <v>42742</v>
      </c>
      <c r="U9789" t="s">
        <v>51084</v>
      </c>
      <c r="V9789" t="s">
        <v>55341</v>
      </c>
      <c r="W9789" t="s">
        <v>40579</v>
      </c>
      <c r="X9789" t="s">
        <v>41261</v>
      </c>
    </row>
    <row r="9790" spans="1:24">
      <c r="A9790">
        <f>HYPERLINK("https://www.philgeps.gov.ph/GEPSNONPILOT/Tender/SplashBidNoticeAbstractUI.aspx?menuIndex=3&amp;refID=7059971&amp;Result=3","7059971")</f>
        <v>0</v>
      </c>
      <c r="B9790" t="s">
        <v>2840</v>
      </c>
      <c r="C9790" t="s">
        <v>12727</v>
      </c>
      <c r="E9790" t="s">
        <v>25230</v>
      </c>
      <c r="F9790" t="s">
        <v>28669</v>
      </c>
      <c r="G9790" t="s">
        <v>28675</v>
      </c>
      <c r="H9790" t="s">
        <v>9998</v>
      </c>
      <c r="I9790" t="s">
        <v>3658</v>
      </c>
      <c r="J9790" t="s">
        <v>28905</v>
      </c>
      <c r="K9790" t="s">
        <v>37220</v>
      </c>
      <c r="L9790" t="s">
        <v>2840</v>
      </c>
      <c r="M9790" t="s">
        <v>40576</v>
      </c>
      <c r="N9790" t="s">
        <v>41249</v>
      </c>
      <c r="O9790" t="s">
        <v>41250</v>
      </c>
      <c r="P9790">
        <v>0</v>
      </c>
      <c r="Q9790">
        <v>0</v>
      </c>
      <c r="R9790" t="s">
        <v>41260</v>
      </c>
      <c r="S9790" t="s">
        <v>41624</v>
      </c>
      <c r="T9790" t="s">
        <v>42670</v>
      </c>
      <c r="U9790" t="s">
        <v>51085</v>
      </c>
      <c r="W9790" t="s">
        <v>40576</v>
      </c>
      <c r="X9790" t="s">
        <v>41261</v>
      </c>
    </row>
    <row r="9791" spans="1:24">
      <c r="A9791">
        <f>HYPERLINK("https://www.philgeps.gov.ph/GEPSNONPILOT/Tender/SplashBidNoticeAbstractUI.aspx?menuIndex=3&amp;refID=7059447&amp;Result=3","7059447")</f>
        <v>0</v>
      </c>
      <c r="B9791" t="s">
        <v>1084</v>
      </c>
      <c r="C9791" t="s">
        <v>12728</v>
      </c>
      <c r="D9791" t="s">
        <v>16667</v>
      </c>
      <c r="E9791" t="s">
        <v>25189</v>
      </c>
      <c r="F9791" t="s">
        <v>28669</v>
      </c>
      <c r="G9791" t="s">
        <v>28675</v>
      </c>
      <c r="H9791" t="s">
        <v>9998</v>
      </c>
      <c r="I9791" t="s">
        <v>15140</v>
      </c>
      <c r="J9791" t="s">
        <v>29537</v>
      </c>
      <c r="K9791" t="s">
        <v>37220</v>
      </c>
      <c r="M9791" t="s">
        <v>38616</v>
      </c>
      <c r="N9791" t="s">
        <v>41249</v>
      </c>
      <c r="O9791" t="s">
        <v>41250</v>
      </c>
      <c r="P9791">
        <v>0</v>
      </c>
      <c r="Q9791">
        <v>0</v>
      </c>
      <c r="R9791" t="s">
        <v>41260</v>
      </c>
      <c r="S9791" t="s">
        <v>41624</v>
      </c>
      <c r="T9791" t="s">
        <v>42836</v>
      </c>
      <c r="U9791" t="s">
        <v>51086</v>
      </c>
      <c r="W9791" t="s">
        <v>38616</v>
      </c>
      <c r="X9791" t="s">
        <v>41261</v>
      </c>
    </row>
    <row r="9792" spans="1:24">
      <c r="A9792">
        <f>HYPERLINK("https://www.philgeps.gov.ph/GEPSNONPILOT/Tender/SplashBidNoticeAbstractUI.aspx?menuIndex=3&amp;refID=7059968&amp;Result=3","7059968")</f>
        <v>0</v>
      </c>
      <c r="B9792" t="s">
        <v>65</v>
      </c>
      <c r="C9792" t="s">
        <v>12729</v>
      </c>
      <c r="D9792" t="s">
        <v>16626</v>
      </c>
      <c r="E9792" t="s">
        <v>25231</v>
      </c>
      <c r="F9792" t="s">
        <v>28669</v>
      </c>
      <c r="G9792" t="s">
        <v>28675</v>
      </c>
      <c r="H9792" t="s">
        <v>28686</v>
      </c>
      <c r="I9792" t="s">
        <v>28689</v>
      </c>
      <c r="J9792" t="s">
        <v>29047</v>
      </c>
      <c r="K9792" t="s">
        <v>37431</v>
      </c>
      <c r="M9792" t="s">
        <v>37540</v>
      </c>
      <c r="N9792" t="s">
        <v>41249</v>
      </c>
      <c r="O9792" t="s">
        <v>41250</v>
      </c>
      <c r="P9792">
        <v>0</v>
      </c>
      <c r="Q9792">
        <v>12</v>
      </c>
      <c r="R9792" t="s">
        <v>41260</v>
      </c>
      <c r="S9792" t="s">
        <v>41624</v>
      </c>
      <c r="T9792" t="s">
        <v>42836</v>
      </c>
      <c r="U9792" t="s">
        <v>51087</v>
      </c>
      <c r="W9792" t="s">
        <v>56016</v>
      </c>
      <c r="X9792" t="s">
        <v>41261</v>
      </c>
    </row>
    <row r="9793" spans="1:24">
      <c r="A9793">
        <f>HYPERLINK("https://www.philgeps.gov.ph/GEPSNONPILOT/Tender/SplashBidNoticeAbstractUI.aspx?menuIndex=3&amp;refID=7059967&amp;Result=3","7059967")</f>
        <v>0</v>
      </c>
      <c r="B9793" t="s">
        <v>864</v>
      </c>
      <c r="C9793" t="s">
        <v>12730</v>
      </c>
      <c r="D9793" t="s">
        <v>16608</v>
      </c>
      <c r="E9793" t="s">
        <v>25232</v>
      </c>
      <c r="F9793" t="s">
        <v>28669</v>
      </c>
      <c r="G9793" t="s">
        <v>28676</v>
      </c>
      <c r="H9793" t="s">
        <v>9998</v>
      </c>
      <c r="I9793" t="s">
        <v>28708</v>
      </c>
      <c r="J9793" t="s">
        <v>28931</v>
      </c>
      <c r="K9793" t="s">
        <v>37206</v>
      </c>
      <c r="M9793" t="s">
        <v>40580</v>
      </c>
      <c r="N9793" t="s">
        <v>41249</v>
      </c>
      <c r="O9793" t="s">
        <v>41250</v>
      </c>
      <c r="P9793">
        <v>0</v>
      </c>
      <c r="Q9793">
        <v>19</v>
      </c>
      <c r="R9793" t="s">
        <v>41260</v>
      </c>
      <c r="S9793" t="s">
        <v>41624</v>
      </c>
      <c r="T9793" t="s">
        <v>42774</v>
      </c>
      <c r="U9793" t="s">
        <v>44894</v>
      </c>
      <c r="W9793" t="s">
        <v>40580</v>
      </c>
      <c r="X9793" t="s">
        <v>41261</v>
      </c>
    </row>
    <row r="9794" spans="1:24">
      <c r="A9794">
        <f>HYPERLINK("https://www.philgeps.gov.ph/GEPSNONPILOT/Tender/SplashBidNoticeAbstractUI.aspx?menuIndex=3&amp;refID=7059957&amp;Result=3","7059957")</f>
        <v>0</v>
      </c>
      <c r="B9794" t="s">
        <v>1738</v>
      </c>
      <c r="C9794" t="s">
        <v>12731</v>
      </c>
      <c r="D9794" t="s">
        <v>16651</v>
      </c>
      <c r="E9794" t="s">
        <v>25233</v>
      </c>
      <c r="F9794" t="s">
        <v>28669</v>
      </c>
      <c r="G9794" t="s">
        <v>28675</v>
      </c>
      <c r="H9794" t="s">
        <v>28686</v>
      </c>
      <c r="I9794" t="s">
        <v>28689</v>
      </c>
      <c r="J9794" t="s">
        <v>28914</v>
      </c>
      <c r="K9794" t="s">
        <v>37207</v>
      </c>
      <c r="M9794" t="s">
        <v>39339</v>
      </c>
      <c r="N9794" t="s">
        <v>41249</v>
      </c>
      <c r="O9794" t="s">
        <v>41250</v>
      </c>
      <c r="P9794">
        <v>0</v>
      </c>
      <c r="Q9794">
        <v>0</v>
      </c>
      <c r="R9794" t="s">
        <v>41260</v>
      </c>
      <c r="S9794" t="s">
        <v>41624</v>
      </c>
      <c r="T9794" t="s">
        <v>43103</v>
      </c>
      <c r="U9794" t="s">
        <v>51088</v>
      </c>
      <c r="W9794" t="s">
        <v>39339</v>
      </c>
      <c r="X9794" t="s">
        <v>41261</v>
      </c>
    </row>
    <row r="9795" spans="1:24">
      <c r="A9795">
        <f>HYPERLINK("https://www.philgeps.gov.ph/GEPSNONPILOT/Tender/SplashBidNoticeAbstractUI.aspx?menuIndex=3&amp;refID=7060000&amp;Result=3","7060000")</f>
        <v>0</v>
      </c>
      <c r="B9795" t="s">
        <v>181</v>
      </c>
      <c r="C9795" t="s">
        <v>12732</v>
      </c>
      <c r="D9795" t="s">
        <v>16647</v>
      </c>
      <c r="E9795" t="s">
        <v>25234</v>
      </c>
      <c r="F9795" t="s">
        <v>28669</v>
      </c>
      <c r="G9795" t="s">
        <v>28675</v>
      </c>
      <c r="H9795" t="s">
        <v>9998</v>
      </c>
      <c r="I9795" t="s">
        <v>6458</v>
      </c>
      <c r="J9795" t="s">
        <v>34880</v>
      </c>
      <c r="K9795" t="s">
        <v>37210</v>
      </c>
      <c r="M9795" t="s">
        <v>37658</v>
      </c>
      <c r="N9795" t="s">
        <v>41249</v>
      </c>
      <c r="O9795" t="s">
        <v>41250</v>
      </c>
      <c r="P9795">
        <v>0</v>
      </c>
      <c r="Q9795">
        <v>0</v>
      </c>
      <c r="R9795" t="s">
        <v>41260</v>
      </c>
      <c r="S9795" t="s">
        <v>41624</v>
      </c>
      <c r="T9795" t="s">
        <v>42914</v>
      </c>
      <c r="U9795" t="s">
        <v>51089</v>
      </c>
      <c r="W9795" t="s">
        <v>37658</v>
      </c>
      <c r="X9795" t="s">
        <v>41261</v>
      </c>
    </row>
    <row r="9796" spans="1:24">
      <c r="A9796">
        <f>HYPERLINK("https://www.philgeps.gov.ph/GEPSNONPILOT/Tender/SplashBidNoticeAbstractUI.aspx?menuIndex=3&amp;refID=7059211&amp;Result=3","7059211")</f>
        <v>0</v>
      </c>
      <c r="B9796" t="s">
        <v>2710</v>
      </c>
      <c r="C9796" t="s">
        <v>12733</v>
      </c>
      <c r="D9796" t="s">
        <v>16662</v>
      </c>
      <c r="E9796" t="s">
        <v>25235</v>
      </c>
      <c r="F9796" t="s">
        <v>28669</v>
      </c>
      <c r="G9796" t="s">
        <v>28675</v>
      </c>
      <c r="H9796" t="s">
        <v>9998</v>
      </c>
      <c r="I9796" t="s">
        <v>5286</v>
      </c>
      <c r="J9796" t="s">
        <v>34881</v>
      </c>
      <c r="K9796" t="s">
        <v>37206</v>
      </c>
      <c r="M9796" t="s">
        <v>40421</v>
      </c>
      <c r="N9796" t="s">
        <v>41249</v>
      </c>
      <c r="O9796" t="s">
        <v>41250</v>
      </c>
      <c r="P9796">
        <v>0</v>
      </c>
      <c r="Q9796">
        <v>3</v>
      </c>
      <c r="R9796" t="s">
        <v>41260</v>
      </c>
      <c r="S9796" t="s">
        <v>41624</v>
      </c>
      <c r="T9796" t="s">
        <v>42659</v>
      </c>
      <c r="U9796" t="s">
        <v>51090</v>
      </c>
      <c r="W9796" t="s">
        <v>40421</v>
      </c>
      <c r="X9796" t="s">
        <v>41261</v>
      </c>
    </row>
    <row r="9797" spans="1:24">
      <c r="A9797">
        <f>HYPERLINK("https://www.philgeps.gov.ph/GEPSNONPILOT/Tender/SplashBidNoticeAbstractUI.aspx?menuIndex=3&amp;refID=7059946&amp;Result=3","7059946")</f>
        <v>0</v>
      </c>
      <c r="B9797" t="s">
        <v>2840</v>
      </c>
      <c r="C9797" t="s">
        <v>12734</v>
      </c>
      <c r="D9797" t="s">
        <v>16611</v>
      </c>
      <c r="E9797" t="s">
        <v>25221</v>
      </c>
      <c r="F9797" t="s">
        <v>28669</v>
      </c>
      <c r="G9797" t="s">
        <v>28675</v>
      </c>
      <c r="H9797" t="s">
        <v>28686</v>
      </c>
      <c r="I9797" t="s">
        <v>28689</v>
      </c>
      <c r="J9797" t="s">
        <v>34882</v>
      </c>
      <c r="K9797" t="s">
        <v>37215</v>
      </c>
      <c r="L9797" t="s">
        <v>2840</v>
      </c>
      <c r="M9797" t="s">
        <v>40576</v>
      </c>
      <c r="N9797" t="s">
        <v>41249</v>
      </c>
      <c r="O9797" t="s">
        <v>41250</v>
      </c>
      <c r="P9797">
        <v>0</v>
      </c>
      <c r="Q9797">
        <v>0</v>
      </c>
      <c r="R9797" t="s">
        <v>41260</v>
      </c>
      <c r="S9797" t="s">
        <v>41624</v>
      </c>
      <c r="T9797" t="s">
        <v>42670</v>
      </c>
      <c r="U9797" t="s">
        <v>51091</v>
      </c>
      <c r="W9797" t="s">
        <v>40576</v>
      </c>
      <c r="X9797" t="s">
        <v>41261</v>
      </c>
    </row>
    <row r="9798" spans="1:24">
      <c r="A9798">
        <f>HYPERLINK("https://www.philgeps.gov.ph/GEPSNONPILOT/Tender/SplashBidNoticeAbstractUI.aspx?menuIndex=3&amp;refID=7059976&amp;Result=3","7059976")</f>
        <v>0</v>
      </c>
      <c r="B9798" t="s">
        <v>2093</v>
      </c>
      <c r="C9798" t="s">
        <v>12735</v>
      </c>
      <c r="D9798" t="s">
        <v>16664</v>
      </c>
      <c r="E9798" t="s">
        <v>16820</v>
      </c>
      <c r="F9798" t="s">
        <v>28669</v>
      </c>
      <c r="G9798" t="s">
        <v>28675</v>
      </c>
      <c r="H9798" t="s">
        <v>28684</v>
      </c>
      <c r="I9798" t="s">
        <v>7352</v>
      </c>
      <c r="J9798" t="s">
        <v>33816</v>
      </c>
      <c r="K9798" t="s">
        <v>37205</v>
      </c>
      <c r="M9798" t="s">
        <v>39735</v>
      </c>
      <c r="N9798" t="s">
        <v>41249</v>
      </c>
      <c r="O9798" t="s">
        <v>41250</v>
      </c>
      <c r="P9798">
        <v>0</v>
      </c>
      <c r="Q9798">
        <v>0</v>
      </c>
      <c r="R9798" t="s">
        <v>41260</v>
      </c>
      <c r="S9798" t="s">
        <v>41624</v>
      </c>
      <c r="T9798" t="s">
        <v>42698</v>
      </c>
      <c r="U9798" t="s">
        <v>51092</v>
      </c>
      <c r="W9798" t="s">
        <v>39735</v>
      </c>
      <c r="X9798" t="s">
        <v>41261</v>
      </c>
    </row>
    <row r="9799" spans="1:24">
      <c r="A9799">
        <f>HYPERLINK("https://www.philgeps.gov.ph/GEPSNONPILOT/Tender/SplashBidNoticeAbstractUI.aspx?menuIndex=3&amp;refID=7059945&amp;Result=3","7059945")</f>
        <v>0</v>
      </c>
      <c r="B9799" t="s">
        <v>1129</v>
      </c>
      <c r="C9799" t="s">
        <v>12736</v>
      </c>
      <c r="D9799" t="s">
        <v>16612</v>
      </c>
      <c r="E9799" t="s">
        <v>17947</v>
      </c>
      <c r="F9799" t="s">
        <v>28669</v>
      </c>
      <c r="G9799" t="s">
        <v>28675</v>
      </c>
      <c r="H9799" t="s">
        <v>9998</v>
      </c>
      <c r="I9799" t="s">
        <v>28694</v>
      </c>
      <c r="J9799" t="s">
        <v>29593</v>
      </c>
      <c r="K9799" t="s">
        <v>37206</v>
      </c>
      <c r="M9799" t="s">
        <v>38663</v>
      </c>
      <c r="N9799" t="s">
        <v>41249</v>
      </c>
      <c r="O9799" t="s">
        <v>41250</v>
      </c>
      <c r="P9799">
        <v>0</v>
      </c>
      <c r="Q9799">
        <v>1</v>
      </c>
      <c r="R9799" t="s">
        <v>41260</v>
      </c>
      <c r="S9799" t="s">
        <v>41624</v>
      </c>
      <c r="T9799" t="s">
        <v>42659</v>
      </c>
      <c r="U9799" t="s">
        <v>51093</v>
      </c>
      <c r="W9799" t="s">
        <v>38663</v>
      </c>
      <c r="X9799" t="s">
        <v>41261</v>
      </c>
    </row>
    <row r="9800" spans="1:24">
      <c r="A9800">
        <f>HYPERLINK("https://www.philgeps.gov.ph/GEPSNONPILOT/Tender/SplashBidNoticeAbstractUI.aspx?menuIndex=3&amp;refID=7059944&amp;Result=3","7059944")</f>
        <v>0</v>
      </c>
      <c r="B9800" t="s">
        <v>602</v>
      </c>
      <c r="C9800" t="s">
        <v>12737</v>
      </c>
      <c r="D9800" t="s">
        <v>16661</v>
      </c>
      <c r="E9800" t="s">
        <v>25236</v>
      </c>
      <c r="F9800" t="s">
        <v>28669</v>
      </c>
      <c r="G9800" t="s">
        <v>28675</v>
      </c>
      <c r="H9800" t="s">
        <v>9998</v>
      </c>
      <c r="I9800" t="s">
        <v>28717</v>
      </c>
      <c r="J9800" t="s">
        <v>28836</v>
      </c>
      <c r="K9800" t="s">
        <v>37205</v>
      </c>
      <c r="M9800" t="s">
        <v>38102</v>
      </c>
      <c r="N9800" t="s">
        <v>41249</v>
      </c>
      <c r="O9800" t="s">
        <v>41250</v>
      </c>
      <c r="P9800">
        <v>0</v>
      </c>
      <c r="Q9800">
        <v>16</v>
      </c>
      <c r="R9800" t="s">
        <v>41260</v>
      </c>
      <c r="S9800" t="s">
        <v>41624</v>
      </c>
      <c r="T9800" t="s">
        <v>42658</v>
      </c>
      <c r="U9800" t="s">
        <v>51094</v>
      </c>
      <c r="W9800" t="s">
        <v>38102</v>
      </c>
      <c r="X9800" t="s">
        <v>41261</v>
      </c>
    </row>
    <row r="9801" spans="1:24">
      <c r="A9801">
        <f>HYPERLINK("https://www.philgeps.gov.ph/GEPSNONPILOT/Tender/SplashBidNoticeAbstractUI.aspx?menuIndex=3&amp;refID=7059939&amp;Result=3","7059939")</f>
        <v>0</v>
      </c>
      <c r="B9801" t="s">
        <v>2842</v>
      </c>
      <c r="C9801" t="s">
        <v>12738</v>
      </c>
      <c r="D9801" t="s">
        <v>16616</v>
      </c>
      <c r="E9801" t="s">
        <v>25237</v>
      </c>
      <c r="F9801" t="s">
        <v>28669</v>
      </c>
      <c r="G9801" t="s">
        <v>28675</v>
      </c>
      <c r="H9801" t="s">
        <v>9998</v>
      </c>
      <c r="I9801" t="s">
        <v>7352</v>
      </c>
      <c r="J9801" t="s">
        <v>34883</v>
      </c>
      <c r="K9801" t="s">
        <v>37210</v>
      </c>
      <c r="M9801" t="s">
        <v>40578</v>
      </c>
      <c r="N9801" t="s">
        <v>41249</v>
      </c>
      <c r="O9801" t="s">
        <v>41250</v>
      </c>
      <c r="P9801">
        <v>0</v>
      </c>
      <c r="Q9801">
        <v>0</v>
      </c>
      <c r="R9801" t="s">
        <v>41260</v>
      </c>
      <c r="S9801" t="s">
        <v>41624</v>
      </c>
      <c r="T9801" t="s">
        <v>42712</v>
      </c>
      <c r="U9801" t="s">
        <v>51095</v>
      </c>
      <c r="V9801" t="s">
        <v>55340</v>
      </c>
      <c r="W9801" t="s">
        <v>40578</v>
      </c>
      <c r="X9801" t="s">
        <v>41261</v>
      </c>
    </row>
    <row r="9802" spans="1:24">
      <c r="A9802">
        <f>HYPERLINK("https://www.philgeps.gov.ph/GEPSNONPILOT/Tender/SplashBidNoticeAbstractUI.aspx?menuIndex=3&amp;refID=7059863&amp;Result=3","7059863")</f>
        <v>0</v>
      </c>
      <c r="B9802" t="s">
        <v>2844</v>
      </c>
      <c r="C9802" t="s">
        <v>12739</v>
      </c>
      <c r="D9802" t="s">
        <v>16618</v>
      </c>
      <c r="E9802" t="s">
        <v>25238</v>
      </c>
      <c r="F9802" t="s">
        <v>28669</v>
      </c>
      <c r="G9802" t="s">
        <v>28675</v>
      </c>
      <c r="H9802" t="s">
        <v>9998</v>
      </c>
      <c r="I9802" t="s">
        <v>28691</v>
      </c>
      <c r="J9802" t="s">
        <v>34884</v>
      </c>
      <c r="K9802" t="s">
        <v>37213</v>
      </c>
      <c r="M9802" t="s">
        <v>40581</v>
      </c>
      <c r="N9802" t="s">
        <v>41249</v>
      </c>
      <c r="O9802" t="s">
        <v>41250</v>
      </c>
      <c r="P9802">
        <v>0</v>
      </c>
      <c r="Q9802">
        <v>0</v>
      </c>
      <c r="R9802" t="s">
        <v>41260</v>
      </c>
      <c r="S9802" t="s">
        <v>41624</v>
      </c>
      <c r="T9802" t="s">
        <v>42712</v>
      </c>
      <c r="U9802" t="s">
        <v>51096</v>
      </c>
      <c r="W9802" t="s">
        <v>40581</v>
      </c>
      <c r="X9802" t="s">
        <v>41261</v>
      </c>
    </row>
    <row r="9803" spans="1:24">
      <c r="A9803">
        <f>HYPERLINK("https://www.philgeps.gov.ph/GEPSNONPILOT/Tender/SplashBidNoticeAbstractUI.aspx?menuIndex=3&amp;refID=7059962&amp;Result=3","7059962")</f>
        <v>0</v>
      </c>
      <c r="B9803" t="s">
        <v>195</v>
      </c>
      <c r="C9803" t="s">
        <v>12740</v>
      </c>
      <c r="D9803" t="s">
        <v>16636</v>
      </c>
      <c r="E9803" t="s">
        <v>25239</v>
      </c>
      <c r="F9803" t="s">
        <v>28669</v>
      </c>
      <c r="G9803" t="s">
        <v>28675</v>
      </c>
      <c r="H9803" t="s">
        <v>9998</v>
      </c>
      <c r="I9803" t="s">
        <v>3679</v>
      </c>
      <c r="J9803" t="s">
        <v>34885</v>
      </c>
      <c r="K9803" t="s">
        <v>37206</v>
      </c>
      <c r="M9803" t="s">
        <v>37673</v>
      </c>
      <c r="N9803" t="s">
        <v>41249</v>
      </c>
      <c r="O9803" t="s">
        <v>41250</v>
      </c>
      <c r="P9803">
        <v>0</v>
      </c>
      <c r="Q9803">
        <v>0</v>
      </c>
      <c r="R9803" t="s">
        <v>41260</v>
      </c>
      <c r="S9803" t="s">
        <v>41624</v>
      </c>
      <c r="T9803" t="s">
        <v>43104</v>
      </c>
      <c r="U9803" t="s">
        <v>51097</v>
      </c>
      <c r="W9803" t="s">
        <v>37673</v>
      </c>
      <c r="X9803" t="s">
        <v>41261</v>
      </c>
    </row>
    <row r="9804" spans="1:24">
      <c r="A9804">
        <f>HYPERLINK("https://www.philgeps.gov.ph/GEPSNONPILOT/Tender/SplashBidNoticeAbstractUI.aspx?menuIndex=3&amp;refID=7059857&amp;Result=3","7059857")</f>
        <v>0</v>
      </c>
      <c r="B9804" t="s">
        <v>2845</v>
      </c>
      <c r="C9804" t="s">
        <v>12741</v>
      </c>
      <c r="D9804" t="s">
        <v>16643</v>
      </c>
      <c r="E9804" t="s">
        <v>21263</v>
      </c>
      <c r="F9804" t="s">
        <v>28669</v>
      </c>
      <c r="G9804" t="s">
        <v>28677</v>
      </c>
      <c r="H9804" t="s">
        <v>9998</v>
      </c>
      <c r="I9804" t="s">
        <v>28688</v>
      </c>
      <c r="J9804" t="s">
        <v>34886</v>
      </c>
      <c r="K9804" t="s">
        <v>37208</v>
      </c>
      <c r="M9804" t="s">
        <v>40582</v>
      </c>
      <c r="N9804" t="s">
        <v>41249</v>
      </c>
      <c r="O9804" t="s">
        <v>41250</v>
      </c>
      <c r="P9804">
        <v>0</v>
      </c>
      <c r="Q9804">
        <v>3</v>
      </c>
      <c r="R9804" t="s">
        <v>41260</v>
      </c>
      <c r="S9804" t="s">
        <v>41624</v>
      </c>
      <c r="T9804" t="s">
        <v>43105</v>
      </c>
      <c r="U9804" t="s">
        <v>51098</v>
      </c>
      <c r="V9804" t="s">
        <v>55342</v>
      </c>
      <c r="W9804" t="s">
        <v>40582</v>
      </c>
      <c r="X9804" t="s">
        <v>41261</v>
      </c>
    </row>
    <row r="9805" spans="1:24">
      <c r="A9805">
        <f>HYPERLINK("https://www.philgeps.gov.ph/GEPSNONPILOT/Tender/SplashBidNoticeAbstractUI.aspx?menuIndex=3&amp;refID=7059845&amp;Result=3","7059845")</f>
        <v>0</v>
      </c>
      <c r="B9805" t="s">
        <v>2846</v>
      </c>
      <c r="C9805" t="s">
        <v>12742</v>
      </c>
      <c r="D9805" t="s">
        <v>16655</v>
      </c>
      <c r="E9805" t="s">
        <v>20956</v>
      </c>
      <c r="F9805" t="s">
        <v>28669</v>
      </c>
      <c r="G9805" t="s">
        <v>28675</v>
      </c>
      <c r="H9805" t="s">
        <v>9998</v>
      </c>
      <c r="I9805" t="s">
        <v>28687</v>
      </c>
      <c r="J9805" t="s">
        <v>29077</v>
      </c>
      <c r="K9805" t="s">
        <v>37227</v>
      </c>
      <c r="M9805" t="s">
        <v>40583</v>
      </c>
      <c r="N9805" t="s">
        <v>41249</v>
      </c>
      <c r="O9805" t="s">
        <v>41250</v>
      </c>
      <c r="P9805">
        <v>0</v>
      </c>
      <c r="Q9805">
        <v>3</v>
      </c>
      <c r="R9805" t="s">
        <v>41260</v>
      </c>
      <c r="S9805" t="s">
        <v>41624</v>
      </c>
      <c r="T9805" t="s">
        <v>42679</v>
      </c>
      <c r="U9805" t="s">
        <v>51099</v>
      </c>
      <c r="V9805" t="s">
        <v>55343</v>
      </c>
      <c r="W9805" t="s">
        <v>40583</v>
      </c>
      <c r="X9805" t="s">
        <v>41261</v>
      </c>
    </row>
    <row r="9806" spans="1:24">
      <c r="A9806">
        <f>HYPERLINK("https://www.philgeps.gov.ph/GEPSNONPILOT/Tender/SplashBidNoticeAbstractUI.aspx?menuIndex=3&amp;refID=7059954&amp;Result=3","7059954")</f>
        <v>0</v>
      </c>
      <c r="B9806" t="s">
        <v>2842</v>
      </c>
      <c r="C9806" t="s">
        <v>12743</v>
      </c>
      <c r="D9806" t="s">
        <v>16616</v>
      </c>
      <c r="E9806" t="s">
        <v>25240</v>
      </c>
      <c r="F9806" t="s">
        <v>28669</v>
      </c>
      <c r="G9806" t="s">
        <v>28675</v>
      </c>
      <c r="H9806" t="s">
        <v>9998</v>
      </c>
      <c r="I9806" t="s">
        <v>7352</v>
      </c>
      <c r="J9806" t="s">
        <v>34887</v>
      </c>
      <c r="K9806" t="s">
        <v>37210</v>
      </c>
      <c r="M9806" t="s">
        <v>40578</v>
      </c>
      <c r="N9806" t="s">
        <v>41249</v>
      </c>
      <c r="O9806" t="s">
        <v>41250</v>
      </c>
      <c r="P9806">
        <v>0</v>
      </c>
      <c r="Q9806">
        <v>0</v>
      </c>
      <c r="R9806" t="s">
        <v>41260</v>
      </c>
      <c r="S9806" t="s">
        <v>41624</v>
      </c>
      <c r="T9806" t="s">
        <v>42739</v>
      </c>
      <c r="U9806" t="s">
        <v>51100</v>
      </c>
      <c r="V9806" t="s">
        <v>55340</v>
      </c>
      <c r="W9806" t="s">
        <v>40578</v>
      </c>
      <c r="X9806" t="s">
        <v>41261</v>
      </c>
    </row>
    <row r="9807" spans="1:24">
      <c r="A9807">
        <f>HYPERLINK("https://www.philgeps.gov.ph/GEPSNONPILOT/Tender/SplashBidNoticeAbstractUI.aspx?menuIndex=3&amp;refID=7060018&amp;Result=3","7060018")</f>
        <v>0</v>
      </c>
      <c r="B9807" t="s">
        <v>1738</v>
      </c>
      <c r="C9807" t="s">
        <v>12744</v>
      </c>
      <c r="D9807" t="s">
        <v>16651</v>
      </c>
      <c r="E9807" t="s">
        <v>25241</v>
      </c>
      <c r="F9807" t="s">
        <v>28669</v>
      </c>
      <c r="G9807" t="s">
        <v>28675</v>
      </c>
      <c r="H9807" t="s">
        <v>28686</v>
      </c>
      <c r="I9807" t="s">
        <v>28689</v>
      </c>
      <c r="J9807" t="s">
        <v>29003</v>
      </c>
      <c r="K9807" t="s">
        <v>37207</v>
      </c>
      <c r="M9807" t="s">
        <v>39339</v>
      </c>
      <c r="N9807" t="s">
        <v>41249</v>
      </c>
      <c r="O9807" t="s">
        <v>41250</v>
      </c>
      <c r="P9807">
        <v>0</v>
      </c>
      <c r="Q9807">
        <v>0</v>
      </c>
      <c r="R9807" t="s">
        <v>41260</v>
      </c>
      <c r="S9807" t="s">
        <v>41624</v>
      </c>
      <c r="T9807" t="s">
        <v>42857</v>
      </c>
      <c r="U9807" t="s">
        <v>51101</v>
      </c>
      <c r="W9807" t="s">
        <v>39339</v>
      </c>
      <c r="X9807" t="s">
        <v>41261</v>
      </c>
    </row>
    <row r="9808" spans="1:24">
      <c r="A9808">
        <f>HYPERLINK("https://www.philgeps.gov.ph/GEPSNONPILOT/Tender/SplashBidNoticeAbstractUI.aspx?menuIndex=3&amp;refID=7059949&amp;Result=3","7059949")</f>
        <v>0</v>
      </c>
      <c r="B9808" t="s">
        <v>2774</v>
      </c>
      <c r="C9808" t="s">
        <v>12745</v>
      </c>
      <c r="D9808" t="s">
        <v>16642</v>
      </c>
      <c r="E9808" t="s">
        <v>25242</v>
      </c>
      <c r="F9808" t="s">
        <v>28669</v>
      </c>
      <c r="G9808" t="s">
        <v>28675</v>
      </c>
      <c r="H9808" t="s">
        <v>28686</v>
      </c>
      <c r="I9808" t="s">
        <v>28689</v>
      </c>
      <c r="J9808" t="s">
        <v>29112</v>
      </c>
      <c r="K9808" t="s">
        <v>37295</v>
      </c>
      <c r="M9808" t="s">
        <v>40497</v>
      </c>
      <c r="N9808" t="s">
        <v>41249</v>
      </c>
      <c r="O9808" t="s">
        <v>41250</v>
      </c>
      <c r="P9808">
        <v>0</v>
      </c>
      <c r="Q9808">
        <v>0</v>
      </c>
      <c r="R9808" t="s">
        <v>41260</v>
      </c>
      <c r="S9808" t="s">
        <v>41624</v>
      </c>
      <c r="T9808" t="s">
        <v>42760</v>
      </c>
      <c r="U9808" t="s">
        <v>51102</v>
      </c>
      <c r="V9808" t="s">
        <v>55308</v>
      </c>
      <c r="W9808" t="s">
        <v>40497</v>
      </c>
      <c r="X9808" t="s">
        <v>41261</v>
      </c>
    </row>
    <row r="9809" spans="1:24">
      <c r="A9809">
        <f>HYPERLINK("https://www.philgeps.gov.ph/GEPSNONPILOT/Tender/SplashBidNoticeAbstractUI.aspx?menuIndex=3&amp;refID=7060091&amp;Result=3","7060091")</f>
        <v>0</v>
      </c>
      <c r="B9809" t="s">
        <v>531</v>
      </c>
      <c r="C9809" t="s">
        <v>12746</v>
      </c>
      <c r="D9809" t="s">
        <v>16611</v>
      </c>
      <c r="E9809" t="s">
        <v>25243</v>
      </c>
      <c r="F9809" t="s">
        <v>28669</v>
      </c>
      <c r="G9809" t="s">
        <v>28675</v>
      </c>
      <c r="H9809" t="s">
        <v>28686</v>
      </c>
      <c r="I9809" t="s">
        <v>7352</v>
      </c>
      <c r="J9809" t="s">
        <v>34888</v>
      </c>
      <c r="K9809" t="s">
        <v>37210</v>
      </c>
      <c r="M9809" t="s">
        <v>38022</v>
      </c>
      <c r="N9809" t="s">
        <v>41249</v>
      </c>
      <c r="O9809" t="s">
        <v>41250</v>
      </c>
      <c r="P9809">
        <v>0</v>
      </c>
      <c r="Q9809">
        <v>0</v>
      </c>
      <c r="R9809" t="s">
        <v>41260</v>
      </c>
      <c r="S9809" t="s">
        <v>41624</v>
      </c>
      <c r="T9809" t="s">
        <v>42782</v>
      </c>
      <c r="U9809" t="s">
        <v>51103</v>
      </c>
      <c r="W9809" t="s">
        <v>38022</v>
      </c>
      <c r="X9809" t="s">
        <v>41261</v>
      </c>
    </row>
    <row r="9810" spans="1:24">
      <c r="A9810">
        <f>HYPERLINK("https://www.philgeps.gov.ph/GEPSNONPILOT/Tender/SplashBidNoticeAbstractUI.aspx?menuIndex=3&amp;refID=7060086&amp;Result=3","7060086")</f>
        <v>0</v>
      </c>
      <c r="B9810" t="s">
        <v>2223</v>
      </c>
      <c r="C9810" t="s">
        <v>12747</v>
      </c>
      <c r="D9810" t="s">
        <v>16671</v>
      </c>
      <c r="E9810" t="s">
        <v>25244</v>
      </c>
      <c r="F9810" t="s">
        <v>28671</v>
      </c>
      <c r="G9810" t="s">
        <v>28675</v>
      </c>
      <c r="H9810" t="s">
        <v>9998</v>
      </c>
      <c r="I9810" t="s">
        <v>7352</v>
      </c>
      <c r="J9810" t="s">
        <v>34889</v>
      </c>
      <c r="K9810" t="s">
        <v>37205</v>
      </c>
      <c r="M9810" t="s">
        <v>39876</v>
      </c>
      <c r="N9810" t="s">
        <v>41249</v>
      </c>
      <c r="O9810" t="s">
        <v>41250</v>
      </c>
      <c r="P9810">
        <v>0</v>
      </c>
      <c r="Q9810">
        <v>1</v>
      </c>
      <c r="R9810" t="s">
        <v>41260</v>
      </c>
      <c r="S9810" t="s">
        <v>41624</v>
      </c>
      <c r="T9810" t="s">
        <v>42742</v>
      </c>
      <c r="U9810" t="s">
        <v>51104</v>
      </c>
      <c r="W9810" t="s">
        <v>39876</v>
      </c>
      <c r="X9810" t="s">
        <v>41261</v>
      </c>
    </row>
    <row r="9811" spans="1:24">
      <c r="A9811">
        <f>HYPERLINK("https://www.philgeps.gov.ph/GEPSNONPILOT/Tender/SplashBidNoticeAbstractUI.aspx?menuIndex=3&amp;refID=7060085&amp;Result=3","7060085")</f>
        <v>0</v>
      </c>
      <c r="B9811" t="s">
        <v>2847</v>
      </c>
      <c r="C9811" t="s">
        <v>12748</v>
      </c>
      <c r="D9811" t="s">
        <v>16684</v>
      </c>
      <c r="E9811" t="s">
        <v>25245</v>
      </c>
      <c r="F9811" t="s">
        <v>28669</v>
      </c>
      <c r="G9811" t="s">
        <v>28675</v>
      </c>
      <c r="H9811" t="s">
        <v>9998</v>
      </c>
      <c r="I9811" t="s">
        <v>7352</v>
      </c>
      <c r="J9811" t="s">
        <v>34890</v>
      </c>
      <c r="K9811" t="s">
        <v>37210</v>
      </c>
      <c r="M9811" t="s">
        <v>40584</v>
      </c>
      <c r="N9811" t="s">
        <v>41249</v>
      </c>
      <c r="O9811" t="s">
        <v>41250</v>
      </c>
      <c r="P9811">
        <v>0</v>
      </c>
      <c r="Q9811">
        <v>0</v>
      </c>
      <c r="R9811" t="s">
        <v>41260</v>
      </c>
      <c r="S9811" t="s">
        <v>41624</v>
      </c>
      <c r="T9811" t="s">
        <v>42758</v>
      </c>
      <c r="U9811" t="s">
        <v>51105</v>
      </c>
      <c r="W9811" t="s">
        <v>40584</v>
      </c>
      <c r="X9811" t="s">
        <v>41261</v>
      </c>
    </row>
    <row r="9812" spans="1:24">
      <c r="A9812">
        <f>HYPERLINK("https://www.philgeps.gov.ph/GEPSNONPILOT/Tender/SplashBidNoticeAbstractUI.aspx?menuIndex=3&amp;refID=7059026&amp;Result=3","7059026")</f>
        <v>0</v>
      </c>
      <c r="B9812" t="s">
        <v>2821</v>
      </c>
      <c r="C9812" t="s">
        <v>12749</v>
      </c>
      <c r="D9812" t="s">
        <v>16608</v>
      </c>
      <c r="E9812" t="s">
        <v>25246</v>
      </c>
      <c r="F9812" t="s">
        <v>28669</v>
      </c>
      <c r="G9812" t="s">
        <v>28675</v>
      </c>
      <c r="H9812" t="s">
        <v>9998</v>
      </c>
      <c r="I9812" t="s">
        <v>28746</v>
      </c>
      <c r="J9812" t="s">
        <v>34891</v>
      </c>
      <c r="K9812" t="s">
        <v>37204</v>
      </c>
      <c r="M9812" t="s">
        <v>40552</v>
      </c>
      <c r="N9812" t="s">
        <v>41249</v>
      </c>
      <c r="O9812" t="s">
        <v>41250</v>
      </c>
      <c r="P9812">
        <v>0</v>
      </c>
      <c r="Q9812">
        <v>9</v>
      </c>
      <c r="R9812" t="s">
        <v>41260</v>
      </c>
      <c r="S9812" t="s">
        <v>41624</v>
      </c>
      <c r="T9812" t="s">
        <v>43045</v>
      </c>
      <c r="U9812" t="s">
        <v>51106</v>
      </c>
      <c r="W9812" t="s">
        <v>40552</v>
      </c>
      <c r="X9812" t="s">
        <v>41261</v>
      </c>
    </row>
    <row r="9813" spans="1:24">
      <c r="A9813">
        <f>HYPERLINK("https://www.philgeps.gov.ph/GEPSNONPILOT/Tender/SplashBidNoticeAbstractUI.aspx?menuIndex=3&amp;refID=7060080&amp;Result=3","7060080")</f>
        <v>0</v>
      </c>
      <c r="B9813" t="s">
        <v>1738</v>
      </c>
      <c r="C9813" t="s">
        <v>12750</v>
      </c>
      <c r="D9813" t="s">
        <v>16651</v>
      </c>
      <c r="E9813" t="s">
        <v>25247</v>
      </c>
      <c r="F9813" t="s">
        <v>28669</v>
      </c>
      <c r="G9813" t="s">
        <v>28675</v>
      </c>
      <c r="H9813" t="s">
        <v>28686</v>
      </c>
      <c r="I9813" t="s">
        <v>28689</v>
      </c>
      <c r="J9813" t="s">
        <v>29003</v>
      </c>
      <c r="K9813" t="s">
        <v>37206</v>
      </c>
      <c r="M9813" t="s">
        <v>39339</v>
      </c>
      <c r="N9813" t="s">
        <v>41249</v>
      </c>
      <c r="O9813" t="s">
        <v>41250</v>
      </c>
      <c r="P9813">
        <v>0</v>
      </c>
      <c r="Q9813">
        <v>1</v>
      </c>
      <c r="R9813" t="s">
        <v>41260</v>
      </c>
      <c r="S9813" t="s">
        <v>41624</v>
      </c>
      <c r="T9813" t="s">
        <v>42857</v>
      </c>
      <c r="U9813" t="s">
        <v>51088</v>
      </c>
      <c r="W9813" t="s">
        <v>39339</v>
      </c>
      <c r="X9813" t="s">
        <v>41261</v>
      </c>
    </row>
    <row r="9814" spans="1:24">
      <c r="A9814">
        <f>HYPERLINK("https://www.philgeps.gov.ph/GEPSNONPILOT/Tender/SplashBidNoticeAbstractUI.aspx?menuIndex=3&amp;refID=7060078&amp;Result=3","7060078")</f>
        <v>0</v>
      </c>
      <c r="B9814" t="s">
        <v>1373</v>
      </c>
      <c r="C9814" t="s">
        <v>12751</v>
      </c>
      <c r="D9814" t="s">
        <v>16686</v>
      </c>
      <c r="E9814" t="s">
        <v>25248</v>
      </c>
      <c r="F9814" t="s">
        <v>28669</v>
      </c>
      <c r="G9814" t="s">
        <v>28675</v>
      </c>
      <c r="H9814" t="s">
        <v>9998</v>
      </c>
      <c r="I9814" t="s">
        <v>7352</v>
      </c>
      <c r="J9814" t="s">
        <v>34892</v>
      </c>
      <c r="K9814" t="s">
        <v>37206</v>
      </c>
      <c r="M9814" t="s">
        <v>38932</v>
      </c>
      <c r="N9814" t="s">
        <v>41249</v>
      </c>
      <c r="O9814" t="s">
        <v>41250</v>
      </c>
      <c r="P9814">
        <v>0</v>
      </c>
      <c r="Q9814">
        <v>2</v>
      </c>
      <c r="R9814" t="s">
        <v>41260</v>
      </c>
      <c r="S9814" t="s">
        <v>41624</v>
      </c>
      <c r="T9814" t="s">
        <v>42659</v>
      </c>
      <c r="U9814" t="s">
        <v>51107</v>
      </c>
      <c r="W9814" t="s">
        <v>38932</v>
      </c>
      <c r="X9814" t="s">
        <v>41261</v>
      </c>
    </row>
    <row r="9815" spans="1:24">
      <c r="A9815">
        <f>HYPERLINK("https://www.philgeps.gov.ph/GEPSNONPILOT/Tender/SplashBidNoticeAbstractUI.aspx?menuIndex=3&amp;refID=7060077&amp;Result=3","7060077")</f>
        <v>0</v>
      </c>
      <c r="B9815" t="s">
        <v>546</v>
      </c>
      <c r="C9815" t="s">
        <v>12752</v>
      </c>
      <c r="D9815" t="s">
        <v>16629</v>
      </c>
      <c r="E9815" t="s">
        <v>18214</v>
      </c>
      <c r="F9815" t="s">
        <v>28669</v>
      </c>
      <c r="G9815" t="s">
        <v>28675</v>
      </c>
      <c r="H9815" t="s">
        <v>9998</v>
      </c>
      <c r="I9815" t="s">
        <v>7352</v>
      </c>
      <c r="J9815" t="s">
        <v>34893</v>
      </c>
      <c r="K9815" t="s">
        <v>37227</v>
      </c>
      <c r="M9815" t="s">
        <v>38039</v>
      </c>
      <c r="N9815" t="s">
        <v>41249</v>
      </c>
      <c r="O9815" t="s">
        <v>41250</v>
      </c>
      <c r="P9815">
        <v>0</v>
      </c>
      <c r="Q9815">
        <v>0</v>
      </c>
      <c r="R9815" t="s">
        <v>41260</v>
      </c>
      <c r="S9815" t="s">
        <v>41624</v>
      </c>
      <c r="T9815" t="s">
        <v>42728</v>
      </c>
      <c r="U9815" t="s">
        <v>51108</v>
      </c>
      <c r="W9815" t="s">
        <v>38039</v>
      </c>
      <c r="X9815" t="s">
        <v>41261</v>
      </c>
    </row>
    <row r="9816" spans="1:24">
      <c r="A9816">
        <f>HYPERLINK("https://www.philgeps.gov.ph/GEPSNONPILOT/Tender/SplashBidNoticeAbstractUI.aspx?menuIndex=3&amp;refID=7059938&amp;Result=3","7059938")</f>
        <v>0</v>
      </c>
      <c r="B9816" t="s">
        <v>2848</v>
      </c>
      <c r="C9816" t="s">
        <v>8180</v>
      </c>
      <c r="D9816" t="s">
        <v>16617</v>
      </c>
      <c r="E9816" t="s">
        <v>6569</v>
      </c>
      <c r="F9816" t="s">
        <v>28669</v>
      </c>
      <c r="G9816" t="s">
        <v>28675</v>
      </c>
      <c r="H9816" t="s">
        <v>9998</v>
      </c>
      <c r="I9816" t="s">
        <v>11142</v>
      </c>
      <c r="J9816" t="s">
        <v>34894</v>
      </c>
      <c r="K9816" t="s">
        <v>37240</v>
      </c>
      <c r="M9816" t="s">
        <v>40585</v>
      </c>
      <c r="N9816" t="s">
        <v>41249</v>
      </c>
      <c r="O9816" t="s">
        <v>41250</v>
      </c>
      <c r="P9816">
        <v>0</v>
      </c>
      <c r="Q9816">
        <v>1</v>
      </c>
      <c r="R9816" t="s">
        <v>41260</v>
      </c>
      <c r="S9816" t="s">
        <v>41624</v>
      </c>
      <c r="T9816" t="s">
        <v>42691</v>
      </c>
      <c r="U9816" t="s">
        <v>51109</v>
      </c>
      <c r="W9816" t="s">
        <v>40585</v>
      </c>
      <c r="X9816" t="s">
        <v>41261</v>
      </c>
    </row>
    <row r="9817" spans="1:24">
      <c r="A9817">
        <f>HYPERLINK("https://www.philgeps.gov.ph/GEPSNONPILOT/Tender/SplashBidNoticeAbstractUI.aspx?menuIndex=3&amp;refID=7060069&amp;Result=3","7060069")</f>
        <v>0</v>
      </c>
      <c r="B9817" t="s">
        <v>2849</v>
      </c>
      <c r="C9817" t="s">
        <v>12753</v>
      </c>
      <c r="E9817" t="s">
        <v>25249</v>
      </c>
      <c r="F9817" t="s">
        <v>28669</v>
      </c>
      <c r="G9817" t="s">
        <v>28675</v>
      </c>
      <c r="H9817" t="s">
        <v>9998</v>
      </c>
      <c r="I9817" t="s">
        <v>5286</v>
      </c>
      <c r="J9817" t="s">
        <v>34895</v>
      </c>
      <c r="K9817" t="s">
        <v>37209</v>
      </c>
      <c r="M9817" t="s">
        <v>40586</v>
      </c>
      <c r="N9817" t="s">
        <v>41249</v>
      </c>
      <c r="O9817" t="s">
        <v>41250</v>
      </c>
      <c r="P9817">
        <v>0</v>
      </c>
      <c r="Q9817">
        <v>9</v>
      </c>
      <c r="R9817" t="s">
        <v>41260</v>
      </c>
      <c r="S9817" t="s">
        <v>41624</v>
      </c>
      <c r="T9817" t="s">
        <v>43106</v>
      </c>
      <c r="U9817" t="s">
        <v>51110</v>
      </c>
      <c r="V9817" t="s">
        <v>55344</v>
      </c>
      <c r="W9817" t="s">
        <v>40586</v>
      </c>
      <c r="X9817" t="s">
        <v>41261</v>
      </c>
    </row>
    <row r="9818" spans="1:24">
      <c r="A9818">
        <f>HYPERLINK("https://www.philgeps.gov.ph/GEPSNONPILOT/Tender/SplashBidNoticeAbstractUI.aspx?menuIndex=3&amp;refID=7060063&amp;Result=3","7060063")</f>
        <v>0</v>
      </c>
      <c r="B9818" t="s">
        <v>546</v>
      </c>
      <c r="C9818" t="s">
        <v>12754</v>
      </c>
      <c r="D9818" t="s">
        <v>16629</v>
      </c>
      <c r="E9818" t="s">
        <v>18032</v>
      </c>
      <c r="F9818" t="s">
        <v>28669</v>
      </c>
      <c r="G9818" t="s">
        <v>28675</v>
      </c>
      <c r="H9818" t="s">
        <v>9998</v>
      </c>
      <c r="I9818" t="s">
        <v>7352</v>
      </c>
      <c r="J9818" t="s">
        <v>34896</v>
      </c>
      <c r="K9818" t="s">
        <v>37227</v>
      </c>
      <c r="M9818" t="s">
        <v>38039</v>
      </c>
      <c r="N9818" t="s">
        <v>41249</v>
      </c>
      <c r="O9818" t="s">
        <v>41250</v>
      </c>
      <c r="P9818">
        <v>0</v>
      </c>
      <c r="Q9818">
        <v>0</v>
      </c>
      <c r="R9818" t="s">
        <v>41260</v>
      </c>
      <c r="S9818" t="s">
        <v>41624</v>
      </c>
      <c r="T9818" t="s">
        <v>42728</v>
      </c>
      <c r="U9818" t="s">
        <v>51111</v>
      </c>
      <c r="W9818" t="s">
        <v>38039</v>
      </c>
      <c r="X9818" t="s">
        <v>41261</v>
      </c>
    </row>
    <row r="9819" spans="1:24">
      <c r="A9819">
        <f>HYPERLINK("https://www.philgeps.gov.ph/GEPSNONPILOT/Tender/SplashBidNoticeAbstractUI.aspx?menuIndex=3&amp;refID=7060054&amp;Result=3","7060054")</f>
        <v>0</v>
      </c>
      <c r="B9819" t="s">
        <v>195</v>
      </c>
      <c r="C9819" t="s">
        <v>12755</v>
      </c>
      <c r="D9819" t="s">
        <v>16636</v>
      </c>
      <c r="E9819" t="s">
        <v>25250</v>
      </c>
      <c r="F9819" t="s">
        <v>28669</v>
      </c>
      <c r="G9819" t="s">
        <v>28675</v>
      </c>
      <c r="H9819" t="s">
        <v>9998</v>
      </c>
      <c r="I9819" t="s">
        <v>28722</v>
      </c>
      <c r="J9819" t="s">
        <v>29203</v>
      </c>
      <c r="K9819" t="s">
        <v>37206</v>
      </c>
      <c r="M9819" t="s">
        <v>37673</v>
      </c>
      <c r="N9819" t="s">
        <v>41249</v>
      </c>
      <c r="O9819" t="s">
        <v>41250</v>
      </c>
      <c r="P9819">
        <v>0</v>
      </c>
      <c r="Q9819">
        <v>3</v>
      </c>
      <c r="R9819" t="s">
        <v>41260</v>
      </c>
      <c r="S9819" t="s">
        <v>41624</v>
      </c>
      <c r="T9819" t="s">
        <v>43104</v>
      </c>
      <c r="U9819" t="s">
        <v>51112</v>
      </c>
      <c r="W9819" t="s">
        <v>37673</v>
      </c>
      <c r="X9819" t="s">
        <v>41261</v>
      </c>
    </row>
    <row r="9820" spans="1:24">
      <c r="A9820">
        <f>HYPERLINK("https://www.philgeps.gov.ph/GEPSNONPILOT/Tender/SplashBidNoticeAbstractUI.aspx?menuIndex=3&amp;refID=7059826&amp;Result=3","7059826")</f>
        <v>0</v>
      </c>
      <c r="B9820" t="s">
        <v>2850</v>
      </c>
      <c r="C9820" t="s">
        <v>12756</v>
      </c>
      <c r="D9820" t="s">
        <v>16608</v>
      </c>
      <c r="E9820" t="s">
        <v>19943</v>
      </c>
      <c r="F9820" t="s">
        <v>28669</v>
      </c>
      <c r="G9820" t="s">
        <v>28675</v>
      </c>
      <c r="H9820" t="s">
        <v>9998</v>
      </c>
      <c r="I9820" t="s">
        <v>3718</v>
      </c>
      <c r="J9820" t="s">
        <v>34897</v>
      </c>
      <c r="K9820" t="s">
        <v>37205</v>
      </c>
      <c r="M9820" t="s">
        <v>40587</v>
      </c>
      <c r="N9820" t="s">
        <v>41249</v>
      </c>
      <c r="O9820" t="s">
        <v>41250</v>
      </c>
      <c r="Q9820">
        <v>12</v>
      </c>
      <c r="R9820" t="s">
        <v>41260</v>
      </c>
      <c r="S9820" t="s">
        <v>41639</v>
      </c>
      <c r="T9820" t="s">
        <v>42839</v>
      </c>
      <c r="U9820" t="s">
        <v>51113</v>
      </c>
      <c r="W9820" t="s">
        <v>40587</v>
      </c>
      <c r="X9820" t="s">
        <v>41261</v>
      </c>
    </row>
    <row r="9821" spans="1:24">
      <c r="A9821">
        <f>HYPERLINK("https://www.philgeps.gov.ph/GEPSNONPILOT/Tender/SplashBidNoticeAbstractUI.aspx?menuIndex=3&amp;refID=7060041&amp;Result=3","7060041")</f>
        <v>0</v>
      </c>
      <c r="B9821" t="s">
        <v>2842</v>
      </c>
      <c r="C9821" t="s">
        <v>12757</v>
      </c>
      <c r="D9821" t="s">
        <v>16616</v>
      </c>
      <c r="E9821" t="s">
        <v>25251</v>
      </c>
      <c r="F9821" t="s">
        <v>28669</v>
      </c>
      <c r="G9821" t="s">
        <v>28675</v>
      </c>
      <c r="H9821" t="s">
        <v>9998</v>
      </c>
      <c r="I9821" t="s">
        <v>7352</v>
      </c>
      <c r="J9821" t="s">
        <v>34898</v>
      </c>
      <c r="K9821" t="s">
        <v>37210</v>
      </c>
      <c r="M9821" t="s">
        <v>40578</v>
      </c>
      <c r="N9821" t="s">
        <v>41249</v>
      </c>
      <c r="O9821" t="s">
        <v>41250</v>
      </c>
      <c r="P9821">
        <v>0</v>
      </c>
      <c r="Q9821">
        <v>1</v>
      </c>
      <c r="R9821" t="s">
        <v>41260</v>
      </c>
      <c r="S9821" t="s">
        <v>41624</v>
      </c>
      <c r="T9821" t="s">
        <v>42739</v>
      </c>
      <c r="U9821" t="s">
        <v>51114</v>
      </c>
      <c r="V9821" t="s">
        <v>55340</v>
      </c>
      <c r="W9821" t="s">
        <v>40578</v>
      </c>
      <c r="X9821" t="s">
        <v>41261</v>
      </c>
    </row>
    <row r="9822" spans="1:24">
      <c r="A9822">
        <f>HYPERLINK("https://www.philgeps.gov.ph/GEPSNONPILOT/Tender/SplashBidNoticeAbstractUI.aspx?menuIndex=3&amp;refID=7060037&amp;Result=3","7060037")</f>
        <v>0</v>
      </c>
      <c r="B9822" t="s">
        <v>546</v>
      </c>
      <c r="C9822" t="s">
        <v>12758</v>
      </c>
      <c r="D9822" t="s">
        <v>16629</v>
      </c>
      <c r="E9822" t="s">
        <v>19789</v>
      </c>
      <c r="F9822" t="s">
        <v>28669</v>
      </c>
      <c r="G9822" t="s">
        <v>28675</v>
      </c>
      <c r="H9822" t="s">
        <v>9998</v>
      </c>
      <c r="I9822" t="s">
        <v>7352</v>
      </c>
      <c r="J9822" t="s">
        <v>34899</v>
      </c>
      <c r="K9822" t="s">
        <v>37227</v>
      </c>
      <c r="M9822" t="s">
        <v>38039</v>
      </c>
      <c r="N9822" t="s">
        <v>41249</v>
      </c>
      <c r="O9822" t="s">
        <v>41250</v>
      </c>
      <c r="P9822">
        <v>0</v>
      </c>
      <c r="Q9822">
        <v>0</v>
      </c>
      <c r="R9822" t="s">
        <v>41260</v>
      </c>
      <c r="S9822" t="s">
        <v>41624</v>
      </c>
      <c r="T9822" t="s">
        <v>42728</v>
      </c>
      <c r="U9822" t="s">
        <v>51115</v>
      </c>
      <c r="W9822" t="s">
        <v>38039</v>
      </c>
      <c r="X9822" t="s">
        <v>41261</v>
      </c>
    </row>
    <row r="9823" spans="1:24">
      <c r="A9823">
        <f>HYPERLINK("https://www.philgeps.gov.ph/GEPSNONPILOT/Tender/SplashBidNoticeAbstractUI.aspx?menuIndex=3&amp;refID=7060074&amp;Result=3","7060074")</f>
        <v>0</v>
      </c>
      <c r="B9823" t="s">
        <v>1559</v>
      </c>
      <c r="C9823" t="s">
        <v>12759</v>
      </c>
      <c r="D9823" t="s">
        <v>16643</v>
      </c>
      <c r="E9823" t="s">
        <v>25252</v>
      </c>
      <c r="F9823" t="s">
        <v>28669</v>
      </c>
      <c r="G9823" t="s">
        <v>28675</v>
      </c>
      <c r="H9823" t="s">
        <v>9998</v>
      </c>
      <c r="I9823" t="s">
        <v>8667</v>
      </c>
      <c r="J9823" t="s">
        <v>34900</v>
      </c>
      <c r="K9823" t="s">
        <v>37209</v>
      </c>
      <c r="M9823" t="s">
        <v>40588</v>
      </c>
      <c r="N9823" t="s">
        <v>41249</v>
      </c>
      <c r="O9823" t="s">
        <v>41250</v>
      </c>
      <c r="Q9823">
        <v>3</v>
      </c>
      <c r="R9823" t="s">
        <v>41260</v>
      </c>
      <c r="S9823" t="s">
        <v>41640</v>
      </c>
      <c r="T9823" t="s">
        <v>43023</v>
      </c>
      <c r="U9823" t="s">
        <v>51116</v>
      </c>
      <c r="W9823" t="s">
        <v>40588</v>
      </c>
      <c r="X9823" t="s">
        <v>41261</v>
      </c>
    </row>
    <row r="9824" spans="1:24">
      <c r="A9824">
        <f>HYPERLINK("https://www.philgeps.gov.ph/GEPSNONPILOT/Tender/SplashBidNoticeAbstractUI.aspx?menuIndex=3&amp;refID=7060167&amp;Result=3","7060167")</f>
        <v>0</v>
      </c>
      <c r="B9824" t="s">
        <v>2851</v>
      </c>
      <c r="C9824" t="s">
        <v>12724</v>
      </c>
      <c r="D9824" t="s">
        <v>16626</v>
      </c>
      <c r="E9824" t="s">
        <v>18055</v>
      </c>
      <c r="F9824" t="s">
        <v>28669</v>
      </c>
      <c r="G9824" t="s">
        <v>28675</v>
      </c>
      <c r="H9824" t="s">
        <v>9998</v>
      </c>
      <c r="I9824" t="s">
        <v>6128</v>
      </c>
      <c r="J9824" t="s">
        <v>29546</v>
      </c>
      <c r="K9824" t="s">
        <v>37234</v>
      </c>
      <c r="M9824" t="s">
        <v>40589</v>
      </c>
      <c r="N9824" t="s">
        <v>41249</v>
      </c>
      <c r="O9824" t="s">
        <v>41250</v>
      </c>
      <c r="P9824">
        <v>0</v>
      </c>
      <c r="Q9824">
        <v>2</v>
      </c>
      <c r="R9824" t="s">
        <v>41260</v>
      </c>
      <c r="S9824" t="s">
        <v>41624</v>
      </c>
      <c r="T9824" t="s">
        <v>42882</v>
      </c>
      <c r="U9824" t="s">
        <v>51117</v>
      </c>
      <c r="W9824" t="s">
        <v>40589</v>
      </c>
      <c r="X9824" t="s">
        <v>41261</v>
      </c>
    </row>
    <row r="9825" spans="1:24">
      <c r="A9825">
        <f>HYPERLINK("https://www.philgeps.gov.ph/GEPSNONPILOT/Tender/SplashBidNoticeAbstractUI.aspx?menuIndex=3&amp;refID=7060052&amp;Result=3","7060052")</f>
        <v>0</v>
      </c>
      <c r="B9825" t="s">
        <v>1738</v>
      </c>
      <c r="C9825" t="s">
        <v>12760</v>
      </c>
      <c r="D9825" t="s">
        <v>16651</v>
      </c>
      <c r="E9825" t="s">
        <v>25253</v>
      </c>
      <c r="F9825" t="s">
        <v>28669</v>
      </c>
      <c r="G9825" t="s">
        <v>28675</v>
      </c>
      <c r="H9825" t="s">
        <v>28686</v>
      </c>
      <c r="I9825" t="s">
        <v>28689</v>
      </c>
      <c r="J9825" t="s">
        <v>29003</v>
      </c>
      <c r="K9825" t="s">
        <v>37206</v>
      </c>
      <c r="M9825" t="s">
        <v>39339</v>
      </c>
      <c r="N9825" t="s">
        <v>41249</v>
      </c>
      <c r="O9825" t="s">
        <v>41250</v>
      </c>
      <c r="P9825">
        <v>0</v>
      </c>
      <c r="Q9825">
        <v>1</v>
      </c>
      <c r="R9825" t="s">
        <v>41260</v>
      </c>
      <c r="S9825" t="s">
        <v>41624</v>
      </c>
      <c r="T9825" t="s">
        <v>42857</v>
      </c>
      <c r="U9825" t="s">
        <v>51088</v>
      </c>
      <c r="W9825" t="s">
        <v>39339</v>
      </c>
      <c r="X9825" t="s">
        <v>41261</v>
      </c>
    </row>
    <row r="9826" spans="1:24">
      <c r="A9826">
        <f>HYPERLINK("https://www.philgeps.gov.ph/GEPSNONPILOT/Tender/SplashBidNoticeAbstractUI.aspx?menuIndex=3&amp;refID=7060166&amp;Result=3","7060166")</f>
        <v>0</v>
      </c>
      <c r="B9826" t="s">
        <v>2464</v>
      </c>
      <c r="C9826" t="s">
        <v>12761</v>
      </c>
      <c r="D9826" t="s">
        <v>16643</v>
      </c>
      <c r="E9826" t="s">
        <v>25254</v>
      </c>
      <c r="F9826" t="s">
        <v>28669</v>
      </c>
      <c r="G9826" t="s">
        <v>28677</v>
      </c>
      <c r="H9826" t="s">
        <v>28684</v>
      </c>
      <c r="I9826" t="s">
        <v>28709</v>
      </c>
      <c r="J9826" t="s">
        <v>34901</v>
      </c>
      <c r="K9826" t="s">
        <v>37243</v>
      </c>
      <c r="M9826" t="s">
        <v>40147</v>
      </c>
      <c r="N9826" t="s">
        <v>41249</v>
      </c>
      <c r="O9826" t="s">
        <v>41250</v>
      </c>
      <c r="P9826">
        <v>0</v>
      </c>
      <c r="Q9826">
        <v>0</v>
      </c>
      <c r="R9826" t="s">
        <v>41260</v>
      </c>
      <c r="S9826" t="s">
        <v>41624</v>
      </c>
      <c r="T9826" t="s">
        <v>42742</v>
      </c>
      <c r="U9826" t="s">
        <v>51118</v>
      </c>
      <c r="W9826" t="s">
        <v>40147</v>
      </c>
      <c r="X9826" t="s">
        <v>41261</v>
      </c>
    </row>
    <row r="9827" spans="1:24">
      <c r="A9827">
        <f>HYPERLINK("https://www.philgeps.gov.ph/GEPSNONPILOT/Tender/SplashBidNoticeAbstractUI.aspx?menuIndex=3&amp;refID=7060162&amp;Result=3","7060162")</f>
        <v>0</v>
      </c>
      <c r="B9827" t="s">
        <v>1559</v>
      </c>
      <c r="C9827" t="s">
        <v>12762</v>
      </c>
      <c r="D9827" t="s">
        <v>16643</v>
      </c>
      <c r="E9827" t="s">
        <v>25255</v>
      </c>
      <c r="F9827" t="s">
        <v>28669</v>
      </c>
      <c r="G9827" t="s">
        <v>28675</v>
      </c>
      <c r="H9827" t="s">
        <v>9998</v>
      </c>
      <c r="I9827" t="s">
        <v>28687</v>
      </c>
      <c r="J9827" t="s">
        <v>34902</v>
      </c>
      <c r="K9827" t="s">
        <v>37209</v>
      </c>
      <c r="M9827" t="s">
        <v>40588</v>
      </c>
      <c r="N9827" t="s">
        <v>41249</v>
      </c>
      <c r="O9827" t="s">
        <v>41250</v>
      </c>
      <c r="Q9827">
        <v>4</v>
      </c>
      <c r="R9827" t="s">
        <v>41260</v>
      </c>
      <c r="S9827" t="s">
        <v>41641</v>
      </c>
      <c r="T9827" t="s">
        <v>43023</v>
      </c>
      <c r="U9827" t="s">
        <v>51119</v>
      </c>
      <c r="W9827" t="s">
        <v>40588</v>
      </c>
      <c r="X9827" t="s">
        <v>41261</v>
      </c>
    </row>
    <row r="9828" spans="1:24">
      <c r="A9828">
        <f>HYPERLINK("https://www.philgeps.gov.ph/GEPSNONPILOT/Tender/SplashBidNoticeAbstractUI.aspx?menuIndex=3&amp;refID=7060105&amp;Result=3","7060105")</f>
        <v>0</v>
      </c>
      <c r="B9828" t="s">
        <v>546</v>
      </c>
      <c r="C9828" t="s">
        <v>12763</v>
      </c>
      <c r="D9828" t="s">
        <v>16629</v>
      </c>
      <c r="E9828" t="s">
        <v>18215</v>
      </c>
      <c r="F9828" t="s">
        <v>28669</v>
      </c>
      <c r="G9828" t="s">
        <v>28675</v>
      </c>
      <c r="H9828" t="s">
        <v>9998</v>
      </c>
      <c r="I9828" t="s">
        <v>7352</v>
      </c>
      <c r="J9828" t="s">
        <v>34903</v>
      </c>
      <c r="K9828" t="s">
        <v>37227</v>
      </c>
      <c r="M9828" t="s">
        <v>38039</v>
      </c>
      <c r="N9828" t="s">
        <v>41249</v>
      </c>
      <c r="O9828" t="s">
        <v>41250</v>
      </c>
      <c r="P9828">
        <v>0</v>
      </c>
      <c r="Q9828">
        <v>0</v>
      </c>
      <c r="R9828" t="s">
        <v>41260</v>
      </c>
      <c r="S9828" t="s">
        <v>41624</v>
      </c>
      <c r="T9828" t="s">
        <v>42728</v>
      </c>
      <c r="U9828" t="s">
        <v>51120</v>
      </c>
      <c r="W9828" t="s">
        <v>38039</v>
      </c>
      <c r="X9828" t="s">
        <v>41261</v>
      </c>
    </row>
    <row r="9829" spans="1:24">
      <c r="A9829">
        <f>HYPERLINK("https://www.philgeps.gov.ph/GEPSNONPILOT/Tender/SplashBidNoticeAbstractUI.aspx?menuIndex=3&amp;refID=7060090&amp;Result=3","7060090")</f>
        <v>0</v>
      </c>
      <c r="B9829" t="s">
        <v>236</v>
      </c>
      <c r="C9829" t="s">
        <v>12764</v>
      </c>
      <c r="D9829" t="s">
        <v>16663</v>
      </c>
      <c r="E9829" t="s">
        <v>12764</v>
      </c>
      <c r="F9829" t="s">
        <v>28669</v>
      </c>
      <c r="G9829" t="s">
        <v>28675</v>
      </c>
      <c r="H9829" t="s">
        <v>9998</v>
      </c>
      <c r="I9829" t="s">
        <v>28695</v>
      </c>
      <c r="J9829" t="s">
        <v>31339</v>
      </c>
      <c r="K9829" t="s">
        <v>37206</v>
      </c>
      <c r="M9829" t="s">
        <v>37714</v>
      </c>
      <c r="N9829" t="s">
        <v>41249</v>
      </c>
      <c r="O9829" t="s">
        <v>41250</v>
      </c>
      <c r="P9829">
        <v>0</v>
      </c>
      <c r="Q9829">
        <v>0</v>
      </c>
      <c r="R9829" t="s">
        <v>41260</v>
      </c>
      <c r="S9829" t="s">
        <v>41624</v>
      </c>
      <c r="T9829" t="s">
        <v>42811</v>
      </c>
      <c r="U9829" t="s">
        <v>51121</v>
      </c>
      <c r="W9829" t="s">
        <v>37714</v>
      </c>
      <c r="X9829" t="s">
        <v>41261</v>
      </c>
    </row>
    <row r="9830" spans="1:24">
      <c r="A9830">
        <f>HYPERLINK("https://www.philgeps.gov.ph/GEPSNONPILOT/Tender/SplashBidNoticeAbstractUI.aspx?menuIndex=3&amp;refID=7060157&amp;Result=3","7060157")</f>
        <v>0</v>
      </c>
      <c r="B9830" t="s">
        <v>58</v>
      </c>
      <c r="C9830" t="s">
        <v>12765</v>
      </c>
      <c r="D9830" t="s">
        <v>16620</v>
      </c>
      <c r="E9830" t="s">
        <v>16861</v>
      </c>
      <c r="F9830" t="s">
        <v>28669</v>
      </c>
      <c r="G9830" t="s">
        <v>28675</v>
      </c>
      <c r="H9830" t="s">
        <v>28686</v>
      </c>
      <c r="I9830" t="s">
        <v>28689</v>
      </c>
      <c r="J9830" t="s">
        <v>34904</v>
      </c>
      <c r="K9830" t="s">
        <v>37210</v>
      </c>
      <c r="M9830" t="s">
        <v>37533</v>
      </c>
      <c r="N9830" t="s">
        <v>41249</v>
      </c>
      <c r="O9830" t="s">
        <v>41250</v>
      </c>
      <c r="P9830">
        <v>0</v>
      </c>
      <c r="Q9830">
        <v>0</v>
      </c>
      <c r="R9830" t="s">
        <v>41260</v>
      </c>
      <c r="S9830" t="s">
        <v>41624</v>
      </c>
      <c r="T9830" t="s">
        <v>42700</v>
      </c>
      <c r="U9830" t="s">
        <v>51122</v>
      </c>
      <c r="W9830" t="s">
        <v>37533</v>
      </c>
      <c r="X9830" t="s">
        <v>41261</v>
      </c>
    </row>
    <row r="9831" spans="1:24">
      <c r="A9831">
        <f>HYPERLINK("https://www.philgeps.gov.ph/GEPSNONPILOT/Tender/SplashBidNoticeAbstractUI.aspx?menuIndex=3&amp;refID=7060148&amp;Result=3","7060148")</f>
        <v>0</v>
      </c>
      <c r="B9831" t="s">
        <v>408</v>
      </c>
      <c r="C9831" t="s">
        <v>12766</v>
      </c>
      <c r="D9831" t="s">
        <v>16673</v>
      </c>
      <c r="E9831" t="s">
        <v>25256</v>
      </c>
      <c r="F9831" t="s">
        <v>28669</v>
      </c>
      <c r="G9831" t="s">
        <v>28679</v>
      </c>
      <c r="H9831" t="s">
        <v>9998</v>
      </c>
      <c r="I9831" t="s">
        <v>28687</v>
      </c>
      <c r="J9831" t="s">
        <v>31737</v>
      </c>
      <c r="K9831" t="s">
        <v>37209</v>
      </c>
      <c r="M9831" t="s">
        <v>37893</v>
      </c>
      <c r="N9831" t="s">
        <v>41249</v>
      </c>
      <c r="O9831" t="s">
        <v>41250</v>
      </c>
      <c r="P9831">
        <v>0</v>
      </c>
      <c r="Q9831">
        <v>9</v>
      </c>
      <c r="R9831" t="s">
        <v>41260</v>
      </c>
      <c r="S9831" t="s">
        <v>41624</v>
      </c>
      <c r="T9831" t="s">
        <v>42911</v>
      </c>
      <c r="U9831" t="s">
        <v>51123</v>
      </c>
      <c r="V9831" t="s">
        <v>55345</v>
      </c>
      <c r="W9831" t="s">
        <v>37893</v>
      </c>
      <c r="X9831" t="s">
        <v>41261</v>
      </c>
    </row>
    <row r="9832" spans="1:24">
      <c r="A9832">
        <f>HYPERLINK("https://www.philgeps.gov.ph/GEPSNONPILOT/Tender/SplashBidNoticeAbstractUI.aspx?menuIndex=3&amp;refID=7060141&amp;Result=3","7060141")</f>
        <v>0</v>
      </c>
      <c r="B9832" t="s">
        <v>195</v>
      </c>
      <c r="C9832" t="s">
        <v>12767</v>
      </c>
      <c r="D9832" t="s">
        <v>16636</v>
      </c>
      <c r="E9832" t="s">
        <v>25257</v>
      </c>
      <c r="F9832" t="s">
        <v>28669</v>
      </c>
      <c r="G9832" t="s">
        <v>28675</v>
      </c>
      <c r="H9832" t="s">
        <v>9998</v>
      </c>
      <c r="I9832" t="s">
        <v>11593</v>
      </c>
      <c r="J9832" t="s">
        <v>34905</v>
      </c>
      <c r="K9832" t="s">
        <v>37205</v>
      </c>
      <c r="M9832" t="s">
        <v>37673</v>
      </c>
      <c r="N9832" t="s">
        <v>41249</v>
      </c>
      <c r="O9832" t="s">
        <v>41250</v>
      </c>
      <c r="P9832">
        <v>0</v>
      </c>
      <c r="Q9832">
        <v>2</v>
      </c>
      <c r="R9832" t="s">
        <v>41260</v>
      </c>
      <c r="S9832" t="s">
        <v>41624</v>
      </c>
      <c r="T9832" t="s">
        <v>43104</v>
      </c>
      <c r="U9832" t="s">
        <v>51124</v>
      </c>
      <c r="W9832" t="s">
        <v>37673</v>
      </c>
      <c r="X9832" t="s">
        <v>41261</v>
      </c>
    </row>
    <row r="9833" spans="1:24">
      <c r="A9833">
        <f>HYPERLINK("https://www.philgeps.gov.ph/GEPSNONPILOT/Tender/SplashBidNoticeAbstractUI.aspx?menuIndex=3&amp;refID=7060160&amp;Result=3","7060160")</f>
        <v>0</v>
      </c>
      <c r="B9833" t="s">
        <v>864</v>
      </c>
      <c r="C9833" t="s">
        <v>12768</v>
      </c>
      <c r="D9833" t="s">
        <v>16608</v>
      </c>
      <c r="E9833" t="s">
        <v>25258</v>
      </c>
      <c r="F9833" t="s">
        <v>28669</v>
      </c>
      <c r="G9833" t="s">
        <v>28676</v>
      </c>
      <c r="H9833" t="s">
        <v>9998</v>
      </c>
      <c r="I9833" t="s">
        <v>28708</v>
      </c>
      <c r="J9833" t="s">
        <v>31827</v>
      </c>
      <c r="K9833" t="s">
        <v>37206</v>
      </c>
      <c r="M9833" t="s">
        <v>40580</v>
      </c>
      <c r="N9833" t="s">
        <v>41249</v>
      </c>
      <c r="O9833" t="s">
        <v>41250</v>
      </c>
      <c r="P9833">
        <v>0</v>
      </c>
      <c r="Q9833">
        <v>11</v>
      </c>
      <c r="R9833" t="s">
        <v>41260</v>
      </c>
      <c r="S9833" t="s">
        <v>41624</v>
      </c>
      <c r="T9833" t="s">
        <v>42774</v>
      </c>
      <c r="U9833" t="s">
        <v>51125</v>
      </c>
      <c r="W9833" t="s">
        <v>40580</v>
      </c>
      <c r="X9833" t="s">
        <v>41261</v>
      </c>
    </row>
    <row r="9834" spans="1:24">
      <c r="A9834">
        <f>HYPERLINK("https://www.philgeps.gov.ph/GEPSNONPILOT/Tender/SplashBidNoticeAbstractUI.aspx?menuIndex=3&amp;refID=7060049&amp;Result=3","7060049")</f>
        <v>0</v>
      </c>
      <c r="B9834" t="s">
        <v>2852</v>
      </c>
      <c r="C9834" t="s">
        <v>12769</v>
      </c>
      <c r="D9834" t="s">
        <v>16666</v>
      </c>
      <c r="E9834" t="s">
        <v>25259</v>
      </c>
      <c r="F9834" t="s">
        <v>28669</v>
      </c>
      <c r="G9834" t="s">
        <v>28675</v>
      </c>
      <c r="H9834" t="s">
        <v>28686</v>
      </c>
      <c r="I9834" t="s">
        <v>28689</v>
      </c>
      <c r="J9834" t="s">
        <v>34906</v>
      </c>
      <c r="K9834" t="s">
        <v>37209</v>
      </c>
      <c r="M9834" t="s">
        <v>40590</v>
      </c>
      <c r="N9834" t="s">
        <v>41249</v>
      </c>
      <c r="O9834" t="s">
        <v>41250</v>
      </c>
      <c r="P9834">
        <v>0</v>
      </c>
      <c r="Q9834">
        <v>0</v>
      </c>
      <c r="R9834" t="s">
        <v>41260</v>
      </c>
      <c r="S9834" t="s">
        <v>41624</v>
      </c>
      <c r="T9834" t="s">
        <v>42760</v>
      </c>
      <c r="U9834" t="s">
        <v>51126</v>
      </c>
      <c r="W9834" t="s">
        <v>40590</v>
      </c>
      <c r="X9834" t="s">
        <v>41261</v>
      </c>
    </row>
    <row r="9835" spans="1:24">
      <c r="A9835">
        <f>HYPERLINK("https://www.philgeps.gov.ph/GEPSNONPILOT/Tender/SplashBidNoticeAbstractUI.aspx?menuIndex=3&amp;refID=7060147&amp;Result=3","7060147")</f>
        <v>0</v>
      </c>
      <c r="B9835" t="s">
        <v>2449</v>
      </c>
      <c r="C9835" t="s">
        <v>12770</v>
      </c>
      <c r="D9835" t="s">
        <v>16645</v>
      </c>
      <c r="E9835" t="s">
        <v>25260</v>
      </c>
      <c r="F9835" t="s">
        <v>28669</v>
      </c>
      <c r="G9835" t="s">
        <v>28675</v>
      </c>
      <c r="H9835" t="s">
        <v>9998</v>
      </c>
      <c r="I9835" t="s">
        <v>28690</v>
      </c>
      <c r="J9835" t="s">
        <v>28838</v>
      </c>
      <c r="K9835" t="s">
        <v>37209</v>
      </c>
      <c r="M9835" t="s">
        <v>40132</v>
      </c>
      <c r="N9835" t="s">
        <v>41249</v>
      </c>
      <c r="O9835" t="s">
        <v>41250</v>
      </c>
      <c r="P9835">
        <v>0</v>
      </c>
      <c r="Q9835">
        <v>2</v>
      </c>
      <c r="R9835" t="s">
        <v>41260</v>
      </c>
      <c r="S9835" t="s">
        <v>41624</v>
      </c>
      <c r="T9835" t="s">
        <v>42972</v>
      </c>
      <c r="U9835" t="s">
        <v>51127</v>
      </c>
      <c r="W9835" t="s">
        <v>40132</v>
      </c>
      <c r="X9835" t="s">
        <v>41261</v>
      </c>
    </row>
    <row r="9836" spans="1:24">
      <c r="A9836">
        <f>HYPERLINK("https://www.philgeps.gov.ph/GEPSNONPILOT/Tender/SplashBidNoticeAbstractUI.aspx?menuIndex=3&amp;refID=7060139&amp;Result=3","7060139")</f>
        <v>0</v>
      </c>
      <c r="B9836" t="s">
        <v>2853</v>
      </c>
      <c r="C9836" t="s">
        <v>12771</v>
      </c>
      <c r="D9836" t="s">
        <v>16691</v>
      </c>
      <c r="E9836" t="s">
        <v>19625</v>
      </c>
      <c r="F9836" t="s">
        <v>28671</v>
      </c>
      <c r="G9836" t="s">
        <v>28675</v>
      </c>
      <c r="H9836" t="s">
        <v>28686</v>
      </c>
      <c r="I9836" t="s">
        <v>28689</v>
      </c>
      <c r="J9836" t="s">
        <v>34907</v>
      </c>
      <c r="K9836" t="s">
        <v>37205</v>
      </c>
      <c r="M9836" t="s">
        <v>40591</v>
      </c>
      <c r="N9836" t="s">
        <v>41249</v>
      </c>
      <c r="O9836" t="s">
        <v>41250</v>
      </c>
      <c r="P9836">
        <v>0</v>
      </c>
      <c r="Q9836">
        <v>0</v>
      </c>
      <c r="R9836" t="s">
        <v>41260</v>
      </c>
      <c r="S9836" t="s">
        <v>41624</v>
      </c>
      <c r="T9836" t="s">
        <v>42680</v>
      </c>
      <c r="U9836" t="s">
        <v>51128</v>
      </c>
      <c r="W9836" t="s">
        <v>40591</v>
      </c>
      <c r="X9836" t="s">
        <v>41261</v>
      </c>
    </row>
    <row r="9837" spans="1:24">
      <c r="A9837">
        <f>HYPERLINK("https://www.philgeps.gov.ph/GEPSNONPILOT/Tender/SplashBidNoticeAbstractUI.aspx?menuIndex=3&amp;refID=7060120&amp;Result=3","7060120")</f>
        <v>0</v>
      </c>
      <c r="B9837" t="s">
        <v>540</v>
      </c>
      <c r="C9837" t="s">
        <v>12772</v>
      </c>
      <c r="D9837" t="s">
        <v>16624</v>
      </c>
      <c r="E9837" t="s">
        <v>22184</v>
      </c>
      <c r="F9837" t="s">
        <v>28669</v>
      </c>
      <c r="G9837" t="s">
        <v>28675</v>
      </c>
      <c r="H9837" t="s">
        <v>9998</v>
      </c>
      <c r="I9837" t="s">
        <v>11142</v>
      </c>
      <c r="J9837" t="s">
        <v>29035</v>
      </c>
      <c r="K9837" t="s">
        <v>37206</v>
      </c>
      <c r="M9837" t="s">
        <v>38033</v>
      </c>
      <c r="N9837" t="s">
        <v>41249</v>
      </c>
      <c r="O9837" t="s">
        <v>41250</v>
      </c>
      <c r="P9837">
        <v>0</v>
      </c>
      <c r="Q9837">
        <v>0</v>
      </c>
      <c r="R9837" t="s">
        <v>41260</v>
      </c>
      <c r="S9837" t="s">
        <v>41624</v>
      </c>
      <c r="T9837" t="s">
        <v>43107</v>
      </c>
      <c r="U9837" t="s">
        <v>51129</v>
      </c>
      <c r="W9837" t="s">
        <v>38033</v>
      </c>
      <c r="X9837" t="s">
        <v>41261</v>
      </c>
    </row>
    <row r="9838" spans="1:24">
      <c r="A9838">
        <f>HYPERLINK("https://www.philgeps.gov.ph/GEPSNONPILOT/Tender/SplashBidNoticeAbstractUI.aspx?menuIndex=3&amp;refID=7060130&amp;Result=3","7060130")</f>
        <v>0</v>
      </c>
      <c r="B9838" t="s">
        <v>2854</v>
      </c>
      <c r="C9838" t="s">
        <v>12773</v>
      </c>
      <c r="D9838" t="s">
        <v>16639</v>
      </c>
      <c r="E9838" t="s">
        <v>25261</v>
      </c>
      <c r="F9838" t="s">
        <v>28669</v>
      </c>
      <c r="G9838" t="s">
        <v>28675</v>
      </c>
      <c r="H9838" t="s">
        <v>9998</v>
      </c>
      <c r="I9838" t="s">
        <v>7352</v>
      </c>
      <c r="J9838" t="s">
        <v>34908</v>
      </c>
      <c r="K9838" t="s">
        <v>37204</v>
      </c>
      <c r="M9838" t="s">
        <v>40592</v>
      </c>
      <c r="N9838" t="s">
        <v>41249</v>
      </c>
      <c r="O9838" t="s">
        <v>41250</v>
      </c>
      <c r="P9838">
        <v>0</v>
      </c>
      <c r="Q9838">
        <v>0</v>
      </c>
      <c r="R9838" t="s">
        <v>41260</v>
      </c>
      <c r="S9838" t="s">
        <v>41624</v>
      </c>
      <c r="T9838" t="s">
        <v>42809</v>
      </c>
      <c r="U9838" t="s">
        <v>51130</v>
      </c>
      <c r="W9838" t="s">
        <v>40592</v>
      </c>
      <c r="X9838" t="s">
        <v>41261</v>
      </c>
    </row>
    <row r="9839" spans="1:24">
      <c r="A9839">
        <f>HYPERLINK("https://www.philgeps.gov.ph/GEPSNONPILOT/Tender/SplashBidNoticeAbstractUI.aspx?menuIndex=3&amp;refID=7060116&amp;Result=3","7060116")</f>
        <v>0</v>
      </c>
      <c r="B9839" t="s">
        <v>1738</v>
      </c>
      <c r="C9839" t="s">
        <v>12774</v>
      </c>
      <c r="D9839" t="s">
        <v>16651</v>
      </c>
      <c r="E9839" t="s">
        <v>25262</v>
      </c>
      <c r="F9839" t="s">
        <v>28669</v>
      </c>
      <c r="G9839" t="s">
        <v>28675</v>
      </c>
      <c r="H9839" t="s">
        <v>28686</v>
      </c>
      <c r="I9839" t="s">
        <v>28689</v>
      </c>
      <c r="J9839" t="s">
        <v>29003</v>
      </c>
      <c r="K9839" t="s">
        <v>37206</v>
      </c>
      <c r="M9839" t="s">
        <v>39339</v>
      </c>
      <c r="N9839" t="s">
        <v>41249</v>
      </c>
      <c r="O9839" t="s">
        <v>41250</v>
      </c>
      <c r="P9839">
        <v>0</v>
      </c>
      <c r="Q9839">
        <v>0</v>
      </c>
      <c r="R9839" t="s">
        <v>41260</v>
      </c>
      <c r="S9839" t="s">
        <v>41624</v>
      </c>
      <c r="T9839" t="s">
        <v>42857</v>
      </c>
      <c r="U9839" t="s">
        <v>51088</v>
      </c>
      <c r="W9839" t="s">
        <v>39339</v>
      </c>
      <c r="X9839" t="s">
        <v>41261</v>
      </c>
    </row>
    <row r="9840" spans="1:24">
      <c r="A9840">
        <f>HYPERLINK("https://www.philgeps.gov.ph/GEPSNONPILOT/Tender/SplashBidNoticeAbstractUI.aspx?menuIndex=3&amp;refID=7060115&amp;Result=3","7060115")</f>
        <v>0</v>
      </c>
      <c r="B9840" t="s">
        <v>864</v>
      </c>
      <c r="C9840" t="s">
        <v>12775</v>
      </c>
      <c r="D9840" t="s">
        <v>16608</v>
      </c>
      <c r="E9840" t="s">
        <v>25263</v>
      </c>
      <c r="F9840" t="s">
        <v>28669</v>
      </c>
      <c r="G9840" t="s">
        <v>28676</v>
      </c>
      <c r="H9840" t="s">
        <v>9998</v>
      </c>
      <c r="I9840" t="s">
        <v>28708</v>
      </c>
      <c r="J9840" t="s">
        <v>31827</v>
      </c>
      <c r="K9840" t="s">
        <v>37206</v>
      </c>
      <c r="M9840" t="s">
        <v>40580</v>
      </c>
      <c r="N9840" t="s">
        <v>41249</v>
      </c>
      <c r="O9840" t="s">
        <v>41250</v>
      </c>
      <c r="P9840">
        <v>0</v>
      </c>
      <c r="Q9840">
        <v>11</v>
      </c>
      <c r="R9840" t="s">
        <v>41260</v>
      </c>
      <c r="S9840" t="s">
        <v>41624</v>
      </c>
      <c r="T9840" t="s">
        <v>42774</v>
      </c>
      <c r="U9840" t="s">
        <v>44894</v>
      </c>
      <c r="W9840" t="s">
        <v>40580</v>
      </c>
      <c r="X9840" t="s">
        <v>41261</v>
      </c>
    </row>
    <row r="9841" spans="1:24">
      <c r="A9841">
        <f>HYPERLINK("https://www.philgeps.gov.ph/GEPSNONPILOT/Tender/SplashBidNoticeAbstractUI.aspx?menuIndex=3&amp;refID=7060108&amp;Result=3","7060108")</f>
        <v>0</v>
      </c>
      <c r="B9841" t="s">
        <v>2220</v>
      </c>
      <c r="C9841" t="s">
        <v>12776</v>
      </c>
      <c r="D9841" t="s">
        <v>16657</v>
      </c>
      <c r="E9841" t="s">
        <v>25264</v>
      </c>
      <c r="F9841" t="s">
        <v>28669</v>
      </c>
      <c r="G9841" t="s">
        <v>28675</v>
      </c>
      <c r="H9841" t="s">
        <v>9998</v>
      </c>
      <c r="I9841" t="s">
        <v>28757</v>
      </c>
      <c r="J9841" t="s">
        <v>28850</v>
      </c>
      <c r="K9841" t="s">
        <v>37272</v>
      </c>
      <c r="M9841" t="s">
        <v>40593</v>
      </c>
      <c r="N9841" t="s">
        <v>41249</v>
      </c>
      <c r="O9841" t="s">
        <v>41250</v>
      </c>
      <c r="P9841">
        <v>0</v>
      </c>
      <c r="Q9841">
        <v>4</v>
      </c>
      <c r="R9841" t="s">
        <v>41260</v>
      </c>
      <c r="S9841" t="s">
        <v>41624</v>
      </c>
      <c r="T9841" t="s">
        <v>42700</v>
      </c>
      <c r="U9841" t="s">
        <v>51131</v>
      </c>
      <c r="W9841" t="s">
        <v>40593</v>
      </c>
      <c r="X9841" t="s">
        <v>41261</v>
      </c>
    </row>
    <row r="9842" spans="1:24">
      <c r="A9842">
        <f>HYPERLINK("https://www.philgeps.gov.ph/GEPSNONPILOT/Tender/SplashBidNoticeAbstractUI.aspx?menuIndex=3&amp;refID=7060125&amp;Result=3","7060125")</f>
        <v>0</v>
      </c>
      <c r="B9842" t="s">
        <v>1559</v>
      </c>
      <c r="C9842" t="s">
        <v>12777</v>
      </c>
      <c r="D9842" t="s">
        <v>16643</v>
      </c>
      <c r="E9842" t="s">
        <v>25265</v>
      </c>
      <c r="F9842" t="s">
        <v>28669</v>
      </c>
      <c r="G9842" t="s">
        <v>28675</v>
      </c>
      <c r="H9842" t="s">
        <v>9998</v>
      </c>
      <c r="I9842" t="s">
        <v>28687</v>
      </c>
      <c r="J9842" t="s">
        <v>30162</v>
      </c>
      <c r="K9842" t="s">
        <v>37209</v>
      </c>
      <c r="M9842" t="s">
        <v>40588</v>
      </c>
      <c r="N9842" t="s">
        <v>41249</v>
      </c>
      <c r="O9842" t="s">
        <v>41250</v>
      </c>
      <c r="Q9842">
        <v>3</v>
      </c>
      <c r="R9842" t="s">
        <v>41260</v>
      </c>
      <c r="S9842" t="s">
        <v>41642</v>
      </c>
      <c r="T9842" t="s">
        <v>43023</v>
      </c>
      <c r="U9842" t="s">
        <v>51132</v>
      </c>
      <c r="W9842" t="s">
        <v>40588</v>
      </c>
      <c r="X9842" t="s">
        <v>41261</v>
      </c>
    </row>
    <row r="9843" spans="1:24">
      <c r="A9843">
        <f>HYPERLINK("https://www.philgeps.gov.ph/GEPSNONPILOT/Tender/SplashBidNoticeAbstractUI.aspx?menuIndex=3&amp;refID=7060161&amp;Result=3","7060161")</f>
        <v>0</v>
      </c>
      <c r="B9843" t="s">
        <v>181</v>
      </c>
      <c r="C9843" t="s">
        <v>12778</v>
      </c>
      <c r="D9843" t="s">
        <v>16647</v>
      </c>
      <c r="E9843" t="s">
        <v>25266</v>
      </c>
      <c r="F9843" t="s">
        <v>28669</v>
      </c>
      <c r="G9843" t="s">
        <v>28675</v>
      </c>
      <c r="H9843" t="s">
        <v>9998</v>
      </c>
      <c r="I9843" t="s">
        <v>6606</v>
      </c>
      <c r="J9843" t="s">
        <v>28894</v>
      </c>
      <c r="K9843" t="s">
        <v>37210</v>
      </c>
      <c r="M9843" t="s">
        <v>37658</v>
      </c>
      <c r="N9843" t="s">
        <v>41249</v>
      </c>
      <c r="O9843" t="s">
        <v>41250</v>
      </c>
      <c r="P9843">
        <v>0</v>
      </c>
      <c r="Q9843">
        <v>0</v>
      </c>
      <c r="R9843" t="s">
        <v>41260</v>
      </c>
      <c r="S9843" t="s">
        <v>41624</v>
      </c>
      <c r="T9843" t="s">
        <v>42914</v>
      </c>
      <c r="U9843" t="s">
        <v>50625</v>
      </c>
      <c r="W9843" t="s">
        <v>37658</v>
      </c>
      <c r="X9843" t="s">
        <v>41261</v>
      </c>
    </row>
    <row r="9844" spans="1:24">
      <c r="A9844">
        <f>HYPERLINK("https://www.philgeps.gov.ph/GEPSNONPILOT/Tender/SplashBidNoticeAbstractUI.aspx?menuIndex=3&amp;refID=7060275&amp;Result=3","7060275")</f>
        <v>0</v>
      </c>
      <c r="B9844" t="s">
        <v>2855</v>
      </c>
      <c r="C9844" t="s">
        <v>12779</v>
      </c>
      <c r="E9844" t="s">
        <v>25267</v>
      </c>
      <c r="F9844" t="s">
        <v>28669</v>
      </c>
      <c r="G9844" t="s">
        <v>28675</v>
      </c>
      <c r="H9844" t="s">
        <v>28686</v>
      </c>
      <c r="I9844" t="s">
        <v>28689</v>
      </c>
      <c r="J9844" t="s">
        <v>34909</v>
      </c>
      <c r="K9844" t="s">
        <v>37334</v>
      </c>
      <c r="M9844" t="s">
        <v>40594</v>
      </c>
      <c r="N9844" t="s">
        <v>41249</v>
      </c>
      <c r="O9844" t="s">
        <v>41250</v>
      </c>
      <c r="P9844">
        <v>0</v>
      </c>
      <c r="Q9844">
        <v>2</v>
      </c>
      <c r="R9844" t="s">
        <v>41260</v>
      </c>
      <c r="S9844" t="s">
        <v>41624</v>
      </c>
      <c r="T9844" t="s">
        <v>42739</v>
      </c>
      <c r="U9844" t="s">
        <v>51133</v>
      </c>
      <c r="W9844" t="s">
        <v>40594</v>
      </c>
      <c r="X9844" t="s">
        <v>41261</v>
      </c>
    </row>
    <row r="9845" spans="1:24">
      <c r="A9845">
        <f>HYPERLINK("https://www.philgeps.gov.ph/GEPSNONPILOT/Tender/SplashBidNoticeAbstractUI.aspx?menuIndex=3&amp;refID=7060268&amp;Result=3","7060268")</f>
        <v>0</v>
      </c>
      <c r="B9845" t="s">
        <v>2290</v>
      </c>
      <c r="C9845" t="s">
        <v>12780</v>
      </c>
      <c r="D9845" t="s">
        <v>16684</v>
      </c>
      <c r="E9845" t="s">
        <v>6919</v>
      </c>
      <c r="F9845" t="s">
        <v>28669</v>
      </c>
      <c r="G9845" t="s">
        <v>28675</v>
      </c>
      <c r="H9845" t="s">
        <v>9998</v>
      </c>
      <c r="I9845" t="s">
        <v>7352</v>
      </c>
      <c r="J9845" t="s">
        <v>34910</v>
      </c>
      <c r="K9845" t="s">
        <v>37205</v>
      </c>
      <c r="M9845" t="s">
        <v>39945</v>
      </c>
      <c r="N9845" t="s">
        <v>41249</v>
      </c>
      <c r="O9845" t="s">
        <v>41250</v>
      </c>
      <c r="P9845">
        <v>0</v>
      </c>
      <c r="Q9845">
        <v>3</v>
      </c>
      <c r="R9845" t="s">
        <v>41260</v>
      </c>
      <c r="S9845" t="s">
        <v>41624</v>
      </c>
      <c r="T9845" t="s">
        <v>42759</v>
      </c>
      <c r="U9845" t="s">
        <v>51134</v>
      </c>
      <c r="W9845" t="s">
        <v>39945</v>
      </c>
      <c r="X9845" t="s">
        <v>41261</v>
      </c>
    </row>
    <row r="9846" spans="1:24">
      <c r="A9846">
        <f>HYPERLINK("https://www.philgeps.gov.ph/GEPSNONPILOT/Tender/SplashBidNoticeAbstractUI.aspx?menuIndex=3&amp;refID=7060266&amp;Result=3","7060266")</f>
        <v>0</v>
      </c>
      <c r="B9846" t="s">
        <v>408</v>
      </c>
      <c r="C9846" t="s">
        <v>12781</v>
      </c>
      <c r="D9846" t="s">
        <v>16673</v>
      </c>
      <c r="E9846" t="s">
        <v>25268</v>
      </c>
      <c r="F9846" t="s">
        <v>28669</v>
      </c>
      <c r="G9846" t="s">
        <v>28675</v>
      </c>
      <c r="H9846" t="s">
        <v>9998</v>
      </c>
      <c r="I9846" t="s">
        <v>28768</v>
      </c>
      <c r="J9846" t="s">
        <v>34911</v>
      </c>
      <c r="K9846" t="s">
        <v>37209</v>
      </c>
      <c r="M9846" t="s">
        <v>37893</v>
      </c>
      <c r="N9846" t="s">
        <v>41249</v>
      </c>
      <c r="O9846" t="s">
        <v>41250</v>
      </c>
      <c r="P9846">
        <v>0</v>
      </c>
      <c r="Q9846">
        <v>2</v>
      </c>
      <c r="R9846" t="s">
        <v>41260</v>
      </c>
      <c r="S9846" t="s">
        <v>41624</v>
      </c>
      <c r="T9846" t="s">
        <v>42911</v>
      </c>
      <c r="U9846" t="s">
        <v>51135</v>
      </c>
      <c r="V9846" t="s">
        <v>55345</v>
      </c>
      <c r="W9846" t="s">
        <v>37893</v>
      </c>
      <c r="X9846" t="s">
        <v>41261</v>
      </c>
    </row>
    <row r="9847" spans="1:24">
      <c r="A9847">
        <f>HYPERLINK("https://www.philgeps.gov.ph/GEPSNONPILOT/Tender/SplashBidNoticeAbstractUI.aspx?menuIndex=3&amp;refID=7060261&amp;Result=3","7060261")</f>
        <v>0</v>
      </c>
      <c r="B9847" t="s">
        <v>236</v>
      </c>
      <c r="C9847" t="s">
        <v>12782</v>
      </c>
      <c r="D9847" t="s">
        <v>16663</v>
      </c>
      <c r="E9847" t="s">
        <v>12782</v>
      </c>
      <c r="F9847" t="s">
        <v>28669</v>
      </c>
      <c r="G9847" t="s">
        <v>28675</v>
      </c>
      <c r="H9847" t="s">
        <v>9998</v>
      </c>
      <c r="I9847" t="s">
        <v>28729</v>
      </c>
      <c r="J9847" t="s">
        <v>34912</v>
      </c>
      <c r="K9847" t="s">
        <v>37206</v>
      </c>
      <c r="M9847" t="s">
        <v>37714</v>
      </c>
      <c r="N9847" t="s">
        <v>41249</v>
      </c>
      <c r="O9847" t="s">
        <v>41250</v>
      </c>
      <c r="P9847">
        <v>0</v>
      </c>
      <c r="Q9847">
        <v>6</v>
      </c>
      <c r="R9847" t="s">
        <v>41260</v>
      </c>
      <c r="S9847" t="s">
        <v>41624</v>
      </c>
      <c r="T9847" t="s">
        <v>42811</v>
      </c>
      <c r="U9847" t="s">
        <v>51136</v>
      </c>
      <c r="W9847" t="s">
        <v>37714</v>
      </c>
      <c r="X9847" t="s">
        <v>41261</v>
      </c>
    </row>
    <row r="9848" spans="1:24">
      <c r="A9848">
        <f>HYPERLINK("https://www.philgeps.gov.ph/GEPSNONPILOT/Tender/SplashBidNoticeAbstractUI.aspx?menuIndex=3&amp;refID=7059821&amp;Result=3","7059821")</f>
        <v>0</v>
      </c>
      <c r="B9848" t="s">
        <v>2856</v>
      </c>
      <c r="C9848" t="s">
        <v>12783</v>
      </c>
      <c r="D9848" t="s">
        <v>16629</v>
      </c>
      <c r="E9848" t="s">
        <v>25269</v>
      </c>
      <c r="F9848" t="s">
        <v>28669</v>
      </c>
      <c r="G9848" t="s">
        <v>28675</v>
      </c>
      <c r="H9848" t="s">
        <v>9998</v>
      </c>
      <c r="I9848" t="s">
        <v>5213</v>
      </c>
      <c r="J9848" t="s">
        <v>29281</v>
      </c>
      <c r="K9848" t="s">
        <v>37243</v>
      </c>
      <c r="M9848" t="s">
        <v>40595</v>
      </c>
      <c r="N9848" t="s">
        <v>41249</v>
      </c>
      <c r="O9848" t="s">
        <v>41250</v>
      </c>
      <c r="P9848">
        <v>0</v>
      </c>
      <c r="Q9848">
        <v>2</v>
      </c>
      <c r="R9848" t="s">
        <v>41260</v>
      </c>
      <c r="S9848" t="s">
        <v>41624</v>
      </c>
      <c r="T9848" t="s">
        <v>42739</v>
      </c>
      <c r="U9848" t="s">
        <v>51137</v>
      </c>
      <c r="W9848" t="s">
        <v>40595</v>
      </c>
      <c r="X9848" t="s">
        <v>41261</v>
      </c>
    </row>
    <row r="9849" spans="1:24">
      <c r="A9849">
        <f>HYPERLINK("https://www.philgeps.gov.ph/GEPSNONPILOT/Tender/SplashBidNoticeAbstractUI.aspx?menuIndex=3&amp;refID=7060245&amp;Result=3","7060245")</f>
        <v>0</v>
      </c>
      <c r="B9849" t="s">
        <v>236</v>
      </c>
      <c r="C9849" t="s">
        <v>12784</v>
      </c>
      <c r="D9849" t="s">
        <v>16663</v>
      </c>
      <c r="E9849" t="s">
        <v>12784</v>
      </c>
      <c r="F9849" t="s">
        <v>28669</v>
      </c>
      <c r="G9849" t="s">
        <v>28675</v>
      </c>
      <c r="H9849" t="s">
        <v>9998</v>
      </c>
      <c r="I9849" t="s">
        <v>28784</v>
      </c>
      <c r="J9849" t="s">
        <v>30092</v>
      </c>
      <c r="K9849" t="s">
        <v>37209</v>
      </c>
      <c r="M9849" t="s">
        <v>37714</v>
      </c>
      <c r="N9849" t="s">
        <v>41249</v>
      </c>
      <c r="O9849" t="s">
        <v>41250</v>
      </c>
      <c r="P9849">
        <v>0</v>
      </c>
      <c r="Q9849">
        <v>0</v>
      </c>
      <c r="R9849" t="s">
        <v>41260</v>
      </c>
      <c r="S9849" t="s">
        <v>41624</v>
      </c>
      <c r="T9849" t="s">
        <v>42811</v>
      </c>
      <c r="U9849" t="s">
        <v>51138</v>
      </c>
      <c r="W9849" t="s">
        <v>37714</v>
      </c>
      <c r="X9849" t="s">
        <v>41261</v>
      </c>
    </row>
    <row r="9850" spans="1:24">
      <c r="A9850">
        <f>HYPERLINK("https://www.philgeps.gov.ph/GEPSNONPILOT/Tender/SplashBidNoticeAbstractUI.aspx?menuIndex=3&amp;refID=7060100&amp;Result=3","7060100")</f>
        <v>0</v>
      </c>
      <c r="B9850" t="s">
        <v>1559</v>
      </c>
      <c r="C9850" t="s">
        <v>12785</v>
      </c>
      <c r="D9850" t="s">
        <v>16643</v>
      </c>
      <c r="E9850" t="s">
        <v>25270</v>
      </c>
      <c r="F9850" t="s">
        <v>28669</v>
      </c>
      <c r="G9850" t="s">
        <v>28675</v>
      </c>
      <c r="H9850" t="s">
        <v>9998</v>
      </c>
      <c r="I9850" t="s">
        <v>15140</v>
      </c>
      <c r="J9850" t="s">
        <v>31787</v>
      </c>
      <c r="K9850" t="s">
        <v>37209</v>
      </c>
      <c r="M9850" t="s">
        <v>40588</v>
      </c>
      <c r="N9850" t="s">
        <v>41249</v>
      </c>
      <c r="O9850" t="s">
        <v>41250</v>
      </c>
      <c r="Q9850">
        <v>0</v>
      </c>
      <c r="R9850" t="s">
        <v>41260</v>
      </c>
      <c r="S9850" t="s">
        <v>41553</v>
      </c>
      <c r="T9850" t="s">
        <v>43023</v>
      </c>
      <c r="U9850" t="s">
        <v>51139</v>
      </c>
      <c r="W9850" t="s">
        <v>40588</v>
      </c>
      <c r="X9850" t="s">
        <v>41261</v>
      </c>
    </row>
    <row r="9851" spans="1:24">
      <c r="A9851">
        <f>HYPERLINK("https://www.philgeps.gov.ph/GEPSNONPILOT/Tender/SplashBidNoticeAbstractUI.aspx?menuIndex=3&amp;refID=7060238&amp;Result=3","7060238")</f>
        <v>0</v>
      </c>
      <c r="B9851" t="s">
        <v>2842</v>
      </c>
      <c r="C9851" t="s">
        <v>12786</v>
      </c>
      <c r="D9851" t="s">
        <v>16616</v>
      </c>
      <c r="E9851" t="s">
        <v>25271</v>
      </c>
      <c r="F9851" t="s">
        <v>28669</v>
      </c>
      <c r="G9851" t="s">
        <v>28675</v>
      </c>
      <c r="H9851" t="s">
        <v>9998</v>
      </c>
      <c r="I9851" t="s">
        <v>7352</v>
      </c>
      <c r="J9851" t="s">
        <v>34913</v>
      </c>
      <c r="K9851" t="s">
        <v>37210</v>
      </c>
      <c r="M9851" t="s">
        <v>40578</v>
      </c>
      <c r="N9851" t="s">
        <v>41249</v>
      </c>
      <c r="O9851" t="s">
        <v>41250</v>
      </c>
      <c r="P9851">
        <v>0</v>
      </c>
      <c r="Q9851">
        <v>0</v>
      </c>
      <c r="R9851" t="s">
        <v>41260</v>
      </c>
      <c r="S9851" t="s">
        <v>41624</v>
      </c>
      <c r="T9851" t="s">
        <v>42739</v>
      </c>
      <c r="U9851" t="s">
        <v>51140</v>
      </c>
      <c r="V9851" t="s">
        <v>55340</v>
      </c>
      <c r="W9851" t="s">
        <v>40578</v>
      </c>
      <c r="X9851" t="s">
        <v>41261</v>
      </c>
    </row>
    <row r="9852" spans="1:24">
      <c r="A9852">
        <f>HYPERLINK("https://www.philgeps.gov.ph/GEPSNONPILOT/Tender/SplashBidNoticeAbstractUI.aspx?menuIndex=3&amp;refID=7060226&amp;Result=3","7060226")</f>
        <v>0</v>
      </c>
      <c r="B9852" t="s">
        <v>2472</v>
      </c>
      <c r="C9852" t="s">
        <v>12787</v>
      </c>
      <c r="D9852" t="s">
        <v>16664</v>
      </c>
      <c r="E9852" t="s">
        <v>25272</v>
      </c>
      <c r="F9852" t="s">
        <v>28669</v>
      </c>
      <c r="G9852" t="s">
        <v>28675</v>
      </c>
      <c r="H9852" t="s">
        <v>9998</v>
      </c>
      <c r="I9852" t="s">
        <v>28704</v>
      </c>
      <c r="J9852" t="s">
        <v>34914</v>
      </c>
      <c r="K9852" t="s">
        <v>37206</v>
      </c>
      <c r="M9852" t="s">
        <v>40155</v>
      </c>
      <c r="N9852" t="s">
        <v>41249</v>
      </c>
      <c r="O9852" t="s">
        <v>41250</v>
      </c>
      <c r="P9852">
        <v>0</v>
      </c>
      <c r="Q9852">
        <v>0</v>
      </c>
      <c r="R9852" t="s">
        <v>41260</v>
      </c>
      <c r="S9852" t="s">
        <v>41624</v>
      </c>
      <c r="T9852" t="s">
        <v>42760</v>
      </c>
      <c r="U9852" t="s">
        <v>51141</v>
      </c>
      <c r="W9852" t="s">
        <v>40155</v>
      </c>
      <c r="X9852" t="s">
        <v>41261</v>
      </c>
    </row>
    <row r="9853" spans="1:24">
      <c r="A9853">
        <f>HYPERLINK("https://www.philgeps.gov.ph/GEPSNONPILOT/Tender/SplashBidNoticeAbstractUI.aspx?menuIndex=3&amp;refID=7060221&amp;Result=3","7060221")</f>
        <v>0</v>
      </c>
      <c r="B9853" t="s">
        <v>1559</v>
      </c>
      <c r="C9853" t="s">
        <v>12788</v>
      </c>
      <c r="D9853" t="s">
        <v>16643</v>
      </c>
      <c r="E9853" t="s">
        <v>25273</v>
      </c>
      <c r="F9853" t="s">
        <v>28669</v>
      </c>
      <c r="G9853" t="s">
        <v>28675</v>
      </c>
      <c r="H9853" t="s">
        <v>9998</v>
      </c>
      <c r="I9853" t="s">
        <v>28704</v>
      </c>
      <c r="J9853" t="s">
        <v>34915</v>
      </c>
      <c r="K9853" t="s">
        <v>37209</v>
      </c>
      <c r="M9853" t="s">
        <v>40588</v>
      </c>
      <c r="N9853" t="s">
        <v>41249</v>
      </c>
      <c r="O9853" t="s">
        <v>41250</v>
      </c>
      <c r="Q9853">
        <v>6</v>
      </c>
      <c r="R9853" t="s">
        <v>41260</v>
      </c>
      <c r="S9853" t="s">
        <v>41643</v>
      </c>
      <c r="T9853" t="s">
        <v>43023</v>
      </c>
      <c r="U9853" t="s">
        <v>51142</v>
      </c>
      <c r="W9853" t="s">
        <v>40588</v>
      </c>
      <c r="X9853" t="s">
        <v>41261</v>
      </c>
    </row>
    <row r="9854" spans="1:24">
      <c r="A9854">
        <f>HYPERLINK("https://www.philgeps.gov.ph/GEPSNONPILOT/Tender/SplashBidNoticeAbstractUI.aspx?menuIndex=3&amp;refID=7060217&amp;Result=3","7060217")</f>
        <v>0</v>
      </c>
      <c r="B9854" t="s">
        <v>2842</v>
      </c>
      <c r="C9854" t="s">
        <v>12789</v>
      </c>
      <c r="D9854" t="s">
        <v>16616</v>
      </c>
      <c r="E9854" t="s">
        <v>25274</v>
      </c>
      <c r="F9854" t="s">
        <v>28669</v>
      </c>
      <c r="G9854" t="s">
        <v>28675</v>
      </c>
      <c r="H9854" t="s">
        <v>9998</v>
      </c>
      <c r="I9854" t="s">
        <v>7352</v>
      </c>
      <c r="J9854" t="s">
        <v>34916</v>
      </c>
      <c r="K9854" t="s">
        <v>37210</v>
      </c>
      <c r="M9854" t="s">
        <v>40578</v>
      </c>
      <c r="N9854" t="s">
        <v>41249</v>
      </c>
      <c r="O9854" t="s">
        <v>41250</v>
      </c>
      <c r="P9854">
        <v>0</v>
      </c>
      <c r="Q9854">
        <v>0</v>
      </c>
      <c r="R9854" t="s">
        <v>41260</v>
      </c>
      <c r="S9854" t="s">
        <v>41624</v>
      </c>
      <c r="T9854" t="s">
        <v>42739</v>
      </c>
      <c r="U9854" t="s">
        <v>51143</v>
      </c>
      <c r="V9854" t="s">
        <v>55340</v>
      </c>
      <c r="W9854" t="s">
        <v>40578</v>
      </c>
      <c r="X9854" t="s">
        <v>41261</v>
      </c>
    </row>
    <row r="9855" spans="1:24">
      <c r="A9855">
        <f>HYPERLINK("https://www.philgeps.gov.ph/GEPSNONPILOT/Tender/SplashBidNoticeAbstractUI.aspx?menuIndex=3&amp;refID=7059984&amp;Result=3","7059984")</f>
        <v>0</v>
      </c>
      <c r="B9855" t="s">
        <v>2840</v>
      </c>
      <c r="C9855" t="s">
        <v>12790</v>
      </c>
      <c r="D9855" t="s">
        <v>16611</v>
      </c>
      <c r="E9855" t="s">
        <v>25275</v>
      </c>
      <c r="F9855" t="s">
        <v>28669</v>
      </c>
      <c r="G9855" t="s">
        <v>28675</v>
      </c>
      <c r="H9855" t="s">
        <v>9998</v>
      </c>
      <c r="I9855" t="s">
        <v>28708</v>
      </c>
      <c r="J9855" t="s">
        <v>29003</v>
      </c>
      <c r="K9855" t="s">
        <v>37206</v>
      </c>
      <c r="L9855" t="s">
        <v>2840</v>
      </c>
      <c r="M9855" t="s">
        <v>40576</v>
      </c>
      <c r="N9855" t="s">
        <v>41249</v>
      </c>
      <c r="O9855" t="s">
        <v>41250</v>
      </c>
      <c r="P9855">
        <v>0</v>
      </c>
      <c r="Q9855">
        <v>2</v>
      </c>
      <c r="R9855" t="s">
        <v>41260</v>
      </c>
      <c r="S9855" t="s">
        <v>41624</v>
      </c>
      <c r="T9855" t="s">
        <v>42670</v>
      </c>
      <c r="U9855" t="s">
        <v>51144</v>
      </c>
      <c r="W9855" t="s">
        <v>40576</v>
      </c>
      <c r="X9855" t="s">
        <v>41261</v>
      </c>
    </row>
    <row r="9856" spans="1:24">
      <c r="A9856">
        <f>HYPERLINK("https://www.philgeps.gov.ph/GEPSNONPILOT/Tender/SplashBidNoticeAbstractUI.aspx?menuIndex=3&amp;refID=7060209&amp;Result=3","7060209")</f>
        <v>0</v>
      </c>
      <c r="B9856" t="s">
        <v>236</v>
      </c>
      <c r="C9856" t="s">
        <v>12791</v>
      </c>
      <c r="D9856" t="s">
        <v>16663</v>
      </c>
      <c r="E9856" t="s">
        <v>12791</v>
      </c>
      <c r="F9856" t="s">
        <v>28669</v>
      </c>
      <c r="G9856" t="s">
        <v>28675</v>
      </c>
      <c r="H9856" t="s">
        <v>9998</v>
      </c>
      <c r="I9856" t="s">
        <v>3718</v>
      </c>
      <c r="J9856" t="s">
        <v>34917</v>
      </c>
      <c r="K9856" t="s">
        <v>37206</v>
      </c>
      <c r="M9856" t="s">
        <v>37714</v>
      </c>
      <c r="N9856" t="s">
        <v>41249</v>
      </c>
      <c r="O9856" t="s">
        <v>41250</v>
      </c>
      <c r="P9856">
        <v>0</v>
      </c>
      <c r="Q9856">
        <v>1</v>
      </c>
      <c r="R9856" t="s">
        <v>41260</v>
      </c>
      <c r="S9856" t="s">
        <v>41624</v>
      </c>
      <c r="T9856" t="s">
        <v>42811</v>
      </c>
      <c r="U9856" t="s">
        <v>51145</v>
      </c>
      <c r="W9856" t="s">
        <v>37714</v>
      </c>
      <c r="X9856" t="s">
        <v>41261</v>
      </c>
    </row>
    <row r="9857" spans="1:24">
      <c r="A9857">
        <f>HYPERLINK("https://www.philgeps.gov.ph/GEPSNONPILOT/Tender/SplashBidNoticeAbstractUI.aspx?menuIndex=3&amp;refID=7060203&amp;Result=3","7060203")</f>
        <v>0</v>
      </c>
      <c r="B9857" t="s">
        <v>2857</v>
      </c>
      <c r="C9857" t="s">
        <v>12792</v>
      </c>
      <c r="D9857" t="s">
        <v>16640</v>
      </c>
      <c r="E9857" t="s">
        <v>17140</v>
      </c>
      <c r="F9857" t="s">
        <v>28669</v>
      </c>
      <c r="G9857" t="s">
        <v>28675</v>
      </c>
      <c r="H9857" t="s">
        <v>9998</v>
      </c>
      <c r="I9857" t="s">
        <v>28792</v>
      </c>
      <c r="J9857" t="s">
        <v>29053</v>
      </c>
      <c r="K9857" t="s">
        <v>37397</v>
      </c>
      <c r="M9857" t="s">
        <v>40596</v>
      </c>
      <c r="N9857" t="s">
        <v>41249</v>
      </c>
      <c r="O9857" t="s">
        <v>41250</v>
      </c>
      <c r="P9857">
        <v>0</v>
      </c>
      <c r="Q9857">
        <v>2</v>
      </c>
      <c r="R9857" t="s">
        <v>41260</v>
      </c>
      <c r="S9857" t="s">
        <v>41624</v>
      </c>
      <c r="T9857" t="s">
        <v>42836</v>
      </c>
      <c r="U9857" t="s">
        <v>51146</v>
      </c>
      <c r="W9857" t="s">
        <v>40596</v>
      </c>
      <c r="X9857" t="s">
        <v>41261</v>
      </c>
    </row>
    <row r="9858" spans="1:24">
      <c r="A9858">
        <f>HYPERLINK("https://www.philgeps.gov.ph/GEPSNONPILOT/Tender/SplashBidNoticeAbstractUI.aspx?menuIndex=3&amp;refID=7060197&amp;Result=3","7060197")</f>
        <v>0</v>
      </c>
      <c r="B9858" t="s">
        <v>147</v>
      </c>
      <c r="C9858" t="s">
        <v>12793</v>
      </c>
      <c r="D9858" t="s">
        <v>16631</v>
      </c>
      <c r="E9858" t="s">
        <v>25276</v>
      </c>
      <c r="F9858" t="s">
        <v>28669</v>
      </c>
      <c r="G9858" t="s">
        <v>28675</v>
      </c>
      <c r="H9858" t="s">
        <v>9998</v>
      </c>
      <c r="I9858" t="s">
        <v>28688</v>
      </c>
      <c r="J9858" t="s">
        <v>34918</v>
      </c>
      <c r="K9858" t="s">
        <v>37206</v>
      </c>
      <c r="M9858" t="s">
        <v>37624</v>
      </c>
      <c r="N9858" t="s">
        <v>41249</v>
      </c>
      <c r="O9858" t="s">
        <v>41250</v>
      </c>
      <c r="P9858">
        <v>0</v>
      </c>
      <c r="Q9858">
        <v>3</v>
      </c>
      <c r="R9858" t="s">
        <v>41260</v>
      </c>
      <c r="S9858" t="s">
        <v>41624</v>
      </c>
      <c r="T9858" t="s">
        <v>42836</v>
      </c>
      <c r="U9858" t="s">
        <v>51147</v>
      </c>
      <c r="W9858" t="s">
        <v>37624</v>
      </c>
      <c r="X9858" t="s">
        <v>41261</v>
      </c>
    </row>
    <row r="9859" spans="1:24">
      <c r="A9859">
        <f>HYPERLINK("https://www.philgeps.gov.ph/GEPSNONPILOT/Tender/SplashBidNoticeAbstractUI.aspx?menuIndex=3&amp;refID=7060195&amp;Result=3","7060195")</f>
        <v>0</v>
      </c>
      <c r="B9859" t="s">
        <v>236</v>
      </c>
      <c r="C9859" t="s">
        <v>12794</v>
      </c>
      <c r="D9859" t="s">
        <v>16663</v>
      </c>
      <c r="E9859" t="s">
        <v>25277</v>
      </c>
      <c r="F9859" t="s">
        <v>28669</v>
      </c>
      <c r="G9859" t="s">
        <v>28675</v>
      </c>
      <c r="H9859" t="s">
        <v>9998</v>
      </c>
      <c r="I9859" t="s">
        <v>5286</v>
      </c>
      <c r="J9859" t="s">
        <v>28877</v>
      </c>
      <c r="K9859" t="s">
        <v>37206</v>
      </c>
      <c r="M9859" t="s">
        <v>37714</v>
      </c>
      <c r="N9859" t="s">
        <v>41249</v>
      </c>
      <c r="O9859" t="s">
        <v>41250</v>
      </c>
      <c r="P9859">
        <v>0</v>
      </c>
      <c r="Q9859">
        <v>3</v>
      </c>
      <c r="R9859" t="s">
        <v>41260</v>
      </c>
      <c r="S9859" t="s">
        <v>41624</v>
      </c>
      <c r="T9859" t="s">
        <v>42811</v>
      </c>
      <c r="U9859" t="s">
        <v>51148</v>
      </c>
      <c r="W9859" t="s">
        <v>37714</v>
      </c>
      <c r="X9859" t="s">
        <v>41261</v>
      </c>
    </row>
    <row r="9860" spans="1:24">
      <c r="A9860">
        <f>HYPERLINK("https://www.philgeps.gov.ph/GEPSNONPILOT/Tender/SplashBidNoticeAbstractUI.aspx?menuIndex=3&amp;refID=7060187&amp;Result=3","7060187")</f>
        <v>0</v>
      </c>
      <c r="B9860" t="s">
        <v>1559</v>
      </c>
      <c r="C9860" t="s">
        <v>12795</v>
      </c>
      <c r="D9860" t="s">
        <v>16643</v>
      </c>
      <c r="E9860" t="s">
        <v>25278</v>
      </c>
      <c r="F9860" t="s">
        <v>28669</v>
      </c>
      <c r="G9860" t="s">
        <v>28675</v>
      </c>
      <c r="H9860" t="s">
        <v>9998</v>
      </c>
      <c r="I9860" t="s">
        <v>28699</v>
      </c>
      <c r="J9860" t="s">
        <v>34919</v>
      </c>
      <c r="K9860" t="s">
        <v>37209</v>
      </c>
      <c r="M9860" t="s">
        <v>40588</v>
      </c>
      <c r="N9860" t="s">
        <v>41249</v>
      </c>
      <c r="O9860" t="s">
        <v>41250</v>
      </c>
      <c r="Q9860">
        <v>8</v>
      </c>
      <c r="R9860" t="s">
        <v>41260</v>
      </c>
      <c r="S9860" t="s">
        <v>41644</v>
      </c>
      <c r="T9860" t="s">
        <v>43023</v>
      </c>
      <c r="U9860" t="s">
        <v>51149</v>
      </c>
      <c r="W9860" t="s">
        <v>40588</v>
      </c>
      <c r="X9860" t="s">
        <v>41261</v>
      </c>
    </row>
    <row r="9861" spans="1:24">
      <c r="A9861">
        <f>HYPERLINK("https://www.philgeps.gov.ph/GEPSNONPILOT/Tender/SplashBidNoticeAbstractUI.aspx?menuIndex=3&amp;refID=7060225&amp;Result=3","7060225")</f>
        <v>0</v>
      </c>
      <c r="B9861" t="s">
        <v>897</v>
      </c>
      <c r="C9861" t="s">
        <v>12796</v>
      </c>
      <c r="D9861" t="s">
        <v>16631</v>
      </c>
      <c r="E9861" t="s">
        <v>25279</v>
      </c>
      <c r="F9861" t="s">
        <v>28669</v>
      </c>
      <c r="G9861" t="s">
        <v>28675</v>
      </c>
      <c r="H9861" t="s">
        <v>9998</v>
      </c>
      <c r="I9861" t="s">
        <v>7352</v>
      </c>
      <c r="J9861" t="s">
        <v>34920</v>
      </c>
      <c r="K9861" t="s">
        <v>37206</v>
      </c>
      <c r="M9861" t="s">
        <v>38418</v>
      </c>
      <c r="N9861" t="s">
        <v>41249</v>
      </c>
      <c r="O9861" t="s">
        <v>41250</v>
      </c>
      <c r="P9861">
        <v>0</v>
      </c>
      <c r="Q9861">
        <v>0</v>
      </c>
      <c r="R9861" t="s">
        <v>41260</v>
      </c>
      <c r="S9861" t="s">
        <v>41624</v>
      </c>
      <c r="T9861" t="s">
        <v>42836</v>
      </c>
      <c r="U9861" t="s">
        <v>44959</v>
      </c>
      <c r="W9861" t="s">
        <v>38418</v>
      </c>
      <c r="X9861" t="s">
        <v>41261</v>
      </c>
    </row>
    <row r="9862" spans="1:24">
      <c r="A9862">
        <f>HYPERLINK("https://www.philgeps.gov.ph/GEPSNONPILOT/Tender/SplashBidNoticeAbstractUI.aspx?menuIndex=3&amp;refID=7060186&amp;Result=3","7060186")</f>
        <v>0</v>
      </c>
      <c r="B9862" t="s">
        <v>864</v>
      </c>
      <c r="C9862" t="s">
        <v>12797</v>
      </c>
      <c r="D9862" t="s">
        <v>16608</v>
      </c>
      <c r="E9862" t="s">
        <v>25280</v>
      </c>
      <c r="F9862" t="s">
        <v>28669</v>
      </c>
      <c r="G9862" t="s">
        <v>28676</v>
      </c>
      <c r="H9862" t="s">
        <v>9998</v>
      </c>
      <c r="I9862" t="s">
        <v>28708</v>
      </c>
      <c r="J9862" t="s">
        <v>29388</v>
      </c>
      <c r="K9862" t="s">
        <v>37206</v>
      </c>
      <c r="M9862" t="s">
        <v>40580</v>
      </c>
      <c r="N9862" t="s">
        <v>41249</v>
      </c>
      <c r="O9862" t="s">
        <v>41250</v>
      </c>
      <c r="P9862">
        <v>0</v>
      </c>
      <c r="Q9862">
        <v>2</v>
      </c>
      <c r="R9862" t="s">
        <v>41260</v>
      </c>
      <c r="S9862" t="s">
        <v>41624</v>
      </c>
      <c r="T9862" t="s">
        <v>42774</v>
      </c>
      <c r="U9862" t="s">
        <v>51125</v>
      </c>
      <c r="W9862" t="s">
        <v>40580</v>
      </c>
      <c r="X9862" t="s">
        <v>41261</v>
      </c>
    </row>
    <row r="9863" spans="1:24">
      <c r="A9863">
        <f>HYPERLINK("https://www.philgeps.gov.ph/GEPSNONPILOT/Tender/SplashBidNoticeAbstractUI.aspx?menuIndex=3&amp;refID=7060182&amp;Result=3","7060182")</f>
        <v>0</v>
      </c>
      <c r="B9863" t="s">
        <v>2842</v>
      </c>
      <c r="C9863" t="s">
        <v>12798</v>
      </c>
      <c r="D9863" t="s">
        <v>16616</v>
      </c>
      <c r="E9863" t="s">
        <v>25281</v>
      </c>
      <c r="F9863" t="s">
        <v>28669</v>
      </c>
      <c r="G9863" t="s">
        <v>28675</v>
      </c>
      <c r="H9863" t="s">
        <v>9998</v>
      </c>
      <c r="I9863" t="s">
        <v>7352</v>
      </c>
      <c r="J9863" t="s">
        <v>34921</v>
      </c>
      <c r="K9863" t="s">
        <v>37210</v>
      </c>
      <c r="M9863" t="s">
        <v>40578</v>
      </c>
      <c r="N9863" t="s">
        <v>41249</v>
      </c>
      <c r="O9863" t="s">
        <v>41250</v>
      </c>
      <c r="P9863">
        <v>0</v>
      </c>
      <c r="Q9863">
        <v>0</v>
      </c>
      <c r="R9863" t="s">
        <v>41260</v>
      </c>
      <c r="S9863" t="s">
        <v>41624</v>
      </c>
      <c r="T9863" t="s">
        <v>42739</v>
      </c>
      <c r="U9863" t="s">
        <v>51150</v>
      </c>
      <c r="V9863" t="s">
        <v>55340</v>
      </c>
      <c r="W9863" t="s">
        <v>40578</v>
      </c>
      <c r="X9863" t="s">
        <v>41261</v>
      </c>
    </row>
    <row r="9864" spans="1:24">
      <c r="A9864">
        <f>HYPERLINK("https://www.philgeps.gov.ph/GEPSNONPILOT/Tender/SplashBidNoticeAbstractUI.aspx?menuIndex=3&amp;refID=7060033&amp;Result=3","7060033")</f>
        <v>0</v>
      </c>
      <c r="B9864" t="s">
        <v>1559</v>
      </c>
      <c r="C9864" t="s">
        <v>12799</v>
      </c>
      <c r="D9864" t="s">
        <v>16643</v>
      </c>
      <c r="E9864" t="s">
        <v>25282</v>
      </c>
      <c r="F9864" t="s">
        <v>28669</v>
      </c>
      <c r="G9864" t="s">
        <v>28675</v>
      </c>
      <c r="H9864" t="s">
        <v>9998</v>
      </c>
      <c r="I9864" t="s">
        <v>28710</v>
      </c>
      <c r="J9864" t="s">
        <v>34922</v>
      </c>
      <c r="K9864" t="s">
        <v>37209</v>
      </c>
      <c r="M9864" t="s">
        <v>40588</v>
      </c>
      <c r="N9864" t="s">
        <v>41249</v>
      </c>
      <c r="O9864" t="s">
        <v>41250</v>
      </c>
      <c r="Q9864">
        <v>4</v>
      </c>
      <c r="R9864" t="s">
        <v>41260</v>
      </c>
      <c r="S9864" t="s">
        <v>41645</v>
      </c>
      <c r="T9864" t="s">
        <v>43023</v>
      </c>
      <c r="U9864" t="s">
        <v>51151</v>
      </c>
      <c r="W9864" t="s">
        <v>40588</v>
      </c>
      <c r="X9864" t="s">
        <v>41261</v>
      </c>
    </row>
    <row r="9865" spans="1:24">
      <c r="A9865">
        <f>HYPERLINK("https://www.philgeps.gov.ph/GEPSNONPILOT/Tender/SplashBidNoticeAbstractUI.aspx?menuIndex=3&amp;refID=7060029&amp;Result=3","7060029")</f>
        <v>0</v>
      </c>
      <c r="B9865" t="s">
        <v>100</v>
      </c>
      <c r="C9865" t="s">
        <v>12800</v>
      </c>
      <c r="D9865" t="s">
        <v>16608</v>
      </c>
      <c r="E9865" t="s">
        <v>25283</v>
      </c>
      <c r="F9865" t="s">
        <v>28669</v>
      </c>
      <c r="G9865" t="s">
        <v>28676</v>
      </c>
      <c r="H9865" t="s">
        <v>9998</v>
      </c>
      <c r="I9865" t="s">
        <v>28700</v>
      </c>
      <c r="J9865" t="s">
        <v>34923</v>
      </c>
      <c r="K9865" t="s">
        <v>37238</v>
      </c>
      <c r="M9865" t="s">
        <v>40597</v>
      </c>
      <c r="N9865" t="s">
        <v>41249</v>
      </c>
      <c r="O9865" t="s">
        <v>41250</v>
      </c>
      <c r="P9865">
        <v>0</v>
      </c>
      <c r="Q9865">
        <v>9</v>
      </c>
      <c r="R9865" t="s">
        <v>41260</v>
      </c>
      <c r="S9865" t="s">
        <v>41624</v>
      </c>
      <c r="T9865" t="s">
        <v>42811</v>
      </c>
      <c r="U9865" t="s">
        <v>51152</v>
      </c>
      <c r="V9865" t="s">
        <v>55346</v>
      </c>
      <c r="W9865" t="s">
        <v>40597</v>
      </c>
      <c r="X9865" t="s">
        <v>41261</v>
      </c>
    </row>
    <row r="9866" spans="1:24">
      <c r="A9866">
        <f>HYPERLINK("https://www.philgeps.gov.ph/GEPSNONPILOT/Tender/SplashBidNoticeAbstractUI.aspx?menuIndex=3&amp;refID=7060024&amp;Result=3","7060024")</f>
        <v>0</v>
      </c>
      <c r="B9866" t="s">
        <v>1142</v>
      </c>
      <c r="C9866" t="s">
        <v>12801</v>
      </c>
      <c r="D9866" t="s">
        <v>16626</v>
      </c>
      <c r="E9866" t="s">
        <v>25284</v>
      </c>
      <c r="F9866" t="s">
        <v>28669</v>
      </c>
      <c r="G9866" t="s">
        <v>28675</v>
      </c>
      <c r="H9866" t="s">
        <v>9998</v>
      </c>
      <c r="I9866" t="s">
        <v>28688</v>
      </c>
      <c r="J9866" t="s">
        <v>29110</v>
      </c>
      <c r="K9866" t="s">
        <v>37234</v>
      </c>
      <c r="M9866" t="s">
        <v>38677</v>
      </c>
      <c r="N9866" t="s">
        <v>41249</v>
      </c>
      <c r="O9866" t="s">
        <v>41250</v>
      </c>
      <c r="P9866">
        <v>0</v>
      </c>
      <c r="Q9866">
        <v>0</v>
      </c>
      <c r="R9866" t="s">
        <v>41260</v>
      </c>
      <c r="S9866" t="s">
        <v>41624</v>
      </c>
      <c r="T9866" t="s">
        <v>43041</v>
      </c>
      <c r="U9866" t="s">
        <v>51153</v>
      </c>
      <c r="W9866" t="s">
        <v>38677</v>
      </c>
      <c r="X9866" t="s">
        <v>41261</v>
      </c>
    </row>
    <row r="9867" spans="1:24">
      <c r="A9867">
        <f>HYPERLINK("https://www.philgeps.gov.ph/GEPSNONPILOT/Tender/SplashBidNoticeAbstractUI.aspx?menuIndex=3&amp;refID=7060231&amp;Result=3","7060231")</f>
        <v>0</v>
      </c>
      <c r="B9867" t="s">
        <v>236</v>
      </c>
      <c r="C9867" t="s">
        <v>12802</v>
      </c>
      <c r="D9867" t="s">
        <v>16663</v>
      </c>
      <c r="E9867" t="s">
        <v>25285</v>
      </c>
      <c r="F9867" t="s">
        <v>28669</v>
      </c>
      <c r="G9867" t="s">
        <v>28675</v>
      </c>
      <c r="H9867" t="s">
        <v>9998</v>
      </c>
      <c r="I9867" t="s">
        <v>11593</v>
      </c>
      <c r="J9867" t="s">
        <v>34924</v>
      </c>
      <c r="K9867" t="s">
        <v>37206</v>
      </c>
      <c r="M9867" t="s">
        <v>37714</v>
      </c>
      <c r="N9867" t="s">
        <v>41249</v>
      </c>
      <c r="O9867" t="s">
        <v>41250</v>
      </c>
      <c r="P9867">
        <v>0</v>
      </c>
      <c r="Q9867">
        <v>2</v>
      </c>
      <c r="R9867" t="s">
        <v>41260</v>
      </c>
      <c r="S9867" t="s">
        <v>41624</v>
      </c>
      <c r="T9867" t="s">
        <v>42811</v>
      </c>
      <c r="U9867" t="s">
        <v>51154</v>
      </c>
      <c r="W9867" t="s">
        <v>37714</v>
      </c>
      <c r="X9867" t="s">
        <v>41261</v>
      </c>
    </row>
    <row r="9868" spans="1:24">
      <c r="A9868">
        <f>HYPERLINK("https://www.philgeps.gov.ph/GEPSNONPILOT/Tender/SplashBidNoticeAbstractUI.aspx?menuIndex=3&amp;refID=7060123&amp;Result=3","7060123")</f>
        <v>0</v>
      </c>
      <c r="B9868" t="s">
        <v>142</v>
      </c>
      <c r="C9868" t="s">
        <v>12803</v>
      </c>
      <c r="D9868" t="s">
        <v>16608</v>
      </c>
      <c r="E9868" t="s">
        <v>25286</v>
      </c>
      <c r="F9868" t="s">
        <v>28669</v>
      </c>
      <c r="G9868" t="s">
        <v>28675</v>
      </c>
      <c r="H9868" t="s">
        <v>9998</v>
      </c>
      <c r="I9868" t="s">
        <v>11593</v>
      </c>
      <c r="J9868" t="s">
        <v>30227</v>
      </c>
      <c r="K9868" t="s">
        <v>37209</v>
      </c>
      <c r="M9868" t="s">
        <v>40598</v>
      </c>
      <c r="N9868" t="s">
        <v>41249</v>
      </c>
      <c r="O9868" t="s">
        <v>41250</v>
      </c>
      <c r="P9868">
        <v>0</v>
      </c>
      <c r="Q9868">
        <v>17</v>
      </c>
      <c r="R9868" t="s">
        <v>41260</v>
      </c>
      <c r="S9868" t="s">
        <v>41624</v>
      </c>
      <c r="T9868" t="s">
        <v>42761</v>
      </c>
      <c r="U9868" t="s">
        <v>51155</v>
      </c>
      <c r="W9868" t="s">
        <v>40598</v>
      </c>
      <c r="X9868" t="s">
        <v>41261</v>
      </c>
    </row>
    <row r="9869" spans="1:24">
      <c r="A9869">
        <f>HYPERLINK("https://www.philgeps.gov.ph/GEPSNONPILOT/Tender/SplashBidNoticeAbstractUI.aspx?menuIndex=3&amp;refID=7060338&amp;Result=3","7060338")</f>
        <v>0</v>
      </c>
      <c r="B9869" t="s">
        <v>1559</v>
      </c>
      <c r="C9869" t="s">
        <v>12804</v>
      </c>
      <c r="D9869" t="s">
        <v>16643</v>
      </c>
      <c r="E9869" t="s">
        <v>25287</v>
      </c>
      <c r="F9869" t="s">
        <v>28669</v>
      </c>
      <c r="G9869" t="s">
        <v>28675</v>
      </c>
      <c r="H9869" t="s">
        <v>9998</v>
      </c>
      <c r="I9869" t="s">
        <v>28766</v>
      </c>
      <c r="J9869" t="s">
        <v>34925</v>
      </c>
      <c r="K9869" t="s">
        <v>37209</v>
      </c>
      <c r="M9869" t="s">
        <v>40588</v>
      </c>
      <c r="N9869" t="s">
        <v>41249</v>
      </c>
      <c r="O9869" t="s">
        <v>41250</v>
      </c>
      <c r="Q9869">
        <v>7</v>
      </c>
      <c r="R9869" t="s">
        <v>41260</v>
      </c>
      <c r="S9869" t="s">
        <v>41646</v>
      </c>
      <c r="T9869" t="s">
        <v>43023</v>
      </c>
      <c r="U9869" t="s">
        <v>51156</v>
      </c>
      <c r="W9869" t="s">
        <v>40588</v>
      </c>
      <c r="X9869" t="s">
        <v>41261</v>
      </c>
    </row>
    <row r="9870" spans="1:24">
      <c r="A9870">
        <f>HYPERLINK("https://www.philgeps.gov.ph/GEPSNONPILOT/Tender/SplashBidNoticeAbstractUI.aspx?menuIndex=3&amp;refID=7060218&amp;Result=3","7060218")</f>
        <v>0</v>
      </c>
      <c r="B9870" t="s">
        <v>485</v>
      </c>
      <c r="C9870" t="s">
        <v>12805</v>
      </c>
      <c r="D9870" t="s">
        <v>16677</v>
      </c>
      <c r="E9870" t="s">
        <v>25288</v>
      </c>
      <c r="F9870" t="s">
        <v>28669</v>
      </c>
      <c r="G9870" t="s">
        <v>28675</v>
      </c>
      <c r="H9870" t="s">
        <v>28684</v>
      </c>
      <c r="I9870" t="s">
        <v>7352</v>
      </c>
      <c r="J9870" t="s">
        <v>29059</v>
      </c>
      <c r="K9870" t="s">
        <v>37205</v>
      </c>
      <c r="M9870" t="s">
        <v>37973</v>
      </c>
      <c r="N9870" t="s">
        <v>41249</v>
      </c>
      <c r="O9870" t="s">
        <v>41250</v>
      </c>
      <c r="P9870">
        <v>0</v>
      </c>
      <c r="Q9870">
        <v>2</v>
      </c>
      <c r="R9870" t="s">
        <v>41260</v>
      </c>
      <c r="S9870" t="s">
        <v>41624</v>
      </c>
      <c r="T9870" t="s">
        <v>42739</v>
      </c>
      <c r="U9870" t="s">
        <v>51157</v>
      </c>
      <c r="W9870" t="s">
        <v>37973</v>
      </c>
      <c r="X9870" t="s">
        <v>41261</v>
      </c>
    </row>
    <row r="9871" spans="1:24">
      <c r="A9871">
        <f>HYPERLINK("https://www.philgeps.gov.ph/GEPSNONPILOT/Tender/SplashBidNoticeAbstractUI.aspx?menuIndex=3&amp;refID=7060337&amp;Result=3","7060337")</f>
        <v>0</v>
      </c>
      <c r="B9871" t="s">
        <v>1386</v>
      </c>
      <c r="C9871" t="s">
        <v>12806</v>
      </c>
      <c r="E9871" t="s">
        <v>22208</v>
      </c>
      <c r="F9871" t="s">
        <v>28669</v>
      </c>
      <c r="G9871" t="s">
        <v>28675</v>
      </c>
      <c r="H9871" t="s">
        <v>9998</v>
      </c>
      <c r="I9871" t="s">
        <v>28706</v>
      </c>
      <c r="J9871" t="s">
        <v>29112</v>
      </c>
      <c r="K9871" t="s">
        <v>37209</v>
      </c>
      <c r="M9871" t="s">
        <v>38948</v>
      </c>
      <c r="N9871" t="s">
        <v>41249</v>
      </c>
      <c r="O9871" t="s">
        <v>41250</v>
      </c>
      <c r="P9871">
        <v>0</v>
      </c>
      <c r="Q9871">
        <v>4</v>
      </c>
      <c r="R9871" t="s">
        <v>41260</v>
      </c>
      <c r="S9871" t="s">
        <v>41624</v>
      </c>
      <c r="T9871" t="s">
        <v>42758</v>
      </c>
      <c r="U9871" t="s">
        <v>51158</v>
      </c>
      <c r="W9871" t="s">
        <v>38948</v>
      </c>
      <c r="X9871" t="s">
        <v>41261</v>
      </c>
    </row>
    <row r="9872" spans="1:24">
      <c r="A9872">
        <f>HYPERLINK("https://www.philgeps.gov.ph/GEPSNONPILOT/Tender/SplashBidNoticeAbstractUI.aspx?menuIndex=3&amp;refID=7060336&amp;Result=3","7060336")</f>
        <v>0</v>
      </c>
      <c r="B9872" t="s">
        <v>181</v>
      </c>
      <c r="C9872" t="s">
        <v>12807</v>
      </c>
      <c r="D9872" t="s">
        <v>16647</v>
      </c>
      <c r="E9872" t="s">
        <v>25289</v>
      </c>
      <c r="F9872" t="s">
        <v>28669</v>
      </c>
      <c r="G9872" t="s">
        <v>28675</v>
      </c>
      <c r="H9872" t="s">
        <v>9998</v>
      </c>
      <c r="I9872" t="s">
        <v>6458</v>
      </c>
      <c r="J9872" t="s">
        <v>28826</v>
      </c>
      <c r="K9872" t="s">
        <v>37210</v>
      </c>
      <c r="M9872" t="s">
        <v>37658</v>
      </c>
      <c r="N9872" t="s">
        <v>41249</v>
      </c>
      <c r="O9872" t="s">
        <v>41250</v>
      </c>
      <c r="P9872">
        <v>0</v>
      </c>
      <c r="Q9872">
        <v>0</v>
      </c>
      <c r="R9872" t="s">
        <v>41260</v>
      </c>
      <c r="S9872" t="s">
        <v>41624</v>
      </c>
      <c r="T9872" t="s">
        <v>42914</v>
      </c>
      <c r="U9872" t="s">
        <v>51089</v>
      </c>
      <c r="W9872" t="s">
        <v>37658</v>
      </c>
      <c r="X9872" t="s">
        <v>41261</v>
      </c>
    </row>
    <row r="9873" spans="1:24">
      <c r="A9873">
        <f>HYPERLINK("https://www.philgeps.gov.ph/GEPSNONPILOT/Tender/SplashBidNoticeAbstractUI.aspx?menuIndex=3&amp;refID=7060330&amp;Result=3","7060330")</f>
        <v>0</v>
      </c>
      <c r="B9873" t="s">
        <v>1452</v>
      </c>
      <c r="C9873" t="s">
        <v>12808</v>
      </c>
      <c r="D9873" t="s">
        <v>16652</v>
      </c>
      <c r="E9873" t="s">
        <v>25290</v>
      </c>
      <c r="F9873" t="s">
        <v>28669</v>
      </c>
      <c r="G9873" t="s">
        <v>28675</v>
      </c>
      <c r="H9873" t="s">
        <v>28686</v>
      </c>
      <c r="I9873" t="s">
        <v>28689</v>
      </c>
      <c r="J9873" t="s">
        <v>28847</v>
      </c>
      <c r="K9873" t="s">
        <v>37220</v>
      </c>
      <c r="M9873" t="s">
        <v>39017</v>
      </c>
      <c r="N9873" t="s">
        <v>41249</v>
      </c>
      <c r="O9873" t="s">
        <v>41250</v>
      </c>
      <c r="P9873">
        <v>0</v>
      </c>
      <c r="Q9873">
        <v>0</v>
      </c>
      <c r="R9873" t="s">
        <v>41260</v>
      </c>
      <c r="S9873" t="s">
        <v>41624</v>
      </c>
      <c r="T9873" t="s">
        <v>42659</v>
      </c>
      <c r="U9873" t="s">
        <v>51159</v>
      </c>
      <c r="W9873" t="s">
        <v>39017</v>
      </c>
      <c r="X9873" t="s">
        <v>41261</v>
      </c>
    </row>
    <row r="9874" spans="1:24">
      <c r="A9874">
        <f>HYPERLINK("https://www.philgeps.gov.ph/GEPSNONPILOT/Tender/SplashBidNoticeAbstractUI.aspx?menuIndex=3&amp;refID=7060319&amp;Result=3","7060319")</f>
        <v>0</v>
      </c>
      <c r="B9874" t="s">
        <v>236</v>
      </c>
      <c r="C9874" t="s">
        <v>12809</v>
      </c>
      <c r="D9874" t="s">
        <v>16663</v>
      </c>
      <c r="E9874" t="s">
        <v>12809</v>
      </c>
      <c r="F9874" t="s">
        <v>28669</v>
      </c>
      <c r="G9874" t="s">
        <v>28675</v>
      </c>
      <c r="H9874" t="s">
        <v>9998</v>
      </c>
      <c r="I9874" t="s">
        <v>3718</v>
      </c>
      <c r="J9874" t="s">
        <v>30954</v>
      </c>
      <c r="K9874" t="s">
        <v>37206</v>
      </c>
      <c r="M9874" t="s">
        <v>37714</v>
      </c>
      <c r="N9874" t="s">
        <v>41249</v>
      </c>
      <c r="O9874" t="s">
        <v>41250</v>
      </c>
      <c r="P9874">
        <v>0</v>
      </c>
      <c r="Q9874">
        <v>2</v>
      </c>
      <c r="R9874" t="s">
        <v>41260</v>
      </c>
      <c r="S9874" t="s">
        <v>41624</v>
      </c>
      <c r="T9874" t="s">
        <v>42811</v>
      </c>
      <c r="U9874" t="s">
        <v>51160</v>
      </c>
      <c r="W9874" t="s">
        <v>37714</v>
      </c>
      <c r="X9874" t="s">
        <v>41261</v>
      </c>
    </row>
    <row r="9875" spans="1:24">
      <c r="A9875">
        <f>HYPERLINK("https://www.philgeps.gov.ph/GEPSNONPILOT/Tender/SplashBidNoticeAbstractUI.aspx?menuIndex=3&amp;refID=7060036&amp;Result=3","7060036")</f>
        <v>0</v>
      </c>
      <c r="B9875" t="s">
        <v>181</v>
      </c>
      <c r="C9875" t="s">
        <v>12778</v>
      </c>
      <c r="D9875" t="s">
        <v>16647</v>
      </c>
      <c r="E9875" t="s">
        <v>25291</v>
      </c>
      <c r="F9875" t="s">
        <v>28669</v>
      </c>
      <c r="G9875" t="s">
        <v>28675</v>
      </c>
      <c r="H9875" t="s">
        <v>9998</v>
      </c>
      <c r="I9875" t="s">
        <v>6606</v>
      </c>
      <c r="J9875" t="s">
        <v>29790</v>
      </c>
      <c r="K9875" t="s">
        <v>37210</v>
      </c>
      <c r="M9875" t="s">
        <v>37658</v>
      </c>
      <c r="N9875" t="s">
        <v>41249</v>
      </c>
      <c r="O9875" t="s">
        <v>41250</v>
      </c>
      <c r="P9875">
        <v>0</v>
      </c>
      <c r="Q9875">
        <v>0</v>
      </c>
      <c r="R9875" t="s">
        <v>41260</v>
      </c>
      <c r="S9875" t="s">
        <v>41624</v>
      </c>
      <c r="T9875" t="s">
        <v>42914</v>
      </c>
      <c r="U9875" t="s">
        <v>50625</v>
      </c>
      <c r="W9875" t="s">
        <v>37658</v>
      </c>
      <c r="X9875" t="s">
        <v>41261</v>
      </c>
    </row>
    <row r="9876" spans="1:24">
      <c r="A9876">
        <f>HYPERLINK("https://www.philgeps.gov.ph/GEPSNONPILOT/Tender/SplashBidNoticeAbstractUI.aspx?menuIndex=3&amp;refID=7060311&amp;Result=3","7060311")</f>
        <v>0</v>
      </c>
      <c r="B9876" t="s">
        <v>2858</v>
      </c>
      <c r="C9876" t="s">
        <v>12810</v>
      </c>
      <c r="D9876" t="s">
        <v>16609</v>
      </c>
      <c r="E9876" t="s">
        <v>25292</v>
      </c>
      <c r="F9876" t="s">
        <v>28669</v>
      </c>
      <c r="G9876" t="s">
        <v>28675</v>
      </c>
      <c r="H9876" t="s">
        <v>28686</v>
      </c>
      <c r="I9876" t="s">
        <v>28689</v>
      </c>
      <c r="J9876" t="s">
        <v>28834</v>
      </c>
      <c r="K9876" t="s">
        <v>37209</v>
      </c>
      <c r="M9876" t="s">
        <v>40599</v>
      </c>
      <c r="N9876" t="s">
        <v>41249</v>
      </c>
      <c r="O9876" t="s">
        <v>41250</v>
      </c>
      <c r="P9876">
        <v>0</v>
      </c>
      <c r="Q9876">
        <v>0</v>
      </c>
      <c r="R9876" t="s">
        <v>41260</v>
      </c>
      <c r="S9876" t="s">
        <v>41624</v>
      </c>
      <c r="T9876" t="s">
        <v>42739</v>
      </c>
      <c r="U9876" t="s">
        <v>51161</v>
      </c>
      <c r="W9876" t="s">
        <v>40599</v>
      </c>
      <c r="X9876" t="s">
        <v>41261</v>
      </c>
    </row>
    <row r="9877" spans="1:24">
      <c r="A9877">
        <f>HYPERLINK("https://www.philgeps.gov.ph/GEPSNONPILOT/Tender/SplashBidNoticeAbstractUI.aspx?menuIndex=3&amp;refID=7060303&amp;Result=3","7060303")</f>
        <v>0</v>
      </c>
      <c r="B9877" t="s">
        <v>236</v>
      </c>
      <c r="C9877" t="s">
        <v>12811</v>
      </c>
      <c r="D9877" t="s">
        <v>16663</v>
      </c>
      <c r="E9877" t="s">
        <v>25293</v>
      </c>
      <c r="F9877" t="s">
        <v>28669</v>
      </c>
      <c r="G9877" t="s">
        <v>28675</v>
      </c>
      <c r="H9877" t="s">
        <v>9998</v>
      </c>
      <c r="I9877" t="s">
        <v>28695</v>
      </c>
      <c r="J9877" t="s">
        <v>34926</v>
      </c>
      <c r="K9877" t="s">
        <v>37209</v>
      </c>
      <c r="M9877" t="s">
        <v>37714</v>
      </c>
      <c r="N9877" t="s">
        <v>41249</v>
      </c>
      <c r="O9877" t="s">
        <v>41250</v>
      </c>
      <c r="P9877">
        <v>0</v>
      </c>
      <c r="Q9877">
        <v>0</v>
      </c>
      <c r="R9877" t="s">
        <v>41260</v>
      </c>
      <c r="S9877" t="s">
        <v>41624</v>
      </c>
      <c r="T9877" t="s">
        <v>42811</v>
      </c>
      <c r="U9877" t="s">
        <v>51162</v>
      </c>
      <c r="W9877" t="s">
        <v>37714</v>
      </c>
      <c r="X9877" t="s">
        <v>41261</v>
      </c>
    </row>
    <row r="9878" spans="1:24">
      <c r="A9878">
        <f>HYPERLINK("https://www.philgeps.gov.ph/GEPSNONPILOT/Tender/SplashBidNoticeAbstractUI.aspx?menuIndex=3&amp;refID=7060333&amp;Result=3","7060333")</f>
        <v>0</v>
      </c>
      <c r="B9878" t="s">
        <v>236</v>
      </c>
      <c r="C9878" t="s">
        <v>12812</v>
      </c>
      <c r="D9878" t="s">
        <v>16663</v>
      </c>
      <c r="E9878" t="s">
        <v>12812</v>
      </c>
      <c r="F9878" t="s">
        <v>28669</v>
      </c>
      <c r="G9878" t="s">
        <v>28675</v>
      </c>
      <c r="H9878" t="s">
        <v>9998</v>
      </c>
      <c r="I9878" t="s">
        <v>3679</v>
      </c>
      <c r="J9878" t="s">
        <v>29339</v>
      </c>
      <c r="K9878" t="s">
        <v>37206</v>
      </c>
      <c r="M9878" t="s">
        <v>37714</v>
      </c>
      <c r="N9878" t="s">
        <v>41249</v>
      </c>
      <c r="O9878" t="s">
        <v>41250</v>
      </c>
      <c r="P9878">
        <v>0</v>
      </c>
      <c r="Q9878">
        <v>0</v>
      </c>
      <c r="R9878" t="s">
        <v>41260</v>
      </c>
      <c r="S9878" t="s">
        <v>41624</v>
      </c>
      <c r="T9878" t="s">
        <v>42811</v>
      </c>
      <c r="U9878" t="s">
        <v>51163</v>
      </c>
      <c r="W9878" t="s">
        <v>37714</v>
      </c>
      <c r="X9878" t="s">
        <v>41261</v>
      </c>
    </row>
    <row r="9879" spans="1:24">
      <c r="A9879">
        <f>HYPERLINK("https://www.philgeps.gov.ph/GEPSNONPILOT/Tender/SplashBidNoticeAbstractUI.aspx?menuIndex=3&amp;refID=7060302&amp;Result=3","7060302")</f>
        <v>0</v>
      </c>
      <c r="B9879" t="s">
        <v>464</v>
      </c>
      <c r="C9879" t="s">
        <v>12813</v>
      </c>
      <c r="D9879" t="s">
        <v>16629</v>
      </c>
      <c r="E9879" t="s">
        <v>25294</v>
      </c>
      <c r="F9879" t="s">
        <v>28669</v>
      </c>
      <c r="G9879" t="s">
        <v>28675</v>
      </c>
      <c r="H9879" t="s">
        <v>28686</v>
      </c>
      <c r="I9879" t="s">
        <v>28689</v>
      </c>
      <c r="J9879" t="s">
        <v>34927</v>
      </c>
      <c r="K9879" t="s">
        <v>37212</v>
      </c>
      <c r="M9879" t="s">
        <v>37952</v>
      </c>
      <c r="N9879" t="s">
        <v>41249</v>
      </c>
      <c r="O9879" t="s">
        <v>41250</v>
      </c>
      <c r="P9879">
        <v>0</v>
      </c>
      <c r="Q9879">
        <v>1</v>
      </c>
      <c r="R9879" t="s">
        <v>41260</v>
      </c>
      <c r="S9879" t="s">
        <v>41624</v>
      </c>
      <c r="T9879" t="s">
        <v>42976</v>
      </c>
      <c r="U9879" t="s">
        <v>51164</v>
      </c>
      <c r="V9879" t="s">
        <v>55347</v>
      </c>
      <c r="W9879" t="s">
        <v>37952</v>
      </c>
      <c r="X9879" t="s">
        <v>41261</v>
      </c>
    </row>
    <row r="9880" spans="1:24">
      <c r="A9880">
        <f>HYPERLINK("https://www.philgeps.gov.ph/GEPSNONPILOT/Tender/SplashBidNoticeAbstractUI.aspx?menuIndex=3&amp;refID=7060276&amp;Result=3","7060276")</f>
        <v>0</v>
      </c>
      <c r="B9880" t="s">
        <v>236</v>
      </c>
      <c r="C9880" t="s">
        <v>12814</v>
      </c>
      <c r="D9880" t="s">
        <v>16663</v>
      </c>
      <c r="E9880" t="s">
        <v>12814</v>
      </c>
      <c r="F9880" t="s">
        <v>28669</v>
      </c>
      <c r="G9880" t="s">
        <v>28675</v>
      </c>
      <c r="H9880" t="s">
        <v>9998</v>
      </c>
      <c r="I9880" t="s">
        <v>28694</v>
      </c>
      <c r="J9880" t="s">
        <v>34928</v>
      </c>
      <c r="K9880" t="s">
        <v>37206</v>
      </c>
      <c r="M9880" t="s">
        <v>37714</v>
      </c>
      <c r="N9880" t="s">
        <v>41249</v>
      </c>
      <c r="O9880" t="s">
        <v>41250</v>
      </c>
      <c r="P9880">
        <v>0</v>
      </c>
      <c r="Q9880">
        <v>0</v>
      </c>
      <c r="R9880" t="s">
        <v>41260</v>
      </c>
      <c r="S9880" t="s">
        <v>41624</v>
      </c>
      <c r="T9880" t="s">
        <v>42811</v>
      </c>
      <c r="U9880" t="s">
        <v>51165</v>
      </c>
      <c r="W9880" t="s">
        <v>37714</v>
      </c>
      <c r="X9880" t="s">
        <v>41261</v>
      </c>
    </row>
    <row r="9881" spans="1:24">
      <c r="A9881">
        <f>HYPERLINK("https://www.philgeps.gov.ph/GEPSNONPILOT/Tender/SplashBidNoticeAbstractUI.aspx?menuIndex=3&amp;refID=7060299&amp;Result=3","7060299")</f>
        <v>0</v>
      </c>
      <c r="B9881" t="s">
        <v>2859</v>
      </c>
      <c r="C9881" t="s">
        <v>12815</v>
      </c>
      <c r="D9881" t="s">
        <v>16616</v>
      </c>
      <c r="E9881" t="s">
        <v>25295</v>
      </c>
      <c r="F9881" t="s">
        <v>28669</v>
      </c>
      <c r="G9881" t="s">
        <v>28675</v>
      </c>
      <c r="H9881" t="s">
        <v>28686</v>
      </c>
      <c r="I9881" t="s">
        <v>28689</v>
      </c>
      <c r="J9881" t="s">
        <v>34929</v>
      </c>
      <c r="K9881" t="s">
        <v>37209</v>
      </c>
      <c r="M9881" t="s">
        <v>40600</v>
      </c>
      <c r="N9881" t="s">
        <v>41249</v>
      </c>
      <c r="O9881" t="s">
        <v>41250</v>
      </c>
      <c r="P9881">
        <v>0</v>
      </c>
      <c r="Q9881">
        <v>6</v>
      </c>
      <c r="R9881" t="s">
        <v>41260</v>
      </c>
      <c r="S9881" t="s">
        <v>41624</v>
      </c>
      <c r="T9881" t="s">
        <v>42760</v>
      </c>
      <c r="U9881" t="s">
        <v>51166</v>
      </c>
      <c r="V9881" t="s">
        <v>43731</v>
      </c>
      <c r="W9881" t="s">
        <v>40600</v>
      </c>
      <c r="X9881" t="s">
        <v>41261</v>
      </c>
    </row>
    <row r="9882" spans="1:24">
      <c r="A9882">
        <f>HYPERLINK("https://www.philgeps.gov.ph/GEPSNONPILOT/Tender/SplashBidNoticeAbstractUI.aspx?menuIndex=3&amp;refID=7060292&amp;Result=3","7060292")</f>
        <v>0</v>
      </c>
      <c r="B9882" t="s">
        <v>72</v>
      </c>
      <c r="C9882" t="s">
        <v>12816</v>
      </c>
      <c r="D9882" t="s">
        <v>16644</v>
      </c>
      <c r="E9882" t="s">
        <v>25296</v>
      </c>
      <c r="F9882" t="s">
        <v>28669</v>
      </c>
      <c r="G9882" t="s">
        <v>28675</v>
      </c>
      <c r="H9882" t="s">
        <v>9998</v>
      </c>
      <c r="I9882" t="s">
        <v>7352</v>
      </c>
      <c r="J9882" t="s">
        <v>34930</v>
      </c>
      <c r="K9882" t="s">
        <v>37205</v>
      </c>
      <c r="M9882" t="s">
        <v>37547</v>
      </c>
      <c r="N9882" t="s">
        <v>41249</v>
      </c>
      <c r="O9882" t="s">
        <v>41250</v>
      </c>
      <c r="P9882">
        <v>0</v>
      </c>
      <c r="Q9882">
        <v>2</v>
      </c>
      <c r="R9882" t="s">
        <v>41260</v>
      </c>
      <c r="S9882" t="s">
        <v>41624</v>
      </c>
      <c r="T9882" t="s">
        <v>42700</v>
      </c>
      <c r="U9882" t="s">
        <v>51167</v>
      </c>
      <c r="W9882" t="s">
        <v>55900</v>
      </c>
      <c r="X9882" t="s">
        <v>41261</v>
      </c>
    </row>
    <row r="9883" spans="1:24">
      <c r="A9883">
        <f>HYPERLINK("https://www.philgeps.gov.ph/GEPSNONPILOT/Tender/SplashBidNoticeAbstractUI.aspx?menuIndex=3&amp;refID=7060413&amp;Result=3","7060413")</f>
        <v>0</v>
      </c>
      <c r="B9883" t="s">
        <v>404</v>
      </c>
      <c r="C9883" t="s">
        <v>12817</v>
      </c>
      <c r="D9883" t="s">
        <v>16633</v>
      </c>
      <c r="E9883" t="s">
        <v>25297</v>
      </c>
      <c r="F9883" t="s">
        <v>28669</v>
      </c>
      <c r="G9883" t="s">
        <v>28675</v>
      </c>
      <c r="H9883" t="s">
        <v>9998</v>
      </c>
      <c r="I9883" t="s">
        <v>6128</v>
      </c>
      <c r="J9883" t="s">
        <v>34931</v>
      </c>
      <c r="K9883" t="s">
        <v>37227</v>
      </c>
      <c r="M9883" t="s">
        <v>37889</v>
      </c>
      <c r="N9883" t="s">
        <v>41249</v>
      </c>
      <c r="O9883" t="s">
        <v>41250</v>
      </c>
      <c r="P9883">
        <v>0</v>
      </c>
      <c r="Q9883">
        <v>8</v>
      </c>
      <c r="R9883" t="s">
        <v>41260</v>
      </c>
      <c r="S9883" t="s">
        <v>41624</v>
      </c>
      <c r="T9883" t="s">
        <v>42719</v>
      </c>
      <c r="U9883" t="s">
        <v>49612</v>
      </c>
      <c r="W9883" t="s">
        <v>37889</v>
      </c>
      <c r="X9883" t="s">
        <v>41261</v>
      </c>
    </row>
    <row r="9884" spans="1:24">
      <c r="A9884">
        <f>HYPERLINK("https://www.philgeps.gov.ph/GEPSNONPILOT/Tender/SplashBidNoticeAbstractUI.aspx?menuIndex=3&amp;refID=7060103&amp;Result=3","7060103")</f>
        <v>0</v>
      </c>
      <c r="B9884" t="s">
        <v>2832</v>
      </c>
      <c r="C9884" t="s">
        <v>12818</v>
      </c>
      <c r="D9884" t="s">
        <v>16610</v>
      </c>
      <c r="E9884" t="s">
        <v>25298</v>
      </c>
      <c r="F9884" t="s">
        <v>28669</v>
      </c>
      <c r="G9884" t="s">
        <v>28675</v>
      </c>
      <c r="H9884" t="s">
        <v>9998</v>
      </c>
      <c r="I9884" t="s">
        <v>5286</v>
      </c>
      <c r="J9884" t="s">
        <v>34932</v>
      </c>
      <c r="K9884" t="s">
        <v>37227</v>
      </c>
      <c r="L9884" t="s">
        <v>2832</v>
      </c>
      <c r="M9884" t="s">
        <v>40566</v>
      </c>
      <c r="N9884" t="s">
        <v>41249</v>
      </c>
      <c r="O9884" t="s">
        <v>41250</v>
      </c>
      <c r="P9884">
        <v>0</v>
      </c>
      <c r="Q9884">
        <v>1</v>
      </c>
      <c r="R9884" t="s">
        <v>41260</v>
      </c>
      <c r="S9884" t="s">
        <v>41624</v>
      </c>
      <c r="T9884" t="s">
        <v>42674</v>
      </c>
      <c r="U9884" t="s">
        <v>51048</v>
      </c>
      <c r="W9884" t="s">
        <v>40566</v>
      </c>
      <c r="X9884" t="s">
        <v>41261</v>
      </c>
    </row>
    <row r="9885" spans="1:24">
      <c r="A9885">
        <f>HYPERLINK("https://www.philgeps.gov.ph/GEPSNONPILOT/Tender/SplashBidNoticeAbstractUI.aspx?menuIndex=3&amp;refID=7060306&amp;Result=3","7060306")</f>
        <v>0</v>
      </c>
      <c r="B9885" t="s">
        <v>1559</v>
      </c>
      <c r="C9885" t="s">
        <v>12819</v>
      </c>
      <c r="D9885" t="s">
        <v>16643</v>
      </c>
      <c r="E9885" t="s">
        <v>25299</v>
      </c>
      <c r="F9885" t="s">
        <v>28669</v>
      </c>
      <c r="G9885" t="s">
        <v>28675</v>
      </c>
      <c r="H9885" t="s">
        <v>9998</v>
      </c>
      <c r="I9885" t="s">
        <v>7352</v>
      </c>
      <c r="J9885" t="s">
        <v>34933</v>
      </c>
      <c r="K9885" t="s">
        <v>37209</v>
      </c>
      <c r="M9885" t="s">
        <v>40588</v>
      </c>
      <c r="N9885" t="s">
        <v>41249</v>
      </c>
      <c r="O9885" t="s">
        <v>41250</v>
      </c>
      <c r="Q9885">
        <v>1</v>
      </c>
      <c r="R9885" t="s">
        <v>41260</v>
      </c>
      <c r="S9885" t="s">
        <v>41647</v>
      </c>
      <c r="T9885" t="s">
        <v>43023</v>
      </c>
      <c r="U9885" t="s">
        <v>51168</v>
      </c>
      <c r="W9885" t="s">
        <v>40588</v>
      </c>
      <c r="X9885" t="s">
        <v>41261</v>
      </c>
    </row>
    <row r="9886" spans="1:24">
      <c r="A9886">
        <f>HYPERLINK("https://www.philgeps.gov.ph/GEPSNONPILOT/Tender/SplashBidNoticeAbstractUI.aspx?menuIndex=3&amp;refID=7060329&amp;Result=3","7060329")</f>
        <v>0</v>
      </c>
      <c r="B9886" t="s">
        <v>133</v>
      </c>
      <c r="C9886" t="s">
        <v>12820</v>
      </c>
      <c r="E9886" t="s">
        <v>25300</v>
      </c>
      <c r="F9886" t="s">
        <v>28669</v>
      </c>
      <c r="G9886" t="s">
        <v>28676</v>
      </c>
      <c r="H9886" t="s">
        <v>9998</v>
      </c>
      <c r="I9886" t="s">
        <v>5213</v>
      </c>
      <c r="J9886" t="s">
        <v>34934</v>
      </c>
      <c r="K9886" t="s">
        <v>37209</v>
      </c>
      <c r="M9886" t="s">
        <v>37610</v>
      </c>
      <c r="N9886" t="s">
        <v>41249</v>
      </c>
      <c r="O9886" t="s">
        <v>41250</v>
      </c>
      <c r="P9886">
        <v>0</v>
      </c>
      <c r="Q9886">
        <v>1</v>
      </c>
      <c r="R9886" t="s">
        <v>41260</v>
      </c>
      <c r="S9886" t="s">
        <v>41624</v>
      </c>
      <c r="T9886" t="s">
        <v>43002</v>
      </c>
      <c r="U9886" t="s">
        <v>51169</v>
      </c>
      <c r="V9886" t="s">
        <v>54284</v>
      </c>
      <c r="W9886" t="s">
        <v>37610</v>
      </c>
      <c r="X9886" t="s">
        <v>41261</v>
      </c>
    </row>
    <row r="9887" spans="1:24">
      <c r="A9887">
        <f>HYPERLINK("https://www.philgeps.gov.ph/GEPSNONPILOT/Tender/SplashBidNoticeAbstractUI.aspx?menuIndex=3&amp;refID=7060431&amp;Result=3","7060431")</f>
        <v>0</v>
      </c>
      <c r="B9887" t="s">
        <v>531</v>
      </c>
      <c r="C9887" t="s">
        <v>7352</v>
      </c>
      <c r="D9887" t="s">
        <v>16611</v>
      </c>
      <c r="E9887" t="s">
        <v>25301</v>
      </c>
      <c r="F9887" t="s">
        <v>28669</v>
      </c>
      <c r="G9887" t="s">
        <v>28675</v>
      </c>
      <c r="H9887" t="s">
        <v>28686</v>
      </c>
      <c r="I9887" t="s">
        <v>7352</v>
      </c>
      <c r="J9887" t="s">
        <v>34935</v>
      </c>
      <c r="K9887" t="s">
        <v>37210</v>
      </c>
      <c r="M9887" t="s">
        <v>38022</v>
      </c>
      <c r="N9887" t="s">
        <v>41249</v>
      </c>
      <c r="O9887" t="s">
        <v>41250</v>
      </c>
      <c r="P9887">
        <v>0</v>
      </c>
      <c r="Q9887">
        <v>0</v>
      </c>
      <c r="R9887" t="s">
        <v>41260</v>
      </c>
      <c r="S9887" t="s">
        <v>41624</v>
      </c>
      <c r="T9887" t="s">
        <v>42782</v>
      </c>
      <c r="U9887" t="s">
        <v>51170</v>
      </c>
      <c r="W9887" t="s">
        <v>38022</v>
      </c>
      <c r="X9887" t="s">
        <v>41261</v>
      </c>
    </row>
    <row r="9888" spans="1:24">
      <c r="A9888">
        <f>HYPERLINK("https://www.philgeps.gov.ph/GEPSNONPILOT/Tender/SplashBidNoticeAbstractUI.aspx?menuIndex=3&amp;refID=7060421&amp;Result=3","7060421")</f>
        <v>0</v>
      </c>
      <c r="B9888" t="s">
        <v>181</v>
      </c>
      <c r="C9888" t="s">
        <v>12821</v>
      </c>
      <c r="D9888" t="s">
        <v>16647</v>
      </c>
      <c r="E9888" t="s">
        <v>25302</v>
      </c>
      <c r="F9888" t="s">
        <v>28669</v>
      </c>
      <c r="G9888" t="s">
        <v>28675</v>
      </c>
      <c r="H9888" t="s">
        <v>9998</v>
      </c>
      <c r="I9888" t="s">
        <v>6606</v>
      </c>
      <c r="J9888" t="s">
        <v>34936</v>
      </c>
      <c r="K9888" t="s">
        <v>37210</v>
      </c>
      <c r="M9888" t="s">
        <v>37658</v>
      </c>
      <c r="N9888" t="s">
        <v>41249</v>
      </c>
      <c r="O9888" t="s">
        <v>41250</v>
      </c>
      <c r="P9888">
        <v>0</v>
      </c>
      <c r="Q9888">
        <v>0</v>
      </c>
      <c r="R9888" t="s">
        <v>41260</v>
      </c>
      <c r="S9888" t="s">
        <v>41624</v>
      </c>
      <c r="T9888" t="s">
        <v>42914</v>
      </c>
      <c r="U9888" t="s">
        <v>50625</v>
      </c>
      <c r="W9888" t="s">
        <v>37658</v>
      </c>
      <c r="X9888" t="s">
        <v>41261</v>
      </c>
    </row>
    <row r="9889" spans="1:24">
      <c r="A9889">
        <f>HYPERLINK("https://www.philgeps.gov.ph/GEPSNONPILOT/Tender/SplashBidNoticeAbstractUI.aspx?menuIndex=3&amp;refID=7060399&amp;Result=3","7060399")</f>
        <v>0</v>
      </c>
      <c r="B9889" t="s">
        <v>2860</v>
      </c>
      <c r="C9889" t="s">
        <v>12822</v>
      </c>
      <c r="D9889" t="s">
        <v>16611</v>
      </c>
      <c r="E9889" t="s">
        <v>17812</v>
      </c>
      <c r="F9889" t="s">
        <v>28669</v>
      </c>
      <c r="G9889" t="s">
        <v>28679</v>
      </c>
      <c r="H9889" t="s">
        <v>9998</v>
      </c>
      <c r="I9889" t="s">
        <v>7352</v>
      </c>
      <c r="J9889" t="s">
        <v>34937</v>
      </c>
      <c r="K9889" t="s">
        <v>37204</v>
      </c>
      <c r="M9889" t="s">
        <v>40601</v>
      </c>
      <c r="N9889" t="s">
        <v>41249</v>
      </c>
      <c r="O9889" t="s">
        <v>41250</v>
      </c>
      <c r="P9889">
        <v>0</v>
      </c>
      <c r="Q9889">
        <v>0</v>
      </c>
      <c r="R9889" t="s">
        <v>41260</v>
      </c>
      <c r="S9889" t="s">
        <v>41624</v>
      </c>
      <c r="T9889" t="s">
        <v>42760</v>
      </c>
      <c r="U9889" t="s">
        <v>51171</v>
      </c>
      <c r="W9889" t="s">
        <v>40601</v>
      </c>
      <c r="X9889" t="s">
        <v>41261</v>
      </c>
    </row>
    <row r="9890" spans="1:24">
      <c r="A9890">
        <f>HYPERLINK("https://www.philgeps.gov.ph/GEPSNONPILOT/Tender/SplashBidNoticeAbstractUI.aspx?menuIndex=3&amp;refID=7060397&amp;Result=3","7060397")</f>
        <v>0</v>
      </c>
      <c r="B9890" t="s">
        <v>411</v>
      </c>
      <c r="C9890" t="s">
        <v>12823</v>
      </c>
      <c r="D9890" t="s">
        <v>16616</v>
      </c>
      <c r="E9890" t="s">
        <v>25303</v>
      </c>
      <c r="F9890" t="s">
        <v>28669</v>
      </c>
      <c r="G9890" t="s">
        <v>28675</v>
      </c>
      <c r="H9890" t="s">
        <v>9998</v>
      </c>
      <c r="I9890" t="s">
        <v>28743</v>
      </c>
      <c r="J9890" t="s">
        <v>34938</v>
      </c>
      <c r="K9890" t="s">
        <v>37213</v>
      </c>
      <c r="M9890" t="s">
        <v>37896</v>
      </c>
      <c r="N9890" t="s">
        <v>41249</v>
      </c>
      <c r="O9890" t="s">
        <v>41250</v>
      </c>
      <c r="P9890">
        <v>0</v>
      </c>
      <c r="Q9890">
        <v>0</v>
      </c>
      <c r="R9890" t="s">
        <v>41260</v>
      </c>
      <c r="S9890" t="s">
        <v>41624</v>
      </c>
      <c r="T9890" t="s">
        <v>42658</v>
      </c>
      <c r="U9890" t="s">
        <v>51172</v>
      </c>
      <c r="W9890" t="s">
        <v>37896</v>
      </c>
      <c r="X9890" t="s">
        <v>41261</v>
      </c>
    </row>
    <row r="9891" spans="1:24">
      <c r="A9891">
        <f>HYPERLINK("https://www.philgeps.gov.ph/GEPSNONPILOT/Tender/SplashBidNoticeAbstractUI.aspx?menuIndex=3&amp;refID=7060291&amp;Result=3","7060291")</f>
        <v>0</v>
      </c>
      <c r="B9891" t="s">
        <v>1961</v>
      </c>
      <c r="C9891" t="s">
        <v>12824</v>
      </c>
      <c r="D9891" t="s">
        <v>16608</v>
      </c>
      <c r="E9891" t="s">
        <v>25304</v>
      </c>
      <c r="F9891" t="s">
        <v>28669</v>
      </c>
      <c r="G9891" t="s">
        <v>28675</v>
      </c>
      <c r="H9891" t="s">
        <v>9998</v>
      </c>
      <c r="I9891" t="s">
        <v>28694</v>
      </c>
      <c r="J9891" t="s">
        <v>34939</v>
      </c>
      <c r="K9891" t="s">
        <v>37205</v>
      </c>
      <c r="M9891" t="s">
        <v>40602</v>
      </c>
      <c r="N9891" t="s">
        <v>41249</v>
      </c>
      <c r="O9891" t="s">
        <v>41250</v>
      </c>
      <c r="P9891">
        <v>0</v>
      </c>
      <c r="Q9891">
        <v>14</v>
      </c>
      <c r="R9891" t="s">
        <v>41260</v>
      </c>
      <c r="S9891" t="s">
        <v>41624</v>
      </c>
      <c r="T9891" t="s">
        <v>42721</v>
      </c>
      <c r="U9891" t="s">
        <v>51173</v>
      </c>
      <c r="W9891" t="s">
        <v>40602</v>
      </c>
      <c r="X9891" t="s">
        <v>41261</v>
      </c>
    </row>
    <row r="9892" spans="1:24">
      <c r="A9892">
        <f>HYPERLINK("https://www.philgeps.gov.ph/GEPSNONPILOT/Tender/SplashBidNoticeAbstractUI.aspx?menuIndex=3&amp;refID=7060441&amp;Result=3","7060441")</f>
        <v>0</v>
      </c>
      <c r="B9892" t="s">
        <v>1559</v>
      </c>
      <c r="C9892" t="s">
        <v>12825</v>
      </c>
      <c r="D9892" t="s">
        <v>16643</v>
      </c>
      <c r="E9892" t="s">
        <v>25305</v>
      </c>
      <c r="F9892" t="s">
        <v>28669</v>
      </c>
      <c r="G9892" t="s">
        <v>28675</v>
      </c>
      <c r="H9892" t="s">
        <v>9998</v>
      </c>
      <c r="I9892" t="s">
        <v>28773</v>
      </c>
      <c r="J9892" t="s">
        <v>34940</v>
      </c>
      <c r="K9892" t="s">
        <v>37209</v>
      </c>
      <c r="M9892" t="s">
        <v>40588</v>
      </c>
      <c r="N9892" t="s">
        <v>41249</v>
      </c>
      <c r="O9892" t="s">
        <v>41250</v>
      </c>
      <c r="Q9892">
        <v>5</v>
      </c>
      <c r="R9892" t="s">
        <v>41260</v>
      </c>
      <c r="S9892" t="s">
        <v>41648</v>
      </c>
      <c r="T9892" t="s">
        <v>43023</v>
      </c>
      <c r="U9892" t="s">
        <v>51174</v>
      </c>
      <c r="W9892" t="s">
        <v>40588</v>
      </c>
      <c r="X9892" t="s">
        <v>41261</v>
      </c>
    </row>
    <row r="9893" spans="1:24">
      <c r="A9893">
        <f>HYPERLINK("https://www.philgeps.gov.ph/GEPSNONPILOT/Tender/SplashBidNoticeAbstractUI.aspx?menuIndex=3&amp;refID=7060381&amp;Result=3","7060381")</f>
        <v>0</v>
      </c>
      <c r="B9893" t="s">
        <v>2861</v>
      </c>
      <c r="C9893" t="s">
        <v>12826</v>
      </c>
      <c r="D9893" t="s">
        <v>16628</v>
      </c>
      <c r="E9893" t="s">
        <v>12826</v>
      </c>
      <c r="F9893" t="s">
        <v>28669</v>
      </c>
      <c r="G9893" t="s">
        <v>28675</v>
      </c>
      <c r="H9893" t="s">
        <v>28686</v>
      </c>
      <c r="I9893" t="s">
        <v>28689</v>
      </c>
      <c r="J9893" t="s">
        <v>28836</v>
      </c>
      <c r="K9893" t="s">
        <v>37293</v>
      </c>
      <c r="M9893" t="s">
        <v>40603</v>
      </c>
      <c r="N9893" t="s">
        <v>41249</v>
      </c>
      <c r="O9893" t="s">
        <v>41250</v>
      </c>
      <c r="P9893">
        <v>0</v>
      </c>
      <c r="Q9893">
        <v>1</v>
      </c>
      <c r="R9893" t="s">
        <v>41260</v>
      </c>
      <c r="S9893" t="s">
        <v>41624</v>
      </c>
      <c r="T9893" t="s">
        <v>42739</v>
      </c>
      <c r="U9893" t="s">
        <v>51175</v>
      </c>
      <c r="W9893" t="s">
        <v>40603</v>
      </c>
      <c r="X9893" t="s">
        <v>41261</v>
      </c>
    </row>
    <row r="9894" spans="1:24">
      <c r="A9894">
        <f>HYPERLINK("https://www.philgeps.gov.ph/GEPSNONPILOT/Tender/SplashBidNoticeAbstractUI.aspx?menuIndex=3&amp;refID=7060321&amp;Result=3","7060321")</f>
        <v>0</v>
      </c>
      <c r="B9894" t="s">
        <v>2862</v>
      </c>
      <c r="C9894" t="s">
        <v>12827</v>
      </c>
      <c r="D9894" t="s">
        <v>16617</v>
      </c>
      <c r="E9894" t="s">
        <v>16861</v>
      </c>
      <c r="F9894" t="s">
        <v>28671</v>
      </c>
      <c r="G9894" t="s">
        <v>28675</v>
      </c>
      <c r="H9894" t="s">
        <v>28684</v>
      </c>
      <c r="I9894" t="s">
        <v>5286</v>
      </c>
      <c r="J9894" t="s">
        <v>29040</v>
      </c>
      <c r="K9894" t="s">
        <v>37266</v>
      </c>
      <c r="M9894" t="s">
        <v>40604</v>
      </c>
      <c r="N9894" t="s">
        <v>41249</v>
      </c>
      <c r="O9894" t="s">
        <v>41250</v>
      </c>
      <c r="P9894">
        <v>0</v>
      </c>
      <c r="Q9894">
        <v>0</v>
      </c>
      <c r="R9894" t="s">
        <v>41260</v>
      </c>
      <c r="S9894" t="s">
        <v>41624</v>
      </c>
      <c r="T9894" t="s">
        <v>42770</v>
      </c>
      <c r="U9894" t="s">
        <v>51176</v>
      </c>
      <c r="W9894" t="s">
        <v>40604</v>
      </c>
      <c r="X9894" t="s">
        <v>41261</v>
      </c>
    </row>
    <row r="9895" spans="1:24">
      <c r="A9895">
        <f>HYPERLINK("https://www.philgeps.gov.ph/GEPSNONPILOT/Tender/SplashBidNoticeAbstractUI.aspx?menuIndex=3&amp;refID=7060375&amp;Result=3","7060375")</f>
        <v>0</v>
      </c>
      <c r="B9895" t="s">
        <v>181</v>
      </c>
      <c r="C9895" t="s">
        <v>12828</v>
      </c>
      <c r="D9895" t="s">
        <v>16647</v>
      </c>
      <c r="E9895" t="s">
        <v>25306</v>
      </c>
      <c r="F9895" t="s">
        <v>28669</v>
      </c>
      <c r="G9895" t="s">
        <v>28675</v>
      </c>
      <c r="H9895" t="s">
        <v>9998</v>
      </c>
      <c r="I9895" t="s">
        <v>6128</v>
      </c>
      <c r="J9895" t="s">
        <v>34941</v>
      </c>
      <c r="K9895" t="s">
        <v>37210</v>
      </c>
      <c r="M9895" t="s">
        <v>37658</v>
      </c>
      <c r="N9895" t="s">
        <v>41249</v>
      </c>
      <c r="O9895" t="s">
        <v>41250</v>
      </c>
      <c r="P9895">
        <v>0</v>
      </c>
      <c r="Q9895">
        <v>1</v>
      </c>
      <c r="R9895" t="s">
        <v>41260</v>
      </c>
      <c r="S9895" t="s">
        <v>41624</v>
      </c>
      <c r="T9895" t="s">
        <v>42914</v>
      </c>
      <c r="U9895" t="s">
        <v>44022</v>
      </c>
      <c r="W9895" t="s">
        <v>37658</v>
      </c>
      <c r="X9895" t="s">
        <v>41261</v>
      </c>
    </row>
    <row r="9896" spans="1:24">
      <c r="A9896">
        <f>HYPERLINK("https://www.philgeps.gov.ph/GEPSNONPILOT/Tender/SplashBidNoticeAbstractUI.aspx?menuIndex=3&amp;refID=7060372&amp;Result=3","7060372")</f>
        <v>0</v>
      </c>
      <c r="B9896" t="s">
        <v>2863</v>
      </c>
      <c r="C9896" t="s">
        <v>12829</v>
      </c>
      <c r="D9896" t="s">
        <v>16619</v>
      </c>
      <c r="E9896" t="s">
        <v>25307</v>
      </c>
      <c r="F9896" t="s">
        <v>28669</v>
      </c>
      <c r="G9896" t="s">
        <v>28675</v>
      </c>
      <c r="H9896" t="s">
        <v>9998</v>
      </c>
      <c r="I9896" t="s">
        <v>28687</v>
      </c>
      <c r="J9896" t="s">
        <v>28836</v>
      </c>
      <c r="K9896" t="s">
        <v>37209</v>
      </c>
      <c r="M9896" t="s">
        <v>40605</v>
      </c>
      <c r="N9896" t="s">
        <v>41249</v>
      </c>
      <c r="O9896" t="s">
        <v>41250</v>
      </c>
      <c r="P9896">
        <v>0</v>
      </c>
      <c r="Q9896">
        <v>1</v>
      </c>
      <c r="R9896" t="s">
        <v>41260</v>
      </c>
      <c r="S9896" t="s">
        <v>41624</v>
      </c>
      <c r="T9896" t="s">
        <v>42739</v>
      </c>
      <c r="U9896" t="s">
        <v>51177</v>
      </c>
      <c r="V9896" t="s">
        <v>55348</v>
      </c>
      <c r="W9896" t="s">
        <v>40605</v>
      </c>
      <c r="X9896" t="s">
        <v>41261</v>
      </c>
    </row>
    <row r="9897" spans="1:24">
      <c r="A9897">
        <f>HYPERLINK("https://www.philgeps.gov.ph/GEPSNONPILOT/Tender/SplashBidNoticeAbstractUI.aspx?menuIndex=3&amp;refID=7060371&amp;Result=3","7060371")</f>
        <v>0</v>
      </c>
      <c r="B9897" t="s">
        <v>2447</v>
      </c>
      <c r="C9897" t="s">
        <v>12830</v>
      </c>
      <c r="D9897" t="s">
        <v>16627</v>
      </c>
      <c r="E9897" t="s">
        <v>25308</v>
      </c>
      <c r="F9897" t="s">
        <v>28669</v>
      </c>
      <c r="G9897" t="s">
        <v>28675</v>
      </c>
      <c r="H9897" t="s">
        <v>28686</v>
      </c>
      <c r="I9897" t="s">
        <v>28689</v>
      </c>
      <c r="J9897" t="s">
        <v>32601</v>
      </c>
      <c r="K9897" t="s">
        <v>37220</v>
      </c>
      <c r="M9897" t="s">
        <v>40130</v>
      </c>
      <c r="N9897" t="s">
        <v>41249</v>
      </c>
      <c r="O9897" t="s">
        <v>41250</v>
      </c>
      <c r="P9897">
        <v>0</v>
      </c>
      <c r="Q9897">
        <v>0</v>
      </c>
      <c r="R9897" t="s">
        <v>41260</v>
      </c>
      <c r="S9897" t="s">
        <v>41624</v>
      </c>
      <c r="T9897" t="s">
        <v>42739</v>
      </c>
      <c r="U9897" t="s">
        <v>51178</v>
      </c>
      <c r="W9897" t="s">
        <v>40130</v>
      </c>
      <c r="X9897" t="s">
        <v>41261</v>
      </c>
    </row>
    <row r="9898" spans="1:24">
      <c r="A9898">
        <f>HYPERLINK("https://www.philgeps.gov.ph/GEPSNONPILOT/Tender/SplashBidNoticeAbstractUI.aspx?menuIndex=3&amp;refID=7060363&amp;Result=3","7060363")</f>
        <v>0</v>
      </c>
      <c r="B9898" t="s">
        <v>1559</v>
      </c>
      <c r="C9898" t="s">
        <v>12831</v>
      </c>
      <c r="D9898" t="s">
        <v>16643</v>
      </c>
      <c r="E9898" t="s">
        <v>25309</v>
      </c>
      <c r="F9898" t="s">
        <v>28669</v>
      </c>
      <c r="G9898" t="s">
        <v>28675</v>
      </c>
      <c r="H9898" t="s">
        <v>9998</v>
      </c>
      <c r="I9898" t="s">
        <v>28695</v>
      </c>
      <c r="J9898" t="s">
        <v>34942</v>
      </c>
      <c r="K9898" t="s">
        <v>37209</v>
      </c>
      <c r="M9898" t="s">
        <v>40588</v>
      </c>
      <c r="N9898" t="s">
        <v>41249</v>
      </c>
      <c r="O9898" t="s">
        <v>41250</v>
      </c>
      <c r="Q9898">
        <v>6</v>
      </c>
      <c r="R9898" t="s">
        <v>41260</v>
      </c>
      <c r="S9898" t="s">
        <v>41649</v>
      </c>
      <c r="T9898" t="s">
        <v>43023</v>
      </c>
      <c r="U9898" t="s">
        <v>51179</v>
      </c>
      <c r="W9898" t="s">
        <v>40588</v>
      </c>
      <c r="X9898" t="s">
        <v>41261</v>
      </c>
    </row>
    <row r="9899" spans="1:24">
      <c r="A9899">
        <f>HYPERLINK("https://www.philgeps.gov.ph/GEPSNONPILOT/Tender/SplashBidNoticeAbstractUI.aspx?menuIndex=3&amp;refID=7060433&amp;Result=3","7060433")</f>
        <v>0</v>
      </c>
      <c r="B9899" t="s">
        <v>1961</v>
      </c>
      <c r="C9899" t="s">
        <v>12832</v>
      </c>
      <c r="D9899" t="s">
        <v>16608</v>
      </c>
      <c r="E9899" t="s">
        <v>25310</v>
      </c>
      <c r="F9899" t="s">
        <v>28669</v>
      </c>
      <c r="G9899" t="s">
        <v>28675</v>
      </c>
      <c r="H9899" t="s">
        <v>9998</v>
      </c>
      <c r="I9899" t="s">
        <v>28694</v>
      </c>
      <c r="J9899" t="s">
        <v>34943</v>
      </c>
      <c r="K9899" t="s">
        <v>37205</v>
      </c>
      <c r="M9899" t="s">
        <v>40602</v>
      </c>
      <c r="N9899" t="s">
        <v>41249</v>
      </c>
      <c r="O9899" t="s">
        <v>41250</v>
      </c>
      <c r="P9899">
        <v>0</v>
      </c>
      <c r="Q9899">
        <v>8</v>
      </c>
      <c r="R9899" t="s">
        <v>41260</v>
      </c>
      <c r="S9899" t="s">
        <v>41624</v>
      </c>
      <c r="T9899" t="s">
        <v>42721</v>
      </c>
      <c r="U9899" t="s">
        <v>51180</v>
      </c>
      <c r="W9899" t="s">
        <v>40602</v>
      </c>
      <c r="X9899" t="s">
        <v>41261</v>
      </c>
    </row>
    <row r="9900" spans="1:24">
      <c r="A9900">
        <f>HYPERLINK("https://www.philgeps.gov.ph/GEPSNONPILOT/Tender/SplashBidNoticeAbstractUI.aspx?menuIndex=3&amp;refID=7060362&amp;Result=3","7060362")</f>
        <v>0</v>
      </c>
      <c r="B9900" t="s">
        <v>1022</v>
      </c>
      <c r="C9900" t="s">
        <v>12833</v>
      </c>
      <c r="E9900" t="s">
        <v>25311</v>
      </c>
      <c r="F9900" t="s">
        <v>28669</v>
      </c>
      <c r="G9900" t="s">
        <v>28675</v>
      </c>
      <c r="H9900" t="s">
        <v>28684</v>
      </c>
      <c r="I9900" t="s">
        <v>28712</v>
      </c>
      <c r="J9900" t="s">
        <v>34944</v>
      </c>
      <c r="K9900" t="s">
        <v>37205</v>
      </c>
      <c r="M9900" t="s">
        <v>38552</v>
      </c>
      <c r="N9900" t="s">
        <v>41249</v>
      </c>
      <c r="O9900" t="s">
        <v>41250</v>
      </c>
      <c r="P9900">
        <v>0</v>
      </c>
      <c r="Q9900">
        <v>2</v>
      </c>
      <c r="R9900" t="s">
        <v>41260</v>
      </c>
      <c r="S9900" t="s">
        <v>41624</v>
      </c>
      <c r="T9900" t="s">
        <v>42682</v>
      </c>
      <c r="U9900" t="s">
        <v>51181</v>
      </c>
      <c r="V9900" t="s">
        <v>55349</v>
      </c>
      <c r="W9900" t="s">
        <v>38552</v>
      </c>
      <c r="X9900" t="s">
        <v>41261</v>
      </c>
    </row>
    <row r="9901" spans="1:24">
      <c r="A9901">
        <f>HYPERLINK("https://www.philgeps.gov.ph/GEPSNONPILOT/Tender/SplashBidNoticeAbstractUI.aspx?menuIndex=3&amp;refID=7060407&amp;Result=3","7060407")</f>
        <v>0</v>
      </c>
      <c r="B9901" t="s">
        <v>559</v>
      </c>
      <c r="C9901" t="s">
        <v>12834</v>
      </c>
      <c r="D9901" t="s">
        <v>16644</v>
      </c>
      <c r="E9901" t="s">
        <v>25312</v>
      </c>
      <c r="F9901" t="s">
        <v>28669</v>
      </c>
      <c r="G9901" t="s">
        <v>28675</v>
      </c>
      <c r="H9901" t="s">
        <v>9998</v>
      </c>
      <c r="I9901" t="s">
        <v>28704</v>
      </c>
      <c r="J9901" t="s">
        <v>34945</v>
      </c>
      <c r="K9901" t="s">
        <v>37206</v>
      </c>
      <c r="M9901" t="s">
        <v>40176</v>
      </c>
      <c r="N9901" t="s">
        <v>41249</v>
      </c>
      <c r="O9901" t="s">
        <v>41250</v>
      </c>
      <c r="P9901">
        <v>0</v>
      </c>
      <c r="Q9901">
        <v>1</v>
      </c>
      <c r="R9901" t="s">
        <v>41260</v>
      </c>
      <c r="S9901" t="s">
        <v>41624</v>
      </c>
      <c r="T9901" t="s">
        <v>42931</v>
      </c>
      <c r="U9901" t="s">
        <v>51182</v>
      </c>
      <c r="W9901" t="s">
        <v>40176</v>
      </c>
      <c r="X9901" t="s">
        <v>41261</v>
      </c>
    </row>
    <row r="9902" spans="1:24">
      <c r="A9902">
        <f>HYPERLINK("https://www.philgeps.gov.ph/GEPSNONPILOT/Tender/SplashBidNoticeAbstractUI.aspx?menuIndex=3&amp;refID=7060573&amp;Result=3","7060573")</f>
        <v>0</v>
      </c>
      <c r="B9902" t="s">
        <v>849</v>
      </c>
      <c r="C9902" t="s">
        <v>12835</v>
      </c>
      <c r="D9902" t="s">
        <v>16626</v>
      </c>
      <c r="E9902" t="s">
        <v>25313</v>
      </c>
      <c r="F9902" t="s">
        <v>28672</v>
      </c>
      <c r="G9902" t="s">
        <v>28676</v>
      </c>
      <c r="H9902" t="s">
        <v>9998</v>
      </c>
      <c r="I9902" t="s">
        <v>28719</v>
      </c>
      <c r="J9902" t="s">
        <v>29902</v>
      </c>
      <c r="K9902" t="s">
        <v>37209</v>
      </c>
      <c r="M9902" t="s">
        <v>38365</v>
      </c>
      <c r="N9902" t="s">
        <v>41249</v>
      </c>
      <c r="O9902" t="s">
        <v>41250</v>
      </c>
      <c r="P9902">
        <v>0</v>
      </c>
      <c r="Q9902">
        <v>3</v>
      </c>
      <c r="R9902" t="s">
        <v>41260</v>
      </c>
      <c r="S9902" t="s">
        <v>41624</v>
      </c>
      <c r="T9902" t="s">
        <v>42728</v>
      </c>
      <c r="U9902" t="s">
        <v>44865</v>
      </c>
      <c r="W9902" t="s">
        <v>38365</v>
      </c>
      <c r="X9902" t="s">
        <v>41261</v>
      </c>
    </row>
    <row r="9903" spans="1:24">
      <c r="A9903">
        <f>HYPERLINK("https://www.philgeps.gov.ph/GEPSNONPILOT/Tender/SplashBidNoticeAbstractUI.aspx?menuIndex=3&amp;refID=7060571&amp;Result=3","7060571")</f>
        <v>0</v>
      </c>
      <c r="B9903" t="s">
        <v>1432</v>
      </c>
      <c r="C9903" t="s">
        <v>12836</v>
      </c>
      <c r="D9903" t="s">
        <v>16635</v>
      </c>
      <c r="E9903" t="s">
        <v>25314</v>
      </c>
      <c r="F9903" t="s">
        <v>28669</v>
      </c>
      <c r="G9903" t="s">
        <v>28675</v>
      </c>
      <c r="H9903" t="s">
        <v>9998</v>
      </c>
      <c r="I9903" t="s">
        <v>7352</v>
      </c>
      <c r="J9903" t="s">
        <v>34946</v>
      </c>
      <c r="K9903" t="s">
        <v>37209</v>
      </c>
      <c r="M9903" t="s">
        <v>38996</v>
      </c>
      <c r="N9903" t="s">
        <v>41249</v>
      </c>
      <c r="O9903" t="s">
        <v>41250</v>
      </c>
      <c r="P9903">
        <v>0</v>
      </c>
      <c r="Q9903">
        <v>0</v>
      </c>
      <c r="R9903" t="s">
        <v>41260</v>
      </c>
      <c r="S9903" t="s">
        <v>41624</v>
      </c>
      <c r="T9903" t="s">
        <v>43108</v>
      </c>
      <c r="U9903" t="s">
        <v>51183</v>
      </c>
      <c r="V9903" t="s">
        <v>55350</v>
      </c>
      <c r="W9903" t="s">
        <v>38996</v>
      </c>
      <c r="X9903" t="s">
        <v>41261</v>
      </c>
    </row>
    <row r="9904" spans="1:24">
      <c r="A9904">
        <f>HYPERLINK("https://www.philgeps.gov.ph/GEPSNONPILOT/Tender/SplashBidNoticeAbstractUI.aspx?menuIndex=3&amp;refID=7060559&amp;Result=3","7060559")</f>
        <v>0</v>
      </c>
      <c r="B9904" t="s">
        <v>893</v>
      </c>
      <c r="C9904" t="s">
        <v>12837</v>
      </c>
      <c r="D9904" t="s">
        <v>16608</v>
      </c>
      <c r="E9904" t="s">
        <v>25315</v>
      </c>
      <c r="F9904" t="s">
        <v>28669</v>
      </c>
      <c r="G9904" t="s">
        <v>28676</v>
      </c>
      <c r="H9904" t="s">
        <v>9998</v>
      </c>
      <c r="I9904" t="s">
        <v>3718</v>
      </c>
      <c r="J9904" t="s">
        <v>34947</v>
      </c>
      <c r="K9904" t="s">
        <v>37206</v>
      </c>
      <c r="M9904" t="s">
        <v>38414</v>
      </c>
      <c r="N9904" t="s">
        <v>41249</v>
      </c>
      <c r="O9904" t="s">
        <v>41250</v>
      </c>
      <c r="Q9904">
        <v>11</v>
      </c>
      <c r="R9904" t="s">
        <v>41260</v>
      </c>
      <c r="S9904" t="s">
        <v>41650</v>
      </c>
      <c r="T9904" t="s">
        <v>42711</v>
      </c>
      <c r="U9904" t="s">
        <v>51184</v>
      </c>
      <c r="W9904" t="s">
        <v>38414</v>
      </c>
      <c r="X9904" t="s">
        <v>41261</v>
      </c>
    </row>
    <row r="9905" spans="1:24">
      <c r="A9905">
        <f>HYPERLINK("https://www.philgeps.gov.ph/GEPSNONPILOT/Tender/SplashBidNoticeAbstractUI.aspx?menuIndex=3&amp;refID=7060389&amp;Result=3","7060389")</f>
        <v>0</v>
      </c>
      <c r="B9905" t="s">
        <v>1559</v>
      </c>
      <c r="C9905" t="s">
        <v>12838</v>
      </c>
      <c r="D9905" t="s">
        <v>16643</v>
      </c>
      <c r="E9905" t="s">
        <v>25316</v>
      </c>
      <c r="F9905" t="s">
        <v>28669</v>
      </c>
      <c r="G9905" t="s">
        <v>28675</v>
      </c>
      <c r="H9905" t="s">
        <v>9998</v>
      </c>
      <c r="I9905" t="s">
        <v>28754</v>
      </c>
      <c r="J9905" t="s">
        <v>34948</v>
      </c>
      <c r="K9905" t="s">
        <v>37209</v>
      </c>
      <c r="M9905" t="s">
        <v>40588</v>
      </c>
      <c r="N9905" t="s">
        <v>41249</v>
      </c>
      <c r="O9905" t="s">
        <v>41250</v>
      </c>
      <c r="Q9905">
        <v>5</v>
      </c>
      <c r="R9905" t="s">
        <v>41260</v>
      </c>
      <c r="S9905" t="s">
        <v>41651</v>
      </c>
      <c r="T9905" t="s">
        <v>43023</v>
      </c>
      <c r="U9905" t="s">
        <v>51185</v>
      </c>
      <c r="W9905" t="s">
        <v>40588</v>
      </c>
      <c r="X9905" t="s">
        <v>41261</v>
      </c>
    </row>
    <row r="9906" spans="1:24">
      <c r="A9906">
        <f>HYPERLINK("https://www.philgeps.gov.ph/GEPSNONPILOT/Tender/SplashBidNoticeAbstractUI.aspx?menuIndex=3&amp;refID=7060550&amp;Result=3","7060550")</f>
        <v>0</v>
      </c>
      <c r="B9906" t="s">
        <v>2864</v>
      </c>
      <c r="C9906" t="s">
        <v>12839</v>
      </c>
      <c r="D9906" t="s">
        <v>16608</v>
      </c>
      <c r="E9906" t="s">
        <v>21191</v>
      </c>
      <c r="F9906" t="s">
        <v>28669</v>
      </c>
      <c r="G9906" t="s">
        <v>28675</v>
      </c>
      <c r="H9906" t="s">
        <v>9998</v>
      </c>
      <c r="I9906" t="s">
        <v>11593</v>
      </c>
      <c r="J9906" t="s">
        <v>34949</v>
      </c>
      <c r="K9906" t="s">
        <v>37213</v>
      </c>
      <c r="M9906" t="s">
        <v>40606</v>
      </c>
      <c r="N9906" t="s">
        <v>41249</v>
      </c>
      <c r="O9906" t="s">
        <v>41250</v>
      </c>
      <c r="P9906">
        <v>0</v>
      </c>
      <c r="Q9906">
        <v>14</v>
      </c>
      <c r="R9906" t="s">
        <v>41260</v>
      </c>
      <c r="S9906" t="s">
        <v>41624</v>
      </c>
      <c r="T9906" t="s">
        <v>42712</v>
      </c>
      <c r="U9906" t="s">
        <v>51186</v>
      </c>
      <c r="W9906" t="s">
        <v>56017</v>
      </c>
      <c r="X9906" t="s">
        <v>41261</v>
      </c>
    </row>
    <row r="9907" spans="1:24">
      <c r="A9907">
        <f>HYPERLINK("https://www.philgeps.gov.ph/GEPSNONPILOT/Tender/SplashBidNoticeAbstractUI.aspx?menuIndex=3&amp;refID=7060540&amp;Result=3","7060540")</f>
        <v>0</v>
      </c>
      <c r="B9907" t="s">
        <v>1025</v>
      </c>
      <c r="C9907" t="s">
        <v>12840</v>
      </c>
      <c r="D9907" t="s">
        <v>16608</v>
      </c>
      <c r="E9907" t="s">
        <v>25317</v>
      </c>
      <c r="F9907" t="s">
        <v>28669</v>
      </c>
      <c r="G9907" t="s">
        <v>28675</v>
      </c>
      <c r="H9907" t="s">
        <v>9998</v>
      </c>
      <c r="I9907" t="s">
        <v>5286</v>
      </c>
      <c r="J9907" t="s">
        <v>34950</v>
      </c>
      <c r="K9907" t="s">
        <v>37209</v>
      </c>
      <c r="M9907" t="s">
        <v>40607</v>
      </c>
      <c r="N9907" t="s">
        <v>41249</v>
      </c>
      <c r="O9907" t="s">
        <v>41250</v>
      </c>
      <c r="P9907">
        <v>0</v>
      </c>
      <c r="Q9907">
        <v>6</v>
      </c>
      <c r="R9907" t="s">
        <v>41260</v>
      </c>
      <c r="S9907" t="s">
        <v>41624</v>
      </c>
      <c r="T9907" t="s">
        <v>42659</v>
      </c>
      <c r="U9907" t="s">
        <v>51187</v>
      </c>
      <c r="W9907" t="s">
        <v>40607</v>
      </c>
      <c r="X9907" t="s">
        <v>41261</v>
      </c>
    </row>
    <row r="9908" spans="1:24">
      <c r="A9908">
        <f>HYPERLINK("https://www.philgeps.gov.ph/GEPSNONPILOT/Tender/SplashBidNoticeAbstractUI.aspx?menuIndex=3&amp;refID=7060518&amp;Result=3","7060518")</f>
        <v>0</v>
      </c>
      <c r="B9908" t="s">
        <v>2652</v>
      </c>
      <c r="C9908" t="s">
        <v>12841</v>
      </c>
      <c r="D9908" t="s">
        <v>16655</v>
      </c>
      <c r="E9908" t="s">
        <v>25318</v>
      </c>
      <c r="F9908" t="s">
        <v>28669</v>
      </c>
      <c r="G9908" t="s">
        <v>28675</v>
      </c>
      <c r="H9908" t="s">
        <v>28686</v>
      </c>
      <c r="I9908" t="s">
        <v>28689</v>
      </c>
      <c r="J9908" t="s">
        <v>34951</v>
      </c>
      <c r="K9908" t="s">
        <v>37206</v>
      </c>
      <c r="M9908" t="s">
        <v>40608</v>
      </c>
      <c r="N9908" t="s">
        <v>41249</v>
      </c>
      <c r="O9908" t="s">
        <v>41250</v>
      </c>
      <c r="P9908">
        <v>0</v>
      </c>
      <c r="Q9908">
        <v>0</v>
      </c>
      <c r="R9908" t="s">
        <v>41260</v>
      </c>
      <c r="S9908" t="s">
        <v>41624</v>
      </c>
      <c r="T9908" t="s">
        <v>42701</v>
      </c>
      <c r="U9908" t="s">
        <v>51188</v>
      </c>
      <c r="V9908" t="s">
        <v>55351</v>
      </c>
      <c r="W9908" t="s">
        <v>40608</v>
      </c>
      <c r="X9908" t="s">
        <v>41261</v>
      </c>
    </row>
    <row r="9909" spans="1:24">
      <c r="A9909">
        <f>HYPERLINK("https://www.philgeps.gov.ph/GEPSNONPILOT/Tender/SplashBidNoticeAbstractUI.aspx?menuIndex=3&amp;refID=7060577&amp;Result=3","7060577")</f>
        <v>0</v>
      </c>
      <c r="B9909" t="s">
        <v>531</v>
      </c>
      <c r="C9909" t="s">
        <v>7352</v>
      </c>
      <c r="D9909" t="s">
        <v>16611</v>
      </c>
      <c r="E9909" t="s">
        <v>25319</v>
      </c>
      <c r="F9909" t="s">
        <v>28669</v>
      </c>
      <c r="G9909" t="s">
        <v>28675</v>
      </c>
      <c r="H9909" t="s">
        <v>28686</v>
      </c>
      <c r="I9909" t="s">
        <v>7352</v>
      </c>
      <c r="J9909" t="s">
        <v>34952</v>
      </c>
      <c r="K9909" t="s">
        <v>37210</v>
      </c>
      <c r="M9909" t="s">
        <v>38022</v>
      </c>
      <c r="N9909" t="s">
        <v>41249</v>
      </c>
      <c r="O9909" t="s">
        <v>41250</v>
      </c>
      <c r="P9909">
        <v>0</v>
      </c>
      <c r="Q9909">
        <v>0</v>
      </c>
      <c r="R9909" t="s">
        <v>41260</v>
      </c>
      <c r="S9909" t="s">
        <v>41624</v>
      </c>
      <c r="T9909" t="s">
        <v>42782</v>
      </c>
      <c r="U9909" t="s">
        <v>51189</v>
      </c>
      <c r="W9909" t="s">
        <v>38022</v>
      </c>
      <c r="X9909" t="s">
        <v>41261</v>
      </c>
    </row>
    <row r="9910" spans="1:24">
      <c r="A9910">
        <f>HYPERLINK("https://www.philgeps.gov.ph/GEPSNONPILOT/Tender/SplashBidNoticeAbstractUI.aspx?menuIndex=3&amp;refID=7060498&amp;Result=3","7060498")</f>
        <v>0</v>
      </c>
      <c r="B9910" t="s">
        <v>181</v>
      </c>
      <c r="C9910" t="s">
        <v>12168</v>
      </c>
      <c r="D9910" t="s">
        <v>16647</v>
      </c>
      <c r="E9910" t="s">
        <v>25320</v>
      </c>
      <c r="F9910" t="s">
        <v>28669</v>
      </c>
      <c r="G9910" t="s">
        <v>28675</v>
      </c>
      <c r="H9910" t="s">
        <v>9998</v>
      </c>
      <c r="I9910" t="s">
        <v>6128</v>
      </c>
      <c r="J9910" t="s">
        <v>34953</v>
      </c>
      <c r="K9910" t="s">
        <v>37210</v>
      </c>
      <c r="M9910" t="s">
        <v>37658</v>
      </c>
      <c r="N9910" t="s">
        <v>41249</v>
      </c>
      <c r="O9910" t="s">
        <v>41250</v>
      </c>
      <c r="P9910">
        <v>0</v>
      </c>
      <c r="Q9910">
        <v>1</v>
      </c>
      <c r="R9910" t="s">
        <v>41260</v>
      </c>
      <c r="S9910" t="s">
        <v>41624</v>
      </c>
      <c r="T9910" t="s">
        <v>42914</v>
      </c>
      <c r="U9910" t="s">
        <v>44022</v>
      </c>
      <c r="W9910" t="s">
        <v>37658</v>
      </c>
      <c r="X9910" t="s">
        <v>41261</v>
      </c>
    </row>
    <row r="9911" spans="1:24">
      <c r="A9911">
        <f>HYPERLINK("https://www.philgeps.gov.ph/GEPSNONPILOT/Tender/SplashBidNoticeAbstractUI.aspx?menuIndex=3&amp;refID=7060538&amp;Result=3","7060538")</f>
        <v>0</v>
      </c>
      <c r="B9911" t="s">
        <v>411</v>
      </c>
      <c r="C9911" t="s">
        <v>12842</v>
      </c>
      <c r="D9911" t="s">
        <v>16616</v>
      </c>
      <c r="E9911" t="s">
        <v>25321</v>
      </c>
      <c r="F9911" t="s">
        <v>28669</v>
      </c>
      <c r="G9911" t="s">
        <v>28675</v>
      </c>
      <c r="H9911" t="s">
        <v>9998</v>
      </c>
      <c r="I9911" t="s">
        <v>28743</v>
      </c>
      <c r="J9911" t="s">
        <v>34954</v>
      </c>
      <c r="K9911" t="s">
        <v>37213</v>
      </c>
      <c r="M9911" t="s">
        <v>37896</v>
      </c>
      <c r="N9911" t="s">
        <v>41249</v>
      </c>
      <c r="O9911" t="s">
        <v>41250</v>
      </c>
      <c r="P9911">
        <v>0</v>
      </c>
      <c r="Q9911">
        <v>1</v>
      </c>
      <c r="R9911" t="s">
        <v>41260</v>
      </c>
      <c r="S9911" t="s">
        <v>41624</v>
      </c>
      <c r="T9911" t="s">
        <v>42658</v>
      </c>
      <c r="U9911" t="s">
        <v>51190</v>
      </c>
      <c r="W9911" t="s">
        <v>37896</v>
      </c>
      <c r="X9911" t="s">
        <v>41261</v>
      </c>
    </row>
    <row r="9912" spans="1:24">
      <c r="A9912">
        <f>HYPERLINK("https://www.philgeps.gov.ph/GEPSNONPILOT/Tender/SplashBidNoticeAbstractUI.aspx?menuIndex=3&amp;refID=7060485&amp;Result=3","7060485")</f>
        <v>0</v>
      </c>
      <c r="B9912" t="s">
        <v>1559</v>
      </c>
      <c r="C9912" t="s">
        <v>12843</v>
      </c>
      <c r="D9912" t="s">
        <v>16643</v>
      </c>
      <c r="E9912" t="s">
        <v>25322</v>
      </c>
      <c r="F9912" t="s">
        <v>28669</v>
      </c>
      <c r="G9912" t="s">
        <v>28675</v>
      </c>
      <c r="H9912" t="s">
        <v>9998</v>
      </c>
      <c r="I9912" t="s">
        <v>28688</v>
      </c>
      <c r="J9912" t="s">
        <v>34955</v>
      </c>
      <c r="K9912" t="s">
        <v>37209</v>
      </c>
      <c r="M9912" t="s">
        <v>40588</v>
      </c>
      <c r="N9912" t="s">
        <v>41249</v>
      </c>
      <c r="O9912" t="s">
        <v>41250</v>
      </c>
      <c r="Q9912">
        <v>8</v>
      </c>
      <c r="R9912" t="s">
        <v>41260</v>
      </c>
      <c r="S9912" t="s">
        <v>41652</v>
      </c>
      <c r="T9912" t="s">
        <v>43023</v>
      </c>
      <c r="U9912" t="s">
        <v>51191</v>
      </c>
      <c r="W9912" t="s">
        <v>40588</v>
      </c>
      <c r="X9912" t="s">
        <v>41261</v>
      </c>
    </row>
    <row r="9913" spans="1:24">
      <c r="A9913">
        <f>HYPERLINK("https://www.philgeps.gov.ph/GEPSNONPILOT/Tender/SplashBidNoticeAbstractUI.aspx?menuIndex=3&amp;refID=7060501&amp;Result=3","7060501")</f>
        <v>0</v>
      </c>
      <c r="B9913" t="s">
        <v>2865</v>
      </c>
      <c r="C9913" t="s">
        <v>12844</v>
      </c>
      <c r="D9913" t="s">
        <v>16637</v>
      </c>
      <c r="E9913" t="s">
        <v>25323</v>
      </c>
      <c r="F9913" t="s">
        <v>28669</v>
      </c>
      <c r="G9913" t="s">
        <v>28675</v>
      </c>
      <c r="H9913" t="s">
        <v>9998</v>
      </c>
      <c r="I9913" t="s">
        <v>28689</v>
      </c>
      <c r="J9913" t="s">
        <v>34956</v>
      </c>
      <c r="K9913" t="s">
        <v>37206</v>
      </c>
      <c r="M9913" t="s">
        <v>40609</v>
      </c>
      <c r="N9913" t="s">
        <v>41249</v>
      </c>
      <c r="O9913" t="s">
        <v>41250</v>
      </c>
      <c r="P9913">
        <v>0</v>
      </c>
      <c r="Q9913">
        <v>0</v>
      </c>
      <c r="R9913" t="s">
        <v>41260</v>
      </c>
      <c r="S9913" t="s">
        <v>41624</v>
      </c>
      <c r="T9913" t="s">
        <v>42739</v>
      </c>
      <c r="U9913" t="s">
        <v>51192</v>
      </c>
      <c r="W9913" t="s">
        <v>40609</v>
      </c>
      <c r="X9913" t="s">
        <v>41261</v>
      </c>
    </row>
    <row r="9914" spans="1:24">
      <c r="A9914">
        <f>HYPERLINK("https://www.philgeps.gov.ph/GEPSNONPILOT/Tender/SplashBidNoticeAbstractUI.aspx?menuIndex=3&amp;refID=7060484&amp;Result=3","7060484")</f>
        <v>0</v>
      </c>
      <c r="B9914" t="s">
        <v>1934</v>
      </c>
      <c r="C9914" t="s">
        <v>12845</v>
      </c>
      <c r="D9914" t="s">
        <v>16644</v>
      </c>
      <c r="E9914" t="s">
        <v>25324</v>
      </c>
      <c r="F9914" t="s">
        <v>28669</v>
      </c>
      <c r="G9914" t="s">
        <v>28676</v>
      </c>
      <c r="H9914" t="s">
        <v>9998</v>
      </c>
      <c r="I9914" t="s">
        <v>28728</v>
      </c>
      <c r="J9914" t="s">
        <v>28879</v>
      </c>
      <c r="K9914" t="s">
        <v>37206</v>
      </c>
      <c r="M9914" t="s">
        <v>39561</v>
      </c>
      <c r="N9914" t="s">
        <v>41249</v>
      </c>
      <c r="O9914" t="s">
        <v>41250</v>
      </c>
      <c r="Q9914">
        <v>4</v>
      </c>
      <c r="R9914" t="s">
        <v>41260</v>
      </c>
      <c r="S9914" t="s">
        <v>41653</v>
      </c>
      <c r="T9914" t="s">
        <v>42736</v>
      </c>
      <c r="U9914" t="s">
        <v>51193</v>
      </c>
      <c r="W9914" t="s">
        <v>39561</v>
      </c>
      <c r="X9914" t="s">
        <v>41261</v>
      </c>
    </row>
    <row r="9915" spans="1:24">
      <c r="A9915">
        <f>HYPERLINK("https://www.philgeps.gov.ph/GEPSNONPILOT/Tender/SplashBidNoticeAbstractUI.aspx?menuIndex=3&amp;refID=7060568&amp;Result=3","7060568")</f>
        <v>0</v>
      </c>
      <c r="B9915" t="s">
        <v>1490</v>
      </c>
      <c r="C9915" t="s">
        <v>12846</v>
      </c>
      <c r="D9915" t="s">
        <v>16654</v>
      </c>
      <c r="E9915" t="s">
        <v>25325</v>
      </c>
      <c r="F9915" t="s">
        <v>28669</v>
      </c>
      <c r="G9915" t="s">
        <v>28675</v>
      </c>
      <c r="H9915" t="s">
        <v>28686</v>
      </c>
      <c r="I9915" t="s">
        <v>28689</v>
      </c>
      <c r="J9915" t="s">
        <v>29950</v>
      </c>
      <c r="K9915" t="s">
        <v>37212</v>
      </c>
      <c r="M9915" t="s">
        <v>39067</v>
      </c>
      <c r="N9915" t="s">
        <v>41249</v>
      </c>
      <c r="O9915" t="s">
        <v>41250</v>
      </c>
      <c r="P9915">
        <v>0</v>
      </c>
      <c r="Q9915">
        <v>3</v>
      </c>
      <c r="R9915" t="s">
        <v>41260</v>
      </c>
      <c r="S9915" t="s">
        <v>41624</v>
      </c>
      <c r="T9915" t="s">
        <v>42839</v>
      </c>
      <c r="U9915" t="s">
        <v>47091</v>
      </c>
      <c r="W9915" t="s">
        <v>39067</v>
      </c>
      <c r="X9915" t="s">
        <v>41261</v>
      </c>
    </row>
    <row r="9916" spans="1:24">
      <c r="A9916">
        <f>HYPERLINK("https://www.philgeps.gov.ph/GEPSNONPILOT/Tender/SplashBidNoticeAbstractUI.aspx?menuIndex=3&amp;refID=7060458&amp;Result=3","7060458")</f>
        <v>0</v>
      </c>
      <c r="B9916" t="s">
        <v>1559</v>
      </c>
      <c r="C9916" t="s">
        <v>12847</v>
      </c>
      <c r="D9916" t="s">
        <v>16643</v>
      </c>
      <c r="E9916" t="s">
        <v>25326</v>
      </c>
      <c r="F9916" t="s">
        <v>28669</v>
      </c>
      <c r="G9916" t="s">
        <v>28675</v>
      </c>
      <c r="H9916" t="s">
        <v>9998</v>
      </c>
      <c r="I9916" t="s">
        <v>28688</v>
      </c>
      <c r="J9916" t="s">
        <v>34957</v>
      </c>
      <c r="K9916" t="s">
        <v>37209</v>
      </c>
      <c r="M9916" t="s">
        <v>40588</v>
      </c>
      <c r="N9916" t="s">
        <v>41249</v>
      </c>
      <c r="O9916" t="s">
        <v>41250</v>
      </c>
      <c r="Q9916">
        <v>8</v>
      </c>
      <c r="R9916" t="s">
        <v>41260</v>
      </c>
      <c r="S9916" t="s">
        <v>41654</v>
      </c>
      <c r="T9916" t="s">
        <v>43023</v>
      </c>
      <c r="U9916" t="s">
        <v>51194</v>
      </c>
      <c r="W9916" t="s">
        <v>40588</v>
      </c>
      <c r="X9916" t="s">
        <v>41261</v>
      </c>
    </row>
    <row r="9917" spans="1:24">
      <c r="A9917">
        <f>HYPERLINK("https://www.philgeps.gov.ph/GEPSNONPILOT/Tender/SplashBidNoticeAbstractUI.aspx?menuIndex=3&amp;refID=7060451&amp;Result=3","7060451")</f>
        <v>0</v>
      </c>
      <c r="B9917" t="s">
        <v>404</v>
      </c>
      <c r="C9917" t="s">
        <v>12848</v>
      </c>
      <c r="D9917" t="s">
        <v>16633</v>
      </c>
      <c r="E9917" t="s">
        <v>25327</v>
      </c>
      <c r="F9917" t="s">
        <v>28669</v>
      </c>
      <c r="G9917" t="s">
        <v>28675</v>
      </c>
      <c r="H9917" t="s">
        <v>9998</v>
      </c>
      <c r="I9917" t="s">
        <v>11593</v>
      </c>
      <c r="J9917" t="s">
        <v>34958</v>
      </c>
      <c r="K9917" t="s">
        <v>37227</v>
      </c>
      <c r="M9917" t="s">
        <v>37889</v>
      </c>
      <c r="N9917" t="s">
        <v>41249</v>
      </c>
      <c r="O9917" t="s">
        <v>41250</v>
      </c>
      <c r="P9917">
        <v>0</v>
      </c>
      <c r="Q9917">
        <v>9</v>
      </c>
      <c r="R9917" t="s">
        <v>41260</v>
      </c>
      <c r="S9917" t="s">
        <v>41624</v>
      </c>
      <c r="T9917" t="s">
        <v>42719</v>
      </c>
      <c r="U9917" t="s">
        <v>51195</v>
      </c>
      <c r="W9917" t="s">
        <v>37889</v>
      </c>
      <c r="X9917" t="s">
        <v>41261</v>
      </c>
    </row>
    <row r="9918" spans="1:24">
      <c r="A9918">
        <f>HYPERLINK("https://www.philgeps.gov.ph/GEPSNONPILOT/Tender/SplashBidNoticeAbstractUI.aspx?menuIndex=3&amp;refID=7060445&amp;Result=3","7060445")</f>
        <v>0</v>
      </c>
      <c r="B9918" t="s">
        <v>2853</v>
      </c>
      <c r="C9918" t="s">
        <v>12849</v>
      </c>
      <c r="D9918" t="s">
        <v>16691</v>
      </c>
      <c r="E9918" t="s">
        <v>18338</v>
      </c>
      <c r="F9918" t="s">
        <v>28671</v>
      </c>
      <c r="G9918" t="s">
        <v>28675</v>
      </c>
      <c r="H9918" t="s">
        <v>9998</v>
      </c>
      <c r="I9918" t="s">
        <v>28689</v>
      </c>
      <c r="J9918" t="s">
        <v>34959</v>
      </c>
      <c r="K9918" t="s">
        <v>37342</v>
      </c>
      <c r="M9918" t="s">
        <v>40591</v>
      </c>
      <c r="N9918" t="s">
        <v>41249</v>
      </c>
      <c r="O9918" t="s">
        <v>41250</v>
      </c>
      <c r="P9918">
        <v>0</v>
      </c>
      <c r="Q9918">
        <v>0</v>
      </c>
      <c r="R9918" t="s">
        <v>41260</v>
      </c>
      <c r="S9918" t="s">
        <v>41624</v>
      </c>
      <c r="T9918" t="s">
        <v>42680</v>
      </c>
      <c r="U9918" t="s">
        <v>51196</v>
      </c>
      <c r="V9918" t="s">
        <v>55352</v>
      </c>
      <c r="W9918" t="s">
        <v>40591</v>
      </c>
      <c r="X9918" t="s">
        <v>41261</v>
      </c>
    </row>
    <row r="9919" spans="1:24">
      <c r="A9919">
        <f>HYPERLINK("https://www.philgeps.gov.ph/GEPSNONPILOT/Tender/SplashBidNoticeAbstractUI.aspx?menuIndex=3&amp;refID=7060505&amp;Result=3","7060505")</f>
        <v>0</v>
      </c>
      <c r="B9919" t="s">
        <v>2866</v>
      </c>
      <c r="C9919" t="s">
        <v>12850</v>
      </c>
      <c r="D9919" t="s">
        <v>16630</v>
      </c>
      <c r="E9919" t="s">
        <v>25328</v>
      </c>
      <c r="F9919" t="s">
        <v>28669</v>
      </c>
      <c r="G9919" t="s">
        <v>28675</v>
      </c>
      <c r="H9919" t="s">
        <v>9998</v>
      </c>
      <c r="I9919" t="s">
        <v>7352</v>
      </c>
      <c r="J9919" t="s">
        <v>34960</v>
      </c>
      <c r="K9919" t="s">
        <v>37243</v>
      </c>
      <c r="M9919" t="s">
        <v>40610</v>
      </c>
      <c r="N9919" t="s">
        <v>41249</v>
      </c>
      <c r="O9919" t="s">
        <v>41250</v>
      </c>
      <c r="P9919">
        <v>0</v>
      </c>
      <c r="Q9919">
        <v>0</v>
      </c>
      <c r="R9919" t="s">
        <v>41260</v>
      </c>
      <c r="S9919" t="s">
        <v>41624</v>
      </c>
      <c r="T9919" t="s">
        <v>42817</v>
      </c>
      <c r="U9919" t="s">
        <v>51197</v>
      </c>
      <c r="W9919" t="s">
        <v>40610</v>
      </c>
      <c r="X9919" t="s">
        <v>41261</v>
      </c>
    </row>
    <row r="9920" spans="1:24">
      <c r="A9920">
        <f>HYPERLINK("https://www.philgeps.gov.ph/GEPSNONPILOT/Tender/SplashBidNoticeAbstractUI.aspx?menuIndex=3&amp;refID=7060489&amp;Result=3","7060489")</f>
        <v>0</v>
      </c>
      <c r="B9920" t="s">
        <v>411</v>
      </c>
      <c r="C9920" t="s">
        <v>12851</v>
      </c>
      <c r="D9920" t="s">
        <v>16616</v>
      </c>
      <c r="E9920" t="s">
        <v>25329</v>
      </c>
      <c r="F9920" t="s">
        <v>28669</v>
      </c>
      <c r="G9920" t="s">
        <v>28675</v>
      </c>
      <c r="H9920" t="s">
        <v>9998</v>
      </c>
      <c r="I9920" t="s">
        <v>28743</v>
      </c>
      <c r="J9920" t="s">
        <v>34961</v>
      </c>
      <c r="K9920" t="s">
        <v>37213</v>
      </c>
      <c r="M9920" t="s">
        <v>37896</v>
      </c>
      <c r="N9920" t="s">
        <v>41249</v>
      </c>
      <c r="O9920" t="s">
        <v>41250</v>
      </c>
      <c r="P9920">
        <v>0</v>
      </c>
      <c r="Q9920">
        <v>1</v>
      </c>
      <c r="R9920" t="s">
        <v>41260</v>
      </c>
      <c r="S9920" t="s">
        <v>41624</v>
      </c>
      <c r="T9920" t="s">
        <v>42658</v>
      </c>
      <c r="U9920" t="s">
        <v>51198</v>
      </c>
      <c r="W9920" t="s">
        <v>37896</v>
      </c>
      <c r="X9920" t="s">
        <v>41261</v>
      </c>
    </row>
    <row r="9921" spans="1:24">
      <c r="A9921">
        <f>HYPERLINK("https://www.philgeps.gov.ph/GEPSNONPILOT/Tender/SplashBidNoticeAbstractUI.aspx?menuIndex=3&amp;refID=7060201&amp;Result=3","7060201")</f>
        <v>0</v>
      </c>
      <c r="B9921" t="s">
        <v>181</v>
      </c>
      <c r="C9921" t="s">
        <v>12852</v>
      </c>
      <c r="D9921" t="s">
        <v>16647</v>
      </c>
      <c r="E9921" t="s">
        <v>25330</v>
      </c>
      <c r="F9921" t="s">
        <v>28669</v>
      </c>
      <c r="G9921" t="s">
        <v>28675</v>
      </c>
      <c r="H9921" t="s">
        <v>9998</v>
      </c>
      <c r="I9921" t="s">
        <v>6606</v>
      </c>
      <c r="J9921" t="s">
        <v>34281</v>
      </c>
      <c r="K9921" t="s">
        <v>37210</v>
      </c>
      <c r="M9921" t="s">
        <v>37658</v>
      </c>
      <c r="N9921" t="s">
        <v>41249</v>
      </c>
      <c r="O9921" t="s">
        <v>41250</v>
      </c>
      <c r="P9921">
        <v>0</v>
      </c>
      <c r="Q9921">
        <v>0</v>
      </c>
      <c r="R9921" t="s">
        <v>41260</v>
      </c>
      <c r="S9921" t="s">
        <v>41624</v>
      </c>
      <c r="T9921" t="s">
        <v>42914</v>
      </c>
      <c r="U9921" t="s">
        <v>51199</v>
      </c>
      <c r="W9921" t="s">
        <v>37658</v>
      </c>
      <c r="X9921" t="s">
        <v>41261</v>
      </c>
    </row>
    <row r="9922" spans="1:24">
      <c r="A9922">
        <f>HYPERLINK("https://www.philgeps.gov.ph/GEPSNONPILOT/Tender/SplashBidNoticeAbstractUI.aspx?menuIndex=3&amp;refID=7060357&amp;Result=3","7060357")</f>
        <v>0</v>
      </c>
      <c r="B9922" t="s">
        <v>2859</v>
      </c>
      <c r="C9922" t="s">
        <v>12853</v>
      </c>
      <c r="D9922" t="s">
        <v>16616</v>
      </c>
      <c r="E9922" t="s">
        <v>25331</v>
      </c>
      <c r="F9922" t="s">
        <v>28669</v>
      </c>
      <c r="G9922" t="s">
        <v>28675</v>
      </c>
      <c r="H9922" t="s">
        <v>28686</v>
      </c>
      <c r="I9922" t="s">
        <v>28725</v>
      </c>
      <c r="J9922" t="s">
        <v>34962</v>
      </c>
      <c r="K9922" t="s">
        <v>37209</v>
      </c>
      <c r="M9922" t="s">
        <v>40600</v>
      </c>
      <c r="N9922" t="s">
        <v>41249</v>
      </c>
      <c r="O9922" t="s">
        <v>41250</v>
      </c>
      <c r="P9922">
        <v>0</v>
      </c>
      <c r="Q9922">
        <v>2</v>
      </c>
      <c r="R9922" t="s">
        <v>41260</v>
      </c>
      <c r="S9922" t="s">
        <v>41624</v>
      </c>
      <c r="T9922" t="s">
        <v>42881</v>
      </c>
      <c r="U9922" t="s">
        <v>51200</v>
      </c>
      <c r="V9922" t="s">
        <v>43731</v>
      </c>
      <c r="W9922" t="s">
        <v>40600</v>
      </c>
      <c r="X9922" t="s">
        <v>41261</v>
      </c>
    </row>
    <row r="9923" spans="1:24">
      <c r="A9923">
        <f>HYPERLINK("https://www.philgeps.gov.ph/GEPSNONPILOT/Tender/SplashBidNoticeAbstractUI.aspx?menuIndex=3&amp;refID=7060349&amp;Result=3","7060349")</f>
        <v>0</v>
      </c>
      <c r="B9923" t="s">
        <v>2867</v>
      </c>
      <c r="C9923" t="s">
        <v>12854</v>
      </c>
      <c r="D9923" t="s">
        <v>16671</v>
      </c>
      <c r="E9923" t="s">
        <v>25332</v>
      </c>
      <c r="F9923" t="s">
        <v>28669</v>
      </c>
      <c r="G9923" t="s">
        <v>28675</v>
      </c>
      <c r="H9923" t="s">
        <v>9998</v>
      </c>
      <c r="I9923" t="s">
        <v>28694</v>
      </c>
      <c r="J9923" t="s">
        <v>34963</v>
      </c>
      <c r="K9923" t="s">
        <v>37221</v>
      </c>
      <c r="M9923" t="s">
        <v>40611</v>
      </c>
      <c r="N9923" t="s">
        <v>41249</v>
      </c>
      <c r="O9923" t="s">
        <v>41250</v>
      </c>
      <c r="P9923">
        <v>0</v>
      </c>
      <c r="Q9923">
        <v>1</v>
      </c>
      <c r="R9923" t="s">
        <v>41260</v>
      </c>
      <c r="S9923" t="s">
        <v>41624</v>
      </c>
      <c r="T9923" t="s">
        <v>42739</v>
      </c>
      <c r="U9923" t="s">
        <v>51201</v>
      </c>
      <c r="W9923" t="s">
        <v>40611</v>
      </c>
      <c r="X9923" t="s">
        <v>41261</v>
      </c>
    </row>
    <row r="9924" spans="1:24">
      <c r="A9924">
        <f>HYPERLINK("https://www.philgeps.gov.ph/GEPSNONPILOT/Tender/SplashBidNoticeAbstractUI.aspx?menuIndex=3&amp;refID=7060342&amp;Result=3","7060342")</f>
        <v>0</v>
      </c>
      <c r="B9924" t="s">
        <v>2842</v>
      </c>
      <c r="C9924" t="s">
        <v>12855</v>
      </c>
      <c r="D9924" t="s">
        <v>16616</v>
      </c>
      <c r="E9924" t="s">
        <v>25333</v>
      </c>
      <c r="F9924" t="s">
        <v>28669</v>
      </c>
      <c r="G9924" t="s">
        <v>28675</v>
      </c>
      <c r="H9924" t="s">
        <v>9998</v>
      </c>
      <c r="I9924" t="s">
        <v>7352</v>
      </c>
      <c r="J9924" t="s">
        <v>34964</v>
      </c>
      <c r="K9924" t="s">
        <v>37210</v>
      </c>
      <c r="M9924" t="s">
        <v>40578</v>
      </c>
      <c r="N9924" t="s">
        <v>41249</v>
      </c>
      <c r="O9924" t="s">
        <v>41250</v>
      </c>
      <c r="P9924">
        <v>0</v>
      </c>
      <c r="Q9924">
        <v>0</v>
      </c>
      <c r="R9924" t="s">
        <v>41260</v>
      </c>
      <c r="S9924" t="s">
        <v>41624</v>
      </c>
      <c r="T9924" t="s">
        <v>42739</v>
      </c>
      <c r="U9924" t="s">
        <v>51202</v>
      </c>
      <c r="V9924" t="s">
        <v>55340</v>
      </c>
      <c r="W9924" t="s">
        <v>40578</v>
      </c>
      <c r="X9924" t="s">
        <v>41261</v>
      </c>
    </row>
    <row r="9925" spans="1:24">
      <c r="A9925">
        <f>HYPERLINK("https://www.philgeps.gov.ph/GEPSNONPILOT/Tender/SplashBidNoticeAbstractUI.aspx?menuIndex=3&amp;refID=7060285&amp;Result=3","7060285")</f>
        <v>0</v>
      </c>
      <c r="B9925" t="s">
        <v>236</v>
      </c>
      <c r="C9925" t="s">
        <v>12856</v>
      </c>
      <c r="D9925" t="s">
        <v>16663</v>
      </c>
      <c r="E9925" t="s">
        <v>12856</v>
      </c>
      <c r="F9925" t="s">
        <v>28669</v>
      </c>
      <c r="G9925" t="s">
        <v>28675</v>
      </c>
      <c r="H9925" t="s">
        <v>9998</v>
      </c>
      <c r="I9925" t="s">
        <v>5213</v>
      </c>
      <c r="J9925" t="s">
        <v>34965</v>
      </c>
      <c r="K9925" t="s">
        <v>37206</v>
      </c>
      <c r="M9925" t="s">
        <v>37714</v>
      </c>
      <c r="N9925" t="s">
        <v>41249</v>
      </c>
      <c r="O9925" t="s">
        <v>41250</v>
      </c>
      <c r="P9925">
        <v>0</v>
      </c>
      <c r="Q9925">
        <v>2</v>
      </c>
      <c r="R9925" t="s">
        <v>41260</v>
      </c>
      <c r="S9925" t="s">
        <v>41624</v>
      </c>
      <c r="T9925" t="s">
        <v>42811</v>
      </c>
      <c r="U9925" t="s">
        <v>51203</v>
      </c>
      <c r="W9925" t="s">
        <v>37714</v>
      </c>
      <c r="X9925" t="s">
        <v>41261</v>
      </c>
    </row>
    <row r="9926" spans="1:24">
      <c r="A9926">
        <f>HYPERLINK("https://www.philgeps.gov.ph/GEPSNONPILOT/Tender/SplashBidNoticeAbstractUI.aspx?menuIndex=3&amp;refID=7060280&amp;Result=3","7060280")</f>
        <v>0</v>
      </c>
      <c r="B9926" t="s">
        <v>2426</v>
      </c>
      <c r="C9926" t="s">
        <v>12857</v>
      </c>
      <c r="E9926" t="s">
        <v>25334</v>
      </c>
      <c r="F9926" t="s">
        <v>28669</v>
      </c>
      <c r="G9926" t="s">
        <v>28675</v>
      </c>
      <c r="H9926" t="s">
        <v>28686</v>
      </c>
      <c r="I9926" t="s">
        <v>28689</v>
      </c>
      <c r="J9926" t="s">
        <v>34966</v>
      </c>
      <c r="K9926" t="s">
        <v>37209</v>
      </c>
      <c r="M9926" t="s">
        <v>40109</v>
      </c>
      <c r="N9926" t="s">
        <v>41249</v>
      </c>
      <c r="O9926" t="s">
        <v>41250</v>
      </c>
      <c r="P9926">
        <v>0</v>
      </c>
      <c r="Q9926">
        <v>1</v>
      </c>
      <c r="R9926" t="s">
        <v>41260</v>
      </c>
      <c r="S9926" t="s">
        <v>41624</v>
      </c>
      <c r="T9926" t="s">
        <v>42883</v>
      </c>
      <c r="U9926" t="s">
        <v>51204</v>
      </c>
      <c r="W9926" t="s">
        <v>40109</v>
      </c>
      <c r="X9926" t="s">
        <v>41261</v>
      </c>
    </row>
    <row r="9927" spans="1:24">
      <c r="A9927">
        <f>HYPERLINK("https://www.philgeps.gov.ph/GEPSNONPILOT/Tender/SplashBidNoticeAbstractUI.aspx?menuIndex=3&amp;refID=7060457&amp;Result=3","7060457")</f>
        <v>0</v>
      </c>
      <c r="B9927" t="s">
        <v>2842</v>
      </c>
      <c r="C9927" t="s">
        <v>12858</v>
      </c>
      <c r="D9927" t="s">
        <v>16616</v>
      </c>
      <c r="E9927" t="s">
        <v>25335</v>
      </c>
      <c r="F9927" t="s">
        <v>28669</v>
      </c>
      <c r="G9927" t="s">
        <v>28675</v>
      </c>
      <c r="H9927" t="s">
        <v>9998</v>
      </c>
      <c r="I9927" t="s">
        <v>7352</v>
      </c>
      <c r="J9927" t="s">
        <v>34967</v>
      </c>
      <c r="K9927" t="s">
        <v>37210</v>
      </c>
      <c r="M9927" t="s">
        <v>40578</v>
      </c>
      <c r="N9927" t="s">
        <v>41249</v>
      </c>
      <c r="O9927" t="s">
        <v>41250</v>
      </c>
      <c r="P9927">
        <v>0</v>
      </c>
      <c r="Q9927">
        <v>0</v>
      </c>
      <c r="R9927" t="s">
        <v>41260</v>
      </c>
      <c r="S9927" t="s">
        <v>41624</v>
      </c>
      <c r="T9927" t="s">
        <v>42739</v>
      </c>
      <c r="U9927" t="s">
        <v>51205</v>
      </c>
      <c r="V9927" t="s">
        <v>55340</v>
      </c>
      <c r="W9927" t="s">
        <v>40578</v>
      </c>
      <c r="X9927" t="s">
        <v>41261</v>
      </c>
    </row>
    <row r="9928" spans="1:24">
      <c r="A9928">
        <f>HYPERLINK("https://www.philgeps.gov.ph/GEPSNONPILOT/Tender/SplashBidNoticeAbstractUI.aspx?menuIndex=3&amp;refID=7059810&amp;Result=3","7059810")</f>
        <v>0</v>
      </c>
      <c r="B9928" t="s">
        <v>2868</v>
      </c>
      <c r="C9928" t="s">
        <v>12859</v>
      </c>
      <c r="D9928" t="s">
        <v>16627</v>
      </c>
      <c r="E9928" t="s">
        <v>17575</v>
      </c>
      <c r="F9928" t="s">
        <v>28669</v>
      </c>
      <c r="G9928" t="s">
        <v>28675</v>
      </c>
      <c r="H9928" t="s">
        <v>9998</v>
      </c>
      <c r="I9928" t="s">
        <v>28687</v>
      </c>
      <c r="J9928" t="s">
        <v>34968</v>
      </c>
      <c r="K9928" t="s">
        <v>37220</v>
      </c>
      <c r="M9928" t="s">
        <v>40612</v>
      </c>
      <c r="N9928" t="s">
        <v>41249</v>
      </c>
      <c r="O9928" t="s">
        <v>41250</v>
      </c>
      <c r="P9928">
        <v>0</v>
      </c>
      <c r="Q9928">
        <v>3</v>
      </c>
      <c r="R9928" t="s">
        <v>41260</v>
      </c>
      <c r="S9928" t="s">
        <v>41624</v>
      </c>
      <c r="T9928" t="s">
        <v>42727</v>
      </c>
      <c r="U9928" t="s">
        <v>51206</v>
      </c>
      <c r="W9928" t="s">
        <v>40612</v>
      </c>
      <c r="X9928" t="s">
        <v>41261</v>
      </c>
    </row>
    <row r="9929" spans="1:24">
      <c r="A9929">
        <f>HYPERLINK("https://www.philgeps.gov.ph/GEPSNONPILOT/Tender/SplashBidNoticeAbstractUI.aspx?menuIndex=3&amp;refID=7060396&amp;Result=3","7060396")</f>
        <v>0</v>
      </c>
      <c r="B9929" t="s">
        <v>2863</v>
      </c>
      <c r="C9929" t="s">
        <v>12860</v>
      </c>
      <c r="D9929" t="s">
        <v>16619</v>
      </c>
      <c r="E9929" t="s">
        <v>25336</v>
      </c>
      <c r="F9929" t="s">
        <v>28669</v>
      </c>
      <c r="G9929" t="s">
        <v>28675</v>
      </c>
      <c r="H9929" t="s">
        <v>9998</v>
      </c>
      <c r="I9929" t="s">
        <v>7352</v>
      </c>
      <c r="J9929" t="s">
        <v>34969</v>
      </c>
      <c r="K9929" t="s">
        <v>37209</v>
      </c>
      <c r="M9929" t="s">
        <v>40605</v>
      </c>
      <c r="N9929" t="s">
        <v>41249</v>
      </c>
      <c r="O9929" t="s">
        <v>41250</v>
      </c>
      <c r="P9929">
        <v>0</v>
      </c>
      <c r="Q9929">
        <v>3</v>
      </c>
      <c r="R9929" t="s">
        <v>41260</v>
      </c>
      <c r="S9929" t="s">
        <v>41624</v>
      </c>
      <c r="T9929" t="s">
        <v>42739</v>
      </c>
      <c r="U9929" t="s">
        <v>51207</v>
      </c>
      <c r="V9929" t="s">
        <v>54319</v>
      </c>
      <c r="W9929" t="s">
        <v>40605</v>
      </c>
      <c r="X9929" t="s">
        <v>41261</v>
      </c>
    </row>
    <row r="9930" spans="1:24">
      <c r="A9930">
        <f>HYPERLINK("https://www.philgeps.gov.ph/GEPSNONPILOT/Tender/SplashBidNoticeAbstractUI.aspx?menuIndex=3&amp;refID=7060361&amp;Result=3","7060361")</f>
        <v>0</v>
      </c>
      <c r="B9930" t="s">
        <v>2869</v>
      </c>
      <c r="C9930" t="s">
        <v>12861</v>
      </c>
      <c r="D9930" t="s">
        <v>16621</v>
      </c>
      <c r="E9930" t="s">
        <v>25337</v>
      </c>
      <c r="F9930" t="s">
        <v>28669</v>
      </c>
      <c r="G9930" t="s">
        <v>28675</v>
      </c>
      <c r="H9930" t="s">
        <v>9998</v>
      </c>
      <c r="I9930" t="s">
        <v>28696</v>
      </c>
      <c r="J9930" t="s">
        <v>28879</v>
      </c>
      <c r="K9930" t="s">
        <v>37231</v>
      </c>
      <c r="M9930" t="s">
        <v>40613</v>
      </c>
      <c r="N9930" t="s">
        <v>41249</v>
      </c>
      <c r="O9930" t="s">
        <v>41250</v>
      </c>
      <c r="P9930">
        <v>0</v>
      </c>
      <c r="Q9930">
        <v>0</v>
      </c>
      <c r="R9930" t="s">
        <v>41260</v>
      </c>
      <c r="S9930" t="s">
        <v>41624</v>
      </c>
      <c r="T9930" t="s">
        <v>42679</v>
      </c>
      <c r="U9930" t="s">
        <v>51208</v>
      </c>
      <c r="W9930" t="s">
        <v>40613</v>
      </c>
      <c r="X9930" t="s">
        <v>41261</v>
      </c>
    </row>
    <row r="9931" spans="1:24">
      <c r="A9931">
        <f>HYPERLINK("https://www.philgeps.gov.ph/GEPSNONPILOT/Tender/SplashBidNoticeAbstractUI.aspx?menuIndex=3&amp;refID=7059808&amp;Result=3","7059808")</f>
        <v>0</v>
      </c>
      <c r="B9931" t="s">
        <v>2837</v>
      </c>
      <c r="C9931" t="s">
        <v>12862</v>
      </c>
      <c r="D9931" t="s">
        <v>16627</v>
      </c>
      <c r="E9931" t="s">
        <v>25338</v>
      </c>
      <c r="F9931" t="s">
        <v>28669</v>
      </c>
      <c r="G9931" t="s">
        <v>28675</v>
      </c>
      <c r="H9931" t="s">
        <v>9998</v>
      </c>
      <c r="I9931" t="s">
        <v>28733</v>
      </c>
      <c r="J9931" t="s">
        <v>34970</v>
      </c>
      <c r="K9931" t="s">
        <v>37206</v>
      </c>
      <c r="M9931" t="s">
        <v>40572</v>
      </c>
      <c r="N9931" t="s">
        <v>41249</v>
      </c>
      <c r="O9931" t="s">
        <v>41250</v>
      </c>
      <c r="P9931">
        <v>0</v>
      </c>
      <c r="Q9931">
        <v>4</v>
      </c>
      <c r="R9931" t="s">
        <v>41260</v>
      </c>
      <c r="S9931" t="s">
        <v>41624</v>
      </c>
      <c r="T9931" t="s">
        <v>42739</v>
      </c>
      <c r="U9931" t="s">
        <v>51209</v>
      </c>
      <c r="W9931" t="s">
        <v>40572</v>
      </c>
      <c r="X9931" t="s">
        <v>41261</v>
      </c>
    </row>
    <row r="9932" spans="1:24">
      <c r="A9932">
        <f>HYPERLINK("https://www.philgeps.gov.ph/GEPSNONPILOT/Tender/SplashBidNoticeAbstractUI.aspx?menuIndex=3&amp;refID=7059800&amp;Result=3","7059800")</f>
        <v>0</v>
      </c>
      <c r="B9932" t="s">
        <v>51</v>
      </c>
      <c r="C9932" t="s">
        <v>12863</v>
      </c>
      <c r="D9932" t="s">
        <v>16631</v>
      </c>
      <c r="E9932" t="s">
        <v>25339</v>
      </c>
      <c r="F9932" t="s">
        <v>28669</v>
      </c>
      <c r="G9932" t="s">
        <v>28675</v>
      </c>
      <c r="H9932" t="s">
        <v>28686</v>
      </c>
      <c r="I9932" t="s">
        <v>28689</v>
      </c>
      <c r="J9932" t="s">
        <v>34971</v>
      </c>
      <c r="K9932" t="s">
        <v>37215</v>
      </c>
      <c r="M9932" t="s">
        <v>38699</v>
      </c>
      <c r="N9932" t="s">
        <v>41249</v>
      </c>
      <c r="O9932" t="s">
        <v>41250</v>
      </c>
      <c r="P9932">
        <v>0</v>
      </c>
      <c r="Q9932">
        <v>3</v>
      </c>
      <c r="R9932" t="s">
        <v>41260</v>
      </c>
      <c r="S9932" t="s">
        <v>41624</v>
      </c>
      <c r="T9932" t="s">
        <v>42668</v>
      </c>
      <c r="U9932" t="s">
        <v>51210</v>
      </c>
      <c r="W9932" t="s">
        <v>38699</v>
      </c>
      <c r="X9932" t="s">
        <v>41261</v>
      </c>
    </row>
    <row r="9933" spans="1:24">
      <c r="A9933">
        <f>HYPERLINK("https://www.philgeps.gov.ph/GEPSNONPILOT/Tender/SplashBidNoticeAbstractUI.aspx?menuIndex=3&amp;refID=7059745&amp;Result=3","7059745")</f>
        <v>0</v>
      </c>
      <c r="B9933" t="s">
        <v>51</v>
      </c>
      <c r="C9933" t="s">
        <v>12864</v>
      </c>
      <c r="D9933" t="s">
        <v>16631</v>
      </c>
      <c r="E9933" t="s">
        <v>25340</v>
      </c>
      <c r="F9933" t="s">
        <v>28669</v>
      </c>
      <c r="G9933" t="s">
        <v>28675</v>
      </c>
      <c r="H9933" t="s">
        <v>28686</v>
      </c>
      <c r="I9933" t="s">
        <v>28689</v>
      </c>
      <c r="J9933" t="s">
        <v>34972</v>
      </c>
      <c r="K9933" t="s">
        <v>37432</v>
      </c>
      <c r="M9933" t="s">
        <v>38699</v>
      </c>
      <c r="N9933" t="s">
        <v>41249</v>
      </c>
      <c r="O9933" t="s">
        <v>41250</v>
      </c>
      <c r="P9933">
        <v>0</v>
      </c>
      <c r="Q9933">
        <v>2</v>
      </c>
      <c r="R9933" t="s">
        <v>41260</v>
      </c>
      <c r="S9933" t="s">
        <v>41624</v>
      </c>
      <c r="T9933" t="s">
        <v>42668</v>
      </c>
      <c r="U9933" t="s">
        <v>51211</v>
      </c>
      <c r="W9933" t="s">
        <v>38699</v>
      </c>
      <c r="X9933" t="s">
        <v>41261</v>
      </c>
    </row>
    <row r="9934" spans="1:24">
      <c r="A9934">
        <f>HYPERLINK("https://www.philgeps.gov.ph/GEPSNONPILOT/Tender/SplashBidNoticeAbstractUI.aspx?menuIndex=3&amp;refID=7060282&amp;Result=3","7060282")</f>
        <v>0</v>
      </c>
      <c r="B9934" t="s">
        <v>181</v>
      </c>
      <c r="C9934" t="s">
        <v>12865</v>
      </c>
      <c r="D9934" t="s">
        <v>16647</v>
      </c>
      <c r="E9934" t="s">
        <v>25341</v>
      </c>
      <c r="F9934" t="s">
        <v>28669</v>
      </c>
      <c r="G9934" t="s">
        <v>28675</v>
      </c>
      <c r="H9934" t="s">
        <v>9998</v>
      </c>
      <c r="I9934" t="s">
        <v>28695</v>
      </c>
      <c r="J9934" t="s">
        <v>34973</v>
      </c>
      <c r="K9934" t="s">
        <v>37210</v>
      </c>
      <c r="M9934" t="s">
        <v>37658</v>
      </c>
      <c r="N9934" t="s">
        <v>41249</v>
      </c>
      <c r="O9934" t="s">
        <v>41250</v>
      </c>
      <c r="P9934">
        <v>0</v>
      </c>
      <c r="Q9934">
        <v>1</v>
      </c>
      <c r="R9934" t="s">
        <v>41260</v>
      </c>
      <c r="S9934" t="s">
        <v>41624</v>
      </c>
      <c r="T9934" t="s">
        <v>42914</v>
      </c>
      <c r="U9934" t="s">
        <v>47992</v>
      </c>
      <c r="W9934" t="s">
        <v>37658</v>
      </c>
      <c r="X9934" t="s">
        <v>41261</v>
      </c>
    </row>
    <row r="9935" spans="1:24">
      <c r="A9935">
        <f>HYPERLINK("https://www.philgeps.gov.ph/GEPSNONPILOT/Tender/SplashBidNoticeAbstractUI.aspx?menuIndex=3&amp;refID=7059739&amp;Result=3","7059739")</f>
        <v>0</v>
      </c>
      <c r="B9935" t="s">
        <v>2549</v>
      </c>
      <c r="C9935" t="s">
        <v>12866</v>
      </c>
      <c r="E9935" t="s">
        <v>25342</v>
      </c>
      <c r="F9935" t="s">
        <v>28669</v>
      </c>
      <c r="G9935" t="s">
        <v>28675</v>
      </c>
      <c r="H9935" t="s">
        <v>28686</v>
      </c>
      <c r="I9935" t="s">
        <v>28689</v>
      </c>
      <c r="J9935" t="s">
        <v>34974</v>
      </c>
      <c r="K9935" t="s">
        <v>37220</v>
      </c>
      <c r="M9935" t="s">
        <v>40241</v>
      </c>
      <c r="N9935" t="s">
        <v>41249</v>
      </c>
      <c r="O9935" t="s">
        <v>41250</v>
      </c>
      <c r="P9935">
        <v>0</v>
      </c>
      <c r="Q9935">
        <v>1</v>
      </c>
      <c r="R9935" t="s">
        <v>41260</v>
      </c>
      <c r="S9935" t="s">
        <v>41624</v>
      </c>
      <c r="T9935" t="s">
        <v>42782</v>
      </c>
      <c r="U9935" t="s">
        <v>51212</v>
      </c>
      <c r="W9935" t="s">
        <v>40241</v>
      </c>
      <c r="X9935" t="s">
        <v>41261</v>
      </c>
    </row>
    <row r="9936" spans="1:24">
      <c r="A9936">
        <f>HYPERLINK("https://www.philgeps.gov.ph/GEPSNONPILOT/Tender/SplashBidNoticeAbstractUI.aspx?menuIndex=3&amp;refID=7060279&amp;Result=3","7060279")</f>
        <v>0</v>
      </c>
      <c r="B9936" t="s">
        <v>2842</v>
      </c>
      <c r="C9936" t="s">
        <v>12867</v>
      </c>
      <c r="D9936" t="s">
        <v>16616</v>
      </c>
      <c r="E9936" t="s">
        <v>25343</v>
      </c>
      <c r="F9936" t="s">
        <v>28669</v>
      </c>
      <c r="G9936" t="s">
        <v>28675</v>
      </c>
      <c r="H9936" t="s">
        <v>9998</v>
      </c>
      <c r="I9936" t="s">
        <v>7352</v>
      </c>
      <c r="J9936" t="s">
        <v>34975</v>
      </c>
      <c r="K9936" t="s">
        <v>37210</v>
      </c>
      <c r="M9936" t="s">
        <v>40578</v>
      </c>
      <c r="N9936" t="s">
        <v>41249</v>
      </c>
      <c r="O9936" t="s">
        <v>41250</v>
      </c>
      <c r="P9936">
        <v>0</v>
      </c>
      <c r="Q9936">
        <v>0</v>
      </c>
      <c r="R9936" t="s">
        <v>41260</v>
      </c>
      <c r="S9936" t="s">
        <v>41624</v>
      </c>
      <c r="T9936" t="s">
        <v>42739</v>
      </c>
      <c r="U9936" t="s">
        <v>51213</v>
      </c>
      <c r="V9936" t="s">
        <v>55340</v>
      </c>
      <c r="W9936" t="s">
        <v>40578</v>
      </c>
      <c r="X9936" t="s">
        <v>41261</v>
      </c>
    </row>
    <row r="9937" spans="1:24">
      <c r="A9937">
        <f>HYPERLINK("https://www.philgeps.gov.ph/GEPSNONPILOT/Tender/SplashBidNoticeAbstractUI.aspx?menuIndex=3&amp;refID=7059711&amp;Result=3","7059711")</f>
        <v>0</v>
      </c>
      <c r="B9937" t="s">
        <v>2549</v>
      </c>
      <c r="C9937" t="s">
        <v>12868</v>
      </c>
      <c r="E9937" t="s">
        <v>25344</v>
      </c>
      <c r="F9937" t="s">
        <v>28669</v>
      </c>
      <c r="G9937" t="s">
        <v>28675</v>
      </c>
      <c r="H9937" t="s">
        <v>28686</v>
      </c>
      <c r="I9937" t="s">
        <v>28689</v>
      </c>
      <c r="J9937" t="s">
        <v>34976</v>
      </c>
      <c r="K9937" t="s">
        <v>37220</v>
      </c>
      <c r="M9937" t="s">
        <v>40241</v>
      </c>
      <c r="N9937" t="s">
        <v>41249</v>
      </c>
      <c r="O9937" t="s">
        <v>41250</v>
      </c>
      <c r="P9937">
        <v>0</v>
      </c>
      <c r="Q9937">
        <v>0</v>
      </c>
      <c r="R9937" t="s">
        <v>41260</v>
      </c>
      <c r="S9937" t="s">
        <v>41624</v>
      </c>
      <c r="T9937" t="s">
        <v>42761</v>
      </c>
      <c r="U9937" t="s">
        <v>51214</v>
      </c>
      <c r="W9937" t="s">
        <v>40241</v>
      </c>
      <c r="X9937" t="s">
        <v>41261</v>
      </c>
    </row>
    <row r="9938" spans="1:24">
      <c r="A9938">
        <f>HYPERLINK("https://www.philgeps.gov.ph/GEPSNONPILOT/Tender/SplashBidNoticeAbstractUI.aspx?menuIndex=3&amp;refID=7059817&amp;Result=3","7059817")</f>
        <v>0</v>
      </c>
      <c r="B9938" t="s">
        <v>2577</v>
      </c>
      <c r="C9938" t="s">
        <v>12869</v>
      </c>
      <c r="D9938" t="s">
        <v>16615</v>
      </c>
      <c r="E9938" t="s">
        <v>17149</v>
      </c>
      <c r="F9938" t="s">
        <v>28669</v>
      </c>
      <c r="G9938" t="s">
        <v>28675</v>
      </c>
      <c r="H9938" t="s">
        <v>28684</v>
      </c>
      <c r="I9938" t="s">
        <v>28733</v>
      </c>
      <c r="J9938" t="s">
        <v>28838</v>
      </c>
      <c r="K9938" t="s">
        <v>37206</v>
      </c>
      <c r="M9938" t="s">
        <v>40271</v>
      </c>
      <c r="N9938" t="s">
        <v>41249</v>
      </c>
      <c r="O9938" t="s">
        <v>41250</v>
      </c>
      <c r="P9938">
        <v>0</v>
      </c>
      <c r="Q9938">
        <v>0</v>
      </c>
      <c r="R9938" t="s">
        <v>41260</v>
      </c>
      <c r="S9938" t="s">
        <v>41624</v>
      </c>
      <c r="T9938" t="s">
        <v>42682</v>
      </c>
      <c r="U9938" t="s">
        <v>51215</v>
      </c>
      <c r="W9938" t="s">
        <v>40271</v>
      </c>
      <c r="X9938" t="s">
        <v>41261</v>
      </c>
    </row>
    <row r="9939" spans="1:24">
      <c r="A9939">
        <f>HYPERLINK("https://www.philgeps.gov.ph/GEPSNONPILOT/Tender/SplashBidNoticeAbstractUI.aspx?menuIndex=3&amp;refID=7059679&amp;Result=3","7059679")</f>
        <v>0</v>
      </c>
      <c r="B9939" t="s">
        <v>147</v>
      </c>
      <c r="C9939" t="s">
        <v>12870</v>
      </c>
      <c r="D9939" t="s">
        <v>16631</v>
      </c>
      <c r="E9939" t="s">
        <v>25345</v>
      </c>
      <c r="F9939" t="s">
        <v>28669</v>
      </c>
      <c r="G9939" t="s">
        <v>28675</v>
      </c>
      <c r="H9939" t="s">
        <v>9998</v>
      </c>
      <c r="I9939" t="s">
        <v>28695</v>
      </c>
      <c r="J9939" t="s">
        <v>31737</v>
      </c>
      <c r="K9939" t="s">
        <v>37206</v>
      </c>
      <c r="M9939" t="s">
        <v>37624</v>
      </c>
      <c r="N9939" t="s">
        <v>41249</v>
      </c>
      <c r="O9939" t="s">
        <v>41250</v>
      </c>
      <c r="P9939">
        <v>0</v>
      </c>
      <c r="Q9939">
        <v>1</v>
      </c>
      <c r="R9939" t="s">
        <v>41260</v>
      </c>
      <c r="S9939" t="s">
        <v>41624</v>
      </c>
      <c r="T9939" t="s">
        <v>42836</v>
      </c>
      <c r="U9939" t="s">
        <v>51216</v>
      </c>
      <c r="W9939" t="s">
        <v>37624</v>
      </c>
      <c r="X9939" t="s">
        <v>41261</v>
      </c>
    </row>
    <row r="9940" spans="1:24">
      <c r="A9940">
        <f>HYPERLINK("https://www.philgeps.gov.ph/GEPSNONPILOT/Tender/SplashBidNoticeAbstractUI.aspx?menuIndex=3&amp;refID=7059740&amp;Result=3","7059740")</f>
        <v>0</v>
      </c>
      <c r="B9940" t="s">
        <v>2449</v>
      </c>
      <c r="C9940" t="s">
        <v>12871</v>
      </c>
      <c r="D9940" t="s">
        <v>16645</v>
      </c>
      <c r="E9940" t="s">
        <v>25346</v>
      </c>
      <c r="F9940" t="s">
        <v>28669</v>
      </c>
      <c r="G9940" t="s">
        <v>28677</v>
      </c>
      <c r="H9940" t="s">
        <v>9998</v>
      </c>
      <c r="I9940" t="s">
        <v>3718</v>
      </c>
      <c r="J9940" t="s">
        <v>29404</v>
      </c>
      <c r="K9940" t="s">
        <v>37209</v>
      </c>
      <c r="M9940" t="s">
        <v>40132</v>
      </c>
      <c r="N9940" t="s">
        <v>41249</v>
      </c>
      <c r="O9940" t="s">
        <v>41250</v>
      </c>
      <c r="P9940">
        <v>0</v>
      </c>
      <c r="Q9940">
        <v>1</v>
      </c>
      <c r="R9940" t="s">
        <v>41260</v>
      </c>
      <c r="S9940" t="s">
        <v>41624</v>
      </c>
      <c r="T9940" t="s">
        <v>42694</v>
      </c>
      <c r="U9940" t="s">
        <v>49714</v>
      </c>
      <c r="W9940" t="s">
        <v>40132</v>
      </c>
      <c r="X9940" t="s">
        <v>41261</v>
      </c>
    </row>
    <row r="9941" spans="1:24">
      <c r="A9941">
        <f>HYPERLINK("https://www.philgeps.gov.ph/GEPSNONPILOT/Tender/SplashBidNoticeAbstractUI.aspx?menuIndex=3&amp;refID=7060446&amp;Result=3","7060446")</f>
        <v>0</v>
      </c>
      <c r="B9941" t="s">
        <v>411</v>
      </c>
      <c r="C9941" t="s">
        <v>12872</v>
      </c>
      <c r="D9941" t="s">
        <v>16616</v>
      </c>
      <c r="E9941" t="s">
        <v>25347</v>
      </c>
      <c r="F9941" t="s">
        <v>28669</v>
      </c>
      <c r="G9941" t="s">
        <v>28675</v>
      </c>
      <c r="H9941" t="s">
        <v>9998</v>
      </c>
      <c r="I9941" t="s">
        <v>28743</v>
      </c>
      <c r="J9941" t="s">
        <v>31399</v>
      </c>
      <c r="K9941" t="s">
        <v>37213</v>
      </c>
      <c r="M9941" t="s">
        <v>37896</v>
      </c>
      <c r="N9941" t="s">
        <v>41249</v>
      </c>
      <c r="O9941" t="s">
        <v>41250</v>
      </c>
      <c r="P9941">
        <v>0</v>
      </c>
      <c r="Q9941">
        <v>0</v>
      </c>
      <c r="R9941" t="s">
        <v>41260</v>
      </c>
      <c r="S9941" t="s">
        <v>41624</v>
      </c>
      <c r="T9941" t="s">
        <v>42658</v>
      </c>
      <c r="U9941" t="s">
        <v>51217</v>
      </c>
      <c r="W9941" t="s">
        <v>37896</v>
      </c>
      <c r="X9941" t="s">
        <v>41261</v>
      </c>
    </row>
    <row r="9942" spans="1:24">
      <c r="A9942">
        <f>HYPERLINK("https://www.philgeps.gov.ph/GEPSNONPILOT/Tender/SplashBidNoticeAbstractUI.aspx?menuIndex=3&amp;refID=7059425&amp;Result=3","7059425")</f>
        <v>0</v>
      </c>
      <c r="B9942" t="s">
        <v>1179</v>
      </c>
      <c r="C9942" t="s">
        <v>12873</v>
      </c>
      <c r="D9942" t="s">
        <v>16664</v>
      </c>
      <c r="E9942" t="s">
        <v>25348</v>
      </c>
      <c r="F9942" t="s">
        <v>28669</v>
      </c>
      <c r="G9942" t="s">
        <v>28675</v>
      </c>
      <c r="H9942" t="s">
        <v>9998</v>
      </c>
      <c r="I9942" t="s">
        <v>28717</v>
      </c>
      <c r="J9942" t="s">
        <v>34977</v>
      </c>
      <c r="K9942" t="s">
        <v>37206</v>
      </c>
      <c r="M9942" t="s">
        <v>38719</v>
      </c>
      <c r="N9942" t="s">
        <v>41249</v>
      </c>
      <c r="O9942" t="s">
        <v>41250</v>
      </c>
      <c r="P9942">
        <v>0</v>
      </c>
      <c r="Q9942">
        <v>1</v>
      </c>
      <c r="R9942" t="s">
        <v>41260</v>
      </c>
      <c r="S9942" t="s">
        <v>41624</v>
      </c>
      <c r="T9942" t="s">
        <v>43002</v>
      </c>
      <c r="U9942" t="s">
        <v>51218</v>
      </c>
      <c r="W9942" t="s">
        <v>38719</v>
      </c>
      <c r="X9942" t="s">
        <v>41261</v>
      </c>
    </row>
    <row r="9943" spans="1:24">
      <c r="A9943">
        <f>HYPERLINK("https://www.philgeps.gov.ph/GEPSNONPILOT/Tender/SplashBidNoticeAbstractUI.aspx?menuIndex=3&amp;refID=7059721&amp;Result=3","7059721")</f>
        <v>0</v>
      </c>
      <c r="B9943" t="s">
        <v>2046</v>
      </c>
      <c r="C9943" t="s">
        <v>12874</v>
      </c>
      <c r="D9943" t="s">
        <v>16643</v>
      </c>
      <c r="E9943" t="s">
        <v>25349</v>
      </c>
      <c r="F9943" t="s">
        <v>28669</v>
      </c>
      <c r="G9943" t="s">
        <v>28677</v>
      </c>
      <c r="H9943" t="s">
        <v>9998</v>
      </c>
      <c r="I9943" t="s">
        <v>28697</v>
      </c>
      <c r="J9943" t="s">
        <v>28859</v>
      </c>
      <c r="K9943" t="s">
        <v>37221</v>
      </c>
      <c r="M9943" t="s">
        <v>39686</v>
      </c>
      <c r="N9943" t="s">
        <v>41249</v>
      </c>
      <c r="O9943" t="s">
        <v>41250</v>
      </c>
      <c r="Q9943">
        <v>2</v>
      </c>
      <c r="R9943" t="s">
        <v>41260</v>
      </c>
      <c r="S9943" t="s">
        <v>41655</v>
      </c>
      <c r="T9943" t="s">
        <v>42883</v>
      </c>
      <c r="U9943" t="s">
        <v>48244</v>
      </c>
      <c r="W9943" t="s">
        <v>39686</v>
      </c>
      <c r="X9943" t="s">
        <v>41261</v>
      </c>
    </row>
    <row r="9944" spans="1:24">
      <c r="A9944">
        <f>HYPERLINK("https://www.philgeps.gov.ph/GEPSNONPILOT/Tender/SplashBidNoticeAbstractUI.aspx?menuIndex=3&amp;refID=7059411&amp;Result=3","7059411")</f>
        <v>0</v>
      </c>
      <c r="B9944" t="s">
        <v>1765</v>
      </c>
      <c r="C9944" t="s">
        <v>12875</v>
      </c>
      <c r="D9944" t="s">
        <v>16639</v>
      </c>
      <c r="E9944" t="s">
        <v>25350</v>
      </c>
      <c r="F9944" t="s">
        <v>28669</v>
      </c>
      <c r="G9944" t="s">
        <v>28675</v>
      </c>
      <c r="H9944" t="s">
        <v>9998</v>
      </c>
      <c r="I9944" t="s">
        <v>7352</v>
      </c>
      <c r="J9944" t="s">
        <v>34978</v>
      </c>
      <c r="K9944" t="s">
        <v>37216</v>
      </c>
      <c r="M9944" t="s">
        <v>39367</v>
      </c>
      <c r="N9944" t="s">
        <v>41249</v>
      </c>
      <c r="O9944" t="s">
        <v>41250</v>
      </c>
      <c r="P9944">
        <v>0</v>
      </c>
      <c r="Q9944">
        <v>3</v>
      </c>
      <c r="R9944" t="s">
        <v>41260</v>
      </c>
      <c r="S9944" t="s">
        <v>41624</v>
      </c>
      <c r="T9944" t="s">
        <v>42755</v>
      </c>
      <c r="U9944" t="s">
        <v>51219</v>
      </c>
      <c r="W9944" t="s">
        <v>39367</v>
      </c>
      <c r="X9944" t="s">
        <v>41261</v>
      </c>
    </row>
    <row r="9945" spans="1:24">
      <c r="A9945">
        <f>HYPERLINK("https://www.philgeps.gov.ph/GEPSNONPILOT/Tender/SplashBidNoticeAbstractUI.aspx?menuIndex=3&amp;refID=7059684&amp;Result=3","7059684")</f>
        <v>0</v>
      </c>
      <c r="B9945" t="s">
        <v>2046</v>
      </c>
      <c r="C9945" t="s">
        <v>12876</v>
      </c>
      <c r="D9945" t="s">
        <v>16643</v>
      </c>
      <c r="E9945" t="s">
        <v>25351</v>
      </c>
      <c r="F9945" t="s">
        <v>28669</v>
      </c>
      <c r="G9945" t="s">
        <v>28677</v>
      </c>
      <c r="H9945" t="s">
        <v>9998</v>
      </c>
      <c r="I9945" t="s">
        <v>28751</v>
      </c>
      <c r="J9945" t="s">
        <v>28824</v>
      </c>
      <c r="K9945" t="s">
        <v>37221</v>
      </c>
      <c r="M9945" t="s">
        <v>39686</v>
      </c>
      <c r="N9945" t="s">
        <v>41249</v>
      </c>
      <c r="O9945" t="s">
        <v>41250</v>
      </c>
      <c r="Q9945">
        <v>6</v>
      </c>
      <c r="R9945" t="s">
        <v>41260</v>
      </c>
      <c r="S9945" t="s">
        <v>41655</v>
      </c>
      <c r="T9945" t="s">
        <v>42883</v>
      </c>
      <c r="U9945" t="s">
        <v>48244</v>
      </c>
      <c r="W9945" t="s">
        <v>39686</v>
      </c>
      <c r="X9945" t="s">
        <v>41261</v>
      </c>
    </row>
    <row r="9946" spans="1:24">
      <c r="A9946">
        <f>HYPERLINK("https://www.philgeps.gov.ph/GEPSNONPILOT/Tender/SplashBidNoticeAbstractUI.aspx?menuIndex=3&amp;refID=7059403&amp;Result=3","7059403")</f>
        <v>0</v>
      </c>
      <c r="B9946" t="s">
        <v>1493</v>
      </c>
      <c r="C9946" t="s">
        <v>12877</v>
      </c>
      <c r="D9946" t="s">
        <v>16630</v>
      </c>
      <c r="E9946" t="s">
        <v>25352</v>
      </c>
      <c r="F9946" t="s">
        <v>28669</v>
      </c>
      <c r="G9946" t="s">
        <v>28675</v>
      </c>
      <c r="H9946" t="s">
        <v>9998</v>
      </c>
      <c r="I9946" t="s">
        <v>7352</v>
      </c>
      <c r="J9946" t="s">
        <v>34979</v>
      </c>
      <c r="K9946" t="s">
        <v>37258</v>
      </c>
      <c r="M9946" t="s">
        <v>39064</v>
      </c>
      <c r="N9946" t="s">
        <v>41249</v>
      </c>
      <c r="O9946" t="s">
        <v>41250</v>
      </c>
      <c r="P9946">
        <v>0</v>
      </c>
      <c r="Q9946">
        <v>2</v>
      </c>
      <c r="R9946" t="s">
        <v>41260</v>
      </c>
      <c r="S9946" t="s">
        <v>41624</v>
      </c>
      <c r="T9946" t="s">
        <v>42750</v>
      </c>
      <c r="U9946" t="s">
        <v>51220</v>
      </c>
      <c r="W9946" t="s">
        <v>55958</v>
      </c>
      <c r="X9946" t="s">
        <v>41261</v>
      </c>
    </row>
    <row r="9947" spans="1:24">
      <c r="A9947">
        <f>HYPERLINK("https://www.philgeps.gov.ph/GEPSNONPILOT/Tender/SplashBidNoticeAbstractUI.aspx?menuIndex=3&amp;refID=7059718&amp;Result=3","7059718")</f>
        <v>0</v>
      </c>
      <c r="B9947" t="s">
        <v>540</v>
      </c>
      <c r="C9947" t="s">
        <v>12878</v>
      </c>
      <c r="D9947" t="s">
        <v>16624</v>
      </c>
      <c r="E9947" t="s">
        <v>22414</v>
      </c>
      <c r="F9947" t="s">
        <v>28669</v>
      </c>
      <c r="G9947" t="s">
        <v>28675</v>
      </c>
      <c r="H9947" t="s">
        <v>9998</v>
      </c>
      <c r="I9947" t="s">
        <v>15140</v>
      </c>
      <c r="J9947" t="s">
        <v>31640</v>
      </c>
      <c r="K9947" t="s">
        <v>37326</v>
      </c>
      <c r="M9947" t="s">
        <v>38033</v>
      </c>
      <c r="N9947" t="s">
        <v>41249</v>
      </c>
      <c r="O9947" t="s">
        <v>41250</v>
      </c>
      <c r="P9947">
        <v>0</v>
      </c>
      <c r="Q9947">
        <v>0</v>
      </c>
      <c r="R9947" t="s">
        <v>41260</v>
      </c>
      <c r="S9947" t="s">
        <v>41624</v>
      </c>
      <c r="T9947" t="s">
        <v>43109</v>
      </c>
      <c r="U9947" t="s">
        <v>51221</v>
      </c>
      <c r="W9947" t="s">
        <v>38033</v>
      </c>
      <c r="X9947" t="s">
        <v>41261</v>
      </c>
    </row>
    <row r="9948" spans="1:24">
      <c r="A9948">
        <f>HYPERLINK("https://www.philgeps.gov.ph/GEPSNONPILOT/Tender/SplashBidNoticeAbstractUI.aspx?menuIndex=3&amp;refID=7059400&amp;Result=3","7059400")</f>
        <v>0</v>
      </c>
      <c r="B9948" t="s">
        <v>1071</v>
      </c>
      <c r="C9948" t="s">
        <v>12879</v>
      </c>
      <c r="D9948" t="s">
        <v>16616</v>
      </c>
      <c r="E9948" t="s">
        <v>19349</v>
      </c>
      <c r="F9948" t="s">
        <v>28669</v>
      </c>
      <c r="G9948" t="s">
        <v>28675</v>
      </c>
      <c r="H9948" t="s">
        <v>9998</v>
      </c>
      <c r="I9948" t="s">
        <v>28761</v>
      </c>
      <c r="J9948" t="s">
        <v>34691</v>
      </c>
      <c r="K9948" t="s">
        <v>37221</v>
      </c>
      <c r="M9948" t="s">
        <v>38603</v>
      </c>
      <c r="N9948" t="s">
        <v>41249</v>
      </c>
      <c r="O9948" t="s">
        <v>41250</v>
      </c>
      <c r="P9948">
        <v>0</v>
      </c>
      <c r="Q9948">
        <v>2</v>
      </c>
      <c r="R9948" t="s">
        <v>41260</v>
      </c>
      <c r="S9948" t="s">
        <v>41624</v>
      </c>
      <c r="T9948" t="s">
        <v>42987</v>
      </c>
      <c r="U9948" t="s">
        <v>51222</v>
      </c>
      <c r="W9948" t="s">
        <v>38603</v>
      </c>
      <c r="X9948" t="s">
        <v>41261</v>
      </c>
    </row>
    <row r="9949" spans="1:24">
      <c r="A9949">
        <f>HYPERLINK("https://www.philgeps.gov.ph/GEPSNONPILOT/Tender/SplashBidNoticeAbstractUI.aspx?menuIndex=3&amp;refID=7059123&amp;Result=3","7059123")</f>
        <v>0</v>
      </c>
      <c r="B9949" t="s">
        <v>1084</v>
      </c>
      <c r="C9949" t="s">
        <v>12880</v>
      </c>
      <c r="D9949" t="s">
        <v>16667</v>
      </c>
      <c r="E9949" t="s">
        <v>25353</v>
      </c>
      <c r="F9949" t="s">
        <v>28669</v>
      </c>
      <c r="G9949" t="s">
        <v>28675</v>
      </c>
      <c r="H9949" t="s">
        <v>9998</v>
      </c>
      <c r="I9949" t="s">
        <v>15140</v>
      </c>
      <c r="J9949" t="s">
        <v>34980</v>
      </c>
      <c r="K9949" t="s">
        <v>37220</v>
      </c>
      <c r="M9949" t="s">
        <v>38616</v>
      </c>
      <c r="N9949" t="s">
        <v>41249</v>
      </c>
      <c r="O9949" t="s">
        <v>41250</v>
      </c>
      <c r="P9949">
        <v>0</v>
      </c>
      <c r="Q9949">
        <v>0</v>
      </c>
      <c r="R9949" t="s">
        <v>41260</v>
      </c>
      <c r="S9949" t="s">
        <v>41624</v>
      </c>
      <c r="T9949" t="s">
        <v>42836</v>
      </c>
      <c r="U9949" t="s">
        <v>51223</v>
      </c>
      <c r="W9949" t="s">
        <v>38616</v>
      </c>
      <c r="X9949" t="s">
        <v>41261</v>
      </c>
    </row>
    <row r="9950" spans="1:24">
      <c r="A9950">
        <f>HYPERLINK("https://www.philgeps.gov.ph/GEPSNONPILOT/Tender/SplashBidNoticeAbstractUI.aspx?menuIndex=3&amp;refID=7059426&amp;Result=3","7059426")</f>
        <v>0</v>
      </c>
      <c r="B9950" t="s">
        <v>2046</v>
      </c>
      <c r="C9950" t="s">
        <v>12881</v>
      </c>
      <c r="D9950" t="s">
        <v>16643</v>
      </c>
      <c r="E9950" t="s">
        <v>25354</v>
      </c>
      <c r="F9950" t="s">
        <v>28669</v>
      </c>
      <c r="G9950" t="s">
        <v>28677</v>
      </c>
      <c r="H9950" t="s">
        <v>9998</v>
      </c>
      <c r="I9950" t="s">
        <v>28693</v>
      </c>
      <c r="J9950" t="s">
        <v>34981</v>
      </c>
      <c r="K9950" t="s">
        <v>37221</v>
      </c>
      <c r="M9950" t="s">
        <v>39686</v>
      </c>
      <c r="N9950" t="s">
        <v>41249</v>
      </c>
      <c r="O9950" t="s">
        <v>41250</v>
      </c>
      <c r="Q9950">
        <v>26</v>
      </c>
      <c r="R9950" t="s">
        <v>41260</v>
      </c>
      <c r="S9950" t="s">
        <v>41656</v>
      </c>
      <c r="T9950" t="s">
        <v>42883</v>
      </c>
      <c r="U9950" t="s">
        <v>49749</v>
      </c>
      <c r="W9950" t="s">
        <v>39686</v>
      </c>
      <c r="X9950" t="s">
        <v>41261</v>
      </c>
    </row>
    <row r="9951" spans="1:24">
      <c r="A9951">
        <f>HYPERLINK("https://www.philgeps.gov.ph/GEPSNONPILOT/Tender/SplashBidNoticeAbstractUI.aspx?menuIndex=3&amp;refID=7059402&amp;Result=3","7059402")</f>
        <v>0</v>
      </c>
      <c r="B9951" t="s">
        <v>2046</v>
      </c>
      <c r="C9951" t="s">
        <v>12882</v>
      </c>
      <c r="D9951" t="s">
        <v>16643</v>
      </c>
      <c r="E9951" t="s">
        <v>25355</v>
      </c>
      <c r="F9951" t="s">
        <v>28669</v>
      </c>
      <c r="G9951" t="s">
        <v>28677</v>
      </c>
      <c r="H9951" t="s">
        <v>9998</v>
      </c>
      <c r="I9951" t="s">
        <v>28693</v>
      </c>
      <c r="J9951" t="s">
        <v>29591</v>
      </c>
      <c r="K9951" t="s">
        <v>37221</v>
      </c>
      <c r="M9951" t="s">
        <v>39686</v>
      </c>
      <c r="N9951" t="s">
        <v>41249</v>
      </c>
      <c r="O9951" t="s">
        <v>41250</v>
      </c>
      <c r="Q9951">
        <v>19</v>
      </c>
      <c r="R9951" t="s">
        <v>41260</v>
      </c>
      <c r="S9951" t="s">
        <v>41656</v>
      </c>
      <c r="T9951" t="s">
        <v>42883</v>
      </c>
      <c r="U9951" t="s">
        <v>48244</v>
      </c>
      <c r="W9951" t="s">
        <v>39686</v>
      </c>
      <c r="X9951" t="s">
        <v>41261</v>
      </c>
    </row>
    <row r="9952" spans="1:24">
      <c r="A9952">
        <f>HYPERLINK("https://www.philgeps.gov.ph/GEPSNONPILOT/Tender/SplashBidNoticeAbstractUI.aspx?menuIndex=3&amp;refID=7059108&amp;Result=3","7059108")</f>
        <v>0</v>
      </c>
      <c r="B9952" t="s">
        <v>853</v>
      </c>
      <c r="C9952" t="s">
        <v>12883</v>
      </c>
      <c r="D9952" t="s">
        <v>16611</v>
      </c>
      <c r="E9952" t="s">
        <v>25356</v>
      </c>
      <c r="F9952" t="s">
        <v>28669</v>
      </c>
      <c r="G9952" t="s">
        <v>28675</v>
      </c>
      <c r="H9952" t="s">
        <v>28686</v>
      </c>
      <c r="I9952" t="s">
        <v>7352</v>
      </c>
      <c r="J9952" t="s">
        <v>34982</v>
      </c>
      <c r="K9952" t="s">
        <v>37213</v>
      </c>
      <c r="M9952" t="s">
        <v>38369</v>
      </c>
      <c r="N9952" t="s">
        <v>41249</v>
      </c>
      <c r="O9952" t="s">
        <v>41250</v>
      </c>
      <c r="P9952">
        <v>0</v>
      </c>
      <c r="Q9952">
        <v>5</v>
      </c>
      <c r="R9952" t="s">
        <v>41260</v>
      </c>
      <c r="S9952" t="s">
        <v>41624</v>
      </c>
      <c r="T9952" t="s">
        <v>42761</v>
      </c>
      <c r="U9952" t="s">
        <v>44874</v>
      </c>
      <c r="V9952" t="s">
        <v>55353</v>
      </c>
      <c r="W9952" t="s">
        <v>38369</v>
      </c>
      <c r="X9952" t="s">
        <v>41261</v>
      </c>
    </row>
    <row r="9953" spans="1:24">
      <c r="A9953">
        <f>HYPERLINK("https://www.philgeps.gov.ph/GEPSNONPILOT/Tender/SplashBidNoticeAbstractUI.aspx?menuIndex=3&amp;refID=7059663&amp;Result=3","7059663")</f>
        <v>0</v>
      </c>
      <c r="B9953" t="s">
        <v>540</v>
      </c>
      <c r="C9953" t="s">
        <v>12884</v>
      </c>
      <c r="D9953" t="s">
        <v>16624</v>
      </c>
      <c r="E9953" t="s">
        <v>20806</v>
      </c>
      <c r="F9953" t="s">
        <v>28669</v>
      </c>
      <c r="G9953" t="s">
        <v>28675</v>
      </c>
      <c r="H9953" t="s">
        <v>9998</v>
      </c>
      <c r="I9953" t="s">
        <v>15140</v>
      </c>
      <c r="J9953" t="s">
        <v>29266</v>
      </c>
      <c r="K9953" t="s">
        <v>37325</v>
      </c>
      <c r="M9953" t="s">
        <v>38033</v>
      </c>
      <c r="N9953" t="s">
        <v>41249</v>
      </c>
      <c r="O9953" t="s">
        <v>41250</v>
      </c>
      <c r="P9953">
        <v>0</v>
      </c>
      <c r="Q9953">
        <v>0</v>
      </c>
      <c r="R9953" t="s">
        <v>41260</v>
      </c>
      <c r="S9953" t="s">
        <v>41624</v>
      </c>
      <c r="T9953" t="s">
        <v>42836</v>
      </c>
      <c r="U9953" t="s">
        <v>51224</v>
      </c>
      <c r="W9953" t="s">
        <v>38033</v>
      </c>
      <c r="X9953" t="s">
        <v>41261</v>
      </c>
    </row>
    <row r="9954" spans="1:24">
      <c r="A9954">
        <f>HYPERLINK("https://www.philgeps.gov.ph/GEPSNONPILOT/Tender/SplashBidNoticeAbstractUI.aspx?menuIndex=3&amp;refID=7060578&amp;Result=3","7060578")</f>
        <v>0</v>
      </c>
      <c r="B9954" t="s">
        <v>411</v>
      </c>
      <c r="C9954" t="s">
        <v>12885</v>
      </c>
      <c r="D9954" t="s">
        <v>16616</v>
      </c>
      <c r="E9954" t="s">
        <v>25357</v>
      </c>
      <c r="F9954" t="s">
        <v>28669</v>
      </c>
      <c r="G9954" t="s">
        <v>28675</v>
      </c>
      <c r="H9954" t="s">
        <v>9998</v>
      </c>
      <c r="I9954" t="s">
        <v>28743</v>
      </c>
      <c r="J9954" t="s">
        <v>34983</v>
      </c>
      <c r="K9954" t="s">
        <v>37213</v>
      </c>
      <c r="M9954" t="s">
        <v>37896</v>
      </c>
      <c r="N9954" t="s">
        <v>41249</v>
      </c>
      <c r="O9954" t="s">
        <v>41250</v>
      </c>
      <c r="P9954">
        <v>0</v>
      </c>
      <c r="Q9954">
        <v>1</v>
      </c>
      <c r="R9954" t="s">
        <v>41260</v>
      </c>
      <c r="S9954" t="s">
        <v>41624</v>
      </c>
      <c r="T9954" t="s">
        <v>42658</v>
      </c>
      <c r="U9954" t="s">
        <v>51225</v>
      </c>
      <c r="W9954" t="s">
        <v>37896</v>
      </c>
      <c r="X9954" t="s">
        <v>41261</v>
      </c>
    </row>
    <row r="9955" spans="1:24">
      <c r="A9955">
        <f>HYPERLINK("https://www.philgeps.gov.ph/GEPSNONPILOT/Tender/SplashBidNoticeAbstractUI.aspx?menuIndex=3&amp;refID=7060628&amp;Result=3","7060628")</f>
        <v>0</v>
      </c>
      <c r="B9955" t="s">
        <v>331</v>
      </c>
      <c r="C9955" t="s">
        <v>12886</v>
      </c>
      <c r="D9955" t="s">
        <v>16611</v>
      </c>
      <c r="E9955" t="s">
        <v>25358</v>
      </c>
      <c r="F9955" t="s">
        <v>28671</v>
      </c>
      <c r="G9955" t="s">
        <v>28675</v>
      </c>
      <c r="H9955" t="s">
        <v>28684</v>
      </c>
      <c r="I9955" t="s">
        <v>28780</v>
      </c>
      <c r="J9955" t="s">
        <v>34984</v>
      </c>
      <c r="K9955" t="s">
        <v>37221</v>
      </c>
      <c r="M9955" t="s">
        <v>37811</v>
      </c>
      <c r="N9955" t="s">
        <v>41249</v>
      </c>
      <c r="O9955" t="s">
        <v>41250</v>
      </c>
      <c r="P9955">
        <v>0</v>
      </c>
      <c r="Q9955">
        <v>0</v>
      </c>
      <c r="R9955" t="s">
        <v>41260</v>
      </c>
      <c r="S9955" t="s">
        <v>41624</v>
      </c>
      <c r="T9955" t="s">
        <v>42783</v>
      </c>
      <c r="U9955" t="s">
        <v>51226</v>
      </c>
      <c r="V9955" t="s">
        <v>55354</v>
      </c>
      <c r="W9955" t="s">
        <v>37811</v>
      </c>
      <c r="X9955" t="s">
        <v>41261</v>
      </c>
    </row>
    <row r="9956" spans="1:24">
      <c r="A9956">
        <f>HYPERLINK("https://www.philgeps.gov.ph/GEPSNONPILOT/Tender/SplashBidNoticeAbstractUI.aspx?menuIndex=3&amp;refID=7060616&amp;Result=3","7060616")</f>
        <v>0</v>
      </c>
      <c r="B9956" t="s">
        <v>1490</v>
      </c>
      <c r="C9956" t="s">
        <v>12887</v>
      </c>
      <c r="D9956" t="s">
        <v>16654</v>
      </c>
      <c r="E9956" t="s">
        <v>25359</v>
      </c>
      <c r="F9956" t="s">
        <v>28669</v>
      </c>
      <c r="G9956" t="s">
        <v>28675</v>
      </c>
      <c r="H9956" t="s">
        <v>28686</v>
      </c>
      <c r="I9956" t="s">
        <v>28689</v>
      </c>
      <c r="J9956" t="s">
        <v>34985</v>
      </c>
      <c r="K9956" t="s">
        <v>37285</v>
      </c>
      <c r="M9956" t="s">
        <v>39067</v>
      </c>
      <c r="N9956" t="s">
        <v>41249</v>
      </c>
      <c r="O9956" t="s">
        <v>41250</v>
      </c>
      <c r="P9956">
        <v>0</v>
      </c>
      <c r="Q9956">
        <v>0</v>
      </c>
      <c r="R9956" t="s">
        <v>41260</v>
      </c>
      <c r="S9956" t="s">
        <v>41624</v>
      </c>
      <c r="T9956" t="s">
        <v>42839</v>
      </c>
      <c r="U9956" t="s">
        <v>47091</v>
      </c>
      <c r="W9956" t="s">
        <v>39067</v>
      </c>
      <c r="X9956" t="s">
        <v>41261</v>
      </c>
    </row>
    <row r="9957" spans="1:24">
      <c r="A9957">
        <f>HYPERLINK("https://www.philgeps.gov.ph/GEPSNONPILOT/Tender/SplashBidNoticeAbstractUI.aspx?menuIndex=3&amp;refID=7060609&amp;Result=3","7060609")</f>
        <v>0</v>
      </c>
      <c r="B9957" t="s">
        <v>1025</v>
      </c>
      <c r="C9957" t="s">
        <v>12888</v>
      </c>
      <c r="D9957" t="s">
        <v>16608</v>
      </c>
      <c r="E9957" t="s">
        <v>25360</v>
      </c>
      <c r="F9957" t="s">
        <v>28669</v>
      </c>
      <c r="G9957" t="s">
        <v>28675</v>
      </c>
      <c r="H9957" t="s">
        <v>9998</v>
      </c>
      <c r="I9957" t="s">
        <v>28690</v>
      </c>
      <c r="J9957" t="s">
        <v>29109</v>
      </c>
      <c r="K9957" t="s">
        <v>37209</v>
      </c>
      <c r="M9957" t="s">
        <v>40607</v>
      </c>
      <c r="N9957" t="s">
        <v>41249</v>
      </c>
      <c r="O9957" t="s">
        <v>41250</v>
      </c>
      <c r="P9957">
        <v>0</v>
      </c>
      <c r="Q9957">
        <v>4</v>
      </c>
      <c r="R9957" t="s">
        <v>41260</v>
      </c>
      <c r="S9957" t="s">
        <v>41624</v>
      </c>
      <c r="T9957" t="s">
        <v>42659</v>
      </c>
      <c r="U9957" t="s">
        <v>51227</v>
      </c>
      <c r="W9957" t="s">
        <v>40607</v>
      </c>
      <c r="X9957" t="s">
        <v>41261</v>
      </c>
    </row>
    <row r="9958" spans="1:24">
      <c r="A9958">
        <f>HYPERLINK("https://www.philgeps.gov.ph/GEPSNONPILOT/Tender/SplashBidNoticeAbstractUI.aspx?menuIndex=3&amp;refID=7060603&amp;Result=3","7060603")</f>
        <v>0</v>
      </c>
      <c r="B9958" t="s">
        <v>2870</v>
      </c>
      <c r="C9958" t="s">
        <v>12889</v>
      </c>
      <c r="D9958" t="s">
        <v>16654</v>
      </c>
      <c r="E9958" t="s">
        <v>19625</v>
      </c>
      <c r="F9958" t="s">
        <v>28673</v>
      </c>
      <c r="G9958" t="s">
        <v>28675</v>
      </c>
      <c r="H9958" t="s">
        <v>9998</v>
      </c>
      <c r="I9958" t="s">
        <v>28726</v>
      </c>
      <c r="J9958" t="s">
        <v>28826</v>
      </c>
      <c r="K9958" t="s">
        <v>37208</v>
      </c>
      <c r="M9958" t="s">
        <v>40614</v>
      </c>
      <c r="N9958" t="s">
        <v>41249</v>
      </c>
      <c r="O9958" t="s">
        <v>41250</v>
      </c>
      <c r="P9958">
        <v>0</v>
      </c>
      <c r="Q9958">
        <v>1</v>
      </c>
      <c r="R9958" t="s">
        <v>41260</v>
      </c>
      <c r="S9958" t="s">
        <v>41624</v>
      </c>
      <c r="T9958" t="s">
        <v>42742</v>
      </c>
      <c r="U9958" t="s">
        <v>51228</v>
      </c>
      <c r="W9958" t="s">
        <v>56018</v>
      </c>
      <c r="X9958" t="s">
        <v>41261</v>
      </c>
    </row>
    <row r="9959" spans="1:24">
      <c r="A9959">
        <f>HYPERLINK("https://www.philgeps.gov.ph/GEPSNONPILOT/Tender/SplashBidNoticeAbstractUI.aspx?menuIndex=3&amp;refID=7060591&amp;Result=3","7060591")</f>
        <v>0</v>
      </c>
      <c r="B9959" t="s">
        <v>1025</v>
      </c>
      <c r="C9959" t="s">
        <v>12890</v>
      </c>
      <c r="D9959" t="s">
        <v>16608</v>
      </c>
      <c r="E9959" t="s">
        <v>25361</v>
      </c>
      <c r="F9959" t="s">
        <v>28669</v>
      </c>
      <c r="G9959" t="s">
        <v>28675</v>
      </c>
      <c r="H9959" t="s">
        <v>9998</v>
      </c>
      <c r="I9959" t="s">
        <v>28713</v>
      </c>
      <c r="J9959" t="s">
        <v>34986</v>
      </c>
      <c r="K9959" t="s">
        <v>37209</v>
      </c>
      <c r="M9959" t="s">
        <v>40607</v>
      </c>
      <c r="N9959" t="s">
        <v>41249</v>
      </c>
      <c r="O9959" t="s">
        <v>41250</v>
      </c>
      <c r="P9959">
        <v>0</v>
      </c>
      <c r="Q9959">
        <v>5</v>
      </c>
      <c r="R9959" t="s">
        <v>41260</v>
      </c>
      <c r="S9959" t="s">
        <v>41624</v>
      </c>
      <c r="T9959" t="s">
        <v>42659</v>
      </c>
      <c r="U9959" t="s">
        <v>51229</v>
      </c>
      <c r="W9959" t="s">
        <v>40607</v>
      </c>
      <c r="X9959" t="s">
        <v>41261</v>
      </c>
    </row>
    <row r="9960" spans="1:24">
      <c r="A9960">
        <f>HYPERLINK("https://www.philgeps.gov.ph/GEPSNONPILOT/Tender/SplashBidNoticeAbstractUI.aspx?menuIndex=3&amp;refID=7060588&amp;Result=3","7060588")</f>
        <v>0</v>
      </c>
      <c r="B9960" t="s">
        <v>381</v>
      </c>
      <c r="C9960" t="s">
        <v>12891</v>
      </c>
      <c r="D9960" t="s">
        <v>16625</v>
      </c>
      <c r="E9960" t="s">
        <v>25362</v>
      </c>
      <c r="F9960" t="s">
        <v>28669</v>
      </c>
      <c r="G9960" t="s">
        <v>28675</v>
      </c>
      <c r="H9960" t="s">
        <v>9998</v>
      </c>
      <c r="I9960" t="s">
        <v>3718</v>
      </c>
      <c r="J9960" t="s">
        <v>29051</v>
      </c>
      <c r="K9960" t="s">
        <v>37205</v>
      </c>
      <c r="M9960" t="s">
        <v>37863</v>
      </c>
      <c r="N9960" t="s">
        <v>41249</v>
      </c>
      <c r="O9960" t="s">
        <v>41250</v>
      </c>
      <c r="P9960">
        <v>0</v>
      </c>
      <c r="Q9960">
        <v>5</v>
      </c>
      <c r="R9960" t="s">
        <v>41260</v>
      </c>
      <c r="S9960" t="s">
        <v>41624</v>
      </c>
      <c r="T9960" t="s">
        <v>42763</v>
      </c>
      <c r="U9960" t="s">
        <v>51230</v>
      </c>
      <c r="W9960" t="s">
        <v>55913</v>
      </c>
      <c r="X9960" t="s">
        <v>41261</v>
      </c>
    </row>
    <row r="9961" spans="1:24">
      <c r="A9961">
        <f>HYPERLINK("https://www.philgeps.gov.ph/GEPSNONPILOT/Tender/SplashBidNoticeAbstractUI.aspx?menuIndex=3&amp;refID=7060619&amp;Result=3","7060619")</f>
        <v>0</v>
      </c>
      <c r="B9961" t="s">
        <v>2318</v>
      </c>
      <c r="C9961" t="s">
        <v>12892</v>
      </c>
      <c r="E9961" t="s">
        <v>21101</v>
      </c>
      <c r="F9961" t="s">
        <v>28669</v>
      </c>
      <c r="G9961" t="s">
        <v>28675</v>
      </c>
      <c r="H9961" t="s">
        <v>9998</v>
      </c>
      <c r="I9961" t="s">
        <v>11593</v>
      </c>
      <c r="J9961" t="s">
        <v>34987</v>
      </c>
      <c r="K9961" t="s">
        <v>37209</v>
      </c>
      <c r="M9961" t="s">
        <v>39978</v>
      </c>
      <c r="N9961" t="s">
        <v>41249</v>
      </c>
      <c r="O9961" t="s">
        <v>41250</v>
      </c>
      <c r="P9961">
        <v>0</v>
      </c>
      <c r="Q9961">
        <v>22</v>
      </c>
      <c r="R9961" t="s">
        <v>41260</v>
      </c>
      <c r="S9961" t="s">
        <v>41624</v>
      </c>
      <c r="T9961" t="s">
        <v>42739</v>
      </c>
      <c r="U9961" t="s">
        <v>51231</v>
      </c>
      <c r="W9961" t="s">
        <v>39978</v>
      </c>
      <c r="X9961" t="s">
        <v>41261</v>
      </c>
    </row>
    <row r="9962" spans="1:24">
      <c r="A9962">
        <f>HYPERLINK("https://www.philgeps.gov.ph/GEPSNONPILOT/Tender/SplashBidNoticeAbstractUI.aspx?menuIndex=3&amp;refID=7060692&amp;Result=3","7060692")</f>
        <v>0</v>
      </c>
      <c r="B9962" t="s">
        <v>2826</v>
      </c>
      <c r="C9962" t="s">
        <v>12893</v>
      </c>
      <c r="D9962" t="s">
        <v>16663</v>
      </c>
      <c r="E9962" t="s">
        <v>25363</v>
      </c>
      <c r="F9962" t="s">
        <v>28669</v>
      </c>
      <c r="G9962" t="s">
        <v>28675</v>
      </c>
      <c r="H9962" t="s">
        <v>9998</v>
      </c>
      <c r="I9962" t="s">
        <v>7352</v>
      </c>
      <c r="J9962" t="s">
        <v>34988</v>
      </c>
      <c r="K9962" t="s">
        <v>37227</v>
      </c>
      <c r="M9962" t="s">
        <v>40558</v>
      </c>
      <c r="N9962" t="s">
        <v>41249</v>
      </c>
      <c r="O9962" t="s">
        <v>41250</v>
      </c>
      <c r="P9962">
        <v>0</v>
      </c>
      <c r="Q9962">
        <v>1</v>
      </c>
      <c r="R9962" t="s">
        <v>41260</v>
      </c>
      <c r="S9962" t="s">
        <v>41624</v>
      </c>
      <c r="T9962" t="s">
        <v>42836</v>
      </c>
      <c r="U9962" t="s">
        <v>51232</v>
      </c>
      <c r="W9962" t="s">
        <v>40558</v>
      </c>
      <c r="X9962" t="s">
        <v>41261</v>
      </c>
    </row>
    <row r="9963" spans="1:24">
      <c r="A9963">
        <f>HYPERLINK("https://www.philgeps.gov.ph/GEPSNONPILOT/Tender/SplashBidNoticeAbstractUI.aspx?menuIndex=3&amp;refID=7060683&amp;Result=3","7060683")</f>
        <v>0</v>
      </c>
      <c r="B9963" t="s">
        <v>531</v>
      </c>
      <c r="C9963" t="s">
        <v>5286</v>
      </c>
      <c r="D9963" t="s">
        <v>16611</v>
      </c>
      <c r="E9963" t="s">
        <v>25364</v>
      </c>
      <c r="F9963" t="s">
        <v>28669</v>
      </c>
      <c r="G9963" t="s">
        <v>28675</v>
      </c>
      <c r="H9963" t="s">
        <v>9998</v>
      </c>
      <c r="I9963" t="s">
        <v>5286</v>
      </c>
      <c r="J9963" t="s">
        <v>29003</v>
      </c>
      <c r="K9963" t="s">
        <v>37210</v>
      </c>
      <c r="M9963" t="s">
        <v>38022</v>
      </c>
      <c r="N9963" t="s">
        <v>41249</v>
      </c>
      <c r="O9963" t="s">
        <v>41250</v>
      </c>
      <c r="Q9963">
        <v>1</v>
      </c>
      <c r="R9963" t="s">
        <v>41260</v>
      </c>
      <c r="S9963" t="s">
        <v>41373</v>
      </c>
      <c r="T9963" t="s">
        <v>42782</v>
      </c>
      <c r="U9963" t="s">
        <v>51233</v>
      </c>
      <c r="W9963" t="s">
        <v>38022</v>
      </c>
      <c r="X9963" t="s">
        <v>41261</v>
      </c>
    </row>
    <row r="9964" spans="1:24">
      <c r="A9964">
        <f>HYPERLINK("https://www.philgeps.gov.ph/GEPSNONPILOT/Tender/SplashBidNoticeAbstractUI.aspx?menuIndex=3&amp;refID=7060623&amp;Result=3","7060623")</f>
        <v>0</v>
      </c>
      <c r="B9964" t="s">
        <v>1025</v>
      </c>
      <c r="C9964" t="s">
        <v>12894</v>
      </c>
      <c r="D9964" t="s">
        <v>16608</v>
      </c>
      <c r="E9964" t="s">
        <v>25365</v>
      </c>
      <c r="F9964" t="s">
        <v>28669</v>
      </c>
      <c r="G9964" t="s">
        <v>28675</v>
      </c>
      <c r="H9964" t="s">
        <v>9998</v>
      </c>
      <c r="I9964" t="s">
        <v>5286</v>
      </c>
      <c r="J9964" t="s">
        <v>34989</v>
      </c>
      <c r="K9964" t="s">
        <v>37209</v>
      </c>
      <c r="M9964" t="s">
        <v>40607</v>
      </c>
      <c r="N9964" t="s">
        <v>41249</v>
      </c>
      <c r="O9964" t="s">
        <v>41250</v>
      </c>
      <c r="P9964">
        <v>0</v>
      </c>
      <c r="Q9964">
        <v>3</v>
      </c>
      <c r="R9964" t="s">
        <v>41260</v>
      </c>
      <c r="S9964" t="s">
        <v>41624</v>
      </c>
      <c r="T9964" t="s">
        <v>42659</v>
      </c>
      <c r="U9964" t="s">
        <v>51234</v>
      </c>
      <c r="W9964" t="s">
        <v>40607</v>
      </c>
      <c r="X9964" t="s">
        <v>41261</v>
      </c>
    </row>
    <row r="9965" spans="1:24">
      <c r="A9965">
        <f>HYPERLINK("https://www.philgeps.gov.ph/GEPSNONPILOT/Tender/SplashBidNoticeAbstractUI.aspx?menuIndex=3&amp;refID=7060674&amp;Result=3","7060674")</f>
        <v>0</v>
      </c>
      <c r="B9965" t="s">
        <v>1490</v>
      </c>
      <c r="C9965" t="s">
        <v>12895</v>
      </c>
      <c r="D9965" t="s">
        <v>16654</v>
      </c>
      <c r="E9965" t="s">
        <v>25366</v>
      </c>
      <c r="F9965" t="s">
        <v>28669</v>
      </c>
      <c r="G9965" t="s">
        <v>28675</v>
      </c>
      <c r="H9965" t="s">
        <v>28686</v>
      </c>
      <c r="I9965" t="s">
        <v>28689</v>
      </c>
      <c r="J9965" t="s">
        <v>34990</v>
      </c>
      <c r="K9965" t="s">
        <v>37211</v>
      </c>
      <c r="M9965" t="s">
        <v>39067</v>
      </c>
      <c r="N9965" t="s">
        <v>41249</v>
      </c>
      <c r="O9965" t="s">
        <v>41250</v>
      </c>
      <c r="P9965">
        <v>0</v>
      </c>
      <c r="Q9965">
        <v>4</v>
      </c>
      <c r="R9965" t="s">
        <v>41260</v>
      </c>
      <c r="S9965" t="s">
        <v>41624</v>
      </c>
      <c r="T9965" t="s">
        <v>42839</v>
      </c>
      <c r="U9965" t="s">
        <v>51235</v>
      </c>
      <c r="W9965" t="s">
        <v>39067</v>
      </c>
      <c r="X9965" t="s">
        <v>41261</v>
      </c>
    </row>
    <row r="9966" spans="1:24">
      <c r="A9966">
        <f>HYPERLINK("https://www.philgeps.gov.ph/GEPSNONPILOT/Tender/SplashBidNoticeAbstractUI.aspx?menuIndex=3&amp;refID=7060668&amp;Result=3","7060668")</f>
        <v>0</v>
      </c>
      <c r="B9966" t="s">
        <v>2318</v>
      </c>
      <c r="C9966" t="s">
        <v>12896</v>
      </c>
      <c r="D9966" t="s">
        <v>16608</v>
      </c>
      <c r="E9966" t="s">
        <v>17407</v>
      </c>
      <c r="F9966" t="s">
        <v>28669</v>
      </c>
      <c r="G9966" t="s">
        <v>28675</v>
      </c>
      <c r="H9966" t="s">
        <v>9998</v>
      </c>
      <c r="I9966" t="s">
        <v>28701</v>
      </c>
      <c r="J9966" t="s">
        <v>34991</v>
      </c>
      <c r="K9966" t="s">
        <v>37209</v>
      </c>
      <c r="M9966" t="s">
        <v>39978</v>
      </c>
      <c r="N9966" t="s">
        <v>41249</v>
      </c>
      <c r="O9966" t="s">
        <v>41250</v>
      </c>
      <c r="P9966">
        <v>0</v>
      </c>
      <c r="Q9966">
        <v>8</v>
      </c>
      <c r="R9966" t="s">
        <v>41260</v>
      </c>
      <c r="S9966" t="s">
        <v>41624</v>
      </c>
      <c r="T9966" t="s">
        <v>42739</v>
      </c>
      <c r="U9966" t="s">
        <v>51236</v>
      </c>
      <c r="W9966" t="s">
        <v>39978</v>
      </c>
      <c r="X9966" t="s">
        <v>41261</v>
      </c>
    </row>
    <row r="9967" spans="1:24">
      <c r="A9967">
        <f>HYPERLINK("https://www.philgeps.gov.ph/GEPSNONPILOT/Tender/SplashBidNoticeAbstractUI.aspx?menuIndex=3&amp;refID=7060656&amp;Result=3","7060656")</f>
        <v>0</v>
      </c>
      <c r="B9967" t="s">
        <v>2871</v>
      </c>
      <c r="C9967" t="s">
        <v>12897</v>
      </c>
      <c r="D9967" t="s">
        <v>16680</v>
      </c>
      <c r="E9967" t="s">
        <v>25367</v>
      </c>
      <c r="F9967" t="s">
        <v>28669</v>
      </c>
      <c r="G9967" t="s">
        <v>28675</v>
      </c>
      <c r="H9967" t="s">
        <v>9998</v>
      </c>
      <c r="I9967" t="s">
        <v>28706</v>
      </c>
      <c r="J9967" t="s">
        <v>29112</v>
      </c>
      <c r="K9967" t="s">
        <v>37206</v>
      </c>
      <c r="M9967" t="s">
        <v>40615</v>
      </c>
      <c r="N9967" t="s">
        <v>41249</v>
      </c>
      <c r="O9967" t="s">
        <v>41250</v>
      </c>
      <c r="Q9967">
        <v>1</v>
      </c>
      <c r="R9967" t="s">
        <v>41260</v>
      </c>
      <c r="S9967" t="s">
        <v>41657</v>
      </c>
      <c r="T9967" t="s">
        <v>42796</v>
      </c>
      <c r="U9967" t="s">
        <v>51237</v>
      </c>
      <c r="V9967" t="s">
        <v>55355</v>
      </c>
      <c r="W9967" t="s">
        <v>40615</v>
      </c>
      <c r="X9967" t="s">
        <v>41261</v>
      </c>
    </row>
    <row r="9968" spans="1:24">
      <c r="A9968">
        <f>HYPERLINK("https://www.philgeps.gov.ph/GEPSNONPILOT/Tender/SplashBidNoticeAbstractUI.aspx?menuIndex=3&amp;refID=7060595&amp;Result=3","7060595")</f>
        <v>0</v>
      </c>
      <c r="B9968" t="s">
        <v>1961</v>
      </c>
      <c r="C9968" t="s">
        <v>12898</v>
      </c>
      <c r="D9968" t="s">
        <v>16608</v>
      </c>
      <c r="E9968" t="s">
        <v>25368</v>
      </c>
      <c r="F9968" t="s">
        <v>28669</v>
      </c>
      <c r="G9968" t="s">
        <v>28675</v>
      </c>
      <c r="H9968" t="s">
        <v>9998</v>
      </c>
      <c r="I9968" t="s">
        <v>28694</v>
      </c>
      <c r="J9968" t="s">
        <v>34992</v>
      </c>
      <c r="K9968" t="s">
        <v>37205</v>
      </c>
      <c r="M9968" t="s">
        <v>40602</v>
      </c>
      <c r="N9968" t="s">
        <v>41249</v>
      </c>
      <c r="O9968" t="s">
        <v>41250</v>
      </c>
      <c r="P9968">
        <v>0</v>
      </c>
      <c r="Q9968">
        <v>8</v>
      </c>
      <c r="R9968" t="s">
        <v>41260</v>
      </c>
      <c r="S9968" t="s">
        <v>41624</v>
      </c>
      <c r="T9968" t="s">
        <v>42721</v>
      </c>
      <c r="U9968" t="s">
        <v>51238</v>
      </c>
      <c r="W9968" t="s">
        <v>40602</v>
      </c>
      <c r="X9968" t="s">
        <v>41261</v>
      </c>
    </row>
    <row r="9969" spans="1:24">
      <c r="A9969">
        <f>HYPERLINK("https://www.philgeps.gov.ph/GEPSNONPILOT/Tender/SplashBidNoticeAbstractUI.aspx?menuIndex=3&amp;refID=7060691&amp;Result=3","7060691")</f>
        <v>0</v>
      </c>
      <c r="B9969" t="s">
        <v>2318</v>
      </c>
      <c r="C9969" t="s">
        <v>12899</v>
      </c>
      <c r="E9969" t="s">
        <v>18464</v>
      </c>
      <c r="F9969" t="s">
        <v>28669</v>
      </c>
      <c r="G9969" t="s">
        <v>28675</v>
      </c>
      <c r="H9969" t="s">
        <v>9998</v>
      </c>
      <c r="I9969" t="s">
        <v>28693</v>
      </c>
      <c r="J9969" t="s">
        <v>28924</v>
      </c>
      <c r="K9969" t="s">
        <v>37209</v>
      </c>
      <c r="M9969" t="s">
        <v>39978</v>
      </c>
      <c r="N9969" t="s">
        <v>41249</v>
      </c>
      <c r="O9969" t="s">
        <v>41250</v>
      </c>
      <c r="Q9969">
        <v>38</v>
      </c>
      <c r="R9969" t="s">
        <v>41260</v>
      </c>
      <c r="S9969" t="s">
        <v>41658</v>
      </c>
      <c r="T9969" t="s">
        <v>42739</v>
      </c>
      <c r="U9969" t="s">
        <v>51239</v>
      </c>
      <c r="W9969" t="s">
        <v>39978</v>
      </c>
      <c r="X9969" t="s">
        <v>41261</v>
      </c>
    </row>
    <row r="9970" spans="1:24">
      <c r="A9970">
        <f>HYPERLINK("https://www.philgeps.gov.ph/GEPSNONPILOT/Tender/SplashBidNoticeAbstractUI.aspx?menuIndex=3&amp;refID=7060783&amp;Result=3","7060783")</f>
        <v>0</v>
      </c>
      <c r="B9970" t="s">
        <v>1025</v>
      </c>
      <c r="C9970" t="s">
        <v>12900</v>
      </c>
      <c r="D9970" t="s">
        <v>16608</v>
      </c>
      <c r="E9970" t="s">
        <v>25369</v>
      </c>
      <c r="F9970" t="s">
        <v>28669</v>
      </c>
      <c r="G9970" t="s">
        <v>28675</v>
      </c>
      <c r="H9970" t="s">
        <v>9998</v>
      </c>
      <c r="I9970" t="s">
        <v>5286</v>
      </c>
      <c r="J9970" t="s">
        <v>34993</v>
      </c>
      <c r="K9970" t="s">
        <v>37209</v>
      </c>
      <c r="M9970" t="s">
        <v>40607</v>
      </c>
      <c r="N9970" t="s">
        <v>41249</v>
      </c>
      <c r="O9970" t="s">
        <v>41250</v>
      </c>
      <c r="P9970">
        <v>0</v>
      </c>
      <c r="Q9970">
        <v>7</v>
      </c>
      <c r="R9970" t="s">
        <v>41260</v>
      </c>
      <c r="S9970" t="s">
        <v>41624</v>
      </c>
      <c r="T9970" t="s">
        <v>42659</v>
      </c>
      <c r="U9970" t="s">
        <v>51240</v>
      </c>
      <c r="W9970" t="s">
        <v>40607</v>
      </c>
      <c r="X9970" t="s">
        <v>41261</v>
      </c>
    </row>
    <row r="9971" spans="1:24">
      <c r="A9971">
        <f>HYPERLINK("https://www.philgeps.gov.ph/GEPSNONPILOT/Tender/SplashBidNoticeAbstractUI.aspx?menuIndex=3&amp;refID=7060706&amp;Result=3","7060706")</f>
        <v>0</v>
      </c>
      <c r="B9971" t="s">
        <v>2549</v>
      </c>
      <c r="C9971" t="s">
        <v>12901</v>
      </c>
      <c r="E9971" t="s">
        <v>25370</v>
      </c>
      <c r="F9971" t="s">
        <v>28669</v>
      </c>
      <c r="G9971" t="s">
        <v>28675</v>
      </c>
      <c r="H9971" t="s">
        <v>28686</v>
      </c>
      <c r="I9971" t="s">
        <v>28689</v>
      </c>
      <c r="J9971" t="s">
        <v>34994</v>
      </c>
      <c r="K9971" t="s">
        <v>37209</v>
      </c>
      <c r="M9971" t="s">
        <v>40241</v>
      </c>
      <c r="N9971" t="s">
        <v>41249</v>
      </c>
      <c r="O9971" t="s">
        <v>41250</v>
      </c>
      <c r="P9971">
        <v>0</v>
      </c>
      <c r="Q9971">
        <v>1</v>
      </c>
      <c r="R9971" t="s">
        <v>41260</v>
      </c>
      <c r="S9971" t="s">
        <v>41624</v>
      </c>
      <c r="T9971" t="s">
        <v>42761</v>
      </c>
      <c r="U9971" t="s">
        <v>51241</v>
      </c>
      <c r="W9971" t="s">
        <v>40241</v>
      </c>
      <c r="X9971" t="s">
        <v>41261</v>
      </c>
    </row>
    <row r="9972" spans="1:24">
      <c r="A9972">
        <f>HYPERLINK("https://www.philgeps.gov.ph/GEPSNONPILOT/Tender/SplashBidNoticeAbstractUI.aspx?menuIndex=3&amp;refID=7060775&amp;Result=3","7060775")</f>
        <v>0</v>
      </c>
      <c r="B9972" t="s">
        <v>2872</v>
      </c>
      <c r="C9972" t="s">
        <v>12902</v>
      </c>
      <c r="D9972" t="s">
        <v>16627</v>
      </c>
      <c r="E9972" t="s">
        <v>25371</v>
      </c>
      <c r="F9972" t="s">
        <v>28669</v>
      </c>
      <c r="G9972" t="s">
        <v>28675</v>
      </c>
      <c r="H9972" t="s">
        <v>28686</v>
      </c>
      <c r="I9972" t="s">
        <v>28689</v>
      </c>
      <c r="J9972" t="s">
        <v>29059</v>
      </c>
      <c r="K9972" t="s">
        <v>37209</v>
      </c>
      <c r="M9972" t="s">
        <v>40616</v>
      </c>
      <c r="N9972" t="s">
        <v>41249</v>
      </c>
      <c r="O9972" t="s">
        <v>41250</v>
      </c>
      <c r="P9972">
        <v>0</v>
      </c>
      <c r="Q9972">
        <v>1</v>
      </c>
      <c r="R9972" t="s">
        <v>41260</v>
      </c>
      <c r="S9972" t="s">
        <v>41624</v>
      </c>
      <c r="T9972" t="s">
        <v>42668</v>
      </c>
      <c r="U9972" t="s">
        <v>51242</v>
      </c>
      <c r="W9972" t="s">
        <v>40616</v>
      </c>
      <c r="X9972" t="s">
        <v>41261</v>
      </c>
    </row>
    <row r="9973" spans="1:24">
      <c r="A9973">
        <f>HYPERLINK("https://www.philgeps.gov.ph/GEPSNONPILOT/Tender/SplashBidNoticeAbstractUI.aspx?menuIndex=3&amp;refID=7060635&amp;Result=3","7060635")</f>
        <v>0</v>
      </c>
      <c r="B9973" t="s">
        <v>2873</v>
      </c>
      <c r="C9973" t="s">
        <v>12903</v>
      </c>
      <c r="D9973" t="s">
        <v>16622</v>
      </c>
      <c r="E9973" t="s">
        <v>25372</v>
      </c>
      <c r="F9973" t="s">
        <v>28669</v>
      </c>
      <c r="G9973" t="s">
        <v>28675</v>
      </c>
      <c r="H9973" t="s">
        <v>28685</v>
      </c>
      <c r="I9973" t="s">
        <v>28685</v>
      </c>
      <c r="J9973" t="s">
        <v>28891</v>
      </c>
      <c r="K9973" t="s">
        <v>37215</v>
      </c>
      <c r="M9973" t="s">
        <v>40617</v>
      </c>
      <c r="N9973" t="s">
        <v>41249</v>
      </c>
      <c r="O9973" t="s">
        <v>41250</v>
      </c>
      <c r="P9973">
        <v>0</v>
      </c>
      <c r="Q9973">
        <v>7</v>
      </c>
      <c r="R9973" t="s">
        <v>41260</v>
      </c>
      <c r="S9973" t="s">
        <v>41624</v>
      </c>
      <c r="T9973" t="s">
        <v>42680</v>
      </c>
      <c r="U9973" t="s">
        <v>51243</v>
      </c>
      <c r="W9973" t="s">
        <v>40617</v>
      </c>
      <c r="X9973" t="s">
        <v>41261</v>
      </c>
    </row>
    <row r="9974" spans="1:24">
      <c r="A9974">
        <f>HYPERLINK("https://www.philgeps.gov.ph/GEPSNONPILOT/Tender/SplashBidNoticeAbstractUI.aspx?menuIndex=3&amp;refID=7060770&amp;Result=3","7060770")</f>
        <v>0</v>
      </c>
      <c r="B9974" t="s">
        <v>1025</v>
      </c>
      <c r="C9974" t="s">
        <v>12904</v>
      </c>
      <c r="D9974" t="s">
        <v>16608</v>
      </c>
      <c r="E9974" t="s">
        <v>25373</v>
      </c>
      <c r="F9974" t="s">
        <v>28669</v>
      </c>
      <c r="G9974" t="s">
        <v>28675</v>
      </c>
      <c r="H9974" t="s">
        <v>9998</v>
      </c>
      <c r="I9974" t="s">
        <v>5286</v>
      </c>
      <c r="J9974" t="s">
        <v>34995</v>
      </c>
      <c r="K9974" t="s">
        <v>37209</v>
      </c>
      <c r="M9974" t="s">
        <v>40607</v>
      </c>
      <c r="N9974" t="s">
        <v>41249</v>
      </c>
      <c r="O9974" t="s">
        <v>41250</v>
      </c>
      <c r="P9974">
        <v>0</v>
      </c>
      <c r="Q9974">
        <v>4</v>
      </c>
      <c r="R9974" t="s">
        <v>41260</v>
      </c>
      <c r="S9974" t="s">
        <v>41624</v>
      </c>
      <c r="T9974" t="s">
        <v>42659</v>
      </c>
      <c r="U9974" t="s">
        <v>51244</v>
      </c>
      <c r="W9974" t="s">
        <v>40607</v>
      </c>
      <c r="X9974" t="s">
        <v>41261</v>
      </c>
    </row>
    <row r="9975" spans="1:24">
      <c r="A9975">
        <f>HYPERLINK("https://www.philgeps.gov.ph/GEPSNONPILOT/Tender/SplashBidNoticeAbstractUI.aspx?menuIndex=3&amp;refID=7060799&amp;Result=3","7060799")</f>
        <v>0</v>
      </c>
      <c r="B9975" t="s">
        <v>260</v>
      </c>
      <c r="C9975" t="s">
        <v>12905</v>
      </c>
      <c r="D9975" t="s">
        <v>16646</v>
      </c>
      <c r="E9975" t="s">
        <v>25374</v>
      </c>
      <c r="F9975" t="s">
        <v>28669</v>
      </c>
      <c r="G9975" t="s">
        <v>28675</v>
      </c>
      <c r="H9975" t="s">
        <v>28686</v>
      </c>
      <c r="I9975" t="s">
        <v>28689</v>
      </c>
      <c r="J9975" t="s">
        <v>34996</v>
      </c>
      <c r="K9975" t="s">
        <v>37317</v>
      </c>
      <c r="M9975" t="s">
        <v>37738</v>
      </c>
      <c r="N9975" t="s">
        <v>41249</v>
      </c>
      <c r="O9975" t="s">
        <v>41250</v>
      </c>
      <c r="Q9975">
        <v>1</v>
      </c>
      <c r="R9975" t="s">
        <v>41260</v>
      </c>
      <c r="S9975" t="s">
        <v>41659</v>
      </c>
      <c r="T9975" t="s">
        <v>42783</v>
      </c>
      <c r="U9975" t="s">
        <v>51245</v>
      </c>
      <c r="W9975" t="s">
        <v>37738</v>
      </c>
      <c r="X9975" t="s">
        <v>41261</v>
      </c>
    </row>
    <row r="9976" spans="1:24">
      <c r="A9976">
        <f>HYPERLINK("https://www.philgeps.gov.ph/GEPSNONPILOT/Tender/SplashBidNoticeAbstractUI.aspx?menuIndex=3&amp;refID=7060626&amp;Result=3","7060626")</f>
        <v>0</v>
      </c>
      <c r="B9976" t="s">
        <v>531</v>
      </c>
      <c r="C9976" t="s">
        <v>12906</v>
      </c>
      <c r="D9976" t="s">
        <v>16611</v>
      </c>
      <c r="E9976" t="s">
        <v>25375</v>
      </c>
      <c r="F9976" t="s">
        <v>28669</v>
      </c>
      <c r="G9976" t="s">
        <v>28675</v>
      </c>
      <c r="H9976" t="s">
        <v>9998</v>
      </c>
      <c r="I9976" t="s">
        <v>28688</v>
      </c>
      <c r="J9976" t="s">
        <v>34997</v>
      </c>
      <c r="K9976" t="s">
        <v>37210</v>
      </c>
      <c r="M9976" t="s">
        <v>38022</v>
      </c>
      <c r="N9976" t="s">
        <v>41249</v>
      </c>
      <c r="O9976" t="s">
        <v>41250</v>
      </c>
      <c r="P9976">
        <v>0</v>
      </c>
      <c r="Q9976">
        <v>1</v>
      </c>
      <c r="R9976" t="s">
        <v>41260</v>
      </c>
      <c r="S9976" t="s">
        <v>41624</v>
      </c>
      <c r="T9976" t="s">
        <v>42782</v>
      </c>
      <c r="U9976" t="s">
        <v>51246</v>
      </c>
      <c r="W9976" t="s">
        <v>38022</v>
      </c>
      <c r="X9976" t="s">
        <v>41261</v>
      </c>
    </row>
    <row r="9977" spans="1:24">
      <c r="A9977">
        <f>HYPERLINK("https://www.philgeps.gov.ph/GEPSNONPILOT/Tender/SplashBidNoticeAbstractUI.aspx?menuIndex=3&amp;refID=7060703&amp;Result=3","7060703")</f>
        <v>0</v>
      </c>
      <c r="B9977" t="s">
        <v>2874</v>
      </c>
      <c r="C9977" t="s">
        <v>12907</v>
      </c>
      <c r="D9977" t="s">
        <v>16668</v>
      </c>
      <c r="E9977" t="s">
        <v>25376</v>
      </c>
      <c r="F9977" t="s">
        <v>28669</v>
      </c>
      <c r="G9977" t="s">
        <v>28675</v>
      </c>
      <c r="H9977" t="s">
        <v>28686</v>
      </c>
      <c r="I9977" t="s">
        <v>28689</v>
      </c>
      <c r="J9977" t="s">
        <v>34998</v>
      </c>
      <c r="K9977" t="s">
        <v>37255</v>
      </c>
      <c r="M9977" t="s">
        <v>40618</v>
      </c>
      <c r="N9977" t="s">
        <v>41249</v>
      </c>
      <c r="O9977" t="s">
        <v>41250</v>
      </c>
      <c r="P9977">
        <v>0</v>
      </c>
      <c r="Q9977">
        <v>1</v>
      </c>
      <c r="R9977" t="s">
        <v>41260</v>
      </c>
      <c r="S9977" t="s">
        <v>41624</v>
      </c>
      <c r="T9977" t="s">
        <v>42911</v>
      </c>
      <c r="U9977" t="s">
        <v>51247</v>
      </c>
      <c r="W9977" t="s">
        <v>40618</v>
      </c>
      <c r="X9977" t="s">
        <v>41261</v>
      </c>
    </row>
    <row r="9978" spans="1:24">
      <c r="A9978">
        <f>HYPERLINK("https://www.philgeps.gov.ph/GEPSNONPILOT/Tender/SplashBidNoticeAbstractUI.aspx?menuIndex=3&amp;refID=7060822&amp;Result=3","7060822")</f>
        <v>0</v>
      </c>
      <c r="B9978" t="s">
        <v>1432</v>
      </c>
      <c r="C9978" t="s">
        <v>12908</v>
      </c>
      <c r="D9978" t="s">
        <v>16635</v>
      </c>
      <c r="E9978" t="s">
        <v>25377</v>
      </c>
      <c r="F9978" t="s">
        <v>28669</v>
      </c>
      <c r="G9978" t="s">
        <v>28675</v>
      </c>
      <c r="H9978" t="s">
        <v>9998</v>
      </c>
      <c r="I9978" t="s">
        <v>7352</v>
      </c>
      <c r="J9978" t="s">
        <v>34999</v>
      </c>
      <c r="K9978" t="s">
        <v>37209</v>
      </c>
      <c r="M9978" t="s">
        <v>38996</v>
      </c>
      <c r="N9978" t="s">
        <v>41249</v>
      </c>
      <c r="O9978" t="s">
        <v>41250</v>
      </c>
      <c r="P9978">
        <v>0</v>
      </c>
      <c r="Q9978">
        <v>0</v>
      </c>
      <c r="R9978" t="s">
        <v>41260</v>
      </c>
      <c r="S9978" t="s">
        <v>41624</v>
      </c>
      <c r="T9978" t="s">
        <v>43108</v>
      </c>
      <c r="U9978" t="s">
        <v>51183</v>
      </c>
      <c r="V9978" t="s">
        <v>55356</v>
      </c>
      <c r="W9978" t="s">
        <v>38996</v>
      </c>
      <c r="X9978" t="s">
        <v>41261</v>
      </c>
    </row>
    <row r="9979" spans="1:24">
      <c r="A9979">
        <f>HYPERLINK("https://www.philgeps.gov.ph/GEPSNONPILOT/Tender/SplashBidNoticeAbstractUI.aspx?menuIndex=3&amp;refID=7060779&amp;Result=3","7060779")</f>
        <v>0</v>
      </c>
      <c r="B9979" t="s">
        <v>475</v>
      </c>
      <c r="C9979" t="s">
        <v>12909</v>
      </c>
      <c r="E9979" t="s">
        <v>25378</v>
      </c>
      <c r="F9979" t="s">
        <v>28669</v>
      </c>
      <c r="G9979" t="s">
        <v>28679</v>
      </c>
      <c r="H9979" t="s">
        <v>9998</v>
      </c>
      <c r="I9979" t="s">
        <v>28713</v>
      </c>
      <c r="J9979" t="s">
        <v>34902</v>
      </c>
      <c r="K9979" t="s">
        <v>37209</v>
      </c>
      <c r="M9979" t="s">
        <v>40619</v>
      </c>
      <c r="N9979" t="s">
        <v>41249</v>
      </c>
      <c r="O9979" t="s">
        <v>41250</v>
      </c>
      <c r="P9979">
        <v>0</v>
      </c>
      <c r="Q9979">
        <v>31</v>
      </c>
      <c r="R9979" t="s">
        <v>41260</v>
      </c>
      <c r="S9979" t="s">
        <v>41624</v>
      </c>
      <c r="T9979" t="s">
        <v>42659</v>
      </c>
      <c r="U9979" t="s">
        <v>51248</v>
      </c>
      <c r="W9979" t="s">
        <v>40619</v>
      </c>
      <c r="X9979" t="s">
        <v>41261</v>
      </c>
    </row>
    <row r="9980" spans="1:24">
      <c r="A9980">
        <f>HYPERLINK("https://www.philgeps.gov.ph/GEPSNONPILOT/Tender/SplashBidNoticeAbstractUI.aspx?menuIndex=3&amp;refID=7060820&amp;Result=3","7060820")</f>
        <v>0</v>
      </c>
      <c r="B9980" t="s">
        <v>1084</v>
      </c>
      <c r="C9980" t="s">
        <v>12910</v>
      </c>
      <c r="D9980" t="s">
        <v>16667</v>
      </c>
      <c r="E9980" t="s">
        <v>25379</v>
      </c>
      <c r="F9980" t="s">
        <v>28669</v>
      </c>
      <c r="G9980" t="s">
        <v>28675</v>
      </c>
      <c r="H9980" t="s">
        <v>9998</v>
      </c>
      <c r="I9980" t="s">
        <v>15140</v>
      </c>
      <c r="J9980" t="s">
        <v>29051</v>
      </c>
      <c r="K9980" t="s">
        <v>37220</v>
      </c>
      <c r="M9980" t="s">
        <v>38616</v>
      </c>
      <c r="N9980" t="s">
        <v>41249</v>
      </c>
      <c r="O9980" t="s">
        <v>41250</v>
      </c>
      <c r="P9980">
        <v>0</v>
      </c>
      <c r="Q9980">
        <v>0</v>
      </c>
      <c r="R9980" t="s">
        <v>41260</v>
      </c>
      <c r="S9980" t="s">
        <v>41624</v>
      </c>
      <c r="T9980" t="s">
        <v>42836</v>
      </c>
      <c r="U9980" t="s">
        <v>51249</v>
      </c>
      <c r="W9980" t="s">
        <v>38616</v>
      </c>
      <c r="X9980" t="s">
        <v>41261</v>
      </c>
    </row>
    <row r="9981" spans="1:24">
      <c r="A9981">
        <f>HYPERLINK("https://www.philgeps.gov.ph/GEPSNONPILOT/Tender/SplashBidNoticeAbstractUI.aspx?menuIndex=3&amp;refID=7060804&amp;Result=3","7060804")</f>
        <v>0</v>
      </c>
      <c r="B9981" t="s">
        <v>2874</v>
      </c>
      <c r="C9981" t="s">
        <v>12911</v>
      </c>
      <c r="D9981" t="s">
        <v>16668</v>
      </c>
      <c r="E9981" t="s">
        <v>25380</v>
      </c>
      <c r="F9981" t="s">
        <v>28669</v>
      </c>
      <c r="G9981" t="s">
        <v>28675</v>
      </c>
      <c r="H9981" t="s">
        <v>28686</v>
      </c>
      <c r="I9981" t="s">
        <v>28689</v>
      </c>
      <c r="J9981" t="s">
        <v>35000</v>
      </c>
      <c r="K9981" t="s">
        <v>37300</v>
      </c>
      <c r="M9981" t="s">
        <v>40618</v>
      </c>
      <c r="N9981" t="s">
        <v>41249</v>
      </c>
      <c r="O9981" t="s">
        <v>41250</v>
      </c>
      <c r="P9981">
        <v>0</v>
      </c>
      <c r="Q9981">
        <v>1</v>
      </c>
      <c r="R9981" t="s">
        <v>41260</v>
      </c>
      <c r="S9981" t="s">
        <v>41624</v>
      </c>
      <c r="T9981" t="s">
        <v>42739</v>
      </c>
      <c r="U9981" t="s">
        <v>51250</v>
      </c>
      <c r="W9981" t="s">
        <v>40618</v>
      </c>
      <c r="X9981" t="s">
        <v>41261</v>
      </c>
    </row>
    <row r="9982" spans="1:24">
      <c r="A9982">
        <f>HYPERLINK("https://www.philgeps.gov.ph/GEPSNONPILOT/Tender/SplashBidNoticeAbstractUI.aspx?menuIndex=3&amp;refID=7060762&amp;Result=3","7060762")</f>
        <v>0</v>
      </c>
      <c r="B9982" t="s">
        <v>1025</v>
      </c>
      <c r="C9982" t="s">
        <v>12912</v>
      </c>
      <c r="D9982" t="s">
        <v>16608</v>
      </c>
      <c r="E9982" t="s">
        <v>25381</v>
      </c>
      <c r="F9982" t="s">
        <v>28669</v>
      </c>
      <c r="G9982" t="s">
        <v>28675</v>
      </c>
      <c r="H9982" t="s">
        <v>9998</v>
      </c>
      <c r="I9982" t="s">
        <v>28713</v>
      </c>
      <c r="J9982" t="s">
        <v>35001</v>
      </c>
      <c r="K9982" t="s">
        <v>37209</v>
      </c>
      <c r="M9982" t="s">
        <v>40607</v>
      </c>
      <c r="N9982" t="s">
        <v>41249</v>
      </c>
      <c r="O9982" t="s">
        <v>41250</v>
      </c>
      <c r="P9982">
        <v>0</v>
      </c>
      <c r="Q9982">
        <v>31</v>
      </c>
      <c r="R9982" t="s">
        <v>41260</v>
      </c>
      <c r="S9982" t="s">
        <v>41624</v>
      </c>
      <c r="T9982" t="s">
        <v>42659</v>
      </c>
      <c r="U9982" t="s">
        <v>51251</v>
      </c>
      <c r="W9982" t="s">
        <v>40607</v>
      </c>
      <c r="X9982" t="s">
        <v>41261</v>
      </c>
    </row>
    <row r="9983" spans="1:24">
      <c r="A9983">
        <f>HYPERLINK("https://www.philgeps.gov.ph/GEPSNONPILOT/Tender/SplashBidNoticeAbstractUI.aspx?menuIndex=3&amp;refID=7060753&amp;Result=3","7060753")</f>
        <v>0</v>
      </c>
      <c r="B9983" t="s">
        <v>559</v>
      </c>
      <c r="C9983" t="s">
        <v>12913</v>
      </c>
      <c r="D9983" t="s">
        <v>16644</v>
      </c>
      <c r="E9983" t="s">
        <v>25382</v>
      </c>
      <c r="F9983" t="s">
        <v>28669</v>
      </c>
      <c r="G9983" t="s">
        <v>28675</v>
      </c>
      <c r="H9983" t="s">
        <v>9998</v>
      </c>
      <c r="I9983" t="s">
        <v>3679</v>
      </c>
      <c r="J9983" t="s">
        <v>35002</v>
      </c>
      <c r="K9983" t="s">
        <v>37206</v>
      </c>
      <c r="M9983" t="s">
        <v>40176</v>
      </c>
      <c r="N9983" t="s">
        <v>41249</v>
      </c>
      <c r="O9983" t="s">
        <v>41250</v>
      </c>
      <c r="P9983">
        <v>0</v>
      </c>
      <c r="Q9983">
        <v>1</v>
      </c>
      <c r="R9983" t="s">
        <v>41260</v>
      </c>
      <c r="S9983" t="s">
        <v>41624</v>
      </c>
      <c r="T9983" t="s">
        <v>42658</v>
      </c>
      <c r="U9983" t="s">
        <v>51252</v>
      </c>
      <c r="W9983" t="s">
        <v>40176</v>
      </c>
      <c r="X9983" t="s">
        <v>41261</v>
      </c>
    </row>
    <row r="9984" spans="1:24">
      <c r="A9984">
        <f>HYPERLINK("https://www.philgeps.gov.ph/GEPSNONPILOT/Tender/SplashBidNoticeAbstractUI.aspx?menuIndex=3&amp;refID=7060748&amp;Result=3","7060748")</f>
        <v>0</v>
      </c>
      <c r="B9984" t="s">
        <v>475</v>
      </c>
      <c r="C9984" t="s">
        <v>12914</v>
      </c>
      <c r="E9984" t="s">
        <v>25383</v>
      </c>
      <c r="F9984" t="s">
        <v>28669</v>
      </c>
      <c r="G9984" t="s">
        <v>28679</v>
      </c>
      <c r="H9984" t="s">
        <v>9998</v>
      </c>
      <c r="I9984" t="s">
        <v>28713</v>
      </c>
      <c r="J9984" t="s">
        <v>35003</v>
      </c>
      <c r="K9984" t="s">
        <v>37209</v>
      </c>
      <c r="M9984" t="s">
        <v>40619</v>
      </c>
      <c r="N9984" t="s">
        <v>41249</v>
      </c>
      <c r="O9984" t="s">
        <v>41250</v>
      </c>
      <c r="P9984">
        <v>0</v>
      </c>
      <c r="Q9984">
        <v>30</v>
      </c>
      <c r="R9984" t="s">
        <v>41260</v>
      </c>
      <c r="S9984" t="s">
        <v>41624</v>
      </c>
      <c r="T9984" t="s">
        <v>42659</v>
      </c>
      <c r="U9984" t="s">
        <v>51248</v>
      </c>
      <c r="W9984" t="s">
        <v>40619</v>
      </c>
      <c r="X9984" t="s">
        <v>41261</v>
      </c>
    </row>
    <row r="9985" spans="1:24">
      <c r="A9985">
        <f>HYPERLINK("https://www.philgeps.gov.ph/GEPSNONPILOT/Tender/SplashBidNoticeAbstractUI.aspx?menuIndex=3&amp;refID=7060725&amp;Result=3","7060725")</f>
        <v>0</v>
      </c>
      <c r="B9985" t="s">
        <v>1025</v>
      </c>
      <c r="C9985" t="s">
        <v>12915</v>
      </c>
      <c r="D9985" t="s">
        <v>16608</v>
      </c>
      <c r="E9985" t="s">
        <v>25384</v>
      </c>
      <c r="F9985" t="s">
        <v>28669</v>
      </c>
      <c r="G9985" t="s">
        <v>28675</v>
      </c>
      <c r="H9985" t="s">
        <v>9998</v>
      </c>
      <c r="I9985" t="s">
        <v>28692</v>
      </c>
      <c r="J9985" t="s">
        <v>35004</v>
      </c>
      <c r="K9985" t="s">
        <v>37209</v>
      </c>
      <c r="M9985" t="s">
        <v>40607</v>
      </c>
      <c r="N9985" t="s">
        <v>41249</v>
      </c>
      <c r="O9985" t="s">
        <v>41250</v>
      </c>
      <c r="P9985">
        <v>0</v>
      </c>
      <c r="Q9985">
        <v>22</v>
      </c>
      <c r="R9985" t="s">
        <v>41260</v>
      </c>
      <c r="S9985" t="s">
        <v>41624</v>
      </c>
      <c r="T9985" t="s">
        <v>42659</v>
      </c>
      <c r="U9985" t="s">
        <v>51253</v>
      </c>
      <c r="W9985" t="s">
        <v>40607</v>
      </c>
      <c r="X9985" t="s">
        <v>41261</v>
      </c>
    </row>
    <row r="9986" spans="1:24">
      <c r="A9986">
        <f>HYPERLINK("https://www.philgeps.gov.ph/GEPSNONPILOT/Tender/SplashBidNoticeAbstractUI.aspx?menuIndex=3&amp;refID=7060825&amp;Result=3","7060825")</f>
        <v>0</v>
      </c>
      <c r="B9986" t="s">
        <v>754</v>
      </c>
      <c r="C9986" t="s">
        <v>12916</v>
      </c>
      <c r="D9986" t="s">
        <v>16608</v>
      </c>
      <c r="E9986" t="s">
        <v>25385</v>
      </c>
      <c r="F9986" t="s">
        <v>28669</v>
      </c>
      <c r="G9986" t="s">
        <v>28678</v>
      </c>
      <c r="H9986" t="s">
        <v>9998</v>
      </c>
      <c r="I9986" t="s">
        <v>28739</v>
      </c>
      <c r="J9986" t="s">
        <v>35005</v>
      </c>
      <c r="K9986" t="s">
        <v>37204</v>
      </c>
      <c r="M9986" t="s">
        <v>38265</v>
      </c>
      <c r="N9986" t="s">
        <v>41249</v>
      </c>
      <c r="O9986" t="s">
        <v>41250</v>
      </c>
      <c r="Q9986">
        <v>7</v>
      </c>
      <c r="R9986" t="s">
        <v>41260</v>
      </c>
      <c r="S9986" t="s">
        <v>41660</v>
      </c>
      <c r="T9986" t="s">
        <v>43018</v>
      </c>
      <c r="U9986" t="s">
        <v>51254</v>
      </c>
      <c r="W9986" t="s">
        <v>38265</v>
      </c>
      <c r="X9986" t="s">
        <v>41261</v>
      </c>
    </row>
    <row r="9987" spans="1:24">
      <c r="A9987">
        <f>HYPERLINK("https://www.philgeps.gov.ph/GEPSNONPILOT/Tender/SplashBidNoticeAbstractUI.aspx?menuIndex=3&amp;refID=7060633&amp;Result=3","7060633")</f>
        <v>0</v>
      </c>
      <c r="B9987" t="s">
        <v>181</v>
      </c>
      <c r="C9987" t="s">
        <v>12917</v>
      </c>
      <c r="D9987" t="s">
        <v>16647</v>
      </c>
      <c r="E9987" t="s">
        <v>25386</v>
      </c>
      <c r="F9987" t="s">
        <v>28669</v>
      </c>
      <c r="G9987" t="s">
        <v>28675</v>
      </c>
      <c r="H9987" t="s">
        <v>9998</v>
      </c>
      <c r="I9987" t="s">
        <v>5286</v>
      </c>
      <c r="J9987" t="s">
        <v>29339</v>
      </c>
      <c r="K9987" t="s">
        <v>37210</v>
      </c>
      <c r="M9987" t="s">
        <v>37658</v>
      </c>
      <c r="N9987" t="s">
        <v>41249</v>
      </c>
      <c r="O9987" t="s">
        <v>41250</v>
      </c>
      <c r="P9987">
        <v>0</v>
      </c>
      <c r="Q9987">
        <v>1</v>
      </c>
      <c r="R9987" t="s">
        <v>41260</v>
      </c>
      <c r="S9987" t="s">
        <v>41624</v>
      </c>
      <c r="T9987" t="s">
        <v>42914</v>
      </c>
      <c r="U9987" t="s">
        <v>48403</v>
      </c>
      <c r="W9987" t="s">
        <v>37658</v>
      </c>
      <c r="X9987" t="s">
        <v>41261</v>
      </c>
    </row>
    <row r="9988" spans="1:24">
      <c r="A9988">
        <f>HYPERLINK("https://www.philgeps.gov.ph/GEPSNONPILOT/Tender/SplashBidNoticeAbstractUI.aspx?menuIndex=3&amp;refID=7060718&amp;Result=3","7060718")</f>
        <v>0</v>
      </c>
      <c r="B9988" t="s">
        <v>1025</v>
      </c>
      <c r="C9988" t="s">
        <v>12918</v>
      </c>
      <c r="D9988" t="s">
        <v>16608</v>
      </c>
      <c r="E9988" t="s">
        <v>25387</v>
      </c>
      <c r="F9988" t="s">
        <v>28669</v>
      </c>
      <c r="G9988" t="s">
        <v>28675</v>
      </c>
      <c r="H9988" t="s">
        <v>9998</v>
      </c>
      <c r="I9988" t="s">
        <v>28816</v>
      </c>
      <c r="J9988" t="s">
        <v>35006</v>
      </c>
      <c r="K9988" t="s">
        <v>37209</v>
      </c>
      <c r="M9988" t="s">
        <v>40607</v>
      </c>
      <c r="N9988" t="s">
        <v>41249</v>
      </c>
      <c r="O9988" t="s">
        <v>41250</v>
      </c>
      <c r="P9988">
        <v>0</v>
      </c>
      <c r="Q9988">
        <v>4</v>
      </c>
      <c r="R9988" t="s">
        <v>41260</v>
      </c>
      <c r="S9988" t="s">
        <v>41624</v>
      </c>
      <c r="T9988" t="s">
        <v>42659</v>
      </c>
      <c r="U9988" t="s">
        <v>51255</v>
      </c>
      <c r="W9988" t="s">
        <v>40607</v>
      </c>
      <c r="X9988" t="s">
        <v>41261</v>
      </c>
    </row>
    <row r="9989" spans="1:24">
      <c r="A9989">
        <f>HYPERLINK("https://www.philgeps.gov.ph/GEPSNONPILOT/Tender/SplashBidNoticeAbstractUI.aspx?menuIndex=3&amp;refID=7060834&amp;Result=3","7060834")</f>
        <v>0</v>
      </c>
      <c r="B9989" t="s">
        <v>2875</v>
      </c>
      <c r="C9989" t="s">
        <v>12919</v>
      </c>
      <c r="D9989" t="s">
        <v>16643</v>
      </c>
      <c r="E9989" t="s">
        <v>25388</v>
      </c>
      <c r="F9989" t="s">
        <v>28670</v>
      </c>
      <c r="G9989" t="s">
        <v>28677</v>
      </c>
      <c r="H9989" t="s">
        <v>9998</v>
      </c>
      <c r="I9989" t="s">
        <v>6128</v>
      </c>
      <c r="J9989" t="s">
        <v>35007</v>
      </c>
      <c r="K9989" t="s">
        <v>37206</v>
      </c>
      <c r="M9989" t="s">
        <v>40620</v>
      </c>
      <c r="N9989" t="s">
        <v>41249</v>
      </c>
      <c r="O9989" t="s">
        <v>41250</v>
      </c>
      <c r="Q9989">
        <v>2</v>
      </c>
      <c r="R9989" t="s">
        <v>41260</v>
      </c>
      <c r="S9989" t="s">
        <v>41661</v>
      </c>
      <c r="T9989" t="s">
        <v>42764</v>
      </c>
      <c r="U9989" t="s">
        <v>51256</v>
      </c>
      <c r="W9989" t="s">
        <v>40620</v>
      </c>
      <c r="X9989" t="s">
        <v>41261</v>
      </c>
    </row>
    <row r="9990" spans="1:24">
      <c r="A9990">
        <f>HYPERLINK("https://www.philgeps.gov.ph/GEPSNONPILOT/Tender/SplashBidNoticeAbstractUI.aspx?menuIndex=3&amp;refID=7060887&amp;Result=3","7060887")</f>
        <v>0</v>
      </c>
      <c r="B9990" t="s">
        <v>1466</v>
      </c>
      <c r="C9990" t="s">
        <v>12920</v>
      </c>
      <c r="D9990" t="s">
        <v>16679</v>
      </c>
      <c r="E9990" t="s">
        <v>25389</v>
      </c>
      <c r="F9990" t="s">
        <v>28669</v>
      </c>
      <c r="G9990" t="s">
        <v>28675</v>
      </c>
      <c r="H9990" t="s">
        <v>28686</v>
      </c>
      <c r="I9990" t="s">
        <v>28689</v>
      </c>
      <c r="J9990" t="s">
        <v>30503</v>
      </c>
      <c r="K9990" t="s">
        <v>37220</v>
      </c>
      <c r="M9990" t="s">
        <v>39034</v>
      </c>
      <c r="N9990" t="s">
        <v>41249</v>
      </c>
      <c r="O9990" t="s">
        <v>41250</v>
      </c>
      <c r="P9990">
        <v>0</v>
      </c>
      <c r="Q9990">
        <v>7</v>
      </c>
      <c r="R9990" t="s">
        <v>41260</v>
      </c>
      <c r="S9990" t="s">
        <v>41624</v>
      </c>
      <c r="T9990" t="s">
        <v>42760</v>
      </c>
      <c r="U9990" t="s">
        <v>51257</v>
      </c>
      <c r="W9990" t="s">
        <v>55956</v>
      </c>
      <c r="X9990" t="s">
        <v>41261</v>
      </c>
    </row>
    <row r="9991" spans="1:24">
      <c r="A9991">
        <f>HYPERLINK("https://www.philgeps.gov.ph/GEPSNONPILOT/Tender/SplashBidNoticeAbstractUI.aspx?menuIndex=3&amp;refID=7060926&amp;Result=3","7060926")</f>
        <v>0</v>
      </c>
      <c r="B9991" t="s">
        <v>2876</v>
      </c>
      <c r="C9991" t="s">
        <v>12921</v>
      </c>
      <c r="D9991" t="s">
        <v>16671</v>
      </c>
      <c r="E9991" t="s">
        <v>25390</v>
      </c>
      <c r="F9991" t="s">
        <v>28669</v>
      </c>
      <c r="G9991" t="s">
        <v>28675</v>
      </c>
      <c r="H9991" t="s">
        <v>9998</v>
      </c>
      <c r="I9991" t="s">
        <v>7352</v>
      </c>
      <c r="J9991" t="s">
        <v>35008</v>
      </c>
      <c r="K9991" t="s">
        <v>37206</v>
      </c>
      <c r="M9991" t="s">
        <v>40621</v>
      </c>
      <c r="N9991" t="s">
        <v>41249</v>
      </c>
      <c r="O9991" t="s">
        <v>41250</v>
      </c>
      <c r="P9991">
        <v>0</v>
      </c>
      <c r="Q9991">
        <v>1</v>
      </c>
      <c r="R9991" t="s">
        <v>41260</v>
      </c>
      <c r="S9991" t="s">
        <v>41624</v>
      </c>
      <c r="T9991" t="s">
        <v>42671</v>
      </c>
      <c r="U9991" t="s">
        <v>51258</v>
      </c>
      <c r="W9991" t="s">
        <v>40621</v>
      </c>
      <c r="X9991" t="s">
        <v>41261</v>
      </c>
    </row>
    <row r="9992" spans="1:24">
      <c r="A9992">
        <f>HYPERLINK("https://www.philgeps.gov.ph/GEPSNONPILOT/Tender/SplashBidNoticeAbstractUI.aspx?menuIndex=3&amp;refID=7060924&amp;Result=3","7060924")</f>
        <v>0</v>
      </c>
      <c r="B9992" t="s">
        <v>1466</v>
      </c>
      <c r="C9992" t="s">
        <v>12922</v>
      </c>
      <c r="D9992" t="s">
        <v>16679</v>
      </c>
      <c r="E9992" t="s">
        <v>25391</v>
      </c>
      <c r="F9992" t="s">
        <v>28669</v>
      </c>
      <c r="G9992" t="s">
        <v>28675</v>
      </c>
      <c r="H9992" t="s">
        <v>28686</v>
      </c>
      <c r="I9992" t="s">
        <v>28689</v>
      </c>
      <c r="J9992" t="s">
        <v>30777</v>
      </c>
      <c r="K9992" t="s">
        <v>37220</v>
      </c>
      <c r="M9992" t="s">
        <v>39034</v>
      </c>
      <c r="N9992" t="s">
        <v>41249</v>
      </c>
      <c r="O9992" t="s">
        <v>41250</v>
      </c>
      <c r="P9992">
        <v>0</v>
      </c>
      <c r="Q9992">
        <v>6</v>
      </c>
      <c r="R9992" t="s">
        <v>41260</v>
      </c>
      <c r="S9992" t="s">
        <v>41624</v>
      </c>
      <c r="T9992" t="s">
        <v>42760</v>
      </c>
      <c r="U9992" t="s">
        <v>51257</v>
      </c>
      <c r="W9992" t="s">
        <v>55956</v>
      </c>
      <c r="X9992" t="s">
        <v>41261</v>
      </c>
    </row>
    <row r="9993" spans="1:24">
      <c r="A9993">
        <f>HYPERLINK("https://www.philgeps.gov.ph/GEPSNONPILOT/Tender/SplashBidNoticeAbstractUI.aspx?menuIndex=3&amp;refID=7060722&amp;Result=3","7060722")</f>
        <v>0</v>
      </c>
      <c r="B9993" t="s">
        <v>2872</v>
      </c>
      <c r="C9993" t="s">
        <v>12923</v>
      </c>
      <c r="D9993" t="s">
        <v>16627</v>
      </c>
      <c r="E9993" t="s">
        <v>25392</v>
      </c>
      <c r="F9993" t="s">
        <v>28669</v>
      </c>
      <c r="G9993" t="s">
        <v>28675</v>
      </c>
      <c r="H9993" t="s">
        <v>28686</v>
      </c>
      <c r="I9993" t="s">
        <v>28689</v>
      </c>
      <c r="J9993" t="s">
        <v>29059</v>
      </c>
      <c r="K9993" t="s">
        <v>37209</v>
      </c>
      <c r="M9993" t="s">
        <v>40616</v>
      </c>
      <c r="N9993" t="s">
        <v>41249</v>
      </c>
      <c r="O9993" t="s">
        <v>41250</v>
      </c>
      <c r="P9993">
        <v>0</v>
      </c>
      <c r="Q9993">
        <v>2</v>
      </c>
      <c r="R9993" t="s">
        <v>41260</v>
      </c>
      <c r="S9993" t="s">
        <v>41624</v>
      </c>
      <c r="T9993" t="s">
        <v>42668</v>
      </c>
      <c r="U9993" t="s">
        <v>51259</v>
      </c>
      <c r="W9993" t="s">
        <v>40616</v>
      </c>
      <c r="X9993" t="s">
        <v>41261</v>
      </c>
    </row>
    <row r="9994" spans="1:24">
      <c r="A9994">
        <f>HYPERLINK("https://www.philgeps.gov.ph/GEPSNONPILOT/Tender/SplashBidNoticeAbstractUI.aspx?menuIndex=3&amp;refID=7060918&amp;Result=3","7060918")</f>
        <v>0</v>
      </c>
      <c r="B9994" t="s">
        <v>1084</v>
      </c>
      <c r="C9994" t="s">
        <v>12924</v>
      </c>
      <c r="D9994" t="s">
        <v>16667</v>
      </c>
      <c r="E9994" t="s">
        <v>25393</v>
      </c>
      <c r="F9994" t="s">
        <v>28669</v>
      </c>
      <c r="G9994" t="s">
        <v>28675</v>
      </c>
      <c r="H9994" t="s">
        <v>9998</v>
      </c>
      <c r="I9994" t="s">
        <v>15140</v>
      </c>
      <c r="J9994" t="s">
        <v>35009</v>
      </c>
      <c r="K9994" t="s">
        <v>37220</v>
      </c>
      <c r="M9994" t="s">
        <v>38616</v>
      </c>
      <c r="N9994" t="s">
        <v>41249</v>
      </c>
      <c r="O9994" t="s">
        <v>41250</v>
      </c>
      <c r="P9994">
        <v>0</v>
      </c>
      <c r="Q9994">
        <v>0</v>
      </c>
      <c r="R9994" t="s">
        <v>41260</v>
      </c>
      <c r="S9994" t="s">
        <v>41624</v>
      </c>
      <c r="T9994" t="s">
        <v>42836</v>
      </c>
      <c r="U9994" t="s">
        <v>51260</v>
      </c>
      <c r="W9994" t="s">
        <v>38616</v>
      </c>
      <c r="X9994" t="s">
        <v>41261</v>
      </c>
    </row>
    <row r="9995" spans="1:24">
      <c r="A9995">
        <f>HYPERLINK("https://www.philgeps.gov.ph/GEPSNONPILOT/Tender/SplashBidNoticeAbstractUI.aspx?menuIndex=3&amp;refID=7060720&amp;Result=3","7060720")</f>
        <v>0</v>
      </c>
      <c r="B9995" t="s">
        <v>1961</v>
      </c>
      <c r="C9995" t="s">
        <v>12925</v>
      </c>
      <c r="D9995" t="s">
        <v>16608</v>
      </c>
      <c r="E9995" t="s">
        <v>25394</v>
      </c>
      <c r="F9995" t="s">
        <v>28669</v>
      </c>
      <c r="G9995" t="s">
        <v>28675</v>
      </c>
      <c r="H9995" t="s">
        <v>9998</v>
      </c>
      <c r="I9995" t="s">
        <v>28694</v>
      </c>
      <c r="J9995" t="s">
        <v>35010</v>
      </c>
      <c r="K9995" t="s">
        <v>37205</v>
      </c>
      <c r="M9995" t="s">
        <v>40602</v>
      </c>
      <c r="N9995" t="s">
        <v>41249</v>
      </c>
      <c r="O9995" t="s">
        <v>41250</v>
      </c>
      <c r="P9995">
        <v>0</v>
      </c>
      <c r="Q9995">
        <v>6</v>
      </c>
      <c r="R9995" t="s">
        <v>41260</v>
      </c>
      <c r="S9995" t="s">
        <v>41624</v>
      </c>
      <c r="T9995" t="s">
        <v>42721</v>
      </c>
      <c r="U9995" t="s">
        <v>51261</v>
      </c>
      <c r="W9995" t="s">
        <v>40602</v>
      </c>
      <c r="X9995" t="s">
        <v>41261</v>
      </c>
    </row>
    <row r="9996" spans="1:24">
      <c r="A9996">
        <f>HYPERLINK("https://www.philgeps.gov.ph/GEPSNONPILOT/Tender/SplashBidNoticeAbstractUI.aspx?menuIndex=3&amp;refID=7060914&amp;Result=3","7060914")</f>
        <v>0</v>
      </c>
      <c r="B9996" t="s">
        <v>2877</v>
      </c>
      <c r="C9996" t="s">
        <v>12926</v>
      </c>
      <c r="D9996" t="s">
        <v>16649</v>
      </c>
      <c r="E9996" t="s">
        <v>25395</v>
      </c>
      <c r="F9996" t="s">
        <v>28669</v>
      </c>
      <c r="G9996" t="s">
        <v>28675</v>
      </c>
      <c r="H9996" t="s">
        <v>9998</v>
      </c>
      <c r="I9996" t="s">
        <v>28732</v>
      </c>
      <c r="J9996" t="s">
        <v>35011</v>
      </c>
      <c r="K9996" t="s">
        <v>37206</v>
      </c>
      <c r="M9996" t="s">
        <v>40622</v>
      </c>
      <c r="N9996" t="s">
        <v>41249</v>
      </c>
      <c r="O9996" t="s">
        <v>41250</v>
      </c>
      <c r="Q9996">
        <v>2</v>
      </c>
      <c r="R9996" t="s">
        <v>41260</v>
      </c>
      <c r="S9996" t="s">
        <v>41662</v>
      </c>
      <c r="T9996" t="s">
        <v>42760</v>
      </c>
      <c r="U9996" t="s">
        <v>51262</v>
      </c>
      <c r="W9996" t="s">
        <v>40622</v>
      </c>
      <c r="X9996" t="s">
        <v>41261</v>
      </c>
    </row>
    <row r="9997" spans="1:24">
      <c r="A9997">
        <f>HYPERLINK("https://www.philgeps.gov.ph/GEPSNONPILOT/Tender/SplashBidNoticeAbstractUI.aspx?menuIndex=3&amp;refID=7060885&amp;Result=3","7060885")</f>
        <v>0</v>
      </c>
      <c r="B9997" t="s">
        <v>754</v>
      </c>
      <c r="C9997" t="s">
        <v>12927</v>
      </c>
      <c r="D9997" t="s">
        <v>16608</v>
      </c>
      <c r="E9997" t="s">
        <v>25396</v>
      </c>
      <c r="F9997" t="s">
        <v>28669</v>
      </c>
      <c r="G9997" t="s">
        <v>28678</v>
      </c>
      <c r="H9997" t="s">
        <v>9998</v>
      </c>
      <c r="I9997" t="s">
        <v>3718</v>
      </c>
      <c r="J9997" t="s">
        <v>35012</v>
      </c>
      <c r="K9997" t="s">
        <v>37204</v>
      </c>
      <c r="M9997" t="s">
        <v>38265</v>
      </c>
      <c r="N9997" t="s">
        <v>41249</v>
      </c>
      <c r="O9997" t="s">
        <v>41250</v>
      </c>
      <c r="Q9997">
        <v>4</v>
      </c>
      <c r="R9997" t="s">
        <v>41260</v>
      </c>
      <c r="S9997" t="s">
        <v>41663</v>
      </c>
      <c r="T9997" t="s">
        <v>42705</v>
      </c>
      <c r="U9997" t="s">
        <v>44657</v>
      </c>
      <c r="W9997" t="s">
        <v>38265</v>
      </c>
      <c r="X9997" t="s">
        <v>41261</v>
      </c>
    </row>
    <row r="9998" spans="1:24">
      <c r="A9998">
        <f>HYPERLINK("https://www.philgeps.gov.ph/GEPSNONPILOT/Tender/SplashBidNoticeAbstractUI.aspx?menuIndex=3&amp;refID=7060731&amp;Result=3","7060731")</f>
        <v>0</v>
      </c>
      <c r="B9998" t="s">
        <v>1084</v>
      </c>
      <c r="C9998" t="s">
        <v>12928</v>
      </c>
      <c r="D9998" t="s">
        <v>16667</v>
      </c>
      <c r="E9998" t="s">
        <v>25397</v>
      </c>
      <c r="F9998" t="s">
        <v>28669</v>
      </c>
      <c r="G9998" t="s">
        <v>28675</v>
      </c>
      <c r="H9998" t="s">
        <v>9998</v>
      </c>
      <c r="I9998" t="s">
        <v>15140</v>
      </c>
      <c r="J9998" t="s">
        <v>35013</v>
      </c>
      <c r="K9998" t="s">
        <v>37220</v>
      </c>
      <c r="M9998" t="s">
        <v>38616</v>
      </c>
      <c r="N9998" t="s">
        <v>41249</v>
      </c>
      <c r="O9998" t="s">
        <v>41250</v>
      </c>
      <c r="P9998">
        <v>0</v>
      </c>
      <c r="Q9998">
        <v>0</v>
      </c>
      <c r="R9998" t="s">
        <v>41260</v>
      </c>
      <c r="S9998" t="s">
        <v>41624</v>
      </c>
      <c r="T9998" t="s">
        <v>42836</v>
      </c>
      <c r="U9998" t="s">
        <v>51263</v>
      </c>
      <c r="W9998" t="s">
        <v>38616</v>
      </c>
      <c r="X9998" t="s">
        <v>41261</v>
      </c>
    </row>
    <row r="9999" spans="1:24">
      <c r="A9999">
        <f>HYPERLINK("https://www.philgeps.gov.ph/GEPSNONPILOT/Tender/SplashBidNoticeAbstractUI.aspx?menuIndex=3&amp;refID=7060641&amp;Result=3","7060641")</f>
        <v>0</v>
      </c>
      <c r="B9999" t="s">
        <v>1432</v>
      </c>
      <c r="C9999" t="s">
        <v>12929</v>
      </c>
      <c r="D9999" t="s">
        <v>16635</v>
      </c>
      <c r="E9999" t="s">
        <v>25377</v>
      </c>
      <c r="F9999" t="s">
        <v>28669</v>
      </c>
      <c r="G9999" t="s">
        <v>28675</v>
      </c>
      <c r="H9999" t="s">
        <v>9998</v>
      </c>
      <c r="I9999" t="s">
        <v>7352</v>
      </c>
      <c r="J9999" t="s">
        <v>35014</v>
      </c>
      <c r="K9999" t="s">
        <v>37209</v>
      </c>
      <c r="M9999" t="s">
        <v>38996</v>
      </c>
      <c r="N9999" t="s">
        <v>41249</v>
      </c>
      <c r="O9999" t="s">
        <v>41250</v>
      </c>
      <c r="P9999">
        <v>0</v>
      </c>
      <c r="Q9999">
        <v>0</v>
      </c>
      <c r="R9999" t="s">
        <v>41260</v>
      </c>
      <c r="S9999" t="s">
        <v>41624</v>
      </c>
      <c r="T9999" t="s">
        <v>43108</v>
      </c>
      <c r="U9999" t="s">
        <v>51183</v>
      </c>
      <c r="V9999" t="s">
        <v>55357</v>
      </c>
      <c r="W9999" t="s">
        <v>38996</v>
      </c>
      <c r="X9999" t="s">
        <v>41261</v>
      </c>
    </row>
    <row r="10000" spans="1:24">
      <c r="A10000">
        <f>HYPERLINK("https://www.philgeps.gov.ph/GEPSNONPILOT/Tender/SplashBidNoticeAbstractUI.aspx?menuIndex=3&amp;refID=7060873&amp;Result=3","7060873")</f>
        <v>0</v>
      </c>
      <c r="B10000" t="s">
        <v>2472</v>
      </c>
      <c r="C10000" t="s">
        <v>12930</v>
      </c>
      <c r="D10000" t="s">
        <v>16664</v>
      </c>
      <c r="E10000" t="s">
        <v>25398</v>
      </c>
      <c r="F10000" t="s">
        <v>28669</v>
      </c>
      <c r="G10000" t="s">
        <v>28675</v>
      </c>
      <c r="H10000" t="s">
        <v>9998</v>
      </c>
      <c r="I10000" t="s">
        <v>6128</v>
      </c>
      <c r="J10000" t="s">
        <v>35015</v>
      </c>
      <c r="K10000" t="s">
        <v>37206</v>
      </c>
      <c r="M10000" t="s">
        <v>40155</v>
      </c>
      <c r="N10000" t="s">
        <v>41249</v>
      </c>
      <c r="O10000" t="s">
        <v>41250</v>
      </c>
      <c r="P10000">
        <v>0</v>
      </c>
      <c r="Q10000">
        <v>2</v>
      </c>
      <c r="R10000" t="s">
        <v>41260</v>
      </c>
      <c r="S10000" t="s">
        <v>41624</v>
      </c>
      <c r="T10000" t="s">
        <v>42760</v>
      </c>
      <c r="U10000" t="s">
        <v>51264</v>
      </c>
      <c r="W10000" t="s">
        <v>40155</v>
      </c>
      <c r="X10000" t="s">
        <v>41261</v>
      </c>
    </row>
    <row r="10001" spans="1:24">
      <c r="A10001">
        <f>HYPERLINK("https://www.philgeps.gov.ph/GEPSNONPILOT/Tender/SplashBidNoticeAbstractUI.aspx?menuIndex=3&amp;refID=7060868&amp;Result=3","7060868")</f>
        <v>0</v>
      </c>
      <c r="B10001" t="s">
        <v>1432</v>
      </c>
      <c r="C10001" t="s">
        <v>12931</v>
      </c>
      <c r="D10001" t="s">
        <v>16635</v>
      </c>
      <c r="E10001" t="s">
        <v>25399</v>
      </c>
      <c r="F10001" t="s">
        <v>28669</v>
      </c>
      <c r="G10001" t="s">
        <v>28675</v>
      </c>
      <c r="H10001" t="s">
        <v>9998</v>
      </c>
      <c r="I10001" t="s">
        <v>7352</v>
      </c>
      <c r="J10001" t="s">
        <v>35016</v>
      </c>
      <c r="K10001" t="s">
        <v>37209</v>
      </c>
      <c r="M10001" t="s">
        <v>38996</v>
      </c>
      <c r="N10001" t="s">
        <v>41249</v>
      </c>
      <c r="O10001" t="s">
        <v>41250</v>
      </c>
      <c r="P10001">
        <v>0</v>
      </c>
      <c r="Q10001">
        <v>0</v>
      </c>
      <c r="R10001" t="s">
        <v>41260</v>
      </c>
      <c r="S10001" t="s">
        <v>41624</v>
      </c>
      <c r="T10001" t="s">
        <v>43108</v>
      </c>
      <c r="U10001" t="s">
        <v>51183</v>
      </c>
      <c r="V10001" t="s">
        <v>55358</v>
      </c>
      <c r="W10001" t="s">
        <v>38996</v>
      </c>
      <c r="X10001" t="s">
        <v>41261</v>
      </c>
    </row>
    <row r="10002" spans="1:24">
      <c r="A10002">
        <f>HYPERLINK("https://www.philgeps.gov.ph/GEPSNONPILOT/Tender/SplashBidNoticeAbstractUI.aspx?menuIndex=3&amp;refID=7060900&amp;Result=3","7060900")</f>
        <v>0</v>
      </c>
      <c r="B10002" t="s">
        <v>1124</v>
      </c>
      <c r="C10002" t="s">
        <v>12932</v>
      </c>
      <c r="E10002" t="s">
        <v>25400</v>
      </c>
      <c r="F10002" t="s">
        <v>28669</v>
      </c>
      <c r="G10002" t="s">
        <v>28675</v>
      </c>
      <c r="H10002" t="s">
        <v>9998</v>
      </c>
      <c r="I10002" t="s">
        <v>5286</v>
      </c>
      <c r="J10002" t="s">
        <v>35017</v>
      </c>
      <c r="K10002" t="s">
        <v>37209</v>
      </c>
      <c r="M10002" t="s">
        <v>40623</v>
      </c>
      <c r="N10002" t="s">
        <v>41249</v>
      </c>
      <c r="O10002" t="s">
        <v>41250</v>
      </c>
      <c r="P10002">
        <v>0</v>
      </c>
      <c r="Q10002">
        <v>3</v>
      </c>
      <c r="R10002" t="s">
        <v>41260</v>
      </c>
      <c r="S10002" t="s">
        <v>41624</v>
      </c>
      <c r="T10002" t="s">
        <v>42759</v>
      </c>
      <c r="U10002" t="s">
        <v>51265</v>
      </c>
      <c r="W10002" t="s">
        <v>40623</v>
      </c>
      <c r="X10002" t="s">
        <v>41261</v>
      </c>
    </row>
    <row r="10003" spans="1:24">
      <c r="A10003">
        <f>HYPERLINK("https://www.philgeps.gov.ph/GEPSNONPILOT/Tender/SplashBidNoticeAbstractUI.aspx?menuIndex=3&amp;refID=7060854&amp;Result=3","7060854")</f>
        <v>0</v>
      </c>
      <c r="B10003" t="s">
        <v>2144</v>
      </c>
      <c r="C10003" t="s">
        <v>9597</v>
      </c>
      <c r="D10003" t="s">
        <v>16686</v>
      </c>
      <c r="E10003" t="s">
        <v>25401</v>
      </c>
      <c r="F10003" t="s">
        <v>28669</v>
      </c>
      <c r="G10003" t="s">
        <v>28675</v>
      </c>
      <c r="H10003" t="s">
        <v>9998</v>
      </c>
      <c r="I10003" t="s">
        <v>28695</v>
      </c>
      <c r="J10003" t="s">
        <v>29570</v>
      </c>
      <c r="K10003" t="s">
        <v>37209</v>
      </c>
      <c r="M10003" t="s">
        <v>39789</v>
      </c>
      <c r="N10003" t="s">
        <v>41249</v>
      </c>
      <c r="O10003" t="s">
        <v>41250</v>
      </c>
      <c r="P10003">
        <v>0</v>
      </c>
      <c r="Q10003">
        <v>0</v>
      </c>
      <c r="R10003" t="s">
        <v>41260</v>
      </c>
      <c r="S10003" t="s">
        <v>41624</v>
      </c>
      <c r="T10003" t="s">
        <v>42767</v>
      </c>
      <c r="U10003" t="s">
        <v>48585</v>
      </c>
      <c r="W10003" t="s">
        <v>39789</v>
      </c>
      <c r="X10003" t="s">
        <v>41261</v>
      </c>
    </row>
    <row r="10004" spans="1:24">
      <c r="A10004">
        <f>HYPERLINK("https://www.philgeps.gov.ph/GEPSNONPILOT/Tender/SplashBidNoticeAbstractUI.aspx?menuIndex=3&amp;refID=7060828&amp;Result=3","7060828")</f>
        <v>0</v>
      </c>
      <c r="B10004" t="s">
        <v>1608</v>
      </c>
      <c r="C10004" t="s">
        <v>12933</v>
      </c>
      <c r="E10004" t="s">
        <v>25402</v>
      </c>
      <c r="F10004" t="s">
        <v>28669</v>
      </c>
      <c r="G10004" t="s">
        <v>28675</v>
      </c>
      <c r="H10004" t="s">
        <v>28686</v>
      </c>
      <c r="I10004" t="s">
        <v>28725</v>
      </c>
      <c r="J10004" t="s">
        <v>35018</v>
      </c>
      <c r="K10004" t="s">
        <v>37213</v>
      </c>
      <c r="M10004" t="s">
        <v>39192</v>
      </c>
      <c r="N10004" t="s">
        <v>41249</v>
      </c>
      <c r="O10004" t="s">
        <v>41250</v>
      </c>
      <c r="P10004">
        <v>0</v>
      </c>
      <c r="Q10004">
        <v>9</v>
      </c>
      <c r="R10004" t="s">
        <v>41260</v>
      </c>
      <c r="S10004" t="s">
        <v>41624</v>
      </c>
      <c r="T10004" t="s">
        <v>42739</v>
      </c>
      <c r="U10004" t="s">
        <v>51266</v>
      </c>
      <c r="W10004" t="s">
        <v>55962</v>
      </c>
      <c r="X10004" t="s">
        <v>41261</v>
      </c>
    </row>
    <row r="10005" spans="1:24">
      <c r="A10005">
        <f>HYPERLINK("https://www.philgeps.gov.ph/GEPSNONPILOT/Tender/SplashBidNoticeAbstractUI.aspx?menuIndex=3&amp;refID=7060846&amp;Result=3","7060846")</f>
        <v>0</v>
      </c>
      <c r="B10005" t="s">
        <v>516</v>
      </c>
      <c r="C10005" t="s">
        <v>12934</v>
      </c>
      <c r="D10005" t="s">
        <v>16625</v>
      </c>
      <c r="E10005" t="s">
        <v>25403</v>
      </c>
      <c r="F10005" t="s">
        <v>28669</v>
      </c>
      <c r="G10005" t="s">
        <v>28675</v>
      </c>
      <c r="H10005" t="s">
        <v>28686</v>
      </c>
      <c r="I10005" t="s">
        <v>28689</v>
      </c>
      <c r="J10005" t="s">
        <v>28851</v>
      </c>
      <c r="K10005" t="s">
        <v>37319</v>
      </c>
      <c r="M10005" t="s">
        <v>38006</v>
      </c>
      <c r="N10005" t="s">
        <v>41249</v>
      </c>
      <c r="O10005" t="s">
        <v>41250</v>
      </c>
      <c r="P10005">
        <v>0</v>
      </c>
      <c r="Q10005">
        <v>0</v>
      </c>
      <c r="R10005" t="s">
        <v>41260</v>
      </c>
      <c r="S10005" t="s">
        <v>41624</v>
      </c>
      <c r="T10005" t="s">
        <v>42767</v>
      </c>
      <c r="U10005" t="s">
        <v>51267</v>
      </c>
      <c r="W10005" t="s">
        <v>38006</v>
      </c>
      <c r="X10005" t="s">
        <v>41261</v>
      </c>
    </row>
    <row r="10006" spans="1:24">
      <c r="A10006">
        <f>HYPERLINK("https://www.philgeps.gov.ph/GEPSNONPILOT/Tender/SplashBidNoticeAbstractUI.aspx?menuIndex=3&amp;refID=7060845&amp;Result=3","7060845")</f>
        <v>0</v>
      </c>
      <c r="B10006" t="s">
        <v>621</v>
      </c>
      <c r="C10006" t="s">
        <v>12935</v>
      </c>
      <c r="D10006" t="s">
        <v>16649</v>
      </c>
      <c r="E10006" t="s">
        <v>25404</v>
      </c>
      <c r="F10006" t="s">
        <v>28669</v>
      </c>
      <c r="G10006" t="s">
        <v>28675</v>
      </c>
      <c r="H10006" t="s">
        <v>9998</v>
      </c>
      <c r="I10006" t="s">
        <v>28713</v>
      </c>
      <c r="J10006" t="s">
        <v>35019</v>
      </c>
      <c r="K10006" t="s">
        <v>37220</v>
      </c>
      <c r="M10006" t="s">
        <v>38121</v>
      </c>
      <c r="N10006" t="s">
        <v>41249</v>
      </c>
      <c r="O10006" t="s">
        <v>41250</v>
      </c>
      <c r="Q10006">
        <v>48</v>
      </c>
      <c r="R10006" t="s">
        <v>41260</v>
      </c>
      <c r="S10006" t="s">
        <v>41664</v>
      </c>
      <c r="T10006" t="s">
        <v>42760</v>
      </c>
      <c r="U10006" t="s">
        <v>51268</v>
      </c>
      <c r="V10006" t="s">
        <v>55359</v>
      </c>
      <c r="W10006" t="s">
        <v>38121</v>
      </c>
      <c r="X10006" t="s">
        <v>41261</v>
      </c>
    </row>
    <row r="10007" spans="1:24">
      <c r="A10007">
        <f>HYPERLINK("https://www.philgeps.gov.ph/GEPSNONPILOT/Tender/SplashBidNoticeAbstractUI.aspx?menuIndex=3&amp;refID=7060836&amp;Result=3","7060836")</f>
        <v>0</v>
      </c>
      <c r="B10007" t="s">
        <v>886</v>
      </c>
      <c r="C10007" t="s">
        <v>12936</v>
      </c>
      <c r="D10007" t="s">
        <v>16644</v>
      </c>
      <c r="E10007" t="s">
        <v>25405</v>
      </c>
      <c r="F10007" t="s">
        <v>28670</v>
      </c>
      <c r="G10007" t="s">
        <v>28682</v>
      </c>
      <c r="H10007" t="s">
        <v>28686</v>
      </c>
      <c r="I10007" t="s">
        <v>28689</v>
      </c>
      <c r="J10007" t="s">
        <v>35020</v>
      </c>
      <c r="K10007" t="s">
        <v>37333</v>
      </c>
      <c r="M10007" t="s">
        <v>38406</v>
      </c>
      <c r="N10007" t="s">
        <v>41249</v>
      </c>
      <c r="O10007" t="s">
        <v>41250</v>
      </c>
      <c r="P10007">
        <v>0</v>
      </c>
      <c r="Q10007">
        <v>2</v>
      </c>
      <c r="R10007" t="s">
        <v>41260</v>
      </c>
      <c r="S10007" t="s">
        <v>41624</v>
      </c>
      <c r="T10007" t="s">
        <v>42704</v>
      </c>
      <c r="U10007" t="s">
        <v>51269</v>
      </c>
      <c r="W10007" t="s">
        <v>38406</v>
      </c>
      <c r="X10007" t="s">
        <v>41261</v>
      </c>
    </row>
    <row r="10008" spans="1:24">
      <c r="A10008">
        <f>HYPERLINK("https://www.philgeps.gov.ph/GEPSNONPILOT/Tender/SplashBidNoticeAbstractUI.aspx?menuIndex=3&amp;refID=7061015&amp;Result=3","7061015")</f>
        <v>0</v>
      </c>
      <c r="B10008" t="s">
        <v>2878</v>
      </c>
      <c r="C10008" t="s">
        <v>12937</v>
      </c>
      <c r="D10008" t="s">
        <v>16673</v>
      </c>
      <c r="E10008" t="s">
        <v>25406</v>
      </c>
      <c r="F10008" t="s">
        <v>28672</v>
      </c>
      <c r="G10008" t="s">
        <v>28675</v>
      </c>
      <c r="H10008" t="s">
        <v>28686</v>
      </c>
      <c r="I10008" t="s">
        <v>28689</v>
      </c>
      <c r="J10008" t="s">
        <v>35021</v>
      </c>
      <c r="K10008" t="s">
        <v>37210</v>
      </c>
      <c r="M10008" t="s">
        <v>40624</v>
      </c>
      <c r="N10008" t="s">
        <v>41249</v>
      </c>
      <c r="O10008" t="s">
        <v>41250</v>
      </c>
      <c r="P10008">
        <v>0</v>
      </c>
      <c r="Q10008">
        <v>1</v>
      </c>
      <c r="R10008" t="s">
        <v>41260</v>
      </c>
      <c r="S10008" t="s">
        <v>41624</v>
      </c>
      <c r="T10008" t="s">
        <v>42770</v>
      </c>
      <c r="U10008" t="s">
        <v>51270</v>
      </c>
      <c r="W10008" t="s">
        <v>40624</v>
      </c>
      <c r="X10008" t="s">
        <v>41261</v>
      </c>
    </row>
    <row r="10009" spans="1:24">
      <c r="A10009">
        <f>HYPERLINK("https://www.philgeps.gov.ph/GEPSNONPILOT/Tender/SplashBidNoticeAbstractUI.aspx?menuIndex=3&amp;refID=7061014&amp;Result=3","7061014")</f>
        <v>0</v>
      </c>
      <c r="B10009" t="s">
        <v>2879</v>
      </c>
      <c r="C10009" t="s">
        <v>12938</v>
      </c>
      <c r="D10009" t="s">
        <v>16678</v>
      </c>
      <c r="E10009" t="s">
        <v>25407</v>
      </c>
      <c r="F10009" t="s">
        <v>28669</v>
      </c>
      <c r="G10009" t="s">
        <v>28675</v>
      </c>
      <c r="H10009" t="s">
        <v>9998</v>
      </c>
      <c r="I10009" t="s">
        <v>11593</v>
      </c>
      <c r="J10009" t="s">
        <v>35022</v>
      </c>
      <c r="K10009" t="s">
        <v>37220</v>
      </c>
      <c r="M10009" t="s">
        <v>40625</v>
      </c>
      <c r="N10009" t="s">
        <v>41249</v>
      </c>
      <c r="O10009" t="s">
        <v>41250</v>
      </c>
      <c r="P10009">
        <v>0</v>
      </c>
      <c r="Q10009">
        <v>10</v>
      </c>
      <c r="R10009" t="s">
        <v>41260</v>
      </c>
      <c r="S10009" t="s">
        <v>41624</v>
      </c>
      <c r="T10009" t="s">
        <v>42712</v>
      </c>
      <c r="U10009" t="s">
        <v>51271</v>
      </c>
      <c r="V10009" t="s">
        <v>55360</v>
      </c>
      <c r="W10009" t="s">
        <v>40625</v>
      </c>
      <c r="X10009" t="s">
        <v>41261</v>
      </c>
    </row>
    <row r="10010" spans="1:24">
      <c r="A10010">
        <f>HYPERLINK("https://www.philgeps.gov.ph/GEPSNONPILOT/Tender/SplashBidNoticeAbstractUI.aspx?menuIndex=3&amp;refID=7060880&amp;Result=3","7060880")</f>
        <v>0</v>
      </c>
      <c r="B10010" t="s">
        <v>260</v>
      </c>
      <c r="C10010" t="s">
        <v>12939</v>
      </c>
      <c r="D10010" t="s">
        <v>16646</v>
      </c>
      <c r="E10010" t="s">
        <v>25408</v>
      </c>
      <c r="F10010" t="s">
        <v>28669</v>
      </c>
      <c r="G10010" t="s">
        <v>28675</v>
      </c>
      <c r="H10010" t="s">
        <v>28686</v>
      </c>
      <c r="I10010" t="s">
        <v>28689</v>
      </c>
      <c r="J10010" t="s">
        <v>35023</v>
      </c>
      <c r="K10010" t="s">
        <v>37213</v>
      </c>
      <c r="M10010" t="s">
        <v>37738</v>
      </c>
      <c r="N10010" t="s">
        <v>41249</v>
      </c>
      <c r="O10010" t="s">
        <v>41250</v>
      </c>
      <c r="Q10010">
        <v>0</v>
      </c>
      <c r="R10010" t="s">
        <v>41260</v>
      </c>
      <c r="S10010" t="s">
        <v>41665</v>
      </c>
      <c r="T10010" t="s">
        <v>42783</v>
      </c>
      <c r="U10010" t="s">
        <v>51272</v>
      </c>
      <c r="W10010" t="s">
        <v>37738</v>
      </c>
      <c r="X10010" t="s">
        <v>41261</v>
      </c>
    </row>
    <row r="10011" spans="1:24">
      <c r="A10011">
        <f>HYPERLINK("https://www.philgeps.gov.ph/GEPSNONPILOT/Tender/SplashBidNoticeAbstractUI.aspx?menuIndex=3&amp;refID=7060879&amp;Result=3","7060879")</f>
        <v>0</v>
      </c>
      <c r="B10011" t="s">
        <v>2393</v>
      </c>
      <c r="C10011" t="s">
        <v>12940</v>
      </c>
      <c r="D10011" t="s">
        <v>16643</v>
      </c>
      <c r="E10011" t="s">
        <v>25409</v>
      </c>
      <c r="F10011" t="s">
        <v>28669</v>
      </c>
      <c r="G10011" t="s">
        <v>28675</v>
      </c>
      <c r="H10011" t="s">
        <v>9998</v>
      </c>
      <c r="I10011" t="s">
        <v>7352</v>
      </c>
      <c r="J10011" t="s">
        <v>35024</v>
      </c>
      <c r="K10011" t="s">
        <v>37209</v>
      </c>
      <c r="M10011" t="s">
        <v>40626</v>
      </c>
      <c r="N10011" t="s">
        <v>41249</v>
      </c>
      <c r="O10011" t="s">
        <v>41250</v>
      </c>
      <c r="P10011">
        <v>0</v>
      </c>
      <c r="Q10011">
        <v>0</v>
      </c>
      <c r="R10011" t="s">
        <v>41260</v>
      </c>
      <c r="S10011" t="s">
        <v>41624</v>
      </c>
      <c r="T10011" t="s">
        <v>42658</v>
      </c>
      <c r="U10011" t="s">
        <v>51273</v>
      </c>
      <c r="W10011" t="s">
        <v>40626</v>
      </c>
      <c r="X10011" t="s">
        <v>41261</v>
      </c>
    </row>
    <row r="10012" spans="1:24">
      <c r="A10012">
        <f>HYPERLINK("https://www.philgeps.gov.ph/GEPSNONPILOT/Tender/SplashBidNoticeAbstractUI.aspx?menuIndex=3&amp;refID=7061013&amp;Result=3","7061013")</f>
        <v>0</v>
      </c>
      <c r="B10012" t="s">
        <v>2880</v>
      </c>
      <c r="C10012" t="s">
        <v>12941</v>
      </c>
      <c r="D10012" t="s">
        <v>16608</v>
      </c>
      <c r="E10012" t="s">
        <v>25410</v>
      </c>
      <c r="F10012" t="s">
        <v>28669</v>
      </c>
      <c r="G10012" t="s">
        <v>28675</v>
      </c>
      <c r="H10012" t="s">
        <v>9998</v>
      </c>
      <c r="I10012" t="s">
        <v>28810</v>
      </c>
      <c r="J10012" t="s">
        <v>29134</v>
      </c>
      <c r="K10012" t="s">
        <v>37216</v>
      </c>
      <c r="M10012" t="s">
        <v>40627</v>
      </c>
      <c r="N10012" t="s">
        <v>41249</v>
      </c>
      <c r="O10012" t="s">
        <v>41250</v>
      </c>
      <c r="P10012">
        <v>0</v>
      </c>
      <c r="Q10012">
        <v>10</v>
      </c>
      <c r="R10012" t="s">
        <v>41260</v>
      </c>
      <c r="S10012" t="s">
        <v>41624</v>
      </c>
      <c r="T10012" t="s">
        <v>42700</v>
      </c>
      <c r="U10012" t="s">
        <v>51274</v>
      </c>
      <c r="W10012" t="s">
        <v>40627</v>
      </c>
      <c r="X10012" t="s">
        <v>41261</v>
      </c>
    </row>
    <row r="10013" spans="1:24">
      <c r="A10013">
        <f>HYPERLINK("https://www.philgeps.gov.ph/GEPSNONPILOT/Tender/SplashBidNoticeAbstractUI.aspx?menuIndex=3&amp;refID=7061011&amp;Result=3","7061011")</f>
        <v>0</v>
      </c>
      <c r="B10013" t="s">
        <v>2881</v>
      </c>
      <c r="C10013" t="s">
        <v>12942</v>
      </c>
      <c r="D10013" t="s">
        <v>16615</v>
      </c>
      <c r="E10013" t="s">
        <v>25411</v>
      </c>
      <c r="F10013" t="s">
        <v>28669</v>
      </c>
      <c r="G10013" t="s">
        <v>28675</v>
      </c>
      <c r="H10013" t="s">
        <v>28685</v>
      </c>
      <c r="I10013" t="s">
        <v>28685</v>
      </c>
      <c r="J10013" t="s">
        <v>28924</v>
      </c>
      <c r="K10013" t="s">
        <v>37288</v>
      </c>
      <c r="M10013" t="s">
        <v>40628</v>
      </c>
      <c r="N10013" t="s">
        <v>41249</v>
      </c>
      <c r="O10013" t="s">
        <v>41250</v>
      </c>
      <c r="P10013">
        <v>0</v>
      </c>
      <c r="Q10013">
        <v>5</v>
      </c>
      <c r="R10013" t="s">
        <v>41260</v>
      </c>
      <c r="S10013" t="s">
        <v>41624</v>
      </c>
      <c r="T10013" t="s">
        <v>43110</v>
      </c>
      <c r="U10013" t="s">
        <v>51275</v>
      </c>
      <c r="W10013" t="s">
        <v>40628</v>
      </c>
      <c r="X10013" t="s">
        <v>41261</v>
      </c>
    </row>
    <row r="10014" spans="1:24">
      <c r="A10014">
        <f>HYPERLINK("https://www.philgeps.gov.ph/GEPSNONPILOT/Tender/SplashBidNoticeAbstractUI.aspx?menuIndex=3&amp;refID=7061002&amp;Result=3","7061002")</f>
        <v>0</v>
      </c>
      <c r="B10014" t="s">
        <v>2882</v>
      </c>
      <c r="C10014" t="s">
        <v>12943</v>
      </c>
      <c r="D10014" t="s">
        <v>16608</v>
      </c>
      <c r="E10014" t="s">
        <v>16820</v>
      </c>
      <c r="F10014" t="s">
        <v>28669</v>
      </c>
      <c r="G10014" t="s">
        <v>28675</v>
      </c>
      <c r="H10014" t="s">
        <v>9998</v>
      </c>
      <c r="I10014" t="s">
        <v>28688</v>
      </c>
      <c r="J10014" t="s">
        <v>30026</v>
      </c>
      <c r="K10014" t="s">
        <v>37205</v>
      </c>
      <c r="M10014" t="s">
        <v>40629</v>
      </c>
      <c r="N10014" t="s">
        <v>41249</v>
      </c>
      <c r="O10014" t="s">
        <v>41250</v>
      </c>
      <c r="P10014">
        <v>0</v>
      </c>
      <c r="Q10014">
        <v>2</v>
      </c>
      <c r="R10014" t="s">
        <v>41260</v>
      </c>
      <c r="S10014" t="s">
        <v>41624</v>
      </c>
      <c r="T10014" t="s">
        <v>42694</v>
      </c>
      <c r="U10014" t="s">
        <v>51276</v>
      </c>
      <c r="W10014" t="s">
        <v>40629</v>
      </c>
      <c r="X10014" t="s">
        <v>41261</v>
      </c>
    </row>
    <row r="10015" spans="1:24">
      <c r="A10015">
        <f>HYPERLINK("https://www.philgeps.gov.ph/GEPSNONPILOT/Tender/SplashBidNoticeAbstractUI.aspx?menuIndex=3&amp;refID=7061000&amp;Result=3","7061000")</f>
        <v>0</v>
      </c>
      <c r="B10015" t="s">
        <v>1084</v>
      </c>
      <c r="C10015" t="s">
        <v>12944</v>
      </c>
      <c r="D10015" t="s">
        <v>16667</v>
      </c>
      <c r="E10015" t="s">
        <v>25412</v>
      </c>
      <c r="F10015" t="s">
        <v>28669</v>
      </c>
      <c r="G10015" t="s">
        <v>28675</v>
      </c>
      <c r="H10015" t="s">
        <v>9998</v>
      </c>
      <c r="I10015" t="s">
        <v>5286</v>
      </c>
      <c r="J10015" t="s">
        <v>35025</v>
      </c>
      <c r="K10015" t="s">
        <v>37220</v>
      </c>
      <c r="M10015" t="s">
        <v>38616</v>
      </c>
      <c r="N10015" t="s">
        <v>41249</v>
      </c>
      <c r="O10015" t="s">
        <v>41250</v>
      </c>
      <c r="P10015">
        <v>0</v>
      </c>
      <c r="Q10015">
        <v>0</v>
      </c>
      <c r="R10015" t="s">
        <v>41260</v>
      </c>
      <c r="S10015" t="s">
        <v>41624</v>
      </c>
      <c r="T10015" t="s">
        <v>42836</v>
      </c>
      <c r="U10015" t="s">
        <v>51277</v>
      </c>
      <c r="W10015" t="s">
        <v>38616</v>
      </c>
      <c r="X10015" t="s">
        <v>41261</v>
      </c>
    </row>
    <row r="10016" spans="1:24">
      <c r="A10016">
        <f>HYPERLINK("https://www.philgeps.gov.ph/GEPSNONPILOT/Tender/SplashBidNoticeAbstractUI.aspx?menuIndex=3&amp;refID=7060986&amp;Result=3","7060986")</f>
        <v>0</v>
      </c>
      <c r="B10016" t="s">
        <v>1466</v>
      </c>
      <c r="C10016" t="s">
        <v>12945</v>
      </c>
      <c r="D10016" t="s">
        <v>16679</v>
      </c>
      <c r="E10016" t="s">
        <v>25413</v>
      </c>
      <c r="F10016" t="s">
        <v>28669</v>
      </c>
      <c r="G10016" t="s">
        <v>28675</v>
      </c>
      <c r="H10016" t="s">
        <v>28686</v>
      </c>
      <c r="I10016" t="s">
        <v>28689</v>
      </c>
      <c r="J10016" t="s">
        <v>30289</v>
      </c>
      <c r="K10016" t="s">
        <v>37215</v>
      </c>
      <c r="M10016" t="s">
        <v>39034</v>
      </c>
      <c r="N10016" t="s">
        <v>41249</v>
      </c>
      <c r="O10016" t="s">
        <v>41250</v>
      </c>
      <c r="P10016">
        <v>0</v>
      </c>
      <c r="Q10016">
        <v>7</v>
      </c>
      <c r="R10016" t="s">
        <v>41260</v>
      </c>
      <c r="S10016" t="s">
        <v>41624</v>
      </c>
      <c r="T10016" t="s">
        <v>42760</v>
      </c>
      <c r="U10016" t="s">
        <v>51257</v>
      </c>
      <c r="W10016" t="s">
        <v>55956</v>
      </c>
      <c r="X10016" t="s">
        <v>41261</v>
      </c>
    </row>
    <row r="10017" spans="1:24">
      <c r="A10017">
        <f>HYPERLINK("https://www.philgeps.gov.ph/GEPSNONPILOT/Tender/SplashBidNoticeAbstractUI.aspx?menuIndex=3&amp;refID=7060983&amp;Result=3","7060983")</f>
        <v>0</v>
      </c>
      <c r="B10017" t="s">
        <v>382</v>
      </c>
      <c r="C10017" t="s">
        <v>12946</v>
      </c>
      <c r="D10017" t="s">
        <v>16664</v>
      </c>
      <c r="E10017" t="s">
        <v>25414</v>
      </c>
      <c r="F10017" t="s">
        <v>28669</v>
      </c>
      <c r="G10017" t="s">
        <v>28679</v>
      </c>
      <c r="H10017" t="s">
        <v>9998</v>
      </c>
      <c r="I10017" t="s">
        <v>7352</v>
      </c>
      <c r="J10017" t="s">
        <v>35026</v>
      </c>
      <c r="K10017" t="s">
        <v>37209</v>
      </c>
      <c r="M10017" t="s">
        <v>37864</v>
      </c>
      <c r="N10017" t="s">
        <v>41249</v>
      </c>
      <c r="O10017" t="s">
        <v>41250</v>
      </c>
      <c r="P10017">
        <v>0</v>
      </c>
      <c r="Q10017">
        <v>0</v>
      </c>
      <c r="R10017" t="s">
        <v>41260</v>
      </c>
      <c r="S10017" t="s">
        <v>41624</v>
      </c>
      <c r="T10017" t="s">
        <v>42673</v>
      </c>
      <c r="U10017" t="s">
        <v>51278</v>
      </c>
      <c r="W10017" t="s">
        <v>37864</v>
      </c>
      <c r="X10017" t="s">
        <v>41261</v>
      </c>
    </row>
    <row r="10018" spans="1:24">
      <c r="A10018">
        <f>HYPERLINK("https://www.philgeps.gov.ph/GEPSNONPILOT/Tender/SplashBidNoticeAbstractUI.aspx?menuIndex=3&amp;refID=7060860&amp;Result=3","7060860")</f>
        <v>0</v>
      </c>
      <c r="B10018" t="s">
        <v>2883</v>
      </c>
      <c r="C10018" t="s">
        <v>12947</v>
      </c>
      <c r="D10018" t="s">
        <v>16670</v>
      </c>
      <c r="E10018" t="s">
        <v>25415</v>
      </c>
      <c r="F10018" t="s">
        <v>28669</v>
      </c>
      <c r="G10018" t="s">
        <v>28675</v>
      </c>
      <c r="H10018" t="s">
        <v>9998</v>
      </c>
      <c r="I10018" t="s">
        <v>28704</v>
      </c>
      <c r="J10018" t="s">
        <v>35027</v>
      </c>
      <c r="K10018" t="s">
        <v>37206</v>
      </c>
      <c r="M10018" t="s">
        <v>40630</v>
      </c>
      <c r="N10018" t="s">
        <v>41249</v>
      </c>
      <c r="O10018" t="s">
        <v>41250</v>
      </c>
      <c r="P10018">
        <v>0</v>
      </c>
      <c r="Q10018">
        <v>1</v>
      </c>
      <c r="R10018" t="s">
        <v>41260</v>
      </c>
      <c r="S10018" t="s">
        <v>41624</v>
      </c>
      <c r="T10018" t="s">
        <v>42764</v>
      </c>
      <c r="U10018" t="s">
        <v>51279</v>
      </c>
      <c r="W10018" t="s">
        <v>40630</v>
      </c>
      <c r="X10018" t="s">
        <v>41261</v>
      </c>
    </row>
    <row r="10019" spans="1:24">
      <c r="A10019">
        <f>HYPERLINK("https://www.philgeps.gov.ph/GEPSNONPILOT/Tender/SplashBidNoticeAbstractUI.aspx?menuIndex=3&amp;refID=7060981&amp;Result=3","7060981")</f>
        <v>0</v>
      </c>
      <c r="B10019" t="s">
        <v>2883</v>
      </c>
      <c r="C10019" t="s">
        <v>12948</v>
      </c>
      <c r="D10019" t="s">
        <v>16670</v>
      </c>
      <c r="E10019" t="s">
        <v>25416</v>
      </c>
      <c r="F10019" t="s">
        <v>28669</v>
      </c>
      <c r="G10019" t="s">
        <v>28675</v>
      </c>
      <c r="H10019" t="s">
        <v>9998</v>
      </c>
      <c r="I10019" t="s">
        <v>28704</v>
      </c>
      <c r="J10019" t="s">
        <v>35028</v>
      </c>
      <c r="K10019" t="s">
        <v>37206</v>
      </c>
      <c r="M10019" t="s">
        <v>40630</v>
      </c>
      <c r="N10019" t="s">
        <v>41249</v>
      </c>
      <c r="O10019" t="s">
        <v>41250</v>
      </c>
      <c r="P10019">
        <v>0</v>
      </c>
      <c r="Q10019">
        <v>3</v>
      </c>
      <c r="R10019" t="s">
        <v>41260</v>
      </c>
      <c r="S10019" t="s">
        <v>41624</v>
      </c>
      <c r="T10019" t="s">
        <v>42764</v>
      </c>
      <c r="U10019" t="s">
        <v>51280</v>
      </c>
      <c r="W10019" t="s">
        <v>40630</v>
      </c>
      <c r="X10019" t="s">
        <v>41261</v>
      </c>
    </row>
    <row r="10020" spans="1:24">
      <c r="A10020">
        <f>HYPERLINK("https://www.philgeps.gov.ph/GEPSNONPILOT/Tender/SplashBidNoticeAbstractUI.aspx?menuIndex=3&amp;refID=7060968&amp;Result=3","7060968")</f>
        <v>0</v>
      </c>
      <c r="B10020" t="s">
        <v>1466</v>
      </c>
      <c r="C10020" t="s">
        <v>12949</v>
      </c>
      <c r="D10020" t="s">
        <v>16679</v>
      </c>
      <c r="E10020" t="s">
        <v>25417</v>
      </c>
      <c r="F10020" t="s">
        <v>28669</v>
      </c>
      <c r="G10020" t="s">
        <v>28675</v>
      </c>
      <c r="H10020" t="s">
        <v>28686</v>
      </c>
      <c r="I10020" t="s">
        <v>28689</v>
      </c>
      <c r="J10020" t="s">
        <v>30777</v>
      </c>
      <c r="K10020" t="s">
        <v>37213</v>
      </c>
      <c r="M10020" t="s">
        <v>39034</v>
      </c>
      <c r="N10020" t="s">
        <v>41249</v>
      </c>
      <c r="O10020" t="s">
        <v>41250</v>
      </c>
      <c r="P10020">
        <v>0</v>
      </c>
      <c r="Q10020">
        <v>6</v>
      </c>
      <c r="R10020" t="s">
        <v>41260</v>
      </c>
      <c r="S10020" t="s">
        <v>41624</v>
      </c>
      <c r="T10020" t="s">
        <v>42760</v>
      </c>
      <c r="U10020" t="s">
        <v>51257</v>
      </c>
      <c r="W10020" t="s">
        <v>55956</v>
      </c>
      <c r="X10020" t="s">
        <v>41261</v>
      </c>
    </row>
    <row r="10021" spans="1:24">
      <c r="A10021">
        <f>HYPERLINK("https://www.philgeps.gov.ph/GEPSNONPILOT/Tender/SplashBidNoticeAbstractUI.aspx?menuIndex=3&amp;refID=7060966&amp;Result=3","7060966")</f>
        <v>0</v>
      </c>
      <c r="B10021" t="s">
        <v>2579</v>
      </c>
      <c r="C10021" t="s">
        <v>12950</v>
      </c>
      <c r="D10021" t="s">
        <v>16640</v>
      </c>
      <c r="E10021" t="s">
        <v>25418</v>
      </c>
      <c r="F10021" t="s">
        <v>28669</v>
      </c>
      <c r="G10021" t="s">
        <v>28677</v>
      </c>
      <c r="H10021" t="s">
        <v>9998</v>
      </c>
      <c r="I10021" t="s">
        <v>5033</v>
      </c>
      <c r="J10021" t="s">
        <v>35029</v>
      </c>
      <c r="K10021" t="s">
        <v>37210</v>
      </c>
      <c r="M10021" t="s">
        <v>40273</v>
      </c>
      <c r="N10021" t="s">
        <v>41249</v>
      </c>
      <c r="O10021" t="s">
        <v>41250</v>
      </c>
      <c r="P10021">
        <v>0</v>
      </c>
      <c r="Q10021">
        <v>6</v>
      </c>
      <c r="R10021" t="s">
        <v>41260</v>
      </c>
      <c r="S10021" t="s">
        <v>41624</v>
      </c>
      <c r="T10021" t="s">
        <v>42703</v>
      </c>
      <c r="U10021" t="s">
        <v>51281</v>
      </c>
      <c r="W10021" t="s">
        <v>40273</v>
      </c>
      <c r="X10021" t="s">
        <v>41261</v>
      </c>
    </row>
    <row r="10022" spans="1:24">
      <c r="A10022">
        <f>HYPERLINK("https://www.philgeps.gov.ph/GEPSNONPILOT/Tender/SplashBidNoticeAbstractUI.aspx?menuIndex=3&amp;refID=7060960&amp;Result=3","7060960")</f>
        <v>0</v>
      </c>
      <c r="B10022" t="s">
        <v>2144</v>
      </c>
      <c r="C10022" t="s">
        <v>12951</v>
      </c>
      <c r="D10022" t="s">
        <v>16686</v>
      </c>
      <c r="E10022" t="s">
        <v>25419</v>
      </c>
      <c r="F10022" t="s">
        <v>28669</v>
      </c>
      <c r="G10022" t="s">
        <v>28675</v>
      </c>
      <c r="H10022" t="s">
        <v>9998</v>
      </c>
      <c r="I10022" t="s">
        <v>7352</v>
      </c>
      <c r="J10022" t="s">
        <v>35030</v>
      </c>
      <c r="K10022" t="s">
        <v>37209</v>
      </c>
      <c r="M10022" t="s">
        <v>39789</v>
      </c>
      <c r="N10022" t="s">
        <v>41249</v>
      </c>
      <c r="O10022" t="s">
        <v>41250</v>
      </c>
      <c r="P10022">
        <v>0</v>
      </c>
      <c r="Q10022">
        <v>0</v>
      </c>
      <c r="R10022" t="s">
        <v>41260</v>
      </c>
      <c r="S10022" t="s">
        <v>41624</v>
      </c>
      <c r="T10022" t="s">
        <v>42767</v>
      </c>
      <c r="U10022" t="s">
        <v>51282</v>
      </c>
      <c r="W10022" t="s">
        <v>39789</v>
      </c>
      <c r="X10022" t="s">
        <v>41261</v>
      </c>
    </row>
    <row r="10023" spans="1:24">
      <c r="A10023">
        <f>HYPERLINK("https://www.philgeps.gov.ph/GEPSNONPILOT/Tender/SplashBidNoticeAbstractUI.aspx?menuIndex=3&amp;refID=7060959&amp;Result=3","7060959")</f>
        <v>0</v>
      </c>
      <c r="B10023" t="s">
        <v>1084</v>
      </c>
      <c r="C10023" t="s">
        <v>12952</v>
      </c>
      <c r="D10023" t="s">
        <v>16667</v>
      </c>
      <c r="E10023" t="s">
        <v>25420</v>
      </c>
      <c r="F10023" t="s">
        <v>28669</v>
      </c>
      <c r="G10023" t="s">
        <v>28675</v>
      </c>
      <c r="H10023" t="s">
        <v>9998</v>
      </c>
      <c r="I10023" t="s">
        <v>5286</v>
      </c>
      <c r="J10023" t="s">
        <v>35031</v>
      </c>
      <c r="K10023" t="s">
        <v>37220</v>
      </c>
      <c r="M10023" t="s">
        <v>38616</v>
      </c>
      <c r="N10023" t="s">
        <v>41249</v>
      </c>
      <c r="O10023" t="s">
        <v>41250</v>
      </c>
      <c r="P10023">
        <v>0</v>
      </c>
      <c r="Q10023">
        <v>0</v>
      </c>
      <c r="R10023" t="s">
        <v>41260</v>
      </c>
      <c r="S10023" t="s">
        <v>41624</v>
      </c>
      <c r="T10023" t="s">
        <v>42836</v>
      </c>
      <c r="U10023" t="s">
        <v>51283</v>
      </c>
      <c r="W10023" t="s">
        <v>38616</v>
      </c>
      <c r="X10023" t="s">
        <v>41261</v>
      </c>
    </row>
    <row r="10024" spans="1:24">
      <c r="A10024">
        <f>HYPERLINK("https://www.philgeps.gov.ph/GEPSNONPILOT/Tender/SplashBidNoticeAbstractUI.aspx?menuIndex=3&amp;refID=7060951&amp;Result=3","7060951")</f>
        <v>0</v>
      </c>
      <c r="B10024" t="s">
        <v>1466</v>
      </c>
      <c r="C10024" t="s">
        <v>12953</v>
      </c>
      <c r="D10024" t="s">
        <v>16679</v>
      </c>
      <c r="E10024" t="s">
        <v>25421</v>
      </c>
      <c r="F10024" t="s">
        <v>28669</v>
      </c>
      <c r="G10024" t="s">
        <v>28675</v>
      </c>
      <c r="H10024" t="s">
        <v>28686</v>
      </c>
      <c r="I10024" t="s">
        <v>28689</v>
      </c>
      <c r="J10024" t="s">
        <v>30503</v>
      </c>
      <c r="K10024" t="s">
        <v>37213</v>
      </c>
      <c r="M10024" t="s">
        <v>39034</v>
      </c>
      <c r="N10024" t="s">
        <v>41249</v>
      </c>
      <c r="O10024" t="s">
        <v>41250</v>
      </c>
      <c r="P10024">
        <v>0</v>
      </c>
      <c r="Q10024">
        <v>7</v>
      </c>
      <c r="R10024" t="s">
        <v>41260</v>
      </c>
      <c r="S10024" t="s">
        <v>41624</v>
      </c>
      <c r="T10024" t="s">
        <v>42760</v>
      </c>
      <c r="U10024" t="s">
        <v>51257</v>
      </c>
      <c r="W10024" t="s">
        <v>55956</v>
      </c>
      <c r="X10024" t="s">
        <v>41261</v>
      </c>
    </row>
    <row r="10025" spans="1:24">
      <c r="A10025">
        <f>HYPERLINK("https://www.philgeps.gov.ph/GEPSNONPILOT/Tender/SplashBidNoticeAbstractUI.aspx?menuIndex=3&amp;refID=7060942&amp;Result=3","7060942")</f>
        <v>0</v>
      </c>
      <c r="B10025" t="s">
        <v>1762</v>
      </c>
      <c r="C10025" t="s">
        <v>12954</v>
      </c>
      <c r="D10025" t="s">
        <v>16644</v>
      </c>
      <c r="E10025" t="s">
        <v>25422</v>
      </c>
      <c r="F10025" t="s">
        <v>28669</v>
      </c>
      <c r="G10025" t="s">
        <v>28675</v>
      </c>
      <c r="H10025" t="s">
        <v>9998</v>
      </c>
      <c r="I10025" t="s">
        <v>28690</v>
      </c>
      <c r="J10025" t="s">
        <v>35032</v>
      </c>
      <c r="K10025" t="s">
        <v>37209</v>
      </c>
      <c r="M10025" t="s">
        <v>39364</v>
      </c>
      <c r="N10025" t="s">
        <v>41249</v>
      </c>
      <c r="O10025" t="s">
        <v>41250</v>
      </c>
      <c r="P10025">
        <v>0</v>
      </c>
      <c r="Q10025">
        <v>22</v>
      </c>
      <c r="R10025" t="s">
        <v>41260</v>
      </c>
      <c r="S10025" t="s">
        <v>41624</v>
      </c>
      <c r="T10025" t="s">
        <v>42739</v>
      </c>
      <c r="U10025" t="s">
        <v>51284</v>
      </c>
      <c r="W10025" t="s">
        <v>39364</v>
      </c>
      <c r="X10025" t="s">
        <v>41261</v>
      </c>
    </row>
    <row r="10026" spans="1:24">
      <c r="A10026">
        <f>HYPERLINK("https://www.philgeps.gov.ph/GEPSNONPILOT/Tender/SplashBidNoticeAbstractUI.aspx?menuIndex=3&amp;refID=7060906&amp;Result=3","7060906")</f>
        <v>0</v>
      </c>
      <c r="B10026" t="s">
        <v>1466</v>
      </c>
      <c r="C10026" t="s">
        <v>12955</v>
      </c>
      <c r="D10026" t="s">
        <v>16679</v>
      </c>
      <c r="E10026" t="s">
        <v>25423</v>
      </c>
      <c r="F10026" t="s">
        <v>28669</v>
      </c>
      <c r="G10026" t="s">
        <v>28675</v>
      </c>
      <c r="H10026" t="s">
        <v>28686</v>
      </c>
      <c r="I10026" t="s">
        <v>28689</v>
      </c>
      <c r="J10026" t="s">
        <v>30503</v>
      </c>
      <c r="K10026" t="s">
        <v>37214</v>
      </c>
      <c r="M10026" t="s">
        <v>39034</v>
      </c>
      <c r="N10026" t="s">
        <v>41249</v>
      </c>
      <c r="O10026" t="s">
        <v>41250</v>
      </c>
      <c r="P10026">
        <v>0</v>
      </c>
      <c r="Q10026">
        <v>6</v>
      </c>
      <c r="R10026" t="s">
        <v>41260</v>
      </c>
      <c r="S10026" t="s">
        <v>41624</v>
      </c>
      <c r="T10026" t="s">
        <v>42760</v>
      </c>
      <c r="U10026" t="s">
        <v>51257</v>
      </c>
      <c r="W10026" t="s">
        <v>55956</v>
      </c>
      <c r="X10026" t="s">
        <v>41261</v>
      </c>
    </row>
    <row r="10027" spans="1:24">
      <c r="A10027">
        <f>HYPERLINK("https://www.philgeps.gov.ph/GEPSNONPILOT/Tender/SplashBidNoticeAbstractUI.aspx?menuIndex=3&amp;refID=7060930&amp;Result=3","7060930")</f>
        <v>0</v>
      </c>
      <c r="B10027" t="s">
        <v>382</v>
      </c>
      <c r="C10027" t="s">
        <v>12956</v>
      </c>
      <c r="D10027" t="s">
        <v>16664</v>
      </c>
      <c r="E10027" t="s">
        <v>25424</v>
      </c>
      <c r="F10027" t="s">
        <v>28669</v>
      </c>
      <c r="G10027" t="s">
        <v>28675</v>
      </c>
      <c r="H10027" t="s">
        <v>9998</v>
      </c>
      <c r="I10027" t="s">
        <v>5213</v>
      </c>
      <c r="J10027" t="s">
        <v>28845</v>
      </c>
      <c r="K10027" t="s">
        <v>37209</v>
      </c>
      <c r="M10027" t="s">
        <v>37864</v>
      </c>
      <c r="N10027" t="s">
        <v>41249</v>
      </c>
      <c r="O10027" t="s">
        <v>41250</v>
      </c>
      <c r="P10027">
        <v>0</v>
      </c>
      <c r="Q10027">
        <v>1</v>
      </c>
      <c r="R10027" t="s">
        <v>41260</v>
      </c>
      <c r="S10027" t="s">
        <v>41624</v>
      </c>
      <c r="T10027" t="s">
        <v>42673</v>
      </c>
      <c r="U10027" t="s">
        <v>51285</v>
      </c>
      <c r="W10027" t="s">
        <v>37864</v>
      </c>
      <c r="X10027" t="s">
        <v>41261</v>
      </c>
    </row>
    <row r="10028" spans="1:24">
      <c r="A10028">
        <f>HYPERLINK("https://www.philgeps.gov.ph/GEPSNONPILOT/Tender/SplashBidNoticeAbstractUI.aspx?menuIndex=3&amp;refID=7060859&amp;Result=3","7060859")</f>
        <v>0</v>
      </c>
      <c r="B10028" t="s">
        <v>659</v>
      </c>
      <c r="C10028" t="s">
        <v>9969</v>
      </c>
      <c r="D10028" t="s">
        <v>16643</v>
      </c>
      <c r="E10028" t="s">
        <v>25425</v>
      </c>
      <c r="F10028" t="s">
        <v>28669</v>
      </c>
      <c r="G10028" t="s">
        <v>28675</v>
      </c>
      <c r="H10028" t="s">
        <v>9998</v>
      </c>
      <c r="I10028" t="s">
        <v>5286</v>
      </c>
      <c r="J10028" t="s">
        <v>35033</v>
      </c>
      <c r="K10028" t="s">
        <v>37204</v>
      </c>
      <c r="M10028" t="s">
        <v>38161</v>
      </c>
      <c r="N10028" t="s">
        <v>41249</v>
      </c>
      <c r="O10028" t="s">
        <v>41250</v>
      </c>
      <c r="P10028">
        <v>0</v>
      </c>
      <c r="Q10028">
        <v>1</v>
      </c>
      <c r="R10028" t="s">
        <v>41260</v>
      </c>
      <c r="S10028" t="s">
        <v>41624</v>
      </c>
      <c r="T10028" t="s">
        <v>42736</v>
      </c>
      <c r="U10028" t="s">
        <v>51286</v>
      </c>
      <c r="W10028" t="s">
        <v>55925</v>
      </c>
      <c r="X10028" t="s">
        <v>41261</v>
      </c>
    </row>
    <row r="10029" spans="1:24">
      <c r="A10029">
        <f>HYPERLINK("https://www.philgeps.gov.ph/GEPSNONPILOT/Tender/SplashBidNoticeAbstractUI.aspx?menuIndex=3&amp;refID=7060928&amp;Result=3","7060928")</f>
        <v>0</v>
      </c>
      <c r="B10029" t="s">
        <v>2883</v>
      </c>
      <c r="C10029" t="s">
        <v>12957</v>
      </c>
      <c r="D10029" t="s">
        <v>16670</v>
      </c>
      <c r="E10029" t="s">
        <v>25426</v>
      </c>
      <c r="F10029" t="s">
        <v>28669</v>
      </c>
      <c r="G10029" t="s">
        <v>28675</v>
      </c>
      <c r="H10029" t="s">
        <v>9998</v>
      </c>
      <c r="I10029" t="s">
        <v>28695</v>
      </c>
      <c r="J10029" t="s">
        <v>35034</v>
      </c>
      <c r="K10029" t="s">
        <v>37206</v>
      </c>
      <c r="M10029" t="s">
        <v>40630</v>
      </c>
      <c r="N10029" t="s">
        <v>41249</v>
      </c>
      <c r="O10029" t="s">
        <v>41250</v>
      </c>
      <c r="P10029">
        <v>0</v>
      </c>
      <c r="Q10029">
        <v>2</v>
      </c>
      <c r="R10029" t="s">
        <v>41260</v>
      </c>
      <c r="S10029" t="s">
        <v>41624</v>
      </c>
      <c r="T10029" t="s">
        <v>42764</v>
      </c>
      <c r="U10029" t="s">
        <v>51287</v>
      </c>
      <c r="W10029" t="s">
        <v>40630</v>
      </c>
      <c r="X10029" t="s">
        <v>41261</v>
      </c>
    </row>
    <row r="10030" spans="1:24">
      <c r="A10030">
        <f>HYPERLINK("https://www.philgeps.gov.ph/GEPSNONPILOT/Tender/SplashBidNoticeAbstractUI.aspx?menuIndex=3&amp;refID=7060954&amp;Result=3","7060954")</f>
        <v>0</v>
      </c>
      <c r="B10030" t="s">
        <v>2480</v>
      </c>
      <c r="C10030" t="s">
        <v>12958</v>
      </c>
      <c r="D10030" t="s">
        <v>16618</v>
      </c>
      <c r="E10030" t="s">
        <v>25427</v>
      </c>
      <c r="F10030" t="s">
        <v>28669</v>
      </c>
      <c r="G10030" t="s">
        <v>28675</v>
      </c>
      <c r="H10030" t="s">
        <v>28686</v>
      </c>
      <c r="I10030" t="s">
        <v>28689</v>
      </c>
      <c r="J10030" t="s">
        <v>28905</v>
      </c>
      <c r="K10030" t="s">
        <v>37210</v>
      </c>
      <c r="M10030" t="s">
        <v>40163</v>
      </c>
      <c r="N10030" t="s">
        <v>41249</v>
      </c>
      <c r="O10030" t="s">
        <v>41250</v>
      </c>
      <c r="P10030">
        <v>0</v>
      </c>
      <c r="Q10030">
        <v>0</v>
      </c>
      <c r="R10030" t="s">
        <v>41260</v>
      </c>
      <c r="S10030" t="s">
        <v>41624</v>
      </c>
      <c r="T10030" t="s">
        <v>43111</v>
      </c>
      <c r="U10030" t="s">
        <v>51288</v>
      </c>
      <c r="V10030" t="s">
        <v>55335</v>
      </c>
      <c r="W10030" t="s">
        <v>40163</v>
      </c>
      <c r="X10030" t="s">
        <v>41261</v>
      </c>
    </row>
    <row r="10031" spans="1:24">
      <c r="A10031">
        <f>HYPERLINK("https://www.philgeps.gov.ph/GEPSNONPILOT/Tender/SplashBidNoticeAbstractUI.aspx?menuIndex=3&amp;refID=7060994&amp;Result=3","7060994")</f>
        <v>0</v>
      </c>
      <c r="B10031" t="s">
        <v>1124</v>
      </c>
      <c r="C10031" t="s">
        <v>12959</v>
      </c>
      <c r="E10031" t="s">
        <v>25428</v>
      </c>
      <c r="F10031" t="s">
        <v>28669</v>
      </c>
      <c r="G10031" t="s">
        <v>28676</v>
      </c>
      <c r="H10031" t="s">
        <v>9998</v>
      </c>
      <c r="I10031" t="s">
        <v>5286</v>
      </c>
      <c r="J10031" t="s">
        <v>31565</v>
      </c>
      <c r="K10031" t="s">
        <v>37209</v>
      </c>
      <c r="M10031" t="s">
        <v>40623</v>
      </c>
      <c r="N10031" t="s">
        <v>41249</v>
      </c>
      <c r="O10031" t="s">
        <v>41250</v>
      </c>
      <c r="P10031">
        <v>0</v>
      </c>
      <c r="Q10031">
        <v>4</v>
      </c>
      <c r="R10031" t="s">
        <v>41260</v>
      </c>
      <c r="S10031" t="s">
        <v>41624</v>
      </c>
      <c r="T10031" t="s">
        <v>42729</v>
      </c>
      <c r="U10031" t="s">
        <v>51289</v>
      </c>
      <c r="W10031" t="s">
        <v>40623</v>
      </c>
      <c r="X10031" t="s">
        <v>41261</v>
      </c>
    </row>
    <row r="10032" spans="1:24">
      <c r="A10032">
        <f>HYPERLINK("https://www.philgeps.gov.ph/GEPSNONPILOT/Tender/SplashBidNoticeAbstractUI.aspx?menuIndex=3&amp;refID=7060941&amp;Result=3","7060941")</f>
        <v>0</v>
      </c>
      <c r="B10032" t="s">
        <v>2036</v>
      </c>
      <c r="C10032" t="s">
        <v>12960</v>
      </c>
      <c r="D10032" t="s">
        <v>16664</v>
      </c>
      <c r="E10032" t="s">
        <v>25429</v>
      </c>
      <c r="F10032" t="s">
        <v>28669</v>
      </c>
      <c r="G10032" t="s">
        <v>28675</v>
      </c>
      <c r="H10032" t="s">
        <v>28686</v>
      </c>
      <c r="I10032" t="s">
        <v>28689</v>
      </c>
      <c r="J10032" t="s">
        <v>32463</v>
      </c>
      <c r="K10032" t="s">
        <v>37232</v>
      </c>
      <c r="M10032" t="s">
        <v>39676</v>
      </c>
      <c r="N10032" t="s">
        <v>41249</v>
      </c>
      <c r="O10032" t="s">
        <v>41250</v>
      </c>
      <c r="P10032">
        <v>0</v>
      </c>
      <c r="Q10032">
        <v>0</v>
      </c>
      <c r="R10032" t="s">
        <v>41260</v>
      </c>
      <c r="S10032" t="s">
        <v>41624</v>
      </c>
      <c r="T10032" t="s">
        <v>42836</v>
      </c>
      <c r="U10032" t="s">
        <v>48207</v>
      </c>
      <c r="W10032" t="s">
        <v>39676</v>
      </c>
      <c r="X10032" t="s">
        <v>41261</v>
      </c>
    </row>
    <row r="10033" spans="1:24">
      <c r="A10033">
        <f>HYPERLINK("https://www.philgeps.gov.ph/GEPSNONPILOT/Tender/SplashBidNoticeAbstractUI.aspx?menuIndex=3&amp;refID=7061016&amp;Result=3","7061016")</f>
        <v>0</v>
      </c>
      <c r="B10033" t="s">
        <v>2579</v>
      </c>
      <c r="C10033" t="s">
        <v>12961</v>
      </c>
      <c r="D10033" t="s">
        <v>16640</v>
      </c>
      <c r="E10033" t="s">
        <v>25430</v>
      </c>
      <c r="F10033" t="s">
        <v>28669</v>
      </c>
      <c r="G10033" t="s">
        <v>28677</v>
      </c>
      <c r="H10033" t="s">
        <v>9998</v>
      </c>
      <c r="I10033" t="s">
        <v>28704</v>
      </c>
      <c r="J10033" t="s">
        <v>35035</v>
      </c>
      <c r="K10033" t="s">
        <v>37210</v>
      </c>
      <c r="M10033" t="s">
        <v>40273</v>
      </c>
      <c r="N10033" t="s">
        <v>41249</v>
      </c>
      <c r="O10033" t="s">
        <v>41250</v>
      </c>
      <c r="P10033">
        <v>0</v>
      </c>
      <c r="Q10033">
        <v>4</v>
      </c>
      <c r="R10033" t="s">
        <v>41260</v>
      </c>
      <c r="S10033" t="s">
        <v>41624</v>
      </c>
      <c r="T10033" t="s">
        <v>42703</v>
      </c>
      <c r="U10033" t="s">
        <v>51281</v>
      </c>
      <c r="W10033" t="s">
        <v>40273</v>
      </c>
      <c r="X10033" t="s">
        <v>41261</v>
      </c>
    </row>
    <row r="10034" spans="1:24">
      <c r="A10034">
        <f>HYPERLINK("https://www.philgeps.gov.ph/GEPSNONPILOT/Tender/SplashBidNoticeAbstractUI.aspx?menuIndex=3&amp;refID=7061045&amp;Result=3","7061045")</f>
        <v>0</v>
      </c>
      <c r="B10034" t="s">
        <v>1124</v>
      </c>
      <c r="C10034" t="s">
        <v>12962</v>
      </c>
      <c r="E10034" t="s">
        <v>25431</v>
      </c>
      <c r="F10034" t="s">
        <v>28669</v>
      </c>
      <c r="G10034" t="s">
        <v>28675</v>
      </c>
      <c r="H10034" t="s">
        <v>9998</v>
      </c>
      <c r="I10034" t="s">
        <v>28713</v>
      </c>
      <c r="J10034" t="s">
        <v>35036</v>
      </c>
      <c r="K10034" t="s">
        <v>37209</v>
      </c>
      <c r="M10034" t="s">
        <v>40623</v>
      </c>
      <c r="N10034" t="s">
        <v>41249</v>
      </c>
      <c r="O10034" t="s">
        <v>41250</v>
      </c>
      <c r="P10034">
        <v>0</v>
      </c>
      <c r="Q10034">
        <v>14</v>
      </c>
      <c r="R10034" t="s">
        <v>41260</v>
      </c>
      <c r="S10034" t="s">
        <v>41624</v>
      </c>
      <c r="T10034" t="s">
        <v>42759</v>
      </c>
      <c r="U10034" t="s">
        <v>51290</v>
      </c>
      <c r="W10034" t="s">
        <v>40623</v>
      </c>
      <c r="X10034" t="s">
        <v>41261</v>
      </c>
    </row>
    <row r="10035" spans="1:24">
      <c r="A10035">
        <f>HYPERLINK("https://www.philgeps.gov.ph/GEPSNONPILOT/Tender/SplashBidNoticeAbstractUI.aspx?menuIndex=3&amp;refID=7061038&amp;Result=3","7061038")</f>
        <v>0</v>
      </c>
      <c r="B10035" t="s">
        <v>2289</v>
      </c>
      <c r="C10035" t="s">
        <v>12963</v>
      </c>
      <c r="D10035" t="s">
        <v>16647</v>
      </c>
      <c r="E10035" t="s">
        <v>25432</v>
      </c>
      <c r="F10035" t="s">
        <v>28669</v>
      </c>
      <c r="G10035" t="s">
        <v>28679</v>
      </c>
      <c r="H10035" t="s">
        <v>9998</v>
      </c>
      <c r="I10035" t="s">
        <v>7352</v>
      </c>
      <c r="J10035" t="s">
        <v>35037</v>
      </c>
      <c r="K10035" t="s">
        <v>37218</v>
      </c>
      <c r="M10035" t="s">
        <v>39944</v>
      </c>
      <c r="N10035" t="s">
        <v>41249</v>
      </c>
      <c r="O10035" t="s">
        <v>41250</v>
      </c>
      <c r="P10035">
        <v>0</v>
      </c>
      <c r="Q10035">
        <v>0</v>
      </c>
      <c r="R10035" t="s">
        <v>41260</v>
      </c>
      <c r="S10035" t="s">
        <v>41624</v>
      </c>
      <c r="T10035" t="s">
        <v>42659</v>
      </c>
      <c r="U10035" t="s">
        <v>51291</v>
      </c>
      <c r="W10035" t="s">
        <v>39944</v>
      </c>
      <c r="X10035" t="s">
        <v>41261</v>
      </c>
    </row>
    <row r="10036" spans="1:24">
      <c r="A10036">
        <f>HYPERLINK("https://www.philgeps.gov.ph/GEPSNONPILOT/Tender/SplashBidNoticeAbstractUI.aspx?menuIndex=3&amp;refID=7061022&amp;Result=3","7061022")</f>
        <v>0</v>
      </c>
      <c r="B10036" t="s">
        <v>2884</v>
      </c>
      <c r="C10036" t="s">
        <v>12964</v>
      </c>
      <c r="D10036" t="s">
        <v>16608</v>
      </c>
      <c r="E10036" t="s">
        <v>25433</v>
      </c>
      <c r="F10036" t="s">
        <v>28669</v>
      </c>
      <c r="G10036" t="s">
        <v>28675</v>
      </c>
      <c r="H10036" t="s">
        <v>28686</v>
      </c>
      <c r="I10036" t="s">
        <v>28689</v>
      </c>
      <c r="J10036" t="s">
        <v>35038</v>
      </c>
      <c r="K10036" t="s">
        <v>37209</v>
      </c>
      <c r="M10036" t="s">
        <v>40631</v>
      </c>
      <c r="N10036" t="s">
        <v>41249</v>
      </c>
      <c r="O10036" t="s">
        <v>41250</v>
      </c>
      <c r="P10036">
        <v>0</v>
      </c>
      <c r="Q10036">
        <v>1</v>
      </c>
      <c r="R10036" t="s">
        <v>41260</v>
      </c>
      <c r="S10036" t="s">
        <v>41624</v>
      </c>
      <c r="T10036" t="s">
        <v>43063</v>
      </c>
      <c r="U10036" t="s">
        <v>51292</v>
      </c>
      <c r="W10036" t="s">
        <v>40631</v>
      </c>
      <c r="X10036" t="s">
        <v>41261</v>
      </c>
    </row>
    <row r="10037" spans="1:24">
      <c r="A10037">
        <f>HYPERLINK("https://www.philgeps.gov.ph/GEPSNONPILOT/Tender/SplashBidNoticeAbstractUI.aspx?menuIndex=3&amp;refID=7061023&amp;Result=3","7061023")</f>
        <v>0</v>
      </c>
      <c r="B10037" t="s">
        <v>1466</v>
      </c>
      <c r="C10037" t="s">
        <v>12965</v>
      </c>
      <c r="D10037" t="s">
        <v>16679</v>
      </c>
      <c r="E10037" t="s">
        <v>25434</v>
      </c>
      <c r="F10037" t="s">
        <v>28669</v>
      </c>
      <c r="G10037" t="s">
        <v>28675</v>
      </c>
      <c r="H10037" t="s">
        <v>28686</v>
      </c>
      <c r="I10037" t="s">
        <v>28689</v>
      </c>
      <c r="J10037" t="s">
        <v>30289</v>
      </c>
      <c r="K10037" t="s">
        <v>37215</v>
      </c>
      <c r="M10037" t="s">
        <v>39034</v>
      </c>
      <c r="N10037" t="s">
        <v>41249</v>
      </c>
      <c r="O10037" t="s">
        <v>41250</v>
      </c>
      <c r="P10037">
        <v>0</v>
      </c>
      <c r="Q10037">
        <v>7</v>
      </c>
      <c r="R10037" t="s">
        <v>41260</v>
      </c>
      <c r="S10037" t="s">
        <v>41624</v>
      </c>
      <c r="T10037" t="s">
        <v>42760</v>
      </c>
      <c r="U10037" t="s">
        <v>51257</v>
      </c>
      <c r="W10037" t="s">
        <v>55956</v>
      </c>
      <c r="X10037" t="s">
        <v>41261</v>
      </c>
    </row>
    <row r="10038" spans="1:24">
      <c r="A10038">
        <f>HYPERLINK("https://www.philgeps.gov.ph/GEPSNONPILOT/Tender/SplashBidNoticeAbstractUI.aspx?menuIndex=3&amp;refID=7060920&amp;Result=3","7060920")</f>
        <v>0</v>
      </c>
      <c r="B10038" t="s">
        <v>925</v>
      </c>
      <c r="C10038" t="s">
        <v>12966</v>
      </c>
      <c r="D10038" t="s">
        <v>16645</v>
      </c>
      <c r="E10038" t="s">
        <v>25435</v>
      </c>
      <c r="F10038" t="s">
        <v>28669</v>
      </c>
      <c r="G10038" t="s">
        <v>28675</v>
      </c>
      <c r="H10038" t="s">
        <v>9998</v>
      </c>
      <c r="I10038" t="s">
        <v>6606</v>
      </c>
      <c r="J10038" t="s">
        <v>35039</v>
      </c>
      <c r="K10038" t="s">
        <v>37209</v>
      </c>
      <c r="M10038" t="s">
        <v>40494</v>
      </c>
      <c r="N10038" t="s">
        <v>41249</v>
      </c>
      <c r="O10038" t="s">
        <v>41250</v>
      </c>
      <c r="P10038">
        <v>0</v>
      </c>
      <c r="Q10038">
        <v>2</v>
      </c>
      <c r="R10038" t="s">
        <v>41260</v>
      </c>
      <c r="S10038" t="s">
        <v>41624</v>
      </c>
      <c r="T10038" t="s">
        <v>42976</v>
      </c>
      <c r="U10038" t="s">
        <v>51293</v>
      </c>
      <c r="V10038" t="s">
        <v>55361</v>
      </c>
      <c r="W10038" t="s">
        <v>38447</v>
      </c>
      <c r="X10038" t="s">
        <v>41261</v>
      </c>
    </row>
    <row r="10039" spans="1:24">
      <c r="A10039">
        <f>HYPERLINK("https://www.philgeps.gov.ph/GEPSNONPILOT/Tender/SplashBidNoticeAbstractUI.aspx?menuIndex=3&amp;refID=7061060&amp;Result=3","7061060")</f>
        <v>0</v>
      </c>
      <c r="B10039" t="s">
        <v>2882</v>
      </c>
      <c r="C10039" t="s">
        <v>12967</v>
      </c>
      <c r="D10039" t="s">
        <v>16608</v>
      </c>
      <c r="E10039" t="s">
        <v>16861</v>
      </c>
      <c r="F10039" t="s">
        <v>28669</v>
      </c>
      <c r="G10039" t="s">
        <v>28675</v>
      </c>
      <c r="H10039" t="s">
        <v>9998</v>
      </c>
      <c r="I10039" t="s">
        <v>28761</v>
      </c>
      <c r="J10039" t="s">
        <v>28878</v>
      </c>
      <c r="K10039" t="s">
        <v>37205</v>
      </c>
      <c r="M10039" t="s">
        <v>40629</v>
      </c>
      <c r="N10039" t="s">
        <v>41249</v>
      </c>
      <c r="O10039" t="s">
        <v>41250</v>
      </c>
      <c r="P10039">
        <v>0</v>
      </c>
      <c r="Q10039">
        <v>2</v>
      </c>
      <c r="R10039" t="s">
        <v>41260</v>
      </c>
      <c r="S10039" t="s">
        <v>41624</v>
      </c>
      <c r="T10039" t="s">
        <v>42694</v>
      </c>
      <c r="U10039" t="s">
        <v>51276</v>
      </c>
      <c r="W10039" t="s">
        <v>40629</v>
      </c>
      <c r="X10039" t="s">
        <v>41261</v>
      </c>
    </row>
    <row r="10040" spans="1:24">
      <c r="A10040">
        <f>HYPERLINK("https://www.philgeps.gov.ph/GEPSNONPILOT/Tender/SplashBidNoticeAbstractUI.aspx?menuIndex=3&amp;refID=7061088&amp;Result=3","7061088")</f>
        <v>0</v>
      </c>
      <c r="B10040" t="s">
        <v>1466</v>
      </c>
      <c r="C10040" t="s">
        <v>12968</v>
      </c>
      <c r="D10040" t="s">
        <v>16679</v>
      </c>
      <c r="E10040" t="s">
        <v>25436</v>
      </c>
      <c r="F10040" t="s">
        <v>28669</v>
      </c>
      <c r="G10040" t="s">
        <v>28675</v>
      </c>
      <c r="H10040" t="s">
        <v>28686</v>
      </c>
      <c r="I10040" t="s">
        <v>28689</v>
      </c>
      <c r="J10040" t="s">
        <v>30289</v>
      </c>
      <c r="K10040" t="s">
        <v>37213</v>
      </c>
      <c r="M10040" t="s">
        <v>39034</v>
      </c>
      <c r="N10040" t="s">
        <v>41249</v>
      </c>
      <c r="O10040" t="s">
        <v>41250</v>
      </c>
      <c r="P10040">
        <v>0</v>
      </c>
      <c r="Q10040">
        <v>7</v>
      </c>
      <c r="R10040" t="s">
        <v>41260</v>
      </c>
      <c r="S10040" t="s">
        <v>41624</v>
      </c>
      <c r="T10040" t="s">
        <v>42760</v>
      </c>
      <c r="U10040" t="s">
        <v>51257</v>
      </c>
      <c r="W10040" t="s">
        <v>55956</v>
      </c>
      <c r="X10040" t="s">
        <v>41261</v>
      </c>
    </row>
    <row r="10041" spans="1:24">
      <c r="A10041">
        <f>HYPERLINK("https://www.philgeps.gov.ph/GEPSNONPILOT/Tender/SplashBidNoticeAbstractUI.aspx?menuIndex=3&amp;refID=7061087&amp;Result=3","7061087")</f>
        <v>0</v>
      </c>
      <c r="B10041" t="s">
        <v>2289</v>
      </c>
      <c r="C10041" t="s">
        <v>12969</v>
      </c>
      <c r="D10041" t="s">
        <v>16647</v>
      </c>
      <c r="E10041" t="s">
        <v>25432</v>
      </c>
      <c r="F10041" t="s">
        <v>28669</v>
      </c>
      <c r="G10041" t="s">
        <v>28679</v>
      </c>
      <c r="H10041" t="s">
        <v>9998</v>
      </c>
      <c r="I10041" t="s">
        <v>7352</v>
      </c>
      <c r="J10041" t="s">
        <v>29365</v>
      </c>
      <c r="K10041" t="s">
        <v>37215</v>
      </c>
      <c r="M10041" t="s">
        <v>39944</v>
      </c>
      <c r="N10041" t="s">
        <v>41249</v>
      </c>
      <c r="O10041" t="s">
        <v>41250</v>
      </c>
      <c r="P10041">
        <v>0</v>
      </c>
      <c r="Q10041">
        <v>0</v>
      </c>
      <c r="R10041" t="s">
        <v>41260</v>
      </c>
      <c r="S10041" t="s">
        <v>41624</v>
      </c>
      <c r="T10041" t="s">
        <v>42659</v>
      </c>
      <c r="U10041" t="s">
        <v>51294</v>
      </c>
      <c r="W10041" t="s">
        <v>39944</v>
      </c>
      <c r="X10041" t="s">
        <v>41261</v>
      </c>
    </row>
    <row r="10042" spans="1:24">
      <c r="A10042">
        <f>HYPERLINK("https://www.philgeps.gov.ph/GEPSNONPILOT/Tender/SplashBidNoticeAbstractUI.aspx?menuIndex=3&amp;refID=7061017&amp;Result=3","7061017")</f>
        <v>0</v>
      </c>
      <c r="B10042" t="s">
        <v>2885</v>
      </c>
      <c r="C10042" t="s">
        <v>12970</v>
      </c>
      <c r="D10042" t="s">
        <v>16651</v>
      </c>
      <c r="E10042" t="s">
        <v>25437</v>
      </c>
      <c r="F10042" t="s">
        <v>28669</v>
      </c>
      <c r="G10042" t="s">
        <v>28675</v>
      </c>
      <c r="H10042" t="s">
        <v>9998</v>
      </c>
      <c r="I10042" t="s">
        <v>28714</v>
      </c>
      <c r="J10042" t="s">
        <v>29266</v>
      </c>
      <c r="K10042" t="s">
        <v>37220</v>
      </c>
      <c r="M10042" t="s">
        <v>40632</v>
      </c>
      <c r="N10042" t="s">
        <v>41249</v>
      </c>
      <c r="O10042" t="s">
        <v>41250</v>
      </c>
      <c r="Q10042">
        <v>17</v>
      </c>
      <c r="R10042" t="s">
        <v>41260</v>
      </c>
      <c r="S10042" t="s">
        <v>41666</v>
      </c>
      <c r="T10042" t="s">
        <v>42883</v>
      </c>
      <c r="U10042" t="s">
        <v>51295</v>
      </c>
      <c r="W10042" t="s">
        <v>40632</v>
      </c>
      <c r="X10042" t="s">
        <v>41261</v>
      </c>
    </row>
    <row r="10043" spans="1:24">
      <c r="A10043">
        <f>HYPERLINK("https://www.philgeps.gov.ph/GEPSNONPILOT/Tender/SplashBidNoticeAbstractUI.aspx?menuIndex=3&amp;refID=7061084&amp;Result=3","7061084")</f>
        <v>0</v>
      </c>
      <c r="B10043" t="s">
        <v>2886</v>
      </c>
      <c r="C10043" t="s">
        <v>12971</v>
      </c>
      <c r="D10043" t="s">
        <v>16651</v>
      </c>
      <c r="E10043" t="s">
        <v>25438</v>
      </c>
      <c r="F10043" t="s">
        <v>28669</v>
      </c>
      <c r="G10043" t="s">
        <v>28675</v>
      </c>
      <c r="H10043" t="s">
        <v>28686</v>
      </c>
      <c r="I10043" t="s">
        <v>28689</v>
      </c>
      <c r="J10043" t="s">
        <v>35040</v>
      </c>
      <c r="K10043" t="s">
        <v>37213</v>
      </c>
      <c r="M10043" t="s">
        <v>40633</v>
      </c>
      <c r="N10043" t="s">
        <v>41249</v>
      </c>
      <c r="O10043" t="s">
        <v>41250</v>
      </c>
      <c r="P10043">
        <v>0</v>
      </c>
      <c r="Q10043">
        <v>1</v>
      </c>
      <c r="R10043" t="s">
        <v>41260</v>
      </c>
      <c r="S10043" t="s">
        <v>41624</v>
      </c>
      <c r="T10043" t="s">
        <v>42767</v>
      </c>
      <c r="U10043" t="s">
        <v>51296</v>
      </c>
      <c r="V10043" t="s">
        <v>55362</v>
      </c>
      <c r="W10043" t="s">
        <v>40633</v>
      </c>
      <c r="X10043" t="s">
        <v>41261</v>
      </c>
    </row>
    <row r="10044" spans="1:24">
      <c r="A10044">
        <f>HYPERLINK("https://www.philgeps.gov.ph/GEPSNONPILOT/Tender/SplashBidNoticeAbstractUI.aspx?menuIndex=3&amp;refID=7061080&amp;Result=3","7061080")</f>
        <v>0</v>
      </c>
      <c r="B10044" t="s">
        <v>2579</v>
      </c>
      <c r="C10044" t="s">
        <v>12972</v>
      </c>
      <c r="D10044" t="s">
        <v>16640</v>
      </c>
      <c r="E10044" t="s">
        <v>25439</v>
      </c>
      <c r="F10044" t="s">
        <v>28669</v>
      </c>
      <c r="G10044" t="s">
        <v>28677</v>
      </c>
      <c r="H10044" t="s">
        <v>9998</v>
      </c>
      <c r="I10044" t="s">
        <v>7352</v>
      </c>
      <c r="J10044" t="s">
        <v>35041</v>
      </c>
      <c r="K10044" t="s">
        <v>37210</v>
      </c>
      <c r="M10044" t="s">
        <v>40273</v>
      </c>
      <c r="N10044" t="s">
        <v>41249</v>
      </c>
      <c r="O10044" t="s">
        <v>41250</v>
      </c>
      <c r="P10044">
        <v>0</v>
      </c>
      <c r="Q10044">
        <v>3</v>
      </c>
      <c r="R10044" t="s">
        <v>41260</v>
      </c>
      <c r="S10044" t="s">
        <v>41624</v>
      </c>
      <c r="T10044" t="s">
        <v>42703</v>
      </c>
      <c r="U10044" t="s">
        <v>51281</v>
      </c>
      <c r="W10044" t="s">
        <v>40273</v>
      </c>
      <c r="X10044" t="s">
        <v>41261</v>
      </c>
    </row>
    <row r="10045" spans="1:24">
      <c r="A10045">
        <f>HYPERLINK("https://www.philgeps.gov.ph/GEPSNONPILOT/Tender/SplashBidNoticeAbstractUI.aspx?menuIndex=3&amp;refID=7061044&amp;Result=3","7061044")</f>
        <v>0</v>
      </c>
      <c r="B10045" t="s">
        <v>2887</v>
      </c>
      <c r="C10045" t="s">
        <v>12973</v>
      </c>
      <c r="D10045" t="s">
        <v>16615</v>
      </c>
      <c r="E10045" t="s">
        <v>19189</v>
      </c>
      <c r="F10045" t="s">
        <v>28669</v>
      </c>
      <c r="G10045" t="s">
        <v>28677</v>
      </c>
      <c r="H10045" t="s">
        <v>9998</v>
      </c>
      <c r="I10045" t="s">
        <v>28806</v>
      </c>
      <c r="J10045" t="s">
        <v>35042</v>
      </c>
      <c r="K10045" t="s">
        <v>37205</v>
      </c>
      <c r="M10045" t="s">
        <v>40634</v>
      </c>
      <c r="N10045" t="s">
        <v>41249</v>
      </c>
      <c r="O10045" t="s">
        <v>41250</v>
      </c>
      <c r="P10045">
        <v>0</v>
      </c>
      <c r="Q10045">
        <v>8</v>
      </c>
      <c r="R10045" t="s">
        <v>41260</v>
      </c>
      <c r="S10045" t="s">
        <v>41624</v>
      </c>
      <c r="T10045" t="s">
        <v>42811</v>
      </c>
      <c r="U10045" t="s">
        <v>51297</v>
      </c>
      <c r="W10045" t="s">
        <v>40634</v>
      </c>
      <c r="X10045" t="s">
        <v>41261</v>
      </c>
    </row>
    <row r="10046" spans="1:24">
      <c r="A10046">
        <f>HYPERLINK("https://www.philgeps.gov.ph/GEPSNONPILOT/Tender/SplashBidNoticeAbstractUI.aspx?menuIndex=3&amp;refID=7061076&amp;Result=3","7061076")</f>
        <v>0</v>
      </c>
      <c r="B10046" t="s">
        <v>2888</v>
      </c>
      <c r="C10046" t="s">
        <v>8085</v>
      </c>
      <c r="D10046" t="s">
        <v>16666</v>
      </c>
      <c r="E10046" t="s">
        <v>25440</v>
      </c>
      <c r="F10046" t="s">
        <v>28669</v>
      </c>
      <c r="G10046" t="s">
        <v>28675</v>
      </c>
      <c r="H10046" t="s">
        <v>9998</v>
      </c>
      <c r="I10046" t="s">
        <v>5286</v>
      </c>
      <c r="J10046" t="s">
        <v>28826</v>
      </c>
      <c r="K10046" t="s">
        <v>37243</v>
      </c>
      <c r="M10046" t="s">
        <v>40635</v>
      </c>
      <c r="N10046" t="s">
        <v>41249</v>
      </c>
      <c r="O10046" t="s">
        <v>41250</v>
      </c>
      <c r="P10046">
        <v>0</v>
      </c>
      <c r="Q10046">
        <v>0</v>
      </c>
      <c r="R10046" t="s">
        <v>41260</v>
      </c>
      <c r="S10046" t="s">
        <v>41624</v>
      </c>
      <c r="T10046" t="s">
        <v>43112</v>
      </c>
      <c r="U10046" t="s">
        <v>51298</v>
      </c>
      <c r="V10046" t="s">
        <v>55363</v>
      </c>
      <c r="W10046" t="s">
        <v>40635</v>
      </c>
      <c r="X10046" t="s">
        <v>41261</v>
      </c>
    </row>
    <row r="10047" spans="1:24">
      <c r="A10047">
        <f>HYPERLINK("https://www.philgeps.gov.ph/GEPSNONPILOT/Tender/SplashBidNoticeAbstractUI.aspx?menuIndex=3&amp;refID=7061077&amp;Result=3","7061077")</f>
        <v>0</v>
      </c>
      <c r="B10047" t="s">
        <v>1466</v>
      </c>
      <c r="C10047" t="s">
        <v>12974</v>
      </c>
      <c r="D10047" t="s">
        <v>16679</v>
      </c>
      <c r="E10047" t="s">
        <v>25441</v>
      </c>
      <c r="F10047" t="s">
        <v>28669</v>
      </c>
      <c r="G10047" t="s">
        <v>28675</v>
      </c>
      <c r="H10047" t="s">
        <v>28686</v>
      </c>
      <c r="I10047" t="s">
        <v>28689</v>
      </c>
      <c r="J10047" t="s">
        <v>30289</v>
      </c>
      <c r="K10047" t="s">
        <v>37213</v>
      </c>
      <c r="M10047" t="s">
        <v>39034</v>
      </c>
      <c r="N10047" t="s">
        <v>41249</v>
      </c>
      <c r="O10047" t="s">
        <v>41250</v>
      </c>
      <c r="P10047">
        <v>0</v>
      </c>
      <c r="Q10047">
        <v>8</v>
      </c>
      <c r="R10047" t="s">
        <v>41260</v>
      </c>
      <c r="S10047" t="s">
        <v>41624</v>
      </c>
      <c r="T10047" t="s">
        <v>42760</v>
      </c>
      <c r="U10047" t="s">
        <v>51257</v>
      </c>
      <c r="W10047" t="s">
        <v>55956</v>
      </c>
      <c r="X10047" t="s">
        <v>41261</v>
      </c>
    </row>
    <row r="10048" spans="1:24">
      <c r="A10048">
        <f>HYPERLINK("https://www.philgeps.gov.ph/GEPSNONPILOT/Tender/SplashBidNoticeAbstractUI.aspx?menuIndex=3&amp;refID=7061101&amp;Result=3","7061101")</f>
        <v>0</v>
      </c>
      <c r="B10048" t="s">
        <v>1466</v>
      </c>
      <c r="C10048" t="s">
        <v>12975</v>
      </c>
      <c r="D10048" t="s">
        <v>16679</v>
      </c>
      <c r="E10048" t="s">
        <v>25442</v>
      </c>
      <c r="F10048" t="s">
        <v>28669</v>
      </c>
      <c r="G10048" t="s">
        <v>28675</v>
      </c>
      <c r="H10048" t="s">
        <v>28686</v>
      </c>
      <c r="I10048" t="s">
        <v>28689</v>
      </c>
      <c r="J10048" t="s">
        <v>30289</v>
      </c>
      <c r="K10048" t="s">
        <v>37213</v>
      </c>
      <c r="M10048" t="s">
        <v>39034</v>
      </c>
      <c r="N10048" t="s">
        <v>41249</v>
      </c>
      <c r="O10048" t="s">
        <v>41250</v>
      </c>
      <c r="P10048">
        <v>0</v>
      </c>
      <c r="Q10048">
        <v>7</v>
      </c>
      <c r="R10048" t="s">
        <v>41260</v>
      </c>
      <c r="S10048" t="s">
        <v>41624</v>
      </c>
      <c r="T10048" t="s">
        <v>42760</v>
      </c>
      <c r="U10048" t="s">
        <v>51257</v>
      </c>
      <c r="W10048" t="s">
        <v>55956</v>
      </c>
      <c r="X10048" t="s">
        <v>41261</v>
      </c>
    </row>
    <row r="10049" spans="1:24">
      <c r="A10049">
        <f>HYPERLINK("https://www.philgeps.gov.ph/GEPSNONPILOT/Tender/SplashBidNoticeAbstractUI.aspx?menuIndex=3&amp;refID=7061067&amp;Result=3","7061067")</f>
        <v>0</v>
      </c>
      <c r="B10049" t="s">
        <v>1984</v>
      </c>
      <c r="C10049" t="s">
        <v>12976</v>
      </c>
      <c r="D10049" t="s">
        <v>16640</v>
      </c>
      <c r="E10049" t="s">
        <v>25443</v>
      </c>
      <c r="F10049" t="s">
        <v>28669</v>
      </c>
      <c r="G10049" t="s">
        <v>28675</v>
      </c>
      <c r="H10049" t="s">
        <v>28684</v>
      </c>
      <c r="I10049" t="s">
        <v>28695</v>
      </c>
      <c r="J10049" t="s">
        <v>35043</v>
      </c>
      <c r="K10049" t="s">
        <v>37238</v>
      </c>
      <c r="M10049" t="s">
        <v>39619</v>
      </c>
      <c r="N10049" t="s">
        <v>41249</v>
      </c>
      <c r="O10049" t="s">
        <v>41250</v>
      </c>
      <c r="P10049">
        <v>0</v>
      </c>
      <c r="Q10049">
        <v>0</v>
      </c>
      <c r="R10049" t="s">
        <v>41260</v>
      </c>
      <c r="S10049" t="s">
        <v>41624</v>
      </c>
      <c r="T10049" t="s">
        <v>42836</v>
      </c>
      <c r="U10049" t="s">
        <v>51299</v>
      </c>
      <c r="W10049" t="s">
        <v>39619</v>
      </c>
      <c r="X10049" t="s">
        <v>41261</v>
      </c>
    </row>
    <row r="10050" spans="1:24">
      <c r="A10050">
        <f>HYPERLINK("https://www.philgeps.gov.ph/GEPSNONPILOT/Tender/SplashBidNoticeAbstractUI.aspx?menuIndex=3&amp;refID=7061090&amp;Result=3","7061090")</f>
        <v>0</v>
      </c>
      <c r="B10050" t="s">
        <v>411</v>
      </c>
      <c r="C10050" t="s">
        <v>12977</v>
      </c>
      <c r="D10050" t="s">
        <v>16701</v>
      </c>
      <c r="E10050" t="s">
        <v>25444</v>
      </c>
      <c r="F10050" t="s">
        <v>28669</v>
      </c>
      <c r="G10050" t="s">
        <v>28675</v>
      </c>
      <c r="H10050" t="s">
        <v>9998</v>
      </c>
      <c r="I10050" t="s">
        <v>28736</v>
      </c>
      <c r="J10050" t="s">
        <v>35044</v>
      </c>
      <c r="K10050" t="s">
        <v>37206</v>
      </c>
      <c r="M10050" t="s">
        <v>37896</v>
      </c>
      <c r="N10050" t="s">
        <v>41249</v>
      </c>
      <c r="O10050" t="s">
        <v>41250</v>
      </c>
      <c r="P10050">
        <v>0</v>
      </c>
      <c r="Q10050">
        <v>0</v>
      </c>
      <c r="R10050" t="s">
        <v>41260</v>
      </c>
      <c r="S10050" t="s">
        <v>41624</v>
      </c>
      <c r="T10050" t="s">
        <v>42658</v>
      </c>
      <c r="U10050" t="s">
        <v>51300</v>
      </c>
      <c r="W10050" t="s">
        <v>37896</v>
      </c>
      <c r="X10050" t="s">
        <v>41261</v>
      </c>
    </row>
    <row r="10051" spans="1:24">
      <c r="A10051">
        <f>HYPERLINK("https://www.philgeps.gov.ph/GEPSNONPILOT/Tender/SplashBidNoticeAbstractUI.aspx?menuIndex=3&amp;refID=7061137&amp;Result=3","7061137")</f>
        <v>0</v>
      </c>
      <c r="B10051" t="s">
        <v>2878</v>
      </c>
      <c r="C10051" t="s">
        <v>12978</v>
      </c>
      <c r="D10051" t="s">
        <v>16673</v>
      </c>
      <c r="E10051" t="s">
        <v>25445</v>
      </c>
      <c r="F10051" t="s">
        <v>28672</v>
      </c>
      <c r="G10051" t="s">
        <v>28675</v>
      </c>
      <c r="H10051" t="s">
        <v>28685</v>
      </c>
      <c r="I10051" t="s">
        <v>28701</v>
      </c>
      <c r="J10051" t="s">
        <v>29593</v>
      </c>
      <c r="K10051" t="s">
        <v>37243</v>
      </c>
      <c r="M10051" t="s">
        <v>40624</v>
      </c>
      <c r="N10051" t="s">
        <v>41249</v>
      </c>
      <c r="O10051" t="s">
        <v>41250</v>
      </c>
      <c r="P10051">
        <v>0</v>
      </c>
      <c r="Q10051">
        <v>1</v>
      </c>
      <c r="R10051" t="s">
        <v>41260</v>
      </c>
      <c r="S10051" t="s">
        <v>41624</v>
      </c>
      <c r="T10051" t="s">
        <v>42770</v>
      </c>
      <c r="U10051" t="s">
        <v>51301</v>
      </c>
      <c r="W10051" t="s">
        <v>40624</v>
      </c>
      <c r="X10051" t="s">
        <v>41261</v>
      </c>
    </row>
    <row r="10052" spans="1:24">
      <c r="A10052">
        <f>HYPERLINK("https://www.philgeps.gov.ph/GEPSNONPILOT/Tender/SplashBidNoticeAbstractUI.aspx?menuIndex=3&amp;refID=7061129&amp;Result=3","7061129")</f>
        <v>0</v>
      </c>
      <c r="B10052" t="s">
        <v>1466</v>
      </c>
      <c r="C10052" t="s">
        <v>12979</v>
      </c>
      <c r="D10052" t="s">
        <v>16679</v>
      </c>
      <c r="E10052" t="s">
        <v>25446</v>
      </c>
      <c r="F10052" t="s">
        <v>28669</v>
      </c>
      <c r="G10052" t="s">
        <v>28675</v>
      </c>
      <c r="H10052" t="s">
        <v>28686</v>
      </c>
      <c r="I10052" t="s">
        <v>28689</v>
      </c>
      <c r="J10052" t="s">
        <v>30289</v>
      </c>
      <c r="K10052" t="s">
        <v>37213</v>
      </c>
      <c r="M10052" t="s">
        <v>39034</v>
      </c>
      <c r="N10052" t="s">
        <v>41249</v>
      </c>
      <c r="O10052" t="s">
        <v>41250</v>
      </c>
      <c r="P10052">
        <v>0</v>
      </c>
      <c r="Q10052">
        <v>8</v>
      </c>
      <c r="R10052" t="s">
        <v>41260</v>
      </c>
      <c r="S10052" t="s">
        <v>41624</v>
      </c>
      <c r="T10052" t="s">
        <v>42760</v>
      </c>
      <c r="U10052" t="s">
        <v>51257</v>
      </c>
      <c r="W10052" t="s">
        <v>55956</v>
      </c>
      <c r="X10052" t="s">
        <v>41261</v>
      </c>
    </row>
    <row r="10053" spans="1:24">
      <c r="A10053">
        <f>HYPERLINK("https://www.philgeps.gov.ph/GEPSNONPILOT/Tender/SplashBidNoticeAbstractUI.aspx?menuIndex=3&amp;refID=7061123&amp;Result=3","7061123")</f>
        <v>0</v>
      </c>
      <c r="B10053" t="s">
        <v>1490</v>
      </c>
      <c r="C10053" t="s">
        <v>12980</v>
      </c>
      <c r="D10053" t="s">
        <v>16654</v>
      </c>
      <c r="E10053" t="s">
        <v>25447</v>
      </c>
      <c r="F10053" t="s">
        <v>28669</v>
      </c>
      <c r="G10053" t="s">
        <v>28675</v>
      </c>
      <c r="H10053" t="s">
        <v>28686</v>
      </c>
      <c r="I10053" t="s">
        <v>28689</v>
      </c>
      <c r="J10053" t="s">
        <v>35045</v>
      </c>
      <c r="K10053" t="s">
        <v>37211</v>
      </c>
      <c r="M10053" t="s">
        <v>39061</v>
      </c>
      <c r="N10053" t="s">
        <v>41249</v>
      </c>
      <c r="O10053" t="s">
        <v>41250</v>
      </c>
      <c r="P10053">
        <v>0</v>
      </c>
      <c r="Q10053">
        <v>3</v>
      </c>
      <c r="R10053" t="s">
        <v>41260</v>
      </c>
      <c r="S10053" t="s">
        <v>41624</v>
      </c>
      <c r="T10053" t="s">
        <v>42839</v>
      </c>
      <c r="U10053" t="s">
        <v>51302</v>
      </c>
      <c r="W10053" t="s">
        <v>39061</v>
      </c>
      <c r="X10053" t="s">
        <v>41261</v>
      </c>
    </row>
    <row r="10054" spans="1:24">
      <c r="A10054">
        <f>HYPERLINK("https://www.philgeps.gov.ph/GEPSNONPILOT/Tender/SplashBidNoticeAbstractUI.aspx?menuIndex=3&amp;refID=7061061&amp;Result=3","7061061")</f>
        <v>0</v>
      </c>
      <c r="B10054" t="s">
        <v>2878</v>
      </c>
      <c r="C10054" t="s">
        <v>12981</v>
      </c>
      <c r="D10054" t="s">
        <v>16673</v>
      </c>
      <c r="E10054" t="s">
        <v>25448</v>
      </c>
      <c r="F10054" t="s">
        <v>28672</v>
      </c>
      <c r="G10054" t="s">
        <v>28675</v>
      </c>
      <c r="H10054" t="s">
        <v>28686</v>
      </c>
      <c r="I10054" t="s">
        <v>28689</v>
      </c>
      <c r="J10054" t="s">
        <v>35046</v>
      </c>
      <c r="K10054" t="s">
        <v>37210</v>
      </c>
      <c r="M10054" t="s">
        <v>40624</v>
      </c>
      <c r="N10054" t="s">
        <v>41249</v>
      </c>
      <c r="O10054" t="s">
        <v>41250</v>
      </c>
      <c r="P10054">
        <v>0</v>
      </c>
      <c r="Q10054">
        <v>1</v>
      </c>
      <c r="R10054" t="s">
        <v>41260</v>
      </c>
      <c r="S10054" t="s">
        <v>41624</v>
      </c>
      <c r="T10054" t="s">
        <v>42770</v>
      </c>
      <c r="U10054" t="s">
        <v>51303</v>
      </c>
      <c r="W10054" t="s">
        <v>40624</v>
      </c>
      <c r="X10054" t="s">
        <v>41261</v>
      </c>
    </row>
    <row r="10055" spans="1:24">
      <c r="A10055">
        <f>HYPERLINK("https://www.philgeps.gov.ph/GEPSNONPILOT/Tender/SplashBidNoticeAbstractUI.aspx?menuIndex=3&amp;refID=7061122&amp;Result=3","7061122")</f>
        <v>0</v>
      </c>
      <c r="B10055" t="s">
        <v>2144</v>
      </c>
      <c r="C10055" t="s">
        <v>12982</v>
      </c>
      <c r="D10055" t="s">
        <v>16686</v>
      </c>
      <c r="E10055" t="s">
        <v>25449</v>
      </c>
      <c r="F10055" t="s">
        <v>28669</v>
      </c>
      <c r="G10055" t="s">
        <v>28675</v>
      </c>
      <c r="H10055" t="s">
        <v>28686</v>
      </c>
      <c r="I10055" t="s">
        <v>28689</v>
      </c>
      <c r="J10055" t="s">
        <v>35047</v>
      </c>
      <c r="K10055" t="s">
        <v>37209</v>
      </c>
      <c r="M10055" t="s">
        <v>39789</v>
      </c>
      <c r="N10055" t="s">
        <v>41249</v>
      </c>
      <c r="O10055" t="s">
        <v>41250</v>
      </c>
      <c r="P10055">
        <v>0</v>
      </c>
      <c r="Q10055">
        <v>0</v>
      </c>
      <c r="R10055" t="s">
        <v>41260</v>
      </c>
      <c r="S10055" t="s">
        <v>41624</v>
      </c>
      <c r="T10055" t="s">
        <v>42754</v>
      </c>
      <c r="U10055" t="s">
        <v>51304</v>
      </c>
      <c r="W10055" t="s">
        <v>39789</v>
      </c>
      <c r="X10055" t="s">
        <v>41261</v>
      </c>
    </row>
    <row r="10056" spans="1:24">
      <c r="A10056">
        <f>HYPERLINK("https://www.philgeps.gov.ph/GEPSNONPILOT/Tender/SplashBidNoticeAbstractUI.aspx?menuIndex=3&amp;refID=7061158&amp;Result=3","7061158")</f>
        <v>0</v>
      </c>
      <c r="B10056" t="s">
        <v>1641</v>
      </c>
      <c r="C10056" t="s">
        <v>12983</v>
      </c>
      <c r="D10056" t="s">
        <v>16618</v>
      </c>
      <c r="E10056" t="s">
        <v>25450</v>
      </c>
      <c r="F10056" t="s">
        <v>28669</v>
      </c>
      <c r="G10056" t="s">
        <v>28675</v>
      </c>
      <c r="H10056" t="s">
        <v>9998</v>
      </c>
      <c r="I10056" t="s">
        <v>11593</v>
      </c>
      <c r="J10056" t="s">
        <v>35048</v>
      </c>
      <c r="K10056" t="s">
        <v>37209</v>
      </c>
      <c r="L10056" t="s">
        <v>1641</v>
      </c>
      <c r="M10056" t="s">
        <v>39231</v>
      </c>
      <c r="N10056" t="s">
        <v>41249</v>
      </c>
      <c r="O10056" t="s">
        <v>41250</v>
      </c>
      <c r="P10056">
        <v>0</v>
      </c>
      <c r="Q10056">
        <v>13</v>
      </c>
      <c r="R10056" t="s">
        <v>41260</v>
      </c>
      <c r="S10056" t="s">
        <v>41624</v>
      </c>
      <c r="T10056" t="s">
        <v>42881</v>
      </c>
      <c r="U10056" t="s">
        <v>51305</v>
      </c>
      <c r="W10056" t="s">
        <v>39231</v>
      </c>
      <c r="X10056" t="s">
        <v>41261</v>
      </c>
    </row>
    <row r="10057" spans="1:24">
      <c r="A10057">
        <f>HYPERLINK("https://www.philgeps.gov.ph/GEPSNONPILOT/Tender/SplashBidNoticeAbstractUI.aspx?menuIndex=3&amp;refID=7061074&amp;Result=3","7061074")</f>
        <v>0</v>
      </c>
      <c r="B10057" t="s">
        <v>2391</v>
      </c>
      <c r="C10057" t="s">
        <v>12984</v>
      </c>
      <c r="D10057" t="s">
        <v>16638</v>
      </c>
      <c r="E10057" t="s">
        <v>25451</v>
      </c>
      <c r="F10057" t="s">
        <v>28669</v>
      </c>
      <c r="G10057" t="s">
        <v>28675</v>
      </c>
      <c r="H10057" t="s">
        <v>28684</v>
      </c>
      <c r="I10057" t="s">
        <v>28726</v>
      </c>
      <c r="J10057" t="s">
        <v>35049</v>
      </c>
      <c r="K10057" t="s">
        <v>37211</v>
      </c>
      <c r="M10057" t="s">
        <v>40066</v>
      </c>
      <c r="N10057" t="s">
        <v>41249</v>
      </c>
      <c r="O10057" t="s">
        <v>41250</v>
      </c>
      <c r="P10057">
        <v>0</v>
      </c>
      <c r="Q10057">
        <v>9</v>
      </c>
      <c r="R10057" t="s">
        <v>41260</v>
      </c>
      <c r="S10057" t="s">
        <v>41624</v>
      </c>
      <c r="T10057" t="s">
        <v>42668</v>
      </c>
      <c r="U10057" t="s">
        <v>51306</v>
      </c>
      <c r="W10057" t="s">
        <v>55991</v>
      </c>
      <c r="X10057" t="s">
        <v>41261</v>
      </c>
    </row>
    <row r="10058" spans="1:24">
      <c r="A10058">
        <f>HYPERLINK("https://www.philgeps.gov.ph/GEPSNONPILOT/Tender/SplashBidNoticeAbstractUI.aspx?menuIndex=3&amp;refID=7061156&amp;Result=3","7061156")</f>
        <v>0</v>
      </c>
      <c r="B10058" t="s">
        <v>2579</v>
      </c>
      <c r="C10058" t="s">
        <v>12985</v>
      </c>
      <c r="D10058" t="s">
        <v>16640</v>
      </c>
      <c r="E10058" t="s">
        <v>25452</v>
      </c>
      <c r="F10058" t="s">
        <v>28669</v>
      </c>
      <c r="G10058" t="s">
        <v>28677</v>
      </c>
      <c r="H10058" t="s">
        <v>28686</v>
      </c>
      <c r="I10058" t="s">
        <v>28690</v>
      </c>
      <c r="J10058" t="s">
        <v>35050</v>
      </c>
      <c r="K10058" t="s">
        <v>37210</v>
      </c>
      <c r="M10058" t="s">
        <v>40273</v>
      </c>
      <c r="N10058" t="s">
        <v>41249</v>
      </c>
      <c r="O10058" t="s">
        <v>41250</v>
      </c>
      <c r="P10058">
        <v>0</v>
      </c>
      <c r="Q10058">
        <v>7</v>
      </c>
      <c r="R10058" t="s">
        <v>41260</v>
      </c>
      <c r="S10058" t="s">
        <v>41624</v>
      </c>
      <c r="T10058" t="s">
        <v>42703</v>
      </c>
      <c r="U10058" t="s">
        <v>51281</v>
      </c>
      <c r="W10058" t="s">
        <v>40273</v>
      </c>
      <c r="X10058" t="s">
        <v>41261</v>
      </c>
    </row>
    <row r="10059" spans="1:24">
      <c r="A10059">
        <f>HYPERLINK("https://www.philgeps.gov.ph/GEPSNONPILOT/Tender/SplashBidNoticeAbstractUI.aspx?menuIndex=3&amp;refID=7061130&amp;Result=3","7061130")</f>
        <v>0</v>
      </c>
      <c r="B10059" t="s">
        <v>750</v>
      </c>
      <c r="C10059" t="s">
        <v>12986</v>
      </c>
      <c r="D10059" t="s">
        <v>16687</v>
      </c>
      <c r="E10059" t="s">
        <v>25453</v>
      </c>
      <c r="F10059" t="s">
        <v>28669</v>
      </c>
      <c r="G10059" t="s">
        <v>28675</v>
      </c>
      <c r="H10059" t="s">
        <v>28686</v>
      </c>
      <c r="I10059" t="s">
        <v>28689</v>
      </c>
      <c r="J10059" t="s">
        <v>32601</v>
      </c>
      <c r="K10059" t="s">
        <v>37211</v>
      </c>
      <c r="M10059" t="s">
        <v>38260</v>
      </c>
      <c r="N10059" t="s">
        <v>41249</v>
      </c>
      <c r="O10059" t="s">
        <v>41250</v>
      </c>
      <c r="P10059">
        <v>0</v>
      </c>
      <c r="Q10059">
        <v>0</v>
      </c>
      <c r="R10059" t="s">
        <v>41260</v>
      </c>
      <c r="S10059" t="s">
        <v>41624</v>
      </c>
      <c r="T10059" t="s">
        <v>42836</v>
      </c>
      <c r="U10059" t="s">
        <v>51307</v>
      </c>
      <c r="V10059" t="s">
        <v>55364</v>
      </c>
      <c r="W10059" t="s">
        <v>38260</v>
      </c>
      <c r="X10059" t="s">
        <v>41261</v>
      </c>
    </row>
    <row r="10060" spans="1:24">
      <c r="A10060">
        <f>HYPERLINK("https://www.philgeps.gov.ph/GEPSNONPILOT/Tender/SplashBidNoticeAbstractUI.aspx?menuIndex=3&amp;refID=7061019&amp;Result=3","7061019")</f>
        <v>0</v>
      </c>
      <c r="B10060" t="s">
        <v>2842</v>
      </c>
      <c r="C10060" t="s">
        <v>12987</v>
      </c>
      <c r="D10060" t="s">
        <v>16616</v>
      </c>
      <c r="E10060" t="s">
        <v>25454</v>
      </c>
      <c r="F10060" t="s">
        <v>28669</v>
      </c>
      <c r="G10060" t="s">
        <v>28675</v>
      </c>
      <c r="H10060" t="s">
        <v>9998</v>
      </c>
      <c r="I10060" t="s">
        <v>7352</v>
      </c>
      <c r="J10060" t="s">
        <v>35051</v>
      </c>
      <c r="K10060" t="s">
        <v>37210</v>
      </c>
      <c r="M10060" t="s">
        <v>40578</v>
      </c>
      <c r="N10060" t="s">
        <v>41249</v>
      </c>
      <c r="O10060" t="s">
        <v>41250</v>
      </c>
      <c r="P10060">
        <v>0</v>
      </c>
      <c r="Q10060">
        <v>0</v>
      </c>
      <c r="R10060" t="s">
        <v>41260</v>
      </c>
      <c r="S10060" t="s">
        <v>41624</v>
      </c>
      <c r="T10060" t="s">
        <v>42739</v>
      </c>
      <c r="U10060" t="s">
        <v>51308</v>
      </c>
      <c r="V10060" t="s">
        <v>55340</v>
      </c>
      <c r="W10060" t="s">
        <v>40578</v>
      </c>
      <c r="X10060" t="s">
        <v>41261</v>
      </c>
    </row>
    <row r="10061" spans="1:24">
      <c r="A10061">
        <f>HYPERLINK("https://www.philgeps.gov.ph/GEPSNONPILOT/Tender/SplashBidNoticeAbstractUI.aspx?menuIndex=3&amp;refID=7061056&amp;Result=3","7061056")</f>
        <v>0</v>
      </c>
      <c r="B10061" t="s">
        <v>2880</v>
      </c>
      <c r="C10061" t="s">
        <v>12988</v>
      </c>
      <c r="D10061" t="s">
        <v>16608</v>
      </c>
      <c r="E10061" t="s">
        <v>25455</v>
      </c>
      <c r="F10061" t="s">
        <v>28669</v>
      </c>
      <c r="G10061" t="s">
        <v>28675</v>
      </c>
      <c r="H10061" t="s">
        <v>28684</v>
      </c>
      <c r="I10061" t="s">
        <v>5213</v>
      </c>
      <c r="J10061" t="s">
        <v>29003</v>
      </c>
      <c r="K10061" t="s">
        <v>37216</v>
      </c>
      <c r="M10061" t="s">
        <v>40627</v>
      </c>
      <c r="N10061" t="s">
        <v>41249</v>
      </c>
      <c r="O10061" t="s">
        <v>41250</v>
      </c>
      <c r="P10061">
        <v>0</v>
      </c>
      <c r="Q10061">
        <v>0</v>
      </c>
      <c r="R10061" t="s">
        <v>41260</v>
      </c>
      <c r="S10061" t="s">
        <v>41624</v>
      </c>
      <c r="T10061" t="s">
        <v>42712</v>
      </c>
      <c r="U10061" t="s">
        <v>51309</v>
      </c>
      <c r="W10061" t="s">
        <v>40627</v>
      </c>
      <c r="X10061" t="s">
        <v>41261</v>
      </c>
    </row>
    <row r="10062" spans="1:24">
      <c r="A10062">
        <f>HYPERLINK("https://www.philgeps.gov.ph/GEPSNONPILOT/Tender/SplashBidNoticeAbstractUI.aspx?menuIndex=3&amp;refID=7061146&amp;Result=3","7061146")</f>
        <v>0</v>
      </c>
      <c r="B10062" t="s">
        <v>1466</v>
      </c>
      <c r="C10062" t="s">
        <v>12989</v>
      </c>
      <c r="D10062" t="s">
        <v>16679</v>
      </c>
      <c r="E10062" t="s">
        <v>25456</v>
      </c>
      <c r="F10062" t="s">
        <v>28669</v>
      </c>
      <c r="G10062" t="s">
        <v>28675</v>
      </c>
      <c r="H10062" t="s">
        <v>28686</v>
      </c>
      <c r="I10062" t="s">
        <v>28689</v>
      </c>
      <c r="J10062" t="s">
        <v>31313</v>
      </c>
      <c r="K10062" t="s">
        <v>37221</v>
      </c>
      <c r="M10062" t="s">
        <v>39034</v>
      </c>
      <c r="N10062" t="s">
        <v>41249</v>
      </c>
      <c r="O10062" t="s">
        <v>41250</v>
      </c>
      <c r="P10062">
        <v>0</v>
      </c>
      <c r="Q10062">
        <v>5</v>
      </c>
      <c r="R10062" t="s">
        <v>41260</v>
      </c>
      <c r="S10062" t="s">
        <v>41624</v>
      </c>
      <c r="T10062" t="s">
        <v>42760</v>
      </c>
      <c r="U10062" t="s">
        <v>51257</v>
      </c>
      <c r="W10062" t="s">
        <v>55956</v>
      </c>
      <c r="X10062" t="s">
        <v>41261</v>
      </c>
    </row>
    <row r="10063" spans="1:24">
      <c r="A10063">
        <f>HYPERLINK("https://www.philgeps.gov.ph/GEPSNONPILOT/Tender/SplashBidNoticeAbstractUI.aspx?menuIndex=3&amp;refID=7061138&amp;Result=3","7061138")</f>
        <v>0</v>
      </c>
      <c r="B10063" t="s">
        <v>2737</v>
      </c>
      <c r="C10063" t="s">
        <v>12990</v>
      </c>
      <c r="E10063" t="s">
        <v>25457</v>
      </c>
      <c r="F10063" t="s">
        <v>28669</v>
      </c>
      <c r="G10063" t="s">
        <v>28675</v>
      </c>
      <c r="H10063" t="s">
        <v>28686</v>
      </c>
      <c r="I10063" t="s">
        <v>28689</v>
      </c>
      <c r="J10063" t="s">
        <v>28836</v>
      </c>
      <c r="K10063" t="s">
        <v>37209</v>
      </c>
      <c r="M10063" t="s">
        <v>40452</v>
      </c>
      <c r="N10063" t="s">
        <v>41249</v>
      </c>
      <c r="O10063" t="s">
        <v>41250</v>
      </c>
      <c r="P10063">
        <v>0</v>
      </c>
      <c r="Q10063">
        <v>0</v>
      </c>
      <c r="R10063" t="s">
        <v>41260</v>
      </c>
      <c r="S10063" t="s">
        <v>41624</v>
      </c>
      <c r="T10063" t="s">
        <v>42839</v>
      </c>
      <c r="U10063" t="s">
        <v>51310</v>
      </c>
      <c r="W10063" t="s">
        <v>40452</v>
      </c>
      <c r="X10063" t="s">
        <v>41261</v>
      </c>
    </row>
    <row r="10064" spans="1:24">
      <c r="A10064">
        <f>HYPERLINK("https://www.philgeps.gov.ph/GEPSNONPILOT/Tender/SplashBidNoticeAbstractUI.aspx?menuIndex=3&amp;refID=7061116&amp;Result=3","7061116")</f>
        <v>0</v>
      </c>
      <c r="B10064" t="s">
        <v>1466</v>
      </c>
      <c r="C10064" t="s">
        <v>12991</v>
      </c>
      <c r="D10064" t="s">
        <v>16679</v>
      </c>
      <c r="E10064" t="s">
        <v>25458</v>
      </c>
      <c r="F10064" t="s">
        <v>28669</v>
      </c>
      <c r="G10064" t="s">
        <v>28675</v>
      </c>
      <c r="H10064" t="s">
        <v>28686</v>
      </c>
      <c r="I10064" t="s">
        <v>28689</v>
      </c>
      <c r="J10064" t="s">
        <v>30289</v>
      </c>
      <c r="K10064" t="s">
        <v>37213</v>
      </c>
      <c r="M10064" t="s">
        <v>39034</v>
      </c>
      <c r="N10064" t="s">
        <v>41249</v>
      </c>
      <c r="O10064" t="s">
        <v>41250</v>
      </c>
      <c r="P10064">
        <v>0</v>
      </c>
      <c r="Q10064">
        <v>7</v>
      </c>
      <c r="R10064" t="s">
        <v>41260</v>
      </c>
      <c r="S10064" t="s">
        <v>41624</v>
      </c>
      <c r="T10064" t="s">
        <v>42760</v>
      </c>
      <c r="U10064" t="s">
        <v>51257</v>
      </c>
      <c r="W10064" t="s">
        <v>55956</v>
      </c>
      <c r="X10064" t="s">
        <v>41261</v>
      </c>
    </row>
    <row r="10065" spans="1:24">
      <c r="A10065">
        <f>HYPERLINK("https://www.philgeps.gov.ph/GEPSNONPILOT/Tender/SplashBidNoticeAbstractUI.aspx?menuIndex=3&amp;refID=7061113&amp;Result=3","7061113")</f>
        <v>0</v>
      </c>
      <c r="B10065" t="s">
        <v>2331</v>
      </c>
      <c r="C10065" t="s">
        <v>12992</v>
      </c>
      <c r="D10065" t="s">
        <v>16657</v>
      </c>
      <c r="E10065" t="s">
        <v>25459</v>
      </c>
      <c r="F10065" t="s">
        <v>28669</v>
      </c>
      <c r="G10065" t="s">
        <v>28675</v>
      </c>
      <c r="H10065" t="s">
        <v>28686</v>
      </c>
      <c r="I10065" t="s">
        <v>28689</v>
      </c>
      <c r="J10065" t="s">
        <v>33389</v>
      </c>
      <c r="K10065" t="s">
        <v>37335</v>
      </c>
      <c r="M10065" t="s">
        <v>39993</v>
      </c>
      <c r="N10065" t="s">
        <v>41249</v>
      </c>
      <c r="O10065" t="s">
        <v>41250</v>
      </c>
      <c r="P10065">
        <v>0</v>
      </c>
      <c r="Q10065">
        <v>21</v>
      </c>
      <c r="R10065" t="s">
        <v>41260</v>
      </c>
      <c r="S10065" t="s">
        <v>41624</v>
      </c>
      <c r="T10065" t="s">
        <v>42739</v>
      </c>
      <c r="U10065" t="s">
        <v>51311</v>
      </c>
      <c r="V10065" t="s">
        <v>55107</v>
      </c>
      <c r="W10065" t="s">
        <v>39993</v>
      </c>
      <c r="X10065" t="s">
        <v>41261</v>
      </c>
    </row>
    <row r="10066" spans="1:24">
      <c r="A10066">
        <f>HYPERLINK("https://www.philgeps.gov.ph/GEPSNONPILOT/Tender/SplashBidNoticeAbstractUI.aspx?menuIndex=3&amp;refID=7061107&amp;Result=3","7061107")</f>
        <v>0</v>
      </c>
      <c r="B10066" t="s">
        <v>2757</v>
      </c>
      <c r="C10066" t="s">
        <v>12993</v>
      </c>
      <c r="D10066" t="s">
        <v>16677</v>
      </c>
      <c r="E10066" t="s">
        <v>25460</v>
      </c>
      <c r="F10066" t="s">
        <v>28669</v>
      </c>
      <c r="G10066" t="s">
        <v>28675</v>
      </c>
      <c r="H10066" t="s">
        <v>9998</v>
      </c>
      <c r="I10066" t="s">
        <v>3718</v>
      </c>
      <c r="J10066" t="s">
        <v>35052</v>
      </c>
      <c r="K10066" t="s">
        <v>37206</v>
      </c>
      <c r="M10066" t="s">
        <v>40475</v>
      </c>
      <c r="N10066" t="s">
        <v>41249</v>
      </c>
      <c r="O10066" t="s">
        <v>41250</v>
      </c>
      <c r="P10066">
        <v>0</v>
      </c>
      <c r="Q10066">
        <v>7</v>
      </c>
      <c r="R10066" t="s">
        <v>41260</v>
      </c>
      <c r="S10066" t="s">
        <v>41624</v>
      </c>
      <c r="T10066" t="s">
        <v>42881</v>
      </c>
      <c r="U10066" t="s">
        <v>51312</v>
      </c>
      <c r="W10066" t="s">
        <v>40475</v>
      </c>
      <c r="X10066" t="s">
        <v>41261</v>
      </c>
    </row>
    <row r="10067" spans="1:24">
      <c r="A10067">
        <f>HYPERLINK("https://www.philgeps.gov.ph/GEPSNONPILOT/Tender/SplashBidNoticeAbstractUI.aspx?menuIndex=3&amp;refID=7061103&amp;Result=3","7061103")</f>
        <v>0</v>
      </c>
      <c r="B10067" t="s">
        <v>2878</v>
      </c>
      <c r="C10067" t="s">
        <v>11278</v>
      </c>
      <c r="D10067" t="s">
        <v>16673</v>
      </c>
      <c r="E10067" t="s">
        <v>25461</v>
      </c>
      <c r="F10067" t="s">
        <v>28672</v>
      </c>
      <c r="G10067" t="s">
        <v>28675</v>
      </c>
      <c r="H10067" t="s">
        <v>28686</v>
      </c>
      <c r="I10067" t="s">
        <v>28689</v>
      </c>
      <c r="J10067" t="s">
        <v>35053</v>
      </c>
      <c r="K10067" t="s">
        <v>37210</v>
      </c>
      <c r="M10067" t="s">
        <v>40624</v>
      </c>
      <c r="N10067" t="s">
        <v>41249</v>
      </c>
      <c r="O10067" t="s">
        <v>41250</v>
      </c>
      <c r="P10067">
        <v>0</v>
      </c>
      <c r="Q10067">
        <v>1</v>
      </c>
      <c r="R10067" t="s">
        <v>41260</v>
      </c>
      <c r="S10067" t="s">
        <v>41624</v>
      </c>
      <c r="T10067" t="s">
        <v>42770</v>
      </c>
      <c r="U10067" t="s">
        <v>51313</v>
      </c>
      <c r="W10067" t="s">
        <v>40624</v>
      </c>
      <c r="X10067" t="s">
        <v>41261</v>
      </c>
    </row>
    <row r="10068" spans="1:24">
      <c r="A10068">
        <f>HYPERLINK("https://www.philgeps.gov.ph/GEPSNONPILOT/Tender/SplashBidNoticeAbstractUI.aspx?menuIndex=3&amp;refID=7061121&amp;Result=3","7061121")</f>
        <v>0</v>
      </c>
      <c r="B10068" t="s">
        <v>2737</v>
      </c>
      <c r="C10068" t="s">
        <v>12994</v>
      </c>
      <c r="E10068" t="s">
        <v>25462</v>
      </c>
      <c r="F10068" t="s">
        <v>28669</v>
      </c>
      <c r="G10068" t="s">
        <v>28675</v>
      </c>
      <c r="H10068" t="s">
        <v>28686</v>
      </c>
      <c r="I10068" t="s">
        <v>28689</v>
      </c>
      <c r="J10068" t="s">
        <v>28836</v>
      </c>
      <c r="K10068" t="s">
        <v>37209</v>
      </c>
      <c r="M10068" t="s">
        <v>40452</v>
      </c>
      <c r="N10068" t="s">
        <v>41249</v>
      </c>
      <c r="O10068" t="s">
        <v>41250</v>
      </c>
      <c r="P10068">
        <v>0</v>
      </c>
      <c r="Q10068">
        <v>0</v>
      </c>
      <c r="R10068" t="s">
        <v>41260</v>
      </c>
      <c r="S10068" t="s">
        <v>41624</v>
      </c>
      <c r="T10068" t="s">
        <v>42755</v>
      </c>
      <c r="U10068" t="s">
        <v>51314</v>
      </c>
      <c r="W10068" t="s">
        <v>40452</v>
      </c>
      <c r="X10068" t="s">
        <v>41261</v>
      </c>
    </row>
    <row r="10069" spans="1:24">
      <c r="A10069">
        <f>HYPERLINK("https://www.philgeps.gov.ph/GEPSNONPILOT/Tender/SplashBidNoticeAbstractUI.aspx?menuIndex=3&amp;refID=7061148&amp;Result=3","7061148")</f>
        <v>0</v>
      </c>
      <c r="B10069" t="s">
        <v>2889</v>
      </c>
      <c r="C10069" t="s">
        <v>12579</v>
      </c>
      <c r="D10069" t="s">
        <v>16667</v>
      </c>
      <c r="E10069" t="s">
        <v>25463</v>
      </c>
      <c r="F10069" t="s">
        <v>28669</v>
      </c>
      <c r="G10069" t="s">
        <v>28675</v>
      </c>
      <c r="H10069" t="s">
        <v>28686</v>
      </c>
      <c r="I10069" t="s">
        <v>28689</v>
      </c>
      <c r="J10069" t="s">
        <v>28836</v>
      </c>
      <c r="K10069" t="s">
        <v>37215</v>
      </c>
      <c r="M10069" t="s">
        <v>40636</v>
      </c>
      <c r="N10069" t="s">
        <v>41249</v>
      </c>
      <c r="O10069" t="s">
        <v>41250</v>
      </c>
      <c r="P10069">
        <v>0</v>
      </c>
      <c r="Q10069">
        <v>3</v>
      </c>
      <c r="R10069" t="s">
        <v>41260</v>
      </c>
      <c r="S10069" t="s">
        <v>41624</v>
      </c>
      <c r="T10069" t="s">
        <v>42882</v>
      </c>
      <c r="U10069" t="s">
        <v>51315</v>
      </c>
      <c r="W10069" t="s">
        <v>40636</v>
      </c>
      <c r="X10069" t="s">
        <v>41261</v>
      </c>
    </row>
    <row r="10070" spans="1:24">
      <c r="A10070">
        <f>HYPERLINK("https://www.philgeps.gov.ph/GEPSNONPILOT/Tender/SplashBidNoticeAbstractUI.aspx?menuIndex=3&amp;refID=7061221&amp;Result=3","7061221")</f>
        <v>0</v>
      </c>
      <c r="B10070" t="s">
        <v>807</v>
      </c>
      <c r="C10070" t="s">
        <v>12995</v>
      </c>
      <c r="E10070" t="s">
        <v>25464</v>
      </c>
      <c r="F10070" t="s">
        <v>28669</v>
      </c>
      <c r="G10070" t="s">
        <v>28679</v>
      </c>
      <c r="H10070" t="s">
        <v>28686</v>
      </c>
      <c r="I10070" t="s">
        <v>28689</v>
      </c>
      <c r="J10070" t="s">
        <v>35054</v>
      </c>
      <c r="K10070" t="s">
        <v>37209</v>
      </c>
      <c r="M10070" t="s">
        <v>38322</v>
      </c>
      <c r="N10070" t="s">
        <v>41249</v>
      </c>
      <c r="O10070" t="s">
        <v>41250</v>
      </c>
      <c r="Q10070">
        <v>2</v>
      </c>
      <c r="R10070" t="s">
        <v>41260</v>
      </c>
      <c r="S10070" t="s">
        <v>41667</v>
      </c>
      <c r="T10070" t="s">
        <v>42755</v>
      </c>
      <c r="U10070" t="s">
        <v>51316</v>
      </c>
      <c r="V10070" t="s">
        <v>55365</v>
      </c>
      <c r="W10070" t="s">
        <v>38322</v>
      </c>
      <c r="X10070" t="s">
        <v>41261</v>
      </c>
    </row>
    <row r="10071" spans="1:24">
      <c r="A10071">
        <f>HYPERLINK("https://www.philgeps.gov.ph/GEPSNONPILOT/Tender/SplashBidNoticeAbstractUI.aspx?menuIndex=3&amp;refID=7061207&amp;Result=3","7061207")</f>
        <v>0</v>
      </c>
      <c r="B10071" t="s">
        <v>559</v>
      </c>
      <c r="C10071" t="s">
        <v>11219</v>
      </c>
      <c r="D10071" t="s">
        <v>16644</v>
      </c>
      <c r="E10071" t="s">
        <v>24684</v>
      </c>
      <c r="F10071" t="s">
        <v>28669</v>
      </c>
      <c r="G10071" t="s">
        <v>28675</v>
      </c>
      <c r="H10071" t="s">
        <v>9998</v>
      </c>
      <c r="I10071" t="s">
        <v>5286</v>
      </c>
      <c r="J10071" t="s">
        <v>35055</v>
      </c>
      <c r="K10071" t="s">
        <v>37213</v>
      </c>
      <c r="M10071" t="s">
        <v>40225</v>
      </c>
      <c r="N10071" t="s">
        <v>41249</v>
      </c>
      <c r="O10071" t="s">
        <v>41250</v>
      </c>
      <c r="P10071">
        <v>0</v>
      </c>
      <c r="Q10071">
        <v>6</v>
      </c>
      <c r="R10071" t="s">
        <v>41260</v>
      </c>
      <c r="S10071" t="s">
        <v>41624</v>
      </c>
      <c r="T10071" t="s">
        <v>42760</v>
      </c>
      <c r="U10071" t="s">
        <v>51317</v>
      </c>
      <c r="W10071" t="s">
        <v>40225</v>
      </c>
      <c r="X10071" t="s">
        <v>41261</v>
      </c>
    </row>
    <row r="10072" spans="1:24">
      <c r="A10072">
        <f>HYPERLINK("https://www.philgeps.gov.ph/GEPSNONPILOT/Tender/SplashBidNoticeAbstractUI.aspx?menuIndex=3&amp;refID=7061139&amp;Result=3","7061139")</f>
        <v>0</v>
      </c>
      <c r="B10072" t="s">
        <v>1466</v>
      </c>
      <c r="C10072" t="s">
        <v>12996</v>
      </c>
      <c r="D10072" t="s">
        <v>16679</v>
      </c>
      <c r="E10072" t="s">
        <v>25465</v>
      </c>
      <c r="F10072" t="s">
        <v>28669</v>
      </c>
      <c r="G10072" t="s">
        <v>28675</v>
      </c>
      <c r="H10072" t="s">
        <v>28686</v>
      </c>
      <c r="I10072" t="s">
        <v>28689</v>
      </c>
      <c r="J10072" t="s">
        <v>31313</v>
      </c>
      <c r="K10072" t="s">
        <v>37221</v>
      </c>
      <c r="M10072" t="s">
        <v>39034</v>
      </c>
      <c r="N10072" t="s">
        <v>41249</v>
      </c>
      <c r="O10072" t="s">
        <v>41250</v>
      </c>
      <c r="P10072">
        <v>0</v>
      </c>
      <c r="Q10072">
        <v>5</v>
      </c>
      <c r="R10072" t="s">
        <v>41260</v>
      </c>
      <c r="S10072" t="s">
        <v>41624</v>
      </c>
      <c r="T10072" t="s">
        <v>42760</v>
      </c>
      <c r="U10072" t="s">
        <v>51257</v>
      </c>
      <c r="W10072" t="s">
        <v>55956</v>
      </c>
      <c r="X10072" t="s">
        <v>41261</v>
      </c>
    </row>
    <row r="10073" spans="1:24">
      <c r="A10073">
        <f>HYPERLINK("https://www.philgeps.gov.ph/GEPSNONPILOT/Tender/SplashBidNoticeAbstractUI.aspx?menuIndex=3&amp;refID=7061256&amp;Result=3","7061256")</f>
        <v>0</v>
      </c>
      <c r="B10073" t="s">
        <v>807</v>
      </c>
      <c r="C10073" t="s">
        <v>12997</v>
      </c>
      <c r="E10073" t="s">
        <v>25466</v>
      </c>
      <c r="F10073" t="s">
        <v>28669</v>
      </c>
      <c r="G10073" t="s">
        <v>28679</v>
      </c>
      <c r="H10073" t="s">
        <v>28686</v>
      </c>
      <c r="I10073" t="s">
        <v>28689</v>
      </c>
      <c r="J10073" t="s">
        <v>35056</v>
      </c>
      <c r="K10073" t="s">
        <v>37209</v>
      </c>
      <c r="M10073" t="s">
        <v>38322</v>
      </c>
      <c r="N10073" t="s">
        <v>41249</v>
      </c>
      <c r="O10073" t="s">
        <v>41250</v>
      </c>
      <c r="Q10073">
        <v>2</v>
      </c>
      <c r="R10073" t="s">
        <v>41260</v>
      </c>
      <c r="S10073" t="s">
        <v>41668</v>
      </c>
      <c r="T10073" t="s">
        <v>42931</v>
      </c>
      <c r="U10073" t="s">
        <v>51318</v>
      </c>
      <c r="V10073" t="s">
        <v>55365</v>
      </c>
      <c r="W10073" t="s">
        <v>38322</v>
      </c>
      <c r="X10073" t="s">
        <v>41261</v>
      </c>
    </row>
    <row r="10074" spans="1:24">
      <c r="A10074">
        <f>HYPERLINK("https://www.philgeps.gov.ph/GEPSNONPILOT/Tender/SplashBidNoticeAbstractUI.aspx?menuIndex=3&amp;refID=7061243&amp;Result=3","7061243")</f>
        <v>0</v>
      </c>
      <c r="B10074" t="s">
        <v>807</v>
      </c>
      <c r="C10074" t="s">
        <v>12998</v>
      </c>
      <c r="E10074" t="s">
        <v>25467</v>
      </c>
      <c r="F10074" t="s">
        <v>28669</v>
      </c>
      <c r="G10074" t="s">
        <v>28679</v>
      </c>
      <c r="H10074" t="s">
        <v>28686</v>
      </c>
      <c r="I10074" t="s">
        <v>28689</v>
      </c>
      <c r="J10074" t="s">
        <v>35057</v>
      </c>
      <c r="K10074" t="s">
        <v>37209</v>
      </c>
      <c r="M10074" t="s">
        <v>38322</v>
      </c>
      <c r="N10074" t="s">
        <v>41249</v>
      </c>
      <c r="O10074" t="s">
        <v>41250</v>
      </c>
      <c r="Q10074">
        <v>2</v>
      </c>
      <c r="R10074" t="s">
        <v>41260</v>
      </c>
      <c r="S10074" t="s">
        <v>41669</v>
      </c>
      <c r="T10074" t="s">
        <v>42760</v>
      </c>
      <c r="U10074" t="s">
        <v>51319</v>
      </c>
      <c r="V10074" t="s">
        <v>55365</v>
      </c>
      <c r="W10074" t="s">
        <v>38322</v>
      </c>
      <c r="X10074" t="s">
        <v>41261</v>
      </c>
    </row>
    <row r="10075" spans="1:24">
      <c r="A10075">
        <f>HYPERLINK("https://www.philgeps.gov.ph/GEPSNONPILOT/Tender/SplashBidNoticeAbstractUI.aspx?menuIndex=3&amp;refID=7061152&amp;Result=3","7061152")</f>
        <v>0</v>
      </c>
      <c r="B10075" t="s">
        <v>1466</v>
      </c>
      <c r="C10075" t="s">
        <v>12999</v>
      </c>
      <c r="D10075" t="s">
        <v>16679</v>
      </c>
      <c r="E10075" t="s">
        <v>25468</v>
      </c>
      <c r="F10075" t="s">
        <v>28669</v>
      </c>
      <c r="G10075" t="s">
        <v>28675</v>
      </c>
      <c r="H10075" t="s">
        <v>28686</v>
      </c>
      <c r="I10075" t="s">
        <v>28689</v>
      </c>
      <c r="J10075" t="s">
        <v>30777</v>
      </c>
      <c r="K10075" t="s">
        <v>37221</v>
      </c>
      <c r="M10075" t="s">
        <v>39034</v>
      </c>
      <c r="N10075" t="s">
        <v>41249</v>
      </c>
      <c r="O10075" t="s">
        <v>41250</v>
      </c>
      <c r="P10075">
        <v>0</v>
      </c>
      <c r="Q10075">
        <v>6</v>
      </c>
      <c r="R10075" t="s">
        <v>41260</v>
      </c>
      <c r="S10075" t="s">
        <v>41624</v>
      </c>
      <c r="T10075" t="s">
        <v>42760</v>
      </c>
      <c r="U10075" t="s">
        <v>51257</v>
      </c>
      <c r="W10075" t="s">
        <v>55956</v>
      </c>
      <c r="X10075" t="s">
        <v>41261</v>
      </c>
    </row>
    <row r="10076" spans="1:24">
      <c r="A10076">
        <f>HYPERLINK("https://www.philgeps.gov.ph/GEPSNONPILOT/Tender/SplashBidNoticeAbstractUI.aspx?menuIndex=3&amp;refID=7061237&amp;Result=3","7061237")</f>
        <v>0</v>
      </c>
      <c r="B10076" t="s">
        <v>1503</v>
      </c>
      <c r="C10076" t="s">
        <v>13000</v>
      </c>
      <c r="D10076" t="s">
        <v>16666</v>
      </c>
      <c r="E10076" t="s">
        <v>25469</v>
      </c>
      <c r="F10076" t="s">
        <v>28669</v>
      </c>
      <c r="G10076" t="s">
        <v>28675</v>
      </c>
      <c r="H10076" t="s">
        <v>9998</v>
      </c>
      <c r="I10076" t="s">
        <v>28733</v>
      </c>
      <c r="J10076" t="s">
        <v>30575</v>
      </c>
      <c r="K10076" t="s">
        <v>37206</v>
      </c>
      <c r="M10076" t="s">
        <v>39076</v>
      </c>
      <c r="N10076" t="s">
        <v>41249</v>
      </c>
      <c r="O10076" t="s">
        <v>41250</v>
      </c>
      <c r="Q10076">
        <v>8</v>
      </c>
      <c r="R10076" t="s">
        <v>41260</v>
      </c>
      <c r="S10076" t="s">
        <v>41670</v>
      </c>
      <c r="T10076" t="s">
        <v>42658</v>
      </c>
      <c r="U10076" t="s">
        <v>50233</v>
      </c>
      <c r="W10076" t="s">
        <v>55959</v>
      </c>
      <c r="X10076" t="s">
        <v>41261</v>
      </c>
    </row>
    <row r="10077" spans="1:24">
      <c r="A10077">
        <f>HYPERLINK("https://www.philgeps.gov.ph/GEPSNONPILOT/Tender/SplashBidNoticeAbstractUI.aspx?menuIndex=3&amp;refID=7061059&amp;Result=3","7061059")</f>
        <v>0</v>
      </c>
      <c r="B10077" t="s">
        <v>2144</v>
      </c>
      <c r="C10077" t="s">
        <v>13001</v>
      </c>
      <c r="D10077" t="s">
        <v>16686</v>
      </c>
      <c r="E10077" t="s">
        <v>25470</v>
      </c>
      <c r="F10077" t="s">
        <v>28669</v>
      </c>
      <c r="G10077" t="s">
        <v>28675</v>
      </c>
      <c r="H10077" t="s">
        <v>9998</v>
      </c>
      <c r="I10077" t="s">
        <v>11593</v>
      </c>
      <c r="J10077" t="s">
        <v>28905</v>
      </c>
      <c r="K10077" t="s">
        <v>37209</v>
      </c>
      <c r="M10077" t="s">
        <v>39789</v>
      </c>
      <c r="N10077" t="s">
        <v>41249</v>
      </c>
      <c r="O10077" t="s">
        <v>41250</v>
      </c>
      <c r="P10077">
        <v>0</v>
      </c>
      <c r="Q10077">
        <v>3</v>
      </c>
      <c r="R10077" t="s">
        <v>41260</v>
      </c>
      <c r="S10077" t="s">
        <v>41624</v>
      </c>
      <c r="T10077" t="s">
        <v>42767</v>
      </c>
      <c r="U10077" t="s">
        <v>51320</v>
      </c>
      <c r="W10077" t="s">
        <v>39789</v>
      </c>
      <c r="X10077" t="s">
        <v>41261</v>
      </c>
    </row>
    <row r="10078" spans="1:24">
      <c r="A10078">
        <f>HYPERLINK("https://www.philgeps.gov.ph/GEPSNONPILOT/Tender/SplashBidNoticeAbstractUI.aspx?menuIndex=3&amp;refID=7061229&amp;Result=3","7061229")</f>
        <v>0</v>
      </c>
      <c r="B10078" t="s">
        <v>2331</v>
      </c>
      <c r="C10078" t="s">
        <v>13002</v>
      </c>
      <c r="D10078" t="s">
        <v>16657</v>
      </c>
      <c r="E10078" t="s">
        <v>25471</v>
      </c>
      <c r="F10078" t="s">
        <v>28669</v>
      </c>
      <c r="G10078" t="s">
        <v>28675</v>
      </c>
      <c r="H10078" t="s">
        <v>9998</v>
      </c>
      <c r="I10078" t="s">
        <v>28695</v>
      </c>
      <c r="J10078" t="s">
        <v>35058</v>
      </c>
      <c r="K10078" t="s">
        <v>37206</v>
      </c>
      <c r="M10078" t="s">
        <v>39993</v>
      </c>
      <c r="N10078" t="s">
        <v>41249</v>
      </c>
      <c r="O10078" t="s">
        <v>41250</v>
      </c>
      <c r="P10078">
        <v>0</v>
      </c>
      <c r="Q10078">
        <v>0</v>
      </c>
      <c r="R10078" t="s">
        <v>41260</v>
      </c>
      <c r="S10078" t="s">
        <v>41624</v>
      </c>
      <c r="T10078" t="s">
        <v>42739</v>
      </c>
      <c r="U10078" t="s">
        <v>51311</v>
      </c>
      <c r="V10078" t="s">
        <v>55107</v>
      </c>
      <c r="W10078" t="s">
        <v>39993</v>
      </c>
      <c r="X10078" t="s">
        <v>41261</v>
      </c>
    </row>
    <row r="10079" spans="1:24">
      <c r="A10079">
        <f>HYPERLINK("https://www.philgeps.gov.ph/GEPSNONPILOT/Tender/SplashBidNoticeAbstractUI.aspx?menuIndex=3&amp;refID=7061203&amp;Result=3","7061203")</f>
        <v>0</v>
      </c>
      <c r="B10079" t="s">
        <v>2890</v>
      </c>
      <c r="C10079" t="s">
        <v>13003</v>
      </c>
      <c r="D10079" t="s">
        <v>16675</v>
      </c>
      <c r="E10079" t="s">
        <v>20261</v>
      </c>
      <c r="F10079" t="s">
        <v>28671</v>
      </c>
      <c r="G10079" t="s">
        <v>28675</v>
      </c>
      <c r="H10079" t="s">
        <v>28684</v>
      </c>
      <c r="I10079" t="s">
        <v>7352</v>
      </c>
      <c r="J10079" t="s">
        <v>28968</v>
      </c>
      <c r="K10079" t="s">
        <v>37206</v>
      </c>
      <c r="M10079" t="s">
        <v>40637</v>
      </c>
      <c r="N10079" t="s">
        <v>41249</v>
      </c>
      <c r="O10079" t="s">
        <v>41250</v>
      </c>
      <c r="P10079">
        <v>0</v>
      </c>
      <c r="Q10079">
        <v>1</v>
      </c>
      <c r="R10079" t="s">
        <v>41260</v>
      </c>
      <c r="S10079" t="s">
        <v>41624</v>
      </c>
      <c r="T10079" t="s">
        <v>42703</v>
      </c>
      <c r="U10079" t="s">
        <v>51321</v>
      </c>
      <c r="W10079" t="s">
        <v>40637</v>
      </c>
      <c r="X10079" t="s">
        <v>41261</v>
      </c>
    </row>
    <row r="10080" spans="1:24">
      <c r="A10080">
        <f>HYPERLINK("https://www.philgeps.gov.ph/GEPSNONPILOT/Tender/SplashBidNoticeAbstractUI.aspx?menuIndex=3&amp;refID=7061212&amp;Result=3","7061212")</f>
        <v>0</v>
      </c>
      <c r="B10080" t="s">
        <v>2891</v>
      </c>
      <c r="C10080" t="s">
        <v>13004</v>
      </c>
      <c r="D10080" t="s">
        <v>16659</v>
      </c>
      <c r="E10080" t="s">
        <v>25472</v>
      </c>
      <c r="F10080" t="s">
        <v>28669</v>
      </c>
      <c r="G10080" t="s">
        <v>28675</v>
      </c>
      <c r="H10080" t="s">
        <v>28686</v>
      </c>
      <c r="I10080" t="s">
        <v>28689</v>
      </c>
      <c r="J10080" t="s">
        <v>35059</v>
      </c>
      <c r="K10080" t="s">
        <v>37215</v>
      </c>
      <c r="M10080" t="s">
        <v>40638</v>
      </c>
      <c r="N10080" t="s">
        <v>41249</v>
      </c>
      <c r="O10080" t="s">
        <v>41250</v>
      </c>
      <c r="P10080">
        <v>0</v>
      </c>
      <c r="Q10080">
        <v>8</v>
      </c>
      <c r="R10080" t="s">
        <v>41260</v>
      </c>
      <c r="S10080" t="s">
        <v>41624</v>
      </c>
      <c r="T10080" t="s">
        <v>42839</v>
      </c>
      <c r="U10080" t="s">
        <v>51322</v>
      </c>
      <c r="W10080" t="s">
        <v>40638</v>
      </c>
      <c r="X10080" t="s">
        <v>41261</v>
      </c>
    </row>
    <row r="10081" spans="1:24">
      <c r="A10081">
        <f>HYPERLINK("https://www.philgeps.gov.ph/GEPSNONPILOT/Tender/SplashBidNoticeAbstractUI.aspx?menuIndex=3&amp;refID=7061201&amp;Result=3","7061201")</f>
        <v>0</v>
      </c>
      <c r="B10081" t="s">
        <v>2892</v>
      </c>
      <c r="C10081" t="s">
        <v>13005</v>
      </c>
      <c r="D10081" t="s">
        <v>16622</v>
      </c>
      <c r="E10081" t="s">
        <v>25473</v>
      </c>
      <c r="F10081" t="s">
        <v>28669</v>
      </c>
      <c r="G10081" t="s">
        <v>28675</v>
      </c>
      <c r="H10081" t="s">
        <v>28686</v>
      </c>
      <c r="I10081" t="s">
        <v>28696</v>
      </c>
      <c r="J10081" t="s">
        <v>35060</v>
      </c>
      <c r="K10081" t="s">
        <v>37229</v>
      </c>
      <c r="M10081" t="s">
        <v>40639</v>
      </c>
      <c r="N10081" t="s">
        <v>41249</v>
      </c>
      <c r="O10081" t="s">
        <v>41250</v>
      </c>
      <c r="P10081">
        <v>0</v>
      </c>
      <c r="Q10081">
        <v>0</v>
      </c>
      <c r="R10081" t="s">
        <v>41260</v>
      </c>
      <c r="S10081" t="s">
        <v>41624</v>
      </c>
      <c r="T10081" t="s">
        <v>42755</v>
      </c>
      <c r="U10081" t="s">
        <v>51323</v>
      </c>
      <c r="W10081" t="s">
        <v>40639</v>
      </c>
      <c r="X10081" t="s">
        <v>41261</v>
      </c>
    </row>
    <row r="10082" spans="1:24">
      <c r="A10082">
        <f>HYPERLINK("https://www.philgeps.gov.ph/GEPSNONPILOT/Tender/SplashBidNoticeAbstractUI.aspx?menuIndex=3&amp;refID=7061195&amp;Result=3","7061195")</f>
        <v>0</v>
      </c>
      <c r="B10082" t="s">
        <v>2893</v>
      </c>
      <c r="C10082" t="s">
        <v>13006</v>
      </c>
      <c r="E10082" t="s">
        <v>16820</v>
      </c>
      <c r="F10082" t="s">
        <v>28669</v>
      </c>
      <c r="G10082" t="s">
        <v>28675</v>
      </c>
      <c r="H10082" t="s">
        <v>28686</v>
      </c>
      <c r="I10082" t="s">
        <v>28689</v>
      </c>
      <c r="J10082" t="s">
        <v>28905</v>
      </c>
      <c r="K10082" t="s">
        <v>37209</v>
      </c>
      <c r="M10082" t="s">
        <v>40640</v>
      </c>
      <c r="N10082" t="s">
        <v>41249</v>
      </c>
      <c r="O10082" t="s">
        <v>41250</v>
      </c>
      <c r="P10082">
        <v>0</v>
      </c>
      <c r="Q10082">
        <v>0</v>
      </c>
      <c r="R10082" t="s">
        <v>41260</v>
      </c>
      <c r="S10082" t="s">
        <v>41624</v>
      </c>
      <c r="T10082" t="s">
        <v>42759</v>
      </c>
      <c r="U10082" t="s">
        <v>51324</v>
      </c>
      <c r="W10082" t="s">
        <v>40640</v>
      </c>
      <c r="X10082" t="s">
        <v>41261</v>
      </c>
    </row>
    <row r="10083" spans="1:24">
      <c r="A10083">
        <f>HYPERLINK("https://www.philgeps.gov.ph/GEPSNONPILOT/Tender/SplashBidNoticeAbstractUI.aspx?menuIndex=3&amp;refID=7061161&amp;Result=3","7061161")</f>
        <v>0</v>
      </c>
      <c r="B10083" t="s">
        <v>1466</v>
      </c>
      <c r="C10083" t="s">
        <v>13007</v>
      </c>
      <c r="D10083" t="s">
        <v>16679</v>
      </c>
      <c r="E10083" t="s">
        <v>25474</v>
      </c>
      <c r="F10083" t="s">
        <v>28669</v>
      </c>
      <c r="G10083" t="s">
        <v>28675</v>
      </c>
      <c r="H10083" t="s">
        <v>28686</v>
      </c>
      <c r="I10083" t="s">
        <v>28689</v>
      </c>
      <c r="J10083" t="s">
        <v>35061</v>
      </c>
      <c r="K10083" t="s">
        <v>37212</v>
      </c>
      <c r="M10083" t="s">
        <v>39034</v>
      </c>
      <c r="N10083" t="s">
        <v>41249</v>
      </c>
      <c r="O10083" t="s">
        <v>41250</v>
      </c>
      <c r="P10083">
        <v>0</v>
      </c>
      <c r="Q10083">
        <v>6</v>
      </c>
      <c r="R10083" t="s">
        <v>41260</v>
      </c>
      <c r="S10083" t="s">
        <v>41624</v>
      </c>
      <c r="T10083" t="s">
        <v>42760</v>
      </c>
      <c r="U10083" t="s">
        <v>51257</v>
      </c>
      <c r="W10083" t="s">
        <v>55956</v>
      </c>
      <c r="X10083" t="s">
        <v>41261</v>
      </c>
    </row>
    <row r="10084" spans="1:24">
      <c r="A10084">
        <f>HYPERLINK("https://www.philgeps.gov.ph/GEPSNONPILOT/Tender/SplashBidNoticeAbstractUI.aspx?menuIndex=3&amp;refID=7061184&amp;Result=3","7061184")</f>
        <v>0</v>
      </c>
      <c r="B10084" t="s">
        <v>2331</v>
      </c>
      <c r="C10084" t="s">
        <v>13008</v>
      </c>
      <c r="D10084" t="s">
        <v>16657</v>
      </c>
      <c r="E10084" t="s">
        <v>25475</v>
      </c>
      <c r="F10084" t="s">
        <v>28669</v>
      </c>
      <c r="G10084" t="s">
        <v>28675</v>
      </c>
      <c r="H10084" t="s">
        <v>28686</v>
      </c>
      <c r="I10084" t="s">
        <v>28689</v>
      </c>
      <c r="J10084" t="s">
        <v>35062</v>
      </c>
      <c r="K10084" t="s">
        <v>37213</v>
      </c>
      <c r="M10084" t="s">
        <v>39993</v>
      </c>
      <c r="N10084" t="s">
        <v>41249</v>
      </c>
      <c r="O10084" t="s">
        <v>41250</v>
      </c>
      <c r="P10084">
        <v>0</v>
      </c>
      <c r="Q10084">
        <v>17</v>
      </c>
      <c r="R10084" t="s">
        <v>41260</v>
      </c>
      <c r="S10084" t="s">
        <v>41624</v>
      </c>
      <c r="T10084" t="s">
        <v>42739</v>
      </c>
      <c r="U10084" t="s">
        <v>51325</v>
      </c>
      <c r="V10084" t="s">
        <v>55107</v>
      </c>
      <c r="W10084" t="s">
        <v>39993</v>
      </c>
      <c r="X10084" t="s">
        <v>41261</v>
      </c>
    </row>
    <row r="10085" spans="1:24">
      <c r="A10085">
        <f>HYPERLINK("https://www.philgeps.gov.ph/GEPSNONPILOT/Tender/SplashBidNoticeAbstractUI.aspx?menuIndex=3&amp;refID=7061192&amp;Result=3","7061192")</f>
        <v>0</v>
      </c>
      <c r="B10085" t="s">
        <v>1503</v>
      </c>
      <c r="C10085" t="s">
        <v>13009</v>
      </c>
      <c r="D10085" t="s">
        <v>16666</v>
      </c>
      <c r="E10085" t="s">
        <v>25476</v>
      </c>
      <c r="F10085" t="s">
        <v>28669</v>
      </c>
      <c r="G10085" t="s">
        <v>28675</v>
      </c>
      <c r="H10085" t="s">
        <v>9998</v>
      </c>
      <c r="I10085" t="s">
        <v>28733</v>
      </c>
      <c r="J10085" t="s">
        <v>35063</v>
      </c>
      <c r="K10085" t="s">
        <v>37220</v>
      </c>
      <c r="M10085" t="s">
        <v>39076</v>
      </c>
      <c r="N10085" t="s">
        <v>41249</v>
      </c>
      <c r="O10085" t="s">
        <v>41250</v>
      </c>
      <c r="Q10085">
        <v>4</v>
      </c>
      <c r="R10085" t="s">
        <v>41260</v>
      </c>
      <c r="S10085" t="s">
        <v>41671</v>
      </c>
      <c r="T10085" t="s">
        <v>42658</v>
      </c>
      <c r="U10085" t="s">
        <v>46562</v>
      </c>
      <c r="W10085" t="s">
        <v>55959</v>
      </c>
      <c r="X10085" t="s">
        <v>41261</v>
      </c>
    </row>
    <row r="10086" spans="1:24">
      <c r="A10086">
        <f>HYPERLINK("https://www.philgeps.gov.ph/GEPSNONPILOT/Tender/SplashBidNoticeAbstractUI.aspx?menuIndex=3&amp;refID=7061171&amp;Result=3","7061171")</f>
        <v>0</v>
      </c>
      <c r="B10086" t="s">
        <v>1124</v>
      </c>
      <c r="C10086" t="s">
        <v>13010</v>
      </c>
      <c r="E10086" t="s">
        <v>25477</v>
      </c>
      <c r="F10086" t="s">
        <v>28669</v>
      </c>
      <c r="G10086" t="s">
        <v>28675</v>
      </c>
      <c r="H10086" t="s">
        <v>9998</v>
      </c>
      <c r="I10086" t="s">
        <v>11593</v>
      </c>
      <c r="J10086" t="s">
        <v>35064</v>
      </c>
      <c r="K10086" t="s">
        <v>37209</v>
      </c>
      <c r="M10086" t="s">
        <v>38883</v>
      </c>
      <c r="N10086" t="s">
        <v>41249</v>
      </c>
      <c r="O10086" t="s">
        <v>41250</v>
      </c>
      <c r="P10086">
        <v>0</v>
      </c>
      <c r="Q10086">
        <v>4</v>
      </c>
      <c r="R10086" t="s">
        <v>41260</v>
      </c>
      <c r="S10086" t="s">
        <v>41624</v>
      </c>
      <c r="T10086" t="s">
        <v>42759</v>
      </c>
      <c r="U10086" t="s">
        <v>50947</v>
      </c>
      <c r="W10086" t="s">
        <v>38883</v>
      </c>
      <c r="X10086" t="s">
        <v>41261</v>
      </c>
    </row>
    <row r="10087" spans="1:24">
      <c r="A10087">
        <f>HYPERLINK("https://www.philgeps.gov.ph/GEPSNONPILOT/Tender/SplashBidNoticeAbstractUI.aspx?menuIndex=3&amp;refID=7061168&amp;Result=3","7061168")</f>
        <v>0</v>
      </c>
      <c r="B10087" t="s">
        <v>2894</v>
      </c>
      <c r="C10087" t="s">
        <v>4356</v>
      </c>
      <c r="D10087" t="s">
        <v>16686</v>
      </c>
      <c r="E10087" t="s">
        <v>25478</v>
      </c>
      <c r="F10087" t="s">
        <v>28669</v>
      </c>
      <c r="G10087" t="s">
        <v>28675</v>
      </c>
      <c r="H10087" t="s">
        <v>9998</v>
      </c>
      <c r="I10087" t="s">
        <v>7352</v>
      </c>
      <c r="J10087" t="s">
        <v>35065</v>
      </c>
      <c r="K10087" t="s">
        <v>37210</v>
      </c>
      <c r="M10087" t="s">
        <v>40641</v>
      </c>
      <c r="N10087" t="s">
        <v>41249</v>
      </c>
      <c r="O10087" t="s">
        <v>41250</v>
      </c>
      <c r="P10087">
        <v>0</v>
      </c>
      <c r="Q10087">
        <v>1</v>
      </c>
      <c r="R10087" t="s">
        <v>41260</v>
      </c>
      <c r="S10087" t="s">
        <v>41624</v>
      </c>
      <c r="T10087" t="s">
        <v>42736</v>
      </c>
      <c r="U10087" t="s">
        <v>51326</v>
      </c>
      <c r="W10087" t="s">
        <v>40641</v>
      </c>
      <c r="X10087" t="s">
        <v>41261</v>
      </c>
    </row>
    <row r="10088" spans="1:24">
      <c r="A10088">
        <f>HYPERLINK("https://www.philgeps.gov.ph/GEPSNONPILOT/Tender/SplashBidNoticeAbstractUI.aspx?menuIndex=3&amp;refID=7061223&amp;Result=3","7061223")</f>
        <v>0</v>
      </c>
      <c r="B10088" t="s">
        <v>2840</v>
      </c>
      <c r="C10088" t="s">
        <v>13011</v>
      </c>
      <c r="D10088" t="s">
        <v>16611</v>
      </c>
      <c r="E10088" t="s">
        <v>25479</v>
      </c>
      <c r="F10088" t="s">
        <v>28669</v>
      </c>
      <c r="G10088" t="s">
        <v>28676</v>
      </c>
      <c r="H10088" t="s">
        <v>9998</v>
      </c>
      <c r="I10088" t="s">
        <v>15140</v>
      </c>
      <c r="J10088" t="s">
        <v>35066</v>
      </c>
      <c r="K10088" t="s">
        <v>37234</v>
      </c>
      <c r="L10088" t="s">
        <v>2840</v>
      </c>
      <c r="M10088" t="s">
        <v>40576</v>
      </c>
      <c r="N10088" t="s">
        <v>41249</v>
      </c>
      <c r="O10088" t="s">
        <v>41250</v>
      </c>
      <c r="P10088">
        <v>0</v>
      </c>
      <c r="Q10088">
        <v>0</v>
      </c>
      <c r="R10088" t="s">
        <v>41260</v>
      </c>
      <c r="S10088" t="s">
        <v>41624</v>
      </c>
      <c r="T10088" t="s">
        <v>42729</v>
      </c>
      <c r="U10088" t="s">
        <v>51327</v>
      </c>
      <c r="W10088" t="s">
        <v>40576</v>
      </c>
      <c r="X10088" t="s">
        <v>41261</v>
      </c>
    </row>
    <row r="10089" spans="1:24">
      <c r="A10089">
        <f>HYPERLINK("https://www.philgeps.gov.ph/GEPSNONPILOT/Tender/SplashBidNoticeAbstractUI.aspx?menuIndex=3&amp;refID=7061172&amp;Result=3","7061172")</f>
        <v>0</v>
      </c>
      <c r="B10089" t="s">
        <v>893</v>
      </c>
      <c r="C10089" t="s">
        <v>13012</v>
      </c>
      <c r="D10089" t="s">
        <v>16608</v>
      </c>
      <c r="E10089" t="s">
        <v>25480</v>
      </c>
      <c r="F10089" t="s">
        <v>28669</v>
      </c>
      <c r="G10089" t="s">
        <v>28676</v>
      </c>
      <c r="H10089" t="s">
        <v>9998</v>
      </c>
      <c r="I10089" t="s">
        <v>11142</v>
      </c>
      <c r="J10089" t="s">
        <v>35067</v>
      </c>
      <c r="K10089" t="s">
        <v>37206</v>
      </c>
      <c r="M10089" t="s">
        <v>38414</v>
      </c>
      <c r="N10089" t="s">
        <v>41249</v>
      </c>
      <c r="O10089" t="s">
        <v>41250</v>
      </c>
      <c r="Q10089">
        <v>4</v>
      </c>
      <c r="R10089" t="s">
        <v>41260</v>
      </c>
      <c r="S10089" t="s">
        <v>41672</v>
      </c>
      <c r="T10089" t="s">
        <v>42711</v>
      </c>
      <c r="U10089" t="s">
        <v>51328</v>
      </c>
      <c r="W10089" t="s">
        <v>38414</v>
      </c>
      <c r="X10089" t="s">
        <v>41261</v>
      </c>
    </row>
    <row r="10090" spans="1:24">
      <c r="A10090">
        <f>HYPERLINK("https://www.philgeps.gov.ph/GEPSNONPILOT/Tender/SplashBidNoticeAbstractUI.aspx?menuIndex=3&amp;refID=7061102&amp;Result=3","7061102")</f>
        <v>0</v>
      </c>
      <c r="B10090" t="s">
        <v>371</v>
      </c>
      <c r="C10090" t="s">
        <v>13013</v>
      </c>
      <c r="D10090" t="s">
        <v>16622</v>
      </c>
      <c r="E10090" t="s">
        <v>25443</v>
      </c>
      <c r="F10090" t="s">
        <v>28669</v>
      </c>
      <c r="G10090" t="s">
        <v>28675</v>
      </c>
      <c r="H10090" t="s">
        <v>9998</v>
      </c>
      <c r="I10090" t="s">
        <v>11593</v>
      </c>
      <c r="J10090" t="s">
        <v>35068</v>
      </c>
      <c r="K10090" t="s">
        <v>37205</v>
      </c>
      <c r="M10090" t="s">
        <v>37853</v>
      </c>
      <c r="N10090" t="s">
        <v>41249</v>
      </c>
      <c r="O10090" t="s">
        <v>41250</v>
      </c>
      <c r="P10090">
        <v>0</v>
      </c>
      <c r="Q10090">
        <v>2</v>
      </c>
      <c r="R10090" t="s">
        <v>41260</v>
      </c>
      <c r="S10090" t="s">
        <v>41624</v>
      </c>
      <c r="T10090" t="s">
        <v>42679</v>
      </c>
      <c r="U10090" t="s">
        <v>51329</v>
      </c>
      <c r="W10090" t="s">
        <v>37853</v>
      </c>
      <c r="X10090" t="s">
        <v>41261</v>
      </c>
    </row>
    <row r="10091" spans="1:24">
      <c r="A10091">
        <f>HYPERLINK("https://www.philgeps.gov.ph/GEPSNONPILOT/Tender/SplashBidNoticeAbstractUI.aspx?menuIndex=3&amp;refID=7061249&amp;Result=3","7061249")</f>
        <v>0</v>
      </c>
      <c r="B10091" t="s">
        <v>2895</v>
      </c>
      <c r="C10091" t="s">
        <v>13014</v>
      </c>
      <c r="D10091" t="s">
        <v>16629</v>
      </c>
      <c r="E10091" t="s">
        <v>25481</v>
      </c>
      <c r="F10091" t="s">
        <v>28669</v>
      </c>
      <c r="G10091" t="s">
        <v>28675</v>
      </c>
      <c r="H10091" t="s">
        <v>9998</v>
      </c>
      <c r="I10091" t="s">
        <v>6128</v>
      </c>
      <c r="J10091" t="s">
        <v>35069</v>
      </c>
      <c r="K10091" t="s">
        <v>37206</v>
      </c>
      <c r="L10091" t="s">
        <v>2895</v>
      </c>
      <c r="M10091" t="s">
        <v>40642</v>
      </c>
      <c r="N10091" t="s">
        <v>41249</v>
      </c>
      <c r="O10091" t="s">
        <v>41250</v>
      </c>
      <c r="P10091">
        <v>0</v>
      </c>
      <c r="Q10091">
        <v>4</v>
      </c>
      <c r="R10091" t="s">
        <v>41260</v>
      </c>
      <c r="S10091" t="s">
        <v>41624</v>
      </c>
      <c r="T10091" t="s">
        <v>42719</v>
      </c>
      <c r="U10091" t="s">
        <v>51330</v>
      </c>
      <c r="W10091" t="s">
        <v>40642</v>
      </c>
      <c r="X10091" t="s">
        <v>41261</v>
      </c>
    </row>
    <row r="10092" spans="1:24">
      <c r="A10092">
        <f>HYPERLINK("https://www.philgeps.gov.ph/GEPSNONPILOT/Tender/SplashBidNoticeAbstractUI.aspx?menuIndex=3&amp;refID=7061162&amp;Result=3","7061162")</f>
        <v>0</v>
      </c>
      <c r="B10092" t="s">
        <v>2321</v>
      </c>
      <c r="C10092" t="s">
        <v>13015</v>
      </c>
      <c r="D10092" t="s">
        <v>16632</v>
      </c>
      <c r="E10092" t="s">
        <v>25482</v>
      </c>
      <c r="F10092" t="s">
        <v>28669</v>
      </c>
      <c r="G10092" t="s">
        <v>28677</v>
      </c>
      <c r="H10092" t="s">
        <v>9998</v>
      </c>
      <c r="I10092" t="s">
        <v>28695</v>
      </c>
      <c r="J10092" t="s">
        <v>29712</v>
      </c>
      <c r="K10092" t="s">
        <v>37204</v>
      </c>
      <c r="M10092" t="s">
        <v>39981</v>
      </c>
      <c r="N10092" t="s">
        <v>41249</v>
      </c>
      <c r="O10092" t="s">
        <v>41250</v>
      </c>
      <c r="P10092">
        <v>0</v>
      </c>
      <c r="Q10092">
        <v>0</v>
      </c>
      <c r="R10092" t="s">
        <v>41260</v>
      </c>
      <c r="S10092" t="s">
        <v>41624</v>
      </c>
      <c r="T10092" t="s">
        <v>42743</v>
      </c>
      <c r="U10092" t="s">
        <v>51331</v>
      </c>
      <c r="W10092" t="s">
        <v>39981</v>
      </c>
      <c r="X10092" t="s">
        <v>41261</v>
      </c>
    </row>
    <row r="10093" spans="1:24">
      <c r="A10093">
        <f>HYPERLINK("https://www.philgeps.gov.ph/GEPSNONPILOT/Tender/SplashBidNoticeAbstractUI.aspx?menuIndex=3&amp;refID=7061267&amp;Result=3","7061267")</f>
        <v>0</v>
      </c>
      <c r="B10093" t="s">
        <v>2896</v>
      </c>
      <c r="C10093" t="s">
        <v>13016</v>
      </c>
      <c r="D10093" t="s">
        <v>16684</v>
      </c>
      <c r="E10093" t="s">
        <v>25483</v>
      </c>
      <c r="F10093" t="s">
        <v>28669</v>
      </c>
      <c r="G10093" t="s">
        <v>28679</v>
      </c>
      <c r="H10093" t="s">
        <v>28686</v>
      </c>
      <c r="I10093" t="s">
        <v>28689</v>
      </c>
      <c r="J10093" t="s">
        <v>28891</v>
      </c>
      <c r="K10093" t="s">
        <v>37215</v>
      </c>
      <c r="M10093" t="s">
        <v>40643</v>
      </c>
      <c r="N10093" t="s">
        <v>41249</v>
      </c>
      <c r="O10093" t="s">
        <v>41250</v>
      </c>
      <c r="P10093">
        <v>0</v>
      </c>
      <c r="Q10093">
        <v>1</v>
      </c>
      <c r="R10093" t="s">
        <v>41260</v>
      </c>
      <c r="S10093" t="s">
        <v>41624</v>
      </c>
      <c r="T10093" t="s">
        <v>42836</v>
      </c>
      <c r="U10093" t="s">
        <v>51332</v>
      </c>
      <c r="W10093" t="s">
        <v>40643</v>
      </c>
      <c r="X10093" t="s">
        <v>41261</v>
      </c>
    </row>
    <row r="10094" spans="1:24">
      <c r="A10094">
        <f>HYPERLINK("https://www.philgeps.gov.ph/GEPSNONPILOT/Tender/SplashBidNoticeAbstractUI.aspx?menuIndex=3&amp;refID=7061330&amp;Result=3","7061330")</f>
        <v>0</v>
      </c>
      <c r="B10094" t="s">
        <v>2897</v>
      </c>
      <c r="C10094" t="s">
        <v>13017</v>
      </c>
      <c r="D10094" t="s">
        <v>16663</v>
      </c>
      <c r="E10094" t="s">
        <v>25484</v>
      </c>
      <c r="F10094" t="s">
        <v>28669</v>
      </c>
      <c r="G10094" t="s">
        <v>28675</v>
      </c>
      <c r="H10094" t="s">
        <v>9998</v>
      </c>
      <c r="I10094" t="s">
        <v>28697</v>
      </c>
      <c r="J10094" t="s">
        <v>35070</v>
      </c>
      <c r="K10094" t="s">
        <v>37221</v>
      </c>
      <c r="M10094" t="s">
        <v>40644</v>
      </c>
      <c r="N10094" t="s">
        <v>41249</v>
      </c>
      <c r="O10094" t="s">
        <v>41250</v>
      </c>
      <c r="Q10094">
        <v>12</v>
      </c>
      <c r="R10094" t="s">
        <v>41260</v>
      </c>
      <c r="S10094" t="s">
        <v>41569</v>
      </c>
      <c r="T10094" t="s">
        <v>42976</v>
      </c>
      <c r="U10094" t="s">
        <v>51333</v>
      </c>
      <c r="W10094" t="s">
        <v>40644</v>
      </c>
      <c r="X10094" t="s">
        <v>41261</v>
      </c>
    </row>
    <row r="10095" spans="1:24">
      <c r="A10095">
        <f>HYPERLINK("https://www.philgeps.gov.ph/GEPSNONPILOT/Tender/SplashBidNoticeAbstractUI.aspx?menuIndex=3&amp;refID=7061193&amp;Result=3","7061193")</f>
        <v>0</v>
      </c>
      <c r="B10095" t="s">
        <v>1641</v>
      </c>
      <c r="C10095" t="s">
        <v>13018</v>
      </c>
      <c r="D10095" t="s">
        <v>16618</v>
      </c>
      <c r="E10095" t="s">
        <v>25485</v>
      </c>
      <c r="F10095" t="s">
        <v>28669</v>
      </c>
      <c r="G10095" t="s">
        <v>28675</v>
      </c>
      <c r="H10095" t="s">
        <v>9998</v>
      </c>
      <c r="I10095" t="s">
        <v>11593</v>
      </c>
      <c r="J10095" t="s">
        <v>35071</v>
      </c>
      <c r="K10095" t="s">
        <v>37209</v>
      </c>
      <c r="L10095" t="s">
        <v>1641</v>
      </c>
      <c r="M10095" t="s">
        <v>39231</v>
      </c>
      <c r="N10095" t="s">
        <v>41249</v>
      </c>
      <c r="O10095" t="s">
        <v>41250</v>
      </c>
      <c r="P10095">
        <v>0</v>
      </c>
      <c r="Q10095">
        <v>15</v>
      </c>
      <c r="R10095" t="s">
        <v>41260</v>
      </c>
      <c r="S10095" t="s">
        <v>41624</v>
      </c>
      <c r="T10095" t="s">
        <v>42881</v>
      </c>
      <c r="U10095" t="s">
        <v>51334</v>
      </c>
      <c r="W10095" t="s">
        <v>39231</v>
      </c>
      <c r="X10095" t="s">
        <v>41261</v>
      </c>
    </row>
    <row r="10096" spans="1:24">
      <c r="A10096">
        <f>HYPERLINK("https://www.philgeps.gov.ph/GEPSNONPILOT/Tender/SplashBidNoticeAbstractUI.aspx?menuIndex=3&amp;refID=7061324&amp;Result=3","7061324")</f>
        <v>0</v>
      </c>
      <c r="B10096" t="s">
        <v>359</v>
      </c>
      <c r="C10096" t="s">
        <v>13019</v>
      </c>
      <c r="D10096" t="s">
        <v>16672</v>
      </c>
      <c r="E10096" t="s">
        <v>25486</v>
      </c>
      <c r="F10096" t="s">
        <v>28669</v>
      </c>
      <c r="G10096" t="s">
        <v>28675</v>
      </c>
      <c r="H10096" t="s">
        <v>28686</v>
      </c>
      <c r="I10096" t="s">
        <v>28689</v>
      </c>
      <c r="J10096" t="s">
        <v>29724</v>
      </c>
      <c r="K10096" t="s">
        <v>37206</v>
      </c>
      <c r="M10096" t="s">
        <v>37840</v>
      </c>
      <c r="N10096" t="s">
        <v>41249</v>
      </c>
      <c r="O10096" t="s">
        <v>41250</v>
      </c>
      <c r="P10096">
        <v>0</v>
      </c>
      <c r="Q10096">
        <v>0</v>
      </c>
      <c r="R10096" t="s">
        <v>41260</v>
      </c>
      <c r="S10096" t="s">
        <v>41624</v>
      </c>
      <c r="T10096" t="s">
        <v>42658</v>
      </c>
      <c r="U10096" t="s">
        <v>51335</v>
      </c>
      <c r="W10096" t="s">
        <v>37840</v>
      </c>
      <c r="X10096" t="s">
        <v>41261</v>
      </c>
    </row>
    <row r="10097" spans="1:24">
      <c r="A10097">
        <f>HYPERLINK("https://www.philgeps.gov.ph/GEPSNONPILOT/Tender/SplashBidNoticeAbstractUI.aspx?menuIndex=3&amp;refID=7061306&amp;Result=3","7061306")</f>
        <v>0</v>
      </c>
      <c r="B10097" t="s">
        <v>893</v>
      </c>
      <c r="C10097" t="s">
        <v>13020</v>
      </c>
      <c r="D10097" t="s">
        <v>16608</v>
      </c>
      <c r="E10097" t="s">
        <v>25487</v>
      </c>
      <c r="F10097" t="s">
        <v>28669</v>
      </c>
      <c r="G10097" t="s">
        <v>28676</v>
      </c>
      <c r="H10097" t="s">
        <v>9998</v>
      </c>
      <c r="I10097" t="s">
        <v>3718</v>
      </c>
      <c r="J10097" t="s">
        <v>30568</v>
      </c>
      <c r="K10097" t="s">
        <v>37206</v>
      </c>
      <c r="M10097" t="s">
        <v>38414</v>
      </c>
      <c r="N10097" t="s">
        <v>41249</v>
      </c>
      <c r="O10097" t="s">
        <v>41250</v>
      </c>
      <c r="Q10097">
        <v>3</v>
      </c>
      <c r="R10097" t="s">
        <v>41260</v>
      </c>
      <c r="S10097" t="s">
        <v>41673</v>
      </c>
      <c r="T10097" t="s">
        <v>42711</v>
      </c>
      <c r="U10097" t="s">
        <v>51336</v>
      </c>
      <c r="W10097" t="s">
        <v>38414</v>
      </c>
      <c r="X10097" t="s">
        <v>41261</v>
      </c>
    </row>
    <row r="10098" spans="1:24">
      <c r="A10098">
        <f>HYPERLINK("https://www.philgeps.gov.ph/GEPSNONPILOT/Tender/SplashBidNoticeAbstractUI.aspx?menuIndex=3&amp;refID=7061289&amp;Result=3","7061289")</f>
        <v>0</v>
      </c>
      <c r="B10098" t="s">
        <v>559</v>
      </c>
      <c r="C10098" t="s">
        <v>3808</v>
      </c>
      <c r="D10098" t="s">
        <v>16644</v>
      </c>
      <c r="E10098" t="s">
        <v>22581</v>
      </c>
      <c r="F10098" t="s">
        <v>28669</v>
      </c>
      <c r="G10098" t="s">
        <v>28675</v>
      </c>
      <c r="H10098" t="s">
        <v>9998</v>
      </c>
      <c r="I10098" t="s">
        <v>28693</v>
      </c>
      <c r="J10098" t="s">
        <v>35072</v>
      </c>
      <c r="K10098" t="s">
        <v>37213</v>
      </c>
      <c r="M10098" t="s">
        <v>40225</v>
      </c>
      <c r="N10098" t="s">
        <v>41249</v>
      </c>
      <c r="O10098" t="s">
        <v>41250</v>
      </c>
      <c r="P10098">
        <v>0</v>
      </c>
      <c r="Q10098">
        <v>18</v>
      </c>
      <c r="R10098" t="s">
        <v>41260</v>
      </c>
      <c r="S10098" t="s">
        <v>41624</v>
      </c>
      <c r="T10098" t="s">
        <v>42881</v>
      </c>
      <c r="U10098" t="s">
        <v>51337</v>
      </c>
      <c r="W10098" t="s">
        <v>40225</v>
      </c>
      <c r="X10098" t="s">
        <v>41261</v>
      </c>
    </row>
    <row r="10099" spans="1:24">
      <c r="A10099">
        <f>HYPERLINK("https://www.philgeps.gov.ph/GEPSNONPILOT/Tender/SplashBidNoticeAbstractUI.aspx?menuIndex=3&amp;refID=7061278&amp;Result=3","7061278")</f>
        <v>0</v>
      </c>
      <c r="B10099" t="s">
        <v>559</v>
      </c>
      <c r="C10099" t="s">
        <v>13021</v>
      </c>
      <c r="D10099" t="s">
        <v>16644</v>
      </c>
      <c r="E10099" t="s">
        <v>25488</v>
      </c>
      <c r="F10099" t="s">
        <v>28669</v>
      </c>
      <c r="G10099" t="s">
        <v>28675</v>
      </c>
      <c r="H10099" t="s">
        <v>9998</v>
      </c>
      <c r="I10099" t="s">
        <v>28704</v>
      </c>
      <c r="J10099" t="s">
        <v>35073</v>
      </c>
      <c r="K10099" t="s">
        <v>37206</v>
      </c>
      <c r="M10099" t="s">
        <v>40176</v>
      </c>
      <c r="N10099" t="s">
        <v>41249</v>
      </c>
      <c r="O10099" t="s">
        <v>41250</v>
      </c>
      <c r="P10099">
        <v>0</v>
      </c>
      <c r="Q10099">
        <v>2</v>
      </c>
      <c r="R10099" t="s">
        <v>41260</v>
      </c>
      <c r="S10099" t="s">
        <v>41624</v>
      </c>
      <c r="T10099" t="s">
        <v>43077</v>
      </c>
      <c r="U10099" t="s">
        <v>51338</v>
      </c>
      <c r="W10099" t="s">
        <v>40176</v>
      </c>
      <c r="X10099" t="s">
        <v>41261</v>
      </c>
    </row>
    <row r="10100" spans="1:24">
      <c r="A10100">
        <f>HYPERLINK("https://www.philgeps.gov.ph/GEPSNONPILOT/Tender/SplashBidNoticeAbstractUI.aspx?menuIndex=3&amp;refID=7061272&amp;Result=3","7061272")</f>
        <v>0</v>
      </c>
      <c r="B10100" t="s">
        <v>2540</v>
      </c>
      <c r="C10100" t="s">
        <v>13022</v>
      </c>
      <c r="D10100" t="s">
        <v>16647</v>
      </c>
      <c r="E10100" t="s">
        <v>25489</v>
      </c>
      <c r="F10100" t="s">
        <v>28669</v>
      </c>
      <c r="G10100" t="s">
        <v>28677</v>
      </c>
      <c r="H10100" t="s">
        <v>9998</v>
      </c>
      <c r="I10100" t="s">
        <v>28695</v>
      </c>
      <c r="J10100" t="s">
        <v>35074</v>
      </c>
      <c r="K10100" t="s">
        <v>37210</v>
      </c>
      <c r="M10100" t="s">
        <v>40230</v>
      </c>
      <c r="N10100" t="s">
        <v>41249</v>
      </c>
      <c r="O10100" t="s">
        <v>41250</v>
      </c>
      <c r="P10100">
        <v>0</v>
      </c>
      <c r="Q10100">
        <v>0</v>
      </c>
      <c r="R10100" t="s">
        <v>41260</v>
      </c>
      <c r="S10100" t="s">
        <v>41624</v>
      </c>
      <c r="T10100" t="s">
        <v>43002</v>
      </c>
      <c r="U10100" t="s">
        <v>51339</v>
      </c>
      <c r="W10100" t="s">
        <v>40230</v>
      </c>
      <c r="X10100" t="s">
        <v>41261</v>
      </c>
    </row>
    <row r="10101" spans="1:24">
      <c r="A10101">
        <f>HYPERLINK("https://www.philgeps.gov.ph/GEPSNONPILOT/Tender/SplashBidNoticeAbstractUI.aspx?menuIndex=3&amp;refID=7061337&amp;Result=3","7061337")</f>
        <v>0</v>
      </c>
      <c r="B10101" t="s">
        <v>2477</v>
      </c>
      <c r="C10101" t="s">
        <v>13023</v>
      </c>
      <c r="D10101" t="s">
        <v>16627</v>
      </c>
      <c r="E10101" t="s">
        <v>17609</v>
      </c>
      <c r="F10101" t="s">
        <v>28672</v>
      </c>
      <c r="G10101" t="s">
        <v>28675</v>
      </c>
      <c r="H10101" t="s">
        <v>28686</v>
      </c>
      <c r="I10101" t="s">
        <v>28691</v>
      </c>
      <c r="J10101" t="s">
        <v>28826</v>
      </c>
      <c r="K10101" t="s">
        <v>37227</v>
      </c>
      <c r="M10101" t="s">
        <v>40160</v>
      </c>
      <c r="N10101" t="s">
        <v>41249</v>
      </c>
      <c r="O10101" t="s">
        <v>41250</v>
      </c>
      <c r="P10101">
        <v>0</v>
      </c>
      <c r="Q10101">
        <v>0</v>
      </c>
      <c r="R10101" t="s">
        <v>41260</v>
      </c>
      <c r="S10101" t="s">
        <v>41624</v>
      </c>
      <c r="T10101" t="s">
        <v>42682</v>
      </c>
      <c r="U10101" t="s">
        <v>51340</v>
      </c>
      <c r="W10101" t="s">
        <v>40160</v>
      </c>
      <c r="X10101" t="s">
        <v>41261</v>
      </c>
    </row>
    <row r="10102" spans="1:24">
      <c r="A10102">
        <f>HYPERLINK("https://www.philgeps.gov.ph/GEPSNONPILOT/Tender/SplashBidNoticeAbstractUI.aspx?menuIndex=3&amp;refID=7061323&amp;Result=3","7061323")</f>
        <v>0</v>
      </c>
      <c r="B10102" t="s">
        <v>2897</v>
      </c>
      <c r="C10102" t="s">
        <v>13024</v>
      </c>
      <c r="D10102" t="s">
        <v>16663</v>
      </c>
      <c r="E10102" t="s">
        <v>25490</v>
      </c>
      <c r="F10102" t="s">
        <v>28669</v>
      </c>
      <c r="G10102" t="s">
        <v>28675</v>
      </c>
      <c r="H10102" t="s">
        <v>9998</v>
      </c>
      <c r="I10102" t="s">
        <v>28697</v>
      </c>
      <c r="J10102" t="s">
        <v>35075</v>
      </c>
      <c r="K10102" t="s">
        <v>37221</v>
      </c>
      <c r="M10102" t="s">
        <v>40644</v>
      </c>
      <c r="N10102" t="s">
        <v>41249</v>
      </c>
      <c r="O10102" t="s">
        <v>41250</v>
      </c>
      <c r="Q10102">
        <v>14</v>
      </c>
      <c r="R10102" t="s">
        <v>41260</v>
      </c>
      <c r="S10102" t="s">
        <v>41582</v>
      </c>
      <c r="T10102" t="s">
        <v>42976</v>
      </c>
      <c r="U10102" t="s">
        <v>51341</v>
      </c>
      <c r="W10102" t="s">
        <v>40644</v>
      </c>
      <c r="X10102" t="s">
        <v>41261</v>
      </c>
    </row>
    <row r="10103" spans="1:24">
      <c r="A10103">
        <f>HYPERLINK("https://www.philgeps.gov.ph/GEPSNONPILOT/Tender/SplashBidNoticeAbstractUI.aspx?menuIndex=3&amp;refID=7061378&amp;Result=3","7061378")</f>
        <v>0</v>
      </c>
      <c r="B10103" t="s">
        <v>1496</v>
      </c>
      <c r="C10103" t="s">
        <v>13025</v>
      </c>
      <c r="D10103" t="s">
        <v>16621</v>
      </c>
      <c r="E10103" t="s">
        <v>25491</v>
      </c>
      <c r="F10103" t="s">
        <v>28669</v>
      </c>
      <c r="G10103" t="s">
        <v>28675</v>
      </c>
      <c r="H10103" t="s">
        <v>9998</v>
      </c>
      <c r="I10103" t="s">
        <v>28817</v>
      </c>
      <c r="J10103" t="s">
        <v>35076</v>
      </c>
      <c r="K10103" t="s">
        <v>37290</v>
      </c>
      <c r="M10103" t="s">
        <v>39068</v>
      </c>
      <c r="N10103" t="s">
        <v>41249</v>
      </c>
      <c r="O10103" t="s">
        <v>41250</v>
      </c>
      <c r="P10103">
        <v>0</v>
      </c>
      <c r="Q10103">
        <v>2</v>
      </c>
      <c r="R10103" t="s">
        <v>41260</v>
      </c>
      <c r="S10103" t="s">
        <v>41624</v>
      </c>
      <c r="T10103" t="s">
        <v>42760</v>
      </c>
      <c r="U10103" t="s">
        <v>51342</v>
      </c>
      <c r="W10103" t="s">
        <v>39068</v>
      </c>
      <c r="X10103" t="s">
        <v>41261</v>
      </c>
    </row>
    <row r="10104" spans="1:24">
      <c r="A10104">
        <f>HYPERLINK("https://www.philgeps.gov.ph/GEPSNONPILOT/Tender/SplashBidNoticeAbstractUI.aspx?menuIndex=3&amp;refID=7061358&amp;Result=3","7061358")</f>
        <v>0</v>
      </c>
      <c r="B10104" t="s">
        <v>1624</v>
      </c>
      <c r="C10104" t="s">
        <v>13026</v>
      </c>
      <c r="D10104" t="s">
        <v>16624</v>
      </c>
      <c r="E10104" t="s">
        <v>25492</v>
      </c>
      <c r="F10104" t="s">
        <v>28669</v>
      </c>
      <c r="G10104" t="s">
        <v>28675</v>
      </c>
      <c r="H10104" t="s">
        <v>28686</v>
      </c>
      <c r="I10104" t="s">
        <v>28689</v>
      </c>
      <c r="J10104" t="s">
        <v>35077</v>
      </c>
      <c r="K10104" t="s">
        <v>37260</v>
      </c>
      <c r="M10104" t="s">
        <v>39210</v>
      </c>
      <c r="N10104" t="s">
        <v>41249</v>
      </c>
      <c r="O10104" t="s">
        <v>41250</v>
      </c>
      <c r="P10104">
        <v>0</v>
      </c>
      <c r="Q10104">
        <v>0</v>
      </c>
      <c r="R10104" t="s">
        <v>41260</v>
      </c>
      <c r="S10104" t="s">
        <v>41624</v>
      </c>
      <c r="T10104" t="s">
        <v>42760</v>
      </c>
      <c r="U10104" t="s">
        <v>48856</v>
      </c>
      <c r="W10104" t="s">
        <v>39210</v>
      </c>
      <c r="X10104" t="s">
        <v>41261</v>
      </c>
    </row>
    <row r="10105" spans="1:24">
      <c r="A10105">
        <f>HYPERLINK("https://www.philgeps.gov.ph/GEPSNONPILOT/Tender/SplashBidNoticeAbstractUI.aspx?menuIndex=3&amp;refID=7061355&amp;Result=3","7061355")</f>
        <v>0</v>
      </c>
      <c r="B10105" t="s">
        <v>2897</v>
      </c>
      <c r="C10105" t="s">
        <v>13027</v>
      </c>
      <c r="D10105" t="s">
        <v>16663</v>
      </c>
      <c r="E10105" t="s">
        <v>25493</v>
      </c>
      <c r="F10105" t="s">
        <v>28669</v>
      </c>
      <c r="G10105" t="s">
        <v>28675</v>
      </c>
      <c r="H10105" t="s">
        <v>9998</v>
      </c>
      <c r="I10105" t="s">
        <v>28786</v>
      </c>
      <c r="J10105" t="s">
        <v>35078</v>
      </c>
      <c r="K10105" t="s">
        <v>37221</v>
      </c>
      <c r="M10105" t="s">
        <v>40644</v>
      </c>
      <c r="N10105" t="s">
        <v>41249</v>
      </c>
      <c r="O10105" t="s">
        <v>41250</v>
      </c>
      <c r="Q10105">
        <v>8</v>
      </c>
      <c r="R10105" t="s">
        <v>41260</v>
      </c>
      <c r="S10105" t="s">
        <v>41618</v>
      </c>
      <c r="T10105" t="s">
        <v>43063</v>
      </c>
      <c r="U10105" t="s">
        <v>51343</v>
      </c>
      <c r="W10105" t="s">
        <v>40644</v>
      </c>
      <c r="X10105" t="s">
        <v>41261</v>
      </c>
    </row>
    <row r="10106" spans="1:24">
      <c r="A10106">
        <f>HYPERLINK("https://www.philgeps.gov.ph/GEPSNONPILOT/Tender/SplashBidNoticeAbstractUI.aspx?menuIndex=3&amp;refID=7061343&amp;Result=3","7061343")</f>
        <v>0</v>
      </c>
      <c r="B10106" t="s">
        <v>2898</v>
      </c>
      <c r="C10106" t="s">
        <v>13028</v>
      </c>
      <c r="D10106" t="s">
        <v>16683</v>
      </c>
      <c r="E10106" t="s">
        <v>25494</v>
      </c>
      <c r="F10106" t="s">
        <v>28669</v>
      </c>
      <c r="G10106" t="s">
        <v>28675</v>
      </c>
      <c r="H10106" t="s">
        <v>9998</v>
      </c>
      <c r="I10106" t="s">
        <v>11593</v>
      </c>
      <c r="J10106" t="s">
        <v>35079</v>
      </c>
      <c r="K10106" t="s">
        <v>37210</v>
      </c>
      <c r="M10106" t="s">
        <v>40645</v>
      </c>
      <c r="N10106" t="s">
        <v>41249</v>
      </c>
      <c r="O10106" t="s">
        <v>41250</v>
      </c>
      <c r="P10106">
        <v>0</v>
      </c>
      <c r="Q10106">
        <v>4</v>
      </c>
      <c r="R10106" t="s">
        <v>41260</v>
      </c>
      <c r="S10106" t="s">
        <v>41624</v>
      </c>
      <c r="T10106" t="s">
        <v>42739</v>
      </c>
      <c r="U10106" t="s">
        <v>51344</v>
      </c>
      <c r="W10106" t="s">
        <v>40645</v>
      </c>
      <c r="X10106" t="s">
        <v>41261</v>
      </c>
    </row>
    <row r="10107" spans="1:24">
      <c r="A10107">
        <f>HYPERLINK("https://www.philgeps.gov.ph/GEPSNONPILOT/Tender/SplashBidNoticeAbstractUI.aspx?menuIndex=3&amp;refID=7061354&amp;Result=3","7061354")</f>
        <v>0</v>
      </c>
      <c r="B10107" t="s">
        <v>135</v>
      </c>
      <c r="C10107" t="s">
        <v>13029</v>
      </c>
      <c r="D10107" t="s">
        <v>16622</v>
      </c>
      <c r="E10107" t="s">
        <v>25495</v>
      </c>
      <c r="F10107" t="s">
        <v>28669</v>
      </c>
      <c r="G10107" t="s">
        <v>28675</v>
      </c>
      <c r="H10107" t="s">
        <v>28686</v>
      </c>
      <c r="I10107" t="s">
        <v>28806</v>
      </c>
      <c r="J10107" t="s">
        <v>35080</v>
      </c>
      <c r="K10107" t="s">
        <v>37288</v>
      </c>
      <c r="M10107" t="s">
        <v>39732</v>
      </c>
      <c r="N10107" t="s">
        <v>41249</v>
      </c>
      <c r="O10107" t="s">
        <v>41250</v>
      </c>
      <c r="P10107">
        <v>0</v>
      </c>
      <c r="Q10107">
        <v>0</v>
      </c>
      <c r="R10107" t="s">
        <v>41260</v>
      </c>
      <c r="S10107" t="s">
        <v>41624</v>
      </c>
      <c r="T10107" t="s">
        <v>43069</v>
      </c>
      <c r="U10107" t="s">
        <v>51345</v>
      </c>
      <c r="W10107" t="s">
        <v>39732</v>
      </c>
      <c r="X10107" t="s">
        <v>41261</v>
      </c>
    </row>
    <row r="10108" spans="1:24">
      <c r="A10108">
        <f>HYPERLINK("https://www.philgeps.gov.ph/GEPSNONPILOT/Tender/SplashBidNoticeAbstractUI.aspx?menuIndex=3&amp;refID=7061345&amp;Result=3","7061345")</f>
        <v>0</v>
      </c>
      <c r="B10108" t="s">
        <v>2897</v>
      </c>
      <c r="C10108" t="s">
        <v>13030</v>
      </c>
      <c r="D10108" t="s">
        <v>16663</v>
      </c>
      <c r="E10108" t="s">
        <v>25496</v>
      </c>
      <c r="F10108" t="s">
        <v>28669</v>
      </c>
      <c r="G10108" t="s">
        <v>28675</v>
      </c>
      <c r="H10108" t="s">
        <v>9998</v>
      </c>
      <c r="I10108" t="s">
        <v>28707</v>
      </c>
      <c r="J10108" t="s">
        <v>29033</v>
      </c>
      <c r="K10108" t="s">
        <v>37221</v>
      </c>
      <c r="M10108" t="s">
        <v>40644</v>
      </c>
      <c r="N10108" t="s">
        <v>41249</v>
      </c>
      <c r="O10108" t="s">
        <v>41250</v>
      </c>
      <c r="Q10108">
        <v>9</v>
      </c>
      <c r="R10108" t="s">
        <v>41260</v>
      </c>
      <c r="S10108" t="s">
        <v>41619</v>
      </c>
      <c r="T10108" t="s">
        <v>43063</v>
      </c>
      <c r="U10108" t="s">
        <v>51346</v>
      </c>
      <c r="W10108" t="s">
        <v>40644</v>
      </c>
      <c r="X10108" t="s">
        <v>41261</v>
      </c>
    </row>
    <row r="10109" spans="1:24">
      <c r="A10109">
        <f>HYPERLINK("https://www.philgeps.gov.ph/GEPSNONPILOT/Tender/SplashBidNoticeAbstractUI.aspx?menuIndex=3&amp;refID=7061382&amp;Result=3","7061382")</f>
        <v>0</v>
      </c>
      <c r="B10109" t="s">
        <v>2365</v>
      </c>
      <c r="C10109" t="s">
        <v>13031</v>
      </c>
      <c r="D10109" t="s">
        <v>16628</v>
      </c>
      <c r="E10109" t="s">
        <v>25497</v>
      </c>
      <c r="F10109" t="s">
        <v>28669</v>
      </c>
      <c r="G10109" t="s">
        <v>28675</v>
      </c>
      <c r="H10109" t="s">
        <v>9998</v>
      </c>
      <c r="I10109" t="s">
        <v>7352</v>
      </c>
      <c r="J10109" t="s">
        <v>35081</v>
      </c>
      <c r="K10109" t="s">
        <v>37205</v>
      </c>
      <c r="M10109" t="s">
        <v>40034</v>
      </c>
      <c r="N10109" t="s">
        <v>41249</v>
      </c>
      <c r="O10109" t="s">
        <v>41250</v>
      </c>
      <c r="P10109">
        <v>0</v>
      </c>
      <c r="Q10109">
        <v>0</v>
      </c>
      <c r="R10109" t="s">
        <v>41260</v>
      </c>
      <c r="S10109" t="s">
        <v>41624</v>
      </c>
      <c r="T10109" t="s">
        <v>42690</v>
      </c>
      <c r="U10109" t="s">
        <v>51347</v>
      </c>
      <c r="W10109" t="s">
        <v>40034</v>
      </c>
      <c r="X10109" t="s">
        <v>41261</v>
      </c>
    </row>
    <row r="10110" spans="1:24">
      <c r="A10110">
        <f>HYPERLINK("https://www.philgeps.gov.ph/GEPSNONPILOT/Tender/SplashBidNoticeAbstractUI.aspx?menuIndex=3&amp;refID=7061431&amp;Result=3","7061431")</f>
        <v>0</v>
      </c>
      <c r="B10110" t="s">
        <v>283</v>
      </c>
      <c r="C10110" t="s">
        <v>13032</v>
      </c>
      <c r="D10110" t="s">
        <v>16642</v>
      </c>
      <c r="E10110" t="s">
        <v>25498</v>
      </c>
      <c r="F10110" t="s">
        <v>28669</v>
      </c>
      <c r="G10110" t="s">
        <v>28675</v>
      </c>
      <c r="H10110" t="s">
        <v>28684</v>
      </c>
      <c r="I10110" t="s">
        <v>28687</v>
      </c>
      <c r="J10110" t="s">
        <v>35082</v>
      </c>
      <c r="K10110" t="s">
        <v>37327</v>
      </c>
      <c r="M10110" t="s">
        <v>40646</v>
      </c>
      <c r="N10110" t="s">
        <v>41249</v>
      </c>
      <c r="O10110" t="s">
        <v>41250</v>
      </c>
      <c r="P10110">
        <v>0</v>
      </c>
      <c r="Q10110">
        <v>5</v>
      </c>
      <c r="R10110" t="s">
        <v>41260</v>
      </c>
      <c r="S10110" t="s">
        <v>41624</v>
      </c>
      <c r="T10110" t="s">
        <v>42739</v>
      </c>
      <c r="U10110" t="s">
        <v>51348</v>
      </c>
      <c r="V10110" t="s">
        <v>55366</v>
      </c>
      <c r="W10110" t="s">
        <v>40646</v>
      </c>
      <c r="X10110" t="s">
        <v>41261</v>
      </c>
    </row>
    <row r="10111" spans="1:24">
      <c r="A10111">
        <f>HYPERLINK("https://www.philgeps.gov.ph/GEPSNONPILOT/Tender/SplashBidNoticeAbstractUI.aspx?menuIndex=3&amp;refID=7061426&amp;Result=3","7061426")</f>
        <v>0</v>
      </c>
      <c r="B10111" t="s">
        <v>893</v>
      </c>
      <c r="C10111" t="s">
        <v>13033</v>
      </c>
      <c r="D10111" t="s">
        <v>16608</v>
      </c>
      <c r="E10111" t="s">
        <v>25499</v>
      </c>
      <c r="F10111" t="s">
        <v>28669</v>
      </c>
      <c r="G10111" t="s">
        <v>28676</v>
      </c>
      <c r="H10111" t="s">
        <v>9998</v>
      </c>
      <c r="I10111" t="s">
        <v>28704</v>
      </c>
      <c r="J10111" t="s">
        <v>29144</v>
      </c>
      <c r="K10111" t="s">
        <v>37206</v>
      </c>
      <c r="M10111" t="s">
        <v>38414</v>
      </c>
      <c r="N10111" t="s">
        <v>41249</v>
      </c>
      <c r="O10111" t="s">
        <v>41250</v>
      </c>
      <c r="Q10111">
        <v>3</v>
      </c>
      <c r="R10111" t="s">
        <v>41260</v>
      </c>
      <c r="S10111" t="s">
        <v>41674</v>
      </c>
      <c r="T10111" t="s">
        <v>42711</v>
      </c>
      <c r="U10111" t="s">
        <v>51349</v>
      </c>
      <c r="W10111" t="s">
        <v>38414</v>
      </c>
      <c r="X10111" t="s">
        <v>41261</v>
      </c>
    </row>
    <row r="10112" spans="1:24">
      <c r="A10112">
        <f>HYPERLINK("https://www.philgeps.gov.ph/GEPSNONPILOT/Tender/SplashBidNoticeAbstractUI.aspx?menuIndex=3&amp;refID=7061422&amp;Result=3","7061422")</f>
        <v>0</v>
      </c>
      <c r="B10112" t="s">
        <v>135</v>
      </c>
      <c r="C10112" t="s">
        <v>13034</v>
      </c>
      <c r="D10112" t="s">
        <v>16622</v>
      </c>
      <c r="E10112" t="s">
        <v>25495</v>
      </c>
      <c r="F10112" t="s">
        <v>28669</v>
      </c>
      <c r="G10112" t="s">
        <v>28675</v>
      </c>
      <c r="H10112" t="s">
        <v>28686</v>
      </c>
      <c r="I10112" t="s">
        <v>28806</v>
      </c>
      <c r="J10112" t="s">
        <v>35083</v>
      </c>
      <c r="K10112" t="s">
        <v>37421</v>
      </c>
      <c r="M10112" t="s">
        <v>39732</v>
      </c>
      <c r="N10112" t="s">
        <v>41249</v>
      </c>
      <c r="O10112" t="s">
        <v>41250</v>
      </c>
      <c r="P10112">
        <v>0</v>
      </c>
      <c r="Q10112">
        <v>0</v>
      </c>
      <c r="R10112" t="s">
        <v>41260</v>
      </c>
      <c r="S10112" t="s">
        <v>41624</v>
      </c>
      <c r="T10112" t="s">
        <v>42724</v>
      </c>
      <c r="U10112" t="s">
        <v>51350</v>
      </c>
      <c r="W10112" t="s">
        <v>39732</v>
      </c>
      <c r="X10112" t="s">
        <v>41261</v>
      </c>
    </row>
    <row r="10113" spans="1:24">
      <c r="A10113">
        <f>HYPERLINK("https://www.philgeps.gov.ph/GEPSNONPILOT/Tender/SplashBidNoticeAbstractUI.aspx?menuIndex=3&amp;refID=7061420&amp;Result=3","7061420")</f>
        <v>0</v>
      </c>
      <c r="B10113" t="s">
        <v>2899</v>
      </c>
      <c r="C10113" t="s">
        <v>13035</v>
      </c>
      <c r="D10113" t="s">
        <v>16640</v>
      </c>
      <c r="E10113" t="s">
        <v>25500</v>
      </c>
      <c r="F10113" t="s">
        <v>28669</v>
      </c>
      <c r="G10113" t="s">
        <v>28675</v>
      </c>
      <c r="H10113" t="s">
        <v>9998</v>
      </c>
      <c r="I10113" t="s">
        <v>28792</v>
      </c>
      <c r="J10113" t="s">
        <v>28847</v>
      </c>
      <c r="K10113" t="s">
        <v>37212</v>
      </c>
      <c r="M10113" t="s">
        <v>40647</v>
      </c>
      <c r="N10113" t="s">
        <v>41249</v>
      </c>
      <c r="O10113" t="s">
        <v>41250</v>
      </c>
      <c r="P10113">
        <v>0</v>
      </c>
      <c r="Q10113">
        <v>3</v>
      </c>
      <c r="R10113" t="s">
        <v>41260</v>
      </c>
      <c r="S10113" t="s">
        <v>41624</v>
      </c>
      <c r="T10113" t="s">
        <v>42836</v>
      </c>
      <c r="U10113" t="s">
        <v>51351</v>
      </c>
      <c r="W10113" t="s">
        <v>40647</v>
      </c>
      <c r="X10113" t="s">
        <v>41261</v>
      </c>
    </row>
    <row r="10114" spans="1:24">
      <c r="A10114">
        <f>HYPERLINK("https://www.philgeps.gov.ph/GEPSNONPILOT/Tender/SplashBidNoticeAbstractUI.aspx?menuIndex=3&amp;refID=7061274&amp;Result=3","7061274")</f>
        <v>0</v>
      </c>
      <c r="B10114" t="s">
        <v>2900</v>
      </c>
      <c r="C10114" t="s">
        <v>13036</v>
      </c>
      <c r="D10114" t="s">
        <v>16621</v>
      </c>
      <c r="E10114" t="s">
        <v>25501</v>
      </c>
      <c r="F10114" t="s">
        <v>28669</v>
      </c>
      <c r="G10114" t="s">
        <v>28677</v>
      </c>
      <c r="H10114" t="s">
        <v>9998</v>
      </c>
      <c r="I10114" t="s">
        <v>28688</v>
      </c>
      <c r="J10114" t="s">
        <v>35084</v>
      </c>
      <c r="K10114" t="s">
        <v>37204</v>
      </c>
      <c r="M10114" t="s">
        <v>40648</v>
      </c>
      <c r="N10114" t="s">
        <v>41249</v>
      </c>
      <c r="O10114" t="s">
        <v>41250</v>
      </c>
      <c r="P10114">
        <v>0</v>
      </c>
      <c r="Q10114">
        <v>5</v>
      </c>
      <c r="R10114" t="s">
        <v>41260</v>
      </c>
      <c r="S10114" t="s">
        <v>41624</v>
      </c>
      <c r="T10114" t="s">
        <v>42764</v>
      </c>
      <c r="U10114" t="s">
        <v>51352</v>
      </c>
      <c r="W10114" t="s">
        <v>40648</v>
      </c>
      <c r="X10114" t="s">
        <v>41261</v>
      </c>
    </row>
    <row r="10115" spans="1:24">
      <c r="A10115">
        <f>HYPERLINK("https://www.philgeps.gov.ph/GEPSNONPILOT/Tender/SplashBidNoticeAbstractUI.aspx?menuIndex=3&amp;refID=7061407&amp;Result=3","7061407")</f>
        <v>0</v>
      </c>
      <c r="B10115" t="s">
        <v>2901</v>
      </c>
      <c r="C10115" t="s">
        <v>13037</v>
      </c>
      <c r="D10115" t="s">
        <v>16610</v>
      </c>
      <c r="E10115" t="s">
        <v>25502</v>
      </c>
      <c r="F10115" t="s">
        <v>28669</v>
      </c>
      <c r="G10115" t="s">
        <v>28675</v>
      </c>
      <c r="H10115" t="s">
        <v>28686</v>
      </c>
      <c r="I10115" t="s">
        <v>28689</v>
      </c>
      <c r="J10115" t="s">
        <v>35085</v>
      </c>
      <c r="K10115" t="s">
        <v>37220</v>
      </c>
      <c r="M10115" t="s">
        <v>40649</v>
      </c>
      <c r="N10115" t="s">
        <v>41249</v>
      </c>
      <c r="O10115" t="s">
        <v>41250</v>
      </c>
      <c r="P10115">
        <v>0</v>
      </c>
      <c r="Q10115">
        <v>0</v>
      </c>
      <c r="R10115" t="s">
        <v>41260</v>
      </c>
      <c r="S10115" t="s">
        <v>41624</v>
      </c>
      <c r="T10115" t="s">
        <v>42976</v>
      </c>
      <c r="U10115" t="s">
        <v>51353</v>
      </c>
      <c r="W10115" t="s">
        <v>40649</v>
      </c>
      <c r="X10115" t="s">
        <v>41261</v>
      </c>
    </row>
    <row r="10116" spans="1:24">
      <c r="A10116">
        <f>HYPERLINK("https://www.philgeps.gov.ph/GEPSNONPILOT/Tender/SplashBidNoticeAbstractUI.aspx?menuIndex=3&amp;refID=7061401&amp;Result=3","7061401")</f>
        <v>0</v>
      </c>
      <c r="B10116" t="s">
        <v>2901</v>
      </c>
      <c r="C10116" t="s">
        <v>13038</v>
      </c>
      <c r="D10116" t="s">
        <v>16610</v>
      </c>
      <c r="E10116" t="s">
        <v>25503</v>
      </c>
      <c r="F10116" t="s">
        <v>28669</v>
      </c>
      <c r="G10116" t="s">
        <v>28675</v>
      </c>
      <c r="H10116" t="s">
        <v>9998</v>
      </c>
      <c r="I10116" t="s">
        <v>7352</v>
      </c>
      <c r="J10116" t="s">
        <v>35086</v>
      </c>
      <c r="K10116" t="s">
        <v>37205</v>
      </c>
      <c r="M10116" t="s">
        <v>40649</v>
      </c>
      <c r="N10116" t="s">
        <v>41249</v>
      </c>
      <c r="O10116" t="s">
        <v>41250</v>
      </c>
      <c r="P10116">
        <v>0</v>
      </c>
      <c r="Q10116">
        <v>0</v>
      </c>
      <c r="R10116" t="s">
        <v>41260</v>
      </c>
      <c r="S10116" t="s">
        <v>41624</v>
      </c>
      <c r="T10116" t="s">
        <v>42976</v>
      </c>
      <c r="U10116" t="s">
        <v>51354</v>
      </c>
      <c r="W10116" t="s">
        <v>40649</v>
      </c>
      <c r="X10116" t="s">
        <v>41261</v>
      </c>
    </row>
    <row r="10117" spans="1:24">
      <c r="A10117">
        <f>HYPERLINK("https://www.philgeps.gov.ph/GEPSNONPILOT/Tender/SplashBidNoticeAbstractUI.aspx?menuIndex=3&amp;refID=7061398&amp;Result=3","7061398")</f>
        <v>0</v>
      </c>
      <c r="B10117" t="s">
        <v>2365</v>
      </c>
      <c r="C10117" t="s">
        <v>13039</v>
      </c>
      <c r="D10117" t="s">
        <v>16628</v>
      </c>
      <c r="E10117" t="s">
        <v>25504</v>
      </c>
      <c r="F10117" t="s">
        <v>28669</v>
      </c>
      <c r="G10117" t="s">
        <v>28675</v>
      </c>
      <c r="H10117" t="s">
        <v>9998</v>
      </c>
      <c r="I10117" t="s">
        <v>7352</v>
      </c>
      <c r="J10117" t="s">
        <v>35087</v>
      </c>
      <c r="K10117" t="s">
        <v>37220</v>
      </c>
      <c r="M10117" t="s">
        <v>40034</v>
      </c>
      <c r="N10117" t="s">
        <v>41249</v>
      </c>
      <c r="O10117" t="s">
        <v>41250</v>
      </c>
      <c r="P10117">
        <v>0</v>
      </c>
      <c r="Q10117">
        <v>0</v>
      </c>
      <c r="R10117" t="s">
        <v>41260</v>
      </c>
      <c r="S10117" t="s">
        <v>41624</v>
      </c>
      <c r="T10117" t="s">
        <v>42690</v>
      </c>
      <c r="U10117" t="s">
        <v>51347</v>
      </c>
      <c r="W10117" t="s">
        <v>40034</v>
      </c>
      <c r="X10117" t="s">
        <v>41261</v>
      </c>
    </row>
    <row r="10118" spans="1:24">
      <c r="A10118">
        <f>HYPERLINK("https://www.philgeps.gov.ph/GEPSNONPILOT/Tender/SplashBidNoticeAbstractUI.aspx?menuIndex=3&amp;refID=7061338&amp;Result=3","7061338")</f>
        <v>0</v>
      </c>
      <c r="B10118" t="s">
        <v>2897</v>
      </c>
      <c r="C10118" t="s">
        <v>13040</v>
      </c>
      <c r="D10118" t="s">
        <v>16663</v>
      </c>
      <c r="E10118" t="s">
        <v>25505</v>
      </c>
      <c r="F10118" t="s">
        <v>28669</v>
      </c>
      <c r="G10118" t="s">
        <v>28675</v>
      </c>
      <c r="H10118" t="s">
        <v>9998</v>
      </c>
      <c r="I10118" t="s">
        <v>28701</v>
      </c>
      <c r="J10118" t="s">
        <v>35088</v>
      </c>
      <c r="K10118" t="s">
        <v>37397</v>
      </c>
      <c r="M10118" t="s">
        <v>40644</v>
      </c>
      <c r="N10118" t="s">
        <v>41249</v>
      </c>
      <c r="O10118" t="s">
        <v>41250</v>
      </c>
      <c r="Q10118">
        <v>4</v>
      </c>
      <c r="R10118" t="s">
        <v>41260</v>
      </c>
      <c r="S10118" t="s">
        <v>41675</v>
      </c>
      <c r="T10118" t="s">
        <v>42976</v>
      </c>
      <c r="U10118" t="s">
        <v>51355</v>
      </c>
      <c r="W10118" t="s">
        <v>40644</v>
      </c>
      <c r="X10118" t="s">
        <v>41261</v>
      </c>
    </row>
    <row r="10119" spans="1:24">
      <c r="A10119">
        <f>HYPERLINK("https://www.philgeps.gov.ph/GEPSNONPILOT/Tender/SplashBidNoticeAbstractUI.aspx?menuIndex=3&amp;refID=7061467&amp;Result=3","7061467")</f>
        <v>0</v>
      </c>
      <c r="B10119" t="s">
        <v>1961</v>
      </c>
      <c r="C10119" t="s">
        <v>13041</v>
      </c>
      <c r="D10119" t="s">
        <v>16608</v>
      </c>
      <c r="E10119" t="s">
        <v>25506</v>
      </c>
      <c r="F10119" t="s">
        <v>28669</v>
      </c>
      <c r="G10119" t="s">
        <v>28675</v>
      </c>
      <c r="H10119" t="s">
        <v>9998</v>
      </c>
      <c r="I10119" t="s">
        <v>28694</v>
      </c>
      <c r="J10119" t="s">
        <v>35089</v>
      </c>
      <c r="K10119" t="s">
        <v>37205</v>
      </c>
      <c r="M10119" t="s">
        <v>40602</v>
      </c>
      <c r="N10119" t="s">
        <v>41249</v>
      </c>
      <c r="O10119" t="s">
        <v>41250</v>
      </c>
      <c r="P10119">
        <v>0</v>
      </c>
      <c r="Q10119">
        <v>12</v>
      </c>
      <c r="R10119" t="s">
        <v>41260</v>
      </c>
      <c r="S10119" t="s">
        <v>41624</v>
      </c>
      <c r="T10119" t="s">
        <v>42721</v>
      </c>
      <c r="U10119" t="s">
        <v>51356</v>
      </c>
      <c r="W10119" t="s">
        <v>40602</v>
      </c>
      <c r="X10119" t="s">
        <v>41261</v>
      </c>
    </row>
    <row r="10120" spans="1:24">
      <c r="A10120">
        <f>HYPERLINK("https://www.philgeps.gov.ph/GEPSNONPILOT/Tender/SplashBidNoticeAbstractUI.aspx?menuIndex=3&amp;refID=7061454&amp;Result=3","7061454")</f>
        <v>0</v>
      </c>
      <c r="B10120" t="s">
        <v>818</v>
      </c>
      <c r="C10120" t="s">
        <v>13042</v>
      </c>
      <c r="D10120" t="s">
        <v>16664</v>
      </c>
      <c r="E10120" t="s">
        <v>22231</v>
      </c>
      <c r="F10120" t="s">
        <v>28669</v>
      </c>
      <c r="G10120" t="s">
        <v>28675</v>
      </c>
      <c r="H10120" t="s">
        <v>9998</v>
      </c>
      <c r="I10120" t="s">
        <v>11593</v>
      </c>
      <c r="J10120" t="s">
        <v>31040</v>
      </c>
      <c r="K10120" t="s">
        <v>37243</v>
      </c>
      <c r="M10120" t="s">
        <v>38334</v>
      </c>
      <c r="N10120" t="s">
        <v>41249</v>
      </c>
      <c r="O10120" t="s">
        <v>41250</v>
      </c>
      <c r="P10120">
        <v>0</v>
      </c>
      <c r="Q10120">
        <v>5</v>
      </c>
      <c r="R10120" t="s">
        <v>41260</v>
      </c>
      <c r="S10120" t="s">
        <v>41624</v>
      </c>
      <c r="T10120" t="s">
        <v>42743</v>
      </c>
      <c r="U10120" t="s">
        <v>51357</v>
      </c>
      <c r="W10120" t="s">
        <v>38334</v>
      </c>
      <c r="X10120" t="s">
        <v>41261</v>
      </c>
    </row>
    <row r="10121" spans="1:24">
      <c r="A10121">
        <f>HYPERLINK("https://www.philgeps.gov.ph/GEPSNONPILOT/Tender/SplashBidNoticeAbstractUI.aspx?menuIndex=3&amp;refID=7061429&amp;Result=3","7061429")</f>
        <v>0</v>
      </c>
      <c r="B10121" t="s">
        <v>2901</v>
      </c>
      <c r="C10121" t="s">
        <v>13043</v>
      </c>
      <c r="D10121" t="s">
        <v>16610</v>
      </c>
      <c r="E10121" t="s">
        <v>25507</v>
      </c>
      <c r="F10121" t="s">
        <v>28669</v>
      </c>
      <c r="G10121" t="s">
        <v>28675</v>
      </c>
      <c r="H10121" t="s">
        <v>28686</v>
      </c>
      <c r="I10121" t="s">
        <v>28689</v>
      </c>
      <c r="J10121" t="s">
        <v>35090</v>
      </c>
      <c r="K10121" t="s">
        <v>37215</v>
      </c>
      <c r="M10121" t="s">
        <v>40649</v>
      </c>
      <c r="N10121" t="s">
        <v>41249</v>
      </c>
      <c r="O10121" t="s">
        <v>41250</v>
      </c>
      <c r="P10121">
        <v>0</v>
      </c>
      <c r="Q10121">
        <v>0</v>
      </c>
      <c r="R10121" t="s">
        <v>41260</v>
      </c>
      <c r="S10121" t="s">
        <v>41624</v>
      </c>
      <c r="T10121" t="s">
        <v>42976</v>
      </c>
      <c r="U10121" t="s">
        <v>51358</v>
      </c>
      <c r="W10121" t="s">
        <v>40649</v>
      </c>
      <c r="X10121" t="s">
        <v>41261</v>
      </c>
    </row>
    <row r="10122" spans="1:24">
      <c r="A10122">
        <f>HYPERLINK("https://www.philgeps.gov.ph/GEPSNONPILOT/Tender/SplashBidNoticeAbstractUI.aspx?menuIndex=3&amp;refID=7061394&amp;Result=3","7061394")</f>
        <v>0</v>
      </c>
      <c r="B10122" t="s">
        <v>2365</v>
      </c>
      <c r="C10122" t="s">
        <v>13044</v>
      </c>
      <c r="D10122" t="s">
        <v>16628</v>
      </c>
      <c r="E10122" t="s">
        <v>25508</v>
      </c>
      <c r="F10122" t="s">
        <v>28669</v>
      </c>
      <c r="G10122" t="s">
        <v>28675</v>
      </c>
      <c r="H10122" t="s">
        <v>9998</v>
      </c>
      <c r="I10122" t="s">
        <v>7352</v>
      </c>
      <c r="J10122" t="s">
        <v>35091</v>
      </c>
      <c r="K10122" t="s">
        <v>37220</v>
      </c>
      <c r="M10122" t="s">
        <v>40034</v>
      </c>
      <c r="N10122" t="s">
        <v>41249</v>
      </c>
      <c r="O10122" t="s">
        <v>41250</v>
      </c>
      <c r="P10122">
        <v>0</v>
      </c>
      <c r="Q10122">
        <v>0</v>
      </c>
      <c r="R10122" t="s">
        <v>41260</v>
      </c>
      <c r="S10122" t="s">
        <v>41624</v>
      </c>
      <c r="T10122" t="s">
        <v>42690</v>
      </c>
      <c r="U10122" t="s">
        <v>51347</v>
      </c>
      <c r="W10122" t="s">
        <v>40034</v>
      </c>
      <c r="X10122" t="s">
        <v>41261</v>
      </c>
    </row>
    <row r="10123" spans="1:24">
      <c r="A10123">
        <f>HYPERLINK("https://www.philgeps.gov.ph/GEPSNONPILOT/Tender/SplashBidNoticeAbstractUI.aspx?menuIndex=3&amp;refID=7061265&amp;Result=3","7061265")</f>
        <v>0</v>
      </c>
      <c r="B10123" t="s">
        <v>807</v>
      </c>
      <c r="C10123" t="s">
        <v>13045</v>
      </c>
      <c r="E10123" t="s">
        <v>25509</v>
      </c>
      <c r="F10123" t="s">
        <v>28669</v>
      </c>
      <c r="G10123" t="s">
        <v>28675</v>
      </c>
      <c r="H10123" t="s">
        <v>28686</v>
      </c>
      <c r="I10123" t="s">
        <v>28689</v>
      </c>
      <c r="J10123" t="s">
        <v>35092</v>
      </c>
      <c r="K10123" t="s">
        <v>37209</v>
      </c>
      <c r="M10123" t="s">
        <v>38322</v>
      </c>
      <c r="N10123" t="s">
        <v>41249</v>
      </c>
      <c r="O10123" t="s">
        <v>41250</v>
      </c>
      <c r="Q10123">
        <v>2</v>
      </c>
      <c r="R10123" t="s">
        <v>41260</v>
      </c>
      <c r="S10123" t="s">
        <v>41676</v>
      </c>
      <c r="T10123" t="s">
        <v>42658</v>
      </c>
      <c r="U10123" t="s">
        <v>51359</v>
      </c>
      <c r="W10123" t="s">
        <v>38322</v>
      </c>
      <c r="X10123" t="s">
        <v>41261</v>
      </c>
    </row>
    <row r="10124" spans="1:24">
      <c r="A10124">
        <f>HYPERLINK("https://www.philgeps.gov.ph/GEPSNONPILOT/Tender/SplashBidNoticeAbstractUI.aspx?menuIndex=3&amp;refID=7061328&amp;Result=3","7061328")</f>
        <v>0</v>
      </c>
      <c r="B10124" t="s">
        <v>1600</v>
      </c>
      <c r="C10124" t="s">
        <v>13046</v>
      </c>
      <c r="D10124" t="s">
        <v>16608</v>
      </c>
      <c r="E10124" t="s">
        <v>25510</v>
      </c>
      <c r="F10124" t="s">
        <v>28669</v>
      </c>
      <c r="G10124" t="s">
        <v>28675</v>
      </c>
      <c r="H10124" t="s">
        <v>9998</v>
      </c>
      <c r="I10124" t="s">
        <v>28699</v>
      </c>
      <c r="J10124" t="s">
        <v>33448</v>
      </c>
      <c r="K10124" t="s">
        <v>37220</v>
      </c>
      <c r="M10124" t="s">
        <v>39183</v>
      </c>
      <c r="N10124" t="s">
        <v>41249</v>
      </c>
      <c r="O10124" t="s">
        <v>41250</v>
      </c>
      <c r="P10124">
        <v>0</v>
      </c>
      <c r="Q10124">
        <v>14</v>
      </c>
      <c r="R10124" t="s">
        <v>41260</v>
      </c>
      <c r="S10124" t="s">
        <v>41624</v>
      </c>
      <c r="T10124" t="s">
        <v>42769</v>
      </c>
      <c r="U10124" t="s">
        <v>51360</v>
      </c>
      <c r="V10124" t="s">
        <v>54738</v>
      </c>
      <c r="W10124" t="s">
        <v>39183</v>
      </c>
      <c r="X10124" t="s">
        <v>41261</v>
      </c>
    </row>
    <row r="10125" spans="1:24">
      <c r="A10125">
        <f>HYPERLINK("https://www.philgeps.gov.ph/GEPSNONPILOT/Tender/SplashBidNoticeAbstractUI.aspx?menuIndex=3&amp;refID=7061391&amp;Result=3","7061391")</f>
        <v>0</v>
      </c>
      <c r="B10125" t="s">
        <v>893</v>
      </c>
      <c r="C10125" t="s">
        <v>13047</v>
      </c>
      <c r="D10125" t="s">
        <v>16608</v>
      </c>
      <c r="E10125" t="s">
        <v>25511</v>
      </c>
      <c r="F10125" t="s">
        <v>28669</v>
      </c>
      <c r="G10125" t="s">
        <v>28676</v>
      </c>
      <c r="H10125" t="s">
        <v>9998</v>
      </c>
      <c r="I10125" t="s">
        <v>28704</v>
      </c>
      <c r="J10125" t="s">
        <v>35093</v>
      </c>
      <c r="K10125" t="s">
        <v>37206</v>
      </c>
      <c r="M10125" t="s">
        <v>38414</v>
      </c>
      <c r="N10125" t="s">
        <v>41249</v>
      </c>
      <c r="O10125" t="s">
        <v>41250</v>
      </c>
      <c r="Q10125">
        <v>0</v>
      </c>
      <c r="R10125" t="s">
        <v>41260</v>
      </c>
      <c r="S10125" t="s">
        <v>41677</v>
      </c>
      <c r="T10125" t="s">
        <v>42711</v>
      </c>
      <c r="U10125" t="s">
        <v>51361</v>
      </c>
      <c r="W10125" t="s">
        <v>38414</v>
      </c>
      <c r="X10125" t="s">
        <v>41261</v>
      </c>
    </row>
    <row r="10126" spans="1:24">
      <c r="A10126">
        <f>HYPERLINK("https://www.philgeps.gov.ph/GEPSNONPILOT/Tender/SplashBidNoticeAbstractUI.aspx?menuIndex=3&amp;refID=7061388&amp;Result=3","7061388")</f>
        <v>0</v>
      </c>
      <c r="B10126" t="s">
        <v>2365</v>
      </c>
      <c r="C10126" t="s">
        <v>13048</v>
      </c>
      <c r="D10126" t="s">
        <v>16628</v>
      </c>
      <c r="E10126" t="s">
        <v>25512</v>
      </c>
      <c r="F10126" t="s">
        <v>28669</v>
      </c>
      <c r="G10126" t="s">
        <v>28675</v>
      </c>
      <c r="H10126" t="s">
        <v>9998</v>
      </c>
      <c r="I10126" t="s">
        <v>28704</v>
      </c>
      <c r="J10126" t="s">
        <v>35094</v>
      </c>
      <c r="K10126" t="s">
        <v>37205</v>
      </c>
      <c r="M10126" t="s">
        <v>40034</v>
      </c>
      <c r="N10126" t="s">
        <v>41249</v>
      </c>
      <c r="O10126" t="s">
        <v>41250</v>
      </c>
      <c r="P10126">
        <v>0</v>
      </c>
      <c r="Q10126">
        <v>2</v>
      </c>
      <c r="R10126" t="s">
        <v>41260</v>
      </c>
      <c r="S10126" t="s">
        <v>41624</v>
      </c>
      <c r="T10126" t="s">
        <v>42690</v>
      </c>
      <c r="U10126" t="s">
        <v>51347</v>
      </c>
      <c r="W10126" t="s">
        <v>40034</v>
      </c>
      <c r="X10126" t="s">
        <v>41261</v>
      </c>
    </row>
    <row r="10127" spans="1:24">
      <c r="A10127">
        <f>HYPERLINK("https://www.philgeps.gov.ph/GEPSNONPILOT/Tender/SplashBidNoticeAbstractUI.aspx?menuIndex=3&amp;refID=7061447&amp;Result=3","7061447")</f>
        <v>0</v>
      </c>
      <c r="B10127" t="s">
        <v>2899</v>
      </c>
      <c r="C10127" t="s">
        <v>13049</v>
      </c>
      <c r="D10127" t="s">
        <v>16640</v>
      </c>
      <c r="E10127" t="s">
        <v>25513</v>
      </c>
      <c r="F10127" t="s">
        <v>28669</v>
      </c>
      <c r="G10127" t="s">
        <v>28675</v>
      </c>
      <c r="H10127" t="s">
        <v>9998</v>
      </c>
      <c r="I10127" t="s">
        <v>5033</v>
      </c>
      <c r="J10127" t="s">
        <v>28877</v>
      </c>
      <c r="K10127" t="s">
        <v>37206</v>
      </c>
      <c r="M10127" t="s">
        <v>40647</v>
      </c>
      <c r="N10127" t="s">
        <v>41249</v>
      </c>
      <c r="O10127" t="s">
        <v>41250</v>
      </c>
      <c r="P10127">
        <v>0</v>
      </c>
      <c r="Q10127">
        <v>6</v>
      </c>
      <c r="R10127" t="s">
        <v>41260</v>
      </c>
      <c r="S10127" t="s">
        <v>41624</v>
      </c>
      <c r="T10127" t="s">
        <v>42836</v>
      </c>
      <c r="U10127" t="s">
        <v>51362</v>
      </c>
      <c r="W10127" t="s">
        <v>40647</v>
      </c>
      <c r="X10127" t="s">
        <v>41261</v>
      </c>
    </row>
    <row r="10128" spans="1:24">
      <c r="A10128">
        <f>HYPERLINK("https://www.philgeps.gov.ph/GEPSNONPILOT/Tender/SplashBidNoticeAbstractUI.aspx?menuIndex=3&amp;refID=7061369&amp;Result=3","7061369")</f>
        <v>0</v>
      </c>
      <c r="B10128" t="s">
        <v>893</v>
      </c>
      <c r="C10128" t="s">
        <v>13050</v>
      </c>
      <c r="D10128" t="s">
        <v>16608</v>
      </c>
      <c r="E10128" t="s">
        <v>25514</v>
      </c>
      <c r="F10128" t="s">
        <v>28669</v>
      </c>
      <c r="G10128" t="s">
        <v>28676</v>
      </c>
      <c r="H10128" t="s">
        <v>9998</v>
      </c>
      <c r="I10128" t="s">
        <v>28699</v>
      </c>
      <c r="J10128" t="s">
        <v>28889</v>
      </c>
      <c r="K10128" t="s">
        <v>37206</v>
      </c>
      <c r="M10128" t="s">
        <v>38414</v>
      </c>
      <c r="N10128" t="s">
        <v>41249</v>
      </c>
      <c r="O10128" t="s">
        <v>41250</v>
      </c>
      <c r="Q10128">
        <v>11</v>
      </c>
      <c r="R10128" t="s">
        <v>41260</v>
      </c>
      <c r="S10128" t="s">
        <v>41678</v>
      </c>
      <c r="T10128" t="s">
        <v>42711</v>
      </c>
      <c r="U10128" t="s">
        <v>51363</v>
      </c>
      <c r="W10128" t="s">
        <v>38414</v>
      </c>
      <c r="X10128" t="s">
        <v>41261</v>
      </c>
    </row>
    <row r="10129" spans="1:24">
      <c r="A10129">
        <f>HYPERLINK("https://www.philgeps.gov.ph/GEPSNONPILOT/Tender/SplashBidNoticeAbstractUI.aspx?menuIndex=3&amp;refID=7061438&amp;Result=3","7061438")</f>
        <v>0</v>
      </c>
      <c r="B10129" t="s">
        <v>1961</v>
      </c>
      <c r="C10129" t="s">
        <v>13051</v>
      </c>
      <c r="D10129" t="s">
        <v>16608</v>
      </c>
      <c r="E10129" t="s">
        <v>25515</v>
      </c>
      <c r="F10129" t="s">
        <v>28669</v>
      </c>
      <c r="G10129" t="s">
        <v>28675</v>
      </c>
      <c r="H10129" t="s">
        <v>9998</v>
      </c>
      <c r="I10129" t="s">
        <v>28694</v>
      </c>
      <c r="J10129" t="s">
        <v>35095</v>
      </c>
      <c r="K10129" t="s">
        <v>37205</v>
      </c>
      <c r="M10129" t="s">
        <v>40602</v>
      </c>
      <c r="N10129" t="s">
        <v>41249</v>
      </c>
      <c r="O10129" t="s">
        <v>41250</v>
      </c>
      <c r="P10129">
        <v>0</v>
      </c>
      <c r="Q10129">
        <v>7</v>
      </c>
      <c r="R10129" t="s">
        <v>41260</v>
      </c>
      <c r="S10129" t="s">
        <v>41624</v>
      </c>
      <c r="T10129" t="s">
        <v>42721</v>
      </c>
      <c r="U10129" t="s">
        <v>51356</v>
      </c>
      <c r="W10129" t="s">
        <v>40602</v>
      </c>
      <c r="X10129" t="s">
        <v>41261</v>
      </c>
    </row>
    <row r="10130" spans="1:24">
      <c r="A10130">
        <f>HYPERLINK("https://www.philgeps.gov.ph/GEPSNONPILOT/Tender/SplashBidNoticeAbstractUI.aspx?menuIndex=3&amp;refID=7061554&amp;Result=3","7061554")</f>
        <v>0</v>
      </c>
      <c r="B10130" t="s">
        <v>2902</v>
      </c>
      <c r="C10130" t="s">
        <v>13052</v>
      </c>
      <c r="D10130" t="s">
        <v>16679</v>
      </c>
      <c r="E10130" t="s">
        <v>25516</v>
      </c>
      <c r="F10130" t="s">
        <v>28669</v>
      </c>
      <c r="G10130" t="s">
        <v>28675</v>
      </c>
      <c r="H10130" t="s">
        <v>28685</v>
      </c>
      <c r="I10130" t="s">
        <v>28685</v>
      </c>
      <c r="J10130" t="s">
        <v>34208</v>
      </c>
      <c r="K10130" t="s">
        <v>37433</v>
      </c>
      <c r="M10130" t="s">
        <v>40650</v>
      </c>
      <c r="N10130" t="s">
        <v>41249</v>
      </c>
      <c r="O10130" t="s">
        <v>41250</v>
      </c>
      <c r="P10130">
        <v>0</v>
      </c>
      <c r="Q10130">
        <v>5</v>
      </c>
      <c r="R10130" t="s">
        <v>41260</v>
      </c>
      <c r="S10130" t="s">
        <v>41624</v>
      </c>
      <c r="T10130" t="s">
        <v>43113</v>
      </c>
      <c r="U10130" t="s">
        <v>51364</v>
      </c>
      <c r="V10130" t="s">
        <v>55367</v>
      </c>
      <c r="W10130" t="s">
        <v>40650</v>
      </c>
      <c r="X10130" t="s">
        <v>41261</v>
      </c>
    </row>
    <row r="10131" spans="1:24">
      <c r="A10131">
        <f>HYPERLINK("https://www.philgeps.gov.ph/GEPSNONPILOT/Tender/SplashBidNoticeAbstractUI.aspx?menuIndex=3&amp;refID=7061436&amp;Result=3","7061436")</f>
        <v>0</v>
      </c>
      <c r="B10131" t="s">
        <v>2903</v>
      </c>
      <c r="C10131" t="s">
        <v>13053</v>
      </c>
      <c r="D10131" t="s">
        <v>16625</v>
      </c>
      <c r="E10131" t="s">
        <v>25517</v>
      </c>
      <c r="F10131" t="s">
        <v>28672</v>
      </c>
      <c r="G10131" t="s">
        <v>28675</v>
      </c>
      <c r="H10131" t="s">
        <v>9998</v>
      </c>
      <c r="I10131" t="s">
        <v>28702</v>
      </c>
      <c r="J10131" t="s">
        <v>35096</v>
      </c>
      <c r="K10131" t="s">
        <v>37213</v>
      </c>
      <c r="M10131" t="s">
        <v>40651</v>
      </c>
      <c r="N10131" t="s">
        <v>41249</v>
      </c>
      <c r="O10131" t="s">
        <v>41250</v>
      </c>
      <c r="P10131">
        <v>0</v>
      </c>
      <c r="Q10131">
        <v>11</v>
      </c>
      <c r="R10131" t="s">
        <v>41260</v>
      </c>
      <c r="S10131" t="s">
        <v>41624</v>
      </c>
      <c r="T10131" t="s">
        <v>42732</v>
      </c>
      <c r="U10131" t="s">
        <v>51365</v>
      </c>
      <c r="W10131" t="s">
        <v>40651</v>
      </c>
      <c r="X10131" t="s">
        <v>41261</v>
      </c>
    </row>
    <row r="10132" spans="1:24">
      <c r="A10132">
        <f>HYPERLINK("https://www.philgeps.gov.ph/GEPSNONPILOT/Tender/SplashBidNoticeAbstractUI.aspx?menuIndex=3&amp;refID=7061533&amp;Result=3","7061533")</f>
        <v>0</v>
      </c>
      <c r="B10132" t="s">
        <v>1961</v>
      </c>
      <c r="C10132" t="s">
        <v>13054</v>
      </c>
      <c r="D10132" t="s">
        <v>16608</v>
      </c>
      <c r="E10132" t="s">
        <v>25518</v>
      </c>
      <c r="F10132" t="s">
        <v>28669</v>
      </c>
      <c r="G10132" t="s">
        <v>28675</v>
      </c>
      <c r="H10132" t="s">
        <v>9998</v>
      </c>
      <c r="I10132" t="s">
        <v>28694</v>
      </c>
      <c r="J10132" t="s">
        <v>35097</v>
      </c>
      <c r="K10132" t="s">
        <v>37205</v>
      </c>
      <c r="M10132" t="s">
        <v>40602</v>
      </c>
      <c r="N10132" t="s">
        <v>41249</v>
      </c>
      <c r="O10132" t="s">
        <v>41250</v>
      </c>
      <c r="P10132">
        <v>0</v>
      </c>
      <c r="Q10132">
        <v>1</v>
      </c>
      <c r="R10132" t="s">
        <v>41260</v>
      </c>
      <c r="S10132" t="s">
        <v>41624</v>
      </c>
      <c r="T10132" t="s">
        <v>42721</v>
      </c>
      <c r="U10132" t="s">
        <v>51356</v>
      </c>
      <c r="W10132" t="s">
        <v>40602</v>
      </c>
      <c r="X10132" t="s">
        <v>41261</v>
      </c>
    </row>
    <row r="10133" spans="1:24">
      <c r="A10133">
        <f>HYPERLINK("https://www.philgeps.gov.ph/GEPSNONPILOT/Tender/SplashBidNoticeAbstractUI.aspx?menuIndex=3&amp;refID=7061390&amp;Result=3","7061390")</f>
        <v>0</v>
      </c>
      <c r="B10133" t="s">
        <v>2365</v>
      </c>
      <c r="C10133" t="s">
        <v>13055</v>
      </c>
      <c r="D10133" t="s">
        <v>16628</v>
      </c>
      <c r="E10133" t="s">
        <v>25519</v>
      </c>
      <c r="F10133" t="s">
        <v>28669</v>
      </c>
      <c r="G10133" t="s">
        <v>28675</v>
      </c>
      <c r="H10133" t="s">
        <v>9998</v>
      </c>
      <c r="I10133" t="s">
        <v>3718</v>
      </c>
      <c r="J10133" t="s">
        <v>35098</v>
      </c>
      <c r="K10133" t="s">
        <v>37206</v>
      </c>
      <c r="M10133" t="s">
        <v>40034</v>
      </c>
      <c r="N10133" t="s">
        <v>41249</v>
      </c>
      <c r="O10133" t="s">
        <v>41250</v>
      </c>
      <c r="P10133">
        <v>0</v>
      </c>
      <c r="Q10133">
        <v>2</v>
      </c>
      <c r="R10133" t="s">
        <v>41260</v>
      </c>
      <c r="S10133" t="s">
        <v>41624</v>
      </c>
      <c r="T10133" t="s">
        <v>42690</v>
      </c>
      <c r="U10133" t="s">
        <v>51347</v>
      </c>
      <c r="W10133" t="s">
        <v>40034</v>
      </c>
      <c r="X10133" t="s">
        <v>41261</v>
      </c>
    </row>
    <row r="10134" spans="1:24">
      <c r="A10134">
        <f>HYPERLINK("https://www.philgeps.gov.ph/GEPSNONPILOT/Tender/SplashBidNoticeAbstractUI.aspx?menuIndex=3&amp;refID=7061385&amp;Result=3","7061385")</f>
        <v>0</v>
      </c>
      <c r="B10134" t="s">
        <v>2899</v>
      </c>
      <c r="C10134" t="s">
        <v>13056</v>
      </c>
      <c r="D10134" t="s">
        <v>16640</v>
      </c>
      <c r="E10134" t="s">
        <v>25520</v>
      </c>
      <c r="F10134" t="s">
        <v>28669</v>
      </c>
      <c r="G10134" t="s">
        <v>28675</v>
      </c>
      <c r="H10134" t="s">
        <v>9998</v>
      </c>
      <c r="I10134" t="s">
        <v>5286</v>
      </c>
      <c r="J10134" t="s">
        <v>35099</v>
      </c>
      <c r="K10134" t="s">
        <v>37206</v>
      </c>
      <c r="M10134" t="s">
        <v>40647</v>
      </c>
      <c r="N10134" t="s">
        <v>41249</v>
      </c>
      <c r="O10134" t="s">
        <v>41250</v>
      </c>
      <c r="P10134">
        <v>0</v>
      </c>
      <c r="Q10134">
        <v>8</v>
      </c>
      <c r="R10134" t="s">
        <v>41260</v>
      </c>
      <c r="S10134" t="s">
        <v>41624</v>
      </c>
      <c r="T10134" t="s">
        <v>42836</v>
      </c>
      <c r="U10134" t="s">
        <v>51366</v>
      </c>
      <c r="W10134" t="s">
        <v>40647</v>
      </c>
      <c r="X10134" t="s">
        <v>41261</v>
      </c>
    </row>
    <row r="10135" spans="1:24">
      <c r="A10135">
        <f>HYPERLINK("https://www.philgeps.gov.ph/GEPSNONPILOT/Tender/SplashBidNoticeAbstractUI.aspx?menuIndex=3&amp;refID=7061579&amp;Result=3","7061579")</f>
        <v>0</v>
      </c>
      <c r="B10135" t="s">
        <v>2904</v>
      </c>
      <c r="C10135" t="s">
        <v>13057</v>
      </c>
      <c r="D10135" t="s">
        <v>16660</v>
      </c>
      <c r="E10135" t="s">
        <v>25521</v>
      </c>
      <c r="F10135" t="s">
        <v>28669</v>
      </c>
      <c r="G10135" t="s">
        <v>28675</v>
      </c>
      <c r="H10135" t="s">
        <v>28686</v>
      </c>
      <c r="I10135" t="s">
        <v>28689</v>
      </c>
      <c r="J10135" t="s">
        <v>35100</v>
      </c>
      <c r="K10135" t="s">
        <v>37280</v>
      </c>
      <c r="M10135" t="s">
        <v>40652</v>
      </c>
      <c r="N10135" t="s">
        <v>41249</v>
      </c>
      <c r="O10135" t="s">
        <v>41250</v>
      </c>
      <c r="P10135">
        <v>0</v>
      </c>
      <c r="Q10135">
        <v>2</v>
      </c>
      <c r="R10135" t="s">
        <v>41260</v>
      </c>
      <c r="S10135" t="s">
        <v>41624</v>
      </c>
      <c r="T10135" t="s">
        <v>42760</v>
      </c>
      <c r="U10135" t="s">
        <v>51367</v>
      </c>
      <c r="W10135" t="s">
        <v>40652</v>
      </c>
      <c r="X10135" t="s">
        <v>41261</v>
      </c>
    </row>
    <row r="10136" spans="1:24">
      <c r="A10136">
        <f>HYPERLINK("https://www.philgeps.gov.ph/GEPSNONPILOT/Tender/SplashBidNoticeAbstractUI.aspx?menuIndex=3&amp;refID=7061456&amp;Result=3","7061456")</f>
        <v>0</v>
      </c>
      <c r="B10136" t="s">
        <v>2901</v>
      </c>
      <c r="C10136" t="s">
        <v>13058</v>
      </c>
      <c r="D10136" t="s">
        <v>16610</v>
      </c>
      <c r="E10136" t="s">
        <v>25522</v>
      </c>
      <c r="F10136" t="s">
        <v>28669</v>
      </c>
      <c r="G10136" t="s">
        <v>28675</v>
      </c>
      <c r="H10136" t="s">
        <v>9998</v>
      </c>
      <c r="I10136" t="s">
        <v>7352</v>
      </c>
      <c r="J10136" t="s">
        <v>35101</v>
      </c>
      <c r="K10136" t="s">
        <v>37205</v>
      </c>
      <c r="M10136" t="s">
        <v>40649</v>
      </c>
      <c r="N10136" t="s">
        <v>41249</v>
      </c>
      <c r="O10136" t="s">
        <v>41250</v>
      </c>
      <c r="P10136">
        <v>0</v>
      </c>
      <c r="Q10136">
        <v>1</v>
      </c>
      <c r="R10136" t="s">
        <v>41260</v>
      </c>
      <c r="S10136" t="s">
        <v>41624</v>
      </c>
      <c r="T10136" t="s">
        <v>42976</v>
      </c>
      <c r="U10136" t="s">
        <v>51368</v>
      </c>
      <c r="W10136" t="s">
        <v>40649</v>
      </c>
      <c r="X10136" t="s">
        <v>41261</v>
      </c>
    </row>
    <row r="10137" spans="1:24">
      <c r="A10137">
        <f>HYPERLINK("https://www.philgeps.gov.ph/GEPSNONPILOT/Tender/SplashBidNoticeAbstractUI.aspx?menuIndex=3&amp;refID=7061575&amp;Result=3","7061575")</f>
        <v>0</v>
      </c>
      <c r="B10137" t="s">
        <v>1961</v>
      </c>
      <c r="C10137" t="s">
        <v>13059</v>
      </c>
      <c r="D10137" t="s">
        <v>16608</v>
      </c>
      <c r="E10137" t="s">
        <v>25523</v>
      </c>
      <c r="F10137" t="s">
        <v>28669</v>
      </c>
      <c r="G10137" t="s">
        <v>28675</v>
      </c>
      <c r="H10137" t="s">
        <v>9998</v>
      </c>
      <c r="I10137" t="s">
        <v>28729</v>
      </c>
      <c r="J10137" t="s">
        <v>35102</v>
      </c>
      <c r="K10137" t="s">
        <v>37204</v>
      </c>
      <c r="M10137" t="s">
        <v>40602</v>
      </c>
      <c r="N10137" t="s">
        <v>41249</v>
      </c>
      <c r="O10137" t="s">
        <v>41250</v>
      </c>
      <c r="P10137">
        <v>0</v>
      </c>
      <c r="Q10137">
        <v>16</v>
      </c>
      <c r="R10137" t="s">
        <v>41260</v>
      </c>
      <c r="S10137" t="s">
        <v>41624</v>
      </c>
      <c r="T10137" t="s">
        <v>42721</v>
      </c>
      <c r="U10137" t="s">
        <v>51369</v>
      </c>
      <c r="W10137" t="s">
        <v>40602</v>
      </c>
      <c r="X10137" t="s">
        <v>41261</v>
      </c>
    </row>
    <row r="10138" spans="1:24">
      <c r="A10138">
        <f>HYPERLINK("https://www.philgeps.gov.ph/GEPSNONPILOT/Tender/SplashBidNoticeAbstractUI.aspx?menuIndex=3&amp;refID=7061566&amp;Result=3","7061566")</f>
        <v>0</v>
      </c>
      <c r="B10138" t="s">
        <v>1620</v>
      </c>
      <c r="C10138" t="s">
        <v>7670</v>
      </c>
      <c r="D10138" t="s">
        <v>16658</v>
      </c>
      <c r="E10138" t="s">
        <v>25524</v>
      </c>
      <c r="F10138" t="s">
        <v>28669</v>
      </c>
      <c r="G10138" t="s">
        <v>28675</v>
      </c>
      <c r="H10138" t="s">
        <v>28686</v>
      </c>
      <c r="I10138" t="s">
        <v>28689</v>
      </c>
      <c r="J10138" t="s">
        <v>35103</v>
      </c>
      <c r="K10138" t="s">
        <v>37211</v>
      </c>
      <c r="M10138" t="s">
        <v>39206</v>
      </c>
      <c r="N10138" t="s">
        <v>41249</v>
      </c>
      <c r="O10138" t="s">
        <v>41250</v>
      </c>
      <c r="P10138">
        <v>0</v>
      </c>
      <c r="Q10138">
        <v>2</v>
      </c>
      <c r="R10138" t="s">
        <v>41260</v>
      </c>
      <c r="S10138" t="s">
        <v>41624</v>
      </c>
      <c r="T10138" t="s">
        <v>42679</v>
      </c>
      <c r="U10138" t="s">
        <v>46923</v>
      </c>
      <c r="W10138" t="s">
        <v>39206</v>
      </c>
      <c r="X10138" t="s">
        <v>41261</v>
      </c>
    </row>
    <row r="10139" spans="1:24">
      <c r="A10139">
        <f>HYPERLINK("https://www.philgeps.gov.ph/GEPSNONPILOT/Tender/SplashBidNoticeAbstractUI.aspx?menuIndex=3&amp;refID=7061563&amp;Result=3","7061563")</f>
        <v>0</v>
      </c>
      <c r="B10139" t="s">
        <v>2904</v>
      </c>
      <c r="C10139" t="s">
        <v>13060</v>
      </c>
      <c r="D10139" t="s">
        <v>16660</v>
      </c>
      <c r="E10139" t="s">
        <v>25525</v>
      </c>
      <c r="F10139" t="s">
        <v>28669</v>
      </c>
      <c r="G10139" t="s">
        <v>28675</v>
      </c>
      <c r="H10139" t="s">
        <v>28686</v>
      </c>
      <c r="I10139" t="s">
        <v>28689</v>
      </c>
      <c r="J10139" t="s">
        <v>35104</v>
      </c>
      <c r="K10139" t="s">
        <v>37215</v>
      </c>
      <c r="M10139" t="s">
        <v>40652</v>
      </c>
      <c r="N10139" t="s">
        <v>41249</v>
      </c>
      <c r="O10139" t="s">
        <v>41250</v>
      </c>
      <c r="P10139">
        <v>0</v>
      </c>
      <c r="Q10139">
        <v>3</v>
      </c>
      <c r="R10139" t="s">
        <v>41260</v>
      </c>
      <c r="S10139" t="s">
        <v>41624</v>
      </c>
      <c r="T10139" t="s">
        <v>42760</v>
      </c>
      <c r="U10139" t="s">
        <v>51367</v>
      </c>
      <c r="W10139" t="s">
        <v>40652</v>
      </c>
      <c r="X10139" t="s">
        <v>41261</v>
      </c>
    </row>
    <row r="10140" spans="1:24">
      <c r="A10140">
        <f>HYPERLINK("https://www.philgeps.gov.ph/GEPSNONPILOT/Tender/SplashBidNoticeAbstractUI.aspx?menuIndex=3&amp;refID=7061557&amp;Result=3","7061557")</f>
        <v>0</v>
      </c>
      <c r="B10140" t="s">
        <v>1961</v>
      </c>
      <c r="C10140" t="s">
        <v>13061</v>
      </c>
      <c r="D10140" t="s">
        <v>16608</v>
      </c>
      <c r="E10140" t="s">
        <v>25526</v>
      </c>
      <c r="F10140" t="s">
        <v>28669</v>
      </c>
      <c r="G10140" t="s">
        <v>28675</v>
      </c>
      <c r="H10140" t="s">
        <v>9998</v>
      </c>
      <c r="I10140" t="s">
        <v>28754</v>
      </c>
      <c r="J10140" t="s">
        <v>29943</v>
      </c>
      <c r="K10140" t="s">
        <v>37205</v>
      </c>
      <c r="M10140" t="s">
        <v>40602</v>
      </c>
      <c r="N10140" t="s">
        <v>41249</v>
      </c>
      <c r="O10140" t="s">
        <v>41250</v>
      </c>
      <c r="P10140">
        <v>0</v>
      </c>
      <c r="Q10140">
        <v>14</v>
      </c>
      <c r="R10140" t="s">
        <v>41260</v>
      </c>
      <c r="S10140" t="s">
        <v>41624</v>
      </c>
      <c r="T10140" t="s">
        <v>42721</v>
      </c>
      <c r="U10140" t="s">
        <v>51369</v>
      </c>
      <c r="W10140" t="s">
        <v>40602</v>
      </c>
      <c r="X10140" t="s">
        <v>41261</v>
      </c>
    </row>
    <row r="10141" spans="1:24">
      <c r="A10141">
        <f>HYPERLINK("https://www.philgeps.gov.ph/GEPSNONPILOT/Tender/SplashBidNoticeAbstractUI.aspx?menuIndex=3&amp;refID=7061534&amp;Result=3","7061534")</f>
        <v>0</v>
      </c>
      <c r="B10141" t="s">
        <v>2265</v>
      </c>
      <c r="C10141" t="s">
        <v>13062</v>
      </c>
      <c r="D10141" t="s">
        <v>16684</v>
      </c>
      <c r="E10141" t="s">
        <v>25527</v>
      </c>
      <c r="F10141" t="s">
        <v>28669</v>
      </c>
      <c r="G10141" t="s">
        <v>28675</v>
      </c>
      <c r="H10141" t="s">
        <v>28686</v>
      </c>
      <c r="I10141" t="s">
        <v>28689</v>
      </c>
      <c r="J10141" t="s">
        <v>35105</v>
      </c>
      <c r="K10141" t="s">
        <v>37209</v>
      </c>
      <c r="M10141" t="s">
        <v>40086</v>
      </c>
      <c r="N10141" t="s">
        <v>41249</v>
      </c>
      <c r="O10141" t="s">
        <v>41250</v>
      </c>
      <c r="P10141">
        <v>0</v>
      </c>
      <c r="Q10141">
        <v>0</v>
      </c>
      <c r="R10141" t="s">
        <v>41260</v>
      </c>
      <c r="S10141" t="s">
        <v>41624</v>
      </c>
      <c r="T10141" t="s">
        <v>42881</v>
      </c>
      <c r="U10141" t="s">
        <v>49579</v>
      </c>
      <c r="W10141" t="s">
        <v>40086</v>
      </c>
      <c r="X10141" t="s">
        <v>41261</v>
      </c>
    </row>
    <row r="10142" spans="1:24">
      <c r="A10142">
        <f>HYPERLINK("https://www.philgeps.gov.ph/GEPSNONPILOT/Tender/SplashBidNoticeAbstractUI.aspx?menuIndex=3&amp;refID=7061528&amp;Result=3","7061528")</f>
        <v>0</v>
      </c>
      <c r="B10142" t="s">
        <v>1673</v>
      </c>
      <c r="C10142" t="s">
        <v>13063</v>
      </c>
      <c r="D10142" t="s">
        <v>16616</v>
      </c>
      <c r="E10142" t="s">
        <v>25528</v>
      </c>
      <c r="F10142" t="s">
        <v>28669</v>
      </c>
      <c r="G10142" t="s">
        <v>28675</v>
      </c>
      <c r="H10142" t="s">
        <v>9998</v>
      </c>
      <c r="I10142" t="s">
        <v>28690</v>
      </c>
      <c r="J10142" t="s">
        <v>35106</v>
      </c>
      <c r="K10142" t="s">
        <v>37209</v>
      </c>
      <c r="M10142" t="s">
        <v>39266</v>
      </c>
      <c r="N10142" t="s">
        <v>41249</v>
      </c>
      <c r="O10142" t="s">
        <v>41250</v>
      </c>
      <c r="P10142">
        <v>0</v>
      </c>
      <c r="Q10142">
        <v>22</v>
      </c>
      <c r="R10142" t="s">
        <v>41260</v>
      </c>
      <c r="S10142" t="s">
        <v>41624</v>
      </c>
      <c r="T10142" t="s">
        <v>42739</v>
      </c>
      <c r="U10142" t="s">
        <v>51370</v>
      </c>
      <c r="W10142" t="s">
        <v>39266</v>
      </c>
      <c r="X10142" t="s">
        <v>41261</v>
      </c>
    </row>
    <row r="10143" spans="1:24">
      <c r="A10143">
        <f>HYPERLINK("https://www.philgeps.gov.ph/GEPSNONPILOT/Tender/SplashBidNoticeAbstractUI.aspx?menuIndex=3&amp;refID=7061520&amp;Result=3","7061520")</f>
        <v>0</v>
      </c>
      <c r="B10143" t="s">
        <v>2265</v>
      </c>
      <c r="C10143" t="s">
        <v>13064</v>
      </c>
      <c r="D10143" t="s">
        <v>16684</v>
      </c>
      <c r="E10143" t="s">
        <v>25529</v>
      </c>
      <c r="F10143" t="s">
        <v>28669</v>
      </c>
      <c r="G10143" t="s">
        <v>28675</v>
      </c>
      <c r="H10143" t="s">
        <v>28686</v>
      </c>
      <c r="I10143" t="s">
        <v>28689</v>
      </c>
      <c r="J10143" t="s">
        <v>35107</v>
      </c>
      <c r="K10143" t="s">
        <v>37209</v>
      </c>
      <c r="M10143" t="s">
        <v>40086</v>
      </c>
      <c r="N10143" t="s">
        <v>41249</v>
      </c>
      <c r="O10143" t="s">
        <v>41250</v>
      </c>
      <c r="P10143">
        <v>0</v>
      </c>
      <c r="Q10143">
        <v>2</v>
      </c>
      <c r="R10143" t="s">
        <v>41260</v>
      </c>
      <c r="S10143" t="s">
        <v>41624</v>
      </c>
      <c r="T10143" t="s">
        <v>42881</v>
      </c>
      <c r="U10143" t="s">
        <v>49579</v>
      </c>
      <c r="W10143" t="s">
        <v>40086</v>
      </c>
      <c r="X10143" t="s">
        <v>41261</v>
      </c>
    </row>
    <row r="10144" spans="1:24">
      <c r="A10144">
        <f>HYPERLINK("https://www.philgeps.gov.ph/GEPSNONPILOT/Tender/SplashBidNoticeAbstractUI.aspx?menuIndex=3&amp;refID=7061516&amp;Result=3","7061516")</f>
        <v>0</v>
      </c>
      <c r="B10144" t="s">
        <v>1961</v>
      </c>
      <c r="C10144" t="s">
        <v>13065</v>
      </c>
      <c r="D10144" t="s">
        <v>16608</v>
      </c>
      <c r="E10144" t="s">
        <v>25530</v>
      </c>
      <c r="F10144" t="s">
        <v>28669</v>
      </c>
      <c r="G10144" t="s">
        <v>28675</v>
      </c>
      <c r="H10144" t="s">
        <v>9998</v>
      </c>
      <c r="I10144" t="s">
        <v>28694</v>
      </c>
      <c r="J10144" t="s">
        <v>35108</v>
      </c>
      <c r="K10144" t="s">
        <v>37205</v>
      </c>
      <c r="M10144" t="s">
        <v>40602</v>
      </c>
      <c r="N10144" t="s">
        <v>41249</v>
      </c>
      <c r="O10144" t="s">
        <v>41250</v>
      </c>
      <c r="P10144">
        <v>0</v>
      </c>
      <c r="Q10144">
        <v>2</v>
      </c>
      <c r="R10144" t="s">
        <v>41260</v>
      </c>
      <c r="S10144" t="s">
        <v>41624</v>
      </c>
      <c r="T10144" t="s">
        <v>42721</v>
      </c>
      <c r="U10144" t="s">
        <v>51356</v>
      </c>
      <c r="W10144" t="s">
        <v>40602</v>
      </c>
      <c r="X10144" t="s">
        <v>41261</v>
      </c>
    </row>
    <row r="10145" spans="1:24">
      <c r="A10145">
        <f>HYPERLINK("https://www.philgeps.gov.ph/GEPSNONPILOT/Tender/SplashBidNoticeAbstractUI.aspx?menuIndex=3&amp;refID=7061509&amp;Result=3","7061509")</f>
        <v>0</v>
      </c>
      <c r="B10145" t="s">
        <v>2265</v>
      </c>
      <c r="C10145" t="s">
        <v>13066</v>
      </c>
      <c r="D10145" t="s">
        <v>16684</v>
      </c>
      <c r="E10145" t="s">
        <v>25531</v>
      </c>
      <c r="F10145" t="s">
        <v>28669</v>
      </c>
      <c r="G10145" t="s">
        <v>28675</v>
      </c>
      <c r="H10145" t="s">
        <v>28686</v>
      </c>
      <c r="I10145" t="s">
        <v>28689</v>
      </c>
      <c r="J10145" t="s">
        <v>35109</v>
      </c>
      <c r="K10145" t="s">
        <v>37209</v>
      </c>
      <c r="M10145" t="s">
        <v>40086</v>
      </c>
      <c r="N10145" t="s">
        <v>41249</v>
      </c>
      <c r="O10145" t="s">
        <v>41250</v>
      </c>
      <c r="P10145">
        <v>0</v>
      </c>
      <c r="Q10145">
        <v>0</v>
      </c>
      <c r="R10145" t="s">
        <v>41260</v>
      </c>
      <c r="S10145" t="s">
        <v>41624</v>
      </c>
      <c r="T10145" t="s">
        <v>42881</v>
      </c>
      <c r="U10145" t="s">
        <v>49579</v>
      </c>
      <c r="W10145" t="s">
        <v>40086</v>
      </c>
      <c r="X10145" t="s">
        <v>41261</v>
      </c>
    </row>
    <row r="10146" spans="1:24">
      <c r="A10146">
        <f>HYPERLINK("https://www.philgeps.gov.ph/GEPSNONPILOT/Tender/SplashBidNoticeAbstractUI.aspx?menuIndex=3&amp;refID=7061496&amp;Result=3","7061496")</f>
        <v>0</v>
      </c>
      <c r="B10146" t="s">
        <v>1640</v>
      </c>
      <c r="C10146" t="s">
        <v>13067</v>
      </c>
      <c r="D10146" t="s">
        <v>16673</v>
      </c>
      <c r="E10146" t="s">
        <v>25532</v>
      </c>
      <c r="F10146" t="s">
        <v>28669</v>
      </c>
      <c r="G10146" t="s">
        <v>28682</v>
      </c>
      <c r="H10146" t="s">
        <v>28686</v>
      </c>
      <c r="I10146" t="s">
        <v>28689</v>
      </c>
      <c r="J10146" t="s">
        <v>35110</v>
      </c>
      <c r="K10146" t="s">
        <v>37290</v>
      </c>
      <c r="M10146" t="s">
        <v>39230</v>
      </c>
      <c r="N10146" t="s">
        <v>41249</v>
      </c>
      <c r="O10146" t="s">
        <v>41250</v>
      </c>
      <c r="P10146">
        <v>0</v>
      </c>
      <c r="Q10146">
        <v>32</v>
      </c>
      <c r="R10146" t="s">
        <v>41260</v>
      </c>
      <c r="S10146" t="s">
        <v>41624</v>
      </c>
      <c r="T10146" t="s">
        <v>42760</v>
      </c>
      <c r="U10146" t="s">
        <v>51371</v>
      </c>
      <c r="V10146" t="s">
        <v>55368</v>
      </c>
      <c r="W10146" t="s">
        <v>39230</v>
      </c>
      <c r="X10146" t="s">
        <v>41261</v>
      </c>
    </row>
    <row r="10147" spans="1:24">
      <c r="A10147">
        <f>HYPERLINK("https://www.philgeps.gov.ph/GEPSNONPILOT/Tender/SplashBidNoticeAbstractUI.aspx?menuIndex=3&amp;refID=7061491&amp;Result=3","7061491")</f>
        <v>0</v>
      </c>
      <c r="B10147" t="s">
        <v>1640</v>
      </c>
      <c r="C10147" t="s">
        <v>13068</v>
      </c>
      <c r="D10147" t="s">
        <v>16673</v>
      </c>
      <c r="E10147" t="s">
        <v>25533</v>
      </c>
      <c r="F10147" t="s">
        <v>28669</v>
      </c>
      <c r="G10147" t="s">
        <v>28682</v>
      </c>
      <c r="H10147" t="s">
        <v>28686</v>
      </c>
      <c r="I10147" t="s">
        <v>28689</v>
      </c>
      <c r="J10147" t="s">
        <v>35111</v>
      </c>
      <c r="K10147" t="s">
        <v>37287</v>
      </c>
      <c r="M10147" t="s">
        <v>39230</v>
      </c>
      <c r="N10147" t="s">
        <v>41249</v>
      </c>
      <c r="O10147" t="s">
        <v>41250</v>
      </c>
      <c r="P10147">
        <v>0</v>
      </c>
      <c r="Q10147">
        <v>19</v>
      </c>
      <c r="R10147" t="s">
        <v>41260</v>
      </c>
      <c r="S10147" t="s">
        <v>41624</v>
      </c>
      <c r="T10147" t="s">
        <v>42760</v>
      </c>
      <c r="U10147" t="s">
        <v>51372</v>
      </c>
      <c r="V10147" t="s">
        <v>55369</v>
      </c>
      <c r="W10147" t="s">
        <v>39230</v>
      </c>
      <c r="X10147" t="s">
        <v>41261</v>
      </c>
    </row>
    <row r="10148" spans="1:24">
      <c r="A10148">
        <f>HYPERLINK("https://www.philgeps.gov.ph/GEPSNONPILOT/Tender/SplashBidNoticeAbstractUI.aspx?menuIndex=3&amp;refID=7061487&amp;Result=3","7061487")</f>
        <v>0</v>
      </c>
      <c r="B10148" t="s">
        <v>1640</v>
      </c>
      <c r="C10148" t="s">
        <v>13069</v>
      </c>
      <c r="D10148" t="s">
        <v>16673</v>
      </c>
      <c r="E10148" t="s">
        <v>25534</v>
      </c>
      <c r="F10148" t="s">
        <v>28669</v>
      </c>
      <c r="G10148" t="s">
        <v>28682</v>
      </c>
      <c r="H10148" t="s">
        <v>28686</v>
      </c>
      <c r="I10148" t="s">
        <v>28689</v>
      </c>
      <c r="J10148" t="s">
        <v>35112</v>
      </c>
      <c r="K10148" t="s">
        <v>37220</v>
      </c>
      <c r="M10148" t="s">
        <v>39230</v>
      </c>
      <c r="N10148" t="s">
        <v>41249</v>
      </c>
      <c r="O10148" t="s">
        <v>41250</v>
      </c>
      <c r="P10148">
        <v>0</v>
      </c>
      <c r="Q10148">
        <v>16</v>
      </c>
      <c r="R10148" t="s">
        <v>41260</v>
      </c>
      <c r="S10148" t="s">
        <v>41624</v>
      </c>
      <c r="T10148" t="s">
        <v>42760</v>
      </c>
      <c r="U10148" t="s">
        <v>51373</v>
      </c>
      <c r="V10148" t="s">
        <v>55370</v>
      </c>
      <c r="W10148" t="s">
        <v>39230</v>
      </c>
      <c r="X10148" t="s">
        <v>41261</v>
      </c>
    </row>
    <row r="10149" spans="1:24">
      <c r="A10149">
        <f>HYPERLINK("https://www.philgeps.gov.ph/GEPSNONPILOT/Tender/SplashBidNoticeAbstractUI.aspx?menuIndex=3&amp;refID=7061571&amp;Result=3","7061571")</f>
        <v>0</v>
      </c>
      <c r="B10149" t="s">
        <v>1786</v>
      </c>
      <c r="C10149" t="s">
        <v>13070</v>
      </c>
      <c r="D10149" t="s">
        <v>16638</v>
      </c>
      <c r="E10149" t="s">
        <v>25535</v>
      </c>
      <c r="F10149" t="s">
        <v>28669</v>
      </c>
      <c r="G10149" t="s">
        <v>28675</v>
      </c>
      <c r="H10149" t="s">
        <v>28686</v>
      </c>
      <c r="I10149" t="s">
        <v>28689</v>
      </c>
      <c r="J10149" t="s">
        <v>31640</v>
      </c>
      <c r="K10149" t="s">
        <v>37215</v>
      </c>
      <c r="M10149" t="s">
        <v>39393</v>
      </c>
      <c r="N10149" t="s">
        <v>41249</v>
      </c>
      <c r="O10149" t="s">
        <v>41250</v>
      </c>
      <c r="P10149">
        <v>0</v>
      </c>
      <c r="Q10149">
        <v>3</v>
      </c>
      <c r="R10149" t="s">
        <v>41260</v>
      </c>
      <c r="S10149" t="s">
        <v>41624</v>
      </c>
      <c r="T10149" t="s">
        <v>42883</v>
      </c>
      <c r="U10149" t="s">
        <v>51374</v>
      </c>
      <c r="W10149" t="s">
        <v>39393</v>
      </c>
      <c r="X10149" t="s">
        <v>41261</v>
      </c>
    </row>
    <row r="10150" spans="1:24">
      <c r="A10150">
        <f>HYPERLINK("https://www.philgeps.gov.ph/GEPSNONPILOT/Tender/SplashBidNoticeAbstractUI.aspx?menuIndex=3&amp;refID=7061583&amp;Result=3","7061583")</f>
        <v>0</v>
      </c>
      <c r="B10150" t="s">
        <v>1947</v>
      </c>
      <c r="C10150" t="s">
        <v>13071</v>
      </c>
      <c r="D10150" t="s">
        <v>16626</v>
      </c>
      <c r="E10150" t="s">
        <v>25536</v>
      </c>
      <c r="F10150" t="s">
        <v>28669</v>
      </c>
      <c r="G10150" t="s">
        <v>28676</v>
      </c>
      <c r="H10150" t="s">
        <v>9998</v>
      </c>
      <c r="I10150" t="s">
        <v>28693</v>
      </c>
      <c r="J10150" t="s">
        <v>28826</v>
      </c>
      <c r="K10150" t="s">
        <v>37220</v>
      </c>
      <c r="M10150" t="s">
        <v>39577</v>
      </c>
      <c r="N10150" t="s">
        <v>41249</v>
      </c>
      <c r="O10150" t="s">
        <v>41250</v>
      </c>
      <c r="Q10150">
        <v>26</v>
      </c>
      <c r="R10150" t="s">
        <v>41260</v>
      </c>
      <c r="S10150" t="s">
        <v>41679</v>
      </c>
      <c r="T10150" t="s">
        <v>42675</v>
      </c>
      <c r="U10150" t="s">
        <v>51375</v>
      </c>
      <c r="W10150" t="s">
        <v>39577</v>
      </c>
      <c r="X10150" t="s">
        <v>41261</v>
      </c>
    </row>
    <row r="10151" spans="1:24">
      <c r="A10151">
        <f>HYPERLINK("https://www.philgeps.gov.ph/GEPSNONPILOT/Tender/SplashBidNoticeAbstractUI.aspx?menuIndex=3&amp;refID=7061642&amp;Result=3","7061642")</f>
        <v>0</v>
      </c>
      <c r="B10151" t="s">
        <v>1065</v>
      </c>
      <c r="C10151" t="s">
        <v>13072</v>
      </c>
      <c r="D10151" t="s">
        <v>16640</v>
      </c>
      <c r="E10151" t="s">
        <v>25537</v>
      </c>
      <c r="F10151" t="s">
        <v>28669</v>
      </c>
      <c r="G10151" t="s">
        <v>28675</v>
      </c>
      <c r="H10151" t="s">
        <v>9998</v>
      </c>
      <c r="I10151" t="s">
        <v>28687</v>
      </c>
      <c r="J10151" t="s">
        <v>35113</v>
      </c>
      <c r="K10151" t="s">
        <v>37206</v>
      </c>
      <c r="M10151" t="s">
        <v>38596</v>
      </c>
      <c r="N10151" t="s">
        <v>41249</v>
      </c>
      <c r="O10151" t="s">
        <v>41250</v>
      </c>
      <c r="P10151">
        <v>0</v>
      </c>
      <c r="Q10151">
        <v>9</v>
      </c>
      <c r="R10151" t="s">
        <v>41260</v>
      </c>
      <c r="S10151" t="s">
        <v>41624</v>
      </c>
      <c r="T10151" t="s">
        <v>42739</v>
      </c>
      <c r="U10151" t="s">
        <v>51376</v>
      </c>
      <c r="W10151" t="s">
        <v>38596</v>
      </c>
      <c r="X10151" t="s">
        <v>41261</v>
      </c>
    </row>
    <row r="10152" spans="1:24">
      <c r="A10152">
        <f>HYPERLINK("https://www.philgeps.gov.ph/GEPSNONPILOT/Tender/SplashBidNoticeAbstractUI.aspx?menuIndex=3&amp;refID=7061500&amp;Result=3","7061500")</f>
        <v>0</v>
      </c>
      <c r="B10152" t="s">
        <v>1640</v>
      </c>
      <c r="C10152" t="s">
        <v>13073</v>
      </c>
      <c r="D10152" t="s">
        <v>16673</v>
      </c>
      <c r="E10152" t="s">
        <v>25538</v>
      </c>
      <c r="F10152" t="s">
        <v>28669</v>
      </c>
      <c r="G10152" t="s">
        <v>28682</v>
      </c>
      <c r="H10152" t="s">
        <v>28686</v>
      </c>
      <c r="I10152" t="s">
        <v>28689</v>
      </c>
      <c r="J10152" t="s">
        <v>35114</v>
      </c>
      <c r="K10152" t="s">
        <v>37218</v>
      </c>
      <c r="M10152" t="s">
        <v>39230</v>
      </c>
      <c r="N10152" t="s">
        <v>41249</v>
      </c>
      <c r="O10152" t="s">
        <v>41250</v>
      </c>
      <c r="P10152">
        <v>0</v>
      </c>
      <c r="Q10152">
        <v>31</v>
      </c>
      <c r="R10152" t="s">
        <v>41260</v>
      </c>
      <c r="S10152" t="s">
        <v>41624</v>
      </c>
      <c r="T10152" t="s">
        <v>42760</v>
      </c>
      <c r="U10152" t="s">
        <v>51377</v>
      </c>
      <c r="V10152" t="s">
        <v>55371</v>
      </c>
      <c r="W10152" t="s">
        <v>39230</v>
      </c>
      <c r="X10152" t="s">
        <v>41261</v>
      </c>
    </row>
    <row r="10153" spans="1:24">
      <c r="A10153">
        <f>HYPERLINK("https://www.philgeps.gov.ph/GEPSNONPILOT/Tender/SplashBidNoticeAbstractUI.aspx?menuIndex=3&amp;refID=7061476&amp;Result=3","7061476")</f>
        <v>0</v>
      </c>
      <c r="B10153" t="s">
        <v>1961</v>
      </c>
      <c r="C10153" t="s">
        <v>13074</v>
      </c>
      <c r="D10153" t="s">
        <v>16608</v>
      </c>
      <c r="E10153" t="s">
        <v>25539</v>
      </c>
      <c r="F10153" t="s">
        <v>28669</v>
      </c>
      <c r="G10153" t="s">
        <v>28675</v>
      </c>
      <c r="H10153" t="s">
        <v>9998</v>
      </c>
      <c r="I10153" t="s">
        <v>28694</v>
      </c>
      <c r="J10153" t="s">
        <v>35115</v>
      </c>
      <c r="K10153" t="s">
        <v>37205</v>
      </c>
      <c r="M10153" t="s">
        <v>40602</v>
      </c>
      <c r="N10153" t="s">
        <v>41249</v>
      </c>
      <c r="O10153" t="s">
        <v>41250</v>
      </c>
      <c r="P10153">
        <v>0</v>
      </c>
      <c r="Q10153">
        <v>9</v>
      </c>
      <c r="R10153" t="s">
        <v>41260</v>
      </c>
      <c r="S10153" t="s">
        <v>41624</v>
      </c>
      <c r="T10153" t="s">
        <v>42721</v>
      </c>
      <c r="U10153" t="s">
        <v>51356</v>
      </c>
      <c r="W10153" t="s">
        <v>40602</v>
      </c>
      <c r="X10153" t="s">
        <v>41261</v>
      </c>
    </row>
    <row r="10154" spans="1:24">
      <c r="A10154">
        <f>HYPERLINK("https://www.philgeps.gov.ph/GEPSNONPILOT/Tender/SplashBidNoticeAbstractUI.aspx?menuIndex=3&amp;refID=7061620&amp;Result=3","7061620")</f>
        <v>0</v>
      </c>
      <c r="B10154" t="s">
        <v>2905</v>
      </c>
      <c r="C10154" t="s">
        <v>13075</v>
      </c>
      <c r="D10154" t="s">
        <v>16627</v>
      </c>
      <c r="E10154" t="s">
        <v>25540</v>
      </c>
      <c r="F10154" t="s">
        <v>28671</v>
      </c>
      <c r="G10154" t="s">
        <v>28675</v>
      </c>
      <c r="H10154" t="s">
        <v>9998</v>
      </c>
      <c r="I10154" t="s">
        <v>28687</v>
      </c>
      <c r="J10154" t="s">
        <v>34902</v>
      </c>
      <c r="K10154" t="s">
        <v>37206</v>
      </c>
      <c r="M10154" t="s">
        <v>40653</v>
      </c>
      <c r="N10154" t="s">
        <v>41249</v>
      </c>
      <c r="O10154" t="s">
        <v>41250</v>
      </c>
      <c r="P10154">
        <v>0</v>
      </c>
      <c r="Q10154">
        <v>2</v>
      </c>
      <c r="R10154" t="s">
        <v>41260</v>
      </c>
      <c r="S10154" t="s">
        <v>41624</v>
      </c>
      <c r="T10154" t="s">
        <v>42782</v>
      </c>
      <c r="U10154" t="s">
        <v>51378</v>
      </c>
      <c r="W10154" t="s">
        <v>40653</v>
      </c>
      <c r="X10154" t="s">
        <v>41261</v>
      </c>
    </row>
    <row r="10155" spans="1:24">
      <c r="A10155">
        <f>HYPERLINK("https://www.philgeps.gov.ph/GEPSNONPILOT/Tender/SplashBidNoticeAbstractUI.aspx?menuIndex=3&amp;refID=7061542&amp;Result=3","7061542")</f>
        <v>0</v>
      </c>
      <c r="B10155" t="s">
        <v>2906</v>
      </c>
      <c r="C10155" t="s">
        <v>13076</v>
      </c>
      <c r="D10155" t="s">
        <v>16660</v>
      </c>
      <c r="E10155" t="s">
        <v>20985</v>
      </c>
      <c r="F10155" t="s">
        <v>28669</v>
      </c>
      <c r="G10155" t="s">
        <v>28675</v>
      </c>
      <c r="H10155" t="s">
        <v>9998</v>
      </c>
      <c r="I10155" t="s">
        <v>28687</v>
      </c>
      <c r="J10155" t="s">
        <v>28924</v>
      </c>
      <c r="K10155" t="s">
        <v>37206</v>
      </c>
      <c r="M10155" t="s">
        <v>40654</v>
      </c>
      <c r="N10155" t="s">
        <v>41249</v>
      </c>
      <c r="O10155" t="s">
        <v>41250</v>
      </c>
      <c r="P10155">
        <v>0</v>
      </c>
      <c r="Q10155">
        <v>5</v>
      </c>
      <c r="R10155" t="s">
        <v>41260</v>
      </c>
      <c r="S10155" t="s">
        <v>41624</v>
      </c>
      <c r="T10155" t="s">
        <v>42836</v>
      </c>
      <c r="U10155" t="s">
        <v>51379</v>
      </c>
      <c r="V10155" t="s">
        <v>55372</v>
      </c>
      <c r="W10155" t="s">
        <v>40654</v>
      </c>
      <c r="X10155" t="s">
        <v>41261</v>
      </c>
    </row>
    <row r="10156" spans="1:24">
      <c r="A10156">
        <f>HYPERLINK("https://www.philgeps.gov.ph/GEPSNONPILOT/Tender/SplashBidNoticeAbstractUI.aspx?menuIndex=3&amp;refID=7061558&amp;Result=3","7061558")</f>
        <v>0</v>
      </c>
      <c r="B10156" t="s">
        <v>28</v>
      </c>
      <c r="C10156" t="s">
        <v>13077</v>
      </c>
      <c r="D10156" t="s">
        <v>16610</v>
      </c>
      <c r="E10156" t="s">
        <v>25541</v>
      </c>
      <c r="F10156" t="s">
        <v>28669</v>
      </c>
      <c r="G10156" t="s">
        <v>28675</v>
      </c>
      <c r="H10156" t="s">
        <v>28686</v>
      </c>
      <c r="I10156" t="s">
        <v>28689</v>
      </c>
      <c r="J10156" t="s">
        <v>35116</v>
      </c>
      <c r="K10156" t="s">
        <v>37364</v>
      </c>
      <c r="L10156" t="s">
        <v>28</v>
      </c>
      <c r="M10156" t="s">
        <v>37503</v>
      </c>
      <c r="N10156" t="s">
        <v>41249</v>
      </c>
      <c r="O10156" t="s">
        <v>41250</v>
      </c>
      <c r="P10156">
        <v>0</v>
      </c>
      <c r="Q10156">
        <v>0</v>
      </c>
      <c r="R10156" t="s">
        <v>41260</v>
      </c>
      <c r="S10156" t="s">
        <v>41624</v>
      </c>
      <c r="T10156" t="s">
        <v>42760</v>
      </c>
      <c r="U10156" t="s">
        <v>51380</v>
      </c>
      <c r="W10156" t="s">
        <v>37503</v>
      </c>
      <c r="X10156" t="s">
        <v>41261</v>
      </c>
    </row>
    <row r="10157" spans="1:24">
      <c r="A10157">
        <f>HYPERLINK("https://www.philgeps.gov.ph/GEPSNONPILOT/Tender/SplashBidNoticeAbstractUI.aspx?menuIndex=3&amp;refID=7061607&amp;Result=3","7061607")</f>
        <v>0</v>
      </c>
      <c r="B10157" t="s">
        <v>1585</v>
      </c>
      <c r="C10157" t="s">
        <v>13078</v>
      </c>
      <c r="D10157" t="s">
        <v>16618</v>
      </c>
      <c r="E10157" t="s">
        <v>25542</v>
      </c>
      <c r="F10157" t="s">
        <v>28669</v>
      </c>
      <c r="G10157" t="s">
        <v>28675</v>
      </c>
      <c r="H10157" t="s">
        <v>28686</v>
      </c>
      <c r="I10157" t="s">
        <v>28689</v>
      </c>
      <c r="J10157" t="s">
        <v>29338</v>
      </c>
      <c r="K10157" t="s">
        <v>37434</v>
      </c>
      <c r="M10157" t="s">
        <v>39166</v>
      </c>
      <c r="N10157" t="s">
        <v>41249</v>
      </c>
      <c r="O10157" t="s">
        <v>41250</v>
      </c>
      <c r="P10157">
        <v>0</v>
      </c>
      <c r="Q10157">
        <v>13</v>
      </c>
      <c r="R10157" t="s">
        <v>41260</v>
      </c>
      <c r="S10157" t="s">
        <v>41624</v>
      </c>
      <c r="T10157" t="s">
        <v>42755</v>
      </c>
      <c r="U10157" t="s">
        <v>51381</v>
      </c>
      <c r="W10157" t="s">
        <v>39166</v>
      </c>
      <c r="X10157" t="s">
        <v>41261</v>
      </c>
    </row>
    <row r="10158" spans="1:24">
      <c r="A10158">
        <f>HYPERLINK("https://www.philgeps.gov.ph/GEPSNONPILOT/Tender/SplashBidNoticeAbstractUI.aspx?menuIndex=3&amp;refID=7061605&amp;Result=3","7061605")</f>
        <v>0</v>
      </c>
      <c r="B10158" t="s">
        <v>2905</v>
      </c>
      <c r="C10158" t="s">
        <v>13079</v>
      </c>
      <c r="D10158" t="s">
        <v>16627</v>
      </c>
      <c r="E10158" t="s">
        <v>25543</v>
      </c>
      <c r="F10158" t="s">
        <v>28671</v>
      </c>
      <c r="G10158" t="s">
        <v>28675</v>
      </c>
      <c r="H10158" t="s">
        <v>9998</v>
      </c>
      <c r="I10158" t="s">
        <v>28719</v>
      </c>
      <c r="J10158" t="s">
        <v>30002</v>
      </c>
      <c r="K10158" t="s">
        <v>37210</v>
      </c>
      <c r="M10158" t="s">
        <v>40655</v>
      </c>
      <c r="N10158" t="s">
        <v>41249</v>
      </c>
      <c r="O10158" t="s">
        <v>41250</v>
      </c>
      <c r="P10158">
        <v>0</v>
      </c>
      <c r="Q10158">
        <v>3</v>
      </c>
      <c r="R10158" t="s">
        <v>41260</v>
      </c>
      <c r="S10158" t="s">
        <v>41624</v>
      </c>
      <c r="T10158" t="s">
        <v>42690</v>
      </c>
      <c r="U10158" t="s">
        <v>51382</v>
      </c>
      <c r="W10158" t="s">
        <v>40655</v>
      </c>
      <c r="X10158" t="s">
        <v>41261</v>
      </c>
    </row>
    <row r="10159" spans="1:24">
      <c r="A10159">
        <f>HYPERLINK("https://www.philgeps.gov.ph/GEPSNONPILOT/Tender/SplashBidNoticeAbstractUI.aspx?menuIndex=3&amp;refID=7061598&amp;Result=3","7061598")</f>
        <v>0</v>
      </c>
      <c r="B10159" t="s">
        <v>439</v>
      </c>
      <c r="C10159" t="s">
        <v>13080</v>
      </c>
      <c r="D10159" t="s">
        <v>16608</v>
      </c>
      <c r="E10159" t="s">
        <v>25544</v>
      </c>
      <c r="F10159" t="s">
        <v>28669</v>
      </c>
      <c r="G10159" t="s">
        <v>28675</v>
      </c>
      <c r="H10159" t="s">
        <v>9998</v>
      </c>
      <c r="I10159" t="s">
        <v>5213</v>
      </c>
      <c r="J10159" t="s">
        <v>35117</v>
      </c>
      <c r="K10159" t="s">
        <v>37213</v>
      </c>
      <c r="M10159" t="s">
        <v>37924</v>
      </c>
      <c r="N10159" t="s">
        <v>41249</v>
      </c>
      <c r="O10159" t="s">
        <v>41250</v>
      </c>
      <c r="P10159">
        <v>0</v>
      </c>
      <c r="Q10159">
        <v>6</v>
      </c>
      <c r="R10159" t="s">
        <v>41260</v>
      </c>
      <c r="S10159" t="s">
        <v>41624</v>
      </c>
      <c r="T10159" t="s">
        <v>42760</v>
      </c>
      <c r="U10159" t="s">
        <v>51383</v>
      </c>
      <c r="W10159" t="s">
        <v>37924</v>
      </c>
      <c r="X10159" t="s">
        <v>41261</v>
      </c>
    </row>
    <row r="10160" spans="1:24">
      <c r="A10160">
        <f>HYPERLINK("https://www.philgeps.gov.ph/GEPSNONPILOT/Tender/SplashBidNoticeAbstractUI.aspx?menuIndex=3&amp;refID=7061602&amp;Result=3","7061602")</f>
        <v>0</v>
      </c>
      <c r="B10160" t="s">
        <v>1585</v>
      </c>
      <c r="C10160" t="s">
        <v>13081</v>
      </c>
      <c r="D10160" t="s">
        <v>16618</v>
      </c>
      <c r="E10160" t="s">
        <v>25545</v>
      </c>
      <c r="F10160" t="s">
        <v>28669</v>
      </c>
      <c r="G10160" t="s">
        <v>28675</v>
      </c>
      <c r="H10160" t="s">
        <v>28686</v>
      </c>
      <c r="I10160" t="s">
        <v>28689</v>
      </c>
      <c r="J10160" t="s">
        <v>29950</v>
      </c>
      <c r="K10160" t="s">
        <v>37434</v>
      </c>
      <c r="M10160" t="s">
        <v>39166</v>
      </c>
      <c r="N10160" t="s">
        <v>41249</v>
      </c>
      <c r="O10160" t="s">
        <v>41250</v>
      </c>
      <c r="P10160">
        <v>0</v>
      </c>
      <c r="Q10160">
        <v>13</v>
      </c>
      <c r="R10160" t="s">
        <v>41260</v>
      </c>
      <c r="S10160" t="s">
        <v>41624</v>
      </c>
      <c r="T10160" t="s">
        <v>42755</v>
      </c>
      <c r="U10160" t="s">
        <v>51384</v>
      </c>
      <c r="W10160" t="s">
        <v>39166</v>
      </c>
      <c r="X10160" t="s">
        <v>41261</v>
      </c>
    </row>
    <row r="10161" spans="1:24">
      <c r="A10161">
        <f>HYPERLINK("https://www.philgeps.gov.ph/GEPSNONPILOT/Tender/SplashBidNoticeAbstractUI.aspx?menuIndex=3&amp;refID=7061648&amp;Result=3","7061648")</f>
        <v>0</v>
      </c>
      <c r="B10161" t="s">
        <v>1065</v>
      </c>
      <c r="C10161" t="s">
        <v>13082</v>
      </c>
      <c r="D10161" t="s">
        <v>16640</v>
      </c>
      <c r="E10161" t="s">
        <v>25546</v>
      </c>
      <c r="F10161" t="s">
        <v>28669</v>
      </c>
      <c r="G10161" t="s">
        <v>28675</v>
      </c>
      <c r="H10161" t="s">
        <v>9998</v>
      </c>
      <c r="I10161" t="s">
        <v>28687</v>
      </c>
      <c r="J10161" t="s">
        <v>35118</v>
      </c>
      <c r="K10161" t="s">
        <v>37206</v>
      </c>
      <c r="M10161" t="s">
        <v>38596</v>
      </c>
      <c r="N10161" t="s">
        <v>41249</v>
      </c>
      <c r="O10161" t="s">
        <v>41250</v>
      </c>
      <c r="P10161">
        <v>0</v>
      </c>
      <c r="Q10161">
        <v>14</v>
      </c>
      <c r="R10161" t="s">
        <v>41260</v>
      </c>
      <c r="S10161" t="s">
        <v>41624</v>
      </c>
      <c r="T10161" t="s">
        <v>42739</v>
      </c>
      <c r="U10161" t="s">
        <v>51385</v>
      </c>
      <c r="W10161" t="s">
        <v>38596</v>
      </c>
      <c r="X10161" t="s">
        <v>41261</v>
      </c>
    </row>
    <row r="10162" spans="1:24">
      <c r="A10162">
        <f>HYPERLINK("https://www.philgeps.gov.ph/GEPSNONPILOT/Tender/SplashBidNoticeAbstractUI.aspx?menuIndex=3&amp;refID=7061643&amp;Result=3","7061643")</f>
        <v>0</v>
      </c>
      <c r="B10162" t="s">
        <v>142</v>
      </c>
      <c r="C10162" t="s">
        <v>13083</v>
      </c>
      <c r="E10162" t="s">
        <v>25547</v>
      </c>
      <c r="F10162" t="s">
        <v>28669</v>
      </c>
      <c r="G10162" t="s">
        <v>28675</v>
      </c>
      <c r="H10162" t="s">
        <v>9998</v>
      </c>
      <c r="I10162" t="s">
        <v>28687</v>
      </c>
      <c r="J10162" t="s">
        <v>30588</v>
      </c>
      <c r="K10162" t="s">
        <v>37209</v>
      </c>
      <c r="M10162" t="s">
        <v>40656</v>
      </c>
      <c r="N10162" t="s">
        <v>41249</v>
      </c>
      <c r="O10162" t="s">
        <v>41250</v>
      </c>
      <c r="P10162">
        <v>0</v>
      </c>
      <c r="Q10162">
        <v>10</v>
      </c>
      <c r="R10162" t="s">
        <v>41260</v>
      </c>
      <c r="S10162" t="s">
        <v>41624</v>
      </c>
      <c r="T10162" t="s">
        <v>42761</v>
      </c>
      <c r="U10162" t="s">
        <v>51386</v>
      </c>
      <c r="V10162" t="s">
        <v>55373</v>
      </c>
      <c r="W10162" t="s">
        <v>40656</v>
      </c>
      <c r="X10162" t="s">
        <v>41261</v>
      </c>
    </row>
    <row r="10163" spans="1:24">
      <c r="A10163">
        <f>HYPERLINK("https://www.philgeps.gov.ph/GEPSNONPILOT/Tender/SplashBidNoticeAbstractUI.aspx?menuIndex=3&amp;refID=7061652&amp;Result=3","7061652")</f>
        <v>0</v>
      </c>
      <c r="B10163" t="s">
        <v>142</v>
      </c>
      <c r="C10163" t="s">
        <v>13084</v>
      </c>
      <c r="E10163" t="s">
        <v>25548</v>
      </c>
      <c r="F10163" t="s">
        <v>28669</v>
      </c>
      <c r="G10163" t="s">
        <v>28675</v>
      </c>
      <c r="H10163" t="s">
        <v>9998</v>
      </c>
      <c r="I10163" t="s">
        <v>28725</v>
      </c>
      <c r="J10163" t="s">
        <v>35119</v>
      </c>
      <c r="K10163" t="s">
        <v>37209</v>
      </c>
      <c r="M10163" t="s">
        <v>40656</v>
      </c>
      <c r="N10163" t="s">
        <v>41249</v>
      </c>
      <c r="O10163" t="s">
        <v>41250</v>
      </c>
      <c r="P10163">
        <v>0</v>
      </c>
      <c r="Q10163">
        <v>3</v>
      </c>
      <c r="R10163" t="s">
        <v>41260</v>
      </c>
      <c r="S10163" t="s">
        <v>41624</v>
      </c>
      <c r="T10163" t="s">
        <v>42761</v>
      </c>
      <c r="U10163" t="s">
        <v>51387</v>
      </c>
      <c r="V10163" t="s">
        <v>55373</v>
      </c>
      <c r="W10163" t="s">
        <v>40656</v>
      </c>
      <c r="X10163" t="s">
        <v>41261</v>
      </c>
    </row>
    <row r="10164" spans="1:24">
      <c r="A10164">
        <f>HYPERLINK("https://www.philgeps.gov.ph/GEPSNONPILOT/Tender/SplashBidNoticeAbstractUI.aspx?menuIndex=3&amp;refID=7061621&amp;Result=3","7061621")</f>
        <v>0</v>
      </c>
      <c r="B10164" t="s">
        <v>2907</v>
      </c>
      <c r="C10164" t="s">
        <v>13085</v>
      </c>
      <c r="D10164" t="s">
        <v>16608</v>
      </c>
      <c r="E10164" t="s">
        <v>25549</v>
      </c>
      <c r="F10164" t="s">
        <v>28669</v>
      </c>
      <c r="G10164" t="s">
        <v>28675</v>
      </c>
      <c r="H10164" t="s">
        <v>28685</v>
      </c>
      <c r="I10164" t="s">
        <v>28685</v>
      </c>
      <c r="J10164" t="s">
        <v>35120</v>
      </c>
      <c r="K10164" t="s">
        <v>37215</v>
      </c>
      <c r="M10164" t="s">
        <v>40657</v>
      </c>
      <c r="N10164" t="s">
        <v>41249</v>
      </c>
      <c r="O10164" t="s">
        <v>41250</v>
      </c>
      <c r="P10164">
        <v>0</v>
      </c>
      <c r="Q10164">
        <v>11</v>
      </c>
      <c r="R10164" t="s">
        <v>41260</v>
      </c>
      <c r="S10164" t="s">
        <v>41624</v>
      </c>
      <c r="T10164" t="s">
        <v>42793</v>
      </c>
      <c r="U10164" t="s">
        <v>51388</v>
      </c>
      <c r="W10164" t="s">
        <v>40657</v>
      </c>
      <c r="X10164" t="s">
        <v>41261</v>
      </c>
    </row>
    <row r="10165" spans="1:24">
      <c r="A10165">
        <f>HYPERLINK("https://www.philgeps.gov.ph/GEPSNONPILOT/Tender/SplashBidNoticeAbstractUI.aspx?menuIndex=3&amp;refID=7061597&amp;Result=3","7061597")</f>
        <v>0</v>
      </c>
      <c r="B10165" t="s">
        <v>1585</v>
      </c>
      <c r="C10165" t="s">
        <v>13086</v>
      </c>
      <c r="D10165" t="s">
        <v>16618</v>
      </c>
      <c r="E10165" t="s">
        <v>25550</v>
      </c>
      <c r="F10165" t="s">
        <v>28669</v>
      </c>
      <c r="G10165" t="s">
        <v>28675</v>
      </c>
      <c r="H10165" t="s">
        <v>28686</v>
      </c>
      <c r="I10165" t="s">
        <v>28689</v>
      </c>
      <c r="J10165" t="s">
        <v>29950</v>
      </c>
      <c r="K10165" t="s">
        <v>37435</v>
      </c>
      <c r="M10165" t="s">
        <v>39166</v>
      </c>
      <c r="N10165" t="s">
        <v>41249</v>
      </c>
      <c r="O10165" t="s">
        <v>41250</v>
      </c>
      <c r="P10165">
        <v>0</v>
      </c>
      <c r="Q10165">
        <v>14</v>
      </c>
      <c r="R10165" t="s">
        <v>41260</v>
      </c>
      <c r="S10165" t="s">
        <v>41624</v>
      </c>
      <c r="T10165" t="s">
        <v>42755</v>
      </c>
      <c r="U10165" t="s">
        <v>51389</v>
      </c>
      <c r="W10165" t="s">
        <v>39166</v>
      </c>
      <c r="X10165" t="s">
        <v>41261</v>
      </c>
    </row>
    <row r="10166" spans="1:24">
      <c r="A10166">
        <f>HYPERLINK("https://www.philgeps.gov.ph/GEPSNONPILOT/Tender/SplashBidNoticeAbstractUI.aspx?menuIndex=3&amp;refID=7061595&amp;Result=3","7061595")</f>
        <v>0</v>
      </c>
      <c r="B10166" t="s">
        <v>874</v>
      </c>
      <c r="C10166" t="s">
        <v>6122</v>
      </c>
      <c r="D10166" t="s">
        <v>16626</v>
      </c>
      <c r="E10166" t="s">
        <v>18531</v>
      </c>
      <c r="F10166" t="s">
        <v>28669</v>
      </c>
      <c r="G10166" t="s">
        <v>28675</v>
      </c>
      <c r="H10166" t="s">
        <v>9998</v>
      </c>
      <c r="I10166" t="s">
        <v>6128</v>
      </c>
      <c r="J10166" t="s">
        <v>30803</v>
      </c>
      <c r="K10166" t="s">
        <v>37234</v>
      </c>
      <c r="M10166" t="s">
        <v>38393</v>
      </c>
      <c r="N10166" t="s">
        <v>41249</v>
      </c>
      <c r="O10166" t="s">
        <v>41250</v>
      </c>
      <c r="P10166">
        <v>0</v>
      </c>
      <c r="Q10166">
        <v>0</v>
      </c>
      <c r="R10166" t="s">
        <v>41260</v>
      </c>
      <c r="S10166" t="s">
        <v>41624</v>
      </c>
      <c r="T10166" t="s">
        <v>42712</v>
      </c>
      <c r="U10166" t="s">
        <v>51390</v>
      </c>
      <c r="V10166" t="s">
        <v>55374</v>
      </c>
      <c r="W10166" t="s">
        <v>38393</v>
      </c>
      <c r="X10166" t="s">
        <v>41261</v>
      </c>
    </row>
    <row r="10167" spans="1:24">
      <c r="A10167">
        <f>HYPERLINK("https://www.philgeps.gov.ph/GEPSNONPILOT/Tender/SplashBidNoticeAbstractUI.aspx?menuIndex=3&amp;refID=7061672&amp;Result=3","7061672")</f>
        <v>0</v>
      </c>
      <c r="B10167" t="s">
        <v>2908</v>
      </c>
      <c r="C10167" t="s">
        <v>13087</v>
      </c>
      <c r="D10167" t="s">
        <v>16668</v>
      </c>
      <c r="E10167" t="s">
        <v>17266</v>
      </c>
      <c r="F10167" t="s">
        <v>28669</v>
      </c>
      <c r="G10167" t="s">
        <v>28675</v>
      </c>
      <c r="H10167" t="s">
        <v>9998</v>
      </c>
      <c r="I10167" t="s">
        <v>28743</v>
      </c>
      <c r="J10167" t="s">
        <v>35121</v>
      </c>
      <c r="K10167" t="s">
        <v>37204</v>
      </c>
      <c r="L10167" t="s">
        <v>2908</v>
      </c>
      <c r="M10167" t="s">
        <v>40658</v>
      </c>
      <c r="N10167" t="s">
        <v>41249</v>
      </c>
      <c r="O10167" t="s">
        <v>41250</v>
      </c>
      <c r="P10167">
        <v>0</v>
      </c>
      <c r="Q10167">
        <v>0</v>
      </c>
      <c r="R10167" t="s">
        <v>41260</v>
      </c>
      <c r="S10167" t="s">
        <v>41624</v>
      </c>
      <c r="T10167" t="s">
        <v>42966</v>
      </c>
      <c r="U10167" t="s">
        <v>51391</v>
      </c>
      <c r="W10167" t="s">
        <v>40658</v>
      </c>
      <c r="X10167" t="s">
        <v>41261</v>
      </c>
    </row>
    <row r="10168" spans="1:24">
      <c r="A10168">
        <f>HYPERLINK("https://www.philgeps.gov.ph/GEPSNONPILOT/Tender/SplashBidNoticeAbstractUI.aspx?menuIndex=3&amp;refID=7061675&amp;Result=3","7061675")</f>
        <v>0</v>
      </c>
      <c r="B10168" t="s">
        <v>860</v>
      </c>
      <c r="C10168" t="s">
        <v>13088</v>
      </c>
      <c r="D10168" t="s">
        <v>16678</v>
      </c>
      <c r="E10168" t="s">
        <v>25551</v>
      </c>
      <c r="F10168" t="s">
        <v>28671</v>
      </c>
      <c r="G10168" t="s">
        <v>28675</v>
      </c>
      <c r="H10168" t="s">
        <v>28686</v>
      </c>
      <c r="I10168" t="s">
        <v>28702</v>
      </c>
      <c r="J10168" t="s">
        <v>28850</v>
      </c>
      <c r="K10168" t="s">
        <v>37218</v>
      </c>
      <c r="L10168" t="s">
        <v>860</v>
      </c>
      <c r="M10168" t="s">
        <v>38378</v>
      </c>
      <c r="N10168" t="s">
        <v>41249</v>
      </c>
      <c r="O10168" t="s">
        <v>41250</v>
      </c>
      <c r="P10168">
        <v>0</v>
      </c>
      <c r="Q10168">
        <v>2</v>
      </c>
      <c r="R10168" t="s">
        <v>41260</v>
      </c>
      <c r="S10168" t="s">
        <v>41624</v>
      </c>
      <c r="T10168" t="s">
        <v>42881</v>
      </c>
      <c r="U10168" t="s">
        <v>51392</v>
      </c>
      <c r="W10168" t="s">
        <v>38378</v>
      </c>
      <c r="X10168" t="s">
        <v>41261</v>
      </c>
    </row>
    <row r="10169" spans="1:24">
      <c r="A10169">
        <f>HYPERLINK("https://www.philgeps.gov.ph/GEPSNONPILOT/Tender/SplashBidNoticeAbstractUI.aspx?menuIndex=3&amp;refID=7061645&amp;Result=3","7061645")</f>
        <v>0</v>
      </c>
      <c r="B10169" t="s">
        <v>28</v>
      </c>
      <c r="C10169" t="s">
        <v>13089</v>
      </c>
      <c r="D10169" t="s">
        <v>16610</v>
      </c>
      <c r="E10169" t="s">
        <v>25552</v>
      </c>
      <c r="F10169" t="s">
        <v>28669</v>
      </c>
      <c r="G10169" t="s">
        <v>28675</v>
      </c>
      <c r="H10169" t="s">
        <v>28686</v>
      </c>
      <c r="I10169" t="s">
        <v>28689</v>
      </c>
      <c r="J10169" t="s">
        <v>28881</v>
      </c>
      <c r="K10169" t="s">
        <v>37271</v>
      </c>
      <c r="L10169" t="s">
        <v>28</v>
      </c>
      <c r="M10169" t="s">
        <v>37503</v>
      </c>
      <c r="N10169" t="s">
        <v>41249</v>
      </c>
      <c r="O10169" t="s">
        <v>41250</v>
      </c>
      <c r="P10169">
        <v>0</v>
      </c>
      <c r="Q10169">
        <v>0</v>
      </c>
      <c r="R10169" t="s">
        <v>41260</v>
      </c>
      <c r="S10169" t="s">
        <v>41624</v>
      </c>
      <c r="T10169" t="s">
        <v>42931</v>
      </c>
      <c r="U10169" t="s">
        <v>51393</v>
      </c>
      <c r="W10169" t="s">
        <v>37503</v>
      </c>
      <c r="X10169" t="s">
        <v>41261</v>
      </c>
    </row>
    <row r="10170" spans="1:24">
      <c r="A10170">
        <f>HYPERLINK("https://www.philgeps.gov.ph/GEPSNONPILOT/Tender/SplashBidNoticeAbstractUI.aspx?menuIndex=3&amp;refID=7061668&amp;Result=3","7061668")</f>
        <v>0</v>
      </c>
      <c r="B10170" t="s">
        <v>2908</v>
      </c>
      <c r="C10170" t="s">
        <v>13090</v>
      </c>
      <c r="D10170" t="s">
        <v>16668</v>
      </c>
      <c r="E10170" t="s">
        <v>18520</v>
      </c>
      <c r="F10170" t="s">
        <v>28669</v>
      </c>
      <c r="G10170" t="s">
        <v>28675</v>
      </c>
      <c r="H10170" t="s">
        <v>9998</v>
      </c>
      <c r="I10170" t="s">
        <v>28736</v>
      </c>
      <c r="J10170" t="s">
        <v>35122</v>
      </c>
      <c r="K10170" t="s">
        <v>37204</v>
      </c>
      <c r="L10170" t="s">
        <v>2908</v>
      </c>
      <c r="M10170" t="s">
        <v>40658</v>
      </c>
      <c r="N10170" t="s">
        <v>41249</v>
      </c>
      <c r="O10170" t="s">
        <v>41250</v>
      </c>
      <c r="P10170">
        <v>0</v>
      </c>
      <c r="Q10170">
        <v>2</v>
      </c>
      <c r="R10170" t="s">
        <v>41260</v>
      </c>
      <c r="S10170" t="s">
        <v>41624</v>
      </c>
      <c r="T10170" t="s">
        <v>42966</v>
      </c>
      <c r="U10170" t="s">
        <v>51394</v>
      </c>
      <c r="W10170" t="s">
        <v>40658</v>
      </c>
      <c r="X10170" t="s">
        <v>41261</v>
      </c>
    </row>
    <row r="10171" spans="1:24">
      <c r="A10171">
        <f>HYPERLINK("https://www.philgeps.gov.ph/GEPSNONPILOT/Tender/SplashBidNoticeAbstractUI.aspx?menuIndex=3&amp;refID=7061674&amp;Result=3","7061674")</f>
        <v>0</v>
      </c>
      <c r="B10171" t="s">
        <v>2909</v>
      </c>
      <c r="C10171" t="s">
        <v>13091</v>
      </c>
      <c r="D10171" t="s">
        <v>16613</v>
      </c>
      <c r="E10171" t="s">
        <v>25553</v>
      </c>
      <c r="F10171" t="s">
        <v>28669</v>
      </c>
      <c r="G10171" t="s">
        <v>28675</v>
      </c>
      <c r="H10171" t="s">
        <v>28686</v>
      </c>
      <c r="I10171" t="s">
        <v>28689</v>
      </c>
      <c r="J10171" t="s">
        <v>28850</v>
      </c>
      <c r="K10171" t="s">
        <v>37436</v>
      </c>
      <c r="M10171" t="s">
        <v>40659</v>
      </c>
      <c r="N10171" t="s">
        <v>41249</v>
      </c>
      <c r="O10171" t="s">
        <v>41250</v>
      </c>
      <c r="P10171">
        <v>0</v>
      </c>
      <c r="Q10171">
        <v>0</v>
      </c>
      <c r="R10171" t="s">
        <v>41260</v>
      </c>
      <c r="S10171" t="s">
        <v>41624</v>
      </c>
      <c r="T10171" t="s">
        <v>42690</v>
      </c>
      <c r="U10171" t="s">
        <v>51395</v>
      </c>
      <c r="W10171" t="s">
        <v>40659</v>
      </c>
      <c r="X10171" t="s">
        <v>41261</v>
      </c>
    </row>
    <row r="10172" spans="1:24">
      <c r="A10172">
        <f>HYPERLINK("https://www.philgeps.gov.ph/GEPSNONPILOT/Tender/SplashBidNoticeAbstractUI.aspx?menuIndex=3&amp;refID=7061664&amp;Result=3","7061664")</f>
        <v>0</v>
      </c>
      <c r="B10172" t="s">
        <v>2908</v>
      </c>
      <c r="C10172" t="s">
        <v>13092</v>
      </c>
      <c r="D10172" t="s">
        <v>16668</v>
      </c>
      <c r="E10172" t="s">
        <v>19525</v>
      </c>
      <c r="F10172" t="s">
        <v>28669</v>
      </c>
      <c r="G10172" t="s">
        <v>28675</v>
      </c>
      <c r="H10172" t="s">
        <v>28686</v>
      </c>
      <c r="I10172" t="s">
        <v>28689</v>
      </c>
      <c r="J10172" t="s">
        <v>35123</v>
      </c>
      <c r="K10172" t="s">
        <v>37437</v>
      </c>
      <c r="L10172" t="s">
        <v>2908</v>
      </c>
      <c r="M10172" t="s">
        <v>40658</v>
      </c>
      <c r="N10172" t="s">
        <v>41249</v>
      </c>
      <c r="O10172" t="s">
        <v>41250</v>
      </c>
      <c r="P10172">
        <v>0</v>
      </c>
      <c r="Q10172">
        <v>0</v>
      </c>
      <c r="R10172" t="s">
        <v>41260</v>
      </c>
      <c r="S10172" t="s">
        <v>41624</v>
      </c>
      <c r="T10172" t="s">
        <v>42966</v>
      </c>
      <c r="U10172" t="s">
        <v>51396</v>
      </c>
      <c r="W10172" t="s">
        <v>40658</v>
      </c>
      <c r="X10172" t="s">
        <v>41261</v>
      </c>
    </row>
    <row r="10173" spans="1:24">
      <c r="A10173">
        <f>HYPERLINK("https://www.philgeps.gov.ph/GEPSNONPILOT/Tender/SplashBidNoticeAbstractUI.aspx?menuIndex=3&amp;refID=7043991&amp;Result=3","7043991")</f>
        <v>0</v>
      </c>
      <c r="B10173" t="s">
        <v>425</v>
      </c>
      <c r="C10173" t="s">
        <v>13093</v>
      </c>
      <c r="D10173" t="s">
        <v>16653</v>
      </c>
      <c r="E10173" t="s">
        <v>25554</v>
      </c>
      <c r="F10173" t="s">
        <v>28669</v>
      </c>
      <c r="G10173" t="s">
        <v>28675</v>
      </c>
      <c r="H10173" t="s">
        <v>28686</v>
      </c>
      <c r="I10173" t="s">
        <v>28689</v>
      </c>
      <c r="J10173" t="s">
        <v>31948</v>
      </c>
      <c r="K10173" t="s">
        <v>37213</v>
      </c>
      <c r="M10173" t="s">
        <v>37910</v>
      </c>
      <c r="N10173" t="s">
        <v>41249</v>
      </c>
      <c r="O10173" t="s">
        <v>41250</v>
      </c>
      <c r="P10173">
        <v>0</v>
      </c>
      <c r="Q10173">
        <v>2</v>
      </c>
      <c r="R10173" t="s">
        <v>41261</v>
      </c>
      <c r="S10173" t="s">
        <v>41680</v>
      </c>
      <c r="T10173" t="s">
        <v>42760</v>
      </c>
      <c r="U10173" t="s">
        <v>51397</v>
      </c>
      <c r="W10173" t="s">
        <v>37910</v>
      </c>
      <c r="X10173" t="s">
        <v>41269</v>
      </c>
    </row>
    <row r="10174" spans="1:24">
      <c r="A10174">
        <f>HYPERLINK("https://www.philgeps.gov.ph/GEPSNONPILOT/Tender/SplashBidNoticeAbstractUI.aspx?menuIndex=3&amp;refID=7061657&amp;Result=3","7061657")</f>
        <v>0</v>
      </c>
      <c r="B10174" t="s">
        <v>2908</v>
      </c>
      <c r="C10174" t="s">
        <v>13094</v>
      </c>
      <c r="D10174" t="s">
        <v>16668</v>
      </c>
      <c r="E10174" t="s">
        <v>17189</v>
      </c>
      <c r="F10174" t="s">
        <v>28669</v>
      </c>
      <c r="G10174" t="s">
        <v>28675</v>
      </c>
      <c r="H10174" t="s">
        <v>28686</v>
      </c>
      <c r="I10174" t="s">
        <v>28689</v>
      </c>
      <c r="J10174" t="s">
        <v>29033</v>
      </c>
      <c r="K10174" t="s">
        <v>37233</v>
      </c>
      <c r="L10174" t="s">
        <v>2908</v>
      </c>
      <c r="M10174" t="s">
        <v>40658</v>
      </c>
      <c r="N10174" t="s">
        <v>41249</v>
      </c>
      <c r="O10174" t="s">
        <v>41250</v>
      </c>
      <c r="P10174">
        <v>0</v>
      </c>
      <c r="Q10174">
        <v>0</v>
      </c>
      <c r="R10174" t="s">
        <v>41260</v>
      </c>
      <c r="S10174" t="s">
        <v>41624</v>
      </c>
      <c r="T10174" t="s">
        <v>42966</v>
      </c>
      <c r="U10174" t="s">
        <v>51398</v>
      </c>
      <c r="W10174" t="s">
        <v>40658</v>
      </c>
      <c r="X10174" t="s">
        <v>41261</v>
      </c>
    </row>
    <row r="10175" spans="1:24">
      <c r="A10175">
        <f>HYPERLINK("https://www.philgeps.gov.ph/GEPSNONPILOT/Tender/SplashBidNoticeAbstractUI.aspx?menuIndex=3&amp;refID=7043988&amp;Result=3","7043988")</f>
        <v>0</v>
      </c>
      <c r="B10175" t="s">
        <v>425</v>
      </c>
      <c r="C10175" t="s">
        <v>13095</v>
      </c>
      <c r="D10175" t="s">
        <v>16653</v>
      </c>
      <c r="E10175" t="s">
        <v>25555</v>
      </c>
      <c r="F10175" t="s">
        <v>28669</v>
      </c>
      <c r="G10175" t="s">
        <v>28675</v>
      </c>
      <c r="H10175" t="s">
        <v>28686</v>
      </c>
      <c r="I10175" t="s">
        <v>28689</v>
      </c>
      <c r="J10175" t="s">
        <v>31948</v>
      </c>
      <c r="K10175" t="s">
        <v>37213</v>
      </c>
      <c r="M10175" t="s">
        <v>37910</v>
      </c>
      <c r="N10175" t="s">
        <v>41249</v>
      </c>
      <c r="O10175" t="s">
        <v>41250</v>
      </c>
      <c r="P10175">
        <v>0</v>
      </c>
      <c r="Q10175">
        <v>2</v>
      </c>
      <c r="R10175" t="s">
        <v>41261</v>
      </c>
      <c r="S10175" t="s">
        <v>41680</v>
      </c>
      <c r="T10175" t="s">
        <v>42760</v>
      </c>
      <c r="U10175" t="s">
        <v>51399</v>
      </c>
      <c r="W10175" t="s">
        <v>37910</v>
      </c>
      <c r="X10175" t="s">
        <v>41269</v>
      </c>
    </row>
    <row r="10176" spans="1:24">
      <c r="A10176">
        <f>HYPERLINK("https://www.philgeps.gov.ph/GEPSNONPILOT/Tender/SplashBidNoticeAbstractUI.aspx?menuIndex=3&amp;refID=7043978&amp;Result=3","7043978")</f>
        <v>0</v>
      </c>
      <c r="B10176" t="s">
        <v>425</v>
      </c>
      <c r="C10176" t="s">
        <v>13096</v>
      </c>
      <c r="D10176" t="s">
        <v>16653</v>
      </c>
      <c r="E10176" t="s">
        <v>25556</v>
      </c>
      <c r="F10176" t="s">
        <v>28669</v>
      </c>
      <c r="G10176" t="s">
        <v>28675</v>
      </c>
      <c r="H10176" t="s">
        <v>28686</v>
      </c>
      <c r="I10176" t="s">
        <v>28689</v>
      </c>
      <c r="J10176" t="s">
        <v>31948</v>
      </c>
      <c r="K10176" t="s">
        <v>37213</v>
      </c>
      <c r="M10176" t="s">
        <v>37910</v>
      </c>
      <c r="N10176" t="s">
        <v>41249</v>
      </c>
      <c r="O10176" t="s">
        <v>41250</v>
      </c>
      <c r="P10176">
        <v>0</v>
      </c>
      <c r="Q10176">
        <v>2</v>
      </c>
      <c r="R10176" t="s">
        <v>41261</v>
      </c>
      <c r="S10176" t="s">
        <v>41680</v>
      </c>
      <c r="T10176" t="s">
        <v>42760</v>
      </c>
      <c r="U10176" t="s">
        <v>51400</v>
      </c>
      <c r="W10176" t="s">
        <v>37910</v>
      </c>
      <c r="X10176" t="s">
        <v>41269</v>
      </c>
    </row>
    <row r="10177" spans="1:24">
      <c r="A10177">
        <f>HYPERLINK("https://www.philgeps.gov.ph/GEPSNONPILOT/Tender/SplashBidNoticeAbstractUI.aspx?menuIndex=3&amp;refID=7061589&amp;Result=3","7061589")</f>
        <v>0</v>
      </c>
      <c r="B10177" t="s">
        <v>2905</v>
      </c>
      <c r="C10177" t="s">
        <v>13097</v>
      </c>
      <c r="D10177" t="s">
        <v>16627</v>
      </c>
      <c r="E10177" t="s">
        <v>25557</v>
      </c>
      <c r="F10177" t="s">
        <v>28671</v>
      </c>
      <c r="G10177" t="s">
        <v>28675</v>
      </c>
      <c r="H10177" t="s">
        <v>28686</v>
      </c>
      <c r="I10177" t="s">
        <v>28689</v>
      </c>
      <c r="J10177" t="s">
        <v>35124</v>
      </c>
      <c r="K10177" t="s">
        <v>37213</v>
      </c>
      <c r="M10177" t="s">
        <v>40660</v>
      </c>
      <c r="N10177" t="s">
        <v>41249</v>
      </c>
      <c r="O10177" t="s">
        <v>41250</v>
      </c>
      <c r="P10177">
        <v>0</v>
      </c>
      <c r="Q10177">
        <v>1</v>
      </c>
      <c r="R10177" t="s">
        <v>41260</v>
      </c>
      <c r="S10177" t="s">
        <v>41624</v>
      </c>
      <c r="T10177" t="s">
        <v>42782</v>
      </c>
      <c r="U10177" t="s">
        <v>51401</v>
      </c>
      <c r="W10177" t="s">
        <v>40660</v>
      </c>
      <c r="X10177" t="s">
        <v>41261</v>
      </c>
    </row>
    <row r="10178" spans="1:24">
      <c r="A10178">
        <f>HYPERLINK("https://www.philgeps.gov.ph/GEPSNONPILOT/Tender/SplashBidNoticeAbstractUI.aspx?menuIndex=3&amp;refID=7044395&amp;Result=3","7044395")</f>
        <v>0</v>
      </c>
      <c r="B10178" t="s">
        <v>2910</v>
      </c>
      <c r="C10178" t="s">
        <v>13098</v>
      </c>
      <c r="D10178" t="s">
        <v>16676</v>
      </c>
      <c r="E10178" t="s">
        <v>25558</v>
      </c>
      <c r="F10178" t="s">
        <v>28669</v>
      </c>
      <c r="G10178" t="s">
        <v>28675</v>
      </c>
      <c r="H10178" t="s">
        <v>28686</v>
      </c>
      <c r="I10178" t="s">
        <v>28689</v>
      </c>
      <c r="J10178" t="s">
        <v>35125</v>
      </c>
      <c r="K10178" t="s">
        <v>37212</v>
      </c>
      <c r="M10178" t="s">
        <v>40661</v>
      </c>
      <c r="N10178" t="s">
        <v>41249</v>
      </c>
      <c r="O10178" t="s">
        <v>41250</v>
      </c>
      <c r="P10178">
        <v>0</v>
      </c>
      <c r="Q10178">
        <v>3</v>
      </c>
      <c r="R10178" t="s">
        <v>41261</v>
      </c>
      <c r="S10178" t="s">
        <v>41680</v>
      </c>
      <c r="T10178" t="s">
        <v>42987</v>
      </c>
      <c r="U10178" t="s">
        <v>51402</v>
      </c>
      <c r="V10178" t="s">
        <v>54621</v>
      </c>
      <c r="W10178" t="s">
        <v>40661</v>
      </c>
      <c r="X10178" t="s">
        <v>41268</v>
      </c>
    </row>
    <row r="10179" spans="1:24">
      <c r="A10179">
        <f>HYPERLINK("https://www.philgeps.gov.ph/GEPSNONPILOT/Tender/SplashBidNoticeAbstractUI.aspx?menuIndex=3&amp;refID=7061586&amp;Result=3","7061586")</f>
        <v>0</v>
      </c>
      <c r="B10179" t="s">
        <v>2911</v>
      </c>
      <c r="C10179" t="s">
        <v>13099</v>
      </c>
      <c r="D10179" t="s">
        <v>16616</v>
      </c>
      <c r="E10179" t="s">
        <v>17251</v>
      </c>
      <c r="F10179" t="s">
        <v>28669</v>
      </c>
      <c r="G10179" t="s">
        <v>28675</v>
      </c>
      <c r="H10179" t="s">
        <v>9998</v>
      </c>
      <c r="I10179" t="s">
        <v>7352</v>
      </c>
      <c r="J10179" t="s">
        <v>35126</v>
      </c>
      <c r="K10179" t="s">
        <v>37205</v>
      </c>
      <c r="M10179" t="s">
        <v>40662</v>
      </c>
      <c r="N10179" t="s">
        <v>41249</v>
      </c>
      <c r="O10179" t="s">
        <v>41250</v>
      </c>
      <c r="P10179">
        <v>0</v>
      </c>
      <c r="Q10179">
        <v>0</v>
      </c>
      <c r="R10179" t="s">
        <v>41260</v>
      </c>
      <c r="S10179" t="s">
        <v>41624</v>
      </c>
      <c r="T10179" t="s">
        <v>42739</v>
      </c>
      <c r="U10179" t="s">
        <v>51403</v>
      </c>
      <c r="V10179" t="s">
        <v>55375</v>
      </c>
      <c r="W10179" t="s">
        <v>40662</v>
      </c>
      <c r="X10179" t="s">
        <v>41261</v>
      </c>
    </row>
    <row r="10180" spans="1:24">
      <c r="A10180">
        <f>HYPERLINK("https://www.philgeps.gov.ph/GEPSNONPILOT/Tender/SplashBidNoticeAbstractUI.aspx?menuIndex=3&amp;refID=7044001&amp;Result=3","7044001")</f>
        <v>0</v>
      </c>
      <c r="B10180" t="s">
        <v>425</v>
      </c>
      <c r="C10180" t="s">
        <v>13100</v>
      </c>
      <c r="D10180" t="s">
        <v>16653</v>
      </c>
      <c r="E10180" t="s">
        <v>25559</v>
      </c>
      <c r="F10180" t="s">
        <v>28669</v>
      </c>
      <c r="G10180" t="s">
        <v>28675</v>
      </c>
      <c r="H10180" t="s">
        <v>28686</v>
      </c>
      <c r="I10180" t="s">
        <v>28689</v>
      </c>
      <c r="J10180" t="s">
        <v>31948</v>
      </c>
      <c r="K10180" t="s">
        <v>37213</v>
      </c>
      <c r="M10180" t="s">
        <v>37910</v>
      </c>
      <c r="N10180" t="s">
        <v>41249</v>
      </c>
      <c r="O10180" t="s">
        <v>41250</v>
      </c>
      <c r="P10180">
        <v>0</v>
      </c>
      <c r="Q10180">
        <v>0</v>
      </c>
      <c r="R10180" t="s">
        <v>41261</v>
      </c>
      <c r="S10180" t="s">
        <v>41680</v>
      </c>
      <c r="T10180" t="s">
        <v>42760</v>
      </c>
      <c r="U10180" t="s">
        <v>51404</v>
      </c>
      <c r="W10180" t="s">
        <v>37910</v>
      </c>
      <c r="X10180" t="s">
        <v>41269</v>
      </c>
    </row>
    <row r="10181" spans="1:24">
      <c r="A10181">
        <f>HYPERLINK("https://www.philgeps.gov.ph/GEPSNONPILOT/Tender/SplashBidNoticeAbstractUI.aspx?menuIndex=3&amp;refID=7043998&amp;Result=3","7043998")</f>
        <v>0</v>
      </c>
      <c r="B10181" t="s">
        <v>425</v>
      </c>
      <c r="C10181" t="s">
        <v>13101</v>
      </c>
      <c r="D10181" t="s">
        <v>16653</v>
      </c>
      <c r="E10181" t="s">
        <v>25560</v>
      </c>
      <c r="F10181" t="s">
        <v>28669</v>
      </c>
      <c r="G10181" t="s">
        <v>28675</v>
      </c>
      <c r="H10181" t="s">
        <v>28686</v>
      </c>
      <c r="I10181" t="s">
        <v>28689</v>
      </c>
      <c r="J10181" t="s">
        <v>31948</v>
      </c>
      <c r="K10181" t="s">
        <v>37213</v>
      </c>
      <c r="M10181" t="s">
        <v>37910</v>
      </c>
      <c r="N10181" t="s">
        <v>41249</v>
      </c>
      <c r="O10181" t="s">
        <v>41250</v>
      </c>
      <c r="P10181">
        <v>0</v>
      </c>
      <c r="Q10181">
        <v>0</v>
      </c>
      <c r="R10181" t="s">
        <v>41261</v>
      </c>
      <c r="S10181" t="s">
        <v>41680</v>
      </c>
      <c r="T10181" t="s">
        <v>42760</v>
      </c>
      <c r="U10181" t="s">
        <v>51405</v>
      </c>
      <c r="W10181" t="s">
        <v>37910</v>
      </c>
      <c r="X10181" t="s">
        <v>41269</v>
      </c>
    </row>
    <row r="10182" spans="1:24">
      <c r="A10182">
        <f>HYPERLINK("https://www.philgeps.gov.ph/GEPSNONPILOT/Tender/SplashBidNoticeAbstractUI.aspx?menuIndex=3&amp;refID=7043992&amp;Result=3","7043992")</f>
        <v>0</v>
      </c>
      <c r="B10182" t="s">
        <v>425</v>
      </c>
      <c r="C10182" t="s">
        <v>13102</v>
      </c>
      <c r="D10182" t="s">
        <v>16653</v>
      </c>
      <c r="E10182" t="s">
        <v>25561</v>
      </c>
      <c r="F10182" t="s">
        <v>28669</v>
      </c>
      <c r="G10182" t="s">
        <v>28675</v>
      </c>
      <c r="H10182" t="s">
        <v>28686</v>
      </c>
      <c r="I10182" t="s">
        <v>28689</v>
      </c>
      <c r="J10182" t="s">
        <v>31948</v>
      </c>
      <c r="K10182" t="s">
        <v>37213</v>
      </c>
      <c r="M10182" t="s">
        <v>37910</v>
      </c>
      <c r="N10182" t="s">
        <v>41249</v>
      </c>
      <c r="O10182" t="s">
        <v>41250</v>
      </c>
      <c r="P10182">
        <v>0</v>
      </c>
      <c r="Q10182">
        <v>0</v>
      </c>
      <c r="R10182" t="s">
        <v>41261</v>
      </c>
      <c r="S10182" t="s">
        <v>41680</v>
      </c>
      <c r="T10182" t="s">
        <v>42760</v>
      </c>
      <c r="U10182" t="s">
        <v>51406</v>
      </c>
      <c r="W10182" t="s">
        <v>37910</v>
      </c>
      <c r="X10182" t="s">
        <v>41269</v>
      </c>
    </row>
    <row r="10183" spans="1:24">
      <c r="A10183">
        <f>HYPERLINK("https://www.philgeps.gov.ph/GEPSNONPILOT/Tender/SplashBidNoticeAbstractUI.aspx?menuIndex=3&amp;refID=7043995&amp;Result=3","7043995")</f>
        <v>0</v>
      </c>
      <c r="B10183" t="s">
        <v>425</v>
      </c>
      <c r="C10183" t="s">
        <v>13103</v>
      </c>
      <c r="D10183" t="s">
        <v>16653</v>
      </c>
      <c r="E10183" t="s">
        <v>25562</v>
      </c>
      <c r="F10183" t="s">
        <v>28669</v>
      </c>
      <c r="G10183" t="s">
        <v>28675</v>
      </c>
      <c r="H10183" t="s">
        <v>28686</v>
      </c>
      <c r="I10183" t="s">
        <v>28689</v>
      </c>
      <c r="J10183" t="s">
        <v>31948</v>
      </c>
      <c r="K10183" t="s">
        <v>37213</v>
      </c>
      <c r="M10183" t="s">
        <v>37910</v>
      </c>
      <c r="N10183" t="s">
        <v>41249</v>
      </c>
      <c r="O10183" t="s">
        <v>41250</v>
      </c>
      <c r="P10183">
        <v>0</v>
      </c>
      <c r="Q10183">
        <v>0</v>
      </c>
      <c r="R10183" t="s">
        <v>41261</v>
      </c>
      <c r="S10183" t="s">
        <v>41680</v>
      </c>
      <c r="T10183" t="s">
        <v>42760</v>
      </c>
      <c r="U10183" t="s">
        <v>51407</v>
      </c>
      <c r="W10183" t="s">
        <v>37910</v>
      </c>
      <c r="X10183" t="s">
        <v>41269</v>
      </c>
    </row>
    <row r="10184" spans="1:24">
      <c r="A10184">
        <f>HYPERLINK("https://www.philgeps.gov.ph/GEPSNONPILOT/Tender/SplashBidNoticeAbstractUI.aspx?menuIndex=3&amp;refID=7043985&amp;Result=3","7043985")</f>
        <v>0</v>
      </c>
      <c r="B10184" t="s">
        <v>425</v>
      </c>
      <c r="C10184" t="s">
        <v>13104</v>
      </c>
      <c r="D10184" t="s">
        <v>16653</v>
      </c>
      <c r="E10184" t="s">
        <v>25563</v>
      </c>
      <c r="F10184" t="s">
        <v>28669</v>
      </c>
      <c r="G10184" t="s">
        <v>28675</v>
      </c>
      <c r="H10184" t="s">
        <v>28686</v>
      </c>
      <c r="I10184" t="s">
        <v>28689</v>
      </c>
      <c r="J10184" t="s">
        <v>31948</v>
      </c>
      <c r="K10184" t="s">
        <v>37213</v>
      </c>
      <c r="M10184" t="s">
        <v>37910</v>
      </c>
      <c r="N10184" t="s">
        <v>41249</v>
      </c>
      <c r="O10184" t="s">
        <v>41250</v>
      </c>
      <c r="P10184">
        <v>0</v>
      </c>
      <c r="Q10184">
        <v>2</v>
      </c>
      <c r="R10184" t="s">
        <v>41261</v>
      </c>
      <c r="S10184" t="s">
        <v>41680</v>
      </c>
      <c r="T10184" t="s">
        <v>42760</v>
      </c>
      <c r="U10184" t="s">
        <v>51408</v>
      </c>
      <c r="W10184" t="s">
        <v>37910</v>
      </c>
      <c r="X10184" t="s">
        <v>41269</v>
      </c>
    </row>
    <row r="10185" spans="1:24">
      <c r="A10185">
        <f>HYPERLINK("https://www.philgeps.gov.ph/GEPSNONPILOT/Tender/SplashBidNoticeAbstractUI.aspx?menuIndex=3&amp;refID=7061680&amp;Result=3","7061680")</f>
        <v>0</v>
      </c>
      <c r="B10185" t="s">
        <v>2909</v>
      </c>
      <c r="C10185" t="s">
        <v>13105</v>
      </c>
      <c r="D10185" t="s">
        <v>16613</v>
      </c>
      <c r="E10185" t="s">
        <v>25564</v>
      </c>
      <c r="F10185" t="s">
        <v>28669</v>
      </c>
      <c r="G10185" t="s">
        <v>28675</v>
      </c>
      <c r="H10185" t="s">
        <v>28686</v>
      </c>
      <c r="I10185" t="s">
        <v>28689</v>
      </c>
      <c r="J10185" t="s">
        <v>28881</v>
      </c>
      <c r="K10185" t="s">
        <v>37438</v>
      </c>
      <c r="M10185" t="s">
        <v>40659</v>
      </c>
      <c r="N10185" t="s">
        <v>41249</v>
      </c>
      <c r="O10185" t="s">
        <v>41250</v>
      </c>
      <c r="P10185">
        <v>0</v>
      </c>
      <c r="Q10185">
        <v>0</v>
      </c>
      <c r="R10185" t="s">
        <v>41260</v>
      </c>
      <c r="S10185" t="s">
        <v>41624</v>
      </c>
      <c r="T10185" t="s">
        <v>42690</v>
      </c>
      <c r="U10185" t="s">
        <v>51409</v>
      </c>
      <c r="W10185" t="s">
        <v>40659</v>
      </c>
      <c r="X10185" t="s">
        <v>41261</v>
      </c>
    </row>
    <row r="10186" spans="1:24">
      <c r="A10186">
        <f>HYPERLINK("https://www.philgeps.gov.ph/GEPSNONPILOT/Tender/SplashBidNoticeAbstractUI.aspx?menuIndex=3&amp;refID=7030335&amp;Result=3","7030335")</f>
        <v>0</v>
      </c>
      <c r="B10186" t="s">
        <v>2117</v>
      </c>
      <c r="C10186" t="s">
        <v>13106</v>
      </c>
      <c r="D10186" t="s">
        <v>16616</v>
      </c>
      <c r="E10186" t="s">
        <v>25565</v>
      </c>
      <c r="F10186" t="s">
        <v>28669</v>
      </c>
      <c r="G10186" t="s">
        <v>28675</v>
      </c>
      <c r="H10186" t="s">
        <v>9998</v>
      </c>
      <c r="I10186" t="s">
        <v>5286</v>
      </c>
      <c r="J10186" t="s">
        <v>35127</v>
      </c>
      <c r="K10186" t="s">
        <v>37227</v>
      </c>
      <c r="M10186" t="s">
        <v>39761</v>
      </c>
      <c r="N10186" t="s">
        <v>41249</v>
      </c>
      <c r="O10186" t="s">
        <v>41250</v>
      </c>
      <c r="P10186">
        <v>0</v>
      </c>
      <c r="Q10186">
        <v>12</v>
      </c>
      <c r="R10186" t="s">
        <v>41261</v>
      </c>
      <c r="S10186" t="s">
        <v>41680</v>
      </c>
      <c r="T10186" t="s">
        <v>42716</v>
      </c>
      <c r="U10186" t="s">
        <v>51410</v>
      </c>
      <c r="V10186" t="s">
        <v>55376</v>
      </c>
      <c r="W10186" t="s">
        <v>39761</v>
      </c>
      <c r="X10186" t="s">
        <v>41278</v>
      </c>
    </row>
    <row r="10187" spans="1:24">
      <c r="A10187">
        <f>HYPERLINK("https://www.philgeps.gov.ph/GEPSNONPILOT/Tender/SplashBidNoticeAbstractUI.aspx?menuIndex=3&amp;refID=7044002&amp;Result=3","7044002")</f>
        <v>0</v>
      </c>
      <c r="B10187" t="s">
        <v>425</v>
      </c>
      <c r="C10187" t="s">
        <v>13107</v>
      </c>
      <c r="D10187" t="s">
        <v>16653</v>
      </c>
      <c r="E10187" t="s">
        <v>25566</v>
      </c>
      <c r="F10187" t="s">
        <v>28669</v>
      </c>
      <c r="G10187" t="s">
        <v>28675</v>
      </c>
      <c r="H10187" t="s">
        <v>28686</v>
      </c>
      <c r="I10187" t="s">
        <v>28689</v>
      </c>
      <c r="J10187" t="s">
        <v>31948</v>
      </c>
      <c r="K10187" t="s">
        <v>37213</v>
      </c>
      <c r="M10187" t="s">
        <v>37910</v>
      </c>
      <c r="N10187" t="s">
        <v>41249</v>
      </c>
      <c r="O10187" t="s">
        <v>41250</v>
      </c>
      <c r="P10187">
        <v>0</v>
      </c>
      <c r="Q10187">
        <v>0</v>
      </c>
      <c r="R10187" t="s">
        <v>41261</v>
      </c>
      <c r="S10187" t="s">
        <v>41680</v>
      </c>
      <c r="T10187" t="s">
        <v>42760</v>
      </c>
      <c r="U10187" t="s">
        <v>51411</v>
      </c>
      <c r="W10187" t="s">
        <v>37910</v>
      </c>
      <c r="X10187" t="s">
        <v>41269</v>
      </c>
    </row>
    <row r="10188" spans="1:24">
      <c r="A10188">
        <f>HYPERLINK("https://www.philgeps.gov.ph/GEPSNONPILOT/Tender/SplashBidNoticeAbstractUI.aspx?menuIndex=3&amp;refID=7061678&amp;Result=3","7061678")</f>
        <v>0</v>
      </c>
      <c r="B10188" t="s">
        <v>2909</v>
      </c>
      <c r="C10188" t="s">
        <v>13108</v>
      </c>
      <c r="D10188" t="s">
        <v>16613</v>
      </c>
      <c r="E10188" t="s">
        <v>25567</v>
      </c>
      <c r="F10188" t="s">
        <v>28669</v>
      </c>
      <c r="G10188" t="s">
        <v>28675</v>
      </c>
      <c r="H10188" t="s">
        <v>28686</v>
      </c>
      <c r="I10188" t="s">
        <v>28689</v>
      </c>
      <c r="J10188" t="s">
        <v>28881</v>
      </c>
      <c r="K10188" t="s">
        <v>37439</v>
      </c>
      <c r="M10188" t="s">
        <v>40659</v>
      </c>
      <c r="N10188" t="s">
        <v>41249</v>
      </c>
      <c r="O10188" t="s">
        <v>41250</v>
      </c>
      <c r="P10188">
        <v>0</v>
      </c>
      <c r="Q10188">
        <v>0</v>
      </c>
      <c r="R10188" t="s">
        <v>41260</v>
      </c>
      <c r="S10188" t="s">
        <v>41624</v>
      </c>
      <c r="T10188" t="s">
        <v>42690</v>
      </c>
      <c r="U10188" t="s">
        <v>51412</v>
      </c>
      <c r="W10188" t="s">
        <v>40659</v>
      </c>
      <c r="X10188" t="s">
        <v>41261</v>
      </c>
    </row>
    <row r="10189" spans="1:24">
      <c r="A10189">
        <f>HYPERLINK("https://www.philgeps.gov.ph/GEPSNONPILOT/Tender/SplashBidNoticeAbstractUI.aspx?menuIndex=3&amp;refID=7061676&amp;Result=3","7061676")</f>
        <v>0</v>
      </c>
      <c r="B10189" t="s">
        <v>2909</v>
      </c>
      <c r="C10189" t="s">
        <v>13109</v>
      </c>
      <c r="D10189" t="s">
        <v>16613</v>
      </c>
      <c r="E10189" t="s">
        <v>25568</v>
      </c>
      <c r="F10189" t="s">
        <v>28669</v>
      </c>
      <c r="G10189" t="s">
        <v>28675</v>
      </c>
      <c r="H10189" t="s">
        <v>28686</v>
      </c>
      <c r="I10189" t="s">
        <v>28689</v>
      </c>
      <c r="J10189" t="s">
        <v>30755</v>
      </c>
      <c r="K10189" t="s">
        <v>37438</v>
      </c>
      <c r="M10189" t="s">
        <v>40659</v>
      </c>
      <c r="N10189" t="s">
        <v>41249</v>
      </c>
      <c r="O10189" t="s">
        <v>41250</v>
      </c>
      <c r="P10189">
        <v>0</v>
      </c>
      <c r="Q10189">
        <v>0</v>
      </c>
      <c r="R10189" t="s">
        <v>41260</v>
      </c>
      <c r="S10189" t="s">
        <v>41624</v>
      </c>
      <c r="T10189" t="s">
        <v>42690</v>
      </c>
      <c r="U10189" t="s">
        <v>51409</v>
      </c>
      <c r="W10189" t="s">
        <v>40659</v>
      </c>
      <c r="X10189" t="s">
        <v>41261</v>
      </c>
    </row>
    <row r="10190" spans="1:24">
      <c r="A10190">
        <f>HYPERLINK("https://www.philgeps.gov.ph/GEPSNONPILOT/Tender/SplashBidNoticeAbstractUI.aspx?menuIndex=3&amp;refID=7043997&amp;Result=3","7043997")</f>
        <v>0</v>
      </c>
      <c r="B10190" t="s">
        <v>425</v>
      </c>
      <c r="C10190" t="s">
        <v>13110</v>
      </c>
      <c r="D10190" t="s">
        <v>16653</v>
      </c>
      <c r="E10190" t="s">
        <v>25569</v>
      </c>
      <c r="F10190" t="s">
        <v>28669</v>
      </c>
      <c r="G10190" t="s">
        <v>28675</v>
      </c>
      <c r="H10190" t="s">
        <v>28686</v>
      </c>
      <c r="I10190" t="s">
        <v>28689</v>
      </c>
      <c r="J10190" t="s">
        <v>31948</v>
      </c>
      <c r="K10190" t="s">
        <v>37213</v>
      </c>
      <c r="M10190" t="s">
        <v>37910</v>
      </c>
      <c r="N10190" t="s">
        <v>41249</v>
      </c>
      <c r="O10190" t="s">
        <v>41250</v>
      </c>
      <c r="P10190">
        <v>0</v>
      </c>
      <c r="Q10190">
        <v>0</v>
      </c>
      <c r="R10190" t="s">
        <v>41261</v>
      </c>
      <c r="S10190" t="s">
        <v>41680</v>
      </c>
      <c r="T10190" t="s">
        <v>42760</v>
      </c>
      <c r="U10190" t="s">
        <v>51413</v>
      </c>
      <c r="W10190" t="s">
        <v>37910</v>
      </c>
      <c r="X10190" t="s">
        <v>41269</v>
      </c>
    </row>
    <row r="10191" spans="1:24">
      <c r="A10191">
        <f>HYPERLINK("https://www.philgeps.gov.ph/GEPSNONPILOT/Tender/SplashBidNoticeAbstractUI.aspx?menuIndex=3&amp;refID=7043993&amp;Result=3","7043993")</f>
        <v>0</v>
      </c>
      <c r="B10191" t="s">
        <v>425</v>
      </c>
      <c r="C10191" t="s">
        <v>13111</v>
      </c>
      <c r="D10191" t="s">
        <v>16653</v>
      </c>
      <c r="E10191" t="s">
        <v>25570</v>
      </c>
      <c r="F10191" t="s">
        <v>28669</v>
      </c>
      <c r="G10191" t="s">
        <v>28675</v>
      </c>
      <c r="H10191" t="s">
        <v>28686</v>
      </c>
      <c r="I10191" t="s">
        <v>28689</v>
      </c>
      <c r="J10191" t="s">
        <v>31948</v>
      </c>
      <c r="K10191" t="s">
        <v>37213</v>
      </c>
      <c r="M10191" t="s">
        <v>37910</v>
      </c>
      <c r="N10191" t="s">
        <v>41249</v>
      </c>
      <c r="O10191" t="s">
        <v>41250</v>
      </c>
      <c r="P10191">
        <v>0</v>
      </c>
      <c r="Q10191">
        <v>0</v>
      </c>
      <c r="R10191" t="s">
        <v>41261</v>
      </c>
      <c r="S10191" t="s">
        <v>41680</v>
      </c>
      <c r="T10191" t="s">
        <v>42760</v>
      </c>
      <c r="U10191" t="s">
        <v>51414</v>
      </c>
      <c r="W10191" t="s">
        <v>37910</v>
      </c>
      <c r="X10191" t="s">
        <v>41269</v>
      </c>
    </row>
    <row r="10192" spans="1:24">
      <c r="A10192">
        <f>HYPERLINK("https://www.philgeps.gov.ph/GEPSNONPILOT/Tender/SplashBidNoticeAbstractUI.aspx?menuIndex=3&amp;refID=7061682&amp;Result=3","7061682")</f>
        <v>0</v>
      </c>
      <c r="B10192" t="s">
        <v>2909</v>
      </c>
      <c r="C10192" t="s">
        <v>13112</v>
      </c>
      <c r="D10192" t="s">
        <v>16613</v>
      </c>
      <c r="E10192" t="s">
        <v>25571</v>
      </c>
      <c r="F10192" t="s">
        <v>28669</v>
      </c>
      <c r="G10192" t="s">
        <v>28675</v>
      </c>
      <c r="H10192" t="s">
        <v>28686</v>
      </c>
      <c r="I10192" t="s">
        <v>28689</v>
      </c>
      <c r="J10192" t="s">
        <v>28881</v>
      </c>
      <c r="K10192" t="s">
        <v>37346</v>
      </c>
      <c r="M10192" t="s">
        <v>40659</v>
      </c>
      <c r="N10192" t="s">
        <v>41249</v>
      </c>
      <c r="O10192" t="s">
        <v>41250</v>
      </c>
      <c r="P10192">
        <v>0</v>
      </c>
      <c r="Q10192">
        <v>0</v>
      </c>
      <c r="R10192" t="s">
        <v>41260</v>
      </c>
      <c r="S10192" t="s">
        <v>41624</v>
      </c>
      <c r="T10192" t="s">
        <v>42690</v>
      </c>
      <c r="U10192" t="s">
        <v>51409</v>
      </c>
      <c r="W10192" t="s">
        <v>40659</v>
      </c>
      <c r="X10192" t="s">
        <v>41261</v>
      </c>
    </row>
    <row r="10193" spans="1:24">
      <c r="A10193">
        <f>HYPERLINK("https://www.philgeps.gov.ph/GEPSNONPILOT/Tender/SplashBidNoticeAbstractUI.aspx?menuIndex=3&amp;refID=7043981&amp;Result=3","7043981")</f>
        <v>0</v>
      </c>
      <c r="B10193" t="s">
        <v>425</v>
      </c>
      <c r="C10193" t="s">
        <v>13113</v>
      </c>
      <c r="D10193" t="s">
        <v>16653</v>
      </c>
      <c r="E10193" t="s">
        <v>25572</v>
      </c>
      <c r="F10193" t="s">
        <v>28669</v>
      </c>
      <c r="G10193" t="s">
        <v>28675</v>
      </c>
      <c r="H10193" t="s">
        <v>28686</v>
      </c>
      <c r="I10193" t="s">
        <v>28689</v>
      </c>
      <c r="J10193" t="s">
        <v>31948</v>
      </c>
      <c r="K10193" t="s">
        <v>37213</v>
      </c>
      <c r="M10193" t="s">
        <v>37910</v>
      </c>
      <c r="N10193" t="s">
        <v>41249</v>
      </c>
      <c r="O10193" t="s">
        <v>41250</v>
      </c>
      <c r="P10193">
        <v>0</v>
      </c>
      <c r="Q10193">
        <v>2</v>
      </c>
      <c r="R10193" t="s">
        <v>41261</v>
      </c>
      <c r="S10193" t="s">
        <v>41680</v>
      </c>
      <c r="T10193" t="s">
        <v>42760</v>
      </c>
      <c r="U10193" t="s">
        <v>51415</v>
      </c>
      <c r="W10193" t="s">
        <v>37910</v>
      </c>
      <c r="X10193" t="s">
        <v>41269</v>
      </c>
    </row>
    <row r="10194" spans="1:24">
      <c r="A10194">
        <f>HYPERLINK("https://www.philgeps.gov.ph/GEPSNONPILOT/Tender/SplashBidNoticeAbstractUI.aspx?menuIndex=3&amp;refID=7048515&amp;Result=3","7048515")</f>
        <v>0</v>
      </c>
      <c r="B10194" t="s">
        <v>2912</v>
      </c>
      <c r="C10194" t="s">
        <v>13114</v>
      </c>
      <c r="E10194" t="s">
        <v>25573</v>
      </c>
      <c r="F10194" t="s">
        <v>28669</v>
      </c>
      <c r="G10194" t="s">
        <v>28679</v>
      </c>
      <c r="H10194" t="s">
        <v>9998</v>
      </c>
      <c r="I10194" t="s">
        <v>28687</v>
      </c>
      <c r="J10194" t="s">
        <v>29059</v>
      </c>
      <c r="K10194" t="s">
        <v>37209</v>
      </c>
      <c r="M10194" t="s">
        <v>40663</v>
      </c>
      <c r="N10194" t="s">
        <v>41249</v>
      </c>
      <c r="O10194" t="s">
        <v>41250</v>
      </c>
      <c r="P10194">
        <v>0</v>
      </c>
      <c r="Q10194">
        <v>3</v>
      </c>
      <c r="R10194" t="s">
        <v>41261</v>
      </c>
      <c r="S10194" t="s">
        <v>41680</v>
      </c>
      <c r="T10194" t="s">
        <v>42755</v>
      </c>
      <c r="U10194" t="s">
        <v>51416</v>
      </c>
      <c r="W10194" t="s">
        <v>40663</v>
      </c>
      <c r="X10194" t="s">
        <v>41267</v>
      </c>
    </row>
    <row r="10195" spans="1:24">
      <c r="A10195">
        <f>HYPERLINK("https://www.philgeps.gov.ph/GEPSNONPILOT/Tender/SplashBidNoticeAbstractUI.aspx?menuIndex=3&amp;refID=7054136&amp;Result=3","7054136")</f>
        <v>0</v>
      </c>
      <c r="B10195" t="s">
        <v>1717</v>
      </c>
      <c r="C10195" t="s">
        <v>13115</v>
      </c>
      <c r="D10195" t="s">
        <v>16616</v>
      </c>
      <c r="E10195" t="s">
        <v>16799</v>
      </c>
      <c r="F10195" t="s">
        <v>28669</v>
      </c>
      <c r="G10195" t="s">
        <v>28675</v>
      </c>
      <c r="H10195" t="s">
        <v>9998</v>
      </c>
      <c r="I10195" t="s">
        <v>28687</v>
      </c>
      <c r="J10195" t="s">
        <v>34902</v>
      </c>
      <c r="K10195" t="s">
        <v>37206</v>
      </c>
      <c r="M10195" t="s">
        <v>39315</v>
      </c>
      <c r="N10195" t="s">
        <v>41249</v>
      </c>
      <c r="O10195" t="s">
        <v>41250</v>
      </c>
      <c r="P10195">
        <v>0</v>
      </c>
      <c r="Q10195">
        <v>3</v>
      </c>
      <c r="R10195" t="s">
        <v>41261</v>
      </c>
      <c r="S10195" t="s">
        <v>41680</v>
      </c>
      <c r="T10195" t="s">
        <v>42659</v>
      </c>
      <c r="U10195" t="s">
        <v>51417</v>
      </c>
      <c r="W10195" t="s">
        <v>39315</v>
      </c>
      <c r="X10195" t="s">
        <v>41265</v>
      </c>
    </row>
    <row r="10196" spans="1:24">
      <c r="A10196">
        <f>HYPERLINK("https://www.philgeps.gov.ph/GEPSNONPILOT/Tender/SplashBidNoticeAbstractUI.aspx?menuIndex=3&amp;refID=7053398&amp;Result=3","7053398")</f>
        <v>0</v>
      </c>
      <c r="B10196" t="s">
        <v>1699</v>
      </c>
      <c r="C10196" t="s">
        <v>13116</v>
      </c>
      <c r="D10196" t="s">
        <v>16655</v>
      </c>
      <c r="E10196" t="s">
        <v>25574</v>
      </c>
      <c r="F10196" t="s">
        <v>28669</v>
      </c>
      <c r="G10196" t="s">
        <v>28675</v>
      </c>
      <c r="H10196" t="s">
        <v>28686</v>
      </c>
      <c r="I10196" t="s">
        <v>28689</v>
      </c>
      <c r="J10196" t="s">
        <v>35128</v>
      </c>
      <c r="K10196" t="s">
        <v>37215</v>
      </c>
      <c r="M10196" t="s">
        <v>39296</v>
      </c>
      <c r="N10196" t="s">
        <v>41249</v>
      </c>
      <c r="O10196" t="s">
        <v>41250</v>
      </c>
      <c r="P10196">
        <v>0</v>
      </c>
      <c r="Q10196">
        <v>0</v>
      </c>
      <c r="R10196" t="s">
        <v>41261</v>
      </c>
      <c r="S10196" t="s">
        <v>41680</v>
      </c>
      <c r="T10196" t="s">
        <v>42700</v>
      </c>
      <c r="U10196" t="s">
        <v>51418</v>
      </c>
      <c r="V10196" t="s">
        <v>55377</v>
      </c>
      <c r="W10196" t="s">
        <v>39296</v>
      </c>
      <c r="X10196" t="s">
        <v>41265</v>
      </c>
    </row>
    <row r="10197" spans="1:24">
      <c r="A10197">
        <f>HYPERLINK("https://www.philgeps.gov.ph/GEPSNONPILOT/Tender/SplashBidNoticeAbstractUI.aspx?menuIndex=3&amp;refID=7052843&amp;Result=3","7052843")</f>
        <v>0</v>
      </c>
      <c r="B10197" t="s">
        <v>2913</v>
      </c>
      <c r="C10197" t="s">
        <v>13117</v>
      </c>
      <c r="E10197" t="s">
        <v>25575</v>
      </c>
      <c r="F10197" t="s">
        <v>28669</v>
      </c>
      <c r="G10197" t="s">
        <v>28675</v>
      </c>
      <c r="H10197" t="s">
        <v>9998</v>
      </c>
      <c r="I10197" t="s">
        <v>6128</v>
      </c>
      <c r="J10197" t="s">
        <v>35129</v>
      </c>
      <c r="K10197" t="s">
        <v>37205</v>
      </c>
      <c r="M10197" t="s">
        <v>40664</v>
      </c>
      <c r="N10197" t="s">
        <v>41249</v>
      </c>
      <c r="O10197" t="s">
        <v>41250</v>
      </c>
      <c r="P10197">
        <v>0</v>
      </c>
      <c r="Q10197">
        <v>10</v>
      </c>
      <c r="R10197" t="s">
        <v>41261</v>
      </c>
      <c r="S10197" t="s">
        <v>41680</v>
      </c>
      <c r="T10197" t="s">
        <v>42836</v>
      </c>
      <c r="U10197" t="s">
        <v>51419</v>
      </c>
      <c r="W10197" t="s">
        <v>40664</v>
      </c>
      <c r="X10197" t="s">
        <v>41265</v>
      </c>
    </row>
    <row r="10198" spans="1:24">
      <c r="A10198">
        <f>HYPERLINK("https://www.philgeps.gov.ph/GEPSNONPILOT/Tender/SplashBidNoticeAbstractUI.aspx?menuIndex=3&amp;refID=7052015&amp;Result=3","7052015")</f>
        <v>0</v>
      </c>
      <c r="B10198" t="s">
        <v>821</v>
      </c>
      <c r="C10198" t="s">
        <v>13118</v>
      </c>
      <c r="D10198" t="s">
        <v>16672</v>
      </c>
      <c r="E10198" t="s">
        <v>25576</v>
      </c>
      <c r="F10198" t="s">
        <v>28669</v>
      </c>
      <c r="G10198" t="s">
        <v>28675</v>
      </c>
      <c r="H10198" t="s">
        <v>28686</v>
      </c>
      <c r="I10198" t="s">
        <v>28689</v>
      </c>
      <c r="J10198" t="s">
        <v>35130</v>
      </c>
      <c r="K10198" t="s">
        <v>37214</v>
      </c>
      <c r="M10198" t="s">
        <v>38337</v>
      </c>
      <c r="N10198" t="s">
        <v>41249</v>
      </c>
      <c r="O10198" t="s">
        <v>41250</v>
      </c>
      <c r="P10198">
        <v>0</v>
      </c>
      <c r="Q10198">
        <v>2</v>
      </c>
      <c r="R10198" t="s">
        <v>41261</v>
      </c>
      <c r="S10198" t="s">
        <v>41680</v>
      </c>
      <c r="T10198" t="s">
        <v>43109</v>
      </c>
      <c r="U10198" t="s">
        <v>51420</v>
      </c>
      <c r="W10198" t="s">
        <v>38337</v>
      </c>
      <c r="X10198" t="s">
        <v>41266</v>
      </c>
    </row>
    <row r="10199" spans="1:24">
      <c r="A10199">
        <f>HYPERLINK("https://www.philgeps.gov.ph/GEPSNONPILOT/Tender/SplashBidNoticeAbstractUI.aspx?menuIndex=3&amp;refID=7050494&amp;Result=3","7050494")</f>
        <v>0</v>
      </c>
      <c r="B10199" t="s">
        <v>2914</v>
      </c>
      <c r="C10199" t="s">
        <v>4108</v>
      </c>
      <c r="D10199" t="s">
        <v>16621</v>
      </c>
      <c r="E10199" t="s">
        <v>25577</v>
      </c>
      <c r="F10199" t="s">
        <v>28669</v>
      </c>
      <c r="G10199" t="s">
        <v>28678</v>
      </c>
      <c r="H10199" t="s">
        <v>9998</v>
      </c>
      <c r="I10199" t="s">
        <v>3718</v>
      </c>
      <c r="J10199" t="s">
        <v>30853</v>
      </c>
      <c r="K10199" t="s">
        <v>37227</v>
      </c>
      <c r="M10199" t="s">
        <v>40665</v>
      </c>
      <c r="N10199" t="s">
        <v>41249</v>
      </c>
      <c r="O10199" t="s">
        <v>41250</v>
      </c>
      <c r="P10199">
        <v>0</v>
      </c>
      <c r="Q10199">
        <v>1</v>
      </c>
      <c r="R10199" t="s">
        <v>41261</v>
      </c>
      <c r="S10199" t="s">
        <v>41680</v>
      </c>
      <c r="T10199" t="s">
        <v>42682</v>
      </c>
      <c r="U10199" t="s">
        <v>51421</v>
      </c>
      <c r="W10199" t="s">
        <v>40665</v>
      </c>
      <c r="X10199" t="s">
        <v>41266</v>
      </c>
    </row>
    <row r="10200" spans="1:24">
      <c r="A10200">
        <f>HYPERLINK("https://www.philgeps.gov.ph/GEPSNONPILOT/Tender/SplashBidNoticeAbstractUI.aspx?menuIndex=3&amp;refID=7053665&amp;Result=3","7053665")</f>
        <v>0</v>
      </c>
      <c r="B10200" t="s">
        <v>2915</v>
      </c>
      <c r="C10200" t="s">
        <v>13119</v>
      </c>
      <c r="E10200" t="s">
        <v>25578</v>
      </c>
      <c r="F10200" t="s">
        <v>28669</v>
      </c>
      <c r="G10200" t="s">
        <v>28675</v>
      </c>
      <c r="H10200" t="s">
        <v>28686</v>
      </c>
      <c r="I10200" t="s">
        <v>28689</v>
      </c>
      <c r="J10200" t="s">
        <v>28924</v>
      </c>
      <c r="K10200" t="s">
        <v>37209</v>
      </c>
      <c r="M10200" t="s">
        <v>40666</v>
      </c>
      <c r="N10200" t="s">
        <v>41249</v>
      </c>
      <c r="O10200" t="s">
        <v>41250</v>
      </c>
      <c r="P10200">
        <v>0</v>
      </c>
      <c r="Q10200">
        <v>0</v>
      </c>
      <c r="R10200" t="s">
        <v>41261</v>
      </c>
      <c r="S10200" t="s">
        <v>41680</v>
      </c>
      <c r="T10200" t="s">
        <v>42714</v>
      </c>
      <c r="U10200" t="s">
        <v>51422</v>
      </c>
      <c r="W10200" t="s">
        <v>40666</v>
      </c>
      <c r="X10200" t="s">
        <v>41265</v>
      </c>
    </row>
    <row r="10201" spans="1:24">
      <c r="A10201">
        <f>HYPERLINK("https://www.philgeps.gov.ph/GEPSNONPILOT/Tender/SplashBidNoticeAbstractUI.aspx?menuIndex=3&amp;refID=7051199&amp;Result=3","7051199")</f>
        <v>0</v>
      </c>
      <c r="B10201" t="s">
        <v>44</v>
      </c>
      <c r="C10201" t="s">
        <v>13120</v>
      </c>
      <c r="D10201" t="s">
        <v>16625</v>
      </c>
      <c r="E10201" t="s">
        <v>25579</v>
      </c>
      <c r="F10201" t="s">
        <v>28669</v>
      </c>
      <c r="G10201" t="s">
        <v>28675</v>
      </c>
      <c r="H10201" t="s">
        <v>9998</v>
      </c>
      <c r="I10201" t="s">
        <v>28687</v>
      </c>
      <c r="J10201" t="s">
        <v>32766</v>
      </c>
      <c r="K10201" t="s">
        <v>37211</v>
      </c>
      <c r="M10201" t="s">
        <v>38457</v>
      </c>
      <c r="N10201" t="s">
        <v>41249</v>
      </c>
      <c r="O10201" t="s">
        <v>41250</v>
      </c>
      <c r="P10201">
        <v>0</v>
      </c>
      <c r="Q10201">
        <v>16</v>
      </c>
      <c r="R10201" t="s">
        <v>41261</v>
      </c>
      <c r="S10201" t="s">
        <v>41680</v>
      </c>
      <c r="T10201" t="s">
        <v>42755</v>
      </c>
      <c r="U10201" t="s">
        <v>51423</v>
      </c>
      <c r="V10201" t="s">
        <v>54257</v>
      </c>
      <c r="W10201" t="s">
        <v>38457</v>
      </c>
      <c r="X10201" t="s">
        <v>41266</v>
      </c>
    </row>
    <row r="10202" spans="1:24">
      <c r="A10202">
        <f>HYPERLINK("https://www.philgeps.gov.ph/GEPSNONPILOT/Tender/SplashBidNoticeAbstractUI.aspx?menuIndex=3&amp;refID=7051166&amp;Result=3","7051166")</f>
        <v>0</v>
      </c>
      <c r="B10202" t="s">
        <v>44</v>
      </c>
      <c r="C10202" t="s">
        <v>13121</v>
      </c>
      <c r="D10202" t="s">
        <v>16625</v>
      </c>
      <c r="E10202" t="s">
        <v>25580</v>
      </c>
      <c r="F10202" t="s">
        <v>28669</v>
      </c>
      <c r="G10202" t="s">
        <v>28675</v>
      </c>
      <c r="H10202" t="s">
        <v>9998</v>
      </c>
      <c r="I10202" t="s">
        <v>28687</v>
      </c>
      <c r="J10202" t="s">
        <v>35131</v>
      </c>
      <c r="K10202" t="s">
        <v>37211</v>
      </c>
      <c r="M10202" t="s">
        <v>38457</v>
      </c>
      <c r="N10202" t="s">
        <v>41249</v>
      </c>
      <c r="O10202" t="s">
        <v>41250</v>
      </c>
      <c r="P10202">
        <v>0</v>
      </c>
      <c r="Q10202">
        <v>15</v>
      </c>
      <c r="R10202" t="s">
        <v>41261</v>
      </c>
      <c r="S10202" t="s">
        <v>41680</v>
      </c>
      <c r="T10202" t="s">
        <v>42755</v>
      </c>
      <c r="U10202" t="s">
        <v>51424</v>
      </c>
      <c r="V10202" t="s">
        <v>54257</v>
      </c>
      <c r="W10202" t="s">
        <v>38457</v>
      </c>
      <c r="X10202" t="s">
        <v>41266</v>
      </c>
    </row>
    <row r="10203" spans="1:24">
      <c r="A10203">
        <f>HYPERLINK("https://www.philgeps.gov.ph/GEPSNONPILOT/Tender/SplashBidNoticeAbstractUI.aspx?menuIndex=3&amp;refID=7054544&amp;Result=3","7054544")</f>
        <v>0</v>
      </c>
      <c r="B10203" t="s">
        <v>1697</v>
      </c>
      <c r="C10203" t="s">
        <v>13122</v>
      </c>
      <c r="D10203" t="s">
        <v>16692</v>
      </c>
      <c r="E10203" t="s">
        <v>25581</v>
      </c>
      <c r="F10203" t="s">
        <v>28669</v>
      </c>
      <c r="G10203" t="s">
        <v>28682</v>
      </c>
      <c r="H10203" t="s">
        <v>28686</v>
      </c>
      <c r="I10203" t="s">
        <v>28689</v>
      </c>
      <c r="J10203" t="s">
        <v>30195</v>
      </c>
      <c r="K10203" t="s">
        <v>37209</v>
      </c>
      <c r="L10203" t="s">
        <v>1697</v>
      </c>
      <c r="M10203" t="s">
        <v>39297</v>
      </c>
      <c r="N10203" t="s">
        <v>41249</v>
      </c>
      <c r="O10203" t="s">
        <v>41250</v>
      </c>
      <c r="P10203">
        <v>0</v>
      </c>
      <c r="Q10203">
        <v>0</v>
      </c>
      <c r="R10203" t="s">
        <v>41261</v>
      </c>
      <c r="S10203" t="s">
        <v>41680</v>
      </c>
      <c r="T10203" t="s">
        <v>42836</v>
      </c>
      <c r="U10203" t="s">
        <v>51425</v>
      </c>
      <c r="W10203" t="s">
        <v>39297</v>
      </c>
      <c r="X10203" t="s">
        <v>41265</v>
      </c>
    </row>
    <row r="10204" spans="1:24">
      <c r="A10204">
        <f>HYPERLINK("https://www.philgeps.gov.ph/GEPSNONPILOT/Tender/SplashBidNoticeAbstractUI.aspx?menuIndex=3&amp;refID=7054403&amp;Result=3","7054403")</f>
        <v>0</v>
      </c>
      <c r="B10204" t="s">
        <v>1717</v>
      </c>
      <c r="C10204" t="s">
        <v>13123</v>
      </c>
      <c r="D10204" t="s">
        <v>16616</v>
      </c>
      <c r="E10204" t="s">
        <v>16709</v>
      </c>
      <c r="F10204" t="s">
        <v>28669</v>
      </c>
      <c r="G10204" t="s">
        <v>28675</v>
      </c>
      <c r="H10204" t="s">
        <v>9998</v>
      </c>
      <c r="I10204" t="s">
        <v>28706</v>
      </c>
      <c r="J10204" t="s">
        <v>34691</v>
      </c>
      <c r="K10204" t="s">
        <v>37210</v>
      </c>
      <c r="M10204" t="s">
        <v>39315</v>
      </c>
      <c r="N10204" t="s">
        <v>41249</v>
      </c>
      <c r="O10204" t="s">
        <v>41250</v>
      </c>
      <c r="P10204">
        <v>0</v>
      </c>
      <c r="Q10204">
        <v>1</v>
      </c>
      <c r="R10204" t="s">
        <v>41261</v>
      </c>
      <c r="S10204" t="s">
        <v>41680</v>
      </c>
      <c r="T10204" t="s">
        <v>42659</v>
      </c>
      <c r="U10204" t="s">
        <v>51426</v>
      </c>
      <c r="W10204" t="s">
        <v>39315</v>
      </c>
      <c r="X10204" t="s">
        <v>41265</v>
      </c>
    </row>
    <row r="10205" spans="1:24">
      <c r="A10205">
        <f>HYPERLINK("https://www.philgeps.gov.ph/GEPSNONPILOT/Tender/SplashBidNoticeAbstractUI.aspx?menuIndex=3&amp;refID=7054400&amp;Result=3","7054400")</f>
        <v>0</v>
      </c>
      <c r="B10205" t="s">
        <v>1453</v>
      </c>
      <c r="C10205" t="s">
        <v>13124</v>
      </c>
      <c r="D10205" t="s">
        <v>16638</v>
      </c>
      <c r="E10205" t="s">
        <v>25582</v>
      </c>
      <c r="F10205" t="s">
        <v>28669</v>
      </c>
      <c r="G10205" t="s">
        <v>28675</v>
      </c>
      <c r="H10205" t="s">
        <v>28686</v>
      </c>
      <c r="I10205" t="s">
        <v>28689</v>
      </c>
      <c r="J10205" t="s">
        <v>29134</v>
      </c>
      <c r="K10205" t="s">
        <v>37206</v>
      </c>
      <c r="L10205" t="s">
        <v>1453</v>
      </c>
      <c r="M10205" t="s">
        <v>39018</v>
      </c>
      <c r="N10205" t="s">
        <v>41249</v>
      </c>
      <c r="O10205" t="s">
        <v>41250</v>
      </c>
      <c r="P10205">
        <v>0</v>
      </c>
      <c r="Q10205">
        <v>0</v>
      </c>
      <c r="R10205" t="s">
        <v>41261</v>
      </c>
      <c r="S10205" t="s">
        <v>41680</v>
      </c>
      <c r="T10205" t="s">
        <v>42739</v>
      </c>
      <c r="U10205" t="s">
        <v>46379</v>
      </c>
      <c r="V10205" t="s">
        <v>54683</v>
      </c>
      <c r="W10205" t="s">
        <v>39018</v>
      </c>
      <c r="X10205" t="s">
        <v>41265</v>
      </c>
    </row>
    <row r="10206" spans="1:24">
      <c r="A10206">
        <f>HYPERLINK("https://www.philgeps.gov.ph/GEPSNONPILOT/Tender/SplashBidNoticeAbstractUI.aspx?menuIndex=3&amp;refID=7054300&amp;Result=3","7054300")</f>
        <v>0</v>
      </c>
      <c r="B10206" t="s">
        <v>1717</v>
      </c>
      <c r="C10206" t="s">
        <v>13125</v>
      </c>
      <c r="D10206" t="s">
        <v>16616</v>
      </c>
      <c r="E10206" t="s">
        <v>16869</v>
      </c>
      <c r="F10206" t="s">
        <v>28669</v>
      </c>
      <c r="G10206" t="s">
        <v>28675</v>
      </c>
      <c r="H10206" t="s">
        <v>9998</v>
      </c>
      <c r="I10206" t="s">
        <v>28687</v>
      </c>
      <c r="J10206" t="s">
        <v>35132</v>
      </c>
      <c r="K10206" t="s">
        <v>37206</v>
      </c>
      <c r="M10206" t="s">
        <v>39315</v>
      </c>
      <c r="N10206" t="s">
        <v>41249</v>
      </c>
      <c r="O10206" t="s">
        <v>41250</v>
      </c>
      <c r="P10206">
        <v>0</v>
      </c>
      <c r="Q10206">
        <v>2</v>
      </c>
      <c r="R10206" t="s">
        <v>41261</v>
      </c>
      <c r="S10206" t="s">
        <v>41680</v>
      </c>
      <c r="T10206" t="s">
        <v>42659</v>
      </c>
      <c r="U10206" t="s">
        <v>51427</v>
      </c>
      <c r="W10206" t="s">
        <v>39315</v>
      </c>
      <c r="X10206" t="s">
        <v>41265</v>
      </c>
    </row>
    <row r="10207" spans="1:24">
      <c r="A10207">
        <f>HYPERLINK("https://www.philgeps.gov.ph/GEPSNONPILOT/Tender/SplashBidNoticeAbstractUI.aspx?menuIndex=3&amp;refID=7053444&amp;Result=3","7053444")</f>
        <v>0</v>
      </c>
      <c r="B10207" t="s">
        <v>2916</v>
      </c>
      <c r="C10207" t="s">
        <v>13126</v>
      </c>
      <c r="D10207" t="s">
        <v>16639</v>
      </c>
      <c r="E10207" t="s">
        <v>25583</v>
      </c>
      <c r="F10207" t="s">
        <v>28669</v>
      </c>
      <c r="G10207" t="s">
        <v>28675</v>
      </c>
      <c r="H10207" t="s">
        <v>9998</v>
      </c>
      <c r="I10207" t="s">
        <v>28695</v>
      </c>
      <c r="J10207" t="s">
        <v>35133</v>
      </c>
      <c r="K10207" t="s">
        <v>37206</v>
      </c>
      <c r="M10207" t="s">
        <v>40667</v>
      </c>
      <c r="N10207" t="s">
        <v>41249</v>
      </c>
      <c r="O10207" t="s">
        <v>41250</v>
      </c>
      <c r="P10207">
        <v>0</v>
      </c>
      <c r="Q10207">
        <v>3</v>
      </c>
      <c r="R10207" t="s">
        <v>41261</v>
      </c>
      <c r="S10207" t="s">
        <v>41680</v>
      </c>
      <c r="T10207" t="s">
        <v>42660</v>
      </c>
      <c r="U10207" t="s">
        <v>51428</v>
      </c>
      <c r="W10207" t="s">
        <v>40667</v>
      </c>
      <c r="X10207" t="s">
        <v>41265</v>
      </c>
    </row>
    <row r="10208" spans="1:24">
      <c r="A10208">
        <f>HYPERLINK("https://www.philgeps.gov.ph/GEPSNONPILOT/Tender/SplashBidNoticeAbstractUI.aspx?menuIndex=3&amp;refID=7054980&amp;Result=3","7054980")</f>
        <v>0</v>
      </c>
      <c r="B10208" t="s">
        <v>475</v>
      </c>
      <c r="C10208" t="s">
        <v>13127</v>
      </c>
      <c r="E10208" t="s">
        <v>25584</v>
      </c>
      <c r="F10208" t="s">
        <v>28669</v>
      </c>
      <c r="G10208" t="s">
        <v>28679</v>
      </c>
      <c r="H10208" t="s">
        <v>28686</v>
      </c>
      <c r="I10208" t="s">
        <v>28689</v>
      </c>
      <c r="J10208" t="s">
        <v>30289</v>
      </c>
      <c r="K10208" t="s">
        <v>37209</v>
      </c>
      <c r="M10208" t="s">
        <v>40619</v>
      </c>
      <c r="N10208" t="s">
        <v>41249</v>
      </c>
      <c r="O10208" t="s">
        <v>41250</v>
      </c>
      <c r="Q10208">
        <v>6</v>
      </c>
      <c r="R10208" t="s">
        <v>41261</v>
      </c>
      <c r="S10208" t="s">
        <v>41681</v>
      </c>
      <c r="T10208" t="s">
        <v>42836</v>
      </c>
      <c r="U10208" t="s">
        <v>51429</v>
      </c>
      <c r="W10208" t="s">
        <v>40619</v>
      </c>
      <c r="X10208" t="s">
        <v>41265</v>
      </c>
    </row>
    <row r="10209" spans="1:24">
      <c r="A10209">
        <f>HYPERLINK("https://www.philgeps.gov.ph/GEPSNONPILOT/Tender/SplashBidNoticeAbstractUI.aspx?menuIndex=3&amp;refID=7054587&amp;Result=3","7054587")</f>
        <v>0</v>
      </c>
      <c r="B10209" t="s">
        <v>1697</v>
      </c>
      <c r="C10209" t="s">
        <v>13128</v>
      </c>
      <c r="D10209" t="s">
        <v>16692</v>
      </c>
      <c r="E10209" t="s">
        <v>25585</v>
      </c>
      <c r="F10209" t="s">
        <v>28669</v>
      </c>
      <c r="G10209" t="s">
        <v>28682</v>
      </c>
      <c r="H10209" t="s">
        <v>28686</v>
      </c>
      <c r="I10209" t="s">
        <v>28689</v>
      </c>
      <c r="J10209" t="s">
        <v>35134</v>
      </c>
      <c r="K10209" t="s">
        <v>37209</v>
      </c>
      <c r="L10209" t="s">
        <v>1697</v>
      </c>
      <c r="M10209" t="s">
        <v>39297</v>
      </c>
      <c r="N10209" t="s">
        <v>41249</v>
      </c>
      <c r="O10209" t="s">
        <v>41250</v>
      </c>
      <c r="P10209">
        <v>0</v>
      </c>
      <c r="Q10209">
        <v>4</v>
      </c>
      <c r="R10209" t="s">
        <v>41261</v>
      </c>
      <c r="S10209" t="s">
        <v>41680</v>
      </c>
      <c r="T10209" t="s">
        <v>42836</v>
      </c>
      <c r="U10209" t="s">
        <v>51430</v>
      </c>
      <c r="W10209" t="s">
        <v>39297</v>
      </c>
      <c r="X10209" t="s">
        <v>41265</v>
      </c>
    </row>
    <row r="10210" spans="1:24">
      <c r="A10210">
        <f>HYPERLINK("https://www.philgeps.gov.ph/GEPSNONPILOT/Tender/SplashBidNoticeAbstractUI.aspx?menuIndex=3&amp;refID=7052888&amp;Result=3","7052888")</f>
        <v>0</v>
      </c>
      <c r="B10210" t="s">
        <v>2913</v>
      </c>
      <c r="C10210" t="s">
        <v>13129</v>
      </c>
      <c r="E10210" t="s">
        <v>25586</v>
      </c>
      <c r="F10210" t="s">
        <v>28669</v>
      </c>
      <c r="G10210" t="s">
        <v>28675</v>
      </c>
      <c r="H10210" t="s">
        <v>9998</v>
      </c>
      <c r="I10210" t="s">
        <v>28710</v>
      </c>
      <c r="J10210" t="s">
        <v>35135</v>
      </c>
      <c r="K10210" t="s">
        <v>37243</v>
      </c>
      <c r="M10210" t="s">
        <v>40664</v>
      </c>
      <c r="N10210" t="s">
        <v>41249</v>
      </c>
      <c r="O10210" t="s">
        <v>41250</v>
      </c>
      <c r="Q10210">
        <v>1</v>
      </c>
      <c r="R10210" t="s">
        <v>41261</v>
      </c>
      <c r="S10210" t="s">
        <v>41682</v>
      </c>
      <c r="T10210" t="s">
        <v>42836</v>
      </c>
      <c r="U10210" t="s">
        <v>51431</v>
      </c>
      <c r="W10210" t="s">
        <v>40664</v>
      </c>
      <c r="X10210" t="s">
        <v>41265</v>
      </c>
    </row>
    <row r="10211" spans="1:24">
      <c r="A10211">
        <f>HYPERLINK("https://www.philgeps.gov.ph/GEPSNONPILOT/Tender/SplashBidNoticeAbstractUI.aspx?menuIndex=3&amp;refID=7055861&amp;Result=3","7055861")</f>
        <v>0</v>
      </c>
      <c r="B10211" t="s">
        <v>2657</v>
      </c>
      <c r="C10211" t="s">
        <v>13130</v>
      </c>
      <c r="D10211" t="s">
        <v>16611</v>
      </c>
      <c r="E10211" t="s">
        <v>16877</v>
      </c>
      <c r="F10211" t="s">
        <v>28669</v>
      </c>
      <c r="G10211" t="s">
        <v>28675</v>
      </c>
      <c r="H10211" t="s">
        <v>28686</v>
      </c>
      <c r="I10211" t="s">
        <v>28689</v>
      </c>
      <c r="J10211" t="s">
        <v>35136</v>
      </c>
      <c r="K10211" t="s">
        <v>37221</v>
      </c>
      <c r="M10211" t="s">
        <v>40360</v>
      </c>
      <c r="N10211" t="s">
        <v>41249</v>
      </c>
      <c r="O10211" t="s">
        <v>41250</v>
      </c>
      <c r="P10211">
        <v>0</v>
      </c>
      <c r="Q10211">
        <v>0</v>
      </c>
      <c r="R10211" t="s">
        <v>41261</v>
      </c>
      <c r="S10211" t="s">
        <v>41680</v>
      </c>
      <c r="T10211" t="s">
        <v>42758</v>
      </c>
      <c r="U10211" t="s">
        <v>51432</v>
      </c>
      <c r="V10211" t="s">
        <v>55378</v>
      </c>
      <c r="W10211" t="s">
        <v>40360</v>
      </c>
      <c r="X10211" t="s">
        <v>41264</v>
      </c>
    </row>
    <row r="10212" spans="1:24">
      <c r="A10212">
        <f>HYPERLINK("https://www.philgeps.gov.ph/GEPSNONPILOT/Tender/SplashBidNoticeAbstractUI.aspx?menuIndex=3&amp;refID=7055844&amp;Result=3","7055844")</f>
        <v>0</v>
      </c>
      <c r="B10212" t="s">
        <v>2917</v>
      </c>
      <c r="C10212" t="s">
        <v>13131</v>
      </c>
      <c r="D10212" t="s">
        <v>16626</v>
      </c>
      <c r="E10212" t="s">
        <v>25587</v>
      </c>
      <c r="F10212" t="s">
        <v>28669</v>
      </c>
      <c r="G10212" t="s">
        <v>28675</v>
      </c>
      <c r="H10212" t="s">
        <v>9998</v>
      </c>
      <c r="I10212" t="s">
        <v>28695</v>
      </c>
      <c r="J10212" t="s">
        <v>35137</v>
      </c>
      <c r="K10212" t="s">
        <v>37206</v>
      </c>
      <c r="M10212" t="s">
        <v>40668</v>
      </c>
      <c r="N10212" t="s">
        <v>41249</v>
      </c>
      <c r="O10212" t="s">
        <v>41250</v>
      </c>
      <c r="P10212">
        <v>0</v>
      </c>
      <c r="Q10212">
        <v>1</v>
      </c>
      <c r="R10212" t="s">
        <v>41261</v>
      </c>
      <c r="S10212" t="s">
        <v>41680</v>
      </c>
      <c r="T10212" t="s">
        <v>42712</v>
      </c>
      <c r="U10212" t="s">
        <v>51433</v>
      </c>
      <c r="W10212" t="s">
        <v>40668</v>
      </c>
      <c r="X10212" t="s">
        <v>41264</v>
      </c>
    </row>
    <row r="10213" spans="1:24">
      <c r="A10213">
        <f>HYPERLINK("https://www.philgeps.gov.ph/GEPSNONPILOT/Tender/SplashBidNoticeAbstractUI.aspx?menuIndex=3&amp;refID=7055823&amp;Result=3","7055823")</f>
        <v>0</v>
      </c>
      <c r="B10213" t="s">
        <v>65</v>
      </c>
      <c r="C10213" t="s">
        <v>13132</v>
      </c>
      <c r="D10213" t="s">
        <v>16626</v>
      </c>
      <c r="E10213" t="s">
        <v>25588</v>
      </c>
      <c r="F10213" t="s">
        <v>28669</v>
      </c>
      <c r="G10213" t="s">
        <v>28679</v>
      </c>
      <c r="H10213" t="s">
        <v>9998</v>
      </c>
      <c r="I10213" t="s">
        <v>28698</v>
      </c>
      <c r="J10213" t="s">
        <v>35138</v>
      </c>
      <c r="K10213" t="s">
        <v>37227</v>
      </c>
      <c r="M10213" t="s">
        <v>37540</v>
      </c>
      <c r="N10213" t="s">
        <v>41249</v>
      </c>
      <c r="O10213" t="s">
        <v>41250</v>
      </c>
      <c r="P10213">
        <v>0</v>
      </c>
      <c r="Q10213">
        <v>0</v>
      </c>
      <c r="R10213" t="s">
        <v>41261</v>
      </c>
      <c r="S10213" t="s">
        <v>41680</v>
      </c>
      <c r="T10213" t="s">
        <v>42910</v>
      </c>
      <c r="U10213" t="s">
        <v>43259</v>
      </c>
      <c r="W10213" t="s">
        <v>55899</v>
      </c>
      <c r="X10213" t="s">
        <v>41264</v>
      </c>
    </row>
    <row r="10214" spans="1:24">
      <c r="A10214">
        <f>HYPERLINK("https://www.philgeps.gov.ph/GEPSNONPILOT/Tender/SplashBidNoticeAbstractUI.aspx?menuIndex=3&amp;refID=7055743&amp;Result=3","7055743")</f>
        <v>0</v>
      </c>
      <c r="B10214" t="s">
        <v>2840</v>
      </c>
      <c r="C10214" t="s">
        <v>13133</v>
      </c>
      <c r="D10214" t="s">
        <v>16611</v>
      </c>
      <c r="E10214" t="s">
        <v>25589</v>
      </c>
      <c r="F10214" t="s">
        <v>28669</v>
      </c>
      <c r="G10214" t="s">
        <v>28675</v>
      </c>
      <c r="H10214" t="s">
        <v>9998</v>
      </c>
      <c r="I10214" t="s">
        <v>5286</v>
      </c>
      <c r="J10214" t="s">
        <v>29916</v>
      </c>
      <c r="K10214" t="s">
        <v>37206</v>
      </c>
      <c r="L10214" t="s">
        <v>2840</v>
      </c>
      <c r="M10214" t="s">
        <v>40576</v>
      </c>
      <c r="N10214" t="s">
        <v>41249</v>
      </c>
      <c r="O10214" t="s">
        <v>41250</v>
      </c>
      <c r="P10214">
        <v>0</v>
      </c>
      <c r="Q10214">
        <v>1</v>
      </c>
      <c r="R10214" t="s">
        <v>41261</v>
      </c>
      <c r="S10214" t="s">
        <v>41680</v>
      </c>
      <c r="T10214" t="s">
        <v>42670</v>
      </c>
      <c r="U10214" t="s">
        <v>51434</v>
      </c>
      <c r="W10214" t="s">
        <v>40576</v>
      </c>
      <c r="X10214" t="s">
        <v>41264</v>
      </c>
    </row>
    <row r="10215" spans="1:24">
      <c r="A10215">
        <f>HYPERLINK("https://www.philgeps.gov.ph/GEPSNONPILOT/Tender/SplashBidNoticeAbstractUI.aspx?menuIndex=3&amp;refID=7055264&amp;Result=3","7055264")</f>
        <v>0</v>
      </c>
      <c r="B10215" t="s">
        <v>877</v>
      </c>
      <c r="C10215" t="s">
        <v>13134</v>
      </c>
      <c r="D10215" t="s">
        <v>16658</v>
      </c>
      <c r="E10215" t="s">
        <v>21417</v>
      </c>
      <c r="F10215" t="s">
        <v>28669</v>
      </c>
      <c r="G10215" t="s">
        <v>28675</v>
      </c>
      <c r="H10215" t="s">
        <v>28686</v>
      </c>
      <c r="I10215" t="s">
        <v>28689</v>
      </c>
      <c r="J10215" t="s">
        <v>28924</v>
      </c>
      <c r="K10215" t="s">
        <v>37213</v>
      </c>
      <c r="M10215" t="s">
        <v>38397</v>
      </c>
      <c r="N10215" t="s">
        <v>41249</v>
      </c>
      <c r="O10215" t="s">
        <v>41250</v>
      </c>
      <c r="P10215">
        <v>0</v>
      </c>
      <c r="Q10215">
        <v>2</v>
      </c>
      <c r="R10215" t="s">
        <v>41261</v>
      </c>
      <c r="S10215" t="s">
        <v>41680</v>
      </c>
      <c r="T10215" t="s">
        <v>42836</v>
      </c>
      <c r="U10215" t="s">
        <v>51435</v>
      </c>
      <c r="W10215" t="s">
        <v>38397</v>
      </c>
      <c r="X10215" t="s">
        <v>41265</v>
      </c>
    </row>
    <row r="10216" spans="1:24">
      <c r="A10216">
        <f>HYPERLINK("https://www.philgeps.gov.ph/GEPSNONPILOT/Tender/SplashBidNoticeAbstractUI.aspx?menuIndex=3&amp;refID=7055037&amp;Result=3","7055037")</f>
        <v>0</v>
      </c>
      <c r="B10216" t="s">
        <v>475</v>
      </c>
      <c r="C10216" t="s">
        <v>13135</v>
      </c>
      <c r="E10216" t="s">
        <v>25590</v>
      </c>
      <c r="F10216" t="s">
        <v>28669</v>
      </c>
      <c r="G10216" t="s">
        <v>28679</v>
      </c>
      <c r="H10216" t="s">
        <v>28686</v>
      </c>
      <c r="I10216" t="s">
        <v>28689</v>
      </c>
      <c r="J10216" t="s">
        <v>28836</v>
      </c>
      <c r="K10216" t="s">
        <v>37209</v>
      </c>
      <c r="M10216" t="s">
        <v>40619</v>
      </c>
      <c r="N10216" t="s">
        <v>41249</v>
      </c>
      <c r="O10216" t="s">
        <v>41250</v>
      </c>
      <c r="Q10216">
        <v>3</v>
      </c>
      <c r="R10216" t="s">
        <v>41261</v>
      </c>
      <c r="S10216" t="s">
        <v>41683</v>
      </c>
      <c r="T10216" t="s">
        <v>42836</v>
      </c>
      <c r="U10216" t="s">
        <v>51429</v>
      </c>
      <c r="W10216" t="s">
        <v>40619</v>
      </c>
      <c r="X10216" t="s">
        <v>41265</v>
      </c>
    </row>
    <row r="10217" spans="1:24">
      <c r="A10217">
        <f>HYPERLINK("https://www.philgeps.gov.ph/GEPSNONPILOT/Tender/SplashBidNoticeAbstractUI.aspx?menuIndex=3&amp;refID=7056090&amp;Result=3","7056090")</f>
        <v>0</v>
      </c>
      <c r="B10217" t="s">
        <v>2918</v>
      </c>
      <c r="C10217" t="s">
        <v>13136</v>
      </c>
      <c r="D10217" t="s">
        <v>16641</v>
      </c>
      <c r="E10217" t="s">
        <v>25591</v>
      </c>
      <c r="F10217" t="s">
        <v>28669</v>
      </c>
      <c r="G10217" t="s">
        <v>28675</v>
      </c>
      <c r="H10217" t="s">
        <v>9998</v>
      </c>
      <c r="I10217" t="s">
        <v>28706</v>
      </c>
      <c r="J10217" t="s">
        <v>28878</v>
      </c>
      <c r="K10217" t="s">
        <v>37206</v>
      </c>
      <c r="M10217" t="s">
        <v>40669</v>
      </c>
      <c r="N10217" t="s">
        <v>41249</v>
      </c>
      <c r="O10217" t="s">
        <v>41250</v>
      </c>
      <c r="P10217">
        <v>0</v>
      </c>
      <c r="Q10217">
        <v>3</v>
      </c>
      <c r="R10217" t="s">
        <v>41261</v>
      </c>
      <c r="S10217" t="s">
        <v>41680</v>
      </c>
      <c r="T10217" t="s">
        <v>42734</v>
      </c>
      <c r="U10217" t="s">
        <v>51436</v>
      </c>
      <c r="W10217" t="s">
        <v>40669</v>
      </c>
      <c r="X10217" t="s">
        <v>41264</v>
      </c>
    </row>
    <row r="10218" spans="1:24">
      <c r="A10218">
        <f>HYPERLINK("https://www.philgeps.gov.ph/GEPSNONPILOT/Tender/SplashBidNoticeAbstractUI.aspx?menuIndex=3&amp;refID=7054278&amp;Result=3","7054278")</f>
        <v>0</v>
      </c>
      <c r="B10218" t="s">
        <v>1453</v>
      </c>
      <c r="C10218" t="s">
        <v>13137</v>
      </c>
      <c r="E10218" t="s">
        <v>25592</v>
      </c>
      <c r="F10218" t="s">
        <v>28669</v>
      </c>
      <c r="G10218" t="s">
        <v>28675</v>
      </c>
      <c r="H10218" t="s">
        <v>28686</v>
      </c>
      <c r="I10218" t="s">
        <v>28689</v>
      </c>
      <c r="J10218" t="s">
        <v>28836</v>
      </c>
      <c r="K10218" t="s">
        <v>37220</v>
      </c>
      <c r="L10218" t="s">
        <v>1453</v>
      </c>
      <c r="M10218" t="s">
        <v>39018</v>
      </c>
      <c r="N10218" t="s">
        <v>41249</v>
      </c>
      <c r="O10218" t="s">
        <v>41250</v>
      </c>
      <c r="P10218">
        <v>0</v>
      </c>
      <c r="Q10218">
        <v>0</v>
      </c>
      <c r="R10218" t="s">
        <v>41261</v>
      </c>
      <c r="S10218" t="s">
        <v>41680</v>
      </c>
      <c r="T10218" t="s">
        <v>42739</v>
      </c>
      <c r="U10218" t="s">
        <v>46379</v>
      </c>
      <c r="V10218" t="s">
        <v>54683</v>
      </c>
      <c r="W10218" t="s">
        <v>39018</v>
      </c>
      <c r="X10218" t="s">
        <v>41265</v>
      </c>
    </row>
    <row r="10219" spans="1:24">
      <c r="A10219">
        <f>HYPERLINK("https://www.philgeps.gov.ph/GEPSNONPILOT/Tender/SplashBidNoticeAbstractUI.aspx?menuIndex=3&amp;refID=7056115&amp;Result=3","7056115")</f>
        <v>0</v>
      </c>
      <c r="B10219" t="s">
        <v>2918</v>
      </c>
      <c r="C10219" t="s">
        <v>13138</v>
      </c>
      <c r="D10219" t="s">
        <v>16641</v>
      </c>
      <c r="E10219" t="s">
        <v>25593</v>
      </c>
      <c r="F10219" t="s">
        <v>28669</v>
      </c>
      <c r="G10219" t="s">
        <v>28675</v>
      </c>
      <c r="H10219" t="s">
        <v>9998</v>
      </c>
      <c r="I10219" t="s">
        <v>28706</v>
      </c>
      <c r="J10219" t="s">
        <v>35139</v>
      </c>
      <c r="K10219" t="s">
        <v>37206</v>
      </c>
      <c r="M10219" t="s">
        <v>40669</v>
      </c>
      <c r="N10219" t="s">
        <v>41249</v>
      </c>
      <c r="O10219" t="s">
        <v>41250</v>
      </c>
      <c r="P10219">
        <v>0</v>
      </c>
      <c r="Q10219">
        <v>3</v>
      </c>
      <c r="R10219" t="s">
        <v>41261</v>
      </c>
      <c r="S10219" t="s">
        <v>41680</v>
      </c>
      <c r="T10219" t="s">
        <v>42734</v>
      </c>
      <c r="U10219" t="s">
        <v>51437</v>
      </c>
      <c r="W10219" t="s">
        <v>40669</v>
      </c>
      <c r="X10219" t="s">
        <v>41264</v>
      </c>
    </row>
    <row r="10220" spans="1:24">
      <c r="A10220">
        <f>HYPERLINK("https://www.philgeps.gov.ph/GEPSNONPILOT/Tender/SplashBidNoticeAbstractUI.aspx?menuIndex=3&amp;refID=7055970&amp;Result=3","7055970")</f>
        <v>0</v>
      </c>
      <c r="B10220" t="s">
        <v>2046</v>
      </c>
      <c r="C10220" t="s">
        <v>13139</v>
      </c>
      <c r="D10220" t="s">
        <v>16643</v>
      </c>
      <c r="E10220" t="s">
        <v>25594</v>
      </c>
      <c r="F10220" t="s">
        <v>28669</v>
      </c>
      <c r="G10220" t="s">
        <v>28675</v>
      </c>
      <c r="H10220" t="s">
        <v>9998</v>
      </c>
      <c r="I10220" t="s">
        <v>28729</v>
      </c>
      <c r="J10220" t="s">
        <v>35140</v>
      </c>
      <c r="K10220" t="s">
        <v>37317</v>
      </c>
      <c r="M10220" t="s">
        <v>40670</v>
      </c>
      <c r="N10220" t="s">
        <v>41249</v>
      </c>
      <c r="O10220" t="s">
        <v>41250</v>
      </c>
      <c r="P10220">
        <v>0</v>
      </c>
      <c r="Q10220">
        <v>11</v>
      </c>
      <c r="R10220" t="s">
        <v>41261</v>
      </c>
      <c r="S10220" t="s">
        <v>41680</v>
      </c>
      <c r="T10220" t="s">
        <v>42692</v>
      </c>
      <c r="U10220" t="s">
        <v>51438</v>
      </c>
      <c r="W10220" t="s">
        <v>40670</v>
      </c>
      <c r="X10220" t="s">
        <v>41264</v>
      </c>
    </row>
    <row r="10221" spans="1:24">
      <c r="A10221">
        <f>HYPERLINK("https://www.philgeps.gov.ph/GEPSNONPILOT/Tender/SplashBidNoticeAbstractUI.aspx?menuIndex=3&amp;refID=7055759&amp;Result=3","7055759")</f>
        <v>0</v>
      </c>
      <c r="B10221" t="s">
        <v>2840</v>
      </c>
      <c r="C10221" t="s">
        <v>13140</v>
      </c>
      <c r="D10221" t="s">
        <v>16611</v>
      </c>
      <c r="E10221" t="s">
        <v>25595</v>
      </c>
      <c r="F10221" t="s">
        <v>28669</v>
      </c>
      <c r="G10221" t="s">
        <v>28676</v>
      </c>
      <c r="H10221" t="s">
        <v>9998</v>
      </c>
      <c r="I10221" t="s">
        <v>28704</v>
      </c>
      <c r="J10221" t="s">
        <v>28836</v>
      </c>
      <c r="K10221" t="s">
        <v>37220</v>
      </c>
      <c r="L10221" t="s">
        <v>2840</v>
      </c>
      <c r="M10221" t="s">
        <v>40576</v>
      </c>
      <c r="N10221" t="s">
        <v>41249</v>
      </c>
      <c r="O10221" t="s">
        <v>41250</v>
      </c>
      <c r="P10221">
        <v>0</v>
      </c>
      <c r="Q10221">
        <v>1</v>
      </c>
      <c r="R10221" t="s">
        <v>41261</v>
      </c>
      <c r="S10221" t="s">
        <v>41680</v>
      </c>
      <c r="T10221" t="s">
        <v>42670</v>
      </c>
      <c r="U10221" t="s">
        <v>51439</v>
      </c>
      <c r="W10221" t="s">
        <v>40576</v>
      </c>
      <c r="X10221" t="s">
        <v>41264</v>
      </c>
    </row>
    <row r="10222" spans="1:24">
      <c r="A10222">
        <f>HYPERLINK("https://www.philgeps.gov.ph/GEPSNONPILOT/Tender/SplashBidNoticeAbstractUI.aspx?menuIndex=3&amp;refID=7055948&amp;Result=3","7055948")</f>
        <v>0</v>
      </c>
      <c r="B10222" t="s">
        <v>2597</v>
      </c>
      <c r="C10222" t="s">
        <v>13141</v>
      </c>
      <c r="D10222" t="s">
        <v>16626</v>
      </c>
      <c r="E10222" t="s">
        <v>25596</v>
      </c>
      <c r="F10222" t="s">
        <v>28669</v>
      </c>
      <c r="G10222" t="s">
        <v>28675</v>
      </c>
      <c r="H10222" t="s">
        <v>9998</v>
      </c>
      <c r="I10222" t="s">
        <v>28775</v>
      </c>
      <c r="J10222" t="s">
        <v>29151</v>
      </c>
      <c r="K10222" t="s">
        <v>37234</v>
      </c>
      <c r="M10222" t="s">
        <v>40292</v>
      </c>
      <c r="N10222" t="s">
        <v>41249</v>
      </c>
      <c r="O10222" t="s">
        <v>41250</v>
      </c>
      <c r="P10222">
        <v>0</v>
      </c>
      <c r="Q10222">
        <v>0</v>
      </c>
      <c r="R10222" t="s">
        <v>41261</v>
      </c>
      <c r="S10222" t="s">
        <v>41680</v>
      </c>
      <c r="T10222" t="s">
        <v>42691</v>
      </c>
      <c r="U10222" t="s">
        <v>51440</v>
      </c>
      <c r="W10222" t="s">
        <v>40292</v>
      </c>
      <c r="X10222" t="s">
        <v>41264</v>
      </c>
    </row>
    <row r="10223" spans="1:24">
      <c r="A10223">
        <f>HYPERLINK("https://www.philgeps.gov.ph/GEPSNONPILOT/Tender/SplashBidNoticeAbstractUI.aspx?menuIndex=3&amp;refID=7055943&amp;Result=3","7055943")</f>
        <v>0</v>
      </c>
      <c r="B10223" t="s">
        <v>425</v>
      </c>
      <c r="C10223" t="s">
        <v>13142</v>
      </c>
      <c r="D10223" t="s">
        <v>16653</v>
      </c>
      <c r="E10223" t="s">
        <v>25597</v>
      </c>
      <c r="F10223" t="s">
        <v>28669</v>
      </c>
      <c r="G10223" t="s">
        <v>28675</v>
      </c>
      <c r="H10223" t="s">
        <v>28686</v>
      </c>
      <c r="I10223" t="s">
        <v>28689</v>
      </c>
      <c r="J10223" t="s">
        <v>29266</v>
      </c>
      <c r="K10223" t="s">
        <v>37214</v>
      </c>
      <c r="M10223" t="s">
        <v>37910</v>
      </c>
      <c r="N10223" t="s">
        <v>41249</v>
      </c>
      <c r="O10223" t="s">
        <v>41250</v>
      </c>
      <c r="P10223">
        <v>0</v>
      </c>
      <c r="Q10223">
        <v>0</v>
      </c>
      <c r="R10223" t="s">
        <v>41261</v>
      </c>
      <c r="S10223" t="s">
        <v>41680</v>
      </c>
      <c r="T10223" t="s">
        <v>42760</v>
      </c>
      <c r="U10223" t="s">
        <v>51441</v>
      </c>
      <c r="W10223" t="s">
        <v>37910</v>
      </c>
      <c r="X10223" t="s">
        <v>41264</v>
      </c>
    </row>
    <row r="10224" spans="1:24">
      <c r="A10224">
        <f>HYPERLINK("https://www.philgeps.gov.ph/GEPSNONPILOT/Tender/SplashBidNoticeAbstractUI.aspx?menuIndex=3&amp;refID=7051173&amp;Result=3","7051173")</f>
        <v>0</v>
      </c>
      <c r="B10224" t="s">
        <v>44</v>
      </c>
      <c r="C10224" t="s">
        <v>13143</v>
      </c>
      <c r="D10224" t="s">
        <v>16625</v>
      </c>
      <c r="E10224" t="s">
        <v>25598</v>
      </c>
      <c r="F10224" t="s">
        <v>28669</v>
      </c>
      <c r="G10224" t="s">
        <v>28675</v>
      </c>
      <c r="H10224" t="s">
        <v>9998</v>
      </c>
      <c r="I10224" t="s">
        <v>28687</v>
      </c>
      <c r="J10224" t="s">
        <v>29655</v>
      </c>
      <c r="K10224" t="s">
        <v>37211</v>
      </c>
      <c r="M10224" t="s">
        <v>38457</v>
      </c>
      <c r="N10224" t="s">
        <v>41249</v>
      </c>
      <c r="O10224" t="s">
        <v>41250</v>
      </c>
      <c r="P10224">
        <v>0</v>
      </c>
      <c r="Q10224">
        <v>8</v>
      </c>
      <c r="R10224" t="s">
        <v>41261</v>
      </c>
      <c r="S10224" t="s">
        <v>41680</v>
      </c>
      <c r="T10224" t="s">
        <v>42755</v>
      </c>
      <c r="U10224" t="s">
        <v>51442</v>
      </c>
      <c r="V10224" t="s">
        <v>54257</v>
      </c>
      <c r="W10224" t="s">
        <v>38457</v>
      </c>
      <c r="X10224" t="s">
        <v>41266</v>
      </c>
    </row>
    <row r="10225" spans="1:24">
      <c r="A10225">
        <f>HYPERLINK("https://www.philgeps.gov.ph/GEPSNONPILOT/Tender/SplashBidNoticeAbstractUI.aspx?menuIndex=3&amp;refID=7055936&amp;Result=3","7055936")</f>
        <v>0</v>
      </c>
      <c r="B10225" t="s">
        <v>65</v>
      </c>
      <c r="C10225" t="s">
        <v>13144</v>
      </c>
      <c r="D10225" t="s">
        <v>16626</v>
      </c>
      <c r="E10225" t="s">
        <v>25599</v>
      </c>
      <c r="F10225" t="s">
        <v>28669</v>
      </c>
      <c r="G10225" t="s">
        <v>28676</v>
      </c>
      <c r="H10225" t="s">
        <v>9998</v>
      </c>
      <c r="I10225" t="s">
        <v>28737</v>
      </c>
      <c r="J10225" t="s">
        <v>35141</v>
      </c>
      <c r="K10225" t="s">
        <v>37227</v>
      </c>
      <c r="M10225" t="s">
        <v>37540</v>
      </c>
      <c r="N10225" t="s">
        <v>41249</v>
      </c>
      <c r="O10225" t="s">
        <v>41250</v>
      </c>
      <c r="P10225">
        <v>0</v>
      </c>
      <c r="Q10225">
        <v>0</v>
      </c>
      <c r="R10225" t="s">
        <v>41261</v>
      </c>
      <c r="S10225" t="s">
        <v>41680</v>
      </c>
      <c r="T10225" t="s">
        <v>42910</v>
      </c>
      <c r="U10225" t="s">
        <v>43259</v>
      </c>
      <c r="W10225" t="s">
        <v>55899</v>
      </c>
      <c r="X10225" t="s">
        <v>41264</v>
      </c>
    </row>
    <row r="10226" spans="1:24">
      <c r="A10226">
        <f>HYPERLINK("https://www.philgeps.gov.ph/GEPSNONPILOT/Tender/SplashBidNoticeAbstractUI.aspx?menuIndex=3&amp;refID=7055875&amp;Result=3","7055875")</f>
        <v>0</v>
      </c>
      <c r="B10226" t="s">
        <v>65</v>
      </c>
      <c r="C10226" t="s">
        <v>13145</v>
      </c>
      <c r="D10226" t="s">
        <v>16626</v>
      </c>
      <c r="E10226" t="s">
        <v>25600</v>
      </c>
      <c r="F10226" t="s">
        <v>28669</v>
      </c>
      <c r="G10226" t="s">
        <v>28679</v>
      </c>
      <c r="H10226" t="s">
        <v>9998</v>
      </c>
      <c r="I10226" t="s">
        <v>28717</v>
      </c>
      <c r="J10226" t="s">
        <v>35142</v>
      </c>
      <c r="K10226" t="s">
        <v>37227</v>
      </c>
      <c r="M10226" t="s">
        <v>37540</v>
      </c>
      <c r="N10226" t="s">
        <v>41249</v>
      </c>
      <c r="O10226" t="s">
        <v>41250</v>
      </c>
      <c r="P10226">
        <v>0</v>
      </c>
      <c r="Q10226">
        <v>7</v>
      </c>
      <c r="R10226" t="s">
        <v>41261</v>
      </c>
      <c r="S10226" t="s">
        <v>41680</v>
      </c>
      <c r="T10226" t="s">
        <v>42910</v>
      </c>
      <c r="U10226" t="s">
        <v>43259</v>
      </c>
      <c r="W10226" t="s">
        <v>55899</v>
      </c>
      <c r="X10226" t="s">
        <v>41264</v>
      </c>
    </row>
    <row r="10227" spans="1:24">
      <c r="A10227">
        <f>HYPERLINK("https://www.philgeps.gov.ph/GEPSNONPILOT/Tender/SplashBidNoticeAbstractUI.aspx?menuIndex=3&amp;refID=7056092&amp;Result=3","7056092")</f>
        <v>0</v>
      </c>
      <c r="B10227" t="s">
        <v>2838</v>
      </c>
      <c r="C10227" t="s">
        <v>13146</v>
      </c>
      <c r="D10227" t="s">
        <v>16622</v>
      </c>
      <c r="E10227" t="s">
        <v>25601</v>
      </c>
      <c r="F10227" t="s">
        <v>28669</v>
      </c>
      <c r="G10227" t="s">
        <v>28675</v>
      </c>
      <c r="H10227" t="s">
        <v>28686</v>
      </c>
      <c r="I10227" t="s">
        <v>28689</v>
      </c>
      <c r="J10227" t="s">
        <v>31648</v>
      </c>
      <c r="K10227" t="s">
        <v>37276</v>
      </c>
      <c r="M10227" t="s">
        <v>40573</v>
      </c>
      <c r="N10227" t="s">
        <v>41249</v>
      </c>
      <c r="O10227" t="s">
        <v>41250</v>
      </c>
      <c r="P10227">
        <v>0</v>
      </c>
      <c r="Q10227">
        <v>1</v>
      </c>
      <c r="R10227" t="s">
        <v>41261</v>
      </c>
      <c r="S10227" t="s">
        <v>41680</v>
      </c>
      <c r="T10227" t="s">
        <v>43059</v>
      </c>
      <c r="U10227" t="s">
        <v>51443</v>
      </c>
      <c r="V10227" t="s">
        <v>51443</v>
      </c>
      <c r="W10227" t="s">
        <v>40573</v>
      </c>
      <c r="X10227" t="s">
        <v>41264</v>
      </c>
    </row>
    <row r="10228" spans="1:24">
      <c r="A10228">
        <f>HYPERLINK("https://www.philgeps.gov.ph/GEPSNONPILOT/Tender/SplashBidNoticeAbstractUI.aspx?menuIndex=3&amp;refID=7056137&amp;Result=3","7056137")</f>
        <v>0</v>
      </c>
      <c r="B10228" t="s">
        <v>2918</v>
      </c>
      <c r="C10228" t="s">
        <v>13147</v>
      </c>
      <c r="D10228" t="s">
        <v>16641</v>
      </c>
      <c r="E10228" t="s">
        <v>25602</v>
      </c>
      <c r="F10228" t="s">
        <v>28669</v>
      </c>
      <c r="G10228" t="s">
        <v>28675</v>
      </c>
      <c r="H10228" t="s">
        <v>9998</v>
      </c>
      <c r="I10228" t="s">
        <v>28722</v>
      </c>
      <c r="J10228" t="s">
        <v>28836</v>
      </c>
      <c r="K10228" t="s">
        <v>37206</v>
      </c>
      <c r="M10228" t="s">
        <v>40669</v>
      </c>
      <c r="N10228" t="s">
        <v>41249</v>
      </c>
      <c r="O10228" t="s">
        <v>41250</v>
      </c>
      <c r="P10228">
        <v>0</v>
      </c>
      <c r="Q10228">
        <v>2</v>
      </c>
      <c r="R10228" t="s">
        <v>41261</v>
      </c>
      <c r="S10228" t="s">
        <v>41680</v>
      </c>
      <c r="T10228" t="s">
        <v>42734</v>
      </c>
      <c r="U10228" t="s">
        <v>51444</v>
      </c>
      <c r="W10228" t="s">
        <v>40669</v>
      </c>
      <c r="X10228" t="s">
        <v>41264</v>
      </c>
    </row>
    <row r="10229" spans="1:24">
      <c r="A10229">
        <f>HYPERLINK("https://www.philgeps.gov.ph/GEPSNONPILOT/Tender/SplashBidNoticeAbstractUI.aspx?menuIndex=3&amp;refID=7054010&amp;Result=3","7054010")</f>
        <v>0</v>
      </c>
      <c r="B10229" t="s">
        <v>1453</v>
      </c>
      <c r="C10229" t="s">
        <v>13148</v>
      </c>
      <c r="D10229" t="s">
        <v>16638</v>
      </c>
      <c r="E10229" t="s">
        <v>25603</v>
      </c>
      <c r="F10229" t="s">
        <v>28669</v>
      </c>
      <c r="G10229" t="s">
        <v>28675</v>
      </c>
      <c r="H10229" t="s">
        <v>28686</v>
      </c>
      <c r="I10229" t="s">
        <v>28689</v>
      </c>
      <c r="J10229" t="s">
        <v>28850</v>
      </c>
      <c r="K10229" t="s">
        <v>37212</v>
      </c>
      <c r="L10229" t="s">
        <v>1453</v>
      </c>
      <c r="M10229" t="s">
        <v>39018</v>
      </c>
      <c r="N10229" t="s">
        <v>41249</v>
      </c>
      <c r="O10229" t="s">
        <v>41250</v>
      </c>
      <c r="Q10229">
        <v>0</v>
      </c>
      <c r="R10229" t="s">
        <v>41261</v>
      </c>
      <c r="S10229" t="s">
        <v>41684</v>
      </c>
      <c r="T10229" t="s">
        <v>42739</v>
      </c>
      <c r="U10229" t="s">
        <v>46379</v>
      </c>
      <c r="V10229" t="s">
        <v>54683</v>
      </c>
      <c r="W10229" t="s">
        <v>39018</v>
      </c>
      <c r="X10229" t="s">
        <v>41265</v>
      </c>
    </row>
    <row r="10230" spans="1:24">
      <c r="A10230">
        <f>HYPERLINK("https://www.philgeps.gov.ph/GEPSNONPILOT/Tender/SplashBidNoticeAbstractUI.aspx?menuIndex=3&amp;refID=7056122&amp;Result=3","7056122")</f>
        <v>0</v>
      </c>
      <c r="B10230" t="s">
        <v>278</v>
      </c>
      <c r="C10230" t="s">
        <v>13149</v>
      </c>
      <c r="D10230" t="s">
        <v>16608</v>
      </c>
      <c r="E10230" t="s">
        <v>25604</v>
      </c>
      <c r="F10230" t="s">
        <v>28669</v>
      </c>
      <c r="G10230" t="s">
        <v>28675</v>
      </c>
      <c r="H10230" t="s">
        <v>9998</v>
      </c>
      <c r="I10230" t="s">
        <v>28751</v>
      </c>
      <c r="J10230" t="s">
        <v>35143</v>
      </c>
      <c r="K10230" t="s">
        <v>37206</v>
      </c>
      <c r="M10230" t="s">
        <v>39471</v>
      </c>
      <c r="N10230" t="s">
        <v>41249</v>
      </c>
      <c r="O10230" t="s">
        <v>41250</v>
      </c>
      <c r="P10230">
        <v>0</v>
      </c>
      <c r="Q10230">
        <v>2</v>
      </c>
      <c r="R10230" t="s">
        <v>41261</v>
      </c>
      <c r="S10230" t="s">
        <v>41680</v>
      </c>
      <c r="T10230" t="s">
        <v>42739</v>
      </c>
      <c r="U10230" t="s">
        <v>51445</v>
      </c>
      <c r="W10230" t="s">
        <v>39471</v>
      </c>
      <c r="X10230" t="s">
        <v>41264</v>
      </c>
    </row>
    <row r="10231" spans="1:24">
      <c r="A10231">
        <f>HYPERLINK("https://www.philgeps.gov.ph/GEPSNONPILOT/Tender/SplashBidNoticeAbstractUI.aspx?menuIndex=3&amp;refID=7055951&amp;Result=3","7055951")</f>
        <v>0</v>
      </c>
      <c r="B10231" t="s">
        <v>2919</v>
      </c>
      <c r="C10231" t="s">
        <v>13150</v>
      </c>
      <c r="D10231" t="s">
        <v>16631</v>
      </c>
      <c r="E10231" t="s">
        <v>25605</v>
      </c>
      <c r="F10231" t="s">
        <v>28669</v>
      </c>
      <c r="G10231" t="s">
        <v>28675</v>
      </c>
      <c r="H10231" t="s">
        <v>9998</v>
      </c>
      <c r="I10231" t="s">
        <v>28722</v>
      </c>
      <c r="J10231" t="s">
        <v>35144</v>
      </c>
      <c r="K10231" t="s">
        <v>37206</v>
      </c>
      <c r="M10231" t="s">
        <v>40671</v>
      </c>
      <c r="N10231" t="s">
        <v>41249</v>
      </c>
      <c r="O10231" t="s">
        <v>41250</v>
      </c>
      <c r="P10231">
        <v>0</v>
      </c>
      <c r="Q10231">
        <v>1</v>
      </c>
      <c r="R10231" t="s">
        <v>41261</v>
      </c>
      <c r="S10231" t="s">
        <v>41680</v>
      </c>
      <c r="T10231" t="s">
        <v>42659</v>
      </c>
      <c r="U10231" t="s">
        <v>51446</v>
      </c>
      <c r="W10231" t="s">
        <v>40671</v>
      </c>
      <c r="X10231" t="s">
        <v>41264</v>
      </c>
    </row>
    <row r="10232" spans="1:24">
      <c r="A10232">
        <f>HYPERLINK("https://www.philgeps.gov.ph/GEPSNONPILOT/Tender/SplashBidNoticeAbstractUI.aspx?menuIndex=3&amp;refID=7056260&amp;Result=3","7056260")</f>
        <v>0</v>
      </c>
      <c r="B10232" t="s">
        <v>2918</v>
      </c>
      <c r="C10232" t="s">
        <v>13151</v>
      </c>
      <c r="D10232" t="s">
        <v>16641</v>
      </c>
      <c r="E10232" t="s">
        <v>25606</v>
      </c>
      <c r="F10232" t="s">
        <v>28669</v>
      </c>
      <c r="G10232" t="s">
        <v>28675</v>
      </c>
      <c r="H10232" t="s">
        <v>9998</v>
      </c>
      <c r="I10232" t="s">
        <v>28690</v>
      </c>
      <c r="J10232" t="s">
        <v>34984</v>
      </c>
      <c r="K10232" t="s">
        <v>37206</v>
      </c>
      <c r="M10232" t="s">
        <v>40669</v>
      </c>
      <c r="N10232" t="s">
        <v>41249</v>
      </c>
      <c r="O10232" t="s">
        <v>41250</v>
      </c>
      <c r="P10232">
        <v>0</v>
      </c>
      <c r="Q10232">
        <v>1</v>
      </c>
      <c r="R10232" t="s">
        <v>41261</v>
      </c>
      <c r="S10232" t="s">
        <v>41680</v>
      </c>
      <c r="T10232" t="s">
        <v>42734</v>
      </c>
      <c r="U10232" t="s">
        <v>51447</v>
      </c>
      <c r="W10232" t="s">
        <v>40669</v>
      </c>
      <c r="X10232" t="s">
        <v>41264</v>
      </c>
    </row>
    <row r="10233" spans="1:24">
      <c r="A10233">
        <f>HYPERLINK("https://www.philgeps.gov.ph/GEPSNONPILOT/Tender/SplashBidNoticeAbstractUI.aspx?menuIndex=3&amp;refID=7056362&amp;Result=3","7056362")</f>
        <v>0</v>
      </c>
      <c r="B10233" t="s">
        <v>2920</v>
      </c>
      <c r="C10233" t="s">
        <v>13152</v>
      </c>
      <c r="D10233" t="s">
        <v>16625</v>
      </c>
      <c r="E10233" t="s">
        <v>25607</v>
      </c>
      <c r="F10233" t="s">
        <v>28669</v>
      </c>
      <c r="G10233" t="s">
        <v>28675</v>
      </c>
      <c r="H10233" t="s">
        <v>9998</v>
      </c>
      <c r="I10233" t="s">
        <v>28706</v>
      </c>
      <c r="J10233" t="s">
        <v>29247</v>
      </c>
      <c r="K10233" t="s">
        <v>37206</v>
      </c>
      <c r="M10233" t="s">
        <v>40672</v>
      </c>
      <c r="N10233" t="s">
        <v>41249</v>
      </c>
      <c r="O10233" t="s">
        <v>41250</v>
      </c>
      <c r="P10233">
        <v>0</v>
      </c>
      <c r="Q10233">
        <v>2</v>
      </c>
      <c r="R10233" t="s">
        <v>41261</v>
      </c>
      <c r="S10233" t="s">
        <v>41680</v>
      </c>
      <c r="T10233" t="s">
        <v>42659</v>
      </c>
      <c r="U10233" t="s">
        <v>51448</v>
      </c>
      <c r="W10233" t="s">
        <v>40672</v>
      </c>
      <c r="X10233" t="s">
        <v>41264</v>
      </c>
    </row>
    <row r="10234" spans="1:24">
      <c r="A10234">
        <f>HYPERLINK("https://www.philgeps.gov.ph/GEPSNONPILOT/Tender/SplashBidNoticeAbstractUI.aspx?menuIndex=3&amp;refID=7055898&amp;Result=3","7055898")</f>
        <v>0</v>
      </c>
      <c r="B10234" t="s">
        <v>65</v>
      </c>
      <c r="C10234" t="s">
        <v>13153</v>
      </c>
      <c r="D10234" t="s">
        <v>16626</v>
      </c>
      <c r="E10234" t="s">
        <v>25608</v>
      </c>
      <c r="F10234" t="s">
        <v>28669</v>
      </c>
      <c r="G10234" t="s">
        <v>28679</v>
      </c>
      <c r="H10234" t="s">
        <v>9998</v>
      </c>
      <c r="I10234" t="s">
        <v>28692</v>
      </c>
      <c r="J10234" t="s">
        <v>35145</v>
      </c>
      <c r="K10234" t="s">
        <v>37227</v>
      </c>
      <c r="M10234" t="s">
        <v>37540</v>
      </c>
      <c r="N10234" t="s">
        <v>41249</v>
      </c>
      <c r="O10234" t="s">
        <v>41250</v>
      </c>
      <c r="P10234">
        <v>0</v>
      </c>
      <c r="Q10234">
        <v>5</v>
      </c>
      <c r="R10234" t="s">
        <v>41261</v>
      </c>
      <c r="S10234" t="s">
        <v>41680</v>
      </c>
      <c r="T10234" t="s">
        <v>42910</v>
      </c>
      <c r="U10234" t="s">
        <v>43259</v>
      </c>
      <c r="W10234" t="s">
        <v>55899</v>
      </c>
      <c r="X10234" t="s">
        <v>41264</v>
      </c>
    </row>
    <row r="10235" spans="1:24">
      <c r="A10235">
        <f>HYPERLINK("https://www.philgeps.gov.ph/GEPSNONPILOT/Tender/SplashBidNoticeAbstractUI.aspx?menuIndex=3&amp;refID=7054224&amp;Result=3","7054224")</f>
        <v>0</v>
      </c>
      <c r="B10235" t="s">
        <v>1717</v>
      </c>
      <c r="C10235" t="s">
        <v>13154</v>
      </c>
      <c r="D10235" t="s">
        <v>16616</v>
      </c>
      <c r="E10235" t="s">
        <v>21568</v>
      </c>
      <c r="F10235" t="s">
        <v>28669</v>
      </c>
      <c r="G10235" t="s">
        <v>28675</v>
      </c>
      <c r="H10235" t="s">
        <v>9998</v>
      </c>
      <c r="I10235" t="s">
        <v>28687</v>
      </c>
      <c r="J10235" t="s">
        <v>35146</v>
      </c>
      <c r="K10235" t="s">
        <v>37206</v>
      </c>
      <c r="M10235" t="s">
        <v>39315</v>
      </c>
      <c r="N10235" t="s">
        <v>41249</v>
      </c>
      <c r="O10235" t="s">
        <v>41250</v>
      </c>
      <c r="P10235">
        <v>0</v>
      </c>
      <c r="Q10235">
        <v>4</v>
      </c>
      <c r="R10235" t="s">
        <v>41261</v>
      </c>
      <c r="S10235" t="s">
        <v>41680</v>
      </c>
      <c r="T10235" t="s">
        <v>42659</v>
      </c>
      <c r="U10235" t="s">
        <v>51417</v>
      </c>
      <c r="W10235" t="s">
        <v>39315</v>
      </c>
      <c r="X10235" t="s">
        <v>41265</v>
      </c>
    </row>
    <row r="10236" spans="1:24">
      <c r="A10236">
        <f>HYPERLINK("https://www.philgeps.gov.ph/GEPSNONPILOT/Tender/SplashBidNoticeAbstractUI.aspx?menuIndex=3&amp;refID=7056320&amp;Result=3","7056320")</f>
        <v>0</v>
      </c>
      <c r="B10236" t="s">
        <v>2921</v>
      </c>
      <c r="C10236" t="s">
        <v>13155</v>
      </c>
      <c r="D10236" t="s">
        <v>16608</v>
      </c>
      <c r="E10236" t="s">
        <v>16967</v>
      </c>
      <c r="F10236" t="s">
        <v>28672</v>
      </c>
      <c r="G10236" t="s">
        <v>28675</v>
      </c>
      <c r="H10236" t="s">
        <v>9998</v>
      </c>
      <c r="I10236" t="s">
        <v>5213</v>
      </c>
      <c r="J10236" t="s">
        <v>35147</v>
      </c>
      <c r="K10236" t="s">
        <v>37206</v>
      </c>
      <c r="M10236" t="s">
        <v>40673</v>
      </c>
      <c r="N10236" t="s">
        <v>41249</v>
      </c>
      <c r="O10236" t="s">
        <v>41250</v>
      </c>
      <c r="P10236">
        <v>0</v>
      </c>
      <c r="Q10236">
        <v>1</v>
      </c>
      <c r="R10236" t="s">
        <v>41261</v>
      </c>
      <c r="S10236" t="s">
        <v>41680</v>
      </c>
      <c r="T10236" t="s">
        <v>42751</v>
      </c>
      <c r="U10236" t="s">
        <v>51449</v>
      </c>
      <c r="W10236" t="s">
        <v>40673</v>
      </c>
      <c r="X10236" t="s">
        <v>41264</v>
      </c>
    </row>
    <row r="10237" spans="1:24">
      <c r="A10237">
        <f>HYPERLINK("https://www.philgeps.gov.ph/GEPSNONPILOT/Tender/SplashBidNoticeAbstractUI.aspx?menuIndex=3&amp;refID=7055908&amp;Result=3","7055908")</f>
        <v>0</v>
      </c>
      <c r="B10237" t="s">
        <v>483</v>
      </c>
      <c r="C10237" t="s">
        <v>13156</v>
      </c>
      <c r="D10237" t="s">
        <v>16676</v>
      </c>
      <c r="E10237" t="s">
        <v>25609</v>
      </c>
      <c r="F10237" t="s">
        <v>28669</v>
      </c>
      <c r="G10237" t="s">
        <v>28675</v>
      </c>
      <c r="H10237" t="s">
        <v>9998</v>
      </c>
      <c r="I10237" t="s">
        <v>11593</v>
      </c>
      <c r="J10237" t="s">
        <v>35148</v>
      </c>
      <c r="K10237" t="s">
        <v>37215</v>
      </c>
      <c r="M10237" t="s">
        <v>37971</v>
      </c>
      <c r="N10237" t="s">
        <v>41249</v>
      </c>
      <c r="O10237" t="s">
        <v>41250</v>
      </c>
      <c r="P10237">
        <v>0</v>
      </c>
      <c r="Q10237">
        <v>10</v>
      </c>
      <c r="R10237" t="s">
        <v>41261</v>
      </c>
      <c r="S10237" t="s">
        <v>41680</v>
      </c>
      <c r="T10237" t="s">
        <v>42739</v>
      </c>
      <c r="U10237" t="s">
        <v>51450</v>
      </c>
      <c r="W10237" t="s">
        <v>37971</v>
      </c>
      <c r="X10237" t="s">
        <v>41264</v>
      </c>
    </row>
    <row r="10238" spans="1:24">
      <c r="A10238">
        <f>HYPERLINK("https://www.philgeps.gov.ph/GEPSNONPILOT/Tender/SplashBidNoticeAbstractUI.aspx?menuIndex=3&amp;refID=7056132&amp;Result=3","7056132")</f>
        <v>0</v>
      </c>
      <c r="B10238" t="s">
        <v>2922</v>
      </c>
      <c r="C10238" t="s">
        <v>13157</v>
      </c>
      <c r="D10238" t="s">
        <v>16609</v>
      </c>
      <c r="E10238" t="s">
        <v>25610</v>
      </c>
      <c r="F10238" t="s">
        <v>28669</v>
      </c>
      <c r="G10238" t="s">
        <v>28675</v>
      </c>
      <c r="H10238" t="s">
        <v>28686</v>
      </c>
      <c r="I10238" t="s">
        <v>28689</v>
      </c>
      <c r="J10238" t="s">
        <v>35149</v>
      </c>
      <c r="K10238" t="s">
        <v>37209</v>
      </c>
      <c r="M10238" t="s">
        <v>40674</v>
      </c>
      <c r="N10238" t="s">
        <v>41249</v>
      </c>
      <c r="O10238" t="s">
        <v>41250</v>
      </c>
      <c r="P10238">
        <v>0</v>
      </c>
      <c r="Q10238">
        <v>0</v>
      </c>
      <c r="R10238" t="s">
        <v>41261</v>
      </c>
      <c r="S10238" t="s">
        <v>41680</v>
      </c>
      <c r="T10238" t="s">
        <v>42659</v>
      </c>
      <c r="U10238" t="s">
        <v>51451</v>
      </c>
      <c r="W10238" t="s">
        <v>40674</v>
      </c>
      <c r="X10238" t="s">
        <v>41264</v>
      </c>
    </row>
    <row r="10239" spans="1:24">
      <c r="A10239">
        <f>HYPERLINK("https://www.philgeps.gov.ph/GEPSNONPILOT/Tender/SplashBidNoticeAbstractUI.aspx?menuIndex=3&amp;refID=7056304&amp;Result=3","7056304")</f>
        <v>0</v>
      </c>
      <c r="B10239" t="s">
        <v>2921</v>
      </c>
      <c r="C10239" t="s">
        <v>13155</v>
      </c>
      <c r="D10239" t="s">
        <v>16608</v>
      </c>
      <c r="E10239" t="s">
        <v>16967</v>
      </c>
      <c r="F10239" t="s">
        <v>28672</v>
      </c>
      <c r="G10239" t="s">
        <v>28675</v>
      </c>
      <c r="H10239" t="s">
        <v>9998</v>
      </c>
      <c r="I10239" t="s">
        <v>5213</v>
      </c>
      <c r="J10239" t="s">
        <v>29088</v>
      </c>
      <c r="K10239" t="s">
        <v>37206</v>
      </c>
      <c r="M10239" t="s">
        <v>40673</v>
      </c>
      <c r="N10239" t="s">
        <v>41249</v>
      </c>
      <c r="O10239" t="s">
        <v>41250</v>
      </c>
      <c r="P10239">
        <v>0</v>
      </c>
      <c r="Q10239">
        <v>0</v>
      </c>
      <c r="R10239" t="s">
        <v>41261</v>
      </c>
      <c r="S10239" t="s">
        <v>41680</v>
      </c>
      <c r="T10239" t="s">
        <v>42751</v>
      </c>
      <c r="U10239" t="s">
        <v>51452</v>
      </c>
      <c r="W10239" t="s">
        <v>40673</v>
      </c>
      <c r="X10239" t="s">
        <v>41264</v>
      </c>
    </row>
    <row r="10240" spans="1:24">
      <c r="A10240">
        <f>HYPERLINK("https://www.philgeps.gov.ph/GEPSNONPILOT/Tender/SplashBidNoticeAbstractUI.aspx?menuIndex=3&amp;refID=7056276&amp;Result=3","7056276")</f>
        <v>0</v>
      </c>
      <c r="B10240" t="s">
        <v>2921</v>
      </c>
      <c r="C10240" t="s">
        <v>13155</v>
      </c>
      <c r="D10240" t="s">
        <v>16608</v>
      </c>
      <c r="E10240" t="s">
        <v>16967</v>
      </c>
      <c r="F10240" t="s">
        <v>28672</v>
      </c>
      <c r="G10240" t="s">
        <v>28675</v>
      </c>
      <c r="H10240" t="s">
        <v>9998</v>
      </c>
      <c r="I10240" t="s">
        <v>5213</v>
      </c>
      <c r="J10240" t="s">
        <v>28879</v>
      </c>
      <c r="K10240" t="s">
        <v>37206</v>
      </c>
      <c r="M10240" t="s">
        <v>40673</v>
      </c>
      <c r="N10240" t="s">
        <v>41249</v>
      </c>
      <c r="O10240" t="s">
        <v>41250</v>
      </c>
      <c r="P10240">
        <v>0</v>
      </c>
      <c r="Q10240">
        <v>1</v>
      </c>
      <c r="R10240" t="s">
        <v>41261</v>
      </c>
      <c r="S10240" t="s">
        <v>41680</v>
      </c>
      <c r="T10240" t="s">
        <v>42751</v>
      </c>
      <c r="U10240" t="s">
        <v>51453</v>
      </c>
      <c r="W10240" t="s">
        <v>40673</v>
      </c>
      <c r="X10240" t="s">
        <v>41264</v>
      </c>
    </row>
    <row r="10241" spans="1:24">
      <c r="A10241">
        <f>HYPERLINK("https://www.philgeps.gov.ph/GEPSNONPILOT/Tender/SplashBidNoticeAbstractUI.aspx?menuIndex=3&amp;refID=7056273&amp;Result=3","7056273")</f>
        <v>0</v>
      </c>
      <c r="B10241" t="s">
        <v>1673</v>
      </c>
      <c r="C10241" t="s">
        <v>13158</v>
      </c>
      <c r="E10241" t="s">
        <v>25611</v>
      </c>
      <c r="F10241" t="s">
        <v>28669</v>
      </c>
      <c r="G10241" t="s">
        <v>28675</v>
      </c>
      <c r="H10241" t="s">
        <v>28684</v>
      </c>
      <c r="I10241" t="s">
        <v>28774</v>
      </c>
      <c r="J10241" t="s">
        <v>35150</v>
      </c>
      <c r="K10241" t="s">
        <v>37272</v>
      </c>
      <c r="M10241" t="s">
        <v>40675</v>
      </c>
      <c r="N10241" t="s">
        <v>41249</v>
      </c>
      <c r="O10241" t="s">
        <v>41250</v>
      </c>
      <c r="P10241">
        <v>0</v>
      </c>
      <c r="Q10241">
        <v>3</v>
      </c>
      <c r="R10241" t="s">
        <v>41261</v>
      </c>
      <c r="S10241" t="s">
        <v>41680</v>
      </c>
      <c r="T10241" t="s">
        <v>42659</v>
      </c>
      <c r="U10241" t="s">
        <v>51454</v>
      </c>
      <c r="W10241" t="s">
        <v>40675</v>
      </c>
      <c r="X10241" t="s">
        <v>41264</v>
      </c>
    </row>
    <row r="10242" spans="1:24">
      <c r="A10242">
        <f>HYPERLINK("https://www.philgeps.gov.ph/GEPSNONPILOT/Tender/SplashBidNoticeAbstractUI.aspx?menuIndex=3&amp;refID=7056238&amp;Result=3","7056238")</f>
        <v>0</v>
      </c>
      <c r="B10242" t="s">
        <v>2921</v>
      </c>
      <c r="C10242" t="s">
        <v>13159</v>
      </c>
      <c r="D10242" t="s">
        <v>16608</v>
      </c>
      <c r="E10242" t="s">
        <v>16967</v>
      </c>
      <c r="F10242" t="s">
        <v>28672</v>
      </c>
      <c r="G10242" t="s">
        <v>28675</v>
      </c>
      <c r="H10242" t="s">
        <v>9998</v>
      </c>
      <c r="I10242" t="s">
        <v>5213</v>
      </c>
      <c r="J10242" t="s">
        <v>28826</v>
      </c>
      <c r="K10242" t="s">
        <v>37206</v>
      </c>
      <c r="M10242" t="s">
        <v>40673</v>
      </c>
      <c r="N10242" t="s">
        <v>41249</v>
      </c>
      <c r="O10242" t="s">
        <v>41250</v>
      </c>
      <c r="P10242">
        <v>0</v>
      </c>
      <c r="Q10242">
        <v>0</v>
      </c>
      <c r="R10242" t="s">
        <v>41261</v>
      </c>
      <c r="S10242" t="s">
        <v>41680</v>
      </c>
      <c r="T10242" t="s">
        <v>42751</v>
      </c>
      <c r="U10242" t="s">
        <v>51455</v>
      </c>
      <c r="W10242" t="s">
        <v>40673</v>
      </c>
      <c r="X10242" t="s">
        <v>41264</v>
      </c>
    </row>
    <row r="10243" spans="1:24">
      <c r="A10243">
        <f>HYPERLINK("https://www.philgeps.gov.ph/GEPSNONPILOT/Tender/SplashBidNoticeAbstractUI.aspx?menuIndex=3&amp;refID=7056322&amp;Result=3","7056322")</f>
        <v>0</v>
      </c>
      <c r="B10243" t="s">
        <v>2918</v>
      </c>
      <c r="C10243" t="s">
        <v>13160</v>
      </c>
      <c r="D10243" t="s">
        <v>16641</v>
      </c>
      <c r="E10243" t="s">
        <v>25612</v>
      </c>
      <c r="F10243" t="s">
        <v>28669</v>
      </c>
      <c r="G10243" t="s">
        <v>28675</v>
      </c>
      <c r="H10243" t="s">
        <v>9998</v>
      </c>
      <c r="I10243" t="s">
        <v>5286</v>
      </c>
      <c r="J10243" t="s">
        <v>30980</v>
      </c>
      <c r="K10243" t="s">
        <v>37206</v>
      </c>
      <c r="M10243" t="s">
        <v>40669</v>
      </c>
      <c r="N10243" t="s">
        <v>41249</v>
      </c>
      <c r="O10243" t="s">
        <v>41250</v>
      </c>
      <c r="P10243">
        <v>0</v>
      </c>
      <c r="Q10243">
        <v>5</v>
      </c>
      <c r="R10243" t="s">
        <v>41261</v>
      </c>
      <c r="S10243" t="s">
        <v>41680</v>
      </c>
      <c r="T10243" t="s">
        <v>42734</v>
      </c>
      <c r="U10243" t="s">
        <v>51456</v>
      </c>
      <c r="W10243" t="s">
        <v>40669</v>
      </c>
      <c r="X10243" t="s">
        <v>41264</v>
      </c>
    </row>
    <row r="10244" spans="1:24">
      <c r="A10244">
        <f>HYPERLINK("https://www.philgeps.gov.ph/GEPSNONPILOT/Tender/SplashBidNoticeAbstractUI.aspx?menuIndex=3&amp;refID=7056217&amp;Result=3","7056217")</f>
        <v>0</v>
      </c>
      <c r="B10244" t="s">
        <v>2921</v>
      </c>
      <c r="C10244" t="s">
        <v>13161</v>
      </c>
      <c r="D10244" t="s">
        <v>16608</v>
      </c>
      <c r="E10244" t="s">
        <v>16967</v>
      </c>
      <c r="F10244" t="s">
        <v>28672</v>
      </c>
      <c r="G10244" t="s">
        <v>28675</v>
      </c>
      <c r="H10244" t="s">
        <v>9998</v>
      </c>
      <c r="I10244" t="s">
        <v>5213</v>
      </c>
      <c r="J10244" t="s">
        <v>35151</v>
      </c>
      <c r="K10244" t="s">
        <v>37206</v>
      </c>
      <c r="M10244" t="s">
        <v>40673</v>
      </c>
      <c r="N10244" t="s">
        <v>41249</v>
      </c>
      <c r="O10244" t="s">
        <v>41250</v>
      </c>
      <c r="P10244">
        <v>0</v>
      </c>
      <c r="Q10244">
        <v>0</v>
      </c>
      <c r="R10244" t="s">
        <v>41261</v>
      </c>
      <c r="S10244" t="s">
        <v>41680</v>
      </c>
      <c r="T10244" t="s">
        <v>42751</v>
      </c>
      <c r="U10244" t="s">
        <v>51457</v>
      </c>
      <c r="W10244" t="s">
        <v>40673</v>
      </c>
      <c r="X10244" t="s">
        <v>41264</v>
      </c>
    </row>
    <row r="10245" spans="1:24">
      <c r="A10245">
        <f>HYPERLINK("https://www.philgeps.gov.ph/GEPSNONPILOT/Tender/SplashBidNoticeAbstractUI.aspx?menuIndex=3&amp;refID=7056321&amp;Result=3","7056321")</f>
        <v>0</v>
      </c>
      <c r="B10245" t="s">
        <v>2656</v>
      </c>
      <c r="C10245" t="s">
        <v>13162</v>
      </c>
      <c r="D10245" t="s">
        <v>16615</v>
      </c>
      <c r="E10245" t="s">
        <v>25613</v>
      </c>
      <c r="F10245" t="s">
        <v>28669</v>
      </c>
      <c r="G10245" t="s">
        <v>28675</v>
      </c>
      <c r="H10245" t="s">
        <v>28686</v>
      </c>
      <c r="I10245" t="s">
        <v>28689</v>
      </c>
      <c r="J10245" t="s">
        <v>35152</v>
      </c>
      <c r="K10245" t="s">
        <v>37255</v>
      </c>
      <c r="M10245" t="s">
        <v>40370</v>
      </c>
      <c r="N10245" t="s">
        <v>41249</v>
      </c>
      <c r="O10245" t="s">
        <v>41250</v>
      </c>
      <c r="P10245">
        <v>0</v>
      </c>
      <c r="Q10245">
        <v>8</v>
      </c>
      <c r="R10245" t="s">
        <v>41261</v>
      </c>
      <c r="S10245" t="s">
        <v>41680</v>
      </c>
      <c r="T10245" t="s">
        <v>42739</v>
      </c>
      <c r="U10245" t="s">
        <v>50381</v>
      </c>
      <c r="W10245" t="s">
        <v>40370</v>
      </c>
      <c r="X10245" t="s">
        <v>41264</v>
      </c>
    </row>
    <row r="10246" spans="1:24">
      <c r="A10246">
        <f>HYPERLINK("https://www.philgeps.gov.ph/GEPSNONPILOT/Tender/SplashBidNoticeAbstractUI.aspx?menuIndex=3&amp;refID=7056214&amp;Result=3","7056214")</f>
        <v>0</v>
      </c>
      <c r="B10246" t="s">
        <v>2918</v>
      </c>
      <c r="C10246" t="s">
        <v>13163</v>
      </c>
      <c r="D10246" t="s">
        <v>16641</v>
      </c>
      <c r="E10246" t="s">
        <v>25614</v>
      </c>
      <c r="F10246" t="s">
        <v>28669</v>
      </c>
      <c r="G10246" t="s">
        <v>28675</v>
      </c>
      <c r="H10246" t="s">
        <v>9998</v>
      </c>
      <c r="I10246" t="s">
        <v>28704</v>
      </c>
      <c r="J10246" t="s">
        <v>29003</v>
      </c>
      <c r="K10246" t="s">
        <v>37206</v>
      </c>
      <c r="M10246" t="s">
        <v>40669</v>
      </c>
      <c r="N10246" t="s">
        <v>41249</v>
      </c>
      <c r="O10246" t="s">
        <v>41250</v>
      </c>
      <c r="P10246">
        <v>0</v>
      </c>
      <c r="Q10246">
        <v>0</v>
      </c>
      <c r="R10246" t="s">
        <v>41261</v>
      </c>
      <c r="S10246" t="s">
        <v>41680</v>
      </c>
      <c r="T10246" t="s">
        <v>42734</v>
      </c>
      <c r="U10246" t="s">
        <v>51458</v>
      </c>
      <c r="W10246" t="s">
        <v>40669</v>
      </c>
      <c r="X10246" t="s">
        <v>41264</v>
      </c>
    </row>
    <row r="10247" spans="1:24">
      <c r="A10247">
        <f>HYPERLINK("https://www.philgeps.gov.ph/GEPSNONPILOT/Tender/SplashBidNoticeAbstractUI.aspx?menuIndex=3&amp;refID=7056201&amp;Result=3","7056201")</f>
        <v>0</v>
      </c>
      <c r="B10247" t="s">
        <v>2921</v>
      </c>
      <c r="C10247" t="s">
        <v>13159</v>
      </c>
      <c r="D10247" t="s">
        <v>16608</v>
      </c>
      <c r="E10247" t="s">
        <v>16967</v>
      </c>
      <c r="F10247" t="s">
        <v>28672</v>
      </c>
      <c r="G10247" t="s">
        <v>28675</v>
      </c>
      <c r="H10247" t="s">
        <v>9998</v>
      </c>
      <c r="I10247" t="s">
        <v>5213</v>
      </c>
      <c r="J10247" t="s">
        <v>35153</v>
      </c>
      <c r="K10247" t="s">
        <v>37206</v>
      </c>
      <c r="M10247" t="s">
        <v>40673</v>
      </c>
      <c r="N10247" t="s">
        <v>41249</v>
      </c>
      <c r="O10247" t="s">
        <v>41250</v>
      </c>
      <c r="P10247">
        <v>0</v>
      </c>
      <c r="Q10247">
        <v>0</v>
      </c>
      <c r="R10247" t="s">
        <v>41261</v>
      </c>
      <c r="S10247" t="s">
        <v>41680</v>
      </c>
      <c r="T10247" t="s">
        <v>42751</v>
      </c>
      <c r="U10247" t="s">
        <v>51459</v>
      </c>
      <c r="W10247" t="s">
        <v>40673</v>
      </c>
      <c r="X10247" t="s">
        <v>41264</v>
      </c>
    </row>
    <row r="10248" spans="1:24">
      <c r="A10248">
        <f>HYPERLINK("https://www.philgeps.gov.ph/GEPSNONPILOT/Tender/SplashBidNoticeAbstractUI.aspx?menuIndex=3&amp;refID=7056255&amp;Result=3","7056255")</f>
        <v>0</v>
      </c>
      <c r="B10248" t="s">
        <v>2921</v>
      </c>
      <c r="C10248" t="s">
        <v>13155</v>
      </c>
      <c r="D10248" t="s">
        <v>16608</v>
      </c>
      <c r="E10248" t="s">
        <v>16967</v>
      </c>
      <c r="F10248" t="s">
        <v>28672</v>
      </c>
      <c r="G10248" t="s">
        <v>28675</v>
      </c>
      <c r="H10248" t="s">
        <v>9998</v>
      </c>
      <c r="I10248" t="s">
        <v>5213</v>
      </c>
      <c r="J10248" t="s">
        <v>28879</v>
      </c>
      <c r="K10248" t="s">
        <v>37206</v>
      </c>
      <c r="M10248" t="s">
        <v>40673</v>
      </c>
      <c r="N10248" t="s">
        <v>41249</v>
      </c>
      <c r="O10248" t="s">
        <v>41250</v>
      </c>
      <c r="P10248">
        <v>0</v>
      </c>
      <c r="Q10248">
        <v>1</v>
      </c>
      <c r="R10248" t="s">
        <v>41261</v>
      </c>
      <c r="S10248" t="s">
        <v>41680</v>
      </c>
      <c r="T10248" t="s">
        <v>42751</v>
      </c>
      <c r="U10248" t="s">
        <v>51460</v>
      </c>
      <c r="W10248" t="s">
        <v>40673</v>
      </c>
      <c r="X10248" t="s">
        <v>41264</v>
      </c>
    </row>
    <row r="10249" spans="1:24">
      <c r="A10249">
        <f>HYPERLINK("https://www.philgeps.gov.ph/GEPSNONPILOT/Tender/SplashBidNoticeAbstractUI.aspx?menuIndex=3&amp;refID=7056246&amp;Result=3","7056246")</f>
        <v>0</v>
      </c>
      <c r="B10249" t="s">
        <v>732</v>
      </c>
      <c r="C10249" t="s">
        <v>13164</v>
      </c>
      <c r="D10249" t="s">
        <v>16608</v>
      </c>
      <c r="E10249" t="s">
        <v>25615</v>
      </c>
      <c r="F10249" t="s">
        <v>28669</v>
      </c>
      <c r="G10249" t="s">
        <v>28675</v>
      </c>
      <c r="H10249" t="s">
        <v>9998</v>
      </c>
      <c r="I10249" t="s">
        <v>28693</v>
      </c>
      <c r="J10249" t="s">
        <v>28847</v>
      </c>
      <c r="K10249" t="s">
        <v>37220</v>
      </c>
      <c r="M10249" t="s">
        <v>39440</v>
      </c>
      <c r="N10249" t="s">
        <v>41249</v>
      </c>
      <c r="O10249" t="s">
        <v>41250</v>
      </c>
      <c r="Q10249">
        <v>11</v>
      </c>
      <c r="R10249" t="s">
        <v>41261</v>
      </c>
      <c r="S10249" t="s">
        <v>41685</v>
      </c>
      <c r="T10249" t="s">
        <v>42760</v>
      </c>
      <c r="U10249" t="s">
        <v>51461</v>
      </c>
      <c r="W10249" t="s">
        <v>39440</v>
      </c>
      <c r="X10249" t="s">
        <v>41264</v>
      </c>
    </row>
    <row r="10250" spans="1:24">
      <c r="A10250">
        <f>HYPERLINK("https://www.philgeps.gov.ph/GEPSNONPILOT/Tender/SplashBidNoticeAbstractUI.aspx?menuIndex=3&amp;refID=7056145&amp;Result=3","7056145")</f>
        <v>0</v>
      </c>
      <c r="B10250" t="s">
        <v>2597</v>
      </c>
      <c r="C10250" t="s">
        <v>13165</v>
      </c>
      <c r="D10250" t="s">
        <v>16626</v>
      </c>
      <c r="E10250" t="s">
        <v>24388</v>
      </c>
      <c r="F10250" t="s">
        <v>28669</v>
      </c>
      <c r="G10250" t="s">
        <v>28679</v>
      </c>
      <c r="H10250" t="s">
        <v>9998</v>
      </c>
      <c r="I10250" t="s">
        <v>28775</v>
      </c>
      <c r="J10250" t="s">
        <v>31294</v>
      </c>
      <c r="K10250" t="s">
        <v>37234</v>
      </c>
      <c r="M10250" t="s">
        <v>40292</v>
      </c>
      <c r="N10250" t="s">
        <v>41249</v>
      </c>
      <c r="O10250" t="s">
        <v>41250</v>
      </c>
      <c r="P10250">
        <v>0</v>
      </c>
      <c r="Q10250">
        <v>0</v>
      </c>
      <c r="R10250" t="s">
        <v>41261</v>
      </c>
      <c r="S10250" t="s">
        <v>41680</v>
      </c>
      <c r="T10250" t="s">
        <v>42691</v>
      </c>
      <c r="U10250" t="s">
        <v>51462</v>
      </c>
      <c r="W10250" t="s">
        <v>40292</v>
      </c>
      <c r="X10250" t="s">
        <v>41264</v>
      </c>
    </row>
    <row r="10251" spans="1:24">
      <c r="A10251">
        <f>HYPERLINK("https://www.philgeps.gov.ph/GEPSNONPILOT/Tender/SplashBidNoticeAbstractUI.aspx?menuIndex=3&amp;refID=7056354&amp;Result=3","7056354")</f>
        <v>0</v>
      </c>
      <c r="B10251" t="s">
        <v>483</v>
      </c>
      <c r="C10251" t="s">
        <v>13166</v>
      </c>
      <c r="D10251" t="s">
        <v>16676</v>
      </c>
      <c r="E10251" t="s">
        <v>25616</v>
      </c>
      <c r="F10251" t="s">
        <v>28669</v>
      </c>
      <c r="G10251" t="s">
        <v>28675</v>
      </c>
      <c r="H10251" t="s">
        <v>9998</v>
      </c>
      <c r="I10251" t="s">
        <v>28690</v>
      </c>
      <c r="J10251" t="s">
        <v>35154</v>
      </c>
      <c r="K10251" t="s">
        <v>37220</v>
      </c>
      <c r="M10251" t="s">
        <v>37971</v>
      </c>
      <c r="N10251" t="s">
        <v>41249</v>
      </c>
      <c r="O10251" t="s">
        <v>41250</v>
      </c>
      <c r="P10251">
        <v>0</v>
      </c>
      <c r="Q10251">
        <v>4</v>
      </c>
      <c r="R10251" t="s">
        <v>41261</v>
      </c>
      <c r="S10251" t="s">
        <v>41680</v>
      </c>
      <c r="T10251" t="s">
        <v>42739</v>
      </c>
      <c r="U10251" t="s">
        <v>51463</v>
      </c>
      <c r="W10251" t="s">
        <v>37971</v>
      </c>
      <c r="X10251" t="s">
        <v>41264</v>
      </c>
    </row>
    <row r="10252" spans="1:24">
      <c r="A10252">
        <f>HYPERLINK("https://www.philgeps.gov.ph/GEPSNONPILOT/Tender/SplashBidNoticeAbstractUI.aspx?menuIndex=3&amp;refID=7056190&amp;Result=3","7056190")</f>
        <v>0</v>
      </c>
      <c r="B10252" t="s">
        <v>40</v>
      </c>
      <c r="C10252" t="s">
        <v>13167</v>
      </c>
      <c r="D10252" t="s">
        <v>16616</v>
      </c>
      <c r="E10252" t="s">
        <v>23432</v>
      </c>
      <c r="F10252" t="s">
        <v>28669</v>
      </c>
      <c r="G10252" t="s">
        <v>28675</v>
      </c>
      <c r="H10252" t="s">
        <v>9998</v>
      </c>
      <c r="I10252" t="s">
        <v>7352</v>
      </c>
      <c r="J10252" t="s">
        <v>29738</v>
      </c>
      <c r="K10252" t="s">
        <v>37205</v>
      </c>
      <c r="M10252" t="s">
        <v>37515</v>
      </c>
      <c r="N10252" t="s">
        <v>41249</v>
      </c>
      <c r="O10252" t="s">
        <v>41250</v>
      </c>
      <c r="P10252">
        <v>0</v>
      </c>
      <c r="Q10252">
        <v>0</v>
      </c>
      <c r="R10252" t="s">
        <v>41261</v>
      </c>
      <c r="S10252" t="s">
        <v>41680</v>
      </c>
      <c r="T10252" t="s">
        <v>42931</v>
      </c>
      <c r="U10252" t="s">
        <v>51464</v>
      </c>
      <c r="V10252" t="s">
        <v>55379</v>
      </c>
      <c r="W10252" t="s">
        <v>37515</v>
      </c>
      <c r="X10252" t="s">
        <v>41264</v>
      </c>
    </row>
    <row r="10253" spans="1:24">
      <c r="A10253">
        <f>HYPERLINK("https://www.philgeps.gov.ph/GEPSNONPILOT/Tender/SplashBidNoticeAbstractUI.aspx?menuIndex=3&amp;refID=7056367&amp;Result=3","7056367")</f>
        <v>0</v>
      </c>
      <c r="B10253" t="s">
        <v>2923</v>
      </c>
      <c r="C10253" t="s">
        <v>13168</v>
      </c>
      <c r="D10253" t="s">
        <v>16635</v>
      </c>
      <c r="E10253" t="s">
        <v>25617</v>
      </c>
      <c r="F10253" t="s">
        <v>28669</v>
      </c>
      <c r="G10253" t="s">
        <v>28675</v>
      </c>
      <c r="H10253" t="s">
        <v>9998</v>
      </c>
      <c r="I10253" t="s">
        <v>7352</v>
      </c>
      <c r="J10253" t="s">
        <v>35155</v>
      </c>
      <c r="K10253" t="s">
        <v>37206</v>
      </c>
      <c r="M10253" t="s">
        <v>40676</v>
      </c>
      <c r="N10253" t="s">
        <v>41249</v>
      </c>
      <c r="O10253" t="s">
        <v>41250</v>
      </c>
      <c r="P10253">
        <v>0</v>
      </c>
      <c r="Q10253">
        <v>0</v>
      </c>
      <c r="R10253" t="s">
        <v>41261</v>
      </c>
      <c r="S10253" t="s">
        <v>41680</v>
      </c>
      <c r="T10253" t="s">
        <v>42659</v>
      </c>
      <c r="U10253" t="s">
        <v>51465</v>
      </c>
      <c r="W10253" t="s">
        <v>40676</v>
      </c>
      <c r="X10253" t="s">
        <v>41264</v>
      </c>
    </row>
    <row r="10254" spans="1:24">
      <c r="A10254">
        <f>HYPERLINK("https://www.philgeps.gov.ph/GEPSNONPILOT/Tender/SplashBidNoticeAbstractUI.aspx?menuIndex=3&amp;refID=7054026&amp;Result=3","7054026")</f>
        <v>0</v>
      </c>
      <c r="B10254" t="s">
        <v>52</v>
      </c>
      <c r="C10254" t="s">
        <v>13169</v>
      </c>
      <c r="D10254" t="s">
        <v>16629</v>
      </c>
      <c r="E10254" t="s">
        <v>25618</v>
      </c>
      <c r="F10254" t="s">
        <v>28670</v>
      </c>
      <c r="G10254" t="s">
        <v>28675</v>
      </c>
      <c r="H10254" t="s">
        <v>28686</v>
      </c>
      <c r="I10254" t="s">
        <v>28689</v>
      </c>
      <c r="J10254" t="s">
        <v>35156</v>
      </c>
      <c r="K10254" t="s">
        <v>37220</v>
      </c>
      <c r="M10254" t="s">
        <v>37527</v>
      </c>
      <c r="N10254" t="s">
        <v>41249</v>
      </c>
      <c r="O10254" t="s">
        <v>41250</v>
      </c>
      <c r="P10254">
        <v>0</v>
      </c>
      <c r="Q10254">
        <v>0</v>
      </c>
      <c r="R10254" t="s">
        <v>41261</v>
      </c>
      <c r="S10254" t="s">
        <v>41680</v>
      </c>
      <c r="T10254" t="s">
        <v>43093</v>
      </c>
      <c r="U10254" t="s">
        <v>51466</v>
      </c>
      <c r="W10254" t="s">
        <v>37527</v>
      </c>
      <c r="X10254" t="s">
        <v>41265</v>
      </c>
    </row>
    <row r="10255" spans="1:24">
      <c r="A10255">
        <f>HYPERLINK("https://www.philgeps.gov.ph/GEPSNONPILOT/Tender/SplashBidNoticeAbstractUI.aspx?menuIndex=3&amp;refID=7056554&amp;Result=3","7056554")</f>
        <v>0</v>
      </c>
      <c r="B10255" t="s">
        <v>483</v>
      </c>
      <c r="C10255" t="s">
        <v>13170</v>
      </c>
      <c r="D10255" t="s">
        <v>16676</v>
      </c>
      <c r="E10255" t="s">
        <v>25619</v>
      </c>
      <c r="F10255" t="s">
        <v>28669</v>
      </c>
      <c r="G10255" t="s">
        <v>28675</v>
      </c>
      <c r="H10255" t="s">
        <v>9998</v>
      </c>
      <c r="I10255" t="s">
        <v>28710</v>
      </c>
      <c r="J10255" t="s">
        <v>34377</v>
      </c>
      <c r="K10255" t="s">
        <v>37215</v>
      </c>
      <c r="M10255" t="s">
        <v>37971</v>
      </c>
      <c r="N10255" t="s">
        <v>41249</v>
      </c>
      <c r="O10255" t="s">
        <v>41250</v>
      </c>
      <c r="P10255">
        <v>0</v>
      </c>
      <c r="Q10255">
        <v>3</v>
      </c>
      <c r="R10255" t="s">
        <v>41261</v>
      </c>
      <c r="S10255" t="s">
        <v>41680</v>
      </c>
      <c r="T10255" t="s">
        <v>42739</v>
      </c>
      <c r="U10255" t="s">
        <v>51467</v>
      </c>
      <c r="W10255" t="s">
        <v>37971</v>
      </c>
      <c r="X10255" t="s">
        <v>41264</v>
      </c>
    </row>
    <row r="10256" spans="1:24">
      <c r="A10256">
        <f>HYPERLINK("https://www.philgeps.gov.ph/GEPSNONPILOT/Tender/SplashBidNoticeAbstractUI.aspx?menuIndex=3&amp;refID=7056479&amp;Result=3","7056479")</f>
        <v>0</v>
      </c>
      <c r="B10256" t="s">
        <v>2918</v>
      </c>
      <c r="C10256" t="s">
        <v>13171</v>
      </c>
      <c r="D10256" t="s">
        <v>16641</v>
      </c>
      <c r="E10256" t="s">
        <v>25620</v>
      </c>
      <c r="F10256" t="s">
        <v>28669</v>
      </c>
      <c r="G10256" t="s">
        <v>28675</v>
      </c>
      <c r="H10256" t="s">
        <v>28686</v>
      </c>
      <c r="I10256" t="s">
        <v>28689</v>
      </c>
      <c r="J10256" t="s">
        <v>28836</v>
      </c>
      <c r="K10256" t="s">
        <v>37213</v>
      </c>
      <c r="M10256" t="s">
        <v>40669</v>
      </c>
      <c r="N10256" t="s">
        <v>41249</v>
      </c>
      <c r="O10256" t="s">
        <v>41250</v>
      </c>
      <c r="P10256">
        <v>0</v>
      </c>
      <c r="Q10256">
        <v>1</v>
      </c>
      <c r="R10256" t="s">
        <v>41261</v>
      </c>
      <c r="S10256" t="s">
        <v>41680</v>
      </c>
      <c r="T10256" t="s">
        <v>42734</v>
      </c>
      <c r="U10256" t="s">
        <v>51468</v>
      </c>
      <c r="W10256" t="s">
        <v>40669</v>
      </c>
      <c r="X10256" t="s">
        <v>41264</v>
      </c>
    </row>
    <row r="10257" spans="1:24">
      <c r="A10257">
        <f>HYPERLINK("https://www.philgeps.gov.ph/GEPSNONPILOT/Tender/SplashBidNoticeAbstractUI.aspx?menuIndex=3&amp;refID=7056422&amp;Result=3","7056422")</f>
        <v>0</v>
      </c>
      <c r="B10257" t="s">
        <v>2918</v>
      </c>
      <c r="C10257" t="s">
        <v>13172</v>
      </c>
      <c r="D10257" t="s">
        <v>16641</v>
      </c>
      <c r="E10257" t="s">
        <v>25621</v>
      </c>
      <c r="F10257" t="s">
        <v>28669</v>
      </c>
      <c r="G10257" t="s">
        <v>28675</v>
      </c>
      <c r="H10257" t="s">
        <v>28686</v>
      </c>
      <c r="I10257" t="s">
        <v>28689</v>
      </c>
      <c r="J10257" t="s">
        <v>30575</v>
      </c>
      <c r="K10257" t="s">
        <v>37213</v>
      </c>
      <c r="M10257" t="s">
        <v>40669</v>
      </c>
      <c r="N10257" t="s">
        <v>41249</v>
      </c>
      <c r="O10257" t="s">
        <v>41250</v>
      </c>
      <c r="P10257">
        <v>0</v>
      </c>
      <c r="Q10257">
        <v>1</v>
      </c>
      <c r="R10257" t="s">
        <v>41261</v>
      </c>
      <c r="S10257" t="s">
        <v>41680</v>
      </c>
      <c r="T10257" t="s">
        <v>42734</v>
      </c>
      <c r="U10257" t="s">
        <v>51469</v>
      </c>
      <c r="W10257" t="s">
        <v>40669</v>
      </c>
      <c r="X10257" t="s">
        <v>41264</v>
      </c>
    </row>
    <row r="10258" spans="1:24">
      <c r="A10258">
        <f>HYPERLINK("https://www.philgeps.gov.ph/GEPSNONPILOT/Tender/SplashBidNoticeAbstractUI.aspx?menuIndex=3&amp;refID=7056420&amp;Result=3","7056420")</f>
        <v>0</v>
      </c>
      <c r="B10258" t="s">
        <v>2656</v>
      </c>
      <c r="C10258" t="s">
        <v>13173</v>
      </c>
      <c r="D10258" t="s">
        <v>16615</v>
      </c>
      <c r="E10258" t="s">
        <v>25622</v>
      </c>
      <c r="F10258" t="s">
        <v>28669</v>
      </c>
      <c r="G10258" t="s">
        <v>28675</v>
      </c>
      <c r="H10258" t="s">
        <v>28686</v>
      </c>
      <c r="I10258" t="s">
        <v>28689</v>
      </c>
      <c r="J10258" t="s">
        <v>35157</v>
      </c>
      <c r="K10258" t="s">
        <v>37215</v>
      </c>
      <c r="M10258" t="s">
        <v>40370</v>
      </c>
      <c r="N10258" t="s">
        <v>41249</v>
      </c>
      <c r="O10258" t="s">
        <v>41250</v>
      </c>
      <c r="P10258">
        <v>0</v>
      </c>
      <c r="Q10258">
        <v>8</v>
      </c>
      <c r="R10258" t="s">
        <v>41261</v>
      </c>
      <c r="S10258" t="s">
        <v>41680</v>
      </c>
      <c r="T10258" t="s">
        <v>42739</v>
      </c>
      <c r="U10258" t="s">
        <v>50381</v>
      </c>
      <c r="W10258" t="s">
        <v>40370</v>
      </c>
      <c r="X10258" t="s">
        <v>41264</v>
      </c>
    </row>
    <row r="10259" spans="1:24">
      <c r="A10259">
        <f>HYPERLINK("https://www.philgeps.gov.ph/GEPSNONPILOT/Tender/SplashBidNoticeAbstractUI.aspx?menuIndex=3&amp;refID=7056397&amp;Result=3","7056397")</f>
        <v>0</v>
      </c>
      <c r="B10259" t="s">
        <v>2656</v>
      </c>
      <c r="C10259" t="s">
        <v>13174</v>
      </c>
      <c r="D10259" t="s">
        <v>16615</v>
      </c>
      <c r="E10259" t="s">
        <v>25623</v>
      </c>
      <c r="F10259" t="s">
        <v>28669</v>
      </c>
      <c r="G10259" t="s">
        <v>28675</v>
      </c>
      <c r="H10259" t="s">
        <v>28686</v>
      </c>
      <c r="I10259" t="s">
        <v>28689</v>
      </c>
      <c r="J10259" t="s">
        <v>35158</v>
      </c>
      <c r="K10259" t="s">
        <v>37255</v>
      </c>
      <c r="M10259" t="s">
        <v>40370</v>
      </c>
      <c r="N10259" t="s">
        <v>41249</v>
      </c>
      <c r="O10259" t="s">
        <v>41250</v>
      </c>
      <c r="P10259">
        <v>0</v>
      </c>
      <c r="Q10259">
        <v>8</v>
      </c>
      <c r="R10259" t="s">
        <v>41261</v>
      </c>
      <c r="S10259" t="s">
        <v>41680</v>
      </c>
      <c r="T10259" t="s">
        <v>42739</v>
      </c>
      <c r="U10259" t="s">
        <v>50381</v>
      </c>
      <c r="W10259" t="s">
        <v>40370</v>
      </c>
      <c r="X10259" t="s">
        <v>41264</v>
      </c>
    </row>
    <row r="10260" spans="1:24">
      <c r="A10260">
        <f>HYPERLINK("https://www.philgeps.gov.ph/GEPSNONPILOT/Tender/SplashBidNoticeAbstractUI.aspx?menuIndex=3&amp;refID=7056371&amp;Result=3","7056371")</f>
        <v>0</v>
      </c>
      <c r="B10260" t="s">
        <v>2125</v>
      </c>
      <c r="C10260" t="s">
        <v>13175</v>
      </c>
      <c r="D10260" t="s">
        <v>16658</v>
      </c>
      <c r="E10260" t="s">
        <v>25624</v>
      </c>
      <c r="F10260" t="s">
        <v>28669</v>
      </c>
      <c r="G10260" t="s">
        <v>28675</v>
      </c>
      <c r="H10260" t="s">
        <v>28686</v>
      </c>
      <c r="I10260" t="s">
        <v>28689</v>
      </c>
      <c r="J10260" t="s">
        <v>28836</v>
      </c>
      <c r="K10260" t="s">
        <v>37209</v>
      </c>
      <c r="M10260" t="s">
        <v>39770</v>
      </c>
      <c r="N10260" t="s">
        <v>41249</v>
      </c>
      <c r="O10260" t="s">
        <v>41250</v>
      </c>
      <c r="P10260">
        <v>0</v>
      </c>
      <c r="Q10260">
        <v>0</v>
      </c>
      <c r="R10260" t="s">
        <v>41261</v>
      </c>
      <c r="S10260" t="s">
        <v>41680</v>
      </c>
      <c r="T10260" t="s">
        <v>42712</v>
      </c>
      <c r="U10260" t="s">
        <v>51470</v>
      </c>
      <c r="W10260" t="s">
        <v>39770</v>
      </c>
      <c r="X10260" t="s">
        <v>41264</v>
      </c>
    </row>
    <row r="10261" spans="1:24">
      <c r="A10261">
        <f>HYPERLINK("https://www.philgeps.gov.ph/GEPSNONPILOT/Tender/SplashBidNoticeAbstractUI.aspx?menuIndex=3&amp;refID=7056515&amp;Result=3","7056515")</f>
        <v>0</v>
      </c>
      <c r="B10261" t="s">
        <v>2918</v>
      </c>
      <c r="C10261" t="s">
        <v>13176</v>
      </c>
      <c r="D10261" t="s">
        <v>16641</v>
      </c>
      <c r="E10261" t="s">
        <v>25625</v>
      </c>
      <c r="F10261" t="s">
        <v>28669</v>
      </c>
      <c r="G10261" t="s">
        <v>28675</v>
      </c>
      <c r="H10261" t="s">
        <v>28686</v>
      </c>
      <c r="I10261" t="s">
        <v>28689</v>
      </c>
      <c r="J10261" t="s">
        <v>29003</v>
      </c>
      <c r="K10261" t="s">
        <v>37213</v>
      </c>
      <c r="M10261" t="s">
        <v>40669</v>
      </c>
      <c r="N10261" t="s">
        <v>41249</v>
      </c>
      <c r="O10261" t="s">
        <v>41250</v>
      </c>
      <c r="P10261">
        <v>0</v>
      </c>
      <c r="Q10261">
        <v>0</v>
      </c>
      <c r="R10261" t="s">
        <v>41261</v>
      </c>
      <c r="S10261" t="s">
        <v>41680</v>
      </c>
      <c r="T10261" t="s">
        <v>42734</v>
      </c>
      <c r="U10261" t="s">
        <v>51471</v>
      </c>
      <c r="W10261" t="s">
        <v>40669</v>
      </c>
      <c r="X10261" t="s">
        <v>41264</v>
      </c>
    </row>
    <row r="10262" spans="1:24">
      <c r="A10262">
        <f>HYPERLINK("https://www.philgeps.gov.ph/GEPSNONPILOT/Tender/SplashBidNoticeAbstractUI.aspx?menuIndex=3&amp;refID=7056450&amp;Result=3","7056450")</f>
        <v>0</v>
      </c>
      <c r="B10262" t="s">
        <v>2656</v>
      </c>
      <c r="C10262" t="s">
        <v>13177</v>
      </c>
      <c r="D10262" t="s">
        <v>16615</v>
      </c>
      <c r="E10262" t="s">
        <v>25626</v>
      </c>
      <c r="F10262" t="s">
        <v>28669</v>
      </c>
      <c r="G10262" t="s">
        <v>28675</v>
      </c>
      <c r="H10262" t="s">
        <v>28686</v>
      </c>
      <c r="I10262" t="s">
        <v>28689</v>
      </c>
      <c r="J10262" t="s">
        <v>35159</v>
      </c>
      <c r="K10262" t="s">
        <v>37211</v>
      </c>
      <c r="M10262" t="s">
        <v>40370</v>
      </c>
      <c r="N10262" t="s">
        <v>41249</v>
      </c>
      <c r="O10262" t="s">
        <v>41250</v>
      </c>
      <c r="P10262">
        <v>0</v>
      </c>
      <c r="Q10262">
        <v>7</v>
      </c>
      <c r="R10262" t="s">
        <v>41261</v>
      </c>
      <c r="S10262" t="s">
        <v>41680</v>
      </c>
      <c r="T10262" t="s">
        <v>42739</v>
      </c>
      <c r="U10262" t="s">
        <v>50381</v>
      </c>
      <c r="W10262" t="s">
        <v>40370</v>
      </c>
      <c r="X10262" t="s">
        <v>41264</v>
      </c>
    </row>
    <row r="10263" spans="1:24">
      <c r="A10263">
        <f>HYPERLINK("https://www.philgeps.gov.ph/GEPSNONPILOT/Tender/SplashBidNoticeAbstractUI.aspx?menuIndex=3&amp;refID=7056757&amp;Result=3","7056757")</f>
        <v>0</v>
      </c>
      <c r="B10263" t="s">
        <v>2818</v>
      </c>
      <c r="C10263" t="s">
        <v>13178</v>
      </c>
      <c r="D10263" t="s">
        <v>16686</v>
      </c>
      <c r="E10263" t="s">
        <v>25627</v>
      </c>
      <c r="F10263" t="s">
        <v>28669</v>
      </c>
      <c r="G10263" t="s">
        <v>28675</v>
      </c>
      <c r="H10263" t="s">
        <v>28686</v>
      </c>
      <c r="I10263" t="s">
        <v>28689</v>
      </c>
      <c r="J10263" t="s">
        <v>35160</v>
      </c>
      <c r="K10263" t="s">
        <v>37378</v>
      </c>
      <c r="M10263" t="s">
        <v>40548</v>
      </c>
      <c r="N10263" t="s">
        <v>41249</v>
      </c>
      <c r="O10263" t="s">
        <v>41250</v>
      </c>
      <c r="P10263">
        <v>0</v>
      </c>
      <c r="Q10263">
        <v>0</v>
      </c>
      <c r="R10263" t="s">
        <v>41261</v>
      </c>
      <c r="S10263" t="s">
        <v>41680</v>
      </c>
      <c r="T10263" t="s">
        <v>43093</v>
      </c>
      <c r="U10263" t="s">
        <v>51472</v>
      </c>
      <c r="W10263" t="s">
        <v>56014</v>
      </c>
      <c r="X10263" t="s">
        <v>41264</v>
      </c>
    </row>
    <row r="10264" spans="1:24">
      <c r="A10264">
        <f>HYPERLINK("https://www.philgeps.gov.ph/GEPSNONPILOT/Tender/SplashBidNoticeAbstractUI.aspx?menuIndex=3&amp;refID=7056741&amp;Result=3","7056741")</f>
        <v>0</v>
      </c>
      <c r="B10264" t="s">
        <v>1210</v>
      </c>
      <c r="C10264" t="s">
        <v>13179</v>
      </c>
      <c r="D10264" t="s">
        <v>16633</v>
      </c>
      <c r="E10264" t="s">
        <v>25628</v>
      </c>
      <c r="F10264" t="s">
        <v>28669</v>
      </c>
      <c r="G10264" t="s">
        <v>28675</v>
      </c>
      <c r="H10264" t="s">
        <v>9998</v>
      </c>
      <c r="I10264" t="s">
        <v>28751</v>
      </c>
      <c r="J10264" t="s">
        <v>29332</v>
      </c>
      <c r="K10264" t="s">
        <v>37205</v>
      </c>
      <c r="M10264" t="s">
        <v>38751</v>
      </c>
      <c r="N10264" t="s">
        <v>41249</v>
      </c>
      <c r="O10264" t="s">
        <v>41250</v>
      </c>
      <c r="P10264">
        <v>0</v>
      </c>
      <c r="Q10264">
        <v>8</v>
      </c>
      <c r="R10264" t="s">
        <v>41261</v>
      </c>
      <c r="S10264" t="s">
        <v>41680</v>
      </c>
      <c r="T10264" t="s">
        <v>42719</v>
      </c>
      <c r="U10264" t="s">
        <v>51473</v>
      </c>
      <c r="V10264" t="s">
        <v>55380</v>
      </c>
      <c r="W10264" t="s">
        <v>38751</v>
      </c>
      <c r="X10264" t="s">
        <v>41264</v>
      </c>
    </row>
    <row r="10265" spans="1:24">
      <c r="A10265">
        <f>HYPERLINK("https://www.philgeps.gov.ph/GEPSNONPILOT/Tender/SplashBidNoticeAbstractUI.aspx?menuIndex=3&amp;refID=7056378&amp;Result=3","7056378")</f>
        <v>0</v>
      </c>
      <c r="B10265" t="s">
        <v>2918</v>
      </c>
      <c r="C10265" t="s">
        <v>13180</v>
      </c>
      <c r="D10265" t="s">
        <v>16641</v>
      </c>
      <c r="E10265" t="s">
        <v>25629</v>
      </c>
      <c r="F10265" t="s">
        <v>28669</v>
      </c>
      <c r="G10265" t="s">
        <v>28675</v>
      </c>
      <c r="H10265" t="s">
        <v>9998</v>
      </c>
      <c r="I10265" t="s">
        <v>28690</v>
      </c>
      <c r="J10265" t="s">
        <v>35161</v>
      </c>
      <c r="K10265" t="s">
        <v>37206</v>
      </c>
      <c r="M10265" t="s">
        <v>40669</v>
      </c>
      <c r="N10265" t="s">
        <v>41249</v>
      </c>
      <c r="O10265" t="s">
        <v>41250</v>
      </c>
      <c r="P10265">
        <v>0</v>
      </c>
      <c r="Q10265">
        <v>2</v>
      </c>
      <c r="R10265" t="s">
        <v>41261</v>
      </c>
      <c r="S10265" t="s">
        <v>41680</v>
      </c>
      <c r="T10265" t="s">
        <v>42734</v>
      </c>
      <c r="U10265" t="s">
        <v>51474</v>
      </c>
      <c r="W10265" t="s">
        <v>40669</v>
      </c>
      <c r="X10265" t="s">
        <v>41264</v>
      </c>
    </row>
    <row r="10266" spans="1:24">
      <c r="A10266">
        <f>HYPERLINK("https://www.philgeps.gov.ph/GEPSNONPILOT/Tender/SplashBidNoticeAbstractUI.aspx?menuIndex=3&amp;refID=7056694&amp;Result=3","7056694")</f>
        <v>0</v>
      </c>
      <c r="B10266" t="s">
        <v>1828</v>
      </c>
      <c r="C10266" t="s">
        <v>13181</v>
      </c>
      <c r="D10266" t="s">
        <v>16622</v>
      </c>
      <c r="E10266" t="s">
        <v>25630</v>
      </c>
      <c r="F10266" t="s">
        <v>28669</v>
      </c>
      <c r="G10266" t="s">
        <v>28675</v>
      </c>
      <c r="H10266" t="s">
        <v>9998</v>
      </c>
      <c r="I10266" t="s">
        <v>11593</v>
      </c>
      <c r="J10266" t="s">
        <v>35162</v>
      </c>
      <c r="K10266" t="s">
        <v>37212</v>
      </c>
      <c r="M10266" t="s">
        <v>39441</v>
      </c>
      <c r="N10266" t="s">
        <v>41249</v>
      </c>
      <c r="O10266" t="s">
        <v>41250</v>
      </c>
      <c r="P10266">
        <v>0</v>
      </c>
      <c r="Q10266">
        <v>10</v>
      </c>
      <c r="R10266" t="s">
        <v>41261</v>
      </c>
      <c r="S10266" t="s">
        <v>41680</v>
      </c>
      <c r="T10266" t="s">
        <v>42761</v>
      </c>
      <c r="U10266" t="s">
        <v>51475</v>
      </c>
      <c r="W10266" t="s">
        <v>39441</v>
      </c>
      <c r="X10266" t="s">
        <v>41264</v>
      </c>
    </row>
    <row r="10267" spans="1:24">
      <c r="A10267">
        <f>HYPERLINK("https://www.philgeps.gov.ph/GEPSNONPILOT/Tender/SplashBidNoticeAbstractUI.aspx?menuIndex=3&amp;refID=7056631&amp;Result=3","7056631")</f>
        <v>0</v>
      </c>
      <c r="B10267" t="s">
        <v>2517</v>
      </c>
      <c r="C10267" t="s">
        <v>13182</v>
      </c>
      <c r="D10267" t="s">
        <v>16674</v>
      </c>
      <c r="E10267" t="s">
        <v>20918</v>
      </c>
      <c r="F10267" t="s">
        <v>28669</v>
      </c>
      <c r="G10267" t="s">
        <v>28675</v>
      </c>
      <c r="H10267" t="s">
        <v>9998</v>
      </c>
      <c r="I10267" t="s">
        <v>28710</v>
      </c>
      <c r="J10267" t="s">
        <v>34208</v>
      </c>
      <c r="K10267" t="s">
        <v>37215</v>
      </c>
      <c r="M10267" t="s">
        <v>40205</v>
      </c>
      <c r="N10267" t="s">
        <v>41249</v>
      </c>
      <c r="O10267" t="s">
        <v>41250</v>
      </c>
      <c r="P10267">
        <v>0</v>
      </c>
      <c r="Q10267">
        <v>1</v>
      </c>
      <c r="R10267" t="s">
        <v>41261</v>
      </c>
      <c r="S10267" t="s">
        <v>41680</v>
      </c>
      <c r="T10267" t="s">
        <v>42700</v>
      </c>
      <c r="U10267" t="s">
        <v>50003</v>
      </c>
      <c r="W10267" t="s">
        <v>40205</v>
      </c>
      <c r="X10267" t="s">
        <v>41264</v>
      </c>
    </row>
    <row r="10268" spans="1:24">
      <c r="A10268">
        <f>HYPERLINK("https://www.philgeps.gov.ph/GEPSNONPILOT/Tender/SplashBidNoticeAbstractUI.aspx?menuIndex=3&amp;refID=7056783&amp;Result=3","7056783")</f>
        <v>0</v>
      </c>
      <c r="B10268" t="s">
        <v>988</v>
      </c>
      <c r="C10268" t="s">
        <v>13183</v>
      </c>
      <c r="D10268" t="s">
        <v>16692</v>
      </c>
      <c r="E10268" t="s">
        <v>25631</v>
      </c>
      <c r="F10268" t="s">
        <v>28669</v>
      </c>
      <c r="G10268" t="s">
        <v>28675</v>
      </c>
      <c r="H10268" t="s">
        <v>28686</v>
      </c>
      <c r="I10268" t="s">
        <v>28689</v>
      </c>
      <c r="J10268" t="s">
        <v>35163</v>
      </c>
      <c r="K10268" t="s">
        <v>37220</v>
      </c>
      <c r="M10268" t="s">
        <v>40243</v>
      </c>
      <c r="N10268" t="s">
        <v>41249</v>
      </c>
      <c r="O10268" t="s">
        <v>41250</v>
      </c>
      <c r="Q10268">
        <v>4</v>
      </c>
      <c r="R10268" t="s">
        <v>41261</v>
      </c>
      <c r="S10268" t="s">
        <v>41686</v>
      </c>
      <c r="T10268" t="s">
        <v>43041</v>
      </c>
      <c r="U10268" t="s">
        <v>51476</v>
      </c>
      <c r="W10268" t="s">
        <v>40243</v>
      </c>
      <c r="X10268" t="s">
        <v>41264</v>
      </c>
    </row>
    <row r="10269" spans="1:24">
      <c r="A10269">
        <f>HYPERLINK("https://www.philgeps.gov.ph/GEPSNONPILOT/Tender/SplashBidNoticeAbstractUI.aspx?menuIndex=3&amp;refID=7056765&amp;Result=3","7056765")</f>
        <v>0</v>
      </c>
      <c r="B10269" t="s">
        <v>577</v>
      </c>
      <c r="C10269" t="s">
        <v>13184</v>
      </c>
      <c r="D10269" t="s">
        <v>16626</v>
      </c>
      <c r="E10269" t="s">
        <v>24598</v>
      </c>
      <c r="F10269" t="s">
        <v>28669</v>
      </c>
      <c r="G10269" t="s">
        <v>28675</v>
      </c>
      <c r="H10269" t="s">
        <v>28686</v>
      </c>
      <c r="I10269" t="s">
        <v>28689</v>
      </c>
      <c r="J10269" t="s">
        <v>30227</v>
      </c>
      <c r="K10269" t="s">
        <v>37209</v>
      </c>
      <c r="M10269" t="s">
        <v>40427</v>
      </c>
      <c r="N10269" t="s">
        <v>41249</v>
      </c>
      <c r="O10269" t="s">
        <v>41250</v>
      </c>
      <c r="P10269">
        <v>0</v>
      </c>
      <c r="Q10269">
        <v>2</v>
      </c>
      <c r="R10269" t="s">
        <v>41261</v>
      </c>
      <c r="S10269" t="s">
        <v>41680</v>
      </c>
      <c r="T10269" t="s">
        <v>42739</v>
      </c>
      <c r="U10269" t="s">
        <v>50543</v>
      </c>
      <c r="W10269" t="s">
        <v>40427</v>
      </c>
      <c r="X10269" t="s">
        <v>41264</v>
      </c>
    </row>
    <row r="10270" spans="1:24">
      <c r="A10270">
        <f>HYPERLINK("https://www.philgeps.gov.ph/GEPSNONPILOT/Tender/SplashBidNoticeAbstractUI.aspx?menuIndex=3&amp;refID=7056779&amp;Result=3","7056779")</f>
        <v>0</v>
      </c>
      <c r="B10270" t="s">
        <v>2924</v>
      </c>
      <c r="C10270" t="s">
        <v>13185</v>
      </c>
      <c r="D10270" t="s">
        <v>16617</v>
      </c>
      <c r="E10270" t="s">
        <v>25632</v>
      </c>
      <c r="F10270" t="s">
        <v>28669</v>
      </c>
      <c r="G10270" t="s">
        <v>28675</v>
      </c>
      <c r="H10270" t="s">
        <v>28686</v>
      </c>
      <c r="I10270" t="s">
        <v>28689</v>
      </c>
      <c r="J10270" t="s">
        <v>35164</v>
      </c>
      <c r="K10270" t="s">
        <v>37294</v>
      </c>
      <c r="M10270" t="s">
        <v>40677</v>
      </c>
      <c r="N10270" t="s">
        <v>41249</v>
      </c>
      <c r="O10270" t="s">
        <v>41250</v>
      </c>
      <c r="Q10270">
        <v>3</v>
      </c>
      <c r="R10270" t="s">
        <v>41261</v>
      </c>
      <c r="S10270" t="s">
        <v>41687</v>
      </c>
      <c r="T10270" t="s">
        <v>42739</v>
      </c>
      <c r="U10270" t="s">
        <v>51477</v>
      </c>
      <c r="V10270" t="s">
        <v>55381</v>
      </c>
      <c r="W10270" t="s">
        <v>40677</v>
      </c>
      <c r="X10270" t="s">
        <v>41264</v>
      </c>
    </row>
    <row r="10271" spans="1:24">
      <c r="A10271">
        <f>HYPERLINK("https://www.philgeps.gov.ph/GEPSNONPILOT/Tender/SplashBidNoticeAbstractUI.aspx?menuIndex=3&amp;refID=7057066&amp;Result=3","7057066")</f>
        <v>0</v>
      </c>
      <c r="B10271" t="s">
        <v>2883</v>
      </c>
      <c r="C10271" t="s">
        <v>13186</v>
      </c>
      <c r="D10271" t="s">
        <v>16670</v>
      </c>
      <c r="E10271" t="s">
        <v>25633</v>
      </c>
      <c r="F10271" t="s">
        <v>28669</v>
      </c>
      <c r="G10271" t="s">
        <v>28675</v>
      </c>
      <c r="H10271" t="s">
        <v>28686</v>
      </c>
      <c r="I10271" t="s">
        <v>28689</v>
      </c>
      <c r="J10271" t="s">
        <v>35165</v>
      </c>
      <c r="K10271" t="s">
        <v>37414</v>
      </c>
      <c r="M10271" t="s">
        <v>40630</v>
      </c>
      <c r="N10271" t="s">
        <v>41249</v>
      </c>
      <c r="O10271" t="s">
        <v>41250</v>
      </c>
      <c r="P10271">
        <v>0</v>
      </c>
      <c r="Q10271">
        <v>8</v>
      </c>
      <c r="R10271" t="s">
        <v>41261</v>
      </c>
      <c r="S10271" t="s">
        <v>41680</v>
      </c>
      <c r="T10271" t="s">
        <v>42719</v>
      </c>
      <c r="U10271" t="s">
        <v>51478</v>
      </c>
      <c r="W10271" t="s">
        <v>40630</v>
      </c>
      <c r="X10271" t="s">
        <v>41264</v>
      </c>
    </row>
    <row r="10272" spans="1:24">
      <c r="A10272">
        <f>HYPERLINK("https://www.philgeps.gov.ph/GEPSNONPILOT/Tender/SplashBidNoticeAbstractUI.aspx?menuIndex=3&amp;refID=7057008&amp;Result=3","7057008")</f>
        <v>0</v>
      </c>
      <c r="B10272" t="s">
        <v>1256</v>
      </c>
      <c r="C10272" t="s">
        <v>13187</v>
      </c>
      <c r="D10272" t="s">
        <v>16668</v>
      </c>
      <c r="E10272" t="s">
        <v>25233</v>
      </c>
      <c r="F10272" t="s">
        <v>28669</v>
      </c>
      <c r="G10272" t="s">
        <v>28675</v>
      </c>
      <c r="H10272" t="s">
        <v>9998</v>
      </c>
      <c r="I10272" t="s">
        <v>28706</v>
      </c>
      <c r="J10272" t="s">
        <v>35166</v>
      </c>
      <c r="K10272" t="s">
        <v>37206</v>
      </c>
      <c r="M10272" t="s">
        <v>38804</v>
      </c>
      <c r="N10272" t="s">
        <v>41249</v>
      </c>
      <c r="O10272" t="s">
        <v>41250</v>
      </c>
      <c r="P10272">
        <v>0</v>
      </c>
      <c r="Q10272">
        <v>6</v>
      </c>
      <c r="R10272" t="s">
        <v>41261</v>
      </c>
      <c r="S10272" t="s">
        <v>41680</v>
      </c>
      <c r="T10272" t="s">
        <v>42739</v>
      </c>
      <c r="U10272" t="s">
        <v>45841</v>
      </c>
      <c r="W10272" t="s">
        <v>38804</v>
      </c>
      <c r="X10272" t="s">
        <v>41264</v>
      </c>
    </row>
    <row r="10273" spans="1:24">
      <c r="A10273">
        <f>HYPERLINK("https://www.philgeps.gov.ph/GEPSNONPILOT/Tender/SplashBidNoticeAbstractUI.aspx?menuIndex=3&amp;refID=7056956&amp;Result=3","7056956")</f>
        <v>0</v>
      </c>
      <c r="B10273" t="s">
        <v>1684</v>
      </c>
      <c r="C10273" t="s">
        <v>13188</v>
      </c>
      <c r="D10273" t="s">
        <v>16622</v>
      </c>
      <c r="E10273" t="s">
        <v>25634</v>
      </c>
      <c r="F10273" t="s">
        <v>28669</v>
      </c>
      <c r="G10273" t="s">
        <v>28675</v>
      </c>
      <c r="H10273" t="s">
        <v>28686</v>
      </c>
      <c r="I10273" t="s">
        <v>28689</v>
      </c>
      <c r="J10273" t="s">
        <v>30575</v>
      </c>
      <c r="K10273" t="s">
        <v>37213</v>
      </c>
      <c r="M10273" t="s">
        <v>39278</v>
      </c>
      <c r="N10273" t="s">
        <v>41249</v>
      </c>
      <c r="O10273" t="s">
        <v>41250</v>
      </c>
      <c r="P10273">
        <v>0</v>
      </c>
      <c r="Q10273">
        <v>0</v>
      </c>
      <c r="R10273" t="s">
        <v>41261</v>
      </c>
      <c r="S10273" t="s">
        <v>41680</v>
      </c>
      <c r="T10273" t="s">
        <v>42659</v>
      </c>
      <c r="U10273" t="s">
        <v>47091</v>
      </c>
      <c r="V10273" t="s">
        <v>54767</v>
      </c>
      <c r="W10273" t="s">
        <v>39278</v>
      </c>
      <c r="X10273" t="s">
        <v>41264</v>
      </c>
    </row>
    <row r="10274" spans="1:24">
      <c r="A10274">
        <f>HYPERLINK("https://www.philgeps.gov.ph/GEPSNONPILOT/Tender/SplashBidNoticeAbstractUI.aspx?menuIndex=3&amp;refID=7056499&amp;Result=3","7056499")</f>
        <v>0</v>
      </c>
      <c r="B10274" t="s">
        <v>2918</v>
      </c>
      <c r="C10274" t="s">
        <v>13189</v>
      </c>
      <c r="D10274" t="s">
        <v>16641</v>
      </c>
      <c r="E10274" t="s">
        <v>25635</v>
      </c>
      <c r="F10274" t="s">
        <v>28669</v>
      </c>
      <c r="G10274" t="s">
        <v>28675</v>
      </c>
      <c r="H10274" t="s">
        <v>28686</v>
      </c>
      <c r="I10274" t="s">
        <v>28689</v>
      </c>
      <c r="J10274" t="s">
        <v>35167</v>
      </c>
      <c r="K10274" t="s">
        <v>37220</v>
      </c>
      <c r="M10274" t="s">
        <v>40669</v>
      </c>
      <c r="N10274" t="s">
        <v>41249</v>
      </c>
      <c r="O10274" t="s">
        <v>41250</v>
      </c>
      <c r="P10274">
        <v>0</v>
      </c>
      <c r="Q10274">
        <v>0</v>
      </c>
      <c r="R10274" t="s">
        <v>41261</v>
      </c>
      <c r="S10274" t="s">
        <v>41680</v>
      </c>
      <c r="T10274" t="s">
        <v>42734</v>
      </c>
      <c r="U10274" t="s">
        <v>51479</v>
      </c>
      <c r="W10274" t="s">
        <v>40669</v>
      </c>
      <c r="X10274" t="s">
        <v>41264</v>
      </c>
    </row>
    <row r="10275" spans="1:24">
      <c r="A10275">
        <f>HYPERLINK("https://www.philgeps.gov.ph/GEPSNONPILOT/Tender/SplashBidNoticeAbstractUI.aspx?menuIndex=3&amp;refID=7056611&amp;Result=3","7056611")</f>
        <v>0</v>
      </c>
      <c r="B10275" t="s">
        <v>2818</v>
      </c>
      <c r="C10275" t="s">
        <v>13190</v>
      </c>
      <c r="D10275" t="s">
        <v>16686</v>
      </c>
      <c r="E10275" t="s">
        <v>25636</v>
      </c>
      <c r="F10275" t="s">
        <v>28669</v>
      </c>
      <c r="G10275" t="s">
        <v>28675</v>
      </c>
      <c r="H10275" t="s">
        <v>28686</v>
      </c>
      <c r="I10275" t="s">
        <v>28689</v>
      </c>
      <c r="J10275" t="s">
        <v>30195</v>
      </c>
      <c r="K10275" t="s">
        <v>37211</v>
      </c>
      <c r="M10275" t="s">
        <v>40548</v>
      </c>
      <c r="N10275" t="s">
        <v>41249</v>
      </c>
      <c r="O10275" t="s">
        <v>41250</v>
      </c>
      <c r="P10275">
        <v>0</v>
      </c>
      <c r="Q10275">
        <v>0</v>
      </c>
      <c r="R10275" t="s">
        <v>41261</v>
      </c>
      <c r="S10275" t="s">
        <v>41680</v>
      </c>
      <c r="T10275" t="s">
        <v>43093</v>
      </c>
      <c r="U10275" t="s">
        <v>51480</v>
      </c>
      <c r="W10275" t="s">
        <v>56014</v>
      </c>
      <c r="X10275" t="s">
        <v>41264</v>
      </c>
    </row>
    <row r="10276" spans="1:24">
      <c r="A10276">
        <f>HYPERLINK("https://www.philgeps.gov.ph/GEPSNONPILOT/Tender/SplashBidNoticeAbstractUI.aspx?menuIndex=3&amp;refID=7057177&amp;Result=3","7057177")</f>
        <v>0</v>
      </c>
      <c r="B10276" t="s">
        <v>697</v>
      </c>
      <c r="C10276" t="s">
        <v>13191</v>
      </c>
      <c r="D10276" t="s">
        <v>16621</v>
      </c>
      <c r="E10276" t="s">
        <v>25637</v>
      </c>
      <c r="F10276" t="s">
        <v>28669</v>
      </c>
      <c r="G10276" t="s">
        <v>28675</v>
      </c>
      <c r="H10276" t="s">
        <v>28686</v>
      </c>
      <c r="I10276" t="s">
        <v>28689</v>
      </c>
      <c r="J10276" t="s">
        <v>35168</v>
      </c>
      <c r="K10276" t="s">
        <v>37440</v>
      </c>
      <c r="M10276" t="s">
        <v>38202</v>
      </c>
      <c r="N10276" t="s">
        <v>41249</v>
      </c>
      <c r="O10276" t="s">
        <v>41250</v>
      </c>
      <c r="P10276">
        <v>0</v>
      </c>
      <c r="Q10276">
        <v>8</v>
      </c>
      <c r="R10276" t="s">
        <v>41261</v>
      </c>
      <c r="S10276" t="s">
        <v>41680</v>
      </c>
      <c r="T10276" t="s">
        <v>42692</v>
      </c>
      <c r="U10276" t="s">
        <v>51481</v>
      </c>
      <c r="W10276" t="s">
        <v>38202</v>
      </c>
      <c r="X10276" t="s">
        <v>41264</v>
      </c>
    </row>
    <row r="10277" spans="1:24">
      <c r="A10277">
        <f>HYPERLINK("https://www.philgeps.gov.ph/GEPSNONPILOT/Tender/SplashBidNoticeAbstractUI.aspx?menuIndex=3&amp;refID=7057061&amp;Result=3","7057061")</f>
        <v>0</v>
      </c>
      <c r="B10277" t="s">
        <v>2120</v>
      </c>
      <c r="C10277" t="s">
        <v>13192</v>
      </c>
      <c r="D10277" t="s">
        <v>16624</v>
      </c>
      <c r="E10277" t="s">
        <v>25638</v>
      </c>
      <c r="F10277" t="s">
        <v>28669</v>
      </c>
      <c r="G10277" t="s">
        <v>28675</v>
      </c>
      <c r="H10277" t="s">
        <v>28686</v>
      </c>
      <c r="I10277" t="s">
        <v>28689</v>
      </c>
      <c r="J10277" t="s">
        <v>35169</v>
      </c>
      <c r="K10277" t="s">
        <v>37255</v>
      </c>
      <c r="M10277" t="s">
        <v>39764</v>
      </c>
      <c r="N10277" t="s">
        <v>41249</v>
      </c>
      <c r="O10277" t="s">
        <v>41250</v>
      </c>
      <c r="P10277">
        <v>0</v>
      </c>
      <c r="Q10277">
        <v>0</v>
      </c>
      <c r="R10277" t="s">
        <v>41261</v>
      </c>
      <c r="S10277" t="s">
        <v>41680</v>
      </c>
      <c r="T10277" t="s">
        <v>42836</v>
      </c>
      <c r="U10277" t="s">
        <v>48482</v>
      </c>
      <c r="V10277" t="s">
        <v>55382</v>
      </c>
      <c r="W10277" t="s">
        <v>39764</v>
      </c>
      <c r="X10277" t="s">
        <v>41264</v>
      </c>
    </row>
    <row r="10278" spans="1:24">
      <c r="A10278">
        <f>HYPERLINK("https://www.philgeps.gov.ph/GEPSNONPILOT/Tender/SplashBidNoticeAbstractUI.aspx?menuIndex=3&amp;refID=7056976&amp;Result=3","7056976")</f>
        <v>0</v>
      </c>
      <c r="B10278" t="s">
        <v>2120</v>
      </c>
      <c r="C10278" t="s">
        <v>13193</v>
      </c>
      <c r="D10278" t="s">
        <v>16624</v>
      </c>
      <c r="E10278" t="s">
        <v>25639</v>
      </c>
      <c r="F10278" t="s">
        <v>28669</v>
      </c>
      <c r="G10278" t="s">
        <v>28675</v>
      </c>
      <c r="H10278" t="s">
        <v>28686</v>
      </c>
      <c r="I10278" t="s">
        <v>28689</v>
      </c>
      <c r="J10278" t="s">
        <v>35170</v>
      </c>
      <c r="K10278" t="s">
        <v>37215</v>
      </c>
      <c r="M10278" t="s">
        <v>39764</v>
      </c>
      <c r="N10278" t="s">
        <v>41249</v>
      </c>
      <c r="O10278" t="s">
        <v>41250</v>
      </c>
      <c r="P10278">
        <v>0</v>
      </c>
      <c r="Q10278">
        <v>0</v>
      </c>
      <c r="R10278" t="s">
        <v>41261</v>
      </c>
      <c r="S10278" t="s">
        <v>41680</v>
      </c>
      <c r="T10278" t="s">
        <v>42836</v>
      </c>
      <c r="U10278" t="s">
        <v>48482</v>
      </c>
      <c r="V10278" t="s">
        <v>55382</v>
      </c>
      <c r="W10278" t="s">
        <v>39764</v>
      </c>
      <c r="X10278" t="s">
        <v>41264</v>
      </c>
    </row>
    <row r="10279" spans="1:24">
      <c r="A10279">
        <f>HYPERLINK("https://www.philgeps.gov.ph/GEPSNONPILOT/Tender/SplashBidNoticeAbstractUI.aspx?menuIndex=3&amp;refID=7057133&amp;Result=3","7057133")</f>
        <v>0</v>
      </c>
      <c r="B10279" t="s">
        <v>1684</v>
      </c>
      <c r="C10279" t="s">
        <v>13194</v>
      </c>
      <c r="D10279" t="s">
        <v>16622</v>
      </c>
      <c r="E10279" t="s">
        <v>25640</v>
      </c>
      <c r="F10279" t="s">
        <v>28669</v>
      </c>
      <c r="G10279" t="s">
        <v>28675</v>
      </c>
      <c r="H10279" t="s">
        <v>28686</v>
      </c>
      <c r="I10279" t="s">
        <v>28689</v>
      </c>
      <c r="J10279" t="s">
        <v>28850</v>
      </c>
      <c r="K10279" t="s">
        <v>37212</v>
      </c>
      <c r="M10279" t="s">
        <v>39278</v>
      </c>
      <c r="N10279" t="s">
        <v>41249</v>
      </c>
      <c r="O10279" t="s">
        <v>41250</v>
      </c>
      <c r="P10279">
        <v>0</v>
      </c>
      <c r="Q10279">
        <v>0</v>
      </c>
      <c r="R10279" t="s">
        <v>41261</v>
      </c>
      <c r="S10279" t="s">
        <v>41680</v>
      </c>
      <c r="T10279" t="s">
        <v>42739</v>
      </c>
      <c r="U10279" t="s">
        <v>51482</v>
      </c>
      <c r="V10279" t="s">
        <v>55383</v>
      </c>
      <c r="W10279" t="s">
        <v>39278</v>
      </c>
      <c r="X10279" t="s">
        <v>41264</v>
      </c>
    </row>
    <row r="10280" spans="1:24">
      <c r="A10280">
        <f>HYPERLINK("https://www.philgeps.gov.ph/GEPSNONPILOT/Tender/SplashBidNoticeAbstractUI.aspx?menuIndex=3&amp;refID=7056950&amp;Result=3","7056950")</f>
        <v>0</v>
      </c>
      <c r="B10280" t="s">
        <v>988</v>
      </c>
      <c r="C10280" t="s">
        <v>13195</v>
      </c>
      <c r="D10280" t="s">
        <v>16692</v>
      </c>
      <c r="E10280" t="s">
        <v>25641</v>
      </c>
      <c r="F10280" t="s">
        <v>28669</v>
      </c>
      <c r="G10280" t="s">
        <v>28675</v>
      </c>
      <c r="H10280" t="s">
        <v>28686</v>
      </c>
      <c r="I10280" t="s">
        <v>28689</v>
      </c>
      <c r="J10280" t="s">
        <v>35171</v>
      </c>
      <c r="K10280" t="s">
        <v>37213</v>
      </c>
      <c r="M10280" t="s">
        <v>40243</v>
      </c>
      <c r="N10280" t="s">
        <v>41249</v>
      </c>
      <c r="O10280" t="s">
        <v>41250</v>
      </c>
      <c r="Q10280">
        <v>2</v>
      </c>
      <c r="R10280" t="s">
        <v>41261</v>
      </c>
      <c r="S10280" t="s">
        <v>41688</v>
      </c>
      <c r="T10280" t="s">
        <v>43041</v>
      </c>
      <c r="U10280" t="s">
        <v>51483</v>
      </c>
      <c r="W10280" t="s">
        <v>40243</v>
      </c>
      <c r="X10280" t="s">
        <v>41264</v>
      </c>
    </row>
    <row r="10281" spans="1:24">
      <c r="A10281">
        <f>HYPERLINK("https://www.philgeps.gov.ph/GEPSNONPILOT/Tender/SplashBidNoticeAbstractUI.aspx?menuIndex=3&amp;refID=7057190&amp;Result=3","7057190")</f>
        <v>0</v>
      </c>
      <c r="B10281" t="s">
        <v>791</v>
      </c>
      <c r="C10281" t="s">
        <v>13196</v>
      </c>
      <c r="D10281" t="s">
        <v>16679</v>
      </c>
      <c r="E10281" t="s">
        <v>20718</v>
      </c>
      <c r="F10281" t="s">
        <v>28669</v>
      </c>
      <c r="G10281" t="s">
        <v>28675</v>
      </c>
      <c r="H10281" t="s">
        <v>9998</v>
      </c>
      <c r="I10281" t="s">
        <v>5286</v>
      </c>
      <c r="J10281" t="s">
        <v>28823</v>
      </c>
      <c r="K10281" t="s">
        <v>37220</v>
      </c>
      <c r="M10281" t="s">
        <v>38305</v>
      </c>
      <c r="N10281" t="s">
        <v>41249</v>
      </c>
      <c r="O10281" t="s">
        <v>41250</v>
      </c>
      <c r="P10281">
        <v>0</v>
      </c>
      <c r="Q10281">
        <v>13</v>
      </c>
      <c r="R10281" t="s">
        <v>41261</v>
      </c>
      <c r="S10281" t="s">
        <v>41680</v>
      </c>
      <c r="T10281" t="s">
        <v>43098</v>
      </c>
      <c r="U10281" t="s">
        <v>51484</v>
      </c>
      <c r="W10281" t="s">
        <v>38305</v>
      </c>
      <c r="X10281" t="s">
        <v>41264</v>
      </c>
    </row>
    <row r="10282" spans="1:24">
      <c r="A10282">
        <f>HYPERLINK("https://www.philgeps.gov.ph/GEPSNONPILOT/Tender/SplashBidNoticeAbstractUI.aspx?menuIndex=3&amp;refID=7056901&amp;Result=3","7056901")</f>
        <v>0</v>
      </c>
      <c r="B10282" t="s">
        <v>2923</v>
      </c>
      <c r="C10282" t="s">
        <v>13197</v>
      </c>
      <c r="D10282" t="s">
        <v>16635</v>
      </c>
      <c r="E10282" t="s">
        <v>25642</v>
      </c>
      <c r="F10282" t="s">
        <v>28669</v>
      </c>
      <c r="G10282" t="s">
        <v>28675</v>
      </c>
      <c r="H10282" t="s">
        <v>9998</v>
      </c>
      <c r="I10282" t="s">
        <v>7352</v>
      </c>
      <c r="J10282" t="s">
        <v>35172</v>
      </c>
      <c r="K10282" t="s">
        <v>37206</v>
      </c>
      <c r="M10282" t="s">
        <v>40676</v>
      </c>
      <c r="N10282" t="s">
        <v>41249</v>
      </c>
      <c r="O10282" t="s">
        <v>41250</v>
      </c>
      <c r="P10282">
        <v>0</v>
      </c>
      <c r="Q10282">
        <v>0</v>
      </c>
      <c r="R10282" t="s">
        <v>41261</v>
      </c>
      <c r="S10282" t="s">
        <v>41680</v>
      </c>
      <c r="T10282" t="s">
        <v>42659</v>
      </c>
      <c r="U10282" t="s">
        <v>51485</v>
      </c>
      <c r="W10282" t="s">
        <v>40676</v>
      </c>
      <c r="X10282" t="s">
        <v>41264</v>
      </c>
    </row>
    <row r="10283" spans="1:24">
      <c r="A10283">
        <f>HYPERLINK("https://www.philgeps.gov.ph/GEPSNONPILOT/Tender/SplashBidNoticeAbstractUI.aspx?menuIndex=3&amp;refID=7056544&amp;Result=3","7056544")</f>
        <v>0</v>
      </c>
      <c r="B10283" t="s">
        <v>2918</v>
      </c>
      <c r="C10283" t="s">
        <v>13198</v>
      </c>
      <c r="D10283" t="s">
        <v>16641</v>
      </c>
      <c r="E10283" t="s">
        <v>25643</v>
      </c>
      <c r="F10283" t="s">
        <v>28669</v>
      </c>
      <c r="G10283" t="s">
        <v>28675</v>
      </c>
      <c r="H10283" t="s">
        <v>28686</v>
      </c>
      <c r="I10283" t="s">
        <v>28689</v>
      </c>
      <c r="J10283" t="s">
        <v>35173</v>
      </c>
      <c r="K10283" t="s">
        <v>37220</v>
      </c>
      <c r="M10283" t="s">
        <v>40669</v>
      </c>
      <c r="N10283" t="s">
        <v>41249</v>
      </c>
      <c r="O10283" t="s">
        <v>41250</v>
      </c>
      <c r="P10283">
        <v>0</v>
      </c>
      <c r="Q10283">
        <v>1</v>
      </c>
      <c r="R10283" t="s">
        <v>41261</v>
      </c>
      <c r="S10283" t="s">
        <v>41680</v>
      </c>
      <c r="T10283" t="s">
        <v>42734</v>
      </c>
      <c r="U10283" t="s">
        <v>51486</v>
      </c>
      <c r="W10283" t="s">
        <v>40669</v>
      </c>
      <c r="X10283" t="s">
        <v>41264</v>
      </c>
    </row>
    <row r="10284" spans="1:24">
      <c r="A10284">
        <f>HYPERLINK("https://www.philgeps.gov.ph/GEPSNONPILOT/Tender/SplashBidNoticeAbstractUI.aspx?menuIndex=3&amp;refID=7057104&amp;Result=3","7057104")</f>
        <v>0</v>
      </c>
      <c r="B10284" t="s">
        <v>1256</v>
      </c>
      <c r="C10284" t="s">
        <v>13199</v>
      </c>
      <c r="D10284" t="s">
        <v>16668</v>
      </c>
      <c r="E10284" t="s">
        <v>25241</v>
      </c>
      <c r="F10284" t="s">
        <v>28669</v>
      </c>
      <c r="G10284" t="s">
        <v>28675</v>
      </c>
      <c r="H10284" t="s">
        <v>9998</v>
      </c>
      <c r="I10284" t="s">
        <v>28743</v>
      </c>
      <c r="J10284" t="s">
        <v>35174</v>
      </c>
      <c r="K10284" t="s">
        <v>37220</v>
      </c>
      <c r="M10284" t="s">
        <v>38804</v>
      </c>
      <c r="N10284" t="s">
        <v>41249</v>
      </c>
      <c r="O10284" t="s">
        <v>41250</v>
      </c>
      <c r="P10284">
        <v>0</v>
      </c>
      <c r="Q10284">
        <v>1</v>
      </c>
      <c r="R10284" t="s">
        <v>41261</v>
      </c>
      <c r="S10284" t="s">
        <v>41680</v>
      </c>
      <c r="T10284" t="s">
        <v>42739</v>
      </c>
      <c r="U10284" t="s">
        <v>45796</v>
      </c>
      <c r="W10284" t="s">
        <v>38804</v>
      </c>
      <c r="X10284" t="s">
        <v>41264</v>
      </c>
    </row>
    <row r="10285" spans="1:24">
      <c r="A10285">
        <f>HYPERLINK("https://www.philgeps.gov.ph/GEPSNONPILOT/Tender/SplashBidNoticeAbstractUI.aspx?menuIndex=3&amp;refID=7057082&amp;Result=3","7057082")</f>
        <v>0</v>
      </c>
      <c r="B10285" t="s">
        <v>2656</v>
      </c>
      <c r="C10285" t="s">
        <v>13200</v>
      </c>
      <c r="D10285" t="s">
        <v>16615</v>
      </c>
      <c r="E10285" t="s">
        <v>25644</v>
      </c>
      <c r="F10285" t="s">
        <v>28669</v>
      </c>
      <c r="G10285" t="s">
        <v>28675</v>
      </c>
      <c r="H10285" t="s">
        <v>28686</v>
      </c>
      <c r="I10285" t="s">
        <v>28689</v>
      </c>
      <c r="J10285" t="s">
        <v>35175</v>
      </c>
      <c r="K10285" t="s">
        <v>37255</v>
      </c>
      <c r="M10285" t="s">
        <v>40370</v>
      </c>
      <c r="N10285" t="s">
        <v>41249</v>
      </c>
      <c r="O10285" t="s">
        <v>41250</v>
      </c>
      <c r="P10285">
        <v>0</v>
      </c>
      <c r="Q10285">
        <v>8</v>
      </c>
      <c r="R10285" t="s">
        <v>41261</v>
      </c>
      <c r="S10285" t="s">
        <v>41680</v>
      </c>
      <c r="T10285" t="s">
        <v>42739</v>
      </c>
      <c r="U10285" t="s">
        <v>50381</v>
      </c>
      <c r="W10285" t="s">
        <v>40370</v>
      </c>
      <c r="X10285" t="s">
        <v>41264</v>
      </c>
    </row>
    <row r="10286" spans="1:24">
      <c r="A10286">
        <f>HYPERLINK("https://www.philgeps.gov.ph/GEPSNONPILOT/Tender/SplashBidNoticeAbstractUI.aspx?menuIndex=3&amp;refID=7056846&amp;Result=3","7056846")</f>
        <v>0</v>
      </c>
      <c r="B10286" t="s">
        <v>2924</v>
      </c>
      <c r="C10286" t="s">
        <v>13201</v>
      </c>
      <c r="D10286" t="s">
        <v>16617</v>
      </c>
      <c r="E10286" t="s">
        <v>25645</v>
      </c>
      <c r="F10286" t="s">
        <v>28669</v>
      </c>
      <c r="G10286" t="s">
        <v>28675</v>
      </c>
      <c r="H10286" t="s">
        <v>28686</v>
      </c>
      <c r="I10286" t="s">
        <v>28689</v>
      </c>
      <c r="J10286" t="s">
        <v>35176</v>
      </c>
      <c r="K10286" t="s">
        <v>37213</v>
      </c>
      <c r="M10286" t="s">
        <v>40677</v>
      </c>
      <c r="N10286" t="s">
        <v>41249</v>
      </c>
      <c r="O10286" t="s">
        <v>41250</v>
      </c>
      <c r="P10286">
        <v>0</v>
      </c>
      <c r="Q10286">
        <v>3</v>
      </c>
      <c r="R10286" t="s">
        <v>41261</v>
      </c>
      <c r="S10286" t="s">
        <v>41680</v>
      </c>
      <c r="T10286" t="s">
        <v>42739</v>
      </c>
      <c r="U10286" t="s">
        <v>51487</v>
      </c>
      <c r="V10286" t="s">
        <v>55381</v>
      </c>
      <c r="W10286" t="s">
        <v>40677</v>
      </c>
      <c r="X10286" t="s">
        <v>41264</v>
      </c>
    </row>
    <row r="10287" spans="1:24">
      <c r="A10287">
        <f>HYPERLINK("https://www.philgeps.gov.ph/GEPSNONPILOT/Tender/SplashBidNoticeAbstractUI.aspx?menuIndex=3&amp;refID=7056826&amp;Result=3","7056826")</f>
        <v>0</v>
      </c>
      <c r="B10287" t="s">
        <v>1210</v>
      </c>
      <c r="C10287" t="s">
        <v>13202</v>
      </c>
      <c r="D10287" t="s">
        <v>16633</v>
      </c>
      <c r="E10287" t="s">
        <v>25646</v>
      </c>
      <c r="F10287" t="s">
        <v>28669</v>
      </c>
      <c r="G10287" t="s">
        <v>28675</v>
      </c>
      <c r="H10287" t="s">
        <v>9998</v>
      </c>
      <c r="I10287" t="s">
        <v>28687</v>
      </c>
      <c r="J10287" t="s">
        <v>29053</v>
      </c>
      <c r="K10287" t="s">
        <v>37206</v>
      </c>
      <c r="M10287" t="s">
        <v>38751</v>
      </c>
      <c r="N10287" t="s">
        <v>41249</v>
      </c>
      <c r="O10287" t="s">
        <v>41250</v>
      </c>
      <c r="Q10287">
        <v>10</v>
      </c>
      <c r="R10287" t="s">
        <v>41261</v>
      </c>
      <c r="S10287" t="s">
        <v>41689</v>
      </c>
      <c r="T10287" t="s">
        <v>42881</v>
      </c>
      <c r="U10287" t="s">
        <v>51488</v>
      </c>
      <c r="V10287" t="s">
        <v>55384</v>
      </c>
      <c r="W10287" t="s">
        <v>38751</v>
      </c>
      <c r="X10287" t="s">
        <v>41264</v>
      </c>
    </row>
    <row r="10288" spans="1:24">
      <c r="A10288">
        <f>HYPERLINK("https://www.philgeps.gov.ph/GEPSNONPILOT/Tender/SplashBidNoticeAbstractUI.aspx?menuIndex=3&amp;refID=7056822&amp;Result=3","7056822")</f>
        <v>0</v>
      </c>
      <c r="B10288" t="s">
        <v>2925</v>
      </c>
      <c r="C10288" t="s">
        <v>13203</v>
      </c>
      <c r="D10288" t="s">
        <v>16615</v>
      </c>
      <c r="E10288" t="s">
        <v>25647</v>
      </c>
      <c r="F10288" t="s">
        <v>28669</v>
      </c>
      <c r="G10288" t="s">
        <v>28675</v>
      </c>
      <c r="H10288" t="s">
        <v>28686</v>
      </c>
      <c r="I10288" t="s">
        <v>28689</v>
      </c>
      <c r="J10288" t="s">
        <v>28924</v>
      </c>
      <c r="K10288" t="s">
        <v>37219</v>
      </c>
      <c r="M10288" t="s">
        <v>40678</v>
      </c>
      <c r="N10288" t="s">
        <v>41249</v>
      </c>
      <c r="O10288" t="s">
        <v>41250</v>
      </c>
      <c r="P10288">
        <v>0</v>
      </c>
      <c r="Q10288">
        <v>13</v>
      </c>
      <c r="R10288" t="s">
        <v>41261</v>
      </c>
      <c r="S10288" t="s">
        <v>41680</v>
      </c>
      <c r="T10288" t="s">
        <v>42755</v>
      </c>
      <c r="U10288" t="s">
        <v>51489</v>
      </c>
      <c r="W10288" t="s">
        <v>40678</v>
      </c>
      <c r="X10288" t="s">
        <v>41264</v>
      </c>
    </row>
    <row r="10289" spans="1:24">
      <c r="A10289">
        <f>HYPERLINK("https://www.philgeps.gov.ph/GEPSNONPILOT/Tender/SplashBidNoticeAbstractUI.aspx?menuIndex=3&amp;refID=7056884&amp;Result=3","7056884")</f>
        <v>0</v>
      </c>
      <c r="B10289" t="s">
        <v>326</v>
      </c>
      <c r="C10289" t="s">
        <v>13204</v>
      </c>
      <c r="D10289" t="s">
        <v>16665</v>
      </c>
      <c r="E10289" t="s">
        <v>25648</v>
      </c>
      <c r="F10289" t="s">
        <v>28669</v>
      </c>
      <c r="G10289" t="s">
        <v>28675</v>
      </c>
      <c r="H10289" t="s">
        <v>28686</v>
      </c>
      <c r="I10289" t="s">
        <v>28689</v>
      </c>
      <c r="J10289" t="s">
        <v>35177</v>
      </c>
      <c r="K10289" t="s">
        <v>37213</v>
      </c>
      <c r="M10289" t="s">
        <v>37806</v>
      </c>
      <c r="N10289" t="s">
        <v>41249</v>
      </c>
      <c r="O10289" t="s">
        <v>41250</v>
      </c>
      <c r="P10289">
        <v>0</v>
      </c>
      <c r="Q10289">
        <v>0</v>
      </c>
      <c r="R10289" t="s">
        <v>41261</v>
      </c>
      <c r="S10289" t="s">
        <v>41680</v>
      </c>
      <c r="T10289" t="s">
        <v>42836</v>
      </c>
      <c r="U10289" t="s">
        <v>51490</v>
      </c>
      <c r="W10289" t="s">
        <v>37806</v>
      </c>
      <c r="X10289" t="s">
        <v>41264</v>
      </c>
    </row>
    <row r="10290" spans="1:24">
      <c r="A10290">
        <f>HYPERLINK("https://www.philgeps.gov.ph/GEPSNONPILOT/Tender/SplashBidNoticeAbstractUI.aspx?menuIndex=3&amp;refID=7057226&amp;Result=3","7057226")</f>
        <v>0</v>
      </c>
      <c r="B10290" t="s">
        <v>2926</v>
      </c>
      <c r="C10290" t="s">
        <v>13205</v>
      </c>
      <c r="D10290" t="s">
        <v>16608</v>
      </c>
      <c r="E10290" t="s">
        <v>17251</v>
      </c>
      <c r="F10290" t="s">
        <v>28671</v>
      </c>
      <c r="G10290" t="s">
        <v>28675</v>
      </c>
      <c r="H10290" t="s">
        <v>9998</v>
      </c>
      <c r="I10290" t="s">
        <v>3658</v>
      </c>
      <c r="J10290" t="s">
        <v>29003</v>
      </c>
      <c r="K10290" t="s">
        <v>37206</v>
      </c>
      <c r="M10290" t="s">
        <v>40679</v>
      </c>
      <c r="N10290" t="s">
        <v>41249</v>
      </c>
      <c r="O10290" t="s">
        <v>41250</v>
      </c>
      <c r="P10290">
        <v>0</v>
      </c>
      <c r="Q10290">
        <v>2</v>
      </c>
      <c r="R10290" t="s">
        <v>41261</v>
      </c>
      <c r="S10290" t="s">
        <v>41680</v>
      </c>
      <c r="T10290" t="s">
        <v>43114</v>
      </c>
      <c r="U10290" t="s">
        <v>51491</v>
      </c>
      <c r="W10290" t="s">
        <v>40679</v>
      </c>
      <c r="X10290" t="s">
        <v>41264</v>
      </c>
    </row>
    <row r="10291" spans="1:24">
      <c r="A10291">
        <f>HYPERLINK("https://www.philgeps.gov.ph/GEPSNONPILOT/Tender/SplashBidNoticeAbstractUI.aspx?menuIndex=3&amp;refID=7057385&amp;Result=3","7057385")</f>
        <v>0</v>
      </c>
      <c r="B10291" t="s">
        <v>2927</v>
      </c>
      <c r="C10291" t="s">
        <v>13206</v>
      </c>
      <c r="D10291" t="s">
        <v>16647</v>
      </c>
      <c r="E10291" t="s">
        <v>25649</v>
      </c>
      <c r="F10291" t="s">
        <v>28669</v>
      </c>
      <c r="G10291" t="s">
        <v>28675</v>
      </c>
      <c r="H10291" t="s">
        <v>28686</v>
      </c>
      <c r="I10291" t="s">
        <v>28689</v>
      </c>
      <c r="J10291" t="s">
        <v>28847</v>
      </c>
      <c r="K10291" t="s">
        <v>37441</v>
      </c>
      <c r="M10291" t="s">
        <v>40680</v>
      </c>
      <c r="N10291" t="s">
        <v>41249</v>
      </c>
      <c r="O10291" t="s">
        <v>41250</v>
      </c>
      <c r="P10291">
        <v>0</v>
      </c>
      <c r="Q10291">
        <v>56</v>
      </c>
      <c r="R10291" t="s">
        <v>41261</v>
      </c>
      <c r="S10291" t="s">
        <v>41680</v>
      </c>
      <c r="T10291" t="s">
        <v>42712</v>
      </c>
      <c r="U10291" t="s">
        <v>51492</v>
      </c>
      <c r="W10291" t="s">
        <v>40680</v>
      </c>
      <c r="X10291" t="s">
        <v>41264</v>
      </c>
    </row>
    <row r="10292" spans="1:24">
      <c r="A10292">
        <f>HYPERLINK("https://www.philgeps.gov.ph/GEPSNONPILOT/Tender/SplashBidNoticeAbstractUI.aspx?menuIndex=3&amp;refID=7057359&amp;Result=3","7057359")</f>
        <v>0</v>
      </c>
      <c r="B10292" t="s">
        <v>2927</v>
      </c>
      <c r="C10292" t="s">
        <v>13207</v>
      </c>
      <c r="D10292" t="s">
        <v>16647</v>
      </c>
      <c r="E10292" t="s">
        <v>25650</v>
      </c>
      <c r="F10292" t="s">
        <v>28669</v>
      </c>
      <c r="G10292" t="s">
        <v>28675</v>
      </c>
      <c r="H10292" t="s">
        <v>28686</v>
      </c>
      <c r="I10292" t="s">
        <v>28689</v>
      </c>
      <c r="J10292" t="s">
        <v>35178</v>
      </c>
      <c r="K10292" t="s">
        <v>37358</v>
      </c>
      <c r="M10292" t="s">
        <v>40680</v>
      </c>
      <c r="N10292" t="s">
        <v>41249</v>
      </c>
      <c r="O10292" t="s">
        <v>41250</v>
      </c>
      <c r="P10292">
        <v>0</v>
      </c>
      <c r="Q10292">
        <v>55</v>
      </c>
      <c r="R10292" t="s">
        <v>41261</v>
      </c>
      <c r="S10292" t="s">
        <v>41680</v>
      </c>
      <c r="T10292" t="s">
        <v>42712</v>
      </c>
      <c r="U10292" t="s">
        <v>51493</v>
      </c>
      <c r="W10292" t="s">
        <v>40680</v>
      </c>
      <c r="X10292" t="s">
        <v>41264</v>
      </c>
    </row>
    <row r="10293" spans="1:24">
      <c r="A10293">
        <f>HYPERLINK("https://www.philgeps.gov.ph/GEPSNONPILOT/Tender/SplashBidNoticeAbstractUI.aspx?menuIndex=3&amp;refID=7056868&amp;Result=3","7056868")</f>
        <v>0</v>
      </c>
      <c r="B10293" t="s">
        <v>2928</v>
      </c>
      <c r="C10293" t="s">
        <v>13208</v>
      </c>
      <c r="D10293" t="s">
        <v>16619</v>
      </c>
      <c r="E10293" t="s">
        <v>21263</v>
      </c>
      <c r="F10293" t="s">
        <v>28669</v>
      </c>
      <c r="G10293" t="s">
        <v>28675</v>
      </c>
      <c r="H10293" t="s">
        <v>28686</v>
      </c>
      <c r="I10293" t="s">
        <v>7352</v>
      </c>
      <c r="J10293" t="s">
        <v>35179</v>
      </c>
      <c r="K10293" t="s">
        <v>37213</v>
      </c>
      <c r="M10293" t="s">
        <v>40681</v>
      </c>
      <c r="N10293" t="s">
        <v>41249</v>
      </c>
      <c r="O10293" t="s">
        <v>41250</v>
      </c>
      <c r="P10293">
        <v>0</v>
      </c>
      <c r="Q10293">
        <v>3</v>
      </c>
      <c r="R10293" t="s">
        <v>41261</v>
      </c>
      <c r="S10293" t="s">
        <v>41680</v>
      </c>
      <c r="T10293" t="s">
        <v>42761</v>
      </c>
      <c r="U10293" t="s">
        <v>51494</v>
      </c>
      <c r="V10293" t="s">
        <v>55385</v>
      </c>
      <c r="W10293" t="s">
        <v>40681</v>
      </c>
      <c r="X10293" t="s">
        <v>41264</v>
      </c>
    </row>
    <row r="10294" spans="1:24">
      <c r="A10294">
        <f>HYPERLINK("https://www.philgeps.gov.ph/GEPSNONPILOT/Tender/SplashBidNoticeAbstractUI.aspx?menuIndex=3&amp;refID=7057313&amp;Result=3","7057313")</f>
        <v>0</v>
      </c>
      <c r="B10294" t="s">
        <v>697</v>
      </c>
      <c r="C10294" t="s">
        <v>13209</v>
      </c>
      <c r="D10294" t="s">
        <v>16684</v>
      </c>
      <c r="E10294" t="s">
        <v>17319</v>
      </c>
      <c r="F10294" t="s">
        <v>28669</v>
      </c>
      <c r="G10294" t="s">
        <v>28675</v>
      </c>
      <c r="H10294" t="s">
        <v>28686</v>
      </c>
      <c r="I10294" t="s">
        <v>28689</v>
      </c>
      <c r="J10294" t="s">
        <v>35180</v>
      </c>
      <c r="K10294" t="s">
        <v>37442</v>
      </c>
      <c r="M10294" t="s">
        <v>38202</v>
      </c>
      <c r="N10294" t="s">
        <v>41249</v>
      </c>
      <c r="O10294" t="s">
        <v>41250</v>
      </c>
      <c r="P10294">
        <v>0</v>
      </c>
      <c r="Q10294">
        <v>5</v>
      </c>
      <c r="R10294" t="s">
        <v>41261</v>
      </c>
      <c r="S10294" t="s">
        <v>41680</v>
      </c>
      <c r="T10294" t="s">
        <v>42692</v>
      </c>
      <c r="U10294" t="s">
        <v>51481</v>
      </c>
      <c r="W10294" t="s">
        <v>38202</v>
      </c>
      <c r="X10294" t="s">
        <v>41264</v>
      </c>
    </row>
    <row r="10295" spans="1:24">
      <c r="A10295">
        <f>HYPERLINK("https://www.philgeps.gov.ph/GEPSNONPILOT/Tender/SplashBidNoticeAbstractUI.aspx?menuIndex=3&amp;refID=7056888&amp;Result=3","7056888")</f>
        <v>0</v>
      </c>
      <c r="B10295" t="s">
        <v>2120</v>
      </c>
      <c r="C10295" t="s">
        <v>13210</v>
      </c>
      <c r="D10295" t="s">
        <v>16624</v>
      </c>
      <c r="E10295" t="s">
        <v>25651</v>
      </c>
      <c r="F10295" t="s">
        <v>28669</v>
      </c>
      <c r="G10295" t="s">
        <v>28675</v>
      </c>
      <c r="H10295" t="s">
        <v>28686</v>
      </c>
      <c r="I10295" t="s">
        <v>28689</v>
      </c>
      <c r="J10295" t="s">
        <v>35181</v>
      </c>
      <c r="K10295" t="s">
        <v>37334</v>
      </c>
      <c r="M10295" t="s">
        <v>39764</v>
      </c>
      <c r="N10295" t="s">
        <v>41249</v>
      </c>
      <c r="O10295" t="s">
        <v>41250</v>
      </c>
      <c r="P10295">
        <v>0</v>
      </c>
      <c r="Q10295">
        <v>0</v>
      </c>
      <c r="R10295" t="s">
        <v>41261</v>
      </c>
      <c r="S10295" t="s">
        <v>41680</v>
      </c>
      <c r="T10295" t="s">
        <v>42836</v>
      </c>
      <c r="U10295" t="s">
        <v>48482</v>
      </c>
      <c r="V10295" t="s">
        <v>55382</v>
      </c>
      <c r="W10295" t="s">
        <v>39764</v>
      </c>
      <c r="X10295" t="s">
        <v>41264</v>
      </c>
    </row>
    <row r="10296" spans="1:24">
      <c r="A10296">
        <f>HYPERLINK("https://www.philgeps.gov.ph/GEPSNONPILOT/Tender/SplashBidNoticeAbstractUI.aspx?menuIndex=3&amp;refID=7056531&amp;Result=3","7056531")</f>
        <v>0</v>
      </c>
      <c r="B10296" t="s">
        <v>2818</v>
      </c>
      <c r="C10296" t="s">
        <v>13211</v>
      </c>
      <c r="D10296" t="s">
        <v>16686</v>
      </c>
      <c r="E10296" t="s">
        <v>25652</v>
      </c>
      <c r="F10296" t="s">
        <v>28669</v>
      </c>
      <c r="G10296" t="s">
        <v>28675</v>
      </c>
      <c r="H10296" t="s">
        <v>28686</v>
      </c>
      <c r="I10296" t="s">
        <v>28689</v>
      </c>
      <c r="J10296" t="s">
        <v>35182</v>
      </c>
      <c r="K10296" t="s">
        <v>37443</v>
      </c>
      <c r="M10296" t="s">
        <v>40548</v>
      </c>
      <c r="N10296" t="s">
        <v>41249</v>
      </c>
      <c r="O10296" t="s">
        <v>41250</v>
      </c>
      <c r="P10296">
        <v>0</v>
      </c>
      <c r="Q10296">
        <v>0</v>
      </c>
      <c r="R10296" t="s">
        <v>41261</v>
      </c>
      <c r="S10296" t="s">
        <v>41680</v>
      </c>
      <c r="T10296" t="s">
        <v>43093</v>
      </c>
      <c r="U10296" t="s">
        <v>51495</v>
      </c>
      <c r="W10296" t="s">
        <v>56014</v>
      </c>
      <c r="X10296" t="s">
        <v>41264</v>
      </c>
    </row>
    <row r="10297" spans="1:24">
      <c r="A10297">
        <f>HYPERLINK("https://www.philgeps.gov.ph/GEPSNONPILOT/Tender/SplashBidNoticeAbstractUI.aspx?menuIndex=3&amp;refID=7057339&amp;Result=3","7057339")</f>
        <v>0</v>
      </c>
      <c r="B10297" t="s">
        <v>2927</v>
      </c>
      <c r="C10297" t="s">
        <v>13212</v>
      </c>
      <c r="D10297" t="s">
        <v>16647</v>
      </c>
      <c r="E10297" t="s">
        <v>25653</v>
      </c>
      <c r="F10297" t="s">
        <v>28669</v>
      </c>
      <c r="G10297" t="s">
        <v>28675</v>
      </c>
      <c r="H10297" t="s">
        <v>28686</v>
      </c>
      <c r="I10297" t="s">
        <v>28689</v>
      </c>
      <c r="J10297" t="s">
        <v>35183</v>
      </c>
      <c r="K10297" t="s">
        <v>37305</v>
      </c>
      <c r="M10297" t="s">
        <v>40680</v>
      </c>
      <c r="N10297" t="s">
        <v>41249</v>
      </c>
      <c r="O10297" t="s">
        <v>41250</v>
      </c>
      <c r="P10297">
        <v>0</v>
      </c>
      <c r="Q10297">
        <v>56</v>
      </c>
      <c r="R10297" t="s">
        <v>41261</v>
      </c>
      <c r="S10297" t="s">
        <v>41680</v>
      </c>
      <c r="T10297" t="s">
        <v>42712</v>
      </c>
      <c r="U10297" t="s">
        <v>51496</v>
      </c>
      <c r="W10297" t="s">
        <v>40680</v>
      </c>
      <c r="X10297" t="s">
        <v>41264</v>
      </c>
    </row>
    <row r="10298" spans="1:24">
      <c r="A10298">
        <f>HYPERLINK("https://www.philgeps.gov.ph/GEPSNONPILOT/Tender/SplashBidNoticeAbstractUI.aspx?menuIndex=3&amp;refID=7057206&amp;Result=3","7057206")</f>
        <v>0</v>
      </c>
      <c r="B10298" t="s">
        <v>325</v>
      </c>
      <c r="C10298" t="s">
        <v>13213</v>
      </c>
      <c r="D10298" t="s">
        <v>16661</v>
      </c>
      <c r="E10298" t="s">
        <v>21294</v>
      </c>
      <c r="F10298" t="s">
        <v>28669</v>
      </c>
      <c r="G10298" t="s">
        <v>28675</v>
      </c>
      <c r="H10298" t="s">
        <v>9998</v>
      </c>
      <c r="I10298" t="s">
        <v>28687</v>
      </c>
      <c r="J10298" t="s">
        <v>35184</v>
      </c>
      <c r="K10298" t="s">
        <v>37209</v>
      </c>
      <c r="M10298" t="s">
        <v>40682</v>
      </c>
      <c r="N10298" t="s">
        <v>41249</v>
      </c>
      <c r="O10298" t="s">
        <v>41250</v>
      </c>
      <c r="P10298">
        <v>0</v>
      </c>
      <c r="Q10298">
        <v>20</v>
      </c>
      <c r="R10298" t="s">
        <v>41261</v>
      </c>
      <c r="S10298" t="s">
        <v>41680</v>
      </c>
      <c r="T10298" t="s">
        <v>42836</v>
      </c>
      <c r="U10298" t="s">
        <v>51497</v>
      </c>
      <c r="W10298" t="s">
        <v>40682</v>
      </c>
      <c r="X10298" t="s">
        <v>41264</v>
      </c>
    </row>
    <row r="10299" spans="1:24">
      <c r="A10299">
        <f>HYPERLINK("https://www.philgeps.gov.ph/GEPSNONPILOT/Tender/SplashBidNoticeAbstractUI.aspx?menuIndex=3&amp;refID=7057277&amp;Result=3","7057277")</f>
        <v>0</v>
      </c>
      <c r="B10299" t="s">
        <v>1684</v>
      </c>
      <c r="C10299" t="s">
        <v>13214</v>
      </c>
      <c r="D10299" t="s">
        <v>16622</v>
      </c>
      <c r="E10299" t="s">
        <v>16869</v>
      </c>
      <c r="F10299" t="s">
        <v>28669</v>
      </c>
      <c r="G10299" t="s">
        <v>28675</v>
      </c>
      <c r="H10299" t="s">
        <v>28686</v>
      </c>
      <c r="I10299" t="s">
        <v>28689</v>
      </c>
      <c r="J10299" t="s">
        <v>31461</v>
      </c>
      <c r="K10299" t="s">
        <v>37215</v>
      </c>
      <c r="M10299" t="s">
        <v>39278</v>
      </c>
      <c r="N10299" t="s">
        <v>41249</v>
      </c>
      <c r="O10299" t="s">
        <v>41250</v>
      </c>
      <c r="P10299">
        <v>0</v>
      </c>
      <c r="Q10299">
        <v>0</v>
      </c>
      <c r="R10299" t="s">
        <v>41261</v>
      </c>
      <c r="S10299" t="s">
        <v>41680</v>
      </c>
      <c r="T10299" t="s">
        <v>42918</v>
      </c>
      <c r="U10299" t="s">
        <v>51498</v>
      </c>
      <c r="V10299" t="s">
        <v>54767</v>
      </c>
      <c r="W10299" t="s">
        <v>39278</v>
      </c>
      <c r="X10299" t="s">
        <v>41264</v>
      </c>
    </row>
    <row r="10300" spans="1:24">
      <c r="A10300">
        <f>HYPERLINK("https://www.philgeps.gov.ph/GEPSNONPILOT/Tender/SplashBidNoticeAbstractUI.aspx?menuIndex=3&amp;refID=7057455&amp;Result=3","7057455")</f>
        <v>0</v>
      </c>
      <c r="B10300" t="s">
        <v>2929</v>
      </c>
      <c r="C10300" t="s">
        <v>13215</v>
      </c>
      <c r="D10300" t="s">
        <v>16654</v>
      </c>
      <c r="E10300" t="s">
        <v>25654</v>
      </c>
      <c r="F10300" t="s">
        <v>28669</v>
      </c>
      <c r="G10300" t="s">
        <v>28675</v>
      </c>
      <c r="H10300" t="s">
        <v>28684</v>
      </c>
      <c r="I10300" t="s">
        <v>28699</v>
      </c>
      <c r="J10300" t="s">
        <v>35185</v>
      </c>
      <c r="K10300" t="s">
        <v>37205</v>
      </c>
      <c r="M10300" t="s">
        <v>40683</v>
      </c>
      <c r="N10300" t="s">
        <v>41249</v>
      </c>
      <c r="O10300" t="s">
        <v>41250</v>
      </c>
      <c r="P10300">
        <v>0</v>
      </c>
      <c r="Q10300">
        <v>2</v>
      </c>
      <c r="R10300" t="s">
        <v>41261</v>
      </c>
      <c r="S10300" t="s">
        <v>41680</v>
      </c>
      <c r="T10300" t="s">
        <v>42739</v>
      </c>
      <c r="U10300" t="s">
        <v>51499</v>
      </c>
      <c r="W10300" t="s">
        <v>40683</v>
      </c>
      <c r="X10300" t="s">
        <v>41264</v>
      </c>
    </row>
    <row r="10301" spans="1:24">
      <c r="A10301">
        <f>HYPERLINK("https://www.philgeps.gov.ph/GEPSNONPILOT/Tender/SplashBidNoticeAbstractUI.aspx?menuIndex=3&amp;refID=7057384&amp;Result=3","7057384")</f>
        <v>0</v>
      </c>
      <c r="B10301" t="s">
        <v>2923</v>
      </c>
      <c r="C10301" t="s">
        <v>13216</v>
      </c>
      <c r="D10301" t="s">
        <v>16635</v>
      </c>
      <c r="E10301" t="s">
        <v>25655</v>
      </c>
      <c r="F10301" t="s">
        <v>28669</v>
      </c>
      <c r="G10301" t="s">
        <v>28675</v>
      </c>
      <c r="H10301" t="s">
        <v>28686</v>
      </c>
      <c r="I10301" t="s">
        <v>28689</v>
      </c>
      <c r="J10301" t="s">
        <v>28924</v>
      </c>
      <c r="K10301" t="s">
        <v>37219</v>
      </c>
      <c r="M10301" t="s">
        <v>40676</v>
      </c>
      <c r="N10301" t="s">
        <v>41249</v>
      </c>
      <c r="O10301" t="s">
        <v>41250</v>
      </c>
      <c r="P10301">
        <v>0</v>
      </c>
      <c r="Q10301">
        <v>1</v>
      </c>
      <c r="R10301" t="s">
        <v>41261</v>
      </c>
      <c r="S10301" t="s">
        <v>41680</v>
      </c>
      <c r="T10301" t="s">
        <v>42659</v>
      </c>
      <c r="U10301" t="s">
        <v>51500</v>
      </c>
      <c r="W10301" t="s">
        <v>40676</v>
      </c>
      <c r="X10301" t="s">
        <v>41264</v>
      </c>
    </row>
    <row r="10302" spans="1:24">
      <c r="A10302">
        <f>HYPERLINK("https://www.philgeps.gov.ph/GEPSNONPILOT/Tender/SplashBidNoticeAbstractUI.aspx?menuIndex=3&amp;refID=7057338&amp;Result=3","7057338")</f>
        <v>0</v>
      </c>
      <c r="B10302" t="s">
        <v>33</v>
      </c>
      <c r="C10302" t="s">
        <v>13217</v>
      </c>
      <c r="D10302" t="s">
        <v>16616</v>
      </c>
      <c r="E10302" t="s">
        <v>25656</v>
      </c>
      <c r="F10302" t="s">
        <v>28669</v>
      </c>
      <c r="G10302" t="s">
        <v>28675</v>
      </c>
      <c r="H10302" t="s">
        <v>9998</v>
      </c>
      <c r="I10302" t="s">
        <v>5286</v>
      </c>
      <c r="J10302" t="s">
        <v>35186</v>
      </c>
      <c r="K10302" t="s">
        <v>37216</v>
      </c>
      <c r="M10302" t="s">
        <v>37727</v>
      </c>
      <c r="N10302" t="s">
        <v>41249</v>
      </c>
      <c r="O10302" t="s">
        <v>41250</v>
      </c>
      <c r="P10302">
        <v>0</v>
      </c>
      <c r="Q10302">
        <v>2</v>
      </c>
      <c r="R10302" t="s">
        <v>41261</v>
      </c>
      <c r="S10302" t="s">
        <v>41680</v>
      </c>
      <c r="T10302" t="s">
        <v>42758</v>
      </c>
      <c r="U10302" t="s">
        <v>51501</v>
      </c>
      <c r="V10302" t="s">
        <v>54251</v>
      </c>
      <c r="W10302" t="s">
        <v>37727</v>
      </c>
      <c r="X10302" t="s">
        <v>41264</v>
      </c>
    </row>
    <row r="10303" spans="1:24">
      <c r="A10303">
        <f>HYPERLINK("https://www.philgeps.gov.ph/GEPSNONPILOT/Tender/SplashBidNoticeAbstractUI.aspx?menuIndex=3&amp;refID=7057406&amp;Result=3","7057406")</f>
        <v>0</v>
      </c>
      <c r="B10303" t="s">
        <v>2927</v>
      </c>
      <c r="C10303" t="s">
        <v>13218</v>
      </c>
      <c r="D10303" t="s">
        <v>16647</v>
      </c>
      <c r="E10303" t="s">
        <v>25657</v>
      </c>
      <c r="F10303" t="s">
        <v>28669</v>
      </c>
      <c r="G10303" t="s">
        <v>28675</v>
      </c>
      <c r="H10303" t="s">
        <v>28686</v>
      </c>
      <c r="I10303" t="s">
        <v>28689</v>
      </c>
      <c r="J10303" t="s">
        <v>28847</v>
      </c>
      <c r="K10303" t="s">
        <v>37402</v>
      </c>
      <c r="M10303" t="s">
        <v>40680</v>
      </c>
      <c r="N10303" t="s">
        <v>41249</v>
      </c>
      <c r="O10303" t="s">
        <v>41250</v>
      </c>
      <c r="P10303">
        <v>0</v>
      </c>
      <c r="Q10303">
        <v>55</v>
      </c>
      <c r="R10303" t="s">
        <v>41261</v>
      </c>
      <c r="S10303" t="s">
        <v>41680</v>
      </c>
      <c r="T10303" t="s">
        <v>42712</v>
      </c>
      <c r="U10303" t="s">
        <v>51502</v>
      </c>
      <c r="W10303" t="s">
        <v>40680</v>
      </c>
      <c r="X10303" t="s">
        <v>41264</v>
      </c>
    </row>
    <row r="10304" spans="1:24">
      <c r="A10304">
        <f>HYPERLINK("https://www.philgeps.gov.ph/GEPSNONPILOT/Tender/SplashBidNoticeAbstractUI.aspx?menuIndex=3&amp;refID=7057269&amp;Result=3","7057269")</f>
        <v>0</v>
      </c>
      <c r="B10304" t="s">
        <v>2883</v>
      </c>
      <c r="C10304" t="s">
        <v>13219</v>
      </c>
      <c r="D10304" t="s">
        <v>16670</v>
      </c>
      <c r="E10304" t="s">
        <v>25658</v>
      </c>
      <c r="F10304" t="s">
        <v>28669</v>
      </c>
      <c r="G10304" t="s">
        <v>28675</v>
      </c>
      <c r="H10304" t="s">
        <v>28686</v>
      </c>
      <c r="I10304" t="s">
        <v>28689</v>
      </c>
      <c r="J10304" t="s">
        <v>35187</v>
      </c>
      <c r="K10304" t="s">
        <v>37444</v>
      </c>
      <c r="M10304" t="s">
        <v>40630</v>
      </c>
      <c r="N10304" t="s">
        <v>41249</v>
      </c>
      <c r="O10304" t="s">
        <v>41250</v>
      </c>
      <c r="P10304">
        <v>0</v>
      </c>
      <c r="Q10304">
        <v>8</v>
      </c>
      <c r="R10304" t="s">
        <v>41261</v>
      </c>
      <c r="S10304" t="s">
        <v>41680</v>
      </c>
      <c r="T10304" t="s">
        <v>42760</v>
      </c>
      <c r="U10304" t="s">
        <v>51503</v>
      </c>
      <c r="W10304" t="s">
        <v>40630</v>
      </c>
      <c r="X10304" t="s">
        <v>41264</v>
      </c>
    </row>
    <row r="10305" spans="1:24">
      <c r="A10305">
        <f>HYPERLINK("https://www.philgeps.gov.ph/GEPSNONPILOT/Tender/SplashBidNoticeAbstractUI.aspx?menuIndex=3&amp;refID=7057312&amp;Result=3","7057312")</f>
        <v>0</v>
      </c>
      <c r="B10305" t="s">
        <v>2927</v>
      </c>
      <c r="C10305" t="s">
        <v>13220</v>
      </c>
      <c r="D10305" t="s">
        <v>16647</v>
      </c>
      <c r="E10305" t="s">
        <v>25659</v>
      </c>
      <c r="F10305" t="s">
        <v>28669</v>
      </c>
      <c r="G10305" t="s">
        <v>28675</v>
      </c>
      <c r="H10305" t="s">
        <v>28686</v>
      </c>
      <c r="I10305" t="s">
        <v>28689</v>
      </c>
      <c r="J10305" t="s">
        <v>35188</v>
      </c>
      <c r="K10305" t="s">
        <v>37373</v>
      </c>
      <c r="M10305" t="s">
        <v>40680</v>
      </c>
      <c r="N10305" t="s">
        <v>41249</v>
      </c>
      <c r="O10305" t="s">
        <v>41250</v>
      </c>
      <c r="P10305">
        <v>0</v>
      </c>
      <c r="Q10305">
        <v>57</v>
      </c>
      <c r="R10305" t="s">
        <v>41261</v>
      </c>
      <c r="S10305" t="s">
        <v>41680</v>
      </c>
      <c r="T10305" t="s">
        <v>42712</v>
      </c>
      <c r="U10305" t="s">
        <v>51504</v>
      </c>
      <c r="W10305" t="s">
        <v>40680</v>
      </c>
      <c r="X10305" t="s">
        <v>41264</v>
      </c>
    </row>
    <row r="10306" spans="1:24">
      <c r="A10306">
        <f>HYPERLINK("https://www.philgeps.gov.ph/GEPSNONPILOT/Tender/SplashBidNoticeAbstractUI.aspx?menuIndex=3&amp;refID=7057257&amp;Result=3","7057257")</f>
        <v>0</v>
      </c>
      <c r="B10306" t="s">
        <v>697</v>
      </c>
      <c r="C10306" t="s">
        <v>13221</v>
      </c>
      <c r="D10306" t="s">
        <v>16621</v>
      </c>
      <c r="E10306" t="s">
        <v>18990</v>
      </c>
      <c r="F10306" t="s">
        <v>28669</v>
      </c>
      <c r="G10306" t="s">
        <v>28675</v>
      </c>
      <c r="H10306" t="s">
        <v>28686</v>
      </c>
      <c r="I10306" t="s">
        <v>28689</v>
      </c>
      <c r="J10306" t="s">
        <v>35189</v>
      </c>
      <c r="K10306" t="s">
        <v>37445</v>
      </c>
      <c r="M10306" t="s">
        <v>38202</v>
      </c>
      <c r="N10306" t="s">
        <v>41249</v>
      </c>
      <c r="O10306" t="s">
        <v>41250</v>
      </c>
      <c r="P10306">
        <v>0</v>
      </c>
      <c r="Q10306">
        <v>7</v>
      </c>
      <c r="R10306" t="s">
        <v>41261</v>
      </c>
      <c r="S10306" t="s">
        <v>41680</v>
      </c>
      <c r="T10306" t="s">
        <v>42692</v>
      </c>
      <c r="U10306" t="s">
        <v>51481</v>
      </c>
      <c r="W10306" t="s">
        <v>38202</v>
      </c>
      <c r="X10306" t="s">
        <v>41264</v>
      </c>
    </row>
    <row r="10307" spans="1:24">
      <c r="A10307">
        <f>HYPERLINK("https://www.philgeps.gov.ph/GEPSNONPILOT/Tender/SplashBidNoticeAbstractUI.aspx?menuIndex=3&amp;refID=7057227&amp;Result=3","7057227")</f>
        <v>0</v>
      </c>
      <c r="B10307" t="s">
        <v>697</v>
      </c>
      <c r="C10307" t="s">
        <v>13222</v>
      </c>
      <c r="D10307" t="s">
        <v>16621</v>
      </c>
      <c r="E10307" t="s">
        <v>22208</v>
      </c>
      <c r="F10307" t="s">
        <v>28669</v>
      </c>
      <c r="G10307" t="s">
        <v>28675</v>
      </c>
      <c r="H10307" t="s">
        <v>28686</v>
      </c>
      <c r="I10307" t="s">
        <v>28689</v>
      </c>
      <c r="J10307" t="s">
        <v>35190</v>
      </c>
      <c r="K10307" t="s">
        <v>37445</v>
      </c>
      <c r="M10307" t="s">
        <v>38202</v>
      </c>
      <c r="N10307" t="s">
        <v>41249</v>
      </c>
      <c r="O10307" t="s">
        <v>41250</v>
      </c>
      <c r="P10307">
        <v>0</v>
      </c>
      <c r="Q10307">
        <v>7</v>
      </c>
      <c r="R10307" t="s">
        <v>41261</v>
      </c>
      <c r="S10307" t="s">
        <v>41680</v>
      </c>
      <c r="T10307" t="s">
        <v>42692</v>
      </c>
      <c r="U10307" t="s">
        <v>51481</v>
      </c>
      <c r="W10307" t="s">
        <v>38202</v>
      </c>
      <c r="X10307" t="s">
        <v>41264</v>
      </c>
    </row>
    <row r="10308" spans="1:24">
      <c r="A10308">
        <f>HYPERLINK("https://www.philgeps.gov.ph/GEPSNONPILOT/Tender/SplashBidNoticeAbstractUI.aspx?menuIndex=3&amp;refID=7057447&amp;Result=3","7057447")</f>
        <v>0</v>
      </c>
      <c r="B10308" t="s">
        <v>2927</v>
      </c>
      <c r="C10308" t="s">
        <v>13223</v>
      </c>
      <c r="D10308" t="s">
        <v>16647</v>
      </c>
      <c r="E10308" t="s">
        <v>25660</v>
      </c>
      <c r="F10308" t="s">
        <v>28669</v>
      </c>
      <c r="G10308" t="s">
        <v>28675</v>
      </c>
      <c r="H10308" t="s">
        <v>28686</v>
      </c>
      <c r="I10308" t="s">
        <v>28689</v>
      </c>
      <c r="J10308" t="s">
        <v>35191</v>
      </c>
      <c r="K10308" t="s">
        <v>37269</v>
      </c>
      <c r="M10308" t="s">
        <v>40680</v>
      </c>
      <c r="N10308" t="s">
        <v>41249</v>
      </c>
      <c r="O10308" t="s">
        <v>41250</v>
      </c>
      <c r="P10308">
        <v>0</v>
      </c>
      <c r="Q10308">
        <v>56</v>
      </c>
      <c r="R10308" t="s">
        <v>41261</v>
      </c>
      <c r="S10308" t="s">
        <v>41680</v>
      </c>
      <c r="T10308" t="s">
        <v>42712</v>
      </c>
      <c r="U10308" t="s">
        <v>51505</v>
      </c>
      <c r="W10308" t="s">
        <v>40680</v>
      </c>
      <c r="X10308" t="s">
        <v>41264</v>
      </c>
    </row>
    <row r="10309" spans="1:24">
      <c r="A10309">
        <f>HYPERLINK("https://www.philgeps.gov.ph/GEPSNONPILOT/Tender/SplashBidNoticeAbstractUI.aspx?menuIndex=3&amp;refID=7057426&amp;Result=3","7057426")</f>
        <v>0</v>
      </c>
      <c r="B10309" t="s">
        <v>2927</v>
      </c>
      <c r="C10309" t="s">
        <v>13224</v>
      </c>
      <c r="D10309" t="s">
        <v>16647</v>
      </c>
      <c r="E10309" t="s">
        <v>25661</v>
      </c>
      <c r="F10309" t="s">
        <v>28669</v>
      </c>
      <c r="G10309" t="s">
        <v>28675</v>
      </c>
      <c r="H10309" t="s">
        <v>28686</v>
      </c>
      <c r="I10309" t="s">
        <v>28689</v>
      </c>
      <c r="J10309" t="s">
        <v>28847</v>
      </c>
      <c r="K10309" t="s">
        <v>37441</v>
      </c>
      <c r="M10309" t="s">
        <v>40680</v>
      </c>
      <c r="N10309" t="s">
        <v>41249</v>
      </c>
      <c r="O10309" t="s">
        <v>41250</v>
      </c>
      <c r="P10309">
        <v>0</v>
      </c>
      <c r="Q10309">
        <v>53</v>
      </c>
      <c r="R10309" t="s">
        <v>41261</v>
      </c>
      <c r="S10309" t="s">
        <v>41680</v>
      </c>
      <c r="T10309" t="s">
        <v>42712</v>
      </c>
      <c r="U10309" t="s">
        <v>51506</v>
      </c>
      <c r="W10309" t="s">
        <v>40680</v>
      </c>
      <c r="X10309" t="s">
        <v>41264</v>
      </c>
    </row>
    <row r="10310" spans="1:24">
      <c r="A10310">
        <f>HYPERLINK("https://www.philgeps.gov.ph/GEPSNONPILOT/Tender/SplashBidNoticeAbstractUI.aspx?menuIndex=3&amp;refID=7057235&amp;Result=3","7057235")</f>
        <v>0</v>
      </c>
      <c r="B10310" t="s">
        <v>791</v>
      </c>
      <c r="C10310" t="s">
        <v>13196</v>
      </c>
      <c r="D10310" t="s">
        <v>16679</v>
      </c>
      <c r="E10310" t="s">
        <v>20725</v>
      </c>
      <c r="F10310" t="s">
        <v>28669</v>
      </c>
      <c r="G10310" t="s">
        <v>28675</v>
      </c>
      <c r="H10310" t="s">
        <v>9998</v>
      </c>
      <c r="I10310" t="s">
        <v>5286</v>
      </c>
      <c r="J10310" t="s">
        <v>35192</v>
      </c>
      <c r="K10310" t="s">
        <v>37220</v>
      </c>
      <c r="M10310" t="s">
        <v>38305</v>
      </c>
      <c r="N10310" t="s">
        <v>41249</v>
      </c>
      <c r="O10310" t="s">
        <v>41250</v>
      </c>
      <c r="P10310">
        <v>0</v>
      </c>
      <c r="Q10310">
        <v>9</v>
      </c>
      <c r="R10310" t="s">
        <v>41261</v>
      </c>
      <c r="S10310" t="s">
        <v>41680</v>
      </c>
      <c r="T10310" t="s">
        <v>43098</v>
      </c>
      <c r="U10310" t="s">
        <v>51507</v>
      </c>
      <c r="W10310" t="s">
        <v>38305</v>
      </c>
      <c r="X10310" t="s">
        <v>41264</v>
      </c>
    </row>
    <row r="10311" spans="1:24">
      <c r="A10311">
        <f>HYPERLINK("https://www.philgeps.gov.ph/GEPSNONPILOT/Tender/SplashBidNoticeAbstractUI.aspx?menuIndex=3&amp;refID=7057632&amp;Result=3","7057632")</f>
        <v>0</v>
      </c>
      <c r="B10311" t="s">
        <v>1828</v>
      </c>
      <c r="C10311" t="s">
        <v>13225</v>
      </c>
      <c r="D10311" t="s">
        <v>16622</v>
      </c>
      <c r="E10311" t="s">
        <v>25662</v>
      </c>
      <c r="F10311" t="s">
        <v>28669</v>
      </c>
      <c r="G10311" t="s">
        <v>28675</v>
      </c>
      <c r="H10311" t="s">
        <v>28684</v>
      </c>
      <c r="I10311" t="s">
        <v>28701</v>
      </c>
      <c r="J10311" t="s">
        <v>35193</v>
      </c>
      <c r="K10311" t="s">
        <v>37326</v>
      </c>
      <c r="M10311" t="s">
        <v>39441</v>
      </c>
      <c r="N10311" t="s">
        <v>41249</v>
      </c>
      <c r="O10311" t="s">
        <v>41250</v>
      </c>
      <c r="P10311">
        <v>0</v>
      </c>
      <c r="Q10311">
        <v>4</v>
      </c>
      <c r="R10311" t="s">
        <v>41261</v>
      </c>
      <c r="S10311" t="s">
        <v>41680</v>
      </c>
      <c r="T10311" t="s">
        <v>43051</v>
      </c>
      <c r="U10311" t="s">
        <v>51508</v>
      </c>
      <c r="W10311" t="s">
        <v>39441</v>
      </c>
      <c r="X10311" t="s">
        <v>41264</v>
      </c>
    </row>
    <row r="10312" spans="1:24">
      <c r="A10312">
        <f>HYPERLINK("https://www.philgeps.gov.ph/GEPSNONPILOT/Tender/SplashBidNoticeAbstractUI.aspx?menuIndex=3&amp;refID=7057271&amp;Result=3","7057271")</f>
        <v>0</v>
      </c>
      <c r="B10312" t="s">
        <v>791</v>
      </c>
      <c r="C10312" t="s">
        <v>13226</v>
      </c>
      <c r="D10312" t="s">
        <v>16679</v>
      </c>
      <c r="E10312" t="s">
        <v>25663</v>
      </c>
      <c r="F10312" t="s">
        <v>28669</v>
      </c>
      <c r="G10312" t="s">
        <v>28675</v>
      </c>
      <c r="H10312" t="s">
        <v>28686</v>
      </c>
      <c r="I10312" t="s">
        <v>28689</v>
      </c>
      <c r="J10312" t="s">
        <v>30575</v>
      </c>
      <c r="K10312" t="s">
        <v>37220</v>
      </c>
      <c r="M10312" t="s">
        <v>38305</v>
      </c>
      <c r="N10312" t="s">
        <v>41249</v>
      </c>
      <c r="O10312" t="s">
        <v>41250</v>
      </c>
      <c r="P10312">
        <v>0</v>
      </c>
      <c r="Q10312">
        <v>5</v>
      </c>
      <c r="R10312" t="s">
        <v>41261</v>
      </c>
      <c r="S10312" t="s">
        <v>41680</v>
      </c>
      <c r="T10312" t="s">
        <v>43098</v>
      </c>
      <c r="U10312" t="s">
        <v>51509</v>
      </c>
      <c r="W10312" t="s">
        <v>38305</v>
      </c>
      <c r="X10312" t="s">
        <v>41264</v>
      </c>
    </row>
    <row r="10313" spans="1:24">
      <c r="A10313">
        <f>HYPERLINK("https://www.philgeps.gov.ph/GEPSNONPILOT/Tender/SplashBidNoticeAbstractUI.aspx?menuIndex=3&amp;refID=7056582&amp;Result=3","7056582")</f>
        <v>0</v>
      </c>
      <c r="B10313" t="s">
        <v>2818</v>
      </c>
      <c r="C10313" t="s">
        <v>13227</v>
      </c>
      <c r="D10313" t="s">
        <v>16686</v>
      </c>
      <c r="E10313" t="s">
        <v>25664</v>
      </c>
      <c r="F10313" t="s">
        <v>28669</v>
      </c>
      <c r="G10313" t="s">
        <v>28675</v>
      </c>
      <c r="H10313" t="s">
        <v>28686</v>
      </c>
      <c r="I10313" t="s">
        <v>28689</v>
      </c>
      <c r="J10313" t="s">
        <v>35194</v>
      </c>
      <c r="K10313" t="s">
        <v>37446</v>
      </c>
      <c r="M10313" t="s">
        <v>40548</v>
      </c>
      <c r="N10313" t="s">
        <v>41249</v>
      </c>
      <c r="O10313" t="s">
        <v>41250</v>
      </c>
      <c r="P10313">
        <v>0</v>
      </c>
      <c r="Q10313">
        <v>0</v>
      </c>
      <c r="R10313" t="s">
        <v>41261</v>
      </c>
      <c r="S10313" t="s">
        <v>41680</v>
      </c>
      <c r="T10313" t="s">
        <v>43093</v>
      </c>
      <c r="U10313" t="s">
        <v>51510</v>
      </c>
      <c r="W10313" t="s">
        <v>56014</v>
      </c>
      <c r="X10313" t="s">
        <v>41264</v>
      </c>
    </row>
    <row r="10314" spans="1:24">
      <c r="A10314">
        <f>HYPERLINK("https://www.philgeps.gov.ph/GEPSNONPILOT/Tender/SplashBidNoticeAbstractUI.aspx?menuIndex=3&amp;refID=7057602&amp;Result=3","7057602")</f>
        <v>0</v>
      </c>
      <c r="B10314" t="s">
        <v>2926</v>
      </c>
      <c r="C10314" t="s">
        <v>13228</v>
      </c>
      <c r="D10314" t="s">
        <v>16608</v>
      </c>
      <c r="E10314" t="s">
        <v>17435</v>
      </c>
      <c r="F10314" t="s">
        <v>28671</v>
      </c>
      <c r="G10314" t="s">
        <v>28675</v>
      </c>
      <c r="H10314" t="s">
        <v>9998</v>
      </c>
      <c r="I10314" t="s">
        <v>3658</v>
      </c>
      <c r="J10314" t="s">
        <v>29112</v>
      </c>
      <c r="K10314" t="s">
        <v>37206</v>
      </c>
      <c r="M10314" t="s">
        <v>40679</v>
      </c>
      <c r="N10314" t="s">
        <v>41249</v>
      </c>
      <c r="O10314" t="s">
        <v>41250</v>
      </c>
      <c r="P10314">
        <v>0</v>
      </c>
      <c r="Q10314">
        <v>5</v>
      </c>
      <c r="R10314" t="s">
        <v>41261</v>
      </c>
      <c r="S10314" t="s">
        <v>41680</v>
      </c>
      <c r="T10314" t="s">
        <v>43114</v>
      </c>
      <c r="U10314" t="s">
        <v>51511</v>
      </c>
      <c r="W10314" t="s">
        <v>40679</v>
      </c>
      <c r="X10314" t="s">
        <v>41264</v>
      </c>
    </row>
    <row r="10315" spans="1:24">
      <c r="A10315">
        <f>HYPERLINK("https://www.philgeps.gov.ph/GEPSNONPILOT/Tender/SplashBidNoticeAbstractUI.aspx?menuIndex=3&amp;refID=7057589&amp;Result=3","7057589")</f>
        <v>0</v>
      </c>
      <c r="B10315" t="s">
        <v>33</v>
      </c>
      <c r="C10315" t="s">
        <v>13229</v>
      </c>
      <c r="D10315" t="s">
        <v>16616</v>
      </c>
      <c r="E10315" t="s">
        <v>25665</v>
      </c>
      <c r="F10315" t="s">
        <v>28669</v>
      </c>
      <c r="G10315" t="s">
        <v>28675</v>
      </c>
      <c r="H10315" t="s">
        <v>9998</v>
      </c>
      <c r="I10315" t="s">
        <v>5286</v>
      </c>
      <c r="J10315" t="s">
        <v>35195</v>
      </c>
      <c r="K10315" t="s">
        <v>37216</v>
      </c>
      <c r="M10315" t="s">
        <v>37727</v>
      </c>
      <c r="N10315" t="s">
        <v>41249</v>
      </c>
      <c r="O10315" t="s">
        <v>41250</v>
      </c>
      <c r="P10315">
        <v>0</v>
      </c>
      <c r="Q10315">
        <v>1</v>
      </c>
      <c r="R10315" t="s">
        <v>41261</v>
      </c>
      <c r="S10315" t="s">
        <v>41680</v>
      </c>
      <c r="T10315" t="s">
        <v>42729</v>
      </c>
      <c r="U10315" t="s">
        <v>51512</v>
      </c>
      <c r="V10315" t="s">
        <v>54251</v>
      </c>
      <c r="W10315" t="s">
        <v>37727</v>
      </c>
      <c r="X10315" t="s">
        <v>41264</v>
      </c>
    </row>
    <row r="10316" spans="1:24">
      <c r="A10316">
        <f>HYPERLINK("https://www.philgeps.gov.ph/GEPSNONPILOT/Tender/SplashBidNoticeAbstractUI.aspx?menuIndex=3&amp;refID=7057286&amp;Result=3","7057286")</f>
        <v>0</v>
      </c>
      <c r="B10316" t="s">
        <v>697</v>
      </c>
      <c r="C10316" t="s">
        <v>13230</v>
      </c>
      <c r="D10316" t="s">
        <v>16684</v>
      </c>
      <c r="E10316" t="s">
        <v>17202</v>
      </c>
      <c r="F10316" t="s">
        <v>28669</v>
      </c>
      <c r="G10316" t="s">
        <v>28675</v>
      </c>
      <c r="H10316" t="s">
        <v>28686</v>
      </c>
      <c r="I10316" t="s">
        <v>28689</v>
      </c>
      <c r="J10316" t="s">
        <v>35196</v>
      </c>
      <c r="K10316" t="s">
        <v>37442</v>
      </c>
      <c r="M10316" t="s">
        <v>38202</v>
      </c>
      <c r="N10316" t="s">
        <v>41249</v>
      </c>
      <c r="O10316" t="s">
        <v>41250</v>
      </c>
      <c r="P10316">
        <v>0</v>
      </c>
      <c r="Q10316">
        <v>6</v>
      </c>
      <c r="R10316" t="s">
        <v>41261</v>
      </c>
      <c r="S10316" t="s">
        <v>41680</v>
      </c>
      <c r="T10316" t="s">
        <v>42692</v>
      </c>
      <c r="U10316" t="s">
        <v>51481</v>
      </c>
      <c r="W10316" t="s">
        <v>38202</v>
      </c>
      <c r="X10316" t="s">
        <v>41264</v>
      </c>
    </row>
    <row r="10317" spans="1:24">
      <c r="A10317">
        <f>HYPERLINK("https://www.philgeps.gov.ph/GEPSNONPILOT/Tender/SplashBidNoticeAbstractUI.aspx?menuIndex=3&amp;refID=7057475&amp;Result=3","7057475")</f>
        <v>0</v>
      </c>
      <c r="B10317" t="s">
        <v>2927</v>
      </c>
      <c r="C10317" t="s">
        <v>13231</v>
      </c>
      <c r="D10317" t="s">
        <v>16647</v>
      </c>
      <c r="E10317" t="s">
        <v>25666</v>
      </c>
      <c r="F10317" t="s">
        <v>28669</v>
      </c>
      <c r="G10317" t="s">
        <v>28675</v>
      </c>
      <c r="H10317" t="s">
        <v>28686</v>
      </c>
      <c r="I10317" t="s">
        <v>28689</v>
      </c>
      <c r="J10317" t="s">
        <v>35197</v>
      </c>
      <c r="K10317" t="s">
        <v>37408</v>
      </c>
      <c r="M10317" t="s">
        <v>40680</v>
      </c>
      <c r="N10317" t="s">
        <v>41249</v>
      </c>
      <c r="O10317" t="s">
        <v>41250</v>
      </c>
      <c r="P10317">
        <v>0</v>
      </c>
      <c r="Q10317">
        <v>54</v>
      </c>
      <c r="R10317" t="s">
        <v>41261</v>
      </c>
      <c r="S10317" t="s">
        <v>41680</v>
      </c>
      <c r="T10317" t="s">
        <v>42712</v>
      </c>
      <c r="U10317" t="s">
        <v>51513</v>
      </c>
      <c r="W10317" t="s">
        <v>40680</v>
      </c>
      <c r="X10317" t="s">
        <v>41264</v>
      </c>
    </row>
    <row r="10318" spans="1:24">
      <c r="A10318">
        <f>HYPERLINK("https://www.philgeps.gov.ph/GEPSNONPILOT/Tender/SplashBidNoticeAbstractUI.aspx?menuIndex=3&amp;refID=7057570&amp;Result=3","7057570")</f>
        <v>0</v>
      </c>
      <c r="B10318" t="s">
        <v>2923</v>
      </c>
      <c r="C10318" t="s">
        <v>13232</v>
      </c>
      <c r="D10318" t="s">
        <v>16635</v>
      </c>
      <c r="E10318" t="s">
        <v>25667</v>
      </c>
      <c r="F10318" t="s">
        <v>28669</v>
      </c>
      <c r="G10318" t="s">
        <v>28675</v>
      </c>
      <c r="H10318" t="s">
        <v>28686</v>
      </c>
      <c r="I10318" t="s">
        <v>28689</v>
      </c>
      <c r="J10318" t="s">
        <v>35198</v>
      </c>
      <c r="K10318" t="s">
        <v>37215</v>
      </c>
      <c r="M10318" t="s">
        <v>40676</v>
      </c>
      <c r="N10318" t="s">
        <v>41249</v>
      </c>
      <c r="O10318" t="s">
        <v>41250</v>
      </c>
      <c r="P10318">
        <v>0</v>
      </c>
      <c r="Q10318">
        <v>1</v>
      </c>
      <c r="R10318" t="s">
        <v>41261</v>
      </c>
      <c r="S10318" t="s">
        <v>41680</v>
      </c>
      <c r="T10318" t="s">
        <v>42659</v>
      </c>
      <c r="U10318" t="s">
        <v>51514</v>
      </c>
      <c r="W10318" t="s">
        <v>40676</v>
      </c>
      <c r="X10318" t="s">
        <v>41264</v>
      </c>
    </row>
    <row r="10319" spans="1:24">
      <c r="A10319">
        <f>HYPERLINK("https://www.philgeps.gov.ph/GEPSNONPILOT/Tender/SplashBidNoticeAbstractUI.aspx?menuIndex=3&amp;refID=7057723&amp;Result=3","7057723")</f>
        <v>0</v>
      </c>
      <c r="B10319" t="s">
        <v>2930</v>
      </c>
      <c r="C10319" t="s">
        <v>13233</v>
      </c>
      <c r="D10319" t="s">
        <v>16646</v>
      </c>
      <c r="E10319" t="s">
        <v>25668</v>
      </c>
      <c r="F10319" t="s">
        <v>28669</v>
      </c>
      <c r="G10319" t="s">
        <v>28675</v>
      </c>
      <c r="H10319" t="s">
        <v>28686</v>
      </c>
      <c r="I10319" t="s">
        <v>28717</v>
      </c>
      <c r="J10319" t="s">
        <v>28914</v>
      </c>
      <c r="K10319" t="s">
        <v>37206</v>
      </c>
      <c r="M10319" t="s">
        <v>40684</v>
      </c>
      <c r="N10319" t="s">
        <v>41249</v>
      </c>
      <c r="O10319" t="s">
        <v>41250</v>
      </c>
      <c r="P10319">
        <v>0</v>
      </c>
      <c r="Q10319">
        <v>4</v>
      </c>
      <c r="R10319" t="s">
        <v>41261</v>
      </c>
      <c r="S10319" t="s">
        <v>41680</v>
      </c>
      <c r="T10319" t="s">
        <v>42966</v>
      </c>
      <c r="U10319" t="s">
        <v>51515</v>
      </c>
      <c r="V10319" t="s">
        <v>55386</v>
      </c>
      <c r="W10319" t="s">
        <v>40684</v>
      </c>
      <c r="X10319" t="s">
        <v>41264</v>
      </c>
    </row>
    <row r="10320" spans="1:24">
      <c r="A10320">
        <f>HYPERLINK("https://www.philgeps.gov.ph/GEPSNONPILOT/Tender/SplashBidNoticeAbstractUI.aspx?menuIndex=3&amp;refID=7057604&amp;Result=3","7057604")</f>
        <v>0</v>
      </c>
      <c r="B10320" t="s">
        <v>33</v>
      </c>
      <c r="C10320" t="s">
        <v>13234</v>
      </c>
      <c r="D10320" t="s">
        <v>16616</v>
      </c>
      <c r="E10320" t="s">
        <v>25669</v>
      </c>
      <c r="F10320" t="s">
        <v>28669</v>
      </c>
      <c r="G10320" t="s">
        <v>28675</v>
      </c>
      <c r="H10320" t="s">
        <v>9998</v>
      </c>
      <c r="I10320" t="s">
        <v>5286</v>
      </c>
      <c r="J10320" t="s">
        <v>35199</v>
      </c>
      <c r="K10320" t="s">
        <v>37216</v>
      </c>
      <c r="M10320" t="s">
        <v>37727</v>
      </c>
      <c r="N10320" t="s">
        <v>41249</v>
      </c>
      <c r="O10320" t="s">
        <v>41250</v>
      </c>
      <c r="P10320">
        <v>0</v>
      </c>
      <c r="Q10320">
        <v>1</v>
      </c>
      <c r="R10320" t="s">
        <v>41261</v>
      </c>
      <c r="S10320" t="s">
        <v>41680</v>
      </c>
      <c r="T10320" t="s">
        <v>42729</v>
      </c>
      <c r="U10320" t="s">
        <v>51516</v>
      </c>
      <c r="V10320" t="s">
        <v>54251</v>
      </c>
      <c r="W10320" t="s">
        <v>37727</v>
      </c>
      <c r="X10320" t="s">
        <v>41264</v>
      </c>
    </row>
    <row r="10321" spans="1:24">
      <c r="A10321">
        <f>HYPERLINK("https://www.philgeps.gov.ph/GEPSNONPILOT/Tender/SplashBidNoticeAbstractUI.aspx?menuIndex=3&amp;refID=7057567&amp;Result=3","7057567")</f>
        <v>0</v>
      </c>
      <c r="B10321" t="s">
        <v>33</v>
      </c>
      <c r="C10321" t="s">
        <v>13235</v>
      </c>
      <c r="D10321" t="s">
        <v>16616</v>
      </c>
      <c r="E10321" t="s">
        <v>25670</v>
      </c>
      <c r="F10321" t="s">
        <v>28669</v>
      </c>
      <c r="G10321" t="s">
        <v>28675</v>
      </c>
      <c r="H10321" t="s">
        <v>9998</v>
      </c>
      <c r="I10321" t="s">
        <v>5286</v>
      </c>
      <c r="J10321" t="s">
        <v>35200</v>
      </c>
      <c r="K10321" t="s">
        <v>37216</v>
      </c>
      <c r="M10321" t="s">
        <v>37727</v>
      </c>
      <c r="N10321" t="s">
        <v>41249</v>
      </c>
      <c r="O10321" t="s">
        <v>41250</v>
      </c>
      <c r="P10321">
        <v>0</v>
      </c>
      <c r="Q10321">
        <v>2</v>
      </c>
      <c r="R10321" t="s">
        <v>41261</v>
      </c>
      <c r="S10321" t="s">
        <v>41680</v>
      </c>
      <c r="T10321" t="s">
        <v>42729</v>
      </c>
      <c r="U10321" t="s">
        <v>51517</v>
      </c>
      <c r="V10321" t="s">
        <v>54251</v>
      </c>
      <c r="W10321" t="s">
        <v>37727</v>
      </c>
      <c r="X10321" t="s">
        <v>41264</v>
      </c>
    </row>
    <row r="10322" spans="1:24">
      <c r="A10322">
        <f>HYPERLINK("https://www.philgeps.gov.ph/GEPSNONPILOT/Tender/SplashBidNoticeAbstractUI.aspx?menuIndex=3&amp;refID=7057820&amp;Result=3","7057820")</f>
        <v>0</v>
      </c>
      <c r="B10322" t="s">
        <v>2931</v>
      </c>
      <c r="C10322" t="s">
        <v>13236</v>
      </c>
      <c r="D10322" t="s">
        <v>16661</v>
      </c>
      <c r="E10322" t="s">
        <v>25671</v>
      </c>
      <c r="F10322" t="s">
        <v>28669</v>
      </c>
      <c r="G10322" t="s">
        <v>28675</v>
      </c>
      <c r="H10322" t="s">
        <v>9998</v>
      </c>
      <c r="I10322" t="s">
        <v>28695</v>
      </c>
      <c r="J10322" t="s">
        <v>35201</v>
      </c>
      <c r="K10322" t="s">
        <v>37209</v>
      </c>
      <c r="M10322" t="s">
        <v>40685</v>
      </c>
      <c r="N10322" t="s">
        <v>41249</v>
      </c>
      <c r="O10322" t="s">
        <v>41250</v>
      </c>
      <c r="P10322">
        <v>0</v>
      </c>
      <c r="Q10322">
        <v>0</v>
      </c>
      <c r="R10322" t="s">
        <v>41261</v>
      </c>
      <c r="S10322" t="s">
        <v>41680</v>
      </c>
      <c r="T10322" t="s">
        <v>42760</v>
      </c>
      <c r="U10322" t="s">
        <v>51518</v>
      </c>
      <c r="W10322" t="s">
        <v>56019</v>
      </c>
      <c r="X10322" t="s">
        <v>41264</v>
      </c>
    </row>
    <row r="10323" spans="1:24">
      <c r="A10323">
        <f>HYPERLINK("https://www.philgeps.gov.ph/GEPSNONPILOT/Tender/SplashBidNoticeAbstractUI.aspx?menuIndex=3&amp;refID=7057635&amp;Result=3","7057635")</f>
        <v>0</v>
      </c>
      <c r="B10323" t="s">
        <v>2926</v>
      </c>
      <c r="C10323" t="s">
        <v>13237</v>
      </c>
      <c r="D10323" t="s">
        <v>16608</v>
      </c>
      <c r="E10323" t="s">
        <v>17445</v>
      </c>
      <c r="F10323" t="s">
        <v>28671</v>
      </c>
      <c r="G10323" t="s">
        <v>28675</v>
      </c>
      <c r="H10323" t="s">
        <v>9998</v>
      </c>
      <c r="I10323" t="s">
        <v>5213</v>
      </c>
      <c r="J10323" t="s">
        <v>35202</v>
      </c>
      <c r="K10323" t="s">
        <v>37206</v>
      </c>
      <c r="M10323" t="s">
        <v>40679</v>
      </c>
      <c r="N10323" t="s">
        <v>41249</v>
      </c>
      <c r="O10323" t="s">
        <v>41250</v>
      </c>
      <c r="P10323">
        <v>0</v>
      </c>
      <c r="Q10323">
        <v>1</v>
      </c>
      <c r="R10323" t="s">
        <v>41261</v>
      </c>
      <c r="S10323" t="s">
        <v>41680</v>
      </c>
      <c r="T10323" t="s">
        <v>43114</v>
      </c>
      <c r="U10323" t="s">
        <v>51519</v>
      </c>
      <c r="W10323" t="s">
        <v>40679</v>
      </c>
      <c r="X10323" t="s">
        <v>41264</v>
      </c>
    </row>
    <row r="10324" spans="1:24">
      <c r="A10324">
        <f>HYPERLINK("https://www.philgeps.gov.ph/GEPSNONPILOT/Tender/SplashBidNoticeAbstractUI.aspx?menuIndex=3&amp;refID=7057513&amp;Result=3","7057513")</f>
        <v>0</v>
      </c>
      <c r="B10324" t="s">
        <v>2927</v>
      </c>
      <c r="C10324" t="s">
        <v>13238</v>
      </c>
      <c r="D10324" t="s">
        <v>16647</v>
      </c>
      <c r="E10324" t="s">
        <v>25672</v>
      </c>
      <c r="F10324" t="s">
        <v>28669</v>
      </c>
      <c r="G10324" t="s">
        <v>28675</v>
      </c>
      <c r="H10324" t="s">
        <v>28686</v>
      </c>
      <c r="I10324" t="s">
        <v>28689</v>
      </c>
      <c r="J10324" t="s">
        <v>35203</v>
      </c>
      <c r="K10324" t="s">
        <v>37270</v>
      </c>
      <c r="M10324" t="s">
        <v>40680</v>
      </c>
      <c r="N10324" t="s">
        <v>41249</v>
      </c>
      <c r="O10324" t="s">
        <v>41250</v>
      </c>
      <c r="P10324">
        <v>0</v>
      </c>
      <c r="Q10324">
        <v>53</v>
      </c>
      <c r="R10324" t="s">
        <v>41261</v>
      </c>
      <c r="S10324" t="s">
        <v>41680</v>
      </c>
      <c r="T10324" t="s">
        <v>42712</v>
      </c>
      <c r="U10324" t="s">
        <v>51520</v>
      </c>
      <c r="W10324" t="s">
        <v>40680</v>
      </c>
      <c r="X10324" t="s">
        <v>41264</v>
      </c>
    </row>
    <row r="10325" spans="1:24">
      <c r="A10325">
        <f>HYPERLINK("https://www.philgeps.gov.ph/GEPSNONPILOT/Tender/SplashBidNoticeAbstractUI.aspx?menuIndex=3&amp;refID=7057578&amp;Result=3","7057578")</f>
        <v>0</v>
      </c>
      <c r="B10325" t="s">
        <v>33</v>
      </c>
      <c r="C10325" t="s">
        <v>13239</v>
      </c>
      <c r="D10325" t="s">
        <v>16616</v>
      </c>
      <c r="E10325" t="s">
        <v>25673</v>
      </c>
      <c r="F10325" t="s">
        <v>28669</v>
      </c>
      <c r="G10325" t="s">
        <v>28675</v>
      </c>
      <c r="H10325" t="s">
        <v>9998</v>
      </c>
      <c r="I10325" t="s">
        <v>5286</v>
      </c>
      <c r="J10325" t="s">
        <v>35204</v>
      </c>
      <c r="K10325" t="s">
        <v>37216</v>
      </c>
      <c r="M10325" t="s">
        <v>37727</v>
      </c>
      <c r="N10325" t="s">
        <v>41249</v>
      </c>
      <c r="O10325" t="s">
        <v>41250</v>
      </c>
      <c r="P10325">
        <v>0</v>
      </c>
      <c r="Q10325">
        <v>1</v>
      </c>
      <c r="R10325" t="s">
        <v>41261</v>
      </c>
      <c r="S10325" t="s">
        <v>41680</v>
      </c>
      <c r="T10325" t="s">
        <v>42729</v>
      </c>
      <c r="U10325" t="s">
        <v>51521</v>
      </c>
      <c r="V10325" t="s">
        <v>54251</v>
      </c>
      <c r="W10325" t="s">
        <v>37727</v>
      </c>
      <c r="X10325" t="s">
        <v>41264</v>
      </c>
    </row>
    <row r="10326" spans="1:24">
      <c r="A10326">
        <f>HYPERLINK("https://www.philgeps.gov.ph/GEPSNONPILOT/Tender/SplashBidNoticeAbstractUI.aspx?menuIndex=3&amp;refID=7057497&amp;Result=3","7057497")</f>
        <v>0</v>
      </c>
      <c r="B10326" t="s">
        <v>2932</v>
      </c>
      <c r="C10326" t="s">
        <v>13240</v>
      </c>
      <c r="D10326" t="s">
        <v>16608</v>
      </c>
      <c r="E10326" t="s">
        <v>20979</v>
      </c>
      <c r="F10326" t="s">
        <v>28669</v>
      </c>
      <c r="G10326" t="s">
        <v>28675</v>
      </c>
      <c r="H10326" t="s">
        <v>9998</v>
      </c>
      <c r="I10326" t="s">
        <v>5286</v>
      </c>
      <c r="J10326" t="s">
        <v>35205</v>
      </c>
      <c r="K10326" t="s">
        <v>37209</v>
      </c>
      <c r="M10326" t="s">
        <v>40686</v>
      </c>
      <c r="N10326" t="s">
        <v>41249</v>
      </c>
      <c r="O10326" t="s">
        <v>41250</v>
      </c>
      <c r="Q10326">
        <v>9</v>
      </c>
      <c r="R10326" t="s">
        <v>41261</v>
      </c>
      <c r="S10326" t="s">
        <v>41690</v>
      </c>
      <c r="T10326" t="s">
        <v>42739</v>
      </c>
      <c r="U10326" t="s">
        <v>51522</v>
      </c>
      <c r="W10326" t="s">
        <v>40686</v>
      </c>
      <c r="X10326" t="s">
        <v>41264</v>
      </c>
    </row>
    <row r="10327" spans="1:24">
      <c r="A10327">
        <f>HYPERLINK("https://www.philgeps.gov.ph/GEPSNONPILOT/Tender/SplashBidNoticeAbstractUI.aspx?menuIndex=3&amp;refID=7057462&amp;Result=3","7057462")</f>
        <v>0</v>
      </c>
      <c r="B10327" t="s">
        <v>2927</v>
      </c>
      <c r="C10327" t="s">
        <v>13241</v>
      </c>
      <c r="D10327" t="s">
        <v>16647</v>
      </c>
      <c r="E10327" t="s">
        <v>25674</v>
      </c>
      <c r="F10327" t="s">
        <v>28669</v>
      </c>
      <c r="G10327" t="s">
        <v>28675</v>
      </c>
      <c r="H10327" t="s">
        <v>28686</v>
      </c>
      <c r="I10327" t="s">
        <v>28689</v>
      </c>
      <c r="J10327" t="s">
        <v>35191</v>
      </c>
      <c r="K10327" t="s">
        <v>37269</v>
      </c>
      <c r="M10327" t="s">
        <v>40680</v>
      </c>
      <c r="N10327" t="s">
        <v>41249</v>
      </c>
      <c r="O10327" t="s">
        <v>41250</v>
      </c>
      <c r="P10327">
        <v>0</v>
      </c>
      <c r="Q10327">
        <v>56</v>
      </c>
      <c r="R10327" t="s">
        <v>41261</v>
      </c>
      <c r="S10327" t="s">
        <v>41680</v>
      </c>
      <c r="T10327" t="s">
        <v>42712</v>
      </c>
      <c r="U10327" t="s">
        <v>51523</v>
      </c>
      <c r="W10327" t="s">
        <v>40680</v>
      </c>
      <c r="X10327" t="s">
        <v>41264</v>
      </c>
    </row>
    <row r="10328" spans="1:24">
      <c r="A10328">
        <f>HYPERLINK("https://www.philgeps.gov.ph/GEPSNONPILOT/Tender/SplashBidNoticeAbstractUI.aspx?menuIndex=3&amp;refID=7057902&amp;Result=3","7057902")</f>
        <v>0</v>
      </c>
      <c r="B10328" t="s">
        <v>2933</v>
      </c>
      <c r="C10328" t="s">
        <v>13242</v>
      </c>
      <c r="D10328" t="s">
        <v>16608</v>
      </c>
      <c r="E10328" t="s">
        <v>25675</v>
      </c>
      <c r="F10328" t="s">
        <v>28669</v>
      </c>
      <c r="G10328" t="s">
        <v>28675</v>
      </c>
      <c r="H10328" t="s">
        <v>28686</v>
      </c>
      <c r="I10328" t="s">
        <v>28793</v>
      </c>
      <c r="J10328" t="s">
        <v>31461</v>
      </c>
      <c r="K10328" t="s">
        <v>37211</v>
      </c>
      <c r="M10328" t="s">
        <v>40687</v>
      </c>
      <c r="N10328" t="s">
        <v>41249</v>
      </c>
      <c r="O10328" t="s">
        <v>41250</v>
      </c>
      <c r="P10328">
        <v>0</v>
      </c>
      <c r="Q10328">
        <v>6</v>
      </c>
      <c r="R10328" t="s">
        <v>41261</v>
      </c>
      <c r="S10328" t="s">
        <v>41680</v>
      </c>
      <c r="T10328" t="s">
        <v>42659</v>
      </c>
      <c r="U10328" t="s">
        <v>51524</v>
      </c>
      <c r="W10328" t="s">
        <v>40687</v>
      </c>
      <c r="X10328" t="s">
        <v>41264</v>
      </c>
    </row>
    <row r="10329" spans="1:24">
      <c r="A10329">
        <f>HYPERLINK("https://www.philgeps.gov.ph/GEPSNONPILOT/Tender/SplashBidNoticeAbstractUI.aspx?menuIndex=3&amp;refID=7057868&amp;Result=3","7057868")</f>
        <v>0</v>
      </c>
      <c r="B10329" t="s">
        <v>2934</v>
      </c>
      <c r="C10329" t="s">
        <v>13243</v>
      </c>
      <c r="D10329" t="s">
        <v>16621</v>
      </c>
      <c r="E10329" t="s">
        <v>25676</v>
      </c>
      <c r="F10329" t="s">
        <v>28669</v>
      </c>
      <c r="G10329" t="s">
        <v>28675</v>
      </c>
      <c r="H10329" t="s">
        <v>28686</v>
      </c>
      <c r="I10329" t="s">
        <v>28689</v>
      </c>
      <c r="J10329" t="s">
        <v>35206</v>
      </c>
      <c r="K10329" t="s">
        <v>37210</v>
      </c>
      <c r="M10329" t="s">
        <v>40688</v>
      </c>
      <c r="N10329" t="s">
        <v>41249</v>
      </c>
      <c r="O10329" t="s">
        <v>41250</v>
      </c>
      <c r="P10329">
        <v>0</v>
      </c>
      <c r="Q10329">
        <v>0</v>
      </c>
      <c r="R10329" t="s">
        <v>41261</v>
      </c>
      <c r="S10329" t="s">
        <v>41680</v>
      </c>
      <c r="T10329" t="s">
        <v>42754</v>
      </c>
      <c r="U10329" t="s">
        <v>51525</v>
      </c>
      <c r="W10329" t="s">
        <v>40688</v>
      </c>
      <c r="X10329" t="s">
        <v>41264</v>
      </c>
    </row>
    <row r="10330" spans="1:24">
      <c r="A10330">
        <f>HYPERLINK("https://www.philgeps.gov.ph/GEPSNONPILOT/Tender/SplashBidNoticeAbstractUI.aspx?menuIndex=3&amp;refID=7057558&amp;Result=3","7057558")</f>
        <v>0</v>
      </c>
      <c r="B10330" t="s">
        <v>33</v>
      </c>
      <c r="C10330" t="s">
        <v>13244</v>
      </c>
      <c r="D10330" t="s">
        <v>16616</v>
      </c>
      <c r="E10330" t="s">
        <v>25677</v>
      </c>
      <c r="F10330" t="s">
        <v>28669</v>
      </c>
      <c r="G10330" t="s">
        <v>28675</v>
      </c>
      <c r="H10330" t="s">
        <v>9998</v>
      </c>
      <c r="I10330" t="s">
        <v>28690</v>
      </c>
      <c r="J10330" t="s">
        <v>31845</v>
      </c>
      <c r="K10330" t="s">
        <v>37216</v>
      </c>
      <c r="M10330" t="s">
        <v>37727</v>
      </c>
      <c r="N10330" t="s">
        <v>41249</v>
      </c>
      <c r="O10330" t="s">
        <v>41250</v>
      </c>
      <c r="P10330">
        <v>0</v>
      </c>
      <c r="Q10330">
        <v>0</v>
      </c>
      <c r="R10330" t="s">
        <v>41261</v>
      </c>
      <c r="S10330" t="s">
        <v>41680</v>
      </c>
      <c r="T10330" t="s">
        <v>42729</v>
      </c>
      <c r="U10330" t="s">
        <v>51526</v>
      </c>
      <c r="V10330" t="s">
        <v>54251</v>
      </c>
      <c r="W10330" t="s">
        <v>37727</v>
      </c>
      <c r="X10330" t="s">
        <v>41264</v>
      </c>
    </row>
    <row r="10331" spans="1:24">
      <c r="A10331">
        <f>HYPERLINK("https://www.philgeps.gov.ph/GEPSNONPILOT/Tender/SplashBidNoticeAbstractUI.aspx?menuIndex=3&amp;refID=7057662&amp;Result=3","7057662")</f>
        <v>0</v>
      </c>
      <c r="B10331" t="s">
        <v>2935</v>
      </c>
      <c r="C10331" t="s">
        <v>13245</v>
      </c>
      <c r="D10331" t="s">
        <v>16672</v>
      </c>
      <c r="E10331" t="s">
        <v>25678</v>
      </c>
      <c r="F10331" t="s">
        <v>28669</v>
      </c>
      <c r="G10331" t="s">
        <v>28675</v>
      </c>
      <c r="H10331" t="s">
        <v>9998</v>
      </c>
      <c r="I10331" t="s">
        <v>28687</v>
      </c>
      <c r="J10331" t="s">
        <v>35207</v>
      </c>
      <c r="K10331" t="s">
        <v>37213</v>
      </c>
      <c r="M10331" t="s">
        <v>40689</v>
      </c>
      <c r="N10331" t="s">
        <v>41249</v>
      </c>
      <c r="O10331" t="s">
        <v>41250</v>
      </c>
      <c r="P10331">
        <v>0</v>
      </c>
      <c r="Q10331">
        <v>16</v>
      </c>
      <c r="R10331" t="s">
        <v>41261</v>
      </c>
      <c r="S10331" t="s">
        <v>41680</v>
      </c>
      <c r="T10331" t="s">
        <v>43059</v>
      </c>
      <c r="U10331" t="s">
        <v>51527</v>
      </c>
      <c r="W10331" t="s">
        <v>40689</v>
      </c>
      <c r="X10331" t="s">
        <v>41264</v>
      </c>
    </row>
    <row r="10332" spans="1:24">
      <c r="A10332">
        <f>HYPERLINK("https://www.philgeps.gov.ph/GEPSNONPILOT/Tender/SplashBidNoticeAbstractUI.aspx?menuIndex=3&amp;refID=7058415&amp;Result=3","7058415")</f>
        <v>0</v>
      </c>
      <c r="B10332" t="s">
        <v>2597</v>
      </c>
      <c r="C10332" t="s">
        <v>13246</v>
      </c>
      <c r="D10332" t="s">
        <v>16626</v>
      </c>
      <c r="E10332" t="s">
        <v>25679</v>
      </c>
      <c r="F10332" t="s">
        <v>28669</v>
      </c>
      <c r="G10332" t="s">
        <v>28676</v>
      </c>
      <c r="H10332" t="s">
        <v>9998</v>
      </c>
      <c r="I10332" t="s">
        <v>28775</v>
      </c>
      <c r="J10332" t="s">
        <v>35208</v>
      </c>
      <c r="K10332" t="s">
        <v>37234</v>
      </c>
      <c r="M10332" t="s">
        <v>40292</v>
      </c>
      <c r="N10332" t="s">
        <v>41249</v>
      </c>
      <c r="O10332" t="s">
        <v>41250</v>
      </c>
      <c r="P10332">
        <v>0</v>
      </c>
      <c r="Q10332">
        <v>0</v>
      </c>
      <c r="R10332" t="s">
        <v>41261</v>
      </c>
      <c r="S10332" t="s">
        <v>41680</v>
      </c>
      <c r="T10332" t="s">
        <v>42664</v>
      </c>
      <c r="U10332" t="s">
        <v>51528</v>
      </c>
      <c r="W10332" t="s">
        <v>40292</v>
      </c>
      <c r="X10332" t="s">
        <v>41263</v>
      </c>
    </row>
    <row r="10333" spans="1:24">
      <c r="A10333">
        <f>HYPERLINK("https://www.philgeps.gov.ph/GEPSNONPILOT/Tender/SplashBidNoticeAbstractUI.aspx?menuIndex=3&amp;refID=7058402&amp;Result=3","7058402")</f>
        <v>0</v>
      </c>
      <c r="B10333" t="s">
        <v>568</v>
      </c>
      <c r="C10333" t="s">
        <v>13247</v>
      </c>
      <c r="D10333" t="s">
        <v>16608</v>
      </c>
      <c r="E10333" t="s">
        <v>25680</v>
      </c>
      <c r="F10333" t="s">
        <v>28669</v>
      </c>
      <c r="G10333" t="s">
        <v>28675</v>
      </c>
      <c r="H10333" t="s">
        <v>28684</v>
      </c>
      <c r="I10333" t="s">
        <v>11593</v>
      </c>
      <c r="J10333" t="s">
        <v>35209</v>
      </c>
      <c r="K10333" t="s">
        <v>37314</v>
      </c>
      <c r="M10333" t="s">
        <v>39449</v>
      </c>
      <c r="N10333" t="s">
        <v>41249</v>
      </c>
      <c r="O10333" t="s">
        <v>41250</v>
      </c>
      <c r="P10333">
        <v>0</v>
      </c>
      <c r="Q10333">
        <v>14</v>
      </c>
      <c r="R10333" t="s">
        <v>41261</v>
      </c>
      <c r="S10333" t="s">
        <v>41680</v>
      </c>
      <c r="T10333" t="s">
        <v>42966</v>
      </c>
      <c r="U10333" t="s">
        <v>51529</v>
      </c>
      <c r="W10333" t="s">
        <v>39449</v>
      </c>
      <c r="X10333" t="s">
        <v>41263</v>
      </c>
    </row>
    <row r="10334" spans="1:24">
      <c r="A10334">
        <f>HYPERLINK("https://www.philgeps.gov.ph/GEPSNONPILOT/Tender/SplashBidNoticeAbstractUI.aspx?menuIndex=3&amp;refID=7058367&amp;Result=3","7058367")</f>
        <v>0</v>
      </c>
      <c r="B10334" t="s">
        <v>100</v>
      </c>
      <c r="C10334" t="s">
        <v>13248</v>
      </c>
      <c r="D10334" t="s">
        <v>16608</v>
      </c>
      <c r="E10334" t="s">
        <v>25681</v>
      </c>
      <c r="F10334" t="s">
        <v>28669</v>
      </c>
      <c r="G10334" t="s">
        <v>28675</v>
      </c>
      <c r="H10334" t="s">
        <v>9998</v>
      </c>
      <c r="I10334" t="s">
        <v>28782</v>
      </c>
      <c r="J10334" t="s">
        <v>35210</v>
      </c>
      <c r="K10334" t="s">
        <v>37220</v>
      </c>
      <c r="M10334" t="s">
        <v>40690</v>
      </c>
      <c r="N10334" t="s">
        <v>41249</v>
      </c>
      <c r="O10334" t="s">
        <v>41250</v>
      </c>
      <c r="P10334">
        <v>0</v>
      </c>
      <c r="Q10334">
        <v>4</v>
      </c>
      <c r="R10334" t="s">
        <v>41261</v>
      </c>
      <c r="S10334" t="s">
        <v>41680</v>
      </c>
      <c r="T10334" t="s">
        <v>42700</v>
      </c>
      <c r="U10334" t="s">
        <v>51530</v>
      </c>
      <c r="V10334" t="s">
        <v>55387</v>
      </c>
      <c r="W10334" t="s">
        <v>40690</v>
      </c>
      <c r="X10334" t="s">
        <v>41263</v>
      </c>
    </row>
    <row r="10335" spans="1:24">
      <c r="A10335">
        <f>HYPERLINK("https://www.philgeps.gov.ph/GEPSNONPILOT/Tender/SplashBidNoticeAbstractUI.aspx?menuIndex=3&amp;refID=7058363&amp;Result=3","7058363")</f>
        <v>0</v>
      </c>
      <c r="B10335" t="s">
        <v>2936</v>
      </c>
      <c r="C10335" t="s">
        <v>13249</v>
      </c>
      <c r="D10335" t="s">
        <v>16626</v>
      </c>
      <c r="E10335" t="s">
        <v>23670</v>
      </c>
      <c r="F10335" t="s">
        <v>28669</v>
      </c>
      <c r="G10335" t="s">
        <v>28675</v>
      </c>
      <c r="H10335" t="s">
        <v>9998</v>
      </c>
      <c r="I10335" t="s">
        <v>7352</v>
      </c>
      <c r="J10335" t="s">
        <v>29523</v>
      </c>
      <c r="K10335" t="s">
        <v>37266</v>
      </c>
      <c r="M10335" t="s">
        <v>40691</v>
      </c>
      <c r="N10335" t="s">
        <v>41249</v>
      </c>
      <c r="O10335" t="s">
        <v>41250</v>
      </c>
      <c r="P10335">
        <v>0</v>
      </c>
      <c r="Q10335">
        <v>0</v>
      </c>
      <c r="R10335" t="s">
        <v>41261</v>
      </c>
      <c r="S10335" t="s">
        <v>41680</v>
      </c>
      <c r="T10335" t="s">
        <v>42748</v>
      </c>
      <c r="U10335" t="s">
        <v>51531</v>
      </c>
      <c r="V10335" t="s">
        <v>55388</v>
      </c>
      <c r="W10335" t="s">
        <v>40691</v>
      </c>
      <c r="X10335" t="s">
        <v>41263</v>
      </c>
    </row>
    <row r="10336" spans="1:24">
      <c r="A10336">
        <f>HYPERLINK("https://www.philgeps.gov.ph/GEPSNONPILOT/Tender/SplashBidNoticeAbstractUI.aspx?menuIndex=3&amp;refID=7057492&amp;Result=3","7057492")</f>
        <v>0</v>
      </c>
      <c r="B10336" t="s">
        <v>2927</v>
      </c>
      <c r="C10336" t="s">
        <v>13250</v>
      </c>
      <c r="D10336" t="s">
        <v>16647</v>
      </c>
      <c r="E10336" t="s">
        <v>25682</v>
      </c>
      <c r="F10336" t="s">
        <v>28669</v>
      </c>
      <c r="G10336" t="s">
        <v>28675</v>
      </c>
      <c r="H10336" t="s">
        <v>28686</v>
      </c>
      <c r="I10336" t="s">
        <v>28689</v>
      </c>
      <c r="J10336" t="s">
        <v>35211</v>
      </c>
      <c r="K10336" t="s">
        <v>37358</v>
      </c>
      <c r="M10336" t="s">
        <v>40680</v>
      </c>
      <c r="N10336" t="s">
        <v>41249</v>
      </c>
      <c r="O10336" t="s">
        <v>41250</v>
      </c>
      <c r="P10336">
        <v>0</v>
      </c>
      <c r="Q10336">
        <v>56</v>
      </c>
      <c r="R10336" t="s">
        <v>41261</v>
      </c>
      <c r="S10336" t="s">
        <v>41680</v>
      </c>
      <c r="T10336" t="s">
        <v>42712</v>
      </c>
      <c r="U10336" t="s">
        <v>51532</v>
      </c>
      <c r="W10336" t="s">
        <v>40680</v>
      </c>
      <c r="X10336" t="s">
        <v>41264</v>
      </c>
    </row>
    <row r="10337" spans="1:24">
      <c r="A10337">
        <f>HYPERLINK("https://www.philgeps.gov.ph/GEPSNONPILOT/Tender/SplashBidNoticeAbstractUI.aspx?menuIndex=3&amp;refID=7058360&amp;Result=3","7058360")</f>
        <v>0</v>
      </c>
      <c r="B10337" t="s">
        <v>1947</v>
      </c>
      <c r="C10337" t="s">
        <v>13251</v>
      </c>
      <c r="D10337" t="s">
        <v>16626</v>
      </c>
      <c r="E10337" t="s">
        <v>25683</v>
      </c>
      <c r="F10337" t="s">
        <v>28669</v>
      </c>
      <c r="G10337" t="s">
        <v>28675</v>
      </c>
      <c r="H10337" t="s">
        <v>9998</v>
      </c>
      <c r="I10337" t="s">
        <v>28693</v>
      </c>
      <c r="J10337" t="s">
        <v>35212</v>
      </c>
      <c r="K10337" t="s">
        <v>37220</v>
      </c>
      <c r="M10337" t="s">
        <v>39577</v>
      </c>
      <c r="N10337" t="s">
        <v>41249</v>
      </c>
      <c r="O10337" t="s">
        <v>41250</v>
      </c>
      <c r="P10337">
        <v>0</v>
      </c>
      <c r="Q10337">
        <v>37</v>
      </c>
      <c r="R10337" t="s">
        <v>41261</v>
      </c>
      <c r="S10337" t="s">
        <v>41680</v>
      </c>
      <c r="T10337" t="s">
        <v>42712</v>
      </c>
      <c r="U10337" t="s">
        <v>51533</v>
      </c>
      <c r="W10337" t="s">
        <v>39577</v>
      </c>
      <c r="X10337" t="s">
        <v>41263</v>
      </c>
    </row>
    <row r="10338" spans="1:24">
      <c r="A10338">
        <f>HYPERLINK("https://www.philgeps.gov.ph/GEPSNONPILOT/Tender/SplashBidNoticeAbstractUI.aspx?menuIndex=3&amp;refID=7058342&amp;Result=3","7058342")</f>
        <v>0</v>
      </c>
      <c r="B10338" t="s">
        <v>2937</v>
      </c>
      <c r="C10338" t="s">
        <v>13252</v>
      </c>
      <c r="D10338" t="s">
        <v>16671</v>
      </c>
      <c r="E10338" t="s">
        <v>17029</v>
      </c>
      <c r="F10338" t="s">
        <v>28671</v>
      </c>
      <c r="G10338" t="s">
        <v>28675</v>
      </c>
      <c r="H10338" t="s">
        <v>9998</v>
      </c>
      <c r="I10338" t="s">
        <v>7352</v>
      </c>
      <c r="J10338" t="s">
        <v>35213</v>
      </c>
      <c r="K10338" t="s">
        <v>37215</v>
      </c>
      <c r="M10338" t="s">
        <v>40692</v>
      </c>
      <c r="N10338" t="s">
        <v>41249</v>
      </c>
      <c r="O10338" t="s">
        <v>41250</v>
      </c>
      <c r="P10338">
        <v>0</v>
      </c>
      <c r="Q10338">
        <v>1</v>
      </c>
      <c r="R10338" t="s">
        <v>41261</v>
      </c>
      <c r="S10338" t="s">
        <v>41680</v>
      </c>
      <c r="T10338" t="s">
        <v>42805</v>
      </c>
      <c r="U10338" t="s">
        <v>51534</v>
      </c>
      <c r="W10338" t="s">
        <v>40692</v>
      </c>
      <c r="X10338" t="s">
        <v>41263</v>
      </c>
    </row>
    <row r="10339" spans="1:24">
      <c r="A10339">
        <f>HYPERLINK("https://www.philgeps.gov.ph/GEPSNONPILOT/Tender/SplashBidNoticeAbstractUI.aspx?menuIndex=3&amp;refID=7058315&amp;Result=3","7058315")</f>
        <v>0</v>
      </c>
      <c r="B10339" t="s">
        <v>2938</v>
      </c>
      <c r="C10339" t="s">
        <v>13253</v>
      </c>
      <c r="D10339" t="s">
        <v>16663</v>
      </c>
      <c r="E10339" t="s">
        <v>25684</v>
      </c>
      <c r="F10339" t="s">
        <v>28669</v>
      </c>
      <c r="G10339" t="s">
        <v>28675</v>
      </c>
      <c r="H10339" t="s">
        <v>9998</v>
      </c>
      <c r="I10339" t="s">
        <v>28787</v>
      </c>
      <c r="J10339" t="s">
        <v>35214</v>
      </c>
      <c r="K10339" t="s">
        <v>37205</v>
      </c>
      <c r="M10339" t="s">
        <v>40693</v>
      </c>
      <c r="N10339" t="s">
        <v>41249</v>
      </c>
      <c r="O10339" t="s">
        <v>41250</v>
      </c>
      <c r="P10339">
        <v>0</v>
      </c>
      <c r="Q10339">
        <v>7</v>
      </c>
      <c r="R10339" t="s">
        <v>41261</v>
      </c>
      <c r="S10339" t="s">
        <v>41680</v>
      </c>
      <c r="T10339" t="s">
        <v>43063</v>
      </c>
      <c r="U10339" t="s">
        <v>51535</v>
      </c>
      <c r="V10339" t="s">
        <v>55389</v>
      </c>
      <c r="W10339" t="s">
        <v>40693</v>
      </c>
      <c r="X10339" t="s">
        <v>41263</v>
      </c>
    </row>
    <row r="10340" spans="1:24">
      <c r="A10340">
        <f>HYPERLINK("https://www.philgeps.gov.ph/GEPSNONPILOT/Tender/SplashBidNoticeAbstractUI.aspx?menuIndex=3&amp;refID=7057766&amp;Result=3","7057766")</f>
        <v>0</v>
      </c>
      <c r="B10340" t="s">
        <v>1152</v>
      </c>
      <c r="C10340" t="s">
        <v>13254</v>
      </c>
      <c r="E10340" t="s">
        <v>25685</v>
      </c>
      <c r="F10340" t="s">
        <v>28669</v>
      </c>
      <c r="G10340" t="s">
        <v>28675</v>
      </c>
      <c r="H10340" t="s">
        <v>9998</v>
      </c>
      <c r="I10340" t="s">
        <v>11593</v>
      </c>
      <c r="J10340" t="s">
        <v>35215</v>
      </c>
      <c r="K10340" t="s">
        <v>37209</v>
      </c>
      <c r="M10340" t="s">
        <v>38689</v>
      </c>
      <c r="N10340" t="s">
        <v>41249</v>
      </c>
      <c r="O10340" t="s">
        <v>41250</v>
      </c>
      <c r="Q10340">
        <v>29</v>
      </c>
      <c r="R10340" t="s">
        <v>41261</v>
      </c>
      <c r="S10340" t="s">
        <v>41691</v>
      </c>
      <c r="T10340" t="s">
        <v>42709</v>
      </c>
      <c r="U10340" t="s">
        <v>45818</v>
      </c>
      <c r="W10340" t="s">
        <v>38689</v>
      </c>
      <c r="X10340" t="s">
        <v>41264</v>
      </c>
    </row>
    <row r="10341" spans="1:24">
      <c r="A10341">
        <f>HYPERLINK("https://www.philgeps.gov.ph/GEPSNONPILOT/Tender/SplashBidNoticeAbstractUI.aspx?menuIndex=3&amp;refID=7058371&amp;Result=3","7058371")</f>
        <v>0</v>
      </c>
      <c r="B10341" t="s">
        <v>2936</v>
      </c>
      <c r="C10341" t="s">
        <v>13255</v>
      </c>
      <c r="D10341" t="s">
        <v>16626</v>
      </c>
      <c r="E10341" t="s">
        <v>25686</v>
      </c>
      <c r="F10341" t="s">
        <v>28669</v>
      </c>
      <c r="G10341" t="s">
        <v>28675</v>
      </c>
      <c r="H10341" t="s">
        <v>9998</v>
      </c>
      <c r="I10341" t="s">
        <v>28688</v>
      </c>
      <c r="J10341" t="s">
        <v>29225</v>
      </c>
      <c r="K10341" t="s">
        <v>37266</v>
      </c>
      <c r="M10341" t="s">
        <v>40691</v>
      </c>
      <c r="N10341" t="s">
        <v>41249</v>
      </c>
      <c r="O10341" t="s">
        <v>41250</v>
      </c>
      <c r="P10341">
        <v>0</v>
      </c>
      <c r="Q10341">
        <v>0</v>
      </c>
      <c r="R10341" t="s">
        <v>41261</v>
      </c>
      <c r="S10341" t="s">
        <v>41680</v>
      </c>
      <c r="T10341" t="s">
        <v>42758</v>
      </c>
      <c r="U10341" t="s">
        <v>51536</v>
      </c>
      <c r="V10341" t="s">
        <v>55390</v>
      </c>
      <c r="W10341" t="s">
        <v>40691</v>
      </c>
      <c r="X10341" t="s">
        <v>41263</v>
      </c>
    </row>
    <row r="10342" spans="1:24">
      <c r="A10342">
        <f>HYPERLINK("https://www.philgeps.gov.ph/GEPSNONPILOT/Tender/SplashBidNoticeAbstractUI.aspx?menuIndex=3&amp;refID=7058289&amp;Result=3","7058289")</f>
        <v>0</v>
      </c>
      <c r="B10342" t="s">
        <v>2938</v>
      </c>
      <c r="C10342" t="s">
        <v>13256</v>
      </c>
      <c r="D10342" t="s">
        <v>16663</v>
      </c>
      <c r="E10342" t="s">
        <v>25687</v>
      </c>
      <c r="F10342" t="s">
        <v>28669</v>
      </c>
      <c r="G10342" t="s">
        <v>28675</v>
      </c>
      <c r="H10342" t="s">
        <v>9998</v>
      </c>
      <c r="I10342" t="s">
        <v>7352</v>
      </c>
      <c r="J10342" t="s">
        <v>35216</v>
      </c>
      <c r="K10342" t="s">
        <v>37221</v>
      </c>
      <c r="M10342" t="s">
        <v>40693</v>
      </c>
      <c r="N10342" t="s">
        <v>41249</v>
      </c>
      <c r="O10342" t="s">
        <v>41250</v>
      </c>
      <c r="P10342">
        <v>0</v>
      </c>
      <c r="Q10342">
        <v>1</v>
      </c>
      <c r="R10342" t="s">
        <v>41261</v>
      </c>
      <c r="S10342" t="s">
        <v>41680</v>
      </c>
      <c r="T10342" t="s">
        <v>43063</v>
      </c>
      <c r="U10342" t="s">
        <v>51537</v>
      </c>
      <c r="V10342" t="s">
        <v>55389</v>
      </c>
      <c r="W10342" t="s">
        <v>40693</v>
      </c>
      <c r="X10342" t="s">
        <v>41263</v>
      </c>
    </row>
    <row r="10343" spans="1:24">
      <c r="A10343">
        <f>HYPERLINK("https://www.philgeps.gov.ph/GEPSNONPILOT/Tender/SplashBidNoticeAbstractUI.aspx?menuIndex=3&amp;refID=7058279&amp;Result=3","7058279")</f>
        <v>0</v>
      </c>
      <c r="B10343" t="s">
        <v>2938</v>
      </c>
      <c r="C10343" t="s">
        <v>13257</v>
      </c>
      <c r="D10343" t="s">
        <v>16663</v>
      </c>
      <c r="E10343" t="s">
        <v>25688</v>
      </c>
      <c r="F10343" t="s">
        <v>28669</v>
      </c>
      <c r="G10343" t="s">
        <v>28675</v>
      </c>
      <c r="H10343" t="s">
        <v>28686</v>
      </c>
      <c r="I10343" t="s">
        <v>28689</v>
      </c>
      <c r="J10343" t="s">
        <v>35217</v>
      </c>
      <c r="K10343" t="s">
        <v>37213</v>
      </c>
      <c r="M10343" t="s">
        <v>40693</v>
      </c>
      <c r="N10343" t="s">
        <v>41249</v>
      </c>
      <c r="O10343" t="s">
        <v>41250</v>
      </c>
      <c r="P10343">
        <v>0</v>
      </c>
      <c r="Q10343">
        <v>0</v>
      </c>
      <c r="R10343" t="s">
        <v>41261</v>
      </c>
      <c r="S10343" t="s">
        <v>41680</v>
      </c>
      <c r="T10343" t="s">
        <v>43063</v>
      </c>
      <c r="U10343" t="s">
        <v>51538</v>
      </c>
      <c r="V10343" t="s">
        <v>55389</v>
      </c>
      <c r="W10343" t="s">
        <v>40693</v>
      </c>
      <c r="X10343" t="s">
        <v>41263</v>
      </c>
    </row>
    <row r="10344" spans="1:24">
      <c r="A10344">
        <f>HYPERLINK("https://www.philgeps.gov.ph/GEPSNONPILOT/Tender/SplashBidNoticeAbstractUI.aspx?menuIndex=3&amp;refID=7057576&amp;Result=3","7057576")</f>
        <v>0</v>
      </c>
      <c r="B10344" t="s">
        <v>2891</v>
      </c>
      <c r="C10344" t="s">
        <v>13258</v>
      </c>
      <c r="D10344" t="s">
        <v>16621</v>
      </c>
      <c r="E10344" t="s">
        <v>25689</v>
      </c>
      <c r="F10344" t="s">
        <v>28669</v>
      </c>
      <c r="G10344" t="s">
        <v>28675</v>
      </c>
      <c r="H10344" t="s">
        <v>9998</v>
      </c>
      <c r="I10344" t="s">
        <v>28728</v>
      </c>
      <c r="J10344" t="s">
        <v>35218</v>
      </c>
      <c r="K10344" t="s">
        <v>37327</v>
      </c>
      <c r="M10344" t="s">
        <v>40638</v>
      </c>
      <c r="N10344" t="s">
        <v>41249</v>
      </c>
      <c r="O10344" t="s">
        <v>41250</v>
      </c>
      <c r="P10344">
        <v>0</v>
      </c>
      <c r="Q10344">
        <v>0</v>
      </c>
      <c r="R10344" t="s">
        <v>41261</v>
      </c>
      <c r="S10344" t="s">
        <v>41680</v>
      </c>
      <c r="T10344" t="s">
        <v>43041</v>
      </c>
      <c r="U10344" t="s">
        <v>51539</v>
      </c>
      <c r="W10344" t="s">
        <v>40638</v>
      </c>
      <c r="X10344" t="s">
        <v>41264</v>
      </c>
    </row>
    <row r="10345" spans="1:24">
      <c r="A10345">
        <f>HYPERLINK("https://www.philgeps.gov.ph/GEPSNONPILOT/Tender/SplashBidNoticeAbstractUI.aspx?menuIndex=3&amp;refID=7058571&amp;Result=3","7058571")</f>
        <v>0</v>
      </c>
      <c r="B10345" t="s">
        <v>1116</v>
      </c>
      <c r="C10345" t="s">
        <v>13259</v>
      </c>
      <c r="D10345" t="s">
        <v>16679</v>
      </c>
      <c r="E10345" t="s">
        <v>25690</v>
      </c>
      <c r="F10345" t="s">
        <v>28669</v>
      </c>
      <c r="G10345" t="s">
        <v>28675</v>
      </c>
      <c r="H10345" t="s">
        <v>9998</v>
      </c>
      <c r="I10345" t="s">
        <v>5286</v>
      </c>
      <c r="J10345" t="s">
        <v>35219</v>
      </c>
      <c r="K10345" t="s">
        <v>37206</v>
      </c>
      <c r="M10345" t="s">
        <v>38649</v>
      </c>
      <c r="N10345" t="s">
        <v>41249</v>
      </c>
      <c r="O10345" t="s">
        <v>41250</v>
      </c>
      <c r="P10345">
        <v>0</v>
      </c>
      <c r="Q10345">
        <v>11</v>
      </c>
      <c r="R10345" t="s">
        <v>41261</v>
      </c>
      <c r="S10345" t="s">
        <v>41680</v>
      </c>
      <c r="T10345" t="s">
        <v>42799</v>
      </c>
      <c r="U10345" t="s">
        <v>51540</v>
      </c>
      <c r="W10345" t="s">
        <v>38649</v>
      </c>
      <c r="X10345" t="s">
        <v>41262</v>
      </c>
    </row>
    <row r="10346" spans="1:24">
      <c r="A10346">
        <f>HYPERLINK("https://www.philgeps.gov.ph/GEPSNONPILOT/Tender/SplashBidNoticeAbstractUI.aspx?menuIndex=3&amp;refID=7058310&amp;Result=3","7058310")</f>
        <v>0</v>
      </c>
      <c r="B10346" t="s">
        <v>2938</v>
      </c>
      <c r="C10346" t="s">
        <v>13260</v>
      </c>
      <c r="D10346" t="s">
        <v>16663</v>
      </c>
      <c r="E10346" t="s">
        <v>25691</v>
      </c>
      <c r="F10346" t="s">
        <v>28669</v>
      </c>
      <c r="G10346" t="s">
        <v>28675</v>
      </c>
      <c r="H10346" t="s">
        <v>9998</v>
      </c>
      <c r="I10346" t="s">
        <v>28709</v>
      </c>
      <c r="J10346" t="s">
        <v>33512</v>
      </c>
      <c r="K10346" t="s">
        <v>37205</v>
      </c>
      <c r="M10346" t="s">
        <v>40693</v>
      </c>
      <c r="N10346" t="s">
        <v>41249</v>
      </c>
      <c r="O10346" t="s">
        <v>41250</v>
      </c>
      <c r="P10346">
        <v>0</v>
      </c>
      <c r="Q10346">
        <v>5</v>
      </c>
      <c r="R10346" t="s">
        <v>41261</v>
      </c>
      <c r="S10346" t="s">
        <v>41680</v>
      </c>
      <c r="T10346" t="s">
        <v>43063</v>
      </c>
      <c r="U10346" t="s">
        <v>51541</v>
      </c>
      <c r="V10346" t="s">
        <v>55389</v>
      </c>
      <c r="W10346" t="s">
        <v>40693</v>
      </c>
      <c r="X10346" t="s">
        <v>41263</v>
      </c>
    </row>
    <row r="10347" spans="1:24">
      <c r="A10347">
        <f>HYPERLINK("https://www.philgeps.gov.ph/GEPSNONPILOT/Tender/SplashBidNoticeAbstractUI.aspx?menuIndex=3&amp;refID=7058663&amp;Result=3","7058663")</f>
        <v>0</v>
      </c>
      <c r="B10347" t="s">
        <v>425</v>
      </c>
      <c r="C10347" t="s">
        <v>13261</v>
      </c>
      <c r="D10347" t="s">
        <v>16653</v>
      </c>
      <c r="E10347" t="s">
        <v>25692</v>
      </c>
      <c r="F10347" t="s">
        <v>28669</v>
      </c>
      <c r="G10347" t="s">
        <v>28675</v>
      </c>
      <c r="H10347" t="s">
        <v>9998</v>
      </c>
      <c r="I10347" t="s">
        <v>8667</v>
      </c>
      <c r="J10347" t="s">
        <v>31648</v>
      </c>
      <c r="K10347" t="s">
        <v>37204</v>
      </c>
      <c r="L10347" t="s">
        <v>425</v>
      </c>
      <c r="M10347" t="s">
        <v>37910</v>
      </c>
      <c r="N10347" t="s">
        <v>41249</v>
      </c>
      <c r="O10347" t="s">
        <v>41250</v>
      </c>
      <c r="P10347">
        <v>0</v>
      </c>
      <c r="Q10347">
        <v>3</v>
      </c>
      <c r="R10347" t="s">
        <v>41261</v>
      </c>
      <c r="S10347" t="s">
        <v>41680</v>
      </c>
      <c r="T10347" t="s">
        <v>42698</v>
      </c>
      <c r="U10347" t="s">
        <v>51542</v>
      </c>
      <c r="W10347" t="s">
        <v>37910</v>
      </c>
      <c r="X10347" t="s">
        <v>41262</v>
      </c>
    </row>
    <row r="10348" spans="1:24">
      <c r="A10348">
        <f>HYPERLINK("https://www.philgeps.gov.ph/GEPSNONPILOT/Tender/SplashBidNoticeAbstractUI.aspx?menuIndex=3&amp;refID=7058587&amp;Result=3","7058587")</f>
        <v>0</v>
      </c>
      <c r="B10348" t="s">
        <v>2160</v>
      </c>
      <c r="C10348" t="s">
        <v>13262</v>
      </c>
      <c r="D10348" t="s">
        <v>16642</v>
      </c>
      <c r="E10348" t="s">
        <v>25693</v>
      </c>
      <c r="F10348" t="s">
        <v>28669</v>
      </c>
      <c r="G10348" t="s">
        <v>28675</v>
      </c>
      <c r="H10348" t="s">
        <v>9998</v>
      </c>
      <c r="I10348" t="s">
        <v>5286</v>
      </c>
      <c r="J10348" t="s">
        <v>35220</v>
      </c>
      <c r="K10348" t="s">
        <v>37209</v>
      </c>
      <c r="M10348" t="s">
        <v>39806</v>
      </c>
      <c r="N10348" t="s">
        <v>41249</v>
      </c>
      <c r="O10348" t="s">
        <v>41250</v>
      </c>
      <c r="P10348">
        <v>0</v>
      </c>
      <c r="Q10348">
        <v>2</v>
      </c>
      <c r="R10348" t="s">
        <v>41261</v>
      </c>
      <c r="S10348" t="s">
        <v>41680</v>
      </c>
      <c r="T10348" t="s">
        <v>42761</v>
      </c>
      <c r="U10348" t="s">
        <v>51543</v>
      </c>
      <c r="V10348" t="s">
        <v>55391</v>
      </c>
      <c r="W10348" t="s">
        <v>39806</v>
      </c>
      <c r="X10348" t="s">
        <v>41262</v>
      </c>
    </row>
    <row r="10349" spans="1:24">
      <c r="A10349">
        <f>HYPERLINK("https://www.philgeps.gov.ph/GEPSNONPILOT/Tender/SplashBidNoticeAbstractUI.aspx?menuIndex=3&amp;refID=7058153&amp;Result=3","7058153")</f>
        <v>0</v>
      </c>
      <c r="B10349" t="s">
        <v>2093</v>
      </c>
      <c r="C10349" t="s">
        <v>13263</v>
      </c>
      <c r="D10349" t="s">
        <v>16664</v>
      </c>
      <c r="E10349" t="s">
        <v>25694</v>
      </c>
      <c r="F10349" t="s">
        <v>28669</v>
      </c>
      <c r="G10349" t="s">
        <v>28675</v>
      </c>
      <c r="H10349" t="s">
        <v>9998</v>
      </c>
      <c r="I10349" t="s">
        <v>7352</v>
      </c>
      <c r="J10349" t="s">
        <v>35221</v>
      </c>
      <c r="K10349" t="s">
        <v>37205</v>
      </c>
      <c r="M10349" t="s">
        <v>39735</v>
      </c>
      <c r="N10349" t="s">
        <v>41249</v>
      </c>
      <c r="O10349" t="s">
        <v>41250</v>
      </c>
      <c r="P10349">
        <v>0</v>
      </c>
      <c r="Q10349">
        <v>0</v>
      </c>
      <c r="R10349" t="s">
        <v>41261</v>
      </c>
      <c r="S10349" t="s">
        <v>41680</v>
      </c>
      <c r="T10349" t="s">
        <v>42764</v>
      </c>
      <c r="U10349" t="s">
        <v>51544</v>
      </c>
      <c r="W10349" t="s">
        <v>39735</v>
      </c>
      <c r="X10349" t="s">
        <v>41263</v>
      </c>
    </row>
    <row r="10350" spans="1:24">
      <c r="A10350">
        <f>HYPERLINK("https://www.philgeps.gov.ph/GEPSNONPILOT/Tender/SplashBidNoticeAbstractUI.aspx?menuIndex=3&amp;refID=7058576&amp;Result=3","7058576")</f>
        <v>0</v>
      </c>
      <c r="B10350" t="s">
        <v>1116</v>
      </c>
      <c r="C10350" t="s">
        <v>13264</v>
      </c>
      <c r="D10350" t="s">
        <v>16679</v>
      </c>
      <c r="E10350" t="s">
        <v>25695</v>
      </c>
      <c r="F10350" t="s">
        <v>28669</v>
      </c>
      <c r="G10350" t="s">
        <v>28675</v>
      </c>
      <c r="H10350" t="s">
        <v>9998</v>
      </c>
      <c r="I10350" t="s">
        <v>5286</v>
      </c>
      <c r="J10350" t="s">
        <v>35222</v>
      </c>
      <c r="K10350" t="s">
        <v>37205</v>
      </c>
      <c r="M10350" t="s">
        <v>38649</v>
      </c>
      <c r="N10350" t="s">
        <v>41249</v>
      </c>
      <c r="O10350" t="s">
        <v>41250</v>
      </c>
      <c r="P10350">
        <v>0</v>
      </c>
      <c r="Q10350">
        <v>5</v>
      </c>
      <c r="R10350" t="s">
        <v>41261</v>
      </c>
      <c r="S10350" t="s">
        <v>41680</v>
      </c>
      <c r="T10350" t="s">
        <v>42799</v>
      </c>
      <c r="U10350" t="s">
        <v>51545</v>
      </c>
      <c r="W10350" t="s">
        <v>38649</v>
      </c>
      <c r="X10350" t="s">
        <v>41262</v>
      </c>
    </row>
    <row r="10351" spans="1:24">
      <c r="A10351">
        <f>HYPERLINK("https://www.philgeps.gov.ph/GEPSNONPILOT/Tender/SplashBidNoticeAbstractUI.aspx?menuIndex=3&amp;refID=7058573&amp;Result=3","7058573")</f>
        <v>0</v>
      </c>
      <c r="B10351" t="s">
        <v>1116</v>
      </c>
      <c r="C10351" t="s">
        <v>13265</v>
      </c>
      <c r="D10351" t="s">
        <v>16679</v>
      </c>
      <c r="E10351" t="s">
        <v>25696</v>
      </c>
      <c r="F10351" t="s">
        <v>28669</v>
      </c>
      <c r="G10351" t="s">
        <v>28675</v>
      </c>
      <c r="H10351" t="s">
        <v>9998</v>
      </c>
      <c r="I10351" t="s">
        <v>5213</v>
      </c>
      <c r="J10351" t="s">
        <v>31738</v>
      </c>
      <c r="K10351" t="s">
        <v>37227</v>
      </c>
      <c r="M10351" t="s">
        <v>38649</v>
      </c>
      <c r="N10351" t="s">
        <v>41249</v>
      </c>
      <c r="O10351" t="s">
        <v>41250</v>
      </c>
      <c r="P10351">
        <v>0</v>
      </c>
      <c r="Q10351">
        <v>1</v>
      </c>
      <c r="R10351" t="s">
        <v>41261</v>
      </c>
      <c r="S10351" t="s">
        <v>41680</v>
      </c>
      <c r="T10351" t="s">
        <v>42799</v>
      </c>
      <c r="U10351" t="s">
        <v>51546</v>
      </c>
      <c r="W10351" t="s">
        <v>38649</v>
      </c>
      <c r="X10351" t="s">
        <v>41262</v>
      </c>
    </row>
    <row r="10352" spans="1:24">
      <c r="A10352">
        <f>HYPERLINK("https://www.philgeps.gov.ph/GEPSNONPILOT/Tender/SplashBidNoticeAbstractUI.aspx?menuIndex=3&amp;refID=7058569&amp;Result=3","7058569")</f>
        <v>0</v>
      </c>
      <c r="B10352" t="s">
        <v>1116</v>
      </c>
      <c r="C10352" t="s">
        <v>13266</v>
      </c>
      <c r="D10352" t="s">
        <v>16679</v>
      </c>
      <c r="E10352" t="s">
        <v>25697</v>
      </c>
      <c r="F10352" t="s">
        <v>28669</v>
      </c>
      <c r="G10352" t="s">
        <v>28675</v>
      </c>
      <c r="H10352" t="s">
        <v>9998</v>
      </c>
      <c r="I10352" t="s">
        <v>6458</v>
      </c>
      <c r="J10352" t="s">
        <v>35223</v>
      </c>
      <c r="K10352" t="s">
        <v>37227</v>
      </c>
      <c r="M10352" t="s">
        <v>38649</v>
      </c>
      <c r="N10352" t="s">
        <v>41249</v>
      </c>
      <c r="O10352" t="s">
        <v>41250</v>
      </c>
      <c r="P10352">
        <v>0</v>
      </c>
      <c r="Q10352">
        <v>7</v>
      </c>
      <c r="R10352" t="s">
        <v>41261</v>
      </c>
      <c r="S10352" t="s">
        <v>41680</v>
      </c>
      <c r="T10352" t="s">
        <v>42799</v>
      </c>
      <c r="U10352" t="s">
        <v>51547</v>
      </c>
      <c r="W10352" t="s">
        <v>38649</v>
      </c>
      <c r="X10352" t="s">
        <v>41262</v>
      </c>
    </row>
    <row r="10353" spans="1:24">
      <c r="A10353">
        <f>HYPERLINK("https://www.philgeps.gov.ph/GEPSNONPILOT/Tender/SplashBidNoticeAbstractUI.aspx?menuIndex=3&amp;refID=7058564&amp;Result=3","7058564")</f>
        <v>0</v>
      </c>
      <c r="B10353" t="s">
        <v>100</v>
      </c>
      <c r="C10353" t="s">
        <v>13267</v>
      </c>
      <c r="D10353" t="s">
        <v>16608</v>
      </c>
      <c r="E10353" t="s">
        <v>25698</v>
      </c>
      <c r="F10353" t="s">
        <v>28669</v>
      </c>
      <c r="G10353" t="s">
        <v>28675</v>
      </c>
      <c r="H10353" t="s">
        <v>9998</v>
      </c>
      <c r="I10353" t="s">
        <v>28728</v>
      </c>
      <c r="J10353" t="s">
        <v>35224</v>
      </c>
      <c r="K10353" t="s">
        <v>37209</v>
      </c>
      <c r="M10353" t="s">
        <v>40690</v>
      </c>
      <c r="N10353" t="s">
        <v>41249</v>
      </c>
      <c r="O10353" t="s">
        <v>41250</v>
      </c>
      <c r="P10353">
        <v>0</v>
      </c>
      <c r="Q10353">
        <v>1</v>
      </c>
      <c r="R10353" t="s">
        <v>41261</v>
      </c>
      <c r="S10353" t="s">
        <v>41680</v>
      </c>
      <c r="T10353" t="s">
        <v>42700</v>
      </c>
      <c r="U10353" t="s">
        <v>51548</v>
      </c>
      <c r="V10353" t="s">
        <v>55392</v>
      </c>
      <c r="W10353" t="s">
        <v>40690</v>
      </c>
      <c r="X10353" t="s">
        <v>41262</v>
      </c>
    </row>
    <row r="10354" spans="1:24">
      <c r="A10354">
        <f>HYPERLINK("https://www.philgeps.gov.ph/GEPSNONPILOT/Tender/SplashBidNoticeAbstractUI.aspx?menuIndex=3&amp;refID=7058553&amp;Result=3","7058553")</f>
        <v>0</v>
      </c>
      <c r="B10354" t="s">
        <v>2939</v>
      </c>
      <c r="C10354" t="s">
        <v>13268</v>
      </c>
      <c r="D10354" t="s">
        <v>16653</v>
      </c>
      <c r="E10354" t="s">
        <v>23803</v>
      </c>
      <c r="F10354" t="s">
        <v>28669</v>
      </c>
      <c r="G10354" t="s">
        <v>28675</v>
      </c>
      <c r="H10354" t="s">
        <v>28686</v>
      </c>
      <c r="I10354" t="s">
        <v>28689</v>
      </c>
      <c r="J10354" t="s">
        <v>29526</v>
      </c>
      <c r="K10354" t="s">
        <v>37220</v>
      </c>
      <c r="M10354" t="s">
        <v>40694</v>
      </c>
      <c r="N10354" t="s">
        <v>41249</v>
      </c>
      <c r="O10354" t="s">
        <v>41250</v>
      </c>
      <c r="P10354">
        <v>0</v>
      </c>
      <c r="Q10354">
        <v>0</v>
      </c>
      <c r="R10354" t="s">
        <v>41261</v>
      </c>
      <c r="S10354" t="s">
        <v>41680</v>
      </c>
      <c r="T10354" t="s">
        <v>42739</v>
      </c>
      <c r="U10354" t="s">
        <v>51549</v>
      </c>
      <c r="W10354" t="s">
        <v>40694</v>
      </c>
      <c r="X10354" t="s">
        <v>41262</v>
      </c>
    </row>
    <row r="10355" spans="1:24">
      <c r="A10355">
        <f>HYPERLINK("https://www.philgeps.gov.ph/GEPSNONPILOT/Tender/SplashBidNoticeAbstractUI.aspx?menuIndex=3&amp;refID=7058656&amp;Result=3","7058656")</f>
        <v>0</v>
      </c>
      <c r="B10355" t="s">
        <v>2524</v>
      </c>
      <c r="C10355" t="s">
        <v>13269</v>
      </c>
      <c r="D10355" t="s">
        <v>16650</v>
      </c>
      <c r="E10355" t="s">
        <v>25699</v>
      </c>
      <c r="F10355" t="s">
        <v>28669</v>
      </c>
      <c r="G10355" t="s">
        <v>28676</v>
      </c>
      <c r="H10355" t="s">
        <v>9998</v>
      </c>
      <c r="I10355" t="s">
        <v>7352</v>
      </c>
      <c r="J10355" t="s">
        <v>35225</v>
      </c>
      <c r="K10355" t="s">
        <v>37206</v>
      </c>
      <c r="M10355" t="s">
        <v>40213</v>
      </c>
      <c r="N10355" t="s">
        <v>41249</v>
      </c>
      <c r="O10355" t="s">
        <v>41250</v>
      </c>
      <c r="P10355">
        <v>0</v>
      </c>
      <c r="Q10355">
        <v>0</v>
      </c>
      <c r="R10355" t="s">
        <v>41261</v>
      </c>
      <c r="S10355" t="s">
        <v>41680</v>
      </c>
      <c r="T10355" t="s">
        <v>42714</v>
      </c>
      <c r="U10355" t="s">
        <v>51550</v>
      </c>
      <c r="W10355" t="s">
        <v>40213</v>
      </c>
      <c r="X10355" t="s">
        <v>41262</v>
      </c>
    </row>
    <row r="10356" spans="1:24">
      <c r="A10356">
        <f>HYPERLINK("https://www.philgeps.gov.ph/GEPSNONPILOT/Tender/SplashBidNoticeAbstractUI.aspx?menuIndex=3&amp;refID=7058552&amp;Result=3","7058552")</f>
        <v>0</v>
      </c>
      <c r="B10356" t="s">
        <v>2939</v>
      </c>
      <c r="C10356" t="s">
        <v>13270</v>
      </c>
      <c r="D10356" t="s">
        <v>16653</v>
      </c>
      <c r="E10356" t="s">
        <v>19012</v>
      </c>
      <c r="F10356" t="s">
        <v>28669</v>
      </c>
      <c r="G10356" t="s">
        <v>28675</v>
      </c>
      <c r="H10356" t="s">
        <v>28686</v>
      </c>
      <c r="I10356" t="s">
        <v>28689</v>
      </c>
      <c r="J10356" t="s">
        <v>28924</v>
      </c>
      <c r="K10356" t="s">
        <v>37213</v>
      </c>
      <c r="M10356" t="s">
        <v>40694</v>
      </c>
      <c r="N10356" t="s">
        <v>41249</v>
      </c>
      <c r="O10356" t="s">
        <v>41250</v>
      </c>
      <c r="P10356">
        <v>0</v>
      </c>
      <c r="Q10356">
        <v>0</v>
      </c>
      <c r="R10356" t="s">
        <v>41261</v>
      </c>
      <c r="S10356" t="s">
        <v>41680</v>
      </c>
      <c r="T10356" t="s">
        <v>42739</v>
      </c>
      <c r="U10356" t="s">
        <v>51549</v>
      </c>
      <c r="W10356" t="s">
        <v>40694</v>
      </c>
      <c r="X10356" t="s">
        <v>41262</v>
      </c>
    </row>
    <row r="10357" spans="1:24">
      <c r="A10357">
        <f>HYPERLINK("https://www.philgeps.gov.ph/GEPSNONPILOT/Tender/SplashBidNoticeAbstractUI.aspx?menuIndex=3&amp;refID=7058549&amp;Result=3","7058549")</f>
        <v>0</v>
      </c>
      <c r="B10357" t="s">
        <v>1548</v>
      </c>
      <c r="C10357" t="s">
        <v>13271</v>
      </c>
      <c r="D10357" t="s">
        <v>16621</v>
      </c>
      <c r="E10357" t="s">
        <v>25700</v>
      </c>
      <c r="F10357" t="s">
        <v>28669</v>
      </c>
      <c r="G10357" t="s">
        <v>28675</v>
      </c>
      <c r="H10357" t="s">
        <v>28686</v>
      </c>
      <c r="I10357" t="s">
        <v>28689</v>
      </c>
      <c r="J10357" t="s">
        <v>35226</v>
      </c>
      <c r="K10357" t="s">
        <v>37244</v>
      </c>
      <c r="M10357" t="s">
        <v>39125</v>
      </c>
      <c r="N10357" t="s">
        <v>41249</v>
      </c>
      <c r="O10357" t="s">
        <v>41250</v>
      </c>
      <c r="P10357">
        <v>0</v>
      </c>
      <c r="Q10357">
        <v>2</v>
      </c>
      <c r="R10357" t="s">
        <v>41261</v>
      </c>
      <c r="S10357" t="s">
        <v>41680</v>
      </c>
      <c r="T10357" t="s">
        <v>42712</v>
      </c>
      <c r="U10357" t="s">
        <v>51551</v>
      </c>
      <c r="W10357" t="s">
        <v>39125</v>
      </c>
      <c r="X10357" t="s">
        <v>41262</v>
      </c>
    </row>
    <row r="10358" spans="1:24">
      <c r="A10358">
        <f>HYPERLINK("https://www.philgeps.gov.ph/GEPSNONPILOT/Tender/SplashBidNoticeAbstractUI.aspx?menuIndex=3&amp;refID=7058536&amp;Result=3","7058536")</f>
        <v>0</v>
      </c>
      <c r="B10358" t="s">
        <v>1667</v>
      </c>
      <c r="C10358" t="s">
        <v>13272</v>
      </c>
      <c r="D10358" t="s">
        <v>16608</v>
      </c>
      <c r="E10358" t="s">
        <v>25701</v>
      </c>
      <c r="F10358" t="s">
        <v>28669</v>
      </c>
      <c r="G10358" t="s">
        <v>28675</v>
      </c>
      <c r="H10358" t="s">
        <v>9998</v>
      </c>
      <c r="I10358" t="s">
        <v>28708</v>
      </c>
      <c r="J10358" t="s">
        <v>35227</v>
      </c>
      <c r="K10358" t="s">
        <v>37221</v>
      </c>
      <c r="M10358" t="s">
        <v>40695</v>
      </c>
      <c r="N10358" t="s">
        <v>41249</v>
      </c>
      <c r="O10358" t="s">
        <v>41250</v>
      </c>
      <c r="P10358">
        <v>0</v>
      </c>
      <c r="Q10358">
        <v>17</v>
      </c>
      <c r="R10358" t="s">
        <v>41261</v>
      </c>
      <c r="S10358" t="s">
        <v>41680</v>
      </c>
      <c r="T10358" t="s">
        <v>43004</v>
      </c>
      <c r="U10358" t="s">
        <v>51552</v>
      </c>
      <c r="W10358" t="s">
        <v>40695</v>
      </c>
      <c r="X10358" t="s">
        <v>41262</v>
      </c>
    </row>
    <row r="10359" spans="1:24">
      <c r="A10359">
        <f>HYPERLINK("https://www.philgeps.gov.ph/GEPSNONPILOT/Tender/SplashBidNoticeAbstractUI.aspx?menuIndex=3&amp;refID=7058558&amp;Result=3","7058558")</f>
        <v>0</v>
      </c>
      <c r="B10359" t="s">
        <v>1987</v>
      </c>
      <c r="C10359" t="s">
        <v>13273</v>
      </c>
      <c r="D10359" t="s">
        <v>16608</v>
      </c>
      <c r="E10359" t="s">
        <v>25702</v>
      </c>
      <c r="F10359" t="s">
        <v>28669</v>
      </c>
      <c r="G10359" t="s">
        <v>28675</v>
      </c>
      <c r="H10359" t="s">
        <v>28684</v>
      </c>
      <c r="I10359" t="s">
        <v>28728</v>
      </c>
      <c r="J10359" t="s">
        <v>35228</v>
      </c>
      <c r="K10359" t="s">
        <v>37279</v>
      </c>
      <c r="M10359" t="s">
        <v>39623</v>
      </c>
      <c r="N10359" t="s">
        <v>41249</v>
      </c>
      <c r="O10359" t="s">
        <v>41250</v>
      </c>
      <c r="Q10359">
        <v>1</v>
      </c>
      <c r="R10359" t="s">
        <v>41261</v>
      </c>
      <c r="S10359" t="s">
        <v>41692</v>
      </c>
      <c r="T10359" t="s">
        <v>42659</v>
      </c>
      <c r="U10359" t="s">
        <v>51553</v>
      </c>
      <c r="W10359" t="s">
        <v>39623</v>
      </c>
      <c r="X10359" t="s">
        <v>41262</v>
      </c>
    </row>
    <row r="10360" spans="1:24">
      <c r="A10360">
        <f>HYPERLINK("https://www.philgeps.gov.ph/GEPSNONPILOT/Tender/SplashBidNoticeAbstractUI.aspx?menuIndex=3&amp;refID=7058305&amp;Result=3","7058305")</f>
        <v>0</v>
      </c>
      <c r="B10360" t="s">
        <v>2938</v>
      </c>
      <c r="C10360" t="s">
        <v>13274</v>
      </c>
      <c r="D10360" t="s">
        <v>16663</v>
      </c>
      <c r="E10360" t="s">
        <v>25703</v>
      </c>
      <c r="F10360" t="s">
        <v>28669</v>
      </c>
      <c r="G10360" t="s">
        <v>28675</v>
      </c>
      <c r="H10360" t="s">
        <v>9998</v>
      </c>
      <c r="I10360" t="s">
        <v>28708</v>
      </c>
      <c r="J10360" t="s">
        <v>30025</v>
      </c>
      <c r="K10360" t="s">
        <v>37205</v>
      </c>
      <c r="M10360" t="s">
        <v>40693</v>
      </c>
      <c r="N10360" t="s">
        <v>41249</v>
      </c>
      <c r="O10360" t="s">
        <v>41250</v>
      </c>
      <c r="P10360">
        <v>0</v>
      </c>
      <c r="Q10360">
        <v>5</v>
      </c>
      <c r="R10360" t="s">
        <v>41261</v>
      </c>
      <c r="S10360" t="s">
        <v>41680</v>
      </c>
      <c r="T10360" t="s">
        <v>43063</v>
      </c>
      <c r="U10360" t="s">
        <v>51554</v>
      </c>
      <c r="V10360" t="s">
        <v>55389</v>
      </c>
      <c r="W10360" t="s">
        <v>40693</v>
      </c>
      <c r="X10360" t="s">
        <v>41263</v>
      </c>
    </row>
    <row r="10361" spans="1:24">
      <c r="A10361">
        <f>HYPERLINK("https://www.philgeps.gov.ph/GEPSNONPILOT/Tender/SplashBidNoticeAbstractUI.aspx?menuIndex=3&amp;refID=7058555&amp;Result=3","7058555")</f>
        <v>0</v>
      </c>
      <c r="B10361" t="s">
        <v>2939</v>
      </c>
      <c r="C10361" t="s">
        <v>13275</v>
      </c>
      <c r="D10361" t="s">
        <v>16653</v>
      </c>
      <c r="E10361" t="s">
        <v>16864</v>
      </c>
      <c r="F10361" t="s">
        <v>28669</v>
      </c>
      <c r="G10361" t="s">
        <v>28675</v>
      </c>
      <c r="H10361" t="s">
        <v>9998</v>
      </c>
      <c r="I10361" t="s">
        <v>28743</v>
      </c>
      <c r="J10361" t="s">
        <v>28836</v>
      </c>
      <c r="K10361" t="s">
        <v>37220</v>
      </c>
      <c r="M10361" t="s">
        <v>40694</v>
      </c>
      <c r="N10361" t="s">
        <v>41249</v>
      </c>
      <c r="O10361" t="s">
        <v>41250</v>
      </c>
      <c r="P10361">
        <v>0</v>
      </c>
      <c r="Q10361">
        <v>5</v>
      </c>
      <c r="R10361" t="s">
        <v>41261</v>
      </c>
      <c r="S10361" t="s">
        <v>41680</v>
      </c>
      <c r="T10361" t="s">
        <v>42739</v>
      </c>
      <c r="U10361" t="s">
        <v>51549</v>
      </c>
      <c r="W10361" t="s">
        <v>40694</v>
      </c>
      <c r="X10361" t="s">
        <v>41262</v>
      </c>
    </row>
    <row r="10362" spans="1:24">
      <c r="A10362">
        <f>HYPERLINK("https://www.philgeps.gov.ph/GEPSNONPILOT/Tender/SplashBidNoticeAbstractUI.aspx?menuIndex=3&amp;refID=7058527&amp;Result=3","7058527")</f>
        <v>0</v>
      </c>
      <c r="B10362" t="s">
        <v>2940</v>
      </c>
      <c r="C10362" t="s">
        <v>13276</v>
      </c>
      <c r="D10362" t="s">
        <v>16617</v>
      </c>
      <c r="E10362" t="s">
        <v>16861</v>
      </c>
      <c r="F10362" t="s">
        <v>28669</v>
      </c>
      <c r="G10362" t="s">
        <v>28675</v>
      </c>
      <c r="H10362" t="s">
        <v>9998</v>
      </c>
      <c r="I10362" t="s">
        <v>28734</v>
      </c>
      <c r="J10362" t="s">
        <v>35229</v>
      </c>
      <c r="K10362" t="s">
        <v>37206</v>
      </c>
      <c r="M10362" t="s">
        <v>40696</v>
      </c>
      <c r="N10362" t="s">
        <v>41249</v>
      </c>
      <c r="O10362" t="s">
        <v>41250</v>
      </c>
      <c r="P10362">
        <v>0</v>
      </c>
      <c r="Q10362">
        <v>12</v>
      </c>
      <c r="R10362" t="s">
        <v>41261</v>
      </c>
      <c r="S10362" t="s">
        <v>41680</v>
      </c>
      <c r="T10362" t="s">
        <v>42712</v>
      </c>
      <c r="U10362" t="s">
        <v>51555</v>
      </c>
      <c r="W10362" t="s">
        <v>40696</v>
      </c>
      <c r="X10362" t="s">
        <v>41262</v>
      </c>
    </row>
    <row r="10363" spans="1:24">
      <c r="A10363">
        <f>HYPERLINK("https://www.philgeps.gov.ph/GEPSNONPILOT/Tender/SplashBidNoticeAbstractUI.aspx?menuIndex=3&amp;refID=7058780&amp;Result=3","7058780")</f>
        <v>0</v>
      </c>
      <c r="B10363" t="s">
        <v>1770</v>
      </c>
      <c r="C10363" t="s">
        <v>13277</v>
      </c>
      <c r="D10363" t="s">
        <v>16608</v>
      </c>
      <c r="E10363" t="s">
        <v>25704</v>
      </c>
      <c r="F10363" t="s">
        <v>28669</v>
      </c>
      <c r="G10363" t="s">
        <v>28675</v>
      </c>
      <c r="H10363" t="s">
        <v>28686</v>
      </c>
      <c r="I10363" t="s">
        <v>28689</v>
      </c>
      <c r="J10363" t="s">
        <v>35230</v>
      </c>
      <c r="K10363" t="s">
        <v>37326</v>
      </c>
      <c r="M10363" t="s">
        <v>40076</v>
      </c>
      <c r="N10363" t="s">
        <v>41249</v>
      </c>
      <c r="O10363" t="s">
        <v>41250</v>
      </c>
      <c r="P10363">
        <v>0</v>
      </c>
      <c r="Q10363">
        <v>25</v>
      </c>
      <c r="R10363" t="s">
        <v>41261</v>
      </c>
      <c r="S10363" t="s">
        <v>41680</v>
      </c>
      <c r="T10363" t="s">
        <v>42769</v>
      </c>
      <c r="U10363" t="s">
        <v>51556</v>
      </c>
      <c r="W10363" t="s">
        <v>40076</v>
      </c>
      <c r="X10363" t="s">
        <v>41262</v>
      </c>
    </row>
    <row r="10364" spans="1:24">
      <c r="A10364">
        <f>HYPERLINK("https://www.philgeps.gov.ph/GEPSNONPILOT/Tender/SplashBidNoticeAbstractUI.aspx?menuIndex=3&amp;refID=7058786&amp;Result=3","7058786")</f>
        <v>0</v>
      </c>
      <c r="B10364" t="s">
        <v>1770</v>
      </c>
      <c r="C10364" t="s">
        <v>13278</v>
      </c>
      <c r="D10364" t="s">
        <v>16608</v>
      </c>
      <c r="E10364" t="s">
        <v>25705</v>
      </c>
      <c r="F10364" t="s">
        <v>28669</v>
      </c>
      <c r="G10364" t="s">
        <v>28675</v>
      </c>
      <c r="H10364" t="s">
        <v>28686</v>
      </c>
      <c r="I10364" t="s">
        <v>28689</v>
      </c>
      <c r="J10364" t="s">
        <v>35231</v>
      </c>
      <c r="K10364" t="s">
        <v>37212</v>
      </c>
      <c r="M10364" t="s">
        <v>40076</v>
      </c>
      <c r="N10364" t="s">
        <v>41249</v>
      </c>
      <c r="O10364" t="s">
        <v>41250</v>
      </c>
      <c r="P10364">
        <v>0</v>
      </c>
      <c r="Q10364">
        <v>27</v>
      </c>
      <c r="R10364" t="s">
        <v>41261</v>
      </c>
      <c r="S10364" t="s">
        <v>41680</v>
      </c>
      <c r="T10364" t="s">
        <v>42769</v>
      </c>
      <c r="U10364" t="s">
        <v>51557</v>
      </c>
      <c r="W10364" t="s">
        <v>40076</v>
      </c>
      <c r="X10364" t="s">
        <v>41262</v>
      </c>
    </row>
    <row r="10365" spans="1:24">
      <c r="A10365">
        <f>HYPERLINK("https://www.philgeps.gov.ph/GEPSNONPILOT/Tender/SplashBidNoticeAbstractUI.aspx?menuIndex=3&amp;refID=7058757&amp;Result=3","7058757")</f>
        <v>0</v>
      </c>
      <c r="B10365" t="s">
        <v>752</v>
      </c>
      <c r="C10365" t="s">
        <v>13279</v>
      </c>
      <c r="E10365" t="s">
        <v>25706</v>
      </c>
      <c r="F10365" t="s">
        <v>28669</v>
      </c>
      <c r="G10365" t="s">
        <v>28675</v>
      </c>
      <c r="H10365" t="s">
        <v>9998</v>
      </c>
      <c r="I10365" t="s">
        <v>28745</v>
      </c>
      <c r="J10365" t="s">
        <v>35078</v>
      </c>
      <c r="K10365" t="s">
        <v>37209</v>
      </c>
      <c r="M10365" t="s">
        <v>39224</v>
      </c>
      <c r="N10365" t="s">
        <v>41249</v>
      </c>
      <c r="O10365" t="s">
        <v>41250</v>
      </c>
      <c r="Q10365">
        <v>1</v>
      </c>
      <c r="R10365" t="s">
        <v>41261</v>
      </c>
      <c r="S10365" t="s">
        <v>41693</v>
      </c>
      <c r="T10365" t="s">
        <v>42836</v>
      </c>
      <c r="U10365" t="s">
        <v>51558</v>
      </c>
      <c r="V10365" t="s">
        <v>54872</v>
      </c>
      <c r="W10365" t="s">
        <v>39224</v>
      </c>
      <c r="X10365" t="s">
        <v>41262</v>
      </c>
    </row>
    <row r="10366" spans="1:24">
      <c r="A10366">
        <f>HYPERLINK("https://www.philgeps.gov.ph/GEPSNONPILOT/Tender/SplashBidNoticeAbstractUI.aspx?menuIndex=3&amp;refID=7058742&amp;Result=3","7058742")</f>
        <v>0</v>
      </c>
      <c r="B10366" t="s">
        <v>752</v>
      </c>
      <c r="C10366" t="s">
        <v>13280</v>
      </c>
      <c r="E10366" t="s">
        <v>25707</v>
      </c>
      <c r="F10366" t="s">
        <v>28669</v>
      </c>
      <c r="G10366" t="s">
        <v>28675</v>
      </c>
      <c r="H10366" t="s">
        <v>9998</v>
      </c>
      <c r="I10366" t="s">
        <v>28745</v>
      </c>
      <c r="J10366" t="s">
        <v>28924</v>
      </c>
      <c r="K10366" t="s">
        <v>37209</v>
      </c>
      <c r="M10366" t="s">
        <v>39224</v>
      </c>
      <c r="N10366" t="s">
        <v>41249</v>
      </c>
      <c r="O10366" t="s">
        <v>41250</v>
      </c>
      <c r="Q10366">
        <v>0</v>
      </c>
      <c r="R10366" t="s">
        <v>41261</v>
      </c>
      <c r="S10366" t="s">
        <v>41625</v>
      </c>
      <c r="T10366" t="s">
        <v>42836</v>
      </c>
      <c r="U10366" t="s">
        <v>51559</v>
      </c>
      <c r="V10366" t="s">
        <v>54872</v>
      </c>
      <c r="W10366" t="s">
        <v>39224</v>
      </c>
      <c r="X10366" t="s">
        <v>41262</v>
      </c>
    </row>
    <row r="10367" spans="1:24">
      <c r="A10367">
        <f>HYPERLINK("https://www.philgeps.gov.ph/GEPSNONPILOT/Tender/SplashBidNoticeAbstractUI.aspx?menuIndex=3&amp;refID=7058741&amp;Result=3","7058741")</f>
        <v>0</v>
      </c>
      <c r="B10367" t="s">
        <v>2941</v>
      </c>
      <c r="C10367" t="s">
        <v>13281</v>
      </c>
      <c r="D10367" t="s">
        <v>16661</v>
      </c>
      <c r="E10367" t="s">
        <v>25708</v>
      </c>
      <c r="F10367" t="s">
        <v>28669</v>
      </c>
      <c r="G10367" t="s">
        <v>28675</v>
      </c>
      <c r="H10367" t="s">
        <v>9998</v>
      </c>
      <c r="I10367" t="s">
        <v>28687</v>
      </c>
      <c r="J10367" t="s">
        <v>34092</v>
      </c>
      <c r="K10367" t="s">
        <v>37227</v>
      </c>
      <c r="M10367" t="s">
        <v>40697</v>
      </c>
      <c r="N10367" t="s">
        <v>41249</v>
      </c>
      <c r="O10367" t="s">
        <v>41250</v>
      </c>
      <c r="P10367">
        <v>0</v>
      </c>
      <c r="Q10367">
        <v>0</v>
      </c>
      <c r="R10367" t="s">
        <v>41261</v>
      </c>
      <c r="S10367" t="s">
        <v>41680</v>
      </c>
      <c r="T10367" t="s">
        <v>42700</v>
      </c>
      <c r="U10367" t="s">
        <v>51560</v>
      </c>
      <c r="W10367" t="s">
        <v>40697</v>
      </c>
      <c r="X10367" t="s">
        <v>41262</v>
      </c>
    </row>
    <row r="10368" spans="1:24">
      <c r="A10368">
        <f>HYPERLINK("https://www.philgeps.gov.ph/GEPSNONPILOT/Tender/SplashBidNoticeAbstractUI.aspx?menuIndex=3&amp;refID=7058665&amp;Result=3","7058665")</f>
        <v>0</v>
      </c>
      <c r="B10368" t="s">
        <v>220</v>
      </c>
      <c r="C10368" t="s">
        <v>13282</v>
      </c>
      <c r="D10368" t="s">
        <v>16627</v>
      </c>
      <c r="E10368" t="s">
        <v>25709</v>
      </c>
      <c r="F10368" t="s">
        <v>28669</v>
      </c>
      <c r="G10368" t="s">
        <v>28675</v>
      </c>
      <c r="H10368" t="s">
        <v>9998</v>
      </c>
      <c r="I10368" t="s">
        <v>28770</v>
      </c>
      <c r="J10368" t="s">
        <v>35232</v>
      </c>
      <c r="K10368" t="s">
        <v>37206</v>
      </c>
      <c r="M10368" t="s">
        <v>37698</v>
      </c>
      <c r="N10368" t="s">
        <v>41249</v>
      </c>
      <c r="O10368" t="s">
        <v>41250</v>
      </c>
      <c r="P10368">
        <v>0</v>
      </c>
      <c r="Q10368">
        <v>3</v>
      </c>
      <c r="R10368" t="s">
        <v>41261</v>
      </c>
      <c r="S10368" t="s">
        <v>41680</v>
      </c>
      <c r="T10368" t="s">
        <v>43000</v>
      </c>
      <c r="U10368" t="s">
        <v>51561</v>
      </c>
      <c r="W10368" t="s">
        <v>37698</v>
      </c>
      <c r="X10368" t="s">
        <v>41262</v>
      </c>
    </row>
    <row r="10369" spans="1:24">
      <c r="A10369">
        <f>HYPERLINK("https://www.philgeps.gov.ph/GEPSNONPILOT/Tender/SplashBidNoticeAbstractUI.aspx?menuIndex=3&amp;refID=7058739&amp;Result=3","7058739")</f>
        <v>0</v>
      </c>
      <c r="B10369" t="s">
        <v>2942</v>
      </c>
      <c r="C10369" t="s">
        <v>13283</v>
      </c>
      <c r="D10369" t="s">
        <v>16618</v>
      </c>
      <c r="E10369" t="s">
        <v>25710</v>
      </c>
      <c r="F10369" t="s">
        <v>28671</v>
      </c>
      <c r="G10369" t="s">
        <v>28675</v>
      </c>
      <c r="H10369" t="s">
        <v>9998</v>
      </c>
      <c r="I10369" t="s">
        <v>7352</v>
      </c>
      <c r="J10369" t="s">
        <v>35233</v>
      </c>
      <c r="K10369" t="s">
        <v>37205</v>
      </c>
      <c r="M10369" t="s">
        <v>40698</v>
      </c>
      <c r="N10369" t="s">
        <v>41249</v>
      </c>
      <c r="O10369" t="s">
        <v>41250</v>
      </c>
      <c r="P10369">
        <v>0</v>
      </c>
      <c r="Q10369">
        <v>0</v>
      </c>
      <c r="R10369" t="s">
        <v>41261</v>
      </c>
      <c r="S10369" t="s">
        <v>41680</v>
      </c>
      <c r="T10369" t="s">
        <v>42871</v>
      </c>
      <c r="U10369" t="s">
        <v>51562</v>
      </c>
      <c r="W10369" t="s">
        <v>40698</v>
      </c>
      <c r="X10369" t="s">
        <v>41262</v>
      </c>
    </row>
    <row r="10370" spans="1:24">
      <c r="A10370">
        <f>HYPERLINK("https://www.philgeps.gov.ph/GEPSNONPILOT/Tender/SplashBidNoticeAbstractUI.aspx?menuIndex=3&amp;refID=7058551&amp;Result=3","7058551")</f>
        <v>0</v>
      </c>
      <c r="B10370" t="s">
        <v>2939</v>
      </c>
      <c r="C10370" t="s">
        <v>13284</v>
      </c>
      <c r="D10370" t="s">
        <v>16653</v>
      </c>
      <c r="E10370" t="s">
        <v>18887</v>
      </c>
      <c r="F10370" t="s">
        <v>28669</v>
      </c>
      <c r="G10370" t="s">
        <v>28675</v>
      </c>
      <c r="H10370" t="s">
        <v>28686</v>
      </c>
      <c r="I10370" t="s">
        <v>28689</v>
      </c>
      <c r="J10370" t="s">
        <v>29003</v>
      </c>
      <c r="K10370" t="s">
        <v>37206</v>
      </c>
      <c r="M10370" t="s">
        <v>40694</v>
      </c>
      <c r="N10370" t="s">
        <v>41249</v>
      </c>
      <c r="O10370" t="s">
        <v>41250</v>
      </c>
      <c r="P10370">
        <v>0</v>
      </c>
      <c r="Q10370">
        <v>0</v>
      </c>
      <c r="R10370" t="s">
        <v>41261</v>
      </c>
      <c r="S10370" t="s">
        <v>41680</v>
      </c>
      <c r="T10370" t="s">
        <v>42739</v>
      </c>
      <c r="U10370" t="s">
        <v>51549</v>
      </c>
      <c r="W10370" t="s">
        <v>40694</v>
      </c>
      <c r="X10370" t="s">
        <v>41262</v>
      </c>
    </row>
    <row r="10371" spans="1:24">
      <c r="A10371">
        <f>HYPERLINK("https://www.philgeps.gov.ph/GEPSNONPILOT/Tender/SplashBidNoticeAbstractUI.aspx?menuIndex=3&amp;refID=7058738&amp;Result=3","7058738")</f>
        <v>0</v>
      </c>
      <c r="B10371" t="s">
        <v>1770</v>
      </c>
      <c r="C10371" t="s">
        <v>13285</v>
      </c>
      <c r="D10371" t="s">
        <v>16608</v>
      </c>
      <c r="E10371" t="s">
        <v>25711</v>
      </c>
      <c r="F10371" t="s">
        <v>28669</v>
      </c>
      <c r="G10371" t="s">
        <v>28675</v>
      </c>
      <c r="H10371" t="s">
        <v>28686</v>
      </c>
      <c r="I10371" t="s">
        <v>28689</v>
      </c>
      <c r="J10371" t="s">
        <v>35234</v>
      </c>
      <c r="K10371" t="s">
        <v>37287</v>
      </c>
      <c r="M10371" t="s">
        <v>40076</v>
      </c>
      <c r="N10371" t="s">
        <v>41249</v>
      </c>
      <c r="O10371" t="s">
        <v>41250</v>
      </c>
      <c r="P10371">
        <v>0</v>
      </c>
      <c r="Q10371">
        <v>31</v>
      </c>
      <c r="R10371" t="s">
        <v>41261</v>
      </c>
      <c r="S10371" t="s">
        <v>41680</v>
      </c>
      <c r="T10371" t="s">
        <v>42769</v>
      </c>
      <c r="U10371" t="s">
        <v>51563</v>
      </c>
      <c r="W10371" t="s">
        <v>40076</v>
      </c>
      <c r="X10371" t="s">
        <v>41262</v>
      </c>
    </row>
    <row r="10372" spans="1:24">
      <c r="A10372">
        <f>HYPERLINK("https://www.philgeps.gov.ph/GEPSNONPILOT/Tender/SplashBidNoticeAbstractUI.aspx?menuIndex=3&amp;refID=7058724&amp;Result=3","7058724")</f>
        <v>0</v>
      </c>
      <c r="B10372" t="s">
        <v>2799</v>
      </c>
      <c r="C10372" t="s">
        <v>13286</v>
      </c>
      <c r="D10372" t="s">
        <v>16608</v>
      </c>
      <c r="E10372" t="s">
        <v>25712</v>
      </c>
      <c r="F10372" t="s">
        <v>28669</v>
      </c>
      <c r="G10372" t="s">
        <v>28675</v>
      </c>
      <c r="H10372" t="s">
        <v>9998</v>
      </c>
      <c r="I10372" t="s">
        <v>28687</v>
      </c>
      <c r="J10372" t="s">
        <v>29033</v>
      </c>
      <c r="K10372" t="s">
        <v>37206</v>
      </c>
      <c r="M10372" t="s">
        <v>40699</v>
      </c>
      <c r="N10372" t="s">
        <v>41249</v>
      </c>
      <c r="O10372" t="s">
        <v>41250</v>
      </c>
      <c r="Q10372">
        <v>5</v>
      </c>
      <c r="R10372" t="s">
        <v>41261</v>
      </c>
      <c r="S10372" t="s">
        <v>41694</v>
      </c>
      <c r="T10372" t="s">
        <v>42659</v>
      </c>
      <c r="U10372" t="s">
        <v>51564</v>
      </c>
      <c r="V10372" t="s">
        <v>55393</v>
      </c>
      <c r="W10372" t="s">
        <v>40699</v>
      </c>
      <c r="X10372" t="s">
        <v>41262</v>
      </c>
    </row>
    <row r="10373" spans="1:24">
      <c r="A10373">
        <f>HYPERLINK("https://www.philgeps.gov.ph/GEPSNONPILOT/Tender/SplashBidNoticeAbstractUI.aspx?menuIndex=3&amp;refID=7058715&amp;Result=3","7058715")</f>
        <v>0</v>
      </c>
      <c r="B10373" t="s">
        <v>1310</v>
      </c>
      <c r="C10373" t="s">
        <v>13287</v>
      </c>
      <c r="D10373" t="s">
        <v>16663</v>
      </c>
      <c r="E10373" t="s">
        <v>19189</v>
      </c>
      <c r="F10373" t="s">
        <v>28669</v>
      </c>
      <c r="G10373" t="s">
        <v>28675</v>
      </c>
      <c r="H10373" t="s">
        <v>9998</v>
      </c>
      <c r="I10373" t="s">
        <v>28687</v>
      </c>
      <c r="J10373" t="s">
        <v>35235</v>
      </c>
      <c r="K10373" t="s">
        <v>37221</v>
      </c>
      <c r="L10373" t="s">
        <v>1310</v>
      </c>
      <c r="M10373" t="s">
        <v>38862</v>
      </c>
      <c r="N10373" t="s">
        <v>41249</v>
      </c>
      <c r="O10373" t="s">
        <v>41250</v>
      </c>
      <c r="P10373">
        <v>0</v>
      </c>
      <c r="Q10373">
        <v>6</v>
      </c>
      <c r="R10373" t="s">
        <v>41261</v>
      </c>
      <c r="S10373" t="s">
        <v>41680</v>
      </c>
      <c r="T10373" t="s">
        <v>42690</v>
      </c>
      <c r="U10373" t="s">
        <v>51565</v>
      </c>
      <c r="V10373" t="s">
        <v>55394</v>
      </c>
      <c r="W10373" t="s">
        <v>38862</v>
      </c>
      <c r="X10373" t="s">
        <v>41262</v>
      </c>
    </row>
    <row r="10374" spans="1:24">
      <c r="A10374">
        <f>HYPERLINK("https://www.philgeps.gov.ph/GEPSNONPILOT/Tender/SplashBidNoticeAbstractUI.aspx?menuIndex=3&amp;refID=7058714&amp;Result=3","7058714")</f>
        <v>0</v>
      </c>
      <c r="B10374" t="s">
        <v>2829</v>
      </c>
      <c r="C10374" t="s">
        <v>13288</v>
      </c>
      <c r="D10374" t="s">
        <v>16631</v>
      </c>
      <c r="E10374" t="s">
        <v>25713</v>
      </c>
      <c r="F10374" t="s">
        <v>28669</v>
      </c>
      <c r="G10374" t="s">
        <v>28675</v>
      </c>
      <c r="H10374" t="s">
        <v>9998</v>
      </c>
      <c r="I10374" t="s">
        <v>28697</v>
      </c>
      <c r="J10374" t="s">
        <v>35236</v>
      </c>
      <c r="K10374" t="s">
        <v>37210</v>
      </c>
      <c r="M10374" t="s">
        <v>40562</v>
      </c>
      <c r="N10374" t="s">
        <v>41249</v>
      </c>
      <c r="O10374" t="s">
        <v>41250</v>
      </c>
      <c r="P10374">
        <v>0</v>
      </c>
      <c r="Q10374">
        <v>5</v>
      </c>
      <c r="R10374" t="s">
        <v>41261</v>
      </c>
      <c r="S10374" t="s">
        <v>41680</v>
      </c>
      <c r="T10374" t="s">
        <v>42759</v>
      </c>
      <c r="U10374" t="s">
        <v>51566</v>
      </c>
      <c r="W10374" t="s">
        <v>40562</v>
      </c>
      <c r="X10374" t="s">
        <v>41262</v>
      </c>
    </row>
    <row r="10375" spans="1:24">
      <c r="A10375">
        <f>HYPERLINK("https://www.philgeps.gov.ph/GEPSNONPILOT/Tender/SplashBidNoticeAbstractUI.aspx?menuIndex=3&amp;refID=7058712&amp;Result=3","7058712")</f>
        <v>0</v>
      </c>
      <c r="B10375" t="s">
        <v>2829</v>
      </c>
      <c r="C10375" t="s">
        <v>13289</v>
      </c>
      <c r="D10375" t="s">
        <v>16631</v>
      </c>
      <c r="E10375" t="s">
        <v>25714</v>
      </c>
      <c r="F10375" t="s">
        <v>28669</v>
      </c>
      <c r="G10375" t="s">
        <v>28679</v>
      </c>
      <c r="H10375" t="s">
        <v>9998</v>
      </c>
      <c r="I10375" t="s">
        <v>7352</v>
      </c>
      <c r="J10375" t="s">
        <v>35237</v>
      </c>
      <c r="K10375" t="s">
        <v>37210</v>
      </c>
      <c r="M10375" t="s">
        <v>40562</v>
      </c>
      <c r="N10375" t="s">
        <v>41249</v>
      </c>
      <c r="O10375" t="s">
        <v>41250</v>
      </c>
      <c r="P10375">
        <v>0</v>
      </c>
      <c r="Q10375">
        <v>0</v>
      </c>
      <c r="R10375" t="s">
        <v>41261</v>
      </c>
      <c r="S10375" t="s">
        <v>41680</v>
      </c>
      <c r="T10375" t="s">
        <v>42759</v>
      </c>
      <c r="U10375" t="s">
        <v>51567</v>
      </c>
      <c r="W10375" t="s">
        <v>40562</v>
      </c>
      <c r="X10375" t="s">
        <v>41262</v>
      </c>
    </row>
    <row r="10376" spans="1:24">
      <c r="A10376">
        <f>HYPERLINK("https://www.philgeps.gov.ph/GEPSNONPILOT/Tender/SplashBidNoticeAbstractUI.aspx?menuIndex=3&amp;refID=7058930&amp;Result=3","7058930")</f>
        <v>0</v>
      </c>
      <c r="B10376" t="s">
        <v>1576</v>
      </c>
      <c r="C10376" t="s">
        <v>13290</v>
      </c>
      <c r="D10376" t="s">
        <v>16666</v>
      </c>
      <c r="E10376" t="s">
        <v>25715</v>
      </c>
      <c r="F10376" t="s">
        <v>28669</v>
      </c>
      <c r="G10376" t="s">
        <v>28675</v>
      </c>
      <c r="H10376" t="s">
        <v>28686</v>
      </c>
      <c r="I10376" t="s">
        <v>28689</v>
      </c>
      <c r="J10376" t="s">
        <v>35238</v>
      </c>
      <c r="K10376" t="s">
        <v>37209</v>
      </c>
      <c r="M10376" t="s">
        <v>40700</v>
      </c>
      <c r="N10376" t="s">
        <v>41249</v>
      </c>
      <c r="O10376" t="s">
        <v>41250</v>
      </c>
      <c r="P10376">
        <v>0</v>
      </c>
      <c r="Q10376">
        <v>0</v>
      </c>
      <c r="R10376" t="s">
        <v>41261</v>
      </c>
      <c r="S10376" t="s">
        <v>41680</v>
      </c>
      <c r="T10376" t="s">
        <v>42739</v>
      </c>
      <c r="U10376" t="s">
        <v>51568</v>
      </c>
      <c r="W10376" t="s">
        <v>40700</v>
      </c>
      <c r="X10376" t="s">
        <v>41262</v>
      </c>
    </row>
    <row r="10377" spans="1:24">
      <c r="A10377">
        <f>HYPERLINK("https://www.philgeps.gov.ph/GEPSNONPILOT/Tender/SplashBidNoticeAbstractUI.aspx?menuIndex=3&amp;refID=7058333&amp;Result=3","7058333")</f>
        <v>0</v>
      </c>
      <c r="B10377" t="s">
        <v>2943</v>
      </c>
      <c r="C10377" t="s">
        <v>13291</v>
      </c>
      <c r="D10377" t="s">
        <v>16672</v>
      </c>
      <c r="E10377" t="s">
        <v>25716</v>
      </c>
      <c r="F10377" t="s">
        <v>28669</v>
      </c>
      <c r="G10377" t="s">
        <v>28682</v>
      </c>
      <c r="H10377" t="s">
        <v>9998</v>
      </c>
      <c r="I10377" t="s">
        <v>28687</v>
      </c>
      <c r="J10377" t="s">
        <v>29281</v>
      </c>
      <c r="K10377" t="s">
        <v>37204</v>
      </c>
      <c r="M10377" t="s">
        <v>40701</v>
      </c>
      <c r="N10377" t="s">
        <v>41249</v>
      </c>
      <c r="O10377" t="s">
        <v>41250</v>
      </c>
      <c r="P10377">
        <v>0</v>
      </c>
      <c r="Q10377">
        <v>0</v>
      </c>
      <c r="R10377" t="s">
        <v>41261</v>
      </c>
      <c r="S10377" t="s">
        <v>41680</v>
      </c>
      <c r="T10377" t="s">
        <v>42673</v>
      </c>
      <c r="U10377" t="s">
        <v>51569</v>
      </c>
      <c r="W10377" t="s">
        <v>40701</v>
      </c>
      <c r="X10377" t="s">
        <v>41263</v>
      </c>
    </row>
    <row r="10378" spans="1:24">
      <c r="A10378">
        <f>HYPERLINK("https://www.philgeps.gov.ph/GEPSNONPILOT/Tender/SplashBidNoticeAbstractUI.aspx?menuIndex=3&amp;refID=7058927&amp;Result=3","7058927")</f>
        <v>0</v>
      </c>
      <c r="B10378" t="s">
        <v>1576</v>
      </c>
      <c r="C10378" t="s">
        <v>13292</v>
      </c>
      <c r="D10378" t="s">
        <v>16666</v>
      </c>
      <c r="E10378" t="s">
        <v>25717</v>
      </c>
      <c r="F10378" t="s">
        <v>28669</v>
      </c>
      <c r="G10378" t="s">
        <v>28675</v>
      </c>
      <c r="H10378" t="s">
        <v>28686</v>
      </c>
      <c r="I10378" t="s">
        <v>28689</v>
      </c>
      <c r="J10378" t="s">
        <v>35239</v>
      </c>
      <c r="K10378" t="s">
        <v>37209</v>
      </c>
      <c r="M10378" t="s">
        <v>40700</v>
      </c>
      <c r="N10378" t="s">
        <v>41249</v>
      </c>
      <c r="O10378" t="s">
        <v>41250</v>
      </c>
      <c r="P10378">
        <v>0</v>
      </c>
      <c r="Q10378">
        <v>1</v>
      </c>
      <c r="R10378" t="s">
        <v>41261</v>
      </c>
      <c r="S10378" t="s">
        <v>41680</v>
      </c>
      <c r="T10378" t="s">
        <v>42739</v>
      </c>
      <c r="U10378" t="s">
        <v>51570</v>
      </c>
      <c r="W10378" t="s">
        <v>40700</v>
      </c>
      <c r="X10378" t="s">
        <v>41262</v>
      </c>
    </row>
    <row r="10379" spans="1:24">
      <c r="A10379">
        <f>HYPERLINK("https://www.philgeps.gov.ph/GEPSNONPILOT/Tender/SplashBidNoticeAbstractUI.aspx?menuIndex=3&amp;refID=7058923&amp;Result=3","7058923")</f>
        <v>0</v>
      </c>
      <c r="B10379" t="s">
        <v>1576</v>
      </c>
      <c r="C10379" t="s">
        <v>13293</v>
      </c>
      <c r="D10379" t="s">
        <v>16666</v>
      </c>
      <c r="E10379" t="s">
        <v>25718</v>
      </c>
      <c r="F10379" t="s">
        <v>28669</v>
      </c>
      <c r="G10379" t="s">
        <v>28675</v>
      </c>
      <c r="H10379" t="s">
        <v>28686</v>
      </c>
      <c r="I10379" t="s">
        <v>28689</v>
      </c>
      <c r="J10379" t="s">
        <v>35240</v>
      </c>
      <c r="K10379" t="s">
        <v>37209</v>
      </c>
      <c r="M10379" t="s">
        <v>40700</v>
      </c>
      <c r="N10379" t="s">
        <v>41249</v>
      </c>
      <c r="O10379" t="s">
        <v>41250</v>
      </c>
      <c r="P10379">
        <v>0</v>
      </c>
      <c r="Q10379">
        <v>0</v>
      </c>
      <c r="R10379" t="s">
        <v>41261</v>
      </c>
      <c r="S10379" t="s">
        <v>41680</v>
      </c>
      <c r="T10379" t="s">
        <v>42739</v>
      </c>
      <c r="U10379" t="s">
        <v>51571</v>
      </c>
      <c r="W10379" t="s">
        <v>40700</v>
      </c>
      <c r="X10379" t="s">
        <v>41262</v>
      </c>
    </row>
    <row r="10380" spans="1:24">
      <c r="A10380">
        <f>HYPERLINK("https://www.philgeps.gov.ph/GEPSNONPILOT/Tender/SplashBidNoticeAbstractUI.aspx?menuIndex=3&amp;refID=7058755&amp;Result=3","7058755")</f>
        <v>0</v>
      </c>
      <c r="B10380" t="s">
        <v>1770</v>
      </c>
      <c r="C10380" t="s">
        <v>13294</v>
      </c>
      <c r="D10380" t="s">
        <v>16608</v>
      </c>
      <c r="E10380" t="s">
        <v>25719</v>
      </c>
      <c r="F10380" t="s">
        <v>28669</v>
      </c>
      <c r="G10380" t="s">
        <v>28675</v>
      </c>
      <c r="H10380" t="s">
        <v>28686</v>
      </c>
      <c r="I10380" t="s">
        <v>28689</v>
      </c>
      <c r="J10380" t="s">
        <v>35241</v>
      </c>
      <c r="K10380" t="s">
        <v>37409</v>
      </c>
      <c r="M10380" t="s">
        <v>40076</v>
      </c>
      <c r="N10380" t="s">
        <v>41249</v>
      </c>
      <c r="O10380" t="s">
        <v>41250</v>
      </c>
      <c r="P10380">
        <v>0</v>
      </c>
      <c r="Q10380">
        <v>28</v>
      </c>
      <c r="R10380" t="s">
        <v>41261</v>
      </c>
      <c r="S10380" t="s">
        <v>41680</v>
      </c>
      <c r="T10380" t="s">
        <v>42769</v>
      </c>
      <c r="U10380" t="s">
        <v>51572</v>
      </c>
      <c r="W10380" t="s">
        <v>40076</v>
      </c>
      <c r="X10380" t="s">
        <v>41262</v>
      </c>
    </row>
    <row r="10381" spans="1:24">
      <c r="A10381">
        <f>HYPERLINK("https://www.philgeps.gov.ph/GEPSNONPILOT/Tender/SplashBidNoticeAbstractUI.aspx?menuIndex=3&amp;refID=7058922&amp;Result=3","7058922")</f>
        <v>0</v>
      </c>
      <c r="B10381" t="s">
        <v>1576</v>
      </c>
      <c r="C10381" t="s">
        <v>13295</v>
      </c>
      <c r="D10381" t="s">
        <v>16666</v>
      </c>
      <c r="E10381" t="s">
        <v>25720</v>
      </c>
      <c r="F10381" t="s">
        <v>28669</v>
      </c>
      <c r="G10381" t="s">
        <v>28675</v>
      </c>
      <c r="H10381" t="s">
        <v>28686</v>
      </c>
      <c r="I10381" t="s">
        <v>28689</v>
      </c>
      <c r="J10381" t="s">
        <v>35242</v>
      </c>
      <c r="K10381" t="s">
        <v>37209</v>
      </c>
      <c r="M10381" t="s">
        <v>40700</v>
      </c>
      <c r="N10381" t="s">
        <v>41249</v>
      </c>
      <c r="O10381" t="s">
        <v>41250</v>
      </c>
      <c r="P10381">
        <v>0</v>
      </c>
      <c r="Q10381">
        <v>0</v>
      </c>
      <c r="R10381" t="s">
        <v>41261</v>
      </c>
      <c r="S10381" t="s">
        <v>41680</v>
      </c>
      <c r="T10381" t="s">
        <v>42739</v>
      </c>
      <c r="U10381" t="s">
        <v>51573</v>
      </c>
      <c r="W10381" t="s">
        <v>40700</v>
      </c>
      <c r="X10381" t="s">
        <v>41262</v>
      </c>
    </row>
    <row r="10382" spans="1:24">
      <c r="A10382">
        <f>HYPERLINK("https://www.philgeps.gov.ph/GEPSNONPILOT/Tender/SplashBidNoticeAbstractUI.aspx?menuIndex=3&amp;refID=7058912&amp;Result=3","7058912")</f>
        <v>0</v>
      </c>
      <c r="B10382" t="s">
        <v>1658</v>
      </c>
      <c r="C10382" t="s">
        <v>13296</v>
      </c>
      <c r="D10382" t="s">
        <v>16624</v>
      </c>
      <c r="E10382" t="s">
        <v>25721</v>
      </c>
      <c r="F10382" t="s">
        <v>28669</v>
      </c>
      <c r="G10382" t="s">
        <v>28675</v>
      </c>
      <c r="H10382" t="s">
        <v>28686</v>
      </c>
      <c r="I10382" t="s">
        <v>28689</v>
      </c>
      <c r="J10382" t="s">
        <v>32075</v>
      </c>
      <c r="K10382" t="s">
        <v>37286</v>
      </c>
      <c r="M10382" t="s">
        <v>39249</v>
      </c>
      <c r="N10382" t="s">
        <v>41249</v>
      </c>
      <c r="O10382" t="s">
        <v>41250</v>
      </c>
      <c r="P10382">
        <v>0</v>
      </c>
      <c r="Q10382">
        <v>0</v>
      </c>
      <c r="R10382" t="s">
        <v>41261</v>
      </c>
      <c r="S10382" t="s">
        <v>41680</v>
      </c>
      <c r="T10382" t="s">
        <v>42760</v>
      </c>
      <c r="U10382" t="s">
        <v>51574</v>
      </c>
      <c r="V10382" t="s">
        <v>55395</v>
      </c>
      <c r="W10382" t="s">
        <v>39249</v>
      </c>
      <c r="X10382" t="s">
        <v>41262</v>
      </c>
    </row>
    <row r="10383" spans="1:24">
      <c r="A10383">
        <f>HYPERLINK("https://www.philgeps.gov.ph/GEPSNONPILOT/Tender/SplashBidNoticeAbstractUI.aspx?menuIndex=3&amp;refID=7058911&amp;Result=3","7058911")</f>
        <v>0</v>
      </c>
      <c r="B10383" t="s">
        <v>1576</v>
      </c>
      <c r="C10383" t="s">
        <v>13297</v>
      </c>
      <c r="D10383" t="s">
        <v>16666</v>
      </c>
      <c r="E10383" t="s">
        <v>25722</v>
      </c>
      <c r="F10383" t="s">
        <v>28669</v>
      </c>
      <c r="G10383" t="s">
        <v>28675</v>
      </c>
      <c r="H10383" t="s">
        <v>9998</v>
      </c>
      <c r="I10383" t="s">
        <v>28695</v>
      </c>
      <c r="J10383" t="s">
        <v>35243</v>
      </c>
      <c r="K10383" t="s">
        <v>37238</v>
      </c>
      <c r="M10383" t="s">
        <v>39157</v>
      </c>
      <c r="N10383" t="s">
        <v>41249</v>
      </c>
      <c r="O10383" t="s">
        <v>41250</v>
      </c>
      <c r="P10383">
        <v>0</v>
      </c>
      <c r="Q10383">
        <v>1</v>
      </c>
      <c r="R10383" t="s">
        <v>41261</v>
      </c>
      <c r="S10383" t="s">
        <v>41680</v>
      </c>
      <c r="T10383" t="s">
        <v>42739</v>
      </c>
      <c r="U10383" t="s">
        <v>51575</v>
      </c>
      <c r="W10383" t="s">
        <v>40700</v>
      </c>
      <c r="X10383" t="s">
        <v>41262</v>
      </c>
    </row>
    <row r="10384" spans="1:24">
      <c r="A10384">
        <f>HYPERLINK("https://www.philgeps.gov.ph/GEPSNONPILOT/Tender/SplashBidNoticeAbstractUI.aspx?menuIndex=3&amp;refID=7058907&amp;Result=3","7058907")</f>
        <v>0</v>
      </c>
      <c r="B10384" t="s">
        <v>1576</v>
      </c>
      <c r="C10384" t="s">
        <v>13298</v>
      </c>
      <c r="D10384" t="s">
        <v>16666</v>
      </c>
      <c r="E10384" t="s">
        <v>25723</v>
      </c>
      <c r="F10384" t="s">
        <v>28669</v>
      </c>
      <c r="G10384" t="s">
        <v>28675</v>
      </c>
      <c r="H10384" t="s">
        <v>9998</v>
      </c>
      <c r="I10384" t="s">
        <v>28717</v>
      </c>
      <c r="J10384" t="s">
        <v>35244</v>
      </c>
      <c r="K10384" t="s">
        <v>37209</v>
      </c>
      <c r="M10384" t="s">
        <v>39157</v>
      </c>
      <c r="N10384" t="s">
        <v>41249</v>
      </c>
      <c r="O10384" t="s">
        <v>41250</v>
      </c>
      <c r="P10384">
        <v>0</v>
      </c>
      <c r="Q10384">
        <v>12</v>
      </c>
      <c r="R10384" t="s">
        <v>41261</v>
      </c>
      <c r="S10384" t="s">
        <v>41680</v>
      </c>
      <c r="T10384" t="s">
        <v>42739</v>
      </c>
      <c r="U10384" t="s">
        <v>51576</v>
      </c>
      <c r="W10384" t="s">
        <v>40700</v>
      </c>
      <c r="X10384" t="s">
        <v>41262</v>
      </c>
    </row>
    <row r="10385" spans="1:24">
      <c r="A10385">
        <f>HYPERLINK("https://www.philgeps.gov.ph/GEPSNONPILOT/Tender/SplashBidNoticeAbstractUI.aspx?menuIndex=3&amp;refID=7058904&amp;Result=3","7058904")</f>
        <v>0</v>
      </c>
      <c r="B10385" t="s">
        <v>1576</v>
      </c>
      <c r="C10385" t="s">
        <v>13299</v>
      </c>
      <c r="D10385" t="s">
        <v>16666</v>
      </c>
      <c r="E10385" t="s">
        <v>25724</v>
      </c>
      <c r="F10385" t="s">
        <v>28669</v>
      </c>
      <c r="G10385" t="s">
        <v>28675</v>
      </c>
      <c r="H10385" t="s">
        <v>28684</v>
      </c>
      <c r="I10385" t="s">
        <v>28792</v>
      </c>
      <c r="J10385" t="s">
        <v>29112</v>
      </c>
      <c r="K10385" t="s">
        <v>37238</v>
      </c>
      <c r="M10385" t="s">
        <v>39157</v>
      </c>
      <c r="N10385" t="s">
        <v>41249</v>
      </c>
      <c r="O10385" t="s">
        <v>41250</v>
      </c>
      <c r="P10385">
        <v>0</v>
      </c>
      <c r="Q10385">
        <v>5</v>
      </c>
      <c r="R10385" t="s">
        <v>41261</v>
      </c>
      <c r="S10385" t="s">
        <v>41680</v>
      </c>
      <c r="T10385" t="s">
        <v>42739</v>
      </c>
      <c r="U10385" t="s">
        <v>51577</v>
      </c>
      <c r="W10385" t="s">
        <v>40700</v>
      </c>
      <c r="X10385" t="s">
        <v>41262</v>
      </c>
    </row>
    <row r="10386" spans="1:24">
      <c r="A10386">
        <f>HYPERLINK("https://www.philgeps.gov.ph/GEPSNONPILOT/Tender/SplashBidNoticeAbstractUI.aspx?menuIndex=3&amp;refID=7058875&amp;Result=3","7058875")</f>
        <v>0</v>
      </c>
      <c r="B10386" t="s">
        <v>2944</v>
      </c>
      <c r="C10386" t="s">
        <v>13300</v>
      </c>
      <c r="D10386" t="s">
        <v>16651</v>
      </c>
      <c r="E10386" t="s">
        <v>25725</v>
      </c>
      <c r="F10386" t="s">
        <v>28669</v>
      </c>
      <c r="G10386" t="s">
        <v>28675</v>
      </c>
      <c r="H10386" t="s">
        <v>9998</v>
      </c>
      <c r="I10386" t="s">
        <v>28733</v>
      </c>
      <c r="J10386" t="s">
        <v>35245</v>
      </c>
      <c r="K10386" t="s">
        <v>37205</v>
      </c>
      <c r="M10386" t="s">
        <v>40702</v>
      </c>
      <c r="N10386" t="s">
        <v>41249</v>
      </c>
      <c r="O10386" t="s">
        <v>41250</v>
      </c>
      <c r="P10386">
        <v>0</v>
      </c>
      <c r="Q10386">
        <v>7</v>
      </c>
      <c r="R10386" t="s">
        <v>41261</v>
      </c>
      <c r="S10386" t="s">
        <v>41680</v>
      </c>
      <c r="T10386" t="s">
        <v>42675</v>
      </c>
      <c r="U10386" t="s">
        <v>51578</v>
      </c>
      <c r="V10386" t="s">
        <v>55396</v>
      </c>
      <c r="W10386" t="s">
        <v>40702</v>
      </c>
      <c r="X10386" t="s">
        <v>41262</v>
      </c>
    </row>
    <row r="10387" spans="1:24">
      <c r="A10387">
        <f>HYPERLINK("https://www.philgeps.gov.ph/GEPSNONPILOT/Tender/SplashBidNoticeAbstractUI.aspx?menuIndex=3&amp;refID=7058369&amp;Result=3","7058369")</f>
        <v>0</v>
      </c>
      <c r="B10387" t="s">
        <v>2945</v>
      </c>
      <c r="C10387" t="s">
        <v>13301</v>
      </c>
      <c r="D10387" t="s">
        <v>16618</v>
      </c>
      <c r="E10387" t="s">
        <v>25726</v>
      </c>
      <c r="F10387" t="s">
        <v>28669</v>
      </c>
      <c r="G10387" t="s">
        <v>28675</v>
      </c>
      <c r="H10387" t="s">
        <v>9998</v>
      </c>
      <c r="I10387" t="s">
        <v>5286</v>
      </c>
      <c r="J10387" t="s">
        <v>35246</v>
      </c>
      <c r="K10387" t="s">
        <v>37204</v>
      </c>
      <c r="M10387" t="s">
        <v>40703</v>
      </c>
      <c r="N10387" t="s">
        <v>41249</v>
      </c>
      <c r="O10387" t="s">
        <v>41250</v>
      </c>
      <c r="P10387">
        <v>0</v>
      </c>
      <c r="Q10387">
        <v>9</v>
      </c>
      <c r="R10387" t="s">
        <v>41261</v>
      </c>
      <c r="S10387" t="s">
        <v>41680</v>
      </c>
      <c r="T10387" t="s">
        <v>42739</v>
      </c>
      <c r="U10387" t="s">
        <v>51579</v>
      </c>
      <c r="W10387" t="s">
        <v>40703</v>
      </c>
      <c r="X10387" t="s">
        <v>41263</v>
      </c>
    </row>
    <row r="10388" spans="1:24">
      <c r="A10388">
        <f>HYPERLINK("https://www.philgeps.gov.ph/GEPSNONPILOT/Tender/SplashBidNoticeAbstractUI.aspx?menuIndex=3&amp;refID=7058869&amp;Result=3","7058869")</f>
        <v>0</v>
      </c>
      <c r="B10388" t="s">
        <v>321</v>
      </c>
      <c r="C10388" t="s">
        <v>13302</v>
      </c>
      <c r="D10388" t="s">
        <v>16665</v>
      </c>
      <c r="E10388" t="s">
        <v>25727</v>
      </c>
      <c r="F10388" t="s">
        <v>28669</v>
      </c>
      <c r="G10388" t="s">
        <v>28675</v>
      </c>
      <c r="H10388" t="s">
        <v>9998</v>
      </c>
      <c r="I10388" t="s">
        <v>28693</v>
      </c>
      <c r="J10388" t="s">
        <v>35247</v>
      </c>
      <c r="K10388" t="s">
        <v>37206</v>
      </c>
      <c r="M10388" t="s">
        <v>39077</v>
      </c>
      <c r="N10388" t="s">
        <v>41249</v>
      </c>
      <c r="O10388" t="s">
        <v>41250</v>
      </c>
      <c r="P10388">
        <v>0</v>
      </c>
      <c r="Q10388">
        <v>36</v>
      </c>
      <c r="R10388" t="s">
        <v>41261</v>
      </c>
      <c r="S10388" t="s">
        <v>41680</v>
      </c>
      <c r="T10388" t="s">
        <v>42659</v>
      </c>
      <c r="U10388" t="s">
        <v>51580</v>
      </c>
      <c r="W10388" t="s">
        <v>39077</v>
      </c>
      <c r="X10388" t="s">
        <v>41262</v>
      </c>
    </row>
    <row r="10389" spans="1:24">
      <c r="A10389">
        <f>HYPERLINK("https://www.philgeps.gov.ph/GEPSNONPILOT/Tender/SplashBidNoticeAbstractUI.aspx?menuIndex=3&amp;refID=7058718&amp;Result=3","7058718")</f>
        <v>0</v>
      </c>
      <c r="B10389" t="s">
        <v>2829</v>
      </c>
      <c r="C10389" t="s">
        <v>13303</v>
      </c>
      <c r="D10389" t="s">
        <v>16631</v>
      </c>
      <c r="E10389" t="s">
        <v>25728</v>
      </c>
      <c r="F10389" t="s">
        <v>28669</v>
      </c>
      <c r="G10389" t="s">
        <v>28675</v>
      </c>
      <c r="H10389" t="s">
        <v>9998</v>
      </c>
      <c r="I10389" t="s">
        <v>28697</v>
      </c>
      <c r="J10389" t="s">
        <v>35248</v>
      </c>
      <c r="K10389" t="s">
        <v>37210</v>
      </c>
      <c r="M10389" t="s">
        <v>40562</v>
      </c>
      <c r="N10389" t="s">
        <v>41249</v>
      </c>
      <c r="O10389" t="s">
        <v>41250</v>
      </c>
      <c r="P10389">
        <v>0</v>
      </c>
      <c r="Q10389">
        <v>6</v>
      </c>
      <c r="R10389" t="s">
        <v>41261</v>
      </c>
      <c r="S10389" t="s">
        <v>41680</v>
      </c>
      <c r="T10389" t="s">
        <v>42759</v>
      </c>
      <c r="U10389" t="s">
        <v>51581</v>
      </c>
      <c r="W10389" t="s">
        <v>40562</v>
      </c>
      <c r="X10389" t="s">
        <v>41262</v>
      </c>
    </row>
    <row r="10390" spans="1:24">
      <c r="A10390">
        <f>HYPERLINK("https://www.philgeps.gov.ph/GEPSNONPILOT/Tender/SplashBidNoticeAbstractUI.aspx?menuIndex=3&amp;refID=7058917&amp;Result=3","7058917")</f>
        <v>0</v>
      </c>
      <c r="B10390" t="s">
        <v>2813</v>
      </c>
      <c r="C10390" t="s">
        <v>13304</v>
      </c>
      <c r="D10390" t="s">
        <v>16633</v>
      </c>
      <c r="E10390" t="s">
        <v>25729</v>
      </c>
      <c r="F10390" t="s">
        <v>28669</v>
      </c>
      <c r="G10390" t="s">
        <v>28675</v>
      </c>
      <c r="H10390" t="s">
        <v>9998</v>
      </c>
      <c r="I10390" t="s">
        <v>28751</v>
      </c>
      <c r="J10390" t="s">
        <v>35249</v>
      </c>
      <c r="K10390" t="s">
        <v>37210</v>
      </c>
      <c r="M10390" t="s">
        <v>40543</v>
      </c>
      <c r="N10390" t="s">
        <v>41249</v>
      </c>
      <c r="O10390" t="s">
        <v>41250</v>
      </c>
      <c r="P10390">
        <v>0</v>
      </c>
      <c r="Q10390">
        <v>6</v>
      </c>
      <c r="R10390" t="s">
        <v>41261</v>
      </c>
      <c r="S10390" t="s">
        <v>41680</v>
      </c>
      <c r="T10390" t="s">
        <v>42836</v>
      </c>
      <c r="U10390" t="s">
        <v>51582</v>
      </c>
      <c r="V10390" t="s">
        <v>55330</v>
      </c>
      <c r="W10390" t="s">
        <v>40543</v>
      </c>
      <c r="X10390" t="s">
        <v>41262</v>
      </c>
    </row>
    <row r="10391" spans="1:24">
      <c r="A10391">
        <f>HYPERLINK("https://www.philgeps.gov.ph/GEPSNONPILOT/Tender/SplashBidNoticeAbstractUI.aspx?menuIndex=3&amp;refID=7058855&amp;Result=3","7058855")</f>
        <v>0</v>
      </c>
      <c r="B10391" t="s">
        <v>321</v>
      </c>
      <c r="C10391" t="s">
        <v>13305</v>
      </c>
      <c r="D10391" t="s">
        <v>16665</v>
      </c>
      <c r="E10391" t="s">
        <v>25730</v>
      </c>
      <c r="F10391" t="s">
        <v>28669</v>
      </c>
      <c r="G10391" t="s">
        <v>28675</v>
      </c>
      <c r="H10391" t="s">
        <v>9998</v>
      </c>
      <c r="I10391" t="s">
        <v>28690</v>
      </c>
      <c r="J10391" t="s">
        <v>35250</v>
      </c>
      <c r="K10391" t="s">
        <v>37206</v>
      </c>
      <c r="M10391" t="s">
        <v>39077</v>
      </c>
      <c r="N10391" t="s">
        <v>41249</v>
      </c>
      <c r="O10391" t="s">
        <v>41250</v>
      </c>
      <c r="P10391">
        <v>0</v>
      </c>
      <c r="Q10391">
        <v>37</v>
      </c>
      <c r="R10391" t="s">
        <v>41261</v>
      </c>
      <c r="S10391" t="s">
        <v>41680</v>
      </c>
      <c r="T10391" t="s">
        <v>42761</v>
      </c>
      <c r="U10391" t="s">
        <v>51583</v>
      </c>
      <c r="W10391" t="s">
        <v>39077</v>
      </c>
      <c r="X10391" t="s">
        <v>41262</v>
      </c>
    </row>
    <row r="10392" spans="1:24">
      <c r="A10392">
        <f>HYPERLINK("https://www.philgeps.gov.ph/GEPSNONPILOT/Tender/SplashBidNoticeAbstractUI.aspx?menuIndex=3&amp;refID=7058839&amp;Result=3","7058839")</f>
        <v>0</v>
      </c>
      <c r="B10392" t="s">
        <v>1080</v>
      </c>
      <c r="C10392" t="s">
        <v>13306</v>
      </c>
      <c r="D10392" t="s">
        <v>16639</v>
      </c>
      <c r="E10392" t="s">
        <v>25731</v>
      </c>
      <c r="F10392" t="s">
        <v>28669</v>
      </c>
      <c r="G10392" t="s">
        <v>28675</v>
      </c>
      <c r="H10392" t="s">
        <v>28686</v>
      </c>
      <c r="I10392" t="s">
        <v>28689</v>
      </c>
      <c r="J10392" t="s">
        <v>35251</v>
      </c>
      <c r="K10392" t="s">
        <v>37220</v>
      </c>
      <c r="M10392" t="s">
        <v>38612</v>
      </c>
      <c r="N10392" t="s">
        <v>41249</v>
      </c>
      <c r="O10392" t="s">
        <v>41250</v>
      </c>
      <c r="P10392">
        <v>0</v>
      </c>
      <c r="Q10392">
        <v>11</v>
      </c>
      <c r="R10392" t="s">
        <v>41261</v>
      </c>
      <c r="S10392" t="s">
        <v>41680</v>
      </c>
      <c r="T10392" t="s">
        <v>43109</v>
      </c>
      <c r="U10392" t="s">
        <v>51584</v>
      </c>
      <c r="W10392" t="s">
        <v>38612</v>
      </c>
      <c r="X10392" t="s">
        <v>41262</v>
      </c>
    </row>
    <row r="10393" spans="1:24">
      <c r="A10393">
        <f>HYPERLINK("https://www.philgeps.gov.ph/GEPSNONPILOT/Tender/SplashBidNoticeAbstractUI.aspx?menuIndex=3&amp;refID=7058897&amp;Result=3","7058897")</f>
        <v>0</v>
      </c>
      <c r="B10393" t="s">
        <v>1629</v>
      </c>
      <c r="C10393" t="s">
        <v>13307</v>
      </c>
      <c r="D10393" t="s">
        <v>16612</v>
      </c>
      <c r="E10393" t="s">
        <v>25732</v>
      </c>
      <c r="F10393" t="s">
        <v>28669</v>
      </c>
      <c r="G10393" t="s">
        <v>28675</v>
      </c>
      <c r="H10393" t="s">
        <v>9998</v>
      </c>
      <c r="I10393" t="s">
        <v>28721</v>
      </c>
      <c r="J10393" t="s">
        <v>28834</v>
      </c>
      <c r="K10393" t="s">
        <v>37205</v>
      </c>
      <c r="M10393" t="s">
        <v>39216</v>
      </c>
      <c r="N10393" t="s">
        <v>41249</v>
      </c>
      <c r="O10393" t="s">
        <v>41250</v>
      </c>
      <c r="P10393">
        <v>0</v>
      </c>
      <c r="Q10393">
        <v>0</v>
      </c>
      <c r="R10393" t="s">
        <v>41261</v>
      </c>
      <c r="S10393" t="s">
        <v>41680</v>
      </c>
      <c r="T10393" t="s">
        <v>42881</v>
      </c>
      <c r="U10393" t="s">
        <v>51585</v>
      </c>
      <c r="W10393" t="s">
        <v>39216</v>
      </c>
      <c r="X10393" t="s">
        <v>41262</v>
      </c>
    </row>
    <row r="10394" spans="1:24">
      <c r="A10394">
        <f>HYPERLINK("https://www.philgeps.gov.ph/GEPSNONPILOT/Tender/SplashBidNoticeAbstractUI.aspx?menuIndex=3&amp;refID=7058751&amp;Result=3","7058751")</f>
        <v>0</v>
      </c>
      <c r="B10394" t="s">
        <v>2946</v>
      </c>
      <c r="C10394" t="s">
        <v>13308</v>
      </c>
      <c r="D10394" t="s">
        <v>16608</v>
      </c>
      <c r="E10394" t="s">
        <v>25733</v>
      </c>
      <c r="F10394" t="s">
        <v>28669</v>
      </c>
      <c r="G10394" t="s">
        <v>28675</v>
      </c>
      <c r="H10394" t="s">
        <v>28684</v>
      </c>
      <c r="I10394" t="s">
        <v>5213</v>
      </c>
      <c r="J10394" t="s">
        <v>35252</v>
      </c>
      <c r="K10394" t="s">
        <v>37206</v>
      </c>
      <c r="M10394" t="s">
        <v>40704</v>
      </c>
      <c r="N10394" t="s">
        <v>41249</v>
      </c>
      <c r="O10394" t="s">
        <v>41250</v>
      </c>
      <c r="P10394">
        <v>0</v>
      </c>
      <c r="Q10394">
        <v>5</v>
      </c>
      <c r="R10394" t="s">
        <v>41261</v>
      </c>
      <c r="S10394" t="s">
        <v>41680</v>
      </c>
      <c r="T10394" t="s">
        <v>42696</v>
      </c>
      <c r="U10394" t="s">
        <v>49995</v>
      </c>
      <c r="V10394" t="s">
        <v>55397</v>
      </c>
      <c r="W10394" t="s">
        <v>40704</v>
      </c>
      <c r="X10394" t="s">
        <v>41262</v>
      </c>
    </row>
    <row r="10395" spans="1:24">
      <c r="A10395">
        <f>HYPERLINK("https://www.philgeps.gov.ph/GEPSNONPILOT/Tender/SplashBidNoticeAbstractUI.aspx?menuIndex=3&amp;refID=7058865&amp;Result=3","7058865")</f>
        <v>0</v>
      </c>
      <c r="B10395" t="s">
        <v>2358</v>
      </c>
      <c r="C10395" t="s">
        <v>13309</v>
      </c>
      <c r="D10395" t="s">
        <v>16624</v>
      </c>
      <c r="E10395" t="s">
        <v>25734</v>
      </c>
      <c r="F10395" t="s">
        <v>28669</v>
      </c>
      <c r="G10395" t="s">
        <v>28675</v>
      </c>
      <c r="H10395" t="s">
        <v>28686</v>
      </c>
      <c r="I10395" t="s">
        <v>28689</v>
      </c>
      <c r="J10395" t="s">
        <v>28881</v>
      </c>
      <c r="K10395" t="s">
        <v>37221</v>
      </c>
      <c r="M10395" t="s">
        <v>40026</v>
      </c>
      <c r="N10395" t="s">
        <v>41249</v>
      </c>
      <c r="O10395" t="s">
        <v>41250</v>
      </c>
      <c r="P10395">
        <v>0</v>
      </c>
      <c r="Q10395">
        <v>0</v>
      </c>
      <c r="R10395" t="s">
        <v>41261</v>
      </c>
      <c r="S10395" t="s">
        <v>41680</v>
      </c>
      <c r="T10395" t="s">
        <v>42659</v>
      </c>
      <c r="U10395" t="s">
        <v>51586</v>
      </c>
      <c r="W10395" t="s">
        <v>55988</v>
      </c>
      <c r="X10395" t="s">
        <v>41262</v>
      </c>
    </row>
    <row r="10396" spans="1:24">
      <c r="A10396">
        <f>HYPERLINK("https://www.philgeps.gov.ph/GEPSNONPILOT/Tender/SplashBidNoticeAbstractUI.aspx?menuIndex=3&amp;refID=7058859&amp;Result=3","7058859")</f>
        <v>0</v>
      </c>
      <c r="B10396" t="s">
        <v>2358</v>
      </c>
      <c r="C10396" t="s">
        <v>13310</v>
      </c>
      <c r="D10396" t="s">
        <v>16624</v>
      </c>
      <c r="E10396" t="s">
        <v>25735</v>
      </c>
      <c r="F10396" t="s">
        <v>28669</v>
      </c>
      <c r="G10396" t="s">
        <v>28675</v>
      </c>
      <c r="H10396" t="s">
        <v>28686</v>
      </c>
      <c r="I10396" t="s">
        <v>28689</v>
      </c>
      <c r="J10396" t="s">
        <v>30575</v>
      </c>
      <c r="K10396" t="s">
        <v>37221</v>
      </c>
      <c r="M10396" t="s">
        <v>40026</v>
      </c>
      <c r="N10396" t="s">
        <v>41249</v>
      </c>
      <c r="O10396" t="s">
        <v>41250</v>
      </c>
      <c r="P10396">
        <v>0</v>
      </c>
      <c r="Q10396">
        <v>0</v>
      </c>
      <c r="R10396" t="s">
        <v>41261</v>
      </c>
      <c r="S10396" t="s">
        <v>41680</v>
      </c>
      <c r="T10396" t="s">
        <v>42659</v>
      </c>
      <c r="U10396" t="s">
        <v>51587</v>
      </c>
      <c r="W10396" t="s">
        <v>55988</v>
      </c>
      <c r="X10396" t="s">
        <v>41262</v>
      </c>
    </row>
    <row r="10397" spans="1:24">
      <c r="A10397">
        <f>HYPERLINK("https://www.philgeps.gov.ph/GEPSNONPILOT/Tender/SplashBidNoticeAbstractUI.aspx?menuIndex=3&amp;refID=7058711&amp;Result=3","7058711")</f>
        <v>0</v>
      </c>
      <c r="B10397" t="s">
        <v>2829</v>
      </c>
      <c r="C10397" t="s">
        <v>13311</v>
      </c>
      <c r="D10397" t="s">
        <v>16631</v>
      </c>
      <c r="E10397" t="s">
        <v>25736</v>
      </c>
      <c r="F10397" t="s">
        <v>28669</v>
      </c>
      <c r="G10397" t="s">
        <v>28675</v>
      </c>
      <c r="H10397" t="s">
        <v>9998</v>
      </c>
      <c r="I10397" t="s">
        <v>7352</v>
      </c>
      <c r="J10397" t="s">
        <v>35253</v>
      </c>
      <c r="K10397" t="s">
        <v>37210</v>
      </c>
      <c r="M10397" t="s">
        <v>40562</v>
      </c>
      <c r="N10397" t="s">
        <v>41249</v>
      </c>
      <c r="O10397" t="s">
        <v>41250</v>
      </c>
      <c r="P10397">
        <v>0</v>
      </c>
      <c r="Q10397">
        <v>1</v>
      </c>
      <c r="R10397" t="s">
        <v>41261</v>
      </c>
      <c r="S10397" t="s">
        <v>41680</v>
      </c>
      <c r="T10397" t="s">
        <v>42759</v>
      </c>
      <c r="U10397" t="s">
        <v>51588</v>
      </c>
      <c r="W10397" t="s">
        <v>40562</v>
      </c>
      <c r="X10397" t="s">
        <v>41262</v>
      </c>
    </row>
    <row r="10398" spans="1:24">
      <c r="A10398">
        <f>HYPERLINK("https://www.philgeps.gov.ph/GEPSNONPILOT/Tender/SplashBidNoticeAbstractUI.aspx?menuIndex=3&amp;refID=7058706&amp;Result=3","7058706")</f>
        <v>0</v>
      </c>
      <c r="B10398" t="s">
        <v>1843</v>
      </c>
      <c r="C10398" t="s">
        <v>13312</v>
      </c>
      <c r="D10398" t="s">
        <v>16607</v>
      </c>
      <c r="E10398" t="s">
        <v>25737</v>
      </c>
      <c r="F10398" t="s">
        <v>28669</v>
      </c>
      <c r="G10398" t="s">
        <v>28675</v>
      </c>
      <c r="H10398" t="s">
        <v>9998</v>
      </c>
      <c r="I10398" t="s">
        <v>28694</v>
      </c>
      <c r="J10398" t="s">
        <v>28846</v>
      </c>
      <c r="K10398" t="s">
        <v>37206</v>
      </c>
      <c r="M10398" t="s">
        <v>39459</v>
      </c>
      <c r="N10398" t="s">
        <v>41249</v>
      </c>
      <c r="O10398" t="s">
        <v>41250</v>
      </c>
      <c r="P10398">
        <v>0</v>
      </c>
      <c r="Q10398">
        <v>7</v>
      </c>
      <c r="R10398" t="s">
        <v>41261</v>
      </c>
      <c r="S10398" t="s">
        <v>41680</v>
      </c>
      <c r="T10398" t="s">
        <v>42882</v>
      </c>
      <c r="U10398" t="s">
        <v>51589</v>
      </c>
      <c r="V10398" t="s">
        <v>55398</v>
      </c>
      <c r="W10398" t="s">
        <v>39459</v>
      </c>
      <c r="X10398" t="s">
        <v>41262</v>
      </c>
    </row>
    <row r="10399" spans="1:24">
      <c r="A10399">
        <f>HYPERLINK("https://www.philgeps.gov.ph/GEPSNONPILOT/Tender/SplashBidNoticeAbstractUI.aspx?menuIndex=3&amp;refID=7058674&amp;Result=3","7058674")</f>
        <v>0</v>
      </c>
      <c r="B10399" t="s">
        <v>425</v>
      </c>
      <c r="C10399" t="s">
        <v>13313</v>
      </c>
      <c r="D10399" t="s">
        <v>16653</v>
      </c>
      <c r="E10399" t="s">
        <v>25738</v>
      </c>
      <c r="F10399" t="s">
        <v>28669</v>
      </c>
      <c r="G10399" t="s">
        <v>28675</v>
      </c>
      <c r="H10399" t="s">
        <v>9998</v>
      </c>
      <c r="I10399" t="s">
        <v>28718</v>
      </c>
      <c r="J10399" t="s">
        <v>30815</v>
      </c>
      <c r="K10399" t="s">
        <v>37204</v>
      </c>
      <c r="L10399" t="s">
        <v>425</v>
      </c>
      <c r="M10399" t="s">
        <v>37910</v>
      </c>
      <c r="N10399" t="s">
        <v>41249</v>
      </c>
      <c r="O10399" t="s">
        <v>41250</v>
      </c>
      <c r="P10399">
        <v>0</v>
      </c>
      <c r="Q10399">
        <v>1</v>
      </c>
      <c r="R10399" t="s">
        <v>41261</v>
      </c>
      <c r="S10399" t="s">
        <v>41680</v>
      </c>
      <c r="T10399" t="s">
        <v>42698</v>
      </c>
      <c r="U10399" t="s">
        <v>51542</v>
      </c>
      <c r="W10399" t="s">
        <v>37910</v>
      </c>
      <c r="X10399" t="s">
        <v>41262</v>
      </c>
    </row>
    <row r="10400" spans="1:24">
      <c r="A10400">
        <f>HYPERLINK("https://www.philgeps.gov.ph/GEPSNONPILOT/Tender/SplashBidNoticeAbstractUI.aspx?menuIndex=3&amp;refID=7058669&amp;Result=3","7058669")</f>
        <v>0</v>
      </c>
      <c r="B10400" t="s">
        <v>220</v>
      </c>
      <c r="C10400" t="s">
        <v>13314</v>
      </c>
      <c r="D10400" t="s">
        <v>16627</v>
      </c>
      <c r="E10400" t="s">
        <v>17272</v>
      </c>
      <c r="F10400" t="s">
        <v>28669</v>
      </c>
      <c r="G10400" t="s">
        <v>28675</v>
      </c>
      <c r="H10400" t="s">
        <v>9998</v>
      </c>
      <c r="I10400" t="s">
        <v>11593</v>
      </c>
      <c r="J10400" t="s">
        <v>31506</v>
      </c>
      <c r="K10400" t="s">
        <v>37210</v>
      </c>
      <c r="M10400" t="s">
        <v>37698</v>
      </c>
      <c r="N10400" t="s">
        <v>41249</v>
      </c>
      <c r="O10400" t="s">
        <v>41250</v>
      </c>
      <c r="P10400">
        <v>0</v>
      </c>
      <c r="Q10400">
        <v>8</v>
      </c>
      <c r="R10400" t="s">
        <v>41261</v>
      </c>
      <c r="S10400" t="s">
        <v>41680</v>
      </c>
      <c r="T10400" t="s">
        <v>43000</v>
      </c>
      <c r="U10400" t="s">
        <v>51590</v>
      </c>
      <c r="W10400" t="s">
        <v>37698</v>
      </c>
      <c r="X10400" t="s">
        <v>41262</v>
      </c>
    </row>
    <row r="10401" spans="1:24">
      <c r="A10401">
        <f>HYPERLINK("https://www.philgeps.gov.ph/GEPSNONPILOT/Tender/SplashBidNoticeAbstractUI.aspx?menuIndex=3&amp;refID=7058667&amp;Result=3","7058667")</f>
        <v>0</v>
      </c>
      <c r="B10401" t="s">
        <v>425</v>
      </c>
      <c r="C10401" t="s">
        <v>13315</v>
      </c>
      <c r="D10401" t="s">
        <v>16653</v>
      </c>
      <c r="E10401" t="s">
        <v>25739</v>
      </c>
      <c r="F10401" t="s">
        <v>28669</v>
      </c>
      <c r="G10401" t="s">
        <v>28675</v>
      </c>
      <c r="H10401" t="s">
        <v>9998</v>
      </c>
      <c r="I10401" t="s">
        <v>28688</v>
      </c>
      <c r="J10401" t="s">
        <v>35254</v>
      </c>
      <c r="K10401" t="s">
        <v>37204</v>
      </c>
      <c r="L10401" t="s">
        <v>425</v>
      </c>
      <c r="M10401" t="s">
        <v>37910</v>
      </c>
      <c r="N10401" t="s">
        <v>41249</v>
      </c>
      <c r="O10401" t="s">
        <v>41250</v>
      </c>
      <c r="P10401">
        <v>0</v>
      </c>
      <c r="Q10401">
        <v>5</v>
      </c>
      <c r="R10401" t="s">
        <v>41261</v>
      </c>
      <c r="S10401" t="s">
        <v>41680</v>
      </c>
      <c r="T10401" t="s">
        <v>42664</v>
      </c>
      <c r="U10401" t="s">
        <v>51542</v>
      </c>
      <c r="W10401" t="s">
        <v>37910</v>
      </c>
      <c r="X10401" t="s">
        <v>41262</v>
      </c>
    </row>
    <row r="10402" spans="1:24">
      <c r="A10402">
        <f>HYPERLINK("https://www.philgeps.gov.ph/GEPSNONPILOT/Tender/SplashBidNoticeAbstractUI.aspx?menuIndex=3&amp;refID=7058524&amp;Result=3","7058524")</f>
        <v>0</v>
      </c>
      <c r="B10402" t="s">
        <v>2932</v>
      </c>
      <c r="C10402" t="s">
        <v>13316</v>
      </c>
      <c r="E10402" t="s">
        <v>25740</v>
      </c>
      <c r="F10402" t="s">
        <v>28669</v>
      </c>
      <c r="G10402" t="s">
        <v>28675</v>
      </c>
      <c r="H10402" t="s">
        <v>9998</v>
      </c>
      <c r="I10402" t="s">
        <v>28690</v>
      </c>
      <c r="J10402" t="s">
        <v>35255</v>
      </c>
      <c r="K10402" t="s">
        <v>37209</v>
      </c>
      <c r="M10402" t="s">
        <v>40705</v>
      </c>
      <c r="N10402" t="s">
        <v>41249</v>
      </c>
      <c r="O10402" t="s">
        <v>41250</v>
      </c>
      <c r="Q10402">
        <v>27</v>
      </c>
      <c r="R10402" t="s">
        <v>41261</v>
      </c>
      <c r="S10402" t="s">
        <v>41695</v>
      </c>
      <c r="T10402" t="s">
        <v>42739</v>
      </c>
      <c r="U10402" t="s">
        <v>51522</v>
      </c>
      <c r="W10402" t="s">
        <v>40705</v>
      </c>
      <c r="X10402" t="s">
        <v>41262</v>
      </c>
    </row>
    <row r="10403" spans="1:24">
      <c r="A10403">
        <f>HYPERLINK("https://www.philgeps.gov.ph/GEPSNONPILOT/Tender/SplashBidNoticeAbstractUI.aspx?menuIndex=3&amp;refID=7058519&amp;Result=3","7058519")</f>
        <v>0</v>
      </c>
      <c r="B10403" t="s">
        <v>479</v>
      </c>
      <c r="C10403" t="s">
        <v>13317</v>
      </c>
      <c r="D10403" t="s">
        <v>16640</v>
      </c>
      <c r="E10403" t="s">
        <v>25741</v>
      </c>
      <c r="F10403" t="s">
        <v>28669</v>
      </c>
      <c r="G10403" t="s">
        <v>28675</v>
      </c>
      <c r="H10403" t="s">
        <v>28686</v>
      </c>
      <c r="I10403" t="s">
        <v>28689</v>
      </c>
      <c r="J10403" t="s">
        <v>29724</v>
      </c>
      <c r="K10403" t="s">
        <v>37213</v>
      </c>
      <c r="M10403" t="s">
        <v>40706</v>
      </c>
      <c r="N10403" t="s">
        <v>41249</v>
      </c>
      <c r="O10403" t="s">
        <v>41250</v>
      </c>
      <c r="P10403">
        <v>0</v>
      </c>
      <c r="Q10403">
        <v>5</v>
      </c>
      <c r="R10403" t="s">
        <v>41261</v>
      </c>
      <c r="S10403" t="s">
        <v>41680</v>
      </c>
      <c r="T10403" t="s">
        <v>42907</v>
      </c>
      <c r="U10403" t="s">
        <v>51591</v>
      </c>
      <c r="W10403" t="s">
        <v>40706</v>
      </c>
      <c r="X10403" t="s">
        <v>41262</v>
      </c>
    </row>
    <row r="10404" spans="1:24">
      <c r="A10404">
        <f>HYPERLINK("https://www.philgeps.gov.ph/GEPSNONPILOT/Tender/SplashBidNoticeAbstractUI.aspx?menuIndex=3&amp;refID=7058812&amp;Result=3","7058812")</f>
        <v>0</v>
      </c>
      <c r="B10404" t="s">
        <v>2947</v>
      </c>
      <c r="C10404" t="s">
        <v>13318</v>
      </c>
      <c r="D10404" t="s">
        <v>16646</v>
      </c>
      <c r="E10404" t="s">
        <v>25742</v>
      </c>
      <c r="F10404" t="s">
        <v>28669</v>
      </c>
      <c r="G10404" t="s">
        <v>28677</v>
      </c>
      <c r="H10404" t="s">
        <v>9998</v>
      </c>
      <c r="I10404" t="s">
        <v>28790</v>
      </c>
      <c r="J10404" t="s">
        <v>28986</v>
      </c>
      <c r="K10404" t="s">
        <v>37204</v>
      </c>
      <c r="M10404" t="s">
        <v>40707</v>
      </c>
      <c r="N10404" t="s">
        <v>41249</v>
      </c>
      <c r="O10404" t="s">
        <v>41250</v>
      </c>
      <c r="P10404">
        <v>0</v>
      </c>
      <c r="Q10404">
        <v>0</v>
      </c>
      <c r="R10404" t="s">
        <v>41261</v>
      </c>
      <c r="S10404" t="s">
        <v>41680</v>
      </c>
      <c r="T10404" t="s">
        <v>42746</v>
      </c>
      <c r="U10404" t="s">
        <v>51592</v>
      </c>
      <c r="W10404" t="s">
        <v>40707</v>
      </c>
      <c r="X10404" t="s">
        <v>41262</v>
      </c>
    </row>
    <row r="10405" spans="1:24">
      <c r="A10405">
        <f>HYPERLINK("https://www.philgeps.gov.ph/GEPSNONPILOT/Tender/SplashBidNoticeAbstractUI.aspx?menuIndex=3&amp;refID=7057550&amp;Result=3","7057550")</f>
        <v>0</v>
      </c>
      <c r="B10405" t="s">
        <v>2948</v>
      </c>
      <c r="C10405" t="s">
        <v>13319</v>
      </c>
      <c r="D10405" t="s">
        <v>16654</v>
      </c>
      <c r="E10405" t="s">
        <v>25743</v>
      </c>
      <c r="F10405" t="s">
        <v>28669</v>
      </c>
      <c r="G10405" t="s">
        <v>28675</v>
      </c>
      <c r="H10405" t="s">
        <v>28684</v>
      </c>
      <c r="I10405" t="s">
        <v>28699</v>
      </c>
      <c r="J10405" t="s">
        <v>35256</v>
      </c>
      <c r="K10405" t="s">
        <v>37205</v>
      </c>
      <c r="M10405" t="s">
        <v>40708</v>
      </c>
      <c r="N10405" t="s">
        <v>41249</v>
      </c>
      <c r="O10405" t="s">
        <v>41250</v>
      </c>
      <c r="P10405">
        <v>0</v>
      </c>
      <c r="Q10405">
        <v>2</v>
      </c>
      <c r="R10405" t="s">
        <v>41261</v>
      </c>
      <c r="S10405" t="s">
        <v>41680</v>
      </c>
      <c r="T10405" t="s">
        <v>42739</v>
      </c>
      <c r="U10405" t="s">
        <v>51593</v>
      </c>
      <c r="W10405" t="s">
        <v>40708</v>
      </c>
      <c r="X10405" t="s">
        <v>41264</v>
      </c>
    </row>
    <row r="10406" spans="1:24">
      <c r="A10406">
        <f>HYPERLINK("https://www.philgeps.gov.ph/GEPSNONPILOT/Tender/SplashBidNoticeAbstractUI.aspx?menuIndex=3&amp;refID=7058095&amp;Result=3","7058095")</f>
        <v>0</v>
      </c>
      <c r="B10406" t="s">
        <v>2949</v>
      </c>
      <c r="C10406" t="s">
        <v>13320</v>
      </c>
      <c r="D10406" t="s">
        <v>16681</v>
      </c>
      <c r="E10406" t="s">
        <v>25744</v>
      </c>
      <c r="F10406" t="s">
        <v>28669</v>
      </c>
      <c r="G10406" t="s">
        <v>28675</v>
      </c>
      <c r="H10406" t="s">
        <v>28686</v>
      </c>
      <c r="I10406" t="s">
        <v>28689</v>
      </c>
      <c r="J10406" t="s">
        <v>35257</v>
      </c>
      <c r="K10406" t="s">
        <v>37255</v>
      </c>
      <c r="M10406" t="s">
        <v>40709</v>
      </c>
      <c r="N10406" t="s">
        <v>41249</v>
      </c>
      <c r="O10406" t="s">
        <v>41250</v>
      </c>
      <c r="P10406">
        <v>0</v>
      </c>
      <c r="Q10406">
        <v>0</v>
      </c>
      <c r="R10406" t="s">
        <v>41262</v>
      </c>
      <c r="S10406" t="s">
        <v>41696</v>
      </c>
      <c r="T10406" t="s">
        <v>42764</v>
      </c>
      <c r="U10406" t="s">
        <v>51594</v>
      </c>
      <c r="W10406" t="s">
        <v>40709</v>
      </c>
      <c r="X10406" t="s">
        <v>41263</v>
      </c>
    </row>
    <row r="10407" spans="1:24">
      <c r="A10407">
        <f>HYPERLINK("https://www.philgeps.gov.ph/GEPSNONPILOT/Tender/SplashBidNoticeAbstractUI.aspx?menuIndex=3&amp;refID=7058091&amp;Result=3","7058091")</f>
        <v>0</v>
      </c>
      <c r="B10407" t="s">
        <v>2211</v>
      </c>
      <c r="C10407" t="s">
        <v>13321</v>
      </c>
      <c r="D10407" t="s">
        <v>16668</v>
      </c>
      <c r="E10407" t="s">
        <v>25745</v>
      </c>
      <c r="F10407" t="s">
        <v>28669</v>
      </c>
      <c r="G10407" t="s">
        <v>28675</v>
      </c>
      <c r="H10407" t="s">
        <v>9998</v>
      </c>
      <c r="I10407" t="s">
        <v>7352</v>
      </c>
      <c r="J10407" t="s">
        <v>35258</v>
      </c>
      <c r="K10407" t="s">
        <v>37206</v>
      </c>
      <c r="M10407" t="s">
        <v>39862</v>
      </c>
      <c r="N10407" t="s">
        <v>41249</v>
      </c>
      <c r="O10407" t="s">
        <v>41250</v>
      </c>
      <c r="P10407">
        <v>0</v>
      </c>
      <c r="Q10407">
        <v>4</v>
      </c>
      <c r="R10407" t="s">
        <v>41262</v>
      </c>
      <c r="S10407" t="s">
        <v>41696</v>
      </c>
      <c r="T10407" t="s">
        <v>42809</v>
      </c>
      <c r="U10407" t="s">
        <v>51595</v>
      </c>
      <c r="V10407" t="s">
        <v>55399</v>
      </c>
      <c r="W10407" t="s">
        <v>39862</v>
      </c>
      <c r="X10407" t="s">
        <v>41263</v>
      </c>
    </row>
    <row r="10408" spans="1:24">
      <c r="A10408">
        <f>HYPERLINK("https://www.philgeps.gov.ph/GEPSNONPILOT/Tender/SplashBidNoticeAbstractUI.aspx?menuIndex=3&amp;refID=7058523&amp;Result=3","7058523")</f>
        <v>0</v>
      </c>
      <c r="B10408" t="s">
        <v>985</v>
      </c>
      <c r="C10408" t="s">
        <v>13322</v>
      </c>
      <c r="D10408" t="s">
        <v>16624</v>
      </c>
      <c r="E10408" t="s">
        <v>18433</v>
      </c>
      <c r="F10408" t="s">
        <v>28669</v>
      </c>
      <c r="G10408" t="s">
        <v>28675</v>
      </c>
      <c r="H10408" t="s">
        <v>28685</v>
      </c>
      <c r="I10408" t="s">
        <v>28685</v>
      </c>
      <c r="J10408" t="s">
        <v>28836</v>
      </c>
      <c r="K10408" t="s">
        <v>37213</v>
      </c>
      <c r="M10408" t="s">
        <v>38510</v>
      </c>
      <c r="N10408" t="s">
        <v>41249</v>
      </c>
      <c r="O10408" t="s">
        <v>41250</v>
      </c>
      <c r="P10408">
        <v>0</v>
      </c>
      <c r="Q10408">
        <v>2</v>
      </c>
      <c r="R10408" t="s">
        <v>41261</v>
      </c>
      <c r="S10408" t="s">
        <v>41680</v>
      </c>
      <c r="T10408" t="s">
        <v>42735</v>
      </c>
      <c r="U10408" t="s">
        <v>51596</v>
      </c>
      <c r="W10408" t="s">
        <v>38510</v>
      </c>
      <c r="X10408" t="s">
        <v>41262</v>
      </c>
    </row>
    <row r="10409" spans="1:24">
      <c r="A10409">
        <f>HYPERLINK("https://www.philgeps.gov.ph/GEPSNONPILOT/Tender/SplashBidNoticeAbstractUI.aspx?menuIndex=3&amp;refID=7058080&amp;Result=3","7058080")</f>
        <v>0</v>
      </c>
      <c r="B10409" t="s">
        <v>2950</v>
      </c>
      <c r="C10409" t="s">
        <v>13323</v>
      </c>
      <c r="D10409" t="s">
        <v>16648</v>
      </c>
      <c r="E10409" t="s">
        <v>25746</v>
      </c>
      <c r="F10409" t="s">
        <v>28669</v>
      </c>
      <c r="G10409" t="s">
        <v>28675</v>
      </c>
      <c r="H10409" t="s">
        <v>9998</v>
      </c>
      <c r="I10409" t="s">
        <v>28687</v>
      </c>
      <c r="J10409" t="s">
        <v>28823</v>
      </c>
      <c r="K10409" t="s">
        <v>37206</v>
      </c>
      <c r="M10409" t="s">
        <v>40710</v>
      </c>
      <c r="N10409" t="s">
        <v>41249</v>
      </c>
      <c r="O10409" t="s">
        <v>41250</v>
      </c>
      <c r="P10409">
        <v>0</v>
      </c>
      <c r="Q10409">
        <v>4</v>
      </c>
      <c r="R10409" t="s">
        <v>41262</v>
      </c>
      <c r="S10409" t="s">
        <v>41696</v>
      </c>
      <c r="T10409" t="s">
        <v>42739</v>
      </c>
      <c r="U10409" t="s">
        <v>51597</v>
      </c>
      <c r="W10409" t="s">
        <v>40710</v>
      </c>
      <c r="X10409" t="s">
        <v>41263</v>
      </c>
    </row>
    <row r="10410" spans="1:24">
      <c r="A10410">
        <f>HYPERLINK("https://www.philgeps.gov.ph/GEPSNONPILOT/Tender/SplashBidNoticeAbstractUI.aspx?menuIndex=3&amp;refID=7058041&amp;Result=3","7058041")</f>
        <v>0</v>
      </c>
      <c r="B10410" t="s">
        <v>1821</v>
      </c>
      <c r="C10410" t="s">
        <v>13324</v>
      </c>
      <c r="D10410" t="s">
        <v>16671</v>
      </c>
      <c r="E10410" t="s">
        <v>25747</v>
      </c>
      <c r="F10410" t="s">
        <v>28669</v>
      </c>
      <c r="G10410" t="s">
        <v>28675</v>
      </c>
      <c r="H10410" t="s">
        <v>9998</v>
      </c>
      <c r="I10410" t="s">
        <v>28694</v>
      </c>
      <c r="J10410" t="s">
        <v>35259</v>
      </c>
      <c r="K10410" t="s">
        <v>37206</v>
      </c>
      <c r="M10410" t="s">
        <v>39431</v>
      </c>
      <c r="N10410" t="s">
        <v>41249</v>
      </c>
      <c r="O10410" t="s">
        <v>41250</v>
      </c>
      <c r="P10410">
        <v>0</v>
      </c>
      <c r="Q10410">
        <v>0</v>
      </c>
      <c r="R10410" t="s">
        <v>41262</v>
      </c>
      <c r="S10410" t="s">
        <v>41696</v>
      </c>
      <c r="T10410" t="s">
        <v>42836</v>
      </c>
      <c r="U10410" t="s">
        <v>51598</v>
      </c>
      <c r="V10410" t="s">
        <v>54850</v>
      </c>
      <c r="W10410" t="s">
        <v>39431</v>
      </c>
      <c r="X10410" t="s">
        <v>41264</v>
      </c>
    </row>
    <row r="10411" spans="1:24">
      <c r="A10411">
        <f>HYPERLINK("https://www.philgeps.gov.ph/GEPSNONPILOT/Tender/SplashBidNoticeAbstractUI.aspx?menuIndex=3&amp;refID=7058107&amp;Result=3","7058107")</f>
        <v>0</v>
      </c>
      <c r="B10411" t="s">
        <v>2949</v>
      </c>
      <c r="C10411" t="s">
        <v>13325</v>
      </c>
      <c r="D10411" t="s">
        <v>16681</v>
      </c>
      <c r="E10411" t="s">
        <v>25748</v>
      </c>
      <c r="F10411" t="s">
        <v>28669</v>
      </c>
      <c r="G10411" t="s">
        <v>28675</v>
      </c>
      <c r="H10411" t="s">
        <v>28686</v>
      </c>
      <c r="I10411" t="s">
        <v>28689</v>
      </c>
      <c r="J10411" t="s">
        <v>35260</v>
      </c>
      <c r="K10411" t="s">
        <v>37220</v>
      </c>
      <c r="M10411" t="s">
        <v>40709</v>
      </c>
      <c r="N10411" t="s">
        <v>41249</v>
      </c>
      <c r="O10411" t="s">
        <v>41250</v>
      </c>
      <c r="P10411">
        <v>0</v>
      </c>
      <c r="Q10411">
        <v>0</v>
      </c>
      <c r="R10411" t="s">
        <v>41262</v>
      </c>
      <c r="S10411" t="s">
        <v>41696</v>
      </c>
      <c r="T10411" t="s">
        <v>42764</v>
      </c>
      <c r="U10411" t="s">
        <v>51599</v>
      </c>
      <c r="W10411" t="s">
        <v>40709</v>
      </c>
      <c r="X10411" t="s">
        <v>41263</v>
      </c>
    </row>
    <row r="10412" spans="1:24">
      <c r="A10412">
        <f>HYPERLINK("https://www.philgeps.gov.ph/GEPSNONPILOT/Tender/SplashBidNoticeAbstractUI.aspx?menuIndex=3&amp;refID=7058039&amp;Result=3","7058039")</f>
        <v>0</v>
      </c>
      <c r="B10412" t="s">
        <v>1821</v>
      </c>
      <c r="C10412" t="s">
        <v>13326</v>
      </c>
      <c r="D10412" t="s">
        <v>16671</v>
      </c>
      <c r="E10412" t="s">
        <v>25749</v>
      </c>
      <c r="F10412" t="s">
        <v>28669</v>
      </c>
      <c r="G10412" t="s">
        <v>28675</v>
      </c>
      <c r="H10412" t="s">
        <v>9998</v>
      </c>
      <c r="I10412" t="s">
        <v>28694</v>
      </c>
      <c r="J10412" t="s">
        <v>35261</v>
      </c>
      <c r="K10412" t="s">
        <v>37206</v>
      </c>
      <c r="M10412" t="s">
        <v>39431</v>
      </c>
      <c r="N10412" t="s">
        <v>41249</v>
      </c>
      <c r="O10412" t="s">
        <v>41250</v>
      </c>
      <c r="P10412">
        <v>0</v>
      </c>
      <c r="Q10412">
        <v>0</v>
      </c>
      <c r="R10412" t="s">
        <v>41262</v>
      </c>
      <c r="S10412" t="s">
        <v>41696</v>
      </c>
      <c r="T10412" t="s">
        <v>42836</v>
      </c>
      <c r="U10412" t="s">
        <v>51600</v>
      </c>
      <c r="V10412" t="s">
        <v>54850</v>
      </c>
      <c r="W10412" t="s">
        <v>39431</v>
      </c>
      <c r="X10412" t="s">
        <v>41264</v>
      </c>
    </row>
    <row r="10413" spans="1:24">
      <c r="A10413">
        <f>HYPERLINK("https://www.philgeps.gov.ph/GEPSNONPILOT/Tender/SplashBidNoticeAbstractUI.aspx?menuIndex=3&amp;refID=7058087&amp;Result=3","7058087")</f>
        <v>0</v>
      </c>
      <c r="B10413" t="s">
        <v>1094</v>
      </c>
      <c r="C10413" t="s">
        <v>13327</v>
      </c>
      <c r="E10413" t="s">
        <v>25750</v>
      </c>
      <c r="F10413" t="s">
        <v>28669</v>
      </c>
      <c r="G10413" t="s">
        <v>28675</v>
      </c>
      <c r="H10413" t="s">
        <v>9998</v>
      </c>
      <c r="I10413" t="s">
        <v>28706</v>
      </c>
      <c r="J10413" t="s">
        <v>35262</v>
      </c>
      <c r="K10413" t="s">
        <v>37209</v>
      </c>
      <c r="M10413" t="s">
        <v>38626</v>
      </c>
      <c r="N10413" t="s">
        <v>41249</v>
      </c>
      <c r="O10413" t="s">
        <v>41250</v>
      </c>
      <c r="P10413">
        <v>0</v>
      </c>
      <c r="Q10413">
        <v>6</v>
      </c>
      <c r="R10413" t="s">
        <v>41262</v>
      </c>
      <c r="S10413" t="s">
        <v>41696</v>
      </c>
      <c r="T10413" t="s">
        <v>43115</v>
      </c>
      <c r="U10413" t="s">
        <v>51601</v>
      </c>
      <c r="W10413" t="s">
        <v>38626</v>
      </c>
      <c r="X10413" t="s">
        <v>41263</v>
      </c>
    </row>
    <row r="10414" spans="1:24">
      <c r="A10414">
        <f>HYPERLINK("https://www.philgeps.gov.ph/GEPSNONPILOT/Tender/SplashBidNoticeAbstractUI.aspx?menuIndex=3&amp;refID=7058033&amp;Result=3","7058033")</f>
        <v>0</v>
      </c>
      <c r="B10414" t="s">
        <v>1821</v>
      </c>
      <c r="C10414" t="s">
        <v>13328</v>
      </c>
      <c r="D10414" t="s">
        <v>16671</v>
      </c>
      <c r="E10414" t="s">
        <v>25751</v>
      </c>
      <c r="F10414" t="s">
        <v>28669</v>
      </c>
      <c r="G10414" t="s">
        <v>28675</v>
      </c>
      <c r="H10414" t="s">
        <v>9998</v>
      </c>
      <c r="I10414" t="s">
        <v>28694</v>
      </c>
      <c r="J10414" t="s">
        <v>35263</v>
      </c>
      <c r="K10414" t="s">
        <v>37206</v>
      </c>
      <c r="M10414" t="s">
        <v>39431</v>
      </c>
      <c r="N10414" t="s">
        <v>41249</v>
      </c>
      <c r="O10414" t="s">
        <v>41250</v>
      </c>
      <c r="P10414">
        <v>0</v>
      </c>
      <c r="Q10414">
        <v>0</v>
      </c>
      <c r="R10414" t="s">
        <v>41262</v>
      </c>
      <c r="S10414" t="s">
        <v>41696</v>
      </c>
      <c r="T10414" t="s">
        <v>42836</v>
      </c>
      <c r="U10414" t="s">
        <v>51602</v>
      </c>
      <c r="V10414" t="s">
        <v>54850</v>
      </c>
      <c r="W10414" t="s">
        <v>39431</v>
      </c>
      <c r="X10414" t="s">
        <v>41264</v>
      </c>
    </row>
    <row r="10415" spans="1:24">
      <c r="A10415">
        <f>HYPERLINK("https://www.philgeps.gov.ph/GEPSNONPILOT/Tender/SplashBidNoticeAbstractUI.aspx?menuIndex=3&amp;refID=7058791&amp;Result=3","7058791")</f>
        <v>0</v>
      </c>
      <c r="B10415" t="s">
        <v>752</v>
      </c>
      <c r="C10415" t="s">
        <v>13329</v>
      </c>
      <c r="E10415" t="s">
        <v>25752</v>
      </c>
      <c r="F10415" t="s">
        <v>28669</v>
      </c>
      <c r="G10415" t="s">
        <v>28675</v>
      </c>
      <c r="H10415" t="s">
        <v>9998</v>
      </c>
      <c r="I10415" t="s">
        <v>28745</v>
      </c>
      <c r="J10415" t="s">
        <v>35264</v>
      </c>
      <c r="K10415" t="s">
        <v>37209</v>
      </c>
      <c r="M10415" t="s">
        <v>39224</v>
      </c>
      <c r="N10415" t="s">
        <v>41249</v>
      </c>
      <c r="O10415" t="s">
        <v>41250</v>
      </c>
      <c r="Q10415">
        <v>2</v>
      </c>
      <c r="R10415" t="s">
        <v>41261</v>
      </c>
      <c r="S10415" t="s">
        <v>41697</v>
      </c>
      <c r="T10415" t="s">
        <v>42836</v>
      </c>
      <c r="U10415" t="s">
        <v>51603</v>
      </c>
      <c r="V10415" t="s">
        <v>54872</v>
      </c>
      <c r="W10415" t="s">
        <v>39224</v>
      </c>
      <c r="X10415" t="s">
        <v>41262</v>
      </c>
    </row>
    <row r="10416" spans="1:24">
      <c r="A10416">
        <f>HYPERLINK("https://www.philgeps.gov.ph/GEPSNONPILOT/Tender/SplashBidNoticeAbstractUI.aspx?menuIndex=3&amp;refID=7058032&amp;Result=3","7058032")</f>
        <v>0</v>
      </c>
      <c r="B10416" t="s">
        <v>1821</v>
      </c>
      <c r="C10416" t="s">
        <v>13330</v>
      </c>
      <c r="D10416" t="s">
        <v>16671</v>
      </c>
      <c r="E10416" t="s">
        <v>25753</v>
      </c>
      <c r="F10416" t="s">
        <v>28669</v>
      </c>
      <c r="G10416" t="s">
        <v>28675</v>
      </c>
      <c r="H10416" t="s">
        <v>9998</v>
      </c>
      <c r="I10416" t="s">
        <v>28694</v>
      </c>
      <c r="J10416" t="s">
        <v>35265</v>
      </c>
      <c r="K10416" t="s">
        <v>37206</v>
      </c>
      <c r="M10416" t="s">
        <v>39431</v>
      </c>
      <c r="N10416" t="s">
        <v>41249</v>
      </c>
      <c r="O10416" t="s">
        <v>41250</v>
      </c>
      <c r="P10416">
        <v>0</v>
      </c>
      <c r="Q10416">
        <v>0</v>
      </c>
      <c r="R10416" t="s">
        <v>41262</v>
      </c>
      <c r="S10416" t="s">
        <v>41696</v>
      </c>
      <c r="T10416" t="s">
        <v>42836</v>
      </c>
      <c r="U10416" t="s">
        <v>51604</v>
      </c>
      <c r="V10416" t="s">
        <v>54850</v>
      </c>
      <c r="W10416" t="s">
        <v>39431</v>
      </c>
      <c r="X10416" t="s">
        <v>41264</v>
      </c>
    </row>
    <row r="10417" spans="1:24">
      <c r="A10417">
        <f>HYPERLINK("https://www.philgeps.gov.ph/GEPSNONPILOT/Tender/SplashBidNoticeAbstractUI.aspx?menuIndex=3&amp;refID=7058256&amp;Result=3","7058256")</f>
        <v>0</v>
      </c>
      <c r="B10417" t="s">
        <v>1001</v>
      </c>
      <c r="C10417" t="s">
        <v>13331</v>
      </c>
      <c r="D10417" t="s">
        <v>16677</v>
      </c>
      <c r="E10417" t="s">
        <v>25754</v>
      </c>
      <c r="F10417" t="s">
        <v>28669</v>
      </c>
      <c r="G10417" t="s">
        <v>28675</v>
      </c>
      <c r="H10417" t="s">
        <v>28686</v>
      </c>
      <c r="I10417" t="s">
        <v>28689</v>
      </c>
      <c r="J10417" t="s">
        <v>30289</v>
      </c>
      <c r="K10417" t="s">
        <v>37215</v>
      </c>
      <c r="M10417" t="s">
        <v>38529</v>
      </c>
      <c r="N10417" t="s">
        <v>41249</v>
      </c>
      <c r="O10417" t="s">
        <v>41250</v>
      </c>
      <c r="P10417">
        <v>0</v>
      </c>
      <c r="Q10417">
        <v>2</v>
      </c>
      <c r="R10417" t="s">
        <v>41262</v>
      </c>
      <c r="S10417" t="s">
        <v>41696</v>
      </c>
      <c r="T10417" t="s">
        <v>42679</v>
      </c>
      <c r="U10417" t="s">
        <v>51605</v>
      </c>
      <c r="W10417" t="s">
        <v>38529</v>
      </c>
      <c r="X10417" t="s">
        <v>41263</v>
      </c>
    </row>
    <row r="10418" spans="1:24">
      <c r="A10418">
        <f>HYPERLINK("https://www.philgeps.gov.ph/GEPSNONPILOT/Tender/SplashBidNoticeAbstractUI.aspx?menuIndex=3&amp;refID=7058055&amp;Result=3","7058055")</f>
        <v>0</v>
      </c>
      <c r="B10418" t="s">
        <v>1534</v>
      </c>
      <c r="C10418" t="s">
        <v>13332</v>
      </c>
      <c r="E10418" t="s">
        <v>17754</v>
      </c>
      <c r="F10418" t="s">
        <v>28669</v>
      </c>
      <c r="G10418" t="s">
        <v>28675</v>
      </c>
      <c r="H10418" t="s">
        <v>28686</v>
      </c>
      <c r="I10418" t="s">
        <v>7352</v>
      </c>
      <c r="J10418" t="s">
        <v>35266</v>
      </c>
      <c r="K10418" t="s">
        <v>37209</v>
      </c>
      <c r="M10418" t="s">
        <v>39109</v>
      </c>
      <c r="N10418" t="s">
        <v>41249</v>
      </c>
      <c r="O10418" t="s">
        <v>41250</v>
      </c>
      <c r="P10418">
        <v>0</v>
      </c>
      <c r="Q10418">
        <v>0</v>
      </c>
      <c r="R10418" t="s">
        <v>41262</v>
      </c>
      <c r="S10418" t="s">
        <v>41696</v>
      </c>
      <c r="T10418" t="s">
        <v>42764</v>
      </c>
      <c r="U10418" t="s">
        <v>51606</v>
      </c>
      <c r="W10418" t="s">
        <v>39109</v>
      </c>
      <c r="X10418" t="s">
        <v>41263</v>
      </c>
    </row>
    <row r="10419" spans="1:24">
      <c r="A10419">
        <f>HYPERLINK("https://www.philgeps.gov.ph/GEPSNONPILOT/Tender/SplashBidNoticeAbstractUI.aspx?menuIndex=3&amp;refID=7058246&amp;Result=3","7058246")</f>
        <v>0</v>
      </c>
      <c r="B10419" t="s">
        <v>1001</v>
      </c>
      <c r="C10419" t="s">
        <v>13333</v>
      </c>
      <c r="D10419" t="s">
        <v>16677</v>
      </c>
      <c r="E10419" t="s">
        <v>25755</v>
      </c>
      <c r="F10419" t="s">
        <v>28669</v>
      </c>
      <c r="G10419" t="s">
        <v>28675</v>
      </c>
      <c r="H10419" t="s">
        <v>28686</v>
      </c>
      <c r="I10419" t="s">
        <v>28689</v>
      </c>
      <c r="J10419" t="s">
        <v>29298</v>
      </c>
      <c r="K10419" t="s">
        <v>37211</v>
      </c>
      <c r="M10419" t="s">
        <v>38529</v>
      </c>
      <c r="N10419" t="s">
        <v>41249</v>
      </c>
      <c r="O10419" t="s">
        <v>41250</v>
      </c>
      <c r="P10419">
        <v>0</v>
      </c>
      <c r="Q10419">
        <v>3</v>
      </c>
      <c r="R10419" t="s">
        <v>41262</v>
      </c>
      <c r="S10419" t="s">
        <v>41696</v>
      </c>
      <c r="T10419" t="s">
        <v>42679</v>
      </c>
      <c r="U10419" t="s">
        <v>45378</v>
      </c>
      <c r="W10419" t="s">
        <v>38529</v>
      </c>
      <c r="X10419" t="s">
        <v>41263</v>
      </c>
    </row>
    <row r="10420" spans="1:24">
      <c r="A10420">
        <f>HYPERLINK("https://www.philgeps.gov.ph/GEPSNONPILOT/Tender/SplashBidNoticeAbstractUI.aspx?menuIndex=3&amp;refID=7058241&amp;Result=3","7058241")</f>
        <v>0</v>
      </c>
      <c r="B10420" t="s">
        <v>1001</v>
      </c>
      <c r="C10420" t="s">
        <v>13334</v>
      </c>
      <c r="D10420" t="s">
        <v>16677</v>
      </c>
      <c r="E10420" t="s">
        <v>25756</v>
      </c>
      <c r="F10420" t="s">
        <v>28669</v>
      </c>
      <c r="G10420" t="s">
        <v>28675</v>
      </c>
      <c r="H10420" t="s">
        <v>28686</v>
      </c>
      <c r="I10420" t="s">
        <v>28689</v>
      </c>
      <c r="J10420" t="s">
        <v>29298</v>
      </c>
      <c r="K10420" t="s">
        <v>37215</v>
      </c>
      <c r="M10420" t="s">
        <v>38529</v>
      </c>
      <c r="N10420" t="s">
        <v>41249</v>
      </c>
      <c r="O10420" t="s">
        <v>41250</v>
      </c>
      <c r="P10420">
        <v>0</v>
      </c>
      <c r="Q10420">
        <v>3</v>
      </c>
      <c r="R10420" t="s">
        <v>41262</v>
      </c>
      <c r="S10420" t="s">
        <v>41696</v>
      </c>
      <c r="T10420" t="s">
        <v>42679</v>
      </c>
      <c r="U10420" t="s">
        <v>45378</v>
      </c>
      <c r="W10420" t="s">
        <v>38529</v>
      </c>
      <c r="X10420" t="s">
        <v>41263</v>
      </c>
    </row>
    <row r="10421" spans="1:24">
      <c r="A10421">
        <f>HYPERLINK("https://www.philgeps.gov.ph/GEPSNONPILOT/Tender/SplashBidNoticeAbstractUI.aspx?menuIndex=3&amp;refID=7058237&amp;Result=3","7058237")</f>
        <v>0</v>
      </c>
      <c r="B10421" t="s">
        <v>1001</v>
      </c>
      <c r="C10421" t="s">
        <v>13335</v>
      </c>
      <c r="D10421" t="s">
        <v>16677</v>
      </c>
      <c r="E10421" t="s">
        <v>25757</v>
      </c>
      <c r="F10421" t="s">
        <v>28669</v>
      </c>
      <c r="G10421" t="s">
        <v>28675</v>
      </c>
      <c r="H10421" t="s">
        <v>28686</v>
      </c>
      <c r="I10421" t="s">
        <v>28689</v>
      </c>
      <c r="J10421" t="s">
        <v>30823</v>
      </c>
      <c r="K10421" t="s">
        <v>37215</v>
      </c>
      <c r="M10421" t="s">
        <v>38529</v>
      </c>
      <c r="N10421" t="s">
        <v>41249</v>
      </c>
      <c r="O10421" t="s">
        <v>41250</v>
      </c>
      <c r="P10421">
        <v>0</v>
      </c>
      <c r="Q10421">
        <v>2</v>
      </c>
      <c r="R10421" t="s">
        <v>41262</v>
      </c>
      <c r="S10421" t="s">
        <v>41696</v>
      </c>
      <c r="T10421" t="s">
        <v>42679</v>
      </c>
      <c r="U10421" t="s">
        <v>45302</v>
      </c>
      <c r="W10421" t="s">
        <v>38529</v>
      </c>
      <c r="X10421" t="s">
        <v>41263</v>
      </c>
    </row>
    <row r="10422" spans="1:24">
      <c r="A10422">
        <f>HYPERLINK("https://www.philgeps.gov.ph/GEPSNONPILOT/Tender/SplashBidNoticeAbstractUI.aspx?menuIndex=3&amp;refID=7058235&amp;Result=3","7058235")</f>
        <v>0</v>
      </c>
      <c r="B10422" t="s">
        <v>1847</v>
      </c>
      <c r="C10422" t="s">
        <v>13336</v>
      </c>
      <c r="D10422" t="s">
        <v>16610</v>
      </c>
      <c r="E10422" t="s">
        <v>25758</v>
      </c>
      <c r="F10422" t="s">
        <v>28669</v>
      </c>
      <c r="G10422" t="s">
        <v>28679</v>
      </c>
      <c r="H10422" t="s">
        <v>28686</v>
      </c>
      <c r="I10422" t="s">
        <v>28689</v>
      </c>
      <c r="J10422" t="s">
        <v>35267</v>
      </c>
      <c r="K10422" t="s">
        <v>37220</v>
      </c>
      <c r="M10422" t="s">
        <v>39465</v>
      </c>
      <c r="N10422" t="s">
        <v>41249</v>
      </c>
      <c r="O10422" t="s">
        <v>41250</v>
      </c>
      <c r="P10422">
        <v>0</v>
      </c>
      <c r="Q10422">
        <v>1</v>
      </c>
      <c r="R10422" t="s">
        <v>41262</v>
      </c>
      <c r="S10422" t="s">
        <v>41696</v>
      </c>
      <c r="T10422" t="s">
        <v>42754</v>
      </c>
      <c r="U10422" t="s">
        <v>51607</v>
      </c>
      <c r="W10422" t="s">
        <v>39465</v>
      </c>
      <c r="X10422" t="s">
        <v>41263</v>
      </c>
    </row>
    <row r="10423" spans="1:24">
      <c r="A10423">
        <f>HYPERLINK("https://www.philgeps.gov.ph/GEPSNONPILOT/Tender/SplashBidNoticeAbstractUI.aspx?menuIndex=3&amp;refID=7058832&amp;Result=3","7058832")</f>
        <v>0</v>
      </c>
      <c r="B10423" t="s">
        <v>140</v>
      </c>
      <c r="C10423" t="s">
        <v>13337</v>
      </c>
      <c r="D10423" t="s">
        <v>16652</v>
      </c>
      <c r="E10423" t="s">
        <v>25759</v>
      </c>
      <c r="F10423" t="s">
        <v>28669</v>
      </c>
      <c r="G10423" t="s">
        <v>28675</v>
      </c>
      <c r="H10423" t="s">
        <v>28684</v>
      </c>
      <c r="I10423" t="s">
        <v>28699</v>
      </c>
      <c r="J10423" t="s">
        <v>35268</v>
      </c>
      <c r="K10423" t="s">
        <v>37206</v>
      </c>
      <c r="M10423" t="s">
        <v>37617</v>
      </c>
      <c r="N10423" t="s">
        <v>41249</v>
      </c>
      <c r="O10423" t="s">
        <v>41250</v>
      </c>
      <c r="P10423">
        <v>0</v>
      </c>
      <c r="Q10423">
        <v>7</v>
      </c>
      <c r="R10423" t="s">
        <v>41261</v>
      </c>
      <c r="S10423" t="s">
        <v>41680</v>
      </c>
      <c r="T10423" t="s">
        <v>43074</v>
      </c>
      <c r="U10423" t="s">
        <v>51608</v>
      </c>
      <c r="W10423" t="s">
        <v>37617</v>
      </c>
      <c r="X10423" t="s">
        <v>41262</v>
      </c>
    </row>
    <row r="10424" spans="1:24">
      <c r="A10424">
        <f>HYPERLINK("https://www.philgeps.gov.ph/GEPSNONPILOT/Tender/SplashBidNoticeAbstractUI.aspx?menuIndex=3&amp;refID=7058230&amp;Result=3","7058230")</f>
        <v>0</v>
      </c>
      <c r="B10424" t="s">
        <v>2951</v>
      </c>
      <c r="C10424" t="s">
        <v>13338</v>
      </c>
      <c r="D10424" t="s">
        <v>16657</v>
      </c>
      <c r="E10424" t="s">
        <v>17140</v>
      </c>
      <c r="F10424" t="s">
        <v>28669</v>
      </c>
      <c r="G10424" t="s">
        <v>28675</v>
      </c>
      <c r="H10424" t="s">
        <v>28686</v>
      </c>
      <c r="I10424" t="s">
        <v>28689</v>
      </c>
      <c r="J10424" t="s">
        <v>35269</v>
      </c>
      <c r="K10424" t="s">
        <v>37278</v>
      </c>
      <c r="M10424" t="s">
        <v>40711</v>
      </c>
      <c r="N10424" t="s">
        <v>41249</v>
      </c>
      <c r="O10424" t="s">
        <v>41250</v>
      </c>
      <c r="P10424">
        <v>0</v>
      </c>
      <c r="Q10424">
        <v>4</v>
      </c>
      <c r="R10424" t="s">
        <v>41262</v>
      </c>
      <c r="S10424" t="s">
        <v>41696</v>
      </c>
      <c r="T10424" t="s">
        <v>42675</v>
      </c>
      <c r="U10424" t="s">
        <v>51609</v>
      </c>
      <c r="W10424" t="s">
        <v>40711</v>
      </c>
      <c r="X10424" t="s">
        <v>41263</v>
      </c>
    </row>
    <row r="10425" spans="1:24">
      <c r="A10425">
        <f>HYPERLINK("https://www.philgeps.gov.ph/GEPSNONPILOT/Tender/SplashBidNoticeAbstractUI.aspx?menuIndex=3&amp;refID=7058030&amp;Result=3","7058030")</f>
        <v>0</v>
      </c>
      <c r="B10425" t="s">
        <v>1821</v>
      </c>
      <c r="C10425" t="s">
        <v>13339</v>
      </c>
      <c r="D10425" t="s">
        <v>16671</v>
      </c>
      <c r="E10425" t="s">
        <v>25760</v>
      </c>
      <c r="F10425" t="s">
        <v>28669</v>
      </c>
      <c r="G10425" t="s">
        <v>28675</v>
      </c>
      <c r="H10425" t="s">
        <v>9998</v>
      </c>
      <c r="I10425" t="s">
        <v>28694</v>
      </c>
      <c r="J10425" t="s">
        <v>35270</v>
      </c>
      <c r="K10425" t="s">
        <v>37206</v>
      </c>
      <c r="M10425" t="s">
        <v>39431</v>
      </c>
      <c r="N10425" t="s">
        <v>41249</v>
      </c>
      <c r="O10425" t="s">
        <v>41250</v>
      </c>
      <c r="P10425">
        <v>0</v>
      </c>
      <c r="Q10425">
        <v>0</v>
      </c>
      <c r="R10425" t="s">
        <v>41262</v>
      </c>
      <c r="S10425" t="s">
        <v>41696</v>
      </c>
      <c r="T10425" t="s">
        <v>42836</v>
      </c>
      <c r="U10425" t="s">
        <v>51610</v>
      </c>
      <c r="V10425" t="s">
        <v>54850</v>
      </c>
      <c r="W10425" t="s">
        <v>39431</v>
      </c>
      <c r="X10425" t="s">
        <v>41264</v>
      </c>
    </row>
    <row r="10426" spans="1:24">
      <c r="A10426">
        <f>HYPERLINK("https://www.philgeps.gov.ph/GEPSNONPILOT/Tender/SplashBidNoticeAbstractUI.aspx?menuIndex=3&amp;refID=7058216&amp;Result=3","7058216")</f>
        <v>0</v>
      </c>
      <c r="B10426" t="s">
        <v>2952</v>
      </c>
      <c r="C10426" t="s">
        <v>13340</v>
      </c>
      <c r="D10426" t="s">
        <v>16625</v>
      </c>
      <c r="E10426" t="s">
        <v>25761</v>
      </c>
      <c r="F10426" t="s">
        <v>28669</v>
      </c>
      <c r="G10426" t="s">
        <v>28675</v>
      </c>
      <c r="H10426" t="s">
        <v>9998</v>
      </c>
      <c r="I10426" t="s">
        <v>6606</v>
      </c>
      <c r="J10426" t="s">
        <v>31260</v>
      </c>
      <c r="K10426" t="s">
        <v>37205</v>
      </c>
      <c r="M10426" t="s">
        <v>40712</v>
      </c>
      <c r="N10426" t="s">
        <v>41249</v>
      </c>
      <c r="O10426" t="s">
        <v>41250</v>
      </c>
      <c r="P10426">
        <v>0</v>
      </c>
      <c r="Q10426">
        <v>0</v>
      </c>
      <c r="R10426" t="s">
        <v>41262</v>
      </c>
      <c r="S10426" t="s">
        <v>41696</v>
      </c>
      <c r="T10426" t="s">
        <v>42760</v>
      </c>
      <c r="U10426" t="s">
        <v>51611</v>
      </c>
      <c r="W10426" t="s">
        <v>40712</v>
      </c>
      <c r="X10426" t="s">
        <v>41263</v>
      </c>
    </row>
    <row r="10427" spans="1:24">
      <c r="A10427">
        <f>HYPERLINK("https://www.philgeps.gov.ph/GEPSNONPILOT/Tender/SplashBidNoticeAbstractUI.aspx?menuIndex=3&amp;refID=7058209&amp;Result=3","7058209")</f>
        <v>0</v>
      </c>
      <c r="B10427" t="s">
        <v>2822</v>
      </c>
      <c r="C10427" t="s">
        <v>13341</v>
      </c>
      <c r="D10427" t="s">
        <v>16608</v>
      </c>
      <c r="E10427" t="s">
        <v>25762</v>
      </c>
      <c r="F10427" t="s">
        <v>28669</v>
      </c>
      <c r="G10427" t="s">
        <v>28675</v>
      </c>
      <c r="H10427" t="s">
        <v>9998</v>
      </c>
      <c r="I10427" t="s">
        <v>7352</v>
      </c>
      <c r="J10427" t="s">
        <v>35271</v>
      </c>
      <c r="K10427" t="s">
        <v>37205</v>
      </c>
      <c r="M10427" t="s">
        <v>40553</v>
      </c>
      <c r="N10427" t="s">
        <v>41249</v>
      </c>
      <c r="O10427" t="s">
        <v>41250</v>
      </c>
      <c r="P10427">
        <v>0</v>
      </c>
      <c r="Q10427">
        <v>0</v>
      </c>
      <c r="R10427" t="s">
        <v>41262</v>
      </c>
      <c r="S10427" t="s">
        <v>41696</v>
      </c>
      <c r="T10427" t="s">
        <v>42764</v>
      </c>
      <c r="U10427" t="s">
        <v>51612</v>
      </c>
      <c r="W10427" t="s">
        <v>56015</v>
      </c>
      <c r="X10427" t="s">
        <v>41263</v>
      </c>
    </row>
    <row r="10428" spans="1:24">
      <c r="A10428">
        <f>HYPERLINK("https://www.philgeps.gov.ph/GEPSNONPILOT/Tender/SplashBidNoticeAbstractUI.aspx?menuIndex=3&amp;refID=7058207&amp;Result=3","7058207")</f>
        <v>0</v>
      </c>
      <c r="B10428" t="s">
        <v>2952</v>
      </c>
      <c r="C10428" t="s">
        <v>13342</v>
      </c>
      <c r="D10428" t="s">
        <v>16625</v>
      </c>
      <c r="E10428" t="s">
        <v>25763</v>
      </c>
      <c r="F10428" t="s">
        <v>28669</v>
      </c>
      <c r="G10428" t="s">
        <v>28675</v>
      </c>
      <c r="H10428" t="s">
        <v>9998</v>
      </c>
      <c r="I10428" t="s">
        <v>5213</v>
      </c>
      <c r="J10428" t="s">
        <v>35272</v>
      </c>
      <c r="K10428" t="s">
        <v>37205</v>
      </c>
      <c r="M10428" t="s">
        <v>40712</v>
      </c>
      <c r="N10428" t="s">
        <v>41249</v>
      </c>
      <c r="O10428" t="s">
        <v>41250</v>
      </c>
      <c r="P10428">
        <v>0</v>
      </c>
      <c r="Q10428">
        <v>1</v>
      </c>
      <c r="R10428" t="s">
        <v>41262</v>
      </c>
      <c r="S10428" t="s">
        <v>41696</v>
      </c>
      <c r="T10428" t="s">
        <v>42760</v>
      </c>
      <c r="U10428" t="s">
        <v>51613</v>
      </c>
      <c r="W10428" t="s">
        <v>40712</v>
      </c>
      <c r="X10428" t="s">
        <v>41263</v>
      </c>
    </row>
    <row r="10429" spans="1:24">
      <c r="A10429">
        <f>HYPERLINK("https://www.philgeps.gov.ph/GEPSNONPILOT/Tender/SplashBidNoticeAbstractUI.aspx?menuIndex=3&amp;refID=7058205&amp;Result=3","7058205")</f>
        <v>0</v>
      </c>
      <c r="B10429" t="s">
        <v>2822</v>
      </c>
      <c r="C10429" t="s">
        <v>13343</v>
      </c>
      <c r="D10429" t="s">
        <v>16608</v>
      </c>
      <c r="E10429" t="s">
        <v>25764</v>
      </c>
      <c r="F10429" t="s">
        <v>28669</v>
      </c>
      <c r="G10429" t="s">
        <v>28675</v>
      </c>
      <c r="H10429" t="s">
        <v>9998</v>
      </c>
      <c r="I10429" t="s">
        <v>7352</v>
      </c>
      <c r="J10429" t="s">
        <v>35273</v>
      </c>
      <c r="K10429" t="s">
        <v>37205</v>
      </c>
      <c r="M10429" t="s">
        <v>40553</v>
      </c>
      <c r="N10429" t="s">
        <v>41249</v>
      </c>
      <c r="O10429" t="s">
        <v>41250</v>
      </c>
      <c r="P10429">
        <v>0</v>
      </c>
      <c r="Q10429">
        <v>0</v>
      </c>
      <c r="R10429" t="s">
        <v>41262</v>
      </c>
      <c r="S10429" t="s">
        <v>41696</v>
      </c>
      <c r="T10429" t="s">
        <v>42764</v>
      </c>
      <c r="U10429" t="s">
        <v>51614</v>
      </c>
      <c r="W10429" t="s">
        <v>56015</v>
      </c>
      <c r="X10429" t="s">
        <v>41263</v>
      </c>
    </row>
    <row r="10430" spans="1:24">
      <c r="A10430">
        <f>HYPERLINK("https://www.philgeps.gov.ph/GEPSNONPILOT/Tender/SplashBidNoticeAbstractUI.aspx?menuIndex=3&amp;refID=7058184&amp;Result=3","7058184")</f>
        <v>0</v>
      </c>
      <c r="B10430" t="s">
        <v>398</v>
      </c>
      <c r="C10430" t="s">
        <v>4081</v>
      </c>
      <c r="D10430" t="s">
        <v>16608</v>
      </c>
      <c r="E10430" t="s">
        <v>25765</v>
      </c>
      <c r="F10430" t="s">
        <v>28669</v>
      </c>
      <c r="G10430" t="s">
        <v>28675</v>
      </c>
      <c r="H10430" t="s">
        <v>9998</v>
      </c>
      <c r="I10430" t="s">
        <v>5033</v>
      </c>
      <c r="J10430" t="s">
        <v>35274</v>
      </c>
      <c r="K10430" t="s">
        <v>37204</v>
      </c>
      <c r="M10430" t="s">
        <v>37883</v>
      </c>
      <c r="N10430" t="s">
        <v>41249</v>
      </c>
      <c r="O10430" t="s">
        <v>41250</v>
      </c>
      <c r="P10430">
        <v>0</v>
      </c>
      <c r="Q10430">
        <v>0</v>
      </c>
      <c r="R10430" t="s">
        <v>41262</v>
      </c>
      <c r="S10430" t="s">
        <v>41696</v>
      </c>
      <c r="T10430" t="s">
        <v>42836</v>
      </c>
      <c r="U10430" t="s">
        <v>51615</v>
      </c>
      <c r="W10430" t="s">
        <v>37883</v>
      </c>
      <c r="X10430" t="s">
        <v>41263</v>
      </c>
    </row>
    <row r="10431" spans="1:24">
      <c r="A10431">
        <f>HYPERLINK("https://www.philgeps.gov.ph/GEPSNONPILOT/Tender/SplashBidNoticeAbstractUI.aspx?menuIndex=3&amp;refID=7058145&amp;Result=3","7058145")</f>
        <v>0</v>
      </c>
      <c r="B10431" t="s">
        <v>939</v>
      </c>
      <c r="C10431" t="s">
        <v>13344</v>
      </c>
      <c r="D10431" t="s">
        <v>16657</v>
      </c>
      <c r="E10431" t="s">
        <v>25766</v>
      </c>
      <c r="F10431" t="s">
        <v>28669</v>
      </c>
      <c r="G10431" t="s">
        <v>28675</v>
      </c>
      <c r="H10431" t="s">
        <v>28686</v>
      </c>
      <c r="I10431" t="s">
        <v>28689</v>
      </c>
      <c r="J10431" t="s">
        <v>35275</v>
      </c>
      <c r="K10431" t="s">
        <v>37215</v>
      </c>
      <c r="M10431" t="s">
        <v>38462</v>
      </c>
      <c r="N10431" t="s">
        <v>41249</v>
      </c>
      <c r="O10431" t="s">
        <v>41250</v>
      </c>
      <c r="P10431">
        <v>0</v>
      </c>
      <c r="Q10431">
        <v>14</v>
      </c>
      <c r="R10431" t="s">
        <v>41262</v>
      </c>
      <c r="S10431" t="s">
        <v>41696</v>
      </c>
      <c r="T10431" t="s">
        <v>42698</v>
      </c>
      <c r="U10431" t="s">
        <v>51616</v>
      </c>
      <c r="V10431" t="s">
        <v>55400</v>
      </c>
      <c r="W10431" t="s">
        <v>38462</v>
      </c>
      <c r="X10431" t="s">
        <v>41263</v>
      </c>
    </row>
    <row r="10432" spans="1:24">
      <c r="A10432">
        <f>HYPERLINK("https://www.philgeps.gov.ph/GEPSNONPILOT/Tender/SplashBidNoticeAbstractUI.aspx?menuIndex=3&amp;refID=7058036&amp;Result=3","7058036")</f>
        <v>0</v>
      </c>
      <c r="B10432" t="s">
        <v>1821</v>
      </c>
      <c r="C10432" t="s">
        <v>13345</v>
      </c>
      <c r="D10432" t="s">
        <v>16671</v>
      </c>
      <c r="E10432" t="s">
        <v>25767</v>
      </c>
      <c r="F10432" t="s">
        <v>28669</v>
      </c>
      <c r="G10432" t="s">
        <v>28675</v>
      </c>
      <c r="H10432" t="s">
        <v>9998</v>
      </c>
      <c r="I10432" t="s">
        <v>28694</v>
      </c>
      <c r="J10432" t="s">
        <v>35276</v>
      </c>
      <c r="K10432" t="s">
        <v>37206</v>
      </c>
      <c r="M10432" t="s">
        <v>39431</v>
      </c>
      <c r="N10432" t="s">
        <v>41249</v>
      </c>
      <c r="O10432" t="s">
        <v>41250</v>
      </c>
      <c r="P10432">
        <v>0</v>
      </c>
      <c r="Q10432">
        <v>0</v>
      </c>
      <c r="R10432" t="s">
        <v>41262</v>
      </c>
      <c r="S10432" t="s">
        <v>41696</v>
      </c>
      <c r="T10432" t="s">
        <v>42836</v>
      </c>
      <c r="U10432" t="s">
        <v>51602</v>
      </c>
      <c r="V10432" t="s">
        <v>54850</v>
      </c>
      <c r="W10432" t="s">
        <v>39431</v>
      </c>
      <c r="X10432" t="s">
        <v>41264</v>
      </c>
    </row>
    <row r="10433" spans="1:24">
      <c r="A10433">
        <f>HYPERLINK("https://www.philgeps.gov.ph/GEPSNONPILOT/Tender/SplashBidNoticeAbstractUI.aspx?menuIndex=3&amp;refID=7058139&amp;Result=3","7058139")</f>
        <v>0</v>
      </c>
      <c r="B10433" t="s">
        <v>2033</v>
      </c>
      <c r="C10433" t="s">
        <v>13346</v>
      </c>
      <c r="D10433" t="s">
        <v>16625</v>
      </c>
      <c r="E10433" t="s">
        <v>25768</v>
      </c>
      <c r="F10433" t="s">
        <v>28669</v>
      </c>
      <c r="G10433" t="s">
        <v>28675</v>
      </c>
      <c r="H10433" t="s">
        <v>9998</v>
      </c>
      <c r="I10433" t="s">
        <v>28695</v>
      </c>
      <c r="J10433" t="s">
        <v>35277</v>
      </c>
      <c r="K10433" t="s">
        <v>37205</v>
      </c>
      <c r="M10433" t="s">
        <v>39673</v>
      </c>
      <c r="N10433" t="s">
        <v>41249</v>
      </c>
      <c r="O10433" t="s">
        <v>41250</v>
      </c>
      <c r="P10433">
        <v>0</v>
      </c>
      <c r="Q10433">
        <v>0</v>
      </c>
      <c r="R10433" t="s">
        <v>41262</v>
      </c>
      <c r="S10433" t="s">
        <v>41696</v>
      </c>
      <c r="T10433" t="s">
        <v>42736</v>
      </c>
      <c r="U10433" t="s">
        <v>51617</v>
      </c>
      <c r="W10433" t="s">
        <v>39673</v>
      </c>
      <c r="X10433" t="s">
        <v>41263</v>
      </c>
    </row>
    <row r="10434" spans="1:24">
      <c r="A10434">
        <f>HYPERLINK("https://www.philgeps.gov.ph/GEPSNONPILOT/Tender/SplashBidNoticeAbstractUI.aspx?menuIndex=3&amp;refID=7058261&amp;Result=3","7058261")</f>
        <v>0</v>
      </c>
      <c r="B10434" t="s">
        <v>1001</v>
      </c>
      <c r="C10434" t="s">
        <v>13347</v>
      </c>
      <c r="D10434" t="s">
        <v>16677</v>
      </c>
      <c r="E10434" t="s">
        <v>25769</v>
      </c>
      <c r="F10434" t="s">
        <v>28669</v>
      </c>
      <c r="G10434" t="s">
        <v>28675</v>
      </c>
      <c r="H10434" t="s">
        <v>28686</v>
      </c>
      <c r="I10434" t="s">
        <v>28689</v>
      </c>
      <c r="J10434" t="s">
        <v>30503</v>
      </c>
      <c r="K10434" t="s">
        <v>37215</v>
      </c>
      <c r="M10434" t="s">
        <v>38529</v>
      </c>
      <c r="N10434" t="s">
        <v>41249</v>
      </c>
      <c r="O10434" t="s">
        <v>41250</v>
      </c>
      <c r="P10434">
        <v>0</v>
      </c>
      <c r="Q10434">
        <v>2</v>
      </c>
      <c r="R10434" t="s">
        <v>41262</v>
      </c>
      <c r="S10434" t="s">
        <v>41696</v>
      </c>
      <c r="T10434" t="s">
        <v>42679</v>
      </c>
      <c r="U10434" t="s">
        <v>45302</v>
      </c>
      <c r="W10434" t="s">
        <v>38529</v>
      </c>
      <c r="X10434" t="s">
        <v>41263</v>
      </c>
    </row>
    <row r="10435" spans="1:24">
      <c r="A10435">
        <f>HYPERLINK("https://www.philgeps.gov.ph/GEPSNONPILOT/Tender/SplashBidNoticeAbstractUI.aspx?menuIndex=3&amp;refID=7058393&amp;Result=3","7058393")</f>
        <v>0</v>
      </c>
      <c r="B10435" t="s">
        <v>1001</v>
      </c>
      <c r="C10435" t="s">
        <v>13348</v>
      </c>
      <c r="D10435" t="s">
        <v>16677</v>
      </c>
      <c r="E10435" t="s">
        <v>25770</v>
      </c>
      <c r="F10435" t="s">
        <v>28669</v>
      </c>
      <c r="G10435" t="s">
        <v>28675</v>
      </c>
      <c r="H10435" t="s">
        <v>28686</v>
      </c>
      <c r="I10435" t="s">
        <v>28689</v>
      </c>
      <c r="J10435" t="s">
        <v>30289</v>
      </c>
      <c r="K10435" t="s">
        <v>37213</v>
      </c>
      <c r="M10435" t="s">
        <v>38529</v>
      </c>
      <c r="N10435" t="s">
        <v>41249</v>
      </c>
      <c r="O10435" t="s">
        <v>41250</v>
      </c>
      <c r="P10435">
        <v>0</v>
      </c>
      <c r="Q10435">
        <v>1</v>
      </c>
      <c r="R10435" t="s">
        <v>41262</v>
      </c>
      <c r="S10435" t="s">
        <v>41696</v>
      </c>
      <c r="T10435" t="s">
        <v>42764</v>
      </c>
      <c r="U10435" t="s">
        <v>51618</v>
      </c>
      <c r="W10435" t="s">
        <v>38529</v>
      </c>
      <c r="X10435" t="s">
        <v>41263</v>
      </c>
    </row>
    <row r="10436" spans="1:24">
      <c r="A10436">
        <f>HYPERLINK("https://www.philgeps.gov.ph/GEPSNONPILOT/Tender/SplashBidNoticeAbstractUI.aspx?menuIndex=3&amp;refID=7058406&amp;Result=3","7058406")</f>
        <v>0</v>
      </c>
      <c r="B10436" t="s">
        <v>1001</v>
      </c>
      <c r="C10436" t="s">
        <v>13349</v>
      </c>
      <c r="D10436" t="s">
        <v>16677</v>
      </c>
      <c r="E10436" t="s">
        <v>25771</v>
      </c>
      <c r="F10436" t="s">
        <v>28669</v>
      </c>
      <c r="G10436" t="s">
        <v>28675</v>
      </c>
      <c r="H10436" t="s">
        <v>28686</v>
      </c>
      <c r="I10436" t="s">
        <v>28689</v>
      </c>
      <c r="J10436" t="s">
        <v>30148</v>
      </c>
      <c r="K10436" t="s">
        <v>37220</v>
      </c>
      <c r="M10436" t="s">
        <v>38529</v>
      </c>
      <c r="N10436" t="s">
        <v>41249</v>
      </c>
      <c r="O10436" t="s">
        <v>41250</v>
      </c>
      <c r="P10436">
        <v>0</v>
      </c>
      <c r="Q10436">
        <v>1</v>
      </c>
      <c r="R10436" t="s">
        <v>41262</v>
      </c>
      <c r="S10436" t="s">
        <v>41696</v>
      </c>
      <c r="T10436" t="s">
        <v>42764</v>
      </c>
      <c r="U10436" t="s">
        <v>45430</v>
      </c>
      <c r="W10436" t="s">
        <v>38529</v>
      </c>
      <c r="X10436" t="s">
        <v>41263</v>
      </c>
    </row>
    <row r="10437" spans="1:24">
      <c r="A10437">
        <f>HYPERLINK("https://www.philgeps.gov.ph/GEPSNONPILOT/Tender/SplashBidNoticeAbstractUI.aspx?menuIndex=3&amp;refID=7058405&amp;Result=3","7058405")</f>
        <v>0</v>
      </c>
      <c r="B10437" t="s">
        <v>1001</v>
      </c>
      <c r="C10437" t="s">
        <v>13350</v>
      </c>
      <c r="D10437" t="s">
        <v>16677</v>
      </c>
      <c r="E10437" t="s">
        <v>25772</v>
      </c>
      <c r="F10437" t="s">
        <v>28669</v>
      </c>
      <c r="G10437" t="s">
        <v>28675</v>
      </c>
      <c r="H10437" t="s">
        <v>28686</v>
      </c>
      <c r="I10437" t="s">
        <v>28689</v>
      </c>
      <c r="J10437" t="s">
        <v>30447</v>
      </c>
      <c r="K10437" t="s">
        <v>37290</v>
      </c>
      <c r="M10437" t="s">
        <v>38529</v>
      </c>
      <c r="N10437" t="s">
        <v>41249</v>
      </c>
      <c r="O10437" t="s">
        <v>41250</v>
      </c>
      <c r="P10437">
        <v>0</v>
      </c>
      <c r="Q10437">
        <v>2</v>
      </c>
      <c r="R10437" t="s">
        <v>41262</v>
      </c>
      <c r="S10437" t="s">
        <v>41696</v>
      </c>
      <c r="T10437" t="s">
        <v>42764</v>
      </c>
      <c r="U10437" t="s">
        <v>45242</v>
      </c>
      <c r="W10437" t="s">
        <v>38529</v>
      </c>
      <c r="X10437" t="s">
        <v>41263</v>
      </c>
    </row>
    <row r="10438" spans="1:24">
      <c r="A10438">
        <f>HYPERLINK("https://www.philgeps.gov.ph/GEPSNONPILOT/Tender/SplashBidNoticeAbstractUI.aspx?menuIndex=3&amp;refID=7058404&amp;Result=3","7058404")</f>
        <v>0</v>
      </c>
      <c r="B10438" t="s">
        <v>1548</v>
      </c>
      <c r="C10438" t="s">
        <v>13351</v>
      </c>
      <c r="D10438" t="s">
        <v>16621</v>
      </c>
      <c r="E10438" t="s">
        <v>25773</v>
      </c>
      <c r="F10438" t="s">
        <v>28669</v>
      </c>
      <c r="G10438" t="s">
        <v>28675</v>
      </c>
      <c r="H10438" t="s">
        <v>9998</v>
      </c>
      <c r="I10438" t="s">
        <v>28687</v>
      </c>
      <c r="J10438" t="s">
        <v>32073</v>
      </c>
      <c r="K10438" t="s">
        <v>37220</v>
      </c>
      <c r="M10438" t="s">
        <v>39125</v>
      </c>
      <c r="N10438" t="s">
        <v>41249</v>
      </c>
      <c r="O10438" t="s">
        <v>41250</v>
      </c>
      <c r="P10438">
        <v>0</v>
      </c>
      <c r="Q10438">
        <v>2</v>
      </c>
      <c r="R10438" t="s">
        <v>41262</v>
      </c>
      <c r="S10438" t="s">
        <v>41696</v>
      </c>
      <c r="T10438" t="s">
        <v>42836</v>
      </c>
      <c r="U10438" t="s">
        <v>51619</v>
      </c>
      <c r="W10438" t="s">
        <v>39125</v>
      </c>
      <c r="X10438" t="s">
        <v>41263</v>
      </c>
    </row>
    <row r="10439" spans="1:24">
      <c r="A10439">
        <f>HYPERLINK("https://www.philgeps.gov.ph/GEPSNONPILOT/Tender/SplashBidNoticeAbstractUI.aspx?menuIndex=3&amp;refID=7058401&amp;Result=3","7058401")</f>
        <v>0</v>
      </c>
      <c r="B10439" t="s">
        <v>1001</v>
      </c>
      <c r="C10439" t="s">
        <v>13352</v>
      </c>
      <c r="D10439" t="s">
        <v>16677</v>
      </c>
      <c r="E10439" t="s">
        <v>25774</v>
      </c>
      <c r="F10439" t="s">
        <v>28669</v>
      </c>
      <c r="G10439" t="s">
        <v>28675</v>
      </c>
      <c r="H10439" t="s">
        <v>28686</v>
      </c>
      <c r="I10439" t="s">
        <v>28689</v>
      </c>
      <c r="J10439" t="s">
        <v>30447</v>
      </c>
      <c r="K10439" t="s">
        <v>37212</v>
      </c>
      <c r="M10439" t="s">
        <v>38529</v>
      </c>
      <c r="N10439" t="s">
        <v>41249</v>
      </c>
      <c r="O10439" t="s">
        <v>41250</v>
      </c>
      <c r="P10439">
        <v>0</v>
      </c>
      <c r="Q10439">
        <v>6</v>
      </c>
      <c r="R10439" t="s">
        <v>41262</v>
      </c>
      <c r="S10439" t="s">
        <v>41696</v>
      </c>
      <c r="T10439" t="s">
        <v>42764</v>
      </c>
      <c r="U10439" t="s">
        <v>45242</v>
      </c>
      <c r="W10439" t="s">
        <v>38529</v>
      </c>
      <c r="X10439" t="s">
        <v>41263</v>
      </c>
    </row>
    <row r="10440" spans="1:24">
      <c r="A10440">
        <f>HYPERLINK("https://www.philgeps.gov.ph/GEPSNONPILOT/Tender/SplashBidNoticeAbstractUI.aspx?menuIndex=3&amp;refID=7058399&amp;Result=3","7058399")</f>
        <v>0</v>
      </c>
      <c r="B10440" t="s">
        <v>1001</v>
      </c>
      <c r="C10440" t="s">
        <v>13353</v>
      </c>
      <c r="D10440" t="s">
        <v>16677</v>
      </c>
      <c r="E10440" t="s">
        <v>25775</v>
      </c>
      <c r="F10440" t="s">
        <v>28669</v>
      </c>
      <c r="G10440" t="s">
        <v>28675</v>
      </c>
      <c r="H10440" t="s">
        <v>28686</v>
      </c>
      <c r="I10440" t="s">
        <v>28689</v>
      </c>
      <c r="J10440" t="s">
        <v>32463</v>
      </c>
      <c r="K10440" t="s">
        <v>37215</v>
      </c>
      <c r="M10440" t="s">
        <v>38529</v>
      </c>
      <c r="N10440" t="s">
        <v>41249</v>
      </c>
      <c r="O10440" t="s">
        <v>41250</v>
      </c>
      <c r="P10440">
        <v>0</v>
      </c>
      <c r="Q10440">
        <v>2</v>
      </c>
      <c r="R10440" t="s">
        <v>41262</v>
      </c>
      <c r="S10440" t="s">
        <v>41696</v>
      </c>
      <c r="T10440" t="s">
        <v>42764</v>
      </c>
      <c r="U10440" t="s">
        <v>45378</v>
      </c>
      <c r="W10440" t="s">
        <v>38529</v>
      </c>
      <c r="X10440" t="s">
        <v>41263</v>
      </c>
    </row>
    <row r="10441" spans="1:24">
      <c r="A10441">
        <f>HYPERLINK("https://www.philgeps.gov.ph/GEPSNONPILOT/Tender/SplashBidNoticeAbstractUI.aspx?menuIndex=3&amp;refID=7058387&amp;Result=3","7058387")</f>
        <v>0</v>
      </c>
      <c r="B10441" t="s">
        <v>1001</v>
      </c>
      <c r="C10441" t="s">
        <v>13354</v>
      </c>
      <c r="D10441" t="s">
        <v>16677</v>
      </c>
      <c r="E10441" t="s">
        <v>25776</v>
      </c>
      <c r="F10441" t="s">
        <v>28669</v>
      </c>
      <c r="G10441" t="s">
        <v>28675</v>
      </c>
      <c r="H10441" t="s">
        <v>28686</v>
      </c>
      <c r="I10441" t="s">
        <v>28689</v>
      </c>
      <c r="J10441" t="s">
        <v>30503</v>
      </c>
      <c r="K10441" t="s">
        <v>37215</v>
      </c>
      <c r="M10441" t="s">
        <v>38529</v>
      </c>
      <c r="N10441" t="s">
        <v>41249</v>
      </c>
      <c r="O10441" t="s">
        <v>41250</v>
      </c>
      <c r="P10441">
        <v>0</v>
      </c>
      <c r="Q10441">
        <v>2</v>
      </c>
      <c r="R10441" t="s">
        <v>41262</v>
      </c>
      <c r="S10441" t="s">
        <v>41696</v>
      </c>
      <c r="T10441" t="s">
        <v>42764</v>
      </c>
      <c r="U10441" t="s">
        <v>45302</v>
      </c>
      <c r="W10441" t="s">
        <v>38529</v>
      </c>
      <c r="X10441" t="s">
        <v>41263</v>
      </c>
    </row>
    <row r="10442" spans="1:24">
      <c r="A10442">
        <f>HYPERLINK("https://www.philgeps.gov.ph/GEPSNONPILOT/Tender/SplashBidNoticeAbstractUI.aspx?menuIndex=3&amp;refID=7058158&amp;Result=3","7058158")</f>
        <v>0</v>
      </c>
      <c r="B10442" t="s">
        <v>2953</v>
      </c>
      <c r="C10442" t="s">
        <v>13355</v>
      </c>
      <c r="D10442" t="s">
        <v>16633</v>
      </c>
      <c r="E10442" t="s">
        <v>25777</v>
      </c>
      <c r="F10442" t="s">
        <v>28671</v>
      </c>
      <c r="G10442" t="s">
        <v>28675</v>
      </c>
      <c r="H10442" t="s">
        <v>28686</v>
      </c>
      <c r="I10442" t="s">
        <v>28689</v>
      </c>
      <c r="J10442" t="s">
        <v>29364</v>
      </c>
      <c r="K10442" t="s">
        <v>37209</v>
      </c>
      <c r="M10442" t="s">
        <v>40713</v>
      </c>
      <c r="N10442" t="s">
        <v>41249</v>
      </c>
      <c r="O10442" t="s">
        <v>41250</v>
      </c>
      <c r="P10442">
        <v>0</v>
      </c>
      <c r="Q10442">
        <v>0</v>
      </c>
      <c r="R10442" t="s">
        <v>41262</v>
      </c>
      <c r="S10442" t="s">
        <v>41696</v>
      </c>
      <c r="T10442" t="s">
        <v>42809</v>
      </c>
      <c r="U10442" t="s">
        <v>51620</v>
      </c>
      <c r="W10442" t="s">
        <v>40713</v>
      </c>
      <c r="X10442" t="s">
        <v>41263</v>
      </c>
    </row>
    <row r="10443" spans="1:24">
      <c r="A10443">
        <f>HYPERLINK("https://www.philgeps.gov.ph/GEPSNONPILOT/Tender/SplashBidNoticeAbstractUI.aspx?menuIndex=3&amp;refID=7058377&amp;Result=3","7058377")</f>
        <v>0</v>
      </c>
      <c r="B10443" t="s">
        <v>2954</v>
      </c>
      <c r="C10443" t="s">
        <v>13356</v>
      </c>
      <c r="D10443" t="s">
        <v>16610</v>
      </c>
      <c r="E10443" t="s">
        <v>25778</v>
      </c>
      <c r="F10443" t="s">
        <v>28669</v>
      </c>
      <c r="G10443" t="s">
        <v>28675</v>
      </c>
      <c r="H10443" t="s">
        <v>28686</v>
      </c>
      <c r="I10443" t="s">
        <v>28689</v>
      </c>
      <c r="J10443" t="s">
        <v>35278</v>
      </c>
      <c r="K10443" t="s">
        <v>37205</v>
      </c>
      <c r="M10443" t="s">
        <v>40714</v>
      </c>
      <c r="N10443" t="s">
        <v>41249</v>
      </c>
      <c r="O10443" t="s">
        <v>41250</v>
      </c>
      <c r="P10443">
        <v>0</v>
      </c>
      <c r="Q10443">
        <v>0</v>
      </c>
      <c r="R10443" t="s">
        <v>41262</v>
      </c>
      <c r="S10443" t="s">
        <v>41696</v>
      </c>
      <c r="T10443" t="s">
        <v>42809</v>
      </c>
      <c r="U10443" t="s">
        <v>51621</v>
      </c>
      <c r="W10443" t="s">
        <v>40714</v>
      </c>
      <c r="X10443" t="s">
        <v>41263</v>
      </c>
    </row>
    <row r="10444" spans="1:24">
      <c r="A10444">
        <f>HYPERLINK("https://www.philgeps.gov.ph/GEPSNONPILOT/Tender/SplashBidNoticeAbstractUI.aspx?menuIndex=3&amp;refID=7058291&amp;Result=3","7058291")</f>
        <v>0</v>
      </c>
      <c r="B10444" t="s">
        <v>1001</v>
      </c>
      <c r="C10444" t="s">
        <v>13357</v>
      </c>
      <c r="D10444" t="s">
        <v>16677</v>
      </c>
      <c r="E10444" t="s">
        <v>25779</v>
      </c>
      <c r="F10444" t="s">
        <v>28669</v>
      </c>
      <c r="G10444" t="s">
        <v>28675</v>
      </c>
      <c r="H10444" t="s">
        <v>9998</v>
      </c>
      <c r="I10444" t="s">
        <v>7352</v>
      </c>
      <c r="J10444" t="s">
        <v>35279</v>
      </c>
      <c r="K10444" t="s">
        <v>37206</v>
      </c>
      <c r="M10444" t="s">
        <v>38529</v>
      </c>
      <c r="N10444" t="s">
        <v>41249</v>
      </c>
      <c r="O10444" t="s">
        <v>41250</v>
      </c>
      <c r="P10444">
        <v>0</v>
      </c>
      <c r="Q10444">
        <v>1</v>
      </c>
      <c r="R10444" t="s">
        <v>41262</v>
      </c>
      <c r="S10444" t="s">
        <v>41696</v>
      </c>
      <c r="T10444" t="s">
        <v>42679</v>
      </c>
      <c r="U10444" t="s">
        <v>51622</v>
      </c>
      <c r="W10444" t="s">
        <v>38529</v>
      </c>
      <c r="X10444" t="s">
        <v>41263</v>
      </c>
    </row>
    <row r="10445" spans="1:24">
      <c r="A10445">
        <f>HYPERLINK("https://www.philgeps.gov.ph/GEPSNONPILOT/Tender/SplashBidNoticeAbstractUI.aspx?menuIndex=3&amp;refID=7058278&amp;Result=3","7058278")</f>
        <v>0</v>
      </c>
      <c r="B10445" t="s">
        <v>1001</v>
      </c>
      <c r="C10445" t="s">
        <v>13358</v>
      </c>
      <c r="D10445" t="s">
        <v>16677</v>
      </c>
      <c r="E10445" t="s">
        <v>25780</v>
      </c>
      <c r="F10445" t="s">
        <v>28669</v>
      </c>
      <c r="G10445" t="s">
        <v>28675</v>
      </c>
      <c r="H10445" t="s">
        <v>28686</v>
      </c>
      <c r="I10445" t="s">
        <v>28689</v>
      </c>
      <c r="J10445" t="s">
        <v>30777</v>
      </c>
      <c r="K10445" t="s">
        <v>37215</v>
      </c>
      <c r="M10445" t="s">
        <v>38529</v>
      </c>
      <c r="N10445" t="s">
        <v>41249</v>
      </c>
      <c r="O10445" t="s">
        <v>41250</v>
      </c>
      <c r="P10445">
        <v>0</v>
      </c>
      <c r="Q10445">
        <v>2</v>
      </c>
      <c r="R10445" t="s">
        <v>41262</v>
      </c>
      <c r="S10445" t="s">
        <v>41696</v>
      </c>
      <c r="T10445" t="s">
        <v>42679</v>
      </c>
      <c r="U10445" t="s">
        <v>51623</v>
      </c>
      <c r="W10445" t="s">
        <v>38529</v>
      </c>
      <c r="X10445" t="s">
        <v>41263</v>
      </c>
    </row>
    <row r="10446" spans="1:24">
      <c r="A10446">
        <f>HYPERLINK("https://www.philgeps.gov.ph/GEPSNONPILOT/Tender/SplashBidNoticeAbstractUI.aspx?menuIndex=3&amp;refID=7058277&amp;Result=3","7058277")</f>
        <v>0</v>
      </c>
      <c r="B10446" t="s">
        <v>1001</v>
      </c>
      <c r="C10446" t="s">
        <v>13359</v>
      </c>
      <c r="D10446" t="s">
        <v>16677</v>
      </c>
      <c r="E10446" t="s">
        <v>25781</v>
      </c>
      <c r="F10446" t="s">
        <v>28669</v>
      </c>
      <c r="G10446" t="s">
        <v>28675</v>
      </c>
      <c r="H10446" t="s">
        <v>28686</v>
      </c>
      <c r="I10446" t="s">
        <v>28689</v>
      </c>
      <c r="J10446" t="s">
        <v>35280</v>
      </c>
      <c r="K10446" t="s">
        <v>37211</v>
      </c>
      <c r="M10446" t="s">
        <v>38529</v>
      </c>
      <c r="N10446" t="s">
        <v>41249</v>
      </c>
      <c r="O10446" t="s">
        <v>41250</v>
      </c>
      <c r="P10446">
        <v>0</v>
      </c>
      <c r="Q10446">
        <v>3</v>
      </c>
      <c r="R10446" t="s">
        <v>41262</v>
      </c>
      <c r="S10446" t="s">
        <v>41696</v>
      </c>
      <c r="T10446" t="s">
        <v>42703</v>
      </c>
      <c r="U10446" t="s">
        <v>45378</v>
      </c>
      <c r="W10446" t="s">
        <v>38529</v>
      </c>
      <c r="X10446" t="s">
        <v>41263</v>
      </c>
    </row>
    <row r="10447" spans="1:24">
      <c r="A10447">
        <f>HYPERLINK("https://www.philgeps.gov.ph/GEPSNONPILOT/Tender/SplashBidNoticeAbstractUI.aspx?menuIndex=3&amp;refID=7058275&amp;Result=3","7058275")</f>
        <v>0</v>
      </c>
      <c r="B10447" t="s">
        <v>1001</v>
      </c>
      <c r="C10447" t="s">
        <v>13360</v>
      </c>
      <c r="D10447" t="s">
        <v>16677</v>
      </c>
      <c r="E10447" t="s">
        <v>25782</v>
      </c>
      <c r="F10447" t="s">
        <v>28669</v>
      </c>
      <c r="G10447" t="s">
        <v>28675</v>
      </c>
      <c r="H10447" t="s">
        <v>28686</v>
      </c>
      <c r="I10447" t="s">
        <v>28689</v>
      </c>
      <c r="J10447" t="s">
        <v>30304</v>
      </c>
      <c r="K10447" t="s">
        <v>37285</v>
      </c>
      <c r="M10447" t="s">
        <v>38529</v>
      </c>
      <c r="N10447" t="s">
        <v>41249</v>
      </c>
      <c r="O10447" t="s">
        <v>41250</v>
      </c>
      <c r="P10447">
        <v>0</v>
      </c>
      <c r="Q10447">
        <v>7</v>
      </c>
      <c r="R10447" t="s">
        <v>41262</v>
      </c>
      <c r="S10447" t="s">
        <v>41696</v>
      </c>
      <c r="T10447" t="s">
        <v>42679</v>
      </c>
      <c r="U10447" t="s">
        <v>45302</v>
      </c>
      <c r="W10447" t="s">
        <v>38529</v>
      </c>
      <c r="X10447" t="s">
        <v>41263</v>
      </c>
    </row>
    <row r="10448" spans="1:24">
      <c r="A10448">
        <f>HYPERLINK("https://www.philgeps.gov.ph/GEPSNONPILOT/Tender/SplashBidNoticeAbstractUI.aspx?menuIndex=3&amp;refID=7058270&amp;Result=3","7058270")</f>
        <v>0</v>
      </c>
      <c r="B10448" t="s">
        <v>1001</v>
      </c>
      <c r="C10448" t="s">
        <v>13361</v>
      </c>
      <c r="D10448" t="s">
        <v>16677</v>
      </c>
      <c r="E10448" t="s">
        <v>25783</v>
      </c>
      <c r="F10448" t="s">
        <v>28669</v>
      </c>
      <c r="G10448" t="s">
        <v>28675</v>
      </c>
      <c r="H10448" t="s">
        <v>28686</v>
      </c>
      <c r="I10448" t="s">
        <v>28689</v>
      </c>
      <c r="J10448" t="s">
        <v>35281</v>
      </c>
      <c r="K10448" t="s">
        <v>37215</v>
      </c>
      <c r="M10448" t="s">
        <v>38529</v>
      </c>
      <c r="N10448" t="s">
        <v>41249</v>
      </c>
      <c r="O10448" t="s">
        <v>41250</v>
      </c>
      <c r="P10448">
        <v>0</v>
      </c>
      <c r="Q10448">
        <v>4</v>
      </c>
      <c r="R10448" t="s">
        <v>41262</v>
      </c>
      <c r="S10448" t="s">
        <v>41696</v>
      </c>
      <c r="T10448" t="s">
        <v>42703</v>
      </c>
      <c r="U10448" t="s">
        <v>51623</v>
      </c>
      <c r="W10448" t="s">
        <v>38529</v>
      </c>
      <c r="X10448" t="s">
        <v>41263</v>
      </c>
    </row>
    <row r="10449" spans="1:24">
      <c r="A10449">
        <f>HYPERLINK("https://www.philgeps.gov.ph/GEPSNONPILOT/Tender/SplashBidNoticeAbstractUI.aspx?menuIndex=3&amp;refID=7058396&amp;Result=3","7058396")</f>
        <v>0</v>
      </c>
      <c r="B10449" t="s">
        <v>1001</v>
      </c>
      <c r="C10449" t="s">
        <v>13362</v>
      </c>
      <c r="D10449" t="s">
        <v>16677</v>
      </c>
      <c r="E10449" t="s">
        <v>25784</v>
      </c>
      <c r="F10449" t="s">
        <v>28669</v>
      </c>
      <c r="G10449" t="s">
        <v>28675</v>
      </c>
      <c r="H10449" t="s">
        <v>28686</v>
      </c>
      <c r="I10449" t="s">
        <v>28689</v>
      </c>
      <c r="J10449" t="s">
        <v>32463</v>
      </c>
      <c r="K10449" t="s">
        <v>37215</v>
      </c>
      <c r="M10449" t="s">
        <v>38529</v>
      </c>
      <c r="N10449" t="s">
        <v>41249</v>
      </c>
      <c r="O10449" t="s">
        <v>41250</v>
      </c>
      <c r="P10449">
        <v>0</v>
      </c>
      <c r="Q10449">
        <v>2</v>
      </c>
      <c r="R10449" t="s">
        <v>41262</v>
      </c>
      <c r="S10449" t="s">
        <v>41696</v>
      </c>
      <c r="T10449" t="s">
        <v>42764</v>
      </c>
      <c r="U10449" t="s">
        <v>45693</v>
      </c>
      <c r="W10449" t="s">
        <v>38529</v>
      </c>
      <c r="X10449" t="s">
        <v>41263</v>
      </c>
    </row>
    <row r="10450" spans="1:24">
      <c r="A10450">
        <f>HYPERLINK("https://www.philgeps.gov.ph/GEPSNONPILOT/Tender/SplashBidNoticeAbstractUI.aspx?menuIndex=3&amp;refID=7058269&amp;Result=3","7058269")</f>
        <v>0</v>
      </c>
      <c r="B10450" t="s">
        <v>1935</v>
      </c>
      <c r="C10450" t="s">
        <v>13363</v>
      </c>
      <c r="E10450" t="s">
        <v>25785</v>
      </c>
      <c r="F10450" t="s">
        <v>28669</v>
      </c>
      <c r="G10450" t="s">
        <v>28675</v>
      </c>
      <c r="H10450" t="s">
        <v>28686</v>
      </c>
      <c r="I10450" t="s">
        <v>28689</v>
      </c>
      <c r="J10450" t="s">
        <v>35282</v>
      </c>
      <c r="K10450" t="s">
        <v>37209</v>
      </c>
      <c r="M10450" t="s">
        <v>39562</v>
      </c>
      <c r="N10450" t="s">
        <v>41249</v>
      </c>
      <c r="O10450" t="s">
        <v>41250</v>
      </c>
      <c r="P10450">
        <v>0</v>
      </c>
      <c r="Q10450">
        <v>0</v>
      </c>
      <c r="R10450" t="s">
        <v>41262</v>
      </c>
      <c r="S10450" t="s">
        <v>41696</v>
      </c>
      <c r="T10450" t="s">
        <v>42700</v>
      </c>
      <c r="U10450" t="s">
        <v>51624</v>
      </c>
      <c r="W10450" t="s">
        <v>39562</v>
      </c>
      <c r="X10450" t="s">
        <v>41263</v>
      </c>
    </row>
    <row r="10451" spans="1:24">
      <c r="A10451">
        <f>HYPERLINK("https://www.philgeps.gov.ph/GEPSNONPILOT/Tender/SplashBidNoticeAbstractUI.aspx?menuIndex=3&amp;refID=7058265&amp;Result=3","7058265")</f>
        <v>0</v>
      </c>
      <c r="B10451" t="s">
        <v>1001</v>
      </c>
      <c r="C10451" t="s">
        <v>13364</v>
      </c>
      <c r="D10451" t="s">
        <v>16677</v>
      </c>
      <c r="E10451" t="s">
        <v>25786</v>
      </c>
      <c r="F10451" t="s">
        <v>28669</v>
      </c>
      <c r="G10451" t="s">
        <v>28675</v>
      </c>
      <c r="H10451" t="s">
        <v>28686</v>
      </c>
      <c r="I10451" t="s">
        <v>28689</v>
      </c>
      <c r="J10451" t="s">
        <v>32601</v>
      </c>
      <c r="K10451" t="s">
        <v>37213</v>
      </c>
      <c r="M10451" t="s">
        <v>38529</v>
      </c>
      <c r="N10451" t="s">
        <v>41249</v>
      </c>
      <c r="O10451" t="s">
        <v>41250</v>
      </c>
      <c r="P10451">
        <v>0</v>
      </c>
      <c r="Q10451">
        <v>2</v>
      </c>
      <c r="R10451" t="s">
        <v>41262</v>
      </c>
      <c r="S10451" t="s">
        <v>41696</v>
      </c>
      <c r="T10451" t="s">
        <v>42679</v>
      </c>
      <c r="U10451" t="s">
        <v>51625</v>
      </c>
      <c r="W10451" t="s">
        <v>38529</v>
      </c>
      <c r="X10451" t="s">
        <v>41263</v>
      </c>
    </row>
    <row r="10452" spans="1:24">
      <c r="A10452">
        <f>HYPERLINK("https://www.philgeps.gov.ph/GEPSNONPILOT/Tender/SplashBidNoticeAbstractUI.aspx?menuIndex=3&amp;refID=7058136&amp;Result=3","7058136")</f>
        <v>0</v>
      </c>
      <c r="B10452" t="s">
        <v>2033</v>
      </c>
      <c r="C10452" t="s">
        <v>13365</v>
      </c>
      <c r="D10452" t="s">
        <v>16625</v>
      </c>
      <c r="E10452" t="s">
        <v>25787</v>
      </c>
      <c r="F10452" t="s">
        <v>28669</v>
      </c>
      <c r="G10452" t="s">
        <v>28675</v>
      </c>
      <c r="H10452" t="s">
        <v>9998</v>
      </c>
      <c r="I10452" t="s">
        <v>6128</v>
      </c>
      <c r="J10452" t="s">
        <v>35283</v>
      </c>
      <c r="K10452" t="s">
        <v>37205</v>
      </c>
      <c r="M10452" t="s">
        <v>39673</v>
      </c>
      <c r="N10452" t="s">
        <v>41249</v>
      </c>
      <c r="O10452" t="s">
        <v>41250</v>
      </c>
      <c r="P10452">
        <v>0</v>
      </c>
      <c r="Q10452">
        <v>5</v>
      </c>
      <c r="R10452" t="s">
        <v>41262</v>
      </c>
      <c r="S10452" t="s">
        <v>41696</v>
      </c>
      <c r="T10452" t="s">
        <v>42736</v>
      </c>
      <c r="U10452" t="s">
        <v>44022</v>
      </c>
      <c r="W10452" t="s">
        <v>39673</v>
      </c>
      <c r="X10452" t="s">
        <v>41263</v>
      </c>
    </row>
    <row r="10453" spans="1:24">
      <c r="A10453">
        <f>HYPERLINK("https://www.philgeps.gov.ph/GEPSNONPILOT/Tender/SplashBidNoticeAbstractUI.aspx?menuIndex=3&amp;refID=7058285&amp;Result=3","7058285")</f>
        <v>0</v>
      </c>
      <c r="B10453" t="s">
        <v>1001</v>
      </c>
      <c r="C10453" t="s">
        <v>13366</v>
      </c>
      <c r="D10453" t="s">
        <v>16677</v>
      </c>
      <c r="E10453" t="s">
        <v>25788</v>
      </c>
      <c r="F10453" t="s">
        <v>28669</v>
      </c>
      <c r="G10453" t="s">
        <v>28675</v>
      </c>
      <c r="H10453" t="s">
        <v>9998</v>
      </c>
      <c r="I10453" t="s">
        <v>28689</v>
      </c>
      <c r="J10453" t="s">
        <v>35284</v>
      </c>
      <c r="K10453" t="s">
        <v>37213</v>
      </c>
      <c r="M10453" t="s">
        <v>38529</v>
      </c>
      <c r="N10453" t="s">
        <v>41249</v>
      </c>
      <c r="O10453" t="s">
        <v>41250</v>
      </c>
      <c r="P10453">
        <v>0</v>
      </c>
      <c r="Q10453">
        <v>3</v>
      </c>
      <c r="R10453" t="s">
        <v>41262</v>
      </c>
      <c r="S10453" t="s">
        <v>41696</v>
      </c>
      <c r="T10453" t="s">
        <v>42679</v>
      </c>
      <c r="U10453" t="s">
        <v>51626</v>
      </c>
      <c r="W10453" t="s">
        <v>38529</v>
      </c>
      <c r="X10453" t="s">
        <v>41263</v>
      </c>
    </row>
    <row r="10454" spans="1:24">
      <c r="A10454">
        <f>HYPERLINK("https://www.philgeps.gov.ph/GEPSNONPILOT/Tender/SplashBidNoticeAbstractUI.aspx?menuIndex=3&amp;refID=7058104&amp;Result=3","7058104")</f>
        <v>0</v>
      </c>
      <c r="B10454" t="s">
        <v>2955</v>
      </c>
      <c r="C10454" t="s">
        <v>13367</v>
      </c>
      <c r="D10454" t="s">
        <v>16624</v>
      </c>
      <c r="E10454" t="s">
        <v>25789</v>
      </c>
      <c r="F10454" t="s">
        <v>28671</v>
      </c>
      <c r="G10454" t="s">
        <v>28675</v>
      </c>
      <c r="H10454" t="s">
        <v>9998</v>
      </c>
      <c r="I10454" t="s">
        <v>28687</v>
      </c>
      <c r="J10454" t="s">
        <v>35285</v>
      </c>
      <c r="K10454" t="s">
        <v>37216</v>
      </c>
      <c r="M10454" t="s">
        <v>40715</v>
      </c>
      <c r="N10454" t="s">
        <v>41249</v>
      </c>
      <c r="O10454" t="s">
        <v>41250</v>
      </c>
      <c r="P10454">
        <v>0</v>
      </c>
      <c r="Q10454">
        <v>4</v>
      </c>
      <c r="R10454" t="s">
        <v>41262</v>
      </c>
      <c r="S10454" t="s">
        <v>41696</v>
      </c>
      <c r="T10454" t="s">
        <v>42694</v>
      </c>
      <c r="U10454" t="s">
        <v>51627</v>
      </c>
      <c r="W10454" t="s">
        <v>40715</v>
      </c>
      <c r="X10454" t="s">
        <v>41263</v>
      </c>
    </row>
    <row r="10455" spans="1:24">
      <c r="A10455">
        <f>HYPERLINK("https://www.philgeps.gov.ph/GEPSNONPILOT/Tender/SplashBidNoticeAbstractUI.aspx?menuIndex=3&amp;refID=7058115&amp;Result=3","7058115")</f>
        <v>0</v>
      </c>
      <c r="B10455" t="s">
        <v>1956</v>
      </c>
      <c r="C10455" t="s">
        <v>13368</v>
      </c>
      <c r="D10455" t="s">
        <v>16615</v>
      </c>
      <c r="E10455" t="s">
        <v>25790</v>
      </c>
      <c r="F10455" t="s">
        <v>28669</v>
      </c>
      <c r="G10455" t="s">
        <v>28675</v>
      </c>
      <c r="H10455" t="s">
        <v>9998</v>
      </c>
      <c r="I10455" t="s">
        <v>7352</v>
      </c>
      <c r="J10455" t="s">
        <v>35286</v>
      </c>
      <c r="K10455" t="s">
        <v>37206</v>
      </c>
      <c r="M10455" t="s">
        <v>39588</v>
      </c>
      <c r="N10455" t="s">
        <v>41249</v>
      </c>
      <c r="O10455" t="s">
        <v>41250</v>
      </c>
      <c r="P10455">
        <v>0</v>
      </c>
      <c r="Q10455">
        <v>4</v>
      </c>
      <c r="R10455" t="s">
        <v>41262</v>
      </c>
      <c r="S10455" t="s">
        <v>41696</v>
      </c>
      <c r="T10455" t="s">
        <v>42799</v>
      </c>
      <c r="U10455" t="s">
        <v>51628</v>
      </c>
      <c r="W10455" t="s">
        <v>39588</v>
      </c>
      <c r="X10455" t="s">
        <v>41263</v>
      </c>
    </row>
    <row r="10456" spans="1:24">
      <c r="A10456">
        <f>HYPERLINK("https://www.philgeps.gov.ph/GEPSNONPILOT/Tender/SplashBidNoticeAbstractUI.aspx?menuIndex=3&amp;refID=7058272&amp;Result=3","7058272")</f>
        <v>0</v>
      </c>
      <c r="B10456" t="s">
        <v>1001</v>
      </c>
      <c r="C10456" t="s">
        <v>13369</v>
      </c>
      <c r="D10456" t="s">
        <v>16677</v>
      </c>
      <c r="E10456" t="s">
        <v>25791</v>
      </c>
      <c r="F10456" t="s">
        <v>28669</v>
      </c>
      <c r="G10456" t="s">
        <v>28675</v>
      </c>
      <c r="H10456" t="s">
        <v>28686</v>
      </c>
      <c r="I10456" t="s">
        <v>28689</v>
      </c>
      <c r="J10456" t="s">
        <v>30840</v>
      </c>
      <c r="K10456" t="s">
        <v>37213</v>
      </c>
      <c r="M10456" t="s">
        <v>38529</v>
      </c>
      <c r="N10456" t="s">
        <v>41249</v>
      </c>
      <c r="O10456" t="s">
        <v>41250</v>
      </c>
      <c r="P10456">
        <v>0</v>
      </c>
      <c r="Q10456">
        <v>2</v>
      </c>
      <c r="R10456" t="s">
        <v>41262</v>
      </c>
      <c r="S10456" t="s">
        <v>41696</v>
      </c>
      <c r="T10456" t="s">
        <v>42679</v>
      </c>
      <c r="U10456" t="s">
        <v>45302</v>
      </c>
      <c r="W10456" t="s">
        <v>38529</v>
      </c>
      <c r="X10456" t="s">
        <v>41263</v>
      </c>
    </row>
    <row r="10457" spans="1:24">
      <c r="A10457">
        <f>HYPERLINK("https://www.philgeps.gov.ph/GEPSNONPILOT/Tender/SplashBidNoticeAbstractUI.aspx?menuIndex=3&amp;refID=7058110&amp;Result=3","7058110")</f>
        <v>0</v>
      </c>
      <c r="B10457" t="s">
        <v>2949</v>
      </c>
      <c r="C10457" t="s">
        <v>13370</v>
      </c>
      <c r="D10457" t="s">
        <v>16681</v>
      </c>
      <c r="E10457" t="s">
        <v>25792</v>
      </c>
      <c r="F10457" t="s">
        <v>28669</v>
      </c>
      <c r="G10457" t="s">
        <v>28675</v>
      </c>
      <c r="H10457" t="s">
        <v>28685</v>
      </c>
      <c r="I10457" t="s">
        <v>28685</v>
      </c>
      <c r="J10457" t="s">
        <v>33512</v>
      </c>
      <c r="K10457" t="s">
        <v>37206</v>
      </c>
      <c r="M10457" t="s">
        <v>40709</v>
      </c>
      <c r="N10457" t="s">
        <v>41249</v>
      </c>
      <c r="O10457" t="s">
        <v>41250</v>
      </c>
      <c r="P10457">
        <v>0</v>
      </c>
      <c r="Q10457">
        <v>0</v>
      </c>
      <c r="R10457" t="s">
        <v>41262</v>
      </c>
      <c r="S10457" t="s">
        <v>41696</v>
      </c>
      <c r="T10457" t="s">
        <v>42679</v>
      </c>
      <c r="U10457" t="s">
        <v>51629</v>
      </c>
      <c r="W10457" t="s">
        <v>40709</v>
      </c>
      <c r="X10457" t="s">
        <v>41263</v>
      </c>
    </row>
    <row r="10458" spans="1:24">
      <c r="A10458">
        <f>HYPERLINK("https://www.philgeps.gov.ph/GEPSNONPILOT/Tender/SplashBidNoticeAbstractUI.aspx?menuIndex=3&amp;refID=7057517&amp;Result=3","7057517")</f>
        <v>0</v>
      </c>
      <c r="B10458" t="s">
        <v>2211</v>
      </c>
      <c r="C10458" t="s">
        <v>13371</v>
      </c>
      <c r="D10458" t="s">
        <v>16668</v>
      </c>
      <c r="E10458" t="s">
        <v>25793</v>
      </c>
      <c r="F10458" t="s">
        <v>28669</v>
      </c>
      <c r="G10458" t="s">
        <v>28675</v>
      </c>
      <c r="H10458" t="s">
        <v>9998</v>
      </c>
      <c r="I10458" t="s">
        <v>7352</v>
      </c>
      <c r="J10458" t="s">
        <v>35287</v>
      </c>
      <c r="K10458" t="s">
        <v>37206</v>
      </c>
      <c r="M10458" t="s">
        <v>39862</v>
      </c>
      <c r="N10458" t="s">
        <v>41249</v>
      </c>
      <c r="O10458" t="s">
        <v>41250</v>
      </c>
      <c r="P10458">
        <v>0</v>
      </c>
      <c r="Q10458">
        <v>4</v>
      </c>
      <c r="R10458" t="s">
        <v>41262</v>
      </c>
      <c r="S10458" t="s">
        <v>41696</v>
      </c>
      <c r="T10458" t="s">
        <v>42809</v>
      </c>
      <c r="U10458" t="s">
        <v>51630</v>
      </c>
      <c r="V10458" t="s">
        <v>55399</v>
      </c>
      <c r="W10458" t="s">
        <v>39862</v>
      </c>
      <c r="X10458" t="s">
        <v>41264</v>
      </c>
    </row>
    <row r="10459" spans="1:24">
      <c r="A10459">
        <f>HYPERLINK("https://www.philgeps.gov.ph/GEPSNONPILOT/Tender/SplashBidNoticeAbstractUI.aspx?menuIndex=3&amp;refID=7054801&amp;Result=3","7054801")</f>
        <v>0</v>
      </c>
      <c r="B10459" t="s">
        <v>2956</v>
      </c>
      <c r="C10459" t="s">
        <v>13372</v>
      </c>
      <c r="E10459" t="s">
        <v>25794</v>
      </c>
      <c r="F10459" t="s">
        <v>28669</v>
      </c>
      <c r="G10459" t="s">
        <v>28675</v>
      </c>
      <c r="H10459" t="s">
        <v>9998</v>
      </c>
      <c r="I10459" t="s">
        <v>28706</v>
      </c>
      <c r="J10459" t="s">
        <v>35288</v>
      </c>
      <c r="K10459" t="s">
        <v>37206</v>
      </c>
      <c r="M10459" t="s">
        <v>40716</v>
      </c>
      <c r="N10459" t="s">
        <v>41249</v>
      </c>
      <c r="O10459" t="s">
        <v>41250</v>
      </c>
      <c r="P10459">
        <v>0</v>
      </c>
      <c r="Q10459">
        <v>2</v>
      </c>
      <c r="R10459" t="s">
        <v>41262</v>
      </c>
      <c r="S10459" t="s">
        <v>41696</v>
      </c>
      <c r="T10459" t="s">
        <v>42659</v>
      </c>
      <c r="U10459" t="s">
        <v>51631</v>
      </c>
      <c r="V10459" t="s">
        <v>55401</v>
      </c>
      <c r="W10459" t="s">
        <v>40716</v>
      </c>
      <c r="X10459" t="s">
        <v>41265</v>
      </c>
    </row>
    <row r="10460" spans="1:24">
      <c r="A10460">
        <f>HYPERLINK("https://www.philgeps.gov.ph/GEPSNONPILOT/Tender/SplashBidNoticeAbstractUI.aspx?menuIndex=3&amp;refID=7058263&amp;Result=3","7058263")</f>
        <v>0</v>
      </c>
      <c r="B10460" t="s">
        <v>1847</v>
      </c>
      <c r="C10460" t="s">
        <v>13373</v>
      </c>
      <c r="D10460" t="s">
        <v>16610</v>
      </c>
      <c r="E10460" t="s">
        <v>25795</v>
      </c>
      <c r="F10460" t="s">
        <v>28669</v>
      </c>
      <c r="G10460" t="s">
        <v>28679</v>
      </c>
      <c r="H10460" t="s">
        <v>28686</v>
      </c>
      <c r="I10460" t="s">
        <v>28689</v>
      </c>
      <c r="J10460" t="s">
        <v>35289</v>
      </c>
      <c r="K10460" t="s">
        <v>37206</v>
      </c>
      <c r="M10460" t="s">
        <v>39465</v>
      </c>
      <c r="N10460" t="s">
        <v>41249</v>
      </c>
      <c r="O10460" t="s">
        <v>41250</v>
      </c>
      <c r="P10460">
        <v>0</v>
      </c>
      <c r="Q10460">
        <v>1</v>
      </c>
      <c r="R10460" t="s">
        <v>41262</v>
      </c>
      <c r="S10460" t="s">
        <v>41696</v>
      </c>
      <c r="T10460" t="s">
        <v>42751</v>
      </c>
      <c r="U10460" t="s">
        <v>51632</v>
      </c>
      <c r="W10460" t="s">
        <v>39465</v>
      </c>
      <c r="X10460" t="s">
        <v>41263</v>
      </c>
    </row>
    <row r="10461" spans="1:24">
      <c r="A10461">
        <f>HYPERLINK("https://www.philgeps.gov.ph/GEPSNONPILOT/Tender/SplashBidNoticeAbstractUI.aspx?menuIndex=3&amp;refID=7058133&amp;Result=3","7058133")</f>
        <v>0</v>
      </c>
      <c r="B10461" t="s">
        <v>2824</v>
      </c>
      <c r="C10461" t="s">
        <v>13374</v>
      </c>
      <c r="D10461" t="s">
        <v>16607</v>
      </c>
      <c r="E10461" t="s">
        <v>25796</v>
      </c>
      <c r="F10461" t="s">
        <v>28672</v>
      </c>
      <c r="G10461" t="s">
        <v>28675</v>
      </c>
      <c r="H10461" t="s">
        <v>9998</v>
      </c>
      <c r="I10461" t="s">
        <v>28687</v>
      </c>
      <c r="J10461" t="s">
        <v>34840</v>
      </c>
      <c r="K10461" t="s">
        <v>37205</v>
      </c>
      <c r="M10461" t="s">
        <v>40556</v>
      </c>
      <c r="N10461" t="s">
        <v>41249</v>
      </c>
      <c r="O10461" t="s">
        <v>41250</v>
      </c>
      <c r="P10461">
        <v>0</v>
      </c>
      <c r="Q10461">
        <v>1</v>
      </c>
      <c r="R10461" t="s">
        <v>41262</v>
      </c>
      <c r="S10461" t="s">
        <v>41696</v>
      </c>
      <c r="T10461" t="s">
        <v>42754</v>
      </c>
      <c r="U10461" t="s">
        <v>51633</v>
      </c>
      <c r="V10461" t="s">
        <v>55402</v>
      </c>
      <c r="W10461" t="s">
        <v>40556</v>
      </c>
      <c r="X10461" t="s">
        <v>41263</v>
      </c>
    </row>
    <row r="10462" spans="1:24">
      <c r="A10462">
        <f>HYPERLINK("https://www.philgeps.gov.ph/GEPSNONPILOT/Tender/SplashBidNoticeAbstractUI.aspx?menuIndex=3&amp;refID=7058119&amp;Result=3","7058119")</f>
        <v>0</v>
      </c>
      <c r="B10462" t="s">
        <v>1956</v>
      </c>
      <c r="C10462" t="s">
        <v>13375</v>
      </c>
      <c r="D10462" t="s">
        <v>16615</v>
      </c>
      <c r="E10462" t="s">
        <v>25797</v>
      </c>
      <c r="F10462" t="s">
        <v>28669</v>
      </c>
      <c r="G10462" t="s">
        <v>28675</v>
      </c>
      <c r="H10462" t="s">
        <v>9998</v>
      </c>
      <c r="I10462" t="s">
        <v>7352</v>
      </c>
      <c r="J10462" t="s">
        <v>35290</v>
      </c>
      <c r="K10462" t="s">
        <v>37206</v>
      </c>
      <c r="M10462" t="s">
        <v>39588</v>
      </c>
      <c r="N10462" t="s">
        <v>41249</v>
      </c>
      <c r="O10462" t="s">
        <v>41250</v>
      </c>
      <c r="P10462">
        <v>0</v>
      </c>
      <c r="Q10462">
        <v>2</v>
      </c>
      <c r="R10462" t="s">
        <v>41262</v>
      </c>
      <c r="S10462" t="s">
        <v>41696</v>
      </c>
      <c r="T10462" t="s">
        <v>42799</v>
      </c>
      <c r="U10462" t="s">
        <v>51634</v>
      </c>
      <c r="W10462" t="s">
        <v>39588</v>
      </c>
      <c r="X10462" t="s">
        <v>41263</v>
      </c>
    </row>
    <row r="10463" spans="1:24">
      <c r="A10463">
        <f>HYPERLINK("https://www.philgeps.gov.ph/GEPSNONPILOT/Tender/SplashBidNoticeAbstractUI.aspx?menuIndex=3&amp;refID=7028516&amp;Result=3","7028516")</f>
        <v>0</v>
      </c>
      <c r="B10463" t="s">
        <v>2957</v>
      </c>
      <c r="C10463" t="s">
        <v>13376</v>
      </c>
      <c r="D10463" t="s">
        <v>16643</v>
      </c>
      <c r="E10463" t="s">
        <v>25798</v>
      </c>
      <c r="F10463" t="s">
        <v>28671</v>
      </c>
      <c r="G10463" t="s">
        <v>28675</v>
      </c>
      <c r="H10463" t="s">
        <v>28686</v>
      </c>
      <c r="I10463" t="s">
        <v>28689</v>
      </c>
      <c r="J10463" t="s">
        <v>28836</v>
      </c>
      <c r="K10463" t="s">
        <v>37210</v>
      </c>
      <c r="M10463" t="s">
        <v>40717</v>
      </c>
      <c r="N10463" t="s">
        <v>41249</v>
      </c>
      <c r="O10463" t="s">
        <v>41250</v>
      </c>
      <c r="P10463">
        <v>0</v>
      </c>
      <c r="Q10463">
        <v>0</v>
      </c>
      <c r="R10463" t="s">
        <v>41263</v>
      </c>
      <c r="S10463" t="s">
        <v>41698</v>
      </c>
      <c r="T10463" t="s">
        <v>42760</v>
      </c>
      <c r="U10463" t="s">
        <v>51635</v>
      </c>
      <c r="W10463" t="s">
        <v>40717</v>
      </c>
      <c r="X10463" t="s">
        <v>41279</v>
      </c>
    </row>
    <row r="10464" spans="1:24">
      <c r="A10464">
        <f>HYPERLINK("https://www.philgeps.gov.ph/GEPSNONPILOT/Tender/SplashBidNoticeAbstractUI.aspx?menuIndex=3&amp;refID=7058028&amp;Result=3","7058028")</f>
        <v>0</v>
      </c>
      <c r="B10464" t="s">
        <v>1821</v>
      </c>
      <c r="C10464" t="s">
        <v>13377</v>
      </c>
      <c r="D10464" t="s">
        <v>16671</v>
      </c>
      <c r="E10464" t="s">
        <v>25799</v>
      </c>
      <c r="F10464" t="s">
        <v>28669</v>
      </c>
      <c r="G10464" t="s">
        <v>28675</v>
      </c>
      <c r="H10464" t="s">
        <v>9998</v>
      </c>
      <c r="I10464" t="s">
        <v>28722</v>
      </c>
      <c r="J10464" t="s">
        <v>32201</v>
      </c>
      <c r="K10464" t="s">
        <v>37206</v>
      </c>
      <c r="M10464" t="s">
        <v>39431</v>
      </c>
      <c r="N10464" t="s">
        <v>41249</v>
      </c>
      <c r="O10464" t="s">
        <v>41250</v>
      </c>
      <c r="P10464">
        <v>0</v>
      </c>
      <c r="Q10464">
        <v>3</v>
      </c>
      <c r="R10464" t="s">
        <v>41262</v>
      </c>
      <c r="S10464" t="s">
        <v>41696</v>
      </c>
      <c r="T10464" t="s">
        <v>42836</v>
      </c>
      <c r="U10464" t="s">
        <v>51636</v>
      </c>
      <c r="V10464" t="s">
        <v>54850</v>
      </c>
      <c r="W10464" t="s">
        <v>39431</v>
      </c>
      <c r="X10464" t="s">
        <v>41264</v>
      </c>
    </row>
    <row r="10465" spans="1:24">
      <c r="A10465">
        <f>HYPERLINK("https://www.philgeps.gov.ph/GEPSNONPILOT/Tender/SplashBidNoticeAbstractUI.aspx?menuIndex=3&amp;refID=7028208&amp;Result=3","7028208")</f>
        <v>0</v>
      </c>
      <c r="B10465" t="s">
        <v>2957</v>
      </c>
      <c r="C10465" t="s">
        <v>13378</v>
      </c>
      <c r="D10465" t="s">
        <v>16643</v>
      </c>
      <c r="E10465" t="s">
        <v>25800</v>
      </c>
      <c r="F10465" t="s">
        <v>28671</v>
      </c>
      <c r="G10465" t="s">
        <v>28675</v>
      </c>
      <c r="H10465" t="s">
        <v>28686</v>
      </c>
      <c r="I10465" t="s">
        <v>28689</v>
      </c>
      <c r="J10465" t="s">
        <v>35291</v>
      </c>
      <c r="K10465" t="s">
        <v>37210</v>
      </c>
      <c r="M10465" t="s">
        <v>40717</v>
      </c>
      <c r="N10465" t="s">
        <v>41249</v>
      </c>
      <c r="O10465" t="s">
        <v>41250</v>
      </c>
      <c r="P10465">
        <v>0</v>
      </c>
      <c r="Q10465">
        <v>0</v>
      </c>
      <c r="R10465" t="s">
        <v>41263</v>
      </c>
      <c r="S10465" t="s">
        <v>41698</v>
      </c>
      <c r="T10465" t="s">
        <v>42760</v>
      </c>
      <c r="U10465" t="s">
        <v>51637</v>
      </c>
      <c r="W10465" t="s">
        <v>40717</v>
      </c>
      <c r="X10465" t="s">
        <v>41279</v>
      </c>
    </row>
    <row r="10466" spans="1:24">
      <c r="A10466">
        <f>HYPERLINK("https://www.philgeps.gov.ph/GEPSNONPILOT/Tender/SplashBidNoticeAbstractUI.aspx?menuIndex=3&amp;refID=7054111&amp;Result=3","7054111")</f>
        <v>0</v>
      </c>
      <c r="B10466" t="s">
        <v>1900</v>
      </c>
      <c r="C10466" t="s">
        <v>13379</v>
      </c>
      <c r="D10466" t="s">
        <v>16658</v>
      </c>
      <c r="E10466" t="s">
        <v>25801</v>
      </c>
      <c r="F10466" t="s">
        <v>28669</v>
      </c>
      <c r="G10466" t="s">
        <v>28675</v>
      </c>
      <c r="H10466" t="s">
        <v>9998</v>
      </c>
      <c r="I10466" t="s">
        <v>5286</v>
      </c>
      <c r="J10466" t="s">
        <v>35292</v>
      </c>
      <c r="K10466" t="s">
        <v>37206</v>
      </c>
      <c r="M10466" t="s">
        <v>39523</v>
      </c>
      <c r="N10466" t="s">
        <v>41249</v>
      </c>
      <c r="O10466" t="s">
        <v>41250</v>
      </c>
      <c r="Q10466">
        <v>3</v>
      </c>
      <c r="R10466" t="s">
        <v>41262</v>
      </c>
      <c r="S10466" t="s">
        <v>41699</v>
      </c>
      <c r="T10466" t="s">
        <v>42739</v>
      </c>
      <c r="U10466" t="s">
        <v>51638</v>
      </c>
      <c r="V10466" t="s">
        <v>54876</v>
      </c>
      <c r="W10466" t="s">
        <v>39523</v>
      </c>
      <c r="X10466" t="s">
        <v>41265</v>
      </c>
    </row>
    <row r="10467" spans="1:24">
      <c r="A10467">
        <f>HYPERLINK("https://www.philgeps.gov.ph/GEPSNONPILOT/Tender/SplashBidNoticeAbstractUI.aspx?menuIndex=3&amp;refID=7013697-2&amp;Result=3","7013697-2")</f>
        <v>0</v>
      </c>
      <c r="B10467" t="s">
        <v>2958</v>
      </c>
      <c r="C10467" t="s">
        <v>13380</v>
      </c>
      <c r="D10467" t="s">
        <v>16609</v>
      </c>
      <c r="E10467" t="s">
        <v>25802</v>
      </c>
      <c r="F10467" t="s">
        <v>28669</v>
      </c>
      <c r="G10467" t="s">
        <v>28675</v>
      </c>
      <c r="H10467" t="s">
        <v>28685</v>
      </c>
      <c r="I10467" t="s">
        <v>28818</v>
      </c>
      <c r="J10467" t="s">
        <v>35293</v>
      </c>
      <c r="K10467" t="s">
        <v>37253</v>
      </c>
      <c r="M10467" t="s">
        <v>40718</v>
      </c>
      <c r="N10467" t="s">
        <v>41249</v>
      </c>
      <c r="O10467" t="s">
        <v>41250</v>
      </c>
      <c r="P10467">
        <v>0</v>
      </c>
      <c r="Q10467">
        <v>1</v>
      </c>
      <c r="R10467" t="s">
        <v>41263</v>
      </c>
      <c r="S10467" t="s">
        <v>41698</v>
      </c>
      <c r="T10467" t="s">
        <v>42760</v>
      </c>
      <c r="U10467" t="s">
        <v>51639</v>
      </c>
      <c r="V10467" t="s">
        <v>55403</v>
      </c>
      <c r="W10467" t="s">
        <v>40718</v>
      </c>
      <c r="X10467" t="s">
        <v>41264</v>
      </c>
    </row>
    <row r="10468" spans="1:24">
      <c r="A10468">
        <f>HYPERLINK("https://www.philgeps.gov.ph/GEPSNONPILOT/Tender/SplashBidNoticeAbstractUI.aspx?menuIndex=3&amp;refID=7058848&amp;Result=3","7058848")</f>
        <v>0</v>
      </c>
      <c r="B10468" t="s">
        <v>140</v>
      </c>
      <c r="C10468" t="s">
        <v>13381</v>
      </c>
      <c r="D10468" t="s">
        <v>16652</v>
      </c>
      <c r="E10468" t="s">
        <v>25803</v>
      </c>
      <c r="F10468" t="s">
        <v>28669</v>
      </c>
      <c r="G10468" t="s">
        <v>28675</v>
      </c>
      <c r="H10468" t="s">
        <v>28686</v>
      </c>
      <c r="I10468" t="s">
        <v>28689</v>
      </c>
      <c r="J10468" t="s">
        <v>28836</v>
      </c>
      <c r="K10468" t="s">
        <v>37213</v>
      </c>
      <c r="M10468" t="s">
        <v>37617</v>
      </c>
      <c r="N10468" t="s">
        <v>41249</v>
      </c>
      <c r="O10468" t="s">
        <v>41250</v>
      </c>
      <c r="P10468">
        <v>0</v>
      </c>
      <c r="Q10468">
        <v>1</v>
      </c>
      <c r="R10468" t="s">
        <v>41261</v>
      </c>
      <c r="S10468" t="s">
        <v>41680</v>
      </c>
      <c r="T10468" t="s">
        <v>43062</v>
      </c>
      <c r="U10468" t="s">
        <v>46007</v>
      </c>
      <c r="W10468" t="s">
        <v>37617</v>
      </c>
      <c r="X10468" t="s">
        <v>41262</v>
      </c>
    </row>
    <row r="10469" spans="1:24">
      <c r="A10469">
        <f>HYPERLINK("https://www.philgeps.gov.ph/GEPSNONPILOT/Tender/SplashBidNoticeAbstractUI.aspx?menuIndex=3&amp;refID=6927623-2&amp;Result=3","6927623-2")</f>
        <v>0</v>
      </c>
      <c r="B10469" t="s">
        <v>2959</v>
      </c>
      <c r="C10469" t="s">
        <v>13382</v>
      </c>
      <c r="D10469" t="s">
        <v>16608</v>
      </c>
      <c r="E10469" t="s">
        <v>25804</v>
      </c>
      <c r="F10469" t="s">
        <v>28669</v>
      </c>
      <c r="G10469" t="s">
        <v>28675</v>
      </c>
      <c r="H10469" t="s">
        <v>28685</v>
      </c>
      <c r="I10469" t="s">
        <v>28685</v>
      </c>
      <c r="J10469" t="s">
        <v>35294</v>
      </c>
      <c r="K10469" t="s">
        <v>37238</v>
      </c>
      <c r="M10469" t="s">
        <v>40719</v>
      </c>
      <c r="N10469" t="s">
        <v>41249</v>
      </c>
      <c r="O10469" t="s">
        <v>41250</v>
      </c>
      <c r="P10469">
        <v>0</v>
      </c>
      <c r="Q10469">
        <v>0</v>
      </c>
      <c r="R10469" t="s">
        <v>41263</v>
      </c>
      <c r="S10469" t="s">
        <v>41698</v>
      </c>
      <c r="T10469" t="s">
        <v>42726</v>
      </c>
      <c r="U10469" t="s">
        <v>51640</v>
      </c>
      <c r="V10469" t="s">
        <v>55404</v>
      </c>
      <c r="W10469" t="s">
        <v>40719</v>
      </c>
      <c r="X10469" t="s">
        <v>41264</v>
      </c>
    </row>
    <row r="10470" spans="1:24">
      <c r="A10470">
        <f>HYPERLINK("https://www.philgeps.gov.ph/GEPSNONPILOT/Tender/SplashBidNoticeAbstractUI.aspx?menuIndex=3&amp;refID=7058492&amp;Result=3","7058492")</f>
        <v>0</v>
      </c>
      <c r="B10470" t="s">
        <v>2960</v>
      </c>
      <c r="C10470" t="s">
        <v>13383</v>
      </c>
      <c r="D10470" t="s">
        <v>16680</v>
      </c>
      <c r="E10470" t="s">
        <v>25805</v>
      </c>
      <c r="F10470" t="s">
        <v>28669</v>
      </c>
      <c r="G10470" t="s">
        <v>28675</v>
      </c>
      <c r="H10470" t="s">
        <v>9998</v>
      </c>
      <c r="I10470" t="s">
        <v>28687</v>
      </c>
      <c r="J10470" t="s">
        <v>29724</v>
      </c>
      <c r="K10470" t="s">
        <v>37220</v>
      </c>
      <c r="M10470" t="s">
        <v>40720</v>
      </c>
      <c r="N10470" t="s">
        <v>41249</v>
      </c>
      <c r="O10470" t="s">
        <v>41250</v>
      </c>
      <c r="P10470">
        <v>0</v>
      </c>
      <c r="Q10470">
        <v>5</v>
      </c>
      <c r="R10470" t="s">
        <v>41262</v>
      </c>
      <c r="S10470" t="s">
        <v>41696</v>
      </c>
      <c r="T10470" t="s">
        <v>42700</v>
      </c>
      <c r="U10470" t="s">
        <v>51641</v>
      </c>
      <c r="W10470" t="s">
        <v>40720</v>
      </c>
      <c r="X10470" t="s">
        <v>41263</v>
      </c>
    </row>
    <row r="10471" spans="1:24">
      <c r="A10471">
        <f>HYPERLINK("https://www.philgeps.gov.ph/GEPSNONPILOT/Tender/SplashBidNoticeAbstractUI.aspx?menuIndex=3&amp;refID=7058465&amp;Result=3","7058465")</f>
        <v>0</v>
      </c>
      <c r="B10471" t="s">
        <v>1813</v>
      </c>
      <c r="C10471" t="s">
        <v>13384</v>
      </c>
      <c r="E10471" t="s">
        <v>25806</v>
      </c>
      <c r="F10471" t="s">
        <v>28669</v>
      </c>
      <c r="G10471" t="s">
        <v>28675</v>
      </c>
      <c r="H10471" t="s">
        <v>28686</v>
      </c>
      <c r="I10471" t="s">
        <v>28689</v>
      </c>
      <c r="J10471" t="s">
        <v>35295</v>
      </c>
      <c r="K10471" t="s">
        <v>37209</v>
      </c>
      <c r="M10471" t="s">
        <v>39423</v>
      </c>
      <c r="N10471" t="s">
        <v>41249</v>
      </c>
      <c r="O10471" t="s">
        <v>41250</v>
      </c>
      <c r="P10471">
        <v>0</v>
      </c>
      <c r="Q10471">
        <v>5</v>
      </c>
      <c r="R10471" t="s">
        <v>41262</v>
      </c>
      <c r="S10471" t="s">
        <v>41696</v>
      </c>
      <c r="T10471" t="s">
        <v>42782</v>
      </c>
      <c r="U10471" t="s">
        <v>51642</v>
      </c>
      <c r="V10471" t="s">
        <v>55405</v>
      </c>
      <c r="W10471" t="s">
        <v>39423</v>
      </c>
      <c r="X10471" t="s">
        <v>41263</v>
      </c>
    </row>
    <row r="10472" spans="1:24">
      <c r="A10472">
        <f>HYPERLINK("https://www.philgeps.gov.ph/GEPSNONPILOT/Tender/SplashBidNoticeAbstractUI.aspx?menuIndex=3&amp;refID=7028139&amp;Result=3","7028139")</f>
        <v>0</v>
      </c>
      <c r="B10472" t="s">
        <v>2957</v>
      </c>
      <c r="C10472" t="s">
        <v>13385</v>
      </c>
      <c r="D10472" t="s">
        <v>16643</v>
      </c>
      <c r="E10472" t="s">
        <v>21218</v>
      </c>
      <c r="F10472" t="s">
        <v>28671</v>
      </c>
      <c r="G10472" t="s">
        <v>28675</v>
      </c>
      <c r="H10472" t="s">
        <v>28686</v>
      </c>
      <c r="I10472" t="s">
        <v>28689</v>
      </c>
      <c r="J10472" t="s">
        <v>28889</v>
      </c>
      <c r="K10472" t="s">
        <v>37210</v>
      </c>
      <c r="M10472" t="s">
        <v>40717</v>
      </c>
      <c r="N10472" t="s">
        <v>41249</v>
      </c>
      <c r="O10472" t="s">
        <v>41250</v>
      </c>
      <c r="P10472">
        <v>0</v>
      </c>
      <c r="Q10472">
        <v>0</v>
      </c>
      <c r="R10472" t="s">
        <v>41263</v>
      </c>
      <c r="S10472" t="s">
        <v>41698</v>
      </c>
      <c r="T10472" t="s">
        <v>42760</v>
      </c>
      <c r="U10472" t="s">
        <v>51635</v>
      </c>
      <c r="W10472" t="s">
        <v>40717</v>
      </c>
      <c r="X10472" t="s">
        <v>41279</v>
      </c>
    </row>
    <row r="10473" spans="1:24">
      <c r="A10473">
        <f>HYPERLINK("https://www.philgeps.gov.ph/GEPSNONPILOT/Tender/SplashBidNoticeAbstractUI.aspx?menuIndex=3&amp;refID=7054016&amp;Result=3","7054016")</f>
        <v>0</v>
      </c>
      <c r="B10473" t="s">
        <v>2956</v>
      </c>
      <c r="C10473" t="s">
        <v>13386</v>
      </c>
      <c r="E10473" t="s">
        <v>25807</v>
      </c>
      <c r="F10473" t="s">
        <v>28669</v>
      </c>
      <c r="G10473" t="s">
        <v>28675</v>
      </c>
      <c r="H10473" t="s">
        <v>9998</v>
      </c>
      <c r="I10473" t="s">
        <v>28706</v>
      </c>
      <c r="J10473" t="s">
        <v>35296</v>
      </c>
      <c r="K10473" t="s">
        <v>37209</v>
      </c>
      <c r="M10473" t="s">
        <v>40716</v>
      </c>
      <c r="N10473" t="s">
        <v>41249</v>
      </c>
      <c r="O10473" t="s">
        <v>41250</v>
      </c>
      <c r="P10473">
        <v>0</v>
      </c>
      <c r="Q10473">
        <v>1</v>
      </c>
      <c r="R10473" t="s">
        <v>41262</v>
      </c>
      <c r="S10473" t="s">
        <v>41696</v>
      </c>
      <c r="T10473" t="s">
        <v>42659</v>
      </c>
      <c r="U10473" t="s">
        <v>51643</v>
      </c>
      <c r="V10473" t="s">
        <v>55401</v>
      </c>
      <c r="W10473" t="s">
        <v>40716</v>
      </c>
      <c r="X10473" t="s">
        <v>41265</v>
      </c>
    </row>
    <row r="10474" spans="1:24">
      <c r="A10474">
        <f>HYPERLINK("https://www.philgeps.gov.ph/GEPSNONPILOT/Tender/SplashBidNoticeAbstractUI.aspx?menuIndex=3&amp;refID=7058431&amp;Result=3","7058431")</f>
        <v>0</v>
      </c>
      <c r="B10474" t="s">
        <v>1064</v>
      </c>
      <c r="C10474" t="s">
        <v>13387</v>
      </c>
      <c r="D10474" t="s">
        <v>16655</v>
      </c>
      <c r="E10474" t="s">
        <v>25808</v>
      </c>
      <c r="F10474" t="s">
        <v>28669</v>
      </c>
      <c r="G10474" t="s">
        <v>28675</v>
      </c>
      <c r="H10474" t="s">
        <v>9998</v>
      </c>
      <c r="I10474" t="s">
        <v>28787</v>
      </c>
      <c r="J10474" t="s">
        <v>32945</v>
      </c>
      <c r="K10474" t="s">
        <v>37220</v>
      </c>
      <c r="M10474" t="s">
        <v>40721</v>
      </c>
      <c r="N10474" t="s">
        <v>41249</v>
      </c>
      <c r="O10474" t="s">
        <v>41250</v>
      </c>
      <c r="P10474">
        <v>0</v>
      </c>
      <c r="Q10474">
        <v>4</v>
      </c>
      <c r="R10474" t="s">
        <v>41262</v>
      </c>
      <c r="S10474" t="s">
        <v>41696</v>
      </c>
      <c r="T10474" t="s">
        <v>42703</v>
      </c>
      <c r="U10474" t="s">
        <v>51644</v>
      </c>
      <c r="W10474" t="s">
        <v>40721</v>
      </c>
      <c r="X10474" t="s">
        <v>41263</v>
      </c>
    </row>
    <row r="10475" spans="1:24">
      <c r="A10475">
        <f>HYPERLINK("https://www.philgeps.gov.ph/GEPSNONPILOT/Tender/SplashBidNoticeAbstractUI.aspx?menuIndex=3&amp;refID=6960529-2&amp;Result=3","6960529-2")</f>
        <v>0</v>
      </c>
      <c r="B10475" t="s">
        <v>142</v>
      </c>
      <c r="C10475" t="s">
        <v>13388</v>
      </c>
      <c r="E10475" t="s">
        <v>25809</v>
      </c>
      <c r="F10475" t="s">
        <v>28669</v>
      </c>
      <c r="G10475" t="s">
        <v>28682</v>
      </c>
      <c r="H10475" t="s">
        <v>28685</v>
      </c>
      <c r="I10475" t="s">
        <v>28685</v>
      </c>
      <c r="J10475" t="s">
        <v>35297</v>
      </c>
      <c r="K10475" t="s">
        <v>37209</v>
      </c>
      <c r="M10475" t="s">
        <v>40508</v>
      </c>
      <c r="N10475" t="s">
        <v>41249</v>
      </c>
      <c r="O10475" t="s">
        <v>41250</v>
      </c>
      <c r="P10475">
        <v>0</v>
      </c>
      <c r="Q10475">
        <v>3</v>
      </c>
      <c r="R10475" t="s">
        <v>41263</v>
      </c>
      <c r="S10475" t="s">
        <v>41698</v>
      </c>
      <c r="T10475" t="s">
        <v>42761</v>
      </c>
      <c r="U10475" t="s">
        <v>51645</v>
      </c>
      <c r="V10475" t="s">
        <v>55406</v>
      </c>
      <c r="W10475" t="s">
        <v>40508</v>
      </c>
      <c r="X10475" t="s">
        <v>41264</v>
      </c>
    </row>
    <row r="10476" spans="1:24">
      <c r="A10476">
        <f>HYPERLINK("https://www.philgeps.gov.ph/GEPSNONPILOT/Tender/SplashBidNoticeAbstractUI.aspx?menuIndex=3&amp;refID=7058420&amp;Result=3","7058420")</f>
        <v>0</v>
      </c>
      <c r="B10476" t="s">
        <v>2961</v>
      </c>
      <c r="C10476" t="s">
        <v>13389</v>
      </c>
      <c r="D10476" t="s">
        <v>16663</v>
      </c>
      <c r="E10476" t="s">
        <v>25810</v>
      </c>
      <c r="F10476" t="s">
        <v>28669</v>
      </c>
      <c r="G10476" t="s">
        <v>28675</v>
      </c>
      <c r="H10476" t="s">
        <v>28686</v>
      </c>
      <c r="I10476" t="s">
        <v>28689</v>
      </c>
      <c r="J10476" t="s">
        <v>28881</v>
      </c>
      <c r="K10476" t="s">
        <v>37215</v>
      </c>
      <c r="M10476" t="s">
        <v>40722</v>
      </c>
      <c r="N10476" t="s">
        <v>41249</v>
      </c>
      <c r="O10476" t="s">
        <v>41250</v>
      </c>
      <c r="Q10476">
        <v>3</v>
      </c>
      <c r="R10476" t="s">
        <v>41262</v>
      </c>
      <c r="S10476" t="s">
        <v>41700</v>
      </c>
      <c r="T10476" t="s">
        <v>42659</v>
      </c>
      <c r="U10476" t="s">
        <v>51646</v>
      </c>
      <c r="W10476" t="s">
        <v>40722</v>
      </c>
      <c r="X10476" t="s">
        <v>41263</v>
      </c>
    </row>
    <row r="10477" spans="1:24">
      <c r="A10477">
        <f>HYPERLINK("https://www.philgeps.gov.ph/GEPSNONPILOT/Tender/SplashBidNoticeAbstractUI.aspx?menuIndex=3&amp;refID=7058232&amp;Result=3","7058232")</f>
        <v>0</v>
      </c>
      <c r="B10477" t="s">
        <v>1001</v>
      </c>
      <c r="C10477" t="s">
        <v>13390</v>
      </c>
      <c r="D10477" t="s">
        <v>16677</v>
      </c>
      <c r="E10477" t="s">
        <v>25811</v>
      </c>
      <c r="F10477" t="s">
        <v>28669</v>
      </c>
      <c r="G10477" t="s">
        <v>28675</v>
      </c>
      <c r="H10477" t="s">
        <v>28686</v>
      </c>
      <c r="I10477" t="s">
        <v>28689</v>
      </c>
      <c r="J10477" t="s">
        <v>31637</v>
      </c>
      <c r="K10477" t="s">
        <v>37211</v>
      </c>
      <c r="M10477" t="s">
        <v>38529</v>
      </c>
      <c r="N10477" t="s">
        <v>41249</v>
      </c>
      <c r="O10477" t="s">
        <v>41250</v>
      </c>
      <c r="P10477">
        <v>0</v>
      </c>
      <c r="Q10477">
        <v>5</v>
      </c>
      <c r="R10477" t="s">
        <v>41262</v>
      </c>
      <c r="S10477" t="s">
        <v>41696</v>
      </c>
      <c r="T10477" t="s">
        <v>42679</v>
      </c>
      <c r="U10477" t="s">
        <v>45693</v>
      </c>
      <c r="W10477" t="s">
        <v>38529</v>
      </c>
      <c r="X10477" t="s">
        <v>41263</v>
      </c>
    </row>
    <row r="10478" spans="1:24">
      <c r="A10478">
        <f>HYPERLINK("https://www.philgeps.gov.ph/GEPSNONPILOT/Tender/SplashBidNoticeAbstractUI.aspx?menuIndex=3&amp;refID=7058462&amp;Result=3","7058462")</f>
        <v>0</v>
      </c>
      <c r="B10478" t="s">
        <v>1813</v>
      </c>
      <c r="C10478" t="s">
        <v>13391</v>
      </c>
      <c r="E10478" t="s">
        <v>25812</v>
      </c>
      <c r="F10478" t="s">
        <v>28669</v>
      </c>
      <c r="G10478" t="s">
        <v>28675</v>
      </c>
      <c r="H10478" t="s">
        <v>9998</v>
      </c>
      <c r="I10478" t="s">
        <v>5286</v>
      </c>
      <c r="J10478" t="s">
        <v>35298</v>
      </c>
      <c r="K10478" t="s">
        <v>37209</v>
      </c>
      <c r="M10478" t="s">
        <v>39423</v>
      </c>
      <c r="N10478" t="s">
        <v>41249</v>
      </c>
      <c r="O10478" t="s">
        <v>41250</v>
      </c>
      <c r="P10478">
        <v>0</v>
      </c>
      <c r="Q10478">
        <v>22</v>
      </c>
      <c r="R10478" t="s">
        <v>41262</v>
      </c>
      <c r="S10478" t="s">
        <v>41696</v>
      </c>
      <c r="T10478" t="s">
        <v>42782</v>
      </c>
      <c r="U10478" t="s">
        <v>51647</v>
      </c>
      <c r="V10478" t="s">
        <v>55407</v>
      </c>
      <c r="W10478" t="s">
        <v>39423</v>
      </c>
      <c r="X10478" t="s">
        <v>41263</v>
      </c>
    </row>
    <row r="10479" spans="1:24">
      <c r="A10479">
        <f>HYPERLINK("https://www.philgeps.gov.ph/GEPSNONPILOT/Tender/SplashBidNoticeAbstractUI.aspx?menuIndex=3&amp;refID=7058472&amp;Result=3","7058472")</f>
        <v>0</v>
      </c>
      <c r="B10479" t="s">
        <v>1813</v>
      </c>
      <c r="C10479" t="s">
        <v>13392</v>
      </c>
      <c r="E10479" t="s">
        <v>25813</v>
      </c>
      <c r="F10479" t="s">
        <v>28669</v>
      </c>
      <c r="G10479" t="s">
        <v>28675</v>
      </c>
      <c r="H10479" t="s">
        <v>9998</v>
      </c>
      <c r="I10479" t="s">
        <v>5213</v>
      </c>
      <c r="J10479" t="s">
        <v>35299</v>
      </c>
      <c r="K10479" t="s">
        <v>37209</v>
      </c>
      <c r="M10479" t="s">
        <v>39423</v>
      </c>
      <c r="N10479" t="s">
        <v>41249</v>
      </c>
      <c r="O10479" t="s">
        <v>41250</v>
      </c>
      <c r="P10479">
        <v>0</v>
      </c>
      <c r="Q10479">
        <v>6</v>
      </c>
      <c r="R10479" t="s">
        <v>41262</v>
      </c>
      <c r="S10479" t="s">
        <v>41696</v>
      </c>
      <c r="T10479" t="s">
        <v>42782</v>
      </c>
      <c r="U10479" t="s">
        <v>51648</v>
      </c>
      <c r="V10479" t="s">
        <v>55408</v>
      </c>
      <c r="W10479" t="s">
        <v>39423</v>
      </c>
      <c r="X10479" t="s">
        <v>41263</v>
      </c>
    </row>
    <row r="10480" spans="1:24">
      <c r="A10480">
        <f>HYPERLINK("https://www.philgeps.gov.ph/GEPSNONPILOT/Tender/SplashBidNoticeAbstractUI.aspx?menuIndex=3&amp;refID=7058409&amp;Result=3","7058409")</f>
        <v>0</v>
      </c>
      <c r="B10480" t="s">
        <v>1001</v>
      </c>
      <c r="C10480" t="s">
        <v>13393</v>
      </c>
      <c r="D10480" t="s">
        <v>16677</v>
      </c>
      <c r="E10480" t="s">
        <v>25814</v>
      </c>
      <c r="F10480" t="s">
        <v>28669</v>
      </c>
      <c r="G10480" t="s">
        <v>28675</v>
      </c>
      <c r="H10480" t="s">
        <v>28686</v>
      </c>
      <c r="I10480" t="s">
        <v>28689</v>
      </c>
      <c r="J10480" t="s">
        <v>30840</v>
      </c>
      <c r="K10480" t="s">
        <v>37215</v>
      </c>
      <c r="M10480" t="s">
        <v>38529</v>
      </c>
      <c r="N10480" t="s">
        <v>41249</v>
      </c>
      <c r="O10480" t="s">
        <v>41250</v>
      </c>
      <c r="P10480">
        <v>0</v>
      </c>
      <c r="Q10480">
        <v>1</v>
      </c>
      <c r="R10480" t="s">
        <v>41262</v>
      </c>
      <c r="S10480" t="s">
        <v>41696</v>
      </c>
      <c r="T10480" t="s">
        <v>42764</v>
      </c>
      <c r="U10480" t="s">
        <v>45302</v>
      </c>
      <c r="W10480" t="s">
        <v>38529</v>
      </c>
      <c r="X10480" t="s">
        <v>41263</v>
      </c>
    </row>
    <row r="10481" spans="1:24">
      <c r="A10481">
        <f>HYPERLINK("https://www.philgeps.gov.ph/GEPSNONPILOT/Tender/SplashBidNoticeAbstractUI.aspx?menuIndex=3&amp;refID=7058441&amp;Result=3","7058441")</f>
        <v>0</v>
      </c>
      <c r="B10481" t="s">
        <v>2962</v>
      </c>
      <c r="C10481" t="s">
        <v>13394</v>
      </c>
      <c r="D10481" t="s">
        <v>16608</v>
      </c>
      <c r="E10481" t="s">
        <v>25815</v>
      </c>
      <c r="F10481" t="s">
        <v>28669</v>
      </c>
      <c r="G10481" t="s">
        <v>28675</v>
      </c>
      <c r="H10481" t="s">
        <v>9998</v>
      </c>
      <c r="I10481" t="s">
        <v>11593</v>
      </c>
      <c r="J10481" t="s">
        <v>29332</v>
      </c>
      <c r="K10481" t="s">
        <v>37272</v>
      </c>
      <c r="M10481" t="s">
        <v>40723</v>
      </c>
      <c r="N10481" t="s">
        <v>41249</v>
      </c>
      <c r="O10481" t="s">
        <v>41250</v>
      </c>
      <c r="P10481">
        <v>0</v>
      </c>
      <c r="Q10481">
        <v>8</v>
      </c>
      <c r="R10481" t="s">
        <v>41262</v>
      </c>
      <c r="S10481" t="s">
        <v>41696</v>
      </c>
      <c r="T10481" t="s">
        <v>43074</v>
      </c>
      <c r="U10481" t="s">
        <v>51649</v>
      </c>
      <c r="W10481" t="s">
        <v>40723</v>
      </c>
      <c r="X10481" t="s">
        <v>41263</v>
      </c>
    </row>
    <row r="10482" spans="1:24">
      <c r="A10482">
        <f>HYPERLINK("https://www.philgeps.gov.ph/GEPSNONPILOT/Tender/SplashBidNoticeAbstractUI.aspx?menuIndex=3&amp;refID=7058459&amp;Result=3","7058459")</f>
        <v>0</v>
      </c>
      <c r="B10482" t="s">
        <v>1548</v>
      </c>
      <c r="C10482" t="s">
        <v>13395</v>
      </c>
      <c r="D10482" t="s">
        <v>16621</v>
      </c>
      <c r="E10482" t="s">
        <v>25816</v>
      </c>
      <c r="F10482" t="s">
        <v>28669</v>
      </c>
      <c r="G10482" t="s">
        <v>28675</v>
      </c>
      <c r="H10482" t="s">
        <v>28686</v>
      </c>
      <c r="I10482" t="s">
        <v>28689</v>
      </c>
      <c r="J10482" t="s">
        <v>35300</v>
      </c>
      <c r="K10482" t="s">
        <v>37258</v>
      </c>
      <c r="M10482" t="s">
        <v>39125</v>
      </c>
      <c r="N10482" t="s">
        <v>41249</v>
      </c>
      <c r="O10482" t="s">
        <v>41250</v>
      </c>
      <c r="P10482">
        <v>0</v>
      </c>
      <c r="Q10482">
        <v>1</v>
      </c>
      <c r="R10482" t="s">
        <v>41262</v>
      </c>
      <c r="S10482" t="s">
        <v>41696</v>
      </c>
      <c r="T10482" t="s">
        <v>42836</v>
      </c>
      <c r="U10482" t="s">
        <v>51650</v>
      </c>
      <c r="W10482" t="s">
        <v>39125</v>
      </c>
      <c r="X10482" t="s">
        <v>41263</v>
      </c>
    </row>
    <row r="10483" spans="1:24">
      <c r="A10483">
        <f>HYPERLINK("https://www.philgeps.gov.ph/GEPSNONPILOT/Tender/SplashBidNoticeAbstractUI.aspx?menuIndex=3&amp;refID=7058408&amp;Result=3","7058408")</f>
        <v>0</v>
      </c>
      <c r="B10483" t="s">
        <v>1548</v>
      </c>
      <c r="C10483" t="s">
        <v>13396</v>
      </c>
      <c r="D10483" t="s">
        <v>16621</v>
      </c>
      <c r="E10483" t="s">
        <v>25817</v>
      </c>
      <c r="F10483" t="s">
        <v>28669</v>
      </c>
      <c r="G10483" t="s">
        <v>28675</v>
      </c>
      <c r="H10483" t="s">
        <v>28686</v>
      </c>
      <c r="I10483" t="s">
        <v>28689</v>
      </c>
      <c r="J10483" t="s">
        <v>35301</v>
      </c>
      <c r="K10483" t="s">
        <v>37358</v>
      </c>
      <c r="M10483" t="s">
        <v>39125</v>
      </c>
      <c r="N10483" t="s">
        <v>41249</v>
      </c>
      <c r="O10483" t="s">
        <v>41250</v>
      </c>
      <c r="P10483">
        <v>0</v>
      </c>
      <c r="Q10483">
        <v>1</v>
      </c>
      <c r="R10483" t="s">
        <v>41262</v>
      </c>
      <c r="S10483" t="s">
        <v>41696</v>
      </c>
      <c r="T10483" t="s">
        <v>42836</v>
      </c>
      <c r="U10483" t="s">
        <v>51651</v>
      </c>
      <c r="W10483" t="s">
        <v>39125</v>
      </c>
      <c r="X10483" t="s">
        <v>41263</v>
      </c>
    </row>
    <row r="10484" spans="1:24">
      <c r="A10484">
        <f>HYPERLINK("https://www.philgeps.gov.ph/GEPSNONPILOT/Tender/SplashBidNoticeAbstractUI.aspx?menuIndex=3&amp;refID=7058478&amp;Result=3","7058478")</f>
        <v>0</v>
      </c>
      <c r="B10484" t="s">
        <v>1813</v>
      </c>
      <c r="C10484" t="s">
        <v>13397</v>
      </c>
      <c r="E10484" t="s">
        <v>25818</v>
      </c>
      <c r="F10484" t="s">
        <v>28669</v>
      </c>
      <c r="G10484" t="s">
        <v>28675</v>
      </c>
      <c r="H10484" t="s">
        <v>9998</v>
      </c>
      <c r="I10484" t="s">
        <v>28728</v>
      </c>
      <c r="J10484" t="s">
        <v>35302</v>
      </c>
      <c r="K10484" t="s">
        <v>37209</v>
      </c>
      <c r="M10484" t="s">
        <v>39423</v>
      </c>
      <c r="N10484" t="s">
        <v>41249</v>
      </c>
      <c r="O10484" t="s">
        <v>41250</v>
      </c>
      <c r="P10484">
        <v>0</v>
      </c>
      <c r="Q10484">
        <v>3</v>
      </c>
      <c r="R10484" t="s">
        <v>41262</v>
      </c>
      <c r="S10484" t="s">
        <v>41696</v>
      </c>
      <c r="T10484" t="s">
        <v>42782</v>
      </c>
      <c r="U10484" t="s">
        <v>51652</v>
      </c>
      <c r="V10484" t="s">
        <v>55409</v>
      </c>
      <c r="W10484" t="s">
        <v>39423</v>
      </c>
      <c r="X10484" t="s">
        <v>41263</v>
      </c>
    </row>
    <row r="10485" spans="1:24">
      <c r="A10485">
        <f>HYPERLINK("https://www.philgeps.gov.ph/GEPSNONPILOT/Tender/SplashBidNoticeAbstractUI.aspx?menuIndex=3&amp;refID=7053230&amp;Result=3","7053230")</f>
        <v>0</v>
      </c>
      <c r="B10485" t="s">
        <v>2393</v>
      </c>
      <c r="C10485" t="s">
        <v>13398</v>
      </c>
      <c r="D10485" t="s">
        <v>16643</v>
      </c>
      <c r="E10485" t="s">
        <v>25819</v>
      </c>
      <c r="F10485" t="s">
        <v>28669</v>
      </c>
      <c r="G10485" t="s">
        <v>28675</v>
      </c>
      <c r="H10485" t="s">
        <v>28686</v>
      </c>
      <c r="I10485" t="s">
        <v>28689</v>
      </c>
      <c r="J10485" t="s">
        <v>35303</v>
      </c>
      <c r="K10485" t="s">
        <v>37285</v>
      </c>
      <c r="M10485" t="s">
        <v>40068</v>
      </c>
      <c r="N10485" t="s">
        <v>41249</v>
      </c>
      <c r="O10485" t="s">
        <v>41250</v>
      </c>
      <c r="P10485">
        <v>0</v>
      </c>
      <c r="Q10485">
        <v>5</v>
      </c>
      <c r="R10485" t="s">
        <v>41263</v>
      </c>
      <c r="S10485" t="s">
        <v>41698</v>
      </c>
      <c r="T10485" t="s">
        <v>43063</v>
      </c>
      <c r="U10485" t="s">
        <v>51653</v>
      </c>
      <c r="V10485" t="s">
        <v>55410</v>
      </c>
      <c r="W10485" t="s">
        <v>55992</v>
      </c>
      <c r="X10485" t="s">
        <v>41265</v>
      </c>
    </row>
    <row r="10486" spans="1:24">
      <c r="A10486">
        <f>HYPERLINK("https://www.philgeps.gov.ph/GEPSNONPILOT/Tender/SplashBidNoticeAbstractUI.aspx?menuIndex=3&amp;refID=7053152&amp;Result=3","7053152")</f>
        <v>0</v>
      </c>
      <c r="B10486" t="s">
        <v>2393</v>
      </c>
      <c r="C10486" t="s">
        <v>13399</v>
      </c>
      <c r="D10486" t="s">
        <v>16643</v>
      </c>
      <c r="E10486" t="s">
        <v>25820</v>
      </c>
      <c r="F10486" t="s">
        <v>28669</v>
      </c>
      <c r="G10486" t="s">
        <v>28675</v>
      </c>
      <c r="H10486" t="s">
        <v>28686</v>
      </c>
      <c r="I10486" t="s">
        <v>28689</v>
      </c>
      <c r="J10486" t="s">
        <v>35304</v>
      </c>
      <c r="K10486" t="s">
        <v>37276</v>
      </c>
      <c r="M10486" t="s">
        <v>40068</v>
      </c>
      <c r="N10486" t="s">
        <v>41249</v>
      </c>
      <c r="O10486" t="s">
        <v>41250</v>
      </c>
      <c r="P10486">
        <v>0</v>
      </c>
      <c r="Q10486">
        <v>5</v>
      </c>
      <c r="R10486" t="s">
        <v>41263</v>
      </c>
      <c r="S10486" t="s">
        <v>41698</v>
      </c>
      <c r="T10486" t="s">
        <v>43063</v>
      </c>
      <c r="U10486" t="s">
        <v>51654</v>
      </c>
      <c r="V10486" t="s">
        <v>55410</v>
      </c>
      <c r="W10486" t="s">
        <v>55992</v>
      </c>
      <c r="X10486" t="s">
        <v>41265</v>
      </c>
    </row>
    <row r="10487" spans="1:24">
      <c r="A10487">
        <f>HYPERLINK("https://www.philgeps.gov.ph/GEPSNONPILOT/Tender/SplashBidNoticeAbstractUI.aspx?menuIndex=3&amp;refID=7050791&amp;Result=3","7050791")</f>
        <v>0</v>
      </c>
      <c r="B10487" t="s">
        <v>1103</v>
      </c>
      <c r="C10487" t="s">
        <v>13400</v>
      </c>
      <c r="E10487" t="s">
        <v>25821</v>
      </c>
      <c r="F10487" t="s">
        <v>28669</v>
      </c>
      <c r="G10487" t="s">
        <v>28675</v>
      </c>
      <c r="H10487" t="s">
        <v>9998</v>
      </c>
      <c r="I10487" t="s">
        <v>28687</v>
      </c>
      <c r="J10487" t="s">
        <v>35305</v>
      </c>
      <c r="K10487" t="s">
        <v>37209</v>
      </c>
      <c r="M10487" t="s">
        <v>38636</v>
      </c>
      <c r="N10487" t="s">
        <v>41249</v>
      </c>
      <c r="O10487" t="s">
        <v>41250</v>
      </c>
      <c r="P10487">
        <v>0</v>
      </c>
      <c r="Q10487">
        <v>2</v>
      </c>
      <c r="R10487" t="s">
        <v>41263</v>
      </c>
      <c r="S10487" t="s">
        <v>41698</v>
      </c>
      <c r="T10487" t="s">
        <v>42760</v>
      </c>
      <c r="U10487" t="s">
        <v>51655</v>
      </c>
      <c r="V10487" t="s">
        <v>55411</v>
      </c>
      <c r="W10487" t="s">
        <v>38636</v>
      </c>
      <c r="X10487" t="s">
        <v>41266</v>
      </c>
    </row>
    <row r="10488" spans="1:24">
      <c r="A10488">
        <f>HYPERLINK("https://www.philgeps.gov.ph/GEPSNONPILOT/Tender/SplashBidNoticeAbstractUI.aspx?menuIndex=3&amp;refID=7058413&amp;Result=3","7058413")</f>
        <v>0</v>
      </c>
      <c r="B10488" t="s">
        <v>1548</v>
      </c>
      <c r="C10488" t="s">
        <v>13401</v>
      </c>
      <c r="D10488" t="s">
        <v>16621</v>
      </c>
      <c r="E10488" t="s">
        <v>25822</v>
      </c>
      <c r="F10488" t="s">
        <v>28669</v>
      </c>
      <c r="G10488" t="s">
        <v>28675</v>
      </c>
      <c r="H10488" t="s">
        <v>28686</v>
      </c>
      <c r="I10488" t="s">
        <v>28689</v>
      </c>
      <c r="J10488" t="s">
        <v>35306</v>
      </c>
      <c r="K10488" t="s">
        <v>37222</v>
      </c>
      <c r="M10488" t="s">
        <v>39125</v>
      </c>
      <c r="N10488" t="s">
        <v>41249</v>
      </c>
      <c r="O10488" t="s">
        <v>41250</v>
      </c>
      <c r="P10488">
        <v>0</v>
      </c>
      <c r="Q10488">
        <v>3</v>
      </c>
      <c r="R10488" t="s">
        <v>41262</v>
      </c>
      <c r="S10488" t="s">
        <v>41696</v>
      </c>
      <c r="T10488" t="s">
        <v>42836</v>
      </c>
      <c r="U10488" t="s">
        <v>51656</v>
      </c>
      <c r="W10488" t="s">
        <v>39125</v>
      </c>
      <c r="X10488" t="s">
        <v>41263</v>
      </c>
    </row>
    <row r="10489" spans="1:24">
      <c r="A10489">
        <f>HYPERLINK("https://www.philgeps.gov.ph/GEPSNONPILOT/Tender/SplashBidNoticeAbstractUI.aspx?menuIndex=3&amp;refID=7050785&amp;Result=3","7050785")</f>
        <v>0</v>
      </c>
      <c r="B10489" t="s">
        <v>1103</v>
      </c>
      <c r="C10489" t="s">
        <v>13402</v>
      </c>
      <c r="E10489" t="s">
        <v>25823</v>
      </c>
      <c r="F10489" t="s">
        <v>28669</v>
      </c>
      <c r="G10489" t="s">
        <v>28675</v>
      </c>
      <c r="H10489" t="s">
        <v>28686</v>
      </c>
      <c r="I10489" t="s">
        <v>28689</v>
      </c>
      <c r="J10489" t="s">
        <v>35307</v>
      </c>
      <c r="K10489" t="s">
        <v>37209</v>
      </c>
      <c r="M10489" t="s">
        <v>38636</v>
      </c>
      <c r="N10489" t="s">
        <v>41249</v>
      </c>
      <c r="O10489" t="s">
        <v>41250</v>
      </c>
      <c r="P10489">
        <v>0</v>
      </c>
      <c r="Q10489">
        <v>4</v>
      </c>
      <c r="R10489" t="s">
        <v>41263</v>
      </c>
      <c r="S10489" t="s">
        <v>41698</v>
      </c>
      <c r="T10489" t="s">
        <v>42760</v>
      </c>
      <c r="U10489" t="s">
        <v>51657</v>
      </c>
      <c r="V10489" t="s">
        <v>55411</v>
      </c>
      <c r="W10489" t="s">
        <v>38636</v>
      </c>
      <c r="X10489" t="s">
        <v>41266</v>
      </c>
    </row>
    <row r="10490" spans="1:24">
      <c r="A10490">
        <f>HYPERLINK("https://www.philgeps.gov.ph/GEPSNONPILOT/Tender/SplashBidNoticeAbstractUI.aspx?menuIndex=3&amp;refID=7050781&amp;Result=3","7050781")</f>
        <v>0</v>
      </c>
      <c r="B10490" t="s">
        <v>1103</v>
      </c>
      <c r="C10490" t="s">
        <v>13403</v>
      </c>
      <c r="E10490" t="s">
        <v>25824</v>
      </c>
      <c r="F10490" t="s">
        <v>28669</v>
      </c>
      <c r="G10490" t="s">
        <v>28675</v>
      </c>
      <c r="H10490" t="s">
        <v>28686</v>
      </c>
      <c r="I10490" t="s">
        <v>28689</v>
      </c>
      <c r="J10490" t="s">
        <v>35308</v>
      </c>
      <c r="K10490" t="s">
        <v>37209</v>
      </c>
      <c r="M10490" t="s">
        <v>38636</v>
      </c>
      <c r="N10490" t="s">
        <v>41249</v>
      </c>
      <c r="O10490" t="s">
        <v>41250</v>
      </c>
      <c r="P10490">
        <v>0</v>
      </c>
      <c r="Q10490">
        <v>4</v>
      </c>
      <c r="R10490" t="s">
        <v>41263</v>
      </c>
      <c r="S10490" t="s">
        <v>41698</v>
      </c>
      <c r="T10490" t="s">
        <v>42760</v>
      </c>
      <c r="U10490" t="s">
        <v>51658</v>
      </c>
      <c r="V10490" t="s">
        <v>55411</v>
      </c>
      <c r="W10490" t="s">
        <v>38636</v>
      </c>
      <c r="X10490" t="s">
        <v>41266</v>
      </c>
    </row>
    <row r="10491" spans="1:24">
      <c r="A10491">
        <f>HYPERLINK("https://www.philgeps.gov.ph/GEPSNONPILOT/Tender/SplashBidNoticeAbstractUI.aspx?menuIndex=3&amp;refID=7050776&amp;Result=3","7050776")</f>
        <v>0</v>
      </c>
      <c r="B10491" t="s">
        <v>1103</v>
      </c>
      <c r="C10491" t="s">
        <v>13404</v>
      </c>
      <c r="E10491" t="s">
        <v>25825</v>
      </c>
      <c r="F10491" t="s">
        <v>28669</v>
      </c>
      <c r="G10491" t="s">
        <v>28675</v>
      </c>
      <c r="H10491" t="s">
        <v>28686</v>
      </c>
      <c r="I10491" t="s">
        <v>28689</v>
      </c>
      <c r="J10491" t="s">
        <v>35309</v>
      </c>
      <c r="K10491" t="s">
        <v>37209</v>
      </c>
      <c r="M10491" t="s">
        <v>38636</v>
      </c>
      <c r="N10491" t="s">
        <v>41249</v>
      </c>
      <c r="O10491" t="s">
        <v>41250</v>
      </c>
      <c r="P10491">
        <v>0</v>
      </c>
      <c r="Q10491">
        <v>4</v>
      </c>
      <c r="R10491" t="s">
        <v>41263</v>
      </c>
      <c r="S10491" t="s">
        <v>41698</v>
      </c>
      <c r="T10491" t="s">
        <v>42760</v>
      </c>
      <c r="U10491" t="s">
        <v>51659</v>
      </c>
      <c r="V10491" t="s">
        <v>55411</v>
      </c>
      <c r="W10491" t="s">
        <v>38636</v>
      </c>
      <c r="X10491" t="s">
        <v>41266</v>
      </c>
    </row>
    <row r="10492" spans="1:24">
      <c r="A10492">
        <f>HYPERLINK("https://www.philgeps.gov.ph/GEPSNONPILOT/Tender/SplashBidNoticeAbstractUI.aspx?menuIndex=3&amp;refID=7050686&amp;Result=3","7050686")</f>
        <v>0</v>
      </c>
      <c r="B10492" t="s">
        <v>1103</v>
      </c>
      <c r="C10492" t="s">
        <v>13405</v>
      </c>
      <c r="E10492" t="s">
        <v>25826</v>
      </c>
      <c r="F10492" t="s">
        <v>28669</v>
      </c>
      <c r="G10492" t="s">
        <v>28675</v>
      </c>
      <c r="H10492" t="s">
        <v>9998</v>
      </c>
      <c r="I10492" t="s">
        <v>28687</v>
      </c>
      <c r="J10492" t="s">
        <v>35310</v>
      </c>
      <c r="K10492" t="s">
        <v>37209</v>
      </c>
      <c r="M10492" t="s">
        <v>38636</v>
      </c>
      <c r="N10492" t="s">
        <v>41249</v>
      </c>
      <c r="O10492" t="s">
        <v>41250</v>
      </c>
      <c r="P10492">
        <v>0</v>
      </c>
      <c r="Q10492">
        <v>6</v>
      </c>
      <c r="R10492" t="s">
        <v>41263</v>
      </c>
      <c r="S10492" t="s">
        <v>41698</v>
      </c>
      <c r="T10492" t="s">
        <v>42760</v>
      </c>
      <c r="U10492" t="s">
        <v>51660</v>
      </c>
      <c r="V10492" t="s">
        <v>55411</v>
      </c>
      <c r="W10492" t="s">
        <v>38636</v>
      </c>
      <c r="X10492" t="s">
        <v>41266</v>
      </c>
    </row>
    <row r="10493" spans="1:24">
      <c r="A10493">
        <f>HYPERLINK("https://www.philgeps.gov.ph/GEPSNONPILOT/Tender/SplashBidNoticeAbstractUI.aspx?menuIndex=3&amp;refID=7053984&amp;Result=3","7053984")</f>
        <v>0</v>
      </c>
      <c r="B10493" t="s">
        <v>2956</v>
      </c>
      <c r="C10493" t="s">
        <v>13406</v>
      </c>
      <c r="E10493" t="s">
        <v>25827</v>
      </c>
      <c r="F10493" t="s">
        <v>28669</v>
      </c>
      <c r="G10493" t="s">
        <v>28675</v>
      </c>
      <c r="H10493" t="s">
        <v>9998</v>
      </c>
      <c r="I10493" t="s">
        <v>28706</v>
      </c>
      <c r="J10493" t="s">
        <v>35311</v>
      </c>
      <c r="K10493" t="s">
        <v>37209</v>
      </c>
      <c r="M10493" t="s">
        <v>40716</v>
      </c>
      <c r="N10493" t="s">
        <v>41249</v>
      </c>
      <c r="O10493" t="s">
        <v>41250</v>
      </c>
      <c r="P10493">
        <v>0</v>
      </c>
      <c r="Q10493">
        <v>1</v>
      </c>
      <c r="R10493" t="s">
        <v>41262</v>
      </c>
      <c r="S10493" t="s">
        <v>41696</v>
      </c>
      <c r="T10493" t="s">
        <v>42659</v>
      </c>
      <c r="U10493" t="s">
        <v>51661</v>
      </c>
      <c r="V10493" t="s">
        <v>55401</v>
      </c>
      <c r="W10493" t="s">
        <v>40716</v>
      </c>
      <c r="X10493" t="s">
        <v>41265</v>
      </c>
    </row>
    <row r="10494" spans="1:24">
      <c r="A10494">
        <f>HYPERLINK("https://www.philgeps.gov.ph/GEPSNONPILOT/Tender/SplashBidNoticeAbstractUI.aspx?menuIndex=3&amp;refID=7050669&amp;Result=3","7050669")</f>
        <v>0</v>
      </c>
      <c r="B10494" t="s">
        <v>1103</v>
      </c>
      <c r="C10494" t="s">
        <v>13407</v>
      </c>
      <c r="E10494" t="s">
        <v>25828</v>
      </c>
      <c r="F10494" t="s">
        <v>28669</v>
      </c>
      <c r="G10494" t="s">
        <v>28675</v>
      </c>
      <c r="H10494" t="s">
        <v>28686</v>
      </c>
      <c r="I10494" t="s">
        <v>28689</v>
      </c>
      <c r="J10494" t="s">
        <v>35312</v>
      </c>
      <c r="K10494" t="s">
        <v>37209</v>
      </c>
      <c r="M10494" t="s">
        <v>38636</v>
      </c>
      <c r="N10494" t="s">
        <v>41249</v>
      </c>
      <c r="O10494" t="s">
        <v>41250</v>
      </c>
      <c r="P10494">
        <v>0</v>
      </c>
      <c r="Q10494">
        <v>4</v>
      </c>
      <c r="R10494" t="s">
        <v>41263</v>
      </c>
      <c r="S10494" t="s">
        <v>41698</v>
      </c>
      <c r="T10494" t="s">
        <v>42760</v>
      </c>
      <c r="U10494" t="s">
        <v>51662</v>
      </c>
      <c r="V10494" t="s">
        <v>55411</v>
      </c>
      <c r="W10494" t="s">
        <v>38636</v>
      </c>
      <c r="X10494" t="s">
        <v>41266</v>
      </c>
    </row>
    <row r="10495" spans="1:24">
      <c r="A10495">
        <f>HYPERLINK("https://www.philgeps.gov.ph/GEPSNONPILOT/Tender/SplashBidNoticeAbstractUI.aspx?menuIndex=3&amp;refID=7050657&amp;Result=3","7050657")</f>
        <v>0</v>
      </c>
      <c r="B10495" t="s">
        <v>1103</v>
      </c>
      <c r="C10495" t="s">
        <v>13408</v>
      </c>
      <c r="E10495" t="s">
        <v>25829</v>
      </c>
      <c r="F10495" t="s">
        <v>28669</v>
      </c>
      <c r="G10495" t="s">
        <v>28675</v>
      </c>
      <c r="H10495" t="s">
        <v>28686</v>
      </c>
      <c r="I10495" t="s">
        <v>28689</v>
      </c>
      <c r="J10495" t="s">
        <v>35313</v>
      </c>
      <c r="K10495" t="s">
        <v>37209</v>
      </c>
      <c r="M10495" t="s">
        <v>38636</v>
      </c>
      <c r="N10495" t="s">
        <v>41249</v>
      </c>
      <c r="O10495" t="s">
        <v>41250</v>
      </c>
      <c r="P10495">
        <v>0</v>
      </c>
      <c r="Q10495">
        <v>4</v>
      </c>
      <c r="R10495" t="s">
        <v>41263</v>
      </c>
      <c r="S10495" t="s">
        <v>41698</v>
      </c>
      <c r="T10495" t="s">
        <v>42760</v>
      </c>
      <c r="U10495" t="s">
        <v>51663</v>
      </c>
      <c r="V10495" t="s">
        <v>55411</v>
      </c>
      <c r="W10495" t="s">
        <v>38636</v>
      </c>
      <c r="X10495" t="s">
        <v>41266</v>
      </c>
    </row>
    <row r="10496" spans="1:24">
      <c r="A10496">
        <f>HYPERLINK("https://www.philgeps.gov.ph/GEPSNONPILOT/Tender/SplashBidNoticeAbstractUI.aspx?menuIndex=3&amp;refID=7050641&amp;Result=3","7050641")</f>
        <v>0</v>
      </c>
      <c r="B10496" t="s">
        <v>1103</v>
      </c>
      <c r="C10496" t="s">
        <v>13409</v>
      </c>
      <c r="E10496" t="s">
        <v>25830</v>
      </c>
      <c r="F10496" t="s">
        <v>28669</v>
      </c>
      <c r="G10496" t="s">
        <v>28675</v>
      </c>
      <c r="H10496" t="s">
        <v>28686</v>
      </c>
      <c r="I10496" t="s">
        <v>28689</v>
      </c>
      <c r="J10496" t="s">
        <v>35314</v>
      </c>
      <c r="K10496" t="s">
        <v>37209</v>
      </c>
      <c r="M10496" t="s">
        <v>38636</v>
      </c>
      <c r="N10496" t="s">
        <v>41249</v>
      </c>
      <c r="O10496" t="s">
        <v>41250</v>
      </c>
      <c r="P10496">
        <v>0</v>
      </c>
      <c r="Q10496">
        <v>5</v>
      </c>
      <c r="R10496" t="s">
        <v>41263</v>
      </c>
      <c r="S10496" t="s">
        <v>41698</v>
      </c>
      <c r="T10496" t="s">
        <v>42760</v>
      </c>
      <c r="U10496" t="s">
        <v>51664</v>
      </c>
      <c r="V10496" t="s">
        <v>55411</v>
      </c>
      <c r="W10496" t="s">
        <v>38636</v>
      </c>
      <c r="X10496" t="s">
        <v>41266</v>
      </c>
    </row>
    <row r="10497" spans="1:24">
      <c r="A10497">
        <f>HYPERLINK("https://www.philgeps.gov.ph/GEPSNONPILOT/Tender/SplashBidNoticeAbstractUI.aspx?menuIndex=3&amp;refID=7050598&amp;Result=3","7050598")</f>
        <v>0</v>
      </c>
      <c r="B10497" t="s">
        <v>1103</v>
      </c>
      <c r="C10497" t="s">
        <v>13410</v>
      </c>
      <c r="E10497" t="s">
        <v>25831</v>
      </c>
      <c r="F10497" t="s">
        <v>28669</v>
      </c>
      <c r="G10497" t="s">
        <v>28675</v>
      </c>
      <c r="H10497" t="s">
        <v>28686</v>
      </c>
      <c r="I10497" t="s">
        <v>28689</v>
      </c>
      <c r="J10497" t="s">
        <v>35315</v>
      </c>
      <c r="K10497" t="s">
        <v>37209</v>
      </c>
      <c r="M10497" t="s">
        <v>38636</v>
      </c>
      <c r="N10497" t="s">
        <v>41249</v>
      </c>
      <c r="O10497" t="s">
        <v>41250</v>
      </c>
      <c r="P10497">
        <v>0</v>
      </c>
      <c r="Q10497">
        <v>6</v>
      </c>
      <c r="R10497" t="s">
        <v>41263</v>
      </c>
      <c r="S10497" t="s">
        <v>41698</v>
      </c>
      <c r="T10497" t="s">
        <v>42760</v>
      </c>
      <c r="U10497" t="s">
        <v>51665</v>
      </c>
      <c r="V10497" t="s">
        <v>55411</v>
      </c>
      <c r="W10497" t="s">
        <v>38636</v>
      </c>
      <c r="X10497" t="s">
        <v>41266</v>
      </c>
    </row>
    <row r="10498" spans="1:24">
      <c r="A10498">
        <f>HYPERLINK("https://www.philgeps.gov.ph/GEPSNONPILOT/Tender/SplashBidNoticeAbstractUI.aspx?menuIndex=3&amp;refID=7058410&amp;Result=3","7058410")</f>
        <v>0</v>
      </c>
      <c r="B10498" t="s">
        <v>1001</v>
      </c>
      <c r="C10498" t="s">
        <v>13411</v>
      </c>
      <c r="D10498" t="s">
        <v>16677</v>
      </c>
      <c r="E10498" t="s">
        <v>25832</v>
      </c>
      <c r="F10498" t="s">
        <v>28669</v>
      </c>
      <c r="G10498" t="s">
        <v>28675</v>
      </c>
      <c r="H10498" t="s">
        <v>28686</v>
      </c>
      <c r="I10498" t="s">
        <v>28689</v>
      </c>
      <c r="J10498" t="s">
        <v>30840</v>
      </c>
      <c r="K10498" t="s">
        <v>37215</v>
      </c>
      <c r="M10498" t="s">
        <v>38529</v>
      </c>
      <c r="N10498" t="s">
        <v>41249</v>
      </c>
      <c r="O10498" t="s">
        <v>41250</v>
      </c>
      <c r="P10498">
        <v>0</v>
      </c>
      <c r="Q10498">
        <v>1</v>
      </c>
      <c r="R10498" t="s">
        <v>41262</v>
      </c>
      <c r="S10498" t="s">
        <v>41696</v>
      </c>
      <c r="T10498" t="s">
        <v>42764</v>
      </c>
      <c r="U10498" t="s">
        <v>45302</v>
      </c>
      <c r="W10498" t="s">
        <v>38529</v>
      </c>
      <c r="X10498" t="s">
        <v>41263</v>
      </c>
    </row>
    <row r="10499" spans="1:24">
      <c r="A10499">
        <f>HYPERLINK("https://www.philgeps.gov.ph/GEPSNONPILOT/Tender/SplashBidNoticeAbstractUI.aspx?menuIndex=3&amp;refID=7050371&amp;Result=3","7050371")</f>
        <v>0</v>
      </c>
      <c r="B10499" t="s">
        <v>2963</v>
      </c>
      <c r="C10499" t="s">
        <v>13412</v>
      </c>
      <c r="D10499" t="s">
        <v>16673</v>
      </c>
      <c r="E10499" t="s">
        <v>25833</v>
      </c>
      <c r="F10499" t="s">
        <v>28669</v>
      </c>
      <c r="G10499" t="s">
        <v>28675</v>
      </c>
      <c r="H10499" t="s">
        <v>28686</v>
      </c>
      <c r="I10499" t="s">
        <v>28689</v>
      </c>
      <c r="J10499" t="s">
        <v>28881</v>
      </c>
      <c r="K10499" t="s">
        <v>37209</v>
      </c>
      <c r="M10499" t="s">
        <v>40724</v>
      </c>
      <c r="N10499" t="s">
        <v>41249</v>
      </c>
      <c r="O10499" t="s">
        <v>41250</v>
      </c>
      <c r="P10499">
        <v>0</v>
      </c>
      <c r="Q10499">
        <v>1</v>
      </c>
      <c r="R10499" t="s">
        <v>41263</v>
      </c>
      <c r="S10499" t="s">
        <v>41698</v>
      </c>
      <c r="T10499" t="s">
        <v>42764</v>
      </c>
      <c r="U10499" t="s">
        <v>51666</v>
      </c>
      <c r="W10499" t="s">
        <v>40724</v>
      </c>
      <c r="X10499" t="s">
        <v>41266</v>
      </c>
    </row>
    <row r="10500" spans="1:24">
      <c r="A10500">
        <f>HYPERLINK("https://www.philgeps.gov.ph/GEPSNONPILOT/Tender/SplashBidNoticeAbstractUI.aspx?menuIndex=3&amp;refID=7050349&amp;Result=3","7050349")</f>
        <v>0</v>
      </c>
      <c r="B10500" t="s">
        <v>2963</v>
      </c>
      <c r="C10500" t="s">
        <v>13413</v>
      </c>
      <c r="D10500" t="s">
        <v>16673</v>
      </c>
      <c r="E10500" t="s">
        <v>25834</v>
      </c>
      <c r="F10500" t="s">
        <v>28669</v>
      </c>
      <c r="G10500" t="s">
        <v>28675</v>
      </c>
      <c r="H10500" t="s">
        <v>28686</v>
      </c>
      <c r="I10500" t="s">
        <v>28689</v>
      </c>
      <c r="J10500" t="s">
        <v>28881</v>
      </c>
      <c r="K10500" t="s">
        <v>37209</v>
      </c>
      <c r="M10500" t="s">
        <v>40724</v>
      </c>
      <c r="N10500" t="s">
        <v>41249</v>
      </c>
      <c r="O10500" t="s">
        <v>41250</v>
      </c>
      <c r="P10500">
        <v>0</v>
      </c>
      <c r="Q10500">
        <v>1</v>
      </c>
      <c r="R10500" t="s">
        <v>41263</v>
      </c>
      <c r="S10500" t="s">
        <v>41698</v>
      </c>
      <c r="T10500" t="s">
        <v>42764</v>
      </c>
      <c r="U10500" t="s">
        <v>51667</v>
      </c>
      <c r="W10500" t="s">
        <v>40724</v>
      </c>
      <c r="X10500" t="s">
        <v>41266</v>
      </c>
    </row>
    <row r="10501" spans="1:24">
      <c r="A10501">
        <f>HYPERLINK("https://www.philgeps.gov.ph/GEPSNONPILOT/Tender/SplashBidNoticeAbstractUI.aspx?menuIndex=3&amp;refID=7050335&amp;Result=3","7050335")</f>
        <v>0</v>
      </c>
      <c r="B10501" t="s">
        <v>2963</v>
      </c>
      <c r="C10501" t="s">
        <v>13414</v>
      </c>
      <c r="D10501" t="s">
        <v>16673</v>
      </c>
      <c r="E10501" t="s">
        <v>25835</v>
      </c>
      <c r="F10501" t="s">
        <v>28669</v>
      </c>
      <c r="G10501" t="s">
        <v>28675</v>
      </c>
      <c r="H10501" t="s">
        <v>28686</v>
      </c>
      <c r="I10501" t="s">
        <v>28689</v>
      </c>
      <c r="J10501" t="s">
        <v>29033</v>
      </c>
      <c r="K10501" t="s">
        <v>37209</v>
      </c>
      <c r="M10501" t="s">
        <v>40724</v>
      </c>
      <c r="N10501" t="s">
        <v>41249</v>
      </c>
      <c r="O10501" t="s">
        <v>41250</v>
      </c>
      <c r="P10501">
        <v>0</v>
      </c>
      <c r="Q10501">
        <v>1</v>
      </c>
      <c r="R10501" t="s">
        <v>41263</v>
      </c>
      <c r="S10501" t="s">
        <v>41698</v>
      </c>
      <c r="T10501" t="s">
        <v>42764</v>
      </c>
      <c r="U10501" t="s">
        <v>51668</v>
      </c>
      <c r="W10501" t="s">
        <v>40724</v>
      </c>
      <c r="X10501" t="s">
        <v>41266</v>
      </c>
    </row>
    <row r="10502" spans="1:24">
      <c r="A10502">
        <f>HYPERLINK("https://www.philgeps.gov.ph/GEPSNONPILOT/Tender/SplashBidNoticeAbstractUI.aspx?menuIndex=3&amp;refID=7044274&amp;Result=3","7044274")</f>
        <v>0</v>
      </c>
      <c r="B10502" t="s">
        <v>2964</v>
      </c>
      <c r="C10502" t="s">
        <v>13415</v>
      </c>
      <c r="D10502" t="s">
        <v>16624</v>
      </c>
      <c r="E10502" t="s">
        <v>25836</v>
      </c>
      <c r="F10502" t="s">
        <v>28669</v>
      </c>
      <c r="G10502" t="s">
        <v>28675</v>
      </c>
      <c r="H10502" t="s">
        <v>28686</v>
      </c>
      <c r="I10502" t="s">
        <v>28689</v>
      </c>
      <c r="J10502" t="s">
        <v>35316</v>
      </c>
      <c r="K10502" t="s">
        <v>37220</v>
      </c>
      <c r="M10502" t="s">
        <v>40725</v>
      </c>
      <c r="N10502" t="s">
        <v>41249</v>
      </c>
      <c r="O10502" t="s">
        <v>41250</v>
      </c>
      <c r="P10502">
        <v>0</v>
      </c>
      <c r="Q10502">
        <v>0</v>
      </c>
      <c r="R10502" t="s">
        <v>41263</v>
      </c>
      <c r="S10502" t="s">
        <v>41698</v>
      </c>
      <c r="T10502" t="s">
        <v>42670</v>
      </c>
      <c r="U10502" t="s">
        <v>51669</v>
      </c>
      <c r="W10502" t="s">
        <v>40725</v>
      </c>
      <c r="X10502" t="s">
        <v>41269</v>
      </c>
    </row>
    <row r="10503" spans="1:24">
      <c r="A10503">
        <f>HYPERLINK("https://www.philgeps.gov.ph/GEPSNONPILOT/Tender/SplashBidNoticeAbstractUI.aspx?menuIndex=3&amp;refID=7042811&amp;Result=3","7042811")</f>
        <v>0</v>
      </c>
      <c r="B10503" t="s">
        <v>2965</v>
      </c>
      <c r="C10503" t="s">
        <v>13416</v>
      </c>
      <c r="D10503" t="s">
        <v>16679</v>
      </c>
      <c r="E10503" t="s">
        <v>25837</v>
      </c>
      <c r="F10503" t="s">
        <v>28669</v>
      </c>
      <c r="G10503" t="s">
        <v>28675</v>
      </c>
      <c r="H10503" t="s">
        <v>28686</v>
      </c>
      <c r="I10503" t="s">
        <v>28689</v>
      </c>
      <c r="J10503" t="s">
        <v>28924</v>
      </c>
      <c r="K10503" t="s">
        <v>37346</v>
      </c>
      <c r="M10503" t="s">
        <v>40726</v>
      </c>
      <c r="N10503" t="s">
        <v>41249</v>
      </c>
      <c r="O10503" t="s">
        <v>41250</v>
      </c>
      <c r="P10503">
        <v>0</v>
      </c>
      <c r="Q10503">
        <v>5</v>
      </c>
      <c r="R10503" t="s">
        <v>41263</v>
      </c>
      <c r="S10503" t="s">
        <v>41698</v>
      </c>
      <c r="T10503" t="s">
        <v>42739</v>
      </c>
      <c r="U10503" t="s">
        <v>51670</v>
      </c>
      <c r="W10503" t="s">
        <v>40726</v>
      </c>
      <c r="X10503" t="s">
        <v>41272</v>
      </c>
    </row>
    <row r="10504" spans="1:24">
      <c r="A10504">
        <f>HYPERLINK("https://www.philgeps.gov.ph/GEPSNONPILOT/Tender/SplashBidNoticeAbstractUI.aspx?menuIndex=3&amp;refID=7050773&amp;Result=3","7050773")</f>
        <v>0</v>
      </c>
      <c r="B10504" t="s">
        <v>1103</v>
      </c>
      <c r="C10504" t="s">
        <v>13417</v>
      </c>
      <c r="E10504" t="s">
        <v>25838</v>
      </c>
      <c r="F10504" t="s">
        <v>28669</v>
      </c>
      <c r="G10504" t="s">
        <v>28675</v>
      </c>
      <c r="H10504" t="s">
        <v>28686</v>
      </c>
      <c r="I10504" t="s">
        <v>28689</v>
      </c>
      <c r="J10504" t="s">
        <v>35317</v>
      </c>
      <c r="K10504" t="s">
        <v>37209</v>
      </c>
      <c r="M10504" t="s">
        <v>38636</v>
      </c>
      <c r="N10504" t="s">
        <v>41249</v>
      </c>
      <c r="O10504" t="s">
        <v>41250</v>
      </c>
      <c r="P10504">
        <v>0</v>
      </c>
      <c r="Q10504">
        <v>4</v>
      </c>
      <c r="R10504" t="s">
        <v>41263</v>
      </c>
      <c r="S10504" t="s">
        <v>41698</v>
      </c>
      <c r="T10504" t="s">
        <v>42760</v>
      </c>
      <c r="U10504" t="s">
        <v>51671</v>
      </c>
      <c r="V10504" t="s">
        <v>55411</v>
      </c>
      <c r="W10504" t="s">
        <v>38636</v>
      </c>
      <c r="X10504" t="s">
        <v>41266</v>
      </c>
    </row>
    <row r="10505" spans="1:24">
      <c r="A10505">
        <f>HYPERLINK("https://www.philgeps.gov.ph/GEPSNONPILOT/Tender/SplashBidNoticeAbstractUI.aspx?menuIndex=3&amp;refID=7053962&amp;Result=3","7053962")</f>
        <v>0</v>
      </c>
      <c r="B10505" t="s">
        <v>2956</v>
      </c>
      <c r="C10505" t="s">
        <v>13418</v>
      </c>
      <c r="D10505" t="s">
        <v>16621</v>
      </c>
      <c r="E10505" t="s">
        <v>25839</v>
      </c>
      <c r="F10505" t="s">
        <v>28669</v>
      </c>
      <c r="G10505" t="s">
        <v>28675</v>
      </c>
      <c r="H10505" t="s">
        <v>9998</v>
      </c>
      <c r="I10505" t="s">
        <v>28698</v>
      </c>
      <c r="J10505" t="s">
        <v>35318</v>
      </c>
      <c r="K10505" t="s">
        <v>37209</v>
      </c>
      <c r="M10505" t="s">
        <v>40716</v>
      </c>
      <c r="N10505" t="s">
        <v>41249</v>
      </c>
      <c r="O10505" t="s">
        <v>41250</v>
      </c>
      <c r="P10505">
        <v>0</v>
      </c>
      <c r="Q10505">
        <v>2</v>
      </c>
      <c r="R10505" t="s">
        <v>41262</v>
      </c>
      <c r="S10505" t="s">
        <v>41696</v>
      </c>
      <c r="T10505" t="s">
        <v>42659</v>
      </c>
      <c r="U10505" t="s">
        <v>51672</v>
      </c>
      <c r="V10505" t="s">
        <v>55401</v>
      </c>
      <c r="W10505" t="s">
        <v>40716</v>
      </c>
      <c r="X10505" t="s">
        <v>41265</v>
      </c>
    </row>
    <row r="10506" spans="1:24">
      <c r="A10506">
        <f>HYPERLINK("https://www.philgeps.gov.ph/GEPSNONPILOT/Tender/SplashBidNoticeAbstractUI.aspx?menuIndex=3&amp;refID=7058480&amp;Result=3","7058480")</f>
        <v>0</v>
      </c>
      <c r="B10506" t="s">
        <v>1667</v>
      </c>
      <c r="C10506" t="s">
        <v>13419</v>
      </c>
      <c r="D10506" t="s">
        <v>16608</v>
      </c>
      <c r="E10506" t="s">
        <v>25840</v>
      </c>
      <c r="F10506" t="s">
        <v>28669</v>
      </c>
      <c r="G10506" t="s">
        <v>28675</v>
      </c>
      <c r="H10506" t="s">
        <v>9998</v>
      </c>
      <c r="I10506" t="s">
        <v>7352</v>
      </c>
      <c r="J10506" t="s">
        <v>28881</v>
      </c>
      <c r="K10506" t="s">
        <v>37221</v>
      </c>
      <c r="M10506" t="s">
        <v>40727</v>
      </c>
      <c r="N10506" t="s">
        <v>41249</v>
      </c>
      <c r="O10506" t="s">
        <v>41250</v>
      </c>
      <c r="P10506">
        <v>0</v>
      </c>
      <c r="Q10506">
        <v>7</v>
      </c>
      <c r="R10506" t="s">
        <v>41261</v>
      </c>
      <c r="S10506" t="s">
        <v>41680</v>
      </c>
      <c r="T10506" t="s">
        <v>43004</v>
      </c>
      <c r="U10506" t="s">
        <v>51673</v>
      </c>
      <c r="W10506" t="s">
        <v>40727</v>
      </c>
      <c r="X10506" t="s">
        <v>41263</v>
      </c>
    </row>
    <row r="10507" spans="1:24">
      <c r="A10507">
        <f>HYPERLINK("https://www.philgeps.gov.ph/GEPSNONPILOT/Tender/SplashBidNoticeAbstractUI.aspx?menuIndex=3&amp;refID=7058058&amp;Result=3","7058058")</f>
        <v>0</v>
      </c>
      <c r="B10507" t="s">
        <v>2966</v>
      </c>
      <c r="C10507" t="s">
        <v>13420</v>
      </c>
      <c r="D10507" t="s">
        <v>16611</v>
      </c>
      <c r="E10507" t="s">
        <v>16807</v>
      </c>
      <c r="F10507" t="s">
        <v>28669</v>
      </c>
      <c r="G10507" t="s">
        <v>28675</v>
      </c>
      <c r="H10507" t="s">
        <v>9998</v>
      </c>
      <c r="I10507" t="s">
        <v>7352</v>
      </c>
      <c r="J10507" t="s">
        <v>35319</v>
      </c>
      <c r="K10507" t="s">
        <v>37204</v>
      </c>
      <c r="M10507" t="s">
        <v>40728</v>
      </c>
      <c r="N10507" t="s">
        <v>41249</v>
      </c>
      <c r="O10507" t="s">
        <v>41250</v>
      </c>
      <c r="P10507">
        <v>0</v>
      </c>
      <c r="Q10507">
        <v>0</v>
      </c>
      <c r="R10507" t="s">
        <v>41261</v>
      </c>
      <c r="S10507" t="s">
        <v>41680</v>
      </c>
      <c r="T10507" t="s">
        <v>42914</v>
      </c>
      <c r="U10507" t="s">
        <v>51674</v>
      </c>
      <c r="W10507" t="s">
        <v>40728</v>
      </c>
      <c r="X10507" t="s">
        <v>41263</v>
      </c>
    </row>
    <row r="10508" spans="1:24">
      <c r="A10508">
        <f>HYPERLINK("https://www.philgeps.gov.ph/GEPSNONPILOT/Tender/SplashBidNoticeAbstractUI.aspx?menuIndex=3&amp;refID=7057929&amp;Result=3","7057929")</f>
        <v>0</v>
      </c>
      <c r="B10508" t="s">
        <v>2967</v>
      </c>
      <c r="C10508" t="s">
        <v>13421</v>
      </c>
      <c r="D10508" t="s">
        <v>16627</v>
      </c>
      <c r="E10508" t="s">
        <v>25841</v>
      </c>
      <c r="F10508" t="s">
        <v>28669</v>
      </c>
      <c r="G10508" t="s">
        <v>28675</v>
      </c>
      <c r="H10508" t="s">
        <v>28686</v>
      </c>
      <c r="I10508" t="s">
        <v>28689</v>
      </c>
      <c r="J10508" t="s">
        <v>35320</v>
      </c>
      <c r="K10508" t="s">
        <v>37220</v>
      </c>
      <c r="M10508" t="s">
        <v>40729</v>
      </c>
      <c r="N10508" t="s">
        <v>41249</v>
      </c>
      <c r="O10508" t="s">
        <v>41250</v>
      </c>
      <c r="P10508">
        <v>0</v>
      </c>
      <c r="Q10508">
        <v>4</v>
      </c>
      <c r="R10508" t="s">
        <v>41261</v>
      </c>
      <c r="S10508" t="s">
        <v>41680</v>
      </c>
      <c r="T10508" t="s">
        <v>43021</v>
      </c>
      <c r="U10508" t="s">
        <v>51675</v>
      </c>
      <c r="V10508" t="s">
        <v>55412</v>
      </c>
      <c r="W10508" t="s">
        <v>40729</v>
      </c>
      <c r="X10508" t="s">
        <v>41264</v>
      </c>
    </row>
    <row r="10509" spans="1:24">
      <c r="A10509">
        <f>HYPERLINK("https://www.philgeps.gov.ph/GEPSNONPILOT/Tender/SplashBidNoticeAbstractUI.aspx?menuIndex=3&amp;refID=7045175&amp;Result=3","7045175")</f>
        <v>0</v>
      </c>
      <c r="B10509" t="s">
        <v>189</v>
      </c>
      <c r="C10509" t="s">
        <v>13422</v>
      </c>
      <c r="D10509" t="s">
        <v>16621</v>
      </c>
      <c r="E10509" t="s">
        <v>25842</v>
      </c>
      <c r="F10509" t="s">
        <v>28669</v>
      </c>
      <c r="G10509" t="s">
        <v>28675</v>
      </c>
      <c r="H10509" t="s">
        <v>9998</v>
      </c>
      <c r="I10509" t="s">
        <v>6128</v>
      </c>
      <c r="J10509" t="s">
        <v>35321</v>
      </c>
      <c r="K10509" t="s">
        <v>37209</v>
      </c>
      <c r="M10509" t="s">
        <v>37667</v>
      </c>
      <c r="N10509" t="s">
        <v>41249</v>
      </c>
      <c r="O10509" t="s">
        <v>41250</v>
      </c>
      <c r="P10509">
        <v>0</v>
      </c>
      <c r="Q10509">
        <v>5</v>
      </c>
      <c r="R10509" t="s">
        <v>41263</v>
      </c>
      <c r="S10509" t="s">
        <v>41698</v>
      </c>
      <c r="T10509" t="s">
        <v>42760</v>
      </c>
      <c r="U10509" t="s">
        <v>51676</v>
      </c>
      <c r="W10509" t="s">
        <v>37667</v>
      </c>
      <c r="X10509" t="s">
        <v>41268</v>
      </c>
    </row>
    <row r="10510" spans="1:24">
      <c r="A10510">
        <f>HYPERLINK("https://www.philgeps.gov.ph/GEPSNONPILOT/Tender/SplashBidNoticeAbstractUI.aspx?menuIndex=3&amp;refID=7050623&amp;Result=3","7050623")</f>
        <v>0</v>
      </c>
      <c r="B10510" t="s">
        <v>1103</v>
      </c>
      <c r="C10510" t="s">
        <v>13423</v>
      </c>
      <c r="E10510" t="s">
        <v>25843</v>
      </c>
      <c r="F10510" t="s">
        <v>28669</v>
      </c>
      <c r="G10510" t="s">
        <v>28675</v>
      </c>
      <c r="H10510" t="s">
        <v>28686</v>
      </c>
      <c r="I10510" t="s">
        <v>28689</v>
      </c>
      <c r="J10510" t="s">
        <v>35322</v>
      </c>
      <c r="K10510" t="s">
        <v>37209</v>
      </c>
      <c r="M10510" t="s">
        <v>38636</v>
      </c>
      <c r="N10510" t="s">
        <v>41249</v>
      </c>
      <c r="O10510" t="s">
        <v>41250</v>
      </c>
      <c r="P10510">
        <v>0</v>
      </c>
      <c r="Q10510">
        <v>9</v>
      </c>
      <c r="R10510" t="s">
        <v>41263</v>
      </c>
      <c r="S10510" t="s">
        <v>41698</v>
      </c>
      <c r="T10510" t="s">
        <v>42760</v>
      </c>
      <c r="U10510" t="s">
        <v>51677</v>
      </c>
      <c r="V10510" t="s">
        <v>55411</v>
      </c>
      <c r="W10510" t="s">
        <v>38636</v>
      </c>
      <c r="X10510" t="s">
        <v>41266</v>
      </c>
    </row>
    <row r="10511" spans="1:24">
      <c r="A10511">
        <f>HYPERLINK("https://www.philgeps.gov.ph/GEPSNONPILOT/Tender/SplashBidNoticeAbstractUI.aspx?menuIndex=3&amp;refID=7050763&amp;Result=3","7050763")</f>
        <v>0</v>
      </c>
      <c r="B10511" t="s">
        <v>1103</v>
      </c>
      <c r="C10511" t="s">
        <v>13424</v>
      </c>
      <c r="E10511" t="s">
        <v>25844</v>
      </c>
      <c r="F10511" t="s">
        <v>28669</v>
      </c>
      <c r="G10511" t="s">
        <v>28675</v>
      </c>
      <c r="H10511" t="s">
        <v>28686</v>
      </c>
      <c r="I10511" t="s">
        <v>28689</v>
      </c>
      <c r="J10511" t="s">
        <v>35317</v>
      </c>
      <c r="K10511" t="s">
        <v>37209</v>
      </c>
      <c r="M10511" t="s">
        <v>38636</v>
      </c>
      <c r="N10511" t="s">
        <v>41249</v>
      </c>
      <c r="O10511" t="s">
        <v>41250</v>
      </c>
      <c r="P10511">
        <v>0</v>
      </c>
      <c r="Q10511">
        <v>4</v>
      </c>
      <c r="R10511" t="s">
        <v>41263</v>
      </c>
      <c r="S10511" t="s">
        <v>41698</v>
      </c>
      <c r="T10511" t="s">
        <v>42760</v>
      </c>
      <c r="U10511" t="s">
        <v>51671</v>
      </c>
      <c r="V10511" t="s">
        <v>55411</v>
      </c>
      <c r="W10511" t="s">
        <v>38636</v>
      </c>
      <c r="X10511" t="s">
        <v>41266</v>
      </c>
    </row>
    <row r="10512" spans="1:24">
      <c r="A10512">
        <f>HYPERLINK("https://www.philgeps.gov.ph/GEPSNONPILOT/Tender/SplashBidNoticeAbstractUI.aspx?menuIndex=3&amp;refID=7055662&amp;Result=3","7055662")</f>
        <v>0</v>
      </c>
      <c r="B10512" t="s">
        <v>987</v>
      </c>
      <c r="C10512" t="s">
        <v>13425</v>
      </c>
      <c r="D10512" t="s">
        <v>16616</v>
      </c>
      <c r="E10512" t="s">
        <v>23105</v>
      </c>
      <c r="F10512" t="s">
        <v>28669</v>
      </c>
      <c r="G10512" t="s">
        <v>28675</v>
      </c>
      <c r="H10512" t="s">
        <v>9998</v>
      </c>
      <c r="I10512" t="s">
        <v>7352</v>
      </c>
      <c r="J10512" t="s">
        <v>31881</v>
      </c>
      <c r="K10512" t="s">
        <v>37205</v>
      </c>
      <c r="M10512" t="s">
        <v>38512</v>
      </c>
      <c r="N10512" t="s">
        <v>41249</v>
      </c>
      <c r="O10512" t="s">
        <v>41250</v>
      </c>
      <c r="P10512">
        <v>0</v>
      </c>
      <c r="Q10512">
        <v>2</v>
      </c>
      <c r="R10512" t="s">
        <v>41263</v>
      </c>
      <c r="S10512" t="s">
        <v>41698</v>
      </c>
      <c r="T10512" t="s">
        <v>42970</v>
      </c>
      <c r="U10512" t="s">
        <v>45235</v>
      </c>
      <c r="W10512" t="s">
        <v>38512</v>
      </c>
      <c r="X10512" t="s">
        <v>41264</v>
      </c>
    </row>
    <row r="10513" spans="1:24">
      <c r="A10513">
        <f>HYPERLINK("https://www.philgeps.gov.ph/GEPSNONPILOT/Tender/SplashBidNoticeAbstractUI.aspx?menuIndex=3&amp;refID=7058414&amp;Result=3","7058414")</f>
        <v>0</v>
      </c>
      <c r="B10513" t="s">
        <v>1001</v>
      </c>
      <c r="C10513" t="s">
        <v>13426</v>
      </c>
      <c r="D10513" t="s">
        <v>16677</v>
      </c>
      <c r="E10513" t="s">
        <v>25845</v>
      </c>
      <c r="F10513" t="s">
        <v>28669</v>
      </c>
      <c r="G10513" t="s">
        <v>28675</v>
      </c>
      <c r="H10513" t="s">
        <v>28686</v>
      </c>
      <c r="I10513" t="s">
        <v>28689</v>
      </c>
      <c r="J10513" t="s">
        <v>30447</v>
      </c>
      <c r="K10513" t="s">
        <v>37290</v>
      </c>
      <c r="M10513" t="s">
        <v>38529</v>
      </c>
      <c r="N10513" t="s">
        <v>41249</v>
      </c>
      <c r="O10513" t="s">
        <v>41250</v>
      </c>
      <c r="P10513">
        <v>0</v>
      </c>
      <c r="Q10513">
        <v>3</v>
      </c>
      <c r="R10513" t="s">
        <v>41262</v>
      </c>
      <c r="S10513" t="s">
        <v>41696</v>
      </c>
      <c r="T10513" t="s">
        <v>42764</v>
      </c>
      <c r="U10513" t="s">
        <v>45242</v>
      </c>
      <c r="W10513" t="s">
        <v>38529</v>
      </c>
      <c r="X10513" t="s">
        <v>41263</v>
      </c>
    </row>
    <row r="10514" spans="1:24">
      <c r="A10514">
        <f>HYPERLINK("https://www.philgeps.gov.ph/GEPSNONPILOT/Tender/SplashBidNoticeAbstractUI.aspx?menuIndex=3&amp;refID=7055660&amp;Result=3","7055660")</f>
        <v>0</v>
      </c>
      <c r="B10514" t="s">
        <v>987</v>
      </c>
      <c r="C10514" t="s">
        <v>13427</v>
      </c>
      <c r="D10514" t="s">
        <v>16616</v>
      </c>
      <c r="E10514" t="s">
        <v>23768</v>
      </c>
      <c r="F10514" t="s">
        <v>28669</v>
      </c>
      <c r="G10514" t="s">
        <v>28675</v>
      </c>
      <c r="H10514" t="s">
        <v>9998</v>
      </c>
      <c r="I10514" t="s">
        <v>7352</v>
      </c>
      <c r="J10514" t="s">
        <v>35323</v>
      </c>
      <c r="K10514" t="s">
        <v>37205</v>
      </c>
      <c r="M10514" t="s">
        <v>38512</v>
      </c>
      <c r="N10514" t="s">
        <v>41249</v>
      </c>
      <c r="O10514" t="s">
        <v>41250</v>
      </c>
      <c r="P10514">
        <v>0</v>
      </c>
      <c r="Q10514">
        <v>2</v>
      </c>
      <c r="R10514" t="s">
        <v>41263</v>
      </c>
      <c r="S10514" t="s">
        <v>41698</v>
      </c>
      <c r="T10514" t="s">
        <v>43116</v>
      </c>
      <c r="U10514" t="s">
        <v>45235</v>
      </c>
      <c r="W10514" t="s">
        <v>38512</v>
      </c>
      <c r="X10514" t="s">
        <v>41264</v>
      </c>
    </row>
    <row r="10515" spans="1:24">
      <c r="A10515">
        <f>HYPERLINK("https://www.philgeps.gov.ph/GEPSNONPILOT/Tender/SplashBidNoticeAbstractUI.aspx?menuIndex=3&amp;refID=7055658&amp;Result=3","7055658")</f>
        <v>0</v>
      </c>
      <c r="B10515" t="s">
        <v>987</v>
      </c>
      <c r="C10515" t="s">
        <v>13428</v>
      </c>
      <c r="D10515" t="s">
        <v>16616</v>
      </c>
      <c r="E10515" t="s">
        <v>19752</v>
      </c>
      <c r="F10515" t="s">
        <v>28669</v>
      </c>
      <c r="G10515" t="s">
        <v>28675</v>
      </c>
      <c r="H10515" t="s">
        <v>9998</v>
      </c>
      <c r="I10515" t="s">
        <v>28704</v>
      </c>
      <c r="J10515" t="s">
        <v>33881</v>
      </c>
      <c r="K10515" t="s">
        <v>37205</v>
      </c>
      <c r="M10515" t="s">
        <v>38512</v>
      </c>
      <c r="N10515" t="s">
        <v>41249</v>
      </c>
      <c r="O10515" t="s">
        <v>41250</v>
      </c>
      <c r="Q10515">
        <v>2</v>
      </c>
      <c r="R10515" t="s">
        <v>41263</v>
      </c>
      <c r="S10515" t="s">
        <v>41701</v>
      </c>
      <c r="T10515" t="s">
        <v>42970</v>
      </c>
      <c r="U10515" t="s">
        <v>51678</v>
      </c>
      <c r="W10515" t="s">
        <v>38512</v>
      </c>
      <c r="X10515" t="s">
        <v>41264</v>
      </c>
    </row>
    <row r="10516" spans="1:24">
      <c r="A10516">
        <f>HYPERLINK("https://www.philgeps.gov.ph/GEPSNONPILOT/Tender/SplashBidNoticeAbstractUI.aspx?menuIndex=3&amp;refID=7055652&amp;Result=3","7055652")</f>
        <v>0</v>
      </c>
      <c r="B10516" t="s">
        <v>2658</v>
      </c>
      <c r="C10516" t="s">
        <v>13429</v>
      </c>
      <c r="D10516" t="s">
        <v>16626</v>
      </c>
      <c r="E10516" t="s">
        <v>22363</v>
      </c>
      <c r="F10516" t="s">
        <v>28669</v>
      </c>
      <c r="G10516" t="s">
        <v>28675</v>
      </c>
      <c r="H10516" t="s">
        <v>9998</v>
      </c>
      <c r="I10516" t="s">
        <v>28709</v>
      </c>
      <c r="J10516" t="s">
        <v>35324</v>
      </c>
      <c r="K10516" t="s">
        <v>37243</v>
      </c>
      <c r="M10516" t="s">
        <v>40361</v>
      </c>
      <c r="N10516" t="s">
        <v>41249</v>
      </c>
      <c r="O10516" t="s">
        <v>41250</v>
      </c>
      <c r="P10516">
        <v>0</v>
      </c>
      <c r="Q10516">
        <v>0</v>
      </c>
      <c r="R10516" t="s">
        <v>41263</v>
      </c>
      <c r="S10516" t="s">
        <v>41698</v>
      </c>
      <c r="T10516" t="s">
        <v>42670</v>
      </c>
      <c r="U10516" t="s">
        <v>51679</v>
      </c>
      <c r="W10516" t="s">
        <v>40361</v>
      </c>
      <c r="X10516" t="s">
        <v>41264</v>
      </c>
    </row>
    <row r="10517" spans="1:24">
      <c r="A10517">
        <f>HYPERLINK("https://www.philgeps.gov.ph/GEPSNONPILOT/Tender/SplashBidNoticeAbstractUI.aspx?menuIndex=3&amp;refID=7055661&amp;Result=3","7055661")</f>
        <v>0</v>
      </c>
      <c r="B10517" t="s">
        <v>987</v>
      </c>
      <c r="C10517" t="s">
        <v>13430</v>
      </c>
      <c r="D10517" t="s">
        <v>16616</v>
      </c>
      <c r="E10517" t="s">
        <v>20956</v>
      </c>
      <c r="F10517" t="s">
        <v>28669</v>
      </c>
      <c r="G10517" t="s">
        <v>28675</v>
      </c>
      <c r="H10517" t="s">
        <v>9998</v>
      </c>
      <c r="I10517" t="s">
        <v>7352</v>
      </c>
      <c r="J10517" t="s">
        <v>35325</v>
      </c>
      <c r="K10517" t="s">
        <v>37205</v>
      </c>
      <c r="M10517" t="s">
        <v>38512</v>
      </c>
      <c r="N10517" t="s">
        <v>41249</v>
      </c>
      <c r="O10517" t="s">
        <v>41250</v>
      </c>
      <c r="P10517">
        <v>0</v>
      </c>
      <c r="Q10517">
        <v>2</v>
      </c>
      <c r="R10517" t="s">
        <v>41263</v>
      </c>
      <c r="S10517" t="s">
        <v>41698</v>
      </c>
      <c r="T10517" t="s">
        <v>42970</v>
      </c>
      <c r="U10517" t="s">
        <v>45235</v>
      </c>
      <c r="W10517" t="s">
        <v>38512</v>
      </c>
      <c r="X10517" t="s">
        <v>41264</v>
      </c>
    </row>
    <row r="10518" spans="1:24">
      <c r="A10518">
        <f>HYPERLINK("https://www.philgeps.gov.ph/GEPSNONPILOT/Tender/SplashBidNoticeAbstractUI.aspx?menuIndex=3&amp;refID=7054563&amp;Result=3","7054563")</f>
        <v>0</v>
      </c>
      <c r="B10518" t="s">
        <v>2968</v>
      </c>
      <c r="C10518" t="s">
        <v>13431</v>
      </c>
      <c r="E10518" t="s">
        <v>25846</v>
      </c>
      <c r="F10518" t="s">
        <v>28669</v>
      </c>
      <c r="G10518" t="s">
        <v>28675</v>
      </c>
      <c r="H10518" t="s">
        <v>9998</v>
      </c>
      <c r="I10518" t="s">
        <v>28714</v>
      </c>
      <c r="J10518" t="s">
        <v>29002</v>
      </c>
      <c r="K10518" t="s">
        <v>37209</v>
      </c>
      <c r="M10518" t="s">
        <v>40730</v>
      </c>
      <c r="N10518" t="s">
        <v>41249</v>
      </c>
      <c r="O10518" t="s">
        <v>41250</v>
      </c>
      <c r="Q10518">
        <v>20</v>
      </c>
      <c r="R10518" t="s">
        <v>41263</v>
      </c>
      <c r="S10518" t="s">
        <v>41702</v>
      </c>
      <c r="T10518" t="s">
        <v>43117</v>
      </c>
      <c r="U10518" t="s">
        <v>51680</v>
      </c>
      <c r="V10518" t="s">
        <v>55413</v>
      </c>
      <c r="W10518" t="s">
        <v>40730</v>
      </c>
      <c r="X10518" t="s">
        <v>41265</v>
      </c>
    </row>
    <row r="10519" spans="1:24">
      <c r="A10519">
        <f>HYPERLINK("https://www.philgeps.gov.ph/GEPSNONPILOT/Tender/SplashBidNoticeAbstractUI.aspx?menuIndex=3&amp;refID=7055659&amp;Result=3","7055659")</f>
        <v>0</v>
      </c>
      <c r="B10519" t="s">
        <v>987</v>
      </c>
      <c r="C10519" t="s">
        <v>13432</v>
      </c>
      <c r="D10519" t="s">
        <v>16616</v>
      </c>
      <c r="E10519" t="s">
        <v>25746</v>
      </c>
      <c r="F10519" t="s">
        <v>28669</v>
      </c>
      <c r="G10519" t="s">
        <v>28675</v>
      </c>
      <c r="H10519" t="s">
        <v>9998</v>
      </c>
      <c r="I10519" t="s">
        <v>3679</v>
      </c>
      <c r="J10519" t="s">
        <v>29027</v>
      </c>
      <c r="K10519" t="s">
        <v>37205</v>
      </c>
      <c r="M10519" t="s">
        <v>38512</v>
      </c>
      <c r="N10519" t="s">
        <v>41249</v>
      </c>
      <c r="O10519" t="s">
        <v>41250</v>
      </c>
      <c r="P10519">
        <v>0</v>
      </c>
      <c r="Q10519">
        <v>0</v>
      </c>
      <c r="R10519" t="s">
        <v>41263</v>
      </c>
      <c r="S10519" t="s">
        <v>41698</v>
      </c>
      <c r="T10519" t="s">
        <v>42970</v>
      </c>
      <c r="U10519" t="s">
        <v>51681</v>
      </c>
      <c r="W10519" t="s">
        <v>38512</v>
      </c>
      <c r="X10519" t="s">
        <v>41264</v>
      </c>
    </row>
    <row r="10520" spans="1:24">
      <c r="A10520">
        <f>HYPERLINK("https://www.philgeps.gov.ph/GEPSNONPILOT/Tender/SplashBidNoticeAbstractUI.aspx?menuIndex=3&amp;refID=7055646&amp;Result=3","7055646")</f>
        <v>0</v>
      </c>
      <c r="B10520" t="s">
        <v>2969</v>
      </c>
      <c r="C10520" t="s">
        <v>13433</v>
      </c>
      <c r="D10520" t="s">
        <v>16617</v>
      </c>
      <c r="E10520" t="s">
        <v>25847</v>
      </c>
      <c r="F10520" t="s">
        <v>28669</v>
      </c>
      <c r="G10520" t="s">
        <v>28676</v>
      </c>
      <c r="H10520" t="s">
        <v>9998</v>
      </c>
      <c r="I10520" t="s">
        <v>28706</v>
      </c>
      <c r="J10520" t="s">
        <v>28877</v>
      </c>
      <c r="K10520" t="s">
        <v>37206</v>
      </c>
      <c r="M10520" t="s">
        <v>40731</v>
      </c>
      <c r="N10520" t="s">
        <v>41249</v>
      </c>
      <c r="O10520" t="s">
        <v>41250</v>
      </c>
      <c r="P10520">
        <v>0</v>
      </c>
      <c r="Q10520">
        <v>3</v>
      </c>
      <c r="R10520" t="s">
        <v>41263</v>
      </c>
      <c r="S10520" t="s">
        <v>41698</v>
      </c>
      <c r="T10520" t="s">
        <v>42730</v>
      </c>
      <c r="U10520" t="s">
        <v>51682</v>
      </c>
      <c r="V10520" t="s">
        <v>55414</v>
      </c>
      <c r="W10520" t="s">
        <v>40731</v>
      </c>
      <c r="X10520" t="s">
        <v>41264</v>
      </c>
    </row>
    <row r="10521" spans="1:24">
      <c r="A10521">
        <f>HYPERLINK("https://www.philgeps.gov.ph/GEPSNONPILOT/Tender/SplashBidNoticeAbstractUI.aspx?menuIndex=3&amp;refID=7055428&amp;Result=3","7055428")</f>
        <v>0</v>
      </c>
      <c r="B10521" t="s">
        <v>2970</v>
      </c>
      <c r="C10521" t="s">
        <v>13434</v>
      </c>
      <c r="E10521" t="s">
        <v>25848</v>
      </c>
      <c r="F10521" t="s">
        <v>28669</v>
      </c>
      <c r="G10521" t="s">
        <v>28675</v>
      </c>
      <c r="H10521" t="s">
        <v>9998</v>
      </c>
      <c r="I10521" t="s">
        <v>5213</v>
      </c>
      <c r="J10521" t="s">
        <v>35326</v>
      </c>
      <c r="K10521" t="s">
        <v>37220</v>
      </c>
      <c r="M10521" t="s">
        <v>40732</v>
      </c>
      <c r="N10521" t="s">
        <v>41249</v>
      </c>
      <c r="O10521" t="s">
        <v>41250</v>
      </c>
      <c r="P10521">
        <v>0</v>
      </c>
      <c r="Q10521">
        <v>3</v>
      </c>
      <c r="R10521" t="s">
        <v>41263</v>
      </c>
      <c r="S10521" t="s">
        <v>41698</v>
      </c>
      <c r="T10521" t="s">
        <v>42739</v>
      </c>
      <c r="U10521" t="s">
        <v>51683</v>
      </c>
      <c r="W10521" t="s">
        <v>40732</v>
      </c>
      <c r="X10521" t="s">
        <v>41265</v>
      </c>
    </row>
    <row r="10522" spans="1:24">
      <c r="A10522">
        <f>HYPERLINK("https://www.philgeps.gov.ph/GEPSNONPILOT/Tender/SplashBidNoticeAbstractUI.aspx?menuIndex=3&amp;refID=7054947&amp;Result=3","7054947")</f>
        <v>0</v>
      </c>
      <c r="B10522" t="s">
        <v>974</v>
      </c>
      <c r="C10522" t="s">
        <v>13435</v>
      </c>
      <c r="D10522" t="s">
        <v>16621</v>
      </c>
      <c r="E10522" t="s">
        <v>25849</v>
      </c>
      <c r="F10522" t="s">
        <v>28669</v>
      </c>
      <c r="G10522" t="s">
        <v>28675</v>
      </c>
      <c r="H10522" t="s">
        <v>9998</v>
      </c>
      <c r="I10522" t="s">
        <v>28792</v>
      </c>
      <c r="J10522" t="s">
        <v>35327</v>
      </c>
      <c r="K10522" t="s">
        <v>37205</v>
      </c>
      <c r="M10522" t="s">
        <v>39760</v>
      </c>
      <c r="N10522" t="s">
        <v>41249</v>
      </c>
      <c r="O10522" t="s">
        <v>41250</v>
      </c>
      <c r="P10522">
        <v>0</v>
      </c>
      <c r="Q10522">
        <v>5</v>
      </c>
      <c r="R10522" t="s">
        <v>41263</v>
      </c>
      <c r="S10522" t="s">
        <v>41698</v>
      </c>
      <c r="T10522" t="s">
        <v>42691</v>
      </c>
      <c r="U10522" t="s">
        <v>48477</v>
      </c>
      <c r="W10522" t="s">
        <v>39760</v>
      </c>
      <c r="X10522" t="s">
        <v>41265</v>
      </c>
    </row>
    <row r="10523" spans="1:24">
      <c r="A10523">
        <f>HYPERLINK("https://www.philgeps.gov.ph/GEPSNONPILOT/Tender/SplashBidNoticeAbstractUI.aspx?menuIndex=3&amp;refID=7055702&amp;Result=3","7055702")</f>
        <v>0</v>
      </c>
      <c r="B10523" t="s">
        <v>2968</v>
      </c>
      <c r="C10523" t="s">
        <v>13436</v>
      </c>
      <c r="D10523" t="s">
        <v>16657</v>
      </c>
      <c r="E10523" t="s">
        <v>25850</v>
      </c>
      <c r="F10523" t="s">
        <v>28669</v>
      </c>
      <c r="G10523" t="s">
        <v>28675</v>
      </c>
      <c r="H10523" t="s">
        <v>9998</v>
      </c>
      <c r="I10523" t="s">
        <v>28713</v>
      </c>
      <c r="J10523" t="s">
        <v>30162</v>
      </c>
      <c r="K10523" t="s">
        <v>37209</v>
      </c>
      <c r="M10523" t="s">
        <v>40730</v>
      </c>
      <c r="N10523" t="s">
        <v>41249</v>
      </c>
      <c r="O10523" t="s">
        <v>41250</v>
      </c>
      <c r="Q10523">
        <v>16</v>
      </c>
      <c r="R10523" t="s">
        <v>41263</v>
      </c>
      <c r="S10523" t="s">
        <v>41703</v>
      </c>
      <c r="T10523" t="s">
        <v>42816</v>
      </c>
      <c r="U10523" t="s">
        <v>51684</v>
      </c>
      <c r="V10523" t="s">
        <v>55415</v>
      </c>
      <c r="W10523" t="s">
        <v>40730</v>
      </c>
      <c r="X10523" t="s">
        <v>41264</v>
      </c>
    </row>
    <row r="10524" spans="1:24">
      <c r="A10524">
        <f>HYPERLINK("https://www.philgeps.gov.ph/GEPSNONPILOT/Tender/SplashBidNoticeAbstractUI.aspx?menuIndex=3&amp;refID=7055701&amp;Result=3","7055701")</f>
        <v>0</v>
      </c>
      <c r="B10524" t="s">
        <v>597</v>
      </c>
      <c r="C10524" t="s">
        <v>13437</v>
      </c>
      <c r="D10524" t="s">
        <v>16615</v>
      </c>
      <c r="E10524" t="s">
        <v>25851</v>
      </c>
      <c r="F10524" t="s">
        <v>28669</v>
      </c>
      <c r="G10524" t="s">
        <v>28675</v>
      </c>
      <c r="H10524" t="s">
        <v>28686</v>
      </c>
      <c r="I10524" t="s">
        <v>28689</v>
      </c>
      <c r="J10524" t="s">
        <v>35328</v>
      </c>
      <c r="K10524" t="s">
        <v>37215</v>
      </c>
      <c r="M10524" t="s">
        <v>38096</v>
      </c>
      <c r="N10524" t="s">
        <v>41249</v>
      </c>
      <c r="O10524" t="s">
        <v>41250</v>
      </c>
      <c r="P10524">
        <v>0</v>
      </c>
      <c r="Q10524">
        <v>31</v>
      </c>
      <c r="R10524" t="s">
        <v>41263</v>
      </c>
      <c r="S10524" t="s">
        <v>41698</v>
      </c>
      <c r="T10524" t="s">
        <v>43021</v>
      </c>
      <c r="U10524" t="s">
        <v>51685</v>
      </c>
      <c r="W10524" t="s">
        <v>38096</v>
      </c>
      <c r="X10524" t="s">
        <v>41264</v>
      </c>
    </row>
    <row r="10525" spans="1:24">
      <c r="A10525">
        <f>HYPERLINK("https://www.philgeps.gov.ph/GEPSNONPILOT/Tender/SplashBidNoticeAbstractUI.aspx?menuIndex=3&amp;refID=7055694&amp;Result=3","7055694")</f>
        <v>0</v>
      </c>
      <c r="B10525" t="s">
        <v>2971</v>
      </c>
      <c r="C10525" t="s">
        <v>13438</v>
      </c>
      <c r="D10525" t="s">
        <v>16665</v>
      </c>
      <c r="E10525" t="s">
        <v>16869</v>
      </c>
      <c r="F10525" t="s">
        <v>28669</v>
      </c>
      <c r="G10525" t="s">
        <v>28675</v>
      </c>
      <c r="H10525" t="s">
        <v>28686</v>
      </c>
      <c r="I10525" t="s">
        <v>28689</v>
      </c>
      <c r="J10525" t="s">
        <v>29069</v>
      </c>
      <c r="K10525" t="s">
        <v>37285</v>
      </c>
      <c r="M10525" t="s">
        <v>40733</v>
      </c>
      <c r="N10525" t="s">
        <v>41249</v>
      </c>
      <c r="O10525" t="s">
        <v>41250</v>
      </c>
      <c r="P10525">
        <v>0</v>
      </c>
      <c r="Q10525">
        <v>0</v>
      </c>
      <c r="R10525" t="s">
        <v>41263</v>
      </c>
      <c r="S10525" t="s">
        <v>41698</v>
      </c>
      <c r="T10525" t="s">
        <v>42661</v>
      </c>
      <c r="U10525" t="s">
        <v>51686</v>
      </c>
      <c r="W10525" t="s">
        <v>40733</v>
      </c>
      <c r="X10525" t="s">
        <v>41264</v>
      </c>
    </row>
    <row r="10526" spans="1:24">
      <c r="A10526">
        <f>HYPERLINK("https://www.philgeps.gov.ph/GEPSNONPILOT/Tender/SplashBidNoticeAbstractUI.aspx?menuIndex=3&amp;refID=7055684&amp;Result=3","7055684")</f>
        <v>0</v>
      </c>
      <c r="B10526" t="s">
        <v>597</v>
      </c>
      <c r="C10526" t="s">
        <v>13439</v>
      </c>
      <c r="D10526" t="s">
        <v>16615</v>
      </c>
      <c r="E10526" t="s">
        <v>25852</v>
      </c>
      <c r="F10526" t="s">
        <v>28669</v>
      </c>
      <c r="G10526" t="s">
        <v>28675</v>
      </c>
      <c r="H10526" t="s">
        <v>28686</v>
      </c>
      <c r="I10526" t="s">
        <v>28689</v>
      </c>
      <c r="J10526" t="s">
        <v>35329</v>
      </c>
      <c r="K10526" t="s">
        <v>37213</v>
      </c>
      <c r="M10526" t="s">
        <v>38096</v>
      </c>
      <c r="N10526" t="s">
        <v>41249</v>
      </c>
      <c r="O10526" t="s">
        <v>41250</v>
      </c>
      <c r="P10526">
        <v>0</v>
      </c>
      <c r="Q10526">
        <v>34</v>
      </c>
      <c r="R10526" t="s">
        <v>41263</v>
      </c>
      <c r="S10526" t="s">
        <v>41698</v>
      </c>
      <c r="T10526" t="s">
        <v>43021</v>
      </c>
      <c r="U10526" t="s">
        <v>51687</v>
      </c>
      <c r="W10526" t="s">
        <v>38096</v>
      </c>
      <c r="X10526" t="s">
        <v>41264</v>
      </c>
    </row>
    <row r="10527" spans="1:24">
      <c r="A10527">
        <f>HYPERLINK("https://www.philgeps.gov.ph/GEPSNONPILOT/Tender/SplashBidNoticeAbstractUI.aspx?menuIndex=3&amp;refID=7054771&amp;Result=3","7054771")</f>
        <v>0</v>
      </c>
      <c r="B10527" t="s">
        <v>2972</v>
      </c>
      <c r="C10527" t="s">
        <v>13440</v>
      </c>
      <c r="D10527" t="s">
        <v>16666</v>
      </c>
      <c r="E10527" t="s">
        <v>25853</v>
      </c>
      <c r="F10527" t="s">
        <v>28669</v>
      </c>
      <c r="G10527" t="s">
        <v>28675</v>
      </c>
      <c r="H10527" t="s">
        <v>28686</v>
      </c>
      <c r="I10527" t="s">
        <v>28689</v>
      </c>
      <c r="J10527" t="s">
        <v>35330</v>
      </c>
      <c r="K10527" t="s">
        <v>37305</v>
      </c>
      <c r="M10527" t="s">
        <v>40734</v>
      </c>
      <c r="N10527" t="s">
        <v>41249</v>
      </c>
      <c r="O10527" t="s">
        <v>41250</v>
      </c>
      <c r="P10527">
        <v>0</v>
      </c>
      <c r="Q10527">
        <v>0</v>
      </c>
      <c r="R10527" t="s">
        <v>41263</v>
      </c>
      <c r="S10527" t="s">
        <v>41698</v>
      </c>
      <c r="T10527" t="s">
        <v>42764</v>
      </c>
      <c r="U10527" t="s">
        <v>51688</v>
      </c>
      <c r="V10527" t="s">
        <v>55416</v>
      </c>
      <c r="W10527" t="s">
        <v>40734</v>
      </c>
      <c r="X10527" t="s">
        <v>41265</v>
      </c>
    </row>
    <row r="10528" spans="1:24">
      <c r="A10528">
        <f>HYPERLINK("https://www.philgeps.gov.ph/GEPSNONPILOT/Tender/SplashBidNoticeAbstractUI.aspx?menuIndex=3&amp;refID=7054743&amp;Result=3","7054743")</f>
        <v>0</v>
      </c>
      <c r="B10528" t="s">
        <v>2972</v>
      </c>
      <c r="C10528" t="s">
        <v>13441</v>
      </c>
      <c r="D10528" t="s">
        <v>16666</v>
      </c>
      <c r="E10528" t="s">
        <v>25854</v>
      </c>
      <c r="F10528" t="s">
        <v>28669</v>
      </c>
      <c r="G10528" t="s">
        <v>28675</v>
      </c>
      <c r="H10528" t="s">
        <v>28686</v>
      </c>
      <c r="I10528" t="s">
        <v>28689</v>
      </c>
      <c r="J10528" t="s">
        <v>35331</v>
      </c>
      <c r="K10528" t="s">
        <v>37305</v>
      </c>
      <c r="M10528" t="s">
        <v>40734</v>
      </c>
      <c r="N10528" t="s">
        <v>41249</v>
      </c>
      <c r="O10528" t="s">
        <v>41250</v>
      </c>
      <c r="P10528">
        <v>0</v>
      </c>
      <c r="Q10528">
        <v>0</v>
      </c>
      <c r="R10528" t="s">
        <v>41263</v>
      </c>
      <c r="S10528" t="s">
        <v>41698</v>
      </c>
      <c r="T10528" t="s">
        <v>42764</v>
      </c>
      <c r="U10528" t="s">
        <v>51688</v>
      </c>
      <c r="V10528" t="s">
        <v>55417</v>
      </c>
      <c r="W10528" t="s">
        <v>40734</v>
      </c>
      <c r="X10528" t="s">
        <v>41265</v>
      </c>
    </row>
    <row r="10529" spans="1:24">
      <c r="A10529">
        <f>HYPERLINK("https://www.philgeps.gov.ph/GEPSNONPILOT/Tender/SplashBidNoticeAbstractUI.aspx?menuIndex=3&amp;refID=7055712&amp;Result=3","7055712")</f>
        <v>0</v>
      </c>
      <c r="B10529" t="s">
        <v>597</v>
      </c>
      <c r="C10529" t="s">
        <v>13442</v>
      </c>
      <c r="D10529" t="s">
        <v>16615</v>
      </c>
      <c r="E10529" t="s">
        <v>25855</v>
      </c>
      <c r="F10529" t="s">
        <v>28669</v>
      </c>
      <c r="G10529" t="s">
        <v>28675</v>
      </c>
      <c r="H10529" t="s">
        <v>28686</v>
      </c>
      <c r="I10529" t="s">
        <v>28689</v>
      </c>
      <c r="J10529" t="s">
        <v>35332</v>
      </c>
      <c r="K10529" t="s">
        <v>37213</v>
      </c>
      <c r="M10529" t="s">
        <v>38096</v>
      </c>
      <c r="N10529" t="s">
        <v>41249</v>
      </c>
      <c r="O10529" t="s">
        <v>41250</v>
      </c>
      <c r="P10529">
        <v>0</v>
      </c>
      <c r="Q10529">
        <v>33</v>
      </c>
      <c r="R10529" t="s">
        <v>41263</v>
      </c>
      <c r="S10529" t="s">
        <v>41698</v>
      </c>
      <c r="T10529" t="s">
        <v>43021</v>
      </c>
      <c r="U10529" t="s">
        <v>51689</v>
      </c>
      <c r="W10529" t="s">
        <v>38096</v>
      </c>
      <c r="X10529" t="s">
        <v>41264</v>
      </c>
    </row>
    <row r="10530" spans="1:24">
      <c r="A10530">
        <f>HYPERLINK("https://www.philgeps.gov.ph/GEPSNONPILOT/Tender/SplashBidNoticeAbstractUI.aspx?menuIndex=3&amp;refID=7055890&amp;Result=3","7055890")</f>
        <v>0</v>
      </c>
      <c r="B10530" t="s">
        <v>2973</v>
      </c>
      <c r="C10530" t="s">
        <v>13443</v>
      </c>
      <c r="D10530" t="s">
        <v>16615</v>
      </c>
      <c r="E10530" t="s">
        <v>25856</v>
      </c>
      <c r="F10530" t="s">
        <v>28669</v>
      </c>
      <c r="G10530" t="s">
        <v>28675</v>
      </c>
      <c r="H10530" t="s">
        <v>9998</v>
      </c>
      <c r="I10530" t="s">
        <v>28687</v>
      </c>
      <c r="J10530" t="s">
        <v>29792</v>
      </c>
      <c r="K10530" t="s">
        <v>37206</v>
      </c>
      <c r="M10530" t="s">
        <v>40735</v>
      </c>
      <c r="N10530" t="s">
        <v>41249</v>
      </c>
      <c r="O10530" t="s">
        <v>41250</v>
      </c>
      <c r="Q10530">
        <v>5</v>
      </c>
      <c r="R10530" t="s">
        <v>41263</v>
      </c>
      <c r="S10530" t="s">
        <v>41704</v>
      </c>
      <c r="T10530" t="s">
        <v>42731</v>
      </c>
      <c r="U10530" t="s">
        <v>51690</v>
      </c>
      <c r="W10530" t="s">
        <v>40735</v>
      </c>
      <c r="X10530" t="s">
        <v>41264</v>
      </c>
    </row>
    <row r="10531" spans="1:24">
      <c r="A10531">
        <f>HYPERLINK("https://www.philgeps.gov.ph/GEPSNONPILOT/Tender/SplashBidNoticeAbstractUI.aspx?menuIndex=3&amp;refID=7055874&amp;Result=3","7055874")</f>
        <v>0</v>
      </c>
      <c r="B10531" t="s">
        <v>2974</v>
      </c>
      <c r="C10531" t="s">
        <v>13444</v>
      </c>
      <c r="D10531" t="s">
        <v>16608</v>
      </c>
      <c r="E10531" t="s">
        <v>25857</v>
      </c>
      <c r="F10531" t="s">
        <v>28669</v>
      </c>
      <c r="G10531" t="s">
        <v>28675</v>
      </c>
      <c r="H10531" t="s">
        <v>28686</v>
      </c>
      <c r="I10531" t="s">
        <v>28689</v>
      </c>
      <c r="J10531" t="s">
        <v>35333</v>
      </c>
      <c r="K10531" t="s">
        <v>37211</v>
      </c>
      <c r="M10531" t="s">
        <v>40736</v>
      </c>
      <c r="N10531" t="s">
        <v>41249</v>
      </c>
      <c r="O10531" t="s">
        <v>41250</v>
      </c>
      <c r="P10531">
        <v>0</v>
      </c>
      <c r="Q10531">
        <v>4</v>
      </c>
      <c r="R10531" t="s">
        <v>41263</v>
      </c>
      <c r="S10531" t="s">
        <v>41698</v>
      </c>
      <c r="T10531" t="s">
        <v>42664</v>
      </c>
      <c r="U10531" t="s">
        <v>51691</v>
      </c>
      <c r="V10531" t="s">
        <v>55418</v>
      </c>
      <c r="W10531" t="s">
        <v>40736</v>
      </c>
      <c r="X10531" t="s">
        <v>41264</v>
      </c>
    </row>
    <row r="10532" spans="1:24">
      <c r="A10532">
        <f>HYPERLINK("https://www.philgeps.gov.ph/GEPSNONPILOT/Tender/SplashBidNoticeAbstractUI.aspx?menuIndex=3&amp;refID=7055651&amp;Result=3","7055651")</f>
        <v>0</v>
      </c>
      <c r="B10532" t="s">
        <v>2969</v>
      </c>
      <c r="C10532" t="s">
        <v>13445</v>
      </c>
      <c r="D10532" t="s">
        <v>16617</v>
      </c>
      <c r="E10532" t="s">
        <v>25858</v>
      </c>
      <c r="F10532" t="s">
        <v>28669</v>
      </c>
      <c r="G10532" t="s">
        <v>28676</v>
      </c>
      <c r="H10532" t="s">
        <v>9998</v>
      </c>
      <c r="I10532" t="s">
        <v>28706</v>
      </c>
      <c r="J10532" t="s">
        <v>28836</v>
      </c>
      <c r="K10532" t="s">
        <v>37206</v>
      </c>
      <c r="M10532" t="s">
        <v>40731</v>
      </c>
      <c r="N10532" t="s">
        <v>41249</v>
      </c>
      <c r="O10532" t="s">
        <v>41250</v>
      </c>
      <c r="P10532">
        <v>0</v>
      </c>
      <c r="Q10532">
        <v>5</v>
      </c>
      <c r="R10532" t="s">
        <v>41263</v>
      </c>
      <c r="S10532" t="s">
        <v>41698</v>
      </c>
      <c r="T10532" t="s">
        <v>42730</v>
      </c>
      <c r="U10532" t="s">
        <v>51692</v>
      </c>
      <c r="V10532" t="s">
        <v>55419</v>
      </c>
      <c r="W10532" t="s">
        <v>40731</v>
      </c>
      <c r="X10532" t="s">
        <v>41264</v>
      </c>
    </row>
    <row r="10533" spans="1:24">
      <c r="A10533">
        <f>HYPERLINK("https://www.philgeps.gov.ph/GEPSNONPILOT/Tender/SplashBidNoticeAbstractUI.aspx?menuIndex=3&amp;refID=7055865&amp;Result=3","7055865")</f>
        <v>0</v>
      </c>
      <c r="B10533" t="s">
        <v>2968</v>
      </c>
      <c r="C10533" t="s">
        <v>13446</v>
      </c>
      <c r="D10533" t="s">
        <v>16657</v>
      </c>
      <c r="E10533" t="s">
        <v>25859</v>
      </c>
      <c r="F10533" t="s">
        <v>28669</v>
      </c>
      <c r="G10533" t="s">
        <v>28675</v>
      </c>
      <c r="H10533" t="s">
        <v>9998</v>
      </c>
      <c r="I10533" t="s">
        <v>28714</v>
      </c>
      <c r="J10533" t="s">
        <v>35334</v>
      </c>
      <c r="K10533" t="s">
        <v>37209</v>
      </c>
      <c r="M10533" t="s">
        <v>40730</v>
      </c>
      <c r="N10533" t="s">
        <v>41249</v>
      </c>
      <c r="O10533" t="s">
        <v>41250</v>
      </c>
      <c r="P10533">
        <v>0</v>
      </c>
      <c r="Q10533">
        <v>10</v>
      </c>
      <c r="R10533" t="s">
        <v>41263</v>
      </c>
      <c r="S10533" t="s">
        <v>41698</v>
      </c>
      <c r="T10533" t="s">
        <v>42816</v>
      </c>
      <c r="U10533" t="s">
        <v>51693</v>
      </c>
      <c r="V10533" t="s">
        <v>55420</v>
      </c>
      <c r="W10533" t="s">
        <v>40730</v>
      </c>
      <c r="X10533" t="s">
        <v>41264</v>
      </c>
    </row>
    <row r="10534" spans="1:24">
      <c r="A10534">
        <f>HYPERLINK("https://www.philgeps.gov.ph/GEPSNONPILOT/Tender/SplashBidNoticeAbstractUI.aspx?menuIndex=3&amp;refID=7055854&amp;Result=3","7055854")</f>
        <v>0</v>
      </c>
      <c r="B10534" t="s">
        <v>2974</v>
      </c>
      <c r="C10534" t="s">
        <v>13447</v>
      </c>
      <c r="D10534" t="s">
        <v>16608</v>
      </c>
      <c r="E10534" t="s">
        <v>25860</v>
      </c>
      <c r="F10534" t="s">
        <v>28669</v>
      </c>
      <c r="G10534" t="s">
        <v>28675</v>
      </c>
      <c r="H10534" t="s">
        <v>9998</v>
      </c>
      <c r="I10534" t="s">
        <v>28689</v>
      </c>
      <c r="J10534" t="s">
        <v>35335</v>
      </c>
      <c r="K10534" t="s">
        <v>37215</v>
      </c>
      <c r="M10534" t="s">
        <v>40736</v>
      </c>
      <c r="N10534" t="s">
        <v>41249</v>
      </c>
      <c r="O10534" t="s">
        <v>41250</v>
      </c>
      <c r="P10534">
        <v>0</v>
      </c>
      <c r="Q10534">
        <v>3</v>
      </c>
      <c r="R10534" t="s">
        <v>41263</v>
      </c>
      <c r="S10534" t="s">
        <v>41698</v>
      </c>
      <c r="T10534" t="s">
        <v>42664</v>
      </c>
      <c r="U10534" t="s">
        <v>51694</v>
      </c>
      <c r="V10534" t="s">
        <v>55418</v>
      </c>
      <c r="W10534" t="s">
        <v>40736</v>
      </c>
      <c r="X10534" t="s">
        <v>41264</v>
      </c>
    </row>
    <row r="10535" spans="1:24">
      <c r="A10535">
        <f>HYPERLINK("https://www.philgeps.gov.ph/GEPSNONPILOT/Tender/SplashBidNoticeAbstractUI.aspx?menuIndex=3&amp;refID=7055837&amp;Result=3","7055837")</f>
        <v>0</v>
      </c>
      <c r="B10535" t="s">
        <v>2968</v>
      </c>
      <c r="C10535" t="s">
        <v>13448</v>
      </c>
      <c r="D10535" t="s">
        <v>16657</v>
      </c>
      <c r="E10535" t="s">
        <v>25861</v>
      </c>
      <c r="F10535" t="s">
        <v>28669</v>
      </c>
      <c r="G10535" t="s">
        <v>28675</v>
      </c>
      <c r="H10535" t="s">
        <v>9998</v>
      </c>
      <c r="I10535" t="s">
        <v>28714</v>
      </c>
      <c r="J10535" t="s">
        <v>29047</v>
      </c>
      <c r="K10535" t="s">
        <v>37209</v>
      </c>
      <c r="M10535" t="s">
        <v>40730</v>
      </c>
      <c r="N10535" t="s">
        <v>41249</v>
      </c>
      <c r="O10535" t="s">
        <v>41250</v>
      </c>
      <c r="P10535">
        <v>0</v>
      </c>
      <c r="Q10535">
        <v>42</v>
      </c>
      <c r="R10535" t="s">
        <v>41263</v>
      </c>
      <c r="S10535" t="s">
        <v>41698</v>
      </c>
      <c r="T10535" t="s">
        <v>42816</v>
      </c>
      <c r="U10535" t="s">
        <v>51695</v>
      </c>
      <c r="V10535" t="s">
        <v>55420</v>
      </c>
      <c r="W10535" t="s">
        <v>40730</v>
      </c>
      <c r="X10535" t="s">
        <v>41264</v>
      </c>
    </row>
    <row r="10536" spans="1:24">
      <c r="A10536">
        <f>HYPERLINK("https://www.philgeps.gov.ph/GEPSNONPILOT/Tender/SplashBidNoticeAbstractUI.aspx?menuIndex=3&amp;refID=7055717&amp;Result=3","7055717")</f>
        <v>0</v>
      </c>
      <c r="B10536" t="s">
        <v>2968</v>
      </c>
      <c r="C10536" t="s">
        <v>13449</v>
      </c>
      <c r="D10536" t="s">
        <v>16657</v>
      </c>
      <c r="E10536" t="s">
        <v>25862</v>
      </c>
      <c r="F10536" t="s">
        <v>28669</v>
      </c>
      <c r="G10536" t="s">
        <v>28675</v>
      </c>
      <c r="H10536" t="s">
        <v>9998</v>
      </c>
      <c r="I10536" t="s">
        <v>28713</v>
      </c>
      <c r="J10536" t="s">
        <v>29943</v>
      </c>
      <c r="K10536" t="s">
        <v>37209</v>
      </c>
      <c r="M10536" t="s">
        <v>40730</v>
      </c>
      <c r="N10536" t="s">
        <v>41249</v>
      </c>
      <c r="O10536" t="s">
        <v>41250</v>
      </c>
      <c r="Q10536">
        <v>28</v>
      </c>
      <c r="R10536" t="s">
        <v>41263</v>
      </c>
      <c r="S10536" t="s">
        <v>41705</v>
      </c>
      <c r="T10536" t="s">
        <v>43117</v>
      </c>
      <c r="U10536" t="s">
        <v>51696</v>
      </c>
      <c r="V10536" t="s">
        <v>55421</v>
      </c>
      <c r="W10536" t="s">
        <v>40730</v>
      </c>
      <c r="X10536" t="s">
        <v>41264</v>
      </c>
    </row>
    <row r="10537" spans="1:24">
      <c r="A10537">
        <f>HYPERLINK("https://www.philgeps.gov.ph/GEPSNONPILOT/Tender/SplashBidNoticeAbstractUI.aspx?menuIndex=3&amp;refID=7055883&amp;Result=3","7055883")</f>
        <v>0</v>
      </c>
      <c r="B10537" t="s">
        <v>849</v>
      </c>
      <c r="C10537" t="s">
        <v>13450</v>
      </c>
      <c r="D10537" t="s">
        <v>16626</v>
      </c>
      <c r="E10537" t="s">
        <v>24684</v>
      </c>
      <c r="F10537" t="s">
        <v>28669</v>
      </c>
      <c r="G10537" t="s">
        <v>28675</v>
      </c>
      <c r="H10537" t="s">
        <v>9998</v>
      </c>
      <c r="I10537" t="s">
        <v>28687</v>
      </c>
      <c r="J10537" t="s">
        <v>29112</v>
      </c>
      <c r="K10537" t="s">
        <v>37209</v>
      </c>
      <c r="M10537" t="s">
        <v>38365</v>
      </c>
      <c r="N10537" t="s">
        <v>41249</v>
      </c>
      <c r="O10537" t="s">
        <v>41250</v>
      </c>
      <c r="P10537">
        <v>0</v>
      </c>
      <c r="Q10537">
        <v>2</v>
      </c>
      <c r="R10537" t="s">
        <v>41263</v>
      </c>
      <c r="S10537" t="s">
        <v>41698</v>
      </c>
      <c r="T10537" t="s">
        <v>42736</v>
      </c>
      <c r="U10537" t="s">
        <v>48721</v>
      </c>
      <c r="W10537" t="s">
        <v>38365</v>
      </c>
      <c r="X10537" t="s">
        <v>41264</v>
      </c>
    </row>
    <row r="10538" spans="1:24">
      <c r="A10538">
        <f>HYPERLINK("https://www.philgeps.gov.ph/GEPSNONPILOT/Tender/SplashBidNoticeAbstractUI.aspx?menuIndex=3&amp;refID=7054608&amp;Result=3","7054608")</f>
        <v>0</v>
      </c>
      <c r="B10538" t="s">
        <v>2968</v>
      </c>
      <c r="C10538" t="s">
        <v>13451</v>
      </c>
      <c r="E10538" t="s">
        <v>25863</v>
      </c>
      <c r="F10538" t="s">
        <v>28669</v>
      </c>
      <c r="G10538" t="s">
        <v>28675</v>
      </c>
      <c r="H10538" t="s">
        <v>9998</v>
      </c>
      <c r="I10538" t="s">
        <v>28714</v>
      </c>
      <c r="J10538" t="s">
        <v>34378</v>
      </c>
      <c r="K10538" t="s">
        <v>37209</v>
      </c>
      <c r="M10538" t="s">
        <v>40730</v>
      </c>
      <c r="N10538" t="s">
        <v>41249</v>
      </c>
      <c r="O10538" t="s">
        <v>41250</v>
      </c>
      <c r="Q10538">
        <v>17</v>
      </c>
      <c r="R10538" t="s">
        <v>41263</v>
      </c>
      <c r="S10538" t="s">
        <v>41706</v>
      </c>
      <c r="T10538" t="s">
        <v>42816</v>
      </c>
      <c r="U10538" t="s">
        <v>51697</v>
      </c>
      <c r="V10538" t="s">
        <v>55422</v>
      </c>
      <c r="W10538" t="s">
        <v>40730</v>
      </c>
      <c r="X10538" t="s">
        <v>41265</v>
      </c>
    </row>
    <row r="10539" spans="1:24">
      <c r="A10539">
        <f>HYPERLINK("https://www.philgeps.gov.ph/GEPSNONPILOT/Tender/SplashBidNoticeAbstractUI.aspx?menuIndex=3&amp;refID=7055756&amp;Result=3","7055756")</f>
        <v>0</v>
      </c>
      <c r="B10539" t="s">
        <v>2547</v>
      </c>
      <c r="C10539" t="s">
        <v>13452</v>
      </c>
      <c r="D10539" t="s">
        <v>16654</v>
      </c>
      <c r="E10539" t="s">
        <v>25864</v>
      </c>
      <c r="F10539" t="s">
        <v>28669</v>
      </c>
      <c r="G10539" t="s">
        <v>28675</v>
      </c>
      <c r="H10539" t="s">
        <v>28686</v>
      </c>
      <c r="I10539" t="s">
        <v>28689</v>
      </c>
      <c r="J10539" t="s">
        <v>35336</v>
      </c>
      <c r="K10539" t="s">
        <v>37447</v>
      </c>
      <c r="M10539" t="s">
        <v>40239</v>
      </c>
      <c r="N10539" t="s">
        <v>41249</v>
      </c>
      <c r="O10539" t="s">
        <v>41250</v>
      </c>
      <c r="P10539">
        <v>0</v>
      </c>
      <c r="Q10539">
        <v>6</v>
      </c>
      <c r="R10539" t="s">
        <v>41263</v>
      </c>
      <c r="S10539" t="s">
        <v>41698</v>
      </c>
      <c r="T10539" t="s">
        <v>42764</v>
      </c>
      <c r="U10539" t="s">
        <v>49954</v>
      </c>
      <c r="W10539" t="s">
        <v>40239</v>
      </c>
      <c r="X10539" t="s">
        <v>41264</v>
      </c>
    </row>
    <row r="10540" spans="1:24">
      <c r="A10540">
        <f>HYPERLINK("https://www.philgeps.gov.ph/GEPSNONPILOT/Tender/SplashBidNoticeAbstractUI.aspx?menuIndex=3&amp;refID=7055906&amp;Result=3","7055906")</f>
        <v>0</v>
      </c>
      <c r="B10540" t="s">
        <v>561</v>
      </c>
      <c r="C10540" t="s">
        <v>3718</v>
      </c>
      <c r="E10540" t="s">
        <v>25865</v>
      </c>
      <c r="F10540" t="s">
        <v>28669</v>
      </c>
      <c r="G10540" t="s">
        <v>28675</v>
      </c>
      <c r="H10540" t="s">
        <v>9998</v>
      </c>
      <c r="I10540" t="s">
        <v>3718</v>
      </c>
      <c r="J10540" t="s">
        <v>35337</v>
      </c>
      <c r="K10540" t="s">
        <v>37209</v>
      </c>
      <c r="M10540" t="s">
        <v>38054</v>
      </c>
      <c r="N10540" t="s">
        <v>41249</v>
      </c>
      <c r="O10540" t="s">
        <v>41250</v>
      </c>
      <c r="P10540">
        <v>0</v>
      </c>
      <c r="Q10540">
        <v>0</v>
      </c>
      <c r="R10540" t="s">
        <v>41263</v>
      </c>
      <c r="S10540" t="s">
        <v>41698</v>
      </c>
      <c r="T10540" t="s">
        <v>42817</v>
      </c>
      <c r="U10540" t="s">
        <v>51698</v>
      </c>
      <c r="W10540" t="s">
        <v>38054</v>
      </c>
      <c r="X10540" t="s">
        <v>41264</v>
      </c>
    </row>
    <row r="10541" spans="1:24">
      <c r="A10541">
        <f>HYPERLINK("https://www.philgeps.gov.ph/GEPSNONPILOT/Tender/SplashBidNoticeAbstractUI.aspx?menuIndex=3&amp;refID=7055901&amp;Result=3","7055901")</f>
        <v>0</v>
      </c>
      <c r="B10541" t="s">
        <v>2974</v>
      </c>
      <c r="C10541" t="s">
        <v>13453</v>
      </c>
      <c r="D10541" t="s">
        <v>16608</v>
      </c>
      <c r="E10541" t="s">
        <v>25866</v>
      </c>
      <c r="F10541" t="s">
        <v>28669</v>
      </c>
      <c r="G10541" t="s">
        <v>28675</v>
      </c>
      <c r="H10541" t="s">
        <v>28686</v>
      </c>
      <c r="I10541" t="s">
        <v>28689</v>
      </c>
      <c r="J10541" t="s">
        <v>35338</v>
      </c>
      <c r="K10541" t="s">
        <v>37294</v>
      </c>
      <c r="M10541" t="s">
        <v>40736</v>
      </c>
      <c r="N10541" t="s">
        <v>41249</v>
      </c>
      <c r="O10541" t="s">
        <v>41250</v>
      </c>
      <c r="P10541">
        <v>0</v>
      </c>
      <c r="Q10541">
        <v>3</v>
      </c>
      <c r="R10541" t="s">
        <v>41263</v>
      </c>
      <c r="S10541" t="s">
        <v>41698</v>
      </c>
      <c r="T10541" t="s">
        <v>42691</v>
      </c>
      <c r="U10541" t="s">
        <v>51699</v>
      </c>
      <c r="V10541" t="s">
        <v>55418</v>
      </c>
      <c r="W10541" t="s">
        <v>40736</v>
      </c>
      <c r="X10541" t="s">
        <v>41264</v>
      </c>
    </row>
    <row r="10542" spans="1:24">
      <c r="A10542">
        <f>HYPERLINK("https://www.philgeps.gov.ph/GEPSNONPILOT/Tender/SplashBidNoticeAbstractUI.aspx?menuIndex=3&amp;refID=7055894&amp;Result=3","7055894")</f>
        <v>0</v>
      </c>
      <c r="B10542" t="s">
        <v>2974</v>
      </c>
      <c r="C10542" t="s">
        <v>13454</v>
      </c>
      <c r="D10542" t="s">
        <v>16608</v>
      </c>
      <c r="E10542" t="s">
        <v>25867</v>
      </c>
      <c r="F10542" t="s">
        <v>28669</v>
      </c>
      <c r="G10542" t="s">
        <v>28675</v>
      </c>
      <c r="H10542" t="s">
        <v>9998</v>
      </c>
      <c r="I10542" t="s">
        <v>28689</v>
      </c>
      <c r="J10542" t="s">
        <v>35339</v>
      </c>
      <c r="K10542" t="s">
        <v>37212</v>
      </c>
      <c r="M10542" t="s">
        <v>40736</v>
      </c>
      <c r="N10542" t="s">
        <v>41249</v>
      </c>
      <c r="O10542" t="s">
        <v>41250</v>
      </c>
      <c r="P10542">
        <v>0</v>
      </c>
      <c r="Q10542">
        <v>6</v>
      </c>
      <c r="R10542" t="s">
        <v>41263</v>
      </c>
      <c r="S10542" t="s">
        <v>41698</v>
      </c>
      <c r="T10542" t="s">
        <v>42696</v>
      </c>
      <c r="U10542" t="s">
        <v>51700</v>
      </c>
      <c r="V10542" t="s">
        <v>55418</v>
      </c>
      <c r="W10542" t="s">
        <v>40736</v>
      </c>
      <c r="X10542" t="s">
        <v>41264</v>
      </c>
    </row>
    <row r="10543" spans="1:24">
      <c r="A10543">
        <f>HYPERLINK("https://www.philgeps.gov.ph/GEPSNONPILOT/Tender/SplashBidNoticeAbstractUI.aspx?menuIndex=3&amp;refID=7055770&amp;Result=3","7055770")</f>
        <v>0</v>
      </c>
      <c r="B10543" t="s">
        <v>2968</v>
      </c>
      <c r="C10543" t="s">
        <v>13455</v>
      </c>
      <c r="D10543" t="s">
        <v>16657</v>
      </c>
      <c r="E10543" t="s">
        <v>25868</v>
      </c>
      <c r="F10543" t="s">
        <v>28669</v>
      </c>
      <c r="G10543" t="s">
        <v>28675</v>
      </c>
      <c r="H10543" t="s">
        <v>9998</v>
      </c>
      <c r="I10543" t="s">
        <v>28693</v>
      </c>
      <c r="J10543" t="s">
        <v>35340</v>
      </c>
      <c r="K10543" t="s">
        <v>37209</v>
      </c>
      <c r="M10543" t="s">
        <v>40730</v>
      </c>
      <c r="N10543" t="s">
        <v>41249</v>
      </c>
      <c r="O10543" t="s">
        <v>41250</v>
      </c>
      <c r="P10543">
        <v>0</v>
      </c>
      <c r="Q10543">
        <v>44</v>
      </c>
      <c r="R10543" t="s">
        <v>41263</v>
      </c>
      <c r="S10543" t="s">
        <v>41698</v>
      </c>
      <c r="T10543" t="s">
        <v>42816</v>
      </c>
      <c r="U10543" t="s">
        <v>51701</v>
      </c>
      <c r="V10543" t="s">
        <v>55423</v>
      </c>
      <c r="W10543" t="s">
        <v>40730</v>
      </c>
      <c r="X10543" t="s">
        <v>41264</v>
      </c>
    </row>
    <row r="10544" spans="1:24">
      <c r="A10544">
        <f>HYPERLINK("https://www.philgeps.gov.ph/GEPSNONPILOT/Tender/SplashBidNoticeAbstractUI.aspx?menuIndex=3&amp;refID=7055752&amp;Result=3","7055752")</f>
        <v>0</v>
      </c>
      <c r="B10544" t="s">
        <v>2854</v>
      </c>
      <c r="C10544" t="s">
        <v>13456</v>
      </c>
      <c r="D10544" t="s">
        <v>16639</v>
      </c>
      <c r="E10544" t="s">
        <v>21101</v>
      </c>
      <c r="F10544" t="s">
        <v>28669</v>
      </c>
      <c r="G10544" t="s">
        <v>28675</v>
      </c>
      <c r="H10544" t="s">
        <v>9998</v>
      </c>
      <c r="I10544" t="s">
        <v>3658</v>
      </c>
      <c r="J10544" t="s">
        <v>31687</v>
      </c>
      <c r="K10544" t="s">
        <v>37206</v>
      </c>
      <c r="M10544" t="s">
        <v>40592</v>
      </c>
      <c r="N10544" t="s">
        <v>41249</v>
      </c>
      <c r="O10544" t="s">
        <v>41250</v>
      </c>
      <c r="P10544">
        <v>0</v>
      </c>
      <c r="Q10544">
        <v>0</v>
      </c>
      <c r="R10544" t="s">
        <v>41263</v>
      </c>
      <c r="S10544" t="s">
        <v>41698</v>
      </c>
      <c r="T10544" t="s">
        <v>42759</v>
      </c>
      <c r="U10544" t="s">
        <v>51702</v>
      </c>
      <c r="W10544" t="s">
        <v>40592</v>
      </c>
      <c r="X10544" t="s">
        <v>41264</v>
      </c>
    </row>
    <row r="10545" spans="1:24">
      <c r="A10545">
        <f>HYPERLINK("https://www.philgeps.gov.ph/GEPSNONPILOT/Tender/SplashBidNoticeAbstractUI.aspx?menuIndex=3&amp;refID=7055748&amp;Result=3","7055748")</f>
        <v>0</v>
      </c>
      <c r="B10545" t="s">
        <v>2547</v>
      </c>
      <c r="C10545" t="s">
        <v>13457</v>
      </c>
      <c r="D10545" t="s">
        <v>16654</v>
      </c>
      <c r="E10545" t="s">
        <v>25869</v>
      </c>
      <c r="F10545" t="s">
        <v>28669</v>
      </c>
      <c r="G10545" t="s">
        <v>28675</v>
      </c>
      <c r="H10545" t="s">
        <v>28686</v>
      </c>
      <c r="I10545" t="s">
        <v>28689</v>
      </c>
      <c r="J10545" t="s">
        <v>35341</v>
      </c>
      <c r="K10545" t="s">
        <v>37211</v>
      </c>
      <c r="M10545" t="s">
        <v>40239</v>
      </c>
      <c r="N10545" t="s">
        <v>41249</v>
      </c>
      <c r="O10545" t="s">
        <v>41250</v>
      </c>
      <c r="P10545">
        <v>0</v>
      </c>
      <c r="Q10545">
        <v>6</v>
      </c>
      <c r="R10545" t="s">
        <v>41263</v>
      </c>
      <c r="S10545" t="s">
        <v>41698</v>
      </c>
      <c r="T10545" t="s">
        <v>42764</v>
      </c>
      <c r="U10545" t="s">
        <v>49954</v>
      </c>
      <c r="W10545" t="s">
        <v>40239</v>
      </c>
      <c r="X10545" t="s">
        <v>41264</v>
      </c>
    </row>
    <row r="10546" spans="1:24">
      <c r="A10546">
        <f>HYPERLINK("https://www.philgeps.gov.ph/GEPSNONPILOT/Tender/SplashBidNoticeAbstractUI.aspx?menuIndex=3&amp;refID=7055742&amp;Result=3","7055742")</f>
        <v>0</v>
      </c>
      <c r="B10546" t="s">
        <v>2547</v>
      </c>
      <c r="C10546" t="s">
        <v>13458</v>
      </c>
      <c r="D10546" t="s">
        <v>16654</v>
      </c>
      <c r="E10546" t="s">
        <v>25870</v>
      </c>
      <c r="F10546" t="s">
        <v>28669</v>
      </c>
      <c r="G10546" t="s">
        <v>28675</v>
      </c>
      <c r="H10546" t="s">
        <v>28686</v>
      </c>
      <c r="I10546" t="s">
        <v>28689</v>
      </c>
      <c r="J10546" t="s">
        <v>28881</v>
      </c>
      <c r="K10546" t="s">
        <v>37294</v>
      </c>
      <c r="M10546" t="s">
        <v>40239</v>
      </c>
      <c r="N10546" t="s">
        <v>41249</v>
      </c>
      <c r="O10546" t="s">
        <v>41250</v>
      </c>
      <c r="P10546">
        <v>0</v>
      </c>
      <c r="Q10546">
        <v>2</v>
      </c>
      <c r="R10546" t="s">
        <v>41263</v>
      </c>
      <c r="S10546" t="s">
        <v>41698</v>
      </c>
      <c r="T10546" t="s">
        <v>42764</v>
      </c>
      <c r="U10546" t="s">
        <v>49954</v>
      </c>
      <c r="W10546" t="s">
        <v>40239</v>
      </c>
      <c r="X10546" t="s">
        <v>41264</v>
      </c>
    </row>
    <row r="10547" spans="1:24">
      <c r="A10547">
        <f>HYPERLINK("https://www.philgeps.gov.ph/GEPSNONPILOT/Tender/SplashBidNoticeAbstractUI.aspx?menuIndex=3&amp;refID=7055732&amp;Result=3","7055732")</f>
        <v>0</v>
      </c>
      <c r="B10547" t="s">
        <v>2547</v>
      </c>
      <c r="C10547" t="s">
        <v>13459</v>
      </c>
      <c r="D10547" t="s">
        <v>16654</v>
      </c>
      <c r="E10547" t="s">
        <v>25871</v>
      </c>
      <c r="F10547" t="s">
        <v>28669</v>
      </c>
      <c r="G10547" t="s">
        <v>28675</v>
      </c>
      <c r="H10547" t="s">
        <v>28686</v>
      </c>
      <c r="I10547" t="s">
        <v>28689</v>
      </c>
      <c r="J10547" t="s">
        <v>35342</v>
      </c>
      <c r="K10547" t="s">
        <v>37211</v>
      </c>
      <c r="M10547" t="s">
        <v>40239</v>
      </c>
      <c r="N10547" t="s">
        <v>41249</v>
      </c>
      <c r="O10547" t="s">
        <v>41250</v>
      </c>
      <c r="P10547">
        <v>0</v>
      </c>
      <c r="Q10547">
        <v>7</v>
      </c>
      <c r="R10547" t="s">
        <v>41263</v>
      </c>
      <c r="S10547" t="s">
        <v>41698</v>
      </c>
      <c r="T10547" t="s">
        <v>42764</v>
      </c>
      <c r="U10547" t="s">
        <v>49954</v>
      </c>
      <c r="W10547" t="s">
        <v>40239</v>
      </c>
      <c r="X10547" t="s">
        <v>41264</v>
      </c>
    </row>
    <row r="10548" spans="1:24">
      <c r="A10548">
        <f>HYPERLINK("https://www.philgeps.gov.ph/GEPSNONPILOT/Tender/SplashBidNoticeAbstractUI.aspx?menuIndex=3&amp;refID=7055720&amp;Result=3","7055720")</f>
        <v>0</v>
      </c>
      <c r="B10548" t="s">
        <v>597</v>
      </c>
      <c r="C10548" t="s">
        <v>13460</v>
      </c>
      <c r="D10548" t="s">
        <v>16615</v>
      </c>
      <c r="E10548" t="s">
        <v>25872</v>
      </c>
      <c r="F10548" t="s">
        <v>28669</v>
      </c>
      <c r="G10548" t="s">
        <v>28675</v>
      </c>
      <c r="H10548" t="s">
        <v>28686</v>
      </c>
      <c r="I10548" t="s">
        <v>28689</v>
      </c>
      <c r="J10548" t="s">
        <v>35343</v>
      </c>
      <c r="K10548" t="s">
        <v>37215</v>
      </c>
      <c r="M10548" t="s">
        <v>38096</v>
      </c>
      <c r="N10548" t="s">
        <v>41249</v>
      </c>
      <c r="O10548" t="s">
        <v>41250</v>
      </c>
      <c r="P10548">
        <v>0</v>
      </c>
      <c r="Q10548">
        <v>34</v>
      </c>
      <c r="R10548" t="s">
        <v>41263</v>
      </c>
      <c r="S10548" t="s">
        <v>41698</v>
      </c>
      <c r="T10548" t="s">
        <v>43021</v>
      </c>
      <c r="U10548" t="s">
        <v>51703</v>
      </c>
      <c r="W10548" t="s">
        <v>38096</v>
      </c>
      <c r="X10548" t="s">
        <v>41264</v>
      </c>
    </row>
    <row r="10549" spans="1:24">
      <c r="A10549">
        <f>HYPERLINK("https://www.philgeps.gov.ph/GEPSNONPILOT/Tender/SplashBidNoticeAbstractUI.aspx?menuIndex=3&amp;refID=7055792&amp;Result=3","7055792")</f>
        <v>0</v>
      </c>
      <c r="B10549" t="s">
        <v>2968</v>
      </c>
      <c r="C10549" t="s">
        <v>13461</v>
      </c>
      <c r="D10549" t="s">
        <v>16657</v>
      </c>
      <c r="E10549" t="s">
        <v>25873</v>
      </c>
      <c r="F10549" t="s">
        <v>28669</v>
      </c>
      <c r="G10549" t="s">
        <v>28675</v>
      </c>
      <c r="H10549" t="s">
        <v>9998</v>
      </c>
      <c r="I10549" t="s">
        <v>28714</v>
      </c>
      <c r="J10549" t="s">
        <v>35344</v>
      </c>
      <c r="K10549" t="s">
        <v>37209</v>
      </c>
      <c r="M10549" t="s">
        <v>40730</v>
      </c>
      <c r="N10549" t="s">
        <v>41249</v>
      </c>
      <c r="O10549" t="s">
        <v>41250</v>
      </c>
      <c r="P10549">
        <v>0</v>
      </c>
      <c r="Q10549">
        <v>28</v>
      </c>
      <c r="R10549" t="s">
        <v>41263</v>
      </c>
      <c r="S10549" t="s">
        <v>41698</v>
      </c>
      <c r="T10549" t="s">
        <v>43117</v>
      </c>
      <c r="U10549" t="s">
        <v>51704</v>
      </c>
      <c r="V10549" t="s">
        <v>55424</v>
      </c>
      <c r="W10549" t="s">
        <v>40730</v>
      </c>
      <c r="X10549" t="s">
        <v>41264</v>
      </c>
    </row>
    <row r="10550" spans="1:24">
      <c r="A10550">
        <f>HYPERLINK("https://www.philgeps.gov.ph/GEPSNONPILOT/Tender/SplashBidNoticeAbstractUI.aspx?menuIndex=3&amp;refID=7053275&amp;Result=3","7053275")</f>
        <v>0</v>
      </c>
      <c r="B10550" t="s">
        <v>2393</v>
      </c>
      <c r="C10550" t="s">
        <v>13462</v>
      </c>
      <c r="D10550" t="s">
        <v>16643</v>
      </c>
      <c r="E10550" t="s">
        <v>25874</v>
      </c>
      <c r="F10550" t="s">
        <v>28669</v>
      </c>
      <c r="G10550" t="s">
        <v>28675</v>
      </c>
      <c r="H10550" t="s">
        <v>28686</v>
      </c>
      <c r="I10550" t="s">
        <v>28689</v>
      </c>
      <c r="J10550" t="s">
        <v>35345</v>
      </c>
      <c r="K10550" t="s">
        <v>37285</v>
      </c>
      <c r="M10550" t="s">
        <v>40068</v>
      </c>
      <c r="N10550" t="s">
        <v>41249</v>
      </c>
      <c r="O10550" t="s">
        <v>41250</v>
      </c>
      <c r="P10550">
        <v>0</v>
      </c>
      <c r="Q10550">
        <v>6</v>
      </c>
      <c r="R10550" t="s">
        <v>41263</v>
      </c>
      <c r="S10550" t="s">
        <v>41698</v>
      </c>
      <c r="T10550" t="s">
        <v>43063</v>
      </c>
      <c r="U10550" t="s">
        <v>51705</v>
      </c>
      <c r="V10550" t="s">
        <v>55410</v>
      </c>
      <c r="W10550" t="s">
        <v>55992</v>
      </c>
      <c r="X10550" t="s">
        <v>41265</v>
      </c>
    </row>
    <row r="10551" spans="1:24">
      <c r="A10551">
        <f>HYPERLINK("https://www.philgeps.gov.ph/GEPSNONPILOT/Tender/SplashBidNoticeAbstractUI.aspx?menuIndex=3&amp;refID=7055912&amp;Result=3","7055912")</f>
        <v>0</v>
      </c>
      <c r="B10551" t="s">
        <v>2974</v>
      </c>
      <c r="C10551" t="s">
        <v>13463</v>
      </c>
      <c r="D10551" t="s">
        <v>16608</v>
      </c>
      <c r="E10551" t="s">
        <v>25875</v>
      </c>
      <c r="F10551" t="s">
        <v>28669</v>
      </c>
      <c r="G10551" t="s">
        <v>28675</v>
      </c>
      <c r="H10551" t="s">
        <v>28686</v>
      </c>
      <c r="I10551" t="s">
        <v>28689</v>
      </c>
      <c r="J10551" t="s">
        <v>35346</v>
      </c>
      <c r="K10551" t="s">
        <v>37212</v>
      </c>
      <c r="M10551" t="s">
        <v>40736</v>
      </c>
      <c r="N10551" t="s">
        <v>41249</v>
      </c>
      <c r="O10551" t="s">
        <v>41250</v>
      </c>
      <c r="P10551">
        <v>0</v>
      </c>
      <c r="Q10551">
        <v>3</v>
      </c>
      <c r="R10551" t="s">
        <v>41263</v>
      </c>
      <c r="S10551" t="s">
        <v>41698</v>
      </c>
      <c r="T10551" t="s">
        <v>42664</v>
      </c>
      <c r="U10551" t="s">
        <v>51706</v>
      </c>
      <c r="V10551" t="s">
        <v>55418</v>
      </c>
      <c r="W10551" t="s">
        <v>40736</v>
      </c>
      <c r="X10551" t="s">
        <v>41264</v>
      </c>
    </row>
    <row r="10552" spans="1:24">
      <c r="A10552">
        <f>HYPERLINK("https://www.philgeps.gov.ph/GEPSNONPILOT/Tender/SplashBidNoticeAbstractUI.aspx?menuIndex=3&amp;refID=7053491&amp;Result=3","7053491")</f>
        <v>0</v>
      </c>
      <c r="B10552" t="s">
        <v>2645</v>
      </c>
      <c r="C10552" t="s">
        <v>13464</v>
      </c>
      <c r="D10552" t="s">
        <v>16612</v>
      </c>
      <c r="E10552" t="s">
        <v>25876</v>
      </c>
      <c r="F10552" t="s">
        <v>28669</v>
      </c>
      <c r="G10552" t="s">
        <v>28675</v>
      </c>
      <c r="H10552" t="s">
        <v>9998</v>
      </c>
      <c r="I10552" t="s">
        <v>6128</v>
      </c>
      <c r="J10552" t="s">
        <v>35347</v>
      </c>
      <c r="K10552" t="s">
        <v>37210</v>
      </c>
      <c r="M10552" t="s">
        <v>40345</v>
      </c>
      <c r="N10552" t="s">
        <v>41249</v>
      </c>
      <c r="O10552" t="s">
        <v>41250</v>
      </c>
      <c r="P10552">
        <v>0</v>
      </c>
      <c r="Q10552">
        <v>3</v>
      </c>
      <c r="R10552" t="s">
        <v>41263</v>
      </c>
      <c r="S10552" t="s">
        <v>41698</v>
      </c>
      <c r="T10552" t="s">
        <v>42836</v>
      </c>
      <c r="U10552" t="s">
        <v>51707</v>
      </c>
      <c r="W10552" t="s">
        <v>40345</v>
      </c>
      <c r="X10552" t="s">
        <v>41265</v>
      </c>
    </row>
    <row r="10553" spans="1:24">
      <c r="A10553">
        <f>HYPERLINK("https://www.philgeps.gov.ph/GEPSNONPILOT/Tender/SplashBidNoticeAbstractUI.aspx?menuIndex=3&amp;refID=7055916&amp;Result=3","7055916")</f>
        <v>0</v>
      </c>
      <c r="B10553" t="s">
        <v>101</v>
      </c>
      <c r="C10553" t="s">
        <v>13465</v>
      </c>
      <c r="D10553" t="s">
        <v>16644</v>
      </c>
      <c r="E10553" t="s">
        <v>25877</v>
      </c>
      <c r="F10553" t="s">
        <v>28669</v>
      </c>
      <c r="G10553" t="s">
        <v>28676</v>
      </c>
      <c r="H10553" t="s">
        <v>9998</v>
      </c>
      <c r="I10553" t="s">
        <v>28708</v>
      </c>
      <c r="J10553" t="s">
        <v>35348</v>
      </c>
      <c r="K10553" t="s">
        <v>37205</v>
      </c>
      <c r="M10553" t="s">
        <v>40737</v>
      </c>
      <c r="N10553" t="s">
        <v>41249</v>
      </c>
      <c r="O10553" t="s">
        <v>41250</v>
      </c>
      <c r="Q10553">
        <v>3</v>
      </c>
      <c r="R10553" t="s">
        <v>41263</v>
      </c>
      <c r="S10553" t="s">
        <v>41707</v>
      </c>
      <c r="T10553" t="s">
        <v>42811</v>
      </c>
      <c r="U10553" t="s">
        <v>51708</v>
      </c>
      <c r="W10553" t="s">
        <v>40737</v>
      </c>
      <c r="X10553" t="s">
        <v>41264</v>
      </c>
    </row>
    <row r="10554" spans="1:24">
      <c r="A10554">
        <f>HYPERLINK("https://www.philgeps.gov.ph/GEPSNONPILOT/Tender/SplashBidNoticeAbstractUI.aspx?menuIndex=3&amp;refID=7058075&amp;Result=3","7058075")</f>
        <v>0</v>
      </c>
      <c r="B10554" t="s">
        <v>868</v>
      </c>
      <c r="C10554" t="s">
        <v>13466</v>
      </c>
      <c r="D10554" t="s">
        <v>16621</v>
      </c>
      <c r="E10554" t="s">
        <v>25878</v>
      </c>
      <c r="F10554" t="s">
        <v>28669</v>
      </c>
      <c r="G10554" t="s">
        <v>28675</v>
      </c>
      <c r="H10554" t="s">
        <v>28686</v>
      </c>
      <c r="I10554" t="s">
        <v>28689</v>
      </c>
      <c r="J10554" t="s">
        <v>35349</v>
      </c>
      <c r="K10554" t="s">
        <v>37437</v>
      </c>
      <c r="M10554" t="s">
        <v>38386</v>
      </c>
      <c r="N10554" t="s">
        <v>41249</v>
      </c>
      <c r="O10554" t="s">
        <v>41250</v>
      </c>
      <c r="Q10554">
        <v>0</v>
      </c>
      <c r="R10554" t="s">
        <v>41261</v>
      </c>
      <c r="S10554" t="s">
        <v>41708</v>
      </c>
      <c r="T10554" t="s">
        <v>42739</v>
      </c>
      <c r="U10554" t="s">
        <v>51709</v>
      </c>
      <c r="W10554" t="s">
        <v>38386</v>
      </c>
      <c r="X10554" t="s">
        <v>41263</v>
      </c>
    </row>
    <row r="10555" spans="1:24">
      <c r="A10555">
        <f>HYPERLINK("https://www.philgeps.gov.ph/GEPSNONPILOT/Tender/SplashBidNoticeAbstractUI.aspx?menuIndex=3&amp;refID=7056039&amp;Result=3","7056039")</f>
        <v>0</v>
      </c>
      <c r="B10555" t="s">
        <v>2811</v>
      </c>
      <c r="C10555" t="s">
        <v>13467</v>
      </c>
      <c r="D10555" t="s">
        <v>16668</v>
      </c>
      <c r="E10555" t="s">
        <v>25879</v>
      </c>
      <c r="F10555" t="s">
        <v>28669</v>
      </c>
      <c r="G10555" t="s">
        <v>28675</v>
      </c>
      <c r="H10555" t="s">
        <v>28686</v>
      </c>
      <c r="I10555" t="s">
        <v>28689</v>
      </c>
      <c r="J10555" t="s">
        <v>35350</v>
      </c>
      <c r="K10555" t="s">
        <v>37213</v>
      </c>
      <c r="M10555" t="s">
        <v>40540</v>
      </c>
      <c r="N10555" t="s">
        <v>41249</v>
      </c>
      <c r="O10555" t="s">
        <v>41250</v>
      </c>
      <c r="P10555">
        <v>0</v>
      </c>
      <c r="Q10555">
        <v>2</v>
      </c>
      <c r="R10555" t="s">
        <v>41263</v>
      </c>
      <c r="S10555" t="s">
        <v>41698</v>
      </c>
      <c r="T10555" t="s">
        <v>42836</v>
      </c>
      <c r="U10555" t="s">
        <v>51710</v>
      </c>
      <c r="W10555" t="s">
        <v>40540</v>
      </c>
      <c r="X10555" t="s">
        <v>41264</v>
      </c>
    </row>
    <row r="10556" spans="1:24">
      <c r="A10556">
        <f>HYPERLINK("https://www.philgeps.gov.ph/GEPSNONPILOT/Tender/SplashBidNoticeAbstractUI.aspx?menuIndex=3&amp;refID=7056024&amp;Result=3","7056024")</f>
        <v>0</v>
      </c>
      <c r="B10556" t="s">
        <v>675</v>
      </c>
      <c r="C10556" t="s">
        <v>13468</v>
      </c>
      <c r="D10556" t="s">
        <v>16678</v>
      </c>
      <c r="E10556" t="s">
        <v>25880</v>
      </c>
      <c r="F10556" t="s">
        <v>28669</v>
      </c>
      <c r="G10556" t="s">
        <v>28675</v>
      </c>
      <c r="H10556" t="s">
        <v>28686</v>
      </c>
      <c r="I10556" t="s">
        <v>28689</v>
      </c>
      <c r="J10556" t="s">
        <v>35351</v>
      </c>
      <c r="K10556" t="s">
        <v>37213</v>
      </c>
      <c r="M10556" t="s">
        <v>38178</v>
      </c>
      <c r="N10556" t="s">
        <v>41249</v>
      </c>
      <c r="O10556" t="s">
        <v>41250</v>
      </c>
      <c r="P10556">
        <v>0</v>
      </c>
      <c r="Q10556">
        <v>0</v>
      </c>
      <c r="R10556" t="s">
        <v>41263</v>
      </c>
      <c r="S10556" t="s">
        <v>41698</v>
      </c>
      <c r="T10556" t="s">
        <v>42700</v>
      </c>
      <c r="U10556" t="s">
        <v>51711</v>
      </c>
      <c r="W10556" t="s">
        <v>38178</v>
      </c>
      <c r="X10556" t="s">
        <v>41264</v>
      </c>
    </row>
    <row r="10557" spans="1:24">
      <c r="A10557">
        <f>HYPERLINK("https://www.philgeps.gov.ph/GEPSNONPILOT/Tender/SplashBidNoticeAbstractUI.aspx?menuIndex=3&amp;refID=7056021&amp;Result=3","7056021")</f>
        <v>0</v>
      </c>
      <c r="B10557" t="s">
        <v>2975</v>
      </c>
      <c r="C10557" t="s">
        <v>13469</v>
      </c>
      <c r="D10557" t="s">
        <v>16611</v>
      </c>
      <c r="E10557" t="s">
        <v>16803</v>
      </c>
      <c r="F10557" t="s">
        <v>28669</v>
      </c>
      <c r="G10557" t="s">
        <v>28675</v>
      </c>
      <c r="H10557" t="s">
        <v>9998</v>
      </c>
      <c r="I10557" t="s">
        <v>7352</v>
      </c>
      <c r="J10557" t="s">
        <v>32368</v>
      </c>
      <c r="K10557" t="s">
        <v>37206</v>
      </c>
      <c r="M10557" t="s">
        <v>40738</v>
      </c>
      <c r="N10557" t="s">
        <v>41249</v>
      </c>
      <c r="O10557" t="s">
        <v>41250</v>
      </c>
      <c r="P10557">
        <v>0</v>
      </c>
      <c r="Q10557">
        <v>2</v>
      </c>
      <c r="R10557" t="s">
        <v>41263</v>
      </c>
      <c r="S10557" t="s">
        <v>41698</v>
      </c>
      <c r="T10557" t="s">
        <v>42808</v>
      </c>
      <c r="U10557" t="s">
        <v>51712</v>
      </c>
      <c r="V10557" t="s">
        <v>55425</v>
      </c>
      <c r="W10557" t="s">
        <v>40738</v>
      </c>
      <c r="X10557" t="s">
        <v>41264</v>
      </c>
    </row>
    <row r="10558" spans="1:24">
      <c r="A10558">
        <f>HYPERLINK("https://www.philgeps.gov.ph/GEPSNONPILOT/Tender/SplashBidNoticeAbstractUI.aspx?menuIndex=3&amp;refID=7055999&amp;Result=3","7055999")</f>
        <v>0</v>
      </c>
      <c r="B10558" t="s">
        <v>734</v>
      </c>
      <c r="C10558" t="s">
        <v>13470</v>
      </c>
      <c r="D10558" t="s">
        <v>16641</v>
      </c>
      <c r="E10558" t="s">
        <v>25881</v>
      </c>
      <c r="F10558" t="s">
        <v>28669</v>
      </c>
      <c r="G10558" t="s">
        <v>28675</v>
      </c>
      <c r="H10558" t="s">
        <v>9998</v>
      </c>
      <c r="I10558" t="s">
        <v>28697</v>
      </c>
      <c r="J10558" t="s">
        <v>28879</v>
      </c>
      <c r="K10558" t="s">
        <v>37204</v>
      </c>
      <c r="M10558" t="s">
        <v>38242</v>
      </c>
      <c r="N10558" t="s">
        <v>41249</v>
      </c>
      <c r="O10558" t="s">
        <v>41250</v>
      </c>
      <c r="P10558">
        <v>0</v>
      </c>
      <c r="Q10558">
        <v>2</v>
      </c>
      <c r="R10558" t="s">
        <v>41263</v>
      </c>
      <c r="S10558" t="s">
        <v>41698</v>
      </c>
      <c r="T10558" t="s">
        <v>42836</v>
      </c>
      <c r="U10558" t="s">
        <v>51713</v>
      </c>
      <c r="V10558" t="s">
        <v>55426</v>
      </c>
      <c r="W10558" t="s">
        <v>41182</v>
      </c>
      <c r="X10558" t="s">
        <v>41264</v>
      </c>
    </row>
    <row r="10559" spans="1:24">
      <c r="A10559">
        <f>HYPERLINK("https://www.philgeps.gov.ph/GEPSNONPILOT/Tender/SplashBidNoticeAbstractUI.aspx?menuIndex=3&amp;refID=7055988&amp;Result=3","7055988")</f>
        <v>0</v>
      </c>
      <c r="B10559" t="s">
        <v>2976</v>
      </c>
      <c r="C10559" t="s">
        <v>13471</v>
      </c>
      <c r="D10559" t="s">
        <v>16627</v>
      </c>
      <c r="E10559" t="s">
        <v>25882</v>
      </c>
      <c r="F10559" t="s">
        <v>28669</v>
      </c>
      <c r="G10559" t="s">
        <v>28675</v>
      </c>
      <c r="H10559" t="s">
        <v>28686</v>
      </c>
      <c r="I10559" t="s">
        <v>28689</v>
      </c>
      <c r="J10559" t="s">
        <v>35352</v>
      </c>
      <c r="K10559" t="s">
        <v>37227</v>
      </c>
      <c r="M10559" t="s">
        <v>40739</v>
      </c>
      <c r="N10559" t="s">
        <v>41249</v>
      </c>
      <c r="O10559" t="s">
        <v>41250</v>
      </c>
      <c r="P10559">
        <v>0</v>
      </c>
      <c r="Q10559">
        <v>1</v>
      </c>
      <c r="R10559" t="s">
        <v>41263</v>
      </c>
      <c r="S10559" t="s">
        <v>41698</v>
      </c>
      <c r="T10559" t="s">
        <v>42999</v>
      </c>
      <c r="U10559" t="s">
        <v>51714</v>
      </c>
      <c r="W10559" t="s">
        <v>40739</v>
      </c>
      <c r="X10559" t="s">
        <v>41264</v>
      </c>
    </row>
    <row r="10560" spans="1:24">
      <c r="A10560">
        <f>HYPERLINK("https://www.philgeps.gov.ph/GEPSNONPILOT/Tender/SplashBidNoticeAbstractUI.aspx?menuIndex=3&amp;refID=7055985&amp;Result=3","7055985")</f>
        <v>0</v>
      </c>
      <c r="B10560" t="s">
        <v>1474</v>
      </c>
      <c r="C10560" t="s">
        <v>13472</v>
      </c>
      <c r="D10560" t="s">
        <v>16680</v>
      </c>
      <c r="E10560" t="s">
        <v>25883</v>
      </c>
      <c r="F10560" t="s">
        <v>28669</v>
      </c>
      <c r="G10560" t="s">
        <v>28675</v>
      </c>
      <c r="H10560" t="s">
        <v>9998</v>
      </c>
      <c r="I10560" t="s">
        <v>28695</v>
      </c>
      <c r="J10560" t="s">
        <v>35353</v>
      </c>
      <c r="K10560" t="s">
        <v>37220</v>
      </c>
      <c r="M10560" t="s">
        <v>40740</v>
      </c>
      <c r="N10560" t="s">
        <v>41249</v>
      </c>
      <c r="O10560" t="s">
        <v>41250</v>
      </c>
      <c r="P10560">
        <v>0</v>
      </c>
      <c r="Q10560">
        <v>0</v>
      </c>
      <c r="R10560" t="s">
        <v>41263</v>
      </c>
      <c r="S10560" t="s">
        <v>41698</v>
      </c>
      <c r="T10560" t="s">
        <v>42836</v>
      </c>
      <c r="U10560" t="s">
        <v>51715</v>
      </c>
      <c r="W10560" t="s">
        <v>40740</v>
      </c>
      <c r="X10560" t="s">
        <v>41264</v>
      </c>
    </row>
    <row r="10561" spans="1:24">
      <c r="A10561">
        <f>HYPERLINK("https://www.philgeps.gov.ph/GEPSNONPILOT/Tender/SplashBidNoticeAbstractUI.aspx?menuIndex=3&amp;refID=7055979&amp;Result=3","7055979")</f>
        <v>0</v>
      </c>
      <c r="B10561" t="s">
        <v>974</v>
      </c>
      <c r="C10561" t="s">
        <v>13473</v>
      </c>
      <c r="D10561" t="s">
        <v>16621</v>
      </c>
      <c r="E10561" t="s">
        <v>21306</v>
      </c>
      <c r="F10561" t="s">
        <v>28669</v>
      </c>
      <c r="G10561" t="s">
        <v>28675</v>
      </c>
      <c r="H10561" t="s">
        <v>9998</v>
      </c>
      <c r="I10561" t="s">
        <v>28748</v>
      </c>
      <c r="J10561" t="s">
        <v>35354</v>
      </c>
      <c r="K10561" t="s">
        <v>37205</v>
      </c>
      <c r="M10561" t="s">
        <v>39760</v>
      </c>
      <c r="N10561" t="s">
        <v>41249</v>
      </c>
      <c r="O10561" t="s">
        <v>41250</v>
      </c>
      <c r="P10561">
        <v>0</v>
      </c>
      <c r="Q10561">
        <v>4</v>
      </c>
      <c r="R10561" t="s">
        <v>41263</v>
      </c>
      <c r="S10561" t="s">
        <v>41698</v>
      </c>
      <c r="T10561" t="s">
        <v>42691</v>
      </c>
      <c r="U10561" t="s">
        <v>48477</v>
      </c>
      <c r="V10561" t="s">
        <v>55427</v>
      </c>
      <c r="W10561" t="s">
        <v>39760</v>
      </c>
      <c r="X10561" t="s">
        <v>41264</v>
      </c>
    </row>
    <row r="10562" spans="1:24">
      <c r="A10562">
        <f>HYPERLINK("https://www.philgeps.gov.ph/GEPSNONPILOT/Tender/SplashBidNoticeAbstractUI.aspx?menuIndex=3&amp;refID=7055975&amp;Result=3","7055975")</f>
        <v>0</v>
      </c>
      <c r="B10562" t="s">
        <v>267</v>
      </c>
      <c r="C10562" t="s">
        <v>13474</v>
      </c>
      <c r="D10562" t="s">
        <v>16679</v>
      </c>
      <c r="E10562" t="s">
        <v>25884</v>
      </c>
      <c r="F10562" t="s">
        <v>28669</v>
      </c>
      <c r="G10562" t="s">
        <v>28675</v>
      </c>
      <c r="H10562" t="s">
        <v>9998</v>
      </c>
      <c r="I10562" t="s">
        <v>7352</v>
      </c>
      <c r="J10562" t="s">
        <v>35355</v>
      </c>
      <c r="K10562" t="s">
        <v>37206</v>
      </c>
      <c r="M10562" t="s">
        <v>40741</v>
      </c>
      <c r="N10562" t="s">
        <v>41249</v>
      </c>
      <c r="O10562" t="s">
        <v>41250</v>
      </c>
      <c r="P10562">
        <v>0</v>
      </c>
      <c r="Q10562">
        <v>2</v>
      </c>
      <c r="R10562" t="s">
        <v>41263</v>
      </c>
      <c r="S10562" t="s">
        <v>41698</v>
      </c>
      <c r="T10562" t="s">
        <v>42658</v>
      </c>
      <c r="U10562" t="s">
        <v>43621</v>
      </c>
      <c r="V10562" t="s">
        <v>55428</v>
      </c>
      <c r="W10562" t="s">
        <v>55923</v>
      </c>
      <c r="X10562" t="s">
        <v>41264</v>
      </c>
    </row>
    <row r="10563" spans="1:24">
      <c r="A10563">
        <f>HYPERLINK("https://www.philgeps.gov.ph/GEPSNONPILOT/Tender/SplashBidNoticeAbstractUI.aspx?menuIndex=3&amp;refID=7056146&amp;Result=3","7056146")</f>
        <v>0</v>
      </c>
      <c r="B10563" t="s">
        <v>2977</v>
      </c>
      <c r="C10563" t="s">
        <v>13475</v>
      </c>
      <c r="D10563" t="s">
        <v>16627</v>
      </c>
      <c r="E10563" t="s">
        <v>25885</v>
      </c>
      <c r="F10563" t="s">
        <v>28669</v>
      </c>
      <c r="G10563" t="s">
        <v>28675</v>
      </c>
      <c r="H10563" t="s">
        <v>9998</v>
      </c>
      <c r="I10563" t="s">
        <v>7352</v>
      </c>
      <c r="J10563" t="s">
        <v>35356</v>
      </c>
      <c r="K10563" t="s">
        <v>37206</v>
      </c>
      <c r="M10563" t="s">
        <v>40742</v>
      </c>
      <c r="N10563" t="s">
        <v>41249</v>
      </c>
      <c r="O10563" t="s">
        <v>41250</v>
      </c>
      <c r="P10563">
        <v>0</v>
      </c>
      <c r="Q10563">
        <v>3</v>
      </c>
      <c r="R10563" t="s">
        <v>41263</v>
      </c>
      <c r="S10563" t="s">
        <v>41698</v>
      </c>
      <c r="T10563" t="s">
        <v>42764</v>
      </c>
      <c r="U10563" t="s">
        <v>51716</v>
      </c>
      <c r="W10563" t="s">
        <v>40742</v>
      </c>
      <c r="X10563" t="s">
        <v>41264</v>
      </c>
    </row>
    <row r="10564" spans="1:24">
      <c r="A10564">
        <f>HYPERLINK("https://www.philgeps.gov.ph/GEPSNONPILOT/Tender/SplashBidNoticeAbstractUI.aspx?menuIndex=3&amp;refID=7056130&amp;Result=3","7056130")</f>
        <v>0</v>
      </c>
      <c r="B10564" t="s">
        <v>2978</v>
      </c>
      <c r="C10564" t="s">
        <v>13476</v>
      </c>
      <c r="D10564" t="s">
        <v>16618</v>
      </c>
      <c r="E10564" t="s">
        <v>25886</v>
      </c>
      <c r="F10564" t="s">
        <v>28669</v>
      </c>
      <c r="G10564" t="s">
        <v>28675</v>
      </c>
      <c r="H10564" t="s">
        <v>28686</v>
      </c>
      <c r="I10564" t="s">
        <v>28689</v>
      </c>
      <c r="J10564" t="s">
        <v>28836</v>
      </c>
      <c r="K10564" t="s">
        <v>37220</v>
      </c>
      <c r="M10564" t="s">
        <v>40743</v>
      </c>
      <c r="N10564" t="s">
        <v>41249</v>
      </c>
      <c r="O10564" t="s">
        <v>41250</v>
      </c>
      <c r="Q10564">
        <v>0</v>
      </c>
      <c r="R10564" t="s">
        <v>41263</v>
      </c>
      <c r="S10564" t="s">
        <v>41709</v>
      </c>
      <c r="T10564" t="s">
        <v>43036</v>
      </c>
      <c r="U10564" t="s">
        <v>51717</v>
      </c>
      <c r="V10564" t="s">
        <v>55429</v>
      </c>
      <c r="W10564" t="s">
        <v>40743</v>
      </c>
      <c r="X10564" t="s">
        <v>41264</v>
      </c>
    </row>
    <row r="10565" spans="1:24">
      <c r="A10565">
        <f>HYPERLINK("https://www.philgeps.gov.ph/GEPSNONPILOT/Tender/SplashBidNoticeAbstractUI.aspx?menuIndex=3&amp;refID=7055938&amp;Result=3","7055938")</f>
        <v>0</v>
      </c>
      <c r="B10565" t="s">
        <v>101</v>
      </c>
      <c r="C10565" t="s">
        <v>13477</v>
      </c>
      <c r="D10565" t="s">
        <v>16644</v>
      </c>
      <c r="E10565" t="s">
        <v>25887</v>
      </c>
      <c r="F10565" t="s">
        <v>28669</v>
      </c>
      <c r="G10565" t="s">
        <v>28676</v>
      </c>
      <c r="H10565" t="s">
        <v>9998</v>
      </c>
      <c r="I10565" t="s">
        <v>11593</v>
      </c>
      <c r="J10565" t="s">
        <v>35357</v>
      </c>
      <c r="K10565" t="s">
        <v>37205</v>
      </c>
      <c r="M10565" t="s">
        <v>40737</v>
      </c>
      <c r="N10565" t="s">
        <v>41249</v>
      </c>
      <c r="O10565" t="s">
        <v>41250</v>
      </c>
      <c r="Q10565">
        <v>6</v>
      </c>
      <c r="R10565" t="s">
        <v>41263</v>
      </c>
      <c r="S10565" t="s">
        <v>41710</v>
      </c>
      <c r="T10565" t="s">
        <v>42811</v>
      </c>
      <c r="U10565" t="s">
        <v>51718</v>
      </c>
      <c r="W10565" t="s">
        <v>40737</v>
      </c>
      <c r="X10565" t="s">
        <v>41264</v>
      </c>
    </row>
    <row r="10566" spans="1:24">
      <c r="A10566">
        <f>HYPERLINK("https://www.philgeps.gov.ph/GEPSNONPILOT/Tender/SplashBidNoticeAbstractUI.aspx?menuIndex=3&amp;refID=7056077&amp;Result=3","7056077")</f>
        <v>0</v>
      </c>
      <c r="B10566" t="s">
        <v>2968</v>
      </c>
      <c r="C10566" t="s">
        <v>13478</v>
      </c>
      <c r="D10566" t="s">
        <v>16657</v>
      </c>
      <c r="E10566" t="s">
        <v>25888</v>
      </c>
      <c r="F10566" t="s">
        <v>28669</v>
      </c>
      <c r="G10566" t="s">
        <v>28675</v>
      </c>
      <c r="H10566" t="s">
        <v>9998</v>
      </c>
      <c r="I10566" t="s">
        <v>28713</v>
      </c>
      <c r="J10566" t="s">
        <v>34824</v>
      </c>
      <c r="K10566" t="s">
        <v>37209</v>
      </c>
      <c r="M10566" t="s">
        <v>40730</v>
      </c>
      <c r="N10566" t="s">
        <v>41249</v>
      </c>
      <c r="O10566" t="s">
        <v>41250</v>
      </c>
      <c r="P10566">
        <v>0</v>
      </c>
      <c r="Q10566">
        <v>16</v>
      </c>
      <c r="R10566" t="s">
        <v>41263</v>
      </c>
      <c r="S10566" t="s">
        <v>41698</v>
      </c>
      <c r="T10566" t="s">
        <v>43117</v>
      </c>
      <c r="U10566" t="s">
        <v>51719</v>
      </c>
      <c r="V10566" t="s">
        <v>55430</v>
      </c>
      <c r="W10566" t="s">
        <v>40730</v>
      </c>
      <c r="X10566" t="s">
        <v>41264</v>
      </c>
    </row>
    <row r="10567" spans="1:24">
      <c r="A10567">
        <f>HYPERLINK("https://www.philgeps.gov.ph/GEPSNONPILOT/Tender/SplashBidNoticeAbstractUI.aspx?menuIndex=3&amp;refID=7055965&amp;Result=3","7055965")</f>
        <v>0</v>
      </c>
      <c r="B10567" t="s">
        <v>1997</v>
      </c>
      <c r="C10567" t="s">
        <v>13479</v>
      </c>
      <c r="E10567" t="s">
        <v>25889</v>
      </c>
      <c r="F10567" t="s">
        <v>28673</v>
      </c>
      <c r="G10567" t="s">
        <v>28675</v>
      </c>
      <c r="H10567" t="s">
        <v>9998</v>
      </c>
      <c r="I10567" t="s">
        <v>28693</v>
      </c>
      <c r="J10567" t="s">
        <v>35358</v>
      </c>
      <c r="K10567" t="s">
        <v>37209</v>
      </c>
      <c r="M10567" t="s">
        <v>39635</v>
      </c>
      <c r="N10567" t="s">
        <v>41249</v>
      </c>
      <c r="O10567" t="s">
        <v>41250</v>
      </c>
      <c r="P10567">
        <v>0</v>
      </c>
      <c r="Q10567">
        <v>6</v>
      </c>
      <c r="R10567" t="s">
        <v>41263</v>
      </c>
      <c r="S10567" t="s">
        <v>41698</v>
      </c>
      <c r="T10567" t="s">
        <v>42739</v>
      </c>
      <c r="U10567" t="s">
        <v>51720</v>
      </c>
      <c r="W10567" t="s">
        <v>39635</v>
      </c>
      <c r="X10567" t="s">
        <v>41264</v>
      </c>
    </row>
    <row r="10568" spans="1:24">
      <c r="A10568">
        <f>HYPERLINK("https://www.philgeps.gov.ph/GEPSNONPILOT/Tender/SplashBidNoticeAbstractUI.aspx?menuIndex=3&amp;refID=7056152&amp;Result=3","7056152")</f>
        <v>0</v>
      </c>
      <c r="B10568" t="s">
        <v>1091</v>
      </c>
      <c r="C10568" t="s">
        <v>13480</v>
      </c>
      <c r="D10568" t="s">
        <v>16620</v>
      </c>
      <c r="E10568" t="s">
        <v>25890</v>
      </c>
      <c r="F10568" t="s">
        <v>28669</v>
      </c>
      <c r="G10568" t="s">
        <v>28675</v>
      </c>
      <c r="H10568" t="s">
        <v>28686</v>
      </c>
      <c r="I10568" t="s">
        <v>28689</v>
      </c>
      <c r="J10568" t="s">
        <v>35359</v>
      </c>
      <c r="K10568" t="s">
        <v>37215</v>
      </c>
      <c r="M10568" t="s">
        <v>38623</v>
      </c>
      <c r="N10568" t="s">
        <v>41249</v>
      </c>
      <c r="O10568" t="s">
        <v>41250</v>
      </c>
      <c r="P10568">
        <v>0</v>
      </c>
      <c r="Q10568">
        <v>1</v>
      </c>
      <c r="R10568" t="s">
        <v>41263</v>
      </c>
      <c r="S10568" t="s">
        <v>41698</v>
      </c>
      <c r="T10568" t="s">
        <v>42839</v>
      </c>
      <c r="U10568" t="s">
        <v>45422</v>
      </c>
      <c r="W10568" t="s">
        <v>38623</v>
      </c>
      <c r="X10568" t="s">
        <v>41264</v>
      </c>
    </row>
    <row r="10569" spans="1:24">
      <c r="A10569">
        <f>HYPERLINK("https://www.philgeps.gov.ph/GEPSNONPILOT/Tender/SplashBidNoticeAbstractUI.aspx?menuIndex=3&amp;refID=7056177&amp;Result=3","7056177")</f>
        <v>0</v>
      </c>
      <c r="B10569" t="s">
        <v>2978</v>
      </c>
      <c r="C10569" t="s">
        <v>13481</v>
      </c>
      <c r="D10569" t="s">
        <v>16618</v>
      </c>
      <c r="E10569" t="s">
        <v>25886</v>
      </c>
      <c r="F10569" t="s">
        <v>28669</v>
      </c>
      <c r="G10569" t="s">
        <v>28675</v>
      </c>
      <c r="H10569" t="s">
        <v>28686</v>
      </c>
      <c r="I10569" t="s">
        <v>28689</v>
      </c>
      <c r="J10569" t="s">
        <v>35360</v>
      </c>
      <c r="K10569" t="s">
        <v>37215</v>
      </c>
      <c r="M10569" t="s">
        <v>40743</v>
      </c>
      <c r="N10569" t="s">
        <v>41249</v>
      </c>
      <c r="O10569" t="s">
        <v>41250</v>
      </c>
      <c r="Q10569">
        <v>0</v>
      </c>
      <c r="R10569" t="s">
        <v>41263</v>
      </c>
      <c r="S10569" t="s">
        <v>41711</v>
      </c>
      <c r="T10569" t="s">
        <v>43036</v>
      </c>
      <c r="U10569" t="s">
        <v>51717</v>
      </c>
      <c r="V10569" t="s">
        <v>55431</v>
      </c>
      <c r="W10569" t="s">
        <v>40743</v>
      </c>
      <c r="X10569" t="s">
        <v>41264</v>
      </c>
    </row>
    <row r="10570" spans="1:24">
      <c r="A10570">
        <f>HYPERLINK("https://www.philgeps.gov.ph/GEPSNONPILOT/Tender/SplashBidNoticeAbstractUI.aspx?menuIndex=3&amp;refID=7056151&amp;Result=3","7056151")</f>
        <v>0</v>
      </c>
      <c r="B10570" t="s">
        <v>2978</v>
      </c>
      <c r="C10570" t="s">
        <v>13482</v>
      </c>
      <c r="D10570" t="s">
        <v>16618</v>
      </c>
      <c r="E10570" t="s">
        <v>25886</v>
      </c>
      <c r="F10570" t="s">
        <v>28669</v>
      </c>
      <c r="G10570" t="s">
        <v>28675</v>
      </c>
      <c r="H10570" t="s">
        <v>28686</v>
      </c>
      <c r="I10570" t="s">
        <v>28689</v>
      </c>
      <c r="J10570" t="s">
        <v>28975</v>
      </c>
      <c r="K10570" t="s">
        <v>37213</v>
      </c>
      <c r="M10570" t="s">
        <v>40743</v>
      </c>
      <c r="N10570" t="s">
        <v>41249</v>
      </c>
      <c r="O10570" t="s">
        <v>41250</v>
      </c>
      <c r="Q10570">
        <v>0</v>
      </c>
      <c r="R10570" t="s">
        <v>41263</v>
      </c>
      <c r="S10570" t="s">
        <v>41712</v>
      </c>
      <c r="T10570" t="s">
        <v>43036</v>
      </c>
      <c r="U10570" t="s">
        <v>51717</v>
      </c>
      <c r="V10570" t="s">
        <v>55432</v>
      </c>
      <c r="W10570" t="s">
        <v>40743</v>
      </c>
      <c r="X10570" t="s">
        <v>41264</v>
      </c>
    </row>
    <row r="10571" spans="1:24">
      <c r="A10571">
        <f>HYPERLINK("https://www.philgeps.gov.ph/GEPSNONPILOT/Tender/SplashBidNoticeAbstractUI.aspx?menuIndex=3&amp;refID=7056292&amp;Result=3","7056292")</f>
        <v>0</v>
      </c>
      <c r="B10571" t="s">
        <v>2978</v>
      </c>
      <c r="C10571" t="s">
        <v>13483</v>
      </c>
      <c r="D10571" t="s">
        <v>16618</v>
      </c>
      <c r="E10571" t="s">
        <v>25886</v>
      </c>
      <c r="F10571" t="s">
        <v>28669</v>
      </c>
      <c r="G10571" t="s">
        <v>28675</v>
      </c>
      <c r="H10571" t="s">
        <v>28686</v>
      </c>
      <c r="I10571" t="s">
        <v>28689</v>
      </c>
      <c r="J10571" t="s">
        <v>28836</v>
      </c>
      <c r="K10571" t="s">
        <v>37220</v>
      </c>
      <c r="M10571" t="s">
        <v>40743</v>
      </c>
      <c r="N10571" t="s">
        <v>41249</v>
      </c>
      <c r="O10571" t="s">
        <v>41250</v>
      </c>
      <c r="Q10571">
        <v>0</v>
      </c>
      <c r="R10571" t="s">
        <v>41263</v>
      </c>
      <c r="S10571" t="s">
        <v>41713</v>
      </c>
      <c r="T10571" t="s">
        <v>43036</v>
      </c>
      <c r="U10571" t="s">
        <v>51717</v>
      </c>
      <c r="V10571" t="s">
        <v>55433</v>
      </c>
      <c r="W10571" t="s">
        <v>40743</v>
      </c>
      <c r="X10571" t="s">
        <v>41264</v>
      </c>
    </row>
    <row r="10572" spans="1:24">
      <c r="A10572">
        <f>HYPERLINK("https://www.philgeps.gov.ph/GEPSNONPILOT/Tender/SplashBidNoticeAbstractUI.aspx?menuIndex=3&amp;refID=7056275&amp;Result=3","7056275")</f>
        <v>0</v>
      </c>
      <c r="B10572" t="s">
        <v>2979</v>
      </c>
      <c r="C10572" t="s">
        <v>13484</v>
      </c>
      <c r="D10572" t="s">
        <v>16616</v>
      </c>
      <c r="E10572" t="s">
        <v>25891</v>
      </c>
      <c r="F10572" t="s">
        <v>28669</v>
      </c>
      <c r="G10572" t="s">
        <v>28675</v>
      </c>
      <c r="H10572" t="s">
        <v>28686</v>
      </c>
      <c r="I10572" t="s">
        <v>28755</v>
      </c>
      <c r="J10572" t="s">
        <v>35361</v>
      </c>
      <c r="K10572" t="s">
        <v>37211</v>
      </c>
      <c r="M10572" t="s">
        <v>40744</v>
      </c>
      <c r="N10572" t="s">
        <v>41249</v>
      </c>
      <c r="O10572" t="s">
        <v>41250</v>
      </c>
      <c r="P10572">
        <v>0</v>
      </c>
      <c r="Q10572">
        <v>6</v>
      </c>
      <c r="R10572" t="s">
        <v>41263</v>
      </c>
      <c r="S10572" t="s">
        <v>41698</v>
      </c>
      <c r="T10572" t="s">
        <v>42700</v>
      </c>
      <c r="U10572" t="s">
        <v>51721</v>
      </c>
      <c r="W10572" t="s">
        <v>40744</v>
      </c>
      <c r="X10572" t="s">
        <v>41264</v>
      </c>
    </row>
    <row r="10573" spans="1:24">
      <c r="A10573">
        <f>HYPERLINK("https://www.philgeps.gov.ph/GEPSNONPILOT/Tender/SplashBidNoticeAbstractUI.aspx?menuIndex=3&amp;refID=7056114&amp;Result=3","7056114")</f>
        <v>0</v>
      </c>
      <c r="B10573" t="s">
        <v>2978</v>
      </c>
      <c r="C10573" t="s">
        <v>13485</v>
      </c>
      <c r="D10573" t="s">
        <v>16618</v>
      </c>
      <c r="E10573" t="s">
        <v>25886</v>
      </c>
      <c r="F10573" t="s">
        <v>28669</v>
      </c>
      <c r="G10573" t="s">
        <v>28675</v>
      </c>
      <c r="H10573" t="s">
        <v>28686</v>
      </c>
      <c r="I10573" t="s">
        <v>28689</v>
      </c>
      <c r="J10573" t="s">
        <v>28850</v>
      </c>
      <c r="K10573" t="s">
        <v>37215</v>
      </c>
      <c r="M10573" t="s">
        <v>40743</v>
      </c>
      <c r="N10573" t="s">
        <v>41249</v>
      </c>
      <c r="O10573" t="s">
        <v>41250</v>
      </c>
      <c r="Q10573">
        <v>1</v>
      </c>
      <c r="R10573" t="s">
        <v>41263</v>
      </c>
      <c r="S10573" t="s">
        <v>41714</v>
      </c>
      <c r="T10573" t="s">
        <v>43036</v>
      </c>
      <c r="U10573" t="s">
        <v>51717</v>
      </c>
      <c r="V10573" t="s">
        <v>55434</v>
      </c>
      <c r="W10573" t="s">
        <v>40743</v>
      </c>
      <c r="X10573" t="s">
        <v>41264</v>
      </c>
    </row>
    <row r="10574" spans="1:24">
      <c r="A10574">
        <f>HYPERLINK("https://www.philgeps.gov.ph/GEPSNONPILOT/Tender/SplashBidNoticeAbstractUI.aspx?menuIndex=3&amp;refID=7056271&amp;Result=3","7056271")</f>
        <v>0</v>
      </c>
      <c r="B10574" t="s">
        <v>2978</v>
      </c>
      <c r="C10574" t="s">
        <v>13486</v>
      </c>
      <c r="D10574" t="s">
        <v>16618</v>
      </c>
      <c r="E10574" t="s">
        <v>25886</v>
      </c>
      <c r="F10574" t="s">
        <v>28669</v>
      </c>
      <c r="G10574" t="s">
        <v>28675</v>
      </c>
      <c r="H10574" t="s">
        <v>28686</v>
      </c>
      <c r="I10574" t="s">
        <v>28689</v>
      </c>
      <c r="J10574" t="s">
        <v>35362</v>
      </c>
      <c r="K10574" t="s">
        <v>37220</v>
      </c>
      <c r="M10574" t="s">
        <v>40743</v>
      </c>
      <c r="N10574" t="s">
        <v>41249</v>
      </c>
      <c r="O10574" t="s">
        <v>41250</v>
      </c>
      <c r="Q10574">
        <v>0</v>
      </c>
      <c r="R10574" t="s">
        <v>41263</v>
      </c>
      <c r="S10574" t="s">
        <v>41715</v>
      </c>
      <c r="T10574" t="s">
        <v>43036</v>
      </c>
      <c r="U10574" t="s">
        <v>51717</v>
      </c>
      <c r="V10574" t="s">
        <v>55435</v>
      </c>
      <c r="W10574" t="s">
        <v>40743</v>
      </c>
      <c r="X10574" t="s">
        <v>41264</v>
      </c>
    </row>
    <row r="10575" spans="1:24">
      <c r="A10575">
        <f>HYPERLINK("https://www.philgeps.gov.ph/GEPSNONPILOT/Tender/SplashBidNoticeAbstractUI.aspx?menuIndex=3&amp;refID=7056311&amp;Result=3","7056311")</f>
        <v>0</v>
      </c>
      <c r="B10575" t="s">
        <v>267</v>
      </c>
      <c r="C10575" t="s">
        <v>13487</v>
      </c>
      <c r="D10575" t="s">
        <v>16679</v>
      </c>
      <c r="E10575" t="s">
        <v>25892</v>
      </c>
      <c r="F10575" t="s">
        <v>28669</v>
      </c>
      <c r="G10575" t="s">
        <v>28675</v>
      </c>
      <c r="H10575" t="s">
        <v>9998</v>
      </c>
      <c r="I10575" t="s">
        <v>28711</v>
      </c>
      <c r="J10575" t="s">
        <v>29332</v>
      </c>
      <c r="K10575" t="s">
        <v>37206</v>
      </c>
      <c r="M10575" t="s">
        <v>38160</v>
      </c>
      <c r="N10575" t="s">
        <v>41249</v>
      </c>
      <c r="O10575" t="s">
        <v>41250</v>
      </c>
      <c r="Q10575">
        <v>6</v>
      </c>
      <c r="R10575" t="s">
        <v>41263</v>
      </c>
      <c r="S10575" t="s">
        <v>41716</v>
      </c>
      <c r="T10575" t="s">
        <v>42658</v>
      </c>
      <c r="U10575" t="s">
        <v>43621</v>
      </c>
      <c r="V10575" t="s">
        <v>55428</v>
      </c>
      <c r="W10575" t="s">
        <v>55923</v>
      </c>
      <c r="X10575" t="s">
        <v>41264</v>
      </c>
    </row>
    <row r="10576" spans="1:24">
      <c r="A10576">
        <f>HYPERLINK("https://www.philgeps.gov.ph/GEPSNONPILOT/Tender/SplashBidNoticeAbstractUI.aspx?menuIndex=3&amp;refID=7056112&amp;Result=3","7056112")</f>
        <v>0</v>
      </c>
      <c r="B10576" t="s">
        <v>293</v>
      </c>
      <c r="C10576" t="s">
        <v>13488</v>
      </c>
      <c r="D10576" t="s">
        <v>16668</v>
      </c>
      <c r="E10576" t="s">
        <v>25893</v>
      </c>
      <c r="F10576" t="s">
        <v>28669</v>
      </c>
      <c r="G10576" t="s">
        <v>28675</v>
      </c>
      <c r="H10576" t="s">
        <v>9998</v>
      </c>
      <c r="I10576" t="s">
        <v>28689</v>
      </c>
      <c r="J10576" t="s">
        <v>35363</v>
      </c>
      <c r="K10576" t="s">
        <v>37213</v>
      </c>
      <c r="M10576" t="s">
        <v>37772</v>
      </c>
      <c r="N10576" t="s">
        <v>41249</v>
      </c>
      <c r="O10576" t="s">
        <v>41250</v>
      </c>
      <c r="P10576">
        <v>0</v>
      </c>
      <c r="Q10576">
        <v>3</v>
      </c>
      <c r="R10576" t="s">
        <v>41263</v>
      </c>
      <c r="S10576" t="s">
        <v>41698</v>
      </c>
      <c r="T10576" t="s">
        <v>42758</v>
      </c>
      <c r="U10576" t="s">
        <v>51722</v>
      </c>
      <c r="W10576" t="s">
        <v>37772</v>
      </c>
      <c r="X10576" t="s">
        <v>41264</v>
      </c>
    </row>
    <row r="10577" spans="1:24">
      <c r="A10577">
        <f>HYPERLINK("https://www.philgeps.gov.ph/GEPSNONPILOT/Tender/SplashBidNoticeAbstractUI.aspx?menuIndex=3&amp;refID=7056253&amp;Result=3","7056253")</f>
        <v>0</v>
      </c>
      <c r="B10577" t="s">
        <v>267</v>
      </c>
      <c r="C10577" t="s">
        <v>13489</v>
      </c>
      <c r="D10577" t="s">
        <v>16679</v>
      </c>
      <c r="E10577" t="s">
        <v>25894</v>
      </c>
      <c r="F10577" t="s">
        <v>28669</v>
      </c>
      <c r="G10577" t="s">
        <v>28675</v>
      </c>
      <c r="H10577" t="s">
        <v>9998</v>
      </c>
      <c r="I10577" t="s">
        <v>28690</v>
      </c>
      <c r="J10577" t="s">
        <v>35364</v>
      </c>
      <c r="K10577" t="s">
        <v>37206</v>
      </c>
      <c r="M10577" t="s">
        <v>38099</v>
      </c>
      <c r="N10577" t="s">
        <v>41249</v>
      </c>
      <c r="O10577" t="s">
        <v>41250</v>
      </c>
      <c r="Q10577">
        <v>18</v>
      </c>
      <c r="R10577" t="s">
        <v>41263</v>
      </c>
      <c r="S10577" t="s">
        <v>41717</v>
      </c>
      <c r="T10577" t="s">
        <v>42658</v>
      </c>
      <c r="U10577" t="s">
        <v>43621</v>
      </c>
      <c r="V10577" t="s">
        <v>55428</v>
      </c>
      <c r="W10577" t="s">
        <v>55923</v>
      </c>
      <c r="X10577" t="s">
        <v>41264</v>
      </c>
    </row>
    <row r="10578" spans="1:24">
      <c r="A10578">
        <f>HYPERLINK("https://www.philgeps.gov.ph/GEPSNONPILOT/Tender/SplashBidNoticeAbstractUI.aspx?menuIndex=3&amp;refID=7056278&amp;Result=3","7056278")</f>
        <v>0</v>
      </c>
      <c r="B10578" t="s">
        <v>2382</v>
      </c>
      <c r="C10578" t="s">
        <v>13490</v>
      </c>
      <c r="D10578" t="s">
        <v>16626</v>
      </c>
      <c r="E10578" t="s">
        <v>17202</v>
      </c>
      <c r="F10578" t="s">
        <v>28669</v>
      </c>
      <c r="G10578" t="s">
        <v>28676</v>
      </c>
      <c r="H10578" t="s">
        <v>9998</v>
      </c>
      <c r="I10578" t="s">
        <v>11142</v>
      </c>
      <c r="J10578" t="s">
        <v>29101</v>
      </c>
      <c r="K10578" t="s">
        <v>37234</v>
      </c>
      <c r="M10578" t="s">
        <v>40055</v>
      </c>
      <c r="N10578" t="s">
        <v>41249</v>
      </c>
      <c r="O10578" t="s">
        <v>41250</v>
      </c>
      <c r="P10578">
        <v>0</v>
      </c>
      <c r="Q10578">
        <v>0</v>
      </c>
      <c r="R10578" t="s">
        <v>41263</v>
      </c>
      <c r="S10578" t="s">
        <v>41698</v>
      </c>
      <c r="T10578" t="s">
        <v>42717</v>
      </c>
      <c r="U10578" t="s">
        <v>51723</v>
      </c>
      <c r="W10578" t="s">
        <v>40055</v>
      </c>
      <c r="X10578" t="s">
        <v>41264</v>
      </c>
    </row>
    <row r="10579" spans="1:24">
      <c r="A10579">
        <f>HYPERLINK("https://www.philgeps.gov.ph/GEPSNONPILOT/Tender/SplashBidNoticeAbstractUI.aspx?menuIndex=3&amp;refID=7056247&amp;Result=3","7056247")</f>
        <v>0</v>
      </c>
      <c r="B10579" t="s">
        <v>2978</v>
      </c>
      <c r="C10579" t="s">
        <v>13491</v>
      </c>
      <c r="D10579" t="s">
        <v>16618</v>
      </c>
      <c r="E10579" t="s">
        <v>25886</v>
      </c>
      <c r="F10579" t="s">
        <v>28669</v>
      </c>
      <c r="G10579" t="s">
        <v>28675</v>
      </c>
      <c r="H10579" t="s">
        <v>28686</v>
      </c>
      <c r="I10579" t="s">
        <v>28689</v>
      </c>
      <c r="J10579" t="s">
        <v>28836</v>
      </c>
      <c r="K10579" t="s">
        <v>37220</v>
      </c>
      <c r="M10579" t="s">
        <v>40743</v>
      </c>
      <c r="N10579" t="s">
        <v>41249</v>
      </c>
      <c r="O10579" t="s">
        <v>41250</v>
      </c>
      <c r="Q10579">
        <v>0</v>
      </c>
      <c r="R10579" t="s">
        <v>41263</v>
      </c>
      <c r="S10579" t="s">
        <v>41718</v>
      </c>
      <c r="T10579" t="s">
        <v>43036</v>
      </c>
      <c r="U10579" t="s">
        <v>51717</v>
      </c>
      <c r="V10579" t="s">
        <v>55436</v>
      </c>
      <c r="W10579" t="s">
        <v>40743</v>
      </c>
      <c r="X10579" t="s">
        <v>41264</v>
      </c>
    </row>
    <row r="10580" spans="1:24">
      <c r="A10580">
        <f>HYPERLINK("https://www.philgeps.gov.ph/GEPSNONPILOT/Tender/SplashBidNoticeAbstractUI.aspx?menuIndex=3&amp;refID=7056234&amp;Result=3","7056234")</f>
        <v>0</v>
      </c>
      <c r="B10580" t="s">
        <v>1474</v>
      </c>
      <c r="C10580" t="s">
        <v>13492</v>
      </c>
      <c r="D10580" t="s">
        <v>16680</v>
      </c>
      <c r="E10580" t="s">
        <v>25895</v>
      </c>
      <c r="F10580" t="s">
        <v>28669</v>
      </c>
      <c r="G10580" t="s">
        <v>28675</v>
      </c>
      <c r="H10580" t="s">
        <v>9998</v>
      </c>
      <c r="I10580" t="s">
        <v>28751</v>
      </c>
      <c r="J10580" t="s">
        <v>28836</v>
      </c>
      <c r="K10580" t="s">
        <v>37206</v>
      </c>
      <c r="M10580" t="s">
        <v>40740</v>
      </c>
      <c r="N10580" t="s">
        <v>41249</v>
      </c>
      <c r="O10580" t="s">
        <v>41250</v>
      </c>
      <c r="P10580">
        <v>0</v>
      </c>
      <c r="Q10580">
        <v>7</v>
      </c>
      <c r="R10580" t="s">
        <v>41263</v>
      </c>
      <c r="S10580" t="s">
        <v>41698</v>
      </c>
      <c r="T10580" t="s">
        <v>42836</v>
      </c>
      <c r="U10580" t="s">
        <v>51724</v>
      </c>
      <c r="W10580" t="s">
        <v>40740</v>
      </c>
      <c r="X10580" t="s">
        <v>41264</v>
      </c>
    </row>
    <row r="10581" spans="1:24">
      <c r="A10581">
        <f>HYPERLINK("https://www.philgeps.gov.ph/GEPSNONPILOT/Tender/SplashBidNoticeAbstractUI.aspx?menuIndex=3&amp;refID=7056229&amp;Result=3","7056229")</f>
        <v>0</v>
      </c>
      <c r="B10581" t="s">
        <v>2978</v>
      </c>
      <c r="C10581" t="s">
        <v>13493</v>
      </c>
      <c r="D10581" t="s">
        <v>16618</v>
      </c>
      <c r="E10581" t="s">
        <v>25886</v>
      </c>
      <c r="F10581" t="s">
        <v>28669</v>
      </c>
      <c r="G10581" t="s">
        <v>28675</v>
      </c>
      <c r="H10581" t="s">
        <v>28686</v>
      </c>
      <c r="I10581" t="s">
        <v>28689</v>
      </c>
      <c r="J10581" t="s">
        <v>29418</v>
      </c>
      <c r="K10581" t="s">
        <v>37220</v>
      </c>
      <c r="M10581" t="s">
        <v>40743</v>
      </c>
      <c r="N10581" t="s">
        <v>41249</v>
      </c>
      <c r="O10581" t="s">
        <v>41250</v>
      </c>
      <c r="Q10581">
        <v>0</v>
      </c>
      <c r="R10581" t="s">
        <v>41263</v>
      </c>
      <c r="S10581" t="s">
        <v>41719</v>
      </c>
      <c r="T10581" t="s">
        <v>43036</v>
      </c>
      <c r="U10581" t="s">
        <v>51717</v>
      </c>
      <c r="V10581" t="s">
        <v>55437</v>
      </c>
      <c r="W10581" t="s">
        <v>40743</v>
      </c>
      <c r="X10581" t="s">
        <v>41264</v>
      </c>
    </row>
    <row r="10582" spans="1:24">
      <c r="A10582">
        <f>HYPERLINK("https://www.philgeps.gov.ph/GEPSNONPILOT/Tender/SplashBidNoticeAbstractUI.aspx?menuIndex=3&amp;refID=7056305&amp;Result=3","7056305")</f>
        <v>0</v>
      </c>
      <c r="B10582" t="s">
        <v>2978</v>
      </c>
      <c r="C10582" t="s">
        <v>13494</v>
      </c>
      <c r="D10582" t="s">
        <v>16618</v>
      </c>
      <c r="E10582" t="s">
        <v>25886</v>
      </c>
      <c r="F10582" t="s">
        <v>28669</v>
      </c>
      <c r="G10582" t="s">
        <v>28675</v>
      </c>
      <c r="H10582" t="s">
        <v>28686</v>
      </c>
      <c r="I10582" t="s">
        <v>28689</v>
      </c>
      <c r="J10582" t="s">
        <v>35365</v>
      </c>
      <c r="K10582" t="s">
        <v>37220</v>
      </c>
      <c r="M10582" t="s">
        <v>40743</v>
      </c>
      <c r="N10582" t="s">
        <v>41249</v>
      </c>
      <c r="O10582" t="s">
        <v>41250</v>
      </c>
      <c r="Q10582">
        <v>0</v>
      </c>
      <c r="R10582" t="s">
        <v>41263</v>
      </c>
      <c r="S10582" t="s">
        <v>41720</v>
      </c>
      <c r="T10582" t="s">
        <v>43036</v>
      </c>
      <c r="U10582" t="s">
        <v>51717</v>
      </c>
      <c r="V10582" t="s">
        <v>55438</v>
      </c>
      <c r="W10582" t="s">
        <v>40743</v>
      </c>
      <c r="X10582" t="s">
        <v>41264</v>
      </c>
    </row>
    <row r="10583" spans="1:24">
      <c r="A10583">
        <f>HYPERLINK("https://www.philgeps.gov.ph/GEPSNONPILOT/Tender/SplashBidNoticeAbstractUI.aspx?menuIndex=3&amp;refID=7056221&amp;Result=3","7056221")</f>
        <v>0</v>
      </c>
      <c r="B10583" t="s">
        <v>267</v>
      </c>
      <c r="C10583" t="s">
        <v>13495</v>
      </c>
      <c r="D10583" t="s">
        <v>16679</v>
      </c>
      <c r="E10583" t="s">
        <v>25896</v>
      </c>
      <c r="F10583" t="s">
        <v>28669</v>
      </c>
      <c r="G10583" t="s">
        <v>28675</v>
      </c>
      <c r="H10583" t="s">
        <v>9998</v>
      </c>
      <c r="I10583" t="s">
        <v>7352</v>
      </c>
      <c r="J10583" t="s">
        <v>35366</v>
      </c>
      <c r="K10583" t="s">
        <v>37206</v>
      </c>
      <c r="M10583" t="s">
        <v>38099</v>
      </c>
      <c r="N10583" t="s">
        <v>41249</v>
      </c>
      <c r="O10583" t="s">
        <v>41250</v>
      </c>
      <c r="P10583">
        <v>0</v>
      </c>
      <c r="Q10583">
        <v>3</v>
      </c>
      <c r="R10583" t="s">
        <v>41263</v>
      </c>
      <c r="S10583" t="s">
        <v>41698</v>
      </c>
      <c r="T10583" t="s">
        <v>42658</v>
      </c>
      <c r="U10583" t="s">
        <v>43621</v>
      </c>
      <c r="V10583" t="s">
        <v>55428</v>
      </c>
      <c r="W10583" t="s">
        <v>55923</v>
      </c>
      <c r="X10583" t="s">
        <v>41264</v>
      </c>
    </row>
    <row r="10584" spans="1:24">
      <c r="A10584">
        <f>HYPERLINK("https://www.philgeps.gov.ph/GEPSNONPILOT/Tender/SplashBidNoticeAbstractUI.aspx?menuIndex=3&amp;refID=7056203&amp;Result=3","7056203")</f>
        <v>0</v>
      </c>
      <c r="B10584" t="s">
        <v>974</v>
      </c>
      <c r="C10584" t="s">
        <v>13496</v>
      </c>
      <c r="D10584" t="s">
        <v>16621</v>
      </c>
      <c r="E10584" t="s">
        <v>25897</v>
      </c>
      <c r="F10584" t="s">
        <v>28669</v>
      </c>
      <c r="G10584" t="s">
        <v>28675</v>
      </c>
      <c r="H10584" t="s">
        <v>9998</v>
      </c>
      <c r="I10584" t="s">
        <v>7352</v>
      </c>
      <c r="J10584" t="s">
        <v>35367</v>
      </c>
      <c r="K10584" t="s">
        <v>37205</v>
      </c>
      <c r="M10584" t="s">
        <v>39760</v>
      </c>
      <c r="N10584" t="s">
        <v>41249</v>
      </c>
      <c r="O10584" t="s">
        <v>41250</v>
      </c>
      <c r="P10584">
        <v>0</v>
      </c>
      <c r="Q10584">
        <v>1</v>
      </c>
      <c r="R10584" t="s">
        <v>41263</v>
      </c>
      <c r="S10584" t="s">
        <v>41698</v>
      </c>
      <c r="T10584" t="s">
        <v>42691</v>
      </c>
      <c r="U10584" t="s">
        <v>48477</v>
      </c>
      <c r="W10584" t="s">
        <v>39760</v>
      </c>
      <c r="X10584" t="s">
        <v>41264</v>
      </c>
    </row>
    <row r="10585" spans="1:24">
      <c r="A10585">
        <f>HYPERLINK("https://www.philgeps.gov.ph/GEPSNONPILOT/Tender/SplashBidNoticeAbstractUI.aspx?menuIndex=3&amp;refID=7056198&amp;Result=3","7056198")</f>
        <v>0</v>
      </c>
      <c r="B10585" t="s">
        <v>2978</v>
      </c>
      <c r="C10585" t="s">
        <v>13497</v>
      </c>
      <c r="D10585" t="s">
        <v>16618</v>
      </c>
      <c r="E10585" t="s">
        <v>25886</v>
      </c>
      <c r="F10585" t="s">
        <v>28669</v>
      </c>
      <c r="G10585" t="s">
        <v>28675</v>
      </c>
      <c r="H10585" t="s">
        <v>28686</v>
      </c>
      <c r="I10585" t="s">
        <v>28689</v>
      </c>
      <c r="J10585" t="s">
        <v>29053</v>
      </c>
      <c r="K10585" t="s">
        <v>37215</v>
      </c>
      <c r="M10585" t="s">
        <v>40743</v>
      </c>
      <c r="N10585" t="s">
        <v>41249</v>
      </c>
      <c r="O10585" t="s">
        <v>41250</v>
      </c>
      <c r="Q10585">
        <v>0</v>
      </c>
      <c r="R10585" t="s">
        <v>41263</v>
      </c>
      <c r="S10585" t="s">
        <v>41721</v>
      </c>
      <c r="T10585" t="s">
        <v>43036</v>
      </c>
      <c r="U10585" t="s">
        <v>51717</v>
      </c>
      <c r="V10585" t="s">
        <v>55439</v>
      </c>
      <c r="W10585" t="s">
        <v>40743</v>
      </c>
      <c r="X10585" t="s">
        <v>41264</v>
      </c>
    </row>
    <row r="10586" spans="1:24">
      <c r="A10586">
        <f>HYPERLINK("https://www.philgeps.gov.ph/GEPSNONPILOT/Tender/SplashBidNoticeAbstractUI.aspx?menuIndex=3&amp;refID=7056187&amp;Result=3","7056187")</f>
        <v>0</v>
      </c>
      <c r="B10586" t="s">
        <v>2979</v>
      </c>
      <c r="C10586" t="s">
        <v>13498</v>
      </c>
      <c r="D10586" t="s">
        <v>16616</v>
      </c>
      <c r="E10586" t="s">
        <v>17979</v>
      </c>
      <c r="F10586" t="s">
        <v>28669</v>
      </c>
      <c r="G10586" t="s">
        <v>28675</v>
      </c>
      <c r="H10586" t="s">
        <v>28686</v>
      </c>
      <c r="I10586" t="s">
        <v>28755</v>
      </c>
      <c r="J10586" t="s">
        <v>35368</v>
      </c>
      <c r="K10586" t="s">
        <v>37276</v>
      </c>
      <c r="M10586" t="s">
        <v>40744</v>
      </c>
      <c r="N10586" t="s">
        <v>41249</v>
      </c>
      <c r="O10586" t="s">
        <v>41250</v>
      </c>
      <c r="P10586">
        <v>0</v>
      </c>
      <c r="Q10586">
        <v>10</v>
      </c>
      <c r="R10586" t="s">
        <v>41263</v>
      </c>
      <c r="S10586" t="s">
        <v>41698</v>
      </c>
      <c r="T10586" t="s">
        <v>42700</v>
      </c>
      <c r="U10586" t="s">
        <v>51725</v>
      </c>
      <c r="W10586" t="s">
        <v>40744</v>
      </c>
      <c r="X10586" t="s">
        <v>41264</v>
      </c>
    </row>
    <row r="10587" spans="1:24">
      <c r="A10587">
        <f>HYPERLINK("https://www.philgeps.gov.ph/GEPSNONPILOT/Tender/SplashBidNoticeAbstractUI.aspx?menuIndex=3&amp;refID=7056222&amp;Result=3","7056222")</f>
        <v>0</v>
      </c>
      <c r="B10587" t="s">
        <v>2980</v>
      </c>
      <c r="C10587" t="s">
        <v>13499</v>
      </c>
      <c r="D10587" t="s">
        <v>16667</v>
      </c>
      <c r="E10587" t="s">
        <v>16820</v>
      </c>
      <c r="F10587" t="s">
        <v>28669</v>
      </c>
      <c r="G10587" t="s">
        <v>28675</v>
      </c>
      <c r="H10587" t="s">
        <v>28686</v>
      </c>
      <c r="I10587" t="s">
        <v>28689</v>
      </c>
      <c r="J10587" t="s">
        <v>28834</v>
      </c>
      <c r="K10587" t="s">
        <v>37206</v>
      </c>
      <c r="M10587" t="s">
        <v>40745</v>
      </c>
      <c r="N10587" t="s">
        <v>41249</v>
      </c>
      <c r="O10587" t="s">
        <v>41250</v>
      </c>
      <c r="P10587">
        <v>0</v>
      </c>
      <c r="Q10587">
        <v>0</v>
      </c>
      <c r="R10587" t="s">
        <v>41263</v>
      </c>
      <c r="S10587" t="s">
        <v>41698</v>
      </c>
      <c r="T10587" t="s">
        <v>42691</v>
      </c>
      <c r="U10587" t="s">
        <v>51726</v>
      </c>
      <c r="W10587" t="s">
        <v>40745</v>
      </c>
      <c r="X10587" t="s">
        <v>41264</v>
      </c>
    </row>
    <row r="10588" spans="1:24">
      <c r="A10588">
        <f>HYPERLINK("https://www.philgeps.gov.ph/GEPSNONPILOT/Tender/SplashBidNoticeAbstractUI.aspx?menuIndex=3&amp;refID=7056179&amp;Result=3","7056179")</f>
        <v>0</v>
      </c>
      <c r="B10588" t="s">
        <v>2968</v>
      </c>
      <c r="C10588" t="s">
        <v>13500</v>
      </c>
      <c r="D10588" t="s">
        <v>16657</v>
      </c>
      <c r="E10588" t="s">
        <v>25898</v>
      </c>
      <c r="F10588" t="s">
        <v>28669</v>
      </c>
      <c r="G10588" t="s">
        <v>28675</v>
      </c>
      <c r="H10588" t="s">
        <v>9998</v>
      </c>
      <c r="I10588" t="s">
        <v>28714</v>
      </c>
      <c r="J10588" t="s">
        <v>29724</v>
      </c>
      <c r="K10588" t="s">
        <v>37209</v>
      </c>
      <c r="M10588" t="s">
        <v>40730</v>
      </c>
      <c r="N10588" t="s">
        <v>41249</v>
      </c>
      <c r="O10588" t="s">
        <v>41250</v>
      </c>
      <c r="P10588">
        <v>0</v>
      </c>
      <c r="Q10588">
        <v>21</v>
      </c>
      <c r="R10588" t="s">
        <v>41263</v>
      </c>
      <c r="S10588" t="s">
        <v>41698</v>
      </c>
      <c r="T10588" t="s">
        <v>43117</v>
      </c>
      <c r="U10588" t="s">
        <v>51727</v>
      </c>
      <c r="V10588" t="s">
        <v>55440</v>
      </c>
      <c r="W10588" t="s">
        <v>40730</v>
      </c>
      <c r="X10588" t="s">
        <v>41264</v>
      </c>
    </row>
    <row r="10589" spans="1:24">
      <c r="A10589">
        <f>HYPERLINK("https://www.philgeps.gov.ph/GEPSNONPILOT/Tender/SplashBidNoticeAbstractUI.aspx?menuIndex=3&amp;refID=7056200&amp;Result=3","7056200")</f>
        <v>0</v>
      </c>
      <c r="B10589" t="s">
        <v>1956</v>
      </c>
      <c r="C10589" t="s">
        <v>13501</v>
      </c>
      <c r="D10589" t="s">
        <v>16615</v>
      </c>
      <c r="E10589" t="s">
        <v>25899</v>
      </c>
      <c r="F10589" t="s">
        <v>28669</v>
      </c>
      <c r="G10589" t="s">
        <v>28675</v>
      </c>
      <c r="H10589" t="s">
        <v>9998</v>
      </c>
      <c r="I10589" t="s">
        <v>28687</v>
      </c>
      <c r="J10589" t="s">
        <v>28924</v>
      </c>
      <c r="K10589" t="s">
        <v>37206</v>
      </c>
      <c r="M10589" t="s">
        <v>39588</v>
      </c>
      <c r="N10589" t="s">
        <v>41249</v>
      </c>
      <c r="O10589" t="s">
        <v>41250</v>
      </c>
      <c r="P10589">
        <v>0</v>
      </c>
      <c r="Q10589">
        <v>6</v>
      </c>
      <c r="R10589" t="s">
        <v>41263</v>
      </c>
      <c r="S10589" t="s">
        <v>41698</v>
      </c>
      <c r="T10589" t="s">
        <v>42799</v>
      </c>
      <c r="U10589" t="s">
        <v>51728</v>
      </c>
      <c r="W10589" t="s">
        <v>39588</v>
      </c>
      <c r="X10589" t="s">
        <v>41264</v>
      </c>
    </row>
    <row r="10590" spans="1:24">
      <c r="A10590">
        <f>HYPERLINK("https://www.philgeps.gov.ph/GEPSNONPILOT/Tender/SplashBidNoticeAbstractUI.aspx?menuIndex=3&amp;refID=7056328&amp;Result=3","7056328")</f>
        <v>0</v>
      </c>
      <c r="B10590" t="s">
        <v>2978</v>
      </c>
      <c r="C10590" t="s">
        <v>13502</v>
      </c>
      <c r="D10590" t="s">
        <v>16618</v>
      </c>
      <c r="E10590" t="s">
        <v>25886</v>
      </c>
      <c r="F10590" t="s">
        <v>28669</v>
      </c>
      <c r="G10590" t="s">
        <v>28675</v>
      </c>
      <c r="H10590" t="s">
        <v>28686</v>
      </c>
      <c r="I10590" t="s">
        <v>28689</v>
      </c>
      <c r="J10590" t="s">
        <v>30045</v>
      </c>
      <c r="K10590" t="s">
        <v>37213</v>
      </c>
      <c r="M10590" t="s">
        <v>40743</v>
      </c>
      <c r="N10590" t="s">
        <v>41249</v>
      </c>
      <c r="O10590" t="s">
        <v>41250</v>
      </c>
      <c r="Q10590">
        <v>0</v>
      </c>
      <c r="R10590" t="s">
        <v>41263</v>
      </c>
      <c r="S10590" t="s">
        <v>41722</v>
      </c>
      <c r="T10590" t="s">
        <v>43036</v>
      </c>
      <c r="U10590" t="s">
        <v>51717</v>
      </c>
      <c r="V10590" t="s">
        <v>55441</v>
      </c>
      <c r="W10590" t="s">
        <v>40743</v>
      </c>
      <c r="X10590" t="s">
        <v>41264</v>
      </c>
    </row>
    <row r="10591" spans="1:24">
      <c r="A10591">
        <f>HYPERLINK("https://www.philgeps.gov.ph/GEPSNONPILOT/Tender/SplashBidNoticeAbstractUI.aspx?menuIndex=3&amp;refID=7056418&amp;Result=3","7056418")</f>
        <v>0</v>
      </c>
      <c r="B10591" t="s">
        <v>2978</v>
      </c>
      <c r="C10591" t="s">
        <v>13503</v>
      </c>
      <c r="D10591" t="s">
        <v>16618</v>
      </c>
      <c r="E10591" t="s">
        <v>25886</v>
      </c>
      <c r="F10591" t="s">
        <v>28669</v>
      </c>
      <c r="G10591" t="s">
        <v>28675</v>
      </c>
      <c r="H10591" t="s">
        <v>28686</v>
      </c>
      <c r="I10591" t="s">
        <v>28689</v>
      </c>
      <c r="J10591" t="s">
        <v>35369</v>
      </c>
      <c r="K10591" t="s">
        <v>37213</v>
      </c>
      <c r="M10591" t="s">
        <v>40743</v>
      </c>
      <c r="N10591" t="s">
        <v>41249</v>
      </c>
      <c r="O10591" t="s">
        <v>41250</v>
      </c>
      <c r="Q10591">
        <v>0</v>
      </c>
      <c r="R10591" t="s">
        <v>41263</v>
      </c>
      <c r="S10591" t="s">
        <v>41723</v>
      </c>
      <c r="T10591" t="s">
        <v>43036</v>
      </c>
      <c r="U10591" t="s">
        <v>51717</v>
      </c>
      <c r="V10591" t="s">
        <v>55442</v>
      </c>
      <c r="W10591" t="s">
        <v>40743</v>
      </c>
      <c r="X10591" t="s">
        <v>41264</v>
      </c>
    </row>
    <row r="10592" spans="1:24">
      <c r="A10592">
        <f>HYPERLINK("https://www.philgeps.gov.ph/GEPSNONPILOT/Tender/SplashBidNoticeAbstractUI.aspx?menuIndex=3&amp;refID=7056072&amp;Result=3","7056072")</f>
        <v>0</v>
      </c>
      <c r="B10592" t="s">
        <v>267</v>
      </c>
      <c r="C10592" t="s">
        <v>13504</v>
      </c>
      <c r="D10592" t="s">
        <v>16679</v>
      </c>
      <c r="E10592" t="s">
        <v>25900</v>
      </c>
      <c r="F10592" t="s">
        <v>28669</v>
      </c>
      <c r="G10592" t="s">
        <v>28675</v>
      </c>
      <c r="H10592" t="s">
        <v>9998</v>
      </c>
      <c r="I10592" t="s">
        <v>6458</v>
      </c>
      <c r="J10592" t="s">
        <v>35370</v>
      </c>
      <c r="K10592" t="s">
        <v>37206</v>
      </c>
      <c r="M10592" t="s">
        <v>38099</v>
      </c>
      <c r="N10592" t="s">
        <v>41249</v>
      </c>
      <c r="O10592" t="s">
        <v>41250</v>
      </c>
      <c r="P10592">
        <v>0</v>
      </c>
      <c r="Q10592">
        <v>5</v>
      </c>
      <c r="R10592" t="s">
        <v>41263</v>
      </c>
      <c r="S10592" t="s">
        <v>41698</v>
      </c>
      <c r="T10592" t="s">
        <v>42658</v>
      </c>
      <c r="U10592" t="s">
        <v>43621</v>
      </c>
      <c r="V10592" t="s">
        <v>55428</v>
      </c>
      <c r="W10592" t="s">
        <v>55923</v>
      </c>
      <c r="X10592" t="s">
        <v>41264</v>
      </c>
    </row>
    <row r="10593" spans="1:24">
      <c r="A10593">
        <f>HYPERLINK("https://www.philgeps.gov.ph/GEPSNONPILOT/Tender/SplashBidNoticeAbstractUI.aspx?menuIndex=3&amp;refID=7056410&amp;Result=3","7056410")</f>
        <v>0</v>
      </c>
      <c r="B10593" t="s">
        <v>2978</v>
      </c>
      <c r="C10593" t="s">
        <v>13505</v>
      </c>
      <c r="D10593" t="s">
        <v>16618</v>
      </c>
      <c r="E10593" t="s">
        <v>25886</v>
      </c>
      <c r="F10593" t="s">
        <v>28669</v>
      </c>
      <c r="G10593" t="s">
        <v>28675</v>
      </c>
      <c r="H10593" t="s">
        <v>28686</v>
      </c>
      <c r="I10593" t="s">
        <v>28689</v>
      </c>
      <c r="J10593" t="s">
        <v>28924</v>
      </c>
      <c r="K10593" t="s">
        <v>37220</v>
      </c>
      <c r="M10593" t="s">
        <v>40743</v>
      </c>
      <c r="N10593" t="s">
        <v>41249</v>
      </c>
      <c r="O10593" t="s">
        <v>41250</v>
      </c>
      <c r="Q10593">
        <v>0</v>
      </c>
      <c r="R10593" t="s">
        <v>41263</v>
      </c>
      <c r="S10593" t="s">
        <v>41724</v>
      </c>
      <c r="T10593" t="s">
        <v>43036</v>
      </c>
      <c r="U10593" t="s">
        <v>51717</v>
      </c>
      <c r="V10593" t="s">
        <v>55443</v>
      </c>
      <c r="W10593" t="s">
        <v>40743</v>
      </c>
      <c r="X10593" t="s">
        <v>41264</v>
      </c>
    </row>
    <row r="10594" spans="1:24">
      <c r="A10594">
        <f>HYPERLINK("https://www.philgeps.gov.ph/GEPSNONPILOT/Tender/SplashBidNoticeAbstractUI.aspx?menuIndex=3&amp;refID=7056402&amp;Result=3","7056402")</f>
        <v>0</v>
      </c>
      <c r="B10594" t="s">
        <v>2978</v>
      </c>
      <c r="C10594" t="s">
        <v>13506</v>
      </c>
      <c r="D10594" t="s">
        <v>16618</v>
      </c>
      <c r="E10594" t="s">
        <v>25886</v>
      </c>
      <c r="F10594" t="s">
        <v>28669</v>
      </c>
      <c r="G10594" t="s">
        <v>28675</v>
      </c>
      <c r="H10594" t="s">
        <v>28686</v>
      </c>
      <c r="I10594" t="s">
        <v>28689</v>
      </c>
      <c r="J10594" t="s">
        <v>29065</v>
      </c>
      <c r="K10594" t="s">
        <v>37215</v>
      </c>
      <c r="M10594" t="s">
        <v>40743</v>
      </c>
      <c r="N10594" t="s">
        <v>41249</v>
      </c>
      <c r="O10594" t="s">
        <v>41250</v>
      </c>
      <c r="Q10594">
        <v>0</v>
      </c>
      <c r="R10594" t="s">
        <v>41263</v>
      </c>
      <c r="S10594" t="s">
        <v>41725</v>
      </c>
      <c r="T10594" t="s">
        <v>43036</v>
      </c>
      <c r="U10594" t="s">
        <v>51717</v>
      </c>
      <c r="V10594" t="s">
        <v>55444</v>
      </c>
      <c r="W10594" t="s">
        <v>40743</v>
      </c>
      <c r="X10594" t="s">
        <v>41264</v>
      </c>
    </row>
    <row r="10595" spans="1:24">
      <c r="A10595">
        <f>HYPERLINK("https://www.philgeps.gov.ph/GEPSNONPILOT/Tender/SplashBidNoticeAbstractUI.aspx?menuIndex=3&amp;refID=7056395&amp;Result=3","7056395")</f>
        <v>0</v>
      </c>
      <c r="B10595" t="s">
        <v>2981</v>
      </c>
      <c r="C10595" t="s">
        <v>13507</v>
      </c>
      <c r="D10595" t="s">
        <v>16616</v>
      </c>
      <c r="E10595" t="s">
        <v>25901</v>
      </c>
      <c r="F10595" t="s">
        <v>28669</v>
      </c>
      <c r="G10595" t="s">
        <v>28675</v>
      </c>
      <c r="H10595" t="s">
        <v>9998</v>
      </c>
      <c r="I10595" t="s">
        <v>28687</v>
      </c>
      <c r="J10595" t="s">
        <v>28878</v>
      </c>
      <c r="K10595" t="s">
        <v>37206</v>
      </c>
      <c r="M10595" t="s">
        <v>40746</v>
      </c>
      <c r="N10595" t="s">
        <v>41249</v>
      </c>
      <c r="O10595" t="s">
        <v>41250</v>
      </c>
      <c r="P10595">
        <v>0</v>
      </c>
      <c r="Q10595">
        <v>0</v>
      </c>
      <c r="R10595" t="s">
        <v>41263</v>
      </c>
      <c r="S10595" t="s">
        <v>41698</v>
      </c>
      <c r="T10595" t="s">
        <v>42721</v>
      </c>
      <c r="U10595" t="s">
        <v>51729</v>
      </c>
      <c r="V10595" t="s">
        <v>55445</v>
      </c>
      <c r="W10595" t="s">
        <v>40746</v>
      </c>
      <c r="X10595" t="s">
        <v>41264</v>
      </c>
    </row>
    <row r="10596" spans="1:24">
      <c r="A10596">
        <f>HYPERLINK("https://www.philgeps.gov.ph/GEPSNONPILOT/Tender/SplashBidNoticeAbstractUI.aspx?menuIndex=3&amp;refID=7056385&amp;Result=3","7056385")</f>
        <v>0</v>
      </c>
      <c r="B10596" t="s">
        <v>2968</v>
      </c>
      <c r="C10596" t="s">
        <v>13508</v>
      </c>
      <c r="D10596" t="s">
        <v>16657</v>
      </c>
      <c r="E10596" t="s">
        <v>25902</v>
      </c>
      <c r="F10596" t="s">
        <v>28669</v>
      </c>
      <c r="G10596" t="s">
        <v>28675</v>
      </c>
      <c r="H10596" t="s">
        <v>9998</v>
      </c>
      <c r="I10596" t="s">
        <v>28713</v>
      </c>
      <c r="J10596" t="s">
        <v>35371</v>
      </c>
      <c r="K10596" t="s">
        <v>37209</v>
      </c>
      <c r="M10596" t="s">
        <v>40730</v>
      </c>
      <c r="N10596" t="s">
        <v>41249</v>
      </c>
      <c r="O10596" t="s">
        <v>41250</v>
      </c>
      <c r="P10596">
        <v>0</v>
      </c>
      <c r="Q10596">
        <v>53</v>
      </c>
      <c r="R10596" t="s">
        <v>41263</v>
      </c>
      <c r="S10596" t="s">
        <v>41698</v>
      </c>
      <c r="T10596" t="s">
        <v>42816</v>
      </c>
      <c r="U10596" t="s">
        <v>51730</v>
      </c>
      <c r="V10596" t="s">
        <v>55446</v>
      </c>
      <c r="W10596" t="s">
        <v>40730</v>
      </c>
      <c r="X10596" t="s">
        <v>41264</v>
      </c>
    </row>
    <row r="10597" spans="1:24">
      <c r="A10597">
        <f>HYPERLINK("https://www.philgeps.gov.ph/GEPSNONPILOT/Tender/SplashBidNoticeAbstractUI.aspx?menuIndex=3&amp;refID=7056401&amp;Result=3","7056401")</f>
        <v>0</v>
      </c>
      <c r="B10597" t="s">
        <v>2977</v>
      </c>
      <c r="C10597" t="s">
        <v>13475</v>
      </c>
      <c r="D10597" t="s">
        <v>16627</v>
      </c>
      <c r="E10597" t="s">
        <v>25903</v>
      </c>
      <c r="F10597" t="s">
        <v>28669</v>
      </c>
      <c r="G10597" t="s">
        <v>28675</v>
      </c>
      <c r="H10597" t="s">
        <v>9998</v>
      </c>
      <c r="I10597" t="s">
        <v>7352</v>
      </c>
      <c r="J10597" t="s">
        <v>35356</v>
      </c>
      <c r="K10597" t="s">
        <v>37206</v>
      </c>
      <c r="M10597" t="s">
        <v>40742</v>
      </c>
      <c r="N10597" t="s">
        <v>41249</v>
      </c>
      <c r="O10597" t="s">
        <v>41250</v>
      </c>
      <c r="P10597">
        <v>0</v>
      </c>
      <c r="Q10597">
        <v>3</v>
      </c>
      <c r="R10597" t="s">
        <v>41263</v>
      </c>
      <c r="S10597" t="s">
        <v>41698</v>
      </c>
      <c r="T10597" t="s">
        <v>42764</v>
      </c>
      <c r="U10597" t="s">
        <v>51716</v>
      </c>
      <c r="W10597" t="s">
        <v>40742</v>
      </c>
      <c r="X10597" t="s">
        <v>41264</v>
      </c>
    </row>
    <row r="10598" spans="1:24">
      <c r="A10598">
        <f>HYPERLINK("https://www.philgeps.gov.ph/GEPSNONPILOT/Tender/SplashBidNoticeAbstractUI.aspx?menuIndex=3&amp;refID=7056379&amp;Result=3","7056379")</f>
        <v>0</v>
      </c>
      <c r="B10598" t="s">
        <v>2978</v>
      </c>
      <c r="C10598" t="s">
        <v>13509</v>
      </c>
      <c r="D10598" t="s">
        <v>16618</v>
      </c>
      <c r="E10598" t="s">
        <v>25886</v>
      </c>
      <c r="F10598" t="s">
        <v>28669</v>
      </c>
      <c r="G10598" t="s">
        <v>28675</v>
      </c>
      <c r="H10598" t="s">
        <v>28686</v>
      </c>
      <c r="I10598" t="s">
        <v>28689</v>
      </c>
      <c r="J10598" t="s">
        <v>35372</v>
      </c>
      <c r="K10598" t="s">
        <v>37215</v>
      </c>
      <c r="M10598" t="s">
        <v>40743</v>
      </c>
      <c r="N10598" t="s">
        <v>41249</v>
      </c>
      <c r="O10598" t="s">
        <v>41250</v>
      </c>
      <c r="Q10598">
        <v>0</v>
      </c>
      <c r="R10598" t="s">
        <v>41263</v>
      </c>
      <c r="S10598" t="s">
        <v>41726</v>
      </c>
      <c r="T10598" t="s">
        <v>43036</v>
      </c>
      <c r="U10598" t="s">
        <v>51717</v>
      </c>
      <c r="V10598" t="s">
        <v>55447</v>
      </c>
      <c r="W10598" t="s">
        <v>40743</v>
      </c>
      <c r="X10598" t="s">
        <v>41264</v>
      </c>
    </row>
    <row r="10599" spans="1:24">
      <c r="A10599">
        <f>HYPERLINK("https://www.philgeps.gov.ph/GEPSNONPILOT/Tender/SplashBidNoticeAbstractUI.aspx?menuIndex=3&amp;refID=7056434&amp;Result=3","7056434")</f>
        <v>0</v>
      </c>
      <c r="B10599" t="s">
        <v>2978</v>
      </c>
      <c r="C10599" t="s">
        <v>13510</v>
      </c>
      <c r="D10599" t="s">
        <v>16618</v>
      </c>
      <c r="E10599" t="s">
        <v>25886</v>
      </c>
      <c r="F10599" t="s">
        <v>28669</v>
      </c>
      <c r="G10599" t="s">
        <v>28675</v>
      </c>
      <c r="H10599" t="s">
        <v>28686</v>
      </c>
      <c r="I10599" t="s">
        <v>28689</v>
      </c>
      <c r="J10599" t="s">
        <v>28836</v>
      </c>
      <c r="K10599" t="s">
        <v>37220</v>
      </c>
      <c r="M10599" t="s">
        <v>40743</v>
      </c>
      <c r="N10599" t="s">
        <v>41249</v>
      </c>
      <c r="O10599" t="s">
        <v>41250</v>
      </c>
      <c r="Q10599">
        <v>0</v>
      </c>
      <c r="R10599" t="s">
        <v>41263</v>
      </c>
      <c r="S10599" t="s">
        <v>41727</v>
      </c>
      <c r="T10599" t="s">
        <v>43036</v>
      </c>
      <c r="U10599" t="s">
        <v>51717</v>
      </c>
      <c r="V10599" t="s">
        <v>55448</v>
      </c>
      <c r="W10599" t="s">
        <v>40743</v>
      </c>
      <c r="X10599" t="s">
        <v>41264</v>
      </c>
    </row>
    <row r="10600" spans="1:24">
      <c r="A10600">
        <f>HYPERLINK("https://www.philgeps.gov.ph/GEPSNONPILOT/Tender/SplashBidNoticeAbstractUI.aspx?menuIndex=3&amp;refID=7056330&amp;Result=3","7056330")</f>
        <v>0</v>
      </c>
      <c r="B10600" t="s">
        <v>2979</v>
      </c>
      <c r="C10600" t="s">
        <v>13511</v>
      </c>
      <c r="D10600" t="s">
        <v>16616</v>
      </c>
      <c r="E10600" t="s">
        <v>25904</v>
      </c>
      <c r="F10600" t="s">
        <v>28669</v>
      </c>
      <c r="G10600" t="s">
        <v>28675</v>
      </c>
      <c r="H10600" t="s">
        <v>28686</v>
      </c>
      <c r="I10600" t="s">
        <v>28755</v>
      </c>
      <c r="J10600" t="s">
        <v>35373</v>
      </c>
      <c r="K10600" t="s">
        <v>37276</v>
      </c>
      <c r="M10600" t="s">
        <v>40744</v>
      </c>
      <c r="N10600" t="s">
        <v>41249</v>
      </c>
      <c r="O10600" t="s">
        <v>41250</v>
      </c>
      <c r="P10600">
        <v>0</v>
      </c>
      <c r="Q10600">
        <v>7</v>
      </c>
      <c r="R10600" t="s">
        <v>41263</v>
      </c>
      <c r="S10600" t="s">
        <v>41698</v>
      </c>
      <c r="T10600" t="s">
        <v>42987</v>
      </c>
      <c r="U10600" t="s">
        <v>51731</v>
      </c>
      <c r="W10600" t="s">
        <v>40744</v>
      </c>
      <c r="X10600" t="s">
        <v>41264</v>
      </c>
    </row>
    <row r="10601" spans="1:24">
      <c r="A10601">
        <f>HYPERLINK("https://www.philgeps.gov.ph/GEPSNONPILOT/Tender/SplashBidNoticeAbstractUI.aspx?menuIndex=3&amp;refID=7056428&amp;Result=3","7056428")</f>
        <v>0</v>
      </c>
      <c r="B10601" t="s">
        <v>2768</v>
      </c>
      <c r="C10601" t="s">
        <v>13512</v>
      </c>
      <c r="D10601" t="s">
        <v>16621</v>
      </c>
      <c r="E10601" t="s">
        <v>25905</v>
      </c>
      <c r="F10601" t="s">
        <v>28669</v>
      </c>
      <c r="G10601" t="s">
        <v>28675</v>
      </c>
      <c r="H10601" t="s">
        <v>9998</v>
      </c>
      <c r="I10601" t="s">
        <v>28688</v>
      </c>
      <c r="J10601" t="s">
        <v>35374</v>
      </c>
      <c r="K10601" t="s">
        <v>37206</v>
      </c>
      <c r="M10601" t="s">
        <v>40488</v>
      </c>
      <c r="N10601" t="s">
        <v>41249</v>
      </c>
      <c r="O10601" t="s">
        <v>41250</v>
      </c>
      <c r="P10601">
        <v>0</v>
      </c>
      <c r="Q10601">
        <v>12</v>
      </c>
      <c r="R10601" t="s">
        <v>41263</v>
      </c>
      <c r="S10601" t="s">
        <v>41698</v>
      </c>
      <c r="T10601" t="s">
        <v>43118</v>
      </c>
      <c r="U10601" t="s">
        <v>50794</v>
      </c>
      <c r="V10601" t="s">
        <v>55303</v>
      </c>
      <c r="W10601" t="s">
        <v>40488</v>
      </c>
      <c r="X10601" t="s">
        <v>41264</v>
      </c>
    </row>
    <row r="10602" spans="1:24">
      <c r="A10602">
        <f>HYPERLINK("https://www.philgeps.gov.ph/GEPSNONPILOT/Tender/SplashBidNoticeAbstractUI.aspx?menuIndex=3&amp;refID=7056091&amp;Result=3","7056091")</f>
        <v>0</v>
      </c>
      <c r="B10602" t="s">
        <v>2759</v>
      </c>
      <c r="C10602" t="s">
        <v>13513</v>
      </c>
      <c r="D10602" t="s">
        <v>16628</v>
      </c>
      <c r="E10602" t="s">
        <v>25906</v>
      </c>
      <c r="F10602" t="s">
        <v>28669</v>
      </c>
      <c r="G10602" t="s">
        <v>28680</v>
      </c>
      <c r="H10602" t="s">
        <v>9998</v>
      </c>
      <c r="I10602" t="s">
        <v>8667</v>
      </c>
      <c r="J10602" t="s">
        <v>35375</v>
      </c>
      <c r="K10602" t="s">
        <v>37206</v>
      </c>
      <c r="M10602" t="s">
        <v>40478</v>
      </c>
      <c r="N10602" t="s">
        <v>41249</v>
      </c>
      <c r="O10602" t="s">
        <v>41250</v>
      </c>
      <c r="P10602">
        <v>0</v>
      </c>
      <c r="Q10602">
        <v>2</v>
      </c>
      <c r="R10602" t="s">
        <v>41263</v>
      </c>
      <c r="S10602" t="s">
        <v>41698</v>
      </c>
      <c r="T10602" t="s">
        <v>42686</v>
      </c>
      <c r="U10602" t="s">
        <v>51732</v>
      </c>
      <c r="W10602" t="s">
        <v>40478</v>
      </c>
      <c r="X10602" t="s">
        <v>41264</v>
      </c>
    </row>
    <row r="10603" spans="1:24">
      <c r="A10603">
        <f>HYPERLINK("https://www.philgeps.gov.ph/GEPSNONPILOT/Tender/SplashBidNoticeAbstractUI.aspx?menuIndex=3&amp;refID=7056375&amp;Result=3","7056375")</f>
        <v>0</v>
      </c>
      <c r="B10603" t="s">
        <v>2979</v>
      </c>
      <c r="C10603" t="s">
        <v>13514</v>
      </c>
      <c r="D10603" t="s">
        <v>16616</v>
      </c>
      <c r="E10603" t="s">
        <v>17049</v>
      </c>
      <c r="F10603" t="s">
        <v>28669</v>
      </c>
      <c r="G10603" t="s">
        <v>28675</v>
      </c>
      <c r="H10603" t="s">
        <v>28686</v>
      </c>
      <c r="I10603" t="s">
        <v>28755</v>
      </c>
      <c r="J10603" t="s">
        <v>35376</v>
      </c>
      <c r="K10603" t="s">
        <v>37212</v>
      </c>
      <c r="M10603" t="s">
        <v>40744</v>
      </c>
      <c r="N10603" t="s">
        <v>41249</v>
      </c>
      <c r="O10603" t="s">
        <v>41250</v>
      </c>
      <c r="P10603">
        <v>0</v>
      </c>
      <c r="Q10603">
        <v>7</v>
      </c>
      <c r="R10603" t="s">
        <v>41263</v>
      </c>
      <c r="S10603" t="s">
        <v>41698</v>
      </c>
      <c r="T10603" t="s">
        <v>42987</v>
      </c>
      <c r="U10603" t="s">
        <v>51733</v>
      </c>
      <c r="W10603" t="s">
        <v>40744</v>
      </c>
      <c r="X10603" t="s">
        <v>41264</v>
      </c>
    </row>
    <row r="10604" spans="1:24">
      <c r="A10604">
        <f>HYPERLINK("https://www.philgeps.gov.ph/GEPSNONPILOT/Tender/SplashBidNoticeAbstractUI.aspx?menuIndex=3&amp;refID=7056427&amp;Result=3","7056427")</f>
        <v>0</v>
      </c>
      <c r="B10604" t="s">
        <v>2978</v>
      </c>
      <c r="C10604" t="s">
        <v>13515</v>
      </c>
      <c r="D10604" t="s">
        <v>16618</v>
      </c>
      <c r="E10604" t="s">
        <v>25886</v>
      </c>
      <c r="F10604" t="s">
        <v>28669</v>
      </c>
      <c r="G10604" t="s">
        <v>28675</v>
      </c>
      <c r="H10604" t="s">
        <v>28686</v>
      </c>
      <c r="I10604" t="s">
        <v>28689</v>
      </c>
      <c r="J10604" t="s">
        <v>35377</v>
      </c>
      <c r="K10604" t="s">
        <v>37220</v>
      </c>
      <c r="M10604" t="s">
        <v>40743</v>
      </c>
      <c r="N10604" t="s">
        <v>41249</v>
      </c>
      <c r="O10604" t="s">
        <v>41250</v>
      </c>
      <c r="Q10604">
        <v>0</v>
      </c>
      <c r="R10604" t="s">
        <v>41263</v>
      </c>
      <c r="S10604" t="s">
        <v>41728</v>
      </c>
      <c r="T10604" t="s">
        <v>43036</v>
      </c>
      <c r="U10604" t="s">
        <v>51717</v>
      </c>
      <c r="V10604" t="s">
        <v>55449</v>
      </c>
      <c r="W10604" t="s">
        <v>40743</v>
      </c>
      <c r="X10604" t="s">
        <v>41264</v>
      </c>
    </row>
    <row r="10605" spans="1:24">
      <c r="A10605">
        <f>HYPERLINK("https://www.philgeps.gov.ph/GEPSNONPILOT/Tender/SplashBidNoticeAbstractUI.aspx?menuIndex=3&amp;refID=7056368&amp;Result=3","7056368")</f>
        <v>0</v>
      </c>
      <c r="B10605" t="s">
        <v>2978</v>
      </c>
      <c r="C10605" t="s">
        <v>13516</v>
      </c>
      <c r="D10605" t="s">
        <v>16618</v>
      </c>
      <c r="E10605" t="s">
        <v>25886</v>
      </c>
      <c r="F10605" t="s">
        <v>28669</v>
      </c>
      <c r="G10605" t="s">
        <v>28675</v>
      </c>
      <c r="H10605" t="s">
        <v>28686</v>
      </c>
      <c r="I10605" t="s">
        <v>28689</v>
      </c>
      <c r="J10605" t="s">
        <v>28850</v>
      </c>
      <c r="K10605" t="s">
        <v>37232</v>
      </c>
      <c r="M10605" t="s">
        <v>40743</v>
      </c>
      <c r="N10605" t="s">
        <v>41249</v>
      </c>
      <c r="O10605" t="s">
        <v>41250</v>
      </c>
      <c r="Q10605">
        <v>0</v>
      </c>
      <c r="R10605" t="s">
        <v>41263</v>
      </c>
      <c r="S10605" t="s">
        <v>41729</v>
      </c>
      <c r="T10605" t="s">
        <v>43036</v>
      </c>
      <c r="U10605" t="s">
        <v>51717</v>
      </c>
      <c r="V10605" t="s">
        <v>55450</v>
      </c>
      <c r="W10605" t="s">
        <v>40743</v>
      </c>
      <c r="X10605" t="s">
        <v>41264</v>
      </c>
    </row>
    <row r="10606" spans="1:24">
      <c r="A10606">
        <f>HYPERLINK("https://www.philgeps.gov.ph/GEPSNONPILOT/Tender/SplashBidNoticeAbstractUI.aspx?menuIndex=3&amp;refID=7056351&amp;Result=3","7056351")</f>
        <v>0</v>
      </c>
      <c r="B10606" t="s">
        <v>2968</v>
      </c>
      <c r="C10606" t="s">
        <v>13517</v>
      </c>
      <c r="D10606" t="s">
        <v>16657</v>
      </c>
      <c r="E10606" t="s">
        <v>25907</v>
      </c>
      <c r="F10606" t="s">
        <v>28669</v>
      </c>
      <c r="G10606" t="s">
        <v>28675</v>
      </c>
      <c r="H10606" t="s">
        <v>9998</v>
      </c>
      <c r="I10606" t="s">
        <v>28713</v>
      </c>
      <c r="J10606" t="s">
        <v>29112</v>
      </c>
      <c r="K10606" t="s">
        <v>37209</v>
      </c>
      <c r="M10606" t="s">
        <v>40730</v>
      </c>
      <c r="N10606" t="s">
        <v>41249</v>
      </c>
      <c r="O10606" t="s">
        <v>41250</v>
      </c>
      <c r="P10606">
        <v>0</v>
      </c>
      <c r="Q10606">
        <v>17</v>
      </c>
      <c r="R10606" t="s">
        <v>41263</v>
      </c>
      <c r="S10606" t="s">
        <v>41698</v>
      </c>
      <c r="T10606" t="s">
        <v>42816</v>
      </c>
      <c r="U10606" t="s">
        <v>51734</v>
      </c>
      <c r="V10606" t="s">
        <v>55451</v>
      </c>
      <c r="W10606" t="s">
        <v>40730</v>
      </c>
      <c r="X10606" t="s">
        <v>41264</v>
      </c>
    </row>
    <row r="10607" spans="1:24">
      <c r="A10607">
        <f>HYPERLINK("https://www.philgeps.gov.ph/GEPSNONPILOT/Tender/SplashBidNoticeAbstractUI.aspx?menuIndex=3&amp;refID=7056323&amp;Result=3","7056323")</f>
        <v>0</v>
      </c>
      <c r="B10607" t="s">
        <v>2968</v>
      </c>
      <c r="C10607" t="s">
        <v>13518</v>
      </c>
      <c r="D10607" t="s">
        <v>16657</v>
      </c>
      <c r="E10607" t="s">
        <v>25908</v>
      </c>
      <c r="F10607" t="s">
        <v>28669</v>
      </c>
      <c r="G10607" t="s">
        <v>28675</v>
      </c>
      <c r="H10607" t="s">
        <v>9998</v>
      </c>
      <c r="I10607" t="s">
        <v>28714</v>
      </c>
      <c r="J10607" t="s">
        <v>30815</v>
      </c>
      <c r="K10607" t="s">
        <v>37209</v>
      </c>
      <c r="M10607" t="s">
        <v>40730</v>
      </c>
      <c r="N10607" t="s">
        <v>41249</v>
      </c>
      <c r="O10607" t="s">
        <v>41250</v>
      </c>
      <c r="P10607">
        <v>0</v>
      </c>
      <c r="Q10607">
        <v>25</v>
      </c>
      <c r="R10607" t="s">
        <v>41263</v>
      </c>
      <c r="S10607" t="s">
        <v>41698</v>
      </c>
      <c r="T10607" t="s">
        <v>43117</v>
      </c>
      <c r="U10607" t="s">
        <v>51735</v>
      </c>
      <c r="V10607" t="s">
        <v>55452</v>
      </c>
      <c r="W10607" t="s">
        <v>40730</v>
      </c>
      <c r="X10607" t="s">
        <v>41264</v>
      </c>
    </row>
    <row r="10608" spans="1:24">
      <c r="A10608">
        <f>HYPERLINK("https://www.philgeps.gov.ph/GEPSNONPILOT/Tender/SplashBidNoticeAbstractUI.aspx?menuIndex=3&amp;refID=7056347&amp;Result=3","7056347")</f>
        <v>0</v>
      </c>
      <c r="B10608" t="s">
        <v>2978</v>
      </c>
      <c r="C10608" t="s">
        <v>13519</v>
      </c>
      <c r="D10608" t="s">
        <v>16618</v>
      </c>
      <c r="E10608" t="s">
        <v>25886</v>
      </c>
      <c r="F10608" t="s">
        <v>28669</v>
      </c>
      <c r="G10608" t="s">
        <v>28675</v>
      </c>
      <c r="H10608" t="s">
        <v>28686</v>
      </c>
      <c r="I10608" t="s">
        <v>28689</v>
      </c>
      <c r="J10608" t="s">
        <v>28847</v>
      </c>
      <c r="K10608" t="s">
        <v>37215</v>
      </c>
      <c r="M10608" t="s">
        <v>40743</v>
      </c>
      <c r="N10608" t="s">
        <v>41249</v>
      </c>
      <c r="O10608" t="s">
        <v>41250</v>
      </c>
      <c r="Q10608">
        <v>0</v>
      </c>
      <c r="R10608" t="s">
        <v>41263</v>
      </c>
      <c r="S10608" t="s">
        <v>41730</v>
      </c>
      <c r="T10608" t="s">
        <v>43036</v>
      </c>
      <c r="U10608" t="s">
        <v>51717</v>
      </c>
      <c r="V10608" t="s">
        <v>55453</v>
      </c>
      <c r="W10608" t="s">
        <v>40743</v>
      </c>
      <c r="X10608" t="s">
        <v>41264</v>
      </c>
    </row>
    <row r="10609" spans="1:24">
      <c r="A10609">
        <f>HYPERLINK("https://www.philgeps.gov.ph/GEPSNONPILOT/Tender/SplashBidNoticeAbstractUI.aspx?menuIndex=3&amp;refID=7056425&amp;Result=3","7056425")</f>
        <v>0</v>
      </c>
      <c r="B10609" t="s">
        <v>2978</v>
      </c>
      <c r="C10609" t="s">
        <v>13520</v>
      </c>
      <c r="D10609" t="s">
        <v>16618</v>
      </c>
      <c r="E10609" t="s">
        <v>25886</v>
      </c>
      <c r="F10609" t="s">
        <v>28669</v>
      </c>
      <c r="G10609" t="s">
        <v>28675</v>
      </c>
      <c r="H10609" t="s">
        <v>28686</v>
      </c>
      <c r="I10609" t="s">
        <v>28689</v>
      </c>
      <c r="J10609" t="s">
        <v>35378</v>
      </c>
      <c r="K10609" t="s">
        <v>37220</v>
      </c>
      <c r="M10609" t="s">
        <v>40743</v>
      </c>
      <c r="N10609" t="s">
        <v>41249</v>
      </c>
      <c r="O10609" t="s">
        <v>41250</v>
      </c>
      <c r="Q10609">
        <v>0</v>
      </c>
      <c r="R10609" t="s">
        <v>41263</v>
      </c>
      <c r="S10609" t="s">
        <v>41731</v>
      </c>
      <c r="T10609" t="s">
        <v>43036</v>
      </c>
      <c r="U10609" t="s">
        <v>51717</v>
      </c>
      <c r="V10609" t="s">
        <v>55454</v>
      </c>
      <c r="W10609" t="s">
        <v>40743</v>
      </c>
      <c r="X10609" t="s">
        <v>41264</v>
      </c>
    </row>
    <row r="10610" spans="1:24">
      <c r="A10610">
        <f>HYPERLINK("https://www.philgeps.gov.ph/GEPSNONPILOT/Tender/SplashBidNoticeAbstractUI.aspx?menuIndex=3&amp;refID=7056391&amp;Result=3","7056391")</f>
        <v>0</v>
      </c>
      <c r="B10610" t="s">
        <v>2978</v>
      </c>
      <c r="C10610" t="s">
        <v>13521</v>
      </c>
      <c r="D10610" t="s">
        <v>16618</v>
      </c>
      <c r="E10610" t="s">
        <v>25886</v>
      </c>
      <c r="F10610" t="s">
        <v>28669</v>
      </c>
      <c r="G10610" t="s">
        <v>28675</v>
      </c>
      <c r="H10610" t="s">
        <v>28686</v>
      </c>
      <c r="I10610" t="s">
        <v>28689</v>
      </c>
      <c r="J10610" t="s">
        <v>29065</v>
      </c>
      <c r="K10610" t="s">
        <v>37215</v>
      </c>
      <c r="M10610" t="s">
        <v>40743</v>
      </c>
      <c r="N10610" t="s">
        <v>41249</v>
      </c>
      <c r="O10610" t="s">
        <v>41250</v>
      </c>
      <c r="Q10610">
        <v>0</v>
      </c>
      <c r="R10610" t="s">
        <v>41263</v>
      </c>
      <c r="S10610" t="s">
        <v>41732</v>
      </c>
      <c r="T10610" t="s">
        <v>43036</v>
      </c>
      <c r="U10610" t="s">
        <v>51717</v>
      </c>
      <c r="V10610" t="s">
        <v>55455</v>
      </c>
      <c r="W10610" t="s">
        <v>40743</v>
      </c>
      <c r="X10610" t="s">
        <v>41264</v>
      </c>
    </row>
    <row r="10611" spans="1:24">
      <c r="A10611">
        <f>HYPERLINK("https://www.philgeps.gov.ph/GEPSNONPILOT/Tender/SplashBidNoticeAbstractUI.aspx?menuIndex=3&amp;refID=7056356&amp;Result=3","7056356")</f>
        <v>0</v>
      </c>
      <c r="B10611" t="s">
        <v>267</v>
      </c>
      <c r="C10611" t="s">
        <v>13522</v>
      </c>
      <c r="D10611" t="s">
        <v>16679</v>
      </c>
      <c r="E10611" t="s">
        <v>25909</v>
      </c>
      <c r="F10611" t="s">
        <v>28669</v>
      </c>
      <c r="G10611" t="s">
        <v>28675</v>
      </c>
      <c r="H10611" t="s">
        <v>9998</v>
      </c>
      <c r="I10611" t="s">
        <v>11593</v>
      </c>
      <c r="J10611" t="s">
        <v>35379</v>
      </c>
      <c r="K10611" t="s">
        <v>37206</v>
      </c>
      <c r="M10611" t="s">
        <v>38160</v>
      </c>
      <c r="N10611" t="s">
        <v>41249</v>
      </c>
      <c r="O10611" t="s">
        <v>41250</v>
      </c>
      <c r="P10611">
        <v>0</v>
      </c>
      <c r="Q10611">
        <v>7</v>
      </c>
      <c r="R10611" t="s">
        <v>41263</v>
      </c>
      <c r="S10611" t="s">
        <v>41698</v>
      </c>
      <c r="T10611" t="s">
        <v>42658</v>
      </c>
      <c r="U10611" t="s">
        <v>43621</v>
      </c>
      <c r="V10611" t="s">
        <v>55428</v>
      </c>
      <c r="W10611" t="s">
        <v>55923</v>
      </c>
      <c r="X10611" t="s">
        <v>41264</v>
      </c>
    </row>
    <row r="10612" spans="1:24">
      <c r="A10612">
        <f>HYPERLINK("https://www.philgeps.gov.ph/GEPSNONPILOT/Tender/SplashBidNoticeAbstractUI.aspx?menuIndex=3&amp;refID=7056044&amp;Result=3","7056044")</f>
        <v>0</v>
      </c>
      <c r="B10612" t="s">
        <v>675</v>
      </c>
      <c r="C10612" t="s">
        <v>13523</v>
      </c>
      <c r="D10612" t="s">
        <v>16678</v>
      </c>
      <c r="E10612" t="s">
        <v>25910</v>
      </c>
      <c r="F10612" t="s">
        <v>28669</v>
      </c>
      <c r="G10612" t="s">
        <v>28675</v>
      </c>
      <c r="H10612" t="s">
        <v>28686</v>
      </c>
      <c r="I10612" t="s">
        <v>28689</v>
      </c>
      <c r="J10612" t="s">
        <v>35380</v>
      </c>
      <c r="K10612" t="s">
        <v>37215</v>
      </c>
      <c r="M10612" t="s">
        <v>38178</v>
      </c>
      <c r="N10612" t="s">
        <v>41249</v>
      </c>
      <c r="O10612" t="s">
        <v>41250</v>
      </c>
      <c r="P10612">
        <v>0</v>
      </c>
      <c r="Q10612">
        <v>1</v>
      </c>
      <c r="R10612" t="s">
        <v>41263</v>
      </c>
      <c r="S10612" t="s">
        <v>41698</v>
      </c>
      <c r="T10612" t="s">
        <v>42700</v>
      </c>
      <c r="U10612" t="s">
        <v>51736</v>
      </c>
      <c r="W10612" t="s">
        <v>38178</v>
      </c>
      <c r="X10612" t="s">
        <v>41264</v>
      </c>
    </row>
    <row r="10613" spans="1:24">
      <c r="A10613">
        <f>HYPERLINK("https://www.philgeps.gov.ph/GEPSNONPILOT/Tender/SplashBidNoticeAbstractUI.aspx?menuIndex=3&amp;refID=7056575&amp;Result=3","7056575")</f>
        <v>0</v>
      </c>
      <c r="B10613" t="s">
        <v>2978</v>
      </c>
      <c r="C10613" t="s">
        <v>13524</v>
      </c>
      <c r="D10613" t="s">
        <v>16618</v>
      </c>
      <c r="E10613" t="s">
        <v>25886</v>
      </c>
      <c r="F10613" t="s">
        <v>28669</v>
      </c>
      <c r="G10613" t="s">
        <v>28675</v>
      </c>
      <c r="H10613" t="s">
        <v>28686</v>
      </c>
      <c r="I10613" t="s">
        <v>28689</v>
      </c>
      <c r="J10613" t="s">
        <v>35381</v>
      </c>
      <c r="K10613" t="s">
        <v>37221</v>
      </c>
      <c r="M10613" t="s">
        <v>40743</v>
      </c>
      <c r="N10613" t="s">
        <v>41249</v>
      </c>
      <c r="O10613" t="s">
        <v>41250</v>
      </c>
      <c r="Q10613">
        <v>0</v>
      </c>
      <c r="R10613" t="s">
        <v>41263</v>
      </c>
      <c r="S10613" t="s">
        <v>41733</v>
      </c>
      <c r="T10613" t="s">
        <v>43036</v>
      </c>
      <c r="U10613" t="s">
        <v>51717</v>
      </c>
      <c r="V10613" t="s">
        <v>55456</v>
      </c>
      <c r="W10613" t="s">
        <v>40743</v>
      </c>
      <c r="X10613" t="s">
        <v>41264</v>
      </c>
    </row>
    <row r="10614" spans="1:24">
      <c r="A10614">
        <f>HYPERLINK("https://www.philgeps.gov.ph/GEPSNONPILOT/Tender/SplashBidNoticeAbstractUI.aspx?menuIndex=3&amp;refID=7056525&amp;Result=3","7056525")</f>
        <v>0</v>
      </c>
      <c r="B10614" t="s">
        <v>596</v>
      </c>
      <c r="C10614" t="s">
        <v>13525</v>
      </c>
      <c r="E10614" t="s">
        <v>25911</v>
      </c>
      <c r="F10614" t="s">
        <v>28669</v>
      </c>
      <c r="G10614" t="s">
        <v>28675</v>
      </c>
      <c r="H10614" t="s">
        <v>9998</v>
      </c>
      <c r="I10614" t="s">
        <v>28746</v>
      </c>
      <c r="J10614" t="s">
        <v>35382</v>
      </c>
      <c r="K10614" t="s">
        <v>37206</v>
      </c>
      <c r="M10614" t="s">
        <v>39528</v>
      </c>
      <c r="N10614" t="s">
        <v>41249</v>
      </c>
      <c r="O10614" t="s">
        <v>41250</v>
      </c>
      <c r="Q10614">
        <v>2</v>
      </c>
      <c r="R10614" t="s">
        <v>41263</v>
      </c>
      <c r="S10614" t="s">
        <v>41734</v>
      </c>
      <c r="T10614" t="s">
        <v>42739</v>
      </c>
      <c r="U10614" t="s">
        <v>44286</v>
      </c>
      <c r="W10614" t="s">
        <v>39528</v>
      </c>
      <c r="X10614" t="s">
        <v>41264</v>
      </c>
    </row>
    <row r="10615" spans="1:24">
      <c r="A10615">
        <f>HYPERLINK("https://www.philgeps.gov.ph/GEPSNONPILOT/Tender/SplashBidNoticeAbstractUI.aspx?menuIndex=3&amp;refID=7056498&amp;Result=3","7056498")</f>
        <v>0</v>
      </c>
      <c r="B10615" t="s">
        <v>2978</v>
      </c>
      <c r="C10615" t="s">
        <v>13526</v>
      </c>
      <c r="D10615" t="s">
        <v>16618</v>
      </c>
      <c r="E10615" t="s">
        <v>25886</v>
      </c>
      <c r="F10615" t="s">
        <v>28669</v>
      </c>
      <c r="G10615" t="s">
        <v>28675</v>
      </c>
      <c r="H10615" t="s">
        <v>28686</v>
      </c>
      <c r="I10615" t="s">
        <v>28689</v>
      </c>
      <c r="J10615" t="s">
        <v>29003</v>
      </c>
      <c r="K10615" t="s">
        <v>37221</v>
      </c>
      <c r="M10615" t="s">
        <v>40743</v>
      </c>
      <c r="N10615" t="s">
        <v>41249</v>
      </c>
      <c r="O10615" t="s">
        <v>41250</v>
      </c>
      <c r="Q10615">
        <v>0</v>
      </c>
      <c r="R10615" t="s">
        <v>41263</v>
      </c>
      <c r="S10615" t="s">
        <v>41735</v>
      </c>
      <c r="T10615" t="s">
        <v>43036</v>
      </c>
      <c r="U10615" t="s">
        <v>51717</v>
      </c>
      <c r="V10615" t="s">
        <v>55457</v>
      </c>
      <c r="W10615" t="s">
        <v>40743</v>
      </c>
      <c r="X10615" t="s">
        <v>41264</v>
      </c>
    </row>
    <row r="10616" spans="1:24">
      <c r="A10616">
        <f>HYPERLINK("https://www.philgeps.gov.ph/GEPSNONPILOT/Tender/SplashBidNoticeAbstractUI.aspx?menuIndex=3&amp;refID=7056495&amp;Result=3","7056495")</f>
        <v>0</v>
      </c>
      <c r="B10616" t="s">
        <v>213</v>
      </c>
      <c r="C10616" t="s">
        <v>13527</v>
      </c>
      <c r="D10616" t="s">
        <v>16675</v>
      </c>
      <c r="E10616" t="s">
        <v>25912</v>
      </c>
      <c r="F10616" t="s">
        <v>28669</v>
      </c>
      <c r="G10616" t="s">
        <v>28675</v>
      </c>
      <c r="H10616" t="s">
        <v>9998</v>
      </c>
      <c r="I10616" t="s">
        <v>28689</v>
      </c>
      <c r="J10616" t="s">
        <v>32086</v>
      </c>
      <c r="K10616" t="s">
        <v>37206</v>
      </c>
      <c r="M10616" t="s">
        <v>37691</v>
      </c>
      <c r="N10616" t="s">
        <v>41249</v>
      </c>
      <c r="O10616" t="s">
        <v>41250</v>
      </c>
      <c r="P10616">
        <v>0</v>
      </c>
      <c r="Q10616">
        <v>0</v>
      </c>
      <c r="R10616" t="s">
        <v>41263</v>
      </c>
      <c r="S10616" t="s">
        <v>41698</v>
      </c>
      <c r="T10616" t="s">
        <v>42696</v>
      </c>
      <c r="U10616" t="s">
        <v>51737</v>
      </c>
      <c r="W10616" t="s">
        <v>37691</v>
      </c>
      <c r="X10616" t="s">
        <v>41264</v>
      </c>
    </row>
    <row r="10617" spans="1:24">
      <c r="A10617">
        <f>HYPERLINK("https://www.philgeps.gov.ph/GEPSNONPILOT/Tender/SplashBidNoticeAbstractUI.aspx?menuIndex=3&amp;refID=7056490&amp;Result=3","7056490")</f>
        <v>0</v>
      </c>
      <c r="B10617" t="s">
        <v>2978</v>
      </c>
      <c r="C10617" t="s">
        <v>13528</v>
      </c>
      <c r="D10617" t="s">
        <v>16618</v>
      </c>
      <c r="E10617" t="s">
        <v>25886</v>
      </c>
      <c r="F10617" t="s">
        <v>28669</v>
      </c>
      <c r="G10617" t="s">
        <v>28675</v>
      </c>
      <c r="H10617" t="s">
        <v>28686</v>
      </c>
      <c r="I10617" t="s">
        <v>28689</v>
      </c>
      <c r="J10617" t="s">
        <v>28836</v>
      </c>
      <c r="K10617" t="s">
        <v>37220</v>
      </c>
      <c r="M10617" t="s">
        <v>40743</v>
      </c>
      <c r="N10617" t="s">
        <v>41249</v>
      </c>
      <c r="O10617" t="s">
        <v>41250</v>
      </c>
      <c r="Q10617">
        <v>0</v>
      </c>
      <c r="R10617" t="s">
        <v>41263</v>
      </c>
      <c r="S10617" t="s">
        <v>41736</v>
      </c>
      <c r="T10617" t="s">
        <v>43036</v>
      </c>
      <c r="U10617" t="s">
        <v>51717</v>
      </c>
      <c r="V10617" t="s">
        <v>55458</v>
      </c>
      <c r="W10617" t="s">
        <v>40743</v>
      </c>
      <c r="X10617" t="s">
        <v>41264</v>
      </c>
    </row>
    <row r="10618" spans="1:24">
      <c r="A10618">
        <f>HYPERLINK("https://www.philgeps.gov.ph/GEPSNONPILOT/Tender/SplashBidNoticeAbstractUI.aspx?menuIndex=3&amp;refID=7056470&amp;Result=3","7056470")</f>
        <v>0</v>
      </c>
      <c r="B10618" t="s">
        <v>2978</v>
      </c>
      <c r="C10618" t="s">
        <v>13529</v>
      </c>
      <c r="D10618" t="s">
        <v>16618</v>
      </c>
      <c r="E10618" t="s">
        <v>25886</v>
      </c>
      <c r="F10618" t="s">
        <v>28669</v>
      </c>
      <c r="G10618" t="s">
        <v>28675</v>
      </c>
      <c r="H10618" t="s">
        <v>28686</v>
      </c>
      <c r="I10618" t="s">
        <v>28689</v>
      </c>
      <c r="J10618" t="s">
        <v>35383</v>
      </c>
      <c r="K10618" t="s">
        <v>37220</v>
      </c>
      <c r="M10618" t="s">
        <v>40743</v>
      </c>
      <c r="N10618" t="s">
        <v>41249</v>
      </c>
      <c r="O10618" t="s">
        <v>41250</v>
      </c>
      <c r="Q10618">
        <v>0</v>
      </c>
      <c r="R10618" t="s">
        <v>41263</v>
      </c>
      <c r="S10618" t="s">
        <v>41737</v>
      </c>
      <c r="T10618" t="s">
        <v>43036</v>
      </c>
      <c r="U10618" t="s">
        <v>51717</v>
      </c>
      <c r="V10618" t="s">
        <v>55459</v>
      </c>
      <c r="W10618" t="s">
        <v>40743</v>
      </c>
      <c r="X10618" t="s">
        <v>41264</v>
      </c>
    </row>
    <row r="10619" spans="1:24">
      <c r="A10619">
        <f>HYPERLINK("https://www.philgeps.gov.ph/GEPSNONPILOT/Tender/SplashBidNoticeAbstractUI.aspx?menuIndex=3&amp;refID=7056482&amp;Result=3","7056482")</f>
        <v>0</v>
      </c>
      <c r="B10619" t="s">
        <v>2978</v>
      </c>
      <c r="C10619" t="s">
        <v>13530</v>
      </c>
      <c r="D10619" t="s">
        <v>16618</v>
      </c>
      <c r="E10619" t="s">
        <v>25886</v>
      </c>
      <c r="F10619" t="s">
        <v>28669</v>
      </c>
      <c r="G10619" t="s">
        <v>28675</v>
      </c>
      <c r="H10619" t="s">
        <v>28686</v>
      </c>
      <c r="I10619" t="s">
        <v>28689</v>
      </c>
      <c r="J10619" t="s">
        <v>28836</v>
      </c>
      <c r="K10619" t="s">
        <v>37220</v>
      </c>
      <c r="M10619" t="s">
        <v>40743</v>
      </c>
      <c r="N10619" t="s">
        <v>41249</v>
      </c>
      <c r="O10619" t="s">
        <v>41250</v>
      </c>
      <c r="Q10619">
        <v>0</v>
      </c>
      <c r="R10619" t="s">
        <v>41263</v>
      </c>
      <c r="S10619" t="s">
        <v>41738</v>
      </c>
      <c r="T10619" t="s">
        <v>43036</v>
      </c>
      <c r="U10619" t="s">
        <v>51717</v>
      </c>
      <c r="V10619" t="s">
        <v>55460</v>
      </c>
      <c r="W10619" t="s">
        <v>40743</v>
      </c>
      <c r="X10619" t="s">
        <v>41264</v>
      </c>
    </row>
    <row r="10620" spans="1:24">
      <c r="A10620">
        <f>HYPERLINK("https://www.philgeps.gov.ph/GEPSNONPILOT/Tender/SplashBidNoticeAbstractUI.aspx?menuIndex=3&amp;refID=7056478&amp;Result=3","7056478")</f>
        <v>0</v>
      </c>
      <c r="B10620" t="s">
        <v>2978</v>
      </c>
      <c r="C10620" t="s">
        <v>13531</v>
      </c>
      <c r="D10620" t="s">
        <v>16618</v>
      </c>
      <c r="E10620" t="s">
        <v>25886</v>
      </c>
      <c r="F10620" t="s">
        <v>28669</v>
      </c>
      <c r="G10620" t="s">
        <v>28675</v>
      </c>
      <c r="H10620" t="s">
        <v>28686</v>
      </c>
      <c r="I10620" t="s">
        <v>28689</v>
      </c>
      <c r="J10620" t="s">
        <v>28836</v>
      </c>
      <c r="K10620" t="s">
        <v>37220</v>
      </c>
      <c r="M10620" t="s">
        <v>40743</v>
      </c>
      <c r="N10620" t="s">
        <v>41249</v>
      </c>
      <c r="O10620" t="s">
        <v>41250</v>
      </c>
      <c r="Q10620">
        <v>0</v>
      </c>
      <c r="R10620" t="s">
        <v>41263</v>
      </c>
      <c r="S10620" t="s">
        <v>41739</v>
      </c>
      <c r="T10620" t="s">
        <v>43036</v>
      </c>
      <c r="U10620" t="s">
        <v>51717</v>
      </c>
      <c r="V10620" t="s">
        <v>55461</v>
      </c>
      <c r="W10620" t="s">
        <v>40743</v>
      </c>
      <c r="X10620" t="s">
        <v>41264</v>
      </c>
    </row>
    <row r="10621" spans="1:24">
      <c r="A10621">
        <f>HYPERLINK("https://www.philgeps.gov.ph/GEPSNONPILOT/Tender/SplashBidNoticeAbstractUI.aspx?menuIndex=3&amp;refID=7056496&amp;Result=3","7056496")</f>
        <v>0</v>
      </c>
      <c r="B10621" t="s">
        <v>2982</v>
      </c>
      <c r="C10621" t="s">
        <v>13532</v>
      </c>
      <c r="D10621" t="s">
        <v>16616</v>
      </c>
      <c r="E10621" t="s">
        <v>25913</v>
      </c>
      <c r="F10621" t="s">
        <v>28669</v>
      </c>
      <c r="G10621" t="s">
        <v>28675</v>
      </c>
      <c r="H10621" t="s">
        <v>9998</v>
      </c>
      <c r="I10621" t="s">
        <v>6128</v>
      </c>
      <c r="J10621" t="s">
        <v>35384</v>
      </c>
      <c r="K10621" t="s">
        <v>37209</v>
      </c>
      <c r="M10621" t="s">
        <v>40747</v>
      </c>
      <c r="N10621" t="s">
        <v>41249</v>
      </c>
      <c r="O10621" t="s">
        <v>41250</v>
      </c>
      <c r="P10621">
        <v>0</v>
      </c>
      <c r="Q10621">
        <v>1</v>
      </c>
      <c r="R10621" t="s">
        <v>41263</v>
      </c>
      <c r="S10621" t="s">
        <v>41698</v>
      </c>
      <c r="T10621" t="s">
        <v>42739</v>
      </c>
      <c r="U10621" t="s">
        <v>51738</v>
      </c>
      <c r="V10621" t="s">
        <v>55462</v>
      </c>
      <c r="W10621" t="s">
        <v>40747</v>
      </c>
      <c r="X10621" t="s">
        <v>41264</v>
      </c>
    </row>
    <row r="10622" spans="1:24">
      <c r="A10622">
        <f>HYPERLINK("https://www.philgeps.gov.ph/GEPSNONPILOT/Tender/SplashBidNoticeAbstractUI.aspx?menuIndex=3&amp;refID=7056586&amp;Result=3","7056586")</f>
        <v>0</v>
      </c>
      <c r="B10622" t="s">
        <v>2978</v>
      </c>
      <c r="C10622" t="s">
        <v>13533</v>
      </c>
      <c r="D10622" t="s">
        <v>16618</v>
      </c>
      <c r="E10622" t="s">
        <v>25886</v>
      </c>
      <c r="F10622" t="s">
        <v>28669</v>
      </c>
      <c r="G10622" t="s">
        <v>28675</v>
      </c>
      <c r="H10622" t="s">
        <v>28686</v>
      </c>
      <c r="I10622" t="s">
        <v>28689</v>
      </c>
      <c r="J10622" t="s">
        <v>35385</v>
      </c>
      <c r="K10622" t="s">
        <v>37206</v>
      </c>
      <c r="M10622" t="s">
        <v>40743</v>
      </c>
      <c r="N10622" t="s">
        <v>41249</v>
      </c>
      <c r="O10622" t="s">
        <v>41250</v>
      </c>
      <c r="Q10622">
        <v>0</v>
      </c>
      <c r="R10622" t="s">
        <v>41263</v>
      </c>
      <c r="S10622" t="s">
        <v>41733</v>
      </c>
      <c r="T10622" t="s">
        <v>43036</v>
      </c>
      <c r="U10622" t="s">
        <v>51717</v>
      </c>
      <c r="V10622" t="s">
        <v>55463</v>
      </c>
      <c r="W10622" t="s">
        <v>40743</v>
      </c>
      <c r="X10622" t="s">
        <v>41264</v>
      </c>
    </row>
    <row r="10623" spans="1:24">
      <c r="A10623">
        <f>HYPERLINK("https://www.philgeps.gov.ph/GEPSNONPILOT/Tender/SplashBidNoticeAbstractUI.aspx?menuIndex=3&amp;refID=7056441&amp;Result=3","7056441")</f>
        <v>0</v>
      </c>
      <c r="B10623" t="s">
        <v>2978</v>
      </c>
      <c r="C10623" t="s">
        <v>13534</v>
      </c>
      <c r="D10623" t="s">
        <v>16618</v>
      </c>
      <c r="E10623" t="s">
        <v>25886</v>
      </c>
      <c r="F10623" t="s">
        <v>28669</v>
      </c>
      <c r="G10623" t="s">
        <v>28675</v>
      </c>
      <c r="H10623" t="s">
        <v>28686</v>
      </c>
      <c r="I10623" t="s">
        <v>28689</v>
      </c>
      <c r="J10623" t="s">
        <v>28836</v>
      </c>
      <c r="K10623" t="s">
        <v>37220</v>
      </c>
      <c r="M10623" t="s">
        <v>40743</v>
      </c>
      <c r="N10623" t="s">
        <v>41249</v>
      </c>
      <c r="O10623" t="s">
        <v>41250</v>
      </c>
      <c r="Q10623">
        <v>0</v>
      </c>
      <c r="R10623" t="s">
        <v>41263</v>
      </c>
      <c r="S10623" t="s">
        <v>41740</v>
      </c>
      <c r="T10623" t="s">
        <v>43036</v>
      </c>
      <c r="U10623" t="s">
        <v>51717</v>
      </c>
      <c r="V10623" t="s">
        <v>55464</v>
      </c>
      <c r="W10623" t="s">
        <v>40743</v>
      </c>
      <c r="X10623" t="s">
        <v>41264</v>
      </c>
    </row>
    <row r="10624" spans="1:24">
      <c r="A10624">
        <f>HYPERLINK("https://www.philgeps.gov.ph/GEPSNONPILOT/Tender/SplashBidNoticeAbstractUI.aspx?menuIndex=3&amp;refID=7056545&amp;Result=3","7056545")</f>
        <v>0</v>
      </c>
      <c r="B10624" t="s">
        <v>2983</v>
      </c>
      <c r="C10624" t="s">
        <v>13535</v>
      </c>
      <c r="D10624" t="s">
        <v>16626</v>
      </c>
      <c r="E10624" t="s">
        <v>20801</v>
      </c>
      <c r="F10624" t="s">
        <v>28669</v>
      </c>
      <c r="G10624" t="s">
        <v>28675</v>
      </c>
      <c r="H10624" t="s">
        <v>9998</v>
      </c>
      <c r="I10624" t="s">
        <v>6128</v>
      </c>
      <c r="J10624" t="s">
        <v>29899</v>
      </c>
      <c r="K10624" t="s">
        <v>37234</v>
      </c>
      <c r="M10624" t="s">
        <v>40748</v>
      </c>
      <c r="N10624" t="s">
        <v>41249</v>
      </c>
      <c r="O10624" t="s">
        <v>41250</v>
      </c>
      <c r="P10624">
        <v>0</v>
      </c>
      <c r="Q10624">
        <v>3</v>
      </c>
      <c r="R10624" t="s">
        <v>41263</v>
      </c>
      <c r="S10624" t="s">
        <v>41698</v>
      </c>
      <c r="T10624" t="s">
        <v>42739</v>
      </c>
      <c r="U10624" t="s">
        <v>51739</v>
      </c>
      <c r="W10624" t="s">
        <v>40748</v>
      </c>
      <c r="X10624" t="s">
        <v>41264</v>
      </c>
    </row>
    <row r="10625" spans="1:24">
      <c r="A10625">
        <f>HYPERLINK("https://www.philgeps.gov.ph/GEPSNONPILOT/Tender/SplashBidNoticeAbstractUI.aspx?menuIndex=3&amp;refID=7056583&amp;Result=3","7056583")</f>
        <v>0</v>
      </c>
      <c r="B10625" t="s">
        <v>2382</v>
      </c>
      <c r="C10625" t="s">
        <v>13536</v>
      </c>
      <c r="D10625" t="s">
        <v>16626</v>
      </c>
      <c r="E10625" t="s">
        <v>17149</v>
      </c>
      <c r="F10625" t="s">
        <v>28669</v>
      </c>
      <c r="G10625" t="s">
        <v>28676</v>
      </c>
      <c r="H10625" t="s">
        <v>9998</v>
      </c>
      <c r="I10625" t="s">
        <v>28713</v>
      </c>
      <c r="J10625" t="s">
        <v>29438</v>
      </c>
      <c r="K10625" t="s">
        <v>37234</v>
      </c>
      <c r="M10625" t="s">
        <v>40055</v>
      </c>
      <c r="N10625" t="s">
        <v>41249</v>
      </c>
      <c r="O10625" t="s">
        <v>41250</v>
      </c>
      <c r="P10625">
        <v>0</v>
      </c>
      <c r="Q10625">
        <v>2</v>
      </c>
      <c r="R10625" t="s">
        <v>41263</v>
      </c>
      <c r="S10625" t="s">
        <v>41698</v>
      </c>
      <c r="T10625" t="s">
        <v>42717</v>
      </c>
      <c r="U10625" t="s">
        <v>51740</v>
      </c>
      <c r="W10625" t="s">
        <v>40055</v>
      </c>
      <c r="X10625" t="s">
        <v>41264</v>
      </c>
    </row>
    <row r="10626" spans="1:24">
      <c r="A10626">
        <f>HYPERLINK("https://www.philgeps.gov.ph/GEPSNONPILOT/Tender/SplashBidNoticeAbstractUI.aspx?menuIndex=3&amp;refID=7056580&amp;Result=3","7056580")</f>
        <v>0</v>
      </c>
      <c r="B10626" t="s">
        <v>2517</v>
      </c>
      <c r="C10626" t="s">
        <v>13537</v>
      </c>
      <c r="D10626" t="s">
        <v>16674</v>
      </c>
      <c r="E10626" t="s">
        <v>20900</v>
      </c>
      <c r="F10626" t="s">
        <v>28669</v>
      </c>
      <c r="G10626" t="s">
        <v>28675</v>
      </c>
      <c r="H10626" t="s">
        <v>9998</v>
      </c>
      <c r="I10626" t="s">
        <v>8667</v>
      </c>
      <c r="J10626" t="s">
        <v>35386</v>
      </c>
      <c r="K10626" t="s">
        <v>37205</v>
      </c>
      <c r="M10626" t="s">
        <v>40205</v>
      </c>
      <c r="N10626" t="s">
        <v>41249</v>
      </c>
      <c r="O10626" t="s">
        <v>41250</v>
      </c>
      <c r="P10626">
        <v>0</v>
      </c>
      <c r="Q10626">
        <v>1</v>
      </c>
      <c r="R10626" t="s">
        <v>41263</v>
      </c>
      <c r="S10626" t="s">
        <v>41698</v>
      </c>
      <c r="T10626" t="s">
        <v>42700</v>
      </c>
      <c r="U10626" t="s">
        <v>51741</v>
      </c>
      <c r="W10626" t="s">
        <v>40205</v>
      </c>
      <c r="X10626" t="s">
        <v>41264</v>
      </c>
    </row>
    <row r="10627" spans="1:24">
      <c r="A10627">
        <f>HYPERLINK("https://www.philgeps.gov.ph/GEPSNONPILOT/Tender/SplashBidNoticeAbstractUI.aspx?menuIndex=3&amp;refID=7056471&amp;Result=3","7056471")</f>
        <v>0</v>
      </c>
      <c r="B10627" t="s">
        <v>2984</v>
      </c>
      <c r="C10627" t="s">
        <v>13538</v>
      </c>
      <c r="D10627" t="s">
        <v>16626</v>
      </c>
      <c r="E10627" t="s">
        <v>25914</v>
      </c>
      <c r="F10627" t="s">
        <v>28669</v>
      </c>
      <c r="G10627" t="s">
        <v>28679</v>
      </c>
      <c r="H10627" t="s">
        <v>9998</v>
      </c>
      <c r="I10627" t="s">
        <v>28687</v>
      </c>
      <c r="J10627" t="s">
        <v>29332</v>
      </c>
      <c r="K10627" t="s">
        <v>37206</v>
      </c>
      <c r="M10627" t="s">
        <v>40749</v>
      </c>
      <c r="N10627" t="s">
        <v>41249</v>
      </c>
      <c r="O10627" t="s">
        <v>41250</v>
      </c>
      <c r="P10627">
        <v>0</v>
      </c>
      <c r="Q10627">
        <v>3</v>
      </c>
      <c r="R10627" t="s">
        <v>41263</v>
      </c>
      <c r="S10627" t="s">
        <v>41698</v>
      </c>
      <c r="T10627" t="s">
        <v>42659</v>
      </c>
      <c r="U10627" t="s">
        <v>51742</v>
      </c>
      <c r="W10627" t="s">
        <v>40749</v>
      </c>
      <c r="X10627" t="s">
        <v>41264</v>
      </c>
    </row>
    <row r="10628" spans="1:24">
      <c r="A10628">
        <f>HYPERLINK("https://www.philgeps.gov.ph/GEPSNONPILOT/Tender/SplashBidNoticeAbstractUI.aspx?menuIndex=3&amp;refID=7056591&amp;Result=3","7056591")</f>
        <v>0</v>
      </c>
      <c r="B10628" t="s">
        <v>2985</v>
      </c>
      <c r="C10628" t="s">
        <v>13539</v>
      </c>
      <c r="D10628" t="s">
        <v>16622</v>
      </c>
      <c r="E10628" t="s">
        <v>17955</v>
      </c>
      <c r="F10628" t="s">
        <v>28669</v>
      </c>
      <c r="G10628" t="s">
        <v>28675</v>
      </c>
      <c r="H10628" t="s">
        <v>28686</v>
      </c>
      <c r="I10628" t="s">
        <v>28689</v>
      </c>
      <c r="J10628" t="s">
        <v>29059</v>
      </c>
      <c r="K10628" t="s">
        <v>37220</v>
      </c>
      <c r="M10628" t="s">
        <v>40750</v>
      </c>
      <c r="N10628" t="s">
        <v>41249</v>
      </c>
      <c r="O10628" t="s">
        <v>41250</v>
      </c>
      <c r="Q10628">
        <v>1</v>
      </c>
      <c r="R10628" t="s">
        <v>41263</v>
      </c>
      <c r="S10628" t="s">
        <v>41741</v>
      </c>
      <c r="T10628" t="s">
        <v>43027</v>
      </c>
      <c r="U10628" t="s">
        <v>51743</v>
      </c>
      <c r="W10628" t="s">
        <v>40750</v>
      </c>
      <c r="X10628" t="s">
        <v>41264</v>
      </c>
    </row>
    <row r="10629" spans="1:24">
      <c r="A10629">
        <f>HYPERLINK("https://www.philgeps.gov.ph/GEPSNONPILOT/Tender/SplashBidNoticeAbstractUI.aspx?menuIndex=3&amp;refID=7056096&amp;Result=3","7056096")</f>
        <v>0</v>
      </c>
      <c r="B10629" t="s">
        <v>1471</v>
      </c>
      <c r="C10629" t="s">
        <v>13540</v>
      </c>
      <c r="D10629" t="s">
        <v>16615</v>
      </c>
      <c r="E10629" t="s">
        <v>25915</v>
      </c>
      <c r="F10629" t="s">
        <v>28669</v>
      </c>
      <c r="G10629" t="s">
        <v>28682</v>
      </c>
      <c r="H10629" t="s">
        <v>28686</v>
      </c>
      <c r="I10629" t="s">
        <v>28689</v>
      </c>
      <c r="J10629" t="s">
        <v>35387</v>
      </c>
      <c r="K10629" t="s">
        <v>37212</v>
      </c>
      <c r="M10629" t="s">
        <v>39039</v>
      </c>
      <c r="N10629" t="s">
        <v>41249</v>
      </c>
      <c r="O10629" t="s">
        <v>41250</v>
      </c>
      <c r="P10629">
        <v>0</v>
      </c>
      <c r="Q10629">
        <v>7</v>
      </c>
      <c r="R10629" t="s">
        <v>41263</v>
      </c>
      <c r="S10629" t="s">
        <v>41698</v>
      </c>
      <c r="T10629" t="s">
        <v>42739</v>
      </c>
      <c r="U10629" t="s">
        <v>51744</v>
      </c>
      <c r="V10629" t="s">
        <v>54688</v>
      </c>
      <c r="W10629" t="s">
        <v>39039</v>
      </c>
      <c r="X10629" t="s">
        <v>41264</v>
      </c>
    </row>
    <row r="10630" spans="1:24">
      <c r="A10630">
        <f>HYPERLINK("https://www.philgeps.gov.ph/GEPSNONPILOT/Tender/SplashBidNoticeAbstractUI.aspx?menuIndex=3&amp;refID=7056659&amp;Result=3","7056659")</f>
        <v>0</v>
      </c>
      <c r="B10630" t="s">
        <v>101</v>
      </c>
      <c r="C10630" t="s">
        <v>13541</v>
      </c>
      <c r="D10630" t="s">
        <v>16644</v>
      </c>
      <c r="E10630" t="s">
        <v>25916</v>
      </c>
      <c r="F10630" t="s">
        <v>28669</v>
      </c>
      <c r="G10630" t="s">
        <v>28676</v>
      </c>
      <c r="H10630" t="s">
        <v>9998</v>
      </c>
      <c r="I10630" t="s">
        <v>28693</v>
      </c>
      <c r="J10630" t="s">
        <v>35388</v>
      </c>
      <c r="K10630" t="s">
        <v>37206</v>
      </c>
      <c r="M10630" t="s">
        <v>38633</v>
      </c>
      <c r="N10630" t="s">
        <v>41249</v>
      </c>
      <c r="O10630" t="s">
        <v>41250</v>
      </c>
      <c r="Q10630">
        <v>7</v>
      </c>
      <c r="R10630" t="s">
        <v>41263</v>
      </c>
      <c r="S10630" t="s">
        <v>41742</v>
      </c>
      <c r="T10630" t="s">
        <v>42748</v>
      </c>
      <c r="U10630" t="s">
        <v>51745</v>
      </c>
      <c r="W10630" t="s">
        <v>38633</v>
      </c>
      <c r="X10630" t="s">
        <v>41264</v>
      </c>
    </row>
    <row r="10631" spans="1:24">
      <c r="A10631">
        <f>HYPERLINK("https://www.philgeps.gov.ph/GEPSNONPILOT/Tender/SplashBidNoticeAbstractUI.aspx?menuIndex=3&amp;refID=7056539&amp;Result=3","7056539")</f>
        <v>0</v>
      </c>
      <c r="B10631" t="s">
        <v>476</v>
      </c>
      <c r="C10631" t="s">
        <v>13542</v>
      </c>
      <c r="E10631" t="s">
        <v>25917</v>
      </c>
      <c r="F10631" t="s">
        <v>28669</v>
      </c>
      <c r="G10631" t="s">
        <v>28675</v>
      </c>
      <c r="H10631" t="s">
        <v>9998</v>
      </c>
      <c r="I10631" t="s">
        <v>28695</v>
      </c>
      <c r="J10631" t="s">
        <v>35389</v>
      </c>
      <c r="K10631" t="s">
        <v>37209</v>
      </c>
      <c r="M10631" t="s">
        <v>37964</v>
      </c>
      <c r="N10631" t="s">
        <v>41249</v>
      </c>
      <c r="O10631" t="s">
        <v>41250</v>
      </c>
      <c r="P10631">
        <v>0</v>
      </c>
      <c r="Q10631">
        <v>3</v>
      </c>
      <c r="R10631" t="s">
        <v>41263</v>
      </c>
      <c r="S10631" t="s">
        <v>41698</v>
      </c>
      <c r="T10631" t="s">
        <v>42682</v>
      </c>
      <c r="U10631" t="s">
        <v>51746</v>
      </c>
      <c r="W10631" t="s">
        <v>37964</v>
      </c>
      <c r="X10631" t="s">
        <v>41264</v>
      </c>
    </row>
    <row r="10632" spans="1:24">
      <c r="A10632">
        <f>HYPERLINK("https://www.philgeps.gov.ph/GEPSNONPILOT/Tender/SplashBidNoticeAbstractUI.aspx?menuIndex=3&amp;refID=7056657&amp;Result=3","7056657")</f>
        <v>0</v>
      </c>
      <c r="B10632" t="s">
        <v>1997</v>
      </c>
      <c r="C10632" t="s">
        <v>13543</v>
      </c>
      <c r="E10632" t="s">
        <v>25918</v>
      </c>
      <c r="F10632" t="s">
        <v>28669</v>
      </c>
      <c r="G10632" t="s">
        <v>28675</v>
      </c>
      <c r="H10632" t="s">
        <v>9998</v>
      </c>
      <c r="I10632" t="s">
        <v>28716</v>
      </c>
      <c r="J10632" t="s">
        <v>29053</v>
      </c>
      <c r="K10632" t="s">
        <v>37209</v>
      </c>
      <c r="M10632" t="s">
        <v>39635</v>
      </c>
      <c r="N10632" t="s">
        <v>41249</v>
      </c>
      <c r="O10632" t="s">
        <v>41250</v>
      </c>
      <c r="P10632">
        <v>0</v>
      </c>
      <c r="Q10632">
        <v>5</v>
      </c>
      <c r="R10632" t="s">
        <v>41263</v>
      </c>
      <c r="S10632" t="s">
        <v>41698</v>
      </c>
      <c r="T10632" t="s">
        <v>42739</v>
      </c>
      <c r="U10632" t="s">
        <v>51747</v>
      </c>
      <c r="W10632" t="s">
        <v>39635</v>
      </c>
      <c r="X10632" t="s">
        <v>41264</v>
      </c>
    </row>
    <row r="10633" spans="1:24">
      <c r="A10633">
        <f>HYPERLINK("https://www.philgeps.gov.ph/GEPSNONPILOT/Tender/SplashBidNoticeAbstractUI.aspx?menuIndex=3&amp;refID=7056646&amp;Result=3","7056646")</f>
        <v>0</v>
      </c>
      <c r="B10633" t="s">
        <v>1878</v>
      </c>
      <c r="C10633" t="s">
        <v>13544</v>
      </c>
      <c r="D10633" t="s">
        <v>16628</v>
      </c>
      <c r="E10633" t="s">
        <v>25919</v>
      </c>
      <c r="F10633" t="s">
        <v>28669</v>
      </c>
      <c r="G10633" t="s">
        <v>28675</v>
      </c>
      <c r="H10633" t="s">
        <v>9998</v>
      </c>
      <c r="I10633" t="s">
        <v>28687</v>
      </c>
      <c r="J10633" t="s">
        <v>29059</v>
      </c>
      <c r="K10633" t="s">
        <v>37220</v>
      </c>
      <c r="M10633" t="s">
        <v>39501</v>
      </c>
      <c r="N10633" t="s">
        <v>41249</v>
      </c>
      <c r="O10633" t="s">
        <v>41250</v>
      </c>
      <c r="P10633">
        <v>0</v>
      </c>
      <c r="Q10633">
        <v>6</v>
      </c>
      <c r="R10633" t="s">
        <v>41263</v>
      </c>
      <c r="S10633" t="s">
        <v>41698</v>
      </c>
      <c r="T10633" t="s">
        <v>42799</v>
      </c>
      <c r="U10633" t="s">
        <v>51748</v>
      </c>
      <c r="W10633" t="s">
        <v>39501</v>
      </c>
      <c r="X10633" t="s">
        <v>41264</v>
      </c>
    </row>
    <row r="10634" spans="1:24">
      <c r="A10634">
        <f>HYPERLINK("https://www.philgeps.gov.ph/GEPSNONPILOT/Tender/SplashBidNoticeAbstractUI.aspx?menuIndex=3&amp;refID=7056602&amp;Result=3","7056602")</f>
        <v>0</v>
      </c>
      <c r="B10634" t="s">
        <v>2978</v>
      </c>
      <c r="C10634" t="s">
        <v>13545</v>
      </c>
      <c r="D10634" t="s">
        <v>16618</v>
      </c>
      <c r="E10634" t="s">
        <v>25886</v>
      </c>
      <c r="F10634" t="s">
        <v>28669</v>
      </c>
      <c r="G10634" t="s">
        <v>28675</v>
      </c>
      <c r="H10634" t="s">
        <v>28686</v>
      </c>
      <c r="I10634" t="s">
        <v>28689</v>
      </c>
      <c r="J10634" t="s">
        <v>35390</v>
      </c>
      <c r="K10634" t="s">
        <v>37221</v>
      </c>
      <c r="M10634" t="s">
        <v>40743</v>
      </c>
      <c r="N10634" t="s">
        <v>41249</v>
      </c>
      <c r="O10634" t="s">
        <v>41250</v>
      </c>
      <c r="Q10634">
        <v>0</v>
      </c>
      <c r="R10634" t="s">
        <v>41263</v>
      </c>
      <c r="S10634" t="s">
        <v>41743</v>
      </c>
      <c r="T10634" t="s">
        <v>43036</v>
      </c>
      <c r="U10634" t="s">
        <v>51717</v>
      </c>
      <c r="V10634" t="s">
        <v>55465</v>
      </c>
      <c r="W10634" t="s">
        <v>40743</v>
      </c>
      <c r="X10634" t="s">
        <v>41264</v>
      </c>
    </row>
    <row r="10635" spans="1:24">
      <c r="A10635">
        <f>HYPERLINK("https://www.philgeps.gov.ph/GEPSNONPILOT/Tender/SplashBidNoticeAbstractUI.aspx?menuIndex=3&amp;refID=7056595&amp;Result=3","7056595")</f>
        <v>0</v>
      </c>
      <c r="B10635" t="s">
        <v>476</v>
      </c>
      <c r="C10635" t="s">
        <v>13546</v>
      </c>
      <c r="D10635" t="s">
        <v>16615</v>
      </c>
      <c r="E10635" t="s">
        <v>25920</v>
      </c>
      <c r="F10635" t="s">
        <v>28669</v>
      </c>
      <c r="G10635" t="s">
        <v>28675</v>
      </c>
      <c r="H10635" t="s">
        <v>9998</v>
      </c>
      <c r="I10635" t="s">
        <v>7352</v>
      </c>
      <c r="J10635" t="s">
        <v>35391</v>
      </c>
      <c r="K10635" t="s">
        <v>37209</v>
      </c>
      <c r="M10635" t="s">
        <v>37964</v>
      </c>
      <c r="N10635" t="s">
        <v>41249</v>
      </c>
      <c r="O10635" t="s">
        <v>41250</v>
      </c>
      <c r="P10635">
        <v>0</v>
      </c>
      <c r="Q10635">
        <v>4</v>
      </c>
      <c r="R10635" t="s">
        <v>41263</v>
      </c>
      <c r="S10635" t="s">
        <v>41698</v>
      </c>
      <c r="T10635" t="s">
        <v>42682</v>
      </c>
      <c r="U10635" t="s">
        <v>51749</v>
      </c>
      <c r="W10635" t="s">
        <v>37964</v>
      </c>
      <c r="X10635" t="s">
        <v>41264</v>
      </c>
    </row>
    <row r="10636" spans="1:24">
      <c r="A10636">
        <f>HYPERLINK("https://www.philgeps.gov.ph/GEPSNONPILOT/Tender/SplashBidNoticeAbstractUI.aspx?menuIndex=3&amp;refID=7056662&amp;Result=3","7056662")</f>
        <v>0</v>
      </c>
      <c r="B10636" t="s">
        <v>2986</v>
      </c>
      <c r="C10636" t="s">
        <v>13547</v>
      </c>
      <c r="D10636" t="s">
        <v>16608</v>
      </c>
      <c r="E10636" t="s">
        <v>25921</v>
      </c>
      <c r="F10636" t="s">
        <v>28669</v>
      </c>
      <c r="G10636" t="s">
        <v>28675</v>
      </c>
      <c r="H10636" t="s">
        <v>28686</v>
      </c>
      <c r="I10636" t="s">
        <v>28689</v>
      </c>
      <c r="J10636" t="s">
        <v>35392</v>
      </c>
      <c r="K10636" t="s">
        <v>37325</v>
      </c>
      <c r="M10636" t="s">
        <v>40751</v>
      </c>
      <c r="N10636" t="s">
        <v>41249</v>
      </c>
      <c r="O10636" t="s">
        <v>41250</v>
      </c>
      <c r="P10636">
        <v>0</v>
      </c>
      <c r="Q10636">
        <v>37</v>
      </c>
      <c r="R10636" t="s">
        <v>41263</v>
      </c>
      <c r="S10636" t="s">
        <v>41698</v>
      </c>
      <c r="T10636" t="s">
        <v>42762</v>
      </c>
      <c r="U10636" t="s">
        <v>51750</v>
      </c>
      <c r="V10636" t="s">
        <v>55466</v>
      </c>
      <c r="W10636" t="s">
        <v>40751</v>
      </c>
      <c r="X10636" t="s">
        <v>41264</v>
      </c>
    </row>
    <row r="10637" spans="1:24">
      <c r="A10637">
        <f>HYPERLINK("https://www.philgeps.gov.ph/GEPSNONPILOT/Tender/SplashBidNoticeAbstractUI.aspx?menuIndex=3&amp;refID=7056688&amp;Result=3","7056688")</f>
        <v>0</v>
      </c>
      <c r="B10637" t="s">
        <v>2986</v>
      </c>
      <c r="C10637" t="s">
        <v>13548</v>
      </c>
      <c r="D10637" t="s">
        <v>16608</v>
      </c>
      <c r="E10637" t="s">
        <v>25922</v>
      </c>
      <c r="F10637" t="s">
        <v>28669</v>
      </c>
      <c r="G10637" t="s">
        <v>28675</v>
      </c>
      <c r="H10637" t="s">
        <v>28686</v>
      </c>
      <c r="I10637" t="s">
        <v>28689</v>
      </c>
      <c r="J10637" t="s">
        <v>30289</v>
      </c>
      <c r="K10637" t="s">
        <v>37212</v>
      </c>
      <c r="M10637" t="s">
        <v>40751</v>
      </c>
      <c r="N10637" t="s">
        <v>41249</v>
      </c>
      <c r="O10637" t="s">
        <v>41250</v>
      </c>
      <c r="P10637">
        <v>0</v>
      </c>
      <c r="Q10637">
        <v>61</v>
      </c>
      <c r="R10637" t="s">
        <v>41263</v>
      </c>
      <c r="S10637" t="s">
        <v>41698</v>
      </c>
      <c r="T10637" t="s">
        <v>42762</v>
      </c>
      <c r="U10637" t="s">
        <v>51751</v>
      </c>
      <c r="V10637" t="s">
        <v>55466</v>
      </c>
      <c r="W10637" t="s">
        <v>40751</v>
      </c>
      <c r="X10637" t="s">
        <v>41264</v>
      </c>
    </row>
    <row r="10638" spans="1:24">
      <c r="A10638">
        <f>HYPERLINK("https://www.philgeps.gov.ph/GEPSNONPILOT/Tender/SplashBidNoticeAbstractUI.aspx?menuIndex=3&amp;refID=7056667&amp;Result=3","7056667")</f>
        <v>0</v>
      </c>
      <c r="B10638" t="s">
        <v>2978</v>
      </c>
      <c r="C10638" t="s">
        <v>13549</v>
      </c>
      <c r="D10638" t="s">
        <v>16618</v>
      </c>
      <c r="E10638" t="s">
        <v>25886</v>
      </c>
      <c r="F10638" t="s">
        <v>28669</v>
      </c>
      <c r="G10638" t="s">
        <v>28675</v>
      </c>
      <c r="H10638" t="s">
        <v>28686</v>
      </c>
      <c r="I10638" t="s">
        <v>28689</v>
      </c>
      <c r="J10638" t="s">
        <v>35390</v>
      </c>
      <c r="K10638" t="s">
        <v>37221</v>
      </c>
      <c r="M10638" t="s">
        <v>40743</v>
      </c>
      <c r="N10638" t="s">
        <v>41249</v>
      </c>
      <c r="O10638" t="s">
        <v>41250</v>
      </c>
      <c r="Q10638">
        <v>0</v>
      </c>
      <c r="R10638" t="s">
        <v>41263</v>
      </c>
      <c r="S10638" t="s">
        <v>41744</v>
      </c>
      <c r="T10638" t="s">
        <v>43036</v>
      </c>
      <c r="U10638" t="s">
        <v>51717</v>
      </c>
      <c r="V10638" t="s">
        <v>55467</v>
      </c>
      <c r="W10638" t="s">
        <v>40743</v>
      </c>
      <c r="X10638" t="s">
        <v>41264</v>
      </c>
    </row>
    <row r="10639" spans="1:24">
      <c r="A10639">
        <f>HYPERLINK("https://www.philgeps.gov.ph/GEPSNONPILOT/Tender/SplashBidNoticeAbstractUI.aspx?menuIndex=3&amp;refID=7056647&amp;Result=3","7056647")</f>
        <v>0</v>
      </c>
      <c r="B10639" t="s">
        <v>234</v>
      </c>
      <c r="C10639" t="s">
        <v>13550</v>
      </c>
      <c r="D10639" t="s">
        <v>16675</v>
      </c>
      <c r="E10639" t="s">
        <v>25923</v>
      </c>
      <c r="F10639" t="s">
        <v>28669</v>
      </c>
      <c r="G10639" t="s">
        <v>28675</v>
      </c>
      <c r="H10639" t="s">
        <v>28684</v>
      </c>
      <c r="I10639" t="s">
        <v>28728</v>
      </c>
      <c r="J10639" t="s">
        <v>35393</v>
      </c>
      <c r="K10639" t="s">
        <v>37272</v>
      </c>
      <c r="M10639" t="s">
        <v>37712</v>
      </c>
      <c r="N10639" t="s">
        <v>41249</v>
      </c>
      <c r="O10639" t="s">
        <v>41250</v>
      </c>
      <c r="P10639">
        <v>0</v>
      </c>
      <c r="Q10639">
        <v>0</v>
      </c>
      <c r="R10639" t="s">
        <v>41263</v>
      </c>
      <c r="S10639" t="s">
        <v>41698</v>
      </c>
      <c r="T10639" t="s">
        <v>42707</v>
      </c>
      <c r="U10639" t="s">
        <v>51752</v>
      </c>
      <c r="W10639" t="s">
        <v>37712</v>
      </c>
      <c r="X10639" t="s">
        <v>41264</v>
      </c>
    </row>
    <row r="10640" spans="1:24">
      <c r="A10640">
        <f>HYPERLINK("https://www.philgeps.gov.ph/GEPSNONPILOT/Tender/SplashBidNoticeAbstractUI.aspx?menuIndex=3&amp;refID=7056664&amp;Result=3","7056664")</f>
        <v>0</v>
      </c>
      <c r="B10640" t="s">
        <v>476</v>
      </c>
      <c r="C10640" t="s">
        <v>13551</v>
      </c>
      <c r="D10640" t="s">
        <v>16615</v>
      </c>
      <c r="E10640" t="s">
        <v>25924</v>
      </c>
      <c r="F10640" t="s">
        <v>28669</v>
      </c>
      <c r="G10640" t="s">
        <v>28675</v>
      </c>
      <c r="H10640" t="s">
        <v>9998</v>
      </c>
      <c r="I10640" t="s">
        <v>3718</v>
      </c>
      <c r="J10640" t="s">
        <v>29245</v>
      </c>
      <c r="K10640" t="s">
        <v>37209</v>
      </c>
      <c r="M10640" t="s">
        <v>37964</v>
      </c>
      <c r="N10640" t="s">
        <v>41249</v>
      </c>
      <c r="O10640" t="s">
        <v>41250</v>
      </c>
      <c r="P10640">
        <v>0</v>
      </c>
      <c r="Q10640">
        <v>3</v>
      </c>
      <c r="R10640" t="s">
        <v>41263</v>
      </c>
      <c r="S10640" t="s">
        <v>41698</v>
      </c>
      <c r="T10640" t="s">
        <v>42682</v>
      </c>
      <c r="U10640" t="s">
        <v>51753</v>
      </c>
      <c r="W10640" t="s">
        <v>37964</v>
      </c>
      <c r="X10640" t="s">
        <v>41264</v>
      </c>
    </row>
    <row r="10641" spans="1:24">
      <c r="A10641">
        <f>HYPERLINK("https://www.philgeps.gov.ph/GEPSNONPILOT/Tender/SplashBidNoticeAbstractUI.aspx?menuIndex=3&amp;refID=7056645&amp;Result=3","7056645")</f>
        <v>0</v>
      </c>
      <c r="B10641" t="s">
        <v>2978</v>
      </c>
      <c r="C10641" t="s">
        <v>13552</v>
      </c>
      <c r="D10641" t="s">
        <v>16618</v>
      </c>
      <c r="E10641" t="s">
        <v>25886</v>
      </c>
      <c r="F10641" t="s">
        <v>28669</v>
      </c>
      <c r="G10641" t="s">
        <v>28675</v>
      </c>
      <c r="H10641" t="s">
        <v>28686</v>
      </c>
      <c r="I10641" t="s">
        <v>28689</v>
      </c>
      <c r="J10641" t="s">
        <v>35390</v>
      </c>
      <c r="K10641" t="s">
        <v>37221</v>
      </c>
      <c r="M10641" t="s">
        <v>40743</v>
      </c>
      <c r="N10641" t="s">
        <v>41249</v>
      </c>
      <c r="O10641" t="s">
        <v>41250</v>
      </c>
      <c r="Q10641">
        <v>0</v>
      </c>
      <c r="R10641" t="s">
        <v>41263</v>
      </c>
      <c r="S10641" t="s">
        <v>41745</v>
      </c>
      <c r="T10641" t="s">
        <v>43036</v>
      </c>
      <c r="U10641" t="s">
        <v>51717</v>
      </c>
      <c r="V10641" t="s">
        <v>55468</v>
      </c>
      <c r="W10641" t="s">
        <v>40743</v>
      </c>
      <c r="X10641" t="s">
        <v>41264</v>
      </c>
    </row>
    <row r="10642" spans="1:24">
      <c r="A10642">
        <f>HYPERLINK("https://www.philgeps.gov.ph/GEPSNONPILOT/Tender/SplashBidNoticeAbstractUI.aspx?menuIndex=3&amp;refID=7056689&amp;Result=3","7056689")</f>
        <v>0</v>
      </c>
      <c r="B10642" t="s">
        <v>267</v>
      </c>
      <c r="C10642" t="s">
        <v>13553</v>
      </c>
      <c r="D10642" t="s">
        <v>16679</v>
      </c>
      <c r="E10642" t="s">
        <v>25925</v>
      </c>
      <c r="F10642" t="s">
        <v>28669</v>
      </c>
      <c r="G10642" t="s">
        <v>28675</v>
      </c>
      <c r="H10642" t="s">
        <v>9998</v>
      </c>
      <c r="I10642" t="s">
        <v>7352</v>
      </c>
      <c r="J10642" t="s">
        <v>35394</v>
      </c>
      <c r="K10642" t="s">
        <v>37206</v>
      </c>
      <c r="M10642" t="s">
        <v>40741</v>
      </c>
      <c r="N10642" t="s">
        <v>41249</v>
      </c>
      <c r="O10642" t="s">
        <v>41250</v>
      </c>
      <c r="P10642">
        <v>0</v>
      </c>
      <c r="Q10642">
        <v>1</v>
      </c>
      <c r="R10642" t="s">
        <v>41263</v>
      </c>
      <c r="S10642" t="s">
        <v>41698</v>
      </c>
      <c r="T10642" t="s">
        <v>42658</v>
      </c>
      <c r="U10642" t="s">
        <v>43621</v>
      </c>
      <c r="V10642" t="s">
        <v>55428</v>
      </c>
      <c r="W10642" t="s">
        <v>55924</v>
      </c>
      <c r="X10642" t="s">
        <v>41264</v>
      </c>
    </row>
    <row r="10643" spans="1:24">
      <c r="A10643">
        <f>HYPERLINK("https://www.philgeps.gov.ph/GEPSNONPILOT/Tender/SplashBidNoticeAbstractUI.aspx?menuIndex=3&amp;refID=7056644&amp;Result=3","7056644")</f>
        <v>0</v>
      </c>
      <c r="B10643" t="s">
        <v>1997</v>
      </c>
      <c r="C10643" t="s">
        <v>13554</v>
      </c>
      <c r="E10643" t="s">
        <v>25926</v>
      </c>
      <c r="F10643" t="s">
        <v>28669</v>
      </c>
      <c r="G10643" t="s">
        <v>28675</v>
      </c>
      <c r="H10643" t="s">
        <v>9998</v>
      </c>
      <c r="I10643" t="s">
        <v>28688</v>
      </c>
      <c r="J10643" t="s">
        <v>35395</v>
      </c>
      <c r="K10643" t="s">
        <v>37209</v>
      </c>
      <c r="M10643" t="s">
        <v>39635</v>
      </c>
      <c r="N10643" t="s">
        <v>41249</v>
      </c>
      <c r="O10643" t="s">
        <v>41250</v>
      </c>
      <c r="P10643">
        <v>0</v>
      </c>
      <c r="Q10643">
        <v>9</v>
      </c>
      <c r="R10643" t="s">
        <v>41263</v>
      </c>
      <c r="S10643" t="s">
        <v>41698</v>
      </c>
      <c r="T10643" t="s">
        <v>42739</v>
      </c>
      <c r="U10643" t="s">
        <v>51754</v>
      </c>
      <c r="W10643" t="s">
        <v>39635</v>
      </c>
      <c r="X10643" t="s">
        <v>41264</v>
      </c>
    </row>
    <row r="10644" spans="1:24">
      <c r="A10644">
        <f>HYPERLINK("https://www.philgeps.gov.ph/GEPSNONPILOT/Tender/SplashBidNoticeAbstractUI.aspx?menuIndex=3&amp;refID=7056627&amp;Result=3","7056627")</f>
        <v>0</v>
      </c>
      <c r="B10644" t="s">
        <v>1997</v>
      </c>
      <c r="C10644" t="s">
        <v>13555</v>
      </c>
      <c r="E10644" t="s">
        <v>25927</v>
      </c>
      <c r="F10644" t="s">
        <v>28669</v>
      </c>
      <c r="G10644" t="s">
        <v>28675</v>
      </c>
      <c r="H10644" t="s">
        <v>9998</v>
      </c>
      <c r="I10644" t="s">
        <v>28731</v>
      </c>
      <c r="J10644" t="s">
        <v>35396</v>
      </c>
      <c r="K10644" t="s">
        <v>37209</v>
      </c>
      <c r="M10644" t="s">
        <v>39635</v>
      </c>
      <c r="N10644" t="s">
        <v>41249</v>
      </c>
      <c r="O10644" t="s">
        <v>41250</v>
      </c>
      <c r="P10644">
        <v>0</v>
      </c>
      <c r="Q10644">
        <v>16</v>
      </c>
      <c r="R10644" t="s">
        <v>41263</v>
      </c>
      <c r="S10644" t="s">
        <v>41698</v>
      </c>
      <c r="T10644" t="s">
        <v>42739</v>
      </c>
      <c r="U10644" t="s">
        <v>51755</v>
      </c>
      <c r="W10644" t="s">
        <v>39635</v>
      </c>
      <c r="X10644" t="s">
        <v>41264</v>
      </c>
    </row>
    <row r="10645" spans="1:24">
      <c r="A10645">
        <f>HYPERLINK("https://www.philgeps.gov.ph/GEPSNONPILOT/Tender/SplashBidNoticeAbstractUI.aspx?menuIndex=3&amp;refID=7056614&amp;Result=3","7056614")</f>
        <v>0</v>
      </c>
      <c r="B10645" t="s">
        <v>2983</v>
      </c>
      <c r="C10645" t="s">
        <v>13556</v>
      </c>
      <c r="D10645" t="s">
        <v>16626</v>
      </c>
      <c r="E10645" t="s">
        <v>20822</v>
      </c>
      <c r="F10645" t="s">
        <v>28669</v>
      </c>
      <c r="G10645" t="s">
        <v>28675</v>
      </c>
      <c r="H10645" t="s">
        <v>9998</v>
      </c>
      <c r="I10645" t="s">
        <v>6128</v>
      </c>
      <c r="J10645" t="s">
        <v>35397</v>
      </c>
      <c r="K10645" t="s">
        <v>37234</v>
      </c>
      <c r="M10645" t="s">
        <v>40748</v>
      </c>
      <c r="N10645" t="s">
        <v>41249</v>
      </c>
      <c r="O10645" t="s">
        <v>41250</v>
      </c>
      <c r="P10645">
        <v>0</v>
      </c>
      <c r="Q10645">
        <v>0</v>
      </c>
      <c r="R10645" t="s">
        <v>41263</v>
      </c>
      <c r="S10645" t="s">
        <v>41698</v>
      </c>
      <c r="T10645" t="s">
        <v>42739</v>
      </c>
      <c r="U10645" t="s">
        <v>51756</v>
      </c>
      <c r="W10645" t="s">
        <v>40748</v>
      </c>
      <c r="X10645" t="s">
        <v>41264</v>
      </c>
    </row>
    <row r="10646" spans="1:24">
      <c r="A10646">
        <f>HYPERLINK("https://www.philgeps.gov.ph/GEPSNONPILOT/Tender/SplashBidNoticeAbstractUI.aspx?menuIndex=3&amp;refID=7056677&amp;Result=3","7056677")</f>
        <v>0</v>
      </c>
      <c r="B10646" t="s">
        <v>1997</v>
      </c>
      <c r="C10646" t="s">
        <v>13557</v>
      </c>
      <c r="E10646" t="s">
        <v>25928</v>
      </c>
      <c r="F10646" t="s">
        <v>28669</v>
      </c>
      <c r="G10646" t="s">
        <v>28675</v>
      </c>
      <c r="H10646" t="s">
        <v>9998</v>
      </c>
      <c r="I10646" t="s">
        <v>28729</v>
      </c>
      <c r="J10646" t="s">
        <v>35398</v>
      </c>
      <c r="K10646" t="s">
        <v>37209</v>
      </c>
      <c r="M10646" t="s">
        <v>39635</v>
      </c>
      <c r="N10646" t="s">
        <v>41249</v>
      </c>
      <c r="O10646" t="s">
        <v>41250</v>
      </c>
      <c r="P10646">
        <v>0</v>
      </c>
      <c r="Q10646">
        <v>13</v>
      </c>
      <c r="R10646" t="s">
        <v>41263</v>
      </c>
      <c r="S10646" t="s">
        <v>41698</v>
      </c>
      <c r="T10646" t="s">
        <v>42739</v>
      </c>
      <c r="U10646" t="s">
        <v>51757</v>
      </c>
      <c r="W10646" t="s">
        <v>39635</v>
      </c>
      <c r="X10646" t="s">
        <v>41264</v>
      </c>
    </row>
    <row r="10647" spans="1:24">
      <c r="A10647">
        <f>HYPERLINK("https://www.philgeps.gov.ph/GEPSNONPILOT/Tender/SplashBidNoticeAbstractUI.aspx?menuIndex=3&amp;refID=7056610&amp;Result=3","7056610")</f>
        <v>0</v>
      </c>
      <c r="B10647" t="s">
        <v>2986</v>
      </c>
      <c r="C10647" t="s">
        <v>13558</v>
      </c>
      <c r="D10647" t="s">
        <v>16608</v>
      </c>
      <c r="E10647" t="s">
        <v>25929</v>
      </c>
      <c r="F10647" t="s">
        <v>28669</v>
      </c>
      <c r="G10647" t="s">
        <v>28675</v>
      </c>
      <c r="H10647" t="s">
        <v>28686</v>
      </c>
      <c r="I10647" t="s">
        <v>28689</v>
      </c>
      <c r="J10647" t="s">
        <v>35399</v>
      </c>
      <c r="K10647" t="s">
        <v>37448</v>
      </c>
      <c r="M10647" t="s">
        <v>40751</v>
      </c>
      <c r="N10647" t="s">
        <v>41249</v>
      </c>
      <c r="O10647" t="s">
        <v>41250</v>
      </c>
      <c r="P10647">
        <v>0</v>
      </c>
      <c r="Q10647">
        <v>39</v>
      </c>
      <c r="R10647" t="s">
        <v>41263</v>
      </c>
      <c r="S10647" t="s">
        <v>41698</v>
      </c>
      <c r="T10647" t="s">
        <v>42762</v>
      </c>
      <c r="U10647" t="s">
        <v>51758</v>
      </c>
      <c r="V10647" t="s">
        <v>55466</v>
      </c>
      <c r="W10647" t="s">
        <v>40751</v>
      </c>
      <c r="X10647" t="s">
        <v>41264</v>
      </c>
    </row>
    <row r="10648" spans="1:24">
      <c r="A10648">
        <f>HYPERLINK("https://www.philgeps.gov.ph/GEPSNONPILOT/Tender/SplashBidNoticeAbstractUI.aspx?menuIndex=3&amp;refID=7056477&amp;Result=3","7056477")</f>
        <v>0</v>
      </c>
      <c r="B10648" t="s">
        <v>476</v>
      </c>
      <c r="C10648" t="s">
        <v>13559</v>
      </c>
      <c r="D10648" t="s">
        <v>16615</v>
      </c>
      <c r="E10648" t="s">
        <v>25930</v>
      </c>
      <c r="F10648" t="s">
        <v>28669</v>
      </c>
      <c r="G10648" t="s">
        <v>28675</v>
      </c>
      <c r="H10648" t="s">
        <v>9998</v>
      </c>
      <c r="I10648" t="s">
        <v>6128</v>
      </c>
      <c r="J10648" t="s">
        <v>29907</v>
      </c>
      <c r="K10648" t="s">
        <v>37227</v>
      </c>
      <c r="M10648" t="s">
        <v>37964</v>
      </c>
      <c r="N10648" t="s">
        <v>41249</v>
      </c>
      <c r="O10648" t="s">
        <v>41250</v>
      </c>
      <c r="P10648">
        <v>0</v>
      </c>
      <c r="Q10648">
        <v>3</v>
      </c>
      <c r="R10648" t="s">
        <v>41263</v>
      </c>
      <c r="S10648" t="s">
        <v>41698</v>
      </c>
      <c r="T10648" t="s">
        <v>42682</v>
      </c>
      <c r="U10648" t="s">
        <v>51759</v>
      </c>
      <c r="W10648" t="s">
        <v>37964</v>
      </c>
      <c r="X10648" t="s">
        <v>41264</v>
      </c>
    </row>
    <row r="10649" spans="1:24">
      <c r="A10649">
        <f>HYPERLINK("https://www.philgeps.gov.ph/GEPSNONPILOT/Tender/SplashBidNoticeAbstractUI.aspx?menuIndex=3&amp;refID=7056829&amp;Result=3","7056829")</f>
        <v>0</v>
      </c>
      <c r="B10649" t="s">
        <v>2180</v>
      </c>
      <c r="C10649" t="s">
        <v>13560</v>
      </c>
      <c r="D10649" t="s">
        <v>16620</v>
      </c>
      <c r="E10649" t="s">
        <v>25931</v>
      </c>
      <c r="F10649" t="s">
        <v>28671</v>
      </c>
      <c r="G10649" t="s">
        <v>28676</v>
      </c>
      <c r="H10649" t="s">
        <v>9998</v>
      </c>
      <c r="I10649" t="s">
        <v>28697</v>
      </c>
      <c r="J10649" t="s">
        <v>29828</v>
      </c>
      <c r="K10649" t="s">
        <v>37206</v>
      </c>
      <c r="M10649" t="s">
        <v>39829</v>
      </c>
      <c r="N10649" t="s">
        <v>41249</v>
      </c>
      <c r="O10649" t="s">
        <v>41250</v>
      </c>
      <c r="P10649">
        <v>0</v>
      </c>
      <c r="Q10649">
        <v>12</v>
      </c>
      <c r="R10649" t="s">
        <v>41263</v>
      </c>
      <c r="S10649" t="s">
        <v>41698</v>
      </c>
      <c r="T10649" t="s">
        <v>42767</v>
      </c>
      <c r="U10649" t="s">
        <v>48714</v>
      </c>
      <c r="V10649" t="s">
        <v>55036</v>
      </c>
      <c r="W10649" t="s">
        <v>55981</v>
      </c>
      <c r="X10649" t="s">
        <v>41264</v>
      </c>
    </row>
    <row r="10650" spans="1:24">
      <c r="A10650">
        <f>HYPERLINK("https://www.philgeps.gov.ph/GEPSNONPILOT/Tender/SplashBidNoticeAbstractUI.aspx?menuIndex=3&amp;refID=7056617&amp;Result=3","7056617")</f>
        <v>0</v>
      </c>
      <c r="B10650" t="s">
        <v>2978</v>
      </c>
      <c r="C10650" t="s">
        <v>13561</v>
      </c>
      <c r="D10650" t="s">
        <v>16618</v>
      </c>
      <c r="E10650" t="s">
        <v>25886</v>
      </c>
      <c r="F10650" t="s">
        <v>28669</v>
      </c>
      <c r="G10650" t="s">
        <v>28675</v>
      </c>
      <c r="H10650" t="s">
        <v>28686</v>
      </c>
      <c r="I10650" t="s">
        <v>28689</v>
      </c>
      <c r="J10650" t="s">
        <v>35390</v>
      </c>
      <c r="K10650" t="s">
        <v>37221</v>
      </c>
      <c r="M10650" t="s">
        <v>40743</v>
      </c>
      <c r="N10650" t="s">
        <v>41249</v>
      </c>
      <c r="O10650" t="s">
        <v>41250</v>
      </c>
      <c r="Q10650">
        <v>0</v>
      </c>
      <c r="R10650" t="s">
        <v>41263</v>
      </c>
      <c r="S10650" t="s">
        <v>41746</v>
      </c>
      <c r="T10650" t="s">
        <v>43036</v>
      </c>
      <c r="U10650" t="s">
        <v>51717</v>
      </c>
      <c r="V10650" t="s">
        <v>55469</v>
      </c>
      <c r="W10650" t="s">
        <v>40743</v>
      </c>
      <c r="X10650" t="s">
        <v>41264</v>
      </c>
    </row>
    <row r="10651" spans="1:24">
      <c r="A10651">
        <f>HYPERLINK("https://www.philgeps.gov.ph/GEPSNONPILOT/Tender/SplashBidNoticeAbstractUI.aspx?menuIndex=3&amp;refID=7056820&amp;Result=3","7056820")</f>
        <v>0</v>
      </c>
      <c r="B10651" t="s">
        <v>596</v>
      </c>
      <c r="C10651" t="s">
        <v>13562</v>
      </c>
      <c r="E10651" t="s">
        <v>25932</v>
      </c>
      <c r="F10651" t="s">
        <v>28669</v>
      </c>
      <c r="G10651" t="s">
        <v>28675</v>
      </c>
      <c r="H10651" t="s">
        <v>28686</v>
      </c>
      <c r="I10651" t="s">
        <v>28689</v>
      </c>
      <c r="J10651" t="s">
        <v>35400</v>
      </c>
      <c r="K10651" t="s">
        <v>37290</v>
      </c>
      <c r="M10651" t="s">
        <v>39528</v>
      </c>
      <c r="N10651" t="s">
        <v>41249</v>
      </c>
      <c r="O10651" t="s">
        <v>41250</v>
      </c>
      <c r="Q10651">
        <v>0</v>
      </c>
      <c r="R10651" t="s">
        <v>41263</v>
      </c>
      <c r="S10651" t="s">
        <v>41747</v>
      </c>
      <c r="T10651" t="s">
        <v>42739</v>
      </c>
      <c r="U10651" t="s">
        <v>51760</v>
      </c>
      <c r="W10651" t="s">
        <v>39528</v>
      </c>
      <c r="X10651" t="s">
        <v>41264</v>
      </c>
    </row>
    <row r="10652" spans="1:24">
      <c r="A10652">
        <f>HYPERLINK("https://www.philgeps.gov.ph/GEPSNONPILOT/Tender/SplashBidNoticeAbstractUI.aspx?menuIndex=3&amp;refID=7056813&amp;Result=3","7056813")</f>
        <v>0</v>
      </c>
      <c r="B10652" t="s">
        <v>2047</v>
      </c>
      <c r="C10652" t="s">
        <v>13563</v>
      </c>
      <c r="D10652" t="s">
        <v>16648</v>
      </c>
      <c r="E10652" t="s">
        <v>25933</v>
      </c>
      <c r="F10652" t="s">
        <v>28669</v>
      </c>
      <c r="G10652" t="s">
        <v>28675</v>
      </c>
      <c r="H10652" t="s">
        <v>9998</v>
      </c>
      <c r="I10652" t="s">
        <v>28695</v>
      </c>
      <c r="J10652" t="s">
        <v>35401</v>
      </c>
      <c r="K10652" t="s">
        <v>37206</v>
      </c>
      <c r="M10652" t="s">
        <v>39687</v>
      </c>
      <c r="N10652" t="s">
        <v>41249</v>
      </c>
      <c r="O10652" t="s">
        <v>41250</v>
      </c>
      <c r="P10652">
        <v>0</v>
      </c>
      <c r="Q10652">
        <v>0</v>
      </c>
      <c r="R10652" t="s">
        <v>41263</v>
      </c>
      <c r="S10652" t="s">
        <v>41698</v>
      </c>
      <c r="T10652" t="s">
        <v>42714</v>
      </c>
      <c r="U10652" t="s">
        <v>51761</v>
      </c>
      <c r="V10652" t="s">
        <v>55470</v>
      </c>
      <c r="W10652" t="s">
        <v>39687</v>
      </c>
      <c r="X10652" t="s">
        <v>41264</v>
      </c>
    </row>
    <row r="10653" spans="1:24">
      <c r="A10653">
        <f>HYPERLINK("https://www.philgeps.gov.ph/GEPSNONPILOT/Tender/SplashBidNoticeAbstractUI.aspx?menuIndex=3&amp;refID=7056764&amp;Result=3","7056764")</f>
        <v>0</v>
      </c>
      <c r="B10653" t="s">
        <v>2180</v>
      </c>
      <c r="C10653" t="s">
        <v>13564</v>
      </c>
      <c r="D10653" t="s">
        <v>16620</v>
      </c>
      <c r="E10653" t="s">
        <v>25934</v>
      </c>
      <c r="F10653" t="s">
        <v>28671</v>
      </c>
      <c r="G10653" t="s">
        <v>28676</v>
      </c>
      <c r="H10653" t="s">
        <v>9998</v>
      </c>
      <c r="I10653" t="s">
        <v>11142</v>
      </c>
      <c r="J10653" t="s">
        <v>29008</v>
      </c>
      <c r="K10653" t="s">
        <v>37205</v>
      </c>
      <c r="M10653" t="s">
        <v>39829</v>
      </c>
      <c r="N10653" t="s">
        <v>41249</v>
      </c>
      <c r="O10653" t="s">
        <v>41250</v>
      </c>
      <c r="P10653">
        <v>0</v>
      </c>
      <c r="Q10653">
        <v>1</v>
      </c>
      <c r="R10653" t="s">
        <v>41263</v>
      </c>
      <c r="S10653" t="s">
        <v>41698</v>
      </c>
      <c r="T10653" t="s">
        <v>42767</v>
      </c>
      <c r="U10653" t="s">
        <v>48714</v>
      </c>
      <c r="V10653" t="s">
        <v>55036</v>
      </c>
      <c r="W10653" t="s">
        <v>55981</v>
      </c>
      <c r="X10653" t="s">
        <v>41264</v>
      </c>
    </row>
    <row r="10654" spans="1:24">
      <c r="A10654">
        <f>HYPERLINK("https://www.philgeps.gov.ph/GEPSNONPILOT/Tender/SplashBidNoticeAbstractUI.aspx?menuIndex=3&amp;refID=7056676&amp;Result=3","7056676")</f>
        <v>0</v>
      </c>
      <c r="B10654" t="s">
        <v>2986</v>
      </c>
      <c r="C10654" t="s">
        <v>13565</v>
      </c>
      <c r="D10654" t="s">
        <v>16608</v>
      </c>
      <c r="E10654" t="s">
        <v>25935</v>
      </c>
      <c r="F10654" t="s">
        <v>28669</v>
      </c>
      <c r="G10654" t="s">
        <v>28675</v>
      </c>
      <c r="H10654" t="s">
        <v>28686</v>
      </c>
      <c r="I10654" t="s">
        <v>28689</v>
      </c>
      <c r="J10654" t="s">
        <v>35402</v>
      </c>
      <c r="K10654" t="s">
        <v>37211</v>
      </c>
      <c r="M10654" t="s">
        <v>40751</v>
      </c>
      <c r="N10654" t="s">
        <v>41249</v>
      </c>
      <c r="O10654" t="s">
        <v>41250</v>
      </c>
      <c r="P10654">
        <v>0</v>
      </c>
      <c r="Q10654">
        <v>66</v>
      </c>
      <c r="R10654" t="s">
        <v>41263</v>
      </c>
      <c r="S10654" t="s">
        <v>41698</v>
      </c>
      <c r="T10654" t="s">
        <v>42762</v>
      </c>
      <c r="U10654" t="s">
        <v>51762</v>
      </c>
      <c r="V10654" t="s">
        <v>55466</v>
      </c>
      <c r="W10654" t="s">
        <v>40751</v>
      </c>
      <c r="X10654" t="s">
        <v>41264</v>
      </c>
    </row>
    <row r="10655" spans="1:24">
      <c r="A10655">
        <f>HYPERLINK("https://www.philgeps.gov.ph/GEPSNONPILOT/Tender/SplashBidNoticeAbstractUI.aspx?menuIndex=3&amp;refID=7056758&amp;Result=3","7056758")</f>
        <v>0</v>
      </c>
      <c r="B10655" t="s">
        <v>284</v>
      </c>
      <c r="C10655" t="s">
        <v>13566</v>
      </c>
      <c r="E10655" t="s">
        <v>25936</v>
      </c>
      <c r="F10655" t="s">
        <v>28669</v>
      </c>
      <c r="G10655" t="s">
        <v>28675</v>
      </c>
      <c r="H10655" t="s">
        <v>9998</v>
      </c>
      <c r="I10655" t="s">
        <v>28693</v>
      </c>
      <c r="J10655" t="s">
        <v>35403</v>
      </c>
      <c r="K10655" t="s">
        <v>37206</v>
      </c>
      <c r="M10655" t="s">
        <v>37762</v>
      </c>
      <c r="N10655" t="s">
        <v>41249</v>
      </c>
      <c r="O10655" t="s">
        <v>41250</v>
      </c>
      <c r="Q10655">
        <v>7</v>
      </c>
      <c r="R10655" t="s">
        <v>41263</v>
      </c>
      <c r="S10655" t="s">
        <v>41748</v>
      </c>
      <c r="T10655" t="s">
        <v>42911</v>
      </c>
      <c r="U10655" t="s">
        <v>51763</v>
      </c>
      <c r="W10655" t="s">
        <v>37762</v>
      </c>
      <c r="X10655" t="s">
        <v>41264</v>
      </c>
    </row>
    <row r="10656" spans="1:24">
      <c r="A10656">
        <f>HYPERLINK("https://www.philgeps.gov.ph/GEPSNONPILOT/Tender/SplashBidNoticeAbstractUI.aspx?menuIndex=3&amp;refID=7056754&amp;Result=3","7056754")</f>
        <v>0</v>
      </c>
      <c r="B10656" t="s">
        <v>268</v>
      </c>
      <c r="C10656" t="s">
        <v>13567</v>
      </c>
      <c r="D10656" t="s">
        <v>16608</v>
      </c>
      <c r="E10656" t="s">
        <v>25937</v>
      </c>
      <c r="F10656" t="s">
        <v>28669</v>
      </c>
      <c r="G10656" t="s">
        <v>28675</v>
      </c>
      <c r="H10656" t="s">
        <v>28686</v>
      </c>
      <c r="I10656" t="s">
        <v>28689</v>
      </c>
      <c r="J10656" t="s">
        <v>35404</v>
      </c>
      <c r="K10656" t="s">
        <v>37325</v>
      </c>
      <c r="M10656" t="s">
        <v>40504</v>
      </c>
      <c r="N10656" t="s">
        <v>41249</v>
      </c>
      <c r="O10656" t="s">
        <v>41250</v>
      </c>
      <c r="P10656">
        <v>0</v>
      </c>
      <c r="Q10656">
        <v>1</v>
      </c>
      <c r="R10656" t="s">
        <v>41263</v>
      </c>
      <c r="S10656" t="s">
        <v>41698</v>
      </c>
      <c r="T10656" t="s">
        <v>42658</v>
      </c>
      <c r="U10656" t="s">
        <v>51764</v>
      </c>
      <c r="W10656" t="s">
        <v>40504</v>
      </c>
      <c r="X10656" t="s">
        <v>41264</v>
      </c>
    </row>
    <row r="10657" spans="1:24">
      <c r="A10657">
        <f>HYPERLINK("https://www.philgeps.gov.ph/GEPSNONPILOT/Tender/SplashBidNoticeAbstractUI.aspx?menuIndex=3&amp;refID=7056618&amp;Result=3","7056618")</f>
        <v>0</v>
      </c>
      <c r="B10657" t="s">
        <v>2986</v>
      </c>
      <c r="C10657" t="s">
        <v>13568</v>
      </c>
      <c r="D10657" t="s">
        <v>16608</v>
      </c>
      <c r="E10657" t="s">
        <v>25938</v>
      </c>
      <c r="F10657" t="s">
        <v>28669</v>
      </c>
      <c r="G10657" t="s">
        <v>28675</v>
      </c>
      <c r="H10657" t="s">
        <v>28686</v>
      </c>
      <c r="I10657" t="s">
        <v>28689</v>
      </c>
      <c r="J10657" t="s">
        <v>35405</v>
      </c>
      <c r="K10657" t="s">
        <v>37325</v>
      </c>
      <c r="M10657" t="s">
        <v>40751</v>
      </c>
      <c r="N10657" t="s">
        <v>41249</v>
      </c>
      <c r="O10657" t="s">
        <v>41250</v>
      </c>
      <c r="P10657">
        <v>0</v>
      </c>
      <c r="Q10657">
        <v>35</v>
      </c>
      <c r="R10657" t="s">
        <v>41263</v>
      </c>
      <c r="S10657" t="s">
        <v>41698</v>
      </c>
      <c r="T10657" t="s">
        <v>42762</v>
      </c>
      <c r="U10657" t="s">
        <v>51765</v>
      </c>
      <c r="V10657" t="s">
        <v>55466</v>
      </c>
      <c r="W10657" t="s">
        <v>40751</v>
      </c>
      <c r="X10657" t="s">
        <v>41264</v>
      </c>
    </row>
    <row r="10658" spans="1:24">
      <c r="A10658">
        <f>HYPERLINK("https://www.philgeps.gov.ph/GEPSNONPILOT/Tender/SplashBidNoticeAbstractUI.aspx?menuIndex=3&amp;refID=7056679&amp;Result=3","7056679")</f>
        <v>0</v>
      </c>
      <c r="B10658" t="s">
        <v>886</v>
      </c>
      <c r="C10658" t="s">
        <v>13569</v>
      </c>
      <c r="D10658" t="s">
        <v>16644</v>
      </c>
      <c r="E10658" t="s">
        <v>25939</v>
      </c>
      <c r="F10658" t="s">
        <v>28669</v>
      </c>
      <c r="G10658" t="s">
        <v>28675</v>
      </c>
      <c r="H10658" t="s">
        <v>9998</v>
      </c>
      <c r="I10658" t="s">
        <v>7352</v>
      </c>
      <c r="J10658" t="s">
        <v>31229</v>
      </c>
      <c r="K10658" t="s">
        <v>37210</v>
      </c>
      <c r="M10658" t="s">
        <v>38406</v>
      </c>
      <c r="N10658" t="s">
        <v>41249</v>
      </c>
      <c r="O10658" t="s">
        <v>41250</v>
      </c>
      <c r="P10658">
        <v>0</v>
      </c>
      <c r="Q10658">
        <v>2</v>
      </c>
      <c r="R10658" t="s">
        <v>41263</v>
      </c>
      <c r="S10658" t="s">
        <v>41698</v>
      </c>
      <c r="T10658" t="s">
        <v>42755</v>
      </c>
      <c r="U10658" t="s">
        <v>51766</v>
      </c>
      <c r="W10658" t="s">
        <v>38406</v>
      </c>
      <c r="X10658" t="s">
        <v>41264</v>
      </c>
    </row>
    <row r="10659" spans="1:24">
      <c r="A10659">
        <f>HYPERLINK("https://www.philgeps.gov.ph/GEPSNONPILOT/Tender/SplashBidNoticeAbstractUI.aspx?menuIndex=3&amp;refID=7056763&amp;Result=3","7056763")</f>
        <v>0</v>
      </c>
      <c r="B10659" t="s">
        <v>2978</v>
      </c>
      <c r="C10659" t="s">
        <v>13570</v>
      </c>
      <c r="D10659" t="s">
        <v>16618</v>
      </c>
      <c r="E10659" t="s">
        <v>25886</v>
      </c>
      <c r="F10659" t="s">
        <v>28669</v>
      </c>
      <c r="G10659" t="s">
        <v>28675</v>
      </c>
      <c r="H10659" t="s">
        <v>28686</v>
      </c>
      <c r="I10659" t="s">
        <v>28689</v>
      </c>
      <c r="J10659" t="s">
        <v>35406</v>
      </c>
      <c r="K10659" t="s">
        <v>37220</v>
      </c>
      <c r="M10659" t="s">
        <v>40743</v>
      </c>
      <c r="N10659" t="s">
        <v>41249</v>
      </c>
      <c r="O10659" t="s">
        <v>41250</v>
      </c>
      <c r="Q10659">
        <v>0</v>
      </c>
      <c r="R10659" t="s">
        <v>41263</v>
      </c>
      <c r="S10659" t="s">
        <v>41749</v>
      </c>
      <c r="T10659" t="s">
        <v>43036</v>
      </c>
      <c r="U10659" t="s">
        <v>51717</v>
      </c>
      <c r="V10659" t="s">
        <v>55471</v>
      </c>
      <c r="W10659" t="s">
        <v>40743</v>
      </c>
      <c r="X10659" t="s">
        <v>41264</v>
      </c>
    </row>
    <row r="10660" spans="1:24">
      <c r="A10660">
        <f>HYPERLINK("https://www.philgeps.gov.ph/GEPSNONPILOT/Tender/SplashBidNoticeAbstractUI.aspx?menuIndex=3&amp;refID=7056738&amp;Result=3","7056738")</f>
        <v>0</v>
      </c>
      <c r="B10660" t="s">
        <v>2987</v>
      </c>
      <c r="C10660" t="s">
        <v>9092</v>
      </c>
      <c r="D10660" t="s">
        <v>16627</v>
      </c>
      <c r="E10660" t="s">
        <v>25940</v>
      </c>
      <c r="F10660" t="s">
        <v>28669</v>
      </c>
      <c r="G10660" t="s">
        <v>28675</v>
      </c>
      <c r="H10660" t="s">
        <v>9998</v>
      </c>
      <c r="I10660" t="s">
        <v>7352</v>
      </c>
      <c r="J10660" t="s">
        <v>28826</v>
      </c>
      <c r="K10660" t="s">
        <v>37206</v>
      </c>
      <c r="M10660" t="s">
        <v>40752</v>
      </c>
      <c r="N10660" t="s">
        <v>41249</v>
      </c>
      <c r="O10660" t="s">
        <v>41250</v>
      </c>
      <c r="P10660">
        <v>0</v>
      </c>
      <c r="Q10660">
        <v>4</v>
      </c>
      <c r="R10660" t="s">
        <v>41263</v>
      </c>
      <c r="S10660" t="s">
        <v>41698</v>
      </c>
      <c r="T10660" t="s">
        <v>42659</v>
      </c>
      <c r="U10660" t="s">
        <v>51767</v>
      </c>
      <c r="W10660" t="s">
        <v>40752</v>
      </c>
      <c r="X10660" t="s">
        <v>41264</v>
      </c>
    </row>
    <row r="10661" spans="1:24">
      <c r="A10661">
        <f>HYPERLINK("https://www.philgeps.gov.ph/GEPSNONPILOT/Tender/SplashBidNoticeAbstractUI.aspx?menuIndex=3&amp;refID=7056789&amp;Result=3","7056789")</f>
        <v>0</v>
      </c>
      <c r="B10661" t="s">
        <v>2978</v>
      </c>
      <c r="C10661" t="s">
        <v>13571</v>
      </c>
      <c r="D10661" t="s">
        <v>16618</v>
      </c>
      <c r="E10661" t="s">
        <v>25886</v>
      </c>
      <c r="F10661" t="s">
        <v>28669</v>
      </c>
      <c r="G10661" t="s">
        <v>28675</v>
      </c>
      <c r="H10661" t="s">
        <v>28686</v>
      </c>
      <c r="I10661" t="s">
        <v>28689</v>
      </c>
      <c r="J10661" t="s">
        <v>35406</v>
      </c>
      <c r="K10661" t="s">
        <v>37220</v>
      </c>
      <c r="M10661" t="s">
        <v>40743</v>
      </c>
      <c r="N10661" t="s">
        <v>41249</v>
      </c>
      <c r="O10661" t="s">
        <v>41250</v>
      </c>
      <c r="Q10661">
        <v>0</v>
      </c>
      <c r="R10661" t="s">
        <v>41263</v>
      </c>
      <c r="S10661" t="s">
        <v>41750</v>
      </c>
      <c r="T10661" t="s">
        <v>43036</v>
      </c>
      <c r="U10661" t="s">
        <v>51717</v>
      </c>
      <c r="V10661" t="s">
        <v>55472</v>
      </c>
      <c r="W10661" t="s">
        <v>40743</v>
      </c>
      <c r="X10661" t="s">
        <v>41264</v>
      </c>
    </row>
    <row r="10662" spans="1:24">
      <c r="A10662">
        <f>HYPERLINK("https://www.philgeps.gov.ph/GEPSNONPILOT/Tender/SplashBidNoticeAbstractUI.aspx?menuIndex=3&amp;refID=7056742&amp;Result=3","7056742")</f>
        <v>0</v>
      </c>
      <c r="B10662" t="s">
        <v>2978</v>
      </c>
      <c r="C10662" t="s">
        <v>13572</v>
      </c>
      <c r="D10662" t="s">
        <v>16618</v>
      </c>
      <c r="E10662" t="s">
        <v>25886</v>
      </c>
      <c r="F10662" t="s">
        <v>28669</v>
      </c>
      <c r="G10662" t="s">
        <v>28675</v>
      </c>
      <c r="H10662" t="s">
        <v>28686</v>
      </c>
      <c r="I10662" t="s">
        <v>28689</v>
      </c>
      <c r="J10662" t="s">
        <v>35390</v>
      </c>
      <c r="K10662" t="s">
        <v>37221</v>
      </c>
      <c r="M10662" t="s">
        <v>40743</v>
      </c>
      <c r="N10662" t="s">
        <v>41249</v>
      </c>
      <c r="O10662" t="s">
        <v>41250</v>
      </c>
      <c r="Q10662">
        <v>0</v>
      </c>
      <c r="R10662" t="s">
        <v>41263</v>
      </c>
      <c r="S10662" t="s">
        <v>41751</v>
      </c>
      <c r="T10662" t="s">
        <v>43036</v>
      </c>
      <c r="U10662" t="s">
        <v>51717</v>
      </c>
      <c r="V10662" t="s">
        <v>55473</v>
      </c>
      <c r="W10662" t="s">
        <v>40743</v>
      </c>
      <c r="X10662" t="s">
        <v>41264</v>
      </c>
    </row>
    <row r="10663" spans="1:24">
      <c r="A10663">
        <f>HYPERLINK("https://www.philgeps.gov.ph/GEPSNONPILOT/Tender/SplashBidNoticeAbstractUI.aspx?menuIndex=3&amp;refID=7056726&amp;Result=3","7056726")</f>
        <v>0</v>
      </c>
      <c r="B10663" t="s">
        <v>2180</v>
      </c>
      <c r="C10663" t="s">
        <v>13573</v>
      </c>
      <c r="D10663" t="s">
        <v>16620</v>
      </c>
      <c r="E10663" t="s">
        <v>25941</v>
      </c>
      <c r="F10663" t="s">
        <v>28671</v>
      </c>
      <c r="G10663" t="s">
        <v>28676</v>
      </c>
      <c r="H10663" t="s">
        <v>9998</v>
      </c>
      <c r="I10663" t="s">
        <v>28697</v>
      </c>
      <c r="J10663" t="s">
        <v>35407</v>
      </c>
      <c r="K10663" t="s">
        <v>37206</v>
      </c>
      <c r="M10663" t="s">
        <v>39829</v>
      </c>
      <c r="N10663" t="s">
        <v>41249</v>
      </c>
      <c r="O10663" t="s">
        <v>41250</v>
      </c>
      <c r="P10663">
        <v>0</v>
      </c>
      <c r="Q10663">
        <v>10</v>
      </c>
      <c r="R10663" t="s">
        <v>41263</v>
      </c>
      <c r="S10663" t="s">
        <v>41698</v>
      </c>
      <c r="T10663" t="s">
        <v>42767</v>
      </c>
      <c r="U10663" t="s">
        <v>48714</v>
      </c>
      <c r="V10663" t="s">
        <v>55036</v>
      </c>
      <c r="W10663" t="s">
        <v>55981</v>
      </c>
      <c r="X10663" t="s">
        <v>41264</v>
      </c>
    </row>
    <row r="10664" spans="1:24">
      <c r="A10664">
        <f>HYPERLINK("https://www.philgeps.gov.ph/GEPSNONPILOT/Tender/SplashBidNoticeAbstractUI.aspx?menuIndex=3&amp;refID=7056715&amp;Result=3","7056715")</f>
        <v>0</v>
      </c>
      <c r="B10664" t="s">
        <v>2986</v>
      </c>
      <c r="C10664" t="s">
        <v>13574</v>
      </c>
      <c r="D10664" t="s">
        <v>16608</v>
      </c>
      <c r="E10664" t="s">
        <v>25942</v>
      </c>
      <c r="F10664" t="s">
        <v>28669</v>
      </c>
      <c r="G10664" t="s">
        <v>28675</v>
      </c>
      <c r="H10664" t="s">
        <v>28686</v>
      </c>
      <c r="I10664" t="s">
        <v>28689</v>
      </c>
      <c r="J10664" t="s">
        <v>35408</v>
      </c>
      <c r="K10664" t="s">
        <v>37339</v>
      </c>
      <c r="M10664" t="s">
        <v>40751</v>
      </c>
      <c r="N10664" t="s">
        <v>41249</v>
      </c>
      <c r="O10664" t="s">
        <v>41250</v>
      </c>
      <c r="P10664">
        <v>0</v>
      </c>
      <c r="Q10664">
        <v>37</v>
      </c>
      <c r="R10664" t="s">
        <v>41263</v>
      </c>
      <c r="S10664" t="s">
        <v>41698</v>
      </c>
      <c r="T10664" t="s">
        <v>42762</v>
      </c>
      <c r="U10664" t="s">
        <v>51768</v>
      </c>
      <c r="V10664" t="s">
        <v>55466</v>
      </c>
      <c r="W10664" t="s">
        <v>40751</v>
      </c>
      <c r="X10664" t="s">
        <v>41264</v>
      </c>
    </row>
    <row r="10665" spans="1:24">
      <c r="A10665">
        <f>HYPERLINK("https://www.philgeps.gov.ph/GEPSNONPILOT/Tender/SplashBidNoticeAbstractUI.aspx?menuIndex=3&amp;refID=7057039&amp;Result=3","7057039")</f>
        <v>0</v>
      </c>
      <c r="B10665" t="s">
        <v>988</v>
      </c>
      <c r="C10665" t="s">
        <v>13575</v>
      </c>
      <c r="D10665" t="s">
        <v>16635</v>
      </c>
      <c r="E10665" t="s">
        <v>25943</v>
      </c>
      <c r="F10665" t="s">
        <v>28669</v>
      </c>
      <c r="G10665" t="s">
        <v>28676</v>
      </c>
      <c r="H10665" t="s">
        <v>9998</v>
      </c>
      <c r="I10665" t="s">
        <v>28728</v>
      </c>
      <c r="J10665" t="s">
        <v>28914</v>
      </c>
      <c r="K10665" t="s">
        <v>37206</v>
      </c>
      <c r="M10665" t="s">
        <v>39801</v>
      </c>
      <c r="N10665" t="s">
        <v>41249</v>
      </c>
      <c r="O10665" t="s">
        <v>41250</v>
      </c>
      <c r="Q10665">
        <v>6</v>
      </c>
      <c r="R10665" t="s">
        <v>41263</v>
      </c>
      <c r="S10665" t="s">
        <v>41752</v>
      </c>
      <c r="T10665" t="s">
        <v>42690</v>
      </c>
      <c r="U10665" t="s">
        <v>51769</v>
      </c>
      <c r="W10665" t="s">
        <v>39801</v>
      </c>
      <c r="X10665" t="s">
        <v>41264</v>
      </c>
    </row>
    <row r="10666" spans="1:24">
      <c r="A10666">
        <f>HYPERLINK("https://www.philgeps.gov.ph/GEPSNONPILOT/Tender/SplashBidNoticeAbstractUI.aspx?menuIndex=3&amp;refID=7056753&amp;Result=3","7056753")</f>
        <v>0</v>
      </c>
      <c r="B10666" t="s">
        <v>101</v>
      </c>
      <c r="C10666" t="s">
        <v>13576</v>
      </c>
      <c r="D10666" t="s">
        <v>16644</v>
      </c>
      <c r="E10666" t="s">
        <v>25944</v>
      </c>
      <c r="F10666" t="s">
        <v>28669</v>
      </c>
      <c r="G10666" t="s">
        <v>28676</v>
      </c>
      <c r="H10666" t="s">
        <v>9998</v>
      </c>
      <c r="I10666" t="s">
        <v>28693</v>
      </c>
      <c r="J10666" t="s">
        <v>31122</v>
      </c>
      <c r="K10666" t="s">
        <v>37206</v>
      </c>
      <c r="M10666" t="s">
        <v>38633</v>
      </c>
      <c r="N10666" t="s">
        <v>41249</v>
      </c>
      <c r="O10666" t="s">
        <v>41250</v>
      </c>
      <c r="Q10666">
        <v>4</v>
      </c>
      <c r="R10666" t="s">
        <v>41263</v>
      </c>
      <c r="S10666" t="s">
        <v>41753</v>
      </c>
      <c r="T10666" t="s">
        <v>42748</v>
      </c>
      <c r="U10666" t="s">
        <v>51770</v>
      </c>
      <c r="W10666" t="s">
        <v>38633</v>
      </c>
      <c r="X10666" t="s">
        <v>41264</v>
      </c>
    </row>
    <row r="10667" spans="1:24">
      <c r="A10667">
        <f>HYPERLINK("https://www.philgeps.gov.ph/GEPSNONPILOT/Tender/SplashBidNoticeAbstractUI.aspx?menuIndex=3&amp;refID=7057025&amp;Result=3","7057025")</f>
        <v>0</v>
      </c>
      <c r="B10667" t="s">
        <v>988</v>
      </c>
      <c r="C10667" t="s">
        <v>13577</v>
      </c>
      <c r="D10667" t="s">
        <v>16635</v>
      </c>
      <c r="E10667" t="s">
        <v>25945</v>
      </c>
      <c r="F10667" t="s">
        <v>28669</v>
      </c>
      <c r="G10667" t="s">
        <v>28678</v>
      </c>
      <c r="H10667" t="s">
        <v>9998</v>
      </c>
      <c r="I10667" t="s">
        <v>5213</v>
      </c>
      <c r="J10667" t="s">
        <v>35409</v>
      </c>
      <c r="K10667" t="s">
        <v>37206</v>
      </c>
      <c r="M10667" t="s">
        <v>39801</v>
      </c>
      <c r="N10667" t="s">
        <v>41249</v>
      </c>
      <c r="O10667" t="s">
        <v>41250</v>
      </c>
      <c r="Q10667">
        <v>1</v>
      </c>
      <c r="R10667" t="s">
        <v>41263</v>
      </c>
      <c r="S10667" t="s">
        <v>41633</v>
      </c>
      <c r="T10667" t="s">
        <v>42690</v>
      </c>
      <c r="U10667" t="s">
        <v>51771</v>
      </c>
      <c r="W10667" t="s">
        <v>39801</v>
      </c>
      <c r="X10667" t="s">
        <v>41264</v>
      </c>
    </row>
    <row r="10668" spans="1:24">
      <c r="A10668">
        <f>HYPERLINK("https://www.philgeps.gov.ph/GEPSNONPILOT/Tender/SplashBidNoticeAbstractUI.aspx?menuIndex=3&amp;refID=7057012&amp;Result=3","7057012")</f>
        <v>0</v>
      </c>
      <c r="B10668" t="s">
        <v>427</v>
      </c>
      <c r="C10668" t="s">
        <v>13578</v>
      </c>
      <c r="D10668" t="s">
        <v>16608</v>
      </c>
      <c r="E10668" t="s">
        <v>25946</v>
      </c>
      <c r="F10668" t="s">
        <v>28669</v>
      </c>
      <c r="G10668" t="s">
        <v>28678</v>
      </c>
      <c r="H10668" t="s">
        <v>9998</v>
      </c>
      <c r="I10668" t="s">
        <v>28694</v>
      </c>
      <c r="J10668" t="s">
        <v>35410</v>
      </c>
      <c r="K10668" t="s">
        <v>37205</v>
      </c>
      <c r="M10668" t="s">
        <v>40363</v>
      </c>
      <c r="N10668" t="s">
        <v>41249</v>
      </c>
      <c r="O10668" t="s">
        <v>41250</v>
      </c>
      <c r="Q10668">
        <v>8</v>
      </c>
      <c r="R10668" t="s">
        <v>41263</v>
      </c>
      <c r="S10668" t="s">
        <v>41754</v>
      </c>
      <c r="T10668" t="s">
        <v>42736</v>
      </c>
      <c r="U10668" t="s">
        <v>51772</v>
      </c>
      <c r="W10668" t="s">
        <v>40363</v>
      </c>
      <c r="X10668" t="s">
        <v>41264</v>
      </c>
    </row>
    <row r="10669" spans="1:24">
      <c r="A10669">
        <f>HYPERLINK("https://www.philgeps.gov.ph/GEPSNONPILOT/Tender/SplashBidNoticeAbstractUI.aspx?menuIndex=3&amp;refID=7057006&amp;Result=3","7057006")</f>
        <v>0</v>
      </c>
      <c r="B10669" t="s">
        <v>277</v>
      </c>
      <c r="C10669" t="s">
        <v>13579</v>
      </c>
      <c r="D10669" t="s">
        <v>16613</v>
      </c>
      <c r="E10669" t="s">
        <v>18170</v>
      </c>
      <c r="F10669" t="s">
        <v>28669</v>
      </c>
      <c r="G10669" t="s">
        <v>28675</v>
      </c>
      <c r="H10669" t="s">
        <v>9998</v>
      </c>
      <c r="I10669" t="s">
        <v>28706</v>
      </c>
      <c r="J10669" t="s">
        <v>35411</v>
      </c>
      <c r="K10669" t="s">
        <v>37220</v>
      </c>
      <c r="M10669" t="s">
        <v>37755</v>
      </c>
      <c r="N10669" t="s">
        <v>41249</v>
      </c>
      <c r="O10669" t="s">
        <v>41250</v>
      </c>
      <c r="P10669">
        <v>0</v>
      </c>
      <c r="Q10669">
        <v>4</v>
      </c>
      <c r="R10669" t="s">
        <v>41263</v>
      </c>
      <c r="S10669" t="s">
        <v>41698</v>
      </c>
      <c r="T10669" t="s">
        <v>42809</v>
      </c>
      <c r="U10669" t="s">
        <v>51773</v>
      </c>
      <c r="W10669" t="s">
        <v>55907</v>
      </c>
      <c r="X10669" t="s">
        <v>41264</v>
      </c>
    </row>
    <row r="10670" spans="1:24">
      <c r="A10670">
        <f>HYPERLINK("https://www.philgeps.gov.ph/GEPSNONPILOT/Tender/SplashBidNoticeAbstractUI.aspx?menuIndex=3&amp;refID=7057005&amp;Result=3","7057005")</f>
        <v>0</v>
      </c>
      <c r="B10670" t="s">
        <v>1229</v>
      </c>
      <c r="C10670" t="s">
        <v>13580</v>
      </c>
      <c r="D10670" t="s">
        <v>16675</v>
      </c>
      <c r="E10670" t="s">
        <v>25947</v>
      </c>
      <c r="F10670" t="s">
        <v>28669</v>
      </c>
      <c r="G10670" t="s">
        <v>28675</v>
      </c>
      <c r="H10670" t="s">
        <v>28686</v>
      </c>
      <c r="I10670" t="s">
        <v>28689</v>
      </c>
      <c r="J10670" t="s">
        <v>35412</v>
      </c>
      <c r="K10670" t="s">
        <v>37212</v>
      </c>
      <c r="M10670" t="s">
        <v>38773</v>
      </c>
      <c r="N10670" t="s">
        <v>41249</v>
      </c>
      <c r="O10670" t="s">
        <v>41250</v>
      </c>
      <c r="P10670">
        <v>0</v>
      </c>
      <c r="Q10670">
        <v>1</v>
      </c>
      <c r="R10670" t="s">
        <v>41263</v>
      </c>
      <c r="S10670" t="s">
        <v>41698</v>
      </c>
      <c r="T10670" t="s">
        <v>42966</v>
      </c>
      <c r="U10670" t="s">
        <v>47977</v>
      </c>
      <c r="W10670" t="s">
        <v>38773</v>
      </c>
      <c r="X10670" t="s">
        <v>41264</v>
      </c>
    </row>
    <row r="10671" spans="1:24">
      <c r="A10671">
        <f>HYPERLINK("https://www.philgeps.gov.ph/GEPSNONPILOT/Tender/SplashBidNoticeAbstractUI.aspx?menuIndex=3&amp;refID=7056986&amp;Result=3","7056986")</f>
        <v>0</v>
      </c>
      <c r="B10671" t="s">
        <v>2988</v>
      </c>
      <c r="C10671" t="s">
        <v>13581</v>
      </c>
      <c r="D10671" t="s">
        <v>16611</v>
      </c>
      <c r="E10671" t="s">
        <v>25948</v>
      </c>
      <c r="F10671" t="s">
        <v>28669</v>
      </c>
      <c r="G10671" t="s">
        <v>28675</v>
      </c>
      <c r="H10671" t="s">
        <v>9998</v>
      </c>
      <c r="I10671" t="s">
        <v>7352</v>
      </c>
      <c r="J10671" t="s">
        <v>35413</v>
      </c>
      <c r="K10671" t="s">
        <v>37204</v>
      </c>
      <c r="M10671" t="s">
        <v>40753</v>
      </c>
      <c r="N10671" t="s">
        <v>41249</v>
      </c>
      <c r="O10671" t="s">
        <v>41250</v>
      </c>
      <c r="P10671">
        <v>0</v>
      </c>
      <c r="Q10671">
        <v>0</v>
      </c>
      <c r="R10671" t="s">
        <v>41263</v>
      </c>
      <c r="S10671" t="s">
        <v>41698</v>
      </c>
      <c r="T10671" t="s">
        <v>42724</v>
      </c>
      <c r="U10671" t="s">
        <v>51774</v>
      </c>
      <c r="V10671" t="s">
        <v>55474</v>
      </c>
      <c r="W10671" t="s">
        <v>40753</v>
      </c>
      <c r="X10671" t="s">
        <v>41264</v>
      </c>
    </row>
    <row r="10672" spans="1:24">
      <c r="A10672">
        <f>HYPERLINK("https://www.philgeps.gov.ph/GEPSNONPILOT/Tender/SplashBidNoticeAbstractUI.aspx?menuIndex=3&amp;refID=7056887&amp;Result=3","7056887")</f>
        <v>0</v>
      </c>
      <c r="B10672" t="s">
        <v>2978</v>
      </c>
      <c r="C10672" t="s">
        <v>13582</v>
      </c>
      <c r="D10672" t="s">
        <v>16618</v>
      </c>
      <c r="E10672" t="s">
        <v>25886</v>
      </c>
      <c r="F10672" t="s">
        <v>28669</v>
      </c>
      <c r="G10672" t="s">
        <v>28675</v>
      </c>
      <c r="H10672" t="s">
        <v>28686</v>
      </c>
      <c r="I10672" t="s">
        <v>28689</v>
      </c>
      <c r="J10672" t="s">
        <v>29059</v>
      </c>
      <c r="K10672" t="s">
        <v>37206</v>
      </c>
      <c r="M10672" t="s">
        <v>40743</v>
      </c>
      <c r="N10672" t="s">
        <v>41249</v>
      </c>
      <c r="O10672" t="s">
        <v>41250</v>
      </c>
      <c r="Q10672">
        <v>2</v>
      </c>
      <c r="R10672" t="s">
        <v>41263</v>
      </c>
      <c r="S10672" t="s">
        <v>41755</v>
      </c>
      <c r="T10672" t="s">
        <v>43036</v>
      </c>
      <c r="U10672" t="s">
        <v>51717</v>
      </c>
      <c r="V10672" t="s">
        <v>55475</v>
      </c>
      <c r="W10672" t="s">
        <v>40743</v>
      </c>
      <c r="X10672" t="s">
        <v>41264</v>
      </c>
    </row>
    <row r="10673" spans="1:24">
      <c r="A10673">
        <f>HYPERLINK("https://www.philgeps.gov.ph/GEPSNONPILOT/Tender/SplashBidNoticeAbstractUI.aspx?menuIndex=3&amp;refID=7056975&amp;Result=3","7056975")</f>
        <v>0</v>
      </c>
      <c r="B10673" t="s">
        <v>1335</v>
      </c>
      <c r="C10673" t="s">
        <v>13583</v>
      </c>
      <c r="D10673" t="s">
        <v>16658</v>
      </c>
      <c r="E10673" t="s">
        <v>20411</v>
      </c>
      <c r="F10673" t="s">
        <v>28669</v>
      </c>
      <c r="G10673" t="s">
        <v>28675</v>
      </c>
      <c r="H10673" t="s">
        <v>28686</v>
      </c>
      <c r="I10673" t="s">
        <v>28689</v>
      </c>
      <c r="J10673" t="s">
        <v>35414</v>
      </c>
      <c r="K10673" t="s">
        <v>37212</v>
      </c>
      <c r="M10673" t="s">
        <v>38889</v>
      </c>
      <c r="N10673" t="s">
        <v>41249</v>
      </c>
      <c r="O10673" t="s">
        <v>41250</v>
      </c>
      <c r="P10673">
        <v>0</v>
      </c>
      <c r="Q10673">
        <v>0</v>
      </c>
      <c r="R10673" t="s">
        <v>41263</v>
      </c>
      <c r="S10673" t="s">
        <v>41698</v>
      </c>
      <c r="T10673" t="s">
        <v>42836</v>
      </c>
      <c r="U10673" t="s">
        <v>51775</v>
      </c>
      <c r="W10673" t="s">
        <v>38889</v>
      </c>
      <c r="X10673" t="s">
        <v>41264</v>
      </c>
    </row>
    <row r="10674" spans="1:24">
      <c r="A10674">
        <f>HYPERLINK("https://www.philgeps.gov.ph/GEPSNONPILOT/Tender/SplashBidNoticeAbstractUI.aspx?menuIndex=3&amp;refID=7056747&amp;Result=3","7056747")</f>
        <v>0</v>
      </c>
      <c r="B10674" t="s">
        <v>1471</v>
      </c>
      <c r="C10674" t="s">
        <v>13584</v>
      </c>
      <c r="D10674" t="s">
        <v>16615</v>
      </c>
      <c r="E10674" t="s">
        <v>25949</v>
      </c>
      <c r="F10674" t="s">
        <v>28669</v>
      </c>
      <c r="G10674" t="s">
        <v>28682</v>
      </c>
      <c r="H10674" t="s">
        <v>28686</v>
      </c>
      <c r="I10674" t="s">
        <v>28689</v>
      </c>
      <c r="J10674" t="s">
        <v>35415</v>
      </c>
      <c r="K10674" t="s">
        <v>37215</v>
      </c>
      <c r="M10674" t="s">
        <v>39039</v>
      </c>
      <c r="N10674" t="s">
        <v>41249</v>
      </c>
      <c r="O10674" t="s">
        <v>41250</v>
      </c>
      <c r="P10674">
        <v>0</v>
      </c>
      <c r="Q10674">
        <v>7</v>
      </c>
      <c r="R10674" t="s">
        <v>41263</v>
      </c>
      <c r="S10674" t="s">
        <v>41698</v>
      </c>
      <c r="T10674" t="s">
        <v>42739</v>
      </c>
      <c r="U10674" t="s">
        <v>51776</v>
      </c>
      <c r="V10674" t="s">
        <v>54688</v>
      </c>
      <c r="W10674" t="s">
        <v>39039</v>
      </c>
      <c r="X10674" t="s">
        <v>41264</v>
      </c>
    </row>
    <row r="10675" spans="1:24">
      <c r="A10675">
        <f>HYPERLINK("https://www.philgeps.gov.ph/GEPSNONPILOT/Tender/SplashBidNoticeAbstractUI.aspx?menuIndex=3&amp;refID=7057017&amp;Result=3","7057017")</f>
        <v>0</v>
      </c>
      <c r="B10675" t="s">
        <v>658</v>
      </c>
      <c r="C10675" t="s">
        <v>13585</v>
      </c>
      <c r="D10675" t="s">
        <v>16622</v>
      </c>
      <c r="E10675" t="s">
        <v>25950</v>
      </c>
      <c r="F10675" t="s">
        <v>28669</v>
      </c>
      <c r="G10675" t="s">
        <v>28675</v>
      </c>
      <c r="H10675" t="s">
        <v>9998</v>
      </c>
      <c r="I10675" t="s">
        <v>28713</v>
      </c>
      <c r="J10675" t="s">
        <v>35416</v>
      </c>
      <c r="K10675" t="s">
        <v>37209</v>
      </c>
      <c r="M10675" t="s">
        <v>38159</v>
      </c>
      <c r="N10675" t="s">
        <v>41249</v>
      </c>
      <c r="O10675" t="s">
        <v>41250</v>
      </c>
      <c r="P10675">
        <v>0</v>
      </c>
      <c r="Q10675">
        <v>15</v>
      </c>
      <c r="R10675" t="s">
        <v>41263</v>
      </c>
      <c r="S10675" t="s">
        <v>41698</v>
      </c>
      <c r="T10675" t="s">
        <v>42659</v>
      </c>
      <c r="U10675" t="s">
        <v>51777</v>
      </c>
      <c r="W10675" t="s">
        <v>38159</v>
      </c>
      <c r="X10675" t="s">
        <v>41264</v>
      </c>
    </row>
    <row r="10676" spans="1:24">
      <c r="A10676">
        <f>HYPERLINK("https://www.philgeps.gov.ph/GEPSNONPILOT/Tender/SplashBidNoticeAbstractUI.aspx?menuIndex=3&amp;refID=7056951&amp;Result=3","7056951")</f>
        <v>0</v>
      </c>
      <c r="B10676" t="s">
        <v>2988</v>
      </c>
      <c r="C10676" t="s">
        <v>13586</v>
      </c>
      <c r="D10676" t="s">
        <v>16611</v>
      </c>
      <c r="E10676" t="s">
        <v>25951</v>
      </c>
      <c r="F10676" t="s">
        <v>28669</v>
      </c>
      <c r="G10676" t="s">
        <v>28675</v>
      </c>
      <c r="H10676" t="s">
        <v>9998</v>
      </c>
      <c r="I10676" t="s">
        <v>7352</v>
      </c>
      <c r="J10676" t="s">
        <v>35417</v>
      </c>
      <c r="K10676" t="s">
        <v>37204</v>
      </c>
      <c r="M10676" t="s">
        <v>40753</v>
      </c>
      <c r="N10676" t="s">
        <v>41249</v>
      </c>
      <c r="O10676" t="s">
        <v>41250</v>
      </c>
      <c r="P10676">
        <v>0</v>
      </c>
      <c r="Q10676">
        <v>0</v>
      </c>
      <c r="R10676" t="s">
        <v>41263</v>
      </c>
      <c r="S10676" t="s">
        <v>41698</v>
      </c>
      <c r="T10676" t="s">
        <v>42724</v>
      </c>
      <c r="U10676" t="s">
        <v>51778</v>
      </c>
      <c r="V10676" t="s">
        <v>55474</v>
      </c>
      <c r="W10676" t="s">
        <v>40753</v>
      </c>
      <c r="X10676" t="s">
        <v>41264</v>
      </c>
    </row>
    <row r="10677" spans="1:24">
      <c r="A10677">
        <f>HYPERLINK("https://www.philgeps.gov.ph/GEPSNONPILOT/Tender/SplashBidNoticeAbstractUI.aspx?menuIndex=3&amp;refID=7057016&amp;Result=3","7057016")</f>
        <v>0</v>
      </c>
      <c r="B10677" t="s">
        <v>2925</v>
      </c>
      <c r="C10677" t="s">
        <v>13587</v>
      </c>
      <c r="D10677" t="s">
        <v>16615</v>
      </c>
      <c r="E10677" t="s">
        <v>25952</v>
      </c>
      <c r="F10677" t="s">
        <v>28669</v>
      </c>
      <c r="G10677" t="s">
        <v>28675</v>
      </c>
      <c r="H10677" t="s">
        <v>9998</v>
      </c>
      <c r="I10677" t="s">
        <v>28742</v>
      </c>
      <c r="J10677" t="s">
        <v>28985</v>
      </c>
      <c r="K10677" t="s">
        <v>37206</v>
      </c>
      <c r="M10677" t="s">
        <v>40678</v>
      </c>
      <c r="N10677" t="s">
        <v>41249</v>
      </c>
      <c r="O10677" t="s">
        <v>41250</v>
      </c>
      <c r="P10677">
        <v>0</v>
      </c>
      <c r="Q10677">
        <v>7</v>
      </c>
      <c r="R10677" t="s">
        <v>41263</v>
      </c>
      <c r="S10677" t="s">
        <v>41698</v>
      </c>
      <c r="T10677" t="s">
        <v>42764</v>
      </c>
      <c r="U10677" t="s">
        <v>51779</v>
      </c>
      <c r="W10677" t="s">
        <v>40678</v>
      </c>
      <c r="X10677" t="s">
        <v>41264</v>
      </c>
    </row>
    <row r="10678" spans="1:24">
      <c r="A10678">
        <f>HYPERLINK("https://www.philgeps.gov.ph/GEPSNONPILOT/Tender/SplashBidNoticeAbstractUI.aspx?menuIndex=3&amp;refID=7056948&amp;Result=3","7056948")</f>
        <v>0</v>
      </c>
      <c r="B10678" t="s">
        <v>2978</v>
      </c>
      <c r="C10678" t="s">
        <v>13588</v>
      </c>
      <c r="D10678" t="s">
        <v>16618</v>
      </c>
      <c r="E10678" t="s">
        <v>25886</v>
      </c>
      <c r="F10678" t="s">
        <v>28669</v>
      </c>
      <c r="G10678" t="s">
        <v>28675</v>
      </c>
      <c r="H10678" t="s">
        <v>28686</v>
      </c>
      <c r="I10678" t="s">
        <v>28689</v>
      </c>
      <c r="J10678" t="s">
        <v>35418</v>
      </c>
      <c r="K10678" t="s">
        <v>37220</v>
      </c>
      <c r="M10678" t="s">
        <v>40743</v>
      </c>
      <c r="N10678" t="s">
        <v>41249</v>
      </c>
      <c r="O10678" t="s">
        <v>41250</v>
      </c>
      <c r="Q10678">
        <v>0</v>
      </c>
      <c r="R10678" t="s">
        <v>41263</v>
      </c>
      <c r="S10678" t="s">
        <v>41756</v>
      </c>
      <c r="T10678" t="s">
        <v>43036</v>
      </c>
      <c r="U10678" t="s">
        <v>51717</v>
      </c>
      <c r="V10678" t="s">
        <v>55476</v>
      </c>
      <c r="W10678" t="s">
        <v>40743</v>
      </c>
      <c r="X10678" t="s">
        <v>41264</v>
      </c>
    </row>
    <row r="10679" spans="1:24">
      <c r="A10679">
        <f>HYPERLINK("https://www.philgeps.gov.ph/GEPSNONPILOT/Tender/SplashBidNoticeAbstractUI.aspx?menuIndex=3&amp;refID=7056994&amp;Result=3","7056994")</f>
        <v>0</v>
      </c>
      <c r="B10679" t="s">
        <v>2978</v>
      </c>
      <c r="C10679" t="s">
        <v>13589</v>
      </c>
      <c r="D10679" t="s">
        <v>16618</v>
      </c>
      <c r="E10679" t="s">
        <v>25886</v>
      </c>
      <c r="F10679" t="s">
        <v>28669</v>
      </c>
      <c r="G10679" t="s">
        <v>28675</v>
      </c>
      <c r="H10679" t="s">
        <v>28686</v>
      </c>
      <c r="I10679" t="s">
        <v>28689</v>
      </c>
      <c r="J10679" t="s">
        <v>35419</v>
      </c>
      <c r="K10679" t="s">
        <v>37220</v>
      </c>
      <c r="M10679" t="s">
        <v>40743</v>
      </c>
      <c r="N10679" t="s">
        <v>41249</v>
      </c>
      <c r="O10679" t="s">
        <v>41250</v>
      </c>
      <c r="Q10679">
        <v>0</v>
      </c>
      <c r="R10679" t="s">
        <v>41263</v>
      </c>
      <c r="S10679" t="s">
        <v>41757</v>
      </c>
      <c r="T10679" t="s">
        <v>43036</v>
      </c>
      <c r="U10679" t="s">
        <v>51717</v>
      </c>
      <c r="V10679" t="s">
        <v>55477</v>
      </c>
      <c r="W10679" t="s">
        <v>40743</v>
      </c>
      <c r="X10679" t="s">
        <v>41264</v>
      </c>
    </row>
    <row r="10680" spans="1:24">
      <c r="A10680">
        <f>HYPERLINK("https://www.philgeps.gov.ph/GEPSNONPILOT/Tender/SplashBidNoticeAbstractUI.aspx?menuIndex=3&amp;refID=7057069&amp;Result=3","7057069")</f>
        <v>0</v>
      </c>
      <c r="B10680" t="s">
        <v>1050</v>
      </c>
      <c r="C10680" t="s">
        <v>13590</v>
      </c>
      <c r="D10680" t="s">
        <v>16648</v>
      </c>
      <c r="E10680" t="s">
        <v>25953</v>
      </c>
      <c r="F10680" t="s">
        <v>28669</v>
      </c>
      <c r="G10680" t="s">
        <v>28675</v>
      </c>
      <c r="H10680" t="s">
        <v>9998</v>
      </c>
      <c r="I10680" t="s">
        <v>7352</v>
      </c>
      <c r="J10680" t="s">
        <v>35420</v>
      </c>
      <c r="K10680" t="s">
        <v>37204</v>
      </c>
      <c r="M10680" t="s">
        <v>38581</v>
      </c>
      <c r="N10680" t="s">
        <v>41249</v>
      </c>
      <c r="O10680" t="s">
        <v>41250</v>
      </c>
      <c r="P10680">
        <v>0</v>
      </c>
      <c r="Q10680">
        <v>0</v>
      </c>
      <c r="R10680" t="s">
        <v>41263</v>
      </c>
      <c r="S10680" t="s">
        <v>41698</v>
      </c>
      <c r="T10680" t="s">
        <v>43000</v>
      </c>
      <c r="U10680" t="s">
        <v>51780</v>
      </c>
      <c r="W10680" t="s">
        <v>38581</v>
      </c>
      <c r="X10680" t="s">
        <v>41264</v>
      </c>
    </row>
    <row r="10681" spans="1:24">
      <c r="A10681">
        <f>HYPERLINK("https://www.philgeps.gov.ph/GEPSNONPILOT/Tender/SplashBidNoticeAbstractUI.aspx?menuIndex=3&amp;refID=7056924&amp;Result=3","7056924")</f>
        <v>0</v>
      </c>
      <c r="B10681" t="s">
        <v>2978</v>
      </c>
      <c r="C10681" t="s">
        <v>13591</v>
      </c>
      <c r="D10681" t="s">
        <v>16618</v>
      </c>
      <c r="E10681" t="s">
        <v>25886</v>
      </c>
      <c r="F10681" t="s">
        <v>28669</v>
      </c>
      <c r="G10681" t="s">
        <v>28675</v>
      </c>
      <c r="H10681" t="s">
        <v>28686</v>
      </c>
      <c r="I10681" t="s">
        <v>28689</v>
      </c>
      <c r="J10681" t="s">
        <v>35421</v>
      </c>
      <c r="K10681" t="s">
        <v>37220</v>
      </c>
      <c r="M10681" t="s">
        <v>40743</v>
      </c>
      <c r="N10681" t="s">
        <v>41249</v>
      </c>
      <c r="O10681" t="s">
        <v>41250</v>
      </c>
      <c r="Q10681">
        <v>0</v>
      </c>
      <c r="R10681" t="s">
        <v>41263</v>
      </c>
      <c r="S10681" t="s">
        <v>41758</v>
      </c>
      <c r="T10681" t="s">
        <v>43036</v>
      </c>
      <c r="U10681" t="s">
        <v>51717</v>
      </c>
      <c r="V10681" t="s">
        <v>55478</v>
      </c>
      <c r="W10681" t="s">
        <v>40743</v>
      </c>
      <c r="X10681" t="s">
        <v>41264</v>
      </c>
    </row>
    <row r="10682" spans="1:24">
      <c r="A10682">
        <f>HYPERLINK("https://www.philgeps.gov.ph/GEPSNONPILOT/Tender/SplashBidNoticeAbstractUI.aspx?menuIndex=3&amp;refID=7057329&amp;Result=3","7057329")</f>
        <v>0</v>
      </c>
      <c r="B10682" t="s">
        <v>596</v>
      </c>
      <c r="C10682" t="s">
        <v>13592</v>
      </c>
      <c r="E10682" t="s">
        <v>25954</v>
      </c>
      <c r="F10682" t="s">
        <v>28669</v>
      </c>
      <c r="G10682" t="s">
        <v>28675</v>
      </c>
      <c r="H10682" t="s">
        <v>28686</v>
      </c>
      <c r="I10682" t="s">
        <v>28689</v>
      </c>
      <c r="J10682" t="s">
        <v>35422</v>
      </c>
      <c r="K10682" t="s">
        <v>37449</v>
      </c>
      <c r="M10682" t="s">
        <v>39528</v>
      </c>
      <c r="N10682" t="s">
        <v>41249</v>
      </c>
      <c r="O10682" t="s">
        <v>41250</v>
      </c>
      <c r="Q10682">
        <v>7</v>
      </c>
      <c r="R10682" t="s">
        <v>41263</v>
      </c>
      <c r="S10682" t="s">
        <v>41759</v>
      </c>
      <c r="T10682" t="s">
        <v>42739</v>
      </c>
      <c r="U10682" t="s">
        <v>51781</v>
      </c>
      <c r="W10682" t="s">
        <v>39528</v>
      </c>
      <c r="X10682" t="s">
        <v>41264</v>
      </c>
    </row>
    <row r="10683" spans="1:24">
      <c r="A10683">
        <f>HYPERLINK("https://www.philgeps.gov.ph/GEPSNONPILOT/Tender/SplashBidNoticeAbstractUI.aspx?menuIndex=3&amp;refID=7056504&amp;Result=3","7056504")</f>
        <v>0</v>
      </c>
      <c r="B10683" t="s">
        <v>2963</v>
      </c>
      <c r="C10683" t="s">
        <v>13593</v>
      </c>
      <c r="D10683" t="s">
        <v>16673</v>
      </c>
      <c r="E10683" t="s">
        <v>25955</v>
      </c>
      <c r="F10683" t="s">
        <v>28669</v>
      </c>
      <c r="G10683" t="s">
        <v>28675</v>
      </c>
      <c r="H10683" t="s">
        <v>28684</v>
      </c>
      <c r="I10683" t="s">
        <v>28792</v>
      </c>
      <c r="J10683" t="s">
        <v>31604</v>
      </c>
      <c r="K10683" t="s">
        <v>37209</v>
      </c>
      <c r="M10683" t="s">
        <v>40724</v>
      </c>
      <c r="N10683" t="s">
        <v>41249</v>
      </c>
      <c r="O10683" t="s">
        <v>41250</v>
      </c>
      <c r="P10683">
        <v>0</v>
      </c>
      <c r="Q10683">
        <v>1</v>
      </c>
      <c r="R10683" t="s">
        <v>41263</v>
      </c>
      <c r="S10683" t="s">
        <v>41698</v>
      </c>
      <c r="T10683" t="s">
        <v>42764</v>
      </c>
      <c r="U10683" t="s">
        <v>51782</v>
      </c>
      <c r="W10683" t="s">
        <v>40724</v>
      </c>
      <c r="X10683" t="s">
        <v>41264</v>
      </c>
    </row>
    <row r="10684" spans="1:24">
      <c r="A10684">
        <f>HYPERLINK("https://www.philgeps.gov.ph/GEPSNONPILOT/Tender/SplashBidNoticeAbstractUI.aspx?menuIndex=3&amp;refID=7057289&amp;Result=3","7057289")</f>
        <v>0</v>
      </c>
      <c r="B10684" t="s">
        <v>2989</v>
      </c>
      <c r="C10684" t="s">
        <v>13594</v>
      </c>
      <c r="E10684" t="s">
        <v>25956</v>
      </c>
      <c r="F10684" t="s">
        <v>28669</v>
      </c>
      <c r="G10684" t="s">
        <v>28675</v>
      </c>
      <c r="H10684" t="s">
        <v>28686</v>
      </c>
      <c r="I10684" t="s">
        <v>28689</v>
      </c>
      <c r="J10684" t="s">
        <v>35423</v>
      </c>
      <c r="K10684" t="s">
        <v>37215</v>
      </c>
      <c r="N10684" t="s">
        <v>41249</v>
      </c>
      <c r="O10684" t="s">
        <v>41250</v>
      </c>
      <c r="P10684">
        <v>0</v>
      </c>
      <c r="Q10684">
        <v>1</v>
      </c>
      <c r="R10684" t="s">
        <v>41263</v>
      </c>
      <c r="S10684" t="s">
        <v>41698</v>
      </c>
      <c r="T10684" t="s">
        <v>42759</v>
      </c>
      <c r="U10684" t="s">
        <v>51783</v>
      </c>
      <c r="W10684" t="s">
        <v>40755</v>
      </c>
      <c r="X10684" t="s">
        <v>41264</v>
      </c>
    </row>
    <row r="10685" spans="1:24">
      <c r="A10685">
        <f>HYPERLINK("https://www.philgeps.gov.ph/GEPSNONPILOT/Tender/SplashBidNoticeAbstractUI.aspx?menuIndex=3&amp;refID=7056937&amp;Result=3","7056937")</f>
        <v>0</v>
      </c>
      <c r="B10685" t="s">
        <v>2990</v>
      </c>
      <c r="C10685" t="s">
        <v>13595</v>
      </c>
      <c r="D10685" t="s">
        <v>16702</v>
      </c>
      <c r="E10685" t="s">
        <v>25957</v>
      </c>
      <c r="F10685" t="s">
        <v>28669</v>
      </c>
      <c r="G10685" t="s">
        <v>28675</v>
      </c>
      <c r="H10685" t="s">
        <v>9998</v>
      </c>
      <c r="I10685" t="s">
        <v>28728</v>
      </c>
      <c r="J10685" t="s">
        <v>35424</v>
      </c>
      <c r="K10685" t="s">
        <v>37327</v>
      </c>
      <c r="M10685" t="s">
        <v>40754</v>
      </c>
      <c r="N10685" t="s">
        <v>41249</v>
      </c>
      <c r="O10685" t="s">
        <v>41250</v>
      </c>
      <c r="P10685">
        <v>0</v>
      </c>
      <c r="Q10685">
        <v>0</v>
      </c>
      <c r="R10685" t="s">
        <v>41263</v>
      </c>
      <c r="S10685" t="s">
        <v>41698</v>
      </c>
      <c r="T10685" t="s">
        <v>42987</v>
      </c>
      <c r="U10685" t="s">
        <v>51784</v>
      </c>
      <c r="W10685" t="s">
        <v>40754</v>
      </c>
      <c r="X10685" t="s">
        <v>41264</v>
      </c>
    </row>
    <row r="10686" spans="1:24">
      <c r="A10686">
        <f>HYPERLINK("https://www.philgeps.gov.ph/GEPSNONPILOT/Tender/SplashBidNoticeAbstractUI.aspx?menuIndex=3&amp;refID=7057272&amp;Result=3","7057272")</f>
        <v>0</v>
      </c>
      <c r="B10686" t="s">
        <v>1050</v>
      </c>
      <c r="C10686" t="s">
        <v>13596</v>
      </c>
      <c r="D10686" t="s">
        <v>16648</v>
      </c>
      <c r="E10686" t="s">
        <v>25958</v>
      </c>
      <c r="F10686" t="s">
        <v>28669</v>
      </c>
      <c r="G10686" t="s">
        <v>28675</v>
      </c>
      <c r="H10686" t="s">
        <v>9998</v>
      </c>
      <c r="I10686" t="s">
        <v>7352</v>
      </c>
      <c r="J10686" t="s">
        <v>35425</v>
      </c>
      <c r="K10686" t="s">
        <v>37204</v>
      </c>
      <c r="M10686" t="s">
        <v>38581</v>
      </c>
      <c r="N10686" t="s">
        <v>41249</v>
      </c>
      <c r="O10686" t="s">
        <v>41250</v>
      </c>
      <c r="P10686">
        <v>0</v>
      </c>
      <c r="Q10686">
        <v>1</v>
      </c>
      <c r="R10686" t="s">
        <v>41263</v>
      </c>
      <c r="S10686" t="s">
        <v>41698</v>
      </c>
      <c r="T10686" t="s">
        <v>43000</v>
      </c>
      <c r="U10686" t="s">
        <v>51785</v>
      </c>
      <c r="W10686" t="s">
        <v>38581</v>
      </c>
      <c r="X10686" t="s">
        <v>41264</v>
      </c>
    </row>
    <row r="10687" spans="1:24">
      <c r="A10687">
        <f>HYPERLINK("https://www.philgeps.gov.ph/GEPSNONPILOT/Tender/SplashBidNoticeAbstractUI.aspx?menuIndex=3&amp;refID=7057250&amp;Result=3","7057250")</f>
        <v>0</v>
      </c>
      <c r="B10687" t="s">
        <v>1335</v>
      </c>
      <c r="C10687" t="s">
        <v>13597</v>
      </c>
      <c r="D10687" t="s">
        <v>16658</v>
      </c>
      <c r="E10687" t="s">
        <v>25959</v>
      </c>
      <c r="F10687" t="s">
        <v>28669</v>
      </c>
      <c r="G10687" t="s">
        <v>28675</v>
      </c>
      <c r="H10687" t="s">
        <v>9998</v>
      </c>
      <c r="I10687" t="s">
        <v>28688</v>
      </c>
      <c r="J10687" t="s">
        <v>35426</v>
      </c>
      <c r="K10687" t="s">
        <v>37205</v>
      </c>
      <c r="M10687" t="s">
        <v>38889</v>
      </c>
      <c r="N10687" t="s">
        <v>41249</v>
      </c>
      <c r="O10687" t="s">
        <v>41250</v>
      </c>
      <c r="P10687">
        <v>0</v>
      </c>
      <c r="Q10687">
        <v>3</v>
      </c>
      <c r="R10687" t="s">
        <v>41263</v>
      </c>
      <c r="S10687" t="s">
        <v>41698</v>
      </c>
      <c r="T10687" t="s">
        <v>43021</v>
      </c>
      <c r="U10687" t="s">
        <v>51775</v>
      </c>
      <c r="W10687" t="s">
        <v>38889</v>
      </c>
      <c r="X10687" t="s">
        <v>41264</v>
      </c>
    </row>
    <row r="10688" spans="1:24">
      <c r="A10688">
        <f>HYPERLINK("https://www.philgeps.gov.ph/GEPSNONPILOT/Tender/SplashBidNoticeAbstractUI.aspx?menuIndex=3&amp;refID=7057236&amp;Result=3","7057236")</f>
        <v>0</v>
      </c>
      <c r="B10688" t="s">
        <v>2989</v>
      </c>
      <c r="C10688" t="s">
        <v>13598</v>
      </c>
      <c r="D10688" t="s">
        <v>16631</v>
      </c>
      <c r="E10688" t="s">
        <v>25960</v>
      </c>
      <c r="F10688" t="s">
        <v>28669</v>
      </c>
      <c r="G10688" t="s">
        <v>28675</v>
      </c>
      <c r="H10688" t="s">
        <v>28686</v>
      </c>
      <c r="I10688" t="s">
        <v>28689</v>
      </c>
      <c r="J10688" t="s">
        <v>35423</v>
      </c>
      <c r="K10688" t="s">
        <v>37215</v>
      </c>
      <c r="M10688" t="s">
        <v>40755</v>
      </c>
      <c r="N10688" t="s">
        <v>41249</v>
      </c>
      <c r="O10688" t="s">
        <v>41250</v>
      </c>
      <c r="P10688">
        <v>0</v>
      </c>
      <c r="Q10688">
        <v>1</v>
      </c>
      <c r="R10688" t="s">
        <v>41263</v>
      </c>
      <c r="S10688" t="s">
        <v>41698</v>
      </c>
      <c r="T10688" t="s">
        <v>42759</v>
      </c>
      <c r="U10688" t="s">
        <v>51783</v>
      </c>
      <c r="W10688" t="s">
        <v>40755</v>
      </c>
      <c r="X10688" t="s">
        <v>41264</v>
      </c>
    </row>
    <row r="10689" spans="1:24">
      <c r="A10689">
        <f>HYPERLINK("https://www.philgeps.gov.ph/GEPSNONPILOT/Tender/SplashBidNoticeAbstractUI.aspx?menuIndex=3&amp;refID=7057282&amp;Result=3","7057282")</f>
        <v>0</v>
      </c>
      <c r="B10689" t="s">
        <v>2820</v>
      </c>
      <c r="C10689" t="s">
        <v>13599</v>
      </c>
      <c r="D10689" t="s">
        <v>16664</v>
      </c>
      <c r="E10689" t="s">
        <v>25961</v>
      </c>
      <c r="F10689" t="s">
        <v>28669</v>
      </c>
      <c r="G10689" t="s">
        <v>28676</v>
      </c>
      <c r="H10689" t="s">
        <v>28686</v>
      </c>
      <c r="I10689" t="s">
        <v>28728</v>
      </c>
      <c r="J10689" t="s">
        <v>35427</v>
      </c>
      <c r="K10689" t="s">
        <v>37211</v>
      </c>
      <c r="L10689" t="s">
        <v>2820</v>
      </c>
      <c r="M10689" t="s">
        <v>40550</v>
      </c>
      <c r="N10689" t="s">
        <v>41249</v>
      </c>
      <c r="O10689" t="s">
        <v>41250</v>
      </c>
      <c r="P10689">
        <v>0</v>
      </c>
      <c r="Q10689">
        <v>0</v>
      </c>
      <c r="R10689" t="s">
        <v>41263</v>
      </c>
      <c r="S10689" t="s">
        <v>41698</v>
      </c>
      <c r="T10689" t="s">
        <v>42714</v>
      </c>
      <c r="U10689" t="s">
        <v>51786</v>
      </c>
      <c r="V10689" t="s">
        <v>55479</v>
      </c>
      <c r="W10689" t="s">
        <v>40550</v>
      </c>
      <c r="X10689" t="s">
        <v>41264</v>
      </c>
    </row>
    <row r="10690" spans="1:24">
      <c r="A10690">
        <f>HYPERLINK("https://www.philgeps.gov.ph/GEPSNONPILOT/Tender/SplashBidNoticeAbstractUI.aspx?menuIndex=3&amp;refID=7057350&amp;Result=3","7057350")</f>
        <v>0</v>
      </c>
      <c r="B10690" t="s">
        <v>1050</v>
      </c>
      <c r="C10690" t="s">
        <v>13600</v>
      </c>
      <c r="D10690" t="s">
        <v>16648</v>
      </c>
      <c r="E10690" t="s">
        <v>25962</v>
      </c>
      <c r="F10690" t="s">
        <v>28669</v>
      </c>
      <c r="G10690" t="s">
        <v>28675</v>
      </c>
      <c r="H10690" t="s">
        <v>9998</v>
      </c>
      <c r="I10690" t="s">
        <v>7352</v>
      </c>
      <c r="J10690" t="s">
        <v>35428</v>
      </c>
      <c r="K10690" t="s">
        <v>37204</v>
      </c>
      <c r="M10690" t="s">
        <v>38581</v>
      </c>
      <c r="N10690" t="s">
        <v>41249</v>
      </c>
      <c r="O10690" t="s">
        <v>41250</v>
      </c>
      <c r="P10690">
        <v>0</v>
      </c>
      <c r="Q10690">
        <v>0</v>
      </c>
      <c r="R10690" t="s">
        <v>41263</v>
      </c>
      <c r="S10690" t="s">
        <v>41698</v>
      </c>
      <c r="T10690" t="s">
        <v>43000</v>
      </c>
      <c r="U10690" t="s">
        <v>51787</v>
      </c>
      <c r="W10690" t="s">
        <v>38581</v>
      </c>
      <c r="X10690" t="s">
        <v>41264</v>
      </c>
    </row>
    <row r="10691" spans="1:24">
      <c r="A10691">
        <f>HYPERLINK("https://www.philgeps.gov.ph/GEPSNONPILOT/Tender/SplashBidNoticeAbstractUI.aspx?menuIndex=3&amp;refID=7057223&amp;Result=3","7057223")</f>
        <v>0</v>
      </c>
      <c r="B10691" t="s">
        <v>2490</v>
      </c>
      <c r="C10691" t="s">
        <v>13601</v>
      </c>
      <c r="D10691" t="s">
        <v>16624</v>
      </c>
      <c r="E10691" t="s">
        <v>13601</v>
      </c>
      <c r="F10691" t="s">
        <v>28669</v>
      </c>
      <c r="G10691" t="s">
        <v>28675</v>
      </c>
      <c r="H10691" t="s">
        <v>28686</v>
      </c>
      <c r="I10691" t="s">
        <v>28689</v>
      </c>
      <c r="J10691" t="s">
        <v>35429</v>
      </c>
      <c r="K10691" t="s">
        <v>37215</v>
      </c>
      <c r="M10691" t="s">
        <v>40174</v>
      </c>
      <c r="N10691" t="s">
        <v>41249</v>
      </c>
      <c r="O10691" t="s">
        <v>41250</v>
      </c>
      <c r="Q10691">
        <v>1</v>
      </c>
      <c r="R10691" t="s">
        <v>41263</v>
      </c>
      <c r="S10691" t="s">
        <v>41760</v>
      </c>
      <c r="T10691" t="s">
        <v>42858</v>
      </c>
      <c r="U10691" t="s">
        <v>51788</v>
      </c>
      <c r="W10691" t="s">
        <v>40174</v>
      </c>
      <c r="X10691" t="s">
        <v>41264</v>
      </c>
    </row>
    <row r="10692" spans="1:24">
      <c r="A10692">
        <f>HYPERLINK("https://www.philgeps.gov.ph/GEPSNONPILOT/Tender/SplashBidNoticeAbstractUI.aspx?menuIndex=3&amp;refID=7056973&amp;Result=3","7056973")</f>
        <v>0</v>
      </c>
      <c r="B10692" t="s">
        <v>2978</v>
      </c>
      <c r="C10692" t="s">
        <v>13602</v>
      </c>
      <c r="D10692" t="s">
        <v>16618</v>
      </c>
      <c r="E10692" t="s">
        <v>25886</v>
      </c>
      <c r="F10692" t="s">
        <v>28669</v>
      </c>
      <c r="G10692" t="s">
        <v>28675</v>
      </c>
      <c r="H10692" t="s">
        <v>28686</v>
      </c>
      <c r="I10692" t="s">
        <v>28689</v>
      </c>
      <c r="J10692" t="s">
        <v>35430</v>
      </c>
      <c r="K10692" t="s">
        <v>37221</v>
      </c>
      <c r="M10692" t="s">
        <v>40743</v>
      </c>
      <c r="N10692" t="s">
        <v>41249</v>
      </c>
      <c r="O10692" t="s">
        <v>41250</v>
      </c>
      <c r="Q10692">
        <v>0</v>
      </c>
      <c r="R10692" t="s">
        <v>41263</v>
      </c>
      <c r="S10692" t="s">
        <v>41761</v>
      </c>
      <c r="T10692" t="s">
        <v>43036</v>
      </c>
      <c r="U10692" t="s">
        <v>51717</v>
      </c>
      <c r="V10692" t="s">
        <v>55480</v>
      </c>
      <c r="W10692" t="s">
        <v>40743</v>
      </c>
      <c r="X10692" t="s">
        <v>41264</v>
      </c>
    </row>
    <row r="10693" spans="1:24">
      <c r="A10693">
        <f>HYPERLINK("https://www.philgeps.gov.ph/GEPSNONPILOT/Tender/SplashBidNoticeAbstractUI.aspx?menuIndex=3&amp;refID=7057200&amp;Result=3","7057200")</f>
        <v>0</v>
      </c>
      <c r="B10693" t="s">
        <v>1050</v>
      </c>
      <c r="C10693" t="s">
        <v>13603</v>
      </c>
      <c r="D10693" t="s">
        <v>16648</v>
      </c>
      <c r="E10693" t="s">
        <v>25963</v>
      </c>
      <c r="F10693" t="s">
        <v>28669</v>
      </c>
      <c r="G10693" t="s">
        <v>28675</v>
      </c>
      <c r="H10693" t="s">
        <v>9998</v>
      </c>
      <c r="I10693" t="s">
        <v>7352</v>
      </c>
      <c r="J10693" t="s">
        <v>35431</v>
      </c>
      <c r="K10693" t="s">
        <v>37204</v>
      </c>
      <c r="M10693" t="s">
        <v>38581</v>
      </c>
      <c r="N10693" t="s">
        <v>41249</v>
      </c>
      <c r="O10693" t="s">
        <v>41250</v>
      </c>
      <c r="P10693">
        <v>0</v>
      </c>
      <c r="Q10693">
        <v>0</v>
      </c>
      <c r="R10693" t="s">
        <v>41263</v>
      </c>
      <c r="S10693" t="s">
        <v>41698</v>
      </c>
      <c r="T10693" t="s">
        <v>43000</v>
      </c>
      <c r="U10693" t="s">
        <v>51789</v>
      </c>
      <c r="W10693" t="s">
        <v>38581</v>
      </c>
      <c r="X10693" t="s">
        <v>41264</v>
      </c>
    </row>
    <row r="10694" spans="1:24">
      <c r="A10694">
        <f>HYPERLINK("https://www.philgeps.gov.ph/GEPSNONPILOT/Tender/SplashBidNoticeAbstractUI.aspx?menuIndex=3&amp;refID=7057173&amp;Result=3","7057173")</f>
        <v>0</v>
      </c>
      <c r="B10694" t="s">
        <v>2820</v>
      </c>
      <c r="C10694" t="s">
        <v>13604</v>
      </c>
      <c r="D10694" t="s">
        <v>16664</v>
      </c>
      <c r="E10694" t="s">
        <v>25964</v>
      </c>
      <c r="F10694" t="s">
        <v>28669</v>
      </c>
      <c r="G10694" t="s">
        <v>28675</v>
      </c>
      <c r="H10694" t="s">
        <v>9998</v>
      </c>
      <c r="I10694" t="s">
        <v>7352</v>
      </c>
      <c r="J10694" t="s">
        <v>35432</v>
      </c>
      <c r="K10694" t="s">
        <v>37210</v>
      </c>
      <c r="L10694" t="s">
        <v>2820</v>
      </c>
      <c r="M10694" t="s">
        <v>40550</v>
      </c>
      <c r="N10694" t="s">
        <v>41249</v>
      </c>
      <c r="O10694" t="s">
        <v>41250</v>
      </c>
      <c r="P10694">
        <v>0</v>
      </c>
      <c r="Q10694">
        <v>0</v>
      </c>
      <c r="R10694" t="s">
        <v>41263</v>
      </c>
      <c r="S10694" t="s">
        <v>41698</v>
      </c>
      <c r="T10694" t="s">
        <v>42714</v>
      </c>
      <c r="U10694" t="s">
        <v>50049</v>
      </c>
      <c r="V10694" t="s">
        <v>55481</v>
      </c>
      <c r="W10694" t="s">
        <v>40550</v>
      </c>
      <c r="X10694" t="s">
        <v>41264</v>
      </c>
    </row>
    <row r="10695" spans="1:24">
      <c r="A10695">
        <f>HYPERLINK("https://www.philgeps.gov.ph/GEPSNONPILOT/Tender/SplashBidNoticeAbstractUI.aspx?menuIndex=3&amp;refID=7057128&amp;Result=3","7057128")</f>
        <v>0</v>
      </c>
      <c r="B10695" t="s">
        <v>2989</v>
      </c>
      <c r="C10695" t="s">
        <v>13605</v>
      </c>
      <c r="D10695" t="s">
        <v>16631</v>
      </c>
      <c r="E10695" t="s">
        <v>25965</v>
      </c>
      <c r="F10695" t="s">
        <v>28669</v>
      </c>
      <c r="G10695" t="s">
        <v>28675</v>
      </c>
      <c r="H10695" t="s">
        <v>28686</v>
      </c>
      <c r="I10695" t="s">
        <v>28689</v>
      </c>
      <c r="J10695" t="s">
        <v>35433</v>
      </c>
      <c r="K10695" t="s">
        <v>37215</v>
      </c>
      <c r="M10695" t="s">
        <v>40755</v>
      </c>
      <c r="N10695" t="s">
        <v>41249</v>
      </c>
      <c r="O10695" t="s">
        <v>41250</v>
      </c>
      <c r="P10695">
        <v>0</v>
      </c>
      <c r="Q10695">
        <v>1</v>
      </c>
      <c r="R10695" t="s">
        <v>41263</v>
      </c>
      <c r="S10695" t="s">
        <v>41698</v>
      </c>
      <c r="T10695" t="s">
        <v>42759</v>
      </c>
      <c r="U10695" t="s">
        <v>51790</v>
      </c>
      <c r="W10695" t="s">
        <v>40755</v>
      </c>
      <c r="X10695" t="s">
        <v>41264</v>
      </c>
    </row>
    <row r="10696" spans="1:24">
      <c r="A10696">
        <f>HYPERLINK("https://www.philgeps.gov.ph/GEPSNONPILOT/Tender/SplashBidNoticeAbstractUI.aspx?menuIndex=3&amp;refID=7057582&amp;Result=3","7057582")</f>
        <v>0</v>
      </c>
      <c r="B10696" t="s">
        <v>941</v>
      </c>
      <c r="C10696" t="s">
        <v>13606</v>
      </c>
      <c r="D10696" t="s">
        <v>16608</v>
      </c>
      <c r="E10696" t="s">
        <v>25966</v>
      </c>
      <c r="F10696" t="s">
        <v>28669</v>
      </c>
      <c r="G10696" t="s">
        <v>28675</v>
      </c>
      <c r="H10696" t="s">
        <v>9998</v>
      </c>
      <c r="I10696" t="s">
        <v>28693</v>
      </c>
      <c r="J10696" t="s">
        <v>28823</v>
      </c>
      <c r="K10696" t="s">
        <v>37215</v>
      </c>
      <c r="M10696" t="s">
        <v>38464</v>
      </c>
      <c r="N10696" t="s">
        <v>41249</v>
      </c>
      <c r="O10696" t="s">
        <v>41250</v>
      </c>
      <c r="P10696">
        <v>0</v>
      </c>
      <c r="Q10696">
        <v>4</v>
      </c>
      <c r="R10696" t="s">
        <v>41263</v>
      </c>
      <c r="S10696" t="s">
        <v>41698</v>
      </c>
      <c r="T10696" t="s">
        <v>42739</v>
      </c>
      <c r="U10696" t="s">
        <v>51791</v>
      </c>
      <c r="W10696" t="s">
        <v>38464</v>
      </c>
      <c r="X10696" t="s">
        <v>41264</v>
      </c>
    </row>
    <row r="10697" spans="1:24">
      <c r="A10697">
        <f>HYPERLINK("https://www.philgeps.gov.ph/GEPSNONPILOT/Tender/SplashBidNoticeAbstractUI.aspx?menuIndex=3&amp;refID=7057231&amp;Result=3","7057231")</f>
        <v>0</v>
      </c>
      <c r="B10697" t="s">
        <v>2058</v>
      </c>
      <c r="C10697" t="s">
        <v>3418</v>
      </c>
      <c r="D10697" t="s">
        <v>16670</v>
      </c>
      <c r="E10697" t="s">
        <v>25967</v>
      </c>
      <c r="F10697" t="s">
        <v>28669</v>
      </c>
      <c r="G10697" t="s">
        <v>28675</v>
      </c>
      <c r="H10697" t="s">
        <v>9998</v>
      </c>
      <c r="I10697" t="s">
        <v>5286</v>
      </c>
      <c r="J10697" t="s">
        <v>35434</v>
      </c>
      <c r="K10697" t="s">
        <v>37206</v>
      </c>
      <c r="M10697" t="s">
        <v>39698</v>
      </c>
      <c r="N10697" t="s">
        <v>41249</v>
      </c>
      <c r="O10697" t="s">
        <v>41250</v>
      </c>
      <c r="P10697">
        <v>0</v>
      </c>
      <c r="Q10697">
        <v>5</v>
      </c>
      <c r="R10697" t="s">
        <v>41263</v>
      </c>
      <c r="S10697" t="s">
        <v>41698</v>
      </c>
      <c r="T10697" t="s">
        <v>42671</v>
      </c>
      <c r="U10697" t="s">
        <v>48403</v>
      </c>
      <c r="V10697" t="s">
        <v>55482</v>
      </c>
      <c r="W10697" t="s">
        <v>39698</v>
      </c>
      <c r="X10697" t="s">
        <v>41264</v>
      </c>
    </row>
    <row r="10698" spans="1:24">
      <c r="A10698">
        <f>HYPERLINK("https://www.philgeps.gov.ph/GEPSNONPILOT/Tender/SplashBidNoticeAbstractUI.aspx?menuIndex=3&amp;refID=7057616&amp;Result=3","7057616")</f>
        <v>0</v>
      </c>
      <c r="B10698" t="s">
        <v>2470</v>
      </c>
      <c r="C10698" t="s">
        <v>13607</v>
      </c>
      <c r="D10698" t="s">
        <v>16652</v>
      </c>
      <c r="E10698" t="s">
        <v>25968</v>
      </c>
      <c r="F10698" t="s">
        <v>28669</v>
      </c>
      <c r="G10698" t="s">
        <v>28675</v>
      </c>
      <c r="H10698" t="s">
        <v>28686</v>
      </c>
      <c r="I10698" t="s">
        <v>28689</v>
      </c>
      <c r="J10698" t="s">
        <v>35435</v>
      </c>
      <c r="K10698" t="s">
        <v>37305</v>
      </c>
      <c r="M10698" t="s">
        <v>40153</v>
      </c>
      <c r="N10698" t="s">
        <v>41249</v>
      </c>
      <c r="O10698" t="s">
        <v>41250</v>
      </c>
      <c r="P10698">
        <v>0</v>
      </c>
      <c r="Q10698">
        <v>0</v>
      </c>
      <c r="R10698" t="s">
        <v>41263</v>
      </c>
      <c r="S10698" t="s">
        <v>41698</v>
      </c>
      <c r="T10698" t="s">
        <v>42688</v>
      </c>
      <c r="U10698" t="s">
        <v>51792</v>
      </c>
      <c r="W10698" t="s">
        <v>40153</v>
      </c>
      <c r="X10698" t="s">
        <v>41264</v>
      </c>
    </row>
    <row r="10699" spans="1:24">
      <c r="A10699">
        <f>HYPERLINK("https://www.philgeps.gov.ph/GEPSNONPILOT/Tender/SplashBidNoticeAbstractUI.aspx?menuIndex=3&amp;refID=7057181&amp;Result=3","7057181")</f>
        <v>0</v>
      </c>
      <c r="B10699" t="s">
        <v>2991</v>
      </c>
      <c r="C10699" t="s">
        <v>13608</v>
      </c>
      <c r="D10699" t="s">
        <v>16621</v>
      </c>
      <c r="E10699" t="s">
        <v>25969</v>
      </c>
      <c r="F10699" t="s">
        <v>28669</v>
      </c>
      <c r="G10699" t="s">
        <v>28675</v>
      </c>
      <c r="H10699" t="s">
        <v>9998</v>
      </c>
      <c r="I10699" t="s">
        <v>11593</v>
      </c>
      <c r="J10699" t="s">
        <v>34276</v>
      </c>
      <c r="K10699" t="s">
        <v>37206</v>
      </c>
      <c r="M10699" t="s">
        <v>40756</v>
      </c>
      <c r="N10699" t="s">
        <v>41249</v>
      </c>
      <c r="O10699" t="s">
        <v>41250</v>
      </c>
      <c r="P10699">
        <v>0</v>
      </c>
      <c r="Q10699">
        <v>5</v>
      </c>
      <c r="R10699" t="s">
        <v>41263</v>
      </c>
      <c r="S10699" t="s">
        <v>41698</v>
      </c>
      <c r="T10699" t="s">
        <v>42836</v>
      </c>
      <c r="U10699" t="s">
        <v>51793</v>
      </c>
      <c r="W10699" t="s">
        <v>40756</v>
      </c>
      <c r="X10699" t="s">
        <v>41264</v>
      </c>
    </row>
    <row r="10700" spans="1:24">
      <c r="A10700">
        <f>HYPERLINK("https://www.philgeps.gov.ph/GEPSNONPILOT/Tender/SplashBidNoticeAbstractUI.aspx?menuIndex=3&amp;refID=7056947&amp;Result=3","7056947")</f>
        <v>0</v>
      </c>
      <c r="B10700" t="s">
        <v>675</v>
      </c>
      <c r="C10700" t="s">
        <v>13609</v>
      </c>
      <c r="D10700" t="s">
        <v>16678</v>
      </c>
      <c r="E10700" t="s">
        <v>25970</v>
      </c>
      <c r="F10700" t="s">
        <v>28669</v>
      </c>
      <c r="G10700" t="s">
        <v>28675</v>
      </c>
      <c r="H10700" t="s">
        <v>28686</v>
      </c>
      <c r="I10700" t="s">
        <v>28689</v>
      </c>
      <c r="J10700" t="s">
        <v>35436</v>
      </c>
      <c r="K10700" t="s">
        <v>37206</v>
      </c>
      <c r="M10700" t="s">
        <v>38178</v>
      </c>
      <c r="N10700" t="s">
        <v>41249</v>
      </c>
      <c r="O10700" t="s">
        <v>41250</v>
      </c>
      <c r="P10700">
        <v>0</v>
      </c>
      <c r="Q10700">
        <v>0</v>
      </c>
      <c r="R10700" t="s">
        <v>41263</v>
      </c>
      <c r="S10700" t="s">
        <v>41698</v>
      </c>
      <c r="T10700" t="s">
        <v>42700</v>
      </c>
      <c r="U10700" t="s">
        <v>51794</v>
      </c>
      <c r="W10700" t="s">
        <v>38178</v>
      </c>
      <c r="X10700" t="s">
        <v>41264</v>
      </c>
    </row>
    <row r="10701" spans="1:24">
      <c r="A10701">
        <f>HYPERLINK("https://www.philgeps.gov.ph/GEPSNONPILOT/Tender/SplashBidNoticeAbstractUI.aspx?menuIndex=3&amp;refID=7057613&amp;Result=3","7057613")</f>
        <v>0</v>
      </c>
      <c r="B10701" t="s">
        <v>1999</v>
      </c>
      <c r="C10701" t="s">
        <v>13610</v>
      </c>
      <c r="D10701" t="s">
        <v>16657</v>
      </c>
      <c r="E10701" t="s">
        <v>25971</v>
      </c>
      <c r="F10701" t="s">
        <v>28669</v>
      </c>
      <c r="G10701" t="s">
        <v>28675</v>
      </c>
      <c r="H10701" t="s">
        <v>9998</v>
      </c>
      <c r="I10701" t="s">
        <v>28766</v>
      </c>
      <c r="J10701" t="s">
        <v>29332</v>
      </c>
      <c r="K10701" t="s">
        <v>37221</v>
      </c>
      <c r="M10701" t="s">
        <v>39637</v>
      </c>
      <c r="N10701" t="s">
        <v>41249</v>
      </c>
      <c r="O10701" t="s">
        <v>41250</v>
      </c>
      <c r="P10701">
        <v>0</v>
      </c>
      <c r="Q10701">
        <v>3</v>
      </c>
      <c r="R10701" t="s">
        <v>41263</v>
      </c>
      <c r="S10701" t="s">
        <v>41698</v>
      </c>
      <c r="T10701" t="s">
        <v>42700</v>
      </c>
      <c r="U10701" t="s">
        <v>51795</v>
      </c>
      <c r="V10701" t="s">
        <v>55483</v>
      </c>
      <c r="W10701" t="s">
        <v>39637</v>
      </c>
      <c r="X10701" t="s">
        <v>41264</v>
      </c>
    </row>
    <row r="10702" spans="1:24">
      <c r="A10702">
        <f>HYPERLINK("https://www.philgeps.gov.ph/GEPSNONPILOT/Tender/SplashBidNoticeAbstractUI.aspx?menuIndex=3&amp;refID=7057518&amp;Result=3","7057518")</f>
        <v>0</v>
      </c>
      <c r="B10702" t="s">
        <v>308</v>
      </c>
      <c r="C10702" t="s">
        <v>13611</v>
      </c>
      <c r="D10702" t="s">
        <v>16647</v>
      </c>
      <c r="E10702" t="s">
        <v>25972</v>
      </c>
      <c r="F10702" t="s">
        <v>28669</v>
      </c>
      <c r="G10702" t="s">
        <v>28675</v>
      </c>
      <c r="H10702" t="s">
        <v>9998</v>
      </c>
      <c r="I10702" t="s">
        <v>7352</v>
      </c>
      <c r="J10702" t="s">
        <v>35437</v>
      </c>
      <c r="K10702" t="s">
        <v>37227</v>
      </c>
      <c r="M10702" t="s">
        <v>37787</v>
      </c>
      <c r="N10702" t="s">
        <v>41249</v>
      </c>
      <c r="O10702" t="s">
        <v>41250</v>
      </c>
      <c r="P10702">
        <v>0</v>
      </c>
      <c r="Q10702">
        <v>1</v>
      </c>
      <c r="R10702" t="s">
        <v>41263</v>
      </c>
      <c r="S10702" t="s">
        <v>41698</v>
      </c>
      <c r="T10702" t="s">
        <v>42698</v>
      </c>
      <c r="U10702" t="s">
        <v>51796</v>
      </c>
      <c r="W10702" t="s">
        <v>37787</v>
      </c>
      <c r="X10702" t="s">
        <v>41264</v>
      </c>
    </row>
    <row r="10703" spans="1:24">
      <c r="A10703">
        <f>HYPERLINK("https://www.philgeps.gov.ph/GEPSNONPILOT/Tender/SplashBidNoticeAbstractUI.aspx?menuIndex=3&amp;refID=7057228&amp;Result=3","7057228")</f>
        <v>0</v>
      </c>
      <c r="B10703" t="s">
        <v>2306</v>
      </c>
      <c r="C10703" t="s">
        <v>13612</v>
      </c>
      <c r="D10703" t="s">
        <v>16626</v>
      </c>
      <c r="E10703" t="s">
        <v>25973</v>
      </c>
      <c r="F10703" t="s">
        <v>28669</v>
      </c>
      <c r="G10703" t="s">
        <v>28675</v>
      </c>
      <c r="H10703" t="s">
        <v>28686</v>
      </c>
      <c r="I10703" t="s">
        <v>28689</v>
      </c>
      <c r="J10703" t="s">
        <v>35438</v>
      </c>
      <c r="K10703" t="s">
        <v>37215</v>
      </c>
      <c r="M10703" t="s">
        <v>39965</v>
      </c>
      <c r="N10703" t="s">
        <v>41249</v>
      </c>
      <c r="O10703" t="s">
        <v>41250</v>
      </c>
      <c r="P10703">
        <v>0</v>
      </c>
      <c r="Q10703">
        <v>2</v>
      </c>
      <c r="R10703" t="s">
        <v>41263</v>
      </c>
      <c r="S10703" t="s">
        <v>41698</v>
      </c>
      <c r="T10703" t="s">
        <v>42675</v>
      </c>
      <c r="U10703" t="s">
        <v>51797</v>
      </c>
      <c r="V10703" t="s">
        <v>55097</v>
      </c>
      <c r="W10703" t="s">
        <v>39965</v>
      </c>
      <c r="X10703" t="s">
        <v>41264</v>
      </c>
    </row>
    <row r="10704" spans="1:24">
      <c r="A10704">
        <f>HYPERLINK("https://www.philgeps.gov.ph/GEPSNONPILOT/Tender/SplashBidNoticeAbstractUI.aspx?menuIndex=3&amp;refID=7057496&amp;Result=3","7057496")</f>
        <v>0</v>
      </c>
      <c r="B10704" t="s">
        <v>2511</v>
      </c>
      <c r="C10704" t="s">
        <v>13613</v>
      </c>
      <c r="D10704" t="s">
        <v>16676</v>
      </c>
      <c r="E10704" t="s">
        <v>25974</v>
      </c>
      <c r="F10704" t="s">
        <v>28669</v>
      </c>
      <c r="G10704" t="s">
        <v>28675</v>
      </c>
      <c r="H10704" t="s">
        <v>9998</v>
      </c>
      <c r="I10704" t="s">
        <v>28697</v>
      </c>
      <c r="J10704" t="s">
        <v>35439</v>
      </c>
      <c r="K10704" t="s">
        <v>37206</v>
      </c>
      <c r="M10704" t="s">
        <v>40199</v>
      </c>
      <c r="N10704" t="s">
        <v>41249</v>
      </c>
      <c r="O10704" t="s">
        <v>41250</v>
      </c>
      <c r="P10704">
        <v>0</v>
      </c>
      <c r="Q10704">
        <v>6</v>
      </c>
      <c r="R10704" t="s">
        <v>41263</v>
      </c>
      <c r="S10704" t="s">
        <v>41698</v>
      </c>
      <c r="T10704" t="s">
        <v>42912</v>
      </c>
      <c r="U10704" t="s">
        <v>51798</v>
      </c>
      <c r="W10704" t="s">
        <v>40199</v>
      </c>
      <c r="X10704" t="s">
        <v>41264</v>
      </c>
    </row>
    <row r="10705" spans="1:24">
      <c r="A10705">
        <f>HYPERLINK("https://www.philgeps.gov.ph/GEPSNONPILOT/Tender/SplashBidNoticeAbstractUI.aspx?menuIndex=3&amp;refID=7056784&amp;Result=3","7056784")</f>
        <v>0</v>
      </c>
      <c r="B10705" t="s">
        <v>2984</v>
      </c>
      <c r="C10705" t="s">
        <v>13614</v>
      </c>
      <c r="D10705" t="s">
        <v>16626</v>
      </c>
      <c r="E10705" t="s">
        <v>25975</v>
      </c>
      <c r="F10705" t="s">
        <v>28669</v>
      </c>
      <c r="G10705" t="s">
        <v>28679</v>
      </c>
      <c r="H10705" t="s">
        <v>9998</v>
      </c>
      <c r="I10705" t="s">
        <v>28687</v>
      </c>
      <c r="J10705" t="s">
        <v>29724</v>
      </c>
      <c r="K10705" t="s">
        <v>37206</v>
      </c>
      <c r="M10705" t="s">
        <v>40749</v>
      </c>
      <c r="N10705" t="s">
        <v>41249</v>
      </c>
      <c r="O10705" t="s">
        <v>41250</v>
      </c>
      <c r="P10705">
        <v>0</v>
      </c>
      <c r="Q10705">
        <v>3</v>
      </c>
      <c r="R10705" t="s">
        <v>41263</v>
      </c>
      <c r="S10705" t="s">
        <v>41698</v>
      </c>
      <c r="T10705" t="s">
        <v>42659</v>
      </c>
      <c r="U10705" t="s">
        <v>51799</v>
      </c>
      <c r="W10705" t="s">
        <v>40749</v>
      </c>
      <c r="X10705" t="s">
        <v>41264</v>
      </c>
    </row>
    <row r="10706" spans="1:24">
      <c r="A10706">
        <f>HYPERLINK("https://www.philgeps.gov.ph/GEPSNONPILOT/Tender/SplashBidNoticeAbstractUI.aspx?menuIndex=3&amp;refID=7057461&amp;Result=3","7057461")</f>
        <v>0</v>
      </c>
      <c r="B10706" t="s">
        <v>2992</v>
      </c>
      <c r="C10706" t="s">
        <v>13615</v>
      </c>
      <c r="D10706" t="s">
        <v>16616</v>
      </c>
      <c r="E10706" t="s">
        <v>17060</v>
      </c>
      <c r="F10706" t="s">
        <v>28669</v>
      </c>
      <c r="G10706" t="s">
        <v>28675</v>
      </c>
      <c r="H10706" t="s">
        <v>28686</v>
      </c>
      <c r="I10706" t="s">
        <v>28689</v>
      </c>
      <c r="J10706" t="s">
        <v>29002</v>
      </c>
      <c r="K10706" t="s">
        <v>37213</v>
      </c>
      <c r="M10706" t="s">
        <v>40757</v>
      </c>
      <c r="N10706" t="s">
        <v>41249</v>
      </c>
      <c r="O10706" t="s">
        <v>41250</v>
      </c>
      <c r="P10706">
        <v>0</v>
      </c>
      <c r="Q10706">
        <v>3</v>
      </c>
      <c r="R10706" t="s">
        <v>41263</v>
      </c>
      <c r="S10706" t="s">
        <v>41698</v>
      </c>
      <c r="T10706" t="s">
        <v>42673</v>
      </c>
      <c r="U10706" t="s">
        <v>51800</v>
      </c>
      <c r="W10706" t="s">
        <v>40757</v>
      </c>
      <c r="X10706" t="s">
        <v>41264</v>
      </c>
    </row>
    <row r="10707" spans="1:24">
      <c r="A10707">
        <f>HYPERLINK("https://www.philgeps.gov.ph/GEPSNONPILOT/Tender/SplashBidNoticeAbstractUI.aspx?menuIndex=3&amp;refID=7057199&amp;Result=3","7057199")</f>
        <v>0</v>
      </c>
      <c r="B10707" t="s">
        <v>2993</v>
      </c>
      <c r="C10707" t="s">
        <v>13616</v>
      </c>
      <c r="D10707" t="s">
        <v>16635</v>
      </c>
      <c r="E10707" t="s">
        <v>24508</v>
      </c>
      <c r="F10707" t="s">
        <v>28669</v>
      </c>
      <c r="G10707" t="s">
        <v>28675</v>
      </c>
      <c r="H10707" t="s">
        <v>9998</v>
      </c>
      <c r="I10707" t="s">
        <v>28687</v>
      </c>
      <c r="J10707" t="s">
        <v>30227</v>
      </c>
      <c r="K10707" t="s">
        <v>37210</v>
      </c>
      <c r="M10707" t="s">
        <v>40758</v>
      </c>
      <c r="N10707" t="s">
        <v>41249</v>
      </c>
      <c r="O10707" t="s">
        <v>41250</v>
      </c>
      <c r="P10707">
        <v>0</v>
      </c>
      <c r="Q10707">
        <v>3</v>
      </c>
      <c r="R10707" t="s">
        <v>41263</v>
      </c>
      <c r="S10707" t="s">
        <v>41698</v>
      </c>
      <c r="T10707" t="s">
        <v>42671</v>
      </c>
      <c r="U10707" t="s">
        <v>51801</v>
      </c>
      <c r="V10707" t="s">
        <v>55484</v>
      </c>
      <c r="W10707" t="s">
        <v>40758</v>
      </c>
      <c r="X10707" t="s">
        <v>41264</v>
      </c>
    </row>
    <row r="10708" spans="1:24">
      <c r="A10708">
        <f>HYPERLINK("https://www.philgeps.gov.ph/GEPSNONPILOT/Tender/SplashBidNoticeAbstractUI.aspx?menuIndex=3&amp;refID=7057615&amp;Result=3","7057615")</f>
        <v>0</v>
      </c>
      <c r="B10708" t="s">
        <v>2994</v>
      </c>
      <c r="C10708" t="s">
        <v>4447</v>
      </c>
      <c r="D10708" t="s">
        <v>16673</v>
      </c>
      <c r="E10708" t="s">
        <v>20651</v>
      </c>
      <c r="F10708" t="s">
        <v>28669</v>
      </c>
      <c r="G10708" t="s">
        <v>28675</v>
      </c>
      <c r="H10708" t="s">
        <v>9998</v>
      </c>
      <c r="I10708" t="s">
        <v>5286</v>
      </c>
      <c r="J10708" t="s">
        <v>28914</v>
      </c>
      <c r="K10708" t="s">
        <v>37209</v>
      </c>
      <c r="M10708" t="s">
        <v>40759</v>
      </c>
      <c r="N10708" t="s">
        <v>41249</v>
      </c>
      <c r="O10708" t="s">
        <v>41250</v>
      </c>
      <c r="P10708">
        <v>0</v>
      </c>
      <c r="Q10708">
        <v>6</v>
      </c>
      <c r="R10708" t="s">
        <v>41263</v>
      </c>
      <c r="S10708" t="s">
        <v>41698</v>
      </c>
      <c r="T10708" t="s">
        <v>42673</v>
      </c>
      <c r="U10708" t="s">
        <v>51802</v>
      </c>
      <c r="W10708" t="s">
        <v>40759</v>
      </c>
      <c r="X10708" t="s">
        <v>41264</v>
      </c>
    </row>
    <row r="10709" spans="1:24">
      <c r="A10709">
        <f>HYPERLINK("https://www.philgeps.gov.ph/GEPSNONPILOT/Tender/SplashBidNoticeAbstractUI.aspx?menuIndex=3&amp;refID=7057439&amp;Result=3","7057439")</f>
        <v>0</v>
      </c>
      <c r="B10709" t="s">
        <v>2357</v>
      </c>
      <c r="C10709" t="s">
        <v>13617</v>
      </c>
      <c r="D10709" t="s">
        <v>16666</v>
      </c>
      <c r="E10709" t="s">
        <v>25976</v>
      </c>
      <c r="F10709" t="s">
        <v>28669</v>
      </c>
      <c r="G10709" t="s">
        <v>28675</v>
      </c>
      <c r="H10709" t="s">
        <v>28686</v>
      </c>
      <c r="I10709" t="s">
        <v>28689</v>
      </c>
      <c r="J10709" t="s">
        <v>35440</v>
      </c>
      <c r="K10709" t="s">
        <v>37215</v>
      </c>
      <c r="M10709" t="s">
        <v>40025</v>
      </c>
      <c r="N10709" t="s">
        <v>41249</v>
      </c>
      <c r="O10709" t="s">
        <v>41250</v>
      </c>
      <c r="P10709">
        <v>0</v>
      </c>
      <c r="Q10709">
        <v>1</v>
      </c>
      <c r="R10709" t="s">
        <v>41263</v>
      </c>
      <c r="S10709" t="s">
        <v>41698</v>
      </c>
      <c r="T10709" t="s">
        <v>42698</v>
      </c>
      <c r="U10709" t="s">
        <v>49315</v>
      </c>
      <c r="W10709" t="s">
        <v>40025</v>
      </c>
      <c r="X10709" t="s">
        <v>41264</v>
      </c>
    </row>
    <row r="10710" spans="1:24">
      <c r="A10710">
        <f>HYPERLINK("https://www.philgeps.gov.ph/GEPSNONPILOT/Tender/SplashBidNoticeAbstractUI.aspx?menuIndex=3&amp;refID=7057403&amp;Result=3","7057403")</f>
        <v>0</v>
      </c>
      <c r="B10710" t="s">
        <v>2965</v>
      </c>
      <c r="C10710" t="s">
        <v>13618</v>
      </c>
      <c r="D10710" t="s">
        <v>16679</v>
      </c>
      <c r="E10710" t="s">
        <v>25977</v>
      </c>
      <c r="F10710" t="s">
        <v>28669</v>
      </c>
      <c r="G10710" t="s">
        <v>28675</v>
      </c>
      <c r="H10710" t="s">
        <v>28686</v>
      </c>
      <c r="I10710" t="s">
        <v>28689</v>
      </c>
      <c r="J10710" t="s">
        <v>28836</v>
      </c>
      <c r="K10710" t="s">
        <v>37280</v>
      </c>
      <c r="M10710" t="s">
        <v>40726</v>
      </c>
      <c r="N10710" t="s">
        <v>41249</v>
      </c>
      <c r="O10710" t="s">
        <v>41250</v>
      </c>
      <c r="P10710">
        <v>0</v>
      </c>
      <c r="Q10710">
        <v>6</v>
      </c>
      <c r="R10710" t="s">
        <v>41263</v>
      </c>
      <c r="S10710" t="s">
        <v>41698</v>
      </c>
      <c r="T10710" t="s">
        <v>42712</v>
      </c>
      <c r="U10710" t="s">
        <v>51670</v>
      </c>
      <c r="W10710" t="s">
        <v>40726</v>
      </c>
      <c r="X10710" t="s">
        <v>41264</v>
      </c>
    </row>
    <row r="10711" spans="1:24">
      <c r="A10711">
        <f>HYPERLINK("https://www.philgeps.gov.ph/GEPSNONPILOT/Tender/SplashBidNoticeAbstractUI.aspx?menuIndex=3&amp;refID=7057505&amp;Result=3","7057505")</f>
        <v>0</v>
      </c>
      <c r="B10711" t="s">
        <v>1961</v>
      </c>
      <c r="C10711" t="s">
        <v>13619</v>
      </c>
      <c r="D10711" t="s">
        <v>16608</v>
      </c>
      <c r="E10711" t="s">
        <v>25978</v>
      </c>
      <c r="F10711" t="s">
        <v>28669</v>
      </c>
      <c r="G10711" t="s">
        <v>28675</v>
      </c>
      <c r="H10711" t="s">
        <v>28686</v>
      </c>
      <c r="I10711" t="s">
        <v>28689</v>
      </c>
      <c r="J10711" t="s">
        <v>35441</v>
      </c>
      <c r="K10711" t="s">
        <v>37232</v>
      </c>
      <c r="M10711" t="s">
        <v>40442</v>
      </c>
      <c r="N10711" t="s">
        <v>41249</v>
      </c>
      <c r="O10711" t="s">
        <v>41250</v>
      </c>
      <c r="Q10711">
        <v>10</v>
      </c>
      <c r="R10711" t="s">
        <v>41263</v>
      </c>
      <c r="S10711" t="s">
        <v>41762</v>
      </c>
      <c r="T10711" t="s">
        <v>42658</v>
      </c>
      <c r="U10711" t="s">
        <v>51803</v>
      </c>
      <c r="V10711" t="s">
        <v>54508</v>
      </c>
      <c r="W10711" t="s">
        <v>40442</v>
      </c>
      <c r="X10711" t="s">
        <v>41264</v>
      </c>
    </row>
    <row r="10712" spans="1:24">
      <c r="A10712">
        <f>HYPERLINK("https://www.philgeps.gov.ph/GEPSNONPILOT/Tender/SplashBidNoticeAbstractUI.aspx?menuIndex=3&amp;refID=7057468&amp;Result=3","7057468")</f>
        <v>0</v>
      </c>
      <c r="B10712" t="s">
        <v>2995</v>
      </c>
      <c r="C10712" t="s">
        <v>13620</v>
      </c>
      <c r="D10712" t="s">
        <v>16624</v>
      </c>
      <c r="E10712" t="s">
        <v>25979</v>
      </c>
      <c r="F10712" t="s">
        <v>28669</v>
      </c>
      <c r="G10712" t="s">
        <v>28675</v>
      </c>
      <c r="H10712" t="s">
        <v>9998</v>
      </c>
      <c r="I10712" t="s">
        <v>28687</v>
      </c>
      <c r="J10712" t="s">
        <v>29724</v>
      </c>
      <c r="K10712" t="s">
        <v>37210</v>
      </c>
      <c r="M10712" t="s">
        <v>40760</v>
      </c>
      <c r="N10712" t="s">
        <v>41249</v>
      </c>
      <c r="O10712" t="s">
        <v>41250</v>
      </c>
      <c r="P10712">
        <v>0</v>
      </c>
      <c r="Q10712">
        <v>3</v>
      </c>
      <c r="R10712" t="s">
        <v>41263</v>
      </c>
      <c r="S10712" t="s">
        <v>41698</v>
      </c>
      <c r="T10712" t="s">
        <v>42736</v>
      </c>
      <c r="U10712" t="s">
        <v>51804</v>
      </c>
      <c r="W10712" t="s">
        <v>40760</v>
      </c>
      <c r="X10712" t="s">
        <v>41264</v>
      </c>
    </row>
    <row r="10713" spans="1:24">
      <c r="A10713">
        <f>HYPERLINK("https://www.philgeps.gov.ph/GEPSNONPILOT/Tender/SplashBidNoticeAbstractUI.aspx?menuIndex=3&amp;refID=7057374&amp;Result=3","7057374")</f>
        <v>0</v>
      </c>
      <c r="B10713" t="s">
        <v>2996</v>
      </c>
      <c r="C10713" t="s">
        <v>13621</v>
      </c>
      <c r="D10713" t="s">
        <v>16630</v>
      </c>
      <c r="E10713" t="s">
        <v>18246</v>
      </c>
      <c r="F10713" t="s">
        <v>28669</v>
      </c>
      <c r="G10713" t="s">
        <v>28675</v>
      </c>
      <c r="H10713" t="s">
        <v>28686</v>
      </c>
      <c r="I10713" t="s">
        <v>28689</v>
      </c>
      <c r="J10713" t="s">
        <v>29035</v>
      </c>
      <c r="K10713" t="s">
        <v>37258</v>
      </c>
      <c r="M10713" t="s">
        <v>40761</v>
      </c>
      <c r="N10713" t="s">
        <v>41249</v>
      </c>
      <c r="O10713" t="s">
        <v>41250</v>
      </c>
      <c r="P10713">
        <v>0</v>
      </c>
      <c r="Q10713">
        <v>0</v>
      </c>
      <c r="R10713" t="s">
        <v>41263</v>
      </c>
      <c r="S10713" t="s">
        <v>41698</v>
      </c>
      <c r="T10713" t="s">
        <v>42836</v>
      </c>
      <c r="U10713" t="s">
        <v>51805</v>
      </c>
      <c r="W10713" t="s">
        <v>40761</v>
      </c>
      <c r="X10713" t="s">
        <v>41264</v>
      </c>
    </row>
    <row r="10714" spans="1:24">
      <c r="A10714">
        <f>HYPERLINK("https://www.philgeps.gov.ph/GEPSNONPILOT/Tender/SplashBidNoticeAbstractUI.aspx?menuIndex=3&amp;refID=7057443&amp;Result=3","7057443")</f>
        <v>0</v>
      </c>
      <c r="B10714" t="s">
        <v>2981</v>
      </c>
      <c r="C10714" t="s">
        <v>13622</v>
      </c>
      <c r="D10714" t="s">
        <v>16616</v>
      </c>
      <c r="E10714" t="s">
        <v>25980</v>
      </c>
      <c r="F10714" t="s">
        <v>28669</v>
      </c>
      <c r="G10714" t="s">
        <v>28679</v>
      </c>
      <c r="H10714" t="s">
        <v>9998</v>
      </c>
      <c r="I10714" t="s">
        <v>28689</v>
      </c>
      <c r="J10714" t="s">
        <v>35442</v>
      </c>
      <c r="K10714" t="s">
        <v>37227</v>
      </c>
      <c r="M10714" t="s">
        <v>40746</v>
      </c>
      <c r="N10714" t="s">
        <v>41249</v>
      </c>
      <c r="O10714" t="s">
        <v>41250</v>
      </c>
      <c r="P10714">
        <v>0</v>
      </c>
      <c r="Q10714">
        <v>1</v>
      </c>
      <c r="R10714" t="s">
        <v>41263</v>
      </c>
      <c r="S10714" t="s">
        <v>41698</v>
      </c>
      <c r="T10714" t="s">
        <v>42729</v>
      </c>
      <c r="U10714" t="s">
        <v>51806</v>
      </c>
      <c r="V10714" t="s">
        <v>55485</v>
      </c>
      <c r="W10714" t="s">
        <v>40746</v>
      </c>
      <c r="X10714" t="s">
        <v>41264</v>
      </c>
    </row>
    <row r="10715" spans="1:24">
      <c r="A10715">
        <f>HYPERLINK("https://www.philgeps.gov.ph/GEPSNONPILOT/Tender/SplashBidNoticeAbstractUI.aspx?menuIndex=3&amp;refID=7057797&amp;Result=3","7057797")</f>
        <v>0</v>
      </c>
      <c r="B10715" t="s">
        <v>2375</v>
      </c>
      <c r="C10715" t="s">
        <v>13623</v>
      </c>
      <c r="D10715" t="s">
        <v>16613</v>
      </c>
      <c r="E10715" t="s">
        <v>25981</v>
      </c>
      <c r="F10715" t="s">
        <v>28669</v>
      </c>
      <c r="G10715" t="s">
        <v>28675</v>
      </c>
      <c r="H10715" t="s">
        <v>28686</v>
      </c>
      <c r="I10715" t="s">
        <v>28689</v>
      </c>
      <c r="J10715" t="s">
        <v>30755</v>
      </c>
      <c r="K10715" t="s">
        <v>37290</v>
      </c>
      <c r="M10715" t="s">
        <v>40045</v>
      </c>
      <c r="N10715" t="s">
        <v>41249</v>
      </c>
      <c r="O10715" t="s">
        <v>41250</v>
      </c>
      <c r="P10715">
        <v>0</v>
      </c>
      <c r="Q10715">
        <v>2</v>
      </c>
      <c r="R10715" t="s">
        <v>41263</v>
      </c>
      <c r="S10715" t="s">
        <v>41698</v>
      </c>
      <c r="T10715" t="s">
        <v>42881</v>
      </c>
      <c r="U10715" t="s">
        <v>51807</v>
      </c>
      <c r="W10715" t="s">
        <v>40045</v>
      </c>
      <c r="X10715" t="s">
        <v>41264</v>
      </c>
    </row>
    <row r="10716" spans="1:24">
      <c r="A10716">
        <f>HYPERLINK("https://www.philgeps.gov.ph/GEPSNONPILOT/Tender/SplashBidNoticeAbstractUI.aspx?menuIndex=3&amp;refID=7057382&amp;Result=3","7057382")</f>
        <v>0</v>
      </c>
      <c r="B10716" t="s">
        <v>1050</v>
      </c>
      <c r="C10716" t="s">
        <v>13624</v>
      </c>
      <c r="D10716" t="s">
        <v>16648</v>
      </c>
      <c r="E10716" t="s">
        <v>25982</v>
      </c>
      <c r="F10716" t="s">
        <v>28669</v>
      </c>
      <c r="G10716" t="s">
        <v>28675</v>
      </c>
      <c r="H10716" t="s">
        <v>9998</v>
      </c>
      <c r="I10716" t="s">
        <v>7352</v>
      </c>
      <c r="J10716" t="s">
        <v>35443</v>
      </c>
      <c r="K10716" t="s">
        <v>37204</v>
      </c>
      <c r="M10716" t="s">
        <v>38581</v>
      </c>
      <c r="N10716" t="s">
        <v>41249</v>
      </c>
      <c r="O10716" t="s">
        <v>41250</v>
      </c>
      <c r="P10716">
        <v>0</v>
      </c>
      <c r="Q10716">
        <v>0</v>
      </c>
      <c r="R10716" t="s">
        <v>41263</v>
      </c>
      <c r="S10716" t="s">
        <v>41698</v>
      </c>
      <c r="T10716" t="s">
        <v>43000</v>
      </c>
      <c r="U10716" t="s">
        <v>51808</v>
      </c>
      <c r="W10716" t="s">
        <v>38581</v>
      </c>
      <c r="X10716" t="s">
        <v>41264</v>
      </c>
    </row>
    <row r="10717" spans="1:24">
      <c r="A10717">
        <f>HYPERLINK("https://www.philgeps.gov.ph/GEPSNONPILOT/Tender/SplashBidNoticeAbstractUI.aspx?menuIndex=3&amp;refID=7057416&amp;Result=3","7057416")</f>
        <v>0</v>
      </c>
      <c r="B10717" t="s">
        <v>2357</v>
      </c>
      <c r="C10717" t="s">
        <v>13625</v>
      </c>
      <c r="D10717" t="s">
        <v>16666</v>
      </c>
      <c r="E10717" t="s">
        <v>25983</v>
      </c>
      <c r="F10717" t="s">
        <v>28669</v>
      </c>
      <c r="G10717" t="s">
        <v>28675</v>
      </c>
      <c r="H10717" t="s">
        <v>28686</v>
      </c>
      <c r="I10717" t="s">
        <v>28689</v>
      </c>
      <c r="J10717" t="s">
        <v>35444</v>
      </c>
      <c r="K10717" t="s">
        <v>37215</v>
      </c>
      <c r="M10717" t="s">
        <v>40025</v>
      </c>
      <c r="N10717" t="s">
        <v>41249</v>
      </c>
      <c r="O10717" t="s">
        <v>41250</v>
      </c>
      <c r="P10717">
        <v>0</v>
      </c>
      <c r="Q10717">
        <v>0</v>
      </c>
      <c r="R10717" t="s">
        <v>41263</v>
      </c>
      <c r="S10717" t="s">
        <v>41698</v>
      </c>
      <c r="T10717" t="s">
        <v>42698</v>
      </c>
      <c r="U10717" t="s">
        <v>49315</v>
      </c>
      <c r="W10717" t="s">
        <v>40025</v>
      </c>
      <c r="X10717" t="s">
        <v>41264</v>
      </c>
    </row>
    <row r="10718" spans="1:24">
      <c r="A10718">
        <f>HYPERLINK("https://www.philgeps.gov.ph/GEPSNONPILOT/Tender/SplashBidNoticeAbstractUI.aspx?menuIndex=3&amp;refID=7057789&amp;Result=3","7057789")</f>
        <v>0</v>
      </c>
      <c r="B10718" t="s">
        <v>2375</v>
      </c>
      <c r="C10718" t="s">
        <v>13626</v>
      </c>
      <c r="D10718" t="s">
        <v>16680</v>
      </c>
      <c r="E10718" t="s">
        <v>25984</v>
      </c>
      <c r="F10718" t="s">
        <v>28669</v>
      </c>
      <c r="G10718" t="s">
        <v>28675</v>
      </c>
      <c r="H10718" t="s">
        <v>28686</v>
      </c>
      <c r="I10718" t="s">
        <v>28689</v>
      </c>
      <c r="J10718" t="s">
        <v>30755</v>
      </c>
      <c r="K10718" t="s">
        <v>37290</v>
      </c>
      <c r="M10718" t="s">
        <v>40045</v>
      </c>
      <c r="N10718" t="s">
        <v>41249</v>
      </c>
      <c r="O10718" t="s">
        <v>41250</v>
      </c>
      <c r="P10718">
        <v>0</v>
      </c>
      <c r="Q10718">
        <v>1</v>
      </c>
      <c r="R10718" t="s">
        <v>41263</v>
      </c>
      <c r="S10718" t="s">
        <v>41698</v>
      </c>
      <c r="T10718" t="s">
        <v>42881</v>
      </c>
      <c r="U10718" t="s">
        <v>51809</v>
      </c>
      <c r="W10718" t="s">
        <v>40045</v>
      </c>
      <c r="X10718" t="s">
        <v>41264</v>
      </c>
    </row>
    <row r="10719" spans="1:24">
      <c r="A10719">
        <f>HYPERLINK("https://www.philgeps.gov.ph/GEPSNONPILOT/Tender/SplashBidNoticeAbstractUI.aspx?menuIndex=3&amp;refID=7057775&amp;Result=3","7057775")</f>
        <v>0</v>
      </c>
      <c r="B10719" t="s">
        <v>2375</v>
      </c>
      <c r="C10719" t="s">
        <v>13627</v>
      </c>
      <c r="D10719" t="s">
        <v>16680</v>
      </c>
      <c r="E10719" t="s">
        <v>25985</v>
      </c>
      <c r="F10719" t="s">
        <v>28669</v>
      </c>
      <c r="G10719" t="s">
        <v>28675</v>
      </c>
      <c r="H10719" t="s">
        <v>9998</v>
      </c>
      <c r="I10719" t="s">
        <v>28687</v>
      </c>
      <c r="J10719" t="s">
        <v>35445</v>
      </c>
      <c r="K10719" t="s">
        <v>37216</v>
      </c>
      <c r="M10719" t="s">
        <v>40045</v>
      </c>
      <c r="N10719" t="s">
        <v>41249</v>
      </c>
      <c r="O10719" t="s">
        <v>41250</v>
      </c>
      <c r="P10719">
        <v>0</v>
      </c>
      <c r="Q10719">
        <v>0</v>
      </c>
      <c r="R10719" t="s">
        <v>41263</v>
      </c>
      <c r="S10719" t="s">
        <v>41698</v>
      </c>
      <c r="T10719" t="s">
        <v>42679</v>
      </c>
      <c r="U10719" t="s">
        <v>51810</v>
      </c>
      <c r="W10719" t="s">
        <v>40045</v>
      </c>
      <c r="X10719" t="s">
        <v>41264</v>
      </c>
    </row>
    <row r="10720" spans="1:24">
      <c r="A10720">
        <f>HYPERLINK("https://www.philgeps.gov.ph/GEPSNONPILOT/Tender/SplashBidNoticeAbstractUI.aspx?menuIndex=3&amp;refID=7057754&amp;Result=3","7057754")</f>
        <v>0</v>
      </c>
      <c r="B10720" t="s">
        <v>804</v>
      </c>
      <c r="C10720" t="s">
        <v>13628</v>
      </c>
      <c r="D10720" t="s">
        <v>16633</v>
      </c>
      <c r="E10720" t="s">
        <v>25986</v>
      </c>
      <c r="F10720" t="s">
        <v>28669</v>
      </c>
      <c r="G10720" t="s">
        <v>28675</v>
      </c>
      <c r="H10720" t="s">
        <v>28686</v>
      </c>
      <c r="I10720" t="s">
        <v>28689</v>
      </c>
      <c r="J10720" t="s">
        <v>35446</v>
      </c>
      <c r="K10720" t="s">
        <v>37290</v>
      </c>
      <c r="M10720" t="s">
        <v>38319</v>
      </c>
      <c r="N10720" t="s">
        <v>41249</v>
      </c>
      <c r="O10720" t="s">
        <v>41250</v>
      </c>
      <c r="Q10720">
        <v>2</v>
      </c>
      <c r="R10720" t="s">
        <v>41263</v>
      </c>
      <c r="S10720" t="s">
        <v>41763</v>
      </c>
      <c r="T10720" t="s">
        <v>42881</v>
      </c>
      <c r="U10720" t="s">
        <v>51811</v>
      </c>
      <c r="W10720" t="s">
        <v>38319</v>
      </c>
      <c r="X10720" t="s">
        <v>41264</v>
      </c>
    </row>
    <row r="10721" spans="1:24">
      <c r="A10721">
        <f>HYPERLINK("https://www.philgeps.gov.ph/GEPSNONPILOT/Tender/SplashBidNoticeAbstractUI.aspx?menuIndex=3&amp;refID=7057799&amp;Result=3","7057799")</f>
        <v>0</v>
      </c>
      <c r="B10721" t="s">
        <v>2375</v>
      </c>
      <c r="C10721" t="s">
        <v>13629</v>
      </c>
      <c r="D10721" t="s">
        <v>16680</v>
      </c>
      <c r="E10721" t="s">
        <v>25987</v>
      </c>
      <c r="F10721" t="s">
        <v>28669</v>
      </c>
      <c r="G10721" t="s">
        <v>28675</v>
      </c>
      <c r="H10721" t="s">
        <v>28686</v>
      </c>
      <c r="I10721" t="s">
        <v>28689</v>
      </c>
      <c r="J10721" t="s">
        <v>30755</v>
      </c>
      <c r="K10721" t="s">
        <v>37290</v>
      </c>
      <c r="M10721" t="s">
        <v>40045</v>
      </c>
      <c r="N10721" t="s">
        <v>41249</v>
      </c>
      <c r="O10721" t="s">
        <v>41250</v>
      </c>
      <c r="P10721">
        <v>0</v>
      </c>
      <c r="Q10721">
        <v>2</v>
      </c>
      <c r="R10721" t="s">
        <v>41263</v>
      </c>
      <c r="S10721" t="s">
        <v>41698</v>
      </c>
      <c r="T10721" t="s">
        <v>42881</v>
      </c>
      <c r="U10721" t="s">
        <v>51812</v>
      </c>
      <c r="W10721" t="s">
        <v>40045</v>
      </c>
      <c r="X10721" t="s">
        <v>41264</v>
      </c>
    </row>
    <row r="10722" spans="1:24">
      <c r="A10722">
        <f>HYPERLINK("https://www.philgeps.gov.ph/GEPSNONPILOT/Tender/SplashBidNoticeAbstractUI.aspx?menuIndex=3&amp;refID=7057719&amp;Result=3","7057719")</f>
        <v>0</v>
      </c>
      <c r="B10722" t="s">
        <v>2997</v>
      </c>
      <c r="C10722" t="s">
        <v>13630</v>
      </c>
      <c r="E10722" t="s">
        <v>25988</v>
      </c>
      <c r="F10722" t="s">
        <v>28669</v>
      </c>
      <c r="G10722" t="s">
        <v>28675</v>
      </c>
      <c r="H10722" t="s">
        <v>9998</v>
      </c>
      <c r="I10722" t="s">
        <v>28801</v>
      </c>
      <c r="J10722" t="s">
        <v>35447</v>
      </c>
      <c r="K10722" t="s">
        <v>37209</v>
      </c>
      <c r="M10722" t="s">
        <v>40762</v>
      </c>
      <c r="N10722" t="s">
        <v>41249</v>
      </c>
      <c r="O10722" t="s">
        <v>41250</v>
      </c>
      <c r="P10722">
        <v>0</v>
      </c>
      <c r="Q10722">
        <v>11</v>
      </c>
      <c r="R10722" t="s">
        <v>41263</v>
      </c>
      <c r="S10722" t="s">
        <v>41698</v>
      </c>
      <c r="T10722" t="s">
        <v>43119</v>
      </c>
      <c r="U10722" t="s">
        <v>51813</v>
      </c>
      <c r="W10722" t="s">
        <v>40762</v>
      </c>
      <c r="X10722" t="s">
        <v>41264</v>
      </c>
    </row>
    <row r="10723" spans="1:24">
      <c r="A10723">
        <f>HYPERLINK("https://www.philgeps.gov.ph/GEPSNONPILOT/Tender/SplashBidNoticeAbstractUI.aspx?menuIndex=3&amp;refID=7057502&amp;Result=3","7057502")</f>
        <v>0</v>
      </c>
      <c r="B10723" t="s">
        <v>2490</v>
      </c>
      <c r="C10723" t="s">
        <v>13631</v>
      </c>
      <c r="D10723" t="s">
        <v>16624</v>
      </c>
      <c r="E10723" t="s">
        <v>13631</v>
      </c>
      <c r="F10723" t="s">
        <v>28669</v>
      </c>
      <c r="G10723" t="s">
        <v>28675</v>
      </c>
      <c r="H10723" t="s">
        <v>28686</v>
      </c>
      <c r="I10723" t="s">
        <v>28689</v>
      </c>
      <c r="J10723" t="s">
        <v>29724</v>
      </c>
      <c r="K10723" t="s">
        <v>37215</v>
      </c>
      <c r="M10723" t="s">
        <v>40174</v>
      </c>
      <c r="N10723" t="s">
        <v>41249</v>
      </c>
      <c r="O10723" t="s">
        <v>41250</v>
      </c>
      <c r="P10723">
        <v>0</v>
      </c>
      <c r="Q10723">
        <v>1</v>
      </c>
      <c r="R10723" t="s">
        <v>41263</v>
      </c>
      <c r="S10723" t="s">
        <v>41698</v>
      </c>
      <c r="T10723" t="s">
        <v>43120</v>
      </c>
      <c r="U10723" t="s">
        <v>51814</v>
      </c>
      <c r="W10723" t="s">
        <v>40174</v>
      </c>
      <c r="X10723" t="s">
        <v>41264</v>
      </c>
    </row>
    <row r="10724" spans="1:24">
      <c r="A10724">
        <f>HYPERLINK("https://www.philgeps.gov.ph/GEPSNONPILOT/Tender/SplashBidNoticeAbstractUI.aspx?menuIndex=3&amp;refID=7057707&amp;Result=3","7057707")</f>
        <v>0</v>
      </c>
      <c r="B10724" t="s">
        <v>1633</v>
      </c>
      <c r="C10724" t="s">
        <v>13632</v>
      </c>
      <c r="D10724" t="s">
        <v>16693</v>
      </c>
      <c r="E10724" t="s">
        <v>25989</v>
      </c>
      <c r="F10724" t="s">
        <v>28669</v>
      </c>
      <c r="G10724" t="s">
        <v>28675</v>
      </c>
      <c r="H10724" t="s">
        <v>9998</v>
      </c>
      <c r="I10724" t="s">
        <v>28707</v>
      </c>
      <c r="J10724" t="s">
        <v>35448</v>
      </c>
      <c r="K10724" t="s">
        <v>37220</v>
      </c>
      <c r="M10724" t="s">
        <v>39222</v>
      </c>
      <c r="N10724" t="s">
        <v>41249</v>
      </c>
      <c r="O10724" t="s">
        <v>41250</v>
      </c>
      <c r="Q10724">
        <v>14</v>
      </c>
      <c r="R10724" t="s">
        <v>41263</v>
      </c>
      <c r="S10724" t="s">
        <v>41764</v>
      </c>
      <c r="T10724" t="s">
        <v>43041</v>
      </c>
      <c r="U10724" t="s">
        <v>51815</v>
      </c>
      <c r="V10724" t="s">
        <v>54749</v>
      </c>
      <c r="W10724" t="s">
        <v>39222</v>
      </c>
      <c r="X10724" t="s">
        <v>41264</v>
      </c>
    </row>
    <row r="10725" spans="1:24">
      <c r="A10725">
        <f>HYPERLINK("https://www.philgeps.gov.ph/GEPSNONPILOT/Tender/SplashBidNoticeAbstractUI.aspx?menuIndex=3&amp;refID=7057706&amp;Result=3","7057706")</f>
        <v>0</v>
      </c>
      <c r="B10725" t="s">
        <v>2997</v>
      </c>
      <c r="C10725" t="s">
        <v>13633</v>
      </c>
      <c r="E10725" t="s">
        <v>25990</v>
      </c>
      <c r="F10725" t="s">
        <v>28669</v>
      </c>
      <c r="G10725" t="s">
        <v>28675</v>
      </c>
      <c r="H10725" t="s">
        <v>9998</v>
      </c>
      <c r="I10725" t="s">
        <v>28801</v>
      </c>
      <c r="J10725" t="s">
        <v>35449</v>
      </c>
      <c r="K10725" t="s">
        <v>37209</v>
      </c>
      <c r="M10725" t="s">
        <v>40762</v>
      </c>
      <c r="N10725" t="s">
        <v>41249</v>
      </c>
      <c r="O10725" t="s">
        <v>41250</v>
      </c>
      <c r="P10725">
        <v>0</v>
      </c>
      <c r="Q10725">
        <v>13</v>
      </c>
      <c r="R10725" t="s">
        <v>41263</v>
      </c>
      <c r="S10725" t="s">
        <v>41698</v>
      </c>
      <c r="T10725" t="s">
        <v>43119</v>
      </c>
      <c r="U10725" t="s">
        <v>51813</v>
      </c>
      <c r="W10725" t="s">
        <v>40762</v>
      </c>
      <c r="X10725" t="s">
        <v>41264</v>
      </c>
    </row>
    <row r="10726" spans="1:24">
      <c r="A10726">
        <f>HYPERLINK("https://www.philgeps.gov.ph/GEPSNONPILOT/Tender/SplashBidNoticeAbstractUI.aspx?menuIndex=3&amp;refID=7057783&amp;Result=3","7057783")</f>
        <v>0</v>
      </c>
      <c r="B10726" t="s">
        <v>1551</v>
      </c>
      <c r="C10726" t="s">
        <v>13634</v>
      </c>
      <c r="D10726" t="s">
        <v>16636</v>
      </c>
      <c r="E10726" t="s">
        <v>25991</v>
      </c>
      <c r="F10726" t="s">
        <v>28669</v>
      </c>
      <c r="G10726" t="s">
        <v>28675</v>
      </c>
      <c r="H10726" t="s">
        <v>9998</v>
      </c>
      <c r="I10726" t="s">
        <v>7352</v>
      </c>
      <c r="J10726" t="s">
        <v>35450</v>
      </c>
      <c r="K10726" t="s">
        <v>37210</v>
      </c>
      <c r="M10726" t="s">
        <v>39128</v>
      </c>
      <c r="N10726" t="s">
        <v>41249</v>
      </c>
      <c r="O10726" t="s">
        <v>41250</v>
      </c>
      <c r="P10726">
        <v>0</v>
      </c>
      <c r="Q10726">
        <v>0</v>
      </c>
      <c r="R10726" t="s">
        <v>41263</v>
      </c>
      <c r="S10726" t="s">
        <v>41698</v>
      </c>
      <c r="T10726" t="s">
        <v>42754</v>
      </c>
      <c r="U10726" t="s">
        <v>51816</v>
      </c>
      <c r="V10726" t="s">
        <v>54718</v>
      </c>
      <c r="W10726" t="s">
        <v>39128</v>
      </c>
      <c r="X10726" t="s">
        <v>41264</v>
      </c>
    </row>
    <row r="10727" spans="1:24">
      <c r="A10727">
        <f>HYPERLINK("https://www.philgeps.gov.ph/GEPSNONPILOT/Tender/SplashBidNoticeAbstractUI.aspx?menuIndex=3&amp;refID=7057701&amp;Result=3","7057701")</f>
        <v>0</v>
      </c>
      <c r="B10727" t="s">
        <v>2619</v>
      </c>
      <c r="C10727" t="s">
        <v>13635</v>
      </c>
      <c r="D10727" t="s">
        <v>16641</v>
      </c>
      <c r="E10727" t="s">
        <v>16869</v>
      </c>
      <c r="F10727" t="s">
        <v>28669</v>
      </c>
      <c r="G10727" t="s">
        <v>28675</v>
      </c>
      <c r="H10727" t="s">
        <v>28686</v>
      </c>
      <c r="I10727" t="s">
        <v>28697</v>
      </c>
      <c r="J10727" t="s">
        <v>35451</v>
      </c>
      <c r="K10727" t="s">
        <v>37401</v>
      </c>
      <c r="M10727" t="s">
        <v>40317</v>
      </c>
      <c r="N10727" t="s">
        <v>41249</v>
      </c>
      <c r="O10727" t="s">
        <v>41250</v>
      </c>
      <c r="Q10727">
        <v>4</v>
      </c>
      <c r="R10727" t="s">
        <v>41263</v>
      </c>
      <c r="S10727" t="s">
        <v>41697</v>
      </c>
      <c r="T10727" t="s">
        <v>42678</v>
      </c>
      <c r="U10727" t="s">
        <v>51817</v>
      </c>
      <c r="W10727" t="s">
        <v>40317</v>
      </c>
      <c r="X10727" t="s">
        <v>41264</v>
      </c>
    </row>
    <row r="10728" spans="1:24">
      <c r="A10728">
        <f>HYPERLINK("https://www.philgeps.gov.ph/GEPSNONPILOT/Tender/SplashBidNoticeAbstractUI.aspx?menuIndex=3&amp;refID=7057767&amp;Result=3","7057767")</f>
        <v>0</v>
      </c>
      <c r="B10728" t="s">
        <v>2998</v>
      </c>
      <c r="C10728" t="s">
        <v>13636</v>
      </c>
      <c r="D10728" t="s">
        <v>16703</v>
      </c>
      <c r="E10728" t="s">
        <v>18877</v>
      </c>
      <c r="F10728" t="s">
        <v>28669</v>
      </c>
      <c r="G10728" t="s">
        <v>28675</v>
      </c>
      <c r="H10728" t="s">
        <v>9998</v>
      </c>
      <c r="I10728" t="s">
        <v>6606</v>
      </c>
      <c r="J10728" t="s">
        <v>35452</v>
      </c>
      <c r="K10728" t="s">
        <v>37270</v>
      </c>
      <c r="M10728" t="s">
        <v>40763</v>
      </c>
      <c r="N10728" t="s">
        <v>41249</v>
      </c>
      <c r="O10728" t="s">
        <v>41250</v>
      </c>
      <c r="P10728">
        <v>0</v>
      </c>
      <c r="Q10728">
        <v>7</v>
      </c>
      <c r="R10728" t="s">
        <v>41263</v>
      </c>
      <c r="S10728" t="s">
        <v>41698</v>
      </c>
      <c r="T10728" t="s">
        <v>42659</v>
      </c>
      <c r="U10728" t="s">
        <v>43651</v>
      </c>
      <c r="W10728" t="s">
        <v>40763</v>
      </c>
      <c r="X10728" t="s">
        <v>41264</v>
      </c>
    </row>
    <row r="10729" spans="1:24">
      <c r="A10729">
        <f>HYPERLINK("https://www.philgeps.gov.ph/GEPSNONPILOT/Tender/SplashBidNoticeAbstractUI.aspx?menuIndex=3&amp;refID=7057676&amp;Result=3","7057676")</f>
        <v>0</v>
      </c>
      <c r="B10729" t="s">
        <v>2033</v>
      </c>
      <c r="C10729" t="s">
        <v>13637</v>
      </c>
      <c r="D10729" t="s">
        <v>16625</v>
      </c>
      <c r="E10729" t="s">
        <v>25992</v>
      </c>
      <c r="F10729" t="s">
        <v>28669</v>
      </c>
      <c r="G10729" t="s">
        <v>28675</v>
      </c>
      <c r="H10729" t="s">
        <v>28686</v>
      </c>
      <c r="I10729" t="s">
        <v>28689</v>
      </c>
      <c r="J10729" t="s">
        <v>35281</v>
      </c>
      <c r="K10729" t="s">
        <v>37365</v>
      </c>
      <c r="L10729" t="s">
        <v>2033</v>
      </c>
      <c r="M10729" t="s">
        <v>40764</v>
      </c>
      <c r="N10729" t="s">
        <v>41249</v>
      </c>
      <c r="O10729" t="s">
        <v>41250</v>
      </c>
      <c r="P10729">
        <v>0</v>
      </c>
      <c r="Q10729">
        <v>1</v>
      </c>
      <c r="R10729" t="s">
        <v>41263</v>
      </c>
      <c r="S10729" t="s">
        <v>41698</v>
      </c>
      <c r="T10729" t="s">
        <v>42698</v>
      </c>
      <c r="U10729" t="s">
        <v>51818</v>
      </c>
      <c r="W10729" t="s">
        <v>40764</v>
      </c>
      <c r="X10729" t="s">
        <v>41264</v>
      </c>
    </row>
    <row r="10730" spans="1:24">
      <c r="A10730">
        <f>HYPERLINK("https://www.philgeps.gov.ph/GEPSNONPILOT/Tender/SplashBidNoticeAbstractUI.aspx?menuIndex=3&amp;refID=7057672&amp;Result=3","7057672")</f>
        <v>0</v>
      </c>
      <c r="B10730" t="s">
        <v>1468</v>
      </c>
      <c r="C10730" t="s">
        <v>13638</v>
      </c>
      <c r="D10730" t="s">
        <v>16611</v>
      </c>
      <c r="E10730" t="s">
        <v>25993</v>
      </c>
      <c r="F10730" t="s">
        <v>28669</v>
      </c>
      <c r="G10730" t="s">
        <v>28675</v>
      </c>
      <c r="H10730" t="s">
        <v>28686</v>
      </c>
      <c r="I10730" t="s">
        <v>28689</v>
      </c>
      <c r="J10730" t="s">
        <v>35453</v>
      </c>
      <c r="K10730" t="s">
        <v>37220</v>
      </c>
      <c r="M10730" t="s">
        <v>39036</v>
      </c>
      <c r="N10730" t="s">
        <v>41249</v>
      </c>
      <c r="O10730" t="s">
        <v>41250</v>
      </c>
      <c r="P10730">
        <v>0</v>
      </c>
      <c r="Q10730">
        <v>0</v>
      </c>
      <c r="R10730" t="s">
        <v>41263</v>
      </c>
      <c r="S10730" t="s">
        <v>41698</v>
      </c>
      <c r="T10730" t="s">
        <v>42767</v>
      </c>
      <c r="U10730" t="s">
        <v>51819</v>
      </c>
      <c r="W10730" t="s">
        <v>39036</v>
      </c>
      <c r="X10730" t="s">
        <v>41264</v>
      </c>
    </row>
    <row r="10731" spans="1:24">
      <c r="A10731">
        <f>HYPERLINK("https://www.philgeps.gov.ph/GEPSNONPILOT/Tender/SplashBidNoticeAbstractUI.aspx?menuIndex=3&amp;refID=7057654&amp;Result=3","7057654")</f>
        <v>0</v>
      </c>
      <c r="B10731" t="s">
        <v>941</v>
      </c>
      <c r="C10731" t="s">
        <v>13639</v>
      </c>
      <c r="D10731" t="s">
        <v>16608</v>
      </c>
      <c r="E10731" t="s">
        <v>25994</v>
      </c>
      <c r="F10731" t="s">
        <v>28669</v>
      </c>
      <c r="G10731" t="s">
        <v>28675</v>
      </c>
      <c r="H10731" t="s">
        <v>9998</v>
      </c>
      <c r="I10731" t="s">
        <v>28787</v>
      </c>
      <c r="J10731" t="s">
        <v>35454</v>
      </c>
      <c r="K10731" t="s">
        <v>37206</v>
      </c>
      <c r="M10731" t="s">
        <v>38464</v>
      </c>
      <c r="N10731" t="s">
        <v>41249</v>
      </c>
      <c r="O10731" t="s">
        <v>41250</v>
      </c>
      <c r="P10731">
        <v>0</v>
      </c>
      <c r="Q10731">
        <v>9</v>
      </c>
      <c r="R10731" t="s">
        <v>41263</v>
      </c>
      <c r="S10731" t="s">
        <v>41698</v>
      </c>
      <c r="T10731" t="s">
        <v>42966</v>
      </c>
      <c r="U10731" t="s">
        <v>51820</v>
      </c>
      <c r="W10731" t="s">
        <v>38464</v>
      </c>
      <c r="X10731" t="s">
        <v>41264</v>
      </c>
    </row>
    <row r="10732" spans="1:24">
      <c r="A10732">
        <f>HYPERLINK("https://www.philgeps.gov.ph/GEPSNONPILOT/Tender/SplashBidNoticeAbstractUI.aspx?menuIndex=3&amp;refID=7057626&amp;Result=3","7057626")</f>
        <v>0</v>
      </c>
      <c r="B10732" t="s">
        <v>2994</v>
      </c>
      <c r="C10732" t="s">
        <v>13640</v>
      </c>
      <c r="D10732" t="s">
        <v>16673</v>
      </c>
      <c r="E10732" t="s">
        <v>25995</v>
      </c>
      <c r="F10732" t="s">
        <v>28669</v>
      </c>
      <c r="G10732" t="s">
        <v>28675</v>
      </c>
      <c r="H10732" t="s">
        <v>9998</v>
      </c>
      <c r="I10732" t="s">
        <v>28690</v>
      </c>
      <c r="J10732" t="s">
        <v>28826</v>
      </c>
      <c r="K10732" t="s">
        <v>37209</v>
      </c>
      <c r="M10732" t="s">
        <v>40759</v>
      </c>
      <c r="N10732" t="s">
        <v>41249</v>
      </c>
      <c r="O10732" t="s">
        <v>41250</v>
      </c>
      <c r="P10732">
        <v>0</v>
      </c>
      <c r="Q10732">
        <v>1</v>
      </c>
      <c r="R10732" t="s">
        <v>41263</v>
      </c>
      <c r="S10732" t="s">
        <v>41698</v>
      </c>
      <c r="T10732" t="s">
        <v>42673</v>
      </c>
      <c r="U10732" t="s">
        <v>51821</v>
      </c>
      <c r="W10732" t="s">
        <v>40759</v>
      </c>
      <c r="X10732" t="s">
        <v>41264</v>
      </c>
    </row>
    <row r="10733" spans="1:24">
      <c r="A10733">
        <f>HYPERLINK("https://www.philgeps.gov.ph/GEPSNONPILOT/Tender/SplashBidNoticeAbstractUI.aspx?menuIndex=3&amp;refID=7057714&amp;Result=3","7057714")</f>
        <v>0</v>
      </c>
      <c r="B10733" t="s">
        <v>2997</v>
      </c>
      <c r="C10733" t="s">
        <v>13641</v>
      </c>
      <c r="E10733" t="s">
        <v>25996</v>
      </c>
      <c r="F10733" t="s">
        <v>28669</v>
      </c>
      <c r="G10733" t="s">
        <v>28675</v>
      </c>
      <c r="H10733" t="s">
        <v>9998</v>
      </c>
      <c r="I10733" t="s">
        <v>28801</v>
      </c>
      <c r="J10733" t="s">
        <v>29069</v>
      </c>
      <c r="K10733" t="s">
        <v>37209</v>
      </c>
      <c r="M10733" t="s">
        <v>40762</v>
      </c>
      <c r="N10733" t="s">
        <v>41249</v>
      </c>
      <c r="O10733" t="s">
        <v>41250</v>
      </c>
      <c r="Q10733">
        <v>13</v>
      </c>
      <c r="R10733" t="s">
        <v>41263</v>
      </c>
      <c r="S10733" t="s">
        <v>41583</v>
      </c>
      <c r="T10733" t="s">
        <v>43119</v>
      </c>
      <c r="U10733" t="s">
        <v>51813</v>
      </c>
      <c r="W10733" t="s">
        <v>40762</v>
      </c>
      <c r="X10733" t="s">
        <v>41264</v>
      </c>
    </row>
    <row r="10734" spans="1:24">
      <c r="A10734">
        <f>HYPERLINK("https://www.philgeps.gov.ph/GEPSNONPILOT/Tender/SplashBidNoticeAbstractUI.aspx?menuIndex=3&amp;refID=7057622&amp;Result=3","7057622")</f>
        <v>0</v>
      </c>
      <c r="B10734" t="s">
        <v>1472</v>
      </c>
      <c r="C10734" t="s">
        <v>13642</v>
      </c>
      <c r="D10734" t="s">
        <v>16630</v>
      </c>
      <c r="E10734" t="s">
        <v>25997</v>
      </c>
      <c r="F10734" t="s">
        <v>28669</v>
      </c>
      <c r="G10734" t="s">
        <v>28675</v>
      </c>
      <c r="H10734" t="s">
        <v>28686</v>
      </c>
      <c r="I10734" t="s">
        <v>28689</v>
      </c>
      <c r="J10734" t="s">
        <v>35455</v>
      </c>
      <c r="K10734" t="s">
        <v>37212</v>
      </c>
      <c r="M10734" t="s">
        <v>39040</v>
      </c>
      <c r="N10734" t="s">
        <v>41249</v>
      </c>
      <c r="O10734" t="s">
        <v>41250</v>
      </c>
      <c r="P10734">
        <v>0</v>
      </c>
      <c r="Q10734">
        <v>1</v>
      </c>
      <c r="R10734" t="s">
        <v>41263</v>
      </c>
      <c r="S10734" t="s">
        <v>41698</v>
      </c>
      <c r="T10734" t="s">
        <v>43027</v>
      </c>
      <c r="U10734" t="s">
        <v>51822</v>
      </c>
      <c r="W10734" t="s">
        <v>39040</v>
      </c>
      <c r="X10734" t="s">
        <v>41264</v>
      </c>
    </row>
    <row r="10735" spans="1:24">
      <c r="A10735">
        <f>HYPERLINK("https://www.philgeps.gov.ph/GEPSNONPILOT/Tender/SplashBidNoticeAbstractUI.aspx?menuIndex=3&amp;refID=7057368&amp;Result=3","7057368")</f>
        <v>0</v>
      </c>
      <c r="B10735" t="s">
        <v>2357</v>
      </c>
      <c r="C10735" t="s">
        <v>13643</v>
      </c>
      <c r="D10735" t="s">
        <v>16666</v>
      </c>
      <c r="E10735" t="s">
        <v>25998</v>
      </c>
      <c r="F10735" t="s">
        <v>28669</v>
      </c>
      <c r="G10735" t="s">
        <v>28675</v>
      </c>
      <c r="H10735" t="s">
        <v>28686</v>
      </c>
      <c r="I10735" t="s">
        <v>28689</v>
      </c>
      <c r="J10735" t="s">
        <v>35456</v>
      </c>
      <c r="K10735" t="s">
        <v>37211</v>
      </c>
      <c r="M10735" t="s">
        <v>40025</v>
      </c>
      <c r="N10735" t="s">
        <v>41249</v>
      </c>
      <c r="O10735" t="s">
        <v>41250</v>
      </c>
      <c r="P10735">
        <v>0</v>
      </c>
      <c r="Q10735">
        <v>1</v>
      </c>
      <c r="R10735" t="s">
        <v>41263</v>
      </c>
      <c r="S10735" t="s">
        <v>41698</v>
      </c>
      <c r="T10735" t="s">
        <v>42698</v>
      </c>
      <c r="U10735" t="s">
        <v>49315</v>
      </c>
      <c r="W10735" t="s">
        <v>40025</v>
      </c>
      <c r="X10735" t="s">
        <v>41264</v>
      </c>
    </row>
    <row r="10736" spans="1:24">
      <c r="A10736">
        <f>HYPERLINK("https://www.philgeps.gov.ph/GEPSNONPILOT/Tender/SplashBidNoticeAbstractUI.aspx?menuIndex=3&amp;refID=7057361&amp;Result=3","7057361")</f>
        <v>0</v>
      </c>
      <c r="B10736" t="s">
        <v>2989</v>
      </c>
      <c r="C10736" t="s">
        <v>13644</v>
      </c>
      <c r="D10736" t="s">
        <v>16631</v>
      </c>
      <c r="E10736" t="s">
        <v>25999</v>
      </c>
      <c r="F10736" t="s">
        <v>28669</v>
      </c>
      <c r="G10736" t="s">
        <v>28675</v>
      </c>
      <c r="H10736" t="s">
        <v>28686</v>
      </c>
      <c r="I10736" t="s">
        <v>28689</v>
      </c>
      <c r="J10736" t="s">
        <v>35457</v>
      </c>
      <c r="K10736" t="s">
        <v>37215</v>
      </c>
      <c r="M10736" t="s">
        <v>40755</v>
      </c>
      <c r="N10736" t="s">
        <v>41249</v>
      </c>
      <c r="O10736" t="s">
        <v>41250</v>
      </c>
      <c r="P10736">
        <v>0</v>
      </c>
      <c r="Q10736">
        <v>1</v>
      </c>
      <c r="R10736" t="s">
        <v>41263</v>
      </c>
      <c r="S10736" t="s">
        <v>41698</v>
      </c>
      <c r="T10736" t="s">
        <v>42759</v>
      </c>
      <c r="U10736" t="s">
        <v>51783</v>
      </c>
      <c r="W10736" t="s">
        <v>40755</v>
      </c>
      <c r="X10736" t="s">
        <v>41264</v>
      </c>
    </row>
    <row r="10737" spans="1:24">
      <c r="A10737">
        <f>HYPERLINK("https://www.philgeps.gov.ph/GEPSNONPILOT/Tender/SplashBidNoticeAbstractUI.aspx?menuIndex=3&amp;refID=7057072&amp;Result=3","7057072")</f>
        <v>0</v>
      </c>
      <c r="B10737" t="s">
        <v>427</v>
      </c>
      <c r="C10737" t="s">
        <v>13645</v>
      </c>
      <c r="D10737" t="s">
        <v>16608</v>
      </c>
      <c r="E10737" t="s">
        <v>26000</v>
      </c>
      <c r="F10737" t="s">
        <v>28669</v>
      </c>
      <c r="G10737" t="s">
        <v>28678</v>
      </c>
      <c r="H10737" t="s">
        <v>9998</v>
      </c>
      <c r="I10737" t="s">
        <v>28749</v>
      </c>
      <c r="J10737" t="s">
        <v>29281</v>
      </c>
      <c r="K10737" t="s">
        <v>37204</v>
      </c>
      <c r="M10737" t="s">
        <v>40363</v>
      </c>
      <c r="N10737" t="s">
        <v>41249</v>
      </c>
      <c r="O10737" t="s">
        <v>41250</v>
      </c>
      <c r="Q10737">
        <v>10</v>
      </c>
      <c r="R10737" t="s">
        <v>41263</v>
      </c>
      <c r="S10737" t="s">
        <v>41765</v>
      </c>
      <c r="T10737" t="s">
        <v>42736</v>
      </c>
      <c r="U10737" t="s">
        <v>51823</v>
      </c>
      <c r="W10737" t="s">
        <v>40363</v>
      </c>
      <c r="X10737" t="s">
        <v>41264</v>
      </c>
    </row>
    <row r="10738" spans="1:24">
      <c r="A10738">
        <f>HYPERLINK("https://www.philgeps.gov.ph/GEPSNONPILOT/Tender/SplashBidNoticeAbstractUI.aspx?menuIndex=3&amp;refID=7057692&amp;Result=3","7057692")</f>
        <v>0</v>
      </c>
      <c r="B10738" t="s">
        <v>2999</v>
      </c>
      <c r="C10738" t="s">
        <v>13646</v>
      </c>
      <c r="D10738" t="s">
        <v>16608</v>
      </c>
      <c r="E10738" t="s">
        <v>26001</v>
      </c>
      <c r="F10738" t="s">
        <v>28672</v>
      </c>
      <c r="G10738" t="s">
        <v>28675</v>
      </c>
      <c r="H10738" t="s">
        <v>9998</v>
      </c>
      <c r="I10738" t="s">
        <v>5213</v>
      </c>
      <c r="J10738" t="s">
        <v>29576</v>
      </c>
      <c r="K10738" t="s">
        <v>37204</v>
      </c>
      <c r="M10738" t="s">
        <v>40765</v>
      </c>
      <c r="N10738" t="s">
        <v>41249</v>
      </c>
      <c r="O10738" t="s">
        <v>41250</v>
      </c>
      <c r="P10738">
        <v>0</v>
      </c>
      <c r="Q10738">
        <v>5</v>
      </c>
      <c r="R10738" t="s">
        <v>41263</v>
      </c>
      <c r="S10738" t="s">
        <v>41698</v>
      </c>
      <c r="T10738" t="s">
        <v>42711</v>
      </c>
      <c r="U10738" t="s">
        <v>51824</v>
      </c>
      <c r="W10738" t="s">
        <v>40765</v>
      </c>
      <c r="X10738" t="s">
        <v>41264</v>
      </c>
    </row>
    <row r="10739" spans="1:24">
      <c r="A10739">
        <f>HYPERLINK("https://www.philgeps.gov.ph/GEPSNONPILOT/Tender/SplashBidNoticeAbstractUI.aspx?menuIndex=3&amp;refID=7057055&amp;Result=3","7057055")</f>
        <v>0</v>
      </c>
      <c r="B10739" t="s">
        <v>988</v>
      </c>
      <c r="C10739" t="s">
        <v>13647</v>
      </c>
      <c r="D10739" t="s">
        <v>16635</v>
      </c>
      <c r="E10739" t="s">
        <v>26002</v>
      </c>
      <c r="F10739" t="s">
        <v>28669</v>
      </c>
      <c r="G10739" t="s">
        <v>28676</v>
      </c>
      <c r="H10739" t="s">
        <v>9998</v>
      </c>
      <c r="I10739" t="s">
        <v>28728</v>
      </c>
      <c r="J10739" t="s">
        <v>28905</v>
      </c>
      <c r="K10739" t="s">
        <v>37206</v>
      </c>
      <c r="M10739" t="s">
        <v>39801</v>
      </c>
      <c r="N10739" t="s">
        <v>41249</v>
      </c>
      <c r="O10739" t="s">
        <v>41250</v>
      </c>
      <c r="Q10739">
        <v>1</v>
      </c>
      <c r="R10739" t="s">
        <v>41263</v>
      </c>
      <c r="S10739" t="s">
        <v>41766</v>
      </c>
      <c r="T10739" t="s">
        <v>42690</v>
      </c>
      <c r="U10739" t="s">
        <v>51825</v>
      </c>
      <c r="W10739" t="s">
        <v>39801</v>
      </c>
      <c r="X10739" t="s">
        <v>41264</v>
      </c>
    </row>
    <row r="10740" spans="1:24">
      <c r="A10740">
        <f>HYPERLINK("https://www.philgeps.gov.ph/GEPSNONPILOT/Tender/SplashBidNoticeAbstractUI.aspx?menuIndex=3&amp;refID=7057045&amp;Result=3","7057045")</f>
        <v>0</v>
      </c>
      <c r="B10740" t="s">
        <v>3000</v>
      </c>
      <c r="C10740" t="s">
        <v>13648</v>
      </c>
      <c r="D10740" t="s">
        <v>16691</v>
      </c>
      <c r="E10740" t="s">
        <v>26003</v>
      </c>
      <c r="F10740" t="s">
        <v>28669</v>
      </c>
      <c r="G10740" t="s">
        <v>28675</v>
      </c>
      <c r="H10740" t="s">
        <v>28686</v>
      </c>
      <c r="I10740" t="s">
        <v>28689</v>
      </c>
      <c r="J10740" t="s">
        <v>35458</v>
      </c>
      <c r="K10740" t="s">
        <v>37221</v>
      </c>
      <c r="M10740" t="s">
        <v>40766</v>
      </c>
      <c r="N10740" t="s">
        <v>41249</v>
      </c>
      <c r="O10740" t="s">
        <v>41250</v>
      </c>
      <c r="P10740">
        <v>0</v>
      </c>
      <c r="Q10740">
        <v>1</v>
      </c>
      <c r="R10740" t="s">
        <v>41263</v>
      </c>
      <c r="S10740" t="s">
        <v>41698</v>
      </c>
      <c r="T10740" t="s">
        <v>42659</v>
      </c>
      <c r="U10740" t="s">
        <v>51826</v>
      </c>
      <c r="W10740" t="s">
        <v>40766</v>
      </c>
      <c r="X10740" t="s">
        <v>41264</v>
      </c>
    </row>
    <row r="10741" spans="1:24">
      <c r="A10741">
        <f>HYPERLINK("https://www.philgeps.gov.ph/GEPSNONPILOT/Tender/SplashBidNoticeAbstractUI.aspx?menuIndex=3&amp;refID=7056913&amp;Result=3","7056913")</f>
        <v>0</v>
      </c>
      <c r="B10741" t="s">
        <v>2978</v>
      </c>
      <c r="C10741" t="s">
        <v>13649</v>
      </c>
      <c r="D10741" t="s">
        <v>16618</v>
      </c>
      <c r="E10741" t="s">
        <v>25886</v>
      </c>
      <c r="F10741" t="s">
        <v>28669</v>
      </c>
      <c r="G10741" t="s">
        <v>28675</v>
      </c>
      <c r="H10741" t="s">
        <v>28686</v>
      </c>
      <c r="I10741" t="s">
        <v>28689</v>
      </c>
      <c r="J10741" t="s">
        <v>28847</v>
      </c>
      <c r="K10741" t="s">
        <v>37220</v>
      </c>
      <c r="M10741" t="s">
        <v>40743</v>
      </c>
      <c r="N10741" t="s">
        <v>41249</v>
      </c>
      <c r="O10741" t="s">
        <v>41250</v>
      </c>
      <c r="Q10741">
        <v>0</v>
      </c>
      <c r="R10741" t="s">
        <v>41263</v>
      </c>
      <c r="S10741" t="s">
        <v>41767</v>
      </c>
      <c r="T10741" t="s">
        <v>43036</v>
      </c>
      <c r="U10741" t="s">
        <v>51717</v>
      </c>
      <c r="V10741" t="s">
        <v>55486</v>
      </c>
      <c r="W10741" t="s">
        <v>40743</v>
      </c>
      <c r="X10741" t="s">
        <v>41264</v>
      </c>
    </row>
    <row r="10742" spans="1:24">
      <c r="A10742">
        <f>HYPERLINK("https://www.philgeps.gov.ph/GEPSNONPILOT/Tender/SplashBidNoticeAbstractUI.aspx?menuIndex=3&amp;refID=7056838&amp;Result=3","7056838")</f>
        <v>0</v>
      </c>
      <c r="B10742" t="s">
        <v>2978</v>
      </c>
      <c r="C10742" t="s">
        <v>13650</v>
      </c>
      <c r="D10742" t="s">
        <v>16618</v>
      </c>
      <c r="E10742" t="s">
        <v>25886</v>
      </c>
      <c r="F10742" t="s">
        <v>28669</v>
      </c>
      <c r="G10742" t="s">
        <v>28675</v>
      </c>
      <c r="H10742" t="s">
        <v>28686</v>
      </c>
      <c r="I10742" t="s">
        <v>28689</v>
      </c>
      <c r="J10742" t="s">
        <v>32181</v>
      </c>
      <c r="K10742" t="s">
        <v>37211</v>
      </c>
      <c r="M10742" t="s">
        <v>40743</v>
      </c>
      <c r="N10742" t="s">
        <v>41249</v>
      </c>
      <c r="O10742" t="s">
        <v>41250</v>
      </c>
      <c r="Q10742">
        <v>0</v>
      </c>
      <c r="R10742" t="s">
        <v>41263</v>
      </c>
      <c r="S10742" t="s">
        <v>41768</v>
      </c>
      <c r="T10742" t="s">
        <v>43036</v>
      </c>
      <c r="U10742" t="s">
        <v>51717</v>
      </c>
      <c r="V10742" t="s">
        <v>55487</v>
      </c>
      <c r="W10742" t="s">
        <v>40743</v>
      </c>
      <c r="X10742" t="s">
        <v>41264</v>
      </c>
    </row>
    <row r="10743" spans="1:24">
      <c r="A10743">
        <f>HYPERLINK("https://www.philgeps.gov.ph/GEPSNONPILOT/Tender/SplashBidNoticeAbstractUI.aspx?menuIndex=3&amp;refID=7057802&amp;Result=3","7057802")</f>
        <v>0</v>
      </c>
      <c r="B10743" t="s">
        <v>1024</v>
      </c>
      <c r="C10743" t="s">
        <v>13651</v>
      </c>
      <c r="D10743" t="s">
        <v>16608</v>
      </c>
      <c r="E10743" t="s">
        <v>26004</v>
      </c>
      <c r="F10743" t="s">
        <v>28669</v>
      </c>
      <c r="G10743" t="s">
        <v>28675</v>
      </c>
      <c r="H10743" t="s">
        <v>28686</v>
      </c>
      <c r="I10743" t="s">
        <v>28689</v>
      </c>
      <c r="J10743" t="s">
        <v>35459</v>
      </c>
      <c r="K10743" t="s">
        <v>37285</v>
      </c>
      <c r="M10743" t="s">
        <v>39657</v>
      </c>
      <c r="N10743" t="s">
        <v>41249</v>
      </c>
      <c r="O10743" t="s">
        <v>41250</v>
      </c>
      <c r="P10743">
        <v>0</v>
      </c>
      <c r="Q10743">
        <v>49</v>
      </c>
      <c r="R10743" t="s">
        <v>41263</v>
      </c>
      <c r="S10743" t="s">
        <v>41698</v>
      </c>
      <c r="T10743" t="s">
        <v>42707</v>
      </c>
      <c r="U10743" t="s">
        <v>48161</v>
      </c>
      <c r="V10743" t="s">
        <v>55488</v>
      </c>
      <c r="W10743" t="s">
        <v>39657</v>
      </c>
      <c r="X10743" t="s">
        <v>41264</v>
      </c>
    </row>
    <row r="10744" spans="1:24">
      <c r="A10744">
        <f>HYPERLINK("https://www.philgeps.gov.ph/GEPSNONPILOT/Tender/SplashBidNoticeAbstractUI.aspx?menuIndex=3&amp;refID=7057351&amp;Result=3","7057351")</f>
        <v>0</v>
      </c>
      <c r="B10744" t="s">
        <v>596</v>
      </c>
      <c r="C10744" t="s">
        <v>13652</v>
      </c>
      <c r="E10744" t="s">
        <v>26005</v>
      </c>
      <c r="F10744" t="s">
        <v>28669</v>
      </c>
      <c r="G10744" t="s">
        <v>28675</v>
      </c>
      <c r="H10744" t="s">
        <v>28686</v>
      </c>
      <c r="I10744" t="s">
        <v>28689</v>
      </c>
      <c r="J10744" t="s">
        <v>35048</v>
      </c>
      <c r="K10744" t="s">
        <v>37450</v>
      </c>
      <c r="M10744" t="s">
        <v>39528</v>
      </c>
      <c r="N10744" t="s">
        <v>41249</v>
      </c>
      <c r="O10744" t="s">
        <v>41250</v>
      </c>
      <c r="Q10744">
        <v>5</v>
      </c>
      <c r="R10744" t="s">
        <v>41263</v>
      </c>
      <c r="S10744" t="s">
        <v>41769</v>
      </c>
      <c r="T10744" t="s">
        <v>42739</v>
      </c>
      <c r="U10744" t="s">
        <v>51827</v>
      </c>
      <c r="W10744" t="s">
        <v>39528</v>
      </c>
      <c r="X10744" t="s">
        <v>41264</v>
      </c>
    </row>
    <row r="10745" spans="1:24">
      <c r="A10745">
        <f>HYPERLINK("https://www.philgeps.gov.ph/GEPSNONPILOT/Tender/SplashBidNoticeAbstractUI.aspx?menuIndex=3&amp;refID=7057905&amp;Result=3","7057905")</f>
        <v>0</v>
      </c>
      <c r="B10745" t="s">
        <v>3001</v>
      </c>
      <c r="C10745" t="s">
        <v>13653</v>
      </c>
      <c r="D10745" t="s">
        <v>16644</v>
      </c>
      <c r="E10745" t="s">
        <v>26006</v>
      </c>
      <c r="F10745" t="s">
        <v>28669</v>
      </c>
      <c r="G10745" t="s">
        <v>28675</v>
      </c>
      <c r="H10745" t="s">
        <v>28686</v>
      </c>
      <c r="I10745" t="s">
        <v>28689</v>
      </c>
      <c r="J10745" t="s">
        <v>35460</v>
      </c>
      <c r="K10745" t="s">
        <v>37220</v>
      </c>
      <c r="M10745" t="s">
        <v>40767</v>
      </c>
      <c r="N10745" t="s">
        <v>41249</v>
      </c>
      <c r="O10745" t="s">
        <v>41250</v>
      </c>
      <c r="P10745">
        <v>0</v>
      </c>
      <c r="Q10745">
        <v>8</v>
      </c>
      <c r="R10745" t="s">
        <v>41263</v>
      </c>
      <c r="S10745" t="s">
        <v>41698</v>
      </c>
      <c r="T10745" t="s">
        <v>42758</v>
      </c>
      <c r="U10745" t="s">
        <v>51828</v>
      </c>
      <c r="W10745" t="s">
        <v>40767</v>
      </c>
      <c r="X10745" t="s">
        <v>41264</v>
      </c>
    </row>
    <row r="10746" spans="1:24">
      <c r="A10746">
        <f>HYPERLINK("https://www.philgeps.gov.ph/GEPSNONPILOT/Tender/SplashBidNoticeAbstractUI.aspx?menuIndex=3&amp;refID=7056874&amp;Result=3","7056874")</f>
        <v>0</v>
      </c>
      <c r="B10746" t="s">
        <v>2180</v>
      </c>
      <c r="C10746" t="s">
        <v>13654</v>
      </c>
      <c r="D10746" t="s">
        <v>16620</v>
      </c>
      <c r="E10746" t="s">
        <v>26007</v>
      </c>
      <c r="F10746" t="s">
        <v>28671</v>
      </c>
      <c r="G10746" t="s">
        <v>28676</v>
      </c>
      <c r="H10746" t="s">
        <v>9998</v>
      </c>
      <c r="I10746" t="s">
        <v>28697</v>
      </c>
      <c r="J10746" t="s">
        <v>30073</v>
      </c>
      <c r="K10746" t="s">
        <v>37206</v>
      </c>
      <c r="M10746" t="s">
        <v>39829</v>
      </c>
      <c r="N10746" t="s">
        <v>41249</v>
      </c>
      <c r="O10746" t="s">
        <v>41250</v>
      </c>
      <c r="P10746">
        <v>0</v>
      </c>
      <c r="Q10746">
        <v>10</v>
      </c>
      <c r="R10746" t="s">
        <v>41263</v>
      </c>
      <c r="S10746" t="s">
        <v>41698</v>
      </c>
      <c r="T10746" t="s">
        <v>42767</v>
      </c>
      <c r="U10746" t="s">
        <v>48714</v>
      </c>
      <c r="V10746" t="s">
        <v>55036</v>
      </c>
      <c r="W10746" t="s">
        <v>55981</v>
      </c>
      <c r="X10746" t="s">
        <v>41264</v>
      </c>
    </row>
    <row r="10747" spans="1:24">
      <c r="A10747">
        <f>HYPERLINK("https://www.philgeps.gov.ph/GEPSNONPILOT/Tender/SplashBidNoticeAbstractUI.aspx?menuIndex=3&amp;refID=7057903&amp;Result=3","7057903")</f>
        <v>0</v>
      </c>
      <c r="B10747" t="s">
        <v>1144</v>
      </c>
      <c r="C10747" t="s">
        <v>13655</v>
      </c>
      <c r="D10747" t="s">
        <v>16608</v>
      </c>
      <c r="E10747" t="s">
        <v>26008</v>
      </c>
      <c r="F10747" t="s">
        <v>28669</v>
      </c>
      <c r="G10747" t="s">
        <v>28675</v>
      </c>
      <c r="H10747" t="s">
        <v>28686</v>
      </c>
      <c r="I10747" t="s">
        <v>28689</v>
      </c>
      <c r="J10747" t="s">
        <v>35461</v>
      </c>
      <c r="K10747" t="s">
        <v>37276</v>
      </c>
      <c r="M10747" t="s">
        <v>38680</v>
      </c>
      <c r="N10747" t="s">
        <v>41249</v>
      </c>
      <c r="O10747" t="s">
        <v>41250</v>
      </c>
      <c r="Q10747">
        <v>25</v>
      </c>
      <c r="R10747" t="s">
        <v>41263</v>
      </c>
      <c r="S10747" t="s">
        <v>41770</v>
      </c>
      <c r="T10747" t="s">
        <v>42764</v>
      </c>
      <c r="U10747" t="s">
        <v>45543</v>
      </c>
      <c r="W10747" t="s">
        <v>38680</v>
      </c>
      <c r="X10747" t="s">
        <v>41264</v>
      </c>
    </row>
    <row r="10748" spans="1:24">
      <c r="A10748">
        <f>HYPERLINK("https://www.philgeps.gov.ph/GEPSNONPILOT/Tender/SplashBidNoticeAbstractUI.aspx?menuIndex=3&amp;refID=7057898&amp;Result=3","7057898")</f>
        <v>0</v>
      </c>
      <c r="B10748" t="s">
        <v>1144</v>
      </c>
      <c r="C10748" t="s">
        <v>13656</v>
      </c>
      <c r="D10748" t="s">
        <v>16608</v>
      </c>
      <c r="E10748" t="s">
        <v>26009</v>
      </c>
      <c r="F10748" t="s">
        <v>28669</v>
      </c>
      <c r="G10748" t="s">
        <v>28675</v>
      </c>
      <c r="H10748" t="s">
        <v>28686</v>
      </c>
      <c r="I10748" t="s">
        <v>28689</v>
      </c>
      <c r="J10748" t="s">
        <v>35462</v>
      </c>
      <c r="K10748" t="s">
        <v>37212</v>
      </c>
      <c r="M10748" t="s">
        <v>38680</v>
      </c>
      <c r="N10748" t="s">
        <v>41249</v>
      </c>
      <c r="O10748" t="s">
        <v>41250</v>
      </c>
      <c r="Q10748">
        <v>17</v>
      </c>
      <c r="R10748" t="s">
        <v>41263</v>
      </c>
      <c r="S10748" t="s">
        <v>41771</v>
      </c>
      <c r="T10748" t="s">
        <v>42764</v>
      </c>
      <c r="U10748" t="s">
        <v>45543</v>
      </c>
      <c r="W10748" t="s">
        <v>38680</v>
      </c>
      <c r="X10748" t="s">
        <v>41264</v>
      </c>
    </row>
    <row r="10749" spans="1:24">
      <c r="A10749">
        <f>HYPERLINK("https://www.philgeps.gov.ph/GEPSNONPILOT/Tender/SplashBidNoticeAbstractUI.aspx?menuIndex=3&amp;refID=7057861&amp;Result=3","7057861")</f>
        <v>0</v>
      </c>
      <c r="B10749" t="s">
        <v>1144</v>
      </c>
      <c r="C10749" t="s">
        <v>13657</v>
      </c>
      <c r="D10749" t="s">
        <v>16608</v>
      </c>
      <c r="E10749" t="s">
        <v>26010</v>
      </c>
      <c r="F10749" t="s">
        <v>28669</v>
      </c>
      <c r="G10749" t="s">
        <v>28675</v>
      </c>
      <c r="H10749" t="s">
        <v>28686</v>
      </c>
      <c r="I10749" t="s">
        <v>28689</v>
      </c>
      <c r="J10749" t="s">
        <v>35463</v>
      </c>
      <c r="K10749" t="s">
        <v>37325</v>
      </c>
      <c r="M10749" t="s">
        <v>38680</v>
      </c>
      <c r="N10749" t="s">
        <v>41249</v>
      </c>
      <c r="O10749" t="s">
        <v>41250</v>
      </c>
      <c r="Q10749">
        <v>20</v>
      </c>
      <c r="R10749" t="s">
        <v>41263</v>
      </c>
      <c r="S10749" t="s">
        <v>41772</v>
      </c>
      <c r="T10749" t="s">
        <v>42764</v>
      </c>
      <c r="U10749" t="s">
        <v>45543</v>
      </c>
      <c r="W10749" t="s">
        <v>38680</v>
      </c>
      <c r="X10749" t="s">
        <v>41264</v>
      </c>
    </row>
    <row r="10750" spans="1:24">
      <c r="A10750">
        <f>HYPERLINK("https://www.philgeps.gov.ph/GEPSNONPILOT/Tender/SplashBidNoticeAbstractUI.aspx?menuIndex=3&amp;refID=7057690&amp;Result=3","7057690")</f>
        <v>0</v>
      </c>
      <c r="B10750" t="s">
        <v>2997</v>
      </c>
      <c r="C10750" t="s">
        <v>13658</v>
      </c>
      <c r="E10750" t="s">
        <v>26011</v>
      </c>
      <c r="F10750" t="s">
        <v>28669</v>
      </c>
      <c r="G10750" t="s">
        <v>28675</v>
      </c>
      <c r="H10750" t="s">
        <v>9998</v>
      </c>
      <c r="I10750" t="s">
        <v>28719</v>
      </c>
      <c r="J10750" t="s">
        <v>35464</v>
      </c>
      <c r="K10750" t="s">
        <v>37209</v>
      </c>
      <c r="M10750" t="s">
        <v>40762</v>
      </c>
      <c r="N10750" t="s">
        <v>41249</v>
      </c>
      <c r="O10750" t="s">
        <v>41250</v>
      </c>
      <c r="P10750">
        <v>0</v>
      </c>
      <c r="Q10750">
        <v>13</v>
      </c>
      <c r="R10750" t="s">
        <v>41263</v>
      </c>
      <c r="S10750" t="s">
        <v>41698</v>
      </c>
      <c r="T10750" t="s">
        <v>43119</v>
      </c>
      <c r="U10750" t="s">
        <v>51813</v>
      </c>
      <c r="W10750" t="s">
        <v>40762</v>
      </c>
      <c r="X10750" t="s">
        <v>41264</v>
      </c>
    </row>
    <row r="10751" spans="1:24">
      <c r="A10751">
        <f>HYPERLINK("https://www.philgeps.gov.ph/GEPSNONPILOT/Tender/SplashBidNoticeAbstractUI.aspx?menuIndex=3&amp;refID=7057876&amp;Result=3","7057876")</f>
        <v>0</v>
      </c>
      <c r="B10751" t="s">
        <v>2359</v>
      </c>
      <c r="C10751" t="s">
        <v>13659</v>
      </c>
      <c r="D10751" t="s">
        <v>16616</v>
      </c>
      <c r="E10751" t="s">
        <v>26012</v>
      </c>
      <c r="F10751" t="s">
        <v>28669</v>
      </c>
      <c r="G10751" t="s">
        <v>28675</v>
      </c>
      <c r="H10751" t="s">
        <v>28686</v>
      </c>
      <c r="I10751" t="s">
        <v>28689</v>
      </c>
      <c r="J10751" t="s">
        <v>32798</v>
      </c>
      <c r="K10751" t="s">
        <v>37322</v>
      </c>
      <c r="M10751" t="s">
        <v>40768</v>
      </c>
      <c r="N10751" t="s">
        <v>41249</v>
      </c>
      <c r="O10751" t="s">
        <v>41250</v>
      </c>
      <c r="P10751">
        <v>0</v>
      </c>
      <c r="Q10751">
        <v>3</v>
      </c>
      <c r="R10751" t="s">
        <v>41263</v>
      </c>
      <c r="S10751" t="s">
        <v>41698</v>
      </c>
      <c r="T10751" t="s">
        <v>42764</v>
      </c>
      <c r="U10751" t="s">
        <v>51829</v>
      </c>
      <c r="V10751" t="s">
        <v>55489</v>
      </c>
      <c r="W10751" t="s">
        <v>40768</v>
      </c>
      <c r="X10751" t="s">
        <v>41264</v>
      </c>
    </row>
    <row r="10752" spans="1:24">
      <c r="A10752">
        <f>HYPERLINK("https://www.philgeps.gov.ph/GEPSNONPILOT/Tender/SplashBidNoticeAbstractUI.aspx?menuIndex=3&amp;refID=7057869&amp;Result=3","7057869")</f>
        <v>0</v>
      </c>
      <c r="B10752" t="s">
        <v>2359</v>
      </c>
      <c r="C10752" t="s">
        <v>13660</v>
      </c>
      <c r="D10752" t="s">
        <v>16616</v>
      </c>
      <c r="E10752" t="s">
        <v>26013</v>
      </c>
      <c r="F10752" t="s">
        <v>28669</v>
      </c>
      <c r="G10752" t="s">
        <v>28675</v>
      </c>
      <c r="H10752" t="s">
        <v>28686</v>
      </c>
      <c r="I10752" t="s">
        <v>28689</v>
      </c>
      <c r="J10752" t="s">
        <v>35465</v>
      </c>
      <c r="K10752" t="s">
        <v>37219</v>
      </c>
      <c r="M10752" t="s">
        <v>40768</v>
      </c>
      <c r="N10752" t="s">
        <v>41249</v>
      </c>
      <c r="O10752" t="s">
        <v>41250</v>
      </c>
      <c r="P10752">
        <v>0</v>
      </c>
      <c r="Q10752">
        <v>2</v>
      </c>
      <c r="R10752" t="s">
        <v>41263</v>
      </c>
      <c r="S10752" t="s">
        <v>41698</v>
      </c>
      <c r="T10752" t="s">
        <v>42764</v>
      </c>
      <c r="U10752" t="s">
        <v>51829</v>
      </c>
      <c r="V10752" t="s">
        <v>55490</v>
      </c>
      <c r="W10752" t="s">
        <v>40768</v>
      </c>
      <c r="X10752" t="s">
        <v>41264</v>
      </c>
    </row>
    <row r="10753" spans="1:24">
      <c r="A10753">
        <f>HYPERLINK("https://www.philgeps.gov.ph/GEPSNONPILOT/Tender/SplashBidNoticeAbstractUI.aspx?menuIndex=3&amp;refID=7057866&amp;Result=3","7057866")</f>
        <v>0</v>
      </c>
      <c r="B10753" t="s">
        <v>2359</v>
      </c>
      <c r="C10753" t="s">
        <v>13661</v>
      </c>
      <c r="D10753" t="s">
        <v>16616</v>
      </c>
      <c r="E10753" t="s">
        <v>26014</v>
      </c>
      <c r="F10753" t="s">
        <v>28669</v>
      </c>
      <c r="G10753" t="s">
        <v>28675</v>
      </c>
      <c r="H10753" t="s">
        <v>28686</v>
      </c>
      <c r="I10753" t="s">
        <v>28689</v>
      </c>
      <c r="J10753" t="s">
        <v>35466</v>
      </c>
      <c r="K10753" t="s">
        <v>37341</v>
      </c>
      <c r="M10753" t="s">
        <v>40768</v>
      </c>
      <c r="N10753" t="s">
        <v>41249</v>
      </c>
      <c r="O10753" t="s">
        <v>41250</v>
      </c>
      <c r="P10753">
        <v>0</v>
      </c>
      <c r="Q10753">
        <v>3</v>
      </c>
      <c r="R10753" t="s">
        <v>41263</v>
      </c>
      <c r="S10753" t="s">
        <v>41698</v>
      </c>
      <c r="T10753" t="s">
        <v>42764</v>
      </c>
      <c r="U10753" t="s">
        <v>51829</v>
      </c>
      <c r="V10753" t="s">
        <v>55491</v>
      </c>
      <c r="W10753" t="s">
        <v>40768</v>
      </c>
      <c r="X10753" t="s">
        <v>41264</v>
      </c>
    </row>
    <row r="10754" spans="1:24">
      <c r="A10754">
        <f>HYPERLINK("https://www.philgeps.gov.ph/GEPSNONPILOT/Tender/SplashBidNoticeAbstractUI.aspx?menuIndex=3&amp;refID=7057864&amp;Result=3","7057864")</f>
        <v>0</v>
      </c>
      <c r="B10754" t="s">
        <v>2359</v>
      </c>
      <c r="C10754" t="s">
        <v>13662</v>
      </c>
      <c r="D10754" t="s">
        <v>16616</v>
      </c>
      <c r="E10754" t="s">
        <v>26015</v>
      </c>
      <c r="F10754" t="s">
        <v>28669</v>
      </c>
      <c r="G10754" t="s">
        <v>28675</v>
      </c>
      <c r="H10754" t="s">
        <v>28686</v>
      </c>
      <c r="I10754" t="s">
        <v>28689</v>
      </c>
      <c r="J10754" t="s">
        <v>30559</v>
      </c>
      <c r="K10754" t="s">
        <v>37322</v>
      </c>
      <c r="M10754" t="s">
        <v>40768</v>
      </c>
      <c r="N10754" t="s">
        <v>41249</v>
      </c>
      <c r="O10754" t="s">
        <v>41250</v>
      </c>
      <c r="P10754">
        <v>0</v>
      </c>
      <c r="Q10754">
        <v>5</v>
      </c>
      <c r="R10754" t="s">
        <v>41263</v>
      </c>
      <c r="S10754" t="s">
        <v>41698</v>
      </c>
      <c r="T10754" t="s">
        <v>42764</v>
      </c>
      <c r="U10754" t="s">
        <v>51829</v>
      </c>
      <c r="V10754" t="s">
        <v>55492</v>
      </c>
      <c r="W10754" t="s">
        <v>40768</v>
      </c>
      <c r="X10754" t="s">
        <v>41264</v>
      </c>
    </row>
    <row r="10755" spans="1:24">
      <c r="A10755">
        <f>HYPERLINK("https://www.philgeps.gov.ph/GEPSNONPILOT/Tender/SplashBidNoticeAbstractUI.aspx?menuIndex=3&amp;refID=7057621&amp;Result=3","7057621")</f>
        <v>0</v>
      </c>
      <c r="B10755" t="s">
        <v>464</v>
      </c>
      <c r="C10755" t="s">
        <v>13663</v>
      </c>
      <c r="D10755" t="s">
        <v>16629</v>
      </c>
      <c r="E10755" t="s">
        <v>26016</v>
      </c>
      <c r="F10755" t="s">
        <v>28669</v>
      </c>
      <c r="G10755" t="s">
        <v>28675</v>
      </c>
      <c r="H10755" t="s">
        <v>28686</v>
      </c>
      <c r="I10755" t="s">
        <v>28689</v>
      </c>
      <c r="J10755" t="s">
        <v>29364</v>
      </c>
      <c r="K10755" t="s">
        <v>37292</v>
      </c>
      <c r="M10755" t="s">
        <v>37952</v>
      </c>
      <c r="N10755" t="s">
        <v>41249</v>
      </c>
      <c r="O10755" t="s">
        <v>41250</v>
      </c>
      <c r="P10755">
        <v>0</v>
      </c>
      <c r="Q10755">
        <v>0</v>
      </c>
      <c r="R10755" t="s">
        <v>41263</v>
      </c>
      <c r="S10755" t="s">
        <v>41698</v>
      </c>
      <c r="T10755" t="s">
        <v>42999</v>
      </c>
      <c r="U10755" t="s">
        <v>51830</v>
      </c>
      <c r="V10755" t="s">
        <v>55493</v>
      </c>
      <c r="W10755" t="s">
        <v>37952</v>
      </c>
      <c r="X10755" t="s">
        <v>41264</v>
      </c>
    </row>
    <row r="10756" spans="1:24">
      <c r="A10756">
        <f>HYPERLINK("https://www.philgeps.gov.ph/GEPSNONPILOT/Tender/SplashBidNoticeAbstractUI.aspx?menuIndex=3&amp;refID=7057891&amp;Result=3","7057891")</f>
        <v>0</v>
      </c>
      <c r="B10756" t="s">
        <v>1144</v>
      </c>
      <c r="C10756" t="s">
        <v>13664</v>
      </c>
      <c r="D10756" t="s">
        <v>16608</v>
      </c>
      <c r="E10756" t="s">
        <v>26017</v>
      </c>
      <c r="F10756" t="s">
        <v>28669</v>
      </c>
      <c r="G10756" t="s">
        <v>28675</v>
      </c>
      <c r="H10756" t="s">
        <v>28686</v>
      </c>
      <c r="I10756" t="s">
        <v>28689</v>
      </c>
      <c r="J10756" t="s">
        <v>35467</v>
      </c>
      <c r="K10756" t="s">
        <v>37285</v>
      </c>
      <c r="M10756" t="s">
        <v>38680</v>
      </c>
      <c r="N10756" t="s">
        <v>41249</v>
      </c>
      <c r="O10756" t="s">
        <v>41250</v>
      </c>
      <c r="Q10756">
        <v>18</v>
      </c>
      <c r="R10756" t="s">
        <v>41263</v>
      </c>
      <c r="S10756" t="s">
        <v>41773</v>
      </c>
      <c r="T10756" t="s">
        <v>42764</v>
      </c>
      <c r="U10756" t="s">
        <v>45543</v>
      </c>
      <c r="W10756" t="s">
        <v>38680</v>
      </c>
      <c r="X10756" t="s">
        <v>41264</v>
      </c>
    </row>
    <row r="10757" spans="1:24">
      <c r="A10757">
        <f>HYPERLINK("https://www.philgeps.gov.ph/GEPSNONPILOT/Tender/SplashBidNoticeAbstractUI.aspx?menuIndex=3&amp;refID=7057837&amp;Result=3","7057837")</f>
        <v>0</v>
      </c>
      <c r="B10757" t="s">
        <v>887</v>
      </c>
      <c r="C10757" t="s">
        <v>13665</v>
      </c>
      <c r="D10757" t="s">
        <v>16672</v>
      </c>
      <c r="E10757" t="s">
        <v>26018</v>
      </c>
      <c r="F10757" t="s">
        <v>28669</v>
      </c>
      <c r="G10757" t="s">
        <v>28675</v>
      </c>
      <c r="H10757" t="s">
        <v>9998</v>
      </c>
      <c r="I10757" t="s">
        <v>28719</v>
      </c>
      <c r="J10757" t="s">
        <v>35468</v>
      </c>
      <c r="K10757" t="s">
        <v>37206</v>
      </c>
      <c r="M10757" t="s">
        <v>38407</v>
      </c>
      <c r="N10757" t="s">
        <v>41249</v>
      </c>
      <c r="O10757" t="s">
        <v>41250</v>
      </c>
      <c r="P10757">
        <v>0</v>
      </c>
      <c r="Q10757">
        <v>6</v>
      </c>
      <c r="R10757" t="s">
        <v>41263</v>
      </c>
      <c r="S10757" t="s">
        <v>41698</v>
      </c>
      <c r="T10757" t="s">
        <v>42658</v>
      </c>
      <c r="U10757" t="s">
        <v>51831</v>
      </c>
      <c r="W10757" t="s">
        <v>38407</v>
      </c>
      <c r="X10757" t="s">
        <v>41264</v>
      </c>
    </row>
    <row r="10758" spans="1:24">
      <c r="A10758">
        <f>HYPERLINK("https://www.philgeps.gov.ph/GEPSNONPILOT/Tender/SplashBidNoticeAbstractUI.aspx?menuIndex=3&amp;refID=7057815&amp;Result=3","7057815")</f>
        <v>0</v>
      </c>
      <c r="B10758" t="s">
        <v>293</v>
      </c>
      <c r="C10758" t="s">
        <v>13666</v>
      </c>
      <c r="D10758" t="s">
        <v>16668</v>
      </c>
      <c r="E10758" t="s">
        <v>26019</v>
      </c>
      <c r="F10758" t="s">
        <v>28669</v>
      </c>
      <c r="G10758" t="s">
        <v>28675</v>
      </c>
      <c r="H10758" t="s">
        <v>9998</v>
      </c>
      <c r="I10758" t="s">
        <v>7352</v>
      </c>
      <c r="J10758" t="s">
        <v>28905</v>
      </c>
      <c r="K10758" t="s">
        <v>37206</v>
      </c>
      <c r="M10758" t="s">
        <v>37772</v>
      </c>
      <c r="N10758" t="s">
        <v>41249</v>
      </c>
      <c r="O10758" t="s">
        <v>41250</v>
      </c>
      <c r="P10758">
        <v>0</v>
      </c>
      <c r="Q10758">
        <v>0</v>
      </c>
      <c r="R10758" t="s">
        <v>41263</v>
      </c>
      <c r="S10758" t="s">
        <v>41698</v>
      </c>
      <c r="T10758" t="s">
        <v>42758</v>
      </c>
      <c r="U10758" t="s">
        <v>51832</v>
      </c>
      <c r="W10758" t="s">
        <v>37772</v>
      </c>
      <c r="X10758" t="s">
        <v>41264</v>
      </c>
    </row>
    <row r="10759" spans="1:24">
      <c r="A10759">
        <f>HYPERLINK("https://www.philgeps.gov.ph/GEPSNONPILOT/Tender/SplashBidNoticeAbstractUI.aspx?menuIndex=3&amp;refID=7057433&amp;Result=3","7057433")</f>
        <v>0</v>
      </c>
      <c r="B10759" t="s">
        <v>1477</v>
      </c>
      <c r="C10759" t="s">
        <v>13667</v>
      </c>
      <c r="D10759" t="s">
        <v>16675</v>
      </c>
      <c r="E10759" t="s">
        <v>22490</v>
      </c>
      <c r="F10759" t="s">
        <v>28671</v>
      </c>
      <c r="G10759" t="s">
        <v>28676</v>
      </c>
      <c r="H10759" t="s">
        <v>28686</v>
      </c>
      <c r="I10759" t="s">
        <v>28710</v>
      </c>
      <c r="J10759" t="s">
        <v>31854</v>
      </c>
      <c r="K10759" t="s">
        <v>37227</v>
      </c>
      <c r="M10759" t="s">
        <v>39045</v>
      </c>
      <c r="N10759" t="s">
        <v>41249</v>
      </c>
      <c r="O10759" t="s">
        <v>41250</v>
      </c>
      <c r="Q10759">
        <v>1</v>
      </c>
      <c r="R10759" t="s">
        <v>41263</v>
      </c>
      <c r="S10759" t="s">
        <v>41774</v>
      </c>
      <c r="T10759" t="s">
        <v>42683</v>
      </c>
      <c r="U10759" t="s">
        <v>46446</v>
      </c>
      <c r="W10759" t="s">
        <v>39045</v>
      </c>
      <c r="X10759" t="s">
        <v>41264</v>
      </c>
    </row>
    <row r="10760" spans="1:24">
      <c r="A10760">
        <f>HYPERLINK("https://www.philgeps.gov.ph/GEPSNONPILOT/Tender/SplashBidNoticeAbstractUI.aspx?menuIndex=3&amp;refID=7057811&amp;Result=3","7057811")</f>
        <v>0</v>
      </c>
      <c r="B10760" t="s">
        <v>1024</v>
      </c>
      <c r="C10760" t="s">
        <v>13668</v>
      </c>
      <c r="D10760" t="s">
        <v>16608</v>
      </c>
      <c r="E10760" t="s">
        <v>26020</v>
      </c>
      <c r="F10760" t="s">
        <v>28669</v>
      </c>
      <c r="G10760" t="s">
        <v>28675</v>
      </c>
      <c r="H10760" t="s">
        <v>28686</v>
      </c>
      <c r="I10760" t="s">
        <v>28689</v>
      </c>
      <c r="J10760" t="s">
        <v>35469</v>
      </c>
      <c r="K10760" t="s">
        <v>37285</v>
      </c>
      <c r="M10760" t="s">
        <v>39657</v>
      </c>
      <c r="N10760" t="s">
        <v>41249</v>
      </c>
      <c r="O10760" t="s">
        <v>41250</v>
      </c>
      <c r="P10760">
        <v>0</v>
      </c>
      <c r="Q10760">
        <v>42</v>
      </c>
      <c r="R10760" t="s">
        <v>41263</v>
      </c>
      <c r="S10760" t="s">
        <v>41698</v>
      </c>
      <c r="T10760" t="s">
        <v>42707</v>
      </c>
      <c r="U10760" t="s">
        <v>48161</v>
      </c>
      <c r="V10760" t="s">
        <v>55494</v>
      </c>
      <c r="W10760" t="s">
        <v>39657</v>
      </c>
      <c r="X10760" t="s">
        <v>41264</v>
      </c>
    </row>
    <row r="10761" spans="1:24">
      <c r="A10761">
        <f>HYPERLINK("https://www.philgeps.gov.ph/GEPSNONPILOT/Tender/SplashBidNoticeAbstractUI.aspx?menuIndex=3&amp;refID=7057808&amp;Result=3","7057808")</f>
        <v>0</v>
      </c>
      <c r="B10761" t="s">
        <v>1024</v>
      </c>
      <c r="C10761" t="s">
        <v>13669</v>
      </c>
      <c r="D10761" t="s">
        <v>16608</v>
      </c>
      <c r="E10761" t="s">
        <v>26021</v>
      </c>
      <c r="F10761" t="s">
        <v>28669</v>
      </c>
      <c r="G10761" t="s">
        <v>28675</v>
      </c>
      <c r="H10761" t="s">
        <v>28686</v>
      </c>
      <c r="I10761" t="s">
        <v>28689</v>
      </c>
      <c r="J10761" t="s">
        <v>35470</v>
      </c>
      <c r="K10761" t="s">
        <v>37287</v>
      </c>
      <c r="M10761" t="s">
        <v>39657</v>
      </c>
      <c r="N10761" t="s">
        <v>41249</v>
      </c>
      <c r="O10761" t="s">
        <v>41250</v>
      </c>
      <c r="P10761">
        <v>0</v>
      </c>
      <c r="Q10761">
        <v>42</v>
      </c>
      <c r="R10761" t="s">
        <v>41263</v>
      </c>
      <c r="S10761" t="s">
        <v>41698</v>
      </c>
      <c r="T10761" t="s">
        <v>42707</v>
      </c>
      <c r="U10761" t="s">
        <v>48161</v>
      </c>
      <c r="V10761" t="s">
        <v>55495</v>
      </c>
      <c r="W10761" t="s">
        <v>39657</v>
      </c>
      <c r="X10761" t="s">
        <v>41264</v>
      </c>
    </row>
    <row r="10762" spans="1:24">
      <c r="A10762">
        <f>HYPERLINK("https://www.philgeps.gov.ph/GEPSNONPILOT/Tender/SplashBidNoticeAbstractUI.aspx?menuIndex=3&amp;refID=7057803&amp;Result=3","7057803")</f>
        <v>0</v>
      </c>
      <c r="B10762" t="s">
        <v>2375</v>
      </c>
      <c r="C10762" t="s">
        <v>13670</v>
      </c>
      <c r="D10762" t="s">
        <v>16680</v>
      </c>
      <c r="E10762" t="s">
        <v>26022</v>
      </c>
      <c r="F10762" t="s">
        <v>28669</v>
      </c>
      <c r="G10762" t="s">
        <v>28675</v>
      </c>
      <c r="H10762" t="s">
        <v>28686</v>
      </c>
      <c r="I10762" t="s">
        <v>28689</v>
      </c>
      <c r="J10762" t="s">
        <v>30755</v>
      </c>
      <c r="K10762" t="s">
        <v>37290</v>
      </c>
      <c r="M10762" t="s">
        <v>40045</v>
      </c>
      <c r="N10762" t="s">
        <v>41249</v>
      </c>
      <c r="O10762" t="s">
        <v>41250</v>
      </c>
      <c r="P10762">
        <v>0</v>
      </c>
      <c r="Q10762">
        <v>3</v>
      </c>
      <c r="R10762" t="s">
        <v>41263</v>
      </c>
      <c r="S10762" t="s">
        <v>41698</v>
      </c>
      <c r="T10762" t="s">
        <v>42881</v>
      </c>
      <c r="U10762" t="s">
        <v>51833</v>
      </c>
      <c r="W10762" t="s">
        <v>40045</v>
      </c>
      <c r="X10762" t="s">
        <v>41264</v>
      </c>
    </row>
    <row r="10763" spans="1:24">
      <c r="A10763">
        <f>HYPERLINK("https://www.philgeps.gov.ph/GEPSNONPILOT/Tender/SplashBidNoticeAbstractUI.aspx?menuIndex=3&amp;refID=7056714&amp;Result=3","7056714")</f>
        <v>0</v>
      </c>
      <c r="B10763" t="s">
        <v>267</v>
      </c>
      <c r="C10763" t="s">
        <v>13671</v>
      </c>
      <c r="D10763" t="s">
        <v>16679</v>
      </c>
      <c r="E10763" t="s">
        <v>26023</v>
      </c>
      <c r="F10763" t="s">
        <v>28669</v>
      </c>
      <c r="G10763" t="s">
        <v>28675</v>
      </c>
      <c r="H10763" t="s">
        <v>28686</v>
      </c>
      <c r="I10763" t="s">
        <v>28689</v>
      </c>
      <c r="J10763" t="s">
        <v>35471</v>
      </c>
      <c r="K10763" t="s">
        <v>37215</v>
      </c>
      <c r="M10763" t="s">
        <v>38160</v>
      </c>
      <c r="N10763" t="s">
        <v>41249</v>
      </c>
      <c r="O10763" t="s">
        <v>41250</v>
      </c>
      <c r="P10763">
        <v>0</v>
      </c>
      <c r="Q10763">
        <v>13</v>
      </c>
      <c r="R10763" t="s">
        <v>41263</v>
      </c>
      <c r="S10763" t="s">
        <v>41698</v>
      </c>
      <c r="T10763" t="s">
        <v>42658</v>
      </c>
      <c r="U10763" t="s">
        <v>43621</v>
      </c>
      <c r="V10763" t="s">
        <v>55428</v>
      </c>
      <c r="W10763" t="s">
        <v>55923</v>
      </c>
      <c r="X10763" t="s">
        <v>41264</v>
      </c>
    </row>
    <row r="10764" spans="1:24">
      <c r="A10764">
        <f>HYPERLINK("https://www.philgeps.gov.ph/GEPSNONPILOT/Tender/SplashBidNoticeAbstractUI.aspx?menuIndex=3&amp;refID=7056713&amp;Result=3","7056713")</f>
        <v>0</v>
      </c>
      <c r="B10764" t="s">
        <v>2987</v>
      </c>
      <c r="C10764" t="s">
        <v>13672</v>
      </c>
      <c r="D10764" t="s">
        <v>16627</v>
      </c>
      <c r="E10764" t="s">
        <v>26024</v>
      </c>
      <c r="F10764" t="s">
        <v>28669</v>
      </c>
      <c r="G10764" t="s">
        <v>28675</v>
      </c>
      <c r="H10764" t="s">
        <v>9998</v>
      </c>
      <c r="I10764" t="s">
        <v>7352</v>
      </c>
      <c r="J10764" t="s">
        <v>29134</v>
      </c>
      <c r="K10764" t="s">
        <v>37206</v>
      </c>
      <c r="M10764" t="s">
        <v>40752</v>
      </c>
      <c r="N10764" t="s">
        <v>41249</v>
      </c>
      <c r="O10764" t="s">
        <v>41250</v>
      </c>
      <c r="P10764">
        <v>0</v>
      </c>
      <c r="Q10764">
        <v>4</v>
      </c>
      <c r="R10764" t="s">
        <v>41263</v>
      </c>
      <c r="S10764" t="s">
        <v>41698</v>
      </c>
      <c r="T10764" t="s">
        <v>42659</v>
      </c>
      <c r="U10764" t="s">
        <v>51834</v>
      </c>
      <c r="W10764" t="s">
        <v>40752</v>
      </c>
      <c r="X10764" t="s">
        <v>41264</v>
      </c>
    </row>
    <row r="10765" spans="1:24">
      <c r="A10765">
        <f>HYPERLINK("https://www.philgeps.gov.ph/GEPSNONPILOT/Tender/SplashBidNoticeAbstractUI.aspx?menuIndex=3&amp;refID=7056704&amp;Result=3","7056704")</f>
        <v>0</v>
      </c>
      <c r="B10765" t="s">
        <v>1471</v>
      </c>
      <c r="C10765" t="s">
        <v>13673</v>
      </c>
      <c r="D10765" t="s">
        <v>16615</v>
      </c>
      <c r="E10765" t="s">
        <v>26025</v>
      </c>
      <c r="F10765" t="s">
        <v>28669</v>
      </c>
      <c r="G10765" t="s">
        <v>28682</v>
      </c>
      <c r="H10765" t="s">
        <v>28686</v>
      </c>
      <c r="I10765" t="s">
        <v>28689</v>
      </c>
      <c r="J10765" t="s">
        <v>35415</v>
      </c>
      <c r="K10765" t="s">
        <v>37215</v>
      </c>
      <c r="M10765" t="s">
        <v>39039</v>
      </c>
      <c r="N10765" t="s">
        <v>41249</v>
      </c>
      <c r="O10765" t="s">
        <v>41250</v>
      </c>
      <c r="P10765">
        <v>0</v>
      </c>
      <c r="Q10765">
        <v>6</v>
      </c>
      <c r="R10765" t="s">
        <v>41263</v>
      </c>
      <c r="S10765" t="s">
        <v>41698</v>
      </c>
      <c r="T10765" t="s">
        <v>42739</v>
      </c>
      <c r="U10765" t="s">
        <v>51835</v>
      </c>
      <c r="V10765" t="s">
        <v>54688</v>
      </c>
      <c r="W10765" t="s">
        <v>39039</v>
      </c>
      <c r="X10765" t="s">
        <v>41264</v>
      </c>
    </row>
    <row r="10766" spans="1:24">
      <c r="A10766">
        <f>HYPERLINK("https://www.philgeps.gov.ph/GEPSNONPILOT/Tender/SplashBidNoticeAbstractUI.aspx?menuIndex=3&amp;refID=6973550&amp;Result=3","6973550")</f>
        <v>0</v>
      </c>
      <c r="B10766" t="s">
        <v>542</v>
      </c>
      <c r="C10766" t="s">
        <v>13674</v>
      </c>
      <c r="D10766" t="s">
        <v>16616</v>
      </c>
      <c r="E10766" t="s">
        <v>26026</v>
      </c>
      <c r="F10766" t="s">
        <v>28669</v>
      </c>
      <c r="G10766" t="s">
        <v>28675</v>
      </c>
      <c r="H10766" t="s">
        <v>9998</v>
      </c>
      <c r="I10766" t="s">
        <v>28717</v>
      </c>
      <c r="J10766" t="s">
        <v>35472</v>
      </c>
      <c r="K10766" t="s">
        <v>37204</v>
      </c>
      <c r="M10766" t="s">
        <v>38035</v>
      </c>
      <c r="N10766" t="s">
        <v>41249</v>
      </c>
      <c r="O10766" t="s">
        <v>41250</v>
      </c>
      <c r="P10766">
        <v>0</v>
      </c>
      <c r="Q10766">
        <v>6</v>
      </c>
      <c r="R10766" t="s">
        <v>41264</v>
      </c>
      <c r="S10766" t="s">
        <v>41775</v>
      </c>
      <c r="T10766" t="s">
        <v>42755</v>
      </c>
      <c r="U10766" t="s">
        <v>51836</v>
      </c>
      <c r="W10766" t="s">
        <v>38035</v>
      </c>
      <c r="X10766" t="s">
        <v>56049</v>
      </c>
    </row>
    <row r="10767" spans="1:24">
      <c r="A10767">
        <f>HYPERLINK("https://www.philgeps.gov.ph/GEPSNONPILOT/Tender/SplashBidNoticeAbstractUI.aspx?menuIndex=3&amp;refID=7057841&amp;Result=3","7057841")</f>
        <v>0</v>
      </c>
      <c r="B10767" t="s">
        <v>887</v>
      </c>
      <c r="C10767" t="s">
        <v>13675</v>
      </c>
      <c r="D10767" t="s">
        <v>16672</v>
      </c>
      <c r="E10767" t="s">
        <v>26027</v>
      </c>
      <c r="F10767" t="s">
        <v>28669</v>
      </c>
      <c r="G10767" t="s">
        <v>28675</v>
      </c>
      <c r="H10767" t="s">
        <v>28686</v>
      </c>
      <c r="I10767" t="s">
        <v>28689</v>
      </c>
      <c r="J10767" t="s">
        <v>35473</v>
      </c>
      <c r="K10767" t="s">
        <v>37369</v>
      </c>
      <c r="M10767" t="s">
        <v>38407</v>
      </c>
      <c r="N10767" t="s">
        <v>41249</v>
      </c>
      <c r="O10767" t="s">
        <v>41250</v>
      </c>
      <c r="P10767">
        <v>0</v>
      </c>
      <c r="Q10767">
        <v>0</v>
      </c>
      <c r="R10767" t="s">
        <v>41263</v>
      </c>
      <c r="S10767" t="s">
        <v>41698</v>
      </c>
      <c r="T10767" t="s">
        <v>42658</v>
      </c>
      <c r="U10767" t="s">
        <v>51837</v>
      </c>
      <c r="W10767" t="s">
        <v>38407</v>
      </c>
      <c r="X10767" t="s">
        <v>41264</v>
      </c>
    </row>
    <row r="10768" spans="1:24">
      <c r="A10768">
        <f>HYPERLINK("https://www.philgeps.gov.ph/GEPSNONPILOT/Tender/SplashBidNoticeAbstractUI.aspx?menuIndex=3&amp;refID=7058009&amp;Result=3","7058009")</f>
        <v>0</v>
      </c>
      <c r="B10768" t="s">
        <v>2799</v>
      </c>
      <c r="C10768" t="s">
        <v>13676</v>
      </c>
      <c r="E10768" t="s">
        <v>26028</v>
      </c>
      <c r="F10768" t="s">
        <v>28669</v>
      </c>
      <c r="G10768" t="s">
        <v>28676</v>
      </c>
      <c r="H10768" t="s">
        <v>9998</v>
      </c>
      <c r="I10768" t="s">
        <v>28728</v>
      </c>
      <c r="J10768" t="s">
        <v>35474</v>
      </c>
      <c r="K10768" t="s">
        <v>37209</v>
      </c>
      <c r="M10768" t="s">
        <v>40769</v>
      </c>
      <c r="N10768" t="s">
        <v>41249</v>
      </c>
      <c r="O10768" t="s">
        <v>41250</v>
      </c>
      <c r="Q10768">
        <v>2</v>
      </c>
      <c r="R10768" t="s">
        <v>41263</v>
      </c>
      <c r="S10768" t="s">
        <v>41776</v>
      </c>
      <c r="T10768" t="s">
        <v>42736</v>
      </c>
      <c r="U10768" t="s">
        <v>51838</v>
      </c>
      <c r="W10768" t="s">
        <v>40769</v>
      </c>
      <c r="X10768" t="s">
        <v>41264</v>
      </c>
    </row>
    <row r="10769" spans="1:24">
      <c r="A10769">
        <f>HYPERLINK("https://www.philgeps.gov.ph/GEPSNONPILOT/Tender/SplashBidNoticeAbstractUI.aspx?menuIndex=3&amp;refID=7058004&amp;Result=3","7058004")</f>
        <v>0</v>
      </c>
      <c r="B10769" t="s">
        <v>762</v>
      </c>
      <c r="C10769" t="s">
        <v>13677</v>
      </c>
      <c r="E10769" t="s">
        <v>26029</v>
      </c>
      <c r="F10769" t="s">
        <v>28669</v>
      </c>
      <c r="G10769" t="s">
        <v>28676</v>
      </c>
      <c r="H10769" t="s">
        <v>9998</v>
      </c>
      <c r="I10769" t="s">
        <v>28754</v>
      </c>
      <c r="J10769" t="s">
        <v>35475</v>
      </c>
      <c r="K10769" t="s">
        <v>37209</v>
      </c>
      <c r="M10769" t="s">
        <v>40770</v>
      </c>
      <c r="N10769" t="s">
        <v>41249</v>
      </c>
      <c r="O10769" t="s">
        <v>41250</v>
      </c>
      <c r="Q10769">
        <v>8</v>
      </c>
      <c r="R10769" t="s">
        <v>41263</v>
      </c>
      <c r="S10769" t="s">
        <v>41777</v>
      </c>
      <c r="T10769" t="s">
        <v>42734</v>
      </c>
      <c r="U10769" t="s">
        <v>51839</v>
      </c>
      <c r="W10769" t="s">
        <v>40770</v>
      </c>
      <c r="X10769" t="s">
        <v>41264</v>
      </c>
    </row>
    <row r="10770" spans="1:24">
      <c r="A10770">
        <f>HYPERLINK("https://www.philgeps.gov.ph/GEPSNONPILOT/Tender/SplashBidNoticeAbstractUI.aspx?menuIndex=3&amp;refID=7057985&amp;Result=3","7057985")</f>
        <v>0</v>
      </c>
      <c r="B10770" t="s">
        <v>3002</v>
      </c>
      <c r="C10770" t="s">
        <v>13678</v>
      </c>
      <c r="D10770" t="s">
        <v>16622</v>
      </c>
      <c r="E10770" t="s">
        <v>26030</v>
      </c>
      <c r="F10770" t="s">
        <v>28669</v>
      </c>
      <c r="G10770" t="s">
        <v>28675</v>
      </c>
      <c r="H10770" t="s">
        <v>9998</v>
      </c>
      <c r="I10770" t="s">
        <v>28687</v>
      </c>
      <c r="J10770" t="s">
        <v>35476</v>
      </c>
      <c r="K10770" t="s">
        <v>37206</v>
      </c>
      <c r="M10770" t="s">
        <v>40771</v>
      </c>
      <c r="N10770" t="s">
        <v>41249</v>
      </c>
      <c r="O10770" t="s">
        <v>41250</v>
      </c>
      <c r="P10770">
        <v>0</v>
      </c>
      <c r="Q10770">
        <v>2</v>
      </c>
      <c r="R10770" t="s">
        <v>41263</v>
      </c>
      <c r="S10770" t="s">
        <v>41698</v>
      </c>
      <c r="T10770" t="s">
        <v>42659</v>
      </c>
      <c r="U10770" t="s">
        <v>51840</v>
      </c>
      <c r="V10770" t="s">
        <v>55496</v>
      </c>
      <c r="W10770" t="s">
        <v>56020</v>
      </c>
      <c r="X10770" t="s">
        <v>41264</v>
      </c>
    </row>
    <row r="10771" spans="1:24">
      <c r="A10771">
        <f>HYPERLINK("https://www.philgeps.gov.ph/GEPSNONPILOT/Tender/SplashBidNoticeAbstractUI.aspx?menuIndex=3&amp;refID=7057971&amp;Result=3","7057971")</f>
        <v>0</v>
      </c>
      <c r="B10771" t="s">
        <v>762</v>
      </c>
      <c r="C10771" t="s">
        <v>13679</v>
      </c>
      <c r="E10771" t="s">
        <v>26031</v>
      </c>
      <c r="F10771" t="s">
        <v>28669</v>
      </c>
      <c r="G10771" t="s">
        <v>28676</v>
      </c>
      <c r="H10771" t="s">
        <v>9998</v>
      </c>
      <c r="I10771" t="s">
        <v>28693</v>
      </c>
      <c r="J10771" t="s">
        <v>29117</v>
      </c>
      <c r="K10771" t="s">
        <v>37209</v>
      </c>
      <c r="M10771" t="s">
        <v>40770</v>
      </c>
      <c r="N10771" t="s">
        <v>41249</v>
      </c>
      <c r="O10771" t="s">
        <v>41250</v>
      </c>
      <c r="Q10771">
        <v>16</v>
      </c>
      <c r="R10771" t="s">
        <v>41263</v>
      </c>
      <c r="S10771" t="s">
        <v>41778</v>
      </c>
      <c r="T10771" t="s">
        <v>42734</v>
      </c>
      <c r="U10771" t="s">
        <v>51841</v>
      </c>
      <c r="W10771" t="s">
        <v>40770</v>
      </c>
      <c r="X10771" t="s">
        <v>41264</v>
      </c>
    </row>
    <row r="10772" spans="1:24">
      <c r="A10772">
        <f>HYPERLINK("https://www.philgeps.gov.ph/GEPSNONPILOT/Tender/SplashBidNoticeAbstractUI.aspx?menuIndex=3&amp;refID=7057842&amp;Result=3","7057842")</f>
        <v>0</v>
      </c>
      <c r="B10772" t="s">
        <v>3003</v>
      </c>
      <c r="C10772" t="s">
        <v>13680</v>
      </c>
      <c r="D10772" t="s">
        <v>16608</v>
      </c>
      <c r="E10772" t="s">
        <v>26032</v>
      </c>
      <c r="F10772" t="s">
        <v>28672</v>
      </c>
      <c r="G10772" t="s">
        <v>28675</v>
      </c>
      <c r="H10772" t="s">
        <v>9998</v>
      </c>
      <c r="I10772" t="s">
        <v>5213</v>
      </c>
      <c r="J10772" t="s">
        <v>35477</v>
      </c>
      <c r="K10772" t="s">
        <v>37204</v>
      </c>
      <c r="M10772" t="s">
        <v>40772</v>
      </c>
      <c r="N10772" t="s">
        <v>41249</v>
      </c>
      <c r="O10772" t="s">
        <v>41250</v>
      </c>
      <c r="P10772">
        <v>0</v>
      </c>
      <c r="Q10772">
        <v>0</v>
      </c>
      <c r="R10772" t="s">
        <v>41263</v>
      </c>
      <c r="S10772" t="s">
        <v>41698</v>
      </c>
      <c r="T10772" t="s">
        <v>42673</v>
      </c>
      <c r="U10772" t="s">
        <v>51842</v>
      </c>
      <c r="W10772" t="s">
        <v>40772</v>
      </c>
      <c r="X10772" t="s">
        <v>41264</v>
      </c>
    </row>
    <row r="10773" spans="1:24">
      <c r="A10773">
        <f>HYPERLINK("https://www.philgeps.gov.ph/GEPSNONPILOT/Tender/SplashBidNoticeAbstractUI.aspx?menuIndex=3&amp;refID=7057883&amp;Result=3","7057883")</f>
        <v>0</v>
      </c>
      <c r="B10773" t="s">
        <v>2359</v>
      </c>
      <c r="C10773" t="s">
        <v>13681</v>
      </c>
      <c r="D10773" t="s">
        <v>16616</v>
      </c>
      <c r="E10773" t="s">
        <v>26033</v>
      </c>
      <c r="F10773" t="s">
        <v>28669</v>
      </c>
      <c r="G10773" t="s">
        <v>28675</v>
      </c>
      <c r="H10773" t="s">
        <v>28686</v>
      </c>
      <c r="I10773" t="s">
        <v>28689</v>
      </c>
      <c r="J10773" t="s">
        <v>35465</v>
      </c>
      <c r="K10773" t="s">
        <v>37219</v>
      </c>
      <c r="M10773" t="s">
        <v>40768</v>
      </c>
      <c r="N10773" t="s">
        <v>41249</v>
      </c>
      <c r="O10773" t="s">
        <v>41250</v>
      </c>
      <c r="P10773">
        <v>0</v>
      </c>
      <c r="Q10773">
        <v>2</v>
      </c>
      <c r="R10773" t="s">
        <v>41263</v>
      </c>
      <c r="S10773" t="s">
        <v>41698</v>
      </c>
      <c r="T10773" t="s">
        <v>42764</v>
      </c>
      <c r="U10773" t="s">
        <v>51829</v>
      </c>
      <c r="V10773" t="s">
        <v>55497</v>
      </c>
      <c r="W10773" t="s">
        <v>40768</v>
      </c>
      <c r="X10773" t="s">
        <v>41264</v>
      </c>
    </row>
    <row r="10774" spans="1:24">
      <c r="A10774">
        <f>HYPERLINK("https://www.philgeps.gov.ph/GEPSNONPILOT/Tender/SplashBidNoticeAbstractUI.aspx?menuIndex=3&amp;refID=7057969&amp;Result=3","7057969")</f>
        <v>0</v>
      </c>
      <c r="B10774" t="s">
        <v>2964</v>
      </c>
      <c r="C10774" t="s">
        <v>13682</v>
      </c>
      <c r="D10774" t="s">
        <v>16624</v>
      </c>
      <c r="E10774" t="s">
        <v>26034</v>
      </c>
      <c r="F10774" t="s">
        <v>28669</v>
      </c>
      <c r="G10774" t="s">
        <v>28675</v>
      </c>
      <c r="H10774" t="s">
        <v>28686</v>
      </c>
      <c r="I10774" t="s">
        <v>28689</v>
      </c>
      <c r="J10774" t="s">
        <v>35478</v>
      </c>
      <c r="K10774" t="s">
        <v>37206</v>
      </c>
      <c r="M10774" t="s">
        <v>40725</v>
      </c>
      <c r="N10774" t="s">
        <v>41249</v>
      </c>
      <c r="O10774" t="s">
        <v>41250</v>
      </c>
      <c r="P10774">
        <v>0</v>
      </c>
      <c r="Q10774">
        <v>0</v>
      </c>
      <c r="R10774" t="s">
        <v>41263</v>
      </c>
      <c r="S10774" t="s">
        <v>41698</v>
      </c>
      <c r="T10774" t="s">
        <v>42670</v>
      </c>
      <c r="U10774" t="s">
        <v>51843</v>
      </c>
      <c r="W10774" t="s">
        <v>40725</v>
      </c>
      <c r="X10774" t="s">
        <v>41264</v>
      </c>
    </row>
    <row r="10775" spans="1:24">
      <c r="A10775">
        <f>HYPERLINK("https://www.philgeps.gov.ph/GEPSNONPILOT/Tender/SplashBidNoticeAbstractUI.aspx?menuIndex=3&amp;refID=7058034&amp;Result=3","7058034")</f>
        <v>0</v>
      </c>
      <c r="B10775" t="s">
        <v>1626</v>
      </c>
      <c r="C10775" t="s">
        <v>13683</v>
      </c>
      <c r="E10775" t="s">
        <v>26035</v>
      </c>
      <c r="F10775" t="s">
        <v>28669</v>
      </c>
      <c r="G10775" t="s">
        <v>28675</v>
      </c>
      <c r="H10775" t="s">
        <v>28686</v>
      </c>
      <c r="I10775" t="s">
        <v>28689</v>
      </c>
      <c r="J10775" t="s">
        <v>35479</v>
      </c>
      <c r="K10775" t="s">
        <v>37215</v>
      </c>
      <c r="M10775" t="s">
        <v>39212</v>
      </c>
      <c r="N10775" t="s">
        <v>41249</v>
      </c>
      <c r="O10775" t="s">
        <v>41250</v>
      </c>
      <c r="P10775">
        <v>0</v>
      </c>
      <c r="Q10775">
        <v>2</v>
      </c>
      <c r="R10775" t="s">
        <v>41263</v>
      </c>
      <c r="S10775" t="s">
        <v>41698</v>
      </c>
      <c r="T10775" t="s">
        <v>42659</v>
      </c>
      <c r="U10775" t="s">
        <v>51844</v>
      </c>
      <c r="W10775" t="s">
        <v>39212</v>
      </c>
      <c r="X10775" t="s">
        <v>41264</v>
      </c>
    </row>
    <row r="10776" spans="1:24">
      <c r="A10776">
        <f>HYPERLINK("https://www.philgeps.gov.ph/GEPSNONPILOT/Tender/SplashBidNoticeAbstractUI.aspx?menuIndex=3&amp;refID=7057935&amp;Result=3","7057935")</f>
        <v>0</v>
      </c>
      <c r="B10776" t="s">
        <v>357</v>
      </c>
      <c r="C10776" t="s">
        <v>13684</v>
      </c>
      <c r="D10776" t="s">
        <v>16646</v>
      </c>
      <c r="E10776" t="s">
        <v>26036</v>
      </c>
      <c r="F10776" t="s">
        <v>28669</v>
      </c>
      <c r="G10776" t="s">
        <v>28675</v>
      </c>
      <c r="H10776" t="s">
        <v>9998</v>
      </c>
      <c r="I10776" t="s">
        <v>28714</v>
      </c>
      <c r="J10776" t="s">
        <v>33025</v>
      </c>
      <c r="K10776" t="s">
        <v>37220</v>
      </c>
      <c r="M10776" t="s">
        <v>37838</v>
      </c>
      <c r="N10776" t="s">
        <v>41249</v>
      </c>
      <c r="O10776" t="s">
        <v>41250</v>
      </c>
      <c r="P10776">
        <v>0</v>
      </c>
      <c r="Q10776">
        <v>13</v>
      </c>
      <c r="R10776" t="s">
        <v>41263</v>
      </c>
      <c r="S10776" t="s">
        <v>41698</v>
      </c>
      <c r="T10776" t="s">
        <v>43069</v>
      </c>
      <c r="U10776" t="s">
        <v>51845</v>
      </c>
      <c r="W10776" t="s">
        <v>37838</v>
      </c>
      <c r="X10776" t="s">
        <v>41264</v>
      </c>
    </row>
    <row r="10777" spans="1:24">
      <c r="A10777">
        <f>HYPERLINK("https://www.philgeps.gov.ph/GEPSNONPILOT/Tender/SplashBidNoticeAbstractUI.aspx?menuIndex=3&amp;refID=7057925&amp;Result=3","7057925")</f>
        <v>0</v>
      </c>
      <c r="B10777" t="s">
        <v>1144</v>
      </c>
      <c r="C10777" t="s">
        <v>13685</v>
      </c>
      <c r="D10777" t="s">
        <v>16608</v>
      </c>
      <c r="E10777" t="s">
        <v>26037</v>
      </c>
      <c r="F10777" t="s">
        <v>28669</v>
      </c>
      <c r="G10777" t="s">
        <v>28675</v>
      </c>
      <c r="H10777" t="s">
        <v>28686</v>
      </c>
      <c r="I10777" t="s">
        <v>28689</v>
      </c>
      <c r="J10777" t="s">
        <v>35480</v>
      </c>
      <c r="K10777" t="s">
        <v>37212</v>
      </c>
      <c r="M10777" t="s">
        <v>38680</v>
      </c>
      <c r="N10777" t="s">
        <v>41249</v>
      </c>
      <c r="O10777" t="s">
        <v>41250</v>
      </c>
      <c r="Q10777">
        <v>27</v>
      </c>
      <c r="R10777" t="s">
        <v>41263</v>
      </c>
      <c r="S10777" t="s">
        <v>41779</v>
      </c>
      <c r="T10777" t="s">
        <v>42764</v>
      </c>
      <c r="U10777" t="s">
        <v>45543</v>
      </c>
      <c r="W10777" t="s">
        <v>38680</v>
      </c>
      <c r="X10777" t="s">
        <v>41264</v>
      </c>
    </row>
    <row r="10778" spans="1:24">
      <c r="A10778">
        <f>HYPERLINK("https://www.philgeps.gov.ph/GEPSNONPILOT/Tender/SplashBidNoticeAbstractUI.aspx?menuIndex=3&amp;refID=7057920&amp;Result=3","7057920")</f>
        <v>0</v>
      </c>
      <c r="B10778" t="s">
        <v>3004</v>
      </c>
      <c r="C10778" t="s">
        <v>13686</v>
      </c>
      <c r="D10778" t="s">
        <v>16618</v>
      </c>
      <c r="E10778" t="s">
        <v>26038</v>
      </c>
      <c r="F10778" t="s">
        <v>28669</v>
      </c>
      <c r="G10778" t="s">
        <v>28675</v>
      </c>
      <c r="H10778" t="s">
        <v>28686</v>
      </c>
      <c r="I10778" t="s">
        <v>28689</v>
      </c>
      <c r="J10778" t="s">
        <v>35481</v>
      </c>
      <c r="K10778" t="s">
        <v>37294</v>
      </c>
      <c r="M10778" t="s">
        <v>40773</v>
      </c>
      <c r="N10778" t="s">
        <v>41249</v>
      </c>
      <c r="O10778" t="s">
        <v>41250</v>
      </c>
      <c r="P10778">
        <v>0</v>
      </c>
      <c r="Q10778">
        <v>0</v>
      </c>
      <c r="R10778" t="s">
        <v>41263</v>
      </c>
      <c r="S10778" t="s">
        <v>41698</v>
      </c>
      <c r="T10778" t="s">
        <v>42713</v>
      </c>
      <c r="U10778" t="s">
        <v>51846</v>
      </c>
      <c r="W10778" t="s">
        <v>40773</v>
      </c>
      <c r="X10778" t="s">
        <v>41264</v>
      </c>
    </row>
    <row r="10779" spans="1:24">
      <c r="A10779">
        <f>HYPERLINK("https://www.philgeps.gov.ph/GEPSNONPILOT/Tender/SplashBidNoticeAbstractUI.aspx?menuIndex=3&amp;refID=7057078&amp;Result=3","7057078")</f>
        <v>0</v>
      </c>
      <c r="B10779" t="s">
        <v>2058</v>
      </c>
      <c r="C10779" t="s">
        <v>13687</v>
      </c>
      <c r="D10779" t="s">
        <v>16670</v>
      </c>
      <c r="E10779" t="s">
        <v>26039</v>
      </c>
      <c r="F10779" t="s">
        <v>28669</v>
      </c>
      <c r="G10779" t="s">
        <v>28675</v>
      </c>
      <c r="H10779" t="s">
        <v>9998</v>
      </c>
      <c r="I10779" t="s">
        <v>28690</v>
      </c>
      <c r="J10779" t="s">
        <v>35482</v>
      </c>
      <c r="K10779" t="s">
        <v>37206</v>
      </c>
      <c r="M10779" t="s">
        <v>39698</v>
      </c>
      <c r="N10779" t="s">
        <v>41249</v>
      </c>
      <c r="O10779" t="s">
        <v>41250</v>
      </c>
      <c r="P10779">
        <v>0</v>
      </c>
      <c r="Q10779">
        <v>6</v>
      </c>
      <c r="R10779" t="s">
        <v>41263</v>
      </c>
      <c r="S10779" t="s">
        <v>41698</v>
      </c>
      <c r="T10779" t="s">
        <v>42671</v>
      </c>
      <c r="U10779" t="s">
        <v>51847</v>
      </c>
      <c r="V10779" t="s">
        <v>55498</v>
      </c>
      <c r="W10779" t="s">
        <v>39698</v>
      </c>
      <c r="X10779" t="s">
        <v>41264</v>
      </c>
    </row>
    <row r="10780" spans="1:24">
      <c r="A10780">
        <f>HYPERLINK("https://www.philgeps.gov.ph/GEPSNONPILOT/Tender/SplashBidNoticeAbstractUI.aspx?menuIndex=3&amp;refID=7057973&amp;Result=3","7057973")</f>
        <v>0</v>
      </c>
      <c r="B10780" t="s">
        <v>2964</v>
      </c>
      <c r="C10780" t="s">
        <v>13688</v>
      </c>
      <c r="D10780" t="s">
        <v>16624</v>
      </c>
      <c r="E10780" t="s">
        <v>26040</v>
      </c>
      <c r="F10780" t="s">
        <v>28669</v>
      </c>
      <c r="G10780" t="s">
        <v>28675</v>
      </c>
      <c r="H10780" t="s">
        <v>9998</v>
      </c>
      <c r="I10780" t="s">
        <v>28687</v>
      </c>
      <c r="J10780" t="s">
        <v>28823</v>
      </c>
      <c r="K10780" t="s">
        <v>37210</v>
      </c>
      <c r="M10780" t="s">
        <v>40725</v>
      </c>
      <c r="N10780" t="s">
        <v>41249</v>
      </c>
      <c r="O10780" t="s">
        <v>41250</v>
      </c>
      <c r="P10780">
        <v>0</v>
      </c>
      <c r="Q10780">
        <v>2</v>
      </c>
      <c r="R10780" t="s">
        <v>41263</v>
      </c>
      <c r="S10780" t="s">
        <v>41698</v>
      </c>
      <c r="T10780" t="s">
        <v>42699</v>
      </c>
      <c r="U10780" t="s">
        <v>51848</v>
      </c>
      <c r="W10780" t="s">
        <v>40725</v>
      </c>
      <c r="X10780" t="s">
        <v>41264</v>
      </c>
    </row>
    <row r="10781" spans="1:24">
      <c r="A10781">
        <f>HYPERLINK("https://www.philgeps.gov.ph/GEPSNONPILOT/Tender/SplashBidNoticeAbstractUI.aspx?menuIndex=3&amp;refID=7026745-2&amp;Result=3","7026745-2")</f>
        <v>0</v>
      </c>
      <c r="B10781" t="s">
        <v>2214</v>
      </c>
      <c r="C10781" t="s">
        <v>13689</v>
      </c>
      <c r="E10781" t="s">
        <v>26041</v>
      </c>
      <c r="F10781" t="s">
        <v>28669</v>
      </c>
      <c r="G10781" t="s">
        <v>28675</v>
      </c>
      <c r="H10781" t="s">
        <v>28685</v>
      </c>
      <c r="I10781" t="s">
        <v>28818</v>
      </c>
      <c r="J10781" t="s">
        <v>35483</v>
      </c>
      <c r="K10781" t="s">
        <v>37451</v>
      </c>
      <c r="M10781" t="s">
        <v>39866</v>
      </c>
      <c r="N10781" t="s">
        <v>41249</v>
      </c>
      <c r="O10781" t="s">
        <v>41250</v>
      </c>
      <c r="P10781">
        <v>0</v>
      </c>
      <c r="Q10781">
        <v>2</v>
      </c>
      <c r="R10781" t="s">
        <v>41264</v>
      </c>
      <c r="S10781" t="s">
        <v>41775</v>
      </c>
      <c r="T10781" t="s">
        <v>42690</v>
      </c>
      <c r="U10781" t="s">
        <v>51849</v>
      </c>
      <c r="V10781" t="s">
        <v>55044</v>
      </c>
      <c r="W10781" t="s">
        <v>39866</v>
      </c>
      <c r="X10781" t="s">
        <v>41266</v>
      </c>
    </row>
    <row r="10782" spans="1:24">
      <c r="A10782">
        <f>HYPERLINK("https://www.philgeps.gov.ph/GEPSNONPILOT/Tender/SplashBidNoticeAbstractUI.aspx?menuIndex=3&amp;refID=7057962&amp;Result=3","7057962")</f>
        <v>0</v>
      </c>
      <c r="B10782" t="s">
        <v>2964</v>
      </c>
      <c r="C10782" t="s">
        <v>13690</v>
      </c>
      <c r="D10782" t="s">
        <v>16624</v>
      </c>
      <c r="E10782" t="s">
        <v>26042</v>
      </c>
      <c r="F10782" t="s">
        <v>28669</v>
      </c>
      <c r="G10782" t="s">
        <v>28675</v>
      </c>
      <c r="H10782" t="s">
        <v>28686</v>
      </c>
      <c r="I10782" t="s">
        <v>28689</v>
      </c>
      <c r="J10782" t="s">
        <v>35484</v>
      </c>
      <c r="K10782" t="s">
        <v>37215</v>
      </c>
      <c r="M10782" t="s">
        <v>40725</v>
      </c>
      <c r="N10782" t="s">
        <v>41249</v>
      </c>
      <c r="O10782" t="s">
        <v>41250</v>
      </c>
      <c r="P10782">
        <v>0</v>
      </c>
      <c r="Q10782">
        <v>0</v>
      </c>
      <c r="R10782" t="s">
        <v>41263</v>
      </c>
      <c r="S10782" t="s">
        <v>41698</v>
      </c>
      <c r="T10782" t="s">
        <v>42670</v>
      </c>
      <c r="U10782" t="s">
        <v>51850</v>
      </c>
      <c r="W10782" t="s">
        <v>40725</v>
      </c>
      <c r="X10782" t="s">
        <v>41264</v>
      </c>
    </row>
    <row r="10783" spans="1:24">
      <c r="A10783">
        <f>HYPERLINK("https://www.philgeps.gov.ph/GEPSNONPILOT/Tender/SplashBidNoticeAbstractUI.aspx?menuIndex=3&amp;refID=7047790&amp;Result=3","7047790")</f>
        <v>0</v>
      </c>
      <c r="B10783" t="s">
        <v>337</v>
      </c>
      <c r="C10783" t="s">
        <v>13691</v>
      </c>
      <c r="E10783" t="s">
        <v>26043</v>
      </c>
      <c r="F10783" t="s">
        <v>28669</v>
      </c>
      <c r="G10783" t="s">
        <v>28675</v>
      </c>
      <c r="H10783" t="s">
        <v>9998</v>
      </c>
      <c r="I10783" t="s">
        <v>28690</v>
      </c>
      <c r="J10783" t="s">
        <v>35485</v>
      </c>
      <c r="K10783" t="s">
        <v>37209</v>
      </c>
      <c r="M10783" t="s">
        <v>40774</v>
      </c>
      <c r="N10783" t="s">
        <v>41249</v>
      </c>
      <c r="O10783" t="s">
        <v>41250</v>
      </c>
      <c r="P10783">
        <v>0</v>
      </c>
      <c r="Q10783">
        <v>11</v>
      </c>
      <c r="R10783" t="s">
        <v>41264</v>
      </c>
      <c r="S10783" t="s">
        <v>41775</v>
      </c>
      <c r="T10783" t="s">
        <v>42678</v>
      </c>
      <c r="U10783" t="s">
        <v>51851</v>
      </c>
      <c r="W10783" t="s">
        <v>40774</v>
      </c>
      <c r="X10783" t="s">
        <v>41267</v>
      </c>
    </row>
    <row r="10784" spans="1:24">
      <c r="A10784">
        <f>HYPERLINK("https://www.philgeps.gov.ph/GEPSNONPILOT/Tender/SplashBidNoticeAbstractUI.aspx?menuIndex=3&amp;refID=7057921&amp;Result=3","7057921")</f>
        <v>0</v>
      </c>
      <c r="B10784" t="s">
        <v>565</v>
      </c>
      <c r="C10784" t="s">
        <v>13692</v>
      </c>
      <c r="E10784" t="s">
        <v>26044</v>
      </c>
      <c r="F10784" t="s">
        <v>28669</v>
      </c>
      <c r="G10784" t="s">
        <v>28675</v>
      </c>
      <c r="H10784" t="s">
        <v>9998</v>
      </c>
      <c r="I10784" t="s">
        <v>28698</v>
      </c>
      <c r="J10784" t="s">
        <v>35486</v>
      </c>
      <c r="K10784" t="s">
        <v>37209</v>
      </c>
      <c r="M10784" t="s">
        <v>39536</v>
      </c>
      <c r="N10784" t="s">
        <v>41249</v>
      </c>
      <c r="O10784" t="s">
        <v>41250</v>
      </c>
      <c r="P10784">
        <v>0</v>
      </c>
      <c r="Q10784">
        <v>3</v>
      </c>
      <c r="R10784" t="s">
        <v>41263</v>
      </c>
      <c r="S10784" t="s">
        <v>41698</v>
      </c>
      <c r="T10784" t="s">
        <v>42755</v>
      </c>
      <c r="U10784" t="s">
        <v>51852</v>
      </c>
      <c r="W10784" t="s">
        <v>39536</v>
      </c>
      <c r="X10784" t="s">
        <v>41264</v>
      </c>
    </row>
    <row r="10785" spans="1:24">
      <c r="A10785">
        <f>HYPERLINK("https://www.philgeps.gov.ph/GEPSNONPILOT/Tender/SplashBidNoticeAbstractUI.aspx?menuIndex=3&amp;refID=7047369&amp;Result=3","7047369")</f>
        <v>0</v>
      </c>
      <c r="B10785" t="s">
        <v>345</v>
      </c>
      <c r="C10785" t="s">
        <v>13693</v>
      </c>
      <c r="D10785" t="s">
        <v>16666</v>
      </c>
      <c r="E10785" t="s">
        <v>26045</v>
      </c>
      <c r="F10785" t="s">
        <v>28669</v>
      </c>
      <c r="G10785" t="s">
        <v>28675</v>
      </c>
      <c r="H10785" t="s">
        <v>9998</v>
      </c>
      <c r="I10785" t="s">
        <v>28690</v>
      </c>
      <c r="J10785" t="s">
        <v>35487</v>
      </c>
      <c r="K10785" t="s">
        <v>37209</v>
      </c>
      <c r="M10785" t="s">
        <v>40567</v>
      </c>
      <c r="N10785" t="s">
        <v>41249</v>
      </c>
      <c r="O10785" t="s">
        <v>41250</v>
      </c>
      <c r="Q10785">
        <v>55</v>
      </c>
      <c r="R10785" t="s">
        <v>41264</v>
      </c>
      <c r="S10785" t="s">
        <v>41780</v>
      </c>
      <c r="T10785" t="s">
        <v>42761</v>
      </c>
      <c r="U10785" t="s">
        <v>51853</v>
      </c>
      <c r="W10785" t="s">
        <v>40567</v>
      </c>
      <c r="X10785" t="s">
        <v>41267</v>
      </c>
    </row>
    <row r="10786" spans="1:24">
      <c r="A10786">
        <f>HYPERLINK("https://www.philgeps.gov.ph/GEPSNONPILOT/Tender/SplashBidNoticeAbstractUI.aspx?menuIndex=3&amp;refID=7048004&amp;Result=3","7048004")</f>
        <v>0</v>
      </c>
      <c r="B10786" t="s">
        <v>3005</v>
      </c>
      <c r="C10786" t="s">
        <v>13694</v>
      </c>
      <c r="D10786" t="s">
        <v>16616</v>
      </c>
      <c r="E10786" t="s">
        <v>26046</v>
      </c>
      <c r="F10786" t="s">
        <v>28671</v>
      </c>
      <c r="G10786" t="s">
        <v>28675</v>
      </c>
      <c r="H10786" t="s">
        <v>9998</v>
      </c>
      <c r="I10786" t="s">
        <v>28689</v>
      </c>
      <c r="J10786" t="s">
        <v>28878</v>
      </c>
      <c r="K10786" t="s">
        <v>37213</v>
      </c>
      <c r="M10786" t="s">
        <v>40775</v>
      </c>
      <c r="N10786" t="s">
        <v>41249</v>
      </c>
      <c r="O10786" t="s">
        <v>41250</v>
      </c>
      <c r="P10786">
        <v>0</v>
      </c>
      <c r="Q10786">
        <v>0</v>
      </c>
      <c r="R10786" t="s">
        <v>41264</v>
      </c>
      <c r="S10786" t="s">
        <v>41775</v>
      </c>
      <c r="T10786" t="s">
        <v>42679</v>
      </c>
      <c r="U10786" t="s">
        <v>51854</v>
      </c>
      <c r="V10786" t="s">
        <v>55499</v>
      </c>
      <c r="W10786" t="s">
        <v>40775</v>
      </c>
      <c r="X10786" t="s">
        <v>41267</v>
      </c>
    </row>
    <row r="10787" spans="1:24">
      <c r="A10787">
        <f>HYPERLINK("https://www.philgeps.gov.ph/GEPSNONPILOT/Tender/SplashBidNoticeAbstractUI.aspx?menuIndex=3&amp;refID=7045905&amp;Result=3","7045905")</f>
        <v>0</v>
      </c>
      <c r="B10787" t="s">
        <v>2149</v>
      </c>
      <c r="C10787" t="s">
        <v>13695</v>
      </c>
      <c r="D10787" t="s">
        <v>16676</v>
      </c>
      <c r="E10787" t="s">
        <v>26047</v>
      </c>
      <c r="F10787" t="s">
        <v>28669</v>
      </c>
      <c r="G10787" t="s">
        <v>28675</v>
      </c>
      <c r="H10787" t="s">
        <v>28686</v>
      </c>
      <c r="I10787" t="s">
        <v>28689</v>
      </c>
      <c r="J10787" t="s">
        <v>35488</v>
      </c>
      <c r="K10787" t="s">
        <v>37233</v>
      </c>
      <c r="M10787" t="s">
        <v>39794</v>
      </c>
      <c r="N10787" t="s">
        <v>41249</v>
      </c>
      <c r="O10787" t="s">
        <v>41250</v>
      </c>
      <c r="P10787">
        <v>0</v>
      </c>
      <c r="Q10787">
        <v>1</v>
      </c>
      <c r="R10787" t="s">
        <v>41264</v>
      </c>
      <c r="S10787" t="s">
        <v>41775</v>
      </c>
      <c r="T10787" t="s">
        <v>42671</v>
      </c>
      <c r="U10787" t="s">
        <v>51855</v>
      </c>
      <c r="W10787" t="s">
        <v>39794</v>
      </c>
      <c r="X10787" t="s">
        <v>41268</v>
      </c>
    </row>
    <row r="10788" spans="1:24">
      <c r="A10788">
        <f>HYPERLINK("https://www.philgeps.gov.ph/GEPSNONPILOT/Tender/SplashBidNoticeAbstractUI.aspx?menuIndex=3&amp;refID=7057806&amp;Result=3","7057806")</f>
        <v>0</v>
      </c>
      <c r="B10788" t="s">
        <v>2375</v>
      </c>
      <c r="C10788" t="s">
        <v>13696</v>
      </c>
      <c r="D10788" t="s">
        <v>16680</v>
      </c>
      <c r="E10788" t="s">
        <v>26048</v>
      </c>
      <c r="F10788" t="s">
        <v>28669</v>
      </c>
      <c r="G10788" t="s">
        <v>28675</v>
      </c>
      <c r="H10788" t="s">
        <v>28686</v>
      </c>
      <c r="I10788" t="s">
        <v>28689</v>
      </c>
      <c r="J10788" t="s">
        <v>28924</v>
      </c>
      <c r="K10788" t="s">
        <v>37317</v>
      </c>
      <c r="M10788" t="s">
        <v>40045</v>
      </c>
      <c r="N10788" t="s">
        <v>41249</v>
      </c>
      <c r="O10788" t="s">
        <v>41250</v>
      </c>
      <c r="P10788">
        <v>0</v>
      </c>
      <c r="Q10788">
        <v>0</v>
      </c>
      <c r="R10788" t="s">
        <v>41263</v>
      </c>
      <c r="S10788" t="s">
        <v>41698</v>
      </c>
      <c r="T10788" t="s">
        <v>42881</v>
      </c>
      <c r="U10788" t="s">
        <v>51856</v>
      </c>
      <c r="W10788" t="s">
        <v>40045</v>
      </c>
      <c r="X10788" t="s">
        <v>41264</v>
      </c>
    </row>
    <row r="10789" spans="1:24">
      <c r="A10789">
        <f>HYPERLINK("https://www.philgeps.gov.ph/GEPSNONPILOT/Tender/SplashBidNoticeAbstractUI.aspx?menuIndex=3&amp;refID=7045768&amp;Result=3","7045768")</f>
        <v>0</v>
      </c>
      <c r="B10789" t="s">
        <v>2149</v>
      </c>
      <c r="C10789" t="s">
        <v>13697</v>
      </c>
      <c r="D10789" t="s">
        <v>16676</v>
      </c>
      <c r="E10789" t="s">
        <v>26049</v>
      </c>
      <c r="F10789" t="s">
        <v>28669</v>
      </c>
      <c r="G10789" t="s">
        <v>28675</v>
      </c>
      <c r="H10789" t="s">
        <v>28686</v>
      </c>
      <c r="I10789" t="s">
        <v>28689</v>
      </c>
      <c r="J10789" t="s">
        <v>35489</v>
      </c>
      <c r="K10789" t="s">
        <v>37233</v>
      </c>
      <c r="M10789" t="s">
        <v>39794</v>
      </c>
      <c r="N10789" t="s">
        <v>41249</v>
      </c>
      <c r="O10789" t="s">
        <v>41250</v>
      </c>
      <c r="P10789">
        <v>0</v>
      </c>
      <c r="Q10789">
        <v>0</v>
      </c>
      <c r="R10789" t="s">
        <v>41264</v>
      </c>
      <c r="S10789" t="s">
        <v>41775</v>
      </c>
      <c r="T10789" t="s">
        <v>42671</v>
      </c>
      <c r="U10789" t="s">
        <v>51857</v>
      </c>
      <c r="W10789" t="s">
        <v>39794</v>
      </c>
      <c r="X10789" t="s">
        <v>41268</v>
      </c>
    </row>
    <row r="10790" spans="1:24">
      <c r="A10790">
        <f>HYPERLINK("https://www.philgeps.gov.ph/GEPSNONPILOT/Tender/SplashBidNoticeAbstractUI.aspx?menuIndex=3&amp;refID=7047926&amp;Result=3","7047926")</f>
        <v>0</v>
      </c>
      <c r="B10790" t="s">
        <v>337</v>
      </c>
      <c r="C10790" t="s">
        <v>13698</v>
      </c>
      <c r="E10790" t="s">
        <v>26050</v>
      </c>
      <c r="F10790" t="s">
        <v>28669</v>
      </c>
      <c r="G10790" t="s">
        <v>28675</v>
      </c>
      <c r="H10790" t="s">
        <v>9998</v>
      </c>
      <c r="I10790" t="s">
        <v>28690</v>
      </c>
      <c r="J10790" t="s">
        <v>33099</v>
      </c>
      <c r="K10790" t="s">
        <v>37209</v>
      </c>
      <c r="M10790" t="s">
        <v>40774</v>
      </c>
      <c r="N10790" t="s">
        <v>41249</v>
      </c>
      <c r="O10790" t="s">
        <v>41250</v>
      </c>
      <c r="P10790">
        <v>0</v>
      </c>
      <c r="Q10790">
        <v>15</v>
      </c>
      <c r="R10790" t="s">
        <v>41264</v>
      </c>
      <c r="S10790" t="s">
        <v>41775</v>
      </c>
      <c r="T10790" t="s">
        <v>42678</v>
      </c>
      <c r="U10790" t="s">
        <v>51858</v>
      </c>
      <c r="W10790" t="s">
        <v>40774</v>
      </c>
      <c r="X10790" t="s">
        <v>41267</v>
      </c>
    </row>
    <row r="10791" spans="1:24">
      <c r="A10791">
        <f>HYPERLINK("https://www.philgeps.gov.ph/GEPSNONPILOT/Tender/SplashBidNoticeAbstractUI.aspx?menuIndex=3&amp;refID=7057859&amp;Result=3","7057859")</f>
        <v>0</v>
      </c>
      <c r="B10791" t="s">
        <v>1144</v>
      </c>
      <c r="C10791" t="s">
        <v>13699</v>
      </c>
      <c r="D10791" t="s">
        <v>16608</v>
      </c>
      <c r="E10791" t="s">
        <v>26051</v>
      </c>
      <c r="F10791" t="s">
        <v>28669</v>
      </c>
      <c r="G10791" t="s">
        <v>28675</v>
      </c>
      <c r="H10791" t="s">
        <v>28686</v>
      </c>
      <c r="I10791" t="s">
        <v>28689</v>
      </c>
      <c r="J10791" t="s">
        <v>35490</v>
      </c>
      <c r="K10791" t="s">
        <v>37212</v>
      </c>
      <c r="M10791" t="s">
        <v>38680</v>
      </c>
      <c r="N10791" t="s">
        <v>41249</v>
      </c>
      <c r="O10791" t="s">
        <v>41250</v>
      </c>
      <c r="Q10791">
        <v>27</v>
      </c>
      <c r="R10791" t="s">
        <v>41263</v>
      </c>
      <c r="S10791" t="s">
        <v>41781</v>
      </c>
      <c r="T10791" t="s">
        <v>42764</v>
      </c>
      <c r="U10791" t="s">
        <v>45543</v>
      </c>
      <c r="W10791" t="s">
        <v>38680</v>
      </c>
      <c r="X10791" t="s">
        <v>41264</v>
      </c>
    </row>
    <row r="10792" spans="1:24">
      <c r="A10792">
        <f>HYPERLINK("https://www.philgeps.gov.ph/GEPSNONPILOT/Tender/SplashBidNoticeAbstractUI.aspx?menuIndex=3&amp;refID=7043681&amp;Result=3","7043681")</f>
        <v>0</v>
      </c>
      <c r="B10792" t="s">
        <v>3006</v>
      </c>
      <c r="C10792" t="s">
        <v>13700</v>
      </c>
      <c r="D10792" t="s">
        <v>16653</v>
      </c>
      <c r="E10792" t="s">
        <v>26052</v>
      </c>
      <c r="F10792" t="s">
        <v>28669</v>
      </c>
      <c r="G10792" t="s">
        <v>28675</v>
      </c>
      <c r="H10792" t="s">
        <v>28686</v>
      </c>
      <c r="I10792" t="s">
        <v>28689</v>
      </c>
      <c r="J10792" t="s">
        <v>29655</v>
      </c>
      <c r="K10792" t="s">
        <v>37215</v>
      </c>
      <c r="M10792" t="s">
        <v>40776</v>
      </c>
      <c r="N10792" t="s">
        <v>41249</v>
      </c>
      <c r="O10792" t="s">
        <v>41250</v>
      </c>
      <c r="P10792">
        <v>0</v>
      </c>
      <c r="Q10792">
        <v>0</v>
      </c>
      <c r="R10792" t="s">
        <v>41264</v>
      </c>
      <c r="S10792" t="s">
        <v>41775</v>
      </c>
      <c r="T10792" t="s">
        <v>42703</v>
      </c>
      <c r="U10792" t="s">
        <v>51859</v>
      </c>
      <c r="W10792" t="s">
        <v>56021</v>
      </c>
      <c r="X10792" t="s">
        <v>41271</v>
      </c>
    </row>
    <row r="10793" spans="1:24">
      <c r="A10793">
        <f>HYPERLINK("https://www.philgeps.gov.ph/GEPSNONPILOT/Tender/SplashBidNoticeAbstractUI.aspx?menuIndex=3&amp;refID=7038397&amp;Result=3","7038397")</f>
        <v>0</v>
      </c>
      <c r="B10793" t="s">
        <v>337</v>
      </c>
      <c r="C10793" t="s">
        <v>13701</v>
      </c>
      <c r="E10793" t="s">
        <v>26053</v>
      </c>
      <c r="F10793" t="s">
        <v>28669</v>
      </c>
      <c r="G10793" t="s">
        <v>28675</v>
      </c>
      <c r="H10793" t="s">
        <v>28686</v>
      </c>
      <c r="I10793" t="s">
        <v>28689</v>
      </c>
      <c r="J10793" t="s">
        <v>33541</v>
      </c>
      <c r="K10793" t="s">
        <v>37334</v>
      </c>
      <c r="M10793" t="s">
        <v>40774</v>
      </c>
      <c r="N10793" t="s">
        <v>41249</v>
      </c>
      <c r="O10793" t="s">
        <v>41250</v>
      </c>
      <c r="P10793">
        <v>0</v>
      </c>
      <c r="Q10793">
        <v>2</v>
      </c>
      <c r="R10793" t="s">
        <v>41264</v>
      </c>
      <c r="S10793" t="s">
        <v>41775</v>
      </c>
      <c r="T10793" t="s">
        <v>42670</v>
      </c>
      <c r="U10793" t="s">
        <v>51860</v>
      </c>
      <c r="W10793" t="s">
        <v>40774</v>
      </c>
      <c r="X10793" t="s">
        <v>41273</v>
      </c>
    </row>
    <row r="10794" spans="1:24">
      <c r="A10794">
        <f>HYPERLINK("https://www.philgeps.gov.ph/GEPSNONPILOT/Tender/SplashBidNoticeAbstractUI.aspx?menuIndex=3&amp;refID=7046231&amp;Result=3","7046231")</f>
        <v>0</v>
      </c>
      <c r="B10794" t="s">
        <v>3007</v>
      </c>
      <c r="C10794" t="s">
        <v>13702</v>
      </c>
      <c r="D10794" t="s">
        <v>16621</v>
      </c>
      <c r="E10794" t="s">
        <v>26054</v>
      </c>
      <c r="F10794" t="s">
        <v>28669</v>
      </c>
      <c r="G10794" t="s">
        <v>28675</v>
      </c>
      <c r="H10794" t="s">
        <v>28686</v>
      </c>
      <c r="I10794" t="s">
        <v>28689</v>
      </c>
      <c r="J10794" t="s">
        <v>29003</v>
      </c>
      <c r="K10794" t="s">
        <v>37213</v>
      </c>
      <c r="M10794" t="s">
        <v>40777</v>
      </c>
      <c r="N10794" t="s">
        <v>41249</v>
      </c>
      <c r="O10794" t="s">
        <v>41250</v>
      </c>
      <c r="P10794">
        <v>0</v>
      </c>
      <c r="Q10794">
        <v>0</v>
      </c>
      <c r="R10794" t="s">
        <v>41264</v>
      </c>
      <c r="S10794" t="s">
        <v>41775</v>
      </c>
      <c r="T10794" t="s">
        <v>42750</v>
      </c>
      <c r="U10794" t="s">
        <v>51861</v>
      </c>
      <c r="W10794" t="s">
        <v>40777</v>
      </c>
      <c r="X10794" t="s">
        <v>41268</v>
      </c>
    </row>
    <row r="10795" spans="1:24">
      <c r="A10795">
        <f>HYPERLINK("https://www.philgeps.gov.ph/GEPSNONPILOT/Tender/SplashBidNoticeAbstractUI.aspx?menuIndex=3&amp;refID=7049244&amp;Result=3","7049244")</f>
        <v>0</v>
      </c>
      <c r="B10795" t="s">
        <v>3008</v>
      </c>
      <c r="C10795" t="s">
        <v>13703</v>
      </c>
      <c r="D10795" t="s">
        <v>16622</v>
      </c>
      <c r="E10795" t="s">
        <v>26055</v>
      </c>
      <c r="F10795" t="s">
        <v>28669</v>
      </c>
      <c r="G10795" t="s">
        <v>28675</v>
      </c>
      <c r="H10795" t="s">
        <v>9998</v>
      </c>
      <c r="I10795" t="s">
        <v>28694</v>
      </c>
      <c r="J10795" t="s">
        <v>35491</v>
      </c>
      <c r="K10795" t="s">
        <v>37205</v>
      </c>
      <c r="M10795" t="s">
        <v>40778</v>
      </c>
      <c r="N10795" t="s">
        <v>41249</v>
      </c>
      <c r="O10795" t="s">
        <v>41250</v>
      </c>
      <c r="P10795">
        <v>0</v>
      </c>
      <c r="Q10795">
        <v>1</v>
      </c>
      <c r="R10795" t="s">
        <v>41264</v>
      </c>
      <c r="S10795" t="s">
        <v>41775</v>
      </c>
      <c r="T10795" t="s">
        <v>42678</v>
      </c>
      <c r="U10795" t="s">
        <v>51862</v>
      </c>
      <c r="W10795" t="s">
        <v>40778</v>
      </c>
      <c r="X10795" t="s">
        <v>41267</v>
      </c>
    </row>
    <row r="10796" spans="1:24">
      <c r="A10796">
        <f>HYPERLINK("https://www.philgeps.gov.ph/GEPSNONPILOT/Tender/SplashBidNoticeAbstractUI.aspx?menuIndex=3&amp;refID=7049407&amp;Result=3","7049407")</f>
        <v>0</v>
      </c>
      <c r="B10796" t="s">
        <v>3009</v>
      </c>
      <c r="C10796" t="s">
        <v>13704</v>
      </c>
      <c r="D10796" t="s">
        <v>16631</v>
      </c>
      <c r="E10796" t="s">
        <v>26056</v>
      </c>
      <c r="F10796" t="s">
        <v>28669</v>
      </c>
      <c r="G10796" t="s">
        <v>28675</v>
      </c>
      <c r="H10796" t="s">
        <v>9998</v>
      </c>
      <c r="I10796" t="s">
        <v>28731</v>
      </c>
      <c r="J10796" t="s">
        <v>35492</v>
      </c>
      <c r="K10796" t="s">
        <v>37205</v>
      </c>
      <c r="M10796" t="s">
        <v>40779</v>
      </c>
      <c r="N10796" t="s">
        <v>41249</v>
      </c>
      <c r="O10796" t="s">
        <v>41250</v>
      </c>
      <c r="P10796">
        <v>0</v>
      </c>
      <c r="Q10796">
        <v>3</v>
      </c>
      <c r="R10796" t="s">
        <v>41264</v>
      </c>
      <c r="S10796" t="s">
        <v>41775</v>
      </c>
      <c r="T10796" t="s">
        <v>42734</v>
      </c>
      <c r="U10796" t="s">
        <v>51863</v>
      </c>
      <c r="V10796" t="s">
        <v>55500</v>
      </c>
      <c r="W10796" t="s">
        <v>40779</v>
      </c>
      <c r="X10796" t="s">
        <v>41267</v>
      </c>
    </row>
    <row r="10797" spans="1:24">
      <c r="A10797">
        <f>HYPERLINK("https://www.philgeps.gov.ph/GEPSNONPILOT/Tender/SplashBidNoticeAbstractUI.aspx?menuIndex=3&amp;refID=7045844&amp;Result=3","7045844")</f>
        <v>0</v>
      </c>
      <c r="B10797" t="s">
        <v>3007</v>
      </c>
      <c r="C10797" t="s">
        <v>13705</v>
      </c>
      <c r="D10797" t="s">
        <v>16621</v>
      </c>
      <c r="E10797" t="s">
        <v>26057</v>
      </c>
      <c r="F10797" t="s">
        <v>28669</v>
      </c>
      <c r="G10797" t="s">
        <v>28675</v>
      </c>
      <c r="H10797" t="s">
        <v>28686</v>
      </c>
      <c r="I10797" t="s">
        <v>28689</v>
      </c>
      <c r="J10797" t="s">
        <v>29003</v>
      </c>
      <c r="K10797" t="s">
        <v>37213</v>
      </c>
      <c r="M10797" t="s">
        <v>40777</v>
      </c>
      <c r="N10797" t="s">
        <v>41249</v>
      </c>
      <c r="O10797" t="s">
        <v>41250</v>
      </c>
      <c r="P10797">
        <v>0</v>
      </c>
      <c r="Q10797">
        <v>0</v>
      </c>
      <c r="R10797" t="s">
        <v>41264</v>
      </c>
      <c r="S10797" t="s">
        <v>41775</v>
      </c>
      <c r="T10797" t="s">
        <v>42764</v>
      </c>
      <c r="U10797" t="s">
        <v>51864</v>
      </c>
      <c r="W10797" t="s">
        <v>40777</v>
      </c>
      <c r="X10797" t="s">
        <v>41268</v>
      </c>
    </row>
    <row r="10798" spans="1:24">
      <c r="A10798">
        <f>HYPERLINK("https://www.philgeps.gov.ph/GEPSNONPILOT/Tender/SplashBidNoticeAbstractUI.aspx?menuIndex=3&amp;refID=7049355&amp;Result=3","7049355")</f>
        <v>0</v>
      </c>
      <c r="B10798" t="s">
        <v>3009</v>
      </c>
      <c r="C10798" t="s">
        <v>13706</v>
      </c>
      <c r="D10798" t="s">
        <v>16631</v>
      </c>
      <c r="E10798" t="s">
        <v>26058</v>
      </c>
      <c r="F10798" t="s">
        <v>28669</v>
      </c>
      <c r="G10798" t="s">
        <v>28675</v>
      </c>
      <c r="H10798" t="s">
        <v>9998</v>
      </c>
      <c r="I10798" t="s">
        <v>28695</v>
      </c>
      <c r="J10798" t="s">
        <v>35493</v>
      </c>
      <c r="K10798" t="s">
        <v>37205</v>
      </c>
      <c r="M10798" t="s">
        <v>40779</v>
      </c>
      <c r="N10798" t="s">
        <v>41249</v>
      </c>
      <c r="O10798" t="s">
        <v>41250</v>
      </c>
      <c r="P10798">
        <v>0</v>
      </c>
      <c r="Q10798">
        <v>0</v>
      </c>
      <c r="R10798" t="s">
        <v>41264</v>
      </c>
      <c r="S10798" t="s">
        <v>41775</v>
      </c>
      <c r="T10798" t="s">
        <v>42734</v>
      </c>
      <c r="U10798" t="s">
        <v>51865</v>
      </c>
      <c r="V10798" t="s">
        <v>55500</v>
      </c>
      <c r="W10798" t="s">
        <v>40779</v>
      </c>
      <c r="X10798" t="s">
        <v>41267</v>
      </c>
    </row>
    <row r="10799" spans="1:24">
      <c r="A10799">
        <f>HYPERLINK("https://www.philgeps.gov.ph/GEPSNONPILOT/Tender/SplashBidNoticeAbstractUI.aspx?menuIndex=3&amp;refID=7039324&amp;Result=3","7039324")</f>
        <v>0</v>
      </c>
      <c r="B10799" t="s">
        <v>3010</v>
      </c>
      <c r="C10799" t="s">
        <v>13707</v>
      </c>
      <c r="D10799" t="s">
        <v>16664</v>
      </c>
      <c r="E10799" t="s">
        <v>26059</v>
      </c>
      <c r="F10799" t="s">
        <v>28669</v>
      </c>
      <c r="G10799" t="s">
        <v>28675</v>
      </c>
      <c r="H10799" t="s">
        <v>9998</v>
      </c>
      <c r="I10799" t="s">
        <v>7352</v>
      </c>
      <c r="J10799" t="s">
        <v>28826</v>
      </c>
      <c r="K10799" t="s">
        <v>37206</v>
      </c>
      <c r="M10799" t="s">
        <v>40780</v>
      </c>
      <c r="N10799" t="s">
        <v>41249</v>
      </c>
      <c r="O10799" t="s">
        <v>41250</v>
      </c>
      <c r="P10799">
        <v>0</v>
      </c>
      <c r="Q10799">
        <v>0</v>
      </c>
      <c r="R10799" t="s">
        <v>41264</v>
      </c>
      <c r="S10799" t="s">
        <v>41775</v>
      </c>
      <c r="T10799" t="s">
        <v>42673</v>
      </c>
      <c r="U10799" t="s">
        <v>44283</v>
      </c>
      <c r="W10799" t="s">
        <v>40780</v>
      </c>
      <c r="X10799" t="s">
        <v>41273</v>
      </c>
    </row>
    <row r="10800" spans="1:24">
      <c r="A10800">
        <f>HYPERLINK("https://www.philgeps.gov.ph/GEPSNONPILOT/Tender/SplashBidNoticeAbstractUI.aspx?menuIndex=3&amp;refID=7049294&amp;Result=3","7049294")</f>
        <v>0</v>
      </c>
      <c r="B10800" t="s">
        <v>3011</v>
      </c>
      <c r="C10800" t="s">
        <v>13708</v>
      </c>
      <c r="D10800" t="s">
        <v>16622</v>
      </c>
      <c r="E10800" t="s">
        <v>26060</v>
      </c>
      <c r="F10800" t="s">
        <v>28669</v>
      </c>
      <c r="G10800" t="s">
        <v>28675</v>
      </c>
      <c r="H10800" t="s">
        <v>9998</v>
      </c>
      <c r="I10800" t="s">
        <v>28694</v>
      </c>
      <c r="J10800" t="s">
        <v>35494</v>
      </c>
      <c r="K10800" t="s">
        <v>37205</v>
      </c>
      <c r="M10800" t="s">
        <v>40781</v>
      </c>
      <c r="N10800" t="s">
        <v>41249</v>
      </c>
      <c r="O10800" t="s">
        <v>41250</v>
      </c>
      <c r="P10800">
        <v>0</v>
      </c>
      <c r="Q10800">
        <v>1</v>
      </c>
      <c r="R10800" t="s">
        <v>41264</v>
      </c>
      <c r="S10800" t="s">
        <v>41775</v>
      </c>
      <c r="T10800" t="s">
        <v>42678</v>
      </c>
      <c r="U10800" t="s">
        <v>51866</v>
      </c>
      <c r="W10800" t="s">
        <v>40781</v>
      </c>
      <c r="X10800" t="s">
        <v>41267</v>
      </c>
    </row>
    <row r="10801" spans="1:24">
      <c r="A10801">
        <f>HYPERLINK("https://www.philgeps.gov.ph/GEPSNONPILOT/Tender/SplashBidNoticeAbstractUI.aspx?menuIndex=3&amp;refID=7047622&amp;Result=3","7047622")</f>
        <v>0</v>
      </c>
      <c r="B10801" t="s">
        <v>337</v>
      </c>
      <c r="C10801" t="s">
        <v>13709</v>
      </c>
      <c r="E10801" t="s">
        <v>26061</v>
      </c>
      <c r="F10801" t="s">
        <v>28669</v>
      </c>
      <c r="G10801" t="s">
        <v>28675</v>
      </c>
      <c r="H10801" t="s">
        <v>9998</v>
      </c>
      <c r="I10801" t="s">
        <v>28819</v>
      </c>
      <c r="J10801" t="s">
        <v>31761</v>
      </c>
      <c r="K10801" t="s">
        <v>37209</v>
      </c>
      <c r="M10801" t="s">
        <v>40774</v>
      </c>
      <c r="N10801" t="s">
        <v>41249</v>
      </c>
      <c r="O10801" t="s">
        <v>41250</v>
      </c>
      <c r="P10801">
        <v>0</v>
      </c>
      <c r="Q10801">
        <v>10</v>
      </c>
      <c r="R10801" t="s">
        <v>41264</v>
      </c>
      <c r="S10801" t="s">
        <v>41775</v>
      </c>
      <c r="T10801" t="s">
        <v>42678</v>
      </c>
      <c r="U10801" t="s">
        <v>51867</v>
      </c>
      <c r="W10801" t="s">
        <v>40774</v>
      </c>
      <c r="X10801" t="s">
        <v>41267</v>
      </c>
    </row>
    <row r="10802" spans="1:24">
      <c r="A10802">
        <f>HYPERLINK("https://www.philgeps.gov.ph/GEPSNONPILOT/Tender/SplashBidNoticeAbstractUI.aspx?menuIndex=3&amp;refID=7049271&amp;Result=3","7049271")</f>
        <v>0</v>
      </c>
      <c r="B10802" t="s">
        <v>3009</v>
      </c>
      <c r="C10802" t="s">
        <v>13710</v>
      </c>
      <c r="D10802" t="s">
        <v>16631</v>
      </c>
      <c r="E10802" t="s">
        <v>26062</v>
      </c>
      <c r="F10802" t="s">
        <v>28669</v>
      </c>
      <c r="G10802" t="s">
        <v>28675</v>
      </c>
      <c r="H10802" t="s">
        <v>9998</v>
      </c>
      <c r="I10802" t="s">
        <v>6458</v>
      </c>
      <c r="J10802" t="s">
        <v>29003</v>
      </c>
      <c r="K10802" t="s">
        <v>37205</v>
      </c>
      <c r="M10802" t="s">
        <v>40779</v>
      </c>
      <c r="N10802" t="s">
        <v>41249</v>
      </c>
      <c r="O10802" t="s">
        <v>41250</v>
      </c>
      <c r="P10802">
        <v>0</v>
      </c>
      <c r="Q10802">
        <v>2</v>
      </c>
      <c r="R10802" t="s">
        <v>41264</v>
      </c>
      <c r="S10802" t="s">
        <v>41775</v>
      </c>
      <c r="T10802" t="s">
        <v>42734</v>
      </c>
      <c r="U10802" t="s">
        <v>51868</v>
      </c>
      <c r="V10802" t="s">
        <v>55500</v>
      </c>
      <c r="W10802" t="s">
        <v>40779</v>
      </c>
      <c r="X10802" t="s">
        <v>41267</v>
      </c>
    </row>
    <row r="10803" spans="1:24">
      <c r="A10803">
        <f>HYPERLINK("https://www.philgeps.gov.ph/GEPSNONPILOT/Tender/SplashBidNoticeAbstractUI.aspx?menuIndex=3&amp;refID=7038337&amp;Result=3","7038337")</f>
        <v>0</v>
      </c>
      <c r="B10803" t="s">
        <v>337</v>
      </c>
      <c r="C10803" t="s">
        <v>13711</v>
      </c>
      <c r="E10803" t="s">
        <v>26063</v>
      </c>
      <c r="F10803" t="s">
        <v>28669</v>
      </c>
      <c r="G10803" t="s">
        <v>28675</v>
      </c>
      <c r="H10803" t="s">
        <v>28686</v>
      </c>
      <c r="I10803" t="s">
        <v>28689</v>
      </c>
      <c r="J10803" t="s">
        <v>35495</v>
      </c>
      <c r="K10803" t="s">
        <v>37212</v>
      </c>
      <c r="M10803" t="s">
        <v>40774</v>
      </c>
      <c r="N10803" t="s">
        <v>41249</v>
      </c>
      <c r="O10803" t="s">
        <v>41250</v>
      </c>
      <c r="P10803">
        <v>0</v>
      </c>
      <c r="Q10803">
        <v>2</v>
      </c>
      <c r="R10803" t="s">
        <v>41264</v>
      </c>
      <c r="S10803" t="s">
        <v>41775</v>
      </c>
      <c r="T10803" t="s">
        <v>42670</v>
      </c>
      <c r="U10803" t="s">
        <v>51869</v>
      </c>
      <c r="W10803" t="s">
        <v>40774</v>
      </c>
      <c r="X10803" t="s">
        <v>41273</v>
      </c>
    </row>
    <row r="10804" spans="1:24">
      <c r="A10804">
        <f>HYPERLINK("https://www.philgeps.gov.ph/GEPSNONPILOT/Tender/SplashBidNoticeAbstractUI.aspx?menuIndex=3&amp;refID=7049183&amp;Result=3","7049183")</f>
        <v>0</v>
      </c>
      <c r="B10804" t="s">
        <v>3009</v>
      </c>
      <c r="C10804" t="s">
        <v>13712</v>
      </c>
      <c r="D10804" t="s">
        <v>16631</v>
      </c>
      <c r="E10804" t="s">
        <v>26064</v>
      </c>
      <c r="F10804" t="s">
        <v>28669</v>
      </c>
      <c r="G10804" t="s">
        <v>28675</v>
      </c>
      <c r="H10804" t="s">
        <v>9998</v>
      </c>
      <c r="I10804" t="s">
        <v>5286</v>
      </c>
      <c r="J10804" t="s">
        <v>35496</v>
      </c>
      <c r="K10804" t="s">
        <v>37205</v>
      </c>
      <c r="M10804" t="s">
        <v>40779</v>
      </c>
      <c r="N10804" t="s">
        <v>41249</v>
      </c>
      <c r="O10804" t="s">
        <v>41250</v>
      </c>
      <c r="P10804">
        <v>0</v>
      </c>
      <c r="Q10804">
        <v>1</v>
      </c>
      <c r="R10804" t="s">
        <v>41264</v>
      </c>
      <c r="S10804" t="s">
        <v>41775</v>
      </c>
      <c r="T10804" t="s">
        <v>42734</v>
      </c>
      <c r="U10804" t="s">
        <v>51870</v>
      </c>
      <c r="V10804" t="s">
        <v>55500</v>
      </c>
      <c r="W10804" t="s">
        <v>40779</v>
      </c>
      <c r="X10804" t="s">
        <v>41267</v>
      </c>
    </row>
    <row r="10805" spans="1:24">
      <c r="A10805">
        <f>HYPERLINK("https://www.philgeps.gov.ph/GEPSNONPILOT/Tender/SplashBidNoticeAbstractUI.aspx?menuIndex=3&amp;refID=7049132&amp;Result=3","7049132")</f>
        <v>0</v>
      </c>
      <c r="B10805" t="s">
        <v>3009</v>
      </c>
      <c r="C10805" t="s">
        <v>13713</v>
      </c>
      <c r="D10805" t="s">
        <v>16631</v>
      </c>
      <c r="E10805" t="s">
        <v>26065</v>
      </c>
      <c r="F10805" t="s">
        <v>28669</v>
      </c>
      <c r="G10805" t="s">
        <v>28675</v>
      </c>
      <c r="H10805" t="s">
        <v>9998</v>
      </c>
      <c r="I10805" t="s">
        <v>28733</v>
      </c>
      <c r="J10805" t="s">
        <v>29112</v>
      </c>
      <c r="K10805" t="s">
        <v>37205</v>
      </c>
      <c r="M10805" t="s">
        <v>40779</v>
      </c>
      <c r="N10805" t="s">
        <v>41249</v>
      </c>
      <c r="O10805" t="s">
        <v>41250</v>
      </c>
      <c r="P10805">
        <v>0</v>
      </c>
      <c r="Q10805">
        <v>6</v>
      </c>
      <c r="R10805" t="s">
        <v>41264</v>
      </c>
      <c r="S10805" t="s">
        <v>41775</v>
      </c>
      <c r="T10805" t="s">
        <v>42734</v>
      </c>
      <c r="U10805" t="s">
        <v>51871</v>
      </c>
      <c r="V10805" t="s">
        <v>55500</v>
      </c>
      <c r="W10805" t="s">
        <v>40779</v>
      </c>
      <c r="X10805" t="s">
        <v>41267</v>
      </c>
    </row>
    <row r="10806" spans="1:24">
      <c r="A10806">
        <f>HYPERLINK("https://www.philgeps.gov.ph/GEPSNONPILOT/Tender/SplashBidNoticeAbstractUI.aspx?menuIndex=3&amp;refID=7048996&amp;Result=3","7048996")</f>
        <v>0</v>
      </c>
      <c r="B10806" t="s">
        <v>3008</v>
      </c>
      <c r="C10806" t="s">
        <v>13714</v>
      </c>
      <c r="D10806" t="s">
        <v>16622</v>
      </c>
      <c r="E10806" t="s">
        <v>26066</v>
      </c>
      <c r="F10806" t="s">
        <v>28669</v>
      </c>
      <c r="G10806" t="s">
        <v>28675</v>
      </c>
      <c r="H10806" t="s">
        <v>9998</v>
      </c>
      <c r="I10806" t="s">
        <v>28694</v>
      </c>
      <c r="J10806" t="s">
        <v>35497</v>
      </c>
      <c r="K10806" t="s">
        <v>37205</v>
      </c>
      <c r="M10806" t="s">
        <v>40778</v>
      </c>
      <c r="N10806" t="s">
        <v>41249</v>
      </c>
      <c r="O10806" t="s">
        <v>41250</v>
      </c>
      <c r="P10806">
        <v>0</v>
      </c>
      <c r="Q10806">
        <v>1</v>
      </c>
      <c r="R10806" t="s">
        <v>41264</v>
      </c>
      <c r="S10806" t="s">
        <v>41775</v>
      </c>
      <c r="T10806" t="s">
        <v>42678</v>
      </c>
      <c r="U10806" t="s">
        <v>51872</v>
      </c>
      <c r="W10806" t="s">
        <v>40778</v>
      </c>
      <c r="X10806" t="s">
        <v>41267</v>
      </c>
    </row>
    <row r="10807" spans="1:24">
      <c r="A10807">
        <f>HYPERLINK("https://www.philgeps.gov.ph/GEPSNONPILOT/Tender/SplashBidNoticeAbstractUI.aspx?menuIndex=3&amp;refID=7048933&amp;Result=3","7048933")</f>
        <v>0</v>
      </c>
      <c r="B10807" t="s">
        <v>3009</v>
      </c>
      <c r="C10807" t="s">
        <v>13715</v>
      </c>
      <c r="D10807" t="s">
        <v>16631</v>
      </c>
      <c r="E10807" t="s">
        <v>26067</v>
      </c>
      <c r="F10807" t="s">
        <v>28669</v>
      </c>
      <c r="G10807" t="s">
        <v>28675</v>
      </c>
      <c r="H10807" t="s">
        <v>9998</v>
      </c>
      <c r="I10807" t="s">
        <v>28707</v>
      </c>
      <c r="J10807" t="s">
        <v>31308</v>
      </c>
      <c r="K10807" t="s">
        <v>37205</v>
      </c>
      <c r="M10807" t="s">
        <v>40779</v>
      </c>
      <c r="N10807" t="s">
        <v>41249</v>
      </c>
      <c r="O10807" t="s">
        <v>41250</v>
      </c>
      <c r="P10807">
        <v>0</v>
      </c>
      <c r="Q10807">
        <v>1</v>
      </c>
      <c r="R10807" t="s">
        <v>41264</v>
      </c>
      <c r="S10807" t="s">
        <v>41775</v>
      </c>
      <c r="T10807" t="s">
        <v>42734</v>
      </c>
      <c r="U10807" t="s">
        <v>51873</v>
      </c>
      <c r="V10807" t="s">
        <v>55500</v>
      </c>
      <c r="W10807" t="s">
        <v>40779</v>
      </c>
      <c r="X10807" t="s">
        <v>41267</v>
      </c>
    </row>
    <row r="10808" spans="1:24">
      <c r="A10808">
        <f>HYPERLINK("https://www.philgeps.gov.ph/GEPSNONPILOT/Tender/SplashBidNoticeAbstractUI.aspx?menuIndex=3&amp;refID=7048839&amp;Result=3","7048839")</f>
        <v>0</v>
      </c>
      <c r="B10808" t="s">
        <v>3009</v>
      </c>
      <c r="C10808" t="s">
        <v>13716</v>
      </c>
      <c r="D10808" t="s">
        <v>16631</v>
      </c>
      <c r="E10808" t="s">
        <v>26068</v>
      </c>
      <c r="F10808" t="s">
        <v>28669</v>
      </c>
      <c r="G10808" t="s">
        <v>28675</v>
      </c>
      <c r="H10808" t="s">
        <v>9998</v>
      </c>
      <c r="I10808" t="s">
        <v>28748</v>
      </c>
      <c r="J10808" t="s">
        <v>30614</v>
      </c>
      <c r="K10808" t="s">
        <v>37205</v>
      </c>
      <c r="M10808" t="s">
        <v>40779</v>
      </c>
      <c r="N10808" t="s">
        <v>41249</v>
      </c>
      <c r="O10808" t="s">
        <v>41250</v>
      </c>
      <c r="P10808">
        <v>0</v>
      </c>
      <c r="Q10808">
        <v>2</v>
      </c>
      <c r="R10808" t="s">
        <v>41264</v>
      </c>
      <c r="S10808" t="s">
        <v>41775</v>
      </c>
      <c r="T10808" t="s">
        <v>42734</v>
      </c>
      <c r="U10808" t="s">
        <v>51874</v>
      </c>
      <c r="W10808" t="s">
        <v>40779</v>
      </c>
      <c r="X10808" t="s">
        <v>41267</v>
      </c>
    </row>
    <row r="10809" spans="1:24">
      <c r="A10809">
        <f>HYPERLINK("https://www.philgeps.gov.ph/GEPSNONPILOT/Tender/SplashBidNoticeAbstractUI.aspx?menuIndex=3&amp;refID=7048820&amp;Result=3","7048820")</f>
        <v>0</v>
      </c>
      <c r="B10809" t="s">
        <v>410</v>
      </c>
      <c r="C10809" t="s">
        <v>13717</v>
      </c>
      <c r="D10809" t="s">
        <v>16630</v>
      </c>
      <c r="E10809" t="s">
        <v>26069</v>
      </c>
      <c r="F10809" t="s">
        <v>28669</v>
      </c>
      <c r="G10809" t="s">
        <v>28675</v>
      </c>
      <c r="H10809" t="s">
        <v>28686</v>
      </c>
      <c r="I10809" t="s">
        <v>28689</v>
      </c>
      <c r="J10809" t="s">
        <v>35498</v>
      </c>
      <c r="K10809" t="s">
        <v>37260</v>
      </c>
      <c r="M10809" t="s">
        <v>37895</v>
      </c>
      <c r="N10809" t="s">
        <v>41249</v>
      </c>
      <c r="O10809" t="s">
        <v>41250</v>
      </c>
      <c r="P10809">
        <v>0</v>
      </c>
      <c r="Q10809">
        <v>0</v>
      </c>
      <c r="R10809" t="s">
        <v>41264</v>
      </c>
      <c r="S10809" t="s">
        <v>41775</v>
      </c>
      <c r="T10809" t="s">
        <v>43116</v>
      </c>
      <c r="U10809" t="s">
        <v>51875</v>
      </c>
      <c r="W10809" t="s">
        <v>37895</v>
      </c>
      <c r="X10809" t="s">
        <v>41267</v>
      </c>
    </row>
    <row r="10810" spans="1:24">
      <c r="A10810">
        <f>HYPERLINK("https://www.philgeps.gov.ph/GEPSNONPILOT/Tender/SplashBidNoticeAbstractUI.aspx?menuIndex=3&amp;refID=7049222&amp;Result=3","7049222")</f>
        <v>0</v>
      </c>
      <c r="B10810" t="s">
        <v>3009</v>
      </c>
      <c r="C10810" t="s">
        <v>13718</v>
      </c>
      <c r="D10810" t="s">
        <v>16631</v>
      </c>
      <c r="E10810" t="s">
        <v>26070</v>
      </c>
      <c r="F10810" t="s">
        <v>28669</v>
      </c>
      <c r="G10810" t="s">
        <v>28675</v>
      </c>
      <c r="H10810" t="s">
        <v>9998</v>
      </c>
      <c r="I10810" t="s">
        <v>28704</v>
      </c>
      <c r="J10810" t="s">
        <v>29003</v>
      </c>
      <c r="K10810" t="s">
        <v>37205</v>
      </c>
      <c r="M10810" t="s">
        <v>40779</v>
      </c>
      <c r="N10810" t="s">
        <v>41249</v>
      </c>
      <c r="O10810" t="s">
        <v>41250</v>
      </c>
      <c r="P10810">
        <v>0</v>
      </c>
      <c r="Q10810">
        <v>1</v>
      </c>
      <c r="R10810" t="s">
        <v>41264</v>
      </c>
      <c r="S10810" t="s">
        <v>41775</v>
      </c>
      <c r="T10810" t="s">
        <v>42734</v>
      </c>
      <c r="U10810" t="s">
        <v>51876</v>
      </c>
      <c r="V10810" t="s">
        <v>55500</v>
      </c>
      <c r="W10810" t="s">
        <v>40779</v>
      </c>
      <c r="X10810" t="s">
        <v>41267</v>
      </c>
    </row>
    <row r="10811" spans="1:24">
      <c r="A10811">
        <f>HYPERLINK("https://www.philgeps.gov.ph/GEPSNONPILOT/Tender/SplashBidNoticeAbstractUI.aspx?menuIndex=3&amp;refID=7048756&amp;Result=3","7048756")</f>
        <v>0</v>
      </c>
      <c r="B10811" t="s">
        <v>3009</v>
      </c>
      <c r="C10811" t="s">
        <v>13719</v>
      </c>
      <c r="D10811" t="s">
        <v>16631</v>
      </c>
      <c r="E10811" t="s">
        <v>26071</v>
      </c>
      <c r="F10811" t="s">
        <v>28669</v>
      </c>
      <c r="G10811" t="s">
        <v>28675</v>
      </c>
      <c r="H10811" t="s">
        <v>9998</v>
      </c>
      <c r="I10811" t="s">
        <v>28708</v>
      </c>
      <c r="J10811" t="s">
        <v>29003</v>
      </c>
      <c r="K10811" t="s">
        <v>37205</v>
      </c>
      <c r="M10811" t="s">
        <v>40779</v>
      </c>
      <c r="N10811" t="s">
        <v>41249</v>
      </c>
      <c r="O10811" t="s">
        <v>41250</v>
      </c>
      <c r="P10811">
        <v>0</v>
      </c>
      <c r="Q10811">
        <v>1</v>
      </c>
      <c r="R10811" t="s">
        <v>41264</v>
      </c>
      <c r="S10811" t="s">
        <v>41775</v>
      </c>
      <c r="T10811" t="s">
        <v>42734</v>
      </c>
      <c r="U10811" t="s">
        <v>51877</v>
      </c>
      <c r="V10811" t="s">
        <v>55500</v>
      </c>
      <c r="W10811" t="s">
        <v>40779</v>
      </c>
      <c r="X10811" t="s">
        <v>41267</v>
      </c>
    </row>
    <row r="10812" spans="1:24">
      <c r="A10812">
        <f>HYPERLINK("https://www.philgeps.gov.ph/GEPSNONPILOT/Tender/SplashBidNoticeAbstractUI.aspx?menuIndex=3&amp;refID=7049059&amp;Result=3","7049059")</f>
        <v>0</v>
      </c>
      <c r="B10812" t="s">
        <v>3009</v>
      </c>
      <c r="C10812" t="s">
        <v>13720</v>
      </c>
      <c r="D10812" t="s">
        <v>16631</v>
      </c>
      <c r="E10812" t="s">
        <v>26072</v>
      </c>
      <c r="F10812" t="s">
        <v>28669</v>
      </c>
      <c r="G10812" t="s">
        <v>28675</v>
      </c>
      <c r="H10812" t="s">
        <v>9998</v>
      </c>
      <c r="I10812" t="s">
        <v>28733</v>
      </c>
      <c r="J10812" t="s">
        <v>29593</v>
      </c>
      <c r="K10812" t="s">
        <v>37205</v>
      </c>
      <c r="M10812" t="s">
        <v>40779</v>
      </c>
      <c r="N10812" t="s">
        <v>41249</v>
      </c>
      <c r="O10812" t="s">
        <v>41250</v>
      </c>
      <c r="P10812">
        <v>0</v>
      </c>
      <c r="Q10812">
        <v>2</v>
      </c>
      <c r="R10812" t="s">
        <v>41264</v>
      </c>
      <c r="S10812" t="s">
        <v>41775</v>
      </c>
      <c r="T10812" t="s">
        <v>42734</v>
      </c>
      <c r="U10812" t="s">
        <v>51878</v>
      </c>
      <c r="V10812" t="s">
        <v>55500</v>
      </c>
      <c r="W10812" t="s">
        <v>40779</v>
      </c>
      <c r="X10812" t="s">
        <v>41267</v>
      </c>
    </row>
    <row r="10813" spans="1:24">
      <c r="A10813">
        <f>HYPERLINK("https://www.philgeps.gov.ph/GEPSNONPILOT/Tender/SplashBidNoticeAbstractUI.aspx?menuIndex=3&amp;refID=7049145&amp;Result=3","7049145")</f>
        <v>0</v>
      </c>
      <c r="B10813" t="s">
        <v>410</v>
      </c>
      <c r="C10813" t="s">
        <v>13721</v>
      </c>
      <c r="D10813" t="s">
        <v>16630</v>
      </c>
      <c r="E10813" t="s">
        <v>26073</v>
      </c>
      <c r="F10813" t="s">
        <v>28669</v>
      </c>
      <c r="G10813" t="s">
        <v>28675</v>
      </c>
      <c r="H10813" t="s">
        <v>28686</v>
      </c>
      <c r="I10813" t="s">
        <v>28689</v>
      </c>
      <c r="J10813" t="s">
        <v>35499</v>
      </c>
      <c r="K10813" t="s">
        <v>37363</v>
      </c>
      <c r="M10813" t="s">
        <v>37895</v>
      </c>
      <c r="N10813" t="s">
        <v>41249</v>
      </c>
      <c r="O10813" t="s">
        <v>41250</v>
      </c>
      <c r="P10813">
        <v>0</v>
      </c>
      <c r="Q10813">
        <v>0</v>
      </c>
      <c r="R10813" t="s">
        <v>41264</v>
      </c>
      <c r="S10813" t="s">
        <v>41775</v>
      </c>
      <c r="T10813" t="s">
        <v>43116</v>
      </c>
      <c r="U10813" t="s">
        <v>51879</v>
      </c>
      <c r="W10813" t="s">
        <v>37895</v>
      </c>
      <c r="X10813" t="s">
        <v>41267</v>
      </c>
    </row>
    <row r="10814" spans="1:24">
      <c r="A10814">
        <f>HYPERLINK("https://www.philgeps.gov.ph/GEPSNONPILOT/Tender/SplashBidNoticeAbstractUI.aspx?menuIndex=3&amp;refID=7048460&amp;Result=3","7048460")</f>
        <v>0</v>
      </c>
      <c r="B10814" t="s">
        <v>337</v>
      </c>
      <c r="C10814" t="s">
        <v>13722</v>
      </c>
      <c r="E10814" t="s">
        <v>26074</v>
      </c>
      <c r="F10814" t="s">
        <v>28669</v>
      </c>
      <c r="G10814" t="s">
        <v>28675</v>
      </c>
      <c r="H10814" t="s">
        <v>9998</v>
      </c>
      <c r="I10814" t="s">
        <v>28820</v>
      </c>
      <c r="J10814" t="s">
        <v>35500</v>
      </c>
      <c r="K10814" t="s">
        <v>37209</v>
      </c>
      <c r="M10814" t="s">
        <v>40774</v>
      </c>
      <c r="N10814" t="s">
        <v>41249</v>
      </c>
      <c r="O10814" t="s">
        <v>41250</v>
      </c>
      <c r="P10814">
        <v>0</v>
      </c>
      <c r="Q10814">
        <v>4</v>
      </c>
      <c r="R10814" t="s">
        <v>41264</v>
      </c>
      <c r="S10814" t="s">
        <v>41775</v>
      </c>
      <c r="T10814" t="s">
        <v>42678</v>
      </c>
      <c r="U10814" t="s">
        <v>51880</v>
      </c>
      <c r="W10814" t="s">
        <v>40774</v>
      </c>
      <c r="X10814" t="s">
        <v>41267</v>
      </c>
    </row>
    <row r="10815" spans="1:24">
      <c r="A10815">
        <f>HYPERLINK("https://www.philgeps.gov.ph/GEPSNONPILOT/Tender/SplashBidNoticeAbstractUI.aspx?menuIndex=3&amp;refID=7048212&amp;Result=3","7048212")</f>
        <v>0</v>
      </c>
      <c r="B10815" t="s">
        <v>102</v>
      </c>
      <c r="C10815" t="s">
        <v>13723</v>
      </c>
      <c r="D10815" t="s">
        <v>16631</v>
      </c>
      <c r="E10815" t="s">
        <v>26075</v>
      </c>
      <c r="F10815" t="s">
        <v>28669</v>
      </c>
      <c r="G10815" t="s">
        <v>28675</v>
      </c>
      <c r="H10815" t="s">
        <v>28686</v>
      </c>
      <c r="I10815" t="s">
        <v>28689</v>
      </c>
      <c r="J10815" t="s">
        <v>35501</v>
      </c>
      <c r="K10815" t="s">
        <v>37452</v>
      </c>
      <c r="M10815" t="s">
        <v>37577</v>
      </c>
      <c r="N10815" t="s">
        <v>41249</v>
      </c>
      <c r="O10815" t="s">
        <v>41250</v>
      </c>
      <c r="P10815">
        <v>0</v>
      </c>
      <c r="Q10815">
        <v>2</v>
      </c>
      <c r="R10815" t="s">
        <v>41264</v>
      </c>
      <c r="S10815" t="s">
        <v>41775</v>
      </c>
      <c r="T10815" t="s">
        <v>42690</v>
      </c>
      <c r="U10815" t="s">
        <v>51881</v>
      </c>
      <c r="V10815" t="s">
        <v>54279</v>
      </c>
      <c r="W10815" t="s">
        <v>37577</v>
      </c>
      <c r="X10815" t="s">
        <v>41267</v>
      </c>
    </row>
    <row r="10816" spans="1:24">
      <c r="A10816">
        <f>HYPERLINK("https://www.philgeps.gov.ph/GEPSNONPILOT/Tender/SplashBidNoticeAbstractUI.aspx?menuIndex=3&amp;refID=7038409&amp;Result=3","7038409")</f>
        <v>0</v>
      </c>
      <c r="B10816" t="s">
        <v>337</v>
      </c>
      <c r="C10816" t="s">
        <v>13724</v>
      </c>
      <c r="E10816" t="s">
        <v>26076</v>
      </c>
      <c r="F10816" t="s">
        <v>28669</v>
      </c>
      <c r="G10816" t="s">
        <v>28675</v>
      </c>
      <c r="H10816" t="s">
        <v>28686</v>
      </c>
      <c r="I10816" t="s">
        <v>28689</v>
      </c>
      <c r="J10816" t="s">
        <v>35495</v>
      </c>
      <c r="K10816" t="s">
        <v>37211</v>
      </c>
      <c r="M10816" t="s">
        <v>40774</v>
      </c>
      <c r="N10816" t="s">
        <v>41249</v>
      </c>
      <c r="O10816" t="s">
        <v>41250</v>
      </c>
      <c r="P10816">
        <v>0</v>
      </c>
      <c r="Q10816">
        <v>3</v>
      </c>
      <c r="R10816" t="s">
        <v>41264</v>
      </c>
      <c r="S10816" t="s">
        <v>41775</v>
      </c>
      <c r="T10816" t="s">
        <v>42670</v>
      </c>
      <c r="U10816" t="s">
        <v>51882</v>
      </c>
      <c r="W10816" t="s">
        <v>40774</v>
      </c>
      <c r="X10816" t="s">
        <v>41273</v>
      </c>
    </row>
    <row r="10817" spans="1:24">
      <c r="A10817">
        <f>HYPERLINK("https://www.philgeps.gov.ph/GEPSNONPILOT/Tender/SplashBidNoticeAbstractUI.aspx?menuIndex=3&amp;refID=7038262&amp;Result=3","7038262")</f>
        <v>0</v>
      </c>
      <c r="B10817" t="s">
        <v>337</v>
      </c>
      <c r="C10817" t="s">
        <v>13725</v>
      </c>
      <c r="E10817" t="s">
        <v>26077</v>
      </c>
      <c r="F10817" t="s">
        <v>28669</v>
      </c>
      <c r="G10817" t="s">
        <v>28675</v>
      </c>
      <c r="H10817" t="s">
        <v>28686</v>
      </c>
      <c r="I10817" t="s">
        <v>28689</v>
      </c>
      <c r="J10817" t="s">
        <v>35502</v>
      </c>
      <c r="K10817" t="s">
        <v>37215</v>
      </c>
      <c r="M10817" t="s">
        <v>40774</v>
      </c>
      <c r="N10817" t="s">
        <v>41249</v>
      </c>
      <c r="O10817" t="s">
        <v>41250</v>
      </c>
      <c r="P10817">
        <v>0</v>
      </c>
      <c r="Q10817">
        <v>0</v>
      </c>
      <c r="R10817" t="s">
        <v>41264</v>
      </c>
      <c r="S10817" t="s">
        <v>41775</v>
      </c>
      <c r="T10817" t="s">
        <v>42670</v>
      </c>
      <c r="U10817" t="s">
        <v>51883</v>
      </c>
      <c r="W10817" t="s">
        <v>40774</v>
      </c>
      <c r="X10817" t="s">
        <v>41273</v>
      </c>
    </row>
    <row r="10818" spans="1:24">
      <c r="A10818">
        <f>HYPERLINK("https://www.philgeps.gov.ph/GEPSNONPILOT/Tender/SplashBidNoticeAbstractUI.aspx?menuIndex=3&amp;refID=7029449&amp;Result=3","7029449")</f>
        <v>0</v>
      </c>
      <c r="B10818" t="s">
        <v>3012</v>
      </c>
      <c r="C10818" t="s">
        <v>13726</v>
      </c>
      <c r="D10818" t="s">
        <v>16678</v>
      </c>
      <c r="E10818" t="s">
        <v>26078</v>
      </c>
      <c r="F10818" t="s">
        <v>28669</v>
      </c>
      <c r="G10818" t="s">
        <v>28675</v>
      </c>
      <c r="H10818" t="s">
        <v>9998</v>
      </c>
      <c r="I10818" t="s">
        <v>7352</v>
      </c>
      <c r="J10818" t="s">
        <v>35503</v>
      </c>
      <c r="K10818" t="s">
        <v>37213</v>
      </c>
      <c r="M10818" t="s">
        <v>40782</v>
      </c>
      <c r="N10818" t="s">
        <v>41249</v>
      </c>
      <c r="O10818" t="s">
        <v>41250</v>
      </c>
      <c r="P10818">
        <v>0</v>
      </c>
      <c r="Q10818">
        <v>0</v>
      </c>
      <c r="R10818" t="s">
        <v>41264</v>
      </c>
      <c r="S10818" t="s">
        <v>41775</v>
      </c>
      <c r="T10818" t="s">
        <v>42690</v>
      </c>
      <c r="U10818" t="s">
        <v>51884</v>
      </c>
      <c r="W10818" t="s">
        <v>40782</v>
      </c>
      <c r="X10818" t="s">
        <v>41279</v>
      </c>
    </row>
    <row r="10819" spans="1:24">
      <c r="A10819">
        <f>HYPERLINK("https://www.philgeps.gov.ph/GEPSNONPILOT/Tender/SplashBidNoticeAbstractUI.aspx?menuIndex=3&amp;refID=7057965&amp;Result=3","7057965")</f>
        <v>0</v>
      </c>
      <c r="B10819" t="s">
        <v>2964</v>
      </c>
      <c r="C10819" t="s">
        <v>13727</v>
      </c>
      <c r="D10819" t="s">
        <v>16624</v>
      </c>
      <c r="E10819" t="s">
        <v>26079</v>
      </c>
      <c r="F10819" t="s">
        <v>28669</v>
      </c>
      <c r="G10819" t="s">
        <v>28675</v>
      </c>
      <c r="H10819" t="s">
        <v>28686</v>
      </c>
      <c r="I10819" t="s">
        <v>28689</v>
      </c>
      <c r="J10819" t="s">
        <v>35504</v>
      </c>
      <c r="K10819" t="s">
        <v>37206</v>
      </c>
      <c r="M10819" t="s">
        <v>40725</v>
      </c>
      <c r="N10819" t="s">
        <v>41249</v>
      </c>
      <c r="O10819" t="s">
        <v>41250</v>
      </c>
      <c r="P10819">
        <v>0</v>
      </c>
      <c r="Q10819">
        <v>0</v>
      </c>
      <c r="R10819" t="s">
        <v>41263</v>
      </c>
      <c r="S10819" t="s">
        <v>41698</v>
      </c>
      <c r="T10819" t="s">
        <v>42670</v>
      </c>
      <c r="U10819" t="s">
        <v>51885</v>
      </c>
      <c r="W10819" t="s">
        <v>40725</v>
      </c>
      <c r="X10819" t="s">
        <v>41264</v>
      </c>
    </row>
    <row r="10820" spans="1:24">
      <c r="A10820">
        <f>HYPERLINK("https://www.philgeps.gov.ph/GEPSNONPILOT/Tender/SplashBidNoticeAbstractUI.aspx?menuIndex=3&amp;refID=7057918&amp;Result=3","7057918")</f>
        <v>0</v>
      </c>
      <c r="B10820" t="s">
        <v>1144</v>
      </c>
      <c r="C10820" t="s">
        <v>13728</v>
      </c>
      <c r="D10820" t="s">
        <v>16608</v>
      </c>
      <c r="E10820" t="s">
        <v>26080</v>
      </c>
      <c r="F10820" t="s">
        <v>28669</v>
      </c>
      <c r="G10820" t="s">
        <v>28675</v>
      </c>
      <c r="H10820" t="s">
        <v>28686</v>
      </c>
      <c r="I10820" t="s">
        <v>28689</v>
      </c>
      <c r="J10820" t="s">
        <v>35505</v>
      </c>
      <c r="K10820" t="s">
        <v>37212</v>
      </c>
      <c r="M10820" t="s">
        <v>38680</v>
      </c>
      <c r="N10820" t="s">
        <v>41249</v>
      </c>
      <c r="O10820" t="s">
        <v>41250</v>
      </c>
      <c r="Q10820">
        <v>20</v>
      </c>
      <c r="R10820" t="s">
        <v>41263</v>
      </c>
      <c r="S10820" t="s">
        <v>41782</v>
      </c>
      <c r="T10820" t="s">
        <v>42764</v>
      </c>
      <c r="U10820" t="s">
        <v>45543</v>
      </c>
      <c r="W10820" t="s">
        <v>38680</v>
      </c>
      <c r="X10820" t="s">
        <v>41264</v>
      </c>
    </row>
    <row r="10821" spans="1:24">
      <c r="A10821">
        <f>HYPERLINK("https://www.philgeps.gov.ph/GEPSNONPILOT/Tender/SplashBidNoticeAbstractUI.aspx?menuIndex=3&amp;refID=7051911&amp;Result=3","7051911")</f>
        <v>0</v>
      </c>
      <c r="B10821" t="s">
        <v>1828</v>
      </c>
      <c r="C10821" t="s">
        <v>13729</v>
      </c>
      <c r="E10821" t="s">
        <v>26081</v>
      </c>
      <c r="F10821" t="s">
        <v>28669</v>
      </c>
      <c r="G10821" t="s">
        <v>28675</v>
      </c>
      <c r="H10821" t="s">
        <v>28686</v>
      </c>
      <c r="I10821" t="s">
        <v>28689</v>
      </c>
      <c r="J10821" t="s">
        <v>35506</v>
      </c>
      <c r="K10821" t="s">
        <v>37212</v>
      </c>
      <c r="M10821" t="s">
        <v>39441</v>
      </c>
      <c r="N10821" t="s">
        <v>41249</v>
      </c>
      <c r="O10821" t="s">
        <v>41250</v>
      </c>
      <c r="P10821">
        <v>0</v>
      </c>
      <c r="Q10821">
        <v>0</v>
      </c>
      <c r="R10821" t="s">
        <v>41264</v>
      </c>
      <c r="S10821" t="s">
        <v>41775</v>
      </c>
      <c r="T10821" t="s">
        <v>42695</v>
      </c>
      <c r="U10821" t="s">
        <v>51886</v>
      </c>
      <c r="W10821" t="s">
        <v>39441</v>
      </c>
      <c r="X10821" t="s">
        <v>41266</v>
      </c>
    </row>
    <row r="10822" spans="1:24">
      <c r="A10822">
        <f>HYPERLINK("https://www.philgeps.gov.ph/GEPSNONPILOT/Tender/SplashBidNoticeAbstractUI.aspx?menuIndex=3&amp;refID=7048442&amp;Result=3","7048442")</f>
        <v>0</v>
      </c>
      <c r="B10822" t="s">
        <v>337</v>
      </c>
      <c r="C10822" t="s">
        <v>13730</v>
      </c>
      <c r="E10822" t="s">
        <v>26082</v>
      </c>
      <c r="F10822" t="s">
        <v>28669</v>
      </c>
      <c r="G10822" t="s">
        <v>28675</v>
      </c>
      <c r="H10822" t="s">
        <v>9998</v>
      </c>
      <c r="I10822" t="s">
        <v>28690</v>
      </c>
      <c r="J10822" t="s">
        <v>35507</v>
      </c>
      <c r="K10822" t="s">
        <v>37209</v>
      </c>
      <c r="M10822" t="s">
        <v>40774</v>
      </c>
      <c r="N10822" t="s">
        <v>41249</v>
      </c>
      <c r="O10822" t="s">
        <v>41250</v>
      </c>
      <c r="Q10822">
        <v>28</v>
      </c>
      <c r="R10822" t="s">
        <v>41264</v>
      </c>
      <c r="S10822" t="s">
        <v>41783</v>
      </c>
      <c r="T10822" t="s">
        <v>42678</v>
      </c>
      <c r="U10822" t="s">
        <v>51887</v>
      </c>
      <c r="W10822" t="s">
        <v>40774</v>
      </c>
      <c r="X10822" t="s">
        <v>41267</v>
      </c>
    </row>
    <row r="10823" spans="1:24">
      <c r="A10823">
        <f>HYPERLINK("https://www.philgeps.gov.ph/GEPSNONPILOT/Tender/SplashBidNoticeAbstractUI.aspx?menuIndex=3&amp;refID=7038302&amp;Result=3","7038302")</f>
        <v>0</v>
      </c>
      <c r="B10823" t="s">
        <v>337</v>
      </c>
      <c r="C10823" t="s">
        <v>13731</v>
      </c>
      <c r="E10823" t="s">
        <v>26083</v>
      </c>
      <c r="F10823" t="s">
        <v>28669</v>
      </c>
      <c r="G10823" t="s">
        <v>28675</v>
      </c>
      <c r="H10823" t="s">
        <v>28686</v>
      </c>
      <c r="I10823" t="s">
        <v>28689</v>
      </c>
      <c r="J10823" t="s">
        <v>35495</v>
      </c>
      <c r="K10823" t="s">
        <v>37212</v>
      </c>
      <c r="M10823" t="s">
        <v>40774</v>
      </c>
      <c r="N10823" t="s">
        <v>41249</v>
      </c>
      <c r="O10823" t="s">
        <v>41250</v>
      </c>
      <c r="P10823">
        <v>0</v>
      </c>
      <c r="Q10823">
        <v>2</v>
      </c>
      <c r="R10823" t="s">
        <v>41264</v>
      </c>
      <c r="S10823" t="s">
        <v>41775</v>
      </c>
      <c r="T10823" t="s">
        <v>42670</v>
      </c>
      <c r="U10823" t="s">
        <v>51888</v>
      </c>
      <c r="W10823" t="s">
        <v>40774</v>
      </c>
      <c r="X10823" t="s">
        <v>41273</v>
      </c>
    </row>
    <row r="10824" spans="1:24">
      <c r="A10824">
        <f>HYPERLINK("https://www.philgeps.gov.ph/GEPSNONPILOT/Tender/SplashBidNoticeAbstractUI.aspx?menuIndex=3&amp;refID=7034087&amp;Result=3","7034087")</f>
        <v>0</v>
      </c>
      <c r="B10824" t="s">
        <v>3013</v>
      </c>
      <c r="C10824" t="s">
        <v>12770</v>
      </c>
      <c r="D10824" t="s">
        <v>16676</v>
      </c>
      <c r="E10824" t="s">
        <v>18246</v>
      </c>
      <c r="F10824" t="s">
        <v>28669</v>
      </c>
      <c r="G10824" t="s">
        <v>28675</v>
      </c>
      <c r="H10824" t="s">
        <v>9998</v>
      </c>
      <c r="I10824" t="s">
        <v>28690</v>
      </c>
      <c r="J10824" t="s">
        <v>35508</v>
      </c>
      <c r="K10824" t="s">
        <v>37206</v>
      </c>
      <c r="M10824" t="s">
        <v>40783</v>
      </c>
      <c r="N10824" t="s">
        <v>41249</v>
      </c>
      <c r="O10824" t="s">
        <v>41250</v>
      </c>
      <c r="Q10824">
        <v>9</v>
      </c>
      <c r="R10824" t="s">
        <v>41264</v>
      </c>
      <c r="S10824" t="s">
        <v>41784</v>
      </c>
      <c r="T10824" t="s">
        <v>43121</v>
      </c>
      <c r="U10824" t="s">
        <v>51889</v>
      </c>
      <c r="W10824" t="s">
        <v>40783</v>
      </c>
      <c r="X10824" t="s">
        <v>41275</v>
      </c>
    </row>
    <row r="10825" spans="1:24">
      <c r="A10825">
        <f>HYPERLINK("https://www.philgeps.gov.ph/GEPSNONPILOT/Tender/SplashBidNoticeAbstractUI.aspx?menuIndex=3&amp;refID=7052033&amp;Result=3","7052033")</f>
        <v>0</v>
      </c>
      <c r="B10825" t="s">
        <v>1828</v>
      </c>
      <c r="C10825" t="s">
        <v>13732</v>
      </c>
      <c r="E10825" t="s">
        <v>26084</v>
      </c>
      <c r="F10825" t="s">
        <v>28669</v>
      </c>
      <c r="G10825" t="s">
        <v>28675</v>
      </c>
      <c r="H10825" t="s">
        <v>28686</v>
      </c>
      <c r="I10825" t="s">
        <v>28689</v>
      </c>
      <c r="J10825" t="s">
        <v>35509</v>
      </c>
      <c r="K10825" t="s">
        <v>37212</v>
      </c>
      <c r="M10825" t="s">
        <v>39441</v>
      </c>
      <c r="N10825" t="s">
        <v>41249</v>
      </c>
      <c r="O10825" t="s">
        <v>41250</v>
      </c>
      <c r="P10825">
        <v>0</v>
      </c>
      <c r="Q10825">
        <v>1</v>
      </c>
      <c r="R10825" t="s">
        <v>41264</v>
      </c>
      <c r="S10825" t="s">
        <v>41775</v>
      </c>
      <c r="T10825" t="s">
        <v>42695</v>
      </c>
      <c r="U10825" t="s">
        <v>51890</v>
      </c>
      <c r="W10825" t="s">
        <v>39441</v>
      </c>
      <c r="X10825" t="s">
        <v>41266</v>
      </c>
    </row>
    <row r="10826" spans="1:24">
      <c r="A10826">
        <f>HYPERLINK("https://www.philgeps.gov.ph/GEPSNONPILOT/Tender/SplashBidNoticeAbstractUI.aspx?menuIndex=3&amp;refID=7052022&amp;Result=3","7052022")</f>
        <v>0</v>
      </c>
      <c r="B10826" t="s">
        <v>1828</v>
      </c>
      <c r="C10826" t="s">
        <v>13733</v>
      </c>
      <c r="E10826" t="s">
        <v>26085</v>
      </c>
      <c r="F10826" t="s">
        <v>28669</v>
      </c>
      <c r="G10826" t="s">
        <v>28675</v>
      </c>
      <c r="H10826" t="s">
        <v>28686</v>
      </c>
      <c r="I10826" t="s">
        <v>28689</v>
      </c>
      <c r="J10826" t="s">
        <v>35510</v>
      </c>
      <c r="K10826" t="s">
        <v>37409</v>
      </c>
      <c r="M10826" t="s">
        <v>39441</v>
      </c>
      <c r="N10826" t="s">
        <v>41249</v>
      </c>
      <c r="O10826" t="s">
        <v>41250</v>
      </c>
      <c r="P10826">
        <v>0</v>
      </c>
      <c r="Q10826">
        <v>0</v>
      </c>
      <c r="R10826" t="s">
        <v>41264</v>
      </c>
      <c r="S10826" t="s">
        <v>41775</v>
      </c>
      <c r="T10826" t="s">
        <v>42695</v>
      </c>
      <c r="U10826" t="s">
        <v>51891</v>
      </c>
      <c r="W10826" t="s">
        <v>39441</v>
      </c>
      <c r="X10826" t="s">
        <v>41266</v>
      </c>
    </row>
    <row r="10827" spans="1:24">
      <c r="A10827">
        <f>HYPERLINK("https://www.philgeps.gov.ph/GEPSNONPILOT/Tender/SplashBidNoticeAbstractUI.aspx?menuIndex=3&amp;refID=7033878&amp;Result=3","7033878")</f>
        <v>0</v>
      </c>
      <c r="B10827" t="s">
        <v>3013</v>
      </c>
      <c r="C10827" t="s">
        <v>13734</v>
      </c>
      <c r="D10827" t="s">
        <v>16676</v>
      </c>
      <c r="E10827" t="s">
        <v>17149</v>
      </c>
      <c r="F10827" t="s">
        <v>28669</v>
      </c>
      <c r="G10827" t="s">
        <v>28675</v>
      </c>
      <c r="H10827" t="s">
        <v>9998</v>
      </c>
      <c r="I10827" t="s">
        <v>28690</v>
      </c>
      <c r="J10827" t="s">
        <v>35511</v>
      </c>
      <c r="K10827" t="s">
        <v>37206</v>
      </c>
      <c r="M10827" t="s">
        <v>40783</v>
      </c>
      <c r="N10827" t="s">
        <v>41249</v>
      </c>
      <c r="O10827" t="s">
        <v>41250</v>
      </c>
      <c r="Q10827">
        <v>8</v>
      </c>
      <c r="R10827" t="s">
        <v>41264</v>
      </c>
      <c r="S10827" t="s">
        <v>41785</v>
      </c>
      <c r="T10827" t="s">
        <v>42764</v>
      </c>
      <c r="U10827" t="s">
        <v>51892</v>
      </c>
      <c r="W10827" t="s">
        <v>40783</v>
      </c>
      <c r="X10827" t="s">
        <v>41275</v>
      </c>
    </row>
    <row r="10828" spans="1:24">
      <c r="A10828">
        <f>HYPERLINK("https://www.philgeps.gov.ph/GEPSNONPILOT/Tender/SplashBidNoticeAbstractUI.aspx?menuIndex=3&amp;refID=7052002&amp;Result=3","7052002")</f>
        <v>0</v>
      </c>
      <c r="B10828" t="s">
        <v>1828</v>
      </c>
      <c r="C10828" t="s">
        <v>13735</v>
      </c>
      <c r="E10828" t="s">
        <v>26086</v>
      </c>
      <c r="F10828" t="s">
        <v>28669</v>
      </c>
      <c r="G10828" t="s">
        <v>28675</v>
      </c>
      <c r="H10828" t="s">
        <v>28686</v>
      </c>
      <c r="I10828" t="s">
        <v>28689</v>
      </c>
      <c r="J10828" t="s">
        <v>35512</v>
      </c>
      <c r="K10828" t="s">
        <v>37212</v>
      </c>
      <c r="M10828" t="s">
        <v>39441</v>
      </c>
      <c r="N10828" t="s">
        <v>41249</v>
      </c>
      <c r="O10828" t="s">
        <v>41250</v>
      </c>
      <c r="P10828">
        <v>0</v>
      </c>
      <c r="Q10828">
        <v>0</v>
      </c>
      <c r="R10828" t="s">
        <v>41264</v>
      </c>
      <c r="S10828" t="s">
        <v>41775</v>
      </c>
      <c r="T10828" t="s">
        <v>42695</v>
      </c>
      <c r="U10828" t="s">
        <v>51893</v>
      </c>
      <c r="W10828" t="s">
        <v>39441</v>
      </c>
      <c r="X10828" t="s">
        <v>41266</v>
      </c>
    </row>
    <row r="10829" spans="1:24">
      <c r="A10829">
        <f>HYPERLINK("https://www.philgeps.gov.ph/GEPSNONPILOT/Tender/SplashBidNoticeAbstractUI.aspx?menuIndex=3&amp;refID=7051871&amp;Result=3","7051871")</f>
        <v>0</v>
      </c>
      <c r="B10829" t="s">
        <v>1828</v>
      </c>
      <c r="C10829" t="s">
        <v>13736</v>
      </c>
      <c r="E10829" t="s">
        <v>26087</v>
      </c>
      <c r="F10829" t="s">
        <v>28669</v>
      </c>
      <c r="G10829" t="s">
        <v>28675</v>
      </c>
      <c r="H10829" t="s">
        <v>28686</v>
      </c>
      <c r="I10829" t="s">
        <v>28689</v>
      </c>
      <c r="J10829" t="s">
        <v>35513</v>
      </c>
      <c r="K10829" t="s">
        <v>37212</v>
      </c>
      <c r="M10829" t="s">
        <v>39441</v>
      </c>
      <c r="N10829" t="s">
        <v>41249</v>
      </c>
      <c r="O10829" t="s">
        <v>41250</v>
      </c>
      <c r="P10829">
        <v>0</v>
      </c>
      <c r="Q10829">
        <v>0</v>
      </c>
      <c r="R10829" t="s">
        <v>41264</v>
      </c>
      <c r="S10829" t="s">
        <v>41775</v>
      </c>
      <c r="T10829" t="s">
        <v>42695</v>
      </c>
      <c r="U10829" t="s">
        <v>51894</v>
      </c>
      <c r="W10829" t="s">
        <v>39441</v>
      </c>
      <c r="X10829" t="s">
        <v>41266</v>
      </c>
    </row>
    <row r="10830" spans="1:24">
      <c r="A10830">
        <f>HYPERLINK("https://www.philgeps.gov.ph/GEPSNONPILOT/Tender/SplashBidNoticeAbstractUI.aspx?menuIndex=3&amp;refID=7051810&amp;Result=3","7051810")</f>
        <v>0</v>
      </c>
      <c r="B10830" t="s">
        <v>410</v>
      </c>
      <c r="C10830" t="s">
        <v>13737</v>
      </c>
      <c r="D10830" t="s">
        <v>16630</v>
      </c>
      <c r="E10830" t="s">
        <v>26088</v>
      </c>
      <c r="F10830" t="s">
        <v>28669</v>
      </c>
      <c r="G10830" t="s">
        <v>28675</v>
      </c>
      <c r="H10830" t="s">
        <v>28686</v>
      </c>
      <c r="I10830" t="s">
        <v>28689</v>
      </c>
      <c r="J10830" t="s">
        <v>35514</v>
      </c>
      <c r="K10830" t="s">
        <v>37424</v>
      </c>
      <c r="M10830" t="s">
        <v>37895</v>
      </c>
      <c r="N10830" t="s">
        <v>41249</v>
      </c>
      <c r="O10830" t="s">
        <v>41250</v>
      </c>
      <c r="P10830">
        <v>0</v>
      </c>
      <c r="Q10830">
        <v>0</v>
      </c>
      <c r="R10830" t="s">
        <v>41264</v>
      </c>
      <c r="S10830" t="s">
        <v>41775</v>
      </c>
      <c r="T10830" t="s">
        <v>43116</v>
      </c>
      <c r="U10830" t="s">
        <v>51895</v>
      </c>
      <c r="W10830" t="s">
        <v>37895</v>
      </c>
      <c r="X10830" t="s">
        <v>41266</v>
      </c>
    </row>
    <row r="10831" spans="1:24">
      <c r="A10831">
        <f>HYPERLINK("https://www.philgeps.gov.ph/GEPSNONPILOT/Tender/SplashBidNoticeAbstractUI.aspx?menuIndex=3&amp;refID=7048760&amp;Result=3","7048760")</f>
        <v>0</v>
      </c>
      <c r="B10831" t="s">
        <v>410</v>
      </c>
      <c r="C10831" t="s">
        <v>13738</v>
      </c>
      <c r="D10831" t="s">
        <v>16630</v>
      </c>
      <c r="E10831" t="s">
        <v>26089</v>
      </c>
      <c r="F10831" t="s">
        <v>28669</v>
      </c>
      <c r="G10831" t="s">
        <v>28675</v>
      </c>
      <c r="H10831" t="s">
        <v>28686</v>
      </c>
      <c r="I10831" t="s">
        <v>28689</v>
      </c>
      <c r="J10831" t="s">
        <v>35515</v>
      </c>
      <c r="K10831" t="s">
        <v>37400</v>
      </c>
      <c r="M10831" t="s">
        <v>37895</v>
      </c>
      <c r="N10831" t="s">
        <v>41249</v>
      </c>
      <c r="O10831" t="s">
        <v>41250</v>
      </c>
      <c r="P10831">
        <v>0</v>
      </c>
      <c r="Q10831">
        <v>0</v>
      </c>
      <c r="R10831" t="s">
        <v>41264</v>
      </c>
      <c r="S10831" t="s">
        <v>41775</v>
      </c>
      <c r="T10831" t="s">
        <v>43116</v>
      </c>
      <c r="U10831" t="s">
        <v>51896</v>
      </c>
      <c r="W10831" t="s">
        <v>37895</v>
      </c>
      <c r="X10831" t="s">
        <v>41267</v>
      </c>
    </row>
    <row r="10832" spans="1:24">
      <c r="A10832">
        <f>HYPERLINK("https://www.philgeps.gov.ph/GEPSNONPILOT/Tender/SplashBidNoticeAbstractUI.aspx?menuIndex=3&amp;refID=7051513&amp;Result=3","7051513")</f>
        <v>0</v>
      </c>
      <c r="B10832" t="s">
        <v>3014</v>
      </c>
      <c r="C10832" t="s">
        <v>13739</v>
      </c>
      <c r="D10832" t="s">
        <v>16624</v>
      </c>
      <c r="E10832" t="s">
        <v>26090</v>
      </c>
      <c r="F10832" t="s">
        <v>28669</v>
      </c>
      <c r="G10832" t="s">
        <v>28675</v>
      </c>
      <c r="H10832" t="s">
        <v>9998</v>
      </c>
      <c r="I10832" t="s">
        <v>28687</v>
      </c>
      <c r="J10832" t="s">
        <v>30333</v>
      </c>
      <c r="K10832" t="s">
        <v>37206</v>
      </c>
      <c r="M10832" t="s">
        <v>40784</v>
      </c>
      <c r="N10832" t="s">
        <v>41249</v>
      </c>
      <c r="O10832" t="s">
        <v>41250</v>
      </c>
      <c r="Q10832">
        <v>5</v>
      </c>
      <c r="R10832" t="s">
        <v>41264</v>
      </c>
      <c r="S10832" t="s">
        <v>41786</v>
      </c>
      <c r="T10832" t="s">
        <v>42687</v>
      </c>
      <c r="U10832" t="s">
        <v>51897</v>
      </c>
      <c r="W10832" t="s">
        <v>40784</v>
      </c>
      <c r="X10832" t="s">
        <v>41266</v>
      </c>
    </row>
    <row r="10833" spans="1:24">
      <c r="A10833">
        <f>HYPERLINK("https://www.philgeps.gov.ph/GEPSNONPILOT/Tender/SplashBidNoticeAbstractUI.aspx?menuIndex=3&amp;refID=7051509&amp;Result=3","7051509")</f>
        <v>0</v>
      </c>
      <c r="B10833" t="s">
        <v>410</v>
      </c>
      <c r="C10833" t="s">
        <v>13740</v>
      </c>
      <c r="D10833" t="s">
        <v>16630</v>
      </c>
      <c r="E10833" t="s">
        <v>26091</v>
      </c>
      <c r="F10833" t="s">
        <v>28669</v>
      </c>
      <c r="G10833" t="s">
        <v>28675</v>
      </c>
      <c r="H10833" t="s">
        <v>28686</v>
      </c>
      <c r="I10833" t="s">
        <v>28689</v>
      </c>
      <c r="J10833" t="s">
        <v>35516</v>
      </c>
      <c r="K10833" t="s">
        <v>37424</v>
      </c>
      <c r="M10833" t="s">
        <v>37895</v>
      </c>
      <c r="N10833" t="s">
        <v>41249</v>
      </c>
      <c r="O10833" t="s">
        <v>41250</v>
      </c>
      <c r="P10833">
        <v>0</v>
      </c>
      <c r="Q10833">
        <v>0</v>
      </c>
      <c r="R10833" t="s">
        <v>41264</v>
      </c>
      <c r="S10833" t="s">
        <v>41775</v>
      </c>
      <c r="T10833" t="s">
        <v>43116</v>
      </c>
      <c r="U10833" t="s">
        <v>51898</v>
      </c>
      <c r="W10833" t="s">
        <v>37895</v>
      </c>
      <c r="X10833" t="s">
        <v>41266</v>
      </c>
    </row>
    <row r="10834" spans="1:24">
      <c r="A10834">
        <f>HYPERLINK("https://www.philgeps.gov.ph/GEPSNONPILOT/Tender/SplashBidNoticeAbstractUI.aspx?menuIndex=3&amp;refID=7051278&amp;Result=3","7051278")</f>
        <v>0</v>
      </c>
      <c r="B10834" t="s">
        <v>238</v>
      </c>
      <c r="C10834" t="s">
        <v>13741</v>
      </c>
      <c r="D10834" t="s">
        <v>16640</v>
      </c>
      <c r="E10834" t="s">
        <v>26092</v>
      </c>
      <c r="F10834" t="s">
        <v>28669</v>
      </c>
      <c r="G10834" t="s">
        <v>28675</v>
      </c>
      <c r="H10834" t="s">
        <v>28686</v>
      </c>
      <c r="I10834" t="s">
        <v>28689</v>
      </c>
      <c r="J10834" t="s">
        <v>29112</v>
      </c>
      <c r="K10834" t="s">
        <v>37424</v>
      </c>
      <c r="M10834" t="s">
        <v>37716</v>
      </c>
      <c r="N10834" t="s">
        <v>41249</v>
      </c>
      <c r="O10834" t="s">
        <v>41250</v>
      </c>
      <c r="P10834">
        <v>0</v>
      </c>
      <c r="Q10834">
        <v>0</v>
      </c>
      <c r="R10834" t="s">
        <v>41264</v>
      </c>
      <c r="S10834" t="s">
        <v>41775</v>
      </c>
      <c r="T10834" t="s">
        <v>42764</v>
      </c>
      <c r="U10834" t="s">
        <v>51899</v>
      </c>
      <c r="W10834" t="s">
        <v>37716</v>
      </c>
      <c r="X10834" t="s">
        <v>41266</v>
      </c>
    </row>
    <row r="10835" spans="1:24">
      <c r="A10835">
        <f>HYPERLINK("https://www.philgeps.gov.ph/GEPSNONPILOT/Tender/SplashBidNoticeAbstractUI.aspx?menuIndex=3&amp;refID=7051194&amp;Result=3","7051194")</f>
        <v>0</v>
      </c>
      <c r="B10835" t="s">
        <v>410</v>
      </c>
      <c r="C10835" t="s">
        <v>13742</v>
      </c>
      <c r="D10835" t="s">
        <v>16630</v>
      </c>
      <c r="E10835" t="s">
        <v>26093</v>
      </c>
      <c r="F10835" t="s">
        <v>28669</v>
      </c>
      <c r="G10835" t="s">
        <v>28675</v>
      </c>
      <c r="H10835" t="s">
        <v>28686</v>
      </c>
      <c r="I10835" t="s">
        <v>28689</v>
      </c>
      <c r="J10835" t="s">
        <v>35517</v>
      </c>
      <c r="K10835" t="s">
        <v>37453</v>
      </c>
      <c r="M10835" t="s">
        <v>37895</v>
      </c>
      <c r="N10835" t="s">
        <v>41249</v>
      </c>
      <c r="O10835" t="s">
        <v>41250</v>
      </c>
      <c r="P10835">
        <v>0</v>
      </c>
      <c r="Q10835">
        <v>1</v>
      </c>
      <c r="R10835" t="s">
        <v>41264</v>
      </c>
      <c r="S10835" t="s">
        <v>41775</v>
      </c>
      <c r="T10835" t="s">
        <v>43116</v>
      </c>
      <c r="U10835" t="s">
        <v>51900</v>
      </c>
      <c r="W10835" t="s">
        <v>37895</v>
      </c>
      <c r="X10835" t="s">
        <v>41266</v>
      </c>
    </row>
    <row r="10836" spans="1:24">
      <c r="A10836">
        <f>HYPERLINK("https://www.philgeps.gov.ph/GEPSNONPILOT/Tender/SplashBidNoticeAbstractUI.aspx?menuIndex=3&amp;refID=7052085&amp;Result=3","7052085")</f>
        <v>0</v>
      </c>
      <c r="B10836" t="s">
        <v>1828</v>
      </c>
      <c r="C10836" t="s">
        <v>13743</v>
      </c>
      <c r="E10836" t="s">
        <v>26094</v>
      </c>
      <c r="F10836" t="s">
        <v>28669</v>
      </c>
      <c r="G10836" t="s">
        <v>28675</v>
      </c>
      <c r="H10836" t="s">
        <v>28686</v>
      </c>
      <c r="I10836" t="s">
        <v>28689</v>
      </c>
      <c r="J10836" t="s">
        <v>35518</v>
      </c>
      <c r="K10836" t="s">
        <v>37334</v>
      </c>
      <c r="M10836" t="s">
        <v>39441</v>
      </c>
      <c r="N10836" t="s">
        <v>41249</v>
      </c>
      <c r="O10836" t="s">
        <v>41250</v>
      </c>
      <c r="P10836">
        <v>0</v>
      </c>
      <c r="Q10836">
        <v>0</v>
      </c>
      <c r="R10836" t="s">
        <v>41264</v>
      </c>
      <c r="S10836" t="s">
        <v>41775</v>
      </c>
      <c r="T10836" t="s">
        <v>43122</v>
      </c>
      <c r="U10836" t="s">
        <v>51901</v>
      </c>
      <c r="W10836" t="s">
        <v>39441</v>
      </c>
      <c r="X10836" t="s">
        <v>41266</v>
      </c>
    </row>
    <row r="10837" spans="1:24">
      <c r="A10837">
        <f>HYPERLINK("https://www.philgeps.gov.ph/GEPSNONPILOT/Tender/SplashBidNoticeAbstractUI.aspx?menuIndex=3&amp;refID=7051997&amp;Result=3","7051997")</f>
        <v>0</v>
      </c>
      <c r="B10837" t="s">
        <v>410</v>
      </c>
      <c r="C10837" t="s">
        <v>13744</v>
      </c>
      <c r="D10837" t="s">
        <v>16630</v>
      </c>
      <c r="E10837" t="s">
        <v>26095</v>
      </c>
      <c r="F10837" t="s">
        <v>28669</v>
      </c>
      <c r="G10837" t="s">
        <v>28675</v>
      </c>
      <c r="H10837" t="s">
        <v>28686</v>
      </c>
      <c r="I10837" t="s">
        <v>28689</v>
      </c>
      <c r="J10837" t="s">
        <v>35519</v>
      </c>
      <c r="K10837" t="s">
        <v>37306</v>
      </c>
      <c r="M10837" t="s">
        <v>37895</v>
      </c>
      <c r="N10837" t="s">
        <v>41249</v>
      </c>
      <c r="O10837" t="s">
        <v>41250</v>
      </c>
      <c r="P10837">
        <v>0</v>
      </c>
      <c r="Q10837">
        <v>0</v>
      </c>
      <c r="R10837" t="s">
        <v>41264</v>
      </c>
      <c r="S10837" t="s">
        <v>41775</v>
      </c>
      <c r="T10837" t="s">
        <v>43116</v>
      </c>
      <c r="U10837" t="s">
        <v>51902</v>
      </c>
      <c r="W10837" t="s">
        <v>37895</v>
      </c>
      <c r="X10837" t="s">
        <v>41266</v>
      </c>
    </row>
    <row r="10838" spans="1:24">
      <c r="A10838">
        <f>HYPERLINK("https://www.philgeps.gov.ph/GEPSNONPILOT/Tender/SplashBidNoticeAbstractUI.aspx?menuIndex=3&amp;refID=7052284&amp;Result=3","7052284")</f>
        <v>0</v>
      </c>
      <c r="B10838" t="s">
        <v>3015</v>
      </c>
      <c r="C10838" t="s">
        <v>13745</v>
      </c>
      <c r="D10838" t="s">
        <v>16629</v>
      </c>
      <c r="E10838" t="s">
        <v>26096</v>
      </c>
      <c r="F10838" t="s">
        <v>28669</v>
      </c>
      <c r="G10838" t="s">
        <v>28675</v>
      </c>
      <c r="H10838" t="s">
        <v>28686</v>
      </c>
      <c r="I10838" t="s">
        <v>28689</v>
      </c>
      <c r="J10838" t="s">
        <v>35520</v>
      </c>
      <c r="K10838" t="s">
        <v>37253</v>
      </c>
      <c r="M10838" t="s">
        <v>40785</v>
      </c>
      <c r="N10838" t="s">
        <v>41249</v>
      </c>
      <c r="O10838" t="s">
        <v>41250</v>
      </c>
      <c r="P10838">
        <v>0</v>
      </c>
      <c r="Q10838">
        <v>0</v>
      </c>
      <c r="R10838" t="s">
        <v>41264</v>
      </c>
      <c r="S10838" t="s">
        <v>41775</v>
      </c>
      <c r="T10838" t="s">
        <v>42690</v>
      </c>
      <c r="U10838" t="s">
        <v>51903</v>
      </c>
      <c r="W10838" t="s">
        <v>40785</v>
      </c>
      <c r="X10838" t="s">
        <v>41266</v>
      </c>
    </row>
    <row r="10839" spans="1:24">
      <c r="A10839">
        <f>HYPERLINK("https://www.philgeps.gov.ph/GEPSNONPILOT/Tender/SplashBidNoticeAbstractUI.aspx?menuIndex=3&amp;refID=7048892&amp;Result=3","7048892")</f>
        <v>0</v>
      </c>
      <c r="B10839" t="s">
        <v>3008</v>
      </c>
      <c r="C10839" t="s">
        <v>13746</v>
      </c>
      <c r="D10839" t="s">
        <v>16622</v>
      </c>
      <c r="E10839" t="s">
        <v>26097</v>
      </c>
      <c r="F10839" t="s">
        <v>28669</v>
      </c>
      <c r="G10839" t="s">
        <v>28675</v>
      </c>
      <c r="H10839" t="s">
        <v>9998</v>
      </c>
      <c r="I10839" t="s">
        <v>28694</v>
      </c>
      <c r="J10839" t="s">
        <v>35521</v>
      </c>
      <c r="K10839" t="s">
        <v>37205</v>
      </c>
      <c r="M10839" t="s">
        <v>40778</v>
      </c>
      <c r="N10839" t="s">
        <v>41249</v>
      </c>
      <c r="O10839" t="s">
        <v>41250</v>
      </c>
      <c r="P10839">
        <v>0</v>
      </c>
      <c r="Q10839">
        <v>1</v>
      </c>
      <c r="R10839" t="s">
        <v>41264</v>
      </c>
      <c r="S10839" t="s">
        <v>41775</v>
      </c>
      <c r="T10839" t="s">
        <v>42678</v>
      </c>
      <c r="U10839" t="s">
        <v>51904</v>
      </c>
      <c r="W10839" t="s">
        <v>40778</v>
      </c>
      <c r="X10839" t="s">
        <v>41267</v>
      </c>
    </row>
    <row r="10840" spans="1:24">
      <c r="A10840">
        <f>HYPERLINK("https://www.philgeps.gov.ph/GEPSNONPILOT/Tender/SplashBidNoticeAbstractUI.aspx?menuIndex=3&amp;refID=7052057&amp;Result=3","7052057")</f>
        <v>0</v>
      </c>
      <c r="B10840" t="s">
        <v>1389</v>
      </c>
      <c r="C10840" t="s">
        <v>13747</v>
      </c>
      <c r="D10840" t="s">
        <v>16608</v>
      </c>
      <c r="E10840" t="s">
        <v>16864</v>
      </c>
      <c r="F10840" t="s">
        <v>28669</v>
      </c>
      <c r="G10840" t="s">
        <v>28675</v>
      </c>
      <c r="H10840" t="s">
        <v>9998</v>
      </c>
      <c r="I10840" t="s">
        <v>28725</v>
      </c>
      <c r="J10840" t="s">
        <v>35522</v>
      </c>
      <c r="K10840" t="s">
        <v>37220</v>
      </c>
      <c r="M10840" t="s">
        <v>38951</v>
      </c>
      <c r="N10840" t="s">
        <v>41249</v>
      </c>
      <c r="O10840" t="s">
        <v>41250</v>
      </c>
      <c r="Q10840">
        <v>6</v>
      </c>
      <c r="R10840" t="s">
        <v>41264</v>
      </c>
      <c r="S10840" t="s">
        <v>41787</v>
      </c>
      <c r="T10840" t="s">
        <v>42670</v>
      </c>
      <c r="U10840" t="s">
        <v>51905</v>
      </c>
      <c r="W10840" t="s">
        <v>38951</v>
      </c>
      <c r="X10840" t="s">
        <v>41266</v>
      </c>
    </row>
    <row r="10841" spans="1:24">
      <c r="A10841">
        <f>HYPERLINK("https://www.philgeps.gov.ph/GEPSNONPILOT/Tender/SplashBidNoticeAbstractUI.aspx?menuIndex=3&amp;refID=7052282&amp;Result=3","7052282")</f>
        <v>0</v>
      </c>
      <c r="B10841" t="s">
        <v>102</v>
      </c>
      <c r="C10841" t="s">
        <v>13748</v>
      </c>
      <c r="D10841" t="s">
        <v>16631</v>
      </c>
      <c r="E10841" t="s">
        <v>26098</v>
      </c>
      <c r="F10841" t="s">
        <v>28669</v>
      </c>
      <c r="G10841" t="s">
        <v>28675</v>
      </c>
      <c r="H10841" t="s">
        <v>28686</v>
      </c>
      <c r="I10841" t="s">
        <v>28689</v>
      </c>
      <c r="J10841" t="s">
        <v>35523</v>
      </c>
      <c r="K10841" t="s">
        <v>37454</v>
      </c>
      <c r="M10841" t="s">
        <v>37577</v>
      </c>
      <c r="N10841" t="s">
        <v>41249</v>
      </c>
      <c r="O10841" t="s">
        <v>41250</v>
      </c>
      <c r="P10841">
        <v>0</v>
      </c>
      <c r="Q10841">
        <v>1</v>
      </c>
      <c r="R10841" t="s">
        <v>41264</v>
      </c>
      <c r="S10841" t="s">
        <v>41775</v>
      </c>
      <c r="T10841" t="s">
        <v>42690</v>
      </c>
      <c r="U10841" t="s">
        <v>45242</v>
      </c>
      <c r="V10841" t="s">
        <v>54279</v>
      </c>
      <c r="W10841" t="s">
        <v>37577</v>
      </c>
      <c r="X10841" t="s">
        <v>41266</v>
      </c>
    </row>
    <row r="10842" spans="1:24">
      <c r="A10842">
        <f>HYPERLINK("https://www.philgeps.gov.ph/GEPSNONPILOT/Tender/SplashBidNoticeAbstractUI.aspx?menuIndex=3&amp;refID=7052246&amp;Result=3","7052246")</f>
        <v>0</v>
      </c>
      <c r="B10842" t="s">
        <v>3015</v>
      </c>
      <c r="C10842" t="s">
        <v>13749</v>
      </c>
      <c r="D10842" t="s">
        <v>16629</v>
      </c>
      <c r="E10842" t="s">
        <v>26099</v>
      </c>
      <c r="F10842" t="s">
        <v>28669</v>
      </c>
      <c r="G10842" t="s">
        <v>28675</v>
      </c>
      <c r="H10842" t="s">
        <v>28686</v>
      </c>
      <c r="I10842" t="s">
        <v>28689</v>
      </c>
      <c r="J10842" t="s">
        <v>35524</v>
      </c>
      <c r="K10842" t="s">
        <v>37455</v>
      </c>
      <c r="M10842" t="s">
        <v>40785</v>
      </c>
      <c r="N10842" t="s">
        <v>41249</v>
      </c>
      <c r="O10842" t="s">
        <v>41250</v>
      </c>
      <c r="P10842">
        <v>0</v>
      </c>
      <c r="Q10842">
        <v>0</v>
      </c>
      <c r="R10842" t="s">
        <v>41264</v>
      </c>
      <c r="S10842" t="s">
        <v>41775</v>
      </c>
      <c r="T10842" t="s">
        <v>42690</v>
      </c>
      <c r="U10842" t="s">
        <v>51906</v>
      </c>
      <c r="W10842" t="s">
        <v>40785</v>
      </c>
      <c r="X10842" t="s">
        <v>41266</v>
      </c>
    </row>
    <row r="10843" spans="1:24">
      <c r="A10843">
        <f>HYPERLINK("https://www.philgeps.gov.ph/GEPSNONPILOT/Tender/SplashBidNoticeAbstractUI.aspx?menuIndex=3&amp;refID=7052050&amp;Result=3","7052050")</f>
        <v>0</v>
      </c>
      <c r="B10843" t="s">
        <v>1828</v>
      </c>
      <c r="C10843" t="s">
        <v>13750</v>
      </c>
      <c r="E10843" t="s">
        <v>26100</v>
      </c>
      <c r="F10843" t="s">
        <v>28669</v>
      </c>
      <c r="G10843" t="s">
        <v>28675</v>
      </c>
      <c r="H10843" t="s">
        <v>28686</v>
      </c>
      <c r="I10843" t="s">
        <v>28689</v>
      </c>
      <c r="J10843" t="s">
        <v>35525</v>
      </c>
      <c r="K10843" t="s">
        <v>37335</v>
      </c>
      <c r="M10843" t="s">
        <v>39441</v>
      </c>
      <c r="N10843" t="s">
        <v>41249</v>
      </c>
      <c r="O10843" t="s">
        <v>41250</v>
      </c>
      <c r="P10843">
        <v>0</v>
      </c>
      <c r="Q10843">
        <v>0</v>
      </c>
      <c r="R10843" t="s">
        <v>41264</v>
      </c>
      <c r="S10843" t="s">
        <v>41775</v>
      </c>
      <c r="T10843" t="s">
        <v>42695</v>
      </c>
      <c r="U10843" t="s">
        <v>51907</v>
      </c>
      <c r="W10843" t="s">
        <v>39441</v>
      </c>
      <c r="X10843" t="s">
        <v>41266</v>
      </c>
    </row>
    <row r="10844" spans="1:24">
      <c r="A10844">
        <f>HYPERLINK("https://www.philgeps.gov.ph/GEPSNONPILOT/Tender/SplashBidNoticeAbstractUI.aspx?menuIndex=3&amp;refID=7052227&amp;Result=3","7052227")</f>
        <v>0</v>
      </c>
      <c r="B10844" t="s">
        <v>33</v>
      </c>
      <c r="C10844" t="s">
        <v>13751</v>
      </c>
      <c r="D10844" t="s">
        <v>16616</v>
      </c>
      <c r="E10844" t="s">
        <v>26101</v>
      </c>
      <c r="F10844" t="s">
        <v>28669</v>
      </c>
      <c r="G10844" t="s">
        <v>28675</v>
      </c>
      <c r="H10844" t="s">
        <v>9998</v>
      </c>
      <c r="I10844" t="s">
        <v>7352</v>
      </c>
      <c r="J10844" t="s">
        <v>35526</v>
      </c>
      <c r="K10844" t="s">
        <v>37243</v>
      </c>
      <c r="M10844" t="s">
        <v>37508</v>
      </c>
      <c r="N10844" t="s">
        <v>41249</v>
      </c>
      <c r="O10844" t="s">
        <v>41250</v>
      </c>
      <c r="P10844">
        <v>0</v>
      </c>
      <c r="Q10844">
        <v>0</v>
      </c>
      <c r="R10844" t="s">
        <v>41264</v>
      </c>
      <c r="S10844" t="s">
        <v>41775</v>
      </c>
      <c r="T10844" t="s">
        <v>42696</v>
      </c>
      <c r="U10844" t="s">
        <v>51908</v>
      </c>
      <c r="V10844" t="s">
        <v>55501</v>
      </c>
      <c r="W10844" t="s">
        <v>37508</v>
      </c>
      <c r="X10844" t="s">
        <v>41266</v>
      </c>
    </row>
    <row r="10845" spans="1:24">
      <c r="A10845">
        <f>HYPERLINK("https://www.philgeps.gov.ph/GEPSNONPILOT/Tender/SplashBidNoticeAbstractUI.aspx?menuIndex=3&amp;refID=7052226&amp;Result=3","7052226")</f>
        <v>0</v>
      </c>
      <c r="B10845" t="s">
        <v>3015</v>
      </c>
      <c r="C10845" t="s">
        <v>13752</v>
      </c>
      <c r="D10845" t="s">
        <v>16629</v>
      </c>
      <c r="E10845" t="s">
        <v>26102</v>
      </c>
      <c r="F10845" t="s">
        <v>28669</v>
      </c>
      <c r="G10845" t="s">
        <v>28675</v>
      </c>
      <c r="H10845" t="s">
        <v>28686</v>
      </c>
      <c r="I10845" t="s">
        <v>28689</v>
      </c>
      <c r="J10845" t="s">
        <v>35527</v>
      </c>
      <c r="K10845" t="s">
        <v>37362</v>
      </c>
      <c r="M10845" t="s">
        <v>40785</v>
      </c>
      <c r="N10845" t="s">
        <v>41249</v>
      </c>
      <c r="O10845" t="s">
        <v>41250</v>
      </c>
      <c r="P10845">
        <v>0</v>
      </c>
      <c r="Q10845">
        <v>1</v>
      </c>
      <c r="R10845" t="s">
        <v>41264</v>
      </c>
      <c r="S10845" t="s">
        <v>41775</v>
      </c>
      <c r="T10845" t="s">
        <v>42690</v>
      </c>
      <c r="U10845" t="s">
        <v>51909</v>
      </c>
      <c r="W10845" t="s">
        <v>40785</v>
      </c>
      <c r="X10845" t="s">
        <v>41266</v>
      </c>
    </row>
    <row r="10846" spans="1:24">
      <c r="A10846">
        <f>HYPERLINK("https://www.philgeps.gov.ph/GEPSNONPILOT/Tender/SplashBidNoticeAbstractUI.aspx?menuIndex=3&amp;refID=7052210&amp;Result=3","7052210")</f>
        <v>0</v>
      </c>
      <c r="B10846" t="s">
        <v>1828</v>
      </c>
      <c r="C10846" t="s">
        <v>13753</v>
      </c>
      <c r="E10846" t="s">
        <v>26103</v>
      </c>
      <c r="F10846" t="s">
        <v>28669</v>
      </c>
      <c r="G10846" t="s">
        <v>28675</v>
      </c>
      <c r="H10846" t="s">
        <v>28686</v>
      </c>
      <c r="I10846" t="s">
        <v>28689</v>
      </c>
      <c r="J10846" t="s">
        <v>35528</v>
      </c>
      <c r="K10846" t="s">
        <v>37212</v>
      </c>
      <c r="M10846" t="s">
        <v>39441</v>
      </c>
      <c r="N10846" t="s">
        <v>41249</v>
      </c>
      <c r="O10846" t="s">
        <v>41250</v>
      </c>
      <c r="P10846">
        <v>0</v>
      </c>
      <c r="Q10846">
        <v>0</v>
      </c>
      <c r="R10846" t="s">
        <v>41264</v>
      </c>
      <c r="S10846" t="s">
        <v>41775</v>
      </c>
      <c r="T10846" t="s">
        <v>42695</v>
      </c>
      <c r="U10846" t="s">
        <v>51910</v>
      </c>
      <c r="W10846" t="s">
        <v>39441</v>
      </c>
      <c r="X10846" t="s">
        <v>41266</v>
      </c>
    </row>
    <row r="10847" spans="1:24">
      <c r="A10847">
        <f>HYPERLINK("https://www.philgeps.gov.ph/GEPSNONPILOT/Tender/SplashBidNoticeAbstractUI.aspx?menuIndex=3&amp;refID=7051332&amp;Result=3","7051332")</f>
        <v>0</v>
      </c>
      <c r="B10847" t="s">
        <v>238</v>
      </c>
      <c r="C10847" t="s">
        <v>13754</v>
      </c>
      <c r="D10847" t="s">
        <v>16640</v>
      </c>
      <c r="E10847" t="s">
        <v>26104</v>
      </c>
      <c r="F10847" t="s">
        <v>28669</v>
      </c>
      <c r="G10847" t="s">
        <v>28675</v>
      </c>
      <c r="H10847" t="s">
        <v>28686</v>
      </c>
      <c r="I10847" t="s">
        <v>28689</v>
      </c>
      <c r="J10847" t="s">
        <v>28924</v>
      </c>
      <c r="K10847" t="s">
        <v>37207</v>
      </c>
      <c r="M10847" t="s">
        <v>37716</v>
      </c>
      <c r="N10847" t="s">
        <v>41249</v>
      </c>
      <c r="O10847" t="s">
        <v>41250</v>
      </c>
      <c r="P10847">
        <v>0</v>
      </c>
      <c r="Q10847">
        <v>1</v>
      </c>
      <c r="R10847" t="s">
        <v>41264</v>
      </c>
      <c r="S10847" t="s">
        <v>41775</v>
      </c>
      <c r="T10847" t="s">
        <v>42783</v>
      </c>
      <c r="U10847" t="s">
        <v>51911</v>
      </c>
      <c r="W10847" t="s">
        <v>37716</v>
      </c>
      <c r="X10847" t="s">
        <v>41266</v>
      </c>
    </row>
    <row r="10848" spans="1:24">
      <c r="A10848">
        <f>HYPERLINK("https://www.philgeps.gov.ph/GEPSNONPILOT/Tender/SplashBidNoticeAbstractUI.aspx?menuIndex=3&amp;refID=7052262&amp;Result=3","7052262")</f>
        <v>0</v>
      </c>
      <c r="B10848" t="s">
        <v>3015</v>
      </c>
      <c r="C10848" t="s">
        <v>13755</v>
      </c>
      <c r="D10848" t="s">
        <v>16629</v>
      </c>
      <c r="E10848" t="s">
        <v>26105</v>
      </c>
      <c r="F10848" t="s">
        <v>28669</v>
      </c>
      <c r="G10848" t="s">
        <v>28675</v>
      </c>
      <c r="H10848" t="s">
        <v>28686</v>
      </c>
      <c r="I10848" t="s">
        <v>28689</v>
      </c>
      <c r="J10848" t="s">
        <v>35529</v>
      </c>
      <c r="K10848" t="s">
        <v>37346</v>
      </c>
      <c r="M10848" t="s">
        <v>40785</v>
      </c>
      <c r="N10848" t="s">
        <v>41249</v>
      </c>
      <c r="O10848" t="s">
        <v>41250</v>
      </c>
      <c r="P10848">
        <v>0</v>
      </c>
      <c r="Q10848">
        <v>0</v>
      </c>
      <c r="R10848" t="s">
        <v>41264</v>
      </c>
      <c r="S10848" t="s">
        <v>41775</v>
      </c>
      <c r="T10848" t="s">
        <v>42690</v>
      </c>
      <c r="U10848" t="s">
        <v>51912</v>
      </c>
      <c r="W10848" t="s">
        <v>40785</v>
      </c>
      <c r="X10848" t="s">
        <v>41266</v>
      </c>
    </row>
    <row r="10849" spans="1:24">
      <c r="A10849">
        <f>HYPERLINK("https://www.philgeps.gov.ph/GEPSNONPILOT/Tender/SplashBidNoticeAbstractUI.aspx?menuIndex=3&amp;refID=7052159&amp;Result=3","7052159")</f>
        <v>0</v>
      </c>
      <c r="B10849" t="s">
        <v>353</v>
      </c>
      <c r="C10849" t="s">
        <v>13756</v>
      </c>
      <c r="D10849" t="s">
        <v>16677</v>
      </c>
      <c r="E10849" t="s">
        <v>26106</v>
      </c>
      <c r="F10849" t="s">
        <v>28669</v>
      </c>
      <c r="G10849" t="s">
        <v>28675</v>
      </c>
      <c r="H10849" t="s">
        <v>28686</v>
      </c>
      <c r="I10849" t="s">
        <v>28689</v>
      </c>
      <c r="J10849" t="s">
        <v>35530</v>
      </c>
      <c r="K10849" t="s">
        <v>37215</v>
      </c>
      <c r="M10849" t="s">
        <v>37834</v>
      </c>
      <c r="N10849" t="s">
        <v>41249</v>
      </c>
      <c r="O10849" t="s">
        <v>41250</v>
      </c>
      <c r="P10849">
        <v>0</v>
      </c>
      <c r="Q10849">
        <v>0</v>
      </c>
      <c r="R10849" t="s">
        <v>41264</v>
      </c>
      <c r="S10849" t="s">
        <v>41775</v>
      </c>
      <c r="T10849" t="s">
        <v>42827</v>
      </c>
      <c r="U10849" t="s">
        <v>51913</v>
      </c>
      <c r="W10849" t="s">
        <v>37834</v>
      </c>
      <c r="X10849" t="s">
        <v>41266</v>
      </c>
    </row>
    <row r="10850" spans="1:24">
      <c r="A10850">
        <f>HYPERLINK("https://www.philgeps.gov.ph/GEPSNONPILOT/Tender/SplashBidNoticeAbstractUI.aspx?menuIndex=3&amp;refID=7052181&amp;Result=3","7052181")</f>
        <v>0</v>
      </c>
      <c r="B10850" t="s">
        <v>1828</v>
      </c>
      <c r="C10850" t="s">
        <v>13757</v>
      </c>
      <c r="E10850" t="s">
        <v>26107</v>
      </c>
      <c r="F10850" t="s">
        <v>28669</v>
      </c>
      <c r="G10850" t="s">
        <v>28675</v>
      </c>
      <c r="H10850" t="s">
        <v>28686</v>
      </c>
      <c r="I10850" t="s">
        <v>28689</v>
      </c>
      <c r="J10850" t="s">
        <v>35531</v>
      </c>
      <c r="K10850" t="s">
        <v>37213</v>
      </c>
      <c r="M10850" t="s">
        <v>39441</v>
      </c>
      <c r="N10850" t="s">
        <v>41249</v>
      </c>
      <c r="O10850" t="s">
        <v>41250</v>
      </c>
      <c r="P10850">
        <v>0</v>
      </c>
      <c r="Q10850">
        <v>1</v>
      </c>
      <c r="R10850" t="s">
        <v>41264</v>
      </c>
      <c r="S10850" t="s">
        <v>41775</v>
      </c>
      <c r="T10850" t="s">
        <v>42695</v>
      </c>
      <c r="U10850" t="s">
        <v>51914</v>
      </c>
      <c r="W10850" t="s">
        <v>39441</v>
      </c>
      <c r="X10850" t="s">
        <v>41266</v>
      </c>
    </row>
    <row r="10851" spans="1:24">
      <c r="A10851">
        <f>HYPERLINK("https://www.philgeps.gov.ph/GEPSNONPILOT/Tender/SplashBidNoticeAbstractUI.aspx?menuIndex=3&amp;refID=7052156&amp;Result=3","7052156")</f>
        <v>0</v>
      </c>
      <c r="B10851" t="s">
        <v>762</v>
      </c>
      <c r="C10851" t="s">
        <v>13758</v>
      </c>
      <c r="E10851" t="s">
        <v>26108</v>
      </c>
      <c r="F10851" t="s">
        <v>28669</v>
      </c>
      <c r="G10851" t="s">
        <v>28676</v>
      </c>
      <c r="H10851" t="s">
        <v>9998</v>
      </c>
      <c r="I10851" t="s">
        <v>11593</v>
      </c>
      <c r="J10851" t="s">
        <v>29003</v>
      </c>
      <c r="K10851" t="s">
        <v>37209</v>
      </c>
      <c r="M10851" t="s">
        <v>38273</v>
      </c>
      <c r="N10851" t="s">
        <v>41249</v>
      </c>
      <c r="O10851" t="s">
        <v>41250</v>
      </c>
      <c r="Q10851">
        <v>18</v>
      </c>
      <c r="R10851" t="s">
        <v>41264</v>
      </c>
      <c r="S10851" t="s">
        <v>41788</v>
      </c>
      <c r="T10851" t="s">
        <v>42734</v>
      </c>
      <c r="U10851" t="s">
        <v>44679</v>
      </c>
      <c r="W10851" t="s">
        <v>38273</v>
      </c>
      <c r="X10851" t="s">
        <v>41266</v>
      </c>
    </row>
    <row r="10852" spans="1:24">
      <c r="A10852">
        <f>HYPERLINK("https://www.philgeps.gov.ph/GEPSNONPILOT/Tender/SplashBidNoticeAbstractUI.aspx?menuIndex=3&amp;refID=7052142&amp;Result=3","7052142")</f>
        <v>0</v>
      </c>
      <c r="B10852" t="s">
        <v>3014</v>
      </c>
      <c r="C10852" t="s">
        <v>13759</v>
      </c>
      <c r="D10852" t="s">
        <v>16624</v>
      </c>
      <c r="E10852" t="s">
        <v>26109</v>
      </c>
      <c r="F10852" t="s">
        <v>28669</v>
      </c>
      <c r="G10852" t="s">
        <v>28675</v>
      </c>
      <c r="H10852" t="s">
        <v>9998</v>
      </c>
      <c r="I10852" t="s">
        <v>28687</v>
      </c>
      <c r="J10852" t="s">
        <v>28823</v>
      </c>
      <c r="K10852" t="s">
        <v>37206</v>
      </c>
      <c r="M10852" t="s">
        <v>40784</v>
      </c>
      <c r="N10852" t="s">
        <v>41249</v>
      </c>
      <c r="O10852" t="s">
        <v>41250</v>
      </c>
      <c r="Q10852">
        <v>3</v>
      </c>
      <c r="R10852" t="s">
        <v>41264</v>
      </c>
      <c r="S10852" t="s">
        <v>41789</v>
      </c>
      <c r="T10852" t="s">
        <v>42687</v>
      </c>
      <c r="U10852" t="s">
        <v>51915</v>
      </c>
      <c r="W10852" t="s">
        <v>40784</v>
      </c>
      <c r="X10852" t="s">
        <v>41266</v>
      </c>
    </row>
    <row r="10853" spans="1:24">
      <c r="A10853">
        <f>HYPERLINK("https://www.philgeps.gov.ph/GEPSNONPILOT/Tender/SplashBidNoticeAbstractUI.aspx?menuIndex=3&amp;refID=7052125&amp;Result=3","7052125")</f>
        <v>0</v>
      </c>
      <c r="B10853" t="s">
        <v>1828</v>
      </c>
      <c r="C10853" t="s">
        <v>13760</v>
      </c>
      <c r="E10853" t="s">
        <v>26110</v>
      </c>
      <c r="F10853" t="s">
        <v>28669</v>
      </c>
      <c r="G10853" t="s">
        <v>28675</v>
      </c>
      <c r="H10853" t="s">
        <v>28686</v>
      </c>
      <c r="I10853" t="s">
        <v>28689</v>
      </c>
      <c r="J10853" t="s">
        <v>35532</v>
      </c>
      <c r="K10853" t="s">
        <v>37213</v>
      </c>
      <c r="M10853" t="s">
        <v>39441</v>
      </c>
      <c r="N10853" t="s">
        <v>41249</v>
      </c>
      <c r="O10853" t="s">
        <v>41250</v>
      </c>
      <c r="P10853">
        <v>0</v>
      </c>
      <c r="Q10853">
        <v>0</v>
      </c>
      <c r="R10853" t="s">
        <v>41264</v>
      </c>
      <c r="S10853" t="s">
        <v>41775</v>
      </c>
      <c r="T10853" t="s">
        <v>42695</v>
      </c>
      <c r="U10853" t="s">
        <v>51916</v>
      </c>
      <c r="W10853" t="s">
        <v>39441</v>
      </c>
      <c r="X10853" t="s">
        <v>41266</v>
      </c>
    </row>
    <row r="10854" spans="1:24">
      <c r="A10854">
        <f>HYPERLINK("https://www.philgeps.gov.ph/GEPSNONPILOT/Tender/SplashBidNoticeAbstractUI.aspx?menuIndex=3&amp;refID=7052221&amp;Result=3","7052221")</f>
        <v>0</v>
      </c>
      <c r="B10854" t="s">
        <v>1828</v>
      </c>
      <c r="C10854" t="s">
        <v>13761</v>
      </c>
      <c r="E10854" t="s">
        <v>26111</v>
      </c>
      <c r="F10854" t="s">
        <v>28669</v>
      </c>
      <c r="G10854" t="s">
        <v>28675</v>
      </c>
      <c r="H10854" t="s">
        <v>28686</v>
      </c>
      <c r="I10854" t="s">
        <v>28689</v>
      </c>
      <c r="J10854" t="s">
        <v>35533</v>
      </c>
      <c r="K10854" t="s">
        <v>37212</v>
      </c>
      <c r="M10854" t="s">
        <v>39441</v>
      </c>
      <c r="N10854" t="s">
        <v>41249</v>
      </c>
      <c r="O10854" t="s">
        <v>41250</v>
      </c>
      <c r="P10854">
        <v>0</v>
      </c>
      <c r="Q10854">
        <v>1</v>
      </c>
      <c r="R10854" t="s">
        <v>41264</v>
      </c>
      <c r="S10854" t="s">
        <v>41775</v>
      </c>
      <c r="T10854" t="s">
        <v>42695</v>
      </c>
      <c r="U10854" t="s">
        <v>51917</v>
      </c>
      <c r="W10854" t="s">
        <v>39441</v>
      </c>
      <c r="X10854" t="s">
        <v>41266</v>
      </c>
    </row>
    <row r="10855" spans="1:24">
      <c r="A10855">
        <f>HYPERLINK("https://www.philgeps.gov.ph/GEPSNONPILOT/Tender/SplashBidNoticeAbstractUI.aspx?menuIndex=3&amp;refID=7052108&amp;Result=3","7052108")</f>
        <v>0</v>
      </c>
      <c r="B10855" t="s">
        <v>410</v>
      </c>
      <c r="C10855" t="s">
        <v>13762</v>
      </c>
      <c r="D10855" t="s">
        <v>16630</v>
      </c>
      <c r="E10855" t="s">
        <v>26112</v>
      </c>
      <c r="F10855" t="s">
        <v>28669</v>
      </c>
      <c r="G10855" t="s">
        <v>28675</v>
      </c>
      <c r="H10855" t="s">
        <v>28686</v>
      </c>
      <c r="I10855" t="s">
        <v>28689</v>
      </c>
      <c r="J10855" t="s">
        <v>35534</v>
      </c>
      <c r="K10855" t="s">
        <v>37207</v>
      </c>
      <c r="M10855" t="s">
        <v>37895</v>
      </c>
      <c r="N10855" t="s">
        <v>41249</v>
      </c>
      <c r="O10855" t="s">
        <v>41250</v>
      </c>
      <c r="P10855">
        <v>0</v>
      </c>
      <c r="Q10855">
        <v>0</v>
      </c>
      <c r="R10855" t="s">
        <v>41264</v>
      </c>
      <c r="S10855" t="s">
        <v>41775</v>
      </c>
      <c r="T10855" t="s">
        <v>43116</v>
      </c>
      <c r="U10855" t="s">
        <v>51918</v>
      </c>
      <c r="W10855" t="s">
        <v>37895</v>
      </c>
      <c r="X10855" t="s">
        <v>41266</v>
      </c>
    </row>
    <row r="10856" spans="1:24">
      <c r="A10856">
        <f>HYPERLINK("https://www.philgeps.gov.ph/GEPSNONPILOT/Tender/SplashBidNoticeAbstractUI.aspx?menuIndex=3&amp;refID=7052103&amp;Result=3","7052103")</f>
        <v>0</v>
      </c>
      <c r="B10856" t="s">
        <v>1828</v>
      </c>
      <c r="C10856" t="s">
        <v>13763</v>
      </c>
      <c r="E10856" t="s">
        <v>26113</v>
      </c>
      <c r="F10856" t="s">
        <v>28669</v>
      </c>
      <c r="G10856" t="s">
        <v>28675</v>
      </c>
      <c r="H10856" t="s">
        <v>28686</v>
      </c>
      <c r="I10856" t="s">
        <v>28689</v>
      </c>
      <c r="J10856" t="s">
        <v>28850</v>
      </c>
      <c r="K10856" t="s">
        <v>37218</v>
      </c>
      <c r="M10856" t="s">
        <v>39441</v>
      </c>
      <c r="N10856" t="s">
        <v>41249</v>
      </c>
      <c r="O10856" t="s">
        <v>41250</v>
      </c>
      <c r="P10856">
        <v>0</v>
      </c>
      <c r="Q10856">
        <v>1</v>
      </c>
      <c r="R10856" t="s">
        <v>41264</v>
      </c>
      <c r="S10856" t="s">
        <v>41775</v>
      </c>
      <c r="T10856" t="s">
        <v>42695</v>
      </c>
      <c r="U10856" t="s">
        <v>51919</v>
      </c>
      <c r="W10856" t="s">
        <v>39441</v>
      </c>
      <c r="X10856" t="s">
        <v>41266</v>
      </c>
    </row>
    <row r="10857" spans="1:24">
      <c r="A10857">
        <f>HYPERLINK("https://www.philgeps.gov.ph/GEPSNONPILOT/Tender/SplashBidNoticeAbstractUI.aspx?menuIndex=3&amp;refID=7050312&amp;Result=3","7050312")</f>
        <v>0</v>
      </c>
      <c r="B10857" t="s">
        <v>986</v>
      </c>
      <c r="C10857" t="s">
        <v>13764</v>
      </c>
      <c r="D10857" t="s">
        <v>16620</v>
      </c>
      <c r="E10857" t="s">
        <v>26114</v>
      </c>
      <c r="F10857" t="s">
        <v>28669</v>
      </c>
      <c r="G10857" t="s">
        <v>28675</v>
      </c>
      <c r="H10857" t="s">
        <v>9998</v>
      </c>
      <c r="I10857" t="s">
        <v>5286</v>
      </c>
      <c r="J10857" t="s">
        <v>35535</v>
      </c>
      <c r="K10857" t="s">
        <v>37206</v>
      </c>
      <c r="M10857" t="s">
        <v>38511</v>
      </c>
      <c r="N10857" t="s">
        <v>41249</v>
      </c>
      <c r="O10857" t="s">
        <v>41250</v>
      </c>
      <c r="P10857">
        <v>0</v>
      </c>
      <c r="Q10857">
        <v>5</v>
      </c>
      <c r="R10857" t="s">
        <v>41264</v>
      </c>
      <c r="S10857" t="s">
        <v>41775</v>
      </c>
      <c r="T10857" t="s">
        <v>42755</v>
      </c>
      <c r="U10857" t="s">
        <v>45210</v>
      </c>
      <c r="V10857" t="s">
        <v>54542</v>
      </c>
      <c r="W10857" t="s">
        <v>38511</v>
      </c>
      <c r="X10857" t="s">
        <v>41266</v>
      </c>
    </row>
    <row r="10858" spans="1:24">
      <c r="A10858">
        <f>HYPERLINK("https://www.philgeps.gov.ph/GEPSNONPILOT/Tender/SplashBidNoticeAbstractUI.aspx?menuIndex=3&amp;refID=7050195&amp;Result=3","7050195")</f>
        <v>0</v>
      </c>
      <c r="B10858" t="s">
        <v>597</v>
      </c>
      <c r="C10858" t="s">
        <v>13765</v>
      </c>
      <c r="D10858" t="s">
        <v>16615</v>
      </c>
      <c r="E10858" t="s">
        <v>26115</v>
      </c>
      <c r="F10858" t="s">
        <v>28669</v>
      </c>
      <c r="G10858" t="s">
        <v>28680</v>
      </c>
      <c r="H10858" t="s">
        <v>28684</v>
      </c>
      <c r="I10858" t="s">
        <v>28728</v>
      </c>
      <c r="J10858" t="s">
        <v>35536</v>
      </c>
      <c r="K10858" t="s">
        <v>37456</v>
      </c>
      <c r="M10858" t="s">
        <v>38096</v>
      </c>
      <c r="N10858" t="s">
        <v>41249</v>
      </c>
      <c r="O10858" t="s">
        <v>41250</v>
      </c>
      <c r="P10858">
        <v>0</v>
      </c>
      <c r="Q10858">
        <v>0</v>
      </c>
      <c r="R10858" t="s">
        <v>41264</v>
      </c>
      <c r="S10858" t="s">
        <v>41775</v>
      </c>
      <c r="T10858" t="s">
        <v>43021</v>
      </c>
      <c r="U10858" t="s">
        <v>51920</v>
      </c>
      <c r="W10858" t="s">
        <v>38096</v>
      </c>
      <c r="X10858" t="s">
        <v>41266</v>
      </c>
    </row>
    <row r="10859" spans="1:24">
      <c r="A10859">
        <f>HYPERLINK("https://www.philgeps.gov.ph/GEPSNONPILOT/Tender/SplashBidNoticeAbstractUI.aspx?menuIndex=3&amp;refID=7052191&amp;Result=3","7052191")</f>
        <v>0</v>
      </c>
      <c r="B10859" t="s">
        <v>1828</v>
      </c>
      <c r="C10859" t="s">
        <v>13766</v>
      </c>
      <c r="E10859" t="s">
        <v>26116</v>
      </c>
      <c r="F10859" t="s">
        <v>28669</v>
      </c>
      <c r="G10859" t="s">
        <v>28675</v>
      </c>
      <c r="H10859" t="s">
        <v>28686</v>
      </c>
      <c r="I10859" t="s">
        <v>28689</v>
      </c>
      <c r="J10859" t="s">
        <v>35537</v>
      </c>
      <c r="K10859" t="s">
        <v>37214</v>
      </c>
      <c r="M10859" t="s">
        <v>39441</v>
      </c>
      <c r="N10859" t="s">
        <v>41249</v>
      </c>
      <c r="O10859" t="s">
        <v>41250</v>
      </c>
      <c r="P10859">
        <v>0</v>
      </c>
      <c r="Q10859">
        <v>0</v>
      </c>
      <c r="R10859" t="s">
        <v>41264</v>
      </c>
      <c r="S10859" t="s">
        <v>41775</v>
      </c>
      <c r="T10859" t="s">
        <v>42695</v>
      </c>
      <c r="U10859" t="s">
        <v>51921</v>
      </c>
      <c r="W10859" t="s">
        <v>39441</v>
      </c>
      <c r="X10859" t="s">
        <v>41266</v>
      </c>
    </row>
    <row r="10860" spans="1:24">
      <c r="A10860">
        <f>HYPERLINK("https://www.philgeps.gov.ph/GEPSNONPILOT/Tender/SplashBidNoticeAbstractUI.aspx?menuIndex=3&amp;refID=7049670&amp;Result=3","7049670")</f>
        <v>0</v>
      </c>
      <c r="B10860" t="s">
        <v>232</v>
      </c>
      <c r="C10860" t="s">
        <v>13767</v>
      </c>
      <c r="D10860" t="s">
        <v>16618</v>
      </c>
      <c r="E10860" t="s">
        <v>26117</v>
      </c>
      <c r="F10860" t="s">
        <v>28669</v>
      </c>
      <c r="G10860" t="s">
        <v>28675</v>
      </c>
      <c r="H10860" t="s">
        <v>9998</v>
      </c>
      <c r="I10860" t="s">
        <v>5286</v>
      </c>
      <c r="J10860" t="s">
        <v>35538</v>
      </c>
      <c r="K10860" t="s">
        <v>37209</v>
      </c>
      <c r="M10860" t="s">
        <v>37710</v>
      </c>
      <c r="N10860" t="s">
        <v>41249</v>
      </c>
      <c r="O10860" t="s">
        <v>41250</v>
      </c>
      <c r="P10860">
        <v>0</v>
      </c>
      <c r="Q10860">
        <v>4</v>
      </c>
      <c r="R10860" t="s">
        <v>41264</v>
      </c>
      <c r="S10860" t="s">
        <v>41775</v>
      </c>
      <c r="T10860" t="s">
        <v>42690</v>
      </c>
      <c r="U10860" t="s">
        <v>51922</v>
      </c>
      <c r="W10860" t="s">
        <v>37710</v>
      </c>
      <c r="X10860" t="s">
        <v>41267</v>
      </c>
    </row>
    <row r="10861" spans="1:24">
      <c r="A10861">
        <f>HYPERLINK("https://www.philgeps.gov.ph/GEPSNONPILOT/Tender/SplashBidNoticeAbstractUI.aspx?menuIndex=3&amp;refID=7052670&amp;Result=3","7052670")</f>
        <v>0</v>
      </c>
      <c r="B10861" t="s">
        <v>3016</v>
      </c>
      <c r="C10861" t="s">
        <v>13768</v>
      </c>
      <c r="D10861" t="s">
        <v>16643</v>
      </c>
      <c r="E10861" t="s">
        <v>26118</v>
      </c>
      <c r="F10861" t="s">
        <v>28669</v>
      </c>
      <c r="G10861" t="s">
        <v>28677</v>
      </c>
      <c r="H10861" t="s">
        <v>9998</v>
      </c>
      <c r="I10861" t="s">
        <v>28709</v>
      </c>
      <c r="J10861" t="s">
        <v>35539</v>
      </c>
      <c r="K10861" t="s">
        <v>37210</v>
      </c>
      <c r="M10861" t="s">
        <v>40786</v>
      </c>
      <c r="N10861" t="s">
        <v>41249</v>
      </c>
      <c r="O10861" t="s">
        <v>41250</v>
      </c>
      <c r="P10861">
        <v>0</v>
      </c>
      <c r="Q10861">
        <v>1</v>
      </c>
      <c r="R10861" t="s">
        <v>41264</v>
      </c>
      <c r="S10861" t="s">
        <v>41775</v>
      </c>
      <c r="T10861" t="s">
        <v>42736</v>
      </c>
      <c r="U10861" t="s">
        <v>51923</v>
      </c>
      <c r="W10861" t="s">
        <v>40786</v>
      </c>
      <c r="X10861" t="s">
        <v>41265</v>
      </c>
    </row>
    <row r="10862" spans="1:24">
      <c r="A10862">
        <f>HYPERLINK("https://www.philgeps.gov.ph/GEPSNONPILOT/Tender/SplashBidNoticeAbstractUI.aspx?menuIndex=3&amp;refID=7052854&amp;Result=3","7052854")</f>
        <v>0</v>
      </c>
      <c r="B10862" t="s">
        <v>3017</v>
      </c>
      <c r="C10862" t="s">
        <v>13769</v>
      </c>
      <c r="D10862" t="s">
        <v>16652</v>
      </c>
      <c r="E10862" t="s">
        <v>24028</v>
      </c>
      <c r="F10862" t="s">
        <v>28669</v>
      </c>
      <c r="G10862" t="s">
        <v>28675</v>
      </c>
      <c r="H10862" t="s">
        <v>28686</v>
      </c>
      <c r="I10862" t="s">
        <v>28689</v>
      </c>
      <c r="J10862" t="s">
        <v>29112</v>
      </c>
      <c r="K10862" t="s">
        <v>37233</v>
      </c>
      <c r="M10862" t="s">
        <v>40787</v>
      </c>
      <c r="N10862" t="s">
        <v>41249</v>
      </c>
      <c r="O10862" t="s">
        <v>41250</v>
      </c>
      <c r="P10862">
        <v>0</v>
      </c>
      <c r="Q10862">
        <v>0</v>
      </c>
      <c r="R10862" t="s">
        <v>41264</v>
      </c>
      <c r="S10862" t="s">
        <v>41775</v>
      </c>
      <c r="T10862" t="s">
        <v>42733</v>
      </c>
      <c r="U10862" t="s">
        <v>51924</v>
      </c>
      <c r="W10862" t="s">
        <v>40787</v>
      </c>
      <c r="X10862" t="s">
        <v>41265</v>
      </c>
    </row>
    <row r="10863" spans="1:24">
      <c r="A10863">
        <f>HYPERLINK("https://www.philgeps.gov.ph/GEPSNONPILOT/Tender/SplashBidNoticeAbstractUI.aspx?menuIndex=3&amp;refID=7052841&amp;Result=3","7052841")</f>
        <v>0</v>
      </c>
      <c r="B10863" t="s">
        <v>574</v>
      </c>
      <c r="C10863" t="s">
        <v>13770</v>
      </c>
      <c r="D10863" t="s">
        <v>16642</v>
      </c>
      <c r="E10863" t="s">
        <v>26119</v>
      </c>
      <c r="F10863" t="s">
        <v>28669</v>
      </c>
      <c r="G10863" t="s">
        <v>28675</v>
      </c>
      <c r="H10863" t="s">
        <v>28686</v>
      </c>
      <c r="I10863" t="s">
        <v>28689</v>
      </c>
      <c r="J10863" t="s">
        <v>30575</v>
      </c>
      <c r="K10863" t="s">
        <v>37213</v>
      </c>
      <c r="M10863" t="s">
        <v>39616</v>
      </c>
      <c r="N10863" t="s">
        <v>41249</v>
      </c>
      <c r="O10863" t="s">
        <v>41250</v>
      </c>
      <c r="P10863">
        <v>0</v>
      </c>
      <c r="Q10863">
        <v>0</v>
      </c>
      <c r="R10863" t="s">
        <v>41264</v>
      </c>
      <c r="S10863" t="s">
        <v>41775</v>
      </c>
      <c r="T10863" t="s">
        <v>42679</v>
      </c>
      <c r="U10863" t="s">
        <v>51925</v>
      </c>
      <c r="W10863" t="s">
        <v>39616</v>
      </c>
      <c r="X10863" t="s">
        <v>41265</v>
      </c>
    </row>
    <row r="10864" spans="1:24">
      <c r="A10864">
        <f>HYPERLINK("https://www.philgeps.gov.ph/GEPSNONPILOT/Tender/SplashBidNoticeAbstractUI.aspx?menuIndex=3&amp;refID=7052804&amp;Result=3","7052804")</f>
        <v>0</v>
      </c>
      <c r="B10864" t="s">
        <v>3018</v>
      </c>
      <c r="C10864" t="s">
        <v>13771</v>
      </c>
      <c r="E10864" t="s">
        <v>16877</v>
      </c>
      <c r="F10864" t="s">
        <v>28669</v>
      </c>
      <c r="G10864" t="s">
        <v>28675</v>
      </c>
      <c r="H10864" t="s">
        <v>9998</v>
      </c>
      <c r="I10864" t="s">
        <v>7352</v>
      </c>
      <c r="J10864" t="s">
        <v>29509</v>
      </c>
      <c r="K10864" t="s">
        <v>37209</v>
      </c>
      <c r="M10864" t="s">
        <v>40788</v>
      </c>
      <c r="N10864" t="s">
        <v>41249</v>
      </c>
      <c r="O10864" t="s">
        <v>41250</v>
      </c>
      <c r="P10864">
        <v>0</v>
      </c>
      <c r="Q10864">
        <v>1</v>
      </c>
      <c r="R10864" t="s">
        <v>41264</v>
      </c>
      <c r="S10864" t="s">
        <v>41775</v>
      </c>
      <c r="T10864" t="s">
        <v>42857</v>
      </c>
      <c r="U10864" t="s">
        <v>51926</v>
      </c>
      <c r="W10864" t="s">
        <v>40788</v>
      </c>
      <c r="X10864" t="s">
        <v>41265</v>
      </c>
    </row>
    <row r="10865" spans="1:24">
      <c r="A10865">
        <f>HYPERLINK("https://www.philgeps.gov.ph/GEPSNONPILOT/Tender/SplashBidNoticeAbstractUI.aspx?menuIndex=3&amp;refID=7052065&amp;Result=3","7052065")</f>
        <v>0</v>
      </c>
      <c r="B10865" t="s">
        <v>1828</v>
      </c>
      <c r="C10865" t="s">
        <v>13772</v>
      </c>
      <c r="E10865" t="s">
        <v>26120</v>
      </c>
      <c r="F10865" t="s">
        <v>28669</v>
      </c>
      <c r="G10865" t="s">
        <v>28675</v>
      </c>
      <c r="H10865" t="s">
        <v>28686</v>
      </c>
      <c r="I10865" t="s">
        <v>28689</v>
      </c>
      <c r="J10865" t="s">
        <v>35540</v>
      </c>
      <c r="K10865" t="s">
        <v>37211</v>
      </c>
      <c r="M10865" t="s">
        <v>39441</v>
      </c>
      <c r="N10865" t="s">
        <v>41249</v>
      </c>
      <c r="O10865" t="s">
        <v>41250</v>
      </c>
      <c r="P10865">
        <v>0</v>
      </c>
      <c r="Q10865">
        <v>0</v>
      </c>
      <c r="R10865" t="s">
        <v>41264</v>
      </c>
      <c r="S10865" t="s">
        <v>41775</v>
      </c>
      <c r="T10865" t="s">
        <v>42695</v>
      </c>
      <c r="U10865" t="s">
        <v>51927</v>
      </c>
      <c r="W10865" t="s">
        <v>39441</v>
      </c>
      <c r="X10865" t="s">
        <v>41266</v>
      </c>
    </row>
    <row r="10866" spans="1:24">
      <c r="A10866">
        <f>HYPERLINK("https://www.philgeps.gov.ph/GEPSNONPILOT/Tender/SplashBidNoticeAbstractUI.aspx?menuIndex=3&amp;refID=7052200&amp;Result=3","7052200")</f>
        <v>0</v>
      </c>
      <c r="B10866" t="s">
        <v>33</v>
      </c>
      <c r="C10866" t="s">
        <v>13773</v>
      </c>
      <c r="D10866" t="s">
        <v>16616</v>
      </c>
      <c r="E10866" t="s">
        <v>26121</v>
      </c>
      <c r="F10866" t="s">
        <v>28669</v>
      </c>
      <c r="G10866" t="s">
        <v>28675</v>
      </c>
      <c r="H10866" t="s">
        <v>9998</v>
      </c>
      <c r="I10866" t="s">
        <v>3718</v>
      </c>
      <c r="J10866" t="s">
        <v>30994</v>
      </c>
      <c r="K10866" t="s">
        <v>37216</v>
      </c>
      <c r="M10866" t="s">
        <v>37508</v>
      </c>
      <c r="N10866" t="s">
        <v>41249</v>
      </c>
      <c r="O10866" t="s">
        <v>41250</v>
      </c>
      <c r="P10866">
        <v>0</v>
      </c>
      <c r="Q10866">
        <v>3</v>
      </c>
      <c r="R10866" t="s">
        <v>41264</v>
      </c>
      <c r="S10866" t="s">
        <v>41775</v>
      </c>
      <c r="T10866" t="s">
        <v>42696</v>
      </c>
      <c r="U10866" t="s">
        <v>51928</v>
      </c>
      <c r="V10866" t="s">
        <v>55501</v>
      </c>
      <c r="W10866" t="s">
        <v>37508</v>
      </c>
      <c r="X10866" t="s">
        <v>41266</v>
      </c>
    </row>
    <row r="10867" spans="1:24">
      <c r="A10867">
        <f>HYPERLINK("https://www.philgeps.gov.ph/GEPSNONPILOT/Tender/SplashBidNoticeAbstractUI.aspx?menuIndex=3&amp;refID=7051392&amp;Result=3","7051392")</f>
        <v>0</v>
      </c>
      <c r="B10867" t="s">
        <v>410</v>
      </c>
      <c r="C10867" t="s">
        <v>13774</v>
      </c>
      <c r="D10867" t="s">
        <v>16630</v>
      </c>
      <c r="E10867" t="s">
        <v>26122</v>
      </c>
      <c r="F10867" t="s">
        <v>28669</v>
      </c>
      <c r="G10867" t="s">
        <v>28675</v>
      </c>
      <c r="H10867" t="s">
        <v>28686</v>
      </c>
      <c r="I10867" t="s">
        <v>28689</v>
      </c>
      <c r="J10867" t="s">
        <v>35541</v>
      </c>
      <c r="K10867" t="s">
        <v>37207</v>
      </c>
      <c r="M10867" t="s">
        <v>37895</v>
      </c>
      <c r="N10867" t="s">
        <v>41249</v>
      </c>
      <c r="O10867" t="s">
        <v>41250</v>
      </c>
      <c r="P10867">
        <v>0</v>
      </c>
      <c r="Q10867">
        <v>0</v>
      </c>
      <c r="R10867" t="s">
        <v>41264</v>
      </c>
      <c r="S10867" t="s">
        <v>41775</v>
      </c>
      <c r="T10867" t="s">
        <v>43116</v>
      </c>
      <c r="U10867" t="s">
        <v>51929</v>
      </c>
      <c r="W10867" t="s">
        <v>37895</v>
      </c>
      <c r="X10867" t="s">
        <v>41266</v>
      </c>
    </row>
    <row r="10868" spans="1:24">
      <c r="A10868">
        <f>HYPERLINK("https://www.philgeps.gov.ph/GEPSNONPILOT/Tender/SplashBidNoticeAbstractUI.aspx?menuIndex=3&amp;refID=7052746&amp;Result=3","7052746")</f>
        <v>0</v>
      </c>
      <c r="B10868" t="s">
        <v>331</v>
      </c>
      <c r="C10868" t="s">
        <v>13775</v>
      </c>
      <c r="D10868" t="s">
        <v>16611</v>
      </c>
      <c r="E10868" t="s">
        <v>26123</v>
      </c>
      <c r="F10868" t="s">
        <v>28671</v>
      </c>
      <c r="G10868" t="s">
        <v>28676</v>
      </c>
      <c r="H10868" t="s">
        <v>9998</v>
      </c>
      <c r="I10868" t="s">
        <v>28728</v>
      </c>
      <c r="J10868" t="s">
        <v>35542</v>
      </c>
      <c r="K10868" t="s">
        <v>37206</v>
      </c>
      <c r="M10868" t="s">
        <v>37811</v>
      </c>
      <c r="N10868" t="s">
        <v>41249</v>
      </c>
      <c r="O10868" t="s">
        <v>41250</v>
      </c>
      <c r="P10868">
        <v>0</v>
      </c>
      <c r="Q10868">
        <v>3</v>
      </c>
      <c r="R10868" t="s">
        <v>41264</v>
      </c>
      <c r="S10868" t="s">
        <v>41775</v>
      </c>
      <c r="T10868" t="s">
        <v>42992</v>
      </c>
      <c r="U10868" t="s">
        <v>51930</v>
      </c>
      <c r="V10868" t="s">
        <v>55502</v>
      </c>
      <c r="W10868" t="s">
        <v>37811</v>
      </c>
      <c r="X10868" t="s">
        <v>41265</v>
      </c>
    </row>
    <row r="10869" spans="1:24">
      <c r="A10869">
        <f>HYPERLINK("https://www.philgeps.gov.ph/GEPSNONPILOT/Tender/SplashBidNoticeAbstractUI.aspx?menuIndex=3&amp;refID=7052848&amp;Result=3","7052848")</f>
        <v>0</v>
      </c>
      <c r="B10869" t="s">
        <v>2968</v>
      </c>
      <c r="C10869" t="s">
        <v>13776</v>
      </c>
      <c r="E10869" t="s">
        <v>26124</v>
      </c>
      <c r="F10869" t="s">
        <v>28669</v>
      </c>
      <c r="G10869" t="s">
        <v>28675</v>
      </c>
      <c r="H10869" t="s">
        <v>9998</v>
      </c>
      <c r="I10869" t="s">
        <v>28714</v>
      </c>
      <c r="J10869" t="s">
        <v>29033</v>
      </c>
      <c r="K10869" t="s">
        <v>37209</v>
      </c>
      <c r="M10869" t="s">
        <v>40730</v>
      </c>
      <c r="N10869" t="s">
        <v>41249</v>
      </c>
      <c r="O10869" t="s">
        <v>41250</v>
      </c>
      <c r="Q10869">
        <v>27</v>
      </c>
      <c r="R10869" t="s">
        <v>41264</v>
      </c>
      <c r="S10869" t="s">
        <v>41790</v>
      </c>
      <c r="T10869" t="s">
        <v>43123</v>
      </c>
      <c r="U10869" t="s">
        <v>51931</v>
      </c>
      <c r="V10869" t="s">
        <v>55503</v>
      </c>
      <c r="W10869" t="s">
        <v>40730</v>
      </c>
      <c r="X10869" t="s">
        <v>41265</v>
      </c>
    </row>
    <row r="10870" spans="1:24">
      <c r="A10870">
        <f>HYPERLINK("https://www.philgeps.gov.ph/GEPSNONPILOT/Tender/SplashBidNoticeAbstractUI.aspx?menuIndex=3&amp;refID=7052750&amp;Result=3","7052750")</f>
        <v>0</v>
      </c>
      <c r="B10870" t="s">
        <v>1349</v>
      </c>
      <c r="C10870" t="s">
        <v>13777</v>
      </c>
      <c r="D10870" t="s">
        <v>16648</v>
      </c>
      <c r="E10870" t="s">
        <v>26125</v>
      </c>
      <c r="F10870" t="s">
        <v>28669</v>
      </c>
      <c r="G10870" t="s">
        <v>28675</v>
      </c>
      <c r="H10870" t="s">
        <v>9998</v>
      </c>
      <c r="I10870" t="s">
        <v>28800</v>
      </c>
      <c r="J10870" t="s">
        <v>29112</v>
      </c>
      <c r="K10870" t="s">
        <v>37205</v>
      </c>
      <c r="M10870" t="s">
        <v>38904</v>
      </c>
      <c r="N10870" t="s">
        <v>41249</v>
      </c>
      <c r="O10870" t="s">
        <v>41250</v>
      </c>
      <c r="P10870">
        <v>0</v>
      </c>
      <c r="Q10870">
        <v>2</v>
      </c>
      <c r="R10870" t="s">
        <v>41264</v>
      </c>
      <c r="S10870" t="s">
        <v>41775</v>
      </c>
      <c r="T10870" t="s">
        <v>42679</v>
      </c>
      <c r="U10870" t="s">
        <v>51932</v>
      </c>
      <c r="W10870" t="s">
        <v>38904</v>
      </c>
      <c r="X10870" t="s">
        <v>41265</v>
      </c>
    </row>
    <row r="10871" spans="1:24">
      <c r="A10871">
        <f>HYPERLINK("https://www.philgeps.gov.ph/GEPSNONPILOT/Tender/SplashBidNoticeAbstractUI.aspx?menuIndex=3&amp;refID=7052730&amp;Result=3","7052730")</f>
        <v>0</v>
      </c>
      <c r="B10871" t="s">
        <v>2628</v>
      </c>
      <c r="C10871" t="s">
        <v>13778</v>
      </c>
      <c r="D10871" t="s">
        <v>16665</v>
      </c>
      <c r="E10871" t="s">
        <v>26126</v>
      </c>
      <c r="F10871" t="s">
        <v>28669</v>
      </c>
      <c r="G10871" t="s">
        <v>28675</v>
      </c>
      <c r="H10871" t="s">
        <v>28684</v>
      </c>
      <c r="I10871" t="s">
        <v>5213</v>
      </c>
      <c r="J10871" t="s">
        <v>29364</v>
      </c>
      <c r="K10871" t="s">
        <v>37206</v>
      </c>
      <c r="M10871" t="s">
        <v>40327</v>
      </c>
      <c r="N10871" t="s">
        <v>41249</v>
      </c>
      <c r="O10871" t="s">
        <v>41250</v>
      </c>
      <c r="P10871">
        <v>0</v>
      </c>
      <c r="Q10871">
        <v>2</v>
      </c>
      <c r="R10871" t="s">
        <v>41264</v>
      </c>
      <c r="S10871" t="s">
        <v>41775</v>
      </c>
      <c r="T10871" t="s">
        <v>42714</v>
      </c>
      <c r="U10871" t="s">
        <v>51933</v>
      </c>
      <c r="W10871" t="s">
        <v>40327</v>
      </c>
      <c r="X10871" t="s">
        <v>41265</v>
      </c>
    </row>
    <row r="10872" spans="1:24">
      <c r="A10872">
        <f>HYPERLINK("https://www.philgeps.gov.ph/GEPSNONPILOT/Tender/SplashBidNoticeAbstractUI.aspx?menuIndex=3&amp;refID=7052745&amp;Result=3","7052745")</f>
        <v>0</v>
      </c>
      <c r="B10872" t="s">
        <v>1349</v>
      </c>
      <c r="C10872" t="s">
        <v>13779</v>
      </c>
      <c r="D10872" t="s">
        <v>16648</v>
      </c>
      <c r="E10872" t="s">
        <v>26127</v>
      </c>
      <c r="F10872" t="s">
        <v>28669</v>
      </c>
      <c r="G10872" t="s">
        <v>28675</v>
      </c>
      <c r="H10872" t="s">
        <v>9998</v>
      </c>
      <c r="I10872" t="s">
        <v>28722</v>
      </c>
      <c r="J10872" t="s">
        <v>35543</v>
      </c>
      <c r="K10872" t="s">
        <v>37205</v>
      </c>
      <c r="M10872" t="s">
        <v>38904</v>
      </c>
      <c r="N10872" t="s">
        <v>41249</v>
      </c>
      <c r="O10872" t="s">
        <v>41250</v>
      </c>
      <c r="P10872">
        <v>0</v>
      </c>
      <c r="Q10872">
        <v>0</v>
      </c>
      <c r="R10872" t="s">
        <v>41264</v>
      </c>
      <c r="S10872" t="s">
        <v>41775</v>
      </c>
      <c r="T10872" t="s">
        <v>42679</v>
      </c>
      <c r="U10872" t="s">
        <v>51934</v>
      </c>
      <c r="W10872" t="s">
        <v>38904</v>
      </c>
      <c r="X10872" t="s">
        <v>41265</v>
      </c>
    </row>
    <row r="10873" spans="1:24">
      <c r="A10873">
        <f>HYPERLINK("https://www.philgeps.gov.ph/GEPSNONPILOT/Tender/SplashBidNoticeAbstractUI.aspx?menuIndex=3&amp;refID=7052202&amp;Result=3","7052202")</f>
        <v>0</v>
      </c>
      <c r="B10873" t="s">
        <v>3015</v>
      </c>
      <c r="C10873" t="s">
        <v>13780</v>
      </c>
      <c r="D10873" t="s">
        <v>16629</v>
      </c>
      <c r="E10873" t="s">
        <v>26128</v>
      </c>
      <c r="F10873" t="s">
        <v>28669</v>
      </c>
      <c r="G10873" t="s">
        <v>28675</v>
      </c>
      <c r="H10873" t="s">
        <v>28686</v>
      </c>
      <c r="I10873" t="s">
        <v>28689</v>
      </c>
      <c r="J10873" t="s">
        <v>35544</v>
      </c>
      <c r="K10873" t="s">
        <v>37280</v>
      </c>
      <c r="M10873" t="s">
        <v>40785</v>
      </c>
      <c r="N10873" t="s">
        <v>41249</v>
      </c>
      <c r="O10873" t="s">
        <v>41250</v>
      </c>
      <c r="P10873">
        <v>0</v>
      </c>
      <c r="Q10873">
        <v>1</v>
      </c>
      <c r="R10873" t="s">
        <v>41264</v>
      </c>
      <c r="S10873" t="s">
        <v>41775</v>
      </c>
      <c r="T10873" t="s">
        <v>42690</v>
      </c>
      <c r="U10873" t="s">
        <v>51935</v>
      </c>
      <c r="W10873" t="s">
        <v>40785</v>
      </c>
      <c r="X10873" t="s">
        <v>41266</v>
      </c>
    </row>
    <row r="10874" spans="1:24">
      <c r="A10874">
        <f>HYPERLINK("https://www.philgeps.gov.ph/GEPSNONPILOT/Tender/SplashBidNoticeAbstractUI.aspx?menuIndex=3&amp;refID=7052700&amp;Result=3","7052700")</f>
        <v>0</v>
      </c>
      <c r="B10874" t="s">
        <v>732</v>
      </c>
      <c r="C10874" t="s">
        <v>13781</v>
      </c>
      <c r="D10874" t="s">
        <v>16608</v>
      </c>
      <c r="E10874" t="s">
        <v>26129</v>
      </c>
      <c r="F10874" t="s">
        <v>28669</v>
      </c>
      <c r="G10874" t="s">
        <v>28676</v>
      </c>
      <c r="H10874" t="s">
        <v>9998</v>
      </c>
      <c r="I10874" t="s">
        <v>5213</v>
      </c>
      <c r="J10874" t="s">
        <v>29745</v>
      </c>
      <c r="K10874" t="s">
        <v>37206</v>
      </c>
      <c r="M10874" t="s">
        <v>39436</v>
      </c>
      <c r="N10874" t="s">
        <v>41249</v>
      </c>
      <c r="O10874" t="s">
        <v>41250</v>
      </c>
      <c r="Q10874">
        <v>7</v>
      </c>
      <c r="R10874" t="s">
        <v>41264</v>
      </c>
      <c r="S10874" t="s">
        <v>41791</v>
      </c>
      <c r="T10874" t="s">
        <v>42703</v>
      </c>
      <c r="U10874" t="s">
        <v>51936</v>
      </c>
      <c r="W10874" t="s">
        <v>39436</v>
      </c>
      <c r="X10874" t="s">
        <v>41265</v>
      </c>
    </row>
    <row r="10875" spans="1:24">
      <c r="A10875">
        <f>HYPERLINK("https://www.philgeps.gov.ph/GEPSNONPILOT/Tender/SplashBidNoticeAbstractUI.aspx?menuIndex=3&amp;refID=7052835&amp;Result=3","7052835")</f>
        <v>0</v>
      </c>
      <c r="B10875" t="s">
        <v>313</v>
      </c>
      <c r="C10875" t="s">
        <v>13782</v>
      </c>
      <c r="D10875" t="s">
        <v>16642</v>
      </c>
      <c r="E10875" t="s">
        <v>26130</v>
      </c>
      <c r="F10875" t="s">
        <v>28669</v>
      </c>
      <c r="G10875" t="s">
        <v>28675</v>
      </c>
      <c r="H10875" t="s">
        <v>9998</v>
      </c>
      <c r="I10875" t="s">
        <v>28700</v>
      </c>
      <c r="J10875" t="s">
        <v>35545</v>
      </c>
      <c r="K10875" t="s">
        <v>37206</v>
      </c>
      <c r="M10875" t="s">
        <v>39413</v>
      </c>
      <c r="N10875" t="s">
        <v>41249</v>
      </c>
      <c r="O10875" t="s">
        <v>41250</v>
      </c>
      <c r="Q10875">
        <v>11</v>
      </c>
      <c r="R10875" t="s">
        <v>41264</v>
      </c>
      <c r="S10875" t="s">
        <v>41792</v>
      </c>
      <c r="T10875" t="s">
        <v>42729</v>
      </c>
      <c r="U10875" t="s">
        <v>51937</v>
      </c>
      <c r="W10875" t="s">
        <v>39413</v>
      </c>
      <c r="X10875" t="s">
        <v>41265</v>
      </c>
    </row>
    <row r="10876" spans="1:24">
      <c r="A10876">
        <f>HYPERLINK("https://www.philgeps.gov.ph/GEPSNONPILOT/Tender/SplashBidNoticeAbstractUI.aspx?menuIndex=3&amp;refID=7052732&amp;Result=3","7052732")</f>
        <v>0</v>
      </c>
      <c r="B10876" t="s">
        <v>2628</v>
      </c>
      <c r="C10876" t="s">
        <v>11789</v>
      </c>
      <c r="D10876" t="s">
        <v>16665</v>
      </c>
      <c r="E10876" t="s">
        <v>26131</v>
      </c>
      <c r="F10876" t="s">
        <v>28669</v>
      </c>
      <c r="G10876" t="s">
        <v>28675</v>
      </c>
      <c r="H10876" t="s">
        <v>28684</v>
      </c>
      <c r="I10876" t="s">
        <v>28722</v>
      </c>
      <c r="J10876" t="s">
        <v>35546</v>
      </c>
      <c r="K10876" t="s">
        <v>37206</v>
      </c>
      <c r="M10876" t="s">
        <v>40327</v>
      </c>
      <c r="N10876" t="s">
        <v>41249</v>
      </c>
      <c r="O10876" t="s">
        <v>41250</v>
      </c>
      <c r="P10876">
        <v>0</v>
      </c>
      <c r="Q10876">
        <v>0</v>
      </c>
      <c r="R10876" t="s">
        <v>41264</v>
      </c>
      <c r="S10876" t="s">
        <v>41775</v>
      </c>
      <c r="T10876" t="s">
        <v>42714</v>
      </c>
      <c r="U10876" t="s">
        <v>51938</v>
      </c>
      <c r="W10876" t="s">
        <v>40327</v>
      </c>
      <c r="X10876" t="s">
        <v>41265</v>
      </c>
    </row>
    <row r="10877" spans="1:24">
      <c r="A10877">
        <f>HYPERLINK("https://www.philgeps.gov.ph/GEPSNONPILOT/Tender/SplashBidNoticeAbstractUI.aspx?menuIndex=3&amp;refID=7053001&amp;Result=3","7053001")</f>
        <v>0</v>
      </c>
      <c r="B10877" t="s">
        <v>2968</v>
      </c>
      <c r="C10877" t="s">
        <v>13783</v>
      </c>
      <c r="D10877" t="s">
        <v>16657</v>
      </c>
      <c r="E10877" t="s">
        <v>26132</v>
      </c>
      <c r="F10877" t="s">
        <v>28669</v>
      </c>
      <c r="G10877" t="s">
        <v>28675</v>
      </c>
      <c r="H10877" t="s">
        <v>9998</v>
      </c>
      <c r="I10877" t="s">
        <v>28714</v>
      </c>
      <c r="J10877" t="s">
        <v>35547</v>
      </c>
      <c r="K10877" t="s">
        <v>37209</v>
      </c>
      <c r="M10877" t="s">
        <v>40730</v>
      </c>
      <c r="N10877" t="s">
        <v>41249</v>
      </c>
      <c r="O10877" t="s">
        <v>41250</v>
      </c>
      <c r="Q10877">
        <v>15</v>
      </c>
      <c r="R10877" t="s">
        <v>41264</v>
      </c>
      <c r="S10877" t="s">
        <v>41793</v>
      </c>
      <c r="T10877" t="s">
        <v>43123</v>
      </c>
      <c r="U10877" t="s">
        <v>51939</v>
      </c>
      <c r="V10877" t="s">
        <v>55504</v>
      </c>
      <c r="W10877" t="s">
        <v>40730</v>
      </c>
      <c r="X10877" t="s">
        <v>41265</v>
      </c>
    </row>
    <row r="10878" spans="1:24">
      <c r="A10878">
        <f>HYPERLINK("https://www.philgeps.gov.ph/GEPSNONPILOT/Tender/SplashBidNoticeAbstractUI.aspx?menuIndex=3&amp;refID=7052971&amp;Result=3","7052971")</f>
        <v>0</v>
      </c>
      <c r="B10878" t="s">
        <v>2968</v>
      </c>
      <c r="C10878" t="s">
        <v>13784</v>
      </c>
      <c r="D10878" t="s">
        <v>16657</v>
      </c>
      <c r="E10878" t="s">
        <v>26133</v>
      </c>
      <c r="F10878" t="s">
        <v>28669</v>
      </c>
      <c r="G10878" t="s">
        <v>28675</v>
      </c>
      <c r="H10878" t="s">
        <v>9998</v>
      </c>
      <c r="I10878" t="s">
        <v>28714</v>
      </c>
      <c r="J10878" t="s">
        <v>35548</v>
      </c>
      <c r="K10878" t="s">
        <v>37209</v>
      </c>
      <c r="M10878" t="s">
        <v>40730</v>
      </c>
      <c r="N10878" t="s">
        <v>41249</v>
      </c>
      <c r="O10878" t="s">
        <v>41250</v>
      </c>
      <c r="Q10878">
        <v>40</v>
      </c>
      <c r="R10878" t="s">
        <v>41264</v>
      </c>
      <c r="S10878" t="s">
        <v>41794</v>
      </c>
      <c r="T10878" t="s">
        <v>42680</v>
      </c>
      <c r="U10878" t="s">
        <v>51940</v>
      </c>
      <c r="V10878" t="s">
        <v>55504</v>
      </c>
      <c r="W10878" t="s">
        <v>40730</v>
      </c>
      <c r="X10878" t="s">
        <v>41265</v>
      </c>
    </row>
    <row r="10879" spans="1:24">
      <c r="A10879">
        <f>HYPERLINK("https://www.philgeps.gov.ph/GEPSNONPILOT/Tender/SplashBidNoticeAbstractUI.aspx?menuIndex=3&amp;refID=7052735&amp;Result=3","7052735")</f>
        <v>0</v>
      </c>
      <c r="B10879" t="s">
        <v>3019</v>
      </c>
      <c r="C10879" t="s">
        <v>13785</v>
      </c>
      <c r="E10879" t="s">
        <v>26134</v>
      </c>
      <c r="F10879" t="s">
        <v>28669</v>
      </c>
      <c r="G10879" t="s">
        <v>28675</v>
      </c>
      <c r="H10879" t="s">
        <v>9998</v>
      </c>
      <c r="I10879" t="s">
        <v>28699</v>
      </c>
      <c r="J10879" t="s">
        <v>35214</v>
      </c>
      <c r="K10879" t="s">
        <v>37209</v>
      </c>
      <c r="M10879" t="s">
        <v>40789</v>
      </c>
      <c r="N10879" t="s">
        <v>41249</v>
      </c>
      <c r="O10879" t="s">
        <v>41250</v>
      </c>
      <c r="P10879">
        <v>0</v>
      </c>
      <c r="Q10879">
        <v>20</v>
      </c>
      <c r="R10879" t="s">
        <v>41264</v>
      </c>
      <c r="S10879" t="s">
        <v>41775</v>
      </c>
      <c r="T10879" t="s">
        <v>42764</v>
      </c>
      <c r="U10879" t="s">
        <v>51941</v>
      </c>
      <c r="W10879" t="s">
        <v>40789</v>
      </c>
      <c r="X10879" t="s">
        <v>41265</v>
      </c>
    </row>
    <row r="10880" spans="1:24">
      <c r="A10880">
        <f>HYPERLINK("https://www.philgeps.gov.ph/GEPSNONPILOT/Tender/SplashBidNoticeAbstractUI.aspx?menuIndex=3&amp;refID=7052724&amp;Result=3","7052724")</f>
        <v>0</v>
      </c>
      <c r="B10880" t="s">
        <v>3020</v>
      </c>
      <c r="C10880" t="s">
        <v>13786</v>
      </c>
      <c r="D10880" t="s">
        <v>16641</v>
      </c>
      <c r="E10880" t="s">
        <v>26135</v>
      </c>
      <c r="F10880" t="s">
        <v>28669</v>
      </c>
      <c r="G10880" t="s">
        <v>28675</v>
      </c>
      <c r="H10880" t="s">
        <v>9998</v>
      </c>
      <c r="I10880" t="s">
        <v>28687</v>
      </c>
      <c r="J10880" t="s">
        <v>35549</v>
      </c>
      <c r="K10880" t="s">
        <v>37206</v>
      </c>
      <c r="M10880" t="s">
        <v>40790</v>
      </c>
      <c r="N10880" t="s">
        <v>41249</v>
      </c>
      <c r="O10880" t="s">
        <v>41250</v>
      </c>
      <c r="P10880">
        <v>0</v>
      </c>
      <c r="Q10880">
        <v>4</v>
      </c>
      <c r="R10880" t="s">
        <v>41264</v>
      </c>
      <c r="S10880" t="s">
        <v>41775</v>
      </c>
      <c r="T10880" t="s">
        <v>42698</v>
      </c>
      <c r="U10880" t="s">
        <v>51942</v>
      </c>
      <c r="V10880" t="s">
        <v>55505</v>
      </c>
      <c r="W10880" t="s">
        <v>40790</v>
      </c>
      <c r="X10880" t="s">
        <v>41265</v>
      </c>
    </row>
    <row r="10881" spans="1:24">
      <c r="A10881">
        <f>HYPERLINK("https://www.philgeps.gov.ph/GEPSNONPILOT/Tender/SplashBidNoticeAbstractUI.aspx?menuIndex=3&amp;refID=7052962&amp;Result=3","7052962")</f>
        <v>0</v>
      </c>
      <c r="B10881" t="s">
        <v>1972</v>
      </c>
      <c r="C10881" t="s">
        <v>13787</v>
      </c>
      <c r="D10881" t="s">
        <v>16607</v>
      </c>
      <c r="E10881" t="s">
        <v>26136</v>
      </c>
      <c r="F10881" t="s">
        <v>28669</v>
      </c>
      <c r="G10881" t="s">
        <v>28676</v>
      </c>
      <c r="H10881" t="s">
        <v>28684</v>
      </c>
      <c r="I10881" t="s">
        <v>28760</v>
      </c>
      <c r="J10881" t="s">
        <v>28834</v>
      </c>
      <c r="K10881" t="s">
        <v>37208</v>
      </c>
      <c r="M10881" t="s">
        <v>39606</v>
      </c>
      <c r="N10881" t="s">
        <v>41249</v>
      </c>
      <c r="O10881" t="s">
        <v>41250</v>
      </c>
      <c r="Q10881">
        <v>0</v>
      </c>
      <c r="R10881" t="s">
        <v>41264</v>
      </c>
      <c r="S10881" t="s">
        <v>41795</v>
      </c>
      <c r="T10881" t="s">
        <v>42673</v>
      </c>
      <c r="U10881" t="s">
        <v>51943</v>
      </c>
      <c r="W10881" t="s">
        <v>39606</v>
      </c>
      <c r="X10881" t="s">
        <v>41265</v>
      </c>
    </row>
    <row r="10882" spans="1:24">
      <c r="A10882">
        <f>HYPERLINK("https://www.philgeps.gov.ph/GEPSNONPILOT/Tender/SplashBidNoticeAbstractUI.aspx?menuIndex=3&amp;refID=7052955&amp;Result=3","7052955")</f>
        <v>0</v>
      </c>
      <c r="B10882" t="s">
        <v>323</v>
      </c>
      <c r="C10882" t="s">
        <v>13788</v>
      </c>
      <c r="D10882" t="s">
        <v>16608</v>
      </c>
      <c r="E10882" t="s">
        <v>26137</v>
      </c>
      <c r="F10882" t="s">
        <v>28669</v>
      </c>
      <c r="G10882" t="s">
        <v>28676</v>
      </c>
      <c r="H10882" t="s">
        <v>9998</v>
      </c>
      <c r="I10882" t="s">
        <v>28761</v>
      </c>
      <c r="J10882" t="s">
        <v>29744</v>
      </c>
      <c r="K10882" t="s">
        <v>37204</v>
      </c>
      <c r="M10882" t="s">
        <v>37803</v>
      </c>
      <c r="N10882" t="s">
        <v>41249</v>
      </c>
      <c r="O10882" t="s">
        <v>41250</v>
      </c>
      <c r="Q10882">
        <v>3</v>
      </c>
      <c r="R10882" t="s">
        <v>41264</v>
      </c>
      <c r="S10882" t="s">
        <v>41796</v>
      </c>
      <c r="T10882" t="s">
        <v>42774</v>
      </c>
      <c r="U10882" t="s">
        <v>51944</v>
      </c>
      <c r="W10882" t="s">
        <v>37803</v>
      </c>
      <c r="X10882" t="s">
        <v>41265</v>
      </c>
    </row>
    <row r="10883" spans="1:24">
      <c r="A10883">
        <f>HYPERLINK("https://www.philgeps.gov.ph/GEPSNONPILOT/Tender/SplashBidNoticeAbstractUI.aspx?menuIndex=3&amp;refID=7052958&amp;Result=3","7052958")</f>
        <v>0</v>
      </c>
      <c r="B10883" t="s">
        <v>2173</v>
      </c>
      <c r="C10883" t="s">
        <v>13789</v>
      </c>
      <c r="D10883" t="s">
        <v>16664</v>
      </c>
      <c r="E10883" t="s">
        <v>26138</v>
      </c>
      <c r="F10883" t="s">
        <v>28669</v>
      </c>
      <c r="G10883" t="s">
        <v>28675</v>
      </c>
      <c r="H10883" t="s">
        <v>9998</v>
      </c>
      <c r="I10883" t="s">
        <v>11593</v>
      </c>
      <c r="J10883" t="s">
        <v>35550</v>
      </c>
      <c r="K10883" t="s">
        <v>37206</v>
      </c>
      <c r="M10883" t="s">
        <v>39822</v>
      </c>
      <c r="N10883" t="s">
        <v>41249</v>
      </c>
      <c r="O10883" t="s">
        <v>41250</v>
      </c>
      <c r="P10883">
        <v>0</v>
      </c>
      <c r="Q10883">
        <v>2</v>
      </c>
      <c r="R10883" t="s">
        <v>41264</v>
      </c>
      <c r="S10883" t="s">
        <v>41775</v>
      </c>
      <c r="T10883" t="s">
        <v>42669</v>
      </c>
      <c r="U10883" t="s">
        <v>51945</v>
      </c>
      <c r="V10883" t="s">
        <v>55506</v>
      </c>
      <c r="W10883" t="s">
        <v>39822</v>
      </c>
      <c r="X10883" t="s">
        <v>41265</v>
      </c>
    </row>
    <row r="10884" spans="1:24">
      <c r="A10884">
        <f>HYPERLINK("https://www.philgeps.gov.ph/GEPSNONPILOT/Tender/SplashBidNoticeAbstractUI.aspx?menuIndex=3&amp;refID=7052954&amp;Result=3","7052954")</f>
        <v>0</v>
      </c>
      <c r="B10884" t="s">
        <v>445</v>
      </c>
      <c r="C10884" t="s">
        <v>3482</v>
      </c>
      <c r="D10884" t="s">
        <v>16687</v>
      </c>
      <c r="E10884" t="s">
        <v>26139</v>
      </c>
      <c r="F10884" t="s">
        <v>28669</v>
      </c>
      <c r="G10884" t="s">
        <v>28675</v>
      </c>
      <c r="H10884" t="s">
        <v>9998</v>
      </c>
      <c r="I10884" t="s">
        <v>5286</v>
      </c>
      <c r="J10884" t="s">
        <v>35551</v>
      </c>
      <c r="K10884" t="s">
        <v>37209</v>
      </c>
      <c r="M10884" t="s">
        <v>37930</v>
      </c>
      <c r="N10884" t="s">
        <v>41249</v>
      </c>
      <c r="O10884" t="s">
        <v>41250</v>
      </c>
      <c r="P10884">
        <v>0</v>
      </c>
      <c r="Q10884">
        <v>1</v>
      </c>
      <c r="R10884" t="s">
        <v>41264</v>
      </c>
      <c r="S10884" t="s">
        <v>41775</v>
      </c>
      <c r="T10884" t="s">
        <v>42966</v>
      </c>
      <c r="U10884" t="s">
        <v>51946</v>
      </c>
      <c r="W10884" t="s">
        <v>37930</v>
      </c>
      <c r="X10884" t="s">
        <v>41265</v>
      </c>
    </row>
    <row r="10885" spans="1:24">
      <c r="A10885">
        <f>HYPERLINK("https://www.philgeps.gov.ph/GEPSNONPILOT/Tender/SplashBidNoticeAbstractUI.aspx?menuIndex=3&amp;refID=7052942&amp;Result=3","7052942")</f>
        <v>0</v>
      </c>
      <c r="B10885" t="s">
        <v>2968</v>
      </c>
      <c r="C10885" t="s">
        <v>13790</v>
      </c>
      <c r="E10885" t="s">
        <v>26140</v>
      </c>
      <c r="F10885" t="s">
        <v>28669</v>
      </c>
      <c r="G10885" t="s">
        <v>28675</v>
      </c>
      <c r="H10885" t="s">
        <v>9998</v>
      </c>
      <c r="I10885" t="s">
        <v>28714</v>
      </c>
      <c r="J10885" t="s">
        <v>35552</v>
      </c>
      <c r="K10885" t="s">
        <v>37209</v>
      </c>
      <c r="M10885" t="s">
        <v>40730</v>
      </c>
      <c r="N10885" t="s">
        <v>41249</v>
      </c>
      <c r="O10885" t="s">
        <v>41250</v>
      </c>
      <c r="Q10885">
        <v>25</v>
      </c>
      <c r="R10885" t="s">
        <v>41264</v>
      </c>
      <c r="S10885" t="s">
        <v>41797</v>
      </c>
      <c r="T10885" t="s">
        <v>42680</v>
      </c>
      <c r="U10885" t="s">
        <v>51947</v>
      </c>
      <c r="V10885" t="s">
        <v>55507</v>
      </c>
      <c r="W10885" t="s">
        <v>40730</v>
      </c>
      <c r="X10885" t="s">
        <v>41265</v>
      </c>
    </row>
    <row r="10886" spans="1:24">
      <c r="A10886">
        <f>HYPERLINK("https://www.philgeps.gov.ph/GEPSNONPILOT/Tender/SplashBidNoticeAbstractUI.aspx?menuIndex=3&amp;refID=7052996&amp;Result=3","7052996")</f>
        <v>0</v>
      </c>
      <c r="B10886" t="s">
        <v>3021</v>
      </c>
      <c r="C10886" t="s">
        <v>13791</v>
      </c>
      <c r="D10886" t="s">
        <v>16664</v>
      </c>
      <c r="E10886" t="s">
        <v>26141</v>
      </c>
      <c r="F10886" t="s">
        <v>28669</v>
      </c>
      <c r="G10886" t="s">
        <v>28675</v>
      </c>
      <c r="H10886" t="s">
        <v>9998</v>
      </c>
      <c r="I10886" t="s">
        <v>28699</v>
      </c>
      <c r="J10886" t="s">
        <v>28878</v>
      </c>
      <c r="K10886" t="s">
        <v>37206</v>
      </c>
      <c r="M10886" t="s">
        <v>40791</v>
      </c>
      <c r="N10886" t="s">
        <v>41249</v>
      </c>
      <c r="O10886" t="s">
        <v>41250</v>
      </c>
      <c r="P10886">
        <v>0</v>
      </c>
      <c r="Q10886">
        <v>2</v>
      </c>
      <c r="R10886" t="s">
        <v>41264</v>
      </c>
      <c r="S10886" t="s">
        <v>41775</v>
      </c>
      <c r="T10886" t="s">
        <v>42700</v>
      </c>
      <c r="U10886" t="s">
        <v>51948</v>
      </c>
      <c r="W10886" t="s">
        <v>40791</v>
      </c>
      <c r="X10886" t="s">
        <v>41265</v>
      </c>
    </row>
    <row r="10887" spans="1:24">
      <c r="A10887">
        <f>HYPERLINK("https://www.philgeps.gov.ph/GEPSNONPILOT/Tender/SplashBidNoticeAbstractUI.aspx?menuIndex=3&amp;refID=7052937&amp;Result=3","7052937")</f>
        <v>0</v>
      </c>
      <c r="B10887" t="s">
        <v>562</v>
      </c>
      <c r="C10887" t="s">
        <v>13792</v>
      </c>
      <c r="D10887" t="s">
        <v>16648</v>
      </c>
      <c r="E10887" t="s">
        <v>26142</v>
      </c>
      <c r="F10887" t="s">
        <v>28671</v>
      </c>
      <c r="G10887" t="s">
        <v>28675</v>
      </c>
      <c r="H10887" t="s">
        <v>28684</v>
      </c>
      <c r="I10887" t="s">
        <v>28701</v>
      </c>
      <c r="J10887" t="s">
        <v>32939</v>
      </c>
      <c r="K10887" t="s">
        <v>37383</v>
      </c>
      <c r="M10887" t="s">
        <v>40792</v>
      </c>
      <c r="N10887" t="s">
        <v>41249</v>
      </c>
      <c r="O10887" t="s">
        <v>41250</v>
      </c>
      <c r="P10887">
        <v>0</v>
      </c>
      <c r="Q10887">
        <v>0</v>
      </c>
      <c r="R10887" t="s">
        <v>41264</v>
      </c>
      <c r="S10887" t="s">
        <v>41775</v>
      </c>
      <c r="T10887" t="s">
        <v>42736</v>
      </c>
      <c r="U10887" t="s">
        <v>51949</v>
      </c>
      <c r="W10887" t="s">
        <v>40792</v>
      </c>
      <c r="X10887" t="s">
        <v>41265</v>
      </c>
    </row>
    <row r="10888" spans="1:24">
      <c r="A10888">
        <f>HYPERLINK("https://www.philgeps.gov.ph/GEPSNONPILOT/Tender/SplashBidNoticeAbstractUI.aspx?menuIndex=3&amp;refID=7052920&amp;Result=3","7052920")</f>
        <v>0</v>
      </c>
      <c r="B10888" t="s">
        <v>574</v>
      </c>
      <c r="C10888" t="s">
        <v>13793</v>
      </c>
      <c r="D10888" t="s">
        <v>16642</v>
      </c>
      <c r="E10888" t="s">
        <v>26143</v>
      </c>
      <c r="F10888" t="s">
        <v>28669</v>
      </c>
      <c r="G10888" t="s">
        <v>28675</v>
      </c>
      <c r="H10888" t="s">
        <v>28686</v>
      </c>
      <c r="I10888" t="s">
        <v>28689</v>
      </c>
      <c r="J10888" t="s">
        <v>32522</v>
      </c>
      <c r="K10888" t="s">
        <v>37213</v>
      </c>
      <c r="M10888" t="s">
        <v>39616</v>
      </c>
      <c r="N10888" t="s">
        <v>41249</v>
      </c>
      <c r="O10888" t="s">
        <v>41250</v>
      </c>
      <c r="P10888">
        <v>0</v>
      </c>
      <c r="Q10888">
        <v>0</v>
      </c>
      <c r="R10888" t="s">
        <v>41264</v>
      </c>
      <c r="S10888" t="s">
        <v>41775</v>
      </c>
      <c r="T10888" t="s">
        <v>42679</v>
      </c>
      <c r="U10888" t="s">
        <v>51950</v>
      </c>
      <c r="W10888" t="s">
        <v>39616</v>
      </c>
      <c r="X10888" t="s">
        <v>41265</v>
      </c>
    </row>
    <row r="10889" spans="1:24">
      <c r="A10889">
        <f>HYPERLINK("https://www.philgeps.gov.ph/GEPSNONPILOT/Tender/SplashBidNoticeAbstractUI.aspx?menuIndex=3&amp;refID=7052915&amp;Result=3","7052915")</f>
        <v>0</v>
      </c>
      <c r="B10889" t="s">
        <v>3022</v>
      </c>
      <c r="C10889" t="s">
        <v>13794</v>
      </c>
      <c r="D10889" t="s">
        <v>16621</v>
      </c>
      <c r="E10889" t="s">
        <v>26144</v>
      </c>
      <c r="F10889" t="s">
        <v>28669</v>
      </c>
      <c r="G10889" t="s">
        <v>28675</v>
      </c>
      <c r="H10889" t="s">
        <v>9998</v>
      </c>
      <c r="I10889" t="s">
        <v>7352</v>
      </c>
      <c r="J10889" t="s">
        <v>35553</v>
      </c>
      <c r="K10889" t="s">
        <v>37206</v>
      </c>
      <c r="M10889" t="s">
        <v>40793</v>
      </c>
      <c r="N10889" t="s">
        <v>41249</v>
      </c>
      <c r="O10889" t="s">
        <v>41250</v>
      </c>
      <c r="P10889">
        <v>0</v>
      </c>
      <c r="Q10889">
        <v>0</v>
      </c>
      <c r="R10889" t="s">
        <v>41264</v>
      </c>
      <c r="S10889" t="s">
        <v>41775</v>
      </c>
      <c r="T10889" t="s">
        <v>42703</v>
      </c>
      <c r="U10889" t="s">
        <v>51951</v>
      </c>
      <c r="W10889" t="s">
        <v>40793</v>
      </c>
      <c r="X10889" t="s">
        <v>41265</v>
      </c>
    </row>
    <row r="10890" spans="1:24">
      <c r="A10890">
        <f>HYPERLINK("https://www.philgeps.gov.ph/GEPSNONPILOT/Tender/SplashBidNoticeAbstractUI.aspx?menuIndex=3&amp;refID=7052967&amp;Result=3","7052967")</f>
        <v>0</v>
      </c>
      <c r="B10890" t="s">
        <v>3023</v>
      </c>
      <c r="C10890" t="s">
        <v>13795</v>
      </c>
      <c r="D10890" t="s">
        <v>16622</v>
      </c>
      <c r="E10890" t="s">
        <v>18970</v>
      </c>
      <c r="F10890" t="s">
        <v>28669</v>
      </c>
      <c r="G10890" t="s">
        <v>28675</v>
      </c>
      <c r="H10890" t="s">
        <v>28686</v>
      </c>
      <c r="I10890" t="s">
        <v>28689</v>
      </c>
      <c r="J10890" t="s">
        <v>35554</v>
      </c>
      <c r="K10890" t="s">
        <v>37227</v>
      </c>
      <c r="M10890" t="s">
        <v>40794</v>
      </c>
      <c r="N10890" t="s">
        <v>41249</v>
      </c>
      <c r="O10890" t="s">
        <v>41250</v>
      </c>
      <c r="P10890">
        <v>0</v>
      </c>
      <c r="Q10890">
        <v>0</v>
      </c>
      <c r="R10890" t="s">
        <v>41264</v>
      </c>
      <c r="S10890" t="s">
        <v>41775</v>
      </c>
      <c r="T10890" t="s">
        <v>42728</v>
      </c>
      <c r="U10890" t="s">
        <v>51952</v>
      </c>
      <c r="W10890" t="s">
        <v>40794</v>
      </c>
      <c r="X10890" t="s">
        <v>41265</v>
      </c>
    </row>
    <row r="10891" spans="1:24">
      <c r="A10891">
        <f>HYPERLINK("https://www.philgeps.gov.ph/GEPSNONPILOT/Tender/SplashBidNoticeAbstractUI.aspx?menuIndex=3&amp;refID=7052892&amp;Result=3","7052892")</f>
        <v>0</v>
      </c>
      <c r="B10891" t="s">
        <v>313</v>
      </c>
      <c r="C10891" t="s">
        <v>13796</v>
      </c>
      <c r="D10891" t="s">
        <v>16642</v>
      </c>
      <c r="E10891" t="s">
        <v>26145</v>
      </c>
      <c r="F10891" t="s">
        <v>28669</v>
      </c>
      <c r="G10891" t="s">
        <v>28675</v>
      </c>
      <c r="H10891" t="s">
        <v>9998</v>
      </c>
      <c r="I10891" t="s">
        <v>28731</v>
      </c>
      <c r="J10891" t="s">
        <v>35555</v>
      </c>
      <c r="K10891" t="s">
        <v>37210</v>
      </c>
      <c r="M10891" t="s">
        <v>39413</v>
      </c>
      <c r="N10891" t="s">
        <v>41249</v>
      </c>
      <c r="O10891" t="s">
        <v>41250</v>
      </c>
      <c r="Q10891">
        <v>16</v>
      </c>
      <c r="R10891" t="s">
        <v>41264</v>
      </c>
      <c r="S10891" t="s">
        <v>41798</v>
      </c>
      <c r="T10891" t="s">
        <v>42729</v>
      </c>
      <c r="U10891" t="s">
        <v>51953</v>
      </c>
      <c r="W10891" t="s">
        <v>39413</v>
      </c>
      <c r="X10891" t="s">
        <v>41265</v>
      </c>
    </row>
    <row r="10892" spans="1:24">
      <c r="A10892">
        <f>HYPERLINK("https://www.philgeps.gov.ph/GEPSNONPILOT/Tender/SplashBidNoticeAbstractUI.aspx?menuIndex=3&amp;refID=7053210&amp;Result=3","7053210")</f>
        <v>0</v>
      </c>
      <c r="B10892" t="s">
        <v>3024</v>
      </c>
      <c r="C10892" t="s">
        <v>13797</v>
      </c>
      <c r="D10892" t="s">
        <v>16673</v>
      </c>
      <c r="E10892" t="s">
        <v>26146</v>
      </c>
      <c r="F10892" t="s">
        <v>28670</v>
      </c>
      <c r="G10892" t="s">
        <v>28675</v>
      </c>
      <c r="H10892" t="s">
        <v>9998</v>
      </c>
      <c r="I10892" t="s">
        <v>28688</v>
      </c>
      <c r="J10892" t="s">
        <v>28912</v>
      </c>
      <c r="K10892" t="s">
        <v>37208</v>
      </c>
      <c r="M10892" t="s">
        <v>40795</v>
      </c>
      <c r="N10892" t="s">
        <v>41249</v>
      </c>
      <c r="O10892" t="s">
        <v>41250</v>
      </c>
      <c r="P10892">
        <v>0</v>
      </c>
      <c r="Q10892">
        <v>7</v>
      </c>
      <c r="R10892" t="s">
        <v>41264</v>
      </c>
      <c r="S10892" t="s">
        <v>41775</v>
      </c>
      <c r="T10892" t="s">
        <v>42707</v>
      </c>
      <c r="U10892" t="s">
        <v>51954</v>
      </c>
      <c r="W10892" t="s">
        <v>40795</v>
      </c>
      <c r="X10892" t="s">
        <v>41265</v>
      </c>
    </row>
    <row r="10893" spans="1:24">
      <c r="A10893">
        <f>HYPERLINK("https://www.philgeps.gov.ph/GEPSNONPILOT/Tender/SplashBidNoticeAbstractUI.aspx?menuIndex=3&amp;refID=7052752&amp;Result=3","7052752")</f>
        <v>0</v>
      </c>
      <c r="B10893" t="s">
        <v>3025</v>
      </c>
      <c r="C10893" t="s">
        <v>13798</v>
      </c>
      <c r="D10893" t="s">
        <v>16648</v>
      </c>
      <c r="E10893" t="s">
        <v>19426</v>
      </c>
      <c r="F10893" t="s">
        <v>28669</v>
      </c>
      <c r="G10893" t="s">
        <v>28675</v>
      </c>
      <c r="H10893" t="s">
        <v>9998</v>
      </c>
      <c r="I10893" t="s">
        <v>7352</v>
      </c>
      <c r="J10893" t="s">
        <v>35556</v>
      </c>
      <c r="K10893" t="s">
        <v>37205</v>
      </c>
      <c r="M10893" t="s">
        <v>40796</v>
      </c>
      <c r="N10893" t="s">
        <v>41249</v>
      </c>
      <c r="O10893" t="s">
        <v>41250</v>
      </c>
      <c r="P10893">
        <v>0</v>
      </c>
      <c r="Q10893">
        <v>1</v>
      </c>
      <c r="R10893" t="s">
        <v>41264</v>
      </c>
      <c r="S10893" t="s">
        <v>41775</v>
      </c>
      <c r="T10893" t="s">
        <v>42714</v>
      </c>
      <c r="U10893" t="s">
        <v>51955</v>
      </c>
      <c r="V10893" t="s">
        <v>55508</v>
      </c>
      <c r="W10893" t="s">
        <v>40796</v>
      </c>
      <c r="X10893" t="s">
        <v>41265</v>
      </c>
    </row>
    <row r="10894" spans="1:24">
      <c r="A10894">
        <f>HYPERLINK("https://www.philgeps.gov.ph/GEPSNONPILOT/Tender/SplashBidNoticeAbstractUI.aspx?menuIndex=3&amp;refID=7052931&amp;Result=3","7052931")</f>
        <v>0</v>
      </c>
      <c r="B10894" t="s">
        <v>464</v>
      </c>
      <c r="C10894" t="s">
        <v>13799</v>
      </c>
      <c r="D10894" t="s">
        <v>16629</v>
      </c>
      <c r="E10894" t="s">
        <v>26147</v>
      </c>
      <c r="F10894" t="s">
        <v>28669</v>
      </c>
      <c r="G10894" t="s">
        <v>28675</v>
      </c>
      <c r="H10894" t="s">
        <v>9998</v>
      </c>
      <c r="I10894" t="s">
        <v>5033</v>
      </c>
      <c r="J10894" t="s">
        <v>35557</v>
      </c>
      <c r="K10894" t="s">
        <v>37227</v>
      </c>
      <c r="M10894" t="s">
        <v>37952</v>
      </c>
      <c r="N10894" t="s">
        <v>41249</v>
      </c>
      <c r="O10894" t="s">
        <v>41250</v>
      </c>
      <c r="P10894">
        <v>0</v>
      </c>
      <c r="Q10894">
        <v>2</v>
      </c>
      <c r="R10894" t="s">
        <v>41264</v>
      </c>
      <c r="S10894" t="s">
        <v>41775</v>
      </c>
      <c r="T10894" t="s">
        <v>42783</v>
      </c>
      <c r="U10894" t="s">
        <v>51956</v>
      </c>
      <c r="V10894" t="s">
        <v>55509</v>
      </c>
      <c r="W10894" t="s">
        <v>37952</v>
      </c>
      <c r="X10894" t="s">
        <v>41265</v>
      </c>
    </row>
    <row r="10895" spans="1:24">
      <c r="A10895">
        <f>HYPERLINK("https://www.philgeps.gov.ph/GEPSNONPILOT/Tender/SplashBidNoticeAbstractUI.aspx?menuIndex=3&amp;refID=7053197&amp;Result=3","7053197")</f>
        <v>0</v>
      </c>
      <c r="B10895" t="s">
        <v>3026</v>
      </c>
      <c r="C10895" t="s">
        <v>13800</v>
      </c>
      <c r="D10895" t="s">
        <v>16627</v>
      </c>
      <c r="E10895" t="s">
        <v>26148</v>
      </c>
      <c r="F10895" t="s">
        <v>28669</v>
      </c>
      <c r="G10895" t="s">
        <v>28675</v>
      </c>
      <c r="H10895" t="s">
        <v>28686</v>
      </c>
      <c r="I10895" t="s">
        <v>28689</v>
      </c>
      <c r="J10895" t="s">
        <v>35558</v>
      </c>
      <c r="K10895" t="s">
        <v>37221</v>
      </c>
      <c r="M10895" t="s">
        <v>40797</v>
      </c>
      <c r="N10895" t="s">
        <v>41249</v>
      </c>
      <c r="O10895" t="s">
        <v>41250</v>
      </c>
      <c r="Q10895">
        <v>3</v>
      </c>
      <c r="R10895" t="s">
        <v>41264</v>
      </c>
      <c r="S10895" t="s">
        <v>41799</v>
      </c>
      <c r="T10895" t="s">
        <v>42690</v>
      </c>
      <c r="U10895" t="s">
        <v>51957</v>
      </c>
      <c r="W10895" t="s">
        <v>40797</v>
      </c>
      <c r="X10895" t="s">
        <v>41265</v>
      </c>
    </row>
    <row r="10896" spans="1:24">
      <c r="A10896">
        <f>HYPERLINK("https://www.philgeps.gov.ph/GEPSNONPILOT/Tender/SplashBidNoticeAbstractUI.aspx?menuIndex=3&amp;refID=7053182&amp;Result=3","7053182")</f>
        <v>0</v>
      </c>
      <c r="B10896" t="s">
        <v>574</v>
      </c>
      <c r="C10896" t="s">
        <v>13801</v>
      </c>
      <c r="D10896" t="s">
        <v>16642</v>
      </c>
      <c r="E10896" t="s">
        <v>26149</v>
      </c>
      <c r="F10896" t="s">
        <v>28669</v>
      </c>
      <c r="G10896" t="s">
        <v>28675</v>
      </c>
      <c r="H10896" t="s">
        <v>28686</v>
      </c>
      <c r="I10896" t="s">
        <v>28689</v>
      </c>
      <c r="J10896" t="s">
        <v>28836</v>
      </c>
      <c r="K10896" t="s">
        <v>37220</v>
      </c>
      <c r="M10896" t="s">
        <v>39616</v>
      </c>
      <c r="N10896" t="s">
        <v>41249</v>
      </c>
      <c r="O10896" t="s">
        <v>41250</v>
      </c>
      <c r="P10896">
        <v>0</v>
      </c>
      <c r="Q10896">
        <v>0</v>
      </c>
      <c r="R10896" t="s">
        <v>41264</v>
      </c>
      <c r="S10896" t="s">
        <v>41775</v>
      </c>
      <c r="T10896" t="s">
        <v>42679</v>
      </c>
      <c r="U10896" t="s">
        <v>51958</v>
      </c>
      <c r="W10896" t="s">
        <v>39616</v>
      </c>
      <c r="X10896" t="s">
        <v>41265</v>
      </c>
    </row>
    <row r="10897" spans="1:24">
      <c r="A10897">
        <f>HYPERLINK("https://www.philgeps.gov.ph/GEPSNONPILOT/Tender/SplashBidNoticeAbstractUI.aspx?menuIndex=3&amp;refID=7052918&amp;Result=3","7052918")</f>
        <v>0</v>
      </c>
      <c r="B10897" t="s">
        <v>445</v>
      </c>
      <c r="C10897" t="s">
        <v>3808</v>
      </c>
      <c r="D10897" t="s">
        <v>16687</v>
      </c>
      <c r="E10897" t="s">
        <v>26150</v>
      </c>
      <c r="F10897" t="s">
        <v>28669</v>
      </c>
      <c r="G10897" t="s">
        <v>28675</v>
      </c>
      <c r="H10897" t="s">
        <v>9998</v>
      </c>
      <c r="I10897" t="s">
        <v>28693</v>
      </c>
      <c r="J10897" t="s">
        <v>35559</v>
      </c>
      <c r="K10897" t="s">
        <v>37209</v>
      </c>
      <c r="M10897" t="s">
        <v>37930</v>
      </c>
      <c r="N10897" t="s">
        <v>41249</v>
      </c>
      <c r="O10897" t="s">
        <v>41250</v>
      </c>
      <c r="P10897">
        <v>0</v>
      </c>
      <c r="Q10897">
        <v>6</v>
      </c>
      <c r="R10897" t="s">
        <v>41264</v>
      </c>
      <c r="S10897" t="s">
        <v>41775</v>
      </c>
      <c r="T10897" t="s">
        <v>42966</v>
      </c>
      <c r="U10897" t="s">
        <v>51959</v>
      </c>
      <c r="W10897" t="s">
        <v>37930</v>
      </c>
      <c r="X10897" t="s">
        <v>41265</v>
      </c>
    </row>
    <row r="10898" spans="1:24">
      <c r="A10898">
        <f>HYPERLINK("https://www.philgeps.gov.ph/GEPSNONPILOT/Tender/SplashBidNoticeAbstractUI.aspx?menuIndex=3&amp;refID=7053203&amp;Result=3","7053203")</f>
        <v>0</v>
      </c>
      <c r="B10898" t="s">
        <v>3027</v>
      </c>
      <c r="C10898" t="s">
        <v>13802</v>
      </c>
      <c r="D10898" t="s">
        <v>16613</v>
      </c>
      <c r="E10898" t="s">
        <v>6569</v>
      </c>
      <c r="F10898" t="s">
        <v>28669</v>
      </c>
      <c r="G10898" t="s">
        <v>28675</v>
      </c>
      <c r="H10898" t="s">
        <v>28686</v>
      </c>
      <c r="I10898" t="s">
        <v>28689</v>
      </c>
      <c r="J10898" t="s">
        <v>35560</v>
      </c>
      <c r="K10898" t="s">
        <v>37215</v>
      </c>
      <c r="M10898" t="s">
        <v>40798</v>
      </c>
      <c r="N10898" t="s">
        <v>41249</v>
      </c>
      <c r="O10898" t="s">
        <v>41250</v>
      </c>
      <c r="P10898">
        <v>0</v>
      </c>
      <c r="Q10898">
        <v>0</v>
      </c>
      <c r="R10898" t="s">
        <v>41264</v>
      </c>
      <c r="S10898" t="s">
        <v>41775</v>
      </c>
      <c r="T10898" t="s">
        <v>42992</v>
      </c>
      <c r="U10898" t="s">
        <v>51960</v>
      </c>
      <c r="W10898" t="s">
        <v>40798</v>
      </c>
      <c r="X10898" t="s">
        <v>41265</v>
      </c>
    </row>
    <row r="10899" spans="1:24">
      <c r="A10899">
        <f>HYPERLINK("https://www.philgeps.gov.ph/GEPSNONPILOT/Tender/SplashBidNoticeAbstractUI.aspx?menuIndex=3&amp;refID=7053137&amp;Result=3","7053137")</f>
        <v>0</v>
      </c>
      <c r="B10899" t="s">
        <v>2968</v>
      </c>
      <c r="C10899" t="s">
        <v>13803</v>
      </c>
      <c r="E10899" t="s">
        <v>26151</v>
      </c>
      <c r="F10899" t="s">
        <v>28669</v>
      </c>
      <c r="G10899" t="s">
        <v>28675</v>
      </c>
      <c r="H10899" t="s">
        <v>9998</v>
      </c>
      <c r="I10899" t="s">
        <v>28714</v>
      </c>
      <c r="J10899" t="s">
        <v>29332</v>
      </c>
      <c r="K10899" t="s">
        <v>37209</v>
      </c>
      <c r="M10899" t="s">
        <v>40730</v>
      </c>
      <c r="N10899" t="s">
        <v>41249</v>
      </c>
      <c r="O10899" t="s">
        <v>41250</v>
      </c>
      <c r="Q10899">
        <v>11</v>
      </c>
      <c r="R10899" t="s">
        <v>41264</v>
      </c>
      <c r="S10899" t="s">
        <v>41800</v>
      </c>
      <c r="T10899" t="s">
        <v>42680</v>
      </c>
      <c r="U10899" t="s">
        <v>51961</v>
      </c>
      <c r="V10899" t="s">
        <v>55422</v>
      </c>
      <c r="W10899" t="s">
        <v>40730</v>
      </c>
      <c r="X10899" t="s">
        <v>41265</v>
      </c>
    </row>
    <row r="10900" spans="1:24">
      <c r="A10900">
        <f>HYPERLINK("https://www.philgeps.gov.ph/GEPSNONPILOT/Tender/SplashBidNoticeAbstractUI.aspx?menuIndex=3&amp;refID=7053121&amp;Result=3","7053121")</f>
        <v>0</v>
      </c>
      <c r="B10900" t="s">
        <v>1767</v>
      </c>
      <c r="C10900" t="s">
        <v>8248</v>
      </c>
      <c r="D10900" t="s">
        <v>16676</v>
      </c>
      <c r="E10900" t="s">
        <v>26152</v>
      </c>
      <c r="F10900" t="s">
        <v>28669</v>
      </c>
      <c r="G10900" t="s">
        <v>28675</v>
      </c>
      <c r="H10900" t="s">
        <v>28686</v>
      </c>
      <c r="I10900" t="s">
        <v>28689</v>
      </c>
      <c r="J10900" t="s">
        <v>29744</v>
      </c>
      <c r="K10900" t="s">
        <v>37220</v>
      </c>
      <c r="M10900" t="s">
        <v>39369</v>
      </c>
      <c r="N10900" t="s">
        <v>41249</v>
      </c>
      <c r="O10900" t="s">
        <v>41250</v>
      </c>
      <c r="P10900">
        <v>0</v>
      </c>
      <c r="Q10900">
        <v>4</v>
      </c>
      <c r="R10900" t="s">
        <v>41264</v>
      </c>
      <c r="S10900" t="s">
        <v>41775</v>
      </c>
      <c r="T10900" t="s">
        <v>42966</v>
      </c>
      <c r="U10900" t="s">
        <v>51962</v>
      </c>
      <c r="V10900" t="s">
        <v>55510</v>
      </c>
      <c r="W10900" t="s">
        <v>39369</v>
      </c>
      <c r="X10900" t="s">
        <v>41265</v>
      </c>
    </row>
    <row r="10901" spans="1:24">
      <c r="A10901">
        <f>HYPERLINK("https://www.philgeps.gov.ph/GEPSNONPILOT/Tender/SplashBidNoticeAbstractUI.aspx?menuIndex=3&amp;refID=7053104&amp;Result=3","7053104")</f>
        <v>0</v>
      </c>
      <c r="B10901" t="s">
        <v>574</v>
      </c>
      <c r="C10901" t="s">
        <v>13804</v>
      </c>
      <c r="D10901" t="s">
        <v>16642</v>
      </c>
      <c r="E10901" t="s">
        <v>26153</v>
      </c>
      <c r="F10901" t="s">
        <v>28669</v>
      </c>
      <c r="G10901" t="s">
        <v>28675</v>
      </c>
      <c r="H10901" t="s">
        <v>28686</v>
      </c>
      <c r="I10901" t="s">
        <v>28689</v>
      </c>
      <c r="J10901" t="s">
        <v>35561</v>
      </c>
      <c r="K10901" t="s">
        <v>37213</v>
      </c>
      <c r="M10901" t="s">
        <v>39616</v>
      </c>
      <c r="N10901" t="s">
        <v>41249</v>
      </c>
      <c r="O10901" t="s">
        <v>41250</v>
      </c>
      <c r="P10901">
        <v>0</v>
      </c>
      <c r="Q10901">
        <v>0</v>
      </c>
      <c r="R10901" t="s">
        <v>41264</v>
      </c>
      <c r="S10901" t="s">
        <v>41775</v>
      </c>
      <c r="T10901" t="s">
        <v>42679</v>
      </c>
      <c r="U10901" t="s">
        <v>51963</v>
      </c>
      <c r="W10901" t="s">
        <v>39616</v>
      </c>
      <c r="X10901" t="s">
        <v>41265</v>
      </c>
    </row>
    <row r="10902" spans="1:24">
      <c r="A10902">
        <f>HYPERLINK("https://www.philgeps.gov.ph/GEPSNONPILOT/Tender/SplashBidNoticeAbstractUI.aspx?menuIndex=3&amp;refID=7053100&amp;Result=3","7053100")</f>
        <v>0</v>
      </c>
      <c r="B10902" t="s">
        <v>939</v>
      </c>
      <c r="C10902" t="s">
        <v>13805</v>
      </c>
      <c r="D10902" t="s">
        <v>16657</v>
      </c>
      <c r="E10902" t="s">
        <v>26154</v>
      </c>
      <c r="F10902" t="s">
        <v>28669</v>
      </c>
      <c r="G10902" t="s">
        <v>28675</v>
      </c>
      <c r="H10902" t="s">
        <v>28686</v>
      </c>
      <c r="I10902" t="s">
        <v>28689</v>
      </c>
      <c r="J10902" t="s">
        <v>35562</v>
      </c>
      <c r="K10902" t="s">
        <v>37221</v>
      </c>
      <c r="M10902" t="s">
        <v>38462</v>
      </c>
      <c r="N10902" t="s">
        <v>41249</v>
      </c>
      <c r="O10902" t="s">
        <v>41250</v>
      </c>
      <c r="P10902">
        <v>0</v>
      </c>
      <c r="Q10902">
        <v>14</v>
      </c>
      <c r="R10902" t="s">
        <v>41264</v>
      </c>
      <c r="S10902" t="s">
        <v>41775</v>
      </c>
      <c r="T10902" t="s">
        <v>42690</v>
      </c>
      <c r="U10902" t="s">
        <v>51964</v>
      </c>
      <c r="V10902" t="s">
        <v>55400</v>
      </c>
      <c r="W10902" t="s">
        <v>38462</v>
      </c>
      <c r="X10902" t="s">
        <v>41265</v>
      </c>
    </row>
    <row r="10903" spans="1:24">
      <c r="A10903">
        <f>HYPERLINK("https://www.philgeps.gov.ph/GEPSNONPILOT/Tender/SplashBidNoticeAbstractUI.aspx?menuIndex=3&amp;refID=7053092&amp;Result=3","7053092")</f>
        <v>0</v>
      </c>
      <c r="B10903" t="s">
        <v>2968</v>
      </c>
      <c r="C10903" t="s">
        <v>13806</v>
      </c>
      <c r="E10903" t="s">
        <v>26155</v>
      </c>
      <c r="F10903" t="s">
        <v>28669</v>
      </c>
      <c r="G10903" t="s">
        <v>28675</v>
      </c>
      <c r="H10903" t="s">
        <v>9998</v>
      </c>
      <c r="I10903" t="s">
        <v>28714</v>
      </c>
      <c r="J10903" t="s">
        <v>29112</v>
      </c>
      <c r="K10903" t="s">
        <v>37209</v>
      </c>
      <c r="M10903" t="s">
        <v>40730</v>
      </c>
      <c r="N10903" t="s">
        <v>41249</v>
      </c>
      <c r="O10903" t="s">
        <v>41250</v>
      </c>
      <c r="Q10903">
        <v>22</v>
      </c>
      <c r="R10903" t="s">
        <v>41264</v>
      </c>
      <c r="S10903" t="s">
        <v>41801</v>
      </c>
      <c r="T10903" t="s">
        <v>42680</v>
      </c>
      <c r="U10903" t="s">
        <v>51965</v>
      </c>
      <c r="V10903" t="s">
        <v>55511</v>
      </c>
      <c r="W10903" t="s">
        <v>40730</v>
      </c>
      <c r="X10903" t="s">
        <v>41265</v>
      </c>
    </row>
    <row r="10904" spans="1:24">
      <c r="A10904">
        <f>HYPERLINK("https://www.philgeps.gov.ph/GEPSNONPILOT/Tender/SplashBidNoticeAbstractUI.aspx?menuIndex=3&amp;refID=7053154&amp;Result=3","7053154")</f>
        <v>0</v>
      </c>
      <c r="B10904" t="s">
        <v>1646</v>
      </c>
      <c r="C10904" t="s">
        <v>13807</v>
      </c>
      <c r="D10904" t="s">
        <v>16640</v>
      </c>
      <c r="E10904" t="s">
        <v>26156</v>
      </c>
      <c r="F10904" t="s">
        <v>28669</v>
      </c>
      <c r="G10904" t="s">
        <v>28675</v>
      </c>
      <c r="H10904" t="s">
        <v>28686</v>
      </c>
      <c r="I10904" t="s">
        <v>28689</v>
      </c>
      <c r="J10904" t="s">
        <v>35563</v>
      </c>
      <c r="K10904" t="s">
        <v>37215</v>
      </c>
      <c r="M10904" t="s">
        <v>39236</v>
      </c>
      <c r="N10904" t="s">
        <v>41249</v>
      </c>
      <c r="O10904" t="s">
        <v>41250</v>
      </c>
      <c r="Q10904">
        <v>9</v>
      </c>
      <c r="R10904" t="s">
        <v>41264</v>
      </c>
      <c r="S10904" t="s">
        <v>41802</v>
      </c>
      <c r="T10904" t="s">
        <v>42679</v>
      </c>
      <c r="U10904" t="s">
        <v>51966</v>
      </c>
      <c r="W10904" t="s">
        <v>39236</v>
      </c>
      <c r="X10904" t="s">
        <v>41265</v>
      </c>
    </row>
    <row r="10905" spans="1:24">
      <c r="A10905">
        <f>HYPERLINK("https://www.philgeps.gov.ph/GEPSNONPILOT/Tender/SplashBidNoticeAbstractUI.aspx?menuIndex=3&amp;refID=7053082&amp;Result=3","7053082")</f>
        <v>0</v>
      </c>
      <c r="B10905" t="s">
        <v>939</v>
      </c>
      <c r="C10905" t="s">
        <v>13808</v>
      </c>
      <c r="D10905" t="s">
        <v>16657</v>
      </c>
      <c r="E10905" t="s">
        <v>26157</v>
      </c>
      <c r="F10905" t="s">
        <v>28669</v>
      </c>
      <c r="G10905" t="s">
        <v>28675</v>
      </c>
      <c r="H10905" t="s">
        <v>28686</v>
      </c>
      <c r="I10905" t="s">
        <v>28689</v>
      </c>
      <c r="J10905" t="s">
        <v>35564</v>
      </c>
      <c r="K10905" t="s">
        <v>37221</v>
      </c>
      <c r="M10905" t="s">
        <v>38462</v>
      </c>
      <c r="N10905" t="s">
        <v>41249</v>
      </c>
      <c r="O10905" t="s">
        <v>41250</v>
      </c>
      <c r="P10905">
        <v>0</v>
      </c>
      <c r="Q10905">
        <v>15</v>
      </c>
      <c r="R10905" t="s">
        <v>41264</v>
      </c>
      <c r="S10905" t="s">
        <v>41775</v>
      </c>
      <c r="T10905" t="s">
        <v>42690</v>
      </c>
      <c r="U10905" t="s">
        <v>51967</v>
      </c>
      <c r="V10905" t="s">
        <v>55400</v>
      </c>
      <c r="W10905" t="s">
        <v>38462</v>
      </c>
      <c r="X10905" t="s">
        <v>41265</v>
      </c>
    </row>
    <row r="10906" spans="1:24">
      <c r="A10906">
        <f>HYPERLINK("https://www.philgeps.gov.ph/GEPSNONPILOT/Tender/SplashBidNoticeAbstractUI.aspx?menuIndex=3&amp;refID=7053153&amp;Result=3","7053153")</f>
        <v>0</v>
      </c>
      <c r="B10906" t="s">
        <v>2645</v>
      </c>
      <c r="C10906" t="s">
        <v>13809</v>
      </c>
      <c r="D10906" t="s">
        <v>16612</v>
      </c>
      <c r="E10906" t="s">
        <v>26158</v>
      </c>
      <c r="F10906" t="s">
        <v>28669</v>
      </c>
      <c r="G10906" t="s">
        <v>28675</v>
      </c>
      <c r="H10906" t="s">
        <v>9998</v>
      </c>
      <c r="I10906" t="s">
        <v>7352</v>
      </c>
      <c r="J10906" t="s">
        <v>35565</v>
      </c>
      <c r="K10906" t="s">
        <v>37210</v>
      </c>
      <c r="M10906" t="s">
        <v>40345</v>
      </c>
      <c r="N10906" t="s">
        <v>41249</v>
      </c>
      <c r="O10906" t="s">
        <v>41250</v>
      </c>
      <c r="P10906">
        <v>0</v>
      </c>
      <c r="Q10906">
        <v>0</v>
      </c>
      <c r="R10906" t="s">
        <v>41264</v>
      </c>
      <c r="S10906" t="s">
        <v>41775</v>
      </c>
      <c r="T10906" t="s">
        <v>42809</v>
      </c>
      <c r="U10906" t="s">
        <v>51968</v>
      </c>
      <c r="W10906" t="s">
        <v>40345</v>
      </c>
      <c r="X10906" t="s">
        <v>41265</v>
      </c>
    </row>
    <row r="10907" spans="1:24">
      <c r="A10907">
        <f>HYPERLINK("https://www.philgeps.gov.ph/GEPSNONPILOT/Tender/SplashBidNoticeAbstractUI.aspx?menuIndex=3&amp;refID=7053202&amp;Result=3","7053202")</f>
        <v>0</v>
      </c>
      <c r="B10907" t="s">
        <v>2968</v>
      </c>
      <c r="C10907" t="s">
        <v>13810</v>
      </c>
      <c r="E10907" t="s">
        <v>26159</v>
      </c>
      <c r="F10907" t="s">
        <v>28669</v>
      </c>
      <c r="G10907" t="s">
        <v>28675</v>
      </c>
      <c r="H10907" t="s">
        <v>9998</v>
      </c>
      <c r="I10907" t="s">
        <v>28714</v>
      </c>
      <c r="J10907" t="s">
        <v>35566</v>
      </c>
      <c r="K10907" t="s">
        <v>37209</v>
      </c>
      <c r="M10907" t="s">
        <v>40730</v>
      </c>
      <c r="N10907" t="s">
        <v>41249</v>
      </c>
      <c r="O10907" t="s">
        <v>41250</v>
      </c>
      <c r="Q10907">
        <v>22</v>
      </c>
      <c r="R10907" t="s">
        <v>41264</v>
      </c>
      <c r="S10907" t="s">
        <v>41803</v>
      </c>
      <c r="T10907" t="s">
        <v>43123</v>
      </c>
      <c r="U10907" t="s">
        <v>51969</v>
      </c>
      <c r="V10907" t="s">
        <v>55512</v>
      </c>
      <c r="W10907" t="s">
        <v>40730</v>
      </c>
      <c r="X10907" t="s">
        <v>41265</v>
      </c>
    </row>
    <row r="10908" spans="1:24">
      <c r="A10908">
        <f>HYPERLINK("https://www.philgeps.gov.ph/GEPSNONPILOT/Tender/SplashBidNoticeAbstractUI.aspx?menuIndex=3&amp;refID=7053097&amp;Result=3","7053097")</f>
        <v>0</v>
      </c>
      <c r="B10908" t="s">
        <v>193</v>
      </c>
      <c r="C10908" t="s">
        <v>13811</v>
      </c>
      <c r="D10908" t="s">
        <v>16658</v>
      </c>
      <c r="E10908" t="s">
        <v>26160</v>
      </c>
      <c r="F10908" t="s">
        <v>28669</v>
      </c>
      <c r="G10908" t="s">
        <v>28675</v>
      </c>
      <c r="H10908" t="s">
        <v>9998</v>
      </c>
      <c r="I10908" t="s">
        <v>28690</v>
      </c>
      <c r="J10908" t="s">
        <v>35567</v>
      </c>
      <c r="K10908" t="s">
        <v>37205</v>
      </c>
      <c r="M10908" t="s">
        <v>37671</v>
      </c>
      <c r="N10908" t="s">
        <v>41249</v>
      </c>
      <c r="O10908" t="s">
        <v>41250</v>
      </c>
      <c r="P10908">
        <v>0</v>
      </c>
      <c r="Q10908">
        <v>6</v>
      </c>
      <c r="R10908" t="s">
        <v>41264</v>
      </c>
      <c r="S10908" t="s">
        <v>41775</v>
      </c>
      <c r="T10908" t="s">
        <v>42739</v>
      </c>
      <c r="U10908" t="s">
        <v>51970</v>
      </c>
      <c r="V10908" t="s">
        <v>54426</v>
      </c>
      <c r="W10908" t="s">
        <v>37671</v>
      </c>
      <c r="X10908" t="s">
        <v>41265</v>
      </c>
    </row>
    <row r="10909" spans="1:24">
      <c r="A10909">
        <f>HYPERLINK("https://www.philgeps.gov.ph/GEPSNONPILOT/Tender/SplashBidNoticeAbstractUI.aspx?menuIndex=3&amp;refID=7053381&amp;Result=3","7053381")</f>
        <v>0</v>
      </c>
      <c r="B10909" t="s">
        <v>2968</v>
      </c>
      <c r="C10909" t="s">
        <v>13812</v>
      </c>
      <c r="D10909" t="s">
        <v>16657</v>
      </c>
      <c r="E10909" t="s">
        <v>26161</v>
      </c>
      <c r="F10909" t="s">
        <v>28669</v>
      </c>
      <c r="G10909" t="s">
        <v>28675</v>
      </c>
      <c r="H10909" t="s">
        <v>9998</v>
      </c>
      <c r="I10909" t="s">
        <v>28707</v>
      </c>
      <c r="J10909" t="s">
        <v>31737</v>
      </c>
      <c r="K10909" t="s">
        <v>37209</v>
      </c>
      <c r="M10909" t="s">
        <v>40730</v>
      </c>
      <c r="N10909" t="s">
        <v>41249</v>
      </c>
      <c r="O10909" t="s">
        <v>41250</v>
      </c>
      <c r="Q10909">
        <v>15</v>
      </c>
      <c r="R10909" t="s">
        <v>41264</v>
      </c>
      <c r="S10909" t="s">
        <v>41804</v>
      </c>
      <c r="T10909" t="s">
        <v>42669</v>
      </c>
      <c r="U10909" t="s">
        <v>51971</v>
      </c>
      <c r="V10909" t="s">
        <v>55513</v>
      </c>
      <c r="W10909" t="s">
        <v>40730</v>
      </c>
      <c r="X10909" t="s">
        <v>41265</v>
      </c>
    </row>
    <row r="10910" spans="1:24">
      <c r="A10910">
        <f>HYPERLINK("https://www.philgeps.gov.ph/GEPSNONPILOT/Tender/SplashBidNoticeAbstractUI.aspx?menuIndex=3&amp;refID=7053361&amp;Result=3","7053361")</f>
        <v>0</v>
      </c>
      <c r="B10910" t="s">
        <v>186</v>
      </c>
      <c r="C10910" t="s">
        <v>13813</v>
      </c>
      <c r="D10910" t="s">
        <v>16654</v>
      </c>
      <c r="E10910" t="s">
        <v>26162</v>
      </c>
      <c r="F10910" t="s">
        <v>28669</v>
      </c>
      <c r="G10910" t="s">
        <v>28675</v>
      </c>
      <c r="H10910" t="s">
        <v>9998</v>
      </c>
      <c r="I10910" t="s">
        <v>5286</v>
      </c>
      <c r="J10910" t="s">
        <v>29247</v>
      </c>
      <c r="K10910" t="s">
        <v>37227</v>
      </c>
      <c r="M10910" t="s">
        <v>37664</v>
      </c>
      <c r="N10910" t="s">
        <v>41249</v>
      </c>
      <c r="O10910" t="s">
        <v>41250</v>
      </c>
      <c r="P10910">
        <v>0</v>
      </c>
      <c r="Q10910">
        <v>6</v>
      </c>
      <c r="R10910" t="s">
        <v>41264</v>
      </c>
      <c r="S10910" t="s">
        <v>41775</v>
      </c>
      <c r="T10910" t="s">
        <v>42876</v>
      </c>
      <c r="U10910" t="s">
        <v>51972</v>
      </c>
      <c r="W10910" t="s">
        <v>37664</v>
      </c>
      <c r="X10910" t="s">
        <v>41265</v>
      </c>
    </row>
    <row r="10911" spans="1:24">
      <c r="A10911">
        <f>HYPERLINK("https://www.philgeps.gov.ph/GEPSNONPILOT/Tender/SplashBidNoticeAbstractUI.aspx?menuIndex=3&amp;refID=7053337&amp;Result=3","7053337")</f>
        <v>0</v>
      </c>
      <c r="B10911" t="s">
        <v>3028</v>
      </c>
      <c r="C10911" t="s">
        <v>13814</v>
      </c>
      <c r="D10911" t="s">
        <v>16640</v>
      </c>
      <c r="E10911" t="s">
        <v>21053</v>
      </c>
      <c r="F10911" t="s">
        <v>28673</v>
      </c>
      <c r="G10911" t="s">
        <v>28675</v>
      </c>
      <c r="H10911" t="s">
        <v>9998</v>
      </c>
      <c r="I10911" t="s">
        <v>28696</v>
      </c>
      <c r="J10911" t="s">
        <v>35568</v>
      </c>
      <c r="K10911" t="s">
        <v>37234</v>
      </c>
      <c r="M10911" t="s">
        <v>40799</v>
      </c>
      <c r="N10911" t="s">
        <v>41249</v>
      </c>
      <c r="O10911" t="s">
        <v>41250</v>
      </c>
      <c r="P10911">
        <v>0</v>
      </c>
      <c r="Q10911">
        <v>2</v>
      </c>
      <c r="R10911" t="s">
        <v>41264</v>
      </c>
      <c r="S10911" t="s">
        <v>41775</v>
      </c>
      <c r="T10911" t="s">
        <v>43124</v>
      </c>
      <c r="U10911" t="s">
        <v>51973</v>
      </c>
      <c r="W10911" t="s">
        <v>40799</v>
      </c>
      <c r="X10911" t="s">
        <v>41265</v>
      </c>
    </row>
    <row r="10912" spans="1:24">
      <c r="A10912">
        <f>HYPERLINK("https://www.philgeps.gov.ph/GEPSNONPILOT/Tender/SplashBidNoticeAbstractUI.aspx?menuIndex=3&amp;refID=7052987&amp;Result=3","7052987")</f>
        <v>0</v>
      </c>
      <c r="B10912" t="s">
        <v>574</v>
      </c>
      <c r="C10912" t="s">
        <v>13815</v>
      </c>
      <c r="D10912" t="s">
        <v>16642</v>
      </c>
      <c r="E10912" t="s">
        <v>26163</v>
      </c>
      <c r="F10912" t="s">
        <v>28669</v>
      </c>
      <c r="G10912" t="s">
        <v>28675</v>
      </c>
      <c r="H10912" t="s">
        <v>28686</v>
      </c>
      <c r="I10912" t="s">
        <v>28689</v>
      </c>
      <c r="J10912" t="s">
        <v>29526</v>
      </c>
      <c r="K10912" t="s">
        <v>37220</v>
      </c>
      <c r="M10912" t="s">
        <v>39616</v>
      </c>
      <c r="N10912" t="s">
        <v>41249</v>
      </c>
      <c r="O10912" t="s">
        <v>41250</v>
      </c>
      <c r="P10912">
        <v>0</v>
      </c>
      <c r="Q10912">
        <v>0</v>
      </c>
      <c r="R10912" t="s">
        <v>41264</v>
      </c>
      <c r="S10912" t="s">
        <v>41775</v>
      </c>
      <c r="T10912" t="s">
        <v>42679</v>
      </c>
      <c r="U10912" t="s">
        <v>51974</v>
      </c>
      <c r="W10912" t="s">
        <v>39616</v>
      </c>
      <c r="X10912" t="s">
        <v>41265</v>
      </c>
    </row>
    <row r="10913" spans="1:24">
      <c r="A10913">
        <f>HYPERLINK("https://www.philgeps.gov.ph/GEPSNONPILOT/Tender/SplashBidNoticeAbstractUI.aspx?menuIndex=3&amp;refID=7053389&amp;Result=3","7053389")</f>
        <v>0</v>
      </c>
      <c r="B10913" t="s">
        <v>3021</v>
      </c>
      <c r="C10913" t="s">
        <v>13816</v>
      </c>
      <c r="D10913" t="s">
        <v>16664</v>
      </c>
      <c r="E10913" t="s">
        <v>26164</v>
      </c>
      <c r="F10913" t="s">
        <v>28669</v>
      </c>
      <c r="G10913" t="s">
        <v>28675</v>
      </c>
      <c r="H10913" t="s">
        <v>28686</v>
      </c>
      <c r="I10913" t="s">
        <v>28689</v>
      </c>
      <c r="J10913" t="s">
        <v>29724</v>
      </c>
      <c r="K10913" t="s">
        <v>37220</v>
      </c>
      <c r="M10913" t="s">
        <v>40791</v>
      </c>
      <c r="N10913" t="s">
        <v>41249</v>
      </c>
      <c r="O10913" t="s">
        <v>41250</v>
      </c>
      <c r="Q10913">
        <v>1</v>
      </c>
      <c r="R10913" t="s">
        <v>41264</v>
      </c>
      <c r="S10913" t="s">
        <v>41805</v>
      </c>
      <c r="T10913" t="s">
        <v>42700</v>
      </c>
      <c r="U10913" t="s">
        <v>51975</v>
      </c>
      <c r="W10913" t="s">
        <v>40791</v>
      </c>
      <c r="X10913" t="s">
        <v>41265</v>
      </c>
    </row>
    <row r="10914" spans="1:24">
      <c r="A10914">
        <f>HYPERLINK("https://www.philgeps.gov.ph/GEPSNONPILOT/Tender/SplashBidNoticeAbstractUI.aspx?menuIndex=3&amp;refID=7053316&amp;Result=3","7053316")</f>
        <v>0</v>
      </c>
      <c r="B10914" t="s">
        <v>2046</v>
      </c>
      <c r="C10914" t="s">
        <v>13817</v>
      </c>
      <c r="D10914" t="s">
        <v>16643</v>
      </c>
      <c r="E10914" t="s">
        <v>26165</v>
      </c>
      <c r="F10914" t="s">
        <v>28669</v>
      </c>
      <c r="G10914" t="s">
        <v>28677</v>
      </c>
      <c r="H10914" t="s">
        <v>9998</v>
      </c>
      <c r="I10914" t="s">
        <v>28690</v>
      </c>
      <c r="J10914" t="s">
        <v>34326</v>
      </c>
      <c r="K10914" t="s">
        <v>37209</v>
      </c>
      <c r="M10914" t="s">
        <v>39686</v>
      </c>
      <c r="N10914" t="s">
        <v>41249</v>
      </c>
      <c r="O10914" t="s">
        <v>41250</v>
      </c>
      <c r="Q10914">
        <v>32</v>
      </c>
      <c r="R10914" t="s">
        <v>41264</v>
      </c>
      <c r="S10914" t="s">
        <v>41806</v>
      </c>
      <c r="T10914" t="s">
        <v>42883</v>
      </c>
      <c r="U10914" t="s">
        <v>48244</v>
      </c>
      <c r="W10914" t="s">
        <v>39686</v>
      </c>
      <c r="X10914" t="s">
        <v>41265</v>
      </c>
    </row>
    <row r="10915" spans="1:24">
      <c r="A10915">
        <f>HYPERLINK("https://www.philgeps.gov.ph/GEPSNONPILOT/Tender/SplashBidNoticeAbstractUI.aspx?menuIndex=3&amp;refID=7053369&amp;Result=3","7053369")</f>
        <v>0</v>
      </c>
      <c r="B10915" t="s">
        <v>2466</v>
      </c>
      <c r="C10915" t="s">
        <v>13818</v>
      </c>
      <c r="D10915" t="s">
        <v>16643</v>
      </c>
      <c r="E10915" t="s">
        <v>26166</v>
      </c>
      <c r="F10915" t="s">
        <v>28669</v>
      </c>
      <c r="G10915" t="s">
        <v>28675</v>
      </c>
      <c r="H10915" t="s">
        <v>9998</v>
      </c>
      <c r="I10915" t="s">
        <v>28695</v>
      </c>
      <c r="J10915" t="s">
        <v>28826</v>
      </c>
      <c r="K10915" t="s">
        <v>37208</v>
      </c>
      <c r="M10915" t="s">
        <v>40800</v>
      </c>
      <c r="N10915" t="s">
        <v>41249</v>
      </c>
      <c r="O10915" t="s">
        <v>41250</v>
      </c>
      <c r="P10915">
        <v>0</v>
      </c>
      <c r="Q10915">
        <v>0</v>
      </c>
      <c r="R10915" t="s">
        <v>41264</v>
      </c>
      <c r="S10915" t="s">
        <v>41775</v>
      </c>
      <c r="T10915" t="s">
        <v>42686</v>
      </c>
      <c r="U10915" t="s">
        <v>51976</v>
      </c>
      <c r="W10915" t="s">
        <v>40800</v>
      </c>
      <c r="X10915" t="s">
        <v>41265</v>
      </c>
    </row>
    <row r="10916" spans="1:24">
      <c r="A10916">
        <f>HYPERLINK("https://www.philgeps.gov.ph/GEPSNONPILOT/Tender/SplashBidNoticeAbstractUI.aspx?menuIndex=3&amp;refID=7053292&amp;Result=3","7053292")</f>
        <v>0</v>
      </c>
      <c r="B10916" t="s">
        <v>1965</v>
      </c>
      <c r="C10916" t="s">
        <v>13819</v>
      </c>
      <c r="D10916" t="s">
        <v>16670</v>
      </c>
      <c r="E10916" t="s">
        <v>26167</v>
      </c>
      <c r="F10916" t="s">
        <v>28669</v>
      </c>
      <c r="G10916" t="s">
        <v>28675</v>
      </c>
      <c r="H10916" t="s">
        <v>9998</v>
      </c>
      <c r="I10916" t="s">
        <v>28773</v>
      </c>
      <c r="J10916" t="s">
        <v>35569</v>
      </c>
      <c r="K10916" t="s">
        <v>37221</v>
      </c>
      <c r="M10916" t="s">
        <v>39598</v>
      </c>
      <c r="N10916" t="s">
        <v>41249</v>
      </c>
      <c r="O10916" t="s">
        <v>41250</v>
      </c>
      <c r="P10916">
        <v>0</v>
      </c>
      <c r="Q10916">
        <v>5</v>
      </c>
      <c r="R10916" t="s">
        <v>41264</v>
      </c>
      <c r="S10916" t="s">
        <v>41775</v>
      </c>
      <c r="T10916" t="s">
        <v>42755</v>
      </c>
      <c r="U10916" t="s">
        <v>51977</v>
      </c>
      <c r="V10916" t="s">
        <v>55514</v>
      </c>
      <c r="W10916" t="s">
        <v>39598</v>
      </c>
      <c r="X10916" t="s">
        <v>41265</v>
      </c>
    </row>
    <row r="10917" spans="1:24">
      <c r="A10917">
        <f>HYPERLINK("https://www.philgeps.gov.ph/GEPSNONPILOT/Tender/SplashBidNoticeAbstractUI.aspx?menuIndex=3&amp;refID=7053355&amp;Result=3","7053355")</f>
        <v>0</v>
      </c>
      <c r="B10917" t="s">
        <v>2046</v>
      </c>
      <c r="C10917" t="s">
        <v>13820</v>
      </c>
      <c r="D10917" t="s">
        <v>16643</v>
      </c>
      <c r="E10917" t="s">
        <v>26168</v>
      </c>
      <c r="F10917" t="s">
        <v>28669</v>
      </c>
      <c r="G10917" t="s">
        <v>28677</v>
      </c>
      <c r="H10917" t="s">
        <v>9998</v>
      </c>
      <c r="I10917" t="s">
        <v>28690</v>
      </c>
      <c r="J10917" t="s">
        <v>28826</v>
      </c>
      <c r="K10917" t="s">
        <v>37209</v>
      </c>
      <c r="M10917" t="s">
        <v>39686</v>
      </c>
      <c r="N10917" t="s">
        <v>41249</v>
      </c>
      <c r="O10917" t="s">
        <v>41250</v>
      </c>
      <c r="Q10917">
        <v>9</v>
      </c>
      <c r="R10917" t="s">
        <v>41264</v>
      </c>
      <c r="S10917" t="s">
        <v>41807</v>
      </c>
      <c r="T10917" t="s">
        <v>42883</v>
      </c>
      <c r="U10917" t="s">
        <v>48244</v>
      </c>
      <c r="W10917" t="s">
        <v>39686</v>
      </c>
      <c r="X10917" t="s">
        <v>41265</v>
      </c>
    </row>
    <row r="10918" spans="1:24">
      <c r="A10918">
        <f>HYPERLINK("https://www.philgeps.gov.ph/GEPSNONPILOT/Tender/SplashBidNoticeAbstractUI.aspx?menuIndex=3&amp;refID=7052740&amp;Result=3","7052740")</f>
        <v>0</v>
      </c>
      <c r="B10918" t="s">
        <v>2628</v>
      </c>
      <c r="C10918" t="s">
        <v>11685</v>
      </c>
      <c r="D10918" t="s">
        <v>16665</v>
      </c>
      <c r="E10918" t="s">
        <v>26169</v>
      </c>
      <c r="F10918" t="s">
        <v>28669</v>
      </c>
      <c r="G10918" t="s">
        <v>28675</v>
      </c>
      <c r="H10918" t="s">
        <v>28686</v>
      </c>
      <c r="I10918" t="s">
        <v>28689</v>
      </c>
      <c r="J10918" t="s">
        <v>28877</v>
      </c>
      <c r="K10918" t="s">
        <v>37206</v>
      </c>
      <c r="M10918" t="s">
        <v>40327</v>
      </c>
      <c r="N10918" t="s">
        <v>41249</v>
      </c>
      <c r="O10918" t="s">
        <v>41250</v>
      </c>
      <c r="P10918">
        <v>0</v>
      </c>
      <c r="Q10918">
        <v>0</v>
      </c>
      <c r="R10918" t="s">
        <v>41264</v>
      </c>
      <c r="S10918" t="s">
        <v>41775</v>
      </c>
      <c r="T10918" t="s">
        <v>42714</v>
      </c>
      <c r="U10918" t="s">
        <v>51978</v>
      </c>
      <c r="W10918" t="s">
        <v>40327</v>
      </c>
      <c r="X10918" t="s">
        <v>41265</v>
      </c>
    </row>
    <row r="10919" spans="1:24">
      <c r="A10919">
        <f>HYPERLINK("https://www.philgeps.gov.ph/GEPSNONPILOT/Tender/SplashBidNoticeAbstractUI.aspx?menuIndex=3&amp;refID=7053400&amp;Result=3","7053400")</f>
        <v>0</v>
      </c>
      <c r="B10919" t="s">
        <v>3029</v>
      </c>
      <c r="C10919" t="s">
        <v>13821</v>
      </c>
      <c r="D10919" t="s">
        <v>16670</v>
      </c>
      <c r="E10919" t="s">
        <v>26170</v>
      </c>
      <c r="F10919" t="s">
        <v>28669</v>
      </c>
      <c r="G10919" t="s">
        <v>28675</v>
      </c>
      <c r="H10919" t="s">
        <v>9998</v>
      </c>
      <c r="I10919" t="s">
        <v>28687</v>
      </c>
      <c r="J10919" t="s">
        <v>31461</v>
      </c>
      <c r="K10919" t="s">
        <v>37206</v>
      </c>
      <c r="M10919" t="s">
        <v>40801</v>
      </c>
      <c r="N10919" t="s">
        <v>41249</v>
      </c>
      <c r="O10919" t="s">
        <v>41250</v>
      </c>
      <c r="P10919">
        <v>0</v>
      </c>
      <c r="Q10919">
        <v>7</v>
      </c>
      <c r="R10919" t="s">
        <v>41264</v>
      </c>
      <c r="S10919" t="s">
        <v>41775</v>
      </c>
      <c r="T10919" t="s">
        <v>42707</v>
      </c>
      <c r="U10919" t="s">
        <v>51979</v>
      </c>
      <c r="W10919" t="s">
        <v>40801</v>
      </c>
      <c r="X10919" t="s">
        <v>41265</v>
      </c>
    </row>
    <row r="10920" spans="1:24">
      <c r="A10920">
        <f>HYPERLINK("https://www.philgeps.gov.ph/GEPSNONPILOT/Tender/SplashBidNoticeAbstractUI.aspx?menuIndex=3&amp;refID=7053556&amp;Result=3","7053556")</f>
        <v>0</v>
      </c>
      <c r="B10920" t="s">
        <v>1981</v>
      </c>
      <c r="C10920" t="s">
        <v>13822</v>
      </c>
      <c r="D10920" t="s">
        <v>16668</v>
      </c>
      <c r="E10920" t="s">
        <v>23245</v>
      </c>
      <c r="F10920" t="s">
        <v>28669</v>
      </c>
      <c r="G10920" t="s">
        <v>28675</v>
      </c>
      <c r="H10920" t="s">
        <v>28686</v>
      </c>
      <c r="I10920" t="s">
        <v>28689</v>
      </c>
      <c r="J10920" t="s">
        <v>35570</v>
      </c>
      <c r="K10920" t="s">
        <v>37205</v>
      </c>
      <c r="M10920" t="s">
        <v>39615</v>
      </c>
      <c r="N10920" t="s">
        <v>41249</v>
      </c>
      <c r="O10920" t="s">
        <v>41250</v>
      </c>
      <c r="P10920">
        <v>0</v>
      </c>
      <c r="Q10920">
        <v>1</v>
      </c>
      <c r="R10920" t="s">
        <v>41264</v>
      </c>
      <c r="S10920" t="s">
        <v>41775</v>
      </c>
      <c r="T10920" t="s">
        <v>42695</v>
      </c>
      <c r="U10920" t="s">
        <v>51980</v>
      </c>
      <c r="W10920" t="s">
        <v>39615</v>
      </c>
      <c r="X10920" t="s">
        <v>41265</v>
      </c>
    </row>
    <row r="10921" spans="1:24">
      <c r="A10921">
        <f>HYPERLINK("https://www.philgeps.gov.ph/GEPSNONPILOT/Tender/SplashBidNoticeAbstractUI.aspx?menuIndex=3&amp;refID=7053526&amp;Result=3","7053526")</f>
        <v>0</v>
      </c>
      <c r="B10921" t="s">
        <v>2046</v>
      </c>
      <c r="C10921" t="s">
        <v>13823</v>
      </c>
      <c r="D10921" t="s">
        <v>16643</v>
      </c>
      <c r="E10921" t="s">
        <v>26171</v>
      </c>
      <c r="F10921" t="s">
        <v>28669</v>
      </c>
      <c r="G10921" t="s">
        <v>28677</v>
      </c>
      <c r="H10921" t="s">
        <v>9998</v>
      </c>
      <c r="I10921" t="s">
        <v>28792</v>
      </c>
      <c r="J10921" t="s">
        <v>29653</v>
      </c>
      <c r="K10921" t="s">
        <v>37206</v>
      </c>
      <c r="M10921" t="s">
        <v>39686</v>
      </c>
      <c r="N10921" t="s">
        <v>41249</v>
      </c>
      <c r="O10921" t="s">
        <v>41250</v>
      </c>
      <c r="Q10921">
        <v>1</v>
      </c>
      <c r="R10921" t="s">
        <v>41264</v>
      </c>
      <c r="S10921" t="s">
        <v>41808</v>
      </c>
      <c r="T10921" t="s">
        <v>42883</v>
      </c>
      <c r="U10921" t="s">
        <v>48244</v>
      </c>
      <c r="W10921" t="s">
        <v>39686</v>
      </c>
      <c r="X10921" t="s">
        <v>41265</v>
      </c>
    </row>
    <row r="10922" spans="1:24">
      <c r="A10922">
        <f>HYPERLINK("https://www.philgeps.gov.ph/GEPSNONPILOT/Tender/SplashBidNoticeAbstractUI.aspx?menuIndex=3&amp;refID=7053176&amp;Result=3","7053176")</f>
        <v>0</v>
      </c>
      <c r="B10922" t="s">
        <v>3030</v>
      </c>
      <c r="C10922" t="s">
        <v>9668</v>
      </c>
      <c r="D10922" t="s">
        <v>16678</v>
      </c>
      <c r="E10922" t="s">
        <v>18246</v>
      </c>
      <c r="F10922" t="s">
        <v>28669</v>
      </c>
      <c r="G10922" t="s">
        <v>28675</v>
      </c>
      <c r="H10922" t="s">
        <v>9998</v>
      </c>
      <c r="I10922" t="s">
        <v>7352</v>
      </c>
      <c r="J10922" t="s">
        <v>35571</v>
      </c>
      <c r="K10922" t="s">
        <v>37205</v>
      </c>
      <c r="M10922" t="s">
        <v>40802</v>
      </c>
      <c r="N10922" t="s">
        <v>41249</v>
      </c>
      <c r="O10922" t="s">
        <v>41250</v>
      </c>
      <c r="P10922">
        <v>0</v>
      </c>
      <c r="Q10922">
        <v>0</v>
      </c>
      <c r="R10922" t="s">
        <v>41264</v>
      </c>
      <c r="S10922" t="s">
        <v>41775</v>
      </c>
      <c r="T10922" t="s">
        <v>42811</v>
      </c>
      <c r="U10922" t="s">
        <v>51981</v>
      </c>
      <c r="W10922" t="s">
        <v>40802</v>
      </c>
      <c r="X10922" t="s">
        <v>41265</v>
      </c>
    </row>
    <row r="10923" spans="1:24">
      <c r="A10923">
        <f>HYPERLINK("https://www.philgeps.gov.ph/GEPSNONPILOT/Tender/SplashBidNoticeAbstractUI.aspx?menuIndex=3&amp;refID=7053313&amp;Result=3","7053313")</f>
        <v>0</v>
      </c>
      <c r="B10923" t="s">
        <v>3031</v>
      </c>
      <c r="C10923" t="s">
        <v>13824</v>
      </c>
      <c r="D10923" t="s">
        <v>16630</v>
      </c>
      <c r="E10923" t="s">
        <v>16820</v>
      </c>
      <c r="F10923" t="s">
        <v>28669</v>
      </c>
      <c r="G10923" t="s">
        <v>28675</v>
      </c>
      <c r="H10923" t="s">
        <v>9998</v>
      </c>
      <c r="I10923" t="s">
        <v>7352</v>
      </c>
      <c r="J10923" t="s">
        <v>35572</v>
      </c>
      <c r="K10923" t="s">
        <v>37210</v>
      </c>
      <c r="L10923" t="s">
        <v>3031</v>
      </c>
      <c r="M10923" t="s">
        <v>40803</v>
      </c>
      <c r="N10923" t="s">
        <v>41249</v>
      </c>
      <c r="O10923" t="s">
        <v>41250</v>
      </c>
      <c r="P10923">
        <v>0</v>
      </c>
      <c r="Q10923">
        <v>2</v>
      </c>
      <c r="R10923" t="s">
        <v>41264</v>
      </c>
      <c r="S10923" t="s">
        <v>41775</v>
      </c>
      <c r="T10923" t="s">
        <v>42999</v>
      </c>
      <c r="U10923" t="s">
        <v>51982</v>
      </c>
      <c r="V10923" t="s">
        <v>55515</v>
      </c>
      <c r="W10923" t="s">
        <v>40803</v>
      </c>
      <c r="X10923" t="s">
        <v>41265</v>
      </c>
    </row>
    <row r="10924" spans="1:24">
      <c r="A10924">
        <f>HYPERLINK("https://www.philgeps.gov.ph/GEPSNONPILOT/Tender/SplashBidNoticeAbstractUI.aspx?menuIndex=3&amp;refID=7053519&amp;Result=3","7053519")</f>
        <v>0</v>
      </c>
      <c r="B10924" t="s">
        <v>3032</v>
      </c>
      <c r="C10924" t="s">
        <v>13825</v>
      </c>
      <c r="D10924" t="s">
        <v>16671</v>
      </c>
      <c r="E10924" t="s">
        <v>26172</v>
      </c>
      <c r="F10924" t="s">
        <v>28669</v>
      </c>
      <c r="G10924" t="s">
        <v>28675</v>
      </c>
      <c r="H10924" t="s">
        <v>28686</v>
      </c>
      <c r="I10924" t="s">
        <v>28689</v>
      </c>
      <c r="J10924" t="s">
        <v>35573</v>
      </c>
      <c r="K10924" t="s">
        <v>37215</v>
      </c>
      <c r="M10924" t="s">
        <v>40804</v>
      </c>
      <c r="N10924" t="s">
        <v>41249</v>
      </c>
      <c r="O10924" t="s">
        <v>41250</v>
      </c>
      <c r="P10924">
        <v>0</v>
      </c>
      <c r="Q10924">
        <v>0</v>
      </c>
      <c r="R10924" t="s">
        <v>41264</v>
      </c>
      <c r="S10924" t="s">
        <v>41775</v>
      </c>
      <c r="T10924" t="s">
        <v>42687</v>
      </c>
      <c r="U10924" t="s">
        <v>51983</v>
      </c>
      <c r="V10924" t="s">
        <v>55516</v>
      </c>
      <c r="W10924" t="s">
        <v>40804</v>
      </c>
      <c r="X10924" t="s">
        <v>41265</v>
      </c>
    </row>
    <row r="10925" spans="1:24">
      <c r="A10925">
        <f>HYPERLINK("https://www.philgeps.gov.ph/GEPSNONPILOT/Tender/SplashBidNoticeAbstractUI.aspx?menuIndex=3&amp;refID=7053300&amp;Result=3","7053300")</f>
        <v>0</v>
      </c>
      <c r="B10925" t="s">
        <v>628</v>
      </c>
      <c r="C10925" t="s">
        <v>13826</v>
      </c>
      <c r="D10925" t="s">
        <v>16621</v>
      </c>
      <c r="E10925" t="s">
        <v>26173</v>
      </c>
      <c r="F10925" t="s">
        <v>28669</v>
      </c>
      <c r="G10925" t="s">
        <v>28675</v>
      </c>
      <c r="H10925" t="s">
        <v>9998</v>
      </c>
      <c r="I10925" t="s">
        <v>28743</v>
      </c>
      <c r="J10925" t="s">
        <v>35574</v>
      </c>
      <c r="K10925" t="s">
        <v>37205</v>
      </c>
      <c r="M10925" t="s">
        <v>38128</v>
      </c>
      <c r="N10925" t="s">
        <v>41249</v>
      </c>
      <c r="O10925" t="s">
        <v>41250</v>
      </c>
      <c r="P10925">
        <v>0</v>
      </c>
      <c r="Q10925">
        <v>1</v>
      </c>
      <c r="R10925" t="s">
        <v>41264</v>
      </c>
      <c r="S10925" t="s">
        <v>41775</v>
      </c>
      <c r="T10925" t="s">
        <v>42726</v>
      </c>
      <c r="U10925" t="s">
        <v>51984</v>
      </c>
      <c r="V10925" t="s">
        <v>54406</v>
      </c>
      <c r="W10925" t="s">
        <v>38128</v>
      </c>
      <c r="X10925" t="s">
        <v>41265</v>
      </c>
    </row>
    <row r="10926" spans="1:24">
      <c r="A10926">
        <f>HYPERLINK("https://www.philgeps.gov.ph/GEPSNONPILOT/Tender/SplashBidNoticeAbstractUI.aspx?menuIndex=3&amp;refID=7053499&amp;Result=3","7053499")</f>
        <v>0</v>
      </c>
      <c r="B10926" t="s">
        <v>2046</v>
      </c>
      <c r="C10926" t="s">
        <v>13827</v>
      </c>
      <c r="D10926" t="s">
        <v>16643</v>
      </c>
      <c r="E10926" t="s">
        <v>26174</v>
      </c>
      <c r="F10926" t="s">
        <v>28669</v>
      </c>
      <c r="G10926" t="s">
        <v>28677</v>
      </c>
      <c r="H10926" t="s">
        <v>9998</v>
      </c>
      <c r="I10926" t="s">
        <v>28697</v>
      </c>
      <c r="J10926" t="s">
        <v>28914</v>
      </c>
      <c r="K10926" t="s">
        <v>37221</v>
      </c>
      <c r="M10926" t="s">
        <v>39686</v>
      </c>
      <c r="N10926" t="s">
        <v>41249</v>
      </c>
      <c r="O10926" t="s">
        <v>41250</v>
      </c>
      <c r="Q10926">
        <v>2</v>
      </c>
      <c r="R10926" t="s">
        <v>41264</v>
      </c>
      <c r="S10926" t="s">
        <v>41809</v>
      </c>
      <c r="T10926" t="s">
        <v>42883</v>
      </c>
      <c r="U10926" t="s">
        <v>48244</v>
      </c>
      <c r="W10926" t="s">
        <v>39686</v>
      </c>
      <c r="X10926" t="s">
        <v>41265</v>
      </c>
    </row>
    <row r="10927" spans="1:24">
      <c r="A10927">
        <f>HYPERLINK("https://www.philgeps.gov.ph/GEPSNONPILOT/Tender/SplashBidNoticeAbstractUI.aspx?menuIndex=3&amp;refID=7053288&amp;Result=3","7053288")</f>
        <v>0</v>
      </c>
      <c r="B10927" t="s">
        <v>3024</v>
      </c>
      <c r="C10927" t="s">
        <v>13828</v>
      </c>
      <c r="D10927" t="s">
        <v>16673</v>
      </c>
      <c r="E10927" t="s">
        <v>26175</v>
      </c>
      <c r="F10927" t="s">
        <v>28670</v>
      </c>
      <c r="G10927" t="s">
        <v>28675</v>
      </c>
      <c r="H10927" t="s">
        <v>9998</v>
      </c>
      <c r="I10927" t="s">
        <v>28688</v>
      </c>
      <c r="J10927" t="s">
        <v>28912</v>
      </c>
      <c r="K10927" t="s">
        <v>37208</v>
      </c>
      <c r="M10927" t="s">
        <v>40795</v>
      </c>
      <c r="N10927" t="s">
        <v>41249</v>
      </c>
      <c r="O10927" t="s">
        <v>41250</v>
      </c>
      <c r="P10927">
        <v>0</v>
      </c>
      <c r="Q10927">
        <v>6</v>
      </c>
      <c r="R10927" t="s">
        <v>41264</v>
      </c>
      <c r="S10927" t="s">
        <v>41775</v>
      </c>
      <c r="T10927" t="s">
        <v>42707</v>
      </c>
      <c r="U10927" t="s">
        <v>51985</v>
      </c>
      <c r="W10927" t="s">
        <v>40795</v>
      </c>
      <c r="X10927" t="s">
        <v>41265</v>
      </c>
    </row>
    <row r="10928" spans="1:24">
      <c r="A10928">
        <f>HYPERLINK("https://www.philgeps.gov.ph/GEPSNONPILOT/Tender/SplashBidNoticeAbstractUI.aspx?menuIndex=3&amp;refID=7053497&amp;Result=3","7053497")</f>
        <v>0</v>
      </c>
      <c r="B10928" t="s">
        <v>3014</v>
      </c>
      <c r="C10928" t="s">
        <v>13829</v>
      </c>
      <c r="D10928" t="s">
        <v>16624</v>
      </c>
      <c r="E10928" t="s">
        <v>26176</v>
      </c>
      <c r="F10928" t="s">
        <v>28669</v>
      </c>
      <c r="G10928" t="s">
        <v>28675</v>
      </c>
      <c r="H10928" t="s">
        <v>9998</v>
      </c>
      <c r="I10928" t="s">
        <v>28722</v>
      </c>
      <c r="J10928" t="s">
        <v>28924</v>
      </c>
      <c r="K10928" t="s">
        <v>37206</v>
      </c>
      <c r="M10928" t="s">
        <v>40784</v>
      </c>
      <c r="N10928" t="s">
        <v>41249</v>
      </c>
      <c r="O10928" t="s">
        <v>41250</v>
      </c>
      <c r="P10928">
        <v>0</v>
      </c>
      <c r="Q10928">
        <v>5</v>
      </c>
      <c r="R10928" t="s">
        <v>41264</v>
      </c>
      <c r="S10928" t="s">
        <v>41775</v>
      </c>
      <c r="T10928" t="s">
        <v>42687</v>
      </c>
      <c r="U10928" t="s">
        <v>51986</v>
      </c>
      <c r="W10928" t="s">
        <v>40784</v>
      </c>
      <c r="X10928" t="s">
        <v>41265</v>
      </c>
    </row>
    <row r="10929" spans="1:24">
      <c r="A10929">
        <f>HYPERLINK("https://www.philgeps.gov.ph/GEPSNONPILOT/Tender/SplashBidNoticeAbstractUI.aspx?menuIndex=3&amp;refID=7053484&amp;Result=3","7053484")</f>
        <v>0</v>
      </c>
      <c r="B10929" t="s">
        <v>2916</v>
      </c>
      <c r="C10929" t="s">
        <v>13830</v>
      </c>
      <c r="D10929" t="s">
        <v>16639</v>
      </c>
      <c r="E10929" t="s">
        <v>26177</v>
      </c>
      <c r="F10929" t="s">
        <v>28669</v>
      </c>
      <c r="G10929" t="s">
        <v>28675</v>
      </c>
      <c r="H10929" t="s">
        <v>28686</v>
      </c>
      <c r="I10929" t="s">
        <v>28689</v>
      </c>
      <c r="J10929" t="s">
        <v>29968</v>
      </c>
      <c r="K10929" t="s">
        <v>37212</v>
      </c>
      <c r="M10929" t="s">
        <v>40667</v>
      </c>
      <c r="N10929" t="s">
        <v>41249</v>
      </c>
      <c r="O10929" t="s">
        <v>41250</v>
      </c>
      <c r="P10929">
        <v>0</v>
      </c>
      <c r="Q10929">
        <v>7</v>
      </c>
      <c r="R10929" t="s">
        <v>41264</v>
      </c>
      <c r="S10929" t="s">
        <v>41775</v>
      </c>
      <c r="T10929" t="s">
        <v>42659</v>
      </c>
      <c r="U10929" t="s">
        <v>51987</v>
      </c>
      <c r="W10929" t="s">
        <v>40667</v>
      </c>
      <c r="X10929" t="s">
        <v>41265</v>
      </c>
    </row>
    <row r="10930" spans="1:24">
      <c r="A10930">
        <f>HYPERLINK("https://www.philgeps.gov.ph/GEPSNONPILOT/Tender/SplashBidNoticeAbstractUI.aspx?menuIndex=3&amp;refID=7053471&amp;Result=3","7053471")</f>
        <v>0</v>
      </c>
      <c r="B10930" t="s">
        <v>3029</v>
      </c>
      <c r="C10930" t="s">
        <v>13831</v>
      </c>
      <c r="D10930" t="s">
        <v>16670</v>
      </c>
      <c r="E10930" t="s">
        <v>26178</v>
      </c>
      <c r="F10930" t="s">
        <v>28669</v>
      </c>
      <c r="G10930" t="s">
        <v>28675</v>
      </c>
      <c r="H10930" t="s">
        <v>9998</v>
      </c>
      <c r="I10930" t="s">
        <v>28687</v>
      </c>
      <c r="J10930" t="s">
        <v>29112</v>
      </c>
      <c r="K10930" t="s">
        <v>37206</v>
      </c>
      <c r="M10930" t="s">
        <v>40801</v>
      </c>
      <c r="N10930" t="s">
        <v>41249</v>
      </c>
      <c r="O10930" t="s">
        <v>41250</v>
      </c>
      <c r="P10930">
        <v>0</v>
      </c>
      <c r="Q10930">
        <v>5</v>
      </c>
      <c r="R10930" t="s">
        <v>41264</v>
      </c>
      <c r="S10930" t="s">
        <v>41775</v>
      </c>
      <c r="T10930" t="s">
        <v>42707</v>
      </c>
      <c r="U10930" t="s">
        <v>51988</v>
      </c>
      <c r="W10930" t="s">
        <v>40801</v>
      </c>
      <c r="X10930" t="s">
        <v>41265</v>
      </c>
    </row>
    <row r="10931" spans="1:24">
      <c r="A10931">
        <f>HYPERLINK("https://www.philgeps.gov.ph/GEPSNONPILOT/Tender/SplashBidNoticeAbstractUI.aspx?menuIndex=3&amp;refID=7053601&amp;Result=3","7053601")</f>
        <v>0</v>
      </c>
      <c r="B10931" t="s">
        <v>1342</v>
      </c>
      <c r="C10931" t="s">
        <v>13832</v>
      </c>
      <c r="D10931" t="s">
        <v>16619</v>
      </c>
      <c r="E10931" t="s">
        <v>26179</v>
      </c>
      <c r="F10931" t="s">
        <v>28669</v>
      </c>
      <c r="G10931" t="s">
        <v>28675</v>
      </c>
      <c r="H10931" t="s">
        <v>9998</v>
      </c>
      <c r="I10931" t="s">
        <v>28728</v>
      </c>
      <c r="J10931" t="s">
        <v>28905</v>
      </c>
      <c r="K10931" t="s">
        <v>37210</v>
      </c>
      <c r="M10931" t="s">
        <v>38897</v>
      </c>
      <c r="N10931" t="s">
        <v>41249</v>
      </c>
      <c r="O10931" t="s">
        <v>41250</v>
      </c>
      <c r="P10931">
        <v>0</v>
      </c>
      <c r="Q10931">
        <v>0</v>
      </c>
      <c r="R10931" t="s">
        <v>41264</v>
      </c>
      <c r="S10931" t="s">
        <v>41775</v>
      </c>
      <c r="T10931" t="s">
        <v>42707</v>
      </c>
      <c r="U10931" t="s">
        <v>51989</v>
      </c>
      <c r="W10931" t="s">
        <v>38897</v>
      </c>
      <c r="X10931" t="s">
        <v>41265</v>
      </c>
    </row>
    <row r="10932" spans="1:24">
      <c r="A10932">
        <f>HYPERLINK("https://www.philgeps.gov.ph/GEPSNONPILOT/Tender/SplashBidNoticeAbstractUI.aspx?menuIndex=3&amp;refID=7053528&amp;Result=3","7053528")</f>
        <v>0</v>
      </c>
      <c r="B10932" t="s">
        <v>3033</v>
      </c>
      <c r="C10932" t="s">
        <v>13833</v>
      </c>
      <c r="D10932" t="s">
        <v>16608</v>
      </c>
      <c r="E10932" t="s">
        <v>26180</v>
      </c>
      <c r="F10932" t="s">
        <v>28669</v>
      </c>
      <c r="G10932" t="s">
        <v>28675</v>
      </c>
      <c r="H10932" t="s">
        <v>9998</v>
      </c>
      <c r="I10932" t="s">
        <v>28732</v>
      </c>
      <c r="J10932" t="s">
        <v>35575</v>
      </c>
      <c r="K10932" t="s">
        <v>37220</v>
      </c>
      <c r="M10932" t="s">
        <v>40805</v>
      </c>
      <c r="N10932" t="s">
        <v>41249</v>
      </c>
      <c r="O10932" t="s">
        <v>41250</v>
      </c>
      <c r="P10932">
        <v>0</v>
      </c>
      <c r="Q10932">
        <v>9</v>
      </c>
      <c r="R10932" t="s">
        <v>41264</v>
      </c>
      <c r="S10932" t="s">
        <v>41775</v>
      </c>
      <c r="T10932" t="s">
        <v>43045</v>
      </c>
      <c r="U10932" t="s">
        <v>51990</v>
      </c>
      <c r="W10932" t="s">
        <v>40805</v>
      </c>
      <c r="X10932" t="s">
        <v>41265</v>
      </c>
    </row>
    <row r="10933" spans="1:24">
      <c r="A10933">
        <f>HYPERLINK("https://www.philgeps.gov.ph/GEPSNONPILOT/Tender/SplashBidNoticeAbstractUI.aspx?menuIndex=3&amp;refID=7053708&amp;Result=3","7053708")</f>
        <v>0</v>
      </c>
      <c r="B10933" t="s">
        <v>3034</v>
      </c>
      <c r="C10933" t="s">
        <v>13834</v>
      </c>
      <c r="D10933" t="s">
        <v>16626</v>
      </c>
      <c r="E10933" t="s">
        <v>17028</v>
      </c>
      <c r="F10933" t="s">
        <v>28669</v>
      </c>
      <c r="G10933" t="s">
        <v>28675</v>
      </c>
      <c r="H10933" t="s">
        <v>9998</v>
      </c>
      <c r="I10933" t="s">
        <v>6606</v>
      </c>
      <c r="J10933" t="s">
        <v>29469</v>
      </c>
      <c r="K10933" t="s">
        <v>37204</v>
      </c>
      <c r="L10933" t="s">
        <v>3034</v>
      </c>
      <c r="M10933" t="s">
        <v>40806</v>
      </c>
      <c r="N10933" t="s">
        <v>41249</v>
      </c>
      <c r="O10933" t="s">
        <v>41250</v>
      </c>
      <c r="P10933">
        <v>0</v>
      </c>
      <c r="Q10933">
        <v>0</v>
      </c>
      <c r="R10933" t="s">
        <v>41264</v>
      </c>
      <c r="S10933" t="s">
        <v>41775</v>
      </c>
      <c r="T10933" t="s">
        <v>42664</v>
      </c>
      <c r="U10933" t="s">
        <v>48938</v>
      </c>
      <c r="V10933" t="s">
        <v>55517</v>
      </c>
      <c r="W10933" t="s">
        <v>40806</v>
      </c>
      <c r="X10933" t="s">
        <v>41265</v>
      </c>
    </row>
    <row r="10934" spans="1:24">
      <c r="A10934">
        <f>HYPERLINK("https://www.philgeps.gov.ph/GEPSNONPILOT/Tender/SplashBidNoticeAbstractUI.aspx?menuIndex=3&amp;refID=7053521&amp;Result=3","7053521")</f>
        <v>0</v>
      </c>
      <c r="B10934" t="s">
        <v>3035</v>
      </c>
      <c r="C10934" t="s">
        <v>13835</v>
      </c>
      <c r="D10934" t="s">
        <v>16677</v>
      </c>
      <c r="E10934" t="s">
        <v>26181</v>
      </c>
      <c r="F10934" t="s">
        <v>28669</v>
      </c>
      <c r="G10934" t="s">
        <v>28675</v>
      </c>
      <c r="H10934" t="s">
        <v>9998</v>
      </c>
      <c r="I10934" t="s">
        <v>28701</v>
      </c>
      <c r="J10934" t="s">
        <v>35576</v>
      </c>
      <c r="K10934" t="s">
        <v>37227</v>
      </c>
      <c r="M10934" t="s">
        <v>40807</v>
      </c>
      <c r="N10934" t="s">
        <v>41249</v>
      </c>
      <c r="O10934" t="s">
        <v>41250</v>
      </c>
      <c r="Q10934">
        <v>7</v>
      </c>
      <c r="R10934" t="s">
        <v>41264</v>
      </c>
      <c r="S10934" t="s">
        <v>41810</v>
      </c>
      <c r="T10934" t="s">
        <v>42770</v>
      </c>
      <c r="U10934" t="s">
        <v>51991</v>
      </c>
      <c r="W10934" t="s">
        <v>40807</v>
      </c>
      <c r="X10934" t="s">
        <v>41265</v>
      </c>
    </row>
    <row r="10935" spans="1:24">
      <c r="A10935">
        <f>HYPERLINK("https://www.philgeps.gov.ph/GEPSNONPILOT/Tender/SplashBidNoticeAbstractUI.aspx?menuIndex=3&amp;refID=7053730&amp;Result=3","7053730")</f>
        <v>0</v>
      </c>
      <c r="B10935" t="s">
        <v>3034</v>
      </c>
      <c r="C10935" t="s">
        <v>13836</v>
      </c>
      <c r="D10935" t="s">
        <v>16626</v>
      </c>
      <c r="E10935" t="s">
        <v>21135</v>
      </c>
      <c r="F10935" t="s">
        <v>28669</v>
      </c>
      <c r="G10935" t="s">
        <v>28675</v>
      </c>
      <c r="H10935" t="s">
        <v>9998</v>
      </c>
      <c r="I10935" t="s">
        <v>6606</v>
      </c>
      <c r="J10935" t="s">
        <v>29469</v>
      </c>
      <c r="K10935" t="s">
        <v>37204</v>
      </c>
      <c r="L10935" t="s">
        <v>3034</v>
      </c>
      <c r="M10935" t="s">
        <v>40806</v>
      </c>
      <c r="N10935" t="s">
        <v>41249</v>
      </c>
      <c r="O10935" t="s">
        <v>41250</v>
      </c>
      <c r="P10935">
        <v>0</v>
      </c>
      <c r="Q10935">
        <v>0</v>
      </c>
      <c r="R10935" t="s">
        <v>41264</v>
      </c>
      <c r="S10935" t="s">
        <v>41775</v>
      </c>
      <c r="T10935" t="s">
        <v>42698</v>
      </c>
      <c r="U10935" t="s">
        <v>48938</v>
      </c>
      <c r="V10935" t="s">
        <v>55517</v>
      </c>
      <c r="W10935" t="s">
        <v>40806</v>
      </c>
      <c r="X10935" t="s">
        <v>41265</v>
      </c>
    </row>
    <row r="10936" spans="1:24">
      <c r="A10936">
        <f>HYPERLINK("https://www.philgeps.gov.ph/GEPSNONPILOT/Tender/SplashBidNoticeAbstractUI.aspx?menuIndex=3&amp;refID=7053478&amp;Result=3","7053478")</f>
        <v>0</v>
      </c>
      <c r="B10936" t="s">
        <v>310</v>
      </c>
      <c r="C10936" t="s">
        <v>13837</v>
      </c>
      <c r="D10936" t="s">
        <v>16635</v>
      </c>
      <c r="E10936" t="s">
        <v>26182</v>
      </c>
      <c r="F10936" t="s">
        <v>28669</v>
      </c>
      <c r="G10936" t="s">
        <v>28675</v>
      </c>
      <c r="H10936" t="s">
        <v>28686</v>
      </c>
      <c r="I10936" t="s">
        <v>28689</v>
      </c>
      <c r="J10936" t="s">
        <v>35577</v>
      </c>
      <c r="K10936" t="s">
        <v>37215</v>
      </c>
      <c r="M10936" t="s">
        <v>40808</v>
      </c>
      <c r="N10936" t="s">
        <v>41249</v>
      </c>
      <c r="O10936" t="s">
        <v>41250</v>
      </c>
      <c r="P10936">
        <v>0</v>
      </c>
      <c r="Q10936">
        <v>4</v>
      </c>
      <c r="R10936" t="s">
        <v>41264</v>
      </c>
      <c r="S10936" t="s">
        <v>41775</v>
      </c>
      <c r="T10936" t="s">
        <v>42726</v>
      </c>
      <c r="U10936" t="s">
        <v>51992</v>
      </c>
      <c r="W10936" t="s">
        <v>40808</v>
      </c>
      <c r="X10936" t="s">
        <v>41265</v>
      </c>
    </row>
    <row r="10937" spans="1:24">
      <c r="A10937">
        <f>HYPERLINK("https://www.philgeps.gov.ph/GEPSNONPILOT/Tender/SplashBidNoticeAbstractUI.aspx?menuIndex=3&amp;refID=7053720&amp;Result=3","7053720")</f>
        <v>0</v>
      </c>
      <c r="B10937" t="s">
        <v>3036</v>
      </c>
      <c r="C10937" t="s">
        <v>13838</v>
      </c>
      <c r="D10937" t="s">
        <v>16658</v>
      </c>
      <c r="E10937" t="s">
        <v>16861</v>
      </c>
      <c r="F10937" t="s">
        <v>28669</v>
      </c>
      <c r="G10937" t="s">
        <v>28675</v>
      </c>
      <c r="H10937" t="s">
        <v>9998</v>
      </c>
      <c r="I10937" t="s">
        <v>7352</v>
      </c>
      <c r="J10937" t="s">
        <v>35578</v>
      </c>
      <c r="K10937" t="s">
        <v>37205</v>
      </c>
      <c r="M10937" t="s">
        <v>40809</v>
      </c>
      <c r="N10937" t="s">
        <v>41249</v>
      </c>
      <c r="O10937" t="s">
        <v>41250</v>
      </c>
      <c r="P10937">
        <v>0</v>
      </c>
      <c r="Q10937">
        <v>1</v>
      </c>
      <c r="R10937" t="s">
        <v>41264</v>
      </c>
      <c r="S10937" t="s">
        <v>41775</v>
      </c>
      <c r="T10937" t="s">
        <v>42670</v>
      </c>
      <c r="U10937" t="s">
        <v>51993</v>
      </c>
      <c r="W10937" t="s">
        <v>40809</v>
      </c>
      <c r="X10937" t="s">
        <v>41265</v>
      </c>
    </row>
    <row r="10938" spans="1:24">
      <c r="A10938">
        <f>HYPERLINK("https://www.philgeps.gov.ph/GEPSNONPILOT/Tender/SplashBidNoticeAbstractUI.aspx?menuIndex=3&amp;refID=7053467&amp;Result=3","7053467")</f>
        <v>0</v>
      </c>
      <c r="B10938" t="s">
        <v>2046</v>
      </c>
      <c r="C10938" t="s">
        <v>13839</v>
      </c>
      <c r="D10938" t="s">
        <v>16643</v>
      </c>
      <c r="E10938" t="s">
        <v>26183</v>
      </c>
      <c r="F10938" t="s">
        <v>28669</v>
      </c>
      <c r="G10938" t="s">
        <v>28677</v>
      </c>
      <c r="H10938" t="s">
        <v>9998</v>
      </c>
      <c r="I10938" t="s">
        <v>28783</v>
      </c>
      <c r="J10938" t="s">
        <v>28912</v>
      </c>
      <c r="K10938" t="s">
        <v>37206</v>
      </c>
      <c r="M10938" t="s">
        <v>39686</v>
      </c>
      <c r="N10938" t="s">
        <v>41249</v>
      </c>
      <c r="O10938" t="s">
        <v>41250</v>
      </c>
      <c r="Q10938">
        <v>1</v>
      </c>
      <c r="R10938" t="s">
        <v>41264</v>
      </c>
      <c r="S10938" t="s">
        <v>41811</v>
      </c>
      <c r="T10938" t="s">
        <v>42883</v>
      </c>
      <c r="U10938" t="s">
        <v>48244</v>
      </c>
      <c r="W10938" t="s">
        <v>39686</v>
      </c>
      <c r="X10938" t="s">
        <v>41265</v>
      </c>
    </row>
    <row r="10939" spans="1:24">
      <c r="A10939">
        <f>HYPERLINK("https://www.philgeps.gov.ph/GEPSNONPILOT/Tender/SplashBidNoticeAbstractUI.aspx?menuIndex=3&amp;refID=7053516&amp;Result=3","7053516")</f>
        <v>0</v>
      </c>
      <c r="B10939" t="s">
        <v>3031</v>
      </c>
      <c r="C10939" t="s">
        <v>13840</v>
      </c>
      <c r="D10939" t="s">
        <v>16630</v>
      </c>
      <c r="E10939" t="s">
        <v>17149</v>
      </c>
      <c r="F10939" t="s">
        <v>28669</v>
      </c>
      <c r="G10939" t="s">
        <v>28675</v>
      </c>
      <c r="H10939" t="s">
        <v>9998</v>
      </c>
      <c r="I10939" t="s">
        <v>7352</v>
      </c>
      <c r="J10939" t="s">
        <v>35579</v>
      </c>
      <c r="K10939" t="s">
        <v>37210</v>
      </c>
      <c r="L10939" t="s">
        <v>3031</v>
      </c>
      <c r="M10939" t="s">
        <v>40803</v>
      </c>
      <c r="N10939" t="s">
        <v>41249</v>
      </c>
      <c r="O10939" t="s">
        <v>41250</v>
      </c>
      <c r="P10939">
        <v>0</v>
      </c>
      <c r="Q10939">
        <v>2</v>
      </c>
      <c r="R10939" t="s">
        <v>41264</v>
      </c>
      <c r="S10939" t="s">
        <v>41775</v>
      </c>
      <c r="T10939" t="s">
        <v>42999</v>
      </c>
      <c r="U10939" t="s">
        <v>51994</v>
      </c>
      <c r="V10939" t="s">
        <v>55515</v>
      </c>
      <c r="W10939" t="s">
        <v>40803</v>
      </c>
      <c r="X10939" t="s">
        <v>41265</v>
      </c>
    </row>
    <row r="10940" spans="1:24">
      <c r="A10940">
        <f>HYPERLINK("https://www.philgeps.gov.ph/GEPSNONPILOT/Tender/SplashBidNoticeAbstractUI.aspx?menuIndex=3&amp;refID=7053717&amp;Result=3","7053717")</f>
        <v>0</v>
      </c>
      <c r="B10940" t="s">
        <v>1944</v>
      </c>
      <c r="C10940" t="s">
        <v>13841</v>
      </c>
      <c r="D10940" t="s">
        <v>16668</v>
      </c>
      <c r="E10940" t="s">
        <v>6569</v>
      </c>
      <c r="F10940" t="s">
        <v>28669</v>
      </c>
      <c r="G10940" t="s">
        <v>28675</v>
      </c>
      <c r="H10940" t="s">
        <v>28686</v>
      </c>
      <c r="I10940" t="s">
        <v>28689</v>
      </c>
      <c r="J10940" t="s">
        <v>28852</v>
      </c>
      <c r="K10940" t="s">
        <v>37205</v>
      </c>
      <c r="M10940" t="s">
        <v>39572</v>
      </c>
      <c r="N10940" t="s">
        <v>41249</v>
      </c>
      <c r="O10940" t="s">
        <v>41250</v>
      </c>
      <c r="P10940">
        <v>0</v>
      </c>
      <c r="Q10940">
        <v>0</v>
      </c>
      <c r="R10940" t="s">
        <v>41264</v>
      </c>
      <c r="S10940" t="s">
        <v>41775</v>
      </c>
      <c r="T10940" t="s">
        <v>42695</v>
      </c>
      <c r="U10940" t="s">
        <v>51995</v>
      </c>
      <c r="W10940" t="s">
        <v>39572</v>
      </c>
      <c r="X10940" t="s">
        <v>41265</v>
      </c>
    </row>
    <row r="10941" spans="1:24">
      <c r="A10941">
        <f>HYPERLINK("https://www.philgeps.gov.ph/GEPSNONPILOT/Tender/SplashBidNoticeAbstractUI.aspx?menuIndex=3&amp;refID=7053740&amp;Result=3","7053740")</f>
        <v>0</v>
      </c>
      <c r="B10941" t="s">
        <v>2098</v>
      </c>
      <c r="C10941" t="s">
        <v>13842</v>
      </c>
      <c r="D10941" t="s">
        <v>16618</v>
      </c>
      <c r="E10941" t="s">
        <v>26184</v>
      </c>
      <c r="F10941" t="s">
        <v>28669</v>
      </c>
      <c r="G10941" t="s">
        <v>28675</v>
      </c>
      <c r="H10941" t="s">
        <v>28686</v>
      </c>
      <c r="I10941" t="s">
        <v>28689</v>
      </c>
      <c r="J10941" t="s">
        <v>32601</v>
      </c>
      <c r="K10941" t="s">
        <v>37215</v>
      </c>
      <c r="L10941" t="s">
        <v>2098</v>
      </c>
      <c r="M10941" t="s">
        <v>39740</v>
      </c>
      <c r="N10941" t="s">
        <v>41249</v>
      </c>
      <c r="O10941" t="s">
        <v>41250</v>
      </c>
      <c r="P10941">
        <v>0</v>
      </c>
      <c r="Q10941">
        <v>1</v>
      </c>
      <c r="R10941" t="s">
        <v>41264</v>
      </c>
      <c r="S10941" t="s">
        <v>41775</v>
      </c>
      <c r="T10941" t="s">
        <v>42690</v>
      </c>
      <c r="U10941" t="s">
        <v>51996</v>
      </c>
      <c r="V10941" t="s">
        <v>55518</v>
      </c>
      <c r="W10941" t="s">
        <v>39740</v>
      </c>
      <c r="X10941" t="s">
        <v>41265</v>
      </c>
    </row>
    <row r="10942" spans="1:24">
      <c r="A10942">
        <f>HYPERLINK("https://www.philgeps.gov.ph/GEPSNONPILOT/Tender/SplashBidNoticeAbstractUI.aspx?menuIndex=3&amp;refID=7053681&amp;Result=3","7053681")</f>
        <v>0</v>
      </c>
      <c r="B10942" t="s">
        <v>3014</v>
      </c>
      <c r="C10942" t="s">
        <v>13843</v>
      </c>
      <c r="D10942" t="s">
        <v>16624</v>
      </c>
      <c r="E10942" t="s">
        <v>26185</v>
      </c>
      <c r="F10942" t="s">
        <v>28669</v>
      </c>
      <c r="G10942" t="s">
        <v>28675</v>
      </c>
      <c r="H10942" t="s">
        <v>28686</v>
      </c>
      <c r="I10942" t="s">
        <v>28689</v>
      </c>
      <c r="J10942" t="s">
        <v>35580</v>
      </c>
      <c r="K10942" t="s">
        <v>37215</v>
      </c>
      <c r="M10942" t="s">
        <v>40784</v>
      </c>
      <c r="N10942" t="s">
        <v>41249</v>
      </c>
      <c r="O10942" t="s">
        <v>41250</v>
      </c>
      <c r="Q10942">
        <v>2</v>
      </c>
      <c r="R10942" t="s">
        <v>41264</v>
      </c>
      <c r="S10942" t="s">
        <v>41812</v>
      </c>
      <c r="T10942" t="s">
        <v>42687</v>
      </c>
      <c r="U10942" t="s">
        <v>51997</v>
      </c>
      <c r="W10942" t="s">
        <v>40784</v>
      </c>
      <c r="X10942" t="s">
        <v>41265</v>
      </c>
    </row>
    <row r="10943" spans="1:24">
      <c r="A10943">
        <f>HYPERLINK("https://www.philgeps.gov.ph/GEPSNONPILOT/Tender/SplashBidNoticeAbstractUI.aspx?menuIndex=3&amp;refID=7053715&amp;Result=3","7053715")</f>
        <v>0</v>
      </c>
      <c r="B10943" t="s">
        <v>666</v>
      </c>
      <c r="C10943" t="s">
        <v>13844</v>
      </c>
      <c r="D10943" t="s">
        <v>16664</v>
      </c>
      <c r="E10943" t="s">
        <v>18990</v>
      </c>
      <c r="F10943" t="s">
        <v>28669</v>
      </c>
      <c r="G10943" t="s">
        <v>28675</v>
      </c>
      <c r="H10943" t="s">
        <v>28686</v>
      </c>
      <c r="I10943" t="s">
        <v>28689</v>
      </c>
      <c r="J10943" t="s">
        <v>35581</v>
      </c>
      <c r="K10943" t="s">
        <v>37217</v>
      </c>
      <c r="L10943" t="s">
        <v>666</v>
      </c>
      <c r="M10943" t="s">
        <v>38169</v>
      </c>
      <c r="N10943" t="s">
        <v>41249</v>
      </c>
      <c r="O10943" t="s">
        <v>41250</v>
      </c>
      <c r="Q10943">
        <v>0</v>
      </c>
      <c r="R10943" t="s">
        <v>41264</v>
      </c>
      <c r="S10943" t="s">
        <v>41813</v>
      </c>
      <c r="T10943" t="s">
        <v>42658</v>
      </c>
      <c r="U10943" t="s">
        <v>51998</v>
      </c>
      <c r="V10943" t="s">
        <v>49864</v>
      </c>
      <c r="W10943" t="s">
        <v>38169</v>
      </c>
      <c r="X10943" t="s">
        <v>41265</v>
      </c>
    </row>
    <row r="10944" spans="1:24">
      <c r="A10944">
        <f>HYPERLINK("https://www.philgeps.gov.ph/GEPSNONPILOT/Tender/SplashBidNoticeAbstractUI.aspx?menuIndex=3&amp;refID=7053693&amp;Result=3","7053693")</f>
        <v>0</v>
      </c>
      <c r="B10944" t="s">
        <v>3036</v>
      </c>
      <c r="C10944" t="s">
        <v>13845</v>
      </c>
      <c r="D10944" t="s">
        <v>16658</v>
      </c>
      <c r="E10944" t="s">
        <v>17140</v>
      </c>
      <c r="F10944" t="s">
        <v>28669</v>
      </c>
      <c r="G10944" t="s">
        <v>28675</v>
      </c>
      <c r="H10944" t="s">
        <v>9998</v>
      </c>
      <c r="I10944" t="s">
        <v>7352</v>
      </c>
      <c r="J10944" t="s">
        <v>30733</v>
      </c>
      <c r="K10944" t="s">
        <v>37205</v>
      </c>
      <c r="M10944" t="s">
        <v>40809</v>
      </c>
      <c r="N10944" t="s">
        <v>41249</v>
      </c>
      <c r="O10944" t="s">
        <v>41250</v>
      </c>
      <c r="P10944">
        <v>0</v>
      </c>
      <c r="Q10944">
        <v>1</v>
      </c>
      <c r="R10944" t="s">
        <v>41264</v>
      </c>
      <c r="S10944" t="s">
        <v>41775</v>
      </c>
      <c r="T10944" t="s">
        <v>42670</v>
      </c>
      <c r="U10944" t="s">
        <v>51999</v>
      </c>
      <c r="W10944" t="s">
        <v>40809</v>
      </c>
      <c r="X10944" t="s">
        <v>41265</v>
      </c>
    </row>
    <row r="10945" spans="1:24">
      <c r="A10945">
        <f>HYPERLINK("https://www.philgeps.gov.ph/GEPSNONPILOT/Tender/SplashBidNoticeAbstractUI.aspx?menuIndex=3&amp;refID=7053649&amp;Result=3","7053649")</f>
        <v>0</v>
      </c>
      <c r="B10945" t="s">
        <v>1342</v>
      </c>
      <c r="C10945" t="s">
        <v>13846</v>
      </c>
      <c r="D10945" t="s">
        <v>16619</v>
      </c>
      <c r="E10945" t="s">
        <v>26179</v>
      </c>
      <c r="F10945" t="s">
        <v>28669</v>
      </c>
      <c r="G10945" t="s">
        <v>28675</v>
      </c>
      <c r="H10945" t="s">
        <v>9998</v>
      </c>
      <c r="I10945" t="s">
        <v>28728</v>
      </c>
      <c r="J10945" t="s">
        <v>35582</v>
      </c>
      <c r="K10945" t="s">
        <v>37210</v>
      </c>
      <c r="M10945" t="s">
        <v>38897</v>
      </c>
      <c r="N10945" t="s">
        <v>41249</v>
      </c>
      <c r="O10945" t="s">
        <v>41250</v>
      </c>
      <c r="P10945">
        <v>0</v>
      </c>
      <c r="Q10945">
        <v>0</v>
      </c>
      <c r="R10945" t="s">
        <v>41264</v>
      </c>
      <c r="S10945" t="s">
        <v>41775</v>
      </c>
      <c r="T10945" t="s">
        <v>42671</v>
      </c>
      <c r="U10945" t="s">
        <v>52000</v>
      </c>
      <c r="W10945" t="s">
        <v>38897</v>
      </c>
      <c r="X10945" t="s">
        <v>41265</v>
      </c>
    </row>
    <row r="10946" spans="1:24">
      <c r="A10946">
        <f>HYPERLINK("https://www.philgeps.gov.ph/GEPSNONPILOT/Tender/SplashBidNoticeAbstractUI.aspx?menuIndex=3&amp;refID=7053721&amp;Result=3","7053721")</f>
        <v>0</v>
      </c>
      <c r="B10946" t="s">
        <v>1987</v>
      </c>
      <c r="C10946" t="s">
        <v>13847</v>
      </c>
      <c r="D10946" t="s">
        <v>16608</v>
      </c>
      <c r="E10946" t="s">
        <v>26186</v>
      </c>
      <c r="F10946" t="s">
        <v>28669</v>
      </c>
      <c r="G10946" t="s">
        <v>28675</v>
      </c>
      <c r="H10946" t="s">
        <v>28684</v>
      </c>
      <c r="I10946" t="s">
        <v>28728</v>
      </c>
      <c r="J10946" t="s">
        <v>35583</v>
      </c>
      <c r="K10946" t="s">
        <v>37279</v>
      </c>
      <c r="M10946" t="s">
        <v>39623</v>
      </c>
      <c r="N10946" t="s">
        <v>41249</v>
      </c>
      <c r="O10946" t="s">
        <v>41250</v>
      </c>
      <c r="P10946">
        <v>0</v>
      </c>
      <c r="Q10946">
        <v>2</v>
      </c>
      <c r="R10946" t="s">
        <v>41264</v>
      </c>
      <c r="S10946" t="s">
        <v>41775</v>
      </c>
      <c r="T10946" t="s">
        <v>42659</v>
      </c>
      <c r="U10946" t="s">
        <v>52001</v>
      </c>
      <c r="W10946" t="s">
        <v>39623</v>
      </c>
      <c r="X10946" t="s">
        <v>41265</v>
      </c>
    </row>
    <row r="10947" spans="1:24">
      <c r="A10947">
        <f>HYPERLINK("https://www.philgeps.gov.ph/GEPSNONPILOT/Tender/SplashBidNoticeAbstractUI.aspx?menuIndex=3&amp;refID=7053645&amp;Result=3","7053645")</f>
        <v>0</v>
      </c>
      <c r="B10947" t="s">
        <v>2046</v>
      </c>
      <c r="C10947" t="s">
        <v>13848</v>
      </c>
      <c r="D10947" t="s">
        <v>16643</v>
      </c>
      <c r="E10947" t="s">
        <v>26187</v>
      </c>
      <c r="F10947" t="s">
        <v>28669</v>
      </c>
      <c r="G10947" t="s">
        <v>28677</v>
      </c>
      <c r="H10947" t="s">
        <v>9998</v>
      </c>
      <c r="I10947" t="s">
        <v>28697</v>
      </c>
      <c r="J10947" t="s">
        <v>29366</v>
      </c>
      <c r="K10947" t="s">
        <v>37206</v>
      </c>
      <c r="M10947" t="s">
        <v>39686</v>
      </c>
      <c r="N10947" t="s">
        <v>41249</v>
      </c>
      <c r="O10947" t="s">
        <v>41250</v>
      </c>
      <c r="Q10947">
        <v>7</v>
      </c>
      <c r="R10947" t="s">
        <v>41264</v>
      </c>
      <c r="S10947" t="s">
        <v>41814</v>
      </c>
      <c r="T10947" t="s">
        <v>42883</v>
      </c>
      <c r="U10947" t="s">
        <v>48244</v>
      </c>
      <c r="W10947" t="s">
        <v>39686</v>
      </c>
      <c r="X10947" t="s">
        <v>41265</v>
      </c>
    </row>
    <row r="10948" spans="1:24">
      <c r="A10948">
        <f>HYPERLINK("https://www.philgeps.gov.ph/GEPSNONPILOT/Tender/SplashBidNoticeAbstractUI.aspx?menuIndex=3&amp;refID=7053640&amp;Result=3","7053640")</f>
        <v>0</v>
      </c>
      <c r="B10948" t="s">
        <v>370</v>
      </c>
      <c r="C10948" t="s">
        <v>13849</v>
      </c>
      <c r="D10948" t="s">
        <v>16630</v>
      </c>
      <c r="E10948" t="s">
        <v>18589</v>
      </c>
      <c r="F10948" t="s">
        <v>28669</v>
      </c>
      <c r="G10948" t="s">
        <v>28675</v>
      </c>
      <c r="H10948" t="s">
        <v>9998</v>
      </c>
      <c r="I10948" t="s">
        <v>5286</v>
      </c>
      <c r="J10948" t="s">
        <v>35584</v>
      </c>
      <c r="K10948" t="s">
        <v>37205</v>
      </c>
      <c r="M10948" t="s">
        <v>37852</v>
      </c>
      <c r="N10948" t="s">
        <v>41249</v>
      </c>
      <c r="O10948" t="s">
        <v>41250</v>
      </c>
      <c r="P10948">
        <v>0</v>
      </c>
      <c r="Q10948">
        <v>0</v>
      </c>
      <c r="R10948" t="s">
        <v>41264</v>
      </c>
      <c r="S10948" t="s">
        <v>41775</v>
      </c>
      <c r="T10948" t="s">
        <v>42767</v>
      </c>
      <c r="U10948" t="s">
        <v>52002</v>
      </c>
      <c r="W10948" t="s">
        <v>37852</v>
      </c>
      <c r="X10948" t="s">
        <v>41265</v>
      </c>
    </row>
    <row r="10949" spans="1:24">
      <c r="A10949">
        <f>HYPERLINK("https://www.philgeps.gov.ph/GEPSNONPILOT/Tender/SplashBidNoticeAbstractUI.aspx?menuIndex=3&amp;refID=7053638&amp;Result=3","7053638")</f>
        <v>0</v>
      </c>
      <c r="B10949" t="s">
        <v>3034</v>
      </c>
      <c r="C10949" t="s">
        <v>13850</v>
      </c>
      <c r="D10949" t="s">
        <v>16626</v>
      </c>
      <c r="E10949" t="s">
        <v>17029</v>
      </c>
      <c r="F10949" t="s">
        <v>28669</v>
      </c>
      <c r="G10949" t="s">
        <v>28675</v>
      </c>
      <c r="H10949" t="s">
        <v>9998</v>
      </c>
      <c r="I10949" t="s">
        <v>7352</v>
      </c>
      <c r="J10949" t="s">
        <v>29404</v>
      </c>
      <c r="K10949" t="s">
        <v>37204</v>
      </c>
      <c r="L10949" t="s">
        <v>3034</v>
      </c>
      <c r="M10949" t="s">
        <v>40806</v>
      </c>
      <c r="N10949" t="s">
        <v>41249</v>
      </c>
      <c r="O10949" t="s">
        <v>41250</v>
      </c>
      <c r="P10949">
        <v>0</v>
      </c>
      <c r="Q10949">
        <v>0</v>
      </c>
      <c r="R10949" t="s">
        <v>41264</v>
      </c>
      <c r="S10949" t="s">
        <v>41775</v>
      </c>
      <c r="T10949" t="s">
        <v>42664</v>
      </c>
      <c r="U10949" t="s">
        <v>48938</v>
      </c>
      <c r="V10949" t="s">
        <v>55519</v>
      </c>
      <c r="W10949" t="s">
        <v>40806</v>
      </c>
      <c r="X10949" t="s">
        <v>41265</v>
      </c>
    </row>
    <row r="10950" spans="1:24">
      <c r="A10950">
        <f>HYPERLINK("https://www.philgeps.gov.ph/GEPSNONPILOT/Tender/SplashBidNoticeAbstractUI.aspx?menuIndex=3&amp;refID=7053625&amp;Result=3","7053625")</f>
        <v>0</v>
      </c>
      <c r="B10950" t="s">
        <v>782</v>
      </c>
      <c r="C10950" t="s">
        <v>13851</v>
      </c>
      <c r="D10950" t="s">
        <v>16658</v>
      </c>
      <c r="E10950" t="s">
        <v>26188</v>
      </c>
      <c r="F10950" t="s">
        <v>28669</v>
      </c>
      <c r="G10950" t="s">
        <v>28675</v>
      </c>
      <c r="H10950" t="s">
        <v>28686</v>
      </c>
      <c r="I10950" t="s">
        <v>28689</v>
      </c>
      <c r="J10950" t="s">
        <v>35585</v>
      </c>
      <c r="K10950" t="s">
        <v>37215</v>
      </c>
      <c r="M10950" t="s">
        <v>38296</v>
      </c>
      <c r="N10950" t="s">
        <v>41249</v>
      </c>
      <c r="O10950" t="s">
        <v>41250</v>
      </c>
      <c r="P10950">
        <v>0</v>
      </c>
      <c r="Q10950">
        <v>2</v>
      </c>
      <c r="R10950" t="s">
        <v>41264</v>
      </c>
      <c r="S10950" t="s">
        <v>41775</v>
      </c>
      <c r="T10950" t="s">
        <v>42836</v>
      </c>
      <c r="U10950" t="s">
        <v>52003</v>
      </c>
      <c r="W10950" t="s">
        <v>38296</v>
      </c>
      <c r="X10950" t="s">
        <v>41265</v>
      </c>
    </row>
    <row r="10951" spans="1:24">
      <c r="A10951">
        <f>HYPERLINK("https://www.philgeps.gov.ph/GEPSNONPILOT/Tender/SplashBidNoticeAbstractUI.aspx?menuIndex=3&amp;refID=7053615&amp;Result=3","7053615")</f>
        <v>0</v>
      </c>
      <c r="B10951" t="s">
        <v>2033</v>
      </c>
      <c r="C10951" t="s">
        <v>13852</v>
      </c>
      <c r="D10951" t="s">
        <v>16625</v>
      </c>
      <c r="E10951" t="s">
        <v>26189</v>
      </c>
      <c r="F10951" t="s">
        <v>28669</v>
      </c>
      <c r="G10951" t="s">
        <v>28675</v>
      </c>
      <c r="H10951" t="s">
        <v>28686</v>
      </c>
      <c r="I10951" t="s">
        <v>28689</v>
      </c>
      <c r="J10951" t="s">
        <v>35586</v>
      </c>
      <c r="K10951" t="s">
        <v>37214</v>
      </c>
      <c r="L10951" t="s">
        <v>2033</v>
      </c>
      <c r="M10951" t="s">
        <v>40764</v>
      </c>
      <c r="N10951" t="s">
        <v>41249</v>
      </c>
      <c r="O10951" t="s">
        <v>41250</v>
      </c>
      <c r="P10951">
        <v>0</v>
      </c>
      <c r="Q10951">
        <v>2</v>
      </c>
      <c r="R10951" t="s">
        <v>41264</v>
      </c>
      <c r="S10951" t="s">
        <v>41775</v>
      </c>
      <c r="T10951" t="s">
        <v>42764</v>
      </c>
      <c r="U10951" t="s">
        <v>52004</v>
      </c>
      <c r="W10951" t="s">
        <v>40764</v>
      </c>
      <c r="X10951" t="s">
        <v>41265</v>
      </c>
    </row>
    <row r="10952" spans="1:24">
      <c r="A10952">
        <f>HYPERLINK("https://www.philgeps.gov.ph/GEPSNONPILOT/Tender/SplashBidNoticeAbstractUI.aspx?menuIndex=3&amp;refID=7053580&amp;Result=3","7053580")</f>
        <v>0</v>
      </c>
      <c r="B10952" t="s">
        <v>2033</v>
      </c>
      <c r="C10952" t="s">
        <v>13853</v>
      </c>
      <c r="D10952" t="s">
        <v>16625</v>
      </c>
      <c r="E10952" t="s">
        <v>26190</v>
      </c>
      <c r="F10952" t="s">
        <v>28669</v>
      </c>
      <c r="G10952" t="s">
        <v>28675</v>
      </c>
      <c r="H10952" t="s">
        <v>28686</v>
      </c>
      <c r="I10952" t="s">
        <v>28689</v>
      </c>
      <c r="J10952" t="s">
        <v>35587</v>
      </c>
      <c r="K10952" t="s">
        <v>37214</v>
      </c>
      <c r="L10952" t="s">
        <v>2033</v>
      </c>
      <c r="M10952" t="s">
        <v>40764</v>
      </c>
      <c r="N10952" t="s">
        <v>41249</v>
      </c>
      <c r="O10952" t="s">
        <v>41250</v>
      </c>
      <c r="P10952">
        <v>0</v>
      </c>
      <c r="Q10952">
        <v>2</v>
      </c>
      <c r="R10952" t="s">
        <v>41264</v>
      </c>
      <c r="S10952" t="s">
        <v>41775</v>
      </c>
      <c r="T10952" t="s">
        <v>42764</v>
      </c>
      <c r="U10952" t="s">
        <v>52005</v>
      </c>
      <c r="W10952" t="s">
        <v>40764</v>
      </c>
      <c r="X10952" t="s">
        <v>41265</v>
      </c>
    </row>
    <row r="10953" spans="1:24">
      <c r="A10953">
        <f>HYPERLINK("https://www.philgeps.gov.ph/GEPSNONPILOT/Tender/SplashBidNoticeAbstractUI.aspx?menuIndex=3&amp;refID=7053453&amp;Result=3","7053453")</f>
        <v>0</v>
      </c>
      <c r="B10953" t="s">
        <v>2134</v>
      </c>
      <c r="C10953" t="s">
        <v>13854</v>
      </c>
      <c r="D10953" t="s">
        <v>16676</v>
      </c>
      <c r="E10953" t="s">
        <v>26191</v>
      </c>
      <c r="F10953" t="s">
        <v>28669</v>
      </c>
      <c r="G10953" t="s">
        <v>28675</v>
      </c>
      <c r="H10953" t="s">
        <v>28686</v>
      </c>
      <c r="I10953" t="s">
        <v>28689</v>
      </c>
      <c r="J10953" t="s">
        <v>29338</v>
      </c>
      <c r="K10953" t="s">
        <v>37359</v>
      </c>
      <c r="M10953" t="s">
        <v>39779</v>
      </c>
      <c r="N10953" t="s">
        <v>41249</v>
      </c>
      <c r="O10953" t="s">
        <v>41250</v>
      </c>
      <c r="P10953">
        <v>0</v>
      </c>
      <c r="Q10953">
        <v>2</v>
      </c>
      <c r="R10953" t="s">
        <v>41264</v>
      </c>
      <c r="S10953" t="s">
        <v>41775</v>
      </c>
      <c r="T10953" t="s">
        <v>42764</v>
      </c>
      <c r="U10953" t="s">
        <v>48534</v>
      </c>
      <c r="V10953" t="s">
        <v>55520</v>
      </c>
      <c r="W10953" t="s">
        <v>39779</v>
      </c>
      <c r="X10953" t="s">
        <v>41265</v>
      </c>
    </row>
    <row r="10954" spans="1:24">
      <c r="A10954">
        <f>HYPERLINK("https://www.philgeps.gov.ph/GEPSNONPILOT/Tender/SplashBidNoticeAbstractUI.aspx?menuIndex=3&amp;refID=7053696&amp;Result=3","7053696")</f>
        <v>0</v>
      </c>
      <c r="B10954" t="s">
        <v>1342</v>
      </c>
      <c r="C10954" t="s">
        <v>13855</v>
      </c>
      <c r="D10954" t="s">
        <v>16619</v>
      </c>
      <c r="E10954" t="s">
        <v>26179</v>
      </c>
      <c r="F10954" t="s">
        <v>28669</v>
      </c>
      <c r="G10954" t="s">
        <v>28675</v>
      </c>
      <c r="H10954" t="s">
        <v>9998</v>
      </c>
      <c r="I10954" t="s">
        <v>28699</v>
      </c>
      <c r="J10954" t="s">
        <v>29134</v>
      </c>
      <c r="K10954" t="s">
        <v>37210</v>
      </c>
      <c r="M10954" t="s">
        <v>38897</v>
      </c>
      <c r="N10954" t="s">
        <v>41249</v>
      </c>
      <c r="O10954" t="s">
        <v>41250</v>
      </c>
      <c r="P10954">
        <v>0</v>
      </c>
      <c r="Q10954">
        <v>5</v>
      </c>
      <c r="R10954" t="s">
        <v>41264</v>
      </c>
      <c r="S10954" t="s">
        <v>41775</v>
      </c>
      <c r="T10954" t="s">
        <v>42707</v>
      </c>
      <c r="U10954" t="s">
        <v>52006</v>
      </c>
      <c r="W10954" t="s">
        <v>38897</v>
      </c>
      <c r="X10954" t="s">
        <v>41265</v>
      </c>
    </row>
    <row r="10955" spans="1:24">
      <c r="A10955">
        <f>HYPERLINK("https://www.philgeps.gov.ph/GEPSNONPILOT/Tender/SplashBidNoticeAbstractUI.aspx?menuIndex=3&amp;refID=7053448&amp;Result=3","7053448")</f>
        <v>0</v>
      </c>
      <c r="B10955" t="s">
        <v>2046</v>
      </c>
      <c r="C10955" t="s">
        <v>13856</v>
      </c>
      <c r="D10955" t="s">
        <v>16643</v>
      </c>
      <c r="E10955" t="s">
        <v>26192</v>
      </c>
      <c r="F10955" t="s">
        <v>28669</v>
      </c>
      <c r="G10955" t="s">
        <v>28677</v>
      </c>
      <c r="H10955" t="s">
        <v>9998</v>
      </c>
      <c r="I10955" t="s">
        <v>28693</v>
      </c>
      <c r="J10955" t="s">
        <v>35588</v>
      </c>
      <c r="K10955" t="s">
        <v>37221</v>
      </c>
      <c r="M10955" t="s">
        <v>39686</v>
      </c>
      <c r="N10955" t="s">
        <v>41249</v>
      </c>
      <c r="O10955" t="s">
        <v>41250</v>
      </c>
      <c r="Q10955">
        <v>10</v>
      </c>
      <c r="R10955" t="s">
        <v>41264</v>
      </c>
      <c r="S10955" t="s">
        <v>41815</v>
      </c>
      <c r="T10955" t="s">
        <v>42883</v>
      </c>
      <c r="U10955" t="s">
        <v>48244</v>
      </c>
      <c r="W10955" t="s">
        <v>39686</v>
      </c>
      <c r="X10955" t="s">
        <v>41265</v>
      </c>
    </row>
    <row r="10956" spans="1:24">
      <c r="A10956">
        <f>HYPERLINK("https://www.philgeps.gov.ph/GEPSNONPILOT/Tender/SplashBidNoticeAbstractUI.aspx?menuIndex=3&amp;refID=7053415&amp;Result=3","7053415")</f>
        <v>0</v>
      </c>
      <c r="B10956" t="s">
        <v>1503</v>
      </c>
      <c r="C10956" t="s">
        <v>13857</v>
      </c>
      <c r="D10956" t="s">
        <v>16666</v>
      </c>
      <c r="E10956" t="s">
        <v>26193</v>
      </c>
      <c r="F10956" t="s">
        <v>28669</v>
      </c>
      <c r="G10956" t="s">
        <v>28675</v>
      </c>
      <c r="H10956" t="s">
        <v>9998</v>
      </c>
      <c r="I10956" t="s">
        <v>28736</v>
      </c>
      <c r="J10956" t="s">
        <v>35589</v>
      </c>
      <c r="K10956" t="s">
        <v>37221</v>
      </c>
      <c r="M10956" t="s">
        <v>39076</v>
      </c>
      <c r="N10956" t="s">
        <v>41249</v>
      </c>
      <c r="O10956" t="s">
        <v>41250</v>
      </c>
      <c r="Q10956">
        <v>3</v>
      </c>
      <c r="R10956" t="s">
        <v>41264</v>
      </c>
      <c r="S10956" t="s">
        <v>41816</v>
      </c>
      <c r="T10956" t="s">
        <v>42686</v>
      </c>
      <c r="U10956" t="s">
        <v>50233</v>
      </c>
      <c r="W10956" t="s">
        <v>55959</v>
      </c>
      <c r="X10956" t="s">
        <v>41265</v>
      </c>
    </row>
    <row r="10957" spans="1:24">
      <c r="A10957">
        <f>HYPERLINK("https://www.philgeps.gov.ph/GEPSNONPILOT/Tender/SplashBidNoticeAbstractUI.aspx?menuIndex=3&amp;refID=7053678&amp;Result=3","7053678")</f>
        <v>0</v>
      </c>
      <c r="B10957" t="s">
        <v>782</v>
      </c>
      <c r="C10957" t="s">
        <v>13858</v>
      </c>
      <c r="D10957" t="s">
        <v>16658</v>
      </c>
      <c r="E10957" t="s">
        <v>26194</v>
      </c>
      <c r="F10957" t="s">
        <v>28669</v>
      </c>
      <c r="G10957" t="s">
        <v>28675</v>
      </c>
      <c r="H10957" t="s">
        <v>9998</v>
      </c>
      <c r="I10957" t="s">
        <v>28738</v>
      </c>
      <c r="J10957" t="s">
        <v>29141</v>
      </c>
      <c r="K10957" t="s">
        <v>37205</v>
      </c>
      <c r="M10957" t="s">
        <v>38296</v>
      </c>
      <c r="N10957" t="s">
        <v>41249</v>
      </c>
      <c r="O10957" t="s">
        <v>41250</v>
      </c>
      <c r="P10957">
        <v>0</v>
      </c>
      <c r="Q10957">
        <v>5</v>
      </c>
      <c r="R10957" t="s">
        <v>41264</v>
      </c>
      <c r="S10957" t="s">
        <v>41775</v>
      </c>
      <c r="T10957" t="s">
        <v>42836</v>
      </c>
      <c r="U10957" t="s">
        <v>52007</v>
      </c>
      <c r="W10957" t="s">
        <v>38296</v>
      </c>
      <c r="X10957" t="s">
        <v>41265</v>
      </c>
    </row>
    <row r="10958" spans="1:24">
      <c r="A10958">
        <f>HYPERLINK("https://www.philgeps.gov.ph/GEPSNONPILOT/Tender/SplashBidNoticeAbstractUI.aspx?menuIndex=3&amp;refID=7053412&amp;Result=3","7053412")</f>
        <v>0</v>
      </c>
      <c r="B10958" t="s">
        <v>164</v>
      </c>
      <c r="C10958" t="s">
        <v>13859</v>
      </c>
      <c r="D10958" t="s">
        <v>16624</v>
      </c>
      <c r="E10958" t="s">
        <v>22478</v>
      </c>
      <c r="F10958" t="s">
        <v>28669</v>
      </c>
      <c r="G10958" t="s">
        <v>28675</v>
      </c>
      <c r="H10958" t="s">
        <v>9998</v>
      </c>
      <c r="I10958" t="s">
        <v>28690</v>
      </c>
      <c r="J10958" t="s">
        <v>28878</v>
      </c>
      <c r="K10958" t="s">
        <v>37206</v>
      </c>
      <c r="M10958" t="s">
        <v>37641</v>
      </c>
      <c r="N10958" t="s">
        <v>41249</v>
      </c>
      <c r="O10958" t="s">
        <v>41250</v>
      </c>
      <c r="P10958">
        <v>0</v>
      </c>
      <c r="Q10958">
        <v>1</v>
      </c>
      <c r="R10958" t="s">
        <v>41264</v>
      </c>
      <c r="S10958" t="s">
        <v>41775</v>
      </c>
      <c r="T10958" t="s">
        <v>42857</v>
      </c>
      <c r="U10958" t="s">
        <v>52008</v>
      </c>
      <c r="W10958" t="s">
        <v>37641</v>
      </c>
      <c r="X10958" t="s">
        <v>41265</v>
      </c>
    </row>
    <row r="10959" spans="1:24">
      <c r="A10959">
        <f>HYPERLINK("https://www.philgeps.gov.ph/GEPSNONPILOT/Tender/SplashBidNoticeAbstractUI.aspx?menuIndex=3&amp;refID=7053285&amp;Result=3","7053285")</f>
        <v>0</v>
      </c>
      <c r="B10959" t="s">
        <v>2046</v>
      </c>
      <c r="C10959" t="s">
        <v>13860</v>
      </c>
      <c r="D10959" t="s">
        <v>16643</v>
      </c>
      <c r="E10959" t="s">
        <v>26195</v>
      </c>
      <c r="F10959" t="s">
        <v>28669</v>
      </c>
      <c r="G10959" t="s">
        <v>28677</v>
      </c>
      <c r="H10959" t="s">
        <v>9998</v>
      </c>
      <c r="I10959" t="s">
        <v>3658</v>
      </c>
      <c r="J10959" t="s">
        <v>29040</v>
      </c>
      <c r="K10959" t="s">
        <v>37209</v>
      </c>
      <c r="M10959" t="s">
        <v>39686</v>
      </c>
      <c r="N10959" t="s">
        <v>41249</v>
      </c>
      <c r="O10959" t="s">
        <v>41250</v>
      </c>
      <c r="Q10959">
        <v>3</v>
      </c>
      <c r="R10959" t="s">
        <v>41264</v>
      </c>
      <c r="S10959" t="s">
        <v>41817</v>
      </c>
      <c r="T10959" t="s">
        <v>42883</v>
      </c>
      <c r="U10959" t="s">
        <v>48244</v>
      </c>
      <c r="W10959" t="s">
        <v>39686</v>
      </c>
      <c r="X10959" t="s">
        <v>41265</v>
      </c>
    </row>
    <row r="10960" spans="1:24">
      <c r="A10960">
        <f>HYPERLINK("https://www.philgeps.gov.ph/GEPSNONPILOT/Tender/SplashBidNoticeAbstractUI.aspx?menuIndex=3&amp;refID=7053282&amp;Result=3","7053282")</f>
        <v>0</v>
      </c>
      <c r="B10960" t="s">
        <v>3037</v>
      </c>
      <c r="C10960" t="s">
        <v>13861</v>
      </c>
      <c r="D10960" t="s">
        <v>16619</v>
      </c>
      <c r="E10960" t="s">
        <v>16708</v>
      </c>
      <c r="F10960" t="s">
        <v>28669</v>
      </c>
      <c r="G10960" t="s">
        <v>28682</v>
      </c>
      <c r="H10960" t="s">
        <v>9998</v>
      </c>
      <c r="I10960" t="s">
        <v>3658</v>
      </c>
      <c r="J10960" t="s">
        <v>29124</v>
      </c>
      <c r="K10960" t="s">
        <v>37205</v>
      </c>
      <c r="M10960" t="s">
        <v>40810</v>
      </c>
      <c r="N10960" t="s">
        <v>41249</v>
      </c>
      <c r="O10960" t="s">
        <v>41250</v>
      </c>
      <c r="P10960">
        <v>0</v>
      </c>
      <c r="Q10960">
        <v>0</v>
      </c>
      <c r="R10960" t="s">
        <v>41264</v>
      </c>
      <c r="S10960" t="s">
        <v>41775</v>
      </c>
      <c r="T10960" t="s">
        <v>42726</v>
      </c>
      <c r="U10960" t="s">
        <v>52009</v>
      </c>
      <c r="W10960" t="s">
        <v>40810</v>
      </c>
      <c r="X10960" t="s">
        <v>41265</v>
      </c>
    </row>
    <row r="10961" spans="1:24">
      <c r="A10961">
        <f>HYPERLINK("https://www.philgeps.gov.ph/GEPSNONPILOT/Tender/SplashBidNoticeAbstractUI.aspx?menuIndex=3&amp;refID=7053822&amp;Result=3","7053822")</f>
        <v>0</v>
      </c>
      <c r="B10961" t="s">
        <v>3038</v>
      </c>
      <c r="C10961" t="s">
        <v>13862</v>
      </c>
      <c r="D10961" t="s">
        <v>16624</v>
      </c>
      <c r="E10961" t="s">
        <v>26196</v>
      </c>
      <c r="F10961" t="s">
        <v>28669</v>
      </c>
      <c r="G10961" t="s">
        <v>28675</v>
      </c>
      <c r="H10961" t="s">
        <v>28686</v>
      </c>
      <c r="I10961" t="s">
        <v>28689</v>
      </c>
      <c r="J10961" t="s">
        <v>29655</v>
      </c>
      <c r="K10961" t="s">
        <v>37215</v>
      </c>
      <c r="M10961" t="s">
        <v>40811</v>
      </c>
      <c r="N10961" t="s">
        <v>41249</v>
      </c>
      <c r="O10961" t="s">
        <v>41250</v>
      </c>
      <c r="P10961">
        <v>0</v>
      </c>
      <c r="Q10961">
        <v>2</v>
      </c>
      <c r="R10961" t="s">
        <v>41264</v>
      </c>
      <c r="S10961" t="s">
        <v>41775</v>
      </c>
      <c r="T10961" t="s">
        <v>42731</v>
      </c>
      <c r="U10961" t="s">
        <v>52010</v>
      </c>
      <c r="W10961" t="s">
        <v>40811</v>
      </c>
      <c r="X10961" t="s">
        <v>41265</v>
      </c>
    </row>
    <row r="10962" spans="1:24">
      <c r="A10962">
        <f>HYPERLINK("https://www.philgeps.gov.ph/GEPSNONPILOT/Tender/SplashBidNoticeAbstractUI.aspx?menuIndex=3&amp;refID=7053611&amp;Result=3","7053611")</f>
        <v>0</v>
      </c>
      <c r="B10962" t="s">
        <v>628</v>
      </c>
      <c r="C10962" t="s">
        <v>13863</v>
      </c>
      <c r="D10962" t="s">
        <v>16621</v>
      </c>
      <c r="E10962" t="s">
        <v>26197</v>
      </c>
      <c r="F10962" t="s">
        <v>28669</v>
      </c>
      <c r="G10962" t="s">
        <v>28675</v>
      </c>
      <c r="H10962" t="s">
        <v>9998</v>
      </c>
      <c r="I10962" t="s">
        <v>5213</v>
      </c>
      <c r="J10962" t="s">
        <v>35590</v>
      </c>
      <c r="K10962" t="s">
        <v>37206</v>
      </c>
      <c r="M10962" t="s">
        <v>38128</v>
      </c>
      <c r="N10962" t="s">
        <v>41249</v>
      </c>
      <c r="O10962" t="s">
        <v>41250</v>
      </c>
      <c r="P10962">
        <v>0</v>
      </c>
      <c r="Q10962">
        <v>0</v>
      </c>
      <c r="R10962" t="s">
        <v>41264</v>
      </c>
      <c r="S10962" t="s">
        <v>41775</v>
      </c>
      <c r="T10962" t="s">
        <v>42726</v>
      </c>
      <c r="U10962" t="s">
        <v>52011</v>
      </c>
      <c r="V10962" t="s">
        <v>54406</v>
      </c>
      <c r="W10962" t="s">
        <v>38128</v>
      </c>
      <c r="X10962" t="s">
        <v>41265</v>
      </c>
    </row>
    <row r="10963" spans="1:24">
      <c r="A10963">
        <f>HYPERLINK("https://www.philgeps.gov.ph/GEPSNONPILOT/Tender/SplashBidNoticeAbstractUI.aspx?menuIndex=3&amp;refID=7053840&amp;Result=3","7053840")</f>
        <v>0</v>
      </c>
      <c r="B10963" t="s">
        <v>3038</v>
      </c>
      <c r="C10963" t="s">
        <v>13864</v>
      </c>
      <c r="D10963" t="s">
        <v>16624</v>
      </c>
      <c r="E10963" t="s">
        <v>26198</v>
      </c>
      <c r="F10963" t="s">
        <v>28669</v>
      </c>
      <c r="G10963" t="s">
        <v>28675</v>
      </c>
      <c r="H10963" t="s">
        <v>28686</v>
      </c>
      <c r="I10963" t="s">
        <v>28689</v>
      </c>
      <c r="J10963" t="s">
        <v>28878</v>
      </c>
      <c r="K10963" t="s">
        <v>37206</v>
      </c>
      <c r="M10963" t="s">
        <v>40811</v>
      </c>
      <c r="N10963" t="s">
        <v>41249</v>
      </c>
      <c r="O10963" t="s">
        <v>41250</v>
      </c>
      <c r="P10963">
        <v>0</v>
      </c>
      <c r="Q10963">
        <v>3</v>
      </c>
      <c r="R10963" t="s">
        <v>41264</v>
      </c>
      <c r="S10963" t="s">
        <v>41775</v>
      </c>
      <c r="T10963" t="s">
        <v>42969</v>
      </c>
      <c r="U10963" t="s">
        <v>52012</v>
      </c>
      <c r="W10963" t="s">
        <v>40811</v>
      </c>
      <c r="X10963" t="s">
        <v>41265</v>
      </c>
    </row>
    <row r="10964" spans="1:24">
      <c r="A10964">
        <f>HYPERLINK("https://www.philgeps.gov.ph/GEPSNONPILOT/Tender/SplashBidNoticeAbstractUI.aspx?menuIndex=3&amp;refID=7053476&amp;Result=3","7053476")</f>
        <v>0</v>
      </c>
      <c r="B10964" t="s">
        <v>2046</v>
      </c>
      <c r="C10964" t="s">
        <v>13865</v>
      </c>
      <c r="D10964" t="s">
        <v>16643</v>
      </c>
      <c r="E10964" t="s">
        <v>26199</v>
      </c>
      <c r="F10964" t="s">
        <v>28669</v>
      </c>
      <c r="G10964" t="s">
        <v>28677</v>
      </c>
      <c r="H10964" t="s">
        <v>9998</v>
      </c>
      <c r="I10964" t="s">
        <v>28783</v>
      </c>
      <c r="J10964" t="s">
        <v>29281</v>
      </c>
      <c r="K10964" t="s">
        <v>37206</v>
      </c>
      <c r="M10964" t="s">
        <v>39686</v>
      </c>
      <c r="N10964" t="s">
        <v>41249</v>
      </c>
      <c r="O10964" t="s">
        <v>41250</v>
      </c>
      <c r="Q10964">
        <v>1</v>
      </c>
      <c r="R10964" t="s">
        <v>41264</v>
      </c>
      <c r="S10964" t="s">
        <v>41818</v>
      </c>
      <c r="T10964" t="s">
        <v>42883</v>
      </c>
      <c r="U10964" t="s">
        <v>48244</v>
      </c>
      <c r="W10964" t="s">
        <v>39686</v>
      </c>
      <c r="X10964" t="s">
        <v>41265</v>
      </c>
    </row>
    <row r="10965" spans="1:24">
      <c r="A10965">
        <f>HYPERLINK("https://www.philgeps.gov.ph/GEPSNONPILOT/Tender/SplashBidNoticeAbstractUI.aspx?menuIndex=3&amp;refID=7053410&amp;Result=3","7053410")</f>
        <v>0</v>
      </c>
      <c r="B10965" t="s">
        <v>2046</v>
      </c>
      <c r="C10965" t="s">
        <v>13866</v>
      </c>
      <c r="D10965" t="s">
        <v>16643</v>
      </c>
      <c r="E10965" t="s">
        <v>26200</v>
      </c>
      <c r="F10965" t="s">
        <v>28669</v>
      </c>
      <c r="G10965" t="s">
        <v>28677</v>
      </c>
      <c r="H10965" t="s">
        <v>9998</v>
      </c>
      <c r="I10965" t="s">
        <v>28741</v>
      </c>
      <c r="J10965" t="s">
        <v>31707</v>
      </c>
      <c r="K10965" t="s">
        <v>37209</v>
      </c>
      <c r="M10965" t="s">
        <v>39686</v>
      </c>
      <c r="N10965" t="s">
        <v>41249</v>
      </c>
      <c r="O10965" t="s">
        <v>41250</v>
      </c>
      <c r="Q10965">
        <v>6</v>
      </c>
      <c r="R10965" t="s">
        <v>41264</v>
      </c>
      <c r="S10965" t="s">
        <v>41807</v>
      </c>
      <c r="T10965" t="s">
        <v>42883</v>
      </c>
      <c r="U10965" t="s">
        <v>48244</v>
      </c>
      <c r="W10965" t="s">
        <v>39686</v>
      </c>
      <c r="X10965" t="s">
        <v>41265</v>
      </c>
    </row>
    <row r="10966" spans="1:24">
      <c r="A10966">
        <f>HYPERLINK("https://www.philgeps.gov.ph/GEPSNONPILOT/Tender/SplashBidNoticeAbstractUI.aspx?menuIndex=3&amp;refID=7053273&amp;Result=3","7053273")</f>
        <v>0</v>
      </c>
      <c r="B10966" t="s">
        <v>2046</v>
      </c>
      <c r="C10966" t="s">
        <v>13867</v>
      </c>
      <c r="D10966" t="s">
        <v>16643</v>
      </c>
      <c r="E10966" t="s">
        <v>26201</v>
      </c>
      <c r="F10966" t="s">
        <v>28669</v>
      </c>
      <c r="G10966" t="s">
        <v>28677</v>
      </c>
      <c r="H10966" t="s">
        <v>9998</v>
      </c>
      <c r="I10966" t="s">
        <v>28697</v>
      </c>
      <c r="J10966" t="s">
        <v>32605</v>
      </c>
      <c r="K10966" t="s">
        <v>37206</v>
      </c>
      <c r="M10966" t="s">
        <v>39686</v>
      </c>
      <c r="N10966" t="s">
        <v>41249</v>
      </c>
      <c r="O10966" t="s">
        <v>41250</v>
      </c>
      <c r="Q10966">
        <v>1</v>
      </c>
      <c r="R10966" t="s">
        <v>41264</v>
      </c>
      <c r="S10966" t="s">
        <v>41817</v>
      </c>
      <c r="T10966" t="s">
        <v>42883</v>
      </c>
      <c r="U10966" t="s">
        <v>48244</v>
      </c>
      <c r="W10966" t="s">
        <v>39686</v>
      </c>
      <c r="X10966" t="s">
        <v>41265</v>
      </c>
    </row>
    <row r="10967" spans="1:24">
      <c r="A10967">
        <f>HYPERLINK("https://www.philgeps.gov.ph/GEPSNONPILOT/Tender/SplashBidNoticeAbstractUI.aspx?menuIndex=3&amp;refID=7053830&amp;Result=3","7053830")</f>
        <v>0</v>
      </c>
      <c r="B10967" t="s">
        <v>2757</v>
      </c>
      <c r="C10967" t="s">
        <v>13868</v>
      </c>
      <c r="D10967" t="s">
        <v>16677</v>
      </c>
      <c r="E10967" t="s">
        <v>26202</v>
      </c>
      <c r="F10967" t="s">
        <v>28669</v>
      </c>
      <c r="G10967" t="s">
        <v>28675</v>
      </c>
      <c r="H10967" t="s">
        <v>9998</v>
      </c>
      <c r="I10967" t="s">
        <v>28754</v>
      </c>
      <c r="J10967" t="s">
        <v>28910</v>
      </c>
      <c r="K10967" t="s">
        <v>37216</v>
      </c>
      <c r="M10967" t="s">
        <v>40475</v>
      </c>
      <c r="N10967" t="s">
        <v>41249</v>
      </c>
      <c r="O10967" t="s">
        <v>41250</v>
      </c>
      <c r="P10967">
        <v>0</v>
      </c>
      <c r="Q10967">
        <v>7</v>
      </c>
      <c r="R10967" t="s">
        <v>41264</v>
      </c>
      <c r="S10967" t="s">
        <v>41775</v>
      </c>
      <c r="T10967" t="s">
        <v>42881</v>
      </c>
      <c r="U10967" t="s">
        <v>52013</v>
      </c>
      <c r="W10967" t="s">
        <v>40475</v>
      </c>
      <c r="X10967" t="s">
        <v>41265</v>
      </c>
    </row>
    <row r="10968" spans="1:24">
      <c r="A10968">
        <f>HYPERLINK("https://www.philgeps.gov.ph/GEPSNONPILOT/Tender/SplashBidNoticeAbstractUI.aspx?menuIndex=3&amp;refID=7053287&amp;Result=3","7053287")</f>
        <v>0</v>
      </c>
      <c r="B10968" t="s">
        <v>1767</v>
      </c>
      <c r="C10968" t="s">
        <v>13869</v>
      </c>
      <c r="D10968" t="s">
        <v>16676</v>
      </c>
      <c r="E10968" t="s">
        <v>26203</v>
      </c>
      <c r="F10968" t="s">
        <v>28669</v>
      </c>
      <c r="G10968" t="s">
        <v>28675</v>
      </c>
      <c r="H10968" t="s">
        <v>28686</v>
      </c>
      <c r="I10968" t="s">
        <v>28689</v>
      </c>
      <c r="J10968" t="s">
        <v>30575</v>
      </c>
      <c r="K10968" t="s">
        <v>37215</v>
      </c>
      <c r="M10968" t="s">
        <v>39369</v>
      </c>
      <c r="N10968" t="s">
        <v>41249</v>
      </c>
      <c r="O10968" t="s">
        <v>41250</v>
      </c>
      <c r="P10968">
        <v>0</v>
      </c>
      <c r="Q10968">
        <v>1</v>
      </c>
      <c r="R10968" t="s">
        <v>41264</v>
      </c>
      <c r="S10968" t="s">
        <v>41775</v>
      </c>
      <c r="T10968" t="s">
        <v>42966</v>
      </c>
      <c r="U10968" t="s">
        <v>52014</v>
      </c>
      <c r="V10968" t="s">
        <v>55510</v>
      </c>
      <c r="W10968" t="s">
        <v>39369</v>
      </c>
      <c r="X10968" t="s">
        <v>41265</v>
      </c>
    </row>
    <row r="10969" spans="1:24">
      <c r="A10969">
        <f>HYPERLINK("https://www.philgeps.gov.ph/GEPSNONPILOT/Tender/SplashBidNoticeAbstractUI.aspx?menuIndex=3&amp;refID=7053812&amp;Result=3","7053812")</f>
        <v>0</v>
      </c>
      <c r="B10969" t="s">
        <v>2757</v>
      </c>
      <c r="C10969" t="s">
        <v>13870</v>
      </c>
      <c r="D10969" t="s">
        <v>16677</v>
      </c>
      <c r="E10969" t="s">
        <v>26204</v>
      </c>
      <c r="F10969" t="s">
        <v>28669</v>
      </c>
      <c r="G10969" t="s">
        <v>28675</v>
      </c>
      <c r="H10969" t="s">
        <v>9998</v>
      </c>
      <c r="I10969" t="s">
        <v>28688</v>
      </c>
      <c r="J10969" t="s">
        <v>35591</v>
      </c>
      <c r="K10969" t="s">
        <v>37216</v>
      </c>
      <c r="M10969" t="s">
        <v>40475</v>
      </c>
      <c r="N10969" t="s">
        <v>41249</v>
      </c>
      <c r="O10969" t="s">
        <v>41250</v>
      </c>
      <c r="P10969">
        <v>0</v>
      </c>
      <c r="Q10969">
        <v>2</v>
      </c>
      <c r="R10969" t="s">
        <v>41264</v>
      </c>
      <c r="S10969" t="s">
        <v>41775</v>
      </c>
      <c r="T10969" t="s">
        <v>42881</v>
      </c>
      <c r="U10969" t="s">
        <v>52015</v>
      </c>
      <c r="W10969" t="s">
        <v>40475</v>
      </c>
      <c r="X10969" t="s">
        <v>41265</v>
      </c>
    </row>
    <row r="10970" spans="1:24">
      <c r="A10970">
        <f>HYPERLINK("https://www.philgeps.gov.ph/GEPSNONPILOT/Tender/SplashBidNoticeAbstractUI.aspx?menuIndex=3&amp;refID=7053579&amp;Result=3","7053579")</f>
        <v>0</v>
      </c>
      <c r="B10970" t="s">
        <v>2134</v>
      </c>
      <c r="C10970" t="s">
        <v>13871</v>
      </c>
      <c r="D10970" t="s">
        <v>16676</v>
      </c>
      <c r="E10970" t="s">
        <v>26205</v>
      </c>
      <c r="F10970" t="s">
        <v>28669</v>
      </c>
      <c r="G10970" t="s">
        <v>28675</v>
      </c>
      <c r="H10970" t="s">
        <v>28686</v>
      </c>
      <c r="I10970" t="s">
        <v>28689</v>
      </c>
      <c r="J10970" t="s">
        <v>29346</v>
      </c>
      <c r="K10970" t="s">
        <v>37359</v>
      </c>
      <c r="M10970" t="s">
        <v>39779</v>
      </c>
      <c r="N10970" t="s">
        <v>41249</v>
      </c>
      <c r="O10970" t="s">
        <v>41250</v>
      </c>
      <c r="P10970">
        <v>0</v>
      </c>
      <c r="Q10970">
        <v>2</v>
      </c>
      <c r="R10970" t="s">
        <v>41264</v>
      </c>
      <c r="S10970" t="s">
        <v>41775</v>
      </c>
      <c r="T10970" t="s">
        <v>42764</v>
      </c>
      <c r="U10970" t="s">
        <v>48534</v>
      </c>
      <c r="V10970" t="s">
        <v>55521</v>
      </c>
      <c r="W10970" t="s">
        <v>39779</v>
      </c>
      <c r="X10970" t="s">
        <v>41265</v>
      </c>
    </row>
    <row r="10971" spans="1:24">
      <c r="A10971">
        <f>HYPERLINK("https://www.philgeps.gov.ph/GEPSNONPILOT/Tender/SplashBidNoticeAbstractUI.aspx?menuIndex=3&amp;refID=7053414&amp;Result=3","7053414")</f>
        <v>0</v>
      </c>
      <c r="B10971" t="s">
        <v>3031</v>
      </c>
      <c r="C10971" t="s">
        <v>13872</v>
      </c>
      <c r="D10971" t="s">
        <v>16630</v>
      </c>
      <c r="E10971" t="s">
        <v>26206</v>
      </c>
      <c r="F10971" t="s">
        <v>28669</v>
      </c>
      <c r="G10971" t="s">
        <v>28675</v>
      </c>
      <c r="H10971" t="s">
        <v>9998</v>
      </c>
      <c r="I10971" t="s">
        <v>7352</v>
      </c>
      <c r="J10971" t="s">
        <v>35592</v>
      </c>
      <c r="K10971" t="s">
        <v>37210</v>
      </c>
      <c r="L10971" t="s">
        <v>3031</v>
      </c>
      <c r="M10971" t="s">
        <v>40803</v>
      </c>
      <c r="N10971" t="s">
        <v>41249</v>
      </c>
      <c r="O10971" t="s">
        <v>41250</v>
      </c>
      <c r="P10971">
        <v>0</v>
      </c>
      <c r="Q10971">
        <v>2</v>
      </c>
      <c r="R10971" t="s">
        <v>41264</v>
      </c>
      <c r="S10971" t="s">
        <v>41775</v>
      </c>
      <c r="T10971" t="s">
        <v>42999</v>
      </c>
      <c r="U10971" t="s">
        <v>52016</v>
      </c>
      <c r="V10971" t="s">
        <v>55522</v>
      </c>
      <c r="W10971" t="s">
        <v>40803</v>
      </c>
      <c r="X10971" t="s">
        <v>41265</v>
      </c>
    </row>
    <row r="10972" spans="1:24">
      <c r="A10972">
        <f>HYPERLINK("https://www.philgeps.gov.ph/GEPSNONPILOT/Tender/SplashBidNoticeAbstractUI.aspx?menuIndex=3&amp;refID=7053806&amp;Result=3","7053806")</f>
        <v>0</v>
      </c>
      <c r="B10972" t="s">
        <v>3038</v>
      </c>
      <c r="C10972" t="s">
        <v>13873</v>
      </c>
      <c r="D10972" t="s">
        <v>16624</v>
      </c>
      <c r="E10972" t="s">
        <v>26207</v>
      </c>
      <c r="F10972" t="s">
        <v>28669</v>
      </c>
      <c r="G10972" t="s">
        <v>28675</v>
      </c>
      <c r="H10972" t="s">
        <v>28686</v>
      </c>
      <c r="I10972" t="s">
        <v>28689</v>
      </c>
      <c r="J10972" t="s">
        <v>28836</v>
      </c>
      <c r="K10972" t="s">
        <v>37220</v>
      </c>
      <c r="M10972" t="s">
        <v>40811</v>
      </c>
      <c r="N10972" t="s">
        <v>41249</v>
      </c>
      <c r="O10972" t="s">
        <v>41250</v>
      </c>
      <c r="P10972">
        <v>0</v>
      </c>
      <c r="Q10972">
        <v>2</v>
      </c>
      <c r="R10972" t="s">
        <v>41264</v>
      </c>
      <c r="S10972" t="s">
        <v>41775</v>
      </c>
      <c r="T10972" t="s">
        <v>43116</v>
      </c>
      <c r="U10972" t="s">
        <v>52017</v>
      </c>
      <c r="W10972" t="s">
        <v>40811</v>
      </c>
      <c r="X10972" t="s">
        <v>41265</v>
      </c>
    </row>
    <row r="10973" spans="1:24">
      <c r="A10973">
        <f>HYPERLINK("https://www.philgeps.gov.ph/GEPSNONPILOT/Tender/SplashBidNoticeAbstractUI.aspx?menuIndex=3&amp;refID=7053832&amp;Result=3","7053832")</f>
        <v>0</v>
      </c>
      <c r="B10973" t="s">
        <v>3034</v>
      </c>
      <c r="C10973" t="s">
        <v>13874</v>
      </c>
      <c r="D10973" t="s">
        <v>16626</v>
      </c>
      <c r="E10973" t="s">
        <v>18103</v>
      </c>
      <c r="F10973" t="s">
        <v>28669</v>
      </c>
      <c r="G10973" t="s">
        <v>28675</v>
      </c>
      <c r="H10973" t="s">
        <v>9998</v>
      </c>
      <c r="I10973" t="s">
        <v>6128</v>
      </c>
      <c r="J10973" t="s">
        <v>29404</v>
      </c>
      <c r="K10973" t="s">
        <v>37204</v>
      </c>
      <c r="L10973" t="s">
        <v>3034</v>
      </c>
      <c r="M10973" t="s">
        <v>40806</v>
      </c>
      <c r="N10973" t="s">
        <v>41249</v>
      </c>
      <c r="O10973" t="s">
        <v>41250</v>
      </c>
      <c r="P10973">
        <v>0</v>
      </c>
      <c r="Q10973">
        <v>0</v>
      </c>
      <c r="R10973" t="s">
        <v>41264</v>
      </c>
      <c r="S10973" t="s">
        <v>41775</v>
      </c>
      <c r="T10973" t="s">
        <v>42698</v>
      </c>
      <c r="U10973" t="s">
        <v>52018</v>
      </c>
      <c r="V10973" t="s">
        <v>55517</v>
      </c>
      <c r="W10973" t="s">
        <v>40806</v>
      </c>
      <c r="X10973" t="s">
        <v>41265</v>
      </c>
    </row>
    <row r="10974" spans="1:24">
      <c r="A10974">
        <f>HYPERLINK("https://www.philgeps.gov.ph/GEPSNONPILOT/Tender/SplashBidNoticeAbstractUI.aspx?menuIndex=3&amp;refID=7053797&amp;Result=3","7053797")</f>
        <v>0</v>
      </c>
      <c r="B10974" t="s">
        <v>3034</v>
      </c>
      <c r="C10974" t="s">
        <v>13875</v>
      </c>
      <c r="D10974" t="s">
        <v>16626</v>
      </c>
      <c r="E10974" t="s">
        <v>17812</v>
      </c>
      <c r="F10974" t="s">
        <v>28669</v>
      </c>
      <c r="G10974" t="s">
        <v>28675</v>
      </c>
      <c r="H10974" t="s">
        <v>9998</v>
      </c>
      <c r="I10974" t="s">
        <v>28729</v>
      </c>
      <c r="J10974" t="s">
        <v>30092</v>
      </c>
      <c r="K10974" t="s">
        <v>37204</v>
      </c>
      <c r="L10974" t="s">
        <v>3034</v>
      </c>
      <c r="M10974" t="s">
        <v>40806</v>
      </c>
      <c r="N10974" t="s">
        <v>41249</v>
      </c>
      <c r="O10974" t="s">
        <v>41250</v>
      </c>
      <c r="P10974">
        <v>0</v>
      </c>
      <c r="Q10974">
        <v>1</v>
      </c>
      <c r="R10974" t="s">
        <v>41264</v>
      </c>
      <c r="S10974" t="s">
        <v>41775</v>
      </c>
      <c r="T10974" t="s">
        <v>42698</v>
      </c>
      <c r="U10974" t="s">
        <v>52018</v>
      </c>
      <c r="V10974" t="s">
        <v>55517</v>
      </c>
      <c r="W10974" t="s">
        <v>40806</v>
      </c>
      <c r="X10974" t="s">
        <v>41265</v>
      </c>
    </row>
    <row r="10975" spans="1:24">
      <c r="A10975">
        <f>HYPERLINK("https://www.philgeps.gov.ph/GEPSNONPILOT/Tender/SplashBidNoticeAbstractUI.aspx?menuIndex=3&amp;refID=7053818&amp;Result=3","7053818")</f>
        <v>0</v>
      </c>
      <c r="B10975" t="s">
        <v>3034</v>
      </c>
      <c r="C10975" t="s">
        <v>13876</v>
      </c>
      <c r="D10975" t="s">
        <v>16626</v>
      </c>
      <c r="E10975" t="s">
        <v>18012</v>
      </c>
      <c r="F10975" t="s">
        <v>28669</v>
      </c>
      <c r="G10975" t="s">
        <v>28675</v>
      </c>
      <c r="H10975" t="s">
        <v>9998</v>
      </c>
      <c r="I10975" t="s">
        <v>5286</v>
      </c>
      <c r="J10975" t="s">
        <v>29438</v>
      </c>
      <c r="K10975" t="s">
        <v>37204</v>
      </c>
      <c r="L10975" t="s">
        <v>3034</v>
      </c>
      <c r="M10975" t="s">
        <v>40806</v>
      </c>
      <c r="N10975" t="s">
        <v>41249</v>
      </c>
      <c r="O10975" t="s">
        <v>41250</v>
      </c>
      <c r="P10975">
        <v>0</v>
      </c>
      <c r="Q10975">
        <v>0</v>
      </c>
      <c r="R10975" t="s">
        <v>41264</v>
      </c>
      <c r="S10975" t="s">
        <v>41775</v>
      </c>
      <c r="T10975" t="s">
        <v>42698</v>
      </c>
      <c r="U10975" t="s">
        <v>52018</v>
      </c>
      <c r="V10975" t="s">
        <v>55517</v>
      </c>
      <c r="W10975" t="s">
        <v>40806</v>
      </c>
      <c r="X10975" t="s">
        <v>41265</v>
      </c>
    </row>
    <row r="10976" spans="1:24">
      <c r="A10976">
        <f>HYPERLINK("https://www.philgeps.gov.ph/GEPSNONPILOT/Tender/SplashBidNoticeAbstractUI.aspx?menuIndex=3&amp;refID=7053790&amp;Result=3","7053790")</f>
        <v>0</v>
      </c>
      <c r="B10976" t="s">
        <v>3034</v>
      </c>
      <c r="C10976" t="s">
        <v>13877</v>
      </c>
      <c r="D10976" t="s">
        <v>16626</v>
      </c>
      <c r="E10976" t="s">
        <v>17480</v>
      </c>
      <c r="F10976" t="s">
        <v>28669</v>
      </c>
      <c r="G10976" t="s">
        <v>28675</v>
      </c>
      <c r="H10976" t="s">
        <v>9998</v>
      </c>
      <c r="I10976" t="s">
        <v>28729</v>
      </c>
      <c r="J10976" t="s">
        <v>29348</v>
      </c>
      <c r="K10976" t="s">
        <v>37204</v>
      </c>
      <c r="L10976" t="s">
        <v>3034</v>
      </c>
      <c r="M10976" t="s">
        <v>40806</v>
      </c>
      <c r="N10976" t="s">
        <v>41249</v>
      </c>
      <c r="O10976" t="s">
        <v>41250</v>
      </c>
      <c r="P10976">
        <v>0</v>
      </c>
      <c r="Q10976">
        <v>0</v>
      </c>
      <c r="R10976" t="s">
        <v>41264</v>
      </c>
      <c r="S10976" t="s">
        <v>41775</v>
      </c>
      <c r="T10976" t="s">
        <v>42698</v>
      </c>
      <c r="U10976" t="s">
        <v>52018</v>
      </c>
      <c r="V10976" t="s">
        <v>55517</v>
      </c>
      <c r="W10976" t="s">
        <v>40806</v>
      </c>
      <c r="X10976" t="s">
        <v>41265</v>
      </c>
    </row>
    <row r="10977" spans="1:24">
      <c r="A10977">
        <f>HYPERLINK("https://www.philgeps.gov.ph/GEPSNONPILOT/Tender/SplashBidNoticeAbstractUI.aspx?menuIndex=3&amp;refID=7053782&amp;Result=3","7053782")</f>
        <v>0</v>
      </c>
      <c r="B10977" t="s">
        <v>2134</v>
      </c>
      <c r="C10977" t="s">
        <v>13878</v>
      </c>
      <c r="D10977" t="s">
        <v>16676</v>
      </c>
      <c r="E10977" t="s">
        <v>26208</v>
      </c>
      <c r="F10977" t="s">
        <v>28669</v>
      </c>
      <c r="G10977" t="s">
        <v>28675</v>
      </c>
      <c r="H10977" t="s">
        <v>28686</v>
      </c>
      <c r="I10977" t="s">
        <v>28689</v>
      </c>
      <c r="J10977" t="s">
        <v>29950</v>
      </c>
      <c r="K10977" t="s">
        <v>37457</v>
      </c>
      <c r="M10977" t="s">
        <v>39779</v>
      </c>
      <c r="N10977" t="s">
        <v>41249</v>
      </c>
      <c r="O10977" t="s">
        <v>41250</v>
      </c>
      <c r="P10977">
        <v>0</v>
      </c>
      <c r="Q10977">
        <v>3</v>
      </c>
      <c r="R10977" t="s">
        <v>41264</v>
      </c>
      <c r="S10977" t="s">
        <v>41775</v>
      </c>
      <c r="T10977" t="s">
        <v>42764</v>
      </c>
      <c r="U10977" t="s">
        <v>48534</v>
      </c>
      <c r="V10977" t="s">
        <v>55523</v>
      </c>
      <c r="W10977" t="s">
        <v>39779</v>
      </c>
      <c r="X10977" t="s">
        <v>41265</v>
      </c>
    </row>
    <row r="10978" spans="1:24">
      <c r="A10978">
        <f>HYPERLINK("https://www.philgeps.gov.ph/GEPSNONPILOT/Tender/SplashBidNoticeAbstractUI.aspx?menuIndex=3&amp;refID=7053774&amp;Result=3","7053774")</f>
        <v>0</v>
      </c>
      <c r="B10978" t="s">
        <v>3034</v>
      </c>
      <c r="C10978" t="s">
        <v>13879</v>
      </c>
      <c r="D10978" t="s">
        <v>16626</v>
      </c>
      <c r="E10978" t="s">
        <v>17442</v>
      </c>
      <c r="F10978" t="s">
        <v>28669</v>
      </c>
      <c r="G10978" t="s">
        <v>28675</v>
      </c>
      <c r="H10978" t="s">
        <v>9998</v>
      </c>
      <c r="I10978" t="s">
        <v>28761</v>
      </c>
      <c r="J10978" t="s">
        <v>34281</v>
      </c>
      <c r="K10978" t="s">
        <v>37204</v>
      </c>
      <c r="L10978" t="s">
        <v>3034</v>
      </c>
      <c r="M10978" t="s">
        <v>40806</v>
      </c>
      <c r="N10978" t="s">
        <v>41249</v>
      </c>
      <c r="O10978" t="s">
        <v>41250</v>
      </c>
      <c r="P10978">
        <v>0</v>
      </c>
      <c r="Q10978">
        <v>0</v>
      </c>
      <c r="R10978" t="s">
        <v>41264</v>
      </c>
      <c r="S10978" t="s">
        <v>41775</v>
      </c>
      <c r="T10978" t="s">
        <v>42698</v>
      </c>
      <c r="U10978" t="s">
        <v>52018</v>
      </c>
      <c r="V10978" t="s">
        <v>55517</v>
      </c>
      <c r="W10978" t="s">
        <v>40806</v>
      </c>
      <c r="X10978" t="s">
        <v>41265</v>
      </c>
    </row>
    <row r="10979" spans="1:24">
      <c r="A10979">
        <f>HYPERLINK("https://www.philgeps.gov.ph/GEPSNONPILOT/Tender/SplashBidNoticeAbstractUI.aspx?menuIndex=3&amp;refID=7053811&amp;Result=3","7053811")</f>
        <v>0</v>
      </c>
      <c r="B10979" t="s">
        <v>575</v>
      </c>
      <c r="C10979" t="s">
        <v>13880</v>
      </c>
      <c r="D10979" t="s">
        <v>16660</v>
      </c>
      <c r="E10979" t="s">
        <v>26209</v>
      </c>
      <c r="F10979" t="s">
        <v>28669</v>
      </c>
      <c r="G10979" t="s">
        <v>28675</v>
      </c>
      <c r="H10979" t="s">
        <v>9998</v>
      </c>
      <c r="I10979" t="s">
        <v>28784</v>
      </c>
      <c r="J10979" t="s">
        <v>35593</v>
      </c>
      <c r="K10979" t="s">
        <v>37209</v>
      </c>
      <c r="M10979" t="s">
        <v>38074</v>
      </c>
      <c r="N10979" t="s">
        <v>41249</v>
      </c>
      <c r="O10979" t="s">
        <v>41250</v>
      </c>
      <c r="P10979">
        <v>0</v>
      </c>
      <c r="Q10979">
        <v>14</v>
      </c>
      <c r="R10979" t="s">
        <v>41264</v>
      </c>
      <c r="S10979" t="s">
        <v>41775</v>
      </c>
      <c r="T10979" t="s">
        <v>42671</v>
      </c>
      <c r="U10979" t="s">
        <v>52019</v>
      </c>
      <c r="W10979" t="s">
        <v>38074</v>
      </c>
      <c r="X10979" t="s">
        <v>41265</v>
      </c>
    </row>
    <row r="10980" spans="1:24">
      <c r="A10980">
        <f>HYPERLINK("https://www.philgeps.gov.ph/GEPSNONPILOT/Tender/SplashBidNoticeAbstractUI.aspx?menuIndex=3&amp;refID=7053762&amp;Result=3","7053762")</f>
        <v>0</v>
      </c>
      <c r="B10980" t="s">
        <v>3034</v>
      </c>
      <c r="C10980" t="s">
        <v>13881</v>
      </c>
      <c r="D10980" t="s">
        <v>16626</v>
      </c>
      <c r="E10980" t="s">
        <v>22006</v>
      </c>
      <c r="F10980" t="s">
        <v>28669</v>
      </c>
      <c r="G10980" t="s">
        <v>28675</v>
      </c>
      <c r="H10980" t="s">
        <v>9998</v>
      </c>
      <c r="I10980" t="s">
        <v>28708</v>
      </c>
      <c r="J10980" t="s">
        <v>31294</v>
      </c>
      <c r="K10980" t="s">
        <v>37204</v>
      </c>
      <c r="L10980" t="s">
        <v>3034</v>
      </c>
      <c r="M10980" t="s">
        <v>40806</v>
      </c>
      <c r="N10980" t="s">
        <v>41249</v>
      </c>
      <c r="O10980" t="s">
        <v>41250</v>
      </c>
      <c r="P10980">
        <v>0</v>
      </c>
      <c r="Q10980">
        <v>1</v>
      </c>
      <c r="R10980" t="s">
        <v>41264</v>
      </c>
      <c r="S10980" t="s">
        <v>41775</v>
      </c>
      <c r="T10980" t="s">
        <v>42698</v>
      </c>
      <c r="U10980" t="s">
        <v>52018</v>
      </c>
      <c r="V10980" t="s">
        <v>55517</v>
      </c>
      <c r="W10980" t="s">
        <v>40806</v>
      </c>
      <c r="X10980" t="s">
        <v>41265</v>
      </c>
    </row>
    <row r="10981" spans="1:24">
      <c r="A10981">
        <f>HYPERLINK("https://www.philgeps.gov.ph/GEPSNONPILOT/Tender/SplashBidNoticeAbstractUI.aspx?menuIndex=3&amp;refID=7053807&amp;Result=3","7053807")</f>
        <v>0</v>
      </c>
      <c r="B10981" t="s">
        <v>2757</v>
      </c>
      <c r="C10981" t="s">
        <v>13882</v>
      </c>
      <c r="D10981" t="s">
        <v>16677</v>
      </c>
      <c r="E10981" t="s">
        <v>26210</v>
      </c>
      <c r="F10981" t="s">
        <v>28669</v>
      </c>
      <c r="G10981" t="s">
        <v>28675</v>
      </c>
      <c r="H10981" t="s">
        <v>9998</v>
      </c>
      <c r="I10981" t="s">
        <v>28688</v>
      </c>
      <c r="J10981" t="s">
        <v>28920</v>
      </c>
      <c r="K10981" t="s">
        <v>37216</v>
      </c>
      <c r="M10981" t="s">
        <v>40475</v>
      </c>
      <c r="N10981" t="s">
        <v>41249</v>
      </c>
      <c r="O10981" t="s">
        <v>41250</v>
      </c>
      <c r="P10981">
        <v>0</v>
      </c>
      <c r="Q10981">
        <v>5</v>
      </c>
      <c r="R10981" t="s">
        <v>41264</v>
      </c>
      <c r="S10981" t="s">
        <v>41775</v>
      </c>
      <c r="T10981" t="s">
        <v>42881</v>
      </c>
      <c r="U10981" t="s">
        <v>52020</v>
      </c>
      <c r="W10981" t="s">
        <v>40475</v>
      </c>
      <c r="X10981" t="s">
        <v>41265</v>
      </c>
    </row>
    <row r="10982" spans="1:24">
      <c r="A10982">
        <f>HYPERLINK("https://www.philgeps.gov.ph/GEPSNONPILOT/Tender/SplashBidNoticeAbstractUI.aspx?menuIndex=3&amp;refID=7053998&amp;Result=3","7053998")</f>
        <v>0</v>
      </c>
      <c r="B10982" t="s">
        <v>3032</v>
      </c>
      <c r="C10982" t="s">
        <v>13883</v>
      </c>
      <c r="D10982" t="s">
        <v>16671</v>
      </c>
      <c r="E10982" t="s">
        <v>26211</v>
      </c>
      <c r="F10982" t="s">
        <v>28669</v>
      </c>
      <c r="G10982" t="s">
        <v>28675</v>
      </c>
      <c r="H10982" t="s">
        <v>28686</v>
      </c>
      <c r="I10982" t="s">
        <v>28689</v>
      </c>
      <c r="J10982" t="s">
        <v>35594</v>
      </c>
      <c r="K10982" t="s">
        <v>37214</v>
      </c>
      <c r="M10982" t="s">
        <v>40804</v>
      </c>
      <c r="N10982" t="s">
        <v>41249</v>
      </c>
      <c r="O10982" t="s">
        <v>41250</v>
      </c>
      <c r="P10982">
        <v>0</v>
      </c>
      <c r="Q10982">
        <v>0</v>
      </c>
      <c r="R10982" t="s">
        <v>41264</v>
      </c>
      <c r="S10982" t="s">
        <v>41775</v>
      </c>
      <c r="T10982" t="s">
        <v>42687</v>
      </c>
      <c r="U10982" t="s">
        <v>51983</v>
      </c>
      <c r="V10982" t="s">
        <v>55516</v>
      </c>
      <c r="W10982" t="s">
        <v>40804</v>
      </c>
      <c r="X10982" t="s">
        <v>41265</v>
      </c>
    </row>
    <row r="10983" spans="1:24">
      <c r="A10983">
        <f>HYPERLINK("https://www.philgeps.gov.ph/GEPSNONPILOT/Tender/SplashBidNoticeAbstractUI.aspx?menuIndex=3&amp;refID=7053831&amp;Result=3","7053831")</f>
        <v>0</v>
      </c>
      <c r="B10983" t="s">
        <v>2807</v>
      </c>
      <c r="C10983" t="s">
        <v>13884</v>
      </c>
      <c r="D10983" t="s">
        <v>16671</v>
      </c>
      <c r="E10983" t="s">
        <v>26212</v>
      </c>
      <c r="F10983" t="s">
        <v>28669</v>
      </c>
      <c r="G10983" t="s">
        <v>28675</v>
      </c>
      <c r="H10983" t="s">
        <v>28686</v>
      </c>
      <c r="I10983" t="s">
        <v>28689</v>
      </c>
      <c r="J10983" t="s">
        <v>30503</v>
      </c>
      <c r="K10983" t="s">
        <v>37215</v>
      </c>
      <c r="M10983" t="s">
        <v>40534</v>
      </c>
      <c r="N10983" t="s">
        <v>41249</v>
      </c>
      <c r="O10983" t="s">
        <v>41250</v>
      </c>
      <c r="Q10983">
        <v>1</v>
      </c>
      <c r="R10983" t="s">
        <v>41264</v>
      </c>
      <c r="S10983" t="s">
        <v>41819</v>
      </c>
      <c r="T10983" t="s">
        <v>42714</v>
      </c>
      <c r="U10983" t="s">
        <v>52021</v>
      </c>
      <c r="V10983" t="s">
        <v>43697</v>
      </c>
      <c r="W10983" t="s">
        <v>40534</v>
      </c>
      <c r="X10983" t="s">
        <v>41265</v>
      </c>
    </row>
    <row r="10984" spans="1:24">
      <c r="A10984">
        <f>HYPERLINK("https://www.philgeps.gov.ph/GEPSNONPILOT/Tender/SplashBidNoticeAbstractUI.aspx?menuIndex=3&amp;refID=7053975&amp;Result=3","7053975")</f>
        <v>0</v>
      </c>
      <c r="B10984" t="s">
        <v>1397</v>
      </c>
      <c r="C10984" t="s">
        <v>13885</v>
      </c>
      <c r="D10984" t="s">
        <v>16640</v>
      </c>
      <c r="E10984" t="s">
        <v>26213</v>
      </c>
      <c r="F10984" t="s">
        <v>28669</v>
      </c>
      <c r="G10984" t="s">
        <v>28675</v>
      </c>
      <c r="H10984" t="s">
        <v>28686</v>
      </c>
      <c r="I10984" t="s">
        <v>28689</v>
      </c>
      <c r="J10984" t="s">
        <v>28836</v>
      </c>
      <c r="K10984" t="s">
        <v>37220</v>
      </c>
      <c r="M10984" t="s">
        <v>40812</v>
      </c>
      <c r="N10984" t="s">
        <v>41249</v>
      </c>
      <c r="O10984" t="s">
        <v>41250</v>
      </c>
      <c r="Q10984">
        <v>11</v>
      </c>
      <c r="R10984" t="s">
        <v>41264</v>
      </c>
      <c r="S10984" t="s">
        <v>41650</v>
      </c>
      <c r="T10984" t="s">
        <v>42690</v>
      </c>
      <c r="U10984" t="s">
        <v>52022</v>
      </c>
      <c r="V10984" t="s">
        <v>55524</v>
      </c>
      <c r="W10984" t="s">
        <v>40812</v>
      </c>
      <c r="X10984" t="s">
        <v>41265</v>
      </c>
    </row>
    <row r="10985" spans="1:24">
      <c r="A10985">
        <f>HYPERLINK("https://www.philgeps.gov.ph/GEPSNONPILOT/Tender/SplashBidNoticeAbstractUI.aspx?menuIndex=3&amp;refID=7053990&amp;Result=3","7053990")</f>
        <v>0</v>
      </c>
      <c r="B10985" t="s">
        <v>3039</v>
      </c>
      <c r="C10985" t="s">
        <v>9998</v>
      </c>
      <c r="D10985" t="s">
        <v>16631</v>
      </c>
      <c r="E10985" t="s">
        <v>17140</v>
      </c>
      <c r="F10985" t="s">
        <v>28669</v>
      </c>
      <c r="G10985" t="s">
        <v>28675</v>
      </c>
      <c r="H10985" t="s">
        <v>9998</v>
      </c>
      <c r="I10985" t="s">
        <v>8667</v>
      </c>
      <c r="J10985" t="s">
        <v>28905</v>
      </c>
      <c r="K10985" t="s">
        <v>37243</v>
      </c>
      <c r="M10985" t="s">
        <v>40813</v>
      </c>
      <c r="N10985" t="s">
        <v>41249</v>
      </c>
      <c r="O10985" t="s">
        <v>41250</v>
      </c>
      <c r="P10985">
        <v>0</v>
      </c>
      <c r="Q10985">
        <v>0</v>
      </c>
      <c r="R10985" t="s">
        <v>41264</v>
      </c>
      <c r="S10985" t="s">
        <v>41775</v>
      </c>
      <c r="T10985" t="s">
        <v>42670</v>
      </c>
      <c r="U10985" t="s">
        <v>52023</v>
      </c>
      <c r="W10985" t="s">
        <v>40813</v>
      </c>
      <c r="X10985" t="s">
        <v>41265</v>
      </c>
    </row>
    <row r="10986" spans="1:24">
      <c r="A10986">
        <f>HYPERLINK("https://www.philgeps.gov.ph/GEPSNONPILOT/Tender/SplashBidNoticeAbstractUI.aspx?menuIndex=3&amp;refID=7053980&amp;Result=3","7053980")</f>
        <v>0</v>
      </c>
      <c r="B10986" t="s">
        <v>3034</v>
      </c>
      <c r="C10986" t="s">
        <v>13886</v>
      </c>
      <c r="D10986" t="s">
        <v>16626</v>
      </c>
      <c r="E10986" t="s">
        <v>23670</v>
      </c>
      <c r="F10986" t="s">
        <v>28669</v>
      </c>
      <c r="G10986" t="s">
        <v>28675</v>
      </c>
      <c r="H10986" t="s">
        <v>9998</v>
      </c>
      <c r="I10986" t="s">
        <v>7352</v>
      </c>
      <c r="J10986" t="s">
        <v>31626</v>
      </c>
      <c r="K10986" t="s">
        <v>37204</v>
      </c>
      <c r="L10986" t="s">
        <v>3034</v>
      </c>
      <c r="M10986" t="s">
        <v>40806</v>
      </c>
      <c r="N10986" t="s">
        <v>41249</v>
      </c>
      <c r="O10986" t="s">
        <v>41250</v>
      </c>
      <c r="P10986">
        <v>0</v>
      </c>
      <c r="Q10986">
        <v>0</v>
      </c>
      <c r="R10986" t="s">
        <v>41264</v>
      </c>
      <c r="S10986" t="s">
        <v>41775</v>
      </c>
      <c r="T10986" t="s">
        <v>42698</v>
      </c>
      <c r="U10986" t="s">
        <v>52018</v>
      </c>
      <c r="V10986" t="s">
        <v>55517</v>
      </c>
      <c r="W10986" t="s">
        <v>40806</v>
      </c>
      <c r="X10986" t="s">
        <v>41265</v>
      </c>
    </row>
    <row r="10987" spans="1:24">
      <c r="A10987">
        <f>HYPERLINK("https://www.philgeps.gov.ph/GEPSNONPILOT/Tender/SplashBidNoticeAbstractUI.aspx?menuIndex=3&amp;refID=7053938&amp;Result=3","7053938")</f>
        <v>0</v>
      </c>
      <c r="B10987" t="s">
        <v>3034</v>
      </c>
      <c r="C10987" t="s">
        <v>13887</v>
      </c>
      <c r="D10987" t="s">
        <v>16626</v>
      </c>
      <c r="E10987" t="s">
        <v>26214</v>
      </c>
      <c r="F10987" t="s">
        <v>28669</v>
      </c>
      <c r="G10987" t="s">
        <v>28675</v>
      </c>
      <c r="H10987" t="s">
        <v>9998</v>
      </c>
      <c r="I10987" t="s">
        <v>28729</v>
      </c>
      <c r="J10987" t="s">
        <v>29980</v>
      </c>
      <c r="K10987" t="s">
        <v>37204</v>
      </c>
      <c r="L10987" t="s">
        <v>3034</v>
      </c>
      <c r="M10987" t="s">
        <v>40806</v>
      </c>
      <c r="N10987" t="s">
        <v>41249</v>
      </c>
      <c r="O10987" t="s">
        <v>41250</v>
      </c>
      <c r="P10987">
        <v>0</v>
      </c>
      <c r="Q10987">
        <v>3</v>
      </c>
      <c r="R10987" t="s">
        <v>41264</v>
      </c>
      <c r="S10987" t="s">
        <v>41775</v>
      </c>
      <c r="T10987" t="s">
        <v>42698</v>
      </c>
      <c r="U10987" t="s">
        <v>52018</v>
      </c>
      <c r="V10987" t="s">
        <v>55517</v>
      </c>
      <c r="W10987" t="s">
        <v>40806</v>
      </c>
      <c r="X10987" t="s">
        <v>41265</v>
      </c>
    </row>
    <row r="10988" spans="1:24">
      <c r="A10988">
        <f>HYPERLINK("https://www.philgeps.gov.ph/GEPSNONPILOT/Tender/SplashBidNoticeAbstractUI.aspx?menuIndex=3&amp;refID=7053933&amp;Result=3","7053933")</f>
        <v>0</v>
      </c>
      <c r="B10988" t="s">
        <v>1698</v>
      </c>
      <c r="C10988" t="s">
        <v>13888</v>
      </c>
      <c r="E10988" t="s">
        <v>26215</v>
      </c>
      <c r="F10988" t="s">
        <v>28669</v>
      </c>
      <c r="G10988" t="s">
        <v>28675</v>
      </c>
      <c r="H10988" t="s">
        <v>9998</v>
      </c>
      <c r="I10988" t="s">
        <v>7352</v>
      </c>
      <c r="J10988" t="s">
        <v>35595</v>
      </c>
      <c r="K10988" t="s">
        <v>37209</v>
      </c>
      <c r="M10988" t="s">
        <v>39295</v>
      </c>
      <c r="N10988" t="s">
        <v>41249</v>
      </c>
      <c r="O10988" t="s">
        <v>41250</v>
      </c>
      <c r="P10988">
        <v>0</v>
      </c>
      <c r="Q10988">
        <v>3</v>
      </c>
      <c r="R10988" t="s">
        <v>41264</v>
      </c>
      <c r="S10988" t="s">
        <v>41775</v>
      </c>
      <c r="T10988" t="s">
        <v>42690</v>
      </c>
      <c r="U10988" t="s">
        <v>48672</v>
      </c>
      <c r="W10988" t="s">
        <v>55970</v>
      </c>
      <c r="X10988" t="s">
        <v>41265</v>
      </c>
    </row>
    <row r="10989" spans="1:24">
      <c r="A10989">
        <f>HYPERLINK("https://www.philgeps.gov.ph/GEPSNONPILOT/Tender/SplashBidNoticeAbstractUI.aspx?menuIndex=3&amp;refID=7053794&amp;Result=3","7053794")</f>
        <v>0</v>
      </c>
      <c r="B10989" t="s">
        <v>2757</v>
      </c>
      <c r="C10989" t="s">
        <v>13889</v>
      </c>
      <c r="D10989" t="s">
        <v>16677</v>
      </c>
      <c r="E10989" t="s">
        <v>26216</v>
      </c>
      <c r="F10989" t="s">
        <v>28669</v>
      </c>
      <c r="G10989" t="s">
        <v>28675</v>
      </c>
      <c r="H10989" t="s">
        <v>9998</v>
      </c>
      <c r="I10989" t="s">
        <v>3718</v>
      </c>
      <c r="J10989" t="s">
        <v>35596</v>
      </c>
      <c r="K10989" t="s">
        <v>37220</v>
      </c>
      <c r="M10989" t="s">
        <v>40475</v>
      </c>
      <c r="N10989" t="s">
        <v>41249</v>
      </c>
      <c r="O10989" t="s">
        <v>41250</v>
      </c>
      <c r="P10989">
        <v>0</v>
      </c>
      <c r="Q10989">
        <v>7</v>
      </c>
      <c r="R10989" t="s">
        <v>41264</v>
      </c>
      <c r="S10989" t="s">
        <v>41775</v>
      </c>
      <c r="T10989" t="s">
        <v>42881</v>
      </c>
      <c r="U10989" t="s">
        <v>52024</v>
      </c>
      <c r="W10989" t="s">
        <v>40475</v>
      </c>
      <c r="X10989" t="s">
        <v>41265</v>
      </c>
    </row>
    <row r="10990" spans="1:24">
      <c r="A10990">
        <f>HYPERLINK("https://www.philgeps.gov.ph/GEPSNONPILOT/Tender/SplashBidNoticeAbstractUI.aspx?menuIndex=3&amp;refID=7053928&amp;Result=3","7053928")</f>
        <v>0</v>
      </c>
      <c r="B10990" t="s">
        <v>3032</v>
      </c>
      <c r="C10990" t="s">
        <v>13890</v>
      </c>
      <c r="D10990" t="s">
        <v>16671</v>
      </c>
      <c r="E10990" t="s">
        <v>26217</v>
      </c>
      <c r="F10990" t="s">
        <v>28669</v>
      </c>
      <c r="G10990" t="s">
        <v>28675</v>
      </c>
      <c r="H10990" t="s">
        <v>28686</v>
      </c>
      <c r="I10990" t="s">
        <v>28689</v>
      </c>
      <c r="J10990" t="s">
        <v>35597</v>
      </c>
      <c r="K10990" t="s">
        <v>37214</v>
      </c>
      <c r="M10990" t="s">
        <v>40804</v>
      </c>
      <c r="N10990" t="s">
        <v>41249</v>
      </c>
      <c r="O10990" t="s">
        <v>41250</v>
      </c>
      <c r="P10990">
        <v>0</v>
      </c>
      <c r="Q10990">
        <v>0</v>
      </c>
      <c r="R10990" t="s">
        <v>41264</v>
      </c>
      <c r="S10990" t="s">
        <v>41775</v>
      </c>
      <c r="T10990" t="s">
        <v>42687</v>
      </c>
      <c r="U10990" t="s">
        <v>51983</v>
      </c>
      <c r="V10990" t="s">
        <v>55516</v>
      </c>
      <c r="W10990" t="s">
        <v>40804</v>
      </c>
      <c r="X10990" t="s">
        <v>41265</v>
      </c>
    </row>
    <row r="10991" spans="1:24">
      <c r="A10991">
        <f>HYPERLINK("https://www.philgeps.gov.ph/GEPSNONPILOT/Tender/SplashBidNoticeAbstractUI.aspx?menuIndex=3&amp;refID=7053910&amp;Result=3","7053910")</f>
        <v>0</v>
      </c>
      <c r="B10991" t="s">
        <v>2053</v>
      </c>
      <c r="C10991" t="s">
        <v>13891</v>
      </c>
      <c r="D10991" t="s">
        <v>16663</v>
      </c>
      <c r="E10991" t="s">
        <v>26218</v>
      </c>
      <c r="F10991" t="s">
        <v>28669</v>
      </c>
      <c r="G10991" t="s">
        <v>28675</v>
      </c>
      <c r="H10991" t="s">
        <v>9998</v>
      </c>
      <c r="I10991" t="s">
        <v>28697</v>
      </c>
      <c r="J10991" t="s">
        <v>35598</v>
      </c>
      <c r="K10991" t="s">
        <v>37206</v>
      </c>
      <c r="M10991" t="s">
        <v>39693</v>
      </c>
      <c r="N10991" t="s">
        <v>41249</v>
      </c>
      <c r="O10991" t="s">
        <v>41250</v>
      </c>
      <c r="Q10991">
        <v>11</v>
      </c>
      <c r="R10991" t="s">
        <v>41264</v>
      </c>
      <c r="S10991" t="s">
        <v>41820</v>
      </c>
      <c r="T10991" t="s">
        <v>42696</v>
      </c>
      <c r="U10991" t="s">
        <v>52025</v>
      </c>
      <c r="W10991" t="s">
        <v>39693</v>
      </c>
      <c r="X10991" t="s">
        <v>41265</v>
      </c>
    </row>
    <row r="10992" spans="1:24">
      <c r="A10992">
        <f>HYPERLINK("https://www.philgeps.gov.ph/GEPSNONPILOT/Tender/SplashBidNoticeAbstractUI.aspx?menuIndex=3&amp;refID=7053885&amp;Result=3","7053885")</f>
        <v>0</v>
      </c>
      <c r="B10992" t="s">
        <v>3034</v>
      </c>
      <c r="C10992" t="s">
        <v>13892</v>
      </c>
      <c r="D10992" t="s">
        <v>16626</v>
      </c>
      <c r="E10992" t="s">
        <v>26219</v>
      </c>
      <c r="F10992" t="s">
        <v>28669</v>
      </c>
      <c r="G10992" t="s">
        <v>28675</v>
      </c>
      <c r="H10992" t="s">
        <v>9998</v>
      </c>
      <c r="I10992" t="s">
        <v>28709</v>
      </c>
      <c r="J10992" t="s">
        <v>29438</v>
      </c>
      <c r="K10992" t="s">
        <v>37204</v>
      </c>
      <c r="L10992" t="s">
        <v>3034</v>
      </c>
      <c r="M10992" t="s">
        <v>40806</v>
      </c>
      <c r="N10992" t="s">
        <v>41249</v>
      </c>
      <c r="O10992" t="s">
        <v>41250</v>
      </c>
      <c r="P10992">
        <v>0</v>
      </c>
      <c r="Q10992">
        <v>0</v>
      </c>
      <c r="R10992" t="s">
        <v>41264</v>
      </c>
      <c r="S10992" t="s">
        <v>41775</v>
      </c>
      <c r="T10992" t="s">
        <v>42698</v>
      </c>
      <c r="U10992" t="s">
        <v>52018</v>
      </c>
      <c r="V10992" t="s">
        <v>55517</v>
      </c>
      <c r="W10992" t="s">
        <v>40806</v>
      </c>
      <c r="X10992" t="s">
        <v>41265</v>
      </c>
    </row>
    <row r="10993" spans="1:24">
      <c r="A10993">
        <f>HYPERLINK("https://www.philgeps.gov.ph/GEPSNONPILOT/Tender/SplashBidNoticeAbstractUI.aspx?menuIndex=3&amp;refID=7053955&amp;Result=3","7053955")</f>
        <v>0</v>
      </c>
      <c r="B10993" t="s">
        <v>3034</v>
      </c>
      <c r="C10993" t="s">
        <v>13893</v>
      </c>
      <c r="D10993" t="s">
        <v>16626</v>
      </c>
      <c r="E10993" t="s">
        <v>26220</v>
      </c>
      <c r="F10993" t="s">
        <v>28669</v>
      </c>
      <c r="G10993" t="s">
        <v>28675</v>
      </c>
      <c r="H10993" t="s">
        <v>9998</v>
      </c>
      <c r="I10993" t="s">
        <v>11142</v>
      </c>
      <c r="J10993" t="s">
        <v>32274</v>
      </c>
      <c r="K10993" t="s">
        <v>37204</v>
      </c>
      <c r="L10993" t="s">
        <v>3034</v>
      </c>
      <c r="M10993" t="s">
        <v>40806</v>
      </c>
      <c r="N10993" t="s">
        <v>41249</v>
      </c>
      <c r="O10993" t="s">
        <v>41250</v>
      </c>
      <c r="P10993">
        <v>0</v>
      </c>
      <c r="Q10993">
        <v>0</v>
      </c>
      <c r="R10993" t="s">
        <v>41264</v>
      </c>
      <c r="S10993" t="s">
        <v>41775</v>
      </c>
      <c r="T10993" t="s">
        <v>42698</v>
      </c>
      <c r="U10993" t="s">
        <v>52018</v>
      </c>
      <c r="V10993" t="s">
        <v>55517</v>
      </c>
      <c r="W10993" t="s">
        <v>40806</v>
      </c>
      <c r="X10993" t="s">
        <v>41265</v>
      </c>
    </row>
    <row r="10994" spans="1:24">
      <c r="A10994">
        <f>HYPERLINK("https://www.philgeps.gov.ph/GEPSNONPILOT/Tender/SplashBidNoticeAbstractUI.aspx?menuIndex=3&amp;refID=7053876&amp;Result=3","7053876")</f>
        <v>0</v>
      </c>
      <c r="B10994" t="s">
        <v>101</v>
      </c>
      <c r="C10994" t="s">
        <v>13894</v>
      </c>
      <c r="D10994" t="s">
        <v>16644</v>
      </c>
      <c r="E10994" t="s">
        <v>26221</v>
      </c>
      <c r="F10994" t="s">
        <v>28673</v>
      </c>
      <c r="G10994" t="s">
        <v>28676</v>
      </c>
      <c r="H10994" t="s">
        <v>9998</v>
      </c>
      <c r="I10994" t="s">
        <v>28716</v>
      </c>
      <c r="J10994" t="s">
        <v>35599</v>
      </c>
      <c r="K10994" t="s">
        <v>37205</v>
      </c>
      <c r="M10994" t="s">
        <v>40737</v>
      </c>
      <c r="N10994" t="s">
        <v>41249</v>
      </c>
      <c r="O10994" t="s">
        <v>41250</v>
      </c>
      <c r="Q10994">
        <v>10</v>
      </c>
      <c r="R10994" t="s">
        <v>41264</v>
      </c>
      <c r="S10994" t="s">
        <v>41821</v>
      </c>
      <c r="T10994" t="s">
        <v>42811</v>
      </c>
      <c r="U10994" t="s">
        <v>52026</v>
      </c>
      <c r="W10994" t="s">
        <v>40737</v>
      </c>
      <c r="X10994" t="s">
        <v>41265</v>
      </c>
    </row>
    <row r="10995" spans="1:24">
      <c r="A10995">
        <f>HYPERLINK("https://www.philgeps.gov.ph/GEPSNONPILOT/Tender/SplashBidNoticeAbstractUI.aspx?menuIndex=3&amp;refID=7054107&amp;Result=3","7054107")</f>
        <v>0</v>
      </c>
      <c r="B10995" t="s">
        <v>2669</v>
      </c>
      <c r="C10995" t="s">
        <v>13895</v>
      </c>
      <c r="D10995" t="s">
        <v>16662</v>
      </c>
      <c r="E10995" t="s">
        <v>26222</v>
      </c>
      <c r="F10995" t="s">
        <v>28669</v>
      </c>
      <c r="G10995" t="s">
        <v>28675</v>
      </c>
      <c r="H10995" t="s">
        <v>28686</v>
      </c>
      <c r="I10995" t="s">
        <v>28689</v>
      </c>
      <c r="J10995" t="s">
        <v>35600</v>
      </c>
      <c r="K10995" t="s">
        <v>37213</v>
      </c>
      <c r="M10995" t="s">
        <v>40377</v>
      </c>
      <c r="N10995" t="s">
        <v>41249</v>
      </c>
      <c r="O10995" t="s">
        <v>41250</v>
      </c>
      <c r="P10995">
        <v>0</v>
      </c>
      <c r="Q10995">
        <v>1</v>
      </c>
      <c r="R10995" t="s">
        <v>41264</v>
      </c>
      <c r="S10995" t="s">
        <v>41775</v>
      </c>
      <c r="T10995" t="s">
        <v>42836</v>
      </c>
      <c r="U10995" t="s">
        <v>52027</v>
      </c>
      <c r="V10995" t="s">
        <v>55525</v>
      </c>
      <c r="W10995" t="s">
        <v>40377</v>
      </c>
      <c r="X10995" t="s">
        <v>41265</v>
      </c>
    </row>
    <row r="10996" spans="1:24">
      <c r="A10996">
        <f>HYPERLINK("https://www.philgeps.gov.ph/GEPSNONPILOT/Tender/SplashBidNoticeAbstractUI.aspx?menuIndex=3&amp;refID=7054105&amp;Result=3","7054105")</f>
        <v>0</v>
      </c>
      <c r="B10996" t="s">
        <v>1397</v>
      </c>
      <c r="C10996" t="s">
        <v>13896</v>
      </c>
      <c r="D10996" t="s">
        <v>16640</v>
      </c>
      <c r="E10996" t="s">
        <v>26223</v>
      </c>
      <c r="F10996" t="s">
        <v>28669</v>
      </c>
      <c r="G10996" t="s">
        <v>28675</v>
      </c>
      <c r="H10996" t="s">
        <v>28686</v>
      </c>
      <c r="I10996" t="s">
        <v>28689</v>
      </c>
      <c r="J10996" t="s">
        <v>35601</v>
      </c>
      <c r="K10996" t="s">
        <v>37220</v>
      </c>
      <c r="M10996" t="s">
        <v>40812</v>
      </c>
      <c r="N10996" t="s">
        <v>41249</v>
      </c>
      <c r="O10996" t="s">
        <v>41250</v>
      </c>
      <c r="Q10996">
        <v>10</v>
      </c>
      <c r="R10996" t="s">
        <v>41264</v>
      </c>
      <c r="S10996" t="s">
        <v>41822</v>
      </c>
      <c r="T10996" t="s">
        <v>42690</v>
      </c>
      <c r="U10996" t="s">
        <v>52022</v>
      </c>
      <c r="V10996" t="s">
        <v>55524</v>
      </c>
      <c r="W10996" t="s">
        <v>40812</v>
      </c>
      <c r="X10996" t="s">
        <v>41265</v>
      </c>
    </row>
    <row r="10997" spans="1:24">
      <c r="A10997">
        <f>HYPERLINK("https://www.philgeps.gov.ph/GEPSNONPILOT/Tender/SplashBidNoticeAbstractUI.aspx?menuIndex=3&amp;refID=7054102&amp;Result=3","7054102")</f>
        <v>0</v>
      </c>
      <c r="B10997" t="s">
        <v>3032</v>
      </c>
      <c r="C10997" t="s">
        <v>13897</v>
      </c>
      <c r="D10997" t="s">
        <v>16671</v>
      </c>
      <c r="E10997" t="s">
        <v>26224</v>
      </c>
      <c r="F10997" t="s">
        <v>28669</v>
      </c>
      <c r="G10997" t="s">
        <v>28675</v>
      </c>
      <c r="H10997" t="s">
        <v>9998</v>
      </c>
      <c r="I10997" t="s">
        <v>7352</v>
      </c>
      <c r="J10997" t="s">
        <v>35602</v>
      </c>
      <c r="K10997" t="s">
        <v>37210</v>
      </c>
      <c r="M10997" t="s">
        <v>40804</v>
      </c>
      <c r="N10997" t="s">
        <v>41249</v>
      </c>
      <c r="O10997" t="s">
        <v>41250</v>
      </c>
      <c r="P10997">
        <v>0</v>
      </c>
      <c r="Q10997">
        <v>0</v>
      </c>
      <c r="R10997" t="s">
        <v>41264</v>
      </c>
      <c r="S10997" t="s">
        <v>41775</v>
      </c>
      <c r="T10997" t="s">
        <v>42687</v>
      </c>
      <c r="U10997" t="s">
        <v>52028</v>
      </c>
      <c r="V10997" t="s">
        <v>55526</v>
      </c>
      <c r="W10997" t="s">
        <v>40804</v>
      </c>
      <c r="X10997" t="s">
        <v>41265</v>
      </c>
    </row>
    <row r="10998" spans="1:24">
      <c r="A10998">
        <f>HYPERLINK("https://www.philgeps.gov.ph/GEPSNONPILOT/Tender/SplashBidNoticeAbstractUI.aspx?menuIndex=3&amp;refID=7053965&amp;Result=3","7053965")</f>
        <v>0</v>
      </c>
      <c r="B10998" t="s">
        <v>3014</v>
      </c>
      <c r="C10998" t="s">
        <v>13898</v>
      </c>
      <c r="D10998" t="s">
        <v>16624</v>
      </c>
      <c r="E10998" t="s">
        <v>26225</v>
      </c>
      <c r="F10998" t="s">
        <v>28669</v>
      </c>
      <c r="G10998" t="s">
        <v>28675</v>
      </c>
      <c r="H10998" t="s">
        <v>28686</v>
      </c>
      <c r="I10998" t="s">
        <v>28689</v>
      </c>
      <c r="J10998" t="s">
        <v>35603</v>
      </c>
      <c r="K10998" t="s">
        <v>37447</v>
      </c>
      <c r="M10998" t="s">
        <v>40784</v>
      </c>
      <c r="N10998" t="s">
        <v>41249</v>
      </c>
      <c r="O10998" t="s">
        <v>41250</v>
      </c>
      <c r="P10998">
        <v>0</v>
      </c>
      <c r="Q10998">
        <v>0</v>
      </c>
      <c r="R10998" t="s">
        <v>41264</v>
      </c>
      <c r="S10998" t="s">
        <v>41775</v>
      </c>
      <c r="T10998" t="s">
        <v>42687</v>
      </c>
      <c r="U10998" t="s">
        <v>52029</v>
      </c>
      <c r="W10998" t="s">
        <v>40784</v>
      </c>
      <c r="X10998" t="s">
        <v>41265</v>
      </c>
    </row>
    <row r="10999" spans="1:24">
      <c r="A10999">
        <f>HYPERLINK("https://www.philgeps.gov.ph/GEPSNONPILOT/Tender/SplashBidNoticeAbstractUI.aspx?menuIndex=3&amp;refID=7054084&amp;Result=3","7054084")</f>
        <v>0</v>
      </c>
      <c r="B10999" t="s">
        <v>1397</v>
      </c>
      <c r="C10999" t="s">
        <v>13899</v>
      </c>
      <c r="D10999" t="s">
        <v>16640</v>
      </c>
      <c r="E10999" t="s">
        <v>26226</v>
      </c>
      <c r="F10999" t="s">
        <v>28669</v>
      </c>
      <c r="G10999" t="s">
        <v>28675</v>
      </c>
      <c r="H10999" t="s">
        <v>28686</v>
      </c>
      <c r="I10999" t="s">
        <v>28689</v>
      </c>
      <c r="J10999" t="s">
        <v>28924</v>
      </c>
      <c r="K10999" t="s">
        <v>37213</v>
      </c>
      <c r="M10999" t="s">
        <v>40812</v>
      </c>
      <c r="N10999" t="s">
        <v>41249</v>
      </c>
      <c r="O10999" t="s">
        <v>41250</v>
      </c>
      <c r="Q10999">
        <v>11</v>
      </c>
      <c r="R10999" t="s">
        <v>41264</v>
      </c>
      <c r="S10999" t="s">
        <v>41823</v>
      </c>
      <c r="T10999" t="s">
        <v>42690</v>
      </c>
      <c r="U10999" t="s">
        <v>52022</v>
      </c>
      <c r="V10999" t="s">
        <v>55524</v>
      </c>
      <c r="W10999" t="s">
        <v>40812</v>
      </c>
      <c r="X10999" t="s">
        <v>41265</v>
      </c>
    </row>
    <row r="11000" spans="1:24">
      <c r="A11000">
        <f>HYPERLINK("https://www.philgeps.gov.ph/GEPSNONPILOT/Tender/SplashBidNoticeAbstractUI.aspx?menuIndex=3&amp;refID=7053894&amp;Result=3","7053894")</f>
        <v>0</v>
      </c>
      <c r="B11000" t="s">
        <v>2807</v>
      </c>
      <c r="C11000" t="s">
        <v>13900</v>
      </c>
      <c r="D11000" t="s">
        <v>16671</v>
      </c>
      <c r="E11000" t="s">
        <v>26227</v>
      </c>
      <c r="F11000" t="s">
        <v>28669</v>
      </c>
      <c r="G11000" t="s">
        <v>28675</v>
      </c>
      <c r="H11000" t="s">
        <v>28686</v>
      </c>
      <c r="I11000" t="s">
        <v>28689</v>
      </c>
      <c r="J11000" t="s">
        <v>30286</v>
      </c>
      <c r="K11000" t="s">
        <v>37285</v>
      </c>
      <c r="M11000" t="s">
        <v>40534</v>
      </c>
      <c r="N11000" t="s">
        <v>41249</v>
      </c>
      <c r="O11000" t="s">
        <v>41250</v>
      </c>
      <c r="Q11000">
        <v>1</v>
      </c>
      <c r="R11000" t="s">
        <v>41264</v>
      </c>
      <c r="S11000" t="s">
        <v>41824</v>
      </c>
      <c r="T11000" t="s">
        <v>42714</v>
      </c>
      <c r="U11000" t="s">
        <v>52030</v>
      </c>
      <c r="V11000" t="s">
        <v>43697</v>
      </c>
      <c r="W11000" t="s">
        <v>40534</v>
      </c>
      <c r="X11000" t="s">
        <v>41265</v>
      </c>
    </row>
    <row r="11001" spans="1:24">
      <c r="A11001">
        <f>HYPERLINK("https://www.philgeps.gov.ph/GEPSNONPILOT/Tender/SplashBidNoticeAbstractUI.aspx?menuIndex=3&amp;refID=7053997&amp;Result=3","7053997")</f>
        <v>0</v>
      </c>
      <c r="B11001" t="s">
        <v>2053</v>
      </c>
      <c r="C11001" t="s">
        <v>13901</v>
      </c>
      <c r="D11001" t="s">
        <v>16663</v>
      </c>
      <c r="E11001" t="s">
        <v>26228</v>
      </c>
      <c r="F11001" t="s">
        <v>28669</v>
      </c>
      <c r="G11001" t="s">
        <v>28675</v>
      </c>
      <c r="H11001" t="s">
        <v>9998</v>
      </c>
      <c r="I11001" t="s">
        <v>28697</v>
      </c>
      <c r="J11001" t="s">
        <v>35604</v>
      </c>
      <c r="K11001" t="s">
        <v>37206</v>
      </c>
      <c r="M11001" t="s">
        <v>39693</v>
      </c>
      <c r="N11001" t="s">
        <v>41249</v>
      </c>
      <c r="O11001" t="s">
        <v>41250</v>
      </c>
      <c r="Q11001">
        <v>9</v>
      </c>
      <c r="R11001" t="s">
        <v>41264</v>
      </c>
      <c r="S11001" t="s">
        <v>41825</v>
      </c>
      <c r="T11001" t="s">
        <v>42731</v>
      </c>
      <c r="U11001" t="s">
        <v>52031</v>
      </c>
      <c r="W11001" t="s">
        <v>39693</v>
      </c>
      <c r="X11001" t="s">
        <v>41265</v>
      </c>
    </row>
    <row r="11002" spans="1:24">
      <c r="A11002">
        <f>HYPERLINK("https://www.philgeps.gov.ph/GEPSNONPILOT/Tender/SplashBidNoticeAbstractUI.aspx?menuIndex=3&amp;refID=7054080&amp;Result=3","7054080")</f>
        <v>0</v>
      </c>
      <c r="B11002" t="s">
        <v>1036</v>
      </c>
      <c r="C11002" t="s">
        <v>13902</v>
      </c>
      <c r="D11002" t="s">
        <v>16677</v>
      </c>
      <c r="E11002" t="s">
        <v>17715</v>
      </c>
      <c r="F11002" t="s">
        <v>28669</v>
      </c>
      <c r="G11002" t="s">
        <v>28675</v>
      </c>
      <c r="H11002" t="s">
        <v>9998</v>
      </c>
      <c r="I11002" t="s">
        <v>28690</v>
      </c>
      <c r="J11002" t="s">
        <v>35605</v>
      </c>
      <c r="K11002" t="s">
        <v>37209</v>
      </c>
      <c r="M11002" t="s">
        <v>38567</v>
      </c>
      <c r="N11002" t="s">
        <v>41249</v>
      </c>
      <c r="O11002" t="s">
        <v>41250</v>
      </c>
      <c r="P11002">
        <v>0</v>
      </c>
      <c r="Q11002">
        <v>4</v>
      </c>
      <c r="R11002" t="s">
        <v>41264</v>
      </c>
      <c r="S11002" t="s">
        <v>41775</v>
      </c>
      <c r="T11002" t="s">
        <v>42714</v>
      </c>
      <c r="U11002" t="s">
        <v>52032</v>
      </c>
      <c r="V11002" t="s">
        <v>55527</v>
      </c>
      <c r="W11002" t="s">
        <v>38567</v>
      </c>
      <c r="X11002" t="s">
        <v>41265</v>
      </c>
    </row>
    <row r="11003" spans="1:24">
      <c r="A11003">
        <f>HYPERLINK("https://www.philgeps.gov.ph/GEPSNONPILOT/Tender/SplashBidNoticeAbstractUI.aspx?menuIndex=3&amp;refID=7054074&amp;Result=3","7054074")</f>
        <v>0</v>
      </c>
      <c r="B11003" t="s">
        <v>2669</v>
      </c>
      <c r="C11003" t="s">
        <v>13895</v>
      </c>
      <c r="D11003" t="s">
        <v>16662</v>
      </c>
      <c r="E11003" t="s">
        <v>26229</v>
      </c>
      <c r="F11003" t="s">
        <v>28669</v>
      </c>
      <c r="G11003" t="s">
        <v>28675</v>
      </c>
      <c r="H11003" t="s">
        <v>28686</v>
      </c>
      <c r="I11003" t="s">
        <v>28689</v>
      </c>
      <c r="J11003" t="s">
        <v>35606</v>
      </c>
      <c r="K11003" t="s">
        <v>37213</v>
      </c>
      <c r="M11003" t="s">
        <v>40377</v>
      </c>
      <c r="N11003" t="s">
        <v>41249</v>
      </c>
      <c r="O11003" t="s">
        <v>41250</v>
      </c>
      <c r="P11003">
        <v>0</v>
      </c>
      <c r="Q11003">
        <v>1</v>
      </c>
      <c r="R11003" t="s">
        <v>41264</v>
      </c>
      <c r="S11003" t="s">
        <v>41775</v>
      </c>
      <c r="T11003" t="s">
        <v>42836</v>
      </c>
      <c r="U11003" t="s">
        <v>52033</v>
      </c>
      <c r="V11003" t="s">
        <v>55528</v>
      </c>
      <c r="W11003" t="s">
        <v>40377</v>
      </c>
      <c r="X11003" t="s">
        <v>41265</v>
      </c>
    </row>
    <row r="11004" spans="1:24">
      <c r="A11004">
        <f>HYPERLINK("https://www.philgeps.gov.ph/GEPSNONPILOT/Tender/SplashBidNoticeAbstractUI.aspx?menuIndex=3&amp;refID=7054056&amp;Result=3","7054056")</f>
        <v>0</v>
      </c>
      <c r="B11004" t="s">
        <v>2053</v>
      </c>
      <c r="C11004" t="s">
        <v>13903</v>
      </c>
      <c r="D11004" t="s">
        <v>16663</v>
      </c>
      <c r="E11004" t="s">
        <v>26230</v>
      </c>
      <c r="F11004" t="s">
        <v>28669</v>
      </c>
      <c r="G11004" t="s">
        <v>28675</v>
      </c>
      <c r="H11004" t="s">
        <v>9998</v>
      </c>
      <c r="I11004" t="s">
        <v>28697</v>
      </c>
      <c r="J11004" t="s">
        <v>31802</v>
      </c>
      <c r="K11004" t="s">
        <v>37206</v>
      </c>
      <c r="M11004" t="s">
        <v>39693</v>
      </c>
      <c r="N11004" t="s">
        <v>41249</v>
      </c>
      <c r="O11004" t="s">
        <v>41250</v>
      </c>
      <c r="Q11004">
        <v>7</v>
      </c>
      <c r="R11004" t="s">
        <v>41264</v>
      </c>
      <c r="S11004" t="s">
        <v>41826</v>
      </c>
      <c r="T11004" t="s">
        <v>42999</v>
      </c>
      <c r="U11004" t="s">
        <v>52034</v>
      </c>
      <c r="W11004" t="s">
        <v>39693</v>
      </c>
      <c r="X11004" t="s">
        <v>41265</v>
      </c>
    </row>
    <row r="11005" spans="1:24">
      <c r="A11005">
        <f>HYPERLINK("https://www.philgeps.gov.ph/GEPSNONPILOT/Tender/SplashBidNoticeAbstractUI.aspx?menuIndex=3&amp;refID=7054069&amp;Result=3","7054069")</f>
        <v>0</v>
      </c>
      <c r="B11005" t="s">
        <v>2968</v>
      </c>
      <c r="C11005" t="s">
        <v>13904</v>
      </c>
      <c r="E11005" t="s">
        <v>26231</v>
      </c>
      <c r="F11005" t="s">
        <v>28669</v>
      </c>
      <c r="G11005" t="s">
        <v>28675</v>
      </c>
      <c r="H11005" t="s">
        <v>9998</v>
      </c>
      <c r="I11005" t="s">
        <v>28693</v>
      </c>
      <c r="J11005" t="s">
        <v>29035</v>
      </c>
      <c r="K11005" t="s">
        <v>37209</v>
      </c>
      <c r="M11005" t="s">
        <v>40730</v>
      </c>
      <c r="N11005" t="s">
        <v>41249</v>
      </c>
      <c r="O11005" t="s">
        <v>41250</v>
      </c>
      <c r="Q11005">
        <v>17</v>
      </c>
      <c r="R11005" t="s">
        <v>41264</v>
      </c>
      <c r="S11005" t="s">
        <v>41827</v>
      </c>
      <c r="T11005" t="s">
        <v>43123</v>
      </c>
      <c r="U11005" t="s">
        <v>52035</v>
      </c>
      <c r="V11005" t="s">
        <v>55529</v>
      </c>
      <c r="W11005" t="s">
        <v>40730</v>
      </c>
      <c r="X11005" t="s">
        <v>41265</v>
      </c>
    </row>
    <row r="11006" spans="1:24">
      <c r="A11006">
        <f>HYPERLINK("https://www.philgeps.gov.ph/GEPSNONPILOT/Tender/SplashBidNoticeAbstractUI.aspx?menuIndex=3&amp;refID=7054087&amp;Result=3","7054087")</f>
        <v>0</v>
      </c>
      <c r="B11006" t="s">
        <v>3034</v>
      </c>
      <c r="C11006" t="s">
        <v>13905</v>
      </c>
      <c r="D11006" t="s">
        <v>16626</v>
      </c>
      <c r="E11006" t="s">
        <v>26232</v>
      </c>
      <c r="F11006" t="s">
        <v>28669</v>
      </c>
      <c r="G11006" t="s">
        <v>28675</v>
      </c>
      <c r="H11006" t="s">
        <v>9998</v>
      </c>
      <c r="I11006" t="s">
        <v>7352</v>
      </c>
      <c r="J11006" t="s">
        <v>31294</v>
      </c>
      <c r="K11006" t="s">
        <v>37204</v>
      </c>
      <c r="L11006" t="s">
        <v>3034</v>
      </c>
      <c r="M11006" t="s">
        <v>40806</v>
      </c>
      <c r="N11006" t="s">
        <v>41249</v>
      </c>
      <c r="O11006" t="s">
        <v>41250</v>
      </c>
      <c r="P11006">
        <v>0</v>
      </c>
      <c r="Q11006">
        <v>0</v>
      </c>
      <c r="R11006" t="s">
        <v>41264</v>
      </c>
      <c r="S11006" t="s">
        <v>41775</v>
      </c>
      <c r="T11006" t="s">
        <v>42698</v>
      </c>
      <c r="U11006" t="s">
        <v>52018</v>
      </c>
      <c r="V11006" t="s">
        <v>55517</v>
      </c>
      <c r="W11006" t="s">
        <v>40806</v>
      </c>
      <c r="X11006" t="s">
        <v>41265</v>
      </c>
    </row>
    <row r="11007" spans="1:24">
      <c r="A11007">
        <f>HYPERLINK("https://www.philgeps.gov.ph/GEPSNONPILOT/Tender/SplashBidNoticeAbstractUI.aspx?menuIndex=3&amp;refID=7054050&amp;Result=3","7054050")</f>
        <v>0</v>
      </c>
      <c r="B11007" t="s">
        <v>3040</v>
      </c>
      <c r="C11007" t="s">
        <v>13906</v>
      </c>
      <c r="D11007" t="s">
        <v>16621</v>
      </c>
      <c r="E11007" t="s">
        <v>16877</v>
      </c>
      <c r="F11007" t="s">
        <v>28669</v>
      </c>
      <c r="G11007" t="s">
        <v>28675</v>
      </c>
      <c r="H11007" t="s">
        <v>28686</v>
      </c>
      <c r="I11007" t="s">
        <v>28696</v>
      </c>
      <c r="J11007" t="s">
        <v>35607</v>
      </c>
      <c r="K11007" t="s">
        <v>37221</v>
      </c>
      <c r="M11007" t="s">
        <v>40814</v>
      </c>
      <c r="N11007" t="s">
        <v>41249</v>
      </c>
      <c r="O11007" t="s">
        <v>41250</v>
      </c>
      <c r="P11007">
        <v>0</v>
      </c>
      <c r="Q11007">
        <v>2</v>
      </c>
      <c r="R11007" t="s">
        <v>41264</v>
      </c>
      <c r="S11007" t="s">
        <v>41775</v>
      </c>
      <c r="T11007" t="s">
        <v>42659</v>
      </c>
      <c r="U11007" t="s">
        <v>52036</v>
      </c>
      <c r="W11007" t="s">
        <v>40814</v>
      </c>
      <c r="X11007" t="s">
        <v>41265</v>
      </c>
    </row>
    <row r="11008" spans="1:24">
      <c r="A11008">
        <f>HYPERLINK("https://www.philgeps.gov.ph/GEPSNONPILOT/Tender/SplashBidNoticeAbstractUI.aspx?menuIndex=3&amp;refID=7054038&amp;Result=3","7054038")</f>
        <v>0</v>
      </c>
      <c r="B11008" t="s">
        <v>1397</v>
      </c>
      <c r="C11008" t="s">
        <v>13907</v>
      </c>
      <c r="D11008" t="s">
        <v>16640</v>
      </c>
      <c r="E11008" t="s">
        <v>26233</v>
      </c>
      <c r="F11008" t="s">
        <v>28669</v>
      </c>
      <c r="G11008" t="s">
        <v>28675</v>
      </c>
      <c r="H11008" t="s">
        <v>28686</v>
      </c>
      <c r="I11008" t="s">
        <v>28689</v>
      </c>
      <c r="J11008" t="s">
        <v>29724</v>
      </c>
      <c r="K11008" t="s">
        <v>37213</v>
      </c>
      <c r="M11008" t="s">
        <v>40812</v>
      </c>
      <c r="N11008" t="s">
        <v>41249</v>
      </c>
      <c r="O11008" t="s">
        <v>41250</v>
      </c>
      <c r="Q11008">
        <v>10</v>
      </c>
      <c r="R11008" t="s">
        <v>41264</v>
      </c>
      <c r="S11008" t="s">
        <v>41828</v>
      </c>
      <c r="T11008" t="s">
        <v>42690</v>
      </c>
      <c r="U11008" t="s">
        <v>52022</v>
      </c>
      <c r="V11008" t="s">
        <v>55524</v>
      </c>
      <c r="W11008" t="s">
        <v>40812</v>
      </c>
      <c r="X11008" t="s">
        <v>41265</v>
      </c>
    </row>
    <row r="11009" spans="1:24">
      <c r="A11009">
        <f>HYPERLINK("https://www.philgeps.gov.ph/GEPSNONPILOT/Tender/SplashBidNoticeAbstractUI.aspx?menuIndex=3&amp;refID=7054096&amp;Result=3","7054096")</f>
        <v>0</v>
      </c>
      <c r="B11009" t="s">
        <v>1397</v>
      </c>
      <c r="C11009" t="s">
        <v>13908</v>
      </c>
      <c r="D11009" t="s">
        <v>16640</v>
      </c>
      <c r="E11009" t="s">
        <v>26234</v>
      </c>
      <c r="F11009" t="s">
        <v>28669</v>
      </c>
      <c r="G11009" t="s">
        <v>28675</v>
      </c>
      <c r="H11009" t="s">
        <v>28686</v>
      </c>
      <c r="I11009" t="s">
        <v>28689</v>
      </c>
      <c r="J11009" t="s">
        <v>29059</v>
      </c>
      <c r="K11009" t="s">
        <v>37219</v>
      </c>
      <c r="M11009" t="s">
        <v>40812</v>
      </c>
      <c r="N11009" t="s">
        <v>41249</v>
      </c>
      <c r="O11009" t="s">
        <v>41250</v>
      </c>
      <c r="Q11009">
        <v>11</v>
      </c>
      <c r="R11009" t="s">
        <v>41264</v>
      </c>
      <c r="S11009" t="s">
        <v>41829</v>
      </c>
      <c r="T11009" t="s">
        <v>42690</v>
      </c>
      <c r="U11009" t="s">
        <v>52022</v>
      </c>
      <c r="V11009" t="s">
        <v>55524</v>
      </c>
      <c r="W11009" t="s">
        <v>40812</v>
      </c>
      <c r="X11009" t="s">
        <v>41265</v>
      </c>
    </row>
    <row r="11010" spans="1:24">
      <c r="A11010">
        <f>HYPERLINK("https://www.philgeps.gov.ph/GEPSNONPILOT/Tender/SplashBidNoticeAbstractUI.aspx?menuIndex=3&amp;refID=7054068&amp;Result=3","7054068")</f>
        <v>0</v>
      </c>
      <c r="B11010" t="s">
        <v>410</v>
      </c>
      <c r="C11010" t="s">
        <v>13909</v>
      </c>
      <c r="D11010" t="s">
        <v>16630</v>
      </c>
      <c r="E11010" t="s">
        <v>26235</v>
      </c>
      <c r="F11010" t="s">
        <v>28669</v>
      </c>
      <c r="G11010" t="s">
        <v>28675</v>
      </c>
      <c r="H11010" t="s">
        <v>9998</v>
      </c>
      <c r="I11010" t="s">
        <v>28714</v>
      </c>
      <c r="J11010" t="s">
        <v>35608</v>
      </c>
      <c r="K11010" t="s">
        <v>37204</v>
      </c>
      <c r="M11010" t="s">
        <v>40815</v>
      </c>
      <c r="N11010" t="s">
        <v>41249</v>
      </c>
      <c r="O11010" t="s">
        <v>41250</v>
      </c>
      <c r="P11010">
        <v>0</v>
      </c>
      <c r="Q11010">
        <v>11</v>
      </c>
      <c r="R11010" t="s">
        <v>41264</v>
      </c>
      <c r="S11010" t="s">
        <v>41775</v>
      </c>
      <c r="T11010" t="s">
        <v>42697</v>
      </c>
      <c r="U11010" t="s">
        <v>52037</v>
      </c>
      <c r="W11010" t="s">
        <v>40815</v>
      </c>
      <c r="X11010" t="s">
        <v>41265</v>
      </c>
    </row>
    <row r="11011" spans="1:24">
      <c r="A11011">
        <f>HYPERLINK("https://www.philgeps.gov.ph/GEPSNONPILOT/Tender/SplashBidNoticeAbstractUI.aspx?menuIndex=3&amp;refID=7053967&amp;Result=3","7053967")</f>
        <v>0</v>
      </c>
      <c r="B11011" t="s">
        <v>1368</v>
      </c>
      <c r="C11011" t="s">
        <v>13910</v>
      </c>
      <c r="D11011" t="s">
        <v>16662</v>
      </c>
      <c r="E11011" t="s">
        <v>26236</v>
      </c>
      <c r="F11011" t="s">
        <v>28669</v>
      </c>
      <c r="G11011" t="s">
        <v>28675</v>
      </c>
      <c r="H11011" t="s">
        <v>28686</v>
      </c>
      <c r="I11011" t="s">
        <v>28689</v>
      </c>
      <c r="J11011" t="s">
        <v>28847</v>
      </c>
      <c r="K11011" t="s">
        <v>37213</v>
      </c>
      <c r="M11011" t="s">
        <v>40816</v>
      </c>
      <c r="N11011" t="s">
        <v>41249</v>
      </c>
      <c r="O11011" t="s">
        <v>41250</v>
      </c>
      <c r="P11011">
        <v>0</v>
      </c>
      <c r="Q11011">
        <v>0</v>
      </c>
      <c r="R11011" t="s">
        <v>41264</v>
      </c>
      <c r="S11011" t="s">
        <v>41775</v>
      </c>
      <c r="T11011" t="s">
        <v>43125</v>
      </c>
      <c r="U11011" t="s">
        <v>52038</v>
      </c>
      <c r="V11011" t="s">
        <v>55530</v>
      </c>
      <c r="W11011" t="s">
        <v>40816</v>
      </c>
      <c r="X11011" t="s">
        <v>41265</v>
      </c>
    </row>
    <row r="11012" spans="1:24">
      <c r="A11012">
        <f>HYPERLINK("https://www.philgeps.gov.ph/GEPSNONPILOT/Tender/SplashBidNoticeAbstractUI.aspx?menuIndex=3&amp;refID=7054003&amp;Result=3","7054003")</f>
        <v>0</v>
      </c>
      <c r="B11012" t="s">
        <v>3034</v>
      </c>
      <c r="C11012" t="s">
        <v>13911</v>
      </c>
      <c r="D11012" t="s">
        <v>16626</v>
      </c>
      <c r="E11012" t="s">
        <v>26237</v>
      </c>
      <c r="F11012" t="s">
        <v>28669</v>
      </c>
      <c r="G11012" t="s">
        <v>28675</v>
      </c>
      <c r="H11012" t="s">
        <v>9998</v>
      </c>
      <c r="I11012" t="s">
        <v>7352</v>
      </c>
      <c r="J11012" t="s">
        <v>29438</v>
      </c>
      <c r="K11012" t="s">
        <v>37204</v>
      </c>
      <c r="L11012" t="s">
        <v>3034</v>
      </c>
      <c r="M11012" t="s">
        <v>40806</v>
      </c>
      <c r="N11012" t="s">
        <v>41249</v>
      </c>
      <c r="O11012" t="s">
        <v>41250</v>
      </c>
      <c r="P11012">
        <v>0</v>
      </c>
      <c r="Q11012">
        <v>0</v>
      </c>
      <c r="R11012" t="s">
        <v>41264</v>
      </c>
      <c r="S11012" t="s">
        <v>41775</v>
      </c>
      <c r="T11012" t="s">
        <v>42698</v>
      </c>
      <c r="U11012" t="s">
        <v>52018</v>
      </c>
      <c r="V11012" t="s">
        <v>55517</v>
      </c>
      <c r="W11012" t="s">
        <v>40806</v>
      </c>
      <c r="X11012" t="s">
        <v>41265</v>
      </c>
    </row>
    <row r="11013" spans="1:24">
      <c r="A11013">
        <f>HYPERLINK("https://www.philgeps.gov.ph/GEPSNONPILOT/Tender/SplashBidNoticeAbstractUI.aspx?menuIndex=3&amp;refID=7054043&amp;Result=3","7054043")</f>
        <v>0</v>
      </c>
      <c r="B11013" t="s">
        <v>2669</v>
      </c>
      <c r="C11013" t="s">
        <v>13895</v>
      </c>
      <c r="D11013" t="s">
        <v>16662</v>
      </c>
      <c r="E11013" t="s">
        <v>26238</v>
      </c>
      <c r="F11013" t="s">
        <v>28669</v>
      </c>
      <c r="G11013" t="s">
        <v>28675</v>
      </c>
      <c r="H11013" t="s">
        <v>28686</v>
      </c>
      <c r="I11013" t="s">
        <v>28689</v>
      </c>
      <c r="J11013" t="s">
        <v>35609</v>
      </c>
      <c r="K11013" t="s">
        <v>37213</v>
      </c>
      <c r="M11013" t="s">
        <v>40377</v>
      </c>
      <c r="N11013" t="s">
        <v>41249</v>
      </c>
      <c r="O11013" t="s">
        <v>41250</v>
      </c>
      <c r="P11013">
        <v>0</v>
      </c>
      <c r="Q11013">
        <v>1</v>
      </c>
      <c r="R11013" t="s">
        <v>41264</v>
      </c>
      <c r="S11013" t="s">
        <v>41775</v>
      </c>
      <c r="T11013" t="s">
        <v>42836</v>
      </c>
      <c r="U11013" t="s">
        <v>52039</v>
      </c>
      <c r="V11013" t="s">
        <v>55531</v>
      </c>
      <c r="W11013" t="s">
        <v>40377</v>
      </c>
      <c r="X11013" t="s">
        <v>41265</v>
      </c>
    </row>
    <row r="11014" spans="1:24">
      <c r="A11014">
        <f>HYPERLINK("https://www.philgeps.gov.ph/GEPSNONPILOT/Tender/SplashBidNoticeAbstractUI.aspx?menuIndex=3&amp;refID=7054006&amp;Result=3","7054006")</f>
        <v>0</v>
      </c>
      <c r="B11014" t="s">
        <v>2968</v>
      </c>
      <c r="C11014" t="s">
        <v>13912</v>
      </c>
      <c r="E11014" t="s">
        <v>26239</v>
      </c>
      <c r="F11014" t="s">
        <v>28669</v>
      </c>
      <c r="G11014" t="s">
        <v>28675</v>
      </c>
      <c r="H11014" t="s">
        <v>9998</v>
      </c>
      <c r="I11014" t="s">
        <v>28714</v>
      </c>
      <c r="J11014" t="s">
        <v>31229</v>
      </c>
      <c r="K11014" t="s">
        <v>37209</v>
      </c>
      <c r="M11014" t="s">
        <v>40730</v>
      </c>
      <c r="N11014" t="s">
        <v>41249</v>
      </c>
      <c r="O11014" t="s">
        <v>41250</v>
      </c>
      <c r="Q11014">
        <v>26</v>
      </c>
      <c r="R11014" t="s">
        <v>41264</v>
      </c>
      <c r="S11014" t="s">
        <v>41830</v>
      </c>
      <c r="T11014" t="s">
        <v>42680</v>
      </c>
      <c r="U11014" t="s">
        <v>52040</v>
      </c>
      <c r="V11014" t="s">
        <v>55532</v>
      </c>
      <c r="W11014" t="s">
        <v>40730</v>
      </c>
      <c r="X11014" t="s">
        <v>41265</v>
      </c>
    </row>
    <row r="11015" spans="1:24">
      <c r="A11015">
        <f>HYPERLINK("https://www.philgeps.gov.ph/GEPSNONPILOT/Tender/SplashBidNoticeAbstractUI.aspx?menuIndex=3&amp;refID=7053863&amp;Result=3","7053863")</f>
        <v>0</v>
      </c>
      <c r="B11015" t="s">
        <v>3034</v>
      </c>
      <c r="C11015" t="s">
        <v>13913</v>
      </c>
      <c r="D11015" t="s">
        <v>16626</v>
      </c>
      <c r="E11015" t="s">
        <v>26240</v>
      </c>
      <c r="F11015" t="s">
        <v>28669</v>
      </c>
      <c r="G11015" t="s">
        <v>28675</v>
      </c>
      <c r="H11015" t="s">
        <v>9998</v>
      </c>
      <c r="I11015" t="s">
        <v>28718</v>
      </c>
      <c r="J11015" t="s">
        <v>31294</v>
      </c>
      <c r="K11015" t="s">
        <v>37204</v>
      </c>
      <c r="L11015" t="s">
        <v>3034</v>
      </c>
      <c r="M11015" t="s">
        <v>40806</v>
      </c>
      <c r="N11015" t="s">
        <v>41249</v>
      </c>
      <c r="O11015" t="s">
        <v>41250</v>
      </c>
      <c r="P11015">
        <v>0</v>
      </c>
      <c r="Q11015">
        <v>2</v>
      </c>
      <c r="R11015" t="s">
        <v>41264</v>
      </c>
      <c r="S11015" t="s">
        <v>41775</v>
      </c>
      <c r="T11015" t="s">
        <v>42698</v>
      </c>
      <c r="U11015" t="s">
        <v>52018</v>
      </c>
      <c r="V11015" t="s">
        <v>55517</v>
      </c>
      <c r="W11015" t="s">
        <v>40806</v>
      </c>
      <c r="X11015" t="s">
        <v>41265</v>
      </c>
    </row>
    <row r="11016" spans="1:24">
      <c r="A11016">
        <f>HYPERLINK("https://www.philgeps.gov.ph/GEPSNONPILOT/Tender/SplashBidNoticeAbstractUI.aspx?menuIndex=3&amp;refID=7054035&amp;Result=3","7054035")</f>
        <v>0</v>
      </c>
      <c r="B11016" t="s">
        <v>410</v>
      </c>
      <c r="C11016" t="s">
        <v>13914</v>
      </c>
      <c r="D11016" t="s">
        <v>16630</v>
      </c>
      <c r="E11016" t="s">
        <v>26241</v>
      </c>
      <c r="F11016" t="s">
        <v>28669</v>
      </c>
      <c r="G11016" t="s">
        <v>28675</v>
      </c>
      <c r="H11016" t="s">
        <v>9998</v>
      </c>
      <c r="I11016" t="s">
        <v>28722</v>
      </c>
      <c r="J11016" t="s">
        <v>35610</v>
      </c>
      <c r="K11016" t="s">
        <v>37204</v>
      </c>
      <c r="M11016" t="s">
        <v>40815</v>
      </c>
      <c r="N11016" t="s">
        <v>41249</v>
      </c>
      <c r="O11016" t="s">
        <v>41250</v>
      </c>
      <c r="P11016">
        <v>0</v>
      </c>
      <c r="Q11016">
        <v>3</v>
      </c>
      <c r="R11016" t="s">
        <v>41264</v>
      </c>
      <c r="S11016" t="s">
        <v>41775</v>
      </c>
      <c r="T11016" t="s">
        <v>42707</v>
      </c>
      <c r="U11016" t="s">
        <v>52041</v>
      </c>
      <c r="W11016" t="s">
        <v>40815</v>
      </c>
      <c r="X11016" t="s">
        <v>41265</v>
      </c>
    </row>
    <row r="11017" spans="1:24">
      <c r="A11017">
        <f>HYPERLINK("https://www.philgeps.gov.ph/GEPSNONPILOT/Tender/SplashBidNoticeAbstractUI.aspx?menuIndex=3&amp;refID=7053843&amp;Result=3","7053843")</f>
        <v>0</v>
      </c>
      <c r="B11017" t="s">
        <v>2807</v>
      </c>
      <c r="C11017" t="s">
        <v>13915</v>
      </c>
      <c r="D11017" t="s">
        <v>16671</v>
      </c>
      <c r="E11017" t="s">
        <v>26242</v>
      </c>
      <c r="F11017" t="s">
        <v>28669</v>
      </c>
      <c r="G11017" t="s">
        <v>28675</v>
      </c>
      <c r="H11017" t="s">
        <v>28686</v>
      </c>
      <c r="I11017" t="s">
        <v>28689</v>
      </c>
      <c r="J11017" t="s">
        <v>34451</v>
      </c>
      <c r="K11017" t="s">
        <v>37285</v>
      </c>
      <c r="M11017" t="s">
        <v>40534</v>
      </c>
      <c r="N11017" t="s">
        <v>41249</v>
      </c>
      <c r="O11017" t="s">
        <v>41250</v>
      </c>
      <c r="Q11017">
        <v>2</v>
      </c>
      <c r="R11017" t="s">
        <v>41264</v>
      </c>
      <c r="S11017" t="s">
        <v>41831</v>
      </c>
      <c r="T11017" t="s">
        <v>42714</v>
      </c>
      <c r="U11017" t="s">
        <v>52042</v>
      </c>
      <c r="W11017" t="s">
        <v>40534</v>
      </c>
      <c r="X11017" t="s">
        <v>41265</v>
      </c>
    </row>
    <row r="11018" spans="1:24">
      <c r="A11018">
        <f>HYPERLINK("https://www.philgeps.gov.ph/GEPSNONPILOT/Tender/SplashBidNoticeAbstractUI.aspx?menuIndex=3&amp;refID=7054020&amp;Result=3","7054020")</f>
        <v>0</v>
      </c>
      <c r="B11018" t="s">
        <v>1397</v>
      </c>
      <c r="C11018" t="s">
        <v>13916</v>
      </c>
      <c r="D11018" t="s">
        <v>16640</v>
      </c>
      <c r="E11018" t="s">
        <v>26243</v>
      </c>
      <c r="F11018" t="s">
        <v>28669</v>
      </c>
      <c r="G11018" t="s">
        <v>28675</v>
      </c>
      <c r="H11018" t="s">
        <v>28686</v>
      </c>
      <c r="I11018" t="s">
        <v>28689</v>
      </c>
      <c r="J11018" t="s">
        <v>28836</v>
      </c>
      <c r="K11018" t="s">
        <v>37220</v>
      </c>
      <c r="M11018" t="s">
        <v>40812</v>
      </c>
      <c r="N11018" t="s">
        <v>41249</v>
      </c>
      <c r="O11018" t="s">
        <v>41250</v>
      </c>
      <c r="Q11018">
        <v>10</v>
      </c>
      <c r="R11018" t="s">
        <v>41264</v>
      </c>
      <c r="S11018" t="s">
        <v>41828</v>
      </c>
      <c r="T11018" t="s">
        <v>42682</v>
      </c>
      <c r="U11018" t="s">
        <v>52022</v>
      </c>
      <c r="V11018" t="s">
        <v>55524</v>
      </c>
      <c r="W11018" t="s">
        <v>40812</v>
      </c>
      <c r="X11018" t="s">
        <v>41265</v>
      </c>
    </row>
    <row r="11019" spans="1:24">
      <c r="A11019">
        <f>HYPERLINK("https://www.philgeps.gov.ph/GEPSNONPILOT/Tender/SplashBidNoticeAbstractUI.aspx?menuIndex=3&amp;refID=7053999&amp;Result=3","7053999")</f>
        <v>0</v>
      </c>
      <c r="B11019" t="s">
        <v>410</v>
      </c>
      <c r="C11019" t="s">
        <v>13917</v>
      </c>
      <c r="D11019" t="s">
        <v>16630</v>
      </c>
      <c r="E11019" t="s">
        <v>26244</v>
      </c>
      <c r="F11019" t="s">
        <v>28669</v>
      </c>
      <c r="G11019" t="s">
        <v>28675</v>
      </c>
      <c r="H11019" t="s">
        <v>9998</v>
      </c>
      <c r="I11019" t="s">
        <v>28722</v>
      </c>
      <c r="J11019" t="s">
        <v>28891</v>
      </c>
      <c r="K11019" t="s">
        <v>37204</v>
      </c>
      <c r="M11019" t="s">
        <v>40815</v>
      </c>
      <c r="N11019" t="s">
        <v>41249</v>
      </c>
      <c r="O11019" t="s">
        <v>41250</v>
      </c>
      <c r="P11019">
        <v>0</v>
      </c>
      <c r="Q11019">
        <v>3</v>
      </c>
      <c r="R11019" t="s">
        <v>41264</v>
      </c>
      <c r="S11019" t="s">
        <v>41775</v>
      </c>
      <c r="T11019" t="s">
        <v>42697</v>
      </c>
      <c r="U11019" t="s">
        <v>52043</v>
      </c>
      <c r="W11019" t="s">
        <v>40815</v>
      </c>
      <c r="X11019" t="s">
        <v>41265</v>
      </c>
    </row>
    <row r="11020" spans="1:24">
      <c r="A11020">
        <f>HYPERLINK("https://www.philgeps.gov.ph/GEPSNONPILOT/Tender/SplashBidNoticeAbstractUI.aspx?menuIndex=3&amp;refID=7053841&amp;Result=3","7053841")</f>
        <v>0</v>
      </c>
      <c r="B11020" t="s">
        <v>3041</v>
      </c>
      <c r="C11020" t="s">
        <v>13918</v>
      </c>
      <c r="D11020" t="s">
        <v>16618</v>
      </c>
      <c r="E11020" t="s">
        <v>26245</v>
      </c>
      <c r="F11020" t="s">
        <v>28669</v>
      </c>
      <c r="G11020" t="s">
        <v>28675</v>
      </c>
      <c r="H11020" t="s">
        <v>28686</v>
      </c>
      <c r="I11020" t="s">
        <v>28689</v>
      </c>
      <c r="J11020" t="s">
        <v>35611</v>
      </c>
      <c r="K11020" t="s">
        <v>37215</v>
      </c>
      <c r="M11020" t="s">
        <v>40817</v>
      </c>
      <c r="N11020" t="s">
        <v>41249</v>
      </c>
      <c r="O11020" t="s">
        <v>41250</v>
      </c>
      <c r="P11020">
        <v>0</v>
      </c>
      <c r="Q11020">
        <v>1</v>
      </c>
      <c r="R11020" t="s">
        <v>41264</v>
      </c>
      <c r="S11020" t="s">
        <v>41775</v>
      </c>
      <c r="T11020" t="s">
        <v>42858</v>
      </c>
      <c r="U11020" t="s">
        <v>52044</v>
      </c>
      <c r="W11020" t="s">
        <v>40817</v>
      </c>
      <c r="X11020" t="s">
        <v>41265</v>
      </c>
    </row>
    <row r="11021" spans="1:24">
      <c r="A11021">
        <f>HYPERLINK("https://www.philgeps.gov.ph/GEPSNONPILOT/Tender/SplashBidNoticeAbstractUI.aspx?menuIndex=3&amp;refID=7053742&amp;Result=3","7053742")</f>
        <v>0</v>
      </c>
      <c r="B11021" t="s">
        <v>3034</v>
      </c>
      <c r="C11021" t="s">
        <v>13919</v>
      </c>
      <c r="D11021" t="s">
        <v>16626</v>
      </c>
      <c r="E11021" t="s">
        <v>21723</v>
      </c>
      <c r="F11021" t="s">
        <v>28669</v>
      </c>
      <c r="G11021" t="s">
        <v>28675</v>
      </c>
      <c r="H11021" t="s">
        <v>9998</v>
      </c>
      <c r="I11021" t="s">
        <v>6606</v>
      </c>
      <c r="J11021" t="s">
        <v>35612</v>
      </c>
      <c r="K11021" t="s">
        <v>37204</v>
      </c>
      <c r="L11021" t="s">
        <v>3034</v>
      </c>
      <c r="M11021" t="s">
        <v>40806</v>
      </c>
      <c r="N11021" t="s">
        <v>41249</v>
      </c>
      <c r="O11021" t="s">
        <v>41250</v>
      </c>
      <c r="P11021">
        <v>0</v>
      </c>
      <c r="Q11021">
        <v>0</v>
      </c>
      <c r="R11021" t="s">
        <v>41264</v>
      </c>
      <c r="S11021" t="s">
        <v>41775</v>
      </c>
      <c r="T11021" t="s">
        <v>42698</v>
      </c>
      <c r="U11021" t="s">
        <v>52018</v>
      </c>
      <c r="V11021" t="s">
        <v>55517</v>
      </c>
      <c r="W11021" t="s">
        <v>40806</v>
      </c>
      <c r="X11021" t="s">
        <v>41265</v>
      </c>
    </row>
    <row r="11022" spans="1:24">
      <c r="A11022">
        <f>HYPERLINK("https://www.philgeps.gov.ph/GEPSNONPILOT/Tender/SplashBidNoticeAbstractUI.aspx?menuIndex=3&amp;refID=7054122&amp;Result=3","7054122")</f>
        <v>0</v>
      </c>
      <c r="B11022" t="s">
        <v>2053</v>
      </c>
      <c r="C11022" t="s">
        <v>13920</v>
      </c>
      <c r="D11022" t="s">
        <v>16663</v>
      </c>
      <c r="E11022" t="s">
        <v>26246</v>
      </c>
      <c r="F11022" t="s">
        <v>28669</v>
      </c>
      <c r="G11022" t="s">
        <v>28675</v>
      </c>
      <c r="H11022" t="s">
        <v>9998</v>
      </c>
      <c r="I11022" t="s">
        <v>28749</v>
      </c>
      <c r="J11022" t="s">
        <v>28923</v>
      </c>
      <c r="K11022" t="s">
        <v>37206</v>
      </c>
      <c r="M11022" t="s">
        <v>39693</v>
      </c>
      <c r="N11022" t="s">
        <v>41249</v>
      </c>
      <c r="O11022" t="s">
        <v>41250</v>
      </c>
      <c r="Q11022">
        <v>9</v>
      </c>
      <c r="R11022" t="s">
        <v>41264</v>
      </c>
      <c r="S11022" t="s">
        <v>41832</v>
      </c>
      <c r="T11022" t="s">
        <v>42906</v>
      </c>
      <c r="U11022" t="s">
        <v>52045</v>
      </c>
      <c r="W11022" t="s">
        <v>39693</v>
      </c>
      <c r="X11022" t="s">
        <v>41265</v>
      </c>
    </row>
    <row r="11023" spans="1:24">
      <c r="A11023">
        <f>HYPERLINK("https://www.philgeps.gov.ph/GEPSNONPILOT/Tender/SplashBidNoticeAbstractUI.aspx?menuIndex=3&amp;refID=7053745&amp;Result=3","7053745")</f>
        <v>0</v>
      </c>
      <c r="B11023" t="s">
        <v>3032</v>
      </c>
      <c r="C11023" t="s">
        <v>13921</v>
      </c>
      <c r="D11023" t="s">
        <v>16671</v>
      </c>
      <c r="E11023" t="s">
        <v>26247</v>
      </c>
      <c r="F11023" t="s">
        <v>28669</v>
      </c>
      <c r="G11023" t="s">
        <v>28675</v>
      </c>
      <c r="H11023" t="s">
        <v>28686</v>
      </c>
      <c r="I11023" t="s">
        <v>28689</v>
      </c>
      <c r="J11023" t="s">
        <v>35613</v>
      </c>
      <c r="K11023" t="s">
        <v>37214</v>
      </c>
      <c r="M11023" t="s">
        <v>40804</v>
      </c>
      <c r="N11023" t="s">
        <v>41249</v>
      </c>
      <c r="O11023" t="s">
        <v>41250</v>
      </c>
      <c r="P11023">
        <v>0</v>
      </c>
      <c r="Q11023">
        <v>0</v>
      </c>
      <c r="R11023" t="s">
        <v>41264</v>
      </c>
      <c r="S11023" t="s">
        <v>41775</v>
      </c>
      <c r="T11023" t="s">
        <v>42682</v>
      </c>
      <c r="U11023" t="s">
        <v>52046</v>
      </c>
      <c r="V11023" t="s">
        <v>55516</v>
      </c>
      <c r="W11023" t="s">
        <v>40804</v>
      </c>
      <c r="X11023" t="s">
        <v>41265</v>
      </c>
    </row>
    <row r="11024" spans="1:24">
      <c r="A11024">
        <f>HYPERLINK("https://www.philgeps.gov.ph/GEPSNONPILOT/Tender/SplashBidNoticeAbstractUI.aspx?menuIndex=3&amp;refID=7054031&amp;Result=3","7054031")</f>
        <v>0</v>
      </c>
      <c r="B11024" t="s">
        <v>1368</v>
      </c>
      <c r="C11024" t="s">
        <v>13922</v>
      </c>
      <c r="D11024" t="s">
        <v>16662</v>
      </c>
      <c r="E11024" t="s">
        <v>26248</v>
      </c>
      <c r="F11024" t="s">
        <v>28669</v>
      </c>
      <c r="G11024" t="s">
        <v>28675</v>
      </c>
      <c r="H11024" t="s">
        <v>28686</v>
      </c>
      <c r="I11024" t="s">
        <v>28689</v>
      </c>
      <c r="J11024" t="s">
        <v>30122</v>
      </c>
      <c r="K11024" t="s">
        <v>37218</v>
      </c>
      <c r="M11024" t="s">
        <v>40816</v>
      </c>
      <c r="N11024" t="s">
        <v>41249</v>
      </c>
      <c r="O11024" t="s">
        <v>41250</v>
      </c>
      <c r="P11024">
        <v>0</v>
      </c>
      <c r="Q11024">
        <v>1</v>
      </c>
      <c r="R11024" t="s">
        <v>41264</v>
      </c>
      <c r="S11024" t="s">
        <v>41775</v>
      </c>
      <c r="T11024" t="s">
        <v>43125</v>
      </c>
      <c r="U11024" t="s">
        <v>52047</v>
      </c>
      <c r="V11024" t="s">
        <v>55533</v>
      </c>
      <c r="W11024" t="s">
        <v>40816</v>
      </c>
      <c r="X11024" t="s">
        <v>41265</v>
      </c>
    </row>
    <row r="11025" spans="1:24">
      <c r="A11025">
        <f>HYPERLINK("https://www.philgeps.gov.ph/GEPSNONPILOT/Tender/SplashBidNoticeAbstractUI.aspx?menuIndex=3&amp;refID=7054243&amp;Result=3","7054243")</f>
        <v>0</v>
      </c>
      <c r="B11025" t="s">
        <v>2498</v>
      </c>
      <c r="C11025" t="s">
        <v>13923</v>
      </c>
      <c r="D11025" t="s">
        <v>16639</v>
      </c>
      <c r="E11025" t="s">
        <v>26249</v>
      </c>
      <c r="F11025" t="s">
        <v>28669</v>
      </c>
      <c r="G11025" t="s">
        <v>28675</v>
      </c>
      <c r="H11025" t="s">
        <v>28686</v>
      </c>
      <c r="I11025" t="s">
        <v>28689</v>
      </c>
      <c r="J11025" t="s">
        <v>35614</v>
      </c>
      <c r="K11025" t="s">
        <v>37232</v>
      </c>
      <c r="M11025" t="s">
        <v>40183</v>
      </c>
      <c r="N11025" t="s">
        <v>41249</v>
      </c>
      <c r="O11025" t="s">
        <v>41250</v>
      </c>
      <c r="Q11025">
        <v>5</v>
      </c>
      <c r="R11025" t="s">
        <v>41264</v>
      </c>
      <c r="S11025" t="s">
        <v>41833</v>
      </c>
      <c r="T11025" t="s">
        <v>42726</v>
      </c>
      <c r="U11025" t="s">
        <v>50602</v>
      </c>
      <c r="W11025" t="s">
        <v>40183</v>
      </c>
      <c r="X11025" t="s">
        <v>41265</v>
      </c>
    </row>
    <row r="11026" spans="1:24">
      <c r="A11026">
        <f>HYPERLINK("https://www.philgeps.gov.ph/GEPSNONPILOT/Tender/SplashBidNoticeAbstractUI.aspx?menuIndex=3&amp;refID=7054287&amp;Result=3","7054287")</f>
        <v>0</v>
      </c>
      <c r="B11026" t="s">
        <v>2739</v>
      </c>
      <c r="C11026" t="s">
        <v>13924</v>
      </c>
      <c r="D11026" t="s">
        <v>16654</v>
      </c>
      <c r="E11026" t="s">
        <v>26250</v>
      </c>
      <c r="F11026" t="s">
        <v>28669</v>
      </c>
      <c r="G11026" t="s">
        <v>28675</v>
      </c>
      <c r="H11026" t="s">
        <v>28686</v>
      </c>
      <c r="I11026" t="s">
        <v>28689</v>
      </c>
      <c r="J11026" t="s">
        <v>35615</v>
      </c>
      <c r="K11026" t="s">
        <v>37294</v>
      </c>
      <c r="L11026" t="s">
        <v>2739</v>
      </c>
      <c r="M11026" t="s">
        <v>40454</v>
      </c>
      <c r="N11026" t="s">
        <v>41249</v>
      </c>
      <c r="O11026" t="s">
        <v>41250</v>
      </c>
      <c r="P11026">
        <v>0</v>
      </c>
      <c r="Q11026">
        <v>0</v>
      </c>
      <c r="R11026" t="s">
        <v>41264</v>
      </c>
      <c r="S11026" t="s">
        <v>41775</v>
      </c>
      <c r="T11026" t="s">
        <v>42696</v>
      </c>
      <c r="U11026" t="s">
        <v>52048</v>
      </c>
      <c r="W11026" t="s">
        <v>40454</v>
      </c>
      <c r="X11026" t="s">
        <v>41265</v>
      </c>
    </row>
    <row r="11027" spans="1:24">
      <c r="A11027">
        <f>HYPERLINK("https://www.philgeps.gov.ph/GEPSNONPILOT/Tender/SplashBidNoticeAbstractUI.aspx?menuIndex=3&amp;refID=7054280&amp;Result=3","7054280")</f>
        <v>0</v>
      </c>
      <c r="B11027" t="s">
        <v>2840</v>
      </c>
      <c r="C11027" t="s">
        <v>13925</v>
      </c>
      <c r="D11027" t="s">
        <v>16611</v>
      </c>
      <c r="E11027" t="s">
        <v>26251</v>
      </c>
      <c r="F11027" t="s">
        <v>28669</v>
      </c>
      <c r="G11027" t="s">
        <v>28675</v>
      </c>
      <c r="H11027" t="s">
        <v>28686</v>
      </c>
      <c r="I11027" t="s">
        <v>28689</v>
      </c>
      <c r="J11027" t="s">
        <v>35616</v>
      </c>
      <c r="K11027" t="s">
        <v>37220</v>
      </c>
      <c r="L11027" t="s">
        <v>2840</v>
      </c>
      <c r="M11027" t="s">
        <v>40576</v>
      </c>
      <c r="N11027" t="s">
        <v>41249</v>
      </c>
      <c r="O11027" t="s">
        <v>41250</v>
      </c>
      <c r="P11027">
        <v>0</v>
      </c>
      <c r="Q11027">
        <v>0</v>
      </c>
      <c r="R11027" t="s">
        <v>41264</v>
      </c>
      <c r="S11027" t="s">
        <v>41775</v>
      </c>
      <c r="T11027" t="s">
        <v>42670</v>
      </c>
      <c r="U11027" t="s">
        <v>52049</v>
      </c>
      <c r="W11027" t="s">
        <v>40576</v>
      </c>
      <c r="X11027" t="s">
        <v>41265</v>
      </c>
    </row>
    <row r="11028" spans="1:24">
      <c r="A11028">
        <f>HYPERLINK("https://www.philgeps.gov.ph/GEPSNONPILOT/Tender/SplashBidNoticeAbstractUI.aspx?menuIndex=3&amp;refID=7054277&amp;Result=3","7054277")</f>
        <v>0</v>
      </c>
      <c r="B11028" t="s">
        <v>2669</v>
      </c>
      <c r="C11028" t="s">
        <v>13926</v>
      </c>
      <c r="D11028" t="s">
        <v>16662</v>
      </c>
      <c r="E11028" t="s">
        <v>26252</v>
      </c>
      <c r="F11028" t="s">
        <v>28669</v>
      </c>
      <c r="G11028" t="s">
        <v>28675</v>
      </c>
      <c r="H11028" t="s">
        <v>28686</v>
      </c>
      <c r="I11028" t="s">
        <v>28689</v>
      </c>
      <c r="J11028" t="s">
        <v>35617</v>
      </c>
      <c r="K11028" t="s">
        <v>37213</v>
      </c>
      <c r="M11028" t="s">
        <v>40377</v>
      </c>
      <c r="N11028" t="s">
        <v>41249</v>
      </c>
      <c r="O11028" t="s">
        <v>41250</v>
      </c>
      <c r="P11028">
        <v>0</v>
      </c>
      <c r="Q11028">
        <v>1</v>
      </c>
      <c r="R11028" t="s">
        <v>41264</v>
      </c>
      <c r="S11028" t="s">
        <v>41775</v>
      </c>
      <c r="T11028" t="s">
        <v>42836</v>
      </c>
      <c r="U11028" t="s">
        <v>52050</v>
      </c>
      <c r="V11028" t="s">
        <v>55534</v>
      </c>
      <c r="W11028" t="s">
        <v>40377</v>
      </c>
      <c r="X11028" t="s">
        <v>41265</v>
      </c>
    </row>
    <row r="11029" spans="1:24">
      <c r="A11029">
        <f>HYPERLINK("https://www.philgeps.gov.ph/GEPSNONPILOT/Tender/SplashBidNoticeAbstractUI.aspx?menuIndex=3&amp;refID=7054256&amp;Result=3","7054256")</f>
        <v>0</v>
      </c>
      <c r="B11029" t="s">
        <v>2840</v>
      </c>
      <c r="C11029" t="s">
        <v>13927</v>
      </c>
      <c r="D11029" t="s">
        <v>16611</v>
      </c>
      <c r="E11029" t="s">
        <v>26253</v>
      </c>
      <c r="F11029" t="s">
        <v>28669</v>
      </c>
      <c r="G11029" t="s">
        <v>28675</v>
      </c>
      <c r="H11029" t="s">
        <v>28686</v>
      </c>
      <c r="I11029" t="s">
        <v>7352</v>
      </c>
      <c r="J11029" t="s">
        <v>35618</v>
      </c>
      <c r="K11029" t="s">
        <v>37220</v>
      </c>
      <c r="L11029" t="s">
        <v>2840</v>
      </c>
      <c r="M11029" t="s">
        <v>40576</v>
      </c>
      <c r="N11029" t="s">
        <v>41249</v>
      </c>
      <c r="O11029" t="s">
        <v>41250</v>
      </c>
      <c r="P11029">
        <v>0</v>
      </c>
      <c r="Q11029">
        <v>1</v>
      </c>
      <c r="R11029" t="s">
        <v>41264</v>
      </c>
      <c r="S11029" t="s">
        <v>41775</v>
      </c>
      <c r="T11029" t="s">
        <v>42670</v>
      </c>
      <c r="U11029" t="s">
        <v>52051</v>
      </c>
      <c r="W11029" t="s">
        <v>40576</v>
      </c>
      <c r="X11029" t="s">
        <v>41265</v>
      </c>
    </row>
    <row r="11030" spans="1:24">
      <c r="A11030">
        <f>HYPERLINK("https://www.philgeps.gov.ph/GEPSNONPILOT/Tender/SplashBidNoticeAbstractUI.aspx?menuIndex=3&amp;refID=7054236&amp;Result=3","7054236")</f>
        <v>0</v>
      </c>
      <c r="B11030" t="s">
        <v>2669</v>
      </c>
      <c r="C11030" t="s">
        <v>13926</v>
      </c>
      <c r="D11030" t="s">
        <v>16662</v>
      </c>
      <c r="E11030" t="s">
        <v>26254</v>
      </c>
      <c r="F11030" t="s">
        <v>28669</v>
      </c>
      <c r="G11030" t="s">
        <v>28675</v>
      </c>
      <c r="H11030" t="s">
        <v>28686</v>
      </c>
      <c r="I11030" t="s">
        <v>28689</v>
      </c>
      <c r="J11030" t="s">
        <v>35619</v>
      </c>
      <c r="K11030" t="s">
        <v>37215</v>
      </c>
      <c r="M11030" t="s">
        <v>40377</v>
      </c>
      <c r="N11030" t="s">
        <v>41249</v>
      </c>
      <c r="O11030" t="s">
        <v>41250</v>
      </c>
      <c r="P11030">
        <v>0</v>
      </c>
      <c r="Q11030">
        <v>1</v>
      </c>
      <c r="R11030" t="s">
        <v>41264</v>
      </c>
      <c r="S11030" t="s">
        <v>41775</v>
      </c>
      <c r="T11030" t="s">
        <v>42836</v>
      </c>
      <c r="U11030" t="s">
        <v>52052</v>
      </c>
      <c r="V11030" t="s">
        <v>55535</v>
      </c>
      <c r="W11030" t="s">
        <v>40377</v>
      </c>
      <c r="X11030" t="s">
        <v>41265</v>
      </c>
    </row>
    <row r="11031" spans="1:24">
      <c r="A11031">
        <f>HYPERLINK("https://www.philgeps.gov.ph/GEPSNONPILOT/Tender/SplashBidNoticeAbstractUI.aspx?menuIndex=3&amp;refID=7054289&amp;Result=3","7054289")</f>
        <v>0</v>
      </c>
      <c r="B11031" t="s">
        <v>2498</v>
      </c>
      <c r="C11031" t="s">
        <v>13928</v>
      </c>
      <c r="D11031" t="s">
        <v>16639</v>
      </c>
      <c r="E11031" t="s">
        <v>26255</v>
      </c>
      <c r="F11031" t="s">
        <v>28669</v>
      </c>
      <c r="G11031" t="s">
        <v>28675</v>
      </c>
      <c r="H11031" t="s">
        <v>28686</v>
      </c>
      <c r="I11031" t="s">
        <v>28689</v>
      </c>
      <c r="J11031" t="s">
        <v>35620</v>
      </c>
      <c r="K11031" t="s">
        <v>37294</v>
      </c>
      <c r="M11031" t="s">
        <v>40183</v>
      </c>
      <c r="N11031" t="s">
        <v>41249</v>
      </c>
      <c r="O11031" t="s">
        <v>41250</v>
      </c>
      <c r="Q11031">
        <v>3</v>
      </c>
      <c r="R11031" t="s">
        <v>41264</v>
      </c>
      <c r="S11031" t="s">
        <v>41834</v>
      </c>
      <c r="T11031" t="s">
        <v>42726</v>
      </c>
      <c r="U11031" t="s">
        <v>50602</v>
      </c>
      <c r="W11031" t="s">
        <v>40183</v>
      </c>
      <c r="X11031" t="s">
        <v>41265</v>
      </c>
    </row>
    <row r="11032" spans="1:24">
      <c r="A11032">
        <f>HYPERLINK("https://www.philgeps.gov.ph/GEPSNONPILOT/Tender/SplashBidNoticeAbstractUI.aspx?menuIndex=3&amp;refID=7054227&amp;Result=3","7054227")</f>
        <v>0</v>
      </c>
      <c r="B11032" t="s">
        <v>595</v>
      </c>
      <c r="C11032" t="s">
        <v>13929</v>
      </c>
      <c r="D11032" t="s">
        <v>16654</v>
      </c>
      <c r="E11032" t="s">
        <v>26256</v>
      </c>
      <c r="F11032" t="s">
        <v>28669</v>
      </c>
      <c r="G11032" t="s">
        <v>28675</v>
      </c>
      <c r="H11032" t="s">
        <v>28686</v>
      </c>
      <c r="I11032" t="s">
        <v>28689</v>
      </c>
      <c r="J11032" t="s">
        <v>35621</v>
      </c>
      <c r="K11032" t="s">
        <v>37457</v>
      </c>
      <c r="M11032" t="s">
        <v>38094</v>
      </c>
      <c r="N11032" t="s">
        <v>41249</v>
      </c>
      <c r="O11032" t="s">
        <v>41250</v>
      </c>
      <c r="Q11032">
        <v>2</v>
      </c>
      <c r="R11032" t="s">
        <v>41264</v>
      </c>
      <c r="S11032" t="s">
        <v>41835</v>
      </c>
      <c r="T11032" t="s">
        <v>42881</v>
      </c>
      <c r="U11032" t="s">
        <v>52053</v>
      </c>
      <c r="W11032" t="s">
        <v>38094</v>
      </c>
      <c r="X11032" t="s">
        <v>41265</v>
      </c>
    </row>
    <row r="11033" spans="1:24">
      <c r="A11033">
        <f>HYPERLINK("https://www.philgeps.gov.ph/GEPSNONPILOT/Tender/SplashBidNoticeAbstractUI.aspx?menuIndex=3&amp;refID=7054199&amp;Result=3","7054199")</f>
        <v>0</v>
      </c>
      <c r="B11033" t="s">
        <v>145</v>
      </c>
      <c r="C11033" t="s">
        <v>13930</v>
      </c>
      <c r="D11033" t="s">
        <v>16619</v>
      </c>
      <c r="E11033" t="s">
        <v>26257</v>
      </c>
      <c r="F11033" t="s">
        <v>28669</v>
      </c>
      <c r="G11033" t="s">
        <v>28675</v>
      </c>
      <c r="H11033" t="s">
        <v>28686</v>
      </c>
      <c r="I11033" t="s">
        <v>28717</v>
      </c>
      <c r="J11033" t="s">
        <v>28847</v>
      </c>
      <c r="K11033" t="s">
        <v>37220</v>
      </c>
      <c r="M11033" t="s">
        <v>40818</v>
      </c>
      <c r="N11033" t="s">
        <v>41249</v>
      </c>
      <c r="O11033" t="s">
        <v>41250</v>
      </c>
      <c r="P11033">
        <v>0</v>
      </c>
      <c r="Q11033">
        <v>13</v>
      </c>
      <c r="R11033" t="s">
        <v>41264</v>
      </c>
      <c r="S11033" t="s">
        <v>41775</v>
      </c>
      <c r="T11033" t="s">
        <v>42671</v>
      </c>
      <c r="U11033" t="s">
        <v>52054</v>
      </c>
      <c r="V11033" t="s">
        <v>55536</v>
      </c>
      <c r="W11033" t="s">
        <v>40818</v>
      </c>
      <c r="X11033" t="s">
        <v>41265</v>
      </c>
    </row>
    <row r="11034" spans="1:24">
      <c r="A11034">
        <f>HYPERLINK("https://www.philgeps.gov.ph/GEPSNONPILOT/Tender/SplashBidNoticeAbstractUI.aspx?menuIndex=3&amp;refID=7054196&amp;Result=3","7054196")</f>
        <v>0</v>
      </c>
      <c r="B11034" t="s">
        <v>3042</v>
      </c>
      <c r="C11034" t="s">
        <v>13931</v>
      </c>
      <c r="D11034" t="s">
        <v>16624</v>
      </c>
      <c r="E11034" t="s">
        <v>23873</v>
      </c>
      <c r="F11034" t="s">
        <v>28669</v>
      </c>
      <c r="G11034" t="s">
        <v>28675</v>
      </c>
      <c r="H11034" t="s">
        <v>9998</v>
      </c>
      <c r="I11034" t="s">
        <v>7352</v>
      </c>
      <c r="J11034" t="s">
        <v>35622</v>
      </c>
      <c r="K11034" t="s">
        <v>37227</v>
      </c>
      <c r="M11034" t="s">
        <v>40819</v>
      </c>
      <c r="N11034" t="s">
        <v>41249</v>
      </c>
      <c r="O11034" t="s">
        <v>41250</v>
      </c>
      <c r="P11034">
        <v>0</v>
      </c>
      <c r="Q11034">
        <v>0</v>
      </c>
      <c r="R11034" t="s">
        <v>41264</v>
      </c>
      <c r="S11034" t="s">
        <v>41775</v>
      </c>
      <c r="T11034" t="s">
        <v>42717</v>
      </c>
      <c r="U11034" t="s">
        <v>52055</v>
      </c>
      <c r="W11034" t="s">
        <v>40819</v>
      </c>
      <c r="X11034" t="s">
        <v>41265</v>
      </c>
    </row>
    <row r="11035" spans="1:24">
      <c r="A11035">
        <f>HYPERLINK("https://www.philgeps.gov.ph/GEPSNONPILOT/Tender/SplashBidNoticeAbstractUI.aspx?menuIndex=3&amp;refID=7054191&amp;Result=3","7054191")</f>
        <v>0</v>
      </c>
      <c r="B11035" t="s">
        <v>1279</v>
      </c>
      <c r="C11035" t="s">
        <v>13932</v>
      </c>
      <c r="D11035" t="s">
        <v>16646</v>
      </c>
      <c r="E11035" t="s">
        <v>26258</v>
      </c>
      <c r="F11035" t="s">
        <v>28671</v>
      </c>
      <c r="G11035" t="s">
        <v>28675</v>
      </c>
      <c r="H11035" t="s">
        <v>9998</v>
      </c>
      <c r="I11035" t="s">
        <v>28693</v>
      </c>
      <c r="J11035" t="s">
        <v>35623</v>
      </c>
      <c r="K11035" t="s">
        <v>37213</v>
      </c>
      <c r="M11035" t="s">
        <v>38829</v>
      </c>
      <c r="N11035" t="s">
        <v>41249</v>
      </c>
      <c r="O11035" t="s">
        <v>41250</v>
      </c>
      <c r="P11035">
        <v>0</v>
      </c>
      <c r="Q11035">
        <v>9</v>
      </c>
      <c r="R11035" t="s">
        <v>41264</v>
      </c>
      <c r="S11035" t="s">
        <v>41775</v>
      </c>
      <c r="T11035" t="s">
        <v>43046</v>
      </c>
      <c r="U11035" t="s">
        <v>52056</v>
      </c>
      <c r="W11035" t="s">
        <v>38829</v>
      </c>
      <c r="X11035" t="s">
        <v>41265</v>
      </c>
    </row>
    <row r="11036" spans="1:24">
      <c r="A11036">
        <f>HYPERLINK("https://www.philgeps.gov.ph/GEPSNONPILOT/Tender/SplashBidNoticeAbstractUI.aspx?menuIndex=3&amp;refID=7054178&amp;Result=3","7054178")</f>
        <v>0</v>
      </c>
      <c r="B11036" t="s">
        <v>2669</v>
      </c>
      <c r="C11036" t="s">
        <v>13933</v>
      </c>
      <c r="D11036" t="s">
        <v>16662</v>
      </c>
      <c r="E11036" t="s">
        <v>26259</v>
      </c>
      <c r="F11036" t="s">
        <v>28669</v>
      </c>
      <c r="G11036" t="s">
        <v>28675</v>
      </c>
      <c r="H11036" t="s">
        <v>28686</v>
      </c>
      <c r="I11036" t="s">
        <v>28689</v>
      </c>
      <c r="J11036" t="s">
        <v>35624</v>
      </c>
      <c r="K11036" t="s">
        <v>37215</v>
      </c>
      <c r="M11036" t="s">
        <v>40377</v>
      </c>
      <c r="N11036" t="s">
        <v>41249</v>
      </c>
      <c r="O11036" t="s">
        <v>41250</v>
      </c>
      <c r="P11036">
        <v>0</v>
      </c>
      <c r="Q11036">
        <v>1</v>
      </c>
      <c r="R11036" t="s">
        <v>41264</v>
      </c>
      <c r="S11036" t="s">
        <v>41775</v>
      </c>
      <c r="T11036" t="s">
        <v>42836</v>
      </c>
      <c r="U11036" t="s">
        <v>52057</v>
      </c>
      <c r="V11036" t="s">
        <v>55537</v>
      </c>
      <c r="W11036" t="s">
        <v>40377</v>
      </c>
      <c r="X11036" t="s">
        <v>41265</v>
      </c>
    </row>
    <row r="11037" spans="1:24">
      <c r="A11037">
        <f>HYPERLINK("https://www.philgeps.gov.ph/GEPSNONPILOT/Tender/SplashBidNoticeAbstractUI.aspx?menuIndex=3&amp;refID=7054155&amp;Result=3","7054155")</f>
        <v>0</v>
      </c>
      <c r="B11037" t="s">
        <v>2739</v>
      </c>
      <c r="C11037" t="s">
        <v>13934</v>
      </c>
      <c r="D11037" t="s">
        <v>16654</v>
      </c>
      <c r="E11037" t="s">
        <v>26260</v>
      </c>
      <c r="F11037" t="s">
        <v>28669</v>
      </c>
      <c r="G11037" t="s">
        <v>28675</v>
      </c>
      <c r="H11037" t="s">
        <v>28686</v>
      </c>
      <c r="I11037" t="s">
        <v>28689</v>
      </c>
      <c r="J11037" t="s">
        <v>35615</v>
      </c>
      <c r="K11037" t="s">
        <v>37294</v>
      </c>
      <c r="L11037" t="s">
        <v>2739</v>
      </c>
      <c r="M11037" t="s">
        <v>40454</v>
      </c>
      <c r="N11037" t="s">
        <v>41249</v>
      </c>
      <c r="O11037" t="s">
        <v>41250</v>
      </c>
      <c r="P11037">
        <v>0</v>
      </c>
      <c r="Q11037">
        <v>0</v>
      </c>
      <c r="R11037" t="s">
        <v>41264</v>
      </c>
      <c r="S11037" t="s">
        <v>41775</v>
      </c>
      <c r="T11037" t="s">
        <v>42696</v>
      </c>
      <c r="U11037" t="s">
        <v>52048</v>
      </c>
      <c r="W11037" t="s">
        <v>40454</v>
      </c>
      <c r="X11037" t="s">
        <v>41265</v>
      </c>
    </row>
    <row r="11038" spans="1:24">
      <c r="A11038">
        <f>HYPERLINK("https://www.philgeps.gov.ph/GEPSNONPILOT/Tender/SplashBidNoticeAbstractUI.aspx?menuIndex=3&amp;refID=7054143&amp;Result=3","7054143")</f>
        <v>0</v>
      </c>
      <c r="B11038" t="s">
        <v>2669</v>
      </c>
      <c r="C11038" t="s">
        <v>5491</v>
      </c>
      <c r="D11038" t="s">
        <v>16662</v>
      </c>
      <c r="E11038" t="s">
        <v>26261</v>
      </c>
      <c r="F11038" t="s">
        <v>28669</v>
      </c>
      <c r="G11038" t="s">
        <v>28675</v>
      </c>
      <c r="H11038" t="s">
        <v>28686</v>
      </c>
      <c r="I11038" t="s">
        <v>28689</v>
      </c>
      <c r="J11038" t="s">
        <v>35625</v>
      </c>
      <c r="K11038" t="s">
        <v>37213</v>
      </c>
      <c r="M11038" t="s">
        <v>40377</v>
      </c>
      <c r="N11038" t="s">
        <v>41249</v>
      </c>
      <c r="O11038" t="s">
        <v>41250</v>
      </c>
      <c r="P11038">
        <v>0</v>
      </c>
      <c r="Q11038">
        <v>1</v>
      </c>
      <c r="R11038" t="s">
        <v>41264</v>
      </c>
      <c r="S11038" t="s">
        <v>41775</v>
      </c>
      <c r="T11038" t="s">
        <v>42836</v>
      </c>
      <c r="U11038" t="s">
        <v>52058</v>
      </c>
      <c r="V11038" t="s">
        <v>55538</v>
      </c>
      <c r="W11038" t="s">
        <v>40377</v>
      </c>
      <c r="X11038" t="s">
        <v>41265</v>
      </c>
    </row>
    <row r="11039" spans="1:24">
      <c r="A11039">
        <f>HYPERLINK("https://www.philgeps.gov.ph/GEPSNONPILOT/Tender/SplashBidNoticeAbstractUI.aspx?menuIndex=3&amp;refID=7054141&amp;Result=3","7054141")</f>
        <v>0</v>
      </c>
      <c r="B11039" t="s">
        <v>986</v>
      </c>
      <c r="C11039" t="s">
        <v>13935</v>
      </c>
      <c r="D11039" t="s">
        <v>16620</v>
      </c>
      <c r="E11039" t="s">
        <v>26262</v>
      </c>
      <c r="F11039" t="s">
        <v>28669</v>
      </c>
      <c r="G11039" t="s">
        <v>28675</v>
      </c>
      <c r="H11039" t="s">
        <v>9998</v>
      </c>
      <c r="I11039" t="s">
        <v>7352</v>
      </c>
      <c r="J11039" t="s">
        <v>35626</v>
      </c>
      <c r="K11039" t="s">
        <v>37206</v>
      </c>
      <c r="M11039" t="s">
        <v>38511</v>
      </c>
      <c r="N11039" t="s">
        <v>41249</v>
      </c>
      <c r="O11039" t="s">
        <v>41250</v>
      </c>
      <c r="P11039">
        <v>0</v>
      </c>
      <c r="Q11039">
        <v>0</v>
      </c>
      <c r="R11039" t="s">
        <v>41264</v>
      </c>
      <c r="S11039" t="s">
        <v>41775</v>
      </c>
      <c r="T11039" t="s">
        <v>42755</v>
      </c>
      <c r="U11039" t="s">
        <v>45210</v>
      </c>
      <c r="V11039" t="s">
        <v>54542</v>
      </c>
      <c r="W11039" t="s">
        <v>38511</v>
      </c>
      <c r="X11039" t="s">
        <v>41265</v>
      </c>
    </row>
    <row r="11040" spans="1:24">
      <c r="A11040">
        <f>HYPERLINK("https://www.philgeps.gov.ph/GEPSNONPILOT/Tender/SplashBidNoticeAbstractUI.aspx?menuIndex=3&amp;refID=7054112&amp;Result=3","7054112")</f>
        <v>0</v>
      </c>
      <c r="B11040" t="s">
        <v>3034</v>
      </c>
      <c r="C11040" t="s">
        <v>13936</v>
      </c>
      <c r="D11040" t="s">
        <v>16626</v>
      </c>
      <c r="E11040" t="s">
        <v>26263</v>
      </c>
      <c r="F11040" t="s">
        <v>28669</v>
      </c>
      <c r="G11040" t="s">
        <v>28675</v>
      </c>
      <c r="H11040" t="s">
        <v>9998</v>
      </c>
      <c r="I11040" t="s">
        <v>7352</v>
      </c>
      <c r="J11040" t="s">
        <v>29438</v>
      </c>
      <c r="K11040" t="s">
        <v>37204</v>
      </c>
      <c r="L11040" t="s">
        <v>3034</v>
      </c>
      <c r="M11040" t="s">
        <v>40806</v>
      </c>
      <c r="N11040" t="s">
        <v>41249</v>
      </c>
      <c r="O11040" t="s">
        <v>41250</v>
      </c>
      <c r="P11040">
        <v>0</v>
      </c>
      <c r="Q11040">
        <v>0</v>
      </c>
      <c r="R11040" t="s">
        <v>41264</v>
      </c>
      <c r="S11040" t="s">
        <v>41775</v>
      </c>
      <c r="T11040" t="s">
        <v>42698</v>
      </c>
      <c r="U11040" t="s">
        <v>52018</v>
      </c>
      <c r="V11040" t="s">
        <v>55517</v>
      </c>
      <c r="W11040" t="s">
        <v>40806</v>
      </c>
      <c r="X11040" t="s">
        <v>41265</v>
      </c>
    </row>
    <row r="11041" spans="1:24">
      <c r="A11041">
        <f>HYPERLINK("https://www.philgeps.gov.ph/GEPSNONPILOT/Tender/SplashBidNoticeAbstractUI.aspx?menuIndex=3&amp;refID=7053844&amp;Result=3","7053844")</f>
        <v>0</v>
      </c>
      <c r="B11041" t="s">
        <v>3034</v>
      </c>
      <c r="C11041" t="s">
        <v>13937</v>
      </c>
      <c r="D11041" t="s">
        <v>16626</v>
      </c>
      <c r="E11041" t="s">
        <v>19888</v>
      </c>
      <c r="F11041" t="s">
        <v>28669</v>
      </c>
      <c r="G11041" t="s">
        <v>28675</v>
      </c>
      <c r="H11041" t="s">
        <v>9998</v>
      </c>
      <c r="I11041" t="s">
        <v>28709</v>
      </c>
      <c r="J11041" t="s">
        <v>29523</v>
      </c>
      <c r="K11041" t="s">
        <v>37204</v>
      </c>
      <c r="L11041" t="s">
        <v>3034</v>
      </c>
      <c r="M11041" t="s">
        <v>40806</v>
      </c>
      <c r="N11041" t="s">
        <v>41249</v>
      </c>
      <c r="O11041" t="s">
        <v>41250</v>
      </c>
      <c r="P11041">
        <v>0</v>
      </c>
      <c r="Q11041">
        <v>0</v>
      </c>
      <c r="R11041" t="s">
        <v>41264</v>
      </c>
      <c r="S11041" t="s">
        <v>41775</v>
      </c>
      <c r="T11041" t="s">
        <v>42698</v>
      </c>
      <c r="U11041" t="s">
        <v>52018</v>
      </c>
      <c r="V11041" t="s">
        <v>55539</v>
      </c>
      <c r="W11041" t="s">
        <v>40806</v>
      </c>
      <c r="X11041" t="s">
        <v>41265</v>
      </c>
    </row>
    <row r="11042" spans="1:24">
      <c r="A11042">
        <f>HYPERLINK("https://www.philgeps.gov.ph/GEPSNONPILOT/Tender/SplashBidNoticeAbstractUI.aspx?menuIndex=3&amp;refID=7053272&amp;Result=3","7053272")</f>
        <v>0</v>
      </c>
      <c r="B11042" t="s">
        <v>2968</v>
      </c>
      <c r="C11042" t="s">
        <v>13938</v>
      </c>
      <c r="D11042" t="s">
        <v>16657</v>
      </c>
      <c r="E11042" t="s">
        <v>26264</v>
      </c>
      <c r="F11042" t="s">
        <v>28669</v>
      </c>
      <c r="G11042" t="s">
        <v>28675</v>
      </c>
      <c r="H11042" t="s">
        <v>9998</v>
      </c>
      <c r="I11042" t="s">
        <v>28714</v>
      </c>
      <c r="J11042" t="s">
        <v>35627</v>
      </c>
      <c r="K11042" t="s">
        <v>37209</v>
      </c>
      <c r="M11042" t="s">
        <v>40730</v>
      </c>
      <c r="N11042" t="s">
        <v>41249</v>
      </c>
      <c r="O11042" t="s">
        <v>41250</v>
      </c>
      <c r="Q11042">
        <v>17</v>
      </c>
      <c r="R11042" t="s">
        <v>41264</v>
      </c>
      <c r="S11042" t="s">
        <v>41836</v>
      </c>
      <c r="T11042" t="s">
        <v>42680</v>
      </c>
      <c r="U11042" t="s">
        <v>52059</v>
      </c>
      <c r="V11042" t="s">
        <v>55422</v>
      </c>
      <c r="W11042" t="s">
        <v>40730</v>
      </c>
      <c r="X11042" t="s">
        <v>41265</v>
      </c>
    </row>
    <row r="11043" spans="1:24">
      <c r="A11043">
        <f>HYPERLINK("https://www.philgeps.gov.ph/GEPSNONPILOT/Tender/SplashBidNoticeAbstractUI.aspx?menuIndex=3&amp;refID=7054158&amp;Result=3","7054158")</f>
        <v>0</v>
      </c>
      <c r="B11043" t="s">
        <v>511</v>
      </c>
      <c r="C11043" t="s">
        <v>13939</v>
      </c>
      <c r="D11043" t="s">
        <v>16659</v>
      </c>
      <c r="E11043" t="s">
        <v>13939</v>
      </c>
      <c r="F11043" t="s">
        <v>28669</v>
      </c>
      <c r="G11043" t="s">
        <v>28675</v>
      </c>
      <c r="H11043" t="s">
        <v>9998</v>
      </c>
      <c r="I11043" t="s">
        <v>28817</v>
      </c>
      <c r="J11043" t="s">
        <v>35628</v>
      </c>
      <c r="K11043" t="s">
        <v>37206</v>
      </c>
      <c r="M11043" t="s">
        <v>38001</v>
      </c>
      <c r="N11043" t="s">
        <v>41249</v>
      </c>
      <c r="O11043" t="s">
        <v>41250</v>
      </c>
      <c r="P11043">
        <v>0</v>
      </c>
      <c r="Q11043">
        <v>1</v>
      </c>
      <c r="R11043" t="s">
        <v>41264</v>
      </c>
      <c r="S11043" t="s">
        <v>41775</v>
      </c>
      <c r="T11043" t="s">
        <v>42690</v>
      </c>
      <c r="U11043" t="s">
        <v>52060</v>
      </c>
      <c r="W11043" t="s">
        <v>38001</v>
      </c>
      <c r="X11043" t="s">
        <v>41265</v>
      </c>
    </row>
    <row r="11044" spans="1:24">
      <c r="A11044">
        <f>HYPERLINK("https://www.philgeps.gov.ph/GEPSNONPILOT/Tender/SplashBidNoticeAbstractUI.aspx?menuIndex=3&amp;refID=7053248&amp;Result=3","7053248")</f>
        <v>0</v>
      </c>
      <c r="B11044" t="s">
        <v>2046</v>
      </c>
      <c r="C11044" t="s">
        <v>13940</v>
      </c>
      <c r="D11044" t="s">
        <v>16643</v>
      </c>
      <c r="E11044" t="s">
        <v>26265</v>
      </c>
      <c r="F11044" t="s">
        <v>28669</v>
      </c>
      <c r="G11044" t="s">
        <v>28677</v>
      </c>
      <c r="H11044" t="s">
        <v>9998</v>
      </c>
      <c r="I11044" t="s">
        <v>11593</v>
      </c>
      <c r="J11044" t="s">
        <v>28826</v>
      </c>
      <c r="K11044" t="s">
        <v>37209</v>
      </c>
      <c r="M11044" t="s">
        <v>39686</v>
      </c>
      <c r="N11044" t="s">
        <v>41249</v>
      </c>
      <c r="O11044" t="s">
        <v>41250</v>
      </c>
      <c r="Q11044">
        <v>5</v>
      </c>
      <c r="R11044" t="s">
        <v>41264</v>
      </c>
      <c r="S11044" t="s">
        <v>41837</v>
      </c>
      <c r="T11044" t="s">
        <v>42883</v>
      </c>
      <c r="U11044" t="s">
        <v>48244</v>
      </c>
      <c r="W11044" t="s">
        <v>39686</v>
      </c>
      <c r="X11044" t="s">
        <v>41265</v>
      </c>
    </row>
    <row r="11045" spans="1:24">
      <c r="A11045">
        <f>HYPERLINK("https://www.philgeps.gov.ph/GEPSNONPILOT/Tender/SplashBidNoticeAbstractUI.aspx?menuIndex=3&amp;refID=7053076&amp;Result=3","7053076")</f>
        <v>0</v>
      </c>
      <c r="B11045" t="s">
        <v>3043</v>
      </c>
      <c r="C11045" t="s">
        <v>13941</v>
      </c>
      <c r="D11045" t="s">
        <v>16628</v>
      </c>
      <c r="E11045" t="s">
        <v>26266</v>
      </c>
      <c r="F11045" t="s">
        <v>28669</v>
      </c>
      <c r="G11045" t="s">
        <v>28675</v>
      </c>
      <c r="H11045" t="s">
        <v>9998</v>
      </c>
      <c r="I11045" t="s">
        <v>28687</v>
      </c>
      <c r="J11045" t="s">
        <v>30025</v>
      </c>
      <c r="K11045" t="s">
        <v>37206</v>
      </c>
      <c r="M11045" t="s">
        <v>40820</v>
      </c>
      <c r="N11045" t="s">
        <v>41249</v>
      </c>
      <c r="O11045" t="s">
        <v>41250</v>
      </c>
      <c r="P11045">
        <v>0</v>
      </c>
      <c r="Q11045">
        <v>4</v>
      </c>
      <c r="R11045" t="s">
        <v>41264</v>
      </c>
      <c r="S11045" t="s">
        <v>41775</v>
      </c>
      <c r="T11045" t="s">
        <v>42697</v>
      </c>
      <c r="U11045" t="s">
        <v>52061</v>
      </c>
      <c r="W11045" t="s">
        <v>40820</v>
      </c>
      <c r="X11045" t="s">
        <v>41265</v>
      </c>
    </row>
    <row r="11046" spans="1:24">
      <c r="A11046">
        <f>HYPERLINK("https://www.philgeps.gov.ph/GEPSNONPILOT/Tender/SplashBidNoticeAbstractUI.aspx?menuIndex=3&amp;refID=7054129&amp;Result=3","7054129")</f>
        <v>0</v>
      </c>
      <c r="B11046" t="s">
        <v>2968</v>
      </c>
      <c r="C11046" t="s">
        <v>13942</v>
      </c>
      <c r="E11046" t="s">
        <v>26267</v>
      </c>
      <c r="F11046" t="s">
        <v>28669</v>
      </c>
      <c r="G11046" t="s">
        <v>28675</v>
      </c>
      <c r="H11046" t="s">
        <v>9998</v>
      </c>
      <c r="I11046" t="s">
        <v>28693</v>
      </c>
      <c r="J11046" t="s">
        <v>35629</v>
      </c>
      <c r="K11046" t="s">
        <v>37209</v>
      </c>
      <c r="M11046" t="s">
        <v>40730</v>
      </c>
      <c r="N11046" t="s">
        <v>41249</v>
      </c>
      <c r="O11046" t="s">
        <v>41250</v>
      </c>
      <c r="Q11046">
        <v>21</v>
      </c>
      <c r="R11046" t="s">
        <v>41264</v>
      </c>
      <c r="S11046" t="s">
        <v>41838</v>
      </c>
      <c r="T11046" t="s">
        <v>43123</v>
      </c>
      <c r="U11046" t="s">
        <v>52062</v>
      </c>
      <c r="V11046" t="s">
        <v>55532</v>
      </c>
      <c r="W11046" t="s">
        <v>40730</v>
      </c>
      <c r="X11046" t="s">
        <v>41265</v>
      </c>
    </row>
    <row r="11047" spans="1:24">
      <c r="A11047">
        <f>HYPERLINK("https://www.philgeps.gov.ph/GEPSNONPILOT/Tender/SplashBidNoticeAbstractUI.aspx?menuIndex=3&amp;refID=7053067&amp;Result=3","7053067")</f>
        <v>0</v>
      </c>
      <c r="B11047" t="s">
        <v>3044</v>
      </c>
      <c r="C11047" t="s">
        <v>13943</v>
      </c>
      <c r="D11047" t="s">
        <v>16687</v>
      </c>
      <c r="E11047" t="s">
        <v>26268</v>
      </c>
      <c r="F11047" t="s">
        <v>28669</v>
      </c>
      <c r="G11047" t="s">
        <v>28675</v>
      </c>
      <c r="H11047" t="s">
        <v>9998</v>
      </c>
      <c r="I11047" t="s">
        <v>7352</v>
      </c>
      <c r="J11047" t="s">
        <v>35630</v>
      </c>
      <c r="K11047" t="s">
        <v>37205</v>
      </c>
      <c r="M11047" t="s">
        <v>40821</v>
      </c>
      <c r="N11047" t="s">
        <v>41249</v>
      </c>
      <c r="O11047" t="s">
        <v>41250</v>
      </c>
      <c r="P11047">
        <v>0</v>
      </c>
      <c r="Q11047">
        <v>0</v>
      </c>
      <c r="R11047" t="s">
        <v>41264</v>
      </c>
      <c r="S11047" t="s">
        <v>41775</v>
      </c>
      <c r="T11047" t="s">
        <v>42690</v>
      </c>
      <c r="U11047" t="s">
        <v>52063</v>
      </c>
      <c r="W11047" t="s">
        <v>40821</v>
      </c>
      <c r="X11047" t="s">
        <v>41265</v>
      </c>
    </row>
    <row r="11048" spans="1:24">
      <c r="A11048">
        <f>HYPERLINK("https://www.philgeps.gov.ph/GEPSNONPILOT/Tender/SplashBidNoticeAbstractUI.aspx?menuIndex=3&amp;refID=7053814&amp;Result=3","7053814")</f>
        <v>0</v>
      </c>
      <c r="B11048" t="s">
        <v>299</v>
      </c>
      <c r="C11048" t="s">
        <v>13944</v>
      </c>
      <c r="D11048" t="s">
        <v>16639</v>
      </c>
      <c r="E11048" t="s">
        <v>26269</v>
      </c>
      <c r="F11048" t="s">
        <v>28669</v>
      </c>
      <c r="G11048" t="s">
        <v>28675</v>
      </c>
      <c r="H11048" t="s">
        <v>28686</v>
      </c>
      <c r="I11048" t="s">
        <v>28689</v>
      </c>
      <c r="J11048" t="s">
        <v>35631</v>
      </c>
      <c r="K11048" t="s">
        <v>37206</v>
      </c>
      <c r="M11048" t="s">
        <v>37778</v>
      </c>
      <c r="N11048" t="s">
        <v>41249</v>
      </c>
      <c r="O11048" t="s">
        <v>41250</v>
      </c>
      <c r="P11048">
        <v>0</v>
      </c>
      <c r="Q11048">
        <v>0</v>
      </c>
      <c r="R11048" t="s">
        <v>41264</v>
      </c>
      <c r="S11048" t="s">
        <v>41775</v>
      </c>
      <c r="T11048" t="s">
        <v>42728</v>
      </c>
      <c r="U11048" t="s">
        <v>52064</v>
      </c>
      <c r="W11048" t="s">
        <v>37778</v>
      </c>
      <c r="X11048" t="s">
        <v>41265</v>
      </c>
    </row>
    <row r="11049" spans="1:24">
      <c r="A11049">
        <f>HYPERLINK("https://www.philgeps.gov.ph/GEPSNONPILOT/Tender/SplashBidNoticeAbstractUI.aspx?menuIndex=3&amp;refID=7053261&amp;Result=3","7053261")</f>
        <v>0</v>
      </c>
      <c r="B11049" t="s">
        <v>1767</v>
      </c>
      <c r="C11049" t="s">
        <v>13945</v>
      </c>
      <c r="D11049" t="s">
        <v>16676</v>
      </c>
      <c r="E11049" t="s">
        <v>25473</v>
      </c>
      <c r="F11049" t="s">
        <v>28669</v>
      </c>
      <c r="G11049" t="s">
        <v>28675</v>
      </c>
      <c r="H11049" t="s">
        <v>28686</v>
      </c>
      <c r="I11049" t="s">
        <v>28689</v>
      </c>
      <c r="J11049" t="s">
        <v>35632</v>
      </c>
      <c r="K11049" t="s">
        <v>37211</v>
      </c>
      <c r="M11049" t="s">
        <v>39369</v>
      </c>
      <c r="N11049" t="s">
        <v>41249</v>
      </c>
      <c r="O11049" t="s">
        <v>41250</v>
      </c>
      <c r="P11049">
        <v>0</v>
      </c>
      <c r="Q11049">
        <v>2</v>
      </c>
      <c r="R11049" t="s">
        <v>41264</v>
      </c>
      <c r="S11049" t="s">
        <v>41775</v>
      </c>
      <c r="T11049" t="s">
        <v>42966</v>
      </c>
      <c r="U11049" t="s">
        <v>52065</v>
      </c>
      <c r="V11049" t="s">
        <v>55510</v>
      </c>
      <c r="W11049" t="s">
        <v>39369</v>
      </c>
      <c r="X11049" t="s">
        <v>41265</v>
      </c>
    </row>
    <row r="11050" spans="1:24">
      <c r="A11050">
        <f>HYPERLINK("https://www.philgeps.gov.ph/GEPSNONPILOT/Tender/SplashBidNoticeAbstractUI.aspx?menuIndex=3&amp;refID=7053747&amp;Result=3","7053747")</f>
        <v>0</v>
      </c>
      <c r="B11050" t="s">
        <v>3045</v>
      </c>
      <c r="C11050" t="s">
        <v>13946</v>
      </c>
      <c r="D11050" t="s">
        <v>16670</v>
      </c>
      <c r="E11050" t="s">
        <v>24543</v>
      </c>
      <c r="F11050" t="s">
        <v>28669</v>
      </c>
      <c r="G11050" t="s">
        <v>28675</v>
      </c>
      <c r="H11050" t="s">
        <v>28686</v>
      </c>
      <c r="I11050" t="s">
        <v>28689</v>
      </c>
      <c r="J11050" t="s">
        <v>28845</v>
      </c>
      <c r="K11050" t="s">
        <v>37221</v>
      </c>
      <c r="M11050" t="s">
        <v>40822</v>
      </c>
      <c r="N11050" t="s">
        <v>41249</v>
      </c>
      <c r="O11050" t="s">
        <v>41250</v>
      </c>
      <c r="P11050">
        <v>0</v>
      </c>
      <c r="Q11050">
        <v>0</v>
      </c>
      <c r="R11050" t="s">
        <v>41264</v>
      </c>
      <c r="S11050" t="s">
        <v>41775</v>
      </c>
      <c r="T11050" t="s">
        <v>42665</v>
      </c>
      <c r="U11050" t="s">
        <v>52066</v>
      </c>
      <c r="V11050" t="s">
        <v>55260</v>
      </c>
      <c r="W11050" t="s">
        <v>40822</v>
      </c>
      <c r="X11050" t="s">
        <v>41265</v>
      </c>
    </row>
    <row r="11051" spans="1:24">
      <c r="A11051">
        <f>HYPERLINK("https://www.philgeps.gov.ph/GEPSNONPILOT/Tender/SplashBidNoticeAbstractUI.aspx?menuIndex=3&amp;refID=7053042&amp;Result=3","7053042")</f>
        <v>0</v>
      </c>
      <c r="B11051" t="s">
        <v>2799</v>
      </c>
      <c r="C11051" t="s">
        <v>13947</v>
      </c>
      <c r="E11051" t="s">
        <v>26270</v>
      </c>
      <c r="F11051" t="s">
        <v>28669</v>
      </c>
      <c r="G11051" t="s">
        <v>28676</v>
      </c>
      <c r="H11051" t="s">
        <v>9998</v>
      </c>
      <c r="I11051" t="s">
        <v>5213</v>
      </c>
      <c r="J11051" t="s">
        <v>29060</v>
      </c>
      <c r="K11051" t="s">
        <v>37209</v>
      </c>
      <c r="M11051" t="s">
        <v>40823</v>
      </c>
      <c r="N11051" t="s">
        <v>41249</v>
      </c>
      <c r="O11051" t="s">
        <v>41250</v>
      </c>
      <c r="Q11051">
        <v>0</v>
      </c>
      <c r="R11051" t="s">
        <v>41264</v>
      </c>
      <c r="S11051" t="s">
        <v>41839</v>
      </c>
      <c r="T11051" t="s">
        <v>42673</v>
      </c>
      <c r="U11051" t="s">
        <v>52067</v>
      </c>
      <c r="W11051" t="s">
        <v>40823</v>
      </c>
      <c r="X11051" t="s">
        <v>41265</v>
      </c>
    </row>
    <row r="11052" spans="1:24">
      <c r="A11052">
        <f>HYPERLINK("https://www.philgeps.gov.ph/GEPSNONPILOT/Tender/SplashBidNoticeAbstractUI.aspx?menuIndex=3&amp;refID=7053216&amp;Result=3","7053216")</f>
        <v>0</v>
      </c>
      <c r="B11052" t="s">
        <v>1767</v>
      </c>
      <c r="C11052" t="s">
        <v>13945</v>
      </c>
      <c r="D11052" t="s">
        <v>16676</v>
      </c>
      <c r="E11052" t="s">
        <v>26271</v>
      </c>
      <c r="F11052" t="s">
        <v>28669</v>
      </c>
      <c r="G11052" t="s">
        <v>28675</v>
      </c>
      <c r="H11052" t="s">
        <v>28686</v>
      </c>
      <c r="I11052" t="s">
        <v>28689</v>
      </c>
      <c r="J11052" t="s">
        <v>28881</v>
      </c>
      <c r="K11052" t="s">
        <v>37211</v>
      </c>
      <c r="M11052" t="s">
        <v>39369</v>
      </c>
      <c r="N11052" t="s">
        <v>41249</v>
      </c>
      <c r="O11052" t="s">
        <v>41250</v>
      </c>
      <c r="P11052">
        <v>0</v>
      </c>
      <c r="Q11052">
        <v>2</v>
      </c>
      <c r="R11052" t="s">
        <v>41264</v>
      </c>
      <c r="S11052" t="s">
        <v>41775</v>
      </c>
      <c r="T11052" t="s">
        <v>42966</v>
      </c>
      <c r="U11052" t="s">
        <v>52068</v>
      </c>
      <c r="V11052" t="s">
        <v>55540</v>
      </c>
      <c r="W11052" t="s">
        <v>39369</v>
      </c>
      <c r="X11052" t="s">
        <v>41265</v>
      </c>
    </row>
    <row r="11053" spans="1:24">
      <c r="A11053">
        <f>HYPERLINK("https://www.philgeps.gov.ph/GEPSNONPILOT/Tender/SplashBidNoticeAbstractUI.aspx?menuIndex=3&amp;refID=7054194&amp;Result=3","7054194")</f>
        <v>0</v>
      </c>
      <c r="B11053" t="s">
        <v>453</v>
      </c>
      <c r="C11053" t="s">
        <v>13948</v>
      </c>
      <c r="D11053" t="s">
        <v>16633</v>
      </c>
      <c r="E11053" t="s">
        <v>26272</v>
      </c>
      <c r="F11053" t="s">
        <v>28669</v>
      </c>
      <c r="G11053" t="s">
        <v>28675</v>
      </c>
      <c r="H11053" t="s">
        <v>28686</v>
      </c>
      <c r="I11053" t="s">
        <v>28689</v>
      </c>
      <c r="J11053" t="s">
        <v>35633</v>
      </c>
      <c r="K11053" t="s">
        <v>37215</v>
      </c>
      <c r="M11053" t="s">
        <v>37941</v>
      </c>
      <c r="N11053" t="s">
        <v>41249</v>
      </c>
      <c r="O11053" t="s">
        <v>41250</v>
      </c>
      <c r="P11053">
        <v>0</v>
      </c>
      <c r="Q11053">
        <v>2</v>
      </c>
      <c r="R11053" t="s">
        <v>41264</v>
      </c>
      <c r="S11053" t="s">
        <v>41775</v>
      </c>
      <c r="T11053" t="s">
        <v>42757</v>
      </c>
      <c r="U11053" t="s">
        <v>52069</v>
      </c>
      <c r="W11053" t="s">
        <v>37941</v>
      </c>
      <c r="X11053" t="s">
        <v>41265</v>
      </c>
    </row>
    <row r="11054" spans="1:24">
      <c r="A11054">
        <f>HYPERLINK("https://www.philgeps.gov.ph/GEPSNONPILOT/Tender/SplashBidNoticeAbstractUI.aspx?menuIndex=3&amp;refID=7054427&amp;Result=3","7054427")</f>
        <v>0</v>
      </c>
      <c r="B11054" t="s">
        <v>573</v>
      </c>
      <c r="C11054" t="s">
        <v>13949</v>
      </c>
      <c r="D11054" t="s">
        <v>16615</v>
      </c>
      <c r="E11054" t="s">
        <v>26273</v>
      </c>
      <c r="F11054" t="s">
        <v>28669</v>
      </c>
      <c r="G11054" t="s">
        <v>28675</v>
      </c>
      <c r="H11054" t="s">
        <v>9998</v>
      </c>
      <c r="I11054" t="s">
        <v>28706</v>
      </c>
      <c r="J11054" t="s">
        <v>35634</v>
      </c>
      <c r="K11054" t="s">
        <v>37220</v>
      </c>
      <c r="M11054" t="s">
        <v>38072</v>
      </c>
      <c r="N11054" t="s">
        <v>41249</v>
      </c>
      <c r="O11054" t="s">
        <v>41250</v>
      </c>
      <c r="P11054">
        <v>0</v>
      </c>
      <c r="Q11054">
        <v>4</v>
      </c>
      <c r="R11054" t="s">
        <v>41264</v>
      </c>
      <c r="S11054" t="s">
        <v>41775</v>
      </c>
      <c r="T11054" t="s">
        <v>42712</v>
      </c>
      <c r="U11054" t="s">
        <v>52070</v>
      </c>
      <c r="W11054" t="s">
        <v>38072</v>
      </c>
      <c r="X11054" t="s">
        <v>41265</v>
      </c>
    </row>
    <row r="11055" spans="1:24">
      <c r="A11055">
        <f>HYPERLINK("https://www.philgeps.gov.ph/GEPSNONPILOT/Tender/SplashBidNoticeAbstractUI.aspx?menuIndex=3&amp;refID=7054421&amp;Result=3","7054421")</f>
        <v>0</v>
      </c>
      <c r="B11055" t="s">
        <v>2840</v>
      </c>
      <c r="C11055" t="s">
        <v>13950</v>
      </c>
      <c r="D11055" t="s">
        <v>16611</v>
      </c>
      <c r="E11055" t="s">
        <v>26274</v>
      </c>
      <c r="F11055" t="s">
        <v>28669</v>
      </c>
      <c r="G11055" t="s">
        <v>28675</v>
      </c>
      <c r="H11055" t="s">
        <v>28686</v>
      </c>
      <c r="I11055" t="s">
        <v>28689</v>
      </c>
      <c r="J11055" t="s">
        <v>32073</v>
      </c>
      <c r="K11055" t="s">
        <v>37213</v>
      </c>
      <c r="L11055" t="s">
        <v>2840</v>
      </c>
      <c r="M11055" t="s">
        <v>40576</v>
      </c>
      <c r="N11055" t="s">
        <v>41249</v>
      </c>
      <c r="O11055" t="s">
        <v>41250</v>
      </c>
      <c r="P11055">
        <v>0</v>
      </c>
      <c r="Q11055">
        <v>1</v>
      </c>
      <c r="R11055" t="s">
        <v>41264</v>
      </c>
      <c r="S11055" t="s">
        <v>41775</v>
      </c>
      <c r="T11055" t="s">
        <v>42670</v>
      </c>
      <c r="U11055" t="s">
        <v>52071</v>
      </c>
      <c r="W11055" t="s">
        <v>40576</v>
      </c>
      <c r="X11055" t="s">
        <v>41265</v>
      </c>
    </row>
    <row r="11056" spans="1:24">
      <c r="A11056">
        <f>HYPERLINK("https://www.philgeps.gov.ph/GEPSNONPILOT/Tender/SplashBidNoticeAbstractUI.aspx?menuIndex=3&amp;refID=7053043&amp;Result=3","7053043")</f>
        <v>0</v>
      </c>
      <c r="B11056" t="s">
        <v>939</v>
      </c>
      <c r="C11056" t="s">
        <v>13951</v>
      </c>
      <c r="D11056" t="s">
        <v>16657</v>
      </c>
      <c r="E11056" t="s">
        <v>26275</v>
      </c>
      <c r="F11056" t="s">
        <v>28669</v>
      </c>
      <c r="G11056" t="s">
        <v>28675</v>
      </c>
      <c r="H11056" t="s">
        <v>28686</v>
      </c>
      <c r="I11056" t="s">
        <v>28689</v>
      </c>
      <c r="J11056" t="s">
        <v>35635</v>
      </c>
      <c r="K11056" t="s">
        <v>37213</v>
      </c>
      <c r="M11056" t="s">
        <v>38462</v>
      </c>
      <c r="N11056" t="s">
        <v>41249</v>
      </c>
      <c r="O11056" t="s">
        <v>41250</v>
      </c>
      <c r="P11056">
        <v>0</v>
      </c>
      <c r="Q11056">
        <v>7</v>
      </c>
      <c r="R11056" t="s">
        <v>41264</v>
      </c>
      <c r="S11056" t="s">
        <v>41775</v>
      </c>
      <c r="T11056" t="s">
        <v>42690</v>
      </c>
      <c r="U11056" t="s">
        <v>52072</v>
      </c>
      <c r="V11056" t="s">
        <v>55541</v>
      </c>
      <c r="W11056" t="s">
        <v>38462</v>
      </c>
      <c r="X11056" t="s">
        <v>41265</v>
      </c>
    </row>
    <row r="11057" spans="1:24">
      <c r="A11057">
        <f>HYPERLINK("https://www.philgeps.gov.ph/GEPSNONPILOT/Tender/SplashBidNoticeAbstractUI.aspx?menuIndex=3&amp;refID=7054408&amp;Result=3","7054408")</f>
        <v>0</v>
      </c>
      <c r="B11057" t="s">
        <v>3046</v>
      </c>
      <c r="C11057" t="s">
        <v>13952</v>
      </c>
      <c r="D11057" t="s">
        <v>16626</v>
      </c>
      <c r="E11057" t="s">
        <v>26276</v>
      </c>
      <c r="F11057" t="s">
        <v>28669</v>
      </c>
      <c r="G11057" t="s">
        <v>28675</v>
      </c>
      <c r="H11057" t="s">
        <v>28684</v>
      </c>
      <c r="I11057" t="s">
        <v>15140</v>
      </c>
      <c r="J11057" t="s">
        <v>35636</v>
      </c>
      <c r="K11057" t="s">
        <v>37397</v>
      </c>
      <c r="M11057" t="s">
        <v>40824</v>
      </c>
      <c r="N11057" t="s">
        <v>41249</v>
      </c>
      <c r="O11057" t="s">
        <v>41250</v>
      </c>
      <c r="P11057">
        <v>0</v>
      </c>
      <c r="Q11057">
        <v>1</v>
      </c>
      <c r="R11057" t="s">
        <v>41264</v>
      </c>
      <c r="S11057" t="s">
        <v>41775</v>
      </c>
      <c r="T11057" t="s">
        <v>42750</v>
      </c>
      <c r="U11057" t="s">
        <v>52073</v>
      </c>
      <c r="W11057" t="s">
        <v>40824</v>
      </c>
      <c r="X11057" t="s">
        <v>41265</v>
      </c>
    </row>
    <row r="11058" spans="1:24">
      <c r="A11058">
        <f>HYPERLINK("https://www.philgeps.gov.ph/GEPSNONPILOT/Tender/SplashBidNoticeAbstractUI.aspx?menuIndex=3&amp;refID=7054415&amp;Result=3","7054415")</f>
        <v>0</v>
      </c>
      <c r="B11058" t="s">
        <v>2306</v>
      </c>
      <c r="C11058" t="s">
        <v>11396</v>
      </c>
      <c r="D11058" t="s">
        <v>16626</v>
      </c>
      <c r="E11058" t="s">
        <v>24034</v>
      </c>
      <c r="F11058" t="s">
        <v>28669</v>
      </c>
      <c r="G11058" t="s">
        <v>28675</v>
      </c>
      <c r="H11058" t="s">
        <v>9998</v>
      </c>
      <c r="I11058" t="s">
        <v>28706</v>
      </c>
      <c r="J11058" t="s">
        <v>34057</v>
      </c>
      <c r="K11058" t="s">
        <v>37220</v>
      </c>
      <c r="M11058" t="s">
        <v>39965</v>
      </c>
      <c r="N11058" t="s">
        <v>41249</v>
      </c>
      <c r="O11058" t="s">
        <v>41250</v>
      </c>
      <c r="P11058">
        <v>0</v>
      </c>
      <c r="Q11058">
        <v>0</v>
      </c>
      <c r="R11058" t="s">
        <v>41264</v>
      </c>
      <c r="S11058" t="s">
        <v>41775</v>
      </c>
      <c r="T11058" t="s">
        <v>42675</v>
      </c>
      <c r="U11058" t="s">
        <v>50042</v>
      </c>
      <c r="V11058" t="s">
        <v>55097</v>
      </c>
      <c r="W11058" t="s">
        <v>39965</v>
      </c>
      <c r="X11058" t="s">
        <v>41265</v>
      </c>
    </row>
    <row r="11059" spans="1:24">
      <c r="A11059">
        <f>HYPERLINK("https://www.philgeps.gov.ph/GEPSNONPILOT/Tender/SplashBidNoticeAbstractUI.aspx?menuIndex=3&amp;refID=7054452&amp;Result=3","7054452")</f>
        <v>0</v>
      </c>
      <c r="B11059" t="s">
        <v>3047</v>
      </c>
      <c r="C11059" t="s">
        <v>13953</v>
      </c>
      <c r="D11059" t="s">
        <v>16620</v>
      </c>
      <c r="E11059" t="s">
        <v>24484</v>
      </c>
      <c r="F11059" t="s">
        <v>28669</v>
      </c>
      <c r="G11059" t="s">
        <v>28675</v>
      </c>
      <c r="H11059" t="s">
        <v>9998</v>
      </c>
      <c r="I11059" t="s">
        <v>28707</v>
      </c>
      <c r="J11059" t="s">
        <v>35637</v>
      </c>
      <c r="K11059" t="s">
        <v>37220</v>
      </c>
      <c r="M11059" t="s">
        <v>40825</v>
      </c>
      <c r="N11059" t="s">
        <v>41249</v>
      </c>
      <c r="O11059" t="s">
        <v>41250</v>
      </c>
      <c r="P11059">
        <v>0</v>
      </c>
      <c r="Q11059">
        <v>5</v>
      </c>
      <c r="R11059" t="s">
        <v>41264</v>
      </c>
      <c r="S11059" t="s">
        <v>41775</v>
      </c>
      <c r="T11059" t="s">
        <v>42714</v>
      </c>
      <c r="U11059" t="s">
        <v>52074</v>
      </c>
      <c r="V11059" t="s">
        <v>55542</v>
      </c>
      <c r="W11059" t="s">
        <v>40825</v>
      </c>
      <c r="X11059" t="s">
        <v>41265</v>
      </c>
    </row>
    <row r="11060" spans="1:24">
      <c r="A11060">
        <f>HYPERLINK("https://www.philgeps.gov.ph/GEPSNONPILOT/Tender/SplashBidNoticeAbstractUI.aspx?menuIndex=3&amp;refID=7054347&amp;Result=3","7054347")</f>
        <v>0</v>
      </c>
      <c r="B11060" t="s">
        <v>2739</v>
      </c>
      <c r="C11060" t="s">
        <v>13954</v>
      </c>
      <c r="D11060" t="s">
        <v>16654</v>
      </c>
      <c r="E11060" t="s">
        <v>26277</v>
      </c>
      <c r="F11060" t="s">
        <v>28669</v>
      </c>
      <c r="G11060" t="s">
        <v>28675</v>
      </c>
      <c r="H11060" t="s">
        <v>28686</v>
      </c>
      <c r="I11060" t="s">
        <v>28689</v>
      </c>
      <c r="J11060" t="s">
        <v>35615</v>
      </c>
      <c r="K11060" t="s">
        <v>37294</v>
      </c>
      <c r="L11060" t="s">
        <v>2739</v>
      </c>
      <c r="M11060" t="s">
        <v>40454</v>
      </c>
      <c r="N11060" t="s">
        <v>41249</v>
      </c>
      <c r="O11060" t="s">
        <v>41250</v>
      </c>
      <c r="P11060">
        <v>0</v>
      </c>
      <c r="Q11060">
        <v>0</v>
      </c>
      <c r="R11060" t="s">
        <v>41264</v>
      </c>
      <c r="S11060" t="s">
        <v>41775</v>
      </c>
      <c r="T11060" t="s">
        <v>42696</v>
      </c>
      <c r="U11060" t="s">
        <v>52048</v>
      </c>
      <c r="W11060" t="s">
        <v>40454</v>
      </c>
      <c r="X11060" t="s">
        <v>41265</v>
      </c>
    </row>
    <row r="11061" spans="1:24">
      <c r="A11061">
        <f>HYPERLINK("https://www.philgeps.gov.ph/GEPSNONPILOT/Tender/SplashBidNoticeAbstractUI.aspx?menuIndex=3&amp;refID=7054335&amp;Result=3","7054335")</f>
        <v>0</v>
      </c>
      <c r="B11061" t="s">
        <v>3048</v>
      </c>
      <c r="C11061" t="s">
        <v>13955</v>
      </c>
      <c r="D11061" t="s">
        <v>16637</v>
      </c>
      <c r="E11061" t="s">
        <v>26278</v>
      </c>
      <c r="F11061" t="s">
        <v>28669</v>
      </c>
      <c r="G11061" t="s">
        <v>28675</v>
      </c>
      <c r="H11061" t="s">
        <v>9998</v>
      </c>
      <c r="I11061" t="s">
        <v>7352</v>
      </c>
      <c r="J11061" t="s">
        <v>35638</v>
      </c>
      <c r="K11061" t="s">
        <v>37210</v>
      </c>
      <c r="M11061" t="s">
        <v>40826</v>
      </c>
      <c r="N11061" t="s">
        <v>41249</v>
      </c>
      <c r="O11061" t="s">
        <v>41250</v>
      </c>
      <c r="P11061">
        <v>0</v>
      </c>
      <c r="Q11061">
        <v>2</v>
      </c>
      <c r="R11061" t="s">
        <v>41264</v>
      </c>
      <c r="S11061" t="s">
        <v>41775</v>
      </c>
      <c r="T11061" t="s">
        <v>42764</v>
      </c>
      <c r="U11061" t="s">
        <v>52075</v>
      </c>
      <c r="W11061" t="s">
        <v>40826</v>
      </c>
      <c r="X11061" t="s">
        <v>41265</v>
      </c>
    </row>
    <row r="11062" spans="1:24">
      <c r="A11062">
        <f>HYPERLINK("https://www.philgeps.gov.ph/GEPSNONPILOT/Tender/SplashBidNoticeAbstractUI.aspx?menuIndex=3&amp;refID=7054423&amp;Result=3","7054423")</f>
        <v>0</v>
      </c>
      <c r="B11062" t="s">
        <v>2278</v>
      </c>
      <c r="C11062" t="s">
        <v>13956</v>
      </c>
      <c r="D11062" t="s">
        <v>16615</v>
      </c>
      <c r="E11062" t="s">
        <v>26279</v>
      </c>
      <c r="F11062" t="s">
        <v>28669</v>
      </c>
      <c r="G11062" t="s">
        <v>28675</v>
      </c>
      <c r="H11062" t="s">
        <v>28686</v>
      </c>
      <c r="I11062" t="s">
        <v>28689</v>
      </c>
      <c r="J11062" t="s">
        <v>28836</v>
      </c>
      <c r="K11062" t="s">
        <v>37215</v>
      </c>
      <c r="M11062" t="s">
        <v>39933</v>
      </c>
      <c r="N11062" t="s">
        <v>41249</v>
      </c>
      <c r="O11062" t="s">
        <v>41250</v>
      </c>
      <c r="P11062">
        <v>0</v>
      </c>
      <c r="Q11062">
        <v>36</v>
      </c>
      <c r="R11062" t="s">
        <v>41264</v>
      </c>
      <c r="S11062" t="s">
        <v>41775</v>
      </c>
      <c r="T11062" t="s">
        <v>42690</v>
      </c>
      <c r="U11062" t="s">
        <v>52076</v>
      </c>
      <c r="W11062" t="s">
        <v>39933</v>
      </c>
      <c r="X11062" t="s">
        <v>41265</v>
      </c>
    </row>
    <row r="11063" spans="1:24">
      <c r="A11063">
        <f>HYPERLINK("https://www.philgeps.gov.ph/GEPSNONPILOT/Tender/SplashBidNoticeAbstractUI.aspx?menuIndex=3&amp;refID=7054330&amp;Result=3","7054330")</f>
        <v>0</v>
      </c>
      <c r="B11063" t="s">
        <v>2840</v>
      </c>
      <c r="C11063" t="s">
        <v>13957</v>
      </c>
      <c r="D11063" t="s">
        <v>16611</v>
      </c>
      <c r="E11063" t="s">
        <v>26280</v>
      </c>
      <c r="F11063" t="s">
        <v>28669</v>
      </c>
      <c r="G11063" t="s">
        <v>28675</v>
      </c>
      <c r="H11063" t="s">
        <v>28686</v>
      </c>
      <c r="I11063" t="s">
        <v>7352</v>
      </c>
      <c r="J11063" t="s">
        <v>28847</v>
      </c>
      <c r="K11063" t="s">
        <v>37213</v>
      </c>
      <c r="L11063" t="s">
        <v>2840</v>
      </c>
      <c r="M11063" t="s">
        <v>40576</v>
      </c>
      <c r="N11063" t="s">
        <v>41249</v>
      </c>
      <c r="O11063" t="s">
        <v>41250</v>
      </c>
      <c r="P11063">
        <v>0</v>
      </c>
      <c r="Q11063">
        <v>1</v>
      </c>
      <c r="R11063" t="s">
        <v>41264</v>
      </c>
      <c r="S11063" t="s">
        <v>41775</v>
      </c>
      <c r="T11063" t="s">
        <v>42670</v>
      </c>
      <c r="U11063" t="s">
        <v>52077</v>
      </c>
      <c r="W11063" t="s">
        <v>40576</v>
      </c>
      <c r="X11063" t="s">
        <v>41265</v>
      </c>
    </row>
    <row r="11064" spans="1:24">
      <c r="A11064">
        <f>HYPERLINK("https://www.philgeps.gov.ph/GEPSNONPILOT/Tender/SplashBidNoticeAbstractUI.aspx?menuIndex=3&amp;refID=7054324&amp;Result=3","7054324")</f>
        <v>0</v>
      </c>
      <c r="B11064" t="s">
        <v>91</v>
      </c>
      <c r="C11064" t="s">
        <v>13958</v>
      </c>
      <c r="E11064" t="s">
        <v>26281</v>
      </c>
      <c r="F11064" t="s">
        <v>28669</v>
      </c>
      <c r="G11064" t="s">
        <v>28675</v>
      </c>
      <c r="H11064" t="s">
        <v>9998</v>
      </c>
      <c r="I11064" t="s">
        <v>5033</v>
      </c>
      <c r="J11064" t="s">
        <v>28879</v>
      </c>
      <c r="K11064" t="s">
        <v>37209</v>
      </c>
      <c r="M11064" t="s">
        <v>37566</v>
      </c>
      <c r="N11064" t="s">
        <v>41249</v>
      </c>
      <c r="O11064" t="s">
        <v>41250</v>
      </c>
      <c r="Q11064">
        <v>3</v>
      </c>
      <c r="R11064" t="s">
        <v>41264</v>
      </c>
      <c r="S11064" t="s">
        <v>41840</v>
      </c>
      <c r="T11064" t="s">
        <v>43021</v>
      </c>
      <c r="U11064" t="s">
        <v>44798</v>
      </c>
      <c r="W11064" t="s">
        <v>37566</v>
      </c>
      <c r="X11064" t="s">
        <v>41265</v>
      </c>
    </row>
    <row r="11065" spans="1:24">
      <c r="A11065">
        <f>HYPERLINK("https://www.philgeps.gov.ph/GEPSNONPILOT/Tender/SplashBidNoticeAbstractUI.aspx?menuIndex=3&amp;refID=7054319&amp;Result=3","7054319")</f>
        <v>0</v>
      </c>
      <c r="B11065" t="s">
        <v>3046</v>
      </c>
      <c r="C11065" t="s">
        <v>13959</v>
      </c>
      <c r="D11065" t="s">
        <v>16626</v>
      </c>
      <c r="E11065" t="s">
        <v>26282</v>
      </c>
      <c r="F11065" t="s">
        <v>28669</v>
      </c>
      <c r="G11065" t="s">
        <v>28675</v>
      </c>
      <c r="H11065" t="s">
        <v>28684</v>
      </c>
      <c r="I11065" t="s">
        <v>15140</v>
      </c>
      <c r="J11065" t="s">
        <v>35639</v>
      </c>
      <c r="K11065" t="s">
        <v>37235</v>
      </c>
      <c r="M11065" t="s">
        <v>40824</v>
      </c>
      <c r="N11065" t="s">
        <v>41249</v>
      </c>
      <c r="O11065" t="s">
        <v>41250</v>
      </c>
      <c r="Q11065">
        <v>0</v>
      </c>
      <c r="R11065" t="s">
        <v>41264</v>
      </c>
      <c r="S11065" t="s">
        <v>41841</v>
      </c>
      <c r="T11065" t="s">
        <v>42671</v>
      </c>
      <c r="U11065" t="s">
        <v>52078</v>
      </c>
      <c r="W11065" t="s">
        <v>40824</v>
      </c>
      <c r="X11065" t="s">
        <v>41265</v>
      </c>
    </row>
    <row r="11066" spans="1:24">
      <c r="A11066">
        <f>HYPERLINK("https://www.philgeps.gov.ph/GEPSNONPILOT/Tender/SplashBidNoticeAbstractUI.aspx?menuIndex=3&amp;refID=7054317&amp;Result=3","7054317")</f>
        <v>0</v>
      </c>
      <c r="B11066" t="s">
        <v>2669</v>
      </c>
      <c r="C11066" t="s">
        <v>13960</v>
      </c>
      <c r="D11066" t="s">
        <v>16662</v>
      </c>
      <c r="E11066" t="s">
        <v>26283</v>
      </c>
      <c r="F11066" t="s">
        <v>28669</v>
      </c>
      <c r="G11066" t="s">
        <v>28675</v>
      </c>
      <c r="H11066" t="s">
        <v>28686</v>
      </c>
      <c r="I11066" t="s">
        <v>28689</v>
      </c>
      <c r="J11066" t="s">
        <v>35640</v>
      </c>
      <c r="K11066" t="s">
        <v>37215</v>
      </c>
      <c r="M11066" t="s">
        <v>40377</v>
      </c>
      <c r="N11066" t="s">
        <v>41249</v>
      </c>
      <c r="O11066" t="s">
        <v>41250</v>
      </c>
      <c r="P11066">
        <v>0</v>
      </c>
      <c r="Q11066">
        <v>1</v>
      </c>
      <c r="R11066" t="s">
        <v>41264</v>
      </c>
      <c r="S11066" t="s">
        <v>41775</v>
      </c>
      <c r="T11066" t="s">
        <v>42836</v>
      </c>
      <c r="U11066" t="s">
        <v>52079</v>
      </c>
      <c r="V11066" t="s">
        <v>55543</v>
      </c>
      <c r="W11066" t="s">
        <v>40377</v>
      </c>
      <c r="X11066" t="s">
        <v>41265</v>
      </c>
    </row>
    <row r="11067" spans="1:24">
      <c r="A11067">
        <f>HYPERLINK("https://www.philgeps.gov.ph/GEPSNONPILOT/Tender/SplashBidNoticeAbstractUI.aspx?menuIndex=3&amp;refID=7053842&amp;Result=3","7053842")</f>
        <v>0</v>
      </c>
      <c r="B11067" t="s">
        <v>2757</v>
      </c>
      <c r="C11067" t="s">
        <v>13961</v>
      </c>
      <c r="D11067" t="s">
        <v>16677</v>
      </c>
      <c r="E11067" t="s">
        <v>26284</v>
      </c>
      <c r="F11067" t="s">
        <v>28669</v>
      </c>
      <c r="G11067" t="s">
        <v>28675</v>
      </c>
      <c r="H11067" t="s">
        <v>9998</v>
      </c>
      <c r="I11067" t="s">
        <v>28690</v>
      </c>
      <c r="J11067" t="s">
        <v>35641</v>
      </c>
      <c r="K11067" t="s">
        <v>37204</v>
      </c>
      <c r="M11067" t="s">
        <v>40475</v>
      </c>
      <c r="N11067" t="s">
        <v>41249</v>
      </c>
      <c r="O11067" t="s">
        <v>41250</v>
      </c>
      <c r="P11067">
        <v>0</v>
      </c>
      <c r="Q11067">
        <v>7</v>
      </c>
      <c r="R11067" t="s">
        <v>41264</v>
      </c>
      <c r="S11067" t="s">
        <v>41775</v>
      </c>
      <c r="T11067" t="s">
        <v>42881</v>
      </c>
      <c r="U11067" t="s">
        <v>52080</v>
      </c>
      <c r="W11067" t="s">
        <v>40475</v>
      </c>
      <c r="X11067" t="s">
        <v>41265</v>
      </c>
    </row>
    <row r="11068" spans="1:24">
      <c r="A11068">
        <f>HYPERLINK("https://www.philgeps.gov.ph/GEPSNONPILOT/Tender/SplashBidNoticeAbstractUI.aspx?menuIndex=3&amp;refID=7054637&amp;Result=3","7054637")</f>
        <v>0</v>
      </c>
      <c r="B11068" t="s">
        <v>2855</v>
      </c>
      <c r="C11068" t="s">
        <v>13962</v>
      </c>
      <c r="D11068" t="s">
        <v>16635</v>
      </c>
      <c r="E11068" t="s">
        <v>26285</v>
      </c>
      <c r="F11068" t="s">
        <v>28669</v>
      </c>
      <c r="G11068" t="s">
        <v>28675</v>
      </c>
      <c r="H11068" t="s">
        <v>28684</v>
      </c>
      <c r="I11068" t="s">
        <v>7352</v>
      </c>
      <c r="J11068" t="s">
        <v>35642</v>
      </c>
      <c r="K11068" t="s">
        <v>37206</v>
      </c>
      <c r="M11068" t="s">
        <v>40594</v>
      </c>
      <c r="N11068" t="s">
        <v>41249</v>
      </c>
      <c r="O11068" t="s">
        <v>41250</v>
      </c>
      <c r="P11068">
        <v>0</v>
      </c>
      <c r="Q11068">
        <v>1</v>
      </c>
      <c r="R11068" t="s">
        <v>41264</v>
      </c>
      <c r="S11068" t="s">
        <v>41775</v>
      </c>
      <c r="T11068" t="s">
        <v>42727</v>
      </c>
      <c r="U11068" t="s">
        <v>52081</v>
      </c>
      <c r="W11068" t="s">
        <v>40594</v>
      </c>
      <c r="X11068" t="s">
        <v>41265</v>
      </c>
    </row>
    <row r="11069" spans="1:24">
      <c r="A11069">
        <f>HYPERLINK("https://www.philgeps.gov.ph/GEPSNONPILOT/Tender/SplashBidNoticeAbstractUI.aspx?menuIndex=3&amp;refID=7054343&amp;Result=3","7054343")</f>
        <v>0</v>
      </c>
      <c r="B11069" t="s">
        <v>2498</v>
      </c>
      <c r="C11069" t="s">
        <v>13963</v>
      </c>
      <c r="D11069" t="s">
        <v>16639</v>
      </c>
      <c r="E11069" t="s">
        <v>26286</v>
      </c>
      <c r="F11069" t="s">
        <v>28669</v>
      </c>
      <c r="G11069" t="s">
        <v>28675</v>
      </c>
      <c r="H11069" t="s">
        <v>28686</v>
      </c>
      <c r="I11069" t="s">
        <v>28689</v>
      </c>
      <c r="J11069" t="s">
        <v>31835</v>
      </c>
      <c r="K11069" t="s">
        <v>37290</v>
      </c>
      <c r="M11069" t="s">
        <v>40183</v>
      </c>
      <c r="N11069" t="s">
        <v>41249</v>
      </c>
      <c r="O11069" t="s">
        <v>41250</v>
      </c>
      <c r="Q11069">
        <v>4</v>
      </c>
      <c r="R11069" t="s">
        <v>41264</v>
      </c>
      <c r="S11069" t="s">
        <v>41842</v>
      </c>
      <c r="T11069" t="s">
        <v>42726</v>
      </c>
      <c r="U11069" t="s">
        <v>50602</v>
      </c>
      <c r="W11069" t="s">
        <v>40183</v>
      </c>
      <c r="X11069" t="s">
        <v>41265</v>
      </c>
    </row>
    <row r="11070" spans="1:24">
      <c r="A11070">
        <f>HYPERLINK("https://www.philgeps.gov.ph/GEPSNONPILOT/Tender/SplashBidNoticeAbstractUI.aspx?menuIndex=3&amp;refID=7054388&amp;Result=3","7054388")</f>
        <v>0</v>
      </c>
      <c r="B11070" t="s">
        <v>3048</v>
      </c>
      <c r="C11070" t="s">
        <v>13964</v>
      </c>
      <c r="D11070" t="s">
        <v>16637</v>
      </c>
      <c r="E11070" t="s">
        <v>26287</v>
      </c>
      <c r="F11070" t="s">
        <v>28669</v>
      </c>
      <c r="G11070" t="s">
        <v>28675</v>
      </c>
      <c r="H11070" t="s">
        <v>9998</v>
      </c>
      <c r="I11070" t="s">
        <v>7352</v>
      </c>
      <c r="J11070" t="s">
        <v>35643</v>
      </c>
      <c r="K11070" t="s">
        <v>37210</v>
      </c>
      <c r="M11070" t="s">
        <v>40826</v>
      </c>
      <c r="N11070" t="s">
        <v>41249</v>
      </c>
      <c r="O11070" t="s">
        <v>41250</v>
      </c>
      <c r="P11070">
        <v>0</v>
      </c>
      <c r="Q11070">
        <v>2</v>
      </c>
      <c r="R11070" t="s">
        <v>41264</v>
      </c>
      <c r="S11070" t="s">
        <v>41775</v>
      </c>
      <c r="T11070" t="s">
        <v>42764</v>
      </c>
      <c r="U11070" t="s">
        <v>52082</v>
      </c>
      <c r="W11070" t="s">
        <v>40826</v>
      </c>
      <c r="X11070" t="s">
        <v>41265</v>
      </c>
    </row>
    <row r="11071" spans="1:24">
      <c r="A11071">
        <f>HYPERLINK("https://www.philgeps.gov.ph/GEPSNONPILOT/Tender/SplashBidNoticeAbstractUI.aspx?menuIndex=3&amp;refID=7054613&amp;Result=3","7054613")</f>
        <v>0</v>
      </c>
      <c r="B11071" t="s">
        <v>2840</v>
      </c>
      <c r="C11071" t="s">
        <v>13965</v>
      </c>
      <c r="D11071" t="s">
        <v>16611</v>
      </c>
      <c r="E11071" t="s">
        <v>26288</v>
      </c>
      <c r="F11071" t="s">
        <v>28669</v>
      </c>
      <c r="G11071" t="s">
        <v>28675</v>
      </c>
      <c r="H11071" t="s">
        <v>28686</v>
      </c>
      <c r="I11071" t="s">
        <v>28689</v>
      </c>
      <c r="J11071" t="s">
        <v>28924</v>
      </c>
      <c r="K11071" t="s">
        <v>37220</v>
      </c>
      <c r="L11071" t="s">
        <v>2840</v>
      </c>
      <c r="M11071" t="s">
        <v>40576</v>
      </c>
      <c r="N11071" t="s">
        <v>41249</v>
      </c>
      <c r="O11071" t="s">
        <v>41250</v>
      </c>
      <c r="P11071">
        <v>0</v>
      </c>
      <c r="Q11071">
        <v>4</v>
      </c>
      <c r="R11071" t="s">
        <v>41264</v>
      </c>
      <c r="S11071" t="s">
        <v>41775</v>
      </c>
      <c r="T11071" t="s">
        <v>42670</v>
      </c>
      <c r="U11071" t="s">
        <v>52083</v>
      </c>
      <c r="W11071" t="s">
        <v>40576</v>
      </c>
      <c r="X11071" t="s">
        <v>41265</v>
      </c>
    </row>
    <row r="11072" spans="1:24">
      <c r="A11072">
        <f>HYPERLINK("https://www.philgeps.gov.ph/GEPSNONPILOT/Tender/SplashBidNoticeAbstractUI.aspx?menuIndex=3&amp;refID=7054434&amp;Result=3","7054434")</f>
        <v>0</v>
      </c>
      <c r="B11072" t="s">
        <v>267</v>
      </c>
      <c r="C11072" t="s">
        <v>13966</v>
      </c>
      <c r="D11072" t="s">
        <v>16679</v>
      </c>
      <c r="E11072" t="s">
        <v>26289</v>
      </c>
      <c r="F11072" t="s">
        <v>28669</v>
      </c>
      <c r="G11072" t="s">
        <v>28675</v>
      </c>
      <c r="H11072" t="s">
        <v>9998</v>
      </c>
      <c r="I11072" t="s">
        <v>28728</v>
      </c>
      <c r="J11072" t="s">
        <v>32073</v>
      </c>
      <c r="K11072" t="s">
        <v>37206</v>
      </c>
      <c r="M11072" t="s">
        <v>40741</v>
      </c>
      <c r="N11072" t="s">
        <v>41249</v>
      </c>
      <c r="O11072" t="s">
        <v>41250</v>
      </c>
      <c r="P11072">
        <v>0</v>
      </c>
      <c r="Q11072">
        <v>6</v>
      </c>
      <c r="R11072" t="s">
        <v>41264</v>
      </c>
      <c r="S11072" t="s">
        <v>41775</v>
      </c>
      <c r="T11072" t="s">
        <v>42658</v>
      </c>
      <c r="U11072" t="s">
        <v>43621</v>
      </c>
      <c r="V11072" t="s">
        <v>55428</v>
      </c>
      <c r="W11072" t="s">
        <v>55923</v>
      </c>
      <c r="X11072" t="s">
        <v>41265</v>
      </c>
    </row>
    <row r="11073" spans="1:24">
      <c r="A11073">
        <f>HYPERLINK("https://www.philgeps.gov.ph/GEPSNONPILOT/Tender/SplashBidNoticeAbstractUI.aspx?menuIndex=3&amp;refID=7054368&amp;Result=3","7054368")</f>
        <v>0</v>
      </c>
      <c r="B11073" t="s">
        <v>1063</v>
      </c>
      <c r="C11073" t="s">
        <v>13967</v>
      </c>
      <c r="D11073" t="s">
        <v>16616</v>
      </c>
      <c r="E11073" t="s">
        <v>26290</v>
      </c>
      <c r="F11073" t="s">
        <v>28669</v>
      </c>
      <c r="G11073" t="s">
        <v>28675</v>
      </c>
      <c r="H11073" t="s">
        <v>9998</v>
      </c>
      <c r="I11073" t="s">
        <v>28704</v>
      </c>
      <c r="J11073" t="s">
        <v>35644</v>
      </c>
      <c r="K11073" t="s">
        <v>37206</v>
      </c>
      <c r="M11073" t="s">
        <v>40827</v>
      </c>
      <c r="N11073" t="s">
        <v>41249</v>
      </c>
      <c r="O11073" t="s">
        <v>41250</v>
      </c>
      <c r="P11073">
        <v>0</v>
      </c>
      <c r="Q11073">
        <v>0</v>
      </c>
      <c r="R11073" t="s">
        <v>41264</v>
      </c>
      <c r="S11073" t="s">
        <v>41775</v>
      </c>
      <c r="T11073" t="s">
        <v>42999</v>
      </c>
      <c r="U11073" t="s">
        <v>52084</v>
      </c>
      <c r="W11073" t="s">
        <v>40827</v>
      </c>
      <c r="X11073" t="s">
        <v>41265</v>
      </c>
    </row>
    <row r="11074" spans="1:24">
      <c r="A11074">
        <f>HYPERLINK("https://www.philgeps.gov.ph/GEPSNONPILOT/Tender/SplashBidNoticeAbstractUI.aspx?menuIndex=3&amp;refID=7054555&amp;Result=3","7054555")</f>
        <v>0</v>
      </c>
      <c r="B11074" t="s">
        <v>267</v>
      </c>
      <c r="C11074" t="s">
        <v>13968</v>
      </c>
      <c r="D11074" t="s">
        <v>16679</v>
      </c>
      <c r="E11074" t="s">
        <v>26291</v>
      </c>
      <c r="F11074" t="s">
        <v>28669</v>
      </c>
      <c r="G11074" t="s">
        <v>28675</v>
      </c>
      <c r="H11074" t="s">
        <v>9998</v>
      </c>
      <c r="I11074" t="s">
        <v>5213</v>
      </c>
      <c r="J11074" t="s">
        <v>35645</v>
      </c>
      <c r="K11074" t="s">
        <v>37206</v>
      </c>
      <c r="M11074" t="s">
        <v>38133</v>
      </c>
      <c r="N11074" t="s">
        <v>41249</v>
      </c>
      <c r="O11074" t="s">
        <v>41250</v>
      </c>
      <c r="P11074">
        <v>0</v>
      </c>
      <c r="Q11074">
        <v>11</v>
      </c>
      <c r="R11074" t="s">
        <v>41264</v>
      </c>
      <c r="S11074" t="s">
        <v>41775</v>
      </c>
      <c r="T11074" t="s">
        <v>42658</v>
      </c>
      <c r="U11074" t="s">
        <v>43621</v>
      </c>
      <c r="V11074" t="s">
        <v>55428</v>
      </c>
      <c r="W11074" t="s">
        <v>55923</v>
      </c>
      <c r="X11074" t="s">
        <v>41265</v>
      </c>
    </row>
    <row r="11075" spans="1:24">
      <c r="A11075">
        <f>HYPERLINK("https://www.philgeps.gov.ph/GEPSNONPILOT/Tender/SplashBidNoticeAbstractUI.aspx?menuIndex=3&amp;refID=7054541&amp;Result=3","7054541")</f>
        <v>0</v>
      </c>
      <c r="B11075" t="s">
        <v>2306</v>
      </c>
      <c r="C11075" t="s">
        <v>13969</v>
      </c>
      <c r="D11075" t="s">
        <v>16626</v>
      </c>
      <c r="E11075" t="s">
        <v>26292</v>
      </c>
      <c r="F11075" t="s">
        <v>28669</v>
      </c>
      <c r="G11075" t="s">
        <v>28675</v>
      </c>
      <c r="H11075" t="s">
        <v>28686</v>
      </c>
      <c r="I11075" t="s">
        <v>28689</v>
      </c>
      <c r="J11075" t="s">
        <v>32073</v>
      </c>
      <c r="K11075" t="s">
        <v>37218</v>
      </c>
      <c r="M11075" t="s">
        <v>39965</v>
      </c>
      <c r="N11075" t="s">
        <v>41249</v>
      </c>
      <c r="O11075" t="s">
        <v>41250</v>
      </c>
      <c r="P11075">
        <v>0</v>
      </c>
      <c r="Q11075">
        <v>4</v>
      </c>
      <c r="R11075" t="s">
        <v>41264</v>
      </c>
      <c r="S11075" t="s">
        <v>41775</v>
      </c>
      <c r="T11075" t="s">
        <v>42675</v>
      </c>
      <c r="U11075" t="s">
        <v>52085</v>
      </c>
      <c r="V11075" t="s">
        <v>55097</v>
      </c>
      <c r="W11075" t="s">
        <v>39965</v>
      </c>
      <c r="X11075" t="s">
        <v>41265</v>
      </c>
    </row>
    <row r="11076" spans="1:24">
      <c r="A11076">
        <f>HYPERLINK("https://www.philgeps.gov.ph/GEPSNONPILOT/Tender/SplashBidNoticeAbstractUI.aspx?menuIndex=3&amp;refID=7054436&amp;Result=3","7054436")</f>
        <v>0</v>
      </c>
      <c r="B11076" t="s">
        <v>2739</v>
      </c>
      <c r="C11076" t="s">
        <v>13970</v>
      </c>
      <c r="D11076" t="s">
        <v>16654</v>
      </c>
      <c r="E11076" t="s">
        <v>26293</v>
      </c>
      <c r="F11076" t="s">
        <v>28669</v>
      </c>
      <c r="G11076" t="s">
        <v>28675</v>
      </c>
      <c r="H11076" t="s">
        <v>28686</v>
      </c>
      <c r="I11076" t="s">
        <v>28689</v>
      </c>
      <c r="J11076" t="s">
        <v>35615</v>
      </c>
      <c r="K11076" t="s">
        <v>37294</v>
      </c>
      <c r="L11076" t="s">
        <v>2739</v>
      </c>
      <c r="M11076" t="s">
        <v>40454</v>
      </c>
      <c r="N11076" t="s">
        <v>41249</v>
      </c>
      <c r="O11076" t="s">
        <v>41250</v>
      </c>
      <c r="P11076">
        <v>0</v>
      </c>
      <c r="Q11076">
        <v>0</v>
      </c>
      <c r="R11076" t="s">
        <v>41264</v>
      </c>
      <c r="S11076" t="s">
        <v>41775</v>
      </c>
      <c r="T11076" t="s">
        <v>42696</v>
      </c>
      <c r="U11076" t="s">
        <v>52048</v>
      </c>
      <c r="W11076" t="s">
        <v>40454</v>
      </c>
      <c r="X11076" t="s">
        <v>41265</v>
      </c>
    </row>
    <row r="11077" spans="1:24">
      <c r="A11077">
        <f>HYPERLINK("https://www.philgeps.gov.ph/GEPSNONPILOT/Tender/SplashBidNoticeAbstractUI.aspx?menuIndex=3&amp;refID=7054524&amp;Result=3","7054524")</f>
        <v>0</v>
      </c>
      <c r="B11077" t="s">
        <v>3049</v>
      </c>
      <c r="C11077" t="s">
        <v>13971</v>
      </c>
      <c r="D11077" t="s">
        <v>16657</v>
      </c>
      <c r="E11077" t="s">
        <v>16707</v>
      </c>
      <c r="F11077" t="s">
        <v>28669</v>
      </c>
      <c r="G11077" t="s">
        <v>28675</v>
      </c>
      <c r="H11077" t="s">
        <v>9998</v>
      </c>
      <c r="I11077" t="s">
        <v>7352</v>
      </c>
      <c r="J11077" t="s">
        <v>35646</v>
      </c>
      <c r="K11077" t="s">
        <v>37205</v>
      </c>
      <c r="M11077" t="s">
        <v>40828</v>
      </c>
      <c r="N11077" t="s">
        <v>41249</v>
      </c>
      <c r="O11077" t="s">
        <v>41250</v>
      </c>
      <c r="P11077">
        <v>0</v>
      </c>
      <c r="Q11077">
        <v>3</v>
      </c>
      <c r="R11077" t="s">
        <v>41264</v>
      </c>
      <c r="S11077" t="s">
        <v>41775</v>
      </c>
      <c r="T11077" t="s">
        <v>42736</v>
      </c>
      <c r="U11077" t="s">
        <v>52086</v>
      </c>
      <c r="W11077" t="s">
        <v>40828</v>
      </c>
      <c r="X11077" t="s">
        <v>41265</v>
      </c>
    </row>
    <row r="11078" spans="1:24">
      <c r="A11078">
        <f>HYPERLINK("https://www.philgeps.gov.ph/GEPSNONPILOT/Tender/SplashBidNoticeAbstractUI.aspx?menuIndex=3&amp;refID=7054520&amp;Result=3","7054520")</f>
        <v>0</v>
      </c>
      <c r="B11078" t="s">
        <v>3050</v>
      </c>
      <c r="C11078" t="s">
        <v>13972</v>
      </c>
      <c r="D11078" t="s">
        <v>16636</v>
      </c>
      <c r="E11078" t="s">
        <v>26294</v>
      </c>
      <c r="F11078" t="s">
        <v>28669</v>
      </c>
      <c r="G11078" t="s">
        <v>28675</v>
      </c>
      <c r="H11078" t="s">
        <v>9998</v>
      </c>
      <c r="I11078" t="s">
        <v>28687</v>
      </c>
      <c r="J11078" t="s">
        <v>35647</v>
      </c>
      <c r="K11078" t="s">
        <v>37204</v>
      </c>
      <c r="M11078" t="s">
        <v>40829</v>
      </c>
      <c r="N11078" t="s">
        <v>41249</v>
      </c>
      <c r="O11078" t="s">
        <v>41250</v>
      </c>
      <c r="P11078">
        <v>0</v>
      </c>
      <c r="Q11078">
        <v>1</v>
      </c>
      <c r="R11078" t="s">
        <v>41264</v>
      </c>
      <c r="S11078" t="s">
        <v>41775</v>
      </c>
      <c r="T11078" t="s">
        <v>43036</v>
      </c>
      <c r="U11078" t="s">
        <v>52087</v>
      </c>
      <c r="V11078" t="s">
        <v>55544</v>
      </c>
      <c r="W11078" t="s">
        <v>40829</v>
      </c>
      <c r="X11078" t="s">
        <v>41265</v>
      </c>
    </row>
    <row r="11079" spans="1:24">
      <c r="A11079">
        <f>HYPERLINK("https://www.philgeps.gov.ph/GEPSNONPILOT/Tender/SplashBidNoticeAbstractUI.aspx?menuIndex=3&amp;refID=7054535&amp;Result=3","7054535")</f>
        <v>0</v>
      </c>
      <c r="B11079" t="s">
        <v>2840</v>
      </c>
      <c r="C11079" t="s">
        <v>13973</v>
      </c>
      <c r="D11079" t="s">
        <v>16611</v>
      </c>
      <c r="E11079" t="s">
        <v>26295</v>
      </c>
      <c r="F11079" t="s">
        <v>28669</v>
      </c>
      <c r="G11079" t="s">
        <v>28675</v>
      </c>
      <c r="H11079" t="s">
        <v>28686</v>
      </c>
      <c r="I11079" t="s">
        <v>28689</v>
      </c>
      <c r="J11079" t="s">
        <v>28924</v>
      </c>
      <c r="K11079" t="s">
        <v>37213</v>
      </c>
      <c r="L11079" t="s">
        <v>2840</v>
      </c>
      <c r="M11079" t="s">
        <v>40576</v>
      </c>
      <c r="N11079" t="s">
        <v>41249</v>
      </c>
      <c r="O11079" t="s">
        <v>41250</v>
      </c>
      <c r="P11079">
        <v>0</v>
      </c>
      <c r="Q11079">
        <v>2</v>
      </c>
      <c r="R11079" t="s">
        <v>41264</v>
      </c>
      <c r="S11079" t="s">
        <v>41775</v>
      </c>
      <c r="T11079" t="s">
        <v>42670</v>
      </c>
      <c r="U11079" t="s">
        <v>52088</v>
      </c>
      <c r="W11079" t="s">
        <v>40576</v>
      </c>
      <c r="X11079" t="s">
        <v>41265</v>
      </c>
    </row>
    <row r="11080" spans="1:24">
      <c r="A11080">
        <f>HYPERLINK("https://www.philgeps.gov.ph/GEPSNONPILOT/Tender/SplashBidNoticeAbstractUI.aspx?menuIndex=3&amp;refID=7054526&amp;Result=3","7054526")</f>
        <v>0</v>
      </c>
      <c r="B11080" t="s">
        <v>2086</v>
      </c>
      <c r="C11080" t="s">
        <v>13974</v>
      </c>
      <c r="D11080" t="s">
        <v>16611</v>
      </c>
      <c r="E11080" t="s">
        <v>26296</v>
      </c>
      <c r="F11080" t="s">
        <v>28669</v>
      </c>
      <c r="G11080" t="s">
        <v>28675</v>
      </c>
      <c r="H11080" t="s">
        <v>9998</v>
      </c>
      <c r="I11080" t="s">
        <v>7352</v>
      </c>
      <c r="J11080" t="s">
        <v>35648</v>
      </c>
      <c r="K11080" t="s">
        <v>37206</v>
      </c>
      <c r="M11080" t="s">
        <v>39727</v>
      </c>
      <c r="N11080" t="s">
        <v>41249</v>
      </c>
      <c r="O11080" t="s">
        <v>41250</v>
      </c>
      <c r="P11080">
        <v>0</v>
      </c>
      <c r="Q11080">
        <v>0</v>
      </c>
      <c r="R11080" t="s">
        <v>41264</v>
      </c>
      <c r="S11080" t="s">
        <v>41775</v>
      </c>
      <c r="T11080" t="s">
        <v>42821</v>
      </c>
      <c r="U11080" t="s">
        <v>48382</v>
      </c>
      <c r="W11080" t="s">
        <v>39727</v>
      </c>
      <c r="X11080" t="s">
        <v>41265</v>
      </c>
    </row>
    <row r="11081" spans="1:24">
      <c r="A11081">
        <f>HYPERLINK("https://www.philgeps.gov.ph/GEPSNONPILOT/Tender/SplashBidNoticeAbstractUI.aspx?menuIndex=3&amp;refID=7054536&amp;Result=3","7054536")</f>
        <v>0</v>
      </c>
      <c r="B11081" t="s">
        <v>1829</v>
      </c>
      <c r="C11081" t="s">
        <v>13975</v>
      </c>
      <c r="D11081" t="s">
        <v>16661</v>
      </c>
      <c r="E11081" t="s">
        <v>26297</v>
      </c>
      <c r="F11081" t="s">
        <v>28669</v>
      </c>
      <c r="G11081" t="s">
        <v>28675</v>
      </c>
      <c r="H11081" t="s">
        <v>28685</v>
      </c>
      <c r="I11081" t="s">
        <v>28818</v>
      </c>
      <c r="J11081" t="s">
        <v>29203</v>
      </c>
      <c r="K11081" t="s">
        <v>37209</v>
      </c>
      <c r="M11081" t="s">
        <v>39634</v>
      </c>
      <c r="N11081" t="s">
        <v>41249</v>
      </c>
      <c r="O11081" t="s">
        <v>41250</v>
      </c>
      <c r="P11081">
        <v>0</v>
      </c>
      <c r="Q11081">
        <v>2</v>
      </c>
      <c r="R11081" t="s">
        <v>41264</v>
      </c>
      <c r="S11081" t="s">
        <v>41775</v>
      </c>
      <c r="T11081" t="s">
        <v>42739</v>
      </c>
      <c r="U11081" t="s">
        <v>52089</v>
      </c>
      <c r="V11081" t="s">
        <v>55103</v>
      </c>
      <c r="W11081" t="s">
        <v>55976</v>
      </c>
      <c r="X11081" t="s">
        <v>41265</v>
      </c>
    </row>
    <row r="11082" spans="1:24">
      <c r="A11082">
        <f>HYPERLINK("https://www.philgeps.gov.ph/GEPSNONPILOT/Tender/SplashBidNoticeAbstractUI.aspx?menuIndex=3&amp;refID=7054496&amp;Result=3","7054496")</f>
        <v>0</v>
      </c>
      <c r="B11082" t="s">
        <v>2840</v>
      </c>
      <c r="C11082" t="s">
        <v>13976</v>
      </c>
      <c r="D11082" t="s">
        <v>16611</v>
      </c>
      <c r="E11082" t="s">
        <v>26298</v>
      </c>
      <c r="F11082" t="s">
        <v>28669</v>
      </c>
      <c r="G11082" t="s">
        <v>28675</v>
      </c>
      <c r="H11082" t="s">
        <v>28686</v>
      </c>
      <c r="I11082" t="s">
        <v>28689</v>
      </c>
      <c r="J11082" t="s">
        <v>28836</v>
      </c>
      <c r="K11082" t="s">
        <v>37220</v>
      </c>
      <c r="L11082" t="s">
        <v>2840</v>
      </c>
      <c r="M11082" t="s">
        <v>40576</v>
      </c>
      <c r="N11082" t="s">
        <v>41249</v>
      </c>
      <c r="O11082" t="s">
        <v>41250</v>
      </c>
      <c r="P11082">
        <v>0</v>
      </c>
      <c r="Q11082">
        <v>2</v>
      </c>
      <c r="R11082" t="s">
        <v>41264</v>
      </c>
      <c r="S11082" t="s">
        <v>41775</v>
      </c>
      <c r="T11082" t="s">
        <v>42670</v>
      </c>
      <c r="U11082" t="s">
        <v>52090</v>
      </c>
      <c r="W11082" t="s">
        <v>40576</v>
      </c>
      <c r="X11082" t="s">
        <v>41265</v>
      </c>
    </row>
    <row r="11083" spans="1:24">
      <c r="A11083">
        <f>HYPERLINK("https://www.philgeps.gov.ph/GEPSNONPILOT/Tender/SplashBidNoticeAbstractUI.aspx?menuIndex=3&amp;refID=7054492&amp;Result=3","7054492")</f>
        <v>0</v>
      </c>
      <c r="B11083" t="s">
        <v>628</v>
      </c>
      <c r="C11083" t="s">
        <v>13977</v>
      </c>
      <c r="D11083" t="s">
        <v>16621</v>
      </c>
      <c r="E11083" t="s">
        <v>26299</v>
      </c>
      <c r="F11083" t="s">
        <v>28669</v>
      </c>
      <c r="G11083" t="s">
        <v>28675</v>
      </c>
      <c r="H11083" t="s">
        <v>28686</v>
      </c>
      <c r="I11083" t="s">
        <v>28689</v>
      </c>
      <c r="J11083" t="s">
        <v>35649</v>
      </c>
      <c r="K11083" t="s">
        <v>37211</v>
      </c>
      <c r="M11083" t="s">
        <v>38128</v>
      </c>
      <c r="N11083" t="s">
        <v>41249</v>
      </c>
      <c r="O11083" t="s">
        <v>41250</v>
      </c>
      <c r="P11083">
        <v>0</v>
      </c>
      <c r="Q11083">
        <v>2</v>
      </c>
      <c r="R11083" t="s">
        <v>41264</v>
      </c>
      <c r="S11083" t="s">
        <v>41775</v>
      </c>
      <c r="T11083" t="s">
        <v>42726</v>
      </c>
      <c r="U11083" t="s">
        <v>52091</v>
      </c>
      <c r="V11083" t="s">
        <v>54406</v>
      </c>
      <c r="W11083" t="s">
        <v>38128</v>
      </c>
      <c r="X11083" t="s">
        <v>41265</v>
      </c>
    </row>
    <row r="11084" spans="1:24">
      <c r="A11084">
        <f>HYPERLINK("https://www.philgeps.gov.ph/GEPSNONPILOT/Tender/SplashBidNoticeAbstractUI.aspx?menuIndex=3&amp;refID=7054470&amp;Result=3","7054470")</f>
        <v>0</v>
      </c>
      <c r="B11084" t="s">
        <v>703</v>
      </c>
      <c r="C11084" t="s">
        <v>13978</v>
      </c>
      <c r="E11084" t="s">
        <v>26300</v>
      </c>
      <c r="F11084" t="s">
        <v>28669</v>
      </c>
      <c r="G11084" t="s">
        <v>28676</v>
      </c>
      <c r="H11084" t="s">
        <v>9998</v>
      </c>
      <c r="I11084" t="s">
        <v>28775</v>
      </c>
      <c r="J11084" t="s">
        <v>35650</v>
      </c>
      <c r="K11084" t="s">
        <v>37209</v>
      </c>
      <c r="M11084" t="s">
        <v>40830</v>
      </c>
      <c r="N11084" t="s">
        <v>41249</v>
      </c>
      <c r="O11084" t="s">
        <v>41250</v>
      </c>
      <c r="P11084">
        <v>0</v>
      </c>
      <c r="Q11084">
        <v>0</v>
      </c>
      <c r="R11084" t="s">
        <v>41264</v>
      </c>
      <c r="S11084" t="s">
        <v>41775</v>
      </c>
      <c r="T11084" t="s">
        <v>42821</v>
      </c>
      <c r="U11084" t="s">
        <v>52092</v>
      </c>
      <c r="V11084" t="s">
        <v>55545</v>
      </c>
      <c r="W11084" t="s">
        <v>40830</v>
      </c>
      <c r="X11084" t="s">
        <v>41265</v>
      </c>
    </row>
    <row r="11085" spans="1:24">
      <c r="A11085">
        <f>HYPERLINK("https://www.philgeps.gov.ph/GEPSNONPILOT/Tender/SplashBidNoticeAbstractUI.aspx?menuIndex=3&amp;refID=7054483&amp;Result=3","7054483")</f>
        <v>0</v>
      </c>
      <c r="B11085" t="s">
        <v>573</v>
      </c>
      <c r="C11085" t="s">
        <v>13979</v>
      </c>
      <c r="D11085" t="s">
        <v>16615</v>
      </c>
      <c r="E11085" t="s">
        <v>26301</v>
      </c>
      <c r="F11085" t="s">
        <v>28669</v>
      </c>
      <c r="G11085" t="s">
        <v>28675</v>
      </c>
      <c r="H11085" t="s">
        <v>9998</v>
      </c>
      <c r="I11085" t="s">
        <v>28722</v>
      </c>
      <c r="J11085" t="s">
        <v>35651</v>
      </c>
      <c r="K11085" t="s">
        <v>37220</v>
      </c>
      <c r="M11085" t="s">
        <v>38072</v>
      </c>
      <c r="N11085" t="s">
        <v>41249</v>
      </c>
      <c r="O11085" t="s">
        <v>41250</v>
      </c>
      <c r="P11085">
        <v>0</v>
      </c>
      <c r="Q11085">
        <v>1</v>
      </c>
      <c r="R11085" t="s">
        <v>41264</v>
      </c>
      <c r="S11085" t="s">
        <v>41775</v>
      </c>
      <c r="T11085" t="s">
        <v>42712</v>
      </c>
      <c r="U11085" t="s">
        <v>52093</v>
      </c>
      <c r="W11085" t="s">
        <v>38072</v>
      </c>
      <c r="X11085" t="s">
        <v>41265</v>
      </c>
    </row>
    <row r="11086" spans="1:24">
      <c r="A11086">
        <f>HYPERLINK("https://www.philgeps.gov.ph/GEPSNONPILOT/Tender/SplashBidNoticeAbstractUI.aspx?menuIndex=3&amp;refID=7054465&amp;Result=3","7054465")</f>
        <v>0</v>
      </c>
      <c r="B11086" t="s">
        <v>3051</v>
      </c>
      <c r="C11086" t="s">
        <v>13980</v>
      </c>
      <c r="D11086" t="s">
        <v>16616</v>
      </c>
      <c r="E11086" t="s">
        <v>26302</v>
      </c>
      <c r="F11086" t="s">
        <v>28669</v>
      </c>
      <c r="G11086" t="s">
        <v>28675</v>
      </c>
      <c r="H11086" t="s">
        <v>9998</v>
      </c>
      <c r="I11086" t="s">
        <v>6128</v>
      </c>
      <c r="J11086" t="s">
        <v>35652</v>
      </c>
      <c r="K11086" t="s">
        <v>37206</v>
      </c>
      <c r="M11086" t="s">
        <v>40831</v>
      </c>
      <c r="N11086" t="s">
        <v>41249</v>
      </c>
      <c r="O11086" t="s">
        <v>41250</v>
      </c>
      <c r="P11086">
        <v>0</v>
      </c>
      <c r="Q11086">
        <v>4</v>
      </c>
      <c r="R11086" t="s">
        <v>41264</v>
      </c>
      <c r="S11086" t="s">
        <v>41775</v>
      </c>
      <c r="T11086" t="s">
        <v>42676</v>
      </c>
      <c r="U11086" t="s">
        <v>52094</v>
      </c>
      <c r="W11086" t="s">
        <v>40831</v>
      </c>
      <c r="X11086" t="s">
        <v>41265</v>
      </c>
    </row>
    <row r="11087" spans="1:24">
      <c r="A11087">
        <f>HYPERLINK("https://www.philgeps.gov.ph/GEPSNONPILOT/Tender/SplashBidNoticeAbstractUI.aspx?menuIndex=3&amp;refID=7054456&amp;Result=3","7054456")</f>
        <v>0</v>
      </c>
      <c r="B11087" t="s">
        <v>628</v>
      </c>
      <c r="C11087" t="s">
        <v>13981</v>
      </c>
      <c r="D11087" t="s">
        <v>16621</v>
      </c>
      <c r="E11087" t="s">
        <v>26303</v>
      </c>
      <c r="F11087" t="s">
        <v>28669</v>
      </c>
      <c r="G11087" t="s">
        <v>28675</v>
      </c>
      <c r="H11087" t="s">
        <v>28686</v>
      </c>
      <c r="I11087" t="s">
        <v>28689</v>
      </c>
      <c r="J11087" t="s">
        <v>28924</v>
      </c>
      <c r="K11087" t="s">
        <v>37215</v>
      </c>
      <c r="M11087" t="s">
        <v>38128</v>
      </c>
      <c r="N11087" t="s">
        <v>41249</v>
      </c>
      <c r="O11087" t="s">
        <v>41250</v>
      </c>
      <c r="P11087">
        <v>0</v>
      </c>
      <c r="Q11087">
        <v>2</v>
      </c>
      <c r="R11087" t="s">
        <v>41264</v>
      </c>
      <c r="S11087" t="s">
        <v>41775</v>
      </c>
      <c r="T11087" t="s">
        <v>42726</v>
      </c>
      <c r="U11087" t="s">
        <v>52095</v>
      </c>
      <c r="V11087" t="s">
        <v>54406</v>
      </c>
      <c r="W11087" t="s">
        <v>38128</v>
      </c>
      <c r="X11087" t="s">
        <v>41265</v>
      </c>
    </row>
    <row r="11088" spans="1:24">
      <c r="A11088">
        <f>HYPERLINK("https://www.philgeps.gov.ph/GEPSNONPILOT/Tender/SplashBidNoticeAbstractUI.aspx?menuIndex=3&amp;refID=7054848&amp;Result=3","7054848")</f>
        <v>0</v>
      </c>
      <c r="B11088" t="s">
        <v>2558</v>
      </c>
      <c r="C11088" t="s">
        <v>13982</v>
      </c>
      <c r="D11088" t="s">
        <v>16618</v>
      </c>
      <c r="E11088" t="s">
        <v>26304</v>
      </c>
      <c r="F11088" t="s">
        <v>28669</v>
      </c>
      <c r="G11088" t="s">
        <v>28675</v>
      </c>
      <c r="H11088" t="s">
        <v>28686</v>
      </c>
      <c r="I11088" t="s">
        <v>28689</v>
      </c>
      <c r="J11088" t="s">
        <v>32463</v>
      </c>
      <c r="K11088" t="s">
        <v>37258</v>
      </c>
      <c r="L11088" t="s">
        <v>2558</v>
      </c>
      <c r="M11088" t="s">
        <v>40832</v>
      </c>
      <c r="N11088" t="s">
        <v>41249</v>
      </c>
      <c r="O11088" t="s">
        <v>41250</v>
      </c>
      <c r="P11088">
        <v>0</v>
      </c>
      <c r="Q11088">
        <v>2</v>
      </c>
      <c r="R11088" t="s">
        <v>41264</v>
      </c>
      <c r="S11088" t="s">
        <v>41775</v>
      </c>
      <c r="T11088" t="s">
        <v>42697</v>
      </c>
      <c r="U11088" t="s">
        <v>52096</v>
      </c>
      <c r="W11088" t="s">
        <v>40832</v>
      </c>
      <c r="X11088" t="s">
        <v>41265</v>
      </c>
    </row>
    <row r="11089" spans="1:24">
      <c r="A11089">
        <f>HYPERLINK("https://www.philgeps.gov.ph/GEPSNONPILOT/Tender/SplashBidNoticeAbstractUI.aspx?menuIndex=3&amp;refID=7054498&amp;Result=3","7054498")</f>
        <v>0</v>
      </c>
      <c r="B11089" t="s">
        <v>3052</v>
      </c>
      <c r="C11089" t="s">
        <v>13983</v>
      </c>
      <c r="D11089" t="s">
        <v>16635</v>
      </c>
      <c r="E11089" t="s">
        <v>26305</v>
      </c>
      <c r="F11089" t="s">
        <v>28669</v>
      </c>
      <c r="G11089" t="s">
        <v>28675</v>
      </c>
      <c r="H11089" t="s">
        <v>28686</v>
      </c>
      <c r="I11089" t="s">
        <v>28725</v>
      </c>
      <c r="J11089" t="s">
        <v>35653</v>
      </c>
      <c r="K11089" t="s">
        <v>37380</v>
      </c>
      <c r="M11089" t="s">
        <v>40833</v>
      </c>
      <c r="N11089" t="s">
        <v>41249</v>
      </c>
      <c r="O11089" t="s">
        <v>41250</v>
      </c>
      <c r="P11089">
        <v>0</v>
      </c>
      <c r="Q11089">
        <v>0</v>
      </c>
      <c r="R11089" t="s">
        <v>41264</v>
      </c>
      <c r="S11089" t="s">
        <v>41775</v>
      </c>
      <c r="T11089" t="s">
        <v>42752</v>
      </c>
      <c r="U11089" t="s">
        <v>52097</v>
      </c>
      <c r="V11089" t="s">
        <v>55546</v>
      </c>
      <c r="W11089" t="s">
        <v>40833</v>
      </c>
      <c r="X11089" t="s">
        <v>41265</v>
      </c>
    </row>
    <row r="11090" spans="1:24">
      <c r="A11090">
        <f>HYPERLINK("https://www.philgeps.gov.ph/GEPSNONPILOT/Tender/SplashBidNoticeAbstractUI.aspx?menuIndex=3&amp;refID=7054839&amp;Result=3","7054839")</f>
        <v>0</v>
      </c>
      <c r="B11090" t="s">
        <v>2558</v>
      </c>
      <c r="C11090" t="s">
        <v>13984</v>
      </c>
      <c r="D11090" t="s">
        <v>16618</v>
      </c>
      <c r="E11090" t="s">
        <v>26306</v>
      </c>
      <c r="F11090" t="s">
        <v>28669</v>
      </c>
      <c r="G11090" t="s">
        <v>28675</v>
      </c>
      <c r="H11090" t="s">
        <v>28686</v>
      </c>
      <c r="I11090" t="s">
        <v>28689</v>
      </c>
      <c r="J11090" t="s">
        <v>30146</v>
      </c>
      <c r="K11090" t="s">
        <v>37366</v>
      </c>
      <c r="L11090" t="s">
        <v>2558</v>
      </c>
      <c r="M11090" t="s">
        <v>40832</v>
      </c>
      <c r="N11090" t="s">
        <v>41249</v>
      </c>
      <c r="O11090" t="s">
        <v>41250</v>
      </c>
      <c r="P11090">
        <v>0</v>
      </c>
      <c r="Q11090">
        <v>5</v>
      </c>
      <c r="R11090" t="s">
        <v>41264</v>
      </c>
      <c r="S11090" t="s">
        <v>41775</v>
      </c>
      <c r="T11090" t="s">
        <v>42697</v>
      </c>
      <c r="U11090" t="s">
        <v>52096</v>
      </c>
      <c r="W11090" t="s">
        <v>40832</v>
      </c>
      <c r="X11090" t="s">
        <v>41265</v>
      </c>
    </row>
    <row r="11091" spans="1:24">
      <c r="A11091">
        <f>HYPERLINK("https://www.philgeps.gov.ph/GEPSNONPILOT/Tender/SplashBidNoticeAbstractUI.aspx?menuIndex=3&amp;refID=7054466&amp;Result=3","7054466")</f>
        <v>0</v>
      </c>
      <c r="B11091" t="s">
        <v>2840</v>
      </c>
      <c r="C11091" t="s">
        <v>13985</v>
      </c>
      <c r="D11091" t="s">
        <v>16611</v>
      </c>
      <c r="E11091" t="s">
        <v>26307</v>
      </c>
      <c r="F11091" t="s">
        <v>28669</v>
      </c>
      <c r="G11091" t="s">
        <v>28675</v>
      </c>
      <c r="H11091" t="s">
        <v>28686</v>
      </c>
      <c r="I11091" t="s">
        <v>28689</v>
      </c>
      <c r="J11091" t="s">
        <v>28905</v>
      </c>
      <c r="K11091" t="s">
        <v>37206</v>
      </c>
      <c r="L11091" t="s">
        <v>2840</v>
      </c>
      <c r="M11091" t="s">
        <v>40576</v>
      </c>
      <c r="N11091" t="s">
        <v>41249</v>
      </c>
      <c r="O11091" t="s">
        <v>41250</v>
      </c>
      <c r="P11091">
        <v>0</v>
      </c>
      <c r="Q11091">
        <v>1</v>
      </c>
      <c r="R11091" t="s">
        <v>41264</v>
      </c>
      <c r="S11091" t="s">
        <v>41775</v>
      </c>
      <c r="T11091" t="s">
        <v>42670</v>
      </c>
      <c r="U11091" t="s">
        <v>52098</v>
      </c>
      <c r="W11091" t="s">
        <v>40576</v>
      </c>
      <c r="X11091" t="s">
        <v>41265</v>
      </c>
    </row>
    <row r="11092" spans="1:24">
      <c r="A11092">
        <f>HYPERLINK("https://www.philgeps.gov.ph/GEPSNONPILOT/Tender/SplashBidNoticeAbstractUI.aspx?menuIndex=3&amp;refID=7054828&amp;Result=3","7054828")</f>
        <v>0</v>
      </c>
      <c r="B11092" t="s">
        <v>2558</v>
      </c>
      <c r="C11092" t="s">
        <v>13986</v>
      </c>
      <c r="D11092" t="s">
        <v>16618</v>
      </c>
      <c r="E11092" t="s">
        <v>26308</v>
      </c>
      <c r="F11092" t="s">
        <v>28669</v>
      </c>
      <c r="G11092" t="s">
        <v>28675</v>
      </c>
      <c r="H11092" t="s">
        <v>28686</v>
      </c>
      <c r="I11092" t="s">
        <v>28689</v>
      </c>
      <c r="J11092" t="s">
        <v>30285</v>
      </c>
      <c r="K11092" t="s">
        <v>37211</v>
      </c>
      <c r="L11092" t="s">
        <v>2558</v>
      </c>
      <c r="M11092" t="s">
        <v>40832</v>
      </c>
      <c r="N11092" t="s">
        <v>41249</v>
      </c>
      <c r="O11092" t="s">
        <v>41250</v>
      </c>
      <c r="P11092">
        <v>0</v>
      </c>
      <c r="Q11092">
        <v>4</v>
      </c>
      <c r="R11092" t="s">
        <v>41264</v>
      </c>
      <c r="S11092" t="s">
        <v>41775</v>
      </c>
      <c r="T11092" t="s">
        <v>42697</v>
      </c>
      <c r="U11092" t="s">
        <v>52096</v>
      </c>
      <c r="W11092" t="s">
        <v>40832</v>
      </c>
      <c r="X11092" t="s">
        <v>41265</v>
      </c>
    </row>
    <row r="11093" spans="1:24">
      <c r="A11093">
        <f>HYPERLINK("https://www.philgeps.gov.ph/GEPSNONPILOT/Tender/SplashBidNoticeAbstractUI.aspx?menuIndex=3&amp;refID=7054703&amp;Result=3","7054703")</f>
        <v>0</v>
      </c>
      <c r="B11093" t="s">
        <v>3053</v>
      </c>
      <c r="C11093" t="s">
        <v>13987</v>
      </c>
      <c r="D11093" t="s">
        <v>16625</v>
      </c>
      <c r="E11093" t="s">
        <v>17399</v>
      </c>
      <c r="F11093" t="s">
        <v>28669</v>
      </c>
      <c r="G11093" t="s">
        <v>28675</v>
      </c>
      <c r="H11093" t="s">
        <v>28686</v>
      </c>
      <c r="I11093" t="s">
        <v>28689</v>
      </c>
      <c r="J11093" t="s">
        <v>29035</v>
      </c>
      <c r="K11093" t="s">
        <v>37206</v>
      </c>
      <c r="M11093" t="s">
        <v>40834</v>
      </c>
      <c r="N11093" t="s">
        <v>41249</v>
      </c>
      <c r="O11093" t="s">
        <v>41250</v>
      </c>
      <c r="P11093">
        <v>0</v>
      </c>
      <c r="Q11093">
        <v>0</v>
      </c>
      <c r="R11093" t="s">
        <v>41264</v>
      </c>
      <c r="S11093" t="s">
        <v>41775</v>
      </c>
      <c r="T11093" t="s">
        <v>42742</v>
      </c>
      <c r="U11093" t="s">
        <v>52099</v>
      </c>
      <c r="W11093" t="s">
        <v>40834</v>
      </c>
      <c r="X11093" t="s">
        <v>41265</v>
      </c>
    </row>
    <row r="11094" spans="1:24">
      <c r="A11094">
        <f>HYPERLINK("https://www.philgeps.gov.ph/GEPSNONPILOT/Tender/SplashBidNoticeAbstractUI.aspx?menuIndex=3&amp;refID=7054815&amp;Result=3","7054815")</f>
        <v>0</v>
      </c>
      <c r="B11094" t="s">
        <v>2558</v>
      </c>
      <c r="C11094" t="s">
        <v>13988</v>
      </c>
      <c r="D11094" t="s">
        <v>16618</v>
      </c>
      <c r="E11094" t="s">
        <v>26309</v>
      </c>
      <c r="F11094" t="s">
        <v>28669</v>
      </c>
      <c r="G11094" t="s">
        <v>28675</v>
      </c>
      <c r="H11094" t="s">
        <v>28686</v>
      </c>
      <c r="I11094" t="s">
        <v>28689</v>
      </c>
      <c r="J11094" t="s">
        <v>30304</v>
      </c>
      <c r="K11094" t="s">
        <v>37285</v>
      </c>
      <c r="L11094" t="s">
        <v>2558</v>
      </c>
      <c r="M11094" t="s">
        <v>40832</v>
      </c>
      <c r="N11094" t="s">
        <v>41249</v>
      </c>
      <c r="O11094" t="s">
        <v>41250</v>
      </c>
      <c r="P11094">
        <v>0</v>
      </c>
      <c r="Q11094">
        <v>5</v>
      </c>
      <c r="R11094" t="s">
        <v>41264</v>
      </c>
      <c r="S11094" t="s">
        <v>41775</v>
      </c>
      <c r="T11094" t="s">
        <v>42697</v>
      </c>
      <c r="U11094" t="s">
        <v>52096</v>
      </c>
      <c r="W11094" t="s">
        <v>40832</v>
      </c>
      <c r="X11094" t="s">
        <v>41265</v>
      </c>
    </row>
    <row r="11095" spans="1:24">
      <c r="A11095">
        <f>HYPERLINK("https://www.philgeps.gov.ph/GEPSNONPILOT/Tender/SplashBidNoticeAbstractUI.aspx?menuIndex=3&amp;refID=7054804&amp;Result=3","7054804")</f>
        <v>0</v>
      </c>
      <c r="B11095" t="s">
        <v>2558</v>
      </c>
      <c r="C11095" t="s">
        <v>13989</v>
      </c>
      <c r="D11095" t="s">
        <v>16618</v>
      </c>
      <c r="E11095" t="s">
        <v>26310</v>
      </c>
      <c r="F11095" t="s">
        <v>28669</v>
      </c>
      <c r="G11095" t="s">
        <v>28675</v>
      </c>
      <c r="H11095" t="s">
        <v>28686</v>
      </c>
      <c r="I11095" t="s">
        <v>28689</v>
      </c>
      <c r="J11095" t="s">
        <v>31681</v>
      </c>
      <c r="K11095" t="s">
        <v>37285</v>
      </c>
      <c r="L11095" t="s">
        <v>2558</v>
      </c>
      <c r="M11095" t="s">
        <v>40832</v>
      </c>
      <c r="N11095" t="s">
        <v>41249</v>
      </c>
      <c r="O11095" t="s">
        <v>41250</v>
      </c>
      <c r="P11095">
        <v>0</v>
      </c>
      <c r="Q11095">
        <v>7</v>
      </c>
      <c r="R11095" t="s">
        <v>41264</v>
      </c>
      <c r="S11095" t="s">
        <v>41775</v>
      </c>
      <c r="T11095" t="s">
        <v>42697</v>
      </c>
      <c r="U11095" t="s">
        <v>52096</v>
      </c>
      <c r="W11095" t="s">
        <v>40832</v>
      </c>
      <c r="X11095" t="s">
        <v>41265</v>
      </c>
    </row>
    <row r="11096" spans="1:24">
      <c r="A11096">
        <f>HYPERLINK("https://www.philgeps.gov.ph/GEPSNONPILOT/Tender/SplashBidNoticeAbstractUI.aspx?menuIndex=3&amp;refID=7054834&amp;Result=3","7054834")</f>
        <v>0</v>
      </c>
      <c r="B11096" t="s">
        <v>887</v>
      </c>
      <c r="C11096" t="s">
        <v>13990</v>
      </c>
      <c r="D11096" t="s">
        <v>16672</v>
      </c>
      <c r="E11096" t="s">
        <v>26311</v>
      </c>
      <c r="F11096" t="s">
        <v>28669</v>
      </c>
      <c r="G11096" t="s">
        <v>28675</v>
      </c>
      <c r="H11096" t="s">
        <v>9998</v>
      </c>
      <c r="I11096" t="s">
        <v>28773</v>
      </c>
      <c r="J11096" t="s">
        <v>35654</v>
      </c>
      <c r="K11096" t="s">
        <v>37206</v>
      </c>
      <c r="M11096" t="s">
        <v>38407</v>
      </c>
      <c r="N11096" t="s">
        <v>41249</v>
      </c>
      <c r="O11096" t="s">
        <v>41250</v>
      </c>
      <c r="P11096">
        <v>0</v>
      </c>
      <c r="Q11096">
        <v>3</v>
      </c>
      <c r="R11096" t="s">
        <v>41264</v>
      </c>
      <c r="S11096" t="s">
        <v>41775</v>
      </c>
      <c r="T11096" t="s">
        <v>42783</v>
      </c>
      <c r="U11096" t="s">
        <v>52100</v>
      </c>
      <c r="W11096" t="s">
        <v>38407</v>
      </c>
      <c r="X11096" t="s">
        <v>41265</v>
      </c>
    </row>
    <row r="11097" spans="1:24">
      <c r="A11097">
        <f>HYPERLINK("https://www.philgeps.gov.ph/GEPSNONPILOT/Tender/SplashBidNoticeAbstractUI.aspx?menuIndex=3&amp;refID=7054783&amp;Result=3","7054783")</f>
        <v>0</v>
      </c>
      <c r="B11097" t="s">
        <v>1813</v>
      </c>
      <c r="C11097" t="s">
        <v>13991</v>
      </c>
      <c r="E11097" t="s">
        <v>26312</v>
      </c>
      <c r="F11097" t="s">
        <v>28669</v>
      </c>
      <c r="G11097" t="s">
        <v>28675</v>
      </c>
      <c r="H11097" t="s">
        <v>9998</v>
      </c>
      <c r="I11097" t="s">
        <v>28757</v>
      </c>
      <c r="J11097" t="s">
        <v>29594</v>
      </c>
      <c r="K11097" t="s">
        <v>37209</v>
      </c>
      <c r="M11097" t="s">
        <v>39423</v>
      </c>
      <c r="N11097" t="s">
        <v>41249</v>
      </c>
      <c r="O11097" t="s">
        <v>41250</v>
      </c>
      <c r="P11097">
        <v>0</v>
      </c>
      <c r="Q11097">
        <v>5</v>
      </c>
      <c r="R11097" t="s">
        <v>41264</v>
      </c>
      <c r="S11097" t="s">
        <v>41775</v>
      </c>
      <c r="T11097" t="s">
        <v>42736</v>
      </c>
      <c r="U11097" t="s">
        <v>52101</v>
      </c>
      <c r="V11097" t="s">
        <v>55547</v>
      </c>
      <c r="W11097" t="s">
        <v>39423</v>
      </c>
      <c r="X11097" t="s">
        <v>41265</v>
      </c>
    </row>
    <row r="11098" spans="1:24">
      <c r="A11098">
        <f>HYPERLINK("https://www.philgeps.gov.ph/GEPSNONPILOT/Tender/SplashBidNoticeAbstractUI.aspx?menuIndex=3&amp;refID=7054631&amp;Result=3","7054631")</f>
        <v>0</v>
      </c>
      <c r="B11098" t="s">
        <v>628</v>
      </c>
      <c r="C11098" t="s">
        <v>13992</v>
      </c>
      <c r="D11098" t="s">
        <v>16621</v>
      </c>
      <c r="E11098" t="s">
        <v>26313</v>
      </c>
      <c r="F11098" t="s">
        <v>28669</v>
      </c>
      <c r="G11098" t="s">
        <v>28675</v>
      </c>
      <c r="H11098" t="s">
        <v>9998</v>
      </c>
      <c r="I11098" t="s">
        <v>28690</v>
      </c>
      <c r="J11098" t="s">
        <v>35655</v>
      </c>
      <c r="K11098" t="s">
        <v>37206</v>
      </c>
      <c r="M11098" t="s">
        <v>38128</v>
      </c>
      <c r="N11098" t="s">
        <v>41249</v>
      </c>
      <c r="O11098" t="s">
        <v>41250</v>
      </c>
      <c r="P11098">
        <v>0</v>
      </c>
      <c r="Q11098">
        <v>5</v>
      </c>
      <c r="R11098" t="s">
        <v>41264</v>
      </c>
      <c r="S11098" t="s">
        <v>41775</v>
      </c>
      <c r="T11098" t="s">
        <v>42726</v>
      </c>
      <c r="U11098" t="s">
        <v>44426</v>
      </c>
      <c r="V11098" t="s">
        <v>54406</v>
      </c>
      <c r="W11098" t="s">
        <v>38128</v>
      </c>
      <c r="X11098" t="s">
        <v>41265</v>
      </c>
    </row>
    <row r="11099" spans="1:24">
      <c r="A11099">
        <f>HYPERLINK("https://www.philgeps.gov.ph/GEPSNONPILOT/Tender/SplashBidNoticeAbstractUI.aspx?menuIndex=3&amp;refID=7054773&amp;Result=3","7054773")</f>
        <v>0</v>
      </c>
      <c r="B11099" t="s">
        <v>3054</v>
      </c>
      <c r="C11099" t="s">
        <v>13993</v>
      </c>
      <c r="D11099" t="s">
        <v>16613</v>
      </c>
      <c r="E11099" t="s">
        <v>26314</v>
      </c>
      <c r="F11099" t="s">
        <v>28669</v>
      </c>
      <c r="G11099" t="s">
        <v>28675</v>
      </c>
      <c r="H11099" t="s">
        <v>9998</v>
      </c>
      <c r="I11099" t="s">
        <v>28687</v>
      </c>
      <c r="J11099" t="s">
        <v>30162</v>
      </c>
      <c r="K11099" t="s">
        <v>37209</v>
      </c>
      <c r="M11099" t="s">
        <v>40835</v>
      </c>
      <c r="N11099" t="s">
        <v>41249</v>
      </c>
      <c r="O11099" t="s">
        <v>41250</v>
      </c>
      <c r="P11099">
        <v>0</v>
      </c>
      <c r="Q11099">
        <v>3</v>
      </c>
      <c r="R11099" t="s">
        <v>41264</v>
      </c>
      <c r="S11099" t="s">
        <v>41775</v>
      </c>
      <c r="T11099" t="s">
        <v>42696</v>
      </c>
      <c r="U11099" t="s">
        <v>52102</v>
      </c>
      <c r="W11099" t="s">
        <v>40835</v>
      </c>
      <c r="X11099" t="s">
        <v>41265</v>
      </c>
    </row>
    <row r="11100" spans="1:24">
      <c r="A11100">
        <f>HYPERLINK("https://www.philgeps.gov.ph/GEPSNONPILOT/Tender/SplashBidNoticeAbstractUI.aspx?menuIndex=3&amp;refID=7054517&amp;Result=3","7054517")</f>
        <v>0</v>
      </c>
      <c r="B11100" t="s">
        <v>3055</v>
      </c>
      <c r="C11100" t="s">
        <v>13994</v>
      </c>
      <c r="D11100" t="s">
        <v>16618</v>
      </c>
      <c r="E11100" t="s">
        <v>26315</v>
      </c>
      <c r="F11100" t="s">
        <v>28669</v>
      </c>
      <c r="G11100" t="s">
        <v>28678</v>
      </c>
      <c r="H11100" t="s">
        <v>9998</v>
      </c>
      <c r="I11100" t="s">
        <v>28697</v>
      </c>
      <c r="J11100" t="s">
        <v>28878</v>
      </c>
      <c r="K11100" t="s">
        <v>37204</v>
      </c>
      <c r="M11100" t="s">
        <v>40836</v>
      </c>
      <c r="N11100" t="s">
        <v>41249</v>
      </c>
      <c r="O11100" t="s">
        <v>41250</v>
      </c>
      <c r="P11100">
        <v>0</v>
      </c>
      <c r="Q11100">
        <v>14</v>
      </c>
      <c r="R11100" t="s">
        <v>41264</v>
      </c>
      <c r="S11100" t="s">
        <v>41775</v>
      </c>
      <c r="T11100" t="s">
        <v>42738</v>
      </c>
      <c r="U11100" t="s">
        <v>52103</v>
      </c>
      <c r="W11100" t="s">
        <v>40836</v>
      </c>
      <c r="X11100" t="s">
        <v>41265</v>
      </c>
    </row>
    <row r="11101" spans="1:24">
      <c r="A11101">
        <f>HYPERLINK("https://www.philgeps.gov.ph/GEPSNONPILOT/Tender/SplashBidNoticeAbstractUI.aspx?menuIndex=3&amp;refID=7054763&amp;Result=3","7054763")</f>
        <v>0</v>
      </c>
      <c r="B11101" t="s">
        <v>3056</v>
      </c>
      <c r="C11101" t="s">
        <v>13995</v>
      </c>
      <c r="D11101" t="s">
        <v>16615</v>
      </c>
      <c r="E11101" t="s">
        <v>26316</v>
      </c>
      <c r="F11101" t="s">
        <v>28669</v>
      </c>
      <c r="G11101" t="s">
        <v>28675</v>
      </c>
      <c r="H11101" t="s">
        <v>28686</v>
      </c>
      <c r="I11101" t="s">
        <v>28702</v>
      </c>
      <c r="J11101" t="s">
        <v>28924</v>
      </c>
      <c r="K11101" t="s">
        <v>37211</v>
      </c>
      <c r="M11101" t="s">
        <v>40837</v>
      </c>
      <c r="N11101" t="s">
        <v>41249</v>
      </c>
      <c r="O11101" t="s">
        <v>41250</v>
      </c>
      <c r="P11101">
        <v>0</v>
      </c>
      <c r="Q11101">
        <v>3</v>
      </c>
      <c r="R11101" t="s">
        <v>41264</v>
      </c>
      <c r="S11101" t="s">
        <v>41775</v>
      </c>
      <c r="T11101" t="s">
        <v>42686</v>
      </c>
      <c r="U11101" t="s">
        <v>52104</v>
      </c>
      <c r="V11101" t="s">
        <v>55548</v>
      </c>
      <c r="W11101" t="s">
        <v>40837</v>
      </c>
      <c r="X11101" t="s">
        <v>41265</v>
      </c>
    </row>
    <row r="11102" spans="1:24">
      <c r="A11102">
        <f>HYPERLINK("https://www.philgeps.gov.ph/GEPSNONPILOT/Tender/SplashBidNoticeAbstractUI.aspx?menuIndex=3&amp;refID=7054659&amp;Result=3","7054659")</f>
        <v>0</v>
      </c>
      <c r="B11102" t="s">
        <v>2840</v>
      </c>
      <c r="C11102" t="s">
        <v>13996</v>
      </c>
      <c r="D11102" t="s">
        <v>16611</v>
      </c>
      <c r="E11102" t="s">
        <v>26317</v>
      </c>
      <c r="F11102" t="s">
        <v>28669</v>
      </c>
      <c r="G11102" t="s">
        <v>28675</v>
      </c>
      <c r="H11102" t="s">
        <v>9998</v>
      </c>
      <c r="I11102" t="s">
        <v>7352</v>
      </c>
      <c r="J11102" t="s">
        <v>31916</v>
      </c>
      <c r="K11102" t="s">
        <v>37220</v>
      </c>
      <c r="L11102" t="s">
        <v>2840</v>
      </c>
      <c r="M11102" t="s">
        <v>40576</v>
      </c>
      <c r="N11102" t="s">
        <v>41249</v>
      </c>
      <c r="O11102" t="s">
        <v>41250</v>
      </c>
      <c r="P11102">
        <v>0</v>
      </c>
      <c r="Q11102">
        <v>0</v>
      </c>
      <c r="R11102" t="s">
        <v>41264</v>
      </c>
      <c r="S11102" t="s">
        <v>41775</v>
      </c>
      <c r="T11102" t="s">
        <v>42670</v>
      </c>
      <c r="U11102" t="s">
        <v>52105</v>
      </c>
      <c r="W11102" t="s">
        <v>40576</v>
      </c>
      <c r="X11102" t="s">
        <v>41265</v>
      </c>
    </row>
    <row r="11103" spans="1:24">
      <c r="A11103">
        <f>HYPERLINK("https://www.philgeps.gov.ph/GEPSNONPILOT/Tender/SplashBidNoticeAbstractUI.aspx?menuIndex=3&amp;refID=7054986&amp;Result=3","7054986")</f>
        <v>0</v>
      </c>
      <c r="B11103" t="s">
        <v>3057</v>
      </c>
      <c r="C11103" t="s">
        <v>13997</v>
      </c>
      <c r="D11103" t="s">
        <v>16621</v>
      </c>
      <c r="E11103" t="s">
        <v>26318</v>
      </c>
      <c r="F11103" t="s">
        <v>28669</v>
      </c>
      <c r="G11103" t="s">
        <v>28675</v>
      </c>
      <c r="H11103" t="s">
        <v>28686</v>
      </c>
      <c r="I11103" t="s">
        <v>28689</v>
      </c>
      <c r="J11103" t="s">
        <v>35656</v>
      </c>
      <c r="K11103" t="s">
        <v>37220</v>
      </c>
      <c r="M11103" t="s">
        <v>40838</v>
      </c>
      <c r="N11103" t="s">
        <v>41249</v>
      </c>
      <c r="O11103" t="s">
        <v>41250</v>
      </c>
      <c r="P11103">
        <v>0</v>
      </c>
      <c r="Q11103">
        <v>1</v>
      </c>
      <c r="R11103" t="s">
        <v>41264</v>
      </c>
      <c r="S11103" t="s">
        <v>41775</v>
      </c>
      <c r="T11103" t="s">
        <v>42670</v>
      </c>
      <c r="U11103" t="s">
        <v>52106</v>
      </c>
      <c r="W11103" t="s">
        <v>40838</v>
      </c>
      <c r="X11103" t="s">
        <v>41265</v>
      </c>
    </row>
    <row r="11104" spans="1:24">
      <c r="A11104">
        <f>HYPERLINK("https://www.philgeps.gov.ph/GEPSNONPILOT/Tender/SplashBidNoticeAbstractUI.aspx?menuIndex=3&amp;refID=7054983&amp;Result=3","7054983")</f>
        <v>0</v>
      </c>
      <c r="B11104" t="s">
        <v>3058</v>
      </c>
      <c r="C11104" t="s">
        <v>13998</v>
      </c>
      <c r="D11104" t="s">
        <v>16658</v>
      </c>
      <c r="E11104" t="s">
        <v>26319</v>
      </c>
      <c r="F11104" t="s">
        <v>28671</v>
      </c>
      <c r="G11104" t="s">
        <v>28675</v>
      </c>
      <c r="H11104" t="s">
        <v>28684</v>
      </c>
      <c r="I11104" t="s">
        <v>28701</v>
      </c>
      <c r="J11104" t="s">
        <v>35657</v>
      </c>
      <c r="K11104" t="s">
        <v>37228</v>
      </c>
      <c r="M11104" t="s">
        <v>40839</v>
      </c>
      <c r="N11104" t="s">
        <v>41249</v>
      </c>
      <c r="O11104" t="s">
        <v>41250</v>
      </c>
      <c r="P11104">
        <v>0</v>
      </c>
      <c r="Q11104">
        <v>1</v>
      </c>
      <c r="R11104" t="s">
        <v>41264</v>
      </c>
      <c r="S11104" t="s">
        <v>41775</v>
      </c>
      <c r="T11104" t="s">
        <v>42770</v>
      </c>
      <c r="U11104" t="s">
        <v>52107</v>
      </c>
      <c r="V11104" t="s">
        <v>55549</v>
      </c>
      <c r="W11104" t="s">
        <v>40839</v>
      </c>
      <c r="X11104" t="s">
        <v>41265</v>
      </c>
    </row>
    <row r="11105" spans="1:24">
      <c r="A11105">
        <f>HYPERLINK("https://www.philgeps.gov.ph/GEPSNONPILOT/Tender/SplashBidNoticeAbstractUI.aspx?menuIndex=3&amp;refID=7054960&amp;Result=3","7054960")</f>
        <v>0</v>
      </c>
      <c r="B11105" t="s">
        <v>887</v>
      </c>
      <c r="C11105" t="s">
        <v>13999</v>
      </c>
      <c r="D11105" t="s">
        <v>16672</v>
      </c>
      <c r="E11105" t="s">
        <v>26320</v>
      </c>
      <c r="F11105" t="s">
        <v>28669</v>
      </c>
      <c r="G11105" t="s">
        <v>28675</v>
      </c>
      <c r="H11105" t="s">
        <v>9998</v>
      </c>
      <c r="I11105" t="s">
        <v>28690</v>
      </c>
      <c r="J11105" t="s">
        <v>35658</v>
      </c>
      <c r="K11105" t="s">
        <v>37206</v>
      </c>
      <c r="M11105" t="s">
        <v>38407</v>
      </c>
      <c r="N11105" t="s">
        <v>41249</v>
      </c>
      <c r="O11105" t="s">
        <v>41250</v>
      </c>
      <c r="P11105">
        <v>0</v>
      </c>
      <c r="Q11105">
        <v>1</v>
      </c>
      <c r="R11105" t="s">
        <v>41264</v>
      </c>
      <c r="S11105" t="s">
        <v>41775</v>
      </c>
      <c r="T11105" t="s">
        <v>42783</v>
      </c>
      <c r="U11105" t="s">
        <v>52108</v>
      </c>
      <c r="W11105" t="s">
        <v>38407</v>
      </c>
      <c r="X11105" t="s">
        <v>41265</v>
      </c>
    </row>
    <row r="11106" spans="1:24">
      <c r="A11106">
        <f>HYPERLINK("https://www.philgeps.gov.ph/GEPSNONPILOT/Tender/SplashBidNoticeAbstractUI.aspx?menuIndex=3&amp;refID=7054925&amp;Result=3","7054925")</f>
        <v>0</v>
      </c>
      <c r="B11106" t="s">
        <v>267</v>
      </c>
      <c r="C11106" t="s">
        <v>14000</v>
      </c>
      <c r="D11106" t="s">
        <v>16679</v>
      </c>
      <c r="E11106" t="s">
        <v>26321</v>
      </c>
      <c r="F11106" t="s">
        <v>28669</v>
      </c>
      <c r="G11106" t="s">
        <v>28675</v>
      </c>
      <c r="H11106" t="s">
        <v>9998</v>
      </c>
      <c r="I11106" t="s">
        <v>28711</v>
      </c>
      <c r="J11106" t="s">
        <v>30025</v>
      </c>
      <c r="K11106" t="s">
        <v>37206</v>
      </c>
      <c r="M11106" t="s">
        <v>38133</v>
      </c>
      <c r="N11106" t="s">
        <v>41249</v>
      </c>
      <c r="O11106" t="s">
        <v>41250</v>
      </c>
      <c r="Q11106">
        <v>11</v>
      </c>
      <c r="R11106" t="s">
        <v>41264</v>
      </c>
      <c r="S11106" t="s">
        <v>41600</v>
      </c>
      <c r="T11106" t="s">
        <v>42658</v>
      </c>
      <c r="U11106" t="s">
        <v>43621</v>
      </c>
      <c r="V11106" t="s">
        <v>55428</v>
      </c>
      <c r="W11106" t="s">
        <v>55923</v>
      </c>
      <c r="X11106" t="s">
        <v>41265</v>
      </c>
    </row>
    <row r="11107" spans="1:24">
      <c r="A11107">
        <f>HYPERLINK("https://www.philgeps.gov.ph/GEPSNONPILOT/Tender/SplashBidNoticeAbstractUI.aspx?menuIndex=3&amp;refID=7054910&amp;Result=3","7054910")</f>
        <v>0</v>
      </c>
      <c r="B11107" t="s">
        <v>2840</v>
      </c>
      <c r="C11107" t="s">
        <v>14001</v>
      </c>
      <c r="D11107" t="s">
        <v>16611</v>
      </c>
      <c r="E11107" t="s">
        <v>26322</v>
      </c>
      <c r="F11107" t="s">
        <v>28669</v>
      </c>
      <c r="G11107" t="s">
        <v>28675</v>
      </c>
      <c r="H11107" t="s">
        <v>9998</v>
      </c>
      <c r="I11107" t="s">
        <v>28690</v>
      </c>
      <c r="J11107" t="s">
        <v>28877</v>
      </c>
      <c r="K11107" t="s">
        <v>37206</v>
      </c>
      <c r="L11107" t="s">
        <v>2840</v>
      </c>
      <c r="M11107" t="s">
        <v>40576</v>
      </c>
      <c r="N11107" t="s">
        <v>41249</v>
      </c>
      <c r="O11107" t="s">
        <v>41250</v>
      </c>
      <c r="P11107">
        <v>0</v>
      </c>
      <c r="Q11107">
        <v>2</v>
      </c>
      <c r="R11107" t="s">
        <v>41264</v>
      </c>
      <c r="S11107" t="s">
        <v>41775</v>
      </c>
      <c r="T11107" t="s">
        <v>42682</v>
      </c>
      <c r="U11107" t="s">
        <v>52109</v>
      </c>
      <c r="W11107" t="s">
        <v>40576</v>
      </c>
      <c r="X11107" t="s">
        <v>41265</v>
      </c>
    </row>
    <row r="11108" spans="1:24">
      <c r="A11108">
        <f>HYPERLINK("https://www.philgeps.gov.ph/GEPSNONPILOT/Tender/SplashBidNoticeAbstractUI.aspx?menuIndex=3&amp;refID=7054908&amp;Result=3","7054908")</f>
        <v>0</v>
      </c>
      <c r="B11108" t="s">
        <v>887</v>
      </c>
      <c r="C11108" t="s">
        <v>14002</v>
      </c>
      <c r="D11108" t="s">
        <v>16672</v>
      </c>
      <c r="E11108" t="s">
        <v>26323</v>
      </c>
      <c r="F11108" t="s">
        <v>28669</v>
      </c>
      <c r="G11108" t="s">
        <v>28675</v>
      </c>
      <c r="H11108" t="s">
        <v>9998</v>
      </c>
      <c r="I11108" t="s">
        <v>5286</v>
      </c>
      <c r="J11108" t="s">
        <v>35659</v>
      </c>
      <c r="K11108" t="s">
        <v>37206</v>
      </c>
      <c r="M11108" t="s">
        <v>38407</v>
      </c>
      <c r="N11108" t="s">
        <v>41249</v>
      </c>
      <c r="O11108" t="s">
        <v>41250</v>
      </c>
      <c r="P11108">
        <v>0</v>
      </c>
      <c r="Q11108">
        <v>0</v>
      </c>
      <c r="R11108" t="s">
        <v>41264</v>
      </c>
      <c r="S11108" t="s">
        <v>41775</v>
      </c>
      <c r="T11108" t="s">
        <v>42783</v>
      </c>
      <c r="U11108" t="s">
        <v>52110</v>
      </c>
      <c r="W11108" t="s">
        <v>38407</v>
      </c>
      <c r="X11108" t="s">
        <v>41265</v>
      </c>
    </row>
    <row r="11109" spans="1:24">
      <c r="A11109">
        <f>HYPERLINK("https://www.philgeps.gov.ph/GEPSNONPILOT/Tender/SplashBidNoticeAbstractUI.aspx?menuIndex=3&amp;refID=7054973&amp;Result=3","7054973")</f>
        <v>0</v>
      </c>
      <c r="B11109" t="s">
        <v>267</v>
      </c>
      <c r="C11109" t="s">
        <v>14003</v>
      </c>
      <c r="D11109" t="s">
        <v>16679</v>
      </c>
      <c r="E11109" t="s">
        <v>26324</v>
      </c>
      <c r="F11109" t="s">
        <v>28669</v>
      </c>
      <c r="G11109" t="s">
        <v>28675</v>
      </c>
      <c r="H11109" t="s">
        <v>28686</v>
      </c>
      <c r="I11109" t="s">
        <v>28689</v>
      </c>
      <c r="J11109" t="s">
        <v>29053</v>
      </c>
      <c r="K11109" t="s">
        <v>37213</v>
      </c>
      <c r="M11109" t="s">
        <v>38099</v>
      </c>
      <c r="N11109" t="s">
        <v>41249</v>
      </c>
      <c r="O11109" t="s">
        <v>41250</v>
      </c>
      <c r="P11109">
        <v>0</v>
      </c>
      <c r="Q11109">
        <v>19</v>
      </c>
      <c r="R11109" t="s">
        <v>41264</v>
      </c>
      <c r="S11109" t="s">
        <v>41775</v>
      </c>
      <c r="T11109" t="s">
        <v>42658</v>
      </c>
      <c r="U11109" t="s">
        <v>43621</v>
      </c>
      <c r="V11109" t="s">
        <v>55428</v>
      </c>
      <c r="W11109" t="s">
        <v>55923</v>
      </c>
      <c r="X11109" t="s">
        <v>41265</v>
      </c>
    </row>
    <row r="11110" spans="1:24">
      <c r="A11110">
        <f>HYPERLINK("https://www.philgeps.gov.ph/GEPSNONPILOT/Tender/SplashBidNoticeAbstractUI.aspx?menuIndex=3&amp;refID=7054977&amp;Result=3","7054977")</f>
        <v>0</v>
      </c>
      <c r="B11110" t="s">
        <v>2764</v>
      </c>
      <c r="C11110" t="s">
        <v>14004</v>
      </c>
      <c r="D11110" t="s">
        <v>16654</v>
      </c>
      <c r="E11110" t="s">
        <v>26325</v>
      </c>
      <c r="F11110" t="s">
        <v>28669</v>
      </c>
      <c r="G11110" t="s">
        <v>28675</v>
      </c>
      <c r="H11110" t="s">
        <v>28686</v>
      </c>
      <c r="I11110" t="s">
        <v>28689</v>
      </c>
      <c r="J11110" t="s">
        <v>32902</v>
      </c>
      <c r="K11110" t="s">
        <v>37458</v>
      </c>
      <c r="M11110" t="s">
        <v>40484</v>
      </c>
      <c r="N11110" t="s">
        <v>41249</v>
      </c>
      <c r="O11110" t="s">
        <v>41250</v>
      </c>
      <c r="P11110">
        <v>0</v>
      </c>
      <c r="Q11110">
        <v>9</v>
      </c>
      <c r="R11110" t="s">
        <v>41264</v>
      </c>
      <c r="S11110" t="s">
        <v>41775</v>
      </c>
      <c r="T11110" t="s">
        <v>42764</v>
      </c>
      <c r="U11110" t="s">
        <v>52111</v>
      </c>
      <c r="V11110" t="s">
        <v>55550</v>
      </c>
      <c r="W11110" t="s">
        <v>40484</v>
      </c>
      <c r="X11110" t="s">
        <v>41265</v>
      </c>
    </row>
    <row r="11111" spans="1:24">
      <c r="A11111">
        <f>HYPERLINK("https://www.philgeps.gov.ph/GEPSNONPILOT/Tender/SplashBidNoticeAbstractUI.aspx?menuIndex=3&amp;refID=7054898&amp;Result=3","7054898")</f>
        <v>0</v>
      </c>
      <c r="B11111" t="s">
        <v>2558</v>
      </c>
      <c r="C11111" t="s">
        <v>14005</v>
      </c>
      <c r="D11111" t="s">
        <v>16618</v>
      </c>
      <c r="E11111" t="s">
        <v>26326</v>
      </c>
      <c r="F11111" t="s">
        <v>28669</v>
      </c>
      <c r="G11111" t="s">
        <v>28675</v>
      </c>
      <c r="H11111" t="s">
        <v>28686</v>
      </c>
      <c r="I11111" t="s">
        <v>28689</v>
      </c>
      <c r="J11111" t="s">
        <v>31313</v>
      </c>
      <c r="K11111" t="s">
        <v>37459</v>
      </c>
      <c r="L11111" t="s">
        <v>2558</v>
      </c>
      <c r="M11111" t="s">
        <v>40832</v>
      </c>
      <c r="N11111" t="s">
        <v>41249</v>
      </c>
      <c r="O11111" t="s">
        <v>41250</v>
      </c>
      <c r="Q11111">
        <v>1</v>
      </c>
      <c r="R11111" t="s">
        <v>41264</v>
      </c>
      <c r="S11111" t="s">
        <v>41843</v>
      </c>
      <c r="T11111" t="s">
        <v>42697</v>
      </c>
      <c r="U11111" t="s">
        <v>52096</v>
      </c>
      <c r="W11111" t="s">
        <v>40832</v>
      </c>
      <c r="X11111" t="s">
        <v>41265</v>
      </c>
    </row>
    <row r="11112" spans="1:24">
      <c r="A11112">
        <f>HYPERLINK("https://www.philgeps.gov.ph/GEPSNONPILOT/Tender/SplashBidNoticeAbstractUI.aspx?menuIndex=3&amp;refID=7054823&amp;Result=3","7054823")</f>
        <v>0</v>
      </c>
      <c r="B11112" t="s">
        <v>900</v>
      </c>
      <c r="C11112" t="s">
        <v>14006</v>
      </c>
      <c r="D11112" t="s">
        <v>16649</v>
      </c>
      <c r="E11112" t="s">
        <v>26327</v>
      </c>
      <c r="F11112" t="s">
        <v>28669</v>
      </c>
      <c r="G11112" t="s">
        <v>28675</v>
      </c>
      <c r="H11112" t="s">
        <v>9998</v>
      </c>
      <c r="I11112" t="s">
        <v>28704</v>
      </c>
      <c r="J11112" t="s">
        <v>35660</v>
      </c>
      <c r="K11112" t="s">
        <v>37220</v>
      </c>
      <c r="M11112" t="s">
        <v>38421</v>
      </c>
      <c r="N11112" t="s">
        <v>41249</v>
      </c>
      <c r="O11112" t="s">
        <v>41250</v>
      </c>
      <c r="P11112">
        <v>0</v>
      </c>
      <c r="Q11112">
        <v>0</v>
      </c>
      <c r="R11112" t="s">
        <v>41264</v>
      </c>
      <c r="S11112" t="s">
        <v>41775</v>
      </c>
      <c r="T11112" t="s">
        <v>42690</v>
      </c>
      <c r="U11112" t="s">
        <v>52112</v>
      </c>
      <c r="V11112" t="s">
        <v>55551</v>
      </c>
      <c r="W11112" t="s">
        <v>38421</v>
      </c>
      <c r="X11112" t="s">
        <v>41265</v>
      </c>
    </row>
    <row r="11113" spans="1:24">
      <c r="A11113">
        <f>HYPERLINK("https://www.philgeps.gov.ph/GEPSNONPILOT/Tender/SplashBidNoticeAbstractUI.aspx?menuIndex=3&amp;refID=7054911&amp;Result=3","7054911")</f>
        <v>0</v>
      </c>
      <c r="B11113" t="s">
        <v>2764</v>
      </c>
      <c r="C11113" t="s">
        <v>14007</v>
      </c>
      <c r="D11113" t="s">
        <v>16654</v>
      </c>
      <c r="E11113" t="s">
        <v>26328</v>
      </c>
      <c r="F11113" t="s">
        <v>28669</v>
      </c>
      <c r="G11113" t="s">
        <v>28675</v>
      </c>
      <c r="H11113" t="s">
        <v>28686</v>
      </c>
      <c r="I11113" t="s">
        <v>28689</v>
      </c>
      <c r="J11113" t="s">
        <v>35661</v>
      </c>
      <c r="K11113" t="s">
        <v>37460</v>
      </c>
      <c r="M11113" t="s">
        <v>40484</v>
      </c>
      <c r="N11113" t="s">
        <v>41249</v>
      </c>
      <c r="O11113" t="s">
        <v>41250</v>
      </c>
      <c r="P11113">
        <v>0</v>
      </c>
      <c r="Q11113">
        <v>9</v>
      </c>
      <c r="R11113" t="s">
        <v>41264</v>
      </c>
      <c r="S11113" t="s">
        <v>41775</v>
      </c>
      <c r="T11113" t="s">
        <v>42764</v>
      </c>
      <c r="U11113" t="s">
        <v>52113</v>
      </c>
      <c r="V11113" t="s">
        <v>55552</v>
      </c>
      <c r="W11113" t="s">
        <v>40484</v>
      </c>
      <c r="X11113" t="s">
        <v>41265</v>
      </c>
    </row>
    <row r="11114" spans="1:24">
      <c r="A11114">
        <f>HYPERLINK("https://www.philgeps.gov.ph/GEPSNONPILOT/Tender/SplashBidNoticeAbstractUI.aspx?menuIndex=3&amp;refID=7054878&amp;Result=3","7054878")</f>
        <v>0</v>
      </c>
      <c r="B11114" t="s">
        <v>1416</v>
      </c>
      <c r="C11114" t="s">
        <v>14008</v>
      </c>
      <c r="D11114" t="s">
        <v>16627</v>
      </c>
      <c r="E11114" t="s">
        <v>20385</v>
      </c>
      <c r="F11114" t="s">
        <v>28671</v>
      </c>
      <c r="G11114" t="s">
        <v>28675</v>
      </c>
      <c r="H11114" t="s">
        <v>9998</v>
      </c>
      <c r="I11114" t="s">
        <v>5213</v>
      </c>
      <c r="J11114" t="s">
        <v>35662</v>
      </c>
      <c r="K11114" t="s">
        <v>37209</v>
      </c>
      <c r="M11114" t="s">
        <v>38979</v>
      </c>
      <c r="N11114" t="s">
        <v>41249</v>
      </c>
      <c r="O11114" t="s">
        <v>41250</v>
      </c>
      <c r="P11114">
        <v>0</v>
      </c>
      <c r="Q11114">
        <v>0</v>
      </c>
      <c r="R11114" t="s">
        <v>41264</v>
      </c>
      <c r="S11114" t="s">
        <v>41775</v>
      </c>
      <c r="T11114" t="s">
        <v>42682</v>
      </c>
      <c r="U11114" t="s">
        <v>52114</v>
      </c>
      <c r="W11114" t="s">
        <v>38979</v>
      </c>
      <c r="X11114" t="s">
        <v>41265</v>
      </c>
    </row>
    <row r="11115" spans="1:24">
      <c r="A11115">
        <f>HYPERLINK("https://www.philgeps.gov.ph/GEPSNONPILOT/Tender/SplashBidNoticeAbstractUI.aspx?menuIndex=3&amp;refID=7055072&amp;Result=3","7055072")</f>
        <v>0</v>
      </c>
      <c r="B11115" t="s">
        <v>658</v>
      </c>
      <c r="C11115" t="s">
        <v>14009</v>
      </c>
      <c r="D11115" t="s">
        <v>16622</v>
      </c>
      <c r="E11115" t="s">
        <v>26329</v>
      </c>
      <c r="F11115" t="s">
        <v>28669</v>
      </c>
      <c r="G11115" t="s">
        <v>28675</v>
      </c>
      <c r="H11115" t="s">
        <v>9998</v>
      </c>
      <c r="I11115" t="s">
        <v>28713</v>
      </c>
      <c r="J11115" t="s">
        <v>29047</v>
      </c>
      <c r="K11115" t="s">
        <v>37209</v>
      </c>
      <c r="M11115" t="s">
        <v>38159</v>
      </c>
      <c r="N11115" t="s">
        <v>41249</v>
      </c>
      <c r="O11115" t="s">
        <v>41250</v>
      </c>
      <c r="P11115">
        <v>0</v>
      </c>
      <c r="Q11115">
        <v>8</v>
      </c>
      <c r="R11115" t="s">
        <v>41264</v>
      </c>
      <c r="S11115" t="s">
        <v>41775</v>
      </c>
      <c r="T11115" t="s">
        <v>42678</v>
      </c>
      <c r="U11115" t="s">
        <v>52115</v>
      </c>
      <c r="W11115" t="s">
        <v>38159</v>
      </c>
      <c r="X11115" t="s">
        <v>41265</v>
      </c>
    </row>
    <row r="11116" spans="1:24">
      <c r="A11116">
        <f>HYPERLINK("https://www.philgeps.gov.ph/GEPSNONPILOT/Tender/SplashBidNoticeAbstractUI.aspx?menuIndex=3&amp;refID=7054800&amp;Result=3","7054800")</f>
        <v>0</v>
      </c>
      <c r="B11116" t="s">
        <v>197</v>
      </c>
      <c r="C11116" t="s">
        <v>14010</v>
      </c>
      <c r="D11116" t="s">
        <v>16609</v>
      </c>
      <c r="E11116" t="s">
        <v>26330</v>
      </c>
      <c r="F11116" t="s">
        <v>28669</v>
      </c>
      <c r="G11116" t="s">
        <v>28682</v>
      </c>
      <c r="H11116" t="s">
        <v>28686</v>
      </c>
      <c r="I11116" t="s">
        <v>28689</v>
      </c>
      <c r="J11116" t="s">
        <v>35663</v>
      </c>
      <c r="K11116" t="s">
        <v>37213</v>
      </c>
      <c r="M11116" t="s">
        <v>37675</v>
      </c>
      <c r="N11116" t="s">
        <v>41249</v>
      </c>
      <c r="O11116" t="s">
        <v>41250</v>
      </c>
      <c r="Q11116">
        <v>0</v>
      </c>
      <c r="R11116" t="s">
        <v>41264</v>
      </c>
      <c r="S11116" t="s">
        <v>41844</v>
      </c>
      <c r="T11116" t="s">
        <v>42764</v>
      </c>
      <c r="U11116" t="s">
        <v>52116</v>
      </c>
      <c r="W11116" t="s">
        <v>37675</v>
      </c>
      <c r="X11116" t="s">
        <v>41265</v>
      </c>
    </row>
    <row r="11117" spans="1:24">
      <c r="A11117">
        <f>HYPERLINK("https://www.philgeps.gov.ph/GEPSNONPILOT/Tender/SplashBidNoticeAbstractUI.aspx?menuIndex=3&amp;refID=7055114&amp;Result=3","7055114")</f>
        <v>0</v>
      </c>
      <c r="B11117" t="s">
        <v>3059</v>
      </c>
      <c r="C11117" t="s">
        <v>14011</v>
      </c>
      <c r="D11117" t="s">
        <v>16634</v>
      </c>
      <c r="E11117" t="s">
        <v>26331</v>
      </c>
      <c r="F11117" t="s">
        <v>28669</v>
      </c>
      <c r="G11117" t="s">
        <v>28675</v>
      </c>
      <c r="H11117" t="s">
        <v>28686</v>
      </c>
      <c r="I11117" t="s">
        <v>28689</v>
      </c>
      <c r="J11117" t="s">
        <v>35664</v>
      </c>
      <c r="K11117" t="s">
        <v>37461</v>
      </c>
      <c r="M11117" t="s">
        <v>40840</v>
      </c>
      <c r="N11117" t="s">
        <v>41249</v>
      </c>
      <c r="O11117" t="s">
        <v>41250</v>
      </c>
      <c r="P11117">
        <v>0</v>
      </c>
      <c r="Q11117">
        <v>1</v>
      </c>
      <c r="R11117" t="s">
        <v>41264</v>
      </c>
      <c r="S11117" t="s">
        <v>41775</v>
      </c>
      <c r="T11117" t="s">
        <v>42722</v>
      </c>
      <c r="U11117" t="s">
        <v>52117</v>
      </c>
      <c r="W11117" t="s">
        <v>40840</v>
      </c>
      <c r="X11117" t="s">
        <v>41265</v>
      </c>
    </row>
    <row r="11118" spans="1:24">
      <c r="A11118">
        <f>HYPERLINK("https://www.philgeps.gov.ph/GEPSNONPILOT/Tender/SplashBidNoticeAbstractUI.aspx?menuIndex=3&amp;refID=7055103&amp;Result=3","7055103")</f>
        <v>0</v>
      </c>
      <c r="B11118" t="s">
        <v>807</v>
      </c>
      <c r="C11118" t="s">
        <v>14012</v>
      </c>
      <c r="E11118" t="s">
        <v>26332</v>
      </c>
      <c r="F11118" t="s">
        <v>28669</v>
      </c>
      <c r="G11118" t="s">
        <v>28675</v>
      </c>
      <c r="H11118" t="s">
        <v>28686</v>
      </c>
      <c r="I11118" t="s">
        <v>28689</v>
      </c>
      <c r="J11118" t="s">
        <v>35665</v>
      </c>
      <c r="K11118" t="s">
        <v>37209</v>
      </c>
      <c r="M11118" t="s">
        <v>38322</v>
      </c>
      <c r="N11118" t="s">
        <v>41249</v>
      </c>
      <c r="O11118" t="s">
        <v>41250</v>
      </c>
      <c r="Q11118">
        <v>4</v>
      </c>
      <c r="R11118" t="s">
        <v>41264</v>
      </c>
      <c r="S11118" t="s">
        <v>41845</v>
      </c>
      <c r="T11118" t="s">
        <v>42670</v>
      </c>
      <c r="U11118" t="s">
        <v>52118</v>
      </c>
      <c r="W11118" t="s">
        <v>38322</v>
      </c>
      <c r="X11118" t="s">
        <v>41265</v>
      </c>
    </row>
    <row r="11119" spans="1:24">
      <c r="A11119">
        <f>HYPERLINK("https://www.philgeps.gov.ph/GEPSNONPILOT/Tender/SplashBidNoticeAbstractUI.aspx?menuIndex=3&amp;refID=7054877&amp;Result=3","7054877")</f>
        <v>0</v>
      </c>
      <c r="B11119" t="s">
        <v>2558</v>
      </c>
      <c r="C11119" t="s">
        <v>14013</v>
      </c>
      <c r="D11119" t="s">
        <v>16618</v>
      </c>
      <c r="E11119" t="s">
        <v>26333</v>
      </c>
      <c r="F11119" t="s">
        <v>28669</v>
      </c>
      <c r="G11119" t="s">
        <v>28675</v>
      </c>
      <c r="H11119" t="s">
        <v>28686</v>
      </c>
      <c r="I11119" t="s">
        <v>28689</v>
      </c>
      <c r="J11119" t="s">
        <v>30289</v>
      </c>
      <c r="K11119" t="s">
        <v>37270</v>
      </c>
      <c r="L11119" t="s">
        <v>2558</v>
      </c>
      <c r="M11119" t="s">
        <v>40832</v>
      </c>
      <c r="N11119" t="s">
        <v>41249</v>
      </c>
      <c r="O11119" t="s">
        <v>41250</v>
      </c>
      <c r="P11119">
        <v>0</v>
      </c>
      <c r="Q11119">
        <v>1</v>
      </c>
      <c r="R11119" t="s">
        <v>41264</v>
      </c>
      <c r="S11119" t="s">
        <v>41775</v>
      </c>
      <c r="T11119" t="s">
        <v>42697</v>
      </c>
      <c r="U11119" t="s">
        <v>52096</v>
      </c>
      <c r="W11119" t="s">
        <v>40832</v>
      </c>
      <c r="X11119" t="s">
        <v>41265</v>
      </c>
    </row>
    <row r="11120" spans="1:24">
      <c r="A11120">
        <f>HYPERLINK("https://www.philgeps.gov.ph/GEPSNONPILOT/Tender/SplashBidNoticeAbstractUI.aspx?menuIndex=3&amp;refID=7055100&amp;Result=3","7055100")</f>
        <v>0</v>
      </c>
      <c r="B11120" t="s">
        <v>2200</v>
      </c>
      <c r="C11120" t="s">
        <v>14014</v>
      </c>
      <c r="D11120" t="s">
        <v>16646</v>
      </c>
      <c r="E11120" t="s">
        <v>26334</v>
      </c>
      <c r="F11120" t="s">
        <v>28669</v>
      </c>
      <c r="G11120" t="s">
        <v>28675</v>
      </c>
      <c r="H11120" t="s">
        <v>28686</v>
      </c>
      <c r="I11120" t="s">
        <v>28689</v>
      </c>
      <c r="J11120" t="s">
        <v>35666</v>
      </c>
      <c r="K11120" t="s">
        <v>37215</v>
      </c>
      <c r="M11120" t="s">
        <v>39850</v>
      </c>
      <c r="N11120" t="s">
        <v>41249</v>
      </c>
      <c r="O11120" t="s">
        <v>41250</v>
      </c>
      <c r="Q11120">
        <v>32</v>
      </c>
      <c r="R11120" t="s">
        <v>41264</v>
      </c>
      <c r="S11120" t="s">
        <v>41846</v>
      </c>
      <c r="T11120" t="s">
        <v>42764</v>
      </c>
      <c r="U11120" t="s">
        <v>52119</v>
      </c>
      <c r="V11120" t="s">
        <v>55553</v>
      </c>
      <c r="W11120" t="s">
        <v>39850</v>
      </c>
      <c r="X11120" t="s">
        <v>41265</v>
      </c>
    </row>
    <row r="11121" spans="1:24">
      <c r="A11121">
        <f>HYPERLINK("https://www.philgeps.gov.ph/GEPSNONPILOT/Tender/SplashBidNoticeAbstractUI.aspx?menuIndex=3&amp;refID=7055092&amp;Result=3","7055092")</f>
        <v>0</v>
      </c>
      <c r="B11121" t="s">
        <v>2200</v>
      </c>
      <c r="C11121" t="s">
        <v>14015</v>
      </c>
      <c r="D11121" t="s">
        <v>16646</v>
      </c>
      <c r="E11121" t="s">
        <v>26335</v>
      </c>
      <c r="F11121" t="s">
        <v>28669</v>
      </c>
      <c r="G11121" t="s">
        <v>28675</v>
      </c>
      <c r="H11121" t="s">
        <v>28686</v>
      </c>
      <c r="I11121" t="s">
        <v>28689</v>
      </c>
      <c r="J11121" t="s">
        <v>35667</v>
      </c>
      <c r="K11121" t="s">
        <v>37215</v>
      </c>
      <c r="M11121" t="s">
        <v>39850</v>
      </c>
      <c r="N11121" t="s">
        <v>41249</v>
      </c>
      <c r="O11121" t="s">
        <v>41250</v>
      </c>
      <c r="Q11121">
        <v>33</v>
      </c>
      <c r="R11121" t="s">
        <v>41264</v>
      </c>
      <c r="S11121" t="s">
        <v>41847</v>
      </c>
      <c r="T11121" t="s">
        <v>42764</v>
      </c>
      <c r="U11121" t="s">
        <v>52120</v>
      </c>
      <c r="V11121" t="s">
        <v>55553</v>
      </c>
      <c r="W11121" t="s">
        <v>39850</v>
      </c>
      <c r="X11121" t="s">
        <v>41265</v>
      </c>
    </row>
    <row r="11122" spans="1:24">
      <c r="A11122">
        <f>HYPERLINK("https://www.philgeps.gov.ph/GEPSNONPILOT/Tender/SplashBidNoticeAbstractUI.aspx?menuIndex=3&amp;refID=7055080&amp;Result=3","7055080")</f>
        <v>0</v>
      </c>
      <c r="B11122" t="s">
        <v>2779</v>
      </c>
      <c r="C11122" t="s">
        <v>14016</v>
      </c>
      <c r="D11122" t="s">
        <v>16664</v>
      </c>
      <c r="E11122" t="s">
        <v>16837</v>
      </c>
      <c r="F11122" t="s">
        <v>28669</v>
      </c>
      <c r="G11122" t="s">
        <v>28675</v>
      </c>
      <c r="H11122" t="s">
        <v>9998</v>
      </c>
      <c r="I11122" t="s">
        <v>28714</v>
      </c>
      <c r="J11122" t="s">
        <v>35668</v>
      </c>
      <c r="K11122" t="s">
        <v>37220</v>
      </c>
      <c r="M11122" t="s">
        <v>40502</v>
      </c>
      <c r="N11122" t="s">
        <v>41249</v>
      </c>
      <c r="O11122" t="s">
        <v>41250</v>
      </c>
      <c r="Q11122">
        <v>25</v>
      </c>
      <c r="R11122" t="s">
        <v>41264</v>
      </c>
      <c r="S11122" t="s">
        <v>41848</v>
      </c>
      <c r="T11122" t="s">
        <v>42755</v>
      </c>
      <c r="U11122" t="s">
        <v>52121</v>
      </c>
      <c r="W11122" t="s">
        <v>40502</v>
      </c>
      <c r="X11122" t="s">
        <v>41265</v>
      </c>
    </row>
    <row r="11123" spans="1:24">
      <c r="A11123">
        <f>HYPERLINK("https://www.philgeps.gov.ph/GEPSNONPILOT/Tender/SplashBidNoticeAbstractUI.aspx?menuIndex=3&amp;refID=7055075&amp;Result=3","7055075")</f>
        <v>0</v>
      </c>
      <c r="B11123" t="s">
        <v>3014</v>
      </c>
      <c r="C11123" t="s">
        <v>14017</v>
      </c>
      <c r="D11123" t="s">
        <v>16624</v>
      </c>
      <c r="E11123" t="s">
        <v>26336</v>
      </c>
      <c r="F11123" t="s">
        <v>28669</v>
      </c>
      <c r="G11123" t="s">
        <v>28675</v>
      </c>
      <c r="H11123" t="s">
        <v>9998</v>
      </c>
      <c r="I11123" t="s">
        <v>7352</v>
      </c>
      <c r="J11123" t="s">
        <v>35669</v>
      </c>
      <c r="K11123" t="s">
        <v>37205</v>
      </c>
      <c r="M11123" t="s">
        <v>40784</v>
      </c>
      <c r="N11123" t="s">
        <v>41249</v>
      </c>
      <c r="O11123" t="s">
        <v>41250</v>
      </c>
      <c r="P11123">
        <v>0</v>
      </c>
      <c r="Q11123">
        <v>1</v>
      </c>
      <c r="R11123" t="s">
        <v>41264</v>
      </c>
      <c r="S11123" t="s">
        <v>41775</v>
      </c>
      <c r="T11123" t="s">
        <v>42687</v>
      </c>
      <c r="U11123" t="s">
        <v>52122</v>
      </c>
      <c r="W11123" t="s">
        <v>40784</v>
      </c>
      <c r="X11123" t="s">
        <v>41265</v>
      </c>
    </row>
    <row r="11124" spans="1:24">
      <c r="A11124">
        <f>HYPERLINK("https://www.philgeps.gov.ph/GEPSNONPILOT/Tender/SplashBidNoticeAbstractUI.aspx?menuIndex=3&amp;refID=7055066&amp;Result=3","7055066")</f>
        <v>0</v>
      </c>
      <c r="B11124" t="s">
        <v>1523</v>
      </c>
      <c r="C11124" t="s">
        <v>14018</v>
      </c>
      <c r="D11124" t="s">
        <v>16633</v>
      </c>
      <c r="E11124" t="s">
        <v>26337</v>
      </c>
      <c r="F11124" t="s">
        <v>28669</v>
      </c>
      <c r="G11124" t="s">
        <v>28675</v>
      </c>
      <c r="H11124" t="s">
        <v>9998</v>
      </c>
      <c r="I11124" t="s">
        <v>28688</v>
      </c>
      <c r="J11124" t="s">
        <v>35670</v>
      </c>
      <c r="K11124" t="s">
        <v>37206</v>
      </c>
      <c r="M11124" t="s">
        <v>39097</v>
      </c>
      <c r="N11124" t="s">
        <v>41249</v>
      </c>
      <c r="O11124" t="s">
        <v>41250</v>
      </c>
      <c r="Q11124">
        <v>7</v>
      </c>
      <c r="R11124" t="s">
        <v>41264</v>
      </c>
      <c r="S11124" t="s">
        <v>41849</v>
      </c>
      <c r="T11124" t="s">
        <v>42687</v>
      </c>
      <c r="U11124" t="s">
        <v>52123</v>
      </c>
      <c r="V11124" t="s">
        <v>54703</v>
      </c>
      <c r="W11124" t="s">
        <v>39097</v>
      </c>
      <c r="X11124" t="s">
        <v>41265</v>
      </c>
    </row>
    <row r="11125" spans="1:24">
      <c r="A11125">
        <f>HYPERLINK("https://www.philgeps.gov.ph/GEPSNONPILOT/Tender/SplashBidNoticeAbstractUI.aspx?menuIndex=3&amp;refID=7054888&amp;Result=3","7054888")</f>
        <v>0</v>
      </c>
      <c r="B11125" t="s">
        <v>550</v>
      </c>
      <c r="C11125" t="s">
        <v>14019</v>
      </c>
      <c r="D11125" t="s">
        <v>16663</v>
      </c>
      <c r="E11125" t="s">
        <v>18887</v>
      </c>
      <c r="F11125" t="s">
        <v>28669</v>
      </c>
      <c r="G11125" t="s">
        <v>28675</v>
      </c>
      <c r="H11125" t="s">
        <v>9998</v>
      </c>
      <c r="I11125" t="s">
        <v>28806</v>
      </c>
      <c r="J11125" t="s">
        <v>35671</v>
      </c>
      <c r="K11125" t="s">
        <v>37220</v>
      </c>
      <c r="M11125" t="s">
        <v>38043</v>
      </c>
      <c r="N11125" t="s">
        <v>41249</v>
      </c>
      <c r="O11125" t="s">
        <v>41250</v>
      </c>
      <c r="P11125">
        <v>0</v>
      </c>
      <c r="Q11125">
        <v>8</v>
      </c>
      <c r="R11125" t="s">
        <v>41264</v>
      </c>
      <c r="S11125" t="s">
        <v>41775</v>
      </c>
      <c r="T11125" t="s">
        <v>42719</v>
      </c>
      <c r="U11125" t="s">
        <v>52124</v>
      </c>
      <c r="V11125" t="s">
        <v>54788</v>
      </c>
      <c r="W11125" t="s">
        <v>38043</v>
      </c>
      <c r="X11125" t="s">
        <v>41265</v>
      </c>
    </row>
    <row r="11126" spans="1:24">
      <c r="A11126">
        <f>HYPERLINK("https://www.philgeps.gov.ph/GEPSNONPILOT/Tender/SplashBidNoticeAbstractUI.aspx?menuIndex=3&amp;refID=7055057&amp;Result=3","7055057")</f>
        <v>0</v>
      </c>
      <c r="B11126" t="s">
        <v>2982</v>
      </c>
      <c r="C11126" t="s">
        <v>14020</v>
      </c>
      <c r="D11126" t="s">
        <v>16616</v>
      </c>
      <c r="E11126" t="s">
        <v>26338</v>
      </c>
      <c r="F11126" t="s">
        <v>28669</v>
      </c>
      <c r="G11126" t="s">
        <v>28675</v>
      </c>
      <c r="H11126" t="s">
        <v>9998</v>
      </c>
      <c r="I11126" t="s">
        <v>3718</v>
      </c>
      <c r="J11126" t="s">
        <v>34968</v>
      </c>
      <c r="K11126" t="s">
        <v>37209</v>
      </c>
      <c r="M11126" t="s">
        <v>40747</v>
      </c>
      <c r="N11126" t="s">
        <v>41249</v>
      </c>
      <c r="O11126" t="s">
        <v>41250</v>
      </c>
      <c r="Q11126">
        <v>5</v>
      </c>
      <c r="R11126" t="s">
        <v>41264</v>
      </c>
      <c r="S11126" t="s">
        <v>41850</v>
      </c>
      <c r="T11126" t="s">
        <v>42764</v>
      </c>
      <c r="U11126" t="s">
        <v>52125</v>
      </c>
      <c r="V11126" t="s">
        <v>55462</v>
      </c>
      <c r="W11126" t="s">
        <v>40747</v>
      </c>
      <c r="X11126" t="s">
        <v>41265</v>
      </c>
    </row>
    <row r="11127" spans="1:24">
      <c r="A11127">
        <f>HYPERLINK("https://www.philgeps.gov.ph/GEPSNONPILOT/Tender/SplashBidNoticeAbstractUI.aspx?menuIndex=3&amp;refID=7055049&amp;Result=3","7055049")</f>
        <v>0</v>
      </c>
      <c r="B11127" t="s">
        <v>2840</v>
      </c>
      <c r="C11127" t="s">
        <v>14021</v>
      </c>
      <c r="D11127" t="s">
        <v>16611</v>
      </c>
      <c r="E11127" t="s">
        <v>26339</v>
      </c>
      <c r="F11127" t="s">
        <v>28669</v>
      </c>
      <c r="G11127" t="s">
        <v>28675</v>
      </c>
      <c r="H11127" t="s">
        <v>9998</v>
      </c>
      <c r="I11127" t="s">
        <v>28714</v>
      </c>
      <c r="J11127" t="s">
        <v>28879</v>
      </c>
      <c r="K11127" t="s">
        <v>37206</v>
      </c>
      <c r="L11127" t="s">
        <v>2840</v>
      </c>
      <c r="M11127" t="s">
        <v>40576</v>
      </c>
      <c r="N11127" t="s">
        <v>41249</v>
      </c>
      <c r="O11127" t="s">
        <v>41250</v>
      </c>
      <c r="P11127">
        <v>0</v>
      </c>
      <c r="Q11127">
        <v>5</v>
      </c>
      <c r="R11127" t="s">
        <v>41264</v>
      </c>
      <c r="S11127" t="s">
        <v>41775</v>
      </c>
      <c r="T11127" t="s">
        <v>42670</v>
      </c>
      <c r="U11127" t="s">
        <v>52126</v>
      </c>
      <c r="W11127" t="s">
        <v>40576</v>
      </c>
      <c r="X11127" t="s">
        <v>41265</v>
      </c>
    </row>
    <row r="11128" spans="1:24">
      <c r="A11128">
        <f>HYPERLINK("https://www.philgeps.gov.ph/GEPSNONPILOT/Tender/SplashBidNoticeAbstractUI.aspx?menuIndex=3&amp;refID=7055039&amp;Result=3","7055039")</f>
        <v>0</v>
      </c>
      <c r="B11128" t="s">
        <v>2764</v>
      </c>
      <c r="C11128" t="s">
        <v>14022</v>
      </c>
      <c r="D11128" t="s">
        <v>16654</v>
      </c>
      <c r="E11128" t="s">
        <v>26340</v>
      </c>
      <c r="F11128" t="s">
        <v>28669</v>
      </c>
      <c r="G11128" t="s">
        <v>28675</v>
      </c>
      <c r="H11128" t="s">
        <v>28686</v>
      </c>
      <c r="I11128" t="s">
        <v>28689</v>
      </c>
      <c r="J11128" t="s">
        <v>34677</v>
      </c>
      <c r="K11128" t="s">
        <v>37390</v>
      </c>
      <c r="M11128" t="s">
        <v>40484</v>
      </c>
      <c r="N11128" t="s">
        <v>41249</v>
      </c>
      <c r="O11128" t="s">
        <v>41250</v>
      </c>
      <c r="P11128">
        <v>0</v>
      </c>
      <c r="Q11128">
        <v>7</v>
      </c>
      <c r="R11128" t="s">
        <v>41264</v>
      </c>
      <c r="S11128" t="s">
        <v>41775</v>
      </c>
      <c r="T11128" t="s">
        <v>42764</v>
      </c>
      <c r="U11128" t="s">
        <v>52127</v>
      </c>
      <c r="V11128" t="s">
        <v>55554</v>
      </c>
      <c r="W11128" t="s">
        <v>40484</v>
      </c>
      <c r="X11128" t="s">
        <v>41265</v>
      </c>
    </row>
    <row r="11129" spans="1:24">
      <c r="A11129">
        <f>HYPERLINK("https://www.philgeps.gov.ph/GEPSNONPILOT/Tender/SplashBidNoticeAbstractUI.aspx?menuIndex=3&amp;refID=7055029&amp;Result=3","7055029")</f>
        <v>0</v>
      </c>
      <c r="B11129" t="s">
        <v>703</v>
      </c>
      <c r="C11129" t="s">
        <v>14023</v>
      </c>
      <c r="E11129" t="s">
        <v>26341</v>
      </c>
      <c r="F11129" t="s">
        <v>28669</v>
      </c>
      <c r="G11129" t="s">
        <v>28676</v>
      </c>
      <c r="H11129" t="s">
        <v>9998</v>
      </c>
      <c r="I11129" t="s">
        <v>28707</v>
      </c>
      <c r="J11129" t="s">
        <v>35672</v>
      </c>
      <c r="K11129" t="s">
        <v>37209</v>
      </c>
      <c r="M11129" t="s">
        <v>40830</v>
      </c>
      <c r="N11129" t="s">
        <v>41249</v>
      </c>
      <c r="O11129" t="s">
        <v>41250</v>
      </c>
      <c r="Q11129">
        <v>3</v>
      </c>
      <c r="R11129" t="s">
        <v>41264</v>
      </c>
      <c r="S11129" t="s">
        <v>41851</v>
      </c>
      <c r="T11129" t="s">
        <v>42821</v>
      </c>
      <c r="U11129" t="s">
        <v>52128</v>
      </c>
      <c r="V11129" t="s">
        <v>55555</v>
      </c>
      <c r="W11129" t="s">
        <v>40830</v>
      </c>
      <c r="X11129" t="s">
        <v>41265</v>
      </c>
    </row>
    <row r="11130" spans="1:24">
      <c r="A11130">
        <f>HYPERLINK("https://www.philgeps.gov.ph/GEPSNONPILOT/Tender/SplashBidNoticeAbstractUI.aspx?menuIndex=3&amp;refID=7055061&amp;Result=3","7055061")</f>
        <v>0</v>
      </c>
      <c r="B11130" t="s">
        <v>1085</v>
      </c>
      <c r="C11130" t="s">
        <v>14024</v>
      </c>
      <c r="D11130" t="s">
        <v>16611</v>
      </c>
      <c r="E11130" t="s">
        <v>26342</v>
      </c>
      <c r="F11130" t="s">
        <v>28669</v>
      </c>
      <c r="G11130" t="s">
        <v>28675</v>
      </c>
      <c r="H11130" t="s">
        <v>28686</v>
      </c>
      <c r="I11130" t="s">
        <v>28689</v>
      </c>
      <c r="J11130" t="s">
        <v>29112</v>
      </c>
      <c r="K11130" t="s">
        <v>37211</v>
      </c>
      <c r="M11130" t="s">
        <v>38617</v>
      </c>
      <c r="N11130" t="s">
        <v>41249</v>
      </c>
      <c r="O11130" t="s">
        <v>41250</v>
      </c>
      <c r="P11130">
        <v>0</v>
      </c>
      <c r="Q11130">
        <v>2</v>
      </c>
      <c r="R11130" t="s">
        <v>41264</v>
      </c>
      <c r="S11130" t="s">
        <v>41775</v>
      </c>
      <c r="T11130" t="s">
        <v>42720</v>
      </c>
      <c r="U11130" t="s">
        <v>52129</v>
      </c>
      <c r="W11130" t="s">
        <v>38617</v>
      </c>
      <c r="X11130" t="s">
        <v>41265</v>
      </c>
    </row>
    <row r="11131" spans="1:24">
      <c r="A11131">
        <f>HYPERLINK("https://www.philgeps.gov.ph/GEPSNONPILOT/Tender/SplashBidNoticeAbstractUI.aspx?menuIndex=3&amp;refID=7055021&amp;Result=3","7055021")</f>
        <v>0</v>
      </c>
      <c r="B11131" t="s">
        <v>267</v>
      </c>
      <c r="C11131" t="s">
        <v>14025</v>
      </c>
      <c r="D11131" t="s">
        <v>16679</v>
      </c>
      <c r="E11131" t="s">
        <v>26343</v>
      </c>
      <c r="F11131" t="s">
        <v>28669</v>
      </c>
      <c r="G11131" t="s">
        <v>28675</v>
      </c>
      <c r="H11131" t="s">
        <v>9998</v>
      </c>
      <c r="I11131" t="s">
        <v>28728</v>
      </c>
      <c r="J11131" t="s">
        <v>28823</v>
      </c>
      <c r="K11131" t="s">
        <v>37206</v>
      </c>
      <c r="M11131" t="s">
        <v>38099</v>
      </c>
      <c r="N11131" t="s">
        <v>41249</v>
      </c>
      <c r="O11131" t="s">
        <v>41250</v>
      </c>
      <c r="P11131">
        <v>0</v>
      </c>
      <c r="Q11131">
        <v>0</v>
      </c>
      <c r="R11131" t="s">
        <v>41264</v>
      </c>
      <c r="S11131" t="s">
        <v>41775</v>
      </c>
      <c r="T11131" t="s">
        <v>42658</v>
      </c>
      <c r="U11131" t="s">
        <v>43621</v>
      </c>
      <c r="V11131" t="s">
        <v>55428</v>
      </c>
      <c r="W11131" t="s">
        <v>55924</v>
      </c>
      <c r="X11131" t="s">
        <v>41265</v>
      </c>
    </row>
    <row r="11132" spans="1:24">
      <c r="A11132">
        <f>HYPERLINK("https://www.philgeps.gov.ph/GEPSNONPILOT/Tender/SplashBidNoticeAbstractUI.aspx?menuIndex=3&amp;refID=7055009&amp;Result=3","7055009")</f>
        <v>0</v>
      </c>
      <c r="B11132" t="s">
        <v>2840</v>
      </c>
      <c r="C11132" t="s">
        <v>14026</v>
      </c>
      <c r="D11132" t="s">
        <v>16611</v>
      </c>
      <c r="E11132" t="s">
        <v>26344</v>
      </c>
      <c r="F11132" t="s">
        <v>28669</v>
      </c>
      <c r="G11132" t="s">
        <v>28675</v>
      </c>
      <c r="H11132" t="s">
        <v>9998</v>
      </c>
      <c r="I11132" t="s">
        <v>28690</v>
      </c>
      <c r="J11132" t="s">
        <v>28877</v>
      </c>
      <c r="K11132" t="s">
        <v>37206</v>
      </c>
      <c r="L11132" t="s">
        <v>2840</v>
      </c>
      <c r="M11132" t="s">
        <v>40576</v>
      </c>
      <c r="N11132" t="s">
        <v>41249</v>
      </c>
      <c r="O11132" t="s">
        <v>41250</v>
      </c>
      <c r="P11132">
        <v>0</v>
      </c>
      <c r="Q11132">
        <v>7</v>
      </c>
      <c r="R11132" t="s">
        <v>41264</v>
      </c>
      <c r="S11132" t="s">
        <v>41775</v>
      </c>
      <c r="T11132" t="s">
        <v>42670</v>
      </c>
      <c r="U11132" t="s">
        <v>52130</v>
      </c>
      <c r="W11132" t="s">
        <v>40576</v>
      </c>
      <c r="X11132" t="s">
        <v>41265</v>
      </c>
    </row>
    <row r="11133" spans="1:24">
      <c r="A11133">
        <f>HYPERLINK("https://www.philgeps.gov.ph/GEPSNONPILOT/Tender/SplashBidNoticeAbstractUI.aspx?menuIndex=3&amp;refID=7055008&amp;Result=3","7055008")</f>
        <v>0</v>
      </c>
      <c r="B11133" t="s">
        <v>3060</v>
      </c>
      <c r="C11133" t="s">
        <v>14027</v>
      </c>
      <c r="D11133" t="s">
        <v>16622</v>
      </c>
      <c r="E11133" t="s">
        <v>26345</v>
      </c>
      <c r="F11133" t="s">
        <v>28669</v>
      </c>
      <c r="G11133" t="s">
        <v>28675</v>
      </c>
      <c r="H11133" t="s">
        <v>9998</v>
      </c>
      <c r="I11133" t="s">
        <v>28688</v>
      </c>
      <c r="J11133" t="s">
        <v>35673</v>
      </c>
      <c r="K11133" t="s">
        <v>37205</v>
      </c>
      <c r="M11133" t="s">
        <v>40841</v>
      </c>
      <c r="N11133" t="s">
        <v>41249</v>
      </c>
      <c r="O11133" t="s">
        <v>41250</v>
      </c>
      <c r="P11133">
        <v>0</v>
      </c>
      <c r="Q11133">
        <v>10</v>
      </c>
      <c r="R11133" t="s">
        <v>41264</v>
      </c>
      <c r="S11133" t="s">
        <v>41775</v>
      </c>
      <c r="T11133" t="s">
        <v>42836</v>
      </c>
      <c r="U11133" t="s">
        <v>52131</v>
      </c>
      <c r="W11133" t="s">
        <v>40841</v>
      </c>
      <c r="X11133" t="s">
        <v>41265</v>
      </c>
    </row>
    <row r="11134" spans="1:24">
      <c r="A11134">
        <f>HYPERLINK("https://www.philgeps.gov.ph/GEPSNONPILOT/Tender/SplashBidNoticeAbstractUI.aspx?menuIndex=3&amp;refID=7055005&amp;Result=3","7055005")</f>
        <v>0</v>
      </c>
      <c r="B11134" t="s">
        <v>2764</v>
      </c>
      <c r="C11134" t="s">
        <v>14028</v>
      </c>
      <c r="D11134" t="s">
        <v>16654</v>
      </c>
      <c r="E11134" t="s">
        <v>26346</v>
      </c>
      <c r="F11134" t="s">
        <v>28669</v>
      </c>
      <c r="G11134" t="s">
        <v>28675</v>
      </c>
      <c r="H11134" t="s">
        <v>28686</v>
      </c>
      <c r="I11134" t="s">
        <v>28689</v>
      </c>
      <c r="J11134" t="s">
        <v>32902</v>
      </c>
      <c r="K11134" t="s">
        <v>37458</v>
      </c>
      <c r="M11134" t="s">
        <v>40484</v>
      </c>
      <c r="N11134" t="s">
        <v>41249</v>
      </c>
      <c r="O11134" t="s">
        <v>41250</v>
      </c>
      <c r="Q11134">
        <v>7</v>
      </c>
      <c r="R11134" t="s">
        <v>41264</v>
      </c>
      <c r="S11134" t="s">
        <v>41852</v>
      </c>
      <c r="T11134" t="s">
        <v>42764</v>
      </c>
      <c r="U11134" t="s">
        <v>52132</v>
      </c>
      <c r="V11134" t="s">
        <v>55556</v>
      </c>
      <c r="W11134" t="s">
        <v>40484</v>
      </c>
      <c r="X11134" t="s">
        <v>41265</v>
      </c>
    </row>
    <row r="11135" spans="1:24">
      <c r="A11135">
        <f>HYPERLINK("https://www.philgeps.gov.ph/GEPSNONPILOT/Tender/SplashBidNoticeAbstractUI.aspx?menuIndex=3&amp;refID=7054990&amp;Result=3","7054990")</f>
        <v>0</v>
      </c>
      <c r="B11135" t="s">
        <v>3061</v>
      </c>
      <c r="C11135" t="s">
        <v>14029</v>
      </c>
      <c r="D11135" t="s">
        <v>16623</v>
      </c>
      <c r="E11135" t="s">
        <v>26347</v>
      </c>
      <c r="F11135" t="s">
        <v>28669</v>
      </c>
      <c r="G11135" t="s">
        <v>28675</v>
      </c>
      <c r="H11135" t="s">
        <v>28686</v>
      </c>
      <c r="I11135" t="s">
        <v>28689</v>
      </c>
      <c r="J11135" t="s">
        <v>35674</v>
      </c>
      <c r="K11135" t="s">
        <v>37211</v>
      </c>
      <c r="M11135" t="s">
        <v>40842</v>
      </c>
      <c r="N11135" t="s">
        <v>41249</v>
      </c>
      <c r="O11135" t="s">
        <v>41250</v>
      </c>
      <c r="P11135">
        <v>0</v>
      </c>
      <c r="Q11135">
        <v>2</v>
      </c>
      <c r="R11135" t="s">
        <v>41264</v>
      </c>
      <c r="S11135" t="s">
        <v>41775</v>
      </c>
      <c r="T11135" t="s">
        <v>42667</v>
      </c>
      <c r="U11135" t="s">
        <v>52133</v>
      </c>
      <c r="W11135" t="s">
        <v>40842</v>
      </c>
      <c r="X11135" t="s">
        <v>41265</v>
      </c>
    </row>
    <row r="11136" spans="1:24">
      <c r="A11136">
        <f>HYPERLINK("https://www.philgeps.gov.ph/GEPSNONPILOT/Tender/SplashBidNoticeAbstractUI.aspx?menuIndex=3&amp;refID=7054989&amp;Result=3","7054989")</f>
        <v>0</v>
      </c>
      <c r="B11136" t="s">
        <v>221</v>
      </c>
      <c r="C11136" t="s">
        <v>14030</v>
      </c>
      <c r="E11136" t="s">
        <v>26348</v>
      </c>
      <c r="F11136" t="s">
        <v>28669</v>
      </c>
      <c r="G11136" t="s">
        <v>28675</v>
      </c>
      <c r="H11136" t="s">
        <v>9998</v>
      </c>
      <c r="I11136" t="s">
        <v>28689</v>
      </c>
      <c r="J11136" t="s">
        <v>35675</v>
      </c>
      <c r="K11136" t="s">
        <v>37209</v>
      </c>
      <c r="M11136" t="s">
        <v>37699</v>
      </c>
      <c r="N11136" t="s">
        <v>41249</v>
      </c>
      <c r="O11136" t="s">
        <v>41250</v>
      </c>
      <c r="P11136">
        <v>0</v>
      </c>
      <c r="Q11136">
        <v>0</v>
      </c>
      <c r="R11136" t="s">
        <v>41264</v>
      </c>
      <c r="S11136" t="s">
        <v>41775</v>
      </c>
      <c r="T11136" t="s">
        <v>42671</v>
      </c>
      <c r="U11136" t="s">
        <v>52134</v>
      </c>
      <c r="W11136" t="s">
        <v>37699</v>
      </c>
      <c r="X11136" t="s">
        <v>41265</v>
      </c>
    </row>
    <row r="11137" spans="1:24">
      <c r="A11137">
        <f>HYPERLINK("https://www.philgeps.gov.ph/GEPSNONPILOT/Tender/SplashBidNoticeAbstractUI.aspx?menuIndex=3&amp;refID=7055036&amp;Result=3","7055036")</f>
        <v>0</v>
      </c>
      <c r="B11137" t="s">
        <v>3057</v>
      </c>
      <c r="C11137" t="s">
        <v>14031</v>
      </c>
      <c r="D11137" t="s">
        <v>16621</v>
      </c>
      <c r="E11137" t="s">
        <v>26349</v>
      </c>
      <c r="F11137" t="s">
        <v>28669</v>
      </c>
      <c r="G11137" t="s">
        <v>28675</v>
      </c>
      <c r="H11137" t="s">
        <v>28686</v>
      </c>
      <c r="I11137" t="s">
        <v>28689</v>
      </c>
      <c r="J11137" t="s">
        <v>35676</v>
      </c>
      <c r="K11137" t="s">
        <v>37315</v>
      </c>
      <c r="M11137" t="s">
        <v>40838</v>
      </c>
      <c r="N11137" t="s">
        <v>41249</v>
      </c>
      <c r="O11137" t="s">
        <v>41250</v>
      </c>
      <c r="P11137">
        <v>0</v>
      </c>
      <c r="Q11137">
        <v>1</v>
      </c>
      <c r="R11137" t="s">
        <v>41264</v>
      </c>
      <c r="S11137" t="s">
        <v>41775</v>
      </c>
      <c r="T11137" t="s">
        <v>42690</v>
      </c>
      <c r="U11137" t="s">
        <v>52135</v>
      </c>
      <c r="W11137" t="s">
        <v>40838</v>
      </c>
      <c r="X11137" t="s">
        <v>41265</v>
      </c>
    </row>
    <row r="11138" spans="1:24">
      <c r="A11138">
        <f>HYPERLINK("https://www.philgeps.gov.ph/GEPSNONPILOT/Tender/SplashBidNoticeAbstractUI.aspx?menuIndex=3&amp;refID=7054870&amp;Result=3","7054870")</f>
        <v>0</v>
      </c>
      <c r="B11138" t="s">
        <v>2840</v>
      </c>
      <c r="C11138" t="s">
        <v>14032</v>
      </c>
      <c r="D11138" t="s">
        <v>16611</v>
      </c>
      <c r="E11138" t="s">
        <v>26350</v>
      </c>
      <c r="F11138" t="s">
        <v>28669</v>
      </c>
      <c r="G11138" t="s">
        <v>28675</v>
      </c>
      <c r="H11138" t="s">
        <v>9998</v>
      </c>
      <c r="I11138" t="s">
        <v>28699</v>
      </c>
      <c r="J11138" t="s">
        <v>35677</v>
      </c>
      <c r="K11138" t="s">
        <v>37206</v>
      </c>
      <c r="L11138" t="s">
        <v>2840</v>
      </c>
      <c r="M11138" t="s">
        <v>40576</v>
      </c>
      <c r="N11138" t="s">
        <v>41249</v>
      </c>
      <c r="O11138" t="s">
        <v>41250</v>
      </c>
      <c r="P11138">
        <v>0</v>
      </c>
      <c r="Q11138">
        <v>1</v>
      </c>
      <c r="R11138" t="s">
        <v>41264</v>
      </c>
      <c r="S11138" t="s">
        <v>41775</v>
      </c>
      <c r="T11138" t="s">
        <v>42702</v>
      </c>
      <c r="U11138" t="s">
        <v>52136</v>
      </c>
      <c r="W11138" t="s">
        <v>40576</v>
      </c>
      <c r="X11138" t="s">
        <v>41265</v>
      </c>
    </row>
    <row r="11139" spans="1:24">
      <c r="A11139">
        <f>HYPERLINK("https://www.philgeps.gov.ph/GEPSNONPILOT/Tender/SplashBidNoticeAbstractUI.aspx?menuIndex=3&amp;refID=7054893&amp;Result=3","7054893")</f>
        <v>0</v>
      </c>
      <c r="B11139" t="s">
        <v>267</v>
      </c>
      <c r="C11139" t="s">
        <v>14033</v>
      </c>
      <c r="D11139" t="s">
        <v>16679</v>
      </c>
      <c r="E11139" t="s">
        <v>26351</v>
      </c>
      <c r="F11139" t="s">
        <v>28669</v>
      </c>
      <c r="G11139" t="s">
        <v>28675</v>
      </c>
      <c r="H11139" t="s">
        <v>28686</v>
      </c>
      <c r="I11139" t="s">
        <v>28689</v>
      </c>
      <c r="J11139" t="s">
        <v>28847</v>
      </c>
      <c r="K11139" t="s">
        <v>37213</v>
      </c>
      <c r="M11139" t="s">
        <v>38099</v>
      </c>
      <c r="N11139" t="s">
        <v>41249</v>
      </c>
      <c r="O11139" t="s">
        <v>41250</v>
      </c>
      <c r="P11139">
        <v>0</v>
      </c>
      <c r="Q11139">
        <v>20</v>
      </c>
      <c r="R11139" t="s">
        <v>41264</v>
      </c>
      <c r="S11139" t="s">
        <v>41775</v>
      </c>
      <c r="T11139" t="s">
        <v>42658</v>
      </c>
      <c r="U11139" t="s">
        <v>43621</v>
      </c>
      <c r="V11139" t="s">
        <v>55428</v>
      </c>
      <c r="W11139" t="s">
        <v>55924</v>
      </c>
      <c r="X11139" t="s">
        <v>41265</v>
      </c>
    </row>
    <row r="11140" spans="1:24">
      <c r="A11140">
        <f>HYPERLINK("https://www.philgeps.gov.ph/GEPSNONPILOT/Tender/SplashBidNoticeAbstractUI.aspx?menuIndex=3&amp;refID=7054866&amp;Result=3","7054866")</f>
        <v>0</v>
      </c>
      <c r="B11140" t="s">
        <v>2558</v>
      </c>
      <c r="C11140" t="s">
        <v>14034</v>
      </c>
      <c r="D11140" t="s">
        <v>16618</v>
      </c>
      <c r="E11140" t="s">
        <v>26352</v>
      </c>
      <c r="F11140" t="s">
        <v>28669</v>
      </c>
      <c r="G11140" t="s">
        <v>28675</v>
      </c>
      <c r="H11140" t="s">
        <v>28686</v>
      </c>
      <c r="I11140" t="s">
        <v>28689</v>
      </c>
      <c r="J11140" t="s">
        <v>30289</v>
      </c>
      <c r="K11140" t="s">
        <v>37213</v>
      </c>
      <c r="L11140" t="s">
        <v>2558</v>
      </c>
      <c r="M11140" t="s">
        <v>40832</v>
      </c>
      <c r="N11140" t="s">
        <v>41249</v>
      </c>
      <c r="O11140" t="s">
        <v>41250</v>
      </c>
      <c r="P11140">
        <v>0</v>
      </c>
      <c r="Q11140">
        <v>1</v>
      </c>
      <c r="R11140" t="s">
        <v>41264</v>
      </c>
      <c r="S11140" t="s">
        <v>41775</v>
      </c>
      <c r="T11140" t="s">
        <v>42697</v>
      </c>
      <c r="U11140" t="s">
        <v>52096</v>
      </c>
      <c r="W11140" t="s">
        <v>40832</v>
      </c>
      <c r="X11140" t="s">
        <v>41265</v>
      </c>
    </row>
    <row r="11141" spans="1:24">
      <c r="A11141">
        <f>HYPERLINK("https://www.philgeps.gov.ph/GEPSNONPILOT/Tender/SplashBidNoticeAbstractUI.aspx?menuIndex=3&amp;refID=7054851&amp;Result=3","7054851")</f>
        <v>0</v>
      </c>
      <c r="B11141" t="s">
        <v>1331</v>
      </c>
      <c r="C11141" t="s">
        <v>14035</v>
      </c>
      <c r="D11141" t="s">
        <v>16634</v>
      </c>
      <c r="E11141" t="s">
        <v>26353</v>
      </c>
      <c r="F11141" t="s">
        <v>28669</v>
      </c>
      <c r="G11141" t="s">
        <v>28675</v>
      </c>
      <c r="H11141" t="s">
        <v>9998</v>
      </c>
      <c r="I11141" t="s">
        <v>28687</v>
      </c>
      <c r="J11141" t="s">
        <v>35678</v>
      </c>
      <c r="K11141" t="s">
        <v>37220</v>
      </c>
      <c r="L11141" t="s">
        <v>1331</v>
      </c>
      <c r="M11141" t="s">
        <v>38885</v>
      </c>
      <c r="N11141" t="s">
        <v>41249</v>
      </c>
      <c r="O11141" t="s">
        <v>41250</v>
      </c>
      <c r="Q11141">
        <v>8</v>
      </c>
      <c r="R11141" t="s">
        <v>41264</v>
      </c>
      <c r="S11141" t="s">
        <v>41853</v>
      </c>
      <c r="T11141" t="s">
        <v>43000</v>
      </c>
      <c r="U11141" t="s">
        <v>52137</v>
      </c>
      <c r="W11141" t="s">
        <v>38885</v>
      </c>
      <c r="X11141" t="s">
        <v>41265</v>
      </c>
    </row>
    <row r="11142" spans="1:24">
      <c r="A11142">
        <f>HYPERLINK("https://www.philgeps.gov.ph/GEPSNONPILOT/Tender/SplashBidNoticeAbstractUI.aspx?menuIndex=3&amp;refID=7054750&amp;Result=3","7054750")</f>
        <v>0</v>
      </c>
      <c r="B11142" t="s">
        <v>2558</v>
      </c>
      <c r="C11142" t="s">
        <v>14036</v>
      </c>
      <c r="D11142" t="s">
        <v>16618</v>
      </c>
      <c r="E11142" t="s">
        <v>26354</v>
      </c>
      <c r="F11142" t="s">
        <v>28669</v>
      </c>
      <c r="G11142" t="s">
        <v>28675</v>
      </c>
      <c r="H11142" t="s">
        <v>28686</v>
      </c>
      <c r="I11142" t="s">
        <v>28689</v>
      </c>
      <c r="J11142" t="s">
        <v>30146</v>
      </c>
      <c r="K11142" t="s">
        <v>37212</v>
      </c>
      <c r="L11142" t="s">
        <v>2558</v>
      </c>
      <c r="M11142" t="s">
        <v>40832</v>
      </c>
      <c r="N11142" t="s">
        <v>41249</v>
      </c>
      <c r="O11142" t="s">
        <v>41250</v>
      </c>
      <c r="P11142">
        <v>0</v>
      </c>
      <c r="Q11142">
        <v>4</v>
      </c>
      <c r="R11142" t="s">
        <v>41264</v>
      </c>
      <c r="S11142" t="s">
        <v>41775</v>
      </c>
      <c r="T11142" t="s">
        <v>42697</v>
      </c>
      <c r="U11142" t="s">
        <v>52096</v>
      </c>
      <c r="W11142" t="s">
        <v>40832</v>
      </c>
      <c r="X11142" t="s">
        <v>41265</v>
      </c>
    </row>
    <row r="11143" spans="1:24">
      <c r="A11143">
        <f>HYPERLINK("https://www.philgeps.gov.ph/GEPSNONPILOT/Tender/SplashBidNoticeAbstractUI.aspx?menuIndex=3&amp;refID=7054748&amp;Result=3","7054748")</f>
        <v>0</v>
      </c>
      <c r="B11143" t="s">
        <v>1188</v>
      </c>
      <c r="C11143" t="s">
        <v>14037</v>
      </c>
      <c r="D11143" t="s">
        <v>16642</v>
      </c>
      <c r="E11143" t="s">
        <v>26355</v>
      </c>
      <c r="F11143" t="s">
        <v>28669</v>
      </c>
      <c r="G11143" t="s">
        <v>28675</v>
      </c>
      <c r="H11143" t="s">
        <v>28686</v>
      </c>
      <c r="I11143" t="s">
        <v>28689</v>
      </c>
      <c r="J11143" t="s">
        <v>28924</v>
      </c>
      <c r="K11143" t="s">
        <v>37209</v>
      </c>
      <c r="M11143" t="s">
        <v>40843</v>
      </c>
      <c r="N11143" t="s">
        <v>41249</v>
      </c>
      <c r="O11143" t="s">
        <v>41250</v>
      </c>
      <c r="P11143">
        <v>0</v>
      </c>
      <c r="Q11143">
        <v>0</v>
      </c>
      <c r="R11143" t="s">
        <v>41264</v>
      </c>
      <c r="S11143" t="s">
        <v>41775</v>
      </c>
      <c r="T11143" t="s">
        <v>43121</v>
      </c>
      <c r="U11143" t="s">
        <v>52138</v>
      </c>
      <c r="V11143" t="s">
        <v>55557</v>
      </c>
      <c r="W11143" t="s">
        <v>38728</v>
      </c>
      <c r="X11143" t="s">
        <v>41265</v>
      </c>
    </row>
    <row r="11144" spans="1:24">
      <c r="A11144">
        <f>HYPERLINK("https://www.philgeps.gov.ph/GEPSNONPILOT/Tender/SplashBidNoticeAbstractUI.aspx?menuIndex=3&amp;refID=7054739&amp;Result=3","7054739")</f>
        <v>0</v>
      </c>
      <c r="B11144" t="s">
        <v>628</v>
      </c>
      <c r="C11144" t="s">
        <v>14038</v>
      </c>
      <c r="D11144" t="s">
        <v>16621</v>
      </c>
      <c r="E11144" t="s">
        <v>26356</v>
      </c>
      <c r="F11144" t="s">
        <v>28669</v>
      </c>
      <c r="G11144" t="s">
        <v>28675</v>
      </c>
      <c r="H11144" t="s">
        <v>28686</v>
      </c>
      <c r="I11144" t="s">
        <v>28689</v>
      </c>
      <c r="J11144" t="s">
        <v>28881</v>
      </c>
      <c r="K11144" t="s">
        <v>37220</v>
      </c>
      <c r="M11144" t="s">
        <v>38128</v>
      </c>
      <c r="N11144" t="s">
        <v>41249</v>
      </c>
      <c r="O11144" t="s">
        <v>41250</v>
      </c>
      <c r="P11144">
        <v>0</v>
      </c>
      <c r="Q11144">
        <v>2</v>
      </c>
      <c r="R11144" t="s">
        <v>41264</v>
      </c>
      <c r="S11144" t="s">
        <v>41775</v>
      </c>
      <c r="T11144" t="s">
        <v>42726</v>
      </c>
      <c r="U11144" t="s">
        <v>52139</v>
      </c>
      <c r="V11144" t="s">
        <v>54406</v>
      </c>
      <c r="W11144" t="s">
        <v>38128</v>
      </c>
      <c r="X11144" t="s">
        <v>41265</v>
      </c>
    </row>
    <row r="11145" spans="1:24">
      <c r="A11145">
        <f>HYPERLINK("https://www.philgeps.gov.ph/GEPSNONPILOT/Tender/SplashBidNoticeAbstractUI.aspx?menuIndex=3&amp;refID=7054737&amp;Result=3","7054737")</f>
        <v>0</v>
      </c>
      <c r="B11145" t="s">
        <v>2517</v>
      </c>
      <c r="C11145" t="s">
        <v>14039</v>
      </c>
      <c r="D11145" t="s">
        <v>16674</v>
      </c>
      <c r="E11145" t="s">
        <v>20903</v>
      </c>
      <c r="F11145" t="s">
        <v>28669</v>
      </c>
      <c r="G11145" t="s">
        <v>28675</v>
      </c>
      <c r="H11145" t="s">
        <v>9998</v>
      </c>
      <c r="I11145" t="s">
        <v>28773</v>
      </c>
      <c r="J11145" t="s">
        <v>35679</v>
      </c>
      <c r="K11145" t="s">
        <v>37205</v>
      </c>
      <c r="M11145" t="s">
        <v>40205</v>
      </c>
      <c r="N11145" t="s">
        <v>41249</v>
      </c>
      <c r="O11145" t="s">
        <v>41250</v>
      </c>
      <c r="P11145">
        <v>0</v>
      </c>
      <c r="Q11145">
        <v>2</v>
      </c>
      <c r="R11145" t="s">
        <v>41264</v>
      </c>
      <c r="S11145" t="s">
        <v>41775</v>
      </c>
      <c r="T11145" t="s">
        <v>42678</v>
      </c>
      <c r="U11145" t="s">
        <v>51741</v>
      </c>
      <c r="W11145" t="s">
        <v>40205</v>
      </c>
      <c r="X11145" t="s">
        <v>41265</v>
      </c>
    </row>
    <row r="11146" spans="1:24">
      <c r="A11146">
        <f>HYPERLINK("https://www.philgeps.gov.ph/GEPSNONPILOT/Tender/SplashBidNoticeAbstractUI.aspx?menuIndex=3&amp;refID=7054853&amp;Result=3","7054853")</f>
        <v>0</v>
      </c>
      <c r="B11146" t="s">
        <v>2558</v>
      </c>
      <c r="C11146" t="s">
        <v>14040</v>
      </c>
      <c r="D11146" t="s">
        <v>16618</v>
      </c>
      <c r="E11146" t="s">
        <v>26357</v>
      </c>
      <c r="F11146" t="s">
        <v>28669</v>
      </c>
      <c r="G11146" t="s">
        <v>28675</v>
      </c>
      <c r="H11146" t="s">
        <v>28686</v>
      </c>
      <c r="I11146" t="s">
        <v>28689</v>
      </c>
      <c r="J11146" t="s">
        <v>32463</v>
      </c>
      <c r="K11146" t="s">
        <v>37215</v>
      </c>
      <c r="L11146" t="s">
        <v>2558</v>
      </c>
      <c r="M11146" t="s">
        <v>40832</v>
      </c>
      <c r="N11146" t="s">
        <v>41249</v>
      </c>
      <c r="O11146" t="s">
        <v>41250</v>
      </c>
      <c r="P11146">
        <v>0</v>
      </c>
      <c r="Q11146">
        <v>2</v>
      </c>
      <c r="R11146" t="s">
        <v>41264</v>
      </c>
      <c r="S11146" t="s">
        <v>41775</v>
      </c>
      <c r="T11146" t="s">
        <v>42697</v>
      </c>
      <c r="U11146" t="s">
        <v>52096</v>
      </c>
      <c r="W11146" t="s">
        <v>40832</v>
      </c>
      <c r="X11146" t="s">
        <v>41265</v>
      </c>
    </row>
    <row r="11147" spans="1:24">
      <c r="A11147">
        <f>HYPERLINK("https://www.philgeps.gov.ph/GEPSNONPILOT/Tender/SplashBidNoticeAbstractUI.aspx?menuIndex=3&amp;refID=7054690&amp;Result=3","7054690")</f>
        <v>0</v>
      </c>
      <c r="B11147" t="s">
        <v>411</v>
      </c>
      <c r="C11147" t="s">
        <v>14041</v>
      </c>
      <c r="D11147" t="s">
        <v>16616</v>
      </c>
      <c r="E11147" t="s">
        <v>26358</v>
      </c>
      <c r="F11147" t="s">
        <v>28669</v>
      </c>
      <c r="G11147" t="s">
        <v>28676</v>
      </c>
      <c r="H11147" t="s">
        <v>9998</v>
      </c>
      <c r="I11147" t="s">
        <v>28688</v>
      </c>
      <c r="J11147" t="s">
        <v>35680</v>
      </c>
      <c r="K11147" t="s">
        <v>37205</v>
      </c>
      <c r="M11147" t="s">
        <v>39337</v>
      </c>
      <c r="N11147" t="s">
        <v>41249</v>
      </c>
      <c r="O11147" t="s">
        <v>41250</v>
      </c>
      <c r="Q11147">
        <v>3</v>
      </c>
      <c r="R11147" t="s">
        <v>41264</v>
      </c>
      <c r="S11147" t="s">
        <v>41854</v>
      </c>
      <c r="T11147" t="s">
        <v>42706</v>
      </c>
      <c r="U11147" t="s">
        <v>52140</v>
      </c>
      <c r="W11147" t="s">
        <v>39337</v>
      </c>
      <c r="X11147" t="s">
        <v>41265</v>
      </c>
    </row>
    <row r="11148" spans="1:24">
      <c r="A11148">
        <f>HYPERLINK("https://www.philgeps.gov.ph/GEPSNONPILOT/Tender/SplashBidNoticeAbstractUI.aspx?menuIndex=3&amp;refID=7054764&amp;Result=3","7054764")</f>
        <v>0</v>
      </c>
      <c r="B11148" t="s">
        <v>1813</v>
      </c>
      <c r="C11148" t="s">
        <v>14042</v>
      </c>
      <c r="E11148" t="s">
        <v>26359</v>
      </c>
      <c r="F11148" t="s">
        <v>28669</v>
      </c>
      <c r="G11148" t="s">
        <v>28675</v>
      </c>
      <c r="H11148" t="s">
        <v>9998</v>
      </c>
      <c r="I11148" t="s">
        <v>28777</v>
      </c>
      <c r="J11148" t="s">
        <v>35681</v>
      </c>
      <c r="K11148" t="s">
        <v>37209</v>
      </c>
      <c r="M11148" t="s">
        <v>39423</v>
      </c>
      <c r="N11148" t="s">
        <v>41249</v>
      </c>
      <c r="O11148" t="s">
        <v>41250</v>
      </c>
      <c r="P11148">
        <v>0</v>
      </c>
      <c r="Q11148">
        <v>5</v>
      </c>
      <c r="R11148" t="s">
        <v>41264</v>
      </c>
      <c r="S11148" t="s">
        <v>41775</v>
      </c>
      <c r="T11148" t="s">
        <v>42736</v>
      </c>
      <c r="U11148" t="s">
        <v>52141</v>
      </c>
      <c r="V11148" t="s">
        <v>55558</v>
      </c>
      <c r="W11148" t="s">
        <v>39423</v>
      </c>
      <c r="X11148" t="s">
        <v>41265</v>
      </c>
    </row>
    <row r="11149" spans="1:24">
      <c r="A11149">
        <f>HYPERLINK("https://www.philgeps.gov.ph/GEPSNONPILOT/Tender/SplashBidNoticeAbstractUI.aspx?menuIndex=3&amp;refID=7054305&amp;Result=3","7054305")</f>
        <v>0</v>
      </c>
      <c r="B11149" t="s">
        <v>2122</v>
      </c>
      <c r="C11149" t="s">
        <v>14043</v>
      </c>
      <c r="D11149" t="s">
        <v>16632</v>
      </c>
      <c r="E11149" t="s">
        <v>26360</v>
      </c>
      <c r="F11149" t="s">
        <v>28669</v>
      </c>
      <c r="G11149" t="s">
        <v>28675</v>
      </c>
      <c r="H11149" t="s">
        <v>9998</v>
      </c>
      <c r="I11149" t="s">
        <v>28697</v>
      </c>
      <c r="J11149" t="s">
        <v>35682</v>
      </c>
      <c r="K11149" t="s">
        <v>37209</v>
      </c>
      <c r="M11149" t="s">
        <v>39766</v>
      </c>
      <c r="N11149" t="s">
        <v>41249</v>
      </c>
      <c r="O11149" t="s">
        <v>41250</v>
      </c>
      <c r="P11149">
        <v>0</v>
      </c>
      <c r="Q11149">
        <v>11</v>
      </c>
      <c r="R11149" t="s">
        <v>41264</v>
      </c>
      <c r="S11149" t="s">
        <v>41775</v>
      </c>
      <c r="T11149" t="s">
        <v>42744</v>
      </c>
      <c r="U11149" t="s">
        <v>52142</v>
      </c>
      <c r="W11149" t="s">
        <v>39766</v>
      </c>
      <c r="X11149" t="s">
        <v>41265</v>
      </c>
    </row>
    <row r="11150" spans="1:24">
      <c r="A11150">
        <f>HYPERLINK("https://www.philgeps.gov.ph/GEPSNONPILOT/Tender/SplashBidNoticeAbstractUI.aspx?menuIndex=3&amp;refID=7053006&amp;Result=3","7053006")</f>
        <v>0</v>
      </c>
      <c r="B11150" t="s">
        <v>715</v>
      </c>
      <c r="C11150" t="s">
        <v>14044</v>
      </c>
      <c r="D11150" t="s">
        <v>16622</v>
      </c>
      <c r="E11150" t="s">
        <v>17609</v>
      </c>
      <c r="F11150" t="s">
        <v>28669</v>
      </c>
      <c r="G11150" t="s">
        <v>28675</v>
      </c>
      <c r="H11150" t="s">
        <v>9998</v>
      </c>
      <c r="I11150" t="s">
        <v>28706</v>
      </c>
      <c r="J11150" t="s">
        <v>35683</v>
      </c>
      <c r="K11150" t="s">
        <v>37221</v>
      </c>
      <c r="M11150" t="s">
        <v>40430</v>
      </c>
      <c r="N11150" t="s">
        <v>41249</v>
      </c>
      <c r="O11150" t="s">
        <v>41250</v>
      </c>
      <c r="P11150">
        <v>0</v>
      </c>
      <c r="Q11150">
        <v>3</v>
      </c>
      <c r="R11150" t="s">
        <v>41264</v>
      </c>
      <c r="S11150" t="s">
        <v>41775</v>
      </c>
      <c r="T11150" t="s">
        <v>42762</v>
      </c>
      <c r="U11150" t="s">
        <v>52143</v>
      </c>
      <c r="V11150" t="s">
        <v>55272</v>
      </c>
      <c r="W11150" t="s">
        <v>40430</v>
      </c>
      <c r="X11150" t="s">
        <v>41265</v>
      </c>
    </row>
    <row r="11151" spans="1:24">
      <c r="A11151">
        <f>HYPERLINK("https://www.philgeps.gov.ph/GEPSNONPILOT/Tender/SplashBidNoticeAbstractUI.aspx?menuIndex=3&amp;refID=7052887&amp;Result=3","7052887")</f>
        <v>0</v>
      </c>
      <c r="B11151" t="s">
        <v>3062</v>
      </c>
      <c r="C11151" t="s">
        <v>14045</v>
      </c>
      <c r="D11151" t="s">
        <v>16621</v>
      </c>
      <c r="E11151" t="s">
        <v>26144</v>
      </c>
      <c r="F11151" t="s">
        <v>28669</v>
      </c>
      <c r="G11151" t="s">
        <v>28675</v>
      </c>
      <c r="H11151" t="s">
        <v>28686</v>
      </c>
      <c r="I11151" t="s">
        <v>28689</v>
      </c>
      <c r="J11151" t="s">
        <v>35684</v>
      </c>
      <c r="K11151" t="s">
        <v>37221</v>
      </c>
      <c r="M11151" t="s">
        <v>40844</v>
      </c>
      <c r="N11151" t="s">
        <v>41249</v>
      </c>
      <c r="O11151" t="s">
        <v>41250</v>
      </c>
      <c r="P11151">
        <v>0</v>
      </c>
      <c r="Q11151">
        <v>0</v>
      </c>
      <c r="R11151" t="s">
        <v>41264</v>
      </c>
      <c r="S11151" t="s">
        <v>41775</v>
      </c>
      <c r="T11151" t="s">
        <v>42703</v>
      </c>
      <c r="U11151" t="s">
        <v>52144</v>
      </c>
      <c r="W11151" t="s">
        <v>40844</v>
      </c>
      <c r="X11151" t="s">
        <v>41265</v>
      </c>
    </row>
    <row r="11152" spans="1:24">
      <c r="A11152">
        <f>HYPERLINK("https://www.philgeps.gov.ph/GEPSNONPILOT/Tender/SplashBidNoticeAbstractUI.aspx?menuIndex=3&amp;refID=7054295&amp;Result=3","7054295")</f>
        <v>0</v>
      </c>
      <c r="B11152" t="s">
        <v>2306</v>
      </c>
      <c r="C11152" t="s">
        <v>14046</v>
      </c>
      <c r="D11152" t="s">
        <v>16626</v>
      </c>
      <c r="E11152" t="s">
        <v>26361</v>
      </c>
      <c r="F11152" t="s">
        <v>28669</v>
      </c>
      <c r="G11152" t="s">
        <v>28675</v>
      </c>
      <c r="H11152" t="s">
        <v>9998</v>
      </c>
      <c r="I11152" t="s">
        <v>28697</v>
      </c>
      <c r="J11152" t="s">
        <v>35685</v>
      </c>
      <c r="K11152" t="s">
        <v>37220</v>
      </c>
      <c r="M11152" t="s">
        <v>39965</v>
      </c>
      <c r="N11152" t="s">
        <v>41249</v>
      </c>
      <c r="O11152" t="s">
        <v>41250</v>
      </c>
      <c r="P11152">
        <v>0</v>
      </c>
      <c r="Q11152">
        <v>1</v>
      </c>
      <c r="R11152" t="s">
        <v>41264</v>
      </c>
      <c r="S11152" t="s">
        <v>41775</v>
      </c>
      <c r="T11152" t="s">
        <v>42675</v>
      </c>
      <c r="U11152" t="s">
        <v>52145</v>
      </c>
      <c r="V11152" t="s">
        <v>55097</v>
      </c>
      <c r="W11152" t="s">
        <v>39965</v>
      </c>
      <c r="X11152" t="s">
        <v>41265</v>
      </c>
    </row>
    <row r="11153" spans="1:24">
      <c r="A11153">
        <f>HYPERLINK("https://www.philgeps.gov.ph/GEPSNONPILOT/Tender/SplashBidNoticeAbstractUI.aspx?menuIndex=3&amp;refID=7054732&amp;Result=3","7054732")</f>
        <v>0</v>
      </c>
      <c r="B11153" t="s">
        <v>1342</v>
      </c>
      <c r="C11153" t="s">
        <v>14047</v>
      </c>
      <c r="D11153" t="s">
        <v>16619</v>
      </c>
      <c r="E11153" t="s">
        <v>26179</v>
      </c>
      <c r="F11153" t="s">
        <v>28669</v>
      </c>
      <c r="G11153" t="s">
        <v>28675</v>
      </c>
      <c r="H11153" t="s">
        <v>9998</v>
      </c>
      <c r="I11153" t="s">
        <v>28710</v>
      </c>
      <c r="J11153" t="s">
        <v>35686</v>
      </c>
      <c r="K11153" t="s">
        <v>37210</v>
      </c>
      <c r="M11153" t="s">
        <v>38897</v>
      </c>
      <c r="N11153" t="s">
        <v>41249</v>
      </c>
      <c r="O11153" t="s">
        <v>41250</v>
      </c>
      <c r="P11153">
        <v>0</v>
      </c>
      <c r="Q11153">
        <v>0</v>
      </c>
      <c r="R11153" t="s">
        <v>41264</v>
      </c>
      <c r="S11153" t="s">
        <v>41775</v>
      </c>
      <c r="T11153" t="s">
        <v>42671</v>
      </c>
      <c r="U11153" t="s">
        <v>52146</v>
      </c>
      <c r="W11153" t="s">
        <v>38897</v>
      </c>
      <c r="X11153" t="s">
        <v>41265</v>
      </c>
    </row>
    <row r="11154" spans="1:24">
      <c r="A11154">
        <f>HYPERLINK("https://www.philgeps.gov.ph/GEPSNONPILOT/Tender/SplashBidNoticeAbstractUI.aspx?menuIndex=3&amp;refID=7054865&amp;Result=3","7054865")</f>
        <v>0</v>
      </c>
      <c r="B11154" t="s">
        <v>887</v>
      </c>
      <c r="C11154" t="s">
        <v>14048</v>
      </c>
      <c r="D11154" t="s">
        <v>16672</v>
      </c>
      <c r="E11154" t="s">
        <v>26362</v>
      </c>
      <c r="F11154" t="s">
        <v>28669</v>
      </c>
      <c r="G11154" t="s">
        <v>28675</v>
      </c>
      <c r="H11154" t="s">
        <v>9998</v>
      </c>
      <c r="I11154" t="s">
        <v>5213</v>
      </c>
      <c r="J11154" t="s">
        <v>35687</v>
      </c>
      <c r="K11154" t="s">
        <v>37206</v>
      </c>
      <c r="M11154" t="s">
        <v>38407</v>
      </c>
      <c r="N11154" t="s">
        <v>41249</v>
      </c>
      <c r="O11154" t="s">
        <v>41250</v>
      </c>
      <c r="P11154">
        <v>0</v>
      </c>
      <c r="Q11154">
        <v>0</v>
      </c>
      <c r="R11154" t="s">
        <v>41264</v>
      </c>
      <c r="S11154" t="s">
        <v>41775</v>
      </c>
      <c r="T11154" t="s">
        <v>42783</v>
      </c>
      <c r="U11154" t="s">
        <v>52147</v>
      </c>
      <c r="W11154" t="s">
        <v>38407</v>
      </c>
      <c r="X11154" t="s">
        <v>41265</v>
      </c>
    </row>
    <row r="11155" spans="1:24">
      <c r="A11155">
        <f>HYPERLINK("https://www.philgeps.gov.ph/GEPSNONPILOT/Tender/SplashBidNoticeAbstractUI.aspx?menuIndex=3&amp;refID=7052698&amp;Result=3","7052698")</f>
        <v>0</v>
      </c>
      <c r="B11155" t="s">
        <v>3063</v>
      </c>
      <c r="C11155" t="s">
        <v>14049</v>
      </c>
      <c r="D11155" t="s">
        <v>16610</v>
      </c>
      <c r="E11155" t="s">
        <v>26363</v>
      </c>
      <c r="F11155" t="s">
        <v>28669</v>
      </c>
      <c r="G11155" t="s">
        <v>28675</v>
      </c>
      <c r="H11155" t="s">
        <v>28686</v>
      </c>
      <c r="I11155" t="s">
        <v>28689</v>
      </c>
      <c r="J11155" t="s">
        <v>35688</v>
      </c>
      <c r="K11155" t="s">
        <v>37206</v>
      </c>
      <c r="M11155" t="s">
        <v>40845</v>
      </c>
      <c r="N11155" t="s">
        <v>41249</v>
      </c>
      <c r="O11155" t="s">
        <v>41250</v>
      </c>
      <c r="P11155">
        <v>0</v>
      </c>
      <c r="Q11155">
        <v>0</v>
      </c>
      <c r="R11155" t="s">
        <v>41264</v>
      </c>
      <c r="S11155" t="s">
        <v>41775</v>
      </c>
      <c r="T11155" t="s">
        <v>42714</v>
      </c>
      <c r="U11155" t="s">
        <v>52148</v>
      </c>
      <c r="W11155" t="s">
        <v>40845</v>
      </c>
      <c r="X11155" t="s">
        <v>41265</v>
      </c>
    </row>
    <row r="11156" spans="1:24">
      <c r="A11156">
        <f>HYPERLINK("https://www.philgeps.gov.ph/GEPSNONPILOT/Tender/SplashBidNoticeAbstractUI.aspx?menuIndex=3&amp;refID=7054290&amp;Result=3","7054290")</f>
        <v>0</v>
      </c>
      <c r="B11156" t="s">
        <v>3064</v>
      </c>
      <c r="C11156" t="s">
        <v>14050</v>
      </c>
      <c r="D11156" t="s">
        <v>16649</v>
      </c>
      <c r="E11156" t="s">
        <v>26364</v>
      </c>
      <c r="F11156" t="s">
        <v>28669</v>
      </c>
      <c r="G11156" t="s">
        <v>28675</v>
      </c>
      <c r="H11156" t="s">
        <v>9998</v>
      </c>
      <c r="I11156" t="s">
        <v>28688</v>
      </c>
      <c r="J11156" t="s">
        <v>35689</v>
      </c>
      <c r="K11156" t="s">
        <v>37227</v>
      </c>
      <c r="M11156" t="s">
        <v>40846</v>
      </c>
      <c r="N11156" t="s">
        <v>41249</v>
      </c>
      <c r="O11156" t="s">
        <v>41250</v>
      </c>
      <c r="P11156">
        <v>0</v>
      </c>
      <c r="Q11156">
        <v>2</v>
      </c>
      <c r="R11156" t="s">
        <v>41264</v>
      </c>
      <c r="S11156" t="s">
        <v>41775</v>
      </c>
      <c r="T11156" t="s">
        <v>42690</v>
      </c>
      <c r="U11156" t="s">
        <v>52149</v>
      </c>
      <c r="W11156" t="s">
        <v>40846</v>
      </c>
      <c r="X11156" t="s">
        <v>41265</v>
      </c>
    </row>
    <row r="11157" spans="1:24">
      <c r="A11157">
        <f>HYPERLINK("https://www.philgeps.gov.ph/GEPSNONPILOT/Tender/SplashBidNoticeAbstractUI.aspx?menuIndex=3&amp;refID=7052879&amp;Result=3","7052879")</f>
        <v>0</v>
      </c>
      <c r="B11157" t="s">
        <v>1042</v>
      </c>
      <c r="C11157" t="s">
        <v>14051</v>
      </c>
      <c r="D11157" t="s">
        <v>16625</v>
      </c>
      <c r="E11157" t="s">
        <v>26365</v>
      </c>
      <c r="F11157" t="s">
        <v>28669</v>
      </c>
      <c r="G11157" t="s">
        <v>28675</v>
      </c>
      <c r="H11157" t="s">
        <v>9998</v>
      </c>
      <c r="I11157" t="s">
        <v>3679</v>
      </c>
      <c r="J11157" t="s">
        <v>35690</v>
      </c>
      <c r="K11157" t="s">
        <v>37220</v>
      </c>
      <c r="M11157" t="s">
        <v>38573</v>
      </c>
      <c r="N11157" t="s">
        <v>41249</v>
      </c>
      <c r="O11157" t="s">
        <v>41250</v>
      </c>
      <c r="P11157">
        <v>0</v>
      </c>
      <c r="Q11157">
        <v>0</v>
      </c>
      <c r="R11157" t="s">
        <v>41264</v>
      </c>
      <c r="S11157" t="s">
        <v>41775</v>
      </c>
      <c r="T11157" t="s">
        <v>42760</v>
      </c>
      <c r="U11157" t="s">
        <v>52150</v>
      </c>
      <c r="W11157" t="s">
        <v>38573</v>
      </c>
      <c r="X11157" t="s">
        <v>41265</v>
      </c>
    </row>
    <row r="11158" spans="1:24">
      <c r="A11158">
        <f>HYPERLINK("https://www.philgeps.gov.ph/GEPSNONPILOT/Tender/SplashBidNoticeAbstractUI.aspx?menuIndex=3&amp;refID=7052667&amp;Result=3","7052667")</f>
        <v>0</v>
      </c>
      <c r="B11158" t="s">
        <v>891</v>
      </c>
      <c r="C11158" t="s">
        <v>14052</v>
      </c>
      <c r="D11158" t="s">
        <v>16631</v>
      </c>
      <c r="E11158" t="s">
        <v>26366</v>
      </c>
      <c r="F11158" t="s">
        <v>28669</v>
      </c>
      <c r="G11158" t="s">
        <v>28675</v>
      </c>
      <c r="H11158" t="s">
        <v>9998</v>
      </c>
      <c r="I11158" t="s">
        <v>7352</v>
      </c>
      <c r="J11158" t="s">
        <v>35691</v>
      </c>
      <c r="K11158" t="s">
        <v>37206</v>
      </c>
      <c r="M11158" t="s">
        <v>38412</v>
      </c>
      <c r="N11158" t="s">
        <v>41249</v>
      </c>
      <c r="O11158" t="s">
        <v>41250</v>
      </c>
      <c r="P11158">
        <v>0</v>
      </c>
      <c r="Q11158">
        <v>0</v>
      </c>
      <c r="R11158" t="s">
        <v>41264</v>
      </c>
      <c r="S11158" t="s">
        <v>41775</v>
      </c>
      <c r="T11158" t="s">
        <v>42783</v>
      </c>
      <c r="U11158" t="s">
        <v>52151</v>
      </c>
      <c r="W11158" t="s">
        <v>40528</v>
      </c>
      <c r="X11158" t="s">
        <v>41266</v>
      </c>
    </row>
    <row r="11159" spans="1:24">
      <c r="A11159">
        <f>HYPERLINK("https://www.philgeps.gov.ph/GEPSNONPILOT/Tender/SplashBidNoticeAbstractUI.aspx?menuIndex=3&amp;refID=7049482&amp;Result=3","7049482")</f>
        <v>0</v>
      </c>
      <c r="B11159" t="s">
        <v>3009</v>
      </c>
      <c r="C11159" t="s">
        <v>13719</v>
      </c>
      <c r="D11159" t="s">
        <v>16631</v>
      </c>
      <c r="E11159" t="s">
        <v>26367</v>
      </c>
      <c r="F11159" t="s">
        <v>28669</v>
      </c>
      <c r="G11159" t="s">
        <v>28675</v>
      </c>
      <c r="H11159" t="s">
        <v>9998</v>
      </c>
      <c r="I11159" t="s">
        <v>28708</v>
      </c>
      <c r="J11159" t="s">
        <v>35692</v>
      </c>
      <c r="K11159" t="s">
        <v>37205</v>
      </c>
      <c r="M11159" t="s">
        <v>40779</v>
      </c>
      <c r="N11159" t="s">
        <v>41249</v>
      </c>
      <c r="O11159" t="s">
        <v>41250</v>
      </c>
      <c r="P11159">
        <v>0</v>
      </c>
      <c r="Q11159">
        <v>1</v>
      </c>
      <c r="R11159" t="s">
        <v>41264</v>
      </c>
      <c r="S11159" t="s">
        <v>41775</v>
      </c>
      <c r="T11159" t="s">
        <v>42734</v>
      </c>
      <c r="U11159" t="s">
        <v>52152</v>
      </c>
      <c r="V11159" t="s">
        <v>55500</v>
      </c>
      <c r="W11159" t="s">
        <v>40779</v>
      </c>
      <c r="X11159" t="s">
        <v>41267</v>
      </c>
    </row>
    <row r="11160" spans="1:24">
      <c r="A11160">
        <f>HYPERLINK("https://www.philgeps.gov.ph/GEPSNONPILOT/Tender/SplashBidNoticeAbstractUI.aspx?menuIndex=3&amp;refID=7049457&amp;Result=3","7049457")</f>
        <v>0</v>
      </c>
      <c r="B11160" t="s">
        <v>3009</v>
      </c>
      <c r="C11160" t="s">
        <v>14053</v>
      </c>
      <c r="D11160" t="s">
        <v>16631</v>
      </c>
      <c r="E11160" t="s">
        <v>26368</v>
      </c>
      <c r="F11160" t="s">
        <v>28669</v>
      </c>
      <c r="G11160" t="s">
        <v>28675</v>
      </c>
      <c r="H11160" t="s">
        <v>9998</v>
      </c>
      <c r="I11160" t="s">
        <v>28734</v>
      </c>
      <c r="J11160" t="s">
        <v>30026</v>
      </c>
      <c r="K11160" t="s">
        <v>37205</v>
      </c>
      <c r="M11160" t="s">
        <v>40779</v>
      </c>
      <c r="N11160" t="s">
        <v>41249</v>
      </c>
      <c r="O11160" t="s">
        <v>41250</v>
      </c>
      <c r="P11160">
        <v>0</v>
      </c>
      <c r="Q11160">
        <v>1</v>
      </c>
      <c r="R11160" t="s">
        <v>41264</v>
      </c>
      <c r="S11160" t="s">
        <v>41775</v>
      </c>
      <c r="T11160" t="s">
        <v>42734</v>
      </c>
      <c r="U11160" t="s">
        <v>52153</v>
      </c>
      <c r="V11160" t="s">
        <v>55500</v>
      </c>
      <c r="W11160" t="s">
        <v>40779</v>
      </c>
      <c r="X11160" t="s">
        <v>41267</v>
      </c>
    </row>
    <row r="11161" spans="1:24">
      <c r="A11161">
        <f>HYPERLINK("https://www.philgeps.gov.ph/GEPSNONPILOT/Tender/SplashBidNoticeAbstractUI.aspx?menuIndex=3&amp;refID=7057916&amp;Result=3","7057916")</f>
        <v>0</v>
      </c>
      <c r="B11161" t="s">
        <v>1144</v>
      </c>
      <c r="C11161" t="s">
        <v>14054</v>
      </c>
      <c r="D11161" t="s">
        <v>16608</v>
      </c>
      <c r="E11161" t="s">
        <v>26369</v>
      </c>
      <c r="F11161" t="s">
        <v>28669</v>
      </c>
      <c r="G11161" t="s">
        <v>28675</v>
      </c>
      <c r="H11161" t="s">
        <v>28686</v>
      </c>
      <c r="I11161" t="s">
        <v>28689</v>
      </c>
      <c r="J11161" t="s">
        <v>35693</v>
      </c>
      <c r="K11161" t="s">
        <v>37218</v>
      </c>
      <c r="M11161" t="s">
        <v>38680</v>
      </c>
      <c r="N11161" t="s">
        <v>41249</v>
      </c>
      <c r="O11161" t="s">
        <v>41250</v>
      </c>
      <c r="Q11161">
        <v>20</v>
      </c>
      <c r="R11161" t="s">
        <v>41263</v>
      </c>
      <c r="S11161" t="s">
        <v>41855</v>
      </c>
      <c r="T11161" t="s">
        <v>42764</v>
      </c>
      <c r="U11161" t="s">
        <v>45543</v>
      </c>
      <c r="W11161" t="s">
        <v>38680</v>
      </c>
      <c r="X11161" t="s">
        <v>41264</v>
      </c>
    </row>
    <row r="11162" spans="1:24">
      <c r="A11162">
        <f>HYPERLINK("https://www.philgeps.gov.ph/GEPSNONPILOT/Tender/SplashBidNoticeAbstractUI.aspx?menuIndex=3&amp;refID=7057911&amp;Result=3","7057911")</f>
        <v>0</v>
      </c>
      <c r="B11162" t="s">
        <v>1144</v>
      </c>
      <c r="C11162" t="s">
        <v>14055</v>
      </c>
      <c r="D11162" t="s">
        <v>16608</v>
      </c>
      <c r="E11162" t="s">
        <v>26370</v>
      </c>
      <c r="F11162" t="s">
        <v>28669</v>
      </c>
      <c r="G11162" t="s">
        <v>28675</v>
      </c>
      <c r="H11162" t="s">
        <v>28686</v>
      </c>
      <c r="I11162" t="s">
        <v>28689</v>
      </c>
      <c r="J11162" t="s">
        <v>35694</v>
      </c>
      <c r="K11162" t="s">
        <v>37218</v>
      </c>
      <c r="M11162" t="s">
        <v>38680</v>
      </c>
      <c r="N11162" t="s">
        <v>41249</v>
      </c>
      <c r="O11162" t="s">
        <v>41250</v>
      </c>
      <c r="Q11162">
        <v>21</v>
      </c>
      <c r="R11162" t="s">
        <v>41263</v>
      </c>
      <c r="S11162" t="s">
        <v>41516</v>
      </c>
      <c r="T11162" t="s">
        <v>42764</v>
      </c>
      <c r="U11162" t="s">
        <v>45543</v>
      </c>
      <c r="W11162" t="s">
        <v>38680</v>
      </c>
      <c r="X11162" t="s">
        <v>41264</v>
      </c>
    </row>
    <row r="11163" spans="1:24">
      <c r="A11163">
        <f>HYPERLINK("https://www.philgeps.gov.ph/GEPSNONPILOT/Tender/SplashBidNoticeAbstractUI.aspx?menuIndex=3&amp;refID=7057907&amp;Result=3","7057907")</f>
        <v>0</v>
      </c>
      <c r="B11163" t="s">
        <v>565</v>
      </c>
      <c r="C11163" t="s">
        <v>14056</v>
      </c>
      <c r="E11163" t="s">
        <v>26371</v>
      </c>
      <c r="F11163" t="s">
        <v>28669</v>
      </c>
      <c r="G11163" t="s">
        <v>28675</v>
      </c>
      <c r="H11163" t="s">
        <v>9998</v>
      </c>
      <c r="I11163" t="s">
        <v>28736</v>
      </c>
      <c r="J11163" t="s">
        <v>35695</v>
      </c>
      <c r="K11163" t="s">
        <v>37209</v>
      </c>
      <c r="M11163" t="s">
        <v>39536</v>
      </c>
      <c r="N11163" t="s">
        <v>41249</v>
      </c>
      <c r="O11163" t="s">
        <v>41250</v>
      </c>
      <c r="P11163">
        <v>0</v>
      </c>
      <c r="Q11163">
        <v>4</v>
      </c>
      <c r="R11163" t="s">
        <v>41263</v>
      </c>
      <c r="S11163" t="s">
        <v>41698</v>
      </c>
      <c r="T11163" t="s">
        <v>42755</v>
      </c>
      <c r="U11163" t="s">
        <v>52154</v>
      </c>
      <c r="W11163" t="s">
        <v>39536</v>
      </c>
      <c r="X11163" t="s">
        <v>41264</v>
      </c>
    </row>
    <row r="11164" spans="1:24">
      <c r="A11164">
        <f>HYPERLINK("https://www.philgeps.gov.ph/GEPSNONPILOT/Tender/SplashBidNoticeAbstractUI.aspx?menuIndex=3&amp;refID=7052871&amp;Result=3","7052871")</f>
        <v>0</v>
      </c>
      <c r="B11164" t="s">
        <v>2968</v>
      </c>
      <c r="C11164" t="s">
        <v>14057</v>
      </c>
      <c r="E11164" t="s">
        <v>26372</v>
      </c>
      <c r="F11164" t="s">
        <v>28669</v>
      </c>
      <c r="G11164" t="s">
        <v>28675</v>
      </c>
      <c r="H11164" t="s">
        <v>9998</v>
      </c>
      <c r="I11164" t="s">
        <v>28714</v>
      </c>
      <c r="J11164" t="s">
        <v>35696</v>
      </c>
      <c r="K11164" t="s">
        <v>37209</v>
      </c>
      <c r="M11164" t="s">
        <v>40730</v>
      </c>
      <c r="N11164" t="s">
        <v>41249</v>
      </c>
      <c r="O11164" t="s">
        <v>41250</v>
      </c>
      <c r="Q11164">
        <v>25</v>
      </c>
      <c r="R11164" t="s">
        <v>41264</v>
      </c>
      <c r="S11164" t="s">
        <v>41856</v>
      </c>
      <c r="T11164" t="s">
        <v>43123</v>
      </c>
      <c r="U11164" t="s">
        <v>52155</v>
      </c>
      <c r="V11164" t="s">
        <v>55559</v>
      </c>
      <c r="W11164" t="s">
        <v>40730</v>
      </c>
      <c r="X11164" t="s">
        <v>41265</v>
      </c>
    </row>
    <row r="11165" spans="1:24">
      <c r="A11165">
        <f>HYPERLINK("https://www.philgeps.gov.ph/GEPSNONPILOT/Tender/SplashBidNoticeAbstractUI.aspx?menuIndex=3&amp;refID=7057906&amp;Result=3","7057906")</f>
        <v>0</v>
      </c>
      <c r="B11165" t="s">
        <v>1144</v>
      </c>
      <c r="C11165" t="s">
        <v>14058</v>
      </c>
      <c r="D11165" t="s">
        <v>16608</v>
      </c>
      <c r="E11165" t="s">
        <v>26373</v>
      </c>
      <c r="F11165" t="s">
        <v>28669</v>
      </c>
      <c r="G11165" t="s">
        <v>28675</v>
      </c>
      <c r="H11165" t="s">
        <v>28686</v>
      </c>
      <c r="I11165" t="s">
        <v>28689</v>
      </c>
      <c r="J11165" t="s">
        <v>35697</v>
      </c>
      <c r="K11165" t="s">
        <v>37212</v>
      </c>
      <c r="M11165" t="s">
        <v>38680</v>
      </c>
      <c r="N11165" t="s">
        <v>41249</v>
      </c>
      <c r="O11165" t="s">
        <v>41250</v>
      </c>
      <c r="Q11165">
        <v>19</v>
      </c>
      <c r="R11165" t="s">
        <v>41263</v>
      </c>
      <c r="S11165" t="s">
        <v>41857</v>
      </c>
      <c r="T11165" t="s">
        <v>42764</v>
      </c>
      <c r="U11165" t="s">
        <v>45543</v>
      </c>
      <c r="W11165" t="s">
        <v>38680</v>
      </c>
      <c r="X11165" t="s">
        <v>41264</v>
      </c>
    </row>
    <row r="11166" spans="1:24">
      <c r="A11166">
        <f>HYPERLINK("https://www.philgeps.gov.ph/GEPSNONPILOT/Tender/SplashBidNoticeAbstractUI.aspx?menuIndex=3&amp;refID=7056699&amp;Result=3","7056699")</f>
        <v>0</v>
      </c>
      <c r="B11166" t="s">
        <v>2987</v>
      </c>
      <c r="C11166" t="s">
        <v>14059</v>
      </c>
      <c r="D11166" t="s">
        <v>16627</v>
      </c>
      <c r="E11166" t="s">
        <v>26374</v>
      </c>
      <c r="F11166" t="s">
        <v>28669</v>
      </c>
      <c r="G11166" t="s">
        <v>28675</v>
      </c>
      <c r="H11166" t="s">
        <v>9998</v>
      </c>
      <c r="I11166" t="s">
        <v>28687</v>
      </c>
      <c r="J11166" t="s">
        <v>28878</v>
      </c>
      <c r="K11166" t="s">
        <v>37206</v>
      </c>
      <c r="M11166" t="s">
        <v>40752</v>
      </c>
      <c r="N11166" t="s">
        <v>41249</v>
      </c>
      <c r="O11166" t="s">
        <v>41250</v>
      </c>
      <c r="P11166">
        <v>0</v>
      </c>
      <c r="Q11166">
        <v>0</v>
      </c>
      <c r="R11166" t="s">
        <v>41263</v>
      </c>
      <c r="S11166" t="s">
        <v>41698</v>
      </c>
      <c r="T11166" t="s">
        <v>42659</v>
      </c>
      <c r="U11166" t="s">
        <v>52156</v>
      </c>
      <c r="W11166" t="s">
        <v>40752</v>
      </c>
      <c r="X11166" t="s">
        <v>41264</v>
      </c>
    </row>
    <row r="11167" spans="1:24">
      <c r="A11167">
        <f>HYPERLINK("https://www.philgeps.gov.ph/GEPSNONPILOT/Tender/SplashBidNoticeAbstractUI.aspx?menuIndex=3&amp;refID=7056698&amp;Result=3","7056698")</f>
        <v>0</v>
      </c>
      <c r="B11167" t="s">
        <v>2986</v>
      </c>
      <c r="C11167" t="s">
        <v>14060</v>
      </c>
      <c r="D11167" t="s">
        <v>16608</v>
      </c>
      <c r="E11167" t="s">
        <v>26375</v>
      </c>
      <c r="F11167" t="s">
        <v>28669</v>
      </c>
      <c r="G11167" t="s">
        <v>28675</v>
      </c>
      <c r="H11167" t="s">
        <v>28686</v>
      </c>
      <c r="I11167" t="s">
        <v>28689</v>
      </c>
      <c r="J11167" t="s">
        <v>35698</v>
      </c>
      <c r="K11167" t="s">
        <v>37339</v>
      </c>
      <c r="M11167" t="s">
        <v>40751</v>
      </c>
      <c r="N11167" t="s">
        <v>41249</v>
      </c>
      <c r="O11167" t="s">
        <v>41250</v>
      </c>
      <c r="P11167">
        <v>0</v>
      </c>
      <c r="Q11167">
        <v>39</v>
      </c>
      <c r="R11167" t="s">
        <v>41263</v>
      </c>
      <c r="S11167" t="s">
        <v>41698</v>
      </c>
      <c r="T11167" t="s">
        <v>42762</v>
      </c>
      <c r="U11167" t="s">
        <v>52157</v>
      </c>
      <c r="V11167" t="s">
        <v>55466</v>
      </c>
      <c r="W11167" t="s">
        <v>40751</v>
      </c>
      <c r="X11167" t="s">
        <v>41264</v>
      </c>
    </row>
    <row r="11168" spans="1:24">
      <c r="A11168">
        <f>HYPERLINK("https://www.philgeps.gov.ph/GEPSNONPILOT/Tender/SplashBidNoticeAbstractUI.aspx?menuIndex=3&amp;refID=7052860&amp;Result=3","7052860")</f>
        <v>0</v>
      </c>
      <c r="B11168" t="s">
        <v>1972</v>
      </c>
      <c r="C11168" t="s">
        <v>14061</v>
      </c>
      <c r="E11168" t="s">
        <v>26376</v>
      </c>
      <c r="F11168" t="s">
        <v>28669</v>
      </c>
      <c r="G11168" t="s">
        <v>28678</v>
      </c>
      <c r="H11168" t="s">
        <v>9998</v>
      </c>
      <c r="I11168" t="s">
        <v>28804</v>
      </c>
      <c r="J11168" t="s">
        <v>35699</v>
      </c>
      <c r="K11168" t="s">
        <v>37205</v>
      </c>
      <c r="M11168" t="s">
        <v>39606</v>
      </c>
      <c r="N11168" t="s">
        <v>41249</v>
      </c>
      <c r="O11168" t="s">
        <v>41250</v>
      </c>
      <c r="Q11168">
        <v>0</v>
      </c>
      <c r="R11168" t="s">
        <v>41264</v>
      </c>
      <c r="S11168" t="s">
        <v>41858</v>
      </c>
      <c r="T11168" t="s">
        <v>42673</v>
      </c>
      <c r="U11168" t="s">
        <v>52158</v>
      </c>
      <c r="W11168" t="s">
        <v>39606</v>
      </c>
      <c r="X11168" t="s">
        <v>41265</v>
      </c>
    </row>
    <row r="11169" spans="1:24">
      <c r="A11169">
        <f>HYPERLINK("https://www.philgeps.gov.ph/GEPSNONPILOT/Tender/SplashBidNoticeAbstractUI.aspx?menuIndex=3&amp;refID=7055131&amp;Result=3","7055131")</f>
        <v>0</v>
      </c>
      <c r="B11169" t="s">
        <v>2200</v>
      </c>
      <c r="C11169" t="s">
        <v>14062</v>
      </c>
      <c r="D11169" t="s">
        <v>16646</v>
      </c>
      <c r="E11169" t="s">
        <v>26377</v>
      </c>
      <c r="F11169" t="s">
        <v>28669</v>
      </c>
      <c r="G11169" t="s">
        <v>28675</v>
      </c>
      <c r="H11169" t="s">
        <v>28686</v>
      </c>
      <c r="I11169" t="s">
        <v>28689</v>
      </c>
      <c r="J11169" t="s">
        <v>35700</v>
      </c>
      <c r="K11169" t="s">
        <v>37215</v>
      </c>
      <c r="M11169" t="s">
        <v>39850</v>
      </c>
      <c r="N11169" t="s">
        <v>41249</v>
      </c>
      <c r="O11169" t="s">
        <v>41250</v>
      </c>
      <c r="Q11169">
        <v>32</v>
      </c>
      <c r="R11169" t="s">
        <v>41264</v>
      </c>
      <c r="S11169" t="s">
        <v>41433</v>
      </c>
      <c r="T11169" t="s">
        <v>42764</v>
      </c>
      <c r="U11169" t="s">
        <v>52159</v>
      </c>
      <c r="V11169" t="s">
        <v>55553</v>
      </c>
      <c r="W11169" t="s">
        <v>39850</v>
      </c>
      <c r="X11169" t="s">
        <v>41265</v>
      </c>
    </row>
    <row r="11170" spans="1:24">
      <c r="A11170">
        <f>HYPERLINK("https://www.philgeps.gov.ph/GEPSNONPILOT/Tender/SplashBidNoticeAbstractUI.aspx?menuIndex=3&amp;refID=7055122&amp;Result=3","7055122")</f>
        <v>0</v>
      </c>
      <c r="B11170" t="s">
        <v>2200</v>
      </c>
      <c r="C11170" t="s">
        <v>14063</v>
      </c>
      <c r="D11170" t="s">
        <v>16646</v>
      </c>
      <c r="E11170" t="s">
        <v>26378</v>
      </c>
      <c r="F11170" t="s">
        <v>28669</v>
      </c>
      <c r="G11170" t="s">
        <v>28675</v>
      </c>
      <c r="H11170" t="s">
        <v>28686</v>
      </c>
      <c r="I11170" t="s">
        <v>28689</v>
      </c>
      <c r="J11170" t="s">
        <v>35701</v>
      </c>
      <c r="K11170" t="s">
        <v>37215</v>
      </c>
      <c r="M11170" t="s">
        <v>39850</v>
      </c>
      <c r="N11170" t="s">
        <v>41249</v>
      </c>
      <c r="O11170" t="s">
        <v>41250</v>
      </c>
      <c r="Q11170">
        <v>32</v>
      </c>
      <c r="R11170" t="s">
        <v>41264</v>
      </c>
      <c r="S11170" t="s">
        <v>41805</v>
      </c>
      <c r="T11170" t="s">
        <v>42764</v>
      </c>
      <c r="U11170" t="s">
        <v>52160</v>
      </c>
      <c r="V11170" t="s">
        <v>55553</v>
      </c>
      <c r="W11170" t="s">
        <v>39850</v>
      </c>
      <c r="X11170" t="s">
        <v>41265</v>
      </c>
    </row>
    <row r="11171" spans="1:24">
      <c r="A11171">
        <f>HYPERLINK("https://www.philgeps.gov.ph/GEPSNONPILOT/Tender/SplashBidNoticeAbstractUI.aspx?menuIndex=3&amp;refID=7055233&amp;Result=3","7055233")</f>
        <v>0</v>
      </c>
      <c r="B11171" t="s">
        <v>3065</v>
      </c>
      <c r="C11171" t="s">
        <v>14064</v>
      </c>
      <c r="D11171" t="s">
        <v>16633</v>
      </c>
      <c r="E11171" t="s">
        <v>26379</v>
      </c>
      <c r="F11171" t="s">
        <v>28669</v>
      </c>
      <c r="G11171" t="s">
        <v>28675</v>
      </c>
      <c r="H11171" t="s">
        <v>9998</v>
      </c>
      <c r="I11171" t="s">
        <v>6128</v>
      </c>
      <c r="J11171" t="s">
        <v>35702</v>
      </c>
      <c r="K11171" t="s">
        <v>37205</v>
      </c>
      <c r="L11171" t="s">
        <v>3065</v>
      </c>
      <c r="M11171" t="s">
        <v>40847</v>
      </c>
      <c r="N11171" t="s">
        <v>41249</v>
      </c>
      <c r="O11171" t="s">
        <v>41250</v>
      </c>
      <c r="P11171">
        <v>0</v>
      </c>
      <c r="Q11171">
        <v>4</v>
      </c>
      <c r="R11171" t="s">
        <v>41264</v>
      </c>
      <c r="S11171" t="s">
        <v>41775</v>
      </c>
      <c r="T11171" t="s">
        <v>42809</v>
      </c>
      <c r="U11171" t="s">
        <v>52161</v>
      </c>
      <c r="W11171" t="s">
        <v>40847</v>
      </c>
      <c r="X11171" t="s">
        <v>41265</v>
      </c>
    </row>
    <row r="11172" spans="1:24">
      <c r="A11172">
        <f>HYPERLINK("https://www.philgeps.gov.ph/GEPSNONPILOT/Tender/SplashBidNoticeAbstractUI.aspx?menuIndex=3&amp;refID=7055229&amp;Result=3","7055229")</f>
        <v>0</v>
      </c>
      <c r="B11172" t="s">
        <v>3066</v>
      </c>
      <c r="C11172" t="s">
        <v>14065</v>
      </c>
      <c r="D11172" t="s">
        <v>16627</v>
      </c>
      <c r="E11172" t="s">
        <v>23186</v>
      </c>
      <c r="F11172" t="s">
        <v>28669</v>
      </c>
      <c r="G11172" t="s">
        <v>28676</v>
      </c>
      <c r="H11172" t="s">
        <v>28686</v>
      </c>
      <c r="I11172" t="s">
        <v>28689</v>
      </c>
      <c r="J11172" t="s">
        <v>35703</v>
      </c>
      <c r="K11172" t="s">
        <v>37206</v>
      </c>
      <c r="M11172" t="s">
        <v>40848</v>
      </c>
      <c r="N11172" t="s">
        <v>41249</v>
      </c>
      <c r="O11172" t="s">
        <v>41250</v>
      </c>
      <c r="Q11172">
        <v>0</v>
      </c>
      <c r="R11172" t="s">
        <v>41264</v>
      </c>
      <c r="S11172" t="s">
        <v>41859</v>
      </c>
      <c r="T11172" t="s">
        <v>42901</v>
      </c>
      <c r="U11172" t="s">
        <v>52162</v>
      </c>
      <c r="V11172" t="s">
        <v>55560</v>
      </c>
      <c r="W11172" t="s">
        <v>40848</v>
      </c>
      <c r="X11172" t="s">
        <v>41265</v>
      </c>
    </row>
    <row r="11173" spans="1:24">
      <c r="A11173">
        <f>HYPERLINK("https://www.philgeps.gov.ph/GEPSNONPILOT/Tender/SplashBidNoticeAbstractUI.aspx?menuIndex=3&amp;refID=7055219&amp;Result=3","7055219")</f>
        <v>0</v>
      </c>
      <c r="B11173" t="s">
        <v>3067</v>
      </c>
      <c r="C11173" t="s">
        <v>14066</v>
      </c>
      <c r="E11173" t="s">
        <v>26380</v>
      </c>
      <c r="F11173" t="s">
        <v>28669</v>
      </c>
      <c r="G11173" t="s">
        <v>28675</v>
      </c>
      <c r="H11173" t="s">
        <v>9998</v>
      </c>
      <c r="I11173" t="s">
        <v>7352</v>
      </c>
      <c r="J11173" t="s">
        <v>35704</v>
      </c>
      <c r="K11173" t="s">
        <v>37209</v>
      </c>
      <c r="M11173" t="s">
        <v>40849</v>
      </c>
      <c r="N11173" t="s">
        <v>41249</v>
      </c>
      <c r="O11173" t="s">
        <v>41250</v>
      </c>
      <c r="P11173">
        <v>0</v>
      </c>
      <c r="Q11173">
        <v>0</v>
      </c>
      <c r="R11173" t="s">
        <v>41264</v>
      </c>
      <c r="S11173" t="s">
        <v>41775</v>
      </c>
      <c r="T11173" t="s">
        <v>42670</v>
      </c>
      <c r="U11173" t="s">
        <v>52163</v>
      </c>
      <c r="W11173" t="s">
        <v>40849</v>
      </c>
      <c r="X11173" t="s">
        <v>41265</v>
      </c>
    </row>
    <row r="11174" spans="1:24">
      <c r="A11174">
        <f>HYPERLINK("https://www.philgeps.gov.ph/GEPSNONPILOT/Tender/SplashBidNoticeAbstractUI.aspx?menuIndex=3&amp;refID=7055218&amp;Result=3","7055218")</f>
        <v>0</v>
      </c>
      <c r="B11174" t="s">
        <v>3066</v>
      </c>
      <c r="C11174" t="s">
        <v>14067</v>
      </c>
      <c r="D11174" t="s">
        <v>16627</v>
      </c>
      <c r="E11174" t="s">
        <v>22561</v>
      </c>
      <c r="F11174" t="s">
        <v>28669</v>
      </c>
      <c r="G11174" t="s">
        <v>28675</v>
      </c>
      <c r="H11174" t="s">
        <v>28686</v>
      </c>
      <c r="I11174" t="s">
        <v>28689</v>
      </c>
      <c r="J11174" t="s">
        <v>35705</v>
      </c>
      <c r="K11174" t="s">
        <v>37221</v>
      </c>
      <c r="M11174" t="s">
        <v>40848</v>
      </c>
      <c r="N11174" t="s">
        <v>41249</v>
      </c>
      <c r="O11174" t="s">
        <v>41250</v>
      </c>
      <c r="Q11174">
        <v>1</v>
      </c>
      <c r="R11174" t="s">
        <v>41264</v>
      </c>
      <c r="S11174" t="s">
        <v>41537</v>
      </c>
      <c r="T11174" t="s">
        <v>42901</v>
      </c>
      <c r="U11174" t="s">
        <v>52164</v>
      </c>
      <c r="V11174" t="s">
        <v>55560</v>
      </c>
      <c r="W11174" t="s">
        <v>40848</v>
      </c>
      <c r="X11174" t="s">
        <v>41265</v>
      </c>
    </row>
    <row r="11175" spans="1:24">
      <c r="A11175">
        <f>HYPERLINK("https://www.philgeps.gov.ph/GEPSNONPILOT/Tender/SplashBidNoticeAbstractUI.aspx?menuIndex=3&amp;refID=7055210&amp;Result=3","7055210")</f>
        <v>0</v>
      </c>
      <c r="B11175" t="s">
        <v>3065</v>
      </c>
      <c r="C11175" t="s">
        <v>14068</v>
      </c>
      <c r="D11175" t="s">
        <v>16633</v>
      </c>
      <c r="E11175" t="s">
        <v>26379</v>
      </c>
      <c r="F11175" t="s">
        <v>28669</v>
      </c>
      <c r="G11175" t="s">
        <v>28675</v>
      </c>
      <c r="H11175" t="s">
        <v>9998</v>
      </c>
      <c r="I11175" t="s">
        <v>7352</v>
      </c>
      <c r="J11175" t="s">
        <v>35706</v>
      </c>
      <c r="K11175" t="s">
        <v>37205</v>
      </c>
      <c r="L11175" t="s">
        <v>3065</v>
      </c>
      <c r="M11175" t="s">
        <v>40847</v>
      </c>
      <c r="N11175" t="s">
        <v>41249</v>
      </c>
      <c r="O11175" t="s">
        <v>41250</v>
      </c>
      <c r="P11175">
        <v>0</v>
      </c>
      <c r="Q11175">
        <v>1</v>
      </c>
      <c r="R11175" t="s">
        <v>41264</v>
      </c>
      <c r="S11175" t="s">
        <v>41775</v>
      </c>
      <c r="T11175" t="s">
        <v>42809</v>
      </c>
      <c r="U11175" t="s">
        <v>52165</v>
      </c>
      <c r="W11175" t="s">
        <v>40847</v>
      </c>
      <c r="X11175" t="s">
        <v>41265</v>
      </c>
    </row>
    <row r="11176" spans="1:24">
      <c r="A11176">
        <f>HYPERLINK("https://www.philgeps.gov.ph/GEPSNONPILOT/Tender/SplashBidNoticeAbstractUI.aspx?menuIndex=3&amp;refID=7055204&amp;Result=3","7055204")</f>
        <v>0</v>
      </c>
      <c r="B11176" t="s">
        <v>3068</v>
      </c>
      <c r="C11176" t="s">
        <v>14069</v>
      </c>
      <c r="D11176" t="s">
        <v>16614</v>
      </c>
      <c r="E11176" t="s">
        <v>26381</v>
      </c>
      <c r="F11176" t="s">
        <v>28671</v>
      </c>
      <c r="G11176" t="s">
        <v>28675</v>
      </c>
      <c r="H11176" t="s">
        <v>9998</v>
      </c>
      <c r="I11176" t="s">
        <v>3718</v>
      </c>
      <c r="J11176" t="s">
        <v>35707</v>
      </c>
      <c r="K11176" t="s">
        <v>37220</v>
      </c>
      <c r="M11176" t="s">
        <v>40850</v>
      </c>
      <c r="N11176" t="s">
        <v>41249</v>
      </c>
      <c r="O11176" t="s">
        <v>41250</v>
      </c>
      <c r="P11176">
        <v>0</v>
      </c>
      <c r="Q11176">
        <v>0</v>
      </c>
      <c r="R11176" t="s">
        <v>41264</v>
      </c>
      <c r="S11176" t="s">
        <v>41775</v>
      </c>
      <c r="T11176" t="s">
        <v>42736</v>
      </c>
      <c r="U11176" t="s">
        <v>52166</v>
      </c>
      <c r="W11176" t="s">
        <v>40850</v>
      </c>
      <c r="X11176" t="s">
        <v>41265</v>
      </c>
    </row>
    <row r="11177" spans="1:24">
      <c r="A11177">
        <f>HYPERLINK("https://www.philgeps.gov.ph/GEPSNONPILOT/Tender/SplashBidNoticeAbstractUI.aspx?menuIndex=3&amp;refID=7055214&amp;Result=3","7055214")</f>
        <v>0</v>
      </c>
      <c r="B11177" t="s">
        <v>807</v>
      </c>
      <c r="C11177" t="s">
        <v>14070</v>
      </c>
      <c r="E11177" t="s">
        <v>26382</v>
      </c>
      <c r="F11177" t="s">
        <v>28669</v>
      </c>
      <c r="G11177" t="s">
        <v>28675</v>
      </c>
      <c r="H11177" t="s">
        <v>28686</v>
      </c>
      <c r="I11177" t="s">
        <v>28689</v>
      </c>
      <c r="J11177" t="s">
        <v>35708</v>
      </c>
      <c r="K11177" t="s">
        <v>37209</v>
      </c>
      <c r="M11177" t="s">
        <v>38322</v>
      </c>
      <c r="N11177" t="s">
        <v>41249</v>
      </c>
      <c r="O11177" t="s">
        <v>41250</v>
      </c>
      <c r="Q11177">
        <v>2</v>
      </c>
      <c r="R11177" t="s">
        <v>41264</v>
      </c>
      <c r="S11177" t="s">
        <v>41860</v>
      </c>
      <c r="T11177" t="s">
        <v>42726</v>
      </c>
      <c r="U11177" t="s">
        <v>52167</v>
      </c>
      <c r="W11177" t="s">
        <v>38322</v>
      </c>
      <c r="X11177" t="s">
        <v>41265</v>
      </c>
    </row>
    <row r="11178" spans="1:24">
      <c r="A11178">
        <f>HYPERLINK("https://www.philgeps.gov.ph/GEPSNONPILOT/Tender/SplashBidNoticeAbstractUI.aspx?menuIndex=3&amp;refID=7055185&amp;Result=3","7055185")</f>
        <v>0</v>
      </c>
      <c r="B11178" t="s">
        <v>2200</v>
      </c>
      <c r="C11178" t="s">
        <v>14071</v>
      </c>
      <c r="D11178" t="s">
        <v>16646</v>
      </c>
      <c r="E11178" t="s">
        <v>26383</v>
      </c>
      <c r="F11178" t="s">
        <v>28669</v>
      </c>
      <c r="G11178" t="s">
        <v>28675</v>
      </c>
      <c r="H11178" t="s">
        <v>28686</v>
      </c>
      <c r="I11178" t="s">
        <v>28689</v>
      </c>
      <c r="J11178" t="s">
        <v>35709</v>
      </c>
      <c r="K11178" t="s">
        <v>37211</v>
      </c>
      <c r="M11178" t="s">
        <v>39850</v>
      </c>
      <c r="N11178" t="s">
        <v>41249</v>
      </c>
      <c r="O11178" t="s">
        <v>41250</v>
      </c>
      <c r="Q11178">
        <v>34</v>
      </c>
      <c r="R11178" t="s">
        <v>41264</v>
      </c>
      <c r="S11178" t="s">
        <v>41661</v>
      </c>
      <c r="T11178" t="s">
        <v>42764</v>
      </c>
      <c r="U11178" t="s">
        <v>52168</v>
      </c>
      <c r="V11178" t="s">
        <v>55553</v>
      </c>
      <c r="W11178" t="s">
        <v>39850</v>
      </c>
      <c r="X11178" t="s">
        <v>41265</v>
      </c>
    </row>
    <row r="11179" spans="1:24">
      <c r="A11179">
        <f>HYPERLINK("https://www.philgeps.gov.ph/GEPSNONPILOT/Tender/SplashBidNoticeAbstractUI.aspx?menuIndex=3&amp;refID=7055183&amp;Result=3","7055183")</f>
        <v>0</v>
      </c>
      <c r="B11179" t="s">
        <v>3066</v>
      </c>
      <c r="C11179" t="s">
        <v>14072</v>
      </c>
      <c r="D11179" t="s">
        <v>16627</v>
      </c>
      <c r="E11179" t="s">
        <v>17415</v>
      </c>
      <c r="F11179" t="s">
        <v>28669</v>
      </c>
      <c r="G11179" t="s">
        <v>28675</v>
      </c>
      <c r="H11179" t="s">
        <v>28686</v>
      </c>
      <c r="I11179" t="s">
        <v>28689</v>
      </c>
      <c r="J11179" t="s">
        <v>35710</v>
      </c>
      <c r="K11179" t="s">
        <v>37213</v>
      </c>
      <c r="M11179" t="s">
        <v>40848</v>
      </c>
      <c r="N11179" t="s">
        <v>41249</v>
      </c>
      <c r="O11179" t="s">
        <v>41250</v>
      </c>
      <c r="Q11179">
        <v>1</v>
      </c>
      <c r="R11179" t="s">
        <v>41264</v>
      </c>
      <c r="S11179" t="s">
        <v>41861</v>
      </c>
      <c r="T11179" t="s">
        <v>42901</v>
      </c>
      <c r="U11179" t="s">
        <v>52169</v>
      </c>
      <c r="V11179" t="s">
        <v>55560</v>
      </c>
      <c r="W11179" t="s">
        <v>40848</v>
      </c>
      <c r="X11179" t="s">
        <v>41265</v>
      </c>
    </row>
    <row r="11180" spans="1:24">
      <c r="A11180">
        <f>HYPERLINK("https://www.philgeps.gov.ph/GEPSNONPILOT/Tender/SplashBidNoticeAbstractUI.aspx?menuIndex=3&amp;refID=7052668&amp;Result=3","7052668")</f>
        <v>0</v>
      </c>
      <c r="B11180" t="s">
        <v>891</v>
      </c>
      <c r="C11180" t="s">
        <v>14073</v>
      </c>
      <c r="D11180" t="s">
        <v>16631</v>
      </c>
      <c r="E11180" t="s">
        <v>26384</v>
      </c>
      <c r="F11180" t="s">
        <v>28669</v>
      </c>
      <c r="G11180" t="s">
        <v>28675</v>
      </c>
      <c r="H11180" t="s">
        <v>9998</v>
      </c>
      <c r="I11180" t="s">
        <v>7352</v>
      </c>
      <c r="J11180" t="s">
        <v>35691</v>
      </c>
      <c r="K11180" t="s">
        <v>37206</v>
      </c>
      <c r="M11180" t="s">
        <v>38412</v>
      </c>
      <c r="N11180" t="s">
        <v>41249</v>
      </c>
      <c r="O11180" t="s">
        <v>41250</v>
      </c>
      <c r="P11180">
        <v>0</v>
      </c>
      <c r="Q11180">
        <v>0</v>
      </c>
      <c r="R11180" t="s">
        <v>41264</v>
      </c>
      <c r="S11180" t="s">
        <v>41775</v>
      </c>
      <c r="T11180" t="s">
        <v>42783</v>
      </c>
      <c r="U11180" t="s">
        <v>52151</v>
      </c>
      <c r="W11180" t="s">
        <v>40528</v>
      </c>
      <c r="X11180" t="s">
        <v>41265</v>
      </c>
    </row>
    <row r="11181" spans="1:24">
      <c r="A11181">
        <f>HYPERLINK("https://www.philgeps.gov.ph/GEPSNONPILOT/Tender/SplashBidNoticeAbstractUI.aspx?menuIndex=3&amp;refID=7055170&amp;Result=3","7055170")</f>
        <v>0</v>
      </c>
      <c r="B11181" t="s">
        <v>2200</v>
      </c>
      <c r="C11181" t="s">
        <v>14074</v>
      </c>
      <c r="D11181" t="s">
        <v>16646</v>
      </c>
      <c r="E11181" t="s">
        <v>26385</v>
      </c>
      <c r="F11181" t="s">
        <v>28669</v>
      </c>
      <c r="G11181" t="s">
        <v>28675</v>
      </c>
      <c r="H11181" t="s">
        <v>28686</v>
      </c>
      <c r="I11181" t="s">
        <v>28689</v>
      </c>
      <c r="J11181" t="s">
        <v>35711</v>
      </c>
      <c r="K11181" t="s">
        <v>37211</v>
      </c>
      <c r="M11181" t="s">
        <v>39850</v>
      </c>
      <c r="N11181" t="s">
        <v>41249</v>
      </c>
      <c r="O11181" t="s">
        <v>41250</v>
      </c>
      <c r="Q11181">
        <v>32</v>
      </c>
      <c r="R11181" t="s">
        <v>41264</v>
      </c>
      <c r="S11181" t="s">
        <v>41862</v>
      </c>
      <c r="T11181" t="s">
        <v>42764</v>
      </c>
      <c r="U11181" t="s">
        <v>52170</v>
      </c>
      <c r="V11181" t="s">
        <v>55553</v>
      </c>
      <c r="W11181" t="s">
        <v>39850</v>
      </c>
      <c r="X11181" t="s">
        <v>41265</v>
      </c>
    </row>
    <row r="11182" spans="1:24">
      <c r="A11182">
        <f>HYPERLINK("https://www.philgeps.gov.ph/GEPSNONPILOT/Tender/SplashBidNoticeAbstractUI.aspx?menuIndex=3&amp;refID=7055165&amp;Result=3","7055165")</f>
        <v>0</v>
      </c>
      <c r="B11182" t="s">
        <v>807</v>
      </c>
      <c r="C11182" t="s">
        <v>14075</v>
      </c>
      <c r="E11182" t="s">
        <v>26386</v>
      </c>
      <c r="F11182" t="s">
        <v>28669</v>
      </c>
      <c r="G11182" t="s">
        <v>28675</v>
      </c>
      <c r="H11182" t="s">
        <v>28686</v>
      </c>
      <c r="I11182" t="s">
        <v>28689</v>
      </c>
      <c r="J11182" t="s">
        <v>35712</v>
      </c>
      <c r="K11182" t="s">
        <v>37209</v>
      </c>
      <c r="M11182" t="s">
        <v>38322</v>
      </c>
      <c r="N11182" t="s">
        <v>41249</v>
      </c>
      <c r="O11182" t="s">
        <v>41250</v>
      </c>
      <c r="Q11182">
        <v>2</v>
      </c>
      <c r="R11182" t="s">
        <v>41264</v>
      </c>
      <c r="S11182" t="s">
        <v>41596</v>
      </c>
      <c r="T11182" t="s">
        <v>42690</v>
      </c>
      <c r="U11182" t="s">
        <v>52171</v>
      </c>
      <c r="W11182" t="s">
        <v>38322</v>
      </c>
      <c r="X11182" t="s">
        <v>41265</v>
      </c>
    </row>
    <row r="11183" spans="1:24">
      <c r="A11183">
        <f>HYPERLINK("https://www.philgeps.gov.ph/GEPSNONPILOT/Tender/SplashBidNoticeAbstractUI.aspx?menuIndex=3&amp;refID=7055157&amp;Result=3","7055157")</f>
        <v>0</v>
      </c>
      <c r="B11183" t="s">
        <v>3069</v>
      </c>
      <c r="C11183" t="s">
        <v>14076</v>
      </c>
      <c r="D11183" t="s">
        <v>16622</v>
      </c>
      <c r="E11183" t="s">
        <v>26387</v>
      </c>
      <c r="F11183" t="s">
        <v>28669</v>
      </c>
      <c r="G11183" t="s">
        <v>28675</v>
      </c>
      <c r="H11183" t="s">
        <v>9998</v>
      </c>
      <c r="I11183" t="s">
        <v>7352</v>
      </c>
      <c r="J11183" t="s">
        <v>35713</v>
      </c>
      <c r="K11183" t="s">
        <v>37206</v>
      </c>
      <c r="M11183" t="s">
        <v>40851</v>
      </c>
      <c r="N11183" t="s">
        <v>41249</v>
      </c>
      <c r="O11183" t="s">
        <v>41250</v>
      </c>
      <c r="P11183">
        <v>0</v>
      </c>
      <c r="Q11183">
        <v>0</v>
      </c>
      <c r="R11183" t="s">
        <v>41264</v>
      </c>
      <c r="S11183" t="s">
        <v>41775</v>
      </c>
      <c r="T11183" t="s">
        <v>42764</v>
      </c>
      <c r="U11183" t="s">
        <v>52172</v>
      </c>
      <c r="W11183" t="s">
        <v>56022</v>
      </c>
      <c r="X11183" t="s">
        <v>41265</v>
      </c>
    </row>
    <row r="11184" spans="1:24">
      <c r="A11184">
        <f>HYPERLINK("https://www.philgeps.gov.ph/GEPSNONPILOT/Tender/SplashBidNoticeAbstractUI.aspx?menuIndex=3&amp;refID=7055151&amp;Result=3","7055151")</f>
        <v>0</v>
      </c>
      <c r="B11184" t="s">
        <v>2200</v>
      </c>
      <c r="C11184" t="s">
        <v>14077</v>
      </c>
      <c r="D11184" t="s">
        <v>16646</v>
      </c>
      <c r="E11184" t="s">
        <v>26388</v>
      </c>
      <c r="F11184" t="s">
        <v>28669</v>
      </c>
      <c r="G11184" t="s">
        <v>28675</v>
      </c>
      <c r="H11184" t="s">
        <v>28686</v>
      </c>
      <c r="I11184" t="s">
        <v>28689</v>
      </c>
      <c r="J11184" t="s">
        <v>35714</v>
      </c>
      <c r="K11184" t="s">
        <v>37215</v>
      </c>
      <c r="M11184" t="s">
        <v>39850</v>
      </c>
      <c r="N11184" t="s">
        <v>41249</v>
      </c>
      <c r="O11184" t="s">
        <v>41250</v>
      </c>
      <c r="Q11184">
        <v>32</v>
      </c>
      <c r="R11184" t="s">
        <v>41264</v>
      </c>
      <c r="S11184" t="s">
        <v>41863</v>
      </c>
      <c r="T11184" t="s">
        <v>42764</v>
      </c>
      <c r="U11184" t="s">
        <v>52173</v>
      </c>
      <c r="V11184" t="s">
        <v>55553</v>
      </c>
      <c r="W11184" t="s">
        <v>39850</v>
      </c>
      <c r="X11184" t="s">
        <v>41265</v>
      </c>
    </row>
    <row r="11185" spans="1:24">
      <c r="A11185">
        <f>HYPERLINK("https://www.philgeps.gov.ph/GEPSNONPILOT/Tender/SplashBidNoticeAbstractUI.aspx?menuIndex=3&amp;refID=7055148&amp;Result=3","7055148")</f>
        <v>0</v>
      </c>
      <c r="B11185" t="s">
        <v>3059</v>
      </c>
      <c r="C11185" t="s">
        <v>11683</v>
      </c>
      <c r="D11185" t="s">
        <v>16634</v>
      </c>
      <c r="E11185" t="s">
        <v>26389</v>
      </c>
      <c r="F11185" t="s">
        <v>28669</v>
      </c>
      <c r="G11185" t="s">
        <v>28675</v>
      </c>
      <c r="H11185" t="s">
        <v>28686</v>
      </c>
      <c r="I11185" t="s">
        <v>28689</v>
      </c>
      <c r="J11185" t="s">
        <v>30848</v>
      </c>
      <c r="K11185" t="s">
        <v>37258</v>
      </c>
      <c r="M11185" t="s">
        <v>40840</v>
      </c>
      <c r="N11185" t="s">
        <v>41249</v>
      </c>
      <c r="O11185" t="s">
        <v>41250</v>
      </c>
      <c r="P11185">
        <v>0</v>
      </c>
      <c r="Q11185">
        <v>0</v>
      </c>
      <c r="R11185" t="s">
        <v>41264</v>
      </c>
      <c r="S11185" t="s">
        <v>41775</v>
      </c>
      <c r="T11185" t="s">
        <v>42722</v>
      </c>
      <c r="U11185" t="s">
        <v>52174</v>
      </c>
      <c r="W11185" t="s">
        <v>40840</v>
      </c>
      <c r="X11185" t="s">
        <v>41265</v>
      </c>
    </row>
    <row r="11186" spans="1:24">
      <c r="A11186">
        <f>HYPERLINK("https://www.philgeps.gov.ph/GEPSNONPILOT/Tender/SplashBidNoticeAbstractUI.aspx?menuIndex=3&amp;refID=7055145&amp;Result=3","7055145")</f>
        <v>0</v>
      </c>
      <c r="B11186" t="s">
        <v>3065</v>
      </c>
      <c r="C11186" t="s">
        <v>14078</v>
      </c>
      <c r="D11186" t="s">
        <v>16633</v>
      </c>
      <c r="E11186" t="s">
        <v>26390</v>
      </c>
      <c r="F11186" t="s">
        <v>28669</v>
      </c>
      <c r="G11186" t="s">
        <v>28675</v>
      </c>
      <c r="H11186" t="s">
        <v>9998</v>
      </c>
      <c r="I11186" t="s">
        <v>28695</v>
      </c>
      <c r="J11186" t="s">
        <v>35715</v>
      </c>
      <c r="K11186" t="s">
        <v>37205</v>
      </c>
      <c r="L11186" t="s">
        <v>3065</v>
      </c>
      <c r="M11186" t="s">
        <v>40847</v>
      </c>
      <c r="N11186" t="s">
        <v>41249</v>
      </c>
      <c r="O11186" t="s">
        <v>41250</v>
      </c>
      <c r="P11186">
        <v>0</v>
      </c>
      <c r="Q11186">
        <v>1</v>
      </c>
      <c r="R11186" t="s">
        <v>41264</v>
      </c>
      <c r="S11186" t="s">
        <v>41775</v>
      </c>
      <c r="T11186" t="s">
        <v>42809</v>
      </c>
      <c r="U11186" t="s">
        <v>52175</v>
      </c>
      <c r="W11186" t="s">
        <v>40847</v>
      </c>
      <c r="X11186" t="s">
        <v>41265</v>
      </c>
    </row>
    <row r="11187" spans="1:24">
      <c r="A11187">
        <f>HYPERLINK("https://www.philgeps.gov.ph/GEPSNONPILOT/Tender/SplashBidNoticeAbstractUI.aspx?menuIndex=3&amp;refID=7055119&amp;Result=3","7055119")</f>
        <v>0</v>
      </c>
      <c r="B11187" t="s">
        <v>1812</v>
      </c>
      <c r="C11187" t="s">
        <v>14079</v>
      </c>
      <c r="D11187" t="s">
        <v>16616</v>
      </c>
      <c r="E11187" t="s">
        <v>26391</v>
      </c>
      <c r="F11187" t="s">
        <v>28669</v>
      </c>
      <c r="G11187" t="s">
        <v>28675</v>
      </c>
      <c r="H11187" t="s">
        <v>9998</v>
      </c>
      <c r="I11187" t="s">
        <v>28704</v>
      </c>
      <c r="J11187" t="s">
        <v>35716</v>
      </c>
      <c r="K11187" t="s">
        <v>37205</v>
      </c>
      <c r="M11187" t="s">
        <v>39422</v>
      </c>
      <c r="N11187" t="s">
        <v>41249</v>
      </c>
      <c r="O11187" t="s">
        <v>41250</v>
      </c>
      <c r="P11187">
        <v>0</v>
      </c>
      <c r="Q11187">
        <v>1</v>
      </c>
      <c r="R11187" t="s">
        <v>41264</v>
      </c>
      <c r="S11187" t="s">
        <v>41775</v>
      </c>
      <c r="T11187" t="s">
        <v>42679</v>
      </c>
      <c r="U11187" t="s">
        <v>52176</v>
      </c>
      <c r="V11187" t="s">
        <v>55561</v>
      </c>
      <c r="W11187" t="s">
        <v>39422</v>
      </c>
      <c r="X11187" t="s">
        <v>41265</v>
      </c>
    </row>
    <row r="11188" spans="1:24">
      <c r="A11188">
        <f>HYPERLINK("https://www.philgeps.gov.ph/GEPSNONPILOT/Tender/SplashBidNoticeAbstractUI.aspx?menuIndex=3&amp;refID=7052688&amp;Result=3","7052688")</f>
        <v>0</v>
      </c>
      <c r="B11188" t="s">
        <v>2075</v>
      </c>
      <c r="C11188" t="s">
        <v>14080</v>
      </c>
      <c r="E11188" t="s">
        <v>26392</v>
      </c>
      <c r="F11188" t="s">
        <v>28669</v>
      </c>
      <c r="G11188" t="s">
        <v>28675</v>
      </c>
      <c r="H11188" t="s">
        <v>9998</v>
      </c>
      <c r="I11188" t="s">
        <v>28729</v>
      </c>
      <c r="J11188" t="s">
        <v>29523</v>
      </c>
      <c r="K11188" t="s">
        <v>37209</v>
      </c>
      <c r="M11188" t="s">
        <v>39716</v>
      </c>
      <c r="N11188" t="s">
        <v>41249</v>
      </c>
      <c r="O11188" t="s">
        <v>41250</v>
      </c>
      <c r="P11188">
        <v>0</v>
      </c>
      <c r="Q11188">
        <v>2</v>
      </c>
      <c r="R11188" t="s">
        <v>41264</v>
      </c>
      <c r="S11188" t="s">
        <v>41775</v>
      </c>
      <c r="T11188" t="s">
        <v>42678</v>
      </c>
      <c r="U11188" t="s">
        <v>47654</v>
      </c>
      <c r="W11188" t="s">
        <v>39716</v>
      </c>
      <c r="X11188" t="s">
        <v>41265</v>
      </c>
    </row>
    <row r="11189" spans="1:24">
      <c r="A11189">
        <f>HYPERLINK("https://www.philgeps.gov.ph/GEPSNONPILOT/Tender/SplashBidNoticeAbstractUI.aspx?menuIndex=3&amp;refID=7055245&amp;Result=3","7055245")</f>
        <v>0</v>
      </c>
      <c r="B11189" t="s">
        <v>2511</v>
      </c>
      <c r="C11189" t="s">
        <v>14081</v>
      </c>
      <c r="D11189" t="s">
        <v>16676</v>
      </c>
      <c r="E11189" t="s">
        <v>26393</v>
      </c>
      <c r="F11189" t="s">
        <v>28669</v>
      </c>
      <c r="G11189" t="s">
        <v>28676</v>
      </c>
      <c r="H11189" t="s">
        <v>9998</v>
      </c>
      <c r="I11189" t="s">
        <v>28697</v>
      </c>
      <c r="J11189" t="s">
        <v>29447</v>
      </c>
      <c r="K11189" t="s">
        <v>37206</v>
      </c>
      <c r="M11189" t="s">
        <v>40199</v>
      </c>
      <c r="N11189" t="s">
        <v>41249</v>
      </c>
      <c r="O11189" t="s">
        <v>41250</v>
      </c>
      <c r="P11189">
        <v>0</v>
      </c>
      <c r="Q11189">
        <v>5</v>
      </c>
      <c r="R11189" t="s">
        <v>41264</v>
      </c>
      <c r="S11189" t="s">
        <v>41775</v>
      </c>
      <c r="T11189" t="s">
        <v>42681</v>
      </c>
      <c r="U11189" t="s">
        <v>52177</v>
      </c>
      <c r="W11189" t="s">
        <v>40199</v>
      </c>
      <c r="X11189" t="s">
        <v>41265</v>
      </c>
    </row>
    <row r="11190" spans="1:24">
      <c r="A11190">
        <f>HYPERLINK("https://www.philgeps.gov.ph/GEPSNONPILOT/Tender/SplashBidNoticeAbstractUI.aspx?menuIndex=3&amp;refID=7055239&amp;Result=3","7055239")</f>
        <v>0</v>
      </c>
      <c r="B11190" t="s">
        <v>573</v>
      </c>
      <c r="C11190" t="s">
        <v>14082</v>
      </c>
      <c r="E11190" t="s">
        <v>26394</v>
      </c>
      <c r="F11190" t="s">
        <v>28669</v>
      </c>
      <c r="G11190" t="s">
        <v>28675</v>
      </c>
      <c r="H11190" t="s">
        <v>9998</v>
      </c>
      <c r="I11190" t="s">
        <v>3718</v>
      </c>
      <c r="J11190" t="s">
        <v>35717</v>
      </c>
      <c r="K11190" t="s">
        <v>37206</v>
      </c>
      <c r="M11190" t="s">
        <v>40852</v>
      </c>
      <c r="N11190" t="s">
        <v>41249</v>
      </c>
      <c r="O11190" t="s">
        <v>41250</v>
      </c>
      <c r="P11190">
        <v>0</v>
      </c>
      <c r="Q11190">
        <v>9</v>
      </c>
      <c r="R11190" t="s">
        <v>41264</v>
      </c>
      <c r="S11190" t="s">
        <v>41775</v>
      </c>
      <c r="T11190" t="s">
        <v>42659</v>
      </c>
      <c r="U11190" t="s">
        <v>52178</v>
      </c>
      <c r="W11190" t="s">
        <v>40852</v>
      </c>
      <c r="X11190" t="s">
        <v>41265</v>
      </c>
    </row>
    <row r="11191" spans="1:24">
      <c r="A11191">
        <f>HYPERLINK("https://www.philgeps.gov.ph/GEPSNONPILOT/Tender/SplashBidNoticeAbstractUI.aspx?menuIndex=3&amp;refID=7055373&amp;Result=3","7055373")</f>
        <v>0</v>
      </c>
      <c r="B11191" t="s">
        <v>3070</v>
      </c>
      <c r="C11191" t="s">
        <v>14083</v>
      </c>
      <c r="D11191" t="s">
        <v>16607</v>
      </c>
      <c r="E11191" t="s">
        <v>26395</v>
      </c>
      <c r="F11191" t="s">
        <v>28669</v>
      </c>
      <c r="G11191" t="s">
        <v>28675</v>
      </c>
      <c r="H11191" t="s">
        <v>28686</v>
      </c>
      <c r="I11191" t="s">
        <v>28689</v>
      </c>
      <c r="J11191" t="s">
        <v>29033</v>
      </c>
      <c r="K11191" t="s">
        <v>37211</v>
      </c>
      <c r="M11191" t="s">
        <v>40853</v>
      </c>
      <c r="N11191" t="s">
        <v>41249</v>
      </c>
      <c r="O11191" t="s">
        <v>41250</v>
      </c>
      <c r="P11191">
        <v>0</v>
      </c>
      <c r="Q11191">
        <v>80</v>
      </c>
      <c r="R11191" t="s">
        <v>41264</v>
      </c>
      <c r="S11191" t="s">
        <v>41775</v>
      </c>
      <c r="T11191" t="s">
        <v>42714</v>
      </c>
      <c r="U11191" t="s">
        <v>52179</v>
      </c>
      <c r="V11191" t="s">
        <v>55562</v>
      </c>
      <c r="W11191" t="s">
        <v>56023</v>
      </c>
      <c r="X11191" t="s">
        <v>41265</v>
      </c>
    </row>
    <row r="11192" spans="1:24">
      <c r="A11192">
        <f>HYPERLINK("https://www.philgeps.gov.ph/GEPSNONPILOT/Tender/SplashBidNoticeAbstractUI.aspx?menuIndex=3&amp;refID=7055366&amp;Result=3","7055366")</f>
        <v>0</v>
      </c>
      <c r="B11192" t="s">
        <v>3070</v>
      </c>
      <c r="C11192" t="s">
        <v>14084</v>
      </c>
      <c r="D11192" t="s">
        <v>16607</v>
      </c>
      <c r="E11192" t="s">
        <v>26396</v>
      </c>
      <c r="F11192" t="s">
        <v>28669</v>
      </c>
      <c r="G11192" t="s">
        <v>28675</v>
      </c>
      <c r="H11192" t="s">
        <v>28686</v>
      </c>
      <c r="I11192" t="s">
        <v>28689</v>
      </c>
      <c r="J11192" t="s">
        <v>29847</v>
      </c>
      <c r="K11192" t="s">
        <v>37218</v>
      </c>
      <c r="M11192" t="s">
        <v>40853</v>
      </c>
      <c r="N11192" t="s">
        <v>41249</v>
      </c>
      <c r="O11192" t="s">
        <v>41250</v>
      </c>
      <c r="P11192">
        <v>0</v>
      </c>
      <c r="Q11192">
        <v>82</v>
      </c>
      <c r="R11192" t="s">
        <v>41264</v>
      </c>
      <c r="S11192" t="s">
        <v>41775</v>
      </c>
      <c r="T11192" t="s">
        <v>42714</v>
      </c>
      <c r="U11192" t="s">
        <v>52179</v>
      </c>
      <c r="V11192" t="s">
        <v>55563</v>
      </c>
      <c r="W11192" t="s">
        <v>56023</v>
      </c>
      <c r="X11192" t="s">
        <v>41265</v>
      </c>
    </row>
    <row r="11193" spans="1:24">
      <c r="A11193">
        <f>HYPERLINK("https://www.philgeps.gov.ph/GEPSNONPILOT/Tender/SplashBidNoticeAbstractUI.aspx?menuIndex=3&amp;refID=7055149&amp;Result=3","7055149")</f>
        <v>0</v>
      </c>
      <c r="B11193" t="s">
        <v>3068</v>
      </c>
      <c r="C11193" t="s">
        <v>14085</v>
      </c>
      <c r="D11193" t="s">
        <v>16614</v>
      </c>
      <c r="E11193" t="s">
        <v>26397</v>
      </c>
      <c r="F11193" t="s">
        <v>28671</v>
      </c>
      <c r="G11193" t="s">
        <v>28675</v>
      </c>
      <c r="H11193" t="s">
        <v>9998</v>
      </c>
      <c r="I11193" t="s">
        <v>7352</v>
      </c>
      <c r="J11193" t="s">
        <v>35718</v>
      </c>
      <c r="K11193" t="s">
        <v>37220</v>
      </c>
      <c r="M11193" t="s">
        <v>40850</v>
      </c>
      <c r="N11193" t="s">
        <v>41249</v>
      </c>
      <c r="O11193" t="s">
        <v>41250</v>
      </c>
      <c r="P11193">
        <v>0</v>
      </c>
      <c r="Q11193">
        <v>0</v>
      </c>
      <c r="R11193" t="s">
        <v>41264</v>
      </c>
      <c r="S11193" t="s">
        <v>41775</v>
      </c>
      <c r="T11193" t="s">
        <v>42736</v>
      </c>
      <c r="U11193" t="s">
        <v>52180</v>
      </c>
      <c r="W11193" t="s">
        <v>40850</v>
      </c>
      <c r="X11193" t="s">
        <v>41265</v>
      </c>
    </row>
    <row r="11194" spans="1:24">
      <c r="A11194">
        <f>HYPERLINK("https://www.philgeps.gov.ph/GEPSNONPILOT/Tender/SplashBidNoticeAbstractUI.aspx?menuIndex=3&amp;refID=7055362&amp;Result=3","7055362")</f>
        <v>0</v>
      </c>
      <c r="B11194" t="s">
        <v>573</v>
      </c>
      <c r="C11194" t="s">
        <v>14086</v>
      </c>
      <c r="E11194" t="s">
        <v>26398</v>
      </c>
      <c r="F11194" t="s">
        <v>28669</v>
      </c>
      <c r="G11194" t="s">
        <v>28675</v>
      </c>
      <c r="H11194" t="s">
        <v>9998</v>
      </c>
      <c r="I11194" t="s">
        <v>28736</v>
      </c>
      <c r="J11194" t="s">
        <v>35719</v>
      </c>
      <c r="K11194" t="s">
        <v>37206</v>
      </c>
      <c r="M11194" t="s">
        <v>40852</v>
      </c>
      <c r="N11194" t="s">
        <v>41249</v>
      </c>
      <c r="O11194" t="s">
        <v>41250</v>
      </c>
      <c r="Q11194">
        <v>1</v>
      </c>
      <c r="R11194" t="s">
        <v>41264</v>
      </c>
      <c r="S11194" t="s">
        <v>41864</v>
      </c>
      <c r="T11194" t="s">
        <v>42659</v>
      </c>
      <c r="U11194" t="s">
        <v>52181</v>
      </c>
      <c r="W11194" t="s">
        <v>40852</v>
      </c>
      <c r="X11194" t="s">
        <v>41265</v>
      </c>
    </row>
    <row r="11195" spans="1:24">
      <c r="A11195">
        <f>HYPERLINK("https://www.philgeps.gov.ph/GEPSNONPILOT/Tender/SplashBidNoticeAbstractUI.aspx?menuIndex=3&amp;refID=7055361&amp;Result=3","7055361")</f>
        <v>0</v>
      </c>
      <c r="B11195" t="s">
        <v>3071</v>
      </c>
      <c r="C11195" t="s">
        <v>14087</v>
      </c>
      <c r="D11195" t="s">
        <v>16608</v>
      </c>
      <c r="E11195" t="s">
        <v>26399</v>
      </c>
      <c r="F11195" t="s">
        <v>28671</v>
      </c>
      <c r="G11195" t="s">
        <v>28675</v>
      </c>
      <c r="H11195" t="s">
        <v>28685</v>
      </c>
      <c r="I11195" t="s">
        <v>28689</v>
      </c>
      <c r="J11195" t="s">
        <v>35720</v>
      </c>
      <c r="K11195" t="s">
        <v>37206</v>
      </c>
      <c r="M11195" t="s">
        <v>40854</v>
      </c>
      <c r="N11195" t="s">
        <v>41249</v>
      </c>
      <c r="O11195" t="s">
        <v>41250</v>
      </c>
      <c r="P11195">
        <v>0</v>
      </c>
      <c r="Q11195">
        <v>0</v>
      </c>
      <c r="R11195" t="s">
        <v>41264</v>
      </c>
      <c r="S11195" t="s">
        <v>41775</v>
      </c>
      <c r="T11195" t="s">
        <v>42827</v>
      </c>
      <c r="U11195" t="s">
        <v>52182</v>
      </c>
      <c r="V11195" t="s">
        <v>54528</v>
      </c>
      <c r="W11195" t="s">
        <v>40854</v>
      </c>
      <c r="X11195" t="s">
        <v>41265</v>
      </c>
    </row>
    <row r="11196" spans="1:24">
      <c r="A11196">
        <f>HYPERLINK("https://www.philgeps.gov.ph/GEPSNONPILOT/Tender/SplashBidNoticeAbstractUI.aspx?menuIndex=3&amp;refID=7055358&amp;Result=3","7055358")</f>
        <v>0</v>
      </c>
      <c r="B11196" t="s">
        <v>3071</v>
      </c>
      <c r="C11196" t="s">
        <v>14088</v>
      </c>
      <c r="D11196" t="s">
        <v>16608</v>
      </c>
      <c r="E11196" t="s">
        <v>26400</v>
      </c>
      <c r="F11196" t="s">
        <v>28671</v>
      </c>
      <c r="G11196" t="s">
        <v>28675</v>
      </c>
      <c r="H11196" t="s">
        <v>28686</v>
      </c>
      <c r="I11196" t="s">
        <v>28689</v>
      </c>
      <c r="J11196" t="s">
        <v>35721</v>
      </c>
      <c r="K11196" t="s">
        <v>37206</v>
      </c>
      <c r="M11196" t="s">
        <v>40854</v>
      </c>
      <c r="N11196" t="s">
        <v>41249</v>
      </c>
      <c r="O11196" t="s">
        <v>41250</v>
      </c>
      <c r="P11196">
        <v>0</v>
      </c>
      <c r="Q11196">
        <v>0</v>
      </c>
      <c r="R11196" t="s">
        <v>41264</v>
      </c>
      <c r="S11196" t="s">
        <v>41775</v>
      </c>
      <c r="T11196" t="s">
        <v>42827</v>
      </c>
      <c r="U11196" t="s">
        <v>52182</v>
      </c>
      <c r="V11196" t="s">
        <v>54528</v>
      </c>
      <c r="W11196" t="s">
        <v>40854</v>
      </c>
      <c r="X11196" t="s">
        <v>41265</v>
      </c>
    </row>
    <row r="11197" spans="1:24">
      <c r="A11197">
        <f>HYPERLINK("https://www.philgeps.gov.ph/GEPSNONPILOT/Tender/SplashBidNoticeAbstractUI.aspx?menuIndex=3&amp;refID=7054887&amp;Result=3","7054887")</f>
        <v>0</v>
      </c>
      <c r="B11197" t="s">
        <v>2558</v>
      </c>
      <c r="C11197" t="s">
        <v>14089</v>
      </c>
      <c r="D11197" t="s">
        <v>16618</v>
      </c>
      <c r="E11197" t="s">
        <v>26401</v>
      </c>
      <c r="F11197" t="s">
        <v>28669</v>
      </c>
      <c r="G11197" t="s">
        <v>28675</v>
      </c>
      <c r="H11197" t="s">
        <v>28686</v>
      </c>
      <c r="I11197" t="s">
        <v>28689</v>
      </c>
      <c r="J11197" t="s">
        <v>30559</v>
      </c>
      <c r="K11197" t="s">
        <v>37213</v>
      </c>
      <c r="L11197" t="s">
        <v>2558</v>
      </c>
      <c r="M11197" t="s">
        <v>40832</v>
      </c>
      <c r="N11197" t="s">
        <v>41249</v>
      </c>
      <c r="O11197" t="s">
        <v>41250</v>
      </c>
      <c r="P11197">
        <v>0</v>
      </c>
      <c r="Q11197">
        <v>1</v>
      </c>
      <c r="R11197" t="s">
        <v>41264</v>
      </c>
      <c r="S11197" t="s">
        <v>41775</v>
      </c>
      <c r="T11197" t="s">
        <v>42697</v>
      </c>
      <c r="U11197" t="s">
        <v>52096</v>
      </c>
      <c r="W11197" t="s">
        <v>40832</v>
      </c>
      <c r="X11197" t="s">
        <v>41265</v>
      </c>
    </row>
    <row r="11198" spans="1:24">
      <c r="A11198">
        <f>HYPERLINK("https://www.philgeps.gov.ph/GEPSNONPILOT/Tender/SplashBidNoticeAbstractUI.aspx?menuIndex=3&amp;refID=7055341&amp;Result=3","7055341")</f>
        <v>0</v>
      </c>
      <c r="B11198" t="s">
        <v>1389</v>
      </c>
      <c r="C11198" t="s">
        <v>14090</v>
      </c>
      <c r="D11198" t="s">
        <v>16617</v>
      </c>
      <c r="E11198" t="s">
        <v>16746</v>
      </c>
      <c r="F11198" t="s">
        <v>28669</v>
      </c>
      <c r="G11198" t="s">
        <v>28675</v>
      </c>
      <c r="H11198" t="s">
        <v>9998</v>
      </c>
      <c r="I11198" t="s">
        <v>5213</v>
      </c>
      <c r="J11198" t="s">
        <v>35722</v>
      </c>
      <c r="K11198" t="s">
        <v>37206</v>
      </c>
      <c r="M11198" t="s">
        <v>38951</v>
      </c>
      <c r="N11198" t="s">
        <v>41249</v>
      </c>
      <c r="O11198" t="s">
        <v>41250</v>
      </c>
      <c r="Q11198">
        <v>5</v>
      </c>
      <c r="R11198" t="s">
        <v>41264</v>
      </c>
      <c r="S11198" t="s">
        <v>41865</v>
      </c>
      <c r="T11198" t="s">
        <v>43126</v>
      </c>
      <c r="U11198" t="s">
        <v>52183</v>
      </c>
      <c r="W11198" t="s">
        <v>38951</v>
      </c>
      <c r="X11198" t="s">
        <v>41265</v>
      </c>
    </row>
    <row r="11199" spans="1:24">
      <c r="A11199">
        <f>HYPERLINK("https://www.philgeps.gov.ph/GEPSNONPILOT/Tender/SplashBidNoticeAbstractUI.aspx?menuIndex=3&amp;refID=7057909&amp;Result=3","7057909")</f>
        <v>0</v>
      </c>
      <c r="B11199" t="s">
        <v>1144</v>
      </c>
      <c r="C11199" t="s">
        <v>14091</v>
      </c>
      <c r="D11199" t="s">
        <v>16608</v>
      </c>
      <c r="E11199" t="s">
        <v>26402</v>
      </c>
      <c r="F11199" t="s">
        <v>28669</v>
      </c>
      <c r="G11199" t="s">
        <v>28675</v>
      </c>
      <c r="H11199" t="s">
        <v>28686</v>
      </c>
      <c r="I11199" t="s">
        <v>28689</v>
      </c>
      <c r="J11199" t="s">
        <v>35723</v>
      </c>
      <c r="K11199" t="s">
        <v>37420</v>
      </c>
      <c r="M11199" t="s">
        <v>38680</v>
      </c>
      <c r="N11199" t="s">
        <v>41249</v>
      </c>
      <c r="O11199" t="s">
        <v>41250</v>
      </c>
      <c r="Q11199">
        <v>19</v>
      </c>
      <c r="R11199" t="s">
        <v>41263</v>
      </c>
      <c r="S11199" t="s">
        <v>41866</v>
      </c>
      <c r="T11199" t="s">
        <v>42764</v>
      </c>
      <c r="U11199" t="s">
        <v>45543</v>
      </c>
      <c r="W11199" t="s">
        <v>38680</v>
      </c>
      <c r="X11199" t="s">
        <v>41264</v>
      </c>
    </row>
    <row r="11200" spans="1:24">
      <c r="A11200">
        <f>HYPERLINK("https://www.philgeps.gov.ph/GEPSNONPILOT/Tender/SplashBidNoticeAbstractUI.aspx?menuIndex=3&amp;refID=7055300&amp;Result=3","7055300")</f>
        <v>0</v>
      </c>
      <c r="B11200" t="s">
        <v>1619</v>
      </c>
      <c r="C11200" t="s">
        <v>14092</v>
      </c>
      <c r="D11200" t="s">
        <v>16678</v>
      </c>
      <c r="E11200" t="s">
        <v>26403</v>
      </c>
      <c r="F11200" t="s">
        <v>28669</v>
      </c>
      <c r="G11200" t="s">
        <v>28675</v>
      </c>
      <c r="H11200" t="s">
        <v>28686</v>
      </c>
      <c r="I11200" t="s">
        <v>28689</v>
      </c>
      <c r="J11200" t="s">
        <v>31637</v>
      </c>
      <c r="K11200" t="s">
        <v>37255</v>
      </c>
      <c r="M11200" t="s">
        <v>39205</v>
      </c>
      <c r="N11200" t="s">
        <v>41249</v>
      </c>
      <c r="O11200" t="s">
        <v>41250</v>
      </c>
      <c r="Q11200">
        <v>1</v>
      </c>
      <c r="R11200" t="s">
        <v>41264</v>
      </c>
      <c r="S11200" t="s">
        <v>41867</v>
      </c>
      <c r="T11200" t="s">
        <v>42783</v>
      </c>
      <c r="U11200" t="s">
        <v>52184</v>
      </c>
      <c r="V11200" t="s">
        <v>55564</v>
      </c>
      <c r="W11200" t="s">
        <v>39205</v>
      </c>
      <c r="X11200" t="s">
        <v>41265</v>
      </c>
    </row>
    <row r="11201" spans="1:24">
      <c r="A11201">
        <f>HYPERLINK("https://www.philgeps.gov.ph/GEPSNONPILOT/Tender/SplashBidNoticeAbstractUI.aspx?menuIndex=3&amp;refID=7055198&amp;Result=3","7055198")</f>
        <v>0</v>
      </c>
      <c r="B11201" t="s">
        <v>807</v>
      </c>
      <c r="C11201" t="s">
        <v>14093</v>
      </c>
      <c r="E11201" t="s">
        <v>26404</v>
      </c>
      <c r="F11201" t="s">
        <v>28669</v>
      </c>
      <c r="G11201" t="s">
        <v>28675</v>
      </c>
      <c r="H11201" t="s">
        <v>28686</v>
      </c>
      <c r="I11201" t="s">
        <v>28689</v>
      </c>
      <c r="J11201" t="s">
        <v>30427</v>
      </c>
      <c r="K11201" t="s">
        <v>37209</v>
      </c>
      <c r="M11201" t="s">
        <v>38322</v>
      </c>
      <c r="N11201" t="s">
        <v>41249</v>
      </c>
      <c r="O11201" t="s">
        <v>41250</v>
      </c>
      <c r="Q11201">
        <v>3</v>
      </c>
      <c r="R11201" t="s">
        <v>41264</v>
      </c>
      <c r="S11201" t="s">
        <v>41868</v>
      </c>
      <c r="T11201" t="s">
        <v>42699</v>
      </c>
      <c r="U11201" t="s">
        <v>52185</v>
      </c>
      <c r="W11201" t="s">
        <v>38322</v>
      </c>
      <c r="X11201" t="s">
        <v>41265</v>
      </c>
    </row>
    <row r="11202" spans="1:24">
      <c r="A11202">
        <f>HYPERLINK("https://www.philgeps.gov.ph/GEPSNONPILOT/Tender/SplashBidNoticeAbstractUI.aspx?menuIndex=3&amp;refID=7054806&amp;Result=3","7054806")</f>
        <v>0</v>
      </c>
      <c r="B11202" t="s">
        <v>2122</v>
      </c>
      <c r="C11202" t="s">
        <v>14094</v>
      </c>
      <c r="D11202" t="s">
        <v>16632</v>
      </c>
      <c r="E11202" t="s">
        <v>26405</v>
      </c>
      <c r="F11202" t="s">
        <v>28669</v>
      </c>
      <c r="G11202" t="s">
        <v>28677</v>
      </c>
      <c r="H11202" t="s">
        <v>28686</v>
      </c>
      <c r="I11202" t="s">
        <v>28691</v>
      </c>
      <c r="J11202" t="s">
        <v>35724</v>
      </c>
      <c r="K11202" t="s">
        <v>37209</v>
      </c>
      <c r="M11202" t="s">
        <v>39766</v>
      </c>
      <c r="N11202" t="s">
        <v>41249</v>
      </c>
      <c r="O11202" t="s">
        <v>41250</v>
      </c>
      <c r="P11202">
        <v>0</v>
      </c>
      <c r="Q11202">
        <v>0</v>
      </c>
      <c r="R11202" t="s">
        <v>41264</v>
      </c>
      <c r="S11202" t="s">
        <v>41775</v>
      </c>
      <c r="T11202" t="s">
        <v>43026</v>
      </c>
      <c r="U11202" t="s">
        <v>52186</v>
      </c>
      <c r="W11202" t="s">
        <v>39766</v>
      </c>
      <c r="X11202" t="s">
        <v>41265</v>
      </c>
    </row>
    <row r="11203" spans="1:24">
      <c r="A11203">
        <f>HYPERLINK("https://www.philgeps.gov.ph/GEPSNONPILOT/Tender/SplashBidNoticeAbstractUI.aspx?menuIndex=3&amp;refID=7055288&amp;Result=3","7055288")</f>
        <v>0</v>
      </c>
      <c r="B11203" t="s">
        <v>3072</v>
      </c>
      <c r="C11203" t="s">
        <v>14095</v>
      </c>
      <c r="D11203" t="s">
        <v>16643</v>
      </c>
      <c r="E11203" t="s">
        <v>16877</v>
      </c>
      <c r="F11203" t="s">
        <v>28669</v>
      </c>
      <c r="G11203" t="s">
        <v>28675</v>
      </c>
      <c r="H11203" t="s">
        <v>9998</v>
      </c>
      <c r="I11203" t="s">
        <v>28695</v>
      </c>
      <c r="J11203" t="s">
        <v>35725</v>
      </c>
      <c r="K11203" t="s">
        <v>37234</v>
      </c>
      <c r="M11203" t="s">
        <v>40855</v>
      </c>
      <c r="N11203" t="s">
        <v>41249</v>
      </c>
      <c r="O11203" t="s">
        <v>41250</v>
      </c>
      <c r="P11203">
        <v>0</v>
      </c>
      <c r="Q11203">
        <v>0</v>
      </c>
      <c r="R11203" t="s">
        <v>41264</v>
      </c>
      <c r="S11203" t="s">
        <v>41775</v>
      </c>
      <c r="T11203" t="s">
        <v>42729</v>
      </c>
      <c r="U11203" t="s">
        <v>52187</v>
      </c>
      <c r="W11203" t="s">
        <v>40855</v>
      </c>
      <c r="X11203" t="s">
        <v>41265</v>
      </c>
    </row>
    <row r="11204" spans="1:24">
      <c r="A11204">
        <f>HYPERLINK("https://www.philgeps.gov.ph/GEPSNONPILOT/Tender/SplashBidNoticeAbstractUI.aspx?menuIndex=3&amp;refID=7055326&amp;Result=3","7055326")</f>
        <v>0</v>
      </c>
      <c r="B11204" t="s">
        <v>369</v>
      </c>
      <c r="C11204" t="s">
        <v>14096</v>
      </c>
      <c r="D11204" t="s">
        <v>16619</v>
      </c>
      <c r="E11204" t="s">
        <v>26406</v>
      </c>
      <c r="F11204" t="s">
        <v>28669</v>
      </c>
      <c r="G11204" t="s">
        <v>28675</v>
      </c>
      <c r="H11204" t="s">
        <v>28686</v>
      </c>
      <c r="I11204" t="s">
        <v>28689</v>
      </c>
      <c r="J11204" t="s">
        <v>35726</v>
      </c>
      <c r="K11204" t="s">
        <v>37269</v>
      </c>
      <c r="M11204" t="s">
        <v>40033</v>
      </c>
      <c r="N11204" t="s">
        <v>41249</v>
      </c>
      <c r="O11204" t="s">
        <v>41250</v>
      </c>
      <c r="P11204">
        <v>0</v>
      </c>
      <c r="Q11204">
        <v>0</v>
      </c>
      <c r="R11204" t="s">
        <v>41264</v>
      </c>
      <c r="S11204" t="s">
        <v>41775</v>
      </c>
      <c r="T11204" t="s">
        <v>42910</v>
      </c>
      <c r="U11204" t="s">
        <v>49330</v>
      </c>
      <c r="W11204" t="s">
        <v>40033</v>
      </c>
      <c r="X11204" t="s">
        <v>41265</v>
      </c>
    </row>
    <row r="11205" spans="1:24">
      <c r="A11205">
        <f>HYPERLINK("https://www.philgeps.gov.ph/GEPSNONPILOT/Tender/SplashBidNoticeAbstractUI.aspx?menuIndex=3&amp;refID=7055311&amp;Result=3","7055311")</f>
        <v>0</v>
      </c>
      <c r="B11205" t="s">
        <v>369</v>
      </c>
      <c r="C11205" t="s">
        <v>14097</v>
      </c>
      <c r="D11205" t="s">
        <v>16619</v>
      </c>
      <c r="E11205" t="s">
        <v>26407</v>
      </c>
      <c r="F11205" t="s">
        <v>28669</v>
      </c>
      <c r="G11205" t="s">
        <v>28675</v>
      </c>
      <c r="H11205" t="s">
        <v>28686</v>
      </c>
      <c r="I11205" t="s">
        <v>28689</v>
      </c>
      <c r="J11205" t="s">
        <v>35727</v>
      </c>
      <c r="K11205" t="s">
        <v>37213</v>
      </c>
      <c r="M11205" t="s">
        <v>40033</v>
      </c>
      <c r="N11205" t="s">
        <v>41249</v>
      </c>
      <c r="O11205" t="s">
        <v>41250</v>
      </c>
      <c r="P11205">
        <v>0</v>
      </c>
      <c r="Q11205">
        <v>1</v>
      </c>
      <c r="R11205" t="s">
        <v>41264</v>
      </c>
      <c r="S11205" t="s">
        <v>41775</v>
      </c>
      <c r="T11205" t="s">
        <v>42839</v>
      </c>
      <c r="U11205" t="s">
        <v>49330</v>
      </c>
      <c r="W11205" t="s">
        <v>40033</v>
      </c>
      <c r="X11205" t="s">
        <v>41265</v>
      </c>
    </row>
    <row r="11206" spans="1:24">
      <c r="A11206">
        <f>HYPERLINK("https://www.philgeps.gov.ph/GEPSNONPILOT/Tender/SplashBidNoticeAbstractUI.aspx?menuIndex=3&amp;refID=7055279&amp;Result=3","7055279")</f>
        <v>0</v>
      </c>
      <c r="B11206" t="s">
        <v>1619</v>
      </c>
      <c r="C11206" t="s">
        <v>14098</v>
      </c>
      <c r="D11206" t="s">
        <v>16678</v>
      </c>
      <c r="E11206" t="s">
        <v>26408</v>
      </c>
      <c r="F11206" t="s">
        <v>28669</v>
      </c>
      <c r="G11206" t="s">
        <v>28675</v>
      </c>
      <c r="H11206" t="s">
        <v>28686</v>
      </c>
      <c r="I11206" t="s">
        <v>28689</v>
      </c>
      <c r="J11206" t="s">
        <v>31637</v>
      </c>
      <c r="K11206" t="s">
        <v>37255</v>
      </c>
      <c r="M11206" t="s">
        <v>39205</v>
      </c>
      <c r="N11206" t="s">
        <v>41249</v>
      </c>
      <c r="O11206" t="s">
        <v>41250</v>
      </c>
      <c r="P11206">
        <v>0</v>
      </c>
      <c r="Q11206">
        <v>1</v>
      </c>
      <c r="R11206" t="s">
        <v>41264</v>
      </c>
      <c r="S11206" t="s">
        <v>41775</v>
      </c>
      <c r="T11206" t="s">
        <v>42783</v>
      </c>
      <c r="U11206" t="s">
        <v>52184</v>
      </c>
      <c r="V11206" t="s">
        <v>55565</v>
      </c>
      <c r="W11206" t="s">
        <v>39205</v>
      </c>
      <c r="X11206" t="s">
        <v>41265</v>
      </c>
    </row>
    <row r="11207" spans="1:24">
      <c r="A11207">
        <f>HYPERLINK("https://www.philgeps.gov.ph/GEPSNONPILOT/Tender/SplashBidNoticeAbstractUI.aspx?menuIndex=3&amp;refID=7055256&amp;Result=3","7055256")</f>
        <v>0</v>
      </c>
      <c r="B11207" t="s">
        <v>369</v>
      </c>
      <c r="C11207" t="s">
        <v>14099</v>
      </c>
      <c r="D11207" t="s">
        <v>16619</v>
      </c>
      <c r="E11207" t="s">
        <v>26409</v>
      </c>
      <c r="F11207" t="s">
        <v>28669</v>
      </c>
      <c r="G11207" t="s">
        <v>28675</v>
      </c>
      <c r="H11207" t="s">
        <v>28686</v>
      </c>
      <c r="I11207" t="s">
        <v>28689</v>
      </c>
      <c r="J11207" t="s">
        <v>35728</v>
      </c>
      <c r="K11207" t="s">
        <v>37258</v>
      </c>
      <c r="M11207" t="s">
        <v>40033</v>
      </c>
      <c r="N11207" t="s">
        <v>41249</v>
      </c>
      <c r="O11207" t="s">
        <v>41250</v>
      </c>
      <c r="P11207">
        <v>0</v>
      </c>
      <c r="Q11207">
        <v>0</v>
      </c>
      <c r="R11207" t="s">
        <v>41264</v>
      </c>
      <c r="S11207" t="s">
        <v>41775</v>
      </c>
      <c r="T11207" t="s">
        <v>42910</v>
      </c>
      <c r="U11207" t="s">
        <v>49330</v>
      </c>
      <c r="W11207" t="s">
        <v>40033</v>
      </c>
      <c r="X11207" t="s">
        <v>41265</v>
      </c>
    </row>
    <row r="11208" spans="1:24">
      <c r="A11208">
        <f>HYPERLINK("https://www.philgeps.gov.ph/GEPSNONPILOT/Tender/SplashBidNoticeAbstractUI.aspx?menuIndex=3&amp;refID=7055365&amp;Result=3","7055365")</f>
        <v>0</v>
      </c>
      <c r="B11208" t="s">
        <v>3071</v>
      </c>
      <c r="C11208" t="s">
        <v>14100</v>
      </c>
      <c r="D11208" t="s">
        <v>16608</v>
      </c>
      <c r="E11208" t="s">
        <v>26410</v>
      </c>
      <c r="F11208" t="s">
        <v>28671</v>
      </c>
      <c r="G11208" t="s">
        <v>28675</v>
      </c>
      <c r="H11208" t="s">
        <v>28685</v>
      </c>
      <c r="I11208" t="s">
        <v>28689</v>
      </c>
      <c r="J11208" t="s">
        <v>35729</v>
      </c>
      <c r="K11208" t="s">
        <v>37206</v>
      </c>
      <c r="M11208" t="s">
        <v>40854</v>
      </c>
      <c r="N11208" t="s">
        <v>41249</v>
      </c>
      <c r="O11208" t="s">
        <v>41250</v>
      </c>
      <c r="P11208">
        <v>0</v>
      </c>
      <c r="Q11208">
        <v>0</v>
      </c>
      <c r="R11208" t="s">
        <v>41264</v>
      </c>
      <c r="S11208" t="s">
        <v>41775</v>
      </c>
      <c r="T11208" t="s">
        <v>42827</v>
      </c>
      <c r="U11208" t="s">
        <v>52182</v>
      </c>
      <c r="V11208" t="s">
        <v>54528</v>
      </c>
      <c r="W11208" t="s">
        <v>40854</v>
      </c>
      <c r="X11208" t="s">
        <v>41265</v>
      </c>
    </row>
    <row r="11209" spans="1:24">
      <c r="A11209">
        <f>HYPERLINK("https://www.philgeps.gov.ph/GEPSNONPILOT/Tender/SplashBidNoticeAbstractUI.aspx?menuIndex=3&amp;refID=7055295&amp;Result=3","7055295")</f>
        <v>0</v>
      </c>
      <c r="B11209" t="s">
        <v>1619</v>
      </c>
      <c r="C11209" t="s">
        <v>14101</v>
      </c>
      <c r="D11209" t="s">
        <v>16678</v>
      </c>
      <c r="E11209" t="s">
        <v>26411</v>
      </c>
      <c r="F11209" t="s">
        <v>28669</v>
      </c>
      <c r="G11209" t="s">
        <v>28675</v>
      </c>
      <c r="H11209" t="s">
        <v>28686</v>
      </c>
      <c r="I11209" t="s">
        <v>28689</v>
      </c>
      <c r="J11209" t="s">
        <v>31637</v>
      </c>
      <c r="K11209" t="s">
        <v>37255</v>
      </c>
      <c r="M11209" t="s">
        <v>39205</v>
      </c>
      <c r="N11209" t="s">
        <v>41249</v>
      </c>
      <c r="O11209" t="s">
        <v>41250</v>
      </c>
      <c r="P11209">
        <v>0</v>
      </c>
      <c r="Q11209">
        <v>2</v>
      </c>
      <c r="R11209" t="s">
        <v>41264</v>
      </c>
      <c r="S11209" t="s">
        <v>41775</v>
      </c>
      <c r="T11209" t="s">
        <v>42783</v>
      </c>
      <c r="U11209" t="s">
        <v>52184</v>
      </c>
      <c r="V11209" t="s">
        <v>55566</v>
      </c>
      <c r="W11209" t="s">
        <v>39205</v>
      </c>
      <c r="X11209" t="s">
        <v>41265</v>
      </c>
    </row>
    <row r="11210" spans="1:24">
      <c r="A11210">
        <f>HYPERLINK("https://www.philgeps.gov.ph/GEPSNONPILOT/Tender/SplashBidNoticeAbstractUI.aspx?menuIndex=3&amp;refID=7055382&amp;Result=3","7055382")</f>
        <v>0</v>
      </c>
      <c r="B11210" t="s">
        <v>2233</v>
      </c>
      <c r="C11210" t="s">
        <v>14102</v>
      </c>
      <c r="D11210" t="s">
        <v>16631</v>
      </c>
      <c r="E11210" t="s">
        <v>26412</v>
      </c>
      <c r="F11210" t="s">
        <v>28669</v>
      </c>
      <c r="G11210" t="s">
        <v>28675</v>
      </c>
      <c r="H11210" t="s">
        <v>9998</v>
      </c>
      <c r="I11210" t="s">
        <v>28713</v>
      </c>
      <c r="J11210" t="s">
        <v>35730</v>
      </c>
      <c r="K11210" t="s">
        <v>37213</v>
      </c>
      <c r="M11210" t="s">
        <v>39886</v>
      </c>
      <c r="N11210" t="s">
        <v>41249</v>
      </c>
      <c r="O11210" t="s">
        <v>41250</v>
      </c>
      <c r="Q11210">
        <v>43</v>
      </c>
      <c r="R11210" t="s">
        <v>41264</v>
      </c>
      <c r="S11210" t="s">
        <v>41869</v>
      </c>
      <c r="T11210" t="s">
        <v>42739</v>
      </c>
      <c r="U11210" t="s">
        <v>52188</v>
      </c>
      <c r="V11210" t="s">
        <v>55567</v>
      </c>
      <c r="W11210" t="s">
        <v>39886</v>
      </c>
      <c r="X11210" t="s">
        <v>41265</v>
      </c>
    </row>
    <row r="11211" spans="1:24">
      <c r="A11211">
        <f>HYPERLINK("https://www.philgeps.gov.ph/GEPSNONPILOT/Tender/SplashBidNoticeAbstractUI.aspx?menuIndex=3&amp;refID=7055489&amp;Result=3","7055489")</f>
        <v>0</v>
      </c>
      <c r="B11211" t="s">
        <v>3073</v>
      </c>
      <c r="C11211" t="s">
        <v>14103</v>
      </c>
      <c r="D11211" t="s">
        <v>16608</v>
      </c>
      <c r="E11211" t="s">
        <v>26413</v>
      </c>
      <c r="F11211" t="s">
        <v>28669</v>
      </c>
      <c r="G11211" t="s">
        <v>28675</v>
      </c>
      <c r="H11211" t="s">
        <v>9998</v>
      </c>
      <c r="I11211" t="s">
        <v>11593</v>
      </c>
      <c r="J11211" t="s">
        <v>28850</v>
      </c>
      <c r="K11211" t="s">
        <v>37221</v>
      </c>
      <c r="M11211" t="s">
        <v>40856</v>
      </c>
      <c r="N11211" t="s">
        <v>41249</v>
      </c>
      <c r="O11211" t="s">
        <v>41250</v>
      </c>
      <c r="Q11211">
        <v>25</v>
      </c>
      <c r="R11211" t="s">
        <v>41264</v>
      </c>
      <c r="S11211" t="s">
        <v>41386</v>
      </c>
      <c r="T11211" t="s">
        <v>42659</v>
      </c>
      <c r="U11211" t="s">
        <v>52189</v>
      </c>
      <c r="W11211" t="s">
        <v>40856</v>
      </c>
      <c r="X11211" t="s">
        <v>41265</v>
      </c>
    </row>
    <row r="11212" spans="1:24">
      <c r="A11212">
        <f>HYPERLINK("https://www.philgeps.gov.ph/GEPSNONPILOT/Tender/SplashBidNoticeAbstractUI.aspx?menuIndex=3&amp;refID=7055280&amp;Result=3","7055280")</f>
        <v>0</v>
      </c>
      <c r="B11212" t="s">
        <v>197</v>
      </c>
      <c r="C11212" t="s">
        <v>14104</v>
      </c>
      <c r="D11212" t="s">
        <v>16609</v>
      </c>
      <c r="E11212" t="s">
        <v>26414</v>
      </c>
      <c r="F11212" t="s">
        <v>28669</v>
      </c>
      <c r="G11212" t="s">
        <v>28682</v>
      </c>
      <c r="H11212" t="s">
        <v>28686</v>
      </c>
      <c r="I11212" t="s">
        <v>28689</v>
      </c>
      <c r="J11212" t="s">
        <v>35731</v>
      </c>
      <c r="K11212" t="s">
        <v>37220</v>
      </c>
      <c r="M11212" t="s">
        <v>37675</v>
      </c>
      <c r="N11212" t="s">
        <v>41249</v>
      </c>
      <c r="O11212" t="s">
        <v>41250</v>
      </c>
      <c r="Q11212">
        <v>0</v>
      </c>
      <c r="R11212" t="s">
        <v>41264</v>
      </c>
      <c r="S11212" t="s">
        <v>41870</v>
      </c>
      <c r="T11212" t="s">
        <v>42764</v>
      </c>
      <c r="U11212" t="s">
        <v>52190</v>
      </c>
      <c r="W11212" t="s">
        <v>37675</v>
      </c>
      <c r="X11212" t="s">
        <v>41265</v>
      </c>
    </row>
    <row r="11213" spans="1:24">
      <c r="A11213">
        <f>HYPERLINK("https://www.philgeps.gov.ph/GEPSNONPILOT/Tender/SplashBidNoticeAbstractUI.aspx?menuIndex=3&amp;refID=7055303&amp;Result=3","7055303")</f>
        <v>0</v>
      </c>
      <c r="B11213" t="s">
        <v>573</v>
      </c>
      <c r="C11213" t="s">
        <v>14105</v>
      </c>
      <c r="E11213" t="s">
        <v>26415</v>
      </c>
      <c r="F11213" t="s">
        <v>28669</v>
      </c>
      <c r="G11213" t="s">
        <v>28675</v>
      </c>
      <c r="H11213" t="s">
        <v>9998</v>
      </c>
      <c r="I11213" t="s">
        <v>28736</v>
      </c>
      <c r="J11213" t="s">
        <v>35719</v>
      </c>
      <c r="K11213" t="s">
        <v>37206</v>
      </c>
      <c r="M11213" t="s">
        <v>40852</v>
      </c>
      <c r="N11213" t="s">
        <v>41249</v>
      </c>
      <c r="O11213" t="s">
        <v>41250</v>
      </c>
      <c r="Q11213">
        <v>1</v>
      </c>
      <c r="R11213" t="s">
        <v>41264</v>
      </c>
      <c r="S11213" t="s">
        <v>41871</v>
      </c>
      <c r="T11213" t="s">
        <v>42659</v>
      </c>
      <c r="U11213" t="s">
        <v>52191</v>
      </c>
      <c r="W11213" t="s">
        <v>40852</v>
      </c>
      <c r="X11213" t="s">
        <v>41265</v>
      </c>
    </row>
    <row r="11214" spans="1:24">
      <c r="A11214">
        <f>HYPERLINK("https://www.philgeps.gov.ph/GEPSNONPILOT/Tender/SplashBidNoticeAbstractUI.aspx?menuIndex=3&amp;refID=7055252&amp;Result=3","7055252")</f>
        <v>0</v>
      </c>
      <c r="B11214" t="s">
        <v>2200</v>
      </c>
      <c r="C11214" t="s">
        <v>14106</v>
      </c>
      <c r="D11214" t="s">
        <v>16646</v>
      </c>
      <c r="E11214" t="s">
        <v>26416</v>
      </c>
      <c r="F11214" t="s">
        <v>28669</v>
      </c>
      <c r="G11214" t="s">
        <v>28675</v>
      </c>
      <c r="H11214" t="s">
        <v>28686</v>
      </c>
      <c r="I11214" t="s">
        <v>28689</v>
      </c>
      <c r="J11214" t="s">
        <v>35732</v>
      </c>
      <c r="K11214" t="s">
        <v>37342</v>
      </c>
      <c r="M11214" t="s">
        <v>39850</v>
      </c>
      <c r="N11214" t="s">
        <v>41249</v>
      </c>
      <c r="O11214" t="s">
        <v>41250</v>
      </c>
      <c r="Q11214">
        <v>24</v>
      </c>
      <c r="R11214" t="s">
        <v>41264</v>
      </c>
      <c r="S11214" t="s">
        <v>41872</v>
      </c>
      <c r="T11214" t="s">
        <v>42764</v>
      </c>
      <c r="U11214" t="s">
        <v>52192</v>
      </c>
      <c r="V11214" t="s">
        <v>55553</v>
      </c>
      <c r="W11214" t="s">
        <v>39850</v>
      </c>
      <c r="X11214" t="s">
        <v>41265</v>
      </c>
    </row>
    <row r="11215" spans="1:24">
      <c r="A11215">
        <f>HYPERLINK("https://www.philgeps.gov.ph/GEPSNONPILOT/Tender/SplashBidNoticeAbstractUI.aspx?menuIndex=3&amp;refID=7055496&amp;Result=3","7055496")</f>
        <v>0</v>
      </c>
      <c r="B11215" t="s">
        <v>3043</v>
      </c>
      <c r="C11215" t="s">
        <v>14107</v>
      </c>
      <c r="D11215" t="s">
        <v>16628</v>
      </c>
      <c r="E11215" t="s">
        <v>26417</v>
      </c>
      <c r="F11215" t="s">
        <v>28669</v>
      </c>
      <c r="G11215" t="s">
        <v>28675</v>
      </c>
      <c r="H11215" t="s">
        <v>28686</v>
      </c>
      <c r="I11215" t="s">
        <v>28702</v>
      </c>
      <c r="J11215" t="s">
        <v>28836</v>
      </c>
      <c r="K11215" t="s">
        <v>37213</v>
      </c>
      <c r="M11215" t="s">
        <v>40820</v>
      </c>
      <c r="N11215" t="s">
        <v>41249</v>
      </c>
      <c r="O11215" t="s">
        <v>41250</v>
      </c>
      <c r="P11215">
        <v>0</v>
      </c>
      <c r="Q11215">
        <v>14</v>
      </c>
      <c r="R11215" t="s">
        <v>41264</v>
      </c>
      <c r="S11215" t="s">
        <v>41775</v>
      </c>
      <c r="T11215" t="s">
        <v>42697</v>
      </c>
      <c r="U11215" t="s">
        <v>52193</v>
      </c>
      <c r="W11215" t="s">
        <v>40820</v>
      </c>
      <c r="X11215" t="s">
        <v>41265</v>
      </c>
    </row>
    <row r="11216" spans="1:24">
      <c r="A11216">
        <f>HYPERLINK("https://www.philgeps.gov.ph/GEPSNONPILOT/Tender/SplashBidNoticeAbstractUI.aspx?menuIndex=3&amp;refID=7055495&amp;Result=3","7055495")</f>
        <v>0</v>
      </c>
      <c r="B11216" t="s">
        <v>1144</v>
      </c>
      <c r="C11216" t="s">
        <v>14108</v>
      </c>
      <c r="D11216" t="s">
        <v>16608</v>
      </c>
      <c r="E11216" t="s">
        <v>26418</v>
      </c>
      <c r="F11216" t="s">
        <v>28669</v>
      </c>
      <c r="G11216" t="s">
        <v>28675</v>
      </c>
      <c r="H11216" t="s">
        <v>28686</v>
      </c>
      <c r="I11216" t="s">
        <v>28689</v>
      </c>
      <c r="J11216" t="s">
        <v>35733</v>
      </c>
      <c r="K11216" t="s">
        <v>37212</v>
      </c>
      <c r="M11216" t="s">
        <v>38680</v>
      </c>
      <c r="N11216" t="s">
        <v>41249</v>
      </c>
      <c r="O11216" t="s">
        <v>41250</v>
      </c>
      <c r="Q11216">
        <v>21</v>
      </c>
      <c r="R11216" t="s">
        <v>41264</v>
      </c>
      <c r="S11216" t="s">
        <v>41873</v>
      </c>
      <c r="T11216" t="s">
        <v>42690</v>
      </c>
      <c r="U11216" t="s">
        <v>45543</v>
      </c>
      <c r="W11216" t="s">
        <v>38680</v>
      </c>
      <c r="X11216" t="s">
        <v>41265</v>
      </c>
    </row>
    <row r="11217" spans="1:24">
      <c r="A11217">
        <f>HYPERLINK("https://www.philgeps.gov.ph/GEPSNONPILOT/Tender/SplashBidNoticeAbstractUI.aspx?menuIndex=3&amp;refID=7055485&amp;Result=3","7055485")</f>
        <v>0</v>
      </c>
      <c r="B11217" t="s">
        <v>1144</v>
      </c>
      <c r="C11217" t="s">
        <v>14109</v>
      </c>
      <c r="D11217" t="s">
        <v>16608</v>
      </c>
      <c r="E11217" t="s">
        <v>26419</v>
      </c>
      <c r="F11217" t="s">
        <v>28669</v>
      </c>
      <c r="G11217" t="s">
        <v>28675</v>
      </c>
      <c r="H11217" t="s">
        <v>28686</v>
      </c>
      <c r="I11217" t="s">
        <v>28689</v>
      </c>
      <c r="J11217" t="s">
        <v>35734</v>
      </c>
      <c r="K11217" t="s">
        <v>37218</v>
      </c>
      <c r="M11217" t="s">
        <v>38680</v>
      </c>
      <c r="N11217" t="s">
        <v>41249</v>
      </c>
      <c r="O11217" t="s">
        <v>41250</v>
      </c>
      <c r="Q11217">
        <v>22</v>
      </c>
      <c r="R11217" t="s">
        <v>41264</v>
      </c>
      <c r="S11217" t="s">
        <v>41874</v>
      </c>
      <c r="T11217" t="s">
        <v>42690</v>
      </c>
      <c r="U11217" t="s">
        <v>45543</v>
      </c>
      <c r="W11217" t="s">
        <v>38680</v>
      </c>
      <c r="X11217" t="s">
        <v>41265</v>
      </c>
    </row>
    <row r="11218" spans="1:24">
      <c r="A11218">
        <f>HYPERLINK("https://www.philgeps.gov.ph/GEPSNONPILOT/Tender/SplashBidNoticeAbstractUI.aspx?menuIndex=3&amp;refID=7055392&amp;Result=3","7055392")</f>
        <v>0</v>
      </c>
      <c r="B11218" t="s">
        <v>1085</v>
      </c>
      <c r="C11218" t="s">
        <v>14110</v>
      </c>
      <c r="D11218" t="s">
        <v>16611</v>
      </c>
      <c r="E11218" t="s">
        <v>26420</v>
      </c>
      <c r="F11218" t="s">
        <v>28669</v>
      </c>
      <c r="G11218" t="s">
        <v>28675</v>
      </c>
      <c r="H11218" t="s">
        <v>28686</v>
      </c>
      <c r="I11218" t="s">
        <v>28689</v>
      </c>
      <c r="J11218" t="s">
        <v>28836</v>
      </c>
      <c r="K11218" t="s">
        <v>37213</v>
      </c>
      <c r="M11218" t="s">
        <v>38617</v>
      </c>
      <c r="N11218" t="s">
        <v>41249</v>
      </c>
      <c r="O11218" t="s">
        <v>41250</v>
      </c>
      <c r="P11218">
        <v>0</v>
      </c>
      <c r="Q11218">
        <v>3</v>
      </c>
      <c r="R11218" t="s">
        <v>41264</v>
      </c>
      <c r="S11218" t="s">
        <v>41775</v>
      </c>
      <c r="T11218" t="s">
        <v>42720</v>
      </c>
      <c r="U11218" t="s">
        <v>52129</v>
      </c>
      <c r="W11218" t="s">
        <v>38617</v>
      </c>
      <c r="X11218" t="s">
        <v>41265</v>
      </c>
    </row>
    <row r="11219" spans="1:24">
      <c r="A11219">
        <f>HYPERLINK("https://www.philgeps.gov.ph/GEPSNONPILOT/Tender/SplashBidNoticeAbstractUI.aspx?menuIndex=3&amp;refID=7055292&amp;Result=3","7055292")</f>
        <v>0</v>
      </c>
      <c r="B11219" t="s">
        <v>369</v>
      </c>
      <c r="C11219" t="s">
        <v>14111</v>
      </c>
      <c r="D11219" t="s">
        <v>16619</v>
      </c>
      <c r="E11219" t="s">
        <v>26421</v>
      </c>
      <c r="F11219" t="s">
        <v>28669</v>
      </c>
      <c r="G11219" t="s">
        <v>28675</v>
      </c>
      <c r="H11219" t="s">
        <v>28686</v>
      </c>
      <c r="I11219" t="s">
        <v>28689</v>
      </c>
      <c r="J11219" t="s">
        <v>35727</v>
      </c>
      <c r="K11219" t="s">
        <v>37213</v>
      </c>
      <c r="M11219" t="s">
        <v>40033</v>
      </c>
      <c r="N11219" t="s">
        <v>41249</v>
      </c>
      <c r="O11219" t="s">
        <v>41250</v>
      </c>
      <c r="P11219">
        <v>0</v>
      </c>
      <c r="Q11219">
        <v>1</v>
      </c>
      <c r="R11219" t="s">
        <v>41264</v>
      </c>
      <c r="S11219" t="s">
        <v>41775</v>
      </c>
      <c r="T11219" t="s">
        <v>42839</v>
      </c>
      <c r="U11219" t="s">
        <v>49330</v>
      </c>
      <c r="W11219" t="s">
        <v>40033</v>
      </c>
      <c r="X11219" t="s">
        <v>41265</v>
      </c>
    </row>
    <row r="11220" spans="1:24">
      <c r="A11220">
        <f>HYPERLINK("https://www.philgeps.gov.ph/GEPSNONPILOT/Tender/SplashBidNoticeAbstractUI.aspx?menuIndex=3&amp;refID=7055380&amp;Result=3","7055380")</f>
        <v>0</v>
      </c>
      <c r="B11220" t="s">
        <v>3070</v>
      </c>
      <c r="C11220" t="s">
        <v>14112</v>
      </c>
      <c r="D11220" t="s">
        <v>16607</v>
      </c>
      <c r="E11220" t="s">
        <v>26422</v>
      </c>
      <c r="F11220" t="s">
        <v>28669</v>
      </c>
      <c r="G11220" t="s">
        <v>28675</v>
      </c>
      <c r="H11220" t="s">
        <v>28686</v>
      </c>
      <c r="I11220" t="s">
        <v>28689</v>
      </c>
      <c r="J11220" t="s">
        <v>29320</v>
      </c>
      <c r="K11220" t="s">
        <v>37211</v>
      </c>
      <c r="M11220" t="s">
        <v>40853</v>
      </c>
      <c r="N11220" t="s">
        <v>41249</v>
      </c>
      <c r="O11220" t="s">
        <v>41250</v>
      </c>
      <c r="P11220">
        <v>0</v>
      </c>
      <c r="Q11220">
        <v>79</v>
      </c>
      <c r="R11220" t="s">
        <v>41264</v>
      </c>
      <c r="S11220" t="s">
        <v>41775</v>
      </c>
      <c r="T11220" t="s">
        <v>42714</v>
      </c>
      <c r="U11220" t="s">
        <v>52179</v>
      </c>
      <c r="V11220" t="s">
        <v>55568</v>
      </c>
      <c r="W11220" t="s">
        <v>56023</v>
      </c>
      <c r="X11220" t="s">
        <v>41265</v>
      </c>
    </row>
    <row r="11221" spans="1:24">
      <c r="A11221">
        <f>HYPERLINK("https://www.philgeps.gov.ph/GEPSNONPILOT/Tender/SplashBidNoticeAbstractUI.aspx?menuIndex=3&amp;refID=7055487&amp;Result=3","7055487")</f>
        <v>0</v>
      </c>
      <c r="B11221" t="s">
        <v>3074</v>
      </c>
      <c r="C11221" t="s">
        <v>14113</v>
      </c>
      <c r="D11221" t="s">
        <v>16668</v>
      </c>
      <c r="E11221" t="s">
        <v>26423</v>
      </c>
      <c r="F11221" t="s">
        <v>28669</v>
      </c>
      <c r="G11221" t="s">
        <v>28675</v>
      </c>
      <c r="H11221" t="s">
        <v>28686</v>
      </c>
      <c r="I11221" t="s">
        <v>28689</v>
      </c>
      <c r="J11221" t="s">
        <v>28874</v>
      </c>
      <c r="K11221" t="s">
        <v>37221</v>
      </c>
      <c r="M11221" t="s">
        <v>40857</v>
      </c>
      <c r="N11221" t="s">
        <v>41249</v>
      </c>
      <c r="O11221" t="s">
        <v>41250</v>
      </c>
      <c r="P11221">
        <v>0</v>
      </c>
      <c r="Q11221">
        <v>0</v>
      </c>
      <c r="R11221" t="s">
        <v>41264</v>
      </c>
      <c r="S11221" t="s">
        <v>41775</v>
      </c>
      <c r="T11221" t="s">
        <v>42698</v>
      </c>
      <c r="U11221" t="s">
        <v>52194</v>
      </c>
      <c r="W11221" t="s">
        <v>40857</v>
      </c>
      <c r="X11221" t="s">
        <v>41265</v>
      </c>
    </row>
    <row r="11222" spans="1:24">
      <c r="A11222">
        <f>HYPERLINK("https://www.philgeps.gov.ph/GEPSNONPILOT/Tender/SplashBidNoticeAbstractUI.aspx?menuIndex=3&amp;refID=7055473&amp;Result=3","7055473")</f>
        <v>0</v>
      </c>
      <c r="B11222" t="s">
        <v>3074</v>
      </c>
      <c r="C11222" t="s">
        <v>9478</v>
      </c>
      <c r="D11222" t="s">
        <v>16668</v>
      </c>
      <c r="E11222" t="s">
        <v>26424</v>
      </c>
      <c r="F11222" t="s">
        <v>28669</v>
      </c>
      <c r="G11222" t="s">
        <v>28675</v>
      </c>
      <c r="H11222" t="s">
        <v>9998</v>
      </c>
      <c r="I11222" t="s">
        <v>28753</v>
      </c>
      <c r="J11222" t="s">
        <v>35735</v>
      </c>
      <c r="K11222" t="s">
        <v>37210</v>
      </c>
      <c r="M11222" t="s">
        <v>40857</v>
      </c>
      <c r="N11222" t="s">
        <v>41249</v>
      </c>
      <c r="O11222" t="s">
        <v>41250</v>
      </c>
      <c r="P11222">
        <v>0</v>
      </c>
      <c r="Q11222">
        <v>4</v>
      </c>
      <c r="R11222" t="s">
        <v>41264</v>
      </c>
      <c r="S11222" t="s">
        <v>41775</v>
      </c>
      <c r="T11222" t="s">
        <v>42698</v>
      </c>
      <c r="U11222" t="s">
        <v>52195</v>
      </c>
      <c r="W11222" t="s">
        <v>40857</v>
      </c>
      <c r="X11222" t="s">
        <v>41265</v>
      </c>
    </row>
    <row r="11223" spans="1:24">
      <c r="A11223">
        <f>HYPERLINK("https://www.philgeps.gov.ph/GEPSNONPILOT/Tender/SplashBidNoticeAbstractUI.aspx?menuIndex=3&amp;refID=7055453&amp;Result=3","7055453")</f>
        <v>0</v>
      </c>
      <c r="B11223" t="s">
        <v>3075</v>
      </c>
      <c r="C11223" t="s">
        <v>14114</v>
      </c>
      <c r="D11223" t="s">
        <v>16678</v>
      </c>
      <c r="E11223" t="s">
        <v>26425</v>
      </c>
      <c r="F11223" t="s">
        <v>28669</v>
      </c>
      <c r="G11223" t="s">
        <v>28675</v>
      </c>
      <c r="H11223" t="s">
        <v>9998</v>
      </c>
      <c r="I11223" t="s">
        <v>28704</v>
      </c>
      <c r="J11223" t="s">
        <v>35736</v>
      </c>
      <c r="K11223" t="s">
        <v>37209</v>
      </c>
      <c r="M11223" t="s">
        <v>40858</v>
      </c>
      <c r="N11223" t="s">
        <v>41249</v>
      </c>
      <c r="O11223" t="s">
        <v>41250</v>
      </c>
      <c r="P11223">
        <v>0</v>
      </c>
      <c r="Q11223">
        <v>1</v>
      </c>
      <c r="R11223" t="s">
        <v>41264</v>
      </c>
      <c r="S11223" t="s">
        <v>41775</v>
      </c>
      <c r="T11223" t="s">
        <v>42671</v>
      </c>
      <c r="U11223" t="s">
        <v>52196</v>
      </c>
      <c r="W11223" t="s">
        <v>40858</v>
      </c>
      <c r="X11223" t="s">
        <v>41265</v>
      </c>
    </row>
    <row r="11224" spans="1:24">
      <c r="A11224">
        <f>HYPERLINK("https://www.philgeps.gov.ph/GEPSNONPILOT/Tender/SplashBidNoticeAbstractUI.aspx?menuIndex=3&amp;refID=7055446&amp;Result=3","7055446")</f>
        <v>0</v>
      </c>
      <c r="B11224" t="s">
        <v>3075</v>
      </c>
      <c r="C11224" t="s">
        <v>14115</v>
      </c>
      <c r="D11224" t="s">
        <v>16678</v>
      </c>
      <c r="E11224" t="s">
        <v>26426</v>
      </c>
      <c r="F11224" t="s">
        <v>28669</v>
      </c>
      <c r="G11224" t="s">
        <v>28675</v>
      </c>
      <c r="H11224" t="s">
        <v>28686</v>
      </c>
      <c r="I11224" t="s">
        <v>28689</v>
      </c>
      <c r="J11224" t="s">
        <v>28881</v>
      </c>
      <c r="K11224" t="s">
        <v>37209</v>
      </c>
      <c r="M11224" t="s">
        <v>40858</v>
      </c>
      <c r="N11224" t="s">
        <v>41249</v>
      </c>
      <c r="O11224" t="s">
        <v>41250</v>
      </c>
      <c r="P11224">
        <v>0</v>
      </c>
      <c r="Q11224">
        <v>0</v>
      </c>
      <c r="R11224" t="s">
        <v>41264</v>
      </c>
      <c r="S11224" t="s">
        <v>41775</v>
      </c>
      <c r="T11224" t="s">
        <v>42671</v>
      </c>
      <c r="U11224" t="s">
        <v>52197</v>
      </c>
      <c r="W11224" t="s">
        <v>40858</v>
      </c>
      <c r="X11224" t="s">
        <v>41265</v>
      </c>
    </row>
    <row r="11225" spans="1:24">
      <c r="A11225">
        <f>HYPERLINK("https://www.philgeps.gov.ph/GEPSNONPILOT/Tender/SplashBidNoticeAbstractUI.aspx?menuIndex=3&amp;refID=7055442&amp;Result=3","7055442")</f>
        <v>0</v>
      </c>
      <c r="B11225" t="s">
        <v>3076</v>
      </c>
      <c r="C11225" t="s">
        <v>14116</v>
      </c>
      <c r="D11225" t="s">
        <v>16653</v>
      </c>
      <c r="E11225" t="s">
        <v>17251</v>
      </c>
      <c r="F11225" t="s">
        <v>28669</v>
      </c>
      <c r="G11225" t="s">
        <v>28675</v>
      </c>
      <c r="H11225" t="s">
        <v>9998</v>
      </c>
      <c r="I11225" t="s">
        <v>28713</v>
      </c>
      <c r="J11225" t="s">
        <v>35737</v>
      </c>
      <c r="K11225" t="s">
        <v>37220</v>
      </c>
      <c r="M11225" t="s">
        <v>40859</v>
      </c>
      <c r="N11225" t="s">
        <v>41249</v>
      </c>
      <c r="O11225" t="s">
        <v>41250</v>
      </c>
      <c r="P11225">
        <v>0</v>
      </c>
      <c r="Q11225">
        <v>56</v>
      </c>
      <c r="R11225" t="s">
        <v>41264</v>
      </c>
      <c r="S11225" t="s">
        <v>41775</v>
      </c>
      <c r="T11225" t="s">
        <v>42764</v>
      </c>
      <c r="U11225" t="s">
        <v>52198</v>
      </c>
      <c r="W11225" t="s">
        <v>40859</v>
      </c>
      <c r="X11225" t="s">
        <v>41265</v>
      </c>
    </row>
    <row r="11226" spans="1:24">
      <c r="A11226">
        <f>HYPERLINK("https://www.philgeps.gov.ph/GEPSNONPILOT/Tender/SplashBidNoticeAbstractUI.aspx?menuIndex=3&amp;refID=7055483&amp;Result=3","7055483")</f>
        <v>0</v>
      </c>
      <c r="B11226" t="s">
        <v>3074</v>
      </c>
      <c r="C11226" t="s">
        <v>14117</v>
      </c>
      <c r="D11226" t="s">
        <v>16668</v>
      </c>
      <c r="E11226" t="s">
        <v>26427</v>
      </c>
      <c r="F11226" t="s">
        <v>28669</v>
      </c>
      <c r="G11226" t="s">
        <v>28675</v>
      </c>
      <c r="H11226" t="s">
        <v>28686</v>
      </c>
      <c r="I11226" t="s">
        <v>28689</v>
      </c>
      <c r="J11226" t="s">
        <v>35738</v>
      </c>
      <c r="K11226" t="s">
        <v>37215</v>
      </c>
      <c r="M11226" t="s">
        <v>40857</v>
      </c>
      <c r="N11226" t="s">
        <v>41249</v>
      </c>
      <c r="O11226" t="s">
        <v>41250</v>
      </c>
      <c r="P11226">
        <v>0</v>
      </c>
      <c r="Q11226">
        <v>1</v>
      </c>
      <c r="R11226" t="s">
        <v>41264</v>
      </c>
      <c r="S11226" t="s">
        <v>41775</v>
      </c>
      <c r="T11226" t="s">
        <v>42698</v>
      </c>
      <c r="U11226" t="s">
        <v>52199</v>
      </c>
      <c r="W11226" t="s">
        <v>40857</v>
      </c>
      <c r="X11226" t="s">
        <v>41265</v>
      </c>
    </row>
    <row r="11227" spans="1:24">
      <c r="A11227">
        <f>HYPERLINK("https://www.philgeps.gov.ph/GEPSNONPILOT/Tender/SplashBidNoticeAbstractUI.aspx?menuIndex=3&amp;refID=7055424&amp;Result=3","7055424")</f>
        <v>0</v>
      </c>
      <c r="B11227" t="s">
        <v>1085</v>
      </c>
      <c r="C11227" t="s">
        <v>14118</v>
      </c>
      <c r="D11227" t="s">
        <v>16611</v>
      </c>
      <c r="E11227" t="s">
        <v>26428</v>
      </c>
      <c r="F11227" t="s">
        <v>28669</v>
      </c>
      <c r="G11227" t="s">
        <v>28675</v>
      </c>
      <c r="H11227" t="s">
        <v>9998</v>
      </c>
      <c r="I11227" t="s">
        <v>28694</v>
      </c>
      <c r="J11227" t="s">
        <v>35739</v>
      </c>
      <c r="K11227" t="s">
        <v>37205</v>
      </c>
      <c r="M11227" t="s">
        <v>38617</v>
      </c>
      <c r="N11227" t="s">
        <v>41249</v>
      </c>
      <c r="O11227" t="s">
        <v>41250</v>
      </c>
      <c r="P11227">
        <v>0</v>
      </c>
      <c r="Q11227">
        <v>2</v>
      </c>
      <c r="R11227" t="s">
        <v>41264</v>
      </c>
      <c r="S11227" t="s">
        <v>41775</v>
      </c>
      <c r="T11227" t="s">
        <v>42720</v>
      </c>
      <c r="U11227" t="s">
        <v>52200</v>
      </c>
      <c r="V11227" t="s">
        <v>55569</v>
      </c>
      <c r="W11227" t="s">
        <v>38617</v>
      </c>
      <c r="X11227" t="s">
        <v>41265</v>
      </c>
    </row>
    <row r="11228" spans="1:24">
      <c r="A11228">
        <f>HYPERLINK("https://www.philgeps.gov.ph/GEPSNONPILOT/Tender/SplashBidNoticeAbstractUI.aspx?menuIndex=3&amp;refID=7055604&amp;Result=3","7055604")</f>
        <v>0</v>
      </c>
      <c r="B11228" t="s">
        <v>3053</v>
      </c>
      <c r="C11228" t="s">
        <v>14119</v>
      </c>
      <c r="D11228" t="s">
        <v>16625</v>
      </c>
      <c r="E11228" t="s">
        <v>19027</v>
      </c>
      <c r="F11228" t="s">
        <v>28669</v>
      </c>
      <c r="G11228" t="s">
        <v>28675</v>
      </c>
      <c r="H11228" t="s">
        <v>28686</v>
      </c>
      <c r="I11228" t="s">
        <v>28689</v>
      </c>
      <c r="J11228" t="s">
        <v>28836</v>
      </c>
      <c r="K11228" t="s">
        <v>37206</v>
      </c>
      <c r="M11228" t="s">
        <v>40834</v>
      </c>
      <c r="N11228" t="s">
        <v>41249</v>
      </c>
      <c r="O11228" t="s">
        <v>41250</v>
      </c>
      <c r="P11228">
        <v>0</v>
      </c>
      <c r="Q11228">
        <v>0</v>
      </c>
      <c r="R11228" t="s">
        <v>41264</v>
      </c>
      <c r="S11228" t="s">
        <v>41775</v>
      </c>
      <c r="T11228" t="s">
        <v>42686</v>
      </c>
      <c r="U11228" t="s">
        <v>52201</v>
      </c>
      <c r="W11228" t="s">
        <v>40834</v>
      </c>
      <c r="X11228" t="s">
        <v>41265</v>
      </c>
    </row>
    <row r="11229" spans="1:24">
      <c r="A11229">
        <f>HYPERLINK("https://www.philgeps.gov.ph/GEPSNONPILOT/Tender/SplashBidNoticeAbstractUI.aspx?menuIndex=3&amp;refID=7055479&amp;Result=3","7055479")</f>
        <v>0</v>
      </c>
      <c r="B11229" t="s">
        <v>3075</v>
      </c>
      <c r="C11229" t="s">
        <v>14120</v>
      </c>
      <c r="D11229" t="s">
        <v>16678</v>
      </c>
      <c r="E11229" t="s">
        <v>26429</v>
      </c>
      <c r="F11229" t="s">
        <v>28669</v>
      </c>
      <c r="G11229" t="s">
        <v>28675</v>
      </c>
      <c r="H11229" t="s">
        <v>9998</v>
      </c>
      <c r="I11229" t="s">
        <v>15140</v>
      </c>
      <c r="J11229" t="s">
        <v>32008</v>
      </c>
      <c r="K11229" t="s">
        <v>37209</v>
      </c>
      <c r="M11229" t="s">
        <v>40858</v>
      </c>
      <c r="N11229" t="s">
        <v>41249</v>
      </c>
      <c r="O11229" t="s">
        <v>41250</v>
      </c>
      <c r="P11229">
        <v>0</v>
      </c>
      <c r="Q11229">
        <v>0</v>
      </c>
      <c r="R11229" t="s">
        <v>41264</v>
      </c>
      <c r="S11229" t="s">
        <v>41775</v>
      </c>
      <c r="T11229" t="s">
        <v>42671</v>
      </c>
      <c r="U11229" t="s">
        <v>52202</v>
      </c>
      <c r="W11229" t="s">
        <v>40858</v>
      </c>
      <c r="X11229" t="s">
        <v>41265</v>
      </c>
    </row>
    <row r="11230" spans="1:24">
      <c r="A11230">
        <f>HYPERLINK("https://www.philgeps.gov.ph/GEPSNONPILOT/Tender/SplashBidNoticeAbstractUI.aspx?menuIndex=3&amp;refID=7055476&amp;Result=3","7055476")</f>
        <v>0</v>
      </c>
      <c r="B11230" t="s">
        <v>3075</v>
      </c>
      <c r="C11230" t="s">
        <v>14121</v>
      </c>
      <c r="D11230" t="s">
        <v>16678</v>
      </c>
      <c r="E11230" t="s">
        <v>26430</v>
      </c>
      <c r="F11230" t="s">
        <v>28669</v>
      </c>
      <c r="G11230" t="s">
        <v>28675</v>
      </c>
      <c r="H11230" t="s">
        <v>9998</v>
      </c>
      <c r="I11230" t="s">
        <v>15140</v>
      </c>
      <c r="J11230" t="s">
        <v>32008</v>
      </c>
      <c r="K11230" t="s">
        <v>37209</v>
      </c>
      <c r="M11230" t="s">
        <v>40858</v>
      </c>
      <c r="N11230" t="s">
        <v>41249</v>
      </c>
      <c r="O11230" t="s">
        <v>41250</v>
      </c>
      <c r="P11230">
        <v>0</v>
      </c>
      <c r="Q11230">
        <v>3</v>
      </c>
      <c r="R11230" t="s">
        <v>41264</v>
      </c>
      <c r="S11230" t="s">
        <v>41775</v>
      </c>
      <c r="T11230" t="s">
        <v>42671</v>
      </c>
      <c r="U11230" t="s">
        <v>52203</v>
      </c>
      <c r="W11230" t="s">
        <v>40858</v>
      </c>
      <c r="X11230" t="s">
        <v>41265</v>
      </c>
    </row>
    <row r="11231" spans="1:24">
      <c r="A11231">
        <f>HYPERLINK("https://www.philgeps.gov.ph/GEPSNONPILOT/Tender/SplashBidNoticeAbstractUI.aspx?menuIndex=3&amp;refID=7055583&amp;Result=3","7055583")</f>
        <v>0</v>
      </c>
      <c r="B11231" t="s">
        <v>1188</v>
      </c>
      <c r="C11231" t="s">
        <v>14122</v>
      </c>
      <c r="D11231" t="s">
        <v>16642</v>
      </c>
      <c r="E11231" t="s">
        <v>26431</v>
      </c>
      <c r="F11231" t="s">
        <v>28669</v>
      </c>
      <c r="G11231" t="s">
        <v>28675</v>
      </c>
      <c r="H11231" t="s">
        <v>28686</v>
      </c>
      <c r="I11231" t="s">
        <v>28689</v>
      </c>
      <c r="J11231" t="s">
        <v>31229</v>
      </c>
      <c r="K11231" t="s">
        <v>37209</v>
      </c>
      <c r="M11231" t="s">
        <v>40843</v>
      </c>
      <c r="N11231" t="s">
        <v>41249</v>
      </c>
      <c r="O11231" t="s">
        <v>41250</v>
      </c>
      <c r="P11231">
        <v>0</v>
      </c>
      <c r="Q11231">
        <v>0</v>
      </c>
      <c r="R11231" t="s">
        <v>41264</v>
      </c>
      <c r="S11231" t="s">
        <v>41775</v>
      </c>
      <c r="T11231" t="s">
        <v>43121</v>
      </c>
      <c r="U11231" t="s">
        <v>52204</v>
      </c>
      <c r="V11231" t="s">
        <v>55557</v>
      </c>
      <c r="W11231" t="s">
        <v>38728</v>
      </c>
      <c r="X11231" t="s">
        <v>41265</v>
      </c>
    </row>
    <row r="11232" spans="1:24">
      <c r="A11232">
        <f>HYPERLINK("https://www.philgeps.gov.ph/GEPSNONPILOT/Tender/SplashBidNoticeAbstractUI.aspx?menuIndex=3&amp;refID=7055482&amp;Result=3","7055482")</f>
        <v>0</v>
      </c>
      <c r="B11232" t="s">
        <v>1144</v>
      </c>
      <c r="C11232" t="s">
        <v>14123</v>
      </c>
      <c r="D11232" t="s">
        <v>16608</v>
      </c>
      <c r="E11232" t="s">
        <v>26432</v>
      </c>
      <c r="F11232" t="s">
        <v>28669</v>
      </c>
      <c r="G11232" t="s">
        <v>28675</v>
      </c>
      <c r="H11232" t="s">
        <v>28686</v>
      </c>
      <c r="I11232" t="s">
        <v>28689</v>
      </c>
      <c r="J11232" t="s">
        <v>35740</v>
      </c>
      <c r="K11232" t="s">
        <v>37213</v>
      </c>
      <c r="M11232" t="s">
        <v>38680</v>
      </c>
      <c r="N11232" t="s">
        <v>41249</v>
      </c>
      <c r="O11232" t="s">
        <v>41250</v>
      </c>
      <c r="Q11232">
        <v>14</v>
      </c>
      <c r="R11232" t="s">
        <v>41264</v>
      </c>
      <c r="S11232" t="s">
        <v>41875</v>
      </c>
      <c r="T11232" t="s">
        <v>42690</v>
      </c>
      <c r="U11232" t="s">
        <v>45543</v>
      </c>
      <c r="W11232" t="s">
        <v>38680</v>
      </c>
      <c r="X11232" t="s">
        <v>41265</v>
      </c>
    </row>
    <row r="11233" spans="1:24">
      <c r="A11233">
        <f>HYPERLINK("https://www.philgeps.gov.ph/GEPSNONPILOT/Tender/SplashBidNoticeAbstractUI.aspx?menuIndex=3&amp;refID=7055502&amp;Result=3","7055502")</f>
        <v>0</v>
      </c>
      <c r="B11233" t="s">
        <v>1144</v>
      </c>
      <c r="C11233" t="s">
        <v>14124</v>
      </c>
      <c r="D11233" t="s">
        <v>16608</v>
      </c>
      <c r="E11233" t="s">
        <v>26433</v>
      </c>
      <c r="F11233" t="s">
        <v>28669</v>
      </c>
      <c r="G11233" t="s">
        <v>28675</v>
      </c>
      <c r="H11233" t="s">
        <v>28686</v>
      </c>
      <c r="I11233" t="s">
        <v>28689</v>
      </c>
      <c r="J11233" t="s">
        <v>35741</v>
      </c>
      <c r="K11233" t="s">
        <v>37290</v>
      </c>
      <c r="M11233" t="s">
        <v>38680</v>
      </c>
      <c r="N11233" t="s">
        <v>41249</v>
      </c>
      <c r="O11233" t="s">
        <v>41250</v>
      </c>
      <c r="Q11233">
        <v>26</v>
      </c>
      <c r="R11233" t="s">
        <v>41264</v>
      </c>
      <c r="S11233" t="s">
        <v>41876</v>
      </c>
      <c r="T11233" t="s">
        <v>42690</v>
      </c>
      <c r="U11233" t="s">
        <v>45543</v>
      </c>
      <c r="W11233" t="s">
        <v>38680</v>
      </c>
      <c r="X11233" t="s">
        <v>41265</v>
      </c>
    </row>
    <row r="11234" spans="1:24">
      <c r="A11234">
        <f>HYPERLINK("https://www.philgeps.gov.ph/GEPSNONPILOT/Tender/SplashBidNoticeAbstractUI.aspx?menuIndex=3&amp;refID=7055579&amp;Result=3","7055579")</f>
        <v>0</v>
      </c>
      <c r="B11234" t="s">
        <v>1143</v>
      </c>
      <c r="C11234" t="s">
        <v>14125</v>
      </c>
      <c r="D11234" t="s">
        <v>16608</v>
      </c>
      <c r="E11234" t="s">
        <v>26434</v>
      </c>
      <c r="F11234" t="s">
        <v>28669</v>
      </c>
      <c r="G11234" t="s">
        <v>28675</v>
      </c>
      <c r="H11234" t="s">
        <v>28686</v>
      </c>
      <c r="I11234" t="s">
        <v>28689</v>
      </c>
      <c r="J11234" t="s">
        <v>35742</v>
      </c>
      <c r="K11234" t="s">
        <v>37213</v>
      </c>
      <c r="M11234" t="s">
        <v>38678</v>
      </c>
      <c r="N11234" t="s">
        <v>41249</v>
      </c>
      <c r="O11234" t="s">
        <v>41250</v>
      </c>
      <c r="P11234">
        <v>0</v>
      </c>
      <c r="Q11234">
        <v>18</v>
      </c>
      <c r="R11234" t="s">
        <v>41264</v>
      </c>
      <c r="S11234" t="s">
        <v>41775</v>
      </c>
      <c r="T11234" t="s">
        <v>42678</v>
      </c>
      <c r="U11234" t="s">
        <v>52205</v>
      </c>
      <c r="W11234" t="s">
        <v>38678</v>
      </c>
      <c r="X11234" t="s">
        <v>41265</v>
      </c>
    </row>
    <row r="11235" spans="1:24">
      <c r="A11235">
        <f>HYPERLINK("https://www.philgeps.gov.ph/GEPSNONPILOT/Tender/SplashBidNoticeAbstractUI.aspx?menuIndex=3&amp;refID=7055594&amp;Result=3","7055594")</f>
        <v>0</v>
      </c>
      <c r="B11235" t="s">
        <v>1188</v>
      </c>
      <c r="C11235" t="s">
        <v>14126</v>
      </c>
      <c r="D11235" t="s">
        <v>16642</v>
      </c>
      <c r="E11235" t="s">
        <v>26435</v>
      </c>
      <c r="F11235" t="s">
        <v>28669</v>
      </c>
      <c r="G11235" t="s">
        <v>28675</v>
      </c>
      <c r="H11235" t="s">
        <v>28686</v>
      </c>
      <c r="I11235" t="s">
        <v>28689</v>
      </c>
      <c r="J11235" t="s">
        <v>29112</v>
      </c>
      <c r="K11235" t="s">
        <v>37209</v>
      </c>
      <c r="M11235" t="s">
        <v>40843</v>
      </c>
      <c r="N11235" t="s">
        <v>41249</v>
      </c>
      <c r="O11235" t="s">
        <v>41250</v>
      </c>
      <c r="P11235">
        <v>0</v>
      </c>
      <c r="Q11235">
        <v>0</v>
      </c>
      <c r="R11235" t="s">
        <v>41264</v>
      </c>
      <c r="S11235" t="s">
        <v>41775</v>
      </c>
      <c r="T11235" t="s">
        <v>43121</v>
      </c>
      <c r="U11235" t="s">
        <v>52206</v>
      </c>
      <c r="V11235" t="s">
        <v>55557</v>
      </c>
      <c r="W11235" t="s">
        <v>38728</v>
      </c>
      <c r="X11235" t="s">
        <v>41265</v>
      </c>
    </row>
    <row r="11236" spans="1:24">
      <c r="A11236">
        <f>HYPERLINK("https://www.philgeps.gov.ph/GEPSNONPILOT/Tender/SplashBidNoticeAbstractUI.aspx?menuIndex=3&amp;refID=7055578&amp;Result=3","7055578")</f>
        <v>0</v>
      </c>
      <c r="B11236" t="s">
        <v>810</v>
      </c>
      <c r="C11236" t="s">
        <v>14127</v>
      </c>
      <c r="D11236" t="s">
        <v>16689</v>
      </c>
      <c r="E11236" t="s">
        <v>18605</v>
      </c>
      <c r="F11236" t="s">
        <v>28669</v>
      </c>
      <c r="G11236" t="s">
        <v>28675</v>
      </c>
      <c r="H11236" t="s">
        <v>28686</v>
      </c>
      <c r="I11236" t="s">
        <v>28689</v>
      </c>
      <c r="J11236" t="s">
        <v>35743</v>
      </c>
      <c r="K11236" t="s">
        <v>37462</v>
      </c>
      <c r="M11236" t="s">
        <v>38325</v>
      </c>
      <c r="N11236" t="s">
        <v>41249</v>
      </c>
      <c r="O11236" t="s">
        <v>41250</v>
      </c>
      <c r="P11236">
        <v>0</v>
      </c>
      <c r="Q11236">
        <v>9</v>
      </c>
      <c r="R11236" t="s">
        <v>41264</v>
      </c>
      <c r="S11236" t="s">
        <v>41775</v>
      </c>
      <c r="T11236" t="s">
        <v>42678</v>
      </c>
      <c r="U11236" t="s">
        <v>52207</v>
      </c>
      <c r="W11236" t="s">
        <v>38325</v>
      </c>
      <c r="X11236" t="s">
        <v>41265</v>
      </c>
    </row>
    <row r="11237" spans="1:24">
      <c r="A11237">
        <f>HYPERLINK("https://www.philgeps.gov.ph/GEPSNONPILOT/Tender/SplashBidNoticeAbstractUI.aspx?menuIndex=3&amp;refID=7055577&amp;Result=3","7055577")</f>
        <v>0</v>
      </c>
      <c r="B11237" t="s">
        <v>1188</v>
      </c>
      <c r="C11237" t="s">
        <v>14128</v>
      </c>
      <c r="D11237" t="s">
        <v>16642</v>
      </c>
      <c r="E11237" t="s">
        <v>26436</v>
      </c>
      <c r="F11237" t="s">
        <v>28669</v>
      </c>
      <c r="G11237" t="s">
        <v>28675</v>
      </c>
      <c r="H11237" t="s">
        <v>28686</v>
      </c>
      <c r="I11237" t="s">
        <v>28689</v>
      </c>
      <c r="J11237" t="s">
        <v>28836</v>
      </c>
      <c r="K11237" t="s">
        <v>37209</v>
      </c>
      <c r="M11237" t="s">
        <v>40843</v>
      </c>
      <c r="N11237" t="s">
        <v>41249</v>
      </c>
      <c r="O11237" t="s">
        <v>41250</v>
      </c>
      <c r="P11237">
        <v>0</v>
      </c>
      <c r="Q11237">
        <v>0</v>
      </c>
      <c r="R11237" t="s">
        <v>41264</v>
      </c>
      <c r="S11237" t="s">
        <v>41775</v>
      </c>
      <c r="T11237" t="s">
        <v>43121</v>
      </c>
      <c r="U11237" t="s">
        <v>52208</v>
      </c>
      <c r="V11237" t="s">
        <v>55557</v>
      </c>
      <c r="W11237" t="s">
        <v>38728</v>
      </c>
      <c r="X11237" t="s">
        <v>41265</v>
      </c>
    </row>
    <row r="11238" spans="1:24">
      <c r="A11238">
        <f>HYPERLINK("https://www.philgeps.gov.ph/GEPSNONPILOT/Tender/SplashBidNoticeAbstractUI.aspx?menuIndex=3&amp;refID=7055584&amp;Result=3","7055584")</f>
        <v>0</v>
      </c>
      <c r="B11238" t="s">
        <v>65</v>
      </c>
      <c r="C11238" t="s">
        <v>14129</v>
      </c>
      <c r="D11238" t="s">
        <v>16626</v>
      </c>
      <c r="E11238" t="s">
        <v>26437</v>
      </c>
      <c r="F11238" t="s">
        <v>28669</v>
      </c>
      <c r="G11238" t="s">
        <v>28679</v>
      </c>
      <c r="H11238" t="s">
        <v>28686</v>
      </c>
      <c r="I11238" t="s">
        <v>28689</v>
      </c>
      <c r="J11238" t="s">
        <v>35744</v>
      </c>
      <c r="K11238" t="s">
        <v>37427</v>
      </c>
      <c r="M11238" t="s">
        <v>37540</v>
      </c>
      <c r="N11238" t="s">
        <v>41249</v>
      </c>
      <c r="O11238" t="s">
        <v>41250</v>
      </c>
      <c r="P11238">
        <v>0</v>
      </c>
      <c r="Q11238">
        <v>9</v>
      </c>
      <c r="R11238" t="s">
        <v>41264</v>
      </c>
      <c r="S11238" t="s">
        <v>41775</v>
      </c>
      <c r="T11238" t="s">
        <v>42836</v>
      </c>
      <c r="U11238" t="s">
        <v>52209</v>
      </c>
      <c r="W11238" t="s">
        <v>56016</v>
      </c>
      <c r="X11238" t="s">
        <v>41265</v>
      </c>
    </row>
    <row r="11239" spans="1:24">
      <c r="A11239">
        <f>HYPERLINK("https://www.philgeps.gov.ph/GEPSNONPILOT/Tender/SplashBidNoticeAbstractUI.aspx?menuIndex=3&amp;refID=7055544&amp;Result=3","7055544")</f>
        <v>0</v>
      </c>
      <c r="B11239" t="s">
        <v>3077</v>
      </c>
      <c r="C11239" t="s">
        <v>14130</v>
      </c>
      <c r="D11239" t="s">
        <v>16615</v>
      </c>
      <c r="E11239" t="s">
        <v>16861</v>
      </c>
      <c r="F11239" t="s">
        <v>28669</v>
      </c>
      <c r="G11239" t="s">
        <v>28675</v>
      </c>
      <c r="H11239" t="s">
        <v>28686</v>
      </c>
      <c r="I11239" t="s">
        <v>28689</v>
      </c>
      <c r="J11239" t="s">
        <v>28905</v>
      </c>
      <c r="K11239" t="s">
        <v>37220</v>
      </c>
      <c r="M11239" t="s">
        <v>40860</v>
      </c>
      <c r="N11239" t="s">
        <v>41249</v>
      </c>
      <c r="O11239" t="s">
        <v>41250</v>
      </c>
      <c r="P11239">
        <v>0</v>
      </c>
      <c r="Q11239">
        <v>2</v>
      </c>
      <c r="R11239" t="s">
        <v>41264</v>
      </c>
      <c r="S11239" t="s">
        <v>41775</v>
      </c>
      <c r="T11239" t="s">
        <v>42827</v>
      </c>
      <c r="U11239" t="s">
        <v>52210</v>
      </c>
      <c r="W11239" t="s">
        <v>40860</v>
      </c>
      <c r="X11239" t="s">
        <v>41265</v>
      </c>
    </row>
    <row r="11240" spans="1:24">
      <c r="A11240">
        <f>HYPERLINK("https://www.philgeps.gov.ph/GEPSNONPILOT/Tender/SplashBidNoticeAbstractUI.aspx?menuIndex=3&amp;refID=7055530&amp;Result=3","7055530")</f>
        <v>0</v>
      </c>
      <c r="B11240" t="s">
        <v>1144</v>
      </c>
      <c r="C11240" t="s">
        <v>14131</v>
      </c>
      <c r="D11240" t="s">
        <v>16608</v>
      </c>
      <c r="E11240" t="s">
        <v>26438</v>
      </c>
      <c r="F11240" t="s">
        <v>28669</v>
      </c>
      <c r="G11240" t="s">
        <v>28675</v>
      </c>
      <c r="H11240" t="s">
        <v>28686</v>
      </c>
      <c r="I11240" t="s">
        <v>28689</v>
      </c>
      <c r="J11240" t="s">
        <v>35745</v>
      </c>
      <c r="K11240" t="s">
        <v>37285</v>
      </c>
      <c r="M11240" t="s">
        <v>38680</v>
      </c>
      <c r="N11240" t="s">
        <v>41249</v>
      </c>
      <c r="O11240" t="s">
        <v>41250</v>
      </c>
      <c r="Q11240">
        <v>20</v>
      </c>
      <c r="R11240" t="s">
        <v>41264</v>
      </c>
      <c r="S11240" t="s">
        <v>41877</v>
      </c>
      <c r="T11240" t="s">
        <v>42690</v>
      </c>
      <c r="U11240" t="s">
        <v>45543</v>
      </c>
      <c r="W11240" t="s">
        <v>38680</v>
      </c>
      <c r="X11240" t="s">
        <v>41265</v>
      </c>
    </row>
    <row r="11241" spans="1:24">
      <c r="A11241">
        <f>HYPERLINK("https://www.philgeps.gov.ph/GEPSNONPILOT/Tender/SplashBidNoticeAbstractUI.aspx?menuIndex=3&amp;refID=7055524&amp;Result=3","7055524")</f>
        <v>0</v>
      </c>
      <c r="B11241" t="s">
        <v>1144</v>
      </c>
      <c r="C11241" t="s">
        <v>14132</v>
      </c>
      <c r="D11241" t="s">
        <v>16608</v>
      </c>
      <c r="E11241" t="s">
        <v>26439</v>
      </c>
      <c r="F11241" t="s">
        <v>28669</v>
      </c>
      <c r="G11241" t="s">
        <v>28675</v>
      </c>
      <c r="H11241" t="s">
        <v>28686</v>
      </c>
      <c r="I11241" t="s">
        <v>28685</v>
      </c>
      <c r="J11241" t="s">
        <v>35746</v>
      </c>
      <c r="K11241" t="s">
        <v>37285</v>
      </c>
      <c r="M11241" t="s">
        <v>38680</v>
      </c>
      <c r="N11241" t="s">
        <v>41249</v>
      </c>
      <c r="O11241" t="s">
        <v>41250</v>
      </c>
      <c r="Q11241">
        <v>21</v>
      </c>
      <c r="R11241" t="s">
        <v>41264</v>
      </c>
      <c r="S11241" t="s">
        <v>41878</v>
      </c>
      <c r="T11241" t="s">
        <v>42690</v>
      </c>
      <c r="U11241" t="s">
        <v>45543</v>
      </c>
      <c r="W11241" t="s">
        <v>38680</v>
      </c>
      <c r="X11241" t="s">
        <v>41265</v>
      </c>
    </row>
    <row r="11242" spans="1:24">
      <c r="A11242">
        <f>HYPERLINK("https://www.philgeps.gov.ph/GEPSNONPILOT/Tender/SplashBidNoticeAbstractUI.aspx?menuIndex=3&amp;refID=7055517&amp;Result=3","7055517")</f>
        <v>0</v>
      </c>
      <c r="B11242" t="s">
        <v>1144</v>
      </c>
      <c r="C11242" t="s">
        <v>14133</v>
      </c>
      <c r="D11242" t="s">
        <v>16608</v>
      </c>
      <c r="E11242" t="s">
        <v>26440</v>
      </c>
      <c r="F11242" t="s">
        <v>28669</v>
      </c>
      <c r="G11242" t="s">
        <v>28675</v>
      </c>
      <c r="H11242" t="s">
        <v>28686</v>
      </c>
      <c r="I11242" t="s">
        <v>28689</v>
      </c>
      <c r="J11242" t="s">
        <v>35747</v>
      </c>
      <c r="K11242" t="s">
        <v>37212</v>
      </c>
      <c r="M11242" t="s">
        <v>38680</v>
      </c>
      <c r="N11242" t="s">
        <v>41249</v>
      </c>
      <c r="O11242" t="s">
        <v>41250</v>
      </c>
      <c r="Q11242">
        <v>20</v>
      </c>
      <c r="R11242" t="s">
        <v>41264</v>
      </c>
      <c r="S11242" t="s">
        <v>41879</v>
      </c>
      <c r="T11242" t="s">
        <v>42690</v>
      </c>
      <c r="U11242" t="s">
        <v>45543</v>
      </c>
      <c r="W11242" t="s">
        <v>38680</v>
      </c>
      <c r="X11242" t="s">
        <v>41265</v>
      </c>
    </row>
    <row r="11243" spans="1:24">
      <c r="A11243">
        <f>HYPERLINK("https://www.philgeps.gov.ph/GEPSNONPILOT/Tender/SplashBidNoticeAbstractUI.aspx?menuIndex=3&amp;refID=7055513&amp;Result=3","7055513")</f>
        <v>0</v>
      </c>
      <c r="B11243" t="s">
        <v>3043</v>
      </c>
      <c r="C11243" t="s">
        <v>14107</v>
      </c>
      <c r="D11243" t="s">
        <v>16628</v>
      </c>
      <c r="E11243" t="s">
        <v>26441</v>
      </c>
      <c r="F11243" t="s">
        <v>28669</v>
      </c>
      <c r="G11243" t="s">
        <v>28675</v>
      </c>
      <c r="H11243" t="s">
        <v>28686</v>
      </c>
      <c r="I11243" t="s">
        <v>28702</v>
      </c>
      <c r="J11243" t="s">
        <v>28924</v>
      </c>
      <c r="K11243" t="s">
        <v>37211</v>
      </c>
      <c r="M11243" t="s">
        <v>40820</v>
      </c>
      <c r="N11243" t="s">
        <v>41249</v>
      </c>
      <c r="O11243" t="s">
        <v>41250</v>
      </c>
      <c r="P11243">
        <v>0</v>
      </c>
      <c r="Q11243">
        <v>15</v>
      </c>
      <c r="R11243" t="s">
        <v>41264</v>
      </c>
      <c r="S11243" t="s">
        <v>41775</v>
      </c>
      <c r="T11243" t="s">
        <v>42697</v>
      </c>
      <c r="U11243" t="s">
        <v>52211</v>
      </c>
      <c r="W11243" t="s">
        <v>40820</v>
      </c>
      <c r="X11243" t="s">
        <v>41265</v>
      </c>
    </row>
    <row r="11244" spans="1:24">
      <c r="A11244">
        <f>HYPERLINK("https://www.philgeps.gov.ph/GEPSNONPILOT/Tender/SplashBidNoticeAbstractUI.aspx?menuIndex=3&amp;refID=7055522&amp;Result=3","7055522")</f>
        <v>0</v>
      </c>
      <c r="B11244" t="s">
        <v>3043</v>
      </c>
      <c r="C11244" t="s">
        <v>14107</v>
      </c>
      <c r="D11244" t="s">
        <v>16628</v>
      </c>
      <c r="E11244" t="s">
        <v>26442</v>
      </c>
      <c r="F11244" t="s">
        <v>28669</v>
      </c>
      <c r="G11244" t="s">
        <v>28675</v>
      </c>
      <c r="H11244" t="s">
        <v>28686</v>
      </c>
      <c r="I11244" t="s">
        <v>28702</v>
      </c>
      <c r="J11244" t="s">
        <v>28878</v>
      </c>
      <c r="K11244" t="s">
        <v>37221</v>
      </c>
      <c r="M11244" t="s">
        <v>40820</v>
      </c>
      <c r="N11244" t="s">
        <v>41249</v>
      </c>
      <c r="O11244" t="s">
        <v>41250</v>
      </c>
      <c r="P11244">
        <v>0</v>
      </c>
      <c r="Q11244">
        <v>13</v>
      </c>
      <c r="R11244" t="s">
        <v>41264</v>
      </c>
      <c r="S11244" t="s">
        <v>41775</v>
      </c>
      <c r="T11244" t="s">
        <v>42697</v>
      </c>
      <c r="U11244" t="s">
        <v>52212</v>
      </c>
      <c r="W11244" t="s">
        <v>40820</v>
      </c>
      <c r="X11244" t="s">
        <v>41265</v>
      </c>
    </row>
    <row r="11245" spans="1:24">
      <c r="A11245">
        <f>HYPERLINK("https://www.philgeps.gov.ph/GEPSNONPILOT/Tender/SplashBidNoticeAbstractUI.aspx?menuIndex=3&amp;refID=7055510&amp;Result=3","7055510")</f>
        <v>0</v>
      </c>
      <c r="B11245" t="s">
        <v>1139</v>
      </c>
      <c r="C11245" t="s">
        <v>14134</v>
      </c>
      <c r="E11245" t="s">
        <v>26443</v>
      </c>
      <c r="F11245" t="s">
        <v>28671</v>
      </c>
      <c r="G11245" t="s">
        <v>28681</v>
      </c>
      <c r="H11245" t="s">
        <v>28685</v>
      </c>
      <c r="I11245" t="s">
        <v>28685</v>
      </c>
      <c r="J11245" t="s">
        <v>30665</v>
      </c>
      <c r="K11245" t="s">
        <v>37463</v>
      </c>
      <c r="M11245" t="s">
        <v>38674</v>
      </c>
      <c r="N11245" t="s">
        <v>41249</v>
      </c>
      <c r="O11245" t="s">
        <v>41250</v>
      </c>
      <c r="P11245">
        <v>0</v>
      </c>
      <c r="Q11245">
        <v>4</v>
      </c>
      <c r="R11245" t="s">
        <v>41264</v>
      </c>
      <c r="S11245" t="s">
        <v>41775</v>
      </c>
      <c r="T11245" t="s">
        <v>43127</v>
      </c>
      <c r="U11245" t="s">
        <v>52213</v>
      </c>
      <c r="V11245" t="s">
        <v>55570</v>
      </c>
      <c r="W11245" t="s">
        <v>38674</v>
      </c>
      <c r="X11245" t="s">
        <v>41265</v>
      </c>
    </row>
    <row r="11246" spans="1:24">
      <c r="A11246">
        <f>HYPERLINK("https://www.philgeps.gov.ph/GEPSNONPILOT/Tender/SplashBidNoticeAbstractUI.aspx?menuIndex=3&amp;refID=7055515&amp;Result=3","7055515")</f>
        <v>0</v>
      </c>
      <c r="B11246" t="s">
        <v>2610</v>
      </c>
      <c r="C11246" t="s">
        <v>14135</v>
      </c>
      <c r="D11246" t="s">
        <v>16642</v>
      </c>
      <c r="E11246" t="s">
        <v>26444</v>
      </c>
      <c r="F11246" t="s">
        <v>28669</v>
      </c>
      <c r="G11246" t="s">
        <v>28675</v>
      </c>
      <c r="H11246" t="s">
        <v>9998</v>
      </c>
      <c r="I11246" t="s">
        <v>28704</v>
      </c>
      <c r="J11246" t="s">
        <v>35748</v>
      </c>
      <c r="K11246" t="s">
        <v>37229</v>
      </c>
      <c r="M11246" t="s">
        <v>40307</v>
      </c>
      <c r="N11246" t="s">
        <v>41249</v>
      </c>
      <c r="O11246" t="s">
        <v>41250</v>
      </c>
      <c r="P11246">
        <v>0</v>
      </c>
      <c r="Q11246">
        <v>5</v>
      </c>
      <c r="R11246" t="s">
        <v>41264</v>
      </c>
      <c r="S11246" t="s">
        <v>41775</v>
      </c>
      <c r="T11246" t="s">
        <v>42673</v>
      </c>
      <c r="U11246" t="s">
        <v>52214</v>
      </c>
      <c r="W11246" t="s">
        <v>40307</v>
      </c>
      <c r="X11246" t="s">
        <v>41265</v>
      </c>
    </row>
    <row r="11247" spans="1:24">
      <c r="A11247">
        <f>HYPERLINK("https://www.philgeps.gov.ph/GEPSNONPILOT/Tender/SplashBidNoticeAbstractUI.aspx?menuIndex=3&amp;refID=7055509&amp;Result=3","7055509")</f>
        <v>0</v>
      </c>
      <c r="B11247" t="s">
        <v>3043</v>
      </c>
      <c r="C11247" t="s">
        <v>14107</v>
      </c>
      <c r="D11247" t="s">
        <v>16628</v>
      </c>
      <c r="E11247" t="s">
        <v>26445</v>
      </c>
      <c r="F11247" t="s">
        <v>28669</v>
      </c>
      <c r="G11247" t="s">
        <v>28675</v>
      </c>
      <c r="H11247" t="s">
        <v>28686</v>
      </c>
      <c r="I11247" t="s">
        <v>28702</v>
      </c>
      <c r="J11247" t="s">
        <v>28881</v>
      </c>
      <c r="K11247" t="s">
        <v>37211</v>
      </c>
      <c r="M11247" t="s">
        <v>40820</v>
      </c>
      <c r="N11247" t="s">
        <v>41249</v>
      </c>
      <c r="O11247" t="s">
        <v>41250</v>
      </c>
      <c r="P11247">
        <v>0</v>
      </c>
      <c r="Q11247">
        <v>15</v>
      </c>
      <c r="R11247" t="s">
        <v>41264</v>
      </c>
      <c r="S11247" t="s">
        <v>41775</v>
      </c>
      <c r="T11247" t="s">
        <v>42697</v>
      </c>
      <c r="U11247" t="s">
        <v>52215</v>
      </c>
      <c r="W11247" t="s">
        <v>40820</v>
      </c>
      <c r="X11247" t="s">
        <v>41265</v>
      </c>
    </row>
    <row r="11248" spans="1:24">
      <c r="A11248">
        <f>HYPERLINK("https://www.philgeps.gov.ph/GEPSNONPILOT/Tender/SplashBidNoticeAbstractUI.aspx?menuIndex=3&amp;refID=7055493&amp;Result=3","7055493")</f>
        <v>0</v>
      </c>
      <c r="B11248" t="s">
        <v>3074</v>
      </c>
      <c r="C11248" t="s">
        <v>14136</v>
      </c>
      <c r="D11248" t="s">
        <v>16668</v>
      </c>
      <c r="E11248" t="s">
        <v>26446</v>
      </c>
      <c r="F11248" t="s">
        <v>28669</v>
      </c>
      <c r="G11248" t="s">
        <v>28675</v>
      </c>
      <c r="H11248" t="s">
        <v>28686</v>
      </c>
      <c r="I11248" t="s">
        <v>28689</v>
      </c>
      <c r="J11248" t="s">
        <v>29003</v>
      </c>
      <c r="K11248" t="s">
        <v>37231</v>
      </c>
      <c r="M11248" t="s">
        <v>40857</v>
      </c>
      <c r="N11248" t="s">
        <v>41249</v>
      </c>
      <c r="O11248" t="s">
        <v>41250</v>
      </c>
      <c r="P11248">
        <v>0</v>
      </c>
      <c r="Q11248">
        <v>0</v>
      </c>
      <c r="R11248" t="s">
        <v>41264</v>
      </c>
      <c r="S11248" t="s">
        <v>41775</v>
      </c>
      <c r="T11248" t="s">
        <v>42698</v>
      </c>
      <c r="U11248" t="s">
        <v>52216</v>
      </c>
      <c r="W11248" t="s">
        <v>40857</v>
      </c>
      <c r="X11248" t="s">
        <v>41265</v>
      </c>
    </row>
    <row r="11249" spans="1:24">
      <c r="A11249">
        <f>HYPERLINK("https://www.philgeps.gov.ph/GEPSNONPILOT/Tender/SplashBidNoticeAbstractUI.aspx?menuIndex=3&amp;refID=7055570&amp;Result=3","7055570")</f>
        <v>0</v>
      </c>
      <c r="B11249" t="s">
        <v>1188</v>
      </c>
      <c r="C11249" t="s">
        <v>14137</v>
      </c>
      <c r="D11249" t="s">
        <v>16642</v>
      </c>
      <c r="E11249" t="s">
        <v>26447</v>
      </c>
      <c r="F11249" t="s">
        <v>28669</v>
      </c>
      <c r="G11249" t="s">
        <v>28675</v>
      </c>
      <c r="H11249" t="s">
        <v>28686</v>
      </c>
      <c r="I11249" t="s">
        <v>28689</v>
      </c>
      <c r="J11249" t="s">
        <v>28836</v>
      </c>
      <c r="K11249" t="s">
        <v>37209</v>
      </c>
      <c r="M11249" t="s">
        <v>40843</v>
      </c>
      <c r="N11249" t="s">
        <v>41249</v>
      </c>
      <c r="O11249" t="s">
        <v>41250</v>
      </c>
      <c r="P11249">
        <v>0</v>
      </c>
      <c r="Q11249">
        <v>0</v>
      </c>
      <c r="R11249" t="s">
        <v>41264</v>
      </c>
      <c r="S11249" t="s">
        <v>41775</v>
      </c>
      <c r="T11249" t="s">
        <v>43121</v>
      </c>
      <c r="U11249" t="s">
        <v>52217</v>
      </c>
      <c r="V11249" t="s">
        <v>55557</v>
      </c>
      <c r="W11249" t="s">
        <v>38728</v>
      </c>
      <c r="X11249" t="s">
        <v>41265</v>
      </c>
    </row>
    <row r="11250" spans="1:24">
      <c r="A11250">
        <f>HYPERLINK("https://www.philgeps.gov.ph/GEPSNONPILOT/Tender/SplashBidNoticeAbstractUI.aspx?menuIndex=3&amp;refID=7040272&amp;Result=3","7040272")</f>
        <v>0</v>
      </c>
      <c r="B11250" t="s">
        <v>2842</v>
      </c>
      <c r="C11250" t="s">
        <v>14138</v>
      </c>
      <c r="D11250" t="s">
        <v>16616</v>
      </c>
      <c r="E11250" t="s">
        <v>26448</v>
      </c>
      <c r="F11250" t="s">
        <v>28669</v>
      </c>
      <c r="G11250" t="s">
        <v>28675</v>
      </c>
      <c r="H11250" t="s">
        <v>9998</v>
      </c>
      <c r="I11250" t="s">
        <v>6128</v>
      </c>
      <c r="J11250" t="s">
        <v>35749</v>
      </c>
      <c r="K11250" t="s">
        <v>37210</v>
      </c>
      <c r="M11250" t="s">
        <v>40578</v>
      </c>
      <c r="N11250" t="s">
        <v>41249</v>
      </c>
      <c r="O11250" t="s">
        <v>41250</v>
      </c>
      <c r="P11250">
        <v>0</v>
      </c>
      <c r="Q11250">
        <v>1</v>
      </c>
      <c r="R11250" t="s">
        <v>41265</v>
      </c>
      <c r="S11250" t="s">
        <v>41880</v>
      </c>
      <c r="T11250" t="s">
        <v>42679</v>
      </c>
      <c r="U11250" t="s">
        <v>52218</v>
      </c>
      <c r="V11250" t="s">
        <v>55571</v>
      </c>
      <c r="W11250" t="s">
        <v>40578</v>
      </c>
      <c r="X11250" t="s">
        <v>41273</v>
      </c>
    </row>
    <row r="11251" spans="1:24">
      <c r="A11251">
        <f>HYPERLINK("https://www.philgeps.gov.ph/GEPSNONPILOT/Tender/SplashBidNoticeAbstractUI.aspx?menuIndex=3&amp;refID=7055414&amp;Result=3","7055414")</f>
        <v>0</v>
      </c>
      <c r="B11251" t="s">
        <v>3053</v>
      </c>
      <c r="C11251" t="s">
        <v>14139</v>
      </c>
      <c r="D11251" t="s">
        <v>16625</v>
      </c>
      <c r="E11251" t="s">
        <v>17609</v>
      </c>
      <c r="F11251" t="s">
        <v>28669</v>
      </c>
      <c r="G11251" t="s">
        <v>28675</v>
      </c>
      <c r="H11251" t="s">
        <v>28686</v>
      </c>
      <c r="I11251" t="s">
        <v>28689</v>
      </c>
      <c r="J11251" t="s">
        <v>30162</v>
      </c>
      <c r="K11251" t="s">
        <v>37221</v>
      </c>
      <c r="M11251" t="s">
        <v>40834</v>
      </c>
      <c r="N11251" t="s">
        <v>41249</v>
      </c>
      <c r="O11251" t="s">
        <v>41250</v>
      </c>
      <c r="P11251">
        <v>0</v>
      </c>
      <c r="Q11251">
        <v>0</v>
      </c>
      <c r="R11251" t="s">
        <v>41264</v>
      </c>
      <c r="S11251" t="s">
        <v>41775</v>
      </c>
      <c r="T11251" t="s">
        <v>42686</v>
      </c>
      <c r="U11251" t="s">
        <v>52219</v>
      </c>
      <c r="W11251" t="s">
        <v>40834</v>
      </c>
      <c r="X11251" t="s">
        <v>41265</v>
      </c>
    </row>
    <row r="11252" spans="1:24">
      <c r="A11252">
        <f>HYPERLINK("https://www.philgeps.gov.ph/GEPSNONPILOT/Tender/SplashBidNoticeAbstractUI.aspx?menuIndex=3&amp;refID=7055508&amp;Result=3","7055508")</f>
        <v>0</v>
      </c>
      <c r="B11252" t="s">
        <v>1144</v>
      </c>
      <c r="C11252" t="s">
        <v>14140</v>
      </c>
      <c r="D11252" t="s">
        <v>16608</v>
      </c>
      <c r="E11252" t="s">
        <v>26449</v>
      </c>
      <c r="F11252" t="s">
        <v>28669</v>
      </c>
      <c r="G11252" t="s">
        <v>28675</v>
      </c>
      <c r="H11252" t="s">
        <v>28686</v>
      </c>
      <c r="I11252" t="s">
        <v>28689</v>
      </c>
      <c r="J11252" t="s">
        <v>35750</v>
      </c>
      <c r="K11252" t="s">
        <v>37218</v>
      </c>
      <c r="M11252" t="s">
        <v>38680</v>
      </c>
      <c r="N11252" t="s">
        <v>41249</v>
      </c>
      <c r="O11252" t="s">
        <v>41250</v>
      </c>
      <c r="Q11252">
        <v>20</v>
      </c>
      <c r="R11252" t="s">
        <v>41264</v>
      </c>
      <c r="S11252" t="s">
        <v>41881</v>
      </c>
      <c r="T11252" t="s">
        <v>42690</v>
      </c>
      <c r="U11252" t="s">
        <v>45543</v>
      </c>
      <c r="W11252" t="s">
        <v>38680</v>
      </c>
      <c r="X11252" t="s">
        <v>41265</v>
      </c>
    </row>
    <row r="11253" spans="1:24">
      <c r="A11253">
        <f>HYPERLINK("https://www.philgeps.gov.ph/GEPSNONPILOT/Tender/SplashBidNoticeAbstractUI.aspx?menuIndex=3&amp;refID=7055617&amp;Result=3","7055617")</f>
        <v>0</v>
      </c>
      <c r="B11253" t="s">
        <v>3053</v>
      </c>
      <c r="C11253" t="s">
        <v>14141</v>
      </c>
      <c r="D11253" t="s">
        <v>16625</v>
      </c>
      <c r="E11253" t="s">
        <v>17986</v>
      </c>
      <c r="F11253" t="s">
        <v>28669</v>
      </c>
      <c r="G11253" t="s">
        <v>28675</v>
      </c>
      <c r="H11253" t="s">
        <v>28686</v>
      </c>
      <c r="I11253" t="s">
        <v>28689</v>
      </c>
      <c r="J11253" t="s">
        <v>34922</v>
      </c>
      <c r="K11253" t="s">
        <v>37215</v>
      </c>
      <c r="M11253" t="s">
        <v>40834</v>
      </c>
      <c r="N11253" t="s">
        <v>41249</v>
      </c>
      <c r="O11253" t="s">
        <v>41250</v>
      </c>
      <c r="P11253">
        <v>0</v>
      </c>
      <c r="Q11253">
        <v>0</v>
      </c>
      <c r="R11253" t="s">
        <v>41264</v>
      </c>
      <c r="S11253" t="s">
        <v>41775</v>
      </c>
      <c r="T11253" t="s">
        <v>42686</v>
      </c>
      <c r="U11253" t="s">
        <v>52220</v>
      </c>
      <c r="W11253" t="s">
        <v>40834</v>
      </c>
      <c r="X11253" t="s">
        <v>41265</v>
      </c>
    </row>
    <row r="11254" spans="1:24">
      <c r="A11254">
        <f>HYPERLINK("https://www.philgeps.gov.ph/GEPSNONPILOT/Tender/SplashBidNoticeAbstractUI.aspx?menuIndex=3&amp;refID=7040243&amp;Result=3","7040243")</f>
        <v>0</v>
      </c>
      <c r="B11254" t="s">
        <v>2842</v>
      </c>
      <c r="C11254" t="s">
        <v>14142</v>
      </c>
      <c r="D11254" t="s">
        <v>16616</v>
      </c>
      <c r="E11254" t="s">
        <v>26450</v>
      </c>
      <c r="F11254" t="s">
        <v>28669</v>
      </c>
      <c r="G11254" t="s">
        <v>28675</v>
      </c>
      <c r="H11254" t="s">
        <v>9998</v>
      </c>
      <c r="I11254" t="s">
        <v>6128</v>
      </c>
      <c r="J11254" t="s">
        <v>35751</v>
      </c>
      <c r="K11254" t="s">
        <v>37210</v>
      </c>
      <c r="M11254" t="s">
        <v>40578</v>
      </c>
      <c r="N11254" t="s">
        <v>41249</v>
      </c>
      <c r="O11254" t="s">
        <v>41250</v>
      </c>
      <c r="P11254">
        <v>0</v>
      </c>
      <c r="Q11254">
        <v>1</v>
      </c>
      <c r="R11254" t="s">
        <v>41265</v>
      </c>
      <c r="S11254" t="s">
        <v>41880</v>
      </c>
      <c r="T11254" t="s">
        <v>42679</v>
      </c>
      <c r="U11254" t="s">
        <v>52218</v>
      </c>
      <c r="V11254" t="s">
        <v>55572</v>
      </c>
      <c r="W11254" t="s">
        <v>40578</v>
      </c>
      <c r="X11254" t="s">
        <v>41273</v>
      </c>
    </row>
    <row r="11255" spans="1:24">
      <c r="A11255">
        <f>HYPERLINK("https://www.philgeps.gov.ph/GEPSNONPILOT/Tender/SplashBidNoticeAbstractUI.aspx?menuIndex=3&amp;refID=7035498&amp;Result=3","7035498")</f>
        <v>0</v>
      </c>
      <c r="B11255" t="s">
        <v>3078</v>
      </c>
      <c r="C11255" t="s">
        <v>14143</v>
      </c>
      <c r="D11255" t="s">
        <v>16663</v>
      </c>
      <c r="E11255" t="s">
        <v>26451</v>
      </c>
      <c r="F11255" t="s">
        <v>28669</v>
      </c>
      <c r="G11255" t="s">
        <v>28675</v>
      </c>
      <c r="H11255" t="s">
        <v>28686</v>
      </c>
      <c r="I11255" t="s">
        <v>28689</v>
      </c>
      <c r="J11255" t="s">
        <v>29968</v>
      </c>
      <c r="K11255" t="s">
        <v>37211</v>
      </c>
      <c r="M11255" t="s">
        <v>40861</v>
      </c>
      <c r="N11255" t="s">
        <v>41249</v>
      </c>
      <c r="O11255" t="s">
        <v>41250</v>
      </c>
      <c r="Q11255">
        <v>5</v>
      </c>
      <c r="R11255" t="s">
        <v>41265</v>
      </c>
      <c r="S11255" t="s">
        <v>41540</v>
      </c>
      <c r="T11255" t="s">
        <v>42683</v>
      </c>
      <c r="U11255" t="s">
        <v>52221</v>
      </c>
      <c r="V11255" t="s">
        <v>55573</v>
      </c>
      <c r="W11255" t="s">
        <v>40861</v>
      </c>
      <c r="X11255" t="s">
        <v>41274</v>
      </c>
    </row>
    <row r="11256" spans="1:24">
      <c r="A11256">
        <f>HYPERLINK("https://www.philgeps.gov.ph/GEPSNONPILOT/Tender/SplashBidNoticeAbstractUI.aspx?menuIndex=3&amp;refID=7035477&amp;Result=3","7035477")</f>
        <v>0</v>
      </c>
      <c r="B11256" t="s">
        <v>3078</v>
      </c>
      <c r="C11256" t="s">
        <v>14144</v>
      </c>
      <c r="D11256" t="s">
        <v>16663</v>
      </c>
      <c r="E11256" t="s">
        <v>26452</v>
      </c>
      <c r="F11256" t="s">
        <v>28669</v>
      </c>
      <c r="G11256" t="s">
        <v>28675</v>
      </c>
      <c r="H11256" t="s">
        <v>28686</v>
      </c>
      <c r="I11256" t="s">
        <v>28689</v>
      </c>
      <c r="J11256" t="s">
        <v>29968</v>
      </c>
      <c r="K11256" t="s">
        <v>37211</v>
      </c>
      <c r="M11256" t="s">
        <v>40861</v>
      </c>
      <c r="N11256" t="s">
        <v>41249</v>
      </c>
      <c r="O11256" t="s">
        <v>41250</v>
      </c>
      <c r="Q11256">
        <v>4</v>
      </c>
      <c r="R11256" t="s">
        <v>41265</v>
      </c>
      <c r="S11256" t="s">
        <v>41882</v>
      </c>
      <c r="T11256" t="s">
        <v>42683</v>
      </c>
      <c r="U11256" t="s">
        <v>52222</v>
      </c>
      <c r="V11256" t="s">
        <v>55573</v>
      </c>
      <c r="W11256" t="s">
        <v>40861</v>
      </c>
      <c r="X11256" t="s">
        <v>41274</v>
      </c>
    </row>
    <row r="11257" spans="1:24">
      <c r="A11257">
        <f>HYPERLINK("https://www.philgeps.gov.ph/GEPSNONPILOT/Tender/SplashBidNoticeAbstractUI.aspx?menuIndex=3&amp;refID=7035323&amp;Result=3","7035323")</f>
        <v>0</v>
      </c>
      <c r="B11257" t="s">
        <v>3078</v>
      </c>
      <c r="C11257" t="s">
        <v>14145</v>
      </c>
      <c r="D11257" t="s">
        <v>16663</v>
      </c>
      <c r="E11257" t="s">
        <v>26453</v>
      </c>
      <c r="F11257" t="s">
        <v>28669</v>
      </c>
      <c r="G11257" t="s">
        <v>28675</v>
      </c>
      <c r="H11257" t="s">
        <v>28686</v>
      </c>
      <c r="I11257" t="s">
        <v>28689</v>
      </c>
      <c r="J11257" t="s">
        <v>29968</v>
      </c>
      <c r="K11257" t="s">
        <v>37211</v>
      </c>
      <c r="M11257" t="s">
        <v>40861</v>
      </c>
      <c r="N11257" t="s">
        <v>41249</v>
      </c>
      <c r="O11257" t="s">
        <v>41250</v>
      </c>
      <c r="Q11257">
        <v>9</v>
      </c>
      <c r="R11257" t="s">
        <v>41265</v>
      </c>
      <c r="S11257" t="s">
        <v>41883</v>
      </c>
      <c r="T11257" t="s">
        <v>42683</v>
      </c>
      <c r="U11257" t="s">
        <v>52223</v>
      </c>
      <c r="V11257" t="s">
        <v>55573</v>
      </c>
      <c r="W11257" t="s">
        <v>40861</v>
      </c>
      <c r="X11257" t="s">
        <v>41274</v>
      </c>
    </row>
    <row r="11258" spans="1:24">
      <c r="A11258">
        <f>HYPERLINK("https://www.philgeps.gov.ph/GEPSNONPILOT/Tender/SplashBidNoticeAbstractUI.aspx?menuIndex=3&amp;refID=7026766&amp;Result=3","7026766")</f>
        <v>0</v>
      </c>
      <c r="B11258" t="s">
        <v>1571</v>
      </c>
      <c r="C11258" t="s">
        <v>14146</v>
      </c>
      <c r="D11258" t="s">
        <v>16636</v>
      </c>
      <c r="E11258" t="s">
        <v>26454</v>
      </c>
      <c r="F11258" t="s">
        <v>28669</v>
      </c>
      <c r="G11258" t="s">
        <v>28675</v>
      </c>
      <c r="H11258" t="s">
        <v>28686</v>
      </c>
      <c r="I11258" t="s">
        <v>28737</v>
      </c>
      <c r="J11258" t="s">
        <v>35752</v>
      </c>
      <c r="K11258" t="s">
        <v>37411</v>
      </c>
      <c r="M11258" t="s">
        <v>39151</v>
      </c>
      <c r="N11258" t="s">
        <v>41249</v>
      </c>
      <c r="O11258" t="s">
        <v>41250</v>
      </c>
      <c r="P11258">
        <v>0</v>
      </c>
      <c r="Q11258">
        <v>0</v>
      </c>
      <c r="R11258" t="s">
        <v>41265</v>
      </c>
      <c r="S11258" t="s">
        <v>41880</v>
      </c>
      <c r="T11258" t="s">
        <v>42739</v>
      </c>
      <c r="U11258" t="s">
        <v>52224</v>
      </c>
      <c r="W11258" t="s">
        <v>39151</v>
      </c>
      <c r="X11258" t="s">
        <v>41280</v>
      </c>
    </row>
    <row r="11259" spans="1:24">
      <c r="A11259">
        <f>HYPERLINK("https://www.philgeps.gov.ph/GEPSNONPILOT/Tender/SplashBidNoticeAbstractUI.aspx?menuIndex=3&amp;refID=7055627&amp;Result=3","7055627")</f>
        <v>0</v>
      </c>
      <c r="B11259" t="s">
        <v>3053</v>
      </c>
      <c r="C11259" t="s">
        <v>14147</v>
      </c>
      <c r="D11259" t="s">
        <v>16625</v>
      </c>
      <c r="E11259" t="s">
        <v>22240</v>
      </c>
      <c r="F11259" t="s">
        <v>28669</v>
      </c>
      <c r="G11259" t="s">
        <v>28675</v>
      </c>
      <c r="H11259" t="s">
        <v>28686</v>
      </c>
      <c r="I11259" t="s">
        <v>28689</v>
      </c>
      <c r="J11259" t="s">
        <v>35460</v>
      </c>
      <c r="K11259" t="s">
        <v>37220</v>
      </c>
      <c r="M11259" t="s">
        <v>40834</v>
      </c>
      <c r="N11259" t="s">
        <v>41249</v>
      </c>
      <c r="O11259" t="s">
        <v>41250</v>
      </c>
      <c r="P11259">
        <v>0</v>
      </c>
      <c r="Q11259">
        <v>0</v>
      </c>
      <c r="R11259" t="s">
        <v>41264</v>
      </c>
      <c r="S11259" t="s">
        <v>41775</v>
      </c>
      <c r="T11259" t="s">
        <v>42686</v>
      </c>
      <c r="U11259" t="s">
        <v>52225</v>
      </c>
      <c r="W11259" t="s">
        <v>40834</v>
      </c>
      <c r="X11259" t="s">
        <v>41265</v>
      </c>
    </row>
    <row r="11260" spans="1:24">
      <c r="A11260">
        <f>HYPERLINK("https://www.philgeps.gov.ph/GEPSNONPILOT/Tender/SplashBidNoticeAbstractUI.aspx?menuIndex=3&amp;refID=7040852&amp;Result=3","7040852")</f>
        <v>0</v>
      </c>
      <c r="B11260" t="s">
        <v>1533</v>
      </c>
      <c r="C11260" t="s">
        <v>14148</v>
      </c>
      <c r="D11260" t="s">
        <v>16617</v>
      </c>
      <c r="E11260" t="s">
        <v>26455</v>
      </c>
      <c r="F11260" t="s">
        <v>28669</v>
      </c>
      <c r="G11260" t="s">
        <v>28675</v>
      </c>
      <c r="H11260" t="s">
        <v>9998</v>
      </c>
      <c r="I11260" t="s">
        <v>28799</v>
      </c>
      <c r="J11260" t="s">
        <v>35753</v>
      </c>
      <c r="K11260" t="s">
        <v>37209</v>
      </c>
      <c r="M11260" t="s">
        <v>40862</v>
      </c>
      <c r="N11260" t="s">
        <v>41249</v>
      </c>
      <c r="O11260" t="s">
        <v>41250</v>
      </c>
      <c r="P11260">
        <v>0</v>
      </c>
      <c r="Q11260">
        <v>6</v>
      </c>
      <c r="R11260" t="s">
        <v>41265</v>
      </c>
      <c r="S11260" t="s">
        <v>41880</v>
      </c>
      <c r="T11260" t="s">
        <v>42858</v>
      </c>
      <c r="U11260" t="s">
        <v>52226</v>
      </c>
      <c r="V11260" t="s">
        <v>55574</v>
      </c>
      <c r="W11260" t="s">
        <v>40862</v>
      </c>
      <c r="X11260" t="s">
        <v>41273</v>
      </c>
    </row>
    <row r="11261" spans="1:24">
      <c r="A11261">
        <f>HYPERLINK("https://www.philgeps.gov.ph/GEPSNONPILOT/Tender/SplashBidNoticeAbstractUI.aspx?menuIndex=3&amp;refID=7041363&amp;Result=3","7041363")</f>
        <v>0</v>
      </c>
      <c r="B11261" t="s">
        <v>2842</v>
      </c>
      <c r="C11261" t="s">
        <v>7523</v>
      </c>
      <c r="D11261" t="s">
        <v>16616</v>
      </c>
      <c r="E11261" t="s">
        <v>26456</v>
      </c>
      <c r="F11261" t="s">
        <v>28669</v>
      </c>
      <c r="G11261" t="s">
        <v>28675</v>
      </c>
      <c r="H11261" t="s">
        <v>9998</v>
      </c>
      <c r="I11261" t="s">
        <v>6128</v>
      </c>
      <c r="J11261" t="s">
        <v>35754</v>
      </c>
      <c r="K11261" t="s">
        <v>37210</v>
      </c>
      <c r="M11261" t="s">
        <v>40578</v>
      </c>
      <c r="N11261" t="s">
        <v>41249</v>
      </c>
      <c r="O11261" t="s">
        <v>41250</v>
      </c>
      <c r="P11261">
        <v>0</v>
      </c>
      <c r="Q11261">
        <v>0</v>
      </c>
      <c r="R11261" t="s">
        <v>41265</v>
      </c>
      <c r="S11261" t="s">
        <v>41880</v>
      </c>
      <c r="T11261" t="s">
        <v>42679</v>
      </c>
      <c r="U11261" t="s">
        <v>52218</v>
      </c>
      <c r="V11261" t="s">
        <v>55575</v>
      </c>
      <c r="W11261" t="s">
        <v>40578</v>
      </c>
      <c r="X11261" t="s">
        <v>41272</v>
      </c>
    </row>
    <row r="11262" spans="1:24">
      <c r="A11262">
        <f>HYPERLINK("https://www.philgeps.gov.ph/GEPSNONPILOT/Tender/SplashBidNoticeAbstractUI.aspx?menuIndex=3&amp;refID=7036744&amp;Result=3","7036744")</f>
        <v>0</v>
      </c>
      <c r="B11262" t="s">
        <v>281</v>
      </c>
      <c r="C11262" t="s">
        <v>14149</v>
      </c>
      <c r="D11262" t="s">
        <v>16652</v>
      </c>
      <c r="E11262" t="s">
        <v>26457</v>
      </c>
      <c r="F11262" t="s">
        <v>28669</v>
      </c>
      <c r="G11262" t="s">
        <v>28675</v>
      </c>
      <c r="H11262" t="s">
        <v>9998</v>
      </c>
      <c r="I11262" t="s">
        <v>28687</v>
      </c>
      <c r="J11262" t="s">
        <v>31229</v>
      </c>
      <c r="K11262" t="s">
        <v>37205</v>
      </c>
      <c r="M11262" t="s">
        <v>37759</v>
      </c>
      <c r="N11262" t="s">
        <v>41249</v>
      </c>
      <c r="O11262" t="s">
        <v>41250</v>
      </c>
      <c r="P11262">
        <v>0</v>
      </c>
      <c r="Q11262">
        <v>7</v>
      </c>
      <c r="R11262" t="s">
        <v>41265</v>
      </c>
      <c r="S11262" t="s">
        <v>41880</v>
      </c>
      <c r="T11262" t="s">
        <v>42690</v>
      </c>
      <c r="U11262" t="s">
        <v>52227</v>
      </c>
      <c r="W11262" t="s">
        <v>37759</v>
      </c>
      <c r="X11262" t="s">
        <v>41274</v>
      </c>
    </row>
    <row r="11263" spans="1:24">
      <c r="A11263">
        <f>HYPERLINK("https://www.philgeps.gov.ph/GEPSNONPILOT/Tender/SplashBidNoticeAbstractUI.aspx?menuIndex=3&amp;refID=7040200&amp;Result=3","7040200")</f>
        <v>0</v>
      </c>
      <c r="B11263" t="s">
        <v>2842</v>
      </c>
      <c r="C11263" t="s">
        <v>14150</v>
      </c>
      <c r="D11263" t="s">
        <v>16616</v>
      </c>
      <c r="E11263" t="s">
        <v>26458</v>
      </c>
      <c r="F11263" t="s">
        <v>28669</v>
      </c>
      <c r="G11263" t="s">
        <v>28675</v>
      </c>
      <c r="H11263" t="s">
        <v>9998</v>
      </c>
      <c r="I11263" t="s">
        <v>28690</v>
      </c>
      <c r="J11263" t="s">
        <v>35755</v>
      </c>
      <c r="K11263" t="s">
        <v>37210</v>
      </c>
      <c r="M11263" t="s">
        <v>40578</v>
      </c>
      <c r="N11263" t="s">
        <v>41249</v>
      </c>
      <c r="O11263" t="s">
        <v>41250</v>
      </c>
      <c r="P11263">
        <v>0</v>
      </c>
      <c r="Q11263">
        <v>5</v>
      </c>
      <c r="R11263" t="s">
        <v>41265</v>
      </c>
      <c r="S11263" t="s">
        <v>41880</v>
      </c>
      <c r="T11263" t="s">
        <v>42679</v>
      </c>
      <c r="U11263" t="s">
        <v>52228</v>
      </c>
      <c r="V11263" t="s">
        <v>55576</v>
      </c>
      <c r="W11263" t="s">
        <v>40578</v>
      </c>
      <c r="X11263" t="s">
        <v>41273</v>
      </c>
    </row>
    <row r="11264" spans="1:24">
      <c r="A11264">
        <f>HYPERLINK("https://www.philgeps.gov.ph/GEPSNONPILOT/Tender/SplashBidNoticeAbstractUI.aspx?menuIndex=3&amp;refID=7040868&amp;Result=3","7040868")</f>
        <v>0</v>
      </c>
      <c r="B11264" t="s">
        <v>1533</v>
      </c>
      <c r="C11264" t="s">
        <v>14151</v>
      </c>
      <c r="D11264" t="s">
        <v>16617</v>
      </c>
      <c r="E11264" t="s">
        <v>26459</v>
      </c>
      <c r="F11264" t="s">
        <v>28669</v>
      </c>
      <c r="G11264" t="s">
        <v>28675</v>
      </c>
      <c r="H11264" t="s">
        <v>9998</v>
      </c>
      <c r="I11264" t="s">
        <v>28690</v>
      </c>
      <c r="J11264" t="s">
        <v>29033</v>
      </c>
      <c r="K11264" t="s">
        <v>37209</v>
      </c>
      <c r="M11264" t="s">
        <v>40862</v>
      </c>
      <c r="N11264" t="s">
        <v>41249</v>
      </c>
      <c r="O11264" t="s">
        <v>41250</v>
      </c>
      <c r="P11264">
        <v>0</v>
      </c>
      <c r="Q11264">
        <v>4</v>
      </c>
      <c r="R11264" t="s">
        <v>41265</v>
      </c>
      <c r="S11264" t="s">
        <v>41880</v>
      </c>
      <c r="T11264" t="s">
        <v>42858</v>
      </c>
      <c r="U11264" t="s">
        <v>52229</v>
      </c>
      <c r="V11264" t="s">
        <v>55574</v>
      </c>
      <c r="W11264" t="s">
        <v>40862</v>
      </c>
      <c r="X11264" t="s">
        <v>41273</v>
      </c>
    </row>
    <row r="11265" spans="1:24">
      <c r="A11265">
        <f>HYPERLINK("https://www.philgeps.gov.ph/GEPSNONPILOT/Tender/SplashBidNoticeAbstractUI.aspx?menuIndex=3&amp;refID=7055587&amp;Result=3","7055587")</f>
        <v>0</v>
      </c>
      <c r="B11265" t="s">
        <v>3053</v>
      </c>
      <c r="C11265" t="s">
        <v>14152</v>
      </c>
      <c r="D11265" t="s">
        <v>16625</v>
      </c>
      <c r="E11265" t="s">
        <v>23692</v>
      </c>
      <c r="F11265" t="s">
        <v>28669</v>
      </c>
      <c r="G11265" t="s">
        <v>28675</v>
      </c>
      <c r="H11265" t="s">
        <v>28686</v>
      </c>
      <c r="I11265" t="s">
        <v>28689</v>
      </c>
      <c r="J11265" t="s">
        <v>34276</v>
      </c>
      <c r="K11265" t="s">
        <v>37206</v>
      </c>
      <c r="M11265" t="s">
        <v>40834</v>
      </c>
      <c r="N11265" t="s">
        <v>41249</v>
      </c>
      <c r="O11265" t="s">
        <v>41250</v>
      </c>
      <c r="P11265">
        <v>0</v>
      </c>
      <c r="Q11265">
        <v>0</v>
      </c>
      <c r="R11265" t="s">
        <v>41264</v>
      </c>
      <c r="S11265" t="s">
        <v>41775</v>
      </c>
      <c r="T11265" t="s">
        <v>42686</v>
      </c>
      <c r="U11265" t="s">
        <v>52230</v>
      </c>
      <c r="W11265" t="s">
        <v>40834</v>
      </c>
      <c r="X11265" t="s">
        <v>41265</v>
      </c>
    </row>
    <row r="11266" spans="1:24">
      <c r="A11266">
        <f>HYPERLINK("https://www.philgeps.gov.ph/GEPSNONPILOT/Tender/SplashBidNoticeAbstractUI.aspx?menuIndex=3&amp;refID=7041304&amp;Result=3","7041304")</f>
        <v>0</v>
      </c>
      <c r="B11266" t="s">
        <v>2842</v>
      </c>
      <c r="C11266" t="s">
        <v>14153</v>
      </c>
      <c r="D11266" t="s">
        <v>16616</v>
      </c>
      <c r="E11266" t="s">
        <v>26460</v>
      </c>
      <c r="F11266" t="s">
        <v>28669</v>
      </c>
      <c r="G11266" t="s">
        <v>28675</v>
      </c>
      <c r="H11266" t="s">
        <v>9998</v>
      </c>
      <c r="I11266" t="s">
        <v>6128</v>
      </c>
      <c r="J11266" t="s">
        <v>35756</v>
      </c>
      <c r="K11266" t="s">
        <v>37210</v>
      </c>
      <c r="M11266" t="s">
        <v>40578</v>
      </c>
      <c r="N11266" t="s">
        <v>41249</v>
      </c>
      <c r="O11266" t="s">
        <v>41250</v>
      </c>
      <c r="P11266">
        <v>0</v>
      </c>
      <c r="Q11266">
        <v>0</v>
      </c>
      <c r="R11266" t="s">
        <v>41265</v>
      </c>
      <c r="S11266" t="s">
        <v>41880</v>
      </c>
      <c r="T11266" t="s">
        <v>42679</v>
      </c>
      <c r="U11266" t="s">
        <v>52218</v>
      </c>
      <c r="V11266" t="s">
        <v>55577</v>
      </c>
      <c r="W11266" t="s">
        <v>40578</v>
      </c>
      <c r="X11266" t="s">
        <v>41272</v>
      </c>
    </row>
    <row r="11267" spans="1:24">
      <c r="A11267">
        <f>HYPERLINK("https://www.philgeps.gov.ph/GEPSNONPILOT/Tender/SplashBidNoticeAbstractUI.aspx?menuIndex=3&amp;refID=7055633&amp;Result=3","7055633")</f>
        <v>0</v>
      </c>
      <c r="B11267" t="s">
        <v>3053</v>
      </c>
      <c r="C11267" t="s">
        <v>14154</v>
      </c>
      <c r="D11267" t="s">
        <v>16625</v>
      </c>
      <c r="E11267" t="s">
        <v>26461</v>
      </c>
      <c r="F11267" t="s">
        <v>28669</v>
      </c>
      <c r="G11267" t="s">
        <v>28675</v>
      </c>
      <c r="H11267" t="s">
        <v>28686</v>
      </c>
      <c r="I11267" t="s">
        <v>28689</v>
      </c>
      <c r="J11267" t="s">
        <v>28878</v>
      </c>
      <c r="K11267" t="s">
        <v>37205</v>
      </c>
      <c r="M11267" t="s">
        <v>40834</v>
      </c>
      <c r="N11267" t="s">
        <v>41249</v>
      </c>
      <c r="O11267" t="s">
        <v>41250</v>
      </c>
      <c r="P11267">
        <v>0</v>
      </c>
      <c r="Q11267">
        <v>0</v>
      </c>
      <c r="R11267" t="s">
        <v>41264</v>
      </c>
      <c r="S11267" t="s">
        <v>41775</v>
      </c>
      <c r="T11267" t="s">
        <v>42686</v>
      </c>
      <c r="U11267" t="s">
        <v>52231</v>
      </c>
      <c r="W11267" t="s">
        <v>40834</v>
      </c>
      <c r="X11267" t="s">
        <v>41265</v>
      </c>
    </row>
    <row r="11268" spans="1:24">
      <c r="A11268">
        <f>HYPERLINK("https://www.philgeps.gov.ph/GEPSNONPILOT/Tender/SplashBidNoticeAbstractUI.aspx?menuIndex=3&amp;refID=7055632&amp;Result=3","7055632")</f>
        <v>0</v>
      </c>
      <c r="B11268" t="s">
        <v>1225</v>
      </c>
      <c r="C11268" t="s">
        <v>14155</v>
      </c>
      <c r="D11268" t="s">
        <v>16613</v>
      </c>
      <c r="E11268" t="s">
        <v>26462</v>
      </c>
      <c r="F11268" t="s">
        <v>28669</v>
      </c>
      <c r="G11268" t="s">
        <v>28675</v>
      </c>
      <c r="H11268" t="s">
        <v>9998</v>
      </c>
      <c r="I11268" t="s">
        <v>28688</v>
      </c>
      <c r="J11268" t="s">
        <v>35757</v>
      </c>
      <c r="K11268" t="s">
        <v>37272</v>
      </c>
      <c r="M11268" t="s">
        <v>38768</v>
      </c>
      <c r="N11268" t="s">
        <v>41249</v>
      </c>
      <c r="O11268" t="s">
        <v>41250</v>
      </c>
      <c r="P11268">
        <v>0</v>
      </c>
      <c r="Q11268">
        <v>2</v>
      </c>
      <c r="R11268" t="s">
        <v>41264</v>
      </c>
      <c r="S11268" t="s">
        <v>41775</v>
      </c>
      <c r="T11268" t="s">
        <v>43057</v>
      </c>
      <c r="U11268" t="s">
        <v>52232</v>
      </c>
      <c r="W11268" t="s">
        <v>38768</v>
      </c>
      <c r="X11268" t="s">
        <v>41265</v>
      </c>
    </row>
    <row r="11269" spans="1:24">
      <c r="A11269">
        <f>HYPERLINK("https://www.philgeps.gov.ph/GEPSNONPILOT/Tender/SplashBidNoticeAbstractUI.aspx?menuIndex=3&amp;refID=7040878&amp;Result=3","7040878")</f>
        <v>0</v>
      </c>
      <c r="B11269" t="s">
        <v>1533</v>
      </c>
      <c r="C11269" t="s">
        <v>14156</v>
      </c>
      <c r="D11269" t="s">
        <v>16617</v>
      </c>
      <c r="E11269" t="s">
        <v>26463</v>
      </c>
      <c r="F11269" t="s">
        <v>28669</v>
      </c>
      <c r="G11269" t="s">
        <v>28675</v>
      </c>
      <c r="H11269" t="s">
        <v>9998</v>
      </c>
      <c r="I11269" t="s">
        <v>28690</v>
      </c>
      <c r="J11269" t="s">
        <v>28847</v>
      </c>
      <c r="K11269" t="s">
        <v>37209</v>
      </c>
      <c r="M11269" t="s">
        <v>40862</v>
      </c>
      <c r="N11269" t="s">
        <v>41249</v>
      </c>
      <c r="O11269" t="s">
        <v>41250</v>
      </c>
      <c r="P11269">
        <v>0</v>
      </c>
      <c r="Q11269">
        <v>2</v>
      </c>
      <c r="R11269" t="s">
        <v>41265</v>
      </c>
      <c r="S11269" t="s">
        <v>41880</v>
      </c>
      <c r="T11269" t="s">
        <v>42858</v>
      </c>
      <c r="U11269" t="s">
        <v>52233</v>
      </c>
      <c r="V11269" t="s">
        <v>55574</v>
      </c>
      <c r="W11269" t="s">
        <v>40862</v>
      </c>
      <c r="X11269" t="s">
        <v>41273</v>
      </c>
    </row>
    <row r="11270" spans="1:24">
      <c r="A11270">
        <f>HYPERLINK("https://www.philgeps.gov.ph/GEPSNONPILOT/Tender/SplashBidNoticeAbstractUI.aspx?menuIndex=3&amp;refID=7041455&amp;Result=3","7041455")</f>
        <v>0</v>
      </c>
      <c r="B11270" t="s">
        <v>2842</v>
      </c>
      <c r="C11270" t="s">
        <v>14157</v>
      </c>
      <c r="D11270" t="s">
        <v>16616</v>
      </c>
      <c r="E11270" t="s">
        <v>26464</v>
      </c>
      <c r="F11270" t="s">
        <v>28669</v>
      </c>
      <c r="G11270" t="s">
        <v>28675</v>
      </c>
      <c r="H11270" t="s">
        <v>9998</v>
      </c>
      <c r="I11270" t="s">
        <v>28753</v>
      </c>
      <c r="J11270" t="s">
        <v>28838</v>
      </c>
      <c r="K11270" t="s">
        <v>37210</v>
      </c>
      <c r="M11270" t="s">
        <v>40578</v>
      </c>
      <c r="N11270" t="s">
        <v>41249</v>
      </c>
      <c r="O11270" t="s">
        <v>41250</v>
      </c>
      <c r="P11270">
        <v>0</v>
      </c>
      <c r="Q11270">
        <v>1</v>
      </c>
      <c r="R11270" t="s">
        <v>41265</v>
      </c>
      <c r="S11270" t="s">
        <v>41880</v>
      </c>
      <c r="T11270" t="s">
        <v>42679</v>
      </c>
      <c r="U11270" t="s">
        <v>52234</v>
      </c>
      <c r="V11270" t="s">
        <v>55578</v>
      </c>
      <c r="W11270" t="s">
        <v>40578</v>
      </c>
      <c r="X11270" t="s">
        <v>41272</v>
      </c>
    </row>
    <row r="11271" spans="1:24">
      <c r="A11271">
        <f>HYPERLINK("https://www.philgeps.gov.ph/GEPSNONPILOT/Tender/SplashBidNoticeAbstractUI.aspx?menuIndex=3&amp;refID=7041095&amp;Result=3","7041095")</f>
        <v>0</v>
      </c>
      <c r="B11271" t="s">
        <v>3079</v>
      </c>
      <c r="C11271" t="s">
        <v>6962</v>
      </c>
      <c r="D11271" t="s">
        <v>16620</v>
      </c>
      <c r="E11271" t="s">
        <v>26465</v>
      </c>
      <c r="F11271" t="s">
        <v>28669</v>
      </c>
      <c r="G11271" t="s">
        <v>28675</v>
      </c>
      <c r="H11271" t="s">
        <v>9998</v>
      </c>
      <c r="I11271" t="s">
        <v>28689</v>
      </c>
      <c r="J11271" t="s">
        <v>35758</v>
      </c>
      <c r="K11271" t="s">
        <v>37206</v>
      </c>
      <c r="M11271" t="s">
        <v>40863</v>
      </c>
      <c r="N11271" t="s">
        <v>41249</v>
      </c>
      <c r="O11271" t="s">
        <v>41250</v>
      </c>
      <c r="P11271">
        <v>0</v>
      </c>
      <c r="Q11271">
        <v>1</v>
      </c>
      <c r="R11271" t="s">
        <v>41265</v>
      </c>
      <c r="S11271" t="s">
        <v>41880</v>
      </c>
      <c r="T11271" t="s">
        <v>42679</v>
      </c>
      <c r="U11271" t="s">
        <v>52235</v>
      </c>
      <c r="V11271" t="s">
        <v>55579</v>
      </c>
      <c r="W11271" t="s">
        <v>40863</v>
      </c>
      <c r="X11271" t="s">
        <v>41272</v>
      </c>
    </row>
    <row r="11272" spans="1:24">
      <c r="A11272">
        <f>HYPERLINK("https://www.philgeps.gov.ph/GEPSNONPILOT/Tender/SplashBidNoticeAbstractUI.aspx?menuIndex=3&amp;refID=7045900&amp;Result=3","7045900")</f>
        <v>0</v>
      </c>
      <c r="B11272" t="s">
        <v>703</v>
      </c>
      <c r="C11272" t="s">
        <v>14158</v>
      </c>
      <c r="E11272" t="s">
        <v>26466</v>
      </c>
      <c r="F11272" t="s">
        <v>28669</v>
      </c>
      <c r="G11272" t="s">
        <v>28675</v>
      </c>
      <c r="H11272" t="s">
        <v>9998</v>
      </c>
      <c r="I11272" t="s">
        <v>11593</v>
      </c>
      <c r="J11272" t="s">
        <v>28823</v>
      </c>
      <c r="K11272" t="s">
        <v>37209</v>
      </c>
      <c r="M11272" t="s">
        <v>40830</v>
      </c>
      <c r="N11272" t="s">
        <v>41249</v>
      </c>
      <c r="O11272" t="s">
        <v>41250</v>
      </c>
      <c r="Q11272">
        <v>14</v>
      </c>
      <c r="R11272" t="s">
        <v>41265</v>
      </c>
      <c r="S11272" t="s">
        <v>41884</v>
      </c>
      <c r="T11272" t="s">
        <v>42698</v>
      </c>
      <c r="U11272" t="s">
        <v>52236</v>
      </c>
      <c r="V11272" t="s">
        <v>55580</v>
      </c>
      <c r="W11272" t="s">
        <v>40830</v>
      </c>
      <c r="X11272" t="s">
        <v>41268</v>
      </c>
    </row>
    <row r="11273" spans="1:24">
      <c r="A11273">
        <f>HYPERLINK("https://www.philgeps.gov.ph/GEPSNONPILOT/Tender/SplashBidNoticeAbstractUI.aspx?menuIndex=3&amp;refID=7045799&amp;Result=3","7045799")</f>
        <v>0</v>
      </c>
      <c r="B11273" t="s">
        <v>2081</v>
      </c>
      <c r="C11273" t="s">
        <v>14159</v>
      </c>
      <c r="D11273" t="s">
        <v>16665</v>
      </c>
      <c r="E11273" t="s">
        <v>26467</v>
      </c>
      <c r="F11273" t="s">
        <v>28669</v>
      </c>
      <c r="G11273" t="s">
        <v>28675</v>
      </c>
      <c r="H11273" t="s">
        <v>28686</v>
      </c>
      <c r="I11273" t="s">
        <v>28689</v>
      </c>
      <c r="J11273" t="s">
        <v>28836</v>
      </c>
      <c r="K11273" t="s">
        <v>37220</v>
      </c>
      <c r="M11273" t="s">
        <v>39722</v>
      </c>
      <c r="N11273" t="s">
        <v>41249</v>
      </c>
      <c r="O11273" t="s">
        <v>41250</v>
      </c>
      <c r="P11273">
        <v>0</v>
      </c>
      <c r="Q11273">
        <v>1</v>
      </c>
      <c r="R11273" t="s">
        <v>41265</v>
      </c>
      <c r="S11273" t="s">
        <v>41880</v>
      </c>
      <c r="T11273" t="s">
        <v>42881</v>
      </c>
      <c r="U11273" t="s">
        <v>52237</v>
      </c>
      <c r="W11273" t="s">
        <v>39722</v>
      </c>
      <c r="X11273" t="s">
        <v>41268</v>
      </c>
    </row>
    <row r="11274" spans="1:24">
      <c r="A11274">
        <f>HYPERLINK("https://www.philgeps.gov.ph/GEPSNONPILOT/Tender/SplashBidNoticeAbstractUI.aspx?menuIndex=3&amp;refID=7055637&amp;Result=3","7055637")</f>
        <v>0</v>
      </c>
      <c r="B11274" t="s">
        <v>1225</v>
      </c>
      <c r="C11274" t="s">
        <v>14160</v>
      </c>
      <c r="D11274" t="s">
        <v>16613</v>
      </c>
      <c r="E11274" t="s">
        <v>26468</v>
      </c>
      <c r="F11274" t="s">
        <v>28669</v>
      </c>
      <c r="G11274" t="s">
        <v>28675</v>
      </c>
      <c r="H11274" t="s">
        <v>28686</v>
      </c>
      <c r="I11274" t="s">
        <v>28689</v>
      </c>
      <c r="J11274" t="s">
        <v>28881</v>
      </c>
      <c r="K11274" t="s">
        <v>37464</v>
      </c>
      <c r="M11274" t="s">
        <v>38768</v>
      </c>
      <c r="N11274" t="s">
        <v>41249</v>
      </c>
      <c r="O11274" t="s">
        <v>41250</v>
      </c>
      <c r="P11274">
        <v>0</v>
      </c>
      <c r="Q11274">
        <v>5</v>
      </c>
      <c r="R11274" t="s">
        <v>41264</v>
      </c>
      <c r="S11274" t="s">
        <v>41775</v>
      </c>
      <c r="T11274" t="s">
        <v>43057</v>
      </c>
      <c r="U11274" t="s">
        <v>52238</v>
      </c>
      <c r="W11274" t="s">
        <v>38768</v>
      </c>
      <c r="X11274" t="s">
        <v>41265</v>
      </c>
    </row>
    <row r="11275" spans="1:24">
      <c r="A11275">
        <f>HYPERLINK("https://www.philgeps.gov.ph/GEPSNONPILOT/Tender/SplashBidNoticeAbstractUI.aspx?menuIndex=3&amp;refID=7046087&amp;Result=3","7046087")</f>
        <v>0</v>
      </c>
      <c r="B11275" t="s">
        <v>3080</v>
      </c>
      <c r="C11275" t="s">
        <v>14161</v>
      </c>
      <c r="D11275" t="s">
        <v>16684</v>
      </c>
      <c r="E11275" t="s">
        <v>26469</v>
      </c>
      <c r="F11275" t="s">
        <v>28669</v>
      </c>
      <c r="G11275" t="s">
        <v>28675</v>
      </c>
      <c r="H11275" t="s">
        <v>28686</v>
      </c>
      <c r="I11275" t="s">
        <v>28689</v>
      </c>
      <c r="J11275" t="s">
        <v>35759</v>
      </c>
      <c r="K11275" t="s">
        <v>37213</v>
      </c>
      <c r="M11275" t="s">
        <v>40864</v>
      </c>
      <c r="N11275" t="s">
        <v>41249</v>
      </c>
      <c r="O11275" t="s">
        <v>41250</v>
      </c>
      <c r="Q11275">
        <v>5</v>
      </c>
      <c r="R11275" t="s">
        <v>41265</v>
      </c>
      <c r="S11275" t="s">
        <v>41885</v>
      </c>
      <c r="T11275" t="s">
        <v>42670</v>
      </c>
      <c r="U11275" t="s">
        <v>52239</v>
      </c>
      <c r="V11275" t="s">
        <v>49864</v>
      </c>
      <c r="W11275" t="s">
        <v>40864</v>
      </c>
      <c r="X11275" t="s">
        <v>41268</v>
      </c>
    </row>
    <row r="11276" spans="1:24">
      <c r="A11276">
        <f>HYPERLINK("https://www.philgeps.gov.ph/GEPSNONPILOT/Tender/SplashBidNoticeAbstractUI.aspx?menuIndex=3&amp;refID=7042522&amp;Result=3","7042522")</f>
        <v>0</v>
      </c>
      <c r="B11276" t="s">
        <v>703</v>
      </c>
      <c r="C11276" t="s">
        <v>14162</v>
      </c>
      <c r="E11276" t="s">
        <v>26470</v>
      </c>
      <c r="F11276" t="s">
        <v>28669</v>
      </c>
      <c r="G11276" t="s">
        <v>28675</v>
      </c>
      <c r="H11276" t="s">
        <v>9998</v>
      </c>
      <c r="I11276" t="s">
        <v>11593</v>
      </c>
      <c r="J11276" t="s">
        <v>35760</v>
      </c>
      <c r="K11276" t="s">
        <v>37209</v>
      </c>
      <c r="M11276" t="s">
        <v>40830</v>
      </c>
      <c r="N11276" t="s">
        <v>41249</v>
      </c>
      <c r="O11276" t="s">
        <v>41250</v>
      </c>
      <c r="P11276">
        <v>0</v>
      </c>
      <c r="Q11276">
        <v>14</v>
      </c>
      <c r="R11276" t="s">
        <v>41265</v>
      </c>
      <c r="S11276" t="s">
        <v>41880</v>
      </c>
      <c r="T11276" t="s">
        <v>42896</v>
      </c>
      <c r="U11276" t="s">
        <v>52240</v>
      </c>
      <c r="V11276" t="s">
        <v>55581</v>
      </c>
      <c r="W11276" t="s">
        <v>55926</v>
      </c>
      <c r="X11276" t="s">
        <v>41272</v>
      </c>
    </row>
    <row r="11277" spans="1:24">
      <c r="A11277">
        <f>HYPERLINK("https://www.philgeps.gov.ph/GEPSNONPILOT/Tender/SplashBidNoticeAbstractUI.aspx?menuIndex=3&amp;refID=7045996&amp;Result=3","7045996")</f>
        <v>0</v>
      </c>
      <c r="B11277" t="s">
        <v>3080</v>
      </c>
      <c r="C11277" t="s">
        <v>14163</v>
      </c>
      <c r="D11277" t="s">
        <v>16684</v>
      </c>
      <c r="E11277" t="s">
        <v>26471</v>
      </c>
      <c r="F11277" t="s">
        <v>28669</v>
      </c>
      <c r="G11277" t="s">
        <v>28675</v>
      </c>
      <c r="H11277" t="s">
        <v>28686</v>
      </c>
      <c r="I11277" t="s">
        <v>28689</v>
      </c>
      <c r="J11277" t="s">
        <v>35761</v>
      </c>
      <c r="K11277" t="s">
        <v>37255</v>
      </c>
      <c r="M11277" t="s">
        <v>40864</v>
      </c>
      <c r="N11277" t="s">
        <v>41249</v>
      </c>
      <c r="O11277" t="s">
        <v>41250</v>
      </c>
      <c r="Q11277">
        <v>6</v>
      </c>
      <c r="R11277" t="s">
        <v>41265</v>
      </c>
      <c r="S11277" t="s">
        <v>41504</v>
      </c>
      <c r="T11277" t="s">
        <v>42670</v>
      </c>
      <c r="U11277" t="s">
        <v>52241</v>
      </c>
      <c r="V11277" t="s">
        <v>49864</v>
      </c>
      <c r="W11277" t="s">
        <v>40864</v>
      </c>
      <c r="X11277" t="s">
        <v>41268</v>
      </c>
    </row>
    <row r="11278" spans="1:24">
      <c r="A11278">
        <f>HYPERLINK("https://www.philgeps.gov.ph/GEPSNONPILOT/Tender/SplashBidNoticeAbstractUI.aspx?menuIndex=3&amp;refID=7045843&amp;Result=3","7045843")</f>
        <v>0</v>
      </c>
      <c r="B11278" t="s">
        <v>703</v>
      </c>
      <c r="C11278" t="s">
        <v>14164</v>
      </c>
      <c r="E11278" t="s">
        <v>26472</v>
      </c>
      <c r="F11278" t="s">
        <v>28669</v>
      </c>
      <c r="G11278" t="s">
        <v>28675</v>
      </c>
      <c r="H11278" t="s">
        <v>9998</v>
      </c>
      <c r="I11278" t="s">
        <v>28732</v>
      </c>
      <c r="J11278" t="s">
        <v>35762</v>
      </c>
      <c r="K11278" t="s">
        <v>37209</v>
      </c>
      <c r="M11278" t="s">
        <v>40830</v>
      </c>
      <c r="N11278" t="s">
        <v>41249</v>
      </c>
      <c r="O11278" t="s">
        <v>41250</v>
      </c>
      <c r="P11278">
        <v>0</v>
      </c>
      <c r="Q11278">
        <v>6</v>
      </c>
      <c r="R11278" t="s">
        <v>41265</v>
      </c>
      <c r="S11278" t="s">
        <v>41880</v>
      </c>
      <c r="T11278" t="s">
        <v>42896</v>
      </c>
      <c r="U11278" t="s">
        <v>52242</v>
      </c>
      <c r="V11278" t="s">
        <v>55582</v>
      </c>
      <c r="W11278" t="s">
        <v>40830</v>
      </c>
      <c r="X11278" t="s">
        <v>41268</v>
      </c>
    </row>
    <row r="11279" spans="1:24">
      <c r="A11279">
        <f>HYPERLINK("https://www.philgeps.gov.ph/GEPSNONPILOT/Tender/SplashBidNoticeAbstractUI.aspx?menuIndex=3&amp;refID=7046043&amp;Result=3","7046043")</f>
        <v>0</v>
      </c>
      <c r="B11279" t="s">
        <v>3080</v>
      </c>
      <c r="C11279" t="s">
        <v>14165</v>
      </c>
      <c r="D11279" t="s">
        <v>16684</v>
      </c>
      <c r="E11279" t="s">
        <v>26473</v>
      </c>
      <c r="F11279" t="s">
        <v>28669</v>
      </c>
      <c r="G11279" t="s">
        <v>28675</v>
      </c>
      <c r="H11279" t="s">
        <v>28686</v>
      </c>
      <c r="I11279" t="s">
        <v>28689</v>
      </c>
      <c r="J11279" t="s">
        <v>35763</v>
      </c>
      <c r="K11279" t="s">
        <v>37255</v>
      </c>
      <c r="M11279" t="s">
        <v>40864</v>
      </c>
      <c r="N11279" t="s">
        <v>41249</v>
      </c>
      <c r="O11279" t="s">
        <v>41250</v>
      </c>
      <c r="Q11279">
        <v>5</v>
      </c>
      <c r="R11279" t="s">
        <v>41265</v>
      </c>
      <c r="S11279" t="s">
        <v>41886</v>
      </c>
      <c r="T11279" t="s">
        <v>42670</v>
      </c>
      <c r="U11279" t="s">
        <v>52243</v>
      </c>
      <c r="V11279" t="s">
        <v>49864</v>
      </c>
      <c r="W11279" t="s">
        <v>40864</v>
      </c>
      <c r="X11279" t="s">
        <v>41268</v>
      </c>
    </row>
    <row r="11280" spans="1:24">
      <c r="A11280">
        <f>HYPERLINK("https://www.philgeps.gov.ph/GEPSNONPILOT/Tender/SplashBidNoticeAbstractUI.aspx?menuIndex=3&amp;refID=7046021&amp;Result=3","7046021")</f>
        <v>0</v>
      </c>
      <c r="B11280" t="s">
        <v>3080</v>
      </c>
      <c r="C11280" t="s">
        <v>14166</v>
      </c>
      <c r="D11280" t="s">
        <v>16684</v>
      </c>
      <c r="E11280" t="s">
        <v>26474</v>
      </c>
      <c r="F11280" t="s">
        <v>28669</v>
      </c>
      <c r="G11280" t="s">
        <v>28675</v>
      </c>
      <c r="H11280" t="s">
        <v>28686</v>
      </c>
      <c r="I11280" t="s">
        <v>28689</v>
      </c>
      <c r="J11280" t="s">
        <v>35764</v>
      </c>
      <c r="K11280" t="s">
        <v>37215</v>
      </c>
      <c r="M11280" t="s">
        <v>40864</v>
      </c>
      <c r="N11280" t="s">
        <v>41249</v>
      </c>
      <c r="O11280" t="s">
        <v>41250</v>
      </c>
      <c r="Q11280">
        <v>6</v>
      </c>
      <c r="R11280" t="s">
        <v>41265</v>
      </c>
      <c r="S11280" t="s">
        <v>41887</v>
      </c>
      <c r="T11280" t="s">
        <v>42670</v>
      </c>
      <c r="U11280" t="s">
        <v>52244</v>
      </c>
      <c r="V11280" t="s">
        <v>55583</v>
      </c>
      <c r="W11280" t="s">
        <v>40864</v>
      </c>
      <c r="X11280" t="s">
        <v>41268</v>
      </c>
    </row>
    <row r="11281" spans="1:24">
      <c r="A11281">
        <f>HYPERLINK("https://www.philgeps.gov.ph/GEPSNONPILOT/Tender/SplashBidNoticeAbstractUI.aspx?menuIndex=3&amp;refID=7041482&amp;Result=3","7041482")</f>
        <v>0</v>
      </c>
      <c r="B11281" t="s">
        <v>2842</v>
      </c>
      <c r="C11281" t="s">
        <v>14167</v>
      </c>
      <c r="D11281" t="s">
        <v>16616</v>
      </c>
      <c r="E11281" t="s">
        <v>26475</v>
      </c>
      <c r="F11281" t="s">
        <v>28669</v>
      </c>
      <c r="G11281" t="s">
        <v>28675</v>
      </c>
      <c r="H11281" t="s">
        <v>9998</v>
      </c>
      <c r="I11281" t="s">
        <v>28740</v>
      </c>
      <c r="J11281" t="s">
        <v>29060</v>
      </c>
      <c r="K11281" t="s">
        <v>37205</v>
      </c>
      <c r="M11281" t="s">
        <v>40578</v>
      </c>
      <c r="N11281" t="s">
        <v>41249</v>
      </c>
      <c r="O11281" t="s">
        <v>41250</v>
      </c>
      <c r="P11281">
        <v>0</v>
      </c>
      <c r="Q11281">
        <v>0</v>
      </c>
      <c r="R11281" t="s">
        <v>41265</v>
      </c>
      <c r="S11281" t="s">
        <v>41880</v>
      </c>
      <c r="T11281" t="s">
        <v>42679</v>
      </c>
      <c r="U11281" t="s">
        <v>52245</v>
      </c>
      <c r="V11281" t="s">
        <v>55584</v>
      </c>
      <c r="W11281" t="s">
        <v>40578</v>
      </c>
      <c r="X11281" t="s">
        <v>41272</v>
      </c>
    </row>
    <row r="11282" spans="1:24">
      <c r="A11282">
        <f>HYPERLINK("https://www.philgeps.gov.ph/GEPSNONPILOT/Tender/SplashBidNoticeAbstractUI.aspx?menuIndex=3&amp;refID=7045729&amp;Result=3","7045729")</f>
        <v>0</v>
      </c>
      <c r="B11282" t="s">
        <v>2081</v>
      </c>
      <c r="C11282" t="s">
        <v>14168</v>
      </c>
      <c r="D11282" t="s">
        <v>16665</v>
      </c>
      <c r="E11282" t="s">
        <v>26476</v>
      </c>
      <c r="F11282" t="s">
        <v>28669</v>
      </c>
      <c r="G11282" t="s">
        <v>28675</v>
      </c>
      <c r="H11282" t="s">
        <v>9998</v>
      </c>
      <c r="I11282" t="s">
        <v>28687</v>
      </c>
      <c r="J11282" t="s">
        <v>35765</v>
      </c>
      <c r="K11282" t="s">
        <v>37206</v>
      </c>
      <c r="M11282" t="s">
        <v>39722</v>
      </c>
      <c r="N11282" t="s">
        <v>41249</v>
      </c>
      <c r="O11282" t="s">
        <v>41250</v>
      </c>
      <c r="P11282">
        <v>0</v>
      </c>
      <c r="Q11282">
        <v>3</v>
      </c>
      <c r="R11282" t="s">
        <v>41265</v>
      </c>
      <c r="S11282" t="s">
        <v>41880</v>
      </c>
      <c r="T11282" t="s">
        <v>42881</v>
      </c>
      <c r="U11282" t="s">
        <v>52246</v>
      </c>
      <c r="W11282" t="s">
        <v>39722</v>
      </c>
      <c r="X11282" t="s">
        <v>41268</v>
      </c>
    </row>
    <row r="11283" spans="1:24">
      <c r="A11283">
        <f>HYPERLINK("https://www.philgeps.gov.ph/GEPSNONPILOT/Tender/SplashBidNoticeAbstractUI.aspx?menuIndex=3&amp;refID=7045707&amp;Result=3","7045707")</f>
        <v>0</v>
      </c>
      <c r="B11283" t="s">
        <v>3080</v>
      </c>
      <c r="C11283" t="s">
        <v>14169</v>
      </c>
      <c r="D11283" t="s">
        <v>16684</v>
      </c>
      <c r="E11283" t="s">
        <v>26477</v>
      </c>
      <c r="F11283" t="s">
        <v>28669</v>
      </c>
      <c r="G11283" t="s">
        <v>28675</v>
      </c>
      <c r="H11283" t="s">
        <v>28686</v>
      </c>
      <c r="I11283" t="s">
        <v>28689</v>
      </c>
      <c r="J11283" t="s">
        <v>35766</v>
      </c>
      <c r="K11283" t="s">
        <v>37322</v>
      </c>
      <c r="M11283" t="s">
        <v>40864</v>
      </c>
      <c r="N11283" t="s">
        <v>41249</v>
      </c>
      <c r="O11283" t="s">
        <v>41250</v>
      </c>
      <c r="Q11283">
        <v>5</v>
      </c>
      <c r="R11283" t="s">
        <v>41265</v>
      </c>
      <c r="S11283" t="s">
        <v>41415</v>
      </c>
      <c r="T11283" t="s">
        <v>42670</v>
      </c>
      <c r="U11283" t="s">
        <v>52247</v>
      </c>
      <c r="V11283" t="s">
        <v>49864</v>
      </c>
      <c r="W11283" t="s">
        <v>40864</v>
      </c>
      <c r="X11283" t="s">
        <v>41268</v>
      </c>
    </row>
    <row r="11284" spans="1:24">
      <c r="A11284">
        <f>HYPERLINK("https://www.philgeps.gov.ph/GEPSNONPILOT/Tender/SplashBidNoticeAbstractUI.aspx?menuIndex=3&amp;refID=7045696&amp;Result=3","7045696")</f>
        <v>0</v>
      </c>
      <c r="B11284" t="s">
        <v>2081</v>
      </c>
      <c r="C11284" t="s">
        <v>14170</v>
      </c>
      <c r="D11284" t="s">
        <v>16665</v>
      </c>
      <c r="E11284" t="s">
        <v>26478</v>
      </c>
      <c r="F11284" t="s">
        <v>28669</v>
      </c>
      <c r="G11284" t="s">
        <v>28675</v>
      </c>
      <c r="H11284" t="s">
        <v>9998</v>
      </c>
      <c r="I11284" t="s">
        <v>11142</v>
      </c>
      <c r="J11284" t="s">
        <v>35767</v>
      </c>
      <c r="K11284" t="s">
        <v>37231</v>
      </c>
      <c r="M11284" t="s">
        <v>39722</v>
      </c>
      <c r="N11284" t="s">
        <v>41249</v>
      </c>
      <c r="O11284" t="s">
        <v>41250</v>
      </c>
      <c r="P11284">
        <v>0</v>
      </c>
      <c r="Q11284">
        <v>2</v>
      </c>
      <c r="R11284" t="s">
        <v>41265</v>
      </c>
      <c r="S11284" t="s">
        <v>41880</v>
      </c>
      <c r="T11284" t="s">
        <v>42881</v>
      </c>
      <c r="U11284" t="s">
        <v>52248</v>
      </c>
      <c r="W11284" t="s">
        <v>39722</v>
      </c>
      <c r="X11284" t="s">
        <v>41268</v>
      </c>
    </row>
    <row r="11285" spans="1:24">
      <c r="A11285">
        <f>HYPERLINK("https://www.philgeps.gov.ph/GEPSNONPILOT/Tender/SplashBidNoticeAbstractUI.aspx?menuIndex=3&amp;refID=6947353&amp;Result=3","6947353")</f>
        <v>0</v>
      </c>
      <c r="B11285" t="s">
        <v>2989</v>
      </c>
      <c r="C11285" t="s">
        <v>14171</v>
      </c>
      <c r="D11285" t="s">
        <v>16631</v>
      </c>
      <c r="E11285" t="s">
        <v>26479</v>
      </c>
      <c r="F11285" t="s">
        <v>28669</v>
      </c>
      <c r="G11285" t="s">
        <v>28675</v>
      </c>
      <c r="H11285" t="s">
        <v>28686</v>
      </c>
      <c r="I11285" t="s">
        <v>28689</v>
      </c>
      <c r="J11285" t="s">
        <v>35768</v>
      </c>
      <c r="K11285" t="s">
        <v>37220</v>
      </c>
      <c r="M11285" t="s">
        <v>40755</v>
      </c>
      <c r="N11285" t="s">
        <v>41249</v>
      </c>
      <c r="O11285" t="s">
        <v>41250</v>
      </c>
      <c r="P11285">
        <v>0</v>
      </c>
      <c r="Q11285">
        <v>1</v>
      </c>
      <c r="R11285" t="s">
        <v>41265</v>
      </c>
      <c r="S11285" t="s">
        <v>41880</v>
      </c>
      <c r="T11285" t="s">
        <v>42759</v>
      </c>
      <c r="U11285" t="s">
        <v>52249</v>
      </c>
      <c r="W11285" t="s">
        <v>40755</v>
      </c>
      <c r="X11285" t="s">
        <v>41313</v>
      </c>
    </row>
    <row r="11286" spans="1:24">
      <c r="A11286">
        <f>HYPERLINK("https://www.philgeps.gov.ph/GEPSNONPILOT/Tender/SplashBidNoticeAbstractUI.aspx?menuIndex=3&amp;refID=7046067&amp;Result=3","7046067")</f>
        <v>0</v>
      </c>
      <c r="B11286" t="s">
        <v>3080</v>
      </c>
      <c r="C11286" t="s">
        <v>14172</v>
      </c>
      <c r="D11286" t="s">
        <v>16684</v>
      </c>
      <c r="E11286" t="s">
        <v>26480</v>
      </c>
      <c r="F11286" t="s">
        <v>28669</v>
      </c>
      <c r="G11286" t="s">
        <v>28675</v>
      </c>
      <c r="H11286" t="s">
        <v>28686</v>
      </c>
      <c r="I11286" t="s">
        <v>28689</v>
      </c>
      <c r="J11286" t="s">
        <v>35769</v>
      </c>
      <c r="K11286" t="s">
        <v>37255</v>
      </c>
      <c r="M11286" t="s">
        <v>40864</v>
      </c>
      <c r="N11286" t="s">
        <v>41249</v>
      </c>
      <c r="O11286" t="s">
        <v>41250</v>
      </c>
      <c r="Q11286">
        <v>5</v>
      </c>
      <c r="R11286" t="s">
        <v>41265</v>
      </c>
      <c r="S11286" t="s">
        <v>41888</v>
      </c>
      <c r="T11286" t="s">
        <v>42670</v>
      </c>
      <c r="U11286" t="s">
        <v>52250</v>
      </c>
      <c r="V11286" t="s">
        <v>49864</v>
      </c>
      <c r="W11286" t="s">
        <v>40864</v>
      </c>
      <c r="X11286" t="s">
        <v>41268</v>
      </c>
    </row>
    <row r="11287" spans="1:24">
      <c r="A11287">
        <f>HYPERLINK("https://www.philgeps.gov.ph/GEPSNONPILOT/Tender/SplashBidNoticeAbstractUI.aspx?menuIndex=3&amp;refID=7045638&amp;Result=3","7045638")</f>
        <v>0</v>
      </c>
      <c r="B11287" t="s">
        <v>3080</v>
      </c>
      <c r="C11287" t="s">
        <v>14173</v>
      </c>
      <c r="D11287" t="s">
        <v>16684</v>
      </c>
      <c r="E11287" t="s">
        <v>26481</v>
      </c>
      <c r="F11287" t="s">
        <v>28669</v>
      </c>
      <c r="G11287" t="s">
        <v>28675</v>
      </c>
      <c r="H11287" t="s">
        <v>28686</v>
      </c>
      <c r="I11287" t="s">
        <v>28689</v>
      </c>
      <c r="J11287" t="s">
        <v>35770</v>
      </c>
      <c r="K11287" t="s">
        <v>37255</v>
      </c>
      <c r="M11287" t="s">
        <v>40864</v>
      </c>
      <c r="N11287" t="s">
        <v>41249</v>
      </c>
      <c r="O11287" t="s">
        <v>41250</v>
      </c>
      <c r="Q11287">
        <v>9</v>
      </c>
      <c r="R11287" t="s">
        <v>41265</v>
      </c>
      <c r="S11287" t="s">
        <v>41889</v>
      </c>
      <c r="T11287" t="s">
        <v>42670</v>
      </c>
      <c r="U11287" t="s">
        <v>52251</v>
      </c>
      <c r="V11287" t="s">
        <v>48672</v>
      </c>
      <c r="W11287" t="s">
        <v>40864</v>
      </c>
      <c r="X11287" t="s">
        <v>41268</v>
      </c>
    </row>
    <row r="11288" spans="1:24">
      <c r="A11288">
        <f>HYPERLINK("https://www.philgeps.gov.ph/GEPSNONPILOT/Tender/SplashBidNoticeAbstractUI.aspx?menuIndex=3&amp;refID=7042580&amp;Result=3","7042580")</f>
        <v>0</v>
      </c>
      <c r="B11288" t="s">
        <v>703</v>
      </c>
      <c r="C11288" t="s">
        <v>14174</v>
      </c>
      <c r="E11288" t="s">
        <v>26482</v>
      </c>
      <c r="F11288" t="s">
        <v>28669</v>
      </c>
      <c r="G11288" t="s">
        <v>28675</v>
      </c>
      <c r="H11288" t="s">
        <v>9998</v>
      </c>
      <c r="I11288" t="s">
        <v>11593</v>
      </c>
      <c r="J11288" t="s">
        <v>35771</v>
      </c>
      <c r="K11288" t="s">
        <v>37209</v>
      </c>
      <c r="M11288" t="s">
        <v>40830</v>
      </c>
      <c r="N11288" t="s">
        <v>41249</v>
      </c>
      <c r="O11288" t="s">
        <v>41250</v>
      </c>
      <c r="P11288">
        <v>0</v>
      </c>
      <c r="Q11288">
        <v>5</v>
      </c>
      <c r="R11288" t="s">
        <v>41265</v>
      </c>
      <c r="S11288" t="s">
        <v>41880</v>
      </c>
      <c r="T11288" t="s">
        <v>42896</v>
      </c>
      <c r="U11288" t="s">
        <v>52252</v>
      </c>
      <c r="V11288" t="s">
        <v>55585</v>
      </c>
      <c r="W11288" t="s">
        <v>55926</v>
      </c>
      <c r="X11288" t="s">
        <v>41272</v>
      </c>
    </row>
    <row r="11289" spans="1:24">
      <c r="A11289">
        <f>HYPERLINK("https://www.philgeps.gov.ph/GEPSNONPILOT/Tender/SplashBidNoticeAbstractUI.aspx?menuIndex=3&amp;refID=7046108&amp;Result=3","7046108")</f>
        <v>0</v>
      </c>
      <c r="B11289" t="s">
        <v>3080</v>
      </c>
      <c r="C11289" t="s">
        <v>14175</v>
      </c>
      <c r="D11289" t="s">
        <v>16684</v>
      </c>
      <c r="E11289" t="s">
        <v>26483</v>
      </c>
      <c r="F11289" t="s">
        <v>28669</v>
      </c>
      <c r="G11289" t="s">
        <v>28675</v>
      </c>
      <c r="H11289" t="s">
        <v>28686</v>
      </c>
      <c r="I11289" t="s">
        <v>28689</v>
      </c>
      <c r="J11289" t="s">
        <v>35772</v>
      </c>
      <c r="K11289" t="s">
        <v>37215</v>
      </c>
      <c r="M11289" t="s">
        <v>40864</v>
      </c>
      <c r="N11289" t="s">
        <v>41249</v>
      </c>
      <c r="O11289" t="s">
        <v>41250</v>
      </c>
      <c r="Q11289">
        <v>6</v>
      </c>
      <c r="R11289" t="s">
        <v>41265</v>
      </c>
      <c r="S11289" t="s">
        <v>41890</v>
      </c>
      <c r="T11289" t="s">
        <v>42670</v>
      </c>
      <c r="U11289" t="s">
        <v>52253</v>
      </c>
      <c r="V11289" t="s">
        <v>49864</v>
      </c>
      <c r="W11289" t="s">
        <v>40864</v>
      </c>
      <c r="X11289" t="s">
        <v>41268</v>
      </c>
    </row>
    <row r="11290" spans="1:24">
      <c r="A11290">
        <f>HYPERLINK("https://www.philgeps.gov.ph/GEPSNONPILOT/Tender/SplashBidNoticeAbstractUI.aspx?menuIndex=3&amp;refID=7044116&amp;Result=3","7044116")</f>
        <v>0</v>
      </c>
      <c r="B11290" t="s">
        <v>3081</v>
      </c>
      <c r="C11290" t="s">
        <v>14176</v>
      </c>
      <c r="D11290" t="s">
        <v>16630</v>
      </c>
      <c r="E11290" t="s">
        <v>26484</v>
      </c>
      <c r="F11290" t="s">
        <v>28669</v>
      </c>
      <c r="G11290" t="s">
        <v>28675</v>
      </c>
      <c r="H11290" t="s">
        <v>9998</v>
      </c>
      <c r="I11290" t="s">
        <v>7352</v>
      </c>
      <c r="J11290" t="s">
        <v>35773</v>
      </c>
      <c r="K11290" t="s">
        <v>37216</v>
      </c>
      <c r="M11290" t="s">
        <v>40865</v>
      </c>
      <c r="N11290" t="s">
        <v>41249</v>
      </c>
      <c r="O11290" t="s">
        <v>41250</v>
      </c>
      <c r="P11290">
        <v>0</v>
      </c>
      <c r="Q11290">
        <v>1</v>
      </c>
      <c r="R11290" t="s">
        <v>41265</v>
      </c>
      <c r="S11290" t="s">
        <v>41880</v>
      </c>
      <c r="T11290" t="s">
        <v>42739</v>
      </c>
      <c r="U11290" t="s">
        <v>52254</v>
      </c>
      <c r="W11290" t="s">
        <v>40865</v>
      </c>
      <c r="X11290" t="s">
        <v>41269</v>
      </c>
    </row>
    <row r="11291" spans="1:24">
      <c r="A11291">
        <f>HYPERLINK("https://www.philgeps.gov.ph/GEPSNONPILOT/Tender/SplashBidNoticeAbstractUI.aspx?menuIndex=3&amp;refID=7048923&amp;Result=3","7048923")</f>
        <v>0</v>
      </c>
      <c r="B11291" t="s">
        <v>3082</v>
      </c>
      <c r="C11291" t="s">
        <v>9673</v>
      </c>
      <c r="D11291" t="s">
        <v>16608</v>
      </c>
      <c r="E11291" t="s">
        <v>26485</v>
      </c>
      <c r="F11291" t="s">
        <v>28671</v>
      </c>
      <c r="G11291" t="s">
        <v>28675</v>
      </c>
      <c r="H11291" t="s">
        <v>9998</v>
      </c>
      <c r="I11291" t="s">
        <v>5213</v>
      </c>
      <c r="J11291" t="s">
        <v>35774</v>
      </c>
      <c r="K11291" t="s">
        <v>37204</v>
      </c>
      <c r="M11291" t="s">
        <v>40866</v>
      </c>
      <c r="N11291" t="s">
        <v>41249</v>
      </c>
      <c r="O11291" t="s">
        <v>41250</v>
      </c>
      <c r="P11291">
        <v>0</v>
      </c>
      <c r="Q11291">
        <v>1</v>
      </c>
      <c r="R11291" t="s">
        <v>41265</v>
      </c>
      <c r="S11291" t="s">
        <v>41880</v>
      </c>
      <c r="T11291" t="s">
        <v>43081</v>
      </c>
      <c r="U11291" t="s">
        <v>52255</v>
      </c>
      <c r="V11291" t="s">
        <v>55586</v>
      </c>
      <c r="W11291" t="s">
        <v>40866</v>
      </c>
      <c r="X11291" t="s">
        <v>41267</v>
      </c>
    </row>
    <row r="11292" spans="1:24">
      <c r="A11292">
        <f>HYPERLINK("https://www.philgeps.gov.ph/GEPSNONPILOT/Tender/SplashBidNoticeAbstractUI.aspx?menuIndex=3&amp;refID=7045759&amp;Result=3","7045759")</f>
        <v>0</v>
      </c>
      <c r="B11292" t="s">
        <v>2081</v>
      </c>
      <c r="C11292" t="s">
        <v>14177</v>
      </c>
      <c r="D11292" t="s">
        <v>16665</v>
      </c>
      <c r="E11292" t="s">
        <v>26486</v>
      </c>
      <c r="F11292" t="s">
        <v>28669</v>
      </c>
      <c r="G11292" t="s">
        <v>28675</v>
      </c>
      <c r="H11292" t="s">
        <v>28686</v>
      </c>
      <c r="I11292" t="s">
        <v>28689</v>
      </c>
      <c r="J11292" t="s">
        <v>28924</v>
      </c>
      <c r="K11292" t="s">
        <v>37220</v>
      </c>
      <c r="M11292" t="s">
        <v>39722</v>
      </c>
      <c r="N11292" t="s">
        <v>41249</v>
      </c>
      <c r="O11292" t="s">
        <v>41250</v>
      </c>
      <c r="P11292">
        <v>0</v>
      </c>
      <c r="Q11292">
        <v>1</v>
      </c>
      <c r="R11292" t="s">
        <v>41265</v>
      </c>
      <c r="S11292" t="s">
        <v>41880</v>
      </c>
      <c r="T11292" t="s">
        <v>42881</v>
      </c>
      <c r="U11292" t="s">
        <v>52256</v>
      </c>
      <c r="W11292" t="s">
        <v>39722</v>
      </c>
      <c r="X11292" t="s">
        <v>41268</v>
      </c>
    </row>
    <row r="11293" spans="1:24">
      <c r="A11293">
        <f>HYPERLINK("https://www.philgeps.gov.ph/GEPSNONPILOT/Tender/SplashBidNoticeAbstractUI.aspx?menuIndex=3&amp;refID=7048888&amp;Result=3","7048888")</f>
        <v>0</v>
      </c>
      <c r="B11293" t="s">
        <v>3083</v>
      </c>
      <c r="C11293" t="s">
        <v>14178</v>
      </c>
      <c r="D11293" t="s">
        <v>16633</v>
      </c>
      <c r="E11293" t="s">
        <v>26487</v>
      </c>
      <c r="F11293" t="s">
        <v>28669</v>
      </c>
      <c r="G11293" t="s">
        <v>28675</v>
      </c>
      <c r="H11293" t="s">
        <v>28684</v>
      </c>
      <c r="I11293" t="s">
        <v>28701</v>
      </c>
      <c r="J11293" t="s">
        <v>35775</v>
      </c>
      <c r="K11293" t="s">
        <v>37397</v>
      </c>
      <c r="M11293" t="s">
        <v>40867</v>
      </c>
      <c r="N11293" t="s">
        <v>41249</v>
      </c>
      <c r="O11293" t="s">
        <v>41250</v>
      </c>
      <c r="Q11293">
        <v>3</v>
      </c>
      <c r="R11293" t="s">
        <v>41265</v>
      </c>
      <c r="S11293" t="s">
        <v>41891</v>
      </c>
      <c r="T11293" t="s">
        <v>43128</v>
      </c>
      <c r="U11293" t="s">
        <v>52257</v>
      </c>
      <c r="W11293" t="s">
        <v>40867</v>
      </c>
      <c r="X11293" t="s">
        <v>41267</v>
      </c>
    </row>
    <row r="11294" spans="1:24">
      <c r="A11294">
        <f>HYPERLINK("https://www.philgeps.gov.ph/GEPSNONPILOT/Tender/SplashBidNoticeAbstractUI.aspx?menuIndex=3&amp;refID=7048860&amp;Result=3","7048860")</f>
        <v>0</v>
      </c>
      <c r="B11294" t="s">
        <v>3084</v>
      </c>
      <c r="C11294" t="s">
        <v>14179</v>
      </c>
      <c r="D11294" t="s">
        <v>16624</v>
      </c>
      <c r="E11294" t="s">
        <v>26488</v>
      </c>
      <c r="F11294" t="s">
        <v>28669</v>
      </c>
      <c r="G11294" t="s">
        <v>28675</v>
      </c>
      <c r="H11294" t="s">
        <v>28686</v>
      </c>
      <c r="I11294" t="s">
        <v>28689</v>
      </c>
      <c r="J11294" t="s">
        <v>28845</v>
      </c>
      <c r="K11294" t="s">
        <v>37221</v>
      </c>
      <c r="M11294" t="s">
        <v>40868</v>
      </c>
      <c r="N11294" t="s">
        <v>41249</v>
      </c>
      <c r="O11294" t="s">
        <v>41250</v>
      </c>
      <c r="P11294">
        <v>0</v>
      </c>
      <c r="Q11294">
        <v>0</v>
      </c>
      <c r="R11294" t="s">
        <v>41265</v>
      </c>
      <c r="S11294" t="s">
        <v>41880</v>
      </c>
      <c r="T11294" t="s">
        <v>42703</v>
      </c>
      <c r="U11294" t="s">
        <v>52258</v>
      </c>
      <c r="V11294" t="s">
        <v>55587</v>
      </c>
      <c r="W11294" t="s">
        <v>40868</v>
      </c>
      <c r="X11294" t="s">
        <v>41267</v>
      </c>
    </row>
    <row r="11295" spans="1:24">
      <c r="A11295">
        <f>HYPERLINK("https://www.philgeps.gov.ph/GEPSNONPILOT/Tender/SplashBidNoticeAbstractUI.aspx?menuIndex=3&amp;refID=7046078&amp;Result=3","7046078")</f>
        <v>0</v>
      </c>
      <c r="B11295" t="s">
        <v>3080</v>
      </c>
      <c r="C11295" t="s">
        <v>14180</v>
      </c>
      <c r="D11295" t="s">
        <v>16684</v>
      </c>
      <c r="E11295" t="s">
        <v>26489</v>
      </c>
      <c r="F11295" t="s">
        <v>28669</v>
      </c>
      <c r="G11295" t="s">
        <v>28675</v>
      </c>
      <c r="H11295" t="s">
        <v>28686</v>
      </c>
      <c r="I11295" t="s">
        <v>28689</v>
      </c>
      <c r="J11295" t="s">
        <v>35776</v>
      </c>
      <c r="K11295" t="s">
        <v>37255</v>
      </c>
      <c r="M11295" t="s">
        <v>40864</v>
      </c>
      <c r="N11295" t="s">
        <v>41249</v>
      </c>
      <c r="O11295" t="s">
        <v>41250</v>
      </c>
      <c r="Q11295">
        <v>4</v>
      </c>
      <c r="R11295" t="s">
        <v>41265</v>
      </c>
      <c r="S11295" t="s">
        <v>41892</v>
      </c>
      <c r="T11295" t="s">
        <v>42670</v>
      </c>
      <c r="U11295" t="s">
        <v>52259</v>
      </c>
      <c r="V11295" t="s">
        <v>49864</v>
      </c>
      <c r="W11295" t="s">
        <v>40864</v>
      </c>
      <c r="X11295" t="s">
        <v>41268</v>
      </c>
    </row>
    <row r="11296" spans="1:24">
      <c r="A11296">
        <f>HYPERLINK("https://www.philgeps.gov.ph/GEPSNONPILOT/Tender/SplashBidNoticeAbstractUI.aspx?menuIndex=3&amp;refID=7048686&amp;Result=3","7048686")</f>
        <v>0</v>
      </c>
      <c r="B11296" t="s">
        <v>1586</v>
      </c>
      <c r="C11296" t="s">
        <v>14181</v>
      </c>
      <c r="D11296" t="s">
        <v>16686</v>
      </c>
      <c r="E11296" t="s">
        <v>17939</v>
      </c>
      <c r="F11296" t="s">
        <v>28669</v>
      </c>
      <c r="G11296" t="s">
        <v>28676</v>
      </c>
      <c r="H11296" t="s">
        <v>9998</v>
      </c>
      <c r="I11296" t="s">
        <v>28692</v>
      </c>
      <c r="J11296" t="s">
        <v>32096</v>
      </c>
      <c r="K11296" t="s">
        <v>37206</v>
      </c>
      <c r="M11296" t="s">
        <v>39168</v>
      </c>
      <c r="N11296" t="s">
        <v>41249</v>
      </c>
      <c r="O11296" t="s">
        <v>41250</v>
      </c>
      <c r="Q11296">
        <v>3</v>
      </c>
      <c r="R11296" t="s">
        <v>41265</v>
      </c>
      <c r="S11296" t="s">
        <v>41893</v>
      </c>
      <c r="T11296" t="s">
        <v>42701</v>
      </c>
      <c r="U11296" t="s">
        <v>52260</v>
      </c>
      <c r="W11296" t="s">
        <v>39168</v>
      </c>
      <c r="X11296" t="s">
        <v>41267</v>
      </c>
    </row>
    <row r="11297" spans="1:24">
      <c r="A11297">
        <f>HYPERLINK("https://www.philgeps.gov.ph/GEPSNONPILOT/Tender/SplashBidNoticeAbstractUI.aspx?menuIndex=3&amp;refID=7048594&amp;Result=3","7048594")</f>
        <v>0</v>
      </c>
      <c r="B11297" t="s">
        <v>3084</v>
      </c>
      <c r="C11297" t="s">
        <v>14182</v>
      </c>
      <c r="D11297" t="s">
        <v>16624</v>
      </c>
      <c r="E11297" t="s">
        <v>26490</v>
      </c>
      <c r="F11297" t="s">
        <v>28669</v>
      </c>
      <c r="G11297" t="s">
        <v>28675</v>
      </c>
      <c r="H11297" t="s">
        <v>28686</v>
      </c>
      <c r="I11297" t="s">
        <v>28689</v>
      </c>
      <c r="J11297" t="s">
        <v>28836</v>
      </c>
      <c r="K11297" t="s">
        <v>37221</v>
      </c>
      <c r="M11297" t="s">
        <v>40868</v>
      </c>
      <c r="N11297" t="s">
        <v>41249</v>
      </c>
      <c r="O11297" t="s">
        <v>41250</v>
      </c>
      <c r="P11297">
        <v>0</v>
      </c>
      <c r="Q11297">
        <v>0</v>
      </c>
      <c r="R11297" t="s">
        <v>41265</v>
      </c>
      <c r="S11297" t="s">
        <v>41880</v>
      </c>
      <c r="T11297" t="s">
        <v>42679</v>
      </c>
      <c r="U11297" t="s">
        <v>52258</v>
      </c>
      <c r="V11297" t="s">
        <v>55588</v>
      </c>
      <c r="W11297" t="s">
        <v>40868</v>
      </c>
      <c r="X11297" t="s">
        <v>41267</v>
      </c>
    </row>
    <row r="11298" spans="1:24">
      <c r="A11298">
        <f>HYPERLINK("https://www.philgeps.gov.ph/GEPSNONPILOT/Tender/SplashBidNoticeAbstractUI.aspx?menuIndex=3&amp;refID=7044597&amp;Result=3","7044597")</f>
        <v>0</v>
      </c>
      <c r="B11298" t="s">
        <v>3085</v>
      </c>
      <c r="C11298" t="s">
        <v>14183</v>
      </c>
      <c r="D11298" t="s">
        <v>16622</v>
      </c>
      <c r="E11298" t="s">
        <v>18419</v>
      </c>
      <c r="F11298" t="s">
        <v>28669</v>
      </c>
      <c r="G11298" t="s">
        <v>28675</v>
      </c>
      <c r="H11298" t="s">
        <v>28686</v>
      </c>
      <c r="I11298" t="s">
        <v>28689</v>
      </c>
      <c r="J11298" t="s">
        <v>35777</v>
      </c>
      <c r="K11298" t="s">
        <v>37215</v>
      </c>
      <c r="M11298" t="s">
        <v>40869</v>
      </c>
      <c r="N11298" t="s">
        <v>41249</v>
      </c>
      <c r="O11298" t="s">
        <v>41250</v>
      </c>
      <c r="P11298">
        <v>0</v>
      </c>
      <c r="Q11298">
        <v>0</v>
      </c>
      <c r="R11298" t="s">
        <v>41265</v>
      </c>
      <c r="S11298" t="s">
        <v>41880</v>
      </c>
      <c r="T11298" t="s">
        <v>42750</v>
      </c>
      <c r="U11298" t="s">
        <v>52261</v>
      </c>
      <c r="W11298" t="s">
        <v>40869</v>
      </c>
      <c r="X11298" t="s">
        <v>41268</v>
      </c>
    </row>
    <row r="11299" spans="1:24">
      <c r="A11299">
        <f>HYPERLINK("https://www.philgeps.gov.ph/GEPSNONPILOT/Tender/SplashBidNoticeAbstractUI.aspx?menuIndex=3&amp;refID=7048061&amp;Result=3","7048061")</f>
        <v>0</v>
      </c>
      <c r="B11299" t="s">
        <v>942</v>
      </c>
      <c r="C11299" t="s">
        <v>14184</v>
      </c>
      <c r="D11299" t="s">
        <v>16620</v>
      </c>
      <c r="E11299" t="s">
        <v>26491</v>
      </c>
      <c r="F11299" t="s">
        <v>28669</v>
      </c>
      <c r="G11299" t="s">
        <v>28675</v>
      </c>
      <c r="H11299" t="s">
        <v>9998</v>
      </c>
      <c r="I11299" t="s">
        <v>28754</v>
      </c>
      <c r="J11299" t="s">
        <v>35778</v>
      </c>
      <c r="K11299" t="s">
        <v>37206</v>
      </c>
      <c r="M11299" t="s">
        <v>38465</v>
      </c>
      <c r="N11299" t="s">
        <v>41249</v>
      </c>
      <c r="O11299" t="s">
        <v>41250</v>
      </c>
      <c r="P11299">
        <v>0</v>
      </c>
      <c r="Q11299">
        <v>1</v>
      </c>
      <c r="R11299" t="s">
        <v>41265</v>
      </c>
      <c r="S11299" t="s">
        <v>41880</v>
      </c>
      <c r="T11299" t="s">
        <v>42759</v>
      </c>
      <c r="U11299" t="s">
        <v>52262</v>
      </c>
      <c r="W11299" t="s">
        <v>38465</v>
      </c>
      <c r="X11299" t="s">
        <v>41267</v>
      </c>
    </row>
    <row r="11300" spans="1:24">
      <c r="A11300">
        <f>HYPERLINK("https://www.philgeps.gov.ph/GEPSNONPILOT/Tender/SplashBidNoticeAbstractUI.aspx?menuIndex=3&amp;refID=7047704&amp;Result=3","7047704")</f>
        <v>0</v>
      </c>
      <c r="B11300" t="s">
        <v>2526</v>
      </c>
      <c r="C11300" t="s">
        <v>14185</v>
      </c>
      <c r="D11300" t="s">
        <v>16618</v>
      </c>
      <c r="E11300" t="s">
        <v>26492</v>
      </c>
      <c r="F11300" t="s">
        <v>28669</v>
      </c>
      <c r="G11300" t="s">
        <v>28675</v>
      </c>
      <c r="H11300" t="s">
        <v>28686</v>
      </c>
      <c r="I11300" t="s">
        <v>28689</v>
      </c>
      <c r="J11300" t="s">
        <v>35779</v>
      </c>
      <c r="K11300" t="s">
        <v>37220</v>
      </c>
      <c r="M11300" t="s">
        <v>40215</v>
      </c>
      <c r="N11300" t="s">
        <v>41249</v>
      </c>
      <c r="O11300" t="s">
        <v>41250</v>
      </c>
      <c r="P11300">
        <v>0</v>
      </c>
      <c r="Q11300">
        <v>0</v>
      </c>
      <c r="R11300" t="s">
        <v>41265</v>
      </c>
      <c r="S11300" t="s">
        <v>41880</v>
      </c>
      <c r="T11300" t="s">
        <v>42726</v>
      </c>
      <c r="U11300" t="s">
        <v>52263</v>
      </c>
      <c r="W11300" t="s">
        <v>40215</v>
      </c>
      <c r="X11300" t="s">
        <v>41267</v>
      </c>
    </row>
    <row r="11301" spans="1:24">
      <c r="A11301">
        <f>HYPERLINK("https://www.philgeps.gov.ph/GEPSNONPILOT/Tender/SplashBidNoticeAbstractUI.aspx?menuIndex=3&amp;refID=7047698&amp;Result=3","7047698")</f>
        <v>0</v>
      </c>
      <c r="B11301" t="s">
        <v>3086</v>
      </c>
      <c r="C11301" t="s">
        <v>14186</v>
      </c>
      <c r="D11301" t="s">
        <v>16682</v>
      </c>
      <c r="E11301" t="s">
        <v>26493</v>
      </c>
      <c r="F11301" t="s">
        <v>28669</v>
      </c>
      <c r="G11301" t="s">
        <v>28675</v>
      </c>
      <c r="H11301" t="s">
        <v>28686</v>
      </c>
      <c r="I11301" t="s">
        <v>28689</v>
      </c>
      <c r="J11301" t="s">
        <v>35780</v>
      </c>
      <c r="K11301" t="s">
        <v>37213</v>
      </c>
      <c r="M11301" t="s">
        <v>40870</v>
      </c>
      <c r="N11301" t="s">
        <v>41249</v>
      </c>
      <c r="O11301" t="s">
        <v>41250</v>
      </c>
      <c r="P11301">
        <v>0</v>
      </c>
      <c r="Q11301">
        <v>0</v>
      </c>
      <c r="R11301" t="s">
        <v>41265</v>
      </c>
      <c r="S11301" t="s">
        <v>41880</v>
      </c>
      <c r="T11301" t="s">
        <v>42856</v>
      </c>
      <c r="U11301" t="s">
        <v>52264</v>
      </c>
      <c r="V11301" t="s">
        <v>55589</v>
      </c>
      <c r="W11301" t="s">
        <v>40870</v>
      </c>
      <c r="X11301" t="s">
        <v>41267</v>
      </c>
    </row>
    <row r="11302" spans="1:24">
      <c r="A11302">
        <f>HYPERLINK("https://www.philgeps.gov.ph/GEPSNONPILOT/Tender/SplashBidNoticeAbstractUI.aspx?menuIndex=3&amp;refID=7047677&amp;Result=3","7047677")</f>
        <v>0</v>
      </c>
      <c r="B11302" t="s">
        <v>1125</v>
      </c>
      <c r="C11302" t="s">
        <v>14187</v>
      </c>
      <c r="D11302" t="s">
        <v>16616</v>
      </c>
      <c r="E11302" t="s">
        <v>26494</v>
      </c>
      <c r="F11302" t="s">
        <v>28669</v>
      </c>
      <c r="G11302" t="s">
        <v>28675</v>
      </c>
      <c r="H11302" t="s">
        <v>9998</v>
      </c>
      <c r="I11302" t="s">
        <v>28687</v>
      </c>
      <c r="J11302" t="s">
        <v>30062</v>
      </c>
      <c r="K11302" t="s">
        <v>37206</v>
      </c>
      <c r="M11302" t="s">
        <v>40077</v>
      </c>
      <c r="N11302" t="s">
        <v>41249</v>
      </c>
      <c r="O11302" t="s">
        <v>41250</v>
      </c>
      <c r="P11302">
        <v>0</v>
      </c>
      <c r="Q11302">
        <v>5</v>
      </c>
      <c r="R11302" t="s">
        <v>41265</v>
      </c>
      <c r="S11302" t="s">
        <v>41880</v>
      </c>
      <c r="T11302" t="s">
        <v>42678</v>
      </c>
      <c r="U11302" t="s">
        <v>52265</v>
      </c>
      <c r="W11302" t="s">
        <v>40077</v>
      </c>
      <c r="X11302" t="s">
        <v>41267</v>
      </c>
    </row>
    <row r="11303" spans="1:24">
      <c r="A11303">
        <f>HYPERLINK("https://www.philgeps.gov.ph/GEPSNONPILOT/Tender/SplashBidNoticeAbstractUI.aspx?menuIndex=3&amp;refID=7047561&amp;Result=3","7047561")</f>
        <v>0</v>
      </c>
      <c r="B11303" t="s">
        <v>2526</v>
      </c>
      <c r="C11303" t="s">
        <v>14188</v>
      </c>
      <c r="D11303" t="s">
        <v>16618</v>
      </c>
      <c r="E11303" t="s">
        <v>26495</v>
      </c>
      <c r="F11303" t="s">
        <v>28669</v>
      </c>
      <c r="G11303" t="s">
        <v>28675</v>
      </c>
      <c r="H11303" t="s">
        <v>28686</v>
      </c>
      <c r="I11303" t="s">
        <v>28689</v>
      </c>
      <c r="J11303" t="s">
        <v>35781</v>
      </c>
      <c r="K11303" t="s">
        <v>37220</v>
      </c>
      <c r="M11303" t="s">
        <v>40215</v>
      </c>
      <c r="N11303" t="s">
        <v>41249</v>
      </c>
      <c r="O11303" t="s">
        <v>41250</v>
      </c>
      <c r="P11303">
        <v>0</v>
      </c>
      <c r="Q11303">
        <v>0</v>
      </c>
      <c r="R11303" t="s">
        <v>41265</v>
      </c>
      <c r="S11303" t="s">
        <v>41880</v>
      </c>
      <c r="T11303" t="s">
        <v>42726</v>
      </c>
      <c r="U11303" t="s">
        <v>52266</v>
      </c>
      <c r="W11303" t="s">
        <v>40215</v>
      </c>
      <c r="X11303" t="s">
        <v>41267</v>
      </c>
    </row>
    <row r="11304" spans="1:24">
      <c r="A11304">
        <f>HYPERLINK("https://www.philgeps.gov.ph/GEPSNONPILOT/Tender/SplashBidNoticeAbstractUI.aspx?menuIndex=3&amp;refID=7047488&amp;Result=3","7047488")</f>
        <v>0</v>
      </c>
      <c r="B11304" t="s">
        <v>2526</v>
      </c>
      <c r="C11304" t="s">
        <v>14189</v>
      </c>
      <c r="D11304" t="s">
        <v>16618</v>
      </c>
      <c r="E11304" t="s">
        <v>26496</v>
      </c>
      <c r="F11304" t="s">
        <v>28669</v>
      </c>
      <c r="G11304" t="s">
        <v>28675</v>
      </c>
      <c r="H11304" t="s">
        <v>9998</v>
      </c>
      <c r="I11304" t="s">
        <v>28754</v>
      </c>
      <c r="J11304" t="s">
        <v>35782</v>
      </c>
      <c r="K11304" t="s">
        <v>37220</v>
      </c>
      <c r="M11304" t="s">
        <v>40215</v>
      </c>
      <c r="N11304" t="s">
        <v>41249</v>
      </c>
      <c r="O11304" t="s">
        <v>41250</v>
      </c>
      <c r="P11304">
        <v>0</v>
      </c>
      <c r="Q11304">
        <v>3</v>
      </c>
      <c r="R11304" t="s">
        <v>41265</v>
      </c>
      <c r="S11304" t="s">
        <v>41880</v>
      </c>
      <c r="T11304" t="s">
        <v>42726</v>
      </c>
      <c r="U11304" t="s">
        <v>52267</v>
      </c>
      <c r="W11304" t="s">
        <v>40215</v>
      </c>
      <c r="X11304" t="s">
        <v>41267</v>
      </c>
    </row>
    <row r="11305" spans="1:24">
      <c r="A11305">
        <f>HYPERLINK("https://www.philgeps.gov.ph/GEPSNONPILOT/Tender/SplashBidNoticeAbstractUI.aspx?menuIndex=3&amp;refID=7047242&amp;Result=3","7047242")</f>
        <v>0</v>
      </c>
      <c r="B11305" t="s">
        <v>2167</v>
      </c>
      <c r="C11305" t="s">
        <v>14190</v>
      </c>
      <c r="D11305" t="s">
        <v>16664</v>
      </c>
      <c r="E11305" t="s">
        <v>26497</v>
      </c>
      <c r="F11305" t="s">
        <v>28669</v>
      </c>
      <c r="G11305" t="s">
        <v>28675</v>
      </c>
      <c r="H11305" t="s">
        <v>9998</v>
      </c>
      <c r="I11305" t="s">
        <v>28706</v>
      </c>
      <c r="J11305" t="s">
        <v>32449</v>
      </c>
      <c r="K11305" t="s">
        <v>37255</v>
      </c>
      <c r="M11305" t="s">
        <v>39814</v>
      </c>
      <c r="N11305" t="s">
        <v>41249</v>
      </c>
      <c r="O11305" t="s">
        <v>41250</v>
      </c>
      <c r="Q11305">
        <v>3</v>
      </c>
      <c r="R11305" t="s">
        <v>41265</v>
      </c>
      <c r="S11305" t="s">
        <v>41894</v>
      </c>
      <c r="T11305" t="s">
        <v>42690</v>
      </c>
      <c r="U11305" t="s">
        <v>52268</v>
      </c>
      <c r="W11305" t="s">
        <v>56024</v>
      </c>
      <c r="X11305" t="s">
        <v>41267</v>
      </c>
    </row>
    <row r="11306" spans="1:24">
      <c r="A11306">
        <f>HYPERLINK("https://www.philgeps.gov.ph/GEPSNONPILOT/Tender/SplashBidNoticeAbstractUI.aspx?menuIndex=3&amp;refID=7047635&amp;Result=3","7047635")</f>
        <v>0</v>
      </c>
      <c r="B11306" t="s">
        <v>2526</v>
      </c>
      <c r="C11306" t="s">
        <v>14191</v>
      </c>
      <c r="D11306" t="s">
        <v>16618</v>
      </c>
      <c r="E11306" t="s">
        <v>26498</v>
      </c>
      <c r="F11306" t="s">
        <v>28669</v>
      </c>
      <c r="G11306" t="s">
        <v>28675</v>
      </c>
      <c r="H11306" t="s">
        <v>28686</v>
      </c>
      <c r="I11306" t="s">
        <v>28689</v>
      </c>
      <c r="J11306" t="s">
        <v>35783</v>
      </c>
      <c r="K11306" t="s">
        <v>37220</v>
      </c>
      <c r="M11306" t="s">
        <v>40215</v>
      </c>
      <c r="N11306" t="s">
        <v>41249</v>
      </c>
      <c r="O11306" t="s">
        <v>41250</v>
      </c>
      <c r="P11306">
        <v>0</v>
      </c>
      <c r="Q11306">
        <v>0</v>
      </c>
      <c r="R11306" t="s">
        <v>41265</v>
      </c>
      <c r="S11306" t="s">
        <v>41880</v>
      </c>
      <c r="T11306" t="s">
        <v>42726</v>
      </c>
      <c r="U11306" t="s">
        <v>52269</v>
      </c>
      <c r="W11306" t="s">
        <v>40215</v>
      </c>
      <c r="X11306" t="s">
        <v>41267</v>
      </c>
    </row>
    <row r="11307" spans="1:24">
      <c r="A11307">
        <f>HYPERLINK("https://www.philgeps.gov.ph/GEPSNONPILOT/Tender/SplashBidNoticeAbstractUI.aspx?menuIndex=3&amp;refID=7046950&amp;Result=3","7046950")</f>
        <v>0</v>
      </c>
      <c r="B11307" t="s">
        <v>2167</v>
      </c>
      <c r="C11307" t="s">
        <v>14192</v>
      </c>
      <c r="D11307" t="s">
        <v>16664</v>
      </c>
      <c r="E11307" t="s">
        <v>26499</v>
      </c>
      <c r="F11307" t="s">
        <v>28669</v>
      </c>
      <c r="G11307" t="s">
        <v>28675</v>
      </c>
      <c r="H11307" t="s">
        <v>9998</v>
      </c>
      <c r="I11307" t="s">
        <v>28706</v>
      </c>
      <c r="J11307" t="s">
        <v>35784</v>
      </c>
      <c r="K11307" t="s">
        <v>37213</v>
      </c>
      <c r="M11307" t="s">
        <v>39814</v>
      </c>
      <c r="N11307" t="s">
        <v>41249</v>
      </c>
      <c r="O11307" t="s">
        <v>41250</v>
      </c>
      <c r="Q11307">
        <v>2</v>
      </c>
      <c r="R11307" t="s">
        <v>41265</v>
      </c>
      <c r="S11307" t="s">
        <v>41895</v>
      </c>
      <c r="T11307" t="s">
        <v>42690</v>
      </c>
      <c r="U11307" t="s">
        <v>52270</v>
      </c>
      <c r="W11307" t="s">
        <v>56024</v>
      </c>
      <c r="X11307" t="s">
        <v>41268</v>
      </c>
    </row>
    <row r="11308" spans="1:24">
      <c r="A11308">
        <f>HYPERLINK("https://www.philgeps.gov.ph/GEPSNONPILOT/Tender/SplashBidNoticeAbstractUI.aspx?menuIndex=3&amp;refID=7048244&amp;Result=3","7048244")</f>
        <v>0</v>
      </c>
      <c r="B11308" t="s">
        <v>3087</v>
      </c>
      <c r="C11308" t="s">
        <v>14193</v>
      </c>
      <c r="D11308" t="s">
        <v>16668</v>
      </c>
      <c r="E11308" t="s">
        <v>26500</v>
      </c>
      <c r="F11308" t="s">
        <v>28669</v>
      </c>
      <c r="G11308" t="s">
        <v>28675</v>
      </c>
      <c r="H11308" t="s">
        <v>28686</v>
      </c>
      <c r="I11308" t="s">
        <v>28689</v>
      </c>
      <c r="J11308" t="s">
        <v>35785</v>
      </c>
      <c r="K11308" t="s">
        <v>37215</v>
      </c>
      <c r="M11308" t="s">
        <v>40871</v>
      </c>
      <c r="N11308" t="s">
        <v>41249</v>
      </c>
      <c r="O11308" t="s">
        <v>41250</v>
      </c>
      <c r="P11308">
        <v>0</v>
      </c>
      <c r="Q11308">
        <v>0</v>
      </c>
      <c r="R11308" t="s">
        <v>41265</v>
      </c>
      <c r="S11308" t="s">
        <v>41880</v>
      </c>
      <c r="T11308" t="s">
        <v>42976</v>
      </c>
      <c r="U11308" t="s">
        <v>52271</v>
      </c>
      <c r="V11308" t="s">
        <v>55590</v>
      </c>
      <c r="W11308" t="s">
        <v>40871</v>
      </c>
      <c r="X11308" t="s">
        <v>41267</v>
      </c>
    </row>
    <row r="11309" spans="1:24">
      <c r="A11309">
        <f>HYPERLINK("https://www.philgeps.gov.ph/GEPSNONPILOT/Tender/SplashBidNoticeAbstractUI.aspx?menuIndex=3&amp;refID=7049093&amp;Result=3","7049093")</f>
        <v>0</v>
      </c>
      <c r="B11309" t="s">
        <v>3084</v>
      </c>
      <c r="C11309" t="s">
        <v>14194</v>
      </c>
      <c r="D11309" t="s">
        <v>16624</v>
      </c>
      <c r="E11309" t="s">
        <v>26501</v>
      </c>
      <c r="F11309" t="s">
        <v>28669</v>
      </c>
      <c r="G11309" t="s">
        <v>28675</v>
      </c>
      <c r="H11309" t="s">
        <v>28686</v>
      </c>
      <c r="I11309" t="s">
        <v>28689</v>
      </c>
      <c r="J11309" t="s">
        <v>29112</v>
      </c>
      <c r="K11309" t="s">
        <v>37221</v>
      </c>
      <c r="M11309" t="s">
        <v>40868</v>
      </c>
      <c r="N11309" t="s">
        <v>41249</v>
      </c>
      <c r="O11309" t="s">
        <v>41250</v>
      </c>
      <c r="P11309">
        <v>0</v>
      </c>
      <c r="Q11309">
        <v>0</v>
      </c>
      <c r="R11309" t="s">
        <v>41265</v>
      </c>
      <c r="S11309" t="s">
        <v>41880</v>
      </c>
      <c r="T11309" t="s">
        <v>42856</v>
      </c>
      <c r="U11309" t="s">
        <v>52272</v>
      </c>
      <c r="V11309" t="s">
        <v>55591</v>
      </c>
      <c r="W11309" t="s">
        <v>40868</v>
      </c>
      <c r="X11309" t="s">
        <v>41267</v>
      </c>
    </row>
    <row r="11310" spans="1:24">
      <c r="A11310">
        <f>HYPERLINK("https://www.philgeps.gov.ph/GEPSNONPILOT/Tender/SplashBidNoticeAbstractUI.aspx?menuIndex=3&amp;refID=7049504&amp;Result=3","7049504")</f>
        <v>0</v>
      </c>
      <c r="B11310" t="s">
        <v>2841</v>
      </c>
      <c r="C11310" t="s">
        <v>14195</v>
      </c>
      <c r="D11310" t="s">
        <v>16613</v>
      </c>
      <c r="E11310" t="s">
        <v>26502</v>
      </c>
      <c r="F11310" t="s">
        <v>28669</v>
      </c>
      <c r="G11310" t="s">
        <v>28675</v>
      </c>
      <c r="H11310" t="s">
        <v>9998</v>
      </c>
      <c r="I11310" t="s">
        <v>6458</v>
      </c>
      <c r="J11310" t="s">
        <v>29191</v>
      </c>
      <c r="K11310" t="s">
        <v>37204</v>
      </c>
      <c r="M11310" t="s">
        <v>40577</v>
      </c>
      <c r="N11310" t="s">
        <v>41249</v>
      </c>
      <c r="O11310" t="s">
        <v>41250</v>
      </c>
      <c r="P11310">
        <v>0</v>
      </c>
      <c r="Q11310">
        <v>0</v>
      </c>
      <c r="R11310" t="s">
        <v>41265</v>
      </c>
      <c r="S11310" t="s">
        <v>41880</v>
      </c>
      <c r="T11310" t="s">
        <v>42778</v>
      </c>
      <c r="U11310" t="s">
        <v>52273</v>
      </c>
      <c r="V11310" t="s">
        <v>55592</v>
      </c>
      <c r="W11310" t="s">
        <v>40577</v>
      </c>
      <c r="X11310" t="s">
        <v>41267</v>
      </c>
    </row>
    <row r="11311" spans="1:24">
      <c r="A11311">
        <f>HYPERLINK("https://www.philgeps.gov.ph/GEPSNONPILOT/Tender/SplashBidNoticeAbstractUI.aspx?menuIndex=3&amp;refID=7049180&amp;Result=3","7049180")</f>
        <v>0</v>
      </c>
      <c r="B11311" t="s">
        <v>337</v>
      </c>
      <c r="C11311" t="s">
        <v>14196</v>
      </c>
      <c r="E11311" t="s">
        <v>25404</v>
      </c>
      <c r="F11311" t="s">
        <v>28669</v>
      </c>
      <c r="G11311" t="s">
        <v>28675</v>
      </c>
      <c r="H11311" t="s">
        <v>9998</v>
      </c>
      <c r="I11311" t="s">
        <v>28734</v>
      </c>
      <c r="J11311" t="s">
        <v>29003</v>
      </c>
      <c r="K11311" t="s">
        <v>37209</v>
      </c>
      <c r="M11311" t="s">
        <v>40774</v>
      </c>
      <c r="N11311" t="s">
        <v>41249</v>
      </c>
      <c r="O11311" t="s">
        <v>41250</v>
      </c>
      <c r="P11311">
        <v>0</v>
      </c>
      <c r="Q11311">
        <v>4</v>
      </c>
      <c r="R11311" t="s">
        <v>41265</v>
      </c>
      <c r="S11311" t="s">
        <v>41880</v>
      </c>
      <c r="T11311" t="s">
        <v>42703</v>
      </c>
      <c r="U11311" t="s">
        <v>52274</v>
      </c>
      <c r="W11311" t="s">
        <v>40774</v>
      </c>
      <c r="X11311" t="s">
        <v>41267</v>
      </c>
    </row>
    <row r="11312" spans="1:24">
      <c r="A11312">
        <f>HYPERLINK("https://www.philgeps.gov.ph/GEPSNONPILOT/Tender/SplashBidNoticeAbstractUI.aspx?menuIndex=3&amp;refID=7049490&amp;Result=3","7049490")</f>
        <v>0</v>
      </c>
      <c r="B11312" t="s">
        <v>33</v>
      </c>
      <c r="C11312" t="s">
        <v>14197</v>
      </c>
      <c r="D11312" t="s">
        <v>16616</v>
      </c>
      <c r="E11312" t="s">
        <v>26503</v>
      </c>
      <c r="F11312" t="s">
        <v>28669</v>
      </c>
      <c r="G11312" t="s">
        <v>28675</v>
      </c>
      <c r="H11312" t="s">
        <v>28686</v>
      </c>
      <c r="I11312" t="s">
        <v>28689</v>
      </c>
      <c r="J11312" t="s">
        <v>28891</v>
      </c>
      <c r="K11312" t="s">
        <v>37221</v>
      </c>
      <c r="M11312" t="s">
        <v>40872</v>
      </c>
      <c r="N11312" t="s">
        <v>41249</v>
      </c>
      <c r="O11312" t="s">
        <v>41250</v>
      </c>
      <c r="P11312">
        <v>0</v>
      </c>
      <c r="Q11312">
        <v>0</v>
      </c>
      <c r="R11312" t="s">
        <v>41265</v>
      </c>
      <c r="S11312" t="s">
        <v>41880</v>
      </c>
      <c r="T11312" t="s">
        <v>42696</v>
      </c>
      <c r="U11312" t="s">
        <v>52275</v>
      </c>
      <c r="V11312" t="s">
        <v>54252</v>
      </c>
      <c r="W11312" t="s">
        <v>40872</v>
      </c>
      <c r="X11312" t="s">
        <v>41267</v>
      </c>
    </row>
    <row r="11313" spans="1:24">
      <c r="A11313">
        <f>HYPERLINK("https://www.philgeps.gov.ph/GEPSNONPILOT/Tender/SplashBidNoticeAbstractUI.aspx?menuIndex=3&amp;refID=7048316&amp;Result=3","7048316")</f>
        <v>0</v>
      </c>
      <c r="B11313" t="s">
        <v>345</v>
      </c>
      <c r="C11313" t="s">
        <v>14198</v>
      </c>
      <c r="D11313" t="s">
        <v>16666</v>
      </c>
      <c r="E11313" t="s">
        <v>26504</v>
      </c>
      <c r="F11313" t="s">
        <v>28669</v>
      </c>
      <c r="G11313" t="s">
        <v>28675</v>
      </c>
      <c r="H11313" t="s">
        <v>9998</v>
      </c>
      <c r="I11313" t="s">
        <v>28693</v>
      </c>
      <c r="J11313" t="s">
        <v>35786</v>
      </c>
      <c r="K11313" t="s">
        <v>37209</v>
      </c>
      <c r="M11313" t="s">
        <v>40567</v>
      </c>
      <c r="N11313" t="s">
        <v>41249</v>
      </c>
      <c r="O11313" t="s">
        <v>41250</v>
      </c>
      <c r="Q11313">
        <v>37</v>
      </c>
      <c r="R11313" t="s">
        <v>41265</v>
      </c>
      <c r="S11313" t="s">
        <v>41846</v>
      </c>
      <c r="T11313" t="s">
        <v>42755</v>
      </c>
      <c r="U11313" t="s">
        <v>52276</v>
      </c>
      <c r="W11313" t="s">
        <v>40567</v>
      </c>
      <c r="X11313" t="s">
        <v>41267</v>
      </c>
    </row>
    <row r="11314" spans="1:24">
      <c r="A11314">
        <f>HYPERLINK("https://www.philgeps.gov.ph/GEPSNONPILOT/Tender/SplashBidNoticeAbstractUI.aspx?menuIndex=3&amp;refID=7049439&amp;Result=3","7049439")</f>
        <v>0</v>
      </c>
      <c r="B11314" t="s">
        <v>1646</v>
      </c>
      <c r="C11314" t="s">
        <v>14199</v>
      </c>
      <c r="D11314" t="s">
        <v>16640</v>
      </c>
      <c r="E11314" t="s">
        <v>26505</v>
      </c>
      <c r="F11314" t="s">
        <v>28669</v>
      </c>
      <c r="G11314" t="s">
        <v>28675</v>
      </c>
      <c r="H11314" t="s">
        <v>28686</v>
      </c>
      <c r="I11314" t="s">
        <v>28689</v>
      </c>
      <c r="J11314" t="s">
        <v>35787</v>
      </c>
      <c r="K11314" t="s">
        <v>37287</v>
      </c>
      <c r="M11314" t="s">
        <v>39236</v>
      </c>
      <c r="N11314" t="s">
        <v>41249</v>
      </c>
      <c r="O11314" t="s">
        <v>41250</v>
      </c>
      <c r="Q11314">
        <v>11</v>
      </c>
      <c r="R11314" t="s">
        <v>41265</v>
      </c>
      <c r="S11314" t="s">
        <v>41896</v>
      </c>
      <c r="T11314" t="s">
        <v>42679</v>
      </c>
      <c r="U11314" t="s">
        <v>51966</v>
      </c>
      <c r="W11314" t="s">
        <v>39236</v>
      </c>
      <c r="X11314" t="s">
        <v>41267</v>
      </c>
    </row>
    <row r="11315" spans="1:24">
      <c r="A11315">
        <f>HYPERLINK("https://www.philgeps.gov.ph/GEPSNONPILOT/Tender/SplashBidNoticeAbstractUI.aspx?menuIndex=3&amp;refID=7049449&amp;Result=3","7049449")</f>
        <v>0</v>
      </c>
      <c r="B11315" t="s">
        <v>33</v>
      </c>
      <c r="C11315" t="s">
        <v>14200</v>
      </c>
      <c r="D11315" t="s">
        <v>16616</v>
      </c>
      <c r="E11315" t="s">
        <v>26506</v>
      </c>
      <c r="F11315" t="s">
        <v>28669</v>
      </c>
      <c r="G11315" t="s">
        <v>28675</v>
      </c>
      <c r="H11315" t="s">
        <v>28686</v>
      </c>
      <c r="I11315" t="s">
        <v>28689</v>
      </c>
      <c r="J11315" t="s">
        <v>29112</v>
      </c>
      <c r="K11315" t="s">
        <v>37220</v>
      </c>
      <c r="M11315" t="s">
        <v>40872</v>
      </c>
      <c r="N11315" t="s">
        <v>41249</v>
      </c>
      <c r="O11315" t="s">
        <v>41250</v>
      </c>
      <c r="P11315">
        <v>0</v>
      </c>
      <c r="Q11315">
        <v>1</v>
      </c>
      <c r="R11315" t="s">
        <v>41265</v>
      </c>
      <c r="S11315" t="s">
        <v>41880</v>
      </c>
      <c r="T11315" t="s">
        <v>42696</v>
      </c>
      <c r="U11315" t="s">
        <v>52275</v>
      </c>
      <c r="V11315" t="s">
        <v>54252</v>
      </c>
      <c r="W11315" t="s">
        <v>40872</v>
      </c>
      <c r="X11315" t="s">
        <v>41267</v>
      </c>
    </row>
    <row r="11316" spans="1:24">
      <c r="A11316">
        <f>HYPERLINK("https://www.philgeps.gov.ph/GEPSNONPILOT/Tender/SplashBidNoticeAbstractUI.aspx?menuIndex=3&amp;refID=7046429&amp;Result=3","7046429")</f>
        <v>0</v>
      </c>
      <c r="B11316" t="s">
        <v>3088</v>
      </c>
      <c r="C11316" t="s">
        <v>14201</v>
      </c>
      <c r="D11316" t="s">
        <v>16621</v>
      </c>
      <c r="E11316" t="s">
        <v>26507</v>
      </c>
      <c r="F11316" t="s">
        <v>28669</v>
      </c>
      <c r="G11316" t="s">
        <v>28675</v>
      </c>
      <c r="H11316" t="s">
        <v>28686</v>
      </c>
      <c r="I11316" t="s">
        <v>7352</v>
      </c>
      <c r="J11316" t="s">
        <v>31648</v>
      </c>
      <c r="K11316" t="s">
        <v>37337</v>
      </c>
      <c r="M11316" t="s">
        <v>40873</v>
      </c>
      <c r="N11316" t="s">
        <v>41249</v>
      </c>
      <c r="O11316" t="s">
        <v>41250</v>
      </c>
      <c r="P11316">
        <v>0</v>
      </c>
      <c r="Q11316">
        <v>8</v>
      </c>
      <c r="R11316" t="s">
        <v>41265</v>
      </c>
      <c r="S11316" t="s">
        <v>41880</v>
      </c>
      <c r="T11316" t="s">
        <v>42742</v>
      </c>
      <c r="U11316" t="s">
        <v>52277</v>
      </c>
      <c r="V11316" t="s">
        <v>55593</v>
      </c>
      <c r="W11316" t="s">
        <v>40873</v>
      </c>
      <c r="X11316" t="s">
        <v>41268</v>
      </c>
    </row>
    <row r="11317" spans="1:24">
      <c r="A11317">
        <f>HYPERLINK("https://www.philgeps.gov.ph/GEPSNONPILOT/Tender/SplashBidNoticeAbstractUI.aspx?menuIndex=3&amp;refID=7049428&amp;Result=3","7049428")</f>
        <v>0</v>
      </c>
      <c r="B11317" t="s">
        <v>1646</v>
      </c>
      <c r="C11317" t="s">
        <v>14202</v>
      </c>
      <c r="D11317" t="s">
        <v>16640</v>
      </c>
      <c r="E11317" t="s">
        <v>26508</v>
      </c>
      <c r="F11317" t="s">
        <v>28669</v>
      </c>
      <c r="G11317" t="s">
        <v>28675</v>
      </c>
      <c r="H11317" t="s">
        <v>28686</v>
      </c>
      <c r="I11317" t="s">
        <v>28689</v>
      </c>
      <c r="J11317" t="s">
        <v>35788</v>
      </c>
      <c r="K11317" t="s">
        <v>37290</v>
      </c>
      <c r="M11317" t="s">
        <v>39236</v>
      </c>
      <c r="N11317" t="s">
        <v>41249</v>
      </c>
      <c r="O11317" t="s">
        <v>41250</v>
      </c>
      <c r="Q11317">
        <v>17</v>
      </c>
      <c r="R11317" t="s">
        <v>41265</v>
      </c>
      <c r="S11317" t="s">
        <v>41897</v>
      </c>
      <c r="T11317" t="s">
        <v>42679</v>
      </c>
      <c r="U11317" t="s">
        <v>51966</v>
      </c>
      <c r="W11317" t="s">
        <v>39236</v>
      </c>
      <c r="X11317" t="s">
        <v>41267</v>
      </c>
    </row>
    <row r="11318" spans="1:24">
      <c r="A11318">
        <f>HYPERLINK("https://www.philgeps.gov.ph/GEPSNONPILOT/Tender/SplashBidNoticeAbstractUI.aspx?menuIndex=3&amp;refID=7049477&amp;Result=3","7049477")</f>
        <v>0</v>
      </c>
      <c r="B11318" t="s">
        <v>33</v>
      </c>
      <c r="C11318" t="s">
        <v>14203</v>
      </c>
      <c r="D11318" t="s">
        <v>16616</v>
      </c>
      <c r="E11318" t="s">
        <v>26509</v>
      </c>
      <c r="F11318" t="s">
        <v>28669</v>
      </c>
      <c r="G11318" t="s">
        <v>28675</v>
      </c>
      <c r="H11318" t="s">
        <v>28686</v>
      </c>
      <c r="I11318" t="s">
        <v>28689</v>
      </c>
      <c r="J11318" t="s">
        <v>35789</v>
      </c>
      <c r="K11318" t="s">
        <v>37211</v>
      </c>
      <c r="M11318" t="s">
        <v>40872</v>
      </c>
      <c r="N11318" t="s">
        <v>41249</v>
      </c>
      <c r="O11318" t="s">
        <v>41250</v>
      </c>
      <c r="P11318">
        <v>0</v>
      </c>
      <c r="Q11318">
        <v>1</v>
      </c>
      <c r="R11318" t="s">
        <v>41265</v>
      </c>
      <c r="S11318" t="s">
        <v>41880</v>
      </c>
      <c r="T11318" t="s">
        <v>42696</v>
      </c>
      <c r="U11318" t="s">
        <v>52275</v>
      </c>
      <c r="V11318" t="s">
        <v>54252</v>
      </c>
      <c r="W11318" t="s">
        <v>40872</v>
      </c>
      <c r="X11318" t="s">
        <v>41267</v>
      </c>
    </row>
    <row r="11319" spans="1:24">
      <c r="A11319">
        <f>HYPERLINK("https://www.philgeps.gov.ph/GEPSNONPILOT/Tender/SplashBidNoticeAbstractUI.aspx?menuIndex=3&amp;refID=7049843&amp;Result=3","7049843")</f>
        <v>0</v>
      </c>
      <c r="B11319" t="s">
        <v>1951</v>
      </c>
      <c r="C11319" t="s">
        <v>14204</v>
      </c>
      <c r="D11319" t="s">
        <v>16610</v>
      </c>
      <c r="E11319" t="s">
        <v>17089</v>
      </c>
      <c r="F11319" t="s">
        <v>28669</v>
      </c>
      <c r="G11319" t="s">
        <v>28675</v>
      </c>
      <c r="H11319" t="s">
        <v>9998</v>
      </c>
      <c r="I11319" t="s">
        <v>6128</v>
      </c>
      <c r="J11319" t="s">
        <v>35790</v>
      </c>
      <c r="K11319" t="s">
        <v>37205</v>
      </c>
      <c r="M11319" t="s">
        <v>39582</v>
      </c>
      <c r="N11319" t="s">
        <v>41249</v>
      </c>
      <c r="O11319" t="s">
        <v>41250</v>
      </c>
      <c r="P11319">
        <v>0</v>
      </c>
      <c r="Q11319">
        <v>4</v>
      </c>
      <c r="R11319" t="s">
        <v>41265</v>
      </c>
      <c r="S11319" t="s">
        <v>41880</v>
      </c>
      <c r="T11319" t="s">
        <v>42679</v>
      </c>
      <c r="U11319" t="s">
        <v>52278</v>
      </c>
      <c r="W11319" t="s">
        <v>39582</v>
      </c>
      <c r="X11319" t="s">
        <v>41266</v>
      </c>
    </row>
    <row r="11320" spans="1:24">
      <c r="A11320">
        <f>HYPERLINK("https://www.philgeps.gov.ph/GEPSNONPILOT/Tender/SplashBidNoticeAbstractUI.aspx?menuIndex=3&amp;refID=7049432&amp;Result=3","7049432")</f>
        <v>0</v>
      </c>
      <c r="B11320" t="s">
        <v>33</v>
      </c>
      <c r="C11320" t="s">
        <v>14205</v>
      </c>
      <c r="D11320" t="s">
        <v>16616</v>
      </c>
      <c r="E11320" t="s">
        <v>26510</v>
      </c>
      <c r="F11320" t="s">
        <v>28669</v>
      </c>
      <c r="G11320" t="s">
        <v>28675</v>
      </c>
      <c r="H11320" t="s">
        <v>28686</v>
      </c>
      <c r="I11320" t="s">
        <v>28689</v>
      </c>
      <c r="J11320" t="s">
        <v>35791</v>
      </c>
      <c r="K11320" t="s">
        <v>37212</v>
      </c>
      <c r="M11320" t="s">
        <v>40872</v>
      </c>
      <c r="N11320" t="s">
        <v>41249</v>
      </c>
      <c r="O11320" t="s">
        <v>41250</v>
      </c>
      <c r="P11320">
        <v>0</v>
      </c>
      <c r="Q11320">
        <v>2</v>
      </c>
      <c r="R11320" t="s">
        <v>41265</v>
      </c>
      <c r="S11320" t="s">
        <v>41880</v>
      </c>
      <c r="T11320" t="s">
        <v>42696</v>
      </c>
      <c r="U11320" t="s">
        <v>52275</v>
      </c>
      <c r="V11320" t="s">
        <v>54252</v>
      </c>
      <c r="W11320" t="s">
        <v>40872</v>
      </c>
      <c r="X11320" t="s">
        <v>41267</v>
      </c>
    </row>
    <row r="11321" spans="1:24">
      <c r="A11321">
        <f>HYPERLINK("https://www.philgeps.gov.ph/GEPSNONPILOT/Tender/SplashBidNoticeAbstractUI.aspx?menuIndex=3&amp;refID=7049611&amp;Result=3","7049611")</f>
        <v>0</v>
      </c>
      <c r="B11321" t="s">
        <v>3089</v>
      </c>
      <c r="C11321" t="s">
        <v>14206</v>
      </c>
      <c r="D11321" t="s">
        <v>16608</v>
      </c>
      <c r="E11321" t="s">
        <v>26511</v>
      </c>
      <c r="F11321" t="s">
        <v>28669</v>
      </c>
      <c r="G11321" t="s">
        <v>28682</v>
      </c>
      <c r="H11321" t="s">
        <v>9998</v>
      </c>
      <c r="I11321" t="s">
        <v>11593</v>
      </c>
      <c r="J11321" t="s">
        <v>35792</v>
      </c>
      <c r="K11321" t="s">
        <v>37221</v>
      </c>
      <c r="M11321" t="s">
        <v>40874</v>
      </c>
      <c r="N11321" t="s">
        <v>41249</v>
      </c>
      <c r="O11321" t="s">
        <v>41250</v>
      </c>
      <c r="Q11321">
        <v>27</v>
      </c>
      <c r="R11321" t="s">
        <v>41265</v>
      </c>
      <c r="S11321" t="s">
        <v>41898</v>
      </c>
      <c r="T11321" t="s">
        <v>42759</v>
      </c>
      <c r="U11321" t="s">
        <v>52279</v>
      </c>
      <c r="V11321" t="s">
        <v>55594</v>
      </c>
      <c r="W11321" t="s">
        <v>40874</v>
      </c>
      <c r="X11321" t="s">
        <v>41267</v>
      </c>
    </row>
    <row r="11322" spans="1:24">
      <c r="A11322">
        <f>HYPERLINK("https://www.philgeps.gov.ph/GEPSNONPILOT/Tender/SplashBidNoticeAbstractUI.aspx?menuIndex=3&amp;refID=7049835&amp;Result=3","7049835")</f>
        <v>0</v>
      </c>
      <c r="B11322" t="s">
        <v>3090</v>
      </c>
      <c r="C11322" t="s">
        <v>14207</v>
      </c>
      <c r="D11322" t="s">
        <v>16659</v>
      </c>
      <c r="E11322" t="s">
        <v>26512</v>
      </c>
      <c r="F11322" t="s">
        <v>28669</v>
      </c>
      <c r="G11322" t="s">
        <v>28675</v>
      </c>
      <c r="H11322" t="s">
        <v>9998</v>
      </c>
      <c r="I11322" t="s">
        <v>28791</v>
      </c>
      <c r="J11322" t="s">
        <v>28850</v>
      </c>
      <c r="K11322" t="s">
        <v>37215</v>
      </c>
      <c r="M11322" t="s">
        <v>40875</v>
      </c>
      <c r="N11322" t="s">
        <v>41249</v>
      </c>
      <c r="O11322" t="s">
        <v>41250</v>
      </c>
      <c r="P11322">
        <v>0</v>
      </c>
      <c r="Q11322">
        <v>7</v>
      </c>
      <c r="R11322" t="s">
        <v>41265</v>
      </c>
      <c r="S11322" t="s">
        <v>41880</v>
      </c>
      <c r="T11322" t="s">
        <v>42690</v>
      </c>
      <c r="U11322" t="s">
        <v>52280</v>
      </c>
      <c r="V11322" t="s">
        <v>55595</v>
      </c>
      <c r="W11322" t="s">
        <v>40875</v>
      </c>
      <c r="X11322" t="s">
        <v>41267</v>
      </c>
    </row>
    <row r="11323" spans="1:24">
      <c r="A11323">
        <f>HYPERLINK("https://www.philgeps.gov.ph/GEPSNONPILOT/Tender/SplashBidNoticeAbstractUI.aspx?menuIndex=3&amp;refID=7049510&amp;Result=3","7049510")</f>
        <v>0</v>
      </c>
      <c r="B11323" t="s">
        <v>1024</v>
      </c>
      <c r="C11323" t="s">
        <v>14208</v>
      </c>
      <c r="D11323" t="s">
        <v>16608</v>
      </c>
      <c r="E11323" t="s">
        <v>26513</v>
      </c>
      <c r="F11323" t="s">
        <v>28669</v>
      </c>
      <c r="G11323" t="s">
        <v>28675</v>
      </c>
      <c r="H11323" t="s">
        <v>9998</v>
      </c>
      <c r="I11323" t="s">
        <v>7352</v>
      </c>
      <c r="J11323" t="s">
        <v>35793</v>
      </c>
      <c r="K11323" t="s">
        <v>37206</v>
      </c>
      <c r="M11323" t="s">
        <v>38554</v>
      </c>
      <c r="N11323" t="s">
        <v>41249</v>
      </c>
      <c r="O11323" t="s">
        <v>41250</v>
      </c>
      <c r="P11323">
        <v>0</v>
      </c>
      <c r="Q11323">
        <v>5</v>
      </c>
      <c r="R11323" t="s">
        <v>41265</v>
      </c>
      <c r="S11323" t="s">
        <v>41880</v>
      </c>
      <c r="T11323" t="s">
        <v>42679</v>
      </c>
      <c r="U11323" t="s">
        <v>52281</v>
      </c>
      <c r="W11323" t="s">
        <v>38554</v>
      </c>
      <c r="X11323" t="s">
        <v>41267</v>
      </c>
    </row>
    <row r="11324" spans="1:24">
      <c r="A11324">
        <f>HYPERLINK("https://www.philgeps.gov.ph/GEPSNONPILOT/Tender/SplashBidNoticeAbstractUI.aspx?menuIndex=3&amp;refID=7046300&amp;Result=3","7046300")</f>
        <v>0</v>
      </c>
      <c r="B11324" t="s">
        <v>2167</v>
      </c>
      <c r="C11324" t="s">
        <v>14209</v>
      </c>
      <c r="D11324" t="s">
        <v>16648</v>
      </c>
      <c r="E11324" t="s">
        <v>26514</v>
      </c>
      <c r="F11324" t="s">
        <v>28669</v>
      </c>
      <c r="G11324" t="s">
        <v>28675</v>
      </c>
      <c r="H11324" t="s">
        <v>28686</v>
      </c>
      <c r="I11324" t="s">
        <v>28689</v>
      </c>
      <c r="J11324" t="s">
        <v>35794</v>
      </c>
      <c r="K11324" t="s">
        <v>37211</v>
      </c>
      <c r="M11324" t="s">
        <v>39814</v>
      </c>
      <c r="N11324" t="s">
        <v>41249</v>
      </c>
      <c r="O11324" t="s">
        <v>41250</v>
      </c>
      <c r="P11324">
        <v>0</v>
      </c>
      <c r="Q11324">
        <v>1</v>
      </c>
      <c r="R11324" t="s">
        <v>41265</v>
      </c>
      <c r="S11324" t="s">
        <v>41880</v>
      </c>
      <c r="T11324" t="s">
        <v>42690</v>
      </c>
      <c r="U11324" t="s">
        <v>52282</v>
      </c>
      <c r="W11324" t="s">
        <v>56024</v>
      </c>
      <c r="X11324" t="s">
        <v>41268</v>
      </c>
    </row>
    <row r="11325" spans="1:24">
      <c r="A11325">
        <f>HYPERLINK("https://www.philgeps.gov.ph/GEPSNONPILOT/Tender/SplashBidNoticeAbstractUI.aspx?menuIndex=3&amp;refID=7049413&amp;Result=3","7049413")</f>
        <v>0</v>
      </c>
      <c r="B11325" t="s">
        <v>1646</v>
      </c>
      <c r="C11325" t="s">
        <v>14210</v>
      </c>
      <c r="D11325" t="s">
        <v>16640</v>
      </c>
      <c r="E11325" t="s">
        <v>26515</v>
      </c>
      <c r="F11325" t="s">
        <v>28669</v>
      </c>
      <c r="G11325" t="s">
        <v>28675</v>
      </c>
      <c r="H11325" t="s">
        <v>28686</v>
      </c>
      <c r="I11325" t="s">
        <v>28689</v>
      </c>
      <c r="J11325" t="s">
        <v>35795</v>
      </c>
      <c r="K11325" t="s">
        <v>37290</v>
      </c>
      <c r="M11325" t="s">
        <v>39236</v>
      </c>
      <c r="N11325" t="s">
        <v>41249</v>
      </c>
      <c r="O11325" t="s">
        <v>41250</v>
      </c>
      <c r="Q11325">
        <v>18</v>
      </c>
      <c r="R11325" t="s">
        <v>41265</v>
      </c>
      <c r="S11325" t="s">
        <v>41899</v>
      </c>
      <c r="T11325" t="s">
        <v>42679</v>
      </c>
      <c r="U11325" t="s">
        <v>51966</v>
      </c>
      <c r="W11325" t="s">
        <v>39236</v>
      </c>
      <c r="X11325" t="s">
        <v>41267</v>
      </c>
    </row>
    <row r="11326" spans="1:24">
      <c r="A11326">
        <f>HYPERLINK("https://www.philgeps.gov.ph/GEPSNONPILOT/Tender/SplashBidNoticeAbstractUI.aspx?menuIndex=3&amp;refID=7049395&amp;Result=3","7049395")</f>
        <v>0</v>
      </c>
      <c r="B11326" t="s">
        <v>1646</v>
      </c>
      <c r="C11326" t="s">
        <v>14211</v>
      </c>
      <c r="D11326" t="s">
        <v>16640</v>
      </c>
      <c r="E11326" t="s">
        <v>26516</v>
      </c>
      <c r="F11326" t="s">
        <v>28669</v>
      </c>
      <c r="G11326" t="s">
        <v>28675</v>
      </c>
      <c r="H11326" t="s">
        <v>28686</v>
      </c>
      <c r="I11326" t="s">
        <v>28689</v>
      </c>
      <c r="J11326" t="s">
        <v>35796</v>
      </c>
      <c r="K11326" t="s">
        <v>37285</v>
      </c>
      <c r="M11326" t="s">
        <v>39236</v>
      </c>
      <c r="N11326" t="s">
        <v>41249</v>
      </c>
      <c r="O11326" t="s">
        <v>41250</v>
      </c>
      <c r="Q11326">
        <v>9</v>
      </c>
      <c r="R11326" t="s">
        <v>41265</v>
      </c>
      <c r="S11326" t="s">
        <v>41900</v>
      </c>
      <c r="T11326" t="s">
        <v>42679</v>
      </c>
      <c r="U11326" t="s">
        <v>51966</v>
      </c>
      <c r="W11326" t="s">
        <v>39236</v>
      </c>
      <c r="X11326" t="s">
        <v>41267</v>
      </c>
    </row>
    <row r="11327" spans="1:24">
      <c r="A11327">
        <f>HYPERLINK("https://www.philgeps.gov.ph/GEPSNONPILOT/Tender/SplashBidNoticeAbstractUI.aspx?menuIndex=3&amp;refID=7049386&amp;Result=3","7049386")</f>
        <v>0</v>
      </c>
      <c r="B11327" t="s">
        <v>1490</v>
      </c>
      <c r="C11327" t="s">
        <v>14212</v>
      </c>
      <c r="D11327" t="s">
        <v>16654</v>
      </c>
      <c r="E11327" t="s">
        <v>26517</v>
      </c>
      <c r="F11327" t="s">
        <v>28669</v>
      </c>
      <c r="G11327" t="s">
        <v>28675</v>
      </c>
      <c r="H11327" t="s">
        <v>28686</v>
      </c>
      <c r="I11327" t="s">
        <v>28689</v>
      </c>
      <c r="J11327" t="s">
        <v>30503</v>
      </c>
      <c r="K11327" t="s">
        <v>37215</v>
      </c>
      <c r="M11327" t="s">
        <v>39067</v>
      </c>
      <c r="N11327" t="s">
        <v>41249</v>
      </c>
      <c r="O11327" t="s">
        <v>41250</v>
      </c>
      <c r="P11327">
        <v>0</v>
      </c>
      <c r="Q11327">
        <v>2</v>
      </c>
      <c r="R11327" t="s">
        <v>41265</v>
      </c>
      <c r="S11327" t="s">
        <v>41880</v>
      </c>
      <c r="T11327" t="s">
        <v>42876</v>
      </c>
      <c r="U11327" t="s">
        <v>52283</v>
      </c>
      <c r="W11327" t="s">
        <v>39067</v>
      </c>
      <c r="X11327" t="s">
        <v>41267</v>
      </c>
    </row>
    <row r="11328" spans="1:24">
      <c r="A11328">
        <f>HYPERLINK("https://www.philgeps.gov.ph/GEPSNONPILOT/Tender/SplashBidNoticeAbstractUI.aspx?menuIndex=3&amp;refID=7049363&amp;Result=3","7049363")</f>
        <v>0</v>
      </c>
      <c r="B11328" t="s">
        <v>1646</v>
      </c>
      <c r="C11328" t="s">
        <v>14213</v>
      </c>
      <c r="D11328" t="s">
        <v>16640</v>
      </c>
      <c r="E11328" t="s">
        <v>26518</v>
      </c>
      <c r="F11328" t="s">
        <v>28669</v>
      </c>
      <c r="G11328" t="s">
        <v>28675</v>
      </c>
      <c r="H11328" t="s">
        <v>28686</v>
      </c>
      <c r="I11328" t="s">
        <v>28689</v>
      </c>
      <c r="J11328" t="s">
        <v>35797</v>
      </c>
      <c r="K11328" t="s">
        <v>37285</v>
      </c>
      <c r="M11328" t="s">
        <v>39236</v>
      </c>
      <c r="N11328" t="s">
        <v>41249</v>
      </c>
      <c r="O11328" t="s">
        <v>41250</v>
      </c>
      <c r="Q11328">
        <v>9</v>
      </c>
      <c r="R11328" t="s">
        <v>41265</v>
      </c>
      <c r="S11328" t="s">
        <v>41901</v>
      </c>
      <c r="T11328" t="s">
        <v>42679</v>
      </c>
      <c r="U11328" t="s">
        <v>51966</v>
      </c>
      <c r="W11328" t="s">
        <v>39236</v>
      </c>
      <c r="X11328" t="s">
        <v>41267</v>
      </c>
    </row>
    <row r="11329" spans="1:24">
      <c r="A11329">
        <f>HYPERLINK("https://www.philgeps.gov.ph/GEPSNONPILOT/Tender/SplashBidNoticeAbstractUI.aspx?menuIndex=3&amp;refID=7049864&amp;Result=3","7049864")</f>
        <v>0</v>
      </c>
      <c r="B11329" t="s">
        <v>2146</v>
      </c>
      <c r="C11329" t="s">
        <v>14214</v>
      </c>
      <c r="D11329" t="s">
        <v>16608</v>
      </c>
      <c r="E11329" t="s">
        <v>26519</v>
      </c>
      <c r="F11329" t="s">
        <v>28669</v>
      </c>
      <c r="G11329" t="s">
        <v>28681</v>
      </c>
      <c r="H11329" t="s">
        <v>9998</v>
      </c>
      <c r="I11329" t="s">
        <v>28728</v>
      </c>
      <c r="J11329" t="s">
        <v>29724</v>
      </c>
      <c r="K11329" t="s">
        <v>37272</v>
      </c>
      <c r="M11329" t="s">
        <v>40876</v>
      </c>
      <c r="N11329" t="s">
        <v>41249</v>
      </c>
      <c r="O11329" t="s">
        <v>41250</v>
      </c>
      <c r="Q11329">
        <v>9</v>
      </c>
      <c r="R11329" t="s">
        <v>41265</v>
      </c>
      <c r="S11329" t="s">
        <v>41902</v>
      </c>
      <c r="T11329" t="s">
        <v>42782</v>
      </c>
      <c r="U11329" t="s">
        <v>52284</v>
      </c>
      <c r="W11329" t="s">
        <v>40876</v>
      </c>
      <c r="X11329" t="s">
        <v>41266</v>
      </c>
    </row>
    <row r="11330" spans="1:24">
      <c r="A11330">
        <f>HYPERLINK("https://www.philgeps.gov.ph/GEPSNONPILOT/Tender/SplashBidNoticeAbstractUI.aspx?menuIndex=3&amp;refID=7049857&amp;Result=3","7049857")</f>
        <v>0</v>
      </c>
      <c r="B11330" t="s">
        <v>2412</v>
      </c>
      <c r="C11330" t="s">
        <v>10805</v>
      </c>
      <c r="D11330" t="s">
        <v>16610</v>
      </c>
      <c r="E11330" t="s">
        <v>26520</v>
      </c>
      <c r="F11330" t="s">
        <v>28671</v>
      </c>
      <c r="G11330" t="s">
        <v>28675</v>
      </c>
      <c r="H11330" t="s">
        <v>9998</v>
      </c>
      <c r="I11330" t="s">
        <v>7352</v>
      </c>
      <c r="J11330" t="s">
        <v>33699</v>
      </c>
      <c r="K11330" t="s">
        <v>37204</v>
      </c>
      <c r="L11330" t="s">
        <v>2412</v>
      </c>
      <c r="M11330" t="s">
        <v>40094</v>
      </c>
      <c r="N11330" t="s">
        <v>41249</v>
      </c>
      <c r="O11330" t="s">
        <v>41250</v>
      </c>
      <c r="P11330">
        <v>0</v>
      </c>
      <c r="Q11330">
        <v>0</v>
      </c>
      <c r="R11330" t="s">
        <v>41265</v>
      </c>
      <c r="S11330" t="s">
        <v>41880</v>
      </c>
      <c r="T11330" t="s">
        <v>42992</v>
      </c>
      <c r="U11330" t="s">
        <v>52285</v>
      </c>
      <c r="W11330" t="s">
        <v>40094</v>
      </c>
      <c r="X11330" t="s">
        <v>41266</v>
      </c>
    </row>
    <row r="11331" spans="1:24">
      <c r="A11331">
        <f>HYPERLINK("https://www.philgeps.gov.ph/GEPSNONPILOT/Tender/SplashBidNoticeAbstractUI.aspx?menuIndex=3&amp;refID=7049845&amp;Result=3","7049845")</f>
        <v>0</v>
      </c>
      <c r="B11331" t="s">
        <v>1951</v>
      </c>
      <c r="C11331" t="s">
        <v>14215</v>
      </c>
      <c r="D11331" t="s">
        <v>16610</v>
      </c>
      <c r="E11331" t="s">
        <v>17112</v>
      </c>
      <c r="F11331" t="s">
        <v>28669</v>
      </c>
      <c r="G11331" t="s">
        <v>28675</v>
      </c>
      <c r="H11331" t="s">
        <v>9998</v>
      </c>
      <c r="I11331" t="s">
        <v>3718</v>
      </c>
      <c r="J11331" t="s">
        <v>31631</v>
      </c>
      <c r="K11331" t="s">
        <v>37205</v>
      </c>
      <c r="M11331" t="s">
        <v>39582</v>
      </c>
      <c r="N11331" t="s">
        <v>41249</v>
      </c>
      <c r="O11331" t="s">
        <v>41250</v>
      </c>
      <c r="P11331">
        <v>0</v>
      </c>
      <c r="Q11331">
        <v>3</v>
      </c>
      <c r="R11331" t="s">
        <v>41265</v>
      </c>
      <c r="S11331" t="s">
        <v>41880</v>
      </c>
      <c r="T11331" t="s">
        <v>42856</v>
      </c>
      <c r="U11331" t="s">
        <v>52286</v>
      </c>
      <c r="W11331" t="s">
        <v>39582</v>
      </c>
      <c r="X11331" t="s">
        <v>41266</v>
      </c>
    </row>
    <row r="11332" spans="1:24">
      <c r="A11332">
        <f>HYPERLINK("https://www.philgeps.gov.ph/GEPSNONPILOT/Tender/SplashBidNoticeAbstractUI.aspx?menuIndex=3&amp;refID=7049960&amp;Result=3","7049960")</f>
        <v>0</v>
      </c>
      <c r="B11332" t="s">
        <v>3091</v>
      </c>
      <c r="C11332" t="s">
        <v>14216</v>
      </c>
      <c r="D11332" t="s">
        <v>16620</v>
      </c>
      <c r="E11332" t="s">
        <v>16864</v>
      </c>
      <c r="F11332" t="s">
        <v>28669</v>
      </c>
      <c r="G11332" t="s">
        <v>28675</v>
      </c>
      <c r="H11332" t="s">
        <v>28686</v>
      </c>
      <c r="I11332" t="s">
        <v>28689</v>
      </c>
      <c r="J11332" t="s">
        <v>35798</v>
      </c>
      <c r="K11332" t="s">
        <v>37215</v>
      </c>
      <c r="M11332" t="s">
        <v>40877</v>
      </c>
      <c r="N11332" t="s">
        <v>41249</v>
      </c>
      <c r="O11332" t="s">
        <v>41250</v>
      </c>
      <c r="P11332">
        <v>0</v>
      </c>
      <c r="Q11332">
        <v>2</v>
      </c>
      <c r="R11332" t="s">
        <v>41265</v>
      </c>
      <c r="S11332" t="s">
        <v>41880</v>
      </c>
      <c r="T11332" t="s">
        <v>42714</v>
      </c>
      <c r="U11332" t="s">
        <v>52287</v>
      </c>
      <c r="V11332" t="s">
        <v>55596</v>
      </c>
      <c r="W11332" t="s">
        <v>40877</v>
      </c>
      <c r="X11332" t="s">
        <v>41266</v>
      </c>
    </row>
    <row r="11333" spans="1:24">
      <c r="A11333">
        <f>HYPERLINK("https://www.philgeps.gov.ph/GEPSNONPILOT/Tender/SplashBidNoticeAbstractUI.aspx?menuIndex=3&amp;refID=7049946&amp;Result=3","7049946")</f>
        <v>0</v>
      </c>
      <c r="B11333" t="s">
        <v>3092</v>
      </c>
      <c r="C11333" t="s">
        <v>14217</v>
      </c>
      <c r="D11333" t="s">
        <v>16636</v>
      </c>
      <c r="E11333" t="s">
        <v>26521</v>
      </c>
      <c r="F11333" t="s">
        <v>28669</v>
      </c>
      <c r="G11333" t="s">
        <v>28675</v>
      </c>
      <c r="H11333" t="s">
        <v>28686</v>
      </c>
      <c r="I11333" t="s">
        <v>28689</v>
      </c>
      <c r="J11333" t="s">
        <v>30929</v>
      </c>
      <c r="K11333" t="s">
        <v>37465</v>
      </c>
      <c r="M11333" t="s">
        <v>40878</v>
      </c>
      <c r="N11333" t="s">
        <v>41249</v>
      </c>
      <c r="O11333" t="s">
        <v>41250</v>
      </c>
      <c r="Q11333">
        <v>0</v>
      </c>
      <c r="R11333" t="s">
        <v>41265</v>
      </c>
      <c r="S11333" t="s">
        <v>41903</v>
      </c>
      <c r="T11333" t="s">
        <v>42690</v>
      </c>
      <c r="U11333" t="s">
        <v>52288</v>
      </c>
      <c r="W11333" t="s">
        <v>40878</v>
      </c>
      <c r="X11333" t="s">
        <v>41266</v>
      </c>
    </row>
    <row r="11334" spans="1:24">
      <c r="A11334">
        <f>HYPERLINK("https://www.philgeps.gov.ph/GEPSNONPILOT/Tender/SplashBidNoticeAbstractUI.aspx?menuIndex=3&amp;refID=7049558&amp;Result=3","7049558")</f>
        <v>0</v>
      </c>
      <c r="B11334" t="s">
        <v>853</v>
      </c>
      <c r="C11334" t="s">
        <v>14218</v>
      </c>
      <c r="D11334" t="s">
        <v>16608</v>
      </c>
      <c r="E11334" t="s">
        <v>26522</v>
      </c>
      <c r="F11334" t="s">
        <v>28669</v>
      </c>
      <c r="G11334" t="s">
        <v>28675</v>
      </c>
      <c r="H11334" t="s">
        <v>28684</v>
      </c>
      <c r="I11334" t="s">
        <v>28785</v>
      </c>
      <c r="J11334" t="s">
        <v>35799</v>
      </c>
      <c r="K11334" t="s">
        <v>37213</v>
      </c>
      <c r="M11334" t="s">
        <v>38369</v>
      </c>
      <c r="N11334" t="s">
        <v>41249</v>
      </c>
      <c r="O11334" t="s">
        <v>41250</v>
      </c>
      <c r="Q11334">
        <v>13</v>
      </c>
      <c r="R11334" t="s">
        <v>41265</v>
      </c>
      <c r="S11334" t="s">
        <v>41904</v>
      </c>
      <c r="T11334" t="s">
        <v>42678</v>
      </c>
      <c r="U11334" t="s">
        <v>44874</v>
      </c>
      <c r="V11334" t="s">
        <v>54494</v>
      </c>
      <c r="W11334" t="s">
        <v>38369</v>
      </c>
      <c r="X11334" t="s">
        <v>41267</v>
      </c>
    </row>
    <row r="11335" spans="1:24">
      <c r="A11335">
        <f>HYPERLINK("https://www.philgeps.gov.ph/GEPSNONPILOT/Tender/SplashBidNoticeAbstractUI.aspx?menuIndex=3&amp;refID=7049936&amp;Result=3","7049936")</f>
        <v>0</v>
      </c>
      <c r="B11335" t="s">
        <v>3091</v>
      </c>
      <c r="C11335" t="s">
        <v>14219</v>
      </c>
      <c r="D11335" t="s">
        <v>16620</v>
      </c>
      <c r="E11335" t="s">
        <v>23803</v>
      </c>
      <c r="F11335" t="s">
        <v>28669</v>
      </c>
      <c r="G11335" t="s">
        <v>28675</v>
      </c>
      <c r="H11335" t="s">
        <v>28686</v>
      </c>
      <c r="I11335" t="s">
        <v>28689</v>
      </c>
      <c r="J11335" t="s">
        <v>29053</v>
      </c>
      <c r="K11335" t="s">
        <v>37215</v>
      </c>
      <c r="M11335" t="s">
        <v>40877</v>
      </c>
      <c r="N11335" t="s">
        <v>41249</v>
      </c>
      <c r="O11335" t="s">
        <v>41250</v>
      </c>
      <c r="P11335">
        <v>0</v>
      </c>
      <c r="Q11335">
        <v>3</v>
      </c>
      <c r="R11335" t="s">
        <v>41265</v>
      </c>
      <c r="S11335" t="s">
        <v>41880</v>
      </c>
      <c r="T11335" t="s">
        <v>42714</v>
      </c>
      <c r="U11335" t="s">
        <v>52289</v>
      </c>
      <c r="V11335" t="s">
        <v>55597</v>
      </c>
      <c r="W11335" t="s">
        <v>40877</v>
      </c>
      <c r="X11335" t="s">
        <v>41266</v>
      </c>
    </row>
    <row r="11336" spans="1:24">
      <c r="A11336">
        <f>HYPERLINK("https://www.philgeps.gov.ph/GEPSNONPILOT/Tender/SplashBidNoticeAbstractUI.aspx?menuIndex=3&amp;refID=7049924&amp;Result=3","7049924")</f>
        <v>0</v>
      </c>
      <c r="B11336" t="s">
        <v>3092</v>
      </c>
      <c r="C11336" t="s">
        <v>14220</v>
      </c>
      <c r="D11336" t="s">
        <v>16636</v>
      </c>
      <c r="E11336" t="s">
        <v>26523</v>
      </c>
      <c r="F11336" t="s">
        <v>28669</v>
      </c>
      <c r="G11336" t="s">
        <v>28675</v>
      </c>
      <c r="H11336" t="s">
        <v>28686</v>
      </c>
      <c r="I11336" t="s">
        <v>28689</v>
      </c>
      <c r="J11336" t="s">
        <v>35800</v>
      </c>
      <c r="K11336" t="s">
        <v>37423</v>
      </c>
      <c r="M11336" t="s">
        <v>40878</v>
      </c>
      <c r="N11336" t="s">
        <v>41249</v>
      </c>
      <c r="O11336" t="s">
        <v>41250</v>
      </c>
      <c r="Q11336">
        <v>0</v>
      </c>
      <c r="R11336" t="s">
        <v>41265</v>
      </c>
      <c r="S11336" t="s">
        <v>41905</v>
      </c>
      <c r="T11336" t="s">
        <v>42690</v>
      </c>
      <c r="U11336" t="s">
        <v>52290</v>
      </c>
      <c r="W11336" t="s">
        <v>40878</v>
      </c>
      <c r="X11336" t="s">
        <v>41266</v>
      </c>
    </row>
    <row r="11337" spans="1:24">
      <c r="A11337">
        <f>HYPERLINK("https://www.philgeps.gov.ph/GEPSNONPILOT/Tender/SplashBidNoticeAbstractUI.aspx?menuIndex=3&amp;refID=7050006&amp;Result=3","7050006")</f>
        <v>0</v>
      </c>
      <c r="B11337" t="s">
        <v>79</v>
      </c>
      <c r="C11337" t="s">
        <v>14221</v>
      </c>
      <c r="D11337" t="s">
        <v>16649</v>
      </c>
      <c r="E11337" t="s">
        <v>16815</v>
      </c>
      <c r="F11337" t="s">
        <v>28669</v>
      </c>
      <c r="G11337" t="s">
        <v>28675</v>
      </c>
      <c r="H11337" t="s">
        <v>9998</v>
      </c>
      <c r="I11337" t="s">
        <v>28687</v>
      </c>
      <c r="J11337" t="s">
        <v>35801</v>
      </c>
      <c r="K11337" t="s">
        <v>37209</v>
      </c>
      <c r="M11337" t="s">
        <v>37554</v>
      </c>
      <c r="N11337" t="s">
        <v>41249</v>
      </c>
      <c r="O11337" t="s">
        <v>41250</v>
      </c>
      <c r="P11337">
        <v>0</v>
      </c>
      <c r="Q11337">
        <v>4</v>
      </c>
      <c r="R11337" t="s">
        <v>41265</v>
      </c>
      <c r="S11337" t="s">
        <v>41880</v>
      </c>
      <c r="T11337" t="s">
        <v>42679</v>
      </c>
      <c r="U11337" t="s">
        <v>52291</v>
      </c>
      <c r="V11337" t="s">
        <v>55598</v>
      </c>
      <c r="W11337" t="s">
        <v>37554</v>
      </c>
      <c r="X11337" t="s">
        <v>41266</v>
      </c>
    </row>
    <row r="11338" spans="1:24">
      <c r="A11338">
        <f>HYPERLINK("https://www.philgeps.gov.ph/GEPSNONPILOT/Tender/SplashBidNoticeAbstractUI.aspx?menuIndex=3&amp;refID=7049561&amp;Result=3","7049561")</f>
        <v>0</v>
      </c>
      <c r="B11338" t="s">
        <v>1571</v>
      </c>
      <c r="C11338" t="s">
        <v>14222</v>
      </c>
      <c r="D11338" t="s">
        <v>16636</v>
      </c>
      <c r="E11338" t="s">
        <v>26524</v>
      </c>
      <c r="F11338" t="s">
        <v>28669</v>
      </c>
      <c r="G11338" t="s">
        <v>28675</v>
      </c>
      <c r="H11338" t="s">
        <v>28685</v>
      </c>
      <c r="I11338" t="s">
        <v>28813</v>
      </c>
      <c r="J11338" t="s">
        <v>29847</v>
      </c>
      <c r="K11338" t="s">
        <v>37270</v>
      </c>
      <c r="M11338" t="s">
        <v>39151</v>
      </c>
      <c r="N11338" t="s">
        <v>41249</v>
      </c>
      <c r="O11338" t="s">
        <v>41250</v>
      </c>
      <c r="Q11338">
        <v>12</v>
      </c>
      <c r="R11338" t="s">
        <v>41265</v>
      </c>
      <c r="S11338" t="s">
        <v>41906</v>
      </c>
      <c r="T11338" t="s">
        <v>42739</v>
      </c>
      <c r="U11338" t="s">
        <v>52292</v>
      </c>
      <c r="W11338" t="s">
        <v>39151</v>
      </c>
      <c r="X11338" t="s">
        <v>41267</v>
      </c>
    </row>
    <row r="11339" spans="1:24">
      <c r="A11339">
        <f>HYPERLINK("https://www.philgeps.gov.ph/GEPSNONPILOT/Tender/SplashBidNoticeAbstractUI.aspx?menuIndex=3&amp;refID=7049923&amp;Result=3","7049923")</f>
        <v>0</v>
      </c>
      <c r="B11339" t="s">
        <v>2444</v>
      </c>
      <c r="C11339" t="s">
        <v>14223</v>
      </c>
      <c r="D11339" t="s">
        <v>16610</v>
      </c>
      <c r="E11339" t="s">
        <v>26525</v>
      </c>
      <c r="F11339" t="s">
        <v>28669</v>
      </c>
      <c r="G11339" t="s">
        <v>28675</v>
      </c>
      <c r="H11339" t="s">
        <v>9998</v>
      </c>
      <c r="I11339" t="s">
        <v>28704</v>
      </c>
      <c r="J11339" t="s">
        <v>35802</v>
      </c>
      <c r="K11339" t="s">
        <v>37220</v>
      </c>
      <c r="M11339" t="s">
        <v>40127</v>
      </c>
      <c r="N11339" t="s">
        <v>41249</v>
      </c>
      <c r="O11339" t="s">
        <v>41250</v>
      </c>
      <c r="P11339">
        <v>0</v>
      </c>
      <c r="Q11339">
        <v>4</v>
      </c>
      <c r="R11339" t="s">
        <v>41265</v>
      </c>
      <c r="S11339" t="s">
        <v>41880</v>
      </c>
      <c r="T11339" t="s">
        <v>42836</v>
      </c>
      <c r="U11339" t="s">
        <v>52293</v>
      </c>
      <c r="W11339" t="s">
        <v>40127</v>
      </c>
      <c r="X11339" t="s">
        <v>41266</v>
      </c>
    </row>
    <row r="11340" spans="1:24">
      <c r="A11340">
        <f>HYPERLINK("https://www.philgeps.gov.ph/GEPSNONPILOT/Tender/SplashBidNoticeAbstractUI.aspx?menuIndex=3&amp;refID=7049984&amp;Result=3","7049984")</f>
        <v>0</v>
      </c>
      <c r="B11340" t="s">
        <v>853</v>
      </c>
      <c r="C11340" t="s">
        <v>14224</v>
      </c>
      <c r="D11340" t="s">
        <v>16608</v>
      </c>
      <c r="E11340" t="s">
        <v>26526</v>
      </c>
      <c r="F11340" t="s">
        <v>28669</v>
      </c>
      <c r="G11340" t="s">
        <v>28675</v>
      </c>
      <c r="H11340" t="s">
        <v>28684</v>
      </c>
      <c r="I11340" t="s">
        <v>28785</v>
      </c>
      <c r="J11340" t="s">
        <v>35803</v>
      </c>
      <c r="K11340" t="s">
        <v>37221</v>
      </c>
      <c r="M11340" t="s">
        <v>38369</v>
      </c>
      <c r="N11340" t="s">
        <v>41249</v>
      </c>
      <c r="O11340" t="s">
        <v>41250</v>
      </c>
      <c r="Q11340">
        <v>5</v>
      </c>
      <c r="R11340" t="s">
        <v>41265</v>
      </c>
      <c r="S11340" t="s">
        <v>41907</v>
      </c>
      <c r="T11340" t="s">
        <v>42678</v>
      </c>
      <c r="U11340" t="s">
        <v>44874</v>
      </c>
      <c r="V11340" t="s">
        <v>54493</v>
      </c>
      <c r="W11340" t="s">
        <v>38369</v>
      </c>
      <c r="X11340" t="s">
        <v>41266</v>
      </c>
    </row>
    <row r="11341" spans="1:24">
      <c r="A11341">
        <f>HYPERLINK("https://www.philgeps.gov.ph/GEPSNONPILOT/Tender/SplashBidNoticeAbstractUI.aspx?menuIndex=3&amp;refID=7049917&amp;Result=3","7049917")</f>
        <v>0</v>
      </c>
      <c r="B11341" t="s">
        <v>853</v>
      </c>
      <c r="C11341" t="s">
        <v>14225</v>
      </c>
      <c r="D11341" t="s">
        <v>16627</v>
      </c>
      <c r="E11341" t="s">
        <v>26527</v>
      </c>
      <c r="F11341" t="s">
        <v>28669</v>
      </c>
      <c r="G11341" t="s">
        <v>28675</v>
      </c>
      <c r="H11341" t="s">
        <v>28684</v>
      </c>
      <c r="I11341" t="s">
        <v>6458</v>
      </c>
      <c r="J11341" t="s">
        <v>29112</v>
      </c>
      <c r="K11341" t="s">
        <v>37333</v>
      </c>
      <c r="M11341" t="s">
        <v>38369</v>
      </c>
      <c r="N11341" t="s">
        <v>41249</v>
      </c>
      <c r="O11341" t="s">
        <v>41250</v>
      </c>
      <c r="Q11341">
        <v>0</v>
      </c>
      <c r="R11341" t="s">
        <v>41265</v>
      </c>
      <c r="S11341" t="s">
        <v>41908</v>
      </c>
      <c r="T11341" t="s">
        <v>42678</v>
      </c>
      <c r="U11341" t="s">
        <v>44874</v>
      </c>
      <c r="V11341" t="s">
        <v>54493</v>
      </c>
      <c r="W11341" t="s">
        <v>38369</v>
      </c>
      <c r="X11341" t="s">
        <v>41266</v>
      </c>
    </row>
    <row r="11342" spans="1:24">
      <c r="A11342">
        <f>HYPERLINK("https://www.philgeps.gov.ph/GEPSNONPILOT/Tender/SplashBidNoticeAbstractUI.aspx?menuIndex=3&amp;refID=7049909&amp;Result=3","7049909")</f>
        <v>0</v>
      </c>
      <c r="B11342" t="s">
        <v>3093</v>
      </c>
      <c r="C11342" t="s">
        <v>14226</v>
      </c>
      <c r="D11342" t="s">
        <v>16630</v>
      </c>
      <c r="E11342" t="s">
        <v>25328</v>
      </c>
      <c r="F11342" t="s">
        <v>28669</v>
      </c>
      <c r="G11342" t="s">
        <v>28675</v>
      </c>
      <c r="H11342" t="s">
        <v>9998</v>
      </c>
      <c r="I11342" t="s">
        <v>7352</v>
      </c>
      <c r="J11342" t="s">
        <v>35804</v>
      </c>
      <c r="K11342" t="s">
        <v>37243</v>
      </c>
      <c r="M11342" t="s">
        <v>40879</v>
      </c>
      <c r="N11342" t="s">
        <v>41249</v>
      </c>
      <c r="O11342" t="s">
        <v>41250</v>
      </c>
      <c r="P11342">
        <v>0</v>
      </c>
      <c r="Q11342">
        <v>0</v>
      </c>
      <c r="R11342" t="s">
        <v>41265</v>
      </c>
      <c r="S11342" t="s">
        <v>41880</v>
      </c>
      <c r="T11342" t="s">
        <v>42727</v>
      </c>
      <c r="U11342" t="s">
        <v>52294</v>
      </c>
      <c r="W11342" t="s">
        <v>40879</v>
      </c>
      <c r="X11342" t="s">
        <v>41266</v>
      </c>
    </row>
    <row r="11343" spans="1:24">
      <c r="A11343">
        <f>HYPERLINK("https://www.philgeps.gov.ph/GEPSNONPILOT/Tender/SplashBidNoticeAbstractUI.aspx?menuIndex=3&amp;refID=7049907&amp;Result=3","7049907")</f>
        <v>0</v>
      </c>
      <c r="B11343" t="s">
        <v>318</v>
      </c>
      <c r="C11343" t="s">
        <v>14227</v>
      </c>
      <c r="D11343" t="s">
        <v>16619</v>
      </c>
      <c r="E11343" t="s">
        <v>25634</v>
      </c>
      <c r="F11343" t="s">
        <v>28669</v>
      </c>
      <c r="G11343" t="s">
        <v>28675</v>
      </c>
      <c r="H11343" t="s">
        <v>28686</v>
      </c>
      <c r="I11343" t="s">
        <v>7352</v>
      </c>
      <c r="J11343" t="s">
        <v>29266</v>
      </c>
      <c r="K11343" t="s">
        <v>37212</v>
      </c>
      <c r="M11343" t="s">
        <v>37798</v>
      </c>
      <c r="N11343" t="s">
        <v>41249</v>
      </c>
      <c r="O11343" t="s">
        <v>41250</v>
      </c>
      <c r="Q11343">
        <v>1</v>
      </c>
      <c r="R11343" t="s">
        <v>41265</v>
      </c>
      <c r="S11343" t="s">
        <v>41909</v>
      </c>
      <c r="T11343" t="s">
        <v>42742</v>
      </c>
      <c r="U11343" t="s">
        <v>52295</v>
      </c>
      <c r="W11343" t="s">
        <v>37798</v>
      </c>
      <c r="X11343" t="s">
        <v>41266</v>
      </c>
    </row>
    <row r="11344" spans="1:24">
      <c r="A11344">
        <f>HYPERLINK("https://www.philgeps.gov.ph/GEPSNONPILOT/Tender/SplashBidNoticeAbstractUI.aspx?menuIndex=3&amp;refID=7049966&amp;Result=3","7049966")</f>
        <v>0</v>
      </c>
      <c r="B11344" t="s">
        <v>3092</v>
      </c>
      <c r="C11344" t="s">
        <v>14228</v>
      </c>
      <c r="D11344" t="s">
        <v>16636</v>
      </c>
      <c r="E11344" t="s">
        <v>26528</v>
      </c>
      <c r="F11344" t="s">
        <v>28669</v>
      </c>
      <c r="G11344" t="s">
        <v>28675</v>
      </c>
      <c r="H11344" t="s">
        <v>28686</v>
      </c>
      <c r="I11344" t="s">
        <v>28689</v>
      </c>
      <c r="J11344" t="s">
        <v>31645</v>
      </c>
      <c r="K11344" t="s">
        <v>37285</v>
      </c>
      <c r="M11344" t="s">
        <v>40878</v>
      </c>
      <c r="N11344" t="s">
        <v>41249</v>
      </c>
      <c r="O11344" t="s">
        <v>41250</v>
      </c>
      <c r="Q11344">
        <v>1</v>
      </c>
      <c r="R11344" t="s">
        <v>41265</v>
      </c>
      <c r="S11344" t="s">
        <v>41910</v>
      </c>
      <c r="T11344" t="s">
        <v>42690</v>
      </c>
      <c r="U11344" t="s">
        <v>52296</v>
      </c>
      <c r="W11344" t="s">
        <v>40878</v>
      </c>
      <c r="X11344" t="s">
        <v>41266</v>
      </c>
    </row>
    <row r="11345" spans="1:24">
      <c r="A11345">
        <f>HYPERLINK("https://www.philgeps.gov.ph/GEPSNONPILOT/Tender/SplashBidNoticeAbstractUI.aspx?menuIndex=3&amp;refID=7049903&amp;Result=3","7049903")</f>
        <v>0</v>
      </c>
      <c r="B11345" t="s">
        <v>853</v>
      </c>
      <c r="C11345" t="s">
        <v>14229</v>
      </c>
      <c r="D11345" t="s">
        <v>16643</v>
      </c>
      <c r="E11345" t="s">
        <v>26529</v>
      </c>
      <c r="F11345" t="s">
        <v>28669</v>
      </c>
      <c r="G11345" t="s">
        <v>28675</v>
      </c>
      <c r="H11345" t="s">
        <v>28684</v>
      </c>
      <c r="I11345" t="s">
        <v>10128</v>
      </c>
      <c r="J11345" t="s">
        <v>35805</v>
      </c>
      <c r="K11345" t="s">
        <v>37399</v>
      </c>
      <c r="M11345" t="s">
        <v>38369</v>
      </c>
      <c r="N11345" t="s">
        <v>41249</v>
      </c>
      <c r="O11345" t="s">
        <v>41250</v>
      </c>
      <c r="Q11345">
        <v>2</v>
      </c>
      <c r="R11345" t="s">
        <v>41265</v>
      </c>
      <c r="S11345" t="s">
        <v>41911</v>
      </c>
      <c r="T11345" t="s">
        <v>42678</v>
      </c>
      <c r="U11345" t="s">
        <v>44874</v>
      </c>
      <c r="V11345" t="s">
        <v>54493</v>
      </c>
      <c r="W11345" t="s">
        <v>38369</v>
      </c>
      <c r="X11345" t="s">
        <v>41266</v>
      </c>
    </row>
    <row r="11346" spans="1:24">
      <c r="A11346">
        <f>HYPERLINK("https://www.philgeps.gov.ph/GEPSNONPILOT/Tender/SplashBidNoticeAbstractUI.aspx?menuIndex=3&amp;refID=7049901&amp;Result=3","7049901")</f>
        <v>0</v>
      </c>
      <c r="B11346" t="s">
        <v>3094</v>
      </c>
      <c r="C11346" t="s">
        <v>14230</v>
      </c>
      <c r="D11346" t="s">
        <v>16645</v>
      </c>
      <c r="E11346" t="s">
        <v>26530</v>
      </c>
      <c r="F11346" t="s">
        <v>28669</v>
      </c>
      <c r="G11346" t="s">
        <v>28675</v>
      </c>
      <c r="H11346" t="s">
        <v>9998</v>
      </c>
      <c r="I11346" t="s">
        <v>28695</v>
      </c>
      <c r="J11346" t="s">
        <v>28879</v>
      </c>
      <c r="K11346" t="s">
        <v>37205</v>
      </c>
      <c r="M11346" t="s">
        <v>40880</v>
      </c>
      <c r="N11346" t="s">
        <v>41249</v>
      </c>
      <c r="O11346" t="s">
        <v>41250</v>
      </c>
      <c r="P11346">
        <v>0</v>
      </c>
      <c r="Q11346">
        <v>0</v>
      </c>
      <c r="R11346" t="s">
        <v>41265</v>
      </c>
      <c r="S11346" t="s">
        <v>41880</v>
      </c>
      <c r="T11346" t="s">
        <v>42678</v>
      </c>
      <c r="U11346" t="s">
        <v>52297</v>
      </c>
      <c r="W11346" t="s">
        <v>40880</v>
      </c>
      <c r="X11346" t="s">
        <v>41266</v>
      </c>
    </row>
    <row r="11347" spans="1:24">
      <c r="A11347">
        <f>HYPERLINK("https://www.philgeps.gov.ph/GEPSNONPILOT/Tender/SplashBidNoticeAbstractUI.aspx?menuIndex=3&amp;refID=7049879&amp;Result=3","7049879")</f>
        <v>0</v>
      </c>
      <c r="B11347" t="s">
        <v>3094</v>
      </c>
      <c r="C11347" t="s">
        <v>14231</v>
      </c>
      <c r="D11347" t="s">
        <v>16645</v>
      </c>
      <c r="E11347" t="s">
        <v>26531</v>
      </c>
      <c r="F11347" t="s">
        <v>28669</v>
      </c>
      <c r="G11347" t="s">
        <v>28675</v>
      </c>
      <c r="H11347" t="s">
        <v>9998</v>
      </c>
      <c r="I11347" t="s">
        <v>7352</v>
      </c>
      <c r="J11347" t="s">
        <v>28894</v>
      </c>
      <c r="K11347" t="s">
        <v>37205</v>
      </c>
      <c r="M11347" t="s">
        <v>40880</v>
      </c>
      <c r="N11347" t="s">
        <v>41249</v>
      </c>
      <c r="O11347" t="s">
        <v>41250</v>
      </c>
      <c r="P11347">
        <v>0</v>
      </c>
      <c r="Q11347">
        <v>0</v>
      </c>
      <c r="R11347" t="s">
        <v>41265</v>
      </c>
      <c r="S11347" t="s">
        <v>41880</v>
      </c>
      <c r="T11347" t="s">
        <v>42678</v>
      </c>
      <c r="U11347" t="s">
        <v>52298</v>
      </c>
      <c r="W11347" t="s">
        <v>40880</v>
      </c>
      <c r="X11347" t="s">
        <v>41266</v>
      </c>
    </row>
    <row r="11348" spans="1:24">
      <c r="A11348">
        <f>HYPERLINK("https://www.philgeps.gov.ph/GEPSNONPILOT/Tender/SplashBidNoticeAbstractUI.aspx?menuIndex=3&amp;refID=7050093&amp;Result=3","7050093")</f>
        <v>0</v>
      </c>
      <c r="B11348" t="s">
        <v>3095</v>
      </c>
      <c r="C11348" t="s">
        <v>14232</v>
      </c>
      <c r="D11348" t="s">
        <v>16675</v>
      </c>
      <c r="E11348" t="s">
        <v>26532</v>
      </c>
      <c r="F11348" t="s">
        <v>28669</v>
      </c>
      <c r="G11348" t="s">
        <v>28675</v>
      </c>
      <c r="H11348" t="s">
        <v>9998</v>
      </c>
      <c r="I11348" t="s">
        <v>28713</v>
      </c>
      <c r="J11348" t="s">
        <v>29053</v>
      </c>
      <c r="K11348" t="s">
        <v>37209</v>
      </c>
      <c r="M11348" t="s">
        <v>40881</v>
      </c>
      <c r="N11348" t="s">
        <v>41249</v>
      </c>
      <c r="O11348" t="s">
        <v>41250</v>
      </c>
      <c r="Q11348">
        <v>43</v>
      </c>
      <c r="R11348" t="s">
        <v>41265</v>
      </c>
      <c r="S11348" t="s">
        <v>41912</v>
      </c>
      <c r="T11348" t="s">
        <v>42711</v>
      </c>
      <c r="U11348" t="s">
        <v>50974</v>
      </c>
      <c r="W11348" t="s">
        <v>40881</v>
      </c>
      <c r="X11348" t="s">
        <v>41266</v>
      </c>
    </row>
    <row r="11349" spans="1:24">
      <c r="A11349">
        <f>HYPERLINK("https://www.philgeps.gov.ph/GEPSNONPILOT/Tender/SplashBidNoticeAbstractUI.aspx?menuIndex=3&amp;refID=7049228&amp;Result=3","7049228")</f>
        <v>0</v>
      </c>
      <c r="B11349" t="s">
        <v>3084</v>
      </c>
      <c r="C11349" t="s">
        <v>14233</v>
      </c>
      <c r="D11349" t="s">
        <v>16624</v>
      </c>
      <c r="E11349" t="s">
        <v>26533</v>
      </c>
      <c r="F11349" t="s">
        <v>28669</v>
      </c>
      <c r="G11349" t="s">
        <v>28675</v>
      </c>
      <c r="H11349" t="s">
        <v>28686</v>
      </c>
      <c r="I11349" t="s">
        <v>28689</v>
      </c>
      <c r="J11349" t="s">
        <v>28836</v>
      </c>
      <c r="K11349" t="s">
        <v>37221</v>
      </c>
      <c r="M11349" t="s">
        <v>40868</v>
      </c>
      <c r="N11349" t="s">
        <v>41249</v>
      </c>
      <c r="O11349" t="s">
        <v>41250</v>
      </c>
      <c r="P11349">
        <v>0</v>
      </c>
      <c r="Q11349">
        <v>0</v>
      </c>
      <c r="R11349" t="s">
        <v>41265</v>
      </c>
      <c r="S11349" t="s">
        <v>41880</v>
      </c>
      <c r="T11349" t="s">
        <v>43129</v>
      </c>
      <c r="U11349" t="s">
        <v>52272</v>
      </c>
      <c r="V11349" t="s">
        <v>55599</v>
      </c>
      <c r="W11349" t="s">
        <v>40868</v>
      </c>
      <c r="X11349" t="s">
        <v>41267</v>
      </c>
    </row>
    <row r="11350" spans="1:24">
      <c r="A11350">
        <f>HYPERLINK("https://www.philgeps.gov.ph/GEPSNONPILOT/Tender/SplashBidNoticeAbstractUI.aspx?menuIndex=3&amp;refID=7049982&amp;Result=3","7049982")</f>
        <v>0</v>
      </c>
      <c r="B11350" t="s">
        <v>3092</v>
      </c>
      <c r="C11350" t="s">
        <v>14234</v>
      </c>
      <c r="D11350" t="s">
        <v>16636</v>
      </c>
      <c r="E11350" t="s">
        <v>26534</v>
      </c>
      <c r="F11350" t="s">
        <v>28669</v>
      </c>
      <c r="G11350" t="s">
        <v>28675</v>
      </c>
      <c r="H11350" t="s">
        <v>9998</v>
      </c>
      <c r="I11350" t="s">
        <v>28689</v>
      </c>
      <c r="J11350" t="s">
        <v>35806</v>
      </c>
      <c r="K11350" t="s">
        <v>37205</v>
      </c>
      <c r="M11350" t="s">
        <v>40878</v>
      </c>
      <c r="N11350" t="s">
        <v>41249</v>
      </c>
      <c r="O11350" t="s">
        <v>41250</v>
      </c>
      <c r="Q11350">
        <v>0</v>
      </c>
      <c r="R11350" t="s">
        <v>41265</v>
      </c>
      <c r="S11350" t="s">
        <v>41913</v>
      </c>
      <c r="T11350" t="s">
        <v>42690</v>
      </c>
      <c r="U11350" t="s">
        <v>52299</v>
      </c>
      <c r="W11350" t="s">
        <v>40878</v>
      </c>
      <c r="X11350" t="s">
        <v>41266</v>
      </c>
    </row>
    <row r="11351" spans="1:24">
      <c r="A11351">
        <f>HYPERLINK("https://www.philgeps.gov.ph/GEPSNONPILOT/Tender/SplashBidNoticeAbstractUI.aspx?menuIndex=3&amp;refID=7050138&amp;Result=3","7050138")</f>
        <v>0</v>
      </c>
      <c r="B11351" t="s">
        <v>1535</v>
      </c>
      <c r="C11351" t="s">
        <v>14235</v>
      </c>
      <c r="D11351" t="s">
        <v>16648</v>
      </c>
      <c r="E11351" t="s">
        <v>26535</v>
      </c>
      <c r="F11351" t="s">
        <v>28669</v>
      </c>
      <c r="G11351" t="s">
        <v>28675</v>
      </c>
      <c r="H11351" t="s">
        <v>28686</v>
      </c>
      <c r="I11351" t="s">
        <v>28689</v>
      </c>
      <c r="J11351" t="s">
        <v>35807</v>
      </c>
      <c r="K11351" t="s">
        <v>37209</v>
      </c>
      <c r="M11351" t="s">
        <v>39110</v>
      </c>
      <c r="N11351" t="s">
        <v>41249</v>
      </c>
      <c r="O11351" t="s">
        <v>41250</v>
      </c>
      <c r="P11351">
        <v>0</v>
      </c>
      <c r="Q11351">
        <v>0</v>
      </c>
      <c r="R11351" t="s">
        <v>41265</v>
      </c>
      <c r="S11351" t="s">
        <v>41880</v>
      </c>
      <c r="T11351" t="s">
        <v>42679</v>
      </c>
      <c r="U11351" t="s">
        <v>52300</v>
      </c>
      <c r="W11351" t="s">
        <v>39110</v>
      </c>
      <c r="X11351" t="s">
        <v>41266</v>
      </c>
    </row>
    <row r="11352" spans="1:24">
      <c r="A11352">
        <f>HYPERLINK("https://www.philgeps.gov.ph/GEPSNONPILOT/Tender/SplashBidNoticeAbstractUI.aspx?menuIndex=3&amp;refID=7050127&amp;Result=3","7050127")</f>
        <v>0</v>
      </c>
      <c r="B11352" t="s">
        <v>3095</v>
      </c>
      <c r="C11352" t="s">
        <v>14236</v>
      </c>
      <c r="E11352" t="s">
        <v>26536</v>
      </c>
      <c r="F11352" t="s">
        <v>28669</v>
      </c>
      <c r="G11352" t="s">
        <v>28675</v>
      </c>
      <c r="H11352" t="s">
        <v>9998</v>
      </c>
      <c r="I11352" t="s">
        <v>28713</v>
      </c>
      <c r="J11352" t="s">
        <v>34482</v>
      </c>
      <c r="K11352" t="s">
        <v>37209</v>
      </c>
      <c r="M11352" t="s">
        <v>40881</v>
      </c>
      <c r="N11352" t="s">
        <v>41249</v>
      </c>
      <c r="O11352" t="s">
        <v>41250</v>
      </c>
      <c r="Q11352">
        <v>48</v>
      </c>
      <c r="R11352" t="s">
        <v>41265</v>
      </c>
      <c r="S11352" t="s">
        <v>41914</v>
      </c>
      <c r="T11352" t="s">
        <v>42711</v>
      </c>
      <c r="U11352" t="s">
        <v>50974</v>
      </c>
      <c r="W11352" t="s">
        <v>40881</v>
      </c>
      <c r="X11352" t="s">
        <v>41266</v>
      </c>
    </row>
    <row r="11353" spans="1:24">
      <c r="A11353">
        <f>HYPERLINK("https://www.philgeps.gov.ph/GEPSNONPILOT/Tender/SplashBidNoticeAbstractUI.aspx?menuIndex=3&amp;refID=7046735&amp;Result=3","7046735")</f>
        <v>0</v>
      </c>
      <c r="B11353" t="s">
        <v>1533</v>
      </c>
      <c r="C11353" t="s">
        <v>14237</v>
      </c>
      <c r="D11353" t="s">
        <v>16617</v>
      </c>
      <c r="E11353" t="s">
        <v>26537</v>
      </c>
      <c r="F11353" t="s">
        <v>28669</v>
      </c>
      <c r="G11353" t="s">
        <v>28675</v>
      </c>
      <c r="H11353" t="s">
        <v>9998</v>
      </c>
      <c r="I11353" t="s">
        <v>28687</v>
      </c>
      <c r="J11353" t="s">
        <v>34377</v>
      </c>
      <c r="K11353" t="s">
        <v>37209</v>
      </c>
      <c r="M11353" t="s">
        <v>40862</v>
      </c>
      <c r="N11353" t="s">
        <v>41249</v>
      </c>
      <c r="O11353" t="s">
        <v>41250</v>
      </c>
      <c r="P11353">
        <v>0</v>
      </c>
      <c r="Q11353">
        <v>7</v>
      </c>
      <c r="R11353" t="s">
        <v>41265</v>
      </c>
      <c r="S11353" t="s">
        <v>41880</v>
      </c>
      <c r="T11353" t="s">
        <v>42858</v>
      </c>
      <c r="U11353" t="s">
        <v>52301</v>
      </c>
      <c r="V11353" t="s">
        <v>55574</v>
      </c>
      <c r="W11353" t="s">
        <v>40862</v>
      </c>
      <c r="X11353" t="s">
        <v>41268</v>
      </c>
    </row>
    <row r="11354" spans="1:24">
      <c r="A11354">
        <f>HYPERLINK("https://www.philgeps.gov.ph/GEPSNONPILOT/Tender/SplashBidNoticeAbstractUI.aspx?menuIndex=3&amp;refID=7050121&amp;Result=3","7050121")</f>
        <v>0</v>
      </c>
      <c r="B11354" t="s">
        <v>977</v>
      </c>
      <c r="C11354" t="s">
        <v>14238</v>
      </c>
      <c r="D11354" t="s">
        <v>16691</v>
      </c>
      <c r="E11354" t="s">
        <v>26538</v>
      </c>
      <c r="F11354" t="s">
        <v>28669</v>
      </c>
      <c r="G11354" t="s">
        <v>28675</v>
      </c>
      <c r="H11354" t="s">
        <v>9998</v>
      </c>
      <c r="I11354" t="s">
        <v>5286</v>
      </c>
      <c r="J11354" t="s">
        <v>35808</v>
      </c>
      <c r="K11354" t="s">
        <v>37205</v>
      </c>
      <c r="M11354" t="s">
        <v>38502</v>
      </c>
      <c r="N11354" t="s">
        <v>41249</v>
      </c>
      <c r="O11354" t="s">
        <v>41250</v>
      </c>
      <c r="P11354">
        <v>0</v>
      </c>
      <c r="Q11354">
        <v>4</v>
      </c>
      <c r="R11354" t="s">
        <v>41265</v>
      </c>
      <c r="S11354" t="s">
        <v>41880</v>
      </c>
      <c r="T11354" t="s">
        <v>42836</v>
      </c>
      <c r="U11354" t="s">
        <v>52302</v>
      </c>
      <c r="W11354" t="s">
        <v>38502</v>
      </c>
      <c r="X11354" t="s">
        <v>41266</v>
      </c>
    </row>
    <row r="11355" spans="1:24">
      <c r="A11355">
        <f>HYPERLINK("https://www.philgeps.gov.ph/GEPSNONPILOT/Tender/SplashBidNoticeAbstractUI.aspx?menuIndex=3&amp;refID=7050139&amp;Result=3","7050139")</f>
        <v>0</v>
      </c>
      <c r="B11355" t="s">
        <v>1443</v>
      </c>
      <c r="C11355" t="s">
        <v>14239</v>
      </c>
      <c r="D11355" t="s">
        <v>16663</v>
      </c>
      <c r="E11355" t="s">
        <v>26539</v>
      </c>
      <c r="F11355" t="s">
        <v>28669</v>
      </c>
      <c r="G11355" t="s">
        <v>28675</v>
      </c>
      <c r="H11355" t="s">
        <v>28686</v>
      </c>
      <c r="I11355" t="s">
        <v>28689</v>
      </c>
      <c r="J11355" t="s">
        <v>35809</v>
      </c>
      <c r="K11355" t="s">
        <v>37269</v>
      </c>
      <c r="M11355" t="s">
        <v>39008</v>
      </c>
      <c r="N11355" t="s">
        <v>41249</v>
      </c>
      <c r="O11355" t="s">
        <v>41250</v>
      </c>
      <c r="P11355">
        <v>0</v>
      </c>
      <c r="Q11355">
        <v>2</v>
      </c>
      <c r="R11355" t="s">
        <v>41265</v>
      </c>
      <c r="S11355" t="s">
        <v>41880</v>
      </c>
      <c r="T11355" t="s">
        <v>42762</v>
      </c>
      <c r="U11355" t="s">
        <v>52303</v>
      </c>
      <c r="W11355" t="s">
        <v>39008</v>
      </c>
      <c r="X11355" t="s">
        <v>41266</v>
      </c>
    </row>
    <row r="11356" spans="1:24">
      <c r="A11356">
        <f>HYPERLINK("https://www.philgeps.gov.ph/GEPSNONPILOT/Tender/SplashBidNoticeAbstractUI.aspx?menuIndex=3&amp;refID=7050120&amp;Result=3","7050120")</f>
        <v>0</v>
      </c>
      <c r="B11356" t="s">
        <v>2958</v>
      </c>
      <c r="C11356" t="s">
        <v>14240</v>
      </c>
      <c r="D11356" t="s">
        <v>16609</v>
      </c>
      <c r="E11356" t="s">
        <v>26540</v>
      </c>
      <c r="F11356" t="s">
        <v>28669</v>
      </c>
      <c r="G11356" t="s">
        <v>28675</v>
      </c>
      <c r="H11356" t="s">
        <v>28686</v>
      </c>
      <c r="I11356" t="s">
        <v>28689</v>
      </c>
      <c r="J11356" t="s">
        <v>35810</v>
      </c>
      <c r="K11356" t="s">
        <v>37220</v>
      </c>
      <c r="M11356" t="s">
        <v>40718</v>
      </c>
      <c r="N11356" t="s">
        <v>41249</v>
      </c>
      <c r="O11356" t="s">
        <v>41250</v>
      </c>
      <c r="P11356">
        <v>0</v>
      </c>
      <c r="Q11356">
        <v>1</v>
      </c>
      <c r="R11356" t="s">
        <v>41265</v>
      </c>
      <c r="S11356" t="s">
        <v>41880</v>
      </c>
      <c r="T11356" t="s">
        <v>42764</v>
      </c>
      <c r="U11356" t="s">
        <v>52304</v>
      </c>
      <c r="W11356" t="s">
        <v>40718</v>
      </c>
      <c r="X11356" t="s">
        <v>41266</v>
      </c>
    </row>
    <row r="11357" spans="1:24">
      <c r="A11357">
        <f>HYPERLINK("https://www.philgeps.gov.ph/GEPSNONPILOT/Tender/SplashBidNoticeAbstractUI.aspx?menuIndex=3&amp;refID=7050117&amp;Result=3","7050117")</f>
        <v>0</v>
      </c>
      <c r="B11357" t="s">
        <v>3096</v>
      </c>
      <c r="C11357" t="s">
        <v>14241</v>
      </c>
      <c r="D11357" t="s">
        <v>16647</v>
      </c>
      <c r="E11357" t="s">
        <v>26541</v>
      </c>
      <c r="F11357" t="s">
        <v>28669</v>
      </c>
      <c r="G11357" t="s">
        <v>28675</v>
      </c>
      <c r="H11357" t="s">
        <v>28686</v>
      </c>
      <c r="I11357" t="s">
        <v>28689</v>
      </c>
      <c r="J11357" t="s">
        <v>35811</v>
      </c>
      <c r="K11357" t="s">
        <v>37343</v>
      </c>
      <c r="M11357" t="s">
        <v>40882</v>
      </c>
      <c r="N11357" t="s">
        <v>41249</v>
      </c>
      <c r="O11357" t="s">
        <v>41250</v>
      </c>
      <c r="P11357">
        <v>0</v>
      </c>
      <c r="Q11357">
        <v>6</v>
      </c>
      <c r="R11357" t="s">
        <v>41265</v>
      </c>
      <c r="S11357" t="s">
        <v>41880</v>
      </c>
      <c r="T11357" t="s">
        <v>42736</v>
      </c>
      <c r="U11357" t="s">
        <v>52305</v>
      </c>
      <c r="V11357" t="s">
        <v>55600</v>
      </c>
      <c r="W11357" t="s">
        <v>40882</v>
      </c>
      <c r="X11357" t="s">
        <v>41266</v>
      </c>
    </row>
    <row r="11358" spans="1:24">
      <c r="A11358">
        <f>HYPERLINK("https://www.philgeps.gov.ph/GEPSNONPILOT/Tender/SplashBidNoticeAbstractUI.aspx?menuIndex=3&amp;refID=7049992&amp;Result=3","7049992")</f>
        <v>0</v>
      </c>
      <c r="B11358" t="s">
        <v>1379</v>
      </c>
      <c r="C11358" t="s">
        <v>14242</v>
      </c>
      <c r="D11358" t="s">
        <v>16648</v>
      </c>
      <c r="E11358" t="s">
        <v>26542</v>
      </c>
      <c r="F11358" t="s">
        <v>28669</v>
      </c>
      <c r="G11358" t="s">
        <v>28675</v>
      </c>
      <c r="H11358" t="s">
        <v>28686</v>
      </c>
      <c r="I11358" t="s">
        <v>28689</v>
      </c>
      <c r="J11358" t="s">
        <v>35812</v>
      </c>
      <c r="K11358" t="s">
        <v>37213</v>
      </c>
      <c r="M11358" t="s">
        <v>38938</v>
      </c>
      <c r="N11358" t="s">
        <v>41249</v>
      </c>
      <c r="O11358" t="s">
        <v>41250</v>
      </c>
      <c r="P11358">
        <v>0</v>
      </c>
      <c r="Q11358">
        <v>0</v>
      </c>
      <c r="R11358" t="s">
        <v>41265</v>
      </c>
      <c r="S11358" t="s">
        <v>41880</v>
      </c>
      <c r="T11358" t="s">
        <v>42671</v>
      </c>
      <c r="U11358" t="s">
        <v>52306</v>
      </c>
      <c r="W11358" t="s">
        <v>38938</v>
      </c>
      <c r="X11358" t="s">
        <v>41266</v>
      </c>
    </row>
    <row r="11359" spans="1:24">
      <c r="A11359">
        <f>HYPERLINK("https://www.philgeps.gov.ph/GEPSNONPILOT/Tender/SplashBidNoticeAbstractUI.aspx?menuIndex=3&amp;refID=7050017&amp;Result=3","7050017")</f>
        <v>0</v>
      </c>
      <c r="B11359" t="s">
        <v>714</v>
      </c>
      <c r="C11359" t="s">
        <v>14243</v>
      </c>
      <c r="D11359" t="s">
        <v>16608</v>
      </c>
      <c r="E11359" t="s">
        <v>26543</v>
      </c>
      <c r="F11359" t="s">
        <v>28669</v>
      </c>
      <c r="G11359" t="s">
        <v>28675</v>
      </c>
      <c r="H11359" t="s">
        <v>9998</v>
      </c>
      <c r="I11359" t="s">
        <v>28687</v>
      </c>
      <c r="J11359" t="s">
        <v>34038</v>
      </c>
      <c r="K11359" t="s">
        <v>37206</v>
      </c>
      <c r="M11359" t="s">
        <v>38221</v>
      </c>
      <c r="N11359" t="s">
        <v>41249</v>
      </c>
      <c r="O11359" t="s">
        <v>41250</v>
      </c>
      <c r="P11359">
        <v>0</v>
      </c>
      <c r="Q11359">
        <v>10</v>
      </c>
      <c r="R11359" t="s">
        <v>41265</v>
      </c>
      <c r="S11359" t="s">
        <v>41880</v>
      </c>
      <c r="T11359" t="s">
        <v>42714</v>
      </c>
      <c r="U11359" t="s">
        <v>52307</v>
      </c>
      <c r="W11359" t="s">
        <v>38221</v>
      </c>
      <c r="X11359" t="s">
        <v>41266</v>
      </c>
    </row>
    <row r="11360" spans="1:24">
      <c r="A11360">
        <f>HYPERLINK("https://www.philgeps.gov.ph/GEPSNONPILOT/Tender/SplashBidNoticeAbstractUI.aspx?menuIndex=3&amp;refID=7050107&amp;Result=3","7050107")</f>
        <v>0</v>
      </c>
      <c r="B11360" t="s">
        <v>1443</v>
      </c>
      <c r="C11360" t="s">
        <v>14244</v>
      </c>
      <c r="D11360" t="s">
        <v>16663</v>
      </c>
      <c r="E11360" t="s">
        <v>26544</v>
      </c>
      <c r="F11360" t="s">
        <v>28669</v>
      </c>
      <c r="G11360" t="s">
        <v>28675</v>
      </c>
      <c r="H11360" t="s">
        <v>28686</v>
      </c>
      <c r="I11360" t="s">
        <v>28689</v>
      </c>
      <c r="J11360" t="s">
        <v>35813</v>
      </c>
      <c r="K11360" t="s">
        <v>37294</v>
      </c>
      <c r="M11360" t="s">
        <v>39008</v>
      </c>
      <c r="N11360" t="s">
        <v>41249</v>
      </c>
      <c r="O11360" t="s">
        <v>41250</v>
      </c>
      <c r="P11360">
        <v>0</v>
      </c>
      <c r="Q11360">
        <v>0</v>
      </c>
      <c r="R11360" t="s">
        <v>41265</v>
      </c>
      <c r="S11360" t="s">
        <v>41880</v>
      </c>
      <c r="T11360" t="s">
        <v>42762</v>
      </c>
      <c r="U11360" t="s">
        <v>52308</v>
      </c>
      <c r="W11360" t="s">
        <v>39008</v>
      </c>
      <c r="X11360" t="s">
        <v>41266</v>
      </c>
    </row>
    <row r="11361" spans="1:24">
      <c r="A11361">
        <f>HYPERLINK("https://www.philgeps.gov.ph/GEPSNONPILOT/Tender/SplashBidNoticeAbstractUI.aspx?menuIndex=3&amp;refID=7050110&amp;Result=3","7050110")</f>
        <v>0</v>
      </c>
      <c r="B11361" t="s">
        <v>2968</v>
      </c>
      <c r="C11361" t="s">
        <v>14245</v>
      </c>
      <c r="D11361" t="s">
        <v>16657</v>
      </c>
      <c r="E11361" t="s">
        <v>26545</v>
      </c>
      <c r="F11361" t="s">
        <v>28669</v>
      </c>
      <c r="G11361" t="s">
        <v>28675</v>
      </c>
      <c r="H11361" t="s">
        <v>9998</v>
      </c>
      <c r="I11361" t="s">
        <v>28693</v>
      </c>
      <c r="J11361" t="s">
        <v>28836</v>
      </c>
      <c r="K11361" t="s">
        <v>37209</v>
      </c>
      <c r="M11361" t="s">
        <v>40730</v>
      </c>
      <c r="N11361" t="s">
        <v>41249</v>
      </c>
      <c r="O11361" t="s">
        <v>41250</v>
      </c>
      <c r="Q11361">
        <v>10</v>
      </c>
      <c r="R11361" t="s">
        <v>41265</v>
      </c>
      <c r="S11361" t="s">
        <v>41915</v>
      </c>
      <c r="T11361" t="s">
        <v>42823</v>
      </c>
      <c r="U11361" t="s">
        <v>52309</v>
      </c>
      <c r="V11361" t="s">
        <v>55420</v>
      </c>
      <c r="W11361" t="s">
        <v>40730</v>
      </c>
      <c r="X11361" t="s">
        <v>41266</v>
      </c>
    </row>
    <row r="11362" spans="1:24">
      <c r="A11362">
        <f>HYPERLINK("https://www.philgeps.gov.ph/GEPSNONPILOT/Tender/SplashBidNoticeAbstractUI.aspx?menuIndex=3&amp;refID=7050164&amp;Result=3","7050164")</f>
        <v>0</v>
      </c>
      <c r="B11362" t="s">
        <v>2444</v>
      </c>
      <c r="C11362" t="s">
        <v>14246</v>
      </c>
      <c r="D11362" t="s">
        <v>16610</v>
      </c>
      <c r="E11362" t="s">
        <v>26546</v>
      </c>
      <c r="F11362" t="s">
        <v>28669</v>
      </c>
      <c r="G11362" t="s">
        <v>28675</v>
      </c>
      <c r="H11362" t="s">
        <v>9998</v>
      </c>
      <c r="I11362" t="s">
        <v>28690</v>
      </c>
      <c r="J11362" t="s">
        <v>33535</v>
      </c>
      <c r="K11362" t="s">
        <v>37221</v>
      </c>
      <c r="M11362" t="s">
        <v>40127</v>
      </c>
      <c r="N11362" t="s">
        <v>41249</v>
      </c>
      <c r="O11362" t="s">
        <v>41250</v>
      </c>
      <c r="P11362">
        <v>0</v>
      </c>
      <c r="Q11362">
        <v>1</v>
      </c>
      <c r="R11362" t="s">
        <v>41265</v>
      </c>
      <c r="S11362" t="s">
        <v>41880</v>
      </c>
      <c r="T11362" t="s">
        <v>42836</v>
      </c>
      <c r="U11362" t="s">
        <v>52310</v>
      </c>
      <c r="W11362" t="s">
        <v>40127</v>
      </c>
      <c r="X11362" t="s">
        <v>41266</v>
      </c>
    </row>
    <row r="11363" spans="1:24">
      <c r="A11363">
        <f>HYPERLINK("https://www.philgeps.gov.ph/GEPSNONPILOT/Tender/SplashBidNoticeAbstractUI.aspx?menuIndex=3&amp;refID=7050390&amp;Result=3","7050390")</f>
        <v>0</v>
      </c>
      <c r="B11363" t="s">
        <v>2444</v>
      </c>
      <c r="C11363" t="s">
        <v>14247</v>
      </c>
      <c r="D11363" t="s">
        <v>16610</v>
      </c>
      <c r="E11363" t="s">
        <v>26547</v>
      </c>
      <c r="F11363" t="s">
        <v>28669</v>
      </c>
      <c r="G11363" t="s">
        <v>28675</v>
      </c>
      <c r="H11363" t="s">
        <v>28686</v>
      </c>
      <c r="I11363" t="s">
        <v>28689</v>
      </c>
      <c r="J11363" t="s">
        <v>35814</v>
      </c>
      <c r="K11363" t="s">
        <v>37220</v>
      </c>
      <c r="M11363" t="s">
        <v>40127</v>
      </c>
      <c r="N11363" t="s">
        <v>41249</v>
      </c>
      <c r="O11363" t="s">
        <v>41250</v>
      </c>
      <c r="P11363">
        <v>0</v>
      </c>
      <c r="Q11363">
        <v>0</v>
      </c>
      <c r="R11363" t="s">
        <v>41265</v>
      </c>
      <c r="S11363" t="s">
        <v>41880</v>
      </c>
      <c r="T11363" t="s">
        <v>42836</v>
      </c>
      <c r="U11363" t="s">
        <v>52311</v>
      </c>
      <c r="W11363" t="s">
        <v>40127</v>
      </c>
      <c r="X11363" t="s">
        <v>41266</v>
      </c>
    </row>
    <row r="11364" spans="1:24">
      <c r="A11364">
        <f>HYPERLINK("https://www.philgeps.gov.ph/GEPSNONPILOT/Tender/SplashBidNoticeAbstractUI.aspx?menuIndex=3&amp;refID=7050144&amp;Result=3","7050144")</f>
        <v>0</v>
      </c>
      <c r="B11364" t="s">
        <v>3097</v>
      </c>
      <c r="C11364" t="s">
        <v>14248</v>
      </c>
      <c r="D11364" t="s">
        <v>16615</v>
      </c>
      <c r="E11364" t="s">
        <v>26548</v>
      </c>
      <c r="F11364" t="s">
        <v>28669</v>
      </c>
      <c r="G11364" t="s">
        <v>28675</v>
      </c>
      <c r="H11364" t="s">
        <v>9998</v>
      </c>
      <c r="I11364" t="s">
        <v>28689</v>
      </c>
      <c r="J11364" t="s">
        <v>35815</v>
      </c>
      <c r="K11364" t="s">
        <v>37212</v>
      </c>
      <c r="M11364" t="s">
        <v>40883</v>
      </c>
      <c r="N11364" t="s">
        <v>41249</v>
      </c>
      <c r="O11364" t="s">
        <v>41250</v>
      </c>
      <c r="P11364">
        <v>0</v>
      </c>
      <c r="Q11364">
        <v>41</v>
      </c>
      <c r="R11364" t="s">
        <v>41265</v>
      </c>
      <c r="S11364" t="s">
        <v>41880</v>
      </c>
      <c r="T11364" t="s">
        <v>42754</v>
      </c>
      <c r="U11364" t="s">
        <v>52312</v>
      </c>
      <c r="W11364" t="s">
        <v>40883</v>
      </c>
      <c r="X11364" t="s">
        <v>41266</v>
      </c>
    </row>
    <row r="11365" spans="1:24">
      <c r="A11365">
        <f>HYPERLINK("https://www.philgeps.gov.ph/GEPSNONPILOT/Tender/SplashBidNoticeAbstractUI.aspx?menuIndex=3&amp;refID=7050380&amp;Result=3","7050380")</f>
        <v>0</v>
      </c>
      <c r="B11365" t="s">
        <v>3098</v>
      </c>
      <c r="C11365" t="s">
        <v>14249</v>
      </c>
      <c r="D11365" t="s">
        <v>16620</v>
      </c>
      <c r="E11365" t="s">
        <v>26549</v>
      </c>
      <c r="F11365" t="s">
        <v>28669</v>
      </c>
      <c r="G11365" t="s">
        <v>28675</v>
      </c>
      <c r="H11365" t="s">
        <v>9998</v>
      </c>
      <c r="I11365" t="s">
        <v>7352</v>
      </c>
      <c r="J11365" t="s">
        <v>34092</v>
      </c>
      <c r="K11365" t="s">
        <v>37210</v>
      </c>
      <c r="M11365" t="s">
        <v>40884</v>
      </c>
      <c r="N11365" t="s">
        <v>41249</v>
      </c>
      <c r="O11365" t="s">
        <v>41250</v>
      </c>
      <c r="P11365">
        <v>0</v>
      </c>
      <c r="Q11365">
        <v>1</v>
      </c>
      <c r="R11365" t="s">
        <v>41265</v>
      </c>
      <c r="S11365" t="s">
        <v>41880</v>
      </c>
      <c r="T11365" t="s">
        <v>42670</v>
      </c>
      <c r="U11365" t="s">
        <v>52313</v>
      </c>
      <c r="W11365" t="s">
        <v>40884</v>
      </c>
      <c r="X11365" t="s">
        <v>41266</v>
      </c>
    </row>
    <row r="11366" spans="1:24">
      <c r="A11366">
        <f>HYPERLINK("https://www.philgeps.gov.ph/GEPSNONPILOT/Tender/SplashBidNoticeAbstractUI.aspx?menuIndex=3&amp;refID=7050339&amp;Result=3","7050339")</f>
        <v>0</v>
      </c>
      <c r="B11366" t="s">
        <v>2960</v>
      </c>
      <c r="C11366" t="s">
        <v>14250</v>
      </c>
      <c r="D11366" t="s">
        <v>16680</v>
      </c>
      <c r="E11366" t="s">
        <v>26550</v>
      </c>
      <c r="F11366" t="s">
        <v>28669</v>
      </c>
      <c r="G11366" t="s">
        <v>28675</v>
      </c>
      <c r="H11366" t="s">
        <v>28686</v>
      </c>
      <c r="I11366" t="s">
        <v>28689</v>
      </c>
      <c r="J11366" t="s">
        <v>28847</v>
      </c>
      <c r="K11366" t="s">
        <v>37215</v>
      </c>
      <c r="M11366" t="s">
        <v>40720</v>
      </c>
      <c r="N11366" t="s">
        <v>41249</v>
      </c>
      <c r="O11366" t="s">
        <v>41250</v>
      </c>
      <c r="P11366">
        <v>0</v>
      </c>
      <c r="Q11366">
        <v>1</v>
      </c>
      <c r="R11366" t="s">
        <v>41265</v>
      </c>
      <c r="S11366" t="s">
        <v>41880</v>
      </c>
      <c r="T11366" t="s">
        <v>42742</v>
      </c>
      <c r="U11366" t="s">
        <v>52314</v>
      </c>
      <c r="W11366" t="s">
        <v>40720</v>
      </c>
      <c r="X11366" t="s">
        <v>41266</v>
      </c>
    </row>
    <row r="11367" spans="1:24">
      <c r="A11367">
        <f>HYPERLINK("https://www.philgeps.gov.ph/GEPSNONPILOT/Tender/SplashBidNoticeAbstractUI.aspx?menuIndex=3&amp;refID=7049882&amp;Result=3","7049882")</f>
        <v>0</v>
      </c>
      <c r="B11367" t="s">
        <v>853</v>
      </c>
      <c r="C11367" t="s">
        <v>14251</v>
      </c>
      <c r="D11367" t="s">
        <v>16638</v>
      </c>
      <c r="E11367" t="s">
        <v>26551</v>
      </c>
      <c r="F11367" t="s">
        <v>28669</v>
      </c>
      <c r="G11367" t="s">
        <v>28675</v>
      </c>
      <c r="H11367" t="s">
        <v>28684</v>
      </c>
      <c r="I11367" t="s">
        <v>28785</v>
      </c>
      <c r="J11367" t="s">
        <v>35816</v>
      </c>
      <c r="K11367" t="s">
        <v>37206</v>
      </c>
      <c r="M11367" t="s">
        <v>38369</v>
      </c>
      <c r="N11367" t="s">
        <v>41249</v>
      </c>
      <c r="O11367" t="s">
        <v>41250</v>
      </c>
      <c r="Q11367">
        <v>8</v>
      </c>
      <c r="R11367" t="s">
        <v>41265</v>
      </c>
      <c r="S11367" t="s">
        <v>41629</v>
      </c>
      <c r="T11367" t="s">
        <v>42678</v>
      </c>
      <c r="U11367" t="s">
        <v>44874</v>
      </c>
      <c r="V11367" t="s">
        <v>54493</v>
      </c>
      <c r="W11367" t="s">
        <v>38369</v>
      </c>
      <c r="X11367" t="s">
        <v>41266</v>
      </c>
    </row>
    <row r="11368" spans="1:24">
      <c r="A11368">
        <f>HYPERLINK("https://www.philgeps.gov.ph/GEPSNONPILOT/Tender/SplashBidNoticeAbstractUI.aspx?menuIndex=3&amp;refID=7050303&amp;Result=3","7050303")</f>
        <v>0</v>
      </c>
      <c r="B11368" t="s">
        <v>2444</v>
      </c>
      <c r="C11368" t="s">
        <v>14252</v>
      </c>
      <c r="D11368" t="s">
        <v>16610</v>
      </c>
      <c r="E11368" t="s">
        <v>26552</v>
      </c>
      <c r="F11368" t="s">
        <v>28669</v>
      </c>
      <c r="G11368" t="s">
        <v>28675</v>
      </c>
      <c r="H11368" t="s">
        <v>28686</v>
      </c>
      <c r="I11368" t="s">
        <v>28689</v>
      </c>
      <c r="J11368" t="s">
        <v>35817</v>
      </c>
      <c r="K11368" t="s">
        <v>37213</v>
      </c>
      <c r="M11368" t="s">
        <v>40127</v>
      </c>
      <c r="N11368" t="s">
        <v>41249</v>
      </c>
      <c r="O11368" t="s">
        <v>41250</v>
      </c>
      <c r="P11368">
        <v>0</v>
      </c>
      <c r="Q11368">
        <v>1</v>
      </c>
      <c r="R11368" t="s">
        <v>41265</v>
      </c>
      <c r="S11368" t="s">
        <v>41880</v>
      </c>
      <c r="T11368" t="s">
        <v>42836</v>
      </c>
      <c r="U11368" t="s">
        <v>52315</v>
      </c>
      <c r="W11368" t="s">
        <v>40127</v>
      </c>
      <c r="X11368" t="s">
        <v>41266</v>
      </c>
    </row>
    <row r="11369" spans="1:24">
      <c r="A11369">
        <f>HYPERLINK("https://www.philgeps.gov.ph/GEPSNONPILOT/Tender/SplashBidNoticeAbstractUI.aspx?menuIndex=3&amp;refID=7050298&amp;Result=3","7050298")</f>
        <v>0</v>
      </c>
      <c r="B11369" t="s">
        <v>2968</v>
      </c>
      <c r="C11369" t="s">
        <v>14253</v>
      </c>
      <c r="D11369" t="s">
        <v>16657</v>
      </c>
      <c r="E11369" t="s">
        <v>26553</v>
      </c>
      <c r="F11369" t="s">
        <v>28669</v>
      </c>
      <c r="G11369" t="s">
        <v>28675</v>
      </c>
      <c r="H11369" t="s">
        <v>9998</v>
      </c>
      <c r="I11369" t="s">
        <v>28693</v>
      </c>
      <c r="J11369" t="s">
        <v>35818</v>
      </c>
      <c r="K11369" t="s">
        <v>37209</v>
      </c>
      <c r="M11369" t="s">
        <v>40730</v>
      </c>
      <c r="N11369" t="s">
        <v>41249</v>
      </c>
      <c r="O11369" t="s">
        <v>41250</v>
      </c>
      <c r="Q11369">
        <v>14</v>
      </c>
      <c r="R11369" t="s">
        <v>41265</v>
      </c>
      <c r="S11369" t="s">
        <v>41916</v>
      </c>
      <c r="T11369" t="s">
        <v>42823</v>
      </c>
      <c r="U11369" t="s">
        <v>52316</v>
      </c>
      <c r="V11369" t="s">
        <v>55601</v>
      </c>
      <c r="W11369" t="s">
        <v>40730</v>
      </c>
      <c r="X11369" t="s">
        <v>41266</v>
      </c>
    </row>
    <row r="11370" spans="1:24">
      <c r="A11370">
        <f>HYPERLINK("https://www.philgeps.gov.ph/GEPSNONPILOT/Tender/SplashBidNoticeAbstractUI.aspx?menuIndex=3&amp;refID=7050086&amp;Result=3","7050086")</f>
        <v>0</v>
      </c>
      <c r="B11370" t="s">
        <v>2968</v>
      </c>
      <c r="C11370" t="s">
        <v>14254</v>
      </c>
      <c r="D11370" t="s">
        <v>16657</v>
      </c>
      <c r="E11370" t="s">
        <v>26554</v>
      </c>
      <c r="F11370" t="s">
        <v>28669</v>
      </c>
      <c r="G11370" t="s">
        <v>28675</v>
      </c>
      <c r="H11370" t="s">
        <v>9998</v>
      </c>
      <c r="I11370" t="s">
        <v>28708</v>
      </c>
      <c r="J11370" t="s">
        <v>35819</v>
      </c>
      <c r="K11370" t="s">
        <v>37209</v>
      </c>
      <c r="M11370" t="s">
        <v>40730</v>
      </c>
      <c r="N11370" t="s">
        <v>41249</v>
      </c>
      <c r="O11370" t="s">
        <v>41250</v>
      </c>
      <c r="Q11370">
        <v>9</v>
      </c>
      <c r="R11370" t="s">
        <v>41265</v>
      </c>
      <c r="S11370" t="s">
        <v>41917</v>
      </c>
      <c r="T11370" t="s">
        <v>42669</v>
      </c>
      <c r="U11370" t="s">
        <v>52317</v>
      </c>
      <c r="V11370" t="s">
        <v>55507</v>
      </c>
      <c r="W11370" t="s">
        <v>40730</v>
      </c>
      <c r="X11370" t="s">
        <v>41266</v>
      </c>
    </row>
    <row r="11371" spans="1:24">
      <c r="A11371">
        <f>HYPERLINK("https://www.philgeps.gov.ph/GEPSNONPILOT/Tender/SplashBidNoticeAbstractUI.aspx?menuIndex=3&amp;refID=7050278&amp;Result=3","7050278")</f>
        <v>0</v>
      </c>
      <c r="B11371" t="s">
        <v>986</v>
      </c>
      <c r="C11371" t="s">
        <v>14255</v>
      </c>
      <c r="D11371" t="s">
        <v>16620</v>
      </c>
      <c r="E11371" t="s">
        <v>26555</v>
      </c>
      <c r="F11371" t="s">
        <v>28669</v>
      </c>
      <c r="G11371" t="s">
        <v>28675</v>
      </c>
      <c r="H11371" t="s">
        <v>9998</v>
      </c>
      <c r="I11371" t="s">
        <v>28743</v>
      </c>
      <c r="J11371" t="s">
        <v>29033</v>
      </c>
      <c r="K11371" t="s">
        <v>37206</v>
      </c>
      <c r="M11371" t="s">
        <v>38511</v>
      </c>
      <c r="N11371" t="s">
        <v>41249</v>
      </c>
      <c r="O11371" t="s">
        <v>41250</v>
      </c>
      <c r="P11371">
        <v>0</v>
      </c>
      <c r="Q11371">
        <v>3</v>
      </c>
      <c r="R11371" t="s">
        <v>41265</v>
      </c>
      <c r="S11371" t="s">
        <v>41880</v>
      </c>
      <c r="T11371" t="s">
        <v>42678</v>
      </c>
      <c r="U11371" t="s">
        <v>45210</v>
      </c>
      <c r="V11371" t="s">
        <v>54542</v>
      </c>
      <c r="W11371" t="s">
        <v>38511</v>
      </c>
      <c r="X11371" t="s">
        <v>41266</v>
      </c>
    </row>
    <row r="11372" spans="1:24">
      <c r="A11372">
        <f>HYPERLINK("https://www.philgeps.gov.ph/GEPSNONPILOT/Tender/SplashBidNoticeAbstractUI.aspx?menuIndex=3&amp;refID=7050262&amp;Result=3","7050262")</f>
        <v>0</v>
      </c>
      <c r="B11372" t="s">
        <v>2968</v>
      </c>
      <c r="C11372" t="s">
        <v>14256</v>
      </c>
      <c r="D11372" t="s">
        <v>16657</v>
      </c>
      <c r="E11372" t="s">
        <v>26556</v>
      </c>
      <c r="F11372" t="s">
        <v>28669</v>
      </c>
      <c r="G11372" t="s">
        <v>28675</v>
      </c>
      <c r="H11372" t="s">
        <v>9998</v>
      </c>
      <c r="I11372" t="s">
        <v>28693</v>
      </c>
      <c r="J11372" t="s">
        <v>33071</v>
      </c>
      <c r="K11372" t="s">
        <v>37209</v>
      </c>
      <c r="M11372" t="s">
        <v>40730</v>
      </c>
      <c r="N11372" t="s">
        <v>41249</v>
      </c>
      <c r="O11372" t="s">
        <v>41250</v>
      </c>
      <c r="Q11372">
        <v>20</v>
      </c>
      <c r="R11372" t="s">
        <v>41265</v>
      </c>
      <c r="S11372" t="s">
        <v>41918</v>
      </c>
      <c r="T11372" t="s">
        <v>42823</v>
      </c>
      <c r="U11372" t="s">
        <v>52318</v>
      </c>
      <c r="V11372" t="s">
        <v>55602</v>
      </c>
      <c r="W11372" t="s">
        <v>40730</v>
      </c>
      <c r="X11372" t="s">
        <v>41266</v>
      </c>
    </row>
    <row r="11373" spans="1:24">
      <c r="A11373">
        <f>HYPERLINK("https://www.philgeps.gov.ph/GEPSNONPILOT/Tender/SplashBidNoticeAbstractUI.aspx?menuIndex=3&amp;refID=7050255&amp;Result=3","7050255")</f>
        <v>0</v>
      </c>
      <c r="B11373" t="s">
        <v>781</v>
      </c>
      <c r="C11373" t="s">
        <v>14257</v>
      </c>
      <c r="D11373" t="s">
        <v>16620</v>
      </c>
      <c r="E11373" t="s">
        <v>26557</v>
      </c>
      <c r="F11373" t="s">
        <v>28669</v>
      </c>
      <c r="G11373" t="s">
        <v>28675</v>
      </c>
      <c r="H11373" t="s">
        <v>9998</v>
      </c>
      <c r="I11373" t="s">
        <v>28687</v>
      </c>
      <c r="J11373" t="s">
        <v>35820</v>
      </c>
      <c r="K11373" t="s">
        <v>37206</v>
      </c>
      <c r="M11373" t="s">
        <v>38295</v>
      </c>
      <c r="N11373" t="s">
        <v>41249</v>
      </c>
      <c r="O11373" t="s">
        <v>41250</v>
      </c>
      <c r="P11373">
        <v>0</v>
      </c>
      <c r="Q11373">
        <v>4</v>
      </c>
      <c r="R11373" t="s">
        <v>41265</v>
      </c>
      <c r="S11373" t="s">
        <v>41880</v>
      </c>
      <c r="T11373" t="s">
        <v>42690</v>
      </c>
      <c r="U11373" t="s">
        <v>52319</v>
      </c>
      <c r="W11373" t="s">
        <v>38295</v>
      </c>
      <c r="X11373" t="s">
        <v>41266</v>
      </c>
    </row>
    <row r="11374" spans="1:24">
      <c r="A11374">
        <f>HYPERLINK("https://www.philgeps.gov.ph/GEPSNONPILOT/Tender/SplashBidNoticeAbstractUI.aspx?menuIndex=3&amp;refID=7050286&amp;Result=3","7050286")</f>
        <v>0</v>
      </c>
      <c r="B11374" t="s">
        <v>3098</v>
      </c>
      <c r="C11374" t="s">
        <v>14258</v>
      </c>
      <c r="D11374" t="s">
        <v>16620</v>
      </c>
      <c r="E11374" t="s">
        <v>26558</v>
      </c>
      <c r="F11374" t="s">
        <v>28669</v>
      </c>
      <c r="G11374" t="s">
        <v>28675</v>
      </c>
      <c r="H11374" t="s">
        <v>9998</v>
      </c>
      <c r="I11374" t="s">
        <v>28687</v>
      </c>
      <c r="J11374" t="s">
        <v>29512</v>
      </c>
      <c r="K11374" t="s">
        <v>37210</v>
      </c>
      <c r="M11374" t="s">
        <v>40884</v>
      </c>
      <c r="N11374" t="s">
        <v>41249</v>
      </c>
      <c r="O11374" t="s">
        <v>41250</v>
      </c>
      <c r="P11374">
        <v>0</v>
      </c>
      <c r="Q11374">
        <v>2</v>
      </c>
      <c r="R11374" t="s">
        <v>41265</v>
      </c>
      <c r="S11374" t="s">
        <v>41880</v>
      </c>
      <c r="T11374" t="s">
        <v>42670</v>
      </c>
      <c r="U11374" t="s">
        <v>52320</v>
      </c>
      <c r="W11374" t="s">
        <v>40884</v>
      </c>
      <c r="X11374" t="s">
        <v>41266</v>
      </c>
    </row>
    <row r="11375" spans="1:24">
      <c r="A11375">
        <f>HYPERLINK("https://www.philgeps.gov.ph/GEPSNONPILOT/Tender/SplashBidNoticeAbstractUI.aspx?menuIndex=3&amp;refID=7055560&amp;Result=3","7055560")</f>
        <v>0</v>
      </c>
      <c r="B11375" t="s">
        <v>1188</v>
      </c>
      <c r="C11375" t="s">
        <v>14259</v>
      </c>
      <c r="D11375" t="s">
        <v>16642</v>
      </c>
      <c r="E11375" t="s">
        <v>26559</v>
      </c>
      <c r="F11375" t="s">
        <v>28669</v>
      </c>
      <c r="G11375" t="s">
        <v>28675</v>
      </c>
      <c r="H11375" t="s">
        <v>28686</v>
      </c>
      <c r="I11375" t="s">
        <v>28689</v>
      </c>
      <c r="J11375" t="s">
        <v>28924</v>
      </c>
      <c r="K11375" t="s">
        <v>37209</v>
      </c>
      <c r="M11375" t="s">
        <v>40843</v>
      </c>
      <c r="N11375" t="s">
        <v>41249</v>
      </c>
      <c r="O11375" t="s">
        <v>41250</v>
      </c>
      <c r="P11375">
        <v>0</v>
      </c>
      <c r="Q11375">
        <v>0</v>
      </c>
      <c r="R11375" t="s">
        <v>41264</v>
      </c>
      <c r="S11375" t="s">
        <v>41775</v>
      </c>
      <c r="T11375" t="s">
        <v>43121</v>
      </c>
      <c r="U11375" t="s">
        <v>52321</v>
      </c>
      <c r="V11375" t="s">
        <v>55557</v>
      </c>
      <c r="W11375" t="s">
        <v>38728</v>
      </c>
      <c r="X11375" t="s">
        <v>41265</v>
      </c>
    </row>
    <row r="11376" spans="1:24">
      <c r="A11376">
        <f>HYPERLINK("https://www.philgeps.gov.ph/GEPSNONPILOT/Tender/SplashBidNoticeAbstractUI.aspx?menuIndex=3&amp;refID=7050232&amp;Result=3","7050232")</f>
        <v>0</v>
      </c>
      <c r="B11376" t="s">
        <v>349</v>
      </c>
      <c r="C11376" t="s">
        <v>14260</v>
      </c>
      <c r="D11376" t="s">
        <v>16675</v>
      </c>
      <c r="E11376" t="s">
        <v>19143</v>
      </c>
      <c r="F11376" t="s">
        <v>28669</v>
      </c>
      <c r="G11376" t="s">
        <v>28675</v>
      </c>
      <c r="H11376" t="s">
        <v>28686</v>
      </c>
      <c r="I11376" t="s">
        <v>28689</v>
      </c>
      <c r="J11376" t="s">
        <v>35821</v>
      </c>
      <c r="K11376" t="s">
        <v>37389</v>
      </c>
      <c r="M11376" t="s">
        <v>40885</v>
      </c>
      <c r="N11376" t="s">
        <v>41249</v>
      </c>
      <c r="O11376" t="s">
        <v>41250</v>
      </c>
      <c r="P11376">
        <v>0</v>
      </c>
      <c r="Q11376">
        <v>4</v>
      </c>
      <c r="R11376" t="s">
        <v>41265</v>
      </c>
      <c r="S11376" t="s">
        <v>41880</v>
      </c>
      <c r="T11376" t="s">
        <v>42755</v>
      </c>
      <c r="U11376" t="s">
        <v>52322</v>
      </c>
      <c r="W11376" t="s">
        <v>40885</v>
      </c>
      <c r="X11376" t="s">
        <v>41266</v>
      </c>
    </row>
    <row r="11377" spans="1:24">
      <c r="A11377">
        <f>HYPERLINK("https://www.philgeps.gov.ph/GEPSNONPILOT/Tender/SplashBidNoticeAbstractUI.aspx?menuIndex=3&amp;refID=7050179&amp;Result=3","7050179")</f>
        <v>0</v>
      </c>
      <c r="B11377" t="s">
        <v>3095</v>
      </c>
      <c r="C11377" t="s">
        <v>14261</v>
      </c>
      <c r="E11377" t="s">
        <v>26560</v>
      </c>
      <c r="F11377" t="s">
        <v>28669</v>
      </c>
      <c r="G11377" t="s">
        <v>28675</v>
      </c>
      <c r="H11377" t="s">
        <v>9998</v>
      </c>
      <c r="I11377" t="s">
        <v>28713</v>
      </c>
      <c r="J11377" t="s">
        <v>30755</v>
      </c>
      <c r="K11377" t="s">
        <v>37209</v>
      </c>
      <c r="M11377" t="s">
        <v>40881</v>
      </c>
      <c r="N11377" t="s">
        <v>41249</v>
      </c>
      <c r="O11377" t="s">
        <v>41250</v>
      </c>
      <c r="Q11377">
        <v>40</v>
      </c>
      <c r="R11377" t="s">
        <v>41265</v>
      </c>
      <c r="S11377" t="s">
        <v>41919</v>
      </c>
      <c r="T11377" t="s">
        <v>42711</v>
      </c>
      <c r="U11377" t="s">
        <v>50974</v>
      </c>
      <c r="W11377" t="s">
        <v>40881</v>
      </c>
      <c r="X11377" t="s">
        <v>41266</v>
      </c>
    </row>
    <row r="11378" spans="1:24">
      <c r="A11378">
        <f>HYPERLINK("https://www.philgeps.gov.ph/GEPSNONPILOT/Tender/SplashBidNoticeAbstractUI.aspx?menuIndex=3&amp;refID=7050322&amp;Result=3","7050322")</f>
        <v>0</v>
      </c>
      <c r="B11378" t="s">
        <v>986</v>
      </c>
      <c r="C11378" t="s">
        <v>14262</v>
      </c>
      <c r="D11378" t="s">
        <v>16620</v>
      </c>
      <c r="E11378" t="s">
        <v>26561</v>
      </c>
      <c r="F11378" t="s">
        <v>28669</v>
      </c>
      <c r="G11378" t="s">
        <v>28675</v>
      </c>
      <c r="H11378" t="s">
        <v>9998</v>
      </c>
      <c r="I11378" t="s">
        <v>7352</v>
      </c>
      <c r="J11378" t="s">
        <v>35822</v>
      </c>
      <c r="K11378" t="s">
        <v>37206</v>
      </c>
      <c r="M11378" t="s">
        <v>38511</v>
      </c>
      <c r="N11378" t="s">
        <v>41249</v>
      </c>
      <c r="O11378" t="s">
        <v>41250</v>
      </c>
      <c r="P11378">
        <v>0</v>
      </c>
      <c r="Q11378">
        <v>0</v>
      </c>
      <c r="R11378" t="s">
        <v>41265</v>
      </c>
      <c r="S11378" t="s">
        <v>41880</v>
      </c>
      <c r="T11378" t="s">
        <v>42678</v>
      </c>
      <c r="U11378" t="s">
        <v>45210</v>
      </c>
      <c r="V11378" t="s">
        <v>54542</v>
      </c>
      <c r="W11378" t="s">
        <v>38511</v>
      </c>
      <c r="X11378" t="s">
        <v>41266</v>
      </c>
    </row>
    <row r="11379" spans="1:24">
      <c r="A11379">
        <f>HYPERLINK("https://www.philgeps.gov.ph/GEPSNONPILOT/Tender/SplashBidNoticeAbstractUI.aspx?menuIndex=3&amp;refID=7050269&amp;Result=3","7050269")</f>
        <v>0</v>
      </c>
      <c r="B11379" t="s">
        <v>986</v>
      </c>
      <c r="C11379" t="s">
        <v>14263</v>
      </c>
      <c r="D11379" t="s">
        <v>16620</v>
      </c>
      <c r="E11379" t="s">
        <v>26562</v>
      </c>
      <c r="F11379" t="s">
        <v>28669</v>
      </c>
      <c r="G11379" t="s">
        <v>28675</v>
      </c>
      <c r="H11379" t="s">
        <v>9998</v>
      </c>
      <c r="I11379" t="s">
        <v>7352</v>
      </c>
      <c r="J11379" t="s">
        <v>35823</v>
      </c>
      <c r="K11379" t="s">
        <v>37206</v>
      </c>
      <c r="M11379" t="s">
        <v>38511</v>
      </c>
      <c r="N11379" t="s">
        <v>41249</v>
      </c>
      <c r="O11379" t="s">
        <v>41250</v>
      </c>
      <c r="P11379">
        <v>0</v>
      </c>
      <c r="Q11379">
        <v>1</v>
      </c>
      <c r="R11379" t="s">
        <v>41265</v>
      </c>
      <c r="S11379" t="s">
        <v>41880</v>
      </c>
      <c r="T11379" t="s">
        <v>42678</v>
      </c>
      <c r="U11379" t="s">
        <v>45210</v>
      </c>
      <c r="V11379" t="s">
        <v>54542</v>
      </c>
      <c r="W11379" t="s">
        <v>38511</v>
      </c>
      <c r="X11379" t="s">
        <v>41266</v>
      </c>
    </row>
    <row r="11380" spans="1:24">
      <c r="A11380">
        <f>HYPERLINK("https://www.philgeps.gov.ph/GEPSNONPILOT/Tender/SplashBidNoticeAbstractUI.aspx?menuIndex=3&amp;refID=7050165&amp;Result=3","7050165")</f>
        <v>0</v>
      </c>
      <c r="B11380" t="s">
        <v>3099</v>
      </c>
      <c r="C11380" t="s">
        <v>14264</v>
      </c>
      <c r="D11380" t="s">
        <v>16643</v>
      </c>
      <c r="E11380" t="s">
        <v>26563</v>
      </c>
      <c r="F11380" t="s">
        <v>28669</v>
      </c>
      <c r="G11380" t="s">
        <v>28675</v>
      </c>
      <c r="H11380" t="s">
        <v>9998</v>
      </c>
      <c r="I11380" t="s">
        <v>28687</v>
      </c>
      <c r="J11380" t="s">
        <v>29020</v>
      </c>
      <c r="K11380" t="s">
        <v>37206</v>
      </c>
      <c r="M11380" t="s">
        <v>40886</v>
      </c>
      <c r="N11380" t="s">
        <v>41249</v>
      </c>
      <c r="O11380" t="s">
        <v>41250</v>
      </c>
      <c r="P11380">
        <v>0</v>
      </c>
      <c r="Q11380">
        <v>2</v>
      </c>
      <c r="R11380" t="s">
        <v>41265</v>
      </c>
      <c r="S11380" t="s">
        <v>41880</v>
      </c>
      <c r="T11380" t="s">
        <v>42698</v>
      </c>
      <c r="U11380" t="s">
        <v>52323</v>
      </c>
      <c r="W11380" t="s">
        <v>40886</v>
      </c>
      <c r="X11380" t="s">
        <v>41266</v>
      </c>
    </row>
    <row r="11381" spans="1:24">
      <c r="A11381">
        <f>HYPERLINK("https://www.philgeps.gov.ph/GEPSNONPILOT/Tender/SplashBidNoticeAbstractUI.aspx?menuIndex=3&amp;refID=7050147&amp;Result=3","7050147")</f>
        <v>0</v>
      </c>
      <c r="B11381" t="s">
        <v>1535</v>
      </c>
      <c r="C11381" t="s">
        <v>14265</v>
      </c>
      <c r="D11381" t="s">
        <v>16648</v>
      </c>
      <c r="E11381" t="s">
        <v>26564</v>
      </c>
      <c r="F11381" t="s">
        <v>28669</v>
      </c>
      <c r="G11381" t="s">
        <v>28675</v>
      </c>
      <c r="H11381" t="s">
        <v>28686</v>
      </c>
      <c r="I11381" t="s">
        <v>28689</v>
      </c>
      <c r="J11381" t="s">
        <v>35280</v>
      </c>
      <c r="K11381" t="s">
        <v>37209</v>
      </c>
      <c r="M11381" t="s">
        <v>39110</v>
      </c>
      <c r="N11381" t="s">
        <v>41249</v>
      </c>
      <c r="O11381" t="s">
        <v>41250</v>
      </c>
      <c r="P11381">
        <v>0</v>
      </c>
      <c r="Q11381">
        <v>0</v>
      </c>
      <c r="R11381" t="s">
        <v>41265</v>
      </c>
      <c r="S11381" t="s">
        <v>41880</v>
      </c>
      <c r="T11381" t="s">
        <v>42679</v>
      </c>
      <c r="U11381" t="s">
        <v>52324</v>
      </c>
      <c r="W11381" t="s">
        <v>39110</v>
      </c>
      <c r="X11381" t="s">
        <v>41266</v>
      </c>
    </row>
    <row r="11382" spans="1:24">
      <c r="A11382">
        <f>HYPERLINK("https://www.philgeps.gov.ph/GEPSNONPILOT/Tender/SplashBidNoticeAbstractUI.aspx?menuIndex=3&amp;refID=7050295&amp;Result=3","7050295")</f>
        <v>0</v>
      </c>
      <c r="B11382" t="s">
        <v>190</v>
      </c>
      <c r="C11382" t="s">
        <v>14266</v>
      </c>
      <c r="D11382" t="s">
        <v>16671</v>
      </c>
      <c r="E11382" t="s">
        <v>22376</v>
      </c>
      <c r="F11382" t="s">
        <v>28669</v>
      </c>
      <c r="G11382" t="s">
        <v>28675</v>
      </c>
      <c r="H11382" t="s">
        <v>28686</v>
      </c>
      <c r="I11382" t="s">
        <v>28689</v>
      </c>
      <c r="J11382" t="s">
        <v>35824</v>
      </c>
      <c r="K11382" t="s">
        <v>37215</v>
      </c>
      <c r="L11382" t="s">
        <v>190</v>
      </c>
      <c r="M11382" t="s">
        <v>37668</v>
      </c>
      <c r="N11382" t="s">
        <v>41249</v>
      </c>
      <c r="O11382" t="s">
        <v>41250</v>
      </c>
      <c r="P11382">
        <v>0</v>
      </c>
      <c r="Q11382">
        <v>0</v>
      </c>
      <c r="R11382" t="s">
        <v>41265</v>
      </c>
      <c r="S11382" t="s">
        <v>41880</v>
      </c>
      <c r="T11382" t="s">
        <v>42858</v>
      </c>
      <c r="U11382" t="s">
        <v>52325</v>
      </c>
      <c r="V11382" t="s">
        <v>55190</v>
      </c>
      <c r="W11382" t="s">
        <v>37668</v>
      </c>
      <c r="X11382" t="s">
        <v>41266</v>
      </c>
    </row>
    <row r="11383" spans="1:24">
      <c r="A11383">
        <f>HYPERLINK("https://www.philgeps.gov.ph/GEPSNONPILOT/Tender/SplashBidNoticeAbstractUI.aspx?menuIndex=3&amp;refID=7050068&amp;Result=3","7050068")</f>
        <v>0</v>
      </c>
      <c r="B11383" t="s">
        <v>2444</v>
      </c>
      <c r="C11383" t="s">
        <v>14267</v>
      </c>
      <c r="D11383" t="s">
        <v>16610</v>
      </c>
      <c r="E11383" t="s">
        <v>26565</v>
      </c>
      <c r="F11383" t="s">
        <v>28669</v>
      </c>
      <c r="G11383" t="s">
        <v>28675</v>
      </c>
      <c r="H11383" t="s">
        <v>9998</v>
      </c>
      <c r="I11383" t="s">
        <v>28687</v>
      </c>
      <c r="J11383" t="s">
        <v>29484</v>
      </c>
      <c r="K11383" t="s">
        <v>37213</v>
      </c>
      <c r="M11383" t="s">
        <v>40127</v>
      </c>
      <c r="N11383" t="s">
        <v>41249</v>
      </c>
      <c r="O11383" t="s">
        <v>41250</v>
      </c>
      <c r="P11383">
        <v>0</v>
      </c>
      <c r="Q11383">
        <v>11</v>
      </c>
      <c r="R11383" t="s">
        <v>41265</v>
      </c>
      <c r="S11383" t="s">
        <v>41880</v>
      </c>
      <c r="T11383" t="s">
        <v>42836</v>
      </c>
      <c r="U11383" t="s">
        <v>52326</v>
      </c>
      <c r="W11383" t="s">
        <v>40127</v>
      </c>
      <c r="X11383" t="s">
        <v>41266</v>
      </c>
    </row>
    <row r="11384" spans="1:24">
      <c r="A11384">
        <f>HYPERLINK("https://www.philgeps.gov.ph/GEPSNONPILOT/Tender/SplashBidNoticeAbstractUI.aspx?menuIndex=3&amp;refID=7050067&amp;Result=3","7050067")</f>
        <v>0</v>
      </c>
      <c r="B11384" t="s">
        <v>3100</v>
      </c>
      <c r="C11384" t="s">
        <v>14268</v>
      </c>
      <c r="D11384" t="s">
        <v>16639</v>
      </c>
      <c r="E11384" t="s">
        <v>26566</v>
      </c>
      <c r="F11384" t="s">
        <v>28669</v>
      </c>
      <c r="G11384" t="s">
        <v>28675</v>
      </c>
      <c r="H11384" t="s">
        <v>28686</v>
      </c>
      <c r="I11384" t="s">
        <v>7352</v>
      </c>
      <c r="J11384" t="s">
        <v>35825</v>
      </c>
      <c r="K11384" t="s">
        <v>37206</v>
      </c>
      <c r="M11384" t="s">
        <v>40887</v>
      </c>
      <c r="N11384" t="s">
        <v>41249</v>
      </c>
      <c r="O11384" t="s">
        <v>41250</v>
      </c>
      <c r="P11384">
        <v>0</v>
      </c>
      <c r="Q11384">
        <v>0</v>
      </c>
      <c r="R11384" t="s">
        <v>41265</v>
      </c>
      <c r="S11384" t="s">
        <v>41880</v>
      </c>
      <c r="T11384" t="s">
        <v>42665</v>
      </c>
      <c r="U11384" t="s">
        <v>52327</v>
      </c>
      <c r="W11384" t="s">
        <v>40887</v>
      </c>
      <c r="X11384" t="s">
        <v>41266</v>
      </c>
    </row>
    <row r="11385" spans="1:24">
      <c r="A11385">
        <f>HYPERLINK("https://www.philgeps.gov.ph/GEPSNONPILOT/Tender/SplashBidNoticeAbstractUI.aspx?menuIndex=3&amp;refID=7050229&amp;Result=3","7050229")</f>
        <v>0</v>
      </c>
      <c r="B11385" t="s">
        <v>2968</v>
      </c>
      <c r="C11385" t="s">
        <v>14269</v>
      </c>
      <c r="D11385" t="s">
        <v>16657</v>
      </c>
      <c r="E11385" t="s">
        <v>26567</v>
      </c>
      <c r="F11385" t="s">
        <v>28669</v>
      </c>
      <c r="G11385" t="s">
        <v>28675</v>
      </c>
      <c r="H11385" t="s">
        <v>9998</v>
      </c>
      <c r="I11385" t="s">
        <v>5213</v>
      </c>
      <c r="J11385" t="s">
        <v>35826</v>
      </c>
      <c r="K11385" t="s">
        <v>37209</v>
      </c>
      <c r="M11385" t="s">
        <v>40730</v>
      </c>
      <c r="N11385" t="s">
        <v>41249</v>
      </c>
      <c r="O11385" t="s">
        <v>41250</v>
      </c>
      <c r="Q11385">
        <v>11</v>
      </c>
      <c r="R11385" t="s">
        <v>41265</v>
      </c>
      <c r="S11385" t="s">
        <v>41920</v>
      </c>
      <c r="T11385" t="s">
        <v>42669</v>
      </c>
      <c r="U11385" t="s">
        <v>52328</v>
      </c>
      <c r="V11385" t="s">
        <v>55603</v>
      </c>
      <c r="W11385" t="s">
        <v>40730</v>
      </c>
      <c r="X11385" t="s">
        <v>41266</v>
      </c>
    </row>
    <row r="11386" spans="1:24">
      <c r="A11386">
        <f>HYPERLINK("https://www.philgeps.gov.ph/GEPSNONPILOT/Tender/SplashBidNoticeAbstractUI.aspx?menuIndex=3&amp;refID=7050060&amp;Result=3","7050060")</f>
        <v>0</v>
      </c>
      <c r="B11386" t="s">
        <v>157</v>
      </c>
      <c r="C11386" t="s">
        <v>14270</v>
      </c>
      <c r="D11386" t="s">
        <v>16664</v>
      </c>
      <c r="E11386" t="s">
        <v>17178</v>
      </c>
      <c r="F11386" t="s">
        <v>28669</v>
      </c>
      <c r="G11386" t="s">
        <v>28675</v>
      </c>
      <c r="H11386" t="s">
        <v>9998</v>
      </c>
      <c r="I11386" t="s">
        <v>28738</v>
      </c>
      <c r="J11386" t="s">
        <v>35827</v>
      </c>
      <c r="K11386" t="s">
        <v>37220</v>
      </c>
      <c r="M11386" t="s">
        <v>37634</v>
      </c>
      <c r="N11386" t="s">
        <v>41249</v>
      </c>
      <c r="O11386" t="s">
        <v>41250</v>
      </c>
      <c r="P11386">
        <v>0</v>
      </c>
      <c r="Q11386">
        <v>6</v>
      </c>
      <c r="R11386" t="s">
        <v>41265</v>
      </c>
      <c r="S11386" t="s">
        <v>41880</v>
      </c>
      <c r="T11386" t="s">
        <v>42671</v>
      </c>
      <c r="U11386" t="s">
        <v>52329</v>
      </c>
      <c r="W11386" t="s">
        <v>37634</v>
      </c>
      <c r="X11386" t="s">
        <v>41266</v>
      </c>
    </row>
    <row r="11387" spans="1:24">
      <c r="A11387">
        <f>HYPERLINK("https://www.philgeps.gov.ph/GEPSNONPILOT/Tender/SplashBidNoticeAbstractUI.aspx?menuIndex=3&amp;refID=7050041&amp;Result=3","7050041")</f>
        <v>0</v>
      </c>
      <c r="B11387" t="s">
        <v>2968</v>
      </c>
      <c r="C11387" t="s">
        <v>14271</v>
      </c>
      <c r="D11387" t="s">
        <v>16657</v>
      </c>
      <c r="E11387" t="s">
        <v>26568</v>
      </c>
      <c r="F11387" t="s">
        <v>28669</v>
      </c>
      <c r="G11387" t="s">
        <v>28675</v>
      </c>
      <c r="H11387" t="s">
        <v>9998</v>
      </c>
      <c r="I11387" t="s">
        <v>28693</v>
      </c>
      <c r="J11387" t="s">
        <v>35828</v>
      </c>
      <c r="K11387" t="s">
        <v>37209</v>
      </c>
      <c r="M11387" t="s">
        <v>40730</v>
      </c>
      <c r="N11387" t="s">
        <v>41249</v>
      </c>
      <c r="O11387" t="s">
        <v>41250</v>
      </c>
      <c r="Q11387">
        <v>16</v>
      </c>
      <c r="R11387" t="s">
        <v>41265</v>
      </c>
      <c r="S11387" t="s">
        <v>41921</v>
      </c>
      <c r="T11387" t="s">
        <v>42823</v>
      </c>
      <c r="U11387" t="s">
        <v>52330</v>
      </c>
      <c r="V11387" t="s">
        <v>55604</v>
      </c>
      <c r="W11387" t="s">
        <v>40730</v>
      </c>
      <c r="X11387" t="s">
        <v>41266</v>
      </c>
    </row>
    <row r="11388" spans="1:24">
      <c r="A11388">
        <f>HYPERLINK("https://www.philgeps.gov.ph/GEPSNONPILOT/Tender/SplashBidNoticeAbstractUI.aspx?menuIndex=3&amp;refID=7050204&amp;Result=3","7050204")</f>
        <v>0</v>
      </c>
      <c r="B11388" t="s">
        <v>3095</v>
      </c>
      <c r="C11388" t="s">
        <v>14272</v>
      </c>
      <c r="E11388" t="s">
        <v>26569</v>
      </c>
      <c r="F11388" t="s">
        <v>28669</v>
      </c>
      <c r="G11388" t="s">
        <v>28675</v>
      </c>
      <c r="H11388" t="s">
        <v>9998</v>
      </c>
      <c r="I11388" t="s">
        <v>28713</v>
      </c>
      <c r="J11388" t="s">
        <v>28881</v>
      </c>
      <c r="K11388" t="s">
        <v>37209</v>
      </c>
      <c r="M11388" t="s">
        <v>40881</v>
      </c>
      <c r="N11388" t="s">
        <v>41249</v>
      </c>
      <c r="O11388" t="s">
        <v>41250</v>
      </c>
      <c r="Q11388">
        <v>34</v>
      </c>
      <c r="R11388" t="s">
        <v>41265</v>
      </c>
      <c r="S11388" t="s">
        <v>41922</v>
      </c>
      <c r="T11388" t="s">
        <v>42711</v>
      </c>
      <c r="U11388" t="s">
        <v>50974</v>
      </c>
      <c r="W11388" t="s">
        <v>40881</v>
      </c>
      <c r="X11388" t="s">
        <v>41266</v>
      </c>
    </row>
    <row r="11389" spans="1:24">
      <c r="A11389">
        <f>HYPERLINK("https://www.philgeps.gov.ph/GEPSNONPILOT/Tender/SplashBidNoticeAbstractUI.aspx?menuIndex=3&amp;refID=7050039&amp;Result=3","7050039")</f>
        <v>0</v>
      </c>
      <c r="B11389" t="s">
        <v>1379</v>
      </c>
      <c r="C11389" t="s">
        <v>14273</v>
      </c>
      <c r="D11389" t="s">
        <v>16648</v>
      </c>
      <c r="E11389" t="s">
        <v>26570</v>
      </c>
      <c r="F11389" t="s">
        <v>28669</v>
      </c>
      <c r="G11389" t="s">
        <v>28675</v>
      </c>
      <c r="H11389" t="s">
        <v>28686</v>
      </c>
      <c r="I11389" t="s">
        <v>28689</v>
      </c>
      <c r="J11389" t="s">
        <v>35829</v>
      </c>
      <c r="K11389" t="s">
        <v>37255</v>
      </c>
      <c r="M11389" t="s">
        <v>38938</v>
      </c>
      <c r="N11389" t="s">
        <v>41249</v>
      </c>
      <c r="O11389" t="s">
        <v>41250</v>
      </c>
      <c r="P11389">
        <v>0</v>
      </c>
      <c r="Q11389">
        <v>0</v>
      </c>
      <c r="R11389" t="s">
        <v>41265</v>
      </c>
      <c r="S11389" t="s">
        <v>41880</v>
      </c>
      <c r="T11389" t="s">
        <v>42671</v>
      </c>
      <c r="U11389" t="s">
        <v>52331</v>
      </c>
      <c r="W11389" t="s">
        <v>38938</v>
      </c>
      <c r="X11389" t="s">
        <v>41266</v>
      </c>
    </row>
    <row r="11390" spans="1:24">
      <c r="A11390">
        <f>HYPERLINK("https://www.philgeps.gov.ph/GEPSNONPILOT/Tender/SplashBidNoticeAbstractUI.aspx?menuIndex=3&amp;refID=7050080&amp;Result=3","7050080")</f>
        <v>0</v>
      </c>
      <c r="B11390" t="s">
        <v>2958</v>
      </c>
      <c r="C11390" t="s">
        <v>14274</v>
      </c>
      <c r="D11390" t="s">
        <v>16609</v>
      </c>
      <c r="E11390" t="s">
        <v>26571</v>
      </c>
      <c r="F11390" t="s">
        <v>28669</v>
      </c>
      <c r="G11390" t="s">
        <v>28675</v>
      </c>
      <c r="H11390" t="s">
        <v>28686</v>
      </c>
      <c r="I11390" t="s">
        <v>28689</v>
      </c>
      <c r="J11390" t="s">
        <v>35830</v>
      </c>
      <c r="K11390" t="s">
        <v>37213</v>
      </c>
      <c r="M11390" t="s">
        <v>40718</v>
      </c>
      <c r="N11390" t="s">
        <v>41249</v>
      </c>
      <c r="O11390" t="s">
        <v>41250</v>
      </c>
      <c r="P11390">
        <v>0</v>
      </c>
      <c r="Q11390">
        <v>1</v>
      </c>
      <c r="R11390" t="s">
        <v>41265</v>
      </c>
      <c r="S11390" t="s">
        <v>41880</v>
      </c>
      <c r="T11390" t="s">
        <v>42764</v>
      </c>
      <c r="U11390" t="s">
        <v>52304</v>
      </c>
      <c r="W11390" t="s">
        <v>40718</v>
      </c>
      <c r="X11390" t="s">
        <v>41266</v>
      </c>
    </row>
    <row r="11391" spans="1:24">
      <c r="A11391">
        <f>HYPERLINK("https://www.philgeps.gov.ph/GEPSNONPILOT/Tender/SplashBidNoticeAbstractUI.aspx?menuIndex=3&amp;refID=7050159&amp;Result=3","7050159")</f>
        <v>0</v>
      </c>
      <c r="B11391" t="s">
        <v>1535</v>
      </c>
      <c r="C11391" t="s">
        <v>14275</v>
      </c>
      <c r="D11391" t="s">
        <v>16648</v>
      </c>
      <c r="E11391" t="s">
        <v>26572</v>
      </c>
      <c r="F11391" t="s">
        <v>28669</v>
      </c>
      <c r="G11391" t="s">
        <v>28675</v>
      </c>
      <c r="H11391" t="s">
        <v>9998</v>
      </c>
      <c r="I11391" t="s">
        <v>7352</v>
      </c>
      <c r="J11391" t="s">
        <v>35831</v>
      </c>
      <c r="K11391" t="s">
        <v>37209</v>
      </c>
      <c r="M11391" t="s">
        <v>39110</v>
      </c>
      <c r="N11391" t="s">
        <v>41249</v>
      </c>
      <c r="O11391" t="s">
        <v>41250</v>
      </c>
      <c r="P11391">
        <v>0</v>
      </c>
      <c r="Q11391">
        <v>1</v>
      </c>
      <c r="R11391" t="s">
        <v>41265</v>
      </c>
      <c r="S11391" t="s">
        <v>41880</v>
      </c>
      <c r="T11391" t="s">
        <v>42679</v>
      </c>
      <c r="U11391" t="s">
        <v>52332</v>
      </c>
      <c r="W11391" t="s">
        <v>39110</v>
      </c>
      <c r="X11391" t="s">
        <v>41266</v>
      </c>
    </row>
    <row r="11392" spans="1:24">
      <c r="A11392">
        <f>HYPERLINK("https://www.philgeps.gov.ph/GEPSNONPILOT/Tender/SplashBidNoticeAbstractUI.aspx?menuIndex=3&amp;refID=7050101&amp;Result=3","7050101")</f>
        <v>0</v>
      </c>
      <c r="B11392" t="s">
        <v>2958</v>
      </c>
      <c r="C11392" t="s">
        <v>14276</v>
      </c>
      <c r="D11392" t="s">
        <v>16609</v>
      </c>
      <c r="E11392" t="s">
        <v>26573</v>
      </c>
      <c r="F11392" t="s">
        <v>28669</v>
      </c>
      <c r="G11392" t="s">
        <v>28675</v>
      </c>
      <c r="H11392" t="s">
        <v>28686</v>
      </c>
      <c r="I11392" t="s">
        <v>28689</v>
      </c>
      <c r="J11392" t="s">
        <v>35832</v>
      </c>
      <c r="K11392" t="s">
        <v>37220</v>
      </c>
      <c r="M11392" t="s">
        <v>40718</v>
      </c>
      <c r="N11392" t="s">
        <v>41249</v>
      </c>
      <c r="O11392" t="s">
        <v>41250</v>
      </c>
      <c r="P11392">
        <v>0</v>
      </c>
      <c r="Q11392">
        <v>1</v>
      </c>
      <c r="R11392" t="s">
        <v>41265</v>
      </c>
      <c r="S11392" t="s">
        <v>41880</v>
      </c>
      <c r="T11392" t="s">
        <v>42764</v>
      </c>
      <c r="U11392" t="s">
        <v>52304</v>
      </c>
      <c r="W11392" t="s">
        <v>40718</v>
      </c>
      <c r="X11392" t="s">
        <v>41266</v>
      </c>
    </row>
    <row r="11393" spans="1:24">
      <c r="A11393">
        <f>HYPERLINK("https://www.philgeps.gov.ph/GEPSNONPILOT/Tender/SplashBidNoticeAbstractUI.aspx?menuIndex=3&amp;refID=7050418&amp;Result=3","7050418")</f>
        <v>0</v>
      </c>
      <c r="B11393" t="s">
        <v>3101</v>
      </c>
      <c r="C11393" t="s">
        <v>14277</v>
      </c>
      <c r="D11393" t="s">
        <v>16668</v>
      </c>
      <c r="E11393" t="s">
        <v>19752</v>
      </c>
      <c r="F11393" t="s">
        <v>28669</v>
      </c>
      <c r="G11393" t="s">
        <v>28675</v>
      </c>
      <c r="H11393" t="s">
        <v>9998</v>
      </c>
      <c r="I11393" t="s">
        <v>6128</v>
      </c>
      <c r="J11393" t="s">
        <v>35833</v>
      </c>
      <c r="K11393" t="s">
        <v>37204</v>
      </c>
      <c r="M11393" t="s">
        <v>40888</v>
      </c>
      <c r="N11393" t="s">
        <v>41249</v>
      </c>
      <c r="O11393" t="s">
        <v>41250</v>
      </c>
      <c r="P11393">
        <v>0</v>
      </c>
      <c r="Q11393">
        <v>2</v>
      </c>
      <c r="R11393" t="s">
        <v>41265</v>
      </c>
      <c r="S11393" t="s">
        <v>41880</v>
      </c>
      <c r="T11393" t="s">
        <v>42690</v>
      </c>
      <c r="U11393" t="s">
        <v>52333</v>
      </c>
      <c r="W11393" t="s">
        <v>40888</v>
      </c>
      <c r="X11393" t="s">
        <v>41266</v>
      </c>
    </row>
    <row r="11394" spans="1:24">
      <c r="A11394">
        <f>HYPERLINK("https://www.philgeps.gov.ph/GEPSNONPILOT/Tender/SplashBidNoticeAbstractUI.aspx?menuIndex=3&amp;refID=7050511&amp;Result=3","7050511")</f>
        <v>0</v>
      </c>
      <c r="B11394" t="s">
        <v>2349</v>
      </c>
      <c r="C11394" t="s">
        <v>14278</v>
      </c>
      <c r="D11394" t="s">
        <v>16691</v>
      </c>
      <c r="E11394" t="s">
        <v>26574</v>
      </c>
      <c r="F11394" t="s">
        <v>28669</v>
      </c>
      <c r="G11394" t="s">
        <v>28675</v>
      </c>
      <c r="H11394" t="s">
        <v>28686</v>
      </c>
      <c r="I11394" t="s">
        <v>28689</v>
      </c>
      <c r="J11394" t="s">
        <v>35834</v>
      </c>
      <c r="K11394" t="s">
        <v>37215</v>
      </c>
      <c r="M11394" t="s">
        <v>40017</v>
      </c>
      <c r="N11394" t="s">
        <v>41249</v>
      </c>
      <c r="O11394" t="s">
        <v>41250</v>
      </c>
      <c r="P11394">
        <v>0</v>
      </c>
      <c r="Q11394">
        <v>0</v>
      </c>
      <c r="R11394" t="s">
        <v>41265</v>
      </c>
      <c r="S11394" t="s">
        <v>41880</v>
      </c>
      <c r="T11394" t="s">
        <v>42673</v>
      </c>
      <c r="U11394" t="s">
        <v>52334</v>
      </c>
      <c r="W11394" t="s">
        <v>40017</v>
      </c>
      <c r="X11394" t="s">
        <v>41266</v>
      </c>
    </row>
    <row r="11395" spans="1:24">
      <c r="A11395">
        <f>HYPERLINK("https://www.philgeps.gov.ph/GEPSNONPILOT/Tender/SplashBidNoticeAbstractUI.aspx?menuIndex=3&amp;refID=7050030&amp;Result=3","7050030")</f>
        <v>0</v>
      </c>
      <c r="B11395" t="s">
        <v>714</v>
      </c>
      <c r="C11395" t="s">
        <v>14279</v>
      </c>
      <c r="D11395" t="s">
        <v>16608</v>
      </c>
      <c r="E11395" t="s">
        <v>26575</v>
      </c>
      <c r="F11395" t="s">
        <v>28669</v>
      </c>
      <c r="G11395" t="s">
        <v>28675</v>
      </c>
      <c r="H11395" t="s">
        <v>9998</v>
      </c>
      <c r="I11395" t="s">
        <v>28687</v>
      </c>
      <c r="J11395" t="s">
        <v>35835</v>
      </c>
      <c r="K11395" t="s">
        <v>37206</v>
      </c>
      <c r="M11395" t="s">
        <v>38221</v>
      </c>
      <c r="N11395" t="s">
        <v>41249</v>
      </c>
      <c r="O11395" t="s">
        <v>41250</v>
      </c>
      <c r="P11395">
        <v>0</v>
      </c>
      <c r="Q11395">
        <v>13</v>
      </c>
      <c r="R11395" t="s">
        <v>41265</v>
      </c>
      <c r="S11395" t="s">
        <v>41880</v>
      </c>
      <c r="T11395" t="s">
        <v>42714</v>
      </c>
      <c r="U11395" t="s">
        <v>52335</v>
      </c>
      <c r="W11395" t="s">
        <v>38221</v>
      </c>
      <c r="X11395" t="s">
        <v>41266</v>
      </c>
    </row>
    <row r="11396" spans="1:24">
      <c r="A11396">
        <f>HYPERLINK("https://www.philgeps.gov.ph/GEPSNONPILOT/Tender/SplashBidNoticeAbstractUI.aspx?menuIndex=3&amp;refID=7050497&amp;Result=3","7050497")</f>
        <v>0</v>
      </c>
      <c r="B11396" t="s">
        <v>3102</v>
      </c>
      <c r="C11396" t="s">
        <v>14280</v>
      </c>
      <c r="D11396" t="s">
        <v>16658</v>
      </c>
      <c r="E11396" t="s">
        <v>19259</v>
      </c>
      <c r="F11396" t="s">
        <v>28669</v>
      </c>
      <c r="G11396" t="s">
        <v>28675</v>
      </c>
      <c r="H11396" t="s">
        <v>9998</v>
      </c>
      <c r="I11396" t="s">
        <v>7352</v>
      </c>
      <c r="J11396" t="s">
        <v>35836</v>
      </c>
      <c r="K11396" t="s">
        <v>37206</v>
      </c>
      <c r="M11396" t="s">
        <v>40889</v>
      </c>
      <c r="N11396" t="s">
        <v>41249</v>
      </c>
      <c r="O11396" t="s">
        <v>41250</v>
      </c>
      <c r="P11396">
        <v>0</v>
      </c>
      <c r="Q11396">
        <v>2</v>
      </c>
      <c r="R11396" t="s">
        <v>41265</v>
      </c>
      <c r="S11396" t="s">
        <v>41880</v>
      </c>
      <c r="T11396" t="s">
        <v>42658</v>
      </c>
      <c r="U11396" t="s">
        <v>52336</v>
      </c>
      <c r="W11396" t="s">
        <v>40889</v>
      </c>
      <c r="X11396" t="s">
        <v>41266</v>
      </c>
    </row>
    <row r="11397" spans="1:24">
      <c r="A11397">
        <f>HYPERLINK("https://www.philgeps.gov.ph/GEPSNONPILOT/Tender/SplashBidNoticeAbstractUI.aspx?menuIndex=3&amp;refID=7050470&amp;Result=3","7050470")</f>
        <v>0</v>
      </c>
      <c r="B11397" t="s">
        <v>3101</v>
      </c>
      <c r="C11397" t="s">
        <v>14281</v>
      </c>
      <c r="E11397" t="s">
        <v>25746</v>
      </c>
      <c r="F11397" t="s">
        <v>28669</v>
      </c>
      <c r="G11397" t="s">
        <v>28675</v>
      </c>
      <c r="H11397" t="s">
        <v>9998</v>
      </c>
      <c r="I11397" t="s">
        <v>3718</v>
      </c>
      <c r="J11397" t="s">
        <v>31854</v>
      </c>
      <c r="K11397" t="s">
        <v>37204</v>
      </c>
      <c r="M11397" t="s">
        <v>40888</v>
      </c>
      <c r="N11397" t="s">
        <v>41249</v>
      </c>
      <c r="O11397" t="s">
        <v>41250</v>
      </c>
      <c r="P11397">
        <v>0</v>
      </c>
      <c r="Q11397">
        <v>2</v>
      </c>
      <c r="R11397" t="s">
        <v>41265</v>
      </c>
      <c r="S11397" t="s">
        <v>41880</v>
      </c>
      <c r="T11397" t="s">
        <v>42690</v>
      </c>
      <c r="U11397" t="s">
        <v>52337</v>
      </c>
      <c r="W11397" t="s">
        <v>40888</v>
      </c>
      <c r="X11397" t="s">
        <v>41266</v>
      </c>
    </row>
    <row r="11398" spans="1:24">
      <c r="A11398">
        <f>HYPERLINK("https://www.philgeps.gov.ph/GEPSNONPILOT/Tender/SplashBidNoticeAbstractUI.aspx?menuIndex=3&amp;refID=7050398&amp;Result=3","7050398")</f>
        <v>0</v>
      </c>
      <c r="B11398" t="s">
        <v>3102</v>
      </c>
      <c r="C11398" t="s">
        <v>14282</v>
      </c>
      <c r="D11398" t="s">
        <v>16658</v>
      </c>
      <c r="E11398" t="s">
        <v>19306</v>
      </c>
      <c r="F11398" t="s">
        <v>28669</v>
      </c>
      <c r="G11398" t="s">
        <v>28675</v>
      </c>
      <c r="H11398" t="s">
        <v>9998</v>
      </c>
      <c r="I11398" t="s">
        <v>7352</v>
      </c>
      <c r="J11398" t="s">
        <v>35837</v>
      </c>
      <c r="K11398" t="s">
        <v>37206</v>
      </c>
      <c r="M11398" t="s">
        <v>40889</v>
      </c>
      <c r="N11398" t="s">
        <v>41249</v>
      </c>
      <c r="O11398" t="s">
        <v>41250</v>
      </c>
      <c r="P11398">
        <v>0</v>
      </c>
      <c r="Q11398">
        <v>1</v>
      </c>
      <c r="R11398" t="s">
        <v>41265</v>
      </c>
      <c r="S11398" t="s">
        <v>41880</v>
      </c>
      <c r="T11398" t="s">
        <v>42658</v>
      </c>
      <c r="U11398" t="s">
        <v>52338</v>
      </c>
      <c r="W11398" t="s">
        <v>40889</v>
      </c>
      <c r="X11398" t="s">
        <v>41266</v>
      </c>
    </row>
    <row r="11399" spans="1:24">
      <c r="A11399">
        <f>HYPERLINK("https://www.philgeps.gov.ph/GEPSNONPILOT/Tender/SplashBidNoticeAbstractUI.aspx?menuIndex=3&amp;refID=7050535&amp;Result=3","7050535")</f>
        <v>0</v>
      </c>
      <c r="B11399" t="s">
        <v>3102</v>
      </c>
      <c r="C11399" t="s">
        <v>14283</v>
      </c>
      <c r="D11399" t="s">
        <v>16658</v>
      </c>
      <c r="E11399" t="s">
        <v>17094</v>
      </c>
      <c r="F11399" t="s">
        <v>28669</v>
      </c>
      <c r="G11399" t="s">
        <v>28675</v>
      </c>
      <c r="H11399" t="s">
        <v>9998</v>
      </c>
      <c r="I11399" t="s">
        <v>7352</v>
      </c>
      <c r="J11399" t="s">
        <v>30063</v>
      </c>
      <c r="K11399" t="s">
        <v>37206</v>
      </c>
      <c r="M11399" t="s">
        <v>40889</v>
      </c>
      <c r="N11399" t="s">
        <v>41249</v>
      </c>
      <c r="O11399" t="s">
        <v>41250</v>
      </c>
      <c r="P11399">
        <v>0</v>
      </c>
      <c r="Q11399">
        <v>1</v>
      </c>
      <c r="R11399" t="s">
        <v>41265</v>
      </c>
      <c r="S11399" t="s">
        <v>41880</v>
      </c>
      <c r="T11399" t="s">
        <v>42658</v>
      </c>
      <c r="U11399" t="s">
        <v>52339</v>
      </c>
      <c r="W11399" t="s">
        <v>40889</v>
      </c>
      <c r="X11399" t="s">
        <v>41266</v>
      </c>
    </row>
    <row r="11400" spans="1:24">
      <c r="A11400">
        <f>HYPERLINK("https://www.philgeps.gov.ph/GEPSNONPILOT/Tender/SplashBidNoticeAbstractUI.aspx?menuIndex=3&amp;refID=7050502&amp;Result=3","7050502")</f>
        <v>0</v>
      </c>
      <c r="B11400" t="s">
        <v>3103</v>
      </c>
      <c r="C11400" t="s">
        <v>14284</v>
      </c>
      <c r="D11400" t="s">
        <v>16675</v>
      </c>
      <c r="E11400" t="s">
        <v>26576</v>
      </c>
      <c r="F11400" t="s">
        <v>28669</v>
      </c>
      <c r="G11400" t="s">
        <v>28675</v>
      </c>
      <c r="H11400" t="s">
        <v>9998</v>
      </c>
      <c r="I11400" t="s">
        <v>7352</v>
      </c>
      <c r="J11400" t="s">
        <v>35838</v>
      </c>
      <c r="K11400" t="s">
        <v>37205</v>
      </c>
      <c r="M11400" t="s">
        <v>40890</v>
      </c>
      <c r="N11400" t="s">
        <v>41249</v>
      </c>
      <c r="O11400" t="s">
        <v>41250</v>
      </c>
      <c r="P11400">
        <v>0</v>
      </c>
      <c r="Q11400">
        <v>0</v>
      </c>
      <c r="R11400" t="s">
        <v>41265</v>
      </c>
      <c r="S11400" t="s">
        <v>41880</v>
      </c>
      <c r="T11400" t="s">
        <v>42690</v>
      </c>
      <c r="U11400" t="s">
        <v>52340</v>
      </c>
      <c r="W11400" t="s">
        <v>40890</v>
      </c>
      <c r="X11400" t="s">
        <v>41266</v>
      </c>
    </row>
    <row r="11401" spans="1:24">
      <c r="A11401">
        <f>HYPERLINK("https://www.philgeps.gov.ph/GEPSNONPILOT/Tender/SplashBidNoticeAbstractUI.aspx?menuIndex=3&amp;refID=7050442&amp;Result=3","7050442")</f>
        <v>0</v>
      </c>
      <c r="B11401" t="s">
        <v>3104</v>
      </c>
      <c r="C11401" t="s">
        <v>14285</v>
      </c>
      <c r="D11401" t="s">
        <v>16657</v>
      </c>
      <c r="E11401" t="s">
        <v>26577</v>
      </c>
      <c r="F11401" t="s">
        <v>28669</v>
      </c>
      <c r="G11401" t="s">
        <v>28675</v>
      </c>
      <c r="H11401" t="s">
        <v>28686</v>
      </c>
      <c r="I11401" t="s">
        <v>28689</v>
      </c>
      <c r="J11401" t="s">
        <v>35839</v>
      </c>
      <c r="K11401" t="s">
        <v>37209</v>
      </c>
      <c r="M11401" t="s">
        <v>40891</v>
      </c>
      <c r="N11401" t="s">
        <v>41249</v>
      </c>
      <c r="O11401" t="s">
        <v>41250</v>
      </c>
      <c r="Q11401">
        <v>86</v>
      </c>
      <c r="R11401" t="s">
        <v>41265</v>
      </c>
      <c r="S11401" t="s">
        <v>41896</v>
      </c>
      <c r="T11401" t="s">
        <v>42670</v>
      </c>
      <c r="U11401" t="s">
        <v>52341</v>
      </c>
      <c r="W11401" t="s">
        <v>40891</v>
      </c>
      <c r="X11401" t="s">
        <v>41266</v>
      </c>
    </row>
    <row r="11402" spans="1:24">
      <c r="A11402">
        <f>HYPERLINK("https://www.philgeps.gov.ph/GEPSNONPILOT/Tender/SplashBidNoticeAbstractUI.aspx?menuIndex=3&amp;refID=7050428&amp;Result=3","7050428")</f>
        <v>0</v>
      </c>
      <c r="B11402" t="s">
        <v>3105</v>
      </c>
      <c r="C11402" t="s">
        <v>14286</v>
      </c>
      <c r="D11402" t="s">
        <v>16609</v>
      </c>
      <c r="E11402" t="s">
        <v>26578</v>
      </c>
      <c r="F11402" t="s">
        <v>28669</v>
      </c>
      <c r="G11402" t="s">
        <v>28675</v>
      </c>
      <c r="H11402" t="s">
        <v>28686</v>
      </c>
      <c r="I11402" t="s">
        <v>28689</v>
      </c>
      <c r="J11402" t="s">
        <v>29307</v>
      </c>
      <c r="K11402" t="s">
        <v>37209</v>
      </c>
      <c r="M11402" t="s">
        <v>40892</v>
      </c>
      <c r="N11402" t="s">
        <v>41249</v>
      </c>
      <c r="O11402" t="s">
        <v>41250</v>
      </c>
      <c r="P11402">
        <v>0</v>
      </c>
      <c r="Q11402">
        <v>0</v>
      </c>
      <c r="R11402" t="s">
        <v>41265</v>
      </c>
      <c r="S11402" t="s">
        <v>41880</v>
      </c>
      <c r="T11402" t="s">
        <v>42678</v>
      </c>
      <c r="U11402" t="s">
        <v>52342</v>
      </c>
      <c r="W11402" t="s">
        <v>40892</v>
      </c>
      <c r="X11402" t="s">
        <v>41266</v>
      </c>
    </row>
    <row r="11403" spans="1:24">
      <c r="A11403">
        <f>HYPERLINK("https://www.philgeps.gov.ph/GEPSNONPILOT/Tender/SplashBidNoticeAbstractUI.aspx?menuIndex=3&amp;refID=7050482&amp;Result=3","7050482")</f>
        <v>0</v>
      </c>
      <c r="B11403" t="s">
        <v>2968</v>
      </c>
      <c r="C11403" t="s">
        <v>14287</v>
      </c>
      <c r="D11403" t="s">
        <v>16657</v>
      </c>
      <c r="E11403" t="s">
        <v>26579</v>
      </c>
      <c r="F11403" t="s">
        <v>28669</v>
      </c>
      <c r="G11403" t="s">
        <v>28675</v>
      </c>
      <c r="H11403" t="s">
        <v>9998</v>
      </c>
      <c r="I11403" t="s">
        <v>15140</v>
      </c>
      <c r="J11403" t="s">
        <v>28836</v>
      </c>
      <c r="K11403" t="s">
        <v>37209</v>
      </c>
      <c r="M11403" t="s">
        <v>40730</v>
      </c>
      <c r="N11403" t="s">
        <v>41249</v>
      </c>
      <c r="O11403" t="s">
        <v>41250</v>
      </c>
      <c r="Q11403">
        <v>3</v>
      </c>
      <c r="R11403" t="s">
        <v>41265</v>
      </c>
      <c r="S11403" t="s">
        <v>41923</v>
      </c>
      <c r="T11403" t="s">
        <v>42669</v>
      </c>
      <c r="U11403" t="s">
        <v>52343</v>
      </c>
      <c r="V11403" t="s">
        <v>55605</v>
      </c>
      <c r="W11403" t="s">
        <v>40730</v>
      </c>
      <c r="X11403" t="s">
        <v>41266</v>
      </c>
    </row>
    <row r="11404" spans="1:24">
      <c r="A11404">
        <f>HYPERLINK("https://www.philgeps.gov.ph/GEPSNONPILOT/Tender/SplashBidNoticeAbstractUI.aspx?menuIndex=3&amp;refID=7050558&amp;Result=3","7050558")</f>
        <v>0</v>
      </c>
      <c r="B11404" t="s">
        <v>3102</v>
      </c>
      <c r="C11404" t="s">
        <v>14288</v>
      </c>
      <c r="D11404" t="s">
        <v>16658</v>
      </c>
      <c r="E11404" t="s">
        <v>24288</v>
      </c>
      <c r="F11404" t="s">
        <v>28669</v>
      </c>
      <c r="G11404" t="s">
        <v>28675</v>
      </c>
      <c r="H11404" t="s">
        <v>9998</v>
      </c>
      <c r="I11404" t="s">
        <v>3679</v>
      </c>
      <c r="J11404" t="s">
        <v>35840</v>
      </c>
      <c r="K11404" t="s">
        <v>37205</v>
      </c>
      <c r="M11404" t="s">
        <v>40889</v>
      </c>
      <c r="N11404" t="s">
        <v>41249</v>
      </c>
      <c r="O11404" t="s">
        <v>41250</v>
      </c>
      <c r="P11404">
        <v>0</v>
      </c>
      <c r="Q11404">
        <v>1</v>
      </c>
      <c r="R11404" t="s">
        <v>41265</v>
      </c>
      <c r="S11404" t="s">
        <v>41880</v>
      </c>
      <c r="T11404" t="s">
        <v>42658</v>
      </c>
      <c r="U11404" t="s">
        <v>52344</v>
      </c>
      <c r="W11404" t="s">
        <v>40889</v>
      </c>
      <c r="X11404" t="s">
        <v>41266</v>
      </c>
    </row>
    <row r="11405" spans="1:24">
      <c r="A11405">
        <f>HYPERLINK("https://www.philgeps.gov.ph/GEPSNONPILOT/Tender/SplashBidNoticeAbstractUI.aspx?menuIndex=3&amp;refID=7050452&amp;Result=3","7050452")</f>
        <v>0</v>
      </c>
      <c r="B11405" t="s">
        <v>2022</v>
      </c>
      <c r="C11405" t="s">
        <v>14289</v>
      </c>
      <c r="D11405" t="s">
        <v>16622</v>
      </c>
      <c r="E11405" t="s">
        <v>26580</v>
      </c>
      <c r="F11405" t="s">
        <v>28669</v>
      </c>
      <c r="G11405" t="s">
        <v>28675</v>
      </c>
      <c r="H11405" t="s">
        <v>9998</v>
      </c>
      <c r="I11405" t="s">
        <v>28690</v>
      </c>
      <c r="J11405" t="s">
        <v>30408</v>
      </c>
      <c r="K11405" t="s">
        <v>37209</v>
      </c>
      <c r="M11405" t="s">
        <v>39661</v>
      </c>
      <c r="N11405" t="s">
        <v>41249</v>
      </c>
      <c r="O11405" t="s">
        <v>41250</v>
      </c>
      <c r="Q11405">
        <v>5</v>
      </c>
      <c r="R11405" t="s">
        <v>41265</v>
      </c>
      <c r="S11405" t="s">
        <v>41924</v>
      </c>
      <c r="T11405" t="s">
        <v>42670</v>
      </c>
      <c r="U11405" t="s">
        <v>52345</v>
      </c>
      <c r="V11405" t="s">
        <v>54935</v>
      </c>
      <c r="W11405" t="s">
        <v>39661</v>
      </c>
      <c r="X11405" t="s">
        <v>41266</v>
      </c>
    </row>
    <row r="11406" spans="1:24">
      <c r="A11406">
        <f>HYPERLINK("https://www.philgeps.gov.ph/GEPSNONPILOT/Tender/SplashBidNoticeAbstractUI.aspx?menuIndex=3&amp;refID=7050555&amp;Result=3","7050555")</f>
        <v>0</v>
      </c>
      <c r="B11406" t="s">
        <v>2968</v>
      </c>
      <c r="C11406" t="s">
        <v>14290</v>
      </c>
      <c r="D11406" t="s">
        <v>16657</v>
      </c>
      <c r="E11406" t="s">
        <v>26581</v>
      </c>
      <c r="F11406" t="s">
        <v>28669</v>
      </c>
      <c r="G11406" t="s">
        <v>28675</v>
      </c>
      <c r="H11406" t="s">
        <v>9998</v>
      </c>
      <c r="I11406" t="s">
        <v>28729</v>
      </c>
      <c r="J11406" t="s">
        <v>28878</v>
      </c>
      <c r="K11406" t="s">
        <v>37209</v>
      </c>
      <c r="M11406" t="s">
        <v>40730</v>
      </c>
      <c r="N11406" t="s">
        <v>41249</v>
      </c>
      <c r="O11406" t="s">
        <v>41250</v>
      </c>
      <c r="Q11406">
        <v>9</v>
      </c>
      <c r="R11406" t="s">
        <v>41265</v>
      </c>
      <c r="S11406" t="s">
        <v>41925</v>
      </c>
      <c r="T11406" t="s">
        <v>42669</v>
      </c>
      <c r="U11406" t="s">
        <v>52346</v>
      </c>
      <c r="V11406" t="s">
        <v>55606</v>
      </c>
      <c r="W11406" t="s">
        <v>40730</v>
      </c>
      <c r="X11406" t="s">
        <v>41266</v>
      </c>
    </row>
    <row r="11407" spans="1:24">
      <c r="A11407">
        <f>HYPERLINK("https://www.philgeps.gov.ph/GEPSNONPILOT/Tender/SplashBidNoticeAbstractUI.aspx?menuIndex=3&amp;refID=7050552&amp;Result=3","7050552")</f>
        <v>0</v>
      </c>
      <c r="B11407" t="s">
        <v>2349</v>
      </c>
      <c r="C11407" t="s">
        <v>14291</v>
      </c>
      <c r="D11407" t="s">
        <v>16691</v>
      </c>
      <c r="E11407" t="s">
        <v>26582</v>
      </c>
      <c r="F11407" t="s">
        <v>28669</v>
      </c>
      <c r="G11407" t="s">
        <v>28675</v>
      </c>
      <c r="H11407" t="s">
        <v>28686</v>
      </c>
      <c r="I11407" t="s">
        <v>28689</v>
      </c>
      <c r="J11407" t="s">
        <v>35841</v>
      </c>
      <c r="K11407" t="s">
        <v>37211</v>
      </c>
      <c r="M11407" t="s">
        <v>40017</v>
      </c>
      <c r="N11407" t="s">
        <v>41249</v>
      </c>
      <c r="O11407" t="s">
        <v>41250</v>
      </c>
      <c r="P11407">
        <v>0</v>
      </c>
      <c r="Q11407">
        <v>0</v>
      </c>
      <c r="R11407" t="s">
        <v>41265</v>
      </c>
      <c r="S11407" t="s">
        <v>41880</v>
      </c>
      <c r="T11407" t="s">
        <v>42673</v>
      </c>
      <c r="U11407" t="s">
        <v>52347</v>
      </c>
      <c r="W11407" t="s">
        <v>40017</v>
      </c>
      <c r="X11407" t="s">
        <v>41266</v>
      </c>
    </row>
    <row r="11408" spans="1:24">
      <c r="A11408">
        <f>HYPERLINK("https://www.philgeps.gov.ph/GEPSNONPILOT/Tender/SplashBidNoticeAbstractUI.aspx?menuIndex=3&amp;refID=7050431&amp;Result=3","7050431")</f>
        <v>0</v>
      </c>
      <c r="B11408" t="s">
        <v>2022</v>
      </c>
      <c r="C11408" t="s">
        <v>14292</v>
      </c>
      <c r="D11408" t="s">
        <v>16622</v>
      </c>
      <c r="E11408" t="s">
        <v>14292</v>
      </c>
      <c r="F11408" t="s">
        <v>28669</v>
      </c>
      <c r="G11408" t="s">
        <v>28675</v>
      </c>
      <c r="H11408" t="s">
        <v>9998</v>
      </c>
      <c r="I11408" t="s">
        <v>5286</v>
      </c>
      <c r="J11408" t="s">
        <v>28943</v>
      </c>
      <c r="K11408" t="s">
        <v>37209</v>
      </c>
      <c r="M11408" t="s">
        <v>39661</v>
      </c>
      <c r="N11408" t="s">
        <v>41249</v>
      </c>
      <c r="O11408" t="s">
        <v>41250</v>
      </c>
      <c r="Q11408">
        <v>6</v>
      </c>
      <c r="R11408" t="s">
        <v>41265</v>
      </c>
      <c r="S11408" t="s">
        <v>41926</v>
      </c>
      <c r="T11408" t="s">
        <v>42670</v>
      </c>
      <c r="U11408" t="s">
        <v>52345</v>
      </c>
      <c r="V11408" t="s">
        <v>54935</v>
      </c>
      <c r="W11408" t="s">
        <v>39661</v>
      </c>
      <c r="X11408" t="s">
        <v>41266</v>
      </c>
    </row>
    <row r="11409" spans="1:24">
      <c r="A11409">
        <f>HYPERLINK("https://www.philgeps.gov.ph/GEPSNONPILOT/Tender/SplashBidNoticeAbstractUI.aspx?menuIndex=3&amp;refID=7050427&amp;Result=3","7050427")</f>
        <v>0</v>
      </c>
      <c r="B11409" t="s">
        <v>3106</v>
      </c>
      <c r="C11409" t="s">
        <v>14293</v>
      </c>
      <c r="D11409" t="s">
        <v>16627</v>
      </c>
      <c r="E11409" t="s">
        <v>26583</v>
      </c>
      <c r="F11409" t="s">
        <v>28669</v>
      </c>
      <c r="G11409" t="s">
        <v>28675</v>
      </c>
      <c r="H11409" t="s">
        <v>9998</v>
      </c>
      <c r="I11409" t="s">
        <v>7352</v>
      </c>
      <c r="J11409" t="s">
        <v>35842</v>
      </c>
      <c r="K11409" t="s">
        <v>37206</v>
      </c>
      <c r="M11409" t="s">
        <v>40893</v>
      </c>
      <c r="N11409" t="s">
        <v>41249</v>
      </c>
      <c r="O11409" t="s">
        <v>41250</v>
      </c>
      <c r="P11409">
        <v>0</v>
      </c>
      <c r="Q11409">
        <v>2</v>
      </c>
      <c r="R11409" t="s">
        <v>41265</v>
      </c>
      <c r="S11409" t="s">
        <v>41880</v>
      </c>
      <c r="T11409" t="s">
        <v>42659</v>
      </c>
      <c r="U11409" t="s">
        <v>52348</v>
      </c>
      <c r="W11409" t="s">
        <v>40893</v>
      </c>
      <c r="X11409" t="s">
        <v>41266</v>
      </c>
    </row>
    <row r="11410" spans="1:24">
      <c r="A11410">
        <f>HYPERLINK("https://www.philgeps.gov.ph/GEPSNONPILOT/Tender/SplashBidNoticeAbstractUI.aspx?menuIndex=3&amp;refID=7050606&amp;Result=3","7050606")</f>
        <v>0</v>
      </c>
      <c r="B11410" t="s">
        <v>3107</v>
      </c>
      <c r="C11410" t="s">
        <v>14294</v>
      </c>
      <c r="D11410" t="s">
        <v>16622</v>
      </c>
      <c r="E11410" t="s">
        <v>23637</v>
      </c>
      <c r="F11410" t="s">
        <v>28669</v>
      </c>
      <c r="G11410" t="s">
        <v>28675</v>
      </c>
      <c r="H11410" t="s">
        <v>28686</v>
      </c>
      <c r="I11410" t="s">
        <v>28689</v>
      </c>
      <c r="J11410" t="s">
        <v>35843</v>
      </c>
      <c r="K11410" t="s">
        <v>37215</v>
      </c>
      <c r="M11410" t="s">
        <v>40894</v>
      </c>
      <c r="N11410" t="s">
        <v>41249</v>
      </c>
      <c r="O11410" t="s">
        <v>41250</v>
      </c>
      <c r="P11410">
        <v>0</v>
      </c>
      <c r="Q11410">
        <v>0</v>
      </c>
      <c r="R11410" t="s">
        <v>41265</v>
      </c>
      <c r="S11410" t="s">
        <v>41880</v>
      </c>
      <c r="T11410" t="s">
        <v>42678</v>
      </c>
      <c r="U11410" t="s">
        <v>52349</v>
      </c>
      <c r="W11410" t="s">
        <v>40894</v>
      </c>
      <c r="X11410" t="s">
        <v>41266</v>
      </c>
    </row>
    <row r="11411" spans="1:24">
      <c r="A11411">
        <f>HYPERLINK("https://www.philgeps.gov.ph/GEPSNONPILOT/Tender/SplashBidNoticeAbstractUI.aspx?menuIndex=3&amp;refID=7050536&amp;Result=3","7050536")</f>
        <v>0</v>
      </c>
      <c r="B11411" t="s">
        <v>1133</v>
      </c>
      <c r="C11411" t="s">
        <v>14295</v>
      </c>
      <c r="D11411" t="s">
        <v>16647</v>
      </c>
      <c r="E11411" t="s">
        <v>26584</v>
      </c>
      <c r="F11411" t="s">
        <v>28669</v>
      </c>
      <c r="G11411" t="s">
        <v>28675</v>
      </c>
      <c r="H11411" t="s">
        <v>9998</v>
      </c>
      <c r="I11411" t="s">
        <v>7352</v>
      </c>
      <c r="J11411" t="s">
        <v>35844</v>
      </c>
      <c r="K11411" t="s">
        <v>37216</v>
      </c>
      <c r="M11411" t="s">
        <v>38667</v>
      </c>
      <c r="N11411" t="s">
        <v>41249</v>
      </c>
      <c r="O11411" t="s">
        <v>41250</v>
      </c>
      <c r="P11411">
        <v>0</v>
      </c>
      <c r="Q11411">
        <v>0</v>
      </c>
      <c r="R11411" t="s">
        <v>41265</v>
      </c>
      <c r="S11411" t="s">
        <v>41880</v>
      </c>
      <c r="T11411" t="s">
        <v>43081</v>
      </c>
      <c r="U11411" t="s">
        <v>52350</v>
      </c>
      <c r="W11411" t="s">
        <v>38667</v>
      </c>
      <c r="X11411" t="s">
        <v>41266</v>
      </c>
    </row>
    <row r="11412" spans="1:24">
      <c r="A11412">
        <f>HYPERLINK("https://www.philgeps.gov.ph/GEPSNONPILOT/Tender/SplashBidNoticeAbstractUI.aspx?menuIndex=3&amp;refID=7050693&amp;Result=3","7050693")</f>
        <v>0</v>
      </c>
      <c r="B11412" t="s">
        <v>322</v>
      </c>
      <c r="C11412" t="s">
        <v>14296</v>
      </c>
      <c r="D11412" t="s">
        <v>16655</v>
      </c>
      <c r="E11412" t="s">
        <v>26585</v>
      </c>
      <c r="F11412" t="s">
        <v>28669</v>
      </c>
      <c r="G11412" t="s">
        <v>28675</v>
      </c>
      <c r="H11412" t="s">
        <v>9998</v>
      </c>
      <c r="I11412" t="s">
        <v>28687</v>
      </c>
      <c r="J11412" t="s">
        <v>34691</v>
      </c>
      <c r="K11412" t="s">
        <v>37206</v>
      </c>
      <c r="M11412" t="s">
        <v>37802</v>
      </c>
      <c r="N11412" t="s">
        <v>41249</v>
      </c>
      <c r="O11412" t="s">
        <v>41250</v>
      </c>
      <c r="P11412">
        <v>0</v>
      </c>
      <c r="Q11412">
        <v>6</v>
      </c>
      <c r="R11412" t="s">
        <v>41265</v>
      </c>
      <c r="S11412" t="s">
        <v>41880</v>
      </c>
      <c r="T11412" t="s">
        <v>42670</v>
      </c>
      <c r="U11412" t="s">
        <v>52351</v>
      </c>
      <c r="V11412" t="s">
        <v>55607</v>
      </c>
      <c r="W11412" t="s">
        <v>37802</v>
      </c>
      <c r="X11412" t="s">
        <v>41266</v>
      </c>
    </row>
    <row r="11413" spans="1:24">
      <c r="A11413">
        <f>HYPERLINK("https://www.philgeps.gov.ph/GEPSNONPILOT/Tender/SplashBidNoticeAbstractUI.aspx?menuIndex=3&amp;refID=7050613&amp;Result=3","7050613")</f>
        <v>0</v>
      </c>
      <c r="B11413" t="s">
        <v>3102</v>
      </c>
      <c r="C11413" t="s">
        <v>14297</v>
      </c>
      <c r="D11413" t="s">
        <v>16658</v>
      </c>
      <c r="E11413" t="s">
        <v>20806</v>
      </c>
      <c r="F11413" t="s">
        <v>28669</v>
      </c>
      <c r="G11413" t="s">
        <v>28675</v>
      </c>
      <c r="H11413" t="s">
        <v>9998</v>
      </c>
      <c r="I11413" t="s">
        <v>7352</v>
      </c>
      <c r="J11413" t="s">
        <v>35845</v>
      </c>
      <c r="K11413" t="s">
        <v>37206</v>
      </c>
      <c r="M11413" t="s">
        <v>40889</v>
      </c>
      <c r="N11413" t="s">
        <v>41249</v>
      </c>
      <c r="O11413" t="s">
        <v>41250</v>
      </c>
      <c r="P11413">
        <v>0</v>
      </c>
      <c r="Q11413">
        <v>1</v>
      </c>
      <c r="R11413" t="s">
        <v>41265</v>
      </c>
      <c r="S11413" t="s">
        <v>41880</v>
      </c>
      <c r="T11413" t="s">
        <v>42658</v>
      </c>
      <c r="U11413" t="s">
        <v>52352</v>
      </c>
      <c r="W11413" t="s">
        <v>40889</v>
      </c>
      <c r="X11413" t="s">
        <v>41266</v>
      </c>
    </row>
    <row r="11414" spans="1:24">
      <c r="A11414">
        <f>HYPERLINK("https://www.philgeps.gov.ph/GEPSNONPILOT/Tender/SplashBidNoticeAbstractUI.aspx?menuIndex=3&amp;refID=7050682&amp;Result=3","7050682")</f>
        <v>0</v>
      </c>
      <c r="B11414" t="s">
        <v>746</v>
      </c>
      <c r="C11414" t="s">
        <v>14298</v>
      </c>
      <c r="D11414" t="s">
        <v>16643</v>
      </c>
      <c r="E11414" t="s">
        <v>26586</v>
      </c>
      <c r="F11414" t="s">
        <v>28669</v>
      </c>
      <c r="G11414" t="s">
        <v>28675</v>
      </c>
      <c r="H11414" t="s">
        <v>9998</v>
      </c>
      <c r="I11414" t="s">
        <v>7352</v>
      </c>
      <c r="J11414" t="s">
        <v>35846</v>
      </c>
      <c r="K11414" t="s">
        <v>37209</v>
      </c>
      <c r="M11414" t="s">
        <v>38256</v>
      </c>
      <c r="N11414" t="s">
        <v>41249</v>
      </c>
      <c r="O11414" t="s">
        <v>41250</v>
      </c>
      <c r="P11414">
        <v>0</v>
      </c>
      <c r="Q11414">
        <v>0</v>
      </c>
      <c r="R11414" t="s">
        <v>41265</v>
      </c>
      <c r="S11414" t="s">
        <v>41880</v>
      </c>
      <c r="T11414" t="s">
        <v>42836</v>
      </c>
      <c r="U11414" t="s">
        <v>52353</v>
      </c>
      <c r="W11414" t="s">
        <v>38256</v>
      </c>
      <c r="X11414" t="s">
        <v>41266</v>
      </c>
    </row>
    <row r="11415" spans="1:24">
      <c r="A11415">
        <f>HYPERLINK("https://www.philgeps.gov.ph/GEPSNONPILOT/Tender/SplashBidNoticeAbstractUI.aspx?menuIndex=3&amp;refID=7050680&amp;Result=3","7050680")</f>
        <v>0</v>
      </c>
      <c r="B11415" t="s">
        <v>3108</v>
      </c>
      <c r="C11415" t="s">
        <v>14299</v>
      </c>
      <c r="D11415" t="s">
        <v>16622</v>
      </c>
      <c r="E11415" t="s">
        <v>26587</v>
      </c>
      <c r="F11415" t="s">
        <v>28669</v>
      </c>
      <c r="G11415" t="s">
        <v>28675</v>
      </c>
      <c r="H11415" t="s">
        <v>28686</v>
      </c>
      <c r="I11415" t="s">
        <v>28689</v>
      </c>
      <c r="J11415" t="s">
        <v>35847</v>
      </c>
      <c r="K11415" t="s">
        <v>37215</v>
      </c>
      <c r="M11415" t="s">
        <v>40895</v>
      </c>
      <c r="N11415" t="s">
        <v>41249</v>
      </c>
      <c r="O11415" t="s">
        <v>41250</v>
      </c>
      <c r="P11415">
        <v>0</v>
      </c>
      <c r="Q11415">
        <v>0</v>
      </c>
      <c r="R11415" t="s">
        <v>41265</v>
      </c>
      <c r="S11415" t="s">
        <v>41880</v>
      </c>
      <c r="T11415" t="s">
        <v>42678</v>
      </c>
      <c r="U11415" t="s">
        <v>52354</v>
      </c>
      <c r="W11415" t="s">
        <v>40895</v>
      </c>
      <c r="X11415" t="s">
        <v>41266</v>
      </c>
    </row>
    <row r="11416" spans="1:24">
      <c r="A11416">
        <f>HYPERLINK("https://www.philgeps.gov.ph/GEPSNONPILOT/Tender/SplashBidNoticeAbstractUI.aspx?menuIndex=3&amp;refID=7050673&amp;Result=3","7050673")</f>
        <v>0</v>
      </c>
      <c r="B11416" t="s">
        <v>322</v>
      </c>
      <c r="C11416" t="s">
        <v>14300</v>
      </c>
      <c r="D11416" t="s">
        <v>16655</v>
      </c>
      <c r="E11416" t="s">
        <v>26588</v>
      </c>
      <c r="F11416" t="s">
        <v>28669</v>
      </c>
      <c r="G11416" t="s">
        <v>28675</v>
      </c>
      <c r="H11416" t="s">
        <v>9998</v>
      </c>
      <c r="I11416" t="s">
        <v>5286</v>
      </c>
      <c r="J11416" t="s">
        <v>35848</v>
      </c>
      <c r="K11416" t="s">
        <v>37206</v>
      </c>
      <c r="M11416" t="s">
        <v>37802</v>
      </c>
      <c r="N11416" t="s">
        <v>41249</v>
      </c>
      <c r="O11416" t="s">
        <v>41250</v>
      </c>
      <c r="P11416">
        <v>0</v>
      </c>
      <c r="Q11416">
        <v>5</v>
      </c>
      <c r="R11416" t="s">
        <v>41265</v>
      </c>
      <c r="S11416" t="s">
        <v>41880</v>
      </c>
      <c r="T11416" t="s">
        <v>42670</v>
      </c>
      <c r="U11416" t="s">
        <v>52351</v>
      </c>
      <c r="V11416" t="s">
        <v>55607</v>
      </c>
      <c r="W11416" t="s">
        <v>37802</v>
      </c>
      <c r="X11416" t="s">
        <v>41266</v>
      </c>
    </row>
    <row r="11417" spans="1:24">
      <c r="A11417">
        <f>HYPERLINK("https://www.philgeps.gov.ph/GEPSNONPILOT/Tender/SplashBidNoticeAbstractUI.aspx?menuIndex=3&amp;refID=7050670&amp;Result=3","7050670")</f>
        <v>0</v>
      </c>
      <c r="B11417" t="s">
        <v>3064</v>
      </c>
      <c r="C11417" t="s">
        <v>14301</v>
      </c>
      <c r="D11417" t="s">
        <v>16649</v>
      </c>
      <c r="E11417" t="s">
        <v>26589</v>
      </c>
      <c r="F11417" t="s">
        <v>28669</v>
      </c>
      <c r="G11417" t="s">
        <v>28675</v>
      </c>
      <c r="H11417" t="s">
        <v>9998</v>
      </c>
      <c r="I11417" t="s">
        <v>28687</v>
      </c>
      <c r="J11417" t="s">
        <v>30025</v>
      </c>
      <c r="K11417" t="s">
        <v>37227</v>
      </c>
      <c r="M11417" t="s">
        <v>40846</v>
      </c>
      <c r="N11417" t="s">
        <v>41249</v>
      </c>
      <c r="O11417" t="s">
        <v>41250</v>
      </c>
      <c r="P11417">
        <v>0</v>
      </c>
      <c r="Q11417">
        <v>2</v>
      </c>
      <c r="R11417" t="s">
        <v>41265</v>
      </c>
      <c r="S11417" t="s">
        <v>41880</v>
      </c>
      <c r="T11417" t="s">
        <v>42690</v>
      </c>
      <c r="U11417" t="s">
        <v>52355</v>
      </c>
      <c r="W11417" t="s">
        <v>40846</v>
      </c>
      <c r="X11417" t="s">
        <v>41266</v>
      </c>
    </row>
    <row r="11418" spans="1:24">
      <c r="A11418">
        <f>HYPERLINK("https://www.philgeps.gov.ph/GEPSNONPILOT/Tender/SplashBidNoticeAbstractUI.aspx?menuIndex=3&amp;refID=7050529&amp;Result=3","7050529")</f>
        <v>0</v>
      </c>
      <c r="B11418" t="s">
        <v>2349</v>
      </c>
      <c r="C11418" t="s">
        <v>14302</v>
      </c>
      <c r="D11418" t="s">
        <v>16691</v>
      </c>
      <c r="E11418" t="s">
        <v>26590</v>
      </c>
      <c r="F11418" t="s">
        <v>28669</v>
      </c>
      <c r="G11418" t="s">
        <v>28675</v>
      </c>
      <c r="H11418" t="s">
        <v>28686</v>
      </c>
      <c r="I11418" t="s">
        <v>28689</v>
      </c>
      <c r="J11418" t="s">
        <v>35849</v>
      </c>
      <c r="K11418" t="s">
        <v>37215</v>
      </c>
      <c r="M11418" t="s">
        <v>40017</v>
      </c>
      <c r="N11418" t="s">
        <v>41249</v>
      </c>
      <c r="O11418" t="s">
        <v>41250</v>
      </c>
      <c r="P11418">
        <v>0</v>
      </c>
      <c r="Q11418">
        <v>0</v>
      </c>
      <c r="R11418" t="s">
        <v>41265</v>
      </c>
      <c r="S11418" t="s">
        <v>41880</v>
      </c>
      <c r="T11418" t="s">
        <v>42673</v>
      </c>
      <c r="U11418" t="s">
        <v>52356</v>
      </c>
      <c r="W11418" t="s">
        <v>40017</v>
      </c>
      <c r="X11418" t="s">
        <v>41266</v>
      </c>
    </row>
    <row r="11419" spans="1:24">
      <c r="A11419">
        <f>HYPERLINK("https://www.philgeps.gov.ph/GEPSNONPILOT/Tender/SplashBidNoticeAbstractUI.aspx?menuIndex=3&amp;refID=7050652&amp;Result=3","7050652")</f>
        <v>0</v>
      </c>
      <c r="B11419" t="s">
        <v>3109</v>
      </c>
      <c r="C11419" t="s">
        <v>13006</v>
      </c>
      <c r="E11419" t="s">
        <v>16820</v>
      </c>
      <c r="F11419" t="s">
        <v>28669</v>
      </c>
      <c r="G11419" t="s">
        <v>28675</v>
      </c>
      <c r="H11419" t="s">
        <v>28686</v>
      </c>
      <c r="I11419" t="s">
        <v>28689</v>
      </c>
      <c r="J11419" t="s">
        <v>29003</v>
      </c>
      <c r="K11419" t="s">
        <v>37209</v>
      </c>
      <c r="M11419" t="s">
        <v>40896</v>
      </c>
      <c r="N11419" t="s">
        <v>41249</v>
      </c>
      <c r="O11419" t="s">
        <v>41250</v>
      </c>
      <c r="P11419">
        <v>0</v>
      </c>
      <c r="Q11419">
        <v>2</v>
      </c>
      <c r="R11419" t="s">
        <v>41265</v>
      </c>
      <c r="S11419" t="s">
        <v>41880</v>
      </c>
      <c r="T11419" t="s">
        <v>42767</v>
      </c>
      <c r="U11419" t="s">
        <v>52357</v>
      </c>
      <c r="W11419" t="s">
        <v>56025</v>
      </c>
      <c r="X11419" t="s">
        <v>41266</v>
      </c>
    </row>
    <row r="11420" spans="1:24">
      <c r="A11420">
        <f>HYPERLINK("https://www.philgeps.gov.ph/GEPSNONPILOT/Tender/SplashBidNoticeAbstractUI.aspx?menuIndex=3&amp;refID=7050627&amp;Result=3","7050627")</f>
        <v>0</v>
      </c>
      <c r="B11420" t="s">
        <v>2376</v>
      </c>
      <c r="C11420" t="s">
        <v>14303</v>
      </c>
      <c r="D11420" t="s">
        <v>16684</v>
      </c>
      <c r="E11420" t="s">
        <v>26591</v>
      </c>
      <c r="F11420" t="s">
        <v>28669</v>
      </c>
      <c r="G11420" t="s">
        <v>28675</v>
      </c>
      <c r="H11420" t="s">
        <v>9998</v>
      </c>
      <c r="I11420" t="s">
        <v>5213</v>
      </c>
      <c r="J11420" t="s">
        <v>35850</v>
      </c>
      <c r="K11420" t="s">
        <v>37220</v>
      </c>
      <c r="M11420" t="s">
        <v>40046</v>
      </c>
      <c r="N11420" t="s">
        <v>41249</v>
      </c>
      <c r="O11420" t="s">
        <v>41250</v>
      </c>
      <c r="P11420">
        <v>0</v>
      </c>
      <c r="Q11420">
        <v>0</v>
      </c>
      <c r="R11420" t="s">
        <v>41265</v>
      </c>
      <c r="S11420" t="s">
        <v>41880</v>
      </c>
      <c r="T11420" t="s">
        <v>42739</v>
      </c>
      <c r="U11420" t="s">
        <v>52358</v>
      </c>
      <c r="W11420" t="s">
        <v>40046</v>
      </c>
      <c r="X11420" t="s">
        <v>41266</v>
      </c>
    </row>
    <row r="11421" spans="1:24">
      <c r="A11421">
        <f>HYPERLINK("https://www.philgeps.gov.ph/GEPSNONPILOT/Tender/SplashBidNoticeAbstractUI.aspx?menuIndex=3&amp;refID=7050721&amp;Result=3","7050721")</f>
        <v>0</v>
      </c>
      <c r="B11421" t="s">
        <v>322</v>
      </c>
      <c r="C11421" t="s">
        <v>14304</v>
      </c>
      <c r="D11421" t="s">
        <v>16655</v>
      </c>
      <c r="E11421" t="s">
        <v>26592</v>
      </c>
      <c r="F11421" t="s">
        <v>28669</v>
      </c>
      <c r="G11421" t="s">
        <v>28675</v>
      </c>
      <c r="H11421" t="s">
        <v>9998</v>
      </c>
      <c r="I11421" t="s">
        <v>5213</v>
      </c>
      <c r="J11421" t="s">
        <v>33857</v>
      </c>
      <c r="K11421" t="s">
        <v>37206</v>
      </c>
      <c r="M11421" t="s">
        <v>37802</v>
      </c>
      <c r="N11421" t="s">
        <v>41249</v>
      </c>
      <c r="O11421" t="s">
        <v>41250</v>
      </c>
      <c r="P11421">
        <v>0</v>
      </c>
      <c r="Q11421">
        <v>1</v>
      </c>
      <c r="R11421" t="s">
        <v>41265</v>
      </c>
      <c r="S11421" t="s">
        <v>41880</v>
      </c>
      <c r="T11421" t="s">
        <v>42670</v>
      </c>
      <c r="U11421" t="s">
        <v>52351</v>
      </c>
      <c r="V11421" t="s">
        <v>55608</v>
      </c>
      <c r="W11421" t="s">
        <v>37802</v>
      </c>
      <c r="X11421" t="s">
        <v>41266</v>
      </c>
    </row>
    <row r="11422" spans="1:24">
      <c r="A11422">
        <f>HYPERLINK("https://www.philgeps.gov.ph/GEPSNONPILOT/Tender/SplashBidNoticeAbstractUI.aspx?menuIndex=3&amp;refID=7050661&amp;Result=3","7050661")</f>
        <v>0</v>
      </c>
      <c r="B11422" t="s">
        <v>746</v>
      </c>
      <c r="C11422" t="s">
        <v>14305</v>
      </c>
      <c r="D11422" t="s">
        <v>16643</v>
      </c>
      <c r="E11422" t="s">
        <v>26593</v>
      </c>
      <c r="F11422" t="s">
        <v>28669</v>
      </c>
      <c r="G11422" t="s">
        <v>28675</v>
      </c>
      <c r="H11422" t="s">
        <v>9998</v>
      </c>
      <c r="I11422" t="s">
        <v>28751</v>
      </c>
      <c r="J11422" t="s">
        <v>35851</v>
      </c>
      <c r="K11422" t="s">
        <v>37209</v>
      </c>
      <c r="M11422" t="s">
        <v>38256</v>
      </c>
      <c r="N11422" t="s">
        <v>41249</v>
      </c>
      <c r="O11422" t="s">
        <v>41250</v>
      </c>
      <c r="P11422">
        <v>0</v>
      </c>
      <c r="Q11422">
        <v>3</v>
      </c>
      <c r="R11422" t="s">
        <v>41265</v>
      </c>
      <c r="S11422" t="s">
        <v>41880</v>
      </c>
      <c r="T11422" t="s">
        <v>42836</v>
      </c>
      <c r="U11422" t="s">
        <v>52359</v>
      </c>
      <c r="W11422" t="s">
        <v>38256</v>
      </c>
      <c r="X11422" t="s">
        <v>41266</v>
      </c>
    </row>
    <row r="11423" spans="1:24">
      <c r="A11423">
        <f>HYPERLINK("https://www.philgeps.gov.ph/GEPSNONPILOT/Tender/SplashBidNoticeAbstractUI.aspx?menuIndex=3&amp;refID=7050532&amp;Result=3","7050532")</f>
        <v>0</v>
      </c>
      <c r="B11423" t="s">
        <v>2376</v>
      </c>
      <c r="C11423" t="s">
        <v>14306</v>
      </c>
      <c r="D11423" t="s">
        <v>16684</v>
      </c>
      <c r="E11423" t="s">
        <v>26594</v>
      </c>
      <c r="F11423" t="s">
        <v>28669</v>
      </c>
      <c r="G11423" t="s">
        <v>28675</v>
      </c>
      <c r="H11423" t="s">
        <v>9998</v>
      </c>
      <c r="I11423" t="s">
        <v>28695</v>
      </c>
      <c r="J11423" t="s">
        <v>35852</v>
      </c>
      <c r="K11423" t="s">
        <v>37213</v>
      </c>
      <c r="M11423" t="s">
        <v>40046</v>
      </c>
      <c r="N11423" t="s">
        <v>41249</v>
      </c>
      <c r="O11423" t="s">
        <v>41250</v>
      </c>
      <c r="P11423">
        <v>0</v>
      </c>
      <c r="Q11423">
        <v>2</v>
      </c>
      <c r="R11423" t="s">
        <v>41265</v>
      </c>
      <c r="S11423" t="s">
        <v>41880</v>
      </c>
      <c r="T11423" t="s">
        <v>42799</v>
      </c>
      <c r="U11423" t="s">
        <v>52360</v>
      </c>
      <c r="W11423" t="s">
        <v>40046</v>
      </c>
      <c r="X11423" t="s">
        <v>41266</v>
      </c>
    </row>
    <row r="11424" spans="1:24">
      <c r="A11424">
        <f>HYPERLINK("https://www.philgeps.gov.ph/GEPSNONPILOT/Tender/SplashBidNoticeAbstractUI.aspx?menuIndex=3&amp;refID=7050734&amp;Result=3","7050734")</f>
        <v>0</v>
      </c>
      <c r="B11424" t="s">
        <v>322</v>
      </c>
      <c r="C11424" t="s">
        <v>14307</v>
      </c>
      <c r="D11424" t="s">
        <v>16655</v>
      </c>
      <c r="E11424" t="s">
        <v>26595</v>
      </c>
      <c r="F11424" t="s">
        <v>28669</v>
      </c>
      <c r="G11424" t="s">
        <v>28675</v>
      </c>
      <c r="H11424" t="s">
        <v>9998</v>
      </c>
      <c r="I11424" t="s">
        <v>5213</v>
      </c>
      <c r="J11424" t="s">
        <v>28880</v>
      </c>
      <c r="K11424" t="s">
        <v>37206</v>
      </c>
      <c r="M11424" t="s">
        <v>37802</v>
      </c>
      <c r="N11424" t="s">
        <v>41249</v>
      </c>
      <c r="O11424" t="s">
        <v>41250</v>
      </c>
      <c r="P11424">
        <v>0</v>
      </c>
      <c r="Q11424">
        <v>5</v>
      </c>
      <c r="R11424" t="s">
        <v>41265</v>
      </c>
      <c r="S11424" t="s">
        <v>41880</v>
      </c>
      <c r="T11424" t="s">
        <v>42670</v>
      </c>
      <c r="U11424" t="s">
        <v>52361</v>
      </c>
      <c r="W11424" t="s">
        <v>37802</v>
      </c>
      <c r="X11424" t="s">
        <v>41266</v>
      </c>
    </row>
    <row r="11425" spans="1:24">
      <c r="A11425">
        <f>HYPERLINK("https://www.philgeps.gov.ph/GEPSNONPILOT/Tender/SplashBidNoticeAbstractUI.aspx?menuIndex=3&amp;refID=7050743&amp;Result=3","7050743")</f>
        <v>0</v>
      </c>
      <c r="B11425" t="s">
        <v>322</v>
      </c>
      <c r="C11425" t="s">
        <v>14308</v>
      </c>
      <c r="D11425" t="s">
        <v>16655</v>
      </c>
      <c r="E11425" t="s">
        <v>26596</v>
      </c>
      <c r="F11425" t="s">
        <v>28669</v>
      </c>
      <c r="G11425" t="s">
        <v>28675</v>
      </c>
      <c r="H11425" t="s">
        <v>9998</v>
      </c>
      <c r="I11425" t="s">
        <v>11593</v>
      </c>
      <c r="J11425" t="s">
        <v>35853</v>
      </c>
      <c r="K11425" t="s">
        <v>37206</v>
      </c>
      <c r="M11425" t="s">
        <v>37802</v>
      </c>
      <c r="N11425" t="s">
        <v>41249</v>
      </c>
      <c r="O11425" t="s">
        <v>41250</v>
      </c>
      <c r="P11425">
        <v>0</v>
      </c>
      <c r="Q11425">
        <v>9</v>
      </c>
      <c r="R11425" t="s">
        <v>41265</v>
      </c>
      <c r="S11425" t="s">
        <v>41880</v>
      </c>
      <c r="T11425" t="s">
        <v>42670</v>
      </c>
      <c r="U11425" t="s">
        <v>52362</v>
      </c>
      <c r="W11425" t="s">
        <v>37802</v>
      </c>
      <c r="X11425" t="s">
        <v>41266</v>
      </c>
    </row>
    <row r="11426" spans="1:24">
      <c r="A11426">
        <f>HYPERLINK("https://www.philgeps.gov.ph/GEPSNONPILOT/Tender/SplashBidNoticeAbstractUI.aspx?menuIndex=3&amp;refID=7050738&amp;Result=3","7050738")</f>
        <v>0</v>
      </c>
      <c r="B11426" t="s">
        <v>2486</v>
      </c>
      <c r="C11426" t="s">
        <v>14309</v>
      </c>
      <c r="D11426" t="s">
        <v>16626</v>
      </c>
      <c r="E11426" t="s">
        <v>26597</v>
      </c>
      <c r="F11426" t="s">
        <v>28669</v>
      </c>
      <c r="G11426" t="s">
        <v>28675</v>
      </c>
      <c r="H11426" t="s">
        <v>28686</v>
      </c>
      <c r="I11426" t="s">
        <v>28689</v>
      </c>
      <c r="J11426" t="s">
        <v>29053</v>
      </c>
      <c r="K11426" t="s">
        <v>37287</v>
      </c>
      <c r="M11426" t="s">
        <v>40170</v>
      </c>
      <c r="N11426" t="s">
        <v>41249</v>
      </c>
      <c r="O11426" t="s">
        <v>41250</v>
      </c>
      <c r="P11426">
        <v>0</v>
      </c>
      <c r="Q11426">
        <v>4</v>
      </c>
      <c r="R11426" t="s">
        <v>41265</v>
      </c>
      <c r="S11426" t="s">
        <v>41880</v>
      </c>
      <c r="T11426" t="s">
        <v>43058</v>
      </c>
      <c r="U11426" t="s">
        <v>52363</v>
      </c>
      <c r="W11426" t="s">
        <v>55997</v>
      </c>
      <c r="X11426" t="s">
        <v>41266</v>
      </c>
    </row>
    <row r="11427" spans="1:24">
      <c r="A11427">
        <f>HYPERLINK("https://www.philgeps.gov.ph/GEPSNONPILOT/Tender/SplashBidNoticeAbstractUI.aspx?menuIndex=3&amp;refID=7050728&amp;Result=3","7050728")</f>
        <v>0</v>
      </c>
      <c r="B11427" t="s">
        <v>1401</v>
      </c>
      <c r="C11427" t="s">
        <v>14310</v>
      </c>
      <c r="D11427" t="s">
        <v>16671</v>
      </c>
      <c r="E11427" t="s">
        <v>26598</v>
      </c>
      <c r="F11427" t="s">
        <v>28669</v>
      </c>
      <c r="G11427" t="s">
        <v>28675</v>
      </c>
      <c r="H11427" t="s">
        <v>28686</v>
      </c>
      <c r="I11427" t="s">
        <v>28689</v>
      </c>
      <c r="J11427" t="s">
        <v>28924</v>
      </c>
      <c r="K11427" t="s">
        <v>37213</v>
      </c>
      <c r="M11427" t="s">
        <v>38964</v>
      </c>
      <c r="N11427" t="s">
        <v>41249</v>
      </c>
      <c r="O11427" t="s">
        <v>41250</v>
      </c>
      <c r="P11427">
        <v>0</v>
      </c>
      <c r="Q11427">
        <v>1</v>
      </c>
      <c r="R11427" t="s">
        <v>41265</v>
      </c>
      <c r="S11427" t="s">
        <v>41880</v>
      </c>
      <c r="T11427" t="s">
        <v>42739</v>
      </c>
      <c r="U11427" t="s">
        <v>52364</v>
      </c>
      <c r="W11427" t="s">
        <v>55952</v>
      </c>
      <c r="X11427" t="s">
        <v>41266</v>
      </c>
    </row>
    <row r="11428" spans="1:24">
      <c r="A11428">
        <f>HYPERLINK("https://www.philgeps.gov.ph/GEPSNONPILOT/Tender/SplashBidNoticeAbstractUI.aspx?menuIndex=3&amp;refID=7050621&amp;Result=3","7050621")</f>
        <v>0</v>
      </c>
      <c r="B11428" t="s">
        <v>190</v>
      </c>
      <c r="C11428" t="s">
        <v>14311</v>
      </c>
      <c r="D11428" t="s">
        <v>16671</v>
      </c>
      <c r="E11428" t="s">
        <v>26599</v>
      </c>
      <c r="F11428" t="s">
        <v>28669</v>
      </c>
      <c r="G11428" t="s">
        <v>28675</v>
      </c>
      <c r="H11428" t="s">
        <v>28686</v>
      </c>
      <c r="I11428" t="s">
        <v>28689</v>
      </c>
      <c r="J11428" t="s">
        <v>35854</v>
      </c>
      <c r="K11428" t="s">
        <v>37214</v>
      </c>
      <c r="L11428" t="s">
        <v>190</v>
      </c>
      <c r="M11428" t="s">
        <v>37668</v>
      </c>
      <c r="N11428" t="s">
        <v>41249</v>
      </c>
      <c r="O11428" t="s">
        <v>41250</v>
      </c>
      <c r="P11428">
        <v>0</v>
      </c>
      <c r="Q11428">
        <v>0</v>
      </c>
      <c r="R11428" t="s">
        <v>41265</v>
      </c>
      <c r="S11428" t="s">
        <v>41880</v>
      </c>
      <c r="T11428" t="s">
        <v>42858</v>
      </c>
      <c r="U11428" t="s">
        <v>52365</v>
      </c>
      <c r="V11428" t="s">
        <v>55190</v>
      </c>
      <c r="W11428" t="s">
        <v>37668</v>
      </c>
      <c r="X11428" t="s">
        <v>41266</v>
      </c>
    </row>
    <row r="11429" spans="1:24">
      <c r="A11429">
        <f>HYPERLINK("https://www.philgeps.gov.ph/GEPSNONPILOT/Tender/SplashBidNoticeAbstractUI.aspx?menuIndex=3&amp;refID=7050745&amp;Result=3","7050745")</f>
        <v>0</v>
      </c>
      <c r="B11429" t="s">
        <v>2968</v>
      </c>
      <c r="C11429" t="s">
        <v>14312</v>
      </c>
      <c r="D11429" t="s">
        <v>16657</v>
      </c>
      <c r="E11429" t="s">
        <v>26600</v>
      </c>
      <c r="F11429" t="s">
        <v>28669</v>
      </c>
      <c r="G11429" t="s">
        <v>28675</v>
      </c>
      <c r="H11429" t="s">
        <v>9998</v>
      </c>
      <c r="I11429" t="s">
        <v>28707</v>
      </c>
      <c r="J11429" t="s">
        <v>29247</v>
      </c>
      <c r="K11429" t="s">
        <v>37209</v>
      </c>
      <c r="M11429" t="s">
        <v>40730</v>
      </c>
      <c r="N11429" t="s">
        <v>41249</v>
      </c>
      <c r="O11429" t="s">
        <v>41250</v>
      </c>
      <c r="Q11429">
        <v>4</v>
      </c>
      <c r="R11429" t="s">
        <v>41265</v>
      </c>
      <c r="S11429" t="s">
        <v>41927</v>
      </c>
      <c r="T11429" t="s">
        <v>42669</v>
      </c>
      <c r="U11429" t="s">
        <v>52366</v>
      </c>
      <c r="V11429" t="s">
        <v>55609</v>
      </c>
      <c r="W11429" t="s">
        <v>40730</v>
      </c>
      <c r="X11429" t="s">
        <v>41266</v>
      </c>
    </row>
    <row r="11430" spans="1:24">
      <c r="A11430">
        <f>HYPERLINK("https://www.philgeps.gov.ph/GEPSNONPILOT/Tender/SplashBidNoticeAbstractUI.aspx?menuIndex=3&amp;refID=7050904&amp;Result=3","7050904")</f>
        <v>0</v>
      </c>
      <c r="B11430" t="s">
        <v>1443</v>
      </c>
      <c r="C11430" t="s">
        <v>14313</v>
      </c>
      <c r="D11430" t="s">
        <v>16663</v>
      </c>
      <c r="E11430" t="s">
        <v>26601</v>
      </c>
      <c r="F11430" t="s">
        <v>28669</v>
      </c>
      <c r="G11430" t="s">
        <v>28675</v>
      </c>
      <c r="H11430" t="s">
        <v>28686</v>
      </c>
      <c r="I11430" t="s">
        <v>28689</v>
      </c>
      <c r="J11430" t="s">
        <v>35855</v>
      </c>
      <c r="K11430" t="s">
        <v>37214</v>
      </c>
      <c r="M11430" t="s">
        <v>39008</v>
      </c>
      <c r="N11430" t="s">
        <v>41249</v>
      </c>
      <c r="O11430" t="s">
        <v>41250</v>
      </c>
      <c r="P11430">
        <v>0</v>
      </c>
      <c r="Q11430">
        <v>1</v>
      </c>
      <c r="R11430" t="s">
        <v>41265</v>
      </c>
      <c r="S11430" t="s">
        <v>41880</v>
      </c>
      <c r="T11430" t="s">
        <v>42762</v>
      </c>
      <c r="U11430" t="s">
        <v>52367</v>
      </c>
      <c r="W11430" t="s">
        <v>39008</v>
      </c>
      <c r="X11430" t="s">
        <v>41266</v>
      </c>
    </row>
    <row r="11431" spans="1:24">
      <c r="A11431">
        <f>HYPERLINK("https://www.philgeps.gov.ph/GEPSNONPILOT/Tender/SplashBidNoticeAbstractUI.aspx?menuIndex=3&amp;refID=7050894&amp;Result=3","7050894")</f>
        <v>0</v>
      </c>
      <c r="B11431" t="s">
        <v>2382</v>
      </c>
      <c r="C11431" t="s">
        <v>14314</v>
      </c>
      <c r="D11431" t="s">
        <v>16626</v>
      </c>
      <c r="E11431" t="s">
        <v>17319</v>
      </c>
      <c r="F11431" t="s">
        <v>28669</v>
      </c>
      <c r="G11431" t="s">
        <v>28676</v>
      </c>
      <c r="H11431" t="s">
        <v>9998</v>
      </c>
      <c r="I11431" t="s">
        <v>7352</v>
      </c>
      <c r="J11431" t="s">
        <v>29523</v>
      </c>
      <c r="K11431" t="s">
        <v>37234</v>
      </c>
      <c r="M11431" t="s">
        <v>40055</v>
      </c>
      <c r="N11431" t="s">
        <v>41249</v>
      </c>
      <c r="O11431" t="s">
        <v>41250</v>
      </c>
      <c r="P11431">
        <v>0</v>
      </c>
      <c r="Q11431">
        <v>0</v>
      </c>
      <c r="R11431" t="s">
        <v>41265</v>
      </c>
      <c r="S11431" t="s">
        <v>41880</v>
      </c>
      <c r="T11431" t="s">
        <v>42717</v>
      </c>
      <c r="U11431" t="s">
        <v>52368</v>
      </c>
      <c r="W11431" t="s">
        <v>40055</v>
      </c>
      <c r="X11431" t="s">
        <v>41266</v>
      </c>
    </row>
    <row r="11432" spans="1:24">
      <c r="A11432">
        <f>HYPERLINK("https://www.philgeps.gov.ph/GEPSNONPILOT/Tender/SplashBidNoticeAbstractUI.aspx?menuIndex=3&amp;refID=7050887&amp;Result=3","7050887")</f>
        <v>0</v>
      </c>
      <c r="B11432" t="s">
        <v>1146</v>
      </c>
      <c r="C11432" t="s">
        <v>14315</v>
      </c>
      <c r="D11432" t="s">
        <v>16640</v>
      </c>
      <c r="E11432" t="s">
        <v>26602</v>
      </c>
      <c r="F11432" t="s">
        <v>28669</v>
      </c>
      <c r="G11432" t="s">
        <v>28676</v>
      </c>
      <c r="H11432" t="s">
        <v>9998</v>
      </c>
      <c r="I11432" t="s">
        <v>28754</v>
      </c>
      <c r="J11432" t="s">
        <v>35856</v>
      </c>
      <c r="K11432" t="s">
        <v>37209</v>
      </c>
      <c r="M11432" t="s">
        <v>39972</v>
      </c>
      <c r="N11432" t="s">
        <v>41249</v>
      </c>
      <c r="O11432" t="s">
        <v>41250</v>
      </c>
      <c r="Q11432">
        <v>11</v>
      </c>
      <c r="R11432" t="s">
        <v>41265</v>
      </c>
      <c r="S11432" t="s">
        <v>41492</v>
      </c>
      <c r="T11432" t="s">
        <v>42727</v>
      </c>
      <c r="U11432" t="s">
        <v>49135</v>
      </c>
      <c r="W11432" t="s">
        <v>39972</v>
      </c>
      <c r="X11432" t="s">
        <v>41266</v>
      </c>
    </row>
    <row r="11433" spans="1:24">
      <c r="A11433">
        <f>HYPERLINK("https://www.philgeps.gov.ph/GEPSNONPILOT/Tender/SplashBidNoticeAbstractUI.aspx?menuIndex=3&amp;refID=7050884&amp;Result=3","7050884")</f>
        <v>0</v>
      </c>
      <c r="B11433" t="s">
        <v>1473</v>
      </c>
      <c r="C11433" t="s">
        <v>14316</v>
      </c>
      <c r="D11433" t="s">
        <v>16608</v>
      </c>
      <c r="E11433" t="s">
        <v>26603</v>
      </c>
      <c r="F11433" t="s">
        <v>28669</v>
      </c>
      <c r="G11433" t="s">
        <v>28675</v>
      </c>
      <c r="H11433" t="s">
        <v>9998</v>
      </c>
      <c r="I11433" t="s">
        <v>5286</v>
      </c>
      <c r="J11433" t="s">
        <v>35857</v>
      </c>
      <c r="K11433" t="s">
        <v>37209</v>
      </c>
      <c r="M11433" t="s">
        <v>39041</v>
      </c>
      <c r="N11433" t="s">
        <v>41249</v>
      </c>
      <c r="O11433" t="s">
        <v>41250</v>
      </c>
      <c r="P11433">
        <v>0</v>
      </c>
      <c r="Q11433">
        <v>8</v>
      </c>
      <c r="R11433" t="s">
        <v>41265</v>
      </c>
      <c r="S11433" t="s">
        <v>41880</v>
      </c>
      <c r="T11433" t="s">
        <v>42757</v>
      </c>
      <c r="U11433" t="s">
        <v>52369</v>
      </c>
      <c r="W11433" t="s">
        <v>39041</v>
      </c>
      <c r="X11433" t="s">
        <v>41266</v>
      </c>
    </row>
    <row r="11434" spans="1:24">
      <c r="A11434">
        <f>HYPERLINK("https://www.philgeps.gov.ph/GEPSNONPILOT/Tender/SplashBidNoticeAbstractUI.aspx?menuIndex=3&amp;refID=7050878&amp;Result=3","7050878")</f>
        <v>0</v>
      </c>
      <c r="B11434" t="s">
        <v>3102</v>
      </c>
      <c r="C11434" t="s">
        <v>14317</v>
      </c>
      <c r="D11434" t="s">
        <v>16658</v>
      </c>
      <c r="E11434" t="s">
        <v>22414</v>
      </c>
      <c r="F11434" t="s">
        <v>28669</v>
      </c>
      <c r="G11434" t="s">
        <v>28675</v>
      </c>
      <c r="H11434" t="s">
        <v>9998</v>
      </c>
      <c r="I11434" t="s">
        <v>3658</v>
      </c>
      <c r="J11434" t="s">
        <v>35858</v>
      </c>
      <c r="K11434" t="s">
        <v>37205</v>
      </c>
      <c r="M11434" t="s">
        <v>40889</v>
      </c>
      <c r="N11434" t="s">
        <v>41249</v>
      </c>
      <c r="O11434" t="s">
        <v>41250</v>
      </c>
      <c r="P11434">
        <v>0</v>
      </c>
      <c r="Q11434">
        <v>4</v>
      </c>
      <c r="R11434" t="s">
        <v>41265</v>
      </c>
      <c r="S11434" t="s">
        <v>41880</v>
      </c>
      <c r="T11434" t="s">
        <v>42658</v>
      </c>
      <c r="U11434" t="s">
        <v>52370</v>
      </c>
      <c r="W11434" t="s">
        <v>40889</v>
      </c>
      <c r="X11434" t="s">
        <v>41266</v>
      </c>
    </row>
    <row r="11435" spans="1:24">
      <c r="A11435">
        <f>HYPERLINK("https://www.philgeps.gov.ph/GEPSNONPILOT/Tender/SplashBidNoticeAbstractUI.aspx?menuIndex=3&amp;refID=7050712&amp;Result=3","7050712")</f>
        <v>0</v>
      </c>
      <c r="B11435" t="s">
        <v>2486</v>
      </c>
      <c r="C11435" t="s">
        <v>14318</v>
      </c>
      <c r="D11435" t="s">
        <v>16626</v>
      </c>
      <c r="E11435" t="s">
        <v>26604</v>
      </c>
      <c r="F11435" t="s">
        <v>28669</v>
      </c>
      <c r="G11435" t="s">
        <v>28675</v>
      </c>
      <c r="H11435" t="s">
        <v>28686</v>
      </c>
      <c r="I11435" t="s">
        <v>28689</v>
      </c>
      <c r="J11435" t="s">
        <v>35859</v>
      </c>
      <c r="K11435" t="s">
        <v>37220</v>
      </c>
      <c r="M11435" t="s">
        <v>40170</v>
      </c>
      <c r="N11435" t="s">
        <v>41249</v>
      </c>
      <c r="O11435" t="s">
        <v>41250</v>
      </c>
      <c r="P11435">
        <v>0</v>
      </c>
      <c r="Q11435">
        <v>2</v>
      </c>
      <c r="R11435" t="s">
        <v>41265</v>
      </c>
      <c r="S11435" t="s">
        <v>41880</v>
      </c>
      <c r="T11435" t="s">
        <v>42755</v>
      </c>
      <c r="U11435" t="s">
        <v>52371</v>
      </c>
      <c r="W11435" t="s">
        <v>55997</v>
      </c>
      <c r="X11435" t="s">
        <v>41266</v>
      </c>
    </row>
    <row r="11436" spans="1:24">
      <c r="A11436">
        <f>HYPERLINK("https://www.philgeps.gov.ph/GEPSNONPILOT/Tender/SplashBidNoticeAbstractUI.aspx?menuIndex=3&amp;refID=7050865&amp;Result=3","7050865")</f>
        <v>0</v>
      </c>
      <c r="B11436" t="s">
        <v>1473</v>
      </c>
      <c r="C11436" t="s">
        <v>14319</v>
      </c>
      <c r="D11436" t="s">
        <v>16608</v>
      </c>
      <c r="E11436" t="s">
        <v>26605</v>
      </c>
      <c r="F11436" t="s">
        <v>28669</v>
      </c>
      <c r="G11436" t="s">
        <v>28675</v>
      </c>
      <c r="H11436" t="s">
        <v>28686</v>
      </c>
      <c r="I11436" t="s">
        <v>28689</v>
      </c>
      <c r="J11436" t="s">
        <v>35860</v>
      </c>
      <c r="K11436" t="s">
        <v>37209</v>
      </c>
      <c r="M11436" t="s">
        <v>39041</v>
      </c>
      <c r="N11436" t="s">
        <v>41249</v>
      </c>
      <c r="O11436" t="s">
        <v>41250</v>
      </c>
      <c r="P11436">
        <v>0</v>
      </c>
      <c r="Q11436">
        <v>4</v>
      </c>
      <c r="R11436" t="s">
        <v>41265</v>
      </c>
      <c r="S11436" t="s">
        <v>41880</v>
      </c>
      <c r="T11436" t="s">
        <v>42757</v>
      </c>
      <c r="U11436" t="s">
        <v>52372</v>
      </c>
      <c r="W11436" t="s">
        <v>39041</v>
      </c>
      <c r="X11436" t="s">
        <v>41266</v>
      </c>
    </row>
    <row r="11437" spans="1:24">
      <c r="A11437">
        <f>HYPERLINK("https://www.philgeps.gov.ph/GEPSNONPILOT/Tender/SplashBidNoticeAbstractUI.aspx?menuIndex=3&amp;refID=7050855&amp;Result=3","7050855")</f>
        <v>0</v>
      </c>
      <c r="B11437" t="s">
        <v>1473</v>
      </c>
      <c r="C11437" t="s">
        <v>14320</v>
      </c>
      <c r="D11437" t="s">
        <v>16608</v>
      </c>
      <c r="E11437" t="s">
        <v>26606</v>
      </c>
      <c r="F11437" t="s">
        <v>28669</v>
      </c>
      <c r="G11437" t="s">
        <v>28675</v>
      </c>
      <c r="H11437" t="s">
        <v>28686</v>
      </c>
      <c r="I11437" t="s">
        <v>28689</v>
      </c>
      <c r="J11437" t="s">
        <v>35861</v>
      </c>
      <c r="K11437" t="s">
        <v>37209</v>
      </c>
      <c r="M11437" t="s">
        <v>39041</v>
      </c>
      <c r="N11437" t="s">
        <v>41249</v>
      </c>
      <c r="O11437" t="s">
        <v>41250</v>
      </c>
      <c r="P11437">
        <v>0</v>
      </c>
      <c r="Q11437">
        <v>2</v>
      </c>
      <c r="R11437" t="s">
        <v>41265</v>
      </c>
      <c r="S11437" t="s">
        <v>41880</v>
      </c>
      <c r="T11437" t="s">
        <v>42757</v>
      </c>
      <c r="U11437" t="s">
        <v>52373</v>
      </c>
      <c r="W11437" t="s">
        <v>39041</v>
      </c>
      <c r="X11437" t="s">
        <v>41266</v>
      </c>
    </row>
    <row r="11438" spans="1:24">
      <c r="A11438">
        <f>HYPERLINK("https://www.philgeps.gov.ph/GEPSNONPILOT/Tender/SplashBidNoticeAbstractUI.aspx?menuIndex=3&amp;refID=7050826&amp;Result=3","7050826")</f>
        <v>0</v>
      </c>
      <c r="B11438" t="s">
        <v>2382</v>
      </c>
      <c r="C11438" t="s">
        <v>14321</v>
      </c>
      <c r="D11438" t="s">
        <v>16626</v>
      </c>
      <c r="E11438" t="s">
        <v>18990</v>
      </c>
      <c r="F11438" t="s">
        <v>28669</v>
      </c>
      <c r="G11438" t="s">
        <v>28676</v>
      </c>
      <c r="H11438" t="s">
        <v>9998</v>
      </c>
      <c r="I11438" t="s">
        <v>7352</v>
      </c>
      <c r="J11438" t="s">
        <v>29060</v>
      </c>
      <c r="K11438" t="s">
        <v>37234</v>
      </c>
      <c r="M11438" t="s">
        <v>40055</v>
      </c>
      <c r="N11438" t="s">
        <v>41249</v>
      </c>
      <c r="O11438" t="s">
        <v>41250</v>
      </c>
      <c r="P11438">
        <v>0</v>
      </c>
      <c r="Q11438">
        <v>0</v>
      </c>
      <c r="R11438" t="s">
        <v>41265</v>
      </c>
      <c r="S11438" t="s">
        <v>41880</v>
      </c>
      <c r="T11438" t="s">
        <v>42717</v>
      </c>
      <c r="U11438" t="s">
        <v>52374</v>
      </c>
      <c r="W11438" t="s">
        <v>40055</v>
      </c>
      <c r="X11438" t="s">
        <v>41266</v>
      </c>
    </row>
    <row r="11439" spans="1:24">
      <c r="A11439">
        <f>HYPERLINK("https://www.philgeps.gov.ph/GEPSNONPILOT/Tender/SplashBidNoticeAbstractUI.aspx?menuIndex=3&amp;refID=7050810&amp;Result=3","7050810")</f>
        <v>0</v>
      </c>
      <c r="B11439" t="s">
        <v>1381</v>
      </c>
      <c r="C11439" t="s">
        <v>14322</v>
      </c>
      <c r="D11439" t="s">
        <v>16683</v>
      </c>
      <c r="E11439" t="s">
        <v>26607</v>
      </c>
      <c r="F11439" t="s">
        <v>28669</v>
      </c>
      <c r="G11439" t="s">
        <v>28682</v>
      </c>
      <c r="H11439" t="s">
        <v>28686</v>
      </c>
      <c r="I11439" t="s">
        <v>28689</v>
      </c>
      <c r="J11439" t="s">
        <v>35862</v>
      </c>
      <c r="K11439" t="s">
        <v>37265</v>
      </c>
      <c r="M11439" t="s">
        <v>38941</v>
      </c>
      <c r="N11439" t="s">
        <v>41249</v>
      </c>
      <c r="O11439" t="s">
        <v>41250</v>
      </c>
      <c r="P11439">
        <v>0</v>
      </c>
      <c r="Q11439">
        <v>0</v>
      </c>
      <c r="R11439" t="s">
        <v>41265</v>
      </c>
      <c r="S11439" t="s">
        <v>41880</v>
      </c>
      <c r="T11439" t="s">
        <v>42764</v>
      </c>
      <c r="U11439" t="s">
        <v>46175</v>
      </c>
      <c r="V11439" t="s">
        <v>55610</v>
      </c>
      <c r="W11439" t="s">
        <v>55951</v>
      </c>
      <c r="X11439" t="s">
        <v>41266</v>
      </c>
    </row>
    <row r="11440" spans="1:24">
      <c r="A11440">
        <f>HYPERLINK("https://www.philgeps.gov.ph/GEPSNONPILOT/Tender/SplashBidNoticeAbstractUI.aspx?menuIndex=3&amp;refID=7050924&amp;Result=3","7050924")</f>
        <v>0</v>
      </c>
      <c r="B11440" t="s">
        <v>1443</v>
      </c>
      <c r="C11440" t="s">
        <v>14323</v>
      </c>
      <c r="D11440" t="s">
        <v>16663</v>
      </c>
      <c r="E11440" t="s">
        <v>26608</v>
      </c>
      <c r="F11440" t="s">
        <v>28669</v>
      </c>
      <c r="G11440" t="s">
        <v>28675</v>
      </c>
      <c r="H11440" t="s">
        <v>28686</v>
      </c>
      <c r="I11440" t="s">
        <v>28689</v>
      </c>
      <c r="J11440" t="s">
        <v>35863</v>
      </c>
      <c r="K11440" t="s">
        <v>37269</v>
      </c>
      <c r="M11440" t="s">
        <v>39008</v>
      </c>
      <c r="N11440" t="s">
        <v>41249</v>
      </c>
      <c r="O11440" t="s">
        <v>41250</v>
      </c>
      <c r="P11440">
        <v>0</v>
      </c>
      <c r="Q11440">
        <v>2</v>
      </c>
      <c r="R11440" t="s">
        <v>41265</v>
      </c>
      <c r="S11440" t="s">
        <v>41880</v>
      </c>
      <c r="T11440" t="s">
        <v>42762</v>
      </c>
      <c r="U11440" t="s">
        <v>52375</v>
      </c>
      <c r="W11440" t="s">
        <v>39008</v>
      </c>
      <c r="X11440" t="s">
        <v>41266</v>
      </c>
    </row>
    <row r="11441" spans="1:24">
      <c r="A11441">
        <f>HYPERLINK("https://www.philgeps.gov.ph/GEPSNONPILOT/Tender/SplashBidNoticeAbstractUI.aspx?menuIndex=3&amp;refID=7050727&amp;Result=3","7050727")</f>
        <v>0</v>
      </c>
      <c r="B11441" t="s">
        <v>422</v>
      </c>
      <c r="C11441" t="s">
        <v>14324</v>
      </c>
      <c r="D11441" t="s">
        <v>16640</v>
      </c>
      <c r="E11441" t="s">
        <v>26609</v>
      </c>
      <c r="F11441" t="s">
        <v>28669</v>
      </c>
      <c r="G11441" t="s">
        <v>28675</v>
      </c>
      <c r="H11441" t="s">
        <v>9998</v>
      </c>
      <c r="I11441" t="s">
        <v>28714</v>
      </c>
      <c r="J11441" t="s">
        <v>29112</v>
      </c>
      <c r="K11441" t="s">
        <v>37210</v>
      </c>
      <c r="M11441" t="s">
        <v>37907</v>
      </c>
      <c r="N11441" t="s">
        <v>41249</v>
      </c>
      <c r="O11441" t="s">
        <v>41250</v>
      </c>
      <c r="P11441">
        <v>0</v>
      </c>
      <c r="Q11441">
        <v>19</v>
      </c>
      <c r="R11441" t="s">
        <v>41265</v>
      </c>
      <c r="S11441" t="s">
        <v>41880</v>
      </c>
      <c r="T11441" t="s">
        <v>42690</v>
      </c>
      <c r="U11441" t="s">
        <v>52376</v>
      </c>
      <c r="W11441" t="s">
        <v>56013</v>
      </c>
      <c r="X11441" t="s">
        <v>41266</v>
      </c>
    </row>
    <row r="11442" spans="1:24">
      <c r="A11442">
        <f>HYPERLINK("https://www.philgeps.gov.ph/GEPSNONPILOT/Tender/SplashBidNoticeAbstractUI.aspx?menuIndex=3&amp;refID=7050907&amp;Result=3","7050907")</f>
        <v>0</v>
      </c>
      <c r="B11442" t="s">
        <v>3102</v>
      </c>
      <c r="C11442" t="s">
        <v>14325</v>
      </c>
      <c r="D11442" t="s">
        <v>16658</v>
      </c>
      <c r="E11442" t="s">
        <v>22189</v>
      </c>
      <c r="F11442" t="s">
        <v>28669</v>
      </c>
      <c r="G11442" t="s">
        <v>28675</v>
      </c>
      <c r="H11442" t="s">
        <v>9998</v>
      </c>
      <c r="I11442" t="s">
        <v>5286</v>
      </c>
      <c r="J11442" t="s">
        <v>35864</v>
      </c>
      <c r="K11442" t="s">
        <v>37205</v>
      </c>
      <c r="M11442" t="s">
        <v>40889</v>
      </c>
      <c r="N11442" t="s">
        <v>41249</v>
      </c>
      <c r="O11442" t="s">
        <v>41250</v>
      </c>
      <c r="P11442">
        <v>0</v>
      </c>
      <c r="Q11442">
        <v>8</v>
      </c>
      <c r="R11442" t="s">
        <v>41265</v>
      </c>
      <c r="S11442" t="s">
        <v>41880</v>
      </c>
      <c r="T11442" t="s">
        <v>42658</v>
      </c>
      <c r="U11442" t="s">
        <v>52377</v>
      </c>
      <c r="W11442" t="s">
        <v>40889</v>
      </c>
      <c r="X11442" t="s">
        <v>41266</v>
      </c>
    </row>
    <row r="11443" spans="1:24">
      <c r="A11443">
        <f>HYPERLINK("https://www.philgeps.gov.ph/GEPSNONPILOT/Tender/SplashBidNoticeAbstractUI.aspx?menuIndex=3&amp;refID=7050696&amp;Result=3","7050696")</f>
        <v>0</v>
      </c>
      <c r="B11443" t="s">
        <v>2588</v>
      </c>
      <c r="C11443" t="s">
        <v>14326</v>
      </c>
      <c r="D11443" t="s">
        <v>16617</v>
      </c>
      <c r="E11443" t="s">
        <v>26610</v>
      </c>
      <c r="F11443" t="s">
        <v>28669</v>
      </c>
      <c r="G11443" t="s">
        <v>28675</v>
      </c>
      <c r="H11443" t="s">
        <v>9998</v>
      </c>
      <c r="I11443" t="s">
        <v>5213</v>
      </c>
      <c r="J11443" t="s">
        <v>31117</v>
      </c>
      <c r="K11443" t="s">
        <v>37210</v>
      </c>
      <c r="M11443" t="s">
        <v>40283</v>
      </c>
      <c r="N11443" t="s">
        <v>41249</v>
      </c>
      <c r="O11443" t="s">
        <v>41250</v>
      </c>
      <c r="P11443">
        <v>0</v>
      </c>
      <c r="Q11443">
        <v>3</v>
      </c>
      <c r="R11443" t="s">
        <v>41265</v>
      </c>
      <c r="S11443" t="s">
        <v>41880</v>
      </c>
      <c r="T11443" t="s">
        <v>42762</v>
      </c>
      <c r="U11443" t="s">
        <v>52378</v>
      </c>
      <c r="W11443" t="s">
        <v>40283</v>
      </c>
      <c r="X11443" t="s">
        <v>41266</v>
      </c>
    </row>
    <row r="11444" spans="1:24">
      <c r="A11444">
        <f>HYPERLINK("https://www.philgeps.gov.ph/GEPSNONPILOT/Tender/SplashBidNoticeAbstractUI.aspx?menuIndex=3&amp;refID=7050801&amp;Result=3","7050801")</f>
        <v>0</v>
      </c>
      <c r="B11444" t="s">
        <v>3110</v>
      </c>
      <c r="C11444" t="s">
        <v>14327</v>
      </c>
      <c r="E11444" t="s">
        <v>17149</v>
      </c>
      <c r="F11444" t="s">
        <v>28669</v>
      </c>
      <c r="G11444" t="s">
        <v>28675</v>
      </c>
      <c r="H11444" t="s">
        <v>28686</v>
      </c>
      <c r="I11444" t="s">
        <v>28689</v>
      </c>
      <c r="J11444" t="s">
        <v>28953</v>
      </c>
      <c r="K11444" t="s">
        <v>37209</v>
      </c>
      <c r="M11444" t="s">
        <v>40897</v>
      </c>
      <c r="N11444" t="s">
        <v>41249</v>
      </c>
      <c r="O11444" t="s">
        <v>41250</v>
      </c>
      <c r="P11444">
        <v>0</v>
      </c>
      <c r="Q11444">
        <v>0</v>
      </c>
      <c r="R11444" t="s">
        <v>41265</v>
      </c>
      <c r="S11444" t="s">
        <v>41880</v>
      </c>
      <c r="T11444" t="s">
        <v>42767</v>
      </c>
      <c r="U11444" t="s">
        <v>52379</v>
      </c>
      <c r="W11444" t="s">
        <v>40897</v>
      </c>
      <c r="X11444" t="s">
        <v>41266</v>
      </c>
    </row>
    <row r="11445" spans="1:24">
      <c r="A11445">
        <f>HYPERLINK("https://www.philgeps.gov.ph/GEPSNONPILOT/Tender/SplashBidNoticeAbstractUI.aspx?menuIndex=3&amp;refID=7050788&amp;Result=3","7050788")</f>
        <v>0</v>
      </c>
      <c r="B11445" t="s">
        <v>190</v>
      </c>
      <c r="C11445" t="s">
        <v>14328</v>
      </c>
      <c r="D11445" t="s">
        <v>16671</v>
      </c>
      <c r="E11445" t="s">
        <v>26611</v>
      </c>
      <c r="F11445" t="s">
        <v>28669</v>
      </c>
      <c r="G11445" t="s">
        <v>28675</v>
      </c>
      <c r="H11445" t="s">
        <v>28686</v>
      </c>
      <c r="I11445" t="s">
        <v>28689</v>
      </c>
      <c r="J11445" t="s">
        <v>35865</v>
      </c>
      <c r="K11445" t="s">
        <v>37215</v>
      </c>
      <c r="L11445" t="s">
        <v>190</v>
      </c>
      <c r="M11445" t="s">
        <v>37668</v>
      </c>
      <c r="N11445" t="s">
        <v>41249</v>
      </c>
      <c r="O11445" t="s">
        <v>41250</v>
      </c>
      <c r="P11445">
        <v>0</v>
      </c>
      <c r="Q11445">
        <v>0</v>
      </c>
      <c r="R11445" t="s">
        <v>41265</v>
      </c>
      <c r="S11445" t="s">
        <v>41880</v>
      </c>
      <c r="T11445" t="s">
        <v>42858</v>
      </c>
      <c r="U11445" t="s">
        <v>52380</v>
      </c>
      <c r="V11445" t="s">
        <v>55190</v>
      </c>
      <c r="W11445" t="s">
        <v>37668</v>
      </c>
      <c r="X11445" t="s">
        <v>41266</v>
      </c>
    </row>
    <row r="11446" spans="1:24">
      <c r="A11446">
        <f>HYPERLINK("https://www.philgeps.gov.ph/GEPSNONPILOT/Tender/SplashBidNoticeAbstractUI.aspx?menuIndex=3&amp;refID=7050755&amp;Result=3","7050755")</f>
        <v>0</v>
      </c>
      <c r="B11446" t="s">
        <v>746</v>
      </c>
      <c r="C11446" t="s">
        <v>14329</v>
      </c>
      <c r="D11446" t="s">
        <v>16643</v>
      </c>
      <c r="E11446" t="s">
        <v>26612</v>
      </c>
      <c r="F11446" t="s">
        <v>28669</v>
      </c>
      <c r="G11446" t="s">
        <v>28675</v>
      </c>
      <c r="H11446" t="s">
        <v>9998</v>
      </c>
      <c r="I11446" t="s">
        <v>28743</v>
      </c>
      <c r="J11446" t="s">
        <v>28905</v>
      </c>
      <c r="K11446" t="s">
        <v>37209</v>
      </c>
      <c r="M11446" t="s">
        <v>38256</v>
      </c>
      <c r="N11446" t="s">
        <v>41249</v>
      </c>
      <c r="O11446" t="s">
        <v>41250</v>
      </c>
      <c r="P11446">
        <v>0</v>
      </c>
      <c r="Q11446">
        <v>1</v>
      </c>
      <c r="R11446" t="s">
        <v>41265</v>
      </c>
      <c r="S11446" t="s">
        <v>41880</v>
      </c>
      <c r="T11446" t="s">
        <v>42836</v>
      </c>
      <c r="U11446" t="s">
        <v>52381</v>
      </c>
      <c r="W11446" t="s">
        <v>38256</v>
      </c>
      <c r="X11446" t="s">
        <v>41266</v>
      </c>
    </row>
    <row r="11447" spans="1:24">
      <c r="A11447">
        <f>HYPERLINK("https://www.philgeps.gov.ph/GEPSNONPILOT/Tender/SplashBidNoticeAbstractUI.aspx?menuIndex=3&amp;refID=7050787&amp;Result=3","7050787")</f>
        <v>0</v>
      </c>
      <c r="B11447" t="s">
        <v>3111</v>
      </c>
      <c r="C11447" t="s">
        <v>14330</v>
      </c>
      <c r="D11447" t="s">
        <v>16670</v>
      </c>
      <c r="E11447" t="s">
        <v>24543</v>
      </c>
      <c r="F11447" t="s">
        <v>28669</v>
      </c>
      <c r="G11447" t="s">
        <v>28675</v>
      </c>
      <c r="H11447" t="s">
        <v>9998</v>
      </c>
      <c r="I11447" t="s">
        <v>28687</v>
      </c>
      <c r="J11447" t="s">
        <v>28877</v>
      </c>
      <c r="K11447" t="s">
        <v>37206</v>
      </c>
      <c r="M11447" t="s">
        <v>40898</v>
      </c>
      <c r="N11447" t="s">
        <v>41249</v>
      </c>
      <c r="O11447" t="s">
        <v>41250</v>
      </c>
      <c r="P11447">
        <v>0</v>
      </c>
      <c r="Q11447">
        <v>1</v>
      </c>
      <c r="R11447" t="s">
        <v>41265</v>
      </c>
      <c r="S11447" t="s">
        <v>41880</v>
      </c>
      <c r="T11447" t="s">
        <v>42665</v>
      </c>
      <c r="U11447" t="s">
        <v>52382</v>
      </c>
      <c r="V11447" t="s">
        <v>55260</v>
      </c>
      <c r="W11447" t="s">
        <v>40898</v>
      </c>
      <c r="X11447" t="s">
        <v>41266</v>
      </c>
    </row>
    <row r="11448" spans="1:24">
      <c r="A11448">
        <f>HYPERLINK("https://www.philgeps.gov.ph/GEPSNONPILOT/Tender/SplashBidNoticeAbstractUI.aspx?menuIndex=3&amp;refID=7050936&amp;Result=3","7050936")</f>
        <v>0</v>
      </c>
      <c r="B11448" t="s">
        <v>1099</v>
      </c>
      <c r="C11448" t="s">
        <v>14331</v>
      </c>
      <c r="D11448" t="s">
        <v>16647</v>
      </c>
      <c r="E11448" t="s">
        <v>26613</v>
      </c>
      <c r="F11448" t="s">
        <v>28669</v>
      </c>
      <c r="G11448" t="s">
        <v>28675</v>
      </c>
      <c r="H11448" t="s">
        <v>9998</v>
      </c>
      <c r="I11448" t="s">
        <v>7352</v>
      </c>
      <c r="J11448" t="s">
        <v>35866</v>
      </c>
      <c r="K11448" t="s">
        <v>37206</v>
      </c>
      <c r="M11448" t="s">
        <v>38631</v>
      </c>
      <c r="N11448" t="s">
        <v>41249</v>
      </c>
      <c r="O11448" t="s">
        <v>41250</v>
      </c>
      <c r="P11448">
        <v>0</v>
      </c>
      <c r="Q11448">
        <v>0</v>
      </c>
      <c r="R11448" t="s">
        <v>41265</v>
      </c>
      <c r="S11448" t="s">
        <v>41880</v>
      </c>
      <c r="T11448" t="s">
        <v>42679</v>
      </c>
      <c r="U11448" t="s">
        <v>45437</v>
      </c>
      <c r="W11448" t="s">
        <v>38631</v>
      </c>
      <c r="X11448" t="s">
        <v>41266</v>
      </c>
    </row>
    <row r="11449" spans="1:24">
      <c r="A11449">
        <f>HYPERLINK("https://www.philgeps.gov.ph/GEPSNONPILOT/Tender/SplashBidNoticeAbstractUI.aspx?menuIndex=3&amp;refID=7050767&amp;Result=3","7050767")</f>
        <v>0</v>
      </c>
      <c r="B11449" t="s">
        <v>322</v>
      </c>
      <c r="C11449" t="s">
        <v>14332</v>
      </c>
      <c r="D11449" t="s">
        <v>16655</v>
      </c>
      <c r="E11449" t="s">
        <v>26614</v>
      </c>
      <c r="F11449" t="s">
        <v>28669</v>
      </c>
      <c r="G11449" t="s">
        <v>28675</v>
      </c>
      <c r="H11449" t="s">
        <v>9998</v>
      </c>
      <c r="I11449" t="s">
        <v>28692</v>
      </c>
      <c r="J11449" t="s">
        <v>35867</v>
      </c>
      <c r="K11449" t="s">
        <v>37206</v>
      </c>
      <c r="M11449" t="s">
        <v>37802</v>
      </c>
      <c r="N11449" t="s">
        <v>41249</v>
      </c>
      <c r="O11449" t="s">
        <v>41250</v>
      </c>
      <c r="P11449">
        <v>0</v>
      </c>
      <c r="Q11449">
        <v>3</v>
      </c>
      <c r="R11449" t="s">
        <v>41265</v>
      </c>
      <c r="S11449" t="s">
        <v>41880</v>
      </c>
      <c r="T11449" t="s">
        <v>42670</v>
      </c>
      <c r="U11449" t="s">
        <v>52383</v>
      </c>
      <c r="W11449" t="s">
        <v>37802</v>
      </c>
      <c r="X11449" t="s">
        <v>41266</v>
      </c>
    </row>
    <row r="11450" spans="1:24">
      <c r="A11450">
        <f>HYPERLINK("https://www.philgeps.gov.ph/GEPSNONPILOT/Tender/SplashBidNoticeAbstractUI.aspx?menuIndex=3&amp;refID=7050905&amp;Result=3","7050905")</f>
        <v>0</v>
      </c>
      <c r="B11450" t="s">
        <v>1473</v>
      </c>
      <c r="C11450" t="s">
        <v>14333</v>
      </c>
      <c r="D11450" t="s">
        <v>16608</v>
      </c>
      <c r="E11450" t="s">
        <v>26615</v>
      </c>
      <c r="F11450" t="s">
        <v>28669</v>
      </c>
      <c r="G11450" t="s">
        <v>28675</v>
      </c>
      <c r="H11450" t="s">
        <v>28684</v>
      </c>
      <c r="I11450" t="s">
        <v>28728</v>
      </c>
      <c r="J11450" t="s">
        <v>29112</v>
      </c>
      <c r="K11450" t="s">
        <v>37272</v>
      </c>
      <c r="M11450" t="s">
        <v>39041</v>
      </c>
      <c r="N11450" t="s">
        <v>41249</v>
      </c>
      <c r="O11450" t="s">
        <v>41250</v>
      </c>
      <c r="P11450">
        <v>0</v>
      </c>
      <c r="Q11450">
        <v>10</v>
      </c>
      <c r="R11450" t="s">
        <v>41265</v>
      </c>
      <c r="S11450" t="s">
        <v>41880</v>
      </c>
      <c r="T11450" t="s">
        <v>42757</v>
      </c>
      <c r="U11450" t="s">
        <v>52384</v>
      </c>
      <c r="W11450" t="s">
        <v>39041</v>
      </c>
      <c r="X11450" t="s">
        <v>41266</v>
      </c>
    </row>
    <row r="11451" spans="1:24">
      <c r="A11451">
        <f>HYPERLINK("https://www.philgeps.gov.ph/GEPSNONPILOT/Tender/SplashBidNoticeAbstractUI.aspx?menuIndex=3&amp;refID=7050794&amp;Result=3","7050794")</f>
        <v>0</v>
      </c>
      <c r="B11451" t="s">
        <v>2960</v>
      </c>
      <c r="C11451" t="s">
        <v>14334</v>
      </c>
      <c r="D11451" t="s">
        <v>16680</v>
      </c>
      <c r="E11451" t="s">
        <v>26616</v>
      </c>
      <c r="F11451" t="s">
        <v>28669</v>
      </c>
      <c r="G11451" t="s">
        <v>28675</v>
      </c>
      <c r="H11451" t="s">
        <v>9998</v>
      </c>
      <c r="I11451" t="s">
        <v>28687</v>
      </c>
      <c r="J11451" t="s">
        <v>29051</v>
      </c>
      <c r="K11451" t="s">
        <v>37220</v>
      </c>
      <c r="M11451" t="s">
        <v>40720</v>
      </c>
      <c r="N11451" t="s">
        <v>41249</v>
      </c>
      <c r="O11451" t="s">
        <v>41250</v>
      </c>
      <c r="P11451">
        <v>0</v>
      </c>
      <c r="Q11451">
        <v>0</v>
      </c>
      <c r="R11451" t="s">
        <v>41265</v>
      </c>
      <c r="S11451" t="s">
        <v>41880</v>
      </c>
      <c r="T11451" t="s">
        <v>42686</v>
      </c>
      <c r="U11451" t="s">
        <v>52385</v>
      </c>
      <c r="W11451" t="s">
        <v>40720</v>
      </c>
      <c r="X11451" t="s">
        <v>41266</v>
      </c>
    </row>
    <row r="11452" spans="1:24">
      <c r="A11452">
        <f>HYPERLINK("https://www.philgeps.gov.ph/GEPSNONPILOT/Tender/SplashBidNoticeAbstractUI.aspx?menuIndex=3&amp;refID=7050634&amp;Result=3","7050634")</f>
        <v>0</v>
      </c>
      <c r="B11452" t="s">
        <v>746</v>
      </c>
      <c r="C11452" t="s">
        <v>14335</v>
      </c>
      <c r="D11452" t="s">
        <v>16643</v>
      </c>
      <c r="E11452" t="s">
        <v>26617</v>
      </c>
      <c r="F11452" t="s">
        <v>28669</v>
      </c>
      <c r="G11452" t="s">
        <v>28675</v>
      </c>
      <c r="H11452" t="s">
        <v>9998</v>
      </c>
      <c r="I11452" t="s">
        <v>28697</v>
      </c>
      <c r="J11452" t="s">
        <v>35868</v>
      </c>
      <c r="K11452" t="s">
        <v>37209</v>
      </c>
      <c r="M11452" t="s">
        <v>38256</v>
      </c>
      <c r="N11452" t="s">
        <v>41249</v>
      </c>
      <c r="O11452" t="s">
        <v>41250</v>
      </c>
      <c r="Q11452">
        <v>4</v>
      </c>
      <c r="R11452" t="s">
        <v>41265</v>
      </c>
      <c r="S11452" t="s">
        <v>41928</v>
      </c>
      <c r="T11452" t="s">
        <v>42836</v>
      </c>
      <c r="U11452" t="s">
        <v>52386</v>
      </c>
      <c r="W11452" t="s">
        <v>38256</v>
      </c>
      <c r="X11452" t="s">
        <v>41266</v>
      </c>
    </row>
    <row r="11453" spans="1:24">
      <c r="A11453">
        <f>HYPERLINK("https://www.philgeps.gov.ph/GEPSNONPILOT/Tender/SplashBidNoticeAbstractUI.aspx?menuIndex=3&amp;refID=7050704&amp;Result=3","7050704")</f>
        <v>0</v>
      </c>
      <c r="B11453" t="s">
        <v>3112</v>
      </c>
      <c r="C11453" t="s">
        <v>14336</v>
      </c>
      <c r="D11453" t="s">
        <v>16672</v>
      </c>
      <c r="E11453" t="s">
        <v>26618</v>
      </c>
      <c r="F11453" t="s">
        <v>28669</v>
      </c>
      <c r="G11453" t="s">
        <v>28675</v>
      </c>
      <c r="H11453" t="s">
        <v>9998</v>
      </c>
      <c r="I11453" t="s">
        <v>28687</v>
      </c>
      <c r="J11453" t="s">
        <v>29002</v>
      </c>
      <c r="K11453" t="s">
        <v>37206</v>
      </c>
      <c r="M11453" t="s">
        <v>40899</v>
      </c>
      <c r="N11453" t="s">
        <v>41249</v>
      </c>
      <c r="O11453" t="s">
        <v>41250</v>
      </c>
      <c r="P11453">
        <v>0</v>
      </c>
      <c r="Q11453">
        <v>4</v>
      </c>
      <c r="R11453" t="s">
        <v>41265</v>
      </c>
      <c r="S11453" t="s">
        <v>41880</v>
      </c>
      <c r="T11453" t="s">
        <v>42838</v>
      </c>
      <c r="U11453" t="s">
        <v>52387</v>
      </c>
      <c r="V11453" t="s">
        <v>55611</v>
      </c>
      <c r="W11453" t="s">
        <v>40899</v>
      </c>
      <c r="X11453" t="s">
        <v>41266</v>
      </c>
    </row>
    <row r="11454" spans="1:24">
      <c r="A11454">
        <f>HYPERLINK("https://www.philgeps.gov.ph/GEPSNONPILOT/Tender/SplashBidNoticeAbstractUI.aspx?menuIndex=3&amp;refID=7051100&amp;Result=3","7051100")</f>
        <v>0</v>
      </c>
      <c r="B11454" t="s">
        <v>2573</v>
      </c>
      <c r="C11454" t="s">
        <v>14337</v>
      </c>
      <c r="E11454" t="s">
        <v>17149</v>
      </c>
      <c r="F11454" t="s">
        <v>28669</v>
      </c>
      <c r="G11454" t="s">
        <v>28675</v>
      </c>
      <c r="H11454" t="s">
        <v>9998</v>
      </c>
      <c r="I11454" t="s">
        <v>28694</v>
      </c>
      <c r="J11454" t="s">
        <v>35869</v>
      </c>
      <c r="K11454" t="s">
        <v>37209</v>
      </c>
      <c r="M11454" t="s">
        <v>40267</v>
      </c>
      <c r="N11454" t="s">
        <v>41249</v>
      </c>
      <c r="O11454" t="s">
        <v>41250</v>
      </c>
      <c r="P11454">
        <v>0</v>
      </c>
      <c r="Q11454">
        <v>0</v>
      </c>
      <c r="R11454" t="s">
        <v>41265</v>
      </c>
      <c r="S11454" t="s">
        <v>41880</v>
      </c>
      <c r="T11454" t="s">
        <v>42977</v>
      </c>
      <c r="U11454" t="s">
        <v>52388</v>
      </c>
      <c r="W11454" t="s">
        <v>40267</v>
      </c>
      <c r="X11454" t="s">
        <v>41266</v>
      </c>
    </row>
    <row r="11455" spans="1:24">
      <c r="A11455">
        <f>HYPERLINK("https://www.philgeps.gov.ph/GEPSNONPILOT/Tender/SplashBidNoticeAbstractUI.aspx?menuIndex=3&amp;refID=7051019&amp;Result=3","7051019")</f>
        <v>0</v>
      </c>
      <c r="B11455" t="s">
        <v>2968</v>
      </c>
      <c r="C11455" t="s">
        <v>14338</v>
      </c>
      <c r="D11455" t="s">
        <v>16657</v>
      </c>
      <c r="E11455" t="s">
        <v>26619</v>
      </c>
      <c r="F11455" t="s">
        <v>28669</v>
      </c>
      <c r="G11455" t="s">
        <v>28675</v>
      </c>
      <c r="H11455" t="s">
        <v>9998</v>
      </c>
      <c r="I11455" t="s">
        <v>28713</v>
      </c>
      <c r="J11455" t="s">
        <v>35870</v>
      </c>
      <c r="K11455" t="s">
        <v>37209</v>
      </c>
      <c r="M11455" t="s">
        <v>40730</v>
      </c>
      <c r="N11455" t="s">
        <v>41249</v>
      </c>
      <c r="O11455" t="s">
        <v>41250</v>
      </c>
      <c r="Q11455">
        <v>12</v>
      </c>
      <c r="R11455" t="s">
        <v>41265</v>
      </c>
      <c r="S11455" t="s">
        <v>41929</v>
      </c>
      <c r="T11455" t="s">
        <v>42823</v>
      </c>
      <c r="U11455" t="s">
        <v>52389</v>
      </c>
      <c r="V11455" t="s">
        <v>55612</v>
      </c>
      <c r="W11455" t="s">
        <v>40730</v>
      </c>
      <c r="X11455" t="s">
        <v>41266</v>
      </c>
    </row>
    <row r="11456" spans="1:24">
      <c r="A11456">
        <f>HYPERLINK("https://www.philgeps.gov.ph/GEPSNONPILOT/Tender/SplashBidNoticeAbstractUI.aspx?menuIndex=3&amp;refID=7051016&amp;Result=3","7051016")</f>
        <v>0</v>
      </c>
      <c r="B11456" t="s">
        <v>2376</v>
      </c>
      <c r="C11456" t="s">
        <v>14339</v>
      </c>
      <c r="D11456" t="s">
        <v>16684</v>
      </c>
      <c r="E11456" t="s">
        <v>26620</v>
      </c>
      <c r="F11456" t="s">
        <v>28669</v>
      </c>
      <c r="G11456" t="s">
        <v>28675</v>
      </c>
      <c r="H11456" t="s">
        <v>28684</v>
      </c>
      <c r="I11456" t="s">
        <v>11593</v>
      </c>
      <c r="J11456" t="s">
        <v>28924</v>
      </c>
      <c r="K11456" t="s">
        <v>37220</v>
      </c>
      <c r="M11456" t="s">
        <v>40046</v>
      </c>
      <c r="N11456" t="s">
        <v>41249</v>
      </c>
      <c r="O11456" t="s">
        <v>41250</v>
      </c>
      <c r="P11456">
        <v>0</v>
      </c>
      <c r="Q11456">
        <v>10</v>
      </c>
      <c r="R11456" t="s">
        <v>41265</v>
      </c>
      <c r="S11456" t="s">
        <v>41880</v>
      </c>
      <c r="T11456" t="s">
        <v>42966</v>
      </c>
      <c r="U11456" t="s">
        <v>52390</v>
      </c>
      <c r="W11456" t="s">
        <v>40046</v>
      </c>
      <c r="X11456" t="s">
        <v>41266</v>
      </c>
    </row>
    <row r="11457" spans="1:24">
      <c r="A11457">
        <f>HYPERLINK("https://www.philgeps.gov.ph/GEPSNONPILOT/Tender/SplashBidNoticeAbstractUI.aspx?menuIndex=3&amp;refID=7051010&amp;Result=3","7051010")</f>
        <v>0</v>
      </c>
      <c r="B11457" t="s">
        <v>2345</v>
      </c>
      <c r="C11457" t="s">
        <v>14340</v>
      </c>
      <c r="D11457" t="s">
        <v>16658</v>
      </c>
      <c r="E11457" t="s">
        <v>22306</v>
      </c>
      <c r="F11457" t="s">
        <v>28669</v>
      </c>
      <c r="G11457" t="s">
        <v>28675</v>
      </c>
      <c r="H11457" t="s">
        <v>9998</v>
      </c>
      <c r="I11457" t="s">
        <v>28687</v>
      </c>
      <c r="J11457" t="s">
        <v>29281</v>
      </c>
      <c r="K11457" t="s">
        <v>37205</v>
      </c>
      <c r="M11457" t="s">
        <v>40011</v>
      </c>
      <c r="N11457" t="s">
        <v>41249</v>
      </c>
      <c r="O11457" t="s">
        <v>41250</v>
      </c>
      <c r="P11457">
        <v>0</v>
      </c>
      <c r="Q11457">
        <v>0</v>
      </c>
      <c r="R11457" t="s">
        <v>41265</v>
      </c>
      <c r="S11457" t="s">
        <v>41880</v>
      </c>
      <c r="T11457" t="s">
        <v>42863</v>
      </c>
      <c r="U11457" t="s">
        <v>52391</v>
      </c>
      <c r="W11457" t="s">
        <v>40011</v>
      </c>
      <c r="X11457" t="s">
        <v>41266</v>
      </c>
    </row>
    <row r="11458" spans="1:24">
      <c r="A11458">
        <f>HYPERLINK("https://www.philgeps.gov.ph/GEPSNONPILOT/Tender/SplashBidNoticeAbstractUI.aspx?menuIndex=3&amp;refID=7051006&amp;Result=3","7051006")</f>
        <v>0</v>
      </c>
      <c r="B11458" t="s">
        <v>1473</v>
      </c>
      <c r="C11458" t="s">
        <v>14341</v>
      </c>
      <c r="D11458" t="s">
        <v>16608</v>
      </c>
      <c r="E11458" t="s">
        <v>26621</v>
      </c>
      <c r="F11458" t="s">
        <v>28669</v>
      </c>
      <c r="G11458" t="s">
        <v>28675</v>
      </c>
      <c r="H11458" t="s">
        <v>9998</v>
      </c>
      <c r="I11458" t="s">
        <v>28690</v>
      </c>
      <c r="J11458" t="s">
        <v>35871</v>
      </c>
      <c r="K11458" t="s">
        <v>37209</v>
      </c>
      <c r="M11458" t="s">
        <v>39041</v>
      </c>
      <c r="N11458" t="s">
        <v>41249</v>
      </c>
      <c r="O11458" t="s">
        <v>41250</v>
      </c>
      <c r="P11458">
        <v>0</v>
      </c>
      <c r="Q11458">
        <v>32</v>
      </c>
      <c r="R11458" t="s">
        <v>41265</v>
      </c>
      <c r="S11458" t="s">
        <v>41880</v>
      </c>
      <c r="T11458" t="s">
        <v>42757</v>
      </c>
      <c r="U11458" t="s">
        <v>52392</v>
      </c>
      <c r="W11458" t="s">
        <v>39041</v>
      </c>
      <c r="X11458" t="s">
        <v>41266</v>
      </c>
    </row>
    <row r="11459" spans="1:24">
      <c r="A11459">
        <f>HYPERLINK("https://www.philgeps.gov.ph/GEPSNONPILOT/Tender/SplashBidNoticeAbstractUI.aspx?menuIndex=3&amp;refID=7050996&amp;Result=3","7050996")</f>
        <v>0</v>
      </c>
      <c r="B11459" t="s">
        <v>2573</v>
      </c>
      <c r="C11459" t="s">
        <v>14342</v>
      </c>
      <c r="E11459" t="s">
        <v>16820</v>
      </c>
      <c r="F11459" t="s">
        <v>28669</v>
      </c>
      <c r="G11459" t="s">
        <v>28675</v>
      </c>
      <c r="H11459" t="s">
        <v>9998</v>
      </c>
      <c r="I11459" t="s">
        <v>28697</v>
      </c>
      <c r="J11459" t="s">
        <v>34389</v>
      </c>
      <c r="K11459" t="s">
        <v>37209</v>
      </c>
      <c r="M11459" t="s">
        <v>40267</v>
      </c>
      <c r="N11459" t="s">
        <v>41249</v>
      </c>
      <c r="O11459" t="s">
        <v>41250</v>
      </c>
      <c r="P11459">
        <v>0</v>
      </c>
      <c r="Q11459">
        <v>3</v>
      </c>
      <c r="R11459" t="s">
        <v>41265</v>
      </c>
      <c r="S11459" t="s">
        <v>41880</v>
      </c>
      <c r="T11459" t="s">
        <v>42977</v>
      </c>
      <c r="U11459" t="s">
        <v>52393</v>
      </c>
      <c r="W11459" t="s">
        <v>40267</v>
      </c>
      <c r="X11459" t="s">
        <v>41266</v>
      </c>
    </row>
    <row r="11460" spans="1:24">
      <c r="A11460">
        <f>HYPERLINK("https://www.philgeps.gov.ph/GEPSNONPILOT/Tender/SplashBidNoticeAbstractUI.aspx?menuIndex=3&amp;refID=7050972&amp;Result=3","7050972")</f>
        <v>0</v>
      </c>
      <c r="B11460" t="s">
        <v>2968</v>
      </c>
      <c r="C11460" t="s">
        <v>14343</v>
      </c>
      <c r="D11460" t="s">
        <v>16657</v>
      </c>
      <c r="E11460" t="s">
        <v>26622</v>
      </c>
      <c r="F11460" t="s">
        <v>28669</v>
      </c>
      <c r="G11460" t="s">
        <v>28675</v>
      </c>
      <c r="H11460" t="s">
        <v>9998</v>
      </c>
      <c r="I11460" t="s">
        <v>5286</v>
      </c>
      <c r="J11460" t="s">
        <v>35872</v>
      </c>
      <c r="K11460" t="s">
        <v>37209</v>
      </c>
      <c r="M11460" t="s">
        <v>40730</v>
      </c>
      <c r="N11460" t="s">
        <v>41249</v>
      </c>
      <c r="O11460" t="s">
        <v>41250</v>
      </c>
      <c r="Q11460">
        <v>13</v>
      </c>
      <c r="R11460" t="s">
        <v>41265</v>
      </c>
      <c r="S11460" t="s">
        <v>41930</v>
      </c>
      <c r="T11460" t="s">
        <v>42823</v>
      </c>
      <c r="U11460" t="s">
        <v>52394</v>
      </c>
      <c r="V11460" t="s">
        <v>55613</v>
      </c>
      <c r="W11460" t="s">
        <v>40730</v>
      </c>
      <c r="X11460" t="s">
        <v>41266</v>
      </c>
    </row>
    <row r="11461" spans="1:24">
      <c r="A11461">
        <f>HYPERLINK("https://www.philgeps.gov.ph/GEPSNONPILOT/Tender/SplashBidNoticeAbstractUI.aspx?menuIndex=3&amp;refID=7050970&amp;Result=3","7050970")</f>
        <v>0</v>
      </c>
      <c r="B11461" t="s">
        <v>1473</v>
      </c>
      <c r="C11461" t="s">
        <v>14344</v>
      </c>
      <c r="D11461" t="s">
        <v>16608</v>
      </c>
      <c r="E11461" t="s">
        <v>26623</v>
      </c>
      <c r="F11461" t="s">
        <v>28669</v>
      </c>
      <c r="G11461" t="s">
        <v>28675</v>
      </c>
      <c r="H11461" t="s">
        <v>9998</v>
      </c>
      <c r="I11461" t="s">
        <v>5286</v>
      </c>
      <c r="J11461" t="s">
        <v>35873</v>
      </c>
      <c r="K11461" t="s">
        <v>37209</v>
      </c>
      <c r="M11461" t="s">
        <v>39041</v>
      </c>
      <c r="N11461" t="s">
        <v>41249</v>
      </c>
      <c r="O11461" t="s">
        <v>41250</v>
      </c>
      <c r="P11461">
        <v>0</v>
      </c>
      <c r="Q11461">
        <v>3</v>
      </c>
      <c r="R11461" t="s">
        <v>41265</v>
      </c>
      <c r="S11461" t="s">
        <v>41880</v>
      </c>
      <c r="T11461" t="s">
        <v>42757</v>
      </c>
      <c r="U11461" t="s">
        <v>52395</v>
      </c>
      <c r="W11461" t="s">
        <v>39041</v>
      </c>
      <c r="X11461" t="s">
        <v>41266</v>
      </c>
    </row>
    <row r="11462" spans="1:24">
      <c r="A11462">
        <f>HYPERLINK("https://www.philgeps.gov.ph/GEPSNONPILOT/Tender/SplashBidNoticeAbstractUI.aspx?menuIndex=3&amp;refID=7050959&amp;Result=3","7050959")</f>
        <v>0</v>
      </c>
      <c r="B11462" t="s">
        <v>1443</v>
      </c>
      <c r="C11462" t="s">
        <v>14345</v>
      </c>
      <c r="D11462" t="s">
        <v>16663</v>
      </c>
      <c r="E11462" t="s">
        <v>26624</v>
      </c>
      <c r="F11462" t="s">
        <v>28669</v>
      </c>
      <c r="G11462" t="s">
        <v>28675</v>
      </c>
      <c r="H11462" t="s">
        <v>28686</v>
      </c>
      <c r="I11462" t="s">
        <v>28689</v>
      </c>
      <c r="J11462" t="s">
        <v>35863</v>
      </c>
      <c r="K11462" t="s">
        <v>37269</v>
      </c>
      <c r="M11462" t="s">
        <v>39008</v>
      </c>
      <c r="N11462" t="s">
        <v>41249</v>
      </c>
      <c r="O11462" t="s">
        <v>41250</v>
      </c>
      <c r="P11462">
        <v>0</v>
      </c>
      <c r="Q11462">
        <v>1</v>
      </c>
      <c r="R11462" t="s">
        <v>41265</v>
      </c>
      <c r="S11462" t="s">
        <v>41880</v>
      </c>
      <c r="T11462" t="s">
        <v>42762</v>
      </c>
      <c r="U11462" t="s">
        <v>52396</v>
      </c>
      <c r="W11462" t="s">
        <v>39008</v>
      </c>
      <c r="X11462" t="s">
        <v>41266</v>
      </c>
    </row>
    <row r="11463" spans="1:24">
      <c r="A11463">
        <f>HYPERLINK("https://www.philgeps.gov.ph/GEPSNONPILOT/Tender/SplashBidNoticeAbstractUI.aspx?menuIndex=3&amp;refID=7051105&amp;Result=3","7051105")</f>
        <v>0</v>
      </c>
      <c r="B11463" t="s">
        <v>3113</v>
      </c>
      <c r="C11463" t="s">
        <v>14346</v>
      </c>
      <c r="D11463" t="s">
        <v>16624</v>
      </c>
      <c r="E11463" t="s">
        <v>21057</v>
      </c>
      <c r="F11463" t="s">
        <v>28669</v>
      </c>
      <c r="G11463" t="s">
        <v>28675</v>
      </c>
      <c r="H11463" t="s">
        <v>28686</v>
      </c>
      <c r="I11463" t="s">
        <v>28689</v>
      </c>
      <c r="J11463" t="s">
        <v>29059</v>
      </c>
      <c r="K11463" t="s">
        <v>37215</v>
      </c>
      <c r="M11463" t="s">
        <v>40900</v>
      </c>
      <c r="N11463" t="s">
        <v>41249</v>
      </c>
      <c r="O11463" t="s">
        <v>41250</v>
      </c>
      <c r="P11463">
        <v>0</v>
      </c>
      <c r="Q11463">
        <v>1</v>
      </c>
      <c r="R11463" t="s">
        <v>41265</v>
      </c>
      <c r="S11463" t="s">
        <v>41880</v>
      </c>
      <c r="T11463" t="s">
        <v>42679</v>
      </c>
      <c r="U11463" t="s">
        <v>52397</v>
      </c>
      <c r="W11463" t="s">
        <v>40900</v>
      </c>
      <c r="X11463" t="s">
        <v>41266</v>
      </c>
    </row>
    <row r="11464" spans="1:24">
      <c r="A11464">
        <f>HYPERLINK("https://www.philgeps.gov.ph/GEPSNONPILOT/Tender/SplashBidNoticeAbstractUI.aspx?menuIndex=3&amp;refID=7051104&amp;Result=3","7051104")</f>
        <v>0</v>
      </c>
      <c r="B11464" t="s">
        <v>492</v>
      </c>
      <c r="C11464" t="s">
        <v>14347</v>
      </c>
      <c r="D11464" t="s">
        <v>16621</v>
      </c>
      <c r="E11464" t="s">
        <v>26625</v>
      </c>
      <c r="F11464" t="s">
        <v>28669</v>
      </c>
      <c r="G11464" t="s">
        <v>28675</v>
      </c>
      <c r="H11464" t="s">
        <v>9998</v>
      </c>
      <c r="I11464" t="s">
        <v>28687</v>
      </c>
      <c r="J11464" t="s">
        <v>34691</v>
      </c>
      <c r="K11464" t="s">
        <v>37220</v>
      </c>
      <c r="M11464" t="s">
        <v>37981</v>
      </c>
      <c r="N11464" t="s">
        <v>41249</v>
      </c>
      <c r="O11464" t="s">
        <v>41250</v>
      </c>
      <c r="P11464">
        <v>0</v>
      </c>
      <c r="Q11464">
        <v>2</v>
      </c>
      <c r="R11464" t="s">
        <v>41265</v>
      </c>
      <c r="S11464" t="s">
        <v>41880</v>
      </c>
      <c r="T11464" t="s">
        <v>42714</v>
      </c>
      <c r="U11464" t="s">
        <v>52398</v>
      </c>
      <c r="W11464" t="s">
        <v>37981</v>
      </c>
      <c r="X11464" t="s">
        <v>41266</v>
      </c>
    </row>
    <row r="11465" spans="1:24">
      <c r="A11465">
        <f>HYPERLINK("https://www.philgeps.gov.ph/GEPSNONPILOT/Tender/SplashBidNoticeAbstractUI.aspx?menuIndex=3&amp;refID=7051078&amp;Result=3","7051078")</f>
        <v>0</v>
      </c>
      <c r="B11465" t="s">
        <v>3084</v>
      </c>
      <c r="C11465" t="s">
        <v>14348</v>
      </c>
      <c r="D11465" t="s">
        <v>16624</v>
      </c>
      <c r="E11465" t="s">
        <v>26626</v>
      </c>
      <c r="F11465" t="s">
        <v>28669</v>
      </c>
      <c r="G11465" t="s">
        <v>28675</v>
      </c>
      <c r="H11465" t="s">
        <v>28686</v>
      </c>
      <c r="I11465" t="s">
        <v>28689</v>
      </c>
      <c r="J11465" t="s">
        <v>35874</v>
      </c>
      <c r="K11465" t="s">
        <v>37220</v>
      </c>
      <c r="M11465" t="s">
        <v>40868</v>
      </c>
      <c r="N11465" t="s">
        <v>41249</v>
      </c>
      <c r="O11465" t="s">
        <v>41250</v>
      </c>
      <c r="P11465">
        <v>0</v>
      </c>
      <c r="Q11465">
        <v>0</v>
      </c>
      <c r="R11465" t="s">
        <v>41265</v>
      </c>
      <c r="S11465" t="s">
        <v>41880</v>
      </c>
      <c r="T11465" t="s">
        <v>42858</v>
      </c>
      <c r="U11465" t="s">
        <v>52258</v>
      </c>
      <c r="V11465" t="s">
        <v>55614</v>
      </c>
      <c r="W11465" t="s">
        <v>40868</v>
      </c>
      <c r="X11465" t="s">
        <v>41266</v>
      </c>
    </row>
    <row r="11466" spans="1:24">
      <c r="A11466">
        <f>HYPERLINK("https://www.philgeps.gov.ph/GEPSNONPILOT/Tender/SplashBidNoticeAbstractUI.aspx?menuIndex=3&amp;refID=7050942&amp;Result=3","7050942")</f>
        <v>0</v>
      </c>
      <c r="B11466" t="s">
        <v>132</v>
      </c>
      <c r="C11466" t="s">
        <v>14349</v>
      </c>
      <c r="E11466" t="s">
        <v>26627</v>
      </c>
      <c r="F11466" t="s">
        <v>28669</v>
      </c>
      <c r="G11466" t="s">
        <v>28675</v>
      </c>
      <c r="H11466" t="s">
        <v>9998</v>
      </c>
      <c r="I11466" t="s">
        <v>28719</v>
      </c>
      <c r="J11466" t="s">
        <v>35875</v>
      </c>
      <c r="K11466" t="s">
        <v>37206</v>
      </c>
      <c r="M11466" t="s">
        <v>40165</v>
      </c>
      <c r="N11466" t="s">
        <v>41249</v>
      </c>
      <c r="O11466" t="s">
        <v>41250</v>
      </c>
      <c r="P11466">
        <v>0</v>
      </c>
      <c r="Q11466">
        <v>7</v>
      </c>
      <c r="R11466" t="s">
        <v>41265</v>
      </c>
      <c r="S11466" t="s">
        <v>41880</v>
      </c>
      <c r="T11466" t="s">
        <v>42762</v>
      </c>
      <c r="U11466" t="s">
        <v>49783</v>
      </c>
      <c r="W11466" t="s">
        <v>40165</v>
      </c>
      <c r="X11466" t="s">
        <v>41266</v>
      </c>
    </row>
    <row r="11467" spans="1:24">
      <c r="A11467">
        <f>HYPERLINK("https://www.philgeps.gov.ph/GEPSNONPILOT/Tender/SplashBidNoticeAbstractUI.aspx?menuIndex=3&amp;refID=7051112&amp;Result=3","7051112")</f>
        <v>0</v>
      </c>
      <c r="B11467" t="s">
        <v>2466</v>
      </c>
      <c r="C11467" t="s">
        <v>10988</v>
      </c>
      <c r="D11467" t="s">
        <v>16643</v>
      </c>
      <c r="E11467" t="s">
        <v>26628</v>
      </c>
      <c r="F11467" t="s">
        <v>28669</v>
      </c>
      <c r="G11467" t="s">
        <v>28675</v>
      </c>
      <c r="H11467" t="s">
        <v>9998</v>
      </c>
      <c r="I11467" t="s">
        <v>28695</v>
      </c>
      <c r="J11467" t="s">
        <v>28914</v>
      </c>
      <c r="K11467" t="s">
        <v>37208</v>
      </c>
      <c r="M11467" t="s">
        <v>40901</v>
      </c>
      <c r="N11467" t="s">
        <v>41249</v>
      </c>
      <c r="O11467" t="s">
        <v>41250</v>
      </c>
      <c r="P11467">
        <v>0</v>
      </c>
      <c r="Q11467">
        <v>0</v>
      </c>
      <c r="R11467" t="s">
        <v>41265</v>
      </c>
      <c r="S11467" t="s">
        <v>41880</v>
      </c>
      <c r="T11467" t="s">
        <v>42759</v>
      </c>
      <c r="U11467" t="s">
        <v>52399</v>
      </c>
      <c r="W11467" t="s">
        <v>40901</v>
      </c>
      <c r="X11467" t="s">
        <v>41266</v>
      </c>
    </row>
    <row r="11468" spans="1:24">
      <c r="A11468">
        <f>HYPERLINK("https://www.philgeps.gov.ph/GEPSNONPILOT/Tender/SplashBidNoticeAbstractUI.aspx?menuIndex=3&amp;refID=7050955&amp;Result=3","7050955")</f>
        <v>0</v>
      </c>
      <c r="B11468" t="s">
        <v>1099</v>
      </c>
      <c r="C11468" t="s">
        <v>14350</v>
      </c>
      <c r="D11468" t="s">
        <v>16647</v>
      </c>
      <c r="E11468" t="s">
        <v>26629</v>
      </c>
      <c r="F11468" t="s">
        <v>28669</v>
      </c>
      <c r="G11468" t="s">
        <v>28675</v>
      </c>
      <c r="H11468" t="s">
        <v>9998</v>
      </c>
      <c r="I11468" t="s">
        <v>28695</v>
      </c>
      <c r="J11468" t="s">
        <v>35876</v>
      </c>
      <c r="K11468" t="s">
        <v>37205</v>
      </c>
      <c r="M11468" t="s">
        <v>38631</v>
      </c>
      <c r="N11468" t="s">
        <v>41249</v>
      </c>
      <c r="O11468" t="s">
        <v>41250</v>
      </c>
      <c r="P11468">
        <v>0</v>
      </c>
      <c r="Q11468">
        <v>1</v>
      </c>
      <c r="R11468" t="s">
        <v>41265</v>
      </c>
      <c r="S11468" t="s">
        <v>41880</v>
      </c>
      <c r="T11468" t="s">
        <v>43130</v>
      </c>
      <c r="U11468" t="s">
        <v>45437</v>
      </c>
      <c r="W11468" t="s">
        <v>38631</v>
      </c>
      <c r="X11468" t="s">
        <v>41266</v>
      </c>
    </row>
    <row r="11469" spans="1:24">
      <c r="A11469">
        <f>HYPERLINK("https://www.philgeps.gov.ph/GEPSNONPILOT/Tender/SplashBidNoticeAbstractUI.aspx?menuIndex=3&amp;refID=7051138&amp;Result=3","7051138")</f>
        <v>0</v>
      </c>
      <c r="B11469" t="s">
        <v>901</v>
      </c>
      <c r="C11469" t="s">
        <v>14351</v>
      </c>
      <c r="D11469" t="s">
        <v>16611</v>
      </c>
      <c r="E11469" t="s">
        <v>26630</v>
      </c>
      <c r="F11469" t="s">
        <v>28669</v>
      </c>
      <c r="G11469" t="s">
        <v>28675</v>
      </c>
      <c r="H11469" t="s">
        <v>9998</v>
      </c>
      <c r="I11469" t="s">
        <v>28687</v>
      </c>
      <c r="J11469" t="s">
        <v>32073</v>
      </c>
      <c r="K11469" t="s">
        <v>37213</v>
      </c>
      <c r="M11469" t="s">
        <v>38422</v>
      </c>
      <c r="N11469" t="s">
        <v>41249</v>
      </c>
      <c r="O11469" t="s">
        <v>41250</v>
      </c>
      <c r="P11469">
        <v>0</v>
      </c>
      <c r="Q11469">
        <v>4</v>
      </c>
      <c r="R11469" t="s">
        <v>41265</v>
      </c>
      <c r="S11469" t="s">
        <v>41880</v>
      </c>
      <c r="T11469" t="s">
        <v>42690</v>
      </c>
      <c r="U11469" t="s">
        <v>52400</v>
      </c>
      <c r="V11469" t="s">
        <v>55615</v>
      </c>
      <c r="W11469" t="s">
        <v>38422</v>
      </c>
      <c r="X11469" t="s">
        <v>41266</v>
      </c>
    </row>
    <row r="11470" spans="1:24">
      <c r="A11470">
        <f>HYPERLINK("https://www.philgeps.gov.ph/GEPSNONPILOT/Tender/SplashBidNoticeAbstractUI.aspx?menuIndex=3&amp;refID=7051127&amp;Result=3","7051127")</f>
        <v>0</v>
      </c>
      <c r="B11470" t="s">
        <v>2573</v>
      </c>
      <c r="C11470" t="s">
        <v>14352</v>
      </c>
      <c r="E11470" t="s">
        <v>18246</v>
      </c>
      <c r="F11470" t="s">
        <v>28669</v>
      </c>
      <c r="G11470" t="s">
        <v>28675</v>
      </c>
      <c r="H11470" t="s">
        <v>9998</v>
      </c>
      <c r="I11470" t="s">
        <v>28694</v>
      </c>
      <c r="J11470" t="s">
        <v>35877</v>
      </c>
      <c r="K11470" t="s">
        <v>37209</v>
      </c>
      <c r="M11470" t="s">
        <v>40267</v>
      </c>
      <c r="N11470" t="s">
        <v>41249</v>
      </c>
      <c r="O11470" t="s">
        <v>41250</v>
      </c>
      <c r="P11470">
        <v>0</v>
      </c>
      <c r="Q11470">
        <v>1</v>
      </c>
      <c r="R11470" t="s">
        <v>41265</v>
      </c>
      <c r="S11470" t="s">
        <v>41880</v>
      </c>
      <c r="T11470" t="s">
        <v>42977</v>
      </c>
      <c r="U11470" t="s">
        <v>52401</v>
      </c>
      <c r="W11470" t="s">
        <v>40267</v>
      </c>
      <c r="X11470" t="s">
        <v>41266</v>
      </c>
    </row>
    <row r="11471" spans="1:24">
      <c r="A11471">
        <f>HYPERLINK("https://www.philgeps.gov.ph/GEPSNONPILOT/Tender/SplashBidNoticeAbstractUI.aspx?menuIndex=3&amp;refID=7051270&amp;Result=3","7051270")</f>
        <v>0</v>
      </c>
      <c r="B11471" t="s">
        <v>743</v>
      </c>
      <c r="C11471" t="s">
        <v>14353</v>
      </c>
      <c r="D11471" t="s">
        <v>16629</v>
      </c>
      <c r="E11471" t="s">
        <v>26631</v>
      </c>
      <c r="F11471" t="s">
        <v>28669</v>
      </c>
      <c r="G11471" t="s">
        <v>28675</v>
      </c>
      <c r="H11471" t="s">
        <v>28686</v>
      </c>
      <c r="I11471" t="s">
        <v>28689</v>
      </c>
      <c r="J11471" t="s">
        <v>35878</v>
      </c>
      <c r="K11471" t="s">
        <v>37374</v>
      </c>
      <c r="M11471" t="s">
        <v>39318</v>
      </c>
      <c r="N11471" t="s">
        <v>41249</v>
      </c>
      <c r="O11471" t="s">
        <v>41250</v>
      </c>
      <c r="P11471">
        <v>0</v>
      </c>
      <c r="Q11471">
        <v>0</v>
      </c>
      <c r="R11471" t="s">
        <v>41265</v>
      </c>
      <c r="S11471" t="s">
        <v>41880</v>
      </c>
      <c r="T11471" t="s">
        <v>42759</v>
      </c>
      <c r="U11471" t="s">
        <v>52402</v>
      </c>
      <c r="V11471" t="s">
        <v>55616</v>
      </c>
      <c r="W11471" t="s">
        <v>39318</v>
      </c>
      <c r="X11471" t="s">
        <v>41266</v>
      </c>
    </row>
    <row r="11472" spans="1:24">
      <c r="A11472">
        <f>HYPERLINK("https://www.philgeps.gov.ph/GEPSNONPILOT/Tender/SplashBidNoticeAbstractUI.aspx?menuIndex=3&amp;refID=7051247&amp;Result=3","7051247")</f>
        <v>0</v>
      </c>
      <c r="B11472" t="s">
        <v>3084</v>
      </c>
      <c r="C11472" t="s">
        <v>14354</v>
      </c>
      <c r="D11472" t="s">
        <v>16624</v>
      </c>
      <c r="E11472" t="s">
        <v>26632</v>
      </c>
      <c r="F11472" t="s">
        <v>28669</v>
      </c>
      <c r="G11472" t="s">
        <v>28675</v>
      </c>
      <c r="H11472" t="s">
        <v>28686</v>
      </c>
      <c r="I11472" t="s">
        <v>28689</v>
      </c>
      <c r="J11472" t="s">
        <v>28924</v>
      </c>
      <c r="K11472" t="s">
        <v>37220</v>
      </c>
      <c r="M11472" t="s">
        <v>40868</v>
      </c>
      <c r="N11472" t="s">
        <v>41249</v>
      </c>
      <c r="O11472" t="s">
        <v>41250</v>
      </c>
      <c r="P11472">
        <v>0</v>
      </c>
      <c r="Q11472">
        <v>0</v>
      </c>
      <c r="R11472" t="s">
        <v>41265</v>
      </c>
      <c r="S11472" t="s">
        <v>41880</v>
      </c>
      <c r="T11472" t="s">
        <v>42759</v>
      </c>
      <c r="U11472" t="s">
        <v>52258</v>
      </c>
      <c r="V11472" t="s">
        <v>55617</v>
      </c>
      <c r="W11472" t="s">
        <v>40868</v>
      </c>
      <c r="X11472" t="s">
        <v>41266</v>
      </c>
    </row>
    <row r="11473" spans="1:24">
      <c r="A11473">
        <f>HYPERLINK("https://www.philgeps.gov.ph/GEPSNONPILOT/Tender/SplashBidNoticeAbstractUI.aspx?menuIndex=3&amp;refID=7051244&amp;Result=3","7051244")</f>
        <v>0</v>
      </c>
      <c r="B11473" t="s">
        <v>55</v>
      </c>
      <c r="C11473" t="s">
        <v>14355</v>
      </c>
      <c r="D11473" t="s">
        <v>16633</v>
      </c>
      <c r="E11473" t="s">
        <v>26633</v>
      </c>
      <c r="F11473" t="s">
        <v>28669</v>
      </c>
      <c r="G11473" t="s">
        <v>28675</v>
      </c>
      <c r="H11473" t="s">
        <v>28686</v>
      </c>
      <c r="I11473" t="s">
        <v>28689</v>
      </c>
      <c r="J11473" t="s">
        <v>35879</v>
      </c>
      <c r="K11473" t="s">
        <v>37207</v>
      </c>
      <c r="M11473" t="s">
        <v>37530</v>
      </c>
      <c r="N11473" t="s">
        <v>41249</v>
      </c>
      <c r="O11473" t="s">
        <v>41250</v>
      </c>
      <c r="P11473">
        <v>0</v>
      </c>
      <c r="Q11473">
        <v>4</v>
      </c>
      <c r="R11473" t="s">
        <v>41265</v>
      </c>
      <c r="S11473" t="s">
        <v>41880</v>
      </c>
      <c r="T11473" t="s">
        <v>42679</v>
      </c>
      <c r="U11473" t="s">
        <v>52403</v>
      </c>
      <c r="V11473" t="s">
        <v>55618</v>
      </c>
      <c r="W11473" t="s">
        <v>37530</v>
      </c>
      <c r="X11473" t="s">
        <v>41266</v>
      </c>
    </row>
    <row r="11474" spans="1:24">
      <c r="A11474">
        <f>HYPERLINK("https://www.philgeps.gov.ph/GEPSNONPILOT/Tender/SplashBidNoticeAbstractUI.aspx?menuIndex=3&amp;refID=7051296&amp;Result=3","7051296")</f>
        <v>0</v>
      </c>
      <c r="B11474" t="s">
        <v>2989</v>
      </c>
      <c r="C11474" t="s">
        <v>5073</v>
      </c>
      <c r="D11474" t="s">
        <v>16631</v>
      </c>
      <c r="E11474" t="s">
        <v>26634</v>
      </c>
      <c r="F11474" t="s">
        <v>28669</v>
      </c>
      <c r="G11474" t="s">
        <v>28675</v>
      </c>
      <c r="H11474" t="s">
        <v>9998</v>
      </c>
      <c r="I11474" t="s">
        <v>28690</v>
      </c>
      <c r="J11474" t="s">
        <v>35880</v>
      </c>
      <c r="K11474" t="s">
        <v>37205</v>
      </c>
      <c r="M11474" t="s">
        <v>40755</v>
      </c>
      <c r="N11474" t="s">
        <v>41249</v>
      </c>
      <c r="O11474" t="s">
        <v>41250</v>
      </c>
      <c r="P11474">
        <v>0</v>
      </c>
      <c r="Q11474">
        <v>2</v>
      </c>
      <c r="R11474" t="s">
        <v>41265</v>
      </c>
      <c r="S11474" t="s">
        <v>41880</v>
      </c>
      <c r="T11474" t="s">
        <v>42759</v>
      </c>
      <c r="U11474" t="s">
        <v>52404</v>
      </c>
      <c r="W11474" t="s">
        <v>40755</v>
      </c>
      <c r="X11474" t="s">
        <v>41266</v>
      </c>
    </row>
    <row r="11475" spans="1:24">
      <c r="A11475">
        <f>HYPERLINK("https://www.philgeps.gov.ph/GEPSNONPILOT/Tender/SplashBidNoticeAbstractUI.aspx?menuIndex=3&amp;refID=7050939&amp;Result=3","7050939")</f>
        <v>0</v>
      </c>
      <c r="B11475" t="s">
        <v>2858</v>
      </c>
      <c r="C11475" t="s">
        <v>14356</v>
      </c>
      <c r="E11475" t="s">
        <v>26578</v>
      </c>
      <c r="F11475" t="s">
        <v>28669</v>
      </c>
      <c r="G11475" t="s">
        <v>28675</v>
      </c>
      <c r="H11475" t="s">
        <v>28686</v>
      </c>
      <c r="I11475" t="s">
        <v>28689</v>
      </c>
      <c r="J11475" t="s">
        <v>29546</v>
      </c>
      <c r="K11475" t="s">
        <v>37209</v>
      </c>
      <c r="M11475" t="s">
        <v>40599</v>
      </c>
      <c r="N11475" t="s">
        <v>41249</v>
      </c>
      <c r="O11475" t="s">
        <v>41250</v>
      </c>
      <c r="P11475">
        <v>0</v>
      </c>
      <c r="Q11475">
        <v>0</v>
      </c>
      <c r="R11475" t="s">
        <v>41265</v>
      </c>
      <c r="S11475" t="s">
        <v>41880</v>
      </c>
      <c r="T11475" t="s">
        <v>42764</v>
      </c>
      <c r="U11475" t="s">
        <v>52405</v>
      </c>
      <c r="W11475" t="s">
        <v>40599</v>
      </c>
      <c r="X11475" t="s">
        <v>41266</v>
      </c>
    </row>
    <row r="11476" spans="1:24">
      <c r="A11476">
        <f>HYPERLINK("https://www.philgeps.gov.ph/GEPSNONPILOT/Tender/SplashBidNoticeAbstractUI.aspx?menuIndex=3&amp;refID=7051243&amp;Result=3","7051243")</f>
        <v>0</v>
      </c>
      <c r="B11476" t="s">
        <v>974</v>
      </c>
      <c r="C11476" t="s">
        <v>14357</v>
      </c>
      <c r="D11476" t="s">
        <v>16621</v>
      </c>
      <c r="E11476" t="s">
        <v>26635</v>
      </c>
      <c r="F11476" t="s">
        <v>28669</v>
      </c>
      <c r="G11476" t="s">
        <v>28675</v>
      </c>
      <c r="H11476" t="s">
        <v>9998</v>
      </c>
      <c r="I11476" t="s">
        <v>28718</v>
      </c>
      <c r="J11476" t="s">
        <v>29245</v>
      </c>
      <c r="K11476" t="s">
        <v>37205</v>
      </c>
      <c r="M11476" t="s">
        <v>39760</v>
      </c>
      <c r="N11476" t="s">
        <v>41249</v>
      </c>
      <c r="O11476" t="s">
        <v>41250</v>
      </c>
      <c r="P11476">
        <v>0</v>
      </c>
      <c r="Q11476">
        <v>3</v>
      </c>
      <c r="R11476" t="s">
        <v>41265</v>
      </c>
      <c r="S11476" t="s">
        <v>41880</v>
      </c>
      <c r="T11476" t="s">
        <v>42702</v>
      </c>
      <c r="U11476" t="s">
        <v>52406</v>
      </c>
      <c r="W11476" t="s">
        <v>39760</v>
      </c>
      <c r="X11476" t="s">
        <v>41266</v>
      </c>
    </row>
    <row r="11477" spans="1:24">
      <c r="A11477">
        <f>HYPERLINK("https://www.philgeps.gov.ph/GEPSNONPILOT/Tender/SplashBidNoticeAbstractUI.aspx?menuIndex=3&amp;refID=7051101&amp;Result=3","7051101")</f>
        <v>0</v>
      </c>
      <c r="B11477" t="s">
        <v>2382</v>
      </c>
      <c r="C11477" t="s">
        <v>14358</v>
      </c>
      <c r="D11477" t="s">
        <v>16626</v>
      </c>
      <c r="E11477" t="s">
        <v>17653</v>
      </c>
      <c r="F11477" t="s">
        <v>28669</v>
      </c>
      <c r="G11477" t="s">
        <v>28676</v>
      </c>
      <c r="H11477" t="s">
        <v>9998</v>
      </c>
      <c r="I11477" t="s">
        <v>28750</v>
      </c>
      <c r="J11477" t="s">
        <v>31715</v>
      </c>
      <c r="K11477" t="s">
        <v>37209</v>
      </c>
      <c r="M11477" t="s">
        <v>40055</v>
      </c>
      <c r="N11477" t="s">
        <v>41249</v>
      </c>
      <c r="O11477" t="s">
        <v>41250</v>
      </c>
      <c r="P11477">
        <v>0</v>
      </c>
      <c r="Q11477">
        <v>0</v>
      </c>
      <c r="R11477" t="s">
        <v>41265</v>
      </c>
      <c r="S11477" t="s">
        <v>41880</v>
      </c>
      <c r="T11477" t="s">
        <v>42717</v>
      </c>
      <c r="U11477" t="s">
        <v>52407</v>
      </c>
      <c r="W11477" t="s">
        <v>40055</v>
      </c>
      <c r="X11477" t="s">
        <v>41266</v>
      </c>
    </row>
    <row r="11478" spans="1:24">
      <c r="A11478">
        <f>HYPERLINK("https://www.philgeps.gov.ph/GEPSNONPILOT/Tender/SplashBidNoticeAbstractUI.aspx?menuIndex=3&amp;refID=7051228&amp;Result=3","7051228")</f>
        <v>0</v>
      </c>
      <c r="B11478" t="s">
        <v>1738</v>
      </c>
      <c r="C11478" t="s">
        <v>14359</v>
      </c>
      <c r="D11478" t="s">
        <v>16651</v>
      </c>
      <c r="E11478" t="s">
        <v>26636</v>
      </c>
      <c r="F11478" t="s">
        <v>28669</v>
      </c>
      <c r="G11478" t="s">
        <v>28675</v>
      </c>
      <c r="H11478" t="s">
        <v>9998</v>
      </c>
      <c r="I11478" t="s">
        <v>28687</v>
      </c>
      <c r="J11478" t="s">
        <v>30575</v>
      </c>
      <c r="K11478" t="s">
        <v>37206</v>
      </c>
      <c r="M11478" t="s">
        <v>39339</v>
      </c>
      <c r="N11478" t="s">
        <v>41249</v>
      </c>
      <c r="O11478" t="s">
        <v>41250</v>
      </c>
      <c r="P11478">
        <v>0</v>
      </c>
      <c r="Q11478">
        <v>5</v>
      </c>
      <c r="R11478" t="s">
        <v>41265</v>
      </c>
      <c r="S11478" t="s">
        <v>41880</v>
      </c>
      <c r="T11478" t="s">
        <v>42966</v>
      </c>
      <c r="U11478" t="s">
        <v>51088</v>
      </c>
      <c r="W11478" t="s">
        <v>39339</v>
      </c>
      <c r="X11478" t="s">
        <v>41266</v>
      </c>
    </row>
    <row r="11479" spans="1:24">
      <c r="A11479">
        <f>HYPERLINK("https://www.philgeps.gov.ph/GEPSNONPILOT/Tender/SplashBidNoticeAbstractUI.aspx?menuIndex=3&amp;refID=7051222&amp;Result=3","7051222")</f>
        <v>0</v>
      </c>
      <c r="B11479" t="s">
        <v>743</v>
      </c>
      <c r="C11479" t="s">
        <v>14360</v>
      </c>
      <c r="D11479" t="s">
        <v>16629</v>
      </c>
      <c r="E11479" t="s">
        <v>26637</v>
      </c>
      <c r="F11479" t="s">
        <v>28669</v>
      </c>
      <c r="G11479" t="s">
        <v>28675</v>
      </c>
      <c r="H11479" t="s">
        <v>28686</v>
      </c>
      <c r="I11479" t="s">
        <v>28689</v>
      </c>
      <c r="J11479" t="s">
        <v>35881</v>
      </c>
      <c r="K11479" t="s">
        <v>37410</v>
      </c>
      <c r="M11479" t="s">
        <v>39318</v>
      </c>
      <c r="N11479" t="s">
        <v>41249</v>
      </c>
      <c r="O11479" t="s">
        <v>41250</v>
      </c>
      <c r="P11479">
        <v>0</v>
      </c>
      <c r="Q11479">
        <v>0</v>
      </c>
      <c r="R11479" t="s">
        <v>41265</v>
      </c>
      <c r="S11479" t="s">
        <v>41880</v>
      </c>
      <c r="T11479" t="s">
        <v>42759</v>
      </c>
      <c r="U11479" t="s">
        <v>52408</v>
      </c>
      <c r="V11479" t="s">
        <v>55619</v>
      </c>
      <c r="W11479" t="s">
        <v>39318</v>
      </c>
      <c r="X11479" t="s">
        <v>41266</v>
      </c>
    </row>
    <row r="11480" spans="1:24">
      <c r="A11480">
        <f>HYPERLINK("https://www.philgeps.gov.ph/GEPSNONPILOT/Tender/SplashBidNoticeAbstractUI.aspx?menuIndex=3&amp;refID=7051218&amp;Result=3","7051218")</f>
        <v>0</v>
      </c>
      <c r="B11480" t="s">
        <v>3114</v>
      </c>
      <c r="C11480" t="s">
        <v>14361</v>
      </c>
      <c r="D11480" t="s">
        <v>16627</v>
      </c>
      <c r="E11480" t="s">
        <v>26638</v>
      </c>
      <c r="F11480" t="s">
        <v>28669</v>
      </c>
      <c r="G11480" t="s">
        <v>28675</v>
      </c>
      <c r="H11480" t="s">
        <v>28686</v>
      </c>
      <c r="I11480" t="s">
        <v>28689</v>
      </c>
      <c r="J11480" t="s">
        <v>30888</v>
      </c>
      <c r="K11480" t="s">
        <v>37218</v>
      </c>
      <c r="L11480" t="s">
        <v>3114</v>
      </c>
      <c r="M11480" t="s">
        <v>40902</v>
      </c>
      <c r="N11480" t="s">
        <v>41249</v>
      </c>
      <c r="O11480" t="s">
        <v>41250</v>
      </c>
      <c r="P11480">
        <v>0</v>
      </c>
      <c r="Q11480">
        <v>3</v>
      </c>
      <c r="R11480" t="s">
        <v>41265</v>
      </c>
      <c r="S11480" t="s">
        <v>41880</v>
      </c>
      <c r="T11480" t="s">
        <v>42679</v>
      </c>
      <c r="U11480" t="s">
        <v>52409</v>
      </c>
      <c r="W11480" t="s">
        <v>40902</v>
      </c>
      <c r="X11480" t="s">
        <v>41266</v>
      </c>
    </row>
    <row r="11481" spans="1:24">
      <c r="A11481">
        <f>HYPERLINK("https://www.philgeps.gov.ph/GEPSNONPILOT/Tender/SplashBidNoticeAbstractUI.aspx?menuIndex=3&amp;refID=7051215&amp;Result=3","7051215")</f>
        <v>0</v>
      </c>
      <c r="B11481" t="s">
        <v>3115</v>
      </c>
      <c r="C11481" t="s">
        <v>14362</v>
      </c>
      <c r="D11481" t="s">
        <v>16622</v>
      </c>
      <c r="E11481" t="s">
        <v>26639</v>
      </c>
      <c r="F11481" t="s">
        <v>28669</v>
      </c>
      <c r="G11481" t="s">
        <v>28675</v>
      </c>
      <c r="H11481" t="s">
        <v>9998</v>
      </c>
      <c r="I11481" t="s">
        <v>28687</v>
      </c>
      <c r="J11481" t="s">
        <v>33369</v>
      </c>
      <c r="K11481" t="s">
        <v>37206</v>
      </c>
      <c r="M11481" t="s">
        <v>40903</v>
      </c>
      <c r="N11481" t="s">
        <v>41249</v>
      </c>
      <c r="O11481" t="s">
        <v>41250</v>
      </c>
      <c r="P11481">
        <v>0</v>
      </c>
      <c r="Q11481">
        <v>3</v>
      </c>
      <c r="R11481" t="s">
        <v>41265</v>
      </c>
      <c r="S11481" t="s">
        <v>41880</v>
      </c>
      <c r="T11481" t="s">
        <v>42999</v>
      </c>
      <c r="U11481" t="s">
        <v>52410</v>
      </c>
      <c r="W11481" t="s">
        <v>40903</v>
      </c>
      <c r="X11481" t="s">
        <v>41266</v>
      </c>
    </row>
    <row r="11482" spans="1:24">
      <c r="A11482">
        <f>HYPERLINK("https://www.philgeps.gov.ph/GEPSNONPILOT/Tender/SplashBidNoticeAbstractUI.aspx?menuIndex=3&amp;refID=7051213&amp;Result=3","7051213")</f>
        <v>0</v>
      </c>
      <c r="B11482" t="s">
        <v>492</v>
      </c>
      <c r="C11482" t="s">
        <v>14363</v>
      </c>
      <c r="D11482" t="s">
        <v>16621</v>
      </c>
      <c r="E11482" t="s">
        <v>26640</v>
      </c>
      <c r="F11482" t="s">
        <v>28669</v>
      </c>
      <c r="G11482" t="s">
        <v>28675</v>
      </c>
      <c r="H11482" t="s">
        <v>9998</v>
      </c>
      <c r="I11482" t="s">
        <v>7352</v>
      </c>
      <c r="J11482" t="s">
        <v>29134</v>
      </c>
      <c r="K11482" t="s">
        <v>37227</v>
      </c>
      <c r="M11482" t="s">
        <v>37981</v>
      </c>
      <c r="N11482" t="s">
        <v>41249</v>
      </c>
      <c r="O11482" t="s">
        <v>41250</v>
      </c>
      <c r="P11482">
        <v>0</v>
      </c>
      <c r="Q11482">
        <v>1</v>
      </c>
      <c r="R11482" t="s">
        <v>41265</v>
      </c>
      <c r="S11482" t="s">
        <v>41880</v>
      </c>
      <c r="T11482" t="s">
        <v>42714</v>
      </c>
      <c r="U11482" t="s">
        <v>52411</v>
      </c>
      <c r="W11482" t="s">
        <v>37981</v>
      </c>
      <c r="X11482" t="s">
        <v>41266</v>
      </c>
    </row>
    <row r="11483" spans="1:24">
      <c r="A11483">
        <f>HYPERLINK("https://www.philgeps.gov.ph/GEPSNONPILOT/Tender/SplashBidNoticeAbstractUI.aspx?menuIndex=3&amp;refID=7051201&amp;Result=3","7051201")</f>
        <v>0</v>
      </c>
      <c r="B11483" t="s">
        <v>2989</v>
      </c>
      <c r="C11483" t="s">
        <v>14364</v>
      </c>
      <c r="D11483" t="s">
        <v>16631</v>
      </c>
      <c r="E11483" t="s">
        <v>26641</v>
      </c>
      <c r="F11483" t="s">
        <v>28669</v>
      </c>
      <c r="G11483" t="s">
        <v>28675</v>
      </c>
      <c r="H11483" t="s">
        <v>9998</v>
      </c>
      <c r="I11483" t="s">
        <v>28713</v>
      </c>
      <c r="J11483" t="s">
        <v>28905</v>
      </c>
      <c r="K11483" t="s">
        <v>37205</v>
      </c>
      <c r="M11483" t="s">
        <v>40755</v>
      </c>
      <c r="N11483" t="s">
        <v>41249</v>
      </c>
      <c r="O11483" t="s">
        <v>41250</v>
      </c>
      <c r="P11483">
        <v>0</v>
      </c>
      <c r="Q11483">
        <v>3</v>
      </c>
      <c r="R11483" t="s">
        <v>41265</v>
      </c>
      <c r="S11483" t="s">
        <v>41880</v>
      </c>
      <c r="T11483" t="s">
        <v>42759</v>
      </c>
      <c r="U11483" t="s">
        <v>52412</v>
      </c>
      <c r="W11483" t="s">
        <v>40755</v>
      </c>
      <c r="X11483" t="s">
        <v>41266</v>
      </c>
    </row>
    <row r="11484" spans="1:24">
      <c r="A11484">
        <f>HYPERLINK("https://www.philgeps.gov.ph/GEPSNONPILOT/Tender/SplashBidNoticeAbstractUI.aspx?menuIndex=3&amp;refID=7051180&amp;Result=3","7051180")</f>
        <v>0</v>
      </c>
      <c r="B11484" t="s">
        <v>55</v>
      </c>
      <c r="C11484" t="s">
        <v>14365</v>
      </c>
      <c r="D11484" t="s">
        <v>16633</v>
      </c>
      <c r="E11484" t="s">
        <v>26642</v>
      </c>
      <c r="F11484" t="s">
        <v>28669</v>
      </c>
      <c r="G11484" t="s">
        <v>28675</v>
      </c>
      <c r="H11484" t="s">
        <v>28686</v>
      </c>
      <c r="I11484" t="s">
        <v>28689</v>
      </c>
      <c r="J11484" t="s">
        <v>35882</v>
      </c>
      <c r="K11484" t="s">
        <v>37207</v>
      </c>
      <c r="M11484" t="s">
        <v>37530</v>
      </c>
      <c r="N11484" t="s">
        <v>41249</v>
      </c>
      <c r="O11484" t="s">
        <v>41250</v>
      </c>
      <c r="P11484">
        <v>0</v>
      </c>
      <c r="Q11484">
        <v>5</v>
      </c>
      <c r="R11484" t="s">
        <v>41265</v>
      </c>
      <c r="S11484" t="s">
        <v>41880</v>
      </c>
      <c r="T11484" t="s">
        <v>42679</v>
      </c>
      <c r="U11484" t="s">
        <v>52413</v>
      </c>
      <c r="V11484" t="s">
        <v>55618</v>
      </c>
      <c r="W11484" t="s">
        <v>37530</v>
      </c>
      <c r="X11484" t="s">
        <v>41266</v>
      </c>
    </row>
    <row r="11485" spans="1:24">
      <c r="A11485">
        <f>HYPERLINK("https://www.philgeps.gov.ph/GEPSNONPILOT/Tender/SplashBidNoticeAbstractUI.aspx?menuIndex=3&amp;refID=7051272&amp;Result=3","7051272")</f>
        <v>0</v>
      </c>
      <c r="B11485" t="s">
        <v>910</v>
      </c>
      <c r="C11485" t="s">
        <v>14366</v>
      </c>
      <c r="E11485" t="s">
        <v>26643</v>
      </c>
      <c r="F11485" t="s">
        <v>28669</v>
      </c>
      <c r="G11485" t="s">
        <v>28675</v>
      </c>
      <c r="H11485" t="s">
        <v>9998</v>
      </c>
      <c r="I11485" t="s">
        <v>28781</v>
      </c>
      <c r="J11485" t="s">
        <v>35883</v>
      </c>
      <c r="K11485" t="s">
        <v>37212</v>
      </c>
      <c r="M11485" t="s">
        <v>38432</v>
      </c>
      <c r="N11485" t="s">
        <v>41249</v>
      </c>
      <c r="O11485" t="s">
        <v>41250</v>
      </c>
      <c r="Q11485">
        <v>6</v>
      </c>
      <c r="R11485" t="s">
        <v>41265</v>
      </c>
      <c r="S11485" t="s">
        <v>41931</v>
      </c>
      <c r="T11485" t="s">
        <v>42966</v>
      </c>
      <c r="U11485" t="s">
        <v>52414</v>
      </c>
      <c r="W11485" t="s">
        <v>38432</v>
      </c>
      <c r="X11485" t="s">
        <v>41266</v>
      </c>
    </row>
    <row r="11486" spans="1:24">
      <c r="A11486">
        <f>HYPERLINK("https://www.philgeps.gov.ph/GEPSNONPILOT/Tender/SplashBidNoticeAbstractUI.aspx?menuIndex=3&amp;refID=7051176&amp;Result=3","7051176")</f>
        <v>0</v>
      </c>
      <c r="B11486" t="s">
        <v>3116</v>
      </c>
      <c r="C11486" t="s">
        <v>14367</v>
      </c>
      <c r="D11486" t="s">
        <v>16635</v>
      </c>
      <c r="E11486" t="s">
        <v>26644</v>
      </c>
      <c r="F11486" t="s">
        <v>28669</v>
      </c>
      <c r="G11486" t="s">
        <v>28675</v>
      </c>
      <c r="H11486" t="s">
        <v>28686</v>
      </c>
      <c r="I11486" t="s">
        <v>28689</v>
      </c>
      <c r="J11486" t="s">
        <v>28905</v>
      </c>
      <c r="K11486" t="s">
        <v>37206</v>
      </c>
      <c r="M11486" t="s">
        <v>40904</v>
      </c>
      <c r="N11486" t="s">
        <v>41249</v>
      </c>
      <c r="O11486" t="s">
        <v>41250</v>
      </c>
      <c r="P11486">
        <v>0</v>
      </c>
      <c r="Q11486">
        <v>0</v>
      </c>
      <c r="R11486" t="s">
        <v>41265</v>
      </c>
      <c r="S11486" t="s">
        <v>41880</v>
      </c>
      <c r="T11486" t="s">
        <v>42686</v>
      </c>
      <c r="U11486" t="s">
        <v>52415</v>
      </c>
      <c r="W11486" t="s">
        <v>40904</v>
      </c>
      <c r="X11486" t="s">
        <v>41266</v>
      </c>
    </row>
    <row r="11487" spans="1:24">
      <c r="A11487">
        <f>HYPERLINK("https://www.philgeps.gov.ph/GEPSNONPILOT/Tender/SplashBidNoticeAbstractUI.aspx?menuIndex=3&amp;refID=7051285&amp;Result=3","7051285")</f>
        <v>0</v>
      </c>
      <c r="B11487" t="s">
        <v>3117</v>
      </c>
      <c r="C11487" t="s">
        <v>14368</v>
      </c>
      <c r="D11487" t="s">
        <v>16622</v>
      </c>
      <c r="E11487" t="s">
        <v>26645</v>
      </c>
      <c r="F11487" t="s">
        <v>28669</v>
      </c>
      <c r="G11487" t="s">
        <v>28675</v>
      </c>
      <c r="H11487" t="s">
        <v>28686</v>
      </c>
      <c r="I11487" t="s">
        <v>28689</v>
      </c>
      <c r="J11487" t="s">
        <v>35884</v>
      </c>
      <c r="K11487" t="s">
        <v>37221</v>
      </c>
      <c r="M11487" t="s">
        <v>40905</v>
      </c>
      <c r="N11487" t="s">
        <v>41249</v>
      </c>
      <c r="O11487" t="s">
        <v>41250</v>
      </c>
      <c r="P11487">
        <v>0</v>
      </c>
      <c r="Q11487">
        <v>1</v>
      </c>
      <c r="R11487" t="s">
        <v>41265</v>
      </c>
      <c r="S11487" t="s">
        <v>41880</v>
      </c>
      <c r="T11487" t="s">
        <v>42742</v>
      </c>
      <c r="U11487" t="s">
        <v>52416</v>
      </c>
      <c r="V11487" t="s">
        <v>55620</v>
      </c>
      <c r="W11487" t="s">
        <v>40905</v>
      </c>
      <c r="X11487" t="s">
        <v>41266</v>
      </c>
    </row>
    <row r="11488" spans="1:24">
      <c r="A11488">
        <f>HYPERLINK("https://www.philgeps.gov.ph/GEPSNONPILOT/Tender/SplashBidNoticeAbstractUI.aspx?menuIndex=3&amp;refID=7051438&amp;Result=3","7051438")</f>
        <v>0</v>
      </c>
      <c r="B11488" t="s">
        <v>55</v>
      </c>
      <c r="C11488" t="s">
        <v>14369</v>
      </c>
      <c r="D11488" t="s">
        <v>16633</v>
      </c>
      <c r="E11488" t="s">
        <v>26646</v>
      </c>
      <c r="F11488" t="s">
        <v>28669</v>
      </c>
      <c r="G11488" t="s">
        <v>28675</v>
      </c>
      <c r="H11488" t="s">
        <v>28686</v>
      </c>
      <c r="I11488" t="s">
        <v>28689</v>
      </c>
      <c r="J11488" t="s">
        <v>35885</v>
      </c>
      <c r="K11488" t="s">
        <v>37289</v>
      </c>
      <c r="M11488" t="s">
        <v>37530</v>
      </c>
      <c r="N11488" t="s">
        <v>41249</v>
      </c>
      <c r="O11488" t="s">
        <v>41250</v>
      </c>
      <c r="P11488">
        <v>0</v>
      </c>
      <c r="Q11488">
        <v>2</v>
      </c>
      <c r="R11488" t="s">
        <v>41265</v>
      </c>
      <c r="S11488" t="s">
        <v>41880</v>
      </c>
      <c r="T11488" t="s">
        <v>42679</v>
      </c>
      <c r="U11488" t="s">
        <v>52417</v>
      </c>
      <c r="V11488" t="s">
        <v>55618</v>
      </c>
      <c r="W11488" t="s">
        <v>37530</v>
      </c>
      <c r="X11488" t="s">
        <v>41266</v>
      </c>
    </row>
    <row r="11489" spans="1:24">
      <c r="A11489">
        <f>HYPERLINK("https://www.philgeps.gov.ph/GEPSNONPILOT/Tender/SplashBidNoticeAbstractUI.aspx?menuIndex=3&amp;refID=7051417&amp;Result=3","7051417")</f>
        <v>0</v>
      </c>
      <c r="B11489" t="s">
        <v>3086</v>
      </c>
      <c r="C11489" t="s">
        <v>14370</v>
      </c>
      <c r="D11489" t="s">
        <v>16682</v>
      </c>
      <c r="E11489" t="s">
        <v>9998</v>
      </c>
      <c r="F11489" t="s">
        <v>28669</v>
      </c>
      <c r="G11489" t="s">
        <v>28675</v>
      </c>
      <c r="H11489" t="s">
        <v>9998</v>
      </c>
      <c r="I11489" t="s">
        <v>28693</v>
      </c>
      <c r="J11489" t="s">
        <v>35886</v>
      </c>
      <c r="K11489" t="s">
        <v>37206</v>
      </c>
      <c r="M11489" t="s">
        <v>40870</v>
      </c>
      <c r="N11489" t="s">
        <v>41249</v>
      </c>
      <c r="O11489" t="s">
        <v>41250</v>
      </c>
      <c r="P11489">
        <v>0</v>
      </c>
      <c r="Q11489">
        <v>3</v>
      </c>
      <c r="R11489" t="s">
        <v>41265</v>
      </c>
      <c r="S11489" t="s">
        <v>41880</v>
      </c>
      <c r="T11489" t="s">
        <v>42679</v>
      </c>
      <c r="U11489" t="s">
        <v>52418</v>
      </c>
      <c r="V11489" t="s">
        <v>55621</v>
      </c>
      <c r="W11489" t="s">
        <v>40870</v>
      </c>
      <c r="X11489" t="s">
        <v>41266</v>
      </c>
    </row>
    <row r="11490" spans="1:24">
      <c r="A11490">
        <f>HYPERLINK("https://www.philgeps.gov.ph/GEPSNONPILOT/Tender/SplashBidNoticeAbstractUI.aspx?menuIndex=3&amp;refID=7051405&amp;Result=3","7051405")</f>
        <v>0</v>
      </c>
      <c r="B11490" t="s">
        <v>3118</v>
      </c>
      <c r="C11490" t="s">
        <v>14371</v>
      </c>
      <c r="D11490" t="s">
        <v>16637</v>
      </c>
      <c r="E11490" t="s">
        <v>26647</v>
      </c>
      <c r="F11490" t="s">
        <v>28669</v>
      </c>
      <c r="G11490" t="s">
        <v>28675</v>
      </c>
      <c r="H11490" t="s">
        <v>28686</v>
      </c>
      <c r="I11490" t="s">
        <v>28689</v>
      </c>
      <c r="J11490" t="s">
        <v>29112</v>
      </c>
      <c r="K11490" t="s">
        <v>37217</v>
      </c>
      <c r="M11490" t="s">
        <v>40906</v>
      </c>
      <c r="N11490" t="s">
        <v>41249</v>
      </c>
      <c r="O11490" t="s">
        <v>41250</v>
      </c>
      <c r="P11490">
        <v>0</v>
      </c>
      <c r="Q11490">
        <v>4</v>
      </c>
      <c r="R11490" t="s">
        <v>41265</v>
      </c>
      <c r="S11490" t="s">
        <v>41880</v>
      </c>
      <c r="T11490" t="s">
        <v>42703</v>
      </c>
      <c r="U11490" t="s">
        <v>52419</v>
      </c>
      <c r="W11490" t="s">
        <v>40906</v>
      </c>
      <c r="X11490" t="s">
        <v>41266</v>
      </c>
    </row>
    <row r="11491" spans="1:24">
      <c r="A11491">
        <f>HYPERLINK("https://www.philgeps.gov.ph/GEPSNONPILOT/Tender/SplashBidNoticeAbstractUI.aspx?menuIndex=3&amp;refID=7051402&amp;Result=3","7051402")</f>
        <v>0</v>
      </c>
      <c r="B11491" t="s">
        <v>2989</v>
      </c>
      <c r="C11491" t="s">
        <v>14372</v>
      </c>
      <c r="D11491" t="s">
        <v>16631</v>
      </c>
      <c r="E11491" t="s">
        <v>26648</v>
      </c>
      <c r="F11491" t="s">
        <v>28669</v>
      </c>
      <c r="G11491" t="s">
        <v>28675</v>
      </c>
      <c r="H11491" t="s">
        <v>9998</v>
      </c>
      <c r="I11491" t="s">
        <v>28692</v>
      </c>
      <c r="J11491" t="s">
        <v>28826</v>
      </c>
      <c r="K11491" t="s">
        <v>37205</v>
      </c>
      <c r="M11491" t="s">
        <v>40755</v>
      </c>
      <c r="N11491" t="s">
        <v>41249</v>
      </c>
      <c r="O11491" t="s">
        <v>41250</v>
      </c>
      <c r="P11491">
        <v>0</v>
      </c>
      <c r="Q11491">
        <v>1</v>
      </c>
      <c r="R11491" t="s">
        <v>41265</v>
      </c>
      <c r="S11491" t="s">
        <v>41880</v>
      </c>
      <c r="T11491" t="s">
        <v>42759</v>
      </c>
      <c r="U11491" t="s">
        <v>52420</v>
      </c>
      <c r="W11491" t="s">
        <v>40755</v>
      </c>
      <c r="X11491" t="s">
        <v>41266</v>
      </c>
    </row>
    <row r="11492" spans="1:24">
      <c r="A11492">
        <f>HYPERLINK("https://www.philgeps.gov.ph/GEPSNONPILOT/Tender/SplashBidNoticeAbstractUI.aspx?menuIndex=3&amp;refID=7051391&amp;Result=3","7051391")</f>
        <v>0</v>
      </c>
      <c r="B11492" t="s">
        <v>1146</v>
      </c>
      <c r="C11492" t="s">
        <v>14373</v>
      </c>
      <c r="D11492" t="s">
        <v>16640</v>
      </c>
      <c r="E11492" t="s">
        <v>26649</v>
      </c>
      <c r="F11492" t="s">
        <v>28669</v>
      </c>
      <c r="G11492" t="s">
        <v>28676</v>
      </c>
      <c r="H11492" t="s">
        <v>9998</v>
      </c>
      <c r="I11492" t="s">
        <v>28689</v>
      </c>
      <c r="J11492" t="s">
        <v>29187</v>
      </c>
      <c r="K11492" t="s">
        <v>37209</v>
      </c>
      <c r="M11492" t="s">
        <v>39972</v>
      </c>
      <c r="N11492" t="s">
        <v>41249</v>
      </c>
      <c r="O11492" t="s">
        <v>41250</v>
      </c>
      <c r="Q11492">
        <v>0</v>
      </c>
      <c r="R11492" t="s">
        <v>41265</v>
      </c>
      <c r="S11492" t="s">
        <v>41932</v>
      </c>
      <c r="T11492" t="s">
        <v>42673</v>
      </c>
      <c r="U11492" t="s">
        <v>49135</v>
      </c>
      <c r="W11492" t="s">
        <v>39972</v>
      </c>
      <c r="X11492" t="s">
        <v>41266</v>
      </c>
    </row>
    <row r="11493" spans="1:24">
      <c r="A11493">
        <f>HYPERLINK("https://www.philgeps.gov.ph/GEPSNONPILOT/Tender/SplashBidNoticeAbstractUI.aspx?menuIndex=3&amp;refID=7051080&amp;Result=3","7051080")</f>
        <v>0</v>
      </c>
      <c r="B11493" t="s">
        <v>2768</v>
      </c>
      <c r="C11493" t="s">
        <v>14374</v>
      </c>
      <c r="D11493" t="s">
        <v>16621</v>
      </c>
      <c r="E11493" t="s">
        <v>26650</v>
      </c>
      <c r="F11493" t="s">
        <v>28669</v>
      </c>
      <c r="G11493" t="s">
        <v>28675</v>
      </c>
      <c r="H11493" t="s">
        <v>9998</v>
      </c>
      <c r="I11493" t="s">
        <v>28698</v>
      </c>
      <c r="J11493" t="s">
        <v>35887</v>
      </c>
      <c r="K11493" t="s">
        <v>37206</v>
      </c>
      <c r="M11493" t="s">
        <v>40488</v>
      </c>
      <c r="N11493" t="s">
        <v>41249</v>
      </c>
      <c r="O11493" t="s">
        <v>41250</v>
      </c>
      <c r="Q11493">
        <v>0</v>
      </c>
      <c r="R11493" t="s">
        <v>41265</v>
      </c>
      <c r="S11493" t="s">
        <v>41933</v>
      </c>
      <c r="T11493" t="s">
        <v>43131</v>
      </c>
      <c r="U11493" t="s">
        <v>50794</v>
      </c>
      <c r="V11493" t="s">
        <v>55303</v>
      </c>
      <c r="W11493" t="s">
        <v>40488</v>
      </c>
      <c r="X11493" t="s">
        <v>41266</v>
      </c>
    </row>
    <row r="11494" spans="1:24">
      <c r="A11494">
        <f>HYPERLINK("https://www.philgeps.gov.ph/GEPSNONPILOT/Tender/SplashBidNoticeAbstractUI.aspx?menuIndex=3&amp;refID=7051385&amp;Result=3","7051385")</f>
        <v>0</v>
      </c>
      <c r="B11494" t="s">
        <v>55</v>
      </c>
      <c r="C11494" t="s">
        <v>14375</v>
      </c>
      <c r="D11494" t="s">
        <v>16633</v>
      </c>
      <c r="E11494" t="s">
        <v>26651</v>
      </c>
      <c r="F11494" t="s">
        <v>28669</v>
      </c>
      <c r="G11494" t="s">
        <v>28675</v>
      </c>
      <c r="H11494" t="s">
        <v>28686</v>
      </c>
      <c r="I11494" t="s">
        <v>28689</v>
      </c>
      <c r="J11494" t="s">
        <v>35888</v>
      </c>
      <c r="K11494" t="s">
        <v>37206</v>
      </c>
      <c r="M11494" t="s">
        <v>37530</v>
      </c>
      <c r="N11494" t="s">
        <v>41249</v>
      </c>
      <c r="O11494" t="s">
        <v>41250</v>
      </c>
      <c r="P11494">
        <v>0</v>
      </c>
      <c r="Q11494">
        <v>2</v>
      </c>
      <c r="R11494" t="s">
        <v>41265</v>
      </c>
      <c r="S11494" t="s">
        <v>41880</v>
      </c>
      <c r="T11494" t="s">
        <v>42679</v>
      </c>
      <c r="U11494" t="s">
        <v>52421</v>
      </c>
      <c r="V11494" t="s">
        <v>55618</v>
      </c>
      <c r="W11494" t="s">
        <v>37530</v>
      </c>
      <c r="X11494" t="s">
        <v>41266</v>
      </c>
    </row>
    <row r="11495" spans="1:24">
      <c r="A11495">
        <f>HYPERLINK("https://www.philgeps.gov.ph/GEPSNONPILOT/Tender/SplashBidNoticeAbstractUI.aspx?menuIndex=3&amp;refID=7051379&amp;Result=3","7051379")</f>
        <v>0</v>
      </c>
      <c r="B11495" t="s">
        <v>3119</v>
      </c>
      <c r="C11495" t="s">
        <v>14376</v>
      </c>
      <c r="D11495" t="s">
        <v>16627</v>
      </c>
      <c r="E11495" t="s">
        <v>21222</v>
      </c>
      <c r="F11495" t="s">
        <v>28671</v>
      </c>
      <c r="G11495" t="s">
        <v>28675</v>
      </c>
      <c r="H11495" t="s">
        <v>9998</v>
      </c>
      <c r="I11495" t="s">
        <v>28696</v>
      </c>
      <c r="J11495" t="s">
        <v>28826</v>
      </c>
      <c r="K11495" t="s">
        <v>37216</v>
      </c>
      <c r="L11495" t="s">
        <v>3119</v>
      </c>
      <c r="M11495" t="s">
        <v>40907</v>
      </c>
      <c r="N11495" t="s">
        <v>41249</v>
      </c>
      <c r="O11495" t="s">
        <v>41250</v>
      </c>
      <c r="P11495">
        <v>0</v>
      </c>
      <c r="Q11495">
        <v>0</v>
      </c>
      <c r="R11495" t="s">
        <v>41265</v>
      </c>
      <c r="S11495" t="s">
        <v>41880</v>
      </c>
      <c r="T11495" t="s">
        <v>42992</v>
      </c>
      <c r="U11495" t="s">
        <v>52422</v>
      </c>
      <c r="W11495" t="s">
        <v>40907</v>
      </c>
      <c r="X11495" t="s">
        <v>41266</v>
      </c>
    </row>
    <row r="11496" spans="1:24">
      <c r="A11496">
        <f>HYPERLINK("https://www.philgeps.gov.ph/GEPSNONPILOT/Tender/SplashBidNoticeAbstractUI.aspx?menuIndex=3&amp;refID=7051362&amp;Result=3","7051362")</f>
        <v>0</v>
      </c>
      <c r="B11496" t="s">
        <v>1064</v>
      </c>
      <c r="C11496" t="s">
        <v>14377</v>
      </c>
      <c r="D11496" t="s">
        <v>16655</v>
      </c>
      <c r="E11496" t="s">
        <v>26652</v>
      </c>
      <c r="F11496" t="s">
        <v>28669</v>
      </c>
      <c r="G11496" t="s">
        <v>28675</v>
      </c>
      <c r="H11496" t="s">
        <v>28686</v>
      </c>
      <c r="I11496" t="s">
        <v>28689</v>
      </c>
      <c r="J11496" t="s">
        <v>35889</v>
      </c>
      <c r="K11496" t="s">
        <v>37269</v>
      </c>
      <c r="M11496" t="s">
        <v>38595</v>
      </c>
      <c r="N11496" t="s">
        <v>41249</v>
      </c>
      <c r="O11496" t="s">
        <v>41250</v>
      </c>
      <c r="P11496">
        <v>0</v>
      </c>
      <c r="Q11496">
        <v>0</v>
      </c>
      <c r="R11496" t="s">
        <v>41265</v>
      </c>
      <c r="S11496" t="s">
        <v>41880</v>
      </c>
      <c r="T11496" t="s">
        <v>42761</v>
      </c>
      <c r="U11496" t="s">
        <v>45354</v>
      </c>
      <c r="W11496" t="s">
        <v>38595</v>
      </c>
      <c r="X11496" t="s">
        <v>41266</v>
      </c>
    </row>
    <row r="11497" spans="1:24">
      <c r="A11497">
        <f>HYPERLINK("https://www.philgeps.gov.ph/GEPSNONPILOT/Tender/SplashBidNoticeAbstractUI.aspx?menuIndex=3&amp;refID=7051129&amp;Result=3","7051129")</f>
        <v>0</v>
      </c>
      <c r="B11497" t="s">
        <v>2236</v>
      </c>
      <c r="C11497" t="s">
        <v>14378</v>
      </c>
      <c r="D11497" t="s">
        <v>16660</v>
      </c>
      <c r="E11497" t="s">
        <v>26653</v>
      </c>
      <c r="F11497" t="s">
        <v>28669</v>
      </c>
      <c r="G11497" t="s">
        <v>28675</v>
      </c>
      <c r="H11497" t="s">
        <v>9998</v>
      </c>
      <c r="I11497" t="s">
        <v>28687</v>
      </c>
      <c r="J11497" t="s">
        <v>30575</v>
      </c>
      <c r="K11497" t="s">
        <v>37209</v>
      </c>
      <c r="M11497" t="s">
        <v>39890</v>
      </c>
      <c r="N11497" t="s">
        <v>41249</v>
      </c>
      <c r="O11497" t="s">
        <v>41250</v>
      </c>
      <c r="P11497">
        <v>0</v>
      </c>
      <c r="Q11497">
        <v>3</v>
      </c>
      <c r="R11497" t="s">
        <v>41265</v>
      </c>
      <c r="S11497" t="s">
        <v>41880</v>
      </c>
      <c r="T11497" t="s">
        <v>42679</v>
      </c>
      <c r="U11497" t="s">
        <v>52423</v>
      </c>
      <c r="W11497" t="s">
        <v>55984</v>
      </c>
      <c r="X11497" t="s">
        <v>41266</v>
      </c>
    </row>
    <row r="11498" spans="1:24">
      <c r="A11498">
        <f>HYPERLINK("https://www.philgeps.gov.ph/GEPSNONPILOT/Tender/SplashBidNoticeAbstractUI.aspx?menuIndex=3&amp;refID=7051354&amp;Result=3","7051354")</f>
        <v>0</v>
      </c>
      <c r="B11498" t="s">
        <v>2989</v>
      </c>
      <c r="C11498" t="s">
        <v>14379</v>
      </c>
      <c r="D11498" t="s">
        <v>16631</v>
      </c>
      <c r="E11498" t="s">
        <v>26654</v>
      </c>
      <c r="F11498" t="s">
        <v>28669</v>
      </c>
      <c r="G11498" t="s">
        <v>28675</v>
      </c>
      <c r="H11498" t="s">
        <v>9998</v>
      </c>
      <c r="I11498" t="s">
        <v>28690</v>
      </c>
      <c r="J11498" t="s">
        <v>28879</v>
      </c>
      <c r="K11498" t="s">
        <v>37205</v>
      </c>
      <c r="M11498" t="s">
        <v>40755</v>
      </c>
      <c r="N11498" t="s">
        <v>41249</v>
      </c>
      <c r="O11498" t="s">
        <v>41250</v>
      </c>
      <c r="P11498">
        <v>0</v>
      </c>
      <c r="Q11498">
        <v>1</v>
      </c>
      <c r="R11498" t="s">
        <v>41265</v>
      </c>
      <c r="S11498" t="s">
        <v>41880</v>
      </c>
      <c r="T11498" t="s">
        <v>42759</v>
      </c>
      <c r="U11498" t="s">
        <v>52424</v>
      </c>
      <c r="W11498" t="s">
        <v>40755</v>
      </c>
      <c r="X11498" t="s">
        <v>41266</v>
      </c>
    </row>
    <row r="11499" spans="1:24">
      <c r="A11499">
        <f>HYPERLINK("https://www.philgeps.gov.ph/GEPSNONPILOT/Tender/SplashBidNoticeAbstractUI.aspx?menuIndex=3&amp;refID=7051349&amp;Result=3","7051349")</f>
        <v>0</v>
      </c>
      <c r="B11499" t="s">
        <v>2566</v>
      </c>
      <c r="C11499" t="s">
        <v>14380</v>
      </c>
      <c r="D11499" t="s">
        <v>16667</v>
      </c>
      <c r="E11499" t="s">
        <v>23659</v>
      </c>
      <c r="F11499" t="s">
        <v>28669</v>
      </c>
      <c r="G11499" t="s">
        <v>28675</v>
      </c>
      <c r="H11499" t="s">
        <v>28686</v>
      </c>
      <c r="I11499" t="s">
        <v>28689</v>
      </c>
      <c r="J11499" t="s">
        <v>28889</v>
      </c>
      <c r="K11499" t="s">
        <v>37213</v>
      </c>
      <c r="M11499" t="s">
        <v>40259</v>
      </c>
      <c r="N11499" t="s">
        <v>41249</v>
      </c>
      <c r="O11499" t="s">
        <v>41250</v>
      </c>
      <c r="P11499">
        <v>0</v>
      </c>
      <c r="Q11499">
        <v>2</v>
      </c>
      <c r="R11499" t="s">
        <v>41265</v>
      </c>
      <c r="S11499" t="s">
        <v>41880</v>
      </c>
      <c r="T11499" t="s">
        <v>42759</v>
      </c>
      <c r="U11499" t="s">
        <v>52425</v>
      </c>
      <c r="W11499" t="s">
        <v>40259</v>
      </c>
      <c r="X11499" t="s">
        <v>41266</v>
      </c>
    </row>
    <row r="11500" spans="1:24">
      <c r="A11500">
        <f>HYPERLINK("https://www.philgeps.gov.ph/GEPSNONPILOT/Tender/SplashBidNoticeAbstractUI.aspx?menuIndex=3&amp;refID=7051346&amp;Result=3","7051346")</f>
        <v>0</v>
      </c>
      <c r="B11500" t="s">
        <v>55</v>
      </c>
      <c r="C11500" t="s">
        <v>14381</v>
      </c>
      <c r="D11500" t="s">
        <v>16633</v>
      </c>
      <c r="E11500" t="s">
        <v>26655</v>
      </c>
      <c r="F11500" t="s">
        <v>28669</v>
      </c>
      <c r="G11500" t="s">
        <v>28675</v>
      </c>
      <c r="H11500" t="s">
        <v>28686</v>
      </c>
      <c r="I11500" t="s">
        <v>28689</v>
      </c>
      <c r="J11500" t="s">
        <v>35890</v>
      </c>
      <c r="K11500" t="s">
        <v>37214</v>
      </c>
      <c r="M11500" t="s">
        <v>37530</v>
      </c>
      <c r="N11500" t="s">
        <v>41249</v>
      </c>
      <c r="O11500" t="s">
        <v>41250</v>
      </c>
      <c r="Q11500">
        <v>2</v>
      </c>
      <c r="R11500" t="s">
        <v>41265</v>
      </c>
      <c r="S11500" t="s">
        <v>41934</v>
      </c>
      <c r="T11500" t="s">
        <v>42679</v>
      </c>
      <c r="U11500" t="s">
        <v>52426</v>
      </c>
      <c r="V11500" t="s">
        <v>55618</v>
      </c>
      <c r="W11500" t="s">
        <v>37530</v>
      </c>
      <c r="X11500" t="s">
        <v>41266</v>
      </c>
    </row>
    <row r="11501" spans="1:24">
      <c r="A11501">
        <f>HYPERLINK("https://www.philgeps.gov.ph/GEPSNONPILOT/Tender/SplashBidNoticeAbstractUI.aspx?menuIndex=3&amp;refID=7051327&amp;Result=3","7051327")</f>
        <v>0</v>
      </c>
      <c r="B11501" t="s">
        <v>743</v>
      </c>
      <c r="C11501" t="s">
        <v>14382</v>
      </c>
      <c r="D11501" t="s">
        <v>16629</v>
      </c>
      <c r="E11501" t="s">
        <v>26656</v>
      </c>
      <c r="F11501" t="s">
        <v>28669</v>
      </c>
      <c r="G11501" t="s">
        <v>28675</v>
      </c>
      <c r="H11501" t="s">
        <v>28686</v>
      </c>
      <c r="I11501" t="s">
        <v>28689</v>
      </c>
      <c r="J11501" t="s">
        <v>35891</v>
      </c>
      <c r="K11501" t="s">
        <v>37319</v>
      </c>
      <c r="M11501" t="s">
        <v>39318</v>
      </c>
      <c r="N11501" t="s">
        <v>41249</v>
      </c>
      <c r="O11501" t="s">
        <v>41250</v>
      </c>
      <c r="P11501">
        <v>0</v>
      </c>
      <c r="Q11501">
        <v>0</v>
      </c>
      <c r="R11501" t="s">
        <v>41265</v>
      </c>
      <c r="S11501" t="s">
        <v>41880</v>
      </c>
      <c r="T11501" t="s">
        <v>42759</v>
      </c>
      <c r="U11501" t="s">
        <v>52427</v>
      </c>
      <c r="V11501" t="s">
        <v>55622</v>
      </c>
      <c r="W11501" t="s">
        <v>39318</v>
      </c>
      <c r="X11501" t="s">
        <v>41266</v>
      </c>
    </row>
    <row r="11502" spans="1:24">
      <c r="A11502">
        <f>HYPERLINK("https://www.philgeps.gov.ph/GEPSNONPILOT/Tender/SplashBidNoticeAbstractUI.aspx?menuIndex=3&amp;refID=7051324&amp;Result=3","7051324")</f>
        <v>0</v>
      </c>
      <c r="B11502" t="s">
        <v>492</v>
      </c>
      <c r="C11502" t="s">
        <v>14383</v>
      </c>
      <c r="D11502" t="s">
        <v>16621</v>
      </c>
      <c r="E11502" t="s">
        <v>26657</v>
      </c>
      <c r="F11502" t="s">
        <v>28669</v>
      </c>
      <c r="G11502" t="s">
        <v>28675</v>
      </c>
      <c r="H11502" t="s">
        <v>9998</v>
      </c>
      <c r="I11502" t="s">
        <v>5213</v>
      </c>
      <c r="J11502" t="s">
        <v>35892</v>
      </c>
      <c r="K11502" t="s">
        <v>37210</v>
      </c>
      <c r="M11502" t="s">
        <v>37981</v>
      </c>
      <c r="N11502" t="s">
        <v>41249</v>
      </c>
      <c r="O11502" t="s">
        <v>41250</v>
      </c>
      <c r="P11502">
        <v>0</v>
      </c>
      <c r="Q11502">
        <v>0</v>
      </c>
      <c r="R11502" t="s">
        <v>41265</v>
      </c>
      <c r="S11502" t="s">
        <v>41880</v>
      </c>
      <c r="T11502" t="s">
        <v>42714</v>
      </c>
      <c r="U11502" t="s">
        <v>52428</v>
      </c>
      <c r="W11502" t="s">
        <v>37981</v>
      </c>
      <c r="X11502" t="s">
        <v>41266</v>
      </c>
    </row>
    <row r="11503" spans="1:24">
      <c r="A11503">
        <f>HYPERLINK("https://www.philgeps.gov.ph/GEPSNONPILOT/Tender/SplashBidNoticeAbstractUI.aspx?menuIndex=3&amp;refID=7051321&amp;Result=3","7051321")</f>
        <v>0</v>
      </c>
      <c r="B11503" t="s">
        <v>2825</v>
      </c>
      <c r="C11503" t="s">
        <v>14384</v>
      </c>
      <c r="D11503" t="s">
        <v>16665</v>
      </c>
      <c r="E11503" t="s">
        <v>26658</v>
      </c>
      <c r="F11503" t="s">
        <v>28669</v>
      </c>
      <c r="G11503" t="s">
        <v>28675</v>
      </c>
      <c r="H11503" t="s">
        <v>28686</v>
      </c>
      <c r="I11503" t="s">
        <v>28689</v>
      </c>
      <c r="J11503" t="s">
        <v>28847</v>
      </c>
      <c r="K11503" t="s">
        <v>37213</v>
      </c>
      <c r="M11503" t="s">
        <v>40557</v>
      </c>
      <c r="N11503" t="s">
        <v>41249</v>
      </c>
      <c r="O11503" t="s">
        <v>41250</v>
      </c>
      <c r="P11503">
        <v>0</v>
      </c>
      <c r="Q11503">
        <v>0</v>
      </c>
      <c r="R11503" t="s">
        <v>41265</v>
      </c>
      <c r="S11503" t="s">
        <v>41880</v>
      </c>
      <c r="T11503" t="s">
        <v>42764</v>
      </c>
      <c r="U11503" t="s">
        <v>51016</v>
      </c>
      <c r="W11503" t="s">
        <v>40557</v>
      </c>
      <c r="X11503" t="s">
        <v>41266</v>
      </c>
    </row>
    <row r="11504" spans="1:24">
      <c r="A11504">
        <f>HYPERLINK("https://www.philgeps.gov.ph/GEPSNONPILOT/Tender/SplashBidNoticeAbstractUI.aspx?menuIndex=3&amp;refID=7051318&amp;Result=3","7051318")</f>
        <v>0</v>
      </c>
      <c r="B11504" t="s">
        <v>609</v>
      </c>
      <c r="C11504" t="s">
        <v>14385</v>
      </c>
      <c r="E11504" t="s">
        <v>26659</v>
      </c>
      <c r="F11504" t="s">
        <v>28669</v>
      </c>
      <c r="G11504" t="s">
        <v>28675</v>
      </c>
      <c r="H11504" t="s">
        <v>9998</v>
      </c>
      <c r="I11504" t="s">
        <v>11593</v>
      </c>
      <c r="J11504" t="s">
        <v>35893</v>
      </c>
      <c r="K11504" t="s">
        <v>37221</v>
      </c>
      <c r="M11504" t="s">
        <v>40277</v>
      </c>
      <c r="N11504" t="s">
        <v>41249</v>
      </c>
      <c r="O11504" t="s">
        <v>41250</v>
      </c>
      <c r="Q11504">
        <v>32</v>
      </c>
      <c r="R11504" t="s">
        <v>41265</v>
      </c>
      <c r="S11504" t="s">
        <v>41935</v>
      </c>
      <c r="T11504" t="s">
        <v>42660</v>
      </c>
      <c r="U11504" t="s">
        <v>52429</v>
      </c>
      <c r="W11504" t="s">
        <v>40277</v>
      </c>
      <c r="X11504" t="s">
        <v>41266</v>
      </c>
    </row>
    <row r="11505" spans="1:24">
      <c r="A11505">
        <f>HYPERLINK("https://www.philgeps.gov.ph/GEPSNONPILOT/Tender/SplashBidNoticeAbstractUI.aspx?menuIndex=3&amp;refID=7051381&amp;Result=3","7051381")</f>
        <v>0</v>
      </c>
      <c r="B11505" t="s">
        <v>743</v>
      </c>
      <c r="C11505" t="s">
        <v>14386</v>
      </c>
      <c r="D11505" t="s">
        <v>16629</v>
      </c>
      <c r="E11505" t="s">
        <v>26660</v>
      </c>
      <c r="F11505" t="s">
        <v>28669</v>
      </c>
      <c r="G11505" t="s">
        <v>28675</v>
      </c>
      <c r="H11505" t="s">
        <v>28686</v>
      </c>
      <c r="I11505" t="s">
        <v>28689</v>
      </c>
      <c r="J11505" t="s">
        <v>35894</v>
      </c>
      <c r="K11505" t="s">
        <v>37424</v>
      </c>
      <c r="M11505" t="s">
        <v>39318</v>
      </c>
      <c r="N11505" t="s">
        <v>41249</v>
      </c>
      <c r="O11505" t="s">
        <v>41250</v>
      </c>
      <c r="P11505">
        <v>0</v>
      </c>
      <c r="Q11505">
        <v>0</v>
      </c>
      <c r="R11505" t="s">
        <v>41265</v>
      </c>
      <c r="S11505" t="s">
        <v>41880</v>
      </c>
      <c r="T11505" t="s">
        <v>42759</v>
      </c>
      <c r="U11505" t="s">
        <v>52430</v>
      </c>
      <c r="V11505" t="s">
        <v>55623</v>
      </c>
      <c r="W11505" t="s">
        <v>39318</v>
      </c>
      <c r="X11505" t="s">
        <v>41266</v>
      </c>
    </row>
    <row r="11506" spans="1:24">
      <c r="A11506">
        <f>HYPERLINK("https://www.philgeps.gov.ph/GEPSNONPILOT/Tender/SplashBidNoticeAbstractUI.aspx?menuIndex=3&amp;refID=7051304&amp;Result=3","7051304")</f>
        <v>0</v>
      </c>
      <c r="B11506" t="s">
        <v>55</v>
      </c>
      <c r="C11506" t="s">
        <v>14387</v>
      </c>
      <c r="D11506" t="s">
        <v>16633</v>
      </c>
      <c r="E11506" t="s">
        <v>26661</v>
      </c>
      <c r="F11506" t="s">
        <v>28669</v>
      </c>
      <c r="G11506" t="s">
        <v>28675</v>
      </c>
      <c r="H11506" t="s">
        <v>28686</v>
      </c>
      <c r="I11506" t="s">
        <v>28689</v>
      </c>
      <c r="J11506" t="s">
        <v>35895</v>
      </c>
      <c r="K11506" t="s">
        <v>37306</v>
      </c>
      <c r="M11506" t="s">
        <v>37530</v>
      </c>
      <c r="N11506" t="s">
        <v>41249</v>
      </c>
      <c r="O11506" t="s">
        <v>41250</v>
      </c>
      <c r="P11506">
        <v>0</v>
      </c>
      <c r="Q11506">
        <v>2</v>
      </c>
      <c r="R11506" t="s">
        <v>41265</v>
      </c>
      <c r="S11506" t="s">
        <v>41880</v>
      </c>
      <c r="T11506" t="s">
        <v>42679</v>
      </c>
      <c r="U11506" t="s">
        <v>52431</v>
      </c>
      <c r="V11506" t="s">
        <v>55618</v>
      </c>
      <c r="W11506" t="s">
        <v>37530</v>
      </c>
      <c r="X11506" t="s">
        <v>41266</v>
      </c>
    </row>
    <row r="11507" spans="1:24">
      <c r="A11507">
        <f>HYPERLINK("https://www.philgeps.gov.ph/GEPSNONPILOT/Tender/SplashBidNoticeAbstractUI.aspx?menuIndex=3&amp;refID=7051170&amp;Result=3","7051170")</f>
        <v>0</v>
      </c>
      <c r="B11507" t="s">
        <v>743</v>
      </c>
      <c r="C11507" t="s">
        <v>14388</v>
      </c>
      <c r="D11507" t="s">
        <v>16629</v>
      </c>
      <c r="E11507" t="s">
        <v>26662</v>
      </c>
      <c r="F11507" t="s">
        <v>28669</v>
      </c>
      <c r="G11507" t="s">
        <v>28675</v>
      </c>
      <c r="H11507" t="s">
        <v>28686</v>
      </c>
      <c r="I11507" t="s">
        <v>28689</v>
      </c>
      <c r="J11507" t="s">
        <v>35896</v>
      </c>
      <c r="K11507" t="s">
        <v>37466</v>
      </c>
      <c r="M11507" t="s">
        <v>39318</v>
      </c>
      <c r="N11507" t="s">
        <v>41249</v>
      </c>
      <c r="O11507" t="s">
        <v>41250</v>
      </c>
      <c r="P11507">
        <v>0</v>
      </c>
      <c r="Q11507">
        <v>1</v>
      </c>
      <c r="R11507" t="s">
        <v>41265</v>
      </c>
      <c r="S11507" t="s">
        <v>41880</v>
      </c>
      <c r="T11507" t="s">
        <v>42759</v>
      </c>
      <c r="U11507" t="s">
        <v>52432</v>
      </c>
      <c r="V11507" t="s">
        <v>55619</v>
      </c>
      <c r="W11507" t="s">
        <v>39318</v>
      </c>
      <c r="X11507" t="s">
        <v>41266</v>
      </c>
    </row>
    <row r="11508" spans="1:24">
      <c r="A11508">
        <f>HYPERLINK("https://www.philgeps.gov.ph/GEPSNONPILOT/Tender/SplashBidNoticeAbstractUI.aspx?menuIndex=3&amp;refID=7051431&amp;Result=3","7051431")</f>
        <v>0</v>
      </c>
      <c r="B11508" t="s">
        <v>3084</v>
      </c>
      <c r="C11508" t="s">
        <v>14389</v>
      </c>
      <c r="D11508" t="s">
        <v>16624</v>
      </c>
      <c r="E11508" t="s">
        <v>26663</v>
      </c>
      <c r="F11508" t="s">
        <v>28669</v>
      </c>
      <c r="G11508" t="s">
        <v>28675</v>
      </c>
      <c r="H11508" t="s">
        <v>28686</v>
      </c>
      <c r="I11508" t="s">
        <v>28689</v>
      </c>
      <c r="J11508" t="s">
        <v>30025</v>
      </c>
      <c r="K11508" t="s">
        <v>37215</v>
      </c>
      <c r="M11508" t="s">
        <v>40868</v>
      </c>
      <c r="N11508" t="s">
        <v>41249</v>
      </c>
      <c r="O11508" t="s">
        <v>41250</v>
      </c>
      <c r="P11508">
        <v>0</v>
      </c>
      <c r="Q11508">
        <v>0</v>
      </c>
      <c r="R11508" t="s">
        <v>41265</v>
      </c>
      <c r="S11508" t="s">
        <v>41880</v>
      </c>
      <c r="T11508" t="s">
        <v>43132</v>
      </c>
      <c r="U11508" t="s">
        <v>52433</v>
      </c>
      <c r="V11508" t="s">
        <v>55624</v>
      </c>
      <c r="W11508" t="s">
        <v>40868</v>
      </c>
      <c r="X11508" t="s">
        <v>41266</v>
      </c>
    </row>
    <row r="11509" spans="1:24">
      <c r="A11509">
        <f>HYPERLINK("https://www.philgeps.gov.ph/GEPSNONPILOT/Tender/SplashBidNoticeAbstractUI.aspx?menuIndex=3&amp;refID=7051154&amp;Result=3","7051154")</f>
        <v>0</v>
      </c>
      <c r="B11509" t="s">
        <v>2573</v>
      </c>
      <c r="C11509" t="s">
        <v>14390</v>
      </c>
      <c r="E11509" t="s">
        <v>17251</v>
      </c>
      <c r="F11509" t="s">
        <v>28669</v>
      </c>
      <c r="G11509" t="s">
        <v>28675</v>
      </c>
      <c r="H11509" t="s">
        <v>9998</v>
      </c>
      <c r="I11509" t="s">
        <v>6128</v>
      </c>
      <c r="J11509" t="s">
        <v>35897</v>
      </c>
      <c r="K11509" t="s">
        <v>37209</v>
      </c>
      <c r="M11509" t="s">
        <v>40267</v>
      </c>
      <c r="N11509" t="s">
        <v>41249</v>
      </c>
      <c r="O11509" t="s">
        <v>41250</v>
      </c>
      <c r="P11509">
        <v>0</v>
      </c>
      <c r="Q11509">
        <v>1</v>
      </c>
      <c r="R11509" t="s">
        <v>41265</v>
      </c>
      <c r="S11509" t="s">
        <v>41880</v>
      </c>
      <c r="T11509" t="s">
        <v>42977</v>
      </c>
      <c r="U11509" t="s">
        <v>52434</v>
      </c>
      <c r="W11509" t="s">
        <v>40267</v>
      </c>
      <c r="X11509" t="s">
        <v>41266</v>
      </c>
    </row>
    <row r="11510" spans="1:24">
      <c r="A11510">
        <f>HYPERLINK("https://www.philgeps.gov.ph/GEPSNONPILOT/Tender/SplashBidNoticeAbstractUI.aspx?menuIndex=3&amp;refID=7051323&amp;Result=3","7051323")</f>
        <v>0</v>
      </c>
      <c r="B11510" t="s">
        <v>3117</v>
      </c>
      <c r="C11510" t="s">
        <v>14391</v>
      </c>
      <c r="D11510" t="s">
        <v>16622</v>
      </c>
      <c r="E11510" t="s">
        <v>26664</v>
      </c>
      <c r="F11510" t="s">
        <v>28669</v>
      </c>
      <c r="G11510" t="s">
        <v>28675</v>
      </c>
      <c r="H11510" t="s">
        <v>28686</v>
      </c>
      <c r="I11510" t="s">
        <v>28689</v>
      </c>
      <c r="J11510" t="s">
        <v>28924</v>
      </c>
      <c r="K11510" t="s">
        <v>37213</v>
      </c>
      <c r="M11510" t="s">
        <v>40905</v>
      </c>
      <c r="N11510" t="s">
        <v>41249</v>
      </c>
      <c r="O11510" t="s">
        <v>41250</v>
      </c>
      <c r="P11510">
        <v>0</v>
      </c>
      <c r="Q11510">
        <v>0</v>
      </c>
      <c r="R11510" t="s">
        <v>41265</v>
      </c>
      <c r="S11510" t="s">
        <v>41880</v>
      </c>
      <c r="T11510" t="s">
        <v>42679</v>
      </c>
      <c r="U11510" t="s">
        <v>51024</v>
      </c>
      <c r="V11510" t="s">
        <v>55625</v>
      </c>
      <c r="W11510" t="s">
        <v>40905</v>
      </c>
      <c r="X11510" t="s">
        <v>41266</v>
      </c>
    </row>
    <row r="11511" spans="1:24">
      <c r="A11511">
        <f>HYPERLINK("https://www.philgeps.gov.ph/GEPSNONPILOT/Tender/SplashBidNoticeAbstractUI.aspx?menuIndex=3&amp;refID=7051312&amp;Result=3","7051312")</f>
        <v>0</v>
      </c>
      <c r="B11511" t="s">
        <v>392</v>
      </c>
      <c r="C11511" t="s">
        <v>14392</v>
      </c>
      <c r="D11511" t="s">
        <v>16668</v>
      </c>
      <c r="E11511" t="s">
        <v>26665</v>
      </c>
      <c r="F11511" t="s">
        <v>28669</v>
      </c>
      <c r="G11511" t="s">
        <v>28675</v>
      </c>
      <c r="H11511" t="s">
        <v>9998</v>
      </c>
      <c r="I11511" t="s">
        <v>7352</v>
      </c>
      <c r="J11511" t="s">
        <v>35898</v>
      </c>
      <c r="K11511" t="s">
        <v>37209</v>
      </c>
      <c r="M11511" t="s">
        <v>37876</v>
      </c>
      <c r="N11511" t="s">
        <v>41249</v>
      </c>
      <c r="O11511" t="s">
        <v>41250</v>
      </c>
      <c r="P11511">
        <v>0</v>
      </c>
      <c r="Q11511">
        <v>0</v>
      </c>
      <c r="R11511" t="s">
        <v>41265</v>
      </c>
      <c r="S11511" t="s">
        <v>41880</v>
      </c>
      <c r="T11511" t="s">
        <v>42682</v>
      </c>
      <c r="U11511" t="s">
        <v>52435</v>
      </c>
      <c r="V11511" t="s">
        <v>55626</v>
      </c>
      <c r="W11511" t="s">
        <v>37876</v>
      </c>
      <c r="X11511" t="s">
        <v>41266</v>
      </c>
    </row>
    <row r="11512" spans="1:24">
      <c r="A11512">
        <f>HYPERLINK("https://www.philgeps.gov.ph/GEPSNONPILOT/Tender/SplashBidNoticeAbstractUI.aspx?menuIndex=3&amp;refID=7051448&amp;Result=3","7051448")</f>
        <v>0</v>
      </c>
      <c r="B11512" t="s">
        <v>1064</v>
      </c>
      <c r="C11512" t="s">
        <v>14393</v>
      </c>
      <c r="D11512" t="s">
        <v>16655</v>
      </c>
      <c r="E11512" t="s">
        <v>26666</v>
      </c>
      <c r="F11512" t="s">
        <v>28669</v>
      </c>
      <c r="G11512" t="s">
        <v>28675</v>
      </c>
      <c r="H11512" t="s">
        <v>28686</v>
      </c>
      <c r="I11512" t="s">
        <v>28689</v>
      </c>
      <c r="J11512" t="s">
        <v>35899</v>
      </c>
      <c r="K11512" t="s">
        <v>37206</v>
      </c>
      <c r="M11512" t="s">
        <v>38595</v>
      </c>
      <c r="N11512" t="s">
        <v>41249</v>
      </c>
      <c r="O11512" t="s">
        <v>41250</v>
      </c>
      <c r="P11512">
        <v>0</v>
      </c>
      <c r="Q11512">
        <v>0</v>
      </c>
      <c r="R11512" t="s">
        <v>41265</v>
      </c>
      <c r="S11512" t="s">
        <v>41880</v>
      </c>
      <c r="T11512" t="s">
        <v>42761</v>
      </c>
      <c r="U11512" t="s">
        <v>45354</v>
      </c>
      <c r="W11512" t="s">
        <v>38595</v>
      </c>
      <c r="X11512" t="s">
        <v>41266</v>
      </c>
    </row>
    <row r="11513" spans="1:24">
      <c r="A11513">
        <f>HYPERLINK("https://www.philgeps.gov.ph/GEPSNONPILOT/Tender/SplashBidNoticeAbstractUI.aspx?menuIndex=3&amp;refID=7051553&amp;Result=3","7051553")</f>
        <v>0</v>
      </c>
      <c r="B11513" t="s">
        <v>1050</v>
      </c>
      <c r="C11513" t="s">
        <v>14394</v>
      </c>
      <c r="D11513" t="s">
        <v>16648</v>
      </c>
      <c r="E11513" t="s">
        <v>26667</v>
      </c>
      <c r="F11513" t="s">
        <v>28669</v>
      </c>
      <c r="G11513" t="s">
        <v>28675</v>
      </c>
      <c r="H11513" t="s">
        <v>9998</v>
      </c>
      <c r="I11513" t="s">
        <v>7352</v>
      </c>
      <c r="J11513" t="s">
        <v>35900</v>
      </c>
      <c r="K11513" t="s">
        <v>37204</v>
      </c>
      <c r="M11513" t="s">
        <v>38581</v>
      </c>
      <c r="N11513" t="s">
        <v>41249</v>
      </c>
      <c r="O11513" t="s">
        <v>41250</v>
      </c>
      <c r="P11513">
        <v>0</v>
      </c>
      <c r="Q11513">
        <v>0</v>
      </c>
      <c r="R11513" t="s">
        <v>41265</v>
      </c>
      <c r="S11513" t="s">
        <v>41880</v>
      </c>
      <c r="T11513" t="s">
        <v>42858</v>
      </c>
      <c r="U11513" t="s">
        <v>52436</v>
      </c>
      <c r="W11513" t="s">
        <v>38581</v>
      </c>
      <c r="X11513" t="s">
        <v>41266</v>
      </c>
    </row>
    <row r="11514" spans="1:24">
      <c r="A11514">
        <f>HYPERLINK("https://www.philgeps.gov.ph/GEPSNONPILOT/Tender/SplashBidNoticeAbstractUI.aspx?menuIndex=3&amp;refID=7051543&amp;Result=3","7051543")</f>
        <v>0</v>
      </c>
      <c r="B11514" t="s">
        <v>267</v>
      </c>
      <c r="C11514" t="s">
        <v>14395</v>
      </c>
      <c r="D11514" t="s">
        <v>16679</v>
      </c>
      <c r="E11514" t="s">
        <v>26668</v>
      </c>
      <c r="F11514" t="s">
        <v>28669</v>
      </c>
      <c r="G11514" t="s">
        <v>28675</v>
      </c>
      <c r="H11514" t="s">
        <v>28686</v>
      </c>
      <c r="I11514" t="s">
        <v>28689</v>
      </c>
      <c r="J11514" t="s">
        <v>28924</v>
      </c>
      <c r="K11514" t="s">
        <v>37255</v>
      </c>
      <c r="M11514" t="s">
        <v>38133</v>
      </c>
      <c r="N11514" t="s">
        <v>41249</v>
      </c>
      <c r="O11514" t="s">
        <v>41250</v>
      </c>
      <c r="P11514">
        <v>0</v>
      </c>
      <c r="Q11514">
        <v>21</v>
      </c>
      <c r="R11514" t="s">
        <v>41265</v>
      </c>
      <c r="S11514" t="s">
        <v>41880</v>
      </c>
      <c r="T11514" t="s">
        <v>42686</v>
      </c>
      <c r="U11514" t="s">
        <v>43621</v>
      </c>
      <c r="V11514" t="s">
        <v>55428</v>
      </c>
      <c r="W11514" t="s">
        <v>55923</v>
      </c>
      <c r="X11514" t="s">
        <v>41266</v>
      </c>
    </row>
    <row r="11515" spans="1:24">
      <c r="A11515">
        <f>HYPERLINK("https://www.philgeps.gov.ph/GEPSNONPILOT/Tender/SplashBidNoticeAbstractUI.aspx?menuIndex=3&amp;refID=7051535&amp;Result=3","7051535")</f>
        <v>0</v>
      </c>
      <c r="B11515" t="s">
        <v>743</v>
      </c>
      <c r="C11515" t="s">
        <v>14396</v>
      </c>
      <c r="D11515" t="s">
        <v>16629</v>
      </c>
      <c r="E11515" t="s">
        <v>26669</v>
      </c>
      <c r="F11515" t="s">
        <v>28669</v>
      </c>
      <c r="G11515" t="s">
        <v>28675</v>
      </c>
      <c r="H11515" t="s">
        <v>9998</v>
      </c>
      <c r="I11515" t="s">
        <v>28689</v>
      </c>
      <c r="J11515" t="s">
        <v>35901</v>
      </c>
      <c r="K11515" t="s">
        <v>37407</v>
      </c>
      <c r="M11515" t="s">
        <v>39318</v>
      </c>
      <c r="N11515" t="s">
        <v>41249</v>
      </c>
      <c r="O11515" t="s">
        <v>41250</v>
      </c>
      <c r="P11515">
        <v>0</v>
      </c>
      <c r="Q11515">
        <v>0</v>
      </c>
      <c r="R11515" t="s">
        <v>41265</v>
      </c>
      <c r="S11515" t="s">
        <v>41880</v>
      </c>
      <c r="T11515" t="s">
        <v>42759</v>
      </c>
      <c r="U11515" t="s">
        <v>52437</v>
      </c>
      <c r="V11515" t="s">
        <v>55627</v>
      </c>
      <c r="W11515" t="s">
        <v>39318</v>
      </c>
      <c r="X11515" t="s">
        <v>41266</v>
      </c>
    </row>
    <row r="11516" spans="1:24">
      <c r="A11516">
        <f>HYPERLINK("https://www.philgeps.gov.ph/GEPSNONPILOT/Tender/SplashBidNoticeAbstractUI.aspx?menuIndex=3&amp;refID=7051534&amp;Result=3","7051534")</f>
        <v>0</v>
      </c>
      <c r="B11516" t="s">
        <v>1589</v>
      </c>
      <c r="C11516" t="s">
        <v>14397</v>
      </c>
      <c r="D11516" t="s">
        <v>16643</v>
      </c>
      <c r="E11516" t="s">
        <v>26670</v>
      </c>
      <c r="F11516" t="s">
        <v>28669</v>
      </c>
      <c r="G11516" t="s">
        <v>28675</v>
      </c>
      <c r="H11516" t="s">
        <v>28686</v>
      </c>
      <c r="I11516" t="s">
        <v>28689</v>
      </c>
      <c r="J11516" t="s">
        <v>31533</v>
      </c>
      <c r="K11516" t="s">
        <v>37209</v>
      </c>
      <c r="L11516" t="s">
        <v>1589</v>
      </c>
      <c r="M11516" t="s">
        <v>39172</v>
      </c>
      <c r="N11516" t="s">
        <v>41249</v>
      </c>
      <c r="O11516" t="s">
        <v>41250</v>
      </c>
      <c r="P11516">
        <v>0</v>
      </c>
      <c r="Q11516">
        <v>1</v>
      </c>
      <c r="R11516" t="s">
        <v>41265</v>
      </c>
      <c r="S11516" t="s">
        <v>41880</v>
      </c>
      <c r="T11516" t="s">
        <v>42764</v>
      </c>
      <c r="U11516" t="s">
        <v>52438</v>
      </c>
      <c r="V11516" t="s">
        <v>54734</v>
      </c>
      <c r="W11516" t="s">
        <v>39172</v>
      </c>
      <c r="X11516" t="s">
        <v>41266</v>
      </c>
    </row>
    <row r="11517" spans="1:24">
      <c r="A11517">
        <f>HYPERLINK("https://www.philgeps.gov.ph/GEPSNONPILOT/Tender/SplashBidNoticeAbstractUI.aspx?menuIndex=3&amp;refID=7051094&amp;Result=3","7051094")</f>
        <v>0</v>
      </c>
      <c r="B11517" t="s">
        <v>2236</v>
      </c>
      <c r="C11517" t="s">
        <v>14398</v>
      </c>
      <c r="D11517" t="s">
        <v>16660</v>
      </c>
      <c r="E11517" t="s">
        <v>26671</v>
      </c>
      <c r="F11517" t="s">
        <v>28669</v>
      </c>
      <c r="G11517" t="s">
        <v>28675</v>
      </c>
      <c r="H11517" t="s">
        <v>9998</v>
      </c>
      <c r="I11517" t="s">
        <v>28687</v>
      </c>
      <c r="J11517" t="s">
        <v>35902</v>
      </c>
      <c r="K11517" t="s">
        <v>37209</v>
      </c>
      <c r="M11517" t="s">
        <v>39890</v>
      </c>
      <c r="N11517" t="s">
        <v>41249</v>
      </c>
      <c r="O11517" t="s">
        <v>41250</v>
      </c>
      <c r="P11517">
        <v>0</v>
      </c>
      <c r="Q11517">
        <v>2</v>
      </c>
      <c r="R11517" t="s">
        <v>41265</v>
      </c>
      <c r="S11517" t="s">
        <v>41880</v>
      </c>
      <c r="T11517" t="s">
        <v>42679</v>
      </c>
      <c r="U11517" t="s">
        <v>52439</v>
      </c>
      <c r="W11517" t="s">
        <v>55984</v>
      </c>
      <c r="X11517" t="s">
        <v>41266</v>
      </c>
    </row>
    <row r="11518" spans="1:24">
      <c r="A11518">
        <f>HYPERLINK("https://www.philgeps.gov.ph/GEPSNONPILOT/Tender/SplashBidNoticeAbstractUI.aspx?menuIndex=3&amp;refID=7051511&amp;Result=3","7051511")</f>
        <v>0</v>
      </c>
      <c r="B11518" t="s">
        <v>1589</v>
      </c>
      <c r="C11518" t="s">
        <v>14399</v>
      </c>
      <c r="D11518" t="s">
        <v>16643</v>
      </c>
      <c r="E11518" t="s">
        <v>26672</v>
      </c>
      <c r="F11518" t="s">
        <v>28669</v>
      </c>
      <c r="G11518" t="s">
        <v>28675</v>
      </c>
      <c r="H11518" t="s">
        <v>28686</v>
      </c>
      <c r="I11518" t="s">
        <v>28689</v>
      </c>
      <c r="J11518" t="s">
        <v>35903</v>
      </c>
      <c r="K11518" t="s">
        <v>37209</v>
      </c>
      <c r="L11518" t="s">
        <v>1589</v>
      </c>
      <c r="M11518" t="s">
        <v>39172</v>
      </c>
      <c r="N11518" t="s">
        <v>41249</v>
      </c>
      <c r="O11518" t="s">
        <v>41250</v>
      </c>
      <c r="P11518">
        <v>0</v>
      </c>
      <c r="Q11518">
        <v>1</v>
      </c>
      <c r="R11518" t="s">
        <v>41265</v>
      </c>
      <c r="S11518" t="s">
        <v>41880</v>
      </c>
      <c r="T11518" t="s">
        <v>42764</v>
      </c>
      <c r="U11518" t="s">
        <v>52438</v>
      </c>
      <c r="V11518" t="s">
        <v>54734</v>
      </c>
      <c r="W11518" t="s">
        <v>39172</v>
      </c>
      <c r="X11518" t="s">
        <v>41266</v>
      </c>
    </row>
    <row r="11519" spans="1:24">
      <c r="A11519">
        <f>HYPERLINK("https://www.philgeps.gov.ph/GEPSNONPILOT/Tender/SplashBidNoticeAbstractUI.aspx?menuIndex=3&amp;refID=7051508&amp;Result=3","7051508")</f>
        <v>0</v>
      </c>
      <c r="B11519" t="s">
        <v>2989</v>
      </c>
      <c r="C11519" t="s">
        <v>14400</v>
      </c>
      <c r="D11519" t="s">
        <v>16631</v>
      </c>
      <c r="E11519" t="s">
        <v>26673</v>
      </c>
      <c r="F11519" t="s">
        <v>28669</v>
      </c>
      <c r="G11519" t="s">
        <v>28675</v>
      </c>
      <c r="H11519" t="s">
        <v>9998</v>
      </c>
      <c r="I11519" t="s">
        <v>5033</v>
      </c>
      <c r="J11519" t="s">
        <v>35904</v>
      </c>
      <c r="K11519" t="s">
        <v>37205</v>
      </c>
      <c r="M11519" t="s">
        <v>40755</v>
      </c>
      <c r="N11519" t="s">
        <v>41249</v>
      </c>
      <c r="O11519" t="s">
        <v>41250</v>
      </c>
      <c r="P11519">
        <v>0</v>
      </c>
      <c r="Q11519">
        <v>5</v>
      </c>
      <c r="R11519" t="s">
        <v>41265</v>
      </c>
      <c r="S11519" t="s">
        <v>41880</v>
      </c>
      <c r="T11519" t="s">
        <v>42759</v>
      </c>
      <c r="U11519" t="s">
        <v>52440</v>
      </c>
      <c r="W11519" t="s">
        <v>40755</v>
      </c>
      <c r="X11519" t="s">
        <v>41266</v>
      </c>
    </row>
    <row r="11520" spans="1:24">
      <c r="A11520">
        <f>HYPERLINK("https://www.philgeps.gov.ph/GEPSNONPILOT/Tender/SplashBidNoticeAbstractUI.aspx?menuIndex=3&amp;refID=7051497&amp;Result=3","7051497")</f>
        <v>0</v>
      </c>
      <c r="B11520" t="s">
        <v>273</v>
      </c>
      <c r="C11520" t="s">
        <v>14401</v>
      </c>
      <c r="D11520" t="s">
        <v>16618</v>
      </c>
      <c r="E11520" t="s">
        <v>26674</v>
      </c>
      <c r="F11520" t="s">
        <v>28669</v>
      </c>
      <c r="G11520" t="s">
        <v>28675</v>
      </c>
      <c r="H11520" t="s">
        <v>28686</v>
      </c>
      <c r="I11520" t="s">
        <v>28696</v>
      </c>
      <c r="J11520" t="s">
        <v>35905</v>
      </c>
      <c r="K11520" t="s">
        <v>37220</v>
      </c>
      <c r="M11520" t="s">
        <v>37751</v>
      </c>
      <c r="N11520" t="s">
        <v>41249</v>
      </c>
      <c r="O11520" t="s">
        <v>41250</v>
      </c>
      <c r="P11520">
        <v>0</v>
      </c>
      <c r="Q11520">
        <v>0</v>
      </c>
      <c r="R11520" t="s">
        <v>41265</v>
      </c>
      <c r="S11520" t="s">
        <v>41880</v>
      </c>
      <c r="T11520" t="s">
        <v>42713</v>
      </c>
      <c r="U11520" t="s">
        <v>52441</v>
      </c>
      <c r="W11520" t="s">
        <v>37751</v>
      </c>
      <c r="X11520" t="s">
        <v>41266</v>
      </c>
    </row>
    <row r="11521" spans="1:24">
      <c r="A11521">
        <f>HYPERLINK("https://www.philgeps.gov.ph/GEPSNONPILOT/Tender/SplashBidNoticeAbstractUI.aspx?menuIndex=3&amp;refID=7051457&amp;Result=3","7051457")</f>
        <v>0</v>
      </c>
      <c r="B11521" t="s">
        <v>743</v>
      </c>
      <c r="C11521" t="s">
        <v>14402</v>
      </c>
      <c r="D11521" t="s">
        <v>16629</v>
      </c>
      <c r="E11521" t="s">
        <v>26675</v>
      </c>
      <c r="F11521" t="s">
        <v>28669</v>
      </c>
      <c r="G11521" t="s">
        <v>28675</v>
      </c>
      <c r="H11521" t="s">
        <v>28686</v>
      </c>
      <c r="I11521" t="s">
        <v>28689</v>
      </c>
      <c r="J11521" t="s">
        <v>35906</v>
      </c>
      <c r="K11521" t="s">
        <v>37375</v>
      </c>
      <c r="M11521" t="s">
        <v>39318</v>
      </c>
      <c r="N11521" t="s">
        <v>41249</v>
      </c>
      <c r="O11521" t="s">
        <v>41250</v>
      </c>
      <c r="P11521">
        <v>0</v>
      </c>
      <c r="Q11521">
        <v>0</v>
      </c>
      <c r="R11521" t="s">
        <v>41265</v>
      </c>
      <c r="S11521" t="s">
        <v>41880</v>
      </c>
      <c r="T11521" t="s">
        <v>42759</v>
      </c>
      <c r="U11521" t="s">
        <v>52442</v>
      </c>
      <c r="V11521" t="s">
        <v>55628</v>
      </c>
      <c r="W11521" t="s">
        <v>39318</v>
      </c>
      <c r="X11521" t="s">
        <v>41266</v>
      </c>
    </row>
    <row r="11522" spans="1:24">
      <c r="A11522">
        <f>HYPERLINK("https://www.philgeps.gov.ph/GEPSNONPILOT/Tender/SplashBidNoticeAbstractUI.aspx?menuIndex=3&amp;refID=7051575&amp;Result=3","7051575")</f>
        <v>0</v>
      </c>
      <c r="B11522" t="s">
        <v>1589</v>
      </c>
      <c r="C11522" t="s">
        <v>14403</v>
      </c>
      <c r="D11522" t="s">
        <v>16643</v>
      </c>
      <c r="E11522" t="s">
        <v>26676</v>
      </c>
      <c r="F11522" t="s">
        <v>28669</v>
      </c>
      <c r="G11522" t="s">
        <v>28675</v>
      </c>
      <c r="H11522" t="s">
        <v>28686</v>
      </c>
      <c r="I11522" t="s">
        <v>28689</v>
      </c>
      <c r="J11522" t="s">
        <v>34451</v>
      </c>
      <c r="K11522" t="s">
        <v>37209</v>
      </c>
      <c r="L11522" t="s">
        <v>1589</v>
      </c>
      <c r="M11522" t="s">
        <v>39172</v>
      </c>
      <c r="N11522" t="s">
        <v>41249</v>
      </c>
      <c r="O11522" t="s">
        <v>41250</v>
      </c>
      <c r="P11522">
        <v>0</v>
      </c>
      <c r="Q11522">
        <v>2</v>
      </c>
      <c r="R11522" t="s">
        <v>41265</v>
      </c>
      <c r="S11522" t="s">
        <v>41880</v>
      </c>
      <c r="T11522" t="s">
        <v>42764</v>
      </c>
      <c r="U11522" t="s">
        <v>52438</v>
      </c>
      <c r="V11522" t="s">
        <v>54734</v>
      </c>
      <c r="W11522" t="s">
        <v>39172</v>
      </c>
      <c r="X11522" t="s">
        <v>41266</v>
      </c>
    </row>
    <row r="11523" spans="1:24">
      <c r="A11523">
        <f>HYPERLINK("https://www.philgeps.gov.ph/GEPSNONPILOT/Tender/SplashBidNoticeAbstractUI.aspx?menuIndex=3&amp;refID=7051032&amp;Result=3","7051032")</f>
        <v>0</v>
      </c>
      <c r="B11523" t="s">
        <v>2573</v>
      </c>
      <c r="C11523" t="s">
        <v>14404</v>
      </c>
      <c r="E11523" t="s">
        <v>16861</v>
      </c>
      <c r="F11523" t="s">
        <v>28669</v>
      </c>
      <c r="G11523" t="s">
        <v>28675</v>
      </c>
      <c r="H11523" t="s">
        <v>9998</v>
      </c>
      <c r="I11523" t="s">
        <v>5286</v>
      </c>
      <c r="J11523" t="s">
        <v>35907</v>
      </c>
      <c r="K11523" t="s">
        <v>37209</v>
      </c>
      <c r="M11523" t="s">
        <v>40267</v>
      </c>
      <c r="N11523" t="s">
        <v>41249</v>
      </c>
      <c r="O11523" t="s">
        <v>41250</v>
      </c>
      <c r="P11523">
        <v>0</v>
      </c>
      <c r="Q11523">
        <v>0</v>
      </c>
      <c r="R11523" t="s">
        <v>41265</v>
      </c>
      <c r="S11523" t="s">
        <v>41880</v>
      </c>
      <c r="T11523" t="s">
        <v>42977</v>
      </c>
      <c r="U11523" t="s">
        <v>52443</v>
      </c>
      <c r="W11523" t="s">
        <v>40267</v>
      </c>
      <c r="X11523" t="s">
        <v>41266</v>
      </c>
    </row>
    <row r="11524" spans="1:24">
      <c r="A11524">
        <f>HYPERLINK("https://www.philgeps.gov.ph/GEPSNONPILOT/Tender/SplashBidNoticeAbstractUI.aspx?menuIndex=3&amp;refID=7051550&amp;Result=3","7051550")</f>
        <v>0</v>
      </c>
      <c r="B11524" t="s">
        <v>3120</v>
      </c>
      <c r="C11524" t="s">
        <v>14405</v>
      </c>
      <c r="D11524" t="s">
        <v>16621</v>
      </c>
      <c r="E11524" t="s">
        <v>16877</v>
      </c>
      <c r="F11524" t="s">
        <v>28669</v>
      </c>
      <c r="G11524" t="s">
        <v>28675</v>
      </c>
      <c r="H11524" t="s">
        <v>28686</v>
      </c>
      <c r="I11524" t="s">
        <v>28689</v>
      </c>
      <c r="J11524" t="s">
        <v>35908</v>
      </c>
      <c r="K11524" t="s">
        <v>37209</v>
      </c>
      <c r="M11524" t="s">
        <v>40908</v>
      </c>
      <c r="N11524" t="s">
        <v>41249</v>
      </c>
      <c r="O11524" t="s">
        <v>41250</v>
      </c>
      <c r="P11524">
        <v>0</v>
      </c>
      <c r="Q11524">
        <v>6</v>
      </c>
      <c r="R11524" t="s">
        <v>41265</v>
      </c>
      <c r="S11524" t="s">
        <v>41880</v>
      </c>
      <c r="T11524" t="s">
        <v>42714</v>
      </c>
      <c r="U11524" t="s">
        <v>52444</v>
      </c>
      <c r="W11524" t="s">
        <v>40908</v>
      </c>
      <c r="X11524" t="s">
        <v>41266</v>
      </c>
    </row>
    <row r="11525" spans="1:24">
      <c r="A11525">
        <f>HYPERLINK("https://www.philgeps.gov.ph/GEPSNONPILOT/Tender/SplashBidNoticeAbstractUI.aspx?menuIndex=3&amp;refID=7051527&amp;Result=3","7051527")</f>
        <v>0</v>
      </c>
      <c r="B11525" t="s">
        <v>392</v>
      </c>
      <c r="C11525" t="s">
        <v>14406</v>
      </c>
      <c r="D11525" t="s">
        <v>16668</v>
      </c>
      <c r="E11525" t="s">
        <v>26677</v>
      </c>
      <c r="F11525" t="s">
        <v>28669</v>
      </c>
      <c r="G11525" t="s">
        <v>28675</v>
      </c>
      <c r="H11525" t="s">
        <v>28686</v>
      </c>
      <c r="I11525" t="s">
        <v>28689</v>
      </c>
      <c r="J11525" t="s">
        <v>35909</v>
      </c>
      <c r="K11525" t="s">
        <v>37220</v>
      </c>
      <c r="M11525" t="s">
        <v>37876</v>
      </c>
      <c r="N11525" t="s">
        <v>41249</v>
      </c>
      <c r="O11525" t="s">
        <v>41250</v>
      </c>
      <c r="P11525">
        <v>0</v>
      </c>
      <c r="Q11525">
        <v>0</v>
      </c>
      <c r="R11525" t="s">
        <v>41265</v>
      </c>
      <c r="S11525" t="s">
        <v>41880</v>
      </c>
      <c r="T11525" t="s">
        <v>42682</v>
      </c>
      <c r="U11525" t="s">
        <v>52445</v>
      </c>
      <c r="V11525" t="s">
        <v>55629</v>
      </c>
      <c r="W11525" t="s">
        <v>37876</v>
      </c>
      <c r="X11525" t="s">
        <v>41266</v>
      </c>
    </row>
    <row r="11526" spans="1:24">
      <c r="A11526">
        <f>HYPERLINK("https://www.philgeps.gov.ph/GEPSNONPILOT/Tender/SplashBidNoticeAbstractUI.aspx?menuIndex=3&amp;refID=7051574&amp;Result=3","7051574")</f>
        <v>0</v>
      </c>
      <c r="B11526" t="s">
        <v>3121</v>
      </c>
      <c r="C11526" t="s">
        <v>14407</v>
      </c>
      <c r="D11526" t="s">
        <v>16616</v>
      </c>
      <c r="E11526" t="s">
        <v>26678</v>
      </c>
      <c r="F11526" t="s">
        <v>28669</v>
      </c>
      <c r="G11526" t="s">
        <v>28675</v>
      </c>
      <c r="H11526" t="s">
        <v>9998</v>
      </c>
      <c r="I11526" t="s">
        <v>8667</v>
      </c>
      <c r="J11526" t="s">
        <v>35910</v>
      </c>
      <c r="K11526" t="s">
        <v>37206</v>
      </c>
      <c r="M11526" t="s">
        <v>40909</v>
      </c>
      <c r="N11526" t="s">
        <v>41249</v>
      </c>
      <c r="O11526" t="s">
        <v>41250</v>
      </c>
      <c r="Q11526">
        <v>3</v>
      </c>
      <c r="R11526" t="s">
        <v>41265</v>
      </c>
      <c r="S11526" t="s">
        <v>41936</v>
      </c>
      <c r="T11526" t="s">
        <v>42753</v>
      </c>
      <c r="U11526" t="s">
        <v>52446</v>
      </c>
      <c r="W11526" t="s">
        <v>40909</v>
      </c>
      <c r="X11526" t="s">
        <v>41266</v>
      </c>
    </row>
    <row r="11527" spans="1:24">
      <c r="A11527">
        <f>HYPERLINK("https://www.philgeps.gov.ph/GEPSNONPILOT/Tender/SplashBidNoticeAbstractUI.aspx?menuIndex=3&amp;refID=7051573&amp;Result=3","7051573")</f>
        <v>0</v>
      </c>
      <c r="B11527" t="s">
        <v>145</v>
      </c>
      <c r="C11527" t="s">
        <v>14408</v>
      </c>
      <c r="D11527" t="s">
        <v>16619</v>
      </c>
      <c r="E11527" t="s">
        <v>26679</v>
      </c>
      <c r="F11527" t="s">
        <v>28669</v>
      </c>
      <c r="G11527" t="s">
        <v>28675</v>
      </c>
      <c r="H11527" t="s">
        <v>9998</v>
      </c>
      <c r="I11527" t="s">
        <v>28696</v>
      </c>
      <c r="J11527" t="s">
        <v>35911</v>
      </c>
      <c r="K11527" t="s">
        <v>37221</v>
      </c>
      <c r="M11527" t="s">
        <v>40818</v>
      </c>
      <c r="N11527" t="s">
        <v>41249</v>
      </c>
      <c r="O11527" t="s">
        <v>41250</v>
      </c>
      <c r="Q11527">
        <v>7</v>
      </c>
      <c r="R11527" t="s">
        <v>41265</v>
      </c>
      <c r="S11527" t="s">
        <v>41937</v>
      </c>
      <c r="T11527" t="s">
        <v>42714</v>
      </c>
      <c r="U11527" t="s">
        <v>52447</v>
      </c>
      <c r="V11527" t="s">
        <v>55536</v>
      </c>
      <c r="W11527" t="s">
        <v>40818</v>
      </c>
      <c r="X11527" t="s">
        <v>41266</v>
      </c>
    </row>
    <row r="11528" spans="1:24">
      <c r="A11528">
        <f>HYPERLINK("https://www.philgeps.gov.ph/GEPSNONPILOT/Tender/SplashBidNoticeAbstractUI.aspx?menuIndex=3&amp;refID=7051461&amp;Result=3","7051461")</f>
        <v>0</v>
      </c>
      <c r="B11528" t="s">
        <v>2989</v>
      </c>
      <c r="C11528" t="s">
        <v>14409</v>
      </c>
      <c r="D11528" t="s">
        <v>16631</v>
      </c>
      <c r="E11528" t="s">
        <v>26680</v>
      </c>
      <c r="F11528" t="s">
        <v>28669</v>
      </c>
      <c r="G11528" t="s">
        <v>28675</v>
      </c>
      <c r="H11528" t="s">
        <v>9998</v>
      </c>
      <c r="I11528" t="s">
        <v>5033</v>
      </c>
      <c r="J11528" t="s">
        <v>29914</v>
      </c>
      <c r="K11528" t="s">
        <v>37205</v>
      </c>
      <c r="M11528" t="s">
        <v>40755</v>
      </c>
      <c r="N11528" t="s">
        <v>41249</v>
      </c>
      <c r="O11528" t="s">
        <v>41250</v>
      </c>
      <c r="P11528">
        <v>0</v>
      </c>
      <c r="Q11528">
        <v>6</v>
      </c>
      <c r="R11528" t="s">
        <v>41265</v>
      </c>
      <c r="S11528" t="s">
        <v>41880</v>
      </c>
      <c r="T11528" t="s">
        <v>42759</v>
      </c>
      <c r="U11528" t="s">
        <v>52448</v>
      </c>
      <c r="W11528" t="s">
        <v>40755</v>
      </c>
      <c r="X11528" t="s">
        <v>41266</v>
      </c>
    </row>
    <row r="11529" spans="1:24">
      <c r="A11529">
        <f>HYPERLINK("https://www.philgeps.gov.ph/GEPSNONPILOT/Tender/SplashBidNoticeAbstractUI.aspx?menuIndex=3&amp;refID=7051507&amp;Result=3","7051507")</f>
        <v>0</v>
      </c>
      <c r="B11529" t="s">
        <v>2566</v>
      </c>
      <c r="C11529" t="s">
        <v>14410</v>
      </c>
      <c r="D11529" t="s">
        <v>16667</v>
      </c>
      <c r="E11529" t="s">
        <v>26681</v>
      </c>
      <c r="F11529" t="s">
        <v>28669</v>
      </c>
      <c r="G11529" t="s">
        <v>28675</v>
      </c>
      <c r="H11529" t="s">
        <v>28686</v>
      </c>
      <c r="I11529" t="s">
        <v>28689</v>
      </c>
      <c r="J11529" t="s">
        <v>28851</v>
      </c>
      <c r="K11529" t="s">
        <v>37223</v>
      </c>
      <c r="M11529" t="s">
        <v>40259</v>
      </c>
      <c r="N11529" t="s">
        <v>41249</v>
      </c>
      <c r="O11529" t="s">
        <v>41250</v>
      </c>
      <c r="P11529">
        <v>0</v>
      </c>
      <c r="Q11529">
        <v>2</v>
      </c>
      <c r="R11529" t="s">
        <v>41265</v>
      </c>
      <c r="S11529" t="s">
        <v>41880</v>
      </c>
      <c r="T11529" t="s">
        <v>42713</v>
      </c>
      <c r="U11529" t="s">
        <v>52449</v>
      </c>
      <c r="W11529" t="s">
        <v>40259</v>
      </c>
      <c r="X11529" t="s">
        <v>41266</v>
      </c>
    </row>
    <row r="11530" spans="1:24">
      <c r="A11530">
        <f>HYPERLINK("https://www.philgeps.gov.ph/GEPSNONPILOT/Tender/SplashBidNoticeAbstractUI.aspx?menuIndex=3&amp;refID=7051562&amp;Result=3","7051562")</f>
        <v>0</v>
      </c>
      <c r="B11530" t="s">
        <v>3122</v>
      </c>
      <c r="C11530" t="s">
        <v>14411</v>
      </c>
      <c r="D11530" t="s">
        <v>16616</v>
      </c>
      <c r="E11530" t="s">
        <v>17296</v>
      </c>
      <c r="F11530" t="s">
        <v>28669</v>
      </c>
      <c r="G11530" t="s">
        <v>28675</v>
      </c>
      <c r="H11530" t="s">
        <v>28686</v>
      </c>
      <c r="I11530" t="s">
        <v>28689</v>
      </c>
      <c r="J11530" t="s">
        <v>35912</v>
      </c>
      <c r="K11530" t="s">
        <v>37221</v>
      </c>
      <c r="M11530" t="s">
        <v>40910</v>
      </c>
      <c r="N11530" t="s">
        <v>41249</v>
      </c>
      <c r="O11530" t="s">
        <v>41250</v>
      </c>
      <c r="P11530">
        <v>0</v>
      </c>
      <c r="Q11530">
        <v>0</v>
      </c>
      <c r="R11530" t="s">
        <v>41265</v>
      </c>
      <c r="S11530" t="s">
        <v>41880</v>
      </c>
      <c r="T11530" t="s">
        <v>42757</v>
      </c>
      <c r="U11530" t="s">
        <v>52450</v>
      </c>
      <c r="W11530" t="s">
        <v>40910</v>
      </c>
      <c r="X11530" t="s">
        <v>41266</v>
      </c>
    </row>
    <row r="11531" spans="1:24">
      <c r="A11531">
        <f>HYPERLINK("https://www.philgeps.gov.ph/GEPSNONPILOT/Tender/SplashBidNoticeAbstractUI.aspx?menuIndex=3&amp;refID=7051578&amp;Result=3","7051578")</f>
        <v>0</v>
      </c>
      <c r="B11531" t="s">
        <v>2566</v>
      </c>
      <c r="C11531" t="s">
        <v>14412</v>
      </c>
      <c r="D11531" t="s">
        <v>16667</v>
      </c>
      <c r="E11531" t="s">
        <v>26682</v>
      </c>
      <c r="F11531" t="s">
        <v>28669</v>
      </c>
      <c r="G11531" t="s">
        <v>28675</v>
      </c>
      <c r="H11531" t="s">
        <v>28686</v>
      </c>
      <c r="I11531" t="s">
        <v>28689</v>
      </c>
      <c r="J11531" t="s">
        <v>29245</v>
      </c>
      <c r="K11531" t="s">
        <v>37227</v>
      </c>
      <c r="M11531" t="s">
        <v>40259</v>
      </c>
      <c r="N11531" t="s">
        <v>41249</v>
      </c>
      <c r="O11531" t="s">
        <v>41250</v>
      </c>
      <c r="P11531">
        <v>0</v>
      </c>
      <c r="Q11531">
        <v>2</v>
      </c>
      <c r="R11531" t="s">
        <v>41265</v>
      </c>
      <c r="S11531" t="s">
        <v>41880</v>
      </c>
      <c r="T11531" t="s">
        <v>42730</v>
      </c>
      <c r="U11531" t="s">
        <v>52451</v>
      </c>
      <c r="W11531" t="s">
        <v>40259</v>
      </c>
      <c r="X11531" t="s">
        <v>41266</v>
      </c>
    </row>
    <row r="11532" spans="1:24">
      <c r="A11532">
        <f>HYPERLINK("https://www.philgeps.gov.ph/GEPSNONPILOT/Tender/SplashBidNoticeAbstractUI.aspx?menuIndex=3&amp;refID=7051552&amp;Result=3","7051552")</f>
        <v>0</v>
      </c>
      <c r="B11532" t="s">
        <v>1589</v>
      </c>
      <c r="C11532" t="s">
        <v>14413</v>
      </c>
      <c r="D11532" t="s">
        <v>16643</v>
      </c>
      <c r="E11532" t="s">
        <v>26683</v>
      </c>
      <c r="F11532" t="s">
        <v>28669</v>
      </c>
      <c r="G11532" t="s">
        <v>28675</v>
      </c>
      <c r="H11532" t="s">
        <v>28686</v>
      </c>
      <c r="I11532" t="s">
        <v>28689</v>
      </c>
      <c r="J11532" t="s">
        <v>31645</v>
      </c>
      <c r="K11532" t="s">
        <v>37209</v>
      </c>
      <c r="L11532" t="s">
        <v>1589</v>
      </c>
      <c r="M11532" t="s">
        <v>39172</v>
      </c>
      <c r="N11532" t="s">
        <v>41249</v>
      </c>
      <c r="O11532" t="s">
        <v>41250</v>
      </c>
      <c r="P11532">
        <v>0</v>
      </c>
      <c r="Q11532">
        <v>1</v>
      </c>
      <c r="R11532" t="s">
        <v>41265</v>
      </c>
      <c r="S11532" t="s">
        <v>41880</v>
      </c>
      <c r="T11532" t="s">
        <v>42764</v>
      </c>
      <c r="U11532" t="s">
        <v>52438</v>
      </c>
      <c r="V11532" t="s">
        <v>54734</v>
      </c>
      <c r="W11532" t="s">
        <v>39172</v>
      </c>
      <c r="X11532" t="s">
        <v>41266</v>
      </c>
    </row>
    <row r="11533" spans="1:24">
      <c r="A11533">
        <f>HYPERLINK("https://www.philgeps.gov.ph/GEPSNONPILOT/Tender/SplashBidNoticeAbstractUI.aspx?menuIndex=3&amp;refID=7051651&amp;Result=3","7051651")</f>
        <v>0</v>
      </c>
      <c r="B11533" t="s">
        <v>1148</v>
      </c>
      <c r="C11533" t="s">
        <v>14414</v>
      </c>
      <c r="E11533" t="s">
        <v>26684</v>
      </c>
      <c r="F11533" t="s">
        <v>28669</v>
      </c>
      <c r="G11533" t="s">
        <v>28675</v>
      </c>
      <c r="H11533" t="s">
        <v>9998</v>
      </c>
      <c r="I11533" t="s">
        <v>28722</v>
      </c>
      <c r="J11533" t="s">
        <v>35913</v>
      </c>
      <c r="K11533" t="s">
        <v>37209</v>
      </c>
      <c r="M11533" t="s">
        <v>38684</v>
      </c>
      <c r="N11533" t="s">
        <v>41249</v>
      </c>
      <c r="O11533" t="s">
        <v>41250</v>
      </c>
      <c r="P11533">
        <v>0</v>
      </c>
      <c r="Q11533">
        <v>4</v>
      </c>
      <c r="R11533" t="s">
        <v>41265</v>
      </c>
      <c r="S11533" t="s">
        <v>41880</v>
      </c>
      <c r="T11533" t="s">
        <v>42881</v>
      </c>
      <c r="U11533" t="s">
        <v>52452</v>
      </c>
      <c r="W11533" t="s">
        <v>38684</v>
      </c>
      <c r="X11533" t="s">
        <v>41266</v>
      </c>
    </row>
    <row r="11534" spans="1:24">
      <c r="A11534">
        <f>HYPERLINK("https://www.philgeps.gov.ph/GEPSNONPILOT/Tender/SplashBidNoticeAbstractUI.aspx?menuIndex=3&amp;refID=7051486&amp;Result=3","7051486")</f>
        <v>0</v>
      </c>
      <c r="B11534" t="s">
        <v>3123</v>
      </c>
      <c r="C11534" t="s">
        <v>14415</v>
      </c>
      <c r="D11534" t="s">
        <v>16642</v>
      </c>
      <c r="E11534" t="s">
        <v>26685</v>
      </c>
      <c r="F11534" t="s">
        <v>28669</v>
      </c>
      <c r="G11534" t="s">
        <v>28675</v>
      </c>
      <c r="H11534" t="s">
        <v>28686</v>
      </c>
      <c r="I11534" t="s">
        <v>28689</v>
      </c>
      <c r="J11534" t="s">
        <v>28881</v>
      </c>
      <c r="K11534" t="s">
        <v>37290</v>
      </c>
      <c r="M11534" t="s">
        <v>40911</v>
      </c>
      <c r="N11534" t="s">
        <v>41249</v>
      </c>
      <c r="O11534" t="s">
        <v>41250</v>
      </c>
      <c r="P11534">
        <v>0</v>
      </c>
      <c r="Q11534">
        <v>9</v>
      </c>
      <c r="R11534" t="s">
        <v>41265</v>
      </c>
      <c r="S11534" t="s">
        <v>41880</v>
      </c>
      <c r="T11534" t="s">
        <v>42736</v>
      </c>
      <c r="U11534" t="s">
        <v>52453</v>
      </c>
      <c r="W11534" t="s">
        <v>40911</v>
      </c>
      <c r="X11534" t="s">
        <v>41266</v>
      </c>
    </row>
    <row r="11535" spans="1:24">
      <c r="A11535">
        <f>HYPERLINK("https://www.philgeps.gov.ph/GEPSNONPILOT/Tender/SplashBidNoticeAbstractUI.aspx?menuIndex=3&amp;refID=7051677&amp;Result=3","7051677")</f>
        <v>0</v>
      </c>
      <c r="B11535" t="s">
        <v>3124</v>
      </c>
      <c r="C11535" t="s">
        <v>14416</v>
      </c>
      <c r="D11535" t="s">
        <v>16639</v>
      </c>
      <c r="E11535" t="s">
        <v>18392</v>
      </c>
      <c r="F11535" t="s">
        <v>28669</v>
      </c>
      <c r="G11535" t="s">
        <v>28675</v>
      </c>
      <c r="H11535" t="s">
        <v>28686</v>
      </c>
      <c r="I11535" t="s">
        <v>28689</v>
      </c>
      <c r="J11535" t="s">
        <v>28924</v>
      </c>
      <c r="K11535" t="s">
        <v>37211</v>
      </c>
      <c r="M11535" t="s">
        <v>40912</v>
      </c>
      <c r="N11535" t="s">
        <v>41249</v>
      </c>
      <c r="O11535" t="s">
        <v>41250</v>
      </c>
      <c r="P11535">
        <v>0</v>
      </c>
      <c r="Q11535">
        <v>2</v>
      </c>
      <c r="R11535" t="s">
        <v>41265</v>
      </c>
      <c r="S11535" t="s">
        <v>41880</v>
      </c>
      <c r="T11535" t="s">
        <v>42999</v>
      </c>
      <c r="U11535" t="s">
        <v>52454</v>
      </c>
      <c r="W11535" t="s">
        <v>40912</v>
      </c>
      <c r="X11535" t="s">
        <v>41266</v>
      </c>
    </row>
    <row r="11536" spans="1:24">
      <c r="A11536">
        <f>HYPERLINK("https://www.philgeps.gov.ph/GEPSNONPILOT/Tender/SplashBidNoticeAbstractUI.aspx?menuIndex=3&amp;refID=7051583&amp;Result=3","7051583")</f>
        <v>0</v>
      </c>
      <c r="B11536" t="s">
        <v>3125</v>
      </c>
      <c r="C11536" t="s">
        <v>7181</v>
      </c>
      <c r="D11536" t="s">
        <v>16607</v>
      </c>
      <c r="E11536" t="s">
        <v>26686</v>
      </c>
      <c r="F11536" t="s">
        <v>28671</v>
      </c>
      <c r="G11536" t="s">
        <v>28675</v>
      </c>
      <c r="H11536" t="s">
        <v>28686</v>
      </c>
      <c r="I11536" t="s">
        <v>7352</v>
      </c>
      <c r="J11536" t="s">
        <v>35914</v>
      </c>
      <c r="K11536" t="s">
        <v>37205</v>
      </c>
      <c r="M11536" t="s">
        <v>40913</v>
      </c>
      <c r="N11536" t="s">
        <v>41249</v>
      </c>
      <c r="O11536" t="s">
        <v>41250</v>
      </c>
      <c r="P11536">
        <v>0</v>
      </c>
      <c r="Q11536">
        <v>0</v>
      </c>
      <c r="R11536" t="s">
        <v>41265</v>
      </c>
      <c r="S11536" t="s">
        <v>41880</v>
      </c>
      <c r="T11536" t="s">
        <v>42992</v>
      </c>
      <c r="U11536" t="s">
        <v>52455</v>
      </c>
      <c r="W11536" t="s">
        <v>40913</v>
      </c>
      <c r="X11536" t="s">
        <v>41266</v>
      </c>
    </row>
    <row r="11537" spans="1:24">
      <c r="A11537">
        <f>HYPERLINK("https://www.philgeps.gov.ph/GEPSNONPILOT/Tender/SplashBidNoticeAbstractUI.aspx?menuIndex=3&amp;refID=7051672&amp;Result=3","7051672")</f>
        <v>0</v>
      </c>
      <c r="B11537" t="s">
        <v>1589</v>
      </c>
      <c r="C11537" t="s">
        <v>14417</v>
      </c>
      <c r="D11537" t="s">
        <v>16643</v>
      </c>
      <c r="E11537" t="s">
        <v>26687</v>
      </c>
      <c r="F11537" t="s">
        <v>28669</v>
      </c>
      <c r="G11537" t="s">
        <v>28675</v>
      </c>
      <c r="H11537" t="s">
        <v>28686</v>
      </c>
      <c r="I11537" t="s">
        <v>28689</v>
      </c>
      <c r="J11537" t="s">
        <v>35915</v>
      </c>
      <c r="K11537" t="s">
        <v>37209</v>
      </c>
      <c r="L11537" t="s">
        <v>1589</v>
      </c>
      <c r="M11537" t="s">
        <v>39172</v>
      </c>
      <c r="N11537" t="s">
        <v>41249</v>
      </c>
      <c r="O11537" t="s">
        <v>41250</v>
      </c>
      <c r="P11537">
        <v>0</v>
      </c>
      <c r="Q11537">
        <v>2</v>
      </c>
      <c r="R11537" t="s">
        <v>41265</v>
      </c>
      <c r="S11537" t="s">
        <v>41880</v>
      </c>
      <c r="T11537" t="s">
        <v>42764</v>
      </c>
      <c r="U11537" t="s">
        <v>52438</v>
      </c>
      <c r="V11537" t="s">
        <v>54734</v>
      </c>
      <c r="W11537" t="s">
        <v>39172</v>
      </c>
      <c r="X11537" t="s">
        <v>41266</v>
      </c>
    </row>
    <row r="11538" spans="1:24">
      <c r="A11538">
        <f>HYPERLINK("https://www.philgeps.gov.ph/GEPSNONPILOT/Tender/SplashBidNoticeAbstractUI.aspx?menuIndex=3&amp;refID=7051667&amp;Result=3","7051667")</f>
        <v>0</v>
      </c>
      <c r="B11538" t="s">
        <v>2290</v>
      </c>
      <c r="C11538" t="s">
        <v>14418</v>
      </c>
      <c r="D11538" t="s">
        <v>16684</v>
      </c>
      <c r="E11538" t="s">
        <v>6876</v>
      </c>
      <c r="F11538" t="s">
        <v>28669</v>
      </c>
      <c r="G11538" t="s">
        <v>28675</v>
      </c>
      <c r="H11538" t="s">
        <v>9998</v>
      </c>
      <c r="I11538" t="s">
        <v>28717</v>
      </c>
      <c r="J11538" t="s">
        <v>29512</v>
      </c>
      <c r="K11538" t="s">
        <v>37204</v>
      </c>
      <c r="M11538" t="s">
        <v>39945</v>
      </c>
      <c r="N11538" t="s">
        <v>41249</v>
      </c>
      <c r="O11538" t="s">
        <v>41250</v>
      </c>
      <c r="P11538">
        <v>0</v>
      </c>
      <c r="Q11538">
        <v>3</v>
      </c>
      <c r="R11538" t="s">
        <v>41265</v>
      </c>
      <c r="S11538" t="s">
        <v>41880</v>
      </c>
      <c r="T11538" t="s">
        <v>42759</v>
      </c>
      <c r="U11538" t="s">
        <v>52456</v>
      </c>
      <c r="W11538" t="s">
        <v>39945</v>
      </c>
      <c r="X11538" t="s">
        <v>41266</v>
      </c>
    </row>
    <row r="11539" spans="1:24">
      <c r="A11539">
        <f>HYPERLINK("https://www.philgeps.gov.ph/GEPSNONPILOT/Tender/SplashBidNoticeAbstractUI.aspx?menuIndex=3&amp;refID=7051655&amp;Result=3","7051655")</f>
        <v>0</v>
      </c>
      <c r="B11539" t="s">
        <v>371</v>
      </c>
      <c r="C11539" t="s">
        <v>14419</v>
      </c>
      <c r="D11539" t="s">
        <v>16622</v>
      </c>
      <c r="E11539" t="s">
        <v>26688</v>
      </c>
      <c r="F11539" t="s">
        <v>28669</v>
      </c>
      <c r="G11539" t="s">
        <v>28675</v>
      </c>
      <c r="H11539" t="s">
        <v>28686</v>
      </c>
      <c r="I11539" t="s">
        <v>28689</v>
      </c>
      <c r="J11539" t="s">
        <v>35916</v>
      </c>
      <c r="K11539" t="s">
        <v>37221</v>
      </c>
      <c r="M11539" t="s">
        <v>37853</v>
      </c>
      <c r="N11539" t="s">
        <v>41249</v>
      </c>
      <c r="O11539" t="s">
        <v>41250</v>
      </c>
      <c r="P11539">
        <v>0</v>
      </c>
      <c r="Q11539">
        <v>0</v>
      </c>
      <c r="R11539" t="s">
        <v>41265</v>
      </c>
      <c r="S11539" t="s">
        <v>41880</v>
      </c>
      <c r="T11539" t="s">
        <v>42727</v>
      </c>
      <c r="U11539" t="s">
        <v>52457</v>
      </c>
      <c r="W11539" t="s">
        <v>37853</v>
      </c>
      <c r="X11539" t="s">
        <v>41266</v>
      </c>
    </row>
    <row r="11540" spans="1:24">
      <c r="A11540">
        <f>HYPERLINK("https://www.philgeps.gov.ph/GEPSNONPILOT/Tender/SplashBidNoticeAbstractUI.aspx?menuIndex=3&amp;refID=7051657&amp;Result=3","7051657")</f>
        <v>0</v>
      </c>
      <c r="B11540" t="s">
        <v>492</v>
      </c>
      <c r="C11540" t="s">
        <v>14420</v>
      </c>
      <c r="D11540" t="s">
        <v>16621</v>
      </c>
      <c r="E11540" t="s">
        <v>26689</v>
      </c>
      <c r="F11540" t="s">
        <v>28669</v>
      </c>
      <c r="G11540" t="s">
        <v>28675</v>
      </c>
      <c r="H11540" t="s">
        <v>9998</v>
      </c>
      <c r="I11540" t="s">
        <v>28695</v>
      </c>
      <c r="J11540" t="s">
        <v>35917</v>
      </c>
      <c r="K11540" t="s">
        <v>37221</v>
      </c>
      <c r="M11540" t="s">
        <v>37981</v>
      </c>
      <c r="N11540" t="s">
        <v>41249</v>
      </c>
      <c r="O11540" t="s">
        <v>41250</v>
      </c>
      <c r="P11540">
        <v>0</v>
      </c>
      <c r="Q11540">
        <v>1</v>
      </c>
      <c r="R11540" t="s">
        <v>41265</v>
      </c>
      <c r="S11540" t="s">
        <v>41880</v>
      </c>
      <c r="T11540" t="s">
        <v>42714</v>
      </c>
      <c r="U11540" t="s">
        <v>52458</v>
      </c>
      <c r="W11540" t="s">
        <v>37981</v>
      </c>
      <c r="X11540" t="s">
        <v>41266</v>
      </c>
    </row>
    <row r="11541" spans="1:24">
      <c r="A11541">
        <f>HYPERLINK("https://www.philgeps.gov.ph/GEPSNONPILOT/Tender/SplashBidNoticeAbstractUI.aspx?menuIndex=3&amp;refID=7051642&amp;Result=3","7051642")</f>
        <v>0</v>
      </c>
      <c r="B11541" t="s">
        <v>1589</v>
      </c>
      <c r="C11541" t="s">
        <v>14421</v>
      </c>
      <c r="D11541" t="s">
        <v>16643</v>
      </c>
      <c r="E11541" t="s">
        <v>26690</v>
      </c>
      <c r="F11541" t="s">
        <v>28669</v>
      </c>
      <c r="G11541" t="s">
        <v>28675</v>
      </c>
      <c r="H11541" t="s">
        <v>28686</v>
      </c>
      <c r="I11541" t="s">
        <v>28689</v>
      </c>
      <c r="J11541" t="s">
        <v>31665</v>
      </c>
      <c r="K11541" t="s">
        <v>37209</v>
      </c>
      <c r="L11541" t="s">
        <v>1589</v>
      </c>
      <c r="M11541" t="s">
        <v>39172</v>
      </c>
      <c r="N11541" t="s">
        <v>41249</v>
      </c>
      <c r="O11541" t="s">
        <v>41250</v>
      </c>
      <c r="P11541">
        <v>0</v>
      </c>
      <c r="Q11541">
        <v>1</v>
      </c>
      <c r="R11541" t="s">
        <v>41265</v>
      </c>
      <c r="S11541" t="s">
        <v>41880</v>
      </c>
      <c r="T11541" t="s">
        <v>42764</v>
      </c>
      <c r="U11541" t="s">
        <v>52438</v>
      </c>
      <c r="V11541" t="s">
        <v>54734</v>
      </c>
      <c r="W11541" t="s">
        <v>39172</v>
      </c>
      <c r="X11541" t="s">
        <v>41266</v>
      </c>
    </row>
    <row r="11542" spans="1:24">
      <c r="A11542">
        <f>HYPERLINK("https://www.philgeps.gov.ph/GEPSNONPILOT/Tender/SplashBidNoticeAbstractUI.aspx?menuIndex=3&amp;refID=7051646&amp;Result=3","7051646")</f>
        <v>0</v>
      </c>
      <c r="B11542" t="s">
        <v>3126</v>
      </c>
      <c r="C11542" t="s">
        <v>14422</v>
      </c>
      <c r="E11542" t="s">
        <v>26691</v>
      </c>
      <c r="F11542" t="s">
        <v>28669</v>
      </c>
      <c r="G11542" t="s">
        <v>28676</v>
      </c>
      <c r="H11542" t="s">
        <v>9998</v>
      </c>
      <c r="I11542" t="s">
        <v>28799</v>
      </c>
      <c r="J11542" t="s">
        <v>35918</v>
      </c>
      <c r="K11542" t="s">
        <v>37209</v>
      </c>
      <c r="M11542" t="s">
        <v>40914</v>
      </c>
      <c r="N11542" t="s">
        <v>41249</v>
      </c>
      <c r="O11542" t="s">
        <v>41250</v>
      </c>
      <c r="Q11542">
        <v>5</v>
      </c>
      <c r="R11542" t="s">
        <v>41265</v>
      </c>
      <c r="S11542" t="s">
        <v>41626</v>
      </c>
      <c r="T11542" t="s">
        <v>42743</v>
      </c>
      <c r="U11542" t="s">
        <v>52459</v>
      </c>
      <c r="W11542" t="s">
        <v>40914</v>
      </c>
      <c r="X11542" t="s">
        <v>41266</v>
      </c>
    </row>
    <row r="11543" spans="1:24">
      <c r="A11543">
        <f>HYPERLINK("https://www.philgeps.gov.ph/GEPSNONPILOT/Tender/SplashBidNoticeAbstractUI.aspx?menuIndex=3&amp;refID=7051638&amp;Result=3","7051638")</f>
        <v>0</v>
      </c>
      <c r="B11543" t="s">
        <v>2290</v>
      </c>
      <c r="C11543" t="s">
        <v>14423</v>
      </c>
      <c r="D11543" t="s">
        <v>16684</v>
      </c>
      <c r="E11543" t="s">
        <v>6569</v>
      </c>
      <c r="F11543" t="s">
        <v>28669</v>
      </c>
      <c r="G11543" t="s">
        <v>28675</v>
      </c>
      <c r="H11543" t="s">
        <v>9998</v>
      </c>
      <c r="I11543" t="s">
        <v>7352</v>
      </c>
      <c r="J11543" t="s">
        <v>35919</v>
      </c>
      <c r="K11543" t="s">
        <v>37205</v>
      </c>
      <c r="M11543" t="s">
        <v>39945</v>
      </c>
      <c r="N11543" t="s">
        <v>41249</v>
      </c>
      <c r="O11543" t="s">
        <v>41250</v>
      </c>
      <c r="P11543">
        <v>0</v>
      </c>
      <c r="Q11543">
        <v>4</v>
      </c>
      <c r="R11543" t="s">
        <v>41265</v>
      </c>
      <c r="S11543" t="s">
        <v>41880</v>
      </c>
      <c r="T11543" t="s">
        <v>42759</v>
      </c>
      <c r="U11543" t="s">
        <v>52460</v>
      </c>
      <c r="W11543" t="s">
        <v>39945</v>
      </c>
      <c r="X11543" t="s">
        <v>41266</v>
      </c>
    </row>
    <row r="11544" spans="1:24">
      <c r="A11544">
        <f>HYPERLINK("https://www.philgeps.gov.ph/GEPSNONPILOT/Tender/SplashBidNoticeAbstractUI.aspx?menuIndex=3&amp;refID=7051637&amp;Result=3","7051637")</f>
        <v>0</v>
      </c>
      <c r="B11544" t="s">
        <v>267</v>
      </c>
      <c r="C11544" t="s">
        <v>14424</v>
      </c>
      <c r="D11544" t="s">
        <v>16679</v>
      </c>
      <c r="E11544" t="s">
        <v>26692</v>
      </c>
      <c r="F11544" t="s">
        <v>28669</v>
      </c>
      <c r="G11544" t="s">
        <v>28675</v>
      </c>
      <c r="H11544" t="s">
        <v>28686</v>
      </c>
      <c r="I11544" t="s">
        <v>28689</v>
      </c>
      <c r="J11544" t="s">
        <v>29943</v>
      </c>
      <c r="K11544" t="s">
        <v>37215</v>
      </c>
      <c r="M11544" t="s">
        <v>40741</v>
      </c>
      <c r="N11544" t="s">
        <v>41249</v>
      </c>
      <c r="O11544" t="s">
        <v>41250</v>
      </c>
      <c r="P11544">
        <v>0</v>
      </c>
      <c r="Q11544">
        <v>21</v>
      </c>
      <c r="R11544" t="s">
        <v>41265</v>
      </c>
      <c r="S11544" t="s">
        <v>41880</v>
      </c>
      <c r="T11544" t="s">
        <v>42686</v>
      </c>
      <c r="U11544" t="s">
        <v>43621</v>
      </c>
      <c r="V11544" t="s">
        <v>55428</v>
      </c>
      <c r="W11544" t="s">
        <v>55923</v>
      </c>
      <c r="X11544" t="s">
        <v>41266</v>
      </c>
    </row>
    <row r="11545" spans="1:24">
      <c r="A11545">
        <f>HYPERLINK("https://www.philgeps.gov.ph/GEPSNONPILOT/Tender/SplashBidNoticeAbstractUI.aspx?menuIndex=3&amp;refID=7051465&amp;Result=3","7051465")</f>
        <v>0</v>
      </c>
      <c r="B11545" t="s">
        <v>2779</v>
      </c>
      <c r="C11545" t="s">
        <v>14425</v>
      </c>
      <c r="D11545" t="s">
        <v>16664</v>
      </c>
      <c r="E11545" t="s">
        <v>21164</v>
      </c>
      <c r="F11545" t="s">
        <v>28669</v>
      </c>
      <c r="G11545" t="s">
        <v>28675</v>
      </c>
      <c r="H11545" t="s">
        <v>9998</v>
      </c>
      <c r="I11545" t="s">
        <v>28714</v>
      </c>
      <c r="J11545" t="s">
        <v>35920</v>
      </c>
      <c r="K11545" t="s">
        <v>37220</v>
      </c>
      <c r="M11545" t="s">
        <v>40502</v>
      </c>
      <c r="N11545" t="s">
        <v>41249</v>
      </c>
      <c r="O11545" t="s">
        <v>41250</v>
      </c>
      <c r="P11545">
        <v>0</v>
      </c>
      <c r="Q11545">
        <v>24</v>
      </c>
      <c r="R11545" t="s">
        <v>41265</v>
      </c>
      <c r="S11545" t="s">
        <v>41880</v>
      </c>
      <c r="T11545" t="s">
        <v>43131</v>
      </c>
      <c r="U11545" t="s">
        <v>52461</v>
      </c>
      <c r="W11545" t="s">
        <v>40502</v>
      </c>
      <c r="X11545" t="s">
        <v>41266</v>
      </c>
    </row>
    <row r="11546" spans="1:24">
      <c r="A11546">
        <f>HYPERLINK("https://www.philgeps.gov.ph/GEPSNONPILOT/Tender/SplashBidNoticeAbstractUI.aspx?menuIndex=3&amp;refID=7051625&amp;Result=3","7051625")</f>
        <v>0</v>
      </c>
      <c r="B11546" t="s">
        <v>1050</v>
      </c>
      <c r="C11546" t="s">
        <v>14426</v>
      </c>
      <c r="D11546" t="s">
        <v>16648</v>
      </c>
      <c r="E11546" t="s">
        <v>26693</v>
      </c>
      <c r="F11546" t="s">
        <v>28669</v>
      </c>
      <c r="G11546" t="s">
        <v>28675</v>
      </c>
      <c r="H11546" t="s">
        <v>9998</v>
      </c>
      <c r="I11546" t="s">
        <v>7352</v>
      </c>
      <c r="J11546" t="s">
        <v>35921</v>
      </c>
      <c r="K11546" t="s">
        <v>37204</v>
      </c>
      <c r="M11546" t="s">
        <v>38581</v>
      </c>
      <c r="N11546" t="s">
        <v>41249</v>
      </c>
      <c r="O11546" t="s">
        <v>41250</v>
      </c>
      <c r="P11546">
        <v>0</v>
      </c>
      <c r="Q11546">
        <v>0</v>
      </c>
      <c r="R11546" t="s">
        <v>41265</v>
      </c>
      <c r="S11546" t="s">
        <v>41880</v>
      </c>
      <c r="T11546" t="s">
        <v>42858</v>
      </c>
      <c r="U11546" t="s">
        <v>52462</v>
      </c>
      <c r="W11546" t="s">
        <v>38581</v>
      </c>
      <c r="X11546" t="s">
        <v>41266</v>
      </c>
    </row>
    <row r="11547" spans="1:24">
      <c r="A11547">
        <f>HYPERLINK("https://www.philgeps.gov.ph/GEPSNONPILOT/Tender/SplashBidNoticeAbstractUI.aspx?menuIndex=3&amp;refID=7051602&amp;Result=3","7051602")</f>
        <v>0</v>
      </c>
      <c r="B11547" t="s">
        <v>3084</v>
      </c>
      <c r="C11547" t="s">
        <v>14427</v>
      </c>
      <c r="D11547" t="s">
        <v>16624</v>
      </c>
      <c r="E11547" t="s">
        <v>26694</v>
      </c>
      <c r="F11547" t="s">
        <v>28669</v>
      </c>
      <c r="G11547" t="s">
        <v>28675</v>
      </c>
      <c r="H11547" t="s">
        <v>28686</v>
      </c>
      <c r="I11547" t="s">
        <v>28689</v>
      </c>
      <c r="J11547" t="s">
        <v>29112</v>
      </c>
      <c r="K11547" t="s">
        <v>37221</v>
      </c>
      <c r="M11547" t="s">
        <v>40868</v>
      </c>
      <c r="N11547" t="s">
        <v>41249</v>
      </c>
      <c r="O11547" t="s">
        <v>41250</v>
      </c>
      <c r="P11547">
        <v>0</v>
      </c>
      <c r="Q11547">
        <v>0</v>
      </c>
      <c r="R11547" t="s">
        <v>41265</v>
      </c>
      <c r="S11547" t="s">
        <v>41880</v>
      </c>
      <c r="T11547" t="s">
        <v>42977</v>
      </c>
      <c r="U11547" t="s">
        <v>52463</v>
      </c>
      <c r="V11547" t="s">
        <v>55630</v>
      </c>
      <c r="W11547" t="s">
        <v>40868</v>
      </c>
      <c r="X11547" t="s">
        <v>41266</v>
      </c>
    </row>
    <row r="11548" spans="1:24">
      <c r="A11548">
        <f>HYPERLINK("https://www.philgeps.gov.ph/GEPSNONPILOT/Tender/SplashBidNoticeAbstractUI.aspx?menuIndex=3&amp;refID=7051620&amp;Result=3","7051620")</f>
        <v>0</v>
      </c>
      <c r="B11548" t="s">
        <v>1589</v>
      </c>
      <c r="C11548" t="s">
        <v>14428</v>
      </c>
      <c r="D11548" t="s">
        <v>16643</v>
      </c>
      <c r="E11548" t="s">
        <v>26695</v>
      </c>
      <c r="F11548" t="s">
        <v>28669</v>
      </c>
      <c r="G11548" t="s">
        <v>28675</v>
      </c>
      <c r="H11548" t="s">
        <v>28686</v>
      </c>
      <c r="I11548" t="s">
        <v>28689</v>
      </c>
      <c r="J11548" t="s">
        <v>31637</v>
      </c>
      <c r="K11548" t="s">
        <v>37209</v>
      </c>
      <c r="L11548" t="s">
        <v>1589</v>
      </c>
      <c r="M11548" t="s">
        <v>39172</v>
      </c>
      <c r="N11548" t="s">
        <v>41249</v>
      </c>
      <c r="O11548" t="s">
        <v>41250</v>
      </c>
      <c r="P11548">
        <v>0</v>
      </c>
      <c r="Q11548">
        <v>0</v>
      </c>
      <c r="R11548" t="s">
        <v>41265</v>
      </c>
      <c r="S11548" t="s">
        <v>41880</v>
      </c>
      <c r="T11548" t="s">
        <v>42764</v>
      </c>
      <c r="U11548" t="s">
        <v>52438</v>
      </c>
      <c r="V11548" t="s">
        <v>54734</v>
      </c>
      <c r="W11548" t="s">
        <v>39172</v>
      </c>
      <c r="X11548" t="s">
        <v>41266</v>
      </c>
    </row>
    <row r="11549" spans="1:24">
      <c r="A11549">
        <f>HYPERLINK("https://www.philgeps.gov.ph/GEPSNONPILOT/Tender/SplashBidNoticeAbstractUI.aspx?menuIndex=3&amp;refID=7051596&amp;Result=3","7051596")</f>
        <v>0</v>
      </c>
      <c r="B11549" t="s">
        <v>1589</v>
      </c>
      <c r="C11549" t="s">
        <v>14429</v>
      </c>
      <c r="D11549" t="s">
        <v>16643</v>
      </c>
      <c r="E11549" t="s">
        <v>26696</v>
      </c>
      <c r="F11549" t="s">
        <v>28669</v>
      </c>
      <c r="G11549" t="s">
        <v>28675</v>
      </c>
      <c r="H11549" t="s">
        <v>28686</v>
      </c>
      <c r="I11549" t="s">
        <v>28689</v>
      </c>
      <c r="J11549" t="s">
        <v>35922</v>
      </c>
      <c r="K11549" t="s">
        <v>37209</v>
      </c>
      <c r="L11549" t="s">
        <v>1589</v>
      </c>
      <c r="M11549" t="s">
        <v>39172</v>
      </c>
      <c r="N11549" t="s">
        <v>41249</v>
      </c>
      <c r="O11549" t="s">
        <v>41250</v>
      </c>
      <c r="P11549">
        <v>0</v>
      </c>
      <c r="Q11549">
        <v>1</v>
      </c>
      <c r="R11549" t="s">
        <v>41265</v>
      </c>
      <c r="S11549" t="s">
        <v>41880</v>
      </c>
      <c r="T11549" t="s">
        <v>42764</v>
      </c>
      <c r="U11549" t="s">
        <v>52438</v>
      </c>
      <c r="V11549" t="s">
        <v>54734</v>
      </c>
      <c r="W11549" t="s">
        <v>39172</v>
      </c>
      <c r="X11549" t="s">
        <v>41266</v>
      </c>
    </row>
    <row r="11550" spans="1:24">
      <c r="A11550">
        <f>HYPERLINK("https://www.philgeps.gov.ph/GEPSNONPILOT/Tender/SplashBidNoticeAbstractUI.aspx?menuIndex=3&amp;refID=7051752&amp;Result=3","7051752")</f>
        <v>0</v>
      </c>
      <c r="B11550" t="s">
        <v>974</v>
      </c>
      <c r="C11550" t="s">
        <v>14430</v>
      </c>
      <c r="D11550" t="s">
        <v>16621</v>
      </c>
      <c r="E11550" t="s">
        <v>26697</v>
      </c>
      <c r="F11550" t="s">
        <v>28669</v>
      </c>
      <c r="G11550" t="s">
        <v>28675</v>
      </c>
      <c r="H11550" t="s">
        <v>9998</v>
      </c>
      <c r="I11550" t="s">
        <v>3718</v>
      </c>
      <c r="J11550" t="s">
        <v>29616</v>
      </c>
      <c r="K11550" t="s">
        <v>37205</v>
      </c>
      <c r="M11550" t="s">
        <v>39760</v>
      </c>
      <c r="N11550" t="s">
        <v>41249</v>
      </c>
      <c r="O11550" t="s">
        <v>41250</v>
      </c>
      <c r="P11550">
        <v>0</v>
      </c>
      <c r="Q11550">
        <v>6</v>
      </c>
      <c r="R11550" t="s">
        <v>41265</v>
      </c>
      <c r="S11550" t="s">
        <v>41880</v>
      </c>
      <c r="T11550" t="s">
        <v>42682</v>
      </c>
      <c r="U11550" t="s">
        <v>48477</v>
      </c>
      <c r="W11550" t="s">
        <v>39760</v>
      </c>
      <c r="X11550" t="s">
        <v>41266</v>
      </c>
    </row>
    <row r="11551" spans="1:24">
      <c r="A11551">
        <f>HYPERLINK("https://www.philgeps.gov.ph/GEPSNONPILOT/Tender/SplashBidNoticeAbstractUI.aspx?menuIndex=3&amp;refID=7051740&amp;Result=3","7051740")</f>
        <v>0</v>
      </c>
      <c r="B11551" t="s">
        <v>3127</v>
      </c>
      <c r="C11551" t="s">
        <v>14431</v>
      </c>
      <c r="D11551" t="s">
        <v>16607</v>
      </c>
      <c r="E11551" t="s">
        <v>19432</v>
      </c>
      <c r="F11551" t="s">
        <v>28671</v>
      </c>
      <c r="G11551" t="s">
        <v>28675</v>
      </c>
      <c r="H11551" t="s">
        <v>28686</v>
      </c>
      <c r="I11551" t="s">
        <v>7352</v>
      </c>
      <c r="J11551" t="s">
        <v>28914</v>
      </c>
      <c r="K11551" t="s">
        <v>37207</v>
      </c>
      <c r="M11551" t="s">
        <v>40915</v>
      </c>
      <c r="N11551" t="s">
        <v>41249</v>
      </c>
      <c r="O11551" t="s">
        <v>41250</v>
      </c>
      <c r="P11551">
        <v>0</v>
      </c>
      <c r="Q11551">
        <v>4</v>
      </c>
      <c r="R11551" t="s">
        <v>41265</v>
      </c>
      <c r="S11551" t="s">
        <v>41880</v>
      </c>
      <c r="T11551" t="s">
        <v>42714</v>
      </c>
      <c r="U11551" t="s">
        <v>52464</v>
      </c>
      <c r="W11551" t="s">
        <v>40915</v>
      </c>
      <c r="X11551" t="s">
        <v>41266</v>
      </c>
    </row>
    <row r="11552" spans="1:24">
      <c r="A11552">
        <f>HYPERLINK("https://www.philgeps.gov.ph/GEPSNONPILOT/Tender/SplashBidNoticeAbstractUI.aspx?menuIndex=3&amp;refID=7051632&amp;Result=3","7051632")</f>
        <v>0</v>
      </c>
      <c r="B11552" t="s">
        <v>145</v>
      </c>
      <c r="C11552" t="s">
        <v>14432</v>
      </c>
      <c r="D11552" t="s">
        <v>16619</v>
      </c>
      <c r="E11552" t="s">
        <v>26698</v>
      </c>
      <c r="F11552" t="s">
        <v>28669</v>
      </c>
      <c r="G11552" t="s">
        <v>28675</v>
      </c>
      <c r="H11552" t="s">
        <v>9998</v>
      </c>
      <c r="I11552" t="s">
        <v>28696</v>
      </c>
      <c r="J11552" t="s">
        <v>31467</v>
      </c>
      <c r="K11552" t="s">
        <v>37206</v>
      </c>
      <c r="M11552" t="s">
        <v>40818</v>
      </c>
      <c r="N11552" t="s">
        <v>41249</v>
      </c>
      <c r="O11552" t="s">
        <v>41250</v>
      </c>
      <c r="Q11552">
        <v>10</v>
      </c>
      <c r="R11552" t="s">
        <v>41265</v>
      </c>
      <c r="S11552" t="s">
        <v>41938</v>
      </c>
      <c r="T11552" t="s">
        <v>42714</v>
      </c>
      <c r="U11552" t="s">
        <v>52465</v>
      </c>
      <c r="V11552" t="s">
        <v>55536</v>
      </c>
      <c r="W11552" t="s">
        <v>40818</v>
      </c>
      <c r="X11552" t="s">
        <v>41266</v>
      </c>
    </row>
    <row r="11553" spans="1:24">
      <c r="A11553">
        <f>HYPERLINK("https://www.philgeps.gov.ph/GEPSNONPILOT/Tender/SplashBidNoticeAbstractUI.aspx?menuIndex=3&amp;refID=7051738&amp;Result=3","7051738")</f>
        <v>0</v>
      </c>
      <c r="B11553" t="s">
        <v>1191</v>
      </c>
      <c r="C11553" t="s">
        <v>14433</v>
      </c>
      <c r="D11553" t="s">
        <v>16687</v>
      </c>
      <c r="E11553" t="s">
        <v>26699</v>
      </c>
      <c r="F11553" t="s">
        <v>28669</v>
      </c>
      <c r="G11553" t="s">
        <v>28677</v>
      </c>
      <c r="H11553" t="s">
        <v>9998</v>
      </c>
      <c r="I11553" t="s">
        <v>7352</v>
      </c>
      <c r="J11553" t="s">
        <v>35923</v>
      </c>
      <c r="K11553" t="s">
        <v>37227</v>
      </c>
      <c r="M11553" t="s">
        <v>38731</v>
      </c>
      <c r="N11553" t="s">
        <v>41249</v>
      </c>
      <c r="O11553" t="s">
        <v>41250</v>
      </c>
      <c r="P11553">
        <v>0</v>
      </c>
      <c r="Q11553">
        <v>0</v>
      </c>
      <c r="R11553" t="s">
        <v>41265</v>
      </c>
      <c r="S11553" t="s">
        <v>41880</v>
      </c>
      <c r="T11553" t="s">
        <v>42883</v>
      </c>
      <c r="U11553" t="s">
        <v>52466</v>
      </c>
      <c r="W11553" t="s">
        <v>38731</v>
      </c>
      <c r="X11553" t="s">
        <v>41266</v>
      </c>
    </row>
    <row r="11554" spans="1:24">
      <c r="A11554">
        <f>HYPERLINK("https://www.philgeps.gov.ph/GEPSNONPILOT/Tender/SplashBidNoticeAbstractUI.aspx?menuIndex=3&amp;refID=7051597&amp;Result=3","7051597")</f>
        <v>0</v>
      </c>
      <c r="B11554" t="s">
        <v>3126</v>
      </c>
      <c r="C11554" t="s">
        <v>14434</v>
      </c>
      <c r="E11554" t="s">
        <v>26700</v>
      </c>
      <c r="F11554" t="s">
        <v>28669</v>
      </c>
      <c r="G11554" t="s">
        <v>28676</v>
      </c>
      <c r="H11554" t="s">
        <v>9998</v>
      </c>
      <c r="I11554" t="s">
        <v>7352</v>
      </c>
      <c r="J11554" t="s">
        <v>35924</v>
      </c>
      <c r="K11554" t="s">
        <v>37209</v>
      </c>
      <c r="M11554" t="s">
        <v>40914</v>
      </c>
      <c r="N11554" t="s">
        <v>41249</v>
      </c>
      <c r="O11554" t="s">
        <v>41250</v>
      </c>
      <c r="Q11554">
        <v>4</v>
      </c>
      <c r="R11554" t="s">
        <v>41265</v>
      </c>
      <c r="S11554" t="s">
        <v>41939</v>
      </c>
      <c r="T11554" t="s">
        <v>42754</v>
      </c>
      <c r="U11554" t="s">
        <v>52459</v>
      </c>
      <c r="W11554" t="s">
        <v>40914</v>
      </c>
      <c r="X11554" t="s">
        <v>41266</v>
      </c>
    </row>
    <row r="11555" spans="1:24">
      <c r="A11555">
        <f>HYPERLINK("https://www.philgeps.gov.ph/GEPSNONPILOT/Tender/SplashBidNoticeAbstractUI.aspx?menuIndex=3&amp;refID=7051734&amp;Result=3","7051734")</f>
        <v>0</v>
      </c>
      <c r="B11555" t="s">
        <v>145</v>
      </c>
      <c r="C11555" t="s">
        <v>14435</v>
      </c>
      <c r="D11555" t="s">
        <v>16619</v>
      </c>
      <c r="E11555" t="s">
        <v>26701</v>
      </c>
      <c r="F11555" t="s">
        <v>28669</v>
      </c>
      <c r="G11555" t="s">
        <v>28675</v>
      </c>
      <c r="H11555" t="s">
        <v>9998</v>
      </c>
      <c r="I11555" t="s">
        <v>3718</v>
      </c>
      <c r="J11555" t="s">
        <v>30815</v>
      </c>
      <c r="K11555" t="s">
        <v>37206</v>
      </c>
      <c r="M11555" t="s">
        <v>40818</v>
      </c>
      <c r="N11555" t="s">
        <v>41249</v>
      </c>
      <c r="O11555" t="s">
        <v>41250</v>
      </c>
      <c r="Q11555">
        <v>6</v>
      </c>
      <c r="R11555" t="s">
        <v>41265</v>
      </c>
      <c r="S11555" t="s">
        <v>41940</v>
      </c>
      <c r="T11555" t="s">
        <v>42714</v>
      </c>
      <c r="U11555" t="s">
        <v>52467</v>
      </c>
      <c r="V11555" t="s">
        <v>55536</v>
      </c>
      <c r="W11555" t="s">
        <v>40818</v>
      </c>
      <c r="X11555" t="s">
        <v>41266</v>
      </c>
    </row>
    <row r="11556" spans="1:24">
      <c r="A11556">
        <f>HYPERLINK("https://www.philgeps.gov.ph/GEPSNONPILOT/Tender/SplashBidNoticeAbstractUI.aspx?menuIndex=3&amp;refID=7051732&amp;Result=3","7051732")</f>
        <v>0</v>
      </c>
      <c r="B11556" t="s">
        <v>3124</v>
      </c>
      <c r="C11556" t="s">
        <v>14436</v>
      </c>
      <c r="D11556" t="s">
        <v>16639</v>
      </c>
      <c r="E11556" t="s">
        <v>26702</v>
      </c>
      <c r="F11556" t="s">
        <v>28669</v>
      </c>
      <c r="G11556" t="s">
        <v>28675</v>
      </c>
      <c r="H11556" t="s">
        <v>28686</v>
      </c>
      <c r="I11556" t="s">
        <v>28689</v>
      </c>
      <c r="J11556" t="s">
        <v>30755</v>
      </c>
      <c r="K11556" t="s">
        <v>37409</v>
      </c>
      <c r="M11556" t="s">
        <v>40912</v>
      </c>
      <c r="N11556" t="s">
        <v>41249</v>
      </c>
      <c r="O11556" t="s">
        <v>41250</v>
      </c>
      <c r="P11556">
        <v>0</v>
      </c>
      <c r="Q11556">
        <v>5</v>
      </c>
      <c r="R11556" t="s">
        <v>41265</v>
      </c>
      <c r="S11556" t="s">
        <v>41880</v>
      </c>
      <c r="T11556" t="s">
        <v>42999</v>
      </c>
      <c r="U11556" t="s">
        <v>52454</v>
      </c>
      <c r="W11556" t="s">
        <v>40912</v>
      </c>
      <c r="X11556" t="s">
        <v>41266</v>
      </c>
    </row>
    <row r="11557" spans="1:24">
      <c r="A11557">
        <f>HYPERLINK("https://www.philgeps.gov.ph/GEPSNONPILOT/Tender/SplashBidNoticeAbstractUI.aspx?menuIndex=3&amp;refID=7051668&amp;Result=3","7051668")</f>
        <v>0</v>
      </c>
      <c r="B11557" t="s">
        <v>145</v>
      </c>
      <c r="C11557" t="s">
        <v>14437</v>
      </c>
      <c r="D11557" t="s">
        <v>16619</v>
      </c>
      <c r="E11557" t="s">
        <v>26703</v>
      </c>
      <c r="F11557" t="s">
        <v>28669</v>
      </c>
      <c r="G11557" t="s">
        <v>28675</v>
      </c>
      <c r="H11557" t="s">
        <v>9998</v>
      </c>
      <c r="I11557" t="s">
        <v>28690</v>
      </c>
      <c r="J11557" t="s">
        <v>29943</v>
      </c>
      <c r="K11557" t="s">
        <v>37213</v>
      </c>
      <c r="M11557" t="s">
        <v>40818</v>
      </c>
      <c r="N11557" t="s">
        <v>41249</v>
      </c>
      <c r="O11557" t="s">
        <v>41250</v>
      </c>
      <c r="P11557">
        <v>0</v>
      </c>
      <c r="Q11557">
        <v>10</v>
      </c>
      <c r="R11557" t="s">
        <v>41265</v>
      </c>
      <c r="S11557" t="s">
        <v>41880</v>
      </c>
      <c r="T11557" t="s">
        <v>42714</v>
      </c>
      <c r="U11557" t="s">
        <v>52468</v>
      </c>
      <c r="V11557" t="s">
        <v>55536</v>
      </c>
      <c r="W11557" t="s">
        <v>40818</v>
      </c>
      <c r="X11557" t="s">
        <v>41266</v>
      </c>
    </row>
    <row r="11558" spans="1:24">
      <c r="A11558">
        <f>HYPERLINK("https://www.philgeps.gov.ph/GEPSNONPILOT/Tender/SplashBidNoticeAbstractUI.aspx?menuIndex=3&amp;refID=7051684&amp;Result=3","7051684")</f>
        <v>0</v>
      </c>
      <c r="B11558" t="s">
        <v>1191</v>
      </c>
      <c r="C11558" t="s">
        <v>14438</v>
      </c>
      <c r="D11558" t="s">
        <v>16687</v>
      </c>
      <c r="E11558" t="s">
        <v>26704</v>
      </c>
      <c r="F11558" t="s">
        <v>28669</v>
      </c>
      <c r="G11558" t="s">
        <v>28677</v>
      </c>
      <c r="H11558" t="s">
        <v>9998</v>
      </c>
      <c r="I11558" t="s">
        <v>28695</v>
      </c>
      <c r="J11558" t="s">
        <v>35925</v>
      </c>
      <c r="K11558" t="s">
        <v>37206</v>
      </c>
      <c r="M11558" t="s">
        <v>38731</v>
      </c>
      <c r="N11558" t="s">
        <v>41249</v>
      </c>
      <c r="O11558" t="s">
        <v>41250</v>
      </c>
      <c r="P11558">
        <v>0</v>
      </c>
      <c r="Q11558">
        <v>0</v>
      </c>
      <c r="R11558" t="s">
        <v>41265</v>
      </c>
      <c r="S11558" t="s">
        <v>41880</v>
      </c>
      <c r="T11558" t="s">
        <v>42883</v>
      </c>
      <c r="U11558" t="s">
        <v>52469</v>
      </c>
      <c r="W11558" t="s">
        <v>38731</v>
      </c>
      <c r="X11558" t="s">
        <v>41266</v>
      </c>
    </row>
    <row r="11559" spans="1:24">
      <c r="A11559">
        <f>HYPERLINK("https://www.philgeps.gov.ph/GEPSNONPILOT/Tender/SplashBidNoticeAbstractUI.aspx?menuIndex=3&amp;refID=7051749&amp;Result=3","7051749")</f>
        <v>0</v>
      </c>
      <c r="B11559" t="s">
        <v>3128</v>
      </c>
      <c r="C11559" t="s">
        <v>14439</v>
      </c>
      <c r="D11559" t="s">
        <v>16625</v>
      </c>
      <c r="E11559" t="s">
        <v>17015</v>
      </c>
      <c r="F11559" t="s">
        <v>28669</v>
      </c>
      <c r="G11559" t="s">
        <v>28675</v>
      </c>
      <c r="H11559" t="s">
        <v>28686</v>
      </c>
      <c r="I11559" t="s">
        <v>28689</v>
      </c>
      <c r="J11559" t="s">
        <v>35926</v>
      </c>
      <c r="K11559" t="s">
        <v>37395</v>
      </c>
      <c r="M11559" t="s">
        <v>40916</v>
      </c>
      <c r="N11559" t="s">
        <v>41249</v>
      </c>
      <c r="O11559" t="s">
        <v>41250</v>
      </c>
      <c r="P11559">
        <v>0</v>
      </c>
      <c r="Q11559">
        <v>0</v>
      </c>
      <c r="R11559" t="s">
        <v>41265</v>
      </c>
      <c r="S11559" t="s">
        <v>41880</v>
      </c>
      <c r="T11559" t="s">
        <v>42783</v>
      </c>
      <c r="U11559" t="s">
        <v>52470</v>
      </c>
      <c r="W11559" t="s">
        <v>40916</v>
      </c>
      <c r="X11559" t="s">
        <v>41266</v>
      </c>
    </row>
    <row r="11560" spans="1:24">
      <c r="A11560">
        <f>HYPERLINK("https://www.philgeps.gov.ph/GEPSNONPILOT/Tender/SplashBidNoticeAbstractUI.aspx?menuIndex=3&amp;refID=7051767&amp;Result=3","7051767")</f>
        <v>0</v>
      </c>
      <c r="B11560" t="s">
        <v>3129</v>
      </c>
      <c r="C11560" t="s">
        <v>14440</v>
      </c>
      <c r="D11560" t="s">
        <v>16607</v>
      </c>
      <c r="E11560" t="s">
        <v>26705</v>
      </c>
      <c r="F11560" t="s">
        <v>28669</v>
      </c>
      <c r="G11560" t="s">
        <v>28675</v>
      </c>
      <c r="H11560" t="s">
        <v>9998</v>
      </c>
      <c r="I11560" t="s">
        <v>7352</v>
      </c>
      <c r="J11560" t="s">
        <v>35927</v>
      </c>
      <c r="K11560" t="s">
        <v>37204</v>
      </c>
      <c r="M11560" t="s">
        <v>40917</v>
      </c>
      <c r="N11560" t="s">
        <v>41249</v>
      </c>
      <c r="O11560" t="s">
        <v>41250</v>
      </c>
      <c r="P11560">
        <v>0</v>
      </c>
      <c r="Q11560">
        <v>4</v>
      </c>
      <c r="R11560" t="s">
        <v>41265</v>
      </c>
      <c r="S11560" t="s">
        <v>41880</v>
      </c>
      <c r="T11560" t="s">
        <v>42767</v>
      </c>
      <c r="U11560" t="s">
        <v>52471</v>
      </c>
      <c r="W11560" t="s">
        <v>40917</v>
      </c>
      <c r="X11560" t="s">
        <v>41266</v>
      </c>
    </row>
    <row r="11561" spans="1:24">
      <c r="A11561">
        <f>HYPERLINK("https://www.philgeps.gov.ph/GEPSNONPILOT/Tender/SplashBidNoticeAbstractUI.aspx?menuIndex=3&amp;refID=7051683&amp;Result=3","7051683")</f>
        <v>0</v>
      </c>
      <c r="B11561" t="s">
        <v>3130</v>
      </c>
      <c r="C11561" t="s">
        <v>14441</v>
      </c>
      <c r="D11561" t="s">
        <v>16687</v>
      </c>
      <c r="E11561" t="s">
        <v>26706</v>
      </c>
      <c r="F11561" t="s">
        <v>28669</v>
      </c>
      <c r="G11561" t="s">
        <v>28675</v>
      </c>
      <c r="H11561" t="s">
        <v>28686</v>
      </c>
      <c r="I11561" t="s">
        <v>28689</v>
      </c>
      <c r="J11561" t="s">
        <v>35928</v>
      </c>
      <c r="K11561" t="s">
        <v>37215</v>
      </c>
      <c r="M11561" t="s">
        <v>40918</v>
      </c>
      <c r="N11561" t="s">
        <v>41249</v>
      </c>
      <c r="O11561" t="s">
        <v>41250</v>
      </c>
      <c r="P11561">
        <v>0</v>
      </c>
      <c r="Q11561">
        <v>0</v>
      </c>
      <c r="R11561" t="s">
        <v>41265</v>
      </c>
      <c r="S11561" t="s">
        <v>41880</v>
      </c>
      <c r="T11561" t="s">
        <v>42703</v>
      </c>
      <c r="U11561" t="s">
        <v>52472</v>
      </c>
      <c r="W11561" t="s">
        <v>40918</v>
      </c>
      <c r="X11561" t="s">
        <v>41266</v>
      </c>
    </row>
    <row r="11562" spans="1:24">
      <c r="A11562">
        <f>HYPERLINK("https://www.philgeps.gov.ph/GEPSNONPILOT/Tender/SplashBidNoticeAbstractUI.aspx?menuIndex=3&amp;refID=7051592&amp;Result=3","7051592")</f>
        <v>0</v>
      </c>
      <c r="B11562" t="s">
        <v>1191</v>
      </c>
      <c r="C11562" t="s">
        <v>14442</v>
      </c>
      <c r="D11562" t="s">
        <v>16687</v>
      </c>
      <c r="E11562" t="s">
        <v>26707</v>
      </c>
      <c r="F11562" t="s">
        <v>28669</v>
      </c>
      <c r="G11562" t="s">
        <v>28677</v>
      </c>
      <c r="H11562" t="s">
        <v>9998</v>
      </c>
      <c r="I11562" t="s">
        <v>28751</v>
      </c>
      <c r="J11562" t="s">
        <v>35929</v>
      </c>
      <c r="K11562" t="s">
        <v>37227</v>
      </c>
      <c r="M11562" t="s">
        <v>38731</v>
      </c>
      <c r="N11562" t="s">
        <v>41249</v>
      </c>
      <c r="O11562" t="s">
        <v>41250</v>
      </c>
      <c r="P11562">
        <v>0</v>
      </c>
      <c r="Q11562">
        <v>0</v>
      </c>
      <c r="R11562" t="s">
        <v>41265</v>
      </c>
      <c r="S11562" t="s">
        <v>41880</v>
      </c>
      <c r="T11562" t="s">
        <v>42883</v>
      </c>
      <c r="U11562" t="s">
        <v>52473</v>
      </c>
      <c r="W11562" t="s">
        <v>38731</v>
      </c>
      <c r="X11562" t="s">
        <v>41266</v>
      </c>
    </row>
    <row r="11563" spans="1:24">
      <c r="A11563">
        <f>HYPERLINK("https://www.philgeps.gov.ph/GEPSNONPILOT/Tender/SplashBidNoticeAbstractUI.aspx?menuIndex=3&amp;refID=7051760&amp;Result=3","7051760")</f>
        <v>0</v>
      </c>
      <c r="B11563" t="s">
        <v>371</v>
      </c>
      <c r="C11563" t="s">
        <v>14443</v>
      </c>
      <c r="D11563" t="s">
        <v>16622</v>
      </c>
      <c r="E11563" t="s">
        <v>17158</v>
      </c>
      <c r="F11563" t="s">
        <v>28669</v>
      </c>
      <c r="G11563" t="s">
        <v>28675</v>
      </c>
      <c r="H11563" t="s">
        <v>28686</v>
      </c>
      <c r="I11563" t="s">
        <v>28689</v>
      </c>
      <c r="J11563" t="s">
        <v>35930</v>
      </c>
      <c r="K11563" t="s">
        <v>37221</v>
      </c>
      <c r="M11563" t="s">
        <v>37853</v>
      </c>
      <c r="N11563" t="s">
        <v>41249</v>
      </c>
      <c r="O11563" t="s">
        <v>41250</v>
      </c>
      <c r="P11563">
        <v>0</v>
      </c>
      <c r="Q11563">
        <v>0</v>
      </c>
      <c r="R11563" t="s">
        <v>41265</v>
      </c>
      <c r="S11563" t="s">
        <v>41880</v>
      </c>
      <c r="T11563" t="s">
        <v>42727</v>
      </c>
      <c r="U11563" t="s">
        <v>52474</v>
      </c>
      <c r="W11563" t="s">
        <v>37853</v>
      </c>
      <c r="X11563" t="s">
        <v>41266</v>
      </c>
    </row>
    <row r="11564" spans="1:24">
      <c r="A11564">
        <f>HYPERLINK("https://www.philgeps.gov.ph/GEPSNONPILOT/Tender/SplashBidNoticeAbstractUI.aspx?menuIndex=3&amp;refID=7051723&amp;Result=3","7051723")</f>
        <v>0</v>
      </c>
      <c r="B11564" t="s">
        <v>1589</v>
      </c>
      <c r="C11564" t="s">
        <v>14444</v>
      </c>
      <c r="D11564" t="s">
        <v>16643</v>
      </c>
      <c r="E11564" t="s">
        <v>26708</v>
      </c>
      <c r="F11564" t="s">
        <v>28669</v>
      </c>
      <c r="G11564" t="s">
        <v>28675</v>
      </c>
      <c r="H11564" t="s">
        <v>28686</v>
      </c>
      <c r="I11564" t="s">
        <v>28689</v>
      </c>
      <c r="J11564" t="s">
        <v>31645</v>
      </c>
      <c r="K11564" t="s">
        <v>37209</v>
      </c>
      <c r="L11564" t="s">
        <v>1589</v>
      </c>
      <c r="M11564" t="s">
        <v>39172</v>
      </c>
      <c r="N11564" t="s">
        <v>41249</v>
      </c>
      <c r="O11564" t="s">
        <v>41250</v>
      </c>
      <c r="P11564">
        <v>0</v>
      </c>
      <c r="Q11564">
        <v>2</v>
      </c>
      <c r="R11564" t="s">
        <v>41265</v>
      </c>
      <c r="S11564" t="s">
        <v>41880</v>
      </c>
      <c r="T11564" t="s">
        <v>42764</v>
      </c>
      <c r="U11564" t="s">
        <v>52438</v>
      </c>
      <c r="V11564" t="s">
        <v>54734</v>
      </c>
      <c r="W11564" t="s">
        <v>39172</v>
      </c>
      <c r="X11564" t="s">
        <v>41266</v>
      </c>
    </row>
    <row r="11565" spans="1:24">
      <c r="A11565">
        <f>HYPERLINK("https://www.philgeps.gov.ph/GEPSNONPILOT/Tender/SplashBidNoticeAbstractUI.aspx?menuIndex=3&amp;refID=7051695&amp;Result=3","7051695")</f>
        <v>0</v>
      </c>
      <c r="B11565" t="s">
        <v>1050</v>
      </c>
      <c r="C11565" t="s">
        <v>14445</v>
      </c>
      <c r="D11565" t="s">
        <v>16648</v>
      </c>
      <c r="E11565" t="s">
        <v>26709</v>
      </c>
      <c r="F11565" t="s">
        <v>28669</v>
      </c>
      <c r="G11565" t="s">
        <v>28675</v>
      </c>
      <c r="H11565" t="s">
        <v>9998</v>
      </c>
      <c r="I11565" t="s">
        <v>7352</v>
      </c>
      <c r="J11565" t="s">
        <v>35931</v>
      </c>
      <c r="K11565" t="s">
        <v>37204</v>
      </c>
      <c r="M11565" t="s">
        <v>38581</v>
      </c>
      <c r="N11565" t="s">
        <v>41249</v>
      </c>
      <c r="O11565" t="s">
        <v>41250</v>
      </c>
      <c r="P11565">
        <v>0</v>
      </c>
      <c r="Q11565">
        <v>0</v>
      </c>
      <c r="R11565" t="s">
        <v>41265</v>
      </c>
      <c r="S11565" t="s">
        <v>41880</v>
      </c>
      <c r="T11565" t="s">
        <v>42858</v>
      </c>
      <c r="U11565" t="s">
        <v>52475</v>
      </c>
      <c r="W11565" t="s">
        <v>38581</v>
      </c>
      <c r="X11565" t="s">
        <v>41266</v>
      </c>
    </row>
    <row r="11566" spans="1:24">
      <c r="A11566">
        <f>HYPERLINK("https://www.philgeps.gov.ph/GEPSNONPILOT/Tender/SplashBidNoticeAbstractUI.aspx?menuIndex=3&amp;refID=7051691&amp;Result=3","7051691")</f>
        <v>0</v>
      </c>
      <c r="B11566" t="s">
        <v>1589</v>
      </c>
      <c r="C11566" t="s">
        <v>14446</v>
      </c>
      <c r="D11566" t="s">
        <v>16643</v>
      </c>
      <c r="E11566" t="s">
        <v>26710</v>
      </c>
      <c r="F11566" t="s">
        <v>28669</v>
      </c>
      <c r="G11566" t="s">
        <v>28675</v>
      </c>
      <c r="H11566" t="s">
        <v>28686</v>
      </c>
      <c r="I11566" t="s">
        <v>28689</v>
      </c>
      <c r="J11566" t="s">
        <v>31645</v>
      </c>
      <c r="K11566" t="s">
        <v>37209</v>
      </c>
      <c r="L11566" t="s">
        <v>1589</v>
      </c>
      <c r="M11566" t="s">
        <v>39172</v>
      </c>
      <c r="N11566" t="s">
        <v>41249</v>
      </c>
      <c r="O11566" t="s">
        <v>41250</v>
      </c>
      <c r="P11566">
        <v>0</v>
      </c>
      <c r="Q11566">
        <v>1</v>
      </c>
      <c r="R11566" t="s">
        <v>41265</v>
      </c>
      <c r="S11566" t="s">
        <v>41880</v>
      </c>
      <c r="T11566" t="s">
        <v>42764</v>
      </c>
      <c r="U11566" t="s">
        <v>52438</v>
      </c>
      <c r="V11566" t="s">
        <v>54734</v>
      </c>
      <c r="W11566" t="s">
        <v>39172</v>
      </c>
      <c r="X11566" t="s">
        <v>41266</v>
      </c>
    </row>
    <row r="11567" spans="1:24">
      <c r="A11567">
        <f>HYPERLINK("https://www.philgeps.gov.ph/GEPSNONPILOT/Tender/SplashBidNoticeAbstractUI.aspx?menuIndex=3&amp;refID=7051685&amp;Result=3","7051685")</f>
        <v>0</v>
      </c>
      <c r="B11567" t="s">
        <v>3131</v>
      </c>
      <c r="C11567" t="s">
        <v>14447</v>
      </c>
      <c r="D11567" t="s">
        <v>16627</v>
      </c>
      <c r="E11567" t="s">
        <v>26711</v>
      </c>
      <c r="F11567" t="s">
        <v>28669</v>
      </c>
      <c r="G11567" t="s">
        <v>28675</v>
      </c>
      <c r="H11567" t="s">
        <v>9998</v>
      </c>
      <c r="I11567" t="s">
        <v>28764</v>
      </c>
      <c r="J11567" t="s">
        <v>28924</v>
      </c>
      <c r="K11567" t="s">
        <v>37213</v>
      </c>
      <c r="M11567" t="s">
        <v>40919</v>
      </c>
      <c r="N11567" t="s">
        <v>41249</v>
      </c>
      <c r="O11567" t="s">
        <v>41250</v>
      </c>
      <c r="Q11567">
        <v>7</v>
      </c>
      <c r="R11567" t="s">
        <v>41265</v>
      </c>
      <c r="S11567" t="s">
        <v>41941</v>
      </c>
      <c r="T11567" t="s">
        <v>42764</v>
      </c>
      <c r="U11567" t="s">
        <v>52476</v>
      </c>
      <c r="W11567" t="s">
        <v>40919</v>
      </c>
      <c r="X11567" t="s">
        <v>41266</v>
      </c>
    </row>
    <row r="11568" spans="1:24">
      <c r="A11568">
        <f>HYPERLINK("https://www.philgeps.gov.ph/GEPSNONPILOT/Tender/SplashBidNoticeAbstractUI.aspx?menuIndex=3&amp;refID=7051783&amp;Result=3","7051783")</f>
        <v>0</v>
      </c>
      <c r="B11568" t="s">
        <v>3124</v>
      </c>
      <c r="C11568" t="s">
        <v>14448</v>
      </c>
      <c r="D11568" t="s">
        <v>16639</v>
      </c>
      <c r="E11568" t="s">
        <v>20751</v>
      </c>
      <c r="F11568" t="s">
        <v>28669</v>
      </c>
      <c r="G11568" t="s">
        <v>28675</v>
      </c>
      <c r="H11568" t="s">
        <v>28686</v>
      </c>
      <c r="I11568" t="s">
        <v>28689</v>
      </c>
      <c r="J11568" t="s">
        <v>35932</v>
      </c>
      <c r="K11568" t="s">
        <v>37215</v>
      </c>
      <c r="M11568" t="s">
        <v>40912</v>
      </c>
      <c r="N11568" t="s">
        <v>41249</v>
      </c>
      <c r="O11568" t="s">
        <v>41250</v>
      </c>
      <c r="P11568">
        <v>0</v>
      </c>
      <c r="Q11568">
        <v>4</v>
      </c>
      <c r="R11568" t="s">
        <v>41265</v>
      </c>
      <c r="S11568" t="s">
        <v>41880</v>
      </c>
      <c r="T11568" t="s">
        <v>42999</v>
      </c>
      <c r="U11568" t="s">
        <v>52477</v>
      </c>
      <c r="W11568" t="s">
        <v>40912</v>
      </c>
      <c r="X11568" t="s">
        <v>41266</v>
      </c>
    </row>
    <row r="11569" spans="1:24">
      <c r="A11569">
        <f>HYPERLINK("https://www.philgeps.gov.ph/GEPSNONPILOT/Tender/SplashBidNoticeAbstractUI.aspx?menuIndex=3&amp;refID=7051821&amp;Result=3","7051821")</f>
        <v>0</v>
      </c>
      <c r="B11569" t="s">
        <v>688</v>
      </c>
      <c r="C11569" t="s">
        <v>14449</v>
      </c>
      <c r="D11569" t="s">
        <v>16619</v>
      </c>
      <c r="E11569" t="s">
        <v>26712</v>
      </c>
      <c r="F11569" t="s">
        <v>28669</v>
      </c>
      <c r="G11569" t="s">
        <v>28675</v>
      </c>
      <c r="H11569" t="s">
        <v>28686</v>
      </c>
      <c r="I11569" t="s">
        <v>28689</v>
      </c>
      <c r="J11569" t="s">
        <v>35933</v>
      </c>
      <c r="K11569" t="s">
        <v>37220</v>
      </c>
      <c r="M11569" t="s">
        <v>39665</v>
      </c>
      <c r="N11569" t="s">
        <v>41249</v>
      </c>
      <c r="O11569" t="s">
        <v>41250</v>
      </c>
      <c r="P11569">
        <v>0</v>
      </c>
      <c r="Q11569">
        <v>2</v>
      </c>
      <c r="R11569" t="s">
        <v>41265</v>
      </c>
      <c r="S11569" t="s">
        <v>41880</v>
      </c>
      <c r="T11569" t="s">
        <v>42764</v>
      </c>
      <c r="U11569" t="s">
        <v>52478</v>
      </c>
      <c r="W11569" t="s">
        <v>39665</v>
      </c>
      <c r="X11569" t="s">
        <v>41266</v>
      </c>
    </row>
    <row r="11570" spans="1:24">
      <c r="A11570">
        <f>HYPERLINK("https://www.philgeps.gov.ph/GEPSNONPILOT/Tender/SplashBidNoticeAbstractUI.aspx?menuIndex=3&amp;refID=7051761&amp;Result=3","7051761")</f>
        <v>0</v>
      </c>
      <c r="B11570" t="s">
        <v>1589</v>
      </c>
      <c r="C11570" t="s">
        <v>14450</v>
      </c>
      <c r="D11570" t="s">
        <v>16643</v>
      </c>
      <c r="E11570" t="s">
        <v>26713</v>
      </c>
      <c r="F11570" t="s">
        <v>28669</v>
      </c>
      <c r="G11570" t="s">
        <v>28675</v>
      </c>
      <c r="H11570" t="s">
        <v>28686</v>
      </c>
      <c r="I11570" t="s">
        <v>28689</v>
      </c>
      <c r="J11570" t="s">
        <v>29112</v>
      </c>
      <c r="K11570" t="s">
        <v>37209</v>
      </c>
      <c r="L11570" t="s">
        <v>1589</v>
      </c>
      <c r="M11570" t="s">
        <v>39172</v>
      </c>
      <c r="N11570" t="s">
        <v>41249</v>
      </c>
      <c r="O11570" t="s">
        <v>41250</v>
      </c>
      <c r="P11570">
        <v>0</v>
      </c>
      <c r="Q11570">
        <v>0</v>
      </c>
      <c r="R11570" t="s">
        <v>41265</v>
      </c>
      <c r="S11570" t="s">
        <v>41880</v>
      </c>
      <c r="T11570" t="s">
        <v>42764</v>
      </c>
      <c r="U11570" t="s">
        <v>52438</v>
      </c>
      <c r="V11570" t="s">
        <v>54734</v>
      </c>
      <c r="W11570" t="s">
        <v>39172</v>
      </c>
      <c r="X11570" t="s">
        <v>41266</v>
      </c>
    </row>
    <row r="11571" spans="1:24">
      <c r="A11571">
        <f>HYPERLINK("https://www.philgeps.gov.ph/GEPSNONPILOT/Tender/SplashBidNoticeAbstractUI.aspx?menuIndex=3&amp;refID=7051819&amp;Result=3","7051819")</f>
        <v>0</v>
      </c>
      <c r="B11571" t="s">
        <v>3120</v>
      </c>
      <c r="C11571" t="s">
        <v>14451</v>
      </c>
      <c r="D11571" t="s">
        <v>16621</v>
      </c>
      <c r="E11571" t="s">
        <v>16807</v>
      </c>
      <c r="F11571" t="s">
        <v>28669</v>
      </c>
      <c r="G11571" t="s">
        <v>28675</v>
      </c>
      <c r="H11571" t="s">
        <v>28686</v>
      </c>
      <c r="I11571" t="s">
        <v>28689</v>
      </c>
      <c r="J11571" t="s">
        <v>35934</v>
      </c>
      <c r="K11571" t="s">
        <v>37209</v>
      </c>
      <c r="M11571" t="s">
        <v>40908</v>
      </c>
      <c r="N11571" t="s">
        <v>41249</v>
      </c>
      <c r="O11571" t="s">
        <v>41250</v>
      </c>
      <c r="P11571">
        <v>0</v>
      </c>
      <c r="Q11571">
        <v>2</v>
      </c>
      <c r="R11571" t="s">
        <v>41265</v>
      </c>
      <c r="S11571" t="s">
        <v>41880</v>
      </c>
      <c r="T11571" t="s">
        <v>42714</v>
      </c>
      <c r="U11571" t="s">
        <v>52479</v>
      </c>
      <c r="W11571" t="s">
        <v>40908</v>
      </c>
      <c r="X11571" t="s">
        <v>41266</v>
      </c>
    </row>
    <row r="11572" spans="1:24">
      <c r="A11572">
        <f>HYPERLINK("https://www.philgeps.gov.ph/GEPSNONPILOT/Tender/SplashBidNoticeAbstractUI.aspx?menuIndex=3&amp;refID=7051729&amp;Result=3","7051729")</f>
        <v>0</v>
      </c>
      <c r="B11572" t="s">
        <v>267</v>
      </c>
      <c r="C11572" t="s">
        <v>14452</v>
      </c>
      <c r="D11572" t="s">
        <v>16679</v>
      </c>
      <c r="E11572" t="s">
        <v>26714</v>
      </c>
      <c r="F11572" t="s">
        <v>28669</v>
      </c>
      <c r="G11572" t="s">
        <v>28675</v>
      </c>
      <c r="H11572" t="s">
        <v>28686</v>
      </c>
      <c r="I11572" t="s">
        <v>28689</v>
      </c>
      <c r="J11572" t="s">
        <v>29059</v>
      </c>
      <c r="K11572" t="s">
        <v>37220</v>
      </c>
      <c r="M11572" t="s">
        <v>40741</v>
      </c>
      <c r="N11572" t="s">
        <v>41249</v>
      </c>
      <c r="O11572" t="s">
        <v>41250</v>
      </c>
      <c r="P11572">
        <v>0</v>
      </c>
      <c r="Q11572">
        <v>21</v>
      </c>
      <c r="R11572" t="s">
        <v>41265</v>
      </c>
      <c r="S11572" t="s">
        <v>41880</v>
      </c>
      <c r="T11572" t="s">
        <v>42686</v>
      </c>
      <c r="U11572" t="s">
        <v>43621</v>
      </c>
      <c r="V11572" t="s">
        <v>55428</v>
      </c>
      <c r="W11572" t="s">
        <v>55923</v>
      </c>
      <c r="X11572" t="s">
        <v>41266</v>
      </c>
    </row>
    <row r="11573" spans="1:24">
      <c r="A11573">
        <f>HYPERLINK("https://www.philgeps.gov.ph/GEPSNONPILOT/Tender/SplashBidNoticeAbstractUI.aspx?menuIndex=3&amp;refID=7051817&amp;Result=3","7051817")</f>
        <v>0</v>
      </c>
      <c r="B11573" t="s">
        <v>3132</v>
      </c>
      <c r="C11573" t="s">
        <v>14453</v>
      </c>
      <c r="D11573" t="s">
        <v>16621</v>
      </c>
      <c r="E11573" t="s">
        <v>26715</v>
      </c>
      <c r="F11573" t="s">
        <v>28669</v>
      </c>
      <c r="G11573" t="s">
        <v>28675</v>
      </c>
      <c r="H11573" t="s">
        <v>9998</v>
      </c>
      <c r="I11573" t="s">
        <v>5286</v>
      </c>
      <c r="J11573" t="s">
        <v>35935</v>
      </c>
      <c r="K11573" t="s">
        <v>37206</v>
      </c>
      <c r="M11573" t="s">
        <v>40920</v>
      </c>
      <c r="N11573" t="s">
        <v>41249</v>
      </c>
      <c r="O11573" t="s">
        <v>41250</v>
      </c>
      <c r="P11573">
        <v>0</v>
      </c>
      <c r="Q11573">
        <v>4</v>
      </c>
      <c r="R11573" t="s">
        <v>41265</v>
      </c>
      <c r="S11573" t="s">
        <v>41880</v>
      </c>
      <c r="T11573" t="s">
        <v>42690</v>
      </c>
      <c r="U11573" t="s">
        <v>52480</v>
      </c>
      <c r="W11573" t="s">
        <v>40920</v>
      </c>
      <c r="X11573" t="s">
        <v>41266</v>
      </c>
    </row>
    <row r="11574" spans="1:24">
      <c r="A11574">
        <f>HYPERLINK("https://www.philgeps.gov.ph/GEPSNONPILOT/Tender/SplashBidNoticeAbstractUI.aspx?menuIndex=3&amp;refID=7051715&amp;Result=3","7051715")</f>
        <v>0</v>
      </c>
      <c r="B11574" t="s">
        <v>2768</v>
      </c>
      <c r="C11574" t="s">
        <v>3933</v>
      </c>
      <c r="D11574" t="s">
        <v>16621</v>
      </c>
      <c r="E11574" t="s">
        <v>26716</v>
      </c>
      <c r="F11574" t="s">
        <v>28669</v>
      </c>
      <c r="G11574" t="s">
        <v>28675</v>
      </c>
      <c r="H11574" t="s">
        <v>9998</v>
      </c>
      <c r="I11574" t="s">
        <v>3718</v>
      </c>
      <c r="J11574" t="s">
        <v>35936</v>
      </c>
      <c r="K11574" t="s">
        <v>37220</v>
      </c>
      <c r="M11574" t="s">
        <v>40488</v>
      </c>
      <c r="N11574" t="s">
        <v>41249</v>
      </c>
      <c r="O11574" t="s">
        <v>41250</v>
      </c>
      <c r="P11574">
        <v>0</v>
      </c>
      <c r="Q11574">
        <v>13</v>
      </c>
      <c r="R11574" t="s">
        <v>41265</v>
      </c>
      <c r="S11574" t="s">
        <v>41880</v>
      </c>
      <c r="T11574" t="s">
        <v>42866</v>
      </c>
      <c r="U11574" t="s">
        <v>50794</v>
      </c>
      <c r="V11574" t="s">
        <v>55303</v>
      </c>
      <c r="W11574" t="s">
        <v>40488</v>
      </c>
      <c r="X11574" t="s">
        <v>41266</v>
      </c>
    </row>
    <row r="11575" spans="1:24">
      <c r="A11575">
        <f>HYPERLINK("https://www.philgeps.gov.ph/GEPSNONPILOT/Tender/SplashBidNoticeAbstractUI.aspx?menuIndex=3&amp;refID=7051816&amp;Result=3","7051816")</f>
        <v>0</v>
      </c>
      <c r="B11575" t="s">
        <v>1589</v>
      </c>
      <c r="C11575" t="s">
        <v>14454</v>
      </c>
      <c r="D11575" t="s">
        <v>16643</v>
      </c>
      <c r="E11575" t="s">
        <v>26717</v>
      </c>
      <c r="F11575" t="s">
        <v>28669</v>
      </c>
      <c r="G11575" t="s">
        <v>28675</v>
      </c>
      <c r="H11575" t="s">
        <v>28686</v>
      </c>
      <c r="I11575" t="s">
        <v>28689</v>
      </c>
      <c r="J11575" t="s">
        <v>28836</v>
      </c>
      <c r="K11575" t="s">
        <v>37209</v>
      </c>
      <c r="L11575" t="s">
        <v>1589</v>
      </c>
      <c r="M11575" t="s">
        <v>39172</v>
      </c>
      <c r="N11575" t="s">
        <v>41249</v>
      </c>
      <c r="O11575" t="s">
        <v>41250</v>
      </c>
      <c r="P11575">
        <v>0</v>
      </c>
      <c r="Q11575">
        <v>0</v>
      </c>
      <c r="R11575" t="s">
        <v>41265</v>
      </c>
      <c r="S11575" t="s">
        <v>41880</v>
      </c>
      <c r="T11575" t="s">
        <v>42764</v>
      </c>
      <c r="U11575" t="s">
        <v>52438</v>
      </c>
      <c r="V11575" t="s">
        <v>54734</v>
      </c>
      <c r="W11575" t="s">
        <v>39172</v>
      </c>
      <c r="X11575" t="s">
        <v>41266</v>
      </c>
    </row>
    <row r="11576" spans="1:24">
      <c r="A11576">
        <f>HYPERLINK("https://www.philgeps.gov.ph/GEPSNONPILOT/Tender/SplashBidNoticeAbstractUI.aspx?menuIndex=3&amp;refID=7051809&amp;Result=3","7051809")</f>
        <v>0</v>
      </c>
      <c r="B11576" t="s">
        <v>3128</v>
      </c>
      <c r="C11576" t="s">
        <v>14455</v>
      </c>
      <c r="D11576" t="s">
        <v>16625</v>
      </c>
      <c r="E11576" t="s">
        <v>17060</v>
      </c>
      <c r="F11576" t="s">
        <v>28669</v>
      </c>
      <c r="G11576" t="s">
        <v>28675</v>
      </c>
      <c r="H11576" t="s">
        <v>28686</v>
      </c>
      <c r="I11576" t="s">
        <v>28689</v>
      </c>
      <c r="J11576" t="s">
        <v>29669</v>
      </c>
      <c r="K11576" t="s">
        <v>37221</v>
      </c>
      <c r="M11576" t="s">
        <v>40916</v>
      </c>
      <c r="N11576" t="s">
        <v>41249</v>
      </c>
      <c r="O11576" t="s">
        <v>41250</v>
      </c>
      <c r="P11576">
        <v>0</v>
      </c>
      <c r="Q11576">
        <v>0</v>
      </c>
      <c r="R11576" t="s">
        <v>41265</v>
      </c>
      <c r="S11576" t="s">
        <v>41880</v>
      </c>
      <c r="T11576" t="s">
        <v>42783</v>
      </c>
      <c r="U11576" t="s">
        <v>52481</v>
      </c>
      <c r="W11576" t="s">
        <v>40916</v>
      </c>
      <c r="X11576" t="s">
        <v>41266</v>
      </c>
    </row>
    <row r="11577" spans="1:24">
      <c r="A11577">
        <f>HYPERLINK("https://www.philgeps.gov.ph/GEPSNONPILOT/Tender/SplashBidNoticeAbstractUI.aspx?menuIndex=3&amp;refID=7051841&amp;Result=3","7051841")</f>
        <v>0</v>
      </c>
      <c r="B11577" t="s">
        <v>3133</v>
      </c>
      <c r="C11577" t="s">
        <v>14456</v>
      </c>
      <c r="E11577" t="s">
        <v>26718</v>
      </c>
      <c r="F11577" t="s">
        <v>28669</v>
      </c>
      <c r="G11577" t="s">
        <v>28675</v>
      </c>
      <c r="H11577" t="s">
        <v>9998</v>
      </c>
      <c r="I11577" t="s">
        <v>28728</v>
      </c>
      <c r="J11577" t="s">
        <v>35937</v>
      </c>
      <c r="K11577" t="s">
        <v>37209</v>
      </c>
      <c r="M11577" t="s">
        <v>40921</v>
      </c>
      <c r="N11577" t="s">
        <v>41249</v>
      </c>
      <c r="O11577" t="s">
        <v>41250</v>
      </c>
      <c r="P11577">
        <v>0</v>
      </c>
      <c r="Q11577">
        <v>2</v>
      </c>
      <c r="R11577" t="s">
        <v>41265</v>
      </c>
      <c r="S11577" t="s">
        <v>41880</v>
      </c>
      <c r="T11577" t="s">
        <v>42760</v>
      </c>
      <c r="U11577" t="s">
        <v>52482</v>
      </c>
      <c r="V11577" t="s">
        <v>55631</v>
      </c>
      <c r="W11577" t="s">
        <v>40921</v>
      </c>
      <c r="X11577" t="s">
        <v>41266</v>
      </c>
    </row>
    <row r="11578" spans="1:24">
      <c r="A11578">
        <f>HYPERLINK("https://www.philgeps.gov.ph/GEPSNONPILOT/Tender/SplashBidNoticeAbstractUI.aspx?menuIndex=3&amp;refID=7051840&amp;Result=3","7051840")</f>
        <v>0</v>
      </c>
      <c r="B11578" t="s">
        <v>3134</v>
      </c>
      <c r="C11578" t="s">
        <v>14457</v>
      </c>
      <c r="D11578" t="s">
        <v>16608</v>
      </c>
      <c r="E11578" t="s">
        <v>26719</v>
      </c>
      <c r="F11578" t="s">
        <v>28669</v>
      </c>
      <c r="G11578" t="s">
        <v>28675</v>
      </c>
      <c r="H11578" t="s">
        <v>9998</v>
      </c>
      <c r="I11578" t="s">
        <v>28758</v>
      </c>
      <c r="J11578" t="s">
        <v>29112</v>
      </c>
      <c r="K11578" t="s">
        <v>37209</v>
      </c>
      <c r="M11578" t="s">
        <v>40922</v>
      </c>
      <c r="N11578" t="s">
        <v>41249</v>
      </c>
      <c r="O11578" t="s">
        <v>41250</v>
      </c>
      <c r="P11578">
        <v>0</v>
      </c>
      <c r="Q11578">
        <v>2</v>
      </c>
      <c r="R11578" t="s">
        <v>41265</v>
      </c>
      <c r="S11578" t="s">
        <v>41880</v>
      </c>
      <c r="T11578" t="s">
        <v>42764</v>
      </c>
      <c r="U11578" t="s">
        <v>52483</v>
      </c>
      <c r="V11578" t="s">
        <v>55632</v>
      </c>
      <c r="W11578" t="s">
        <v>40922</v>
      </c>
      <c r="X11578" t="s">
        <v>41266</v>
      </c>
    </row>
    <row r="11579" spans="1:24">
      <c r="A11579">
        <f>HYPERLINK("https://www.philgeps.gov.ph/GEPSNONPILOT/Tender/SplashBidNoticeAbstractUI.aspx?menuIndex=3&amp;refID=7051775&amp;Result=3","7051775")</f>
        <v>0</v>
      </c>
      <c r="B11579" t="s">
        <v>1148</v>
      </c>
      <c r="C11579" t="s">
        <v>14458</v>
      </c>
      <c r="E11579" t="s">
        <v>26720</v>
      </c>
      <c r="F11579" t="s">
        <v>28669</v>
      </c>
      <c r="G11579" t="s">
        <v>28675</v>
      </c>
      <c r="H11579" t="s">
        <v>9998</v>
      </c>
      <c r="I11579" t="s">
        <v>28736</v>
      </c>
      <c r="J11579" t="s">
        <v>35938</v>
      </c>
      <c r="K11579" t="s">
        <v>37209</v>
      </c>
      <c r="M11579" t="s">
        <v>38684</v>
      </c>
      <c r="N11579" t="s">
        <v>41249</v>
      </c>
      <c r="O11579" t="s">
        <v>41250</v>
      </c>
      <c r="P11579">
        <v>0</v>
      </c>
      <c r="Q11579">
        <v>4</v>
      </c>
      <c r="R11579" t="s">
        <v>41265</v>
      </c>
      <c r="S11579" t="s">
        <v>41880</v>
      </c>
      <c r="T11579" t="s">
        <v>42881</v>
      </c>
      <c r="U11579" t="s">
        <v>52452</v>
      </c>
      <c r="W11579" t="s">
        <v>38684</v>
      </c>
      <c r="X11579" t="s">
        <v>41266</v>
      </c>
    </row>
    <row r="11580" spans="1:24">
      <c r="A11580">
        <f>HYPERLINK("https://www.philgeps.gov.ph/GEPSNONPILOT/Tender/SplashBidNoticeAbstractUI.aspx?menuIndex=3&amp;refID=7051823&amp;Result=3","7051823")</f>
        <v>0</v>
      </c>
      <c r="B11580" t="s">
        <v>3135</v>
      </c>
      <c r="C11580" t="s">
        <v>14459</v>
      </c>
      <c r="D11580" t="s">
        <v>16667</v>
      </c>
      <c r="E11580" t="s">
        <v>26721</v>
      </c>
      <c r="F11580" t="s">
        <v>28669</v>
      </c>
      <c r="G11580" t="s">
        <v>28675</v>
      </c>
      <c r="H11580" t="s">
        <v>9998</v>
      </c>
      <c r="I11580" t="s">
        <v>11593</v>
      </c>
      <c r="J11580" t="s">
        <v>33852</v>
      </c>
      <c r="K11580" t="s">
        <v>37206</v>
      </c>
      <c r="M11580" t="s">
        <v>40923</v>
      </c>
      <c r="N11580" t="s">
        <v>41249</v>
      </c>
      <c r="O11580" t="s">
        <v>41250</v>
      </c>
      <c r="Q11580">
        <v>11</v>
      </c>
      <c r="R11580" t="s">
        <v>41265</v>
      </c>
      <c r="S11580" t="s">
        <v>41942</v>
      </c>
      <c r="T11580" t="s">
        <v>42788</v>
      </c>
      <c r="U11580" t="s">
        <v>52484</v>
      </c>
      <c r="W11580" t="s">
        <v>40923</v>
      </c>
      <c r="X11580" t="s">
        <v>41266</v>
      </c>
    </row>
    <row r="11581" spans="1:24">
      <c r="A11581">
        <f>HYPERLINK("https://www.philgeps.gov.ph/GEPSNONPILOT/Tender/SplashBidNoticeAbstractUI.aspx?menuIndex=3&amp;refID=7051703&amp;Result=3","7051703")</f>
        <v>0</v>
      </c>
      <c r="B11581" t="s">
        <v>3128</v>
      </c>
      <c r="C11581" t="s">
        <v>14460</v>
      </c>
      <c r="D11581" t="s">
        <v>16625</v>
      </c>
      <c r="E11581" t="s">
        <v>17049</v>
      </c>
      <c r="F11581" t="s">
        <v>28669</v>
      </c>
      <c r="G11581" t="s">
        <v>28675</v>
      </c>
      <c r="H11581" t="s">
        <v>28686</v>
      </c>
      <c r="I11581" t="s">
        <v>28689</v>
      </c>
      <c r="J11581" t="s">
        <v>28924</v>
      </c>
      <c r="K11581" t="s">
        <v>37457</v>
      </c>
      <c r="M11581" t="s">
        <v>40916</v>
      </c>
      <c r="N11581" t="s">
        <v>41249</v>
      </c>
      <c r="O11581" t="s">
        <v>41250</v>
      </c>
      <c r="P11581">
        <v>0</v>
      </c>
      <c r="Q11581">
        <v>0</v>
      </c>
      <c r="R11581" t="s">
        <v>41265</v>
      </c>
      <c r="S11581" t="s">
        <v>41880</v>
      </c>
      <c r="T11581" t="s">
        <v>42783</v>
      </c>
      <c r="U11581" t="s">
        <v>52485</v>
      </c>
      <c r="W11581" t="s">
        <v>40916</v>
      </c>
      <c r="X11581" t="s">
        <v>41266</v>
      </c>
    </row>
    <row r="11582" spans="1:24">
      <c r="A11582">
        <f>HYPERLINK("https://www.philgeps.gov.ph/GEPSNONPILOT/Tender/SplashBidNoticeAbstractUI.aspx?menuIndex=3&amp;refID=7051802&amp;Result=3","7051802")</f>
        <v>0</v>
      </c>
      <c r="B11582" t="s">
        <v>3136</v>
      </c>
      <c r="C11582" t="s">
        <v>14461</v>
      </c>
      <c r="D11582" t="s">
        <v>16627</v>
      </c>
      <c r="E11582" t="s">
        <v>26722</v>
      </c>
      <c r="F11582" t="s">
        <v>28669</v>
      </c>
      <c r="G11582" t="s">
        <v>28675</v>
      </c>
      <c r="H11582" t="s">
        <v>28686</v>
      </c>
      <c r="I11582" t="s">
        <v>28689</v>
      </c>
      <c r="J11582" t="s">
        <v>28878</v>
      </c>
      <c r="K11582" t="s">
        <v>37205</v>
      </c>
      <c r="M11582" t="s">
        <v>40924</v>
      </c>
      <c r="N11582" t="s">
        <v>41249</v>
      </c>
      <c r="O11582" t="s">
        <v>41250</v>
      </c>
      <c r="P11582">
        <v>0</v>
      </c>
      <c r="Q11582">
        <v>1</v>
      </c>
      <c r="R11582" t="s">
        <v>41265</v>
      </c>
      <c r="S11582" t="s">
        <v>41880</v>
      </c>
      <c r="T11582" t="s">
        <v>42714</v>
      </c>
      <c r="U11582" t="s">
        <v>52486</v>
      </c>
      <c r="W11582" t="s">
        <v>40924</v>
      </c>
      <c r="X11582" t="s">
        <v>41266</v>
      </c>
    </row>
    <row r="11583" spans="1:24">
      <c r="A11583">
        <f>HYPERLINK("https://www.philgeps.gov.ph/GEPSNONPILOT/Tender/SplashBidNoticeAbstractUI.aspx?menuIndex=3&amp;refID=7051797&amp;Result=3","7051797")</f>
        <v>0</v>
      </c>
      <c r="B11583" t="s">
        <v>267</v>
      </c>
      <c r="C11583" t="s">
        <v>14462</v>
      </c>
      <c r="D11583" t="s">
        <v>16679</v>
      </c>
      <c r="E11583" t="s">
        <v>26723</v>
      </c>
      <c r="F11583" t="s">
        <v>28669</v>
      </c>
      <c r="G11583" t="s">
        <v>28675</v>
      </c>
      <c r="H11583" t="s">
        <v>28686</v>
      </c>
      <c r="I11583" t="s">
        <v>28689</v>
      </c>
      <c r="J11583" t="s">
        <v>28847</v>
      </c>
      <c r="K11583" t="s">
        <v>37269</v>
      </c>
      <c r="M11583" t="s">
        <v>38133</v>
      </c>
      <c r="N11583" t="s">
        <v>41249</v>
      </c>
      <c r="O11583" t="s">
        <v>41250</v>
      </c>
      <c r="P11583">
        <v>0</v>
      </c>
      <c r="Q11583">
        <v>21</v>
      </c>
      <c r="R11583" t="s">
        <v>41265</v>
      </c>
      <c r="S11583" t="s">
        <v>41880</v>
      </c>
      <c r="T11583" t="s">
        <v>42686</v>
      </c>
      <c r="U11583" t="s">
        <v>43621</v>
      </c>
      <c r="V11583" t="s">
        <v>55428</v>
      </c>
      <c r="W11583" t="s">
        <v>55923</v>
      </c>
      <c r="X11583" t="s">
        <v>41266</v>
      </c>
    </row>
    <row r="11584" spans="1:24">
      <c r="A11584">
        <f>HYPERLINK("https://www.philgeps.gov.ph/GEPSNONPILOT/Tender/SplashBidNoticeAbstractUI.aspx?menuIndex=3&amp;refID=7051692&amp;Result=3","7051692")</f>
        <v>0</v>
      </c>
      <c r="B11584" t="s">
        <v>1384</v>
      </c>
      <c r="C11584" t="s">
        <v>14463</v>
      </c>
      <c r="D11584" t="s">
        <v>16616</v>
      </c>
      <c r="E11584" t="s">
        <v>26724</v>
      </c>
      <c r="F11584" t="s">
        <v>28669</v>
      </c>
      <c r="G11584" t="s">
        <v>28675</v>
      </c>
      <c r="H11584" t="s">
        <v>28686</v>
      </c>
      <c r="I11584" t="s">
        <v>28689</v>
      </c>
      <c r="J11584" t="s">
        <v>28924</v>
      </c>
      <c r="K11584" t="s">
        <v>37209</v>
      </c>
      <c r="M11584" t="s">
        <v>38945</v>
      </c>
      <c r="N11584" t="s">
        <v>41249</v>
      </c>
      <c r="O11584" t="s">
        <v>41250</v>
      </c>
      <c r="P11584">
        <v>0</v>
      </c>
      <c r="Q11584">
        <v>0</v>
      </c>
      <c r="R11584" t="s">
        <v>41265</v>
      </c>
      <c r="S11584" t="s">
        <v>41880</v>
      </c>
      <c r="T11584" t="s">
        <v>42690</v>
      </c>
      <c r="U11584" t="s">
        <v>52487</v>
      </c>
      <c r="W11584" t="s">
        <v>38945</v>
      </c>
      <c r="X11584" t="s">
        <v>41266</v>
      </c>
    </row>
    <row r="11585" spans="1:24">
      <c r="A11585">
        <f>HYPERLINK("https://www.philgeps.gov.ph/GEPSNONPILOT/Tender/SplashBidNoticeAbstractUI.aspx?menuIndex=3&amp;refID=7051794&amp;Result=3","7051794")</f>
        <v>0</v>
      </c>
      <c r="B11585" t="s">
        <v>1589</v>
      </c>
      <c r="C11585" t="s">
        <v>14464</v>
      </c>
      <c r="D11585" t="s">
        <v>16643</v>
      </c>
      <c r="E11585" t="s">
        <v>26725</v>
      </c>
      <c r="F11585" t="s">
        <v>28669</v>
      </c>
      <c r="G11585" t="s">
        <v>28675</v>
      </c>
      <c r="H11585" t="s">
        <v>28686</v>
      </c>
      <c r="I11585" t="s">
        <v>28689</v>
      </c>
      <c r="J11585" t="s">
        <v>29112</v>
      </c>
      <c r="K11585" t="s">
        <v>37209</v>
      </c>
      <c r="L11585" t="s">
        <v>1589</v>
      </c>
      <c r="M11585" t="s">
        <v>39172</v>
      </c>
      <c r="N11585" t="s">
        <v>41249</v>
      </c>
      <c r="O11585" t="s">
        <v>41250</v>
      </c>
      <c r="P11585">
        <v>0</v>
      </c>
      <c r="Q11585">
        <v>0</v>
      </c>
      <c r="R11585" t="s">
        <v>41265</v>
      </c>
      <c r="S11585" t="s">
        <v>41880</v>
      </c>
      <c r="T11585" t="s">
        <v>42764</v>
      </c>
      <c r="U11585" t="s">
        <v>52438</v>
      </c>
      <c r="V11585" t="s">
        <v>54734</v>
      </c>
      <c r="W11585" t="s">
        <v>39172</v>
      </c>
      <c r="X11585" t="s">
        <v>41266</v>
      </c>
    </row>
    <row r="11586" spans="1:24">
      <c r="A11586">
        <f>HYPERLINK("https://www.philgeps.gov.ph/GEPSNONPILOT/Tender/SplashBidNoticeAbstractUI.aspx?menuIndex=3&amp;refID=7051789&amp;Result=3","7051789")</f>
        <v>0</v>
      </c>
      <c r="B11586" t="s">
        <v>492</v>
      </c>
      <c r="C11586" t="s">
        <v>14465</v>
      </c>
      <c r="D11586" t="s">
        <v>16621</v>
      </c>
      <c r="E11586" t="s">
        <v>26726</v>
      </c>
      <c r="F11586" t="s">
        <v>28669</v>
      </c>
      <c r="G11586" t="s">
        <v>28675</v>
      </c>
      <c r="H11586" t="s">
        <v>9998</v>
      </c>
      <c r="I11586" t="s">
        <v>28695</v>
      </c>
      <c r="J11586" t="s">
        <v>28878</v>
      </c>
      <c r="K11586" t="s">
        <v>37227</v>
      </c>
      <c r="M11586" t="s">
        <v>37981</v>
      </c>
      <c r="N11586" t="s">
        <v>41249</v>
      </c>
      <c r="O11586" t="s">
        <v>41250</v>
      </c>
      <c r="P11586">
        <v>0</v>
      </c>
      <c r="Q11586">
        <v>0</v>
      </c>
      <c r="R11586" t="s">
        <v>41265</v>
      </c>
      <c r="S11586" t="s">
        <v>41880</v>
      </c>
      <c r="T11586" t="s">
        <v>42714</v>
      </c>
      <c r="U11586" t="s">
        <v>52488</v>
      </c>
      <c r="W11586" t="s">
        <v>37981</v>
      </c>
      <c r="X11586" t="s">
        <v>41266</v>
      </c>
    </row>
    <row r="11587" spans="1:24">
      <c r="A11587">
        <f>HYPERLINK("https://www.philgeps.gov.ph/GEPSNONPILOT/Tender/SplashBidNoticeAbstractUI.aspx?menuIndex=3&amp;refID=7051784&amp;Result=3","7051784")</f>
        <v>0</v>
      </c>
      <c r="B11587" t="s">
        <v>980</v>
      </c>
      <c r="C11587" t="s">
        <v>14466</v>
      </c>
      <c r="D11587" t="s">
        <v>16627</v>
      </c>
      <c r="E11587" t="s">
        <v>17060</v>
      </c>
      <c r="F11587" t="s">
        <v>28669</v>
      </c>
      <c r="G11587" t="s">
        <v>28675</v>
      </c>
      <c r="H11587" t="s">
        <v>9998</v>
      </c>
      <c r="I11587" t="s">
        <v>28687</v>
      </c>
      <c r="J11587" t="s">
        <v>28823</v>
      </c>
      <c r="K11587" t="s">
        <v>37205</v>
      </c>
      <c r="M11587" t="s">
        <v>38505</v>
      </c>
      <c r="N11587" t="s">
        <v>41249</v>
      </c>
      <c r="O11587" t="s">
        <v>41250</v>
      </c>
      <c r="P11587">
        <v>0</v>
      </c>
      <c r="Q11587">
        <v>3</v>
      </c>
      <c r="R11587" t="s">
        <v>41265</v>
      </c>
      <c r="S11587" t="s">
        <v>41880</v>
      </c>
      <c r="T11587" t="s">
        <v>42714</v>
      </c>
      <c r="U11587" t="s">
        <v>52489</v>
      </c>
      <c r="W11587" t="s">
        <v>38505</v>
      </c>
      <c r="X11587" t="s">
        <v>41266</v>
      </c>
    </row>
    <row r="11588" spans="1:24">
      <c r="A11588">
        <f>HYPERLINK("https://www.philgeps.gov.ph/GEPSNONPILOT/Tender/SplashBidNoticeAbstractUI.aspx?menuIndex=3&amp;refID=7051850&amp;Result=3","7051850")</f>
        <v>0</v>
      </c>
      <c r="B11588" t="s">
        <v>3128</v>
      </c>
      <c r="C11588" t="s">
        <v>14467</v>
      </c>
      <c r="D11588" t="s">
        <v>16625</v>
      </c>
      <c r="E11588" t="s">
        <v>18419</v>
      </c>
      <c r="F11588" t="s">
        <v>28669</v>
      </c>
      <c r="G11588" t="s">
        <v>28675</v>
      </c>
      <c r="H11588" t="s">
        <v>28686</v>
      </c>
      <c r="I11588" t="s">
        <v>28689</v>
      </c>
      <c r="J11588" t="s">
        <v>34090</v>
      </c>
      <c r="K11588" t="s">
        <v>37213</v>
      </c>
      <c r="M11588" t="s">
        <v>40916</v>
      </c>
      <c r="N11588" t="s">
        <v>41249</v>
      </c>
      <c r="O11588" t="s">
        <v>41250</v>
      </c>
      <c r="P11588">
        <v>0</v>
      </c>
      <c r="Q11588">
        <v>0</v>
      </c>
      <c r="R11588" t="s">
        <v>41265</v>
      </c>
      <c r="S11588" t="s">
        <v>41880</v>
      </c>
      <c r="T11588" t="s">
        <v>42783</v>
      </c>
      <c r="U11588" t="s">
        <v>52490</v>
      </c>
      <c r="W11588" t="s">
        <v>40916</v>
      </c>
      <c r="X11588" t="s">
        <v>41266</v>
      </c>
    </row>
    <row r="11589" spans="1:24">
      <c r="A11589">
        <f>HYPERLINK("https://www.philgeps.gov.ph/GEPSNONPILOT/Tender/SplashBidNoticeAbstractUI.aspx?menuIndex=3&amp;refID=7051824&amp;Result=3","7051824")</f>
        <v>0</v>
      </c>
      <c r="B11589" t="s">
        <v>3124</v>
      </c>
      <c r="C11589" t="s">
        <v>14468</v>
      </c>
      <c r="D11589" t="s">
        <v>16639</v>
      </c>
      <c r="E11589" t="s">
        <v>20787</v>
      </c>
      <c r="F11589" t="s">
        <v>28669</v>
      </c>
      <c r="G11589" t="s">
        <v>28675</v>
      </c>
      <c r="H11589" t="s">
        <v>28686</v>
      </c>
      <c r="I11589" t="s">
        <v>28689</v>
      </c>
      <c r="J11589" t="s">
        <v>29112</v>
      </c>
      <c r="K11589" t="s">
        <v>37213</v>
      </c>
      <c r="M11589" t="s">
        <v>40912</v>
      </c>
      <c r="N11589" t="s">
        <v>41249</v>
      </c>
      <c r="O11589" t="s">
        <v>41250</v>
      </c>
      <c r="P11589">
        <v>0</v>
      </c>
      <c r="Q11589">
        <v>2</v>
      </c>
      <c r="R11589" t="s">
        <v>41265</v>
      </c>
      <c r="S11589" t="s">
        <v>41880</v>
      </c>
      <c r="T11589" t="s">
        <v>42999</v>
      </c>
      <c r="U11589" t="s">
        <v>52477</v>
      </c>
      <c r="W11589" t="s">
        <v>40912</v>
      </c>
      <c r="X11589" t="s">
        <v>41266</v>
      </c>
    </row>
    <row r="11590" spans="1:24">
      <c r="A11590">
        <f>HYPERLINK("https://www.philgeps.gov.ph/GEPSNONPILOT/Tender/SplashBidNoticeAbstractUI.aspx?menuIndex=3&amp;refID=7051893&amp;Result=3","7051893")</f>
        <v>0</v>
      </c>
      <c r="B11590" t="s">
        <v>3137</v>
      </c>
      <c r="C11590" t="s">
        <v>14469</v>
      </c>
      <c r="D11590" t="s">
        <v>16621</v>
      </c>
      <c r="E11590" t="s">
        <v>26727</v>
      </c>
      <c r="F11590" t="s">
        <v>28669</v>
      </c>
      <c r="G11590" t="s">
        <v>28675</v>
      </c>
      <c r="H11590" t="s">
        <v>9998</v>
      </c>
      <c r="I11590" t="s">
        <v>3718</v>
      </c>
      <c r="J11590" t="s">
        <v>29281</v>
      </c>
      <c r="K11590" t="s">
        <v>37205</v>
      </c>
      <c r="M11590" t="s">
        <v>40925</v>
      </c>
      <c r="N11590" t="s">
        <v>41249</v>
      </c>
      <c r="O11590" t="s">
        <v>41250</v>
      </c>
      <c r="P11590">
        <v>0</v>
      </c>
      <c r="Q11590">
        <v>5</v>
      </c>
      <c r="R11590" t="s">
        <v>41265</v>
      </c>
      <c r="S11590" t="s">
        <v>41880</v>
      </c>
      <c r="T11590" t="s">
        <v>42687</v>
      </c>
      <c r="U11590" t="s">
        <v>52491</v>
      </c>
      <c r="W11590" t="s">
        <v>40925</v>
      </c>
      <c r="X11590" t="s">
        <v>41266</v>
      </c>
    </row>
    <row r="11591" spans="1:24">
      <c r="A11591">
        <f>HYPERLINK("https://www.philgeps.gov.ph/GEPSNONPILOT/Tender/SplashBidNoticeAbstractUI.aspx?menuIndex=3&amp;refID=7051818&amp;Result=3","7051818")</f>
        <v>0</v>
      </c>
      <c r="B11591" t="s">
        <v>2764</v>
      </c>
      <c r="C11591" t="s">
        <v>14470</v>
      </c>
      <c r="D11591" t="s">
        <v>16654</v>
      </c>
      <c r="E11591" t="s">
        <v>14470</v>
      </c>
      <c r="F11591" t="s">
        <v>28669</v>
      </c>
      <c r="G11591" t="s">
        <v>28676</v>
      </c>
      <c r="H11591" t="s">
        <v>9998</v>
      </c>
      <c r="I11591" t="s">
        <v>28695</v>
      </c>
      <c r="J11591" t="s">
        <v>35939</v>
      </c>
      <c r="K11591" t="s">
        <v>37210</v>
      </c>
      <c r="M11591" t="s">
        <v>40484</v>
      </c>
      <c r="N11591" t="s">
        <v>41249</v>
      </c>
      <c r="O11591" t="s">
        <v>41250</v>
      </c>
      <c r="P11591">
        <v>0</v>
      </c>
      <c r="Q11591">
        <v>0</v>
      </c>
      <c r="R11591" t="s">
        <v>41265</v>
      </c>
      <c r="S11591" t="s">
        <v>41880</v>
      </c>
      <c r="T11591" t="s">
        <v>42764</v>
      </c>
      <c r="U11591" t="s">
        <v>52492</v>
      </c>
      <c r="W11591" t="s">
        <v>40484</v>
      </c>
      <c r="X11591" t="s">
        <v>41266</v>
      </c>
    </row>
    <row r="11592" spans="1:24">
      <c r="A11592">
        <f>HYPERLINK("https://www.philgeps.gov.ph/GEPSNONPILOT/Tender/SplashBidNoticeAbstractUI.aspx?menuIndex=3&amp;refID=7051886&amp;Result=3","7051886")</f>
        <v>0</v>
      </c>
      <c r="B11592" t="s">
        <v>1148</v>
      </c>
      <c r="C11592" t="s">
        <v>14471</v>
      </c>
      <c r="E11592" t="s">
        <v>26728</v>
      </c>
      <c r="F11592" t="s">
        <v>28669</v>
      </c>
      <c r="G11592" t="s">
        <v>28675</v>
      </c>
      <c r="H11592" t="s">
        <v>9998</v>
      </c>
      <c r="I11592" t="s">
        <v>28706</v>
      </c>
      <c r="J11592" t="s">
        <v>35940</v>
      </c>
      <c r="K11592" t="s">
        <v>37209</v>
      </c>
      <c r="M11592" t="s">
        <v>38684</v>
      </c>
      <c r="N11592" t="s">
        <v>41249</v>
      </c>
      <c r="O11592" t="s">
        <v>41250</v>
      </c>
      <c r="P11592">
        <v>0</v>
      </c>
      <c r="Q11592">
        <v>1</v>
      </c>
      <c r="R11592" t="s">
        <v>41265</v>
      </c>
      <c r="S11592" t="s">
        <v>41880</v>
      </c>
      <c r="T11592" t="s">
        <v>42881</v>
      </c>
      <c r="U11592" t="s">
        <v>52452</v>
      </c>
      <c r="W11592" t="s">
        <v>38684</v>
      </c>
      <c r="X11592" t="s">
        <v>41266</v>
      </c>
    </row>
    <row r="11593" spans="1:24">
      <c r="A11593">
        <f>HYPERLINK("https://www.philgeps.gov.ph/GEPSNONPILOT/Tender/SplashBidNoticeAbstractUI.aspx?menuIndex=3&amp;refID=7051884&amp;Result=3","7051884")</f>
        <v>0</v>
      </c>
      <c r="B11593" t="s">
        <v>782</v>
      </c>
      <c r="C11593" t="s">
        <v>14472</v>
      </c>
      <c r="D11593" t="s">
        <v>16658</v>
      </c>
      <c r="E11593" t="s">
        <v>26729</v>
      </c>
      <c r="F11593" t="s">
        <v>28669</v>
      </c>
      <c r="G11593" t="s">
        <v>28675</v>
      </c>
      <c r="H11593" t="s">
        <v>9998</v>
      </c>
      <c r="I11593" t="s">
        <v>28687</v>
      </c>
      <c r="J11593" t="s">
        <v>29053</v>
      </c>
      <c r="K11593" t="s">
        <v>37206</v>
      </c>
      <c r="M11593" t="s">
        <v>38296</v>
      </c>
      <c r="N11593" t="s">
        <v>41249</v>
      </c>
      <c r="O11593" t="s">
        <v>41250</v>
      </c>
      <c r="P11593">
        <v>0</v>
      </c>
      <c r="Q11593">
        <v>4</v>
      </c>
      <c r="R11593" t="s">
        <v>41265</v>
      </c>
      <c r="S11593" t="s">
        <v>41880</v>
      </c>
      <c r="T11593" t="s">
        <v>42836</v>
      </c>
      <c r="U11593" t="s">
        <v>52493</v>
      </c>
      <c r="W11593" t="s">
        <v>38296</v>
      </c>
      <c r="X11593" t="s">
        <v>41266</v>
      </c>
    </row>
    <row r="11594" spans="1:24">
      <c r="A11594">
        <f>HYPERLINK("https://www.philgeps.gov.ph/GEPSNONPILOT/Tender/SplashBidNoticeAbstractUI.aspx?menuIndex=3&amp;refID=7051800&amp;Result=3","7051800")</f>
        <v>0</v>
      </c>
      <c r="B11594" t="s">
        <v>145</v>
      </c>
      <c r="C11594" t="s">
        <v>14473</v>
      </c>
      <c r="D11594" t="s">
        <v>16619</v>
      </c>
      <c r="E11594" t="s">
        <v>26730</v>
      </c>
      <c r="F11594" t="s">
        <v>28669</v>
      </c>
      <c r="G11594" t="s">
        <v>28675</v>
      </c>
      <c r="H11594" t="s">
        <v>9998</v>
      </c>
      <c r="I11594" t="s">
        <v>28688</v>
      </c>
      <c r="J11594" t="s">
        <v>35941</v>
      </c>
      <c r="K11594" t="s">
        <v>37206</v>
      </c>
      <c r="M11594" t="s">
        <v>40818</v>
      </c>
      <c r="N11594" t="s">
        <v>41249</v>
      </c>
      <c r="O11594" t="s">
        <v>41250</v>
      </c>
      <c r="Q11594">
        <v>7</v>
      </c>
      <c r="R11594" t="s">
        <v>41265</v>
      </c>
      <c r="S11594" t="s">
        <v>41943</v>
      </c>
      <c r="T11594" t="s">
        <v>42714</v>
      </c>
      <c r="U11594" t="s">
        <v>52494</v>
      </c>
      <c r="V11594" t="s">
        <v>55536</v>
      </c>
      <c r="W11594" t="s">
        <v>40818</v>
      </c>
      <c r="X11594" t="s">
        <v>41266</v>
      </c>
    </row>
    <row r="11595" spans="1:24">
      <c r="A11595">
        <f>HYPERLINK("https://www.philgeps.gov.ph/GEPSNONPILOT/Tender/SplashBidNoticeAbstractUI.aspx?menuIndex=3&amp;refID=7051790&amp;Result=3","7051790")</f>
        <v>0</v>
      </c>
      <c r="B11595" t="s">
        <v>1050</v>
      </c>
      <c r="C11595" t="s">
        <v>14474</v>
      </c>
      <c r="D11595" t="s">
        <v>16648</v>
      </c>
      <c r="E11595" t="s">
        <v>26731</v>
      </c>
      <c r="F11595" t="s">
        <v>28669</v>
      </c>
      <c r="G11595" t="s">
        <v>28675</v>
      </c>
      <c r="H11595" t="s">
        <v>9998</v>
      </c>
      <c r="I11595" t="s">
        <v>28687</v>
      </c>
      <c r="J11595" t="s">
        <v>28845</v>
      </c>
      <c r="K11595" t="s">
        <v>37204</v>
      </c>
      <c r="M11595" t="s">
        <v>38581</v>
      </c>
      <c r="N11595" t="s">
        <v>41249</v>
      </c>
      <c r="O11595" t="s">
        <v>41250</v>
      </c>
      <c r="P11595">
        <v>0</v>
      </c>
      <c r="Q11595">
        <v>0</v>
      </c>
      <c r="R11595" t="s">
        <v>41265</v>
      </c>
      <c r="S11595" t="s">
        <v>41880</v>
      </c>
      <c r="T11595" t="s">
        <v>42733</v>
      </c>
      <c r="U11595" t="s">
        <v>52495</v>
      </c>
      <c r="W11595" t="s">
        <v>38581</v>
      </c>
      <c r="X11595" t="s">
        <v>41266</v>
      </c>
    </row>
    <row r="11596" spans="1:24">
      <c r="A11596">
        <f>HYPERLINK("https://www.philgeps.gov.ph/GEPSNONPILOT/Tender/SplashBidNoticeAbstractUI.aspx?menuIndex=3&amp;refID=7051882&amp;Result=3","7051882")</f>
        <v>0</v>
      </c>
      <c r="B11596" t="s">
        <v>2801</v>
      </c>
      <c r="C11596" t="s">
        <v>14475</v>
      </c>
      <c r="E11596" t="s">
        <v>26732</v>
      </c>
      <c r="F11596" t="s">
        <v>28669</v>
      </c>
      <c r="G11596" t="s">
        <v>28675</v>
      </c>
      <c r="H11596" t="s">
        <v>28686</v>
      </c>
      <c r="I11596" t="s">
        <v>28689</v>
      </c>
      <c r="J11596" t="s">
        <v>35942</v>
      </c>
      <c r="K11596" t="s">
        <v>37209</v>
      </c>
      <c r="M11596" t="s">
        <v>40527</v>
      </c>
      <c r="N11596" t="s">
        <v>41249</v>
      </c>
      <c r="O11596" t="s">
        <v>41250</v>
      </c>
      <c r="Q11596">
        <v>3</v>
      </c>
      <c r="R11596" t="s">
        <v>41265</v>
      </c>
      <c r="S11596" t="s">
        <v>41944</v>
      </c>
      <c r="T11596" t="s">
        <v>42661</v>
      </c>
      <c r="U11596" t="s">
        <v>52496</v>
      </c>
      <c r="V11596" t="s">
        <v>55633</v>
      </c>
      <c r="W11596" t="s">
        <v>40527</v>
      </c>
      <c r="X11596" t="s">
        <v>41266</v>
      </c>
    </row>
    <row r="11597" spans="1:24">
      <c r="A11597">
        <f>HYPERLINK("https://www.philgeps.gov.ph/GEPSNONPILOT/Tender/SplashBidNoticeAbstractUI.aspx?menuIndex=3&amp;refID=7051942&amp;Result=3","7051942")</f>
        <v>0</v>
      </c>
      <c r="B11597" t="s">
        <v>3120</v>
      </c>
      <c r="C11597" t="s">
        <v>14476</v>
      </c>
      <c r="D11597" t="s">
        <v>16621</v>
      </c>
      <c r="E11597" t="s">
        <v>17407</v>
      </c>
      <c r="F11597" t="s">
        <v>28669</v>
      </c>
      <c r="G11597" t="s">
        <v>28675</v>
      </c>
      <c r="H11597" t="s">
        <v>9998</v>
      </c>
      <c r="I11597" t="s">
        <v>28687</v>
      </c>
      <c r="J11597" t="s">
        <v>28847</v>
      </c>
      <c r="K11597" t="s">
        <v>37209</v>
      </c>
      <c r="M11597" t="s">
        <v>40908</v>
      </c>
      <c r="N11597" t="s">
        <v>41249</v>
      </c>
      <c r="O11597" t="s">
        <v>41250</v>
      </c>
      <c r="P11597">
        <v>0</v>
      </c>
      <c r="Q11597">
        <v>5</v>
      </c>
      <c r="R11597" t="s">
        <v>41265</v>
      </c>
      <c r="S11597" t="s">
        <v>41880</v>
      </c>
      <c r="T11597" t="s">
        <v>42714</v>
      </c>
      <c r="U11597" t="s">
        <v>52497</v>
      </c>
      <c r="W11597" t="s">
        <v>40908</v>
      </c>
      <c r="X11597" t="s">
        <v>41266</v>
      </c>
    </row>
    <row r="11598" spans="1:24">
      <c r="A11598">
        <f>HYPERLINK("https://www.philgeps.gov.ph/GEPSNONPILOT/Tender/SplashBidNoticeAbstractUI.aspx?menuIndex=3&amp;refID=7051929&amp;Result=3","7051929")</f>
        <v>0</v>
      </c>
      <c r="B11598" t="s">
        <v>1214</v>
      </c>
      <c r="C11598" t="s">
        <v>14477</v>
      </c>
      <c r="D11598" t="s">
        <v>16658</v>
      </c>
      <c r="E11598" t="s">
        <v>26733</v>
      </c>
      <c r="F11598" t="s">
        <v>28669</v>
      </c>
      <c r="G11598" t="s">
        <v>28675</v>
      </c>
      <c r="H11598" t="s">
        <v>28686</v>
      </c>
      <c r="I11598" t="s">
        <v>28689</v>
      </c>
      <c r="J11598" t="s">
        <v>35943</v>
      </c>
      <c r="K11598" t="s">
        <v>37209</v>
      </c>
      <c r="M11598" t="s">
        <v>38755</v>
      </c>
      <c r="N11598" t="s">
        <v>41249</v>
      </c>
      <c r="O11598" t="s">
        <v>41250</v>
      </c>
      <c r="P11598">
        <v>0</v>
      </c>
      <c r="Q11598">
        <v>0</v>
      </c>
      <c r="R11598" t="s">
        <v>41265</v>
      </c>
      <c r="S11598" t="s">
        <v>41880</v>
      </c>
      <c r="T11598" t="s">
        <v>42694</v>
      </c>
      <c r="U11598" t="s">
        <v>45694</v>
      </c>
      <c r="W11598" t="s">
        <v>38755</v>
      </c>
      <c r="X11598" t="s">
        <v>41266</v>
      </c>
    </row>
    <row r="11599" spans="1:24">
      <c r="A11599">
        <f>HYPERLINK("https://www.philgeps.gov.ph/GEPSNONPILOT/Tender/SplashBidNoticeAbstractUI.aspx?menuIndex=3&amp;refID=7051887&amp;Result=3","7051887")</f>
        <v>0</v>
      </c>
      <c r="B11599" t="s">
        <v>2977</v>
      </c>
      <c r="C11599" t="s">
        <v>14478</v>
      </c>
      <c r="D11599" t="s">
        <v>16627</v>
      </c>
      <c r="E11599" t="s">
        <v>26734</v>
      </c>
      <c r="F11599" t="s">
        <v>28669</v>
      </c>
      <c r="G11599" t="s">
        <v>28675</v>
      </c>
      <c r="H11599" t="s">
        <v>9998</v>
      </c>
      <c r="I11599" t="s">
        <v>28743</v>
      </c>
      <c r="J11599" t="s">
        <v>29591</v>
      </c>
      <c r="K11599" t="s">
        <v>37206</v>
      </c>
      <c r="M11599" t="s">
        <v>40742</v>
      </c>
      <c r="N11599" t="s">
        <v>41249</v>
      </c>
      <c r="O11599" t="s">
        <v>41250</v>
      </c>
      <c r="P11599">
        <v>0</v>
      </c>
      <c r="Q11599">
        <v>0</v>
      </c>
      <c r="R11599" t="s">
        <v>41265</v>
      </c>
      <c r="S11599" t="s">
        <v>41880</v>
      </c>
      <c r="T11599" t="s">
        <v>42759</v>
      </c>
      <c r="U11599" t="s">
        <v>52498</v>
      </c>
      <c r="W11599" t="s">
        <v>40742</v>
      </c>
      <c r="X11599" t="s">
        <v>41266</v>
      </c>
    </row>
    <row r="11600" spans="1:24">
      <c r="A11600">
        <f>HYPERLINK("https://www.philgeps.gov.ph/GEPSNONPILOT/Tender/SplashBidNoticeAbstractUI.aspx?menuIndex=3&amp;refID=7051926&amp;Result=3","7051926")</f>
        <v>0</v>
      </c>
      <c r="B11600" t="s">
        <v>974</v>
      </c>
      <c r="C11600" t="s">
        <v>14479</v>
      </c>
      <c r="D11600" t="s">
        <v>16621</v>
      </c>
      <c r="E11600" t="s">
        <v>26735</v>
      </c>
      <c r="F11600" t="s">
        <v>28669</v>
      </c>
      <c r="G11600" t="s">
        <v>28675</v>
      </c>
      <c r="H11600" t="s">
        <v>9998</v>
      </c>
      <c r="I11600" t="s">
        <v>28708</v>
      </c>
      <c r="J11600" t="s">
        <v>32572</v>
      </c>
      <c r="K11600" t="s">
        <v>37205</v>
      </c>
      <c r="M11600" t="s">
        <v>39760</v>
      </c>
      <c r="N11600" t="s">
        <v>41249</v>
      </c>
      <c r="O11600" t="s">
        <v>41250</v>
      </c>
      <c r="P11600">
        <v>0</v>
      </c>
      <c r="Q11600">
        <v>7</v>
      </c>
      <c r="R11600" t="s">
        <v>41265</v>
      </c>
      <c r="S11600" t="s">
        <v>41880</v>
      </c>
      <c r="T11600" t="s">
        <v>42702</v>
      </c>
      <c r="U11600" t="s">
        <v>48477</v>
      </c>
      <c r="W11600" t="s">
        <v>39760</v>
      </c>
      <c r="X11600" t="s">
        <v>41266</v>
      </c>
    </row>
    <row r="11601" spans="1:24">
      <c r="A11601">
        <f>HYPERLINK("https://www.philgeps.gov.ph/GEPSNONPILOT/Tender/SplashBidNoticeAbstractUI.aspx?menuIndex=3&amp;refID=7051844&amp;Result=3","7051844")</f>
        <v>0</v>
      </c>
      <c r="B11601" t="s">
        <v>2764</v>
      </c>
      <c r="C11601" t="s">
        <v>14480</v>
      </c>
      <c r="D11601" t="s">
        <v>16654</v>
      </c>
      <c r="E11601" t="s">
        <v>14480</v>
      </c>
      <c r="F11601" t="s">
        <v>28669</v>
      </c>
      <c r="G11601" t="s">
        <v>28676</v>
      </c>
      <c r="H11601" t="s">
        <v>9998</v>
      </c>
      <c r="I11601" t="s">
        <v>28695</v>
      </c>
      <c r="J11601" t="s">
        <v>35944</v>
      </c>
      <c r="K11601" t="s">
        <v>37210</v>
      </c>
      <c r="M11601" t="s">
        <v>40484</v>
      </c>
      <c r="N11601" t="s">
        <v>41249</v>
      </c>
      <c r="O11601" t="s">
        <v>41250</v>
      </c>
      <c r="P11601">
        <v>0</v>
      </c>
      <c r="Q11601">
        <v>0</v>
      </c>
      <c r="R11601" t="s">
        <v>41265</v>
      </c>
      <c r="S11601" t="s">
        <v>41880</v>
      </c>
      <c r="T11601" t="s">
        <v>42764</v>
      </c>
      <c r="U11601" t="s">
        <v>52492</v>
      </c>
      <c r="W11601" t="s">
        <v>40484</v>
      </c>
      <c r="X11601" t="s">
        <v>41266</v>
      </c>
    </row>
    <row r="11602" spans="1:24">
      <c r="A11602">
        <f>HYPERLINK("https://www.philgeps.gov.ph/GEPSNONPILOT/Tender/SplashBidNoticeAbstractUI.aspx?menuIndex=3&amp;refID=7051896&amp;Result=3","7051896")</f>
        <v>0</v>
      </c>
      <c r="B11602" t="s">
        <v>3128</v>
      </c>
      <c r="C11602" t="s">
        <v>14481</v>
      </c>
      <c r="D11602" t="s">
        <v>16625</v>
      </c>
      <c r="E11602" t="s">
        <v>18443</v>
      </c>
      <c r="F11602" t="s">
        <v>28669</v>
      </c>
      <c r="G11602" t="s">
        <v>28675</v>
      </c>
      <c r="H11602" t="s">
        <v>28686</v>
      </c>
      <c r="I11602" t="s">
        <v>28689</v>
      </c>
      <c r="J11602" t="s">
        <v>35945</v>
      </c>
      <c r="K11602" t="s">
        <v>37399</v>
      </c>
      <c r="M11602" t="s">
        <v>40916</v>
      </c>
      <c r="N11602" t="s">
        <v>41249</v>
      </c>
      <c r="O11602" t="s">
        <v>41250</v>
      </c>
      <c r="P11602">
        <v>0</v>
      </c>
      <c r="Q11602">
        <v>0</v>
      </c>
      <c r="R11602" t="s">
        <v>41265</v>
      </c>
      <c r="S11602" t="s">
        <v>41880</v>
      </c>
      <c r="T11602" t="s">
        <v>42783</v>
      </c>
      <c r="U11602" t="s">
        <v>52490</v>
      </c>
      <c r="W11602" t="s">
        <v>40916</v>
      </c>
      <c r="X11602" t="s">
        <v>41266</v>
      </c>
    </row>
    <row r="11603" spans="1:24">
      <c r="A11603">
        <f>HYPERLINK("https://www.philgeps.gov.ph/GEPSNONPILOT/Tender/SplashBidNoticeAbstractUI.aspx?menuIndex=3&amp;refID=7051786&amp;Result=3","7051786")</f>
        <v>0</v>
      </c>
      <c r="B11603" t="s">
        <v>2906</v>
      </c>
      <c r="C11603" t="s">
        <v>14482</v>
      </c>
      <c r="D11603" t="s">
        <v>16660</v>
      </c>
      <c r="E11603" t="s">
        <v>19685</v>
      </c>
      <c r="F11603" t="s">
        <v>28669</v>
      </c>
      <c r="G11603" t="s">
        <v>28675</v>
      </c>
      <c r="H11603" t="s">
        <v>28686</v>
      </c>
      <c r="I11603" t="s">
        <v>28689</v>
      </c>
      <c r="J11603" t="s">
        <v>30289</v>
      </c>
      <c r="K11603" t="s">
        <v>37211</v>
      </c>
      <c r="M11603" t="s">
        <v>40654</v>
      </c>
      <c r="N11603" t="s">
        <v>41249</v>
      </c>
      <c r="O11603" t="s">
        <v>41250</v>
      </c>
      <c r="P11603">
        <v>0</v>
      </c>
      <c r="Q11603">
        <v>7</v>
      </c>
      <c r="R11603" t="s">
        <v>41265</v>
      </c>
      <c r="S11603" t="s">
        <v>41880</v>
      </c>
      <c r="T11603" t="s">
        <v>42714</v>
      </c>
      <c r="U11603" t="s">
        <v>52499</v>
      </c>
      <c r="V11603" t="s">
        <v>55634</v>
      </c>
      <c r="W11603" t="s">
        <v>40654</v>
      </c>
      <c r="X11603" t="s">
        <v>41266</v>
      </c>
    </row>
    <row r="11604" spans="1:24">
      <c r="A11604">
        <f>HYPERLINK("https://www.philgeps.gov.ph/GEPSNONPILOT/Tender/SplashBidNoticeAbstractUI.aspx?menuIndex=3&amp;refID=7051881&amp;Result=3","7051881")</f>
        <v>0</v>
      </c>
      <c r="B11604" t="s">
        <v>185</v>
      </c>
      <c r="C11604" t="s">
        <v>14483</v>
      </c>
      <c r="D11604" t="s">
        <v>16636</v>
      </c>
      <c r="E11604" t="s">
        <v>26736</v>
      </c>
      <c r="F11604" t="s">
        <v>28669</v>
      </c>
      <c r="G11604" t="s">
        <v>28675</v>
      </c>
      <c r="H11604" t="s">
        <v>9998</v>
      </c>
      <c r="I11604" t="s">
        <v>28687</v>
      </c>
      <c r="J11604" t="s">
        <v>29112</v>
      </c>
      <c r="K11604" t="s">
        <v>37205</v>
      </c>
      <c r="M11604" t="s">
        <v>37662</v>
      </c>
      <c r="N11604" t="s">
        <v>41249</v>
      </c>
      <c r="O11604" t="s">
        <v>41250</v>
      </c>
      <c r="P11604">
        <v>0</v>
      </c>
      <c r="Q11604">
        <v>1</v>
      </c>
      <c r="R11604" t="s">
        <v>41265</v>
      </c>
      <c r="S11604" t="s">
        <v>41880</v>
      </c>
      <c r="T11604" t="s">
        <v>42679</v>
      </c>
      <c r="U11604" t="s">
        <v>52500</v>
      </c>
      <c r="V11604" t="s">
        <v>55635</v>
      </c>
      <c r="W11604" t="s">
        <v>37662</v>
      </c>
      <c r="X11604" t="s">
        <v>41266</v>
      </c>
    </row>
    <row r="11605" spans="1:24">
      <c r="A11605">
        <f>HYPERLINK("https://www.philgeps.gov.ph/GEPSNONPILOT/Tender/SplashBidNoticeAbstractUI.aspx?menuIndex=3&amp;refID=7051888&amp;Result=3","7051888")</f>
        <v>0</v>
      </c>
      <c r="B11605" t="s">
        <v>3120</v>
      </c>
      <c r="C11605" t="s">
        <v>14484</v>
      </c>
      <c r="D11605" t="s">
        <v>16621</v>
      </c>
      <c r="E11605" t="s">
        <v>19365</v>
      </c>
      <c r="F11605" t="s">
        <v>28669</v>
      </c>
      <c r="G11605" t="s">
        <v>28675</v>
      </c>
      <c r="H11605" t="s">
        <v>9998</v>
      </c>
      <c r="I11605" t="s">
        <v>7352</v>
      </c>
      <c r="J11605" t="s">
        <v>35946</v>
      </c>
      <c r="K11605" t="s">
        <v>37209</v>
      </c>
      <c r="M11605" t="s">
        <v>40908</v>
      </c>
      <c r="N11605" t="s">
        <v>41249</v>
      </c>
      <c r="O11605" t="s">
        <v>41250</v>
      </c>
      <c r="P11605">
        <v>0</v>
      </c>
      <c r="Q11605">
        <v>1</v>
      </c>
      <c r="R11605" t="s">
        <v>41265</v>
      </c>
      <c r="S11605" t="s">
        <v>41880</v>
      </c>
      <c r="T11605" t="s">
        <v>42714</v>
      </c>
      <c r="U11605" t="s">
        <v>52501</v>
      </c>
      <c r="W11605" t="s">
        <v>40908</v>
      </c>
      <c r="X11605" t="s">
        <v>41266</v>
      </c>
    </row>
    <row r="11606" spans="1:24">
      <c r="A11606">
        <f>HYPERLINK("https://www.philgeps.gov.ph/GEPSNONPILOT/Tender/SplashBidNoticeAbstractUI.aspx?menuIndex=3&amp;refID=7051861&amp;Result=3","7051861")</f>
        <v>0</v>
      </c>
      <c r="B11606" t="s">
        <v>2294</v>
      </c>
      <c r="C11606" t="s">
        <v>14485</v>
      </c>
      <c r="D11606" t="s">
        <v>16631</v>
      </c>
      <c r="E11606" t="s">
        <v>22954</v>
      </c>
      <c r="F11606" t="s">
        <v>28669</v>
      </c>
      <c r="G11606" t="s">
        <v>28675</v>
      </c>
      <c r="H11606" t="s">
        <v>9998</v>
      </c>
      <c r="I11606" t="s">
        <v>7352</v>
      </c>
      <c r="J11606" t="s">
        <v>35947</v>
      </c>
      <c r="K11606" t="s">
        <v>37227</v>
      </c>
      <c r="M11606" t="s">
        <v>39950</v>
      </c>
      <c r="N11606" t="s">
        <v>41249</v>
      </c>
      <c r="O11606" t="s">
        <v>41250</v>
      </c>
      <c r="P11606">
        <v>0</v>
      </c>
      <c r="Q11606">
        <v>0</v>
      </c>
      <c r="R11606" t="s">
        <v>41265</v>
      </c>
      <c r="S11606" t="s">
        <v>41880</v>
      </c>
      <c r="T11606" t="s">
        <v>42734</v>
      </c>
      <c r="U11606" t="s">
        <v>52502</v>
      </c>
      <c r="V11606" t="s">
        <v>55636</v>
      </c>
      <c r="W11606" t="s">
        <v>39950</v>
      </c>
      <c r="X11606" t="s">
        <v>41266</v>
      </c>
    </row>
    <row r="11607" spans="1:24">
      <c r="A11607">
        <f>HYPERLINK("https://www.philgeps.gov.ph/GEPSNONPILOT/Tender/SplashBidNoticeAbstractUI.aspx?menuIndex=3&amp;refID=7051946&amp;Result=3","7051946")</f>
        <v>0</v>
      </c>
      <c r="B11607" t="s">
        <v>3128</v>
      </c>
      <c r="C11607" t="s">
        <v>14486</v>
      </c>
      <c r="D11607" t="s">
        <v>16625</v>
      </c>
      <c r="E11607" t="s">
        <v>18433</v>
      </c>
      <c r="F11607" t="s">
        <v>28669</v>
      </c>
      <c r="G11607" t="s">
        <v>28675</v>
      </c>
      <c r="H11607" t="s">
        <v>28686</v>
      </c>
      <c r="I11607" t="s">
        <v>28689</v>
      </c>
      <c r="J11607" t="s">
        <v>35948</v>
      </c>
      <c r="K11607" t="s">
        <v>37336</v>
      </c>
      <c r="M11607" t="s">
        <v>40916</v>
      </c>
      <c r="N11607" t="s">
        <v>41249</v>
      </c>
      <c r="O11607" t="s">
        <v>41250</v>
      </c>
      <c r="P11607">
        <v>0</v>
      </c>
      <c r="Q11607">
        <v>0</v>
      </c>
      <c r="R11607" t="s">
        <v>41265</v>
      </c>
      <c r="S11607" t="s">
        <v>41880</v>
      </c>
      <c r="T11607" t="s">
        <v>42783</v>
      </c>
      <c r="U11607" t="s">
        <v>52490</v>
      </c>
      <c r="W11607" t="s">
        <v>40916</v>
      </c>
      <c r="X11607" t="s">
        <v>41266</v>
      </c>
    </row>
    <row r="11608" spans="1:24">
      <c r="A11608">
        <f>HYPERLINK("https://www.philgeps.gov.ph/GEPSNONPILOT/Tender/SplashBidNoticeAbstractUI.aspx?menuIndex=3&amp;refID=7052011&amp;Result=3","7052011")</f>
        <v>0</v>
      </c>
      <c r="B11608" t="s">
        <v>3138</v>
      </c>
      <c r="C11608" t="s">
        <v>14487</v>
      </c>
      <c r="D11608" t="s">
        <v>16664</v>
      </c>
      <c r="E11608" t="s">
        <v>16799</v>
      </c>
      <c r="F11608" t="s">
        <v>28669</v>
      </c>
      <c r="G11608" t="s">
        <v>28675</v>
      </c>
      <c r="H11608" t="s">
        <v>28686</v>
      </c>
      <c r="I11608" t="s">
        <v>28689</v>
      </c>
      <c r="J11608" t="s">
        <v>35949</v>
      </c>
      <c r="K11608" t="s">
        <v>37213</v>
      </c>
      <c r="M11608" t="s">
        <v>40926</v>
      </c>
      <c r="N11608" t="s">
        <v>41249</v>
      </c>
      <c r="O11608" t="s">
        <v>41250</v>
      </c>
      <c r="P11608">
        <v>0</v>
      </c>
      <c r="Q11608">
        <v>1</v>
      </c>
      <c r="R11608" t="s">
        <v>41265</v>
      </c>
      <c r="S11608" t="s">
        <v>41880</v>
      </c>
      <c r="T11608" t="s">
        <v>42858</v>
      </c>
      <c r="U11608" t="s">
        <v>52503</v>
      </c>
      <c r="W11608" t="s">
        <v>40926</v>
      </c>
      <c r="X11608" t="s">
        <v>41266</v>
      </c>
    </row>
    <row r="11609" spans="1:24">
      <c r="A11609">
        <f>HYPERLINK("https://www.philgeps.gov.ph/GEPSNONPILOT/Tender/SplashBidNoticeAbstractUI.aspx?menuIndex=3&amp;refID=7051907&amp;Result=3","7051907")</f>
        <v>0</v>
      </c>
      <c r="B11609" t="s">
        <v>392</v>
      </c>
      <c r="C11609" t="s">
        <v>14488</v>
      </c>
      <c r="D11609" t="s">
        <v>16668</v>
      </c>
      <c r="E11609" t="s">
        <v>26737</v>
      </c>
      <c r="F11609" t="s">
        <v>28669</v>
      </c>
      <c r="G11609" t="s">
        <v>28675</v>
      </c>
      <c r="H11609" t="s">
        <v>28686</v>
      </c>
      <c r="I11609" t="s">
        <v>28689</v>
      </c>
      <c r="J11609" t="s">
        <v>35950</v>
      </c>
      <c r="K11609" t="s">
        <v>37212</v>
      </c>
      <c r="M11609" t="s">
        <v>37876</v>
      </c>
      <c r="N11609" t="s">
        <v>41249</v>
      </c>
      <c r="O11609" t="s">
        <v>41250</v>
      </c>
      <c r="P11609">
        <v>0</v>
      </c>
      <c r="Q11609">
        <v>0</v>
      </c>
      <c r="R11609" t="s">
        <v>41265</v>
      </c>
      <c r="S11609" t="s">
        <v>41880</v>
      </c>
      <c r="T11609" t="s">
        <v>42682</v>
      </c>
      <c r="U11609" t="s">
        <v>52504</v>
      </c>
      <c r="V11609" t="s">
        <v>55637</v>
      </c>
      <c r="W11609" t="s">
        <v>37876</v>
      </c>
      <c r="X11609" t="s">
        <v>41266</v>
      </c>
    </row>
    <row r="11610" spans="1:24">
      <c r="A11610">
        <f>HYPERLINK("https://www.philgeps.gov.ph/GEPSNONPILOT/Tender/SplashBidNoticeAbstractUI.aspx?menuIndex=3&amp;refID=7051879&amp;Result=3","7051879")</f>
        <v>0</v>
      </c>
      <c r="B11610" t="s">
        <v>3139</v>
      </c>
      <c r="C11610" t="s">
        <v>14489</v>
      </c>
      <c r="D11610" t="s">
        <v>16626</v>
      </c>
      <c r="E11610" t="s">
        <v>26738</v>
      </c>
      <c r="F11610" t="s">
        <v>28669</v>
      </c>
      <c r="G11610" t="s">
        <v>28675</v>
      </c>
      <c r="H11610" t="s">
        <v>28686</v>
      </c>
      <c r="I11610" t="s">
        <v>28689</v>
      </c>
      <c r="J11610" t="s">
        <v>35951</v>
      </c>
      <c r="K11610" t="s">
        <v>37448</v>
      </c>
      <c r="M11610" t="s">
        <v>40927</v>
      </c>
      <c r="N11610" t="s">
        <v>41249</v>
      </c>
      <c r="O11610" t="s">
        <v>41250</v>
      </c>
      <c r="P11610">
        <v>0</v>
      </c>
      <c r="Q11610">
        <v>6</v>
      </c>
      <c r="R11610" t="s">
        <v>41265</v>
      </c>
      <c r="S11610" t="s">
        <v>41880</v>
      </c>
      <c r="T11610" t="s">
        <v>42753</v>
      </c>
      <c r="U11610" t="s">
        <v>52505</v>
      </c>
      <c r="W11610" t="s">
        <v>40927</v>
      </c>
      <c r="X11610" t="s">
        <v>41266</v>
      </c>
    </row>
    <row r="11611" spans="1:24">
      <c r="A11611">
        <f>HYPERLINK("https://www.philgeps.gov.ph/GEPSNONPILOT/Tender/SplashBidNoticeAbstractUI.aspx?menuIndex=3&amp;refID=7052055&amp;Result=3","7052055")</f>
        <v>0</v>
      </c>
      <c r="B11611" t="s">
        <v>3120</v>
      </c>
      <c r="C11611" t="s">
        <v>14490</v>
      </c>
      <c r="D11611" t="s">
        <v>16621</v>
      </c>
      <c r="E11611" t="s">
        <v>18464</v>
      </c>
      <c r="F11611" t="s">
        <v>28669</v>
      </c>
      <c r="G11611" t="s">
        <v>28676</v>
      </c>
      <c r="H11611" t="s">
        <v>9998</v>
      </c>
      <c r="I11611" t="s">
        <v>7352</v>
      </c>
      <c r="J11611" t="s">
        <v>29546</v>
      </c>
      <c r="K11611" t="s">
        <v>37209</v>
      </c>
      <c r="M11611" t="s">
        <v>40908</v>
      </c>
      <c r="N11611" t="s">
        <v>41249</v>
      </c>
      <c r="O11611" t="s">
        <v>41250</v>
      </c>
      <c r="P11611">
        <v>0</v>
      </c>
      <c r="Q11611">
        <v>0</v>
      </c>
      <c r="R11611" t="s">
        <v>41265</v>
      </c>
      <c r="S11611" t="s">
        <v>41880</v>
      </c>
      <c r="T11611" t="s">
        <v>42727</v>
      </c>
      <c r="U11611" t="s">
        <v>52506</v>
      </c>
      <c r="W11611" t="s">
        <v>40908</v>
      </c>
      <c r="X11611" t="s">
        <v>41266</v>
      </c>
    </row>
    <row r="11612" spans="1:24">
      <c r="A11612">
        <f>HYPERLINK("https://www.philgeps.gov.ph/GEPSNONPILOT/Tender/SplashBidNoticeAbstractUI.aspx?menuIndex=3&amp;refID=7052045&amp;Result=3","7052045")</f>
        <v>0</v>
      </c>
      <c r="B11612" t="s">
        <v>369</v>
      </c>
      <c r="C11612" t="s">
        <v>14491</v>
      </c>
      <c r="D11612" t="s">
        <v>16619</v>
      </c>
      <c r="E11612" t="s">
        <v>26739</v>
      </c>
      <c r="F11612" t="s">
        <v>28669</v>
      </c>
      <c r="G11612" t="s">
        <v>28675</v>
      </c>
      <c r="H11612" t="s">
        <v>9998</v>
      </c>
      <c r="I11612" t="s">
        <v>28714</v>
      </c>
      <c r="J11612" t="s">
        <v>29003</v>
      </c>
      <c r="K11612" t="s">
        <v>37206</v>
      </c>
      <c r="M11612" t="s">
        <v>37851</v>
      </c>
      <c r="N11612" t="s">
        <v>41249</v>
      </c>
      <c r="O11612" t="s">
        <v>41250</v>
      </c>
      <c r="P11612">
        <v>0</v>
      </c>
      <c r="Q11612">
        <v>12</v>
      </c>
      <c r="R11612" t="s">
        <v>41265</v>
      </c>
      <c r="S11612" t="s">
        <v>41880</v>
      </c>
      <c r="T11612" t="s">
        <v>42727</v>
      </c>
      <c r="U11612" t="s">
        <v>52507</v>
      </c>
      <c r="W11612" t="s">
        <v>37851</v>
      </c>
      <c r="X11612" t="s">
        <v>41266</v>
      </c>
    </row>
    <row r="11613" spans="1:24">
      <c r="A11613">
        <f>HYPERLINK("https://www.philgeps.gov.ph/GEPSNONPILOT/Tender/SplashBidNoticeAbstractUI.aspx?menuIndex=3&amp;refID=7052031&amp;Result=3","7052031")</f>
        <v>0</v>
      </c>
      <c r="B11613" t="s">
        <v>2236</v>
      </c>
      <c r="C11613" t="s">
        <v>14492</v>
      </c>
      <c r="D11613" t="s">
        <v>16660</v>
      </c>
      <c r="E11613" t="s">
        <v>26740</v>
      </c>
      <c r="F11613" t="s">
        <v>28669</v>
      </c>
      <c r="G11613" t="s">
        <v>28675</v>
      </c>
      <c r="H11613" t="s">
        <v>9998</v>
      </c>
      <c r="I11613" t="s">
        <v>28757</v>
      </c>
      <c r="J11613" t="s">
        <v>35952</v>
      </c>
      <c r="K11613" t="s">
        <v>37209</v>
      </c>
      <c r="M11613" t="s">
        <v>39890</v>
      </c>
      <c r="N11613" t="s">
        <v>41249</v>
      </c>
      <c r="O11613" t="s">
        <v>41250</v>
      </c>
      <c r="P11613">
        <v>0</v>
      </c>
      <c r="Q11613">
        <v>3</v>
      </c>
      <c r="R11613" t="s">
        <v>41265</v>
      </c>
      <c r="S11613" t="s">
        <v>41880</v>
      </c>
      <c r="T11613" t="s">
        <v>42679</v>
      </c>
      <c r="U11613" t="s">
        <v>52508</v>
      </c>
      <c r="W11613" t="s">
        <v>55984</v>
      </c>
      <c r="X11613" t="s">
        <v>41266</v>
      </c>
    </row>
    <row r="11614" spans="1:24">
      <c r="A11614">
        <f>HYPERLINK("https://www.philgeps.gov.ph/GEPSNONPILOT/Tender/SplashBidNoticeAbstractUI.aspx?menuIndex=3&amp;refID=7052007&amp;Result=3","7052007")</f>
        <v>0</v>
      </c>
      <c r="B11614" t="s">
        <v>1762</v>
      </c>
      <c r="C11614" t="s">
        <v>14493</v>
      </c>
      <c r="D11614" t="s">
        <v>16644</v>
      </c>
      <c r="E11614" t="s">
        <v>26741</v>
      </c>
      <c r="F11614" t="s">
        <v>28669</v>
      </c>
      <c r="G11614" t="s">
        <v>28676</v>
      </c>
      <c r="H11614" t="s">
        <v>9998</v>
      </c>
      <c r="I11614" t="s">
        <v>28700</v>
      </c>
      <c r="J11614" t="s">
        <v>29308</v>
      </c>
      <c r="K11614" t="s">
        <v>37209</v>
      </c>
      <c r="M11614" t="s">
        <v>39364</v>
      </c>
      <c r="N11614" t="s">
        <v>41249</v>
      </c>
      <c r="O11614" t="s">
        <v>41250</v>
      </c>
      <c r="Q11614">
        <v>2</v>
      </c>
      <c r="R11614" t="s">
        <v>41265</v>
      </c>
      <c r="S11614" t="s">
        <v>41945</v>
      </c>
      <c r="T11614" t="s">
        <v>42802</v>
      </c>
      <c r="U11614" t="s">
        <v>52509</v>
      </c>
      <c r="W11614" t="s">
        <v>39364</v>
      </c>
      <c r="X11614" t="s">
        <v>41266</v>
      </c>
    </row>
    <row r="11615" spans="1:24">
      <c r="A11615">
        <f>HYPERLINK("https://www.philgeps.gov.ph/GEPSNONPILOT/Tender/SplashBidNoticeAbstractUI.aspx?menuIndex=3&amp;refID=7052041&amp;Result=3","7052041")</f>
        <v>0</v>
      </c>
      <c r="B11615" t="s">
        <v>267</v>
      </c>
      <c r="C11615" t="s">
        <v>14494</v>
      </c>
      <c r="D11615" t="s">
        <v>16679</v>
      </c>
      <c r="E11615" t="s">
        <v>26742</v>
      </c>
      <c r="F11615" t="s">
        <v>28669</v>
      </c>
      <c r="G11615" t="s">
        <v>28675</v>
      </c>
      <c r="H11615" t="s">
        <v>28686</v>
      </c>
      <c r="I11615" t="s">
        <v>28689</v>
      </c>
      <c r="J11615" t="s">
        <v>28924</v>
      </c>
      <c r="K11615" t="s">
        <v>37233</v>
      </c>
      <c r="M11615" t="s">
        <v>38160</v>
      </c>
      <c r="N11615" t="s">
        <v>41249</v>
      </c>
      <c r="O11615" t="s">
        <v>41250</v>
      </c>
      <c r="P11615">
        <v>0</v>
      </c>
      <c r="Q11615">
        <v>19</v>
      </c>
      <c r="R11615" t="s">
        <v>41265</v>
      </c>
      <c r="S11615" t="s">
        <v>41880</v>
      </c>
      <c r="T11615" t="s">
        <v>42686</v>
      </c>
      <c r="U11615" t="s">
        <v>43621</v>
      </c>
      <c r="V11615" t="s">
        <v>55428</v>
      </c>
      <c r="W11615" t="s">
        <v>55924</v>
      </c>
      <c r="X11615" t="s">
        <v>41266</v>
      </c>
    </row>
    <row r="11616" spans="1:24">
      <c r="A11616">
        <f>HYPERLINK("https://www.philgeps.gov.ph/GEPSNONPILOT/Tender/SplashBidNoticeAbstractUI.aspx?menuIndex=3&amp;refID=7052020&amp;Result=3","7052020")</f>
        <v>0</v>
      </c>
      <c r="B11616" t="s">
        <v>534</v>
      </c>
      <c r="C11616" t="s">
        <v>14495</v>
      </c>
      <c r="D11616" t="s">
        <v>16630</v>
      </c>
      <c r="E11616" t="s">
        <v>26743</v>
      </c>
      <c r="F11616" t="s">
        <v>28669</v>
      </c>
      <c r="G11616" t="s">
        <v>28675</v>
      </c>
      <c r="H11616" t="s">
        <v>9998</v>
      </c>
      <c r="I11616" t="s">
        <v>28713</v>
      </c>
      <c r="J11616" t="s">
        <v>28836</v>
      </c>
      <c r="K11616" t="s">
        <v>37220</v>
      </c>
      <c r="M11616" t="s">
        <v>38025</v>
      </c>
      <c r="N11616" t="s">
        <v>41249</v>
      </c>
      <c r="O11616" t="s">
        <v>41250</v>
      </c>
      <c r="P11616">
        <v>0</v>
      </c>
      <c r="Q11616">
        <v>15</v>
      </c>
      <c r="R11616" t="s">
        <v>41265</v>
      </c>
      <c r="S11616" t="s">
        <v>41880</v>
      </c>
      <c r="T11616" t="s">
        <v>42726</v>
      </c>
      <c r="U11616" t="s">
        <v>52510</v>
      </c>
      <c r="W11616" t="s">
        <v>38025</v>
      </c>
      <c r="X11616" t="s">
        <v>41266</v>
      </c>
    </row>
    <row r="11617" spans="1:24">
      <c r="A11617">
        <f>HYPERLINK("https://www.philgeps.gov.ph/GEPSNONPILOT/Tender/SplashBidNoticeAbstractUI.aspx?menuIndex=3&amp;refID=7052018&amp;Result=3","7052018")</f>
        <v>0</v>
      </c>
      <c r="B11617" t="s">
        <v>3132</v>
      </c>
      <c r="C11617" t="s">
        <v>14496</v>
      </c>
      <c r="D11617" t="s">
        <v>16621</v>
      </c>
      <c r="E11617" t="s">
        <v>26744</v>
      </c>
      <c r="F11617" t="s">
        <v>28669</v>
      </c>
      <c r="G11617" t="s">
        <v>28675</v>
      </c>
      <c r="H11617" t="s">
        <v>9998</v>
      </c>
      <c r="I11617" t="s">
        <v>28690</v>
      </c>
      <c r="J11617" t="s">
        <v>35953</v>
      </c>
      <c r="K11617" t="s">
        <v>37227</v>
      </c>
      <c r="M11617" t="s">
        <v>40920</v>
      </c>
      <c r="N11617" t="s">
        <v>41249</v>
      </c>
      <c r="O11617" t="s">
        <v>41250</v>
      </c>
      <c r="P11617">
        <v>0</v>
      </c>
      <c r="Q11617">
        <v>4</v>
      </c>
      <c r="R11617" t="s">
        <v>41265</v>
      </c>
      <c r="S11617" t="s">
        <v>41880</v>
      </c>
      <c r="T11617" t="s">
        <v>42690</v>
      </c>
      <c r="U11617" t="s">
        <v>52511</v>
      </c>
      <c r="W11617" t="s">
        <v>40920</v>
      </c>
      <c r="X11617" t="s">
        <v>41266</v>
      </c>
    </row>
    <row r="11618" spans="1:24">
      <c r="A11618">
        <f>HYPERLINK("https://www.philgeps.gov.ph/GEPSNONPILOT/Tender/SplashBidNoticeAbstractUI.aspx?menuIndex=3&amp;refID=7051858&amp;Result=3","7051858")</f>
        <v>0</v>
      </c>
      <c r="B11618" t="s">
        <v>2801</v>
      </c>
      <c r="C11618" t="s">
        <v>14497</v>
      </c>
      <c r="E11618" t="s">
        <v>26745</v>
      </c>
      <c r="F11618" t="s">
        <v>28669</v>
      </c>
      <c r="G11618" t="s">
        <v>28675</v>
      </c>
      <c r="H11618" t="s">
        <v>28686</v>
      </c>
      <c r="I11618" t="s">
        <v>28689</v>
      </c>
      <c r="J11618" t="s">
        <v>35954</v>
      </c>
      <c r="K11618" t="s">
        <v>37209</v>
      </c>
      <c r="M11618" t="s">
        <v>40527</v>
      </c>
      <c r="N11618" t="s">
        <v>41249</v>
      </c>
      <c r="O11618" t="s">
        <v>41250</v>
      </c>
      <c r="Q11618">
        <v>4</v>
      </c>
      <c r="R11618" t="s">
        <v>41265</v>
      </c>
      <c r="S11618" t="s">
        <v>41946</v>
      </c>
      <c r="T11618" t="s">
        <v>42661</v>
      </c>
      <c r="U11618" t="s">
        <v>52512</v>
      </c>
      <c r="V11618" t="s">
        <v>55638</v>
      </c>
      <c r="W11618" t="s">
        <v>40527</v>
      </c>
      <c r="X11618" t="s">
        <v>41266</v>
      </c>
    </row>
    <row r="11619" spans="1:24">
      <c r="A11619">
        <f>HYPERLINK("https://www.philgeps.gov.ph/GEPSNONPILOT/Tender/SplashBidNoticeAbstractUI.aspx?menuIndex=3&amp;refID=7052017&amp;Result=3","7052017")</f>
        <v>0</v>
      </c>
      <c r="B11619" t="s">
        <v>2712</v>
      </c>
      <c r="C11619" t="s">
        <v>14498</v>
      </c>
      <c r="D11619" t="s">
        <v>16662</v>
      </c>
      <c r="E11619" t="s">
        <v>17415</v>
      </c>
      <c r="F11619" t="s">
        <v>28669</v>
      </c>
      <c r="G11619" t="s">
        <v>28675</v>
      </c>
      <c r="H11619" t="s">
        <v>28686</v>
      </c>
      <c r="I11619" t="s">
        <v>28689</v>
      </c>
      <c r="J11619" t="s">
        <v>30377</v>
      </c>
      <c r="K11619" t="s">
        <v>37220</v>
      </c>
      <c r="M11619" t="s">
        <v>40423</v>
      </c>
      <c r="N11619" t="s">
        <v>41249</v>
      </c>
      <c r="O11619" t="s">
        <v>41250</v>
      </c>
      <c r="P11619">
        <v>0</v>
      </c>
      <c r="Q11619">
        <v>2</v>
      </c>
      <c r="R11619" t="s">
        <v>41265</v>
      </c>
      <c r="S11619" t="s">
        <v>41880</v>
      </c>
      <c r="T11619" t="s">
        <v>42674</v>
      </c>
      <c r="U11619" t="s">
        <v>52513</v>
      </c>
      <c r="W11619" t="s">
        <v>40423</v>
      </c>
      <c r="X11619" t="s">
        <v>41266</v>
      </c>
    </row>
    <row r="11620" spans="1:24">
      <c r="A11620">
        <f>HYPERLINK("https://www.philgeps.gov.ph/GEPSNONPILOT/Tender/SplashBidNoticeAbstractUI.aspx?menuIndex=3&amp;refID=7052001&amp;Result=3","7052001")</f>
        <v>0</v>
      </c>
      <c r="B11620" t="s">
        <v>2236</v>
      </c>
      <c r="C11620" t="s">
        <v>14499</v>
      </c>
      <c r="D11620" t="s">
        <v>16660</v>
      </c>
      <c r="E11620" t="s">
        <v>26746</v>
      </c>
      <c r="F11620" t="s">
        <v>28669</v>
      </c>
      <c r="G11620" t="s">
        <v>28675</v>
      </c>
      <c r="H11620" t="s">
        <v>9998</v>
      </c>
      <c r="I11620" t="s">
        <v>28690</v>
      </c>
      <c r="J11620" t="s">
        <v>35955</v>
      </c>
      <c r="K11620" t="s">
        <v>37209</v>
      </c>
      <c r="M11620" t="s">
        <v>39890</v>
      </c>
      <c r="N11620" t="s">
        <v>41249</v>
      </c>
      <c r="O11620" t="s">
        <v>41250</v>
      </c>
      <c r="P11620">
        <v>0</v>
      </c>
      <c r="Q11620">
        <v>2</v>
      </c>
      <c r="R11620" t="s">
        <v>41265</v>
      </c>
      <c r="S11620" t="s">
        <v>41880</v>
      </c>
      <c r="T11620" t="s">
        <v>42679</v>
      </c>
      <c r="U11620" t="s">
        <v>52514</v>
      </c>
      <c r="W11620" t="s">
        <v>55984</v>
      </c>
      <c r="X11620" t="s">
        <v>41266</v>
      </c>
    </row>
    <row r="11621" spans="1:24">
      <c r="A11621">
        <f>HYPERLINK("https://www.philgeps.gov.ph/GEPSNONPILOT/Tender/SplashBidNoticeAbstractUI.aspx?menuIndex=3&amp;refID=7051980&amp;Result=3","7051980")</f>
        <v>0</v>
      </c>
      <c r="B11621" t="s">
        <v>2294</v>
      </c>
      <c r="C11621" t="s">
        <v>14500</v>
      </c>
      <c r="D11621" t="s">
        <v>16631</v>
      </c>
      <c r="E11621" t="s">
        <v>21237</v>
      </c>
      <c r="F11621" t="s">
        <v>28669</v>
      </c>
      <c r="G11621" t="s">
        <v>28675</v>
      </c>
      <c r="H11621" t="s">
        <v>9998</v>
      </c>
      <c r="I11621" t="s">
        <v>11142</v>
      </c>
      <c r="J11621" t="s">
        <v>35956</v>
      </c>
      <c r="K11621" t="s">
        <v>37227</v>
      </c>
      <c r="M11621" t="s">
        <v>39950</v>
      </c>
      <c r="N11621" t="s">
        <v>41249</v>
      </c>
      <c r="O11621" t="s">
        <v>41250</v>
      </c>
      <c r="P11621">
        <v>0</v>
      </c>
      <c r="Q11621">
        <v>1</v>
      </c>
      <c r="R11621" t="s">
        <v>41265</v>
      </c>
      <c r="S11621" t="s">
        <v>41880</v>
      </c>
      <c r="T11621" t="s">
        <v>42734</v>
      </c>
      <c r="U11621" t="s">
        <v>52515</v>
      </c>
      <c r="V11621" t="s">
        <v>55636</v>
      </c>
      <c r="W11621" t="s">
        <v>39950</v>
      </c>
      <c r="X11621" t="s">
        <v>41266</v>
      </c>
    </row>
    <row r="11622" spans="1:24">
      <c r="A11622">
        <f>HYPERLINK("https://www.philgeps.gov.ph/GEPSNONPILOT/Tender/SplashBidNoticeAbstractUI.aspx?menuIndex=3&amp;refID=7051918&amp;Result=3","7051918")</f>
        <v>0</v>
      </c>
      <c r="B11622" t="s">
        <v>371</v>
      </c>
      <c r="C11622" t="s">
        <v>14501</v>
      </c>
      <c r="D11622" t="s">
        <v>16622</v>
      </c>
      <c r="E11622" t="s">
        <v>17312</v>
      </c>
      <c r="F11622" t="s">
        <v>28669</v>
      </c>
      <c r="G11622" t="s">
        <v>28675</v>
      </c>
      <c r="H11622" t="s">
        <v>28686</v>
      </c>
      <c r="I11622" t="s">
        <v>28689</v>
      </c>
      <c r="J11622" t="s">
        <v>35957</v>
      </c>
      <c r="K11622" t="s">
        <v>37221</v>
      </c>
      <c r="M11622" t="s">
        <v>37853</v>
      </c>
      <c r="N11622" t="s">
        <v>41249</v>
      </c>
      <c r="O11622" t="s">
        <v>41250</v>
      </c>
      <c r="P11622">
        <v>0</v>
      </c>
      <c r="Q11622">
        <v>0</v>
      </c>
      <c r="R11622" t="s">
        <v>41265</v>
      </c>
      <c r="S11622" t="s">
        <v>41880</v>
      </c>
      <c r="T11622" t="s">
        <v>42727</v>
      </c>
      <c r="U11622" t="s">
        <v>52516</v>
      </c>
      <c r="W11622" t="s">
        <v>37853</v>
      </c>
      <c r="X11622" t="s">
        <v>41266</v>
      </c>
    </row>
    <row r="11623" spans="1:24">
      <c r="A11623">
        <f>HYPERLINK("https://www.philgeps.gov.ph/GEPSNONPILOT/Tender/SplashBidNoticeAbstractUI.aspx?menuIndex=3&amp;refID=7051933&amp;Result=3","7051933")</f>
        <v>0</v>
      </c>
      <c r="B11623" t="s">
        <v>92</v>
      </c>
      <c r="C11623" t="s">
        <v>14502</v>
      </c>
      <c r="D11623" t="s">
        <v>16653</v>
      </c>
      <c r="E11623" t="s">
        <v>26747</v>
      </c>
      <c r="F11623" t="s">
        <v>28669</v>
      </c>
      <c r="G11623" t="s">
        <v>28675</v>
      </c>
      <c r="H11623" t="s">
        <v>9998</v>
      </c>
      <c r="I11623" t="s">
        <v>7352</v>
      </c>
      <c r="J11623" t="s">
        <v>35958</v>
      </c>
      <c r="K11623" t="s">
        <v>37467</v>
      </c>
      <c r="L11623" t="s">
        <v>92</v>
      </c>
      <c r="M11623" t="s">
        <v>37567</v>
      </c>
      <c r="N11623" t="s">
        <v>41249</v>
      </c>
      <c r="O11623" t="s">
        <v>41250</v>
      </c>
      <c r="P11623">
        <v>0</v>
      </c>
      <c r="Q11623">
        <v>3</v>
      </c>
      <c r="R11623" t="s">
        <v>41265</v>
      </c>
      <c r="S11623" t="s">
        <v>41880</v>
      </c>
      <c r="T11623" t="s">
        <v>42682</v>
      </c>
      <c r="U11623" t="s">
        <v>52517</v>
      </c>
      <c r="W11623" t="s">
        <v>37567</v>
      </c>
      <c r="X11623" t="s">
        <v>41266</v>
      </c>
    </row>
    <row r="11624" spans="1:24">
      <c r="A11624">
        <f>HYPERLINK("https://www.philgeps.gov.ph/GEPSNONPILOT/Tender/SplashBidNoticeAbstractUI.aspx?menuIndex=3&amp;refID=7051999&amp;Result=3","7051999")</f>
        <v>0</v>
      </c>
      <c r="B11624" t="s">
        <v>267</v>
      </c>
      <c r="C11624" t="s">
        <v>14503</v>
      </c>
      <c r="D11624" t="s">
        <v>16679</v>
      </c>
      <c r="E11624" t="s">
        <v>26748</v>
      </c>
      <c r="F11624" t="s">
        <v>28669</v>
      </c>
      <c r="G11624" t="s">
        <v>28675</v>
      </c>
      <c r="H11624" t="s">
        <v>28686</v>
      </c>
      <c r="I11624" t="s">
        <v>28689</v>
      </c>
      <c r="J11624" t="s">
        <v>35959</v>
      </c>
      <c r="K11624" t="s">
        <v>37213</v>
      </c>
      <c r="M11624" t="s">
        <v>38160</v>
      </c>
      <c r="N11624" t="s">
        <v>41249</v>
      </c>
      <c r="O11624" t="s">
        <v>41250</v>
      </c>
      <c r="P11624">
        <v>0</v>
      </c>
      <c r="Q11624">
        <v>21</v>
      </c>
      <c r="R11624" t="s">
        <v>41265</v>
      </c>
      <c r="S11624" t="s">
        <v>41880</v>
      </c>
      <c r="T11624" t="s">
        <v>42686</v>
      </c>
      <c r="U11624" t="s">
        <v>43621</v>
      </c>
      <c r="V11624" t="s">
        <v>55428</v>
      </c>
      <c r="W11624" t="s">
        <v>55924</v>
      </c>
      <c r="X11624" t="s">
        <v>41266</v>
      </c>
    </row>
    <row r="11625" spans="1:24">
      <c r="A11625">
        <f>HYPERLINK("https://www.philgeps.gov.ph/GEPSNONPILOT/Tender/SplashBidNoticeAbstractUI.aspx?menuIndex=3&amp;refID=7051865&amp;Result=3","7051865")</f>
        <v>0</v>
      </c>
      <c r="B11625" t="s">
        <v>267</v>
      </c>
      <c r="C11625" t="s">
        <v>14504</v>
      </c>
      <c r="D11625" t="s">
        <v>16679</v>
      </c>
      <c r="E11625" t="s">
        <v>26749</v>
      </c>
      <c r="F11625" t="s">
        <v>28669</v>
      </c>
      <c r="G11625" t="s">
        <v>28675</v>
      </c>
      <c r="H11625" t="s">
        <v>28686</v>
      </c>
      <c r="I11625" t="s">
        <v>28689</v>
      </c>
      <c r="J11625" t="s">
        <v>34090</v>
      </c>
      <c r="K11625" t="s">
        <v>37213</v>
      </c>
      <c r="M11625" t="s">
        <v>40741</v>
      </c>
      <c r="N11625" t="s">
        <v>41249</v>
      </c>
      <c r="O11625" t="s">
        <v>41250</v>
      </c>
      <c r="P11625">
        <v>0</v>
      </c>
      <c r="Q11625">
        <v>20</v>
      </c>
      <c r="R11625" t="s">
        <v>41265</v>
      </c>
      <c r="S11625" t="s">
        <v>41880</v>
      </c>
      <c r="T11625" t="s">
        <v>42686</v>
      </c>
      <c r="U11625" t="s">
        <v>43621</v>
      </c>
      <c r="V11625" t="s">
        <v>55428</v>
      </c>
      <c r="W11625" t="s">
        <v>55924</v>
      </c>
      <c r="X11625" t="s">
        <v>41266</v>
      </c>
    </row>
    <row r="11626" spans="1:24">
      <c r="A11626">
        <f>HYPERLINK("https://www.philgeps.gov.ph/GEPSNONPILOT/Tender/SplashBidNoticeAbstractUI.aspx?menuIndex=3&amp;refID=7052168&amp;Result=3","7052168")</f>
        <v>0</v>
      </c>
      <c r="B11626" t="s">
        <v>573</v>
      </c>
      <c r="C11626" t="s">
        <v>14505</v>
      </c>
      <c r="D11626" t="s">
        <v>16615</v>
      </c>
      <c r="E11626" t="s">
        <v>26750</v>
      </c>
      <c r="F11626" t="s">
        <v>28669</v>
      </c>
      <c r="G11626" t="s">
        <v>28675</v>
      </c>
      <c r="H11626" t="s">
        <v>9998</v>
      </c>
      <c r="I11626" t="s">
        <v>28753</v>
      </c>
      <c r="J11626" t="s">
        <v>35960</v>
      </c>
      <c r="K11626" t="s">
        <v>37220</v>
      </c>
      <c r="M11626" t="s">
        <v>39123</v>
      </c>
      <c r="N11626" t="s">
        <v>41249</v>
      </c>
      <c r="O11626" t="s">
        <v>41250</v>
      </c>
      <c r="P11626">
        <v>0</v>
      </c>
      <c r="Q11626">
        <v>0</v>
      </c>
      <c r="R11626" t="s">
        <v>41265</v>
      </c>
      <c r="S11626" t="s">
        <v>41880</v>
      </c>
      <c r="T11626" t="s">
        <v>42670</v>
      </c>
      <c r="U11626" t="s">
        <v>52518</v>
      </c>
      <c r="W11626" t="s">
        <v>39123</v>
      </c>
      <c r="X11626" t="s">
        <v>41266</v>
      </c>
    </row>
    <row r="11627" spans="1:24">
      <c r="A11627">
        <f>HYPERLINK("https://www.philgeps.gov.ph/GEPSNONPILOT/Tender/SplashBidNoticeAbstractUI.aspx?menuIndex=3&amp;refID=7052024&amp;Result=3","7052024")</f>
        <v>0</v>
      </c>
      <c r="B11627" t="s">
        <v>3120</v>
      </c>
      <c r="C11627" t="s">
        <v>14506</v>
      </c>
      <c r="D11627" t="s">
        <v>16621</v>
      </c>
      <c r="E11627" t="s">
        <v>21101</v>
      </c>
      <c r="F11627" t="s">
        <v>28669</v>
      </c>
      <c r="G11627" t="s">
        <v>28676</v>
      </c>
      <c r="H11627" t="s">
        <v>9998</v>
      </c>
      <c r="I11627" t="s">
        <v>28697</v>
      </c>
      <c r="J11627" t="s">
        <v>29785</v>
      </c>
      <c r="K11627" t="s">
        <v>37209</v>
      </c>
      <c r="M11627" t="s">
        <v>40908</v>
      </c>
      <c r="N11627" t="s">
        <v>41249</v>
      </c>
      <c r="O11627" t="s">
        <v>41250</v>
      </c>
      <c r="P11627">
        <v>0</v>
      </c>
      <c r="Q11627">
        <v>4</v>
      </c>
      <c r="R11627" t="s">
        <v>41265</v>
      </c>
      <c r="S11627" t="s">
        <v>41880</v>
      </c>
      <c r="T11627" t="s">
        <v>42727</v>
      </c>
      <c r="U11627" t="s">
        <v>52519</v>
      </c>
      <c r="W11627" t="s">
        <v>40908</v>
      </c>
      <c r="X11627" t="s">
        <v>41266</v>
      </c>
    </row>
    <row r="11628" spans="1:24">
      <c r="A11628">
        <f>HYPERLINK("https://www.philgeps.gov.ph/GEPSNONPILOT/Tender/SplashBidNoticeAbstractUI.aspx?menuIndex=3&amp;refID=7052161&amp;Result=3","7052161")</f>
        <v>0</v>
      </c>
      <c r="B11628" t="s">
        <v>3140</v>
      </c>
      <c r="C11628" t="s">
        <v>14507</v>
      </c>
      <c r="D11628" t="s">
        <v>16627</v>
      </c>
      <c r="E11628" t="s">
        <v>26751</v>
      </c>
      <c r="F11628" t="s">
        <v>28669</v>
      </c>
      <c r="G11628" t="s">
        <v>28675</v>
      </c>
      <c r="H11628" t="s">
        <v>28686</v>
      </c>
      <c r="I11628" t="s">
        <v>28689</v>
      </c>
      <c r="J11628" t="s">
        <v>35961</v>
      </c>
      <c r="K11628" t="s">
        <v>37215</v>
      </c>
      <c r="M11628" t="s">
        <v>40928</v>
      </c>
      <c r="N11628" t="s">
        <v>41249</v>
      </c>
      <c r="O11628" t="s">
        <v>41250</v>
      </c>
      <c r="P11628">
        <v>0</v>
      </c>
      <c r="Q11628">
        <v>1</v>
      </c>
      <c r="R11628" t="s">
        <v>41265</v>
      </c>
      <c r="S11628" t="s">
        <v>41880</v>
      </c>
      <c r="T11628" t="s">
        <v>42687</v>
      </c>
      <c r="U11628" t="s">
        <v>52520</v>
      </c>
      <c r="W11628" t="s">
        <v>40928</v>
      </c>
      <c r="X11628" t="s">
        <v>41266</v>
      </c>
    </row>
    <row r="11629" spans="1:24">
      <c r="A11629">
        <f>HYPERLINK("https://www.philgeps.gov.ph/GEPSNONPILOT/Tender/SplashBidNoticeAbstractUI.aspx?menuIndex=3&amp;refID=7052147&amp;Result=3","7052147")</f>
        <v>0</v>
      </c>
      <c r="B11629" t="s">
        <v>573</v>
      </c>
      <c r="C11629" t="s">
        <v>14508</v>
      </c>
      <c r="D11629" t="s">
        <v>16615</v>
      </c>
      <c r="E11629" t="s">
        <v>26752</v>
      </c>
      <c r="F11629" t="s">
        <v>28669</v>
      </c>
      <c r="G11629" t="s">
        <v>28675</v>
      </c>
      <c r="H11629" t="s">
        <v>9998</v>
      </c>
      <c r="I11629" t="s">
        <v>28753</v>
      </c>
      <c r="J11629" t="s">
        <v>35962</v>
      </c>
      <c r="K11629" t="s">
        <v>37220</v>
      </c>
      <c r="M11629" t="s">
        <v>39123</v>
      </c>
      <c r="N11629" t="s">
        <v>41249</v>
      </c>
      <c r="O11629" t="s">
        <v>41250</v>
      </c>
      <c r="P11629">
        <v>0</v>
      </c>
      <c r="Q11629">
        <v>2</v>
      </c>
      <c r="R11629" t="s">
        <v>41265</v>
      </c>
      <c r="S11629" t="s">
        <v>41880</v>
      </c>
      <c r="T11629" t="s">
        <v>42670</v>
      </c>
      <c r="U11629" t="s">
        <v>52521</v>
      </c>
      <c r="W11629" t="s">
        <v>39123</v>
      </c>
      <c r="X11629" t="s">
        <v>41266</v>
      </c>
    </row>
    <row r="11630" spans="1:24">
      <c r="A11630">
        <f>HYPERLINK("https://www.philgeps.gov.ph/GEPSNONPILOT/Tender/SplashBidNoticeAbstractUI.aspx?menuIndex=3&amp;refID=7052173&amp;Result=3","7052173")</f>
        <v>0</v>
      </c>
      <c r="B11630" t="s">
        <v>392</v>
      </c>
      <c r="C11630" t="s">
        <v>14509</v>
      </c>
      <c r="D11630" t="s">
        <v>16668</v>
      </c>
      <c r="E11630" t="s">
        <v>26753</v>
      </c>
      <c r="F11630" t="s">
        <v>28669</v>
      </c>
      <c r="G11630" t="s">
        <v>28675</v>
      </c>
      <c r="H11630" t="s">
        <v>28686</v>
      </c>
      <c r="I11630" t="s">
        <v>28689</v>
      </c>
      <c r="J11630" t="s">
        <v>35963</v>
      </c>
      <c r="K11630" t="s">
        <v>37220</v>
      </c>
      <c r="M11630" t="s">
        <v>37876</v>
      </c>
      <c r="N11630" t="s">
        <v>41249</v>
      </c>
      <c r="O11630" t="s">
        <v>41250</v>
      </c>
      <c r="P11630">
        <v>0</v>
      </c>
      <c r="Q11630">
        <v>0</v>
      </c>
      <c r="R11630" t="s">
        <v>41265</v>
      </c>
      <c r="S11630" t="s">
        <v>41880</v>
      </c>
      <c r="T11630" t="s">
        <v>42682</v>
      </c>
      <c r="U11630" t="s">
        <v>52445</v>
      </c>
      <c r="V11630" t="s">
        <v>55639</v>
      </c>
      <c r="W11630" t="s">
        <v>37876</v>
      </c>
      <c r="X11630" t="s">
        <v>41266</v>
      </c>
    </row>
    <row r="11631" spans="1:24">
      <c r="A11631">
        <f>HYPERLINK("https://www.philgeps.gov.ph/GEPSNONPILOT/Tender/SplashBidNoticeAbstractUI.aspx?menuIndex=3&amp;refID=7052139&amp;Result=3","7052139")</f>
        <v>0</v>
      </c>
      <c r="B11631" t="s">
        <v>2599</v>
      </c>
      <c r="C11631" t="s">
        <v>14510</v>
      </c>
      <c r="D11631" t="s">
        <v>16638</v>
      </c>
      <c r="E11631" t="s">
        <v>26754</v>
      </c>
      <c r="F11631" t="s">
        <v>28669</v>
      </c>
      <c r="G11631" t="s">
        <v>28675</v>
      </c>
      <c r="H11631" t="s">
        <v>9998</v>
      </c>
      <c r="I11631" t="s">
        <v>28754</v>
      </c>
      <c r="J11631" t="s">
        <v>31506</v>
      </c>
      <c r="K11631" t="s">
        <v>37206</v>
      </c>
      <c r="M11631" t="s">
        <v>40294</v>
      </c>
      <c r="N11631" t="s">
        <v>41249</v>
      </c>
      <c r="O11631" t="s">
        <v>41250</v>
      </c>
      <c r="P11631">
        <v>0</v>
      </c>
      <c r="Q11631">
        <v>3</v>
      </c>
      <c r="R11631" t="s">
        <v>41265</v>
      </c>
      <c r="S11631" t="s">
        <v>41880</v>
      </c>
      <c r="T11631" t="s">
        <v>42778</v>
      </c>
      <c r="U11631" t="s">
        <v>52522</v>
      </c>
      <c r="V11631" t="s">
        <v>55640</v>
      </c>
      <c r="W11631" t="s">
        <v>56002</v>
      </c>
      <c r="X11631" t="s">
        <v>41266</v>
      </c>
    </row>
    <row r="11632" spans="1:24">
      <c r="A11632">
        <f>HYPERLINK("https://www.philgeps.gov.ph/GEPSNONPILOT/Tender/SplashBidNoticeAbstractUI.aspx?menuIndex=3&amp;refID=7051991&amp;Result=3","7051991")</f>
        <v>0</v>
      </c>
      <c r="B11632" t="s">
        <v>2977</v>
      </c>
      <c r="C11632" t="s">
        <v>14511</v>
      </c>
      <c r="D11632" t="s">
        <v>16627</v>
      </c>
      <c r="E11632" t="s">
        <v>26755</v>
      </c>
      <c r="F11632" t="s">
        <v>28669</v>
      </c>
      <c r="G11632" t="s">
        <v>28675</v>
      </c>
      <c r="H11632" t="s">
        <v>9998</v>
      </c>
      <c r="I11632" t="s">
        <v>28743</v>
      </c>
      <c r="J11632" t="s">
        <v>29134</v>
      </c>
      <c r="K11632" t="s">
        <v>37206</v>
      </c>
      <c r="M11632" t="s">
        <v>40742</v>
      </c>
      <c r="N11632" t="s">
        <v>41249</v>
      </c>
      <c r="O11632" t="s">
        <v>41250</v>
      </c>
      <c r="P11632">
        <v>0</v>
      </c>
      <c r="Q11632">
        <v>1</v>
      </c>
      <c r="R11632" t="s">
        <v>41265</v>
      </c>
      <c r="S11632" t="s">
        <v>41880</v>
      </c>
      <c r="T11632" t="s">
        <v>42759</v>
      </c>
      <c r="U11632" t="s">
        <v>52523</v>
      </c>
      <c r="V11632" t="s">
        <v>55641</v>
      </c>
      <c r="W11632" t="s">
        <v>40742</v>
      </c>
      <c r="X11632" t="s">
        <v>41266</v>
      </c>
    </row>
    <row r="11633" spans="1:24">
      <c r="A11633">
        <f>HYPERLINK("https://www.philgeps.gov.ph/GEPSNONPILOT/Tender/SplashBidNoticeAbstractUI.aspx?menuIndex=3&amp;refID=7052130&amp;Result=3","7052130")</f>
        <v>0</v>
      </c>
      <c r="B11633" t="s">
        <v>3140</v>
      </c>
      <c r="C11633" t="s">
        <v>14512</v>
      </c>
      <c r="D11633" t="s">
        <v>16627</v>
      </c>
      <c r="E11633" t="s">
        <v>26756</v>
      </c>
      <c r="F11633" t="s">
        <v>28669</v>
      </c>
      <c r="G11633" t="s">
        <v>28675</v>
      </c>
      <c r="H11633" t="s">
        <v>28686</v>
      </c>
      <c r="I11633" t="s">
        <v>28689</v>
      </c>
      <c r="J11633" t="s">
        <v>35964</v>
      </c>
      <c r="K11633" t="s">
        <v>37294</v>
      </c>
      <c r="M11633" t="s">
        <v>40928</v>
      </c>
      <c r="N11633" t="s">
        <v>41249</v>
      </c>
      <c r="O11633" t="s">
        <v>41250</v>
      </c>
      <c r="P11633">
        <v>0</v>
      </c>
      <c r="Q11633">
        <v>1</v>
      </c>
      <c r="R11633" t="s">
        <v>41265</v>
      </c>
      <c r="S11633" t="s">
        <v>41880</v>
      </c>
      <c r="T11633" t="s">
        <v>42687</v>
      </c>
      <c r="U11633" t="s">
        <v>52524</v>
      </c>
      <c r="W11633" t="s">
        <v>40928</v>
      </c>
      <c r="X11633" t="s">
        <v>41266</v>
      </c>
    </row>
    <row r="11634" spans="1:24">
      <c r="A11634">
        <f>HYPERLINK("https://www.philgeps.gov.ph/GEPSNONPILOT/Tender/SplashBidNoticeAbstractUI.aspx?menuIndex=3&amp;refID=7052171&amp;Result=3","7052171")</f>
        <v>0</v>
      </c>
      <c r="B11634" t="s">
        <v>2077</v>
      </c>
      <c r="C11634" t="s">
        <v>14513</v>
      </c>
      <c r="D11634" t="s">
        <v>16633</v>
      </c>
      <c r="E11634" t="s">
        <v>22414</v>
      </c>
      <c r="F11634" t="s">
        <v>28669</v>
      </c>
      <c r="G11634" t="s">
        <v>28675</v>
      </c>
      <c r="H11634" t="s">
        <v>28686</v>
      </c>
      <c r="I11634" t="s">
        <v>28689</v>
      </c>
      <c r="J11634" t="s">
        <v>35965</v>
      </c>
      <c r="K11634" t="s">
        <v>37292</v>
      </c>
      <c r="M11634" t="s">
        <v>39718</v>
      </c>
      <c r="N11634" t="s">
        <v>41249</v>
      </c>
      <c r="O11634" t="s">
        <v>41250</v>
      </c>
      <c r="P11634">
        <v>0</v>
      </c>
      <c r="Q11634">
        <v>0</v>
      </c>
      <c r="R11634" t="s">
        <v>41265</v>
      </c>
      <c r="S11634" t="s">
        <v>41880</v>
      </c>
      <c r="T11634" t="s">
        <v>42734</v>
      </c>
      <c r="U11634" t="s">
        <v>52525</v>
      </c>
      <c r="V11634" t="s">
        <v>55642</v>
      </c>
      <c r="W11634" t="s">
        <v>39718</v>
      </c>
      <c r="X11634" t="s">
        <v>41266</v>
      </c>
    </row>
    <row r="11635" spans="1:24">
      <c r="A11635">
        <f>HYPERLINK("https://www.philgeps.gov.ph/GEPSNONPILOT/Tender/SplashBidNoticeAbstractUI.aspx?menuIndex=3&amp;refID=7052123&amp;Result=3","7052123")</f>
        <v>0</v>
      </c>
      <c r="B11635" t="s">
        <v>371</v>
      </c>
      <c r="C11635" t="s">
        <v>14514</v>
      </c>
      <c r="D11635" t="s">
        <v>16622</v>
      </c>
      <c r="E11635" t="s">
        <v>26757</v>
      </c>
      <c r="F11635" t="s">
        <v>28669</v>
      </c>
      <c r="G11635" t="s">
        <v>28675</v>
      </c>
      <c r="H11635" t="s">
        <v>28686</v>
      </c>
      <c r="I11635" t="s">
        <v>28689</v>
      </c>
      <c r="J11635" t="s">
        <v>35966</v>
      </c>
      <c r="K11635" t="s">
        <v>37206</v>
      </c>
      <c r="M11635" t="s">
        <v>37853</v>
      </c>
      <c r="N11635" t="s">
        <v>41249</v>
      </c>
      <c r="O11635" t="s">
        <v>41250</v>
      </c>
      <c r="P11635">
        <v>0</v>
      </c>
      <c r="Q11635">
        <v>0</v>
      </c>
      <c r="R11635" t="s">
        <v>41265</v>
      </c>
      <c r="S11635" t="s">
        <v>41880</v>
      </c>
      <c r="T11635" t="s">
        <v>42727</v>
      </c>
      <c r="U11635" t="s">
        <v>52526</v>
      </c>
      <c r="W11635" t="s">
        <v>37853</v>
      </c>
      <c r="X11635" t="s">
        <v>41266</v>
      </c>
    </row>
    <row r="11636" spans="1:24">
      <c r="A11636">
        <f>HYPERLINK("https://www.philgeps.gov.ph/GEPSNONPILOT/Tender/SplashBidNoticeAbstractUI.aspx?menuIndex=3&amp;refID=7052166&amp;Result=3","7052166")</f>
        <v>0</v>
      </c>
      <c r="B11636" t="s">
        <v>2989</v>
      </c>
      <c r="C11636" t="s">
        <v>14515</v>
      </c>
      <c r="D11636" t="s">
        <v>16631</v>
      </c>
      <c r="E11636" t="s">
        <v>26758</v>
      </c>
      <c r="F11636" t="s">
        <v>28669</v>
      </c>
      <c r="G11636" t="s">
        <v>28675</v>
      </c>
      <c r="H11636" t="s">
        <v>9998</v>
      </c>
      <c r="I11636" t="s">
        <v>28722</v>
      </c>
      <c r="J11636" t="s">
        <v>29088</v>
      </c>
      <c r="K11636" t="s">
        <v>37205</v>
      </c>
      <c r="M11636" t="s">
        <v>40755</v>
      </c>
      <c r="N11636" t="s">
        <v>41249</v>
      </c>
      <c r="O11636" t="s">
        <v>41250</v>
      </c>
      <c r="P11636">
        <v>0</v>
      </c>
      <c r="Q11636">
        <v>1</v>
      </c>
      <c r="R11636" t="s">
        <v>41265</v>
      </c>
      <c r="S11636" t="s">
        <v>41880</v>
      </c>
      <c r="T11636" t="s">
        <v>42759</v>
      </c>
      <c r="U11636" t="s">
        <v>52527</v>
      </c>
      <c r="W11636" t="s">
        <v>40755</v>
      </c>
      <c r="X11636" t="s">
        <v>41266</v>
      </c>
    </row>
    <row r="11637" spans="1:24">
      <c r="A11637">
        <f>HYPERLINK("https://www.philgeps.gov.ph/GEPSNONPILOT/Tender/SplashBidNoticeAbstractUI.aspx?menuIndex=3&amp;refID=7052154&amp;Result=3","7052154")</f>
        <v>0</v>
      </c>
      <c r="B11637" t="s">
        <v>2960</v>
      </c>
      <c r="C11637" t="s">
        <v>14516</v>
      </c>
      <c r="D11637" t="s">
        <v>16680</v>
      </c>
      <c r="E11637" t="s">
        <v>26759</v>
      </c>
      <c r="F11637" t="s">
        <v>28669</v>
      </c>
      <c r="G11637" t="s">
        <v>28675</v>
      </c>
      <c r="H11637" t="s">
        <v>9998</v>
      </c>
      <c r="I11637" t="s">
        <v>28687</v>
      </c>
      <c r="J11637" t="s">
        <v>28847</v>
      </c>
      <c r="K11637" t="s">
        <v>37220</v>
      </c>
      <c r="M11637" t="s">
        <v>40720</v>
      </c>
      <c r="N11637" t="s">
        <v>41249</v>
      </c>
      <c r="O11637" t="s">
        <v>41250</v>
      </c>
      <c r="P11637">
        <v>0</v>
      </c>
      <c r="Q11637">
        <v>1</v>
      </c>
      <c r="R11637" t="s">
        <v>41265</v>
      </c>
      <c r="S11637" t="s">
        <v>41880</v>
      </c>
      <c r="T11637" t="s">
        <v>42686</v>
      </c>
      <c r="U11637" t="s">
        <v>52528</v>
      </c>
      <c r="W11637" t="s">
        <v>40720</v>
      </c>
      <c r="X11637" t="s">
        <v>41266</v>
      </c>
    </row>
    <row r="11638" spans="1:24">
      <c r="A11638">
        <f>HYPERLINK("https://www.philgeps.gov.ph/GEPSNONPILOT/Tender/SplashBidNoticeAbstractUI.aspx?menuIndex=3&amp;refID=7052121&amp;Result=3","7052121")</f>
        <v>0</v>
      </c>
      <c r="B11638" t="s">
        <v>2060</v>
      </c>
      <c r="C11638" t="s">
        <v>14517</v>
      </c>
      <c r="D11638" t="s">
        <v>16626</v>
      </c>
      <c r="E11638" t="s">
        <v>16877</v>
      </c>
      <c r="F11638" t="s">
        <v>28669</v>
      </c>
      <c r="G11638" t="s">
        <v>28675</v>
      </c>
      <c r="H11638" t="s">
        <v>9998</v>
      </c>
      <c r="I11638" t="s">
        <v>6128</v>
      </c>
      <c r="J11638" t="s">
        <v>35967</v>
      </c>
      <c r="K11638" t="s">
        <v>37243</v>
      </c>
      <c r="M11638" t="s">
        <v>39700</v>
      </c>
      <c r="N11638" t="s">
        <v>41249</v>
      </c>
      <c r="O11638" t="s">
        <v>41250</v>
      </c>
      <c r="P11638">
        <v>0</v>
      </c>
      <c r="Q11638">
        <v>0</v>
      </c>
      <c r="R11638" t="s">
        <v>41265</v>
      </c>
      <c r="S11638" t="s">
        <v>41880</v>
      </c>
      <c r="T11638" t="s">
        <v>42717</v>
      </c>
      <c r="U11638" t="s">
        <v>52529</v>
      </c>
      <c r="W11638" t="s">
        <v>39700</v>
      </c>
      <c r="X11638" t="s">
        <v>41266</v>
      </c>
    </row>
    <row r="11639" spans="1:24">
      <c r="A11639">
        <f>HYPERLINK("https://www.philgeps.gov.ph/GEPSNONPILOT/Tender/SplashBidNoticeAbstractUI.aspx?menuIndex=3&amp;refID=7052077&amp;Result=3","7052077")</f>
        <v>0</v>
      </c>
      <c r="B11639" t="s">
        <v>392</v>
      </c>
      <c r="C11639" t="s">
        <v>14518</v>
      </c>
      <c r="D11639" t="s">
        <v>16668</v>
      </c>
      <c r="E11639" t="s">
        <v>26760</v>
      </c>
      <c r="F11639" t="s">
        <v>28669</v>
      </c>
      <c r="G11639" t="s">
        <v>28675</v>
      </c>
      <c r="H11639" t="s">
        <v>28686</v>
      </c>
      <c r="I11639" t="s">
        <v>28689</v>
      </c>
      <c r="J11639" t="s">
        <v>35968</v>
      </c>
      <c r="K11639" t="s">
        <v>37285</v>
      </c>
      <c r="M11639" t="s">
        <v>37876</v>
      </c>
      <c r="N11639" t="s">
        <v>41249</v>
      </c>
      <c r="O11639" t="s">
        <v>41250</v>
      </c>
      <c r="P11639">
        <v>0</v>
      </c>
      <c r="Q11639">
        <v>0</v>
      </c>
      <c r="R11639" t="s">
        <v>41265</v>
      </c>
      <c r="S11639" t="s">
        <v>41880</v>
      </c>
      <c r="T11639" t="s">
        <v>42682</v>
      </c>
      <c r="U11639" t="s">
        <v>52504</v>
      </c>
      <c r="V11639" t="s">
        <v>55643</v>
      </c>
      <c r="W11639" t="s">
        <v>37876</v>
      </c>
      <c r="X11639" t="s">
        <v>41266</v>
      </c>
    </row>
    <row r="11640" spans="1:24">
      <c r="A11640">
        <f>HYPERLINK("https://www.philgeps.gov.ph/GEPSNONPILOT/Tender/SplashBidNoticeAbstractUI.aspx?menuIndex=3&amp;refID=7051935&amp;Result=3","7051935")</f>
        <v>0</v>
      </c>
      <c r="B11640" t="s">
        <v>2294</v>
      </c>
      <c r="C11640" t="s">
        <v>14519</v>
      </c>
      <c r="D11640" t="s">
        <v>16631</v>
      </c>
      <c r="E11640" t="s">
        <v>20589</v>
      </c>
      <c r="F11640" t="s">
        <v>28669</v>
      </c>
      <c r="G11640" t="s">
        <v>28675</v>
      </c>
      <c r="H11640" t="s">
        <v>9998</v>
      </c>
      <c r="I11640" t="s">
        <v>28687</v>
      </c>
      <c r="J11640" t="s">
        <v>35969</v>
      </c>
      <c r="K11640" t="s">
        <v>37227</v>
      </c>
      <c r="M11640" t="s">
        <v>39950</v>
      </c>
      <c r="N11640" t="s">
        <v>41249</v>
      </c>
      <c r="O11640" t="s">
        <v>41250</v>
      </c>
      <c r="P11640">
        <v>0</v>
      </c>
      <c r="Q11640">
        <v>3</v>
      </c>
      <c r="R11640" t="s">
        <v>41265</v>
      </c>
      <c r="S11640" t="s">
        <v>41880</v>
      </c>
      <c r="T11640" t="s">
        <v>42734</v>
      </c>
      <c r="U11640" t="s">
        <v>52530</v>
      </c>
      <c r="V11640" t="s">
        <v>55636</v>
      </c>
      <c r="W11640" t="s">
        <v>39950</v>
      </c>
      <c r="X11640" t="s">
        <v>41266</v>
      </c>
    </row>
    <row r="11641" spans="1:24">
      <c r="A11641">
        <f>HYPERLINK("https://www.philgeps.gov.ph/GEPSNONPILOT/Tender/SplashBidNoticeAbstractUI.aspx?menuIndex=3&amp;refID=7052069&amp;Result=3","7052069")</f>
        <v>0</v>
      </c>
      <c r="B11641" t="s">
        <v>371</v>
      </c>
      <c r="C11641" t="s">
        <v>14520</v>
      </c>
      <c r="D11641" t="s">
        <v>16622</v>
      </c>
      <c r="E11641" t="s">
        <v>26761</v>
      </c>
      <c r="F11641" t="s">
        <v>28669</v>
      </c>
      <c r="G11641" t="s">
        <v>28675</v>
      </c>
      <c r="H11641" t="s">
        <v>28686</v>
      </c>
      <c r="I11641" t="s">
        <v>28689</v>
      </c>
      <c r="J11641" t="s">
        <v>35970</v>
      </c>
      <c r="K11641" t="s">
        <v>37206</v>
      </c>
      <c r="M11641" t="s">
        <v>37853</v>
      </c>
      <c r="N11641" t="s">
        <v>41249</v>
      </c>
      <c r="O11641" t="s">
        <v>41250</v>
      </c>
      <c r="P11641">
        <v>0</v>
      </c>
      <c r="Q11641">
        <v>0</v>
      </c>
      <c r="R11641" t="s">
        <v>41265</v>
      </c>
      <c r="S11641" t="s">
        <v>41880</v>
      </c>
      <c r="T11641" t="s">
        <v>42727</v>
      </c>
      <c r="U11641" t="s">
        <v>52531</v>
      </c>
      <c r="W11641" t="s">
        <v>37853</v>
      </c>
      <c r="X11641" t="s">
        <v>41266</v>
      </c>
    </row>
    <row r="11642" spans="1:24">
      <c r="A11642">
        <f>HYPERLINK("https://www.philgeps.gov.ph/GEPSNONPILOT/Tender/SplashBidNoticeAbstractUI.aspx?menuIndex=3&amp;refID=7052058&amp;Result=3","7052058")</f>
        <v>0</v>
      </c>
      <c r="B11642" t="s">
        <v>376</v>
      </c>
      <c r="C11642" t="s">
        <v>14521</v>
      </c>
      <c r="D11642" t="s">
        <v>16608</v>
      </c>
      <c r="E11642" t="s">
        <v>26762</v>
      </c>
      <c r="F11642" t="s">
        <v>28669</v>
      </c>
      <c r="G11642" t="s">
        <v>28679</v>
      </c>
      <c r="H11642" t="s">
        <v>9998</v>
      </c>
      <c r="I11642" t="s">
        <v>28793</v>
      </c>
      <c r="J11642" t="s">
        <v>35971</v>
      </c>
      <c r="K11642" t="s">
        <v>37276</v>
      </c>
      <c r="M11642" t="s">
        <v>40929</v>
      </c>
      <c r="N11642" t="s">
        <v>41249</v>
      </c>
      <c r="O11642" t="s">
        <v>41250</v>
      </c>
      <c r="P11642">
        <v>0</v>
      </c>
      <c r="Q11642">
        <v>6</v>
      </c>
      <c r="R11642" t="s">
        <v>41265</v>
      </c>
      <c r="S11642" t="s">
        <v>41880</v>
      </c>
      <c r="T11642" t="s">
        <v>42736</v>
      </c>
      <c r="U11642" t="s">
        <v>52532</v>
      </c>
      <c r="V11642" t="s">
        <v>55644</v>
      </c>
      <c r="W11642" t="s">
        <v>40929</v>
      </c>
      <c r="X11642" t="s">
        <v>41266</v>
      </c>
    </row>
    <row r="11643" spans="1:24">
      <c r="A11643">
        <f>HYPERLINK("https://www.philgeps.gov.ph/GEPSNONPILOT/Tender/SplashBidNoticeAbstractUI.aspx?menuIndex=3&amp;refID=7052081&amp;Result=3","7052081")</f>
        <v>0</v>
      </c>
      <c r="B11643" t="s">
        <v>2977</v>
      </c>
      <c r="C11643" t="s">
        <v>14522</v>
      </c>
      <c r="D11643" t="s">
        <v>16627</v>
      </c>
      <c r="E11643" t="s">
        <v>26763</v>
      </c>
      <c r="F11643" t="s">
        <v>28669</v>
      </c>
      <c r="G11643" t="s">
        <v>28675</v>
      </c>
      <c r="H11643" t="s">
        <v>9998</v>
      </c>
      <c r="I11643" t="s">
        <v>28706</v>
      </c>
      <c r="J11643" t="s">
        <v>28846</v>
      </c>
      <c r="K11643" t="s">
        <v>37206</v>
      </c>
      <c r="M11643" t="s">
        <v>40742</v>
      </c>
      <c r="N11643" t="s">
        <v>41249</v>
      </c>
      <c r="O11643" t="s">
        <v>41250</v>
      </c>
      <c r="P11643">
        <v>0</v>
      </c>
      <c r="Q11643">
        <v>2</v>
      </c>
      <c r="R11643" t="s">
        <v>41265</v>
      </c>
      <c r="S11643" t="s">
        <v>41880</v>
      </c>
      <c r="T11643" t="s">
        <v>42759</v>
      </c>
      <c r="U11643" t="s">
        <v>52533</v>
      </c>
      <c r="V11643" t="s">
        <v>55641</v>
      </c>
      <c r="W11643" t="s">
        <v>40742</v>
      </c>
      <c r="X11643" t="s">
        <v>41266</v>
      </c>
    </row>
    <row r="11644" spans="1:24">
      <c r="A11644">
        <f>HYPERLINK("https://www.philgeps.gov.ph/GEPSNONPILOT/Tender/SplashBidNoticeAbstractUI.aspx?menuIndex=3&amp;refID=7052084&amp;Result=3","7052084")</f>
        <v>0</v>
      </c>
      <c r="B11644" t="s">
        <v>2236</v>
      </c>
      <c r="C11644" t="s">
        <v>14523</v>
      </c>
      <c r="D11644" t="s">
        <v>16660</v>
      </c>
      <c r="E11644" t="s">
        <v>26764</v>
      </c>
      <c r="F11644" t="s">
        <v>28669</v>
      </c>
      <c r="G11644" t="s">
        <v>28675</v>
      </c>
      <c r="H11644" t="s">
        <v>9998</v>
      </c>
      <c r="I11644" t="s">
        <v>28743</v>
      </c>
      <c r="J11644" t="s">
        <v>35972</v>
      </c>
      <c r="K11644" t="s">
        <v>37209</v>
      </c>
      <c r="M11644" t="s">
        <v>39890</v>
      </c>
      <c r="N11644" t="s">
        <v>41249</v>
      </c>
      <c r="O11644" t="s">
        <v>41250</v>
      </c>
      <c r="Q11644">
        <v>1</v>
      </c>
      <c r="R11644" t="s">
        <v>41265</v>
      </c>
      <c r="S11644" t="s">
        <v>41947</v>
      </c>
      <c r="T11644" t="s">
        <v>42679</v>
      </c>
      <c r="U11644" t="s">
        <v>52534</v>
      </c>
      <c r="W11644" t="s">
        <v>55984</v>
      </c>
      <c r="X11644" t="s">
        <v>41266</v>
      </c>
    </row>
    <row r="11645" spans="1:24">
      <c r="A11645">
        <f>HYPERLINK("https://www.philgeps.gov.ph/GEPSNONPILOT/Tender/SplashBidNoticeAbstractUI.aspx?menuIndex=3&amp;refID=7051979&amp;Result=3","7051979")</f>
        <v>0</v>
      </c>
      <c r="B11645" t="s">
        <v>3141</v>
      </c>
      <c r="C11645" t="s">
        <v>14524</v>
      </c>
      <c r="D11645" t="s">
        <v>16622</v>
      </c>
      <c r="E11645" t="s">
        <v>23637</v>
      </c>
      <c r="F11645" t="s">
        <v>28669</v>
      </c>
      <c r="G11645" t="s">
        <v>28675</v>
      </c>
      <c r="H11645" t="s">
        <v>28686</v>
      </c>
      <c r="I11645" t="s">
        <v>28696</v>
      </c>
      <c r="J11645" t="s">
        <v>35973</v>
      </c>
      <c r="K11645" t="s">
        <v>37213</v>
      </c>
      <c r="M11645" t="s">
        <v>40930</v>
      </c>
      <c r="N11645" t="s">
        <v>41249</v>
      </c>
      <c r="O11645" t="s">
        <v>41250</v>
      </c>
      <c r="P11645">
        <v>0</v>
      </c>
      <c r="Q11645">
        <v>2</v>
      </c>
      <c r="R11645" t="s">
        <v>41265</v>
      </c>
      <c r="S11645" t="s">
        <v>41880</v>
      </c>
      <c r="T11645" t="s">
        <v>42678</v>
      </c>
      <c r="U11645" t="s">
        <v>52535</v>
      </c>
      <c r="W11645" t="s">
        <v>40930</v>
      </c>
      <c r="X11645" t="s">
        <v>41266</v>
      </c>
    </row>
    <row r="11646" spans="1:24">
      <c r="A11646">
        <f>HYPERLINK("https://www.philgeps.gov.ph/GEPSNONPILOT/Tender/SplashBidNoticeAbstractUI.aspx?menuIndex=3&amp;refID=7051976&amp;Result=3","7051976")</f>
        <v>0</v>
      </c>
      <c r="B11646" t="s">
        <v>3142</v>
      </c>
      <c r="C11646" t="s">
        <v>14525</v>
      </c>
      <c r="D11646" t="s">
        <v>16621</v>
      </c>
      <c r="E11646" t="s">
        <v>17817</v>
      </c>
      <c r="F11646" t="s">
        <v>28669</v>
      </c>
      <c r="G11646" t="s">
        <v>28675</v>
      </c>
      <c r="H11646" t="s">
        <v>9998</v>
      </c>
      <c r="I11646" t="s">
        <v>28687</v>
      </c>
      <c r="J11646" t="s">
        <v>35974</v>
      </c>
      <c r="K11646" t="s">
        <v>37220</v>
      </c>
      <c r="M11646" t="s">
        <v>40931</v>
      </c>
      <c r="N11646" t="s">
        <v>41249</v>
      </c>
      <c r="O11646" t="s">
        <v>41250</v>
      </c>
      <c r="P11646">
        <v>0</v>
      </c>
      <c r="Q11646">
        <v>4</v>
      </c>
      <c r="R11646" t="s">
        <v>41265</v>
      </c>
      <c r="S11646" t="s">
        <v>41880</v>
      </c>
      <c r="T11646" t="s">
        <v>42690</v>
      </c>
      <c r="U11646" t="s">
        <v>52536</v>
      </c>
      <c r="V11646" t="s">
        <v>55645</v>
      </c>
      <c r="W11646" t="s">
        <v>40931</v>
      </c>
      <c r="X11646" t="s">
        <v>41266</v>
      </c>
    </row>
    <row r="11647" spans="1:24">
      <c r="A11647">
        <f>HYPERLINK("https://www.philgeps.gov.ph/GEPSNONPILOT/Tender/SplashBidNoticeAbstractUI.aspx?menuIndex=3&amp;refID=7052120&amp;Result=3","7052120")</f>
        <v>0</v>
      </c>
      <c r="B11647" t="s">
        <v>573</v>
      </c>
      <c r="C11647" t="s">
        <v>14526</v>
      </c>
      <c r="D11647" t="s">
        <v>16615</v>
      </c>
      <c r="E11647" t="s">
        <v>26765</v>
      </c>
      <c r="F11647" t="s">
        <v>28669</v>
      </c>
      <c r="G11647" t="s">
        <v>28675</v>
      </c>
      <c r="H11647" t="s">
        <v>9998</v>
      </c>
      <c r="I11647" t="s">
        <v>28753</v>
      </c>
      <c r="J11647" t="s">
        <v>28891</v>
      </c>
      <c r="K11647" t="s">
        <v>37221</v>
      </c>
      <c r="M11647" t="s">
        <v>39123</v>
      </c>
      <c r="N11647" t="s">
        <v>41249</v>
      </c>
      <c r="O11647" t="s">
        <v>41250</v>
      </c>
      <c r="P11647">
        <v>0</v>
      </c>
      <c r="Q11647">
        <v>1</v>
      </c>
      <c r="R11647" t="s">
        <v>41265</v>
      </c>
      <c r="S11647" t="s">
        <v>41880</v>
      </c>
      <c r="T11647" t="s">
        <v>42670</v>
      </c>
      <c r="U11647" t="s">
        <v>52537</v>
      </c>
      <c r="W11647" t="s">
        <v>39123</v>
      </c>
      <c r="X11647" t="s">
        <v>41266</v>
      </c>
    </row>
    <row r="11648" spans="1:24">
      <c r="A11648">
        <f>HYPERLINK("https://www.philgeps.gov.ph/GEPSNONPILOT/Tender/SplashBidNoticeAbstractUI.aspx?menuIndex=3&amp;refID=7052177&amp;Result=3","7052177")</f>
        <v>0</v>
      </c>
      <c r="B11648" t="s">
        <v>371</v>
      </c>
      <c r="C11648" t="s">
        <v>14527</v>
      </c>
      <c r="D11648" t="s">
        <v>16622</v>
      </c>
      <c r="E11648" t="s">
        <v>26766</v>
      </c>
      <c r="F11648" t="s">
        <v>28669</v>
      </c>
      <c r="G11648" t="s">
        <v>28675</v>
      </c>
      <c r="H11648" t="s">
        <v>28686</v>
      </c>
      <c r="I11648" t="s">
        <v>28689</v>
      </c>
      <c r="J11648" t="s">
        <v>35975</v>
      </c>
      <c r="K11648" t="s">
        <v>37206</v>
      </c>
      <c r="M11648" t="s">
        <v>37853</v>
      </c>
      <c r="N11648" t="s">
        <v>41249</v>
      </c>
      <c r="O11648" t="s">
        <v>41250</v>
      </c>
      <c r="P11648">
        <v>0</v>
      </c>
      <c r="Q11648">
        <v>0</v>
      </c>
      <c r="R11648" t="s">
        <v>41265</v>
      </c>
      <c r="S11648" t="s">
        <v>41880</v>
      </c>
      <c r="T11648" t="s">
        <v>42727</v>
      </c>
      <c r="U11648" t="s">
        <v>52538</v>
      </c>
      <c r="W11648" t="s">
        <v>37853</v>
      </c>
      <c r="X11648" t="s">
        <v>41266</v>
      </c>
    </row>
    <row r="11649" spans="1:24">
      <c r="A11649">
        <f>HYPERLINK("https://www.philgeps.gov.ph/GEPSNONPILOT/Tender/SplashBidNoticeAbstractUI.aspx?menuIndex=3&amp;refID=7052240&amp;Result=3","7052240")</f>
        <v>0</v>
      </c>
      <c r="B11649" t="s">
        <v>278</v>
      </c>
      <c r="C11649" t="s">
        <v>14528</v>
      </c>
      <c r="D11649" t="s">
        <v>16608</v>
      </c>
      <c r="E11649" t="s">
        <v>26767</v>
      </c>
      <c r="F11649" t="s">
        <v>28669</v>
      </c>
      <c r="G11649" t="s">
        <v>28675</v>
      </c>
      <c r="H11649" t="s">
        <v>9998</v>
      </c>
      <c r="I11649" t="s">
        <v>28754</v>
      </c>
      <c r="J11649" t="s">
        <v>29929</v>
      </c>
      <c r="K11649" t="s">
        <v>37206</v>
      </c>
      <c r="M11649" t="s">
        <v>40932</v>
      </c>
      <c r="N11649" t="s">
        <v>41249</v>
      </c>
      <c r="O11649" t="s">
        <v>41250</v>
      </c>
      <c r="Q11649">
        <v>7</v>
      </c>
      <c r="R11649" t="s">
        <v>41265</v>
      </c>
      <c r="S11649" t="s">
        <v>41948</v>
      </c>
      <c r="T11649" t="s">
        <v>42690</v>
      </c>
      <c r="U11649" t="s">
        <v>52539</v>
      </c>
      <c r="W11649" t="s">
        <v>40932</v>
      </c>
      <c r="X11649" t="s">
        <v>41266</v>
      </c>
    </row>
    <row r="11650" spans="1:24">
      <c r="A11650">
        <f>HYPERLINK("https://www.philgeps.gov.ph/GEPSNONPILOT/Tender/SplashBidNoticeAbstractUI.aspx?menuIndex=3&amp;refID=7052060&amp;Result=3","7052060")</f>
        <v>0</v>
      </c>
      <c r="B11650" t="s">
        <v>2236</v>
      </c>
      <c r="C11650" t="s">
        <v>14529</v>
      </c>
      <c r="D11650" t="s">
        <v>16660</v>
      </c>
      <c r="E11650" t="s">
        <v>26768</v>
      </c>
      <c r="F11650" t="s">
        <v>28669</v>
      </c>
      <c r="G11650" t="s">
        <v>28675</v>
      </c>
      <c r="H11650" t="s">
        <v>9998</v>
      </c>
      <c r="I11650" t="s">
        <v>28743</v>
      </c>
      <c r="J11650" t="s">
        <v>35078</v>
      </c>
      <c r="K11650" t="s">
        <v>37209</v>
      </c>
      <c r="M11650" t="s">
        <v>39890</v>
      </c>
      <c r="N11650" t="s">
        <v>41249</v>
      </c>
      <c r="O11650" t="s">
        <v>41250</v>
      </c>
      <c r="P11650">
        <v>0</v>
      </c>
      <c r="Q11650">
        <v>1</v>
      </c>
      <c r="R11650" t="s">
        <v>41265</v>
      </c>
      <c r="S11650" t="s">
        <v>41880</v>
      </c>
      <c r="T11650" t="s">
        <v>42679</v>
      </c>
      <c r="U11650" t="s">
        <v>52540</v>
      </c>
      <c r="W11650" t="s">
        <v>55984</v>
      </c>
      <c r="X11650" t="s">
        <v>41266</v>
      </c>
    </row>
    <row r="11651" spans="1:24">
      <c r="A11651">
        <f>HYPERLINK("https://www.philgeps.gov.ph/GEPSNONPILOT/Tender/SplashBidNoticeAbstractUI.aspx?menuIndex=3&amp;refID=7052285&amp;Result=3","7052285")</f>
        <v>0</v>
      </c>
      <c r="B11651" t="s">
        <v>2390</v>
      </c>
      <c r="C11651" t="s">
        <v>14530</v>
      </c>
      <c r="D11651" t="s">
        <v>16618</v>
      </c>
      <c r="E11651" t="s">
        <v>26769</v>
      </c>
      <c r="F11651" t="s">
        <v>28669</v>
      </c>
      <c r="G11651" t="s">
        <v>28675</v>
      </c>
      <c r="H11651" t="s">
        <v>28686</v>
      </c>
      <c r="I11651" t="s">
        <v>28689</v>
      </c>
      <c r="J11651" t="s">
        <v>35976</v>
      </c>
      <c r="K11651" t="s">
        <v>37285</v>
      </c>
      <c r="M11651" t="s">
        <v>40065</v>
      </c>
      <c r="N11651" t="s">
        <v>41249</v>
      </c>
      <c r="O11651" t="s">
        <v>41250</v>
      </c>
      <c r="Q11651">
        <v>18</v>
      </c>
      <c r="R11651" t="s">
        <v>41265</v>
      </c>
      <c r="S11651" t="s">
        <v>41949</v>
      </c>
      <c r="T11651" t="s">
        <v>42670</v>
      </c>
      <c r="U11651" t="s">
        <v>52541</v>
      </c>
      <c r="V11651" t="s">
        <v>55646</v>
      </c>
      <c r="W11651" t="s">
        <v>40065</v>
      </c>
      <c r="X11651" t="s">
        <v>41266</v>
      </c>
    </row>
    <row r="11652" spans="1:24">
      <c r="A11652">
        <f>HYPERLINK("https://www.philgeps.gov.ph/GEPSNONPILOT/Tender/SplashBidNoticeAbstractUI.aspx?menuIndex=3&amp;refID=7052266&amp;Result=3","7052266")</f>
        <v>0</v>
      </c>
      <c r="B11652" t="s">
        <v>145</v>
      </c>
      <c r="C11652" t="s">
        <v>14531</v>
      </c>
      <c r="D11652" t="s">
        <v>16619</v>
      </c>
      <c r="E11652" t="s">
        <v>26770</v>
      </c>
      <c r="F11652" t="s">
        <v>28669</v>
      </c>
      <c r="G11652" t="s">
        <v>28675</v>
      </c>
      <c r="H11652" t="s">
        <v>9998</v>
      </c>
      <c r="I11652" t="s">
        <v>11593</v>
      </c>
      <c r="J11652" t="s">
        <v>35977</v>
      </c>
      <c r="K11652" t="s">
        <v>37213</v>
      </c>
      <c r="M11652" t="s">
        <v>40818</v>
      </c>
      <c r="N11652" t="s">
        <v>41249</v>
      </c>
      <c r="O11652" t="s">
        <v>41250</v>
      </c>
      <c r="Q11652">
        <v>17</v>
      </c>
      <c r="R11652" t="s">
        <v>41265</v>
      </c>
      <c r="S11652" t="s">
        <v>41950</v>
      </c>
      <c r="T11652" t="s">
        <v>42714</v>
      </c>
      <c r="U11652" t="s">
        <v>52542</v>
      </c>
      <c r="V11652" t="s">
        <v>55536</v>
      </c>
      <c r="W11652" t="s">
        <v>40818</v>
      </c>
      <c r="X11652" t="s">
        <v>41266</v>
      </c>
    </row>
    <row r="11653" spans="1:24">
      <c r="A11653">
        <f>HYPERLINK("https://www.philgeps.gov.ph/GEPSNONPILOT/Tender/SplashBidNoticeAbstractUI.aspx?menuIndex=3&amp;refID=7052112&amp;Result=3","7052112")</f>
        <v>0</v>
      </c>
      <c r="B11653" t="s">
        <v>2599</v>
      </c>
      <c r="C11653" t="s">
        <v>14532</v>
      </c>
      <c r="D11653" t="s">
        <v>16638</v>
      </c>
      <c r="E11653" t="s">
        <v>26771</v>
      </c>
      <c r="F11653" t="s">
        <v>28669</v>
      </c>
      <c r="G11653" t="s">
        <v>28675</v>
      </c>
      <c r="H11653" t="s">
        <v>9998</v>
      </c>
      <c r="I11653" t="s">
        <v>6128</v>
      </c>
      <c r="J11653" t="s">
        <v>35978</v>
      </c>
      <c r="K11653" t="s">
        <v>37206</v>
      </c>
      <c r="M11653" t="s">
        <v>40294</v>
      </c>
      <c r="N11653" t="s">
        <v>41249</v>
      </c>
      <c r="O11653" t="s">
        <v>41250</v>
      </c>
      <c r="P11653">
        <v>0</v>
      </c>
      <c r="Q11653">
        <v>3</v>
      </c>
      <c r="R11653" t="s">
        <v>41265</v>
      </c>
      <c r="S11653" t="s">
        <v>41880</v>
      </c>
      <c r="T11653" t="s">
        <v>42778</v>
      </c>
      <c r="U11653" t="s">
        <v>52543</v>
      </c>
      <c r="V11653" t="s">
        <v>55647</v>
      </c>
      <c r="W11653" t="s">
        <v>56002</v>
      </c>
      <c r="X11653" t="s">
        <v>41266</v>
      </c>
    </row>
    <row r="11654" spans="1:24">
      <c r="A11654">
        <f>HYPERLINK("https://www.philgeps.gov.ph/GEPSNONPILOT/Tender/SplashBidNoticeAbstractUI.aspx?menuIndex=3&amp;refID=7052261&amp;Result=3","7052261")</f>
        <v>0</v>
      </c>
      <c r="B11654" t="s">
        <v>2382</v>
      </c>
      <c r="C11654" t="s">
        <v>14533</v>
      </c>
      <c r="D11654" t="s">
        <v>16626</v>
      </c>
      <c r="E11654" t="s">
        <v>17445</v>
      </c>
      <c r="F11654" t="s">
        <v>28669</v>
      </c>
      <c r="G11654" t="s">
        <v>28676</v>
      </c>
      <c r="H11654" t="s">
        <v>9998</v>
      </c>
      <c r="I11654" t="s">
        <v>28762</v>
      </c>
      <c r="J11654" t="s">
        <v>29110</v>
      </c>
      <c r="K11654" t="s">
        <v>37234</v>
      </c>
      <c r="M11654" t="s">
        <v>40055</v>
      </c>
      <c r="N11654" t="s">
        <v>41249</v>
      </c>
      <c r="O11654" t="s">
        <v>41250</v>
      </c>
      <c r="P11654">
        <v>0</v>
      </c>
      <c r="Q11654">
        <v>0</v>
      </c>
      <c r="R11654" t="s">
        <v>41265</v>
      </c>
      <c r="S11654" t="s">
        <v>41880</v>
      </c>
      <c r="T11654" t="s">
        <v>42717</v>
      </c>
      <c r="U11654" t="s">
        <v>52544</v>
      </c>
      <c r="W11654" t="s">
        <v>40055</v>
      </c>
      <c r="X11654" t="s">
        <v>41266</v>
      </c>
    </row>
    <row r="11655" spans="1:24">
      <c r="A11655">
        <f>HYPERLINK("https://www.philgeps.gov.ph/GEPSNONPILOT/Tender/SplashBidNoticeAbstractUI.aspx?menuIndex=3&amp;refID=7052275&amp;Result=3","7052275")</f>
        <v>0</v>
      </c>
      <c r="B11655" t="s">
        <v>2960</v>
      </c>
      <c r="C11655" t="s">
        <v>7670</v>
      </c>
      <c r="D11655" t="s">
        <v>16680</v>
      </c>
      <c r="E11655" t="s">
        <v>26772</v>
      </c>
      <c r="F11655" t="s">
        <v>28669</v>
      </c>
      <c r="G11655" t="s">
        <v>28675</v>
      </c>
      <c r="H11655" t="s">
        <v>28686</v>
      </c>
      <c r="I11655" t="s">
        <v>28689</v>
      </c>
      <c r="J11655" t="s">
        <v>28924</v>
      </c>
      <c r="K11655" t="s">
        <v>37220</v>
      </c>
      <c r="M11655" t="s">
        <v>40720</v>
      </c>
      <c r="N11655" t="s">
        <v>41249</v>
      </c>
      <c r="O11655" t="s">
        <v>41250</v>
      </c>
      <c r="P11655">
        <v>0</v>
      </c>
      <c r="Q11655">
        <v>1</v>
      </c>
      <c r="R11655" t="s">
        <v>41265</v>
      </c>
      <c r="S11655" t="s">
        <v>41880</v>
      </c>
      <c r="T11655" t="s">
        <v>42686</v>
      </c>
      <c r="U11655" t="s">
        <v>52545</v>
      </c>
      <c r="W11655" t="s">
        <v>40720</v>
      </c>
      <c r="X11655" t="s">
        <v>41266</v>
      </c>
    </row>
    <row r="11656" spans="1:24">
      <c r="A11656">
        <f>HYPERLINK("https://www.philgeps.gov.ph/GEPSNONPILOT/Tender/SplashBidNoticeAbstractUI.aspx?menuIndex=3&amp;refID=7052278&amp;Result=3","7052278")</f>
        <v>0</v>
      </c>
      <c r="B11656" t="s">
        <v>3143</v>
      </c>
      <c r="C11656" t="s">
        <v>14534</v>
      </c>
      <c r="D11656" t="s">
        <v>16608</v>
      </c>
      <c r="E11656" t="s">
        <v>26773</v>
      </c>
      <c r="F11656" t="s">
        <v>28669</v>
      </c>
      <c r="G11656" t="s">
        <v>28675</v>
      </c>
      <c r="H11656" t="s">
        <v>9998</v>
      </c>
      <c r="I11656" t="s">
        <v>28799</v>
      </c>
      <c r="J11656" t="s">
        <v>35979</v>
      </c>
      <c r="K11656" t="s">
        <v>37209</v>
      </c>
      <c r="M11656" t="s">
        <v>40933</v>
      </c>
      <c r="N11656" t="s">
        <v>41249</v>
      </c>
      <c r="O11656" t="s">
        <v>41250</v>
      </c>
      <c r="Q11656">
        <v>16</v>
      </c>
      <c r="R11656" t="s">
        <v>41265</v>
      </c>
      <c r="S11656" t="s">
        <v>41951</v>
      </c>
      <c r="T11656" t="s">
        <v>42703</v>
      </c>
      <c r="U11656" t="s">
        <v>52546</v>
      </c>
      <c r="W11656" t="s">
        <v>41087</v>
      </c>
      <c r="X11656" t="s">
        <v>41266</v>
      </c>
    </row>
    <row r="11657" spans="1:24">
      <c r="A11657">
        <f>HYPERLINK("https://www.philgeps.gov.ph/GEPSNONPILOT/Tender/SplashBidNoticeAbstractUI.aspx?menuIndex=3&amp;refID=7051974&amp;Result=3","7051974")</f>
        <v>0</v>
      </c>
      <c r="B11657" t="s">
        <v>1148</v>
      </c>
      <c r="C11657" t="s">
        <v>14535</v>
      </c>
      <c r="E11657" t="s">
        <v>26774</v>
      </c>
      <c r="F11657" t="s">
        <v>28669</v>
      </c>
      <c r="G11657" t="s">
        <v>28675</v>
      </c>
      <c r="H11657" t="s">
        <v>9998</v>
      </c>
      <c r="I11657" t="s">
        <v>5213</v>
      </c>
      <c r="J11657" t="s">
        <v>29002</v>
      </c>
      <c r="K11657" t="s">
        <v>37209</v>
      </c>
      <c r="M11657" t="s">
        <v>38684</v>
      </c>
      <c r="N11657" t="s">
        <v>41249</v>
      </c>
      <c r="O11657" t="s">
        <v>41250</v>
      </c>
      <c r="P11657">
        <v>0</v>
      </c>
      <c r="Q11657">
        <v>4</v>
      </c>
      <c r="R11657" t="s">
        <v>41265</v>
      </c>
      <c r="S11657" t="s">
        <v>41880</v>
      </c>
      <c r="T11657" t="s">
        <v>42881</v>
      </c>
      <c r="U11657" t="s">
        <v>52452</v>
      </c>
      <c r="W11657" t="s">
        <v>38684</v>
      </c>
      <c r="X11657" t="s">
        <v>41266</v>
      </c>
    </row>
    <row r="11658" spans="1:24">
      <c r="A11658">
        <f>HYPERLINK("https://www.philgeps.gov.ph/GEPSNONPILOT/Tender/SplashBidNoticeAbstractUI.aspx?menuIndex=3&amp;refID=7052239&amp;Result=3","7052239")</f>
        <v>0</v>
      </c>
      <c r="B11658" t="s">
        <v>2390</v>
      </c>
      <c r="C11658" t="s">
        <v>14536</v>
      </c>
      <c r="D11658" t="s">
        <v>16618</v>
      </c>
      <c r="E11658" t="s">
        <v>26775</v>
      </c>
      <c r="F11658" t="s">
        <v>28669</v>
      </c>
      <c r="G11658" t="s">
        <v>28675</v>
      </c>
      <c r="H11658" t="s">
        <v>28686</v>
      </c>
      <c r="I11658" t="s">
        <v>28689</v>
      </c>
      <c r="J11658" t="s">
        <v>35980</v>
      </c>
      <c r="K11658" t="s">
        <v>37285</v>
      </c>
      <c r="M11658" t="s">
        <v>40065</v>
      </c>
      <c r="N11658" t="s">
        <v>41249</v>
      </c>
      <c r="O11658" t="s">
        <v>41250</v>
      </c>
      <c r="Q11658">
        <v>20</v>
      </c>
      <c r="R11658" t="s">
        <v>41265</v>
      </c>
      <c r="S11658" t="s">
        <v>41952</v>
      </c>
      <c r="T11658" t="s">
        <v>42670</v>
      </c>
      <c r="U11658" t="s">
        <v>52541</v>
      </c>
      <c r="V11658" t="s">
        <v>55646</v>
      </c>
      <c r="W11658" t="s">
        <v>40065</v>
      </c>
      <c r="X11658" t="s">
        <v>41266</v>
      </c>
    </row>
    <row r="11659" spans="1:24">
      <c r="A11659">
        <f>HYPERLINK("https://www.philgeps.gov.ph/GEPSNONPILOT/Tender/SplashBidNoticeAbstractUI.aspx?menuIndex=3&amp;refID=7052237&amp;Result=3","7052237")</f>
        <v>0</v>
      </c>
      <c r="B11659" t="s">
        <v>3140</v>
      </c>
      <c r="C11659" t="s">
        <v>14537</v>
      </c>
      <c r="D11659" t="s">
        <v>16627</v>
      </c>
      <c r="E11659" t="s">
        <v>26776</v>
      </c>
      <c r="F11659" t="s">
        <v>28669</v>
      </c>
      <c r="G11659" t="s">
        <v>28675</v>
      </c>
      <c r="H11659" t="s">
        <v>28686</v>
      </c>
      <c r="I11659" t="s">
        <v>28689</v>
      </c>
      <c r="J11659" t="s">
        <v>35981</v>
      </c>
      <c r="K11659" t="s">
        <v>37213</v>
      </c>
      <c r="M11659" t="s">
        <v>40928</v>
      </c>
      <c r="N11659" t="s">
        <v>41249</v>
      </c>
      <c r="O11659" t="s">
        <v>41250</v>
      </c>
      <c r="P11659">
        <v>0</v>
      </c>
      <c r="Q11659">
        <v>1</v>
      </c>
      <c r="R11659" t="s">
        <v>41265</v>
      </c>
      <c r="S11659" t="s">
        <v>41880</v>
      </c>
      <c r="T11659" t="s">
        <v>42687</v>
      </c>
      <c r="U11659" t="s">
        <v>52547</v>
      </c>
      <c r="W11659" t="s">
        <v>40928</v>
      </c>
      <c r="X11659" t="s">
        <v>41266</v>
      </c>
    </row>
    <row r="11660" spans="1:24">
      <c r="A11660">
        <f>HYPERLINK("https://www.philgeps.gov.ph/GEPSNONPILOT/Tender/SplashBidNoticeAbstractUI.aspx?menuIndex=3&amp;refID=7052106&amp;Result=3","7052106")</f>
        <v>0</v>
      </c>
      <c r="B11660" t="s">
        <v>3144</v>
      </c>
      <c r="C11660" t="s">
        <v>14538</v>
      </c>
      <c r="D11660" t="s">
        <v>16624</v>
      </c>
      <c r="E11660" t="s">
        <v>26777</v>
      </c>
      <c r="F11660" t="s">
        <v>28669</v>
      </c>
      <c r="G11660" t="s">
        <v>28675</v>
      </c>
      <c r="H11660" t="s">
        <v>9998</v>
      </c>
      <c r="I11660" t="s">
        <v>8667</v>
      </c>
      <c r="J11660" t="s">
        <v>35982</v>
      </c>
      <c r="K11660" t="s">
        <v>37206</v>
      </c>
      <c r="M11660" t="s">
        <v>40934</v>
      </c>
      <c r="N11660" t="s">
        <v>41249</v>
      </c>
      <c r="O11660" t="s">
        <v>41250</v>
      </c>
      <c r="Q11660">
        <v>4</v>
      </c>
      <c r="R11660" t="s">
        <v>41265</v>
      </c>
      <c r="S11660" t="s">
        <v>41953</v>
      </c>
      <c r="T11660" t="s">
        <v>42690</v>
      </c>
      <c r="U11660" t="s">
        <v>52548</v>
      </c>
      <c r="W11660" t="s">
        <v>40934</v>
      </c>
      <c r="X11660" t="s">
        <v>41266</v>
      </c>
    </row>
    <row r="11661" spans="1:24">
      <c r="A11661">
        <f>HYPERLINK("https://www.philgeps.gov.ph/GEPSNONPILOT/Tender/SplashBidNoticeAbstractUI.aspx?menuIndex=3&amp;refID=7052224&amp;Result=3","7052224")</f>
        <v>0</v>
      </c>
      <c r="B11661" t="s">
        <v>3145</v>
      </c>
      <c r="C11661" t="s">
        <v>14539</v>
      </c>
      <c r="D11661" t="s">
        <v>16617</v>
      </c>
      <c r="E11661" t="s">
        <v>26778</v>
      </c>
      <c r="F11661" t="s">
        <v>28669</v>
      </c>
      <c r="G11661" t="s">
        <v>28677</v>
      </c>
      <c r="H11661" t="s">
        <v>9998</v>
      </c>
      <c r="I11661" t="s">
        <v>28719</v>
      </c>
      <c r="J11661" t="s">
        <v>35983</v>
      </c>
      <c r="K11661" t="s">
        <v>37221</v>
      </c>
      <c r="M11661" t="s">
        <v>40935</v>
      </c>
      <c r="N11661" t="s">
        <v>41249</v>
      </c>
      <c r="O11661" t="s">
        <v>41250</v>
      </c>
      <c r="Q11661">
        <v>6</v>
      </c>
      <c r="R11661" t="s">
        <v>41265</v>
      </c>
      <c r="S11661" t="s">
        <v>41954</v>
      </c>
      <c r="T11661" t="s">
        <v>42989</v>
      </c>
      <c r="U11661" t="s">
        <v>52549</v>
      </c>
      <c r="W11661" t="s">
        <v>40935</v>
      </c>
      <c r="X11661" t="s">
        <v>41266</v>
      </c>
    </row>
    <row r="11662" spans="1:24">
      <c r="A11662">
        <f>HYPERLINK("https://www.philgeps.gov.ph/GEPSNONPILOT/Tender/SplashBidNoticeAbstractUI.aspx?menuIndex=3&amp;refID=7052297&amp;Result=3","7052297")</f>
        <v>0</v>
      </c>
      <c r="B11662" t="s">
        <v>3138</v>
      </c>
      <c r="C11662" t="s">
        <v>14540</v>
      </c>
      <c r="D11662" t="s">
        <v>16664</v>
      </c>
      <c r="E11662" t="s">
        <v>16799</v>
      </c>
      <c r="F11662" t="s">
        <v>28669</v>
      </c>
      <c r="G11662" t="s">
        <v>28675</v>
      </c>
      <c r="H11662" t="s">
        <v>28686</v>
      </c>
      <c r="I11662" t="s">
        <v>28689</v>
      </c>
      <c r="J11662" t="s">
        <v>28905</v>
      </c>
      <c r="K11662" t="s">
        <v>37206</v>
      </c>
      <c r="M11662" t="s">
        <v>40926</v>
      </c>
      <c r="N11662" t="s">
        <v>41249</v>
      </c>
      <c r="O11662" t="s">
        <v>41250</v>
      </c>
      <c r="P11662">
        <v>0</v>
      </c>
      <c r="Q11662">
        <v>0</v>
      </c>
      <c r="R11662" t="s">
        <v>41265</v>
      </c>
      <c r="S11662" t="s">
        <v>41880</v>
      </c>
      <c r="T11662" t="s">
        <v>42801</v>
      </c>
      <c r="U11662" t="s">
        <v>52550</v>
      </c>
      <c r="W11662" t="s">
        <v>40926</v>
      </c>
      <c r="X11662" t="s">
        <v>41266</v>
      </c>
    </row>
    <row r="11663" spans="1:24">
      <c r="A11663">
        <f>HYPERLINK("https://www.philgeps.gov.ph/GEPSNONPILOT/Tender/SplashBidNoticeAbstractUI.aspx?menuIndex=3&amp;refID=7052405&amp;Result=3","7052405")</f>
        <v>0</v>
      </c>
      <c r="B11663" t="s">
        <v>3146</v>
      </c>
      <c r="C11663" t="s">
        <v>14541</v>
      </c>
      <c r="D11663" t="s">
        <v>16670</v>
      </c>
      <c r="E11663" t="s">
        <v>25306</v>
      </c>
      <c r="F11663" t="s">
        <v>28669</v>
      </c>
      <c r="G11663" t="s">
        <v>28675</v>
      </c>
      <c r="H11663" t="s">
        <v>28686</v>
      </c>
      <c r="I11663" t="s">
        <v>28689</v>
      </c>
      <c r="J11663" t="s">
        <v>35984</v>
      </c>
      <c r="K11663" t="s">
        <v>37214</v>
      </c>
      <c r="M11663" t="s">
        <v>40936</v>
      </c>
      <c r="N11663" t="s">
        <v>41249</v>
      </c>
      <c r="O11663" t="s">
        <v>41250</v>
      </c>
      <c r="P11663">
        <v>0</v>
      </c>
      <c r="Q11663">
        <v>2</v>
      </c>
      <c r="R11663" t="s">
        <v>41265</v>
      </c>
      <c r="S11663" t="s">
        <v>41880</v>
      </c>
      <c r="T11663" t="s">
        <v>42702</v>
      </c>
      <c r="U11663" t="s">
        <v>52551</v>
      </c>
      <c r="W11663" t="s">
        <v>40936</v>
      </c>
      <c r="X11663" t="s">
        <v>41266</v>
      </c>
    </row>
    <row r="11664" spans="1:24">
      <c r="A11664">
        <f>HYPERLINK("https://www.philgeps.gov.ph/GEPSNONPILOT/Tender/SplashBidNoticeAbstractUI.aspx?menuIndex=3&amp;refID=7052253&amp;Result=3","7052253")</f>
        <v>0</v>
      </c>
      <c r="B11664" t="s">
        <v>3147</v>
      </c>
      <c r="C11664" t="s">
        <v>14542</v>
      </c>
      <c r="D11664" t="s">
        <v>16672</v>
      </c>
      <c r="E11664" t="s">
        <v>21293</v>
      </c>
      <c r="F11664" t="s">
        <v>28669</v>
      </c>
      <c r="G11664" t="s">
        <v>28682</v>
      </c>
      <c r="H11664" t="s">
        <v>9998</v>
      </c>
      <c r="I11664" t="s">
        <v>7352</v>
      </c>
      <c r="J11664" t="s">
        <v>35985</v>
      </c>
      <c r="K11664" t="s">
        <v>37204</v>
      </c>
      <c r="M11664" t="s">
        <v>40937</v>
      </c>
      <c r="N11664" t="s">
        <v>41249</v>
      </c>
      <c r="O11664" t="s">
        <v>41250</v>
      </c>
      <c r="P11664">
        <v>0</v>
      </c>
      <c r="Q11664">
        <v>0</v>
      </c>
      <c r="R11664" t="s">
        <v>41265</v>
      </c>
      <c r="S11664" t="s">
        <v>41880</v>
      </c>
      <c r="T11664" t="s">
        <v>42727</v>
      </c>
      <c r="U11664" t="s">
        <v>52552</v>
      </c>
      <c r="W11664" t="s">
        <v>40937</v>
      </c>
      <c r="X11664" t="s">
        <v>41266</v>
      </c>
    </row>
    <row r="11665" spans="1:24">
      <c r="A11665">
        <f>HYPERLINK("https://www.philgeps.gov.ph/GEPSNONPILOT/Tender/SplashBidNoticeAbstractUI.aspx?menuIndex=3&amp;refID=7052384&amp;Result=3","7052384")</f>
        <v>0</v>
      </c>
      <c r="B11665" t="s">
        <v>3146</v>
      </c>
      <c r="C11665" t="s">
        <v>14543</v>
      </c>
      <c r="D11665" t="s">
        <v>16670</v>
      </c>
      <c r="E11665" t="s">
        <v>25637</v>
      </c>
      <c r="F11665" t="s">
        <v>28669</v>
      </c>
      <c r="G11665" t="s">
        <v>28675</v>
      </c>
      <c r="H11665" t="s">
        <v>28686</v>
      </c>
      <c r="I11665" t="s">
        <v>28689</v>
      </c>
      <c r="J11665" t="s">
        <v>28836</v>
      </c>
      <c r="K11665" t="s">
        <v>37220</v>
      </c>
      <c r="M11665" t="s">
        <v>40936</v>
      </c>
      <c r="N11665" t="s">
        <v>41249</v>
      </c>
      <c r="O11665" t="s">
        <v>41250</v>
      </c>
      <c r="P11665">
        <v>0</v>
      </c>
      <c r="Q11665">
        <v>1</v>
      </c>
      <c r="R11665" t="s">
        <v>41265</v>
      </c>
      <c r="S11665" t="s">
        <v>41880</v>
      </c>
      <c r="T11665" t="s">
        <v>42702</v>
      </c>
      <c r="U11665" t="s">
        <v>52553</v>
      </c>
      <c r="W11665" t="s">
        <v>40936</v>
      </c>
      <c r="X11665" t="s">
        <v>41266</v>
      </c>
    </row>
    <row r="11666" spans="1:24">
      <c r="A11666">
        <f>HYPERLINK("https://www.philgeps.gov.ph/GEPSNONPILOT/Tender/SplashBidNoticeAbstractUI.aspx?menuIndex=3&amp;refID=7052379&amp;Result=3","7052379")</f>
        <v>0</v>
      </c>
      <c r="B11666" t="s">
        <v>2382</v>
      </c>
      <c r="C11666" t="s">
        <v>14544</v>
      </c>
      <c r="D11666" t="s">
        <v>16626</v>
      </c>
      <c r="E11666" t="s">
        <v>21114</v>
      </c>
      <c r="F11666" t="s">
        <v>28669</v>
      </c>
      <c r="G11666" t="s">
        <v>28676</v>
      </c>
      <c r="H11666" t="s">
        <v>9998</v>
      </c>
      <c r="I11666" t="s">
        <v>6128</v>
      </c>
      <c r="J11666" t="s">
        <v>29225</v>
      </c>
      <c r="K11666" t="s">
        <v>37234</v>
      </c>
      <c r="M11666" t="s">
        <v>40055</v>
      </c>
      <c r="N11666" t="s">
        <v>41249</v>
      </c>
      <c r="O11666" t="s">
        <v>41250</v>
      </c>
      <c r="P11666">
        <v>0</v>
      </c>
      <c r="Q11666">
        <v>1</v>
      </c>
      <c r="R11666" t="s">
        <v>41265</v>
      </c>
      <c r="S11666" t="s">
        <v>41880</v>
      </c>
      <c r="T11666" t="s">
        <v>43133</v>
      </c>
      <c r="U11666" t="s">
        <v>52554</v>
      </c>
      <c r="W11666" t="s">
        <v>40055</v>
      </c>
      <c r="X11666" t="s">
        <v>41266</v>
      </c>
    </row>
    <row r="11667" spans="1:24">
      <c r="A11667">
        <f>HYPERLINK("https://www.philgeps.gov.ph/GEPSNONPILOT/Tender/SplashBidNoticeAbstractUI.aspx?menuIndex=3&amp;refID=7052369&amp;Result=3","7052369")</f>
        <v>0</v>
      </c>
      <c r="B11667" t="s">
        <v>834</v>
      </c>
      <c r="C11667" t="s">
        <v>14545</v>
      </c>
      <c r="D11667" t="s">
        <v>16645</v>
      </c>
      <c r="E11667" t="s">
        <v>26779</v>
      </c>
      <c r="F11667" t="s">
        <v>28669</v>
      </c>
      <c r="G11667" t="s">
        <v>28675</v>
      </c>
      <c r="H11667" t="s">
        <v>28686</v>
      </c>
      <c r="I11667" t="s">
        <v>28689</v>
      </c>
      <c r="J11667" t="s">
        <v>32601</v>
      </c>
      <c r="K11667" t="s">
        <v>37334</v>
      </c>
      <c r="M11667" t="s">
        <v>38350</v>
      </c>
      <c r="N11667" t="s">
        <v>41249</v>
      </c>
      <c r="O11667" t="s">
        <v>41250</v>
      </c>
      <c r="Q11667">
        <v>1</v>
      </c>
      <c r="R11667" t="s">
        <v>41265</v>
      </c>
      <c r="S11667" t="s">
        <v>41955</v>
      </c>
      <c r="T11667" t="s">
        <v>42690</v>
      </c>
      <c r="U11667" t="s">
        <v>52555</v>
      </c>
      <c r="V11667" t="s">
        <v>55648</v>
      </c>
      <c r="W11667" t="s">
        <v>38350</v>
      </c>
      <c r="X11667" t="s">
        <v>41266</v>
      </c>
    </row>
    <row r="11668" spans="1:24">
      <c r="A11668">
        <f>HYPERLINK("https://www.philgeps.gov.ph/GEPSNONPILOT/Tender/SplashBidNoticeAbstractUI.aspx?menuIndex=3&amp;refID=7052344&amp;Result=3","7052344")</f>
        <v>0</v>
      </c>
      <c r="B11668" t="s">
        <v>2375</v>
      </c>
      <c r="C11668" t="s">
        <v>14546</v>
      </c>
      <c r="D11668" t="s">
        <v>16680</v>
      </c>
      <c r="E11668" t="s">
        <v>26780</v>
      </c>
      <c r="F11668" t="s">
        <v>28669</v>
      </c>
      <c r="G11668" t="s">
        <v>28675</v>
      </c>
      <c r="H11668" t="s">
        <v>28685</v>
      </c>
      <c r="I11668" t="s">
        <v>28689</v>
      </c>
      <c r="J11668" t="s">
        <v>35986</v>
      </c>
      <c r="K11668" t="s">
        <v>37223</v>
      </c>
      <c r="M11668" t="s">
        <v>40045</v>
      </c>
      <c r="N11668" t="s">
        <v>41249</v>
      </c>
      <c r="O11668" t="s">
        <v>41250</v>
      </c>
      <c r="P11668">
        <v>0</v>
      </c>
      <c r="Q11668">
        <v>0</v>
      </c>
      <c r="R11668" t="s">
        <v>41265</v>
      </c>
      <c r="S11668" t="s">
        <v>41880</v>
      </c>
      <c r="T11668" t="s">
        <v>42690</v>
      </c>
      <c r="U11668" t="s">
        <v>52556</v>
      </c>
      <c r="W11668" t="s">
        <v>40045</v>
      </c>
      <c r="X11668" t="s">
        <v>41266</v>
      </c>
    </row>
    <row r="11669" spans="1:24">
      <c r="A11669">
        <f>HYPERLINK("https://www.philgeps.gov.ph/GEPSNONPILOT/Tender/SplashBidNoticeAbstractUI.aspx?menuIndex=3&amp;refID=7052260&amp;Result=3","7052260")</f>
        <v>0</v>
      </c>
      <c r="B11669" t="s">
        <v>3148</v>
      </c>
      <c r="C11669" t="s">
        <v>14547</v>
      </c>
      <c r="D11669" t="s">
        <v>16667</v>
      </c>
      <c r="E11669" t="s">
        <v>17178</v>
      </c>
      <c r="F11669" t="s">
        <v>28669</v>
      </c>
      <c r="G11669" t="s">
        <v>28675</v>
      </c>
      <c r="H11669" t="s">
        <v>9998</v>
      </c>
      <c r="I11669" t="s">
        <v>28690</v>
      </c>
      <c r="J11669" t="s">
        <v>35987</v>
      </c>
      <c r="K11669" t="s">
        <v>37205</v>
      </c>
      <c r="M11669" t="s">
        <v>40938</v>
      </c>
      <c r="N11669" t="s">
        <v>41249</v>
      </c>
      <c r="O11669" t="s">
        <v>41250</v>
      </c>
      <c r="P11669">
        <v>0</v>
      </c>
      <c r="Q11669">
        <v>2</v>
      </c>
      <c r="R11669" t="s">
        <v>41265</v>
      </c>
      <c r="S11669" t="s">
        <v>41880</v>
      </c>
      <c r="T11669" t="s">
        <v>42679</v>
      </c>
      <c r="U11669" t="s">
        <v>52557</v>
      </c>
      <c r="V11669" t="s">
        <v>55649</v>
      </c>
      <c r="W11669" t="s">
        <v>40938</v>
      </c>
      <c r="X11669" t="s">
        <v>41266</v>
      </c>
    </row>
    <row r="11670" spans="1:24">
      <c r="A11670">
        <f>HYPERLINK("https://www.philgeps.gov.ph/GEPSNONPILOT/Tender/SplashBidNoticeAbstractUI.aspx?menuIndex=3&amp;refID=7052340&amp;Result=3","7052340")</f>
        <v>0</v>
      </c>
      <c r="B11670" t="s">
        <v>2390</v>
      </c>
      <c r="C11670" t="s">
        <v>14548</v>
      </c>
      <c r="D11670" t="s">
        <v>16658</v>
      </c>
      <c r="E11670" t="s">
        <v>26781</v>
      </c>
      <c r="F11670" t="s">
        <v>28669</v>
      </c>
      <c r="G11670" t="s">
        <v>28675</v>
      </c>
      <c r="H11670" t="s">
        <v>28686</v>
      </c>
      <c r="I11670" t="s">
        <v>28689</v>
      </c>
      <c r="J11670" t="s">
        <v>35988</v>
      </c>
      <c r="K11670" t="s">
        <v>37285</v>
      </c>
      <c r="M11670" t="s">
        <v>40065</v>
      </c>
      <c r="N11670" t="s">
        <v>41249</v>
      </c>
      <c r="O11670" t="s">
        <v>41250</v>
      </c>
      <c r="Q11670">
        <v>19</v>
      </c>
      <c r="R11670" t="s">
        <v>41265</v>
      </c>
      <c r="S11670" t="s">
        <v>41956</v>
      </c>
      <c r="T11670" t="s">
        <v>42670</v>
      </c>
      <c r="U11670" t="s">
        <v>52541</v>
      </c>
      <c r="V11670" t="s">
        <v>55650</v>
      </c>
      <c r="W11670" t="s">
        <v>40065</v>
      </c>
      <c r="X11670" t="s">
        <v>41266</v>
      </c>
    </row>
    <row r="11671" spans="1:24">
      <c r="A11671">
        <f>HYPERLINK("https://www.philgeps.gov.ph/GEPSNONPILOT/Tender/SplashBidNoticeAbstractUI.aspx?menuIndex=3&amp;refID=7051963&amp;Result=3","7051963")</f>
        <v>0</v>
      </c>
      <c r="B11671" t="s">
        <v>3138</v>
      </c>
      <c r="C11671" t="s">
        <v>14549</v>
      </c>
      <c r="D11671" t="s">
        <v>16664</v>
      </c>
      <c r="E11671" t="s">
        <v>16799</v>
      </c>
      <c r="F11671" t="s">
        <v>28669</v>
      </c>
      <c r="G11671" t="s">
        <v>28675</v>
      </c>
      <c r="H11671" t="s">
        <v>28686</v>
      </c>
      <c r="I11671" t="s">
        <v>28689</v>
      </c>
      <c r="J11671" t="s">
        <v>35989</v>
      </c>
      <c r="K11671" t="s">
        <v>37215</v>
      </c>
      <c r="M11671" t="s">
        <v>40926</v>
      </c>
      <c r="N11671" t="s">
        <v>41249</v>
      </c>
      <c r="O11671" t="s">
        <v>41250</v>
      </c>
      <c r="P11671">
        <v>0</v>
      </c>
      <c r="Q11671">
        <v>1</v>
      </c>
      <c r="R11671" t="s">
        <v>41265</v>
      </c>
      <c r="S11671" t="s">
        <v>41880</v>
      </c>
      <c r="T11671" t="s">
        <v>42858</v>
      </c>
      <c r="U11671" t="s">
        <v>52558</v>
      </c>
      <c r="W11671" t="s">
        <v>40926</v>
      </c>
      <c r="X11671" t="s">
        <v>41266</v>
      </c>
    </row>
    <row r="11672" spans="1:24">
      <c r="A11672">
        <f>HYPERLINK("https://www.philgeps.gov.ph/GEPSNONPILOT/Tender/SplashBidNoticeAbstractUI.aspx?menuIndex=3&amp;refID=7052336&amp;Result=3","7052336")</f>
        <v>0</v>
      </c>
      <c r="B11672" t="s">
        <v>2375</v>
      </c>
      <c r="C11672" t="s">
        <v>14550</v>
      </c>
      <c r="D11672" t="s">
        <v>16680</v>
      </c>
      <c r="E11672" t="s">
        <v>26782</v>
      </c>
      <c r="F11672" t="s">
        <v>28669</v>
      </c>
      <c r="G11672" t="s">
        <v>28675</v>
      </c>
      <c r="H11672" t="s">
        <v>28685</v>
      </c>
      <c r="I11672" t="s">
        <v>28689</v>
      </c>
      <c r="J11672" t="s">
        <v>35990</v>
      </c>
      <c r="K11672" t="s">
        <v>37205</v>
      </c>
      <c r="M11672" t="s">
        <v>40045</v>
      </c>
      <c r="N11672" t="s">
        <v>41249</v>
      </c>
      <c r="O11672" t="s">
        <v>41250</v>
      </c>
      <c r="P11672">
        <v>0</v>
      </c>
      <c r="Q11672">
        <v>0</v>
      </c>
      <c r="R11672" t="s">
        <v>41265</v>
      </c>
      <c r="S11672" t="s">
        <v>41880</v>
      </c>
      <c r="T11672" t="s">
        <v>42690</v>
      </c>
      <c r="U11672" t="s">
        <v>52559</v>
      </c>
      <c r="W11672" t="s">
        <v>40045</v>
      </c>
      <c r="X11672" t="s">
        <v>41266</v>
      </c>
    </row>
    <row r="11673" spans="1:24">
      <c r="A11673">
        <f>HYPERLINK("https://www.philgeps.gov.ph/GEPSNONPILOT/Tender/SplashBidNoticeAbstractUI.aspx?menuIndex=3&amp;refID=7052218&amp;Result=3","7052218")</f>
        <v>0</v>
      </c>
      <c r="B11673" t="s">
        <v>3149</v>
      </c>
      <c r="C11673" t="s">
        <v>14551</v>
      </c>
      <c r="D11673" t="s">
        <v>16672</v>
      </c>
      <c r="E11673" t="s">
        <v>26783</v>
      </c>
      <c r="F11673" t="s">
        <v>28669</v>
      </c>
      <c r="G11673" t="s">
        <v>28675</v>
      </c>
      <c r="H11673" t="s">
        <v>28686</v>
      </c>
      <c r="I11673" t="s">
        <v>28689</v>
      </c>
      <c r="J11673" t="s">
        <v>35991</v>
      </c>
      <c r="K11673" t="s">
        <v>37211</v>
      </c>
      <c r="M11673" t="s">
        <v>40939</v>
      </c>
      <c r="N11673" t="s">
        <v>41249</v>
      </c>
      <c r="O11673" t="s">
        <v>41250</v>
      </c>
      <c r="P11673">
        <v>0</v>
      </c>
      <c r="Q11673">
        <v>0</v>
      </c>
      <c r="R11673" t="s">
        <v>41265</v>
      </c>
      <c r="S11673" t="s">
        <v>41880</v>
      </c>
      <c r="T11673" t="s">
        <v>42757</v>
      </c>
      <c r="U11673" t="s">
        <v>52560</v>
      </c>
      <c r="W11673" t="s">
        <v>40939</v>
      </c>
      <c r="X11673" t="s">
        <v>41266</v>
      </c>
    </row>
    <row r="11674" spans="1:24">
      <c r="A11674">
        <f>HYPERLINK("https://www.philgeps.gov.ph/GEPSNONPILOT/Tender/SplashBidNoticeAbstractUI.aspx?menuIndex=3&amp;refID=7052325&amp;Result=3","7052325")</f>
        <v>0</v>
      </c>
      <c r="B11674" t="s">
        <v>2375</v>
      </c>
      <c r="C11674" t="s">
        <v>14552</v>
      </c>
      <c r="D11674" t="s">
        <v>16680</v>
      </c>
      <c r="E11674" t="s">
        <v>26784</v>
      </c>
      <c r="F11674" t="s">
        <v>28669</v>
      </c>
      <c r="G11674" t="s">
        <v>28675</v>
      </c>
      <c r="H11674" t="s">
        <v>28685</v>
      </c>
      <c r="I11674" t="s">
        <v>28689</v>
      </c>
      <c r="J11674" t="s">
        <v>35992</v>
      </c>
      <c r="K11674" t="s">
        <v>37210</v>
      </c>
      <c r="M11674" t="s">
        <v>40045</v>
      </c>
      <c r="N11674" t="s">
        <v>41249</v>
      </c>
      <c r="O11674" t="s">
        <v>41250</v>
      </c>
      <c r="P11674">
        <v>0</v>
      </c>
      <c r="Q11674">
        <v>1</v>
      </c>
      <c r="R11674" t="s">
        <v>41265</v>
      </c>
      <c r="S11674" t="s">
        <v>41880</v>
      </c>
      <c r="T11674" t="s">
        <v>42690</v>
      </c>
      <c r="U11674" t="s">
        <v>52561</v>
      </c>
      <c r="W11674" t="s">
        <v>40045</v>
      </c>
      <c r="X11674" t="s">
        <v>41266</v>
      </c>
    </row>
    <row r="11675" spans="1:24">
      <c r="A11675">
        <f>HYPERLINK("https://www.philgeps.gov.ph/GEPSNONPILOT/Tender/SplashBidNoticeAbstractUI.aspx?menuIndex=3&amp;refID=7052324&amp;Result=3","7052324")</f>
        <v>0</v>
      </c>
      <c r="B11675" t="s">
        <v>87</v>
      </c>
      <c r="C11675" t="s">
        <v>14553</v>
      </c>
      <c r="D11675" t="s">
        <v>16638</v>
      </c>
      <c r="E11675" t="s">
        <v>26785</v>
      </c>
      <c r="F11675" t="s">
        <v>28669</v>
      </c>
      <c r="G11675" t="s">
        <v>28675</v>
      </c>
      <c r="H11675" t="s">
        <v>9998</v>
      </c>
      <c r="I11675" t="s">
        <v>28708</v>
      </c>
      <c r="J11675" t="s">
        <v>35993</v>
      </c>
      <c r="K11675" t="s">
        <v>37205</v>
      </c>
      <c r="M11675" t="s">
        <v>37562</v>
      </c>
      <c r="N11675" t="s">
        <v>41249</v>
      </c>
      <c r="O11675" t="s">
        <v>41250</v>
      </c>
      <c r="Q11675">
        <v>4</v>
      </c>
      <c r="R11675" t="s">
        <v>41265</v>
      </c>
      <c r="S11675" t="s">
        <v>41957</v>
      </c>
      <c r="T11675" t="s">
        <v>42706</v>
      </c>
      <c r="U11675" t="s">
        <v>52562</v>
      </c>
      <c r="W11675" t="s">
        <v>37562</v>
      </c>
      <c r="X11675" t="s">
        <v>41266</v>
      </c>
    </row>
    <row r="11676" spans="1:24">
      <c r="A11676">
        <f>HYPERLINK("https://www.philgeps.gov.ph/GEPSNONPILOT/Tender/SplashBidNoticeAbstractUI.aspx?menuIndex=3&amp;refID=7052321&amp;Result=3","7052321")</f>
        <v>0</v>
      </c>
      <c r="B11676" t="s">
        <v>3150</v>
      </c>
      <c r="C11676" t="s">
        <v>14554</v>
      </c>
      <c r="D11676" t="s">
        <v>16618</v>
      </c>
      <c r="E11676" t="s">
        <v>26786</v>
      </c>
      <c r="F11676" t="s">
        <v>28669</v>
      </c>
      <c r="G11676" t="s">
        <v>28675</v>
      </c>
      <c r="H11676" t="s">
        <v>28686</v>
      </c>
      <c r="I11676" t="s">
        <v>28689</v>
      </c>
      <c r="J11676" t="s">
        <v>35994</v>
      </c>
      <c r="K11676" t="s">
        <v>37218</v>
      </c>
      <c r="M11676" t="s">
        <v>40940</v>
      </c>
      <c r="N11676" t="s">
        <v>41249</v>
      </c>
      <c r="O11676" t="s">
        <v>41250</v>
      </c>
      <c r="P11676">
        <v>0</v>
      </c>
      <c r="Q11676">
        <v>0</v>
      </c>
      <c r="R11676" t="s">
        <v>41265</v>
      </c>
      <c r="S11676" t="s">
        <v>41880</v>
      </c>
      <c r="T11676" t="s">
        <v>42686</v>
      </c>
      <c r="U11676" t="s">
        <v>52563</v>
      </c>
      <c r="W11676" t="s">
        <v>40940</v>
      </c>
      <c r="X11676" t="s">
        <v>41266</v>
      </c>
    </row>
    <row r="11677" spans="1:24">
      <c r="A11677">
        <f>HYPERLINK("https://www.philgeps.gov.ph/GEPSNONPILOT/Tender/SplashBidNoticeAbstractUI.aspx?menuIndex=3&amp;refID=7052416&amp;Result=3","7052416")</f>
        <v>0</v>
      </c>
      <c r="B11677" t="s">
        <v>3146</v>
      </c>
      <c r="C11677" t="s">
        <v>14555</v>
      </c>
      <c r="D11677" t="s">
        <v>16670</v>
      </c>
      <c r="E11677" t="s">
        <v>18115</v>
      </c>
      <c r="F11677" t="s">
        <v>28669</v>
      </c>
      <c r="G11677" t="s">
        <v>28675</v>
      </c>
      <c r="H11677" t="s">
        <v>28686</v>
      </c>
      <c r="I11677" t="s">
        <v>28689</v>
      </c>
      <c r="J11677" t="s">
        <v>35995</v>
      </c>
      <c r="K11677" t="s">
        <v>37213</v>
      </c>
      <c r="M11677" t="s">
        <v>40936</v>
      </c>
      <c r="N11677" t="s">
        <v>41249</v>
      </c>
      <c r="O11677" t="s">
        <v>41250</v>
      </c>
      <c r="P11677">
        <v>0</v>
      </c>
      <c r="Q11677">
        <v>2</v>
      </c>
      <c r="R11677" t="s">
        <v>41265</v>
      </c>
      <c r="S11677" t="s">
        <v>41880</v>
      </c>
      <c r="T11677" t="s">
        <v>42702</v>
      </c>
      <c r="U11677" t="s">
        <v>52553</v>
      </c>
      <c r="W11677" t="s">
        <v>40936</v>
      </c>
      <c r="X11677" t="s">
        <v>41266</v>
      </c>
    </row>
    <row r="11678" spans="1:24">
      <c r="A11678">
        <f>HYPERLINK("https://www.philgeps.gov.ph/GEPSNONPILOT/Tender/SplashBidNoticeAbstractUI.aspx?menuIndex=3&amp;refID=7052473&amp;Result=3","7052473")</f>
        <v>0</v>
      </c>
      <c r="B11678" t="s">
        <v>1399</v>
      </c>
      <c r="C11678" t="s">
        <v>14556</v>
      </c>
      <c r="D11678" t="s">
        <v>16611</v>
      </c>
      <c r="E11678" t="s">
        <v>26787</v>
      </c>
      <c r="F11678" t="s">
        <v>28669</v>
      </c>
      <c r="G11678" t="s">
        <v>28675</v>
      </c>
      <c r="H11678" t="s">
        <v>28686</v>
      </c>
      <c r="I11678" t="s">
        <v>28689</v>
      </c>
      <c r="J11678" t="s">
        <v>29134</v>
      </c>
      <c r="K11678" t="s">
        <v>37291</v>
      </c>
      <c r="M11678" t="s">
        <v>40941</v>
      </c>
      <c r="N11678" t="s">
        <v>41249</v>
      </c>
      <c r="O11678" t="s">
        <v>41250</v>
      </c>
      <c r="Q11678">
        <v>1</v>
      </c>
      <c r="R11678" t="s">
        <v>41265</v>
      </c>
      <c r="S11678" t="s">
        <v>41958</v>
      </c>
      <c r="T11678" t="s">
        <v>42679</v>
      </c>
      <c r="U11678" t="s">
        <v>52564</v>
      </c>
      <c r="W11678" t="s">
        <v>40941</v>
      </c>
      <c r="X11678" t="s">
        <v>41266</v>
      </c>
    </row>
    <row r="11679" spans="1:24">
      <c r="A11679">
        <f>HYPERLINK("https://www.philgeps.gov.ph/GEPSNONPILOT/Tender/SplashBidNoticeAbstractUI.aspx?menuIndex=3&amp;refID=7052337&amp;Result=3","7052337")</f>
        <v>0</v>
      </c>
      <c r="B11679" t="s">
        <v>3149</v>
      </c>
      <c r="C11679" t="s">
        <v>14557</v>
      </c>
      <c r="D11679" t="s">
        <v>16672</v>
      </c>
      <c r="E11679" t="s">
        <v>26788</v>
      </c>
      <c r="F11679" t="s">
        <v>28669</v>
      </c>
      <c r="G11679" t="s">
        <v>28675</v>
      </c>
      <c r="H11679" t="s">
        <v>9998</v>
      </c>
      <c r="I11679" t="s">
        <v>28687</v>
      </c>
      <c r="J11679" t="s">
        <v>28924</v>
      </c>
      <c r="K11679" t="s">
        <v>37227</v>
      </c>
      <c r="M11679" t="s">
        <v>40939</v>
      </c>
      <c r="N11679" t="s">
        <v>41249</v>
      </c>
      <c r="O11679" t="s">
        <v>41250</v>
      </c>
      <c r="P11679">
        <v>0</v>
      </c>
      <c r="Q11679">
        <v>8</v>
      </c>
      <c r="R11679" t="s">
        <v>41265</v>
      </c>
      <c r="S11679" t="s">
        <v>41880</v>
      </c>
      <c r="T11679" t="s">
        <v>42757</v>
      </c>
      <c r="U11679" t="s">
        <v>52565</v>
      </c>
      <c r="W11679" t="s">
        <v>40939</v>
      </c>
      <c r="X11679" t="s">
        <v>41266</v>
      </c>
    </row>
    <row r="11680" spans="1:24">
      <c r="A11680">
        <f>HYPERLINK("https://www.philgeps.gov.ph/GEPSNONPILOT/Tender/SplashBidNoticeAbstractUI.aspx?menuIndex=3&amp;refID=7052468&amp;Result=3","7052468")</f>
        <v>0</v>
      </c>
      <c r="B11680" t="s">
        <v>1399</v>
      </c>
      <c r="C11680" t="s">
        <v>14558</v>
      </c>
      <c r="D11680" t="s">
        <v>16611</v>
      </c>
      <c r="E11680" t="s">
        <v>26789</v>
      </c>
      <c r="F11680" t="s">
        <v>28669</v>
      </c>
      <c r="G11680" t="s">
        <v>28675</v>
      </c>
      <c r="H11680" t="s">
        <v>28686</v>
      </c>
      <c r="I11680" t="s">
        <v>28689</v>
      </c>
      <c r="J11680" t="s">
        <v>29112</v>
      </c>
      <c r="K11680" t="s">
        <v>37221</v>
      </c>
      <c r="M11680" t="s">
        <v>40941</v>
      </c>
      <c r="N11680" t="s">
        <v>41249</v>
      </c>
      <c r="O11680" t="s">
        <v>41250</v>
      </c>
      <c r="Q11680">
        <v>1</v>
      </c>
      <c r="R11680" t="s">
        <v>41265</v>
      </c>
      <c r="S11680" t="s">
        <v>41959</v>
      </c>
      <c r="T11680" t="s">
        <v>42679</v>
      </c>
      <c r="U11680" t="s">
        <v>52566</v>
      </c>
      <c r="W11680" t="s">
        <v>40941</v>
      </c>
      <c r="X11680" t="s">
        <v>41266</v>
      </c>
    </row>
    <row r="11681" spans="1:24">
      <c r="A11681">
        <f>HYPERLINK("https://www.philgeps.gov.ph/GEPSNONPILOT/Tender/SplashBidNoticeAbstractUI.aspx?menuIndex=3&amp;refID=7052327&amp;Result=3","7052327")</f>
        <v>0</v>
      </c>
      <c r="B11681" t="s">
        <v>258</v>
      </c>
      <c r="C11681" t="s">
        <v>14559</v>
      </c>
      <c r="D11681" t="s">
        <v>16673</v>
      </c>
      <c r="E11681" t="s">
        <v>26790</v>
      </c>
      <c r="F11681" t="s">
        <v>28669</v>
      </c>
      <c r="G11681" t="s">
        <v>28675</v>
      </c>
      <c r="H11681" t="s">
        <v>28684</v>
      </c>
      <c r="I11681" t="s">
        <v>28701</v>
      </c>
      <c r="J11681" t="s">
        <v>35996</v>
      </c>
      <c r="K11681" t="s">
        <v>37211</v>
      </c>
      <c r="M11681" t="s">
        <v>40942</v>
      </c>
      <c r="N11681" t="s">
        <v>41249</v>
      </c>
      <c r="O11681" t="s">
        <v>41250</v>
      </c>
      <c r="Q11681">
        <v>5</v>
      </c>
      <c r="R11681" t="s">
        <v>41265</v>
      </c>
      <c r="S11681" t="s">
        <v>41960</v>
      </c>
      <c r="T11681" t="s">
        <v>42697</v>
      </c>
      <c r="U11681" t="s">
        <v>52567</v>
      </c>
      <c r="W11681" t="s">
        <v>40942</v>
      </c>
      <c r="X11681" t="s">
        <v>41266</v>
      </c>
    </row>
    <row r="11682" spans="1:24">
      <c r="A11682">
        <f>HYPERLINK("https://www.philgeps.gov.ph/GEPSNONPILOT/Tender/SplashBidNoticeAbstractUI.aspx?menuIndex=3&amp;refID=7051971&amp;Result=3","7051971")</f>
        <v>0</v>
      </c>
      <c r="B11682" t="s">
        <v>371</v>
      </c>
      <c r="C11682" t="s">
        <v>14560</v>
      </c>
      <c r="D11682" t="s">
        <v>16622</v>
      </c>
      <c r="E11682" t="s">
        <v>26791</v>
      </c>
      <c r="F11682" t="s">
        <v>28669</v>
      </c>
      <c r="G11682" t="s">
        <v>28675</v>
      </c>
      <c r="H11682" t="s">
        <v>28686</v>
      </c>
      <c r="I11682" t="s">
        <v>28689</v>
      </c>
      <c r="J11682" t="s">
        <v>31770</v>
      </c>
      <c r="K11682" t="s">
        <v>37221</v>
      </c>
      <c r="M11682" t="s">
        <v>37853</v>
      </c>
      <c r="N11682" t="s">
        <v>41249</v>
      </c>
      <c r="O11682" t="s">
        <v>41250</v>
      </c>
      <c r="P11682">
        <v>0</v>
      </c>
      <c r="Q11682">
        <v>0</v>
      </c>
      <c r="R11682" t="s">
        <v>41265</v>
      </c>
      <c r="S11682" t="s">
        <v>41880</v>
      </c>
      <c r="T11682" t="s">
        <v>42727</v>
      </c>
      <c r="U11682" t="s">
        <v>52538</v>
      </c>
      <c r="W11682" t="s">
        <v>37853</v>
      </c>
      <c r="X11682" t="s">
        <v>41266</v>
      </c>
    </row>
    <row r="11683" spans="1:24">
      <c r="A11683">
        <f>HYPERLINK("https://www.philgeps.gov.ph/GEPSNONPILOT/Tender/SplashBidNoticeAbstractUI.aspx?menuIndex=3&amp;refID=7052455&amp;Result=3","7052455")</f>
        <v>0</v>
      </c>
      <c r="B11683" t="s">
        <v>1399</v>
      </c>
      <c r="C11683" t="s">
        <v>14561</v>
      </c>
      <c r="D11683" t="s">
        <v>16611</v>
      </c>
      <c r="E11683" t="s">
        <v>26792</v>
      </c>
      <c r="F11683" t="s">
        <v>28669</v>
      </c>
      <c r="G11683" t="s">
        <v>28675</v>
      </c>
      <c r="H11683" t="s">
        <v>28686</v>
      </c>
      <c r="I11683" t="s">
        <v>28689</v>
      </c>
      <c r="J11683" t="s">
        <v>28836</v>
      </c>
      <c r="K11683" t="s">
        <v>37375</v>
      </c>
      <c r="M11683" t="s">
        <v>40941</v>
      </c>
      <c r="N11683" t="s">
        <v>41249</v>
      </c>
      <c r="O11683" t="s">
        <v>41250</v>
      </c>
      <c r="Q11683">
        <v>1</v>
      </c>
      <c r="R11683" t="s">
        <v>41265</v>
      </c>
      <c r="S11683" t="s">
        <v>41961</v>
      </c>
      <c r="T11683" t="s">
        <v>42679</v>
      </c>
      <c r="U11683" t="s">
        <v>52568</v>
      </c>
      <c r="W11683" t="s">
        <v>40941</v>
      </c>
      <c r="X11683" t="s">
        <v>41266</v>
      </c>
    </row>
    <row r="11684" spans="1:24">
      <c r="A11684">
        <f>HYPERLINK("https://www.philgeps.gov.ph/GEPSNONPILOT/Tender/SplashBidNoticeAbstractUI.aspx?menuIndex=3&amp;refID=7052398&amp;Result=3","7052398")</f>
        <v>0</v>
      </c>
      <c r="B11684" t="s">
        <v>3146</v>
      </c>
      <c r="C11684" t="s">
        <v>14562</v>
      </c>
      <c r="D11684" t="s">
        <v>16670</v>
      </c>
      <c r="E11684" t="s">
        <v>26793</v>
      </c>
      <c r="F11684" t="s">
        <v>28669</v>
      </c>
      <c r="G11684" t="s">
        <v>28675</v>
      </c>
      <c r="H11684" t="s">
        <v>28686</v>
      </c>
      <c r="I11684" t="s">
        <v>28689</v>
      </c>
      <c r="J11684" t="s">
        <v>35997</v>
      </c>
      <c r="K11684" t="s">
        <v>37215</v>
      </c>
      <c r="M11684" t="s">
        <v>40936</v>
      </c>
      <c r="N11684" t="s">
        <v>41249</v>
      </c>
      <c r="O11684" t="s">
        <v>41250</v>
      </c>
      <c r="P11684">
        <v>0</v>
      </c>
      <c r="Q11684">
        <v>2</v>
      </c>
      <c r="R11684" t="s">
        <v>41265</v>
      </c>
      <c r="S11684" t="s">
        <v>41880</v>
      </c>
      <c r="T11684" t="s">
        <v>42702</v>
      </c>
      <c r="U11684" t="s">
        <v>52553</v>
      </c>
      <c r="W11684" t="s">
        <v>40936</v>
      </c>
      <c r="X11684" t="s">
        <v>41266</v>
      </c>
    </row>
    <row r="11685" spans="1:24">
      <c r="A11685">
        <f>HYPERLINK("https://www.philgeps.gov.ph/GEPSNONPILOT/Tender/SplashBidNoticeAbstractUI.aspx?menuIndex=3&amp;refID=7052451&amp;Result=3","7052451")</f>
        <v>0</v>
      </c>
      <c r="B11685" t="s">
        <v>1399</v>
      </c>
      <c r="C11685" t="s">
        <v>14563</v>
      </c>
      <c r="D11685" t="s">
        <v>16611</v>
      </c>
      <c r="E11685" t="s">
        <v>26794</v>
      </c>
      <c r="F11685" t="s">
        <v>28669</v>
      </c>
      <c r="G11685" t="s">
        <v>28675</v>
      </c>
      <c r="H11685" t="s">
        <v>28686</v>
      </c>
      <c r="I11685" t="s">
        <v>28689</v>
      </c>
      <c r="J11685" t="s">
        <v>28836</v>
      </c>
      <c r="K11685" t="s">
        <v>37375</v>
      </c>
      <c r="M11685" t="s">
        <v>40941</v>
      </c>
      <c r="N11685" t="s">
        <v>41249</v>
      </c>
      <c r="O11685" t="s">
        <v>41250</v>
      </c>
      <c r="Q11685">
        <v>1</v>
      </c>
      <c r="R11685" t="s">
        <v>41265</v>
      </c>
      <c r="S11685" t="s">
        <v>41962</v>
      </c>
      <c r="T11685" t="s">
        <v>42679</v>
      </c>
      <c r="U11685" t="s">
        <v>52569</v>
      </c>
      <c r="W11685" t="s">
        <v>40941</v>
      </c>
      <c r="X11685" t="s">
        <v>41266</v>
      </c>
    </row>
    <row r="11686" spans="1:24">
      <c r="A11686">
        <f>HYPERLINK("https://www.philgeps.gov.ph/GEPSNONPILOT/Tender/SplashBidNoticeAbstractUI.aspx?menuIndex=3&amp;refID=7052467&amp;Result=3","7052467")</f>
        <v>0</v>
      </c>
      <c r="B11686" t="s">
        <v>1399</v>
      </c>
      <c r="C11686" t="s">
        <v>14564</v>
      </c>
      <c r="D11686" t="s">
        <v>16611</v>
      </c>
      <c r="E11686" t="s">
        <v>26795</v>
      </c>
      <c r="F11686" t="s">
        <v>28669</v>
      </c>
      <c r="G11686" t="s">
        <v>28675</v>
      </c>
      <c r="H11686" t="s">
        <v>28686</v>
      </c>
      <c r="I11686" t="s">
        <v>28689</v>
      </c>
      <c r="J11686" t="s">
        <v>28836</v>
      </c>
      <c r="K11686" t="s">
        <v>37375</v>
      </c>
      <c r="M11686" t="s">
        <v>40941</v>
      </c>
      <c r="N11686" t="s">
        <v>41249</v>
      </c>
      <c r="O11686" t="s">
        <v>41250</v>
      </c>
      <c r="Q11686">
        <v>1</v>
      </c>
      <c r="R11686" t="s">
        <v>41265</v>
      </c>
      <c r="S11686" t="s">
        <v>41963</v>
      </c>
      <c r="T11686" t="s">
        <v>42679</v>
      </c>
      <c r="U11686" t="s">
        <v>52570</v>
      </c>
      <c r="W11686" t="s">
        <v>40941</v>
      </c>
      <c r="X11686" t="s">
        <v>41266</v>
      </c>
    </row>
    <row r="11687" spans="1:24">
      <c r="A11687">
        <f>HYPERLINK("https://www.philgeps.gov.ph/GEPSNONPILOT/Tender/SplashBidNoticeAbstractUI.aspx?menuIndex=3&amp;refID=7052445&amp;Result=3","7052445")</f>
        <v>0</v>
      </c>
      <c r="B11687" t="s">
        <v>2365</v>
      </c>
      <c r="C11687" t="s">
        <v>14565</v>
      </c>
      <c r="D11687" t="s">
        <v>16628</v>
      </c>
      <c r="E11687" t="s">
        <v>26796</v>
      </c>
      <c r="F11687" t="s">
        <v>28669</v>
      </c>
      <c r="G11687" t="s">
        <v>28675</v>
      </c>
      <c r="H11687" t="s">
        <v>28686</v>
      </c>
      <c r="I11687" t="s">
        <v>28689</v>
      </c>
      <c r="J11687" t="s">
        <v>35998</v>
      </c>
      <c r="K11687" t="s">
        <v>37468</v>
      </c>
      <c r="M11687" t="s">
        <v>40034</v>
      </c>
      <c r="N11687" t="s">
        <v>41249</v>
      </c>
      <c r="O11687" t="s">
        <v>41250</v>
      </c>
      <c r="P11687">
        <v>0</v>
      </c>
      <c r="Q11687">
        <v>4</v>
      </c>
      <c r="R11687" t="s">
        <v>41265</v>
      </c>
      <c r="S11687" t="s">
        <v>41880</v>
      </c>
      <c r="T11687" t="s">
        <v>42690</v>
      </c>
      <c r="U11687" t="s">
        <v>49339</v>
      </c>
      <c r="V11687" t="s">
        <v>55651</v>
      </c>
      <c r="W11687" t="s">
        <v>40034</v>
      </c>
      <c r="X11687" t="s">
        <v>41266</v>
      </c>
    </row>
    <row r="11688" spans="1:24">
      <c r="A11688">
        <f>HYPERLINK("https://www.philgeps.gov.ph/GEPSNONPILOT/Tender/SplashBidNoticeAbstractUI.aspx?menuIndex=3&amp;refID=7052320&amp;Result=3","7052320")</f>
        <v>0</v>
      </c>
      <c r="B11688" t="s">
        <v>2390</v>
      </c>
      <c r="C11688" t="s">
        <v>14566</v>
      </c>
      <c r="D11688" t="s">
        <v>16618</v>
      </c>
      <c r="E11688" t="s">
        <v>26797</v>
      </c>
      <c r="F11688" t="s">
        <v>28669</v>
      </c>
      <c r="G11688" t="s">
        <v>28675</v>
      </c>
      <c r="H11688" t="s">
        <v>28686</v>
      </c>
      <c r="I11688" t="s">
        <v>28689</v>
      </c>
      <c r="J11688" t="s">
        <v>35980</v>
      </c>
      <c r="K11688" t="s">
        <v>37285</v>
      </c>
      <c r="M11688" t="s">
        <v>40065</v>
      </c>
      <c r="N11688" t="s">
        <v>41249</v>
      </c>
      <c r="O11688" t="s">
        <v>41250</v>
      </c>
      <c r="Q11688">
        <v>17</v>
      </c>
      <c r="R11688" t="s">
        <v>41265</v>
      </c>
      <c r="S11688" t="s">
        <v>41964</v>
      </c>
      <c r="T11688" t="s">
        <v>42670</v>
      </c>
      <c r="U11688" t="s">
        <v>52541</v>
      </c>
      <c r="V11688" t="s">
        <v>55646</v>
      </c>
      <c r="W11688" t="s">
        <v>40065</v>
      </c>
      <c r="X11688" t="s">
        <v>41266</v>
      </c>
    </row>
    <row r="11689" spans="1:24">
      <c r="A11689">
        <f>HYPERLINK("https://www.philgeps.gov.ph/GEPSNONPILOT/Tender/SplashBidNoticeAbstractUI.aspx?menuIndex=3&amp;refID=7052437&amp;Result=3","7052437")</f>
        <v>0</v>
      </c>
      <c r="B11689" t="s">
        <v>805</v>
      </c>
      <c r="C11689" t="s">
        <v>14567</v>
      </c>
      <c r="D11689" t="s">
        <v>16626</v>
      </c>
      <c r="E11689" t="s">
        <v>26798</v>
      </c>
      <c r="F11689" t="s">
        <v>28669</v>
      </c>
      <c r="G11689" t="s">
        <v>28675</v>
      </c>
      <c r="H11689" t="s">
        <v>9998</v>
      </c>
      <c r="I11689" t="s">
        <v>28694</v>
      </c>
      <c r="J11689" t="s">
        <v>35999</v>
      </c>
      <c r="K11689" t="s">
        <v>37243</v>
      </c>
      <c r="M11689" t="s">
        <v>38320</v>
      </c>
      <c r="N11689" t="s">
        <v>41249</v>
      </c>
      <c r="O11689" t="s">
        <v>41250</v>
      </c>
      <c r="P11689">
        <v>0</v>
      </c>
      <c r="Q11689">
        <v>0</v>
      </c>
      <c r="R11689" t="s">
        <v>41265</v>
      </c>
      <c r="S11689" t="s">
        <v>41880</v>
      </c>
      <c r="T11689" t="s">
        <v>42686</v>
      </c>
      <c r="U11689" t="s">
        <v>44777</v>
      </c>
      <c r="W11689" t="s">
        <v>38320</v>
      </c>
      <c r="X11689" t="s">
        <v>41266</v>
      </c>
    </row>
    <row r="11690" spans="1:24">
      <c r="A11690">
        <f>HYPERLINK("https://www.philgeps.gov.ph/GEPSNONPILOT/Tender/SplashBidNoticeAbstractUI.aspx?menuIndex=3&amp;refID=7052251&amp;Result=3","7052251")</f>
        <v>0</v>
      </c>
      <c r="B11690" t="s">
        <v>392</v>
      </c>
      <c r="C11690" t="s">
        <v>14568</v>
      </c>
      <c r="D11690" t="s">
        <v>16668</v>
      </c>
      <c r="E11690" t="s">
        <v>26799</v>
      </c>
      <c r="F11690" t="s">
        <v>28669</v>
      </c>
      <c r="G11690" t="s">
        <v>28675</v>
      </c>
      <c r="H11690" t="s">
        <v>9998</v>
      </c>
      <c r="I11690" t="s">
        <v>28736</v>
      </c>
      <c r="J11690" t="s">
        <v>36000</v>
      </c>
      <c r="K11690" t="s">
        <v>37204</v>
      </c>
      <c r="M11690" t="s">
        <v>37876</v>
      </c>
      <c r="N11690" t="s">
        <v>41249</v>
      </c>
      <c r="O11690" t="s">
        <v>41250</v>
      </c>
      <c r="P11690">
        <v>0</v>
      </c>
      <c r="Q11690">
        <v>4</v>
      </c>
      <c r="R11690" t="s">
        <v>41265</v>
      </c>
      <c r="S11690" t="s">
        <v>41880</v>
      </c>
      <c r="T11690" t="s">
        <v>42682</v>
      </c>
      <c r="U11690" t="s">
        <v>52571</v>
      </c>
      <c r="V11690" t="s">
        <v>55652</v>
      </c>
      <c r="W11690" t="s">
        <v>37876</v>
      </c>
      <c r="X11690" t="s">
        <v>41266</v>
      </c>
    </row>
    <row r="11691" spans="1:24">
      <c r="A11691">
        <f>HYPERLINK("https://www.philgeps.gov.ph/GEPSNONPILOT/Tender/SplashBidNoticeAbstractUI.aspx?menuIndex=3&amp;refID=7052436&amp;Result=3","7052436")</f>
        <v>0</v>
      </c>
      <c r="B11691" t="s">
        <v>2365</v>
      </c>
      <c r="C11691" t="s">
        <v>14569</v>
      </c>
      <c r="D11691" t="s">
        <v>16628</v>
      </c>
      <c r="E11691" t="s">
        <v>26800</v>
      </c>
      <c r="F11691" t="s">
        <v>28669</v>
      </c>
      <c r="G11691" t="s">
        <v>28675</v>
      </c>
      <c r="H11691" t="s">
        <v>28686</v>
      </c>
      <c r="I11691" t="s">
        <v>28689</v>
      </c>
      <c r="J11691" t="s">
        <v>36001</v>
      </c>
      <c r="K11691" t="s">
        <v>37468</v>
      </c>
      <c r="M11691" t="s">
        <v>40034</v>
      </c>
      <c r="N11691" t="s">
        <v>41249</v>
      </c>
      <c r="O11691" t="s">
        <v>41250</v>
      </c>
      <c r="P11691">
        <v>0</v>
      </c>
      <c r="Q11691">
        <v>4</v>
      </c>
      <c r="R11691" t="s">
        <v>41265</v>
      </c>
      <c r="S11691" t="s">
        <v>41880</v>
      </c>
      <c r="T11691" t="s">
        <v>42690</v>
      </c>
      <c r="U11691" t="s">
        <v>49339</v>
      </c>
      <c r="V11691" t="s">
        <v>55653</v>
      </c>
      <c r="W11691" t="s">
        <v>40034</v>
      </c>
      <c r="X11691" t="s">
        <v>41266</v>
      </c>
    </row>
    <row r="11692" spans="1:24">
      <c r="A11692">
        <f>HYPERLINK("https://www.philgeps.gov.ph/GEPSNONPILOT/Tender/SplashBidNoticeAbstractUI.aspx?menuIndex=3&amp;refID=7052452&amp;Result=3","7052452")</f>
        <v>0</v>
      </c>
      <c r="B11692" t="s">
        <v>2365</v>
      </c>
      <c r="C11692" t="s">
        <v>14570</v>
      </c>
      <c r="D11692" t="s">
        <v>16628</v>
      </c>
      <c r="E11692" t="s">
        <v>26801</v>
      </c>
      <c r="F11692" t="s">
        <v>28669</v>
      </c>
      <c r="G11692" t="s">
        <v>28675</v>
      </c>
      <c r="H11692" t="s">
        <v>28686</v>
      </c>
      <c r="I11692" t="s">
        <v>28689</v>
      </c>
      <c r="J11692" t="s">
        <v>36002</v>
      </c>
      <c r="K11692" t="s">
        <v>37468</v>
      </c>
      <c r="M11692" t="s">
        <v>40034</v>
      </c>
      <c r="N11692" t="s">
        <v>41249</v>
      </c>
      <c r="O11692" t="s">
        <v>41250</v>
      </c>
      <c r="P11692">
        <v>0</v>
      </c>
      <c r="Q11692">
        <v>4</v>
      </c>
      <c r="R11692" t="s">
        <v>41265</v>
      </c>
      <c r="S11692" t="s">
        <v>41880</v>
      </c>
      <c r="T11692" t="s">
        <v>42690</v>
      </c>
      <c r="U11692" t="s">
        <v>49339</v>
      </c>
      <c r="V11692" t="s">
        <v>55654</v>
      </c>
      <c r="W11692" t="s">
        <v>40034</v>
      </c>
      <c r="X11692" t="s">
        <v>41266</v>
      </c>
    </row>
    <row r="11693" spans="1:24">
      <c r="A11693">
        <f>HYPERLINK("https://www.philgeps.gov.ph/GEPSNONPILOT/Tender/SplashBidNoticeAbstractUI.aspx?menuIndex=3&amp;refID=7052430&amp;Result=3","7052430")</f>
        <v>0</v>
      </c>
      <c r="B11693" t="s">
        <v>2420</v>
      </c>
      <c r="C11693" t="s">
        <v>14571</v>
      </c>
      <c r="D11693" t="s">
        <v>16628</v>
      </c>
      <c r="E11693" t="s">
        <v>26802</v>
      </c>
      <c r="F11693" t="s">
        <v>28672</v>
      </c>
      <c r="G11693" t="s">
        <v>28675</v>
      </c>
      <c r="H11693" t="s">
        <v>9998</v>
      </c>
      <c r="I11693" t="s">
        <v>7352</v>
      </c>
      <c r="J11693" t="s">
        <v>31481</v>
      </c>
      <c r="K11693" t="s">
        <v>37210</v>
      </c>
      <c r="M11693" t="s">
        <v>40103</v>
      </c>
      <c r="N11693" t="s">
        <v>41249</v>
      </c>
      <c r="O11693" t="s">
        <v>41250</v>
      </c>
      <c r="P11693">
        <v>0</v>
      </c>
      <c r="Q11693">
        <v>0</v>
      </c>
      <c r="R11693" t="s">
        <v>41265</v>
      </c>
      <c r="S11693" t="s">
        <v>41880</v>
      </c>
      <c r="T11693" t="s">
        <v>42887</v>
      </c>
      <c r="U11693" t="s">
        <v>52572</v>
      </c>
      <c r="W11693" t="s">
        <v>40103</v>
      </c>
      <c r="X11693" t="s">
        <v>41266</v>
      </c>
    </row>
    <row r="11694" spans="1:24">
      <c r="A11694">
        <f>HYPERLINK("https://www.philgeps.gov.ph/GEPSNONPILOT/Tender/SplashBidNoticeAbstractUI.aspx?menuIndex=3&amp;refID=7052442&amp;Result=3","7052442")</f>
        <v>0</v>
      </c>
      <c r="B11694" t="s">
        <v>3151</v>
      </c>
      <c r="C11694" t="s">
        <v>14572</v>
      </c>
      <c r="D11694" t="s">
        <v>16608</v>
      </c>
      <c r="E11694" t="s">
        <v>26803</v>
      </c>
      <c r="F11694" t="s">
        <v>28669</v>
      </c>
      <c r="G11694" t="s">
        <v>28675</v>
      </c>
      <c r="H11694" t="s">
        <v>28686</v>
      </c>
      <c r="I11694" t="s">
        <v>28689</v>
      </c>
      <c r="J11694" t="s">
        <v>36003</v>
      </c>
      <c r="K11694" t="s">
        <v>37248</v>
      </c>
      <c r="M11694" t="s">
        <v>40943</v>
      </c>
      <c r="N11694" t="s">
        <v>41249</v>
      </c>
      <c r="O11694" t="s">
        <v>41250</v>
      </c>
      <c r="Q11694">
        <v>9</v>
      </c>
      <c r="R11694" t="s">
        <v>41265</v>
      </c>
      <c r="S11694" t="s">
        <v>41965</v>
      </c>
      <c r="T11694" t="s">
        <v>42688</v>
      </c>
      <c r="U11694" t="s">
        <v>52573</v>
      </c>
      <c r="W11694" t="s">
        <v>40943</v>
      </c>
      <c r="X11694" t="s">
        <v>41266</v>
      </c>
    </row>
    <row r="11695" spans="1:24">
      <c r="A11695">
        <f>HYPERLINK("https://www.philgeps.gov.ph/GEPSNONPILOT/Tender/SplashBidNoticeAbstractUI.aspx?menuIndex=3&amp;refID=7052509&amp;Result=3","7052509")</f>
        <v>0</v>
      </c>
      <c r="B11695" t="s">
        <v>2408</v>
      </c>
      <c r="C11695" t="s">
        <v>14573</v>
      </c>
      <c r="D11695" t="s">
        <v>16616</v>
      </c>
      <c r="E11695" t="s">
        <v>22394</v>
      </c>
      <c r="F11695" t="s">
        <v>28669</v>
      </c>
      <c r="G11695" t="s">
        <v>28675</v>
      </c>
      <c r="H11695" t="s">
        <v>9998</v>
      </c>
      <c r="I11695" t="s">
        <v>28706</v>
      </c>
      <c r="J11695" t="s">
        <v>29745</v>
      </c>
      <c r="K11695" t="s">
        <v>37206</v>
      </c>
      <c r="M11695" t="s">
        <v>40090</v>
      </c>
      <c r="N11695" t="s">
        <v>41249</v>
      </c>
      <c r="O11695" t="s">
        <v>41250</v>
      </c>
      <c r="P11695">
        <v>0</v>
      </c>
      <c r="Q11695">
        <v>1</v>
      </c>
      <c r="R11695" t="s">
        <v>41265</v>
      </c>
      <c r="S11695" t="s">
        <v>41880</v>
      </c>
      <c r="T11695" t="s">
        <v>42690</v>
      </c>
      <c r="U11695" t="s">
        <v>52574</v>
      </c>
      <c r="V11695" t="s">
        <v>55655</v>
      </c>
      <c r="W11695" t="s">
        <v>40090</v>
      </c>
      <c r="X11695" t="s">
        <v>41266</v>
      </c>
    </row>
    <row r="11696" spans="1:24">
      <c r="A11696">
        <f>HYPERLINK("https://www.philgeps.gov.ph/GEPSNONPILOT/Tender/SplashBidNoticeAbstractUI.aspx?menuIndex=3&amp;refID=7052441&amp;Result=3","7052441")</f>
        <v>0</v>
      </c>
      <c r="B11696" t="s">
        <v>2365</v>
      </c>
      <c r="C11696" t="s">
        <v>14574</v>
      </c>
      <c r="D11696" t="s">
        <v>16628</v>
      </c>
      <c r="E11696" t="s">
        <v>26804</v>
      </c>
      <c r="F11696" t="s">
        <v>28669</v>
      </c>
      <c r="G11696" t="s">
        <v>28675</v>
      </c>
      <c r="H11696" t="s">
        <v>28686</v>
      </c>
      <c r="I11696" t="s">
        <v>28689</v>
      </c>
      <c r="J11696" t="s">
        <v>36004</v>
      </c>
      <c r="K11696" t="s">
        <v>37468</v>
      </c>
      <c r="M11696" t="s">
        <v>40034</v>
      </c>
      <c r="N11696" t="s">
        <v>41249</v>
      </c>
      <c r="O11696" t="s">
        <v>41250</v>
      </c>
      <c r="P11696">
        <v>0</v>
      </c>
      <c r="Q11696">
        <v>4</v>
      </c>
      <c r="R11696" t="s">
        <v>41265</v>
      </c>
      <c r="S11696" t="s">
        <v>41880</v>
      </c>
      <c r="T11696" t="s">
        <v>42690</v>
      </c>
      <c r="U11696" t="s">
        <v>49339</v>
      </c>
      <c r="V11696" t="s">
        <v>55656</v>
      </c>
      <c r="W11696" t="s">
        <v>40034</v>
      </c>
      <c r="X11696" t="s">
        <v>41266</v>
      </c>
    </row>
    <row r="11697" spans="1:24">
      <c r="A11697">
        <f>HYPERLINK("https://www.philgeps.gov.ph/GEPSNONPILOT/Tender/SplashBidNoticeAbstractUI.aspx?menuIndex=3&amp;refID=7052504&amp;Result=3","7052504")</f>
        <v>0</v>
      </c>
      <c r="B11697" t="s">
        <v>1887</v>
      </c>
      <c r="C11697" t="s">
        <v>14575</v>
      </c>
      <c r="D11697" t="s">
        <v>16625</v>
      </c>
      <c r="E11697" t="s">
        <v>26805</v>
      </c>
      <c r="F11697" t="s">
        <v>28669</v>
      </c>
      <c r="G11697" t="s">
        <v>28675</v>
      </c>
      <c r="H11697" t="s">
        <v>28686</v>
      </c>
      <c r="I11697" t="s">
        <v>28689</v>
      </c>
      <c r="J11697" t="s">
        <v>36005</v>
      </c>
      <c r="K11697" t="s">
        <v>37226</v>
      </c>
      <c r="M11697" t="s">
        <v>39510</v>
      </c>
      <c r="N11697" t="s">
        <v>41249</v>
      </c>
      <c r="O11697" t="s">
        <v>41250</v>
      </c>
      <c r="Q11697">
        <v>0</v>
      </c>
      <c r="R11697" t="s">
        <v>41265</v>
      </c>
      <c r="S11697" t="s">
        <v>41966</v>
      </c>
      <c r="T11697" t="s">
        <v>42700</v>
      </c>
      <c r="U11697" t="s">
        <v>52575</v>
      </c>
      <c r="W11697" t="s">
        <v>56026</v>
      </c>
      <c r="X11697" t="s">
        <v>41266</v>
      </c>
    </row>
    <row r="11698" spans="1:24">
      <c r="A11698">
        <f>HYPERLINK("https://www.philgeps.gov.ph/GEPSNONPILOT/Tender/SplashBidNoticeAbstractUI.aspx?menuIndex=3&amp;refID=7052497&amp;Result=3","7052497")</f>
        <v>0</v>
      </c>
      <c r="B11698" t="s">
        <v>1887</v>
      </c>
      <c r="C11698" t="s">
        <v>14576</v>
      </c>
      <c r="D11698" t="s">
        <v>16625</v>
      </c>
      <c r="E11698" t="s">
        <v>26806</v>
      </c>
      <c r="F11698" t="s">
        <v>28669</v>
      </c>
      <c r="G11698" t="s">
        <v>28675</v>
      </c>
      <c r="H11698" t="s">
        <v>28686</v>
      </c>
      <c r="I11698" t="s">
        <v>28689</v>
      </c>
      <c r="J11698" t="s">
        <v>36006</v>
      </c>
      <c r="K11698" t="s">
        <v>37215</v>
      </c>
      <c r="M11698" t="s">
        <v>39510</v>
      </c>
      <c r="N11698" t="s">
        <v>41249</v>
      </c>
      <c r="O11698" t="s">
        <v>41250</v>
      </c>
      <c r="Q11698">
        <v>1</v>
      </c>
      <c r="R11698" t="s">
        <v>41265</v>
      </c>
      <c r="S11698" t="s">
        <v>41489</v>
      </c>
      <c r="T11698" t="s">
        <v>42700</v>
      </c>
      <c r="U11698" t="s">
        <v>52576</v>
      </c>
      <c r="W11698" t="s">
        <v>56026</v>
      </c>
      <c r="X11698" t="s">
        <v>41266</v>
      </c>
    </row>
    <row r="11699" spans="1:24">
      <c r="A11699">
        <f>HYPERLINK("https://www.philgeps.gov.ph/GEPSNONPILOT/Tender/SplashBidNoticeAbstractUI.aspx?menuIndex=3&amp;refID=7052513&amp;Result=3","7052513")</f>
        <v>0</v>
      </c>
      <c r="B11699" t="s">
        <v>3152</v>
      </c>
      <c r="C11699" t="s">
        <v>14577</v>
      </c>
      <c r="D11699" t="s">
        <v>16634</v>
      </c>
      <c r="E11699" t="s">
        <v>26807</v>
      </c>
      <c r="F11699" t="s">
        <v>28669</v>
      </c>
      <c r="G11699" t="s">
        <v>28675</v>
      </c>
      <c r="H11699" t="s">
        <v>28686</v>
      </c>
      <c r="I11699" t="s">
        <v>28689</v>
      </c>
      <c r="J11699" t="s">
        <v>36007</v>
      </c>
      <c r="K11699" t="s">
        <v>37212</v>
      </c>
      <c r="M11699" t="s">
        <v>40944</v>
      </c>
      <c r="N11699" t="s">
        <v>41249</v>
      </c>
      <c r="O11699" t="s">
        <v>41250</v>
      </c>
      <c r="P11699">
        <v>0</v>
      </c>
      <c r="Q11699">
        <v>0</v>
      </c>
      <c r="R11699" t="s">
        <v>41265</v>
      </c>
      <c r="S11699" t="s">
        <v>41880</v>
      </c>
      <c r="T11699" t="s">
        <v>42711</v>
      </c>
      <c r="U11699" t="s">
        <v>52577</v>
      </c>
      <c r="W11699" t="s">
        <v>40944</v>
      </c>
      <c r="X11699" t="s">
        <v>41266</v>
      </c>
    </row>
    <row r="11700" spans="1:24">
      <c r="A11700">
        <f>HYPERLINK("https://www.philgeps.gov.ph/GEPSNONPILOT/Tender/SplashBidNoticeAbstractUI.aspx?menuIndex=3&amp;refID=7052495&amp;Result=3","7052495")</f>
        <v>0</v>
      </c>
      <c r="B11700" t="s">
        <v>2420</v>
      </c>
      <c r="C11700" t="s">
        <v>14578</v>
      </c>
      <c r="D11700" t="s">
        <v>16628</v>
      </c>
      <c r="E11700" t="s">
        <v>26808</v>
      </c>
      <c r="F11700" t="s">
        <v>28672</v>
      </c>
      <c r="G11700" t="s">
        <v>28675</v>
      </c>
      <c r="H11700" t="s">
        <v>9998</v>
      </c>
      <c r="I11700" t="s">
        <v>28696</v>
      </c>
      <c r="J11700" t="s">
        <v>36008</v>
      </c>
      <c r="K11700" t="s">
        <v>37210</v>
      </c>
      <c r="M11700" t="s">
        <v>40103</v>
      </c>
      <c r="N11700" t="s">
        <v>41249</v>
      </c>
      <c r="O11700" t="s">
        <v>41250</v>
      </c>
      <c r="P11700">
        <v>0</v>
      </c>
      <c r="Q11700">
        <v>0</v>
      </c>
      <c r="R11700" t="s">
        <v>41265</v>
      </c>
      <c r="S11700" t="s">
        <v>41880</v>
      </c>
      <c r="T11700" t="s">
        <v>42748</v>
      </c>
      <c r="U11700" t="s">
        <v>52578</v>
      </c>
      <c r="W11700" t="s">
        <v>40103</v>
      </c>
      <c r="X11700" t="s">
        <v>41266</v>
      </c>
    </row>
    <row r="11701" spans="1:24">
      <c r="A11701">
        <f>HYPERLINK("https://www.philgeps.gov.ph/GEPSNONPILOT/Tender/SplashBidNoticeAbstractUI.aspx?menuIndex=3&amp;refID=7052510&amp;Result=3","7052510")</f>
        <v>0</v>
      </c>
      <c r="B11701" t="s">
        <v>1887</v>
      </c>
      <c r="C11701" t="s">
        <v>14579</v>
      </c>
      <c r="D11701" t="s">
        <v>16625</v>
      </c>
      <c r="E11701" t="s">
        <v>26809</v>
      </c>
      <c r="F11701" t="s">
        <v>28669</v>
      </c>
      <c r="G11701" t="s">
        <v>28675</v>
      </c>
      <c r="H11701" t="s">
        <v>28686</v>
      </c>
      <c r="I11701" t="s">
        <v>28689</v>
      </c>
      <c r="J11701" t="s">
        <v>36009</v>
      </c>
      <c r="K11701" t="s">
        <v>37326</v>
      </c>
      <c r="M11701" t="s">
        <v>39510</v>
      </c>
      <c r="N11701" t="s">
        <v>41249</v>
      </c>
      <c r="O11701" t="s">
        <v>41250</v>
      </c>
      <c r="Q11701">
        <v>0</v>
      </c>
      <c r="R11701" t="s">
        <v>41265</v>
      </c>
      <c r="S11701" t="s">
        <v>41966</v>
      </c>
      <c r="T11701" t="s">
        <v>42700</v>
      </c>
      <c r="U11701" t="s">
        <v>52579</v>
      </c>
      <c r="W11701" t="s">
        <v>56026</v>
      </c>
      <c r="X11701" t="s">
        <v>41266</v>
      </c>
    </row>
    <row r="11702" spans="1:24">
      <c r="A11702">
        <f>HYPERLINK("https://www.philgeps.gov.ph/GEPSNONPILOT/Tender/SplashBidNoticeAbstractUI.aspx?menuIndex=3&amp;refID=7052491&amp;Result=3","7052491")</f>
        <v>0</v>
      </c>
      <c r="B11702" t="s">
        <v>2382</v>
      </c>
      <c r="C11702" t="s">
        <v>14580</v>
      </c>
      <c r="D11702" t="s">
        <v>16626</v>
      </c>
      <c r="E11702" t="s">
        <v>22739</v>
      </c>
      <c r="F11702" t="s">
        <v>28669</v>
      </c>
      <c r="G11702" t="s">
        <v>28676</v>
      </c>
      <c r="H11702" t="s">
        <v>9998</v>
      </c>
      <c r="I11702" t="s">
        <v>6128</v>
      </c>
      <c r="J11702" t="s">
        <v>36010</v>
      </c>
      <c r="K11702" t="s">
        <v>37234</v>
      </c>
      <c r="M11702" t="s">
        <v>40055</v>
      </c>
      <c r="N11702" t="s">
        <v>41249</v>
      </c>
      <c r="O11702" t="s">
        <v>41250</v>
      </c>
      <c r="P11702">
        <v>0</v>
      </c>
      <c r="Q11702">
        <v>1</v>
      </c>
      <c r="R11702" t="s">
        <v>41265</v>
      </c>
      <c r="S11702" t="s">
        <v>41880</v>
      </c>
      <c r="T11702" t="s">
        <v>42717</v>
      </c>
      <c r="U11702" t="s">
        <v>52580</v>
      </c>
      <c r="W11702" t="s">
        <v>40055</v>
      </c>
      <c r="X11702" t="s">
        <v>41266</v>
      </c>
    </row>
    <row r="11703" spans="1:24">
      <c r="A11703">
        <f>HYPERLINK("https://www.philgeps.gov.ph/GEPSNONPILOT/Tender/SplashBidNoticeAbstractUI.aspx?menuIndex=3&amp;refID=7052459&amp;Result=3","7052459")</f>
        <v>0</v>
      </c>
      <c r="B11703" t="s">
        <v>1399</v>
      </c>
      <c r="C11703" t="s">
        <v>14581</v>
      </c>
      <c r="D11703" t="s">
        <v>16611</v>
      </c>
      <c r="E11703" t="s">
        <v>26810</v>
      </c>
      <c r="F11703" t="s">
        <v>28669</v>
      </c>
      <c r="G11703" t="s">
        <v>28675</v>
      </c>
      <c r="H11703" t="s">
        <v>28686</v>
      </c>
      <c r="I11703" t="s">
        <v>28689</v>
      </c>
      <c r="J11703" t="s">
        <v>28836</v>
      </c>
      <c r="K11703" t="s">
        <v>37375</v>
      </c>
      <c r="M11703" t="s">
        <v>40941</v>
      </c>
      <c r="N11703" t="s">
        <v>41249</v>
      </c>
      <c r="O11703" t="s">
        <v>41250</v>
      </c>
      <c r="Q11703">
        <v>1</v>
      </c>
      <c r="R11703" t="s">
        <v>41265</v>
      </c>
      <c r="S11703" t="s">
        <v>41961</v>
      </c>
      <c r="T11703" t="s">
        <v>42679</v>
      </c>
      <c r="U11703" t="s">
        <v>52581</v>
      </c>
      <c r="W11703" t="s">
        <v>40941</v>
      </c>
      <c r="X11703" t="s">
        <v>41266</v>
      </c>
    </row>
    <row r="11704" spans="1:24">
      <c r="A11704">
        <f>HYPERLINK("https://www.philgeps.gov.ph/GEPSNONPILOT/Tender/SplashBidNoticeAbstractUI.aspx?menuIndex=3&amp;refID=7052490&amp;Result=3","7052490")</f>
        <v>0</v>
      </c>
      <c r="B11704" t="s">
        <v>3153</v>
      </c>
      <c r="C11704" t="s">
        <v>14582</v>
      </c>
      <c r="D11704" t="s">
        <v>16610</v>
      </c>
      <c r="E11704" t="s">
        <v>26811</v>
      </c>
      <c r="F11704" t="s">
        <v>28669</v>
      </c>
      <c r="G11704" t="s">
        <v>28675</v>
      </c>
      <c r="H11704" t="s">
        <v>28686</v>
      </c>
      <c r="I11704" t="s">
        <v>28689</v>
      </c>
      <c r="J11704" t="s">
        <v>36011</v>
      </c>
      <c r="K11704" t="s">
        <v>37220</v>
      </c>
      <c r="M11704" t="s">
        <v>40945</v>
      </c>
      <c r="N11704" t="s">
        <v>41249</v>
      </c>
      <c r="O11704" t="s">
        <v>41250</v>
      </c>
      <c r="P11704">
        <v>0</v>
      </c>
      <c r="Q11704">
        <v>1</v>
      </c>
      <c r="R11704" t="s">
        <v>41265</v>
      </c>
      <c r="S11704" t="s">
        <v>41880</v>
      </c>
      <c r="T11704" t="s">
        <v>42759</v>
      </c>
      <c r="U11704" t="s">
        <v>52582</v>
      </c>
      <c r="W11704" t="s">
        <v>40945</v>
      </c>
      <c r="X11704" t="s">
        <v>41266</v>
      </c>
    </row>
    <row r="11705" spans="1:24">
      <c r="A11705">
        <f>HYPERLINK("https://www.philgeps.gov.ph/GEPSNONPILOT/Tender/SplashBidNoticeAbstractUI.aspx?menuIndex=3&amp;refID=7052489&amp;Result=3","7052489")</f>
        <v>0</v>
      </c>
      <c r="B11705" t="s">
        <v>2420</v>
      </c>
      <c r="C11705" t="s">
        <v>14583</v>
      </c>
      <c r="D11705" t="s">
        <v>16628</v>
      </c>
      <c r="E11705" t="s">
        <v>26812</v>
      </c>
      <c r="F11705" t="s">
        <v>28672</v>
      </c>
      <c r="G11705" t="s">
        <v>28675</v>
      </c>
      <c r="H11705" t="s">
        <v>9998</v>
      </c>
      <c r="I11705" t="s">
        <v>28697</v>
      </c>
      <c r="J11705" t="s">
        <v>28894</v>
      </c>
      <c r="K11705" t="s">
        <v>37210</v>
      </c>
      <c r="M11705" t="s">
        <v>40103</v>
      </c>
      <c r="N11705" t="s">
        <v>41249</v>
      </c>
      <c r="O11705" t="s">
        <v>41250</v>
      </c>
      <c r="P11705">
        <v>0</v>
      </c>
      <c r="Q11705">
        <v>0</v>
      </c>
      <c r="R11705" t="s">
        <v>41265</v>
      </c>
      <c r="S11705" t="s">
        <v>41880</v>
      </c>
      <c r="T11705" t="s">
        <v>42748</v>
      </c>
      <c r="U11705" t="s">
        <v>52583</v>
      </c>
      <c r="W11705" t="s">
        <v>40103</v>
      </c>
      <c r="X11705" t="s">
        <v>41266</v>
      </c>
    </row>
    <row r="11706" spans="1:24">
      <c r="A11706">
        <f>HYPERLINK("https://www.philgeps.gov.ph/GEPSNONPILOT/Tender/SplashBidNoticeAbstractUI.aspx?menuIndex=3&amp;refID=7052485&amp;Result=3","7052485")</f>
        <v>0</v>
      </c>
      <c r="B11706" t="s">
        <v>3154</v>
      </c>
      <c r="C11706" t="s">
        <v>14584</v>
      </c>
      <c r="D11706" t="s">
        <v>16669</v>
      </c>
      <c r="E11706" t="s">
        <v>26813</v>
      </c>
      <c r="F11706" t="s">
        <v>28669</v>
      </c>
      <c r="G11706" t="s">
        <v>28675</v>
      </c>
      <c r="H11706" t="s">
        <v>28686</v>
      </c>
      <c r="I11706" t="s">
        <v>28689</v>
      </c>
      <c r="J11706" t="s">
        <v>29112</v>
      </c>
      <c r="K11706" t="s">
        <v>37305</v>
      </c>
      <c r="M11706" t="s">
        <v>40946</v>
      </c>
      <c r="N11706" t="s">
        <v>41249</v>
      </c>
      <c r="O11706" t="s">
        <v>41250</v>
      </c>
      <c r="P11706">
        <v>0</v>
      </c>
      <c r="Q11706">
        <v>0</v>
      </c>
      <c r="R11706" t="s">
        <v>41265</v>
      </c>
      <c r="S11706" t="s">
        <v>41880</v>
      </c>
      <c r="T11706" t="s">
        <v>42686</v>
      </c>
      <c r="U11706" t="s">
        <v>52584</v>
      </c>
      <c r="V11706" t="s">
        <v>55657</v>
      </c>
      <c r="W11706" t="s">
        <v>40946</v>
      </c>
      <c r="X11706" t="s">
        <v>41266</v>
      </c>
    </row>
    <row r="11707" spans="1:24">
      <c r="A11707">
        <f>HYPERLINK("https://www.philgeps.gov.ph/GEPSNONPILOT/Tender/SplashBidNoticeAbstractUI.aspx?menuIndex=3&amp;refID=7052484&amp;Result=3","7052484")</f>
        <v>0</v>
      </c>
      <c r="B11707" t="s">
        <v>1399</v>
      </c>
      <c r="C11707" t="s">
        <v>14585</v>
      </c>
      <c r="D11707" t="s">
        <v>16611</v>
      </c>
      <c r="E11707" t="s">
        <v>26814</v>
      </c>
      <c r="F11707" t="s">
        <v>28669</v>
      </c>
      <c r="G11707" t="s">
        <v>28675</v>
      </c>
      <c r="H11707" t="s">
        <v>28686</v>
      </c>
      <c r="I11707" t="s">
        <v>28689</v>
      </c>
      <c r="J11707" t="s">
        <v>28847</v>
      </c>
      <c r="K11707" t="s">
        <v>37419</v>
      </c>
      <c r="M11707" t="s">
        <v>40941</v>
      </c>
      <c r="N11707" t="s">
        <v>41249</v>
      </c>
      <c r="O11707" t="s">
        <v>41250</v>
      </c>
      <c r="Q11707">
        <v>1</v>
      </c>
      <c r="R11707" t="s">
        <v>41265</v>
      </c>
      <c r="S11707" t="s">
        <v>41967</v>
      </c>
      <c r="T11707" t="s">
        <v>42679</v>
      </c>
      <c r="U11707" t="s">
        <v>52585</v>
      </c>
      <c r="W11707" t="s">
        <v>40941</v>
      </c>
      <c r="X11707" t="s">
        <v>41266</v>
      </c>
    </row>
    <row r="11708" spans="1:24">
      <c r="A11708">
        <f>HYPERLINK("https://www.philgeps.gov.ph/GEPSNONPILOT/Tender/SplashBidNoticeAbstractUI.aspx?menuIndex=3&amp;refID=7052465&amp;Result=3","7052465")</f>
        <v>0</v>
      </c>
      <c r="B11708" t="s">
        <v>1399</v>
      </c>
      <c r="C11708" t="s">
        <v>14586</v>
      </c>
      <c r="D11708" t="s">
        <v>16611</v>
      </c>
      <c r="E11708" t="s">
        <v>26815</v>
      </c>
      <c r="F11708" t="s">
        <v>28669</v>
      </c>
      <c r="G11708" t="s">
        <v>28675</v>
      </c>
      <c r="H11708" t="s">
        <v>28686</v>
      </c>
      <c r="I11708" t="s">
        <v>28689</v>
      </c>
      <c r="J11708" t="s">
        <v>28836</v>
      </c>
      <c r="K11708" t="s">
        <v>37375</v>
      </c>
      <c r="M11708" t="s">
        <v>40941</v>
      </c>
      <c r="N11708" t="s">
        <v>41249</v>
      </c>
      <c r="O11708" t="s">
        <v>41250</v>
      </c>
      <c r="Q11708">
        <v>1</v>
      </c>
      <c r="R11708" t="s">
        <v>41265</v>
      </c>
      <c r="S11708" t="s">
        <v>41968</v>
      </c>
      <c r="T11708" t="s">
        <v>42679</v>
      </c>
      <c r="U11708" t="s">
        <v>52586</v>
      </c>
      <c r="W11708" t="s">
        <v>40941</v>
      </c>
      <c r="X11708" t="s">
        <v>41266</v>
      </c>
    </row>
    <row r="11709" spans="1:24">
      <c r="A11709">
        <f>HYPERLINK("https://www.philgeps.gov.ph/GEPSNONPILOT/Tender/SplashBidNoticeAbstractUI.aspx?menuIndex=3&amp;refID=7052493&amp;Result=3","7052493")</f>
        <v>0</v>
      </c>
      <c r="B11709" t="s">
        <v>3153</v>
      </c>
      <c r="C11709" t="s">
        <v>14587</v>
      </c>
      <c r="D11709" t="s">
        <v>16610</v>
      </c>
      <c r="E11709" t="s">
        <v>26816</v>
      </c>
      <c r="F11709" t="s">
        <v>28669</v>
      </c>
      <c r="G11709" t="s">
        <v>28675</v>
      </c>
      <c r="H11709" t="s">
        <v>28686</v>
      </c>
      <c r="I11709" t="s">
        <v>28689</v>
      </c>
      <c r="J11709" t="s">
        <v>36012</v>
      </c>
      <c r="K11709" t="s">
        <v>37220</v>
      </c>
      <c r="M11709" t="s">
        <v>40945</v>
      </c>
      <c r="N11709" t="s">
        <v>41249</v>
      </c>
      <c r="O11709" t="s">
        <v>41250</v>
      </c>
      <c r="P11709">
        <v>0</v>
      </c>
      <c r="Q11709">
        <v>0</v>
      </c>
      <c r="R11709" t="s">
        <v>41265</v>
      </c>
      <c r="S11709" t="s">
        <v>41880</v>
      </c>
      <c r="T11709" t="s">
        <v>42759</v>
      </c>
      <c r="U11709" t="s">
        <v>52587</v>
      </c>
      <c r="W11709" t="s">
        <v>40945</v>
      </c>
      <c r="X11709" t="s">
        <v>41266</v>
      </c>
    </row>
    <row r="11710" spans="1:24">
      <c r="A11710">
        <f>HYPERLINK("https://www.philgeps.gov.ph/GEPSNONPILOT/Tender/SplashBidNoticeAbstractUI.aspx?menuIndex=3&amp;refID=7052482&amp;Result=3","7052482")</f>
        <v>0</v>
      </c>
      <c r="B11710" t="s">
        <v>1399</v>
      </c>
      <c r="C11710" t="s">
        <v>14588</v>
      </c>
      <c r="D11710" t="s">
        <v>16611</v>
      </c>
      <c r="E11710" t="s">
        <v>26817</v>
      </c>
      <c r="F11710" t="s">
        <v>28669</v>
      </c>
      <c r="G11710" t="s">
        <v>28675</v>
      </c>
      <c r="H11710" t="s">
        <v>28686</v>
      </c>
      <c r="I11710" t="s">
        <v>28689</v>
      </c>
      <c r="J11710" t="s">
        <v>28847</v>
      </c>
      <c r="K11710" t="s">
        <v>37419</v>
      </c>
      <c r="M11710" t="s">
        <v>40941</v>
      </c>
      <c r="N11710" t="s">
        <v>41249</v>
      </c>
      <c r="O11710" t="s">
        <v>41250</v>
      </c>
      <c r="Q11710">
        <v>1</v>
      </c>
      <c r="R11710" t="s">
        <v>41265</v>
      </c>
      <c r="S11710" t="s">
        <v>41967</v>
      </c>
      <c r="T11710" t="s">
        <v>42679</v>
      </c>
      <c r="U11710" t="s">
        <v>52588</v>
      </c>
      <c r="W11710" t="s">
        <v>40941</v>
      </c>
      <c r="X11710" t="s">
        <v>41266</v>
      </c>
    </row>
    <row r="11711" spans="1:24">
      <c r="A11711">
        <f>HYPERLINK("https://www.philgeps.gov.ph/GEPSNONPILOT/Tender/SplashBidNoticeAbstractUI.aspx?menuIndex=3&amp;refID=7052480&amp;Result=3","7052480")</f>
        <v>0</v>
      </c>
      <c r="B11711" t="s">
        <v>1399</v>
      </c>
      <c r="C11711" t="s">
        <v>14589</v>
      </c>
      <c r="D11711" t="s">
        <v>16611</v>
      </c>
      <c r="E11711" t="s">
        <v>26818</v>
      </c>
      <c r="F11711" t="s">
        <v>28669</v>
      </c>
      <c r="G11711" t="s">
        <v>28675</v>
      </c>
      <c r="H11711" t="s">
        <v>28686</v>
      </c>
      <c r="I11711" t="s">
        <v>28689</v>
      </c>
      <c r="J11711" t="s">
        <v>29112</v>
      </c>
      <c r="K11711" t="s">
        <v>37224</v>
      </c>
      <c r="M11711" t="s">
        <v>40941</v>
      </c>
      <c r="N11711" t="s">
        <v>41249</v>
      </c>
      <c r="O11711" t="s">
        <v>41250</v>
      </c>
      <c r="Q11711">
        <v>1</v>
      </c>
      <c r="R11711" t="s">
        <v>41265</v>
      </c>
      <c r="S11711" t="s">
        <v>41969</v>
      </c>
      <c r="T11711" t="s">
        <v>42679</v>
      </c>
      <c r="U11711" t="s">
        <v>52589</v>
      </c>
      <c r="W11711" t="s">
        <v>40941</v>
      </c>
      <c r="X11711" t="s">
        <v>41266</v>
      </c>
    </row>
    <row r="11712" spans="1:24">
      <c r="A11712">
        <f>HYPERLINK("https://www.philgeps.gov.ph/GEPSNONPILOT/Tender/SplashBidNoticeAbstractUI.aspx?menuIndex=3&amp;refID=7052479&amp;Result=3","7052479")</f>
        <v>0</v>
      </c>
      <c r="B11712" t="s">
        <v>3154</v>
      </c>
      <c r="C11712" t="s">
        <v>14590</v>
      </c>
      <c r="D11712" t="s">
        <v>16669</v>
      </c>
      <c r="E11712" t="s">
        <v>26819</v>
      </c>
      <c r="F11712" t="s">
        <v>28669</v>
      </c>
      <c r="G11712" t="s">
        <v>28675</v>
      </c>
      <c r="H11712" t="s">
        <v>28686</v>
      </c>
      <c r="I11712" t="s">
        <v>28689</v>
      </c>
      <c r="J11712" t="s">
        <v>28924</v>
      </c>
      <c r="K11712" t="s">
        <v>37305</v>
      </c>
      <c r="M11712" t="s">
        <v>40946</v>
      </c>
      <c r="N11712" t="s">
        <v>41249</v>
      </c>
      <c r="O11712" t="s">
        <v>41250</v>
      </c>
      <c r="P11712">
        <v>0</v>
      </c>
      <c r="Q11712">
        <v>0</v>
      </c>
      <c r="R11712" t="s">
        <v>41265</v>
      </c>
      <c r="S11712" t="s">
        <v>41880</v>
      </c>
      <c r="T11712" t="s">
        <v>42686</v>
      </c>
      <c r="U11712" t="s">
        <v>52584</v>
      </c>
      <c r="V11712" t="s">
        <v>55657</v>
      </c>
      <c r="W11712" t="s">
        <v>40946</v>
      </c>
      <c r="X11712" t="s">
        <v>41266</v>
      </c>
    </row>
    <row r="11713" spans="1:24">
      <c r="A11713">
        <f>HYPERLINK("https://www.philgeps.gov.ph/GEPSNONPILOT/Tender/SplashBidNoticeAbstractUI.aspx?menuIndex=3&amp;refID=7052475&amp;Result=3","7052475")</f>
        <v>0</v>
      </c>
      <c r="B11713" t="s">
        <v>1399</v>
      </c>
      <c r="C11713" t="s">
        <v>14591</v>
      </c>
      <c r="D11713" t="s">
        <v>16611</v>
      </c>
      <c r="E11713" t="s">
        <v>26820</v>
      </c>
      <c r="F11713" t="s">
        <v>28669</v>
      </c>
      <c r="G11713" t="s">
        <v>28675</v>
      </c>
      <c r="H11713" t="s">
        <v>28686</v>
      </c>
      <c r="I11713" t="s">
        <v>28689</v>
      </c>
      <c r="J11713" t="s">
        <v>29003</v>
      </c>
      <c r="K11713" t="s">
        <v>37291</v>
      </c>
      <c r="M11713" t="s">
        <v>40941</v>
      </c>
      <c r="N11713" t="s">
        <v>41249</v>
      </c>
      <c r="O11713" t="s">
        <v>41250</v>
      </c>
      <c r="Q11713">
        <v>0</v>
      </c>
      <c r="R11713" t="s">
        <v>41265</v>
      </c>
      <c r="S11713" t="s">
        <v>41958</v>
      </c>
      <c r="T11713" t="s">
        <v>42679</v>
      </c>
      <c r="U11713" t="s">
        <v>52590</v>
      </c>
      <c r="W11713" t="s">
        <v>40941</v>
      </c>
      <c r="X11713" t="s">
        <v>41266</v>
      </c>
    </row>
    <row r="11714" spans="1:24">
      <c r="A11714">
        <f>HYPERLINK("https://www.philgeps.gov.ph/GEPSNONPILOT/Tender/SplashBidNoticeAbstractUI.aspx?menuIndex=3&amp;refID=7052517&amp;Result=3","7052517")</f>
        <v>0</v>
      </c>
      <c r="B11714" t="s">
        <v>281</v>
      </c>
      <c r="C11714" t="s">
        <v>14592</v>
      </c>
      <c r="D11714" t="s">
        <v>16652</v>
      </c>
      <c r="E11714" t="s">
        <v>26821</v>
      </c>
      <c r="F11714" t="s">
        <v>28669</v>
      </c>
      <c r="G11714" t="s">
        <v>28675</v>
      </c>
      <c r="H11714" t="s">
        <v>9998</v>
      </c>
      <c r="I11714" t="s">
        <v>5033</v>
      </c>
      <c r="J11714" t="s">
        <v>29191</v>
      </c>
      <c r="K11714" t="s">
        <v>37205</v>
      </c>
      <c r="M11714" t="s">
        <v>37759</v>
      </c>
      <c r="N11714" t="s">
        <v>41249</v>
      </c>
      <c r="O11714" t="s">
        <v>41250</v>
      </c>
      <c r="P11714">
        <v>0</v>
      </c>
      <c r="Q11714">
        <v>4</v>
      </c>
      <c r="R11714" t="s">
        <v>41265</v>
      </c>
      <c r="S11714" t="s">
        <v>41880</v>
      </c>
      <c r="T11714" t="s">
        <v>42690</v>
      </c>
      <c r="U11714" t="s">
        <v>52591</v>
      </c>
      <c r="W11714" t="s">
        <v>37759</v>
      </c>
      <c r="X11714" t="s">
        <v>41266</v>
      </c>
    </row>
    <row r="11715" spans="1:24">
      <c r="A11715">
        <f>HYPERLINK("https://www.philgeps.gov.ph/GEPSNONPILOT/Tender/SplashBidNoticeAbstractUI.aspx?menuIndex=3&amp;refID=7052428&amp;Result=3","7052428")</f>
        <v>0</v>
      </c>
      <c r="B11715" t="s">
        <v>2365</v>
      </c>
      <c r="C11715" t="s">
        <v>14593</v>
      </c>
      <c r="D11715" t="s">
        <v>16628</v>
      </c>
      <c r="E11715" t="s">
        <v>26822</v>
      </c>
      <c r="F11715" t="s">
        <v>28669</v>
      </c>
      <c r="G11715" t="s">
        <v>28675</v>
      </c>
      <c r="H11715" t="s">
        <v>28686</v>
      </c>
      <c r="I11715" t="s">
        <v>28689</v>
      </c>
      <c r="J11715" t="s">
        <v>36013</v>
      </c>
      <c r="K11715" t="s">
        <v>37468</v>
      </c>
      <c r="M11715" t="s">
        <v>40034</v>
      </c>
      <c r="N11715" t="s">
        <v>41249</v>
      </c>
      <c r="O11715" t="s">
        <v>41250</v>
      </c>
      <c r="P11715">
        <v>0</v>
      </c>
      <c r="Q11715">
        <v>4</v>
      </c>
      <c r="R11715" t="s">
        <v>41265</v>
      </c>
      <c r="S11715" t="s">
        <v>41880</v>
      </c>
      <c r="T11715" t="s">
        <v>42690</v>
      </c>
      <c r="U11715" t="s">
        <v>49339</v>
      </c>
      <c r="V11715" t="s">
        <v>55658</v>
      </c>
      <c r="W11715" t="s">
        <v>40034</v>
      </c>
      <c r="X11715" t="s">
        <v>41266</v>
      </c>
    </row>
    <row r="11716" spans="1:24">
      <c r="A11716">
        <f>HYPERLINK("https://www.philgeps.gov.ph/GEPSNONPILOT/Tender/SplashBidNoticeAbstractUI.aspx?menuIndex=3&amp;refID=7052615&amp;Result=3","7052615")</f>
        <v>0</v>
      </c>
      <c r="B11716" t="s">
        <v>100</v>
      </c>
      <c r="C11716" t="s">
        <v>14594</v>
      </c>
      <c r="D11716" t="s">
        <v>16608</v>
      </c>
      <c r="E11716" t="s">
        <v>26823</v>
      </c>
      <c r="F11716" t="s">
        <v>28669</v>
      </c>
      <c r="G11716" t="s">
        <v>28675</v>
      </c>
      <c r="H11716" t="s">
        <v>9998</v>
      </c>
      <c r="I11716" t="s">
        <v>28791</v>
      </c>
      <c r="J11716" t="s">
        <v>36014</v>
      </c>
      <c r="K11716" t="s">
        <v>37272</v>
      </c>
      <c r="M11716" t="s">
        <v>40947</v>
      </c>
      <c r="N11716" t="s">
        <v>41249</v>
      </c>
      <c r="O11716" t="s">
        <v>41250</v>
      </c>
      <c r="P11716">
        <v>0</v>
      </c>
      <c r="Q11716">
        <v>13</v>
      </c>
      <c r="R11716" t="s">
        <v>41265</v>
      </c>
      <c r="S11716" t="s">
        <v>41880</v>
      </c>
      <c r="T11716" t="s">
        <v>42700</v>
      </c>
      <c r="U11716" t="s">
        <v>52592</v>
      </c>
      <c r="W11716" t="s">
        <v>40947</v>
      </c>
      <c r="X11716" t="s">
        <v>41266</v>
      </c>
    </row>
    <row r="11717" spans="1:24">
      <c r="A11717">
        <f>HYPERLINK("https://www.philgeps.gov.ph/GEPSNONPILOT/Tender/SplashBidNoticeAbstractUI.aspx?menuIndex=3&amp;refID=7052635&amp;Result=3","7052635")</f>
        <v>0</v>
      </c>
      <c r="B11717" t="s">
        <v>2547</v>
      </c>
      <c r="C11717" t="s">
        <v>14595</v>
      </c>
      <c r="D11717" t="s">
        <v>16654</v>
      </c>
      <c r="E11717" t="s">
        <v>26824</v>
      </c>
      <c r="F11717" t="s">
        <v>28669</v>
      </c>
      <c r="G11717" t="s">
        <v>28675</v>
      </c>
      <c r="H11717" t="s">
        <v>28686</v>
      </c>
      <c r="I11717" t="s">
        <v>28689</v>
      </c>
      <c r="J11717" t="s">
        <v>29655</v>
      </c>
      <c r="K11717" t="s">
        <v>37206</v>
      </c>
      <c r="M11717" t="s">
        <v>40239</v>
      </c>
      <c r="N11717" t="s">
        <v>41249</v>
      </c>
      <c r="O11717" t="s">
        <v>41250</v>
      </c>
      <c r="P11717">
        <v>0</v>
      </c>
      <c r="Q11717">
        <v>0</v>
      </c>
      <c r="R11717" t="s">
        <v>41265</v>
      </c>
      <c r="S11717" t="s">
        <v>41880</v>
      </c>
      <c r="T11717" t="s">
        <v>42679</v>
      </c>
      <c r="U11717" t="s">
        <v>49954</v>
      </c>
      <c r="W11717" t="s">
        <v>40239</v>
      </c>
      <c r="X11717" t="s">
        <v>41266</v>
      </c>
    </row>
    <row r="11718" spans="1:24">
      <c r="A11718">
        <f>HYPERLINK("https://www.philgeps.gov.ph/GEPSNONPILOT/Tender/SplashBidNoticeAbstractUI.aspx?menuIndex=3&amp;refID=7052631&amp;Result=3","7052631")</f>
        <v>0</v>
      </c>
      <c r="B11718" t="s">
        <v>2547</v>
      </c>
      <c r="C11718" t="s">
        <v>14596</v>
      </c>
      <c r="D11718" t="s">
        <v>16654</v>
      </c>
      <c r="E11718" t="s">
        <v>26825</v>
      </c>
      <c r="F11718" t="s">
        <v>28669</v>
      </c>
      <c r="G11718" t="s">
        <v>28675</v>
      </c>
      <c r="H11718" t="s">
        <v>28686</v>
      </c>
      <c r="I11718" t="s">
        <v>28689</v>
      </c>
      <c r="J11718" t="s">
        <v>29134</v>
      </c>
      <c r="K11718" t="s">
        <v>37206</v>
      </c>
      <c r="M11718" t="s">
        <v>40239</v>
      </c>
      <c r="N11718" t="s">
        <v>41249</v>
      </c>
      <c r="O11718" t="s">
        <v>41250</v>
      </c>
      <c r="P11718">
        <v>0</v>
      </c>
      <c r="Q11718">
        <v>0</v>
      </c>
      <c r="R11718" t="s">
        <v>41265</v>
      </c>
      <c r="S11718" t="s">
        <v>41880</v>
      </c>
      <c r="T11718" t="s">
        <v>42679</v>
      </c>
      <c r="U11718" t="s">
        <v>49954</v>
      </c>
      <c r="W11718" t="s">
        <v>40239</v>
      </c>
      <c r="X11718" t="s">
        <v>41266</v>
      </c>
    </row>
    <row r="11719" spans="1:24">
      <c r="A11719">
        <f>HYPERLINK("https://www.philgeps.gov.ph/GEPSNONPILOT/Tender/SplashBidNoticeAbstractUI.aspx?menuIndex=3&amp;refID=7052630&amp;Result=3","7052630")</f>
        <v>0</v>
      </c>
      <c r="B11719" t="s">
        <v>2547</v>
      </c>
      <c r="C11719" t="s">
        <v>14597</v>
      </c>
      <c r="D11719" t="s">
        <v>16654</v>
      </c>
      <c r="E11719" t="s">
        <v>26826</v>
      </c>
      <c r="F11719" t="s">
        <v>28669</v>
      </c>
      <c r="G11719" t="s">
        <v>28675</v>
      </c>
      <c r="H11719" t="s">
        <v>28686</v>
      </c>
      <c r="I11719" t="s">
        <v>28689</v>
      </c>
      <c r="J11719" t="s">
        <v>28836</v>
      </c>
      <c r="K11719" t="s">
        <v>37206</v>
      </c>
      <c r="M11719" t="s">
        <v>40239</v>
      </c>
      <c r="N11719" t="s">
        <v>41249</v>
      </c>
      <c r="O11719" t="s">
        <v>41250</v>
      </c>
      <c r="P11719">
        <v>0</v>
      </c>
      <c r="Q11719">
        <v>0</v>
      </c>
      <c r="R11719" t="s">
        <v>41265</v>
      </c>
      <c r="S11719" t="s">
        <v>41880</v>
      </c>
      <c r="T11719" t="s">
        <v>42679</v>
      </c>
      <c r="U11719" t="s">
        <v>49954</v>
      </c>
      <c r="W11719" t="s">
        <v>40239</v>
      </c>
      <c r="X11719" t="s">
        <v>41266</v>
      </c>
    </row>
    <row r="11720" spans="1:24">
      <c r="A11720">
        <f>HYPERLINK("https://www.philgeps.gov.ph/GEPSNONPILOT/Tender/SplashBidNoticeAbstractUI.aspx?menuIndex=3&amp;refID=7052626&amp;Result=3","7052626")</f>
        <v>0</v>
      </c>
      <c r="B11720" t="s">
        <v>2547</v>
      </c>
      <c r="C11720" t="s">
        <v>14598</v>
      </c>
      <c r="D11720" t="s">
        <v>16654</v>
      </c>
      <c r="E11720" t="s">
        <v>26827</v>
      </c>
      <c r="F11720" t="s">
        <v>28669</v>
      </c>
      <c r="G11720" t="s">
        <v>28675</v>
      </c>
      <c r="H11720" t="s">
        <v>28686</v>
      </c>
      <c r="I11720" t="s">
        <v>28689</v>
      </c>
      <c r="J11720" t="s">
        <v>28836</v>
      </c>
      <c r="K11720" t="s">
        <v>37206</v>
      </c>
      <c r="M11720" t="s">
        <v>40239</v>
      </c>
      <c r="N11720" t="s">
        <v>41249</v>
      </c>
      <c r="O11720" t="s">
        <v>41250</v>
      </c>
      <c r="P11720">
        <v>0</v>
      </c>
      <c r="Q11720">
        <v>0</v>
      </c>
      <c r="R11720" t="s">
        <v>41265</v>
      </c>
      <c r="S11720" t="s">
        <v>41880</v>
      </c>
      <c r="T11720" t="s">
        <v>42679</v>
      </c>
      <c r="U11720" t="s">
        <v>49954</v>
      </c>
      <c r="W11720" t="s">
        <v>40239</v>
      </c>
      <c r="X11720" t="s">
        <v>41266</v>
      </c>
    </row>
    <row r="11721" spans="1:24">
      <c r="A11721">
        <f>HYPERLINK("https://www.philgeps.gov.ph/GEPSNONPILOT/Tender/SplashBidNoticeAbstractUI.aspx?menuIndex=3&amp;refID=7052617&amp;Result=3","7052617")</f>
        <v>0</v>
      </c>
      <c r="B11721" t="s">
        <v>411</v>
      </c>
      <c r="C11721" t="s">
        <v>14599</v>
      </c>
      <c r="D11721" t="s">
        <v>16616</v>
      </c>
      <c r="E11721" t="s">
        <v>26828</v>
      </c>
      <c r="F11721" t="s">
        <v>28669</v>
      </c>
      <c r="G11721" t="s">
        <v>28675</v>
      </c>
      <c r="H11721" t="s">
        <v>9998</v>
      </c>
      <c r="I11721" t="s">
        <v>28745</v>
      </c>
      <c r="J11721" t="s">
        <v>36015</v>
      </c>
      <c r="K11721" t="s">
        <v>37206</v>
      </c>
      <c r="M11721" t="s">
        <v>37896</v>
      </c>
      <c r="N11721" t="s">
        <v>41249</v>
      </c>
      <c r="O11721" t="s">
        <v>41250</v>
      </c>
      <c r="Q11721">
        <v>5</v>
      </c>
      <c r="R11721" t="s">
        <v>41265</v>
      </c>
      <c r="S11721" t="s">
        <v>41970</v>
      </c>
      <c r="T11721" t="s">
        <v>42783</v>
      </c>
      <c r="U11721" t="s">
        <v>52593</v>
      </c>
      <c r="W11721" t="s">
        <v>37896</v>
      </c>
      <c r="X11721" t="s">
        <v>41266</v>
      </c>
    </row>
    <row r="11722" spans="1:24">
      <c r="A11722">
        <f>HYPERLINK("https://www.philgeps.gov.ph/GEPSNONPILOT/Tender/SplashBidNoticeAbstractUI.aspx?menuIndex=3&amp;refID=7052492&amp;Result=3","7052492")</f>
        <v>0</v>
      </c>
      <c r="B11722" t="s">
        <v>805</v>
      </c>
      <c r="C11722" t="s">
        <v>11494</v>
      </c>
      <c r="D11722" t="s">
        <v>16626</v>
      </c>
      <c r="E11722" t="s">
        <v>26829</v>
      </c>
      <c r="F11722" t="s">
        <v>28669</v>
      </c>
      <c r="G11722" t="s">
        <v>28675</v>
      </c>
      <c r="H11722" t="s">
        <v>9998</v>
      </c>
      <c r="I11722" t="s">
        <v>28757</v>
      </c>
      <c r="J11722" t="s">
        <v>30092</v>
      </c>
      <c r="K11722" t="s">
        <v>37234</v>
      </c>
      <c r="M11722" t="s">
        <v>38320</v>
      </c>
      <c r="N11722" t="s">
        <v>41249</v>
      </c>
      <c r="O11722" t="s">
        <v>41250</v>
      </c>
      <c r="P11722">
        <v>0</v>
      </c>
      <c r="Q11722">
        <v>0</v>
      </c>
      <c r="R11722" t="s">
        <v>41265</v>
      </c>
      <c r="S11722" t="s">
        <v>41880</v>
      </c>
      <c r="T11722" t="s">
        <v>42686</v>
      </c>
      <c r="U11722" t="s">
        <v>44777</v>
      </c>
      <c r="W11722" t="s">
        <v>38320</v>
      </c>
      <c r="X11722" t="s">
        <v>41266</v>
      </c>
    </row>
    <row r="11723" spans="1:24">
      <c r="A11723">
        <f>HYPERLINK("https://www.philgeps.gov.ph/GEPSNONPILOT/Tender/SplashBidNoticeAbstractUI.aspx?menuIndex=3&amp;refID=7052477&amp;Result=3","7052477")</f>
        <v>0</v>
      </c>
      <c r="B11723" t="s">
        <v>1399</v>
      </c>
      <c r="C11723" t="s">
        <v>14600</v>
      </c>
      <c r="D11723" t="s">
        <v>16611</v>
      </c>
      <c r="E11723" t="s">
        <v>26830</v>
      </c>
      <c r="F11723" t="s">
        <v>28669</v>
      </c>
      <c r="G11723" t="s">
        <v>28675</v>
      </c>
      <c r="H11723" t="s">
        <v>28686</v>
      </c>
      <c r="I11723" t="s">
        <v>28689</v>
      </c>
      <c r="J11723" t="s">
        <v>29112</v>
      </c>
      <c r="K11723" t="s">
        <v>37221</v>
      </c>
      <c r="M11723" t="s">
        <v>40941</v>
      </c>
      <c r="N11723" t="s">
        <v>41249</v>
      </c>
      <c r="O11723" t="s">
        <v>41250</v>
      </c>
      <c r="Q11723">
        <v>1</v>
      </c>
      <c r="R11723" t="s">
        <v>41265</v>
      </c>
      <c r="S11723" t="s">
        <v>41971</v>
      </c>
      <c r="T11723" t="s">
        <v>42679</v>
      </c>
      <c r="U11723" t="s">
        <v>52594</v>
      </c>
      <c r="W11723" t="s">
        <v>40941</v>
      </c>
      <c r="X11723" t="s">
        <v>41266</v>
      </c>
    </row>
    <row r="11724" spans="1:24">
      <c r="A11724">
        <f>HYPERLINK("https://www.philgeps.gov.ph/GEPSNONPILOT/Tender/SplashBidNoticeAbstractUI.aspx?menuIndex=3&amp;refID=7052466&amp;Result=3","7052466")</f>
        <v>0</v>
      </c>
      <c r="B11724" t="s">
        <v>2942</v>
      </c>
      <c r="C11724" t="s">
        <v>14601</v>
      </c>
      <c r="D11724" t="s">
        <v>16618</v>
      </c>
      <c r="E11724" t="s">
        <v>26831</v>
      </c>
      <c r="F11724" t="s">
        <v>28669</v>
      </c>
      <c r="G11724" t="s">
        <v>28675</v>
      </c>
      <c r="H11724" t="s">
        <v>28686</v>
      </c>
      <c r="I11724" t="s">
        <v>28689</v>
      </c>
      <c r="J11724" t="s">
        <v>29015</v>
      </c>
      <c r="K11724" t="s">
        <v>37220</v>
      </c>
      <c r="M11724" t="s">
        <v>40698</v>
      </c>
      <c r="N11724" t="s">
        <v>41249</v>
      </c>
      <c r="O11724" t="s">
        <v>41250</v>
      </c>
      <c r="P11724">
        <v>0</v>
      </c>
      <c r="Q11724">
        <v>0</v>
      </c>
      <c r="R11724" t="s">
        <v>41265</v>
      </c>
      <c r="S11724" t="s">
        <v>41880</v>
      </c>
      <c r="T11724" t="s">
        <v>43070</v>
      </c>
      <c r="U11724" t="s">
        <v>52595</v>
      </c>
      <c r="W11724" t="s">
        <v>40698</v>
      </c>
      <c r="X11724" t="s">
        <v>41266</v>
      </c>
    </row>
    <row r="11725" spans="1:24">
      <c r="A11725">
        <f>HYPERLINK("https://www.philgeps.gov.ph/GEPSNONPILOT/Tender/SplashBidNoticeAbstractUI.aspx?menuIndex=3&amp;refID=7052500&amp;Result=3","7052500")</f>
        <v>0</v>
      </c>
      <c r="B11725" t="s">
        <v>3152</v>
      </c>
      <c r="C11725" t="s">
        <v>14602</v>
      </c>
      <c r="D11725" t="s">
        <v>16634</v>
      </c>
      <c r="E11725" t="s">
        <v>26832</v>
      </c>
      <c r="F11725" t="s">
        <v>28669</v>
      </c>
      <c r="G11725" t="s">
        <v>28675</v>
      </c>
      <c r="H11725" t="s">
        <v>28686</v>
      </c>
      <c r="I11725" t="s">
        <v>28689</v>
      </c>
      <c r="J11725" t="s">
        <v>29053</v>
      </c>
      <c r="K11725" t="s">
        <v>37212</v>
      </c>
      <c r="M11725" t="s">
        <v>40944</v>
      </c>
      <c r="N11725" t="s">
        <v>41249</v>
      </c>
      <c r="O11725" t="s">
        <v>41250</v>
      </c>
      <c r="P11725">
        <v>0</v>
      </c>
      <c r="Q11725">
        <v>1</v>
      </c>
      <c r="R11725" t="s">
        <v>41265</v>
      </c>
      <c r="S11725" t="s">
        <v>41880</v>
      </c>
      <c r="T11725" t="s">
        <v>42675</v>
      </c>
      <c r="U11725" t="s">
        <v>52596</v>
      </c>
      <c r="W11725" t="s">
        <v>40944</v>
      </c>
      <c r="X11725" t="s">
        <v>41266</v>
      </c>
    </row>
    <row r="11726" spans="1:24">
      <c r="A11726">
        <f>HYPERLINK("https://www.philgeps.gov.ph/GEPSNONPILOT/Tender/SplashBidNoticeAbstractUI.aspx?menuIndex=3&amp;refID=7052606&amp;Result=3","7052606")</f>
        <v>0</v>
      </c>
      <c r="B11726" t="s">
        <v>2382</v>
      </c>
      <c r="C11726" t="s">
        <v>14603</v>
      </c>
      <c r="D11726" t="s">
        <v>16626</v>
      </c>
      <c r="E11726" t="s">
        <v>20261</v>
      </c>
      <c r="F11726" t="s">
        <v>28669</v>
      </c>
      <c r="G11726" t="s">
        <v>28676</v>
      </c>
      <c r="H11726" t="s">
        <v>9998</v>
      </c>
      <c r="I11726" t="s">
        <v>7352</v>
      </c>
      <c r="J11726" t="s">
        <v>28894</v>
      </c>
      <c r="K11726" t="s">
        <v>37234</v>
      </c>
      <c r="M11726" t="s">
        <v>40055</v>
      </c>
      <c r="N11726" t="s">
        <v>41249</v>
      </c>
      <c r="O11726" t="s">
        <v>41250</v>
      </c>
      <c r="P11726">
        <v>0</v>
      </c>
      <c r="Q11726">
        <v>0</v>
      </c>
      <c r="R11726" t="s">
        <v>41265</v>
      </c>
      <c r="S11726" t="s">
        <v>41880</v>
      </c>
      <c r="T11726" t="s">
        <v>42717</v>
      </c>
      <c r="U11726" t="s">
        <v>52597</v>
      </c>
      <c r="W11726" t="s">
        <v>40055</v>
      </c>
      <c r="X11726" t="s">
        <v>41266</v>
      </c>
    </row>
    <row r="11727" spans="1:24">
      <c r="A11727">
        <f>HYPERLINK("https://www.philgeps.gov.ph/GEPSNONPILOT/Tender/SplashBidNoticeAbstractUI.aspx?menuIndex=3&amp;refID=7052487&amp;Result=3","7052487")</f>
        <v>0</v>
      </c>
      <c r="B11727" t="s">
        <v>805</v>
      </c>
      <c r="C11727" t="s">
        <v>14604</v>
      </c>
      <c r="D11727" t="s">
        <v>16626</v>
      </c>
      <c r="E11727" t="s">
        <v>26833</v>
      </c>
      <c r="F11727" t="s">
        <v>28669</v>
      </c>
      <c r="G11727" t="s">
        <v>28675</v>
      </c>
      <c r="H11727" t="s">
        <v>9998</v>
      </c>
      <c r="I11727" t="s">
        <v>5213</v>
      </c>
      <c r="J11727" t="s">
        <v>31141</v>
      </c>
      <c r="K11727" t="s">
        <v>37243</v>
      </c>
      <c r="M11727" t="s">
        <v>38320</v>
      </c>
      <c r="N11727" t="s">
        <v>41249</v>
      </c>
      <c r="O11727" t="s">
        <v>41250</v>
      </c>
      <c r="P11727">
        <v>0</v>
      </c>
      <c r="Q11727">
        <v>1</v>
      </c>
      <c r="R11727" t="s">
        <v>41265</v>
      </c>
      <c r="S11727" t="s">
        <v>41880</v>
      </c>
      <c r="T11727" t="s">
        <v>42686</v>
      </c>
      <c r="U11727" t="s">
        <v>44777</v>
      </c>
      <c r="W11727" t="s">
        <v>38320</v>
      </c>
      <c r="X11727" t="s">
        <v>41266</v>
      </c>
    </row>
    <row r="11728" spans="1:24">
      <c r="A11728">
        <f>HYPERLINK("https://www.philgeps.gov.ph/GEPSNONPILOT/Tender/SplashBidNoticeAbstractUI.aspx?menuIndex=3&amp;refID=7052607&amp;Result=3","7052607")</f>
        <v>0</v>
      </c>
      <c r="B11728" t="s">
        <v>3155</v>
      </c>
      <c r="C11728" t="s">
        <v>14605</v>
      </c>
      <c r="D11728" t="s">
        <v>16667</v>
      </c>
      <c r="E11728" t="s">
        <v>16860</v>
      </c>
      <c r="F11728" t="s">
        <v>28669</v>
      </c>
      <c r="G11728" t="s">
        <v>28675</v>
      </c>
      <c r="H11728" t="s">
        <v>28686</v>
      </c>
      <c r="I11728" t="s">
        <v>28689</v>
      </c>
      <c r="J11728" t="s">
        <v>36016</v>
      </c>
      <c r="K11728" t="s">
        <v>37220</v>
      </c>
      <c r="M11728" t="s">
        <v>40948</v>
      </c>
      <c r="N11728" t="s">
        <v>41249</v>
      </c>
      <c r="O11728" t="s">
        <v>41250</v>
      </c>
      <c r="P11728">
        <v>0</v>
      </c>
      <c r="Q11728">
        <v>0</v>
      </c>
      <c r="R11728" t="s">
        <v>41265</v>
      </c>
      <c r="S11728" t="s">
        <v>41880</v>
      </c>
      <c r="T11728" t="s">
        <v>42703</v>
      </c>
      <c r="U11728" t="s">
        <v>52598</v>
      </c>
      <c r="W11728" t="s">
        <v>40948</v>
      </c>
      <c r="X11728" t="s">
        <v>41266</v>
      </c>
    </row>
    <row r="11729" spans="1:24">
      <c r="A11729">
        <f>HYPERLINK("https://www.philgeps.gov.ph/GEPSNONPILOT/Tender/SplashBidNoticeAbstractUI.aspx?menuIndex=3&amp;refID=7052601&amp;Result=3","7052601")</f>
        <v>0</v>
      </c>
      <c r="B11729" t="s">
        <v>2408</v>
      </c>
      <c r="C11729" t="s">
        <v>14606</v>
      </c>
      <c r="D11729" t="s">
        <v>16616</v>
      </c>
      <c r="E11729" t="s">
        <v>26599</v>
      </c>
      <c r="F11729" t="s">
        <v>28669</v>
      </c>
      <c r="G11729" t="s">
        <v>28675</v>
      </c>
      <c r="H11729" t="s">
        <v>9998</v>
      </c>
      <c r="I11729" t="s">
        <v>28795</v>
      </c>
      <c r="J11729" t="s">
        <v>28878</v>
      </c>
      <c r="K11729" t="s">
        <v>37206</v>
      </c>
      <c r="M11729" t="s">
        <v>40090</v>
      </c>
      <c r="N11729" t="s">
        <v>41249</v>
      </c>
      <c r="O11729" t="s">
        <v>41250</v>
      </c>
      <c r="P11729">
        <v>0</v>
      </c>
      <c r="Q11729">
        <v>0</v>
      </c>
      <c r="R11729" t="s">
        <v>41265</v>
      </c>
      <c r="S11729" t="s">
        <v>41880</v>
      </c>
      <c r="T11729" t="s">
        <v>42690</v>
      </c>
      <c r="U11729" t="s">
        <v>52599</v>
      </c>
      <c r="V11729" t="s">
        <v>55655</v>
      </c>
      <c r="W11729" t="s">
        <v>40090</v>
      </c>
      <c r="X11729" t="s">
        <v>41266</v>
      </c>
    </row>
    <row r="11730" spans="1:24">
      <c r="A11730">
        <f>HYPERLINK("https://www.philgeps.gov.ph/GEPSNONPILOT/Tender/SplashBidNoticeAbstractUI.aspx?menuIndex=3&amp;refID=7052549&amp;Result=3","7052549")</f>
        <v>0</v>
      </c>
      <c r="B11730" t="s">
        <v>281</v>
      </c>
      <c r="C11730" t="s">
        <v>14607</v>
      </c>
      <c r="D11730" t="s">
        <v>16652</v>
      </c>
      <c r="E11730" t="s">
        <v>26834</v>
      </c>
      <c r="F11730" t="s">
        <v>28669</v>
      </c>
      <c r="G11730" t="s">
        <v>28675</v>
      </c>
      <c r="H11730" t="s">
        <v>9998</v>
      </c>
      <c r="I11730" t="s">
        <v>28722</v>
      </c>
      <c r="J11730" t="s">
        <v>30893</v>
      </c>
      <c r="K11730" t="s">
        <v>37205</v>
      </c>
      <c r="M11730" t="s">
        <v>37759</v>
      </c>
      <c r="N11730" t="s">
        <v>41249</v>
      </c>
      <c r="O11730" t="s">
        <v>41250</v>
      </c>
      <c r="P11730">
        <v>0</v>
      </c>
      <c r="Q11730">
        <v>2</v>
      </c>
      <c r="R11730" t="s">
        <v>41265</v>
      </c>
      <c r="S11730" t="s">
        <v>41880</v>
      </c>
      <c r="T11730" t="s">
        <v>42690</v>
      </c>
      <c r="U11730" t="s">
        <v>52600</v>
      </c>
      <c r="W11730" t="s">
        <v>37759</v>
      </c>
      <c r="X11730" t="s">
        <v>41266</v>
      </c>
    </row>
    <row r="11731" spans="1:24">
      <c r="A11731">
        <f>HYPERLINK("https://www.philgeps.gov.ph/GEPSNONPILOT/Tender/SplashBidNoticeAbstractUI.aspx?menuIndex=3&amp;refID=7052550&amp;Result=3","7052550")</f>
        <v>0</v>
      </c>
      <c r="B11731" t="s">
        <v>1887</v>
      </c>
      <c r="C11731" t="s">
        <v>14608</v>
      </c>
      <c r="E11731" t="s">
        <v>26835</v>
      </c>
      <c r="F11731" t="s">
        <v>28669</v>
      </c>
      <c r="G11731" t="s">
        <v>28675</v>
      </c>
      <c r="H11731" t="s">
        <v>28686</v>
      </c>
      <c r="I11731" t="s">
        <v>28689</v>
      </c>
      <c r="J11731" t="s">
        <v>36017</v>
      </c>
      <c r="K11731" t="s">
        <v>37221</v>
      </c>
      <c r="M11731" t="s">
        <v>39510</v>
      </c>
      <c r="N11731" t="s">
        <v>41249</v>
      </c>
      <c r="O11731" t="s">
        <v>41250</v>
      </c>
      <c r="Q11731">
        <v>1</v>
      </c>
      <c r="R11731" t="s">
        <v>41265</v>
      </c>
      <c r="S11731" t="s">
        <v>41972</v>
      </c>
      <c r="T11731" t="s">
        <v>42700</v>
      </c>
      <c r="U11731" t="s">
        <v>52601</v>
      </c>
      <c r="W11731" t="s">
        <v>56026</v>
      </c>
      <c r="X11731" t="s">
        <v>41266</v>
      </c>
    </row>
    <row r="11732" spans="1:24">
      <c r="A11732">
        <f>HYPERLINK("https://www.philgeps.gov.ph/GEPSNONPILOT/Tender/SplashBidNoticeAbstractUI.aspx?menuIndex=3&amp;refID=7052590&amp;Result=3","7052590")</f>
        <v>0</v>
      </c>
      <c r="B11732" t="s">
        <v>3155</v>
      </c>
      <c r="C11732" t="s">
        <v>14609</v>
      </c>
      <c r="D11732" t="s">
        <v>16667</v>
      </c>
      <c r="E11732" t="s">
        <v>25337</v>
      </c>
      <c r="F11732" t="s">
        <v>28669</v>
      </c>
      <c r="G11732" t="s">
        <v>28675</v>
      </c>
      <c r="H11732" t="s">
        <v>28686</v>
      </c>
      <c r="I11732" t="s">
        <v>28689</v>
      </c>
      <c r="J11732" t="s">
        <v>36018</v>
      </c>
      <c r="K11732" t="s">
        <v>37206</v>
      </c>
      <c r="M11732" t="s">
        <v>40948</v>
      </c>
      <c r="N11732" t="s">
        <v>41249</v>
      </c>
      <c r="O11732" t="s">
        <v>41250</v>
      </c>
      <c r="P11732">
        <v>0</v>
      </c>
      <c r="Q11732">
        <v>1</v>
      </c>
      <c r="R11732" t="s">
        <v>41265</v>
      </c>
      <c r="S11732" t="s">
        <v>41880</v>
      </c>
      <c r="T11732" t="s">
        <v>42703</v>
      </c>
      <c r="U11732" t="s">
        <v>52602</v>
      </c>
      <c r="W11732" t="s">
        <v>40948</v>
      </c>
      <c r="X11732" t="s">
        <v>41266</v>
      </c>
    </row>
    <row r="11733" spans="1:24">
      <c r="A11733">
        <f>HYPERLINK("https://www.philgeps.gov.ph/GEPSNONPILOT/Tender/SplashBidNoticeAbstractUI.aspx?menuIndex=3&amp;refID=7052622&amp;Result=3","7052622")</f>
        <v>0</v>
      </c>
      <c r="B11733" t="s">
        <v>411</v>
      </c>
      <c r="C11733" t="s">
        <v>14610</v>
      </c>
      <c r="D11733" t="s">
        <v>16616</v>
      </c>
      <c r="E11733" t="s">
        <v>26836</v>
      </c>
      <c r="F11733" t="s">
        <v>28669</v>
      </c>
      <c r="G11733" t="s">
        <v>28675</v>
      </c>
      <c r="H11733" t="s">
        <v>9998</v>
      </c>
      <c r="I11733" t="s">
        <v>28745</v>
      </c>
      <c r="J11733" t="s">
        <v>34801</v>
      </c>
      <c r="K11733" t="s">
        <v>37206</v>
      </c>
      <c r="M11733" t="s">
        <v>37896</v>
      </c>
      <c r="N11733" t="s">
        <v>41249</v>
      </c>
      <c r="O11733" t="s">
        <v>41250</v>
      </c>
      <c r="Q11733">
        <v>3</v>
      </c>
      <c r="R11733" t="s">
        <v>41265</v>
      </c>
      <c r="S11733" t="s">
        <v>41973</v>
      </c>
      <c r="T11733" t="s">
        <v>42783</v>
      </c>
      <c r="U11733" t="s">
        <v>52603</v>
      </c>
      <c r="W11733" t="s">
        <v>37896</v>
      </c>
      <c r="X11733" t="s">
        <v>41266</v>
      </c>
    </row>
    <row r="11734" spans="1:24">
      <c r="A11734">
        <f>HYPERLINK("https://www.philgeps.gov.ph/GEPSNONPILOT/Tender/SplashBidNoticeAbstractUI.aspx?menuIndex=3&amp;refID=7052519&amp;Result=3","7052519")</f>
        <v>0</v>
      </c>
      <c r="B11734" t="s">
        <v>2382</v>
      </c>
      <c r="C11734" t="s">
        <v>14611</v>
      </c>
      <c r="D11734" t="s">
        <v>16626</v>
      </c>
      <c r="E11734" t="s">
        <v>25637</v>
      </c>
      <c r="F11734" t="s">
        <v>28669</v>
      </c>
      <c r="G11734" t="s">
        <v>28676</v>
      </c>
      <c r="H11734" t="s">
        <v>9998</v>
      </c>
      <c r="I11734" t="s">
        <v>7352</v>
      </c>
      <c r="J11734" t="s">
        <v>36019</v>
      </c>
      <c r="K11734" t="s">
        <v>37234</v>
      </c>
      <c r="M11734" t="s">
        <v>40055</v>
      </c>
      <c r="N11734" t="s">
        <v>41249</v>
      </c>
      <c r="O11734" t="s">
        <v>41250</v>
      </c>
      <c r="P11734">
        <v>0</v>
      </c>
      <c r="Q11734">
        <v>0</v>
      </c>
      <c r="R11734" t="s">
        <v>41265</v>
      </c>
      <c r="S11734" t="s">
        <v>41880</v>
      </c>
      <c r="T11734" t="s">
        <v>42717</v>
      </c>
      <c r="U11734" t="s">
        <v>52604</v>
      </c>
      <c r="W11734" t="s">
        <v>40055</v>
      </c>
      <c r="X11734" t="s">
        <v>41266</v>
      </c>
    </row>
    <row r="11735" spans="1:24">
      <c r="A11735">
        <f>HYPERLINK("https://www.philgeps.gov.ph/GEPSNONPILOT/Tender/SplashBidNoticeAbstractUI.aspx?menuIndex=3&amp;refID=7052418&amp;Result=3","7052418")</f>
        <v>0</v>
      </c>
      <c r="B11735" t="s">
        <v>2365</v>
      </c>
      <c r="C11735" t="s">
        <v>14612</v>
      </c>
      <c r="D11735" t="s">
        <v>16628</v>
      </c>
      <c r="E11735" t="s">
        <v>26837</v>
      </c>
      <c r="F11735" t="s">
        <v>28669</v>
      </c>
      <c r="G11735" t="s">
        <v>28675</v>
      </c>
      <c r="H11735" t="s">
        <v>28686</v>
      </c>
      <c r="I11735" t="s">
        <v>28689</v>
      </c>
      <c r="J11735" t="s">
        <v>36020</v>
      </c>
      <c r="K11735" t="s">
        <v>37468</v>
      </c>
      <c r="M11735" t="s">
        <v>40034</v>
      </c>
      <c r="N11735" t="s">
        <v>41249</v>
      </c>
      <c r="O11735" t="s">
        <v>41250</v>
      </c>
      <c r="Q11735">
        <v>5</v>
      </c>
      <c r="R11735" t="s">
        <v>41265</v>
      </c>
      <c r="S11735" t="s">
        <v>41974</v>
      </c>
      <c r="T11735" t="s">
        <v>42690</v>
      </c>
      <c r="U11735" t="s">
        <v>49339</v>
      </c>
      <c r="V11735" t="s">
        <v>55659</v>
      </c>
      <c r="W11735" t="s">
        <v>40034</v>
      </c>
      <c r="X11735" t="s">
        <v>41266</v>
      </c>
    </row>
    <row r="11736" spans="1:24">
      <c r="A11736">
        <f>HYPERLINK("https://www.philgeps.gov.ph/GEPSNONPILOT/Tender/SplashBidNoticeAbstractUI.aspx?menuIndex=3&amp;refID=7052410&amp;Result=3","7052410")</f>
        <v>0</v>
      </c>
      <c r="B11736" t="s">
        <v>2365</v>
      </c>
      <c r="C11736" t="s">
        <v>14613</v>
      </c>
      <c r="D11736" t="s">
        <v>16628</v>
      </c>
      <c r="E11736" t="s">
        <v>26838</v>
      </c>
      <c r="F11736" t="s">
        <v>28669</v>
      </c>
      <c r="G11736" t="s">
        <v>28675</v>
      </c>
      <c r="H11736" t="s">
        <v>28686</v>
      </c>
      <c r="I11736" t="s">
        <v>28689</v>
      </c>
      <c r="J11736" t="s">
        <v>36021</v>
      </c>
      <c r="K11736" t="s">
        <v>37425</v>
      </c>
      <c r="M11736" t="s">
        <v>40034</v>
      </c>
      <c r="N11736" t="s">
        <v>41249</v>
      </c>
      <c r="O11736" t="s">
        <v>41250</v>
      </c>
      <c r="Q11736">
        <v>7</v>
      </c>
      <c r="R11736" t="s">
        <v>41265</v>
      </c>
      <c r="S11736" t="s">
        <v>41975</v>
      </c>
      <c r="T11736" t="s">
        <v>42690</v>
      </c>
      <c r="U11736" t="s">
        <v>49339</v>
      </c>
      <c r="V11736" t="s">
        <v>55660</v>
      </c>
      <c r="W11736" t="s">
        <v>40034</v>
      </c>
      <c r="X11736" t="s">
        <v>41266</v>
      </c>
    </row>
    <row r="11737" spans="1:24">
      <c r="A11737">
        <f>HYPERLINK("https://www.philgeps.gov.ph/GEPSNONPILOT/Tender/SplashBidNoticeAbstractUI.aspx?menuIndex=3&amp;refID=7052315&amp;Result=3","7052315")</f>
        <v>0</v>
      </c>
      <c r="B11737" t="s">
        <v>2382</v>
      </c>
      <c r="C11737" t="s">
        <v>14614</v>
      </c>
      <c r="D11737" t="s">
        <v>16626</v>
      </c>
      <c r="E11737" t="s">
        <v>18246</v>
      </c>
      <c r="F11737" t="s">
        <v>28669</v>
      </c>
      <c r="G11737" t="s">
        <v>28676</v>
      </c>
      <c r="H11737" t="s">
        <v>9998</v>
      </c>
      <c r="I11737" t="s">
        <v>28729</v>
      </c>
      <c r="J11737" t="s">
        <v>36022</v>
      </c>
      <c r="K11737" t="s">
        <v>37234</v>
      </c>
      <c r="M11737" t="s">
        <v>40055</v>
      </c>
      <c r="N11737" t="s">
        <v>41249</v>
      </c>
      <c r="O11737" t="s">
        <v>41250</v>
      </c>
      <c r="P11737">
        <v>0</v>
      </c>
      <c r="Q11737">
        <v>0</v>
      </c>
      <c r="R11737" t="s">
        <v>41265</v>
      </c>
      <c r="S11737" t="s">
        <v>41880</v>
      </c>
      <c r="T11737" t="s">
        <v>42717</v>
      </c>
      <c r="U11737" t="s">
        <v>52605</v>
      </c>
      <c r="W11737" t="s">
        <v>40055</v>
      </c>
      <c r="X11737" t="s">
        <v>41266</v>
      </c>
    </row>
    <row r="11738" spans="1:24">
      <c r="A11738">
        <f>HYPERLINK("https://www.philgeps.gov.ph/GEPSNONPILOT/Tender/SplashBidNoticeAbstractUI.aspx?menuIndex=3&amp;refID=7052542&amp;Result=3","7052542")</f>
        <v>0</v>
      </c>
      <c r="B11738" t="s">
        <v>1887</v>
      </c>
      <c r="C11738" t="s">
        <v>14615</v>
      </c>
      <c r="D11738" t="s">
        <v>16625</v>
      </c>
      <c r="E11738" t="s">
        <v>26839</v>
      </c>
      <c r="F11738" t="s">
        <v>28669</v>
      </c>
      <c r="G11738" t="s">
        <v>28675</v>
      </c>
      <c r="H11738" t="s">
        <v>28686</v>
      </c>
      <c r="I11738" t="s">
        <v>28689</v>
      </c>
      <c r="J11738" t="s">
        <v>36023</v>
      </c>
      <c r="K11738" t="s">
        <v>37213</v>
      </c>
      <c r="M11738" t="s">
        <v>39510</v>
      </c>
      <c r="N11738" t="s">
        <v>41249</v>
      </c>
      <c r="O11738" t="s">
        <v>41250</v>
      </c>
      <c r="Q11738">
        <v>0</v>
      </c>
      <c r="R11738" t="s">
        <v>41265</v>
      </c>
      <c r="S11738" t="s">
        <v>41976</v>
      </c>
      <c r="T11738" t="s">
        <v>42700</v>
      </c>
      <c r="U11738" t="s">
        <v>52606</v>
      </c>
      <c r="W11738" t="s">
        <v>56026</v>
      </c>
      <c r="X11738" t="s">
        <v>41266</v>
      </c>
    </row>
    <row r="11739" spans="1:24">
      <c r="A11739">
        <f>HYPERLINK("https://www.philgeps.gov.ph/GEPSNONPILOT/Tender/SplashBidNoticeAbstractUI.aspx?menuIndex=3&amp;refID=7052525&amp;Result=3","7052525")</f>
        <v>0</v>
      </c>
      <c r="B11739" t="s">
        <v>1585</v>
      </c>
      <c r="C11739" t="s">
        <v>14616</v>
      </c>
      <c r="D11739" t="s">
        <v>16618</v>
      </c>
      <c r="E11739" t="s">
        <v>26840</v>
      </c>
      <c r="F11739" t="s">
        <v>28669</v>
      </c>
      <c r="G11739" t="s">
        <v>28675</v>
      </c>
      <c r="H11739" t="s">
        <v>28686</v>
      </c>
      <c r="I11739" t="s">
        <v>28689</v>
      </c>
      <c r="J11739" t="s">
        <v>31599</v>
      </c>
      <c r="K11739" t="s">
        <v>37469</v>
      </c>
      <c r="M11739" t="s">
        <v>39166</v>
      </c>
      <c r="N11739" t="s">
        <v>41249</v>
      </c>
      <c r="O11739" t="s">
        <v>41250</v>
      </c>
      <c r="P11739">
        <v>0</v>
      </c>
      <c r="Q11739">
        <v>6</v>
      </c>
      <c r="R11739" t="s">
        <v>41265</v>
      </c>
      <c r="S11739" t="s">
        <v>41880</v>
      </c>
      <c r="T11739" t="s">
        <v>42703</v>
      </c>
      <c r="U11739" t="s">
        <v>52607</v>
      </c>
      <c r="W11739" t="s">
        <v>39166</v>
      </c>
      <c r="X11739" t="s">
        <v>41266</v>
      </c>
    </row>
    <row r="11740" spans="1:24">
      <c r="A11740">
        <f>HYPERLINK("https://www.philgeps.gov.ph/GEPSNONPILOT/Tender/SplashBidNoticeAbstractUI.aspx?menuIndex=3&amp;refID=7052640&amp;Result=3","7052640")</f>
        <v>0</v>
      </c>
      <c r="B11740" t="s">
        <v>2362</v>
      </c>
      <c r="C11740" t="s">
        <v>14617</v>
      </c>
      <c r="D11740" t="s">
        <v>16608</v>
      </c>
      <c r="E11740" t="s">
        <v>26841</v>
      </c>
      <c r="F11740" t="s">
        <v>28669</v>
      </c>
      <c r="G11740" t="s">
        <v>28675</v>
      </c>
      <c r="H11740" t="s">
        <v>28684</v>
      </c>
      <c r="I11740" t="s">
        <v>11593</v>
      </c>
      <c r="J11740" t="s">
        <v>29059</v>
      </c>
      <c r="K11740" t="s">
        <v>37272</v>
      </c>
      <c r="M11740" t="s">
        <v>40053</v>
      </c>
      <c r="N11740" t="s">
        <v>41249</v>
      </c>
      <c r="O11740" t="s">
        <v>41250</v>
      </c>
      <c r="Q11740">
        <v>11</v>
      </c>
      <c r="R11740" t="s">
        <v>41265</v>
      </c>
      <c r="S11740" t="s">
        <v>41977</v>
      </c>
      <c r="T11740" t="s">
        <v>42827</v>
      </c>
      <c r="U11740" t="s">
        <v>52608</v>
      </c>
      <c r="W11740" t="s">
        <v>40053</v>
      </c>
      <c r="X11740" t="s">
        <v>41266</v>
      </c>
    </row>
    <row r="11741" spans="1:24">
      <c r="A11741">
        <f>HYPERLINK("https://www.philgeps.gov.ph/GEPSNONPILOT/Tender/SplashBidNoticeAbstractUI.aspx?menuIndex=3&amp;refID=7023535-2&amp;Result=3","7023535-2")</f>
        <v>0</v>
      </c>
      <c r="B11741" t="s">
        <v>3156</v>
      </c>
      <c r="C11741" t="s">
        <v>14618</v>
      </c>
      <c r="D11741" t="s">
        <v>16658</v>
      </c>
      <c r="E11741" t="s">
        <v>26842</v>
      </c>
      <c r="F11741" t="s">
        <v>28669</v>
      </c>
      <c r="G11741" t="s">
        <v>28675</v>
      </c>
      <c r="H11741" t="s">
        <v>28685</v>
      </c>
      <c r="I11741" t="s">
        <v>28685</v>
      </c>
      <c r="J11741" t="s">
        <v>29526</v>
      </c>
      <c r="K11741" t="s">
        <v>37213</v>
      </c>
      <c r="M11741" t="s">
        <v>40949</v>
      </c>
      <c r="N11741" t="s">
        <v>41249</v>
      </c>
      <c r="O11741" t="s">
        <v>41250</v>
      </c>
      <c r="P11741">
        <v>0</v>
      </c>
      <c r="Q11741">
        <v>0</v>
      </c>
      <c r="R11741" t="s">
        <v>41266</v>
      </c>
      <c r="S11741" t="s">
        <v>41978</v>
      </c>
      <c r="T11741" t="s">
        <v>42739</v>
      </c>
      <c r="U11741" t="s">
        <v>52609</v>
      </c>
      <c r="W11741" t="s">
        <v>40949</v>
      </c>
      <c r="X11741" t="s">
        <v>41267</v>
      </c>
    </row>
    <row r="11742" spans="1:24">
      <c r="A11742">
        <f>HYPERLINK("https://www.philgeps.gov.ph/GEPSNONPILOT/Tender/SplashBidNoticeAbstractUI.aspx?menuIndex=3&amp;refID=7052420&amp;Result=3","7052420")</f>
        <v>0</v>
      </c>
      <c r="B11742" t="s">
        <v>2313</v>
      </c>
      <c r="C11742" t="s">
        <v>14619</v>
      </c>
      <c r="D11742" t="s">
        <v>16633</v>
      </c>
      <c r="E11742" t="s">
        <v>26843</v>
      </c>
      <c r="F11742" t="s">
        <v>28669</v>
      </c>
      <c r="G11742" t="s">
        <v>28675</v>
      </c>
      <c r="H11742" t="s">
        <v>28686</v>
      </c>
      <c r="I11742" t="s">
        <v>28689</v>
      </c>
      <c r="J11742" t="s">
        <v>36024</v>
      </c>
      <c r="K11742" t="s">
        <v>37207</v>
      </c>
      <c r="M11742" t="s">
        <v>39973</v>
      </c>
      <c r="N11742" t="s">
        <v>41249</v>
      </c>
      <c r="O11742" t="s">
        <v>41250</v>
      </c>
      <c r="P11742">
        <v>0</v>
      </c>
      <c r="Q11742">
        <v>1</v>
      </c>
      <c r="R11742" t="s">
        <v>41265</v>
      </c>
      <c r="S11742" t="s">
        <v>41880</v>
      </c>
      <c r="T11742" t="s">
        <v>42679</v>
      </c>
      <c r="U11742" t="s">
        <v>52610</v>
      </c>
      <c r="W11742" t="s">
        <v>39973</v>
      </c>
      <c r="X11742" t="s">
        <v>41266</v>
      </c>
    </row>
    <row r="11743" spans="1:24">
      <c r="A11743">
        <f>HYPERLINK("https://www.philgeps.gov.ph/GEPSNONPILOT/Tender/SplashBidNoticeAbstractUI.aspx?menuIndex=3&amp;refID=7023492-2&amp;Result=3","7023492-2")</f>
        <v>0</v>
      </c>
      <c r="B11743" t="s">
        <v>3156</v>
      </c>
      <c r="C11743" t="s">
        <v>14620</v>
      </c>
      <c r="D11743" t="s">
        <v>16658</v>
      </c>
      <c r="E11743" t="s">
        <v>26844</v>
      </c>
      <c r="F11743" t="s">
        <v>28669</v>
      </c>
      <c r="G11743" t="s">
        <v>28675</v>
      </c>
      <c r="H11743" t="s">
        <v>28685</v>
      </c>
      <c r="I11743" t="s">
        <v>28685</v>
      </c>
      <c r="J11743" t="s">
        <v>28836</v>
      </c>
      <c r="K11743" t="s">
        <v>37213</v>
      </c>
      <c r="M11743" t="s">
        <v>40949</v>
      </c>
      <c r="N11743" t="s">
        <v>41249</v>
      </c>
      <c r="O11743" t="s">
        <v>41250</v>
      </c>
      <c r="P11743">
        <v>0</v>
      </c>
      <c r="Q11743">
        <v>0</v>
      </c>
      <c r="R11743" t="s">
        <v>41266</v>
      </c>
      <c r="S11743" t="s">
        <v>41978</v>
      </c>
      <c r="T11743" t="s">
        <v>42739</v>
      </c>
      <c r="U11743" t="s">
        <v>52611</v>
      </c>
      <c r="W11743" t="s">
        <v>40949</v>
      </c>
      <c r="X11743" t="s">
        <v>41267</v>
      </c>
    </row>
    <row r="11744" spans="1:24">
      <c r="A11744">
        <f>HYPERLINK("https://www.philgeps.gov.ph/GEPSNONPILOT/Tender/SplashBidNoticeAbstractUI.aspx?menuIndex=3&amp;refID=7052567&amp;Result=3","7052567")</f>
        <v>0</v>
      </c>
      <c r="B11744" t="s">
        <v>1934</v>
      </c>
      <c r="C11744" t="s">
        <v>14621</v>
      </c>
      <c r="D11744" t="s">
        <v>16644</v>
      </c>
      <c r="E11744" t="s">
        <v>26845</v>
      </c>
      <c r="F11744" t="s">
        <v>28669</v>
      </c>
      <c r="G11744" t="s">
        <v>28676</v>
      </c>
      <c r="H11744" t="s">
        <v>28686</v>
      </c>
      <c r="I11744" t="s">
        <v>28689</v>
      </c>
      <c r="J11744" t="s">
        <v>36025</v>
      </c>
      <c r="K11744" t="s">
        <v>37206</v>
      </c>
      <c r="M11744" t="s">
        <v>39561</v>
      </c>
      <c r="N11744" t="s">
        <v>41249</v>
      </c>
      <c r="O11744" t="s">
        <v>41250</v>
      </c>
      <c r="Q11744">
        <v>0</v>
      </c>
      <c r="R11744" t="s">
        <v>41265</v>
      </c>
      <c r="S11744" t="s">
        <v>41979</v>
      </c>
      <c r="T11744" t="s">
        <v>42729</v>
      </c>
      <c r="U11744" t="s">
        <v>52612</v>
      </c>
      <c r="W11744" t="s">
        <v>39561</v>
      </c>
      <c r="X11744" t="s">
        <v>41266</v>
      </c>
    </row>
    <row r="11745" spans="1:24">
      <c r="A11745">
        <f>HYPERLINK("https://www.philgeps.gov.ph/GEPSNONPILOT/Tender/SplashBidNoticeAbstractUI.aspx?menuIndex=3&amp;refID=7052313&amp;Result=3","7052313")</f>
        <v>0</v>
      </c>
      <c r="B11745" t="s">
        <v>2375</v>
      </c>
      <c r="C11745" t="s">
        <v>14622</v>
      </c>
      <c r="D11745" t="s">
        <v>16680</v>
      </c>
      <c r="E11745" t="s">
        <v>26846</v>
      </c>
      <c r="F11745" t="s">
        <v>28669</v>
      </c>
      <c r="G11745" t="s">
        <v>28675</v>
      </c>
      <c r="H11745" t="s">
        <v>28685</v>
      </c>
      <c r="I11745" t="s">
        <v>28689</v>
      </c>
      <c r="J11745" t="s">
        <v>36026</v>
      </c>
      <c r="K11745" t="s">
        <v>37356</v>
      </c>
      <c r="M11745" t="s">
        <v>40045</v>
      </c>
      <c r="N11745" t="s">
        <v>41249</v>
      </c>
      <c r="O11745" t="s">
        <v>41250</v>
      </c>
      <c r="P11745">
        <v>0</v>
      </c>
      <c r="Q11745">
        <v>1</v>
      </c>
      <c r="R11745" t="s">
        <v>41265</v>
      </c>
      <c r="S11745" t="s">
        <v>41880</v>
      </c>
      <c r="T11745" t="s">
        <v>42690</v>
      </c>
      <c r="U11745" t="s">
        <v>52613</v>
      </c>
      <c r="W11745" t="s">
        <v>40045</v>
      </c>
      <c r="X11745" t="s">
        <v>41266</v>
      </c>
    </row>
    <row r="11746" spans="1:24">
      <c r="A11746">
        <f>HYPERLINK("https://www.philgeps.gov.ph/GEPSNONPILOT/Tender/SplashBidNoticeAbstractUI.aspx?menuIndex=3&amp;refID=6931750&amp;Result=3","6931750")</f>
        <v>0</v>
      </c>
      <c r="B11746" t="s">
        <v>3157</v>
      </c>
      <c r="C11746" t="s">
        <v>14623</v>
      </c>
      <c r="D11746" t="s">
        <v>16666</v>
      </c>
      <c r="E11746" t="s">
        <v>26847</v>
      </c>
      <c r="F11746" t="s">
        <v>28669</v>
      </c>
      <c r="G11746" t="s">
        <v>28675</v>
      </c>
      <c r="H11746" t="s">
        <v>28686</v>
      </c>
      <c r="I11746" t="s">
        <v>28689</v>
      </c>
      <c r="J11746" t="s">
        <v>28881</v>
      </c>
      <c r="K11746" t="s">
        <v>37209</v>
      </c>
      <c r="M11746" t="s">
        <v>40950</v>
      </c>
      <c r="N11746" t="s">
        <v>41249</v>
      </c>
      <c r="O11746" t="s">
        <v>41250</v>
      </c>
      <c r="P11746">
        <v>0</v>
      </c>
      <c r="Q11746">
        <v>0</v>
      </c>
      <c r="R11746" t="s">
        <v>41266</v>
      </c>
      <c r="S11746" t="s">
        <v>41978</v>
      </c>
      <c r="T11746" t="s">
        <v>42742</v>
      </c>
      <c r="U11746" t="s">
        <v>52614</v>
      </c>
      <c r="W11746" t="s">
        <v>40950</v>
      </c>
      <c r="X11746" t="s">
        <v>41322</v>
      </c>
    </row>
    <row r="11747" spans="1:24">
      <c r="A11747">
        <f>HYPERLINK("https://www.philgeps.gov.ph/GEPSNONPILOT/Tender/SplashBidNoticeAbstractUI.aspx?menuIndex=3&amp;refID=6931724&amp;Result=3","6931724")</f>
        <v>0</v>
      </c>
      <c r="B11747" t="s">
        <v>3157</v>
      </c>
      <c r="C11747" t="s">
        <v>14624</v>
      </c>
      <c r="D11747" t="s">
        <v>16666</v>
      </c>
      <c r="E11747" t="s">
        <v>26848</v>
      </c>
      <c r="F11747" t="s">
        <v>28669</v>
      </c>
      <c r="G11747" t="s">
        <v>28675</v>
      </c>
      <c r="H11747" t="s">
        <v>28686</v>
      </c>
      <c r="I11747" t="s">
        <v>28689</v>
      </c>
      <c r="J11747" t="s">
        <v>28881</v>
      </c>
      <c r="K11747" t="s">
        <v>37209</v>
      </c>
      <c r="M11747" t="s">
        <v>40950</v>
      </c>
      <c r="N11747" t="s">
        <v>41249</v>
      </c>
      <c r="O11747" t="s">
        <v>41250</v>
      </c>
      <c r="P11747">
        <v>0</v>
      </c>
      <c r="Q11747">
        <v>0</v>
      </c>
      <c r="R11747" t="s">
        <v>41266</v>
      </c>
      <c r="S11747" t="s">
        <v>41978</v>
      </c>
      <c r="T11747" t="s">
        <v>42742</v>
      </c>
      <c r="U11747" t="s">
        <v>52615</v>
      </c>
      <c r="W11747" t="s">
        <v>40950</v>
      </c>
      <c r="X11747" t="s">
        <v>41322</v>
      </c>
    </row>
    <row r="11748" spans="1:24">
      <c r="A11748">
        <f>HYPERLINK("https://www.philgeps.gov.ph/GEPSNONPILOT/Tender/SplashBidNoticeAbstractUI.aspx?menuIndex=3&amp;refID=6985467&amp;Result=3","6985467")</f>
        <v>0</v>
      </c>
      <c r="B11748" t="s">
        <v>2924</v>
      </c>
      <c r="C11748" t="s">
        <v>14625</v>
      </c>
      <c r="D11748" t="s">
        <v>16617</v>
      </c>
      <c r="E11748" t="s">
        <v>26849</v>
      </c>
      <c r="F11748" t="s">
        <v>28669</v>
      </c>
      <c r="G11748" t="s">
        <v>28675</v>
      </c>
      <c r="H11748" t="s">
        <v>28686</v>
      </c>
      <c r="I11748" t="s">
        <v>28689</v>
      </c>
      <c r="J11748" t="s">
        <v>36027</v>
      </c>
      <c r="K11748" t="s">
        <v>37212</v>
      </c>
      <c r="M11748" t="s">
        <v>40677</v>
      </c>
      <c r="N11748" t="s">
        <v>41249</v>
      </c>
      <c r="O11748" t="s">
        <v>41250</v>
      </c>
      <c r="P11748">
        <v>0</v>
      </c>
      <c r="Q11748">
        <v>3</v>
      </c>
      <c r="R11748" t="s">
        <v>41266</v>
      </c>
      <c r="S11748" t="s">
        <v>41978</v>
      </c>
      <c r="T11748" t="s">
        <v>42690</v>
      </c>
      <c r="U11748" t="s">
        <v>52616</v>
      </c>
      <c r="V11748" t="s">
        <v>55661</v>
      </c>
      <c r="W11748" t="s">
        <v>40677</v>
      </c>
      <c r="X11748" t="s">
        <v>41367</v>
      </c>
    </row>
    <row r="11749" spans="1:24">
      <c r="A11749">
        <f>HYPERLINK("https://www.philgeps.gov.ph/GEPSNONPILOT/Tender/SplashBidNoticeAbstractUI.aspx?menuIndex=3&amp;refID=6931690&amp;Result=3","6931690")</f>
        <v>0</v>
      </c>
      <c r="B11749" t="s">
        <v>3157</v>
      </c>
      <c r="C11749" t="s">
        <v>14626</v>
      </c>
      <c r="D11749" t="s">
        <v>16666</v>
      </c>
      <c r="E11749" t="s">
        <v>26850</v>
      </c>
      <c r="F11749" t="s">
        <v>28669</v>
      </c>
      <c r="G11749" t="s">
        <v>28675</v>
      </c>
      <c r="H11749" t="s">
        <v>28686</v>
      </c>
      <c r="I11749" t="s">
        <v>28689</v>
      </c>
      <c r="J11749" t="s">
        <v>28924</v>
      </c>
      <c r="K11749" t="s">
        <v>37209</v>
      </c>
      <c r="M11749" t="s">
        <v>40950</v>
      </c>
      <c r="N11749" t="s">
        <v>41249</v>
      </c>
      <c r="O11749" t="s">
        <v>41250</v>
      </c>
      <c r="P11749">
        <v>0</v>
      </c>
      <c r="Q11749">
        <v>0</v>
      </c>
      <c r="R11749" t="s">
        <v>41266</v>
      </c>
      <c r="S11749" t="s">
        <v>41978</v>
      </c>
      <c r="T11749" t="s">
        <v>42742</v>
      </c>
      <c r="U11749" t="s">
        <v>52617</v>
      </c>
      <c r="W11749" t="s">
        <v>40950</v>
      </c>
      <c r="X11749" t="s">
        <v>41322</v>
      </c>
    </row>
    <row r="11750" spans="1:24">
      <c r="A11750">
        <f>HYPERLINK("https://www.philgeps.gov.ph/GEPSNONPILOT/Tender/SplashBidNoticeAbstractUI.aspx?menuIndex=3&amp;refID=6931668&amp;Result=3","6931668")</f>
        <v>0</v>
      </c>
      <c r="B11750" t="s">
        <v>3157</v>
      </c>
      <c r="C11750" t="s">
        <v>14627</v>
      </c>
      <c r="D11750" t="s">
        <v>16666</v>
      </c>
      <c r="E11750" t="s">
        <v>26851</v>
      </c>
      <c r="F11750" t="s">
        <v>28669</v>
      </c>
      <c r="G11750" t="s">
        <v>28675</v>
      </c>
      <c r="H11750" t="s">
        <v>28686</v>
      </c>
      <c r="I11750" t="s">
        <v>28689</v>
      </c>
      <c r="J11750" t="s">
        <v>28924</v>
      </c>
      <c r="K11750" t="s">
        <v>37209</v>
      </c>
      <c r="M11750" t="s">
        <v>40950</v>
      </c>
      <c r="N11750" t="s">
        <v>41249</v>
      </c>
      <c r="O11750" t="s">
        <v>41250</v>
      </c>
      <c r="P11750">
        <v>0</v>
      </c>
      <c r="Q11750">
        <v>0</v>
      </c>
      <c r="R11750" t="s">
        <v>41266</v>
      </c>
      <c r="S11750" t="s">
        <v>41978</v>
      </c>
      <c r="T11750" t="s">
        <v>42742</v>
      </c>
      <c r="U11750" t="s">
        <v>52618</v>
      </c>
      <c r="W11750" t="s">
        <v>40950</v>
      </c>
      <c r="X11750" t="s">
        <v>41322</v>
      </c>
    </row>
    <row r="11751" spans="1:24">
      <c r="A11751">
        <f>HYPERLINK("https://www.philgeps.gov.ph/GEPSNONPILOT/Tender/SplashBidNoticeAbstractUI.aspx?menuIndex=3&amp;refID=6931645&amp;Result=3","6931645")</f>
        <v>0</v>
      </c>
      <c r="B11751" t="s">
        <v>3157</v>
      </c>
      <c r="C11751" t="s">
        <v>14628</v>
      </c>
      <c r="D11751" t="s">
        <v>16666</v>
      </c>
      <c r="E11751" t="s">
        <v>26852</v>
      </c>
      <c r="F11751" t="s">
        <v>28669</v>
      </c>
      <c r="G11751" t="s">
        <v>28675</v>
      </c>
      <c r="H11751" t="s">
        <v>28686</v>
      </c>
      <c r="I11751" t="s">
        <v>28689</v>
      </c>
      <c r="J11751" t="s">
        <v>28924</v>
      </c>
      <c r="K11751" t="s">
        <v>37209</v>
      </c>
      <c r="M11751" t="s">
        <v>40950</v>
      </c>
      <c r="N11751" t="s">
        <v>41249</v>
      </c>
      <c r="O11751" t="s">
        <v>41250</v>
      </c>
      <c r="P11751">
        <v>0</v>
      </c>
      <c r="Q11751">
        <v>0</v>
      </c>
      <c r="R11751" t="s">
        <v>41266</v>
      </c>
      <c r="S11751" t="s">
        <v>41978</v>
      </c>
      <c r="T11751" t="s">
        <v>42742</v>
      </c>
      <c r="U11751" t="s">
        <v>52619</v>
      </c>
      <c r="W11751" t="s">
        <v>40950</v>
      </c>
      <c r="X11751" t="s">
        <v>41322</v>
      </c>
    </row>
    <row r="11752" spans="1:24">
      <c r="A11752">
        <f>HYPERLINK("https://www.philgeps.gov.ph/GEPSNONPILOT/Tender/SplashBidNoticeAbstractUI.aspx?menuIndex=3&amp;refID=7052565&amp;Result=3","7052565")</f>
        <v>0</v>
      </c>
      <c r="B11752" t="s">
        <v>2382</v>
      </c>
      <c r="C11752" t="s">
        <v>14629</v>
      </c>
      <c r="D11752" t="s">
        <v>16626</v>
      </c>
      <c r="E11752" t="s">
        <v>17435</v>
      </c>
      <c r="F11752" t="s">
        <v>28669</v>
      </c>
      <c r="G11752" t="s">
        <v>28676</v>
      </c>
      <c r="H11752" t="s">
        <v>9998</v>
      </c>
      <c r="I11752" t="s">
        <v>28708</v>
      </c>
      <c r="J11752" t="s">
        <v>31715</v>
      </c>
      <c r="K11752" t="s">
        <v>37234</v>
      </c>
      <c r="M11752" t="s">
        <v>40055</v>
      </c>
      <c r="N11752" t="s">
        <v>41249</v>
      </c>
      <c r="O11752" t="s">
        <v>41250</v>
      </c>
      <c r="P11752">
        <v>0</v>
      </c>
      <c r="Q11752">
        <v>3</v>
      </c>
      <c r="R11752" t="s">
        <v>41265</v>
      </c>
      <c r="S11752" t="s">
        <v>41880</v>
      </c>
      <c r="T11752" t="s">
        <v>42717</v>
      </c>
      <c r="U11752" t="s">
        <v>52620</v>
      </c>
      <c r="W11752" t="s">
        <v>40055</v>
      </c>
      <c r="X11752" t="s">
        <v>41266</v>
      </c>
    </row>
    <row r="11753" spans="1:24">
      <c r="A11753">
        <f>HYPERLINK("https://www.philgeps.gov.ph/GEPSNONPILOT/Tender/SplashBidNoticeAbstractUI.aspx?menuIndex=3&amp;refID=7023165-2&amp;Result=3","7023165-2")</f>
        <v>0</v>
      </c>
      <c r="B11753" t="s">
        <v>3156</v>
      </c>
      <c r="C11753" t="s">
        <v>14630</v>
      </c>
      <c r="D11753" t="s">
        <v>16658</v>
      </c>
      <c r="E11753" t="s">
        <v>26853</v>
      </c>
      <c r="F11753" t="s">
        <v>28669</v>
      </c>
      <c r="G11753" t="s">
        <v>28675</v>
      </c>
      <c r="H11753" t="s">
        <v>28685</v>
      </c>
      <c r="I11753" t="s">
        <v>28685</v>
      </c>
      <c r="J11753" t="s">
        <v>36028</v>
      </c>
      <c r="K11753" t="s">
        <v>37215</v>
      </c>
      <c r="M11753" t="s">
        <v>40949</v>
      </c>
      <c r="N11753" t="s">
        <v>41249</v>
      </c>
      <c r="O11753" t="s">
        <v>41250</v>
      </c>
      <c r="P11753">
        <v>0</v>
      </c>
      <c r="Q11753">
        <v>0</v>
      </c>
      <c r="R11753" t="s">
        <v>41266</v>
      </c>
      <c r="S11753" t="s">
        <v>41978</v>
      </c>
      <c r="T11753" t="s">
        <v>42739</v>
      </c>
      <c r="U11753" t="s">
        <v>52621</v>
      </c>
      <c r="W11753" t="s">
        <v>40949</v>
      </c>
      <c r="X11753" t="s">
        <v>41267</v>
      </c>
    </row>
    <row r="11754" spans="1:24">
      <c r="A11754">
        <f>HYPERLINK("https://www.philgeps.gov.ph/GEPSNONPILOT/Tender/SplashBidNoticeAbstractUI.aspx?menuIndex=3&amp;refID=7052664&amp;Result=3","7052664")</f>
        <v>0</v>
      </c>
      <c r="B11754" t="s">
        <v>891</v>
      </c>
      <c r="C11754" t="s">
        <v>14631</v>
      </c>
      <c r="D11754" t="s">
        <v>16631</v>
      </c>
      <c r="E11754" t="s">
        <v>26854</v>
      </c>
      <c r="F11754" t="s">
        <v>28669</v>
      </c>
      <c r="G11754" t="s">
        <v>28675</v>
      </c>
      <c r="H11754" t="s">
        <v>9998</v>
      </c>
      <c r="I11754" t="s">
        <v>28687</v>
      </c>
      <c r="J11754" t="s">
        <v>29112</v>
      </c>
      <c r="K11754" t="s">
        <v>37209</v>
      </c>
      <c r="M11754" t="s">
        <v>38412</v>
      </c>
      <c r="N11754" t="s">
        <v>41249</v>
      </c>
      <c r="O11754" t="s">
        <v>41250</v>
      </c>
      <c r="P11754">
        <v>0</v>
      </c>
      <c r="Q11754">
        <v>4</v>
      </c>
      <c r="R11754" t="s">
        <v>41265</v>
      </c>
      <c r="S11754" t="s">
        <v>41880</v>
      </c>
      <c r="T11754" t="s">
        <v>42783</v>
      </c>
      <c r="U11754" t="s">
        <v>52622</v>
      </c>
      <c r="W11754" t="s">
        <v>40528</v>
      </c>
      <c r="X11754" t="s">
        <v>41266</v>
      </c>
    </row>
    <row r="11755" spans="1:24">
      <c r="A11755">
        <f>HYPERLINK("https://www.philgeps.gov.ph/GEPSNONPILOT/Tender/SplashBidNoticeAbstractUI.aspx?menuIndex=3&amp;refID=7052661&amp;Result=3","7052661")</f>
        <v>0</v>
      </c>
      <c r="B11755" t="s">
        <v>891</v>
      </c>
      <c r="C11755" t="s">
        <v>14632</v>
      </c>
      <c r="D11755" t="s">
        <v>16631</v>
      </c>
      <c r="E11755" t="s">
        <v>26855</v>
      </c>
      <c r="F11755" t="s">
        <v>28669</v>
      </c>
      <c r="G11755" t="s">
        <v>28675</v>
      </c>
      <c r="H11755" t="s">
        <v>9998</v>
      </c>
      <c r="I11755" t="s">
        <v>28687</v>
      </c>
      <c r="J11755" t="s">
        <v>29059</v>
      </c>
      <c r="K11755" t="s">
        <v>37209</v>
      </c>
      <c r="M11755" t="s">
        <v>38412</v>
      </c>
      <c r="N11755" t="s">
        <v>41249</v>
      </c>
      <c r="O11755" t="s">
        <v>41250</v>
      </c>
      <c r="P11755">
        <v>0</v>
      </c>
      <c r="Q11755">
        <v>5</v>
      </c>
      <c r="R11755" t="s">
        <v>41265</v>
      </c>
      <c r="S11755" t="s">
        <v>41880</v>
      </c>
      <c r="T11755" t="s">
        <v>42783</v>
      </c>
      <c r="U11755" t="s">
        <v>52623</v>
      </c>
      <c r="W11755" t="s">
        <v>40528</v>
      </c>
      <c r="X11755" t="s">
        <v>41266</v>
      </c>
    </row>
    <row r="11756" spans="1:24">
      <c r="A11756">
        <f>HYPERLINK("https://www.philgeps.gov.ph/GEPSNONPILOT/Tender/SplashBidNoticeAbstractUI.aspx?menuIndex=3&amp;refID=7052660&amp;Result=3","7052660")</f>
        <v>0</v>
      </c>
      <c r="B11756" t="s">
        <v>891</v>
      </c>
      <c r="C11756" t="s">
        <v>14633</v>
      </c>
      <c r="D11756" t="s">
        <v>16631</v>
      </c>
      <c r="E11756" t="s">
        <v>26856</v>
      </c>
      <c r="F11756" t="s">
        <v>28669</v>
      </c>
      <c r="G11756" t="s">
        <v>28675</v>
      </c>
      <c r="H11756" t="s">
        <v>9998</v>
      </c>
      <c r="I11756" t="s">
        <v>28687</v>
      </c>
      <c r="J11756" t="s">
        <v>29047</v>
      </c>
      <c r="K11756" t="s">
        <v>37209</v>
      </c>
      <c r="M11756" t="s">
        <v>38412</v>
      </c>
      <c r="N11756" t="s">
        <v>41249</v>
      </c>
      <c r="O11756" t="s">
        <v>41250</v>
      </c>
      <c r="P11756">
        <v>0</v>
      </c>
      <c r="Q11756">
        <v>3</v>
      </c>
      <c r="R11756" t="s">
        <v>41265</v>
      </c>
      <c r="S11756" t="s">
        <v>41880</v>
      </c>
      <c r="T11756" t="s">
        <v>42671</v>
      </c>
      <c r="U11756" t="s">
        <v>50933</v>
      </c>
      <c r="W11756" t="s">
        <v>40528</v>
      </c>
      <c r="X11756" t="s">
        <v>41266</v>
      </c>
    </row>
    <row r="11757" spans="1:24">
      <c r="A11757">
        <f>HYPERLINK("https://www.philgeps.gov.ph/GEPSNONPILOT/Tender/SplashBidNoticeAbstractUI.aspx?menuIndex=3&amp;refID=7052656&amp;Result=3","7052656")</f>
        <v>0</v>
      </c>
      <c r="B11757" t="s">
        <v>3158</v>
      </c>
      <c r="C11757" t="s">
        <v>14634</v>
      </c>
      <c r="D11757" t="s">
        <v>16684</v>
      </c>
      <c r="E11757" t="s">
        <v>16709</v>
      </c>
      <c r="F11757" t="s">
        <v>28669</v>
      </c>
      <c r="G11757" t="s">
        <v>28675</v>
      </c>
      <c r="H11757" t="s">
        <v>9998</v>
      </c>
      <c r="I11757" t="s">
        <v>11593</v>
      </c>
      <c r="J11757" t="s">
        <v>35052</v>
      </c>
      <c r="K11757" t="s">
        <v>37221</v>
      </c>
      <c r="M11757" t="s">
        <v>40951</v>
      </c>
      <c r="N11757" t="s">
        <v>41249</v>
      </c>
      <c r="O11757" t="s">
        <v>41250</v>
      </c>
      <c r="P11757">
        <v>0</v>
      </c>
      <c r="Q11757">
        <v>9</v>
      </c>
      <c r="R11757" t="s">
        <v>41265</v>
      </c>
      <c r="S11757" t="s">
        <v>41880</v>
      </c>
      <c r="T11757" t="s">
        <v>42742</v>
      </c>
      <c r="U11757" t="s">
        <v>52624</v>
      </c>
      <c r="W11757" t="s">
        <v>40951</v>
      </c>
      <c r="X11757" t="s">
        <v>41266</v>
      </c>
    </row>
    <row r="11758" spans="1:24">
      <c r="A11758">
        <f>HYPERLINK("https://www.philgeps.gov.ph/GEPSNONPILOT/Tender/SplashBidNoticeAbstractUI.aspx?menuIndex=3&amp;refID=7052655&amp;Result=3","7052655")</f>
        <v>0</v>
      </c>
      <c r="B11758" t="s">
        <v>891</v>
      </c>
      <c r="C11758" t="s">
        <v>14635</v>
      </c>
      <c r="D11758" t="s">
        <v>16631</v>
      </c>
      <c r="E11758" t="s">
        <v>26857</v>
      </c>
      <c r="F11758" t="s">
        <v>28669</v>
      </c>
      <c r="G11758" t="s">
        <v>28675</v>
      </c>
      <c r="H11758" t="s">
        <v>9998</v>
      </c>
      <c r="I11758" t="s">
        <v>28687</v>
      </c>
      <c r="J11758" t="s">
        <v>30227</v>
      </c>
      <c r="K11758" t="s">
        <v>37209</v>
      </c>
      <c r="M11758" t="s">
        <v>38412</v>
      </c>
      <c r="N11758" t="s">
        <v>41249</v>
      </c>
      <c r="O11758" t="s">
        <v>41250</v>
      </c>
      <c r="P11758">
        <v>0</v>
      </c>
      <c r="Q11758">
        <v>4</v>
      </c>
      <c r="R11758" t="s">
        <v>41265</v>
      </c>
      <c r="S11758" t="s">
        <v>41880</v>
      </c>
      <c r="T11758" t="s">
        <v>42783</v>
      </c>
      <c r="U11758" t="s">
        <v>52625</v>
      </c>
      <c r="W11758" t="s">
        <v>40528</v>
      </c>
      <c r="X11758" t="s">
        <v>41266</v>
      </c>
    </row>
    <row r="11759" spans="1:24">
      <c r="A11759">
        <f>HYPERLINK("https://www.philgeps.gov.ph/GEPSNONPILOT/Tender/SplashBidNoticeAbstractUI.aspx?menuIndex=3&amp;refID=7052638&amp;Result=3","7052638")</f>
        <v>0</v>
      </c>
      <c r="B11759" t="s">
        <v>2547</v>
      </c>
      <c r="C11759" t="s">
        <v>14636</v>
      </c>
      <c r="D11759" t="s">
        <v>16654</v>
      </c>
      <c r="E11759" t="s">
        <v>26858</v>
      </c>
      <c r="F11759" t="s">
        <v>28669</v>
      </c>
      <c r="G11759" t="s">
        <v>28675</v>
      </c>
      <c r="H11759" t="s">
        <v>28686</v>
      </c>
      <c r="I11759" t="s">
        <v>28689</v>
      </c>
      <c r="J11759" t="s">
        <v>29724</v>
      </c>
      <c r="K11759" t="s">
        <v>37220</v>
      </c>
      <c r="M11759" t="s">
        <v>40239</v>
      </c>
      <c r="N11759" t="s">
        <v>41249</v>
      </c>
      <c r="O11759" t="s">
        <v>41250</v>
      </c>
      <c r="Q11759">
        <v>0</v>
      </c>
      <c r="R11759" t="s">
        <v>41265</v>
      </c>
      <c r="S11759" t="s">
        <v>41980</v>
      </c>
      <c r="T11759" t="s">
        <v>42679</v>
      </c>
      <c r="U11759" t="s">
        <v>49954</v>
      </c>
      <c r="W11759" t="s">
        <v>40239</v>
      </c>
      <c r="X11759" t="s">
        <v>41266</v>
      </c>
    </row>
    <row r="11760" spans="1:24">
      <c r="A11760">
        <f>HYPERLINK("https://www.philgeps.gov.ph/GEPSNONPILOT/Tender/SplashBidNoticeAbstractUI.aspx?menuIndex=3&amp;refID=7052312&amp;Result=3","7052312")</f>
        <v>0</v>
      </c>
      <c r="B11760" t="s">
        <v>3149</v>
      </c>
      <c r="C11760" t="s">
        <v>14637</v>
      </c>
      <c r="D11760" t="s">
        <v>16672</v>
      </c>
      <c r="E11760" t="s">
        <v>26859</v>
      </c>
      <c r="F11760" t="s">
        <v>28669</v>
      </c>
      <c r="G11760" t="s">
        <v>28675</v>
      </c>
      <c r="H11760" t="s">
        <v>9998</v>
      </c>
      <c r="I11760" t="s">
        <v>28719</v>
      </c>
      <c r="J11760" t="s">
        <v>28878</v>
      </c>
      <c r="K11760" t="s">
        <v>37227</v>
      </c>
      <c r="M11760" t="s">
        <v>40939</v>
      </c>
      <c r="N11760" t="s">
        <v>41249</v>
      </c>
      <c r="O11760" t="s">
        <v>41250</v>
      </c>
      <c r="P11760">
        <v>0</v>
      </c>
      <c r="Q11760">
        <v>2</v>
      </c>
      <c r="R11760" t="s">
        <v>41265</v>
      </c>
      <c r="S11760" t="s">
        <v>41880</v>
      </c>
      <c r="T11760" t="s">
        <v>42757</v>
      </c>
      <c r="U11760" t="s">
        <v>52626</v>
      </c>
      <c r="W11760" t="s">
        <v>40939</v>
      </c>
      <c r="X11760" t="s">
        <v>41266</v>
      </c>
    </row>
    <row r="11761" spans="1:24">
      <c r="A11761">
        <f>HYPERLINK("https://www.philgeps.gov.ph/GEPSNONPILOT/Tender/SplashBidNoticeAbstractUI.aspx?menuIndex=3&amp;refID=7052303&amp;Result=3","7052303")</f>
        <v>0</v>
      </c>
      <c r="B11761" t="s">
        <v>2375</v>
      </c>
      <c r="C11761" t="s">
        <v>14638</v>
      </c>
      <c r="D11761" t="s">
        <v>16680</v>
      </c>
      <c r="E11761" t="s">
        <v>26860</v>
      </c>
      <c r="F11761" t="s">
        <v>28669</v>
      </c>
      <c r="G11761" t="s">
        <v>28675</v>
      </c>
      <c r="H11761" t="s">
        <v>28685</v>
      </c>
      <c r="I11761" t="s">
        <v>28685</v>
      </c>
      <c r="J11761" t="s">
        <v>36029</v>
      </c>
      <c r="K11761" t="s">
        <v>37227</v>
      </c>
      <c r="M11761" t="s">
        <v>40045</v>
      </c>
      <c r="N11761" t="s">
        <v>41249</v>
      </c>
      <c r="O11761" t="s">
        <v>41250</v>
      </c>
      <c r="P11761">
        <v>0</v>
      </c>
      <c r="Q11761">
        <v>2</v>
      </c>
      <c r="R11761" t="s">
        <v>41265</v>
      </c>
      <c r="S11761" t="s">
        <v>41880</v>
      </c>
      <c r="T11761" t="s">
        <v>42690</v>
      </c>
      <c r="U11761" t="s">
        <v>52627</v>
      </c>
      <c r="W11761" t="s">
        <v>40045</v>
      </c>
      <c r="X11761" t="s">
        <v>41266</v>
      </c>
    </row>
    <row r="11762" spans="1:24">
      <c r="A11762">
        <f>HYPERLINK("https://www.philgeps.gov.ph/GEPSNONPILOT/Tender/SplashBidNoticeAbstractUI.aspx?menuIndex=3&amp;refID=7052299&amp;Result=3","7052299")</f>
        <v>0</v>
      </c>
      <c r="B11762" t="s">
        <v>92</v>
      </c>
      <c r="C11762" t="s">
        <v>14639</v>
      </c>
      <c r="D11762" t="s">
        <v>16653</v>
      </c>
      <c r="E11762" t="s">
        <v>26861</v>
      </c>
      <c r="F11762" t="s">
        <v>28669</v>
      </c>
      <c r="G11762" t="s">
        <v>28675</v>
      </c>
      <c r="H11762" t="s">
        <v>9998</v>
      </c>
      <c r="I11762" t="s">
        <v>15140</v>
      </c>
      <c r="J11762" t="s">
        <v>36030</v>
      </c>
      <c r="K11762" t="s">
        <v>37467</v>
      </c>
      <c r="M11762" t="s">
        <v>37567</v>
      </c>
      <c r="N11762" t="s">
        <v>41249</v>
      </c>
      <c r="O11762" t="s">
        <v>41250</v>
      </c>
      <c r="P11762">
        <v>0</v>
      </c>
      <c r="Q11762">
        <v>0</v>
      </c>
      <c r="R11762" t="s">
        <v>41265</v>
      </c>
      <c r="S11762" t="s">
        <v>41880</v>
      </c>
      <c r="T11762" t="s">
        <v>42682</v>
      </c>
      <c r="U11762" t="s">
        <v>52628</v>
      </c>
      <c r="W11762" t="s">
        <v>37567</v>
      </c>
      <c r="X11762" t="s">
        <v>41266</v>
      </c>
    </row>
    <row r="11763" spans="1:24">
      <c r="A11763">
        <f>HYPERLINK("https://www.philgeps.gov.ph/GEPSNONPILOT/Tender/SplashBidNoticeAbstractUI.aspx?menuIndex=3&amp;refID=7021620-2&amp;Result=3","7021620-2")</f>
        <v>0</v>
      </c>
      <c r="B11763" t="s">
        <v>2357</v>
      </c>
      <c r="C11763" t="s">
        <v>14640</v>
      </c>
      <c r="D11763" t="s">
        <v>16666</v>
      </c>
      <c r="E11763" t="s">
        <v>26862</v>
      </c>
      <c r="F11763" t="s">
        <v>28669</v>
      </c>
      <c r="G11763" t="s">
        <v>28675</v>
      </c>
      <c r="H11763" t="s">
        <v>28685</v>
      </c>
      <c r="I11763" t="s">
        <v>28685</v>
      </c>
      <c r="J11763" t="s">
        <v>36031</v>
      </c>
      <c r="K11763" t="s">
        <v>37220</v>
      </c>
      <c r="M11763" t="s">
        <v>40025</v>
      </c>
      <c r="N11763" t="s">
        <v>41249</v>
      </c>
      <c r="O11763" t="s">
        <v>41250</v>
      </c>
      <c r="P11763">
        <v>0</v>
      </c>
      <c r="Q11763">
        <v>1</v>
      </c>
      <c r="R11763" t="s">
        <v>41266</v>
      </c>
      <c r="S11763" t="s">
        <v>41978</v>
      </c>
      <c r="T11763" t="s">
        <v>42673</v>
      </c>
      <c r="U11763" t="s">
        <v>52629</v>
      </c>
      <c r="W11763" t="s">
        <v>40025</v>
      </c>
      <c r="X11763" t="s">
        <v>41267</v>
      </c>
    </row>
    <row r="11764" spans="1:24">
      <c r="A11764">
        <f>HYPERLINK("https://www.philgeps.gov.ph/GEPSNONPILOT/Tender/SplashBidNoticeAbstractUI.aspx?menuIndex=3&amp;refID=7052216&amp;Result=3","7052216")</f>
        <v>0</v>
      </c>
      <c r="B11764" t="s">
        <v>2960</v>
      </c>
      <c r="C11764" t="s">
        <v>14641</v>
      </c>
      <c r="D11764" t="s">
        <v>16680</v>
      </c>
      <c r="E11764" t="s">
        <v>26863</v>
      </c>
      <c r="F11764" t="s">
        <v>28669</v>
      </c>
      <c r="G11764" t="s">
        <v>28675</v>
      </c>
      <c r="H11764" t="s">
        <v>9998</v>
      </c>
      <c r="I11764" t="s">
        <v>28749</v>
      </c>
      <c r="J11764" t="s">
        <v>28878</v>
      </c>
      <c r="K11764" t="s">
        <v>37220</v>
      </c>
      <c r="M11764" t="s">
        <v>40720</v>
      </c>
      <c r="N11764" t="s">
        <v>41249</v>
      </c>
      <c r="O11764" t="s">
        <v>41250</v>
      </c>
      <c r="P11764">
        <v>0</v>
      </c>
      <c r="Q11764">
        <v>1</v>
      </c>
      <c r="R11764" t="s">
        <v>41265</v>
      </c>
      <c r="S11764" t="s">
        <v>41880</v>
      </c>
      <c r="T11764" t="s">
        <v>42686</v>
      </c>
      <c r="U11764" t="s">
        <v>52630</v>
      </c>
      <c r="W11764" t="s">
        <v>40720</v>
      </c>
      <c r="X11764" t="s">
        <v>41266</v>
      </c>
    </row>
    <row r="11765" spans="1:24">
      <c r="A11765">
        <f>HYPERLINK("https://www.philgeps.gov.ph/GEPSNONPILOT/Tender/SplashBidNoticeAbstractUI.aspx?menuIndex=3&amp;refID=7052215&amp;Result=3","7052215")</f>
        <v>0</v>
      </c>
      <c r="B11765" t="s">
        <v>392</v>
      </c>
      <c r="C11765" t="s">
        <v>14642</v>
      </c>
      <c r="D11765" t="s">
        <v>16668</v>
      </c>
      <c r="E11765" t="s">
        <v>26864</v>
      </c>
      <c r="F11765" t="s">
        <v>28669</v>
      </c>
      <c r="G11765" t="s">
        <v>28675</v>
      </c>
      <c r="H11765" t="s">
        <v>9998</v>
      </c>
      <c r="I11765" t="s">
        <v>28687</v>
      </c>
      <c r="J11765" t="s">
        <v>31461</v>
      </c>
      <c r="K11765" t="s">
        <v>37206</v>
      </c>
      <c r="M11765" t="s">
        <v>37876</v>
      </c>
      <c r="N11765" t="s">
        <v>41249</v>
      </c>
      <c r="O11765" t="s">
        <v>41250</v>
      </c>
      <c r="P11765">
        <v>0</v>
      </c>
      <c r="Q11765">
        <v>3</v>
      </c>
      <c r="R11765" t="s">
        <v>41265</v>
      </c>
      <c r="S11765" t="s">
        <v>41880</v>
      </c>
      <c r="T11765" t="s">
        <v>42682</v>
      </c>
      <c r="U11765" t="s">
        <v>52631</v>
      </c>
      <c r="V11765" t="s">
        <v>55662</v>
      </c>
      <c r="W11765" t="s">
        <v>37876</v>
      </c>
      <c r="X11765" t="s">
        <v>41266</v>
      </c>
    </row>
    <row r="11766" spans="1:24">
      <c r="A11766">
        <f>HYPERLINK("https://www.philgeps.gov.ph/GEPSNONPILOT/Tender/SplashBidNoticeAbstractUI.aspx?menuIndex=3&amp;refID=7052206&amp;Result=3","7052206")</f>
        <v>0</v>
      </c>
      <c r="B11766" t="s">
        <v>3140</v>
      </c>
      <c r="C11766" t="s">
        <v>14643</v>
      </c>
      <c r="D11766" t="s">
        <v>16627</v>
      </c>
      <c r="E11766" t="s">
        <v>26865</v>
      </c>
      <c r="F11766" t="s">
        <v>28669</v>
      </c>
      <c r="G11766" t="s">
        <v>28675</v>
      </c>
      <c r="H11766" t="s">
        <v>28686</v>
      </c>
      <c r="I11766" t="s">
        <v>28689</v>
      </c>
      <c r="J11766" t="s">
        <v>36032</v>
      </c>
      <c r="K11766" t="s">
        <v>37213</v>
      </c>
      <c r="M11766" t="s">
        <v>40928</v>
      </c>
      <c r="N11766" t="s">
        <v>41249</v>
      </c>
      <c r="O11766" t="s">
        <v>41250</v>
      </c>
      <c r="P11766">
        <v>0</v>
      </c>
      <c r="Q11766">
        <v>1</v>
      </c>
      <c r="R11766" t="s">
        <v>41265</v>
      </c>
      <c r="S11766" t="s">
        <v>41880</v>
      </c>
      <c r="T11766" t="s">
        <v>42687</v>
      </c>
      <c r="U11766" t="s">
        <v>52632</v>
      </c>
      <c r="W11766" t="s">
        <v>40928</v>
      </c>
      <c r="X11766" t="s">
        <v>41266</v>
      </c>
    </row>
    <row r="11767" spans="1:24">
      <c r="A11767">
        <f>HYPERLINK("https://www.philgeps.gov.ph/GEPSNONPILOT/Tender/SplashBidNoticeAbstractUI.aspx?menuIndex=3&amp;refID=7052188&amp;Result=3","7052188")</f>
        <v>0</v>
      </c>
      <c r="B11767" t="s">
        <v>3140</v>
      </c>
      <c r="C11767" t="s">
        <v>14644</v>
      </c>
      <c r="D11767" t="s">
        <v>16627</v>
      </c>
      <c r="E11767" t="s">
        <v>26866</v>
      </c>
      <c r="F11767" t="s">
        <v>28669</v>
      </c>
      <c r="G11767" t="s">
        <v>28675</v>
      </c>
      <c r="H11767" t="s">
        <v>28686</v>
      </c>
      <c r="I11767" t="s">
        <v>28689</v>
      </c>
      <c r="J11767" t="s">
        <v>36033</v>
      </c>
      <c r="K11767" t="s">
        <v>37211</v>
      </c>
      <c r="M11767" t="s">
        <v>40928</v>
      </c>
      <c r="N11767" t="s">
        <v>41249</v>
      </c>
      <c r="O11767" t="s">
        <v>41250</v>
      </c>
      <c r="P11767">
        <v>0</v>
      </c>
      <c r="Q11767">
        <v>1</v>
      </c>
      <c r="R11767" t="s">
        <v>41265</v>
      </c>
      <c r="S11767" t="s">
        <v>41880</v>
      </c>
      <c r="T11767" t="s">
        <v>42687</v>
      </c>
      <c r="U11767" t="s">
        <v>52633</v>
      </c>
      <c r="W11767" t="s">
        <v>40928</v>
      </c>
      <c r="X11767" t="s">
        <v>41266</v>
      </c>
    </row>
    <row r="11768" spans="1:24">
      <c r="A11768">
        <f>HYPERLINK("https://www.philgeps.gov.ph/GEPSNONPILOT/Tender/SplashBidNoticeAbstractUI.aspx?menuIndex=3&amp;refID=7052182&amp;Result=3","7052182")</f>
        <v>0</v>
      </c>
      <c r="B11768" t="s">
        <v>3159</v>
      </c>
      <c r="C11768" t="s">
        <v>14645</v>
      </c>
      <c r="D11768" t="s">
        <v>16676</v>
      </c>
      <c r="E11768" t="s">
        <v>22561</v>
      </c>
      <c r="F11768" t="s">
        <v>28669</v>
      </c>
      <c r="G11768" t="s">
        <v>28675</v>
      </c>
      <c r="H11768" t="s">
        <v>28686</v>
      </c>
      <c r="I11768" t="s">
        <v>28689</v>
      </c>
      <c r="J11768" t="s">
        <v>36034</v>
      </c>
      <c r="K11768" t="s">
        <v>37213</v>
      </c>
      <c r="M11768" t="s">
        <v>40952</v>
      </c>
      <c r="N11768" t="s">
        <v>41249</v>
      </c>
      <c r="O11768" t="s">
        <v>41250</v>
      </c>
      <c r="P11768">
        <v>0</v>
      </c>
      <c r="Q11768">
        <v>0</v>
      </c>
      <c r="R11768" t="s">
        <v>41265</v>
      </c>
      <c r="S11768" t="s">
        <v>41880</v>
      </c>
      <c r="T11768" t="s">
        <v>42665</v>
      </c>
      <c r="U11768" t="s">
        <v>52634</v>
      </c>
      <c r="W11768" t="s">
        <v>40952</v>
      </c>
      <c r="X11768" t="s">
        <v>41266</v>
      </c>
    </row>
    <row r="11769" spans="1:24">
      <c r="A11769">
        <f>HYPERLINK("https://www.philgeps.gov.ph/GEPSNONPILOT/Tender/SplashBidNoticeAbstractUI.aspx?menuIndex=3&amp;refID=7052532&amp;Result=3","7052532")</f>
        <v>0</v>
      </c>
      <c r="B11769" t="s">
        <v>1887</v>
      </c>
      <c r="C11769" t="s">
        <v>14646</v>
      </c>
      <c r="D11769" t="s">
        <v>16625</v>
      </c>
      <c r="E11769" t="s">
        <v>26867</v>
      </c>
      <c r="F11769" t="s">
        <v>28669</v>
      </c>
      <c r="G11769" t="s">
        <v>28675</v>
      </c>
      <c r="H11769" t="s">
        <v>28686</v>
      </c>
      <c r="I11769" t="s">
        <v>28689</v>
      </c>
      <c r="J11769" t="s">
        <v>36035</v>
      </c>
      <c r="K11769" t="s">
        <v>37362</v>
      </c>
      <c r="M11769" t="s">
        <v>39510</v>
      </c>
      <c r="N11769" t="s">
        <v>41249</v>
      </c>
      <c r="O11769" t="s">
        <v>41250</v>
      </c>
      <c r="Q11769">
        <v>0</v>
      </c>
      <c r="R11769" t="s">
        <v>41265</v>
      </c>
      <c r="S11769" t="s">
        <v>41981</v>
      </c>
      <c r="T11769" t="s">
        <v>42700</v>
      </c>
      <c r="U11769" t="s">
        <v>52635</v>
      </c>
      <c r="W11769" t="s">
        <v>56026</v>
      </c>
      <c r="X11769" t="s">
        <v>41266</v>
      </c>
    </row>
    <row r="11770" spans="1:24">
      <c r="A11770">
        <f>HYPERLINK("https://www.philgeps.gov.ph/GEPSNONPILOT/Tender/SplashBidNoticeAbstractUI.aspx?menuIndex=3&amp;refID=7052666&amp;Result=3","7052666")</f>
        <v>0</v>
      </c>
      <c r="B11770" t="s">
        <v>891</v>
      </c>
      <c r="C11770" t="s">
        <v>14647</v>
      </c>
      <c r="D11770" t="s">
        <v>16631</v>
      </c>
      <c r="E11770" t="s">
        <v>26868</v>
      </c>
      <c r="F11770" t="s">
        <v>28669</v>
      </c>
      <c r="G11770" t="s">
        <v>28675</v>
      </c>
      <c r="H11770" t="s">
        <v>9998</v>
      </c>
      <c r="I11770" t="s">
        <v>7352</v>
      </c>
      <c r="J11770" t="s">
        <v>36036</v>
      </c>
      <c r="K11770" t="s">
        <v>37206</v>
      </c>
      <c r="M11770" t="s">
        <v>38412</v>
      </c>
      <c r="N11770" t="s">
        <v>41249</v>
      </c>
      <c r="O11770" t="s">
        <v>41250</v>
      </c>
      <c r="P11770">
        <v>0</v>
      </c>
      <c r="Q11770">
        <v>0</v>
      </c>
      <c r="R11770" t="s">
        <v>41265</v>
      </c>
      <c r="S11770" t="s">
        <v>41880</v>
      </c>
      <c r="T11770" t="s">
        <v>42783</v>
      </c>
      <c r="U11770" t="s">
        <v>52636</v>
      </c>
      <c r="W11770" t="s">
        <v>40528</v>
      </c>
      <c r="X11770" t="s">
        <v>41266</v>
      </c>
    </row>
    <row r="11771" spans="1:24">
      <c r="A11771">
        <f>HYPERLINK("https://www.philgeps.gov.ph/GEPSNONPILOT/Tender/SplashBidNoticeAbstractUI.aspx?menuIndex=3&amp;refID=7052213&amp;Result=3","7052213")</f>
        <v>0</v>
      </c>
      <c r="B11771" t="s">
        <v>534</v>
      </c>
      <c r="C11771" t="s">
        <v>14648</v>
      </c>
      <c r="D11771" t="s">
        <v>16630</v>
      </c>
      <c r="E11771" t="s">
        <v>26869</v>
      </c>
      <c r="F11771" t="s">
        <v>28669</v>
      </c>
      <c r="G11771" t="s">
        <v>28675</v>
      </c>
      <c r="H11771" t="s">
        <v>28686</v>
      </c>
      <c r="I11771" t="s">
        <v>28689</v>
      </c>
      <c r="J11771" t="s">
        <v>36037</v>
      </c>
      <c r="K11771" t="s">
        <v>37377</v>
      </c>
      <c r="M11771" t="s">
        <v>38025</v>
      </c>
      <c r="N11771" t="s">
        <v>41249</v>
      </c>
      <c r="O11771" t="s">
        <v>41250</v>
      </c>
      <c r="P11771">
        <v>0</v>
      </c>
      <c r="Q11771">
        <v>0</v>
      </c>
      <c r="R11771" t="s">
        <v>41265</v>
      </c>
      <c r="S11771" t="s">
        <v>41880</v>
      </c>
      <c r="T11771" t="s">
        <v>42726</v>
      </c>
      <c r="U11771" t="s">
        <v>52637</v>
      </c>
      <c r="W11771" t="s">
        <v>38025</v>
      </c>
      <c r="X11771" t="s">
        <v>41266</v>
      </c>
    </row>
    <row r="11772" spans="1:24">
      <c r="A11772">
        <f>HYPERLINK("https://www.philgeps.gov.ph/GEPSNONPILOT/Tender/SplashBidNoticeAbstractUI.aspx?menuIndex=3&amp;refID=7052658&amp;Result=3","7052658")</f>
        <v>0</v>
      </c>
      <c r="B11772" t="s">
        <v>891</v>
      </c>
      <c r="C11772" t="s">
        <v>14649</v>
      </c>
      <c r="D11772" t="s">
        <v>16631</v>
      </c>
      <c r="E11772" t="s">
        <v>26870</v>
      </c>
      <c r="F11772" t="s">
        <v>28669</v>
      </c>
      <c r="G11772" t="s">
        <v>28675</v>
      </c>
      <c r="H11772" t="s">
        <v>9998</v>
      </c>
      <c r="I11772" t="s">
        <v>28687</v>
      </c>
      <c r="J11772" t="s">
        <v>30575</v>
      </c>
      <c r="K11772" t="s">
        <v>37209</v>
      </c>
      <c r="M11772" t="s">
        <v>38412</v>
      </c>
      <c r="N11772" t="s">
        <v>41249</v>
      </c>
      <c r="O11772" t="s">
        <v>41250</v>
      </c>
      <c r="P11772">
        <v>0</v>
      </c>
      <c r="Q11772">
        <v>4</v>
      </c>
      <c r="R11772" t="s">
        <v>41265</v>
      </c>
      <c r="S11772" t="s">
        <v>41880</v>
      </c>
      <c r="T11772" t="s">
        <v>42783</v>
      </c>
      <c r="U11772" t="s">
        <v>50933</v>
      </c>
      <c r="W11772" t="s">
        <v>40528</v>
      </c>
      <c r="X11772" t="s">
        <v>41266</v>
      </c>
    </row>
    <row r="11773" spans="1:24">
      <c r="A11773">
        <f>HYPERLINK("https://www.philgeps.gov.ph/GEPSNONPILOT/Tender/SplashBidNoticeAbstractUI.aspx?menuIndex=3&amp;refID=6931623&amp;Result=3","6931623")</f>
        <v>0</v>
      </c>
      <c r="B11773" t="s">
        <v>3157</v>
      </c>
      <c r="C11773" t="s">
        <v>14650</v>
      </c>
      <c r="D11773" t="s">
        <v>16666</v>
      </c>
      <c r="E11773" t="s">
        <v>26871</v>
      </c>
      <c r="F11773" t="s">
        <v>28669</v>
      </c>
      <c r="G11773" t="s">
        <v>28675</v>
      </c>
      <c r="H11773" t="s">
        <v>28686</v>
      </c>
      <c r="I11773" t="s">
        <v>28689</v>
      </c>
      <c r="J11773" t="s">
        <v>28881</v>
      </c>
      <c r="K11773" t="s">
        <v>37209</v>
      </c>
      <c r="M11773" t="s">
        <v>40950</v>
      </c>
      <c r="N11773" t="s">
        <v>41249</v>
      </c>
      <c r="O11773" t="s">
        <v>41250</v>
      </c>
      <c r="P11773">
        <v>0</v>
      </c>
      <c r="Q11773">
        <v>0</v>
      </c>
      <c r="R11773" t="s">
        <v>41266</v>
      </c>
      <c r="S11773" t="s">
        <v>41978</v>
      </c>
      <c r="T11773" t="s">
        <v>42742</v>
      </c>
      <c r="U11773" t="s">
        <v>52638</v>
      </c>
      <c r="W11773" t="s">
        <v>40950</v>
      </c>
      <c r="X11773" t="s">
        <v>41322</v>
      </c>
    </row>
    <row r="11774" spans="1:24">
      <c r="A11774">
        <f>HYPERLINK("https://www.philgeps.gov.ph/GEPSNONPILOT/Tender/SplashBidNoticeAbstractUI.aspx?menuIndex=3&amp;refID=7028170&amp;Result=3","7028170")</f>
        <v>0</v>
      </c>
      <c r="B11774" t="s">
        <v>2107</v>
      </c>
      <c r="C11774" t="s">
        <v>14651</v>
      </c>
      <c r="E11774" t="s">
        <v>26872</v>
      </c>
      <c r="F11774" t="s">
        <v>28669</v>
      </c>
      <c r="G11774" t="s">
        <v>28675</v>
      </c>
      <c r="H11774" t="s">
        <v>28686</v>
      </c>
      <c r="I11774" t="s">
        <v>28689</v>
      </c>
      <c r="J11774" t="s">
        <v>28881</v>
      </c>
      <c r="K11774" t="s">
        <v>37209</v>
      </c>
      <c r="M11774" t="s">
        <v>39750</v>
      </c>
      <c r="N11774" t="s">
        <v>41249</v>
      </c>
      <c r="O11774" t="s">
        <v>41250</v>
      </c>
      <c r="P11774">
        <v>0</v>
      </c>
      <c r="Q11774">
        <v>0</v>
      </c>
      <c r="R11774" t="s">
        <v>41266</v>
      </c>
      <c r="S11774" t="s">
        <v>41978</v>
      </c>
      <c r="T11774" t="s">
        <v>42679</v>
      </c>
      <c r="U11774" t="s">
        <v>52639</v>
      </c>
      <c r="W11774" t="s">
        <v>39750</v>
      </c>
      <c r="X11774" t="s">
        <v>41279</v>
      </c>
    </row>
    <row r="11775" spans="1:24">
      <c r="A11775">
        <f>HYPERLINK("https://www.philgeps.gov.ph/GEPSNONPILOT/Tender/SplashBidNoticeAbstractUI.aspx?menuIndex=3&amp;refID=7041034&amp;Result=3","7041034")</f>
        <v>0</v>
      </c>
      <c r="B11775" t="s">
        <v>3157</v>
      </c>
      <c r="C11775" t="s">
        <v>14652</v>
      </c>
      <c r="D11775" t="s">
        <v>16666</v>
      </c>
      <c r="E11775" t="s">
        <v>26873</v>
      </c>
      <c r="F11775" t="s">
        <v>28669</v>
      </c>
      <c r="G11775" t="s">
        <v>28675</v>
      </c>
      <c r="H11775" t="s">
        <v>28686</v>
      </c>
      <c r="I11775" t="s">
        <v>28689</v>
      </c>
      <c r="J11775" t="s">
        <v>28924</v>
      </c>
      <c r="K11775" t="s">
        <v>37209</v>
      </c>
      <c r="M11775" t="s">
        <v>40950</v>
      </c>
      <c r="N11775" t="s">
        <v>41249</v>
      </c>
      <c r="O11775" t="s">
        <v>41250</v>
      </c>
      <c r="P11775">
        <v>0</v>
      </c>
      <c r="Q11775">
        <v>0</v>
      </c>
      <c r="R11775" t="s">
        <v>41266</v>
      </c>
      <c r="S11775" t="s">
        <v>41978</v>
      </c>
      <c r="T11775" t="s">
        <v>42742</v>
      </c>
      <c r="U11775" t="s">
        <v>52640</v>
      </c>
      <c r="W11775" t="s">
        <v>40950</v>
      </c>
      <c r="X11775" t="s">
        <v>41272</v>
      </c>
    </row>
    <row r="11776" spans="1:24">
      <c r="A11776">
        <f>HYPERLINK("https://www.philgeps.gov.ph/GEPSNONPILOT/Tender/SplashBidNoticeAbstractUI.aspx?menuIndex=3&amp;refID=7042748&amp;Result=3","7042748")</f>
        <v>0</v>
      </c>
      <c r="B11776" t="s">
        <v>495</v>
      </c>
      <c r="C11776" t="s">
        <v>14653</v>
      </c>
      <c r="D11776" t="s">
        <v>16632</v>
      </c>
      <c r="E11776" t="s">
        <v>26874</v>
      </c>
      <c r="F11776" t="s">
        <v>28669</v>
      </c>
      <c r="G11776" t="s">
        <v>28675</v>
      </c>
      <c r="H11776" t="s">
        <v>28686</v>
      </c>
      <c r="I11776" t="s">
        <v>7352</v>
      </c>
      <c r="J11776" t="s">
        <v>36038</v>
      </c>
      <c r="K11776" t="s">
        <v>37215</v>
      </c>
      <c r="M11776" t="s">
        <v>37984</v>
      </c>
      <c r="N11776" t="s">
        <v>41249</v>
      </c>
      <c r="O11776" t="s">
        <v>41250</v>
      </c>
      <c r="Q11776">
        <v>1</v>
      </c>
      <c r="R11776" t="s">
        <v>41266</v>
      </c>
      <c r="S11776" t="s">
        <v>41982</v>
      </c>
      <c r="T11776" t="s">
        <v>42736</v>
      </c>
      <c r="U11776" t="s">
        <v>52641</v>
      </c>
      <c r="W11776" t="s">
        <v>37984</v>
      </c>
      <c r="X11776" t="s">
        <v>41272</v>
      </c>
    </row>
    <row r="11777" spans="1:24">
      <c r="A11777">
        <f>HYPERLINK("https://www.philgeps.gov.ph/GEPSNONPILOT/Tender/SplashBidNoticeAbstractUI.aspx?menuIndex=3&amp;refID=7041026&amp;Result=3","7041026")</f>
        <v>0</v>
      </c>
      <c r="B11777" t="s">
        <v>3157</v>
      </c>
      <c r="C11777" t="s">
        <v>14654</v>
      </c>
      <c r="D11777" t="s">
        <v>16666</v>
      </c>
      <c r="E11777" t="s">
        <v>26875</v>
      </c>
      <c r="F11777" t="s">
        <v>28669</v>
      </c>
      <c r="G11777" t="s">
        <v>28675</v>
      </c>
      <c r="H11777" t="s">
        <v>28686</v>
      </c>
      <c r="I11777" t="s">
        <v>28689</v>
      </c>
      <c r="J11777" t="s">
        <v>28924</v>
      </c>
      <c r="K11777" t="s">
        <v>37209</v>
      </c>
      <c r="M11777" t="s">
        <v>40950</v>
      </c>
      <c r="N11777" t="s">
        <v>41249</v>
      </c>
      <c r="O11777" t="s">
        <v>41250</v>
      </c>
      <c r="P11777">
        <v>0</v>
      </c>
      <c r="Q11777">
        <v>0</v>
      </c>
      <c r="R11777" t="s">
        <v>41266</v>
      </c>
      <c r="S11777" t="s">
        <v>41978</v>
      </c>
      <c r="T11777" t="s">
        <v>42742</v>
      </c>
      <c r="U11777" t="s">
        <v>52642</v>
      </c>
      <c r="W11777" t="s">
        <v>40950</v>
      </c>
      <c r="X11777" t="s">
        <v>41272</v>
      </c>
    </row>
    <row r="11778" spans="1:24">
      <c r="A11778">
        <f>HYPERLINK("https://www.philgeps.gov.ph/GEPSNONPILOT/Tender/SplashBidNoticeAbstractUI.aspx?menuIndex=3&amp;refID=7039849&amp;Result=3","7039849")</f>
        <v>0</v>
      </c>
      <c r="B11778" t="s">
        <v>2800</v>
      </c>
      <c r="C11778" t="s">
        <v>14655</v>
      </c>
      <c r="D11778" t="s">
        <v>16657</v>
      </c>
      <c r="E11778" t="s">
        <v>26876</v>
      </c>
      <c r="F11778" t="s">
        <v>28669</v>
      </c>
      <c r="G11778" t="s">
        <v>28682</v>
      </c>
      <c r="H11778" t="s">
        <v>9998</v>
      </c>
      <c r="I11778" t="s">
        <v>3718</v>
      </c>
      <c r="J11778" t="s">
        <v>29112</v>
      </c>
      <c r="K11778" t="s">
        <v>37206</v>
      </c>
      <c r="M11778" t="s">
        <v>40953</v>
      </c>
      <c r="N11778" t="s">
        <v>41249</v>
      </c>
      <c r="O11778" t="s">
        <v>41250</v>
      </c>
      <c r="P11778">
        <v>0</v>
      </c>
      <c r="Q11778">
        <v>8</v>
      </c>
      <c r="R11778" t="s">
        <v>41266</v>
      </c>
      <c r="S11778" t="s">
        <v>41978</v>
      </c>
      <c r="T11778" t="s">
        <v>42679</v>
      </c>
      <c r="U11778" t="s">
        <v>52643</v>
      </c>
      <c r="V11778" t="s">
        <v>55663</v>
      </c>
      <c r="W11778" t="s">
        <v>40953</v>
      </c>
      <c r="X11778" t="s">
        <v>41273</v>
      </c>
    </row>
    <row r="11779" spans="1:24">
      <c r="A11779">
        <f>HYPERLINK("https://www.philgeps.gov.ph/GEPSNONPILOT/Tender/SplashBidNoticeAbstractUI.aspx?menuIndex=3&amp;refID=7039022&amp;Result=3","7039022")</f>
        <v>0</v>
      </c>
      <c r="B11779" t="s">
        <v>3160</v>
      </c>
      <c r="C11779" t="s">
        <v>14656</v>
      </c>
      <c r="D11779" t="s">
        <v>16621</v>
      </c>
      <c r="E11779" t="s">
        <v>26877</v>
      </c>
      <c r="F11779" t="s">
        <v>28669</v>
      </c>
      <c r="G11779" t="s">
        <v>28675</v>
      </c>
      <c r="H11779" t="s">
        <v>9998</v>
      </c>
      <c r="I11779" t="s">
        <v>28722</v>
      </c>
      <c r="J11779" t="s">
        <v>28905</v>
      </c>
      <c r="K11779" t="s">
        <v>37209</v>
      </c>
      <c r="M11779" t="s">
        <v>40954</v>
      </c>
      <c r="N11779" t="s">
        <v>41249</v>
      </c>
      <c r="O11779" t="s">
        <v>41250</v>
      </c>
      <c r="P11779">
        <v>0</v>
      </c>
      <c r="Q11779">
        <v>1</v>
      </c>
      <c r="R11779" t="s">
        <v>41266</v>
      </c>
      <c r="S11779" t="s">
        <v>41978</v>
      </c>
      <c r="T11779" t="s">
        <v>42711</v>
      </c>
      <c r="U11779" t="s">
        <v>52644</v>
      </c>
      <c r="W11779" t="s">
        <v>40954</v>
      </c>
      <c r="X11779" t="s">
        <v>41273</v>
      </c>
    </row>
    <row r="11780" spans="1:24">
      <c r="A11780">
        <f>HYPERLINK("https://www.philgeps.gov.ph/GEPSNONPILOT/Tender/SplashBidNoticeAbstractUI.aspx?menuIndex=3&amp;refID=7036129&amp;Result=3","7036129")</f>
        <v>0</v>
      </c>
      <c r="B11780" t="s">
        <v>3161</v>
      </c>
      <c r="C11780" t="s">
        <v>14657</v>
      </c>
      <c r="D11780" t="s">
        <v>16641</v>
      </c>
      <c r="E11780" t="s">
        <v>17445</v>
      </c>
      <c r="F11780" t="s">
        <v>28669</v>
      </c>
      <c r="G11780" t="s">
        <v>28675</v>
      </c>
      <c r="H11780" t="s">
        <v>9998</v>
      </c>
      <c r="I11780" t="s">
        <v>28764</v>
      </c>
      <c r="J11780" t="s">
        <v>28850</v>
      </c>
      <c r="K11780" t="s">
        <v>37215</v>
      </c>
      <c r="M11780" t="s">
        <v>40955</v>
      </c>
      <c r="N11780" t="s">
        <v>41249</v>
      </c>
      <c r="O11780" t="s">
        <v>41250</v>
      </c>
      <c r="Q11780">
        <v>18</v>
      </c>
      <c r="R11780" t="s">
        <v>41266</v>
      </c>
      <c r="S11780" t="s">
        <v>41983</v>
      </c>
      <c r="T11780" t="s">
        <v>42714</v>
      </c>
      <c r="U11780" t="s">
        <v>52645</v>
      </c>
      <c r="W11780" t="s">
        <v>40955</v>
      </c>
      <c r="X11780" t="s">
        <v>41274</v>
      </c>
    </row>
    <row r="11781" spans="1:24">
      <c r="A11781">
        <f>HYPERLINK("https://www.philgeps.gov.ph/GEPSNONPILOT/Tender/SplashBidNoticeAbstractUI.aspx?menuIndex=3&amp;refID=7028248&amp;Result=3","7028248")</f>
        <v>0</v>
      </c>
      <c r="B11781" t="s">
        <v>33</v>
      </c>
      <c r="C11781" t="s">
        <v>14658</v>
      </c>
      <c r="D11781" t="s">
        <v>16616</v>
      </c>
      <c r="E11781" t="s">
        <v>14658</v>
      </c>
      <c r="F11781" t="s">
        <v>28669</v>
      </c>
      <c r="G11781" t="s">
        <v>28675</v>
      </c>
      <c r="H11781" t="s">
        <v>9998</v>
      </c>
      <c r="I11781" t="s">
        <v>28715</v>
      </c>
      <c r="J11781" t="s">
        <v>28826</v>
      </c>
      <c r="K11781" t="s">
        <v>37204</v>
      </c>
      <c r="M11781" t="s">
        <v>37508</v>
      </c>
      <c r="N11781" t="s">
        <v>41249</v>
      </c>
      <c r="O11781" t="s">
        <v>41250</v>
      </c>
      <c r="P11781">
        <v>0</v>
      </c>
      <c r="Q11781">
        <v>0</v>
      </c>
      <c r="R11781" t="s">
        <v>41266</v>
      </c>
      <c r="S11781" t="s">
        <v>41978</v>
      </c>
      <c r="T11781" t="s">
        <v>42670</v>
      </c>
      <c r="U11781" t="s">
        <v>52646</v>
      </c>
      <c r="V11781" t="s">
        <v>54251</v>
      </c>
      <c r="W11781" t="s">
        <v>37508</v>
      </c>
      <c r="X11781" t="s">
        <v>41279</v>
      </c>
    </row>
    <row r="11782" spans="1:24">
      <c r="A11782">
        <f>HYPERLINK("https://www.philgeps.gov.ph/GEPSNONPILOT/Tender/SplashBidNoticeAbstractUI.aspx?menuIndex=3&amp;refID=7042285&amp;Result=3","7042285")</f>
        <v>0</v>
      </c>
      <c r="B11782" t="s">
        <v>2167</v>
      </c>
      <c r="C11782" t="s">
        <v>14659</v>
      </c>
      <c r="D11782" t="s">
        <v>16627</v>
      </c>
      <c r="E11782" t="s">
        <v>26878</v>
      </c>
      <c r="F11782" t="s">
        <v>28669</v>
      </c>
      <c r="G11782" t="s">
        <v>28675</v>
      </c>
      <c r="H11782" t="s">
        <v>9998</v>
      </c>
      <c r="I11782" t="s">
        <v>28754</v>
      </c>
      <c r="J11782" t="s">
        <v>36039</v>
      </c>
      <c r="K11782" t="s">
        <v>37206</v>
      </c>
      <c r="M11782" t="s">
        <v>40354</v>
      </c>
      <c r="N11782" t="s">
        <v>41249</v>
      </c>
      <c r="O11782" t="s">
        <v>41250</v>
      </c>
      <c r="Q11782">
        <v>3</v>
      </c>
      <c r="R11782" t="s">
        <v>41266</v>
      </c>
      <c r="S11782" t="s">
        <v>41984</v>
      </c>
      <c r="T11782" t="s">
        <v>42679</v>
      </c>
      <c r="U11782" t="s">
        <v>52647</v>
      </c>
      <c r="W11782" t="s">
        <v>56006</v>
      </c>
      <c r="X11782" t="s">
        <v>41272</v>
      </c>
    </row>
    <row r="11783" spans="1:24">
      <c r="A11783">
        <f>HYPERLINK("https://www.philgeps.gov.ph/GEPSNONPILOT/Tender/SplashBidNoticeAbstractUI.aspx?menuIndex=3&amp;refID=7043940&amp;Result=3","7043940")</f>
        <v>0</v>
      </c>
      <c r="B11783" t="s">
        <v>948</v>
      </c>
      <c r="C11783" t="s">
        <v>14660</v>
      </c>
      <c r="D11783" t="s">
        <v>16672</v>
      </c>
      <c r="E11783" t="s">
        <v>26879</v>
      </c>
      <c r="F11783" t="s">
        <v>28669</v>
      </c>
      <c r="G11783" t="s">
        <v>28675</v>
      </c>
      <c r="H11783" t="s">
        <v>9998</v>
      </c>
      <c r="I11783" t="s">
        <v>28710</v>
      </c>
      <c r="J11783" t="s">
        <v>36040</v>
      </c>
      <c r="K11783" t="s">
        <v>37227</v>
      </c>
      <c r="M11783" t="s">
        <v>38472</v>
      </c>
      <c r="N11783" t="s">
        <v>41249</v>
      </c>
      <c r="O11783" t="s">
        <v>41250</v>
      </c>
      <c r="P11783">
        <v>0</v>
      </c>
      <c r="Q11783">
        <v>1</v>
      </c>
      <c r="R11783" t="s">
        <v>41266</v>
      </c>
      <c r="S11783" t="s">
        <v>41978</v>
      </c>
      <c r="T11783" t="s">
        <v>42711</v>
      </c>
      <c r="U11783" t="s">
        <v>52648</v>
      </c>
      <c r="W11783" t="s">
        <v>38472</v>
      </c>
      <c r="X11783" t="s">
        <v>41269</v>
      </c>
    </row>
    <row r="11784" spans="1:24">
      <c r="A11784">
        <f>HYPERLINK("https://www.philgeps.gov.ph/GEPSNONPILOT/Tender/SplashBidNoticeAbstractUI.aspx?menuIndex=3&amp;refID=7025866&amp;Result=3","7025866")</f>
        <v>0</v>
      </c>
      <c r="B11784" t="s">
        <v>2640</v>
      </c>
      <c r="C11784" t="s">
        <v>14661</v>
      </c>
      <c r="D11784" t="s">
        <v>16679</v>
      </c>
      <c r="E11784" t="s">
        <v>26880</v>
      </c>
      <c r="F11784" t="s">
        <v>28669</v>
      </c>
      <c r="G11784" t="s">
        <v>28675</v>
      </c>
      <c r="H11784" t="s">
        <v>9998</v>
      </c>
      <c r="I11784" t="s">
        <v>28687</v>
      </c>
      <c r="J11784" t="s">
        <v>28881</v>
      </c>
      <c r="K11784" t="s">
        <v>37213</v>
      </c>
      <c r="M11784" t="s">
        <v>40339</v>
      </c>
      <c r="N11784" t="s">
        <v>41249</v>
      </c>
      <c r="O11784" t="s">
        <v>41250</v>
      </c>
      <c r="P11784">
        <v>0</v>
      </c>
      <c r="Q11784">
        <v>12</v>
      </c>
      <c r="R11784" t="s">
        <v>41266</v>
      </c>
      <c r="S11784" t="s">
        <v>41978</v>
      </c>
      <c r="T11784" t="s">
        <v>42759</v>
      </c>
      <c r="U11784" t="s">
        <v>52649</v>
      </c>
      <c r="W11784" t="s">
        <v>40339</v>
      </c>
      <c r="X11784" t="s">
        <v>41280</v>
      </c>
    </row>
    <row r="11785" spans="1:24">
      <c r="A11785">
        <f>HYPERLINK("https://www.philgeps.gov.ph/GEPSNONPILOT/Tender/SplashBidNoticeAbstractUI.aspx?menuIndex=3&amp;refID=7034144&amp;Result=3","7034144")</f>
        <v>0</v>
      </c>
      <c r="B11785" t="s">
        <v>3162</v>
      </c>
      <c r="C11785" t="s">
        <v>14662</v>
      </c>
      <c r="D11785" t="s">
        <v>16627</v>
      </c>
      <c r="E11785" t="s">
        <v>26881</v>
      </c>
      <c r="F11785" t="s">
        <v>28669</v>
      </c>
      <c r="G11785" t="s">
        <v>28675</v>
      </c>
      <c r="H11785" t="s">
        <v>28686</v>
      </c>
      <c r="I11785" t="s">
        <v>28689</v>
      </c>
      <c r="J11785" t="s">
        <v>36041</v>
      </c>
      <c r="K11785" t="s">
        <v>37213</v>
      </c>
      <c r="M11785" t="s">
        <v>40956</v>
      </c>
      <c r="N11785" t="s">
        <v>41249</v>
      </c>
      <c r="O11785" t="s">
        <v>41250</v>
      </c>
      <c r="P11785">
        <v>0</v>
      </c>
      <c r="Q11785">
        <v>1</v>
      </c>
      <c r="R11785" t="s">
        <v>41266</v>
      </c>
      <c r="S11785" t="s">
        <v>41978</v>
      </c>
      <c r="T11785" t="s">
        <v>42679</v>
      </c>
      <c r="U11785" t="s">
        <v>52650</v>
      </c>
      <c r="W11785" t="s">
        <v>40956</v>
      </c>
      <c r="X11785" t="s">
        <v>41275</v>
      </c>
    </row>
    <row r="11786" spans="1:24">
      <c r="A11786">
        <f>HYPERLINK("https://www.philgeps.gov.ph/GEPSNONPILOT/Tender/SplashBidNoticeAbstractUI.aspx?menuIndex=3&amp;refID=7043864&amp;Result=3","7043864")</f>
        <v>0</v>
      </c>
      <c r="B11786" t="s">
        <v>1686</v>
      </c>
      <c r="C11786" t="s">
        <v>14663</v>
      </c>
      <c r="E11786" t="s">
        <v>26882</v>
      </c>
      <c r="F11786" t="s">
        <v>28669</v>
      </c>
      <c r="G11786" t="s">
        <v>28675</v>
      </c>
      <c r="H11786" t="s">
        <v>28686</v>
      </c>
      <c r="I11786" t="s">
        <v>28752</v>
      </c>
      <c r="J11786" t="s">
        <v>28836</v>
      </c>
      <c r="K11786" t="s">
        <v>37220</v>
      </c>
      <c r="M11786" t="s">
        <v>39280</v>
      </c>
      <c r="N11786" t="s">
        <v>41249</v>
      </c>
      <c r="O11786" t="s">
        <v>41250</v>
      </c>
      <c r="P11786">
        <v>0</v>
      </c>
      <c r="Q11786">
        <v>1</v>
      </c>
      <c r="R11786" t="s">
        <v>41266</v>
      </c>
      <c r="S11786" t="s">
        <v>41978</v>
      </c>
      <c r="T11786" t="s">
        <v>42679</v>
      </c>
      <c r="U11786" t="s">
        <v>47094</v>
      </c>
      <c r="W11786" t="s">
        <v>39280</v>
      </c>
      <c r="X11786" t="s">
        <v>41270</v>
      </c>
    </row>
    <row r="11787" spans="1:24">
      <c r="A11787">
        <f>HYPERLINK("https://www.philgeps.gov.ph/GEPSNONPILOT/Tender/SplashBidNoticeAbstractUI.aspx?menuIndex=3&amp;refID=7043440&amp;Result=3","7043440")</f>
        <v>0</v>
      </c>
      <c r="B11787" t="s">
        <v>447</v>
      </c>
      <c r="C11787" t="s">
        <v>14664</v>
      </c>
      <c r="D11787" t="s">
        <v>16608</v>
      </c>
      <c r="E11787" t="s">
        <v>26883</v>
      </c>
      <c r="F11787" t="s">
        <v>28669</v>
      </c>
      <c r="G11787" t="s">
        <v>28675</v>
      </c>
      <c r="H11787" t="s">
        <v>9998</v>
      </c>
      <c r="I11787" t="s">
        <v>15140</v>
      </c>
      <c r="J11787" t="s">
        <v>36042</v>
      </c>
      <c r="K11787" t="s">
        <v>37209</v>
      </c>
      <c r="M11787" t="s">
        <v>39392</v>
      </c>
      <c r="N11787" t="s">
        <v>41249</v>
      </c>
      <c r="O11787" t="s">
        <v>41250</v>
      </c>
      <c r="P11787">
        <v>0</v>
      </c>
      <c r="Q11787">
        <v>1</v>
      </c>
      <c r="R11787" t="s">
        <v>41266</v>
      </c>
      <c r="S11787" t="s">
        <v>41978</v>
      </c>
      <c r="T11787" t="s">
        <v>42703</v>
      </c>
      <c r="U11787" t="s">
        <v>52651</v>
      </c>
      <c r="V11787" t="s">
        <v>54838</v>
      </c>
      <c r="W11787" t="s">
        <v>39392</v>
      </c>
      <c r="X11787" t="s">
        <v>41271</v>
      </c>
    </row>
    <row r="11788" spans="1:24">
      <c r="A11788">
        <f>HYPERLINK("https://www.philgeps.gov.ph/GEPSNONPILOT/Tender/SplashBidNoticeAbstractUI.aspx?menuIndex=3&amp;refID=7041375&amp;Result=3","7041375")</f>
        <v>0</v>
      </c>
      <c r="B11788" t="s">
        <v>33</v>
      </c>
      <c r="C11788" t="s">
        <v>14665</v>
      </c>
      <c r="D11788" t="s">
        <v>16616</v>
      </c>
      <c r="E11788" t="s">
        <v>26884</v>
      </c>
      <c r="F11788" t="s">
        <v>28669</v>
      </c>
      <c r="G11788" t="s">
        <v>28675</v>
      </c>
      <c r="H11788" t="s">
        <v>9998</v>
      </c>
      <c r="I11788" t="s">
        <v>5286</v>
      </c>
      <c r="J11788" t="s">
        <v>36043</v>
      </c>
      <c r="K11788" t="s">
        <v>37216</v>
      </c>
      <c r="M11788" t="s">
        <v>37727</v>
      </c>
      <c r="N11788" t="s">
        <v>41249</v>
      </c>
      <c r="O11788" t="s">
        <v>41250</v>
      </c>
      <c r="P11788">
        <v>0</v>
      </c>
      <c r="Q11788">
        <v>4</v>
      </c>
      <c r="R11788" t="s">
        <v>41266</v>
      </c>
      <c r="S11788" t="s">
        <v>41978</v>
      </c>
      <c r="T11788" t="s">
        <v>42670</v>
      </c>
      <c r="U11788" t="s">
        <v>52652</v>
      </c>
      <c r="V11788" t="s">
        <v>55664</v>
      </c>
      <c r="W11788" t="s">
        <v>37727</v>
      </c>
      <c r="X11788" t="s">
        <v>41272</v>
      </c>
    </row>
    <row r="11789" spans="1:24">
      <c r="A11789">
        <f>HYPERLINK("https://www.philgeps.gov.ph/GEPSNONPILOT/Tender/SplashBidNoticeAbstractUI.aspx?menuIndex=3&amp;refID=7043281&amp;Result=3","7043281")</f>
        <v>0</v>
      </c>
      <c r="B11789" t="s">
        <v>33</v>
      </c>
      <c r="C11789" t="s">
        <v>14666</v>
      </c>
      <c r="D11789" t="s">
        <v>16616</v>
      </c>
      <c r="E11789" t="s">
        <v>26885</v>
      </c>
      <c r="F11789" t="s">
        <v>28669</v>
      </c>
      <c r="G11789" t="s">
        <v>28675</v>
      </c>
      <c r="H11789" t="s">
        <v>9998</v>
      </c>
      <c r="I11789" t="s">
        <v>28687</v>
      </c>
      <c r="J11789" t="s">
        <v>36044</v>
      </c>
      <c r="K11789" t="s">
        <v>37216</v>
      </c>
      <c r="M11789" t="s">
        <v>40519</v>
      </c>
      <c r="N11789" t="s">
        <v>41249</v>
      </c>
      <c r="O11789" t="s">
        <v>41250</v>
      </c>
      <c r="Q11789">
        <v>9</v>
      </c>
      <c r="R11789" t="s">
        <v>41266</v>
      </c>
      <c r="S11789" t="s">
        <v>41523</v>
      </c>
      <c r="T11789" t="s">
        <v>42670</v>
      </c>
      <c r="U11789" t="s">
        <v>52653</v>
      </c>
      <c r="V11789" t="s">
        <v>54251</v>
      </c>
      <c r="W11789" t="s">
        <v>40519</v>
      </c>
      <c r="X11789" t="s">
        <v>41272</v>
      </c>
    </row>
    <row r="11790" spans="1:24">
      <c r="A11790">
        <f>HYPERLINK("https://www.philgeps.gov.ph/GEPSNONPILOT/Tender/SplashBidNoticeAbstractUI.aspx?menuIndex=3&amp;refID=7043942&amp;Result=3","7043942")</f>
        <v>0</v>
      </c>
      <c r="B11790" t="s">
        <v>948</v>
      </c>
      <c r="C11790" t="s">
        <v>14667</v>
      </c>
      <c r="D11790" t="s">
        <v>16672</v>
      </c>
      <c r="E11790" t="s">
        <v>26886</v>
      </c>
      <c r="F11790" t="s">
        <v>28669</v>
      </c>
      <c r="G11790" t="s">
        <v>28675</v>
      </c>
      <c r="H11790" t="s">
        <v>9998</v>
      </c>
      <c r="I11790" t="s">
        <v>11593</v>
      </c>
      <c r="J11790" t="s">
        <v>29499</v>
      </c>
      <c r="K11790" t="s">
        <v>37227</v>
      </c>
      <c r="M11790" t="s">
        <v>38472</v>
      </c>
      <c r="N11790" t="s">
        <v>41249</v>
      </c>
      <c r="O11790" t="s">
        <v>41250</v>
      </c>
      <c r="P11790">
        <v>0</v>
      </c>
      <c r="Q11790">
        <v>3</v>
      </c>
      <c r="R11790" t="s">
        <v>41266</v>
      </c>
      <c r="S11790" t="s">
        <v>41978</v>
      </c>
      <c r="T11790" t="s">
        <v>42711</v>
      </c>
      <c r="U11790" t="s">
        <v>52648</v>
      </c>
      <c r="W11790" t="s">
        <v>38472</v>
      </c>
      <c r="X11790" t="s">
        <v>41269</v>
      </c>
    </row>
    <row r="11791" spans="1:24">
      <c r="A11791">
        <f>HYPERLINK("https://www.philgeps.gov.ph/GEPSNONPILOT/Tender/SplashBidNoticeAbstractUI.aspx?menuIndex=3&amp;refID=7045549&amp;Result=3","7045549")</f>
        <v>0</v>
      </c>
      <c r="B11791" t="s">
        <v>1698</v>
      </c>
      <c r="C11791" t="s">
        <v>14668</v>
      </c>
      <c r="E11791" t="s">
        <v>22477</v>
      </c>
      <c r="F11791" t="s">
        <v>28669</v>
      </c>
      <c r="G11791" t="s">
        <v>28675</v>
      </c>
      <c r="H11791" t="s">
        <v>9998</v>
      </c>
      <c r="I11791" t="s">
        <v>11142</v>
      </c>
      <c r="J11791" t="s">
        <v>36045</v>
      </c>
      <c r="K11791" t="s">
        <v>37209</v>
      </c>
      <c r="M11791" t="s">
        <v>40957</v>
      </c>
      <c r="N11791" t="s">
        <v>41249</v>
      </c>
      <c r="O11791" t="s">
        <v>41250</v>
      </c>
      <c r="P11791">
        <v>0</v>
      </c>
      <c r="Q11791">
        <v>6</v>
      </c>
      <c r="R11791" t="s">
        <v>41266</v>
      </c>
      <c r="S11791" t="s">
        <v>41978</v>
      </c>
      <c r="T11791" t="s">
        <v>42673</v>
      </c>
      <c r="U11791" t="s">
        <v>44398</v>
      </c>
      <c r="W11791" t="s">
        <v>55970</v>
      </c>
      <c r="X11791" t="s">
        <v>41268</v>
      </c>
    </row>
    <row r="11792" spans="1:24">
      <c r="A11792">
        <f>HYPERLINK("https://www.philgeps.gov.ph/GEPSNONPILOT/Tender/SplashBidNoticeAbstractUI.aspx?menuIndex=3&amp;refID=7043937&amp;Result=3","7043937")</f>
        <v>0</v>
      </c>
      <c r="B11792" t="s">
        <v>948</v>
      </c>
      <c r="C11792" t="s">
        <v>14669</v>
      </c>
      <c r="D11792" t="s">
        <v>16672</v>
      </c>
      <c r="E11792" t="s">
        <v>26887</v>
      </c>
      <c r="F11792" t="s">
        <v>28669</v>
      </c>
      <c r="G11792" t="s">
        <v>28675</v>
      </c>
      <c r="H11792" t="s">
        <v>9998</v>
      </c>
      <c r="I11792" t="s">
        <v>28731</v>
      </c>
      <c r="J11792" t="s">
        <v>36046</v>
      </c>
      <c r="K11792" t="s">
        <v>37227</v>
      </c>
      <c r="M11792" t="s">
        <v>38472</v>
      </c>
      <c r="N11792" t="s">
        <v>41249</v>
      </c>
      <c r="O11792" t="s">
        <v>41250</v>
      </c>
      <c r="P11792">
        <v>0</v>
      </c>
      <c r="Q11792">
        <v>6</v>
      </c>
      <c r="R11792" t="s">
        <v>41266</v>
      </c>
      <c r="S11792" t="s">
        <v>41978</v>
      </c>
      <c r="T11792" t="s">
        <v>42711</v>
      </c>
      <c r="U11792" t="s">
        <v>52648</v>
      </c>
      <c r="W11792" t="s">
        <v>38472</v>
      </c>
      <c r="X11792" t="s">
        <v>41269</v>
      </c>
    </row>
    <row r="11793" spans="1:24">
      <c r="A11793">
        <f>HYPERLINK("https://www.philgeps.gov.ph/GEPSNONPILOT/Tender/SplashBidNoticeAbstractUI.aspx?menuIndex=3&amp;refID=7042332&amp;Result=3","7042332")</f>
        <v>0</v>
      </c>
      <c r="B11793" t="s">
        <v>2167</v>
      </c>
      <c r="C11793" t="s">
        <v>14670</v>
      </c>
      <c r="D11793" t="s">
        <v>16627</v>
      </c>
      <c r="E11793" t="s">
        <v>26888</v>
      </c>
      <c r="F11793" t="s">
        <v>28669</v>
      </c>
      <c r="G11793" t="s">
        <v>28675</v>
      </c>
      <c r="H11793" t="s">
        <v>9998</v>
      </c>
      <c r="I11793" t="s">
        <v>28754</v>
      </c>
      <c r="J11793" t="s">
        <v>36047</v>
      </c>
      <c r="K11793" t="s">
        <v>37206</v>
      </c>
      <c r="M11793" t="s">
        <v>40354</v>
      </c>
      <c r="N11793" t="s">
        <v>41249</v>
      </c>
      <c r="O11793" t="s">
        <v>41250</v>
      </c>
      <c r="Q11793">
        <v>2</v>
      </c>
      <c r="R11793" t="s">
        <v>41266</v>
      </c>
      <c r="S11793" t="s">
        <v>41985</v>
      </c>
      <c r="T11793" t="s">
        <v>42679</v>
      </c>
      <c r="U11793" t="s">
        <v>52654</v>
      </c>
      <c r="W11793" t="s">
        <v>56006</v>
      </c>
      <c r="X11793" t="s">
        <v>41272</v>
      </c>
    </row>
    <row r="11794" spans="1:24">
      <c r="A11794">
        <f>HYPERLINK("https://www.philgeps.gov.ph/GEPSNONPILOT/Tender/SplashBidNoticeAbstractUI.aspx?menuIndex=3&amp;refID=7045435&amp;Result=3","7045435")</f>
        <v>0</v>
      </c>
      <c r="B11794" t="s">
        <v>1156</v>
      </c>
      <c r="C11794" t="s">
        <v>14671</v>
      </c>
      <c r="D11794" t="s">
        <v>16678</v>
      </c>
      <c r="E11794" t="s">
        <v>26889</v>
      </c>
      <c r="F11794" t="s">
        <v>28669</v>
      </c>
      <c r="G11794" t="s">
        <v>28675</v>
      </c>
      <c r="H11794" t="s">
        <v>28686</v>
      </c>
      <c r="I11794" t="s">
        <v>28689</v>
      </c>
      <c r="J11794" t="s">
        <v>34273</v>
      </c>
      <c r="K11794" t="s">
        <v>37218</v>
      </c>
      <c r="M11794" t="s">
        <v>38693</v>
      </c>
      <c r="N11794" t="s">
        <v>41249</v>
      </c>
      <c r="O11794" t="s">
        <v>41250</v>
      </c>
      <c r="P11794">
        <v>0</v>
      </c>
      <c r="Q11794">
        <v>0</v>
      </c>
      <c r="R11794" t="s">
        <v>41266</v>
      </c>
      <c r="S11794" t="s">
        <v>41978</v>
      </c>
      <c r="T11794" t="s">
        <v>42764</v>
      </c>
      <c r="U11794" t="s">
        <v>52655</v>
      </c>
      <c r="W11794" t="s">
        <v>38693</v>
      </c>
      <c r="X11794" t="s">
        <v>41268</v>
      </c>
    </row>
    <row r="11795" spans="1:24">
      <c r="A11795">
        <f>HYPERLINK("https://www.philgeps.gov.ph/GEPSNONPILOT/Tender/SplashBidNoticeAbstractUI.aspx?menuIndex=3&amp;refID=7045065&amp;Result=3","7045065")</f>
        <v>0</v>
      </c>
      <c r="B11795" t="s">
        <v>1156</v>
      </c>
      <c r="C11795" t="s">
        <v>14672</v>
      </c>
      <c r="D11795" t="s">
        <v>16678</v>
      </c>
      <c r="E11795" t="s">
        <v>26890</v>
      </c>
      <c r="F11795" t="s">
        <v>28669</v>
      </c>
      <c r="G11795" t="s">
        <v>28675</v>
      </c>
      <c r="H11795" t="s">
        <v>28686</v>
      </c>
      <c r="I11795" t="s">
        <v>28689</v>
      </c>
      <c r="J11795" t="s">
        <v>32449</v>
      </c>
      <c r="K11795" t="s">
        <v>37215</v>
      </c>
      <c r="M11795" t="s">
        <v>38693</v>
      </c>
      <c r="N11795" t="s">
        <v>41249</v>
      </c>
      <c r="O11795" t="s">
        <v>41250</v>
      </c>
      <c r="P11795">
        <v>0</v>
      </c>
      <c r="Q11795">
        <v>0</v>
      </c>
      <c r="R11795" t="s">
        <v>41266</v>
      </c>
      <c r="S11795" t="s">
        <v>41978</v>
      </c>
      <c r="T11795" t="s">
        <v>42764</v>
      </c>
      <c r="U11795" t="s">
        <v>52656</v>
      </c>
      <c r="W11795" t="s">
        <v>38693</v>
      </c>
      <c r="X11795" t="s">
        <v>41268</v>
      </c>
    </row>
    <row r="11796" spans="1:24">
      <c r="A11796">
        <f>HYPERLINK("https://www.philgeps.gov.ph/GEPSNONPILOT/Tender/SplashBidNoticeAbstractUI.aspx?menuIndex=3&amp;refID=7043941&amp;Result=3","7043941")</f>
        <v>0</v>
      </c>
      <c r="B11796" t="s">
        <v>948</v>
      </c>
      <c r="C11796" t="s">
        <v>14673</v>
      </c>
      <c r="D11796" t="s">
        <v>16672</v>
      </c>
      <c r="E11796" t="s">
        <v>26891</v>
      </c>
      <c r="F11796" t="s">
        <v>28669</v>
      </c>
      <c r="G11796" t="s">
        <v>28675</v>
      </c>
      <c r="H11796" t="s">
        <v>9998</v>
      </c>
      <c r="I11796" t="s">
        <v>28688</v>
      </c>
      <c r="J11796" t="s">
        <v>36048</v>
      </c>
      <c r="K11796" t="s">
        <v>37227</v>
      </c>
      <c r="M11796" t="s">
        <v>38472</v>
      </c>
      <c r="N11796" t="s">
        <v>41249</v>
      </c>
      <c r="O11796" t="s">
        <v>41250</v>
      </c>
      <c r="P11796">
        <v>0</v>
      </c>
      <c r="Q11796">
        <v>1</v>
      </c>
      <c r="R11796" t="s">
        <v>41266</v>
      </c>
      <c r="S11796" t="s">
        <v>41978</v>
      </c>
      <c r="T11796" t="s">
        <v>42711</v>
      </c>
      <c r="U11796" t="s">
        <v>52648</v>
      </c>
      <c r="W11796" t="s">
        <v>38472</v>
      </c>
      <c r="X11796" t="s">
        <v>41269</v>
      </c>
    </row>
    <row r="11797" spans="1:24">
      <c r="A11797">
        <f>HYPERLINK("https://www.philgeps.gov.ph/GEPSNONPILOT/Tender/SplashBidNoticeAbstractUI.aspx?menuIndex=3&amp;refID=7045014&amp;Result=3","7045014")</f>
        <v>0</v>
      </c>
      <c r="B11797" t="s">
        <v>57</v>
      </c>
      <c r="C11797" t="s">
        <v>14674</v>
      </c>
      <c r="D11797" t="s">
        <v>16634</v>
      </c>
      <c r="E11797" t="s">
        <v>26892</v>
      </c>
      <c r="F11797" t="s">
        <v>28669</v>
      </c>
      <c r="G11797" t="s">
        <v>28675</v>
      </c>
      <c r="H11797" t="s">
        <v>9998</v>
      </c>
      <c r="I11797" t="s">
        <v>6128</v>
      </c>
      <c r="J11797" t="s">
        <v>36049</v>
      </c>
      <c r="K11797" t="s">
        <v>37206</v>
      </c>
      <c r="M11797" t="s">
        <v>37532</v>
      </c>
      <c r="N11797" t="s">
        <v>41249</v>
      </c>
      <c r="O11797" t="s">
        <v>41250</v>
      </c>
      <c r="P11797">
        <v>0</v>
      </c>
      <c r="Q11797">
        <v>5</v>
      </c>
      <c r="R11797" t="s">
        <v>41266</v>
      </c>
      <c r="S11797" t="s">
        <v>41978</v>
      </c>
      <c r="T11797" t="s">
        <v>42703</v>
      </c>
      <c r="U11797" t="s">
        <v>52657</v>
      </c>
      <c r="V11797" t="s">
        <v>54262</v>
      </c>
      <c r="W11797" t="s">
        <v>37532</v>
      </c>
      <c r="X11797" t="s">
        <v>41268</v>
      </c>
    </row>
    <row r="11798" spans="1:24">
      <c r="A11798">
        <f>HYPERLINK("https://www.philgeps.gov.ph/GEPSNONPILOT/Tender/SplashBidNoticeAbstractUI.aspx?menuIndex=3&amp;refID=7045592&amp;Result=3","7045592")</f>
        <v>0</v>
      </c>
      <c r="B11798" t="s">
        <v>1313</v>
      </c>
      <c r="C11798" t="s">
        <v>14675</v>
      </c>
      <c r="D11798" t="s">
        <v>16621</v>
      </c>
      <c r="E11798" t="s">
        <v>26893</v>
      </c>
      <c r="F11798" t="s">
        <v>28669</v>
      </c>
      <c r="G11798" t="s">
        <v>28675</v>
      </c>
      <c r="H11798" t="s">
        <v>28686</v>
      </c>
      <c r="I11798" t="s">
        <v>28689</v>
      </c>
      <c r="J11798" t="s">
        <v>36050</v>
      </c>
      <c r="K11798" t="s">
        <v>37231</v>
      </c>
      <c r="M11798" t="s">
        <v>38865</v>
      </c>
      <c r="N11798" t="s">
        <v>41249</v>
      </c>
      <c r="O11798" t="s">
        <v>41250</v>
      </c>
      <c r="P11798">
        <v>0</v>
      </c>
      <c r="Q11798">
        <v>0</v>
      </c>
      <c r="R11798" t="s">
        <v>41266</v>
      </c>
      <c r="S11798" t="s">
        <v>41978</v>
      </c>
      <c r="T11798" t="s">
        <v>42679</v>
      </c>
      <c r="U11798" t="s">
        <v>52658</v>
      </c>
      <c r="W11798" t="s">
        <v>38865</v>
      </c>
      <c r="X11798" t="s">
        <v>41268</v>
      </c>
    </row>
    <row r="11799" spans="1:24">
      <c r="A11799">
        <f>HYPERLINK("https://www.philgeps.gov.ph/GEPSNONPILOT/Tender/SplashBidNoticeAbstractUI.aspx?menuIndex=3&amp;refID=7041399&amp;Result=3","7041399")</f>
        <v>0</v>
      </c>
      <c r="B11799" t="s">
        <v>33</v>
      </c>
      <c r="C11799" t="s">
        <v>14676</v>
      </c>
      <c r="D11799" t="s">
        <v>16616</v>
      </c>
      <c r="E11799" t="s">
        <v>26894</v>
      </c>
      <c r="F11799" t="s">
        <v>28669</v>
      </c>
      <c r="G11799" t="s">
        <v>28675</v>
      </c>
      <c r="H11799" t="s">
        <v>9998</v>
      </c>
      <c r="I11799" t="s">
        <v>5286</v>
      </c>
      <c r="J11799" t="s">
        <v>36051</v>
      </c>
      <c r="K11799" t="s">
        <v>37216</v>
      </c>
      <c r="M11799" t="s">
        <v>37727</v>
      </c>
      <c r="N11799" t="s">
        <v>41249</v>
      </c>
      <c r="O11799" t="s">
        <v>41250</v>
      </c>
      <c r="P11799">
        <v>0</v>
      </c>
      <c r="Q11799">
        <v>8</v>
      </c>
      <c r="R11799" t="s">
        <v>41266</v>
      </c>
      <c r="S11799" t="s">
        <v>41978</v>
      </c>
      <c r="T11799" t="s">
        <v>42670</v>
      </c>
      <c r="U11799" t="s">
        <v>52659</v>
      </c>
      <c r="V11799" t="s">
        <v>55664</v>
      </c>
      <c r="W11799" t="s">
        <v>37727</v>
      </c>
      <c r="X11799" t="s">
        <v>41272</v>
      </c>
    </row>
    <row r="11800" spans="1:24">
      <c r="A11800">
        <f>HYPERLINK("https://www.philgeps.gov.ph/GEPSNONPILOT/Tender/SplashBidNoticeAbstractUI.aspx?menuIndex=3&amp;refID=7045409&amp;Result=3","7045409")</f>
        <v>0</v>
      </c>
      <c r="B11800" t="s">
        <v>3163</v>
      </c>
      <c r="C11800" t="s">
        <v>14677</v>
      </c>
      <c r="D11800" t="s">
        <v>16684</v>
      </c>
      <c r="E11800" t="s">
        <v>26895</v>
      </c>
      <c r="F11800" t="s">
        <v>28669</v>
      </c>
      <c r="G11800" t="s">
        <v>28675</v>
      </c>
      <c r="H11800" t="s">
        <v>9998</v>
      </c>
      <c r="I11800" t="s">
        <v>28727</v>
      </c>
      <c r="J11800" t="s">
        <v>36052</v>
      </c>
      <c r="K11800" t="s">
        <v>37205</v>
      </c>
      <c r="M11800" t="s">
        <v>40958</v>
      </c>
      <c r="N11800" t="s">
        <v>41249</v>
      </c>
      <c r="O11800" t="s">
        <v>41250</v>
      </c>
      <c r="P11800">
        <v>0</v>
      </c>
      <c r="Q11800">
        <v>7</v>
      </c>
      <c r="R11800" t="s">
        <v>41266</v>
      </c>
      <c r="S11800" t="s">
        <v>41978</v>
      </c>
      <c r="T11800" t="s">
        <v>42738</v>
      </c>
      <c r="U11800" t="s">
        <v>52660</v>
      </c>
      <c r="W11800" t="s">
        <v>40958</v>
      </c>
      <c r="X11800" t="s">
        <v>41268</v>
      </c>
    </row>
    <row r="11801" spans="1:24">
      <c r="A11801">
        <f>HYPERLINK("https://www.philgeps.gov.ph/GEPSNONPILOT/Tender/SplashBidNoticeAbstractUI.aspx?menuIndex=3&amp;refID=7045691&amp;Result=3","7045691")</f>
        <v>0</v>
      </c>
      <c r="B11801" t="s">
        <v>2167</v>
      </c>
      <c r="C11801" t="s">
        <v>14678</v>
      </c>
      <c r="D11801" t="s">
        <v>16664</v>
      </c>
      <c r="E11801" t="s">
        <v>26896</v>
      </c>
      <c r="F11801" t="s">
        <v>28669</v>
      </c>
      <c r="G11801" t="s">
        <v>28675</v>
      </c>
      <c r="H11801" t="s">
        <v>9998</v>
      </c>
      <c r="I11801" t="s">
        <v>28698</v>
      </c>
      <c r="J11801" t="s">
        <v>29162</v>
      </c>
      <c r="K11801" t="s">
        <v>37206</v>
      </c>
      <c r="M11801" t="s">
        <v>40354</v>
      </c>
      <c r="N11801" t="s">
        <v>41249</v>
      </c>
      <c r="O11801" t="s">
        <v>41250</v>
      </c>
      <c r="P11801">
        <v>0</v>
      </c>
      <c r="Q11801">
        <v>2</v>
      </c>
      <c r="R11801" t="s">
        <v>41266</v>
      </c>
      <c r="S11801" t="s">
        <v>41978</v>
      </c>
      <c r="T11801" t="s">
        <v>42679</v>
      </c>
      <c r="U11801" t="s">
        <v>52661</v>
      </c>
      <c r="W11801" t="s">
        <v>56006</v>
      </c>
      <c r="X11801" t="s">
        <v>41268</v>
      </c>
    </row>
    <row r="11802" spans="1:24">
      <c r="A11802">
        <f>HYPERLINK("https://www.philgeps.gov.ph/GEPSNONPILOT/Tender/SplashBidNoticeAbstractUI.aspx?menuIndex=3&amp;refID=7044855&amp;Result=3","7044855")</f>
        <v>0</v>
      </c>
      <c r="B11802" t="s">
        <v>3164</v>
      </c>
      <c r="C11802" t="s">
        <v>14679</v>
      </c>
      <c r="D11802" t="s">
        <v>16619</v>
      </c>
      <c r="E11802" t="s">
        <v>26897</v>
      </c>
      <c r="F11802" t="s">
        <v>28669</v>
      </c>
      <c r="G11802" t="s">
        <v>28675</v>
      </c>
      <c r="H11802" t="s">
        <v>28686</v>
      </c>
      <c r="I11802" t="s">
        <v>28689</v>
      </c>
      <c r="J11802" t="s">
        <v>36053</v>
      </c>
      <c r="K11802" t="s">
        <v>37213</v>
      </c>
      <c r="M11802" t="s">
        <v>40959</v>
      </c>
      <c r="N11802" t="s">
        <v>41249</v>
      </c>
      <c r="O11802" t="s">
        <v>41250</v>
      </c>
      <c r="Q11802">
        <v>0</v>
      </c>
      <c r="R11802" t="s">
        <v>41266</v>
      </c>
      <c r="S11802" t="s">
        <v>41986</v>
      </c>
      <c r="T11802" t="s">
        <v>42690</v>
      </c>
      <c r="U11802" t="s">
        <v>52662</v>
      </c>
      <c r="V11802" t="s">
        <v>55665</v>
      </c>
      <c r="W11802" t="s">
        <v>40959</v>
      </c>
      <c r="X11802" t="s">
        <v>41268</v>
      </c>
    </row>
    <row r="11803" spans="1:24">
      <c r="A11803">
        <f>HYPERLINK("https://www.philgeps.gov.ph/GEPSNONPILOT/Tender/SplashBidNoticeAbstractUI.aspx?menuIndex=3&amp;refID=7045784&amp;Result=3","7045784")</f>
        <v>0</v>
      </c>
      <c r="B11803" t="s">
        <v>2167</v>
      </c>
      <c r="C11803" t="s">
        <v>14680</v>
      </c>
      <c r="D11803" t="s">
        <v>16664</v>
      </c>
      <c r="E11803" t="s">
        <v>26898</v>
      </c>
      <c r="F11803" t="s">
        <v>28669</v>
      </c>
      <c r="G11803" t="s">
        <v>28675</v>
      </c>
      <c r="H11803" t="s">
        <v>9998</v>
      </c>
      <c r="I11803" t="s">
        <v>28698</v>
      </c>
      <c r="J11803" t="s">
        <v>34911</v>
      </c>
      <c r="K11803" t="s">
        <v>37206</v>
      </c>
      <c r="M11803" t="s">
        <v>40354</v>
      </c>
      <c r="N11803" t="s">
        <v>41249</v>
      </c>
      <c r="O11803" t="s">
        <v>41250</v>
      </c>
      <c r="P11803">
        <v>0</v>
      </c>
      <c r="Q11803">
        <v>0</v>
      </c>
      <c r="R11803" t="s">
        <v>41266</v>
      </c>
      <c r="S11803" t="s">
        <v>41978</v>
      </c>
      <c r="T11803" t="s">
        <v>42679</v>
      </c>
      <c r="U11803" t="s">
        <v>52663</v>
      </c>
      <c r="W11803" t="s">
        <v>56006</v>
      </c>
      <c r="X11803" t="s">
        <v>41268</v>
      </c>
    </row>
    <row r="11804" spans="1:24">
      <c r="A11804">
        <f>HYPERLINK("https://www.philgeps.gov.ph/GEPSNONPILOT/Tender/SplashBidNoticeAbstractUI.aspx?menuIndex=3&amp;refID=7045779&amp;Result=3","7045779")</f>
        <v>0</v>
      </c>
      <c r="B11804" t="s">
        <v>2759</v>
      </c>
      <c r="C11804" t="s">
        <v>14681</v>
      </c>
      <c r="D11804" t="s">
        <v>16628</v>
      </c>
      <c r="E11804" t="s">
        <v>26899</v>
      </c>
      <c r="F11804" t="s">
        <v>28669</v>
      </c>
      <c r="G11804" t="s">
        <v>28676</v>
      </c>
      <c r="H11804" t="s">
        <v>28685</v>
      </c>
      <c r="I11804" t="s">
        <v>11593</v>
      </c>
      <c r="J11804" t="s">
        <v>36054</v>
      </c>
      <c r="K11804" t="s">
        <v>37206</v>
      </c>
      <c r="M11804" t="s">
        <v>40478</v>
      </c>
      <c r="N11804" t="s">
        <v>41249</v>
      </c>
      <c r="O11804" t="s">
        <v>41250</v>
      </c>
      <c r="P11804">
        <v>0</v>
      </c>
      <c r="Q11804">
        <v>0</v>
      </c>
      <c r="R11804" t="s">
        <v>41266</v>
      </c>
      <c r="S11804" t="s">
        <v>41978</v>
      </c>
      <c r="T11804" t="s">
        <v>42665</v>
      </c>
      <c r="U11804" t="s">
        <v>52664</v>
      </c>
      <c r="W11804" t="s">
        <v>40478</v>
      </c>
      <c r="X11804" t="s">
        <v>41268</v>
      </c>
    </row>
    <row r="11805" spans="1:24">
      <c r="A11805">
        <f>HYPERLINK("https://www.philgeps.gov.ph/GEPSNONPILOT/Tender/SplashBidNoticeAbstractUI.aspx?menuIndex=3&amp;refID=7045762&amp;Result=3","7045762")</f>
        <v>0</v>
      </c>
      <c r="B11805" t="s">
        <v>3165</v>
      </c>
      <c r="C11805" t="s">
        <v>14682</v>
      </c>
      <c r="D11805" t="s">
        <v>16626</v>
      </c>
      <c r="E11805" t="s">
        <v>26900</v>
      </c>
      <c r="F11805" t="s">
        <v>28669</v>
      </c>
      <c r="G11805" t="s">
        <v>28675</v>
      </c>
      <c r="H11805" t="s">
        <v>28686</v>
      </c>
      <c r="I11805" t="s">
        <v>28689</v>
      </c>
      <c r="J11805" t="s">
        <v>36055</v>
      </c>
      <c r="K11805" t="s">
        <v>37209</v>
      </c>
      <c r="M11805" t="s">
        <v>40960</v>
      </c>
      <c r="N11805" t="s">
        <v>41249</v>
      </c>
      <c r="O11805" t="s">
        <v>41250</v>
      </c>
      <c r="P11805">
        <v>0</v>
      </c>
      <c r="Q11805">
        <v>6</v>
      </c>
      <c r="R11805" t="s">
        <v>41266</v>
      </c>
      <c r="S11805" t="s">
        <v>41978</v>
      </c>
      <c r="T11805" t="s">
        <v>42703</v>
      </c>
      <c r="U11805" t="s">
        <v>52665</v>
      </c>
      <c r="W11805" t="s">
        <v>40960</v>
      </c>
      <c r="X11805" t="s">
        <v>41268</v>
      </c>
    </row>
    <row r="11806" spans="1:24">
      <c r="A11806">
        <f>HYPERLINK("https://www.philgeps.gov.ph/GEPSNONPILOT/Tender/SplashBidNoticeAbstractUI.aspx?menuIndex=3&amp;refID=7043976&amp;Result=3","7043976")</f>
        <v>0</v>
      </c>
      <c r="B11806" t="s">
        <v>2640</v>
      </c>
      <c r="C11806" t="s">
        <v>14683</v>
      </c>
      <c r="D11806" t="s">
        <v>16679</v>
      </c>
      <c r="E11806" t="s">
        <v>26901</v>
      </c>
      <c r="F11806" t="s">
        <v>28669</v>
      </c>
      <c r="G11806" t="s">
        <v>28675</v>
      </c>
      <c r="H11806" t="s">
        <v>9998</v>
      </c>
      <c r="I11806" t="s">
        <v>28792</v>
      </c>
      <c r="J11806" t="s">
        <v>30377</v>
      </c>
      <c r="K11806" t="s">
        <v>37205</v>
      </c>
      <c r="M11806" t="s">
        <v>40339</v>
      </c>
      <c r="N11806" t="s">
        <v>41249</v>
      </c>
      <c r="O11806" t="s">
        <v>41250</v>
      </c>
      <c r="P11806">
        <v>0</v>
      </c>
      <c r="Q11806">
        <v>9</v>
      </c>
      <c r="R11806" t="s">
        <v>41266</v>
      </c>
      <c r="S11806" t="s">
        <v>41978</v>
      </c>
      <c r="T11806" t="s">
        <v>42713</v>
      </c>
      <c r="U11806" t="s">
        <v>52666</v>
      </c>
      <c r="W11806" t="s">
        <v>40339</v>
      </c>
      <c r="X11806" t="s">
        <v>41269</v>
      </c>
    </row>
    <row r="11807" spans="1:24">
      <c r="A11807">
        <f>HYPERLINK("https://www.philgeps.gov.ph/GEPSNONPILOT/Tender/SplashBidNoticeAbstractUI.aspx?menuIndex=3&amp;refID=7045820&amp;Result=3","7045820")</f>
        <v>0</v>
      </c>
      <c r="B11807" t="s">
        <v>2167</v>
      </c>
      <c r="C11807" t="s">
        <v>14684</v>
      </c>
      <c r="D11807" t="s">
        <v>16664</v>
      </c>
      <c r="E11807" t="s">
        <v>26902</v>
      </c>
      <c r="F11807" t="s">
        <v>28669</v>
      </c>
      <c r="G11807" t="s">
        <v>28675</v>
      </c>
      <c r="H11807" t="s">
        <v>9998</v>
      </c>
      <c r="I11807" t="s">
        <v>28743</v>
      </c>
      <c r="J11807" t="s">
        <v>33369</v>
      </c>
      <c r="K11807" t="s">
        <v>37213</v>
      </c>
      <c r="M11807" t="s">
        <v>40354</v>
      </c>
      <c r="N11807" t="s">
        <v>41249</v>
      </c>
      <c r="O11807" t="s">
        <v>41250</v>
      </c>
      <c r="P11807">
        <v>0</v>
      </c>
      <c r="Q11807">
        <v>0</v>
      </c>
      <c r="R11807" t="s">
        <v>41266</v>
      </c>
      <c r="S11807" t="s">
        <v>41978</v>
      </c>
      <c r="T11807" t="s">
        <v>42679</v>
      </c>
      <c r="U11807" t="s">
        <v>52667</v>
      </c>
      <c r="W11807" t="s">
        <v>56006</v>
      </c>
      <c r="X11807" t="s">
        <v>41268</v>
      </c>
    </row>
    <row r="11808" spans="1:24">
      <c r="A11808">
        <f>HYPERLINK("https://www.philgeps.gov.ph/GEPSNONPILOT/Tender/SplashBidNoticeAbstractUI.aspx?menuIndex=3&amp;refID=7043943&amp;Result=3","7043943")</f>
        <v>0</v>
      </c>
      <c r="B11808" t="s">
        <v>948</v>
      </c>
      <c r="C11808" t="s">
        <v>14685</v>
      </c>
      <c r="D11808" t="s">
        <v>16672</v>
      </c>
      <c r="E11808" t="s">
        <v>26903</v>
      </c>
      <c r="F11808" t="s">
        <v>28669</v>
      </c>
      <c r="G11808" t="s">
        <v>28675</v>
      </c>
      <c r="H11808" t="s">
        <v>9998</v>
      </c>
      <c r="I11808" t="s">
        <v>28817</v>
      </c>
      <c r="J11808" t="s">
        <v>36056</v>
      </c>
      <c r="K11808" t="s">
        <v>37227</v>
      </c>
      <c r="M11808" t="s">
        <v>38472</v>
      </c>
      <c r="N11808" t="s">
        <v>41249</v>
      </c>
      <c r="O11808" t="s">
        <v>41250</v>
      </c>
      <c r="P11808">
        <v>0</v>
      </c>
      <c r="Q11808">
        <v>1</v>
      </c>
      <c r="R11808" t="s">
        <v>41266</v>
      </c>
      <c r="S11808" t="s">
        <v>41978</v>
      </c>
      <c r="T11808" t="s">
        <v>42711</v>
      </c>
      <c r="U11808" t="s">
        <v>52648</v>
      </c>
      <c r="W11808" t="s">
        <v>38472</v>
      </c>
      <c r="X11808" t="s">
        <v>41269</v>
      </c>
    </row>
    <row r="11809" spans="1:24">
      <c r="A11809">
        <f>HYPERLINK("https://www.philgeps.gov.ph/GEPSNONPILOT/Tender/SplashBidNoticeAbstractUI.aspx?menuIndex=3&amp;refID=7044733&amp;Result=3","7044733")</f>
        <v>0</v>
      </c>
      <c r="B11809" t="s">
        <v>3166</v>
      </c>
      <c r="C11809" t="s">
        <v>14686</v>
      </c>
      <c r="D11809" t="s">
        <v>16668</v>
      </c>
      <c r="E11809" t="s">
        <v>26904</v>
      </c>
      <c r="F11809" t="s">
        <v>28669</v>
      </c>
      <c r="G11809" t="s">
        <v>28675</v>
      </c>
      <c r="H11809" t="s">
        <v>9998</v>
      </c>
      <c r="I11809" t="s">
        <v>7352</v>
      </c>
      <c r="J11809" t="s">
        <v>36057</v>
      </c>
      <c r="K11809" t="s">
        <v>37210</v>
      </c>
      <c r="M11809" t="s">
        <v>40961</v>
      </c>
      <c r="N11809" t="s">
        <v>41249</v>
      </c>
      <c r="O11809" t="s">
        <v>41250</v>
      </c>
      <c r="P11809">
        <v>0</v>
      </c>
      <c r="Q11809">
        <v>1</v>
      </c>
      <c r="R11809" t="s">
        <v>41266</v>
      </c>
      <c r="S11809" t="s">
        <v>41978</v>
      </c>
      <c r="T11809" t="s">
        <v>42670</v>
      </c>
      <c r="U11809" t="s">
        <v>52668</v>
      </c>
      <c r="V11809" t="s">
        <v>55666</v>
      </c>
      <c r="W11809" t="s">
        <v>40961</v>
      </c>
      <c r="X11809" t="s">
        <v>41268</v>
      </c>
    </row>
    <row r="11810" spans="1:24">
      <c r="A11810">
        <f>HYPERLINK("https://www.philgeps.gov.ph/GEPSNONPILOT/Tender/SplashBidNoticeAbstractUI.aspx?menuIndex=3&amp;refID=7046223&amp;Result=3","7046223")</f>
        <v>0</v>
      </c>
      <c r="B11810" t="s">
        <v>250</v>
      </c>
      <c r="C11810" t="s">
        <v>14687</v>
      </c>
      <c r="D11810" t="s">
        <v>16621</v>
      </c>
      <c r="E11810" t="s">
        <v>26905</v>
      </c>
      <c r="F11810" t="s">
        <v>28669</v>
      </c>
      <c r="G11810" t="s">
        <v>28675</v>
      </c>
      <c r="H11810" t="s">
        <v>9998</v>
      </c>
      <c r="I11810" t="s">
        <v>28687</v>
      </c>
      <c r="J11810" t="s">
        <v>29033</v>
      </c>
      <c r="K11810" t="s">
        <v>37221</v>
      </c>
      <c r="M11810" t="s">
        <v>37728</v>
      </c>
      <c r="N11810" t="s">
        <v>41249</v>
      </c>
      <c r="O11810" t="s">
        <v>41250</v>
      </c>
      <c r="P11810">
        <v>0</v>
      </c>
      <c r="Q11810">
        <v>4</v>
      </c>
      <c r="R11810" t="s">
        <v>41266</v>
      </c>
      <c r="S11810" t="s">
        <v>41978</v>
      </c>
      <c r="T11810" t="s">
        <v>42876</v>
      </c>
      <c r="U11810" t="s">
        <v>44452</v>
      </c>
      <c r="W11810" t="s">
        <v>37728</v>
      </c>
      <c r="X11810" t="s">
        <v>41268</v>
      </c>
    </row>
    <row r="11811" spans="1:24">
      <c r="A11811">
        <f>HYPERLINK("https://www.philgeps.gov.ph/GEPSNONPILOT/Tender/SplashBidNoticeAbstractUI.aspx?menuIndex=3&amp;refID=7041076&amp;Result=3","7041076")</f>
        <v>0</v>
      </c>
      <c r="B11811" t="s">
        <v>1697</v>
      </c>
      <c r="C11811" t="s">
        <v>14688</v>
      </c>
      <c r="D11811" t="s">
        <v>16639</v>
      </c>
      <c r="E11811" t="s">
        <v>26906</v>
      </c>
      <c r="F11811" t="s">
        <v>28669</v>
      </c>
      <c r="G11811" t="s">
        <v>28682</v>
      </c>
      <c r="H11811" t="s">
        <v>28685</v>
      </c>
      <c r="I11811" t="s">
        <v>28685</v>
      </c>
      <c r="J11811" t="s">
        <v>36058</v>
      </c>
      <c r="K11811" t="s">
        <v>37209</v>
      </c>
      <c r="L11811" t="s">
        <v>1697</v>
      </c>
      <c r="M11811" t="s">
        <v>39297</v>
      </c>
      <c r="N11811" t="s">
        <v>41249</v>
      </c>
      <c r="O11811" t="s">
        <v>41250</v>
      </c>
      <c r="P11811">
        <v>0</v>
      </c>
      <c r="Q11811">
        <v>7</v>
      </c>
      <c r="R11811" t="s">
        <v>41266</v>
      </c>
      <c r="S11811" t="s">
        <v>41978</v>
      </c>
      <c r="T11811" t="s">
        <v>42808</v>
      </c>
      <c r="U11811" t="s">
        <v>52669</v>
      </c>
      <c r="W11811" t="s">
        <v>39297</v>
      </c>
      <c r="X11811" t="s">
        <v>41272</v>
      </c>
    </row>
    <row r="11812" spans="1:24">
      <c r="A11812">
        <f>HYPERLINK("https://www.philgeps.gov.ph/GEPSNONPILOT/Tender/SplashBidNoticeAbstractUI.aspx?menuIndex=3&amp;refID=7044536&amp;Result=3","7044536")</f>
        <v>0</v>
      </c>
      <c r="B11812" t="s">
        <v>3167</v>
      </c>
      <c r="C11812" t="s">
        <v>14689</v>
      </c>
      <c r="D11812" t="s">
        <v>16627</v>
      </c>
      <c r="E11812" t="s">
        <v>26907</v>
      </c>
      <c r="F11812" t="s">
        <v>28669</v>
      </c>
      <c r="G11812" t="s">
        <v>28675</v>
      </c>
      <c r="H11812" t="s">
        <v>28686</v>
      </c>
      <c r="I11812" t="s">
        <v>28689</v>
      </c>
      <c r="J11812" t="s">
        <v>36059</v>
      </c>
      <c r="K11812" t="s">
        <v>37229</v>
      </c>
      <c r="M11812" t="s">
        <v>40962</v>
      </c>
      <c r="N11812" t="s">
        <v>41249</v>
      </c>
      <c r="O11812" t="s">
        <v>41250</v>
      </c>
      <c r="P11812">
        <v>0</v>
      </c>
      <c r="Q11812">
        <v>0</v>
      </c>
      <c r="R11812" t="s">
        <v>41266</v>
      </c>
      <c r="S11812" t="s">
        <v>41978</v>
      </c>
      <c r="T11812" t="s">
        <v>42759</v>
      </c>
      <c r="U11812" t="s">
        <v>52670</v>
      </c>
      <c r="W11812" t="s">
        <v>40962</v>
      </c>
      <c r="X11812" t="s">
        <v>41268</v>
      </c>
    </row>
    <row r="11813" spans="1:24">
      <c r="A11813">
        <f>HYPERLINK("https://www.philgeps.gov.ph/GEPSNONPILOT/Tender/SplashBidNoticeAbstractUI.aspx?menuIndex=3&amp;refID=7046186&amp;Result=3","7046186")</f>
        <v>0</v>
      </c>
      <c r="B11813" t="s">
        <v>250</v>
      </c>
      <c r="C11813" t="s">
        <v>14690</v>
      </c>
      <c r="D11813" t="s">
        <v>16621</v>
      </c>
      <c r="E11813" t="s">
        <v>26908</v>
      </c>
      <c r="F11813" t="s">
        <v>28669</v>
      </c>
      <c r="G11813" t="s">
        <v>28675</v>
      </c>
      <c r="H11813" t="s">
        <v>9998</v>
      </c>
      <c r="I11813" t="s">
        <v>5286</v>
      </c>
      <c r="J11813" t="s">
        <v>36060</v>
      </c>
      <c r="K11813" t="s">
        <v>37231</v>
      </c>
      <c r="M11813" t="s">
        <v>37728</v>
      </c>
      <c r="N11813" t="s">
        <v>41249</v>
      </c>
      <c r="O11813" t="s">
        <v>41250</v>
      </c>
      <c r="P11813">
        <v>0</v>
      </c>
      <c r="Q11813">
        <v>4</v>
      </c>
      <c r="R11813" t="s">
        <v>41266</v>
      </c>
      <c r="S11813" t="s">
        <v>41978</v>
      </c>
      <c r="T11813" t="s">
        <v>42876</v>
      </c>
      <c r="U11813" t="s">
        <v>44452</v>
      </c>
      <c r="W11813" t="s">
        <v>37728</v>
      </c>
      <c r="X11813" t="s">
        <v>41268</v>
      </c>
    </row>
    <row r="11814" spans="1:24">
      <c r="A11814">
        <f>HYPERLINK("https://www.philgeps.gov.ph/GEPSNONPILOT/Tender/SplashBidNoticeAbstractUI.aspx?menuIndex=3&amp;refID=7046394&amp;Result=3","7046394")</f>
        <v>0</v>
      </c>
      <c r="B11814" t="s">
        <v>2167</v>
      </c>
      <c r="C11814" t="s">
        <v>14691</v>
      </c>
      <c r="D11814" t="s">
        <v>16664</v>
      </c>
      <c r="E11814" t="s">
        <v>26909</v>
      </c>
      <c r="F11814" t="s">
        <v>28669</v>
      </c>
      <c r="G11814" t="s">
        <v>28675</v>
      </c>
      <c r="H11814" t="s">
        <v>9998</v>
      </c>
      <c r="I11814" t="s">
        <v>28722</v>
      </c>
      <c r="J11814" t="s">
        <v>30854</v>
      </c>
      <c r="K11814" t="s">
        <v>37206</v>
      </c>
      <c r="M11814" t="s">
        <v>40354</v>
      </c>
      <c r="N11814" t="s">
        <v>41249</v>
      </c>
      <c r="O11814" t="s">
        <v>41250</v>
      </c>
      <c r="P11814">
        <v>0</v>
      </c>
      <c r="Q11814">
        <v>1</v>
      </c>
      <c r="R11814" t="s">
        <v>41266</v>
      </c>
      <c r="S11814" t="s">
        <v>41978</v>
      </c>
      <c r="T11814" t="s">
        <v>42679</v>
      </c>
      <c r="U11814" t="s">
        <v>52671</v>
      </c>
      <c r="W11814" t="s">
        <v>56006</v>
      </c>
      <c r="X11814" t="s">
        <v>41268</v>
      </c>
    </row>
    <row r="11815" spans="1:24">
      <c r="A11815">
        <f>HYPERLINK("https://www.philgeps.gov.ph/GEPSNONPILOT/Tender/SplashBidNoticeAbstractUI.aspx?menuIndex=3&amp;refID=7043944&amp;Result=3","7043944")</f>
        <v>0</v>
      </c>
      <c r="B11815" t="s">
        <v>948</v>
      </c>
      <c r="C11815" t="s">
        <v>14692</v>
      </c>
      <c r="D11815" t="s">
        <v>16672</v>
      </c>
      <c r="E11815" t="s">
        <v>26910</v>
      </c>
      <c r="F11815" t="s">
        <v>28669</v>
      </c>
      <c r="G11815" t="s">
        <v>28675</v>
      </c>
      <c r="H11815" t="s">
        <v>9998</v>
      </c>
      <c r="I11815" t="s">
        <v>11593</v>
      </c>
      <c r="J11815" t="s">
        <v>28942</v>
      </c>
      <c r="K11815" t="s">
        <v>37227</v>
      </c>
      <c r="M11815" t="s">
        <v>38472</v>
      </c>
      <c r="N11815" t="s">
        <v>41249</v>
      </c>
      <c r="O11815" t="s">
        <v>41250</v>
      </c>
      <c r="P11815">
        <v>0</v>
      </c>
      <c r="Q11815">
        <v>1</v>
      </c>
      <c r="R11815" t="s">
        <v>41266</v>
      </c>
      <c r="S11815" t="s">
        <v>41978</v>
      </c>
      <c r="T11815" t="s">
        <v>42711</v>
      </c>
      <c r="U11815" t="s">
        <v>52648</v>
      </c>
      <c r="W11815" t="s">
        <v>38472</v>
      </c>
      <c r="X11815" t="s">
        <v>41269</v>
      </c>
    </row>
    <row r="11816" spans="1:24">
      <c r="A11816">
        <f>HYPERLINK("https://www.philgeps.gov.ph/GEPSNONPILOT/Tender/SplashBidNoticeAbstractUI.aspx?menuIndex=3&amp;refID=7046370&amp;Result=3","7046370")</f>
        <v>0</v>
      </c>
      <c r="B11816" t="s">
        <v>483</v>
      </c>
      <c r="C11816" t="s">
        <v>14693</v>
      </c>
      <c r="D11816" t="s">
        <v>16676</v>
      </c>
      <c r="E11816" t="s">
        <v>26911</v>
      </c>
      <c r="F11816" t="s">
        <v>28669</v>
      </c>
      <c r="G11816" t="s">
        <v>28675</v>
      </c>
      <c r="H11816" t="s">
        <v>28686</v>
      </c>
      <c r="I11816" t="s">
        <v>28689</v>
      </c>
      <c r="J11816" t="s">
        <v>28836</v>
      </c>
      <c r="K11816" t="s">
        <v>37215</v>
      </c>
      <c r="M11816" t="s">
        <v>40963</v>
      </c>
      <c r="N11816" t="s">
        <v>41249</v>
      </c>
      <c r="O11816" t="s">
        <v>41250</v>
      </c>
      <c r="P11816">
        <v>0</v>
      </c>
      <c r="Q11816">
        <v>0</v>
      </c>
      <c r="R11816" t="s">
        <v>41266</v>
      </c>
      <c r="S11816" t="s">
        <v>41978</v>
      </c>
      <c r="T11816" t="s">
        <v>42759</v>
      </c>
      <c r="U11816" t="s">
        <v>52672</v>
      </c>
      <c r="W11816" t="s">
        <v>40964</v>
      </c>
      <c r="X11816" t="s">
        <v>41268</v>
      </c>
    </row>
    <row r="11817" spans="1:24">
      <c r="A11817">
        <f>HYPERLINK("https://www.philgeps.gov.ph/GEPSNONPILOT/Tender/SplashBidNoticeAbstractUI.aspx?menuIndex=3&amp;refID=7046227&amp;Result=3","7046227")</f>
        <v>0</v>
      </c>
      <c r="B11817" t="s">
        <v>483</v>
      </c>
      <c r="C11817" t="s">
        <v>14694</v>
      </c>
      <c r="D11817" t="s">
        <v>16676</v>
      </c>
      <c r="E11817" t="s">
        <v>26912</v>
      </c>
      <c r="F11817" t="s">
        <v>28669</v>
      </c>
      <c r="G11817" t="s">
        <v>28675</v>
      </c>
      <c r="H11817" t="s">
        <v>28686</v>
      </c>
      <c r="I11817" t="s">
        <v>28689</v>
      </c>
      <c r="J11817" t="s">
        <v>36061</v>
      </c>
      <c r="K11817" t="s">
        <v>37334</v>
      </c>
      <c r="M11817" t="s">
        <v>40963</v>
      </c>
      <c r="N11817" t="s">
        <v>41249</v>
      </c>
      <c r="O11817" t="s">
        <v>41250</v>
      </c>
      <c r="P11817">
        <v>0</v>
      </c>
      <c r="Q11817">
        <v>2</v>
      </c>
      <c r="R11817" t="s">
        <v>41266</v>
      </c>
      <c r="S11817" t="s">
        <v>41978</v>
      </c>
      <c r="T11817" t="s">
        <v>42759</v>
      </c>
      <c r="U11817" t="s">
        <v>52673</v>
      </c>
      <c r="W11817" t="s">
        <v>40964</v>
      </c>
      <c r="X11817" t="s">
        <v>41268</v>
      </c>
    </row>
    <row r="11818" spans="1:24">
      <c r="A11818">
        <f>HYPERLINK("https://www.philgeps.gov.ph/GEPSNONPILOT/Tender/SplashBidNoticeAbstractUI.aspx?menuIndex=3&amp;refID=7046364&amp;Result=3","7046364")</f>
        <v>0</v>
      </c>
      <c r="B11818" t="s">
        <v>3164</v>
      </c>
      <c r="C11818" t="s">
        <v>14695</v>
      </c>
      <c r="D11818" t="s">
        <v>16619</v>
      </c>
      <c r="E11818" t="s">
        <v>26913</v>
      </c>
      <c r="F11818" t="s">
        <v>28669</v>
      </c>
      <c r="G11818" t="s">
        <v>28675</v>
      </c>
      <c r="H11818" t="s">
        <v>28686</v>
      </c>
      <c r="I11818" t="s">
        <v>28689</v>
      </c>
      <c r="J11818" t="s">
        <v>36053</v>
      </c>
      <c r="K11818" t="s">
        <v>37213</v>
      </c>
      <c r="M11818" t="s">
        <v>40959</v>
      </c>
      <c r="N11818" t="s">
        <v>41249</v>
      </c>
      <c r="O11818" t="s">
        <v>41250</v>
      </c>
      <c r="Q11818">
        <v>0</v>
      </c>
      <c r="R11818" t="s">
        <v>41266</v>
      </c>
      <c r="S11818" t="s">
        <v>41987</v>
      </c>
      <c r="T11818" t="s">
        <v>42690</v>
      </c>
      <c r="U11818" t="s">
        <v>52674</v>
      </c>
      <c r="V11818" t="s">
        <v>55665</v>
      </c>
      <c r="W11818" t="s">
        <v>40959</v>
      </c>
      <c r="X11818" t="s">
        <v>41268</v>
      </c>
    </row>
    <row r="11819" spans="1:24">
      <c r="A11819">
        <f>HYPERLINK("https://www.philgeps.gov.ph/GEPSNONPILOT/Tender/SplashBidNoticeAbstractUI.aspx?menuIndex=3&amp;refID=7046323&amp;Result=3","7046323")</f>
        <v>0</v>
      </c>
      <c r="B11819" t="s">
        <v>483</v>
      </c>
      <c r="C11819" t="s">
        <v>14696</v>
      </c>
      <c r="D11819" t="s">
        <v>16676</v>
      </c>
      <c r="E11819" t="s">
        <v>26914</v>
      </c>
      <c r="F11819" t="s">
        <v>28669</v>
      </c>
      <c r="G11819" t="s">
        <v>28675</v>
      </c>
      <c r="H11819" t="s">
        <v>28686</v>
      </c>
      <c r="I11819" t="s">
        <v>28689</v>
      </c>
      <c r="J11819" t="s">
        <v>28924</v>
      </c>
      <c r="K11819" t="s">
        <v>37215</v>
      </c>
      <c r="M11819" t="s">
        <v>40964</v>
      </c>
      <c r="N11819" t="s">
        <v>41249</v>
      </c>
      <c r="O11819" t="s">
        <v>41250</v>
      </c>
      <c r="P11819">
        <v>0</v>
      </c>
      <c r="Q11819">
        <v>2</v>
      </c>
      <c r="R11819" t="s">
        <v>41266</v>
      </c>
      <c r="S11819" t="s">
        <v>41978</v>
      </c>
      <c r="T11819" t="s">
        <v>42759</v>
      </c>
      <c r="U11819" t="s">
        <v>52675</v>
      </c>
      <c r="W11819" t="s">
        <v>40964</v>
      </c>
      <c r="X11819" t="s">
        <v>41268</v>
      </c>
    </row>
    <row r="11820" spans="1:24">
      <c r="A11820">
        <f>HYPERLINK("https://www.philgeps.gov.ph/GEPSNONPILOT/Tender/SplashBidNoticeAbstractUI.aspx?menuIndex=3&amp;refID=7046260&amp;Result=3","7046260")</f>
        <v>0</v>
      </c>
      <c r="B11820" t="s">
        <v>250</v>
      </c>
      <c r="C11820" t="s">
        <v>14697</v>
      </c>
      <c r="D11820" t="s">
        <v>16621</v>
      </c>
      <c r="E11820" t="s">
        <v>26915</v>
      </c>
      <c r="F11820" t="s">
        <v>28669</v>
      </c>
      <c r="G11820" t="s">
        <v>28675</v>
      </c>
      <c r="H11820" t="s">
        <v>9998</v>
      </c>
      <c r="I11820" t="s">
        <v>28687</v>
      </c>
      <c r="J11820" t="s">
        <v>29059</v>
      </c>
      <c r="K11820" t="s">
        <v>37220</v>
      </c>
      <c r="M11820" t="s">
        <v>37728</v>
      </c>
      <c r="N11820" t="s">
        <v>41249</v>
      </c>
      <c r="O11820" t="s">
        <v>41250</v>
      </c>
      <c r="P11820">
        <v>0</v>
      </c>
      <c r="Q11820">
        <v>6</v>
      </c>
      <c r="R11820" t="s">
        <v>41266</v>
      </c>
      <c r="S11820" t="s">
        <v>41978</v>
      </c>
      <c r="T11820" t="s">
        <v>42876</v>
      </c>
      <c r="U11820" t="s">
        <v>44452</v>
      </c>
      <c r="W11820" t="s">
        <v>37728</v>
      </c>
      <c r="X11820" t="s">
        <v>41268</v>
      </c>
    </row>
    <row r="11821" spans="1:24">
      <c r="A11821">
        <f>HYPERLINK("https://www.philgeps.gov.ph/GEPSNONPILOT/Tender/SplashBidNoticeAbstractUI.aspx?menuIndex=3&amp;refID=7044621&amp;Result=3","7044621")</f>
        <v>0</v>
      </c>
      <c r="B11821" t="s">
        <v>3167</v>
      </c>
      <c r="C11821" t="s">
        <v>14698</v>
      </c>
      <c r="E11821" t="s">
        <v>26916</v>
      </c>
      <c r="F11821" t="s">
        <v>28669</v>
      </c>
      <c r="G11821" t="s">
        <v>28675</v>
      </c>
      <c r="H11821" t="s">
        <v>28686</v>
      </c>
      <c r="I11821" t="s">
        <v>28689</v>
      </c>
      <c r="J11821" t="s">
        <v>28905</v>
      </c>
      <c r="K11821" t="s">
        <v>37205</v>
      </c>
      <c r="M11821" t="s">
        <v>40962</v>
      </c>
      <c r="N11821" t="s">
        <v>41249</v>
      </c>
      <c r="O11821" t="s">
        <v>41250</v>
      </c>
      <c r="P11821">
        <v>0</v>
      </c>
      <c r="Q11821">
        <v>0</v>
      </c>
      <c r="R11821" t="s">
        <v>41266</v>
      </c>
      <c r="S11821" t="s">
        <v>41978</v>
      </c>
      <c r="T11821" t="s">
        <v>42713</v>
      </c>
      <c r="U11821" t="s">
        <v>52676</v>
      </c>
      <c r="W11821" t="s">
        <v>40962</v>
      </c>
      <c r="X11821" t="s">
        <v>41268</v>
      </c>
    </row>
    <row r="11822" spans="1:24">
      <c r="A11822">
        <f>HYPERLINK("https://www.philgeps.gov.ph/GEPSNONPILOT/Tender/SplashBidNoticeAbstractUI.aspx?menuIndex=3&amp;refID=7046236&amp;Result=3","7046236")</f>
        <v>0</v>
      </c>
      <c r="B11822" t="s">
        <v>57</v>
      </c>
      <c r="C11822" t="s">
        <v>14699</v>
      </c>
      <c r="D11822" t="s">
        <v>16634</v>
      </c>
      <c r="E11822" t="s">
        <v>26917</v>
      </c>
      <c r="F11822" t="s">
        <v>28669</v>
      </c>
      <c r="G11822" t="s">
        <v>28679</v>
      </c>
      <c r="H11822" t="s">
        <v>9998</v>
      </c>
      <c r="I11822" t="s">
        <v>3718</v>
      </c>
      <c r="J11822" t="s">
        <v>29003</v>
      </c>
      <c r="K11822" t="s">
        <v>37206</v>
      </c>
      <c r="M11822" t="s">
        <v>37532</v>
      </c>
      <c r="N11822" t="s">
        <v>41249</v>
      </c>
      <c r="O11822" t="s">
        <v>41250</v>
      </c>
      <c r="P11822">
        <v>0</v>
      </c>
      <c r="Q11822">
        <v>2</v>
      </c>
      <c r="R11822" t="s">
        <v>41266</v>
      </c>
      <c r="S11822" t="s">
        <v>41978</v>
      </c>
      <c r="T11822" t="s">
        <v>42703</v>
      </c>
      <c r="U11822" t="s">
        <v>52677</v>
      </c>
      <c r="V11822" t="s">
        <v>55667</v>
      </c>
      <c r="W11822" t="s">
        <v>37532</v>
      </c>
      <c r="X11822" t="s">
        <v>41268</v>
      </c>
    </row>
    <row r="11823" spans="1:24">
      <c r="A11823">
        <f>HYPERLINK("https://www.philgeps.gov.ph/GEPSNONPILOT/Tender/SplashBidNoticeAbstractUI.aspx?menuIndex=3&amp;refID=7046181&amp;Result=3","7046181")</f>
        <v>0</v>
      </c>
      <c r="B11823" t="s">
        <v>483</v>
      </c>
      <c r="C11823" t="s">
        <v>14700</v>
      </c>
      <c r="D11823" t="s">
        <v>16676</v>
      </c>
      <c r="E11823" t="s">
        <v>26918</v>
      </c>
      <c r="F11823" t="s">
        <v>28669</v>
      </c>
      <c r="G11823" t="s">
        <v>28675</v>
      </c>
      <c r="H11823" t="s">
        <v>28686</v>
      </c>
      <c r="I11823" t="s">
        <v>28689</v>
      </c>
      <c r="J11823" t="s">
        <v>36062</v>
      </c>
      <c r="K11823" t="s">
        <v>37215</v>
      </c>
      <c r="M11823" t="s">
        <v>40963</v>
      </c>
      <c r="N11823" t="s">
        <v>41249</v>
      </c>
      <c r="O11823" t="s">
        <v>41250</v>
      </c>
      <c r="P11823">
        <v>0</v>
      </c>
      <c r="Q11823">
        <v>3</v>
      </c>
      <c r="R11823" t="s">
        <v>41266</v>
      </c>
      <c r="S11823" t="s">
        <v>41978</v>
      </c>
      <c r="T11823" t="s">
        <v>42759</v>
      </c>
      <c r="U11823" t="s">
        <v>52678</v>
      </c>
      <c r="W11823" t="s">
        <v>40964</v>
      </c>
      <c r="X11823" t="s">
        <v>41268</v>
      </c>
    </row>
    <row r="11824" spans="1:24">
      <c r="A11824">
        <f>HYPERLINK("https://www.philgeps.gov.ph/GEPSNONPILOT/Tender/SplashBidNoticeAbstractUI.aspx?menuIndex=3&amp;refID=7046153&amp;Result=3","7046153")</f>
        <v>0</v>
      </c>
      <c r="B11824" t="s">
        <v>250</v>
      </c>
      <c r="C11824" t="s">
        <v>14701</v>
      </c>
      <c r="D11824" t="s">
        <v>16621</v>
      </c>
      <c r="E11824" t="s">
        <v>26919</v>
      </c>
      <c r="F11824" t="s">
        <v>28669</v>
      </c>
      <c r="G11824" t="s">
        <v>28675</v>
      </c>
      <c r="H11824" t="s">
        <v>9998</v>
      </c>
      <c r="I11824" t="s">
        <v>28693</v>
      </c>
      <c r="J11824" t="s">
        <v>36063</v>
      </c>
      <c r="K11824" t="s">
        <v>37231</v>
      </c>
      <c r="M11824" t="s">
        <v>37728</v>
      </c>
      <c r="N11824" t="s">
        <v>41249</v>
      </c>
      <c r="O11824" t="s">
        <v>41250</v>
      </c>
      <c r="P11824">
        <v>0</v>
      </c>
      <c r="Q11824">
        <v>8</v>
      </c>
      <c r="R11824" t="s">
        <v>41266</v>
      </c>
      <c r="S11824" t="s">
        <v>41978</v>
      </c>
      <c r="T11824" t="s">
        <v>42876</v>
      </c>
      <c r="U11824" t="s">
        <v>44452</v>
      </c>
      <c r="W11824" t="s">
        <v>37728</v>
      </c>
      <c r="X11824" t="s">
        <v>41268</v>
      </c>
    </row>
    <row r="11825" spans="1:24">
      <c r="A11825">
        <f>HYPERLINK("https://www.philgeps.gov.ph/GEPSNONPILOT/Tender/SplashBidNoticeAbstractUI.aspx?menuIndex=3&amp;refID=7045642&amp;Result=3","7045642")</f>
        <v>0</v>
      </c>
      <c r="B11825" t="s">
        <v>2167</v>
      </c>
      <c r="C11825" t="s">
        <v>14702</v>
      </c>
      <c r="D11825" t="s">
        <v>16627</v>
      </c>
      <c r="E11825" t="s">
        <v>26920</v>
      </c>
      <c r="F11825" t="s">
        <v>28669</v>
      </c>
      <c r="G11825" t="s">
        <v>28675</v>
      </c>
      <c r="H11825" t="s">
        <v>9998</v>
      </c>
      <c r="I11825" t="s">
        <v>28754</v>
      </c>
      <c r="J11825" t="s">
        <v>36064</v>
      </c>
      <c r="K11825" t="s">
        <v>37206</v>
      </c>
      <c r="M11825" t="s">
        <v>40354</v>
      </c>
      <c r="N11825" t="s">
        <v>41249</v>
      </c>
      <c r="O11825" t="s">
        <v>41250</v>
      </c>
      <c r="Q11825">
        <v>1</v>
      </c>
      <c r="R11825" t="s">
        <v>41266</v>
      </c>
      <c r="S11825" t="s">
        <v>41988</v>
      </c>
      <c r="T11825" t="s">
        <v>42679</v>
      </c>
      <c r="U11825" t="s">
        <v>52679</v>
      </c>
      <c r="W11825" t="s">
        <v>56006</v>
      </c>
      <c r="X11825" t="s">
        <v>41268</v>
      </c>
    </row>
    <row r="11826" spans="1:24">
      <c r="A11826">
        <f>HYPERLINK("https://www.philgeps.gov.ph/GEPSNONPILOT/Tender/SplashBidNoticeAbstractUI.aspx?menuIndex=3&amp;refID=7046094&amp;Result=3","7046094")</f>
        <v>0</v>
      </c>
      <c r="B11826" t="s">
        <v>483</v>
      </c>
      <c r="C11826" t="s">
        <v>14703</v>
      </c>
      <c r="D11826" t="s">
        <v>16676</v>
      </c>
      <c r="E11826" t="s">
        <v>26921</v>
      </c>
      <c r="F11826" t="s">
        <v>28669</v>
      </c>
      <c r="G11826" t="s">
        <v>28675</v>
      </c>
      <c r="H11826" t="s">
        <v>28686</v>
      </c>
      <c r="I11826" t="s">
        <v>28689</v>
      </c>
      <c r="J11826" t="s">
        <v>36065</v>
      </c>
      <c r="K11826" t="s">
        <v>37334</v>
      </c>
      <c r="M11826" t="s">
        <v>40963</v>
      </c>
      <c r="N11826" t="s">
        <v>41249</v>
      </c>
      <c r="O11826" t="s">
        <v>41250</v>
      </c>
      <c r="P11826">
        <v>0</v>
      </c>
      <c r="Q11826">
        <v>1</v>
      </c>
      <c r="R11826" t="s">
        <v>41266</v>
      </c>
      <c r="S11826" t="s">
        <v>41978</v>
      </c>
      <c r="T11826" t="s">
        <v>42759</v>
      </c>
      <c r="U11826" t="s">
        <v>52673</v>
      </c>
      <c r="W11826" t="s">
        <v>40964</v>
      </c>
      <c r="X11826" t="s">
        <v>41268</v>
      </c>
    </row>
    <row r="11827" spans="1:24">
      <c r="A11827">
        <f>HYPERLINK("https://www.philgeps.gov.ph/GEPSNONPILOT/Tender/SplashBidNoticeAbstractUI.aspx?menuIndex=3&amp;refID=7046032&amp;Result=3","7046032")</f>
        <v>0</v>
      </c>
      <c r="B11827" t="s">
        <v>57</v>
      </c>
      <c r="C11827" t="s">
        <v>14704</v>
      </c>
      <c r="D11827" t="s">
        <v>16634</v>
      </c>
      <c r="E11827" t="s">
        <v>26922</v>
      </c>
      <c r="F11827" t="s">
        <v>28669</v>
      </c>
      <c r="G11827" t="s">
        <v>28675</v>
      </c>
      <c r="H11827" t="s">
        <v>9998</v>
      </c>
      <c r="I11827" t="s">
        <v>28708</v>
      </c>
      <c r="J11827" t="s">
        <v>28905</v>
      </c>
      <c r="K11827" t="s">
        <v>37206</v>
      </c>
      <c r="M11827" t="s">
        <v>37532</v>
      </c>
      <c r="N11827" t="s">
        <v>41249</v>
      </c>
      <c r="O11827" t="s">
        <v>41250</v>
      </c>
      <c r="Q11827">
        <v>1</v>
      </c>
      <c r="R11827" t="s">
        <v>41266</v>
      </c>
      <c r="S11827" t="s">
        <v>41989</v>
      </c>
      <c r="T11827" t="s">
        <v>42703</v>
      </c>
      <c r="U11827" t="s">
        <v>52680</v>
      </c>
      <c r="V11827" t="s">
        <v>54262</v>
      </c>
      <c r="W11827" t="s">
        <v>37532</v>
      </c>
      <c r="X11827" t="s">
        <v>41268</v>
      </c>
    </row>
    <row r="11828" spans="1:24">
      <c r="A11828">
        <f>HYPERLINK("https://www.philgeps.gov.ph/GEPSNONPILOT/Tender/SplashBidNoticeAbstractUI.aspx?menuIndex=3&amp;refID=7046355&amp;Result=3","7046355")</f>
        <v>0</v>
      </c>
      <c r="B11828" t="s">
        <v>250</v>
      </c>
      <c r="C11828" t="s">
        <v>14705</v>
      </c>
      <c r="D11828" t="s">
        <v>16621</v>
      </c>
      <c r="E11828" t="s">
        <v>26923</v>
      </c>
      <c r="F11828" t="s">
        <v>28669</v>
      </c>
      <c r="G11828" t="s">
        <v>28675</v>
      </c>
      <c r="H11828" t="s">
        <v>28686</v>
      </c>
      <c r="I11828" t="s">
        <v>28689</v>
      </c>
      <c r="J11828" t="s">
        <v>36066</v>
      </c>
      <c r="K11828" t="s">
        <v>37409</v>
      </c>
      <c r="M11828" t="s">
        <v>38283</v>
      </c>
      <c r="N11828" t="s">
        <v>41249</v>
      </c>
      <c r="O11828" t="s">
        <v>41250</v>
      </c>
      <c r="P11828">
        <v>0</v>
      </c>
      <c r="Q11828">
        <v>1</v>
      </c>
      <c r="R11828" t="s">
        <v>41266</v>
      </c>
      <c r="S11828" t="s">
        <v>41978</v>
      </c>
      <c r="T11828" t="s">
        <v>42876</v>
      </c>
      <c r="U11828" t="s">
        <v>52681</v>
      </c>
      <c r="W11828" t="s">
        <v>38283</v>
      </c>
      <c r="X11828" t="s">
        <v>41268</v>
      </c>
    </row>
    <row r="11829" spans="1:24">
      <c r="A11829">
        <f>HYPERLINK("https://www.philgeps.gov.ph/GEPSNONPILOT/Tender/SplashBidNoticeAbstractUI.aspx?menuIndex=3&amp;refID=7046405&amp;Result=3","7046405")</f>
        <v>0</v>
      </c>
      <c r="B11829" t="s">
        <v>564</v>
      </c>
      <c r="C11829" t="s">
        <v>14706</v>
      </c>
      <c r="D11829" t="s">
        <v>16627</v>
      </c>
      <c r="E11829" t="s">
        <v>26924</v>
      </c>
      <c r="F11829" t="s">
        <v>28669</v>
      </c>
      <c r="G11829" t="s">
        <v>28675</v>
      </c>
      <c r="H11829" t="s">
        <v>9998</v>
      </c>
      <c r="I11829" t="s">
        <v>28690</v>
      </c>
      <c r="J11829" t="s">
        <v>36067</v>
      </c>
      <c r="K11829" t="s">
        <v>37206</v>
      </c>
      <c r="M11829" t="s">
        <v>38060</v>
      </c>
      <c r="N11829" t="s">
        <v>41249</v>
      </c>
      <c r="O11829" t="s">
        <v>41250</v>
      </c>
      <c r="P11829">
        <v>0</v>
      </c>
      <c r="Q11829">
        <v>6</v>
      </c>
      <c r="R11829" t="s">
        <v>41266</v>
      </c>
      <c r="S11829" t="s">
        <v>41978</v>
      </c>
      <c r="T11829" t="s">
        <v>42764</v>
      </c>
      <c r="U11829" t="s">
        <v>52682</v>
      </c>
      <c r="V11829" t="s">
        <v>54383</v>
      </c>
      <c r="W11829" t="s">
        <v>38060</v>
      </c>
      <c r="X11829" t="s">
        <v>41268</v>
      </c>
    </row>
    <row r="11830" spans="1:24">
      <c r="A11830">
        <f>HYPERLINK("https://www.philgeps.gov.ph/GEPSNONPILOT/Tender/SplashBidNoticeAbstractUI.aspx?menuIndex=3&amp;refID=7046130&amp;Result=3","7046130")</f>
        <v>0</v>
      </c>
      <c r="B11830" t="s">
        <v>483</v>
      </c>
      <c r="C11830" t="s">
        <v>14707</v>
      </c>
      <c r="D11830" t="s">
        <v>16676</v>
      </c>
      <c r="E11830" t="s">
        <v>26925</v>
      </c>
      <c r="F11830" t="s">
        <v>28669</v>
      </c>
      <c r="G11830" t="s">
        <v>28675</v>
      </c>
      <c r="H11830" t="s">
        <v>28686</v>
      </c>
      <c r="I11830" t="s">
        <v>28689</v>
      </c>
      <c r="J11830" t="s">
        <v>36062</v>
      </c>
      <c r="K11830" t="s">
        <v>37215</v>
      </c>
      <c r="M11830" t="s">
        <v>40963</v>
      </c>
      <c r="N11830" t="s">
        <v>41249</v>
      </c>
      <c r="O11830" t="s">
        <v>41250</v>
      </c>
      <c r="P11830">
        <v>0</v>
      </c>
      <c r="Q11830">
        <v>1</v>
      </c>
      <c r="R11830" t="s">
        <v>41266</v>
      </c>
      <c r="S11830" t="s">
        <v>41978</v>
      </c>
      <c r="T11830" t="s">
        <v>42759</v>
      </c>
      <c r="U11830" t="s">
        <v>52678</v>
      </c>
      <c r="W11830" t="s">
        <v>40964</v>
      </c>
      <c r="X11830" t="s">
        <v>41268</v>
      </c>
    </row>
    <row r="11831" spans="1:24">
      <c r="A11831">
        <f>HYPERLINK("https://www.philgeps.gov.ph/GEPSNONPILOT/Tender/SplashBidNoticeAbstractUI.aspx?menuIndex=3&amp;refID=7047231&amp;Result=3","7047231")</f>
        <v>0</v>
      </c>
      <c r="B11831" t="s">
        <v>2449</v>
      </c>
      <c r="C11831" t="s">
        <v>14708</v>
      </c>
      <c r="D11831" t="s">
        <v>16645</v>
      </c>
      <c r="E11831" t="s">
        <v>26926</v>
      </c>
      <c r="F11831" t="s">
        <v>28669</v>
      </c>
      <c r="G11831" t="s">
        <v>28675</v>
      </c>
      <c r="H11831" t="s">
        <v>28686</v>
      </c>
      <c r="I11831" t="s">
        <v>28702</v>
      </c>
      <c r="J11831" t="s">
        <v>36068</v>
      </c>
      <c r="K11831" t="s">
        <v>37209</v>
      </c>
      <c r="M11831" t="s">
        <v>40132</v>
      </c>
      <c r="N11831" t="s">
        <v>41249</v>
      </c>
      <c r="O11831" t="s">
        <v>41250</v>
      </c>
      <c r="P11831">
        <v>0</v>
      </c>
      <c r="Q11831">
        <v>0</v>
      </c>
      <c r="R11831" t="s">
        <v>41266</v>
      </c>
      <c r="S11831" t="s">
        <v>41978</v>
      </c>
      <c r="T11831" t="s">
        <v>42682</v>
      </c>
      <c r="U11831" t="s">
        <v>52683</v>
      </c>
      <c r="W11831" t="s">
        <v>40132</v>
      </c>
      <c r="X11831" t="s">
        <v>41267</v>
      </c>
    </row>
    <row r="11832" spans="1:24">
      <c r="A11832">
        <f>HYPERLINK("https://www.philgeps.gov.ph/GEPSNONPILOT/Tender/SplashBidNoticeAbstractUI.aspx?menuIndex=3&amp;refID=7047229&amp;Result=3","7047229")</f>
        <v>0</v>
      </c>
      <c r="B11832" t="s">
        <v>3069</v>
      </c>
      <c r="C11832" t="s">
        <v>14709</v>
      </c>
      <c r="D11832" t="s">
        <v>16622</v>
      </c>
      <c r="E11832" t="s">
        <v>26927</v>
      </c>
      <c r="F11832" t="s">
        <v>28669</v>
      </c>
      <c r="G11832" t="s">
        <v>28675</v>
      </c>
      <c r="H11832" t="s">
        <v>28686</v>
      </c>
      <c r="I11832" t="s">
        <v>28689</v>
      </c>
      <c r="J11832" t="s">
        <v>28914</v>
      </c>
      <c r="K11832" t="s">
        <v>37221</v>
      </c>
      <c r="M11832" t="s">
        <v>40965</v>
      </c>
      <c r="N11832" t="s">
        <v>41249</v>
      </c>
      <c r="O11832" t="s">
        <v>41250</v>
      </c>
      <c r="P11832">
        <v>0</v>
      </c>
      <c r="Q11832">
        <v>0</v>
      </c>
      <c r="R11832" t="s">
        <v>41266</v>
      </c>
      <c r="S11832" t="s">
        <v>41978</v>
      </c>
      <c r="T11832" t="s">
        <v>42673</v>
      </c>
      <c r="U11832" t="s">
        <v>52684</v>
      </c>
      <c r="W11832" t="s">
        <v>40965</v>
      </c>
      <c r="X11832" t="s">
        <v>41267</v>
      </c>
    </row>
    <row r="11833" spans="1:24">
      <c r="A11833">
        <f>HYPERLINK("https://www.philgeps.gov.ph/GEPSNONPILOT/Tender/SplashBidNoticeAbstractUI.aspx?menuIndex=3&amp;refID=7047244&amp;Result=3","7047244")</f>
        <v>0</v>
      </c>
      <c r="B11833" t="s">
        <v>2509</v>
      </c>
      <c r="C11833" t="s">
        <v>4845</v>
      </c>
      <c r="D11833" t="s">
        <v>16668</v>
      </c>
      <c r="E11833" t="s">
        <v>26928</v>
      </c>
      <c r="F11833" t="s">
        <v>28669</v>
      </c>
      <c r="G11833" t="s">
        <v>28675</v>
      </c>
      <c r="H11833" t="s">
        <v>9998</v>
      </c>
      <c r="I11833" t="s">
        <v>28697</v>
      </c>
      <c r="J11833" t="s">
        <v>36069</v>
      </c>
      <c r="K11833" t="s">
        <v>37227</v>
      </c>
      <c r="M11833" t="s">
        <v>40196</v>
      </c>
      <c r="N11833" t="s">
        <v>41249</v>
      </c>
      <c r="O11833" t="s">
        <v>41250</v>
      </c>
      <c r="P11833">
        <v>0</v>
      </c>
      <c r="Q11833">
        <v>0</v>
      </c>
      <c r="R11833" t="s">
        <v>41266</v>
      </c>
      <c r="S11833" t="s">
        <v>41978</v>
      </c>
      <c r="T11833" t="s">
        <v>42743</v>
      </c>
      <c r="U11833" t="s">
        <v>52685</v>
      </c>
      <c r="W11833" t="s">
        <v>40196</v>
      </c>
      <c r="X11833" t="s">
        <v>41267</v>
      </c>
    </row>
    <row r="11834" spans="1:24">
      <c r="A11834">
        <f>HYPERLINK("https://www.philgeps.gov.ph/GEPSNONPILOT/Tender/SplashBidNoticeAbstractUI.aspx?menuIndex=3&amp;refID=7047221&amp;Result=3","7047221")</f>
        <v>0</v>
      </c>
      <c r="B11834" t="s">
        <v>3069</v>
      </c>
      <c r="C11834" t="s">
        <v>14710</v>
      </c>
      <c r="D11834" t="s">
        <v>16622</v>
      </c>
      <c r="E11834" t="s">
        <v>26929</v>
      </c>
      <c r="F11834" t="s">
        <v>28669</v>
      </c>
      <c r="G11834" t="s">
        <v>28675</v>
      </c>
      <c r="H11834" t="s">
        <v>28686</v>
      </c>
      <c r="I11834" t="s">
        <v>28689</v>
      </c>
      <c r="J11834" t="s">
        <v>28985</v>
      </c>
      <c r="K11834" t="s">
        <v>37269</v>
      </c>
      <c r="M11834" t="s">
        <v>40965</v>
      </c>
      <c r="N11834" t="s">
        <v>41249</v>
      </c>
      <c r="O11834" t="s">
        <v>41250</v>
      </c>
      <c r="P11834">
        <v>0</v>
      </c>
      <c r="Q11834">
        <v>1</v>
      </c>
      <c r="R11834" t="s">
        <v>41266</v>
      </c>
      <c r="S11834" t="s">
        <v>41978</v>
      </c>
      <c r="T11834" t="s">
        <v>42673</v>
      </c>
      <c r="U11834" t="s">
        <v>52684</v>
      </c>
      <c r="W11834" t="s">
        <v>40965</v>
      </c>
      <c r="X11834" t="s">
        <v>41267</v>
      </c>
    </row>
    <row r="11835" spans="1:24">
      <c r="A11835">
        <f>HYPERLINK("https://www.philgeps.gov.ph/GEPSNONPILOT/Tender/SplashBidNoticeAbstractUI.aspx?menuIndex=3&amp;refID=7047201&amp;Result=3","7047201")</f>
        <v>0</v>
      </c>
      <c r="B11835" t="s">
        <v>2393</v>
      </c>
      <c r="C11835" t="s">
        <v>14711</v>
      </c>
      <c r="D11835" t="s">
        <v>16643</v>
      </c>
      <c r="E11835" t="s">
        <v>26930</v>
      </c>
      <c r="F11835" t="s">
        <v>28669</v>
      </c>
      <c r="G11835" t="s">
        <v>28675</v>
      </c>
      <c r="H11835" t="s">
        <v>28686</v>
      </c>
      <c r="I11835" t="s">
        <v>28689</v>
      </c>
      <c r="J11835" t="s">
        <v>34081</v>
      </c>
      <c r="K11835" t="s">
        <v>37376</v>
      </c>
      <c r="M11835" t="s">
        <v>40068</v>
      </c>
      <c r="N11835" t="s">
        <v>41249</v>
      </c>
      <c r="O11835" t="s">
        <v>41250</v>
      </c>
      <c r="P11835">
        <v>0</v>
      </c>
      <c r="Q11835">
        <v>4</v>
      </c>
      <c r="R11835" t="s">
        <v>41266</v>
      </c>
      <c r="S11835" t="s">
        <v>41978</v>
      </c>
      <c r="T11835" t="s">
        <v>42734</v>
      </c>
      <c r="U11835" t="s">
        <v>52686</v>
      </c>
      <c r="V11835" t="s">
        <v>55128</v>
      </c>
      <c r="W11835" t="s">
        <v>55992</v>
      </c>
      <c r="X11835" t="s">
        <v>41267</v>
      </c>
    </row>
    <row r="11836" spans="1:24">
      <c r="A11836">
        <f>HYPERLINK("https://www.philgeps.gov.ph/GEPSNONPILOT/Tender/SplashBidNoticeAbstractUI.aspx?menuIndex=3&amp;refID=7047189&amp;Result=3","7047189")</f>
        <v>0</v>
      </c>
      <c r="B11836" t="s">
        <v>2393</v>
      </c>
      <c r="C11836" t="s">
        <v>14712</v>
      </c>
      <c r="D11836" t="s">
        <v>16643</v>
      </c>
      <c r="E11836" t="s">
        <v>26931</v>
      </c>
      <c r="F11836" t="s">
        <v>28669</v>
      </c>
      <c r="G11836" t="s">
        <v>28675</v>
      </c>
      <c r="H11836" t="s">
        <v>28686</v>
      </c>
      <c r="I11836" t="s">
        <v>28689</v>
      </c>
      <c r="J11836" t="s">
        <v>36070</v>
      </c>
      <c r="K11836" t="s">
        <v>37313</v>
      </c>
      <c r="M11836" t="s">
        <v>40068</v>
      </c>
      <c r="N11836" t="s">
        <v>41249</v>
      </c>
      <c r="O11836" t="s">
        <v>41250</v>
      </c>
      <c r="P11836">
        <v>0</v>
      </c>
      <c r="Q11836">
        <v>3</v>
      </c>
      <c r="R11836" t="s">
        <v>41266</v>
      </c>
      <c r="S11836" t="s">
        <v>41978</v>
      </c>
      <c r="T11836" t="s">
        <v>42734</v>
      </c>
      <c r="U11836" t="s">
        <v>52687</v>
      </c>
      <c r="V11836" t="s">
        <v>55128</v>
      </c>
      <c r="W11836" t="s">
        <v>55992</v>
      </c>
      <c r="X11836" t="s">
        <v>41267</v>
      </c>
    </row>
    <row r="11837" spans="1:24">
      <c r="A11837">
        <f>HYPERLINK("https://www.philgeps.gov.ph/GEPSNONPILOT/Tender/SplashBidNoticeAbstractUI.aspx?menuIndex=3&amp;refID=7046252&amp;Result=3","7046252")</f>
        <v>0</v>
      </c>
      <c r="B11837" t="s">
        <v>483</v>
      </c>
      <c r="C11837" t="s">
        <v>14713</v>
      </c>
      <c r="D11837" t="s">
        <v>16676</v>
      </c>
      <c r="E11837" t="s">
        <v>26932</v>
      </c>
      <c r="F11837" t="s">
        <v>28669</v>
      </c>
      <c r="G11837" t="s">
        <v>28675</v>
      </c>
      <c r="H11837" t="s">
        <v>28686</v>
      </c>
      <c r="I11837" t="s">
        <v>28689</v>
      </c>
      <c r="J11837" t="s">
        <v>36071</v>
      </c>
      <c r="K11837" t="s">
        <v>37215</v>
      </c>
      <c r="M11837" t="s">
        <v>40963</v>
      </c>
      <c r="N11837" t="s">
        <v>41249</v>
      </c>
      <c r="O11837" t="s">
        <v>41250</v>
      </c>
      <c r="P11837">
        <v>0</v>
      </c>
      <c r="Q11837">
        <v>2</v>
      </c>
      <c r="R11837" t="s">
        <v>41266</v>
      </c>
      <c r="S11837" t="s">
        <v>41978</v>
      </c>
      <c r="T11837" t="s">
        <v>42759</v>
      </c>
      <c r="U11837" t="s">
        <v>52678</v>
      </c>
      <c r="W11837" t="s">
        <v>40964</v>
      </c>
      <c r="X11837" t="s">
        <v>41268</v>
      </c>
    </row>
    <row r="11838" spans="1:24">
      <c r="A11838">
        <f>HYPERLINK("https://www.philgeps.gov.ph/GEPSNONPILOT/Tender/SplashBidNoticeAbstractUI.aspx?menuIndex=3&amp;refID=7047078&amp;Result=3","7047078")</f>
        <v>0</v>
      </c>
      <c r="B11838" t="s">
        <v>1689</v>
      </c>
      <c r="C11838" t="s">
        <v>14714</v>
      </c>
      <c r="D11838" t="s">
        <v>16641</v>
      </c>
      <c r="E11838" t="s">
        <v>26933</v>
      </c>
      <c r="F11838" t="s">
        <v>28669</v>
      </c>
      <c r="G11838" t="s">
        <v>28675</v>
      </c>
      <c r="H11838" t="s">
        <v>28686</v>
      </c>
      <c r="I11838" t="s">
        <v>28689</v>
      </c>
      <c r="J11838" t="s">
        <v>36072</v>
      </c>
      <c r="K11838" t="s">
        <v>37221</v>
      </c>
      <c r="M11838" t="s">
        <v>40966</v>
      </c>
      <c r="N11838" t="s">
        <v>41249</v>
      </c>
      <c r="O11838" t="s">
        <v>41250</v>
      </c>
      <c r="P11838">
        <v>0</v>
      </c>
      <c r="Q11838">
        <v>1</v>
      </c>
      <c r="R11838" t="s">
        <v>41266</v>
      </c>
      <c r="S11838" t="s">
        <v>41978</v>
      </c>
      <c r="T11838" t="s">
        <v>42764</v>
      </c>
      <c r="U11838" t="s">
        <v>52688</v>
      </c>
      <c r="W11838" t="s">
        <v>40966</v>
      </c>
      <c r="X11838" t="s">
        <v>41268</v>
      </c>
    </row>
    <row r="11839" spans="1:24">
      <c r="A11839">
        <f>HYPERLINK("https://www.philgeps.gov.ph/GEPSNONPILOT/Tender/SplashBidNoticeAbstractUI.aspx?menuIndex=3&amp;refID=7046952&amp;Result=3","7046952")</f>
        <v>0</v>
      </c>
      <c r="B11839" t="s">
        <v>1689</v>
      </c>
      <c r="C11839" t="s">
        <v>14715</v>
      </c>
      <c r="D11839" t="s">
        <v>16641</v>
      </c>
      <c r="E11839" t="s">
        <v>26934</v>
      </c>
      <c r="F11839" t="s">
        <v>28669</v>
      </c>
      <c r="G11839" t="s">
        <v>28675</v>
      </c>
      <c r="H11839" t="s">
        <v>28686</v>
      </c>
      <c r="I11839" t="s">
        <v>28689</v>
      </c>
      <c r="J11839" t="s">
        <v>36073</v>
      </c>
      <c r="K11839" t="s">
        <v>37221</v>
      </c>
      <c r="M11839" t="s">
        <v>40966</v>
      </c>
      <c r="N11839" t="s">
        <v>41249</v>
      </c>
      <c r="O11839" t="s">
        <v>41250</v>
      </c>
      <c r="P11839">
        <v>0</v>
      </c>
      <c r="Q11839">
        <v>1</v>
      </c>
      <c r="R11839" t="s">
        <v>41266</v>
      </c>
      <c r="S11839" t="s">
        <v>41978</v>
      </c>
      <c r="T11839" t="s">
        <v>42764</v>
      </c>
      <c r="U11839" t="s">
        <v>52689</v>
      </c>
      <c r="W11839" t="s">
        <v>40966</v>
      </c>
      <c r="X11839" t="s">
        <v>41268</v>
      </c>
    </row>
    <row r="11840" spans="1:24">
      <c r="A11840">
        <f>HYPERLINK("https://www.philgeps.gov.ph/GEPSNONPILOT/Tender/SplashBidNoticeAbstractUI.aspx?menuIndex=3&amp;refID=7046810&amp;Result=3","7046810")</f>
        <v>0</v>
      </c>
      <c r="B11840" t="s">
        <v>3168</v>
      </c>
      <c r="C11840" t="s">
        <v>14716</v>
      </c>
      <c r="D11840" t="s">
        <v>16635</v>
      </c>
      <c r="E11840" t="s">
        <v>26935</v>
      </c>
      <c r="F11840" t="s">
        <v>28669</v>
      </c>
      <c r="G11840" t="s">
        <v>28675</v>
      </c>
      <c r="H11840" t="s">
        <v>28686</v>
      </c>
      <c r="I11840" t="s">
        <v>28689</v>
      </c>
      <c r="J11840" t="s">
        <v>36074</v>
      </c>
      <c r="K11840" t="s">
        <v>37215</v>
      </c>
      <c r="M11840" t="s">
        <v>40967</v>
      </c>
      <c r="N11840" t="s">
        <v>41249</v>
      </c>
      <c r="O11840" t="s">
        <v>41250</v>
      </c>
      <c r="P11840">
        <v>0</v>
      </c>
      <c r="Q11840">
        <v>1</v>
      </c>
      <c r="R11840" t="s">
        <v>41266</v>
      </c>
      <c r="S11840" t="s">
        <v>41978</v>
      </c>
      <c r="T11840" t="s">
        <v>42742</v>
      </c>
      <c r="U11840" t="s">
        <v>52690</v>
      </c>
      <c r="W11840" t="s">
        <v>40967</v>
      </c>
      <c r="X11840" t="s">
        <v>41268</v>
      </c>
    </row>
    <row r="11841" spans="1:24">
      <c r="A11841">
        <f>HYPERLINK("https://www.philgeps.gov.ph/GEPSNONPILOT/Tender/SplashBidNoticeAbstractUI.aspx?menuIndex=3&amp;refID=7047308&amp;Result=3","7047308")</f>
        <v>0</v>
      </c>
      <c r="B11841" t="s">
        <v>3157</v>
      </c>
      <c r="C11841" t="s">
        <v>14717</v>
      </c>
      <c r="D11841" t="s">
        <v>16666</v>
      </c>
      <c r="E11841" t="s">
        <v>26936</v>
      </c>
      <c r="F11841" t="s">
        <v>28669</v>
      </c>
      <c r="G11841" t="s">
        <v>28675</v>
      </c>
      <c r="H11841" t="s">
        <v>9998</v>
      </c>
      <c r="I11841" t="s">
        <v>8667</v>
      </c>
      <c r="J11841" t="s">
        <v>36075</v>
      </c>
      <c r="K11841" t="s">
        <v>37229</v>
      </c>
      <c r="M11841" t="s">
        <v>40968</v>
      </c>
      <c r="N11841" t="s">
        <v>41249</v>
      </c>
      <c r="O11841" t="s">
        <v>41250</v>
      </c>
      <c r="P11841">
        <v>0</v>
      </c>
      <c r="Q11841">
        <v>1</v>
      </c>
      <c r="R11841" t="s">
        <v>41266</v>
      </c>
      <c r="S11841" t="s">
        <v>41978</v>
      </c>
      <c r="T11841" t="s">
        <v>42742</v>
      </c>
      <c r="U11841" t="s">
        <v>52691</v>
      </c>
      <c r="W11841" t="s">
        <v>56027</v>
      </c>
      <c r="X11841" t="s">
        <v>41267</v>
      </c>
    </row>
    <row r="11842" spans="1:24">
      <c r="A11842">
        <f>HYPERLINK("https://www.philgeps.gov.ph/GEPSNONPILOT/Tender/SplashBidNoticeAbstractUI.aspx?menuIndex=3&amp;refID=7046001&amp;Result=3","7046001")</f>
        <v>0</v>
      </c>
      <c r="B11842" t="s">
        <v>483</v>
      </c>
      <c r="C11842" t="s">
        <v>14718</v>
      </c>
      <c r="D11842" t="s">
        <v>16676</v>
      </c>
      <c r="E11842" t="s">
        <v>26937</v>
      </c>
      <c r="F11842" t="s">
        <v>28669</v>
      </c>
      <c r="G11842" t="s">
        <v>28675</v>
      </c>
      <c r="H11842" t="s">
        <v>28686</v>
      </c>
      <c r="I11842" t="s">
        <v>28689</v>
      </c>
      <c r="J11842" t="s">
        <v>36076</v>
      </c>
      <c r="K11842" t="s">
        <v>37212</v>
      </c>
      <c r="M11842" t="s">
        <v>40963</v>
      </c>
      <c r="N11842" t="s">
        <v>41249</v>
      </c>
      <c r="O11842" t="s">
        <v>41250</v>
      </c>
      <c r="P11842">
        <v>0</v>
      </c>
      <c r="Q11842">
        <v>1</v>
      </c>
      <c r="R11842" t="s">
        <v>41266</v>
      </c>
      <c r="S11842" t="s">
        <v>41978</v>
      </c>
      <c r="T11842" t="s">
        <v>42759</v>
      </c>
      <c r="U11842" t="s">
        <v>52673</v>
      </c>
      <c r="W11842" t="s">
        <v>40964</v>
      </c>
      <c r="X11842" t="s">
        <v>41268</v>
      </c>
    </row>
    <row r="11843" spans="1:24">
      <c r="A11843">
        <f>HYPERLINK("https://www.philgeps.gov.ph/GEPSNONPILOT/Tender/SplashBidNoticeAbstractUI.aspx?menuIndex=3&amp;refID=7047382&amp;Result=3","7047382")</f>
        <v>0</v>
      </c>
      <c r="B11843" t="s">
        <v>3157</v>
      </c>
      <c r="C11843" t="s">
        <v>14719</v>
      </c>
      <c r="D11843" t="s">
        <v>16666</v>
      </c>
      <c r="E11843" t="s">
        <v>26938</v>
      </c>
      <c r="F11843" t="s">
        <v>28669</v>
      </c>
      <c r="G11843" t="s">
        <v>28675</v>
      </c>
      <c r="H11843" t="s">
        <v>9998</v>
      </c>
      <c r="I11843" t="s">
        <v>28690</v>
      </c>
      <c r="J11843" t="s">
        <v>36077</v>
      </c>
      <c r="K11843" t="s">
        <v>37229</v>
      </c>
      <c r="M11843" t="s">
        <v>40968</v>
      </c>
      <c r="N11843" t="s">
        <v>41249</v>
      </c>
      <c r="O11843" t="s">
        <v>41250</v>
      </c>
      <c r="P11843">
        <v>0</v>
      </c>
      <c r="Q11843">
        <v>8</v>
      </c>
      <c r="R11843" t="s">
        <v>41266</v>
      </c>
      <c r="S11843" t="s">
        <v>41978</v>
      </c>
      <c r="T11843" t="s">
        <v>42742</v>
      </c>
      <c r="U11843" t="s">
        <v>52692</v>
      </c>
      <c r="W11843" t="s">
        <v>56027</v>
      </c>
      <c r="X11843" t="s">
        <v>41267</v>
      </c>
    </row>
    <row r="11844" spans="1:24">
      <c r="A11844">
        <f>HYPERLINK("https://www.philgeps.gov.ph/GEPSNONPILOT/Tender/SplashBidNoticeAbstractUI.aspx?menuIndex=3&amp;refID=7046302&amp;Result=3","7046302")</f>
        <v>0</v>
      </c>
      <c r="B11844" t="s">
        <v>483</v>
      </c>
      <c r="C11844" t="s">
        <v>14720</v>
      </c>
      <c r="D11844" t="s">
        <v>16676</v>
      </c>
      <c r="E11844" t="s">
        <v>26939</v>
      </c>
      <c r="F11844" t="s">
        <v>28669</v>
      </c>
      <c r="G11844" t="s">
        <v>28675</v>
      </c>
      <c r="H11844" t="s">
        <v>28686</v>
      </c>
      <c r="I11844" t="s">
        <v>28689</v>
      </c>
      <c r="J11844" t="s">
        <v>28924</v>
      </c>
      <c r="K11844" t="s">
        <v>37215</v>
      </c>
      <c r="M11844" t="s">
        <v>40963</v>
      </c>
      <c r="N11844" t="s">
        <v>41249</v>
      </c>
      <c r="O11844" t="s">
        <v>41250</v>
      </c>
      <c r="P11844">
        <v>0</v>
      </c>
      <c r="Q11844">
        <v>1</v>
      </c>
      <c r="R11844" t="s">
        <v>41266</v>
      </c>
      <c r="S11844" t="s">
        <v>41978</v>
      </c>
      <c r="T11844" t="s">
        <v>42759</v>
      </c>
      <c r="U11844" t="s">
        <v>52675</v>
      </c>
      <c r="W11844" t="s">
        <v>40964</v>
      </c>
      <c r="X11844" t="s">
        <v>41268</v>
      </c>
    </row>
    <row r="11845" spans="1:24">
      <c r="A11845">
        <f>HYPERLINK("https://www.philgeps.gov.ph/GEPSNONPILOT/Tender/SplashBidNoticeAbstractUI.aspx?menuIndex=3&amp;refID=7047353&amp;Result=3","7047353")</f>
        <v>0</v>
      </c>
      <c r="B11845" t="s">
        <v>2606</v>
      </c>
      <c r="C11845" t="s">
        <v>14721</v>
      </c>
      <c r="D11845" t="s">
        <v>16647</v>
      </c>
      <c r="E11845" t="s">
        <v>26940</v>
      </c>
      <c r="F11845" t="s">
        <v>28670</v>
      </c>
      <c r="G11845" t="s">
        <v>28675</v>
      </c>
      <c r="H11845" t="s">
        <v>9998</v>
      </c>
      <c r="I11845" t="s">
        <v>28697</v>
      </c>
      <c r="J11845" t="s">
        <v>28845</v>
      </c>
      <c r="K11845" t="s">
        <v>37205</v>
      </c>
      <c r="M11845" t="s">
        <v>40302</v>
      </c>
      <c r="N11845" t="s">
        <v>41249</v>
      </c>
      <c r="O11845" t="s">
        <v>41250</v>
      </c>
      <c r="P11845">
        <v>0</v>
      </c>
      <c r="Q11845">
        <v>2</v>
      </c>
      <c r="R11845" t="s">
        <v>41266</v>
      </c>
      <c r="S11845" t="s">
        <v>41978</v>
      </c>
      <c r="T11845" t="s">
        <v>42682</v>
      </c>
      <c r="U11845" t="s">
        <v>52693</v>
      </c>
      <c r="W11845" t="s">
        <v>40302</v>
      </c>
      <c r="X11845" t="s">
        <v>41267</v>
      </c>
    </row>
    <row r="11846" spans="1:24">
      <c r="A11846">
        <f>HYPERLINK("https://www.philgeps.gov.ph/GEPSNONPILOT/Tender/SplashBidNoticeAbstractUI.aspx?menuIndex=3&amp;refID=7047350&amp;Result=3","7047350")</f>
        <v>0</v>
      </c>
      <c r="B11846" t="s">
        <v>3169</v>
      </c>
      <c r="C11846" t="s">
        <v>14722</v>
      </c>
      <c r="D11846" t="s">
        <v>16664</v>
      </c>
      <c r="E11846" t="s">
        <v>18858</v>
      </c>
      <c r="F11846" t="s">
        <v>28669</v>
      </c>
      <c r="G11846" t="s">
        <v>28675</v>
      </c>
      <c r="H11846" t="s">
        <v>28686</v>
      </c>
      <c r="I11846" t="s">
        <v>28689</v>
      </c>
      <c r="J11846" t="s">
        <v>28881</v>
      </c>
      <c r="K11846" t="s">
        <v>37294</v>
      </c>
      <c r="M11846" t="s">
        <v>40969</v>
      </c>
      <c r="N11846" t="s">
        <v>41249</v>
      </c>
      <c r="O11846" t="s">
        <v>41250</v>
      </c>
      <c r="P11846">
        <v>0</v>
      </c>
      <c r="Q11846">
        <v>0</v>
      </c>
      <c r="R11846" t="s">
        <v>41266</v>
      </c>
      <c r="S11846" t="s">
        <v>41978</v>
      </c>
      <c r="T11846" t="s">
        <v>42714</v>
      </c>
      <c r="U11846" t="s">
        <v>52694</v>
      </c>
      <c r="W11846" t="s">
        <v>40969</v>
      </c>
      <c r="X11846" t="s">
        <v>41267</v>
      </c>
    </row>
    <row r="11847" spans="1:24">
      <c r="A11847">
        <f>HYPERLINK("https://www.philgeps.gov.ph/GEPSNONPILOT/Tender/SplashBidNoticeAbstractUI.aspx?menuIndex=3&amp;refID=7046891&amp;Result=3","7046891")</f>
        <v>0</v>
      </c>
      <c r="B11847" t="s">
        <v>914</v>
      </c>
      <c r="C11847" t="s">
        <v>14723</v>
      </c>
      <c r="D11847" t="s">
        <v>16608</v>
      </c>
      <c r="E11847" t="s">
        <v>26941</v>
      </c>
      <c r="F11847" t="s">
        <v>28671</v>
      </c>
      <c r="G11847" t="s">
        <v>28675</v>
      </c>
      <c r="H11847" t="s">
        <v>9998</v>
      </c>
      <c r="I11847" t="s">
        <v>28709</v>
      </c>
      <c r="J11847" t="s">
        <v>31881</v>
      </c>
      <c r="K11847" t="s">
        <v>37301</v>
      </c>
      <c r="M11847" t="s">
        <v>38436</v>
      </c>
      <c r="N11847" t="s">
        <v>41249</v>
      </c>
      <c r="O11847" t="s">
        <v>41250</v>
      </c>
      <c r="P11847">
        <v>0</v>
      </c>
      <c r="Q11847">
        <v>1</v>
      </c>
      <c r="R11847" t="s">
        <v>41266</v>
      </c>
      <c r="S11847" t="s">
        <v>41978</v>
      </c>
      <c r="T11847" t="s">
        <v>43008</v>
      </c>
      <c r="U11847" t="s">
        <v>52695</v>
      </c>
      <c r="W11847" t="s">
        <v>38436</v>
      </c>
      <c r="X11847" t="s">
        <v>41268</v>
      </c>
    </row>
    <row r="11848" spans="1:24">
      <c r="A11848">
        <f>HYPERLINK("https://www.philgeps.gov.ph/GEPSNONPILOT/Tender/SplashBidNoticeAbstractUI.aspx?menuIndex=3&amp;refID=7046667&amp;Result=3","7046667")</f>
        <v>0</v>
      </c>
      <c r="B11848" t="s">
        <v>3170</v>
      </c>
      <c r="C11848" t="s">
        <v>14724</v>
      </c>
      <c r="E11848" t="s">
        <v>26942</v>
      </c>
      <c r="F11848" t="s">
        <v>28669</v>
      </c>
      <c r="G11848" t="s">
        <v>28675</v>
      </c>
      <c r="H11848" t="s">
        <v>9998</v>
      </c>
      <c r="I11848" t="s">
        <v>28743</v>
      </c>
      <c r="J11848" t="s">
        <v>29112</v>
      </c>
      <c r="K11848" t="s">
        <v>37205</v>
      </c>
      <c r="M11848" t="s">
        <v>40970</v>
      </c>
      <c r="N11848" t="s">
        <v>41249</v>
      </c>
      <c r="O11848" t="s">
        <v>41250</v>
      </c>
      <c r="P11848">
        <v>0</v>
      </c>
      <c r="Q11848">
        <v>1</v>
      </c>
      <c r="R11848" t="s">
        <v>41266</v>
      </c>
      <c r="S11848" t="s">
        <v>41978</v>
      </c>
      <c r="T11848" t="s">
        <v>42679</v>
      </c>
      <c r="U11848" t="s">
        <v>52696</v>
      </c>
      <c r="W11848" t="s">
        <v>40970</v>
      </c>
      <c r="X11848" t="s">
        <v>41268</v>
      </c>
    </row>
    <row r="11849" spans="1:24">
      <c r="A11849">
        <f>HYPERLINK("https://www.philgeps.gov.ph/GEPSNONPILOT/Tender/SplashBidNoticeAbstractUI.aspx?menuIndex=3&amp;refID=7046271&amp;Result=3","7046271")</f>
        <v>0</v>
      </c>
      <c r="B11849" t="s">
        <v>3164</v>
      </c>
      <c r="C11849" t="s">
        <v>14725</v>
      </c>
      <c r="D11849" t="s">
        <v>16619</v>
      </c>
      <c r="E11849" t="s">
        <v>26943</v>
      </c>
      <c r="F11849" t="s">
        <v>28669</v>
      </c>
      <c r="G11849" t="s">
        <v>28675</v>
      </c>
      <c r="H11849" t="s">
        <v>28686</v>
      </c>
      <c r="I11849" t="s">
        <v>28689</v>
      </c>
      <c r="J11849" t="s">
        <v>36053</v>
      </c>
      <c r="K11849" t="s">
        <v>37213</v>
      </c>
      <c r="M11849" t="s">
        <v>40959</v>
      </c>
      <c r="N11849" t="s">
        <v>41249</v>
      </c>
      <c r="O11849" t="s">
        <v>41250</v>
      </c>
      <c r="Q11849">
        <v>0</v>
      </c>
      <c r="R11849" t="s">
        <v>41266</v>
      </c>
      <c r="S11849" t="s">
        <v>41990</v>
      </c>
      <c r="T11849" t="s">
        <v>42690</v>
      </c>
      <c r="U11849" t="s">
        <v>52697</v>
      </c>
      <c r="V11849" t="s">
        <v>55665</v>
      </c>
      <c r="W11849" t="s">
        <v>40959</v>
      </c>
      <c r="X11849" t="s">
        <v>41268</v>
      </c>
    </row>
    <row r="11850" spans="1:24">
      <c r="A11850">
        <f>HYPERLINK("https://www.philgeps.gov.ph/GEPSNONPILOT/Tender/SplashBidNoticeAbstractUI.aspx?menuIndex=3&amp;refID=7047325&amp;Result=3","7047325")</f>
        <v>0</v>
      </c>
      <c r="B11850" t="s">
        <v>2449</v>
      </c>
      <c r="C11850" t="s">
        <v>14726</v>
      </c>
      <c r="D11850" t="s">
        <v>16645</v>
      </c>
      <c r="E11850" t="s">
        <v>26944</v>
      </c>
      <c r="F11850" t="s">
        <v>28669</v>
      </c>
      <c r="G11850" t="s">
        <v>28675</v>
      </c>
      <c r="H11850" t="s">
        <v>9998</v>
      </c>
      <c r="I11850" t="s">
        <v>3718</v>
      </c>
      <c r="J11850" t="s">
        <v>28912</v>
      </c>
      <c r="K11850" t="s">
        <v>37209</v>
      </c>
      <c r="M11850" t="s">
        <v>40132</v>
      </c>
      <c r="N11850" t="s">
        <v>41249</v>
      </c>
      <c r="O11850" t="s">
        <v>41250</v>
      </c>
      <c r="P11850">
        <v>0</v>
      </c>
      <c r="Q11850">
        <v>0</v>
      </c>
      <c r="R11850" t="s">
        <v>41266</v>
      </c>
      <c r="S11850" t="s">
        <v>41978</v>
      </c>
      <c r="T11850" t="s">
        <v>42682</v>
      </c>
      <c r="U11850" t="s">
        <v>52698</v>
      </c>
      <c r="W11850" t="s">
        <v>40132</v>
      </c>
      <c r="X11850" t="s">
        <v>41267</v>
      </c>
    </row>
    <row r="11851" spans="1:24">
      <c r="A11851">
        <f>HYPERLINK("https://www.philgeps.gov.ph/GEPSNONPILOT/Tender/SplashBidNoticeAbstractUI.aspx?menuIndex=3&amp;refID=7047321&amp;Result=3","7047321")</f>
        <v>0</v>
      </c>
      <c r="B11851" t="s">
        <v>1062</v>
      </c>
      <c r="C11851" t="s">
        <v>14727</v>
      </c>
      <c r="D11851" t="s">
        <v>16641</v>
      </c>
      <c r="E11851" t="s">
        <v>26945</v>
      </c>
      <c r="F11851" t="s">
        <v>28669</v>
      </c>
      <c r="G11851" t="s">
        <v>28675</v>
      </c>
      <c r="H11851" t="s">
        <v>28686</v>
      </c>
      <c r="I11851" t="s">
        <v>28689</v>
      </c>
      <c r="J11851" t="s">
        <v>36078</v>
      </c>
      <c r="K11851" t="s">
        <v>37213</v>
      </c>
      <c r="M11851" t="s">
        <v>38593</v>
      </c>
      <c r="N11851" t="s">
        <v>41249</v>
      </c>
      <c r="O11851" t="s">
        <v>41250</v>
      </c>
      <c r="P11851">
        <v>0</v>
      </c>
      <c r="Q11851">
        <v>0</v>
      </c>
      <c r="R11851" t="s">
        <v>41266</v>
      </c>
      <c r="S11851" t="s">
        <v>41978</v>
      </c>
      <c r="T11851" t="s">
        <v>42703</v>
      </c>
      <c r="U11851" t="s">
        <v>52699</v>
      </c>
      <c r="W11851" t="s">
        <v>38593</v>
      </c>
      <c r="X11851" t="s">
        <v>41267</v>
      </c>
    </row>
    <row r="11852" spans="1:24">
      <c r="A11852">
        <f>HYPERLINK("https://www.philgeps.gov.ph/GEPSNONPILOT/Tender/SplashBidNoticeAbstractUI.aspx?menuIndex=3&amp;refID=7047319&amp;Result=3","7047319")</f>
        <v>0</v>
      </c>
      <c r="B11852" t="s">
        <v>3171</v>
      </c>
      <c r="C11852" t="s">
        <v>14728</v>
      </c>
      <c r="D11852" t="s">
        <v>16636</v>
      </c>
      <c r="E11852" t="s">
        <v>26946</v>
      </c>
      <c r="F11852" t="s">
        <v>28669</v>
      </c>
      <c r="G11852" t="s">
        <v>28675</v>
      </c>
      <c r="H11852" t="s">
        <v>9998</v>
      </c>
      <c r="I11852" t="s">
        <v>7352</v>
      </c>
      <c r="J11852" t="s">
        <v>29394</v>
      </c>
      <c r="K11852" t="s">
        <v>37210</v>
      </c>
      <c r="M11852" t="s">
        <v>40971</v>
      </c>
      <c r="N11852" t="s">
        <v>41249</v>
      </c>
      <c r="O11852" t="s">
        <v>41250</v>
      </c>
      <c r="P11852">
        <v>0</v>
      </c>
      <c r="Q11852">
        <v>0</v>
      </c>
      <c r="R11852" t="s">
        <v>41266</v>
      </c>
      <c r="S11852" t="s">
        <v>41978</v>
      </c>
      <c r="T11852" t="s">
        <v>42927</v>
      </c>
      <c r="U11852" t="s">
        <v>52700</v>
      </c>
      <c r="V11852" t="s">
        <v>55668</v>
      </c>
      <c r="W11852" t="s">
        <v>40971</v>
      </c>
      <c r="X11852" t="s">
        <v>41267</v>
      </c>
    </row>
    <row r="11853" spans="1:24">
      <c r="A11853">
        <f>HYPERLINK("https://www.philgeps.gov.ph/GEPSNONPILOT/Tender/SplashBidNoticeAbstractUI.aspx?menuIndex=3&amp;refID=7047307&amp;Result=3","7047307")</f>
        <v>0</v>
      </c>
      <c r="B11853" t="s">
        <v>2449</v>
      </c>
      <c r="C11853" t="s">
        <v>14729</v>
      </c>
      <c r="D11853" t="s">
        <v>16645</v>
      </c>
      <c r="E11853" t="s">
        <v>26947</v>
      </c>
      <c r="F11853" t="s">
        <v>28669</v>
      </c>
      <c r="G11853" t="s">
        <v>28675</v>
      </c>
      <c r="H11853" t="s">
        <v>9998</v>
      </c>
      <c r="I11853" t="s">
        <v>6128</v>
      </c>
      <c r="J11853" t="s">
        <v>29787</v>
      </c>
      <c r="K11853" t="s">
        <v>37209</v>
      </c>
      <c r="M11853" t="s">
        <v>40132</v>
      </c>
      <c r="N11853" t="s">
        <v>41249</v>
      </c>
      <c r="O11853" t="s">
        <v>41250</v>
      </c>
      <c r="P11853">
        <v>0</v>
      </c>
      <c r="Q11853">
        <v>2</v>
      </c>
      <c r="R11853" t="s">
        <v>41266</v>
      </c>
      <c r="S11853" t="s">
        <v>41978</v>
      </c>
      <c r="T11853" t="s">
        <v>42682</v>
      </c>
      <c r="U11853" t="s">
        <v>52701</v>
      </c>
      <c r="W11853" t="s">
        <v>40132</v>
      </c>
      <c r="X11853" t="s">
        <v>41267</v>
      </c>
    </row>
    <row r="11854" spans="1:24">
      <c r="A11854">
        <f>HYPERLINK("https://www.philgeps.gov.ph/GEPSNONPILOT/Tender/SplashBidNoticeAbstractUI.aspx?menuIndex=3&amp;refID=7047301&amp;Result=3","7047301")</f>
        <v>0</v>
      </c>
      <c r="B11854" t="s">
        <v>1229</v>
      </c>
      <c r="C11854" t="s">
        <v>14730</v>
      </c>
      <c r="D11854" t="s">
        <v>16675</v>
      </c>
      <c r="E11854" t="s">
        <v>26948</v>
      </c>
      <c r="F11854" t="s">
        <v>28669</v>
      </c>
      <c r="G11854" t="s">
        <v>28675</v>
      </c>
      <c r="H11854" t="s">
        <v>28686</v>
      </c>
      <c r="I11854" t="s">
        <v>28689</v>
      </c>
      <c r="J11854" t="s">
        <v>36079</v>
      </c>
      <c r="K11854" t="s">
        <v>37336</v>
      </c>
      <c r="M11854" t="s">
        <v>38773</v>
      </c>
      <c r="N11854" t="s">
        <v>41249</v>
      </c>
      <c r="O11854" t="s">
        <v>41250</v>
      </c>
      <c r="P11854">
        <v>0</v>
      </c>
      <c r="Q11854">
        <v>2</v>
      </c>
      <c r="R11854" t="s">
        <v>41266</v>
      </c>
      <c r="S11854" t="s">
        <v>41978</v>
      </c>
      <c r="T11854" t="s">
        <v>42766</v>
      </c>
      <c r="U11854" t="s">
        <v>47977</v>
      </c>
      <c r="W11854" t="s">
        <v>38773</v>
      </c>
      <c r="X11854" t="s">
        <v>41267</v>
      </c>
    </row>
    <row r="11855" spans="1:24">
      <c r="A11855">
        <f>HYPERLINK("https://www.philgeps.gov.ph/GEPSNONPILOT/Tender/SplashBidNoticeAbstractUI.aspx?menuIndex=3&amp;refID=7047376&amp;Result=3","7047376")</f>
        <v>0</v>
      </c>
      <c r="B11855" t="s">
        <v>1741</v>
      </c>
      <c r="C11855" t="s">
        <v>14731</v>
      </c>
      <c r="D11855" t="s">
        <v>16626</v>
      </c>
      <c r="E11855" t="s">
        <v>26949</v>
      </c>
      <c r="F11855" t="s">
        <v>28669</v>
      </c>
      <c r="G11855" t="s">
        <v>28675</v>
      </c>
      <c r="H11855" t="s">
        <v>28686</v>
      </c>
      <c r="I11855" t="s">
        <v>28689</v>
      </c>
      <c r="J11855" t="s">
        <v>36080</v>
      </c>
      <c r="K11855" t="s">
        <v>37470</v>
      </c>
      <c r="M11855" t="s">
        <v>39342</v>
      </c>
      <c r="N11855" t="s">
        <v>41249</v>
      </c>
      <c r="O11855" t="s">
        <v>41250</v>
      </c>
      <c r="P11855">
        <v>0</v>
      </c>
      <c r="Q11855">
        <v>6</v>
      </c>
      <c r="R11855" t="s">
        <v>41266</v>
      </c>
      <c r="S11855" t="s">
        <v>41978</v>
      </c>
      <c r="T11855" t="s">
        <v>42679</v>
      </c>
      <c r="U11855" t="s">
        <v>52702</v>
      </c>
      <c r="W11855" t="s">
        <v>39342</v>
      </c>
      <c r="X11855" t="s">
        <v>41267</v>
      </c>
    </row>
    <row r="11856" spans="1:24">
      <c r="A11856">
        <f>HYPERLINK("https://www.philgeps.gov.ph/GEPSNONPILOT/Tender/SplashBidNoticeAbstractUI.aspx?menuIndex=3&amp;refID=7047296&amp;Result=3","7047296")</f>
        <v>0</v>
      </c>
      <c r="B11856" t="s">
        <v>3172</v>
      </c>
      <c r="C11856" t="s">
        <v>14732</v>
      </c>
      <c r="D11856" t="s">
        <v>16617</v>
      </c>
      <c r="E11856" t="s">
        <v>26950</v>
      </c>
      <c r="F11856" t="s">
        <v>28669</v>
      </c>
      <c r="G11856" t="s">
        <v>28675</v>
      </c>
      <c r="H11856" t="s">
        <v>28686</v>
      </c>
      <c r="I11856" t="s">
        <v>28689</v>
      </c>
      <c r="J11856" t="s">
        <v>36081</v>
      </c>
      <c r="K11856" t="s">
        <v>37206</v>
      </c>
      <c r="M11856" t="s">
        <v>40972</v>
      </c>
      <c r="N11856" t="s">
        <v>41249</v>
      </c>
      <c r="O11856" t="s">
        <v>41250</v>
      </c>
      <c r="P11856">
        <v>0</v>
      </c>
      <c r="Q11856">
        <v>2</v>
      </c>
      <c r="R11856" t="s">
        <v>41266</v>
      </c>
      <c r="S11856" t="s">
        <v>41978</v>
      </c>
      <c r="T11856" t="s">
        <v>42679</v>
      </c>
      <c r="U11856" t="s">
        <v>52703</v>
      </c>
      <c r="V11856" t="s">
        <v>55669</v>
      </c>
      <c r="W11856" t="s">
        <v>40972</v>
      </c>
      <c r="X11856" t="s">
        <v>41267</v>
      </c>
    </row>
    <row r="11857" spans="1:24">
      <c r="A11857">
        <f>HYPERLINK("https://www.philgeps.gov.ph/GEPSNONPILOT/Tender/SplashBidNoticeAbstractUI.aspx?menuIndex=3&amp;refID=7047398&amp;Result=3","7047398")</f>
        <v>0</v>
      </c>
      <c r="B11857" t="s">
        <v>2445</v>
      </c>
      <c r="C11857" t="s">
        <v>14733</v>
      </c>
      <c r="D11857" t="s">
        <v>16669</v>
      </c>
      <c r="E11857" t="s">
        <v>26951</v>
      </c>
      <c r="F11857" t="s">
        <v>28669</v>
      </c>
      <c r="G11857" t="s">
        <v>28675</v>
      </c>
      <c r="H11857" t="s">
        <v>28686</v>
      </c>
      <c r="I11857" t="s">
        <v>28689</v>
      </c>
      <c r="J11857" t="s">
        <v>36082</v>
      </c>
      <c r="K11857" t="s">
        <v>37325</v>
      </c>
      <c r="M11857" t="s">
        <v>40128</v>
      </c>
      <c r="N11857" t="s">
        <v>41249</v>
      </c>
      <c r="O11857" t="s">
        <v>41250</v>
      </c>
      <c r="P11857">
        <v>0</v>
      </c>
      <c r="Q11857">
        <v>1</v>
      </c>
      <c r="R11857" t="s">
        <v>41266</v>
      </c>
      <c r="S11857" t="s">
        <v>41978</v>
      </c>
      <c r="T11857" t="s">
        <v>42703</v>
      </c>
      <c r="U11857" t="s">
        <v>52704</v>
      </c>
      <c r="W11857" t="s">
        <v>40128</v>
      </c>
      <c r="X11857" t="s">
        <v>41267</v>
      </c>
    </row>
    <row r="11858" spans="1:24">
      <c r="A11858">
        <f>HYPERLINK("https://www.philgeps.gov.ph/GEPSNONPILOT/Tender/SplashBidNoticeAbstractUI.aspx?menuIndex=3&amp;refID=7047524&amp;Result=3","7047524")</f>
        <v>0</v>
      </c>
      <c r="B11858" t="s">
        <v>1197</v>
      </c>
      <c r="C11858" t="s">
        <v>14734</v>
      </c>
      <c r="D11858" t="s">
        <v>16624</v>
      </c>
      <c r="E11858" t="s">
        <v>17049</v>
      </c>
      <c r="F11858" t="s">
        <v>28669</v>
      </c>
      <c r="G11858" t="s">
        <v>28675</v>
      </c>
      <c r="H11858" t="s">
        <v>9998</v>
      </c>
      <c r="I11858" t="s">
        <v>28753</v>
      </c>
      <c r="J11858" t="s">
        <v>29203</v>
      </c>
      <c r="K11858" t="s">
        <v>37206</v>
      </c>
      <c r="M11858" t="s">
        <v>38737</v>
      </c>
      <c r="N11858" t="s">
        <v>41249</v>
      </c>
      <c r="O11858" t="s">
        <v>41250</v>
      </c>
      <c r="P11858">
        <v>0</v>
      </c>
      <c r="Q11858">
        <v>1</v>
      </c>
      <c r="R11858" t="s">
        <v>41266</v>
      </c>
      <c r="S11858" t="s">
        <v>41978</v>
      </c>
      <c r="T11858" t="s">
        <v>42703</v>
      </c>
      <c r="U11858" t="s">
        <v>52705</v>
      </c>
      <c r="V11858" t="s">
        <v>55670</v>
      </c>
      <c r="W11858" t="s">
        <v>38737</v>
      </c>
      <c r="X11858" t="s">
        <v>41267</v>
      </c>
    </row>
    <row r="11859" spans="1:24">
      <c r="A11859">
        <f>HYPERLINK("https://www.philgeps.gov.ph/GEPSNONPILOT/Tender/SplashBidNoticeAbstractUI.aspx?menuIndex=3&amp;refID=7047522&amp;Result=3","7047522")</f>
        <v>0</v>
      </c>
      <c r="B11859" t="s">
        <v>3173</v>
      </c>
      <c r="C11859" t="s">
        <v>14735</v>
      </c>
      <c r="D11859" t="s">
        <v>16640</v>
      </c>
      <c r="E11859" t="s">
        <v>17140</v>
      </c>
      <c r="F11859" t="s">
        <v>28669</v>
      </c>
      <c r="G11859" t="s">
        <v>28675</v>
      </c>
      <c r="H11859" t="s">
        <v>9998</v>
      </c>
      <c r="I11859" t="s">
        <v>28708</v>
      </c>
      <c r="J11859" t="s">
        <v>36083</v>
      </c>
      <c r="K11859" t="s">
        <v>37206</v>
      </c>
      <c r="M11859" t="s">
        <v>40973</v>
      </c>
      <c r="N11859" t="s">
        <v>41249</v>
      </c>
      <c r="O11859" t="s">
        <v>41250</v>
      </c>
      <c r="Q11859">
        <v>9</v>
      </c>
      <c r="R11859" t="s">
        <v>41266</v>
      </c>
      <c r="S11859" t="s">
        <v>41543</v>
      </c>
      <c r="T11859" t="s">
        <v>42711</v>
      </c>
      <c r="U11859" t="s">
        <v>52706</v>
      </c>
      <c r="W11859" t="s">
        <v>40973</v>
      </c>
      <c r="X11859" t="s">
        <v>41267</v>
      </c>
    </row>
    <row r="11860" spans="1:24">
      <c r="A11860">
        <f>HYPERLINK("https://www.philgeps.gov.ph/GEPSNONPILOT/Tender/SplashBidNoticeAbstractUI.aspx?menuIndex=3&amp;refID=7047511&amp;Result=3","7047511")</f>
        <v>0</v>
      </c>
      <c r="B11860" t="s">
        <v>3174</v>
      </c>
      <c r="C11860" t="s">
        <v>14736</v>
      </c>
      <c r="D11860" t="s">
        <v>16654</v>
      </c>
      <c r="E11860" t="s">
        <v>26952</v>
      </c>
      <c r="F11860" t="s">
        <v>28669</v>
      </c>
      <c r="G11860" t="s">
        <v>28675</v>
      </c>
      <c r="H11860" t="s">
        <v>9998</v>
      </c>
      <c r="I11860" t="s">
        <v>28738</v>
      </c>
      <c r="J11860" t="s">
        <v>30162</v>
      </c>
      <c r="K11860" t="s">
        <v>37243</v>
      </c>
      <c r="M11860" t="s">
        <v>40974</v>
      </c>
      <c r="N11860" t="s">
        <v>41249</v>
      </c>
      <c r="O11860" t="s">
        <v>41250</v>
      </c>
      <c r="P11860">
        <v>0</v>
      </c>
      <c r="Q11860">
        <v>11</v>
      </c>
      <c r="R11860" t="s">
        <v>41266</v>
      </c>
      <c r="S11860" t="s">
        <v>41978</v>
      </c>
      <c r="T11860" t="s">
        <v>42678</v>
      </c>
      <c r="U11860" t="s">
        <v>52707</v>
      </c>
      <c r="W11860" t="s">
        <v>40974</v>
      </c>
      <c r="X11860" t="s">
        <v>41267</v>
      </c>
    </row>
    <row r="11861" spans="1:24">
      <c r="A11861">
        <f>HYPERLINK("https://www.philgeps.gov.ph/GEPSNONPILOT/Tender/SplashBidNoticeAbstractUI.aspx?menuIndex=3&amp;refID=7047494&amp;Result=3","7047494")</f>
        <v>0</v>
      </c>
      <c r="B11861" t="s">
        <v>369</v>
      </c>
      <c r="C11861" t="s">
        <v>14737</v>
      </c>
      <c r="D11861" t="s">
        <v>16619</v>
      </c>
      <c r="E11861" t="s">
        <v>26953</v>
      </c>
      <c r="F11861" t="s">
        <v>28669</v>
      </c>
      <c r="G11861" t="s">
        <v>28675</v>
      </c>
      <c r="H11861" t="s">
        <v>9998</v>
      </c>
      <c r="I11861" t="s">
        <v>3718</v>
      </c>
      <c r="J11861" t="s">
        <v>34378</v>
      </c>
      <c r="K11861" t="s">
        <v>37206</v>
      </c>
      <c r="M11861" t="s">
        <v>37851</v>
      </c>
      <c r="N11861" t="s">
        <v>41249</v>
      </c>
      <c r="O11861" t="s">
        <v>41250</v>
      </c>
      <c r="P11861">
        <v>0</v>
      </c>
      <c r="Q11861">
        <v>23</v>
      </c>
      <c r="R11861" t="s">
        <v>41266</v>
      </c>
      <c r="S11861" t="s">
        <v>41978</v>
      </c>
      <c r="T11861" t="s">
        <v>42679</v>
      </c>
      <c r="U11861" t="s">
        <v>52507</v>
      </c>
      <c r="W11861" t="s">
        <v>37851</v>
      </c>
      <c r="X11861" t="s">
        <v>41267</v>
      </c>
    </row>
    <row r="11862" spans="1:24">
      <c r="A11862">
        <f>HYPERLINK("https://www.philgeps.gov.ph/GEPSNONPILOT/Tender/SplashBidNoticeAbstractUI.aspx?menuIndex=3&amp;refID=7047314&amp;Result=3","7047314")</f>
        <v>0</v>
      </c>
      <c r="B11862" t="s">
        <v>222</v>
      </c>
      <c r="C11862" t="s">
        <v>14738</v>
      </c>
      <c r="D11862" t="s">
        <v>16611</v>
      </c>
      <c r="E11862" t="s">
        <v>26954</v>
      </c>
      <c r="F11862" t="s">
        <v>28669</v>
      </c>
      <c r="G11862" t="s">
        <v>28675</v>
      </c>
      <c r="H11862" t="s">
        <v>9998</v>
      </c>
      <c r="I11862" t="s">
        <v>28689</v>
      </c>
      <c r="J11862" t="s">
        <v>36084</v>
      </c>
      <c r="K11862" t="s">
        <v>37213</v>
      </c>
      <c r="M11862" t="s">
        <v>37700</v>
      </c>
      <c r="N11862" t="s">
        <v>41249</v>
      </c>
      <c r="O11862" t="s">
        <v>41250</v>
      </c>
      <c r="Q11862">
        <v>2</v>
      </c>
      <c r="R11862" t="s">
        <v>41266</v>
      </c>
      <c r="S11862" t="s">
        <v>41991</v>
      </c>
      <c r="T11862" t="s">
        <v>42681</v>
      </c>
      <c r="U11862" t="s">
        <v>52708</v>
      </c>
      <c r="W11862" t="s">
        <v>37700</v>
      </c>
      <c r="X11862" t="s">
        <v>41267</v>
      </c>
    </row>
    <row r="11863" spans="1:24">
      <c r="A11863">
        <f>HYPERLINK("https://www.philgeps.gov.ph/GEPSNONPILOT/Tender/SplashBidNoticeAbstractUI.aspx?menuIndex=3&amp;refID=7047343&amp;Result=3","7047343")</f>
        <v>0</v>
      </c>
      <c r="B11863" t="s">
        <v>3157</v>
      </c>
      <c r="C11863" t="s">
        <v>14739</v>
      </c>
      <c r="D11863" t="s">
        <v>16666</v>
      </c>
      <c r="E11863" t="s">
        <v>26955</v>
      </c>
      <c r="F11863" t="s">
        <v>28669</v>
      </c>
      <c r="G11863" t="s">
        <v>28675</v>
      </c>
      <c r="H11863" t="s">
        <v>9998</v>
      </c>
      <c r="I11863" t="s">
        <v>5286</v>
      </c>
      <c r="J11863" t="s">
        <v>36085</v>
      </c>
      <c r="K11863" t="s">
        <v>37229</v>
      </c>
      <c r="M11863" t="s">
        <v>40968</v>
      </c>
      <c r="N11863" t="s">
        <v>41249</v>
      </c>
      <c r="O11863" t="s">
        <v>41250</v>
      </c>
      <c r="P11863">
        <v>0</v>
      </c>
      <c r="Q11863">
        <v>6</v>
      </c>
      <c r="R11863" t="s">
        <v>41266</v>
      </c>
      <c r="S11863" t="s">
        <v>41978</v>
      </c>
      <c r="T11863" t="s">
        <v>42742</v>
      </c>
      <c r="U11863" t="s">
        <v>52709</v>
      </c>
      <c r="W11863" t="s">
        <v>56027</v>
      </c>
      <c r="X11863" t="s">
        <v>41267</v>
      </c>
    </row>
    <row r="11864" spans="1:24">
      <c r="A11864">
        <f>HYPERLINK("https://www.philgeps.gov.ph/GEPSNONPILOT/Tender/SplashBidNoticeAbstractUI.aspx?menuIndex=3&amp;refID=7047473&amp;Result=3","7047473")</f>
        <v>0</v>
      </c>
      <c r="B11864" t="s">
        <v>2198</v>
      </c>
      <c r="C11864" t="s">
        <v>14740</v>
      </c>
      <c r="D11864" t="s">
        <v>16619</v>
      </c>
      <c r="E11864" t="s">
        <v>26956</v>
      </c>
      <c r="F11864" t="s">
        <v>28669</v>
      </c>
      <c r="G11864" t="s">
        <v>28675</v>
      </c>
      <c r="H11864" t="s">
        <v>28686</v>
      </c>
      <c r="I11864" t="s">
        <v>7352</v>
      </c>
      <c r="J11864" t="s">
        <v>36086</v>
      </c>
      <c r="K11864" t="s">
        <v>37211</v>
      </c>
      <c r="M11864" t="s">
        <v>39848</v>
      </c>
      <c r="N11864" t="s">
        <v>41249</v>
      </c>
      <c r="O11864" t="s">
        <v>41250</v>
      </c>
      <c r="P11864">
        <v>0</v>
      </c>
      <c r="Q11864">
        <v>5</v>
      </c>
      <c r="R11864" t="s">
        <v>41266</v>
      </c>
      <c r="S11864" t="s">
        <v>41978</v>
      </c>
      <c r="T11864" t="s">
        <v>42858</v>
      </c>
      <c r="U11864" t="s">
        <v>52710</v>
      </c>
      <c r="V11864" t="s">
        <v>55671</v>
      </c>
      <c r="W11864" t="s">
        <v>39848</v>
      </c>
      <c r="X11864" t="s">
        <v>41267</v>
      </c>
    </row>
    <row r="11865" spans="1:24">
      <c r="A11865">
        <f>HYPERLINK("https://www.philgeps.gov.ph/GEPSNONPILOT/Tender/SplashBidNoticeAbstractUI.aspx?menuIndex=3&amp;refID=7047458&amp;Result=3","7047458")</f>
        <v>0</v>
      </c>
      <c r="B11865" t="s">
        <v>1963</v>
      </c>
      <c r="C11865" t="s">
        <v>14741</v>
      </c>
      <c r="D11865" t="s">
        <v>16675</v>
      </c>
      <c r="E11865" t="s">
        <v>26957</v>
      </c>
      <c r="F11865" t="s">
        <v>28669</v>
      </c>
      <c r="G11865" t="s">
        <v>28675</v>
      </c>
      <c r="H11865" t="s">
        <v>9998</v>
      </c>
      <c r="I11865" t="s">
        <v>28719</v>
      </c>
      <c r="J11865" t="s">
        <v>36087</v>
      </c>
      <c r="K11865" t="s">
        <v>37205</v>
      </c>
      <c r="M11865" t="s">
        <v>39596</v>
      </c>
      <c r="N11865" t="s">
        <v>41249</v>
      </c>
      <c r="O11865" t="s">
        <v>41250</v>
      </c>
      <c r="P11865">
        <v>0</v>
      </c>
      <c r="Q11865">
        <v>3</v>
      </c>
      <c r="R11865" t="s">
        <v>41266</v>
      </c>
      <c r="S11865" t="s">
        <v>41978</v>
      </c>
      <c r="T11865" t="s">
        <v>42759</v>
      </c>
      <c r="U11865" t="s">
        <v>52711</v>
      </c>
      <c r="W11865" t="s">
        <v>39596</v>
      </c>
      <c r="X11865" t="s">
        <v>41267</v>
      </c>
    </row>
    <row r="11866" spans="1:24">
      <c r="A11866">
        <f>HYPERLINK("https://www.philgeps.gov.ph/GEPSNONPILOT/Tender/SplashBidNoticeAbstractUI.aspx?menuIndex=3&amp;refID=7047451&amp;Result=3","7047451")</f>
        <v>0</v>
      </c>
      <c r="B11866" t="s">
        <v>2876</v>
      </c>
      <c r="C11866" t="s">
        <v>14742</v>
      </c>
      <c r="D11866" t="s">
        <v>16671</v>
      </c>
      <c r="E11866" t="s">
        <v>26958</v>
      </c>
      <c r="F11866" t="s">
        <v>28669</v>
      </c>
      <c r="G11866" t="s">
        <v>28675</v>
      </c>
      <c r="H11866" t="s">
        <v>28686</v>
      </c>
      <c r="I11866" t="s">
        <v>28689</v>
      </c>
      <c r="J11866" t="s">
        <v>30377</v>
      </c>
      <c r="K11866" t="s">
        <v>37405</v>
      </c>
      <c r="M11866" t="s">
        <v>40621</v>
      </c>
      <c r="N11866" t="s">
        <v>41249</v>
      </c>
      <c r="O11866" t="s">
        <v>41250</v>
      </c>
      <c r="P11866">
        <v>0</v>
      </c>
      <c r="Q11866">
        <v>0</v>
      </c>
      <c r="R11866" t="s">
        <v>41266</v>
      </c>
      <c r="S11866" t="s">
        <v>41978</v>
      </c>
      <c r="T11866" t="s">
        <v>42671</v>
      </c>
      <c r="U11866" t="s">
        <v>52712</v>
      </c>
      <c r="W11866" t="s">
        <v>40621</v>
      </c>
      <c r="X11866" t="s">
        <v>41267</v>
      </c>
    </row>
    <row r="11867" spans="1:24">
      <c r="A11867">
        <f>HYPERLINK("https://www.philgeps.gov.ph/GEPSNONPILOT/Tender/SplashBidNoticeAbstractUI.aspx?menuIndex=3&amp;refID=7047447&amp;Result=3","7047447")</f>
        <v>0</v>
      </c>
      <c r="B11867" t="s">
        <v>2445</v>
      </c>
      <c r="C11867" t="s">
        <v>14743</v>
      </c>
      <c r="D11867" t="s">
        <v>16669</v>
      </c>
      <c r="E11867" t="s">
        <v>26959</v>
      </c>
      <c r="F11867" t="s">
        <v>28669</v>
      </c>
      <c r="G11867" t="s">
        <v>28675</v>
      </c>
      <c r="H11867" t="s">
        <v>28686</v>
      </c>
      <c r="I11867" t="s">
        <v>28689</v>
      </c>
      <c r="J11867" t="s">
        <v>36088</v>
      </c>
      <c r="K11867" t="s">
        <v>37212</v>
      </c>
      <c r="M11867" t="s">
        <v>40128</v>
      </c>
      <c r="N11867" t="s">
        <v>41249</v>
      </c>
      <c r="O11867" t="s">
        <v>41250</v>
      </c>
      <c r="P11867">
        <v>0</v>
      </c>
      <c r="Q11867">
        <v>0</v>
      </c>
      <c r="R11867" t="s">
        <v>41266</v>
      </c>
      <c r="S11867" t="s">
        <v>41978</v>
      </c>
      <c r="T11867" t="s">
        <v>42703</v>
      </c>
      <c r="U11867" t="s">
        <v>52704</v>
      </c>
      <c r="W11867" t="s">
        <v>40128</v>
      </c>
      <c r="X11867" t="s">
        <v>41267</v>
      </c>
    </row>
    <row r="11868" spans="1:24">
      <c r="A11868">
        <f>HYPERLINK("https://www.philgeps.gov.ph/GEPSNONPILOT/Tender/SplashBidNoticeAbstractUI.aspx?menuIndex=3&amp;refID=7047479&amp;Result=3","7047479")</f>
        <v>0</v>
      </c>
      <c r="B11868" t="s">
        <v>2445</v>
      </c>
      <c r="C11868" t="s">
        <v>14744</v>
      </c>
      <c r="D11868" t="s">
        <v>16669</v>
      </c>
      <c r="E11868" t="s">
        <v>26960</v>
      </c>
      <c r="F11868" t="s">
        <v>28669</v>
      </c>
      <c r="G11868" t="s">
        <v>28675</v>
      </c>
      <c r="H11868" t="s">
        <v>28686</v>
      </c>
      <c r="I11868" t="s">
        <v>28689</v>
      </c>
      <c r="J11868" t="s">
        <v>36089</v>
      </c>
      <c r="K11868" t="s">
        <v>37211</v>
      </c>
      <c r="M11868" t="s">
        <v>40128</v>
      </c>
      <c r="N11868" t="s">
        <v>41249</v>
      </c>
      <c r="O11868" t="s">
        <v>41250</v>
      </c>
      <c r="P11868">
        <v>0</v>
      </c>
      <c r="Q11868">
        <v>0</v>
      </c>
      <c r="R11868" t="s">
        <v>41266</v>
      </c>
      <c r="S11868" t="s">
        <v>41978</v>
      </c>
      <c r="T11868" t="s">
        <v>42703</v>
      </c>
      <c r="U11868" t="s">
        <v>52704</v>
      </c>
      <c r="W11868" t="s">
        <v>40128</v>
      </c>
      <c r="X11868" t="s">
        <v>41267</v>
      </c>
    </row>
    <row r="11869" spans="1:24">
      <c r="A11869">
        <f>HYPERLINK("https://www.philgeps.gov.ph/GEPSNONPILOT/Tender/SplashBidNoticeAbstractUI.aspx?menuIndex=3&amp;refID=7047338&amp;Result=3","7047338")</f>
        <v>0</v>
      </c>
      <c r="B11869" t="s">
        <v>3175</v>
      </c>
      <c r="C11869" t="s">
        <v>14745</v>
      </c>
      <c r="D11869" t="s">
        <v>16609</v>
      </c>
      <c r="E11869" t="s">
        <v>26961</v>
      </c>
      <c r="F11869" t="s">
        <v>28669</v>
      </c>
      <c r="G11869" t="s">
        <v>28675</v>
      </c>
      <c r="H11869" t="s">
        <v>9998</v>
      </c>
      <c r="I11869" t="s">
        <v>28792</v>
      </c>
      <c r="J11869" t="s">
        <v>36090</v>
      </c>
      <c r="K11869" t="s">
        <v>37220</v>
      </c>
      <c r="M11869" t="s">
        <v>40975</v>
      </c>
      <c r="N11869" t="s">
        <v>41249</v>
      </c>
      <c r="O11869" t="s">
        <v>41250</v>
      </c>
      <c r="P11869">
        <v>0</v>
      </c>
      <c r="Q11869">
        <v>4</v>
      </c>
      <c r="R11869" t="s">
        <v>41266</v>
      </c>
      <c r="S11869" t="s">
        <v>41978</v>
      </c>
      <c r="T11869" t="s">
        <v>42755</v>
      </c>
      <c r="U11869" t="s">
        <v>52713</v>
      </c>
      <c r="W11869" t="s">
        <v>40975</v>
      </c>
      <c r="X11869" t="s">
        <v>41267</v>
      </c>
    </row>
    <row r="11870" spans="1:24">
      <c r="A11870">
        <f>HYPERLINK("https://www.philgeps.gov.ph/GEPSNONPILOT/Tender/SplashBidNoticeAbstractUI.aspx?menuIndex=3&amp;refID=7047254&amp;Result=3","7047254")</f>
        <v>0</v>
      </c>
      <c r="B11870" t="s">
        <v>2509</v>
      </c>
      <c r="C11870" t="s">
        <v>14746</v>
      </c>
      <c r="D11870" t="s">
        <v>16668</v>
      </c>
      <c r="E11870" t="s">
        <v>26962</v>
      </c>
      <c r="F11870" t="s">
        <v>28669</v>
      </c>
      <c r="G11870" t="s">
        <v>28675</v>
      </c>
      <c r="H11870" t="s">
        <v>9998</v>
      </c>
      <c r="I11870" t="s">
        <v>28694</v>
      </c>
      <c r="J11870" t="s">
        <v>36091</v>
      </c>
      <c r="K11870" t="s">
        <v>37227</v>
      </c>
      <c r="M11870" t="s">
        <v>40196</v>
      </c>
      <c r="N11870" t="s">
        <v>41249</v>
      </c>
      <c r="O11870" t="s">
        <v>41250</v>
      </c>
      <c r="P11870">
        <v>0</v>
      </c>
      <c r="Q11870">
        <v>0</v>
      </c>
      <c r="R11870" t="s">
        <v>41266</v>
      </c>
      <c r="S11870" t="s">
        <v>41978</v>
      </c>
      <c r="T11870" t="s">
        <v>42743</v>
      </c>
      <c r="U11870" t="s">
        <v>52685</v>
      </c>
      <c r="W11870" t="s">
        <v>40196</v>
      </c>
      <c r="X11870" t="s">
        <v>41267</v>
      </c>
    </row>
    <row r="11871" spans="1:24">
      <c r="A11871">
        <f>HYPERLINK("https://www.philgeps.gov.ph/GEPSNONPILOT/Tender/SplashBidNoticeAbstractUI.aspx?menuIndex=3&amp;refID=7047423&amp;Result=3","7047423")</f>
        <v>0</v>
      </c>
      <c r="B11871" t="s">
        <v>2484</v>
      </c>
      <c r="C11871" t="s">
        <v>14747</v>
      </c>
      <c r="D11871" t="s">
        <v>16658</v>
      </c>
      <c r="E11871" t="s">
        <v>26963</v>
      </c>
      <c r="F11871" t="s">
        <v>28669</v>
      </c>
      <c r="G11871" t="s">
        <v>28675</v>
      </c>
      <c r="H11871" t="s">
        <v>28686</v>
      </c>
      <c r="I11871" t="s">
        <v>28689</v>
      </c>
      <c r="J11871" t="s">
        <v>36092</v>
      </c>
      <c r="K11871" t="s">
        <v>37220</v>
      </c>
      <c r="M11871" t="s">
        <v>40168</v>
      </c>
      <c r="N11871" t="s">
        <v>41249</v>
      </c>
      <c r="O11871" t="s">
        <v>41250</v>
      </c>
      <c r="P11871">
        <v>0</v>
      </c>
      <c r="Q11871">
        <v>0</v>
      </c>
      <c r="R11871" t="s">
        <v>41266</v>
      </c>
      <c r="S11871" t="s">
        <v>41978</v>
      </c>
      <c r="T11871" t="s">
        <v>42711</v>
      </c>
      <c r="U11871" t="s">
        <v>51498</v>
      </c>
      <c r="W11871" t="s">
        <v>40168</v>
      </c>
      <c r="X11871" t="s">
        <v>41267</v>
      </c>
    </row>
    <row r="11872" spans="1:24">
      <c r="A11872">
        <f>HYPERLINK("https://www.philgeps.gov.ph/GEPSNONPILOT/Tender/SplashBidNoticeAbstractUI.aspx?menuIndex=3&amp;refID=7047408&amp;Result=3","7047408")</f>
        <v>0</v>
      </c>
      <c r="B11872" t="s">
        <v>2198</v>
      </c>
      <c r="C11872" t="s">
        <v>14748</v>
      </c>
      <c r="D11872" t="s">
        <v>16619</v>
      </c>
      <c r="E11872" t="s">
        <v>26964</v>
      </c>
      <c r="F11872" t="s">
        <v>28669</v>
      </c>
      <c r="G11872" t="s">
        <v>28675</v>
      </c>
      <c r="H11872" t="s">
        <v>28686</v>
      </c>
      <c r="I11872" t="s">
        <v>7352</v>
      </c>
      <c r="J11872" t="s">
        <v>31648</v>
      </c>
      <c r="K11872" t="s">
        <v>37287</v>
      </c>
      <c r="M11872" t="s">
        <v>39848</v>
      </c>
      <c r="N11872" t="s">
        <v>41249</v>
      </c>
      <c r="O11872" t="s">
        <v>41250</v>
      </c>
      <c r="P11872">
        <v>0</v>
      </c>
      <c r="Q11872">
        <v>10</v>
      </c>
      <c r="R11872" t="s">
        <v>41266</v>
      </c>
      <c r="S11872" t="s">
        <v>41978</v>
      </c>
      <c r="T11872" t="s">
        <v>42858</v>
      </c>
      <c r="U11872" t="s">
        <v>52714</v>
      </c>
      <c r="V11872" t="s">
        <v>55671</v>
      </c>
      <c r="W11872" t="s">
        <v>39848</v>
      </c>
      <c r="X11872" t="s">
        <v>41267</v>
      </c>
    </row>
    <row r="11873" spans="1:24">
      <c r="A11873">
        <f>HYPERLINK("https://www.philgeps.gov.ph/GEPSNONPILOT/Tender/SplashBidNoticeAbstractUI.aspx?menuIndex=3&amp;refID=7047402&amp;Result=3","7047402")</f>
        <v>0</v>
      </c>
      <c r="B11873" t="s">
        <v>2484</v>
      </c>
      <c r="C11873" t="s">
        <v>14749</v>
      </c>
      <c r="D11873" t="s">
        <v>16658</v>
      </c>
      <c r="E11873" t="s">
        <v>26965</v>
      </c>
      <c r="F11873" t="s">
        <v>28669</v>
      </c>
      <c r="G11873" t="s">
        <v>28675</v>
      </c>
      <c r="H11873" t="s">
        <v>28686</v>
      </c>
      <c r="I11873" t="s">
        <v>28689</v>
      </c>
      <c r="J11873" t="s">
        <v>36093</v>
      </c>
      <c r="K11873" t="s">
        <v>37215</v>
      </c>
      <c r="M11873" t="s">
        <v>40168</v>
      </c>
      <c r="N11873" t="s">
        <v>41249</v>
      </c>
      <c r="O11873" t="s">
        <v>41250</v>
      </c>
      <c r="P11873">
        <v>0</v>
      </c>
      <c r="Q11873">
        <v>0</v>
      </c>
      <c r="R11873" t="s">
        <v>41266</v>
      </c>
      <c r="S11873" t="s">
        <v>41978</v>
      </c>
      <c r="T11873" t="s">
        <v>42711</v>
      </c>
      <c r="U11873" t="s">
        <v>51498</v>
      </c>
      <c r="W11873" t="s">
        <v>40168</v>
      </c>
      <c r="X11873" t="s">
        <v>41267</v>
      </c>
    </row>
    <row r="11874" spans="1:24">
      <c r="A11874">
        <f>HYPERLINK("https://www.philgeps.gov.ph/GEPSNONPILOT/Tender/SplashBidNoticeAbstractUI.aspx?menuIndex=3&amp;refID=7047394&amp;Result=3","7047394")</f>
        <v>0</v>
      </c>
      <c r="B11874" t="s">
        <v>2224</v>
      </c>
      <c r="C11874" t="s">
        <v>14750</v>
      </c>
      <c r="D11874" t="s">
        <v>16637</v>
      </c>
      <c r="E11874" t="s">
        <v>26966</v>
      </c>
      <c r="F11874" t="s">
        <v>28669</v>
      </c>
      <c r="G11874" t="s">
        <v>28675</v>
      </c>
      <c r="H11874" t="s">
        <v>9998</v>
      </c>
      <c r="I11874" t="s">
        <v>7352</v>
      </c>
      <c r="J11874" t="s">
        <v>36094</v>
      </c>
      <c r="K11874" t="s">
        <v>37270</v>
      </c>
      <c r="L11874" t="s">
        <v>2224</v>
      </c>
      <c r="M11874" t="s">
        <v>39877</v>
      </c>
      <c r="N11874" t="s">
        <v>41249</v>
      </c>
      <c r="O11874" t="s">
        <v>41250</v>
      </c>
      <c r="P11874">
        <v>0</v>
      </c>
      <c r="Q11874">
        <v>0</v>
      </c>
      <c r="R11874" t="s">
        <v>41266</v>
      </c>
      <c r="S11874" t="s">
        <v>41978</v>
      </c>
      <c r="T11874" t="s">
        <v>42711</v>
      </c>
      <c r="U11874" t="s">
        <v>52715</v>
      </c>
      <c r="V11874" t="s">
        <v>55672</v>
      </c>
      <c r="W11874" t="s">
        <v>39877</v>
      </c>
      <c r="X11874" t="s">
        <v>41267</v>
      </c>
    </row>
    <row r="11875" spans="1:24">
      <c r="A11875">
        <f>HYPERLINK("https://www.philgeps.gov.ph/GEPSNONPILOT/Tender/SplashBidNoticeAbstractUI.aspx?menuIndex=3&amp;refID=7047295&amp;Result=3","7047295")</f>
        <v>0</v>
      </c>
      <c r="B11875" t="s">
        <v>345</v>
      </c>
      <c r="C11875" t="s">
        <v>14751</v>
      </c>
      <c r="D11875" t="s">
        <v>16666</v>
      </c>
      <c r="E11875" t="s">
        <v>26967</v>
      </c>
      <c r="F11875" t="s">
        <v>28669</v>
      </c>
      <c r="G11875" t="s">
        <v>28679</v>
      </c>
      <c r="H11875" t="s">
        <v>9998</v>
      </c>
      <c r="I11875" t="s">
        <v>5286</v>
      </c>
      <c r="J11875" t="s">
        <v>36095</v>
      </c>
      <c r="K11875" t="s">
        <v>37209</v>
      </c>
      <c r="M11875" t="s">
        <v>40567</v>
      </c>
      <c r="N11875" t="s">
        <v>41249</v>
      </c>
      <c r="O11875" t="s">
        <v>41250</v>
      </c>
      <c r="Q11875">
        <v>30</v>
      </c>
      <c r="R11875" t="s">
        <v>41266</v>
      </c>
      <c r="S11875" t="s">
        <v>41992</v>
      </c>
      <c r="T11875" t="s">
        <v>42703</v>
      </c>
      <c r="U11875" t="s">
        <v>52716</v>
      </c>
      <c r="W11875" t="s">
        <v>40567</v>
      </c>
      <c r="X11875" t="s">
        <v>41267</v>
      </c>
    </row>
    <row r="11876" spans="1:24">
      <c r="A11876">
        <f>HYPERLINK("https://www.philgeps.gov.ph/GEPSNONPILOT/Tender/SplashBidNoticeAbstractUI.aspx?menuIndex=3&amp;refID=7047280&amp;Result=3","7047280")</f>
        <v>0</v>
      </c>
      <c r="B11876" t="s">
        <v>3176</v>
      </c>
      <c r="C11876" t="s">
        <v>14752</v>
      </c>
      <c r="D11876" t="s">
        <v>16673</v>
      </c>
      <c r="E11876" t="s">
        <v>26968</v>
      </c>
      <c r="F11876" t="s">
        <v>28669</v>
      </c>
      <c r="G11876" t="s">
        <v>28675</v>
      </c>
      <c r="H11876" t="s">
        <v>28686</v>
      </c>
      <c r="I11876" t="s">
        <v>28689</v>
      </c>
      <c r="J11876" t="s">
        <v>36096</v>
      </c>
      <c r="K11876" t="s">
        <v>37209</v>
      </c>
      <c r="M11876" t="s">
        <v>40976</v>
      </c>
      <c r="N11876" t="s">
        <v>41249</v>
      </c>
      <c r="O11876" t="s">
        <v>41250</v>
      </c>
      <c r="P11876">
        <v>0</v>
      </c>
      <c r="Q11876">
        <v>36</v>
      </c>
      <c r="R11876" t="s">
        <v>41266</v>
      </c>
      <c r="S11876" t="s">
        <v>41978</v>
      </c>
      <c r="T11876" t="s">
        <v>42679</v>
      </c>
      <c r="U11876" t="s">
        <v>52717</v>
      </c>
      <c r="W11876" t="s">
        <v>40976</v>
      </c>
      <c r="X11876" t="s">
        <v>41267</v>
      </c>
    </row>
    <row r="11877" spans="1:24">
      <c r="A11877">
        <f>HYPERLINK("https://www.philgeps.gov.ph/GEPSNONPILOT/Tender/SplashBidNoticeAbstractUI.aspx?menuIndex=3&amp;refID=7047410&amp;Result=3","7047410")</f>
        <v>0</v>
      </c>
      <c r="B11877" t="s">
        <v>2484</v>
      </c>
      <c r="C11877" t="s">
        <v>14753</v>
      </c>
      <c r="D11877" t="s">
        <v>16658</v>
      </c>
      <c r="E11877" t="s">
        <v>26969</v>
      </c>
      <c r="F11877" t="s">
        <v>28669</v>
      </c>
      <c r="G11877" t="s">
        <v>28675</v>
      </c>
      <c r="H11877" t="s">
        <v>28686</v>
      </c>
      <c r="I11877" t="s">
        <v>28689</v>
      </c>
      <c r="J11877" t="s">
        <v>36097</v>
      </c>
      <c r="K11877" t="s">
        <v>37220</v>
      </c>
      <c r="M11877" t="s">
        <v>40168</v>
      </c>
      <c r="N11877" t="s">
        <v>41249</v>
      </c>
      <c r="O11877" t="s">
        <v>41250</v>
      </c>
      <c r="P11877">
        <v>0</v>
      </c>
      <c r="Q11877">
        <v>0</v>
      </c>
      <c r="R11877" t="s">
        <v>41266</v>
      </c>
      <c r="S11877" t="s">
        <v>41978</v>
      </c>
      <c r="T11877" t="s">
        <v>42711</v>
      </c>
      <c r="U11877" t="s">
        <v>51498</v>
      </c>
      <c r="W11877" t="s">
        <v>40168</v>
      </c>
      <c r="X11877" t="s">
        <v>41267</v>
      </c>
    </row>
    <row r="11878" spans="1:24">
      <c r="A11878">
        <f>HYPERLINK("https://www.philgeps.gov.ph/GEPSNONPILOT/Tender/SplashBidNoticeAbstractUI.aspx?menuIndex=3&amp;refID=7047404&amp;Result=3","7047404")</f>
        <v>0</v>
      </c>
      <c r="B11878" t="s">
        <v>2449</v>
      </c>
      <c r="C11878" t="s">
        <v>14754</v>
      </c>
      <c r="D11878" t="s">
        <v>16645</v>
      </c>
      <c r="E11878" t="s">
        <v>26970</v>
      </c>
      <c r="F11878" t="s">
        <v>28669</v>
      </c>
      <c r="G11878" t="s">
        <v>28675</v>
      </c>
      <c r="H11878" t="s">
        <v>9998</v>
      </c>
      <c r="I11878" t="s">
        <v>15140</v>
      </c>
      <c r="J11878" t="s">
        <v>36098</v>
      </c>
      <c r="K11878" t="s">
        <v>37209</v>
      </c>
      <c r="M11878" t="s">
        <v>40132</v>
      </c>
      <c r="N11878" t="s">
        <v>41249</v>
      </c>
      <c r="O11878" t="s">
        <v>41250</v>
      </c>
      <c r="P11878">
        <v>0</v>
      </c>
      <c r="Q11878">
        <v>1</v>
      </c>
      <c r="R11878" t="s">
        <v>41266</v>
      </c>
      <c r="S11878" t="s">
        <v>41978</v>
      </c>
      <c r="T11878" t="s">
        <v>42682</v>
      </c>
      <c r="U11878" t="s">
        <v>52718</v>
      </c>
      <c r="W11878" t="s">
        <v>40132</v>
      </c>
      <c r="X11878" t="s">
        <v>41267</v>
      </c>
    </row>
    <row r="11879" spans="1:24">
      <c r="A11879">
        <f>HYPERLINK("https://www.philgeps.gov.ph/GEPSNONPILOT/Tender/SplashBidNoticeAbstractUI.aspx?menuIndex=3&amp;refID=7047266&amp;Result=3","7047266")</f>
        <v>0</v>
      </c>
      <c r="B11879" t="s">
        <v>2509</v>
      </c>
      <c r="C11879" t="s">
        <v>14755</v>
      </c>
      <c r="D11879" t="s">
        <v>16668</v>
      </c>
      <c r="E11879" t="s">
        <v>26971</v>
      </c>
      <c r="F11879" t="s">
        <v>28669</v>
      </c>
      <c r="G11879" t="s">
        <v>28675</v>
      </c>
      <c r="H11879" t="s">
        <v>9998</v>
      </c>
      <c r="I11879" t="s">
        <v>28736</v>
      </c>
      <c r="J11879" t="s">
        <v>36099</v>
      </c>
      <c r="K11879" t="s">
        <v>37227</v>
      </c>
      <c r="M11879" t="s">
        <v>40196</v>
      </c>
      <c r="N11879" t="s">
        <v>41249</v>
      </c>
      <c r="O11879" t="s">
        <v>41250</v>
      </c>
      <c r="P11879">
        <v>0</v>
      </c>
      <c r="Q11879">
        <v>0</v>
      </c>
      <c r="R11879" t="s">
        <v>41266</v>
      </c>
      <c r="S11879" t="s">
        <v>41978</v>
      </c>
      <c r="T11879" t="s">
        <v>42729</v>
      </c>
      <c r="U11879" t="s">
        <v>52719</v>
      </c>
      <c r="W11879" t="s">
        <v>40196</v>
      </c>
      <c r="X11879" t="s">
        <v>41267</v>
      </c>
    </row>
    <row r="11880" spans="1:24">
      <c r="A11880">
        <f>HYPERLINK("https://www.philgeps.gov.ph/GEPSNONPILOT/Tender/SplashBidNoticeAbstractUI.aspx?menuIndex=3&amp;refID=7047259&amp;Result=3","7047259")</f>
        <v>0</v>
      </c>
      <c r="B11880" t="s">
        <v>2449</v>
      </c>
      <c r="C11880" t="s">
        <v>14756</v>
      </c>
      <c r="D11880" t="s">
        <v>16645</v>
      </c>
      <c r="E11880" t="s">
        <v>26972</v>
      </c>
      <c r="F11880" t="s">
        <v>28669</v>
      </c>
      <c r="G11880" t="s">
        <v>28675</v>
      </c>
      <c r="H11880" t="s">
        <v>9998</v>
      </c>
      <c r="I11880" t="s">
        <v>3658</v>
      </c>
      <c r="J11880" t="s">
        <v>36100</v>
      </c>
      <c r="K11880" t="s">
        <v>37209</v>
      </c>
      <c r="M11880" t="s">
        <v>40132</v>
      </c>
      <c r="N11880" t="s">
        <v>41249</v>
      </c>
      <c r="O11880" t="s">
        <v>41250</v>
      </c>
      <c r="P11880">
        <v>0</v>
      </c>
      <c r="Q11880">
        <v>3</v>
      </c>
      <c r="R11880" t="s">
        <v>41266</v>
      </c>
      <c r="S11880" t="s">
        <v>41978</v>
      </c>
      <c r="T11880" t="s">
        <v>42682</v>
      </c>
      <c r="U11880" t="s">
        <v>52720</v>
      </c>
      <c r="W11880" t="s">
        <v>40132</v>
      </c>
      <c r="X11880" t="s">
        <v>41267</v>
      </c>
    </row>
    <row r="11881" spans="1:24">
      <c r="A11881">
        <f>HYPERLINK("https://www.philgeps.gov.ph/GEPSNONPILOT/Tender/SplashBidNoticeAbstractUI.aspx?menuIndex=3&amp;refID=7047392&amp;Result=3","7047392")</f>
        <v>0</v>
      </c>
      <c r="B11881" t="s">
        <v>3177</v>
      </c>
      <c r="C11881" t="s">
        <v>14757</v>
      </c>
      <c r="D11881" t="s">
        <v>16643</v>
      </c>
      <c r="E11881" t="s">
        <v>26973</v>
      </c>
      <c r="F11881" t="s">
        <v>28669</v>
      </c>
      <c r="G11881" t="s">
        <v>28676</v>
      </c>
      <c r="H11881" t="s">
        <v>9998</v>
      </c>
      <c r="I11881" t="s">
        <v>28757</v>
      </c>
      <c r="J11881" t="s">
        <v>28879</v>
      </c>
      <c r="K11881" t="s">
        <v>37205</v>
      </c>
      <c r="M11881" t="s">
        <v>40977</v>
      </c>
      <c r="N11881" t="s">
        <v>41249</v>
      </c>
      <c r="O11881" t="s">
        <v>41250</v>
      </c>
      <c r="Q11881">
        <v>2</v>
      </c>
      <c r="R11881" t="s">
        <v>41266</v>
      </c>
      <c r="S11881" t="s">
        <v>41993</v>
      </c>
      <c r="T11881" t="s">
        <v>42729</v>
      </c>
      <c r="U11881" t="s">
        <v>52721</v>
      </c>
      <c r="W11881" t="s">
        <v>40977</v>
      </c>
      <c r="X11881" t="s">
        <v>41267</v>
      </c>
    </row>
    <row r="11882" spans="1:24">
      <c r="A11882">
        <f>HYPERLINK("https://www.philgeps.gov.ph/GEPSNONPILOT/Tender/SplashBidNoticeAbstractUI.aspx?menuIndex=3&amp;refID=7046621&amp;Result=3","7046621")</f>
        <v>0</v>
      </c>
      <c r="B11882" t="s">
        <v>1990</v>
      </c>
      <c r="C11882" t="s">
        <v>14758</v>
      </c>
      <c r="D11882" t="s">
        <v>16643</v>
      </c>
      <c r="E11882" t="s">
        <v>26974</v>
      </c>
      <c r="F11882" t="s">
        <v>28669</v>
      </c>
      <c r="G11882" t="s">
        <v>28675</v>
      </c>
      <c r="H11882" t="s">
        <v>28686</v>
      </c>
      <c r="I11882" t="s">
        <v>28689</v>
      </c>
      <c r="J11882" t="s">
        <v>28924</v>
      </c>
      <c r="K11882" t="s">
        <v>37213</v>
      </c>
      <c r="M11882" t="s">
        <v>40978</v>
      </c>
      <c r="N11882" t="s">
        <v>41249</v>
      </c>
      <c r="O11882" t="s">
        <v>41250</v>
      </c>
      <c r="Q11882">
        <v>1</v>
      </c>
      <c r="R11882" t="s">
        <v>41266</v>
      </c>
      <c r="S11882" t="s">
        <v>41994</v>
      </c>
      <c r="T11882" t="s">
        <v>42697</v>
      </c>
      <c r="U11882" t="s">
        <v>52722</v>
      </c>
      <c r="V11882" t="s">
        <v>55673</v>
      </c>
      <c r="W11882" t="s">
        <v>40978</v>
      </c>
      <c r="X11882" t="s">
        <v>41268</v>
      </c>
    </row>
    <row r="11883" spans="1:24">
      <c r="A11883">
        <f>HYPERLINK("https://www.philgeps.gov.ph/GEPSNONPILOT/Tender/SplashBidNoticeAbstractUI.aspx?menuIndex=3&amp;refID=7047278&amp;Result=3","7047278")</f>
        <v>0</v>
      </c>
      <c r="B11883" t="s">
        <v>2715</v>
      </c>
      <c r="C11883" t="s">
        <v>14759</v>
      </c>
      <c r="D11883" t="s">
        <v>16611</v>
      </c>
      <c r="E11883" t="s">
        <v>26975</v>
      </c>
      <c r="F11883" t="s">
        <v>28669</v>
      </c>
      <c r="G11883" t="s">
        <v>28675</v>
      </c>
      <c r="H11883" t="s">
        <v>28686</v>
      </c>
      <c r="I11883" t="s">
        <v>28689</v>
      </c>
      <c r="J11883" t="s">
        <v>28826</v>
      </c>
      <c r="K11883" t="s">
        <v>37221</v>
      </c>
      <c r="M11883" t="s">
        <v>40426</v>
      </c>
      <c r="N11883" t="s">
        <v>41249</v>
      </c>
      <c r="O11883" t="s">
        <v>41250</v>
      </c>
      <c r="P11883">
        <v>0</v>
      </c>
      <c r="Q11883">
        <v>0</v>
      </c>
      <c r="R11883" t="s">
        <v>41266</v>
      </c>
      <c r="S11883" t="s">
        <v>41978</v>
      </c>
      <c r="T11883" t="s">
        <v>42914</v>
      </c>
      <c r="U11883" t="s">
        <v>45991</v>
      </c>
      <c r="W11883" t="s">
        <v>40426</v>
      </c>
      <c r="X11883" t="s">
        <v>41267</v>
      </c>
    </row>
    <row r="11884" spans="1:24">
      <c r="A11884">
        <f>HYPERLINK("https://www.philgeps.gov.ph/GEPSNONPILOT/Tender/SplashBidNoticeAbstractUI.aspx?menuIndex=3&amp;refID=7047441&amp;Result=3","7047441")</f>
        <v>0</v>
      </c>
      <c r="B11884" t="s">
        <v>2198</v>
      </c>
      <c r="C11884" t="s">
        <v>14760</v>
      </c>
      <c r="D11884" t="s">
        <v>16619</v>
      </c>
      <c r="E11884" t="s">
        <v>26976</v>
      </c>
      <c r="F11884" t="s">
        <v>28669</v>
      </c>
      <c r="G11884" t="s">
        <v>28675</v>
      </c>
      <c r="H11884" t="s">
        <v>28686</v>
      </c>
      <c r="I11884" t="s">
        <v>7352</v>
      </c>
      <c r="J11884" t="s">
        <v>36101</v>
      </c>
      <c r="K11884" t="s">
        <v>37211</v>
      </c>
      <c r="M11884" t="s">
        <v>39848</v>
      </c>
      <c r="N11884" t="s">
        <v>41249</v>
      </c>
      <c r="O11884" t="s">
        <v>41250</v>
      </c>
      <c r="P11884">
        <v>0</v>
      </c>
      <c r="Q11884">
        <v>4</v>
      </c>
      <c r="R11884" t="s">
        <v>41266</v>
      </c>
      <c r="S11884" t="s">
        <v>41978</v>
      </c>
      <c r="T11884" t="s">
        <v>42858</v>
      </c>
      <c r="U11884" t="s">
        <v>52723</v>
      </c>
      <c r="V11884" t="s">
        <v>55674</v>
      </c>
      <c r="W11884" t="s">
        <v>39848</v>
      </c>
      <c r="X11884" t="s">
        <v>41267</v>
      </c>
    </row>
    <row r="11885" spans="1:24">
      <c r="A11885">
        <f>HYPERLINK("https://www.philgeps.gov.ph/GEPSNONPILOT/Tender/SplashBidNoticeAbstractUI.aspx?menuIndex=3&amp;refID=7047667&amp;Result=3","7047667")</f>
        <v>0</v>
      </c>
      <c r="B11885" t="s">
        <v>2392</v>
      </c>
      <c r="C11885" t="s">
        <v>14761</v>
      </c>
      <c r="D11885" t="s">
        <v>16619</v>
      </c>
      <c r="E11885" t="s">
        <v>26977</v>
      </c>
      <c r="F11885" t="s">
        <v>28669</v>
      </c>
      <c r="G11885" t="s">
        <v>28675</v>
      </c>
      <c r="H11885" t="s">
        <v>28686</v>
      </c>
      <c r="I11885" t="s">
        <v>28689</v>
      </c>
      <c r="J11885" t="s">
        <v>29655</v>
      </c>
      <c r="K11885" t="s">
        <v>37322</v>
      </c>
      <c r="M11885" t="s">
        <v>40067</v>
      </c>
      <c r="N11885" t="s">
        <v>41249</v>
      </c>
      <c r="O11885" t="s">
        <v>41250</v>
      </c>
      <c r="P11885">
        <v>0</v>
      </c>
      <c r="Q11885">
        <v>5</v>
      </c>
      <c r="R11885" t="s">
        <v>41266</v>
      </c>
      <c r="S11885" t="s">
        <v>41978</v>
      </c>
      <c r="T11885" t="s">
        <v>42759</v>
      </c>
      <c r="U11885" t="s">
        <v>52724</v>
      </c>
      <c r="W11885" t="s">
        <v>40067</v>
      </c>
      <c r="X11885" t="s">
        <v>41267</v>
      </c>
    </row>
    <row r="11886" spans="1:24">
      <c r="A11886">
        <f>HYPERLINK("https://www.philgeps.gov.ph/GEPSNONPILOT/Tender/SplashBidNoticeAbstractUI.aspx?menuIndex=3&amp;refID=7047696&amp;Result=3","7047696")</f>
        <v>0</v>
      </c>
      <c r="B11886" t="s">
        <v>335</v>
      </c>
      <c r="C11886" t="s">
        <v>14762</v>
      </c>
      <c r="D11886" t="s">
        <v>16639</v>
      </c>
      <c r="E11886" t="s">
        <v>26978</v>
      </c>
      <c r="F11886" t="s">
        <v>28669</v>
      </c>
      <c r="G11886" t="s">
        <v>28675</v>
      </c>
      <c r="H11886" t="s">
        <v>9998</v>
      </c>
      <c r="I11886" t="s">
        <v>5213</v>
      </c>
      <c r="J11886" t="s">
        <v>36102</v>
      </c>
      <c r="K11886" t="s">
        <v>37206</v>
      </c>
      <c r="M11886" t="s">
        <v>37815</v>
      </c>
      <c r="N11886" t="s">
        <v>41249</v>
      </c>
      <c r="O11886" t="s">
        <v>41250</v>
      </c>
      <c r="Q11886">
        <v>3</v>
      </c>
      <c r="R11886" t="s">
        <v>41266</v>
      </c>
      <c r="S11886" t="s">
        <v>41995</v>
      </c>
      <c r="T11886" t="s">
        <v>43134</v>
      </c>
      <c r="U11886" t="s">
        <v>52725</v>
      </c>
      <c r="W11886" t="s">
        <v>37815</v>
      </c>
      <c r="X11886" t="s">
        <v>41267</v>
      </c>
    </row>
    <row r="11887" spans="1:24">
      <c r="A11887">
        <f>HYPERLINK("https://www.philgeps.gov.ph/GEPSNONPILOT/Tender/SplashBidNoticeAbstractUI.aspx?menuIndex=3&amp;refID=7047666&amp;Result=3","7047666")</f>
        <v>0</v>
      </c>
      <c r="B11887" t="s">
        <v>1197</v>
      </c>
      <c r="C11887" t="s">
        <v>14763</v>
      </c>
      <c r="D11887" t="s">
        <v>16624</v>
      </c>
      <c r="E11887" t="s">
        <v>17015</v>
      </c>
      <c r="F11887" t="s">
        <v>28669</v>
      </c>
      <c r="G11887" t="s">
        <v>28675</v>
      </c>
      <c r="H11887" t="s">
        <v>9998</v>
      </c>
      <c r="I11887" t="s">
        <v>28706</v>
      </c>
      <c r="J11887" t="s">
        <v>35327</v>
      </c>
      <c r="K11887" t="s">
        <v>37220</v>
      </c>
      <c r="M11887" t="s">
        <v>38737</v>
      </c>
      <c r="N11887" t="s">
        <v>41249</v>
      </c>
      <c r="O11887" t="s">
        <v>41250</v>
      </c>
      <c r="P11887">
        <v>0</v>
      </c>
      <c r="Q11887">
        <v>3</v>
      </c>
      <c r="R11887" t="s">
        <v>41266</v>
      </c>
      <c r="S11887" t="s">
        <v>41978</v>
      </c>
      <c r="T11887" t="s">
        <v>42703</v>
      </c>
      <c r="U11887" t="s">
        <v>52726</v>
      </c>
      <c r="V11887" t="s">
        <v>55222</v>
      </c>
      <c r="W11887" t="s">
        <v>38737</v>
      </c>
      <c r="X11887" t="s">
        <v>41267</v>
      </c>
    </row>
    <row r="11888" spans="1:24">
      <c r="A11888">
        <f>HYPERLINK("https://www.philgeps.gov.ph/GEPSNONPILOT/Tender/SplashBidNoticeAbstractUI.aspx?menuIndex=3&amp;refID=7047695&amp;Result=3","7047695")</f>
        <v>0</v>
      </c>
      <c r="B11888" t="s">
        <v>3178</v>
      </c>
      <c r="C11888" t="s">
        <v>14764</v>
      </c>
      <c r="D11888" t="s">
        <v>16652</v>
      </c>
      <c r="E11888" t="s">
        <v>26979</v>
      </c>
      <c r="F11888" t="s">
        <v>28669</v>
      </c>
      <c r="G11888" t="s">
        <v>28675</v>
      </c>
      <c r="H11888" t="s">
        <v>28686</v>
      </c>
      <c r="I11888" t="s">
        <v>28689</v>
      </c>
      <c r="J11888" t="s">
        <v>36103</v>
      </c>
      <c r="K11888" t="s">
        <v>37247</v>
      </c>
      <c r="M11888" t="s">
        <v>40979</v>
      </c>
      <c r="N11888" t="s">
        <v>41249</v>
      </c>
      <c r="O11888" t="s">
        <v>41250</v>
      </c>
      <c r="P11888">
        <v>0</v>
      </c>
      <c r="Q11888">
        <v>0</v>
      </c>
      <c r="R11888" t="s">
        <v>41266</v>
      </c>
      <c r="S11888" t="s">
        <v>41978</v>
      </c>
      <c r="T11888" t="s">
        <v>42670</v>
      </c>
      <c r="U11888" t="s">
        <v>52727</v>
      </c>
      <c r="W11888" t="s">
        <v>40979</v>
      </c>
      <c r="X11888" t="s">
        <v>41267</v>
      </c>
    </row>
    <row r="11889" spans="1:24">
      <c r="A11889">
        <f>HYPERLINK("https://www.philgeps.gov.ph/GEPSNONPILOT/Tender/SplashBidNoticeAbstractUI.aspx?menuIndex=3&amp;refID=7047645&amp;Result=3","7047645")</f>
        <v>0</v>
      </c>
      <c r="B11889" t="s">
        <v>2224</v>
      </c>
      <c r="C11889" t="s">
        <v>14765</v>
      </c>
      <c r="D11889" t="s">
        <v>16637</v>
      </c>
      <c r="E11889" t="s">
        <v>26980</v>
      </c>
      <c r="F11889" t="s">
        <v>28669</v>
      </c>
      <c r="G11889" t="s">
        <v>28675</v>
      </c>
      <c r="H11889" t="s">
        <v>9998</v>
      </c>
      <c r="I11889" t="s">
        <v>7352</v>
      </c>
      <c r="J11889" t="s">
        <v>36104</v>
      </c>
      <c r="K11889" t="s">
        <v>37270</v>
      </c>
      <c r="L11889" t="s">
        <v>2224</v>
      </c>
      <c r="M11889" t="s">
        <v>39877</v>
      </c>
      <c r="N11889" t="s">
        <v>41249</v>
      </c>
      <c r="O11889" t="s">
        <v>41250</v>
      </c>
      <c r="P11889">
        <v>0</v>
      </c>
      <c r="Q11889">
        <v>0</v>
      </c>
      <c r="R11889" t="s">
        <v>41266</v>
      </c>
      <c r="S11889" t="s">
        <v>41978</v>
      </c>
      <c r="T11889" t="s">
        <v>43135</v>
      </c>
      <c r="U11889" t="s">
        <v>52715</v>
      </c>
      <c r="V11889" t="s">
        <v>55672</v>
      </c>
      <c r="W11889" t="s">
        <v>39877</v>
      </c>
      <c r="X11889" t="s">
        <v>41267</v>
      </c>
    </row>
    <row r="11890" spans="1:24">
      <c r="A11890">
        <f>HYPERLINK("https://www.philgeps.gov.ph/GEPSNONPILOT/Tender/SplashBidNoticeAbstractUI.aspx?menuIndex=3&amp;refID=7047642&amp;Result=3","7047642")</f>
        <v>0</v>
      </c>
      <c r="B11890" t="s">
        <v>2484</v>
      </c>
      <c r="C11890" t="s">
        <v>14766</v>
      </c>
      <c r="D11890" t="s">
        <v>16658</v>
      </c>
      <c r="E11890" t="s">
        <v>26981</v>
      </c>
      <c r="F11890" t="s">
        <v>28669</v>
      </c>
      <c r="G11890" t="s">
        <v>28675</v>
      </c>
      <c r="H11890" t="s">
        <v>9998</v>
      </c>
      <c r="I11890" t="s">
        <v>28687</v>
      </c>
      <c r="J11890" t="s">
        <v>28823</v>
      </c>
      <c r="K11890" t="s">
        <v>37205</v>
      </c>
      <c r="M11890" t="s">
        <v>40168</v>
      </c>
      <c r="N11890" t="s">
        <v>41249</v>
      </c>
      <c r="O11890" t="s">
        <v>41250</v>
      </c>
      <c r="P11890">
        <v>0</v>
      </c>
      <c r="Q11890">
        <v>5</v>
      </c>
      <c r="R11890" t="s">
        <v>41266</v>
      </c>
      <c r="S11890" t="s">
        <v>41978</v>
      </c>
      <c r="T11890" t="s">
        <v>42711</v>
      </c>
      <c r="U11890" t="s">
        <v>50245</v>
      </c>
      <c r="W11890" t="s">
        <v>40168</v>
      </c>
      <c r="X11890" t="s">
        <v>41267</v>
      </c>
    </row>
    <row r="11891" spans="1:24">
      <c r="A11891">
        <f>HYPERLINK("https://www.philgeps.gov.ph/GEPSNONPILOT/Tender/SplashBidNoticeAbstractUI.aspx?menuIndex=3&amp;refID=7047510&amp;Result=3","7047510")</f>
        <v>0</v>
      </c>
      <c r="B11891" t="s">
        <v>2198</v>
      </c>
      <c r="C11891" t="s">
        <v>14767</v>
      </c>
      <c r="D11891" t="s">
        <v>16619</v>
      </c>
      <c r="E11891" t="s">
        <v>26982</v>
      </c>
      <c r="F11891" t="s">
        <v>28669</v>
      </c>
      <c r="G11891" t="s">
        <v>28675</v>
      </c>
      <c r="H11891" t="s">
        <v>28686</v>
      </c>
      <c r="I11891" t="s">
        <v>7352</v>
      </c>
      <c r="J11891" t="s">
        <v>36105</v>
      </c>
      <c r="K11891" t="s">
        <v>37290</v>
      </c>
      <c r="M11891" t="s">
        <v>39848</v>
      </c>
      <c r="N11891" t="s">
        <v>41249</v>
      </c>
      <c r="O11891" t="s">
        <v>41250</v>
      </c>
      <c r="P11891">
        <v>0</v>
      </c>
      <c r="Q11891">
        <v>5</v>
      </c>
      <c r="R11891" t="s">
        <v>41266</v>
      </c>
      <c r="S11891" t="s">
        <v>41978</v>
      </c>
      <c r="T11891" t="s">
        <v>42858</v>
      </c>
      <c r="U11891" t="s">
        <v>52728</v>
      </c>
      <c r="V11891" t="s">
        <v>55671</v>
      </c>
      <c r="W11891" t="s">
        <v>39848</v>
      </c>
      <c r="X11891" t="s">
        <v>41267</v>
      </c>
    </row>
    <row r="11892" spans="1:24">
      <c r="A11892">
        <f>HYPERLINK("https://www.philgeps.gov.ph/GEPSNONPILOT/Tender/SplashBidNoticeAbstractUI.aspx?menuIndex=3&amp;refID=7047634&amp;Result=3","7047634")</f>
        <v>0</v>
      </c>
      <c r="B11892" t="s">
        <v>3179</v>
      </c>
      <c r="C11892" t="s">
        <v>14768</v>
      </c>
      <c r="D11892" t="s">
        <v>16691</v>
      </c>
      <c r="E11892" t="s">
        <v>23105</v>
      </c>
      <c r="F11892" t="s">
        <v>28669</v>
      </c>
      <c r="G11892" t="s">
        <v>28675</v>
      </c>
      <c r="H11892" t="s">
        <v>28686</v>
      </c>
      <c r="I11892" t="s">
        <v>28689</v>
      </c>
      <c r="J11892" t="s">
        <v>28836</v>
      </c>
      <c r="K11892" t="s">
        <v>37221</v>
      </c>
      <c r="M11892" t="s">
        <v>40980</v>
      </c>
      <c r="N11892" t="s">
        <v>41249</v>
      </c>
      <c r="O11892" t="s">
        <v>41250</v>
      </c>
      <c r="P11892">
        <v>0</v>
      </c>
      <c r="Q11892">
        <v>0</v>
      </c>
      <c r="R11892" t="s">
        <v>41266</v>
      </c>
      <c r="S11892" t="s">
        <v>41978</v>
      </c>
      <c r="T11892" t="s">
        <v>42703</v>
      </c>
      <c r="U11892" t="s">
        <v>52729</v>
      </c>
      <c r="W11892" t="s">
        <v>40980</v>
      </c>
      <c r="X11892" t="s">
        <v>41267</v>
      </c>
    </row>
    <row r="11893" spans="1:24">
      <c r="A11893">
        <f>HYPERLINK("https://www.philgeps.gov.ph/GEPSNONPILOT/Tender/SplashBidNoticeAbstractUI.aspx?menuIndex=3&amp;refID=7047627&amp;Result=3","7047627")</f>
        <v>0</v>
      </c>
      <c r="B11893" t="s">
        <v>1201</v>
      </c>
      <c r="C11893" t="s">
        <v>14769</v>
      </c>
      <c r="D11893" t="s">
        <v>16646</v>
      </c>
      <c r="E11893" t="s">
        <v>26983</v>
      </c>
      <c r="F11893" t="s">
        <v>28669</v>
      </c>
      <c r="G11893" t="s">
        <v>28675</v>
      </c>
      <c r="H11893" t="s">
        <v>9998</v>
      </c>
      <c r="I11893" t="s">
        <v>28687</v>
      </c>
      <c r="J11893" t="s">
        <v>30062</v>
      </c>
      <c r="K11893" t="s">
        <v>37220</v>
      </c>
      <c r="M11893" t="s">
        <v>38741</v>
      </c>
      <c r="N11893" t="s">
        <v>41249</v>
      </c>
      <c r="O11893" t="s">
        <v>41250</v>
      </c>
      <c r="P11893">
        <v>0</v>
      </c>
      <c r="Q11893">
        <v>7</v>
      </c>
      <c r="R11893" t="s">
        <v>41266</v>
      </c>
      <c r="S11893" t="s">
        <v>41978</v>
      </c>
      <c r="T11893" t="s">
        <v>42759</v>
      </c>
      <c r="U11893" t="s">
        <v>52730</v>
      </c>
      <c r="W11893" t="s">
        <v>55945</v>
      </c>
      <c r="X11893" t="s">
        <v>41267</v>
      </c>
    </row>
    <row r="11894" spans="1:24">
      <c r="A11894">
        <f>HYPERLINK("https://www.philgeps.gov.ph/GEPSNONPILOT/Tender/SplashBidNoticeAbstractUI.aspx?menuIndex=3&amp;refID=7047614&amp;Result=3","7047614")</f>
        <v>0</v>
      </c>
      <c r="B11894" t="s">
        <v>3180</v>
      </c>
      <c r="C11894" t="s">
        <v>14770</v>
      </c>
      <c r="D11894" t="s">
        <v>16639</v>
      </c>
      <c r="E11894" t="s">
        <v>26984</v>
      </c>
      <c r="F11894" t="s">
        <v>28669</v>
      </c>
      <c r="G11894" t="s">
        <v>28675</v>
      </c>
      <c r="H11894" t="s">
        <v>28686</v>
      </c>
      <c r="I11894" t="s">
        <v>28689</v>
      </c>
      <c r="J11894" t="s">
        <v>36106</v>
      </c>
      <c r="K11894" t="s">
        <v>37209</v>
      </c>
      <c r="L11894" t="s">
        <v>3180</v>
      </c>
      <c r="M11894" t="s">
        <v>40981</v>
      </c>
      <c r="N11894" t="s">
        <v>41249</v>
      </c>
      <c r="O11894" t="s">
        <v>41250</v>
      </c>
      <c r="P11894">
        <v>0</v>
      </c>
      <c r="Q11894">
        <v>1</v>
      </c>
      <c r="R11894" t="s">
        <v>41266</v>
      </c>
      <c r="S11894" t="s">
        <v>41978</v>
      </c>
      <c r="T11894" t="s">
        <v>42670</v>
      </c>
      <c r="U11894" t="s">
        <v>52731</v>
      </c>
      <c r="W11894" t="s">
        <v>40981</v>
      </c>
      <c r="X11894" t="s">
        <v>41267</v>
      </c>
    </row>
    <row r="11895" spans="1:24">
      <c r="A11895">
        <f>HYPERLINK("https://www.philgeps.gov.ph/GEPSNONPILOT/Tender/SplashBidNoticeAbstractUI.aspx?menuIndex=3&amp;refID=7047668&amp;Result=3","7047668")</f>
        <v>0</v>
      </c>
      <c r="B11895" t="s">
        <v>3181</v>
      </c>
      <c r="C11895" t="s">
        <v>14771</v>
      </c>
      <c r="D11895" t="s">
        <v>16626</v>
      </c>
      <c r="E11895" t="s">
        <v>26985</v>
      </c>
      <c r="F11895" t="s">
        <v>28669</v>
      </c>
      <c r="G11895" t="s">
        <v>28675</v>
      </c>
      <c r="H11895" t="s">
        <v>9998</v>
      </c>
      <c r="I11895" t="s">
        <v>28688</v>
      </c>
      <c r="J11895" t="s">
        <v>36107</v>
      </c>
      <c r="K11895" t="s">
        <v>37210</v>
      </c>
      <c r="L11895" t="s">
        <v>3181</v>
      </c>
      <c r="M11895" t="s">
        <v>40982</v>
      </c>
      <c r="N11895" t="s">
        <v>41249</v>
      </c>
      <c r="O11895" t="s">
        <v>41250</v>
      </c>
      <c r="P11895">
        <v>0</v>
      </c>
      <c r="Q11895">
        <v>14</v>
      </c>
      <c r="R11895" t="s">
        <v>41266</v>
      </c>
      <c r="S11895" t="s">
        <v>41978</v>
      </c>
      <c r="T11895" t="s">
        <v>42703</v>
      </c>
      <c r="U11895" t="s">
        <v>52732</v>
      </c>
      <c r="W11895" t="s">
        <v>40982</v>
      </c>
      <c r="X11895" t="s">
        <v>41267</v>
      </c>
    </row>
    <row r="11896" spans="1:24">
      <c r="A11896">
        <f>HYPERLINK("https://www.philgeps.gov.ph/GEPSNONPILOT/Tender/SplashBidNoticeAbstractUI.aspx?menuIndex=3&amp;refID=7047611&amp;Result=3","7047611")</f>
        <v>0</v>
      </c>
      <c r="B11896" t="s">
        <v>221</v>
      </c>
      <c r="C11896" t="s">
        <v>14772</v>
      </c>
      <c r="E11896" t="s">
        <v>26986</v>
      </c>
      <c r="F11896" t="s">
        <v>28669</v>
      </c>
      <c r="G11896" t="s">
        <v>28675</v>
      </c>
      <c r="H11896" t="s">
        <v>28686</v>
      </c>
      <c r="I11896" t="s">
        <v>28689</v>
      </c>
      <c r="J11896" t="s">
        <v>29003</v>
      </c>
      <c r="K11896" t="s">
        <v>37209</v>
      </c>
      <c r="M11896" t="s">
        <v>37699</v>
      </c>
      <c r="N11896" t="s">
        <v>41249</v>
      </c>
      <c r="O11896" t="s">
        <v>41250</v>
      </c>
      <c r="P11896">
        <v>0</v>
      </c>
      <c r="Q11896">
        <v>0</v>
      </c>
      <c r="R11896" t="s">
        <v>41266</v>
      </c>
      <c r="S11896" t="s">
        <v>41978</v>
      </c>
      <c r="T11896" t="s">
        <v>42759</v>
      </c>
      <c r="U11896" t="s">
        <v>52733</v>
      </c>
      <c r="W11896" t="s">
        <v>37699</v>
      </c>
      <c r="X11896" t="s">
        <v>41267</v>
      </c>
    </row>
    <row r="11897" spans="1:24">
      <c r="A11897">
        <f>HYPERLINK("https://www.philgeps.gov.ph/GEPSNONPILOT/Tender/SplashBidNoticeAbstractUI.aspx?menuIndex=3&amp;refID=7047591&amp;Result=3","7047591")</f>
        <v>0</v>
      </c>
      <c r="B11897" t="s">
        <v>3179</v>
      </c>
      <c r="C11897" t="s">
        <v>14773</v>
      </c>
      <c r="D11897" t="s">
        <v>16691</v>
      </c>
      <c r="E11897" t="s">
        <v>20956</v>
      </c>
      <c r="F11897" t="s">
        <v>28669</v>
      </c>
      <c r="G11897" t="s">
        <v>28675</v>
      </c>
      <c r="H11897" t="s">
        <v>28686</v>
      </c>
      <c r="I11897" t="s">
        <v>28689</v>
      </c>
      <c r="J11897" t="s">
        <v>29112</v>
      </c>
      <c r="K11897" t="s">
        <v>37258</v>
      </c>
      <c r="M11897" t="s">
        <v>40980</v>
      </c>
      <c r="N11897" t="s">
        <v>41249</v>
      </c>
      <c r="O11897" t="s">
        <v>41250</v>
      </c>
      <c r="Q11897">
        <v>1</v>
      </c>
      <c r="R11897" t="s">
        <v>41266</v>
      </c>
      <c r="S11897" t="s">
        <v>41996</v>
      </c>
      <c r="T11897" t="s">
        <v>43136</v>
      </c>
      <c r="U11897" t="s">
        <v>52734</v>
      </c>
      <c r="W11897" t="s">
        <v>40980</v>
      </c>
      <c r="X11897" t="s">
        <v>41267</v>
      </c>
    </row>
    <row r="11898" spans="1:24">
      <c r="A11898">
        <f>HYPERLINK("https://www.philgeps.gov.ph/GEPSNONPILOT/Tender/SplashBidNoticeAbstractUI.aspx?menuIndex=3&amp;refID=7047557&amp;Result=3","7047557")</f>
        <v>0</v>
      </c>
      <c r="B11898" t="s">
        <v>3179</v>
      </c>
      <c r="C11898" t="s">
        <v>14774</v>
      </c>
      <c r="D11898" t="s">
        <v>16691</v>
      </c>
      <c r="E11898" t="s">
        <v>23768</v>
      </c>
      <c r="F11898" t="s">
        <v>28669</v>
      </c>
      <c r="G11898" t="s">
        <v>28675</v>
      </c>
      <c r="H11898" t="s">
        <v>28686</v>
      </c>
      <c r="I11898" t="s">
        <v>28689</v>
      </c>
      <c r="J11898" t="s">
        <v>28851</v>
      </c>
      <c r="K11898" t="s">
        <v>37221</v>
      </c>
      <c r="M11898" t="s">
        <v>40980</v>
      </c>
      <c r="N11898" t="s">
        <v>41249</v>
      </c>
      <c r="O11898" t="s">
        <v>41250</v>
      </c>
      <c r="P11898">
        <v>0</v>
      </c>
      <c r="Q11898">
        <v>0</v>
      </c>
      <c r="R11898" t="s">
        <v>41266</v>
      </c>
      <c r="S11898" t="s">
        <v>41978</v>
      </c>
      <c r="T11898" t="s">
        <v>42703</v>
      </c>
      <c r="U11898" t="s">
        <v>52735</v>
      </c>
      <c r="W11898" t="s">
        <v>40980</v>
      </c>
      <c r="X11898" t="s">
        <v>41267</v>
      </c>
    </row>
    <row r="11899" spans="1:24">
      <c r="A11899">
        <f>HYPERLINK("https://www.philgeps.gov.ph/GEPSNONPILOT/Tender/SplashBidNoticeAbstractUI.aspx?menuIndex=3&amp;refID=7047532&amp;Result=3","7047532")</f>
        <v>0</v>
      </c>
      <c r="B11899" t="s">
        <v>2180</v>
      </c>
      <c r="C11899" t="s">
        <v>14775</v>
      </c>
      <c r="D11899" t="s">
        <v>16620</v>
      </c>
      <c r="E11899" t="s">
        <v>26987</v>
      </c>
      <c r="F11899" t="s">
        <v>28671</v>
      </c>
      <c r="G11899" t="s">
        <v>28675</v>
      </c>
      <c r="H11899" t="s">
        <v>9998</v>
      </c>
      <c r="I11899" t="s">
        <v>28697</v>
      </c>
      <c r="J11899" t="s">
        <v>30062</v>
      </c>
      <c r="K11899" t="s">
        <v>37206</v>
      </c>
      <c r="M11899" t="s">
        <v>39829</v>
      </c>
      <c r="N11899" t="s">
        <v>41249</v>
      </c>
      <c r="O11899" t="s">
        <v>41250</v>
      </c>
      <c r="Q11899">
        <v>6</v>
      </c>
      <c r="R11899" t="s">
        <v>41266</v>
      </c>
      <c r="S11899" t="s">
        <v>41997</v>
      </c>
      <c r="T11899" t="s">
        <v>42767</v>
      </c>
      <c r="U11899" t="s">
        <v>52736</v>
      </c>
      <c r="V11899" t="s">
        <v>55036</v>
      </c>
      <c r="W11899" t="s">
        <v>55981</v>
      </c>
      <c r="X11899" t="s">
        <v>41267</v>
      </c>
    </row>
    <row r="11900" spans="1:24">
      <c r="A11900">
        <f>HYPERLINK("https://www.philgeps.gov.ph/GEPSNONPILOT/Tender/SplashBidNoticeAbstractUI.aspx?menuIndex=3&amp;refID=7047625&amp;Result=3","7047625")</f>
        <v>0</v>
      </c>
      <c r="B11900" t="s">
        <v>2484</v>
      </c>
      <c r="C11900" t="s">
        <v>14776</v>
      </c>
      <c r="D11900" t="s">
        <v>16658</v>
      </c>
      <c r="E11900" t="s">
        <v>26988</v>
      </c>
      <c r="F11900" t="s">
        <v>28669</v>
      </c>
      <c r="G11900" t="s">
        <v>28675</v>
      </c>
      <c r="H11900" t="s">
        <v>9998</v>
      </c>
      <c r="I11900" t="s">
        <v>28739</v>
      </c>
      <c r="J11900" t="s">
        <v>28823</v>
      </c>
      <c r="K11900" t="s">
        <v>37207</v>
      </c>
      <c r="M11900" t="s">
        <v>40168</v>
      </c>
      <c r="N11900" t="s">
        <v>41249</v>
      </c>
      <c r="O11900" t="s">
        <v>41250</v>
      </c>
      <c r="Q11900">
        <v>5</v>
      </c>
      <c r="R11900" t="s">
        <v>41266</v>
      </c>
      <c r="S11900" t="s">
        <v>41998</v>
      </c>
      <c r="T11900" t="s">
        <v>42711</v>
      </c>
      <c r="U11900" t="s">
        <v>52737</v>
      </c>
      <c r="W11900" t="s">
        <v>40168</v>
      </c>
      <c r="X11900" t="s">
        <v>41267</v>
      </c>
    </row>
    <row r="11901" spans="1:24">
      <c r="A11901">
        <f>HYPERLINK("https://www.philgeps.gov.ph/GEPSNONPILOT/Tender/SplashBidNoticeAbstractUI.aspx?menuIndex=3&amp;refID=7047822&amp;Result=3","7047822")</f>
        <v>0</v>
      </c>
      <c r="B11901" t="s">
        <v>3182</v>
      </c>
      <c r="C11901" t="s">
        <v>14777</v>
      </c>
      <c r="D11901" t="s">
        <v>16621</v>
      </c>
      <c r="E11901" t="s">
        <v>26989</v>
      </c>
      <c r="F11901" t="s">
        <v>28669</v>
      </c>
      <c r="G11901" t="s">
        <v>28675</v>
      </c>
      <c r="H11901" t="s">
        <v>9998</v>
      </c>
      <c r="I11901" t="s">
        <v>7352</v>
      </c>
      <c r="J11901" t="s">
        <v>36108</v>
      </c>
      <c r="K11901" t="s">
        <v>37205</v>
      </c>
      <c r="M11901" t="s">
        <v>40983</v>
      </c>
      <c r="N11901" t="s">
        <v>41249</v>
      </c>
      <c r="O11901" t="s">
        <v>41250</v>
      </c>
      <c r="P11901">
        <v>0</v>
      </c>
      <c r="Q11901">
        <v>3</v>
      </c>
      <c r="R11901" t="s">
        <v>41266</v>
      </c>
      <c r="S11901" t="s">
        <v>41978</v>
      </c>
      <c r="T11901" t="s">
        <v>42809</v>
      </c>
      <c r="U11901" t="s">
        <v>52738</v>
      </c>
      <c r="W11901" t="s">
        <v>40983</v>
      </c>
      <c r="X11901" t="s">
        <v>41267</v>
      </c>
    </row>
    <row r="11902" spans="1:24">
      <c r="A11902">
        <f>HYPERLINK("https://www.philgeps.gov.ph/GEPSNONPILOT/Tender/SplashBidNoticeAbstractUI.aspx?menuIndex=3&amp;refID=7047600&amp;Result=3","7047600")</f>
        <v>0</v>
      </c>
      <c r="B11902" t="s">
        <v>2667</v>
      </c>
      <c r="C11902" t="s">
        <v>14778</v>
      </c>
      <c r="D11902" t="s">
        <v>16654</v>
      </c>
      <c r="E11902" t="s">
        <v>26990</v>
      </c>
      <c r="F11902" t="s">
        <v>28669</v>
      </c>
      <c r="G11902" t="s">
        <v>28675</v>
      </c>
      <c r="H11902" t="s">
        <v>9998</v>
      </c>
      <c r="I11902" t="s">
        <v>28706</v>
      </c>
      <c r="J11902" t="s">
        <v>36109</v>
      </c>
      <c r="K11902" t="s">
        <v>37209</v>
      </c>
      <c r="M11902" t="s">
        <v>40375</v>
      </c>
      <c r="N11902" t="s">
        <v>41249</v>
      </c>
      <c r="O11902" t="s">
        <v>41250</v>
      </c>
      <c r="Q11902">
        <v>2</v>
      </c>
      <c r="R11902" t="s">
        <v>41266</v>
      </c>
      <c r="S11902" t="s">
        <v>41999</v>
      </c>
      <c r="T11902" t="s">
        <v>42734</v>
      </c>
      <c r="U11902" t="s">
        <v>52739</v>
      </c>
      <c r="W11902" t="s">
        <v>40375</v>
      </c>
      <c r="X11902" t="s">
        <v>41267</v>
      </c>
    </row>
    <row r="11903" spans="1:24">
      <c r="A11903">
        <f>HYPERLINK("https://www.philgeps.gov.ph/GEPSNONPILOT/Tender/SplashBidNoticeAbstractUI.aspx?menuIndex=3&amp;refID=7047550&amp;Result=3","7047550")</f>
        <v>0</v>
      </c>
      <c r="B11903" t="s">
        <v>188</v>
      </c>
      <c r="C11903" t="s">
        <v>14779</v>
      </c>
      <c r="D11903" t="s">
        <v>16664</v>
      </c>
      <c r="E11903" t="s">
        <v>26991</v>
      </c>
      <c r="F11903" t="s">
        <v>28669</v>
      </c>
      <c r="G11903" t="s">
        <v>28675</v>
      </c>
      <c r="H11903" t="s">
        <v>28686</v>
      </c>
      <c r="I11903" t="s">
        <v>7352</v>
      </c>
      <c r="J11903" t="s">
        <v>36110</v>
      </c>
      <c r="K11903" t="s">
        <v>37213</v>
      </c>
      <c r="M11903" t="s">
        <v>37666</v>
      </c>
      <c r="N11903" t="s">
        <v>41249</v>
      </c>
      <c r="O11903" t="s">
        <v>41250</v>
      </c>
      <c r="P11903">
        <v>0</v>
      </c>
      <c r="Q11903">
        <v>1</v>
      </c>
      <c r="R11903" t="s">
        <v>41266</v>
      </c>
      <c r="S11903" t="s">
        <v>41978</v>
      </c>
      <c r="T11903" t="s">
        <v>42687</v>
      </c>
      <c r="U11903" t="s">
        <v>52740</v>
      </c>
      <c r="W11903" t="s">
        <v>37666</v>
      </c>
      <c r="X11903" t="s">
        <v>41267</v>
      </c>
    </row>
    <row r="11904" spans="1:24">
      <c r="A11904">
        <f>HYPERLINK("https://www.philgeps.gov.ph/GEPSNONPILOT/Tender/SplashBidNoticeAbstractUI.aspx?menuIndex=3&amp;refID=7047856&amp;Result=3","7047856")</f>
        <v>0</v>
      </c>
      <c r="B11904" t="s">
        <v>474</v>
      </c>
      <c r="C11904" t="s">
        <v>14780</v>
      </c>
      <c r="D11904" t="s">
        <v>16668</v>
      </c>
      <c r="E11904" t="s">
        <v>26992</v>
      </c>
      <c r="F11904" t="s">
        <v>28669</v>
      </c>
      <c r="G11904" t="s">
        <v>28675</v>
      </c>
      <c r="H11904" t="s">
        <v>9998</v>
      </c>
      <c r="I11904" t="s">
        <v>28714</v>
      </c>
      <c r="J11904" t="s">
        <v>36111</v>
      </c>
      <c r="K11904" t="s">
        <v>37206</v>
      </c>
      <c r="L11904" t="s">
        <v>474</v>
      </c>
      <c r="M11904" t="s">
        <v>37962</v>
      </c>
      <c r="N11904" t="s">
        <v>41249</v>
      </c>
      <c r="O11904" t="s">
        <v>41250</v>
      </c>
      <c r="P11904">
        <v>0</v>
      </c>
      <c r="Q11904">
        <v>31</v>
      </c>
      <c r="R11904" t="s">
        <v>41266</v>
      </c>
      <c r="S11904" t="s">
        <v>41978</v>
      </c>
      <c r="T11904" t="s">
        <v>42711</v>
      </c>
      <c r="U11904" t="s">
        <v>52741</v>
      </c>
      <c r="V11904" t="s">
        <v>55159</v>
      </c>
      <c r="W11904" t="s">
        <v>37962</v>
      </c>
      <c r="X11904" t="s">
        <v>41267</v>
      </c>
    </row>
    <row r="11905" spans="1:24">
      <c r="A11905">
        <f>HYPERLINK("https://www.philgeps.gov.ph/GEPSNONPILOT/Tender/SplashBidNoticeAbstractUI.aspx?menuIndex=3&amp;refID=7047708&amp;Result=3","7047708")</f>
        <v>0</v>
      </c>
      <c r="B11905" t="s">
        <v>1306</v>
      </c>
      <c r="C11905" t="s">
        <v>14781</v>
      </c>
      <c r="D11905" t="s">
        <v>16680</v>
      </c>
      <c r="E11905" t="s">
        <v>19031</v>
      </c>
      <c r="F11905" t="s">
        <v>28669</v>
      </c>
      <c r="G11905" t="s">
        <v>28675</v>
      </c>
      <c r="H11905" t="s">
        <v>9998</v>
      </c>
      <c r="I11905" t="s">
        <v>28695</v>
      </c>
      <c r="J11905" t="s">
        <v>36112</v>
      </c>
      <c r="K11905" t="s">
        <v>37206</v>
      </c>
      <c r="M11905" t="s">
        <v>38858</v>
      </c>
      <c r="N11905" t="s">
        <v>41249</v>
      </c>
      <c r="O11905" t="s">
        <v>41250</v>
      </c>
      <c r="P11905">
        <v>0</v>
      </c>
      <c r="Q11905">
        <v>0</v>
      </c>
      <c r="R11905" t="s">
        <v>41266</v>
      </c>
      <c r="S11905" t="s">
        <v>41978</v>
      </c>
      <c r="T11905" t="s">
        <v>42876</v>
      </c>
      <c r="U11905" t="s">
        <v>52742</v>
      </c>
      <c r="V11905" t="s">
        <v>55675</v>
      </c>
      <c r="W11905" t="s">
        <v>38858</v>
      </c>
      <c r="X11905" t="s">
        <v>41267</v>
      </c>
    </row>
    <row r="11906" spans="1:24">
      <c r="A11906">
        <f>HYPERLINK("https://www.philgeps.gov.ph/GEPSNONPILOT/Tender/SplashBidNoticeAbstractUI.aspx?menuIndex=3&amp;refID=7047848&amp;Result=3","7047848")</f>
        <v>0</v>
      </c>
      <c r="B11906" t="s">
        <v>1201</v>
      </c>
      <c r="C11906" t="s">
        <v>14782</v>
      </c>
      <c r="D11906" t="s">
        <v>16646</v>
      </c>
      <c r="E11906" t="s">
        <v>26993</v>
      </c>
      <c r="F11906" t="s">
        <v>28669</v>
      </c>
      <c r="G11906" t="s">
        <v>28675</v>
      </c>
      <c r="H11906" t="s">
        <v>9998</v>
      </c>
      <c r="I11906" t="s">
        <v>28710</v>
      </c>
      <c r="J11906" t="s">
        <v>29053</v>
      </c>
      <c r="K11906" t="s">
        <v>37206</v>
      </c>
      <c r="M11906" t="s">
        <v>38741</v>
      </c>
      <c r="N11906" t="s">
        <v>41249</v>
      </c>
      <c r="O11906" t="s">
        <v>41250</v>
      </c>
      <c r="Q11906">
        <v>6</v>
      </c>
      <c r="R11906" t="s">
        <v>41266</v>
      </c>
      <c r="S11906" t="s">
        <v>42000</v>
      </c>
      <c r="T11906" t="s">
        <v>42759</v>
      </c>
      <c r="U11906" t="s">
        <v>52743</v>
      </c>
      <c r="W11906" t="s">
        <v>55945</v>
      </c>
      <c r="X11906" t="s">
        <v>41267</v>
      </c>
    </row>
    <row r="11907" spans="1:24">
      <c r="A11907">
        <f>HYPERLINK("https://www.philgeps.gov.ph/GEPSNONPILOT/Tender/SplashBidNoticeAbstractUI.aspx?menuIndex=3&amp;refID=7047854&amp;Result=3","7047854")</f>
        <v>0</v>
      </c>
      <c r="B11907" t="s">
        <v>269</v>
      </c>
      <c r="C11907" t="s">
        <v>14783</v>
      </c>
      <c r="D11907" t="s">
        <v>16619</v>
      </c>
      <c r="E11907" t="s">
        <v>26994</v>
      </c>
      <c r="F11907" t="s">
        <v>28669</v>
      </c>
      <c r="G11907" t="s">
        <v>28675</v>
      </c>
      <c r="H11907" t="s">
        <v>9998</v>
      </c>
      <c r="I11907" t="s">
        <v>28695</v>
      </c>
      <c r="J11907" t="s">
        <v>36113</v>
      </c>
      <c r="K11907" t="s">
        <v>37209</v>
      </c>
      <c r="M11907" t="s">
        <v>37747</v>
      </c>
      <c r="N11907" t="s">
        <v>41249</v>
      </c>
      <c r="O11907" t="s">
        <v>41250</v>
      </c>
      <c r="P11907">
        <v>0</v>
      </c>
      <c r="Q11907">
        <v>0</v>
      </c>
      <c r="R11907" t="s">
        <v>41266</v>
      </c>
      <c r="S11907" t="s">
        <v>41978</v>
      </c>
      <c r="T11907" t="s">
        <v>42679</v>
      </c>
      <c r="U11907" t="s">
        <v>52744</v>
      </c>
      <c r="V11907" t="s">
        <v>54319</v>
      </c>
      <c r="W11907" t="s">
        <v>37747</v>
      </c>
      <c r="X11907" t="s">
        <v>41267</v>
      </c>
    </row>
    <row r="11908" spans="1:24">
      <c r="A11908">
        <f>HYPERLINK("https://www.philgeps.gov.ph/GEPSNONPILOT/Tender/SplashBidNoticeAbstractUI.aspx?menuIndex=3&amp;refID=7047823&amp;Result=3","7047823")</f>
        <v>0</v>
      </c>
      <c r="B11908" t="s">
        <v>3099</v>
      </c>
      <c r="C11908" t="s">
        <v>14784</v>
      </c>
      <c r="D11908" t="s">
        <v>16643</v>
      </c>
      <c r="E11908" t="s">
        <v>26995</v>
      </c>
      <c r="F11908" t="s">
        <v>28669</v>
      </c>
      <c r="G11908" t="s">
        <v>28675</v>
      </c>
      <c r="H11908" t="s">
        <v>9998</v>
      </c>
      <c r="I11908" t="s">
        <v>28726</v>
      </c>
      <c r="J11908" t="s">
        <v>28905</v>
      </c>
      <c r="K11908" t="s">
        <v>37206</v>
      </c>
      <c r="M11908" t="s">
        <v>40886</v>
      </c>
      <c r="N11908" t="s">
        <v>41249</v>
      </c>
      <c r="O11908" t="s">
        <v>41250</v>
      </c>
      <c r="P11908">
        <v>0</v>
      </c>
      <c r="Q11908">
        <v>7</v>
      </c>
      <c r="R11908" t="s">
        <v>41266</v>
      </c>
      <c r="S11908" t="s">
        <v>41978</v>
      </c>
      <c r="T11908" t="s">
        <v>42698</v>
      </c>
      <c r="U11908" t="s">
        <v>52745</v>
      </c>
      <c r="W11908" t="s">
        <v>40886</v>
      </c>
      <c r="X11908" t="s">
        <v>41267</v>
      </c>
    </row>
    <row r="11909" spans="1:24">
      <c r="A11909">
        <f>HYPERLINK("https://www.philgeps.gov.ph/GEPSNONPILOT/Tender/SplashBidNoticeAbstractUI.aspx?menuIndex=3&amp;refID=7047847&amp;Result=3","7047847")</f>
        <v>0</v>
      </c>
      <c r="B11909" t="s">
        <v>3182</v>
      </c>
      <c r="C11909" t="s">
        <v>14785</v>
      </c>
      <c r="D11909" t="s">
        <v>16621</v>
      </c>
      <c r="E11909" t="s">
        <v>26996</v>
      </c>
      <c r="F11909" t="s">
        <v>28669</v>
      </c>
      <c r="G11909" t="s">
        <v>28679</v>
      </c>
      <c r="H11909" t="s">
        <v>9998</v>
      </c>
      <c r="I11909" t="s">
        <v>28713</v>
      </c>
      <c r="J11909" t="s">
        <v>36114</v>
      </c>
      <c r="K11909" t="s">
        <v>37205</v>
      </c>
      <c r="M11909" t="s">
        <v>40983</v>
      </c>
      <c r="N11909" t="s">
        <v>41249</v>
      </c>
      <c r="O11909" t="s">
        <v>41250</v>
      </c>
      <c r="P11909">
        <v>0</v>
      </c>
      <c r="Q11909">
        <v>14</v>
      </c>
      <c r="R11909" t="s">
        <v>41266</v>
      </c>
      <c r="S11909" t="s">
        <v>41978</v>
      </c>
      <c r="T11909" t="s">
        <v>43046</v>
      </c>
      <c r="U11909" t="s">
        <v>52738</v>
      </c>
      <c r="W11909" t="s">
        <v>40983</v>
      </c>
      <c r="X11909" t="s">
        <v>41267</v>
      </c>
    </row>
    <row r="11910" spans="1:24">
      <c r="A11910">
        <f>HYPERLINK("https://www.philgeps.gov.ph/GEPSNONPILOT/Tender/SplashBidNoticeAbstractUI.aspx?menuIndex=3&amp;refID=7047846&amp;Result=3","7047846")</f>
        <v>0</v>
      </c>
      <c r="B11910" t="s">
        <v>1260</v>
      </c>
      <c r="C11910" t="s">
        <v>14786</v>
      </c>
      <c r="D11910" t="s">
        <v>16618</v>
      </c>
      <c r="E11910" t="s">
        <v>26997</v>
      </c>
      <c r="F11910" t="s">
        <v>28669</v>
      </c>
      <c r="G11910" t="s">
        <v>28675</v>
      </c>
      <c r="H11910" t="s">
        <v>28686</v>
      </c>
      <c r="I11910" t="s">
        <v>28689</v>
      </c>
      <c r="J11910" t="s">
        <v>28836</v>
      </c>
      <c r="K11910" t="s">
        <v>37213</v>
      </c>
      <c r="M11910" t="s">
        <v>38809</v>
      </c>
      <c r="N11910" t="s">
        <v>41249</v>
      </c>
      <c r="O11910" t="s">
        <v>41250</v>
      </c>
      <c r="P11910">
        <v>0</v>
      </c>
      <c r="Q11910">
        <v>1</v>
      </c>
      <c r="R11910" t="s">
        <v>41266</v>
      </c>
      <c r="S11910" t="s">
        <v>41978</v>
      </c>
      <c r="T11910" t="s">
        <v>42690</v>
      </c>
      <c r="U11910" t="s">
        <v>52746</v>
      </c>
      <c r="W11910" t="s">
        <v>38809</v>
      </c>
      <c r="X11910" t="s">
        <v>41267</v>
      </c>
    </row>
    <row r="11911" spans="1:24">
      <c r="A11911">
        <f>HYPERLINK("https://www.philgeps.gov.ph/GEPSNONPILOT/Tender/SplashBidNoticeAbstractUI.aspx?menuIndex=3&amp;refID=7047414&amp;Result=3","7047414")</f>
        <v>0</v>
      </c>
      <c r="B11911" t="s">
        <v>2484</v>
      </c>
      <c r="C11911" t="s">
        <v>14787</v>
      </c>
      <c r="D11911" t="s">
        <v>16658</v>
      </c>
      <c r="E11911" t="s">
        <v>26998</v>
      </c>
      <c r="F11911" t="s">
        <v>28669</v>
      </c>
      <c r="G11911" t="s">
        <v>28675</v>
      </c>
      <c r="H11911" t="s">
        <v>28686</v>
      </c>
      <c r="I11911" t="s">
        <v>28689</v>
      </c>
      <c r="J11911" t="s">
        <v>36115</v>
      </c>
      <c r="K11911" t="s">
        <v>37220</v>
      </c>
      <c r="M11911" t="s">
        <v>40168</v>
      </c>
      <c r="N11911" t="s">
        <v>41249</v>
      </c>
      <c r="O11911" t="s">
        <v>41250</v>
      </c>
      <c r="P11911">
        <v>0</v>
      </c>
      <c r="Q11911">
        <v>0</v>
      </c>
      <c r="R11911" t="s">
        <v>41266</v>
      </c>
      <c r="S11911" t="s">
        <v>41978</v>
      </c>
      <c r="T11911" t="s">
        <v>42711</v>
      </c>
      <c r="U11911" t="s">
        <v>51498</v>
      </c>
      <c r="W11911" t="s">
        <v>40168</v>
      </c>
      <c r="X11911" t="s">
        <v>41267</v>
      </c>
    </row>
    <row r="11912" spans="1:24">
      <c r="A11912">
        <f>HYPERLINK("https://www.philgeps.gov.ph/GEPSNONPILOT/Tender/SplashBidNoticeAbstractUI.aspx?menuIndex=3&amp;refID=7047806&amp;Result=3","7047806")</f>
        <v>0</v>
      </c>
      <c r="B11912" t="s">
        <v>2667</v>
      </c>
      <c r="C11912" t="s">
        <v>14788</v>
      </c>
      <c r="D11912" t="s">
        <v>16654</v>
      </c>
      <c r="E11912" t="s">
        <v>26999</v>
      </c>
      <c r="F11912" t="s">
        <v>28669</v>
      </c>
      <c r="G11912" t="s">
        <v>28675</v>
      </c>
      <c r="H11912" t="s">
        <v>9998</v>
      </c>
      <c r="I11912" t="s">
        <v>28706</v>
      </c>
      <c r="J11912" t="s">
        <v>29053</v>
      </c>
      <c r="K11912" t="s">
        <v>37209</v>
      </c>
      <c r="M11912" t="s">
        <v>40375</v>
      </c>
      <c r="N11912" t="s">
        <v>41249</v>
      </c>
      <c r="O11912" t="s">
        <v>41250</v>
      </c>
      <c r="Q11912">
        <v>2</v>
      </c>
      <c r="R11912" t="s">
        <v>41266</v>
      </c>
      <c r="S11912" t="s">
        <v>42001</v>
      </c>
      <c r="T11912" t="s">
        <v>42734</v>
      </c>
      <c r="U11912" t="s">
        <v>52747</v>
      </c>
      <c r="W11912" t="s">
        <v>40375</v>
      </c>
      <c r="X11912" t="s">
        <v>41267</v>
      </c>
    </row>
    <row r="11913" spans="1:24">
      <c r="A11913">
        <f>HYPERLINK("https://www.philgeps.gov.ph/GEPSNONPILOT/Tender/SplashBidNoticeAbstractUI.aspx?menuIndex=3&amp;refID=7047777&amp;Result=3","7047777")</f>
        <v>0</v>
      </c>
      <c r="B11913" t="s">
        <v>188</v>
      </c>
      <c r="C11913" t="s">
        <v>14789</v>
      </c>
      <c r="D11913" t="s">
        <v>16664</v>
      </c>
      <c r="E11913" t="s">
        <v>27000</v>
      </c>
      <c r="F11913" t="s">
        <v>28669</v>
      </c>
      <c r="G11913" t="s">
        <v>28675</v>
      </c>
      <c r="H11913" t="s">
        <v>9998</v>
      </c>
      <c r="I11913" t="s">
        <v>3718</v>
      </c>
      <c r="J11913" t="s">
        <v>36116</v>
      </c>
      <c r="K11913" t="s">
        <v>37220</v>
      </c>
      <c r="M11913" t="s">
        <v>37666</v>
      </c>
      <c r="N11913" t="s">
        <v>41249</v>
      </c>
      <c r="O11913" t="s">
        <v>41250</v>
      </c>
      <c r="P11913">
        <v>0</v>
      </c>
      <c r="Q11913">
        <v>10</v>
      </c>
      <c r="R11913" t="s">
        <v>41266</v>
      </c>
      <c r="S11913" t="s">
        <v>41978</v>
      </c>
      <c r="T11913" t="s">
        <v>42687</v>
      </c>
      <c r="U11913" t="s">
        <v>52748</v>
      </c>
      <c r="W11913" t="s">
        <v>37666</v>
      </c>
      <c r="X11913" t="s">
        <v>41267</v>
      </c>
    </row>
    <row r="11914" spans="1:24">
      <c r="A11914">
        <f>HYPERLINK("https://www.philgeps.gov.ph/GEPSNONPILOT/Tender/SplashBidNoticeAbstractUI.aspx?menuIndex=3&amp;refID=7047776&amp;Result=3","7047776")</f>
        <v>0</v>
      </c>
      <c r="B11914" t="s">
        <v>1042</v>
      </c>
      <c r="C11914" t="s">
        <v>14790</v>
      </c>
      <c r="D11914" t="s">
        <v>16625</v>
      </c>
      <c r="E11914" t="s">
        <v>27001</v>
      </c>
      <c r="F11914" t="s">
        <v>28669</v>
      </c>
      <c r="G11914" t="s">
        <v>28675</v>
      </c>
      <c r="H11914" t="s">
        <v>28686</v>
      </c>
      <c r="I11914" t="s">
        <v>28689</v>
      </c>
      <c r="J11914" t="s">
        <v>29320</v>
      </c>
      <c r="K11914" t="s">
        <v>37213</v>
      </c>
      <c r="M11914" t="s">
        <v>38573</v>
      </c>
      <c r="N11914" t="s">
        <v>41249</v>
      </c>
      <c r="O11914" t="s">
        <v>41250</v>
      </c>
      <c r="P11914">
        <v>0</v>
      </c>
      <c r="Q11914">
        <v>1</v>
      </c>
      <c r="R11914" t="s">
        <v>41266</v>
      </c>
      <c r="S11914" t="s">
        <v>41978</v>
      </c>
      <c r="T11914" t="s">
        <v>42682</v>
      </c>
      <c r="U11914" t="s">
        <v>52749</v>
      </c>
      <c r="W11914" t="s">
        <v>38573</v>
      </c>
      <c r="X11914" t="s">
        <v>41267</v>
      </c>
    </row>
    <row r="11915" spans="1:24">
      <c r="A11915">
        <f>HYPERLINK("https://www.philgeps.gov.ph/GEPSNONPILOT/Tender/SplashBidNoticeAbstractUI.aspx?menuIndex=3&amp;refID=7047754&amp;Result=3","7047754")</f>
        <v>0</v>
      </c>
      <c r="B11915" t="s">
        <v>1306</v>
      </c>
      <c r="C11915" t="s">
        <v>14791</v>
      </c>
      <c r="D11915" t="s">
        <v>16680</v>
      </c>
      <c r="E11915" t="s">
        <v>17725</v>
      </c>
      <c r="F11915" t="s">
        <v>28669</v>
      </c>
      <c r="G11915" t="s">
        <v>28675</v>
      </c>
      <c r="H11915" t="s">
        <v>9998</v>
      </c>
      <c r="I11915" t="s">
        <v>7352</v>
      </c>
      <c r="J11915" t="s">
        <v>36117</v>
      </c>
      <c r="K11915" t="s">
        <v>37206</v>
      </c>
      <c r="M11915" t="s">
        <v>38858</v>
      </c>
      <c r="N11915" t="s">
        <v>41249</v>
      </c>
      <c r="O11915" t="s">
        <v>41250</v>
      </c>
      <c r="P11915">
        <v>0</v>
      </c>
      <c r="Q11915">
        <v>1</v>
      </c>
      <c r="R11915" t="s">
        <v>41266</v>
      </c>
      <c r="S11915" t="s">
        <v>41978</v>
      </c>
      <c r="T11915" t="s">
        <v>42876</v>
      </c>
      <c r="U11915" t="s">
        <v>52750</v>
      </c>
      <c r="V11915" t="s">
        <v>55676</v>
      </c>
      <c r="W11915" t="s">
        <v>38858</v>
      </c>
      <c r="X11915" t="s">
        <v>41267</v>
      </c>
    </row>
    <row r="11916" spans="1:24">
      <c r="A11916">
        <f>HYPERLINK("https://www.philgeps.gov.ph/GEPSNONPILOT/Tender/SplashBidNoticeAbstractUI.aspx?menuIndex=3&amp;refID=7047735&amp;Result=3","7047735")</f>
        <v>0</v>
      </c>
      <c r="B11916" t="s">
        <v>3101</v>
      </c>
      <c r="C11916" t="s">
        <v>14792</v>
      </c>
      <c r="D11916" t="s">
        <v>16668</v>
      </c>
      <c r="E11916" t="s">
        <v>17903</v>
      </c>
      <c r="F11916" t="s">
        <v>28669</v>
      </c>
      <c r="G11916" t="s">
        <v>28675</v>
      </c>
      <c r="H11916" t="s">
        <v>28686</v>
      </c>
      <c r="I11916" t="s">
        <v>28689</v>
      </c>
      <c r="J11916" t="s">
        <v>28850</v>
      </c>
      <c r="K11916" t="s">
        <v>37471</v>
      </c>
      <c r="M11916" t="s">
        <v>40888</v>
      </c>
      <c r="N11916" t="s">
        <v>41249</v>
      </c>
      <c r="O11916" t="s">
        <v>41250</v>
      </c>
      <c r="P11916">
        <v>0</v>
      </c>
      <c r="Q11916">
        <v>1</v>
      </c>
      <c r="R11916" t="s">
        <v>41266</v>
      </c>
      <c r="S11916" t="s">
        <v>41978</v>
      </c>
      <c r="T11916" t="s">
        <v>42679</v>
      </c>
      <c r="U11916" t="s">
        <v>52751</v>
      </c>
      <c r="W11916" t="s">
        <v>40888</v>
      </c>
      <c r="X11916" t="s">
        <v>41267</v>
      </c>
    </row>
    <row r="11917" spans="1:24">
      <c r="A11917">
        <f>HYPERLINK("https://www.philgeps.gov.ph/GEPSNONPILOT/Tender/SplashBidNoticeAbstractUI.aspx?menuIndex=3&amp;refID=7047720&amp;Result=3","7047720")</f>
        <v>0</v>
      </c>
      <c r="B11917" t="s">
        <v>2445</v>
      </c>
      <c r="C11917" t="s">
        <v>14793</v>
      </c>
      <c r="D11917" t="s">
        <v>16669</v>
      </c>
      <c r="E11917" t="s">
        <v>27002</v>
      </c>
      <c r="F11917" t="s">
        <v>28669</v>
      </c>
      <c r="G11917" t="s">
        <v>28675</v>
      </c>
      <c r="H11917" t="s">
        <v>9998</v>
      </c>
      <c r="I11917" t="s">
        <v>28704</v>
      </c>
      <c r="J11917" t="s">
        <v>36118</v>
      </c>
      <c r="K11917" t="s">
        <v>37204</v>
      </c>
      <c r="M11917" t="s">
        <v>40128</v>
      </c>
      <c r="N11917" t="s">
        <v>41249</v>
      </c>
      <c r="O11917" t="s">
        <v>41250</v>
      </c>
      <c r="P11917">
        <v>0</v>
      </c>
      <c r="Q11917">
        <v>4</v>
      </c>
      <c r="R11917" t="s">
        <v>41266</v>
      </c>
      <c r="S11917" t="s">
        <v>41978</v>
      </c>
      <c r="T11917" t="s">
        <v>42703</v>
      </c>
      <c r="U11917" t="s">
        <v>52752</v>
      </c>
      <c r="W11917" t="s">
        <v>40128</v>
      </c>
      <c r="X11917" t="s">
        <v>41267</v>
      </c>
    </row>
    <row r="11918" spans="1:24">
      <c r="A11918">
        <f>HYPERLINK("https://www.philgeps.gov.ph/GEPSNONPILOT/Tender/SplashBidNoticeAbstractUI.aspx?menuIndex=3&amp;refID=7047715&amp;Result=3","7047715")</f>
        <v>0</v>
      </c>
      <c r="B11918" t="s">
        <v>2224</v>
      </c>
      <c r="C11918" t="s">
        <v>14794</v>
      </c>
      <c r="D11918" t="s">
        <v>16637</v>
      </c>
      <c r="E11918" t="s">
        <v>27003</v>
      </c>
      <c r="F11918" t="s">
        <v>28669</v>
      </c>
      <c r="G11918" t="s">
        <v>28675</v>
      </c>
      <c r="H11918" t="s">
        <v>9998</v>
      </c>
      <c r="I11918" t="s">
        <v>7352</v>
      </c>
      <c r="J11918" t="s">
        <v>36119</v>
      </c>
      <c r="K11918" t="s">
        <v>37270</v>
      </c>
      <c r="L11918" t="s">
        <v>2224</v>
      </c>
      <c r="M11918" t="s">
        <v>39877</v>
      </c>
      <c r="N11918" t="s">
        <v>41249</v>
      </c>
      <c r="O11918" t="s">
        <v>41250</v>
      </c>
      <c r="P11918">
        <v>0</v>
      </c>
      <c r="Q11918">
        <v>0</v>
      </c>
      <c r="R11918" t="s">
        <v>41266</v>
      </c>
      <c r="S11918" t="s">
        <v>41978</v>
      </c>
      <c r="T11918" t="s">
        <v>42838</v>
      </c>
      <c r="U11918" t="s">
        <v>52715</v>
      </c>
      <c r="V11918" t="s">
        <v>55672</v>
      </c>
      <c r="W11918" t="s">
        <v>39877</v>
      </c>
      <c r="X11918" t="s">
        <v>41267</v>
      </c>
    </row>
    <row r="11919" spans="1:24">
      <c r="A11919">
        <f>HYPERLINK("https://www.philgeps.gov.ph/GEPSNONPILOT/Tender/SplashBidNoticeAbstractUI.aspx?menuIndex=3&amp;refID=7047826&amp;Result=3","7047826")</f>
        <v>0</v>
      </c>
      <c r="B11919" t="s">
        <v>269</v>
      </c>
      <c r="C11919" t="s">
        <v>14795</v>
      </c>
      <c r="D11919" t="s">
        <v>16619</v>
      </c>
      <c r="E11919" t="s">
        <v>27004</v>
      </c>
      <c r="F11919" t="s">
        <v>28669</v>
      </c>
      <c r="G11919" t="s">
        <v>28675</v>
      </c>
      <c r="H11919" t="s">
        <v>9998</v>
      </c>
      <c r="I11919" t="s">
        <v>7352</v>
      </c>
      <c r="J11919" t="s">
        <v>36120</v>
      </c>
      <c r="K11919" t="s">
        <v>37209</v>
      </c>
      <c r="M11919" t="s">
        <v>37747</v>
      </c>
      <c r="N11919" t="s">
        <v>41249</v>
      </c>
      <c r="O11919" t="s">
        <v>41250</v>
      </c>
      <c r="P11919">
        <v>0</v>
      </c>
      <c r="Q11919">
        <v>5</v>
      </c>
      <c r="R11919" t="s">
        <v>41266</v>
      </c>
      <c r="S11919" t="s">
        <v>41978</v>
      </c>
      <c r="T11919" t="s">
        <v>42679</v>
      </c>
      <c r="U11919" t="s">
        <v>52753</v>
      </c>
      <c r="V11919" t="s">
        <v>54319</v>
      </c>
      <c r="W11919" t="s">
        <v>37747</v>
      </c>
      <c r="X11919" t="s">
        <v>41267</v>
      </c>
    </row>
    <row r="11920" spans="1:24">
      <c r="A11920">
        <f>HYPERLINK("https://www.philgeps.gov.ph/GEPSNONPILOT/Tender/SplashBidNoticeAbstractUI.aspx?menuIndex=3&amp;refID=7047528&amp;Result=3","7047528")</f>
        <v>0</v>
      </c>
      <c r="B11920" t="s">
        <v>3180</v>
      </c>
      <c r="C11920" t="s">
        <v>14796</v>
      </c>
      <c r="D11920" t="s">
        <v>16639</v>
      </c>
      <c r="E11920" t="s">
        <v>27005</v>
      </c>
      <c r="F11920" t="s">
        <v>28669</v>
      </c>
      <c r="G11920" t="s">
        <v>28675</v>
      </c>
      <c r="H11920" t="s">
        <v>28686</v>
      </c>
      <c r="I11920" t="s">
        <v>28689</v>
      </c>
      <c r="J11920" t="s">
        <v>28851</v>
      </c>
      <c r="K11920" t="s">
        <v>37209</v>
      </c>
      <c r="L11920" t="s">
        <v>3180</v>
      </c>
      <c r="M11920" t="s">
        <v>40981</v>
      </c>
      <c r="N11920" t="s">
        <v>41249</v>
      </c>
      <c r="O11920" t="s">
        <v>41250</v>
      </c>
      <c r="P11920">
        <v>0</v>
      </c>
      <c r="Q11920">
        <v>1</v>
      </c>
      <c r="R11920" t="s">
        <v>41266</v>
      </c>
      <c r="S11920" t="s">
        <v>41978</v>
      </c>
      <c r="T11920" t="s">
        <v>42670</v>
      </c>
      <c r="U11920" t="s">
        <v>52731</v>
      </c>
      <c r="W11920" t="s">
        <v>40981</v>
      </c>
      <c r="X11920" t="s">
        <v>41267</v>
      </c>
    </row>
    <row r="11921" spans="1:24">
      <c r="A11921">
        <f>HYPERLINK("https://www.philgeps.gov.ph/GEPSNONPILOT/Tender/SplashBidNoticeAbstractUI.aspx?menuIndex=3&amp;refID=7047787&amp;Result=3","7047787")</f>
        <v>0</v>
      </c>
      <c r="B11921" t="s">
        <v>1793</v>
      </c>
      <c r="C11921" t="s">
        <v>14797</v>
      </c>
      <c r="D11921" t="s">
        <v>16659</v>
      </c>
      <c r="E11921" t="s">
        <v>27006</v>
      </c>
      <c r="F11921" t="s">
        <v>28669</v>
      </c>
      <c r="G11921" t="s">
        <v>28675</v>
      </c>
      <c r="H11921" t="s">
        <v>9998</v>
      </c>
      <c r="I11921" t="s">
        <v>28728</v>
      </c>
      <c r="J11921" t="s">
        <v>36121</v>
      </c>
      <c r="K11921" t="s">
        <v>37206</v>
      </c>
      <c r="M11921" t="s">
        <v>39400</v>
      </c>
      <c r="N11921" t="s">
        <v>41249</v>
      </c>
      <c r="O11921" t="s">
        <v>41250</v>
      </c>
      <c r="P11921">
        <v>0</v>
      </c>
      <c r="Q11921">
        <v>1</v>
      </c>
      <c r="R11921" t="s">
        <v>41266</v>
      </c>
      <c r="S11921" t="s">
        <v>41978</v>
      </c>
      <c r="T11921" t="s">
        <v>42759</v>
      </c>
      <c r="U11921" t="s">
        <v>52754</v>
      </c>
      <c r="V11921" t="s">
        <v>55677</v>
      </c>
      <c r="W11921" t="s">
        <v>39400</v>
      </c>
      <c r="X11921" t="s">
        <v>41267</v>
      </c>
    </row>
    <row r="11922" spans="1:24">
      <c r="A11922">
        <f>HYPERLINK("https://www.philgeps.gov.ph/GEPSNONPILOT/Tender/SplashBidNoticeAbstractUI.aspx?menuIndex=3&amp;refID=7046572&amp;Result=3","7046572")</f>
        <v>0</v>
      </c>
      <c r="B11922" t="s">
        <v>2167</v>
      </c>
      <c r="C11922" t="s">
        <v>14798</v>
      </c>
      <c r="D11922" t="s">
        <v>16664</v>
      </c>
      <c r="E11922" t="s">
        <v>27007</v>
      </c>
      <c r="F11922" t="s">
        <v>28669</v>
      </c>
      <c r="G11922" t="s">
        <v>28675</v>
      </c>
      <c r="H11922" t="s">
        <v>9998</v>
      </c>
      <c r="I11922" t="s">
        <v>28698</v>
      </c>
      <c r="J11922" t="s">
        <v>36122</v>
      </c>
      <c r="K11922" t="s">
        <v>37206</v>
      </c>
      <c r="M11922" t="s">
        <v>40354</v>
      </c>
      <c r="N11922" t="s">
        <v>41249</v>
      </c>
      <c r="O11922" t="s">
        <v>41250</v>
      </c>
      <c r="P11922">
        <v>0</v>
      </c>
      <c r="Q11922">
        <v>0</v>
      </c>
      <c r="R11922" t="s">
        <v>41266</v>
      </c>
      <c r="S11922" t="s">
        <v>41978</v>
      </c>
      <c r="T11922" t="s">
        <v>42679</v>
      </c>
      <c r="U11922" t="s">
        <v>52755</v>
      </c>
      <c r="W11922" t="s">
        <v>56006</v>
      </c>
      <c r="X11922" t="s">
        <v>41268</v>
      </c>
    </row>
    <row r="11923" spans="1:24">
      <c r="A11923">
        <f>HYPERLINK("https://www.philgeps.gov.ph/GEPSNONPILOT/Tender/SplashBidNoticeAbstractUI.aspx?menuIndex=3&amp;refID=7047702&amp;Result=3","7047702")</f>
        <v>0</v>
      </c>
      <c r="B11923" t="s">
        <v>57</v>
      </c>
      <c r="C11923" t="s">
        <v>14799</v>
      </c>
      <c r="D11923" t="s">
        <v>16634</v>
      </c>
      <c r="E11923" t="s">
        <v>27008</v>
      </c>
      <c r="F11923" t="s">
        <v>28669</v>
      </c>
      <c r="G11923" t="s">
        <v>28675</v>
      </c>
      <c r="H11923" t="s">
        <v>9998</v>
      </c>
      <c r="I11923" t="s">
        <v>28687</v>
      </c>
      <c r="J11923" t="s">
        <v>36123</v>
      </c>
      <c r="K11923" t="s">
        <v>37206</v>
      </c>
      <c r="M11923" t="s">
        <v>37532</v>
      </c>
      <c r="N11923" t="s">
        <v>41249</v>
      </c>
      <c r="O11923" t="s">
        <v>41250</v>
      </c>
      <c r="P11923">
        <v>0</v>
      </c>
      <c r="Q11923">
        <v>5</v>
      </c>
      <c r="R11923" t="s">
        <v>41266</v>
      </c>
      <c r="S11923" t="s">
        <v>41978</v>
      </c>
      <c r="T11923" t="s">
        <v>42703</v>
      </c>
      <c r="U11923" t="s">
        <v>52756</v>
      </c>
      <c r="V11923" t="s">
        <v>54262</v>
      </c>
      <c r="W11923" t="s">
        <v>37532</v>
      </c>
      <c r="X11923" t="s">
        <v>41267</v>
      </c>
    </row>
    <row r="11924" spans="1:24">
      <c r="A11924">
        <f>HYPERLINK("https://www.philgeps.gov.ph/GEPSNONPILOT/Tender/SplashBidNoticeAbstractUI.aspx?menuIndex=3&amp;refID=7046551&amp;Result=3","7046551")</f>
        <v>0</v>
      </c>
      <c r="B11924" t="s">
        <v>3164</v>
      </c>
      <c r="C11924" t="s">
        <v>14800</v>
      </c>
      <c r="D11924" t="s">
        <v>16619</v>
      </c>
      <c r="E11924" t="s">
        <v>27009</v>
      </c>
      <c r="F11924" t="s">
        <v>28669</v>
      </c>
      <c r="G11924" t="s">
        <v>28675</v>
      </c>
      <c r="H11924" t="s">
        <v>28686</v>
      </c>
      <c r="I11924" t="s">
        <v>28689</v>
      </c>
      <c r="J11924" t="s">
        <v>36124</v>
      </c>
      <c r="K11924" t="s">
        <v>37213</v>
      </c>
      <c r="M11924" t="s">
        <v>40959</v>
      </c>
      <c r="N11924" t="s">
        <v>41249</v>
      </c>
      <c r="O11924" t="s">
        <v>41250</v>
      </c>
      <c r="Q11924">
        <v>0</v>
      </c>
      <c r="R11924" t="s">
        <v>41266</v>
      </c>
      <c r="S11924" t="s">
        <v>42002</v>
      </c>
      <c r="T11924" t="s">
        <v>42690</v>
      </c>
      <c r="U11924" t="s">
        <v>52757</v>
      </c>
      <c r="V11924" t="s">
        <v>55665</v>
      </c>
      <c r="W11924" t="s">
        <v>40959</v>
      </c>
      <c r="X11924" t="s">
        <v>41268</v>
      </c>
    </row>
    <row r="11925" spans="1:24">
      <c r="A11925">
        <f>HYPERLINK("https://www.philgeps.gov.ph/GEPSNONPILOT/Tender/SplashBidNoticeAbstractUI.aspx?menuIndex=3&amp;refID=7048012&amp;Result=3","7048012")</f>
        <v>0</v>
      </c>
      <c r="B11925" t="s">
        <v>575</v>
      </c>
      <c r="C11925" t="s">
        <v>14801</v>
      </c>
      <c r="D11925" t="s">
        <v>16660</v>
      </c>
      <c r="E11925" t="s">
        <v>27010</v>
      </c>
      <c r="F11925" t="s">
        <v>28669</v>
      </c>
      <c r="G11925" t="s">
        <v>28675</v>
      </c>
      <c r="H11925" t="s">
        <v>9998</v>
      </c>
      <c r="I11925" t="s">
        <v>28693</v>
      </c>
      <c r="J11925" t="s">
        <v>34276</v>
      </c>
      <c r="K11925" t="s">
        <v>37209</v>
      </c>
      <c r="M11925" t="s">
        <v>38074</v>
      </c>
      <c r="N11925" t="s">
        <v>41249</v>
      </c>
      <c r="O11925" t="s">
        <v>41250</v>
      </c>
      <c r="P11925">
        <v>0</v>
      </c>
      <c r="Q11925">
        <v>26</v>
      </c>
      <c r="R11925" t="s">
        <v>41266</v>
      </c>
      <c r="S11925" t="s">
        <v>41978</v>
      </c>
      <c r="T11925" t="s">
        <v>42759</v>
      </c>
      <c r="U11925" t="s">
        <v>52758</v>
      </c>
      <c r="W11925" t="s">
        <v>38074</v>
      </c>
      <c r="X11925" t="s">
        <v>41267</v>
      </c>
    </row>
    <row r="11926" spans="1:24">
      <c r="A11926">
        <f>HYPERLINK("https://www.philgeps.gov.ph/GEPSNONPILOT/Tender/SplashBidNoticeAbstractUI.aspx?menuIndex=3&amp;refID=7048035&amp;Result=3","7048035")</f>
        <v>0</v>
      </c>
      <c r="B11926" t="s">
        <v>269</v>
      </c>
      <c r="C11926" t="s">
        <v>14802</v>
      </c>
      <c r="D11926" t="s">
        <v>16619</v>
      </c>
      <c r="E11926" t="s">
        <v>27011</v>
      </c>
      <c r="F11926" t="s">
        <v>28669</v>
      </c>
      <c r="G11926" t="s">
        <v>28675</v>
      </c>
      <c r="H11926" t="s">
        <v>9998</v>
      </c>
      <c r="I11926" t="s">
        <v>7352</v>
      </c>
      <c r="J11926" t="s">
        <v>36125</v>
      </c>
      <c r="K11926" t="s">
        <v>37209</v>
      </c>
      <c r="M11926" t="s">
        <v>37747</v>
      </c>
      <c r="N11926" t="s">
        <v>41249</v>
      </c>
      <c r="O11926" t="s">
        <v>41250</v>
      </c>
      <c r="P11926">
        <v>0</v>
      </c>
      <c r="Q11926">
        <v>4</v>
      </c>
      <c r="R11926" t="s">
        <v>41266</v>
      </c>
      <c r="S11926" t="s">
        <v>41978</v>
      </c>
      <c r="T11926" t="s">
        <v>42679</v>
      </c>
      <c r="U11926" t="s">
        <v>52759</v>
      </c>
      <c r="V11926" t="s">
        <v>54319</v>
      </c>
      <c r="W11926" t="s">
        <v>37747</v>
      </c>
      <c r="X11926" t="s">
        <v>41267</v>
      </c>
    </row>
    <row r="11927" spans="1:24">
      <c r="A11927">
        <f>HYPERLINK("https://www.philgeps.gov.ph/GEPSNONPILOT/Tender/SplashBidNoticeAbstractUI.aspx?menuIndex=3&amp;refID=7047812&amp;Result=3","7047812")</f>
        <v>0</v>
      </c>
      <c r="B11927" t="s">
        <v>3101</v>
      </c>
      <c r="C11927" t="s">
        <v>14803</v>
      </c>
      <c r="D11927" t="s">
        <v>16668</v>
      </c>
      <c r="E11927" t="s">
        <v>19349</v>
      </c>
      <c r="F11927" t="s">
        <v>28669</v>
      </c>
      <c r="G11927" t="s">
        <v>28675</v>
      </c>
      <c r="H11927" t="s">
        <v>28686</v>
      </c>
      <c r="I11927" t="s">
        <v>28689</v>
      </c>
      <c r="J11927" t="s">
        <v>28850</v>
      </c>
      <c r="K11927" t="s">
        <v>37360</v>
      </c>
      <c r="M11927" t="s">
        <v>40888</v>
      </c>
      <c r="N11927" t="s">
        <v>41249</v>
      </c>
      <c r="O11927" t="s">
        <v>41250</v>
      </c>
      <c r="P11927">
        <v>0</v>
      </c>
      <c r="Q11927">
        <v>1</v>
      </c>
      <c r="R11927" t="s">
        <v>41266</v>
      </c>
      <c r="S11927" t="s">
        <v>41978</v>
      </c>
      <c r="T11927" t="s">
        <v>42679</v>
      </c>
      <c r="U11927" t="s">
        <v>52760</v>
      </c>
      <c r="W11927" t="s">
        <v>40888</v>
      </c>
      <c r="X11927" t="s">
        <v>41267</v>
      </c>
    </row>
    <row r="11928" spans="1:24">
      <c r="A11928">
        <f>HYPERLINK("https://www.philgeps.gov.ph/GEPSNONPILOT/Tender/SplashBidNoticeAbstractUI.aspx?menuIndex=3&amp;refID=7048031&amp;Result=3","7048031")</f>
        <v>0</v>
      </c>
      <c r="B11928" t="s">
        <v>2522</v>
      </c>
      <c r="C11928" t="s">
        <v>14804</v>
      </c>
      <c r="D11928" t="s">
        <v>16671</v>
      </c>
      <c r="E11928" t="s">
        <v>16758</v>
      </c>
      <c r="F11928" t="s">
        <v>28671</v>
      </c>
      <c r="G11928" t="s">
        <v>28675</v>
      </c>
      <c r="H11928" t="s">
        <v>9998</v>
      </c>
      <c r="I11928" t="s">
        <v>7352</v>
      </c>
      <c r="J11928" t="s">
        <v>36126</v>
      </c>
      <c r="K11928" t="s">
        <v>37215</v>
      </c>
      <c r="M11928" t="s">
        <v>40210</v>
      </c>
      <c r="N11928" t="s">
        <v>41249</v>
      </c>
      <c r="O11928" t="s">
        <v>41250</v>
      </c>
      <c r="P11928">
        <v>0</v>
      </c>
      <c r="Q11928">
        <v>0</v>
      </c>
      <c r="R11928" t="s">
        <v>41266</v>
      </c>
      <c r="S11928" t="s">
        <v>41978</v>
      </c>
      <c r="T11928" t="s">
        <v>42992</v>
      </c>
      <c r="U11928" t="s">
        <v>52761</v>
      </c>
      <c r="W11928" t="s">
        <v>40210</v>
      </c>
      <c r="X11928" t="s">
        <v>41267</v>
      </c>
    </row>
    <row r="11929" spans="1:24">
      <c r="A11929">
        <f>HYPERLINK("https://www.philgeps.gov.ph/GEPSNONPILOT/Tender/SplashBidNoticeAbstractUI.aspx?menuIndex=3&amp;refID=7048017&amp;Result=3","7048017")</f>
        <v>0</v>
      </c>
      <c r="B11929" t="s">
        <v>447</v>
      </c>
      <c r="C11929" t="s">
        <v>14805</v>
      </c>
      <c r="D11929" t="s">
        <v>16608</v>
      </c>
      <c r="E11929" t="s">
        <v>27012</v>
      </c>
      <c r="F11929" t="s">
        <v>28669</v>
      </c>
      <c r="G11929" t="s">
        <v>28675</v>
      </c>
      <c r="H11929" t="s">
        <v>9998</v>
      </c>
      <c r="I11929" t="s">
        <v>11593</v>
      </c>
      <c r="J11929" t="s">
        <v>36127</v>
      </c>
      <c r="K11929" t="s">
        <v>37209</v>
      </c>
      <c r="M11929" t="s">
        <v>39408</v>
      </c>
      <c r="N11929" t="s">
        <v>41249</v>
      </c>
      <c r="O11929" t="s">
        <v>41250</v>
      </c>
      <c r="P11929">
        <v>0</v>
      </c>
      <c r="Q11929">
        <v>36</v>
      </c>
      <c r="R11929" t="s">
        <v>41266</v>
      </c>
      <c r="S11929" t="s">
        <v>41978</v>
      </c>
      <c r="T11929" t="s">
        <v>43137</v>
      </c>
      <c r="U11929" t="s">
        <v>52762</v>
      </c>
      <c r="W11929" t="s">
        <v>39408</v>
      </c>
      <c r="X11929" t="s">
        <v>41267</v>
      </c>
    </row>
    <row r="11930" spans="1:24">
      <c r="A11930">
        <f>HYPERLINK("https://www.philgeps.gov.ph/GEPSNONPILOT/Tender/SplashBidNoticeAbstractUI.aspx?menuIndex=3&amp;refID=7047955&amp;Result=3","7047955")</f>
        <v>0</v>
      </c>
      <c r="B11930" t="s">
        <v>143</v>
      </c>
      <c r="C11930" t="s">
        <v>14806</v>
      </c>
      <c r="D11930" t="s">
        <v>16640</v>
      </c>
      <c r="E11930" t="s">
        <v>27013</v>
      </c>
      <c r="F11930" t="s">
        <v>28669</v>
      </c>
      <c r="G11930" t="s">
        <v>28675</v>
      </c>
      <c r="H11930" t="s">
        <v>28686</v>
      </c>
      <c r="I11930" t="s">
        <v>28689</v>
      </c>
      <c r="J11930" t="s">
        <v>36128</v>
      </c>
      <c r="K11930" t="s">
        <v>37213</v>
      </c>
      <c r="M11930" t="s">
        <v>37620</v>
      </c>
      <c r="N11930" t="s">
        <v>41249</v>
      </c>
      <c r="O11930" t="s">
        <v>41250</v>
      </c>
      <c r="P11930">
        <v>0</v>
      </c>
      <c r="Q11930">
        <v>0</v>
      </c>
      <c r="R11930" t="s">
        <v>41266</v>
      </c>
      <c r="S11930" t="s">
        <v>41978</v>
      </c>
      <c r="T11930" t="s">
        <v>42679</v>
      </c>
      <c r="U11930" t="s">
        <v>52763</v>
      </c>
      <c r="W11930" t="s">
        <v>55901</v>
      </c>
      <c r="X11930" t="s">
        <v>41267</v>
      </c>
    </row>
    <row r="11931" spans="1:24">
      <c r="A11931">
        <f>HYPERLINK("https://www.philgeps.gov.ph/GEPSNONPILOT/Tender/SplashBidNoticeAbstractUI.aspx?menuIndex=3&amp;refID=7047952&amp;Result=3","7047952")</f>
        <v>0</v>
      </c>
      <c r="B11931" t="s">
        <v>447</v>
      </c>
      <c r="C11931" t="s">
        <v>14807</v>
      </c>
      <c r="D11931" t="s">
        <v>16608</v>
      </c>
      <c r="E11931" t="s">
        <v>27014</v>
      </c>
      <c r="F11931" t="s">
        <v>28669</v>
      </c>
      <c r="G11931" t="s">
        <v>28675</v>
      </c>
      <c r="H11931" t="s">
        <v>9998</v>
      </c>
      <c r="I11931" t="s">
        <v>11593</v>
      </c>
      <c r="J11931" t="s">
        <v>36129</v>
      </c>
      <c r="K11931" t="s">
        <v>37209</v>
      </c>
      <c r="M11931" t="s">
        <v>39408</v>
      </c>
      <c r="N11931" t="s">
        <v>41249</v>
      </c>
      <c r="O11931" t="s">
        <v>41250</v>
      </c>
      <c r="Q11931">
        <v>32</v>
      </c>
      <c r="R11931" t="s">
        <v>41266</v>
      </c>
      <c r="S11931" t="s">
        <v>42003</v>
      </c>
      <c r="T11931" t="s">
        <v>43138</v>
      </c>
      <c r="U11931" t="s">
        <v>52764</v>
      </c>
      <c r="W11931" t="s">
        <v>39408</v>
      </c>
      <c r="X11931" t="s">
        <v>41267</v>
      </c>
    </row>
    <row r="11932" spans="1:24">
      <c r="A11932">
        <f>HYPERLINK("https://www.philgeps.gov.ph/GEPSNONPILOT/Tender/SplashBidNoticeAbstractUI.aspx?menuIndex=3&amp;refID=7047525&amp;Result=3","7047525")</f>
        <v>0</v>
      </c>
      <c r="B11932" t="s">
        <v>2656</v>
      </c>
      <c r="C11932" t="s">
        <v>14808</v>
      </c>
      <c r="D11932" t="s">
        <v>16615</v>
      </c>
      <c r="E11932" t="s">
        <v>27015</v>
      </c>
      <c r="F11932" t="s">
        <v>28669</v>
      </c>
      <c r="G11932" t="s">
        <v>28675</v>
      </c>
      <c r="H11932" t="s">
        <v>28686</v>
      </c>
      <c r="I11932" t="s">
        <v>28689</v>
      </c>
      <c r="J11932" t="s">
        <v>36130</v>
      </c>
      <c r="K11932" t="s">
        <v>37215</v>
      </c>
      <c r="M11932" t="s">
        <v>40370</v>
      </c>
      <c r="N11932" t="s">
        <v>41249</v>
      </c>
      <c r="O11932" t="s">
        <v>41250</v>
      </c>
      <c r="P11932">
        <v>0</v>
      </c>
      <c r="Q11932">
        <v>12</v>
      </c>
      <c r="R11932" t="s">
        <v>41266</v>
      </c>
      <c r="S11932" t="s">
        <v>41978</v>
      </c>
      <c r="T11932" t="s">
        <v>42679</v>
      </c>
      <c r="U11932" t="s">
        <v>50381</v>
      </c>
      <c r="W11932" t="s">
        <v>40370</v>
      </c>
      <c r="X11932" t="s">
        <v>41267</v>
      </c>
    </row>
    <row r="11933" spans="1:24">
      <c r="A11933">
        <f>HYPERLINK("https://www.philgeps.gov.ph/GEPSNONPILOT/Tender/SplashBidNoticeAbstractUI.aspx?menuIndex=3&amp;refID=7047947&amp;Result=3","7047947")</f>
        <v>0</v>
      </c>
      <c r="B11933" t="s">
        <v>474</v>
      </c>
      <c r="C11933" t="s">
        <v>14809</v>
      </c>
      <c r="D11933" t="s">
        <v>16668</v>
      </c>
      <c r="E11933" t="s">
        <v>27016</v>
      </c>
      <c r="F11933" t="s">
        <v>28669</v>
      </c>
      <c r="G11933" t="s">
        <v>28675</v>
      </c>
      <c r="H11933" t="s">
        <v>9998</v>
      </c>
      <c r="I11933" t="s">
        <v>5213</v>
      </c>
      <c r="J11933" t="s">
        <v>36131</v>
      </c>
      <c r="K11933" t="s">
        <v>37206</v>
      </c>
      <c r="L11933" t="s">
        <v>474</v>
      </c>
      <c r="M11933" t="s">
        <v>37962</v>
      </c>
      <c r="N11933" t="s">
        <v>41249</v>
      </c>
      <c r="O11933" t="s">
        <v>41250</v>
      </c>
      <c r="P11933">
        <v>0</v>
      </c>
      <c r="Q11933">
        <v>2</v>
      </c>
      <c r="R11933" t="s">
        <v>41266</v>
      </c>
      <c r="S11933" t="s">
        <v>41978</v>
      </c>
      <c r="T11933" t="s">
        <v>42711</v>
      </c>
      <c r="U11933" t="s">
        <v>52765</v>
      </c>
      <c r="V11933" t="s">
        <v>55159</v>
      </c>
      <c r="W11933" t="s">
        <v>37962</v>
      </c>
      <c r="X11933" t="s">
        <v>41267</v>
      </c>
    </row>
    <row r="11934" spans="1:24">
      <c r="A11934">
        <f>HYPERLINK("https://www.philgeps.gov.ph/GEPSNONPILOT/Tender/SplashBidNoticeAbstractUI.aspx?menuIndex=3&amp;refID=7047937&amp;Result=3","7047937")</f>
        <v>0</v>
      </c>
      <c r="B11934" t="s">
        <v>269</v>
      </c>
      <c r="C11934" t="s">
        <v>14810</v>
      </c>
      <c r="D11934" t="s">
        <v>16619</v>
      </c>
      <c r="E11934" t="s">
        <v>27017</v>
      </c>
      <c r="F11934" t="s">
        <v>28669</v>
      </c>
      <c r="G11934" t="s">
        <v>28675</v>
      </c>
      <c r="H11934" t="s">
        <v>9998</v>
      </c>
      <c r="I11934" t="s">
        <v>7352</v>
      </c>
      <c r="J11934" t="s">
        <v>36132</v>
      </c>
      <c r="K11934" t="s">
        <v>37209</v>
      </c>
      <c r="M11934" t="s">
        <v>37747</v>
      </c>
      <c r="N11934" t="s">
        <v>41249</v>
      </c>
      <c r="O11934" t="s">
        <v>41250</v>
      </c>
      <c r="P11934">
        <v>0</v>
      </c>
      <c r="Q11934">
        <v>2</v>
      </c>
      <c r="R11934" t="s">
        <v>41266</v>
      </c>
      <c r="S11934" t="s">
        <v>41978</v>
      </c>
      <c r="T11934" t="s">
        <v>42679</v>
      </c>
      <c r="U11934" t="s">
        <v>52766</v>
      </c>
      <c r="V11934" t="s">
        <v>54319</v>
      </c>
      <c r="W11934" t="s">
        <v>37747</v>
      </c>
      <c r="X11934" t="s">
        <v>41267</v>
      </c>
    </row>
    <row r="11935" spans="1:24">
      <c r="A11935">
        <f>HYPERLINK("https://www.philgeps.gov.ph/GEPSNONPILOT/Tender/SplashBidNoticeAbstractUI.aspx?menuIndex=3&amp;refID=7047816&amp;Result=3","7047816")</f>
        <v>0</v>
      </c>
      <c r="B11935" t="s">
        <v>3183</v>
      </c>
      <c r="C11935" t="s">
        <v>14811</v>
      </c>
      <c r="D11935" t="s">
        <v>16627</v>
      </c>
      <c r="E11935" t="s">
        <v>27018</v>
      </c>
      <c r="F11935" t="s">
        <v>28669</v>
      </c>
      <c r="G11935" t="s">
        <v>28675</v>
      </c>
      <c r="H11935" t="s">
        <v>28686</v>
      </c>
      <c r="I11935" t="s">
        <v>28689</v>
      </c>
      <c r="J11935" t="s">
        <v>28836</v>
      </c>
      <c r="K11935" t="s">
        <v>37231</v>
      </c>
      <c r="L11935" t="s">
        <v>3183</v>
      </c>
      <c r="M11935" t="s">
        <v>40984</v>
      </c>
      <c r="N11935" t="s">
        <v>41249</v>
      </c>
      <c r="O11935" t="s">
        <v>41250</v>
      </c>
      <c r="P11935">
        <v>0</v>
      </c>
      <c r="Q11935">
        <v>1</v>
      </c>
      <c r="R11935" t="s">
        <v>41266</v>
      </c>
      <c r="S11935" t="s">
        <v>41978</v>
      </c>
      <c r="T11935" t="s">
        <v>42714</v>
      </c>
      <c r="U11935" t="s">
        <v>52767</v>
      </c>
      <c r="W11935" t="s">
        <v>40984</v>
      </c>
      <c r="X11935" t="s">
        <v>41267</v>
      </c>
    </row>
    <row r="11936" spans="1:24">
      <c r="A11936">
        <f>HYPERLINK("https://www.philgeps.gov.ph/GEPSNONPILOT/Tender/SplashBidNoticeAbstractUI.aspx?menuIndex=3&amp;refID=7047914&amp;Result=3","7047914")</f>
        <v>0</v>
      </c>
      <c r="B11936" t="s">
        <v>3184</v>
      </c>
      <c r="C11936" t="s">
        <v>14812</v>
      </c>
      <c r="D11936" t="s">
        <v>16621</v>
      </c>
      <c r="E11936" t="s">
        <v>27019</v>
      </c>
      <c r="F11936" t="s">
        <v>28669</v>
      </c>
      <c r="G11936" t="s">
        <v>28675</v>
      </c>
      <c r="H11936" t="s">
        <v>28686</v>
      </c>
      <c r="I11936" t="s">
        <v>28689</v>
      </c>
      <c r="J11936" t="s">
        <v>29003</v>
      </c>
      <c r="K11936" t="s">
        <v>37209</v>
      </c>
      <c r="M11936" t="s">
        <v>40985</v>
      </c>
      <c r="N11936" t="s">
        <v>41249</v>
      </c>
      <c r="O11936" t="s">
        <v>41250</v>
      </c>
      <c r="P11936">
        <v>0</v>
      </c>
      <c r="Q11936">
        <v>1</v>
      </c>
      <c r="R11936" t="s">
        <v>41266</v>
      </c>
      <c r="S11936" t="s">
        <v>41978</v>
      </c>
      <c r="T11936" t="s">
        <v>42711</v>
      </c>
      <c r="U11936" t="s">
        <v>52768</v>
      </c>
      <c r="W11936" t="s">
        <v>40985</v>
      </c>
      <c r="X11936" t="s">
        <v>41267</v>
      </c>
    </row>
    <row r="11937" spans="1:24">
      <c r="A11937">
        <f>HYPERLINK("https://www.philgeps.gov.ph/GEPSNONPILOT/Tender/SplashBidNoticeAbstractUI.aspx?menuIndex=3&amp;refID=7047558&amp;Result=3","7047558")</f>
        <v>0</v>
      </c>
      <c r="B11937" t="s">
        <v>3174</v>
      </c>
      <c r="C11937" t="s">
        <v>14813</v>
      </c>
      <c r="D11937" t="s">
        <v>16654</v>
      </c>
      <c r="E11937" t="s">
        <v>27020</v>
      </c>
      <c r="F11937" t="s">
        <v>28669</v>
      </c>
      <c r="G11937" t="s">
        <v>28675</v>
      </c>
      <c r="H11937" t="s">
        <v>9998</v>
      </c>
      <c r="I11937" t="s">
        <v>28738</v>
      </c>
      <c r="J11937" t="s">
        <v>36133</v>
      </c>
      <c r="K11937" t="s">
        <v>37243</v>
      </c>
      <c r="M11937" t="s">
        <v>40974</v>
      </c>
      <c r="N11937" t="s">
        <v>41249</v>
      </c>
      <c r="O11937" t="s">
        <v>41250</v>
      </c>
      <c r="P11937">
        <v>0</v>
      </c>
      <c r="Q11937">
        <v>6</v>
      </c>
      <c r="R11937" t="s">
        <v>41266</v>
      </c>
      <c r="S11937" t="s">
        <v>41978</v>
      </c>
      <c r="T11937" t="s">
        <v>42750</v>
      </c>
      <c r="U11937" t="s">
        <v>52769</v>
      </c>
      <c r="W11937" t="s">
        <v>40974</v>
      </c>
      <c r="X11937" t="s">
        <v>41267</v>
      </c>
    </row>
    <row r="11938" spans="1:24">
      <c r="A11938">
        <f>HYPERLINK("https://www.philgeps.gov.ph/GEPSNONPILOT/Tender/SplashBidNoticeAbstractUI.aspx?menuIndex=3&amp;refID=7047934&amp;Result=3","7047934")</f>
        <v>0</v>
      </c>
      <c r="B11938" t="s">
        <v>2566</v>
      </c>
      <c r="C11938" t="s">
        <v>14814</v>
      </c>
      <c r="D11938" t="s">
        <v>16667</v>
      </c>
      <c r="E11938" t="s">
        <v>27021</v>
      </c>
      <c r="F11938" t="s">
        <v>28669</v>
      </c>
      <c r="G11938" t="s">
        <v>28675</v>
      </c>
      <c r="H11938" t="s">
        <v>9998</v>
      </c>
      <c r="I11938" t="s">
        <v>28687</v>
      </c>
      <c r="J11938" t="s">
        <v>28891</v>
      </c>
      <c r="K11938" t="s">
        <v>37221</v>
      </c>
      <c r="M11938" t="s">
        <v>40259</v>
      </c>
      <c r="N11938" t="s">
        <v>41249</v>
      </c>
      <c r="O11938" t="s">
        <v>41250</v>
      </c>
      <c r="P11938">
        <v>0</v>
      </c>
      <c r="Q11938">
        <v>5</v>
      </c>
      <c r="R11938" t="s">
        <v>41266</v>
      </c>
      <c r="S11938" t="s">
        <v>41978</v>
      </c>
      <c r="T11938" t="s">
        <v>42759</v>
      </c>
      <c r="U11938" t="s">
        <v>52770</v>
      </c>
      <c r="W11938" t="s">
        <v>40259</v>
      </c>
      <c r="X11938" t="s">
        <v>41267</v>
      </c>
    </row>
    <row r="11939" spans="1:24">
      <c r="A11939">
        <f>HYPERLINK("https://www.philgeps.gov.ph/GEPSNONPILOT/Tender/SplashBidNoticeAbstractUI.aspx?menuIndex=3&amp;refID=7047906&amp;Result=3","7047906")</f>
        <v>0</v>
      </c>
      <c r="B11939" t="s">
        <v>269</v>
      </c>
      <c r="C11939" t="s">
        <v>14815</v>
      </c>
      <c r="D11939" t="s">
        <v>16619</v>
      </c>
      <c r="E11939" t="s">
        <v>27022</v>
      </c>
      <c r="F11939" t="s">
        <v>28669</v>
      </c>
      <c r="G11939" t="s">
        <v>28675</v>
      </c>
      <c r="H11939" t="s">
        <v>9998</v>
      </c>
      <c r="I11939" t="s">
        <v>7352</v>
      </c>
      <c r="J11939" t="s">
        <v>36134</v>
      </c>
      <c r="K11939" t="s">
        <v>37209</v>
      </c>
      <c r="M11939" t="s">
        <v>37747</v>
      </c>
      <c r="N11939" t="s">
        <v>41249</v>
      </c>
      <c r="O11939" t="s">
        <v>41250</v>
      </c>
      <c r="P11939">
        <v>0</v>
      </c>
      <c r="Q11939">
        <v>3</v>
      </c>
      <c r="R11939" t="s">
        <v>41266</v>
      </c>
      <c r="S11939" t="s">
        <v>41978</v>
      </c>
      <c r="T11939" t="s">
        <v>42679</v>
      </c>
      <c r="U11939" t="s">
        <v>52771</v>
      </c>
      <c r="V11939" t="s">
        <v>54319</v>
      </c>
      <c r="W11939" t="s">
        <v>37747</v>
      </c>
      <c r="X11939" t="s">
        <v>41267</v>
      </c>
    </row>
    <row r="11940" spans="1:24">
      <c r="A11940">
        <f>HYPERLINK("https://www.philgeps.gov.ph/GEPSNONPILOT/Tender/SplashBidNoticeAbstractUI.aspx?menuIndex=3&amp;refID=7047890&amp;Result=3","7047890")</f>
        <v>0</v>
      </c>
      <c r="B11940" t="s">
        <v>2665</v>
      </c>
      <c r="C11940" t="s">
        <v>14816</v>
      </c>
      <c r="D11940" t="s">
        <v>16668</v>
      </c>
      <c r="E11940" t="s">
        <v>27023</v>
      </c>
      <c r="F11940" t="s">
        <v>28669</v>
      </c>
      <c r="G11940" t="s">
        <v>28675</v>
      </c>
      <c r="H11940" t="s">
        <v>9998</v>
      </c>
      <c r="I11940" t="s">
        <v>28757</v>
      </c>
      <c r="J11940" t="s">
        <v>28847</v>
      </c>
      <c r="K11940" t="s">
        <v>37213</v>
      </c>
      <c r="M11940" t="s">
        <v>40986</v>
      </c>
      <c r="N11940" t="s">
        <v>41249</v>
      </c>
      <c r="O11940" t="s">
        <v>41250</v>
      </c>
      <c r="Q11940">
        <v>3</v>
      </c>
      <c r="R11940" t="s">
        <v>41266</v>
      </c>
      <c r="S11940" t="s">
        <v>42004</v>
      </c>
      <c r="T11940" t="s">
        <v>42755</v>
      </c>
      <c r="U11940" t="s">
        <v>52772</v>
      </c>
      <c r="V11940" t="s">
        <v>55678</v>
      </c>
      <c r="W11940" t="s">
        <v>40986</v>
      </c>
      <c r="X11940" t="s">
        <v>41267</v>
      </c>
    </row>
    <row r="11941" spans="1:24">
      <c r="A11941">
        <f>HYPERLINK("https://www.philgeps.gov.ph/GEPSNONPILOT/Tender/SplashBidNoticeAbstractUI.aspx?menuIndex=3&amp;refID=7047918&amp;Result=3","7047918")</f>
        <v>0</v>
      </c>
      <c r="B11941" t="s">
        <v>474</v>
      </c>
      <c r="C11941" t="s">
        <v>14817</v>
      </c>
      <c r="D11941" t="s">
        <v>16668</v>
      </c>
      <c r="E11941" t="s">
        <v>27024</v>
      </c>
      <c r="F11941" t="s">
        <v>28669</v>
      </c>
      <c r="G11941" t="s">
        <v>28675</v>
      </c>
      <c r="H11941" t="s">
        <v>9998</v>
      </c>
      <c r="I11941" t="s">
        <v>28714</v>
      </c>
      <c r="J11941" t="s">
        <v>36135</v>
      </c>
      <c r="K11941" t="s">
        <v>37206</v>
      </c>
      <c r="L11941" t="s">
        <v>474</v>
      </c>
      <c r="M11941" t="s">
        <v>37962</v>
      </c>
      <c r="N11941" t="s">
        <v>41249</v>
      </c>
      <c r="O11941" t="s">
        <v>41250</v>
      </c>
      <c r="P11941">
        <v>0</v>
      </c>
      <c r="Q11941">
        <v>25</v>
      </c>
      <c r="R11941" t="s">
        <v>41266</v>
      </c>
      <c r="S11941" t="s">
        <v>41978</v>
      </c>
      <c r="T11941" t="s">
        <v>42711</v>
      </c>
      <c r="U11941" t="s">
        <v>52773</v>
      </c>
      <c r="V11941" t="s">
        <v>55159</v>
      </c>
      <c r="W11941" t="s">
        <v>37962</v>
      </c>
      <c r="X11941" t="s">
        <v>41267</v>
      </c>
    </row>
    <row r="11942" spans="1:24">
      <c r="A11942">
        <f>HYPERLINK("https://www.philgeps.gov.ph/GEPSNONPILOT/Tender/SplashBidNoticeAbstractUI.aspx?menuIndex=3&amp;refID=7047882&amp;Result=3","7047882")</f>
        <v>0</v>
      </c>
      <c r="B11942" t="s">
        <v>3185</v>
      </c>
      <c r="C11942" t="s">
        <v>14818</v>
      </c>
      <c r="D11942" t="s">
        <v>16621</v>
      </c>
      <c r="E11942" t="s">
        <v>27025</v>
      </c>
      <c r="F11942" t="s">
        <v>28671</v>
      </c>
      <c r="G11942" t="s">
        <v>28675</v>
      </c>
      <c r="H11942" t="s">
        <v>9998</v>
      </c>
      <c r="I11942" t="s">
        <v>7352</v>
      </c>
      <c r="J11942" t="s">
        <v>36136</v>
      </c>
      <c r="K11942" t="s">
        <v>37205</v>
      </c>
      <c r="M11942" t="s">
        <v>40987</v>
      </c>
      <c r="N11942" t="s">
        <v>41249</v>
      </c>
      <c r="O11942" t="s">
        <v>41250</v>
      </c>
      <c r="P11942">
        <v>0</v>
      </c>
      <c r="Q11942">
        <v>0</v>
      </c>
      <c r="R11942" t="s">
        <v>41266</v>
      </c>
      <c r="S11942" t="s">
        <v>41978</v>
      </c>
      <c r="T11942" t="s">
        <v>42679</v>
      </c>
      <c r="U11942" t="s">
        <v>52774</v>
      </c>
      <c r="V11942" t="s">
        <v>55679</v>
      </c>
      <c r="W11942" t="s">
        <v>40987</v>
      </c>
      <c r="X11942" t="s">
        <v>41267</v>
      </c>
    </row>
    <row r="11943" spans="1:24">
      <c r="A11943">
        <f>HYPERLINK("https://www.philgeps.gov.ph/GEPSNONPILOT/Tender/SplashBidNoticeAbstractUI.aspx?menuIndex=3&amp;refID=7047870&amp;Result=3","7047870")</f>
        <v>0</v>
      </c>
      <c r="B11943" t="s">
        <v>143</v>
      </c>
      <c r="C11943" t="s">
        <v>14819</v>
      </c>
      <c r="D11943" t="s">
        <v>16640</v>
      </c>
      <c r="E11943" t="s">
        <v>27026</v>
      </c>
      <c r="F11943" t="s">
        <v>28669</v>
      </c>
      <c r="G11943" t="s">
        <v>28675</v>
      </c>
      <c r="H11943" t="s">
        <v>9998</v>
      </c>
      <c r="I11943" t="s">
        <v>5286</v>
      </c>
      <c r="J11943" t="s">
        <v>36137</v>
      </c>
      <c r="K11943" t="s">
        <v>37213</v>
      </c>
      <c r="M11943" t="s">
        <v>37620</v>
      </c>
      <c r="N11943" t="s">
        <v>41249</v>
      </c>
      <c r="O11943" t="s">
        <v>41250</v>
      </c>
      <c r="P11943">
        <v>0</v>
      </c>
      <c r="Q11943">
        <v>6</v>
      </c>
      <c r="R11943" t="s">
        <v>41266</v>
      </c>
      <c r="S11943" t="s">
        <v>41978</v>
      </c>
      <c r="T11943" t="s">
        <v>42679</v>
      </c>
      <c r="U11943" t="s">
        <v>52775</v>
      </c>
      <c r="W11943" t="s">
        <v>55901</v>
      </c>
      <c r="X11943" t="s">
        <v>41267</v>
      </c>
    </row>
    <row r="11944" spans="1:24">
      <c r="A11944">
        <f>HYPERLINK("https://www.philgeps.gov.ph/GEPSNONPILOT/Tender/SplashBidNoticeAbstractUI.aspx?menuIndex=3&amp;refID=7047377&amp;Result=3","7047377")</f>
        <v>0</v>
      </c>
      <c r="B11944" t="s">
        <v>619</v>
      </c>
      <c r="C11944" t="s">
        <v>14820</v>
      </c>
      <c r="D11944" t="s">
        <v>16640</v>
      </c>
      <c r="E11944" t="s">
        <v>27027</v>
      </c>
      <c r="F11944" t="s">
        <v>28669</v>
      </c>
      <c r="G11944" t="s">
        <v>28675</v>
      </c>
      <c r="H11944" t="s">
        <v>9998</v>
      </c>
      <c r="I11944" t="s">
        <v>5286</v>
      </c>
      <c r="J11944" t="s">
        <v>28914</v>
      </c>
      <c r="K11944" t="s">
        <v>37204</v>
      </c>
      <c r="M11944" t="s">
        <v>38119</v>
      </c>
      <c r="N11944" t="s">
        <v>41249</v>
      </c>
      <c r="O11944" t="s">
        <v>41250</v>
      </c>
      <c r="P11944">
        <v>0</v>
      </c>
      <c r="Q11944">
        <v>6</v>
      </c>
      <c r="R11944" t="s">
        <v>41266</v>
      </c>
      <c r="S11944" t="s">
        <v>41978</v>
      </c>
      <c r="T11944" t="s">
        <v>42679</v>
      </c>
      <c r="U11944" t="s">
        <v>44333</v>
      </c>
      <c r="W11944" t="s">
        <v>38119</v>
      </c>
      <c r="X11944" t="s">
        <v>41267</v>
      </c>
    </row>
    <row r="11945" spans="1:24">
      <c r="A11945">
        <f>HYPERLINK("https://www.philgeps.gov.ph/GEPSNONPILOT/Tender/SplashBidNoticeAbstractUI.aspx?menuIndex=3&amp;refID=7046448&amp;Result=3","7046448")</f>
        <v>0</v>
      </c>
      <c r="B11945" t="s">
        <v>564</v>
      </c>
      <c r="C11945" t="s">
        <v>14821</v>
      </c>
      <c r="D11945" t="s">
        <v>16627</v>
      </c>
      <c r="E11945" t="s">
        <v>27028</v>
      </c>
      <c r="F11945" t="s">
        <v>28669</v>
      </c>
      <c r="G11945" t="s">
        <v>28675</v>
      </c>
      <c r="H11945" t="s">
        <v>9998</v>
      </c>
      <c r="I11945" t="s">
        <v>5286</v>
      </c>
      <c r="J11945" t="s">
        <v>36138</v>
      </c>
      <c r="K11945" t="s">
        <v>37206</v>
      </c>
      <c r="M11945" t="s">
        <v>38060</v>
      </c>
      <c r="N11945" t="s">
        <v>41249</v>
      </c>
      <c r="O11945" t="s">
        <v>41250</v>
      </c>
      <c r="P11945">
        <v>0</v>
      </c>
      <c r="Q11945">
        <v>1</v>
      </c>
      <c r="R11945" t="s">
        <v>41266</v>
      </c>
      <c r="S11945" t="s">
        <v>41978</v>
      </c>
      <c r="T11945" t="s">
        <v>42764</v>
      </c>
      <c r="U11945" t="s">
        <v>52776</v>
      </c>
      <c r="V11945" t="s">
        <v>54383</v>
      </c>
      <c r="W11945" t="s">
        <v>38060</v>
      </c>
      <c r="X11945" t="s">
        <v>41268</v>
      </c>
    </row>
    <row r="11946" spans="1:24">
      <c r="A11946">
        <f>HYPERLINK("https://www.philgeps.gov.ph/GEPSNONPILOT/Tender/SplashBidNoticeAbstractUI.aspx?menuIndex=3&amp;refID=7048150&amp;Result=3","7048150")</f>
        <v>0</v>
      </c>
      <c r="B11946" t="s">
        <v>1329</v>
      </c>
      <c r="C11946" t="s">
        <v>14822</v>
      </c>
      <c r="D11946" t="s">
        <v>16617</v>
      </c>
      <c r="E11946" t="s">
        <v>27029</v>
      </c>
      <c r="F11946" t="s">
        <v>28669</v>
      </c>
      <c r="G11946" t="s">
        <v>28675</v>
      </c>
      <c r="H11946" t="s">
        <v>9998</v>
      </c>
      <c r="I11946" t="s">
        <v>28697</v>
      </c>
      <c r="J11946" t="s">
        <v>36139</v>
      </c>
      <c r="K11946" t="s">
        <v>37223</v>
      </c>
      <c r="M11946" t="s">
        <v>38882</v>
      </c>
      <c r="N11946" t="s">
        <v>41249</v>
      </c>
      <c r="O11946" t="s">
        <v>41250</v>
      </c>
      <c r="Q11946">
        <v>16</v>
      </c>
      <c r="R11946" t="s">
        <v>41266</v>
      </c>
      <c r="S11946" t="s">
        <v>42005</v>
      </c>
      <c r="T11946" t="s">
        <v>43139</v>
      </c>
      <c r="U11946" t="s">
        <v>52777</v>
      </c>
      <c r="W11946" t="s">
        <v>38882</v>
      </c>
      <c r="X11946" t="s">
        <v>41267</v>
      </c>
    </row>
    <row r="11947" spans="1:24">
      <c r="A11947">
        <f>HYPERLINK("https://www.philgeps.gov.ph/GEPSNONPILOT/Tender/SplashBidNoticeAbstractUI.aspx?menuIndex=3&amp;refID=7047880&amp;Result=3","7047880")</f>
        <v>0</v>
      </c>
      <c r="B11947" t="s">
        <v>269</v>
      </c>
      <c r="C11947" t="s">
        <v>14823</v>
      </c>
      <c r="D11947" t="s">
        <v>16619</v>
      </c>
      <c r="E11947" t="s">
        <v>27030</v>
      </c>
      <c r="F11947" t="s">
        <v>28669</v>
      </c>
      <c r="G11947" t="s">
        <v>28675</v>
      </c>
      <c r="H11947" t="s">
        <v>9998</v>
      </c>
      <c r="I11947" t="s">
        <v>7352</v>
      </c>
      <c r="J11947" t="s">
        <v>36140</v>
      </c>
      <c r="K11947" t="s">
        <v>37209</v>
      </c>
      <c r="M11947" t="s">
        <v>37747</v>
      </c>
      <c r="N11947" t="s">
        <v>41249</v>
      </c>
      <c r="O11947" t="s">
        <v>41250</v>
      </c>
      <c r="P11947">
        <v>0</v>
      </c>
      <c r="Q11947">
        <v>2</v>
      </c>
      <c r="R11947" t="s">
        <v>41266</v>
      </c>
      <c r="S11947" t="s">
        <v>41978</v>
      </c>
      <c r="T11947" t="s">
        <v>42679</v>
      </c>
      <c r="U11947" t="s">
        <v>52778</v>
      </c>
      <c r="V11947" t="s">
        <v>54319</v>
      </c>
      <c r="W11947" t="s">
        <v>37747</v>
      </c>
      <c r="X11947" t="s">
        <v>41267</v>
      </c>
    </row>
    <row r="11948" spans="1:24">
      <c r="A11948">
        <f>HYPERLINK("https://www.philgeps.gov.ph/GEPSNONPILOT/Tender/SplashBidNoticeAbstractUI.aspx?menuIndex=3&amp;refID=7046444&amp;Result=3","7046444")</f>
        <v>0</v>
      </c>
      <c r="B11948" t="s">
        <v>3164</v>
      </c>
      <c r="C11948" t="s">
        <v>14824</v>
      </c>
      <c r="D11948" t="s">
        <v>16619</v>
      </c>
      <c r="E11948" t="s">
        <v>27031</v>
      </c>
      <c r="F11948" t="s">
        <v>28669</v>
      </c>
      <c r="G11948" t="s">
        <v>28675</v>
      </c>
      <c r="H11948" t="s">
        <v>9998</v>
      </c>
      <c r="I11948" t="s">
        <v>28689</v>
      </c>
      <c r="J11948" t="s">
        <v>36053</v>
      </c>
      <c r="K11948" t="s">
        <v>37213</v>
      </c>
      <c r="M11948" t="s">
        <v>40959</v>
      </c>
      <c r="N11948" t="s">
        <v>41249</v>
      </c>
      <c r="O11948" t="s">
        <v>41250</v>
      </c>
      <c r="Q11948">
        <v>0</v>
      </c>
      <c r="R11948" t="s">
        <v>41266</v>
      </c>
      <c r="S11948" t="s">
        <v>42006</v>
      </c>
      <c r="T11948" t="s">
        <v>42690</v>
      </c>
      <c r="U11948" t="s">
        <v>52779</v>
      </c>
      <c r="V11948" t="s">
        <v>55665</v>
      </c>
      <c r="W11948" t="s">
        <v>40959</v>
      </c>
      <c r="X11948" t="s">
        <v>41268</v>
      </c>
    </row>
    <row r="11949" spans="1:24">
      <c r="A11949">
        <f>HYPERLINK("https://www.philgeps.gov.ph/GEPSNONPILOT/Tender/SplashBidNoticeAbstractUI.aspx?menuIndex=3&amp;refID=7048038&amp;Result=3","7048038")</f>
        <v>0</v>
      </c>
      <c r="B11949" t="s">
        <v>3186</v>
      </c>
      <c r="C11949" t="s">
        <v>14825</v>
      </c>
      <c r="D11949" t="s">
        <v>16658</v>
      </c>
      <c r="E11949" t="s">
        <v>16803</v>
      </c>
      <c r="F11949" t="s">
        <v>28669</v>
      </c>
      <c r="G11949" t="s">
        <v>28675</v>
      </c>
      <c r="H11949" t="s">
        <v>9998</v>
      </c>
      <c r="I11949" t="s">
        <v>3718</v>
      </c>
      <c r="J11949" t="s">
        <v>28859</v>
      </c>
      <c r="K11949" t="s">
        <v>37227</v>
      </c>
      <c r="M11949" t="s">
        <v>40988</v>
      </c>
      <c r="N11949" t="s">
        <v>41249</v>
      </c>
      <c r="O11949" t="s">
        <v>41250</v>
      </c>
      <c r="Q11949">
        <v>3</v>
      </c>
      <c r="R11949" t="s">
        <v>41266</v>
      </c>
      <c r="S11949" t="s">
        <v>41409</v>
      </c>
      <c r="T11949" t="s">
        <v>42711</v>
      </c>
      <c r="U11949" t="s">
        <v>52780</v>
      </c>
      <c r="W11949" t="s">
        <v>40988</v>
      </c>
      <c r="X11949" t="s">
        <v>41267</v>
      </c>
    </row>
    <row r="11950" spans="1:24">
      <c r="A11950">
        <f>HYPERLINK("https://www.philgeps.gov.ph/GEPSNONPILOT/Tender/SplashBidNoticeAbstractUI.aspx?menuIndex=3&amp;refID=7047929&amp;Result=3","7047929")</f>
        <v>0</v>
      </c>
      <c r="B11950" t="s">
        <v>2511</v>
      </c>
      <c r="C11950" t="s">
        <v>14826</v>
      </c>
      <c r="D11950" t="s">
        <v>16676</v>
      </c>
      <c r="E11950" t="s">
        <v>27032</v>
      </c>
      <c r="F11950" t="s">
        <v>28669</v>
      </c>
      <c r="G11950" t="s">
        <v>28675</v>
      </c>
      <c r="H11950" t="s">
        <v>9998</v>
      </c>
      <c r="I11950" t="s">
        <v>28734</v>
      </c>
      <c r="J11950" t="s">
        <v>36141</v>
      </c>
      <c r="K11950" t="s">
        <v>37209</v>
      </c>
      <c r="M11950" t="s">
        <v>40199</v>
      </c>
      <c r="N11950" t="s">
        <v>41249</v>
      </c>
      <c r="O11950" t="s">
        <v>41250</v>
      </c>
      <c r="P11950">
        <v>0</v>
      </c>
      <c r="Q11950">
        <v>0</v>
      </c>
      <c r="R11950" t="s">
        <v>41266</v>
      </c>
      <c r="S11950" t="s">
        <v>41978</v>
      </c>
      <c r="T11950" t="s">
        <v>42966</v>
      </c>
      <c r="U11950" t="s">
        <v>52781</v>
      </c>
      <c r="W11950" t="s">
        <v>40199</v>
      </c>
      <c r="X11950" t="s">
        <v>41267</v>
      </c>
    </row>
    <row r="11951" spans="1:24">
      <c r="A11951">
        <f>HYPERLINK("https://www.philgeps.gov.ph/GEPSNONPILOT/Tender/SplashBidNoticeAbstractUI.aspx?menuIndex=3&amp;refID=7047982&amp;Result=3","7047982")</f>
        <v>0</v>
      </c>
      <c r="B11951" t="s">
        <v>269</v>
      </c>
      <c r="C11951" t="s">
        <v>14827</v>
      </c>
      <c r="D11951" t="s">
        <v>16619</v>
      </c>
      <c r="E11951" t="s">
        <v>27033</v>
      </c>
      <c r="F11951" t="s">
        <v>28669</v>
      </c>
      <c r="G11951" t="s">
        <v>28675</v>
      </c>
      <c r="H11951" t="s">
        <v>9998</v>
      </c>
      <c r="I11951" t="s">
        <v>7352</v>
      </c>
      <c r="J11951" t="s">
        <v>36142</v>
      </c>
      <c r="K11951" t="s">
        <v>37209</v>
      </c>
      <c r="M11951" t="s">
        <v>37747</v>
      </c>
      <c r="N11951" t="s">
        <v>41249</v>
      </c>
      <c r="O11951" t="s">
        <v>41250</v>
      </c>
      <c r="P11951">
        <v>0</v>
      </c>
      <c r="Q11951">
        <v>4</v>
      </c>
      <c r="R11951" t="s">
        <v>41266</v>
      </c>
      <c r="S11951" t="s">
        <v>41978</v>
      </c>
      <c r="T11951" t="s">
        <v>42856</v>
      </c>
      <c r="U11951" t="s">
        <v>52782</v>
      </c>
      <c r="V11951" t="s">
        <v>54319</v>
      </c>
      <c r="W11951" t="s">
        <v>37747</v>
      </c>
      <c r="X11951" t="s">
        <v>41267</v>
      </c>
    </row>
    <row r="11952" spans="1:24">
      <c r="A11952">
        <f>HYPERLINK("https://www.philgeps.gov.ph/GEPSNONPILOT/Tender/SplashBidNoticeAbstractUI.aspx?menuIndex=3&amp;refID=7048191&amp;Result=3","7048191")</f>
        <v>0</v>
      </c>
      <c r="B11952" t="s">
        <v>3187</v>
      </c>
      <c r="C11952" t="s">
        <v>14828</v>
      </c>
      <c r="E11952" t="s">
        <v>27034</v>
      </c>
      <c r="F11952" t="s">
        <v>28669</v>
      </c>
      <c r="G11952" t="s">
        <v>28675</v>
      </c>
      <c r="H11952" t="s">
        <v>28686</v>
      </c>
      <c r="I11952" t="s">
        <v>28689</v>
      </c>
      <c r="J11952" t="s">
        <v>36143</v>
      </c>
      <c r="K11952" t="s">
        <v>37209</v>
      </c>
      <c r="M11952" t="s">
        <v>40989</v>
      </c>
      <c r="N11952" t="s">
        <v>41249</v>
      </c>
      <c r="O11952" t="s">
        <v>41250</v>
      </c>
      <c r="P11952">
        <v>0</v>
      </c>
      <c r="Q11952">
        <v>0</v>
      </c>
      <c r="R11952" t="s">
        <v>41266</v>
      </c>
      <c r="S11952" t="s">
        <v>41978</v>
      </c>
      <c r="T11952" t="s">
        <v>42726</v>
      </c>
      <c r="U11952" t="s">
        <v>52783</v>
      </c>
      <c r="V11952" t="s">
        <v>55680</v>
      </c>
      <c r="W11952" t="s">
        <v>40989</v>
      </c>
      <c r="X11952" t="s">
        <v>41267</v>
      </c>
    </row>
    <row r="11953" spans="1:24">
      <c r="A11953">
        <f>HYPERLINK("https://www.philgeps.gov.ph/GEPSNONPILOT/Tender/SplashBidNoticeAbstractUI.aspx?menuIndex=3&amp;refID=7048112&amp;Result=3","7048112")</f>
        <v>0</v>
      </c>
      <c r="B11953" t="s">
        <v>269</v>
      </c>
      <c r="C11953" t="s">
        <v>14829</v>
      </c>
      <c r="D11953" t="s">
        <v>16619</v>
      </c>
      <c r="E11953" t="s">
        <v>27035</v>
      </c>
      <c r="F11953" t="s">
        <v>28669</v>
      </c>
      <c r="G11953" t="s">
        <v>28675</v>
      </c>
      <c r="H11953" t="s">
        <v>9998</v>
      </c>
      <c r="I11953" t="s">
        <v>7352</v>
      </c>
      <c r="J11953" t="s">
        <v>36144</v>
      </c>
      <c r="K11953" t="s">
        <v>37209</v>
      </c>
      <c r="M11953" t="s">
        <v>37747</v>
      </c>
      <c r="N11953" t="s">
        <v>41249</v>
      </c>
      <c r="O11953" t="s">
        <v>41250</v>
      </c>
      <c r="P11953">
        <v>0</v>
      </c>
      <c r="Q11953">
        <v>3</v>
      </c>
      <c r="R11953" t="s">
        <v>41266</v>
      </c>
      <c r="S11953" t="s">
        <v>41978</v>
      </c>
      <c r="T11953" t="s">
        <v>42679</v>
      </c>
      <c r="U11953" t="s">
        <v>52784</v>
      </c>
      <c r="V11953" t="s">
        <v>54319</v>
      </c>
      <c r="W11953" t="s">
        <v>37747</v>
      </c>
      <c r="X11953" t="s">
        <v>41267</v>
      </c>
    </row>
    <row r="11954" spans="1:24">
      <c r="A11954">
        <f>HYPERLINK("https://www.philgeps.gov.ph/GEPSNONPILOT/Tender/SplashBidNoticeAbstractUI.aspx?menuIndex=3&amp;refID=7048210&amp;Result=3","7048210")</f>
        <v>0</v>
      </c>
      <c r="B11954" t="s">
        <v>269</v>
      </c>
      <c r="C11954" t="s">
        <v>14830</v>
      </c>
      <c r="D11954" t="s">
        <v>16619</v>
      </c>
      <c r="E11954" t="s">
        <v>27036</v>
      </c>
      <c r="F11954" t="s">
        <v>28669</v>
      </c>
      <c r="G11954" t="s">
        <v>28675</v>
      </c>
      <c r="H11954" t="s">
        <v>9998</v>
      </c>
      <c r="I11954" t="s">
        <v>7352</v>
      </c>
      <c r="J11954" t="s">
        <v>36145</v>
      </c>
      <c r="K11954" t="s">
        <v>37209</v>
      </c>
      <c r="M11954" t="s">
        <v>37747</v>
      </c>
      <c r="N11954" t="s">
        <v>41249</v>
      </c>
      <c r="O11954" t="s">
        <v>41250</v>
      </c>
      <c r="P11954">
        <v>0</v>
      </c>
      <c r="Q11954">
        <v>2</v>
      </c>
      <c r="R11954" t="s">
        <v>41266</v>
      </c>
      <c r="S11954" t="s">
        <v>41978</v>
      </c>
      <c r="T11954" t="s">
        <v>42679</v>
      </c>
      <c r="U11954" t="s">
        <v>52785</v>
      </c>
      <c r="V11954" t="s">
        <v>54319</v>
      </c>
      <c r="W11954" t="s">
        <v>37747</v>
      </c>
      <c r="X11954" t="s">
        <v>41267</v>
      </c>
    </row>
    <row r="11955" spans="1:24">
      <c r="A11955">
        <f>HYPERLINK("https://www.philgeps.gov.ph/GEPSNONPILOT/Tender/SplashBidNoticeAbstractUI.aspx?menuIndex=3&amp;refID=7047901&amp;Result=3","7047901")</f>
        <v>0</v>
      </c>
      <c r="B11955" t="s">
        <v>3188</v>
      </c>
      <c r="C11955" t="s">
        <v>14831</v>
      </c>
      <c r="D11955" t="s">
        <v>16691</v>
      </c>
      <c r="E11955" t="s">
        <v>27037</v>
      </c>
      <c r="F11955" t="s">
        <v>28669</v>
      </c>
      <c r="G11955" t="s">
        <v>28675</v>
      </c>
      <c r="H11955" t="s">
        <v>9998</v>
      </c>
      <c r="I11955" t="s">
        <v>28694</v>
      </c>
      <c r="J11955" t="s">
        <v>36146</v>
      </c>
      <c r="K11955" t="s">
        <v>37206</v>
      </c>
      <c r="M11955" t="s">
        <v>40990</v>
      </c>
      <c r="N11955" t="s">
        <v>41249</v>
      </c>
      <c r="O11955" t="s">
        <v>41250</v>
      </c>
      <c r="P11955">
        <v>0</v>
      </c>
      <c r="Q11955">
        <v>0</v>
      </c>
      <c r="R11955" t="s">
        <v>41266</v>
      </c>
      <c r="S11955" t="s">
        <v>41978</v>
      </c>
      <c r="T11955" t="s">
        <v>42736</v>
      </c>
      <c r="U11955" t="s">
        <v>52786</v>
      </c>
      <c r="V11955" t="s">
        <v>55681</v>
      </c>
      <c r="W11955" t="s">
        <v>40990</v>
      </c>
      <c r="X11955" t="s">
        <v>41267</v>
      </c>
    </row>
    <row r="11956" spans="1:24">
      <c r="A11956">
        <f>HYPERLINK("https://www.philgeps.gov.ph/GEPSNONPILOT/Tender/SplashBidNoticeAbstractUI.aspx?menuIndex=3&amp;refID=7048184&amp;Result=3","7048184")</f>
        <v>0</v>
      </c>
      <c r="B11956" t="s">
        <v>2280</v>
      </c>
      <c r="C11956" t="s">
        <v>14832</v>
      </c>
      <c r="D11956" t="s">
        <v>16608</v>
      </c>
      <c r="E11956" t="s">
        <v>27038</v>
      </c>
      <c r="F11956" t="s">
        <v>28669</v>
      </c>
      <c r="G11956" t="s">
        <v>28675</v>
      </c>
      <c r="H11956" t="s">
        <v>28686</v>
      </c>
      <c r="I11956" t="s">
        <v>28689</v>
      </c>
      <c r="J11956" t="s">
        <v>36147</v>
      </c>
      <c r="K11956" t="s">
        <v>37215</v>
      </c>
      <c r="M11956" t="s">
        <v>39935</v>
      </c>
      <c r="N11956" t="s">
        <v>41249</v>
      </c>
      <c r="O11956" t="s">
        <v>41250</v>
      </c>
      <c r="Q11956">
        <v>10</v>
      </c>
      <c r="R11956" t="s">
        <v>41266</v>
      </c>
      <c r="S11956" t="s">
        <v>42007</v>
      </c>
      <c r="T11956" t="s">
        <v>42876</v>
      </c>
      <c r="U11956" t="s">
        <v>52787</v>
      </c>
      <c r="V11956" t="s">
        <v>55682</v>
      </c>
      <c r="W11956" t="s">
        <v>39935</v>
      </c>
      <c r="X11956" t="s">
        <v>41267</v>
      </c>
    </row>
    <row r="11957" spans="1:24">
      <c r="A11957">
        <f>HYPERLINK("https://www.philgeps.gov.ph/GEPSNONPILOT/Tender/SplashBidNoticeAbstractUI.aspx?menuIndex=3&amp;refID=7048158&amp;Result=3","7048158")</f>
        <v>0</v>
      </c>
      <c r="B11957" t="s">
        <v>3187</v>
      </c>
      <c r="C11957" t="s">
        <v>14833</v>
      </c>
      <c r="E11957" t="s">
        <v>27039</v>
      </c>
      <c r="F11957" t="s">
        <v>28669</v>
      </c>
      <c r="G11957" t="s">
        <v>28675</v>
      </c>
      <c r="H11957" t="s">
        <v>28686</v>
      </c>
      <c r="I11957" t="s">
        <v>28689</v>
      </c>
      <c r="J11957" t="s">
        <v>36148</v>
      </c>
      <c r="K11957" t="s">
        <v>37209</v>
      </c>
      <c r="M11957" t="s">
        <v>40989</v>
      </c>
      <c r="N11957" t="s">
        <v>41249</v>
      </c>
      <c r="O11957" t="s">
        <v>41250</v>
      </c>
      <c r="P11957">
        <v>0</v>
      </c>
      <c r="Q11957">
        <v>0</v>
      </c>
      <c r="R11957" t="s">
        <v>41266</v>
      </c>
      <c r="S11957" t="s">
        <v>41978</v>
      </c>
      <c r="T11957" t="s">
        <v>42726</v>
      </c>
      <c r="U11957" t="s">
        <v>52788</v>
      </c>
      <c r="V11957" t="s">
        <v>55683</v>
      </c>
      <c r="W11957" t="s">
        <v>40989</v>
      </c>
      <c r="X11957" t="s">
        <v>41267</v>
      </c>
    </row>
    <row r="11958" spans="1:24">
      <c r="A11958">
        <f>HYPERLINK("https://www.philgeps.gov.ph/GEPSNONPILOT/Tender/SplashBidNoticeAbstractUI.aspx?menuIndex=3&amp;refID=7048089&amp;Result=3","7048089")</f>
        <v>0</v>
      </c>
      <c r="B11958" t="s">
        <v>269</v>
      </c>
      <c r="C11958" t="s">
        <v>14834</v>
      </c>
      <c r="D11958" t="s">
        <v>16619</v>
      </c>
      <c r="E11958" t="s">
        <v>27040</v>
      </c>
      <c r="F11958" t="s">
        <v>28669</v>
      </c>
      <c r="G11958" t="s">
        <v>28675</v>
      </c>
      <c r="H11958" t="s">
        <v>9998</v>
      </c>
      <c r="I11958" t="s">
        <v>7352</v>
      </c>
      <c r="J11958" t="s">
        <v>36149</v>
      </c>
      <c r="K11958" t="s">
        <v>37209</v>
      </c>
      <c r="M11958" t="s">
        <v>37747</v>
      </c>
      <c r="N11958" t="s">
        <v>41249</v>
      </c>
      <c r="O11958" t="s">
        <v>41250</v>
      </c>
      <c r="P11958">
        <v>0</v>
      </c>
      <c r="Q11958">
        <v>4</v>
      </c>
      <c r="R11958" t="s">
        <v>41266</v>
      </c>
      <c r="S11958" t="s">
        <v>41978</v>
      </c>
      <c r="T11958" t="s">
        <v>42679</v>
      </c>
      <c r="U11958" t="s">
        <v>52789</v>
      </c>
      <c r="V11958" t="s">
        <v>54319</v>
      </c>
      <c r="W11958" t="s">
        <v>37747</v>
      </c>
      <c r="X11958" t="s">
        <v>41267</v>
      </c>
    </row>
    <row r="11959" spans="1:24">
      <c r="A11959">
        <f>HYPERLINK("https://www.philgeps.gov.ph/GEPSNONPILOT/Tender/SplashBidNoticeAbstractUI.aspx?menuIndex=3&amp;refID=7048195&amp;Result=3","7048195")</f>
        <v>0</v>
      </c>
      <c r="B11959" t="s">
        <v>269</v>
      </c>
      <c r="C11959" t="s">
        <v>14835</v>
      </c>
      <c r="D11959" t="s">
        <v>16619</v>
      </c>
      <c r="E11959" t="s">
        <v>27041</v>
      </c>
      <c r="F11959" t="s">
        <v>28669</v>
      </c>
      <c r="G11959" t="s">
        <v>28675</v>
      </c>
      <c r="H11959" t="s">
        <v>9998</v>
      </c>
      <c r="I11959" t="s">
        <v>7352</v>
      </c>
      <c r="J11959" t="s">
        <v>36150</v>
      </c>
      <c r="K11959" t="s">
        <v>37209</v>
      </c>
      <c r="M11959" t="s">
        <v>37747</v>
      </c>
      <c r="N11959" t="s">
        <v>41249</v>
      </c>
      <c r="O11959" t="s">
        <v>41250</v>
      </c>
      <c r="P11959">
        <v>0</v>
      </c>
      <c r="Q11959">
        <v>2</v>
      </c>
      <c r="R11959" t="s">
        <v>41266</v>
      </c>
      <c r="S11959" t="s">
        <v>41978</v>
      </c>
      <c r="T11959" t="s">
        <v>42804</v>
      </c>
      <c r="U11959" t="s">
        <v>52790</v>
      </c>
      <c r="V11959" t="s">
        <v>54319</v>
      </c>
      <c r="W11959" t="s">
        <v>37747</v>
      </c>
      <c r="X11959" t="s">
        <v>41267</v>
      </c>
    </row>
    <row r="11960" spans="1:24">
      <c r="A11960">
        <f>HYPERLINK("https://www.philgeps.gov.ph/GEPSNONPILOT/Tender/SplashBidNoticeAbstractUI.aspx?menuIndex=3&amp;refID=7048085&amp;Result=3","7048085")</f>
        <v>0</v>
      </c>
      <c r="B11960" t="s">
        <v>3189</v>
      </c>
      <c r="C11960" t="s">
        <v>14836</v>
      </c>
      <c r="D11960" t="s">
        <v>16626</v>
      </c>
      <c r="E11960" t="s">
        <v>17202</v>
      </c>
      <c r="F11960" t="s">
        <v>28669</v>
      </c>
      <c r="G11960" t="s">
        <v>28675</v>
      </c>
      <c r="H11960" t="s">
        <v>9998</v>
      </c>
      <c r="I11960" t="s">
        <v>6128</v>
      </c>
      <c r="J11960" t="s">
        <v>36151</v>
      </c>
      <c r="K11960" t="s">
        <v>37243</v>
      </c>
      <c r="M11960" t="s">
        <v>40991</v>
      </c>
      <c r="N11960" t="s">
        <v>41249</v>
      </c>
      <c r="O11960" t="s">
        <v>41250</v>
      </c>
      <c r="P11960">
        <v>0</v>
      </c>
      <c r="Q11960">
        <v>1</v>
      </c>
      <c r="R11960" t="s">
        <v>41266</v>
      </c>
      <c r="S11960" t="s">
        <v>41978</v>
      </c>
      <c r="T11960" t="s">
        <v>42659</v>
      </c>
      <c r="U11960" t="s">
        <v>52791</v>
      </c>
      <c r="W11960" t="s">
        <v>40991</v>
      </c>
      <c r="X11960" t="s">
        <v>41267</v>
      </c>
    </row>
    <row r="11961" spans="1:24">
      <c r="A11961">
        <f>HYPERLINK("https://www.philgeps.gov.ph/GEPSNONPILOT/Tender/SplashBidNoticeAbstractUI.aspx?menuIndex=3&amp;refID=7047953&amp;Result=3","7047953")</f>
        <v>0</v>
      </c>
      <c r="B11961" t="s">
        <v>154</v>
      </c>
      <c r="C11961" t="s">
        <v>14837</v>
      </c>
      <c r="D11961" t="s">
        <v>16621</v>
      </c>
      <c r="E11961" t="s">
        <v>27042</v>
      </c>
      <c r="F11961" t="s">
        <v>28669</v>
      </c>
      <c r="G11961" t="s">
        <v>28675</v>
      </c>
      <c r="H11961" t="s">
        <v>28686</v>
      </c>
      <c r="I11961" t="s">
        <v>28689</v>
      </c>
      <c r="J11961" t="s">
        <v>35078</v>
      </c>
      <c r="K11961" t="s">
        <v>37213</v>
      </c>
      <c r="M11961" t="s">
        <v>37631</v>
      </c>
      <c r="N11961" t="s">
        <v>41249</v>
      </c>
      <c r="O11961" t="s">
        <v>41250</v>
      </c>
      <c r="P11961">
        <v>0</v>
      </c>
      <c r="Q11961">
        <v>1</v>
      </c>
      <c r="R11961" t="s">
        <v>41266</v>
      </c>
      <c r="S11961" t="s">
        <v>41978</v>
      </c>
      <c r="T11961" t="s">
        <v>42714</v>
      </c>
      <c r="U11961" t="s">
        <v>52792</v>
      </c>
      <c r="V11961" t="s">
        <v>55684</v>
      </c>
      <c r="W11961" t="s">
        <v>37631</v>
      </c>
      <c r="X11961" t="s">
        <v>41267</v>
      </c>
    </row>
    <row r="11962" spans="1:24">
      <c r="A11962">
        <f>HYPERLINK("https://www.philgeps.gov.ph/GEPSNONPILOT/Tender/SplashBidNoticeAbstractUI.aspx?menuIndex=3&amp;refID=7048222&amp;Result=3","7048222")</f>
        <v>0</v>
      </c>
      <c r="B11962" t="s">
        <v>1759</v>
      </c>
      <c r="C11962" t="s">
        <v>14838</v>
      </c>
      <c r="E11962" t="s">
        <v>27043</v>
      </c>
      <c r="F11962" t="s">
        <v>28669</v>
      </c>
      <c r="G11962" t="s">
        <v>28675</v>
      </c>
      <c r="H11962" t="s">
        <v>28686</v>
      </c>
      <c r="I11962" t="s">
        <v>28689</v>
      </c>
      <c r="J11962" t="s">
        <v>29950</v>
      </c>
      <c r="K11962" t="s">
        <v>37212</v>
      </c>
      <c r="M11962" t="s">
        <v>39818</v>
      </c>
      <c r="N11962" t="s">
        <v>41249</v>
      </c>
      <c r="O11962" t="s">
        <v>41250</v>
      </c>
      <c r="Q11962">
        <v>3</v>
      </c>
      <c r="R11962" t="s">
        <v>41266</v>
      </c>
      <c r="S11962" t="s">
        <v>42008</v>
      </c>
      <c r="T11962" t="s">
        <v>42759</v>
      </c>
      <c r="U11962" t="s">
        <v>48672</v>
      </c>
      <c r="W11962" t="s">
        <v>39818</v>
      </c>
      <c r="X11962" t="s">
        <v>41267</v>
      </c>
    </row>
    <row r="11963" spans="1:24">
      <c r="A11963">
        <f>HYPERLINK("https://www.philgeps.gov.ph/GEPSNONPILOT/Tender/SplashBidNoticeAbstractUI.aspx?menuIndex=3&amp;refID=7048110&amp;Result=3","7048110")</f>
        <v>0</v>
      </c>
      <c r="B11963" t="s">
        <v>143</v>
      </c>
      <c r="C11963" t="s">
        <v>14839</v>
      </c>
      <c r="D11963" t="s">
        <v>16640</v>
      </c>
      <c r="E11963" t="s">
        <v>27044</v>
      </c>
      <c r="F11963" t="s">
        <v>28669</v>
      </c>
      <c r="G11963" t="s">
        <v>28675</v>
      </c>
      <c r="H11963" t="s">
        <v>28686</v>
      </c>
      <c r="I11963" t="s">
        <v>28689</v>
      </c>
      <c r="J11963" t="s">
        <v>36152</v>
      </c>
      <c r="K11963" t="s">
        <v>37211</v>
      </c>
      <c r="M11963" t="s">
        <v>37620</v>
      </c>
      <c r="N11963" t="s">
        <v>41249</v>
      </c>
      <c r="O11963" t="s">
        <v>41250</v>
      </c>
      <c r="P11963">
        <v>0</v>
      </c>
      <c r="Q11963">
        <v>0</v>
      </c>
      <c r="R11963" t="s">
        <v>41266</v>
      </c>
      <c r="S11963" t="s">
        <v>41978</v>
      </c>
      <c r="T11963" t="s">
        <v>42679</v>
      </c>
      <c r="U11963" t="s">
        <v>52793</v>
      </c>
      <c r="W11963" t="s">
        <v>55901</v>
      </c>
      <c r="X11963" t="s">
        <v>41267</v>
      </c>
    </row>
    <row r="11964" spans="1:24">
      <c r="A11964">
        <f>HYPERLINK("https://www.philgeps.gov.ph/GEPSNONPILOT/Tender/SplashBidNoticeAbstractUI.aspx?menuIndex=3&amp;refID=7048285&amp;Result=3","7048285")</f>
        <v>0</v>
      </c>
      <c r="B11964" t="s">
        <v>2445</v>
      </c>
      <c r="C11964" t="s">
        <v>14840</v>
      </c>
      <c r="D11964" t="s">
        <v>16669</v>
      </c>
      <c r="E11964" t="s">
        <v>27045</v>
      </c>
      <c r="F11964" t="s">
        <v>28669</v>
      </c>
      <c r="G11964" t="s">
        <v>28675</v>
      </c>
      <c r="H11964" t="s">
        <v>9998</v>
      </c>
      <c r="I11964" t="s">
        <v>28704</v>
      </c>
      <c r="J11964" t="s">
        <v>36153</v>
      </c>
      <c r="K11964" t="s">
        <v>37204</v>
      </c>
      <c r="M11964" t="s">
        <v>40128</v>
      </c>
      <c r="N11964" t="s">
        <v>41249</v>
      </c>
      <c r="O11964" t="s">
        <v>41250</v>
      </c>
      <c r="P11964">
        <v>0</v>
      </c>
      <c r="Q11964">
        <v>4</v>
      </c>
      <c r="R11964" t="s">
        <v>41266</v>
      </c>
      <c r="S11964" t="s">
        <v>41978</v>
      </c>
      <c r="T11964" t="s">
        <v>42703</v>
      </c>
      <c r="U11964" t="s">
        <v>52752</v>
      </c>
      <c r="W11964" t="s">
        <v>40128</v>
      </c>
      <c r="X11964" t="s">
        <v>41267</v>
      </c>
    </row>
    <row r="11965" spans="1:24">
      <c r="A11965">
        <f>HYPERLINK("https://www.philgeps.gov.ph/GEPSNONPILOT/Tender/SplashBidNoticeAbstractUI.aspx?menuIndex=3&amp;refID=7048325&amp;Result=3","7048325")</f>
        <v>0</v>
      </c>
      <c r="B11965" t="s">
        <v>169</v>
      </c>
      <c r="C11965" t="s">
        <v>14841</v>
      </c>
      <c r="D11965" t="s">
        <v>16611</v>
      </c>
      <c r="E11965" t="s">
        <v>27046</v>
      </c>
      <c r="F11965" t="s">
        <v>28669</v>
      </c>
      <c r="G11965" t="s">
        <v>28675</v>
      </c>
      <c r="H11965" t="s">
        <v>9998</v>
      </c>
      <c r="I11965" t="s">
        <v>6458</v>
      </c>
      <c r="J11965" t="s">
        <v>36154</v>
      </c>
      <c r="K11965" t="s">
        <v>37210</v>
      </c>
      <c r="M11965" t="s">
        <v>37646</v>
      </c>
      <c r="N11965" t="s">
        <v>41249</v>
      </c>
      <c r="O11965" t="s">
        <v>41250</v>
      </c>
      <c r="P11965">
        <v>0</v>
      </c>
      <c r="Q11965">
        <v>3</v>
      </c>
      <c r="R11965" t="s">
        <v>41266</v>
      </c>
      <c r="S11965" t="s">
        <v>41978</v>
      </c>
      <c r="T11965" t="s">
        <v>42679</v>
      </c>
      <c r="U11965" t="s">
        <v>52794</v>
      </c>
      <c r="V11965" t="s">
        <v>54294</v>
      </c>
      <c r="W11965" t="s">
        <v>37646</v>
      </c>
      <c r="X11965" t="s">
        <v>41267</v>
      </c>
    </row>
    <row r="11966" spans="1:24">
      <c r="A11966">
        <f>HYPERLINK("https://www.philgeps.gov.ph/GEPSNONPILOT/Tender/SplashBidNoticeAbstractUI.aspx?menuIndex=3&amp;refID=7048197&amp;Result=3","7048197")</f>
        <v>0</v>
      </c>
      <c r="B11966" t="s">
        <v>459</v>
      </c>
      <c r="C11966" t="s">
        <v>14842</v>
      </c>
      <c r="D11966" t="s">
        <v>16616</v>
      </c>
      <c r="E11966" t="s">
        <v>27047</v>
      </c>
      <c r="F11966" t="s">
        <v>28669</v>
      </c>
      <c r="G11966" t="s">
        <v>28675</v>
      </c>
      <c r="H11966" t="s">
        <v>9998</v>
      </c>
      <c r="I11966" t="s">
        <v>28687</v>
      </c>
      <c r="J11966" t="s">
        <v>28891</v>
      </c>
      <c r="K11966" t="s">
        <v>37215</v>
      </c>
      <c r="M11966" t="s">
        <v>37947</v>
      </c>
      <c r="N11966" t="s">
        <v>41249</v>
      </c>
      <c r="O11966" t="s">
        <v>41250</v>
      </c>
      <c r="P11966">
        <v>0</v>
      </c>
      <c r="Q11966">
        <v>2</v>
      </c>
      <c r="R11966" t="s">
        <v>41266</v>
      </c>
      <c r="S11966" t="s">
        <v>41978</v>
      </c>
      <c r="T11966" t="s">
        <v>42714</v>
      </c>
      <c r="U11966" t="s">
        <v>52795</v>
      </c>
      <c r="W11966" t="s">
        <v>37947</v>
      </c>
      <c r="X11966" t="s">
        <v>41267</v>
      </c>
    </row>
    <row r="11967" spans="1:24">
      <c r="A11967">
        <f>HYPERLINK("https://www.philgeps.gov.ph/GEPSNONPILOT/Tender/SplashBidNoticeAbstractUI.aspx?menuIndex=3&amp;refID=7048105&amp;Result=3","7048105")</f>
        <v>0</v>
      </c>
      <c r="B11967" t="s">
        <v>269</v>
      </c>
      <c r="C11967" t="s">
        <v>14843</v>
      </c>
      <c r="D11967" t="s">
        <v>16619</v>
      </c>
      <c r="E11967" t="s">
        <v>27048</v>
      </c>
      <c r="F11967" t="s">
        <v>28669</v>
      </c>
      <c r="G11967" t="s">
        <v>28675</v>
      </c>
      <c r="H11967" t="s">
        <v>9998</v>
      </c>
      <c r="I11967" t="s">
        <v>7352</v>
      </c>
      <c r="J11967" t="s">
        <v>36155</v>
      </c>
      <c r="K11967" t="s">
        <v>37209</v>
      </c>
      <c r="M11967" t="s">
        <v>37747</v>
      </c>
      <c r="N11967" t="s">
        <v>41249</v>
      </c>
      <c r="O11967" t="s">
        <v>41250</v>
      </c>
      <c r="P11967">
        <v>0</v>
      </c>
      <c r="Q11967">
        <v>2</v>
      </c>
      <c r="R11967" t="s">
        <v>41266</v>
      </c>
      <c r="S11967" t="s">
        <v>41978</v>
      </c>
      <c r="T11967" t="s">
        <v>42679</v>
      </c>
      <c r="U11967" t="s">
        <v>52796</v>
      </c>
      <c r="V11967" t="s">
        <v>54319</v>
      </c>
      <c r="W11967" t="s">
        <v>37747</v>
      </c>
      <c r="X11967" t="s">
        <v>41267</v>
      </c>
    </row>
    <row r="11968" spans="1:24">
      <c r="A11968">
        <f>HYPERLINK("https://www.philgeps.gov.ph/GEPSNONPILOT/Tender/SplashBidNoticeAbstractUI.aspx?menuIndex=3&amp;refID=7048317&amp;Result=3","7048317")</f>
        <v>0</v>
      </c>
      <c r="B11968" t="s">
        <v>2149</v>
      </c>
      <c r="C11968" t="s">
        <v>14844</v>
      </c>
      <c r="D11968" t="s">
        <v>16676</v>
      </c>
      <c r="E11968" t="s">
        <v>27049</v>
      </c>
      <c r="F11968" t="s">
        <v>28669</v>
      </c>
      <c r="G11968" t="s">
        <v>28675</v>
      </c>
      <c r="H11968" t="s">
        <v>9998</v>
      </c>
      <c r="I11968" t="s">
        <v>28687</v>
      </c>
      <c r="J11968" t="s">
        <v>29033</v>
      </c>
      <c r="K11968" t="s">
        <v>37206</v>
      </c>
      <c r="M11968" t="s">
        <v>39794</v>
      </c>
      <c r="N11968" t="s">
        <v>41249</v>
      </c>
      <c r="O11968" t="s">
        <v>41250</v>
      </c>
      <c r="P11968">
        <v>0</v>
      </c>
      <c r="Q11968">
        <v>4</v>
      </c>
      <c r="R11968" t="s">
        <v>41266</v>
      </c>
      <c r="S11968" t="s">
        <v>41978</v>
      </c>
      <c r="T11968" t="s">
        <v>42809</v>
      </c>
      <c r="U11968" t="s">
        <v>52797</v>
      </c>
      <c r="W11968" t="s">
        <v>39794</v>
      </c>
      <c r="X11968" t="s">
        <v>41267</v>
      </c>
    </row>
    <row r="11969" spans="1:24">
      <c r="A11969">
        <f>HYPERLINK("https://www.philgeps.gov.ph/GEPSNONPILOT/Tender/SplashBidNoticeAbstractUI.aspx?menuIndex=3&amp;refID=7048096&amp;Result=3","7048096")</f>
        <v>0</v>
      </c>
      <c r="B11969" t="s">
        <v>269</v>
      </c>
      <c r="C11969" t="s">
        <v>14845</v>
      </c>
      <c r="D11969" t="s">
        <v>16619</v>
      </c>
      <c r="E11969" t="s">
        <v>27050</v>
      </c>
      <c r="F11969" t="s">
        <v>28669</v>
      </c>
      <c r="G11969" t="s">
        <v>28675</v>
      </c>
      <c r="H11969" t="s">
        <v>9998</v>
      </c>
      <c r="I11969" t="s">
        <v>7352</v>
      </c>
      <c r="J11969" t="s">
        <v>36156</v>
      </c>
      <c r="K11969" t="s">
        <v>37209</v>
      </c>
      <c r="M11969" t="s">
        <v>37747</v>
      </c>
      <c r="N11969" t="s">
        <v>41249</v>
      </c>
      <c r="O11969" t="s">
        <v>41250</v>
      </c>
      <c r="P11969">
        <v>0</v>
      </c>
      <c r="Q11969">
        <v>3</v>
      </c>
      <c r="R11969" t="s">
        <v>41266</v>
      </c>
      <c r="S11969" t="s">
        <v>41978</v>
      </c>
      <c r="T11969" t="s">
        <v>42679</v>
      </c>
      <c r="U11969" t="s">
        <v>52798</v>
      </c>
      <c r="V11969" t="s">
        <v>54319</v>
      </c>
      <c r="W11969" t="s">
        <v>37747</v>
      </c>
      <c r="X11969" t="s">
        <v>41267</v>
      </c>
    </row>
    <row r="11970" spans="1:24">
      <c r="A11970">
        <f>HYPERLINK("https://www.philgeps.gov.ph/GEPSNONPILOT/Tender/SplashBidNoticeAbstractUI.aspx?menuIndex=3&amp;refID=7048315&amp;Result=3","7048315")</f>
        <v>0</v>
      </c>
      <c r="B11970" t="s">
        <v>2248</v>
      </c>
      <c r="C11970" t="s">
        <v>14846</v>
      </c>
      <c r="E11970" t="s">
        <v>27051</v>
      </c>
      <c r="F11970" t="s">
        <v>28669</v>
      </c>
      <c r="G11970" t="s">
        <v>28675</v>
      </c>
      <c r="H11970" t="s">
        <v>28684</v>
      </c>
      <c r="I11970" t="s">
        <v>28775</v>
      </c>
      <c r="J11970" t="s">
        <v>36157</v>
      </c>
      <c r="K11970" t="s">
        <v>37397</v>
      </c>
      <c r="M11970" t="s">
        <v>40992</v>
      </c>
      <c r="N11970" t="s">
        <v>41249</v>
      </c>
      <c r="O11970" t="s">
        <v>41250</v>
      </c>
      <c r="P11970">
        <v>0</v>
      </c>
      <c r="Q11970">
        <v>1</v>
      </c>
      <c r="R11970" t="s">
        <v>41266</v>
      </c>
      <c r="S11970" t="s">
        <v>41978</v>
      </c>
      <c r="T11970" t="s">
        <v>42679</v>
      </c>
      <c r="U11970" t="s">
        <v>52799</v>
      </c>
      <c r="V11970" t="s">
        <v>55685</v>
      </c>
      <c r="W11970" t="s">
        <v>40992</v>
      </c>
      <c r="X11970" t="s">
        <v>41267</v>
      </c>
    </row>
    <row r="11971" spans="1:24">
      <c r="A11971">
        <f>HYPERLINK("https://www.philgeps.gov.ph/GEPSNONPILOT/Tender/SplashBidNoticeAbstractUI.aspx?menuIndex=3&amp;refID=7048280&amp;Result=3","7048280")</f>
        <v>0</v>
      </c>
      <c r="B11971" t="s">
        <v>1988</v>
      </c>
      <c r="C11971" t="s">
        <v>14847</v>
      </c>
      <c r="D11971" t="s">
        <v>16667</v>
      </c>
      <c r="E11971" t="s">
        <v>27052</v>
      </c>
      <c r="F11971" t="s">
        <v>28669</v>
      </c>
      <c r="G11971" t="s">
        <v>28675</v>
      </c>
      <c r="H11971" t="s">
        <v>28686</v>
      </c>
      <c r="I11971" t="s">
        <v>28689</v>
      </c>
      <c r="J11971" t="s">
        <v>29051</v>
      </c>
      <c r="K11971" t="s">
        <v>37215</v>
      </c>
      <c r="M11971" t="s">
        <v>39624</v>
      </c>
      <c r="N11971" t="s">
        <v>41249</v>
      </c>
      <c r="O11971" t="s">
        <v>41250</v>
      </c>
      <c r="P11971">
        <v>0</v>
      </c>
      <c r="Q11971">
        <v>2</v>
      </c>
      <c r="R11971" t="s">
        <v>41266</v>
      </c>
      <c r="S11971" t="s">
        <v>41978</v>
      </c>
      <c r="T11971" t="s">
        <v>42717</v>
      </c>
      <c r="U11971" t="s">
        <v>52800</v>
      </c>
      <c r="W11971" t="s">
        <v>39624</v>
      </c>
      <c r="X11971" t="s">
        <v>41267</v>
      </c>
    </row>
    <row r="11972" spans="1:24">
      <c r="A11972">
        <f>HYPERLINK("https://www.philgeps.gov.ph/GEPSNONPILOT/Tender/SplashBidNoticeAbstractUI.aspx?menuIndex=3&amp;refID=7048084&amp;Result=3","7048084")</f>
        <v>0</v>
      </c>
      <c r="B11972" t="s">
        <v>637</v>
      </c>
      <c r="C11972" t="s">
        <v>14848</v>
      </c>
      <c r="D11972" t="s">
        <v>16647</v>
      </c>
      <c r="E11972" t="s">
        <v>27053</v>
      </c>
      <c r="F11972" t="s">
        <v>28669</v>
      </c>
      <c r="G11972" t="s">
        <v>28675</v>
      </c>
      <c r="H11972" t="s">
        <v>9998</v>
      </c>
      <c r="I11972" t="s">
        <v>28687</v>
      </c>
      <c r="J11972" t="s">
        <v>28823</v>
      </c>
      <c r="K11972" t="s">
        <v>37213</v>
      </c>
      <c r="M11972" t="s">
        <v>38138</v>
      </c>
      <c r="N11972" t="s">
        <v>41249</v>
      </c>
      <c r="O11972" t="s">
        <v>41250</v>
      </c>
      <c r="P11972">
        <v>0</v>
      </c>
      <c r="Q11972">
        <v>2</v>
      </c>
      <c r="R11972" t="s">
        <v>41266</v>
      </c>
      <c r="S11972" t="s">
        <v>41978</v>
      </c>
      <c r="T11972" t="s">
        <v>42690</v>
      </c>
      <c r="U11972" t="s">
        <v>52801</v>
      </c>
      <c r="W11972" t="s">
        <v>38138</v>
      </c>
      <c r="X11972" t="s">
        <v>41267</v>
      </c>
    </row>
    <row r="11973" spans="1:24">
      <c r="A11973">
        <f>HYPERLINK("https://www.philgeps.gov.ph/GEPSNONPILOT/Tender/SplashBidNoticeAbstractUI.aspx?menuIndex=3&amp;refID=7048275&amp;Result=3","7048275")</f>
        <v>0</v>
      </c>
      <c r="B11973" t="s">
        <v>2125</v>
      </c>
      <c r="C11973" t="s">
        <v>14849</v>
      </c>
      <c r="E11973" t="s">
        <v>27054</v>
      </c>
      <c r="F11973" t="s">
        <v>28669</v>
      </c>
      <c r="G11973" t="s">
        <v>28675</v>
      </c>
      <c r="H11973" t="s">
        <v>28686</v>
      </c>
      <c r="I11973" t="s">
        <v>28689</v>
      </c>
      <c r="J11973" t="s">
        <v>28924</v>
      </c>
      <c r="K11973" t="s">
        <v>37209</v>
      </c>
      <c r="M11973" t="s">
        <v>39770</v>
      </c>
      <c r="N11973" t="s">
        <v>41249</v>
      </c>
      <c r="O11973" t="s">
        <v>41250</v>
      </c>
      <c r="P11973">
        <v>0</v>
      </c>
      <c r="Q11973">
        <v>1</v>
      </c>
      <c r="R11973" t="s">
        <v>41266</v>
      </c>
      <c r="S11973" t="s">
        <v>41978</v>
      </c>
      <c r="T11973" t="s">
        <v>42856</v>
      </c>
      <c r="U11973" t="s">
        <v>52802</v>
      </c>
      <c r="W11973" t="s">
        <v>39770</v>
      </c>
      <c r="X11973" t="s">
        <v>41267</v>
      </c>
    </row>
    <row r="11974" spans="1:24">
      <c r="A11974">
        <f>HYPERLINK("https://www.philgeps.gov.ph/GEPSNONPILOT/Tender/SplashBidNoticeAbstractUI.aspx?menuIndex=3&amp;refID=7048274&amp;Result=3","7048274")</f>
        <v>0</v>
      </c>
      <c r="B11974" t="s">
        <v>2680</v>
      </c>
      <c r="C11974" t="s">
        <v>14850</v>
      </c>
      <c r="D11974" t="s">
        <v>16627</v>
      </c>
      <c r="E11974" t="s">
        <v>27055</v>
      </c>
      <c r="F11974" t="s">
        <v>28669</v>
      </c>
      <c r="G11974" t="s">
        <v>28675</v>
      </c>
      <c r="H11974" t="s">
        <v>9998</v>
      </c>
      <c r="I11974" t="s">
        <v>7352</v>
      </c>
      <c r="J11974" t="s">
        <v>36158</v>
      </c>
      <c r="K11974" t="s">
        <v>37205</v>
      </c>
      <c r="M11974" t="s">
        <v>40388</v>
      </c>
      <c r="N11974" t="s">
        <v>41249</v>
      </c>
      <c r="O11974" t="s">
        <v>41250</v>
      </c>
      <c r="P11974">
        <v>0</v>
      </c>
      <c r="Q11974">
        <v>2</v>
      </c>
      <c r="R11974" t="s">
        <v>41266</v>
      </c>
      <c r="S11974" t="s">
        <v>41978</v>
      </c>
      <c r="T11974" t="s">
        <v>42754</v>
      </c>
      <c r="U11974" t="s">
        <v>52803</v>
      </c>
      <c r="W11974" t="s">
        <v>40388</v>
      </c>
      <c r="X11974" t="s">
        <v>41267</v>
      </c>
    </row>
    <row r="11975" spans="1:24">
      <c r="A11975">
        <f>HYPERLINK("https://www.philgeps.gov.ph/GEPSNONPILOT/Tender/SplashBidNoticeAbstractUI.aspx?menuIndex=3&amp;refID=7048203&amp;Result=3","7048203")</f>
        <v>0</v>
      </c>
      <c r="B11975" t="s">
        <v>3187</v>
      </c>
      <c r="C11975" t="s">
        <v>14851</v>
      </c>
      <c r="E11975" t="s">
        <v>27056</v>
      </c>
      <c r="F11975" t="s">
        <v>28669</v>
      </c>
      <c r="G11975" t="s">
        <v>28675</v>
      </c>
      <c r="H11975" t="s">
        <v>28686</v>
      </c>
      <c r="I11975" t="s">
        <v>28689</v>
      </c>
      <c r="J11975" t="s">
        <v>36159</v>
      </c>
      <c r="K11975" t="s">
        <v>37209</v>
      </c>
      <c r="M11975" t="s">
        <v>40989</v>
      </c>
      <c r="N11975" t="s">
        <v>41249</v>
      </c>
      <c r="O11975" t="s">
        <v>41250</v>
      </c>
      <c r="P11975">
        <v>0</v>
      </c>
      <c r="Q11975">
        <v>0</v>
      </c>
      <c r="R11975" t="s">
        <v>41266</v>
      </c>
      <c r="S11975" t="s">
        <v>41978</v>
      </c>
      <c r="T11975" t="s">
        <v>42726</v>
      </c>
      <c r="U11975" t="s">
        <v>52804</v>
      </c>
      <c r="V11975" t="s">
        <v>55686</v>
      </c>
      <c r="W11975" t="s">
        <v>40989</v>
      </c>
      <c r="X11975" t="s">
        <v>41267</v>
      </c>
    </row>
    <row r="11976" spans="1:24">
      <c r="A11976">
        <f>HYPERLINK("https://www.philgeps.gov.ph/GEPSNONPILOT/Tender/SplashBidNoticeAbstractUI.aspx?menuIndex=3&amp;refID=7048270&amp;Result=3","7048270")</f>
        <v>0</v>
      </c>
      <c r="B11976" t="s">
        <v>269</v>
      </c>
      <c r="C11976" t="s">
        <v>14852</v>
      </c>
      <c r="D11976" t="s">
        <v>16619</v>
      </c>
      <c r="E11976" t="s">
        <v>27057</v>
      </c>
      <c r="F11976" t="s">
        <v>28669</v>
      </c>
      <c r="G11976" t="s">
        <v>28675</v>
      </c>
      <c r="H11976" t="s">
        <v>9998</v>
      </c>
      <c r="I11976" t="s">
        <v>28688</v>
      </c>
      <c r="J11976" t="s">
        <v>36160</v>
      </c>
      <c r="K11976" t="s">
        <v>37209</v>
      </c>
      <c r="M11976" t="s">
        <v>37747</v>
      </c>
      <c r="N11976" t="s">
        <v>41249</v>
      </c>
      <c r="O11976" t="s">
        <v>41250</v>
      </c>
      <c r="P11976">
        <v>0</v>
      </c>
      <c r="Q11976">
        <v>3</v>
      </c>
      <c r="R11976" t="s">
        <v>41266</v>
      </c>
      <c r="S11976" t="s">
        <v>41978</v>
      </c>
      <c r="T11976" t="s">
        <v>42679</v>
      </c>
      <c r="U11976" t="s">
        <v>52805</v>
      </c>
      <c r="V11976" t="s">
        <v>54319</v>
      </c>
      <c r="W11976" t="s">
        <v>37747</v>
      </c>
      <c r="X11976" t="s">
        <v>41267</v>
      </c>
    </row>
    <row r="11977" spans="1:24">
      <c r="A11977">
        <f>HYPERLINK("https://www.philgeps.gov.ph/GEPSNONPILOT/Tender/SplashBidNoticeAbstractUI.aspx?menuIndex=3&amp;refID=7048266&amp;Result=3","7048266")</f>
        <v>0</v>
      </c>
      <c r="B11977" t="s">
        <v>3190</v>
      </c>
      <c r="C11977" t="s">
        <v>14853</v>
      </c>
      <c r="D11977" t="s">
        <v>16615</v>
      </c>
      <c r="E11977" t="s">
        <v>27058</v>
      </c>
      <c r="F11977" t="s">
        <v>28669</v>
      </c>
      <c r="G11977" t="s">
        <v>28675</v>
      </c>
      <c r="H11977" t="s">
        <v>28686</v>
      </c>
      <c r="I11977" t="s">
        <v>28689</v>
      </c>
      <c r="J11977" t="s">
        <v>28836</v>
      </c>
      <c r="K11977" t="s">
        <v>37258</v>
      </c>
      <c r="L11977" t="s">
        <v>3190</v>
      </c>
      <c r="M11977" t="s">
        <v>40993</v>
      </c>
      <c r="N11977" t="s">
        <v>41249</v>
      </c>
      <c r="O11977" t="s">
        <v>41250</v>
      </c>
      <c r="P11977">
        <v>0</v>
      </c>
      <c r="Q11977">
        <v>80</v>
      </c>
      <c r="R11977" t="s">
        <v>41266</v>
      </c>
      <c r="S11977" t="s">
        <v>41978</v>
      </c>
      <c r="T11977" t="s">
        <v>42686</v>
      </c>
      <c r="U11977" t="s">
        <v>52806</v>
      </c>
      <c r="W11977" t="s">
        <v>40993</v>
      </c>
      <c r="X11977" t="s">
        <v>41267</v>
      </c>
    </row>
    <row r="11978" spans="1:24">
      <c r="A11978">
        <f>HYPERLINK("https://www.philgeps.gov.ph/GEPSNONPILOT/Tender/SplashBidNoticeAbstractUI.aspx?menuIndex=3&amp;refID=7048243&amp;Result=3","7048243")</f>
        <v>0</v>
      </c>
      <c r="B11978" t="s">
        <v>269</v>
      </c>
      <c r="C11978" t="s">
        <v>14854</v>
      </c>
      <c r="D11978" t="s">
        <v>16619</v>
      </c>
      <c r="E11978" t="s">
        <v>27059</v>
      </c>
      <c r="F11978" t="s">
        <v>28669</v>
      </c>
      <c r="G11978" t="s">
        <v>28675</v>
      </c>
      <c r="H11978" t="s">
        <v>9998</v>
      </c>
      <c r="I11978" t="s">
        <v>7352</v>
      </c>
      <c r="J11978" t="s">
        <v>36161</v>
      </c>
      <c r="K11978" t="s">
        <v>37209</v>
      </c>
      <c r="M11978" t="s">
        <v>37747</v>
      </c>
      <c r="N11978" t="s">
        <v>41249</v>
      </c>
      <c r="O11978" t="s">
        <v>41250</v>
      </c>
      <c r="P11978">
        <v>0</v>
      </c>
      <c r="Q11978">
        <v>4</v>
      </c>
      <c r="R11978" t="s">
        <v>41266</v>
      </c>
      <c r="S11978" t="s">
        <v>41978</v>
      </c>
      <c r="T11978" t="s">
        <v>42679</v>
      </c>
      <c r="U11978" t="s">
        <v>52807</v>
      </c>
      <c r="V11978" t="s">
        <v>54319</v>
      </c>
      <c r="W11978" t="s">
        <v>37747</v>
      </c>
      <c r="X11978" t="s">
        <v>41267</v>
      </c>
    </row>
    <row r="11979" spans="1:24">
      <c r="A11979">
        <f>HYPERLINK("https://www.philgeps.gov.ph/GEPSNONPILOT/Tender/SplashBidNoticeAbstractUI.aspx?menuIndex=3&amp;refID=7048284&amp;Result=3","7048284")</f>
        <v>0</v>
      </c>
      <c r="B11979" t="s">
        <v>169</v>
      </c>
      <c r="C11979" t="s">
        <v>14855</v>
      </c>
      <c r="D11979" t="s">
        <v>16611</v>
      </c>
      <c r="E11979" t="s">
        <v>27060</v>
      </c>
      <c r="F11979" t="s">
        <v>28669</v>
      </c>
      <c r="G11979" t="s">
        <v>28675</v>
      </c>
      <c r="H11979" t="s">
        <v>9998</v>
      </c>
      <c r="I11979" t="s">
        <v>28773</v>
      </c>
      <c r="J11979" t="s">
        <v>29499</v>
      </c>
      <c r="K11979" t="s">
        <v>37227</v>
      </c>
      <c r="M11979" t="s">
        <v>37646</v>
      </c>
      <c r="N11979" t="s">
        <v>41249</v>
      </c>
      <c r="O11979" t="s">
        <v>41250</v>
      </c>
      <c r="P11979">
        <v>0</v>
      </c>
      <c r="Q11979">
        <v>0</v>
      </c>
      <c r="R11979" t="s">
        <v>41266</v>
      </c>
      <c r="S11979" t="s">
        <v>41978</v>
      </c>
      <c r="T11979" t="s">
        <v>42679</v>
      </c>
      <c r="U11979" t="s">
        <v>52808</v>
      </c>
      <c r="V11979" t="s">
        <v>54294</v>
      </c>
      <c r="W11979" t="s">
        <v>37646</v>
      </c>
      <c r="X11979" t="s">
        <v>41267</v>
      </c>
    </row>
    <row r="11980" spans="1:24">
      <c r="A11980">
        <f>HYPERLINK("https://www.philgeps.gov.ph/GEPSNONPILOT/Tender/SplashBidNoticeAbstractUI.aspx?menuIndex=3&amp;refID=7048314&amp;Result=3","7048314")</f>
        <v>0</v>
      </c>
      <c r="B11980" t="s">
        <v>169</v>
      </c>
      <c r="C11980" t="s">
        <v>14856</v>
      </c>
      <c r="D11980" t="s">
        <v>16611</v>
      </c>
      <c r="E11980" t="s">
        <v>27061</v>
      </c>
      <c r="F11980" t="s">
        <v>28669</v>
      </c>
      <c r="G11980" t="s">
        <v>28675</v>
      </c>
      <c r="H11980" t="s">
        <v>9998</v>
      </c>
      <c r="I11980" t="s">
        <v>5213</v>
      </c>
      <c r="J11980" t="s">
        <v>29112</v>
      </c>
      <c r="K11980" t="s">
        <v>37210</v>
      </c>
      <c r="M11980" t="s">
        <v>37646</v>
      </c>
      <c r="N11980" t="s">
        <v>41249</v>
      </c>
      <c r="O11980" t="s">
        <v>41250</v>
      </c>
      <c r="P11980">
        <v>0</v>
      </c>
      <c r="Q11980">
        <v>1</v>
      </c>
      <c r="R11980" t="s">
        <v>41266</v>
      </c>
      <c r="S11980" t="s">
        <v>41978</v>
      </c>
      <c r="T11980" t="s">
        <v>42679</v>
      </c>
      <c r="U11980" t="s">
        <v>52809</v>
      </c>
      <c r="V11980" t="s">
        <v>54294</v>
      </c>
      <c r="W11980" t="s">
        <v>37646</v>
      </c>
      <c r="X11980" t="s">
        <v>41267</v>
      </c>
    </row>
    <row r="11981" spans="1:24">
      <c r="A11981">
        <f>HYPERLINK("https://www.philgeps.gov.ph/GEPSNONPILOT/Tender/SplashBidNoticeAbstractUI.aspx?menuIndex=3&amp;refID=7048235&amp;Result=3","7048235")</f>
        <v>0</v>
      </c>
      <c r="B11981" t="s">
        <v>1759</v>
      </c>
      <c r="C11981" t="s">
        <v>14857</v>
      </c>
      <c r="E11981" t="s">
        <v>27062</v>
      </c>
      <c r="F11981" t="s">
        <v>28669</v>
      </c>
      <c r="G11981" t="s">
        <v>28675</v>
      </c>
      <c r="H11981" t="s">
        <v>28686</v>
      </c>
      <c r="I11981" t="s">
        <v>28689</v>
      </c>
      <c r="J11981" t="s">
        <v>36162</v>
      </c>
      <c r="K11981" t="s">
        <v>37212</v>
      </c>
      <c r="M11981" t="s">
        <v>39818</v>
      </c>
      <c r="N11981" t="s">
        <v>41249</v>
      </c>
      <c r="O11981" t="s">
        <v>41250</v>
      </c>
      <c r="Q11981">
        <v>1</v>
      </c>
      <c r="R11981" t="s">
        <v>41266</v>
      </c>
      <c r="S11981" t="s">
        <v>42009</v>
      </c>
      <c r="T11981" t="s">
        <v>42759</v>
      </c>
      <c r="U11981" t="s">
        <v>48672</v>
      </c>
      <c r="W11981" t="s">
        <v>39818</v>
      </c>
      <c r="X11981" t="s">
        <v>41267</v>
      </c>
    </row>
    <row r="11982" spans="1:24">
      <c r="A11982">
        <f>HYPERLINK("https://www.philgeps.gov.ph/GEPSNONPILOT/Tender/SplashBidNoticeAbstractUI.aspx?menuIndex=3&amp;refID=7048231&amp;Result=3","7048231")</f>
        <v>0</v>
      </c>
      <c r="B11982" t="s">
        <v>1759</v>
      </c>
      <c r="C11982" t="s">
        <v>14858</v>
      </c>
      <c r="E11982" t="s">
        <v>27063</v>
      </c>
      <c r="F11982" t="s">
        <v>28669</v>
      </c>
      <c r="G11982" t="s">
        <v>28675</v>
      </c>
      <c r="H11982" t="s">
        <v>28686</v>
      </c>
      <c r="I11982" t="s">
        <v>28689</v>
      </c>
      <c r="J11982" t="s">
        <v>29338</v>
      </c>
      <c r="K11982" t="s">
        <v>37212</v>
      </c>
      <c r="M11982" t="s">
        <v>39818</v>
      </c>
      <c r="N11982" t="s">
        <v>41249</v>
      </c>
      <c r="O11982" t="s">
        <v>41250</v>
      </c>
      <c r="Q11982">
        <v>1</v>
      </c>
      <c r="R11982" t="s">
        <v>41266</v>
      </c>
      <c r="S11982" t="s">
        <v>42010</v>
      </c>
      <c r="T11982" t="s">
        <v>42759</v>
      </c>
      <c r="U11982" t="s">
        <v>48672</v>
      </c>
      <c r="W11982" t="s">
        <v>39818</v>
      </c>
      <c r="X11982" t="s">
        <v>41267</v>
      </c>
    </row>
    <row r="11983" spans="1:24">
      <c r="A11983">
        <f>HYPERLINK("https://www.philgeps.gov.ph/GEPSNONPILOT/Tender/SplashBidNoticeAbstractUI.aspx?menuIndex=3&amp;refID=7048051&amp;Result=3","7048051")</f>
        <v>0</v>
      </c>
      <c r="B11983" t="s">
        <v>447</v>
      </c>
      <c r="C11983" t="s">
        <v>14859</v>
      </c>
      <c r="D11983" t="s">
        <v>16608</v>
      </c>
      <c r="E11983" t="s">
        <v>27064</v>
      </c>
      <c r="F11983" t="s">
        <v>28669</v>
      </c>
      <c r="G11983" t="s">
        <v>28675</v>
      </c>
      <c r="H11983" t="s">
        <v>9998</v>
      </c>
      <c r="I11983" t="s">
        <v>11593</v>
      </c>
      <c r="J11983" t="s">
        <v>36163</v>
      </c>
      <c r="K11983" t="s">
        <v>37209</v>
      </c>
      <c r="M11983" t="s">
        <v>39408</v>
      </c>
      <c r="N11983" t="s">
        <v>41249</v>
      </c>
      <c r="O11983" t="s">
        <v>41250</v>
      </c>
      <c r="Q11983">
        <v>15</v>
      </c>
      <c r="R11983" t="s">
        <v>41266</v>
      </c>
      <c r="S11983" t="s">
        <v>42011</v>
      </c>
      <c r="T11983" t="s">
        <v>42871</v>
      </c>
      <c r="U11983" t="s">
        <v>52810</v>
      </c>
      <c r="W11983" t="s">
        <v>39408</v>
      </c>
      <c r="X11983" t="s">
        <v>41267</v>
      </c>
    </row>
    <row r="11984" spans="1:24">
      <c r="A11984">
        <f>HYPERLINK("https://www.philgeps.gov.ph/GEPSNONPILOT/Tender/SplashBidNoticeAbstractUI.aspx?menuIndex=3&amp;refID=7048046&amp;Result=3","7048046")</f>
        <v>0</v>
      </c>
      <c r="B11984" t="s">
        <v>143</v>
      </c>
      <c r="C11984" t="s">
        <v>14860</v>
      </c>
      <c r="D11984" t="s">
        <v>16640</v>
      </c>
      <c r="E11984" t="s">
        <v>27065</v>
      </c>
      <c r="F11984" t="s">
        <v>28669</v>
      </c>
      <c r="G11984" t="s">
        <v>28675</v>
      </c>
      <c r="H11984" t="s">
        <v>28686</v>
      </c>
      <c r="I11984" t="s">
        <v>28689</v>
      </c>
      <c r="J11984" t="s">
        <v>29112</v>
      </c>
      <c r="K11984" t="s">
        <v>37206</v>
      </c>
      <c r="M11984" t="s">
        <v>37620</v>
      </c>
      <c r="N11984" t="s">
        <v>41249</v>
      </c>
      <c r="O11984" t="s">
        <v>41250</v>
      </c>
      <c r="P11984">
        <v>0</v>
      </c>
      <c r="Q11984">
        <v>0</v>
      </c>
      <c r="R11984" t="s">
        <v>41266</v>
      </c>
      <c r="S11984" t="s">
        <v>41978</v>
      </c>
      <c r="T11984" t="s">
        <v>42679</v>
      </c>
      <c r="U11984" t="s">
        <v>52811</v>
      </c>
      <c r="W11984" t="s">
        <v>55901</v>
      </c>
      <c r="X11984" t="s">
        <v>41267</v>
      </c>
    </row>
    <row r="11985" spans="1:24">
      <c r="A11985">
        <f>HYPERLINK("https://www.philgeps.gov.ph/GEPSNONPILOT/Tender/SplashBidNoticeAbstractUI.aspx?menuIndex=3&amp;refID=7048043&amp;Result=3","7048043")</f>
        <v>0</v>
      </c>
      <c r="B11985" t="s">
        <v>575</v>
      </c>
      <c r="C11985" t="s">
        <v>14861</v>
      </c>
      <c r="D11985" t="s">
        <v>16660</v>
      </c>
      <c r="E11985" t="s">
        <v>27066</v>
      </c>
      <c r="F11985" t="s">
        <v>28669</v>
      </c>
      <c r="G11985" t="s">
        <v>28675</v>
      </c>
      <c r="H11985" t="s">
        <v>9998</v>
      </c>
      <c r="I11985" t="s">
        <v>28698</v>
      </c>
      <c r="J11985" t="s">
        <v>36164</v>
      </c>
      <c r="K11985" t="s">
        <v>37209</v>
      </c>
      <c r="M11985" t="s">
        <v>38074</v>
      </c>
      <c r="N11985" t="s">
        <v>41249</v>
      </c>
      <c r="O11985" t="s">
        <v>41250</v>
      </c>
      <c r="P11985">
        <v>0</v>
      </c>
      <c r="Q11985">
        <v>3</v>
      </c>
      <c r="R11985" t="s">
        <v>41266</v>
      </c>
      <c r="S11985" t="s">
        <v>41978</v>
      </c>
      <c r="T11985" t="s">
        <v>42759</v>
      </c>
      <c r="U11985" t="s">
        <v>52758</v>
      </c>
      <c r="W11985" t="s">
        <v>38074</v>
      </c>
      <c r="X11985" t="s">
        <v>41267</v>
      </c>
    </row>
    <row r="11986" spans="1:24">
      <c r="A11986">
        <f>HYPERLINK("https://www.philgeps.gov.ph/GEPSNONPILOT/Tender/SplashBidNoticeAbstractUI.aspx?menuIndex=3&amp;refID=7048252&amp;Result=3","7048252")</f>
        <v>0</v>
      </c>
      <c r="B11986" t="s">
        <v>459</v>
      </c>
      <c r="C11986" t="s">
        <v>14862</v>
      </c>
      <c r="D11986" t="s">
        <v>16616</v>
      </c>
      <c r="E11986" t="s">
        <v>27067</v>
      </c>
      <c r="F11986" t="s">
        <v>28669</v>
      </c>
      <c r="G11986" t="s">
        <v>28675</v>
      </c>
      <c r="H11986" t="s">
        <v>9998</v>
      </c>
      <c r="I11986" t="s">
        <v>7352</v>
      </c>
      <c r="J11986" t="s">
        <v>36165</v>
      </c>
      <c r="K11986" t="s">
        <v>37206</v>
      </c>
      <c r="M11986" t="s">
        <v>37947</v>
      </c>
      <c r="N11986" t="s">
        <v>41249</v>
      </c>
      <c r="O11986" t="s">
        <v>41250</v>
      </c>
      <c r="P11986">
        <v>0</v>
      </c>
      <c r="Q11986">
        <v>1</v>
      </c>
      <c r="R11986" t="s">
        <v>41266</v>
      </c>
      <c r="S11986" t="s">
        <v>41978</v>
      </c>
      <c r="T11986" t="s">
        <v>42714</v>
      </c>
      <c r="U11986" t="s">
        <v>52812</v>
      </c>
      <c r="W11986" t="s">
        <v>37947</v>
      </c>
      <c r="X11986" t="s">
        <v>41267</v>
      </c>
    </row>
    <row r="11987" spans="1:24">
      <c r="A11987">
        <f>HYPERLINK("https://www.philgeps.gov.ph/GEPSNONPILOT/Tender/SplashBidNoticeAbstractUI.aspx?menuIndex=3&amp;refID=7048246&amp;Result=3","7048246")</f>
        <v>0</v>
      </c>
      <c r="B11987" t="s">
        <v>3190</v>
      </c>
      <c r="C11987" t="s">
        <v>14863</v>
      </c>
      <c r="D11987" t="s">
        <v>16615</v>
      </c>
      <c r="E11987" t="s">
        <v>27068</v>
      </c>
      <c r="F11987" t="s">
        <v>28669</v>
      </c>
      <c r="G11987" t="s">
        <v>28675</v>
      </c>
      <c r="H11987" t="s">
        <v>28686</v>
      </c>
      <c r="I11987" t="s">
        <v>28689</v>
      </c>
      <c r="J11987" t="s">
        <v>28836</v>
      </c>
      <c r="K11987" t="s">
        <v>37258</v>
      </c>
      <c r="L11987" t="s">
        <v>3190</v>
      </c>
      <c r="M11987" t="s">
        <v>40993</v>
      </c>
      <c r="N11987" t="s">
        <v>41249</v>
      </c>
      <c r="O11987" t="s">
        <v>41250</v>
      </c>
      <c r="P11987">
        <v>0</v>
      </c>
      <c r="Q11987">
        <v>81</v>
      </c>
      <c r="R11987" t="s">
        <v>41266</v>
      </c>
      <c r="S11987" t="s">
        <v>41978</v>
      </c>
      <c r="T11987" t="s">
        <v>42679</v>
      </c>
      <c r="U11987" t="s">
        <v>52813</v>
      </c>
      <c r="W11987" t="s">
        <v>40993</v>
      </c>
      <c r="X11987" t="s">
        <v>41267</v>
      </c>
    </row>
    <row r="11988" spans="1:24">
      <c r="A11988">
        <f>HYPERLINK("https://www.philgeps.gov.ph/GEPSNONPILOT/Tender/SplashBidNoticeAbstractUI.aspx?menuIndex=3&amp;refID=7048305&amp;Result=3","7048305")</f>
        <v>0</v>
      </c>
      <c r="B11988" t="s">
        <v>2699</v>
      </c>
      <c r="C11988" t="s">
        <v>14864</v>
      </c>
      <c r="D11988" t="s">
        <v>16620</v>
      </c>
      <c r="E11988" t="s">
        <v>27069</v>
      </c>
      <c r="F11988" t="s">
        <v>28669</v>
      </c>
      <c r="G11988" t="s">
        <v>28675</v>
      </c>
      <c r="H11988" t="s">
        <v>9998</v>
      </c>
      <c r="I11988" t="s">
        <v>28689</v>
      </c>
      <c r="J11988" t="s">
        <v>36166</v>
      </c>
      <c r="K11988" t="s">
        <v>37220</v>
      </c>
      <c r="M11988" t="s">
        <v>40409</v>
      </c>
      <c r="N11988" t="s">
        <v>41249</v>
      </c>
      <c r="O11988" t="s">
        <v>41250</v>
      </c>
      <c r="P11988">
        <v>0</v>
      </c>
      <c r="Q11988">
        <v>2</v>
      </c>
      <c r="R11988" t="s">
        <v>41266</v>
      </c>
      <c r="S11988" t="s">
        <v>41978</v>
      </c>
      <c r="T11988" t="s">
        <v>42686</v>
      </c>
      <c r="U11988" t="s">
        <v>52814</v>
      </c>
      <c r="W11988" t="s">
        <v>40409</v>
      </c>
      <c r="X11988" t="s">
        <v>41267</v>
      </c>
    </row>
    <row r="11989" spans="1:24">
      <c r="A11989">
        <f>HYPERLINK("https://www.philgeps.gov.ph/GEPSNONPILOT/Tender/SplashBidNoticeAbstractUI.aspx?menuIndex=3&amp;refID=7046398&amp;Result=3","7046398")</f>
        <v>0</v>
      </c>
      <c r="B11989" t="s">
        <v>483</v>
      </c>
      <c r="C11989" t="s">
        <v>14865</v>
      </c>
      <c r="D11989" t="s">
        <v>16676</v>
      </c>
      <c r="E11989" t="s">
        <v>27070</v>
      </c>
      <c r="F11989" t="s">
        <v>28669</v>
      </c>
      <c r="G11989" t="s">
        <v>28675</v>
      </c>
      <c r="H11989" t="s">
        <v>28686</v>
      </c>
      <c r="I11989" t="s">
        <v>28689</v>
      </c>
      <c r="J11989" t="s">
        <v>36167</v>
      </c>
      <c r="K11989" t="s">
        <v>37211</v>
      </c>
      <c r="M11989" t="s">
        <v>40963</v>
      </c>
      <c r="N11989" t="s">
        <v>41249</v>
      </c>
      <c r="O11989" t="s">
        <v>41250</v>
      </c>
      <c r="P11989">
        <v>0</v>
      </c>
      <c r="Q11989">
        <v>2</v>
      </c>
      <c r="R11989" t="s">
        <v>41266</v>
      </c>
      <c r="S11989" t="s">
        <v>41978</v>
      </c>
      <c r="T11989" t="s">
        <v>42759</v>
      </c>
      <c r="U11989" t="s">
        <v>52815</v>
      </c>
      <c r="W11989" t="s">
        <v>40964</v>
      </c>
      <c r="X11989" t="s">
        <v>41268</v>
      </c>
    </row>
    <row r="11990" spans="1:24">
      <c r="A11990">
        <f>HYPERLINK("https://www.philgeps.gov.ph/GEPSNONPILOT/Tender/SplashBidNoticeAbstractUI.aspx?menuIndex=3&amp;refID=7048226&amp;Result=3","7048226")</f>
        <v>0</v>
      </c>
      <c r="B11990" t="s">
        <v>2125</v>
      </c>
      <c r="C11990" t="s">
        <v>14866</v>
      </c>
      <c r="D11990" t="s">
        <v>16658</v>
      </c>
      <c r="E11990" t="s">
        <v>27071</v>
      </c>
      <c r="F11990" t="s">
        <v>28669</v>
      </c>
      <c r="G11990" t="s">
        <v>28675</v>
      </c>
      <c r="H11990" t="s">
        <v>28686</v>
      </c>
      <c r="I11990" t="s">
        <v>28689</v>
      </c>
      <c r="J11990" t="s">
        <v>28975</v>
      </c>
      <c r="K11990" t="s">
        <v>37209</v>
      </c>
      <c r="M11990" t="s">
        <v>39770</v>
      </c>
      <c r="N11990" t="s">
        <v>41249</v>
      </c>
      <c r="O11990" t="s">
        <v>41250</v>
      </c>
      <c r="P11990">
        <v>0</v>
      </c>
      <c r="Q11990">
        <v>1</v>
      </c>
      <c r="R11990" t="s">
        <v>41266</v>
      </c>
      <c r="S11990" t="s">
        <v>41978</v>
      </c>
      <c r="T11990" t="s">
        <v>42856</v>
      </c>
      <c r="U11990" t="s">
        <v>52802</v>
      </c>
      <c r="W11990" t="s">
        <v>39770</v>
      </c>
      <c r="X11990" t="s">
        <v>41267</v>
      </c>
    </row>
    <row r="11991" spans="1:24">
      <c r="A11991">
        <f>HYPERLINK("https://www.philgeps.gov.ph/GEPSNONPILOT/Tender/SplashBidNoticeAbstractUI.aspx?menuIndex=3&amp;refID=7048039&amp;Result=3","7048039")</f>
        <v>0</v>
      </c>
      <c r="B11991" t="s">
        <v>703</v>
      </c>
      <c r="C11991" t="s">
        <v>14867</v>
      </c>
      <c r="E11991" t="s">
        <v>27072</v>
      </c>
      <c r="F11991" t="s">
        <v>28669</v>
      </c>
      <c r="G11991" t="s">
        <v>28676</v>
      </c>
      <c r="H11991" t="s">
        <v>9998</v>
      </c>
      <c r="I11991" t="s">
        <v>28732</v>
      </c>
      <c r="J11991" t="s">
        <v>29037</v>
      </c>
      <c r="K11991" t="s">
        <v>37209</v>
      </c>
      <c r="M11991" t="s">
        <v>40830</v>
      </c>
      <c r="N11991" t="s">
        <v>41249</v>
      </c>
      <c r="O11991" t="s">
        <v>41250</v>
      </c>
      <c r="Q11991">
        <v>14</v>
      </c>
      <c r="R11991" t="s">
        <v>41266</v>
      </c>
      <c r="S11991" t="s">
        <v>41814</v>
      </c>
      <c r="T11991" t="s">
        <v>42821</v>
      </c>
      <c r="U11991" t="s">
        <v>52816</v>
      </c>
      <c r="V11991" t="s">
        <v>55687</v>
      </c>
      <c r="W11991" t="s">
        <v>40830</v>
      </c>
      <c r="X11991" t="s">
        <v>41267</v>
      </c>
    </row>
    <row r="11992" spans="1:24">
      <c r="A11992">
        <f>HYPERLINK("https://www.philgeps.gov.ph/GEPSNONPILOT/Tender/SplashBidNoticeAbstractUI.aspx?menuIndex=3&amp;refID=7048306&amp;Result=3","7048306")</f>
        <v>0</v>
      </c>
      <c r="B11992" t="s">
        <v>532</v>
      </c>
      <c r="C11992" t="s">
        <v>14868</v>
      </c>
      <c r="D11992" t="s">
        <v>16675</v>
      </c>
      <c r="E11992" t="s">
        <v>27073</v>
      </c>
      <c r="F11992" t="s">
        <v>28669</v>
      </c>
      <c r="G11992" t="s">
        <v>28675</v>
      </c>
      <c r="H11992" t="s">
        <v>28686</v>
      </c>
      <c r="I11992" t="s">
        <v>28689</v>
      </c>
      <c r="J11992" t="s">
        <v>36168</v>
      </c>
      <c r="K11992" t="s">
        <v>37343</v>
      </c>
      <c r="M11992" t="s">
        <v>38023</v>
      </c>
      <c r="N11992" t="s">
        <v>41249</v>
      </c>
      <c r="O11992" t="s">
        <v>41250</v>
      </c>
      <c r="P11992">
        <v>0</v>
      </c>
      <c r="Q11992">
        <v>0</v>
      </c>
      <c r="R11992" t="s">
        <v>41266</v>
      </c>
      <c r="S11992" t="s">
        <v>41978</v>
      </c>
      <c r="T11992" t="s">
        <v>42809</v>
      </c>
      <c r="U11992" t="s">
        <v>52817</v>
      </c>
      <c r="W11992" t="s">
        <v>38023</v>
      </c>
      <c r="X11992" t="s">
        <v>41267</v>
      </c>
    </row>
    <row r="11993" spans="1:24">
      <c r="A11993">
        <f>HYPERLINK("https://www.philgeps.gov.ph/GEPSNONPILOT/Tender/SplashBidNoticeAbstractUI.aspx?menuIndex=3&amp;refID=7046422&amp;Result=3","7046422")</f>
        <v>0</v>
      </c>
      <c r="B11993" t="s">
        <v>2167</v>
      </c>
      <c r="C11993" t="s">
        <v>14869</v>
      </c>
      <c r="D11993" t="s">
        <v>16704</v>
      </c>
      <c r="E11993" t="s">
        <v>27074</v>
      </c>
      <c r="F11993" t="s">
        <v>28669</v>
      </c>
      <c r="G11993" t="s">
        <v>28675</v>
      </c>
      <c r="H11993" t="s">
        <v>9998</v>
      </c>
      <c r="I11993" t="s">
        <v>28722</v>
      </c>
      <c r="J11993" t="s">
        <v>36169</v>
      </c>
      <c r="K11993" t="s">
        <v>37220</v>
      </c>
      <c r="M11993" t="s">
        <v>40354</v>
      </c>
      <c r="N11993" t="s">
        <v>41249</v>
      </c>
      <c r="O11993" t="s">
        <v>41250</v>
      </c>
      <c r="P11993">
        <v>0</v>
      </c>
      <c r="Q11993">
        <v>3</v>
      </c>
      <c r="R11993" t="s">
        <v>41266</v>
      </c>
      <c r="S11993" t="s">
        <v>41978</v>
      </c>
      <c r="T11993" t="s">
        <v>42679</v>
      </c>
      <c r="U11993" t="s">
        <v>52818</v>
      </c>
      <c r="W11993" t="s">
        <v>56006</v>
      </c>
      <c r="X11993" t="s">
        <v>41268</v>
      </c>
    </row>
    <row r="11994" spans="1:24">
      <c r="A11994">
        <f>HYPERLINK("https://www.philgeps.gov.ph/GEPSNONPILOT/Tender/SplashBidNoticeAbstractUI.aspx?menuIndex=3&amp;refID=7048401&amp;Result=3","7048401")</f>
        <v>0</v>
      </c>
      <c r="B11994" t="s">
        <v>3055</v>
      </c>
      <c r="C11994" t="s">
        <v>14870</v>
      </c>
      <c r="D11994" t="s">
        <v>16618</v>
      </c>
      <c r="E11994" t="s">
        <v>27075</v>
      </c>
      <c r="F11994" t="s">
        <v>28669</v>
      </c>
      <c r="G11994" t="s">
        <v>28675</v>
      </c>
      <c r="H11994" t="s">
        <v>28686</v>
      </c>
      <c r="I11994" t="s">
        <v>28691</v>
      </c>
      <c r="J11994" t="s">
        <v>28924</v>
      </c>
      <c r="K11994" t="s">
        <v>37220</v>
      </c>
      <c r="M11994" t="s">
        <v>40836</v>
      </c>
      <c r="N11994" t="s">
        <v>41249</v>
      </c>
      <c r="O11994" t="s">
        <v>41250</v>
      </c>
      <c r="P11994">
        <v>0</v>
      </c>
      <c r="Q11994">
        <v>4</v>
      </c>
      <c r="R11994" t="s">
        <v>41266</v>
      </c>
      <c r="S11994" t="s">
        <v>41978</v>
      </c>
      <c r="T11994" t="s">
        <v>42700</v>
      </c>
      <c r="U11994" t="s">
        <v>52819</v>
      </c>
      <c r="W11994" t="s">
        <v>40836</v>
      </c>
      <c r="X11994" t="s">
        <v>41267</v>
      </c>
    </row>
    <row r="11995" spans="1:24">
      <c r="A11995">
        <f>HYPERLINK("https://www.philgeps.gov.ph/GEPSNONPILOT/Tender/SplashBidNoticeAbstractUI.aspx?menuIndex=3&amp;refID=7048446&amp;Result=3","7048446")</f>
        <v>0</v>
      </c>
      <c r="B11995" t="s">
        <v>3190</v>
      </c>
      <c r="C11995" t="s">
        <v>14871</v>
      </c>
      <c r="D11995" t="s">
        <v>16615</v>
      </c>
      <c r="E11995" t="s">
        <v>27076</v>
      </c>
      <c r="F11995" t="s">
        <v>28669</v>
      </c>
      <c r="G11995" t="s">
        <v>28675</v>
      </c>
      <c r="H11995" t="s">
        <v>28686</v>
      </c>
      <c r="I11995" t="s">
        <v>28689</v>
      </c>
      <c r="J11995" t="s">
        <v>28836</v>
      </c>
      <c r="K11995" t="s">
        <v>37258</v>
      </c>
      <c r="L11995" t="s">
        <v>3190</v>
      </c>
      <c r="M11995" t="s">
        <v>40993</v>
      </c>
      <c r="N11995" t="s">
        <v>41249</v>
      </c>
      <c r="O11995" t="s">
        <v>41250</v>
      </c>
      <c r="P11995">
        <v>0</v>
      </c>
      <c r="Q11995">
        <v>74</v>
      </c>
      <c r="R11995" t="s">
        <v>41266</v>
      </c>
      <c r="S11995" t="s">
        <v>41978</v>
      </c>
      <c r="T11995" t="s">
        <v>42703</v>
      </c>
      <c r="U11995" t="s">
        <v>52820</v>
      </c>
      <c r="W11995" t="s">
        <v>40993</v>
      </c>
      <c r="X11995" t="s">
        <v>41267</v>
      </c>
    </row>
    <row r="11996" spans="1:24">
      <c r="A11996">
        <f>HYPERLINK("https://www.philgeps.gov.ph/GEPSNONPILOT/Tender/SplashBidNoticeAbstractUI.aspx?menuIndex=3&amp;refID=7048329&amp;Result=3","7048329")</f>
        <v>0</v>
      </c>
      <c r="B11996" t="s">
        <v>2382</v>
      </c>
      <c r="C11996" t="s">
        <v>14872</v>
      </c>
      <c r="E11996" t="s">
        <v>27077</v>
      </c>
      <c r="F11996" t="s">
        <v>28669</v>
      </c>
      <c r="G11996" t="s">
        <v>28676</v>
      </c>
      <c r="H11996" t="s">
        <v>28686</v>
      </c>
      <c r="I11996" t="s">
        <v>7352</v>
      </c>
      <c r="J11996" t="s">
        <v>29110</v>
      </c>
      <c r="K11996" t="s">
        <v>37234</v>
      </c>
      <c r="N11996" t="s">
        <v>41249</v>
      </c>
      <c r="O11996" t="s">
        <v>41250</v>
      </c>
      <c r="P11996">
        <v>0</v>
      </c>
      <c r="Q11996">
        <v>0</v>
      </c>
      <c r="R11996" t="s">
        <v>41266</v>
      </c>
      <c r="S11996" t="s">
        <v>41978</v>
      </c>
      <c r="T11996" t="s">
        <v>43140</v>
      </c>
      <c r="U11996" t="s">
        <v>52821</v>
      </c>
      <c r="W11996" t="s">
        <v>40055</v>
      </c>
      <c r="X11996" t="s">
        <v>41267</v>
      </c>
    </row>
    <row r="11997" spans="1:24">
      <c r="A11997">
        <f>HYPERLINK("https://www.philgeps.gov.ph/GEPSNONPILOT/Tender/SplashBidNoticeAbstractUI.aspx?menuIndex=3&amp;refID=7048395&amp;Result=3","7048395")</f>
        <v>0</v>
      </c>
      <c r="B11997" t="s">
        <v>743</v>
      </c>
      <c r="C11997" t="s">
        <v>14873</v>
      </c>
      <c r="D11997" t="s">
        <v>16629</v>
      </c>
      <c r="E11997" t="s">
        <v>27078</v>
      </c>
      <c r="F11997" t="s">
        <v>28669</v>
      </c>
      <c r="G11997" t="s">
        <v>28675</v>
      </c>
      <c r="H11997" t="s">
        <v>9998</v>
      </c>
      <c r="I11997" t="s">
        <v>28704</v>
      </c>
      <c r="J11997" t="s">
        <v>36170</v>
      </c>
      <c r="K11997" t="s">
        <v>37205</v>
      </c>
      <c r="M11997" t="s">
        <v>38702</v>
      </c>
      <c r="N11997" t="s">
        <v>41249</v>
      </c>
      <c r="O11997" t="s">
        <v>41250</v>
      </c>
      <c r="Q11997">
        <v>0</v>
      </c>
      <c r="R11997" t="s">
        <v>41266</v>
      </c>
      <c r="S11997" t="s">
        <v>42012</v>
      </c>
      <c r="T11997" t="s">
        <v>42814</v>
      </c>
      <c r="U11997" t="s">
        <v>52822</v>
      </c>
      <c r="W11997" t="s">
        <v>38702</v>
      </c>
      <c r="X11997" t="s">
        <v>41267</v>
      </c>
    </row>
    <row r="11998" spans="1:24">
      <c r="A11998">
        <f>HYPERLINK("https://www.philgeps.gov.ph/GEPSNONPILOT/Tender/SplashBidNoticeAbstractUI.aspx?menuIndex=3&amp;refID=7048333&amp;Result=3","7048333")</f>
        <v>0</v>
      </c>
      <c r="B11998" t="s">
        <v>870</v>
      </c>
      <c r="C11998" t="s">
        <v>14874</v>
      </c>
      <c r="D11998" t="s">
        <v>16618</v>
      </c>
      <c r="E11998" t="s">
        <v>27079</v>
      </c>
      <c r="F11998" t="s">
        <v>28669</v>
      </c>
      <c r="G11998" t="s">
        <v>28675</v>
      </c>
      <c r="H11998" t="s">
        <v>9998</v>
      </c>
      <c r="I11998" t="s">
        <v>28732</v>
      </c>
      <c r="J11998" t="s">
        <v>36171</v>
      </c>
      <c r="K11998" t="s">
        <v>37206</v>
      </c>
      <c r="M11998" t="s">
        <v>40340</v>
      </c>
      <c r="N11998" t="s">
        <v>41249</v>
      </c>
      <c r="O11998" t="s">
        <v>41250</v>
      </c>
      <c r="P11998">
        <v>0</v>
      </c>
      <c r="Q11998">
        <v>3</v>
      </c>
      <c r="R11998" t="s">
        <v>41266</v>
      </c>
      <c r="S11998" t="s">
        <v>41978</v>
      </c>
      <c r="T11998" t="s">
        <v>42703</v>
      </c>
      <c r="U11998" t="s">
        <v>52823</v>
      </c>
      <c r="V11998" t="s">
        <v>55236</v>
      </c>
      <c r="W11998" t="s">
        <v>40340</v>
      </c>
      <c r="X11998" t="s">
        <v>41267</v>
      </c>
    </row>
    <row r="11999" spans="1:24">
      <c r="A11999">
        <f>HYPERLINK("https://www.philgeps.gov.ph/GEPSNONPILOT/Tender/SplashBidNoticeAbstractUI.aspx?menuIndex=3&amp;refID=7048332&amp;Result=3","7048332")</f>
        <v>0</v>
      </c>
      <c r="B11999" t="s">
        <v>2036</v>
      </c>
      <c r="C11999" t="s">
        <v>14875</v>
      </c>
      <c r="D11999" t="s">
        <v>16664</v>
      </c>
      <c r="E11999" t="s">
        <v>27080</v>
      </c>
      <c r="F11999" t="s">
        <v>28669</v>
      </c>
      <c r="G11999" t="s">
        <v>28675</v>
      </c>
      <c r="H11999" t="s">
        <v>28686</v>
      </c>
      <c r="I11999" t="s">
        <v>28689</v>
      </c>
      <c r="J11999" t="s">
        <v>30559</v>
      </c>
      <c r="K11999" t="s">
        <v>37244</v>
      </c>
      <c r="M11999" t="s">
        <v>39676</v>
      </c>
      <c r="N11999" t="s">
        <v>41249</v>
      </c>
      <c r="O11999" t="s">
        <v>41250</v>
      </c>
      <c r="P11999">
        <v>0</v>
      </c>
      <c r="Q11999">
        <v>0</v>
      </c>
      <c r="R11999" t="s">
        <v>41266</v>
      </c>
      <c r="S11999" t="s">
        <v>41978</v>
      </c>
      <c r="T11999" t="s">
        <v>42754</v>
      </c>
      <c r="U11999" t="s">
        <v>48207</v>
      </c>
      <c r="W11999" t="s">
        <v>39676</v>
      </c>
      <c r="X11999" t="s">
        <v>41267</v>
      </c>
    </row>
    <row r="12000" spans="1:24">
      <c r="A12000">
        <f>HYPERLINK("https://www.philgeps.gov.ph/GEPSNONPILOT/Tender/SplashBidNoticeAbstractUI.aspx?menuIndex=3&amp;refID=7048326&amp;Result=3","7048326")</f>
        <v>0</v>
      </c>
      <c r="B12000" t="s">
        <v>3188</v>
      </c>
      <c r="C12000" t="s">
        <v>14876</v>
      </c>
      <c r="D12000" t="s">
        <v>16691</v>
      </c>
      <c r="E12000" t="s">
        <v>27081</v>
      </c>
      <c r="F12000" t="s">
        <v>28669</v>
      </c>
      <c r="G12000" t="s">
        <v>28675</v>
      </c>
      <c r="H12000" t="s">
        <v>9998</v>
      </c>
      <c r="I12000" t="s">
        <v>28694</v>
      </c>
      <c r="J12000" t="s">
        <v>36172</v>
      </c>
      <c r="K12000" t="s">
        <v>37204</v>
      </c>
      <c r="M12000" t="s">
        <v>40990</v>
      </c>
      <c r="N12000" t="s">
        <v>41249</v>
      </c>
      <c r="O12000" t="s">
        <v>41250</v>
      </c>
      <c r="P12000">
        <v>0</v>
      </c>
      <c r="Q12000">
        <v>0</v>
      </c>
      <c r="R12000" t="s">
        <v>41266</v>
      </c>
      <c r="S12000" t="s">
        <v>41978</v>
      </c>
      <c r="T12000" t="s">
        <v>42736</v>
      </c>
      <c r="U12000" t="s">
        <v>52786</v>
      </c>
      <c r="V12000" t="s">
        <v>55681</v>
      </c>
      <c r="W12000" t="s">
        <v>40990</v>
      </c>
      <c r="X12000" t="s">
        <v>41267</v>
      </c>
    </row>
    <row r="12001" spans="1:24">
      <c r="A12001">
        <f>HYPERLINK("https://www.philgeps.gov.ph/GEPSNONPILOT/Tender/SplashBidNoticeAbstractUI.aspx?menuIndex=3&amp;refID=7048523&amp;Result=3","7048523")</f>
        <v>0</v>
      </c>
      <c r="B12001" t="s">
        <v>157</v>
      </c>
      <c r="C12001" t="s">
        <v>14877</v>
      </c>
      <c r="D12001" t="s">
        <v>16664</v>
      </c>
      <c r="E12001" t="s">
        <v>27082</v>
      </c>
      <c r="F12001" t="s">
        <v>28669</v>
      </c>
      <c r="G12001" t="s">
        <v>28675</v>
      </c>
      <c r="H12001" t="s">
        <v>9998</v>
      </c>
      <c r="I12001" t="s">
        <v>5213</v>
      </c>
      <c r="J12001" t="s">
        <v>36173</v>
      </c>
      <c r="K12001" t="s">
        <v>37221</v>
      </c>
      <c r="M12001" t="s">
        <v>37634</v>
      </c>
      <c r="N12001" t="s">
        <v>41249</v>
      </c>
      <c r="O12001" t="s">
        <v>41250</v>
      </c>
      <c r="P12001">
        <v>0</v>
      </c>
      <c r="Q12001">
        <v>5</v>
      </c>
      <c r="R12001" t="s">
        <v>41266</v>
      </c>
      <c r="S12001" t="s">
        <v>41978</v>
      </c>
      <c r="T12001" t="s">
        <v>42671</v>
      </c>
      <c r="U12001" t="s">
        <v>52824</v>
      </c>
      <c r="W12001" t="s">
        <v>37634</v>
      </c>
      <c r="X12001" t="s">
        <v>41267</v>
      </c>
    </row>
    <row r="12002" spans="1:24">
      <c r="A12002">
        <f>HYPERLINK("https://www.philgeps.gov.ph/GEPSNONPILOT/Tender/SplashBidNoticeAbstractUI.aspx?menuIndex=3&amp;refID=7048428&amp;Result=3","7048428")</f>
        <v>0</v>
      </c>
      <c r="B12002" t="s">
        <v>974</v>
      </c>
      <c r="C12002" t="s">
        <v>14878</v>
      </c>
      <c r="D12002" t="s">
        <v>16621</v>
      </c>
      <c r="E12002" t="s">
        <v>27083</v>
      </c>
      <c r="F12002" t="s">
        <v>28669</v>
      </c>
      <c r="G12002" t="s">
        <v>28675</v>
      </c>
      <c r="H12002" t="s">
        <v>9998</v>
      </c>
      <c r="I12002" t="s">
        <v>7352</v>
      </c>
      <c r="J12002" t="s">
        <v>36174</v>
      </c>
      <c r="K12002" t="s">
        <v>37205</v>
      </c>
      <c r="M12002" t="s">
        <v>38499</v>
      </c>
      <c r="N12002" t="s">
        <v>41249</v>
      </c>
      <c r="O12002" t="s">
        <v>41250</v>
      </c>
      <c r="P12002">
        <v>0</v>
      </c>
      <c r="Q12002">
        <v>1</v>
      </c>
      <c r="R12002" t="s">
        <v>41266</v>
      </c>
      <c r="S12002" t="s">
        <v>41978</v>
      </c>
      <c r="T12002" t="s">
        <v>43141</v>
      </c>
      <c r="U12002" t="s">
        <v>45182</v>
      </c>
      <c r="V12002" t="s">
        <v>55688</v>
      </c>
      <c r="W12002" t="s">
        <v>38499</v>
      </c>
      <c r="X12002" t="s">
        <v>41267</v>
      </c>
    </row>
    <row r="12003" spans="1:24">
      <c r="A12003">
        <f>HYPERLINK("https://www.philgeps.gov.ph/GEPSNONPILOT/Tender/SplashBidNoticeAbstractUI.aspx?menuIndex=3&amp;refID=7048379&amp;Result=3","7048379")</f>
        <v>0</v>
      </c>
      <c r="B12003" t="s">
        <v>974</v>
      </c>
      <c r="C12003" t="s">
        <v>14879</v>
      </c>
      <c r="D12003" t="s">
        <v>16621</v>
      </c>
      <c r="E12003" t="s">
        <v>27084</v>
      </c>
      <c r="F12003" t="s">
        <v>28669</v>
      </c>
      <c r="G12003" t="s">
        <v>28675</v>
      </c>
      <c r="H12003" t="s">
        <v>28686</v>
      </c>
      <c r="I12003" t="s">
        <v>28689</v>
      </c>
      <c r="J12003" t="s">
        <v>31648</v>
      </c>
      <c r="K12003" t="s">
        <v>37212</v>
      </c>
      <c r="M12003" t="s">
        <v>38499</v>
      </c>
      <c r="N12003" t="s">
        <v>41249</v>
      </c>
      <c r="O12003" t="s">
        <v>41250</v>
      </c>
      <c r="Q12003">
        <v>0</v>
      </c>
      <c r="R12003" t="s">
        <v>41266</v>
      </c>
      <c r="S12003" t="s">
        <v>42013</v>
      </c>
      <c r="T12003" t="s">
        <v>43141</v>
      </c>
      <c r="U12003" t="s">
        <v>45182</v>
      </c>
      <c r="W12003" t="s">
        <v>38499</v>
      </c>
      <c r="X12003" t="s">
        <v>41267</v>
      </c>
    </row>
    <row r="12004" spans="1:24">
      <c r="A12004">
        <f>HYPERLINK("https://www.philgeps.gov.ph/GEPSNONPILOT/Tender/SplashBidNoticeAbstractUI.aspx?menuIndex=3&amp;refID=7048509&amp;Result=3","7048509")</f>
        <v>0</v>
      </c>
      <c r="B12004" t="s">
        <v>2883</v>
      </c>
      <c r="C12004" t="s">
        <v>14880</v>
      </c>
      <c r="D12004" t="s">
        <v>16670</v>
      </c>
      <c r="E12004" t="s">
        <v>27085</v>
      </c>
      <c r="F12004" t="s">
        <v>28669</v>
      </c>
      <c r="G12004" t="s">
        <v>28675</v>
      </c>
      <c r="H12004" t="s">
        <v>28686</v>
      </c>
      <c r="I12004" t="s">
        <v>28689</v>
      </c>
      <c r="J12004" t="s">
        <v>36175</v>
      </c>
      <c r="K12004" t="s">
        <v>37220</v>
      </c>
      <c r="M12004" t="s">
        <v>40630</v>
      </c>
      <c r="N12004" t="s">
        <v>41249</v>
      </c>
      <c r="O12004" t="s">
        <v>41250</v>
      </c>
      <c r="P12004">
        <v>0</v>
      </c>
      <c r="Q12004">
        <v>3</v>
      </c>
      <c r="R12004" t="s">
        <v>41266</v>
      </c>
      <c r="S12004" t="s">
        <v>41978</v>
      </c>
      <c r="T12004" t="s">
        <v>42764</v>
      </c>
      <c r="U12004" t="s">
        <v>52825</v>
      </c>
      <c r="W12004" t="s">
        <v>40630</v>
      </c>
      <c r="X12004" t="s">
        <v>41267</v>
      </c>
    </row>
    <row r="12005" spans="1:24">
      <c r="A12005">
        <f>HYPERLINK("https://www.philgeps.gov.ph/GEPSNONPILOT/Tender/SplashBidNoticeAbstractUI.aspx?menuIndex=3&amp;refID=7048489&amp;Result=3","7048489")</f>
        <v>0</v>
      </c>
      <c r="B12005" t="s">
        <v>3191</v>
      </c>
      <c r="C12005" t="s">
        <v>6327</v>
      </c>
      <c r="E12005" t="s">
        <v>17883</v>
      </c>
      <c r="F12005" t="s">
        <v>28672</v>
      </c>
      <c r="G12005" t="s">
        <v>28675</v>
      </c>
      <c r="H12005" t="s">
        <v>9998</v>
      </c>
      <c r="I12005" t="s">
        <v>7352</v>
      </c>
      <c r="J12005" t="s">
        <v>30168</v>
      </c>
      <c r="K12005" t="s">
        <v>37209</v>
      </c>
      <c r="M12005" t="s">
        <v>40994</v>
      </c>
      <c r="N12005" t="s">
        <v>41249</v>
      </c>
      <c r="O12005" t="s">
        <v>41250</v>
      </c>
      <c r="P12005">
        <v>0</v>
      </c>
      <c r="Q12005">
        <v>0</v>
      </c>
      <c r="R12005" t="s">
        <v>41266</v>
      </c>
      <c r="S12005" t="s">
        <v>41978</v>
      </c>
      <c r="T12005" t="s">
        <v>42675</v>
      </c>
      <c r="U12005" t="s">
        <v>44283</v>
      </c>
      <c r="W12005" t="s">
        <v>40994</v>
      </c>
      <c r="X12005" t="s">
        <v>41267</v>
      </c>
    </row>
    <row r="12006" spans="1:24">
      <c r="A12006">
        <f>HYPERLINK("https://www.philgeps.gov.ph/GEPSNONPILOT/Tender/SplashBidNoticeAbstractUI.aspx?menuIndex=3&amp;refID=7048437&amp;Result=3","7048437")</f>
        <v>0</v>
      </c>
      <c r="B12006" t="s">
        <v>2248</v>
      </c>
      <c r="C12006" t="s">
        <v>14881</v>
      </c>
      <c r="E12006" t="s">
        <v>27051</v>
      </c>
      <c r="F12006" t="s">
        <v>28669</v>
      </c>
      <c r="G12006" t="s">
        <v>28675</v>
      </c>
      <c r="H12006" t="s">
        <v>28684</v>
      </c>
      <c r="I12006" t="s">
        <v>28775</v>
      </c>
      <c r="J12006" t="s">
        <v>36176</v>
      </c>
      <c r="K12006" t="s">
        <v>37397</v>
      </c>
      <c r="M12006" t="s">
        <v>40992</v>
      </c>
      <c r="N12006" t="s">
        <v>41249</v>
      </c>
      <c r="O12006" t="s">
        <v>41250</v>
      </c>
      <c r="P12006">
        <v>0</v>
      </c>
      <c r="Q12006">
        <v>0</v>
      </c>
      <c r="R12006" t="s">
        <v>41266</v>
      </c>
      <c r="S12006" t="s">
        <v>41978</v>
      </c>
      <c r="T12006" t="s">
        <v>42679</v>
      </c>
      <c r="U12006" t="s">
        <v>52799</v>
      </c>
      <c r="V12006" t="s">
        <v>55689</v>
      </c>
      <c r="W12006" t="s">
        <v>40992</v>
      </c>
      <c r="X12006" t="s">
        <v>41267</v>
      </c>
    </row>
    <row r="12007" spans="1:24">
      <c r="A12007">
        <f>HYPERLINK("https://www.philgeps.gov.ph/GEPSNONPILOT/Tender/SplashBidNoticeAbstractUI.aspx?menuIndex=3&amp;refID=7048516&amp;Result=3","7048516")</f>
        <v>0</v>
      </c>
      <c r="B12007" t="s">
        <v>3156</v>
      </c>
      <c r="C12007" t="s">
        <v>14882</v>
      </c>
      <c r="D12007" t="s">
        <v>16658</v>
      </c>
      <c r="E12007" t="s">
        <v>27086</v>
      </c>
      <c r="F12007" t="s">
        <v>28669</v>
      </c>
      <c r="G12007" t="s">
        <v>28675</v>
      </c>
      <c r="H12007" t="s">
        <v>28686</v>
      </c>
      <c r="I12007" t="s">
        <v>28689</v>
      </c>
      <c r="J12007" t="s">
        <v>36177</v>
      </c>
      <c r="K12007" t="s">
        <v>37215</v>
      </c>
      <c r="M12007" t="s">
        <v>40995</v>
      </c>
      <c r="N12007" t="s">
        <v>41249</v>
      </c>
      <c r="O12007" t="s">
        <v>41250</v>
      </c>
      <c r="P12007">
        <v>0</v>
      </c>
      <c r="Q12007">
        <v>1</v>
      </c>
      <c r="R12007" t="s">
        <v>41266</v>
      </c>
      <c r="S12007" t="s">
        <v>41978</v>
      </c>
      <c r="T12007" t="s">
        <v>42673</v>
      </c>
      <c r="U12007" t="s">
        <v>52826</v>
      </c>
      <c r="W12007" t="s">
        <v>40995</v>
      </c>
      <c r="X12007" t="s">
        <v>41267</v>
      </c>
    </row>
    <row r="12008" spans="1:24">
      <c r="A12008">
        <f>HYPERLINK("https://www.philgeps.gov.ph/GEPSNONPILOT/Tender/SplashBidNoticeAbstractUI.aspx?menuIndex=3&amp;refID=7048528&amp;Result=3","7048528")</f>
        <v>0</v>
      </c>
      <c r="B12008" t="s">
        <v>3192</v>
      </c>
      <c r="C12008" t="s">
        <v>14883</v>
      </c>
      <c r="D12008" t="s">
        <v>16687</v>
      </c>
      <c r="E12008" t="s">
        <v>19825</v>
      </c>
      <c r="F12008" t="s">
        <v>28669</v>
      </c>
      <c r="G12008" t="s">
        <v>28675</v>
      </c>
      <c r="H12008" t="s">
        <v>28686</v>
      </c>
      <c r="I12008" t="s">
        <v>28689</v>
      </c>
      <c r="J12008" t="s">
        <v>36178</v>
      </c>
      <c r="K12008" t="s">
        <v>37221</v>
      </c>
      <c r="M12008" t="s">
        <v>40996</v>
      </c>
      <c r="N12008" t="s">
        <v>41249</v>
      </c>
      <c r="O12008" t="s">
        <v>41250</v>
      </c>
      <c r="P12008">
        <v>0</v>
      </c>
      <c r="Q12008">
        <v>0</v>
      </c>
      <c r="R12008" t="s">
        <v>41266</v>
      </c>
      <c r="S12008" t="s">
        <v>41978</v>
      </c>
      <c r="T12008" t="s">
        <v>42679</v>
      </c>
      <c r="U12008" t="s">
        <v>52827</v>
      </c>
      <c r="W12008" t="s">
        <v>40996</v>
      </c>
      <c r="X12008" t="s">
        <v>41267</v>
      </c>
    </row>
    <row r="12009" spans="1:24">
      <c r="A12009">
        <f>HYPERLINK("https://www.philgeps.gov.ph/GEPSNONPILOT/Tender/SplashBidNoticeAbstractUI.aspx?menuIndex=3&amp;refID=7048665&amp;Result=3","7048665")</f>
        <v>0</v>
      </c>
      <c r="B12009" t="s">
        <v>1356</v>
      </c>
      <c r="C12009" t="s">
        <v>14884</v>
      </c>
      <c r="D12009" t="s">
        <v>16681</v>
      </c>
      <c r="E12009" t="s">
        <v>22306</v>
      </c>
      <c r="F12009" t="s">
        <v>28669</v>
      </c>
      <c r="G12009" t="s">
        <v>28675</v>
      </c>
      <c r="H12009" t="s">
        <v>9998</v>
      </c>
      <c r="I12009" t="s">
        <v>11142</v>
      </c>
      <c r="J12009" t="s">
        <v>36179</v>
      </c>
      <c r="K12009" t="s">
        <v>37204</v>
      </c>
      <c r="M12009" t="s">
        <v>38912</v>
      </c>
      <c r="N12009" t="s">
        <v>41249</v>
      </c>
      <c r="O12009" t="s">
        <v>41250</v>
      </c>
      <c r="P12009">
        <v>0</v>
      </c>
      <c r="Q12009">
        <v>1</v>
      </c>
      <c r="R12009" t="s">
        <v>41266</v>
      </c>
      <c r="S12009" t="s">
        <v>41978</v>
      </c>
      <c r="T12009" t="s">
        <v>43142</v>
      </c>
      <c r="U12009" t="s">
        <v>52828</v>
      </c>
      <c r="V12009" t="s">
        <v>55690</v>
      </c>
      <c r="W12009" t="s">
        <v>38912</v>
      </c>
      <c r="X12009" t="s">
        <v>41267</v>
      </c>
    </row>
    <row r="12010" spans="1:24">
      <c r="A12010">
        <f>HYPERLINK("https://www.philgeps.gov.ph/GEPSNONPILOT/Tender/SplashBidNoticeAbstractUI.aspx?menuIndex=3&amp;refID=7048477&amp;Result=3","7048477")</f>
        <v>0</v>
      </c>
      <c r="B12010" t="s">
        <v>3193</v>
      </c>
      <c r="C12010" t="s">
        <v>14885</v>
      </c>
      <c r="D12010" t="s">
        <v>16620</v>
      </c>
      <c r="E12010" t="s">
        <v>27087</v>
      </c>
      <c r="F12010" t="s">
        <v>28669</v>
      </c>
      <c r="G12010" t="s">
        <v>28675</v>
      </c>
      <c r="H12010" t="s">
        <v>9998</v>
      </c>
      <c r="I12010" t="s">
        <v>28707</v>
      </c>
      <c r="J12010" t="s">
        <v>36180</v>
      </c>
      <c r="K12010" t="s">
        <v>37206</v>
      </c>
      <c r="M12010" t="s">
        <v>40997</v>
      </c>
      <c r="N12010" t="s">
        <v>41249</v>
      </c>
      <c r="O12010" t="s">
        <v>41250</v>
      </c>
      <c r="P12010">
        <v>0</v>
      </c>
      <c r="Q12010">
        <v>7</v>
      </c>
      <c r="R12010" t="s">
        <v>41266</v>
      </c>
      <c r="S12010" t="s">
        <v>41978</v>
      </c>
      <c r="T12010" t="s">
        <v>42821</v>
      </c>
      <c r="U12010" t="s">
        <v>52829</v>
      </c>
      <c r="V12010" t="s">
        <v>55691</v>
      </c>
      <c r="W12010" t="s">
        <v>40997</v>
      </c>
      <c r="X12010" t="s">
        <v>41267</v>
      </c>
    </row>
    <row r="12011" spans="1:24">
      <c r="A12011">
        <f>HYPERLINK("https://www.philgeps.gov.ph/GEPSNONPILOT/Tender/SplashBidNoticeAbstractUI.aspx?menuIndex=3&amp;refID=7048652&amp;Result=3","7048652")</f>
        <v>0</v>
      </c>
      <c r="B12011" t="s">
        <v>3114</v>
      </c>
      <c r="C12011" t="s">
        <v>14886</v>
      </c>
      <c r="D12011" t="s">
        <v>16648</v>
      </c>
      <c r="E12011" t="s">
        <v>27088</v>
      </c>
      <c r="F12011" t="s">
        <v>28669</v>
      </c>
      <c r="G12011" t="s">
        <v>28675</v>
      </c>
      <c r="H12011" t="s">
        <v>28686</v>
      </c>
      <c r="I12011" t="s">
        <v>28689</v>
      </c>
      <c r="J12011" t="s">
        <v>36181</v>
      </c>
      <c r="K12011" t="s">
        <v>37472</v>
      </c>
      <c r="L12011" t="s">
        <v>3114</v>
      </c>
      <c r="M12011" t="s">
        <v>40902</v>
      </c>
      <c r="N12011" t="s">
        <v>41249</v>
      </c>
      <c r="O12011" t="s">
        <v>41250</v>
      </c>
      <c r="Q12011">
        <v>7</v>
      </c>
      <c r="R12011" t="s">
        <v>41266</v>
      </c>
      <c r="S12011" t="s">
        <v>42014</v>
      </c>
      <c r="T12011" t="s">
        <v>42673</v>
      </c>
      <c r="U12011" t="s">
        <v>52830</v>
      </c>
      <c r="W12011" t="s">
        <v>40902</v>
      </c>
      <c r="X12011" t="s">
        <v>41267</v>
      </c>
    </row>
    <row r="12012" spans="1:24">
      <c r="A12012">
        <f>HYPERLINK("https://www.philgeps.gov.ph/GEPSNONPILOT/Tender/SplashBidNoticeAbstractUI.aspx?menuIndex=3&amp;refID=7048456&amp;Result=3","7048456")</f>
        <v>0</v>
      </c>
      <c r="B12012" t="s">
        <v>3194</v>
      </c>
      <c r="C12012" t="s">
        <v>14887</v>
      </c>
      <c r="E12012" t="s">
        <v>17883</v>
      </c>
      <c r="F12012" t="s">
        <v>28672</v>
      </c>
      <c r="G12012" t="s">
        <v>28675</v>
      </c>
      <c r="H12012" t="s">
        <v>9998</v>
      </c>
      <c r="I12012" t="s">
        <v>7352</v>
      </c>
      <c r="J12012" t="s">
        <v>34298</v>
      </c>
      <c r="K12012" t="s">
        <v>37209</v>
      </c>
      <c r="M12012" t="s">
        <v>40998</v>
      </c>
      <c r="N12012" t="s">
        <v>41249</v>
      </c>
      <c r="O12012" t="s">
        <v>41250</v>
      </c>
      <c r="P12012">
        <v>0</v>
      </c>
      <c r="Q12012">
        <v>0</v>
      </c>
      <c r="R12012" t="s">
        <v>41266</v>
      </c>
      <c r="S12012" t="s">
        <v>41978</v>
      </c>
      <c r="T12012" t="s">
        <v>42675</v>
      </c>
      <c r="U12012" t="s">
        <v>44283</v>
      </c>
      <c r="W12012" t="s">
        <v>40998</v>
      </c>
      <c r="X12012" t="s">
        <v>41267</v>
      </c>
    </row>
    <row r="12013" spans="1:24">
      <c r="A12013">
        <f>HYPERLINK("https://www.philgeps.gov.ph/GEPSNONPILOT/Tender/SplashBidNoticeAbstractUI.aspx?menuIndex=3&amp;refID=7048630&amp;Result=3","7048630")</f>
        <v>0</v>
      </c>
      <c r="B12013" t="s">
        <v>1934</v>
      </c>
      <c r="C12013" t="s">
        <v>14888</v>
      </c>
      <c r="D12013" t="s">
        <v>16644</v>
      </c>
      <c r="E12013" t="s">
        <v>27089</v>
      </c>
      <c r="F12013" t="s">
        <v>28669</v>
      </c>
      <c r="G12013" t="s">
        <v>28676</v>
      </c>
      <c r="H12013" t="s">
        <v>9998</v>
      </c>
      <c r="I12013" t="s">
        <v>28698</v>
      </c>
      <c r="J12013" t="s">
        <v>29071</v>
      </c>
      <c r="K12013" t="s">
        <v>37206</v>
      </c>
      <c r="M12013" t="s">
        <v>39561</v>
      </c>
      <c r="N12013" t="s">
        <v>41249</v>
      </c>
      <c r="O12013" t="s">
        <v>41250</v>
      </c>
      <c r="Q12013">
        <v>1</v>
      </c>
      <c r="R12013" t="s">
        <v>41266</v>
      </c>
      <c r="S12013" t="s">
        <v>42015</v>
      </c>
      <c r="T12013" t="s">
        <v>42729</v>
      </c>
      <c r="U12013" t="s">
        <v>52831</v>
      </c>
      <c r="W12013" t="s">
        <v>39561</v>
      </c>
      <c r="X12013" t="s">
        <v>41267</v>
      </c>
    </row>
    <row r="12014" spans="1:24">
      <c r="A12014">
        <f>HYPERLINK("https://www.philgeps.gov.ph/GEPSNONPILOT/Tender/SplashBidNoticeAbstractUI.aspx?menuIndex=3&amp;refID=7048455&amp;Result=3","7048455")</f>
        <v>0</v>
      </c>
      <c r="B12014" t="s">
        <v>3188</v>
      </c>
      <c r="C12014" t="s">
        <v>14889</v>
      </c>
      <c r="D12014" t="s">
        <v>16691</v>
      </c>
      <c r="E12014" t="s">
        <v>27090</v>
      </c>
      <c r="F12014" t="s">
        <v>28669</v>
      </c>
      <c r="G12014" t="s">
        <v>28675</v>
      </c>
      <c r="H12014" t="s">
        <v>9998</v>
      </c>
      <c r="I12014" t="s">
        <v>28722</v>
      </c>
      <c r="J12014" t="s">
        <v>36182</v>
      </c>
      <c r="K12014" t="s">
        <v>37204</v>
      </c>
      <c r="M12014" t="s">
        <v>40990</v>
      </c>
      <c r="N12014" t="s">
        <v>41249</v>
      </c>
      <c r="O12014" t="s">
        <v>41250</v>
      </c>
      <c r="P12014">
        <v>0</v>
      </c>
      <c r="Q12014">
        <v>5</v>
      </c>
      <c r="R12014" t="s">
        <v>41266</v>
      </c>
      <c r="S12014" t="s">
        <v>41978</v>
      </c>
      <c r="T12014" t="s">
        <v>42736</v>
      </c>
      <c r="U12014" t="s">
        <v>52786</v>
      </c>
      <c r="V12014" t="s">
        <v>55681</v>
      </c>
      <c r="W12014" t="s">
        <v>40990</v>
      </c>
      <c r="X12014" t="s">
        <v>41267</v>
      </c>
    </row>
    <row r="12015" spans="1:24">
      <c r="A12015">
        <f>HYPERLINK("https://www.philgeps.gov.ph/GEPSNONPILOT/Tender/SplashBidNoticeAbstractUI.aspx?menuIndex=3&amp;refID=7048587&amp;Result=3","7048587")</f>
        <v>0</v>
      </c>
      <c r="B12015" t="s">
        <v>2610</v>
      </c>
      <c r="C12015" t="s">
        <v>14890</v>
      </c>
      <c r="D12015" t="s">
        <v>16642</v>
      </c>
      <c r="E12015" t="s">
        <v>27091</v>
      </c>
      <c r="F12015" t="s">
        <v>28669</v>
      </c>
      <c r="G12015" t="s">
        <v>28675</v>
      </c>
      <c r="H12015" t="s">
        <v>28686</v>
      </c>
      <c r="I12015" t="s">
        <v>28689</v>
      </c>
      <c r="J12015" t="s">
        <v>30559</v>
      </c>
      <c r="K12015" t="s">
        <v>37473</v>
      </c>
      <c r="M12015" t="s">
        <v>40307</v>
      </c>
      <c r="N12015" t="s">
        <v>41249</v>
      </c>
      <c r="O12015" t="s">
        <v>41250</v>
      </c>
      <c r="P12015">
        <v>0</v>
      </c>
      <c r="Q12015">
        <v>1</v>
      </c>
      <c r="R12015" t="s">
        <v>41266</v>
      </c>
      <c r="S12015" t="s">
        <v>41978</v>
      </c>
      <c r="T12015" t="s">
        <v>42673</v>
      </c>
      <c r="U12015" t="s">
        <v>52832</v>
      </c>
      <c r="V12015" t="s">
        <v>55692</v>
      </c>
      <c r="W12015" t="s">
        <v>40307</v>
      </c>
      <c r="X12015" t="s">
        <v>41267</v>
      </c>
    </row>
    <row r="12016" spans="1:24">
      <c r="A12016">
        <f>HYPERLINK("https://www.philgeps.gov.ph/GEPSNONPILOT/Tender/SplashBidNoticeAbstractUI.aspx?menuIndex=3&amp;refID=7048713&amp;Result=3","7048713")</f>
        <v>0</v>
      </c>
      <c r="B12016" t="s">
        <v>2076</v>
      </c>
      <c r="C12016" t="s">
        <v>14891</v>
      </c>
      <c r="D12016" t="s">
        <v>16674</v>
      </c>
      <c r="E12016" t="s">
        <v>27092</v>
      </c>
      <c r="F12016" t="s">
        <v>28669</v>
      </c>
      <c r="G12016" t="s">
        <v>28675</v>
      </c>
      <c r="H12016" t="s">
        <v>28686</v>
      </c>
      <c r="I12016" t="s">
        <v>28689</v>
      </c>
      <c r="J12016" t="s">
        <v>36183</v>
      </c>
      <c r="K12016" t="s">
        <v>37421</v>
      </c>
      <c r="M12016" t="s">
        <v>39717</v>
      </c>
      <c r="N12016" t="s">
        <v>41249</v>
      </c>
      <c r="O12016" t="s">
        <v>41250</v>
      </c>
      <c r="P12016">
        <v>0</v>
      </c>
      <c r="Q12016">
        <v>0</v>
      </c>
      <c r="R12016" t="s">
        <v>41266</v>
      </c>
      <c r="S12016" t="s">
        <v>41978</v>
      </c>
      <c r="T12016" t="s">
        <v>42729</v>
      </c>
      <c r="U12016" t="s">
        <v>52833</v>
      </c>
      <c r="W12016" t="s">
        <v>39717</v>
      </c>
      <c r="X12016" t="s">
        <v>41267</v>
      </c>
    </row>
    <row r="12017" spans="1:24">
      <c r="A12017">
        <f>HYPERLINK("https://www.philgeps.gov.ph/GEPSNONPILOT/Tender/SplashBidNoticeAbstractUI.aspx?menuIndex=3&amp;refID=7048660&amp;Result=3","7048660")</f>
        <v>0</v>
      </c>
      <c r="B12017" t="s">
        <v>974</v>
      </c>
      <c r="C12017" t="s">
        <v>14892</v>
      </c>
      <c r="D12017" t="s">
        <v>16621</v>
      </c>
      <c r="E12017" t="s">
        <v>27093</v>
      </c>
      <c r="F12017" t="s">
        <v>28669</v>
      </c>
      <c r="G12017" t="s">
        <v>28675</v>
      </c>
      <c r="H12017" t="s">
        <v>9998</v>
      </c>
      <c r="I12017" t="s">
        <v>7352</v>
      </c>
      <c r="J12017" t="s">
        <v>28879</v>
      </c>
      <c r="K12017" t="s">
        <v>37205</v>
      </c>
      <c r="M12017" t="s">
        <v>40999</v>
      </c>
      <c r="N12017" t="s">
        <v>41249</v>
      </c>
      <c r="O12017" t="s">
        <v>41250</v>
      </c>
      <c r="P12017">
        <v>0</v>
      </c>
      <c r="Q12017">
        <v>1</v>
      </c>
      <c r="R12017" t="s">
        <v>41266</v>
      </c>
      <c r="S12017" t="s">
        <v>41978</v>
      </c>
      <c r="T12017" t="s">
        <v>42717</v>
      </c>
      <c r="U12017" t="s">
        <v>52834</v>
      </c>
      <c r="V12017" t="s">
        <v>55693</v>
      </c>
      <c r="W12017" t="s">
        <v>40999</v>
      </c>
      <c r="X12017" t="s">
        <v>41267</v>
      </c>
    </row>
    <row r="12018" spans="1:24">
      <c r="A12018">
        <f>HYPERLINK("https://www.philgeps.gov.ph/GEPSNONPILOT/Tender/SplashBidNoticeAbstractUI.aspx?menuIndex=3&amp;refID=7048711&amp;Result=3","7048711")</f>
        <v>0</v>
      </c>
      <c r="B12018" t="s">
        <v>332</v>
      </c>
      <c r="C12018" t="s">
        <v>14893</v>
      </c>
      <c r="D12018" t="s">
        <v>16615</v>
      </c>
      <c r="E12018" t="s">
        <v>27094</v>
      </c>
      <c r="F12018" t="s">
        <v>28669</v>
      </c>
      <c r="G12018" t="s">
        <v>28675</v>
      </c>
      <c r="H12018" t="s">
        <v>9998</v>
      </c>
      <c r="I12018" t="s">
        <v>28693</v>
      </c>
      <c r="J12018" t="s">
        <v>36184</v>
      </c>
      <c r="K12018" t="s">
        <v>37206</v>
      </c>
      <c r="M12018" t="s">
        <v>37812</v>
      </c>
      <c r="N12018" t="s">
        <v>41249</v>
      </c>
      <c r="O12018" t="s">
        <v>41250</v>
      </c>
      <c r="P12018">
        <v>0</v>
      </c>
      <c r="Q12018">
        <v>29</v>
      </c>
      <c r="R12018" t="s">
        <v>41266</v>
      </c>
      <c r="S12018" t="s">
        <v>41978</v>
      </c>
      <c r="T12018" t="s">
        <v>42761</v>
      </c>
      <c r="U12018" t="s">
        <v>52835</v>
      </c>
      <c r="W12018" t="s">
        <v>37812</v>
      </c>
      <c r="X12018" t="s">
        <v>41267</v>
      </c>
    </row>
    <row r="12019" spans="1:24">
      <c r="A12019">
        <f>HYPERLINK("https://www.philgeps.gov.ph/GEPSNONPILOT/Tender/SplashBidNoticeAbstractUI.aspx?menuIndex=3&amp;refID=7048709&amp;Result=3","7048709")</f>
        <v>0</v>
      </c>
      <c r="B12019" t="s">
        <v>427</v>
      </c>
      <c r="C12019" t="s">
        <v>14894</v>
      </c>
      <c r="D12019" t="s">
        <v>16608</v>
      </c>
      <c r="E12019" t="s">
        <v>27095</v>
      </c>
      <c r="F12019" t="s">
        <v>28669</v>
      </c>
      <c r="G12019" t="s">
        <v>28676</v>
      </c>
      <c r="H12019" t="s">
        <v>9998</v>
      </c>
      <c r="I12019" t="s">
        <v>28749</v>
      </c>
      <c r="J12019" t="s">
        <v>36185</v>
      </c>
      <c r="K12019" t="s">
        <v>37205</v>
      </c>
      <c r="M12019" t="s">
        <v>41000</v>
      </c>
      <c r="N12019" t="s">
        <v>41249</v>
      </c>
      <c r="O12019" t="s">
        <v>41250</v>
      </c>
      <c r="Q12019">
        <v>3</v>
      </c>
      <c r="R12019" t="s">
        <v>41266</v>
      </c>
      <c r="S12019" t="s">
        <v>42016</v>
      </c>
      <c r="T12019" t="s">
        <v>42736</v>
      </c>
      <c r="U12019" t="s">
        <v>52836</v>
      </c>
      <c r="W12019" t="s">
        <v>41000</v>
      </c>
      <c r="X12019" t="s">
        <v>41267</v>
      </c>
    </row>
    <row r="12020" spans="1:24">
      <c r="A12020">
        <f>HYPERLINK("https://www.philgeps.gov.ph/GEPSNONPILOT/Tender/SplashBidNoticeAbstractUI.aspx?menuIndex=3&amp;refID=7048520&amp;Result=3","7048520")</f>
        <v>0</v>
      </c>
      <c r="B12020" t="s">
        <v>593</v>
      </c>
      <c r="C12020" t="s">
        <v>14895</v>
      </c>
      <c r="E12020" t="s">
        <v>17883</v>
      </c>
      <c r="F12020" t="s">
        <v>28672</v>
      </c>
      <c r="G12020" t="s">
        <v>28675</v>
      </c>
      <c r="H12020" t="s">
        <v>9998</v>
      </c>
      <c r="I12020" t="s">
        <v>5213</v>
      </c>
      <c r="J12020" t="s">
        <v>28826</v>
      </c>
      <c r="K12020" t="s">
        <v>37209</v>
      </c>
      <c r="M12020" t="s">
        <v>38092</v>
      </c>
      <c r="N12020" t="s">
        <v>41249</v>
      </c>
      <c r="O12020" t="s">
        <v>41250</v>
      </c>
      <c r="P12020">
        <v>0</v>
      </c>
      <c r="Q12020">
        <v>2</v>
      </c>
      <c r="R12020" t="s">
        <v>41266</v>
      </c>
      <c r="S12020" t="s">
        <v>41978</v>
      </c>
      <c r="T12020" t="s">
        <v>42675</v>
      </c>
      <c r="U12020" t="s">
        <v>44283</v>
      </c>
      <c r="W12020" t="s">
        <v>38092</v>
      </c>
      <c r="X12020" t="s">
        <v>41267</v>
      </c>
    </row>
    <row r="12021" spans="1:24">
      <c r="A12021">
        <f>HYPERLINK("https://www.philgeps.gov.ph/GEPSNONPILOT/Tender/SplashBidNoticeAbstractUI.aspx?menuIndex=3&amp;refID=7048696&amp;Result=3","7048696")</f>
        <v>0</v>
      </c>
      <c r="B12021" t="s">
        <v>3195</v>
      </c>
      <c r="C12021" t="s">
        <v>14896</v>
      </c>
      <c r="E12021" t="s">
        <v>17883</v>
      </c>
      <c r="F12021" t="s">
        <v>28672</v>
      </c>
      <c r="G12021" t="s">
        <v>28675</v>
      </c>
      <c r="H12021" t="s">
        <v>9998</v>
      </c>
      <c r="I12021" t="s">
        <v>7352</v>
      </c>
      <c r="J12021" t="s">
        <v>36186</v>
      </c>
      <c r="K12021" t="s">
        <v>37209</v>
      </c>
      <c r="M12021" t="s">
        <v>41001</v>
      </c>
      <c r="N12021" t="s">
        <v>41249</v>
      </c>
      <c r="O12021" t="s">
        <v>41250</v>
      </c>
      <c r="P12021">
        <v>0</v>
      </c>
      <c r="Q12021">
        <v>0</v>
      </c>
      <c r="R12021" t="s">
        <v>41266</v>
      </c>
      <c r="S12021" t="s">
        <v>41978</v>
      </c>
      <c r="T12021" t="s">
        <v>42675</v>
      </c>
      <c r="U12021" t="s">
        <v>44283</v>
      </c>
      <c r="W12021" t="s">
        <v>41001</v>
      </c>
      <c r="X12021" t="s">
        <v>41267</v>
      </c>
    </row>
    <row r="12022" spans="1:24">
      <c r="A12022">
        <f>HYPERLINK("https://www.philgeps.gov.ph/GEPSNONPILOT/Tender/SplashBidNoticeAbstractUI.aspx?menuIndex=3&amp;refID=7048613&amp;Result=3","7048613")</f>
        <v>0</v>
      </c>
      <c r="B12022" t="s">
        <v>332</v>
      </c>
      <c r="C12022" t="s">
        <v>14897</v>
      </c>
      <c r="D12022" t="s">
        <v>16615</v>
      </c>
      <c r="E12022" t="s">
        <v>27096</v>
      </c>
      <c r="F12022" t="s">
        <v>28669</v>
      </c>
      <c r="G12022" t="s">
        <v>28675</v>
      </c>
      <c r="H12022" t="s">
        <v>9998</v>
      </c>
      <c r="I12022" t="s">
        <v>28738</v>
      </c>
      <c r="J12022" t="s">
        <v>36187</v>
      </c>
      <c r="K12022" t="s">
        <v>37206</v>
      </c>
      <c r="M12022" t="s">
        <v>37812</v>
      </c>
      <c r="N12022" t="s">
        <v>41249</v>
      </c>
      <c r="O12022" t="s">
        <v>41250</v>
      </c>
      <c r="P12022">
        <v>0</v>
      </c>
      <c r="Q12022">
        <v>5</v>
      </c>
      <c r="R12022" t="s">
        <v>41266</v>
      </c>
      <c r="S12022" t="s">
        <v>41978</v>
      </c>
      <c r="T12022" t="s">
        <v>42761</v>
      </c>
      <c r="U12022" t="s">
        <v>52837</v>
      </c>
      <c r="W12022" t="s">
        <v>37812</v>
      </c>
      <c r="X12022" t="s">
        <v>41267</v>
      </c>
    </row>
    <row r="12023" spans="1:24">
      <c r="A12023">
        <f>HYPERLINK("https://www.philgeps.gov.ph/GEPSNONPILOT/Tender/SplashBidNoticeAbstractUI.aspx?menuIndex=3&amp;refID=7048691&amp;Result=3","7048691")</f>
        <v>0</v>
      </c>
      <c r="B12023" t="s">
        <v>3162</v>
      </c>
      <c r="C12023" t="s">
        <v>14898</v>
      </c>
      <c r="D12023" t="s">
        <v>16627</v>
      </c>
      <c r="E12023" t="s">
        <v>27097</v>
      </c>
      <c r="F12023" t="s">
        <v>28669</v>
      </c>
      <c r="G12023" t="s">
        <v>28675</v>
      </c>
      <c r="H12023" t="s">
        <v>28686</v>
      </c>
      <c r="I12023" t="s">
        <v>28689</v>
      </c>
      <c r="J12023" t="s">
        <v>36188</v>
      </c>
      <c r="K12023" t="s">
        <v>37213</v>
      </c>
      <c r="M12023" t="s">
        <v>40956</v>
      </c>
      <c r="N12023" t="s">
        <v>41249</v>
      </c>
      <c r="O12023" t="s">
        <v>41250</v>
      </c>
      <c r="P12023">
        <v>0</v>
      </c>
      <c r="Q12023">
        <v>1</v>
      </c>
      <c r="R12023" t="s">
        <v>41266</v>
      </c>
      <c r="S12023" t="s">
        <v>41978</v>
      </c>
      <c r="T12023" t="s">
        <v>42856</v>
      </c>
      <c r="U12023" t="s">
        <v>52650</v>
      </c>
      <c r="W12023" t="s">
        <v>40956</v>
      </c>
      <c r="X12023" t="s">
        <v>41267</v>
      </c>
    </row>
    <row r="12024" spans="1:24">
      <c r="A12024">
        <f>HYPERLINK("https://www.philgeps.gov.ph/GEPSNONPILOT/Tender/SplashBidNoticeAbstractUI.aspx?menuIndex=3&amp;refID=7048678&amp;Result=3","7048678")</f>
        <v>0</v>
      </c>
      <c r="B12024" t="s">
        <v>3196</v>
      </c>
      <c r="C12024" t="s">
        <v>14899</v>
      </c>
      <c r="D12024" t="s">
        <v>16622</v>
      </c>
      <c r="E12024" t="s">
        <v>24694</v>
      </c>
      <c r="F12024" t="s">
        <v>28669</v>
      </c>
      <c r="G12024" t="s">
        <v>28682</v>
      </c>
      <c r="H12024" t="s">
        <v>9998</v>
      </c>
      <c r="I12024" t="s">
        <v>28687</v>
      </c>
      <c r="J12024" t="s">
        <v>31337</v>
      </c>
      <c r="K12024" t="s">
        <v>37206</v>
      </c>
      <c r="M12024" t="s">
        <v>41002</v>
      </c>
      <c r="N12024" t="s">
        <v>41249</v>
      </c>
      <c r="O12024" t="s">
        <v>41250</v>
      </c>
      <c r="P12024">
        <v>0</v>
      </c>
      <c r="Q12024">
        <v>1</v>
      </c>
      <c r="R12024" t="s">
        <v>41266</v>
      </c>
      <c r="S12024" t="s">
        <v>41978</v>
      </c>
      <c r="T12024" t="s">
        <v>42757</v>
      </c>
      <c r="U12024" t="s">
        <v>52838</v>
      </c>
      <c r="W12024" t="s">
        <v>41002</v>
      </c>
      <c r="X12024" t="s">
        <v>41267</v>
      </c>
    </row>
    <row r="12025" spans="1:24">
      <c r="A12025">
        <f>HYPERLINK("https://www.philgeps.gov.ph/GEPSNONPILOT/Tender/SplashBidNoticeAbstractUI.aspx?menuIndex=3&amp;refID=7048565&amp;Result=3","7048565")</f>
        <v>0</v>
      </c>
      <c r="B12025" t="s">
        <v>2382</v>
      </c>
      <c r="C12025" t="s">
        <v>14900</v>
      </c>
      <c r="D12025" t="s">
        <v>16626</v>
      </c>
      <c r="E12025" t="s">
        <v>22208</v>
      </c>
      <c r="F12025" t="s">
        <v>28669</v>
      </c>
      <c r="G12025" t="s">
        <v>28676</v>
      </c>
      <c r="H12025" t="s">
        <v>28686</v>
      </c>
      <c r="I12025" t="s">
        <v>7352</v>
      </c>
      <c r="J12025" t="s">
        <v>29523</v>
      </c>
      <c r="K12025" t="s">
        <v>37234</v>
      </c>
      <c r="M12025" t="s">
        <v>40055</v>
      </c>
      <c r="N12025" t="s">
        <v>41249</v>
      </c>
      <c r="O12025" t="s">
        <v>41250</v>
      </c>
      <c r="P12025">
        <v>0</v>
      </c>
      <c r="Q12025">
        <v>0</v>
      </c>
      <c r="R12025" t="s">
        <v>41266</v>
      </c>
      <c r="S12025" t="s">
        <v>41978</v>
      </c>
      <c r="T12025" t="s">
        <v>42748</v>
      </c>
      <c r="U12025" t="s">
        <v>52839</v>
      </c>
      <c r="W12025" t="s">
        <v>40055</v>
      </c>
      <c r="X12025" t="s">
        <v>41267</v>
      </c>
    </row>
    <row r="12026" spans="1:24">
      <c r="A12026">
        <f>HYPERLINK("https://www.philgeps.gov.ph/GEPSNONPILOT/Tender/SplashBidNoticeAbstractUI.aspx?menuIndex=3&amp;refID=7048550&amp;Result=3","7048550")</f>
        <v>0</v>
      </c>
      <c r="B12026" t="s">
        <v>2883</v>
      </c>
      <c r="C12026" t="s">
        <v>14901</v>
      </c>
      <c r="D12026" t="s">
        <v>16670</v>
      </c>
      <c r="E12026" t="s">
        <v>27098</v>
      </c>
      <c r="F12026" t="s">
        <v>28669</v>
      </c>
      <c r="G12026" t="s">
        <v>28675</v>
      </c>
      <c r="H12026" t="s">
        <v>9998</v>
      </c>
      <c r="I12026" t="s">
        <v>3718</v>
      </c>
      <c r="J12026" t="s">
        <v>29398</v>
      </c>
      <c r="K12026" t="s">
        <v>37206</v>
      </c>
      <c r="M12026" t="s">
        <v>40630</v>
      </c>
      <c r="N12026" t="s">
        <v>41249</v>
      </c>
      <c r="O12026" t="s">
        <v>41250</v>
      </c>
      <c r="P12026">
        <v>0</v>
      </c>
      <c r="Q12026">
        <v>6</v>
      </c>
      <c r="R12026" t="s">
        <v>41266</v>
      </c>
      <c r="S12026" t="s">
        <v>41978</v>
      </c>
      <c r="T12026" t="s">
        <v>42764</v>
      </c>
      <c r="U12026" t="s">
        <v>52840</v>
      </c>
      <c r="W12026" t="s">
        <v>40630</v>
      </c>
      <c r="X12026" t="s">
        <v>41267</v>
      </c>
    </row>
    <row r="12027" spans="1:24">
      <c r="A12027">
        <f>HYPERLINK("https://www.philgeps.gov.ph/GEPSNONPILOT/Tender/SplashBidNoticeAbstractUI.aspx?menuIndex=3&amp;refID=7048415&amp;Result=3","7048415")</f>
        <v>0</v>
      </c>
      <c r="B12027" t="s">
        <v>3197</v>
      </c>
      <c r="C12027" t="s">
        <v>14902</v>
      </c>
      <c r="E12027" t="s">
        <v>17883</v>
      </c>
      <c r="F12027" t="s">
        <v>28672</v>
      </c>
      <c r="G12027" t="s">
        <v>28675</v>
      </c>
      <c r="H12027" t="s">
        <v>9998</v>
      </c>
      <c r="I12027" t="s">
        <v>7352</v>
      </c>
      <c r="J12027" t="s">
        <v>36189</v>
      </c>
      <c r="K12027" t="s">
        <v>37209</v>
      </c>
      <c r="M12027" t="s">
        <v>41003</v>
      </c>
      <c r="N12027" t="s">
        <v>41249</v>
      </c>
      <c r="O12027" t="s">
        <v>41250</v>
      </c>
      <c r="P12027">
        <v>0</v>
      </c>
      <c r="Q12027">
        <v>1</v>
      </c>
      <c r="R12027" t="s">
        <v>41266</v>
      </c>
      <c r="S12027" t="s">
        <v>41978</v>
      </c>
      <c r="T12027" t="s">
        <v>42675</v>
      </c>
      <c r="U12027" t="s">
        <v>44283</v>
      </c>
      <c r="W12027" t="s">
        <v>41003</v>
      </c>
      <c r="X12027" t="s">
        <v>41267</v>
      </c>
    </row>
    <row r="12028" spans="1:24">
      <c r="A12028">
        <f>HYPERLINK("https://www.philgeps.gov.ph/GEPSNONPILOT/Tender/SplashBidNoticeAbstractUI.aspx?menuIndex=3&amp;refID=7048540&amp;Result=3","7048540")</f>
        <v>0</v>
      </c>
      <c r="B12028" t="s">
        <v>3196</v>
      </c>
      <c r="C12028" t="s">
        <v>14903</v>
      </c>
      <c r="D12028" t="s">
        <v>16622</v>
      </c>
      <c r="E12028" t="s">
        <v>26302</v>
      </c>
      <c r="F12028" t="s">
        <v>28671</v>
      </c>
      <c r="G12028" t="s">
        <v>28675</v>
      </c>
      <c r="H12028" t="s">
        <v>9998</v>
      </c>
      <c r="I12028" t="s">
        <v>28687</v>
      </c>
      <c r="J12028" t="s">
        <v>30485</v>
      </c>
      <c r="K12028" t="s">
        <v>37206</v>
      </c>
      <c r="M12028" t="s">
        <v>41002</v>
      </c>
      <c r="N12028" t="s">
        <v>41249</v>
      </c>
      <c r="O12028" t="s">
        <v>41250</v>
      </c>
      <c r="P12028">
        <v>0</v>
      </c>
      <c r="Q12028">
        <v>3</v>
      </c>
      <c r="R12028" t="s">
        <v>41266</v>
      </c>
      <c r="S12028" t="s">
        <v>41978</v>
      </c>
      <c r="T12028" t="s">
        <v>42757</v>
      </c>
      <c r="U12028" t="s">
        <v>52841</v>
      </c>
      <c r="W12028" t="s">
        <v>41002</v>
      </c>
      <c r="X12028" t="s">
        <v>41267</v>
      </c>
    </row>
    <row r="12029" spans="1:24">
      <c r="A12029">
        <f>HYPERLINK("https://www.philgeps.gov.ph/GEPSNONPILOT/Tender/SplashBidNoticeAbstractUI.aspx?menuIndex=3&amp;refID=7048719&amp;Result=3","7048719")</f>
        <v>0</v>
      </c>
      <c r="B12029" t="s">
        <v>781</v>
      </c>
      <c r="C12029" t="s">
        <v>14904</v>
      </c>
      <c r="D12029" t="s">
        <v>16620</v>
      </c>
      <c r="E12029" t="s">
        <v>27099</v>
      </c>
      <c r="F12029" t="s">
        <v>28669</v>
      </c>
      <c r="G12029" t="s">
        <v>28675</v>
      </c>
      <c r="H12029" t="s">
        <v>9998</v>
      </c>
      <c r="I12029" t="s">
        <v>7352</v>
      </c>
      <c r="J12029" t="s">
        <v>36190</v>
      </c>
      <c r="K12029" t="s">
        <v>37210</v>
      </c>
      <c r="M12029" t="s">
        <v>38295</v>
      </c>
      <c r="N12029" t="s">
        <v>41249</v>
      </c>
      <c r="O12029" t="s">
        <v>41250</v>
      </c>
      <c r="P12029">
        <v>0</v>
      </c>
      <c r="Q12029">
        <v>0</v>
      </c>
      <c r="R12029" t="s">
        <v>41266</v>
      </c>
      <c r="S12029" t="s">
        <v>41978</v>
      </c>
      <c r="T12029" t="s">
        <v>42679</v>
      </c>
      <c r="U12029" t="s">
        <v>52319</v>
      </c>
      <c r="W12029" t="s">
        <v>38295</v>
      </c>
      <c r="X12029" t="s">
        <v>41267</v>
      </c>
    </row>
    <row r="12030" spans="1:24">
      <c r="A12030">
        <f>HYPERLINK("https://www.philgeps.gov.ph/GEPSNONPILOT/Tender/SplashBidNoticeAbstractUI.aspx?menuIndex=3&amp;refID=7048881&amp;Result=3","7048881")</f>
        <v>0</v>
      </c>
      <c r="B12030" t="s">
        <v>1304</v>
      </c>
      <c r="C12030" t="s">
        <v>14905</v>
      </c>
      <c r="D12030" t="s">
        <v>16616</v>
      </c>
      <c r="E12030" t="s">
        <v>27100</v>
      </c>
      <c r="F12030" t="s">
        <v>28669</v>
      </c>
      <c r="G12030" t="s">
        <v>28675</v>
      </c>
      <c r="H12030" t="s">
        <v>9998</v>
      </c>
      <c r="I12030" t="s">
        <v>28708</v>
      </c>
      <c r="J12030" t="s">
        <v>36191</v>
      </c>
      <c r="K12030" t="s">
        <v>37206</v>
      </c>
      <c r="M12030" t="s">
        <v>38856</v>
      </c>
      <c r="N12030" t="s">
        <v>41249</v>
      </c>
      <c r="O12030" t="s">
        <v>41250</v>
      </c>
      <c r="Q12030">
        <v>11</v>
      </c>
      <c r="R12030" t="s">
        <v>41266</v>
      </c>
      <c r="S12030" t="s">
        <v>42017</v>
      </c>
      <c r="T12030" t="s">
        <v>42687</v>
      </c>
      <c r="U12030" t="s">
        <v>52842</v>
      </c>
      <c r="W12030" t="s">
        <v>38856</v>
      </c>
      <c r="X12030" t="s">
        <v>41267</v>
      </c>
    </row>
    <row r="12031" spans="1:24">
      <c r="A12031">
        <f>HYPERLINK("https://www.philgeps.gov.ph/GEPSNONPILOT/Tender/SplashBidNoticeAbstractUI.aspx?menuIndex=3&amp;refID=7048614&amp;Result=3","7048614")</f>
        <v>0</v>
      </c>
      <c r="B12031" t="s">
        <v>1934</v>
      </c>
      <c r="C12031" t="s">
        <v>14906</v>
      </c>
      <c r="D12031" t="s">
        <v>16644</v>
      </c>
      <c r="E12031" t="s">
        <v>27101</v>
      </c>
      <c r="F12031" t="s">
        <v>28669</v>
      </c>
      <c r="G12031" t="s">
        <v>28676</v>
      </c>
      <c r="H12031" t="s">
        <v>9998</v>
      </c>
      <c r="I12031" t="s">
        <v>28698</v>
      </c>
      <c r="J12031" t="s">
        <v>32215</v>
      </c>
      <c r="K12031" t="s">
        <v>37238</v>
      </c>
      <c r="M12031" t="s">
        <v>39561</v>
      </c>
      <c r="N12031" t="s">
        <v>41249</v>
      </c>
      <c r="O12031" t="s">
        <v>41250</v>
      </c>
      <c r="Q12031">
        <v>0</v>
      </c>
      <c r="R12031" t="s">
        <v>41266</v>
      </c>
      <c r="S12031" t="s">
        <v>42015</v>
      </c>
      <c r="T12031" t="s">
        <v>42729</v>
      </c>
      <c r="U12031" t="s">
        <v>52831</v>
      </c>
      <c r="W12031" t="s">
        <v>39561</v>
      </c>
      <c r="X12031" t="s">
        <v>41267</v>
      </c>
    </row>
    <row r="12032" spans="1:24">
      <c r="A12032">
        <f>HYPERLINK("https://www.philgeps.gov.ph/GEPSNONPILOT/Tender/SplashBidNoticeAbstractUI.aspx?menuIndex=3&amp;refID=7048875&amp;Result=3","7048875")</f>
        <v>0</v>
      </c>
      <c r="B12032" t="s">
        <v>3114</v>
      </c>
      <c r="C12032" t="s">
        <v>14907</v>
      </c>
      <c r="D12032" t="s">
        <v>16648</v>
      </c>
      <c r="E12032" t="s">
        <v>27102</v>
      </c>
      <c r="F12032" t="s">
        <v>28669</v>
      </c>
      <c r="G12032" t="s">
        <v>28675</v>
      </c>
      <c r="H12032" t="s">
        <v>28686</v>
      </c>
      <c r="I12032" t="s">
        <v>28689</v>
      </c>
      <c r="J12032" t="s">
        <v>36181</v>
      </c>
      <c r="K12032" t="s">
        <v>37472</v>
      </c>
      <c r="L12032" t="s">
        <v>3114</v>
      </c>
      <c r="M12032" t="s">
        <v>40902</v>
      </c>
      <c r="N12032" t="s">
        <v>41249</v>
      </c>
      <c r="O12032" t="s">
        <v>41250</v>
      </c>
      <c r="Q12032">
        <v>4</v>
      </c>
      <c r="R12032" t="s">
        <v>41266</v>
      </c>
      <c r="S12032" t="s">
        <v>42018</v>
      </c>
      <c r="T12032" t="s">
        <v>42673</v>
      </c>
      <c r="U12032" t="s">
        <v>52843</v>
      </c>
      <c r="W12032" t="s">
        <v>40902</v>
      </c>
      <c r="X12032" t="s">
        <v>41267</v>
      </c>
    </row>
    <row r="12033" spans="1:24">
      <c r="A12033">
        <f>HYPERLINK("https://www.philgeps.gov.ph/GEPSNONPILOT/Tender/SplashBidNoticeAbstractUI.aspx?menuIndex=3&amp;refID=7048870&amp;Result=3","7048870")</f>
        <v>0</v>
      </c>
      <c r="B12033" t="s">
        <v>1503</v>
      </c>
      <c r="C12033" t="s">
        <v>14908</v>
      </c>
      <c r="D12033" t="s">
        <v>16666</v>
      </c>
      <c r="E12033" t="s">
        <v>27103</v>
      </c>
      <c r="F12033" t="s">
        <v>28669</v>
      </c>
      <c r="G12033" t="s">
        <v>28675</v>
      </c>
      <c r="H12033" t="s">
        <v>9998</v>
      </c>
      <c r="I12033" t="s">
        <v>28687</v>
      </c>
      <c r="J12033" t="s">
        <v>36192</v>
      </c>
      <c r="K12033" t="s">
        <v>37221</v>
      </c>
      <c r="M12033" t="s">
        <v>39076</v>
      </c>
      <c r="N12033" t="s">
        <v>41249</v>
      </c>
      <c r="O12033" t="s">
        <v>41250</v>
      </c>
      <c r="Q12033">
        <v>8</v>
      </c>
      <c r="R12033" t="s">
        <v>41266</v>
      </c>
      <c r="S12033" t="s">
        <v>42019</v>
      </c>
      <c r="T12033" t="s">
        <v>42686</v>
      </c>
      <c r="U12033" t="s">
        <v>50233</v>
      </c>
      <c r="W12033" t="s">
        <v>55959</v>
      </c>
      <c r="X12033" t="s">
        <v>41267</v>
      </c>
    </row>
    <row r="12034" spans="1:24">
      <c r="A12034">
        <f>HYPERLINK("https://www.philgeps.gov.ph/GEPSNONPILOT/Tender/SplashBidNoticeAbstractUI.aspx?menuIndex=3&amp;refID=7048563&amp;Result=3","7048563")</f>
        <v>0</v>
      </c>
      <c r="B12034" t="s">
        <v>1356</v>
      </c>
      <c r="C12034" t="s">
        <v>14909</v>
      </c>
      <c r="D12034" t="s">
        <v>16681</v>
      </c>
      <c r="E12034" t="s">
        <v>18170</v>
      </c>
      <c r="F12034" t="s">
        <v>28669</v>
      </c>
      <c r="G12034" t="s">
        <v>28675</v>
      </c>
      <c r="H12034" t="s">
        <v>28686</v>
      </c>
      <c r="I12034" t="s">
        <v>28689</v>
      </c>
      <c r="J12034" t="s">
        <v>36193</v>
      </c>
      <c r="K12034" t="s">
        <v>37231</v>
      </c>
      <c r="M12034" t="s">
        <v>38912</v>
      </c>
      <c r="N12034" t="s">
        <v>41249</v>
      </c>
      <c r="O12034" t="s">
        <v>41250</v>
      </c>
      <c r="P12034">
        <v>0</v>
      </c>
      <c r="Q12034">
        <v>0</v>
      </c>
      <c r="R12034" t="s">
        <v>41266</v>
      </c>
      <c r="S12034" t="s">
        <v>41978</v>
      </c>
      <c r="T12034" t="s">
        <v>42962</v>
      </c>
      <c r="U12034" t="s">
        <v>52844</v>
      </c>
      <c r="V12034" t="s">
        <v>55694</v>
      </c>
      <c r="W12034" t="s">
        <v>38912</v>
      </c>
      <c r="X12034" t="s">
        <v>41267</v>
      </c>
    </row>
    <row r="12035" spans="1:24">
      <c r="A12035">
        <f>HYPERLINK("https://www.philgeps.gov.ph/GEPSNONPILOT/Tender/SplashBidNoticeAbstractUI.aspx?menuIndex=3&amp;refID=7048746&amp;Result=3","7048746")</f>
        <v>0</v>
      </c>
      <c r="B12035" t="s">
        <v>3114</v>
      </c>
      <c r="C12035" t="s">
        <v>14910</v>
      </c>
      <c r="D12035" t="s">
        <v>16664</v>
      </c>
      <c r="E12035" t="s">
        <v>27104</v>
      </c>
      <c r="F12035" t="s">
        <v>28669</v>
      </c>
      <c r="G12035" t="s">
        <v>28675</v>
      </c>
      <c r="H12035" t="s">
        <v>28686</v>
      </c>
      <c r="I12035" t="s">
        <v>28689</v>
      </c>
      <c r="J12035" t="s">
        <v>36181</v>
      </c>
      <c r="K12035" t="s">
        <v>37472</v>
      </c>
      <c r="L12035" t="s">
        <v>3114</v>
      </c>
      <c r="M12035" t="s">
        <v>40902</v>
      </c>
      <c r="N12035" t="s">
        <v>41249</v>
      </c>
      <c r="O12035" t="s">
        <v>41250</v>
      </c>
      <c r="Q12035">
        <v>6</v>
      </c>
      <c r="R12035" t="s">
        <v>41266</v>
      </c>
      <c r="S12035" t="s">
        <v>42020</v>
      </c>
      <c r="T12035" t="s">
        <v>42673</v>
      </c>
      <c r="U12035" t="s">
        <v>52845</v>
      </c>
      <c r="W12035" t="s">
        <v>40902</v>
      </c>
      <c r="X12035" t="s">
        <v>41267</v>
      </c>
    </row>
    <row r="12036" spans="1:24">
      <c r="A12036">
        <f>HYPERLINK("https://www.philgeps.gov.ph/GEPSNONPILOT/Tender/SplashBidNoticeAbstractUI.aspx?menuIndex=3&amp;refID=7048913&amp;Result=3","7048913")</f>
        <v>0</v>
      </c>
      <c r="B12036" t="s">
        <v>1503</v>
      </c>
      <c r="C12036" t="s">
        <v>14911</v>
      </c>
      <c r="D12036" t="s">
        <v>16666</v>
      </c>
      <c r="E12036" t="s">
        <v>27105</v>
      </c>
      <c r="F12036" t="s">
        <v>28669</v>
      </c>
      <c r="G12036" t="s">
        <v>28675</v>
      </c>
      <c r="H12036" t="s">
        <v>9998</v>
      </c>
      <c r="I12036" t="s">
        <v>28728</v>
      </c>
      <c r="J12036" t="s">
        <v>36194</v>
      </c>
      <c r="K12036" t="s">
        <v>37221</v>
      </c>
      <c r="M12036" t="s">
        <v>39076</v>
      </c>
      <c r="N12036" t="s">
        <v>41249</v>
      </c>
      <c r="O12036" t="s">
        <v>41250</v>
      </c>
      <c r="Q12036">
        <v>2</v>
      </c>
      <c r="R12036" t="s">
        <v>41266</v>
      </c>
      <c r="S12036" t="s">
        <v>42021</v>
      </c>
      <c r="T12036" t="s">
        <v>42686</v>
      </c>
      <c r="U12036" t="s">
        <v>46562</v>
      </c>
      <c r="W12036" t="s">
        <v>55959</v>
      </c>
      <c r="X12036" t="s">
        <v>41267</v>
      </c>
    </row>
    <row r="12037" spans="1:24">
      <c r="A12037">
        <f>HYPERLINK("https://www.philgeps.gov.ph/GEPSNONPILOT/Tender/SplashBidNoticeAbstractUI.aspx?menuIndex=3&amp;refID=7048893&amp;Result=3","7048893")</f>
        <v>0</v>
      </c>
      <c r="B12037" t="s">
        <v>404</v>
      </c>
      <c r="C12037" t="s">
        <v>14912</v>
      </c>
      <c r="D12037" t="s">
        <v>16633</v>
      </c>
      <c r="E12037" t="s">
        <v>27106</v>
      </c>
      <c r="F12037" t="s">
        <v>28669</v>
      </c>
      <c r="G12037" t="s">
        <v>28675</v>
      </c>
      <c r="H12037" t="s">
        <v>9998</v>
      </c>
      <c r="I12037" t="s">
        <v>28710</v>
      </c>
      <c r="J12037" t="s">
        <v>29669</v>
      </c>
      <c r="K12037" t="s">
        <v>37206</v>
      </c>
      <c r="M12037" t="s">
        <v>37889</v>
      </c>
      <c r="N12037" t="s">
        <v>41249</v>
      </c>
      <c r="O12037" t="s">
        <v>41250</v>
      </c>
      <c r="P12037">
        <v>0</v>
      </c>
      <c r="Q12037">
        <v>10</v>
      </c>
      <c r="R12037" t="s">
        <v>41266</v>
      </c>
      <c r="S12037" t="s">
        <v>41978</v>
      </c>
      <c r="T12037" t="s">
        <v>42742</v>
      </c>
      <c r="U12037" t="s">
        <v>52846</v>
      </c>
      <c r="W12037" t="s">
        <v>37889</v>
      </c>
      <c r="X12037" t="s">
        <v>41267</v>
      </c>
    </row>
    <row r="12038" spans="1:24">
      <c r="A12038">
        <f>HYPERLINK("https://www.philgeps.gov.ph/GEPSNONPILOT/Tender/SplashBidNoticeAbstractUI.aspx?menuIndex=3&amp;refID=7048918&amp;Result=3","7048918")</f>
        <v>0</v>
      </c>
      <c r="B12038" t="s">
        <v>575</v>
      </c>
      <c r="C12038" t="s">
        <v>14913</v>
      </c>
      <c r="D12038" t="s">
        <v>16660</v>
      </c>
      <c r="E12038" t="s">
        <v>27107</v>
      </c>
      <c r="F12038" t="s">
        <v>28669</v>
      </c>
      <c r="G12038" t="s">
        <v>28675</v>
      </c>
      <c r="H12038" t="s">
        <v>9998</v>
      </c>
      <c r="I12038" t="s">
        <v>7352</v>
      </c>
      <c r="J12038" t="s">
        <v>36195</v>
      </c>
      <c r="K12038" t="s">
        <v>37209</v>
      </c>
      <c r="M12038" t="s">
        <v>38074</v>
      </c>
      <c r="N12038" t="s">
        <v>41249</v>
      </c>
      <c r="O12038" t="s">
        <v>41250</v>
      </c>
      <c r="P12038">
        <v>0</v>
      </c>
      <c r="Q12038">
        <v>7</v>
      </c>
      <c r="R12038" t="s">
        <v>41266</v>
      </c>
      <c r="S12038" t="s">
        <v>41978</v>
      </c>
      <c r="T12038" t="s">
        <v>42671</v>
      </c>
      <c r="U12038" t="s">
        <v>47553</v>
      </c>
      <c r="W12038" t="s">
        <v>38074</v>
      </c>
      <c r="X12038" t="s">
        <v>41267</v>
      </c>
    </row>
    <row r="12039" spans="1:24">
      <c r="A12039">
        <f>HYPERLINK("https://www.philgeps.gov.ph/GEPSNONPILOT/Tender/SplashBidNoticeAbstractUI.aspx?menuIndex=3&amp;refID=7048451&amp;Result=3","7048451")</f>
        <v>0</v>
      </c>
      <c r="B12039" t="s">
        <v>3198</v>
      </c>
      <c r="C12039" t="s">
        <v>11078</v>
      </c>
      <c r="D12039" t="s">
        <v>16637</v>
      </c>
      <c r="E12039" t="s">
        <v>27108</v>
      </c>
      <c r="F12039" t="s">
        <v>28669</v>
      </c>
      <c r="G12039" t="s">
        <v>28675</v>
      </c>
      <c r="H12039" t="s">
        <v>28686</v>
      </c>
      <c r="I12039" t="s">
        <v>28689</v>
      </c>
      <c r="J12039" t="s">
        <v>29112</v>
      </c>
      <c r="K12039" t="s">
        <v>37212</v>
      </c>
      <c r="M12039" t="s">
        <v>41004</v>
      </c>
      <c r="N12039" t="s">
        <v>41249</v>
      </c>
      <c r="O12039" t="s">
        <v>41250</v>
      </c>
      <c r="P12039">
        <v>0</v>
      </c>
      <c r="Q12039">
        <v>2</v>
      </c>
      <c r="R12039" t="s">
        <v>41266</v>
      </c>
      <c r="S12039" t="s">
        <v>41978</v>
      </c>
      <c r="T12039" t="s">
        <v>42856</v>
      </c>
      <c r="U12039" t="s">
        <v>52847</v>
      </c>
      <c r="W12039" t="s">
        <v>41004</v>
      </c>
      <c r="X12039" t="s">
        <v>41267</v>
      </c>
    </row>
    <row r="12040" spans="1:24">
      <c r="A12040">
        <f>HYPERLINK("https://www.philgeps.gov.ph/GEPSNONPILOT/Tender/SplashBidNoticeAbstractUI.aspx?menuIndex=3&amp;refID=7048841&amp;Result=3","7048841")</f>
        <v>0</v>
      </c>
      <c r="B12040" t="s">
        <v>3199</v>
      </c>
      <c r="C12040" t="s">
        <v>14914</v>
      </c>
      <c r="D12040" t="s">
        <v>16624</v>
      </c>
      <c r="E12040" t="s">
        <v>27109</v>
      </c>
      <c r="F12040" t="s">
        <v>28669</v>
      </c>
      <c r="G12040" t="s">
        <v>28675</v>
      </c>
      <c r="H12040" t="s">
        <v>9998</v>
      </c>
      <c r="I12040" t="s">
        <v>7352</v>
      </c>
      <c r="J12040" t="s">
        <v>36196</v>
      </c>
      <c r="K12040" t="s">
        <v>37205</v>
      </c>
      <c r="M12040" t="s">
        <v>41005</v>
      </c>
      <c r="N12040" t="s">
        <v>41249</v>
      </c>
      <c r="O12040" t="s">
        <v>41250</v>
      </c>
      <c r="P12040">
        <v>0</v>
      </c>
      <c r="Q12040">
        <v>0</v>
      </c>
      <c r="R12040" t="s">
        <v>41266</v>
      </c>
      <c r="S12040" t="s">
        <v>41978</v>
      </c>
      <c r="T12040" t="s">
        <v>42703</v>
      </c>
      <c r="U12040" t="s">
        <v>52848</v>
      </c>
      <c r="W12040" t="s">
        <v>41005</v>
      </c>
      <c r="X12040" t="s">
        <v>41267</v>
      </c>
    </row>
    <row r="12041" spans="1:24">
      <c r="A12041">
        <f>HYPERLINK("https://www.philgeps.gov.ph/GEPSNONPILOT/Tender/SplashBidNoticeAbstractUI.aspx?menuIndex=3&amp;refID=7048805&amp;Result=3","7048805")</f>
        <v>0</v>
      </c>
      <c r="B12041" t="s">
        <v>1327</v>
      </c>
      <c r="C12041" t="s">
        <v>14915</v>
      </c>
      <c r="D12041" t="s">
        <v>16627</v>
      </c>
      <c r="E12041" t="s">
        <v>27110</v>
      </c>
      <c r="F12041" t="s">
        <v>28669</v>
      </c>
      <c r="G12041" t="s">
        <v>28675</v>
      </c>
      <c r="H12041" t="s">
        <v>9998</v>
      </c>
      <c r="I12041" t="s">
        <v>28707</v>
      </c>
      <c r="J12041" t="s">
        <v>36197</v>
      </c>
      <c r="K12041" t="s">
        <v>37213</v>
      </c>
      <c r="M12041" t="s">
        <v>39006</v>
      </c>
      <c r="N12041" t="s">
        <v>41249</v>
      </c>
      <c r="O12041" t="s">
        <v>41250</v>
      </c>
      <c r="P12041">
        <v>0</v>
      </c>
      <c r="Q12041">
        <v>6</v>
      </c>
      <c r="R12041" t="s">
        <v>41266</v>
      </c>
      <c r="S12041" t="s">
        <v>41978</v>
      </c>
      <c r="T12041" t="s">
        <v>42876</v>
      </c>
      <c r="U12041" t="s">
        <v>52849</v>
      </c>
      <c r="W12041" t="s">
        <v>39006</v>
      </c>
      <c r="X12041" t="s">
        <v>41267</v>
      </c>
    </row>
    <row r="12042" spans="1:24">
      <c r="A12042">
        <f>HYPERLINK("https://www.philgeps.gov.ph/GEPSNONPILOT/Tender/SplashBidNoticeAbstractUI.aspx?menuIndex=3&amp;refID=7048799&amp;Result=3","7048799")</f>
        <v>0</v>
      </c>
      <c r="B12042" t="s">
        <v>3114</v>
      </c>
      <c r="C12042" t="s">
        <v>14916</v>
      </c>
      <c r="D12042" t="s">
        <v>16687</v>
      </c>
      <c r="E12042" t="s">
        <v>27111</v>
      </c>
      <c r="F12042" t="s">
        <v>28669</v>
      </c>
      <c r="G12042" t="s">
        <v>28675</v>
      </c>
      <c r="H12042" t="s">
        <v>28686</v>
      </c>
      <c r="I12042" t="s">
        <v>28689</v>
      </c>
      <c r="J12042" t="s">
        <v>36181</v>
      </c>
      <c r="K12042" t="s">
        <v>37472</v>
      </c>
      <c r="L12042" t="s">
        <v>3114</v>
      </c>
      <c r="M12042" t="s">
        <v>40902</v>
      </c>
      <c r="N12042" t="s">
        <v>41249</v>
      </c>
      <c r="O12042" t="s">
        <v>41250</v>
      </c>
      <c r="Q12042">
        <v>4</v>
      </c>
      <c r="R12042" t="s">
        <v>41266</v>
      </c>
      <c r="S12042" t="s">
        <v>42022</v>
      </c>
      <c r="T12042" t="s">
        <v>42673</v>
      </c>
      <c r="U12042" t="s">
        <v>52850</v>
      </c>
      <c r="W12042" t="s">
        <v>40902</v>
      </c>
      <c r="X12042" t="s">
        <v>41267</v>
      </c>
    </row>
    <row r="12043" spans="1:24">
      <c r="A12043">
        <f>HYPERLINK("https://www.philgeps.gov.ph/GEPSNONPILOT/Tender/SplashBidNoticeAbstractUI.aspx?menuIndex=3&amp;refID=7048889&amp;Result=3","7048889")</f>
        <v>0</v>
      </c>
      <c r="B12043" t="s">
        <v>2970</v>
      </c>
      <c r="C12043" t="s">
        <v>14917</v>
      </c>
      <c r="D12043" t="s">
        <v>16630</v>
      </c>
      <c r="E12043" t="s">
        <v>27112</v>
      </c>
      <c r="F12043" t="s">
        <v>28669</v>
      </c>
      <c r="G12043" t="s">
        <v>28675</v>
      </c>
      <c r="H12043" t="s">
        <v>9998</v>
      </c>
      <c r="I12043" t="s">
        <v>28687</v>
      </c>
      <c r="J12043" t="s">
        <v>34206</v>
      </c>
      <c r="K12043" t="s">
        <v>37220</v>
      </c>
      <c r="M12043" t="s">
        <v>40732</v>
      </c>
      <c r="N12043" t="s">
        <v>41249</v>
      </c>
      <c r="O12043" t="s">
        <v>41250</v>
      </c>
      <c r="P12043">
        <v>0</v>
      </c>
      <c r="Q12043">
        <v>6</v>
      </c>
      <c r="R12043" t="s">
        <v>41266</v>
      </c>
      <c r="S12043" t="s">
        <v>41978</v>
      </c>
      <c r="T12043" t="s">
        <v>42679</v>
      </c>
      <c r="U12043" t="s">
        <v>52851</v>
      </c>
      <c r="W12043" t="s">
        <v>40732</v>
      </c>
      <c r="X12043" t="s">
        <v>41267</v>
      </c>
    </row>
    <row r="12044" spans="1:24">
      <c r="A12044">
        <f>HYPERLINK("https://www.philgeps.gov.ph/GEPSNONPILOT/Tender/SplashBidNoticeAbstractUI.aspx?menuIndex=3&amp;refID=7048886&amp;Result=3","7048886")</f>
        <v>0</v>
      </c>
      <c r="B12044" t="s">
        <v>2768</v>
      </c>
      <c r="C12044" t="s">
        <v>14918</v>
      </c>
      <c r="D12044" t="s">
        <v>16621</v>
      </c>
      <c r="E12044" t="s">
        <v>27113</v>
      </c>
      <c r="F12044" t="s">
        <v>28669</v>
      </c>
      <c r="G12044" t="s">
        <v>28675</v>
      </c>
      <c r="H12044" t="s">
        <v>9998</v>
      </c>
      <c r="I12044" t="s">
        <v>28693</v>
      </c>
      <c r="J12044" t="s">
        <v>36198</v>
      </c>
      <c r="K12044" t="s">
        <v>37213</v>
      </c>
      <c r="M12044" t="s">
        <v>40488</v>
      </c>
      <c r="N12044" t="s">
        <v>41249</v>
      </c>
      <c r="O12044" t="s">
        <v>41250</v>
      </c>
      <c r="Q12044">
        <v>46</v>
      </c>
      <c r="R12044" t="s">
        <v>41266</v>
      </c>
      <c r="S12044" t="s">
        <v>42023</v>
      </c>
      <c r="T12044" t="s">
        <v>43143</v>
      </c>
      <c r="U12044" t="s">
        <v>50794</v>
      </c>
      <c r="V12044" t="s">
        <v>55303</v>
      </c>
      <c r="W12044" t="s">
        <v>40488</v>
      </c>
      <c r="X12044" t="s">
        <v>41267</v>
      </c>
    </row>
    <row r="12045" spans="1:24">
      <c r="A12045">
        <f>HYPERLINK("https://www.philgeps.gov.ph/GEPSNONPILOT/Tender/SplashBidNoticeAbstractUI.aspx?menuIndex=3&amp;refID=7048766&amp;Result=3","7048766")</f>
        <v>0</v>
      </c>
      <c r="B12045" t="s">
        <v>2211</v>
      </c>
      <c r="C12045" t="s">
        <v>14919</v>
      </c>
      <c r="D12045" t="s">
        <v>16668</v>
      </c>
      <c r="E12045" t="s">
        <v>27114</v>
      </c>
      <c r="F12045" t="s">
        <v>28669</v>
      </c>
      <c r="G12045" t="s">
        <v>28675</v>
      </c>
      <c r="H12045" t="s">
        <v>28686</v>
      </c>
      <c r="I12045" t="s">
        <v>28689</v>
      </c>
      <c r="J12045" t="s">
        <v>34467</v>
      </c>
      <c r="K12045" t="s">
        <v>37257</v>
      </c>
      <c r="M12045" t="s">
        <v>39862</v>
      </c>
      <c r="N12045" t="s">
        <v>41249</v>
      </c>
      <c r="O12045" t="s">
        <v>41250</v>
      </c>
      <c r="P12045">
        <v>0</v>
      </c>
      <c r="Q12045">
        <v>0</v>
      </c>
      <c r="R12045" t="s">
        <v>41266</v>
      </c>
      <c r="S12045" t="s">
        <v>41978</v>
      </c>
      <c r="T12045" t="s">
        <v>42754</v>
      </c>
      <c r="U12045" t="s">
        <v>52852</v>
      </c>
      <c r="W12045" t="s">
        <v>39862</v>
      </c>
      <c r="X12045" t="s">
        <v>41267</v>
      </c>
    </row>
    <row r="12046" spans="1:24">
      <c r="A12046">
        <f>HYPERLINK("https://www.philgeps.gov.ph/GEPSNONPILOT/Tender/SplashBidNoticeAbstractUI.aspx?menuIndex=3&amp;refID=7048942&amp;Result=3","7048942")</f>
        <v>0</v>
      </c>
      <c r="B12046" t="s">
        <v>927</v>
      </c>
      <c r="C12046" t="s">
        <v>14920</v>
      </c>
      <c r="D12046" t="s">
        <v>16673</v>
      </c>
      <c r="E12046" t="s">
        <v>27115</v>
      </c>
      <c r="F12046" t="s">
        <v>28669</v>
      </c>
      <c r="G12046" t="s">
        <v>28676</v>
      </c>
      <c r="H12046" t="s">
        <v>9998</v>
      </c>
      <c r="I12046" t="s">
        <v>28704</v>
      </c>
      <c r="J12046" t="s">
        <v>29755</v>
      </c>
      <c r="K12046" t="s">
        <v>37206</v>
      </c>
      <c r="M12046" t="s">
        <v>38449</v>
      </c>
      <c r="N12046" t="s">
        <v>41249</v>
      </c>
      <c r="O12046" t="s">
        <v>41250</v>
      </c>
      <c r="P12046">
        <v>0</v>
      </c>
      <c r="Q12046">
        <v>1</v>
      </c>
      <c r="R12046" t="s">
        <v>41266</v>
      </c>
      <c r="S12046" t="s">
        <v>41978</v>
      </c>
      <c r="T12046" t="s">
        <v>42711</v>
      </c>
      <c r="U12046" t="s">
        <v>52853</v>
      </c>
      <c r="W12046" t="s">
        <v>38449</v>
      </c>
      <c r="X12046" t="s">
        <v>41267</v>
      </c>
    </row>
    <row r="12047" spans="1:24">
      <c r="A12047">
        <f>HYPERLINK("https://www.philgeps.gov.ph/GEPSNONPILOT/Tender/SplashBidNoticeAbstractUI.aspx?menuIndex=3&amp;refID=7049078&amp;Result=3","7049078")</f>
        <v>0</v>
      </c>
      <c r="B12047" t="s">
        <v>2382</v>
      </c>
      <c r="C12047" t="s">
        <v>14921</v>
      </c>
      <c r="D12047" t="s">
        <v>16626</v>
      </c>
      <c r="E12047" t="s">
        <v>17835</v>
      </c>
      <c r="F12047" t="s">
        <v>28669</v>
      </c>
      <c r="G12047" t="s">
        <v>28676</v>
      </c>
      <c r="H12047" t="s">
        <v>9998</v>
      </c>
      <c r="I12047" t="s">
        <v>28814</v>
      </c>
      <c r="J12047" t="s">
        <v>29404</v>
      </c>
      <c r="K12047" t="s">
        <v>37234</v>
      </c>
      <c r="M12047" t="s">
        <v>40055</v>
      </c>
      <c r="N12047" t="s">
        <v>41249</v>
      </c>
      <c r="O12047" t="s">
        <v>41250</v>
      </c>
      <c r="P12047">
        <v>0</v>
      </c>
      <c r="Q12047">
        <v>0</v>
      </c>
      <c r="R12047" t="s">
        <v>41266</v>
      </c>
      <c r="S12047" t="s">
        <v>41978</v>
      </c>
      <c r="T12047" t="s">
        <v>42748</v>
      </c>
      <c r="U12047" t="s">
        <v>52854</v>
      </c>
      <c r="W12047" t="s">
        <v>40055</v>
      </c>
      <c r="X12047" t="s">
        <v>41267</v>
      </c>
    </row>
    <row r="12048" spans="1:24">
      <c r="A12048">
        <f>HYPERLINK("https://www.philgeps.gov.ph/GEPSNONPILOT/Tender/SplashBidNoticeAbstractUI.aspx?menuIndex=3&amp;refID=7048844&amp;Result=3","7048844")</f>
        <v>0</v>
      </c>
      <c r="B12048" t="s">
        <v>3114</v>
      </c>
      <c r="C12048" t="s">
        <v>14922</v>
      </c>
      <c r="D12048" t="s">
        <v>16627</v>
      </c>
      <c r="E12048" t="s">
        <v>27116</v>
      </c>
      <c r="F12048" t="s">
        <v>28669</v>
      </c>
      <c r="G12048" t="s">
        <v>28675</v>
      </c>
      <c r="H12048" t="s">
        <v>28686</v>
      </c>
      <c r="I12048" t="s">
        <v>28689</v>
      </c>
      <c r="J12048" t="s">
        <v>36181</v>
      </c>
      <c r="K12048" t="s">
        <v>37472</v>
      </c>
      <c r="L12048" t="s">
        <v>3114</v>
      </c>
      <c r="M12048" t="s">
        <v>40902</v>
      </c>
      <c r="N12048" t="s">
        <v>41249</v>
      </c>
      <c r="O12048" t="s">
        <v>41250</v>
      </c>
      <c r="Q12048">
        <v>7</v>
      </c>
      <c r="R12048" t="s">
        <v>41266</v>
      </c>
      <c r="S12048" t="s">
        <v>42024</v>
      </c>
      <c r="T12048" t="s">
        <v>42673</v>
      </c>
      <c r="U12048" t="s">
        <v>52855</v>
      </c>
      <c r="W12048" t="s">
        <v>40902</v>
      </c>
      <c r="X12048" t="s">
        <v>41267</v>
      </c>
    </row>
    <row r="12049" spans="1:24">
      <c r="A12049">
        <f>HYPERLINK("https://www.philgeps.gov.ph/GEPSNONPILOT/Tender/SplashBidNoticeAbstractUI.aspx?menuIndex=3&amp;refID=7048812&amp;Result=3","7048812")</f>
        <v>0</v>
      </c>
      <c r="B12049" t="s">
        <v>188</v>
      </c>
      <c r="C12049" t="s">
        <v>14923</v>
      </c>
      <c r="D12049" t="s">
        <v>16664</v>
      </c>
      <c r="E12049" t="s">
        <v>27117</v>
      </c>
      <c r="F12049" t="s">
        <v>28669</v>
      </c>
      <c r="G12049" t="s">
        <v>28675</v>
      </c>
      <c r="H12049" t="s">
        <v>9998</v>
      </c>
      <c r="I12049" t="s">
        <v>28687</v>
      </c>
      <c r="J12049" t="s">
        <v>29059</v>
      </c>
      <c r="K12049" t="s">
        <v>37206</v>
      </c>
      <c r="M12049" t="s">
        <v>37666</v>
      </c>
      <c r="N12049" t="s">
        <v>41249</v>
      </c>
      <c r="O12049" t="s">
        <v>41250</v>
      </c>
      <c r="P12049">
        <v>0</v>
      </c>
      <c r="Q12049">
        <v>9</v>
      </c>
      <c r="R12049" t="s">
        <v>41266</v>
      </c>
      <c r="S12049" t="s">
        <v>41978</v>
      </c>
      <c r="T12049" t="s">
        <v>42687</v>
      </c>
      <c r="U12049" t="s">
        <v>52856</v>
      </c>
      <c r="W12049" t="s">
        <v>37666</v>
      </c>
      <c r="X12049" t="s">
        <v>41267</v>
      </c>
    </row>
    <row r="12050" spans="1:24">
      <c r="A12050">
        <f>HYPERLINK("https://www.philgeps.gov.ph/GEPSNONPILOT/Tender/SplashBidNoticeAbstractUI.aspx?menuIndex=3&amp;refID=7049061&amp;Result=3","7049061")</f>
        <v>0</v>
      </c>
      <c r="B12050" t="s">
        <v>2892</v>
      </c>
      <c r="C12050" t="s">
        <v>14924</v>
      </c>
      <c r="D12050" t="s">
        <v>16622</v>
      </c>
      <c r="E12050" t="s">
        <v>27118</v>
      </c>
      <c r="F12050" t="s">
        <v>28669</v>
      </c>
      <c r="G12050" t="s">
        <v>28675</v>
      </c>
      <c r="H12050" t="s">
        <v>28686</v>
      </c>
      <c r="I12050" t="s">
        <v>28689</v>
      </c>
      <c r="J12050" t="s">
        <v>36199</v>
      </c>
      <c r="K12050" t="s">
        <v>37474</v>
      </c>
      <c r="M12050" t="s">
        <v>40639</v>
      </c>
      <c r="N12050" t="s">
        <v>41249</v>
      </c>
      <c r="O12050" t="s">
        <v>41250</v>
      </c>
      <c r="P12050">
        <v>0</v>
      </c>
      <c r="Q12050">
        <v>0</v>
      </c>
      <c r="R12050" t="s">
        <v>41266</v>
      </c>
      <c r="S12050" t="s">
        <v>41978</v>
      </c>
      <c r="T12050" t="s">
        <v>42729</v>
      </c>
      <c r="U12050" t="s">
        <v>52857</v>
      </c>
      <c r="W12050" t="s">
        <v>40639</v>
      </c>
      <c r="X12050" t="s">
        <v>41267</v>
      </c>
    </row>
    <row r="12051" spans="1:24">
      <c r="A12051">
        <f>HYPERLINK("https://www.philgeps.gov.ph/GEPSNONPILOT/Tender/SplashBidNoticeAbstractUI.aspx?menuIndex=3&amp;refID=7049058&amp;Result=3","7049058")</f>
        <v>0</v>
      </c>
      <c r="B12051" t="s">
        <v>564</v>
      </c>
      <c r="C12051" t="s">
        <v>14925</v>
      </c>
      <c r="D12051" t="s">
        <v>16627</v>
      </c>
      <c r="E12051" t="s">
        <v>27119</v>
      </c>
      <c r="F12051" t="s">
        <v>28669</v>
      </c>
      <c r="G12051" t="s">
        <v>28675</v>
      </c>
      <c r="H12051" t="s">
        <v>28686</v>
      </c>
      <c r="I12051" t="s">
        <v>28689</v>
      </c>
      <c r="J12051" t="s">
        <v>36200</v>
      </c>
      <c r="K12051" t="s">
        <v>37475</v>
      </c>
      <c r="M12051" t="s">
        <v>38060</v>
      </c>
      <c r="N12051" t="s">
        <v>41249</v>
      </c>
      <c r="O12051" t="s">
        <v>41250</v>
      </c>
      <c r="P12051">
        <v>0</v>
      </c>
      <c r="Q12051">
        <v>1</v>
      </c>
      <c r="R12051" t="s">
        <v>41266</v>
      </c>
      <c r="S12051" t="s">
        <v>41978</v>
      </c>
      <c r="T12051" t="s">
        <v>42673</v>
      </c>
      <c r="U12051" t="s">
        <v>52858</v>
      </c>
      <c r="V12051" t="s">
        <v>54383</v>
      </c>
      <c r="W12051" t="s">
        <v>38060</v>
      </c>
      <c r="X12051" t="s">
        <v>41267</v>
      </c>
    </row>
    <row r="12052" spans="1:24">
      <c r="A12052">
        <f>HYPERLINK("https://www.philgeps.gov.ph/GEPSNONPILOT/Tender/SplashBidNoticeAbstractUI.aspx?menuIndex=3&amp;refID=7049068&amp;Result=3","7049068")</f>
        <v>0</v>
      </c>
      <c r="B12052" t="s">
        <v>3183</v>
      </c>
      <c r="C12052" t="s">
        <v>14926</v>
      </c>
      <c r="D12052" t="s">
        <v>16627</v>
      </c>
      <c r="E12052" t="s">
        <v>27120</v>
      </c>
      <c r="F12052" t="s">
        <v>28669</v>
      </c>
      <c r="G12052" t="s">
        <v>28675</v>
      </c>
      <c r="H12052" t="s">
        <v>28686</v>
      </c>
      <c r="I12052" t="s">
        <v>28689</v>
      </c>
      <c r="J12052" t="s">
        <v>29112</v>
      </c>
      <c r="K12052" t="s">
        <v>37231</v>
      </c>
      <c r="L12052" t="s">
        <v>3183</v>
      </c>
      <c r="M12052" t="s">
        <v>40984</v>
      </c>
      <c r="N12052" t="s">
        <v>41249</v>
      </c>
      <c r="O12052" t="s">
        <v>41250</v>
      </c>
      <c r="P12052">
        <v>0</v>
      </c>
      <c r="Q12052">
        <v>2</v>
      </c>
      <c r="R12052" t="s">
        <v>41266</v>
      </c>
      <c r="S12052" t="s">
        <v>41978</v>
      </c>
      <c r="T12052" t="s">
        <v>42714</v>
      </c>
      <c r="U12052" t="s">
        <v>52859</v>
      </c>
      <c r="W12052" t="s">
        <v>40984</v>
      </c>
      <c r="X12052" t="s">
        <v>41267</v>
      </c>
    </row>
    <row r="12053" spans="1:24">
      <c r="A12053">
        <f>HYPERLINK("https://www.philgeps.gov.ph/GEPSNONPILOT/Tender/SplashBidNoticeAbstractUI.aspx?menuIndex=3&amp;refID=7049054&amp;Result=3","7049054")</f>
        <v>0</v>
      </c>
      <c r="B12053" t="s">
        <v>2425</v>
      </c>
      <c r="C12053" t="s">
        <v>14927</v>
      </c>
      <c r="D12053" t="s">
        <v>16619</v>
      </c>
      <c r="E12053" t="s">
        <v>27121</v>
      </c>
      <c r="F12053" t="s">
        <v>28669</v>
      </c>
      <c r="G12053" t="s">
        <v>28675</v>
      </c>
      <c r="H12053" t="s">
        <v>28686</v>
      </c>
      <c r="I12053" t="s">
        <v>28689</v>
      </c>
      <c r="J12053" t="s">
        <v>30289</v>
      </c>
      <c r="K12053" t="s">
        <v>37290</v>
      </c>
      <c r="M12053" t="s">
        <v>40108</v>
      </c>
      <c r="N12053" t="s">
        <v>41249</v>
      </c>
      <c r="O12053" t="s">
        <v>41250</v>
      </c>
      <c r="Q12053">
        <v>1</v>
      </c>
      <c r="R12053" t="s">
        <v>41266</v>
      </c>
      <c r="S12053" t="s">
        <v>42025</v>
      </c>
      <c r="T12053" t="s">
        <v>42679</v>
      </c>
      <c r="U12053" t="s">
        <v>52860</v>
      </c>
      <c r="W12053" t="s">
        <v>40108</v>
      </c>
      <c r="X12053" t="s">
        <v>41267</v>
      </c>
    </row>
    <row r="12054" spans="1:24">
      <c r="A12054">
        <f>HYPERLINK("https://www.philgeps.gov.ph/GEPSNONPILOT/Tender/SplashBidNoticeAbstractUI.aspx?menuIndex=3&amp;refID=7048776&amp;Result=3","7048776")</f>
        <v>0</v>
      </c>
      <c r="B12054" t="s">
        <v>194</v>
      </c>
      <c r="C12054" t="s">
        <v>14928</v>
      </c>
      <c r="D12054" t="s">
        <v>16672</v>
      </c>
      <c r="E12054" t="s">
        <v>27122</v>
      </c>
      <c r="F12054" t="s">
        <v>28669</v>
      </c>
      <c r="G12054" t="s">
        <v>28675</v>
      </c>
      <c r="H12054" t="s">
        <v>28686</v>
      </c>
      <c r="I12054" t="s">
        <v>28689</v>
      </c>
      <c r="J12054" t="s">
        <v>36201</v>
      </c>
      <c r="K12054" t="s">
        <v>37321</v>
      </c>
      <c r="M12054" t="s">
        <v>38181</v>
      </c>
      <c r="N12054" t="s">
        <v>41249</v>
      </c>
      <c r="O12054" t="s">
        <v>41250</v>
      </c>
      <c r="P12054">
        <v>0</v>
      </c>
      <c r="Q12054">
        <v>0</v>
      </c>
      <c r="R12054" t="s">
        <v>41266</v>
      </c>
      <c r="S12054" t="s">
        <v>41978</v>
      </c>
      <c r="T12054" t="s">
        <v>42673</v>
      </c>
      <c r="U12054" t="s">
        <v>52861</v>
      </c>
      <c r="W12054" t="s">
        <v>38181</v>
      </c>
      <c r="X12054" t="s">
        <v>41267</v>
      </c>
    </row>
    <row r="12055" spans="1:24">
      <c r="A12055">
        <f>HYPERLINK("https://www.philgeps.gov.ph/GEPSNONPILOT/Tender/SplashBidNoticeAbstractUI.aspx?menuIndex=3&amp;refID=7049060&amp;Result=3","7049060")</f>
        <v>0</v>
      </c>
      <c r="B12055" t="s">
        <v>2269</v>
      </c>
      <c r="C12055" t="s">
        <v>14929</v>
      </c>
      <c r="D12055" t="s">
        <v>16629</v>
      </c>
      <c r="E12055" t="s">
        <v>27123</v>
      </c>
      <c r="F12055" t="s">
        <v>28669</v>
      </c>
      <c r="G12055" t="s">
        <v>28675</v>
      </c>
      <c r="H12055" t="s">
        <v>28686</v>
      </c>
      <c r="I12055" t="s">
        <v>28689</v>
      </c>
      <c r="J12055" t="s">
        <v>36202</v>
      </c>
      <c r="K12055" t="s">
        <v>37218</v>
      </c>
      <c r="M12055" t="s">
        <v>39924</v>
      </c>
      <c r="N12055" t="s">
        <v>41249</v>
      </c>
      <c r="O12055" t="s">
        <v>41250</v>
      </c>
      <c r="P12055">
        <v>0</v>
      </c>
      <c r="Q12055">
        <v>1</v>
      </c>
      <c r="R12055" t="s">
        <v>41266</v>
      </c>
      <c r="S12055" t="s">
        <v>41978</v>
      </c>
      <c r="T12055" t="s">
        <v>42679</v>
      </c>
      <c r="U12055" t="s">
        <v>52862</v>
      </c>
      <c r="V12055" t="s">
        <v>55695</v>
      </c>
      <c r="W12055" t="s">
        <v>39924</v>
      </c>
      <c r="X12055" t="s">
        <v>41267</v>
      </c>
    </row>
    <row r="12056" spans="1:24">
      <c r="A12056">
        <f>HYPERLINK("https://www.philgeps.gov.ph/GEPSNONPILOT/Tender/SplashBidNoticeAbstractUI.aspx?menuIndex=3&amp;refID=7049024&amp;Result=3","7049024")</f>
        <v>0</v>
      </c>
      <c r="B12056" t="s">
        <v>1327</v>
      </c>
      <c r="C12056" t="s">
        <v>14930</v>
      </c>
      <c r="D12056" t="s">
        <v>16627</v>
      </c>
      <c r="E12056" t="s">
        <v>27124</v>
      </c>
      <c r="F12056" t="s">
        <v>28669</v>
      </c>
      <c r="G12056" t="s">
        <v>28675</v>
      </c>
      <c r="H12056" t="s">
        <v>9998</v>
      </c>
      <c r="I12056" t="s">
        <v>28707</v>
      </c>
      <c r="J12056" t="s">
        <v>36203</v>
      </c>
      <c r="K12056" t="s">
        <v>37213</v>
      </c>
      <c r="M12056" t="s">
        <v>39006</v>
      </c>
      <c r="N12056" t="s">
        <v>41249</v>
      </c>
      <c r="O12056" t="s">
        <v>41250</v>
      </c>
      <c r="P12056">
        <v>0</v>
      </c>
      <c r="Q12056">
        <v>5</v>
      </c>
      <c r="R12056" t="s">
        <v>41266</v>
      </c>
      <c r="S12056" t="s">
        <v>41978</v>
      </c>
      <c r="T12056" t="s">
        <v>42876</v>
      </c>
      <c r="U12056" t="s">
        <v>52849</v>
      </c>
      <c r="W12056" t="s">
        <v>39006</v>
      </c>
      <c r="X12056" t="s">
        <v>41267</v>
      </c>
    </row>
    <row r="12057" spans="1:24">
      <c r="A12057">
        <f>HYPERLINK("https://www.philgeps.gov.ph/GEPSNONPILOT/Tender/SplashBidNoticeAbstractUI.aspx?menuIndex=3&amp;refID=7048808&amp;Result=3","7048808")</f>
        <v>0</v>
      </c>
      <c r="B12057" t="s">
        <v>974</v>
      </c>
      <c r="C12057" t="s">
        <v>14931</v>
      </c>
      <c r="D12057" t="s">
        <v>16621</v>
      </c>
      <c r="E12057" t="s">
        <v>21164</v>
      </c>
      <c r="F12057" t="s">
        <v>28669</v>
      </c>
      <c r="G12057" t="s">
        <v>28675</v>
      </c>
      <c r="H12057" t="s">
        <v>9998</v>
      </c>
      <c r="I12057" t="s">
        <v>28751</v>
      </c>
      <c r="J12057" t="s">
        <v>29203</v>
      </c>
      <c r="K12057" t="s">
        <v>37205</v>
      </c>
      <c r="M12057" t="s">
        <v>40999</v>
      </c>
      <c r="N12057" t="s">
        <v>41249</v>
      </c>
      <c r="O12057" t="s">
        <v>41250</v>
      </c>
      <c r="P12057">
        <v>0</v>
      </c>
      <c r="Q12057">
        <v>2</v>
      </c>
      <c r="R12057" t="s">
        <v>41266</v>
      </c>
      <c r="S12057" t="s">
        <v>41978</v>
      </c>
      <c r="T12057" t="s">
        <v>42717</v>
      </c>
      <c r="U12057" t="s">
        <v>52834</v>
      </c>
      <c r="V12057" t="s">
        <v>55696</v>
      </c>
      <c r="W12057" t="s">
        <v>40999</v>
      </c>
      <c r="X12057" t="s">
        <v>41267</v>
      </c>
    </row>
    <row r="12058" spans="1:24">
      <c r="A12058">
        <f>HYPERLINK("https://www.philgeps.gov.ph/GEPSNONPILOT/Tender/SplashBidNoticeAbstractUI.aspx?menuIndex=3&amp;refID=7049048&amp;Result=3","7049048")</f>
        <v>0</v>
      </c>
      <c r="B12058" t="s">
        <v>3183</v>
      </c>
      <c r="C12058" t="s">
        <v>14932</v>
      </c>
      <c r="D12058" t="s">
        <v>16627</v>
      </c>
      <c r="E12058" t="s">
        <v>27125</v>
      </c>
      <c r="F12058" t="s">
        <v>28669</v>
      </c>
      <c r="G12058" t="s">
        <v>28675</v>
      </c>
      <c r="H12058" t="s">
        <v>28686</v>
      </c>
      <c r="I12058" t="s">
        <v>28689</v>
      </c>
      <c r="J12058" t="s">
        <v>29112</v>
      </c>
      <c r="K12058" t="s">
        <v>37231</v>
      </c>
      <c r="L12058" t="s">
        <v>3183</v>
      </c>
      <c r="M12058" t="s">
        <v>40984</v>
      </c>
      <c r="N12058" t="s">
        <v>41249</v>
      </c>
      <c r="O12058" t="s">
        <v>41250</v>
      </c>
      <c r="P12058">
        <v>0</v>
      </c>
      <c r="Q12058">
        <v>2</v>
      </c>
      <c r="R12058" t="s">
        <v>41266</v>
      </c>
      <c r="S12058" t="s">
        <v>41978</v>
      </c>
      <c r="T12058" t="s">
        <v>42714</v>
      </c>
      <c r="U12058" t="s">
        <v>52859</v>
      </c>
      <c r="W12058" t="s">
        <v>40984</v>
      </c>
      <c r="X12058" t="s">
        <v>41267</v>
      </c>
    </row>
    <row r="12059" spans="1:24">
      <c r="A12059">
        <f>HYPERLINK("https://www.philgeps.gov.ph/GEPSNONPILOT/Tender/SplashBidNoticeAbstractUI.aspx?menuIndex=3&amp;refID=7049014&amp;Result=3","7049014")</f>
        <v>0</v>
      </c>
      <c r="B12059" t="s">
        <v>648</v>
      </c>
      <c r="C12059" t="s">
        <v>14933</v>
      </c>
      <c r="D12059" t="s">
        <v>16648</v>
      </c>
      <c r="E12059" t="s">
        <v>27126</v>
      </c>
      <c r="F12059" t="s">
        <v>28669</v>
      </c>
      <c r="G12059" t="s">
        <v>28675</v>
      </c>
      <c r="H12059" t="s">
        <v>9998</v>
      </c>
      <c r="I12059" t="s">
        <v>28710</v>
      </c>
      <c r="J12059" t="s">
        <v>36204</v>
      </c>
      <c r="K12059" t="s">
        <v>37209</v>
      </c>
      <c r="M12059" t="s">
        <v>41006</v>
      </c>
      <c r="N12059" t="s">
        <v>41249</v>
      </c>
      <c r="O12059" t="s">
        <v>41250</v>
      </c>
      <c r="P12059">
        <v>0</v>
      </c>
      <c r="Q12059">
        <v>0</v>
      </c>
      <c r="R12059" t="s">
        <v>41266</v>
      </c>
      <c r="S12059" t="s">
        <v>41978</v>
      </c>
      <c r="T12059" t="s">
        <v>42679</v>
      </c>
      <c r="U12059" t="s">
        <v>52863</v>
      </c>
      <c r="W12059" t="s">
        <v>41006</v>
      </c>
      <c r="X12059" t="s">
        <v>41267</v>
      </c>
    </row>
    <row r="12060" spans="1:24">
      <c r="A12060">
        <f>HYPERLINK("https://www.philgeps.gov.ph/GEPSNONPILOT/Tender/SplashBidNoticeAbstractUI.aspx?menuIndex=3&amp;refID=7049009&amp;Result=3","7049009")</f>
        <v>0</v>
      </c>
      <c r="B12060" t="s">
        <v>1606</v>
      </c>
      <c r="C12060" t="s">
        <v>14934</v>
      </c>
      <c r="E12060" t="s">
        <v>27127</v>
      </c>
      <c r="F12060" t="s">
        <v>28669</v>
      </c>
      <c r="G12060" t="s">
        <v>28675</v>
      </c>
      <c r="H12060" t="s">
        <v>9998</v>
      </c>
      <c r="I12060" t="s">
        <v>28713</v>
      </c>
      <c r="J12060" t="s">
        <v>29047</v>
      </c>
      <c r="K12060" t="s">
        <v>37209</v>
      </c>
      <c r="M12060" t="s">
        <v>40003</v>
      </c>
      <c r="N12060" t="s">
        <v>41249</v>
      </c>
      <c r="O12060" t="s">
        <v>41250</v>
      </c>
      <c r="Q12060">
        <v>22</v>
      </c>
      <c r="R12060" t="s">
        <v>41266</v>
      </c>
      <c r="S12060" t="s">
        <v>42026</v>
      </c>
      <c r="T12060" t="s">
        <v>42836</v>
      </c>
      <c r="U12060" t="s">
        <v>52864</v>
      </c>
      <c r="W12060" t="s">
        <v>40003</v>
      </c>
      <c r="X12060" t="s">
        <v>41267</v>
      </c>
    </row>
    <row r="12061" spans="1:24">
      <c r="A12061">
        <f>HYPERLINK("https://www.philgeps.gov.ph/GEPSNONPILOT/Tender/SplashBidNoticeAbstractUI.aspx?menuIndex=3&amp;refID=7048979&amp;Result=3","7048979")</f>
        <v>0</v>
      </c>
      <c r="B12061" t="s">
        <v>2470</v>
      </c>
      <c r="C12061" t="s">
        <v>14935</v>
      </c>
      <c r="D12061" t="s">
        <v>16652</v>
      </c>
      <c r="E12061" t="s">
        <v>27128</v>
      </c>
      <c r="F12061" t="s">
        <v>28669</v>
      </c>
      <c r="G12061" t="s">
        <v>28675</v>
      </c>
      <c r="H12061" t="s">
        <v>28686</v>
      </c>
      <c r="I12061" t="s">
        <v>28689</v>
      </c>
      <c r="J12061" t="s">
        <v>36205</v>
      </c>
      <c r="K12061" t="s">
        <v>37302</v>
      </c>
      <c r="M12061" t="s">
        <v>40153</v>
      </c>
      <c r="N12061" t="s">
        <v>41249</v>
      </c>
      <c r="O12061" t="s">
        <v>41250</v>
      </c>
      <c r="P12061">
        <v>0</v>
      </c>
      <c r="Q12061">
        <v>0</v>
      </c>
      <c r="R12061" t="s">
        <v>41266</v>
      </c>
      <c r="S12061" t="s">
        <v>41978</v>
      </c>
      <c r="T12061" t="s">
        <v>42764</v>
      </c>
      <c r="U12061" t="s">
        <v>52865</v>
      </c>
      <c r="W12061" t="s">
        <v>40153</v>
      </c>
      <c r="X12061" t="s">
        <v>41267</v>
      </c>
    </row>
    <row r="12062" spans="1:24">
      <c r="A12062">
        <f>HYPERLINK("https://www.philgeps.gov.ph/GEPSNONPILOT/Tender/SplashBidNoticeAbstractUI.aspx?menuIndex=3&amp;refID=7048976&amp;Result=3","7048976")</f>
        <v>0</v>
      </c>
      <c r="B12062" t="s">
        <v>1327</v>
      </c>
      <c r="C12062" t="s">
        <v>14936</v>
      </c>
      <c r="D12062" t="s">
        <v>16627</v>
      </c>
      <c r="E12062" t="s">
        <v>27129</v>
      </c>
      <c r="F12062" t="s">
        <v>28669</v>
      </c>
      <c r="G12062" t="s">
        <v>28675</v>
      </c>
      <c r="H12062" t="s">
        <v>9998</v>
      </c>
      <c r="I12062" t="s">
        <v>28707</v>
      </c>
      <c r="J12062" t="s">
        <v>36206</v>
      </c>
      <c r="K12062" t="s">
        <v>37213</v>
      </c>
      <c r="M12062" t="s">
        <v>38880</v>
      </c>
      <c r="N12062" t="s">
        <v>41249</v>
      </c>
      <c r="O12062" t="s">
        <v>41250</v>
      </c>
      <c r="P12062">
        <v>0</v>
      </c>
      <c r="Q12062">
        <v>5</v>
      </c>
      <c r="R12062" t="s">
        <v>41266</v>
      </c>
      <c r="S12062" t="s">
        <v>41978</v>
      </c>
      <c r="T12062" t="s">
        <v>42876</v>
      </c>
      <c r="U12062" t="s">
        <v>52866</v>
      </c>
      <c r="W12062" t="s">
        <v>38880</v>
      </c>
      <c r="X12062" t="s">
        <v>41267</v>
      </c>
    </row>
    <row r="12063" spans="1:24">
      <c r="A12063">
        <f>HYPERLINK("https://www.philgeps.gov.ph/GEPSNONPILOT/Tender/SplashBidNoticeAbstractUI.aspx?menuIndex=3&amp;refID=7049030&amp;Result=3","7049030")</f>
        <v>0</v>
      </c>
      <c r="B12063" t="s">
        <v>2269</v>
      </c>
      <c r="C12063" t="s">
        <v>14937</v>
      </c>
      <c r="D12063" t="s">
        <v>16622</v>
      </c>
      <c r="E12063" t="s">
        <v>27130</v>
      </c>
      <c r="F12063" t="s">
        <v>28669</v>
      </c>
      <c r="G12063" t="s">
        <v>28675</v>
      </c>
      <c r="H12063" t="s">
        <v>9998</v>
      </c>
      <c r="I12063" t="s">
        <v>11593</v>
      </c>
      <c r="J12063" t="s">
        <v>36207</v>
      </c>
      <c r="K12063" t="s">
        <v>37206</v>
      </c>
      <c r="M12063" t="s">
        <v>39924</v>
      </c>
      <c r="N12063" t="s">
        <v>41249</v>
      </c>
      <c r="O12063" t="s">
        <v>41250</v>
      </c>
      <c r="P12063">
        <v>0</v>
      </c>
      <c r="Q12063">
        <v>5</v>
      </c>
      <c r="R12063" t="s">
        <v>41266</v>
      </c>
      <c r="S12063" t="s">
        <v>41978</v>
      </c>
      <c r="T12063" t="s">
        <v>42679</v>
      </c>
      <c r="U12063" t="s">
        <v>52867</v>
      </c>
      <c r="W12063" t="s">
        <v>39924</v>
      </c>
      <c r="X12063" t="s">
        <v>41267</v>
      </c>
    </row>
    <row r="12064" spans="1:24">
      <c r="A12064">
        <f>HYPERLINK("https://www.philgeps.gov.ph/GEPSNONPILOT/Tender/SplashBidNoticeAbstractUI.aspx?menuIndex=3&amp;refID=7049029&amp;Result=3","7049029")</f>
        <v>0</v>
      </c>
      <c r="B12064" t="s">
        <v>2425</v>
      </c>
      <c r="C12064" t="s">
        <v>14938</v>
      </c>
      <c r="D12064" t="s">
        <v>16619</v>
      </c>
      <c r="E12064" t="s">
        <v>27131</v>
      </c>
      <c r="F12064" t="s">
        <v>28669</v>
      </c>
      <c r="G12064" t="s">
        <v>28675</v>
      </c>
      <c r="H12064" t="s">
        <v>28686</v>
      </c>
      <c r="I12064" t="s">
        <v>28689</v>
      </c>
      <c r="J12064" t="s">
        <v>30146</v>
      </c>
      <c r="K12064" t="s">
        <v>37285</v>
      </c>
      <c r="M12064" t="s">
        <v>40108</v>
      </c>
      <c r="N12064" t="s">
        <v>41249</v>
      </c>
      <c r="O12064" t="s">
        <v>41250</v>
      </c>
      <c r="Q12064">
        <v>4</v>
      </c>
      <c r="R12064" t="s">
        <v>41266</v>
      </c>
      <c r="S12064" t="s">
        <v>42027</v>
      </c>
      <c r="T12064" t="s">
        <v>42679</v>
      </c>
      <c r="U12064" t="s">
        <v>52860</v>
      </c>
      <c r="W12064" t="s">
        <v>40108</v>
      </c>
      <c r="X12064" t="s">
        <v>41267</v>
      </c>
    </row>
    <row r="12065" spans="1:24">
      <c r="A12065">
        <f>HYPERLINK("https://www.philgeps.gov.ph/GEPSNONPILOT/Tender/SplashBidNoticeAbstractUI.aspx?menuIndex=3&amp;refID=7049172&amp;Result=3","7049172")</f>
        <v>0</v>
      </c>
      <c r="B12065" t="s">
        <v>1327</v>
      </c>
      <c r="C12065" t="s">
        <v>14939</v>
      </c>
      <c r="D12065" t="s">
        <v>16627</v>
      </c>
      <c r="E12065" t="s">
        <v>27132</v>
      </c>
      <c r="F12065" t="s">
        <v>28669</v>
      </c>
      <c r="G12065" t="s">
        <v>28675</v>
      </c>
      <c r="H12065" t="s">
        <v>9998</v>
      </c>
      <c r="I12065" t="s">
        <v>28707</v>
      </c>
      <c r="J12065" t="s">
        <v>36208</v>
      </c>
      <c r="K12065" t="s">
        <v>37213</v>
      </c>
      <c r="M12065" t="s">
        <v>38880</v>
      </c>
      <c r="N12065" t="s">
        <v>41249</v>
      </c>
      <c r="O12065" t="s">
        <v>41250</v>
      </c>
      <c r="P12065">
        <v>0</v>
      </c>
      <c r="Q12065">
        <v>4</v>
      </c>
      <c r="R12065" t="s">
        <v>41266</v>
      </c>
      <c r="S12065" t="s">
        <v>41978</v>
      </c>
      <c r="T12065" t="s">
        <v>42742</v>
      </c>
      <c r="U12065" t="s">
        <v>52868</v>
      </c>
      <c r="W12065" t="s">
        <v>38880</v>
      </c>
      <c r="X12065" t="s">
        <v>41267</v>
      </c>
    </row>
    <row r="12066" spans="1:24">
      <c r="A12066">
        <f>HYPERLINK("https://www.philgeps.gov.ph/GEPSNONPILOT/Tender/SplashBidNoticeAbstractUI.aspx?menuIndex=3&amp;refID=7049173&amp;Result=3","7049173")</f>
        <v>0</v>
      </c>
      <c r="B12066" t="s">
        <v>459</v>
      </c>
      <c r="C12066" t="s">
        <v>14940</v>
      </c>
      <c r="D12066" t="s">
        <v>16616</v>
      </c>
      <c r="E12066" t="s">
        <v>27133</v>
      </c>
      <c r="F12066" t="s">
        <v>28669</v>
      </c>
      <c r="G12066" t="s">
        <v>28675</v>
      </c>
      <c r="H12066" t="s">
        <v>9998</v>
      </c>
      <c r="I12066" t="s">
        <v>28690</v>
      </c>
      <c r="J12066" t="s">
        <v>36209</v>
      </c>
      <c r="K12066" t="s">
        <v>37213</v>
      </c>
      <c r="M12066" t="s">
        <v>37947</v>
      </c>
      <c r="N12066" t="s">
        <v>41249</v>
      </c>
      <c r="O12066" t="s">
        <v>41250</v>
      </c>
      <c r="Q12066">
        <v>11</v>
      </c>
      <c r="R12066" t="s">
        <v>41266</v>
      </c>
      <c r="S12066" t="s">
        <v>42028</v>
      </c>
      <c r="T12066" t="s">
        <v>42714</v>
      </c>
      <c r="U12066" t="s">
        <v>52869</v>
      </c>
      <c r="W12066" t="s">
        <v>37947</v>
      </c>
      <c r="X12066" t="s">
        <v>41267</v>
      </c>
    </row>
    <row r="12067" spans="1:24">
      <c r="A12067">
        <f>HYPERLINK("https://www.philgeps.gov.ph/GEPSNONPILOT/Tender/SplashBidNoticeAbstractUI.aspx?menuIndex=3&amp;refID=7049165&amp;Result=3","7049165")</f>
        <v>0</v>
      </c>
      <c r="B12067" t="s">
        <v>3200</v>
      </c>
      <c r="C12067" t="s">
        <v>14941</v>
      </c>
      <c r="D12067" t="s">
        <v>16626</v>
      </c>
      <c r="E12067" t="s">
        <v>27134</v>
      </c>
      <c r="F12067" t="s">
        <v>28669</v>
      </c>
      <c r="G12067" t="s">
        <v>28675</v>
      </c>
      <c r="H12067" t="s">
        <v>28686</v>
      </c>
      <c r="I12067" t="s">
        <v>28691</v>
      </c>
      <c r="J12067" t="s">
        <v>28847</v>
      </c>
      <c r="K12067" t="s">
        <v>37206</v>
      </c>
      <c r="M12067" t="s">
        <v>41007</v>
      </c>
      <c r="N12067" t="s">
        <v>41249</v>
      </c>
      <c r="O12067" t="s">
        <v>41250</v>
      </c>
      <c r="P12067">
        <v>0</v>
      </c>
      <c r="Q12067">
        <v>3</v>
      </c>
      <c r="R12067" t="s">
        <v>41266</v>
      </c>
      <c r="S12067" t="s">
        <v>41978</v>
      </c>
      <c r="T12067" t="s">
        <v>42690</v>
      </c>
      <c r="U12067" t="s">
        <v>52870</v>
      </c>
      <c r="V12067" t="s">
        <v>55697</v>
      </c>
      <c r="W12067" t="s">
        <v>41007</v>
      </c>
      <c r="X12067" t="s">
        <v>41267</v>
      </c>
    </row>
    <row r="12068" spans="1:24">
      <c r="A12068">
        <f>HYPERLINK("https://www.philgeps.gov.ph/GEPSNONPILOT/Tender/SplashBidNoticeAbstractUI.aspx?menuIndex=3&amp;refID=7049174&amp;Result=3","7049174")</f>
        <v>0</v>
      </c>
      <c r="B12068" t="s">
        <v>3183</v>
      </c>
      <c r="C12068" t="s">
        <v>14942</v>
      </c>
      <c r="D12068" t="s">
        <v>16627</v>
      </c>
      <c r="E12068" t="s">
        <v>27135</v>
      </c>
      <c r="F12068" t="s">
        <v>28669</v>
      </c>
      <c r="G12068" t="s">
        <v>28675</v>
      </c>
      <c r="H12068" t="s">
        <v>28686</v>
      </c>
      <c r="I12068" t="s">
        <v>28689</v>
      </c>
      <c r="J12068" t="s">
        <v>28891</v>
      </c>
      <c r="K12068" t="s">
        <v>37231</v>
      </c>
      <c r="L12068" t="s">
        <v>3183</v>
      </c>
      <c r="M12068" t="s">
        <v>40984</v>
      </c>
      <c r="N12068" t="s">
        <v>41249</v>
      </c>
      <c r="O12068" t="s">
        <v>41250</v>
      </c>
      <c r="P12068">
        <v>0</v>
      </c>
      <c r="Q12068">
        <v>1</v>
      </c>
      <c r="R12068" t="s">
        <v>41266</v>
      </c>
      <c r="S12068" t="s">
        <v>41978</v>
      </c>
      <c r="T12068" t="s">
        <v>42714</v>
      </c>
      <c r="U12068" t="s">
        <v>52871</v>
      </c>
      <c r="W12068" t="s">
        <v>40984</v>
      </c>
      <c r="X12068" t="s">
        <v>41267</v>
      </c>
    </row>
    <row r="12069" spans="1:24">
      <c r="A12069">
        <f>HYPERLINK("https://www.philgeps.gov.ph/GEPSNONPILOT/Tender/SplashBidNoticeAbstractUI.aspx?menuIndex=3&amp;refID=7049194&amp;Result=3","7049194")</f>
        <v>0</v>
      </c>
      <c r="B12069" t="s">
        <v>2425</v>
      </c>
      <c r="C12069" t="s">
        <v>14943</v>
      </c>
      <c r="D12069" t="s">
        <v>16619</v>
      </c>
      <c r="E12069" t="s">
        <v>27136</v>
      </c>
      <c r="F12069" t="s">
        <v>28669</v>
      </c>
      <c r="G12069" t="s">
        <v>28675</v>
      </c>
      <c r="H12069" t="s">
        <v>28686</v>
      </c>
      <c r="I12069" t="s">
        <v>28689</v>
      </c>
      <c r="J12069" t="s">
        <v>31753</v>
      </c>
      <c r="K12069" t="s">
        <v>37311</v>
      </c>
      <c r="M12069" t="s">
        <v>40108</v>
      </c>
      <c r="N12069" t="s">
        <v>41249</v>
      </c>
      <c r="O12069" t="s">
        <v>41250</v>
      </c>
      <c r="Q12069">
        <v>2</v>
      </c>
      <c r="R12069" t="s">
        <v>41266</v>
      </c>
      <c r="S12069" t="s">
        <v>42029</v>
      </c>
      <c r="T12069" t="s">
        <v>42679</v>
      </c>
      <c r="U12069" t="s">
        <v>52860</v>
      </c>
      <c r="W12069" t="s">
        <v>40108</v>
      </c>
      <c r="X12069" t="s">
        <v>41267</v>
      </c>
    </row>
    <row r="12070" spans="1:24">
      <c r="A12070">
        <f>HYPERLINK("https://www.philgeps.gov.ph/GEPSNONPILOT/Tender/SplashBidNoticeAbstractUI.aspx?menuIndex=3&amp;refID=7049146&amp;Result=3","7049146")</f>
        <v>0</v>
      </c>
      <c r="B12070" t="s">
        <v>3201</v>
      </c>
      <c r="C12070" t="s">
        <v>14944</v>
      </c>
      <c r="D12070" t="s">
        <v>16633</v>
      </c>
      <c r="E12070" t="s">
        <v>27137</v>
      </c>
      <c r="F12070" t="s">
        <v>28669</v>
      </c>
      <c r="G12070" t="s">
        <v>28675</v>
      </c>
      <c r="H12070" t="s">
        <v>9998</v>
      </c>
      <c r="I12070" t="s">
        <v>28708</v>
      </c>
      <c r="J12070" t="s">
        <v>36210</v>
      </c>
      <c r="K12070" t="s">
        <v>37206</v>
      </c>
      <c r="M12070" t="s">
        <v>41008</v>
      </c>
      <c r="N12070" t="s">
        <v>41249</v>
      </c>
      <c r="O12070" t="s">
        <v>41250</v>
      </c>
      <c r="P12070">
        <v>0</v>
      </c>
      <c r="Q12070">
        <v>6</v>
      </c>
      <c r="R12070" t="s">
        <v>41266</v>
      </c>
      <c r="S12070" t="s">
        <v>41978</v>
      </c>
      <c r="T12070" t="s">
        <v>42673</v>
      </c>
      <c r="U12070" t="s">
        <v>52872</v>
      </c>
      <c r="W12070" t="s">
        <v>41008</v>
      </c>
      <c r="X12070" t="s">
        <v>41267</v>
      </c>
    </row>
    <row r="12071" spans="1:24">
      <c r="A12071">
        <f>HYPERLINK("https://www.philgeps.gov.ph/GEPSNONPILOT/Tender/SplashBidNoticeAbstractUI.aspx?menuIndex=3&amp;refID=7049137&amp;Result=3","7049137")</f>
        <v>0</v>
      </c>
      <c r="B12071" t="s">
        <v>2425</v>
      </c>
      <c r="C12071" t="s">
        <v>14945</v>
      </c>
      <c r="D12071" t="s">
        <v>16619</v>
      </c>
      <c r="E12071" t="s">
        <v>27138</v>
      </c>
      <c r="F12071" t="s">
        <v>28669</v>
      </c>
      <c r="G12071" t="s">
        <v>28675</v>
      </c>
      <c r="H12071" t="s">
        <v>28686</v>
      </c>
      <c r="I12071" t="s">
        <v>28689</v>
      </c>
      <c r="J12071" t="s">
        <v>30840</v>
      </c>
      <c r="K12071" t="s">
        <v>37346</v>
      </c>
      <c r="M12071" t="s">
        <v>40108</v>
      </c>
      <c r="N12071" t="s">
        <v>41249</v>
      </c>
      <c r="O12071" t="s">
        <v>41250</v>
      </c>
      <c r="Q12071">
        <v>1</v>
      </c>
      <c r="R12071" t="s">
        <v>41266</v>
      </c>
      <c r="S12071" t="s">
        <v>42030</v>
      </c>
      <c r="T12071" t="s">
        <v>42679</v>
      </c>
      <c r="U12071" t="s">
        <v>52860</v>
      </c>
      <c r="W12071" t="s">
        <v>40108</v>
      </c>
      <c r="X12071" t="s">
        <v>41267</v>
      </c>
    </row>
    <row r="12072" spans="1:24">
      <c r="A12072">
        <f>HYPERLINK("https://www.philgeps.gov.ph/GEPSNONPILOT/Tender/SplashBidNoticeAbstractUI.aspx?menuIndex=3&amp;refID=7049001&amp;Result=3","7049001")</f>
        <v>0</v>
      </c>
      <c r="B12072" t="s">
        <v>2425</v>
      </c>
      <c r="C12072" t="s">
        <v>14946</v>
      </c>
      <c r="D12072" t="s">
        <v>16619</v>
      </c>
      <c r="E12072" t="s">
        <v>27139</v>
      </c>
      <c r="F12072" t="s">
        <v>28669</v>
      </c>
      <c r="G12072" t="s">
        <v>28675</v>
      </c>
      <c r="H12072" t="s">
        <v>28686</v>
      </c>
      <c r="I12072" t="s">
        <v>28689</v>
      </c>
      <c r="J12072" t="s">
        <v>31637</v>
      </c>
      <c r="K12072" t="s">
        <v>37476</v>
      </c>
      <c r="M12072" t="s">
        <v>40108</v>
      </c>
      <c r="N12072" t="s">
        <v>41249</v>
      </c>
      <c r="O12072" t="s">
        <v>41250</v>
      </c>
      <c r="Q12072">
        <v>2</v>
      </c>
      <c r="R12072" t="s">
        <v>41266</v>
      </c>
      <c r="S12072" t="s">
        <v>42031</v>
      </c>
      <c r="T12072" t="s">
        <v>42679</v>
      </c>
      <c r="U12072" t="s">
        <v>52860</v>
      </c>
      <c r="W12072" t="s">
        <v>40108</v>
      </c>
      <c r="X12072" t="s">
        <v>41267</v>
      </c>
    </row>
    <row r="12073" spans="1:24">
      <c r="A12073">
        <f>HYPERLINK("https://www.philgeps.gov.ph/GEPSNONPILOT/Tender/SplashBidNoticeAbstractUI.aspx?menuIndex=3&amp;refID=7049131&amp;Result=3","7049131")</f>
        <v>0</v>
      </c>
      <c r="B12073" t="s">
        <v>3183</v>
      </c>
      <c r="C12073" t="s">
        <v>14947</v>
      </c>
      <c r="D12073" t="s">
        <v>16627</v>
      </c>
      <c r="E12073" t="s">
        <v>27140</v>
      </c>
      <c r="F12073" t="s">
        <v>28669</v>
      </c>
      <c r="G12073" t="s">
        <v>28675</v>
      </c>
      <c r="H12073" t="s">
        <v>28686</v>
      </c>
      <c r="I12073" t="s">
        <v>28689</v>
      </c>
      <c r="J12073" t="s">
        <v>29059</v>
      </c>
      <c r="K12073" t="s">
        <v>37231</v>
      </c>
      <c r="L12073" t="s">
        <v>3183</v>
      </c>
      <c r="M12073" t="s">
        <v>40984</v>
      </c>
      <c r="N12073" t="s">
        <v>41249</v>
      </c>
      <c r="O12073" t="s">
        <v>41250</v>
      </c>
      <c r="P12073">
        <v>0</v>
      </c>
      <c r="Q12073">
        <v>1</v>
      </c>
      <c r="R12073" t="s">
        <v>41266</v>
      </c>
      <c r="S12073" t="s">
        <v>41978</v>
      </c>
      <c r="T12073" t="s">
        <v>42714</v>
      </c>
      <c r="U12073" t="s">
        <v>52873</v>
      </c>
      <c r="W12073" t="s">
        <v>40984</v>
      </c>
      <c r="X12073" t="s">
        <v>41267</v>
      </c>
    </row>
    <row r="12074" spans="1:24">
      <c r="A12074">
        <f>HYPERLINK("https://www.philgeps.gov.ph/GEPSNONPILOT/Tender/SplashBidNoticeAbstractUI.aspx?menuIndex=3&amp;refID=7049116&amp;Result=3","7049116")</f>
        <v>0</v>
      </c>
      <c r="B12074" t="s">
        <v>2425</v>
      </c>
      <c r="C12074" t="s">
        <v>14948</v>
      </c>
      <c r="D12074" t="s">
        <v>16619</v>
      </c>
      <c r="E12074" t="s">
        <v>27141</v>
      </c>
      <c r="F12074" t="s">
        <v>28669</v>
      </c>
      <c r="G12074" t="s">
        <v>28675</v>
      </c>
      <c r="H12074" t="s">
        <v>28686</v>
      </c>
      <c r="I12074" t="s">
        <v>28689</v>
      </c>
      <c r="J12074" t="s">
        <v>30289</v>
      </c>
      <c r="K12074" t="s">
        <v>37290</v>
      </c>
      <c r="M12074" t="s">
        <v>40108</v>
      </c>
      <c r="N12074" t="s">
        <v>41249</v>
      </c>
      <c r="O12074" t="s">
        <v>41250</v>
      </c>
      <c r="Q12074">
        <v>1</v>
      </c>
      <c r="R12074" t="s">
        <v>41266</v>
      </c>
      <c r="S12074" t="s">
        <v>42032</v>
      </c>
      <c r="T12074" t="s">
        <v>42679</v>
      </c>
      <c r="U12074" t="s">
        <v>52860</v>
      </c>
      <c r="W12074" t="s">
        <v>40108</v>
      </c>
      <c r="X12074" t="s">
        <v>41267</v>
      </c>
    </row>
    <row r="12075" spans="1:24">
      <c r="A12075">
        <f>HYPERLINK("https://www.philgeps.gov.ph/GEPSNONPILOT/Tender/SplashBidNoticeAbstractUI.aspx?menuIndex=3&amp;refID=7049115&amp;Result=3","7049115")</f>
        <v>0</v>
      </c>
      <c r="B12075" t="s">
        <v>2680</v>
      </c>
      <c r="C12075" t="s">
        <v>14949</v>
      </c>
      <c r="D12075" t="s">
        <v>16627</v>
      </c>
      <c r="E12075" t="s">
        <v>27142</v>
      </c>
      <c r="F12075" t="s">
        <v>28669</v>
      </c>
      <c r="G12075" t="s">
        <v>28675</v>
      </c>
      <c r="H12075" t="s">
        <v>9998</v>
      </c>
      <c r="I12075" t="s">
        <v>28692</v>
      </c>
      <c r="J12075" t="s">
        <v>36211</v>
      </c>
      <c r="K12075" t="s">
        <v>37205</v>
      </c>
      <c r="M12075" t="s">
        <v>40388</v>
      </c>
      <c r="N12075" t="s">
        <v>41249</v>
      </c>
      <c r="O12075" t="s">
        <v>41250</v>
      </c>
      <c r="P12075">
        <v>0</v>
      </c>
      <c r="Q12075">
        <v>1</v>
      </c>
      <c r="R12075" t="s">
        <v>41266</v>
      </c>
      <c r="S12075" t="s">
        <v>41978</v>
      </c>
      <c r="T12075" t="s">
        <v>42754</v>
      </c>
      <c r="U12075" t="s">
        <v>52874</v>
      </c>
      <c r="W12075" t="s">
        <v>40388</v>
      </c>
      <c r="X12075" t="s">
        <v>41267</v>
      </c>
    </row>
    <row r="12076" spans="1:24">
      <c r="A12076">
        <f>HYPERLINK("https://www.philgeps.gov.ph/GEPSNONPILOT/Tender/SplashBidNoticeAbstractUI.aspx?menuIndex=3&amp;refID=7049329&amp;Result=3","7049329")</f>
        <v>0</v>
      </c>
      <c r="B12076" t="s">
        <v>2469</v>
      </c>
      <c r="C12076" t="s">
        <v>14950</v>
      </c>
      <c r="D12076" t="s">
        <v>16655</v>
      </c>
      <c r="E12076" t="s">
        <v>27143</v>
      </c>
      <c r="F12076" t="s">
        <v>28669</v>
      </c>
      <c r="G12076" t="s">
        <v>28675</v>
      </c>
      <c r="H12076" t="s">
        <v>28686</v>
      </c>
      <c r="I12076" t="s">
        <v>28689</v>
      </c>
      <c r="J12076" t="s">
        <v>36212</v>
      </c>
      <c r="K12076" t="s">
        <v>37206</v>
      </c>
      <c r="L12076" t="s">
        <v>2469</v>
      </c>
      <c r="M12076" t="s">
        <v>40152</v>
      </c>
      <c r="N12076" t="s">
        <v>41249</v>
      </c>
      <c r="O12076" t="s">
        <v>41250</v>
      </c>
      <c r="P12076">
        <v>0</v>
      </c>
      <c r="Q12076">
        <v>0</v>
      </c>
      <c r="R12076" t="s">
        <v>41266</v>
      </c>
      <c r="S12076" t="s">
        <v>41978</v>
      </c>
      <c r="T12076" t="s">
        <v>42673</v>
      </c>
      <c r="U12076" t="s">
        <v>52875</v>
      </c>
      <c r="V12076" t="s">
        <v>55698</v>
      </c>
      <c r="W12076" t="s">
        <v>40152</v>
      </c>
      <c r="X12076" t="s">
        <v>41267</v>
      </c>
    </row>
    <row r="12077" spans="1:24">
      <c r="A12077">
        <f>HYPERLINK("https://www.philgeps.gov.ph/GEPSNONPILOT/Tender/SplashBidNoticeAbstractUI.aspx?menuIndex=3&amp;refID=7049161&amp;Result=3","7049161")</f>
        <v>0</v>
      </c>
      <c r="B12077" t="s">
        <v>2425</v>
      </c>
      <c r="C12077" t="s">
        <v>14951</v>
      </c>
      <c r="D12077" t="s">
        <v>16619</v>
      </c>
      <c r="E12077" t="s">
        <v>27144</v>
      </c>
      <c r="F12077" t="s">
        <v>28669</v>
      </c>
      <c r="G12077" t="s">
        <v>28675</v>
      </c>
      <c r="H12077" t="s">
        <v>28686</v>
      </c>
      <c r="I12077" t="s">
        <v>28689</v>
      </c>
      <c r="J12077" t="s">
        <v>30289</v>
      </c>
      <c r="K12077" t="s">
        <v>37290</v>
      </c>
      <c r="M12077" t="s">
        <v>40108</v>
      </c>
      <c r="N12077" t="s">
        <v>41249</v>
      </c>
      <c r="O12077" t="s">
        <v>41250</v>
      </c>
      <c r="Q12077">
        <v>2</v>
      </c>
      <c r="R12077" t="s">
        <v>41266</v>
      </c>
      <c r="S12077" t="s">
        <v>42033</v>
      </c>
      <c r="T12077" t="s">
        <v>42679</v>
      </c>
      <c r="U12077" t="s">
        <v>52860</v>
      </c>
      <c r="W12077" t="s">
        <v>40108</v>
      </c>
      <c r="X12077" t="s">
        <v>41267</v>
      </c>
    </row>
    <row r="12078" spans="1:24">
      <c r="A12078">
        <f>HYPERLINK("https://www.philgeps.gov.ph/GEPSNONPILOT/Tender/SplashBidNoticeAbstractUI.aspx?menuIndex=3&amp;refID=7049150&amp;Result=3","7049150")</f>
        <v>0</v>
      </c>
      <c r="B12078" t="s">
        <v>3183</v>
      </c>
      <c r="C12078" t="s">
        <v>14952</v>
      </c>
      <c r="D12078" t="s">
        <v>16627</v>
      </c>
      <c r="E12078" t="s">
        <v>27145</v>
      </c>
      <c r="F12078" t="s">
        <v>28669</v>
      </c>
      <c r="G12078" t="s">
        <v>28675</v>
      </c>
      <c r="H12078" t="s">
        <v>28686</v>
      </c>
      <c r="I12078" t="s">
        <v>28689</v>
      </c>
      <c r="J12078" t="s">
        <v>29112</v>
      </c>
      <c r="K12078" t="s">
        <v>37231</v>
      </c>
      <c r="L12078" t="s">
        <v>3183</v>
      </c>
      <c r="M12078" t="s">
        <v>40984</v>
      </c>
      <c r="N12078" t="s">
        <v>41249</v>
      </c>
      <c r="O12078" t="s">
        <v>41250</v>
      </c>
      <c r="P12078">
        <v>0</v>
      </c>
      <c r="Q12078">
        <v>1</v>
      </c>
      <c r="R12078" t="s">
        <v>41266</v>
      </c>
      <c r="S12078" t="s">
        <v>41978</v>
      </c>
      <c r="T12078" t="s">
        <v>42714</v>
      </c>
      <c r="U12078" t="s">
        <v>52876</v>
      </c>
      <c r="W12078" t="s">
        <v>40984</v>
      </c>
      <c r="X12078" t="s">
        <v>41267</v>
      </c>
    </row>
    <row r="12079" spans="1:24">
      <c r="A12079">
        <f>HYPERLINK("https://www.philgeps.gov.ph/GEPSNONPILOT/Tender/SplashBidNoticeAbstractUI.aspx?menuIndex=3&amp;refID=7049037&amp;Result=3","7049037")</f>
        <v>0</v>
      </c>
      <c r="B12079" t="s">
        <v>2470</v>
      </c>
      <c r="C12079" t="s">
        <v>14953</v>
      </c>
      <c r="D12079" t="s">
        <v>16652</v>
      </c>
      <c r="E12079" t="s">
        <v>27146</v>
      </c>
      <c r="F12079" t="s">
        <v>28669</v>
      </c>
      <c r="G12079" t="s">
        <v>28675</v>
      </c>
      <c r="H12079" t="s">
        <v>9998</v>
      </c>
      <c r="I12079" t="s">
        <v>7352</v>
      </c>
      <c r="J12079" t="s">
        <v>36213</v>
      </c>
      <c r="K12079" t="s">
        <v>37205</v>
      </c>
      <c r="M12079" t="s">
        <v>40153</v>
      </c>
      <c r="N12079" t="s">
        <v>41249</v>
      </c>
      <c r="O12079" t="s">
        <v>41250</v>
      </c>
      <c r="P12079">
        <v>0</v>
      </c>
      <c r="Q12079">
        <v>0</v>
      </c>
      <c r="R12079" t="s">
        <v>41266</v>
      </c>
      <c r="S12079" t="s">
        <v>41978</v>
      </c>
      <c r="T12079" t="s">
        <v>42750</v>
      </c>
      <c r="U12079" t="s">
        <v>52877</v>
      </c>
      <c r="W12079" t="s">
        <v>40153</v>
      </c>
      <c r="X12079" t="s">
        <v>41267</v>
      </c>
    </row>
    <row r="12080" spans="1:24">
      <c r="A12080">
        <f>HYPERLINK("https://www.philgeps.gov.ph/GEPSNONPILOT/Tender/SplashBidNoticeAbstractUI.aspx?menuIndex=3&amp;refID=7049327&amp;Result=3","7049327")</f>
        <v>0</v>
      </c>
      <c r="B12080" t="s">
        <v>3202</v>
      </c>
      <c r="C12080" t="s">
        <v>14954</v>
      </c>
      <c r="D12080" t="s">
        <v>16608</v>
      </c>
      <c r="E12080" t="s">
        <v>27147</v>
      </c>
      <c r="F12080" t="s">
        <v>28669</v>
      </c>
      <c r="G12080" t="s">
        <v>28675</v>
      </c>
      <c r="H12080" t="s">
        <v>9998</v>
      </c>
      <c r="I12080" t="s">
        <v>28708</v>
      </c>
      <c r="J12080" t="s">
        <v>29003</v>
      </c>
      <c r="K12080" t="s">
        <v>37209</v>
      </c>
      <c r="M12080" t="s">
        <v>41009</v>
      </c>
      <c r="N12080" t="s">
        <v>41249</v>
      </c>
      <c r="O12080" t="s">
        <v>41250</v>
      </c>
      <c r="Q12080">
        <v>16</v>
      </c>
      <c r="R12080" t="s">
        <v>41266</v>
      </c>
      <c r="S12080" t="s">
        <v>42034</v>
      </c>
      <c r="T12080" t="s">
        <v>42764</v>
      </c>
      <c r="U12080" t="s">
        <v>52878</v>
      </c>
      <c r="W12080" t="s">
        <v>41009</v>
      </c>
      <c r="X12080" t="s">
        <v>41267</v>
      </c>
    </row>
    <row r="12081" spans="1:24">
      <c r="A12081">
        <f>HYPERLINK("https://www.philgeps.gov.ph/GEPSNONPILOT/Tender/SplashBidNoticeAbstractUI.aspx?menuIndex=3&amp;refID=7049293&amp;Result=3","7049293")</f>
        <v>0</v>
      </c>
      <c r="B12081" t="s">
        <v>1515</v>
      </c>
      <c r="C12081" t="s">
        <v>14955</v>
      </c>
      <c r="D12081" t="s">
        <v>16678</v>
      </c>
      <c r="E12081" t="s">
        <v>27148</v>
      </c>
      <c r="F12081" t="s">
        <v>28669</v>
      </c>
      <c r="G12081" t="s">
        <v>28675</v>
      </c>
      <c r="H12081" t="s">
        <v>9998</v>
      </c>
      <c r="I12081" t="s">
        <v>7352</v>
      </c>
      <c r="J12081" t="s">
        <v>36214</v>
      </c>
      <c r="K12081" t="s">
        <v>37221</v>
      </c>
      <c r="M12081" t="s">
        <v>39089</v>
      </c>
      <c r="N12081" t="s">
        <v>41249</v>
      </c>
      <c r="O12081" t="s">
        <v>41250</v>
      </c>
      <c r="P12081">
        <v>0</v>
      </c>
      <c r="Q12081">
        <v>0</v>
      </c>
      <c r="R12081" t="s">
        <v>41266</v>
      </c>
      <c r="S12081" t="s">
        <v>41978</v>
      </c>
      <c r="T12081" t="s">
        <v>42690</v>
      </c>
      <c r="U12081" t="s">
        <v>52879</v>
      </c>
      <c r="W12081" t="s">
        <v>39089</v>
      </c>
      <c r="X12081" t="s">
        <v>41267</v>
      </c>
    </row>
    <row r="12082" spans="1:24">
      <c r="A12082">
        <f>HYPERLINK("https://www.philgeps.gov.ph/GEPSNONPILOT/Tender/SplashBidNoticeAbstractUI.aspx?menuIndex=3&amp;refID=7049319&amp;Result=3","7049319")</f>
        <v>0</v>
      </c>
      <c r="B12082" t="s">
        <v>1327</v>
      </c>
      <c r="C12082" t="s">
        <v>14956</v>
      </c>
      <c r="D12082" t="s">
        <v>16627</v>
      </c>
      <c r="E12082" t="s">
        <v>27149</v>
      </c>
      <c r="F12082" t="s">
        <v>28669</v>
      </c>
      <c r="G12082" t="s">
        <v>28675</v>
      </c>
      <c r="H12082" t="s">
        <v>9998</v>
      </c>
      <c r="I12082" t="s">
        <v>28707</v>
      </c>
      <c r="J12082" t="s">
        <v>36215</v>
      </c>
      <c r="K12082" t="s">
        <v>37213</v>
      </c>
      <c r="M12082" t="s">
        <v>39006</v>
      </c>
      <c r="N12082" t="s">
        <v>41249</v>
      </c>
      <c r="O12082" t="s">
        <v>41250</v>
      </c>
      <c r="P12082">
        <v>0</v>
      </c>
      <c r="Q12082">
        <v>5</v>
      </c>
      <c r="R12082" t="s">
        <v>41266</v>
      </c>
      <c r="S12082" t="s">
        <v>41978</v>
      </c>
      <c r="T12082" t="s">
        <v>42876</v>
      </c>
      <c r="U12082" t="s">
        <v>52849</v>
      </c>
      <c r="W12082" t="s">
        <v>39006</v>
      </c>
      <c r="X12082" t="s">
        <v>41267</v>
      </c>
    </row>
    <row r="12083" spans="1:24">
      <c r="A12083">
        <f>HYPERLINK("https://www.philgeps.gov.ph/GEPSNONPILOT/Tender/SplashBidNoticeAbstractUI.aspx?menuIndex=3&amp;refID=7049320&amp;Result=3","7049320")</f>
        <v>0</v>
      </c>
      <c r="B12083" t="s">
        <v>2470</v>
      </c>
      <c r="C12083" t="s">
        <v>14957</v>
      </c>
      <c r="D12083" t="s">
        <v>16652</v>
      </c>
      <c r="E12083" t="s">
        <v>27150</v>
      </c>
      <c r="F12083" t="s">
        <v>28669</v>
      </c>
      <c r="G12083" t="s">
        <v>28675</v>
      </c>
      <c r="H12083" t="s">
        <v>9998</v>
      </c>
      <c r="I12083" t="s">
        <v>6128</v>
      </c>
      <c r="J12083" t="s">
        <v>36216</v>
      </c>
      <c r="K12083" t="s">
        <v>37205</v>
      </c>
      <c r="M12083" t="s">
        <v>40153</v>
      </c>
      <c r="N12083" t="s">
        <v>41249</v>
      </c>
      <c r="O12083" t="s">
        <v>41250</v>
      </c>
      <c r="P12083">
        <v>0</v>
      </c>
      <c r="Q12083">
        <v>1</v>
      </c>
      <c r="R12083" t="s">
        <v>41266</v>
      </c>
      <c r="S12083" t="s">
        <v>41978</v>
      </c>
      <c r="T12083" t="s">
        <v>42671</v>
      </c>
      <c r="U12083" t="s">
        <v>52880</v>
      </c>
      <c r="W12083" t="s">
        <v>40153</v>
      </c>
      <c r="X12083" t="s">
        <v>41267</v>
      </c>
    </row>
    <row r="12084" spans="1:24">
      <c r="A12084">
        <f>HYPERLINK("https://www.philgeps.gov.ph/GEPSNONPILOT/Tender/SplashBidNoticeAbstractUI.aspx?menuIndex=3&amp;refID=7049288&amp;Result=3","7049288")</f>
        <v>0</v>
      </c>
      <c r="B12084" t="s">
        <v>735</v>
      </c>
      <c r="C12084" t="s">
        <v>14958</v>
      </c>
      <c r="D12084" t="s">
        <v>16675</v>
      </c>
      <c r="E12084" t="s">
        <v>20578</v>
      </c>
      <c r="F12084" t="s">
        <v>28669</v>
      </c>
      <c r="G12084" t="s">
        <v>28675</v>
      </c>
      <c r="H12084" t="s">
        <v>9998</v>
      </c>
      <c r="I12084" t="s">
        <v>28695</v>
      </c>
      <c r="J12084" t="s">
        <v>29112</v>
      </c>
      <c r="K12084" t="s">
        <v>37231</v>
      </c>
      <c r="M12084" t="s">
        <v>38243</v>
      </c>
      <c r="N12084" t="s">
        <v>41249</v>
      </c>
      <c r="O12084" t="s">
        <v>41250</v>
      </c>
      <c r="Q12084">
        <v>0</v>
      </c>
      <c r="R12084" t="s">
        <v>41266</v>
      </c>
      <c r="S12084" t="s">
        <v>42035</v>
      </c>
      <c r="T12084" t="s">
        <v>42679</v>
      </c>
      <c r="U12084" t="s">
        <v>52881</v>
      </c>
      <c r="V12084" t="s">
        <v>55699</v>
      </c>
      <c r="W12084" t="s">
        <v>38243</v>
      </c>
      <c r="X12084" t="s">
        <v>41267</v>
      </c>
    </row>
    <row r="12085" spans="1:24">
      <c r="A12085">
        <f>HYPERLINK("https://www.philgeps.gov.ph/GEPSNONPILOT/Tender/SplashBidNoticeAbstractUI.aspx?menuIndex=3&amp;refID=7049279&amp;Result=3","7049279")</f>
        <v>0</v>
      </c>
      <c r="B12085" t="s">
        <v>1515</v>
      </c>
      <c r="C12085" t="s">
        <v>7313</v>
      </c>
      <c r="D12085" t="s">
        <v>16678</v>
      </c>
      <c r="E12085" t="s">
        <v>27151</v>
      </c>
      <c r="F12085" t="s">
        <v>28669</v>
      </c>
      <c r="G12085" t="s">
        <v>28675</v>
      </c>
      <c r="H12085" t="s">
        <v>9998</v>
      </c>
      <c r="I12085" t="s">
        <v>28695</v>
      </c>
      <c r="J12085" t="s">
        <v>28847</v>
      </c>
      <c r="K12085" t="s">
        <v>37212</v>
      </c>
      <c r="M12085" t="s">
        <v>39089</v>
      </c>
      <c r="N12085" t="s">
        <v>41249</v>
      </c>
      <c r="O12085" t="s">
        <v>41250</v>
      </c>
      <c r="P12085">
        <v>0</v>
      </c>
      <c r="Q12085">
        <v>0</v>
      </c>
      <c r="R12085" t="s">
        <v>41266</v>
      </c>
      <c r="S12085" t="s">
        <v>41978</v>
      </c>
      <c r="T12085" t="s">
        <v>42690</v>
      </c>
      <c r="U12085" t="s">
        <v>46600</v>
      </c>
      <c r="W12085" t="s">
        <v>39089</v>
      </c>
      <c r="X12085" t="s">
        <v>41267</v>
      </c>
    </row>
    <row r="12086" spans="1:24">
      <c r="A12086">
        <f>HYPERLINK("https://www.philgeps.gov.ph/GEPSNONPILOT/Tender/SplashBidNoticeAbstractUI.aspx?menuIndex=3&amp;refID=7049272&amp;Result=3","7049272")</f>
        <v>0</v>
      </c>
      <c r="B12086" t="s">
        <v>3203</v>
      </c>
      <c r="C12086" t="s">
        <v>14959</v>
      </c>
      <c r="D12086" t="s">
        <v>16648</v>
      </c>
      <c r="E12086" t="s">
        <v>27152</v>
      </c>
      <c r="F12086" t="s">
        <v>28669</v>
      </c>
      <c r="G12086" t="s">
        <v>28675</v>
      </c>
      <c r="H12086" t="s">
        <v>9998</v>
      </c>
      <c r="I12086" t="s">
        <v>28706</v>
      </c>
      <c r="J12086" t="s">
        <v>34691</v>
      </c>
      <c r="K12086" t="s">
        <v>37206</v>
      </c>
      <c r="M12086" t="s">
        <v>41010</v>
      </c>
      <c r="N12086" t="s">
        <v>41249</v>
      </c>
      <c r="O12086" t="s">
        <v>41250</v>
      </c>
      <c r="P12086">
        <v>0</v>
      </c>
      <c r="Q12086">
        <v>3</v>
      </c>
      <c r="R12086" t="s">
        <v>41266</v>
      </c>
      <c r="S12086" t="s">
        <v>41978</v>
      </c>
      <c r="T12086" t="s">
        <v>42754</v>
      </c>
      <c r="U12086" t="s">
        <v>52882</v>
      </c>
      <c r="V12086" t="s">
        <v>55700</v>
      </c>
      <c r="W12086" t="s">
        <v>41010</v>
      </c>
      <c r="X12086" t="s">
        <v>41267</v>
      </c>
    </row>
    <row r="12087" spans="1:24">
      <c r="A12087">
        <f>HYPERLINK("https://www.philgeps.gov.ph/GEPSNONPILOT/Tender/SplashBidNoticeAbstractUI.aspx?menuIndex=3&amp;refID=7049263&amp;Result=3","7049263")</f>
        <v>0</v>
      </c>
      <c r="B12087" t="s">
        <v>3204</v>
      </c>
      <c r="C12087" t="s">
        <v>14960</v>
      </c>
      <c r="D12087" t="s">
        <v>16624</v>
      </c>
      <c r="E12087" t="s">
        <v>19447</v>
      </c>
      <c r="F12087" t="s">
        <v>28669</v>
      </c>
      <c r="G12087" t="s">
        <v>28675</v>
      </c>
      <c r="H12087" t="s">
        <v>9998</v>
      </c>
      <c r="I12087" t="s">
        <v>28688</v>
      </c>
      <c r="J12087" t="s">
        <v>36217</v>
      </c>
      <c r="K12087" t="s">
        <v>37206</v>
      </c>
      <c r="M12087" t="s">
        <v>41011</v>
      </c>
      <c r="N12087" t="s">
        <v>41249</v>
      </c>
      <c r="O12087" t="s">
        <v>41250</v>
      </c>
      <c r="Q12087">
        <v>3</v>
      </c>
      <c r="R12087" t="s">
        <v>41266</v>
      </c>
      <c r="S12087" t="s">
        <v>42036</v>
      </c>
      <c r="T12087" t="s">
        <v>42714</v>
      </c>
      <c r="U12087" t="s">
        <v>52883</v>
      </c>
      <c r="V12087" t="s">
        <v>55701</v>
      </c>
      <c r="W12087" t="s">
        <v>41011</v>
      </c>
      <c r="X12087" t="s">
        <v>41267</v>
      </c>
    </row>
    <row r="12088" spans="1:24">
      <c r="A12088">
        <f>HYPERLINK("https://www.philgeps.gov.ph/GEPSNONPILOT/Tender/SplashBidNoticeAbstractUI.aspx?menuIndex=3&amp;refID=7048548&amp;Result=3","7048548")</f>
        <v>0</v>
      </c>
      <c r="B12088" t="s">
        <v>157</v>
      </c>
      <c r="C12088" t="s">
        <v>14961</v>
      </c>
      <c r="D12088" t="s">
        <v>16664</v>
      </c>
      <c r="E12088" t="s">
        <v>27153</v>
      </c>
      <c r="F12088" t="s">
        <v>28669</v>
      </c>
      <c r="G12088" t="s">
        <v>28675</v>
      </c>
      <c r="H12088" t="s">
        <v>9998</v>
      </c>
      <c r="I12088" t="s">
        <v>5213</v>
      </c>
      <c r="J12088" t="s">
        <v>29266</v>
      </c>
      <c r="K12088" t="s">
        <v>37213</v>
      </c>
      <c r="M12088" t="s">
        <v>37634</v>
      </c>
      <c r="N12088" t="s">
        <v>41249</v>
      </c>
      <c r="O12088" t="s">
        <v>41250</v>
      </c>
      <c r="P12088">
        <v>0</v>
      </c>
      <c r="Q12088">
        <v>7</v>
      </c>
      <c r="R12088" t="s">
        <v>41266</v>
      </c>
      <c r="S12088" t="s">
        <v>41978</v>
      </c>
      <c r="T12088" t="s">
        <v>42671</v>
      </c>
      <c r="U12088" t="s">
        <v>52884</v>
      </c>
      <c r="W12088" t="s">
        <v>37634</v>
      </c>
      <c r="X12088" t="s">
        <v>41267</v>
      </c>
    </row>
    <row r="12089" spans="1:24">
      <c r="A12089">
        <f>HYPERLINK("https://www.philgeps.gov.ph/GEPSNONPILOT/Tender/SplashBidNoticeAbstractUI.aspx?menuIndex=3&amp;refID=7049198&amp;Result=3","7049198")</f>
        <v>0</v>
      </c>
      <c r="B12089" t="s">
        <v>3205</v>
      </c>
      <c r="C12089" t="s">
        <v>14962</v>
      </c>
      <c r="E12089" t="s">
        <v>27154</v>
      </c>
      <c r="F12089" t="s">
        <v>28669</v>
      </c>
      <c r="G12089" t="s">
        <v>28675</v>
      </c>
      <c r="H12089" t="s">
        <v>9998</v>
      </c>
      <c r="I12089" t="s">
        <v>28745</v>
      </c>
      <c r="J12089" t="s">
        <v>36218</v>
      </c>
      <c r="K12089" t="s">
        <v>37209</v>
      </c>
      <c r="M12089" t="s">
        <v>41012</v>
      </c>
      <c r="N12089" t="s">
        <v>41249</v>
      </c>
      <c r="O12089" t="s">
        <v>41250</v>
      </c>
      <c r="P12089">
        <v>0</v>
      </c>
      <c r="Q12089">
        <v>2</v>
      </c>
      <c r="R12089" t="s">
        <v>41266</v>
      </c>
      <c r="S12089" t="s">
        <v>41978</v>
      </c>
      <c r="T12089" t="s">
        <v>42757</v>
      </c>
      <c r="U12089" t="s">
        <v>52885</v>
      </c>
      <c r="W12089" t="s">
        <v>56028</v>
      </c>
      <c r="X12089" t="s">
        <v>41267</v>
      </c>
    </row>
    <row r="12090" spans="1:24">
      <c r="A12090">
        <f>HYPERLINK("https://www.philgeps.gov.ph/GEPSNONPILOT/Tender/SplashBidNoticeAbstractUI.aspx?menuIndex=3&amp;refID=7049283&amp;Result=3","7049283")</f>
        <v>0</v>
      </c>
      <c r="B12090" t="s">
        <v>2425</v>
      </c>
      <c r="C12090" t="s">
        <v>14963</v>
      </c>
      <c r="D12090" t="s">
        <v>16619</v>
      </c>
      <c r="E12090" t="s">
        <v>27155</v>
      </c>
      <c r="F12090" t="s">
        <v>28669</v>
      </c>
      <c r="G12090" t="s">
        <v>28675</v>
      </c>
      <c r="H12090" t="s">
        <v>28686</v>
      </c>
      <c r="I12090" t="s">
        <v>28689</v>
      </c>
      <c r="J12090" t="s">
        <v>31313</v>
      </c>
      <c r="K12090" t="s">
        <v>37346</v>
      </c>
      <c r="M12090" t="s">
        <v>40108</v>
      </c>
      <c r="N12090" t="s">
        <v>41249</v>
      </c>
      <c r="O12090" t="s">
        <v>41250</v>
      </c>
      <c r="Q12090">
        <v>2</v>
      </c>
      <c r="R12090" t="s">
        <v>41266</v>
      </c>
      <c r="S12090" t="s">
        <v>42037</v>
      </c>
      <c r="T12090" t="s">
        <v>42679</v>
      </c>
      <c r="U12090" t="s">
        <v>52860</v>
      </c>
      <c r="W12090" t="s">
        <v>40108</v>
      </c>
      <c r="X12090" t="s">
        <v>41267</v>
      </c>
    </row>
    <row r="12091" spans="1:24">
      <c r="A12091">
        <f>HYPERLINK("https://www.philgeps.gov.ph/GEPSNONPILOT/Tender/SplashBidNoticeAbstractUI.aspx?menuIndex=3&amp;refID=7049442&amp;Result=3","7049442")</f>
        <v>0</v>
      </c>
      <c r="B12091" t="s">
        <v>1397</v>
      </c>
      <c r="C12091" t="s">
        <v>14964</v>
      </c>
      <c r="D12091" t="s">
        <v>16640</v>
      </c>
      <c r="E12091" t="s">
        <v>27156</v>
      </c>
      <c r="F12091" t="s">
        <v>28669</v>
      </c>
      <c r="G12091" t="s">
        <v>28675</v>
      </c>
      <c r="H12091" t="s">
        <v>28686</v>
      </c>
      <c r="I12091" t="s">
        <v>28689</v>
      </c>
      <c r="J12091" t="s">
        <v>36219</v>
      </c>
      <c r="K12091" t="s">
        <v>37276</v>
      </c>
      <c r="M12091" t="s">
        <v>40812</v>
      </c>
      <c r="N12091" t="s">
        <v>41249</v>
      </c>
      <c r="O12091" t="s">
        <v>41250</v>
      </c>
      <c r="Q12091">
        <v>5</v>
      </c>
      <c r="R12091" t="s">
        <v>41266</v>
      </c>
      <c r="S12091" t="s">
        <v>42038</v>
      </c>
      <c r="T12091" t="s">
        <v>42673</v>
      </c>
      <c r="U12091" t="s">
        <v>52886</v>
      </c>
      <c r="V12091" t="s">
        <v>55524</v>
      </c>
      <c r="W12091" t="s">
        <v>40812</v>
      </c>
      <c r="X12091" t="s">
        <v>41267</v>
      </c>
    </row>
    <row r="12092" spans="1:24">
      <c r="A12092">
        <f>HYPERLINK("https://www.philgeps.gov.ph/GEPSNONPILOT/Tender/SplashBidNoticeAbstractUI.aspx?menuIndex=3&amp;refID=7049264&amp;Result=3","7049264")</f>
        <v>0</v>
      </c>
      <c r="B12092" t="s">
        <v>1327</v>
      </c>
      <c r="C12092" t="s">
        <v>14965</v>
      </c>
      <c r="D12092" t="s">
        <v>16627</v>
      </c>
      <c r="E12092" t="s">
        <v>27157</v>
      </c>
      <c r="F12092" t="s">
        <v>28669</v>
      </c>
      <c r="G12092" t="s">
        <v>28675</v>
      </c>
      <c r="H12092" t="s">
        <v>9998</v>
      </c>
      <c r="I12092" t="s">
        <v>28707</v>
      </c>
      <c r="J12092" t="s">
        <v>36220</v>
      </c>
      <c r="K12092" t="s">
        <v>37213</v>
      </c>
      <c r="M12092" t="s">
        <v>39006</v>
      </c>
      <c r="N12092" t="s">
        <v>41249</v>
      </c>
      <c r="O12092" t="s">
        <v>41250</v>
      </c>
      <c r="P12092">
        <v>0</v>
      </c>
      <c r="Q12092">
        <v>8</v>
      </c>
      <c r="R12092" t="s">
        <v>41266</v>
      </c>
      <c r="S12092" t="s">
        <v>41978</v>
      </c>
      <c r="T12092" t="s">
        <v>42876</v>
      </c>
      <c r="U12092" t="s">
        <v>52849</v>
      </c>
      <c r="W12092" t="s">
        <v>39006</v>
      </c>
      <c r="X12092" t="s">
        <v>41267</v>
      </c>
    </row>
    <row r="12093" spans="1:24">
      <c r="A12093">
        <f>HYPERLINK("https://www.philgeps.gov.ph/GEPSNONPILOT/Tender/SplashBidNoticeAbstractUI.aspx?menuIndex=3&amp;refID=7049433&amp;Result=3","7049433")</f>
        <v>0</v>
      </c>
      <c r="B12093" t="s">
        <v>974</v>
      </c>
      <c r="C12093" t="s">
        <v>14966</v>
      </c>
      <c r="D12093" t="s">
        <v>16621</v>
      </c>
      <c r="E12093" t="s">
        <v>27158</v>
      </c>
      <c r="F12093" t="s">
        <v>28669</v>
      </c>
      <c r="G12093" t="s">
        <v>28675</v>
      </c>
      <c r="H12093" t="s">
        <v>9998</v>
      </c>
      <c r="I12093" t="s">
        <v>28708</v>
      </c>
      <c r="J12093" t="s">
        <v>36221</v>
      </c>
      <c r="K12093" t="s">
        <v>37205</v>
      </c>
      <c r="M12093" t="s">
        <v>38499</v>
      </c>
      <c r="N12093" t="s">
        <v>41249</v>
      </c>
      <c r="O12093" t="s">
        <v>41250</v>
      </c>
      <c r="P12093">
        <v>0</v>
      </c>
      <c r="Q12093">
        <v>7</v>
      </c>
      <c r="R12093" t="s">
        <v>41266</v>
      </c>
      <c r="S12093" t="s">
        <v>41978</v>
      </c>
      <c r="T12093" t="s">
        <v>42742</v>
      </c>
      <c r="U12093" t="s">
        <v>52887</v>
      </c>
      <c r="V12093" t="s">
        <v>55702</v>
      </c>
      <c r="W12093" t="s">
        <v>38499</v>
      </c>
      <c r="X12093" t="s">
        <v>41267</v>
      </c>
    </row>
    <row r="12094" spans="1:24">
      <c r="A12094">
        <f>HYPERLINK("https://www.philgeps.gov.ph/GEPSNONPILOT/Tender/SplashBidNoticeAbstractUI.aspx?menuIndex=3&amp;refID=7049302&amp;Result=3","7049302")</f>
        <v>0</v>
      </c>
      <c r="B12094" t="s">
        <v>2425</v>
      </c>
      <c r="C12094" t="s">
        <v>14967</v>
      </c>
      <c r="D12094" t="s">
        <v>16619</v>
      </c>
      <c r="E12094" t="s">
        <v>27159</v>
      </c>
      <c r="F12094" t="s">
        <v>28669</v>
      </c>
      <c r="G12094" t="s">
        <v>28675</v>
      </c>
      <c r="H12094" t="s">
        <v>28686</v>
      </c>
      <c r="I12094" t="s">
        <v>28689</v>
      </c>
      <c r="J12094" t="s">
        <v>30503</v>
      </c>
      <c r="K12094" t="s">
        <v>37219</v>
      </c>
      <c r="M12094" t="s">
        <v>40108</v>
      </c>
      <c r="N12094" t="s">
        <v>41249</v>
      </c>
      <c r="O12094" t="s">
        <v>41250</v>
      </c>
      <c r="Q12094">
        <v>2</v>
      </c>
      <c r="R12094" t="s">
        <v>41266</v>
      </c>
      <c r="S12094" t="s">
        <v>42039</v>
      </c>
      <c r="T12094" t="s">
        <v>42679</v>
      </c>
      <c r="U12094" t="s">
        <v>52860</v>
      </c>
      <c r="W12094" t="s">
        <v>40108</v>
      </c>
      <c r="X12094" t="s">
        <v>41267</v>
      </c>
    </row>
    <row r="12095" spans="1:24">
      <c r="A12095">
        <f>HYPERLINK("https://www.philgeps.gov.ph/GEPSNONPILOT/Tender/SplashBidNoticeAbstractUI.aspx?menuIndex=3&amp;refID=7049418&amp;Result=3","7049418")</f>
        <v>0</v>
      </c>
      <c r="B12095" t="s">
        <v>1327</v>
      </c>
      <c r="C12095" t="s">
        <v>14968</v>
      </c>
      <c r="D12095" t="s">
        <v>16627</v>
      </c>
      <c r="E12095" t="s">
        <v>27160</v>
      </c>
      <c r="F12095" t="s">
        <v>28669</v>
      </c>
      <c r="G12095" t="s">
        <v>28675</v>
      </c>
      <c r="H12095" t="s">
        <v>9998</v>
      </c>
      <c r="I12095" t="s">
        <v>28707</v>
      </c>
      <c r="J12095" t="s">
        <v>31046</v>
      </c>
      <c r="K12095" t="s">
        <v>37213</v>
      </c>
      <c r="M12095" t="s">
        <v>38880</v>
      </c>
      <c r="N12095" t="s">
        <v>41249</v>
      </c>
      <c r="O12095" t="s">
        <v>41250</v>
      </c>
      <c r="P12095">
        <v>0</v>
      </c>
      <c r="Q12095">
        <v>5</v>
      </c>
      <c r="R12095" t="s">
        <v>41266</v>
      </c>
      <c r="S12095" t="s">
        <v>41978</v>
      </c>
      <c r="T12095" t="s">
        <v>42876</v>
      </c>
      <c r="U12095" t="s">
        <v>52888</v>
      </c>
      <c r="W12095" t="s">
        <v>38880</v>
      </c>
      <c r="X12095" t="s">
        <v>41267</v>
      </c>
    </row>
    <row r="12096" spans="1:24">
      <c r="A12096">
        <f>HYPERLINK("https://www.philgeps.gov.ph/GEPSNONPILOT/Tender/SplashBidNoticeAbstractUI.aspx?menuIndex=3&amp;refID=7049425&amp;Result=3","7049425")</f>
        <v>0</v>
      </c>
      <c r="B12096" t="s">
        <v>1397</v>
      </c>
      <c r="C12096" t="s">
        <v>14969</v>
      </c>
      <c r="D12096" t="s">
        <v>16640</v>
      </c>
      <c r="E12096" t="s">
        <v>27161</v>
      </c>
      <c r="F12096" t="s">
        <v>28669</v>
      </c>
      <c r="G12096" t="s">
        <v>28675</v>
      </c>
      <c r="H12096" t="s">
        <v>28686</v>
      </c>
      <c r="I12096" t="s">
        <v>28689</v>
      </c>
      <c r="J12096" t="s">
        <v>36219</v>
      </c>
      <c r="K12096" t="s">
        <v>37218</v>
      </c>
      <c r="M12096" t="s">
        <v>40812</v>
      </c>
      <c r="N12096" t="s">
        <v>41249</v>
      </c>
      <c r="O12096" t="s">
        <v>41250</v>
      </c>
      <c r="Q12096">
        <v>7</v>
      </c>
      <c r="R12096" t="s">
        <v>41266</v>
      </c>
      <c r="S12096" t="s">
        <v>42040</v>
      </c>
      <c r="T12096" t="s">
        <v>42694</v>
      </c>
      <c r="U12096" t="s">
        <v>52886</v>
      </c>
      <c r="V12096" t="s">
        <v>55524</v>
      </c>
      <c r="W12096" t="s">
        <v>40812</v>
      </c>
      <c r="X12096" t="s">
        <v>41267</v>
      </c>
    </row>
    <row r="12097" spans="1:24">
      <c r="A12097">
        <f>HYPERLINK("https://www.philgeps.gov.ph/GEPSNONPILOT/Tender/SplashBidNoticeAbstractUI.aspx?menuIndex=3&amp;refID=7049253&amp;Result=3","7049253")</f>
        <v>0</v>
      </c>
      <c r="B12097" t="s">
        <v>2425</v>
      </c>
      <c r="C12097" t="s">
        <v>14970</v>
      </c>
      <c r="D12097" t="s">
        <v>16619</v>
      </c>
      <c r="E12097" t="s">
        <v>27162</v>
      </c>
      <c r="F12097" t="s">
        <v>28669</v>
      </c>
      <c r="G12097" t="s">
        <v>28675</v>
      </c>
      <c r="H12097" t="s">
        <v>28686</v>
      </c>
      <c r="I12097" t="s">
        <v>28689</v>
      </c>
      <c r="J12097" t="s">
        <v>31313</v>
      </c>
      <c r="K12097" t="s">
        <v>37346</v>
      </c>
      <c r="M12097" t="s">
        <v>40108</v>
      </c>
      <c r="N12097" t="s">
        <v>41249</v>
      </c>
      <c r="O12097" t="s">
        <v>41250</v>
      </c>
      <c r="Q12097">
        <v>1</v>
      </c>
      <c r="R12097" t="s">
        <v>41266</v>
      </c>
      <c r="S12097" t="s">
        <v>42041</v>
      </c>
      <c r="T12097" t="s">
        <v>42679</v>
      </c>
      <c r="U12097" t="s">
        <v>52860</v>
      </c>
      <c r="W12097" t="s">
        <v>40108</v>
      </c>
      <c r="X12097" t="s">
        <v>41267</v>
      </c>
    </row>
    <row r="12098" spans="1:24">
      <c r="A12098">
        <f>HYPERLINK("https://www.philgeps.gov.ph/GEPSNONPILOT/Tender/SplashBidNoticeAbstractUI.aspx?menuIndex=3&amp;refID=7049405&amp;Result=3","7049405")</f>
        <v>0</v>
      </c>
      <c r="B12098" t="s">
        <v>1397</v>
      </c>
      <c r="C12098" t="s">
        <v>14971</v>
      </c>
      <c r="D12098" t="s">
        <v>16640</v>
      </c>
      <c r="E12098" t="s">
        <v>27163</v>
      </c>
      <c r="F12098" t="s">
        <v>28669</v>
      </c>
      <c r="G12098" t="s">
        <v>28675</v>
      </c>
      <c r="H12098" t="s">
        <v>28686</v>
      </c>
      <c r="I12098" t="s">
        <v>28689</v>
      </c>
      <c r="J12098" t="s">
        <v>36222</v>
      </c>
      <c r="K12098" t="s">
        <v>37335</v>
      </c>
      <c r="M12098" t="s">
        <v>40812</v>
      </c>
      <c r="N12098" t="s">
        <v>41249</v>
      </c>
      <c r="O12098" t="s">
        <v>41250</v>
      </c>
      <c r="Q12098">
        <v>13</v>
      </c>
      <c r="R12098" t="s">
        <v>41266</v>
      </c>
      <c r="S12098" t="s">
        <v>42042</v>
      </c>
      <c r="T12098" t="s">
        <v>42673</v>
      </c>
      <c r="U12098" t="s">
        <v>52886</v>
      </c>
      <c r="V12098" t="s">
        <v>55524</v>
      </c>
      <c r="W12098" t="s">
        <v>40812</v>
      </c>
      <c r="X12098" t="s">
        <v>41267</v>
      </c>
    </row>
    <row r="12099" spans="1:24">
      <c r="A12099">
        <f>HYPERLINK("https://www.philgeps.gov.ph/GEPSNONPILOT/Tender/SplashBidNoticeAbstractUI.aspx?menuIndex=3&amp;refID=7049387&amp;Result=3","7049387")</f>
        <v>0</v>
      </c>
      <c r="B12099" t="s">
        <v>2382</v>
      </c>
      <c r="C12099" t="s">
        <v>14972</v>
      </c>
      <c r="D12099" t="s">
        <v>16626</v>
      </c>
      <c r="E12099" t="s">
        <v>16820</v>
      </c>
      <c r="F12099" t="s">
        <v>28669</v>
      </c>
      <c r="G12099" t="s">
        <v>28676</v>
      </c>
      <c r="H12099" t="s">
        <v>9998</v>
      </c>
      <c r="I12099" t="s">
        <v>6606</v>
      </c>
      <c r="J12099" t="s">
        <v>34748</v>
      </c>
      <c r="K12099" t="s">
        <v>37234</v>
      </c>
      <c r="M12099" t="s">
        <v>40055</v>
      </c>
      <c r="N12099" t="s">
        <v>41249</v>
      </c>
      <c r="O12099" t="s">
        <v>41250</v>
      </c>
      <c r="P12099">
        <v>0</v>
      </c>
      <c r="Q12099">
        <v>0</v>
      </c>
      <c r="R12099" t="s">
        <v>41266</v>
      </c>
      <c r="S12099" t="s">
        <v>41978</v>
      </c>
      <c r="T12099" t="s">
        <v>42748</v>
      </c>
      <c r="U12099" t="s">
        <v>52889</v>
      </c>
      <c r="W12099" t="s">
        <v>40055</v>
      </c>
      <c r="X12099" t="s">
        <v>41267</v>
      </c>
    </row>
    <row r="12100" spans="1:24">
      <c r="A12100">
        <f>HYPERLINK("https://www.philgeps.gov.ph/GEPSNONPILOT/Tender/SplashBidNoticeAbstractUI.aspx?menuIndex=3&amp;refID=7049438&amp;Result=3","7049438")</f>
        <v>0</v>
      </c>
      <c r="B12100" t="s">
        <v>1397</v>
      </c>
      <c r="C12100" t="s">
        <v>14973</v>
      </c>
      <c r="D12100" t="s">
        <v>16640</v>
      </c>
      <c r="E12100" t="s">
        <v>27164</v>
      </c>
      <c r="F12100" t="s">
        <v>28669</v>
      </c>
      <c r="G12100" t="s">
        <v>28675</v>
      </c>
      <c r="H12100" t="s">
        <v>28686</v>
      </c>
      <c r="I12100" t="s">
        <v>28689</v>
      </c>
      <c r="J12100" t="s">
        <v>36219</v>
      </c>
      <c r="K12100" t="s">
        <v>37276</v>
      </c>
      <c r="M12100" t="s">
        <v>40812</v>
      </c>
      <c r="N12100" t="s">
        <v>41249</v>
      </c>
      <c r="O12100" t="s">
        <v>41250</v>
      </c>
      <c r="Q12100">
        <v>6</v>
      </c>
      <c r="R12100" t="s">
        <v>41266</v>
      </c>
      <c r="S12100" t="s">
        <v>42043</v>
      </c>
      <c r="T12100" t="s">
        <v>42673</v>
      </c>
      <c r="U12100" t="s">
        <v>52886</v>
      </c>
      <c r="V12100" t="s">
        <v>55524</v>
      </c>
      <c r="W12100" t="s">
        <v>40812</v>
      </c>
      <c r="X12100" t="s">
        <v>41267</v>
      </c>
    </row>
    <row r="12101" spans="1:24">
      <c r="A12101">
        <f>HYPERLINK("https://www.philgeps.gov.ph/GEPSNONPILOT/Tender/SplashBidNoticeAbstractUI.aspx?menuIndex=3&amp;refID=7048543&amp;Result=3","7048543")</f>
        <v>0</v>
      </c>
      <c r="B12101" t="s">
        <v>3206</v>
      </c>
      <c r="C12101" t="s">
        <v>4568</v>
      </c>
      <c r="E12101" t="s">
        <v>17883</v>
      </c>
      <c r="F12101" t="s">
        <v>28672</v>
      </c>
      <c r="G12101" t="s">
        <v>28675</v>
      </c>
      <c r="H12101" t="s">
        <v>9998</v>
      </c>
      <c r="I12101" t="s">
        <v>7352</v>
      </c>
      <c r="J12101" t="s">
        <v>29034</v>
      </c>
      <c r="K12101" t="s">
        <v>37209</v>
      </c>
      <c r="M12101" t="s">
        <v>41013</v>
      </c>
      <c r="N12101" t="s">
        <v>41249</v>
      </c>
      <c r="O12101" t="s">
        <v>41250</v>
      </c>
      <c r="P12101">
        <v>0</v>
      </c>
      <c r="Q12101">
        <v>0</v>
      </c>
      <c r="R12101" t="s">
        <v>41266</v>
      </c>
      <c r="S12101" t="s">
        <v>41978</v>
      </c>
      <c r="T12101" t="s">
        <v>42675</v>
      </c>
      <c r="U12101" t="s">
        <v>44283</v>
      </c>
      <c r="W12101" t="s">
        <v>41013</v>
      </c>
      <c r="X12101" t="s">
        <v>41267</v>
      </c>
    </row>
    <row r="12102" spans="1:24">
      <c r="A12102">
        <f>HYPERLINK("https://www.philgeps.gov.ph/GEPSNONPILOT/Tender/SplashBidNoticeAbstractUI.aspx?menuIndex=3&amp;refID=7049382&amp;Result=3","7049382")</f>
        <v>0</v>
      </c>
      <c r="B12102" t="s">
        <v>1397</v>
      </c>
      <c r="C12102" t="s">
        <v>14974</v>
      </c>
      <c r="D12102" t="s">
        <v>16640</v>
      </c>
      <c r="E12102" t="s">
        <v>27165</v>
      </c>
      <c r="F12102" t="s">
        <v>28669</v>
      </c>
      <c r="G12102" t="s">
        <v>28675</v>
      </c>
      <c r="H12102" t="s">
        <v>28686</v>
      </c>
      <c r="I12102" t="s">
        <v>28689</v>
      </c>
      <c r="J12102" t="s">
        <v>34481</v>
      </c>
      <c r="K12102" t="s">
        <v>37212</v>
      </c>
      <c r="M12102" t="s">
        <v>40812</v>
      </c>
      <c r="N12102" t="s">
        <v>41249</v>
      </c>
      <c r="O12102" t="s">
        <v>41250</v>
      </c>
      <c r="Q12102">
        <v>14</v>
      </c>
      <c r="R12102" t="s">
        <v>41266</v>
      </c>
      <c r="S12102" t="s">
        <v>42044</v>
      </c>
      <c r="T12102" t="s">
        <v>42673</v>
      </c>
      <c r="U12102" t="s">
        <v>52886</v>
      </c>
      <c r="V12102" t="s">
        <v>55524</v>
      </c>
      <c r="W12102" t="s">
        <v>40812</v>
      </c>
      <c r="X12102" t="s">
        <v>41267</v>
      </c>
    </row>
    <row r="12103" spans="1:24">
      <c r="A12103">
        <f>HYPERLINK("https://www.philgeps.gov.ph/GEPSNONPILOT/Tender/SplashBidNoticeAbstractUI.aspx?menuIndex=3&amp;refID=7049371&amp;Result=3","7049371")</f>
        <v>0</v>
      </c>
      <c r="B12103" t="s">
        <v>1327</v>
      </c>
      <c r="C12103" t="s">
        <v>14975</v>
      </c>
      <c r="D12103" t="s">
        <v>16627</v>
      </c>
      <c r="E12103" t="s">
        <v>27166</v>
      </c>
      <c r="F12103" t="s">
        <v>28669</v>
      </c>
      <c r="G12103" t="s">
        <v>28675</v>
      </c>
      <c r="H12103" t="s">
        <v>9998</v>
      </c>
      <c r="I12103" t="s">
        <v>28707</v>
      </c>
      <c r="J12103" t="s">
        <v>36223</v>
      </c>
      <c r="K12103" t="s">
        <v>37213</v>
      </c>
      <c r="M12103" t="s">
        <v>39006</v>
      </c>
      <c r="N12103" t="s">
        <v>41249</v>
      </c>
      <c r="O12103" t="s">
        <v>41250</v>
      </c>
      <c r="P12103">
        <v>0</v>
      </c>
      <c r="Q12103">
        <v>6</v>
      </c>
      <c r="R12103" t="s">
        <v>41266</v>
      </c>
      <c r="S12103" t="s">
        <v>41978</v>
      </c>
      <c r="T12103" t="s">
        <v>42876</v>
      </c>
      <c r="U12103" t="s">
        <v>52849</v>
      </c>
      <c r="W12103" t="s">
        <v>39006</v>
      </c>
      <c r="X12103" t="s">
        <v>41267</v>
      </c>
    </row>
    <row r="12104" spans="1:24">
      <c r="A12104">
        <f>HYPERLINK("https://www.philgeps.gov.ph/GEPSNONPILOT/Tender/SplashBidNoticeAbstractUI.aspx?menuIndex=3&amp;refID=7049360&amp;Result=3","7049360")</f>
        <v>0</v>
      </c>
      <c r="B12104" t="s">
        <v>1397</v>
      </c>
      <c r="C12104" t="s">
        <v>14976</v>
      </c>
      <c r="D12104" t="s">
        <v>16640</v>
      </c>
      <c r="E12104" t="s">
        <v>27167</v>
      </c>
      <c r="F12104" t="s">
        <v>28669</v>
      </c>
      <c r="G12104" t="s">
        <v>28675</v>
      </c>
      <c r="H12104" t="s">
        <v>28686</v>
      </c>
      <c r="I12104" t="s">
        <v>28689</v>
      </c>
      <c r="J12104" t="s">
        <v>32446</v>
      </c>
      <c r="K12104" t="s">
        <v>37215</v>
      </c>
      <c r="M12104" t="s">
        <v>40812</v>
      </c>
      <c r="N12104" t="s">
        <v>41249</v>
      </c>
      <c r="O12104" t="s">
        <v>41250</v>
      </c>
      <c r="Q12104">
        <v>12</v>
      </c>
      <c r="R12104" t="s">
        <v>41266</v>
      </c>
      <c r="S12104" t="s">
        <v>42045</v>
      </c>
      <c r="T12104" t="s">
        <v>42673</v>
      </c>
      <c r="U12104" t="s">
        <v>52886</v>
      </c>
      <c r="V12104" t="s">
        <v>55524</v>
      </c>
      <c r="W12104" t="s">
        <v>40812</v>
      </c>
      <c r="X12104" t="s">
        <v>41267</v>
      </c>
    </row>
    <row r="12105" spans="1:24">
      <c r="A12105">
        <f>HYPERLINK("https://www.philgeps.gov.ph/GEPSNONPILOT/Tender/SplashBidNoticeAbstractUI.aspx?menuIndex=3&amp;refID=7049352&amp;Result=3","7049352")</f>
        <v>0</v>
      </c>
      <c r="B12105" t="s">
        <v>1327</v>
      </c>
      <c r="C12105" t="s">
        <v>14977</v>
      </c>
      <c r="D12105" t="s">
        <v>16627</v>
      </c>
      <c r="E12105" t="s">
        <v>27168</v>
      </c>
      <c r="F12105" t="s">
        <v>28669</v>
      </c>
      <c r="G12105" t="s">
        <v>28675</v>
      </c>
      <c r="H12105" t="s">
        <v>9998</v>
      </c>
      <c r="I12105" t="s">
        <v>28707</v>
      </c>
      <c r="J12105" t="s">
        <v>36224</v>
      </c>
      <c r="K12105" t="s">
        <v>37213</v>
      </c>
      <c r="M12105" t="s">
        <v>38880</v>
      </c>
      <c r="N12105" t="s">
        <v>41249</v>
      </c>
      <c r="O12105" t="s">
        <v>41250</v>
      </c>
      <c r="P12105">
        <v>0</v>
      </c>
      <c r="Q12105">
        <v>4</v>
      </c>
      <c r="R12105" t="s">
        <v>41266</v>
      </c>
      <c r="S12105" t="s">
        <v>41978</v>
      </c>
      <c r="T12105" t="s">
        <v>42876</v>
      </c>
      <c r="U12105" t="s">
        <v>52866</v>
      </c>
      <c r="W12105" t="s">
        <v>38880</v>
      </c>
      <c r="X12105" t="s">
        <v>41267</v>
      </c>
    </row>
    <row r="12106" spans="1:24">
      <c r="A12106">
        <f>HYPERLINK("https://www.philgeps.gov.ph/GEPSNONPILOT/Tender/SplashBidNoticeAbstractUI.aspx?menuIndex=3&amp;refID=7049536&amp;Result=3","7049536")</f>
        <v>0</v>
      </c>
      <c r="B12106" t="s">
        <v>2605</v>
      </c>
      <c r="C12106" t="s">
        <v>14978</v>
      </c>
      <c r="D12106" t="s">
        <v>16608</v>
      </c>
      <c r="E12106" t="s">
        <v>27169</v>
      </c>
      <c r="F12106" t="s">
        <v>28669</v>
      </c>
      <c r="G12106" t="s">
        <v>28675</v>
      </c>
      <c r="H12106" t="s">
        <v>9998</v>
      </c>
      <c r="I12106" t="s">
        <v>28757</v>
      </c>
      <c r="J12106" t="s">
        <v>36225</v>
      </c>
      <c r="K12106" t="s">
        <v>37205</v>
      </c>
      <c r="M12106" t="s">
        <v>40301</v>
      </c>
      <c r="N12106" t="s">
        <v>41249</v>
      </c>
      <c r="O12106" t="s">
        <v>41250</v>
      </c>
      <c r="Q12106">
        <v>4</v>
      </c>
      <c r="R12106" t="s">
        <v>41266</v>
      </c>
      <c r="S12106" t="s">
        <v>42046</v>
      </c>
      <c r="T12106" t="s">
        <v>43023</v>
      </c>
      <c r="U12106" t="s">
        <v>50167</v>
      </c>
      <c r="V12106" t="s">
        <v>55703</v>
      </c>
      <c r="W12106" t="s">
        <v>40301</v>
      </c>
      <c r="X12106" t="s">
        <v>41267</v>
      </c>
    </row>
    <row r="12107" spans="1:24">
      <c r="A12107">
        <f>HYPERLINK("https://www.philgeps.gov.ph/GEPSNONPILOT/Tender/SplashBidNoticeAbstractUI.aspx?menuIndex=3&amp;refID=7049391&amp;Result=3","7049391")</f>
        <v>0</v>
      </c>
      <c r="B12107" t="s">
        <v>1397</v>
      </c>
      <c r="C12107" t="s">
        <v>14979</v>
      </c>
      <c r="D12107" t="s">
        <v>16640</v>
      </c>
      <c r="E12107" t="s">
        <v>27170</v>
      </c>
      <c r="F12107" t="s">
        <v>28669</v>
      </c>
      <c r="G12107" t="s">
        <v>28675</v>
      </c>
      <c r="H12107" t="s">
        <v>28686</v>
      </c>
      <c r="I12107" t="s">
        <v>28689</v>
      </c>
      <c r="J12107" t="s">
        <v>36226</v>
      </c>
      <c r="K12107" t="s">
        <v>37335</v>
      </c>
      <c r="M12107" t="s">
        <v>40812</v>
      </c>
      <c r="N12107" t="s">
        <v>41249</v>
      </c>
      <c r="O12107" t="s">
        <v>41250</v>
      </c>
      <c r="Q12107">
        <v>15</v>
      </c>
      <c r="R12107" t="s">
        <v>41266</v>
      </c>
      <c r="S12107" t="s">
        <v>42042</v>
      </c>
      <c r="T12107" t="s">
        <v>42673</v>
      </c>
      <c r="U12107" t="s">
        <v>52886</v>
      </c>
      <c r="V12107" t="s">
        <v>55524</v>
      </c>
      <c r="W12107" t="s">
        <v>40812</v>
      </c>
      <c r="X12107" t="s">
        <v>41267</v>
      </c>
    </row>
    <row r="12108" spans="1:24">
      <c r="A12108">
        <f>HYPERLINK("https://www.philgeps.gov.ph/GEPSNONPILOT/Tender/SplashBidNoticeAbstractUI.aspx?menuIndex=3&amp;refID=7049523&amp;Result=3","7049523")</f>
        <v>0</v>
      </c>
      <c r="B12108" t="s">
        <v>239</v>
      </c>
      <c r="C12108" t="s">
        <v>14980</v>
      </c>
      <c r="D12108" t="s">
        <v>16621</v>
      </c>
      <c r="E12108" t="s">
        <v>27171</v>
      </c>
      <c r="F12108" t="s">
        <v>28669</v>
      </c>
      <c r="G12108" t="s">
        <v>28675</v>
      </c>
      <c r="H12108" t="s">
        <v>28686</v>
      </c>
      <c r="I12108" t="s">
        <v>28689</v>
      </c>
      <c r="J12108" t="s">
        <v>28850</v>
      </c>
      <c r="K12108" t="s">
        <v>37213</v>
      </c>
      <c r="M12108" t="s">
        <v>37717</v>
      </c>
      <c r="N12108" t="s">
        <v>41249</v>
      </c>
      <c r="O12108" t="s">
        <v>41250</v>
      </c>
      <c r="P12108">
        <v>0</v>
      </c>
      <c r="Q12108">
        <v>4</v>
      </c>
      <c r="R12108" t="s">
        <v>41266</v>
      </c>
      <c r="S12108" t="s">
        <v>41978</v>
      </c>
      <c r="T12108" t="s">
        <v>42703</v>
      </c>
      <c r="U12108" t="s">
        <v>52890</v>
      </c>
      <c r="W12108" t="s">
        <v>37717</v>
      </c>
      <c r="X12108" t="s">
        <v>41267</v>
      </c>
    </row>
    <row r="12109" spans="1:24">
      <c r="A12109">
        <f>HYPERLINK("https://www.philgeps.gov.ph/GEPSNONPILOT/Tender/SplashBidNoticeAbstractUI.aspx?menuIndex=3&amp;refID=7049375&amp;Result=3","7049375")</f>
        <v>0</v>
      </c>
      <c r="B12109" t="s">
        <v>2892</v>
      </c>
      <c r="C12109" t="s">
        <v>14981</v>
      </c>
      <c r="D12109" t="s">
        <v>16622</v>
      </c>
      <c r="E12109" t="s">
        <v>26152</v>
      </c>
      <c r="F12109" t="s">
        <v>28669</v>
      </c>
      <c r="G12109" t="s">
        <v>28675</v>
      </c>
      <c r="H12109" t="s">
        <v>28686</v>
      </c>
      <c r="I12109" t="s">
        <v>28689</v>
      </c>
      <c r="J12109" t="s">
        <v>36227</v>
      </c>
      <c r="K12109" t="s">
        <v>37321</v>
      </c>
      <c r="M12109" t="s">
        <v>40639</v>
      </c>
      <c r="N12109" t="s">
        <v>41249</v>
      </c>
      <c r="O12109" t="s">
        <v>41250</v>
      </c>
      <c r="P12109">
        <v>0</v>
      </c>
      <c r="Q12109">
        <v>0</v>
      </c>
      <c r="R12109" t="s">
        <v>41266</v>
      </c>
      <c r="S12109" t="s">
        <v>41978</v>
      </c>
      <c r="T12109" t="s">
        <v>42703</v>
      </c>
      <c r="U12109" t="s">
        <v>52891</v>
      </c>
      <c r="W12109" t="s">
        <v>40639</v>
      </c>
      <c r="X12109" t="s">
        <v>41267</v>
      </c>
    </row>
    <row r="12110" spans="1:24">
      <c r="A12110">
        <f>HYPERLINK("https://www.philgeps.gov.ph/GEPSNONPILOT/Tender/SplashBidNoticeAbstractUI.aspx?menuIndex=3&amp;refID=7049281&amp;Result=3","7049281")</f>
        <v>0</v>
      </c>
      <c r="B12110" t="s">
        <v>1327</v>
      </c>
      <c r="C12110" t="s">
        <v>14982</v>
      </c>
      <c r="D12110" t="s">
        <v>16627</v>
      </c>
      <c r="E12110" t="s">
        <v>27172</v>
      </c>
      <c r="F12110" t="s">
        <v>28669</v>
      </c>
      <c r="G12110" t="s">
        <v>28675</v>
      </c>
      <c r="H12110" t="s">
        <v>9998</v>
      </c>
      <c r="I12110" t="s">
        <v>28707</v>
      </c>
      <c r="J12110" t="s">
        <v>36228</v>
      </c>
      <c r="K12110" t="s">
        <v>37213</v>
      </c>
      <c r="M12110" t="s">
        <v>38880</v>
      </c>
      <c r="N12110" t="s">
        <v>41249</v>
      </c>
      <c r="O12110" t="s">
        <v>41250</v>
      </c>
      <c r="P12110">
        <v>0</v>
      </c>
      <c r="Q12110">
        <v>5</v>
      </c>
      <c r="R12110" t="s">
        <v>41266</v>
      </c>
      <c r="S12110" t="s">
        <v>41978</v>
      </c>
      <c r="T12110" t="s">
        <v>42876</v>
      </c>
      <c r="U12110" t="s">
        <v>52892</v>
      </c>
      <c r="W12110" t="s">
        <v>38880</v>
      </c>
      <c r="X12110" t="s">
        <v>41267</v>
      </c>
    </row>
    <row r="12111" spans="1:24">
      <c r="A12111">
        <f>HYPERLINK("https://www.philgeps.gov.ph/GEPSNONPILOT/Tender/SplashBidNoticeAbstractUI.aspx?menuIndex=3&amp;refID=7049514&amp;Result=3","7049514")</f>
        <v>0</v>
      </c>
      <c r="B12111" t="s">
        <v>1327</v>
      </c>
      <c r="C12111" t="s">
        <v>14983</v>
      </c>
      <c r="D12111" t="s">
        <v>16627</v>
      </c>
      <c r="E12111" t="s">
        <v>27173</v>
      </c>
      <c r="F12111" t="s">
        <v>28669</v>
      </c>
      <c r="G12111" t="s">
        <v>28675</v>
      </c>
      <c r="H12111" t="s">
        <v>9998</v>
      </c>
      <c r="I12111" t="s">
        <v>28707</v>
      </c>
      <c r="J12111" t="s">
        <v>36229</v>
      </c>
      <c r="K12111" t="s">
        <v>37213</v>
      </c>
      <c r="M12111" t="s">
        <v>38880</v>
      </c>
      <c r="N12111" t="s">
        <v>41249</v>
      </c>
      <c r="O12111" t="s">
        <v>41250</v>
      </c>
      <c r="P12111">
        <v>0</v>
      </c>
      <c r="Q12111">
        <v>7</v>
      </c>
      <c r="R12111" t="s">
        <v>41266</v>
      </c>
      <c r="S12111" t="s">
        <v>41978</v>
      </c>
      <c r="T12111" t="s">
        <v>42876</v>
      </c>
      <c r="U12111" t="s">
        <v>52893</v>
      </c>
      <c r="W12111" t="s">
        <v>38880</v>
      </c>
      <c r="X12111" t="s">
        <v>41267</v>
      </c>
    </row>
    <row r="12112" spans="1:24">
      <c r="A12112">
        <f>HYPERLINK("https://www.philgeps.gov.ph/GEPSNONPILOT/Tender/SplashBidNoticeAbstractUI.aspx?menuIndex=3&amp;refID=7049512&amp;Result=3","7049512")</f>
        <v>0</v>
      </c>
      <c r="B12112" t="s">
        <v>2382</v>
      </c>
      <c r="C12112" t="s">
        <v>14984</v>
      </c>
      <c r="D12112" t="s">
        <v>16626</v>
      </c>
      <c r="E12112" t="s">
        <v>16861</v>
      </c>
      <c r="F12112" t="s">
        <v>28669</v>
      </c>
      <c r="G12112" t="s">
        <v>28676</v>
      </c>
      <c r="H12112" t="s">
        <v>9998</v>
      </c>
      <c r="I12112" t="s">
        <v>28775</v>
      </c>
      <c r="J12112" t="s">
        <v>31100</v>
      </c>
      <c r="K12112" t="s">
        <v>37234</v>
      </c>
      <c r="M12112" t="s">
        <v>40055</v>
      </c>
      <c r="N12112" t="s">
        <v>41249</v>
      </c>
      <c r="O12112" t="s">
        <v>41250</v>
      </c>
      <c r="P12112">
        <v>0</v>
      </c>
      <c r="Q12112">
        <v>0</v>
      </c>
      <c r="R12112" t="s">
        <v>41266</v>
      </c>
      <c r="S12112" t="s">
        <v>41978</v>
      </c>
      <c r="T12112" t="s">
        <v>42748</v>
      </c>
      <c r="U12112" t="s">
        <v>52894</v>
      </c>
      <c r="W12112" t="s">
        <v>40055</v>
      </c>
      <c r="X12112" t="s">
        <v>41267</v>
      </c>
    </row>
    <row r="12113" spans="1:24">
      <c r="A12113">
        <f>HYPERLINK("https://www.philgeps.gov.ph/GEPSNONPILOT/Tender/SplashBidNoticeAbstractUI.aspx?menuIndex=3&amp;refID=7049501&amp;Result=3","7049501")</f>
        <v>0</v>
      </c>
      <c r="B12113" t="s">
        <v>1327</v>
      </c>
      <c r="C12113" t="s">
        <v>14985</v>
      </c>
      <c r="D12113" t="s">
        <v>16627</v>
      </c>
      <c r="E12113" t="s">
        <v>27174</v>
      </c>
      <c r="F12113" t="s">
        <v>28669</v>
      </c>
      <c r="G12113" t="s">
        <v>28675</v>
      </c>
      <c r="H12113" t="s">
        <v>9998</v>
      </c>
      <c r="I12113" t="s">
        <v>28707</v>
      </c>
      <c r="J12113" t="s">
        <v>36230</v>
      </c>
      <c r="K12113" t="s">
        <v>37213</v>
      </c>
      <c r="M12113" t="s">
        <v>38880</v>
      </c>
      <c r="N12113" t="s">
        <v>41249</v>
      </c>
      <c r="O12113" t="s">
        <v>41250</v>
      </c>
      <c r="P12113">
        <v>0</v>
      </c>
      <c r="Q12113">
        <v>4</v>
      </c>
      <c r="R12113" t="s">
        <v>41266</v>
      </c>
      <c r="S12113" t="s">
        <v>41978</v>
      </c>
      <c r="T12113" t="s">
        <v>42876</v>
      </c>
      <c r="U12113" t="s">
        <v>52895</v>
      </c>
      <c r="W12113" t="s">
        <v>38880</v>
      </c>
      <c r="X12113" t="s">
        <v>41267</v>
      </c>
    </row>
    <row r="12114" spans="1:24">
      <c r="A12114">
        <f>HYPERLINK("https://www.philgeps.gov.ph/GEPSNONPILOT/Tender/SplashBidNoticeAbstractUI.aspx?menuIndex=3&amp;refID=7049383&amp;Result=3","7049383")</f>
        <v>0</v>
      </c>
      <c r="B12114" t="s">
        <v>2469</v>
      </c>
      <c r="C12114" t="s">
        <v>14986</v>
      </c>
      <c r="D12114" t="s">
        <v>16655</v>
      </c>
      <c r="E12114" t="s">
        <v>27175</v>
      </c>
      <c r="F12114" t="s">
        <v>28669</v>
      </c>
      <c r="G12114" t="s">
        <v>28675</v>
      </c>
      <c r="H12114" t="s">
        <v>28686</v>
      </c>
      <c r="I12114" t="s">
        <v>28689</v>
      </c>
      <c r="J12114" t="s">
        <v>36231</v>
      </c>
      <c r="K12114" t="s">
        <v>37206</v>
      </c>
      <c r="L12114" t="s">
        <v>2469</v>
      </c>
      <c r="M12114" t="s">
        <v>40152</v>
      </c>
      <c r="N12114" t="s">
        <v>41249</v>
      </c>
      <c r="O12114" t="s">
        <v>41250</v>
      </c>
      <c r="P12114">
        <v>0</v>
      </c>
      <c r="Q12114">
        <v>0</v>
      </c>
      <c r="R12114" t="s">
        <v>41266</v>
      </c>
      <c r="S12114" t="s">
        <v>41978</v>
      </c>
      <c r="T12114" t="s">
        <v>42673</v>
      </c>
      <c r="U12114" t="s">
        <v>52896</v>
      </c>
      <c r="V12114" t="s">
        <v>55704</v>
      </c>
      <c r="W12114" t="s">
        <v>40152</v>
      </c>
      <c r="X12114" t="s">
        <v>41267</v>
      </c>
    </row>
    <row r="12115" spans="1:24">
      <c r="A12115">
        <f>HYPERLINK("https://www.philgeps.gov.ph/GEPSNONPILOT/Tender/SplashBidNoticeAbstractUI.aspx?menuIndex=3&amp;refID=7049515&amp;Result=3","7049515")</f>
        <v>0</v>
      </c>
      <c r="B12115" t="s">
        <v>732</v>
      </c>
      <c r="C12115" t="s">
        <v>14987</v>
      </c>
      <c r="E12115" t="s">
        <v>27176</v>
      </c>
      <c r="F12115" t="s">
        <v>28669</v>
      </c>
      <c r="G12115" t="s">
        <v>28675</v>
      </c>
      <c r="H12115" t="s">
        <v>9998</v>
      </c>
      <c r="I12115" t="s">
        <v>28708</v>
      </c>
      <c r="J12115" t="s">
        <v>34377</v>
      </c>
      <c r="K12115" t="s">
        <v>37220</v>
      </c>
      <c r="M12115" t="s">
        <v>41014</v>
      </c>
      <c r="N12115" t="s">
        <v>41249</v>
      </c>
      <c r="O12115" t="s">
        <v>41250</v>
      </c>
      <c r="P12115">
        <v>0</v>
      </c>
      <c r="Q12115">
        <v>11</v>
      </c>
      <c r="R12115" t="s">
        <v>41266</v>
      </c>
      <c r="S12115" t="s">
        <v>41978</v>
      </c>
      <c r="T12115" t="s">
        <v>42670</v>
      </c>
      <c r="U12115" t="s">
        <v>52897</v>
      </c>
      <c r="W12115" t="s">
        <v>41014</v>
      </c>
      <c r="X12115" t="s">
        <v>41267</v>
      </c>
    </row>
    <row r="12116" spans="1:24">
      <c r="A12116">
        <f>HYPERLINK("https://www.philgeps.gov.ph/GEPSNONPILOT/Tender/SplashBidNoticeAbstractUI.aspx?menuIndex=3&amp;refID=7049517&amp;Result=3","7049517")</f>
        <v>0</v>
      </c>
      <c r="B12116" t="s">
        <v>2605</v>
      </c>
      <c r="C12116" t="s">
        <v>14988</v>
      </c>
      <c r="D12116" t="s">
        <v>16608</v>
      </c>
      <c r="E12116" t="s">
        <v>27177</v>
      </c>
      <c r="F12116" t="s">
        <v>28669</v>
      </c>
      <c r="G12116" t="s">
        <v>28675</v>
      </c>
      <c r="H12116" t="s">
        <v>9998</v>
      </c>
      <c r="I12116" t="s">
        <v>28708</v>
      </c>
      <c r="J12116" t="s">
        <v>36232</v>
      </c>
      <c r="K12116" t="s">
        <v>37206</v>
      </c>
      <c r="M12116" t="s">
        <v>40301</v>
      </c>
      <c r="N12116" t="s">
        <v>41249</v>
      </c>
      <c r="O12116" t="s">
        <v>41250</v>
      </c>
      <c r="Q12116">
        <v>18</v>
      </c>
      <c r="R12116" t="s">
        <v>41266</v>
      </c>
      <c r="S12116" t="s">
        <v>41881</v>
      </c>
      <c r="T12116" t="s">
        <v>43023</v>
      </c>
      <c r="U12116" t="s">
        <v>50167</v>
      </c>
      <c r="V12116" t="s">
        <v>55703</v>
      </c>
      <c r="W12116" t="s">
        <v>40301</v>
      </c>
      <c r="X12116" t="s">
        <v>41267</v>
      </c>
    </row>
    <row r="12117" spans="1:24">
      <c r="A12117">
        <f>HYPERLINK("https://www.philgeps.gov.ph/GEPSNONPILOT/Tender/SplashBidNoticeAbstractUI.aspx?menuIndex=3&amp;refID=7049478&amp;Result=3","7049478")</f>
        <v>0</v>
      </c>
      <c r="B12117" t="s">
        <v>2173</v>
      </c>
      <c r="C12117" t="s">
        <v>14989</v>
      </c>
      <c r="D12117" t="s">
        <v>16664</v>
      </c>
      <c r="E12117" t="s">
        <v>27178</v>
      </c>
      <c r="F12117" t="s">
        <v>28669</v>
      </c>
      <c r="G12117" t="s">
        <v>28675</v>
      </c>
      <c r="H12117" t="s">
        <v>9998</v>
      </c>
      <c r="I12117" t="s">
        <v>3718</v>
      </c>
      <c r="J12117" t="s">
        <v>33857</v>
      </c>
      <c r="K12117" t="s">
        <v>37220</v>
      </c>
      <c r="M12117" t="s">
        <v>39822</v>
      </c>
      <c r="N12117" t="s">
        <v>41249</v>
      </c>
      <c r="O12117" t="s">
        <v>41250</v>
      </c>
      <c r="Q12117">
        <v>4</v>
      </c>
      <c r="R12117" t="s">
        <v>41266</v>
      </c>
      <c r="S12117" t="s">
        <v>42047</v>
      </c>
      <c r="T12117" t="s">
        <v>43144</v>
      </c>
      <c r="U12117" t="s">
        <v>52898</v>
      </c>
      <c r="V12117" t="s">
        <v>55705</v>
      </c>
      <c r="W12117" t="s">
        <v>39822</v>
      </c>
      <c r="X12117" t="s">
        <v>41267</v>
      </c>
    </row>
    <row r="12118" spans="1:24">
      <c r="A12118">
        <f>HYPERLINK("https://www.philgeps.gov.ph/GEPSNONPILOT/Tender/SplashBidNoticeAbstractUI.aspx?menuIndex=3&amp;refID=7049503&amp;Result=3","7049503")</f>
        <v>0</v>
      </c>
      <c r="B12118" t="s">
        <v>2173</v>
      </c>
      <c r="C12118" t="s">
        <v>14990</v>
      </c>
      <c r="D12118" t="s">
        <v>16664</v>
      </c>
      <c r="E12118" t="s">
        <v>27179</v>
      </c>
      <c r="F12118" t="s">
        <v>28669</v>
      </c>
      <c r="G12118" t="s">
        <v>28675</v>
      </c>
      <c r="H12118" t="s">
        <v>9998</v>
      </c>
      <c r="I12118" t="s">
        <v>28693</v>
      </c>
      <c r="J12118" t="s">
        <v>36233</v>
      </c>
      <c r="K12118" t="s">
        <v>37220</v>
      </c>
      <c r="M12118" t="s">
        <v>39822</v>
      </c>
      <c r="N12118" t="s">
        <v>41249</v>
      </c>
      <c r="O12118" t="s">
        <v>41250</v>
      </c>
      <c r="Q12118">
        <v>6</v>
      </c>
      <c r="R12118" t="s">
        <v>41266</v>
      </c>
      <c r="S12118" t="s">
        <v>42048</v>
      </c>
      <c r="T12118" t="s">
        <v>43145</v>
      </c>
      <c r="U12118" t="s">
        <v>52899</v>
      </c>
      <c r="V12118" t="s">
        <v>55706</v>
      </c>
      <c r="W12118" t="s">
        <v>39822</v>
      </c>
      <c r="X12118" t="s">
        <v>41267</v>
      </c>
    </row>
    <row r="12119" spans="1:24">
      <c r="A12119">
        <f>HYPERLINK("https://www.philgeps.gov.ph/GEPSNONPILOT/Tender/SplashBidNoticeAbstractUI.aspx?menuIndex=3&amp;refID=7049479&amp;Result=3","7049479")</f>
        <v>0</v>
      </c>
      <c r="B12119" t="s">
        <v>2892</v>
      </c>
      <c r="C12119" t="s">
        <v>14991</v>
      </c>
      <c r="D12119" t="s">
        <v>16622</v>
      </c>
      <c r="E12119" t="s">
        <v>26271</v>
      </c>
      <c r="F12119" t="s">
        <v>28669</v>
      </c>
      <c r="G12119" t="s">
        <v>28675</v>
      </c>
      <c r="H12119" t="s">
        <v>28686</v>
      </c>
      <c r="I12119" t="s">
        <v>28689</v>
      </c>
      <c r="J12119" t="s">
        <v>36234</v>
      </c>
      <c r="K12119" t="s">
        <v>37251</v>
      </c>
      <c r="M12119" t="s">
        <v>40639</v>
      </c>
      <c r="N12119" t="s">
        <v>41249</v>
      </c>
      <c r="O12119" t="s">
        <v>41250</v>
      </c>
      <c r="P12119">
        <v>0</v>
      </c>
      <c r="Q12119">
        <v>0</v>
      </c>
      <c r="R12119" t="s">
        <v>41266</v>
      </c>
      <c r="S12119" t="s">
        <v>41978</v>
      </c>
      <c r="T12119" t="s">
        <v>42742</v>
      </c>
      <c r="U12119" t="s">
        <v>52900</v>
      </c>
      <c r="W12119" t="s">
        <v>40639</v>
      </c>
      <c r="X12119" t="s">
        <v>41267</v>
      </c>
    </row>
    <row r="12120" spans="1:24">
      <c r="A12120">
        <f>HYPERLINK("https://www.philgeps.gov.ph/GEPSNONPILOT/Tender/SplashBidNoticeAbstractUI.aspx?menuIndex=3&amp;refID=7049480&amp;Result=3","7049480")</f>
        <v>0</v>
      </c>
      <c r="B12120" t="s">
        <v>1397</v>
      </c>
      <c r="C12120" t="s">
        <v>14992</v>
      </c>
      <c r="D12120" t="s">
        <v>16640</v>
      </c>
      <c r="E12120" t="s">
        <v>27180</v>
      </c>
      <c r="F12120" t="s">
        <v>28669</v>
      </c>
      <c r="G12120" t="s">
        <v>28675</v>
      </c>
      <c r="H12120" t="s">
        <v>28686</v>
      </c>
      <c r="I12120" t="s">
        <v>28689</v>
      </c>
      <c r="J12120" t="s">
        <v>36235</v>
      </c>
      <c r="K12120" t="s">
        <v>37218</v>
      </c>
      <c r="M12120" t="s">
        <v>40812</v>
      </c>
      <c r="N12120" t="s">
        <v>41249</v>
      </c>
      <c r="O12120" t="s">
        <v>41250</v>
      </c>
      <c r="Q12120">
        <v>8</v>
      </c>
      <c r="R12120" t="s">
        <v>41266</v>
      </c>
      <c r="S12120" t="s">
        <v>42049</v>
      </c>
      <c r="T12120" t="s">
        <v>42673</v>
      </c>
      <c r="U12120" t="s">
        <v>52886</v>
      </c>
      <c r="V12120" t="s">
        <v>55524</v>
      </c>
      <c r="W12120" t="s">
        <v>40812</v>
      </c>
      <c r="X12120" t="s">
        <v>41267</v>
      </c>
    </row>
    <row r="12121" spans="1:24">
      <c r="A12121">
        <f>HYPERLINK("https://www.philgeps.gov.ph/GEPSNONPILOT/Tender/SplashBidNoticeAbstractUI.aspx?menuIndex=3&amp;refID=7049461&amp;Result=3","7049461")</f>
        <v>0</v>
      </c>
      <c r="B12121" t="s">
        <v>1397</v>
      </c>
      <c r="C12121" t="s">
        <v>14993</v>
      </c>
      <c r="D12121" t="s">
        <v>16640</v>
      </c>
      <c r="E12121" t="s">
        <v>27181</v>
      </c>
      <c r="F12121" t="s">
        <v>28669</v>
      </c>
      <c r="G12121" t="s">
        <v>28675</v>
      </c>
      <c r="H12121" t="s">
        <v>28686</v>
      </c>
      <c r="I12121" t="s">
        <v>28689</v>
      </c>
      <c r="J12121" t="s">
        <v>36219</v>
      </c>
      <c r="K12121" t="s">
        <v>37218</v>
      </c>
      <c r="M12121" t="s">
        <v>40812</v>
      </c>
      <c r="N12121" t="s">
        <v>41249</v>
      </c>
      <c r="O12121" t="s">
        <v>41250</v>
      </c>
      <c r="Q12121">
        <v>4</v>
      </c>
      <c r="R12121" t="s">
        <v>41266</v>
      </c>
      <c r="S12121" t="s">
        <v>42050</v>
      </c>
      <c r="T12121" t="s">
        <v>42673</v>
      </c>
      <c r="U12121" t="s">
        <v>52886</v>
      </c>
      <c r="V12121" t="s">
        <v>55707</v>
      </c>
      <c r="W12121" t="s">
        <v>40812</v>
      </c>
      <c r="X12121" t="s">
        <v>41267</v>
      </c>
    </row>
    <row r="12122" spans="1:24">
      <c r="A12122">
        <f>HYPERLINK("https://www.philgeps.gov.ph/GEPSNONPILOT/Tender/SplashBidNoticeAbstractUI.aspx?menuIndex=3&amp;refID=7049453&amp;Result=3","7049453")</f>
        <v>0</v>
      </c>
      <c r="B12122" t="s">
        <v>2173</v>
      </c>
      <c r="C12122" t="s">
        <v>14994</v>
      </c>
      <c r="D12122" t="s">
        <v>16664</v>
      </c>
      <c r="E12122" t="s">
        <v>27182</v>
      </c>
      <c r="F12122" t="s">
        <v>28669</v>
      </c>
      <c r="G12122" t="s">
        <v>28675</v>
      </c>
      <c r="H12122" t="s">
        <v>9998</v>
      </c>
      <c r="I12122" t="s">
        <v>28711</v>
      </c>
      <c r="J12122" t="s">
        <v>36236</v>
      </c>
      <c r="K12122" t="s">
        <v>37206</v>
      </c>
      <c r="M12122" t="s">
        <v>39822</v>
      </c>
      <c r="N12122" t="s">
        <v>41249</v>
      </c>
      <c r="O12122" t="s">
        <v>41250</v>
      </c>
      <c r="Q12122">
        <v>4</v>
      </c>
      <c r="R12122" t="s">
        <v>41266</v>
      </c>
      <c r="S12122" t="s">
        <v>42051</v>
      </c>
      <c r="T12122" t="s">
        <v>43146</v>
      </c>
      <c r="U12122" t="s">
        <v>52901</v>
      </c>
      <c r="V12122" t="s">
        <v>55708</v>
      </c>
      <c r="W12122" t="s">
        <v>39822</v>
      </c>
      <c r="X12122" t="s">
        <v>41267</v>
      </c>
    </row>
    <row r="12123" spans="1:24">
      <c r="A12123">
        <f>HYPERLINK("https://www.philgeps.gov.ph/GEPSNONPILOT/Tender/SplashBidNoticeAbstractUI.aspx?menuIndex=3&amp;refID=7049474&amp;Result=3","7049474")</f>
        <v>0</v>
      </c>
      <c r="B12123" t="s">
        <v>1327</v>
      </c>
      <c r="C12123" t="s">
        <v>14995</v>
      </c>
      <c r="D12123" t="s">
        <v>16627</v>
      </c>
      <c r="E12123" t="s">
        <v>27183</v>
      </c>
      <c r="F12123" t="s">
        <v>28669</v>
      </c>
      <c r="G12123" t="s">
        <v>28675</v>
      </c>
      <c r="H12123" t="s">
        <v>9998</v>
      </c>
      <c r="I12123" t="s">
        <v>28707</v>
      </c>
      <c r="J12123" t="s">
        <v>36237</v>
      </c>
      <c r="K12123" t="s">
        <v>37213</v>
      </c>
      <c r="M12123" t="s">
        <v>38880</v>
      </c>
      <c r="N12123" t="s">
        <v>41249</v>
      </c>
      <c r="O12123" t="s">
        <v>41250</v>
      </c>
      <c r="P12123">
        <v>0</v>
      </c>
      <c r="Q12123">
        <v>5</v>
      </c>
      <c r="R12123" t="s">
        <v>41266</v>
      </c>
      <c r="S12123" t="s">
        <v>41978</v>
      </c>
      <c r="T12123" t="s">
        <v>42742</v>
      </c>
      <c r="U12123" t="s">
        <v>52902</v>
      </c>
      <c r="W12123" t="s">
        <v>38880</v>
      </c>
      <c r="X12123" t="s">
        <v>41267</v>
      </c>
    </row>
    <row r="12124" spans="1:24">
      <c r="A12124">
        <f>HYPERLINK("https://www.philgeps.gov.ph/GEPSNONPILOT/Tender/SplashBidNoticeAbstractUI.aspx?menuIndex=3&amp;refID=7049452&amp;Result=3","7049452")</f>
        <v>0</v>
      </c>
      <c r="B12124" t="s">
        <v>2077</v>
      </c>
      <c r="C12124" t="s">
        <v>14996</v>
      </c>
      <c r="D12124" t="s">
        <v>16633</v>
      </c>
      <c r="E12124" t="s">
        <v>20806</v>
      </c>
      <c r="F12124" t="s">
        <v>28669</v>
      </c>
      <c r="G12124" t="s">
        <v>28675</v>
      </c>
      <c r="H12124" t="s">
        <v>9998</v>
      </c>
      <c r="I12124" t="s">
        <v>28687</v>
      </c>
      <c r="J12124" t="s">
        <v>28847</v>
      </c>
      <c r="K12124" t="s">
        <v>37204</v>
      </c>
      <c r="M12124" t="s">
        <v>39718</v>
      </c>
      <c r="N12124" t="s">
        <v>41249</v>
      </c>
      <c r="O12124" t="s">
        <v>41250</v>
      </c>
      <c r="P12124">
        <v>0</v>
      </c>
      <c r="Q12124">
        <v>7</v>
      </c>
      <c r="R12124" t="s">
        <v>41266</v>
      </c>
      <c r="S12124" t="s">
        <v>41978</v>
      </c>
      <c r="T12124" t="s">
        <v>42706</v>
      </c>
      <c r="U12124" t="s">
        <v>52903</v>
      </c>
      <c r="V12124" t="s">
        <v>55709</v>
      </c>
      <c r="W12124" t="s">
        <v>39718</v>
      </c>
      <c r="X12124" t="s">
        <v>41267</v>
      </c>
    </row>
    <row r="12125" spans="1:24">
      <c r="A12125">
        <f>HYPERLINK("https://www.philgeps.gov.ph/GEPSNONPILOT/Tender/SplashBidNoticeAbstractUI.aspx?menuIndex=3&amp;refID=7049447&amp;Result=3","7049447")</f>
        <v>0</v>
      </c>
      <c r="B12125" t="s">
        <v>720</v>
      </c>
      <c r="C12125" t="s">
        <v>14997</v>
      </c>
      <c r="D12125" t="s">
        <v>16640</v>
      </c>
      <c r="E12125" t="s">
        <v>27184</v>
      </c>
      <c r="F12125" t="s">
        <v>28669</v>
      </c>
      <c r="G12125" t="s">
        <v>28675</v>
      </c>
      <c r="H12125" t="s">
        <v>9998</v>
      </c>
      <c r="I12125" t="s">
        <v>28697</v>
      </c>
      <c r="J12125" t="s">
        <v>36238</v>
      </c>
      <c r="K12125" t="s">
        <v>37205</v>
      </c>
      <c r="M12125" t="s">
        <v>40419</v>
      </c>
      <c r="N12125" t="s">
        <v>41249</v>
      </c>
      <c r="O12125" t="s">
        <v>41250</v>
      </c>
      <c r="P12125">
        <v>0</v>
      </c>
      <c r="Q12125">
        <v>3</v>
      </c>
      <c r="R12125" t="s">
        <v>41266</v>
      </c>
      <c r="S12125" t="s">
        <v>41978</v>
      </c>
      <c r="T12125" t="s">
        <v>42694</v>
      </c>
      <c r="U12125" t="s">
        <v>52904</v>
      </c>
      <c r="V12125" t="s">
        <v>55710</v>
      </c>
      <c r="W12125" t="s">
        <v>55928</v>
      </c>
      <c r="X12125" t="s">
        <v>41267</v>
      </c>
    </row>
    <row r="12126" spans="1:24">
      <c r="A12126">
        <f>HYPERLINK("https://www.philgeps.gov.ph/GEPSNONPILOT/Tender/SplashBidNoticeAbstractUI.aspx?menuIndex=3&amp;refID=7049445&amp;Result=3","7049445")</f>
        <v>0</v>
      </c>
      <c r="B12126" t="s">
        <v>2077</v>
      </c>
      <c r="C12126" t="s">
        <v>14998</v>
      </c>
      <c r="D12126" t="s">
        <v>16633</v>
      </c>
      <c r="E12126" t="s">
        <v>24288</v>
      </c>
      <c r="F12126" t="s">
        <v>28669</v>
      </c>
      <c r="G12126" t="s">
        <v>28675</v>
      </c>
      <c r="H12126" t="s">
        <v>9998</v>
      </c>
      <c r="I12126" t="s">
        <v>11593</v>
      </c>
      <c r="J12126" t="s">
        <v>30368</v>
      </c>
      <c r="K12126" t="s">
        <v>37204</v>
      </c>
      <c r="M12126" t="s">
        <v>39718</v>
      </c>
      <c r="N12126" t="s">
        <v>41249</v>
      </c>
      <c r="O12126" t="s">
        <v>41250</v>
      </c>
      <c r="P12126">
        <v>0</v>
      </c>
      <c r="Q12126">
        <v>3</v>
      </c>
      <c r="R12126" t="s">
        <v>41266</v>
      </c>
      <c r="S12126" t="s">
        <v>41978</v>
      </c>
      <c r="T12126" t="s">
        <v>42706</v>
      </c>
      <c r="U12126" t="s">
        <v>52905</v>
      </c>
      <c r="V12126" t="s">
        <v>55709</v>
      </c>
      <c r="W12126" t="s">
        <v>39718</v>
      </c>
      <c r="X12126" t="s">
        <v>41267</v>
      </c>
    </row>
    <row r="12127" spans="1:24">
      <c r="A12127">
        <f>HYPERLINK("https://www.philgeps.gov.ph/GEPSNONPILOT/Tender/SplashBidNoticeAbstractUI.aspx?menuIndex=3&amp;refID=7049470&amp;Result=3","7049470")</f>
        <v>0</v>
      </c>
      <c r="B12127" t="s">
        <v>1397</v>
      </c>
      <c r="C12127" t="s">
        <v>14999</v>
      </c>
      <c r="D12127" t="s">
        <v>16640</v>
      </c>
      <c r="E12127" t="s">
        <v>27185</v>
      </c>
      <c r="F12127" t="s">
        <v>28669</v>
      </c>
      <c r="G12127" t="s">
        <v>28675</v>
      </c>
      <c r="H12127" t="s">
        <v>28686</v>
      </c>
      <c r="I12127" t="s">
        <v>28689</v>
      </c>
      <c r="J12127" t="s">
        <v>36239</v>
      </c>
      <c r="K12127" t="s">
        <v>37290</v>
      </c>
      <c r="M12127" t="s">
        <v>40812</v>
      </c>
      <c r="N12127" t="s">
        <v>41249</v>
      </c>
      <c r="O12127" t="s">
        <v>41250</v>
      </c>
      <c r="Q12127">
        <v>5</v>
      </c>
      <c r="R12127" t="s">
        <v>41266</v>
      </c>
      <c r="S12127" t="s">
        <v>42052</v>
      </c>
      <c r="T12127" t="s">
        <v>42673</v>
      </c>
      <c r="U12127" t="s">
        <v>52886</v>
      </c>
      <c r="V12127" t="s">
        <v>55524</v>
      </c>
      <c r="W12127" t="s">
        <v>40812</v>
      </c>
      <c r="X12127" t="s">
        <v>41267</v>
      </c>
    </row>
    <row r="12128" spans="1:24">
      <c r="A12128">
        <f>HYPERLINK("https://www.philgeps.gov.ph/GEPSNONPILOT/Tender/SplashBidNoticeAbstractUI.aspx?menuIndex=3&amp;refID=7049349&amp;Result=3","7049349")</f>
        <v>0</v>
      </c>
      <c r="B12128" t="s">
        <v>1397</v>
      </c>
      <c r="C12128" t="s">
        <v>15000</v>
      </c>
      <c r="D12128" t="s">
        <v>16640</v>
      </c>
      <c r="E12128" t="s">
        <v>27186</v>
      </c>
      <c r="F12128" t="s">
        <v>28669</v>
      </c>
      <c r="G12128" t="s">
        <v>28675</v>
      </c>
      <c r="H12128" t="s">
        <v>28686</v>
      </c>
      <c r="I12128" t="s">
        <v>28689</v>
      </c>
      <c r="J12128" t="s">
        <v>36240</v>
      </c>
      <c r="K12128" t="s">
        <v>37214</v>
      </c>
      <c r="M12128" t="s">
        <v>40812</v>
      </c>
      <c r="N12128" t="s">
        <v>41249</v>
      </c>
      <c r="O12128" t="s">
        <v>41250</v>
      </c>
      <c r="Q12128">
        <v>11</v>
      </c>
      <c r="R12128" t="s">
        <v>41266</v>
      </c>
      <c r="S12128" t="s">
        <v>41630</v>
      </c>
      <c r="T12128" t="s">
        <v>42694</v>
      </c>
      <c r="U12128" t="s">
        <v>52886</v>
      </c>
      <c r="V12128" t="s">
        <v>55524</v>
      </c>
      <c r="W12128" t="s">
        <v>40812</v>
      </c>
      <c r="X12128" t="s">
        <v>41267</v>
      </c>
    </row>
    <row r="12129" spans="1:24">
      <c r="A12129">
        <f>HYPERLINK("https://www.philgeps.gov.ph/GEPSNONPILOT/Tender/SplashBidNoticeAbstractUI.aspx?menuIndex=3&amp;refID=7049340&amp;Result=3","7049340")</f>
        <v>0</v>
      </c>
      <c r="B12129" t="s">
        <v>1397</v>
      </c>
      <c r="C12129" t="s">
        <v>15001</v>
      </c>
      <c r="D12129" t="s">
        <v>16640</v>
      </c>
      <c r="E12129" t="s">
        <v>27187</v>
      </c>
      <c r="F12129" t="s">
        <v>28669</v>
      </c>
      <c r="G12129" t="s">
        <v>28675</v>
      </c>
      <c r="H12129" t="s">
        <v>28686</v>
      </c>
      <c r="I12129" t="s">
        <v>28689</v>
      </c>
      <c r="J12129" t="s">
        <v>30840</v>
      </c>
      <c r="K12129" t="s">
        <v>37214</v>
      </c>
      <c r="M12129" t="s">
        <v>40812</v>
      </c>
      <c r="N12129" t="s">
        <v>41249</v>
      </c>
      <c r="O12129" t="s">
        <v>41250</v>
      </c>
      <c r="Q12129">
        <v>10</v>
      </c>
      <c r="R12129" t="s">
        <v>41266</v>
      </c>
      <c r="S12129" t="s">
        <v>41822</v>
      </c>
      <c r="T12129" t="s">
        <v>42673</v>
      </c>
      <c r="U12129" t="s">
        <v>52886</v>
      </c>
      <c r="V12129" t="s">
        <v>55524</v>
      </c>
      <c r="W12129" t="s">
        <v>40812</v>
      </c>
      <c r="X12129" t="s">
        <v>41267</v>
      </c>
    </row>
    <row r="12130" spans="1:24">
      <c r="A12130">
        <f>HYPERLINK("https://www.philgeps.gov.ph/GEPSNONPILOT/Tender/SplashBidNoticeAbstractUI.aspx?menuIndex=3&amp;refID=7049411&amp;Result=3","7049411")</f>
        <v>0</v>
      </c>
      <c r="B12130" t="s">
        <v>2469</v>
      </c>
      <c r="C12130" t="s">
        <v>15002</v>
      </c>
      <c r="D12130" t="s">
        <v>16655</v>
      </c>
      <c r="E12130" t="s">
        <v>27188</v>
      </c>
      <c r="F12130" t="s">
        <v>28669</v>
      </c>
      <c r="G12130" t="s">
        <v>28675</v>
      </c>
      <c r="H12130" t="s">
        <v>28686</v>
      </c>
      <c r="I12130" t="s">
        <v>28689</v>
      </c>
      <c r="J12130" t="s">
        <v>36241</v>
      </c>
      <c r="K12130" t="s">
        <v>37227</v>
      </c>
      <c r="L12130" t="s">
        <v>2469</v>
      </c>
      <c r="M12130" t="s">
        <v>40152</v>
      </c>
      <c r="N12130" t="s">
        <v>41249</v>
      </c>
      <c r="O12130" t="s">
        <v>41250</v>
      </c>
      <c r="P12130">
        <v>0</v>
      </c>
      <c r="Q12130">
        <v>0</v>
      </c>
      <c r="R12130" t="s">
        <v>41266</v>
      </c>
      <c r="S12130" t="s">
        <v>41978</v>
      </c>
      <c r="T12130" t="s">
        <v>42673</v>
      </c>
      <c r="U12130" t="s">
        <v>52906</v>
      </c>
      <c r="V12130" t="s">
        <v>55711</v>
      </c>
      <c r="W12130" t="s">
        <v>40152</v>
      </c>
      <c r="X12130" t="s">
        <v>41267</v>
      </c>
    </row>
    <row r="12131" spans="1:24">
      <c r="A12131">
        <f>HYPERLINK("https://www.philgeps.gov.ph/GEPSNONPILOT/Tender/SplashBidNoticeAbstractUI.aspx?menuIndex=3&amp;refID=7049229&amp;Result=3","7049229")</f>
        <v>0</v>
      </c>
      <c r="B12131" t="s">
        <v>1515</v>
      </c>
      <c r="C12131" t="s">
        <v>15003</v>
      </c>
      <c r="D12131" t="s">
        <v>16678</v>
      </c>
      <c r="E12131" t="s">
        <v>27189</v>
      </c>
      <c r="F12131" t="s">
        <v>28669</v>
      </c>
      <c r="G12131" t="s">
        <v>28675</v>
      </c>
      <c r="H12131" t="s">
        <v>28686</v>
      </c>
      <c r="I12131" t="s">
        <v>28689</v>
      </c>
      <c r="J12131" t="s">
        <v>28881</v>
      </c>
      <c r="K12131" t="s">
        <v>37213</v>
      </c>
      <c r="M12131" t="s">
        <v>39089</v>
      </c>
      <c r="N12131" t="s">
        <v>41249</v>
      </c>
      <c r="O12131" t="s">
        <v>41250</v>
      </c>
      <c r="P12131">
        <v>0</v>
      </c>
      <c r="Q12131">
        <v>0</v>
      </c>
      <c r="R12131" t="s">
        <v>41266</v>
      </c>
      <c r="S12131" t="s">
        <v>41978</v>
      </c>
      <c r="T12131" t="s">
        <v>42690</v>
      </c>
      <c r="U12131" t="s">
        <v>52907</v>
      </c>
      <c r="W12131" t="s">
        <v>39089</v>
      </c>
      <c r="X12131" t="s">
        <v>41267</v>
      </c>
    </row>
    <row r="12132" spans="1:24">
      <c r="A12132">
        <f>HYPERLINK("https://www.philgeps.gov.ph/GEPSNONPILOT/Tender/SplashBidNoticeAbstractUI.aspx?menuIndex=3&amp;refID=7049454&amp;Result=3","7049454")</f>
        <v>0</v>
      </c>
      <c r="B12132" t="s">
        <v>1397</v>
      </c>
      <c r="C12132" t="s">
        <v>15004</v>
      </c>
      <c r="D12132" t="s">
        <v>16640</v>
      </c>
      <c r="E12132" t="s">
        <v>27190</v>
      </c>
      <c r="F12132" t="s">
        <v>28669</v>
      </c>
      <c r="G12132" t="s">
        <v>28675</v>
      </c>
      <c r="H12132" t="s">
        <v>28686</v>
      </c>
      <c r="I12132" t="s">
        <v>28689</v>
      </c>
      <c r="J12132" t="s">
        <v>36219</v>
      </c>
      <c r="K12132" t="s">
        <v>37218</v>
      </c>
      <c r="M12132" t="s">
        <v>40812</v>
      </c>
      <c r="N12132" t="s">
        <v>41249</v>
      </c>
      <c r="O12132" t="s">
        <v>41250</v>
      </c>
      <c r="Q12132">
        <v>5</v>
      </c>
      <c r="R12132" t="s">
        <v>41266</v>
      </c>
      <c r="S12132" t="s">
        <v>42038</v>
      </c>
      <c r="T12132" t="s">
        <v>42673</v>
      </c>
      <c r="U12132" t="s">
        <v>52886</v>
      </c>
      <c r="V12132" t="s">
        <v>55524</v>
      </c>
      <c r="W12132" t="s">
        <v>40812</v>
      </c>
      <c r="X12132" t="s">
        <v>41267</v>
      </c>
    </row>
    <row r="12133" spans="1:24">
      <c r="A12133">
        <f>HYPERLINK("https://www.philgeps.gov.ph/GEPSNONPILOT/Tender/SplashBidNoticeAbstractUI.aspx?menuIndex=3&amp;refID=7049215&amp;Result=3","7049215")</f>
        <v>0</v>
      </c>
      <c r="B12133" t="s">
        <v>2768</v>
      </c>
      <c r="C12133" t="s">
        <v>15005</v>
      </c>
      <c r="D12133" t="s">
        <v>16621</v>
      </c>
      <c r="E12133" t="s">
        <v>27191</v>
      </c>
      <c r="F12133" t="s">
        <v>28669</v>
      </c>
      <c r="G12133" t="s">
        <v>28675</v>
      </c>
      <c r="H12133" t="s">
        <v>9998</v>
      </c>
      <c r="I12133" t="s">
        <v>28693</v>
      </c>
      <c r="J12133" t="s">
        <v>36242</v>
      </c>
      <c r="K12133" t="s">
        <v>37213</v>
      </c>
      <c r="M12133" t="s">
        <v>40488</v>
      </c>
      <c r="N12133" t="s">
        <v>41249</v>
      </c>
      <c r="O12133" t="s">
        <v>41250</v>
      </c>
      <c r="Q12133">
        <v>40</v>
      </c>
      <c r="R12133" t="s">
        <v>41266</v>
      </c>
      <c r="S12133" t="s">
        <v>42053</v>
      </c>
      <c r="T12133" t="s">
        <v>43147</v>
      </c>
      <c r="U12133" t="s">
        <v>50794</v>
      </c>
      <c r="V12133" t="s">
        <v>55303</v>
      </c>
      <c r="W12133" t="s">
        <v>40488</v>
      </c>
      <c r="X12133" t="s">
        <v>41267</v>
      </c>
    </row>
    <row r="12134" spans="1:24">
      <c r="A12134">
        <f>HYPERLINK("https://www.philgeps.gov.ph/GEPSNONPILOT/Tender/SplashBidNoticeAbstractUI.aspx?menuIndex=3&amp;refID=7049214&amp;Result=3","7049214")</f>
        <v>0</v>
      </c>
      <c r="B12134" t="s">
        <v>1606</v>
      </c>
      <c r="C12134" t="s">
        <v>15006</v>
      </c>
      <c r="E12134" t="s">
        <v>27192</v>
      </c>
      <c r="F12134" t="s">
        <v>28669</v>
      </c>
      <c r="G12134" t="s">
        <v>28675</v>
      </c>
      <c r="H12134" t="s">
        <v>9998</v>
      </c>
      <c r="I12134" t="s">
        <v>28713</v>
      </c>
      <c r="J12134" t="s">
        <v>28924</v>
      </c>
      <c r="K12134" t="s">
        <v>37209</v>
      </c>
      <c r="M12134" t="s">
        <v>39190</v>
      </c>
      <c r="N12134" t="s">
        <v>41249</v>
      </c>
      <c r="O12134" t="s">
        <v>41250</v>
      </c>
      <c r="Q12134">
        <v>12</v>
      </c>
      <c r="R12134" t="s">
        <v>41266</v>
      </c>
      <c r="S12134" t="s">
        <v>42054</v>
      </c>
      <c r="T12134" t="s">
        <v>42966</v>
      </c>
      <c r="U12134" t="s">
        <v>52908</v>
      </c>
      <c r="W12134" t="s">
        <v>39190</v>
      </c>
      <c r="X12134" t="s">
        <v>41267</v>
      </c>
    </row>
    <row r="12135" spans="1:24">
      <c r="A12135">
        <f>HYPERLINK("https://www.philgeps.gov.ph/GEPSNONPILOT/Tender/SplashBidNoticeAbstractUI.aspx?menuIndex=3&amp;refID=7049415&amp;Result=3","7049415")</f>
        <v>0</v>
      </c>
      <c r="B12135" t="s">
        <v>1397</v>
      </c>
      <c r="C12135" t="s">
        <v>15007</v>
      </c>
      <c r="D12135" t="s">
        <v>16640</v>
      </c>
      <c r="E12135" t="s">
        <v>27193</v>
      </c>
      <c r="F12135" t="s">
        <v>28669</v>
      </c>
      <c r="G12135" t="s">
        <v>28675</v>
      </c>
      <c r="H12135" t="s">
        <v>28686</v>
      </c>
      <c r="I12135" t="s">
        <v>28689</v>
      </c>
      <c r="J12135" t="s">
        <v>36243</v>
      </c>
      <c r="K12135" t="s">
        <v>37276</v>
      </c>
      <c r="M12135" t="s">
        <v>40812</v>
      </c>
      <c r="N12135" t="s">
        <v>41249</v>
      </c>
      <c r="O12135" t="s">
        <v>41250</v>
      </c>
      <c r="Q12135">
        <v>18</v>
      </c>
      <c r="R12135" t="s">
        <v>41266</v>
      </c>
      <c r="S12135" t="s">
        <v>42055</v>
      </c>
      <c r="T12135" t="s">
        <v>42673</v>
      </c>
      <c r="U12135" t="s">
        <v>52886</v>
      </c>
      <c r="V12135" t="s">
        <v>55524</v>
      </c>
      <c r="W12135" t="s">
        <v>40812</v>
      </c>
      <c r="X12135" t="s">
        <v>41267</v>
      </c>
    </row>
    <row r="12136" spans="1:24">
      <c r="A12136">
        <f>HYPERLINK("https://www.philgeps.gov.ph/GEPSNONPILOT/Tender/SplashBidNoticeAbstractUI.aspx?menuIndex=3&amp;refID=7049114&amp;Result=3","7049114")</f>
        <v>0</v>
      </c>
      <c r="B12136" t="s">
        <v>3183</v>
      </c>
      <c r="C12136" t="s">
        <v>15008</v>
      </c>
      <c r="D12136" t="s">
        <v>16627</v>
      </c>
      <c r="E12136" t="s">
        <v>27194</v>
      </c>
      <c r="F12136" t="s">
        <v>28669</v>
      </c>
      <c r="G12136" t="s">
        <v>28675</v>
      </c>
      <c r="H12136" t="s">
        <v>28686</v>
      </c>
      <c r="I12136" t="s">
        <v>28689</v>
      </c>
      <c r="J12136" t="s">
        <v>28891</v>
      </c>
      <c r="K12136" t="s">
        <v>37231</v>
      </c>
      <c r="L12136" t="s">
        <v>3183</v>
      </c>
      <c r="M12136" t="s">
        <v>40984</v>
      </c>
      <c r="N12136" t="s">
        <v>41249</v>
      </c>
      <c r="O12136" t="s">
        <v>41250</v>
      </c>
      <c r="P12136">
        <v>0</v>
      </c>
      <c r="Q12136">
        <v>0</v>
      </c>
      <c r="R12136" t="s">
        <v>41266</v>
      </c>
      <c r="S12136" t="s">
        <v>41978</v>
      </c>
      <c r="T12136" t="s">
        <v>42714</v>
      </c>
      <c r="U12136" t="s">
        <v>52871</v>
      </c>
      <c r="W12136" t="s">
        <v>40984</v>
      </c>
      <c r="X12136" t="s">
        <v>41267</v>
      </c>
    </row>
    <row r="12137" spans="1:24">
      <c r="A12137">
        <f>HYPERLINK("https://www.philgeps.gov.ph/GEPSNONPILOT/Tender/SplashBidNoticeAbstractUI.aspx?menuIndex=3&amp;refID=7049104&amp;Result=3","7049104")</f>
        <v>0</v>
      </c>
      <c r="B12137" t="s">
        <v>1606</v>
      </c>
      <c r="C12137" t="s">
        <v>15009</v>
      </c>
      <c r="E12137" t="s">
        <v>27195</v>
      </c>
      <c r="F12137" t="s">
        <v>28669</v>
      </c>
      <c r="G12137" t="s">
        <v>28675</v>
      </c>
      <c r="H12137" t="s">
        <v>9998</v>
      </c>
      <c r="I12137" t="s">
        <v>28714</v>
      </c>
      <c r="J12137" t="s">
        <v>29655</v>
      </c>
      <c r="K12137" t="s">
        <v>37209</v>
      </c>
      <c r="M12137" t="s">
        <v>40003</v>
      </c>
      <c r="N12137" t="s">
        <v>41249</v>
      </c>
      <c r="O12137" t="s">
        <v>41250</v>
      </c>
      <c r="Q12137">
        <v>20</v>
      </c>
      <c r="R12137" t="s">
        <v>41266</v>
      </c>
      <c r="S12137" t="s">
        <v>41527</v>
      </c>
      <c r="T12137" t="s">
        <v>42836</v>
      </c>
      <c r="U12137" t="s">
        <v>52864</v>
      </c>
      <c r="W12137" t="s">
        <v>40003</v>
      </c>
      <c r="X12137" t="s">
        <v>41267</v>
      </c>
    </row>
    <row r="12138" spans="1:24">
      <c r="A12138">
        <f>HYPERLINK("https://www.philgeps.gov.ph/GEPSNONPILOT/Tender/SplashBidNoticeAbstractUI.aspx?menuIndex=3&amp;refID=7049102&amp;Result=3","7049102")</f>
        <v>0</v>
      </c>
      <c r="B12138" t="s">
        <v>1606</v>
      </c>
      <c r="C12138" t="s">
        <v>15010</v>
      </c>
      <c r="E12138" t="s">
        <v>27196</v>
      </c>
      <c r="F12138" t="s">
        <v>28669</v>
      </c>
      <c r="G12138" t="s">
        <v>28675</v>
      </c>
      <c r="H12138" t="s">
        <v>9998</v>
      </c>
      <c r="I12138" t="s">
        <v>28714</v>
      </c>
      <c r="J12138" t="s">
        <v>29655</v>
      </c>
      <c r="K12138" t="s">
        <v>37209</v>
      </c>
      <c r="M12138" t="s">
        <v>41015</v>
      </c>
      <c r="N12138" t="s">
        <v>41249</v>
      </c>
      <c r="O12138" t="s">
        <v>41250</v>
      </c>
      <c r="Q12138">
        <v>20</v>
      </c>
      <c r="R12138" t="s">
        <v>41266</v>
      </c>
      <c r="S12138" t="s">
        <v>42056</v>
      </c>
      <c r="T12138" t="s">
        <v>42966</v>
      </c>
      <c r="U12138" t="s">
        <v>52864</v>
      </c>
      <c r="W12138" t="s">
        <v>41015</v>
      </c>
      <c r="X12138" t="s">
        <v>41267</v>
      </c>
    </row>
    <row r="12139" spans="1:24">
      <c r="A12139">
        <f>HYPERLINK("https://www.philgeps.gov.ph/GEPSNONPILOT/Tender/SplashBidNoticeAbstractUI.aspx?menuIndex=3&amp;refID=7049343&amp;Result=3","7049343")</f>
        <v>0</v>
      </c>
      <c r="B12139" t="s">
        <v>2469</v>
      </c>
      <c r="C12139" t="s">
        <v>15011</v>
      </c>
      <c r="D12139" t="s">
        <v>16655</v>
      </c>
      <c r="E12139" t="s">
        <v>27197</v>
      </c>
      <c r="F12139" t="s">
        <v>28669</v>
      </c>
      <c r="G12139" t="s">
        <v>28675</v>
      </c>
      <c r="H12139" t="s">
        <v>28686</v>
      </c>
      <c r="I12139" t="s">
        <v>28689</v>
      </c>
      <c r="J12139" t="s">
        <v>36244</v>
      </c>
      <c r="K12139" t="s">
        <v>37206</v>
      </c>
      <c r="L12139" t="s">
        <v>2469</v>
      </c>
      <c r="M12139" t="s">
        <v>40152</v>
      </c>
      <c r="N12139" t="s">
        <v>41249</v>
      </c>
      <c r="O12139" t="s">
        <v>41250</v>
      </c>
      <c r="P12139">
        <v>0</v>
      </c>
      <c r="Q12139">
        <v>0</v>
      </c>
      <c r="R12139" t="s">
        <v>41266</v>
      </c>
      <c r="S12139" t="s">
        <v>41978</v>
      </c>
      <c r="T12139" t="s">
        <v>42673</v>
      </c>
      <c r="U12139" t="s">
        <v>52909</v>
      </c>
      <c r="V12139" t="s">
        <v>55712</v>
      </c>
      <c r="W12139" t="s">
        <v>40152</v>
      </c>
      <c r="X12139" t="s">
        <v>41267</v>
      </c>
    </row>
    <row r="12140" spans="1:24">
      <c r="A12140">
        <f>HYPERLINK("https://www.philgeps.gov.ph/GEPSNONPILOT/Tender/SplashBidNoticeAbstractUI.aspx?menuIndex=3&amp;refID=7049099&amp;Result=3","7049099")</f>
        <v>0</v>
      </c>
      <c r="B12140" t="s">
        <v>1327</v>
      </c>
      <c r="C12140" t="s">
        <v>15012</v>
      </c>
      <c r="D12140" t="s">
        <v>16627</v>
      </c>
      <c r="E12140" t="s">
        <v>27198</v>
      </c>
      <c r="F12140" t="s">
        <v>28669</v>
      </c>
      <c r="G12140" t="s">
        <v>28675</v>
      </c>
      <c r="H12140" t="s">
        <v>9998</v>
      </c>
      <c r="I12140" t="s">
        <v>28707</v>
      </c>
      <c r="J12140" t="s">
        <v>36245</v>
      </c>
      <c r="K12140" t="s">
        <v>37213</v>
      </c>
      <c r="M12140" t="s">
        <v>38880</v>
      </c>
      <c r="N12140" t="s">
        <v>41249</v>
      </c>
      <c r="O12140" t="s">
        <v>41250</v>
      </c>
      <c r="P12140">
        <v>0</v>
      </c>
      <c r="Q12140">
        <v>4</v>
      </c>
      <c r="R12140" t="s">
        <v>41266</v>
      </c>
      <c r="S12140" t="s">
        <v>41978</v>
      </c>
      <c r="T12140" t="s">
        <v>42876</v>
      </c>
      <c r="U12140" t="s">
        <v>52910</v>
      </c>
      <c r="W12140" t="s">
        <v>38880</v>
      </c>
      <c r="X12140" t="s">
        <v>41267</v>
      </c>
    </row>
    <row r="12141" spans="1:24">
      <c r="A12141">
        <f>HYPERLINK("https://www.philgeps.gov.ph/GEPSNONPILOT/Tender/SplashBidNoticeAbstractUI.aspx?menuIndex=3&amp;refID=7049097&amp;Result=3","7049097")</f>
        <v>0</v>
      </c>
      <c r="B12141" t="s">
        <v>3183</v>
      </c>
      <c r="C12141" t="s">
        <v>15013</v>
      </c>
      <c r="D12141" t="s">
        <v>16627</v>
      </c>
      <c r="E12141" t="s">
        <v>27199</v>
      </c>
      <c r="F12141" t="s">
        <v>28669</v>
      </c>
      <c r="G12141" t="s">
        <v>28675</v>
      </c>
      <c r="H12141" t="s">
        <v>28686</v>
      </c>
      <c r="I12141" t="s">
        <v>28689</v>
      </c>
      <c r="J12141" t="s">
        <v>35974</v>
      </c>
      <c r="K12141" t="s">
        <v>37231</v>
      </c>
      <c r="L12141" t="s">
        <v>3183</v>
      </c>
      <c r="M12141" t="s">
        <v>40984</v>
      </c>
      <c r="N12141" t="s">
        <v>41249</v>
      </c>
      <c r="O12141" t="s">
        <v>41250</v>
      </c>
      <c r="P12141">
        <v>0</v>
      </c>
      <c r="Q12141">
        <v>1</v>
      </c>
      <c r="R12141" t="s">
        <v>41266</v>
      </c>
      <c r="S12141" t="s">
        <v>41978</v>
      </c>
      <c r="T12141" t="s">
        <v>42714</v>
      </c>
      <c r="U12141" t="s">
        <v>52911</v>
      </c>
      <c r="W12141" t="s">
        <v>40984</v>
      </c>
      <c r="X12141" t="s">
        <v>41267</v>
      </c>
    </row>
    <row r="12142" spans="1:24">
      <c r="A12142">
        <f>HYPERLINK("https://www.philgeps.gov.ph/GEPSNONPILOT/Tender/SplashBidNoticeAbstractUI.aspx?menuIndex=3&amp;refID=7049083&amp;Result=3","7049083")</f>
        <v>0</v>
      </c>
      <c r="B12142" t="s">
        <v>1606</v>
      </c>
      <c r="C12142" t="s">
        <v>15014</v>
      </c>
      <c r="E12142" t="s">
        <v>27200</v>
      </c>
      <c r="F12142" t="s">
        <v>28669</v>
      </c>
      <c r="G12142" t="s">
        <v>28675</v>
      </c>
      <c r="H12142" t="s">
        <v>9998</v>
      </c>
      <c r="I12142" t="s">
        <v>28714</v>
      </c>
      <c r="J12142" t="s">
        <v>29332</v>
      </c>
      <c r="K12142" t="s">
        <v>37209</v>
      </c>
      <c r="M12142" t="s">
        <v>41015</v>
      </c>
      <c r="N12142" t="s">
        <v>41249</v>
      </c>
      <c r="O12142" t="s">
        <v>41250</v>
      </c>
      <c r="Q12142">
        <v>16</v>
      </c>
      <c r="R12142" t="s">
        <v>41266</v>
      </c>
      <c r="S12142" t="s">
        <v>42057</v>
      </c>
      <c r="T12142" t="s">
        <v>42966</v>
      </c>
      <c r="U12142" t="s">
        <v>52864</v>
      </c>
      <c r="W12142" t="s">
        <v>41015</v>
      </c>
      <c r="X12142" t="s">
        <v>41267</v>
      </c>
    </row>
    <row r="12143" spans="1:24">
      <c r="A12143">
        <f>HYPERLINK("https://www.philgeps.gov.ph/GEPSNONPILOT/Tender/SplashBidNoticeAbstractUI.aspx?menuIndex=3&amp;refID=7049443&amp;Result=3","7049443")</f>
        <v>0</v>
      </c>
      <c r="B12143" t="s">
        <v>3207</v>
      </c>
      <c r="C12143" t="s">
        <v>15015</v>
      </c>
      <c r="D12143" t="s">
        <v>16657</v>
      </c>
      <c r="E12143" t="s">
        <v>27201</v>
      </c>
      <c r="F12143" t="s">
        <v>28669</v>
      </c>
      <c r="G12143" t="s">
        <v>28675</v>
      </c>
      <c r="H12143" t="s">
        <v>28686</v>
      </c>
      <c r="I12143" t="s">
        <v>28689</v>
      </c>
      <c r="J12143" t="s">
        <v>36246</v>
      </c>
      <c r="K12143" t="s">
        <v>37213</v>
      </c>
      <c r="M12143" t="s">
        <v>41016</v>
      </c>
      <c r="N12143" t="s">
        <v>41249</v>
      </c>
      <c r="O12143" t="s">
        <v>41250</v>
      </c>
      <c r="P12143">
        <v>0</v>
      </c>
      <c r="Q12143">
        <v>3</v>
      </c>
      <c r="R12143" t="s">
        <v>41266</v>
      </c>
      <c r="S12143" t="s">
        <v>41978</v>
      </c>
      <c r="T12143" t="s">
        <v>42711</v>
      </c>
      <c r="U12143" t="s">
        <v>52912</v>
      </c>
      <c r="W12143" t="s">
        <v>41016</v>
      </c>
      <c r="X12143" t="s">
        <v>41267</v>
      </c>
    </row>
    <row r="12144" spans="1:24">
      <c r="A12144">
        <f>HYPERLINK("https://www.philgeps.gov.ph/GEPSNONPILOT/Tender/SplashBidNoticeAbstractUI.aspx?menuIndex=3&amp;refID=7048944&amp;Result=3","7048944")</f>
        <v>0</v>
      </c>
      <c r="B12144" t="s">
        <v>974</v>
      </c>
      <c r="C12144" t="s">
        <v>15016</v>
      </c>
      <c r="D12144" t="s">
        <v>16621</v>
      </c>
      <c r="E12144" t="s">
        <v>16837</v>
      </c>
      <c r="F12144" t="s">
        <v>28669</v>
      </c>
      <c r="G12144" t="s">
        <v>28675</v>
      </c>
      <c r="H12144" t="s">
        <v>9998</v>
      </c>
      <c r="I12144" t="s">
        <v>7352</v>
      </c>
      <c r="J12144" t="s">
        <v>36247</v>
      </c>
      <c r="K12144" t="s">
        <v>37205</v>
      </c>
      <c r="M12144" t="s">
        <v>40999</v>
      </c>
      <c r="N12144" t="s">
        <v>41249</v>
      </c>
      <c r="O12144" t="s">
        <v>41250</v>
      </c>
      <c r="P12144">
        <v>0</v>
      </c>
      <c r="Q12144">
        <v>1</v>
      </c>
      <c r="R12144" t="s">
        <v>41266</v>
      </c>
      <c r="S12144" t="s">
        <v>41978</v>
      </c>
      <c r="T12144" t="s">
        <v>42717</v>
      </c>
      <c r="U12144" t="s">
        <v>52834</v>
      </c>
      <c r="V12144" t="s">
        <v>55713</v>
      </c>
      <c r="W12144" t="s">
        <v>40999</v>
      </c>
      <c r="X12144" t="s">
        <v>41267</v>
      </c>
    </row>
    <row r="12145" spans="1:24">
      <c r="A12145">
        <f>HYPERLINK("https://www.philgeps.gov.ph/GEPSNONPILOT/Tender/SplashBidNoticeAbstractUI.aspx?menuIndex=3&amp;refID=7049671&amp;Result=3","7049671")</f>
        <v>0</v>
      </c>
      <c r="B12145" t="s">
        <v>1291</v>
      </c>
      <c r="C12145" t="s">
        <v>15017</v>
      </c>
      <c r="D12145" t="s">
        <v>16608</v>
      </c>
      <c r="E12145" t="s">
        <v>27202</v>
      </c>
      <c r="F12145" t="s">
        <v>28669</v>
      </c>
      <c r="G12145" t="s">
        <v>28675</v>
      </c>
      <c r="H12145" t="s">
        <v>9998</v>
      </c>
      <c r="I12145" t="s">
        <v>28687</v>
      </c>
      <c r="J12145" t="s">
        <v>35589</v>
      </c>
      <c r="K12145" t="s">
        <v>37209</v>
      </c>
      <c r="M12145" t="s">
        <v>38842</v>
      </c>
      <c r="N12145" t="s">
        <v>41249</v>
      </c>
      <c r="O12145" t="s">
        <v>41250</v>
      </c>
      <c r="Q12145">
        <v>6</v>
      </c>
      <c r="R12145" t="s">
        <v>41266</v>
      </c>
      <c r="S12145" t="s">
        <v>42058</v>
      </c>
      <c r="T12145" t="s">
        <v>42690</v>
      </c>
      <c r="U12145" t="s">
        <v>52913</v>
      </c>
      <c r="W12145" t="s">
        <v>38842</v>
      </c>
      <c r="X12145" t="s">
        <v>41267</v>
      </c>
    </row>
    <row r="12146" spans="1:24">
      <c r="A12146">
        <f>HYPERLINK("https://www.philgeps.gov.ph/GEPSNONPILOT/Tender/SplashBidNoticeAbstractUI.aspx?menuIndex=3&amp;refID=7049206&amp;Result=3","7049206")</f>
        <v>0</v>
      </c>
      <c r="B12146" t="s">
        <v>3183</v>
      </c>
      <c r="C12146" t="s">
        <v>15018</v>
      </c>
      <c r="D12146" t="s">
        <v>16627</v>
      </c>
      <c r="E12146" t="s">
        <v>27135</v>
      </c>
      <c r="F12146" t="s">
        <v>28669</v>
      </c>
      <c r="G12146" t="s">
        <v>28675</v>
      </c>
      <c r="H12146" t="s">
        <v>28686</v>
      </c>
      <c r="I12146" t="s">
        <v>28689</v>
      </c>
      <c r="J12146" t="s">
        <v>29003</v>
      </c>
      <c r="K12146" t="s">
        <v>37231</v>
      </c>
      <c r="L12146" t="s">
        <v>3183</v>
      </c>
      <c r="M12146" t="s">
        <v>40984</v>
      </c>
      <c r="N12146" t="s">
        <v>41249</v>
      </c>
      <c r="O12146" t="s">
        <v>41250</v>
      </c>
      <c r="P12146">
        <v>0</v>
      </c>
      <c r="Q12146">
        <v>1</v>
      </c>
      <c r="R12146" t="s">
        <v>41266</v>
      </c>
      <c r="S12146" t="s">
        <v>41978</v>
      </c>
      <c r="T12146" t="s">
        <v>42714</v>
      </c>
      <c r="U12146" t="s">
        <v>52914</v>
      </c>
      <c r="W12146" t="s">
        <v>40984</v>
      </c>
      <c r="X12146" t="s">
        <v>41267</v>
      </c>
    </row>
    <row r="12147" spans="1:24">
      <c r="A12147">
        <f>HYPERLINK("https://www.philgeps.gov.ph/GEPSNONPILOT/Tender/SplashBidNoticeAbstractUI.aspx?menuIndex=3&amp;refID=7049332&amp;Result=3","7049332")</f>
        <v>0</v>
      </c>
      <c r="B12147" t="s">
        <v>2766</v>
      </c>
      <c r="C12147" t="s">
        <v>15019</v>
      </c>
      <c r="D12147" t="s">
        <v>16627</v>
      </c>
      <c r="E12147" t="s">
        <v>16861</v>
      </c>
      <c r="F12147" t="s">
        <v>28669</v>
      </c>
      <c r="G12147" t="s">
        <v>28675</v>
      </c>
      <c r="H12147" t="s">
        <v>9998</v>
      </c>
      <c r="I12147" t="s">
        <v>11593</v>
      </c>
      <c r="J12147" t="s">
        <v>36248</v>
      </c>
      <c r="K12147" t="s">
        <v>37209</v>
      </c>
      <c r="M12147" t="s">
        <v>40486</v>
      </c>
      <c r="N12147" t="s">
        <v>41249</v>
      </c>
      <c r="O12147" t="s">
        <v>41250</v>
      </c>
      <c r="P12147">
        <v>0</v>
      </c>
      <c r="Q12147">
        <v>3</v>
      </c>
      <c r="R12147" t="s">
        <v>41266</v>
      </c>
      <c r="S12147" t="s">
        <v>41978</v>
      </c>
      <c r="T12147" t="s">
        <v>42673</v>
      </c>
      <c r="U12147" t="s">
        <v>52915</v>
      </c>
      <c r="W12147" t="s">
        <v>40486</v>
      </c>
      <c r="X12147" t="s">
        <v>41267</v>
      </c>
    </row>
    <row r="12148" spans="1:24">
      <c r="A12148">
        <f>HYPERLINK("https://www.philgeps.gov.ph/GEPSNONPILOT/Tender/SplashBidNoticeAbstractUI.aspx?menuIndex=3&amp;refID=7049697&amp;Result=3","7049697")</f>
        <v>0</v>
      </c>
      <c r="B12148" t="s">
        <v>406</v>
      </c>
      <c r="C12148" t="s">
        <v>15020</v>
      </c>
      <c r="D12148" t="s">
        <v>16644</v>
      </c>
      <c r="E12148" t="s">
        <v>27203</v>
      </c>
      <c r="F12148" t="s">
        <v>28669</v>
      </c>
      <c r="G12148" t="s">
        <v>28675</v>
      </c>
      <c r="H12148" t="s">
        <v>28686</v>
      </c>
      <c r="I12148" t="s">
        <v>28689</v>
      </c>
      <c r="J12148" t="s">
        <v>36249</v>
      </c>
      <c r="K12148" t="s">
        <v>37220</v>
      </c>
      <c r="M12148" t="s">
        <v>37891</v>
      </c>
      <c r="N12148" t="s">
        <v>41249</v>
      </c>
      <c r="O12148" t="s">
        <v>41250</v>
      </c>
      <c r="Q12148">
        <v>4</v>
      </c>
      <c r="R12148" t="s">
        <v>41266</v>
      </c>
      <c r="S12148" t="s">
        <v>42059</v>
      </c>
      <c r="T12148" t="s">
        <v>42673</v>
      </c>
      <c r="U12148" t="s">
        <v>48605</v>
      </c>
      <c r="V12148" t="s">
        <v>55023</v>
      </c>
      <c r="W12148" t="s">
        <v>37891</v>
      </c>
      <c r="X12148" t="s">
        <v>41267</v>
      </c>
    </row>
    <row r="12149" spans="1:24">
      <c r="A12149">
        <f>HYPERLINK("https://www.philgeps.gov.ph/GEPSNONPILOT/Tender/SplashBidNoticeAbstractUI.aspx?menuIndex=3&amp;refID=7049231&amp;Result=3","7049231")</f>
        <v>0</v>
      </c>
      <c r="B12149" t="s">
        <v>2425</v>
      </c>
      <c r="C12149" t="s">
        <v>15021</v>
      </c>
      <c r="D12149" t="s">
        <v>16619</v>
      </c>
      <c r="E12149" t="s">
        <v>27204</v>
      </c>
      <c r="F12149" t="s">
        <v>28669</v>
      </c>
      <c r="G12149" t="s">
        <v>28675</v>
      </c>
      <c r="H12149" t="s">
        <v>28686</v>
      </c>
      <c r="I12149" t="s">
        <v>28689</v>
      </c>
      <c r="J12149" t="s">
        <v>31313</v>
      </c>
      <c r="K12149" t="s">
        <v>37346</v>
      </c>
      <c r="M12149" t="s">
        <v>40108</v>
      </c>
      <c r="N12149" t="s">
        <v>41249</v>
      </c>
      <c r="O12149" t="s">
        <v>41250</v>
      </c>
      <c r="Q12149">
        <v>3</v>
      </c>
      <c r="R12149" t="s">
        <v>41266</v>
      </c>
      <c r="S12149" t="s">
        <v>42060</v>
      </c>
      <c r="T12149" t="s">
        <v>42679</v>
      </c>
      <c r="U12149" t="s">
        <v>52860</v>
      </c>
      <c r="W12149" t="s">
        <v>40108</v>
      </c>
      <c r="X12149" t="s">
        <v>41267</v>
      </c>
    </row>
    <row r="12150" spans="1:24">
      <c r="A12150">
        <f>HYPERLINK("https://www.philgeps.gov.ph/GEPSNONPILOT/Tender/SplashBidNoticeAbstractUI.aspx?menuIndex=3&amp;refID=7048972&amp;Result=3","7048972")</f>
        <v>0</v>
      </c>
      <c r="B12150" t="s">
        <v>648</v>
      </c>
      <c r="C12150" t="s">
        <v>15022</v>
      </c>
      <c r="D12150" t="s">
        <v>16648</v>
      </c>
      <c r="E12150" t="s">
        <v>27205</v>
      </c>
      <c r="F12150" t="s">
        <v>28669</v>
      </c>
      <c r="G12150" t="s">
        <v>28675</v>
      </c>
      <c r="H12150" t="s">
        <v>9998</v>
      </c>
      <c r="I12150" t="s">
        <v>28722</v>
      </c>
      <c r="J12150" t="s">
        <v>36250</v>
      </c>
      <c r="K12150" t="s">
        <v>37209</v>
      </c>
      <c r="M12150" t="s">
        <v>41006</v>
      </c>
      <c r="N12150" t="s">
        <v>41249</v>
      </c>
      <c r="O12150" t="s">
        <v>41250</v>
      </c>
      <c r="P12150">
        <v>0</v>
      </c>
      <c r="Q12150">
        <v>0</v>
      </c>
      <c r="R12150" t="s">
        <v>41266</v>
      </c>
      <c r="S12150" t="s">
        <v>41978</v>
      </c>
      <c r="T12150" t="s">
        <v>42679</v>
      </c>
      <c r="U12150" t="s">
        <v>52916</v>
      </c>
      <c r="W12150" t="s">
        <v>41006</v>
      </c>
      <c r="X12150" t="s">
        <v>41267</v>
      </c>
    </row>
    <row r="12151" spans="1:24">
      <c r="A12151">
        <f>HYPERLINK("https://www.philgeps.gov.ph/GEPSNONPILOT/Tender/SplashBidNoticeAbstractUI.aspx?menuIndex=3&amp;refID=7049081&amp;Result=3","7049081")</f>
        <v>0</v>
      </c>
      <c r="B12151" t="s">
        <v>2425</v>
      </c>
      <c r="C12151" t="s">
        <v>15023</v>
      </c>
      <c r="D12151" t="s">
        <v>16619</v>
      </c>
      <c r="E12151" t="s">
        <v>27206</v>
      </c>
      <c r="F12151" t="s">
        <v>28669</v>
      </c>
      <c r="G12151" t="s">
        <v>28675</v>
      </c>
      <c r="H12151" t="s">
        <v>28686</v>
      </c>
      <c r="I12151" t="s">
        <v>28689</v>
      </c>
      <c r="J12151" t="s">
        <v>30503</v>
      </c>
      <c r="K12151" t="s">
        <v>37219</v>
      </c>
      <c r="M12151" t="s">
        <v>40108</v>
      </c>
      <c r="N12151" t="s">
        <v>41249</v>
      </c>
      <c r="O12151" t="s">
        <v>41250</v>
      </c>
      <c r="Q12151">
        <v>1</v>
      </c>
      <c r="R12151" t="s">
        <v>41266</v>
      </c>
      <c r="S12151" t="s">
        <v>42061</v>
      </c>
      <c r="T12151" t="s">
        <v>42679</v>
      </c>
      <c r="U12151" t="s">
        <v>52860</v>
      </c>
      <c r="W12151" t="s">
        <v>40108</v>
      </c>
      <c r="X12151" t="s">
        <v>41267</v>
      </c>
    </row>
    <row r="12152" spans="1:24">
      <c r="A12152">
        <f>HYPERLINK("https://www.philgeps.gov.ph/GEPSNONPILOT/Tender/SplashBidNoticeAbstractUI.aspx?menuIndex=3&amp;refID=7049677&amp;Result=3","7049677")</f>
        <v>0</v>
      </c>
      <c r="B12152" t="s">
        <v>3208</v>
      </c>
      <c r="C12152" t="s">
        <v>15024</v>
      </c>
      <c r="D12152" t="s">
        <v>16666</v>
      </c>
      <c r="E12152" t="s">
        <v>27207</v>
      </c>
      <c r="F12152" t="s">
        <v>28669</v>
      </c>
      <c r="G12152" t="s">
        <v>28675</v>
      </c>
      <c r="H12152" t="s">
        <v>28686</v>
      </c>
      <c r="I12152" t="s">
        <v>28734</v>
      </c>
      <c r="J12152" t="s">
        <v>36251</v>
      </c>
      <c r="K12152" t="s">
        <v>37213</v>
      </c>
      <c r="M12152" t="s">
        <v>41017</v>
      </c>
      <c r="N12152" t="s">
        <v>41249</v>
      </c>
      <c r="O12152" t="s">
        <v>41250</v>
      </c>
      <c r="P12152">
        <v>0</v>
      </c>
      <c r="Q12152">
        <v>4</v>
      </c>
      <c r="R12152" t="s">
        <v>41266</v>
      </c>
      <c r="S12152" t="s">
        <v>41978</v>
      </c>
      <c r="T12152" t="s">
        <v>42673</v>
      </c>
      <c r="U12152" t="s">
        <v>52917</v>
      </c>
      <c r="W12152" t="s">
        <v>41017</v>
      </c>
      <c r="X12152" t="s">
        <v>41267</v>
      </c>
    </row>
    <row r="12153" spans="1:24">
      <c r="A12153">
        <f>HYPERLINK("https://www.philgeps.gov.ph/GEPSNONPILOT/Tender/SplashBidNoticeAbstractUI.aspx?menuIndex=3&amp;refID=7049669&amp;Result=3","7049669")</f>
        <v>0</v>
      </c>
      <c r="B12153" t="s">
        <v>1042</v>
      </c>
      <c r="C12153" t="s">
        <v>15025</v>
      </c>
      <c r="D12153" t="s">
        <v>16625</v>
      </c>
      <c r="E12153" t="s">
        <v>27001</v>
      </c>
      <c r="F12153" t="s">
        <v>28669</v>
      </c>
      <c r="G12153" t="s">
        <v>28675</v>
      </c>
      <c r="H12153" t="s">
        <v>9998</v>
      </c>
      <c r="I12153" t="s">
        <v>28690</v>
      </c>
      <c r="J12153" t="s">
        <v>36252</v>
      </c>
      <c r="K12153" t="s">
        <v>37206</v>
      </c>
      <c r="M12153" t="s">
        <v>38573</v>
      </c>
      <c r="N12153" t="s">
        <v>41249</v>
      </c>
      <c r="O12153" t="s">
        <v>41250</v>
      </c>
      <c r="P12153">
        <v>0</v>
      </c>
      <c r="Q12153">
        <v>13</v>
      </c>
      <c r="R12153" t="s">
        <v>41266</v>
      </c>
      <c r="S12153" t="s">
        <v>41978</v>
      </c>
      <c r="T12153" t="s">
        <v>42699</v>
      </c>
      <c r="U12153" t="s">
        <v>52918</v>
      </c>
      <c r="W12153" t="s">
        <v>38573</v>
      </c>
      <c r="X12153" t="s">
        <v>41267</v>
      </c>
    </row>
    <row r="12154" spans="1:24">
      <c r="A12154">
        <f>HYPERLINK("https://www.philgeps.gov.ph/GEPSNONPILOT/Tender/SplashBidNoticeAbstractUI.aspx?menuIndex=3&amp;refID=7049656&amp;Result=3","7049656")</f>
        <v>0</v>
      </c>
      <c r="B12154" t="s">
        <v>232</v>
      </c>
      <c r="C12154" t="s">
        <v>15026</v>
      </c>
      <c r="D12154" t="s">
        <v>16618</v>
      </c>
      <c r="E12154" t="s">
        <v>27208</v>
      </c>
      <c r="F12154" t="s">
        <v>28669</v>
      </c>
      <c r="G12154" t="s">
        <v>28675</v>
      </c>
      <c r="H12154" t="s">
        <v>9998</v>
      </c>
      <c r="I12154" t="s">
        <v>28770</v>
      </c>
      <c r="J12154" t="s">
        <v>36253</v>
      </c>
      <c r="K12154" t="s">
        <v>37209</v>
      </c>
      <c r="M12154" t="s">
        <v>37710</v>
      </c>
      <c r="N12154" t="s">
        <v>41249</v>
      </c>
      <c r="O12154" t="s">
        <v>41250</v>
      </c>
      <c r="P12154">
        <v>0</v>
      </c>
      <c r="Q12154">
        <v>2</v>
      </c>
      <c r="R12154" t="s">
        <v>41266</v>
      </c>
      <c r="S12154" t="s">
        <v>41978</v>
      </c>
      <c r="T12154" t="s">
        <v>42673</v>
      </c>
      <c r="U12154" t="s">
        <v>52919</v>
      </c>
      <c r="W12154" t="s">
        <v>37710</v>
      </c>
      <c r="X12154" t="s">
        <v>41267</v>
      </c>
    </row>
    <row r="12155" spans="1:24">
      <c r="A12155">
        <f>HYPERLINK("https://www.philgeps.gov.ph/GEPSNONPILOT/Tender/SplashBidNoticeAbstractUI.aspx?menuIndex=3&amp;refID=7049650&amp;Result=3","7049650")</f>
        <v>0</v>
      </c>
      <c r="B12155" t="s">
        <v>3209</v>
      </c>
      <c r="C12155" t="s">
        <v>15027</v>
      </c>
      <c r="D12155" t="s">
        <v>16680</v>
      </c>
      <c r="E12155" t="s">
        <v>27209</v>
      </c>
      <c r="F12155" t="s">
        <v>28669</v>
      </c>
      <c r="G12155" t="s">
        <v>28675</v>
      </c>
      <c r="H12155" t="s">
        <v>28685</v>
      </c>
      <c r="I12155" t="s">
        <v>28685</v>
      </c>
      <c r="J12155" t="s">
        <v>36254</v>
      </c>
      <c r="K12155" t="s">
        <v>37221</v>
      </c>
      <c r="M12155" t="s">
        <v>41018</v>
      </c>
      <c r="N12155" t="s">
        <v>41249</v>
      </c>
      <c r="O12155" t="s">
        <v>41250</v>
      </c>
      <c r="P12155">
        <v>0</v>
      </c>
      <c r="Q12155">
        <v>4</v>
      </c>
      <c r="R12155" t="s">
        <v>41266</v>
      </c>
      <c r="S12155" t="s">
        <v>41978</v>
      </c>
      <c r="T12155" t="s">
        <v>42739</v>
      </c>
      <c r="U12155" t="s">
        <v>52920</v>
      </c>
      <c r="W12155" t="s">
        <v>41018</v>
      </c>
      <c r="X12155" t="s">
        <v>41267</v>
      </c>
    </row>
    <row r="12156" spans="1:24">
      <c r="A12156">
        <f>HYPERLINK("https://www.philgeps.gov.ph/GEPSNONPILOT/Tender/SplashBidNoticeAbstractUI.aspx?menuIndex=3&amp;refID=7049639&amp;Result=3","7049639")</f>
        <v>0</v>
      </c>
      <c r="B12156" t="s">
        <v>743</v>
      </c>
      <c r="C12156" t="s">
        <v>15028</v>
      </c>
      <c r="D12156" t="s">
        <v>16629</v>
      </c>
      <c r="E12156" t="s">
        <v>27210</v>
      </c>
      <c r="F12156" t="s">
        <v>28669</v>
      </c>
      <c r="G12156" t="s">
        <v>28675</v>
      </c>
      <c r="H12156" t="s">
        <v>9998</v>
      </c>
      <c r="I12156" t="s">
        <v>28714</v>
      </c>
      <c r="J12156" t="s">
        <v>29023</v>
      </c>
      <c r="K12156" t="s">
        <v>37220</v>
      </c>
      <c r="M12156" t="s">
        <v>38253</v>
      </c>
      <c r="N12156" t="s">
        <v>41249</v>
      </c>
      <c r="O12156" t="s">
        <v>41250</v>
      </c>
      <c r="P12156">
        <v>0</v>
      </c>
      <c r="Q12156">
        <v>4</v>
      </c>
      <c r="R12156" t="s">
        <v>41266</v>
      </c>
      <c r="S12156" t="s">
        <v>41978</v>
      </c>
      <c r="T12156" t="s">
        <v>42814</v>
      </c>
      <c r="U12156" t="s">
        <v>52921</v>
      </c>
      <c r="V12156" t="s">
        <v>54252</v>
      </c>
      <c r="W12156" t="s">
        <v>38253</v>
      </c>
      <c r="X12156" t="s">
        <v>41267</v>
      </c>
    </row>
    <row r="12157" spans="1:24">
      <c r="A12157">
        <f>HYPERLINK("https://www.philgeps.gov.ph/GEPSNONPILOT/Tender/SplashBidNoticeAbstractUI.aspx?menuIndex=3&amp;refID=7049633&amp;Result=3","7049633")</f>
        <v>0</v>
      </c>
      <c r="B12157" t="s">
        <v>1503</v>
      </c>
      <c r="C12157" t="s">
        <v>15029</v>
      </c>
      <c r="D12157" t="s">
        <v>16666</v>
      </c>
      <c r="E12157" t="s">
        <v>27211</v>
      </c>
      <c r="F12157" t="s">
        <v>28669</v>
      </c>
      <c r="G12157" t="s">
        <v>28675</v>
      </c>
      <c r="H12157" t="s">
        <v>28686</v>
      </c>
      <c r="I12157" t="s">
        <v>28689</v>
      </c>
      <c r="J12157" t="s">
        <v>36255</v>
      </c>
      <c r="K12157" t="s">
        <v>37477</v>
      </c>
      <c r="M12157" t="s">
        <v>39076</v>
      </c>
      <c r="N12157" t="s">
        <v>41249</v>
      </c>
      <c r="O12157" t="s">
        <v>41250</v>
      </c>
      <c r="P12157">
        <v>0</v>
      </c>
      <c r="Q12157">
        <v>3</v>
      </c>
      <c r="R12157" t="s">
        <v>41266</v>
      </c>
      <c r="S12157" t="s">
        <v>41978</v>
      </c>
      <c r="T12157" t="s">
        <v>42686</v>
      </c>
      <c r="U12157" t="s">
        <v>52922</v>
      </c>
      <c r="W12157" t="s">
        <v>55959</v>
      </c>
      <c r="X12157" t="s">
        <v>41267</v>
      </c>
    </row>
    <row r="12158" spans="1:24">
      <c r="A12158">
        <f>HYPERLINK("https://www.philgeps.gov.ph/GEPSNONPILOT/Tender/SplashBidNoticeAbstractUI.aspx?menuIndex=3&amp;refID=7049631&amp;Result=3","7049631")</f>
        <v>0</v>
      </c>
      <c r="B12158" t="s">
        <v>3210</v>
      </c>
      <c r="C12158" t="s">
        <v>15030</v>
      </c>
      <c r="D12158" t="s">
        <v>16642</v>
      </c>
      <c r="E12158" t="s">
        <v>27212</v>
      </c>
      <c r="F12158" t="s">
        <v>28669</v>
      </c>
      <c r="G12158" t="s">
        <v>28675</v>
      </c>
      <c r="H12158" t="s">
        <v>9998</v>
      </c>
      <c r="I12158" t="s">
        <v>28713</v>
      </c>
      <c r="J12158" t="s">
        <v>36256</v>
      </c>
      <c r="K12158" t="s">
        <v>37209</v>
      </c>
      <c r="M12158" t="s">
        <v>41019</v>
      </c>
      <c r="N12158" t="s">
        <v>41249</v>
      </c>
      <c r="O12158" t="s">
        <v>41250</v>
      </c>
      <c r="Q12158">
        <v>53</v>
      </c>
      <c r="R12158" t="s">
        <v>41266</v>
      </c>
      <c r="S12158" t="s">
        <v>42062</v>
      </c>
      <c r="T12158" t="s">
        <v>42690</v>
      </c>
      <c r="U12158" t="s">
        <v>52923</v>
      </c>
      <c r="W12158" t="s">
        <v>41019</v>
      </c>
      <c r="X12158" t="s">
        <v>41267</v>
      </c>
    </row>
    <row r="12159" spans="1:24">
      <c r="A12159">
        <f>HYPERLINK("https://www.philgeps.gov.ph/GEPSNONPILOT/Tender/SplashBidNoticeAbstractUI.aspx?menuIndex=3&amp;refID=7049626&amp;Result=3","7049626")</f>
        <v>0</v>
      </c>
      <c r="B12159" t="s">
        <v>1503</v>
      </c>
      <c r="C12159" t="s">
        <v>15031</v>
      </c>
      <c r="D12159" t="s">
        <v>16666</v>
      </c>
      <c r="E12159" t="s">
        <v>27213</v>
      </c>
      <c r="F12159" t="s">
        <v>28669</v>
      </c>
      <c r="G12159" t="s">
        <v>28675</v>
      </c>
      <c r="H12159" t="s">
        <v>28686</v>
      </c>
      <c r="I12159" t="s">
        <v>28689</v>
      </c>
      <c r="J12159" t="s">
        <v>36257</v>
      </c>
      <c r="K12159" t="s">
        <v>37261</v>
      </c>
      <c r="M12159" t="s">
        <v>39076</v>
      </c>
      <c r="N12159" t="s">
        <v>41249</v>
      </c>
      <c r="O12159" t="s">
        <v>41250</v>
      </c>
      <c r="P12159">
        <v>0</v>
      </c>
      <c r="Q12159">
        <v>2</v>
      </c>
      <c r="R12159" t="s">
        <v>41266</v>
      </c>
      <c r="S12159" t="s">
        <v>41978</v>
      </c>
      <c r="T12159" t="s">
        <v>42686</v>
      </c>
      <c r="U12159" t="s">
        <v>50233</v>
      </c>
      <c r="W12159" t="s">
        <v>55959</v>
      </c>
      <c r="X12159" t="s">
        <v>41267</v>
      </c>
    </row>
    <row r="12160" spans="1:24">
      <c r="A12160">
        <f>HYPERLINK("https://www.philgeps.gov.ph/GEPSNONPILOT/Tender/SplashBidNoticeAbstractUI.aspx?menuIndex=3&amp;refID=7049620&amp;Result=3","7049620")</f>
        <v>0</v>
      </c>
      <c r="B12160" t="s">
        <v>1633</v>
      </c>
      <c r="C12160" t="s">
        <v>15032</v>
      </c>
      <c r="D12160" t="s">
        <v>16608</v>
      </c>
      <c r="E12160" t="s">
        <v>27214</v>
      </c>
      <c r="F12160" t="s">
        <v>28669</v>
      </c>
      <c r="G12160" t="s">
        <v>28675</v>
      </c>
      <c r="H12160" t="s">
        <v>9998</v>
      </c>
      <c r="I12160" t="s">
        <v>11593</v>
      </c>
      <c r="J12160" t="s">
        <v>36258</v>
      </c>
      <c r="K12160" t="s">
        <v>37206</v>
      </c>
      <c r="M12160" t="s">
        <v>39222</v>
      </c>
      <c r="N12160" t="s">
        <v>41249</v>
      </c>
      <c r="O12160" t="s">
        <v>41250</v>
      </c>
      <c r="Q12160">
        <v>13</v>
      </c>
      <c r="R12160" t="s">
        <v>41266</v>
      </c>
      <c r="S12160" t="s">
        <v>42063</v>
      </c>
      <c r="T12160" t="s">
        <v>42697</v>
      </c>
      <c r="U12160" t="s">
        <v>52924</v>
      </c>
      <c r="V12160" t="s">
        <v>55714</v>
      </c>
      <c r="W12160" t="s">
        <v>39222</v>
      </c>
      <c r="X12160" t="s">
        <v>41267</v>
      </c>
    </row>
    <row r="12161" spans="1:24">
      <c r="A12161">
        <f>HYPERLINK("https://www.philgeps.gov.ph/GEPSNONPILOT/Tender/SplashBidNoticeAbstractUI.aspx?menuIndex=3&amp;refID=7049617&amp;Result=3","7049617")</f>
        <v>0</v>
      </c>
      <c r="B12161" t="s">
        <v>1503</v>
      </c>
      <c r="C12161" t="s">
        <v>15033</v>
      </c>
      <c r="D12161" t="s">
        <v>16666</v>
      </c>
      <c r="E12161" t="s">
        <v>27215</v>
      </c>
      <c r="F12161" t="s">
        <v>28669</v>
      </c>
      <c r="G12161" t="s">
        <v>28675</v>
      </c>
      <c r="H12161" t="s">
        <v>28686</v>
      </c>
      <c r="I12161" t="s">
        <v>28689</v>
      </c>
      <c r="J12161" t="s">
        <v>36259</v>
      </c>
      <c r="K12161" t="s">
        <v>37269</v>
      </c>
      <c r="M12161" t="s">
        <v>39076</v>
      </c>
      <c r="N12161" t="s">
        <v>41249</v>
      </c>
      <c r="O12161" t="s">
        <v>41250</v>
      </c>
      <c r="P12161">
        <v>0</v>
      </c>
      <c r="Q12161">
        <v>5</v>
      </c>
      <c r="R12161" t="s">
        <v>41266</v>
      </c>
      <c r="S12161" t="s">
        <v>41978</v>
      </c>
      <c r="T12161" t="s">
        <v>42686</v>
      </c>
      <c r="U12161" t="s">
        <v>50233</v>
      </c>
      <c r="W12161" t="s">
        <v>55959</v>
      </c>
      <c r="X12161" t="s">
        <v>41267</v>
      </c>
    </row>
    <row r="12162" spans="1:24">
      <c r="A12162">
        <f>HYPERLINK("https://www.philgeps.gov.ph/GEPSNONPILOT/Tender/SplashBidNoticeAbstractUI.aspx?menuIndex=3&amp;refID=7049685&amp;Result=3","7049685")</f>
        <v>0</v>
      </c>
      <c r="B12162" t="s">
        <v>3208</v>
      </c>
      <c r="C12162" t="s">
        <v>15034</v>
      </c>
      <c r="D12162" t="s">
        <v>16666</v>
      </c>
      <c r="E12162" t="s">
        <v>27216</v>
      </c>
      <c r="F12162" t="s">
        <v>28671</v>
      </c>
      <c r="G12162" t="s">
        <v>28675</v>
      </c>
      <c r="H12162" t="s">
        <v>28686</v>
      </c>
      <c r="I12162" t="s">
        <v>28689</v>
      </c>
      <c r="J12162" t="s">
        <v>30575</v>
      </c>
      <c r="K12162" t="s">
        <v>37220</v>
      </c>
      <c r="M12162" t="s">
        <v>41017</v>
      </c>
      <c r="N12162" t="s">
        <v>41249</v>
      </c>
      <c r="O12162" t="s">
        <v>41250</v>
      </c>
      <c r="P12162">
        <v>0</v>
      </c>
      <c r="Q12162">
        <v>0</v>
      </c>
      <c r="R12162" t="s">
        <v>41266</v>
      </c>
      <c r="S12162" t="s">
        <v>41978</v>
      </c>
      <c r="T12162" t="s">
        <v>42673</v>
      </c>
      <c r="U12162" t="s">
        <v>52925</v>
      </c>
      <c r="W12162" t="s">
        <v>41017</v>
      </c>
      <c r="X12162" t="s">
        <v>41267</v>
      </c>
    </row>
    <row r="12163" spans="1:24">
      <c r="A12163">
        <f>HYPERLINK("https://www.philgeps.gov.ph/GEPSNONPILOT/Tender/SplashBidNoticeAbstractUI.aspx?menuIndex=3&amp;refID=7049593&amp;Result=3","7049593")</f>
        <v>0</v>
      </c>
      <c r="B12163" t="s">
        <v>3202</v>
      </c>
      <c r="C12163" t="s">
        <v>15035</v>
      </c>
      <c r="E12163" t="s">
        <v>27217</v>
      </c>
      <c r="F12163" t="s">
        <v>28669</v>
      </c>
      <c r="G12163" t="s">
        <v>28675</v>
      </c>
      <c r="H12163" t="s">
        <v>9998</v>
      </c>
      <c r="I12163" t="s">
        <v>28690</v>
      </c>
      <c r="J12163" t="s">
        <v>28823</v>
      </c>
      <c r="K12163" t="s">
        <v>37206</v>
      </c>
      <c r="M12163" t="s">
        <v>41020</v>
      </c>
      <c r="N12163" t="s">
        <v>41249</v>
      </c>
      <c r="O12163" t="s">
        <v>41250</v>
      </c>
      <c r="Q12163">
        <v>6</v>
      </c>
      <c r="R12163" t="s">
        <v>41266</v>
      </c>
      <c r="S12163" t="s">
        <v>42064</v>
      </c>
      <c r="T12163" t="s">
        <v>42764</v>
      </c>
      <c r="U12163" t="s">
        <v>52926</v>
      </c>
      <c r="W12163" t="s">
        <v>41020</v>
      </c>
      <c r="X12163" t="s">
        <v>41267</v>
      </c>
    </row>
    <row r="12164" spans="1:24">
      <c r="A12164">
        <f>HYPERLINK("https://www.philgeps.gov.ph/GEPSNONPILOT/Tender/SplashBidNoticeAbstractUI.aspx?menuIndex=3&amp;refID=7049549&amp;Result=3","7049549")</f>
        <v>0</v>
      </c>
      <c r="B12164" t="s">
        <v>2382</v>
      </c>
      <c r="C12164" t="s">
        <v>15036</v>
      </c>
      <c r="D12164" t="s">
        <v>16626</v>
      </c>
      <c r="E12164" t="s">
        <v>17251</v>
      </c>
      <c r="F12164" t="s">
        <v>28669</v>
      </c>
      <c r="G12164" t="s">
        <v>28676</v>
      </c>
      <c r="H12164" t="s">
        <v>9998</v>
      </c>
      <c r="I12164" t="s">
        <v>6128</v>
      </c>
      <c r="J12164" t="s">
        <v>29523</v>
      </c>
      <c r="K12164" t="s">
        <v>37234</v>
      </c>
      <c r="M12164" t="s">
        <v>40055</v>
      </c>
      <c r="N12164" t="s">
        <v>41249</v>
      </c>
      <c r="O12164" t="s">
        <v>41250</v>
      </c>
      <c r="P12164">
        <v>0</v>
      </c>
      <c r="Q12164">
        <v>0</v>
      </c>
      <c r="R12164" t="s">
        <v>41266</v>
      </c>
      <c r="S12164" t="s">
        <v>41978</v>
      </c>
      <c r="T12164" t="s">
        <v>42748</v>
      </c>
      <c r="U12164" t="s">
        <v>52927</v>
      </c>
      <c r="W12164" t="s">
        <v>40055</v>
      </c>
      <c r="X12164" t="s">
        <v>41267</v>
      </c>
    </row>
    <row r="12165" spans="1:24">
      <c r="A12165">
        <f>HYPERLINK("https://www.philgeps.gov.ph/GEPSNONPILOT/Tender/SplashBidNoticeAbstractUI.aspx?menuIndex=3&amp;refID=7049568&amp;Result=3","7049568")</f>
        <v>0</v>
      </c>
      <c r="B12165" t="s">
        <v>834</v>
      </c>
      <c r="C12165" t="s">
        <v>15037</v>
      </c>
      <c r="D12165" t="s">
        <v>16645</v>
      </c>
      <c r="E12165" t="s">
        <v>27218</v>
      </c>
      <c r="F12165" t="s">
        <v>28669</v>
      </c>
      <c r="G12165" t="s">
        <v>28675</v>
      </c>
      <c r="H12165" t="s">
        <v>28686</v>
      </c>
      <c r="I12165" t="s">
        <v>28689</v>
      </c>
      <c r="J12165" t="s">
        <v>36260</v>
      </c>
      <c r="K12165" t="s">
        <v>37218</v>
      </c>
      <c r="M12165" t="s">
        <v>38350</v>
      </c>
      <c r="N12165" t="s">
        <v>41249</v>
      </c>
      <c r="O12165" t="s">
        <v>41250</v>
      </c>
      <c r="P12165">
        <v>0</v>
      </c>
      <c r="Q12165">
        <v>2</v>
      </c>
      <c r="R12165" t="s">
        <v>41266</v>
      </c>
      <c r="S12165" t="s">
        <v>41978</v>
      </c>
      <c r="T12165" t="s">
        <v>42679</v>
      </c>
      <c r="U12165" t="s">
        <v>52928</v>
      </c>
      <c r="V12165" t="s">
        <v>55715</v>
      </c>
      <c r="W12165" t="s">
        <v>38350</v>
      </c>
      <c r="X12165" t="s">
        <v>41267</v>
      </c>
    </row>
    <row r="12166" spans="1:24">
      <c r="A12166">
        <f>HYPERLINK("https://www.philgeps.gov.ph/GEPSNONPILOT/Tender/SplashBidNoticeAbstractUI.aspx?menuIndex=3&amp;refID=7048922&amp;Result=3","7048922")</f>
        <v>0</v>
      </c>
      <c r="B12166" t="s">
        <v>404</v>
      </c>
      <c r="C12166" t="s">
        <v>15038</v>
      </c>
      <c r="D12166" t="s">
        <v>16633</v>
      </c>
      <c r="E12166" t="s">
        <v>27219</v>
      </c>
      <c r="F12166" t="s">
        <v>28669</v>
      </c>
      <c r="G12166" t="s">
        <v>28675</v>
      </c>
      <c r="H12166" t="s">
        <v>9998</v>
      </c>
      <c r="I12166" t="s">
        <v>7352</v>
      </c>
      <c r="J12166" t="s">
        <v>36261</v>
      </c>
      <c r="K12166" t="s">
        <v>37210</v>
      </c>
      <c r="M12166" t="s">
        <v>37889</v>
      </c>
      <c r="N12166" t="s">
        <v>41249</v>
      </c>
      <c r="O12166" t="s">
        <v>41250</v>
      </c>
      <c r="P12166">
        <v>0</v>
      </c>
      <c r="Q12166">
        <v>2</v>
      </c>
      <c r="R12166" t="s">
        <v>41266</v>
      </c>
      <c r="S12166" t="s">
        <v>41978</v>
      </c>
      <c r="T12166" t="s">
        <v>42742</v>
      </c>
      <c r="U12166" t="s">
        <v>52846</v>
      </c>
      <c r="W12166" t="s">
        <v>37889</v>
      </c>
      <c r="X12166" t="s">
        <v>41267</v>
      </c>
    </row>
    <row r="12167" spans="1:24">
      <c r="A12167">
        <f>HYPERLINK("https://www.philgeps.gov.ph/GEPSNONPILOT/Tender/SplashBidNoticeAbstractUI.aspx?menuIndex=3&amp;refID=7048762&amp;Result=3","7048762")</f>
        <v>0</v>
      </c>
      <c r="B12167" t="s">
        <v>406</v>
      </c>
      <c r="C12167" t="s">
        <v>15039</v>
      </c>
      <c r="D12167" t="s">
        <v>16644</v>
      </c>
      <c r="E12167" t="s">
        <v>27220</v>
      </c>
      <c r="F12167" t="s">
        <v>28669</v>
      </c>
      <c r="G12167" t="s">
        <v>28675</v>
      </c>
      <c r="H12167" t="s">
        <v>9998</v>
      </c>
      <c r="I12167" t="s">
        <v>28695</v>
      </c>
      <c r="J12167" t="s">
        <v>36262</v>
      </c>
      <c r="K12167" t="s">
        <v>37213</v>
      </c>
      <c r="M12167" t="s">
        <v>37891</v>
      </c>
      <c r="N12167" t="s">
        <v>41249</v>
      </c>
      <c r="O12167" t="s">
        <v>41250</v>
      </c>
      <c r="Q12167">
        <v>1</v>
      </c>
      <c r="R12167" t="s">
        <v>41266</v>
      </c>
      <c r="S12167" t="s">
        <v>42065</v>
      </c>
      <c r="T12167" t="s">
        <v>42673</v>
      </c>
      <c r="U12167" t="s">
        <v>43860</v>
      </c>
      <c r="W12167" t="s">
        <v>37891</v>
      </c>
      <c r="X12167" t="s">
        <v>41267</v>
      </c>
    </row>
    <row r="12168" spans="1:24">
      <c r="A12168">
        <f>HYPERLINK("https://www.philgeps.gov.ph/GEPSNONPILOT/Tender/SplashBidNoticeAbstractUI.aspx?menuIndex=3&amp;refID=7049557&amp;Result=3","7049557")</f>
        <v>0</v>
      </c>
      <c r="B12168" t="s">
        <v>2605</v>
      </c>
      <c r="C12168" t="s">
        <v>15040</v>
      </c>
      <c r="D12168" t="s">
        <v>16608</v>
      </c>
      <c r="E12168" t="s">
        <v>27221</v>
      </c>
      <c r="F12168" t="s">
        <v>28669</v>
      </c>
      <c r="G12168" t="s">
        <v>28675</v>
      </c>
      <c r="H12168" t="s">
        <v>9998</v>
      </c>
      <c r="I12168" t="s">
        <v>28708</v>
      </c>
      <c r="J12168" t="s">
        <v>35805</v>
      </c>
      <c r="K12168" t="s">
        <v>37206</v>
      </c>
      <c r="M12168" t="s">
        <v>40301</v>
      </c>
      <c r="N12168" t="s">
        <v>41249</v>
      </c>
      <c r="O12168" t="s">
        <v>41250</v>
      </c>
      <c r="Q12168">
        <v>11</v>
      </c>
      <c r="R12168" t="s">
        <v>41266</v>
      </c>
      <c r="S12168" t="s">
        <v>42066</v>
      </c>
      <c r="T12168" t="s">
        <v>43023</v>
      </c>
      <c r="U12168" t="s">
        <v>50167</v>
      </c>
      <c r="V12168" t="s">
        <v>55703</v>
      </c>
      <c r="W12168" t="s">
        <v>40301</v>
      </c>
      <c r="X12168" t="s">
        <v>41267</v>
      </c>
    </row>
    <row r="12169" spans="1:24">
      <c r="A12169">
        <f>HYPERLINK("https://www.philgeps.gov.ph/GEPSNONPILOT/Tender/SplashBidNoticeAbstractUI.aspx?menuIndex=3&amp;refID=7049619&amp;Result=3","7049619")</f>
        <v>0</v>
      </c>
      <c r="B12169" t="s">
        <v>1633</v>
      </c>
      <c r="C12169" t="s">
        <v>15041</v>
      </c>
      <c r="D12169" t="s">
        <v>16608</v>
      </c>
      <c r="E12169" t="s">
        <v>27222</v>
      </c>
      <c r="F12169" t="s">
        <v>28669</v>
      </c>
      <c r="G12169" t="s">
        <v>28675</v>
      </c>
      <c r="H12169" t="s">
        <v>9998</v>
      </c>
      <c r="I12169" t="s">
        <v>11593</v>
      </c>
      <c r="J12169" t="s">
        <v>36263</v>
      </c>
      <c r="K12169" t="s">
        <v>37221</v>
      </c>
      <c r="M12169" t="s">
        <v>39222</v>
      </c>
      <c r="N12169" t="s">
        <v>41249</v>
      </c>
      <c r="O12169" t="s">
        <v>41250</v>
      </c>
      <c r="Q12169">
        <v>17</v>
      </c>
      <c r="R12169" t="s">
        <v>41266</v>
      </c>
      <c r="S12169" t="s">
        <v>42067</v>
      </c>
      <c r="T12169" t="s">
        <v>42697</v>
      </c>
      <c r="U12169" t="s">
        <v>52924</v>
      </c>
      <c r="V12169" t="s">
        <v>55716</v>
      </c>
      <c r="W12169" t="s">
        <v>39222</v>
      </c>
      <c r="X12169" t="s">
        <v>41267</v>
      </c>
    </row>
    <row r="12170" spans="1:24">
      <c r="A12170">
        <f>HYPERLINK("https://www.philgeps.gov.ph/GEPSNONPILOT/Tender/SplashBidNoticeAbstractUI.aspx?menuIndex=3&amp;refID=7049585&amp;Result=3","7049585")</f>
        <v>0</v>
      </c>
      <c r="B12170" t="s">
        <v>3211</v>
      </c>
      <c r="C12170" t="s">
        <v>15042</v>
      </c>
      <c r="D12170" t="s">
        <v>16678</v>
      </c>
      <c r="E12170" t="s">
        <v>27223</v>
      </c>
      <c r="F12170" t="s">
        <v>28669</v>
      </c>
      <c r="G12170" t="s">
        <v>28675</v>
      </c>
      <c r="H12170" t="s">
        <v>28686</v>
      </c>
      <c r="I12170" t="s">
        <v>28689</v>
      </c>
      <c r="J12170" t="s">
        <v>36264</v>
      </c>
      <c r="K12170" t="s">
        <v>37212</v>
      </c>
      <c r="M12170" t="s">
        <v>41021</v>
      </c>
      <c r="N12170" t="s">
        <v>41249</v>
      </c>
      <c r="O12170" t="s">
        <v>41250</v>
      </c>
      <c r="P12170">
        <v>0</v>
      </c>
      <c r="Q12170">
        <v>3</v>
      </c>
      <c r="R12170" t="s">
        <v>41266</v>
      </c>
      <c r="S12170" t="s">
        <v>41978</v>
      </c>
      <c r="T12170" t="s">
        <v>42738</v>
      </c>
      <c r="U12170" t="s">
        <v>52929</v>
      </c>
      <c r="W12170" t="s">
        <v>41021</v>
      </c>
      <c r="X12170" t="s">
        <v>41267</v>
      </c>
    </row>
    <row r="12171" spans="1:24">
      <c r="A12171">
        <f>HYPERLINK("https://www.philgeps.gov.ph/GEPSNONPILOT/Tender/SplashBidNoticeAbstractUI.aspx?menuIndex=3&amp;refID=7048764&amp;Result=3","7048764")</f>
        <v>0</v>
      </c>
      <c r="B12171" t="s">
        <v>3114</v>
      </c>
      <c r="C12171" t="s">
        <v>15043</v>
      </c>
      <c r="D12171" t="s">
        <v>16648</v>
      </c>
      <c r="E12171" t="s">
        <v>27224</v>
      </c>
      <c r="F12171" t="s">
        <v>28669</v>
      </c>
      <c r="G12171" t="s">
        <v>28675</v>
      </c>
      <c r="H12171" t="s">
        <v>28686</v>
      </c>
      <c r="I12171" t="s">
        <v>28689</v>
      </c>
      <c r="J12171" t="s">
        <v>36181</v>
      </c>
      <c r="K12171" t="s">
        <v>37472</v>
      </c>
      <c r="L12171" t="s">
        <v>3114</v>
      </c>
      <c r="M12171" t="s">
        <v>40902</v>
      </c>
      <c r="N12171" t="s">
        <v>41249</v>
      </c>
      <c r="O12171" t="s">
        <v>41250</v>
      </c>
      <c r="Q12171">
        <v>4</v>
      </c>
      <c r="R12171" t="s">
        <v>41266</v>
      </c>
      <c r="S12171" t="s">
        <v>42068</v>
      </c>
      <c r="T12171" t="s">
        <v>42673</v>
      </c>
      <c r="U12171" t="s">
        <v>52930</v>
      </c>
      <c r="W12171" t="s">
        <v>40902</v>
      </c>
      <c r="X12171" t="s">
        <v>41267</v>
      </c>
    </row>
    <row r="12172" spans="1:24">
      <c r="A12172">
        <f>HYPERLINK("https://www.philgeps.gov.ph/GEPSNONPILOT/Tender/SplashBidNoticeAbstractUI.aspx?menuIndex=3&amp;refID=7049079&amp;Result=3","7049079")</f>
        <v>0</v>
      </c>
      <c r="B12172" t="s">
        <v>1606</v>
      </c>
      <c r="C12172" t="s">
        <v>15044</v>
      </c>
      <c r="E12172" t="s">
        <v>27225</v>
      </c>
      <c r="F12172" t="s">
        <v>28669</v>
      </c>
      <c r="G12172" t="s">
        <v>28675</v>
      </c>
      <c r="H12172" t="s">
        <v>9998</v>
      </c>
      <c r="I12172" t="s">
        <v>28713</v>
      </c>
      <c r="J12172" t="s">
        <v>36265</v>
      </c>
      <c r="K12172" t="s">
        <v>37209</v>
      </c>
      <c r="M12172" t="s">
        <v>39190</v>
      </c>
      <c r="N12172" t="s">
        <v>41249</v>
      </c>
      <c r="O12172" t="s">
        <v>41250</v>
      </c>
      <c r="Q12172">
        <v>10</v>
      </c>
      <c r="R12172" t="s">
        <v>41266</v>
      </c>
      <c r="S12172" t="s">
        <v>42069</v>
      </c>
      <c r="T12172" t="s">
        <v>42966</v>
      </c>
      <c r="U12172" t="s">
        <v>52908</v>
      </c>
      <c r="W12172" t="s">
        <v>39190</v>
      </c>
      <c r="X12172" t="s">
        <v>41267</v>
      </c>
    </row>
    <row r="12173" spans="1:24">
      <c r="A12173">
        <f>HYPERLINK("https://www.philgeps.gov.ph/GEPSNONPILOT/Tender/SplashBidNoticeAbstractUI.aspx?menuIndex=3&amp;refID=7049769&amp;Result=3","7049769")</f>
        <v>0</v>
      </c>
      <c r="B12173" t="s">
        <v>1689</v>
      </c>
      <c r="C12173" t="s">
        <v>15045</v>
      </c>
      <c r="D12173" t="s">
        <v>16641</v>
      </c>
      <c r="E12173" t="s">
        <v>27226</v>
      </c>
      <c r="F12173" t="s">
        <v>28669</v>
      </c>
      <c r="G12173" t="s">
        <v>28675</v>
      </c>
      <c r="H12173" t="s">
        <v>9998</v>
      </c>
      <c r="I12173" t="s">
        <v>11593</v>
      </c>
      <c r="J12173" t="s">
        <v>36266</v>
      </c>
      <c r="K12173" t="s">
        <v>37206</v>
      </c>
      <c r="M12173" t="s">
        <v>40966</v>
      </c>
      <c r="N12173" t="s">
        <v>41249</v>
      </c>
      <c r="O12173" t="s">
        <v>41250</v>
      </c>
      <c r="P12173">
        <v>0</v>
      </c>
      <c r="Q12173">
        <v>10</v>
      </c>
      <c r="R12173" t="s">
        <v>41266</v>
      </c>
      <c r="S12173" t="s">
        <v>41978</v>
      </c>
      <c r="T12173" t="s">
        <v>42764</v>
      </c>
      <c r="U12173" t="s">
        <v>52931</v>
      </c>
      <c r="W12173" t="s">
        <v>40966</v>
      </c>
      <c r="X12173" t="s">
        <v>41267</v>
      </c>
    </row>
    <row r="12174" spans="1:24">
      <c r="A12174">
        <f>HYPERLINK("https://www.philgeps.gov.ph/GEPSNONPILOT/Tender/SplashBidNoticeAbstractUI.aspx?menuIndex=3&amp;refID=7049706&amp;Result=3","7049706")</f>
        <v>0</v>
      </c>
      <c r="B12174" t="s">
        <v>3212</v>
      </c>
      <c r="C12174" t="s">
        <v>15046</v>
      </c>
      <c r="E12174" t="s">
        <v>27227</v>
      </c>
      <c r="F12174" t="s">
        <v>28669</v>
      </c>
      <c r="G12174" t="s">
        <v>28675</v>
      </c>
      <c r="H12174" t="s">
        <v>9998</v>
      </c>
      <c r="I12174" t="s">
        <v>28708</v>
      </c>
      <c r="J12174" t="s">
        <v>36267</v>
      </c>
      <c r="K12174" t="s">
        <v>37209</v>
      </c>
      <c r="M12174" t="s">
        <v>41022</v>
      </c>
      <c r="N12174" t="s">
        <v>41249</v>
      </c>
      <c r="O12174" t="s">
        <v>41250</v>
      </c>
      <c r="Q12174">
        <v>15</v>
      </c>
      <c r="R12174" t="s">
        <v>41266</v>
      </c>
      <c r="S12174" t="s">
        <v>42041</v>
      </c>
      <c r="T12174" t="s">
        <v>42858</v>
      </c>
      <c r="U12174" t="s">
        <v>52932</v>
      </c>
      <c r="V12174" t="s">
        <v>55717</v>
      </c>
      <c r="W12174" t="s">
        <v>56029</v>
      </c>
      <c r="X12174" t="s">
        <v>41267</v>
      </c>
    </row>
    <row r="12175" spans="1:24">
      <c r="A12175">
        <f>HYPERLINK("https://www.philgeps.gov.ph/GEPSNONPILOT/Tender/SplashBidNoticeAbstractUI.aspx?menuIndex=3&amp;refID=7049758&amp;Result=3","7049758")</f>
        <v>0</v>
      </c>
      <c r="B12175" t="s">
        <v>1689</v>
      </c>
      <c r="C12175" t="s">
        <v>15047</v>
      </c>
      <c r="D12175" t="s">
        <v>16641</v>
      </c>
      <c r="E12175" t="s">
        <v>27228</v>
      </c>
      <c r="F12175" t="s">
        <v>28669</v>
      </c>
      <c r="G12175" t="s">
        <v>28675</v>
      </c>
      <c r="H12175" t="s">
        <v>9998</v>
      </c>
      <c r="I12175" t="s">
        <v>11593</v>
      </c>
      <c r="J12175" t="s">
        <v>36268</v>
      </c>
      <c r="K12175" t="s">
        <v>37206</v>
      </c>
      <c r="M12175" t="s">
        <v>40966</v>
      </c>
      <c r="N12175" t="s">
        <v>41249</v>
      </c>
      <c r="O12175" t="s">
        <v>41250</v>
      </c>
      <c r="P12175">
        <v>0</v>
      </c>
      <c r="Q12175">
        <v>7</v>
      </c>
      <c r="R12175" t="s">
        <v>41266</v>
      </c>
      <c r="S12175" t="s">
        <v>41978</v>
      </c>
      <c r="T12175" t="s">
        <v>42764</v>
      </c>
      <c r="U12175" t="s">
        <v>52933</v>
      </c>
      <c r="W12175" t="s">
        <v>40966</v>
      </c>
      <c r="X12175" t="s">
        <v>41267</v>
      </c>
    </row>
    <row r="12176" spans="1:24">
      <c r="A12176">
        <f>HYPERLINK("https://www.philgeps.gov.ph/GEPSNONPILOT/Tender/SplashBidNoticeAbstractUI.aspx?menuIndex=3&amp;refID=7049751&amp;Result=3","7049751")</f>
        <v>0</v>
      </c>
      <c r="B12176" t="s">
        <v>310</v>
      </c>
      <c r="C12176" t="s">
        <v>15048</v>
      </c>
      <c r="D12176" t="s">
        <v>16635</v>
      </c>
      <c r="E12176" t="s">
        <v>27229</v>
      </c>
      <c r="F12176" t="s">
        <v>28669</v>
      </c>
      <c r="G12176" t="s">
        <v>28675</v>
      </c>
      <c r="H12176" t="s">
        <v>9998</v>
      </c>
      <c r="I12176" t="s">
        <v>28690</v>
      </c>
      <c r="J12176" t="s">
        <v>36269</v>
      </c>
      <c r="K12176" t="s">
        <v>37210</v>
      </c>
      <c r="M12176" t="s">
        <v>37980</v>
      </c>
      <c r="N12176" t="s">
        <v>41249</v>
      </c>
      <c r="O12176" t="s">
        <v>41250</v>
      </c>
      <c r="P12176">
        <v>0</v>
      </c>
      <c r="Q12176">
        <v>9</v>
      </c>
      <c r="R12176" t="s">
        <v>41266</v>
      </c>
      <c r="S12176" t="s">
        <v>41978</v>
      </c>
      <c r="T12176" t="s">
        <v>42682</v>
      </c>
      <c r="U12176" t="s">
        <v>52934</v>
      </c>
      <c r="W12176" t="s">
        <v>37980</v>
      </c>
      <c r="X12176" t="s">
        <v>41267</v>
      </c>
    </row>
    <row r="12177" spans="1:24">
      <c r="A12177">
        <f>HYPERLINK("https://www.philgeps.gov.ph/GEPSNONPILOT/Tender/SplashBidNoticeAbstractUI.aspx?menuIndex=3&amp;refID=7049694&amp;Result=3","7049694")</f>
        <v>0</v>
      </c>
      <c r="B12177" t="s">
        <v>2053</v>
      </c>
      <c r="C12177" t="s">
        <v>15049</v>
      </c>
      <c r="D12177" t="s">
        <v>16663</v>
      </c>
      <c r="E12177" t="s">
        <v>27230</v>
      </c>
      <c r="F12177" t="s">
        <v>28669</v>
      </c>
      <c r="G12177" t="s">
        <v>28675</v>
      </c>
      <c r="H12177" t="s">
        <v>9998</v>
      </c>
      <c r="I12177" t="s">
        <v>28751</v>
      </c>
      <c r="J12177" t="s">
        <v>36270</v>
      </c>
      <c r="K12177" t="s">
        <v>37221</v>
      </c>
      <c r="M12177" t="s">
        <v>39693</v>
      </c>
      <c r="N12177" t="s">
        <v>41249</v>
      </c>
      <c r="O12177" t="s">
        <v>41250</v>
      </c>
      <c r="Q12177">
        <v>7</v>
      </c>
      <c r="R12177" t="s">
        <v>41266</v>
      </c>
      <c r="S12177" t="s">
        <v>42070</v>
      </c>
      <c r="T12177" t="s">
        <v>42670</v>
      </c>
      <c r="U12177" t="s">
        <v>52935</v>
      </c>
      <c r="W12177" t="s">
        <v>39693</v>
      </c>
      <c r="X12177" t="s">
        <v>41267</v>
      </c>
    </row>
    <row r="12178" spans="1:24">
      <c r="A12178">
        <f>HYPERLINK("https://www.philgeps.gov.ph/GEPSNONPILOT/Tender/SplashBidNoticeAbstractUI.aspx?menuIndex=3&amp;refID=7049746&amp;Result=3","7049746")</f>
        <v>0</v>
      </c>
      <c r="B12178" t="s">
        <v>688</v>
      </c>
      <c r="C12178" t="s">
        <v>15050</v>
      </c>
      <c r="D12178" t="s">
        <v>16619</v>
      </c>
      <c r="E12178" t="s">
        <v>27231</v>
      </c>
      <c r="F12178" t="s">
        <v>28669</v>
      </c>
      <c r="G12178" t="s">
        <v>28675</v>
      </c>
      <c r="H12178" t="s">
        <v>9998</v>
      </c>
      <c r="I12178" t="s">
        <v>6128</v>
      </c>
      <c r="J12178" t="s">
        <v>36271</v>
      </c>
      <c r="K12178" t="s">
        <v>37206</v>
      </c>
      <c r="M12178" t="s">
        <v>38193</v>
      </c>
      <c r="N12178" t="s">
        <v>41249</v>
      </c>
      <c r="O12178" t="s">
        <v>41250</v>
      </c>
      <c r="P12178">
        <v>0</v>
      </c>
      <c r="Q12178">
        <v>6</v>
      </c>
      <c r="R12178" t="s">
        <v>41266</v>
      </c>
      <c r="S12178" t="s">
        <v>41978</v>
      </c>
      <c r="T12178" t="s">
        <v>42679</v>
      </c>
      <c r="U12178" t="s">
        <v>52936</v>
      </c>
      <c r="W12178" t="s">
        <v>38193</v>
      </c>
      <c r="X12178" t="s">
        <v>41267</v>
      </c>
    </row>
    <row r="12179" spans="1:24">
      <c r="A12179">
        <f>HYPERLINK("https://www.philgeps.gov.ph/GEPSNONPILOT/Tender/SplashBidNoticeAbstractUI.aspx?menuIndex=3&amp;refID=7049743&amp;Result=3","7049743")</f>
        <v>0</v>
      </c>
      <c r="B12179" t="s">
        <v>1689</v>
      </c>
      <c r="C12179" t="s">
        <v>15051</v>
      </c>
      <c r="D12179" t="s">
        <v>16641</v>
      </c>
      <c r="E12179" t="s">
        <v>27232</v>
      </c>
      <c r="F12179" t="s">
        <v>28669</v>
      </c>
      <c r="G12179" t="s">
        <v>28675</v>
      </c>
      <c r="H12179" t="s">
        <v>9998</v>
      </c>
      <c r="I12179" t="s">
        <v>5286</v>
      </c>
      <c r="J12179" t="s">
        <v>36272</v>
      </c>
      <c r="K12179" t="s">
        <v>37210</v>
      </c>
      <c r="M12179" t="s">
        <v>40966</v>
      </c>
      <c r="N12179" t="s">
        <v>41249</v>
      </c>
      <c r="O12179" t="s">
        <v>41250</v>
      </c>
      <c r="P12179">
        <v>0</v>
      </c>
      <c r="Q12179">
        <v>10</v>
      </c>
      <c r="R12179" t="s">
        <v>41266</v>
      </c>
      <c r="S12179" t="s">
        <v>41978</v>
      </c>
      <c r="T12179" t="s">
        <v>42764</v>
      </c>
      <c r="U12179" t="s">
        <v>52937</v>
      </c>
      <c r="W12179" t="s">
        <v>40966</v>
      </c>
      <c r="X12179" t="s">
        <v>41267</v>
      </c>
    </row>
    <row r="12180" spans="1:24">
      <c r="A12180">
        <f>HYPERLINK("https://www.philgeps.gov.ph/GEPSNONPILOT/Tender/SplashBidNoticeAbstractUI.aspx?menuIndex=3&amp;refID=7049727&amp;Result=3","7049727")</f>
        <v>0</v>
      </c>
      <c r="B12180" t="s">
        <v>1689</v>
      </c>
      <c r="C12180" t="s">
        <v>15052</v>
      </c>
      <c r="D12180" t="s">
        <v>16641</v>
      </c>
      <c r="E12180" t="s">
        <v>27233</v>
      </c>
      <c r="F12180" t="s">
        <v>28669</v>
      </c>
      <c r="G12180" t="s">
        <v>28675</v>
      </c>
      <c r="H12180" t="s">
        <v>9998</v>
      </c>
      <c r="I12180" t="s">
        <v>28693</v>
      </c>
      <c r="J12180" t="s">
        <v>36273</v>
      </c>
      <c r="K12180" t="s">
        <v>37210</v>
      </c>
      <c r="M12180" t="s">
        <v>40966</v>
      </c>
      <c r="N12180" t="s">
        <v>41249</v>
      </c>
      <c r="O12180" t="s">
        <v>41250</v>
      </c>
      <c r="P12180">
        <v>0</v>
      </c>
      <c r="Q12180">
        <v>13</v>
      </c>
      <c r="R12180" t="s">
        <v>41266</v>
      </c>
      <c r="S12180" t="s">
        <v>41978</v>
      </c>
      <c r="T12180" t="s">
        <v>42764</v>
      </c>
      <c r="U12180" t="s">
        <v>52938</v>
      </c>
      <c r="W12180" t="s">
        <v>40966</v>
      </c>
      <c r="X12180" t="s">
        <v>41267</v>
      </c>
    </row>
    <row r="12181" spans="1:24">
      <c r="A12181">
        <f>HYPERLINK("https://www.philgeps.gov.ph/GEPSNONPILOT/Tender/SplashBidNoticeAbstractUI.aspx?menuIndex=3&amp;refID=7049710&amp;Result=3","7049710")</f>
        <v>0</v>
      </c>
      <c r="B12181" t="s">
        <v>2393</v>
      </c>
      <c r="C12181" t="s">
        <v>15053</v>
      </c>
      <c r="D12181" t="s">
        <v>16643</v>
      </c>
      <c r="E12181" t="s">
        <v>27234</v>
      </c>
      <c r="F12181" t="s">
        <v>28669</v>
      </c>
      <c r="G12181" t="s">
        <v>28675</v>
      </c>
      <c r="H12181" t="s">
        <v>9998</v>
      </c>
      <c r="I12181" t="s">
        <v>28704</v>
      </c>
      <c r="J12181" t="s">
        <v>36274</v>
      </c>
      <c r="K12181" t="s">
        <v>37209</v>
      </c>
      <c r="M12181" t="s">
        <v>40626</v>
      </c>
      <c r="N12181" t="s">
        <v>41249</v>
      </c>
      <c r="O12181" t="s">
        <v>41250</v>
      </c>
      <c r="Q12181">
        <v>3</v>
      </c>
      <c r="R12181" t="s">
        <v>41266</v>
      </c>
      <c r="S12181" t="s">
        <v>42071</v>
      </c>
      <c r="T12181" t="s">
        <v>42658</v>
      </c>
      <c r="U12181" t="s">
        <v>52939</v>
      </c>
      <c r="W12181" t="s">
        <v>40626</v>
      </c>
      <c r="X12181" t="s">
        <v>41267</v>
      </c>
    </row>
    <row r="12182" spans="1:24">
      <c r="A12182">
        <f>HYPERLINK("https://www.philgeps.gov.ph/GEPSNONPILOT/Tender/SplashBidNoticeAbstractUI.aspx?menuIndex=3&amp;refID=7049766&amp;Result=3","7049766")</f>
        <v>0</v>
      </c>
      <c r="B12182" t="s">
        <v>3090</v>
      </c>
      <c r="C12182" t="s">
        <v>15054</v>
      </c>
      <c r="D12182" t="s">
        <v>16659</v>
      </c>
      <c r="E12182" t="s">
        <v>27235</v>
      </c>
      <c r="F12182" t="s">
        <v>28669</v>
      </c>
      <c r="G12182" t="s">
        <v>28675</v>
      </c>
      <c r="H12182" t="s">
        <v>28686</v>
      </c>
      <c r="I12182" t="s">
        <v>28689</v>
      </c>
      <c r="J12182" t="s">
        <v>36275</v>
      </c>
      <c r="K12182" t="s">
        <v>37213</v>
      </c>
      <c r="M12182" t="s">
        <v>40875</v>
      </c>
      <c r="N12182" t="s">
        <v>41249</v>
      </c>
      <c r="O12182" t="s">
        <v>41250</v>
      </c>
      <c r="P12182">
        <v>0</v>
      </c>
      <c r="Q12182">
        <v>11</v>
      </c>
      <c r="R12182" t="s">
        <v>41266</v>
      </c>
      <c r="S12182" t="s">
        <v>41978</v>
      </c>
      <c r="T12182" t="s">
        <v>42679</v>
      </c>
      <c r="U12182" t="s">
        <v>52940</v>
      </c>
      <c r="V12182" t="s">
        <v>55718</v>
      </c>
      <c r="W12182" t="s">
        <v>40875</v>
      </c>
      <c r="X12182" t="s">
        <v>41267</v>
      </c>
    </row>
    <row r="12183" spans="1:24">
      <c r="A12183">
        <f>HYPERLINK("https://www.philgeps.gov.ph/GEPSNONPILOT/Tender/SplashBidNoticeAbstractUI.aspx?menuIndex=3&amp;refID=7049754&amp;Result=3","7049754")</f>
        <v>0</v>
      </c>
      <c r="B12183" t="s">
        <v>2959</v>
      </c>
      <c r="C12183" t="s">
        <v>15055</v>
      </c>
      <c r="D12183" t="s">
        <v>16608</v>
      </c>
      <c r="E12183" t="s">
        <v>27236</v>
      </c>
      <c r="F12183" t="s">
        <v>28669</v>
      </c>
      <c r="G12183" t="s">
        <v>28679</v>
      </c>
      <c r="H12183" t="s">
        <v>28685</v>
      </c>
      <c r="I12183" t="s">
        <v>28685</v>
      </c>
      <c r="J12183" t="s">
        <v>29059</v>
      </c>
      <c r="K12183" t="s">
        <v>37347</v>
      </c>
      <c r="M12183" t="s">
        <v>41023</v>
      </c>
      <c r="N12183" t="s">
        <v>41249</v>
      </c>
      <c r="O12183" t="s">
        <v>41250</v>
      </c>
      <c r="Q12183">
        <v>12</v>
      </c>
      <c r="R12183" t="s">
        <v>41266</v>
      </c>
      <c r="S12183" t="s">
        <v>42072</v>
      </c>
      <c r="T12183" t="s">
        <v>42793</v>
      </c>
      <c r="U12183" t="s">
        <v>52941</v>
      </c>
      <c r="W12183" t="s">
        <v>41023</v>
      </c>
      <c r="X12183" t="s">
        <v>41267</v>
      </c>
    </row>
    <row r="12184" spans="1:24">
      <c r="A12184">
        <f>HYPERLINK("https://www.philgeps.gov.ph/GEPSNONPILOT/Tender/SplashBidNoticeAbstractUI.aspx?menuIndex=3&amp;refID=7049790&amp;Result=3","7049790")</f>
        <v>0</v>
      </c>
      <c r="B12184" t="s">
        <v>2153</v>
      </c>
      <c r="C12184" t="s">
        <v>15056</v>
      </c>
      <c r="D12184" t="s">
        <v>16630</v>
      </c>
      <c r="E12184" t="s">
        <v>27237</v>
      </c>
      <c r="F12184" t="s">
        <v>28669</v>
      </c>
      <c r="G12184" t="s">
        <v>28675</v>
      </c>
      <c r="H12184" t="s">
        <v>9998</v>
      </c>
      <c r="I12184" t="s">
        <v>11593</v>
      </c>
      <c r="J12184" t="s">
        <v>36276</v>
      </c>
      <c r="K12184" t="s">
        <v>37206</v>
      </c>
      <c r="M12184" t="s">
        <v>39798</v>
      </c>
      <c r="N12184" t="s">
        <v>41249</v>
      </c>
      <c r="O12184" t="s">
        <v>41250</v>
      </c>
      <c r="P12184">
        <v>0</v>
      </c>
      <c r="Q12184">
        <v>12</v>
      </c>
      <c r="R12184" t="s">
        <v>41266</v>
      </c>
      <c r="S12184" t="s">
        <v>41978</v>
      </c>
      <c r="T12184" t="s">
        <v>42742</v>
      </c>
      <c r="U12184" t="s">
        <v>52942</v>
      </c>
      <c r="W12184" t="s">
        <v>39798</v>
      </c>
      <c r="X12184" t="s">
        <v>41267</v>
      </c>
    </row>
    <row r="12185" spans="1:24">
      <c r="A12185">
        <f>HYPERLINK("https://www.philgeps.gov.ph/GEPSNONPILOT/Tender/SplashBidNoticeAbstractUI.aspx?menuIndex=3&amp;refID=7049788&amp;Result=3","7049788")</f>
        <v>0</v>
      </c>
      <c r="B12185" t="s">
        <v>1689</v>
      </c>
      <c r="C12185" t="s">
        <v>15057</v>
      </c>
      <c r="D12185" t="s">
        <v>16641</v>
      </c>
      <c r="E12185" t="s">
        <v>27238</v>
      </c>
      <c r="F12185" t="s">
        <v>28669</v>
      </c>
      <c r="G12185" t="s">
        <v>28675</v>
      </c>
      <c r="H12185" t="s">
        <v>9998</v>
      </c>
      <c r="I12185" t="s">
        <v>28695</v>
      </c>
      <c r="J12185" t="s">
        <v>36277</v>
      </c>
      <c r="K12185" t="s">
        <v>37210</v>
      </c>
      <c r="M12185" t="s">
        <v>40966</v>
      </c>
      <c r="N12185" t="s">
        <v>41249</v>
      </c>
      <c r="O12185" t="s">
        <v>41250</v>
      </c>
      <c r="P12185">
        <v>0</v>
      </c>
      <c r="Q12185">
        <v>2</v>
      </c>
      <c r="R12185" t="s">
        <v>41266</v>
      </c>
      <c r="S12185" t="s">
        <v>41978</v>
      </c>
      <c r="T12185" t="s">
        <v>42764</v>
      </c>
      <c r="U12185" t="s">
        <v>52943</v>
      </c>
      <c r="W12185" t="s">
        <v>40966</v>
      </c>
      <c r="X12185" t="s">
        <v>41267</v>
      </c>
    </row>
    <row r="12186" spans="1:24">
      <c r="A12186">
        <f>HYPERLINK("https://www.philgeps.gov.ph/GEPSNONPILOT/Tender/SplashBidNoticeAbstractUI.aspx?menuIndex=3&amp;refID=7049707&amp;Result=3","7049707")</f>
        <v>0</v>
      </c>
      <c r="B12186" t="s">
        <v>2053</v>
      </c>
      <c r="C12186" t="s">
        <v>15058</v>
      </c>
      <c r="D12186" t="s">
        <v>16663</v>
      </c>
      <c r="E12186" t="s">
        <v>27239</v>
      </c>
      <c r="F12186" t="s">
        <v>28669</v>
      </c>
      <c r="G12186" t="s">
        <v>28675</v>
      </c>
      <c r="H12186" t="s">
        <v>9998</v>
      </c>
      <c r="I12186" t="s">
        <v>28751</v>
      </c>
      <c r="J12186" t="s">
        <v>28924</v>
      </c>
      <c r="K12186" t="s">
        <v>37221</v>
      </c>
      <c r="M12186" t="s">
        <v>39693</v>
      </c>
      <c r="N12186" t="s">
        <v>41249</v>
      </c>
      <c r="O12186" t="s">
        <v>41250</v>
      </c>
      <c r="Q12186">
        <v>11</v>
      </c>
      <c r="R12186" t="s">
        <v>41266</v>
      </c>
      <c r="S12186" t="s">
        <v>42073</v>
      </c>
      <c r="T12186" t="s">
        <v>42763</v>
      </c>
      <c r="U12186" t="s">
        <v>52944</v>
      </c>
      <c r="W12186" t="s">
        <v>39693</v>
      </c>
      <c r="X12186" t="s">
        <v>41267</v>
      </c>
    </row>
    <row r="12187" spans="1:24">
      <c r="A12187">
        <f>HYPERLINK("https://www.philgeps.gov.ph/GEPSNONPILOT/Tender/SplashBidNoticeAbstractUI.aspx?menuIndex=3&amp;refID=7049785&amp;Result=3","7049785")</f>
        <v>0</v>
      </c>
      <c r="B12187" t="s">
        <v>1143</v>
      </c>
      <c r="C12187" t="s">
        <v>15059</v>
      </c>
      <c r="D12187" t="s">
        <v>16608</v>
      </c>
      <c r="E12187" t="s">
        <v>27240</v>
      </c>
      <c r="F12187" t="s">
        <v>28669</v>
      </c>
      <c r="G12187" t="s">
        <v>28675</v>
      </c>
      <c r="H12187" t="s">
        <v>28686</v>
      </c>
      <c r="I12187" t="s">
        <v>28689</v>
      </c>
      <c r="J12187" t="s">
        <v>36278</v>
      </c>
      <c r="K12187" t="s">
        <v>37211</v>
      </c>
      <c r="M12187" t="s">
        <v>38678</v>
      </c>
      <c r="N12187" t="s">
        <v>41249</v>
      </c>
      <c r="O12187" t="s">
        <v>41250</v>
      </c>
      <c r="P12187">
        <v>0</v>
      </c>
      <c r="Q12187">
        <v>37</v>
      </c>
      <c r="R12187" t="s">
        <v>41266</v>
      </c>
      <c r="S12187" t="s">
        <v>41978</v>
      </c>
      <c r="T12187" t="s">
        <v>42703</v>
      </c>
      <c r="U12187" t="s">
        <v>52945</v>
      </c>
      <c r="W12187" t="s">
        <v>38678</v>
      </c>
      <c r="X12187" t="s">
        <v>41267</v>
      </c>
    </row>
    <row r="12188" spans="1:24">
      <c r="A12188">
        <f>HYPERLINK("https://www.philgeps.gov.ph/GEPSNONPILOT/Tender/SplashBidNoticeAbstractUI.aspx?menuIndex=3&amp;refID=7049711&amp;Result=3","7049711")</f>
        <v>0</v>
      </c>
      <c r="B12188" t="s">
        <v>1117</v>
      </c>
      <c r="C12188" t="s">
        <v>15060</v>
      </c>
      <c r="D12188" t="s">
        <v>16607</v>
      </c>
      <c r="E12188" t="s">
        <v>27241</v>
      </c>
      <c r="F12188" t="s">
        <v>28669</v>
      </c>
      <c r="G12188" t="s">
        <v>28675</v>
      </c>
      <c r="H12188" t="s">
        <v>9998</v>
      </c>
      <c r="I12188" t="s">
        <v>8667</v>
      </c>
      <c r="J12188" t="s">
        <v>28847</v>
      </c>
      <c r="K12188" t="s">
        <v>37205</v>
      </c>
      <c r="M12188" t="s">
        <v>38651</v>
      </c>
      <c r="N12188" t="s">
        <v>41249</v>
      </c>
      <c r="O12188" t="s">
        <v>41250</v>
      </c>
      <c r="Q12188">
        <v>1</v>
      </c>
      <c r="R12188" t="s">
        <v>41266</v>
      </c>
      <c r="S12188" t="s">
        <v>42074</v>
      </c>
      <c r="T12188" t="s">
        <v>42783</v>
      </c>
      <c r="U12188" t="s">
        <v>52946</v>
      </c>
      <c r="V12188" t="s">
        <v>55719</v>
      </c>
      <c r="W12188" t="s">
        <v>38651</v>
      </c>
      <c r="X12188" t="s">
        <v>41267</v>
      </c>
    </row>
    <row r="12189" spans="1:24">
      <c r="A12189">
        <f>HYPERLINK("https://www.philgeps.gov.ph/GEPSNONPILOT/Tender/SplashBidNoticeAbstractUI.aspx?menuIndex=3&amp;refID=7049771&amp;Result=3","7049771")</f>
        <v>0</v>
      </c>
      <c r="B12189" t="s">
        <v>3213</v>
      </c>
      <c r="C12189" t="s">
        <v>15061</v>
      </c>
      <c r="D12189" t="s">
        <v>16645</v>
      </c>
      <c r="E12189" t="s">
        <v>25306</v>
      </c>
      <c r="F12189" t="s">
        <v>28669</v>
      </c>
      <c r="G12189" t="s">
        <v>28675</v>
      </c>
      <c r="H12189" t="s">
        <v>9998</v>
      </c>
      <c r="I12189" t="s">
        <v>28687</v>
      </c>
      <c r="J12189" t="s">
        <v>36279</v>
      </c>
      <c r="K12189" t="s">
        <v>37231</v>
      </c>
      <c r="M12189" t="s">
        <v>41024</v>
      </c>
      <c r="N12189" t="s">
        <v>41249</v>
      </c>
      <c r="O12189" t="s">
        <v>41250</v>
      </c>
      <c r="P12189">
        <v>0</v>
      </c>
      <c r="Q12189">
        <v>10</v>
      </c>
      <c r="R12189" t="s">
        <v>41266</v>
      </c>
      <c r="S12189" t="s">
        <v>41978</v>
      </c>
      <c r="T12189" t="s">
        <v>42682</v>
      </c>
      <c r="U12189" t="s">
        <v>52947</v>
      </c>
      <c r="W12189" t="s">
        <v>41024</v>
      </c>
      <c r="X12189" t="s">
        <v>41267</v>
      </c>
    </row>
    <row r="12190" spans="1:24">
      <c r="A12190">
        <f>HYPERLINK("https://www.philgeps.gov.ph/GEPSNONPILOT/Tender/SplashBidNoticeAbstractUI.aspx?menuIndex=3&amp;refID=7049792&amp;Result=3","7049792")</f>
        <v>0</v>
      </c>
      <c r="B12190" t="s">
        <v>1689</v>
      </c>
      <c r="C12190" t="s">
        <v>15062</v>
      </c>
      <c r="D12190" t="s">
        <v>16641</v>
      </c>
      <c r="E12190" t="s">
        <v>27242</v>
      </c>
      <c r="F12190" t="s">
        <v>28669</v>
      </c>
      <c r="G12190" t="s">
        <v>28675</v>
      </c>
      <c r="H12190" t="s">
        <v>9998</v>
      </c>
      <c r="I12190" t="s">
        <v>28695</v>
      </c>
      <c r="J12190" t="s">
        <v>36280</v>
      </c>
      <c r="K12190" t="s">
        <v>37210</v>
      </c>
      <c r="M12190" t="s">
        <v>40966</v>
      </c>
      <c r="N12190" t="s">
        <v>41249</v>
      </c>
      <c r="O12190" t="s">
        <v>41250</v>
      </c>
      <c r="P12190">
        <v>0</v>
      </c>
      <c r="Q12190">
        <v>0</v>
      </c>
      <c r="R12190" t="s">
        <v>41266</v>
      </c>
      <c r="S12190" t="s">
        <v>41978</v>
      </c>
      <c r="T12190" t="s">
        <v>42764</v>
      </c>
      <c r="U12190" t="s">
        <v>52948</v>
      </c>
      <c r="W12190" t="s">
        <v>40966</v>
      </c>
      <c r="X12190" t="s">
        <v>41267</v>
      </c>
    </row>
    <row r="12191" spans="1:24">
      <c r="A12191">
        <f>HYPERLINK("https://www.philgeps.gov.ph/GEPSNONPILOT/Tender/SplashBidNoticeAbstractUI.aspx?menuIndex=3&amp;refID=7027208&amp;Result=3","7027208")</f>
        <v>0</v>
      </c>
      <c r="B12191" t="s">
        <v>158</v>
      </c>
      <c r="C12191" t="s">
        <v>15063</v>
      </c>
      <c r="D12191" t="s">
        <v>16609</v>
      </c>
      <c r="E12191" t="s">
        <v>22442</v>
      </c>
      <c r="F12191" t="s">
        <v>28669</v>
      </c>
      <c r="G12191" t="s">
        <v>28675</v>
      </c>
      <c r="H12191" t="s">
        <v>9998</v>
      </c>
      <c r="I12191" t="s">
        <v>28714</v>
      </c>
      <c r="J12191" t="s">
        <v>36281</v>
      </c>
      <c r="K12191" t="s">
        <v>37220</v>
      </c>
      <c r="M12191" t="s">
        <v>37635</v>
      </c>
      <c r="N12191" t="s">
        <v>41249</v>
      </c>
      <c r="O12191" t="s">
        <v>41250</v>
      </c>
      <c r="Q12191">
        <v>44</v>
      </c>
      <c r="R12191" t="s">
        <v>41267</v>
      </c>
      <c r="S12191" t="s">
        <v>42075</v>
      </c>
      <c r="T12191" t="s">
        <v>42754</v>
      </c>
      <c r="U12191" t="s">
        <v>52949</v>
      </c>
      <c r="V12191" t="s">
        <v>55720</v>
      </c>
      <c r="W12191" t="s">
        <v>37635</v>
      </c>
      <c r="X12191" t="s">
        <v>41279</v>
      </c>
    </row>
    <row r="12192" spans="1:24">
      <c r="A12192">
        <f>HYPERLINK("https://www.philgeps.gov.ph/GEPSNONPILOT/Tender/SplashBidNoticeAbstractUI.aspx?menuIndex=3&amp;refID=7049827&amp;Result=3","7049827")</f>
        <v>0</v>
      </c>
      <c r="B12192" t="s">
        <v>887</v>
      </c>
      <c r="C12192" t="s">
        <v>15064</v>
      </c>
      <c r="D12192" t="s">
        <v>16672</v>
      </c>
      <c r="E12192" t="s">
        <v>27243</v>
      </c>
      <c r="F12192" t="s">
        <v>28669</v>
      </c>
      <c r="G12192" t="s">
        <v>28675</v>
      </c>
      <c r="H12192" t="s">
        <v>28686</v>
      </c>
      <c r="I12192" t="s">
        <v>28689</v>
      </c>
      <c r="J12192" t="s">
        <v>36282</v>
      </c>
      <c r="K12192" t="s">
        <v>37411</v>
      </c>
      <c r="M12192" t="s">
        <v>38407</v>
      </c>
      <c r="N12192" t="s">
        <v>41249</v>
      </c>
      <c r="O12192" t="s">
        <v>41250</v>
      </c>
      <c r="P12192">
        <v>0</v>
      </c>
      <c r="Q12192">
        <v>0</v>
      </c>
      <c r="R12192" t="s">
        <v>41266</v>
      </c>
      <c r="S12192" t="s">
        <v>41978</v>
      </c>
      <c r="T12192" t="s">
        <v>42686</v>
      </c>
      <c r="U12192" t="s">
        <v>52950</v>
      </c>
      <c r="W12192" t="s">
        <v>38407</v>
      </c>
      <c r="X12192" t="s">
        <v>41267</v>
      </c>
    </row>
    <row r="12193" spans="1:24">
      <c r="A12193">
        <f>HYPERLINK("https://www.philgeps.gov.ph/GEPSNONPILOT/Tender/SplashBidNoticeAbstractUI.aspx?menuIndex=3&amp;refID=7049825&amp;Result=3","7049825")</f>
        <v>0</v>
      </c>
      <c r="B12193" t="s">
        <v>887</v>
      </c>
      <c r="C12193" t="s">
        <v>15065</v>
      </c>
      <c r="D12193" t="s">
        <v>16672</v>
      </c>
      <c r="E12193" t="s">
        <v>27244</v>
      </c>
      <c r="F12193" t="s">
        <v>28669</v>
      </c>
      <c r="G12193" t="s">
        <v>28675</v>
      </c>
      <c r="H12193" t="s">
        <v>9998</v>
      </c>
      <c r="I12193" t="s">
        <v>28695</v>
      </c>
      <c r="J12193" t="s">
        <v>36283</v>
      </c>
      <c r="K12193" t="s">
        <v>37221</v>
      </c>
      <c r="M12193" t="s">
        <v>38407</v>
      </c>
      <c r="N12193" t="s">
        <v>41249</v>
      </c>
      <c r="O12193" t="s">
        <v>41250</v>
      </c>
      <c r="P12193">
        <v>0</v>
      </c>
      <c r="Q12193">
        <v>0</v>
      </c>
      <c r="R12193" t="s">
        <v>41266</v>
      </c>
      <c r="S12193" t="s">
        <v>41978</v>
      </c>
      <c r="T12193" t="s">
        <v>42686</v>
      </c>
      <c r="U12193" t="s">
        <v>52951</v>
      </c>
      <c r="W12193" t="s">
        <v>38407</v>
      </c>
      <c r="X12193" t="s">
        <v>41267</v>
      </c>
    </row>
    <row r="12194" spans="1:24">
      <c r="A12194">
        <f>HYPERLINK("https://www.philgeps.gov.ph/GEPSNONPILOT/Tender/SplashBidNoticeAbstractUI.aspx?menuIndex=3&amp;refID=7049821&amp;Result=3","7049821")</f>
        <v>0</v>
      </c>
      <c r="B12194" t="s">
        <v>887</v>
      </c>
      <c r="C12194" t="s">
        <v>15066</v>
      </c>
      <c r="D12194" t="s">
        <v>16672</v>
      </c>
      <c r="E12194" t="s">
        <v>27245</v>
      </c>
      <c r="F12194" t="s">
        <v>28669</v>
      </c>
      <c r="G12194" t="s">
        <v>28675</v>
      </c>
      <c r="H12194" t="s">
        <v>9998</v>
      </c>
      <c r="I12194" t="s">
        <v>5213</v>
      </c>
      <c r="J12194" t="s">
        <v>32993</v>
      </c>
      <c r="K12194" t="s">
        <v>37206</v>
      </c>
      <c r="M12194" t="s">
        <v>38407</v>
      </c>
      <c r="N12194" t="s">
        <v>41249</v>
      </c>
      <c r="O12194" t="s">
        <v>41250</v>
      </c>
      <c r="P12194">
        <v>0</v>
      </c>
      <c r="Q12194">
        <v>5</v>
      </c>
      <c r="R12194" t="s">
        <v>41266</v>
      </c>
      <c r="S12194" t="s">
        <v>41978</v>
      </c>
      <c r="T12194" t="s">
        <v>42686</v>
      </c>
      <c r="U12194" t="s">
        <v>52952</v>
      </c>
      <c r="W12194" t="s">
        <v>38407</v>
      </c>
      <c r="X12194" t="s">
        <v>41267</v>
      </c>
    </row>
    <row r="12195" spans="1:24">
      <c r="A12195">
        <f>HYPERLINK("https://www.philgeps.gov.ph/GEPSNONPILOT/Tender/SplashBidNoticeAbstractUI.aspx?menuIndex=3&amp;refID=7049783&amp;Result=3","7049783")</f>
        <v>0</v>
      </c>
      <c r="B12195" t="s">
        <v>1689</v>
      </c>
      <c r="C12195" t="s">
        <v>15067</v>
      </c>
      <c r="D12195" t="s">
        <v>16641</v>
      </c>
      <c r="E12195" t="s">
        <v>27246</v>
      </c>
      <c r="F12195" t="s">
        <v>28669</v>
      </c>
      <c r="G12195" t="s">
        <v>28675</v>
      </c>
      <c r="H12195" t="s">
        <v>9998</v>
      </c>
      <c r="I12195" t="s">
        <v>28693</v>
      </c>
      <c r="J12195" t="s">
        <v>36284</v>
      </c>
      <c r="K12195" t="s">
        <v>37210</v>
      </c>
      <c r="M12195" t="s">
        <v>40966</v>
      </c>
      <c r="N12195" t="s">
        <v>41249</v>
      </c>
      <c r="O12195" t="s">
        <v>41250</v>
      </c>
      <c r="P12195">
        <v>0</v>
      </c>
      <c r="Q12195">
        <v>11</v>
      </c>
      <c r="R12195" t="s">
        <v>41266</v>
      </c>
      <c r="S12195" t="s">
        <v>41978</v>
      </c>
      <c r="T12195" t="s">
        <v>42764</v>
      </c>
      <c r="U12195" t="s">
        <v>52953</v>
      </c>
      <c r="W12195" t="s">
        <v>40966</v>
      </c>
      <c r="X12195" t="s">
        <v>41267</v>
      </c>
    </row>
    <row r="12196" spans="1:24">
      <c r="A12196">
        <f>HYPERLINK("https://www.philgeps.gov.ph/GEPSNONPILOT/Tender/SplashBidNoticeAbstractUI.aspx?menuIndex=3&amp;refID=7049703&amp;Result=3","7049703")</f>
        <v>0</v>
      </c>
      <c r="B12196" t="s">
        <v>1689</v>
      </c>
      <c r="C12196" t="s">
        <v>15068</v>
      </c>
      <c r="D12196" t="s">
        <v>16641</v>
      </c>
      <c r="E12196" t="s">
        <v>27247</v>
      </c>
      <c r="F12196" t="s">
        <v>28669</v>
      </c>
      <c r="G12196" t="s">
        <v>28675</v>
      </c>
      <c r="H12196" t="s">
        <v>9998</v>
      </c>
      <c r="I12196" t="s">
        <v>11593</v>
      </c>
      <c r="J12196" t="s">
        <v>36285</v>
      </c>
      <c r="K12196" t="s">
        <v>37213</v>
      </c>
      <c r="M12196" t="s">
        <v>40966</v>
      </c>
      <c r="N12196" t="s">
        <v>41249</v>
      </c>
      <c r="O12196" t="s">
        <v>41250</v>
      </c>
      <c r="P12196">
        <v>0</v>
      </c>
      <c r="Q12196">
        <v>10</v>
      </c>
      <c r="R12196" t="s">
        <v>41266</v>
      </c>
      <c r="S12196" t="s">
        <v>41978</v>
      </c>
      <c r="T12196" t="s">
        <v>42764</v>
      </c>
      <c r="U12196" t="s">
        <v>52954</v>
      </c>
      <c r="W12196" t="s">
        <v>40966</v>
      </c>
      <c r="X12196" t="s">
        <v>41267</v>
      </c>
    </row>
    <row r="12197" spans="1:24">
      <c r="A12197">
        <f>HYPERLINK("https://www.philgeps.gov.ph/GEPSNONPILOT/Tender/SplashBidNoticeAbstractUI.aspx?menuIndex=3&amp;refID=7049819&amp;Result=3","7049819")</f>
        <v>0</v>
      </c>
      <c r="B12197" t="s">
        <v>887</v>
      </c>
      <c r="C12197" t="s">
        <v>15069</v>
      </c>
      <c r="D12197" t="s">
        <v>16672</v>
      </c>
      <c r="E12197" t="s">
        <v>27248</v>
      </c>
      <c r="F12197" t="s">
        <v>28669</v>
      </c>
      <c r="G12197" t="s">
        <v>28675</v>
      </c>
      <c r="H12197" t="s">
        <v>9998</v>
      </c>
      <c r="I12197" t="s">
        <v>15140</v>
      </c>
      <c r="J12197" t="s">
        <v>36286</v>
      </c>
      <c r="K12197" t="s">
        <v>37207</v>
      </c>
      <c r="M12197" t="s">
        <v>38407</v>
      </c>
      <c r="N12197" t="s">
        <v>41249</v>
      </c>
      <c r="O12197" t="s">
        <v>41250</v>
      </c>
      <c r="P12197">
        <v>0</v>
      </c>
      <c r="Q12197">
        <v>0</v>
      </c>
      <c r="R12197" t="s">
        <v>41266</v>
      </c>
      <c r="S12197" t="s">
        <v>41978</v>
      </c>
      <c r="T12197" t="s">
        <v>42686</v>
      </c>
      <c r="U12197" t="s">
        <v>52955</v>
      </c>
      <c r="W12197" t="s">
        <v>38407</v>
      </c>
      <c r="X12197" t="s">
        <v>41267</v>
      </c>
    </row>
    <row r="12198" spans="1:24">
      <c r="A12198">
        <f>HYPERLINK("https://www.philgeps.gov.ph/GEPSNONPILOT/Tender/SplashBidNoticeAbstractUI.aspx?menuIndex=3&amp;refID=7049817&amp;Result=3","7049817")</f>
        <v>0</v>
      </c>
      <c r="B12198" t="s">
        <v>1689</v>
      </c>
      <c r="C12198" t="s">
        <v>15070</v>
      </c>
      <c r="D12198" t="s">
        <v>16641</v>
      </c>
      <c r="E12198" t="s">
        <v>27249</v>
      </c>
      <c r="F12198" t="s">
        <v>28669</v>
      </c>
      <c r="G12198" t="s">
        <v>28675</v>
      </c>
      <c r="H12198" t="s">
        <v>9998</v>
      </c>
      <c r="I12198" t="s">
        <v>5213</v>
      </c>
      <c r="J12198" t="s">
        <v>30815</v>
      </c>
      <c r="K12198" t="s">
        <v>37210</v>
      </c>
      <c r="M12198" t="s">
        <v>40966</v>
      </c>
      <c r="N12198" t="s">
        <v>41249</v>
      </c>
      <c r="O12198" t="s">
        <v>41250</v>
      </c>
      <c r="Q12198">
        <v>4</v>
      </c>
      <c r="R12198" t="s">
        <v>41266</v>
      </c>
      <c r="S12198" t="s">
        <v>42076</v>
      </c>
      <c r="T12198" t="s">
        <v>42764</v>
      </c>
      <c r="U12198" t="s">
        <v>52956</v>
      </c>
      <c r="W12198" t="s">
        <v>40966</v>
      </c>
      <c r="X12198" t="s">
        <v>41267</v>
      </c>
    </row>
    <row r="12199" spans="1:24">
      <c r="A12199">
        <f>HYPERLINK("https://www.philgeps.gov.ph/GEPSNONPILOT/Tender/SplashBidNoticeAbstractUI.aspx?menuIndex=3&amp;refID=6991554-2&amp;Result=3","6991554-2")</f>
        <v>0</v>
      </c>
      <c r="B12199" t="s">
        <v>2576</v>
      </c>
      <c r="C12199" t="s">
        <v>15071</v>
      </c>
      <c r="D12199" t="s">
        <v>16633</v>
      </c>
      <c r="E12199" t="s">
        <v>27250</v>
      </c>
      <c r="F12199" t="s">
        <v>28669</v>
      </c>
      <c r="G12199" t="s">
        <v>28675</v>
      </c>
      <c r="H12199" t="s">
        <v>28685</v>
      </c>
      <c r="I12199" t="s">
        <v>28685</v>
      </c>
      <c r="J12199" t="s">
        <v>36287</v>
      </c>
      <c r="K12199" t="s">
        <v>37325</v>
      </c>
      <c r="M12199" t="s">
        <v>40270</v>
      </c>
      <c r="N12199" t="s">
        <v>41249</v>
      </c>
      <c r="O12199" t="s">
        <v>41250</v>
      </c>
      <c r="Q12199">
        <v>3</v>
      </c>
      <c r="R12199" t="s">
        <v>41267</v>
      </c>
      <c r="S12199" t="s">
        <v>41593</v>
      </c>
      <c r="T12199" t="s">
        <v>42836</v>
      </c>
      <c r="U12199" t="s">
        <v>52957</v>
      </c>
      <c r="W12199" t="s">
        <v>40270</v>
      </c>
      <c r="X12199" t="s">
        <v>41268</v>
      </c>
    </row>
    <row r="12200" spans="1:24">
      <c r="A12200">
        <f>HYPERLINK("https://www.philgeps.gov.ph/GEPSNONPILOT/Tender/SplashBidNoticeAbstractUI.aspx?menuIndex=3&amp;refID=7036632&amp;Result=3","7036632")</f>
        <v>0</v>
      </c>
      <c r="B12200" t="s">
        <v>2331</v>
      </c>
      <c r="C12200" t="s">
        <v>15072</v>
      </c>
      <c r="D12200" t="s">
        <v>16657</v>
      </c>
      <c r="E12200" t="s">
        <v>27251</v>
      </c>
      <c r="F12200" t="s">
        <v>28669</v>
      </c>
      <c r="G12200" t="s">
        <v>28675</v>
      </c>
      <c r="H12200" t="s">
        <v>9998</v>
      </c>
      <c r="I12200" t="s">
        <v>28710</v>
      </c>
      <c r="J12200" t="s">
        <v>36288</v>
      </c>
      <c r="K12200" t="s">
        <v>37206</v>
      </c>
      <c r="M12200" t="s">
        <v>39993</v>
      </c>
      <c r="N12200" t="s">
        <v>41249</v>
      </c>
      <c r="O12200" t="s">
        <v>41250</v>
      </c>
      <c r="P12200">
        <v>0</v>
      </c>
      <c r="Q12200">
        <v>14</v>
      </c>
      <c r="R12200" t="s">
        <v>41267</v>
      </c>
      <c r="S12200" t="s">
        <v>42077</v>
      </c>
      <c r="T12200" t="s">
        <v>42673</v>
      </c>
      <c r="U12200" t="s">
        <v>52958</v>
      </c>
      <c r="V12200" t="s">
        <v>55107</v>
      </c>
      <c r="W12200" t="s">
        <v>39993</v>
      </c>
      <c r="X12200" t="s">
        <v>41274</v>
      </c>
    </row>
    <row r="12201" spans="1:24">
      <c r="A12201">
        <f>HYPERLINK("https://www.philgeps.gov.ph/GEPSNONPILOT/Tender/SplashBidNoticeAbstractUI.aspx?menuIndex=3&amp;refID=7049798&amp;Result=3","7049798")</f>
        <v>0</v>
      </c>
      <c r="B12201" t="s">
        <v>743</v>
      </c>
      <c r="C12201" t="s">
        <v>15073</v>
      </c>
      <c r="D12201" t="s">
        <v>16629</v>
      </c>
      <c r="E12201" t="s">
        <v>27252</v>
      </c>
      <c r="F12201" t="s">
        <v>28669</v>
      </c>
      <c r="G12201" t="s">
        <v>28675</v>
      </c>
      <c r="H12201" t="s">
        <v>9998</v>
      </c>
      <c r="I12201" t="s">
        <v>11593</v>
      </c>
      <c r="J12201" t="s">
        <v>36289</v>
      </c>
      <c r="K12201" t="s">
        <v>37205</v>
      </c>
      <c r="M12201" t="s">
        <v>41025</v>
      </c>
      <c r="N12201" t="s">
        <v>41249</v>
      </c>
      <c r="O12201" t="s">
        <v>41250</v>
      </c>
      <c r="P12201">
        <v>0</v>
      </c>
      <c r="Q12201">
        <v>6</v>
      </c>
      <c r="R12201" t="s">
        <v>41266</v>
      </c>
      <c r="S12201" t="s">
        <v>41978</v>
      </c>
      <c r="T12201" t="s">
        <v>42814</v>
      </c>
      <c r="U12201" t="s">
        <v>52959</v>
      </c>
      <c r="V12201" t="s">
        <v>54252</v>
      </c>
      <c r="W12201" t="s">
        <v>41025</v>
      </c>
      <c r="X12201" t="s">
        <v>41267</v>
      </c>
    </row>
    <row r="12202" spans="1:24">
      <c r="A12202">
        <f>HYPERLINK("https://www.philgeps.gov.ph/GEPSNONPILOT/Tender/SplashBidNoticeAbstractUI.aspx?menuIndex=3&amp;refID=7049713&amp;Result=3","7049713")</f>
        <v>0</v>
      </c>
      <c r="B12202" t="s">
        <v>2053</v>
      </c>
      <c r="C12202" t="s">
        <v>15074</v>
      </c>
      <c r="D12202" t="s">
        <v>16663</v>
      </c>
      <c r="E12202" t="s">
        <v>27253</v>
      </c>
      <c r="F12202" t="s">
        <v>28669</v>
      </c>
      <c r="G12202" t="s">
        <v>28675</v>
      </c>
      <c r="H12202" t="s">
        <v>9998</v>
      </c>
      <c r="I12202" t="s">
        <v>28751</v>
      </c>
      <c r="J12202" t="s">
        <v>36290</v>
      </c>
      <c r="K12202" t="s">
        <v>37221</v>
      </c>
      <c r="M12202" t="s">
        <v>39693</v>
      </c>
      <c r="N12202" t="s">
        <v>41249</v>
      </c>
      <c r="O12202" t="s">
        <v>41250</v>
      </c>
      <c r="Q12202">
        <v>6</v>
      </c>
      <c r="R12202" t="s">
        <v>41266</v>
      </c>
      <c r="S12202" t="s">
        <v>42078</v>
      </c>
      <c r="T12202" t="s">
        <v>42682</v>
      </c>
      <c r="U12202" t="s">
        <v>52960</v>
      </c>
      <c r="W12202" t="s">
        <v>39693</v>
      </c>
      <c r="X12202" t="s">
        <v>41267</v>
      </c>
    </row>
    <row r="12203" spans="1:24">
      <c r="A12203">
        <f>HYPERLINK("https://www.philgeps.gov.ph/GEPSNONPILOT/Tender/SplashBidNoticeAbstractUI.aspx?menuIndex=3&amp;refID=7032692&amp;Result=3","7032692")</f>
        <v>0</v>
      </c>
      <c r="B12203" t="s">
        <v>2939</v>
      </c>
      <c r="C12203" t="s">
        <v>15075</v>
      </c>
      <c r="D12203" t="s">
        <v>16653</v>
      </c>
      <c r="E12203" t="s">
        <v>24508</v>
      </c>
      <c r="F12203" t="s">
        <v>28669</v>
      </c>
      <c r="G12203" t="s">
        <v>28675</v>
      </c>
      <c r="H12203" t="s">
        <v>28686</v>
      </c>
      <c r="I12203" t="s">
        <v>28689</v>
      </c>
      <c r="J12203" t="s">
        <v>36291</v>
      </c>
      <c r="K12203" t="s">
        <v>37206</v>
      </c>
      <c r="M12203" t="s">
        <v>40694</v>
      </c>
      <c r="N12203" t="s">
        <v>41249</v>
      </c>
      <c r="O12203" t="s">
        <v>41250</v>
      </c>
      <c r="P12203">
        <v>0</v>
      </c>
      <c r="Q12203">
        <v>0</v>
      </c>
      <c r="R12203" t="s">
        <v>41267</v>
      </c>
      <c r="S12203" t="s">
        <v>42077</v>
      </c>
      <c r="T12203" t="s">
        <v>42690</v>
      </c>
      <c r="U12203" t="s">
        <v>51549</v>
      </c>
      <c r="W12203" t="s">
        <v>40694</v>
      </c>
      <c r="X12203" t="s">
        <v>41277</v>
      </c>
    </row>
    <row r="12204" spans="1:24">
      <c r="A12204">
        <f>HYPERLINK("https://www.philgeps.gov.ph/GEPSNONPILOT/Tender/SplashBidNoticeAbstractUI.aspx?menuIndex=3&amp;refID=7049809&amp;Result=3","7049809")</f>
        <v>0</v>
      </c>
      <c r="B12204" t="s">
        <v>1689</v>
      </c>
      <c r="C12204" t="s">
        <v>15076</v>
      </c>
      <c r="D12204" t="s">
        <v>16641</v>
      </c>
      <c r="E12204" t="s">
        <v>27254</v>
      </c>
      <c r="F12204" t="s">
        <v>28669</v>
      </c>
      <c r="G12204" t="s">
        <v>28675</v>
      </c>
      <c r="H12204" t="s">
        <v>9998</v>
      </c>
      <c r="I12204" t="s">
        <v>6128</v>
      </c>
      <c r="J12204" t="s">
        <v>36292</v>
      </c>
      <c r="K12204" t="s">
        <v>37210</v>
      </c>
      <c r="M12204" t="s">
        <v>40966</v>
      </c>
      <c r="N12204" t="s">
        <v>41249</v>
      </c>
      <c r="O12204" t="s">
        <v>41250</v>
      </c>
      <c r="P12204">
        <v>0</v>
      </c>
      <c r="Q12204">
        <v>2</v>
      </c>
      <c r="R12204" t="s">
        <v>41266</v>
      </c>
      <c r="S12204" t="s">
        <v>41978</v>
      </c>
      <c r="T12204" t="s">
        <v>42764</v>
      </c>
      <c r="U12204" t="s">
        <v>52961</v>
      </c>
      <c r="W12204" t="s">
        <v>40966</v>
      </c>
      <c r="X12204" t="s">
        <v>41267</v>
      </c>
    </row>
    <row r="12205" spans="1:24">
      <c r="A12205">
        <f>HYPERLINK("https://www.philgeps.gov.ph/GEPSNONPILOT/Tender/SplashBidNoticeAbstractUI.aspx?menuIndex=3&amp;refID=7031707&amp;Result=3","7031707")</f>
        <v>0</v>
      </c>
      <c r="B12205" t="s">
        <v>885</v>
      </c>
      <c r="C12205" t="s">
        <v>15077</v>
      </c>
      <c r="D12205" t="s">
        <v>16647</v>
      </c>
      <c r="E12205" t="s">
        <v>18326</v>
      </c>
      <c r="F12205" t="s">
        <v>28669</v>
      </c>
      <c r="G12205" t="s">
        <v>28675</v>
      </c>
      <c r="H12205" t="s">
        <v>28684</v>
      </c>
      <c r="I12205" t="s">
        <v>28701</v>
      </c>
      <c r="J12205" t="s">
        <v>29593</v>
      </c>
      <c r="K12205" t="s">
        <v>37228</v>
      </c>
      <c r="M12205" t="s">
        <v>41026</v>
      </c>
      <c r="N12205" t="s">
        <v>41249</v>
      </c>
      <c r="O12205" t="s">
        <v>41250</v>
      </c>
      <c r="P12205">
        <v>0</v>
      </c>
      <c r="Q12205">
        <v>2</v>
      </c>
      <c r="R12205" t="s">
        <v>41267</v>
      </c>
      <c r="S12205" t="s">
        <v>42077</v>
      </c>
      <c r="T12205" t="s">
        <v>42717</v>
      </c>
      <c r="U12205" t="s">
        <v>52962</v>
      </c>
      <c r="W12205" t="s">
        <v>41026</v>
      </c>
      <c r="X12205" t="s">
        <v>41278</v>
      </c>
    </row>
    <row r="12206" spans="1:24">
      <c r="A12206">
        <f>HYPERLINK("https://www.philgeps.gov.ph/GEPSNONPILOT/Tender/SplashBidNoticeAbstractUI.aspx?menuIndex=3&amp;refID=7049802&amp;Result=3","7049802")</f>
        <v>0</v>
      </c>
      <c r="B12206" t="s">
        <v>2176</v>
      </c>
      <c r="C12206" t="s">
        <v>15078</v>
      </c>
      <c r="D12206" t="s">
        <v>16611</v>
      </c>
      <c r="E12206" t="s">
        <v>16877</v>
      </c>
      <c r="F12206" t="s">
        <v>28669</v>
      </c>
      <c r="G12206" t="s">
        <v>28675</v>
      </c>
      <c r="H12206" t="s">
        <v>9998</v>
      </c>
      <c r="I12206" t="s">
        <v>5213</v>
      </c>
      <c r="J12206" t="s">
        <v>36293</v>
      </c>
      <c r="K12206" t="s">
        <v>37210</v>
      </c>
      <c r="L12206" t="s">
        <v>2176</v>
      </c>
      <c r="M12206" t="s">
        <v>39825</v>
      </c>
      <c r="N12206" t="s">
        <v>41249</v>
      </c>
      <c r="O12206" t="s">
        <v>41250</v>
      </c>
      <c r="P12206">
        <v>0</v>
      </c>
      <c r="Q12206">
        <v>1</v>
      </c>
      <c r="R12206" t="s">
        <v>41266</v>
      </c>
      <c r="S12206" t="s">
        <v>41978</v>
      </c>
      <c r="T12206" t="s">
        <v>42699</v>
      </c>
      <c r="U12206" t="s">
        <v>52963</v>
      </c>
      <c r="V12206" t="s">
        <v>55721</v>
      </c>
      <c r="W12206" t="s">
        <v>39825</v>
      </c>
      <c r="X12206" t="s">
        <v>41267</v>
      </c>
    </row>
    <row r="12207" spans="1:24">
      <c r="A12207">
        <f>HYPERLINK("https://www.philgeps.gov.ph/GEPSNONPILOT/Tender/SplashBidNoticeAbstractUI.aspx?menuIndex=3&amp;refID=7049799&amp;Result=3","7049799")</f>
        <v>0</v>
      </c>
      <c r="B12207" t="s">
        <v>1689</v>
      </c>
      <c r="C12207" t="s">
        <v>15079</v>
      </c>
      <c r="D12207" t="s">
        <v>16641</v>
      </c>
      <c r="E12207" t="s">
        <v>27255</v>
      </c>
      <c r="F12207" t="s">
        <v>28669</v>
      </c>
      <c r="G12207" t="s">
        <v>28675</v>
      </c>
      <c r="H12207" t="s">
        <v>9998</v>
      </c>
      <c r="I12207" t="s">
        <v>28714</v>
      </c>
      <c r="J12207" t="s">
        <v>36294</v>
      </c>
      <c r="K12207" t="s">
        <v>37206</v>
      </c>
      <c r="M12207" t="s">
        <v>40966</v>
      </c>
      <c r="N12207" t="s">
        <v>41249</v>
      </c>
      <c r="O12207" t="s">
        <v>41250</v>
      </c>
      <c r="P12207">
        <v>0</v>
      </c>
      <c r="Q12207">
        <v>7</v>
      </c>
      <c r="R12207" t="s">
        <v>41266</v>
      </c>
      <c r="S12207" t="s">
        <v>41978</v>
      </c>
      <c r="T12207" t="s">
        <v>42764</v>
      </c>
      <c r="U12207" t="s">
        <v>52964</v>
      </c>
      <c r="W12207" t="s">
        <v>40966</v>
      </c>
      <c r="X12207" t="s">
        <v>41267</v>
      </c>
    </row>
    <row r="12208" spans="1:24">
      <c r="A12208">
        <f>HYPERLINK("https://www.philgeps.gov.ph/GEPSNONPILOT/Tender/SplashBidNoticeAbstractUI.aspx?menuIndex=3&amp;refID=7031606&amp;Result=3","7031606")</f>
        <v>0</v>
      </c>
      <c r="B12208" t="s">
        <v>602</v>
      </c>
      <c r="C12208" t="s">
        <v>15080</v>
      </c>
      <c r="D12208" t="s">
        <v>16661</v>
      </c>
      <c r="E12208" t="s">
        <v>19771</v>
      </c>
      <c r="F12208" t="s">
        <v>28669</v>
      </c>
      <c r="G12208" t="s">
        <v>28675</v>
      </c>
      <c r="H12208" t="s">
        <v>28684</v>
      </c>
      <c r="I12208" t="s">
        <v>28749</v>
      </c>
      <c r="J12208" t="s">
        <v>28881</v>
      </c>
      <c r="K12208" t="s">
        <v>37213</v>
      </c>
      <c r="M12208" t="s">
        <v>38102</v>
      </c>
      <c r="N12208" t="s">
        <v>41249</v>
      </c>
      <c r="O12208" t="s">
        <v>41250</v>
      </c>
      <c r="Q12208">
        <v>2</v>
      </c>
      <c r="R12208" t="s">
        <v>41267</v>
      </c>
      <c r="S12208" t="s">
        <v>42079</v>
      </c>
      <c r="T12208" t="s">
        <v>42686</v>
      </c>
      <c r="U12208" t="s">
        <v>52965</v>
      </c>
      <c r="V12208" t="s">
        <v>55722</v>
      </c>
      <c r="W12208" t="s">
        <v>38102</v>
      </c>
      <c r="X12208" t="s">
        <v>41278</v>
      </c>
    </row>
    <row r="12209" spans="1:24">
      <c r="A12209">
        <f>HYPERLINK("https://www.philgeps.gov.ph/GEPSNONPILOT/Tender/SplashBidNoticeAbstractUI.aspx?menuIndex=3&amp;refID=7037529&amp;Result=3","7037529")</f>
        <v>0</v>
      </c>
      <c r="B12209" t="s">
        <v>337</v>
      </c>
      <c r="C12209" t="s">
        <v>15081</v>
      </c>
      <c r="E12209" t="s">
        <v>27256</v>
      </c>
      <c r="F12209" t="s">
        <v>28669</v>
      </c>
      <c r="G12209" t="s">
        <v>28675</v>
      </c>
      <c r="H12209" t="s">
        <v>9998</v>
      </c>
      <c r="I12209" t="s">
        <v>28690</v>
      </c>
      <c r="J12209" t="s">
        <v>36295</v>
      </c>
      <c r="K12209" t="s">
        <v>37209</v>
      </c>
      <c r="M12209" t="s">
        <v>40774</v>
      </c>
      <c r="N12209" t="s">
        <v>41249</v>
      </c>
      <c r="O12209" t="s">
        <v>41250</v>
      </c>
      <c r="P12209">
        <v>0</v>
      </c>
      <c r="Q12209">
        <v>8</v>
      </c>
      <c r="R12209" t="s">
        <v>41267</v>
      </c>
      <c r="S12209" t="s">
        <v>42077</v>
      </c>
      <c r="T12209" t="s">
        <v>42703</v>
      </c>
      <c r="U12209" t="s">
        <v>52966</v>
      </c>
      <c r="W12209" t="s">
        <v>40774</v>
      </c>
      <c r="X12209" t="s">
        <v>41274</v>
      </c>
    </row>
    <row r="12210" spans="1:24">
      <c r="A12210">
        <f>HYPERLINK("https://www.philgeps.gov.ph/GEPSNONPILOT/Tender/SplashBidNoticeAbstractUI.aspx?menuIndex=3&amp;refID=7049815&amp;Result=3","7049815")</f>
        <v>0</v>
      </c>
      <c r="B12210" t="s">
        <v>1689</v>
      </c>
      <c r="C12210" t="s">
        <v>15082</v>
      </c>
      <c r="D12210" t="s">
        <v>16641</v>
      </c>
      <c r="E12210" t="s">
        <v>27257</v>
      </c>
      <c r="F12210" t="s">
        <v>28669</v>
      </c>
      <c r="G12210" t="s">
        <v>28675</v>
      </c>
      <c r="H12210" t="s">
        <v>9998</v>
      </c>
      <c r="I12210" t="s">
        <v>28738</v>
      </c>
      <c r="J12210" t="s">
        <v>36296</v>
      </c>
      <c r="K12210" t="s">
        <v>37210</v>
      </c>
      <c r="M12210" t="s">
        <v>40966</v>
      </c>
      <c r="N12210" t="s">
        <v>41249</v>
      </c>
      <c r="O12210" t="s">
        <v>41250</v>
      </c>
      <c r="P12210">
        <v>0</v>
      </c>
      <c r="Q12210">
        <v>1</v>
      </c>
      <c r="R12210" t="s">
        <v>41266</v>
      </c>
      <c r="S12210" t="s">
        <v>41978</v>
      </c>
      <c r="T12210" t="s">
        <v>42764</v>
      </c>
      <c r="U12210" t="s">
        <v>52967</v>
      </c>
      <c r="W12210" t="s">
        <v>40966</v>
      </c>
      <c r="X12210" t="s">
        <v>41267</v>
      </c>
    </row>
    <row r="12211" spans="1:24">
      <c r="A12211">
        <f>HYPERLINK("https://www.philgeps.gov.ph/GEPSNONPILOT/Tender/SplashBidNoticeAbstractUI.aspx?menuIndex=3&amp;refID=7039435&amp;Result=3","7039435")</f>
        <v>0</v>
      </c>
      <c r="B12211" t="s">
        <v>909</v>
      </c>
      <c r="C12211" t="s">
        <v>15083</v>
      </c>
      <c r="D12211" t="s">
        <v>16662</v>
      </c>
      <c r="E12211" t="s">
        <v>27258</v>
      </c>
      <c r="F12211" t="s">
        <v>28669</v>
      </c>
      <c r="G12211" t="s">
        <v>28675</v>
      </c>
      <c r="H12211" t="s">
        <v>28686</v>
      </c>
      <c r="I12211" t="s">
        <v>28689</v>
      </c>
      <c r="J12211" t="s">
        <v>36297</v>
      </c>
      <c r="K12211" t="s">
        <v>37206</v>
      </c>
      <c r="M12211" t="s">
        <v>38431</v>
      </c>
      <c r="N12211" t="s">
        <v>41249</v>
      </c>
      <c r="O12211" t="s">
        <v>41250</v>
      </c>
      <c r="P12211">
        <v>0</v>
      </c>
      <c r="Q12211">
        <v>1</v>
      </c>
      <c r="R12211" t="s">
        <v>41267</v>
      </c>
      <c r="S12211" t="s">
        <v>42077</v>
      </c>
      <c r="T12211" t="s">
        <v>42679</v>
      </c>
      <c r="U12211" t="s">
        <v>52968</v>
      </c>
      <c r="W12211" t="s">
        <v>38431</v>
      </c>
      <c r="X12211" t="s">
        <v>41273</v>
      </c>
    </row>
    <row r="12212" spans="1:24">
      <c r="A12212">
        <f>HYPERLINK("https://www.philgeps.gov.ph/GEPSNONPILOT/Tender/SplashBidNoticeAbstractUI.aspx?menuIndex=3&amp;refID=7036451&amp;Result=3","7036451")</f>
        <v>0</v>
      </c>
      <c r="B12212" t="s">
        <v>248</v>
      </c>
      <c r="C12212" t="s">
        <v>3933</v>
      </c>
      <c r="D12212" t="s">
        <v>16625</v>
      </c>
      <c r="E12212" t="s">
        <v>27259</v>
      </c>
      <c r="F12212" t="s">
        <v>28669</v>
      </c>
      <c r="G12212" t="s">
        <v>28675</v>
      </c>
      <c r="H12212" t="s">
        <v>9998</v>
      </c>
      <c r="I12212" t="s">
        <v>28708</v>
      </c>
      <c r="J12212" t="s">
        <v>36298</v>
      </c>
      <c r="K12212" t="s">
        <v>37206</v>
      </c>
      <c r="M12212" t="s">
        <v>37726</v>
      </c>
      <c r="N12212" t="s">
        <v>41249</v>
      </c>
      <c r="O12212" t="s">
        <v>41250</v>
      </c>
      <c r="P12212">
        <v>0</v>
      </c>
      <c r="Q12212">
        <v>3</v>
      </c>
      <c r="R12212" t="s">
        <v>41267</v>
      </c>
      <c r="S12212" t="s">
        <v>42077</v>
      </c>
      <c r="T12212" t="s">
        <v>42679</v>
      </c>
      <c r="U12212" t="s">
        <v>52969</v>
      </c>
      <c r="V12212" t="s">
        <v>55723</v>
      </c>
      <c r="W12212" t="s">
        <v>37726</v>
      </c>
      <c r="X12212" t="s">
        <v>41274</v>
      </c>
    </row>
    <row r="12213" spans="1:24">
      <c r="A12213">
        <f>HYPERLINK("https://www.philgeps.gov.ph/GEPSNONPILOT/Tender/SplashBidNoticeAbstractUI.aspx?menuIndex=3&amp;refID=7049732&amp;Result=3","7049732")</f>
        <v>0</v>
      </c>
      <c r="B12213" t="s">
        <v>2053</v>
      </c>
      <c r="C12213" t="s">
        <v>15084</v>
      </c>
      <c r="D12213" t="s">
        <v>16663</v>
      </c>
      <c r="E12213" t="s">
        <v>27260</v>
      </c>
      <c r="F12213" t="s">
        <v>28669</v>
      </c>
      <c r="G12213" t="s">
        <v>28675</v>
      </c>
      <c r="H12213" t="s">
        <v>9998</v>
      </c>
      <c r="I12213" t="s">
        <v>28751</v>
      </c>
      <c r="J12213" t="s">
        <v>36299</v>
      </c>
      <c r="K12213" t="s">
        <v>37221</v>
      </c>
      <c r="M12213" t="s">
        <v>39693</v>
      </c>
      <c r="N12213" t="s">
        <v>41249</v>
      </c>
      <c r="O12213" t="s">
        <v>41250</v>
      </c>
      <c r="Q12213">
        <v>7</v>
      </c>
      <c r="R12213" t="s">
        <v>41266</v>
      </c>
      <c r="S12213" t="s">
        <v>42080</v>
      </c>
      <c r="T12213" t="s">
        <v>42682</v>
      </c>
      <c r="U12213" t="s">
        <v>52970</v>
      </c>
      <c r="W12213" t="s">
        <v>39693</v>
      </c>
      <c r="X12213" t="s">
        <v>41267</v>
      </c>
    </row>
    <row r="12214" spans="1:24">
      <c r="A12214">
        <f>HYPERLINK("https://www.philgeps.gov.ph/GEPSNONPILOT/Tender/SplashBidNoticeAbstractUI.aspx?menuIndex=3&amp;refID=7039190&amp;Result=3","7039190")</f>
        <v>0</v>
      </c>
      <c r="B12214" t="s">
        <v>909</v>
      </c>
      <c r="C12214" t="s">
        <v>15085</v>
      </c>
      <c r="D12214" t="s">
        <v>16662</v>
      </c>
      <c r="E12214" t="s">
        <v>27261</v>
      </c>
      <c r="F12214" t="s">
        <v>28669</v>
      </c>
      <c r="G12214" t="s">
        <v>28675</v>
      </c>
      <c r="H12214" t="s">
        <v>28686</v>
      </c>
      <c r="I12214" t="s">
        <v>28689</v>
      </c>
      <c r="J12214" t="s">
        <v>36300</v>
      </c>
      <c r="K12214" t="s">
        <v>37213</v>
      </c>
      <c r="M12214" t="s">
        <v>38431</v>
      </c>
      <c r="N12214" t="s">
        <v>41249</v>
      </c>
      <c r="O12214" t="s">
        <v>41250</v>
      </c>
      <c r="P12214">
        <v>0</v>
      </c>
      <c r="Q12214">
        <v>1</v>
      </c>
      <c r="R12214" t="s">
        <v>41267</v>
      </c>
      <c r="S12214" t="s">
        <v>42077</v>
      </c>
      <c r="T12214" t="s">
        <v>42679</v>
      </c>
      <c r="U12214" t="s">
        <v>52971</v>
      </c>
      <c r="W12214" t="s">
        <v>38431</v>
      </c>
      <c r="X12214" t="s">
        <v>41273</v>
      </c>
    </row>
    <row r="12215" spans="1:24">
      <c r="A12215">
        <f>HYPERLINK("https://www.philgeps.gov.ph/GEPSNONPILOT/Tender/SplashBidNoticeAbstractUI.aspx?menuIndex=3&amp;refID=7039175&amp;Result=3","7039175")</f>
        <v>0</v>
      </c>
      <c r="B12215" t="s">
        <v>909</v>
      </c>
      <c r="C12215" t="s">
        <v>15086</v>
      </c>
      <c r="D12215" t="s">
        <v>16662</v>
      </c>
      <c r="E12215" t="s">
        <v>27262</v>
      </c>
      <c r="F12215" t="s">
        <v>28669</v>
      </c>
      <c r="G12215" t="s">
        <v>28675</v>
      </c>
      <c r="H12215" t="s">
        <v>28686</v>
      </c>
      <c r="I12215" t="s">
        <v>28689</v>
      </c>
      <c r="J12215" t="s">
        <v>36301</v>
      </c>
      <c r="K12215" t="s">
        <v>37215</v>
      </c>
      <c r="M12215" t="s">
        <v>38431</v>
      </c>
      <c r="N12215" t="s">
        <v>41249</v>
      </c>
      <c r="O12215" t="s">
        <v>41250</v>
      </c>
      <c r="P12215">
        <v>0</v>
      </c>
      <c r="Q12215">
        <v>1</v>
      </c>
      <c r="R12215" t="s">
        <v>41267</v>
      </c>
      <c r="S12215" t="s">
        <v>42077</v>
      </c>
      <c r="T12215" t="s">
        <v>42679</v>
      </c>
      <c r="U12215" t="s">
        <v>52972</v>
      </c>
      <c r="W12215" t="s">
        <v>38431</v>
      </c>
      <c r="X12215" t="s">
        <v>41273</v>
      </c>
    </row>
    <row r="12216" spans="1:24">
      <c r="A12216">
        <f>HYPERLINK("https://www.philgeps.gov.ph/GEPSNONPILOT/Tender/SplashBidNoticeAbstractUI.aspx?menuIndex=3&amp;refID=7049803&amp;Result=3","7049803")</f>
        <v>0</v>
      </c>
      <c r="B12216" t="s">
        <v>1689</v>
      </c>
      <c r="C12216" t="s">
        <v>15087</v>
      </c>
      <c r="D12216" t="s">
        <v>16641</v>
      </c>
      <c r="E12216" t="s">
        <v>27263</v>
      </c>
      <c r="F12216" t="s">
        <v>28669</v>
      </c>
      <c r="G12216" t="s">
        <v>28675</v>
      </c>
      <c r="H12216" t="s">
        <v>9998</v>
      </c>
      <c r="I12216" t="s">
        <v>5286</v>
      </c>
      <c r="J12216" t="s">
        <v>36302</v>
      </c>
      <c r="K12216" t="s">
        <v>37210</v>
      </c>
      <c r="M12216" t="s">
        <v>40966</v>
      </c>
      <c r="N12216" t="s">
        <v>41249</v>
      </c>
      <c r="O12216" t="s">
        <v>41250</v>
      </c>
      <c r="P12216">
        <v>0</v>
      </c>
      <c r="Q12216">
        <v>1</v>
      </c>
      <c r="R12216" t="s">
        <v>41266</v>
      </c>
      <c r="S12216" t="s">
        <v>41978</v>
      </c>
      <c r="T12216" t="s">
        <v>42764</v>
      </c>
      <c r="U12216" t="s">
        <v>52973</v>
      </c>
      <c r="W12216" t="s">
        <v>40966</v>
      </c>
      <c r="X12216" t="s">
        <v>41267</v>
      </c>
    </row>
    <row r="12217" spans="1:24">
      <c r="A12217">
        <f>HYPERLINK("https://www.philgeps.gov.ph/GEPSNONPILOT/Tender/SplashBidNoticeAbstractUI.aspx?menuIndex=3&amp;refID=7039652&amp;Result=3","7039652")</f>
        <v>0</v>
      </c>
      <c r="B12217" t="s">
        <v>909</v>
      </c>
      <c r="C12217" t="s">
        <v>15088</v>
      </c>
      <c r="D12217" t="s">
        <v>16662</v>
      </c>
      <c r="E12217" t="s">
        <v>27264</v>
      </c>
      <c r="F12217" t="s">
        <v>28669</v>
      </c>
      <c r="G12217" t="s">
        <v>28675</v>
      </c>
      <c r="H12217" t="s">
        <v>28686</v>
      </c>
      <c r="I12217" t="s">
        <v>28689</v>
      </c>
      <c r="J12217" t="s">
        <v>36303</v>
      </c>
      <c r="K12217" t="s">
        <v>37215</v>
      </c>
      <c r="M12217" t="s">
        <v>38431</v>
      </c>
      <c r="N12217" t="s">
        <v>41249</v>
      </c>
      <c r="O12217" t="s">
        <v>41250</v>
      </c>
      <c r="P12217">
        <v>0</v>
      </c>
      <c r="Q12217">
        <v>1</v>
      </c>
      <c r="R12217" t="s">
        <v>41267</v>
      </c>
      <c r="S12217" t="s">
        <v>42077</v>
      </c>
      <c r="T12217" t="s">
        <v>42679</v>
      </c>
      <c r="U12217" t="s">
        <v>52974</v>
      </c>
      <c r="W12217" t="s">
        <v>38431</v>
      </c>
      <c r="X12217" t="s">
        <v>41273</v>
      </c>
    </row>
    <row r="12218" spans="1:24">
      <c r="A12218">
        <f>HYPERLINK("https://www.philgeps.gov.ph/GEPSNONPILOT/Tender/SplashBidNoticeAbstractUI.aspx?menuIndex=3&amp;refID=7036696&amp;Result=3","7036696")</f>
        <v>0</v>
      </c>
      <c r="B12218" t="s">
        <v>2331</v>
      </c>
      <c r="C12218" t="s">
        <v>15089</v>
      </c>
      <c r="D12218" t="s">
        <v>16657</v>
      </c>
      <c r="E12218" t="s">
        <v>27265</v>
      </c>
      <c r="F12218" t="s">
        <v>28669</v>
      </c>
      <c r="G12218" t="s">
        <v>28675</v>
      </c>
      <c r="H12218" t="s">
        <v>9998</v>
      </c>
      <c r="I12218" t="s">
        <v>7352</v>
      </c>
      <c r="J12218" t="s">
        <v>36304</v>
      </c>
      <c r="K12218" t="s">
        <v>37206</v>
      </c>
      <c r="M12218" t="s">
        <v>39993</v>
      </c>
      <c r="N12218" t="s">
        <v>41249</v>
      </c>
      <c r="O12218" t="s">
        <v>41250</v>
      </c>
      <c r="P12218">
        <v>0</v>
      </c>
      <c r="Q12218">
        <v>9</v>
      </c>
      <c r="R12218" t="s">
        <v>41267</v>
      </c>
      <c r="S12218" t="s">
        <v>42077</v>
      </c>
      <c r="T12218" t="s">
        <v>42673</v>
      </c>
      <c r="U12218" t="s">
        <v>51311</v>
      </c>
      <c r="V12218" t="s">
        <v>55107</v>
      </c>
      <c r="W12218" t="s">
        <v>39993</v>
      </c>
      <c r="X12218" t="s">
        <v>41274</v>
      </c>
    </row>
    <row r="12219" spans="1:24">
      <c r="A12219">
        <f>HYPERLINK("https://www.philgeps.gov.ph/GEPSNONPILOT/Tender/SplashBidNoticeAbstractUI.aspx?menuIndex=3&amp;refID=7039616&amp;Result=3","7039616")</f>
        <v>0</v>
      </c>
      <c r="B12219" t="s">
        <v>909</v>
      </c>
      <c r="C12219" t="s">
        <v>15090</v>
      </c>
      <c r="D12219" t="s">
        <v>16662</v>
      </c>
      <c r="E12219" t="s">
        <v>27266</v>
      </c>
      <c r="F12219" t="s">
        <v>28669</v>
      </c>
      <c r="G12219" t="s">
        <v>28675</v>
      </c>
      <c r="H12219" t="s">
        <v>28686</v>
      </c>
      <c r="I12219" t="s">
        <v>28689</v>
      </c>
      <c r="J12219" t="s">
        <v>36305</v>
      </c>
      <c r="K12219" t="s">
        <v>37215</v>
      </c>
      <c r="M12219" t="s">
        <v>38431</v>
      </c>
      <c r="N12219" t="s">
        <v>41249</v>
      </c>
      <c r="O12219" t="s">
        <v>41250</v>
      </c>
      <c r="P12219">
        <v>0</v>
      </c>
      <c r="Q12219">
        <v>1</v>
      </c>
      <c r="R12219" t="s">
        <v>41267</v>
      </c>
      <c r="S12219" t="s">
        <v>42077</v>
      </c>
      <c r="T12219" t="s">
        <v>42679</v>
      </c>
      <c r="U12219" t="s">
        <v>52975</v>
      </c>
      <c r="W12219" t="s">
        <v>38431</v>
      </c>
      <c r="X12219" t="s">
        <v>41273</v>
      </c>
    </row>
    <row r="12220" spans="1:24">
      <c r="A12220">
        <f>HYPERLINK("https://www.philgeps.gov.ph/GEPSNONPILOT/Tender/SplashBidNoticeAbstractUI.aspx?menuIndex=3&amp;refID=7039253&amp;Result=3","7039253")</f>
        <v>0</v>
      </c>
      <c r="B12220" t="s">
        <v>909</v>
      </c>
      <c r="C12220" t="s">
        <v>15091</v>
      </c>
      <c r="D12220" t="s">
        <v>16662</v>
      </c>
      <c r="E12220" t="s">
        <v>27267</v>
      </c>
      <c r="F12220" t="s">
        <v>28669</v>
      </c>
      <c r="G12220" t="s">
        <v>28675</v>
      </c>
      <c r="H12220" t="s">
        <v>28686</v>
      </c>
      <c r="I12220" t="s">
        <v>28689</v>
      </c>
      <c r="J12220" t="s">
        <v>36306</v>
      </c>
      <c r="K12220" t="s">
        <v>37213</v>
      </c>
      <c r="M12220" t="s">
        <v>38431</v>
      </c>
      <c r="N12220" t="s">
        <v>41249</v>
      </c>
      <c r="O12220" t="s">
        <v>41250</v>
      </c>
      <c r="P12220">
        <v>0</v>
      </c>
      <c r="Q12220">
        <v>1</v>
      </c>
      <c r="R12220" t="s">
        <v>41267</v>
      </c>
      <c r="S12220" t="s">
        <v>42077</v>
      </c>
      <c r="T12220" t="s">
        <v>42679</v>
      </c>
      <c r="U12220" t="s">
        <v>52976</v>
      </c>
      <c r="W12220" t="s">
        <v>38431</v>
      </c>
      <c r="X12220" t="s">
        <v>41273</v>
      </c>
    </row>
    <row r="12221" spans="1:24">
      <c r="A12221">
        <f>HYPERLINK("https://www.philgeps.gov.ph/GEPSNONPILOT/Tender/SplashBidNoticeAbstractUI.aspx?menuIndex=3&amp;refID=7039525&amp;Result=3","7039525")</f>
        <v>0</v>
      </c>
      <c r="B12221" t="s">
        <v>909</v>
      </c>
      <c r="C12221" t="s">
        <v>15092</v>
      </c>
      <c r="E12221" t="s">
        <v>27268</v>
      </c>
      <c r="F12221" t="s">
        <v>28669</v>
      </c>
      <c r="G12221" t="s">
        <v>28675</v>
      </c>
      <c r="H12221" t="s">
        <v>28686</v>
      </c>
      <c r="I12221" t="s">
        <v>28689</v>
      </c>
      <c r="J12221" t="s">
        <v>36307</v>
      </c>
      <c r="K12221" t="s">
        <v>37220</v>
      </c>
      <c r="M12221" t="s">
        <v>38431</v>
      </c>
      <c r="N12221" t="s">
        <v>41249</v>
      </c>
      <c r="O12221" t="s">
        <v>41250</v>
      </c>
      <c r="P12221">
        <v>0</v>
      </c>
      <c r="Q12221">
        <v>2</v>
      </c>
      <c r="R12221" t="s">
        <v>41267</v>
      </c>
      <c r="S12221" t="s">
        <v>42077</v>
      </c>
      <c r="T12221" t="s">
        <v>42679</v>
      </c>
      <c r="U12221" t="s">
        <v>52977</v>
      </c>
      <c r="W12221" t="s">
        <v>38431</v>
      </c>
      <c r="X12221" t="s">
        <v>41273</v>
      </c>
    </row>
    <row r="12222" spans="1:24">
      <c r="A12222">
        <f>HYPERLINK("https://www.philgeps.gov.ph/GEPSNONPILOT/Tender/SplashBidNoticeAbstractUI.aspx?menuIndex=3&amp;refID=7039208&amp;Result=3","7039208")</f>
        <v>0</v>
      </c>
      <c r="B12222" t="s">
        <v>909</v>
      </c>
      <c r="C12222" t="s">
        <v>15093</v>
      </c>
      <c r="D12222" t="s">
        <v>16662</v>
      </c>
      <c r="E12222" t="s">
        <v>27269</v>
      </c>
      <c r="F12222" t="s">
        <v>28669</v>
      </c>
      <c r="G12222" t="s">
        <v>28675</v>
      </c>
      <c r="H12222" t="s">
        <v>28686</v>
      </c>
      <c r="I12222" t="s">
        <v>28689</v>
      </c>
      <c r="J12222" t="s">
        <v>36308</v>
      </c>
      <c r="K12222" t="s">
        <v>37270</v>
      </c>
      <c r="M12222" t="s">
        <v>38431</v>
      </c>
      <c r="N12222" t="s">
        <v>41249</v>
      </c>
      <c r="O12222" t="s">
        <v>41250</v>
      </c>
      <c r="P12222">
        <v>0</v>
      </c>
      <c r="Q12222">
        <v>1</v>
      </c>
      <c r="R12222" t="s">
        <v>41267</v>
      </c>
      <c r="S12222" t="s">
        <v>42077</v>
      </c>
      <c r="T12222" t="s">
        <v>42679</v>
      </c>
      <c r="U12222" t="s">
        <v>52978</v>
      </c>
      <c r="W12222" t="s">
        <v>38431</v>
      </c>
      <c r="X12222" t="s">
        <v>41273</v>
      </c>
    </row>
    <row r="12223" spans="1:24">
      <c r="A12223">
        <f>HYPERLINK("https://www.philgeps.gov.ph/GEPSNONPILOT/Tender/SplashBidNoticeAbstractUI.aspx?menuIndex=3&amp;refID=7049824&amp;Result=3","7049824")</f>
        <v>0</v>
      </c>
      <c r="B12223" t="s">
        <v>1689</v>
      </c>
      <c r="C12223" t="s">
        <v>15094</v>
      </c>
      <c r="D12223" t="s">
        <v>16641</v>
      </c>
      <c r="E12223" t="s">
        <v>27270</v>
      </c>
      <c r="F12223" t="s">
        <v>28669</v>
      </c>
      <c r="G12223" t="s">
        <v>28675</v>
      </c>
      <c r="H12223" t="s">
        <v>9998</v>
      </c>
      <c r="I12223" t="s">
        <v>28690</v>
      </c>
      <c r="J12223" t="s">
        <v>36309</v>
      </c>
      <c r="K12223" t="s">
        <v>37210</v>
      </c>
      <c r="M12223" t="s">
        <v>40966</v>
      </c>
      <c r="N12223" t="s">
        <v>41249</v>
      </c>
      <c r="O12223" t="s">
        <v>41250</v>
      </c>
      <c r="P12223">
        <v>0</v>
      </c>
      <c r="Q12223">
        <v>1</v>
      </c>
      <c r="R12223" t="s">
        <v>41266</v>
      </c>
      <c r="S12223" t="s">
        <v>41978</v>
      </c>
      <c r="T12223" t="s">
        <v>42764</v>
      </c>
      <c r="U12223" t="s">
        <v>52979</v>
      </c>
      <c r="W12223" t="s">
        <v>40966</v>
      </c>
      <c r="X12223" t="s">
        <v>41267</v>
      </c>
    </row>
    <row r="12224" spans="1:24">
      <c r="A12224">
        <f>HYPERLINK("https://www.philgeps.gov.ph/GEPSNONPILOT/Tender/SplashBidNoticeAbstractUI.aspx?menuIndex=3&amp;refID=7039228&amp;Result=3","7039228")</f>
        <v>0</v>
      </c>
      <c r="B12224" t="s">
        <v>909</v>
      </c>
      <c r="C12224" t="s">
        <v>15095</v>
      </c>
      <c r="D12224" t="s">
        <v>16662</v>
      </c>
      <c r="E12224" t="s">
        <v>27271</v>
      </c>
      <c r="F12224" t="s">
        <v>28669</v>
      </c>
      <c r="G12224" t="s">
        <v>28675</v>
      </c>
      <c r="H12224" t="s">
        <v>28686</v>
      </c>
      <c r="I12224" t="s">
        <v>28689</v>
      </c>
      <c r="J12224" t="s">
        <v>36310</v>
      </c>
      <c r="K12224" t="s">
        <v>37215</v>
      </c>
      <c r="M12224" t="s">
        <v>38431</v>
      </c>
      <c r="N12224" t="s">
        <v>41249</v>
      </c>
      <c r="O12224" t="s">
        <v>41250</v>
      </c>
      <c r="P12224">
        <v>0</v>
      </c>
      <c r="Q12224">
        <v>1</v>
      </c>
      <c r="R12224" t="s">
        <v>41267</v>
      </c>
      <c r="S12224" t="s">
        <v>42077</v>
      </c>
      <c r="T12224" t="s">
        <v>42679</v>
      </c>
      <c r="U12224" t="s">
        <v>52980</v>
      </c>
      <c r="W12224" t="s">
        <v>38431</v>
      </c>
      <c r="X12224" t="s">
        <v>41273</v>
      </c>
    </row>
    <row r="12225" spans="1:24">
      <c r="A12225">
        <f>HYPERLINK("https://www.philgeps.gov.ph/GEPSNONPILOT/Tender/SplashBidNoticeAbstractUI.aspx?menuIndex=3&amp;refID=7038526&amp;Result=3","7038526")</f>
        <v>0</v>
      </c>
      <c r="B12225" t="s">
        <v>3214</v>
      </c>
      <c r="C12225" t="s">
        <v>15096</v>
      </c>
      <c r="D12225" t="s">
        <v>16616</v>
      </c>
      <c r="E12225" t="s">
        <v>27093</v>
      </c>
      <c r="F12225" t="s">
        <v>28669</v>
      </c>
      <c r="G12225" t="s">
        <v>28675</v>
      </c>
      <c r="H12225" t="s">
        <v>28686</v>
      </c>
      <c r="I12225" t="s">
        <v>28689</v>
      </c>
      <c r="J12225" t="s">
        <v>30575</v>
      </c>
      <c r="K12225" t="s">
        <v>37213</v>
      </c>
      <c r="M12225" t="s">
        <v>41027</v>
      </c>
      <c r="N12225" t="s">
        <v>41249</v>
      </c>
      <c r="O12225" t="s">
        <v>41250</v>
      </c>
      <c r="Q12225">
        <v>2</v>
      </c>
      <c r="R12225" t="s">
        <v>41267</v>
      </c>
      <c r="S12225" t="s">
        <v>42081</v>
      </c>
      <c r="T12225" t="s">
        <v>42711</v>
      </c>
      <c r="U12225" t="s">
        <v>52981</v>
      </c>
      <c r="V12225" t="s">
        <v>55724</v>
      </c>
      <c r="W12225" t="s">
        <v>41027</v>
      </c>
      <c r="X12225" t="s">
        <v>41273</v>
      </c>
    </row>
    <row r="12226" spans="1:24">
      <c r="A12226">
        <f>HYPERLINK("https://www.philgeps.gov.ph/GEPSNONPILOT/Tender/SplashBidNoticeAbstractUI.aspx?menuIndex=3&amp;refID=7037617&amp;Result=3","7037617")</f>
        <v>0</v>
      </c>
      <c r="B12226" t="s">
        <v>337</v>
      </c>
      <c r="C12226" t="s">
        <v>15097</v>
      </c>
      <c r="E12226" t="s">
        <v>26082</v>
      </c>
      <c r="F12226" t="s">
        <v>28669</v>
      </c>
      <c r="G12226" t="s">
        <v>28675</v>
      </c>
      <c r="H12226" t="s">
        <v>9998</v>
      </c>
      <c r="I12226" t="s">
        <v>28690</v>
      </c>
      <c r="J12226" t="s">
        <v>31316</v>
      </c>
      <c r="K12226" t="s">
        <v>37209</v>
      </c>
      <c r="M12226" t="s">
        <v>40774</v>
      </c>
      <c r="N12226" t="s">
        <v>41249</v>
      </c>
      <c r="O12226" t="s">
        <v>41250</v>
      </c>
      <c r="P12226">
        <v>0</v>
      </c>
      <c r="Q12226">
        <v>15</v>
      </c>
      <c r="R12226" t="s">
        <v>41267</v>
      </c>
      <c r="S12226" t="s">
        <v>42077</v>
      </c>
      <c r="T12226" t="s">
        <v>42703</v>
      </c>
      <c r="U12226" t="s">
        <v>52982</v>
      </c>
      <c r="W12226" t="s">
        <v>40774</v>
      </c>
      <c r="X12226" t="s">
        <v>41274</v>
      </c>
    </row>
    <row r="12227" spans="1:24">
      <c r="A12227">
        <f>HYPERLINK("https://www.philgeps.gov.ph/GEPSNONPILOT/Tender/SplashBidNoticeAbstractUI.aspx?menuIndex=3&amp;refID=7037564&amp;Result=3","7037564")</f>
        <v>0</v>
      </c>
      <c r="B12227" t="s">
        <v>337</v>
      </c>
      <c r="C12227" t="s">
        <v>15098</v>
      </c>
      <c r="E12227" t="s">
        <v>27272</v>
      </c>
      <c r="F12227" t="s">
        <v>28669</v>
      </c>
      <c r="G12227" t="s">
        <v>28675</v>
      </c>
      <c r="H12227" t="s">
        <v>9998</v>
      </c>
      <c r="I12227" t="s">
        <v>28690</v>
      </c>
      <c r="J12227" t="s">
        <v>29002</v>
      </c>
      <c r="K12227" t="s">
        <v>37209</v>
      </c>
      <c r="M12227" t="s">
        <v>40774</v>
      </c>
      <c r="N12227" t="s">
        <v>41249</v>
      </c>
      <c r="O12227" t="s">
        <v>41250</v>
      </c>
      <c r="P12227">
        <v>0</v>
      </c>
      <c r="Q12227">
        <v>7</v>
      </c>
      <c r="R12227" t="s">
        <v>41267</v>
      </c>
      <c r="S12227" t="s">
        <v>42077</v>
      </c>
      <c r="T12227" t="s">
        <v>42703</v>
      </c>
      <c r="U12227" t="s">
        <v>52983</v>
      </c>
      <c r="W12227" t="s">
        <v>40774</v>
      </c>
      <c r="X12227" t="s">
        <v>41274</v>
      </c>
    </row>
    <row r="12228" spans="1:24">
      <c r="A12228">
        <f>HYPERLINK("https://www.philgeps.gov.ph/GEPSNONPILOT/Tender/SplashBidNoticeAbstractUI.aspx?menuIndex=3&amp;refID=7039567&amp;Result=3","7039567")</f>
        <v>0</v>
      </c>
      <c r="B12228" t="s">
        <v>909</v>
      </c>
      <c r="C12228" t="s">
        <v>15099</v>
      </c>
      <c r="D12228" t="s">
        <v>16662</v>
      </c>
      <c r="E12228" t="s">
        <v>27273</v>
      </c>
      <c r="F12228" t="s">
        <v>28669</v>
      </c>
      <c r="G12228" t="s">
        <v>28675</v>
      </c>
      <c r="H12228" t="s">
        <v>28686</v>
      </c>
      <c r="I12228" t="s">
        <v>28689</v>
      </c>
      <c r="J12228" t="s">
        <v>36311</v>
      </c>
      <c r="K12228" t="s">
        <v>37290</v>
      </c>
      <c r="M12228" t="s">
        <v>38431</v>
      </c>
      <c r="N12228" t="s">
        <v>41249</v>
      </c>
      <c r="O12228" t="s">
        <v>41250</v>
      </c>
      <c r="P12228">
        <v>0</v>
      </c>
      <c r="Q12228">
        <v>1</v>
      </c>
      <c r="R12228" t="s">
        <v>41267</v>
      </c>
      <c r="S12228" t="s">
        <v>42077</v>
      </c>
      <c r="T12228" t="s">
        <v>42679</v>
      </c>
      <c r="U12228" t="s">
        <v>52984</v>
      </c>
      <c r="W12228" t="s">
        <v>38431</v>
      </c>
      <c r="X12228" t="s">
        <v>41273</v>
      </c>
    </row>
    <row r="12229" spans="1:24">
      <c r="A12229">
        <f>HYPERLINK("https://www.philgeps.gov.ph/GEPSNONPILOT/Tender/SplashBidNoticeAbstractUI.aspx?menuIndex=3&amp;refID=7039492&amp;Result=3","7039492")</f>
        <v>0</v>
      </c>
      <c r="B12229" t="s">
        <v>909</v>
      </c>
      <c r="C12229" t="s">
        <v>15100</v>
      </c>
      <c r="D12229" t="s">
        <v>16662</v>
      </c>
      <c r="E12229" t="s">
        <v>27274</v>
      </c>
      <c r="F12229" t="s">
        <v>28669</v>
      </c>
      <c r="G12229" t="s">
        <v>28675</v>
      </c>
      <c r="H12229" t="s">
        <v>28686</v>
      </c>
      <c r="I12229" t="s">
        <v>28689</v>
      </c>
      <c r="J12229" t="s">
        <v>36312</v>
      </c>
      <c r="K12229" t="s">
        <v>37212</v>
      </c>
      <c r="M12229" t="s">
        <v>38431</v>
      </c>
      <c r="N12229" t="s">
        <v>41249</v>
      </c>
      <c r="O12229" t="s">
        <v>41250</v>
      </c>
      <c r="P12229">
        <v>0</v>
      </c>
      <c r="Q12229">
        <v>1</v>
      </c>
      <c r="R12229" t="s">
        <v>41267</v>
      </c>
      <c r="S12229" t="s">
        <v>42077</v>
      </c>
      <c r="T12229" t="s">
        <v>42679</v>
      </c>
      <c r="U12229" t="s">
        <v>52985</v>
      </c>
      <c r="W12229" t="s">
        <v>38431</v>
      </c>
      <c r="X12229" t="s">
        <v>41273</v>
      </c>
    </row>
    <row r="12230" spans="1:24">
      <c r="A12230">
        <f>HYPERLINK("https://www.philgeps.gov.ph/GEPSNONPILOT/Tender/SplashBidNoticeAbstractUI.aspx?menuIndex=3&amp;refID=7039457&amp;Result=3","7039457")</f>
        <v>0</v>
      </c>
      <c r="B12230" t="s">
        <v>909</v>
      </c>
      <c r="C12230" t="s">
        <v>15101</v>
      </c>
      <c r="D12230" t="s">
        <v>16662</v>
      </c>
      <c r="E12230" t="s">
        <v>27275</v>
      </c>
      <c r="F12230" t="s">
        <v>28669</v>
      </c>
      <c r="G12230" t="s">
        <v>28675</v>
      </c>
      <c r="H12230" t="s">
        <v>28686</v>
      </c>
      <c r="I12230" t="s">
        <v>28689</v>
      </c>
      <c r="J12230" t="s">
        <v>36313</v>
      </c>
      <c r="K12230" t="s">
        <v>37206</v>
      </c>
      <c r="M12230" t="s">
        <v>38431</v>
      </c>
      <c r="N12230" t="s">
        <v>41249</v>
      </c>
      <c r="O12230" t="s">
        <v>41250</v>
      </c>
      <c r="P12230">
        <v>0</v>
      </c>
      <c r="Q12230">
        <v>1</v>
      </c>
      <c r="R12230" t="s">
        <v>41267</v>
      </c>
      <c r="S12230" t="s">
        <v>42077</v>
      </c>
      <c r="T12230" t="s">
        <v>42679</v>
      </c>
      <c r="U12230" t="s">
        <v>52986</v>
      </c>
      <c r="W12230" t="s">
        <v>38431</v>
      </c>
      <c r="X12230" t="s">
        <v>41273</v>
      </c>
    </row>
    <row r="12231" spans="1:24">
      <c r="A12231">
        <f>HYPERLINK("https://www.philgeps.gov.ph/GEPSNONPILOT/Tender/SplashBidNoticeAbstractUI.aspx?menuIndex=3&amp;refID=7038925&amp;Result=3","7038925")</f>
        <v>0</v>
      </c>
      <c r="B12231" t="s">
        <v>3215</v>
      </c>
      <c r="C12231" t="s">
        <v>15102</v>
      </c>
      <c r="D12231" t="s">
        <v>16640</v>
      </c>
      <c r="E12231" t="s">
        <v>27276</v>
      </c>
      <c r="F12231" t="s">
        <v>28669</v>
      </c>
      <c r="G12231" t="s">
        <v>28675</v>
      </c>
      <c r="H12231" t="s">
        <v>9998</v>
      </c>
      <c r="I12231" t="s">
        <v>28738</v>
      </c>
      <c r="J12231" t="s">
        <v>28924</v>
      </c>
      <c r="K12231" t="s">
        <v>37206</v>
      </c>
      <c r="M12231" t="s">
        <v>41028</v>
      </c>
      <c r="N12231" t="s">
        <v>41249</v>
      </c>
      <c r="O12231" t="s">
        <v>41250</v>
      </c>
      <c r="Q12231">
        <v>8</v>
      </c>
      <c r="R12231" t="s">
        <v>41267</v>
      </c>
      <c r="S12231" t="s">
        <v>41926</v>
      </c>
      <c r="T12231" t="s">
        <v>42673</v>
      </c>
      <c r="U12231" t="s">
        <v>52987</v>
      </c>
      <c r="V12231" t="s">
        <v>55725</v>
      </c>
      <c r="W12231" t="s">
        <v>41028</v>
      </c>
      <c r="X12231" t="s">
        <v>41273</v>
      </c>
    </row>
    <row r="12232" spans="1:24">
      <c r="A12232">
        <f>HYPERLINK("https://www.philgeps.gov.ph/GEPSNONPILOT/Tender/SplashBidNoticeAbstractUI.aspx?menuIndex=3&amp;refID=7037588&amp;Result=3","7037588")</f>
        <v>0</v>
      </c>
      <c r="B12232" t="s">
        <v>337</v>
      </c>
      <c r="C12232" t="s">
        <v>13698</v>
      </c>
      <c r="E12232" t="s">
        <v>27277</v>
      </c>
      <c r="F12232" t="s">
        <v>28669</v>
      </c>
      <c r="G12232" t="s">
        <v>28675</v>
      </c>
      <c r="H12232" t="s">
        <v>9998</v>
      </c>
      <c r="I12232" t="s">
        <v>28690</v>
      </c>
      <c r="J12232" t="s">
        <v>36314</v>
      </c>
      <c r="K12232" t="s">
        <v>37209</v>
      </c>
      <c r="M12232" t="s">
        <v>40774</v>
      </c>
      <c r="N12232" t="s">
        <v>41249</v>
      </c>
      <c r="O12232" t="s">
        <v>41250</v>
      </c>
      <c r="P12232">
        <v>0</v>
      </c>
      <c r="Q12232">
        <v>21</v>
      </c>
      <c r="R12232" t="s">
        <v>41267</v>
      </c>
      <c r="S12232" t="s">
        <v>42077</v>
      </c>
      <c r="T12232" t="s">
        <v>42703</v>
      </c>
      <c r="U12232" t="s">
        <v>51858</v>
      </c>
      <c r="W12232" t="s">
        <v>40774</v>
      </c>
      <c r="X12232" t="s">
        <v>41274</v>
      </c>
    </row>
    <row r="12233" spans="1:24">
      <c r="A12233">
        <f>HYPERLINK("https://www.philgeps.gov.ph/GEPSNONPILOT/Tender/SplashBidNoticeAbstractUI.aspx?menuIndex=3&amp;refID=7039153&amp;Result=3","7039153")</f>
        <v>0</v>
      </c>
      <c r="B12233" t="s">
        <v>909</v>
      </c>
      <c r="C12233" t="s">
        <v>15103</v>
      </c>
      <c r="D12233" t="s">
        <v>16662</v>
      </c>
      <c r="E12233" t="s">
        <v>27278</v>
      </c>
      <c r="F12233" t="s">
        <v>28669</v>
      </c>
      <c r="G12233" t="s">
        <v>28675</v>
      </c>
      <c r="H12233" t="s">
        <v>28686</v>
      </c>
      <c r="I12233" t="s">
        <v>28689</v>
      </c>
      <c r="J12233" t="s">
        <v>36315</v>
      </c>
      <c r="K12233" t="s">
        <v>37213</v>
      </c>
      <c r="M12233" t="s">
        <v>38431</v>
      </c>
      <c r="N12233" t="s">
        <v>41249</v>
      </c>
      <c r="O12233" t="s">
        <v>41250</v>
      </c>
      <c r="P12233">
        <v>0</v>
      </c>
      <c r="Q12233">
        <v>1</v>
      </c>
      <c r="R12233" t="s">
        <v>41267</v>
      </c>
      <c r="S12233" t="s">
        <v>42077</v>
      </c>
      <c r="T12233" t="s">
        <v>42679</v>
      </c>
      <c r="U12233" t="s">
        <v>52988</v>
      </c>
      <c r="W12233" t="s">
        <v>38431</v>
      </c>
      <c r="X12233" t="s">
        <v>41273</v>
      </c>
    </row>
    <row r="12234" spans="1:24">
      <c r="A12234">
        <f>HYPERLINK("https://www.philgeps.gov.ph/GEPSNONPILOT/Tender/SplashBidNoticeAbstractUI.aspx?menuIndex=3&amp;refID=7041010&amp;Result=3","7041010")</f>
        <v>0</v>
      </c>
      <c r="B12234" t="s">
        <v>457</v>
      </c>
      <c r="C12234" t="s">
        <v>15104</v>
      </c>
      <c r="D12234" t="s">
        <v>16678</v>
      </c>
      <c r="E12234" t="s">
        <v>27279</v>
      </c>
      <c r="F12234" t="s">
        <v>28669</v>
      </c>
      <c r="G12234" t="s">
        <v>28675</v>
      </c>
      <c r="H12234" t="s">
        <v>28685</v>
      </c>
      <c r="I12234" t="s">
        <v>28685</v>
      </c>
      <c r="J12234" t="s">
        <v>36316</v>
      </c>
      <c r="K12234" t="s">
        <v>37224</v>
      </c>
      <c r="M12234" t="s">
        <v>41029</v>
      </c>
      <c r="N12234" t="s">
        <v>41249</v>
      </c>
      <c r="O12234" t="s">
        <v>41250</v>
      </c>
      <c r="P12234">
        <v>0</v>
      </c>
      <c r="Q12234">
        <v>4</v>
      </c>
      <c r="R12234" t="s">
        <v>41267</v>
      </c>
      <c r="S12234" t="s">
        <v>42077</v>
      </c>
      <c r="T12234" t="s">
        <v>42739</v>
      </c>
      <c r="U12234" t="s">
        <v>52989</v>
      </c>
      <c r="W12234" t="s">
        <v>41029</v>
      </c>
      <c r="X12234" t="s">
        <v>41272</v>
      </c>
    </row>
    <row r="12235" spans="1:24">
      <c r="A12235">
        <f>HYPERLINK("https://www.philgeps.gov.ph/GEPSNONPILOT/Tender/SplashBidNoticeAbstractUI.aspx?menuIndex=3&amp;refID=7043055&amp;Result=3","7043055")</f>
        <v>0</v>
      </c>
      <c r="B12235" t="s">
        <v>909</v>
      </c>
      <c r="C12235" t="s">
        <v>15105</v>
      </c>
      <c r="D12235" t="s">
        <v>16662</v>
      </c>
      <c r="E12235" t="s">
        <v>27280</v>
      </c>
      <c r="F12235" t="s">
        <v>28669</v>
      </c>
      <c r="G12235" t="s">
        <v>28675</v>
      </c>
      <c r="H12235" t="s">
        <v>9998</v>
      </c>
      <c r="I12235" t="s">
        <v>3679</v>
      </c>
      <c r="J12235" t="s">
        <v>36317</v>
      </c>
      <c r="K12235" t="s">
        <v>37206</v>
      </c>
      <c r="M12235" t="s">
        <v>38431</v>
      </c>
      <c r="N12235" t="s">
        <v>41249</v>
      </c>
      <c r="O12235" t="s">
        <v>41250</v>
      </c>
      <c r="P12235">
        <v>0</v>
      </c>
      <c r="Q12235">
        <v>0</v>
      </c>
      <c r="R12235" t="s">
        <v>41267</v>
      </c>
      <c r="S12235" t="s">
        <v>42077</v>
      </c>
      <c r="T12235" t="s">
        <v>42679</v>
      </c>
      <c r="U12235" t="s">
        <v>52990</v>
      </c>
      <c r="W12235" t="s">
        <v>38431</v>
      </c>
      <c r="X12235" t="s">
        <v>41272</v>
      </c>
    </row>
    <row r="12236" spans="1:24">
      <c r="A12236">
        <f>HYPERLINK("https://www.philgeps.gov.ph/GEPSNONPILOT/Tender/SplashBidNoticeAbstractUI.aspx?menuIndex=3&amp;refID=7043724&amp;Result=3","7043724")</f>
        <v>0</v>
      </c>
      <c r="B12236" t="s">
        <v>909</v>
      </c>
      <c r="C12236" t="s">
        <v>15106</v>
      </c>
      <c r="D12236" t="s">
        <v>16662</v>
      </c>
      <c r="E12236" t="s">
        <v>27281</v>
      </c>
      <c r="F12236" t="s">
        <v>28669</v>
      </c>
      <c r="G12236" t="s">
        <v>28675</v>
      </c>
      <c r="H12236" t="s">
        <v>9998</v>
      </c>
      <c r="I12236" t="s">
        <v>28704</v>
      </c>
      <c r="J12236" t="s">
        <v>28905</v>
      </c>
      <c r="K12236" t="s">
        <v>37206</v>
      </c>
      <c r="M12236" t="s">
        <v>38431</v>
      </c>
      <c r="N12236" t="s">
        <v>41249</v>
      </c>
      <c r="O12236" t="s">
        <v>41250</v>
      </c>
      <c r="P12236">
        <v>0</v>
      </c>
      <c r="Q12236">
        <v>0</v>
      </c>
      <c r="R12236" t="s">
        <v>41267</v>
      </c>
      <c r="S12236" t="s">
        <v>42077</v>
      </c>
      <c r="T12236" t="s">
        <v>42679</v>
      </c>
      <c r="U12236" t="s">
        <v>52991</v>
      </c>
      <c r="W12236" t="s">
        <v>38431</v>
      </c>
      <c r="X12236" t="s">
        <v>41270</v>
      </c>
    </row>
    <row r="12237" spans="1:24">
      <c r="A12237">
        <f>HYPERLINK("https://www.philgeps.gov.ph/GEPSNONPILOT/Tender/SplashBidNoticeAbstractUI.aspx?menuIndex=3&amp;refID=7043039&amp;Result=3","7043039")</f>
        <v>0</v>
      </c>
      <c r="B12237" t="s">
        <v>909</v>
      </c>
      <c r="C12237" t="s">
        <v>15107</v>
      </c>
      <c r="D12237" t="s">
        <v>16662</v>
      </c>
      <c r="E12237" t="s">
        <v>27282</v>
      </c>
      <c r="F12237" t="s">
        <v>28669</v>
      </c>
      <c r="G12237" t="s">
        <v>28675</v>
      </c>
      <c r="H12237" t="s">
        <v>9998</v>
      </c>
      <c r="I12237" t="s">
        <v>28760</v>
      </c>
      <c r="J12237" t="s">
        <v>29545</v>
      </c>
      <c r="K12237" t="s">
        <v>37206</v>
      </c>
      <c r="M12237" t="s">
        <v>38431</v>
      </c>
      <c r="N12237" t="s">
        <v>41249</v>
      </c>
      <c r="O12237" t="s">
        <v>41250</v>
      </c>
      <c r="P12237">
        <v>0</v>
      </c>
      <c r="Q12237">
        <v>0</v>
      </c>
      <c r="R12237" t="s">
        <v>41267</v>
      </c>
      <c r="S12237" t="s">
        <v>42077</v>
      </c>
      <c r="T12237" t="s">
        <v>42679</v>
      </c>
      <c r="U12237" t="s">
        <v>52992</v>
      </c>
      <c r="W12237" t="s">
        <v>38431</v>
      </c>
      <c r="X12237" t="s">
        <v>41272</v>
      </c>
    </row>
    <row r="12238" spans="1:24">
      <c r="A12238">
        <f>HYPERLINK("https://www.philgeps.gov.ph/GEPSNONPILOT/Tender/SplashBidNoticeAbstractUI.aspx?menuIndex=3&amp;refID=7039688&amp;Result=3","7039688")</f>
        <v>0</v>
      </c>
      <c r="B12238" t="s">
        <v>909</v>
      </c>
      <c r="C12238" t="s">
        <v>15108</v>
      </c>
      <c r="D12238" t="s">
        <v>16662</v>
      </c>
      <c r="E12238" t="s">
        <v>27283</v>
      </c>
      <c r="F12238" t="s">
        <v>28669</v>
      </c>
      <c r="G12238" t="s">
        <v>28675</v>
      </c>
      <c r="H12238" t="s">
        <v>28686</v>
      </c>
      <c r="I12238" t="s">
        <v>28689</v>
      </c>
      <c r="J12238" t="s">
        <v>36318</v>
      </c>
      <c r="K12238" t="s">
        <v>37214</v>
      </c>
      <c r="M12238" t="s">
        <v>38431</v>
      </c>
      <c r="N12238" t="s">
        <v>41249</v>
      </c>
      <c r="O12238" t="s">
        <v>41250</v>
      </c>
      <c r="P12238">
        <v>0</v>
      </c>
      <c r="Q12238">
        <v>1</v>
      </c>
      <c r="R12238" t="s">
        <v>41267</v>
      </c>
      <c r="S12238" t="s">
        <v>42077</v>
      </c>
      <c r="T12238" t="s">
        <v>42679</v>
      </c>
      <c r="U12238" t="s">
        <v>52993</v>
      </c>
      <c r="W12238" t="s">
        <v>38431</v>
      </c>
      <c r="X12238" t="s">
        <v>41273</v>
      </c>
    </row>
    <row r="12239" spans="1:24">
      <c r="A12239">
        <f>HYPERLINK("https://www.philgeps.gov.ph/GEPSNONPILOT/Tender/SplashBidNoticeAbstractUI.aspx?menuIndex=3&amp;refID=7043725&amp;Result=3","7043725")</f>
        <v>0</v>
      </c>
      <c r="B12239" t="s">
        <v>909</v>
      </c>
      <c r="C12239" t="s">
        <v>15109</v>
      </c>
      <c r="D12239" t="s">
        <v>16662</v>
      </c>
      <c r="E12239" t="s">
        <v>27284</v>
      </c>
      <c r="F12239" t="s">
        <v>28669</v>
      </c>
      <c r="G12239" t="s">
        <v>28675</v>
      </c>
      <c r="H12239" t="s">
        <v>9998</v>
      </c>
      <c r="I12239" t="s">
        <v>3679</v>
      </c>
      <c r="J12239" t="s">
        <v>36319</v>
      </c>
      <c r="K12239" t="s">
        <v>37206</v>
      </c>
      <c r="M12239" t="s">
        <v>38431</v>
      </c>
      <c r="N12239" t="s">
        <v>41249</v>
      </c>
      <c r="O12239" t="s">
        <v>41250</v>
      </c>
      <c r="P12239">
        <v>0</v>
      </c>
      <c r="Q12239">
        <v>0</v>
      </c>
      <c r="R12239" t="s">
        <v>41267</v>
      </c>
      <c r="S12239" t="s">
        <v>42077</v>
      </c>
      <c r="T12239" t="s">
        <v>42679</v>
      </c>
      <c r="U12239" t="s">
        <v>52994</v>
      </c>
      <c r="W12239" t="s">
        <v>38431</v>
      </c>
      <c r="X12239" t="s">
        <v>41270</v>
      </c>
    </row>
    <row r="12240" spans="1:24">
      <c r="A12240">
        <f>HYPERLINK("https://www.philgeps.gov.ph/GEPSNONPILOT/Tender/SplashBidNoticeAbstractUI.aspx?menuIndex=3&amp;refID=7042896&amp;Result=3","7042896")</f>
        <v>0</v>
      </c>
      <c r="B12240" t="s">
        <v>909</v>
      </c>
      <c r="C12240" t="s">
        <v>15110</v>
      </c>
      <c r="D12240" t="s">
        <v>16662</v>
      </c>
      <c r="E12240" t="s">
        <v>27285</v>
      </c>
      <c r="F12240" t="s">
        <v>28669</v>
      </c>
      <c r="G12240" t="s">
        <v>28675</v>
      </c>
      <c r="H12240" t="s">
        <v>9998</v>
      </c>
      <c r="I12240" t="s">
        <v>28704</v>
      </c>
      <c r="J12240" t="s">
        <v>29205</v>
      </c>
      <c r="K12240" t="s">
        <v>37206</v>
      </c>
      <c r="M12240" t="s">
        <v>38431</v>
      </c>
      <c r="N12240" t="s">
        <v>41249</v>
      </c>
      <c r="O12240" t="s">
        <v>41250</v>
      </c>
      <c r="P12240">
        <v>0</v>
      </c>
      <c r="Q12240">
        <v>0</v>
      </c>
      <c r="R12240" t="s">
        <v>41267</v>
      </c>
      <c r="S12240" t="s">
        <v>42077</v>
      </c>
      <c r="T12240" t="s">
        <v>42679</v>
      </c>
      <c r="U12240" t="s">
        <v>52995</v>
      </c>
      <c r="W12240" t="s">
        <v>38431</v>
      </c>
      <c r="X12240" t="s">
        <v>41272</v>
      </c>
    </row>
    <row r="12241" spans="1:24">
      <c r="A12241">
        <f>HYPERLINK("https://www.philgeps.gov.ph/GEPSNONPILOT/Tender/SplashBidNoticeAbstractUI.aspx?menuIndex=3&amp;refID=7042427&amp;Result=3","7042427")</f>
        <v>0</v>
      </c>
      <c r="B12241" t="s">
        <v>431</v>
      </c>
      <c r="C12241" t="s">
        <v>15111</v>
      </c>
      <c r="D12241" t="s">
        <v>16607</v>
      </c>
      <c r="E12241" t="s">
        <v>17955</v>
      </c>
      <c r="F12241" t="s">
        <v>28669</v>
      </c>
      <c r="G12241" t="s">
        <v>28675</v>
      </c>
      <c r="H12241" t="s">
        <v>9998</v>
      </c>
      <c r="I12241" t="s">
        <v>28688</v>
      </c>
      <c r="J12241" t="s">
        <v>36320</v>
      </c>
      <c r="K12241" t="s">
        <v>37205</v>
      </c>
      <c r="M12241" t="s">
        <v>37916</v>
      </c>
      <c r="N12241" t="s">
        <v>41249</v>
      </c>
      <c r="O12241" t="s">
        <v>41250</v>
      </c>
      <c r="P12241">
        <v>0</v>
      </c>
      <c r="Q12241">
        <v>8</v>
      </c>
      <c r="R12241" t="s">
        <v>41267</v>
      </c>
      <c r="S12241" t="s">
        <v>42077</v>
      </c>
      <c r="T12241" t="s">
        <v>42673</v>
      </c>
      <c r="U12241" t="s">
        <v>52996</v>
      </c>
      <c r="W12241" t="s">
        <v>37916</v>
      </c>
      <c r="X12241" t="s">
        <v>41272</v>
      </c>
    </row>
    <row r="12242" spans="1:24">
      <c r="A12242">
        <f>HYPERLINK("https://www.philgeps.gov.ph/GEPSNONPILOT/Tender/SplashBidNoticeAbstractUI.aspx?menuIndex=3&amp;refID=7043727&amp;Result=3","7043727")</f>
        <v>0</v>
      </c>
      <c r="B12242" t="s">
        <v>909</v>
      </c>
      <c r="C12242" t="s">
        <v>15112</v>
      </c>
      <c r="D12242" t="s">
        <v>16662</v>
      </c>
      <c r="E12242" t="s">
        <v>27286</v>
      </c>
      <c r="F12242" t="s">
        <v>28669</v>
      </c>
      <c r="G12242" t="s">
        <v>28675</v>
      </c>
      <c r="H12242" t="s">
        <v>9998</v>
      </c>
      <c r="I12242" t="s">
        <v>28715</v>
      </c>
      <c r="J12242" t="s">
        <v>31046</v>
      </c>
      <c r="K12242" t="s">
        <v>37206</v>
      </c>
      <c r="M12242" t="s">
        <v>38431</v>
      </c>
      <c r="N12242" t="s">
        <v>41249</v>
      </c>
      <c r="O12242" t="s">
        <v>41250</v>
      </c>
      <c r="P12242">
        <v>0</v>
      </c>
      <c r="Q12242">
        <v>2</v>
      </c>
      <c r="R12242" t="s">
        <v>41267</v>
      </c>
      <c r="S12242" t="s">
        <v>42077</v>
      </c>
      <c r="T12242" t="s">
        <v>42679</v>
      </c>
      <c r="U12242" t="s">
        <v>52997</v>
      </c>
      <c r="W12242" t="s">
        <v>38431</v>
      </c>
      <c r="X12242" t="s">
        <v>41270</v>
      </c>
    </row>
    <row r="12243" spans="1:24">
      <c r="A12243">
        <f>HYPERLINK("https://www.philgeps.gov.ph/GEPSNONPILOT/Tender/SplashBidNoticeAbstractUI.aspx?menuIndex=3&amp;refID=7042858&amp;Result=3","7042858")</f>
        <v>0</v>
      </c>
      <c r="B12243" t="s">
        <v>51</v>
      </c>
      <c r="C12243" t="s">
        <v>15113</v>
      </c>
      <c r="D12243" t="s">
        <v>16631</v>
      </c>
      <c r="E12243" t="s">
        <v>27287</v>
      </c>
      <c r="F12243" t="s">
        <v>28669</v>
      </c>
      <c r="G12243" t="s">
        <v>28675</v>
      </c>
      <c r="H12243" t="s">
        <v>9998</v>
      </c>
      <c r="I12243" t="s">
        <v>28717</v>
      </c>
      <c r="J12243" t="s">
        <v>36321</v>
      </c>
      <c r="K12243" t="s">
        <v>37204</v>
      </c>
      <c r="M12243" t="s">
        <v>37526</v>
      </c>
      <c r="N12243" t="s">
        <v>41249</v>
      </c>
      <c r="O12243" t="s">
        <v>41250</v>
      </c>
      <c r="P12243">
        <v>0</v>
      </c>
      <c r="Q12243">
        <v>9</v>
      </c>
      <c r="R12243" t="s">
        <v>41267</v>
      </c>
      <c r="S12243" t="s">
        <v>42077</v>
      </c>
      <c r="T12243" t="s">
        <v>42687</v>
      </c>
      <c r="U12243" t="s">
        <v>43230</v>
      </c>
      <c r="V12243" t="s">
        <v>55726</v>
      </c>
      <c r="W12243" t="s">
        <v>37526</v>
      </c>
      <c r="X12243" t="s">
        <v>41272</v>
      </c>
    </row>
    <row r="12244" spans="1:24">
      <c r="A12244">
        <f>HYPERLINK("https://www.philgeps.gov.ph/GEPSNONPILOT/Tender/SplashBidNoticeAbstractUI.aspx?menuIndex=3&amp;refID=7042292&amp;Result=3","7042292")</f>
        <v>0</v>
      </c>
      <c r="B12244" t="s">
        <v>431</v>
      </c>
      <c r="C12244" t="s">
        <v>15114</v>
      </c>
      <c r="D12244" t="s">
        <v>16607</v>
      </c>
      <c r="E12244" t="s">
        <v>20072</v>
      </c>
      <c r="F12244" t="s">
        <v>28669</v>
      </c>
      <c r="G12244" t="s">
        <v>28675</v>
      </c>
      <c r="H12244" t="s">
        <v>9998</v>
      </c>
      <c r="I12244" t="s">
        <v>28701</v>
      </c>
      <c r="J12244" t="s">
        <v>36322</v>
      </c>
      <c r="K12244" t="s">
        <v>37272</v>
      </c>
      <c r="M12244" t="s">
        <v>37916</v>
      </c>
      <c r="N12244" t="s">
        <v>41249</v>
      </c>
      <c r="O12244" t="s">
        <v>41250</v>
      </c>
      <c r="P12244">
        <v>0</v>
      </c>
      <c r="Q12244">
        <v>2</v>
      </c>
      <c r="R12244" t="s">
        <v>41267</v>
      </c>
      <c r="S12244" t="s">
        <v>42077</v>
      </c>
      <c r="T12244" t="s">
        <v>42717</v>
      </c>
      <c r="U12244" t="s">
        <v>52998</v>
      </c>
      <c r="W12244" t="s">
        <v>37916</v>
      </c>
      <c r="X12244" t="s">
        <v>41272</v>
      </c>
    </row>
    <row r="12245" spans="1:24">
      <c r="A12245">
        <f>HYPERLINK("https://www.philgeps.gov.ph/GEPSNONPILOT/Tender/SplashBidNoticeAbstractUI.aspx?menuIndex=3&amp;refID=7042975&amp;Result=3","7042975")</f>
        <v>0</v>
      </c>
      <c r="B12245" t="s">
        <v>909</v>
      </c>
      <c r="C12245" t="s">
        <v>15115</v>
      </c>
      <c r="D12245" t="s">
        <v>16662</v>
      </c>
      <c r="E12245" t="s">
        <v>27288</v>
      </c>
      <c r="F12245" t="s">
        <v>28669</v>
      </c>
      <c r="G12245" t="s">
        <v>28675</v>
      </c>
      <c r="H12245" t="s">
        <v>9998</v>
      </c>
      <c r="I12245" t="s">
        <v>3679</v>
      </c>
      <c r="J12245" t="s">
        <v>36323</v>
      </c>
      <c r="K12245" t="s">
        <v>37206</v>
      </c>
      <c r="M12245" t="s">
        <v>38431</v>
      </c>
      <c r="N12245" t="s">
        <v>41249</v>
      </c>
      <c r="O12245" t="s">
        <v>41250</v>
      </c>
      <c r="P12245">
        <v>0</v>
      </c>
      <c r="Q12245">
        <v>0</v>
      </c>
      <c r="R12245" t="s">
        <v>41267</v>
      </c>
      <c r="S12245" t="s">
        <v>42077</v>
      </c>
      <c r="T12245" t="s">
        <v>42679</v>
      </c>
      <c r="U12245" t="s">
        <v>52999</v>
      </c>
      <c r="W12245" t="s">
        <v>38431</v>
      </c>
      <c r="X12245" t="s">
        <v>41272</v>
      </c>
    </row>
    <row r="12246" spans="1:24">
      <c r="A12246">
        <f>HYPERLINK("https://www.philgeps.gov.ph/GEPSNONPILOT/Tender/SplashBidNoticeAbstractUI.aspx?menuIndex=3&amp;refID=7043749&amp;Result=3","7043749")</f>
        <v>0</v>
      </c>
      <c r="B12246" t="s">
        <v>909</v>
      </c>
      <c r="C12246" t="s">
        <v>15116</v>
      </c>
      <c r="D12246" t="s">
        <v>16662</v>
      </c>
      <c r="E12246" t="s">
        <v>27289</v>
      </c>
      <c r="F12246" t="s">
        <v>28669</v>
      </c>
      <c r="G12246" t="s">
        <v>28675</v>
      </c>
      <c r="H12246" t="s">
        <v>9998</v>
      </c>
      <c r="I12246" t="s">
        <v>3679</v>
      </c>
      <c r="J12246" t="s">
        <v>30360</v>
      </c>
      <c r="K12246" t="s">
        <v>37206</v>
      </c>
      <c r="M12246" t="s">
        <v>38431</v>
      </c>
      <c r="N12246" t="s">
        <v>41249</v>
      </c>
      <c r="O12246" t="s">
        <v>41250</v>
      </c>
      <c r="P12246">
        <v>0</v>
      </c>
      <c r="Q12246">
        <v>0</v>
      </c>
      <c r="R12246" t="s">
        <v>41267</v>
      </c>
      <c r="S12246" t="s">
        <v>42077</v>
      </c>
      <c r="T12246" t="s">
        <v>42679</v>
      </c>
      <c r="U12246" t="s">
        <v>53000</v>
      </c>
      <c r="W12246" t="s">
        <v>38431</v>
      </c>
      <c r="X12246" t="s">
        <v>41270</v>
      </c>
    </row>
    <row r="12247" spans="1:24">
      <c r="A12247">
        <f>HYPERLINK("https://www.philgeps.gov.ph/GEPSNONPILOT/Tender/SplashBidNoticeAbstractUI.aspx?menuIndex=3&amp;refID=7043731&amp;Result=3","7043731")</f>
        <v>0</v>
      </c>
      <c r="B12247" t="s">
        <v>909</v>
      </c>
      <c r="C12247" t="s">
        <v>15117</v>
      </c>
      <c r="D12247" t="s">
        <v>16662</v>
      </c>
      <c r="E12247" t="s">
        <v>27290</v>
      </c>
      <c r="F12247" t="s">
        <v>28669</v>
      </c>
      <c r="G12247" t="s">
        <v>28675</v>
      </c>
      <c r="H12247" t="s">
        <v>9998</v>
      </c>
      <c r="I12247" t="s">
        <v>6128</v>
      </c>
      <c r="J12247" t="s">
        <v>36324</v>
      </c>
      <c r="K12247" t="s">
        <v>37206</v>
      </c>
      <c r="M12247" t="s">
        <v>38431</v>
      </c>
      <c r="N12247" t="s">
        <v>41249</v>
      </c>
      <c r="O12247" t="s">
        <v>41250</v>
      </c>
      <c r="P12247">
        <v>0</v>
      </c>
      <c r="Q12247">
        <v>1</v>
      </c>
      <c r="R12247" t="s">
        <v>41267</v>
      </c>
      <c r="S12247" t="s">
        <v>42077</v>
      </c>
      <c r="T12247" t="s">
        <v>42679</v>
      </c>
      <c r="U12247" t="s">
        <v>53001</v>
      </c>
      <c r="W12247" t="s">
        <v>38431</v>
      </c>
      <c r="X12247" t="s">
        <v>41270</v>
      </c>
    </row>
    <row r="12248" spans="1:24">
      <c r="A12248">
        <f>HYPERLINK("https://www.philgeps.gov.ph/GEPSNONPILOT/Tender/SplashBidNoticeAbstractUI.aspx?menuIndex=3&amp;refID=7043752&amp;Result=3","7043752")</f>
        <v>0</v>
      </c>
      <c r="B12248" t="s">
        <v>909</v>
      </c>
      <c r="C12248" t="s">
        <v>15110</v>
      </c>
      <c r="D12248" t="s">
        <v>16662</v>
      </c>
      <c r="E12248" t="s">
        <v>27291</v>
      </c>
      <c r="F12248" t="s">
        <v>28669</v>
      </c>
      <c r="G12248" t="s">
        <v>28675</v>
      </c>
      <c r="H12248" t="s">
        <v>9998</v>
      </c>
      <c r="I12248" t="s">
        <v>28704</v>
      </c>
      <c r="J12248" t="s">
        <v>29221</v>
      </c>
      <c r="K12248" t="s">
        <v>37206</v>
      </c>
      <c r="M12248" t="s">
        <v>38431</v>
      </c>
      <c r="N12248" t="s">
        <v>41249</v>
      </c>
      <c r="O12248" t="s">
        <v>41250</v>
      </c>
      <c r="P12248">
        <v>0</v>
      </c>
      <c r="Q12248">
        <v>0</v>
      </c>
      <c r="R12248" t="s">
        <v>41267</v>
      </c>
      <c r="S12248" t="s">
        <v>42077</v>
      </c>
      <c r="T12248" t="s">
        <v>42679</v>
      </c>
      <c r="U12248" t="s">
        <v>53002</v>
      </c>
      <c r="W12248" t="s">
        <v>38431</v>
      </c>
      <c r="X12248" t="s">
        <v>41270</v>
      </c>
    </row>
    <row r="12249" spans="1:24">
      <c r="A12249">
        <f>HYPERLINK("https://www.philgeps.gov.ph/GEPSNONPILOT/Tender/SplashBidNoticeAbstractUI.aspx?menuIndex=3&amp;refID=7044014&amp;Result=3","7044014")</f>
        <v>0</v>
      </c>
      <c r="B12249" t="s">
        <v>909</v>
      </c>
      <c r="C12249" t="s">
        <v>15118</v>
      </c>
      <c r="D12249" t="s">
        <v>16662</v>
      </c>
      <c r="E12249" t="s">
        <v>27292</v>
      </c>
      <c r="F12249" t="s">
        <v>28669</v>
      </c>
      <c r="G12249" t="s">
        <v>28675</v>
      </c>
      <c r="H12249" t="s">
        <v>9998</v>
      </c>
      <c r="I12249" t="s">
        <v>11593</v>
      </c>
      <c r="J12249" t="s">
        <v>36325</v>
      </c>
      <c r="K12249" t="s">
        <v>37206</v>
      </c>
      <c r="M12249" t="s">
        <v>38431</v>
      </c>
      <c r="N12249" t="s">
        <v>41249</v>
      </c>
      <c r="O12249" t="s">
        <v>41250</v>
      </c>
      <c r="P12249">
        <v>0</v>
      </c>
      <c r="Q12249">
        <v>3</v>
      </c>
      <c r="R12249" t="s">
        <v>41267</v>
      </c>
      <c r="S12249" t="s">
        <v>42077</v>
      </c>
      <c r="T12249" t="s">
        <v>42679</v>
      </c>
      <c r="U12249" t="s">
        <v>53003</v>
      </c>
      <c r="W12249" t="s">
        <v>38431</v>
      </c>
      <c r="X12249" t="s">
        <v>41269</v>
      </c>
    </row>
    <row r="12250" spans="1:24">
      <c r="A12250">
        <f>HYPERLINK("https://www.philgeps.gov.ph/GEPSNONPILOT/Tender/SplashBidNoticeAbstractUI.aspx?menuIndex=3&amp;refID=7043022&amp;Result=3","7043022")</f>
        <v>0</v>
      </c>
      <c r="B12250" t="s">
        <v>909</v>
      </c>
      <c r="C12250" t="s">
        <v>15119</v>
      </c>
      <c r="D12250" t="s">
        <v>16662</v>
      </c>
      <c r="E12250" t="s">
        <v>27282</v>
      </c>
      <c r="F12250" t="s">
        <v>28669</v>
      </c>
      <c r="G12250" t="s">
        <v>28675</v>
      </c>
      <c r="H12250" t="s">
        <v>9998</v>
      </c>
      <c r="I12250" t="s">
        <v>6606</v>
      </c>
      <c r="J12250" t="s">
        <v>30791</v>
      </c>
      <c r="K12250" t="s">
        <v>37206</v>
      </c>
      <c r="M12250" t="s">
        <v>38431</v>
      </c>
      <c r="N12250" t="s">
        <v>41249</v>
      </c>
      <c r="O12250" t="s">
        <v>41250</v>
      </c>
      <c r="P12250">
        <v>0</v>
      </c>
      <c r="Q12250">
        <v>0</v>
      </c>
      <c r="R12250" t="s">
        <v>41267</v>
      </c>
      <c r="S12250" t="s">
        <v>42077</v>
      </c>
      <c r="T12250" t="s">
        <v>42679</v>
      </c>
      <c r="U12250" t="s">
        <v>52992</v>
      </c>
      <c r="W12250" t="s">
        <v>38431</v>
      </c>
      <c r="X12250" t="s">
        <v>41272</v>
      </c>
    </row>
    <row r="12251" spans="1:24">
      <c r="A12251">
        <f>HYPERLINK("https://www.philgeps.gov.ph/GEPSNONPILOT/Tender/SplashBidNoticeAbstractUI.aspx?menuIndex=3&amp;refID=7044006&amp;Result=3","7044006")</f>
        <v>0</v>
      </c>
      <c r="B12251" t="s">
        <v>909</v>
      </c>
      <c r="C12251" t="s">
        <v>15120</v>
      </c>
      <c r="D12251" t="s">
        <v>16662</v>
      </c>
      <c r="E12251" t="s">
        <v>27293</v>
      </c>
      <c r="F12251" t="s">
        <v>28669</v>
      </c>
      <c r="G12251" t="s">
        <v>28675</v>
      </c>
      <c r="H12251" t="s">
        <v>9998</v>
      </c>
      <c r="I12251" t="s">
        <v>5213</v>
      </c>
      <c r="J12251" t="s">
        <v>36326</v>
      </c>
      <c r="K12251" t="s">
        <v>37206</v>
      </c>
      <c r="M12251" t="s">
        <v>38431</v>
      </c>
      <c r="N12251" t="s">
        <v>41249</v>
      </c>
      <c r="O12251" t="s">
        <v>41250</v>
      </c>
      <c r="P12251">
        <v>0</v>
      </c>
      <c r="Q12251">
        <v>0</v>
      </c>
      <c r="R12251" t="s">
        <v>41267</v>
      </c>
      <c r="S12251" t="s">
        <v>42077</v>
      </c>
      <c r="T12251" t="s">
        <v>42679</v>
      </c>
      <c r="U12251" t="s">
        <v>53004</v>
      </c>
      <c r="W12251" t="s">
        <v>38431</v>
      </c>
      <c r="X12251" t="s">
        <v>41269</v>
      </c>
    </row>
    <row r="12252" spans="1:24">
      <c r="A12252">
        <f>HYPERLINK("https://www.philgeps.gov.ph/GEPSNONPILOT/Tender/SplashBidNoticeAbstractUI.aspx?menuIndex=3&amp;refID=7043987&amp;Result=3","7043987")</f>
        <v>0</v>
      </c>
      <c r="B12252" t="s">
        <v>909</v>
      </c>
      <c r="C12252" t="s">
        <v>15121</v>
      </c>
      <c r="D12252" t="s">
        <v>16662</v>
      </c>
      <c r="E12252" t="s">
        <v>27294</v>
      </c>
      <c r="F12252" t="s">
        <v>28669</v>
      </c>
      <c r="G12252" t="s">
        <v>28675</v>
      </c>
      <c r="H12252" t="s">
        <v>9998</v>
      </c>
      <c r="I12252" t="s">
        <v>5213</v>
      </c>
      <c r="J12252" t="s">
        <v>36327</v>
      </c>
      <c r="K12252" t="s">
        <v>37206</v>
      </c>
      <c r="M12252" t="s">
        <v>38431</v>
      </c>
      <c r="N12252" t="s">
        <v>41249</v>
      </c>
      <c r="O12252" t="s">
        <v>41250</v>
      </c>
      <c r="P12252">
        <v>0</v>
      </c>
      <c r="Q12252">
        <v>0</v>
      </c>
      <c r="R12252" t="s">
        <v>41267</v>
      </c>
      <c r="S12252" t="s">
        <v>42077</v>
      </c>
      <c r="T12252" t="s">
        <v>42679</v>
      </c>
      <c r="U12252" t="s">
        <v>53005</v>
      </c>
      <c r="W12252" t="s">
        <v>38431</v>
      </c>
      <c r="X12252" t="s">
        <v>41269</v>
      </c>
    </row>
    <row r="12253" spans="1:24">
      <c r="A12253">
        <f>HYPERLINK("https://www.philgeps.gov.ph/GEPSNONPILOT/Tender/SplashBidNoticeAbstractUI.aspx?menuIndex=3&amp;refID=7042246&amp;Result=3","7042246")</f>
        <v>0</v>
      </c>
      <c r="B12253" t="s">
        <v>394</v>
      </c>
      <c r="C12253" t="s">
        <v>15122</v>
      </c>
      <c r="D12253" t="s">
        <v>16675</v>
      </c>
      <c r="E12253" t="s">
        <v>27295</v>
      </c>
      <c r="F12253" t="s">
        <v>28669</v>
      </c>
      <c r="G12253" t="s">
        <v>28675</v>
      </c>
      <c r="H12253" t="s">
        <v>28686</v>
      </c>
      <c r="I12253" t="s">
        <v>28689</v>
      </c>
      <c r="J12253" t="s">
        <v>36328</v>
      </c>
      <c r="K12253" t="s">
        <v>37294</v>
      </c>
      <c r="L12253" t="s">
        <v>394</v>
      </c>
      <c r="M12253" t="s">
        <v>37878</v>
      </c>
      <c r="N12253" t="s">
        <v>41249</v>
      </c>
      <c r="O12253" t="s">
        <v>41250</v>
      </c>
      <c r="P12253">
        <v>0</v>
      </c>
      <c r="Q12253">
        <v>3</v>
      </c>
      <c r="R12253" t="s">
        <v>41267</v>
      </c>
      <c r="S12253" t="s">
        <v>42077</v>
      </c>
      <c r="T12253" t="s">
        <v>42678</v>
      </c>
      <c r="U12253" t="s">
        <v>53006</v>
      </c>
      <c r="V12253" t="s">
        <v>55282</v>
      </c>
      <c r="W12253" t="s">
        <v>37878</v>
      </c>
      <c r="X12253" t="s">
        <v>41272</v>
      </c>
    </row>
    <row r="12254" spans="1:24">
      <c r="A12254">
        <f>HYPERLINK("https://www.philgeps.gov.ph/GEPSNONPILOT/Tender/SplashBidNoticeAbstractUI.aspx?menuIndex=3&amp;refID=7043745&amp;Result=3","7043745")</f>
        <v>0</v>
      </c>
      <c r="B12254" t="s">
        <v>909</v>
      </c>
      <c r="C12254" t="s">
        <v>15123</v>
      </c>
      <c r="D12254" t="s">
        <v>16662</v>
      </c>
      <c r="E12254" t="s">
        <v>27296</v>
      </c>
      <c r="F12254" t="s">
        <v>28669</v>
      </c>
      <c r="G12254" t="s">
        <v>28675</v>
      </c>
      <c r="H12254" t="s">
        <v>9998</v>
      </c>
      <c r="I12254" t="s">
        <v>28704</v>
      </c>
      <c r="J12254" t="s">
        <v>36329</v>
      </c>
      <c r="K12254" t="s">
        <v>37206</v>
      </c>
      <c r="M12254" t="s">
        <v>38431</v>
      </c>
      <c r="N12254" t="s">
        <v>41249</v>
      </c>
      <c r="O12254" t="s">
        <v>41250</v>
      </c>
      <c r="P12254">
        <v>0</v>
      </c>
      <c r="Q12254">
        <v>0</v>
      </c>
      <c r="R12254" t="s">
        <v>41267</v>
      </c>
      <c r="S12254" t="s">
        <v>42077</v>
      </c>
      <c r="T12254" t="s">
        <v>42679</v>
      </c>
      <c r="U12254" t="s">
        <v>53007</v>
      </c>
      <c r="W12254" t="s">
        <v>38431</v>
      </c>
      <c r="X12254" t="s">
        <v>41270</v>
      </c>
    </row>
    <row r="12255" spans="1:24">
      <c r="A12255">
        <f>HYPERLINK("https://www.philgeps.gov.ph/GEPSNONPILOT/Tender/SplashBidNoticeAbstractUI.aspx?menuIndex=3&amp;refID=7043982&amp;Result=3","7043982")</f>
        <v>0</v>
      </c>
      <c r="B12255" t="s">
        <v>909</v>
      </c>
      <c r="C12255" t="s">
        <v>15124</v>
      </c>
      <c r="D12255" t="s">
        <v>16662</v>
      </c>
      <c r="E12255" t="s">
        <v>27297</v>
      </c>
      <c r="F12255" t="s">
        <v>28669</v>
      </c>
      <c r="G12255" t="s">
        <v>28675</v>
      </c>
      <c r="H12255" t="s">
        <v>9998</v>
      </c>
      <c r="I12255" t="s">
        <v>6128</v>
      </c>
      <c r="J12255" t="s">
        <v>31574</v>
      </c>
      <c r="K12255" t="s">
        <v>37206</v>
      </c>
      <c r="M12255" t="s">
        <v>38431</v>
      </c>
      <c r="N12255" t="s">
        <v>41249</v>
      </c>
      <c r="O12255" t="s">
        <v>41250</v>
      </c>
      <c r="P12255">
        <v>0</v>
      </c>
      <c r="Q12255">
        <v>1</v>
      </c>
      <c r="R12255" t="s">
        <v>41267</v>
      </c>
      <c r="S12255" t="s">
        <v>42077</v>
      </c>
      <c r="T12255" t="s">
        <v>42742</v>
      </c>
      <c r="U12255" t="s">
        <v>53008</v>
      </c>
      <c r="W12255" t="s">
        <v>38431</v>
      </c>
      <c r="X12255" t="s">
        <v>41269</v>
      </c>
    </row>
    <row r="12256" spans="1:24">
      <c r="A12256">
        <f>HYPERLINK("https://www.philgeps.gov.ph/GEPSNONPILOT/Tender/SplashBidNoticeAbstractUI.aspx?menuIndex=3&amp;refID=7043735&amp;Result=3","7043735")</f>
        <v>0</v>
      </c>
      <c r="B12256" t="s">
        <v>909</v>
      </c>
      <c r="C12256" t="s">
        <v>15125</v>
      </c>
      <c r="D12256" t="s">
        <v>16662</v>
      </c>
      <c r="E12256" t="s">
        <v>27298</v>
      </c>
      <c r="F12256" t="s">
        <v>28669</v>
      </c>
      <c r="G12256" t="s">
        <v>28675</v>
      </c>
      <c r="H12256" t="s">
        <v>9998</v>
      </c>
      <c r="I12256" t="s">
        <v>28714</v>
      </c>
      <c r="J12256" t="s">
        <v>29364</v>
      </c>
      <c r="K12256" t="s">
        <v>37206</v>
      </c>
      <c r="M12256" t="s">
        <v>38431</v>
      </c>
      <c r="N12256" t="s">
        <v>41249</v>
      </c>
      <c r="O12256" t="s">
        <v>41250</v>
      </c>
      <c r="P12256">
        <v>0</v>
      </c>
      <c r="Q12256">
        <v>7</v>
      </c>
      <c r="R12256" t="s">
        <v>41267</v>
      </c>
      <c r="S12256" t="s">
        <v>42077</v>
      </c>
      <c r="T12256" t="s">
        <v>42679</v>
      </c>
      <c r="U12256" t="s">
        <v>53009</v>
      </c>
      <c r="W12256" t="s">
        <v>38431</v>
      </c>
      <c r="X12256" t="s">
        <v>41270</v>
      </c>
    </row>
    <row r="12257" spans="1:24">
      <c r="A12257">
        <f>HYPERLINK("https://www.philgeps.gov.ph/GEPSNONPILOT/Tender/SplashBidNoticeAbstractUI.aspx?menuIndex=3&amp;refID=7044415&amp;Result=3","7044415")</f>
        <v>0</v>
      </c>
      <c r="B12257" t="s">
        <v>1485</v>
      </c>
      <c r="C12257" t="s">
        <v>15126</v>
      </c>
      <c r="D12257" t="s">
        <v>16642</v>
      </c>
      <c r="E12257" t="s">
        <v>27299</v>
      </c>
      <c r="F12257" t="s">
        <v>28669</v>
      </c>
      <c r="G12257" t="s">
        <v>28675</v>
      </c>
      <c r="H12257" t="s">
        <v>9998</v>
      </c>
      <c r="I12257" t="s">
        <v>28687</v>
      </c>
      <c r="J12257" t="s">
        <v>29002</v>
      </c>
      <c r="K12257" t="s">
        <v>37205</v>
      </c>
      <c r="M12257" t="s">
        <v>39055</v>
      </c>
      <c r="N12257" t="s">
        <v>41249</v>
      </c>
      <c r="O12257" t="s">
        <v>41250</v>
      </c>
      <c r="P12257">
        <v>0</v>
      </c>
      <c r="Q12257">
        <v>8</v>
      </c>
      <c r="R12257" t="s">
        <v>41267</v>
      </c>
      <c r="S12257" t="s">
        <v>42077</v>
      </c>
      <c r="T12257" t="s">
        <v>43148</v>
      </c>
      <c r="U12257" t="s">
        <v>46479</v>
      </c>
      <c r="W12257" t="s">
        <v>39055</v>
      </c>
      <c r="X12257" t="s">
        <v>41268</v>
      </c>
    </row>
    <row r="12258" spans="1:24">
      <c r="A12258">
        <f>HYPERLINK("https://www.philgeps.gov.ph/GEPSNONPILOT/Tender/SplashBidNoticeAbstractUI.aspx?menuIndex=3&amp;refID=7044438&amp;Result=3","7044438")</f>
        <v>0</v>
      </c>
      <c r="B12258" t="s">
        <v>3174</v>
      </c>
      <c r="C12258" t="s">
        <v>13172</v>
      </c>
      <c r="D12258" t="s">
        <v>16654</v>
      </c>
      <c r="E12258" t="s">
        <v>27300</v>
      </c>
      <c r="F12258" t="s">
        <v>28669</v>
      </c>
      <c r="G12258" t="s">
        <v>28675</v>
      </c>
      <c r="H12258" t="s">
        <v>28686</v>
      </c>
      <c r="I12258" t="s">
        <v>28689</v>
      </c>
      <c r="J12258" t="s">
        <v>29112</v>
      </c>
      <c r="K12258" t="s">
        <v>37220</v>
      </c>
      <c r="M12258" t="s">
        <v>40974</v>
      </c>
      <c r="N12258" t="s">
        <v>41249</v>
      </c>
      <c r="O12258" t="s">
        <v>41250</v>
      </c>
      <c r="P12258">
        <v>0</v>
      </c>
      <c r="Q12258">
        <v>0</v>
      </c>
      <c r="R12258" t="s">
        <v>41267</v>
      </c>
      <c r="S12258" t="s">
        <v>42077</v>
      </c>
      <c r="T12258" t="s">
        <v>42670</v>
      </c>
      <c r="U12258" t="s">
        <v>53010</v>
      </c>
      <c r="W12258" t="s">
        <v>40974</v>
      </c>
      <c r="X12258" t="s">
        <v>41268</v>
      </c>
    </row>
    <row r="12259" spans="1:24">
      <c r="A12259">
        <f>HYPERLINK("https://www.philgeps.gov.ph/GEPSNONPILOT/Tender/SplashBidNoticeAbstractUI.aspx?menuIndex=3&amp;refID=7044382&amp;Result=3","7044382")</f>
        <v>0</v>
      </c>
      <c r="B12259" t="s">
        <v>893</v>
      </c>
      <c r="C12259" t="s">
        <v>15127</v>
      </c>
      <c r="D12259" t="s">
        <v>16608</v>
      </c>
      <c r="E12259" t="s">
        <v>27301</v>
      </c>
      <c r="F12259" t="s">
        <v>28669</v>
      </c>
      <c r="G12259" t="s">
        <v>28676</v>
      </c>
      <c r="H12259" t="s">
        <v>9998</v>
      </c>
      <c r="I12259" t="s">
        <v>11142</v>
      </c>
      <c r="J12259" t="s">
        <v>28878</v>
      </c>
      <c r="K12259" t="s">
        <v>37206</v>
      </c>
      <c r="M12259" t="s">
        <v>38414</v>
      </c>
      <c r="N12259" t="s">
        <v>41249</v>
      </c>
      <c r="O12259" t="s">
        <v>41250</v>
      </c>
      <c r="Q12259">
        <v>10</v>
      </c>
      <c r="R12259" t="s">
        <v>41267</v>
      </c>
      <c r="S12259" t="s">
        <v>42045</v>
      </c>
      <c r="T12259" t="s">
        <v>42711</v>
      </c>
      <c r="U12259" t="s">
        <v>53011</v>
      </c>
      <c r="W12259" t="s">
        <v>38414</v>
      </c>
      <c r="X12259" t="s">
        <v>41268</v>
      </c>
    </row>
    <row r="12260" spans="1:24">
      <c r="A12260">
        <f>HYPERLINK("https://www.philgeps.gov.ph/GEPSNONPILOT/Tender/SplashBidNoticeAbstractUI.aspx?menuIndex=3&amp;refID=7044361&amp;Result=3","7044361")</f>
        <v>0</v>
      </c>
      <c r="B12260" t="s">
        <v>2149</v>
      </c>
      <c r="C12260" t="s">
        <v>15128</v>
      </c>
      <c r="D12260" t="s">
        <v>16676</v>
      </c>
      <c r="E12260" t="s">
        <v>27302</v>
      </c>
      <c r="F12260" t="s">
        <v>28669</v>
      </c>
      <c r="G12260" t="s">
        <v>28675</v>
      </c>
      <c r="H12260" t="s">
        <v>9998</v>
      </c>
      <c r="I12260" t="s">
        <v>28722</v>
      </c>
      <c r="J12260" t="s">
        <v>36330</v>
      </c>
      <c r="K12260" t="s">
        <v>37205</v>
      </c>
      <c r="M12260" t="s">
        <v>39794</v>
      </c>
      <c r="N12260" t="s">
        <v>41249</v>
      </c>
      <c r="O12260" t="s">
        <v>41250</v>
      </c>
      <c r="P12260">
        <v>0</v>
      </c>
      <c r="Q12260">
        <v>1</v>
      </c>
      <c r="R12260" t="s">
        <v>41267</v>
      </c>
      <c r="S12260" t="s">
        <v>42077</v>
      </c>
      <c r="T12260" t="s">
        <v>42759</v>
      </c>
      <c r="U12260" t="s">
        <v>53012</v>
      </c>
      <c r="W12260" t="s">
        <v>39794</v>
      </c>
      <c r="X12260" t="s">
        <v>41268</v>
      </c>
    </row>
    <row r="12261" spans="1:24">
      <c r="A12261">
        <f>HYPERLINK("https://www.philgeps.gov.ph/GEPSNONPILOT/Tender/SplashBidNoticeAbstractUI.aspx?menuIndex=3&amp;refID=7043719&amp;Result=3","7043719")</f>
        <v>0</v>
      </c>
      <c r="B12261" t="s">
        <v>909</v>
      </c>
      <c r="C12261" t="s">
        <v>15129</v>
      </c>
      <c r="D12261" t="s">
        <v>16662</v>
      </c>
      <c r="E12261" t="s">
        <v>27303</v>
      </c>
      <c r="F12261" t="s">
        <v>28669</v>
      </c>
      <c r="G12261" t="s">
        <v>28675</v>
      </c>
      <c r="H12261" t="s">
        <v>9998</v>
      </c>
      <c r="I12261" t="s">
        <v>11142</v>
      </c>
      <c r="J12261" t="s">
        <v>36331</v>
      </c>
      <c r="K12261" t="s">
        <v>37206</v>
      </c>
      <c r="M12261" t="s">
        <v>38431</v>
      </c>
      <c r="N12261" t="s">
        <v>41249</v>
      </c>
      <c r="O12261" t="s">
        <v>41250</v>
      </c>
      <c r="P12261">
        <v>0</v>
      </c>
      <c r="Q12261">
        <v>0</v>
      </c>
      <c r="R12261" t="s">
        <v>41267</v>
      </c>
      <c r="S12261" t="s">
        <v>42077</v>
      </c>
      <c r="T12261" t="s">
        <v>42679</v>
      </c>
      <c r="U12261" t="s">
        <v>53013</v>
      </c>
      <c r="W12261" t="s">
        <v>38431</v>
      </c>
      <c r="X12261" t="s">
        <v>41270</v>
      </c>
    </row>
    <row r="12262" spans="1:24">
      <c r="A12262">
        <f>HYPERLINK("https://www.philgeps.gov.ph/GEPSNONPILOT/Tender/SplashBidNoticeAbstractUI.aspx?menuIndex=3&amp;refID=7043965&amp;Result=3","7043965")</f>
        <v>0</v>
      </c>
      <c r="B12262" t="s">
        <v>909</v>
      </c>
      <c r="C12262" t="s">
        <v>15130</v>
      </c>
      <c r="D12262" t="s">
        <v>16662</v>
      </c>
      <c r="E12262" t="s">
        <v>27304</v>
      </c>
      <c r="F12262" t="s">
        <v>28669</v>
      </c>
      <c r="G12262" t="s">
        <v>28675</v>
      </c>
      <c r="H12262" t="s">
        <v>9998</v>
      </c>
      <c r="I12262" t="s">
        <v>6606</v>
      </c>
      <c r="J12262" t="s">
        <v>36332</v>
      </c>
      <c r="K12262" t="s">
        <v>37206</v>
      </c>
      <c r="M12262" t="s">
        <v>38431</v>
      </c>
      <c r="N12262" t="s">
        <v>41249</v>
      </c>
      <c r="O12262" t="s">
        <v>41250</v>
      </c>
      <c r="P12262">
        <v>0</v>
      </c>
      <c r="Q12262">
        <v>0</v>
      </c>
      <c r="R12262" t="s">
        <v>41267</v>
      </c>
      <c r="S12262" t="s">
        <v>42077</v>
      </c>
      <c r="T12262" t="s">
        <v>42679</v>
      </c>
      <c r="U12262" t="s">
        <v>53014</v>
      </c>
      <c r="W12262" t="s">
        <v>38431</v>
      </c>
      <c r="X12262" t="s">
        <v>41269</v>
      </c>
    </row>
    <row r="12263" spans="1:24">
      <c r="A12263">
        <f>HYPERLINK("https://www.philgeps.gov.ph/GEPSNONPILOT/Tender/SplashBidNoticeAbstractUI.aspx?menuIndex=3&amp;refID=7043961&amp;Result=3","7043961")</f>
        <v>0</v>
      </c>
      <c r="B12263" t="s">
        <v>909</v>
      </c>
      <c r="C12263" t="s">
        <v>15131</v>
      </c>
      <c r="D12263" t="s">
        <v>16662</v>
      </c>
      <c r="E12263" t="s">
        <v>27305</v>
      </c>
      <c r="F12263" t="s">
        <v>28669</v>
      </c>
      <c r="G12263" t="s">
        <v>28675</v>
      </c>
      <c r="H12263" t="s">
        <v>9998</v>
      </c>
      <c r="I12263" t="s">
        <v>7352</v>
      </c>
      <c r="J12263" t="s">
        <v>29203</v>
      </c>
      <c r="K12263" t="s">
        <v>37206</v>
      </c>
      <c r="M12263" t="s">
        <v>38431</v>
      </c>
      <c r="N12263" t="s">
        <v>41249</v>
      </c>
      <c r="O12263" t="s">
        <v>41250</v>
      </c>
      <c r="P12263">
        <v>0</v>
      </c>
      <c r="Q12263">
        <v>3</v>
      </c>
      <c r="R12263" t="s">
        <v>41267</v>
      </c>
      <c r="S12263" t="s">
        <v>42077</v>
      </c>
      <c r="T12263" t="s">
        <v>42679</v>
      </c>
      <c r="U12263" t="s">
        <v>53015</v>
      </c>
      <c r="W12263" t="s">
        <v>38431</v>
      </c>
      <c r="X12263" t="s">
        <v>41269</v>
      </c>
    </row>
    <row r="12264" spans="1:24">
      <c r="A12264">
        <f>HYPERLINK("https://www.philgeps.gov.ph/GEPSNONPILOT/Tender/SplashBidNoticeAbstractUI.aspx?menuIndex=3&amp;refID=7043862&amp;Result=3","7043862")</f>
        <v>0</v>
      </c>
      <c r="B12264" t="s">
        <v>1686</v>
      </c>
      <c r="C12264" t="s">
        <v>15132</v>
      </c>
      <c r="E12264" t="s">
        <v>27306</v>
      </c>
      <c r="F12264" t="s">
        <v>28669</v>
      </c>
      <c r="G12264" t="s">
        <v>28675</v>
      </c>
      <c r="H12264" t="s">
        <v>28686</v>
      </c>
      <c r="I12264" t="s">
        <v>28752</v>
      </c>
      <c r="J12264" t="s">
        <v>28836</v>
      </c>
      <c r="K12264" t="s">
        <v>37206</v>
      </c>
      <c r="M12264" t="s">
        <v>39280</v>
      </c>
      <c r="N12264" t="s">
        <v>41249</v>
      </c>
      <c r="O12264" t="s">
        <v>41250</v>
      </c>
      <c r="P12264">
        <v>0</v>
      </c>
      <c r="Q12264">
        <v>1</v>
      </c>
      <c r="R12264" t="s">
        <v>41267</v>
      </c>
      <c r="S12264" t="s">
        <v>42077</v>
      </c>
      <c r="T12264" t="s">
        <v>42673</v>
      </c>
      <c r="U12264" t="s">
        <v>47094</v>
      </c>
      <c r="W12264" t="s">
        <v>39280</v>
      </c>
      <c r="X12264" t="s">
        <v>41270</v>
      </c>
    </row>
    <row r="12265" spans="1:24">
      <c r="A12265">
        <f>HYPERLINK("https://www.philgeps.gov.ph/GEPSNONPILOT/Tender/SplashBidNoticeAbstractUI.aspx?menuIndex=3&amp;refID=7043794&amp;Result=3","7043794")</f>
        <v>0</v>
      </c>
      <c r="B12265" t="s">
        <v>909</v>
      </c>
      <c r="C12265" t="s">
        <v>15133</v>
      </c>
      <c r="D12265" t="s">
        <v>16662</v>
      </c>
      <c r="E12265" t="s">
        <v>27307</v>
      </c>
      <c r="F12265" t="s">
        <v>28669</v>
      </c>
      <c r="G12265" t="s">
        <v>28675</v>
      </c>
      <c r="H12265" t="s">
        <v>9998</v>
      </c>
      <c r="I12265" t="s">
        <v>11593</v>
      </c>
      <c r="J12265" t="s">
        <v>36333</v>
      </c>
      <c r="K12265" t="s">
        <v>37206</v>
      </c>
      <c r="M12265" t="s">
        <v>38431</v>
      </c>
      <c r="N12265" t="s">
        <v>41249</v>
      </c>
      <c r="O12265" t="s">
        <v>41250</v>
      </c>
      <c r="P12265">
        <v>0</v>
      </c>
      <c r="Q12265">
        <v>5</v>
      </c>
      <c r="R12265" t="s">
        <v>41267</v>
      </c>
      <c r="S12265" t="s">
        <v>42077</v>
      </c>
      <c r="T12265" t="s">
        <v>42679</v>
      </c>
      <c r="U12265" t="s">
        <v>53016</v>
      </c>
      <c r="W12265" t="s">
        <v>38431</v>
      </c>
      <c r="X12265" t="s">
        <v>41270</v>
      </c>
    </row>
    <row r="12266" spans="1:24">
      <c r="A12266">
        <f>HYPERLINK("https://www.philgeps.gov.ph/GEPSNONPILOT/Tender/SplashBidNoticeAbstractUI.aspx?menuIndex=3&amp;refID=7044353&amp;Result=3","7044353")</f>
        <v>0</v>
      </c>
      <c r="B12266" t="s">
        <v>1793</v>
      </c>
      <c r="C12266" t="s">
        <v>15134</v>
      </c>
      <c r="D12266" t="s">
        <v>16659</v>
      </c>
      <c r="E12266" t="s">
        <v>27308</v>
      </c>
      <c r="F12266" t="s">
        <v>28669</v>
      </c>
      <c r="G12266" t="s">
        <v>28675</v>
      </c>
      <c r="H12266" t="s">
        <v>28686</v>
      </c>
      <c r="I12266" t="s">
        <v>28689</v>
      </c>
      <c r="J12266" t="s">
        <v>35003</v>
      </c>
      <c r="K12266" t="s">
        <v>37220</v>
      </c>
      <c r="M12266" t="s">
        <v>39400</v>
      </c>
      <c r="N12266" t="s">
        <v>41249</v>
      </c>
      <c r="O12266" t="s">
        <v>41250</v>
      </c>
      <c r="P12266">
        <v>0</v>
      </c>
      <c r="Q12266">
        <v>1</v>
      </c>
      <c r="R12266" t="s">
        <v>41267</v>
      </c>
      <c r="S12266" t="s">
        <v>42077</v>
      </c>
      <c r="T12266" t="s">
        <v>42663</v>
      </c>
      <c r="U12266" t="s">
        <v>53017</v>
      </c>
      <c r="V12266" t="s">
        <v>55727</v>
      </c>
      <c r="W12266" t="s">
        <v>39400</v>
      </c>
      <c r="X12266" t="s">
        <v>41268</v>
      </c>
    </row>
    <row r="12267" spans="1:24">
      <c r="A12267">
        <f>HYPERLINK("https://www.philgeps.gov.ph/GEPSNONPILOT/Tender/SplashBidNoticeAbstractUI.aspx?menuIndex=3&amp;refID=7043977&amp;Result=3","7043977")</f>
        <v>0</v>
      </c>
      <c r="B12267" t="s">
        <v>909</v>
      </c>
      <c r="C12267" t="s">
        <v>15135</v>
      </c>
      <c r="D12267" t="s">
        <v>16662</v>
      </c>
      <c r="E12267" t="s">
        <v>27309</v>
      </c>
      <c r="F12267" t="s">
        <v>28669</v>
      </c>
      <c r="G12267" t="s">
        <v>28675</v>
      </c>
      <c r="H12267" t="s">
        <v>9998</v>
      </c>
      <c r="I12267" t="s">
        <v>28716</v>
      </c>
      <c r="J12267" t="s">
        <v>30490</v>
      </c>
      <c r="K12267" t="s">
        <v>37206</v>
      </c>
      <c r="M12267" t="s">
        <v>38431</v>
      </c>
      <c r="N12267" t="s">
        <v>41249</v>
      </c>
      <c r="O12267" t="s">
        <v>41250</v>
      </c>
      <c r="P12267">
        <v>0</v>
      </c>
      <c r="Q12267">
        <v>0</v>
      </c>
      <c r="R12267" t="s">
        <v>41267</v>
      </c>
      <c r="S12267" t="s">
        <v>42077</v>
      </c>
      <c r="T12267" t="s">
        <v>42679</v>
      </c>
      <c r="U12267" t="s">
        <v>53018</v>
      </c>
      <c r="W12267" t="s">
        <v>38431</v>
      </c>
      <c r="X12267" t="s">
        <v>41269</v>
      </c>
    </row>
    <row r="12268" spans="1:24">
      <c r="A12268">
        <f>HYPERLINK("https://www.philgeps.gov.ph/GEPSNONPILOT/Tender/SplashBidNoticeAbstractUI.aspx?menuIndex=3&amp;refID=7044441&amp;Result=3","7044441")</f>
        <v>0</v>
      </c>
      <c r="B12268" t="s">
        <v>2082</v>
      </c>
      <c r="C12268" t="s">
        <v>15136</v>
      </c>
      <c r="D12268" t="s">
        <v>16608</v>
      </c>
      <c r="E12268" t="s">
        <v>27310</v>
      </c>
      <c r="F12268" t="s">
        <v>28669</v>
      </c>
      <c r="G12268" t="s">
        <v>28675</v>
      </c>
      <c r="H12268" t="s">
        <v>9998</v>
      </c>
      <c r="I12268" t="s">
        <v>28722</v>
      </c>
      <c r="J12268" t="s">
        <v>36334</v>
      </c>
      <c r="K12268" t="s">
        <v>37299</v>
      </c>
      <c r="M12268" t="s">
        <v>39723</v>
      </c>
      <c r="N12268" t="s">
        <v>41249</v>
      </c>
      <c r="O12268" t="s">
        <v>41250</v>
      </c>
      <c r="Q12268">
        <v>10</v>
      </c>
      <c r="R12268" t="s">
        <v>41267</v>
      </c>
      <c r="S12268" t="s">
        <v>42082</v>
      </c>
      <c r="T12268" t="s">
        <v>42754</v>
      </c>
      <c r="U12268" t="s">
        <v>53019</v>
      </c>
      <c r="W12268" t="s">
        <v>39723</v>
      </c>
      <c r="X12268" t="s">
        <v>41268</v>
      </c>
    </row>
    <row r="12269" spans="1:24">
      <c r="A12269">
        <f>HYPERLINK("https://www.philgeps.gov.ph/GEPSNONPILOT/Tender/SplashBidNoticeAbstractUI.aspx?menuIndex=3&amp;refID=7043903&amp;Result=3","7043903")</f>
        <v>0</v>
      </c>
      <c r="B12269" t="s">
        <v>3216</v>
      </c>
      <c r="C12269" t="s">
        <v>15137</v>
      </c>
      <c r="D12269" t="s">
        <v>16684</v>
      </c>
      <c r="E12269" t="s">
        <v>16707</v>
      </c>
      <c r="F12269" t="s">
        <v>28671</v>
      </c>
      <c r="G12269" t="s">
        <v>28675</v>
      </c>
      <c r="H12269" t="s">
        <v>9998</v>
      </c>
      <c r="I12269" t="s">
        <v>7352</v>
      </c>
      <c r="J12269" t="s">
        <v>28878</v>
      </c>
      <c r="K12269" t="s">
        <v>37210</v>
      </c>
      <c r="M12269" t="s">
        <v>41030</v>
      </c>
      <c r="N12269" t="s">
        <v>41249</v>
      </c>
      <c r="O12269" t="s">
        <v>41250</v>
      </c>
      <c r="P12269">
        <v>0</v>
      </c>
      <c r="Q12269">
        <v>3</v>
      </c>
      <c r="R12269" t="s">
        <v>41267</v>
      </c>
      <c r="S12269" t="s">
        <v>42077</v>
      </c>
      <c r="T12269" t="s">
        <v>42743</v>
      </c>
      <c r="U12269" t="s">
        <v>53020</v>
      </c>
      <c r="W12269" t="s">
        <v>41030</v>
      </c>
      <c r="X12269" t="s">
        <v>41270</v>
      </c>
    </row>
    <row r="12270" spans="1:24">
      <c r="A12270">
        <f>HYPERLINK("https://www.philgeps.gov.ph/GEPSNONPILOT/Tender/SplashBidNoticeAbstractUI.aspx?menuIndex=3&amp;refID=7044653&amp;Result=3","7044653")</f>
        <v>0</v>
      </c>
      <c r="B12270" t="s">
        <v>3217</v>
      </c>
      <c r="C12270" t="s">
        <v>15138</v>
      </c>
      <c r="D12270" t="s">
        <v>16608</v>
      </c>
      <c r="E12270" t="s">
        <v>27311</v>
      </c>
      <c r="F12270" t="s">
        <v>28669</v>
      </c>
      <c r="G12270" t="s">
        <v>28675</v>
      </c>
      <c r="H12270" t="s">
        <v>9998</v>
      </c>
      <c r="I12270" t="s">
        <v>28693</v>
      </c>
      <c r="J12270" t="s">
        <v>36335</v>
      </c>
      <c r="K12270" t="s">
        <v>37213</v>
      </c>
      <c r="M12270" t="s">
        <v>41031</v>
      </c>
      <c r="N12270" t="s">
        <v>41249</v>
      </c>
      <c r="O12270" t="s">
        <v>41250</v>
      </c>
      <c r="P12270">
        <v>0</v>
      </c>
      <c r="Q12270">
        <v>10</v>
      </c>
      <c r="R12270" t="s">
        <v>41267</v>
      </c>
      <c r="S12270" t="s">
        <v>42077</v>
      </c>
      <c r="T12270" t="s">
        <v>43149</v>
      </c>
      <c r="U12270" t="s">
        <v>53021</v>
      </c>
      <c r="V12270" t="s">
        <v>55728</v>
      </c>
      <c r="W12270" t="s">
        <v>41031</v>
      </c>
      <c r="X12270" t="s">
        <v>41268</v>
      </c>
    </row>
    <row r="12271" spans="1:24">
      <c r="A12271">
        <f>HYPERLINK("https://www.philgeps.gov.ph/GEPSNONPILOT/Tender/SplashBidNoticeAbstractUI.aspx?menuIndex=3&amp;refID=7043723&amp;Result=3","7043723")</f>
        <v>0</v>
      </c>
      <c r="B12271" t="s">
        <v>909</v>
      </c>
      <c r="C12271" t="s">
        <v>15139</v>
      </c>
      <c r="D12271" t="s">
        <v>16662</v>
      </c>
      <c r="E12271" t="s">
        <v>27312</v>
      </c>
      <c r="F12271" t="s">
        <v>28669</v>
      </c>
      <c r="G12271" t="s">
        <v>28675</v>
      </c>
      <c r="H12271" t="s">
        <v>9998</v>
      </c>
      <c r="I12271" t="s">
        <v>28704</v>
      </c>
      <c r="J12271" t="s">
        <v>36336</v>
      </c>
      <c r="K12271" t="s">
        <v>37206</v>
      </c>
      <c r="M12271" t="s">
        <v>38431</v>
      </c>
      <c r="N12271" t="s">
        <v>41249</v>
      </c>
      <c r="O12271" t="s">
        <v>41250</v>
      </c>
      <c r="P12271">
        <v>0</v>
      </c>
      <c r="Q12271">
        <v>0</v>
      </c>
      <c r="R12271" t="s">
        <v>41267</v>
      </c>
      <c r="S12271" t="s">
        <v>42077</v>
      </c>
      <c r="T12271" t="s">
        <v>42679</v>
      </c>
      <c r="U12271" t="s">
        <v>53022</v>
      </c>
      <c r="W12271" t="s">
        <v>38431</v>
      </c>
      <c r="X12271" t="s">
        <v>41270</v>
      </c>
    </row>
    <row r="12272" spans="1:24">
      <c r="A12272">
        <f>HYPERLINK("https://www.philgeps.gov.ph/GEPSNONPILOT/Tender/SplashBidNoticeAbstractUI.aspx?menuIndex=3&amp;refID=7044613&amp;Result=3","7044613")</f>
        <v>0</v>
      </c>
      <c r="B12272" t="s">
        <v>531</v>
      </c>
      <c r="C12272" t="s">
        <v>15140</v>
      </c>
      <c r="D12272" t="s">
        <v>16611</v>
      </c>
      <c r="E12272" t="s">
        <v>27313</v>
      </c>
      <c r="F12272" t="s">
        <v>28669</v>
      </c>
      <c r="G12272" t="s">
        <v>28675</v>
      </c>
      <c r="H12272" t="s">
        <v>9998</v>
      </c>
      <c r="I12272" t="s">
        <v>15140</v>
      </c>
      <c r="J12272" t="s">
        <v>36337</v>
      </c>
      <c r="K12272" t="s">
        <v>37210</v>
      </c>
      <c r="M12272" t="s">
        <v>38022</v>
      </c>
      <c r="N12272" t="s">
        <v>41249</v>
      </c>
      <c r="O12272" t="s">
        <v>41250</v>
      </c>
      <c r="P12272">
        <v>0</v>
      </c>
      <c r="Q12272">
        <v>0</v>
      </c>
      <c r="R12272" t="s">
        <v>41267</v>
      </c>
      <c r="S12272" t="s">
        <v>42077</v>
      </c>
      <c r="T12272" t="s">
        <v>42679</v>
      </c>
      <c r="U12272" t="s">
        <v>53023</v>
      </c>
      <c r="W12272" t="s">
        <v>38022</v>
      </c>
      <c r="X12272" t="s">
        <v>41268</v>
      </c>
    </row>
    <row r="12273" spans="1:24">
      <c r="A12273">
        <f>HYPERLINK("https://www.philgeps.gov.ph/GEPSNONPILOT/Tender/SplashBidNoticeAbstractUI.aspx?menuIndex=3&amp;refID=7043791&amp;Result=3","7043791")</f>
        <v>0</v>
      </c>
      <c r="B12273" t="s">
        <v>909</v>
      </c>
      <c r="C12273" t="s">
        <v>15141</v>
      </c>
      <c r="D12273" t="s">
        <v>16662</v>
      </c>
      <c r="E12273" t="s">
        <v>27314</v>
      </c>
      <c r="F12273" t="s">
        <v>28669</v>
      </c>
      <c r="G12273" t="s">
        <v>28675</v>
      </c>
      <c r="H12273" t="s">
        <v>9998</v>
      </c>
      <c r="I12273" t="s">
        <v>11593</v>
      </c>
      <c r="J12273" t="s">
        <v>29477</v>
      </c>
      <c r="K12273" t="s">
        <v>37206</v>
      </c>
      <c r="M12273" t="s">
        <v>38431</v>
      </c>
      <c r="N12273" t="s">
        <v>41249</v>
      </c>
      <c r="O12273" t="s">
        <v>41250</v>
      </c>
      <c r="P12273">
        <v>0</v>
      </c>
      <c r="Q12273">
        <v>4</v>
      </c>
      <c r="R12273" t="s">
        <v>41267</v>
      </c>
      <c r="S12273" t="s">
        <v>42077</v>
      </c>
      <c r="T12273" t="s">
        <v>42679</v>
      </c>
      <c r="U12273" t="s">
        <v>53024</v>
      </c>
      <c r="W12273" t="s">
        <v>38431</v>
      </c>
      <c r="X12273" t="s">
        <v>41270</v>
      </c>
    </row>
    <row r="12274" spans="1:24">
      <c r="A12274">
        <f>HYPERLINK("https://www.philgeps.gov.ph/GEPSNONPILOT/Tender/SplashBidNoticeAbstractUI.aspx?menuIndex=3&amp;refID=7044359&amp;Result=3","7044359")</f>
        <v>0</v>
      </c>
      <c r="B12274" t="s">
        <v>893</v>
      </c>
      <c r="C12274" t="s">
        <v>15142</v>
      </c>
      <c r="D12274" t="s">
        <v>16608</v>
      </c>
      <c r="E12274" t="s">
        <v>27315</v>
      </c>
      <c r="F12274" t="s">
        <v>28669</v>
      </c>
      <c r="G12274" t="s">
        <v>28676</v>
      </c>
      <c r="H12274" t="s">
        <v>9998</v>
      </c>
      <c r="I12274" t="s">
        <v>28704</v>
      </c>
      <c r="J12274" t="s">
        <v>29250</v>
      </c>
      <c r="K12274" t="s">
        <v>37206</v>
      </c>
      <c r="M12274" t="s">
        <v>38414</v>
      </c>
      <c r="N12274" t="s">
        <v>41249</v>
      </c>
      <c r="O12274" t="s">
        <v>41250</v>
      </c>
      <c r="Q12274">
        <v>1</v>
      </c>
      <c r="R12274" t="s">
        <v>41267</v>
      </c>
      <c r="S12274" t="s">
        <v>42040</v>
      </c>
      <c r="T12274" t="s">
        <v>42711</v>
      </c>
      <c r="U12274" t="s">
        <v>50999</v>
      </c>
      <c r="W12274" t="s">
        <v>38414</v>
      </c>
      <c r="X12274" t="s">
        <v>41268</v>
      </c>
    </row>
    <row r="12275" spans="1:24">
      <c r="A12275">
        <f>HYPERLINK("https://www.philgeps.gov.ph/GEPSNONPILOT/Tender/SplashBidNoticeAbstractUI.aspx?menuIndex=3&amp;refID=7044687&amp;Result=3","7044687")</f>
        <v>0</v>
      </c>
      <c r="B12275" t="s">
        <v>619</v>
      </c>
      <c r="C12275" t="s">
        <v>15143</v>
      </c>
      <c r="D12275" t="s">
        <v>16640</v>
      </c>
      <c r="E12275" t="s">
        <v>27316</v>
      </c>
      <c r="F12275" t="s">
        <v>28669</v>
      </c>
      <c r="G12275" t="s">
        <v>28675</v>
      </c>
      <c r="H12275" t="s">
        <v>28686</v>
      </c>
      <c r="I12275" t="s">
        <v>28696</v>
      </c>
      <c r="J12275" t="s">
        <v>36338</v>
      </c>
      <c r="K12275" t="s">
        <v>37213</v>
      </c>
      <c r="M12275" t="s">
        <v>38119</v>
      </c>
      <c r="N12275" t="s">
        <v>41249</v>
      </c>
      <c r="O12275" t="s">
        <v>41250</v>
      </c>
      <c r="P12275">
        <v>0</v>
      </c>
      <c r="Q12275">
        <v>9</v>
      </c>
      <c r="R12275" t="s">
        <v>41267</v>
      </c>
      <c r="S12275" t="s">
        <v>42077</v>
      </c>
      <c r="T12275" t="s">
        <v>42679</v>
      </c>
      <c r="U12275" t="s">
        <v>44333</v>
      </c>
      <c r="W12275" t="s">
        <v>38119</v>
      </c>
      <c r="X12275" t="s">
        <v>41268</v>
      </c>
    </row>
    <row r="12276" spans="1:24">
      <c r="A12276">
        <f>HYPERLINK("https://www.philgeps.gov.ph/GEPSNONPILOT/Tender/SplashBidNoticeAbstractUI.aspx?menuIndex=3&amp;refID=7044609&amp;Result=3","7044609")</f>
        <v>0</v>
      </c>
      <c r="B12276" t="s">
        <v>303</v>
      </c>
      <c r="C12276" t="s">
        <v>15144</v>
      </c>
      <c r="E12276" t="s">
        <v>27317</v>
      </c>
      <c r="F12276" t="s">
        <v>28669</v>
      </c>
      <c r="G12276" t="s">
        <v>28675</v>
      </c>
      <c r="H12276" t="s">
        <v>9998</v>
      </c>
      <c r="I12276" t="s">
        <v>7352</v>
      </c>
      <c r="J12276" t="s">
        <v>36339</v>
      </c>
      <c r="K12276" t="s">
        <v>37205</v>
      </c>
      <c r="M12276" t="s">
        <v>37782</v>
      </c>
      <c r="N12276" t="s">
        <v>41249</v>
      </c>
      <c r="O12276" t="s">
        <v>41250</v>
      </c>
      <c r="P12276">
        <v>0</v>
      </c>
      <c r="Q12276">
        <v>1</v>
      </c>
      <c r="R12276" t="s">
        <v>41267</v>
      </c>
      <c r="S12276" t="s">
        <v>42077</v>
      </c>
      <c r="T12276" t="s">
        <v>42754</v>
      </c>
      <c r="U12276" t="s">
        <v>53025</v>
      </c>
      <c r="V12276" t="s">
        <v>55729</v>
      </c>
      <c r="W12276" t="s">
        <v>37782</v>
      </c>
      <c r="X12276" t="s">
        <v>41268</v>
      </c>
    </row>
    <row r="12277" spans="1:24">
      <c r="A12277">
        <f>HYPERLINK("https://www.philgeps.gov.ph/GEPSNONPILOT/Tender/SplashBidNoticeAbstractUI.aspx?menuIndex=3&amp;refID=7044596&amp;Result=3","7044596")</f>
        <v>0</v>
      </c>
      <c r="B12277" t="s">
        <v>3218</v>
      </c>
      <c r="C12277" t="s">
        <v>15145</v>
      </c>
      <c r="D12277" t="s">
        <v>16609</v>
      </c>
      <c r="E12277" t="s">
        <v>24484</v>
      </c>
      <c r="F12277" t="s">
        <v>28669</v>
      </c>
      <c r="G12277" t="s">
        <v>28675</v>
      </c>
      <c r="H12277" t="s">
        <v>9998</v>
      </c>
      <c r="I12277" t="s">
        <v>7352</v>
      </c>
      <c r="J12277" t="s">
        <v>28823</v>
      </c>
      <c r="K12277" t="s">
        <v>37221</v>
      </c>
      <c r="M12277" t="s">
        <v>41032</v>
      </c>
      <c r="N12277" t="s">
        <v>41249</v>
      </c>
      <c r="O12277" t="s">
        <v>41250</v>
      </c>
      <c r="P12277">
        <v>0</v>
      </c>
      <c r="Q12277">
        <v>1</v>
      </c>
      <c r="R12277" t="s">
        <v>41267</v>
      </c>
      <c r="S12277" t="s">
        <v>42077</v>
      </c>
      <c r="T12277" t="s">
        <v>42736</v>
      </c>
      <c r="U12277" t="s">
        <v>53026</v>
      </c>
      <c r="V12277" t="s">
        <v>54252</v>
      </c>
      <c r="W12277" t="s">
        <v>41032</v>
      </c>
      <c r="X12277" t="s">
        <v>41268</v>
      </c>
    </row>
    <row r="12278" spans="1:24">
      <c r="A12278">
        <f>HYPERLINK("https://www.philgeps.gov.ph/GEPSNONPILOT/Tender/SplashBidNoticeAbstractUI.aspx?menuIndex=3&amp;refID=7044592&amp;Result=3","7044592")</f>
        <v>0</v>
      </c>
      <c r="B12278" t="s">
        <v>2880</v>
      </c>
      <c r="C12278" t="s">
        <v>15146</v>
      </c>
      <c r="D12278" t="s">
        <v>16608</v>
      </c>
      <c r="E12278" t="s">
        <v>27318</v>
      </c>
      <c r="F12278" t="s">
        <v>28669</v>
      </c>
      <c r="G12278" t="s">
        <v>28675</v>
      </c>
      <c r="H12278" t="s">
        <v>9998</v>
      </c>
      <c r="I12278" t="s">
        <v>5213</v>
      </c>
      <c r="J12278" t="s">
        <v>28878</v>
      </c>
      <c r="K12278" t="s">
        <v>37216</v>
      </c>
      <c r="M12278" t="s">
        <v>40627</v>
      </c>
      <c r="N12278" t="s">
        <v>41249</v>
      </c>
      <c r="O12278" t="s">
        <v>41250</v>
      </c>
      <c r="P12278">
        <v>0</v>
      </c>
      <c r="Q12278">
        <v>3</v>
      </c>
      <c r="R12278" t="s">
        <v>41267</v>
      </c>
      <c r="S12278" t="s">
        <v>42077</v>
      </c>
      <c r="T12278" t="s">
        <v>42758</v>
      </c>
      <c r="U12278" t="s">
        <v>53027</v>
      </c>
      <c r="W12278" t="s">
        <v>40627</v>
      </c>
      <c r="X12278" t="s">
        <v>41268</v>
      </c>
    </row>
    <row r="12279" spans="1:24">
      <c r="A12279">
        <f>HYPERLINK("https://www.philgeps.gov.ph/GEPSNONPILOT/Tender/SplashBidNoticeAbstractUI.aspx?menuIndex=3&amp;refID=7044579&amp;Result=3","7044579")</f>
        <v>0</v>
      </c>
      <c r="B12279" t="s">
        <v>130</v>
      </c>
      <c r="C12279" t="s">
        <v>15147</v>
      </c>
      <c r="E12279" t="s">
        <v>27319</v>
      </c>
      <c r="F12279" t="s">
        <v>28669</v>
      </c>
      <c r="G12279" t="s">
        <v>28675</v>
      </c>
      <c r="H12279" t="s">
        <v>28686</v>
      </c>
      <c r="I12279" t="s">
        <v>28689</v>
      </c>
      <c r="J12279" t="s">
        <v>36340</v>
      </c>
      <c r="K12279" t="s">
        <v>37220</v>
      </c>
      <c r="M12279" t="s">
        <v>37606</v>
      </c>
      <c r="N12279" t="s">
        <v>41249</v>
      </c>
      <c r="O12279" t="s">
        <v>41250</v>
      </c>
      <c r="P12279">
        <v>0</v>
      </c>
      <c r="Q12279">
        <v>0</v>
      </c>
      <c r="R12279" t="s">
        <v>41267</v>
      </c>
      <c r="S12279" t="s">
        <v>42077</v>
      </c>
      <c r="T12279" t="s">
        <v>42673</v>
      </c>
      <c r="U12279" t="s">
        <v>53028</v>
      </c>
      <c r="W12279" t="s">
        <v>37606</v>
      </c>
      <c r="X12279" t="s">
        <v>41268</v>
      </c>
    </row>
    <row r="12280" spans="1:24">
      <c r="A12280">
        <f>HYPERLINK("https://www.philgeps.gov.ph/GEPSNONPILOT/Tender/SplashBidNoticeAbstractUI.aspx?menuIndex=3&amp;refID=7043785&amp;Result=3","7043785")</f>
        <v>0</v>
      </c>
      <c r="B12280" t="s">
        <v>909</v>
      </c>
      <c r="C12280" t="s">
        <v>15148</v>
      </c>
      <c r="D12280" t="s">
        <v>16662</v>
      </c>
      <c r="E12280" t="s">
        <v>27320</v>
      </c>
      <c r="F12280" t="s">
        <v>28669</v>
      </c>
      <c r="G12280" t="s">
        <v>28675</v>
      </c>
      <c r="H12280" t="s">
        <v>9998</v>
      </c>
      <c r="I12280" t="s">
        <v>5213</v>
      </c>
      <c r="J12280" t="s">
        <v>36341</v>
      </c>
      <c r="K12280" t="s">
        <v>37206</v>
      </c>
      <c r="M12280" t="s">
        <v>38431</v>
      </c>
      <c r="N12280" t="s">
        <v>41249</v>
      </c>
      <c r="O12280" t="s">
        <v>41250</v>
      </c>
      <c r="P12280">
        <v>0</v>
      </c>
      <c r="Q12280">
        <v>0</v>
      </c>
      <c r="R12280" t="s">
        <v>41267</v>
      </c>
      <c r="S12280" t="s">
        <v>42077</v>
      </c>
      <c r="T12280" t="s">
        <v>42679</v>
      </c>
      <c r="U12280" t="s">
        <v>53029</v>
      </c>
      <c r="W12280" t="s">
        <v>38431</v>
      </c>
      <c r="X12280" t="s">
        <v>41270</v>
      </c>
    </row>
    <row r="12281" spans="1:24">
      <c r="A12281">
        <f>HYPERLINK("https://www.philgeps.gov.ph/GEPSNONPILOT/Tender/SplashBidNoticeAbstractUI.aspx?menuIndex=3&amp;refID=7044577&amp;Result=3","7044577")</f>
        <v>0</v>
      </c>
      <c r="B12281" t="s">
        <v>84</v>
      </c>
      <c r="C12281" t="s">
        <v>15149</v>
      </c>
      <c r="D12281" t="s">
        <v>16651</v>
      </c>
      <c r="E12281" t="s">
        <v>27321</v>
      </c>
      <c r="F12281" t="s">
        <v>28669</v>
      </c>
      <c r="G12281" t="s">
        <v>28675</v>
      </c>
      <c r="H12281" t="s">
        <v>28686</v>
      </c>
      <c r="I12281" t="s">
        <v>28689</v>
      </c>
      <c r="J12281" t="s">
        <v>29059</v>
      </c>
      <c r="K12281" t="s">
        <v>37209</v>
      </c>
      <c r="M12281" t="s">
        <v>37559</v>
      </c>
      <c r="N12281" t="s">
        <v>41249</v>
      </c>
      <c r="O12281" t="s">
        <v>41250</v>
      </c>
      <c r="P12281">
        <v>0</v>
      </c>
      <c r="Q12281">
        <v>1</v>
      </c>
      <c r="R12281" t="s">
        <v>41267</v>
      </c>
      <c r="S12281" t="s">
        <v>42077</v>
      </c>
      <c r="T12281" t="s">
        <v>42711</v>
      </c>
      <c r="U12281" t="s">
        <v>53030</v>
      </c>
      <c r="W12281" t="s">
        <v>37559</v>
      </c>
      <c r="X12281" t="s">
        <v>41268</v>
      </c>
    </row>
    <row r="12282" spans="1:24">
      <c r="A12282">
        <f>HYPERLINK("https://www.philgeps.gov.ph/GEPSNONPILOT/Tender/SplashBidNoticeAbstractUI.aspx?menuIndex=3&amp;refID=7044665&amp;Result=3","7044665")</f>
        <v>0</v>
      </c>
      <c r="B12282" t="s">
        <v>303</v>
      </c>
      <c r="C12282" t="s">
        <v>15150</v>
      </c>
      <c r="E12282" t="s">
        <v>27322</v>
      </c>
      <c r="F12282" t="s">
        <v>28669</v>
      </c>
      <c r="G12282" t="s">
        <v>28675</v>
      </c>
      <c r="H12282" t="s">
        <v>9998</v>
      </c>
      <c r="I12282" t="s">
        <v>7352</v>
      </c>
      <c r="J12282" t="s">
        <v>28836</v>
      </c>
      <c r="K12282" t="s">
        <v>37205</v>
      </c>
      <c r="M12282" t="s">
        <v>37782</v>
      </c>
      <c r="N12282" t="s">
        <v>41249</v>
      </c>
      <c r="O12282" t="s">
        <v>41250</v>
      </c>
      <c r="P12282">
        <v>0</v>
      </c>
      <c r="Q12282">
        <v>0</v>
      </c>
      <c r="R12282" t="s">
        <v>41267</v>
      </c>
      <c r="S12282" t="s">
        <v>42077</v>
      </c>
      <c r="T12282" t="s">
        <v>42754</v>
      </c>
      <c r="U12282" t="s">
        <v>53031</v>
      </c>
      <c r="V12282" t="s">
        <v>55730</v>
      </c>
      <c r="W12282" t="s">
        <v>37782</v>
      </c>
      <c r="X12282" t="s">
        <v>41268</v>
      </c>
    </row>
    <row r="12283" spans="1:24">
      <c r="A12283">
        <f>HYPERLINK("https://www.philgeps.gov.ph/GEPSNONPILOT/Tender/SplashBidNoticeAbstractUI.aspx?menuIndex=3&amp;refID=7044563&amp;Result=3","7044563")</f>
        <v>0</v>
      </c>
      <c r="B12283" t="s">
        <v>1719</v>
      </c>
      <c r="C12283" t="s">
        <v>15151</v>
      </c>
      <c r="D12283" t="s">
        <v>16652</v>
      </c>
      <c r="E12283" t="s">
        <v>27323</v>
      </c>
      <c r="F12283" t="s">
        <v>28669</v>
      </c>
      <c r="G12283" t="s">
        <v>28675</v>
      </c>
      <c r="H12283" t="s">
        <v>9998</v>
      </c>
      <c r="I12283" t="s">
        <v>28693</v>
      </c>
      <c r="J12283" t="s">
        <v>28847</v>
      </c>
      <c r="K12283" t="s">
        <v>37215</v>
      </c>
      <c r="M12283" t="s">
        <v>39317</v>
      </c>
      <c r="N12283" t="s">
        <v>41249</v>
      </c>
      <c r="O12283" t="s">
        <v>41250</v>
      </c>
      <c r="Q12283">
        <v>27</v>
      </c>
      <c r="R12283" t="s">
        <v>41267</v>
      </c>
      <c r="S12283" t="s">
        <v>42083</v>
      </c>
      <c r="T12283" t="s">
        <v>42670</v>
      </c>
      <c r="U12283" t="s">
        <v>53032</v>
      </c>
      <c r="V12283" t="s">
        <v>55731</v>
      </c>
      <c r="W12283" t="s">
        <v>39317</v>
      </c>
      <c r="X12283" t="s">
        <v>41268</v>
      </c>
    </row>
    <row r="12284" spans="1:24">
      <c r="A12284">
        <f>HYPERLINK("https://www.philgeps.gov.ph/GEPSNONPILOT/Tender/SplashBidNoticeAbstractUI.aspx?menuIndex=3&amp;refID=7044549&amp;Result=3","7044549")</f>
        <v>0</v>
      </c>
      <c r="B12284" t="s">
        <v>130</v>
      </c>
      <c r="C12284" t="s">
        <v>15152</v>
      </c>
      <c r="E12284" t="s">
        <v>27324</v>
      </c>
      <c r="F12284" t="s">
        <v>28669</v>
      </c>
      <c r="G12284" t="s">
        <v>28675</v>
      </c>
      <c r="H12284" t="s">
        <v>28686</v>
      </c>
      <c r="I12284" t="s">
        <v>28689</v>
      </c>
      <c r="J12284" t="s">
        <v>30162</v>
      </c>
      <c r="K12284" t="s">
        <v>37343</v>
      </c>
      <c r="M12284" t="s">
        <v>37606</v>
      </c>
      <c r="N12284" t="s">
        <v>41249</v>
      </c>
      <c r="O12284" t="s">
        <v>41250</v>
      </c>
      <c r="P12284">
        <v>0</v>
      </c>
      <c r="Q12284">
        <v>0</v>
      </c>
      <c r="R12284" t="s">
        <v>41267</v>
      </c>
      <c r="S12284" t="s">
        <v>42077</v>
      </c>
      <c r="T12284" t="s">
        <v>42673</v>
      </c>
      <c r="U12284" t="s">
        <v>53033</v>
      </c>
      <c r="W12284" t="s">
        <v>37606</v>
      </c>
      <c r="X12284" t="s">
        <v>41268</v>
      </c>
    </row>
    <row r="12285" spans="1:24">
      <c r="A12285">
        <f>HYPERLINK("https://www.philgeps.gov.ph/GEPSNONPILOT/Tender/SplashBidNoticeAbstractUI.aspx?menuIndex=3&amp;refID=7044543&amp;Result=3","7044543")</f>
        <v>0</v>
      </c>
      <c r="B12285" t="s">
        <v>2880</v>
      </c>
      <c r="C12285" t="s">
        <v>15153</v>
      </c>
      <c r="D12285" t="s">
        <v>16608</v>
      </c>
      <c r="E12285" t="s">
        <v>27325</v>
      </c>
      <c r="F12285" t="s">
        <v>28669</v>
      </c>
      <c r="G12285" t="s">
        <v>28675</v>
      </c>
      <c r="H12285" t="s">
        <v>28684</v>
      </c>
      <c r="I12285" t="s">
        <v>28694</v>
      </c>
      <c r="J12285" t="s">
        <v>34350</v>
      </c>
      <c r="K12285" t="s">
        <v>37216</v>
      </c>
      <c r="M12285" t="s">
        <v>40627</v>
      </c>
      <c r="N12285" t="s">
        <v>41249</v>
      </c>
      <c r="O12285" t="s">
        <v>41250</v>
      </c>
      <c r="P12285">
        <v>0</v>
      </c>
      <c r="Q12285">
        <v>0</v>
      </c>
      <c r="R12285" t="s">
        <v>41267</v>
      </c>
      <c r="S12285" t="s">
        <v>42077</v>
      </c>
      <c r="T12285" t="s">
        <v>42665</v>
      </c>
      <c r="U12285" t="s">
        <v>53034</v>
      </c>
      <c r="W12285" t="s">
        <v>40627</v>
      </c>
      <c r="X12285" t="s">
        <v>41268</v>
      </c>
    </row>
    <row r="12286" spans="1:24">
      <c r="A12286">
        <f>HYPERLINK("https://www.philgeps.gov.ph/GEPSNONPILOT/Tender/SplashBidNoticeAbstractUI.aspx?menuIndex=3&amp;refID=7044527&amp;Result=3","7044527")</f>
        <v>0</v>
      </c>
      <c r="B12286" t="s">
        <v>130</v>
      </c>
      <c r="C12286" t="s">
        <v>15154</v>
      </c>
      <c r="E12286" t="s">
        <v>27326</v>
      </c>
      <c r="F12286" t="s">
        <v>28669</v>
      </c>
      <c r="G12286" t="s">
        <v>28675</v>
      </c>
      <c r="H12286" t="s">
        <v>28686</v>
      </c>
      <c r="I12286" t="s">
        <v>28689</v>
      </c>
      <c r="J12286" t="s">
        <v>29332</v>
      </c>
      <c r="K12286" t="s">
        <v>37281</v>
      </c>
      <c r="M12286" t="s">
        <v>37606</v>
      </c>
      <c r="N12286" t="s">
        <v>41249</v>
      </c>
      <c r="O12286" t="s">
        <v>41250</v>
      </c>
      <c r="P12286">
        <v>0</v>
      </c>
      <c r="Q12286">
        <v>0</v>
      </c>
      <c r="R12286" t="s">
        <v>41267</v>
      </c>
      <c r="S12286" t="s">
        <v>42077</v>
      </c>
      <c r="T12286" t="s">
        <v>42673</v>
      </c>
      <c r="U12286" t="s">
        <v>53033</v>
      </c>
      <c r="W12286" t="s">
        <v>37606</v>
      </c>
      <c r="X12286" t="s">
        <v>41268</v>
      </c>
    </row>
    <row r="12287" spans="1:24">
      <c r="A12287">
        <f>HYPERLINK("https://www.philgeps.gov.ph/GEPSNONPILOT/Tender/SplashBidNoticeAbstractUI.aspx?menuIndex=3&amp;refID=7044667&amp;Result=3","7044667")</f>
        <v>0</v>
      </c>
      <c r="B12287" t="s">
        <v>531</v>
      </c>
      <c r="C12287" t="s">
        <v>15140</v>
      </c>
      <c r="D12287" t="s">
        <v>16611</v>
      </c>
      <c r="E12287" t="s">
        <v>27327</v>
      </c>
      <c r="F12287" t="s">
        <v>28669</v>
      </c>
      <c r="G12287" t="s">
        <v>28675</v>
      </c>
      <c r="H12287" t="s">
        <v>9998</v>
      </c>
      <c r="I12287" t="s">
        <v>15140</v>
      </c>
      <c r="J12287" t="s">
        <v>36342</v>
      </c>
      <c r="K12287" t="s">
        <v>37210</v>
      </c>
      <c r="M12287" t="s">
        <v>38022</v>
      </c>
      <c r="N12287" t="s">
        <v>41249</v>
      </c>
      <c r="O12287" t="s">
        <v>41250</v>
      </c>
      <c r="P12287">
        <v>0</v>
      </c>
      <c r="Q12287">
        <v>0</v>
      </c>
      <c r="R12287" t="s">
        <v>41267</v>
      </c>
      <c r="S12287" t="s">
        <v>42077</v>
      </c>
      <c r="T12287" t="s">
        <v>42679</v>
      </c>
      <c r="U12287" t="s">
        <v>53035</v>
      </c>
      <c r="W12287" t="s">
        <v>38022</v>
      </c>
      <c r="X12287" t="s">
        <v>41268</v>
      </c>
    </row>
    <row r="12288" spans="1:24">
      <c r="A12288">
        <f>HYPERLINK("https://www.philgeps.gov.ph/GEPSNONPILOT/Tender/SplashBidNoticeAbstractUI.aspx?menuIndex=3&amp;refID=7044851&amp;Result=3","7044851")</f>
        <v>0</v>
      </c>
      <c r="B12288" t="s">
        <v>84</v>
      </c>
      <c r="C12288" t="s">
        <v>15155</v>
      </c>
      <c r="D12288" t="s">
        <v>16651</v>
      </c>
      <c r="E12288" t="s">
        <v>27328</v>
      </c>
      <c r="F12288" t="s">
        <v>28669</v>
      </c>
      <c r="G12288" t="s">
        <v>28675</v>
      </c>
      <c r="H12288" t="s">
        <v>28686</v>
      </c>
      <c r="I12288" t="s">
        <v>28689</v>
      </c>
      <c r="J12288" t="s">
        <v>29069</v>
      </c>
      <c r="K12288" t="s">
        <v>37209</v>
      </c>
      <c r="M12288" t="s">
        <v>37559</v>
      </c>
      <c r="N12288" t="s">
        <v>41249</v>
      </c>
      <c r="O12288" t="s">
        <v>41250</v>
      </c>
      <c r="Q12288">
        <v>1</v>
      </c>
      <c r="R12288" t="s">
        <v>41267</v>
      </c>
      <c r="S12288" t="s">
        <v>42036</v>
      </c>
      <c r="T12288" t="s">
        <v>42711</v>
      </c>
      <c r="U12288" t="s">
        <v>53030</v>
      </c>
      <c r="W12288" t="s">
        <v>37559</v>
      </c>
      <c r="X12288" t="s">
        <v>41268</v>
      </c>
    </row>
    <row r="12289" spans="1:24">
      <c r="A12289">
        <f>HYPERLINK("https://www.philgeps.gov.ph/GEPSNONPILOT/Tender/SplashBidNoticeAbstractUI.aspx?menuIndex=3&amp;refID=7043969&amp;Result=3","7043969")</f>
        <v>0</v>
      </c>
      <c r="B12289" t="s">
        <v>909</v>
      </c>
      <c r="C12289" t="s">
        <v>15156</v>
      </c>
      <c r="D12289" t="s">
        <v>16662</v>
      </c>
      <c r="E12289" t="s">
        <v>27329</v>
      </c>
      <c r="F12289" t="s">
        <v>28669</v>
      </c>
      <c r="G12289" t="s">
        <v>28675</v>
      </c>
      <c r="H12289" t="s">
        <v>9998</v>
      </c>
      <c r="I12289" t="s">
        <v>6128</v>
      </c>
      <c r="J12289" t="s">
        <v>36343</v>
      </c>
      <c r="K12289" t="s">
        <v>37206</v>
      </c>
      <c r="M12289" t="s">
        <v>38431</v>
      </c>
      <c r="N12289" t="s">
        <v>41249</v>
      </c>
      <c r="O12289" t="s">
        <v>41250</v>
      </c>
      <c r="P12289">
        <v>0</v>
      </c>
      <c r="Q12289">
        <v>2</v>
      </c>
      <c r="R12289" t="s">
        <v>41267</v>
      </c>
      <c r="S12289" t="s">
        <v>42077</v>
      </c>
      <c r="T12289" t="s">
        <v>42679</v>
      </c>
      <c r="U12289" t="s">
        <v>53036</v>
      </c>
      <c r="W12289" t="s">
        <v>38431</v>
      </c>
      <c r="X12289" t="s">
        <v>41269</v>
      </c>
    </row>
    <row r="12290" spans="1:24">
      <c r="A12290">
        <f>HYPERLINK("https://www.philgeps.gov.ph/GEPSNONPILOT/Tender/SplashBidNoticeAbstractUI.aspx?menuIndex=3&amp;refID=7044843&amp;Result=3","7044843")</f>
        <v>0</v>
      </c>
      <c r="B12290" t="s">
        <v>3219</v>
      </c>
      <c r="C12290" t="s">
        <v>3948</v>
      </c>
      <c r="D12290" t="s">
        <v>16620</v>
      </c>
      <c r="E12290" t="s">
        <v>16861</v>
      </c>
      <c r="F12290" t="s">
        <v>28669</v>
      </c>
      <c r="G12290" t="s">
        <v>28675</v>
      </c>
      <c r="H12290" t="s">
        <v>28686</v>
      </c>
      <c r="I12290" t="s">
        <v>28689</v>
      </c>
      <c r="J12290" t="s">
        <v>28836</v>
      </c>
      <c r="K12290" t="s">
        <v>37204</v>
      </c>
      <c r="M12290" t="s">
        <v>41033</v>
      </c>
      <c r="N12290" t="s">
        <v>41249</v>
      </c>
      <c r="O12290" t="s">
        <v>41250</v>
      </c>
      <c r="P12290">
        <v>0</v>
      </c>
      <c r="Q12290">
        <v>3</v>
      </c>
      <c r="R12290" t="s">
        <v>41267</v>
      </c>
      <c r="S12290" t="s">
        <v>42077</v>
      </c>
      <c r="T12290" t="s">
        <v>42743</v>
      </c>
      <c r="U12290" t="s">
        <v>53037</v>
      </c>
      <c r="W12290" t="s">
        <v>41033</v>
      </c>
      <c r="X12290" t="s">
        <v>41268</v>
      </c>
    </row>
    <row r="12291" spans="1:24">
      <c r="A12291">
        <f>HYPERLINK("https://www.philgeps.gov.ph/GEPSNONPILOT/Tender/SplashBidNoticeAbstractUI.aspx?menuIndex=3&amp;refID=7044828&amp;Result=3","7044828")</f>
        <v>0</v>
      </c>
      <c r="B12291" t="s">
        <v>3220</v>
      </c>
      <c r="C12291" t="s">
        <v>15157</v>
      </c>
      <c r="D12291" t="s">
        <v>16658</v>
      </c>
      <c r="E12291" t="s">
        <v>27330</v>
      </c>
      <c r="F12291" t="s">
        <v>28671</v>
      </c>
      <c r="G12291" t="s">
        <v>28675</v>
      </c>
      <c r="H12291" t="s">
        <v>28686</v>
      </c>
      <c r="I12291" t="s">
        <v>28689</v>
      </c>
      <c r="J12291" t="s">
        <v>36344</v>
      </c>
      <c r="K12291" t="s">
        <v>37282</v>
      </c>
      <c r="L12291" t="s">
        <v>3220</v>
      </c>
      <c r="M12291" t="s">
        <v>41034</v>
      </c>
      <c r="N12291" t="s">
        <v>41249</v>
      </c>
      <c r="O12291" t="s">
        <v>41250</v>
      </c>
      <c r="P12291">
        <v>0</v>
      </c>
      <c r="Q12291">
        <v>0</v>
      </c>
      <c r="R12291" t="s">
        <v>41267</v>
      </c>
      <c r="S12291" t="s">
        <v>42077</v>
      </c>
      <c r="T12291" t="s">
        <v>42673</v>
      </c>
      <c r="U12291" t="s">
        <v>53038</v>
      </c>
      <c r="W12291" t="s">
        <v>41034</v>
      </c>
      <c r="X12291" t="s">
        <v>41268</v>
      </c>
    </row>
    <row r="12292" spans="1:24">
      <c r="A12292">
        <f>HYPERLINK("https://www.philgeps.gov.ph/GEPSNONPILOT/Tender/SplashBidNoticeAbstractUI.aspx?menuIndex=3&amp;refID=7044838&amp;Result=3","7044838")</f>
        <v>0</v>
      </c>
      <c r="B12292" t="s">
        <v>318</v>
      </c>
      <c r="C12292" t="s">
        <v>15158</v>
      </c>
      <c r="D12292" t="s">
        <v>16619</v>
      </c>
      <c r="E12292" t="s">
        <v>17979</v>
      </c>
      <c r="F12292" t="s">
        <v>28669</v>
      </c>
      <c r="G12292" t="s">
        <v>28675</v>
      </c>
      <c r="H12292" t="s">
        <v>9998</v>
      </c>
      <c r="I12292" t="s">
        <v>28722</v>
      </c>
      <c r="J12292" t="s">
        <v>36345</v>
      </c>
      <c r="K12292" t="s">
        <v>37210</v>
      </c>
      <c r="M12292" t="s">
        <v>37798</v>
      </c>
      <c r="N12292" t="s">
        <v>41249</v>
      </c>
      <c r="O12292" t="s">
        <v>41250</v>
      </c>
      <c r="P12292">
        <v>0</v>
      </c>
      <c r="Q12292">
        <v>5</v>
      </c>
      <c r="R12292" t="s">
        <v>41267</v>
      </c>
      <c r="S12292" t="s">
        <v>42077</v>
      </c>
      <c r="T12292" t="s">
        <v>42697</v>
      </c>
      <c r="U12292" t="s">
        <v>53039</v>
      </c>
      <c r="W12292" t="s">
        <v>37798</v>
      </c>
      <c r="X12292" t="s">
        <v>41268</v>
      </c>
    </row>
    <row r="12293" spans="1:24">
      <c r="A12293">
        <f>HYPERLINK("https://www.philgeps.gov.ph/GEPSNONPILOT/Tender/SplashBidNoticeAbstractUI.aspx?menuIndex=3&amp;refID=7044814&amp;Result=3","7044814")</f>
        <v>0</v>
      </c>
      <c r="B12293" t="s">
        <v>3221</v>
      </c>
      <c r="C12293" t="s">
        <v>15159</v>
      </c>
      <c r="D12293" t="s">
        <v>16610</v>
      </c>
      <c r="E12293" t="s">
        <v>27093</v>
      </c>
      <c r="F12293" t="s">
        <v>28669</v>
      </c>
      <c r="G12293" t="s">
        <v>28675</v>
      </c>
      <c r="H12293" t="s">
        <v>28686</v>
      </c>
      <c r="I12293" t="s">
        <v>28689</v>
      </c>
      <c r="J12293" t="s">
        <v>29203</v>
      </c>
      <c r="K12293" t="s">
        <v>37206</v>
      </c>
      <c r="M12293" t="s">
        <v>41035</v>
      </c>
      <c r="N12293" t="s">
        <v>41249</v>
      </c>
      <c r="O12293" t="s">
        <v>41250</v>
      </c>
      <c r="P12293">
        <v>0</v>
      </c>
      <c r="Q12293">
        <v>0</v>
      </c>
      <c r="R12293" t="s">
        <v>41267</v>
      </c>
      <c r="S12293" t="s">
        <v>42077</v>
      </c>
      <c r="T12293" t="s">
        <v>42679</v>
      </c>
      <c r="U12293" t="s">
        <v>53040</v>
      </c>
      <c r="V12293" t="s">
        <v>55732</v>
      </c>
      <c r="W12293" t="s">
        <v>41035</v>
      </c>
      <c r="X12293" t="s">
        <v>41268</v>
      </c>
    </row>
    <row r="12294" spans="1:24">
      <c r="A12294">
        <f>HYPERLINK("https://www.philgeps.gov.ph/GEPSNONPILOT/Tender/SplashBidNoticeAbstractUI.aspx?menuIndex=3&amp;refID=7044707&amp;Result=3","7044707")</f>
        <v>0</v>
      </c>
      <c r="B12294" t="s">
        <v>2408</v>
      </c>
      <c r="C12294" t="s">
        <v>15160</v>
      </c>
      <c r="E12294" t="s">
        <v>27331</v>
      </c>
      <c r="F12294" t="s">
        <v>28669</v>
      </c>
      <c r="G12294" t="s">
        <v>28675</v>
      </c>
      <c r="H12294" t="s">
        <v>9998</v>
      </c>
      <c r="I12294" t="s">
        <v>7352</v>
      </c>
      <c r="J12294" t="s">
        <v>36346</v>
      </c>
      <c r="K12294" t="s">
        <v>37227</v>
      </c>
      <c r="M12294" t="s">
        <v>40090</v>
      </c>
      <c r="N12294" t="s">
        <v>41249</v>
      </c>
      <c r="O12294" t="s">
        <v>41250</v>
      </c>
      <c r="P12294">
        <v>0</v>
      </c>
      <c r="Q12294">
        <v>2</v>
      </c>
      <c r="R12294" t="s">
        <v>41267</v>
      </c>
      <c r="S12294" t="s">
        <v>42077</v>
      </c>
      <c r="T12294" t="s">
        <v>42690</v>
      </c>
      <c r="U12294" t="s">
        <v>49596</v>
      </c>
      <c r="V12294" t="s">
        <v>55733</v>
      </c>
      <c r="W12294" t="s">
        <v>40090</v>
      </c>
      <c r="X12294" t="s">
        <v>41268</v>
      </c>
    </row>
    <row r="12295" spans="1:24">
      <c r="A12295">
        <f>HYPERLINK("https://www.philgeps.gov.ph/GEPSNONPILOT/Tender/SplashBidNoticeAbstractUI.aspx?menuIndex=3&amp;refID=7044522&amp;Result=3","7044522")</f>
        <v>0</v>
      </c>
      <c r="B12295" t="s">
        <v>84</v>
      </c>
      <c r="C12295" t="s">
        <v>15161</v>
      </c>
      <c r="D12295" t="s">
        <v>16651</v>
      </c>
      <c r="E12295" t="s">
        <v>27332</v>
      </c>
      <c r="F12295" t="s">
        <v>28669</v>
      </c>
      <c r="G12295" t="s">
        <v>28675</v>
      </c>
      <c r="H12295" t="s">
        <v>28686</v>
      </c>
      <c r="I12295" t="s">
        <v>28689</v>
      </c>
      <c r="J12295" t="s">
        <v>29059</v>
      </c>
      <c r="K12295" t="s">
        <v>37209</v>
      </c>
      <c r="M12295" t="s">
        <v>37559</v>
      </c>
      <c r="N12295" t="s">
        <v>41249</v>
      </c>
      <c r="O12295" t="s">
        <v>41250</v>
      </c>
      <c r="P12295">
        <v>0</v>
      </c>
      <c r="Q12295">
        <v>1</v>
      </c>
      <c r="R12295" t="s">
        <v>41267</v>
      </c>
      <c r="S12295" t="s">
        <v>42077</v>
      </c>
      <c r="T12295" t="s">
        <v>42711</v>
      </c>
      <c r="U12295" t="s">
        <v>53030</v>
      </c>
      <c r="W12295" t="s">
        <v>37559</v>
      </c>
      <c r="X12295" t="s">
        <v>41268</v>
      </c>
    </row>
    <row r="12296" spans="1:24">
      <c r="A12296">
        <f>HYPERLINK("https://www.philgeps.gov.ph/GEPSNONPILOT/Tender/SplashBidNoticeAbstractUI.aspx?menuIndex=3&amp;refID=7044844&amp;Result=3","7044844")</f>
        <v>0</v>
      </c>
      <c r="B12296" t="s">
        <v>1696</v>
      </c>
      <c r="C12296" t="s">
        <v>15162</v>
      </c>
      <c r="D12296" t="s">
        <v>16658</v>
      </c>
      <c r="E12296" t="s">
        <v>27333</v>
      </c>
      <c r="F12296" t="s">
        <v>28669</v>
      </c>
      <c r="G12296" t="s">
        <v>28675</v>
      </c>
      <c r="H12296" t="s">
        <v>28686</v>
      </c>
      <c r="I12296" t="s">
        <v>28689</v>
      </c>
      <c r="J12296" t="s">
        <v>36347</v>
      </c>
      <c r="K12296" t="s">
        <v>37214</v>
      </c>
      <c r="M12296" t="s">
        <v>39292</v>
      </c>
      <c r="N12296" t="s">
        <v>41249</v>
      </c>
      <c r="O12296" t="s">
        <v>41250</v>
      </c>
      <c r="P12296">
        <v>0</v>
      </c>
      <c r="Q12296">
        <v>0</v>
      </c>
      <c r="R12296" t="s">
        <v>41267</v>
      </c>
      <c r="S12296" t="s">
        <v>42077</v>
      </c>
      <c r="T12296" t="s">
        <v>42754</v>
      </c>
      <c r="U12296" t="s">
        <v>53041</v>
      </c>
      <c r="W12296" t="s">
        <v>56030</v>
      </c>
      <c r="X12296" t="s">
        <v>41268</v>
      </c>
    </row>
    <row r="12297" spans="1:24">
      <c r="A12297">
        <f>HYPERLINK("https://www.philgeps.gov.ph/GEPSNONPILOT/Tender/SplashBidNoticeAbstractUI.aspx?menuIndex=3&amp;refID=7044658&amp;Result=3","7044658")</f>
        <v>0</v>
      </c>
      <c r="B12297" t="s">
        <v>986</v>
      </c>
      <c r="C12297" t="s">
        <v>15163</v>
      </c>
      <c r="D12297" t="s">
        <v>16620</v>
      </c>
      <c r="E12297" t="s">
        <v>27334</v>
      </c>
      <c r="F12297" t="s">
        <v>28669</v>
      </c>
      <c r="G12297" t="s">
        <v>28675</v>
      </c>
      <c r="H12297" t="s">
        <v>9998</v>
      </c>
      <c r="I12297" t="s">
        <v>28698</v>
      </c>
      <c r="J12297" t="s">
        <v>36348</v>
      </c>
      <c r="K12297" t="s">
        <v>37206</v>
      </c>
      <c r="M12297" t="s">
        <v>38900</v>
      </c>
      <c r="N12297" t="s">
        <v>41249</v>
      </c>
      <c r="O12297" t="s">
        <v>41250</v>
      </c>
      <c r="P12297">
        <v>0</v>
      </c>
      <c r="Q12297">
        <v>1</v>
      </c>
      <c r="R12297" t="s">
        <v>41267</v>
      </c>
      <c r="S12297" t="s">
        <v>42077</v>
      </c>
      <c r="T12297" t="s">
        <v>42703</v>
      </c>
      <c r="U12297" t="s">
        <v>45210</v>
      </c>
      <c r="V12297" t="s">
        <v>54542</v>
      </c>
      <c r="W12297" t="s">
        <v>38900</v>
      </c>
      <c r="X12297" t="s">
        <v>41268</v>
      </c>
    </row>
    <row r="12298" spans="1:24">
      <c r="A12298">
        <f>HYPERLINK("https://www.philgeps.gov.ph/GEPSNONPILOT/Tender/SplashBidNoticeAbstractUI.aspx?menuIndex=3&amp;refID=7044779&amp;Result=3","7044779")</f>
        <v>0</v>
      </c>
      <c r="B12298" t="s">
        <v>3217</v>
      </c>
      <c r="C12298" t="s">
        <v>15164</v>
      </c>
      <c r="D12298" t="s">
        <v>16608</v>
      </c>
      <c r="E12298" t="s">
        <v>27335</v>
      </c>
      <c r="F12298" t="s">
        <v>28669</v>
      </c>
      <c r="G12298" t="s">
        <v>28675</v>
      </c>
      <c r="H12298" t="s">
        <v>9998</v>
      </c>
      <c r="I12298" t="s">
        <v>28733</v>
      </c>
      <c r="J12298" t="s">
        <v>28847</v>
      </c>
      <c r="K12298" t="s">
        <v>37206</v>
      </c>
      <c r="M12298" t="s">
        <v>41031</v>
      </c>
      <c r="N12298" t="s">
        <v>41249</v>
      </c>
      <c r="O12298" t="s">
        <v>41250</v>
      </c>
      <c r="Q12298">
        <v>11</v>
      </c>
      <c r="R12298" t="s">
        <v>41267</v>
      </c>
      <c r="S12298" t="s">
        <v>42084</v>
      </c>
      <c r="T12298" t="s">
        <v>43149</v>
      </c>
      <c r="U12298" t="s">
        <v>53042</v>
      </c>
      <c r="V12298" t="s">
        <v>55728</v>
      </c>
      <c r="W12298" t="s">
        <v>41031</v>
      </c>
      <c r="X12298" t="s">
        <v>41268</v>
      </c>
    </row>
    <row r="12299" spans="1:24">
      <c r="A12299">
        <f>HYPERLINK("https://www.philgeps.gov.ph/GEPSNONPILOT/Tender/SplashBidNoticeAbstractUI.aspx?menuIndex=3&amp;refID=7044826&amp;Result=3","7044826")</f>
        <v>0</v>
      </c>
      <c r="B12299" t="s">
        <v>3222</v>
      </c>
      <c r="C12299" t="s">
        <v>15165</v>
      </c>
      <c r="D12299" t="s">
        <v>16617</v>
      </c>
      <c r="E12299" t="s">
        <v>23803</v>
      </c>
      <c r="F12299" t="s">
        <v>28669</v>
      </c>
      <c r="G12299" t="s">
        <v>28675</v>
      </c>
      <c r="H12299" t="s">
        <v>28686</v>
      </c>
      <c r="I12299" t="s">
        <v>28689</v>
      </c>
      <c r="J12299" t="s">
        <v>36349</v>
      </c>
      <c r="K12299" t="s">
        <v>37214</v>
      </c>
      <c r="M12299" t="s">
        <v>41036</v>
      </c>
      <c r="N12299" t="s">
        <v>41249</v>
      </c>
      <c r="O12299" t="s">
        <v>41250</v>
      </c>
      <c r="P12299">
        <v>0</v>
      </c>
      <c r="Q12299">
        <v>1</v>
      </c>
      <c r="R12299" t="s">
        <v>41267</v>
      </c>
      <c r="S12299" t="s">
        <v>42077</v>
      </c>
      <c r="T12299" t="s">
        <v>42760</v>
      </c>
      <c r="U12299" t="s">
        <v>53043</v>
      </c>
      <c r="W12299" t="s">
        <v>41036</v>
      </c>
      <c r="X12299" t="s">
        <v>41268</v>
      </c>
    </row>
    <row r="12300" spans="1:24">
      <c r="A12300">
        <f>HYPERLINK("https://www.philgeps.gov.ph/GEPSNONPILOT/Tender/SplashBidNoticeAbstractUI.aspx?menuIndex=3&amp;refID=7044747&amp;Result=3","7044747")</f>
        <v>0</v>
      </c>
      <c r="B12300" t="s">
        <v>1514</v>
      </c>
      <c r="C12300" t="s">
        <v>15166</v>
      </c>
      <c r="D12300" t="s">
        <v>16621</v>
      </c>
      <c r="E12300" t="s">
        <v>27336</v>
      </c>
      <c r="F12300" t="s">
        <v>28669</v>
      </c>
      <c r="G12300" t="s">
        <v>28675</v>
      </c>
      <c r="H12300" t="s">
        <v>28686</v>
      </c>
      <c r="I12300" t="s">
        <v>28689</v>
      </c>
      <c r="J12300" t="s">
        <v>36350</v>
      </c>
      <c r="K12300" t="s">
        <v>37217</v>
      </c>
      <c r="M12300" t="s">
        <v>39088</v>
      </c>
      <c r="N12300" t="s">
        <v>41249</v>
      </c>
      <c r="O12300" t="s">
        <v>41250</v>
      </c>
      <c r="P12300">
        <v>0</v>
      </c>
      <c r="Q12300">
        <v>5</v>
      </c>
      <c r="R12300" t="s">
        <v>41267</v>
      </c>
      <c r="S12300" t="s">
        <v>42077</v>
      </c>
      <c r="T12300" t="s">
        <v>42711</v>
      </c>
      <c r="U12300" t="s">
        <v>53044</v>
      </c>
      <c r="W12300" t="s">
        <v>39088</v>
      </c>
      <c r="X12300" t="s">
        <v>41268</v>
      </c>
    </row>
    <row r="12301" spans="1:24">
      <c r="A12301">
        <f>HYPERLINK("https://www.philgeps.gov.ph/GEPSNONPILOT/Tender/SplashBidNoticeAbstractUI.aspx?menuIndex=3&amp;refID=7044708&amp;Result=3","7044708")</f>
        <v>0</v>
      </c>
      <c r="B12301" t="s">
        <v>84</v>
      </c>
      <c r="C12301" t="s">
        <v>15167</v>
      </c>
      <c r="D12301" t="s">
        <v>16651</v>
      </c>
      <c r="E12301" t="s">
        <v>27337</v>
      </c>
      <c r="F12301" t="s">
        <v>28669</v>
      </c>
      <c r="G12301" t="s">
        <v>28675</v>
      </c>
      <c r="H12301" t="s">
        <v>28686</v>
      </c>
      <c r="I12301" t="s">
        <v>28689</v>
      </c>
      <c r="J12301" t="s">
        <v>29059</v>
      </c>
      <c r="K12301" t="s">
        <v>37209</v>
      </c>
      <c r="M12301" t="s">
        <v>37559</v>
      </c>
      <c r="N12301" t="s">
        <v>41249</v>
      </c>
      <c r="O12301" t="s">
        <v>41250</v>
      </c>
      <c r="P12301">
        <v>0</v>
      </c>
      <c r="Q12301">
        <v>1</v>
      </c>
      <c r="R12301" t="s">
        <v>41267</v>
      </c>
      <c r="S12301" t="s">
        <v>42077</v>
      </c>
      <c r="T12301" t="s">
        <v>42711</v>
      </c>
      <c r="U12301" t="s">
        <v>53030</v>
      </c>
      <c r="W12301" t="s">
        <v>37559</v>
      </c>
      <c r="X12301" t="s">
        <v>41268</v>
      </c>
    </row>
    <row r="12302" spans="1:24">
      <c r="A12302">
        <f>HYPERLINK("https://www.philgeps.gov.ph/GEPSNONPILOT/Tender/SplashBidNoticeAbstractUI.aspx?menuIndex=3&amp;refID=7044738&amp;Result=3","7044738")</f>
        <v>0</v>
      </c>
      <c r="B12302" t="s">
        <v>3219</v>
      </c>
      <c r="C12302" t="s">
        <v>3948</v>
      </c>
      <c r="D12302" t="s">
        <v>16620</v>
      </c>
      <c r="E12302" t="s">
        <v>16820</v>
      </c>
      <c r="F12302" t="s">
        <v>28669</v>
      </c>
      <c r="G12302" t="s">
        <v>28675</v>
      </c>
      <c r="H12302" t="s">
        <v>28686</v>
      </c>
      <c r="I12302" t="s">
        <v>28689</v>
      </c>
      <c r="J12302" t="s">
        <v>28836</v>
      </c>
      <c r="K12302" t="s">
        <v>37215</v>
      </c>
      <c r="M12302" t="s">
        <v>41033</v>
      </c>
      <c r="N12302" t="s">
        <v>41249</v>
      </c>
      <c r="O12302" t="s">
        <v>41250</v>
      </c>
      <c r="P12302">
        <v>0</v>
      </c>
      <c r="Q12302">
        <v>4</v>
      </c>
      <c r="R12302" t="s">
        <v>41267</v>
      </c>
      <c r="S12302" t="s">
        <v>42077</v>
      </c>
      <c r="T12302" t="s">
        <v>42743</v>
      </c>
      <c r="U12302" t="s">
        <v>53045</v>
      </c>
      <c r="W12302" t="s">
        <v>41033</v>
      </c>
      <c r="X12302" t="s">
        <v>41268</v>
      </c>
    </row>
    <row r="12303" spans="1:24">
      <c r="A12303">
        <f>HYPERLINK("https://www.philgeps.gov.ph/GEPSNONPILOT/Tender/SplashBidNoticeAbstractUI.aspx?menuIndex=3&amp;refID=7044799&amp;Result=3","7044799")</f>
        <v>0</v>
      </c>
      <c r="B12303" t="s">
        <v>3223</v>
      </c>
      <c r="C12303" t="s">
        <v>15168</v>
      </c>
      <c r="D12303" t="s">
        <v>16640</v>
      </c>
      <c r="E12303" t="s">
        <v>27338</v>
      </c>
      <c r="F12303" t="s">
        <v>28669</v>
      </c>
      <c r="G12303" t="s">
        <v>28675</v>
      </c>
      <c r="H12303" t="s">
        <v>9998</v>
      </c>
      <c r="I12303" t="s">
        <v>28699</v>
      </c>
      <c r="J12303" t="s">
        <v>36351</v>
      </c>
      <c r="K12303" t="s">
        <v>37220</v>
      </c>
      <c r="M12303" t="s">
        <v>41037</v>
      </c>
      <c r="N12303" t="s">
        <v>41249</v>
      </c>
      <c r="O12303" t="s">
        <v>41250</v>
      </c>
      <c r="Q12303">
        <v>12</v>
      </c>
      <c r="R12303" t="s">
        <v>41267</v>
      </c>
      <c r="S12303" t="s">
        <v>41964</v>
      </c>
      <c r="T12303" t="s">
        <v>42711</v>
      </c>
      <c r="U12303" t="s">
        <v>53046</v>
      </c>
      <c r="V12303" t="s">
        <v>55734</v>
      </c>
      <c r="W12303" t="s">
        <v>41037</v>
      </c>
      <c r="X12303" t="s">
        <v>41268</v>
      </c>
    </row>
    <row r="12304" spans="1:24">
      <c r="A12304">
        <f>HYPERLINK("https://www.philgeps.gov.ph/GEPSNONPILOT/Tender/SplashBidNoticeAbstractUI.aspx?menuIndex=3&amp;refID=7045034&amp;Result=3","7045034")</f>
        <v>0</v>
      </c>
      <c r="B12304" t="s">
        <v>909</v>
      </c>
      <c r="C12304" t="s">
        <v>15169</v>
      </c>
      <c r="D12304" t="s">
        <v>16662</v>
      </c>
      <c r="E12304" t="s">
        <v>27339</v>
      </c>
      <c r="F12304" t="s">
        <v>28669</v>
      </c>
      <c r="G12304" t="s">
        <v>28675</v>
      </c>
      <c r="H12304" t="s">
        <v>9998</v>
      </c>
      <c r="I12304" t="s">
        <v>5286</v>
      </c>
      <c r="J12304" t="s">
        <v>36352</v>
      </c>
      <c r="K12304" t="s">
        <v>37206</v>
      </c>
      <c r="M12304" t="s">
        <v>38431</v>
      </c>
      <c r="N12304" t="s">
        <v>41249</v>
      </c>
      <c r="O12304" t="s">
        <v>41250</v>
      </c>
      <c r="P12304">
        <v>0</v>
      </c>
      <c r="Q12304">
        <v>9</v>
      </c>
      <c r="R12304" t="s">
        <v>41267</v>
      </c>
      <c r="S12304" t="s">
        <v>42077</v>
      </c>
      <c r="T12304" t="s">
        <v>42679</v>
      </c>
      <c r="U12304" t="s">
        <v>53047</v>
      </c>
      <c r="W12304" t="s">
        <v>38431</v>
      </c>
      <c r="X12304" t="s">
        <v>41268</v>
      </c>
    </row>
    <row r="12305" spans="1:24">
      <c r="A12305">
        <f>HYPERLINK("https://www.philgeps.gov.ph/GEPSNONPILOT/Tender/SplashBidNoticeAbstractUI.aspx?menuIndex=3&amp;refID=7044783&amp;Result=3","7044783")</f>
        <v>0</v>
      </c>
      <c r="B12305" t="s">
        <v>84</v>
      </c>
      <c r="C12305" t="s">
        <v>15170</v>
      </c>
      <c r="D12305" t="s">
        <v>16651</v>
      </c>
      <c r="E12305" t="s">
        <v>27340</v>
      </c>
      <c r="F12305" t="s">
        <v>28669</v>
      </c>
      <c r="G12305" t="s">
        <v>28675</v>
      </c>
      <c r="H12305" t="s">
        <v>28686</v>
      </c>
      <c r="I12305" t="s">
        <v>28689</v>
      </c>
      <c r="J12305" t="s">
        <v>31648</v>
      </c>
      <c r="K12305" t="s">
        <v>37209</v>
      </c>
      <c r="M12305" t="s">
        <v>37559</v>
      </c>
      <c r="N12305" t="s">
        <v>41249</v>
      </c>
      <c r="O12305" t="s">
        <v>41250</v>
      </c>
      <c r="P12305">
        <v>0</v>
      </c>
      <c r="Q12305">
        <v>2</v>
      </c>
      <c r="R12305" t="s">
        <v>41267</v>
      </c>
      <c r="S12305" t="s">
        <v>42077</v>
      </c>
      <c r="T12305" t="s">
        <v>42711</v>
      </c>
      <c r="U12305" t="s">
        <v>53030</v>
      </c>
      <c r="W12305" t="s">
        <v>37559</v>
      </c>
      <c r="X12305" t="s">
        <v>41268</v>
      </c>
    </row>
    <row r="12306" spans="1:24">
      <c r="A12306">
        <f>HYPERLINK("https://www.philgeps.gov.ph/GEPSNONPILOT/Tender/SplashBidNoticeAbstractUI.aspx?menuIndex=3&amp;refID=7045023&amp;Result=3","7045023")</f>
        <v>0</v>
      </c>
      <c r="B12306" t="s">
        <v>410</v>
      </c>
      <c r="C12306" t="s">
        <v>15171</v>
      </c>
      <c r="D12306" t="s">
        <v>16630</v>
      </c>
      <c r="E12306" t="s">
        <v>27341</v>
      </c>
      <c r="F12306" t="s">
        <v>28669</v>
      </c>
      <c r="G12306" t="s">
        <v>28675</v>
      </c>
      <c r="H12306" t="s">
        <v>9998</v>
      </c>
      <c r="I12306" t="s">
        <v>28738</v>
      </c>
      <c r="J12306" t="s">
        <v>36353</v>
      </c>
      <c r="K12306" t="s">
        <v>37204</v>
      </c>
      <c r="M12306" t="s">
        <v>40815</v>
      </c>
      <c r="N12306" t="s">
        <v>41249</v>
      </c>
      <c r="O12306" t="s">
        <v>41250</v>
      </c>
      <c r="P12306">
        <v>0</v>
      </c>
      <c r="Q12306">
        <v>3</v>
      </c>
      <c r="R12306" t="s">
        <v>41267</v>
      </c>
      <c r="S12306" t="s">
        <v>42077</v>
      </c>
      <c r="T12306" t="s">
        <v>42876</v>
      </c>
      <c r="U12306" t="s">
        <v>53048</v>
      </c>
      <c r="W12306" t="s">
        <v>40815</v>
      </c>
      <c r="X12306" t="s">
        <v>41268</v>
      </c>
    </row>
    <row r="12307" spans="1:24">
      <c r="A12307">
        <f>HYPERLINK("https://www.philgeps.gov.ph/GEPSNONPILOT/Tender/SplashBidNoticeAbstractUI.aspx?menuIndex=3&amp;refID=7045010&amp;Result=3","7045010")</f>
        <v>0</v>
      </c>
      <c r="B12307" t="s">
        <v>2856</v>
      </c>
      <c r="C12307" t="s">
        <v>15172</v>
      </c>
      <c r="D12307" t="s">
        <v>16629</v>
      </c>
      <c r="E12307" t="s">
        <v>27342</v>
      </c>
      <c r="F12307" t="s">
        <v>28669</v>
      </c>
      <c r="G12307" t="s">
        <v>28675</v>
      </c>
      <c r="H12307" t="s">
        <v>28686</v>
      </c>
      <c r="I12307" t="s">
        <v>28689</v>
      </c>
      <c r="J12307" t="s">
        <v>29003</v>
      </c>
      <c r="K12307" t="s">
        <v>37220</v>
      </c>
      <c r="M12307" t="s">
        <v>40595</v>
      </c>
      <c r="N12307" t="s">
        <v>41249</v>
      </c>
      <c r="O12307" t="s">
        <v>41250</v>
      </c>
      <c r="P12307">
        <v>0</v>
      </c>
      <c r="Q12307">
        <v>0</v>
      </c>
      <c r="R12307" t="s">
        <v>41267</v>
      </c>
      <c r="S12307" t="s">
        <v>42077</v>
      </c>
      <c r="T12307" t="s">
        <v>42673</v>
      </c>
      <c r="U12307" t="s">
        <v>53049</v>
      </c>
      <c r="W12307" t="s">
        <v>40595</v>
      </c>
      <c r="X12307" t="s">
        <v>41268</v>
      </c>
    </row>
    <row r="12308" spans="1:24">
      <c r="A12308">
        <f>HYPERLINK("https://www.philgeps.gov.ph/GEPSNONPILOT/Tender/SplashBidNoticeAbstractUI.aspx?menuIndex=3&amp;refID=7045004&amp;Result=3","7045004")</f>
        <v>0</v>
      </c>
      <c r="B12308" t="s">
        <v>1978</v>
      </c>
      <c r="C12308" t="s">
        <v>15173</v>
      </c>
      <c r="D12308" t="s">
        <v>16666</v>
      </c>
      <c r="E12308" t="s">
        <v>16902</v>
      </c>
      <c r="F12308" t="s">
        <v>28669</v>
      </c>
      <c r="G12308" t="s">
        <v>28675</v>
      </c>
      <c r="H12308" t="s">
        <v>28686</v>
      </c>
      <c r="I12308" t="s">
        <v>28689</v>
      </c>
      <c r="J12308" t="s">
        <v>29112</v>
      </c>
      <c r="K12308" t="s">
        <v>37209</v>
      </c>
      <c r="M12308" t="s">
        <v>39612</v>
      </c>
      <c r="N12308" t="s">
        <v>41249</v>
      </c>
      <c r="O12308" t="s">
        <v>41250</v>
      </c>
      <c r="P12308">
        <v>0</v>
      </c>
      <c r="Q12308">
        <v>1</v>
      </c>
      <c r="R12308" t="s">
        <v>41267</v>
      </c>
      <c r="S12308" t="s">
        <v>42077</v>
      </c>
      <c r="T12308" t="s">
        <v>42711</v>
      </c>
      <c r="U12308" t="s">
        <v>53050</v>
      </c>
      <c r="W12308" t="s">
        <v>39612</v>
      </c>
      <c r="X12308" t="s">
        <v>41268</v>
      </c>
    </row>
    <row r="12309" spans="1:24">
      <c r="A12309">
        <f>HYPERLINK("https://www.philgeps.gov.ph/GEPSNONPILOT/Tender/SplashBidNoticeAbstractUI.aspx?menuIndex=3&amp;refID=7044794&amp;Result=3","7044794")</f>
        <v>0</v>
      </c>
      <c r="B12309" t="s">
        <v>531</v>
      </c>
      <c r="C12309" t="s">
        <v>15174</v>
      </c>
      <c r="D12309" t="s">
        <v>16611</v>
      </c>
      <c r="E12309" t="s">
        <v>27343</v>
      </c>
      <c r="F12309" t="s">
        <v>28669</v>
      </c>
      <c r="G12309" t="s">
        <v>28675</v>
      </c>
      <c r="H12309" t="s">
        <v>28686</v>
      </c>
      <c r="I12309" t="s">
        <v>7352</v>
      </c>
      <c r="J12309" t="s">
        <v>36354</v>
      </c>
      <c r="K12309" t="s">
        <v>37210</v>
      </c>
      <c r="M12309" t="s">
        <v>38022</v>
      </c>
      <c r="N12309" t="s">
        <v>41249</v>
      </c>
      <c r="O12309" t="s">
        <v>41250</v>
      </c>
      <c r="P12309">
        <v>0</v>
      </c>
      <c r="Q12309">
        <v>1</v>
      </c>
      <c r="R12309" t="s">
        <v>41267</v>
      </c>
      <c r="S12309" t="s">
        <v>42077</v>
      </c>
      <c r="T12309" t="s">
        <v>42679</v>
      </c>
      <c r="U12309" t="s">
        <v>53051</v>
      </c>
      <c r="W12309" t="s">
        <v>38022</v>
      </c>
      <c r="X12309" t="s">
        <v>41268</v>
      </c>
    </row>
    <row r="12310" spans="1:24">
      <c r="A12310">
        <f>HYPERLINK("https://www.philgeps.gov.ph/GEPSNONPILOT/Tender/SplashBidNoticeAbstractUI.aspx?menuIndex=3&amp;refID=7044732&amp;Result=3","7044732")</f>
        <v>0</v>
      </c>
      <c r="B12310" t="s">
        <v>531</v>
      </c>
      <c r="C12310" t="s">
        <v>4615</v>
      </c>
      <c r="D12310" t="s">
        <v>16611</v>
      </c>
      <c r="E12310" t="s">
        <v>27344</v>
      </c>
      <c r="F12310" t="s">
        <v>28669</v>
      </c>
      <c r="G12310" t="s">
        <v>28675</v>
      </c>
      <c r="H12310" t="s">
        <v>28686</v>
      </c>
      <c r="I12310" t="s">
        <v>7352</v>
      </c>
      <c r="J12310" t="s">
        <v>36355</v>
      </c>
      <c r="K12310" t="s">
        <v>37210</v>
      </c>
      <c r="M12310" t="s">
        <v>38022</v>
      </c>
      <c r="N12310" t="s">
        <v>41249</v>
      </c>
      <c r="O12310" t="s">
        <v>41250</v>
      </c>
      <c r="P12310">
        <v>0</v>
      </c>
      <c r="Q12310">
        <v>1</v>
      </c>
      <c r="R12310" t="s">
        <v>41267</v>
      </c>
      <c r="S12310" t="s">
        <v>42077</v>
      </c>
      <c r="T12310" t="s">
        <v>42679</v>
      </c>
      <c r="U12310" t="s">
        <v>53052</v>
      </c>
      <c r="W12310" t="s">
        <v>38022</v>
      </c>
      <c r="X12310" t="s">
        <v>41268</v>
      </c>
    </row>
    <row r="12311" spans="1:24">
      <c r="A12311">
        <f>HYPERLINK("https://www.philgeps.gov.ph/GEPSNONPILOT/Tender/SplashBidNoticeAbstractUI.aspx?menuIndex=3&amp;refID=7044964&amp;Result=3","7044964")</f>
        <v>0</v>
      </c>
      <c r="B12311" t="s">
        <v>2149</v>
      </c>
      <c r="C12311" t="s">
        <v>15175</v>
      </c>
      <c r="D12311" t="s">
        <v>16676</v>
      </c>
      <c r="E12311" t="s">
        <v>27345</v>
      </c>
      <c r="F12311" t="s">
        <v>28669</v>
      </c>
      <c r="G12311" t="s">
        <v>28675</v>
      </c>
      <c r="H12311" t="s">
        <v>9998</v>
      </c>
      <c r="I12311" t="s">
        <v>28733</v>
      </c>
      <c r="J12311" t="s">
        <v>29003</v>
      </c>
      <c r="K12311" t="s">
        <v>37206</v>
      </c>
      <c r="M12311" t="s">
        <v>39794</v>
      </c>
      <c r="N12311" t="s">
        <v>41249</v>
      </c>
      <c r="O12311" t="s">
        <v>41250</v>
      </c>
      <c r="P12311">
        <v>0</v>
      </c>
      <c r="Q12311">
        <v>3</v>
      </c>
      <c r="R12311" t="s">
        <v>41267</v>
      </c>
      <c r="S12311" t="s">
        <v>42077</v>
      </c>
      <c r="T12311" t="s">
        <v>42759</v>
      </c>
      <c r="U12311" t="s">
        <v>53053</v>
      </c>
      <c r="W12311" t="s">
        <v>39794</v>
      </c>
      <c r="X12311" t="s">
        <v>41268</v>
      </c>
    </row>
    <row r="12312" spans="1:24">
      <c r="A12312">
        <f>HYPERLINK("https://www.philgeps.gov.ph/GEPSNONPILOT/Tender/SplashBidNoticeAbstractUI.aspx?menuIndex=3&amp;refID=7045001&amp;Result=3","7045001")</f>
        <v>0</v>
      </c>
      <c r="B12312" t="s">
        <v>1149</v>
      </c>
      <c r="C12312" t="s">
        <v>15176</v>
      </c>
      <c r="D12312" t="s">
        <v>16649</v>
      </c>
      <c r="E12312" t="s">
        <v>27346</v>
      </c>
      <c r="F12312" t="s">
        <v>28669</v>
      </c>
      <c r="G12312" t="s">
        <v>28675</v>
      </c>
      <c r="H12312" t="s">
        <v>28686</v>
      </c>
      <c r="I12312" t="s">
        <v>28689</v>
      </c>
      <c r="J12312" t="s">
        <v>29134</v>
      </c>
      <c r="K12312" t="s">
        <v>37231</v>
      </c>
      <c r="M12312" t="s">
        <v>38685</v>
      </c>
      <c r="N12312" t="s">
        <v>41249</v>
      </c>
      <c r="O12312" t="s">
        <v>41250</v>
      </c>
      <c r="P12312">
        <v>0</v>
      </c>
      <c r="Q12312">
        <v>0</v>
      </c>
      <c r="R12312" t="s">
        <v>41267</v>
      </c>
      <c r="S12312" t="s">
        <v>42077</v>
      </c>
      <c r="T12312" t="s">
        <v>42679</v>
      </c>
      <c r="U12312" t="s">
        <v>53054</v>
      </c>
      <c r="W12312" t="s">
        <v>38685</v>
      </c>
      <c r="X12312" t="s">
        <v>41268</v>
      </c>
    </row>
    <row r="12313" spans="1:24">
      <c r="A12313">
        <f>HYPERLINK("https://www.philgeps.gov.ph/GEPSNONPILOT/Tender/SplashBidNoticeAbstractUI.aspx?menuIndex=3&amp;refID=7044939&amp;Result=3","7044939")</f>
        <v>0</v>
      </c>
      <c r="B12313" t="s">
        <v>590</v>
      </c>
      <c r="C12313" t="s">
        <v>15177</v>
      </c>
      <c r="D12313" t="s">
        <v>16631</v>
      </c>
      <c r="E12313" t="s">
        <v>27347</v>
      </c>
      <c r="F12313" t="s">
        <v>28669</v>
      </c>
      <c r="G12313" t="s">
        <v>28675</v>
      </c>
      <c r="H12313" t="s">
        <v>28686</v>
      </c>
      <c r="I12313" t="s">
        <v>28689</v>
      </c>
      <c r="J12313" t="s">
        <v>36356</v>
      </c>
      <c r="K12313" t="s">
        <v>37285</v>
      </c>
      <c r="M12313" t="s">
        <v>41038</v>
      </c>
      <c r="N12313" t="s">
        <v>41249</v>
      </c>
      <c r="O12313" t="s">
        <v>41250</v>
      </c>
      <c r="Q12313">
        <v>9</v>
      </c>
      <c r="R12313" t="s">
        <v>41267</v>
      </c>
      <c r="S12313" t="s">
        <v>42085</v>
      </c>
      <c r="T12313" t="s">
        <v>42673</v>
      </c>
      <c r="U12313" t="s">
        <v>53055</v>
      </c>
      <c r="W12313" t="s">
        <v>41038</v>
      </c>
      <c r="X12313" t="s">
        <v>41268</v>
      </c>
    </row>
    <row r="12314" spans="1:24">
      <c r="A12314">
        <f>HYPERLINK("https://www.philgeps.gov.ph/GEPSNONPILOT/Tender/SplashBidNoticeAbstractUI.aspx?menuIndex=3&amp;refID=7044787&amp;Result=3","7044787")</f>
        <v>0</v>
      </c>
      <c r="B12314" t="s">
        <v>909</v>
      </c>
      <c r="C12314" t="s">
        <v>15178</v>
      </c>
      <c r="D12314" t="s">
        <v>16662</v>
      </c>
      <c r="E12314" t="s">
        <v>27348</v>
      </c>
      <c r="F12314" t="s">
        <v>28669</v>
      </c>
      <c r="G12314" t="s">
        <v>28675</v>
      </c>
      <c r="H12314" t="s">
        <v>9998</v>
      </c>
      <c r="I12314" t="s">
        <v>3718</v>
      </c>
      <c r="J12314" t="s">
        <v>36357</v>
      </c>
      <c r="K12314" t="s">
        <v>37206</v>
      </c>
      <c r="M12314" t="s">
        <v>38431</v>
      </c>
      <c r="N12314" t="s">
        <v>41249</v>
      </c>
      <c r="O12314" t="s">
        <v>41250</v>
      </c>
      <c r="P12314">
        <v>0</v>
      </c>
      <c r="Q12314">
        <v>2</v>
      </c>
      <c r="R12314" t="s">
        <v>41267</v>
      </c>
      <c r="S12314" t="s">
        <v>42077</v>
      </c>
      <c r="T12314" t="s">
        <v>42679</v>
      </c>
      <c r="U12314" t="s">
        <v>53056</v>
      </c>
      <c r="W12314" t="s">
        <v>38431</v>
      </c>
      <c r="X12314" t="s">
        <v>41268</v>
      </c>
    </row>
    <row r="12315" spans="1:24">
      <c r="A12315">
        <f>HYPERLINK("https://www.philgeps.gov.ph/GEPSNONPILOT/Tender/SplashBidNoticeAbstractUI.aspx?menuIndex=3&amp;refID=7044987&amp;Result=3","7044987")</f>
        <v>0</v>
      </c>
      <c r="B12315" t="s">
        <v>1443</v>
      </c>
      <c r="C12315" t="s">
        <v>15179</v>
      </c>
      <c r="D12315" t="s">
        <v>16663</v>
      </c>
      <c r="E12315" t="s">
        <v>27349</v>
      </c>
      <c r="F12315" t="s">
        <v>28669</v>
      </c>
      <c r="G12315" t="s">
        <v>28675</v>
      </c>
      <c r="H12315" t="s">
        <v>9998</v>
      </c>
      <c r="I12315" t="s">
        <v>7352</v>
      </c>
      <c r="J12315" t="s">
        <v>36358</v>
      </c>
      <c r="K12315" t="s">
        <v>37206</v>
      </c>
      <c r="L12315" t="s">
        <v>1443</v>
      </c>
      <c r="M12315" t="s">
        <v>39184</v>
      </c>
      <c r="N12315" t="s">
        <v>41249</v>
      </c>
      <c r="O12315" t="s">
        <v>41250</v>
      </c>
      <c r="P12315">
        <v>0</v>
      </c>
      <c r="Q12315">
        <v>2</v>
      </c>
      <c r="R12315" t="s">
        <v>41267</v>
      </c>
      <c r="S12315" t="s">
        <v>42077</v>
      </c>
      <c r="T12315" t="s">
        <v>42734</v>
      </c>
      <c r="U12315" t="s">
        <v>53057</v>
      </c>
      <c r="W12315" t="s">
        <v>39184</v>
      </c>
      <c r="X12315" t="s">
        <v>41268</v>
      </c>
    </row>
    <row r="12316" spans="1:24">
      <c r="A12316">
        <f>HYPERLINK("https://www.philgeps.gov.ph/GEPSNONPILOT/Tender/SplashBidNoticeAbstractUI.aspx?menuIndex=3&amp;refID=7044976&amp;Result=3","7044976")</f>
        <v>0</v>
      </c>
      <c r="B12316" t="s">
        <v>3188</v>
      </c>
      <c r="C12316" t="s">
        <v>15180</v>
      </c>
      <c r="D12316" t="s">
        <v>16691</v>
      </c>
      <c r="E12316" t="s">
        <v>27350</v>
      </c>
      <c r="F12316" t="s">
        <v>28669</v>
      </c>
      <c r="G12316" t="s">
        <v>28675</v>
      </c>
      <c r="H12316" t="s">
        <v>28686</v>
      </c>
      <c r="I12316" t="s">
        <v>28689</v>
      </c>
      <c r="J12316" t="s">
        <v>36359</v>
      </c>
      <c r="K12316" t="s">
        <v>37220</v>
      </c>
      <c r="M12316" t="s">
        <v>40990</v>
      </c>
      <c r="N12316" t="s">
        <v>41249</v>
      </c>
      <c r="O12316" t="s">
        <v>41250</v>
      </c>
      <c r="P12316">
        <v>0</v>
      </c>
      <c r="Q12316">
        <v>0</v>
      </c>
      <c r="R12316" t="s">
        <v>41267</v>
      </c>
      <c r="S12316" t="s">
        <v>42077</v>
      </c>
      <c r="T12316" t="s">
        <v>42736</v>
      </c>
      <c r="U12316" t="s">
        <v>53058</v>
      </c>
      <c r="V12316" t="s">
        <v>55681</v>
      </c>
      <c r="W12316" t="s">
        <v>40990</v>
      </c>
      <c r="X12316" t="s">
        <v>41268</v>
      </c>
    </row>
    <row r="12317" spans="1:24">
      <c r="A12317">
        <f>HYPERLINK("https://www.philgeps.gov.ph/GEPSNONPILOT/Tender/SplashBidNoticeAbstractUI.aspx?menuIndex=3&amp;refID=7044934&amp;Result=3","7044934")</f>
        <v>0</v>
      </c>
      <c r="B12317" t="s">
        <v>531</v>
      </c>
      <c r="C12317" t="s">
        <v>3707</v>
      </c>
      <c r="D12317" t="s">
        <v>16611</v>
      </c>
      <c r="E12317" t="s">
        <v>27351</v>
      </c>
      <c r="F12317" t="s">
        <v>28669</v>
      </c>
      <c r="G12317" t="s">
        <v>28675</v>
      </c>
      <c r="H12317" t="s">
        <v>9998</v>
      </c>
      <c r="I12317" t="s">
        <v>28688</v>
      </c>
      <c r="J12317" t="s">
        <v>30129</v>
      </c>
      <c r="K12317" t="s">
        <v>37210</v>
      </c>
      <c r="M12317" t="s">
        <v>38022</v>
      </c>
      <c r="N12317" t="s">
        <v>41249</v>
      </c>
      <c r="O12317" t="s">
        <v>41250</v>
      </c>
      <c r="P12317">
        <v>0</v>
      </c>
      <c r="Q12317">
        <v>0</v>
      </c>
      <c r="R12317" t="s">
        <v>41267</v>
      </c>
      <c r="S12317" t="s">
        <v>42077</v>
      </c>
      <c r="T12317" t="s">
        <v>42679</v>
      </c>
      <c r="U12317" t="s">
        <v>53059</v>
      </c>
      <c r="W12317" t="s">
        <v>38022</v>
      </c>
      <c r="X12317" t="s">
        <v>41268</v>
      </c>
    </row>
    <row r="12318" spans="1:24">
      <c r="A12318">
        <f>HYPERLINK("https://www.philgeps.gov.ph/GEPSNONPILOT/Tender/SplashBidNoticeAbstractUI.aspx?menuIndex=3&amp;refID=7044953&amp;Result=3","7044953")</f>
        <v>0</v>
      </c>
      <c r="B12318" t="s">
        <v>318</v>
      </c>
      <c r="C12318" t="s">
        <v>15181</v>
      </c>
      <c r="D12318" t="s">
        <v>16619</v>
      </c>
      <c r="E12318" t="s">
        <v>25891</v>
      </c>
      <c r="F12318" t="s">
        <v>28669</v>
      </c>
      <c r="G12318" t="s">
        <v>28675</v>
      </c>
      <c r="H12318" t="s">
        <v>9998</v>
      </c>
      <c r="I12318" t="s">
        <v>28722</v>
      </c>
      <c r="J12318" t="s">
        <v>36360</v>
      </c>
      <c r="K12318" t="s">
        <v>37210</v>
      </c>
      <c r="M12318" t="s">
        <v>37798</v>
      </c>
      <c r="N12318" t="s">
        <v>41249</v>
      </c>
      <c r="O12318" t="s">
        <v>41250</v>
      </c>
      <c r="P12318">
        <v>0</v>
      </c>
      <c r="Q12318">
        <v>5</v>
      </c>
      <c r="R12318" t="s">
        <v>41267</v>
      </c>
      <c r="S12318" t="s">
        <v>42077</v>
      </c>
      <c r="T12318" t="s">
        <v>42697</v>
      </c>
      <c r="U12318" t="s">
        <v>53060</v>
      </c>
      <c r="W12318" t="s">
        <v>37798</v>
      </c>
      <c r="X12318" t="s">
        <v>41268</v>
      </c>
    </row>
    <row r="12319" spans="1:24">
      <c r="A12319">
        <f>HYPERLINK("https://www.philgeps.gov.ph/GEPSNONPILOT/Tender/SplashBidNoticeAbstractUI.aspx?menuIndex=3&amp;refID=7044995&amp;Result=3","7044995")</f>
        <v>0</v>
      </c>
      <c r="B12319" t="s">
        <v>3219</v>
      </c>
      <c r="C12319" t="s">
        <v>3948</v>
      </c>
      <c r="D12319" t="s">
        <v>16620</v>
      </c>
      <c r="E12319" t="s">
        <v>17251</v>
      </c>
      <c r="F12319" t="s">
        <v>28669</v>
      </c>
      <c r="G12319" t="s">
        <v>28675</v>
      </c>
      <c r="H12319" t="s">
        <v>28686</v>
      </c>
      <c r="I12319" t="s">
        <v>28689</v>
      </c>
      <c r="J12319" t="s">
        <v>30227</v>
      </c>
      <c r="K12319" t="s">
        <v>37213</v>
      </c>
      <c r="M12319" t="s">
        <v>41033</v>
      </c>
      <c r="N12319" t="s">
        <v>41249</v>
      </c>
      <c r="O12319" t="s">
        <v>41250</v>
      </c>
      <c r="P12319">
        <v>0</v>
      </c>
      <c r="Q12319">
        <v>3</v>
      </c>
      <c r="R12319" t="s">
        <v>41267</v>
      </c>
      <c r="S12319" t="s">
        <v>42077</v>
      </c>
      <c r="T12319" t="s">
        <v>42743</v>
      </c>
      <c r="U12319" t="s">
        <v>53061</v>
      </c>
      <c r="W12319" t="s">
        <v>41033</v>
      </c>
      <c r="X12319" t="s">
        <v>41268</v>
      </c>
    </row>
    <row r="12320" spans="1:24">
      <c r="A12320">
        <f>HYPERLINK("https://www.philgeps.gov.ph/GEPSNONPILOT/Tender/SplashBidNoticeAbstractUI.aspx?menuIndex=3&amp;refID=7045144&amp;Result=3","7045144")</f>
        <v>0</v>
      </c>
      <c r="B12320" t="s">
        <v>1463</v>
      </c>
      <c r="C12320" t="s">
        <v>15182</v>
      </c>
      <c r="D12320" t="s">
        <v>16619</v>
      </c>
      <c r="E12320" t="s">
        <v>27352</v>
      </c>
      <c r="F12320" t="s">
        <v>28669</v>
      </c>
      <c r="G12320" t="s">
        <v>28675</v>
      </c>
      <c r="H12320" t="s">
        <v>9998</v>
      </c>
      <c r="I12320" t="s">
        <v>28706</v>
      </c>
      <c r="J12320" t="s">
        <v>36361</v>
      </c>
      <c r="K12320" t="s">
        <v>37206</v>
      </c>
      <c r="M12320" t="s">
        <v>39029</v>
      </c>
      <c r="N12320" t="s">
        <v>41249</v>
      </c>
      <c r="O12320" t="s">
        <v>41250</v>
      </c>
      <c r="P12320">
        <v>0</v>
      </c>
      <c r="Q12320">
        <v>5</v>
      </c>
      <c r="R12320" t="s">
        <v>41267</v>
      </c>
      <c r="S12320" t="s">
        <v>42077</v>
      </c>
      <c r="T12320" t="s">
        <v>42764</v>
      </c>
      <c r="U12320" t="s">
        <v>53062</v>
      </c>
      <c r="V12320" t="s">
        <v>55735</v>
      </c>
      <c r="W12320" t="s">
        <v>39029</v>
      </c>
      <c r="X12320" t="s">
        <v>41268</v>
      </c>
    </row>
    <row r="12321" spans="1:24">
      <c r="A12321">
        <f>HYPERLINK("https://www.philgeps.gov.ph/GEPSNONPILOT/Tender/SplashBidNoticeAbstractUI.aspx?menuIndex=3&amp;refID=7044751&amp;Result=3","7044751")</f>
        <v>0</v>
      </c>
      <c r="B12321" t="s">
        <v>303</v>
      </c>
      <c r="C12321" t="s">
        <v>15183</v>
      </c>
      <c r="E12321" t="s">
        <v>27353</v>
      </c>
      <c r="F12321" t="s">
        <v>28669</v>
      </c>
      <c r="G12321" t="s">
        <v>28675</v>
      </c>
      <c r="H12321" t="s">
        <v>9998</v>
      </c>
      <c r="I12321" t="s">
        <v>7352</v>
      </c>
      <c r="J12321" t="s">
        <v>36362</v>
      </c>
      <c r="K12321" t="s">
        <v>37205</v>
      </c>
      <c r="M12321" t="s">
        <v>37782</v>
      </c>
      <c r="N12321" t="s">
        <v>41249</v>
      </c>
      <c r="O12321" t="s">
        <v>41250</v>
      </c>
      <c r="P12321">
        <v>0</v>
      </c>
      <c r="Q12321">
        <v>2</v>
      </c>
      <c r="R12321" t="s">
        <v>41267</v>
      </c>
      <c r="S12321" t="s">
        <v>42077</v>
      </c>
      <c r="T12321" t="s">
        <v>42754</v>
      </c>
      <c r="U12321" t="s">
        <v>53063</v>
      </c>
      <c r="V12321" t="s">
        <v>55730</v>
      </c>
      <c r="W12321" t="s">
        <v>37782</v>
      </c>
      <c r="X12321" t="s">
        <v>41268</v>
      </c>
    </row>
    <row r="12322" spans="1:24">
      <c r="A12322">
        <f>HYPERLINK("https://www.philgeps.gov.ph/GEPSNONPILOT/Tender/SplashBidNoticeAbstractUI.aspx?menuIndex=3&amp;refID=7044931&amp;Result=3","7044931")</f>
        <v>0</v>
      </c>
      <c r="B12322" t="s">
        <v>3219</v>
      </c>
      <c r="C12322" t="s">
        <v>3948</v>
      </c>
      <c r="D12322" t="s">
        <v>16620</v>
      </c>
      <c r="E12322" t="s">
        <v>18246</v>
      </c>
      <c r="F12322" t="s">
        <v>28669</v>
      </c>
      <c r="G12322" t="s">
        <v>28675</v>
      </c>
      <c r="H12322" t="s">
        <v>28686</v>
      </c>
      <c r="I12322" t="s">
        <v>28689</v>
      </c>
      <c r="J12322" t="s">
        <v>28845</v>
      </c>
      <c r="K12322" t="s">
        <v>37204</v>
      </c>
      <c r="M12322" t="s">
        <v>41033</v>
      </c>
      <c r="N12322" t="s">
        <v>41249</v>
      </c>
      <c r="O12322" t="s">
        <v>41250</v>
      </c>
      <c r="P12322">
        <v>0</v>
      </c>
      <c r="Q12322">
        <v>0</v>
      </c>
      <c r="R12322" t="s">
        <v>41267</v>
      </c>
      <c r="S12322" t="s">
        <v>42077</v>
      </c>
      <c r="T12322" t="s">
        <v>42895</v>
      </c>
      <c r="U12322" t="s">
        <v>53064</v>
      </c>
      <c r="W12322" t="s">
        <v>41033</v>
      </c>
      <c r="X12322" t="s">
        <v>41268</v>
      </c>
    </row>
    <row r="12323" spans="1:24">
      <c r="A12323">
        <f>HYPERLINK("https://www.philgeps.gov.ph/GEPSNONPILOT/Tender/SplashBidNoticeAbstractUI.aspx?menuIndex=3&amp;refID=7044932&amp;Result=3","7044932")</f>
        <v>0</v>
      </c>
      <c r="B12323" t="s">
        <v>3217</v>
      </c>
      <c r="C12323" t="s">
        <v>15184</v>
      </c>
      <c r="D12323" t="s">
        <v>16608</v>
      </c>
      <c r="E12323" t="s">
        <v>16768</v>
      </c>
      <c r="F12323" t="s">
        <v>28669</v>
      </c>
      <c r="G12323" t="s">
        <v>28675</v>
      </c>
      <c r="H12323" t="s">
        <v>9998</v>
      </c>
      <c r="I12323" t="s">
        <v>28774</v>
      </c>
      <c r="J12323" t="s">
        <v>36363</v>
      </c>
      <c r="K12323" t="s">
        <v>37206</v>
      </c>
      <c r="M12323" t="s">
        <v>41031</v>
      </c>
      <c r="N12323" t="s">
        <v>41249</v>
      </c>
      <c r="O12323" t="s">
        <v>41250</v>
      </c>
      <c r="Q12323">
        <v>2</v>
      </c>
      <c r="R12323" t="s">
        <v>41267</v>
      </c>
      <c r="S12323" t="s">
        <v>42086</v>
      </c>
      <c r="T12323" t="s">
        <v>43149</v>
      </c>
      <c r="U12323" t="s">
        <v>53065</v>
      </c>
      <c r="V12323" t="s">
        <v>55728</v>
      </c>
      <c r="W12323" t="s">
        <v>41031</v>
      </c>
      <c r="X12323" t="s">
        <v>41268</v>
      </c>
    </row>
    <row r="12324" spans="1:24">
      <c r="A12324">
        <f>HYPERLINK("https://www.philgeps.gov.ph/GEPSNONPILOT/Tender/SplashBidNoticeAbstractUI.aspx?menuIndex=3&amp;refID=7045143&amp;Result=3","7045143")</f>
        <v>0</v>
      </c>
      <c r="B12324" t="s">
        <v>3219</v>
      </c>
      <c r="C12324" t="s">
        <v>3948</v>
      </c>
      <c r="D12324" t="s">
        <v>16620</v>
      </c>
      <c r="E12324" t="s">
        <v>16967</v>
      </c>
      <c r="F12324" t="s">
        <v>28669</v>
      </c>
      <c r="G12324" t="s">
        <v>28675</v>
      </c>
      <c r="H12324" t="s">
        <v>28686</v>
      </c>
      <c r="I12324" t="s">
        <v>28689</v>
      </c>
      <c r="J12324" t="s">
        <v>28845</v>
      </c>
      <c r="K12324" t="s">
        <v>37220</v>
      </c>
      <c r="M12324" t="s">
        <v>41033</v>
      </c>
      <c r="N12324" t="s">
        <v>41249</v>
      </c>
      <c r="O12324" t="s">
        <v>41250</v>
      </c>
      <c r="P12324">
        <v>0</v>
      </c>
      <c r="Q12324">
        <v>3</v>
      </c>
      <c r="R12324" t="s">
        <v>41267</v>
      </c>
      <c r="S12324" t="s">
        <v>42077</v>
      </c>
      <c r="T12324" t="s">
        <v>42743</v>
      </c>
      <c r="U12324" t="s">
        <v>53061</v>
      </c>
      <c r="W12324" t="s">
        <v>41033</v>
      </c>
      <c r="X12324" t="s">
        <v>41268</v>
      </c>
    </row>
    <row r="12325" spans="1:24">
      <c r="A12325">
        <f>HYPERLINK("https://www.philgeps.gov.ph/GEPSNONPILOT/Tender/SplashBidNoticeAbstractUI.aspx?menuIndex=3&amp;refID=7045136&amp;Result=3","7045136")</f>
        <v>0</v>
      </c>
      <c r="B12325" t="s">
        <v>410</v>
      </c>
      <c r="C12325" t="s">
        <v>15185</v>
      </c>
      <c r="D12325" t="s">
        <v>16630</v>
      </c>
      <c r="E12325" t="s">
        <v>27354</v>
      </c>
      <c r="F12325" t="s">
        <v>28669</v>
      </c>
      <c r="G12325" t="s">
        <v>28675</v>
      </c>
      <c r="H12325" t="s">
        <v>9998</v>
      </c>
      <c r="I12325" t="s">
        <v>28706</v>
      </c>
      <c r="J12325" t="s">
        <v>29724</v>
      </c>
      <c r="K12325" t="s">
        <v>37204</v>
      </c>
      <c r="M12325" t="s">
        <v>40815</v>
      </c>
      <c r="N12325" t="s">
        <v>41249</v>
      </c>
      <c r="O12325" t="s">
        <v>41250</v>
      </c>
      <c r="P12325">
        <v>0</v>
      </c>
      <c r="Q12325">
        <v>3</v>
      </c>
      <c r="R12325" t="s">
        <v>41267</v>
      </c>
      <c r="S12325" t="s">
        <v>42077</v>
      </c>
      <c r="T12325" t="s">
        <v>42876</v>
      </c>
      <c r="U12325" t="s">
        <v>53066</v>
      </c>
      <c r="W12325" t="s">
        <v>40815</v>
      </c>
      <c r="X12325" t="s">
        <v>41268</v>
      </c>
    </row>
    <row r="12326" spans="1:24">
      <c r="A12326">
        <f>HYPERLINK("https://www.philgeps.gov.ph/GEPSNONPILOT/Tender/SplashBidNoticeAbstractUI.aspx?menuIndex=3&amp;refID=7045129&amp;Result=3","7045129")</f>
        <v>0</v>
      </c>
      <c r="B12326" t="s">
        <v>2854</v>
      </c>
      <c r="C12326" t="s">
        <v>15186</v>
      </c>
      <c r="D12326" t="s">
        <v>16639</v>
      </c>
      <c r="E12326" t="s">
        <v>17407</v>
      </c>
      <c r="F12326" t="s">
        <v>28669</v>
      </c>
      <c r="G12326" t="s">
        <v>28675</v>
      </c>
      <c r="H12326" t="s">
        <v>9998</v>
      </c>
      <c r="I12326" t="s">
        <v>7352</v>
      </c>
      <c r="J12326" t="s">
        <v>36364</v>
      </c>
      <c r="K12326" t="s">
        <v>37206</v>
      </c>
      <c r="M12326" t="s">
        <v>40592</v>
      </c>
      <c r="N12326" t="s">
        <v>41249</v>
      </c>
      <c r="O12326" t="s">
        <v>41250</v>
      </c>
      <c r="P12326">
        <v>0</v>
      </c>
      <c r="Q12326">
        <v>0</v>
      </c>
      <c r="R12326" t="s">
        <v>41267</v>
      </c>
      <c r="S12326" t="s">
        <v>42077</v>
      </c>
      <c r="T12326" t="s">
        <v>42686</v>
      </c>
      <c r="U12326" t="s">
        <v>53067</v>
      </c>
      <c r="W12326" t="s">
        <v>40592</v>
      </c>
      <c r="X12326" t="s">
        <v>41268</v>
      </c>
    </row>
    <row r="12327" spans="1:24">
      <c r="A12327">
        <f>HYPERLINK("https://www.philgeps.gov.ph/GEPSNONPILOT/Tender/SplashBidNoticeAbstractUI.aspx?menuIndex=3&amp;refID=7045113&amp;Result=3","7045113")</f>
        <v>0</v>
      </c>
      <c r="B12327" t="s">
        <v>2735</v>
      </c>
      <c r="C12327" t="s">
        <v>15187</v>
      </c>
      <c r="D12327" t="s">
        <v>16611</v>
      </c>
      <c r="E12327" t="s">
        <v>27355</v>
      </c>
      <c r="F12327" t="s">
        <v>28669</v>
      </c>
      <c r="G12327" t="s">
        <v>28675</v>
      </c>
      <c r="H12327" t="s">
        <v>9998</v>
      </c>
      <c r="I12327" t="s">
        <v>11593</v>
      </c>
      <c r="J12327" t="s">
        <v>32181</v>
      </c>
      <c r="K12327" t="s">
        <v>37215</v>
      </c>
      <c r="M12327" t="s">
        <v>40450</v>
      </c>
      <c r="N12327" t="s">
        <v>41249</v>
      </c>
      <c r="O12327" t="s">
        <v>41250</v>
      </c>
      <c r="Q12327">
        <v>8</v>
      </c>
      <c r="R12327" t="s">
        <v>41267</v>
      </c>
      <c r="S12327" t="s">
        <v>41571</v>
      </c>
      <c r="T12327" t="s">
        <v>42760</v>
      </c>
      <c r="U12327" t="s">
        <v>53068</v>
      </c>
      <c r="V12327" t="s">
        <v>55284</v>
      </c>
      <c r="W12327" t="s">
        <v>40450</v>
      </c>
      <c r="X12327" t="s">
        <v>41268</v>
      </c>
    </row>
    <row r="12328" spans="1:24">
      <c r="A12328">
        <f>HYPERLINK("https://www.philgeps.gov.ph/GEPSNONPILOT/Tender/SplashBidNoticeAbstractUI.aspx?menuIndex=3&amp;refID=7045112&amp;Result=3","7045112")</f>
        <v>0</v>
      </c>
      <c r="B12328" t="s">
        <v>2318</v>
      </c>
      <c r="C12328" t="s">
        <v>15188</v>
      </c>
      <c r="D12328" t="s">
        <v>16608</v>
      </c>
      <c r="E12328" t="s">
        <v>27356</v>
      </c>
      <c r="F12328" t="s">
        <v>28669</v>
      </c>
      <c r="G12328" t="s">
        <v>28675</v>
      </c>
      <c r="H12328" t="s">
        <v>9998</v>
      </c>
      <c r="I12328" t="s">
        <v>11593</v>
      </c>
      <c r="J12328" t="s">
        <v>35974</v>
      </c>
      <c r="K12328" t="s">
        <v>37209</v>
      </c>
      <c r="M12328" t="s">
        <v>39978</v>
      </c>
      <c r="N12328" t="s">
        <v>41249</v>
      </c>
      <c r="O12328" t="s">
        <v>41250</v>
      </c>
      <c r="P12328">
        <v>0</v>
      </c>
      <c r="Q12328">
        <v>22</v>
      </c>
      <c r="R12328" t="s">
        <v>41267</v>
      </c>
      <c r="S12328" t="s">
        <v>42077</v>
      </c>
      <c r="T12328" t="s">
        <v>42673</v>
      </c>
      <c r="U12328" t="s">
        <v>53069</v>
      </c>
      <c r="W12328" t="s">
        <v>39978</v>
      </c>
      <c r="X12328" t="s">
        <v>41268</v>
      </c>
    </row>
    <row r="12329" spans="1:24">
      <c r="A12329">
        <f>HYPERLINK("https://www.philgeps.gov.ph/GEPSNONPILOT/Tender/SplashBidNoticeAbstractUI.aspx?menuIndex=3&amp;refID=7045111&amp;Result=3","7045111")</f>
        <v>0</v>
      </c>
      <c r="B12329" t="s">
        <v>410</v>
      </c>
      <c r="C12329" t="s">
        <v>15189</v>
      </c>
      <c r="D12329" t="s">
        <v>16630</v>
      </c>
      <c r="E12329" t="s">
        <v>27357</v>
      </c>
      <c r="F12329" t="s">
        <v>28669</v>
      </c>
      <c r="G12329" t="s">
        <v>28675</v>
      </c>
      <c r="H12329" t="s">
        <v>9998</v>
      </c>
      <c r="I12329" t="s">
        <v>28714</v>
      </c>
      <c r="J12329" t="s">
        <v>33861</v>
      </c>
      <c r="K12329" t="s">
        <v>37204</v>
      </c>
      <c r="M12329" t="s">
        <v>40815</v>
      </c>
      <c r="N12329" t="s">
        <v>41249</v>
      </c>
      <c r="O12329" t="s">
        <v>41250</v>
      </c>
      <c r="P12329">
        <v>0</v>
      </c>
      <c r="Q12329">
        <v>19</v>
      </c>
      <c r="R12329" t="s">
        <v>41267</v>
      </c>
      <c r="S12329" t="s">
        <v>42077</v>
      </c>
      <c r="T12329" t="s">
        <v>42876</v>
      </c>
      <c r="U12329" t="s">
        <v>53070</v>
      </c>
      <c r="W12329" t="s">
        <v>40815</v>
      </c>
      <c r="X12329" t="s">
        <v>41268</v>
      </c>
    </row>
    <row r="12330" spans="1:24">
      <c r="A12330">
        <f>HYPERLINK("https://www.philgeps.gov.ph/GEPSNONPILOT/Tender/SplashBidNoticeAbstractUI.aspx?menuIndex=3&amp;refID=7045106&amp;Result=3","7045106")</f>
        <v>0</v>
      </c>
      <c r="B12330" t="s">
        <v>909</v>
      </c>
      <c r="C12330" t="s">
        <v>15190</v>
      </c>
      <c r="D12330" t="s">
        <v>16662</v>
      </c>
      <c r="E12330" t="s">
        <v>27358</v>
      </c>
      <c r="F12330" t="s">
        <v>28669</v>
      </c>
      <c r="G12330" t="s">
        <v>28675</v>
      </c>
      <c r="H12330" t="s">
        <v>9998</v>
      </c>
      <c r="I12330" t="s">
        <v>28742</v>
      </c>
      <c r="J12330" t="s">
        <v>28823</v>
      </c>
      <c r="K12330" t="s">
        <v>37206</v>
      </c>
      <c r="M12330" t="s">
        <v>38431</v>
      </c>
      <c r="N12330" t="s">
        <v>41249</v>
      </c>
      <c r="O12330" t="s">
        <v>41250</v>
      </c>
      <c r="P12330">
        <v>0</v>
      </c>
      <c r="Q12330">
        <v>12</v>
      </c>
      <c r="R12330" t="s">
        <v>41267</v>
      </c>
      <c r="S12330" t="s">
        <v>42077</v>
      </c>
      <c r="T12330" t="s">
        <v>42679</v>
      </c>
      <c r="U12330" t="s">
        <v>53071</v>
      </c>
      <c r="W12330" t="s">
        <v>38431</v>
      </c>
      <c r="X12330" t="s">
        <v>41268</v>
      </c>
    </row>
    <row r="12331" spans="1:24">
      <c r="A12331">
        <f>HYPERLINK("https://www.philgeps.gov.ph/GEPSNONPILOT/Tender/SplashBidNoticeAbstractUI.aspx?menuIndex=3&amp;refID=7045138&amp;Result=3","7045138")</f>
        <v>0</v>
      </c>
      <c r="B12331" t="s">
        <v>3224</v>
      </c>
      <c r="C12331" t="s">
        <v>15191</v>
      </c>
      <c r="E12331" t="s">
        <v>27359</v>
      </c>
      <c r="F12331" t="s">
        <v>28669</v>
      </c>
      <c r="G12331" t="s">
        <v>28675</v>
      </c>
      <c r="H12331" t="s">
        <v>9998</v>
      </c>
      <c r="I12331" t="s">
        <v>28689</v>
      </c>
      <c r="J12331" t="s">
        <v>29847</v>
      </c>
      <c r="K12331" t="s">
        <v>37209</v>
      </c>
      <c r="M12331" t="s">
        <v>41039</v>
      </c>
      <c r="N12331" t="s">
        <v>41249</v>
      </c>
      <c r="O12331" t="s">
        <v>41250</v>
      </c>
      <c r="P12331">
        <v>0</v>
      </c>
      <c r="Q12331">
        <v>4</v>
      </c>
      <c r="R12331" t="s">
        <v>41267</v>
      </c>
      <c r="S12331" t="s">
        <v>42077</v>
      </c>
      <c r="T12331" t="s">
        <v>42714</v>
      </c>
      <c r="U12331" t="s">
        <v>53072</v>
      </c>
      <c r="W12331" t="s">
        <v>41039</v>
      </c>
      <c r="X12331" t="s">
        <v>41268</v>
      </c>
    </row>
    <row r="12332" spans="1:24">
      <c r="A12332">
        <f>HYPERLINK("https://www.philgeps.gov.ph/GEPSNONPILOT/Tender/SplashBidNoticeAbstractUI.aspx?menuIndex=3&amp;refID=7045085&amp;Result=3","7045085")</f>
        <v>0</v>
      </c>
      <c r="B12332" t="s">
        <v>410</v>
      </c>
      <c r="C12332" t="s">
        <v>15192</v>
      </c>
      <c r="D12332" t="s">
        <v>16630</v>
      </c>
      <c r="E12332" t="s">
        <v>27360</v>
      </c>
      <c r="F12332" t="s">
        <v>28669</v>
      </c>
      <c r="G12332" t="s">
        <v>28675</v>
      </c>
      <c r="H12332" t="s">
        <v>9998</v>
      </c>
      <c r="I12332" t="s">
        <v>28717</v>
      </c>
      <c r="J12332" t="s">
        <v>36365</v>
      </c>
      <c r="K12332" t="s">
        <v>37204</v>
      </c>
      <c r="M12332" t="s">
        <v>40815</v>
      </c>
      <c r="N12332" t="s">
        <v>41249</v>
      </c>
      <c r="O12332" t="s">
        <v>41250</v>
      </c>
      <c r="P12332">
        <v>0</v>
      </c>
      <c r="Q12332">
        <v>6</v>
      </c>
      <c r="R12332" t="s">
        <v>41267</v>
      </c>
      <c r="S12332" t="s">
        <v>42077</v>
      </c>
      <c r="T12332" t="s">
        <v>42876</v>
      </c>
      <c r="U12332" t="s">
        <v>53073</v>
      </c>
      <c r="W12332" t="s">
        <v>40815</v>
      </c>
      <c r="X12332" t="s">
        <v>41268</v>
      </c>
    </row>
    <row r="12333" spans="1:24">
      <c r="A12333">
        <f>HYPERLINK("https://www.philgeps.gov.ph/GEPSNONPILOT/Tender/SplashBidNoticeAbstractUI.aspx?menuIndex=3&amp;refID=7045078&amp;Result=3","7045078")</f>
        <v>0</v>
      </c>
      <c r="B12333" t="s">
        <v>238</v>
      </c>
      <c r="C12333" t="s">
        <v>15193</v>
      </c>
      <c r="D12333" t="s">
        <v>16640</v>
      </c>
      <c r="E12333" t="s">
        <v>27361</v>
      </c>
      <c r="F12333" t="s">
        <v>28669</v>
      </c>
      <c r="G12333" t="s">
        <v>28675</v>
      </c>
      <c r="H12333" t="s">
        <v>28684</v>
      </c>
      <c r="I12333" t="s">
        <v>10128</v>
      </c>
      <c r="J12333" t="s">
        <v>36366</v>
      </c>
      <c r="K12333" t="s">
        <v>37238</v>
      </c>
      <c r="M12333" t="s">
        <v>37716</v>
      </c>
      <c r="N12333" t="s">
        <v>41249</v>
      </c>
      <c r="O12333" t="s">
        <v>41250</v>
      </c>
      <c r="P12333">
        <v>0</v>
      </c>
      <c r="Q12333">
        <v>3</v>
      </c>
      <c r="R12333" t="s">
        <v>41267</v>
      </c>
      <c r="S12333" t="s">
        <v>42077</v>
      </c>
      <c r="T12333" t="s">
        <v>42679</v>
      </c>
      <c r="U12333" t="s">
        <v>53074</v>
      </c>
      <c r="W12333" t="s">
        <v>37716</v>
      </c>
      <c r="X12333" t="s">
        <v>41268</v>
      </c>
    </row>
    <row r="12334" spans="1:24">
      <c r="A12334">
        <f>HYPERLINK("https://www.philgeps.gov.ph/GEPSNONPILOT/Tender/SplashBidNoticeAbstractUI.aspx?menuIndex=3&amp;refID=7044920&amp;Result=3","7044920")</f>
        <v>0</v>
      </c>
      <c r="B12334" t="s">
        <v>909</v>
      </c>
      <c r="C12334" t="s">
        <v>15194</v>
      </c>
      <c r="D12334" t="s">
        <v>16662</v>
      </c>
      <c r="E12334" t="s">
        <v>27362</v>
      </c>
      <c r="F12334" t="s">
        <v>28669</v>
      </c>
      <c r="G12334" t="s">
        <v>28675</v>
      </c>
      <c r="H12334" t="s">
        <v>9998</v>
      </c>
      <c r="I12334" t="s">
        <v>6128</v>
      </c>
      <c r="J12334" t="s">
        <v>29651</v>
      </c>
      <c r="K12334" t="s">
        <v>37206</v>
      </c>
      <c r="M12334" t="s">
        <v>38431</v>
      </c>
      <c r="N12334" t="s">
        <v>41249</v>
      </c>
      <c r="O12334" t="s">
        <v>41250</v>
      </c>
      <c r="P12334">
        <v>0</v>
      </c>
      <c r="Q12334">
        <v>0</v>
      </c>
      <c r="R12334" t="s">
        <v>41267</v>
      </c>
      <c r="S12334" t="s">
        <v>42077</v>
      </c>
      <c r="T12334" t="s">
        <v>42679</v>
      </c>
      <c r="U12334" t="s">
        <v>53075</v>
      </c>
      <c r="W12334" t="s">
        <v>38431</v>
      </c>
      <c r="X12334" t="s">
        <v>41268</v>
      </c>
    </row>
    <row r="12335" spans="1:24">
      <c r="A12335">
        <f>HYPERLINK("https://www.philgeps.gov.ph/GEPSNONPILOT/Tender/SplashBidNoticeAbstractUI.aspx?menuIndex=3&amp;refID=7045150&amp;Result=3","7045150")</f>
        <v>0</v>
      </c>
      <c r="B12335" t="s">
        <v>909</v>
      </c>
      <c r="C12335" t="s">
        <v>15195</v>
      </c>
      <c r="D12335" t="s">
        <v>16662</v>
      </c>
      <c r="E12335" t="s">
        <v>27363</v>
      </c>
      <c r="F12335" t="s">
        <v>28669</v>
      </c>
      <c r="G12335" t="s">
        <v>28675</v>
      </c>
      <c r="H12335" t="s">
        <v>9998</v>
      </c>
      <c r="I12335" t="s">
        <v>6606</v>
      </c>
      <c r="J12335" t="s">
        <v>36367</v>
      </c>
      <c r="K12335" t="s">
        <v>37206</v>
      </c>
      <c r="M12335" t="s">
        <v>38431</v>
      </c>
      <c r="N12335" t="s">
        <v>41249</v>
      </c>
      <c r="O12335" t="s">
        <v>41250</v>
      </c>
      <c r="P12335">
        <v>0</v>
      </c>
      <c r="Q12335">
        <v>0</v>
      </c>
      <c r="R12335" t="s">
        <v>41267</v>
      </c>
      <c r="S12335" t="s">
        <v>42077</v>
      </c>
      <c r="T12335" t="s">
        <v>42679</v>
      </c>
      <c r="U12335" t="s">
        <v>53076</v>
      </c>
      <c r="W12335" t="s">
        <v>38431</v>
      </c>
      <c r="X12335" t="s">
        <v>41268</v>
      </c>
    </row>
    <row r="12336" spans="1:24">
      <c r="A12336">
        <f>HYPERLINK("https://www.philgeps.gov.ph/GEPSNONPILOT/Tender/SplashBidNoticeAbstractUI.aspx?menuIndex=3&amp;refID=7044933&amp;Result=3","7044933")</f>
        <v>0</v>
      </c>
      <c r="B12336" t="s">
        <v>1696</v>
      </c>
      <c r="C12336" t="s">
        <v>15196</v>
      </c>
      <c r="D12336" t="s">
        <v>16658</v>
      </c>
      <c r="E12336" t="s">
        <v>27364</v>
      </c>
      <c r="F12336" t="s">
        <v>28669</v>
      </c>
      <c r="G12336" t="s">
        <v>28675</v>
      </c>
      <c r="H12336" t="s">
        <v>28686</v>
      </c>
      <c r="I12336" t="s">
        <v>28689</v>
      </c>
      <c r="J12336" t="s">
        <v>36368</v>
      </c>
      <c r="K12336" t="s">
        <v>37214</v>
      </c>
      <c r="M12336" t="s">
        <v>39292</v>
      </c>
      <c r="N12336" t="s">
        <v>41249</v>
      </c>
      <c r="O12336" t="s">
        <v>41250</v>
      </c>
      <c r="P12336">
        <v>0</v>
      </c>
      <c r="Q12336">
        <v>1</v>
      </c>
      <c r="R12336" t="s">
        <v>41267</v>
      </c>
      <c r="S12336" t="s">
        <v>42077</v>
      </c>
      <c r="T12336" t="s">
        <v>42754</v>
      </c>
      <c r="U12336" t="s">
        <v>53077</v>
      </c>
      <c r="W12336" t="s">
        <v>56030</v>
      </c>
      <c r="X12336" t="s">
        <v>41268</v>
      </c>
    </row>
    <row r="12337" spans="1:24">
      <c r="A12337">
        <f>HYPERLINK("https://www.philgeps.gov.ph/GEPSNONPILOT/Tender/SplashBidNoticeAbstractUI.aspx?menuIndex=3&amp;refID=7045197&amp;Result=3","7045197")</f>
        <v>0</v>
      </c>
      <c r="B12337" t="s">
        <v>909</v>
      </c>
      <c r="C12337" t="s">
        <v>15197</v>
      </c>
      <c r="D12337" t="s">
        <v>16662</v>
      </c>
      <c r="E12337" t="s">
        <v>27365</v>
      </c>
      <c r="F12337" t="s">
        <v>28669</v>
      </c>
      <c r="G12337" t="s">
        <v>28675</v>
      </c>
      <c r="H12337" t="s">
        <v>9998</v>
      </c>
      <c r="I12337" t="s">
        <v>5213</v>
      </c>
      <c r="J12337" t="s">
        <v>36369</v>
      </c>
      <c r="K12337" t="s">
        <v>37206</v>
      </c>
      <c r="M12337" t="s">
        <v>38431</v>
      </c>
      <c r="N12337" t="s">
        <v>41249</v>
      </c>
      <c r="O12337" t="s">
        <v>41250</v>
      </c>
      <c r="P12337">
        <v>0</v>
      </c>
      <c r="Q12337">
        <v>0</v>
      </c>
      <c r="R12337" t="s">
        <v>41267</v>
      </c>
      <c r="S12337" t="s">
        <v>42077</v>
      </c>
      <c r="T12337" t="s">
        <v>42679</v>
      </c>
      <c r="U12337" t="s">
        <v>53078</v>
      </c>
      <c r="W12337" t="s">
        <v>38431</v>
      </c>
      <c r="X12337" t="s">
        <v>41268</v>
      </c>
    </row>
    <row r="12338" spans="1:24">
      <c r="A12338">
        <f>HYPERLINK("https://www.philgeps.gov.ph/GEPSNONPILOT/Tender/SplashBidNoticeAbstractUI.aspx?menuIndex=3&amp;refID=7045249&amp;Result=3","7045249")</f>
        <v>0</v>
      </c>
      <c r="B12338" t="s">
        <v>3225</v>
      </c>
      <c r="C12338" t="s">
        <v>15198</v>
      </c>
      <c r="D12338" t="s">
        <v>16620</v>
      </c>
      <c r="E12338" t="s">
        <v>27366</v>
      </c>
      <c r="F12338" t="s">
        <v>28669</v>
      </c>
      <c r="G12338" t="s">
        <v>28675</v>
      </c>
      <c r="H12338" t="s">
        <v>28686</v>
      </c>
      <c r="I12338" t="s">
        <v>28689</v>
      </c>
      <c r="J12338" t="s">
        <v>28836</v>
      </c>
      <c r="K12338" t="s">
        <v>37211</v>
      </c>
      <c r="M12338" t="s">
        <v>41040</v>
      </c>
      <c r="N12338" t="s">
        <v>41249</v>
      </c>
      <c r="O12338" t="s">
        <v>41250</v>
      </c>
      <c r="P12338">
        <v>0</v>
      </c>
      <c r="Q12338">
        <v>0</v>
      </c>
      <c r="R12338" t="s">
        <v>41267</v>
      </c>
      <c r="S12338" t="s">
        <v>42077</v>
      </c>
      <c r="T12338" t="s">
        <v>42711</v>
      </c>
      <c r="U12338" t="s">
        <v>53079</v>
      </c>
      <c r="W12338" t="s">
        <v>41040</v>
      </c>
      <c r="X12338" t="s">
        <v>41268</v>
      </c>
    </row>
    <row r="12339" spans="1:24">
      <c r="A12339">
        <f>HYPERLINK("https://www.philgeps.gov.ph/GEPSNONPILOT/Tender/SplashBidNoticeAbstractUI.aspx?menuIndex=3&amp;refID=7045084&amp;Result=3","7045084")</f>
        <v>0</v>
      </c>
      <c r="B12339" t="s">
        <v>1443</v>
      </c>
      <c r="C12339" t="s">
        <v>15199</v>
      </c>
      <c r="D12339" t="s">
        <v>16663</v>
      </c>
      <c r="E12339" t="s">
        <v>27367</v>
      </c>
      <c r="F12339" t="s">
        <v>28669</v>
      </c>
      <c r="G12339" t="s">
        <v>28675</v>
      </c>
      <c r="H12339" t="s">
        <v>9998</v>
      </c>
      <c r="I12339" t="s">
        <v>28739</v>
      </c>
      <c r="J12339" t="s">
        <v>36370</v>
      </c>
      <c r="K12339" t="s">
        <v>37206</v>
      </c>
      <c r="L12339" t="s">
        <v>1443</v>
      </c>
      <c r="M12339" t="s">
        <v>39184</v>
      </c>
      <c r="N12339" t="s">
        <v>41249</v>
      </c>
      <c r="O12339" t="s">
        <v>41250</v>
      </c>
      <c r="Q12339">
        <v>7</v>
      </c>
      <c r="R12339" t="s">
        <v>41267</v>
      </c>
      <c r="S12339" t="s">
        <v>42087</v>
      </c>
      <c r="T12339" t="s">
        <v>42734</v>
      </c>
      <c r="U12339" t="s">
        <v>53080</v>
      </c>
      <c r="W12339" t="s">
        <v>39184</v>
      </c>
      <c r="X12339" t="s">
        <v>41268</v>
      </c>
    </row>
    <row r="12340" spans="1:24">
      <c r="A12340">
        <f>HYPERLINK("https://www.philgeps.gov.ph/GEPSNONPILOT/Tender/SplashBidNoticeAbstractUI.aspx?menuIndex=3&amp;refID=7045133&amp;Result=3","7045133")</f>
        <v>0</v>
      </c>
      <c r="B12340" t="s">
        <v>1978</v>
      </c>
      <c r="C12340" t="s">
        <v>15200</v>
      </c>
      <c r="D12340" t="s">
        <v>16666</v>
      </c>
      <c r="E12340" t="s">
        <v>19665</v>
      </c>
      <c r="F12340" t="s">
        <v>28669</v>
      </c>
      <c r="G12340" t="s">
        <v>28675</v>
      </c>
      <c r="H12340" t="s">
        <v>9998</v>
      </c>
      <c r="I12340" t="s">
        <v>3718</v>
      </c>
      <c r="J12340" t="s">
        <v>35948</v>
      </c>
      <c r="K12340" t="s">
        <v>37209</v>
      </c>
      <c r="M12340" t="s">
        <v>39612</v>
      </c>
      <c r="N12340" t="s">
        <v>41249</v>
      </c>
      <c r="O12340" t="s">
        <v>41250</v>
      </c>
      <c r="P12340">
        <v>0</v>
      </c>
      <c r="Q12340">
        <v>4</v>
      </c>
      <c r="R12340" t="s">
        <v>41267</v>
      </c>
      <c r="S12340" t="s">
        <v>42077</v>
      </c>
      <c r="T12340" t="s">
        <v>42711</v>
      </c>
      <c r="U12340" t="s">
        <v>53081</v>
      </c>
      <c r="W12340" t="s">
        <v>39612</v>
      </c>
      <c r="X12340" t="s">
        <v>41268</v>
      </c>
    </row>
    <row r="12341" spans="1:24">
      <c r="A12341">
        <f>HYPERLINK("https://www.philgeps.gov.ph/GEPSNONPILOT/Tender/SplashBidNoticeAbstractUI.aspx?menuIndex=3&amp;refID=7045231&amp;Result=3","7045231")</f>
        <v>0</v>
      </c>
      <c r="B12341" t="s">
        <v>909</v>
      </c>
      <c r="C12341" t="s">
        <v>15201</v>
      </c>
      <c r="D12341" t="s">
        <v>16662</v>
      </c>
      <c r="E12341" t="s">
        <v>27368</v>
      </c>
      <c r="F12341" t="s">
        <v>28669</v>
      </c>
      <c r="G12341" t="s">
        <v>28675</v>
      </c>
      <c r="H12341" t="s">
        <v>9998</v>
      </c>
      <c r="I12341" t="s">
        <v>28710</v>
      </c>
      <c r="J12341" t="s">
        <v>36371</v>
      </c>
      <c r="K12341" t="s">
        <v>37206</v>
      </c>
      <c r="M12341" t="s">
        <v>38431</v>
      </c>
      <c r="N12341" t="s">
        <v>41249</v>
      </c>
      <c r="O12341" t="s">
        <v>41250</v>
      </c>
      <c r="P12341">
        <v>0</v>
      </c>
      <c r="Q12341">
        <v>0</v>
      </c>
      <c r="R12341" t="s">
        <v>41267</v>
      </c>
      <c r="S12341" t="s">
        <v>42077</v>
      </c>
      <c r="T12341" t="s">
        <v>42679</v>
      </c>
      <c r="U12341" t="s">
        <v>53082</v>
      </c>
      <c r="W12341" t="s">
        <v>38431</v>
      </c>
      <c r="X12341" t="s">
        <v>41268</v>
      </c>
    </row>
    <row r="12342" spans="1:24">
      <c r="A12342">
        <f>HYPERLINK("https://www.philgeps.gov.ph/GEPSNONPILOT/Tender/SplashBidNoticeAbstractUI.aspx?menuIndex=3&amp;refID=7045031&amp;Result=3","7045031")</f>
        <v>0</v>
      </c>
      <c r="B12342" t="s">
        <v>1463</v>
      </c>
      <c r="C12342" t="s">
        <v>15202</v>
      </c>
      <c r="D12342" t="s">
        <v>16619</v>
      </c>
      <c r="E12342" t="s">
        <v>27369</v>
      </c>
      <c r="F12342" t="s">
        <v>28669</v>
      </c>
      <c r="G12342" t="s">
        <v>28675</v>
      </c>
      <c r="H12342" t="s">
        <v>9998</v>
      </c>
      <c r="I12342" t="s">
        <v>28695</v>
      </c>
      <c r="J12342" t="s">
        <v>36372</v>
      </c>
      <c r="K12342" t="s">
        <v>37210</v>
      </c>
      <c r="M12342" t="s">
        <v>39029</v>
      </c>
      <c r="N12342" t="s">
        <v>41249</v>
      </c>
      <c r="O12342" t="s">
        <v>41250</v>
      </c>
      <c r="P12342">
        <v>0</v>
      </c>
      <c r="Q12342">
        <v>1</v>
      </c>
      <c r="R12342" t="s">
        <v>41267</v>
      </c>
      <c r="S12342" t="s">
        <v>42077</v>
      </c>
      <c r="T12342" t="s">
        <v>42764</v>
      </c>
      <c r="U12342" t="s">
        <v>53083</v>
      </c>
      <c r="V12342" t="s">
        <v>55736</v>
      </c>
      <c r="W12342" t="s">
        <v>39029</v>
      </c>
      <c r="X12342" t="s">
        <v>41268</v>
      </c>
    </row>
    <row r="12343" spans="1:24">
      <c r="A12343">
        <f>HYPERLINK("https://www.philgeps.gov.ph/GEPSNONPILOT/Tender/SplashBidNoticeAbstractUI.aspx?menuIndex=3&amp;refID=7045064&amp;Result=3","7045064")</f>
        <v>0</v>
      </c>
      <c r="B12343" t="s">
        <v>84</v>
      </c>
      <c r="C12343" t="s">
        <v>15203</v>
      </c>
      <c r="D12343" t="s">
        <v>16651</v>
      </c>
      <c r="E12343" t="s">
        <v>27370</v>
      </c>
      <c r="F12343" t="s">
        <v>28669</v>
      </c>
      <c r="G12343" t="s">
        <v>28675</v>
      </c>
      <c r="H12343" t="s">
        <v>28686</v>
      </c>
      <c r="I12343" t="s">
        <v>28689</v>
      </c>
      <c r="J12343" t="s">
        <v>28914</v>
      </c>
      <c r="K12343" t="s">
        <v>37209</v>
      </c>
      <c r="M12343" t="s">
        <v>37559</v>
      </c>
      <c r="N12343" t="s">
        <v>41249</v>
      </c>
      <c r="O12343" t="s">
        <v>41250</v>
      </c>
      <c r="P12343">
        <v>0</v>
      </c>
      <c r="Q12343">
        <v>1</v>
      </c>
      <c r="R12343" t="s">
        <v>41267</v>
      </c>
      <c r="S12343" t="s">
        <v>42077</v>
      </c>
      <c r="T12343" t="s">
        <v>42711</v>
      </c>
      <c r="U12343" t="s">
        <v>53030</v>
      </c>
      <c r="W12343" t="s">
        <v>37559</v>
      </c>
      <c r="X12343" t="s">
        <v>41268</v>
      </c>
    </row>
    <row r="12344" spans="1:24">
      <c r="A12344">
        <f>HYPERLINK("https://www.philgeps.gov.ph/GEPSNONPILOT/Tender/SplashBidNoticeAbstractUI.aspx?menuIndex=3&amp;refID=7045221&amp;Result=3","7045221")</f>
        <v>0</v>
      </c>
      <c r="B12344" t="s">
        <v>2935</v>
      </c>
      <c r="C12344" t="s">
        <v>15204</v>
      </c>
      <c r="D12344" t="s">
        <v>16672</v>
      </c>
      <c r="E12344" t="s">
        <v>27371</v>
      </c>
      <c r="F12344" t="s">
        <v>28669</v>
      </c>
      <c r="G12344" t="s">
        <v>28675</v>
      </c>
      <c r="H12344" t="s">
        <v>28686</v>
      </c>
      <c r="I12344" t="s">
        <v>28689</v>
      </c>
      <c r="J12344" t="s">
        <v>28847</v>
      </c>
      <c r="K12344" t="s">
        <v>37212</v>
      </c>
      <c r="M12344" t="s">
        <v>40689</v>
      </c>
      <c r="N12344" t="s">
        <v>41249</v>
      </c>
      <c r="O12344" t="s">
        <v>41250</v>
      </c>
      <c r="P12344">
        <v>0</v>
      </c>
      <c r="Q12344">
        <v>1</v>
      </c>
      <c r="R12344" t="s">
        <v>41267</v>
      </c>
      <c r="S12344" t="s">
        <v>42077</v>
      </c>
      <c r="T12344" t="s">
        <v>42670</v>
      </c>
      <c r="U12344" t="s">
        <v>53084</v>
      </c>
      <c r="W12344" t="s">
        <v>40689</v>
      </c>
      <c r="X12344" t="s">
        <v>41268</v>
      </c>
    </row>
    <row r="12345" spans="1:24">
      <c r="A12345">
        <f>HYPERLINK("https://www.philgeps.gov.ph/GEPSNONPILOT/Tender/SplashBidNoticeAbstractUI.aspx?menuIndex=3&amp;refID=7045210&amp;Result=3","7045210")</f>
        <v>0</v>
      </c>
      <c r="B12345" t="s">
        <v>410</v>
      </c>
      <c r="C12345" t="s">
        <v>15205</v>
      </c>
      <c r="D12345" t="s">
        <v>16630</v>
      </c>
      <c r="E12345" t="s">
        <v>27372</v>
      </c>
      <c r="F12345" t="s">
        <v>28669</v>
      </c>
      <c r="G12345" t="s">
        <v>28675</v>
      </c>
      <c r="H12345" t="s">
        <v>9998</v>
      </c>
      <c r="I12345" t="s">
        <v>28687</v>
      </c>
      <c r="J12345" t="s">
        <v>29059</v>
      </c>
      <c r="K12345" t="s">
        <v>37204</v>
      </c>
      <c r="M12345" t="s">
        <v>40815</v>
      </c>
      <c r="N12345" t="s">
        <v>41249</v>
      </c>
      <c r="O12345" t="s">
        <v>41250</v>
      </c>
      <c r="P12345">
        <v>0</v>
      </c>
      <c r="Q12345">
        <v>8</v>
      </c>
      <c r="R12345" t="s">
        <v>41267</v>
      </c>
      <c r="S12345" t="s">
        <v>42077</v>
      </c>
      <c r="T12345" t="s">
        <v>42876</v>
      </c>
      <c r="U12345" t="s">
        <v>53085</v>
      </c>
      <c r="W12345" t="s">
        <v>40815</v>
      </c>
      <c r="X12345" t="s">
        <v>41268</v>
      </c>
    </row>
    <row r="12346" spans="1:24">
      <c r="A12346">
        <f>HYPERLINK("https://www.philgeps.gov.ph/GEPSNONPILOT/Tender/SplashBidNoticeAbstractUI.aspx?menuIndex=3&amp;refID=7045201&amp;Result=3","7045201")</f>
        <v>0</v>
      </c>
      <c r="B12346" t="s">
        <v>262</v>
      </c>
      <c r="C12346" t="s">
        <v>15206</v>
      </c>
      <c r="D12346" t="s">
        <v>16678</v>
      </c>
      <c r="E12346" t="s">
        <v>27373</v>
      </c>
      <c r="F12346" t="s">
        <v>28669</v>
      </c>
      <c r="G12346" t="s">
        <v>28675</v>
      </c>
      <c r="H12346" t="s">
        <v>28686</v>
      </c>
      <c r="I12346" t="s">
        <v>28689</v>
      </c>
      <c r="J12346" t="s">
        <v>29943</v>
      </c>
      <c r="K12346" t="s">
        <v>37212</v>
      </c>
      <c r="M12346" t="s">
        <v>37740</v>
      </c>
      <c r="N12346" t="s">
        <v>41249</v>
      </c>
      <c r="O12346" t="s">
        <v>41250</v>
      </c>
      <c r="P12346">
        <v>0</v>
      </c>
      <c r="Q12346">
        <v>0</v>
      </c>
      <c r="R12346" t="s">
        <v>41267</v>
      </c>
      <c r="S12346" t="s">
        <v>42077</v>
      </c>
      <c r="T12346" t="s">
        <v>42679</v>
      </c>
      <c r="U12346" t="s">
        <v>53086</v>
      </c>
      <c r="W12346" t="s">
        <v>37740</v>
      </c>
      <c r="X12346" t="s">
        <v>41268</v>
      </c>
    </row>
    <row r="12347" spans="1:24">
      <c r="A12347">
        <f>HYPERLINK("https://www.philgeps.gov.ph/GEPSNONPILOT/Tender/SplashBidNoticeAbstractUI.aspx?menuIndex=3&amp;refID=7045238&amp;Result=3","7045238")</f>
        <v>0</v>
      </c>
      <c r="B12347" t="s">
        <v>1699</v>
      </c>
      <c r="C12347" t="s">
        <v>15207</v>
      </c>
      <c r="D12347" t="s">
        <v>16655</v>
      </c>
      <c r="E12347" t="s">
        <v>27374</v>
      </c>
      <c r="F12347" t="s">
        <v>28669</v>
      </c>
      <c r="G12347" t="s">
        <v>28675</v>
      </c>
      <c r="H12347" t="s">
        <v>28686</v>
      </c>
      <c r="I12347" t="s">
        <v>28689</v>
      </c>
      <c r="J12347" t="s">
        <v>36373</v>
      </c>
      <c r="K12347" t="s">
        <v>37231</v>
      </c>
      <c r="M12347" t="s">
        <v>39296</v>
      </c>
      <c r="N12347" t="s">
        <v>41249</v>
      </c>
      <c r="O12347" t="s">
        <v>41250</v>
      </c>
      <c r="P12347">
        <v>0</v>
      </c>
      <c r="Q12347">
        <v>0</v>
      </c>
      <c r="R12347" t="s">
        <v>41267</v>
      </c>
      <c r="S12347" t="s">
        <v>42077</v>
      </c>
      <c r="T12347" t="s">
        <v>42738</v>
      </c>
      <c r="U12347" t="s">
        <v>53087</v>
      </c>
      <c r="V12347" t="s">
        <v>54784</v>
      </c>
      <c r="W12347" t="s">
        <v>39296</v>
      </c>
      <c r="X12347" t="s">
        <v>41268</v>
      </c>
    </row>
    <row r="12348" spans="1:24">
      <c r="A12348">
        <f>HYPERLINK("https://www.philgeps.gov.ph/GEPSNONPILOT/Tender/SplashBidNoticeAbstractUI.aspx?menuIndex=3&amp;refID=7045123&amp;Result=3","7045123")</f>
        <v>0</v>
      </c>
      <c r="B12348" t="s">
        <v>1443</v>
      </c>
      <c r="C12348" t="s">
        <v>15208</v>
      </c>
      <c r="D12348" t="s">
        <v>16663</v>
      </c>
      <c r="E12348" t="s">
        <v>27375</v>
      </c>
      <c r="F12348" t="s">
        <v>28669</v>
      </c>
      <c r="G12348" t="s">
        <v>28675</v>
      </c>
      <c r="H12348" t="s">
        <v>9998</v>
      </c>
      <c r="I12348" t="s">
        <v>28714</v>
      </c>
      <c r="J12348" t="s">
        <v>29669</v>
      </c>
      <c r="K12348" t="s">
        <v>37220</v>
      </c>
      <c r="L12348" t="s">
        <v>1443</v>
      </c>
      <c r="M12348" t="s">
        <v>39184</v>
      </c>
      <c r="N12348" t="s">
        <v>41249</v>
      </c>
      <c r="O12348" t="s">
        <v>41250</v>
      </c>
      <c r="Q12348">
        <v>33</v>
      </c>
      <c r="R12348" t="s">
        <v>41267</v>
      </c>
      <c r="S12348" t="s">
        <v>42088</v>
      </c>
      <c r="T12348" t="s">
        <v>42734</v>
      </c>
      <c r="U12348" t="s">
        <v>53088</v>
      </c>
      <c r="W12348" t="s">
        <v>39184</v>
      </c>
      <c r="X12348" t="s">
        <v>41268</v>
      </c>
    </row>
    <row r="12349" spans="1:24">
      <c r="A12349">
        <f>HYPERLINK("https://www.philgeps.gov.ph/GEPSNONPILOT/Tender/SplashBidNoticeAbstractUI.aspx?menuIndex=3&amp;refID=7045182&amp;Result=3","7045182")</f>
        <v>0</v>
      </c>
      <c r="B12349" t="s">
        <v>140</v>
      </c>
      <c r="C12349" t="s">
        <v>15209</v>
      </c>
      <c r="D12349" t="s">
        <v>16652</v>
      </c>
      <c r="E12349" t="s">
        <v>27376</v>
      </c>
      <c r="F12349" t="s">
        <v>28669</v>
      </c>
      <c r="G12349" t="s">
        <v>28675</v>
      </c>
      <c r="H12349" t="s">
        <v>28686</v>
      </c>
      <c r="I12349" t="s">
        <v>28689</v>
      </c>
      <c r="J12349" t="s">
        <v>29003</v>
      </c>
      <c r="K12349" t="s">
        <v>37258</v>
      </c>
      <c r="M12349" t="s">
        <v>37617</v>
      </c>
      <c r="N12349" t="s">
        <v>41249</v>
      </c>
      <c r="O12349" t="s">
        <v>41250</v>
      </c>
      <c r="P12349">
        <v>0</v>
      </c>
      <c r="Q12349">
        <v>0</v>
      </c>
      <c r="R12349" t="s">
        <v>41267</v>
      </c>
      <c r="S12349" t="s">
        <v>42077</v>
      </c>
      <c r="T12349" t="s">
        <v>42763</v>
      </c>
      <c r="U12349" t="s">
        <v>46007</v>
      </c>
      <c r="W12349" t="s">
        <v>37617</v>
      </c>
      <c r="X12349" t="s">
        <v>41268</v>
      </c>
    </row>
    <row r="12350" spans="1:24">
      <c r="A12350">
        <f>HYPERLINK("https://www.philgeps.gov.ph/GEPSNONPILOT/Tender/SplashBidNoticeAbstractUI.aspx?menuIndex=3&amp;refID=7045209&amp;Result=3","7045209")</f>
        <v>0</v>
      </c>
      <c r="B12350" t="s">
        <v>3225</v>
      </c>
      <c r="C12350" t="s">
        <v>15210</v>
      </c>
      <c r="D12350" t="s">
        <v>16620</v>
      </c>
      <c r="E12350" t="s">
        <v>27377</v>
      </c>
      <c r="F12350" t="s">
        <v>28669</v>
      </c>
      <c r="G12350" t="s">
        <v>28675</v>
      </c>
      <c r="H12350" t="s">
        <v>28686</v>
      </c>
      <c r="I12350" t="s">
        <v>28689</v>
      </c>
      <c r="J12350" t="s">
        <v>29112</v>
      </c>
      <c r="K12350" t="s">
        <v>37213</v>
      </c>
      <c r="M12350" t="s">
        <v>41040</v>
      </c>
      <c r="N12350" t="s">
        <v>41249</v>
      </c>
      <c r="O12350" t="s">
        <v>41250</v>
      </c>
      <c r="P12350">
        <v>0</v>
      </c>
      <c r="Q12350">
        <v>2</v>
      </c>
      <c r="R12350" t="s">
        <v>41267</v>
      </c>
      <c r="S12350" t="s">
        <v>42077</v>
      </c>
      <c r="T12350" t="s">
        <v>42711</v>
      </c>
      <c r="U12350" t="s">
        <v>53089</v>
      </c>
      <c r="W12350" t="s">
        <v>41040</v>
      </c>
      <c r="X12350" t="s">
        <v>41268</v>
      </c>
    </row>
    <row r="12351" spans="1:24">
      <c r="A12351">
        <f>HYPERLINK("https://www.philgeps.gov.ph/GEPSNONPILOT/Tender/SplashBidNoticeAbstractUI.aspx?menuIndex=3&amp;refID=7045169&amp;Result=3","7045169")</f>
        <v>0</v>
      </c>
      <c r="B12351" t="s">
        <v>410</v>
      </c>
      <c r="C12351" t="s">
        <v>15211</v>
      </c>
      <c r="D12351" t="s">
        <v>16630</v>
      </c>
      <c r="E12351" t="s">
        <v>27378</v>
      </c>
      <c r="F12351" t="s">
        <v>28669</v>
      </c>
      <c r="G12351" t="s">
        <v>28675</v>
      </c>
      <c r="H12351" t="s">
        <v>9998</v>
      </c>
      <c r="I12351" t="s">
        <v>28718</v>
      </c>
      <c r="J12351" t="s">
        <v>36374</v>
      </c>
      <c r="K12351" t="s">
        <v>37204</v>
      </c>
      <c r="M12351" t="s">
        <v>40815</v>
      </c>
      <c r="N12351" t="s">
        <v>41249</v>
      </c>
      <c r="O12351" t="s">
        <v>41250</v>
      </c>
      <c r="P12351">
        <v>0</v>
      </c>
      <c r="Q12351">
        <v>1</v>
      </c>
      <c r="R12351" t="s">
        <v>41267</v>
      </c>
      <c r="S12351" t="s">
        <v>42077</v>
      </c>
      <c r="T12351" t="s">
        <v>42876</v>
      </c>
      <c r="U12351" t="s">
        <v>53090</v>
      </c>
      <c r="W12351" t="s">
        <v>40815</v>
      </c>
      <c r="X12351" t="s">
        <v>41268</v>
      </c>
    </row>
    <row r="12352" spans="1:24">
      <c r="A12352">
        <f>HYPERLINK("https://www.philgeps.gov.ph/GEPSNONPILOT/Tender/SplashBidNoticeAbstractUI.aspx?menuIndex=3&amp;refID=7045212&amp;Result=3","7045212")</f>
        <v>0</v>
      </c>
      <c r="B12352" t="s">
        <v>262</v>
      </c>
      <c r="C12352" t="s">
        <v>15212</v>
      </c>
      <c r="D12352" t="s">
        <v>16678</v>
      </c>
      <c r="E12352" t="s">
        <v>27379</v>
      </c>
      <c r="F12352" t="s">
        <v>28669</v>
      </c>
      <c r="G12352" t="s">
        <v>28675</v>
      </c>
      <c r="H12352" t="s">
        <v>28686</v>
      </c>
      <c r="I12352" t="s">
        <v>28689</v>
      </c>
      <c r="J12352" t="s">
        <v>29943</v>
      </c>
      <c r="K12352" t="s">
        <v>37212</v>
      </c>
      <c r="M12352" t="s">
        <v>37740</v>
      </c>
      <c r="N12352" t="s">
        <v>41249</v>
      </c>
      <c r="O12352" t="s">
        <v>41250</v>
      </c>
      <c r="P12352">
        <v>0</v>
      </c>
      <c r="Q12352">
        <v>0</v>
      </c>
      <c r="R12352" t="s">
        <v>41267</v>
      </c>
      <c r="S12352" t="s">
        <v>42077</v>
      </c>
      <c r="T12352" t="s">
        <v>42679</v>
      </c>
      <c r="U12352" t="s">
        <v>53091</v>
      </c>
      <c r="W12352" t="s">
        <v>37740</v>
      </c>
      <c r="X12352" t="s">
        <v>41268</v>
      </c>
    </row>
    <row r="12353" spans="1:24">
      <c r="A12353">
        <f>HYPERLINK("https://www.philgeps.gov.ph/GEPSNONPILOT/Tender/SplashBidNoticeAbstractUI.aspx?menuIndex=3&amp;refID=7045153&amp;Result=3","7045153")</f>
        <v>0</v>
      </c>
      <c r="B12353" t="s">
        <v>84</v>
      </c>
      <c r="C12353" t="s">
        <v>15213</v>
      </c>
      <c r="D12353" t="s">
        <v>16651</v>
      </c>
      <c r="E12353" t="s">
        <v>27380</v>
      </c>
      <c r="F12353" t="s">
        <v>28669</v>
      </c>
      <c r="G12353" t="s">
        <v>28675</v>
      </c>
      <c r="H12353" t="s">
        <v>28686</v>
      </c>
      <c r="I12353" t="s">
        <v>28689</v>
      </c>
      <c r="J12353" t="s">
        <v>29059</v>
      </c>
      <c r="K12353" t="s">
        <v>37209</v>
      </c>
      <c r="M12353" t="s">
        <v>37559</v>
      </c>
      <c r="N12353" t="s">
        <v>41249</v>
      </c>
      <c r="O12353" t="s">
        <v>41250</v>
      </c>
      <c r="P12353">
        <v>0</v>
      </c>
      <c r="Q12353">
        <v>1</v>
      </c>
      <c r="R12353" t="s">
        <v>41267</v>
      </c>
      <c r="S12353" t="s">
        <v>42077</v>
      </c>
      <c r="T12353" t="s">
        <v>42711</v>
      </c>
      <c r="U12353" t="s">
        <v>53030</v>
      </c>
      <c r="W12353" t="s">
        <v>37559</v>
      </c>
      <c r="X12353" t="s">
        <v>41268</v>
      </c>
    </row>
    <row r="12354" spans="1:24">
      <c r="A12354">
        <f>HYPERLINK("https://www.philgeps.gov.ph/GEPSNONPILOT/Tender/SplashBidNoticeAbstractUI.aspx?menuIndex=3&amp;refID=7045198&amp;Result=3","7045198")</f>
        <v>0</v>
      </c>
      <c r="B12354" t="s">
        <v>2935</v>
      </c>
      <c r="C12354" t="s">
        <v>15214</v>
      </c>
      <c r="D12354" t="s">
        <v>16672</v>
      </c>
      <c r="E12354" t="s">
        <v>27381</v>
      </c>
      <c r="F12354" t="s">
        <v>28669</v>
      </c>
      <c r="G12354" t="s">
        <v>28675</v>
      </c>
      <c r="H12354" t="s">
        <v>28686</v>
      </c>
      <c r="I12354" t="s">
        <v>28689</v>
      </c>
      <c r="J12354" t="s">
        <v>28836</v>
      </c>
      <c r="K12354" t="s">
        <v>37220</v>
      </c>
      <c r="M12354" t="s">
        <v>40689</v>
      </c>
      <c r="N12354" t="s">
        <v>41249</v>
      </c>
      <c r="O12354" t="s">
        <v>41250</v>
      </c>
      <c r="P12354">
        <v>0</v>
      </c>
      <c r="Q12354">
        <v>1</v>
      </c>
      <c r="R12354" t="s">
        <v>41267</v>
      </c>
      <c r="S12354" t="s">
        <v>42077</v>
      </c>
      <c r="T12354" t="s">
        <v>42702</v>
      </c>
      <c r="U12354" t="s">
        <v>53092</v>
      </c>
      <c r="W12354" t="s">
        <v>40689</v>
      </c>
      <c r="X12354" t="s">
        <v>41268</v>
      </c>
    </row>
    <row r="12355" spans="1:24">
      <c r="A12355">
        <f>HYPERLINK("https://www.philgeps.gov.ph/GEPSNONPILOT/Tender/SplashBidNoticeAbstractUI.aspx?menuIndex=3&amp;refID=7045057&amp;Result=3","7045057")</f>
        <v>0</v>
      </c>
      <c r="B12355" t="s">
        <v>410</v>
      </c>
      <c r="C12355" t="s">
        <v>15215</v>
      </c>
      <c r="D12355" t="s">
        <v>16630</v>
      </c>
      <c r="E12355" t="s">
        <v>27382</v>
      </c>
      <c r="F12355" t="s">
        <v>28669</v>
      </c>
      <c r="G12355" t="s">
        <v>28675</v>
      </c>
      <c r="H12355" t="s">
        <v>9998</v>
      </c>
      <c r="I12355" t="s">
        <v>7352</v>
      </c>
      <c r="J12355" t="s">
        <v>36375</v>
      </c>
      <c r="K12355" t="s">
        <v>37204</v>
      </c>
      <c r="M12355" t="s">
        <v>40815</v>
      </c>
      <c r="N12355" t="s">
        <v>41249</v>
      </c>
      <c r="O12355" t="s">
        <v>41250</v>
      </c>
      <c r="P12355">
        <v>0</v>
      </c>
      <c r="Q12355">
        <v>2</v>
      </c>
      <c r="R12355" t="s">
        <v>41267</v>
      </c>
      <c r="S12355" t="s">
        <v>42077</v>
      </c>
      <c r="T12355" t="s">
        <v>42876</v>
      </c>
      <c r="U12355" t="s">
        <v>53093</v>
      </c>
      <c r="W12355" t="s">
        <v>40815</v>
      </c>
      <c r="X12355" t="s">
        <v>41268</v>
      </c>
    </row>
    <row r="12356" spans="1:24">
      <c r="A12356">
        <f>HYPERLINK("https://www.philgeps.gov.ph/GEPSNONPILOT/Tender/SplashBidNoticeAbstractUI.aspx?menuIndex=3&amp;refID=7045196&amp;Result=3","7045196")</f>
        <v>0</v>
      </c>
      <c r="B12356" t="s">
        <v>1179</v>
      </c>
      <c r="C12356" t="s">
        <v>15216</v>
      </c>
      <c r="D12356" t="s">
        <v>16664</v>
      </c>
      <c r="E12356" t="s">
        <v>27383</v>
      </c>
      <c r="F12356" t="s">
        <v>28669</v>
      </c>
      <c r="G12356" t="s">
        <v>28675</v>
      </c>
      <c r="H12356" t="s">
        <v>28686</v>
      </c>
      <c r="I12356" t="s">
        <v>28689</v>
      </c>
      <c r="J12356" t="s">
        <v>36376</v>
      </c>
      <c r="K12356" t="s">
        <v>37214</v>
      </c>
      <c r="M12356" t="s">
        <v>38719</v>
      </c>
      <c r="N12356" t="s">
        <v>41249</v>
      </c>
      <c r="O12356" t="s">
        <v>41250</v>
      </c>
      <c r="P12356">
        <v>0</v>
      </c>
      <c r="Q12356">
        <v>3</v>
      </c>
      <c r="R12356" t="s">
        <v>41267</v>
      </c>
      <c r="S12356" t="s">
        <v>42077</v>
      </c>
      <c r="T12356" t="s">
        <v>42733</v>
      </c>
      <c r="U12356" t="s">
        <v>53094</v>
      </c>
      <c r="W12356" t="s">
        <v>38719</v>
      </c>
      <c r="X12356" t="s">
        <v>41268</v>
      </c>
    </row>
    <row r="12357" spans="1:24">
      <c r="A12357">
        <f>HYPERLINK("https://www.philgeps.gov.ph/GEPSNONPILOT/Tender/SplashBidNoticeAbstractUI.aspx?menuIndex=3&amp;refID=7045055&amp;Result=3","7045055")</f>
        <v>0</v>
      </c>
      <c r="B12357" t="s">
        <v>782</v>
      </c>
      <c r="C12357" t="s">
        <v>15217</v>
      </c>
      <c r="D12357" t="s">
        <v>16658</v>
      </c>
      <c r="E12357" t="s">
        <v>27384</v>
      </c>
      <c r="F12357" t="s">
        <v>28669</v>
      </c>
      <c r="G12357" t="s">
        <v>28675</v>
      </c>
      <c r="H12357" t="s">
        <v>28686</v>
      </c>
      <c r="I12357" t="s">
        <v>28689</v>
      </c>
      <c r="J12357" t="s">
        <v>36377</v>
      </c>
      <c r="K12357" t="s">
        <v>37213</v>
      </c>
      <c r="M12357" t="s">
        <v>38296</v>
      </c>
      <c r="N12357" t="s">
        <v>41249</v>
      </c>
      <c r="O12357" t="s">
        <v>41250</v>
      </c>
      <c r="P12357">
        <v>0</v>
      </c>
      <c r="Q12357">
        <v>2</v>
      </c>
      <c r="R12357" t="s">
        <v>41267</v>
      </c>
      <c r="S12357" t="s">
        <v>42077</v>
      </c>
      <c r="T12357" t="s">
        <v>42836</v>
      </c>
      <c r="U12357" t="s">
        <v>53095</v>
      </c>
      <c r="W12357" t="s">
        <v>38296</v>
      </c>
      <c r="X12357" t="s">
        <v>41268</v>
      </c>
    </row>
    <row r="12358" spans="1:24">
      <c r="A12358">
        <f>HYPERLINK("https://www.philgeps.gov.ph/GEPSNONPILOT/Tender/SplashBidNoticeAbstractUI.aspx?menuIndex=3&amp;refID=7045039&amp;Result=3","7045039")</f>
        <v>0</v>
      </c>
      <c r="B12358" t="s">
        <v>411</v>
      </c>
      <c r="C12358" t="s">
        <v>15218</v>
      </c>
      <c r="D12358" t="s">
        <v>16637</v>
      </c>
      <c r="E12358" t="s">
        <v>27385</v>
      </c>
      <c r="F12358" t="s">
        <v>28669</v>
      </c>
      <c r="G12358" t="s">
        <v>28676</v>
      </c>
      <c r="H12358" t="s">
        <v>28684</v>
      </c>
      <c r="I12358" t="s">
        <v>6606</v>
      </c>
      <c r="J12358" t="s">
        <v>28879</v>
      </c>
      <c r="K12358" t="s">
        <v>37256</v>
      </c>
      <c r="M12358" t="s">
        <v>39337</v>
      </c>
      <c r="N12358" t="s">
        <v>41249</v>
      </c>
      <c r="O12358" t="s">
        <v>41250</v>
      </c>
      <c r="Q12358">
        <v>1</v>
      </c>
      <c r="R12358" t="s">
        <v>41267</v>
      </c>
      <c r="S12358" t="s">
        <v>42089</v>
      </c>
      <c r="T12358" t="s">
        <v>42827</v>
      </c>
      <c r="U12358" t="s">
        <v>53096</v>
      </c>
      <c r="W12358" t="s">
        <v>39337</v>
      </c>
      <c r="X12358" t="s">
        <v>41268</v>
      </c>
    </row>
    <row r="12359" spans="1:24">
      <c r="A12359">
        <f>HYPERLINK("https://www.philgeps.gov.ph/GEPSNONPILOT/Tender/SplashBidNoticeAbstractUI.aspx?menuIndex=3&amp;refID=7045038&amp;Result=3","7045038")</f>
        <v>0</v>
      </c>
      <c r="B12359" t="s">
        <v>238</v>
      </c>
      <c r="C12359" t="s">
        <v>15219</v>
      </c>
      <c r="D12359" t="s">
        <v>16640</v>
      </c>
      <c r="E12359" t="s">
        <v>27386</v>
      </c>
      <c r="F12359" t="s">
        <v>28669</v>
      </c>
      <c r="G12359" t="s">
        <v>28675</v>
      </c>
      <c r="H12359" t="s">
        <v>28684</v>
      </c>
      <c r="I12359" t="s">
        <v>28701</v>
      </c>
      <c r="J12359" t="s">
        <v>36378</v>
      </c>
      <c r="K12359" t="s">
        <v>37238</v>
      </c>
      <c r="M12359" t="s">
        <v>37716</v>
      </c>
      <c r="N12359" t="s">
        <v>41249</v>
      </c>
      <c r="O12359" t="s">
        <v>41250</v>
      </c>
      <c r="P12359">
        <v>0</v>
      </c>
      <c r="Q12359">
        <v>0</v>
      </c>
      <c r="R12359" t="s">
        <v>41267</v>
      </c>
      <c r="S12359" t="s">
        <v>42077</v>
      </c>
      <c r="T12359" t="s">
        <v>42679</v>
      </c>
      <c r="U12359" t="s">
        <v>53097</v>
      </c>
      <c r="W12359" t="s">
        <v>37716</v>
      </c>
      <c r="X12359" t="s">
        <v>41268</v>
      </c>
    </row>
    <row r="12360" spans="1:24">
      <c r="A12360">
        <f>HYPERLINK("https://www.philgeps.gov.ph/GEPSNONPILOT/Tender/SplashBidNoticeAbstractUI.aspx?menuIndex=3&amp;refID=7045356&amp;Result=3","7045356")</f>
        <v>0</v>
      </c>
      <c r="B12360" t="s">
        <v>3226</v>
      </c>
      <c r="C12360" t="s">
        <v>15220</v>
      </c>
      <c r="D12360" t="s">
        <v>16615</v>
      </c>
      <c r="E12360" t="s">
        <v>27387</v>
      </c>
      <c r="F12360" t="s">
        <v>28669</v>
      </c>
      <c r="G12360" t="s">
        <v>28676</v>
      </c>
      <c r="H12360" t="s">
        <v>28686</v>
      </c>
      <c r="I12360" t="s">
        <v>28689</v>
      </c>
      <c r="J12360" t="s">
        <v>36379</v>
      </c>
      <c r="K12360" t="s">
        <v>37215</v>
      </c>
      <c r="M12360" t="s">
        <v>41041</v>
      </c>
      <c r="N12360" t="s">
        <v>41249</v>
      </c>
      <c r="O12360" t="s">
        <v>41250</v>
      </c>
      <c r="Q12360">
        <v>8</v>
      </c>
      <c r="R12360" t="s">
        <v>41267</v>
      </c>
      <c r="S12360" t="s">
        <v>42090</v>
      </c>
      <c r="T12360" t="s">
        <v>42734</v>
      </c>
      <c r="U12360" t="s">
        <v>53098</v>
      </c>
      <c r="W12360" t="s">
        <v>41041</v>
      </c>
      <c r="X12360" t="s">
        <v>41268</v>
      </c>
    </row>
    <row r="12361" spans="1:24">
      <c r="A12361">
        <f>HYPERLINK("https://www.philgeps.gov.ph/GEPSNONPILOT/Tender/SplashBidNoticeAbstractUI.aspx?menuIndex=3&amp;refID=7045151&amp;Result=3","7045151")</f>
        <v>0</v>
      </c>
      <c r="B12361" t="s">
        <v>748</v>
      </c>
      <c r="C12361" t="s">
        <v>15221</v>
      </c>
      <c r="D12361" t="s">
        <v>16629</v>
      </c>
      <c r="E12361" t="s">
        <v>27388</v>
      </c>
      <c r="F12361" t="s">
        <v>28669</v>
      </c>
      <c r="G12361" t="s">
        <v>28675</v>
      </c>
      <c r="H12361" t="s">
        <v>9998</v>
      </c>
      <c r="I12361" t="s">
        <v>28690</v>
      </c>
      <c r="J12361" t="s">
        <v>36380</v>
      </c>
      <c r="K12361" t="s">
        <v>37206</v>
      </c>
      <c r="M12361" t="s">
        <v>38258</v>
      </c>
      <c r="N12361" t="s">
        <v>41249</v>
      </c>
      <c r="O12361" t="s">
        <v>41250</v>
      </c>
      <c r="P12361">
        <v>0</v>
      </c>
      <c r="Q12361">
        <v>6</v>
      </c>
      <c r="R12361" t="s">
        <v>41267</v>
      </c>
      <c r="S12361" t="s">
        <v>42077</v>
      </c>
      <c r="T12361" t="s">
        <v>42754</v>
      </c>
      <c r="U12361" t="s">
        <v>53099</v>
      </c>
      <c r="V12361" t="s">
        <v>54455</v>
      </c>
      <c r="W12361" t="s">
        <v>38258</v>
      </c>
      <c r="X12361" t="s">
        <v>41268</v>
      </c>
    </row>
    <row r="12362" spans="1:24">
      <c r="A12362">
        <f>HYPERLINK("https://www.philgeps.gov.ph/GEPSNONPILOT/Tender/SplashBidNoticeAbstractUI.aspx?menuIndex=3&amp;refID=7045355&amp;Result=3","7045355")</f>
        <v>0</v>
      </c>
      <c r="B12362" t="s">
        <v>1812</v>
      </c>
      <c r="C12362" t="s">
        <v>15222</v>
      </c>
      <c r="D12362" t="s">
        <v>16616</v>
      </c>
      <c r="E12362" t="s">
        <v>27389</v>
      </c>
      <c r="F12362" t="s">
        <v>28669</v>
      </c>
      <c r="G12362" t="s">
        <v>28675</v>
      </c>
      <c r="H12362" t="s">
        <v>9998</v>
      </c>
      <c r="I12362" t="s">
        <v>28742</v>
      </c>
      <c r="J12362" t="s">
        <v>34691</v>
      </c>
      <c r="K12362" t="s">
        <v>37221</v>
      </c>
      <c r="M12362" t="s">
        <v>39422</v>
      </c>
      <c r="N12362" t="s">
        <v>41249</v>
      </c>
      <c r="O12362" t="s">
        <v>41250</v>
      </c>
      <c r="Q12362">
        <v>12</v>
      </c>
      <c r="R12362" t="s">
        <v>41267</v>
      </c>
      <c r="S12362" t="s">
        <v>42091</v>
      </c>
      <c r="T12362" t="s">
        <v>42673</v>
      </c>
      <c r="U12362" t="s">
        <v>53100</v>
      </c>
      <c r="V12362" t="s">
        <v>55737</v>
      </c>
      <c r="W12362" t="s">
        <v>39422</v>
      </c>
      <c r="X12362" t="s">
        <v>41268</v>
      </c>
    </row>
    <row r="12363" spans="1:24">
      <c r="A12363">
        <f>HYPERLINK("https://www.philgeps.gov.ph/GEPSNONPILOT/Tender/SplashBidNoticeAbstractUI.aspx?menuIndex=3&amp;refID=7045350&amp;Result=3","7045350")</f>
        <v>0</v>
      </c>
      <c r="B12363" t="s">
        <v>1229</v>
      </c>
      <c r="C12363" t="s">
        <v>15223</v>
      </c>
      <c r="D12363" t="s">
        <v>16675</v>
      </c>
      <c r="E12363" t="s">
        <v>27390</v>
      </c>
      <c r="F12363" t="s">
        <v>28669</v>
      </c>
      <c r="G12363" t="s">
        <v>28675</v>
      </c>
      <c r="H12363" t="s">
        <v>9998</v>
      </c>
      <c r="I12363" t="s">
        <v>7352</v>
      </c>
      <c r="J12363" t="s">
        <v>36381</v>
      </c>
      <c r="K12363" t="s">
        <v>37210</v>
      </c>
      <c r="M12363" t="s">
        <v>38773</v>
      </c>
      <c r="N12363" t="s">
        <v>41249</v>
      </c>
      <c r="O12363" t="s">
        <v>41250</v>
      </c>
      <c r="P12363">
        <v>0</v>
      </c>
      <c r="Q12363">
        <v>0</v>
      </c>
      <c r="R12363" t="s">
        <v>41267</v>
      </c>
      <c r="S12363" t="s">
        <v>42077</v>
      </c>
      <c r="T12363" t="s">
        <v>42681</v>
      </c>
      <c r="U12363" t="s">
        <v>47977</v>
      </c>
      <c r="W12363" t="s">
        <v>38773</v>
      </c>
      <c r="X12363" t="s">
        <v>41268</v>
      </c>
    </row>
    <row r="12364" spans="1:24">
      <c r="A12364">
        <f>HYPERLINK("https://www.philgeps.gov.ph/GEPSNONPILOT/Tender/SplashBidNoticeAbstractUI.aspx?menuIndex=3&amp;refID=7045343&amp;Result=3","7045343")</f>
        <v>0</v>
      </c>
      <c r="B12364" t="s">
        <v>3227</v>
      </c>
      <c r="C12364" t="s">
        <v>15224</v>
      </c>
      <c r="D12364" t="s">
        <v>16627</v>
      </c>
      <c r="E12364" t="s">
        <v>27391</v>
      </c>
      <c r="F12364" t="s">
        <v>28669</v>
      </c>
      <c r="G12364" t="s">
        <v>28675</v>
      </c>
      <c r="H12364" t="s">
        <v>28686</v>
      </c>
      <c r="I12364" t="s">
        <v>28689</v>
      </c>
      <c r="J12364" t="s">
        <v>34561</v>
      </c>
      <c r="K12364" t="s">
        <v>37356</v>
      </c>
      <c r="M12364" t="s">
        <v>41042</v>
      </c>
      <c r="N12364" t="s">
        <v>41249</v>
      </c>
      <c r="O12364" t="s">
        <v>41250</v>
      </c>
      <c r="Q12364">
        <v>1</v>
      </c>
      <c r="R12364" t="s">
        <v>41267</v>
      </c>
      <c r="S12364" t="s">
        <v>42092</v>
      </c>
      <c r="T12364" t="s">
        <v>43129</v>
      </c>
      <c r="U12364" t="s">
        <v>53101</v>
      </c>
      <c r="V12364" t="s">
        <v>55738</v>
      </c>
      <c r="W12364" t="s">
        <v>41042</v>
      </c>
      <c r="X12364" t="s">
        <v>41268</v>
      </c>
    </row>
    <row r="12365" spans="1:24">
      <c r="A12365">
        <f>HYPERLINK("https://www.philgeps.gov.ph/GEPSNONPILOT/Tender/SplashBidNoticeAbstractUI.aspx?menuIndex=3&amp;refID=7045338&amp;Result=3","7045338")</f>
        <v>0</v>
      </c>
      <c r="B12365" t="s">
        <v>3069</v>
      </c>
      <c r="C12365" t="s">
        <v>15225</v>
      </c>
      <c r="D12365" t="s">
        <v>16622</v>
      </c>
      <c r="E12365" t="s">
        <v>27392</v>
      </c>
      <c r="F12365" t="s">
        <v>28669</v>
      </c>
      <c r="G12365" t="s">
        <v>28675</v>
      </c>
      <c r="H12365" t="s">
        <v>28686</v>
      </c>
      <c r="I12365" t="s">
        <v>28689</v>
      </c>
      <c r="J12365" t="s">
        <v>28846</v>
      </c>
      <c r="K12365" t="s">
        <v>37279</v>
      </c>
      <c r="M12365" t="s">
        <v>40965</v>
      </c>
      <c r="N12365" t="s">
        <v>41249</v>
      </c>
      <c r="O12365" t="s">
        <v>41250</v>
      </c>
      <c r="P12365">
        <v>0</v>
      </c>
      <c r="Q12365">
        <v>0</v>
      </c>
      <c r="R12365" t="s">
        <v>41267</v>
      </c>
      <c r="S12365" t="s">
        <v>42077</v>
      </c>
      <c r="T12365" t="s">
        <v>42673</v>
      </c>
      <c r="U12365" t="s">
        <v>52684</v>
      </c>
      <c r="W12365" t="s">
        <v>40965</v>
      </c>
      <c r="X12365" t="s">
        <v>41268</v>
      </c>
    </row>
    <row r="12366" spans="1:24">
      <c r="A12366">
        <f>HYPERLINK("https://www.philgeps.gov.ph/GEPSNONPILOT/Tender/SplashBidNoticeAbstractUI.aspx?menuIndex=3&amp;refID=7045336&amp;Result=3","7045336")</f>
        <v>0</v>
      </c>
      <c r="B12366" t="s">
        <v>2134</v>
      </c>
      <c r="C12366" t="s">
        <v>15226</v>
      </c>
      <c r="D12366" t="s">
        <v>16676</v>
      </c>
      <c r="E12366" t="s">
        <v>27393</v>
      </c>
      <c r="F12366" t="s">
        <v>28669</v>
      </c>
      <c r="G12366" t="s">
        <v>28675</v>
      </c>
      <c r="H12366" t="s">
        <v>28686</v>
      </c>
      <c r="I12366" t="s">
        <v>28689</v>
      </c>
      <c r="J12366" t="s">
        <v>30840</v>
      </c>
      <c r="K12366" t="s">
        <v>37217</v>
      </c>
      <c r="M12366" t="s">
        <v>39779</v>
      </c>
      <c r="N12366" t="s">
        <v>41249</v>
      </c>
      <c r="O12366" t="s">
        <v>41250</v>
      </c>
      <c r="P12366">
        <v>0</v>
      </c>
      <c r="Q12366">
        <v>1</v>
      </c>
      <c r="R12366" t="s">
        <v>41267</v>
      </c>
      <c r="S12366" t="s">
        <v>42077</v>
      </c>
      <c r="T12366" t="s">
        <v>42673</v>
      </c>
      <c r="U12366" t="s">
        <v>48574</v>
      </c>
      <c r="V12366" t="s">
        <v>55739</v>
      </c>
      <c r="W12366" t="s">
        <v>39779</v>
      </c>
      <c r="X12366" t="s">
        <v>41268</v>
      </c>
    </row>
    <row r="12367" spans="1:24">
      <c r="A12367">
        <f>HYPERLINK("https://www.philgeps.gov.ph/GEPSNONPILOT/Tender/SplashBidNoticeAbstractUI.aspx?menuIndex=3&amp;refID=7045333&amp;Result=3","7045333")</f>
        <v>0</v>
      </c>
      <c r="B12367" t="s">
        <v>3228</v>
      </c>
      <c r="C12367" t="s">
        <v>15227</v>
      </c>
      <c r="D12367" t="s">
        <v>16616</v>
      </c>
      <c r="E12367" t="s">
        <v>27394</v>
      </c>
      <c r="F12367" t="s">
        <v>28669</v>
      </c>
      <c r="G12367" t="s">
        <v>28675</v>
      </c>
      <c r="H12367" t="s">
        <v>9998</v>
      </c>
      <c r="I12367" t="s">
        <v>28687</v>
      </c>
      <c r="J12367" t="s">
        <v>29655</v>
      </c>
      <c r="K12367" t="s">
        <v>37220</v>
      </c>
      <c r="M12367" t="s">
        <v>41043</v>
      </c>
      <c r="N12367" t="s">
        <v>41249</v>
      </c>
      <c r="O12367" t="s">
        <v>41250</v>
      </c>
      <c r="P12367">
        <v>0</v>
      </c>
      <c r="Q12367">
        <v>6</v>
      </c>
      <c r="R12367" t="s">
        <v>41267</v>
      </c>
      <c r="S12367" t="s">
        <v>42077</v>
      </c>
      <c r="T12367" t="s">
        <v>42682</v>
      </c>
      <c r="U12367" t="s">
        <v>53102</v>
      </c>
      <c r="W12367" t="s">
        <v>41043</v>
      </c>
      <c r="X12367" t="s">
        <v>41268</v>
      </c>
    </row>
    <row r="12368" spans="1:24">
      <c r="A12368">
        <f>HYPERLINK("https://www.philgeps.gov.ph/GEPSNONPILOT/Tender/SplashBidNoticeAbstractUI.aspx?menuIndex=3&amp;refID=7045349&amp;Result=3","7045349")</f>
        <v>0</v>
      </c>
      <c r="B12368" t="s">
        <v>1514</v>
      </c>
      <c r="C12368" t="s">
        <v>15228</v>
      </c>
      <c r="D12368" t="s">
        <v>16621</v>
      </c>
      <c r="E12368" t="s">
        <v>27395</v>
      </c>
      <c r="F12368" t="s">
        <v>28669</v>
      </c>
      <c r="G12368" t="s">
        <v>28675</v>
      </c>
      <c r="H12368" t="s">
        <v>28686</v>
      </c>
      <c r="I12368" t="s">
        <v>28689</v>
      </c>
      <c r="J12368" t="s">
        <v>36382</v>
      </c>
      <c r="K12368" t="s">
        <v>37421</v>
      </c>
      <c r="M12368" t="s">
        <v>39088</v>
      </c>
      <c r="N12368" t="s">
        <v>41249</v>
      </c>
      <c r="O12368" t="s">
        <v>41250</v>
      </c>
      <c r="P12368">
        <v>0</v>
      </c>
      <c r="Q12368">
        <v>5</v>
      </c>
      <c r="R12368" t="s">
        <v>41267</v>
      </c>
      <c r="S12368" t="s">
        <v>42077</v>
      </c>
      <c r="T12368" t="s">
        <v>42711</v>
      </c>
      <c r="U12368" t="s">
        <v>53103</v>
      </c>
      <c r="W12368" t="s">
        <v>39088</v>
      </c>
      <c r="X12368" t="s">
        <v>41268</v>
      </c>
    </row>
    <row r="12369" spans="1:24">
      <c r="A12369">
        <f>HYPERLINK("https://www.philgeps.gov.ph/GEPSNONPILOT/Tender/SplashBidNoticeAbstractUI.aspx?menuIndex=3&amp;refID=7045328&amp;Result=3","7045328")</f>
        <v>0</v>
      </c>
      <c r="B12369" t="s">
        <v>3069</v>
      </c>
      <c r="C12369" t="s">
        <v>15229</v>
      </c>
      <c r="D12369" t="s">
        <v>16622</v>
      </c>
      <c r="E12369" t="s">
        <v>27396</v>
      </c>
      <c r="F12369" t="s">
        <v>28669</v>
      </c>
      <c r="G12369" t="s">
        <v>28675</v>
      </c>
      <c r="H12369" t="s">
        <v>28686</v>
      </c>
      <c r="I12369" t="s">
        <v>28689</v>
      </c>
      <c r="J12369" t="s">
        <v>28914</v>
      </c>
      <c r="K12369" t="s">
        <v>37221</v>
      </c>
      <c r="M12369" t="s">
        <v>40965</v>
      </c>
      <c r="N12369" t="s">
        <v>41249</v>
      </c>
      <c r="O12369" t="s">
        <v>41250</v>
      </c>
      <c r="P12369">
        <v>0</v>
      </c>
      <c r="Q12369">
        <v>0</v>
      </c>
      <c r="R12369" t="s">
        <v>41267</v>
      </c>
      <c r="S12369" t="s">
        <v>42077</v>
      </c>
      <c r="T12369" t="s">
        <v>42673</v>
      </c>
      <c r="U12369" t="s">
        <v>52684</v>
      </c>
      <c r="W12369" t="s">
        <v>40965</v>
      </c>
      <c r="X12369" t="s">
        <v>41268</v>
      </c>
    </row>
    <row r="12370" spans="1:24">
      <c r="A12370">
        <f>HYPERLINK("https://www.philgeps.gov.ph/GEPSNONPILOT/Tender/SplashBidNoticeAbstractUI.aspx?menuIndex=3&amp;refID=7045041&amp;Result=3","7045041")</f>
        <v>0</v>
      </c>
      <c r="B12370" t="s">
        <v>1443</v>
      </c>
      <c r="C12370" t="s">
        <v>15230</v>
      </c>
      <c r="D12370" t="s">
        <v>16663</v>
      </c>
      <c r="E12370" t="s">
        <v>27397</v>
      </c>
      <c r="F12370" t="s">
        <v>28669</v>
      </c>
      <c r="G12370" t="s">
        <v>28675</v>
      </c>
      <c r="H12370" t="s">
        <v>9998</v>
      </c>
      <c r="I12370" t="s">
        <v>28695</v>
      </c>
      <c r="J12370" t="s">
        <v>36383</v>
      </c>
      <c r="K12370" t="s">
        <v>37206</v>
      </c>
      <c r="L12370" t="s">
        <v>1443</v>
      </c>
      <c r="M12370" t="s">
        <v>39184</v>
      </c>
      <c r="N12370" t="s">
        <v>41249</v>
      </c>
      <c r="O12370" t="s">
        <v>41250</v>
      </c>
      <c r="P12370">
        <v>0</v>
      </c>
      <c r="Q12370">
        <v>2</v>
      </c>
      <c r="R12370" t="s">
        <v>41267</v>
      </c>
      <c r="S12370" t="s">
        <v>42077</v>
      </c>
      <c r="T12370" t="s">
        <v>42734</v>
      </c>
      <c r="U12370" t="s">
        <v>53104</v>
      </c>
      <c r="W12370" t="s">
        <v>39184</v>
      </c>
      <c r="X12370" t="s">
        <v>41268</v>
      </c>
    </row>
    <row r="12371" spans="1:24">
      <c r="A12371">
        <f>HYPERLINK("https://www.philgeps.gov.ph/GEPSNONPILOT/Tender/SplashBidNoticeAbstractUI.aspx?menuIndex=3&amp;refID=7045319&amp;Result=3","7045319")</f>
        <v>0</v>
      </c>
      <c r="B12371" t="s">
        <v>3069</v>
      </c>
      <c r="C12371" t="s">
        <v>15231</v>
      </c>
      <c r="D12371" t="s">
        <v>16622</v>
      </c>
      <c r="E12371" t="s">
        <v>27398</v>
      </c>
      <c r="F12371" t="s">
        <v>28669</v>
      </c>
      <c r="G12371" t="s">
        <v>28675</v>
      </c>
      <c r="H12371" t="s">
        <v>28686</v>
      </c>
      <c r="I12371" t="s">
        <v>28689</v>
      </c>
      <c r="J12371" t="s">
        <v>31313</v>
      </c>
      <c r="K12371" t="s">
        <v>37361</v>
      </c>
      <c r="M12371" t="s">
        <v>40965</v>
      </c>
      <c r="N12371" t="s">
        <v>41249</v>
      </c>
      <c r="O12371" t="s">
        <v>41250</v>
      </c>
      <c r="P12371">
        <v>0</v>
      </c>
      <c r="Q12371">
        <v>0</v>
      </c>
      <c r="R12371" t="s">
        <v>41267</v>
      </c>
      <c r="S12371" t="s">
        <v>42077</v>
      </c>
      <c r="T12371" t="s">
        <v>42673</v>
      </c>
      <c r="U12371" t="s">
        <v>52684</v>
      </c>
      <c r="W12371" t="s">
        <v>40965</v>
      </c>
      <c r="X12371" t="s">
        <v>41268</v>
      </c>
    </row>
    <row r="12372" spans="1:24">
      <c r="A12372">
        <f>HYPERLINK("https://www.philgeps.gov.ph/GEPSNONPILOT/Tender/SplashBidNoticeAbstractUI.aspx?menuIndex=3&amp;refID=7045296&amp;Result=3","7045296")</f>
        <v>0</v>
      </c>
      <c r="B12372" t="s">
        <v>531</v>
      </c>
      <c r="C12372" t="s">
        <v>15232</v>
      </c>
      <c r="D12372" t="s">
        <v>16611</v>
      </c>
      <c r="E12372" t="s">
        <v>27399</v>
      </c>
      <c r="F12372" t="s">
        <v>28669</v>
      </c>
      <c r="G12372" t="s">
        <v>28675</v>
      </c>
      <c r="H12372" t="s">
        <v>9998</v>
      </c>
      <c r="I12372" t="s">
        <v>28714</v>
      </c>
      <c r="J12372" t="s">
        <v>29916</v>
      </c>
      <c r="K12372" t="s">
        <v>37210</v>
      </c>
      <c r="M12372" t="s">
        <v>38022</v>
      </c>
      <c r="N12372" t="s">
        <v>41249</v>
      </c>
      <c r="O12372" t="s">
        <v>41250</v>
      </c>
      <c r="P12372">
        <v>0</v>
      </c>
      <c r="Q12372">
        <v>7</v>
      </c>
      <c r="R12372" t="s">
        <v>41267</v>
      </c>
      <c r="S12372" t="s">
        <v>42077</v>
      </c>
      <c r="T12372" t="s">
        <v>42679</v>
      </c>
      <c r="U12372" t="s">
        <v>53105</v>
      </c>
      <c r="W12372" t="s">
        <v>38022</v>
      </c>
      <c r="X12372" t="s">
        <v>41268</v>
      </c>
    </row>
    <row r="12373" spans="1:24">
      <c r="A12373">
        <f>HYPERLINK("https://www.philgeps.gov.ph/GEPSNONPILOT/Tender/SplashBidNoticeAbstractUI.aspx?menuIndex=3&amp;refID=7045281&amp;Result=3","7045281")</f>
        <v>0</v>
      </c>
      <c r="B12373" t="s">
        <v>2856</v>
      </c>
      <c r="C12373" t="s">
        <v>15233</v>
      </c>
      <c r="D12373" t="s">
        <v>16629</v>
      </c>
      <c r="E12373" t="s">
        <v>27400</v>
      </c>
      <c r="F12373" t="s">
        <v>28669</v>
      </c>
      <c r="G12373" t="s">
        <v>28675</v>
      </c>
      <c r="H12373" t="s">
        <v>28686</v>
      </c>
      <c r="I12373" t="s">
        <v>28689</v>
      </c>
      <c r="J12373" t="s">
        <v>29003</v>
      </c>
      <c r="K12373" t="s">
        <v>37220</v>
      </c>
      <c r="M12373" t="s">
        <v>40595</v>
      </c>
      <c r="N12373" t="s">
        <v>41249</v>
      </c>
      <c r="O12373" t="s">
        <v>41250</v>
      </c>
      <c r="P12373">
        <v>0</v>
      </c>
      <c r="Q12373">
        <v>0</v>
      </c>
      <c r="R12373" t="s">
        <v>41267</v>
      </c>
      <c r="S12373" t="s">
        <v>42077</v>
      </c>
      <c r="T12373" t="s">
        <v>42673</v>
      </c>
      <c r="U12373" t="s">
        <v>53106</v>
      </c>
      <c r="W12373" t="s">
        <v>40595</v>
      </c>
      <c r="X12373" t="s">
        <v>41268</v>
      </c>
    </row>
    <row r="12374" spans="1:24">
      <c r="A12374">
        <f>HYPERLINK("https://www.philgeps.gov.ph/GEPSNONPILOT/Tender/SplashBidNoticeAbstractUI.aspx?menuIndex=3&amp;refID=7045275&amp;Result=3","7045275")</f>
        <v>0</v>
      </c>
      <c r="B12374" t="s">
        <v>84</v>
      </c>
      <c r="C12374" t="s">
        <v>15234</v>
      </c>
      <c r="D12374" t="s">
        <v>16651</v>
      </c>
      <c r="E12374" t="s">
        <v>27401</v>
      </c>
      <c r="F12374" t="s">
        <v>28669</v>
      </c>
      <c r="G12374" t="s">
        <v>28675</v>
      </c>
      <c r="H12374" t="s">
        <v>28686</v>
      </c>
      <c r="I12374" t="s">
        <v>28689</v>
      </c>
      <c r="J12374" t="s">
        <v>28836</v>
      </c>
      <c r="K12374" t="s">
        <v>37209</v>
      </c>
      <c r="M12374" t="s">
        <v>37559</v>
      </c>
      <c r="N12374" t="s">
        <v>41249</v>
      </c>
      <c r="O12374" t="s">
        <v>41250</v>
      </c>
      <c r="P12374">
        <v>0</v>
      </c>
      <c r="Q12374">
        <v>2</v>
      </c>
      <c r="R12374" t="s">
        <v>41267</v>
      </c>
      <c r="S12374" t="s">
        <v>42077</v>
      </c>
      <c r="T12374" t="s">
        <v>42711</v>
      </c>
      <c r="U12374" t="s">
        <v>53030</v>
      </c>
      <c r="W12374" t="s">
        <v>37559</v>
      </c>
      <c r="X12374" t="s">
        <v>41268</v>
      </c>
    </row>
    <row r="12375" spans="1:24">
      <c r="A12375">
        <f>HYPERLINK("https://www.philgeps.gov.ph/GEPSNONPILOT/Tender/SplashBidNoticeAbstractUI.aspx?menuIndex=3&amp;refID=7045274&amp;Result=3","7045274")</f>
        <v>0</v>
      </c>
      <c r="B12375" t="s">
        <v>1917</v>
      </c>
      <c r="C12375" t="s">
        <v>15235</v>
      </c>
      <c r="D12375" t="s">
        <v>16620</v>
      </c>
      <c r="E12375" t="s">
        <v>27402</v>
      </c>
      <c r="F12375" t="s">
        <v>28669</v>
      </c>
      <c r="G12375" t="s">
        <v>28675</v>
      </c>
      <c r="H12375" t="s">
        <v>9998</v>
      </c>
      <c r="I12375" t="s">
        <v>15140</v>
      </c>
      <c r="J12375" t="s">
        <v>36384</v>
      </c>
      <c r="K12375" t="s">
        <v>37209</v>
      </c>
      <c r="M12375" t="s">
        <v>39544</v>
      </c>
      <c r="N12375" t="s">
        <v>41249</v>
      </c>
      <c r="O12375" t="s">
        <v>41250</v>
      </c>
      <c r="P12375">
        <v>0</v>
      </c>
      <c r="Q12375">
        <v>1</v>
      </c>
      <c r="R12375" t="s">
        <v>41267</v>
      </c>
      <c r="S12375" t="s">
        <v>42077</v>
      </c>
      <c r="T12375" t="s">
        <v>42858</v>
      </c>
      <c r="U12375" t="s">
        <v>53107</v>
      </c>
      <c r="W12375" t="s">
        <v>39544</v>
      </c>
      <c r="X12375" t="s">
        <v>41268</v>
      </c>
    </row>
    <row r="12376" spans="1:24">
      <c r="A12376">
        <f>HYPERLINK("https://www.philgeps.gov.ph/GEPSNONPILOT/Tender/SplashBidNoticeAbstractUI.aspx?menuIndex=3&amp;refID=7045272&amp;Result=3","7045272")</f>
        <v>0</v>
      </c>
      <c r="B12376" t="s">
        <v>2486</v>
      </c>
      <c r="C12376" t="s">
        <v>15236</v>
      </c>
      <c r="D12376" t="s">
        <v>16626</v>
      </c>
      <c r="E12376" t="s">
        <v>27403</v>
      </c>
      <c r="F12376" t="s">
        <v>28669</v>
      </c>
      <c r="G12376" t="s">
        <v>28675</v>
      </c>
      <c r="H12376" t="s">
        <v>9998</v>
      </c>
      <c r="I12376" t="s">
        <v>28784</v>
      </c>
      <c r="J12376" t="s">
        <v>36385</v>
      </c>
      <c r="K12376" t="s">
        <v>37221</v>
      </c>
      <c r="M12376" t="s">
        <v>40170</v>
      </c>
      <c r="N12376" t="s">
        <v>41249</v>
      </c>
      <c r="O12376" t="s">
        <v>41250</v>
      </c>
      <c r="Q12376">
        <v>11</v>
      </c>
      <c r="R12376" t="s">
        <v>41267</v>
      </c>
      <c r="S12376" t="s">
        <v>41814</v>
      </c>
      <c r="T12376" t="s">
        <v>42703</v>
      </c>
      <c r="U12376" t="s">
        <v>53108</v>
      </c>
      <c r="W12376" t="s">
        <v>55997</v>
      </c>
      <c r="X12376" t="s">
        <v>41268</v>
      </c>
    </row>
    <row r="12377" spans="1:24">
      <c r="A12377">
        <f>HYPERLINK("https://www.philgeps.gov.ph/GEPSNONPILOT/Tender/SplashBidNoticeAbstractUI.aspx?menuIndex=3&amp;refID=7045271&amp;Result=3","7045271")</f>
        <v>0</v>
      </c>
      <c r="B12377" t="s">
        <v>1727</v>
      </c>
      <c r="C12377" t="s">
        <v>15237</v>
      </c>
      <c r="D12377" t="s">
        <v>16621</v>
      </c>
      <c r="E12377" t="s">
        <v>27404</v>
      </c>
      <c r="F12377" t="s">
        <v>28669</v>
      </c>
      <c r="G12377" t="s">
        <v>28675</v>
      </c>
      <c r="H12377" t="s">
        <v>9998</v>
      </c>
      <c r="I12377" t="s">
        <v>28784</v>
      </c>
      <c r="J12377" t="s">
        <v>28851</v>
      </c>
      <c r="K12377" t="s">
        <v>37206</v>
      </c>
      <c r="M12377" t="s">
        <v>39326</v>
      </c>
      <c r="N12377" t="s">
        <v>41249</v>
      </c>
      <c r="O12377" t="s">
        <v>41250</v>
      </c>
      <c r="Q12377">
        <v>6</v>
      </c>
      <c r="R12377" t="s">
        <v>41267</v>
      </c>
      <c r="S12377" t="s">
        <v>41945</v>
      </c>
      <c r="T12377" t="s">
        <v>42966</v>
      </c>
      <c r="U12377" t="s">
        <v>47231</v>
      </c>
      <c r="W12377" t="s">
        <v>39326</v>
      </c>
      <c r="X12377" t="s">
        <v>41268</v>
      </c>
    </row>
    <row r="12378" spans="1:24">
      <c r="A12378">
        <f>HYPERLINK("https://www.philgeps.gov.ph/GEPSNONPILOT/Tender/SplashBidNoticeAbstractUI.aspx?menuIndex=3&amp;refID=7045261&amp;Result=3","7045261")</f>
        <v>0</v>
      </c>
      <c r="B12378" t="s">
        <v>2120</v>
      </c>
      <c r="C12378" t="s">
        <v>15238</v>
      </c>
      <c r="D12378" t="s">
        <v>16624</v>
      </c>
      <c r="E12378" t="s">
        <v>27405</v>
      </c>
      <c r="F12378" t="s">
        <v>28669</v>
      </c>
      <c r="G12378" t="s">
        <v>28675</v>
      </c>
      <c r="H12378" t="s">
        <v>28686</v>
      </c>
      <c r="I12378" t="s">
        <v>28689</v>
      </c>
      <c r="J12378" t="s">
        <v>36386</v>
      </c>
      <c r="K12378" t="s">
        <v>37225</v>
      </c>
      <c r="M12378" t="s">
        <v>39764</v>
      </c>
      <c r="N12378" t="s">
        <v>41249</v>
      </c>
      <c r="O12378" t="s">
        <v>41250</v>
      </c>
      <c r="Q12378">
        <v>0</v>
      </c>
      <c r="R12378" t="s">
        <v>41267</v>
      </c>
      <c r="S12378" t="s">
        <v>42093</v>
      </c>
      <c r="T12378" t="s">
        <v>42754</v>
      </c>
      <c r="U12378" t="s">
        <v>48482</v>
      </c>
      <c r="W12378" t="s">
        <v>39764</v>
      </c>
      <c r="X12378" t="s">
        <v>41268</v>
      </c>
    </row>
    <row r="12379" spans="1:24">
      <c r="A12379">
        <f>HYPERLINK("https://www.philgeps.gov.ph/GEPSNONPILOT/Tender/SplashBidNoticeAbstractUI.aspx?menuIndex=3&amp;refID=7045152&amp;Result=3","7045152")</f>
        <v>0</v>
      </c>
      <c r="B12379" t="s">
        <v>531</v>
      </c>
      <c r="C12379" t="s">
        <v>7352</v>
      </c>
      <c r="D12379" t="s">
        <v>16611</v>
      </c>
      <c r="E12379" t="s">
        <v>27406</v>
      </c>
      <c r="F12379" t="s">
        <v>28669</v>
      </c>
      <c r="G12379" t="s">
        <v>28675</v>
      </c>
      <c r="H12379" t="s">
        <v>28686</v>
      </c>
      <c r="I12379" t="s">
        <v>7352</v>
      </c>
      <c r="J12379" t="s">
        <v>36387</v>
      </c>
      <c r="K12379" t="s">
        <v>37210</v>
      </c>
      <c r="M12379" t="s">
        <v>38022</v>
      </c>
      <c r="N12379" t="s">
        <v>41249</v>
      </c>
      <c r="O12379" t="s">
        <v>41250</v>
      </c>
      <c r="Q12379">
        <v>1</v>
      </c>
      <c r="R12379" t="s">
        <v>41267</v>
      </c>
      <c r="S12379" t="s">
        <v>42094</v>
      </c>
      <c r="T12379" t="s">
        <v>42679</v>
      </c>
      <c r="U12379" t="s">
        <v>53109</v>
      </c>
      <c r="W12379" t="s">
        <v>38022</v>
      </c>
      <c r="X12379" t="s">
        <v>41268</v>
      </c>
    </row>
    <row r="12380" spans="1:24">
      <c r="A12380">
        <f>HYPERLINK("https://www.philgeps.gov.ph/GEPSNONPILOT/Tender/SplashBidNoticeAbstractUI.aspx?menuIndex=3&amp;refID=7045305&amp;Result=3","7045305")</f>
        <v>0</v>
      </c>
      <c r="B12380" t="s">
        <v>2120</v>
      </c>
      <c r="C12380" t="s">
        <v>15239</v>
      </c>
      <c r="D12380" t="s">
        <v>16624</v>
      </c>
      <c r="E12380" t="s">
        <v>27407</v>
      </c>
      <c r="F12380" t="s">
        <v>28669</v>
      </c>
      <c r="G12380" t="s">
        <v>28675</v>
      </c>
      <c r="H12380" t="s">
        <v>28686</v>
      </c>
      <c r="I12380" t="s">
        <v>28689</v>
      </c>
      <c r="J12380" t="s">
        <v>36388</v>
      </c>
      <c r="K12380" t="s">
        <v>37345</v>
      </c>
      <c r="M12380" t="s">
        <v>39764</v>
      </c>
      <c r="N12380" t="s">
        <v>41249</v>
      </c>
      <c r="O12380" t="s">
        <v>41250</v>
      </c>
      <c r="P12380">
        <v>0</v>
      </c>
      <c r="Q12380">
        <v>0</v>
      </c>
      <c r="R12380" t="s">
        <v>41267</v>
      </c>
      <c r="S12380" t="s">
        <v>42077</v>
      </c>
      <c r="T12380" t="s">
        <v>42754</v>
      </c>
      <c r="U12380" t="s">
        <v>48482</v>
      </c>
      <c r="W12380" t="s">
        <v>39764</v>
      </c>
      <c r="X12380" t="s">
        <v>41268</v>
      </c>
    </row>
    <row r="12381" spans="1:24">
      <c r="A12381">
        <f>HYPERLINK("https://www.philgeps.gov.ph/GEPSNONPILOT/Tender/SplashBidNoticeAbstractUI.aspx?menuIndex=3&amp;refID=7044882&amp;Result=3","7044882")</f>
        <v>0</v>
      </c>
      <c r="B12381" t="s">
        <v>3219</v>
      </c>
      <c r="C12381" t="s">
        <v>15240</v>
      </c>
      <c r="D12381" t="s">
        <v>16620</v>
      </c>
      <c r="E12381" t="s">
        <v>17149</v>
      </c>
      <c r="F12381" t="s">
        <v>28669</v>
      </c>
      <c r="G12381" t="s">
        <v>28675</v>
      </c>
      <c r="H12381" t="s">
        <v>28686</v>
      </c>
      <c r="I12381" t="s">
        <v>28689</v>
      </c>
      <c r="J12381" t="s">
        <v>33099</v>
      </c>
      <c r="K12381" t="s">
        <v>37213</v>
      </c>
      <c r="M12381" t="s">
        <v>41033</v>
      </c>
      <c r="N12381" t="s">
        <v>41249</v>
      </c>
      <c r="O12381" t="s">
        <v>41250</v>
      </c>
      <c r="P12381">
        <v>0</v>
      </c>
      <c r="Q12381">
        <v>3</v>
      </c>
      <c r="R12381" t="s">
        <v>41267</v>
      </c>
      <c r="S12381" t="s">
        <v>42077</v>
      </c>
      <c r="T12381" t="s">
        <v>42743</v>
      </c>
      <c r="U12381" t="s">
        <v>53110</v>
      </c>
      <c r="W12381" t="s">
        <v>41033</v>
      </c>
      <c r="X12381" t="s">
        <v>41268</v>
      </c>
    </row>
    <row r="12382" spans="1:24">
      <c r="A12382">
        <f>HYPERLINK("https://www.philgeps.gov.ph/GEPSNONPILOT/Tender/SplashBidNoticeAbstractUI.aspx?menuIndex=3&amp;refID=7044881&amp;Result=3","7044881")</f>
        <v>0</v>
      </c>
      <c r="B12382" t="s">
        <v>3188</v>
      </c>
      <c r="C12382" t="s">
        <v>15241</v>
      </c>
      <c r="D12382" t="s">
        <v>16691</v>
      </c>
      <c r="E12382" t="s">
        <v>27408</v>
      </c>
      <c r="F12382" t="s">
        <v>28669</v>
      </c>
      <c r="G12382" t="s">
        <v>28675</v>
      </c>
      <c r="H12382" t="s">
        <v>28686</v>
      </c>
      <c r="I12382" t="s">
        <v>28689</v>
      </c>
      <c r="J12382" t="s">
        <v>36389</v>
      </c>
      <c r="K12382" t="s">
        <v>37426</v>
      </c>
      <c r="M12382" t="s">
        <v>40990</v>
      </c>
      <c r="N12382" t="s">
        <v>41249</v>
      </c>
      <c r="O12382" t="s">
        <v>41250</v>
      </c>
      <c r="P12382">
        <v>0</v>
      </c>
      <c r="Q12382">
        <v>0</v>
      </c>
      <c r="R12382" t="s">
        <v>41267</v>
      </c>
      <c r="S12382" t="s">
        <v>42077</v>
      </c>
      <c r="T12382" t="s">
        <v>42736</v>
      </c>
      <c r="U12382" t="s">
        <v>53111</v>
      </c>
      <c r="V12382" t="s">
        <v>55681</v>
      </c>
      <c r="W12382" t="s">
        <v>40990</v>
      </c>
      <c r="X12382" t="s">
        <v>41268</v>
      </c>
    </row>
    <row r="12383" spans="1:24">
      <c r="A12383">
        <f>HYPERLINK("https://www.philgeps.gov.ph/GEPSNONPILOT/Tender/SplashBidNoticeAbstractUI.aspx?menuIndex=3&amp;refID=7045266&amp;Result=3","7045266")</f>
        <v>0</v>
      </c>
      <c r="B12383" t="s">
        <v>1149</v>
      </c>
      <c r="C12383" t="s">
        <v>15242</v>
      </c>
      <c r="D12383" t="s">
        <v>16649</v>
      </c>
      <c r="E12383" t="s">
        <v>27409</v>
      </c>
      <c r="F12383" t="s">
        <v>28669</v>
      </c>
      <c r="G12383" t="s">
        <v>28675</v>
      </c>
      <c r="H12383" t="s">
        <v>28686</v>
      </c>
      <c r="I12383" t="s">
        <v>28689</v>
      </c>
      <c r="J12383" t="s">
        <v>36390</v>
      </c>
      <c r="K12383" t="s">
        <v>37317</v>
      </c>
      <c r="M12383" t="s">
        <v>38685</v>
      </c>
      <c r="N12383" t="s">
        <v>41249</v>
      </c>
      <c r="O12383" t="s">
        <v>41250</v>
      </c>
      <c r="P12383">
        <v>0</v>
      </c>
      <c r="Q12383">
        <v>0</v>
      </c>
      <c r="R12383" t="s">
        <v>41267</v>
      </c>
      <c r="S12383" t="s">
        <v>42077</v>
      </c>
      <c r="T12383" t="s">
        <v>42679</v>
      </c>
      <c r="U12383" t="s">
        <v>53112</v>
      </c>
      <c r="W12383" t="s">
        <v>38685</v>
      </c>
      <c r="X12383" t="s">
        <v>41268</v>
      </c>
    </row>
    <row r="12384" spans="1:24">
      <c r="A12384">
        <f>HYPERLINK("https://www.philgeps.gov.ph/GEPSNONPILOT/Tender/SplashBidNoticeAbstractUI.aspx?menuIndex=3&amp;refID=7045375&amp;Result=3","7045375")</f>
        <v>0</v>
      </c>
      <c r="B12384" t="s">
        <v>3229</v>
      </c>
      <c r="C12384" t="s">
        <v>15243</v>
      </c>
      <c r="D12384" t="s">
        <v>16613</v>
      </c>
      <c r="E12384" t="s">
        <v>27410</v>
      </c>
      <c r="F12384" t="s">
        <v>28669</v>
      </c>
      <c r="G12384" t="s">
        <v>28675</v>
      </c>
      <c r="H12384" t="s">
        <v>28686</v>
      </c>
      <c r="I12384" t="s">
        <v>28689</v>
      </c>
      <c r="J12384" t="s">
        <v>28850</v>
      </c>
      <c r="K12384" t="s">
        <v>37213</v>
      </c>
      <c r="M12384" t="s">
        <v>41044</v>
      </c>
      <c r="N12384" t="s">
        <v>41249</v>
      </c>
      <c r="O12384" t="s">
        <v>41250</v>
      </c>
      <c r="P12384">
        <v>0</v>
      </c>
      <c r="Q12384">
        <v>0</v>
      </c>
      <c r="R12384" t="s">
        <v>41267</v>
      </c>
      <c r="S12384" t="s">
        <v>42077</v>
      </c>
      <c r="T12384" t="s">
        <v>42754</v>
      </c>
      <c r="U12384" t="s">
        <v>53113</v>
      </c>
      <c r="W12384" t="s">
        <v>41044</v>
      </c>
      <c r="X12384" t="s">
        <v>41268</v>
      </c>
    </row>
    <row r="12385" spans="1:24">
      <c r="A12385">
        <f>HYPERLINK("https://www.philgeps.gov.ph/GEPSNONPILOT/Tender/SplashBidNoticeAbstractUI.aspx?menuIndex=3&amp;refID=7045523&amp;Result=3","7045523")</f>
        <v>0</v>
      </c>
      <c r="B12385" t="s">
        <v>3230</v>
      </c>
      <c r="C12385" t="s">
        <v>15244</v>
      </c>
      <c r="D12385" t="s">
        <v>16636</v>
      </c>
      <c r="E12385" t="s">
        <v>27411</v>
      </c>
      <c r="F12385" t="s">
        <v>28669</v>
      </c>
      <c r="G12385" t="s">
        <v>28675</v>
      </c>
      <c r="H12385" t="s">
        <v>9998</v>
      </c>
      <c r="I12385" t="s">
        <v>28708</v>
      </c>
      <c r="J12385" t="s">
        <v>31989</v>
      </c>
      <c r="K12385" t="s">
        <v>37206</v>
      </c>
      <c r="M12385" t="s">
        <v>41045</v>
      </c>
      <c r="N12385" t="s">
        <v>41249</v>
      </c>
      <c r="O12385" t="s">
        <v>41250</v>
      </c>
      <c r="P12385">
        <v>0</v>
      </c>
      <c r="Q12385">
        <v>1</v>
      </c>
      <c r="R12385" t="s">
        <v>41267</v>
      </c>
      <c r="S12385" t="s">
        <v>42077</v>
      </c>
      <c r="T12385" t="s">
        <v>42706</v>
      </c>
      <c r="U12385" t="s">
        <v>53114</v>
      </c>
      <c r="V12385" t="s">
        <v>55740</v>
      </c>
      <c r="W12385" t="s">
        <v>41045</v>
      </c>
      <c r="X12385" t="s">
        <v>41268</v>
      </c>
    </row>
    <row r="12386" spans="1:24">
      <c r="A12386">
        <f>HYPERLINK("https://www.philgeps.gov.ph/GEPSNONPILOT/Tender/SplashBidNoticeAbstractUI.aspx?menuIndex=3&amp;refID=7045179&amp;Result=3","7045179")</f>
        <v>0</v>
      </c>
      <c r="B12386" t="s">
        <v>3231</v>
      </c>
      <c r="C12386" t="s">
        <v>15245</v>
      </c>
      <c r="D12386" t="s">
        <v>16616</v>
      </c>
      <c r="E12386" t="s">
        <v>27412</v>
      </c>
      <c r="F12386" t="s">
        <v>28671</v>
      </c>
      <c r="G12386" t="s">
        <v>28675</v>
      </c>
      <c r="H12386" t="s">
        <v>9998</v>
      </c>
      <c r="I12386" t="s">
        <v>28743</v>
      </c>
      <c r="J12386" t="s">
        <v>36391</v>
      </c>
      <c r="K12386" t="s">
        <v>37206</v>
      </c>
      <c r="M12386" t="s">
        <v>41046</v>
      </c>
      <c r="N12386" t="s">
        <v>41249</v>
      </c>
      <c r="O12386" t="s">
        <v>41250</v>
      </c>
      <c r="P12386">
        <v>0</v>
      </c>
      <c r="Q12386">
        <v>0</v>
      </c>
      <c r="R12386" t="s">
        <v>41267</v>
      </c>
      <c r="S12386" t="s">
        <v>42077</v>
      </c>
      <c r="T12386" t="s">
        <v>42738</v>
      </c>
      <c r="U12386" t="s">
        <v>53115</v>
      </c>
      <c r="W12386" t="s">
        <v>41046</v>
      </c>
      <c r="X12386" t="s">
        <v>41268</v>
      </c>
    </row>
    <row r="12387" spans="1:24">
      <c r="A12387">
        <f>HYPERLINK("https://www.philgeps.gov.ph/GEPSNONPILOT/Tender/SplashBidNoticeAbstractUI.aspx?menuIndex=3&amp;refID=7045487&amp;Result=3","7045487")</f>
        <v>0</v>
      </c>
      <c r="B12387" t="s">
        <v>285</v>
      </c>
      <c r="C12387" t="s">
        <v>15246</v>
      </c>
      <c r="D12387" t="s">
        <v>16624</v>
      </c>
      <c r="E12387" t="s">
        <v>27413</v>
      </c>
      <c r="F12387" t="s">
        <v>28669</v>
      </c>
      <c r="G12387" t="s">
        <v>28675</v>
      </c>
      <c r="H12387" t="s">
        <v>28686</v>
      </c>
      <c r="I12387" t="s">
        <v>28689</v>
      </c>
      <c r="J12387" t="s">
        <v>36392</v>
      </c>
      <c r="K12387" t="s">
        <v>37215</v>
      </c>
      <c r="M12387" t="s">
        <v>37763</v>
      </c>
      <c r="N12387" t="s">
        <v>41249</v>
      </c>
      <c r="O12387" t="s">
        <v>41250</v>
      </c>
      <c r="P12387">
        <v>0</v>
      </c>
      <c r="Q12387">
        <v>0</v>
      </c>
      <c r="R12387" t="s">
        <v>41267</v>
      </c>
      <c r="S12387" t="s">
        <v>42077</v>
      </c>
      <c r="T12387" t="s">
        <v>42876</v>
      </c>
      <c r="U12387" t="s">
        <v>53116</v>
      </c>
      <c r="W12387" t="s">
        <v>37763</v>
      </c>
      <c r="X12387" t="s">
        <v>41268</v>
      </c>
    </row>
    <row r="12388" spans="1:24">
      <c r="A12388">
        <f>HYPERLINK("https://www.philgeps.gov.ph/GEPSNONPILOT/Tender/SplashBidNoticeAbstractUI.aspx?menuIndex=3&amp;refID=7045265&amp;Result=3","7045265")</f>
        <v>0</v>
      </c>
      <c r="B12388" t="s">
        <v>2134</v>
      </c>
      <c r="C12388" t="s">
        <v>15247</v>
      </c>
      <c r="D12388" t="s">
        <v>16676</v>
      </c>
      <c r="E12388" t="s">
        <v>27414</v>
      </c>
      <c r="F12388" t="s">
        <v>28669</v>
      </c>
      <c r="G12388" t="s">
        <v>28675</v>
      </c>
      <c r="H12388" t="s">
        <v>28686</v>
      </c>
      <c r="I12388" t="s">
        <v>28689</v>
      </c>
      <c r="J12388" t="s">
        <v>31313</v>
      </c>
      <c r="K12388" t="s">
        <v>37213</v>
      </c>
      <c r="M12388" t="s">
        <v>39779</v>
      </c>
      <c r="N12388" t="s">
        <v>41249</v>
      </c>
      <c r="O12388" t="s">
        <v>41250</v>
      </c>
      <c r="P12388">
        <v>0</v>
      </c>
      <c r="Q12388">
        <v>1</v>
      </c>
      <c r="R12388" t="s">
        <v>41267</v>
      </c>
      <c r="S12388" t="s">
        <v>42077</v>
      </c>
      <c r="T12388" t="s">
        <v>42673</v>
      </c>
      <c r="U12388" t="s">
        <v>48574</v>
      </c>
      <c r="V12388" t="s">
        <v>55741</v>
      </c>
      <c r="W12388" t="s">
        <v>39779</v>
      </c>
      <c r="X12388" t="s">
        <v>41268</v>
      </c>
    </row>
    <row r="12389" spans="1:24">
      <c r="A12389">
        <f>HYPERLINK("https://www.philgeps.gov.ph/GEPSNONPILOT/Tender/SplashBidNoticeAbstractUI.aspx?menuIndex=3&amp;refID=7045486&amp;Result=3","7045486")</f>
        <v>0</v>
      </c>
      <c r="B12389" t="s">
        <v>84</v>
      </c>
      <c r="C12389" t="s">
        <v>15248</v>
      </c>
      <c r="D12389" t="s">
        <v>16651</v>
      </c>
      <c r="E12389" t="s">
        <v>27415</v>
      </c>
      <c r="F12389" t="s">
        <v>28669</v>
      </c>
      <c r="G12389" t="s">
        <v>28675</v>
      </c>
      <c r="H12389" t="s">
        <v>28686</v>
      </c>
      <c r="I12389" t="s">
        <v>28689</v>
      </c>
      <c r="J12389" t="s">
        <v>29112</v>
      </c>
      <c r="K12389" t="s">
        <v>37209</v>
      </c>
      <c r="M12389" t="s">
        <v>37559</v>
      </c>
      <c r="N12389" t="s">
        <v>41249</v>
      </c>
      <c r="O12389" t="s">
        <v>41250</v>
      </c>
      <c r="P12389">
        <v>0</v>
      </c>
      <c r="Q12389">
        <v>1</v>
      </c>
      <c r="R12389" t="s">
        <v>41267</v>
      </c>
      <c r="S12389" t="s">
        <v>42077</v>
      </c>
      <c r="T12389" t="s">
        <v>42711</v>
      </c>
      <c r="U12389" t="s">
        <v>53030</v>
      </c>
      <c r="W12389" t="s">
        <v>37559</v>
      </c>
      <c r="X12389" t="s">
        <v>41268</v>
      </c>
    </row>
    <row r="12390" spans="1:24">
      <c r="A12390">
        <f>HYPERLINK("https://www.philgeps.gov.ph/GEPSNONPILOT/Tender/SplashBidNoticeAbstractUI.aspx?menuIndex=3&amp;refID=7045516&amp;Result=3","7045516")</f>
        <v>0</v>
      </c>
      <c r="B12390" t="s">
        <v>2156</v>
      </c>
      <c r="C12390" t="s">
        <v>15249</v>
      </c>
      <c r="D12390" t="s">
        <v>16628</v>
      </c>
      <c r="E12390" t="s">
        <v>27416</v>
      </c>
      <c r="F12390" t="s">
        <v>28669</v>
      </c>
      <c r="G12390" t="s">
        <v>28675</v>
      </c>
      <c r="H12390" t="s">
        <v>28686</v>
      </c>
      <c r="I12390" t="s">
        <v>28689</v>
      </c>
      <c r="J12390" t="s">
        <v>36393</v>
      </c>
      <c r="K12390" t="s">
        <v>37211</v>
      </c>
      <c r="M12390" t="s">
        <v>39802</v>
      </c>
      <c r="N12390" t="s">
        <v>41249</v>
      </c>
      <c r="O12390" t="s">
        <v>41250</v>
      </c>
      <c r="P12390">
        <v>0</v>
      </c>
      <c r="Q12390">
        <v>3</v>
      </c>
      <c r="R12390" t="s">
        <v>41267</v>
      </c>
      <c r="S12390" t="s">
        <v>42077</v>
      </c>
      <c r="T12390" t="s">
        <v>42743</v>
      </c>
      <c r="U12390" t="s">
        <v>53117</v>
      </c>
      <c r="W12390" t="s">
        <v>39802</v>
      </c>
      <c r="X12390" t="s">
        <v>41268</v>
      </c>
    </row>
    <row r="12391" spans="1:24">
      <c r="A12391">
        <f>HYPERLINK("https://www.philgeps.gov.ph/GEPSNONPILOT/Tender/SplashBidNoticeAbstractUI.aspx?menuIndex=3&amp;refID=7044918&amp;Result=3","7044918")</f>
        <v>0</v>
      </c>
      <c r="B12391" t="s">
        <v>1715</v>
      </c>
      <c r="C12391" t="s">
        <v>15250</v>
      </c>
      <c r="D12391" t="s">
        <v>16678</v>
      </c>
      <c r="E12391" t="s">
        <v>17029</v>
      </c>
      <c r="F12391" t="s">
        <v>28669</v>
      </c>
      <c r="G12391" t="s">
        <v>28675</v>
      </c>
      <c r="H12391" t="s">
        <v>9998</v>
      </c>
      <c r="I12391" t="s">
        <v>7352</v>
      </c>
      <c r="J12391" t="s">
        <v>34350</v>
      </c>
      <c r="K12391" t="s">
        <v>37206</v>
      </c>
      <c r="M12391" t="s">
        <v>39313</v>
      </c>
      <c r="N12391" t="s">
        <v>41249</v>
      </c>
      <c r="O12391" t="s">
        <v>41250</v>
      </c>
      <c r="P12391">
        <v>0</v>
      </c>
      <c r="Q12391">
        <v>0</v>
      </c>
      <c r="R12391" t="s">
        <v>41267</v>
      </c>
      <c r="S12391" t="s">
        <v>42077</v>
      </c>
      <c r="T12391" t="s">
        <v>42739</v>
      </c>
      <c r="U12391" t="s">
        <v>53118</v>
      </c>
      <c r="W12391" t="s">
        <v>39313</v>
      </c>
      <c r="X12391" t="s">
        <v>41268</v>
      </c>
    </row>
    <row r="12392" spans="1:24">
      <c r="A12392">
        <f>HYPERLINK("https://www.philgeps.gov.ph/GEPSNONPILOT/Tender/SplashBidNoticeAbstractUI.aspx?menuIndex=3&amp;refID=7045459&amp;Result=3","7045459")</f>
        <v>0</v>
      </c>
      <c r="B12392" t="s">
        <v>909</v>
      </c>
      <c r="C12392" t="s">
        <v>15251</v>
      </c>
      <c r="D12392" t="s">
        <v>16662</v>
      </c>
      <c r="E12392" t="s">
        <v>27417</v>
      </c>
      <c r="F12392" t="s">
        <v>28669</v>
      </c>
      <c r="G12392" t="s">
        <v>28675</v>
      </c>
      <c r="H12392" t="s">
        <v>9998</v>
      </c>
      <c r="I12392" t="s">
        <v>11593</v>
      </c>
      <c r="J12392" t="s">
        <v>36394</v>
      </c>
      <c r="K12392" t="s">
        <v>37206</v>
      </c>
      <c r="M12392" t="s">
        <v>38431</v>
      </c>
      <c r="N12392" t="s">
        <v>41249</v>
      </c>
      <c r="O12392" t="s">
        <v>41250</v>
      </c>
      <c r="P12392">
        <v>0</v>
      </c>
      <c r="Q12392">
        <v>3</v>
      </c>
      <c r="R12392" t="s">
        <v>41267</v>
      </c>
      <c r="S12392" t="s">
        <v>42077</v>
      </c>
      <c r="T12392" t="s">
        <v>42679</v>
      </c>
      <c r="U12392" t="s">
        <v>53119</v>
      </c>
      <c r="W12392" t="s">
        <v>38431</v>
      </c>
      <c r="X12392" t="s">
        <v>41268</v>
      </c>
    </row>
    <row r="12393" spans="1:24">
      <c r="A12393">
        <f>HYPERLINK("https://www.philgeps.gov.ph/GEPSNONPILOT/Tender/SplashBidNoticeAbstractUI.aspx?menuIndex=3&amp;refID=7045485&amp;Result=3","7045485")</f>
        <v>0</v>
      </c>
      <c r="B12393" t="s">
        <v>2156</v>
      </c>
      <c r="C12393" t="s">
        <v>15252</v>
      </c>
      <c r="D12393" t="s">
        <v>16628</v>
      </c>
      <c r="E12393" t="s">
        <v>27418</v>
      </c>
      <c r="F12393" t="s">
        <v>28669</v>
      </c>
      <c r="G12393" t="s">
        <v>28675</v>
      </c>
      <c r="H12393" t="s">
        <v>28686</v>
      </c>
      <c r="I12393" t="s">
        <v>28689</v>
      </c>
      <c r="J12393" t="s">
        <v>35460</v>
      </c>
      <c r="K12393" t="s">
        <v>37211</v>
      </c>
      <c r="M12393" t="s">
        <v>39802</v>
      </c>
      <c r="N12393" t="s">
        <v>41249</v>
      </c>
      <c r="O12393" t="s">
        <v>41250</v>
      </c>
      <c r="P12393">
        <v>0</v>
      </c>
      <c r="Q12393">
        <v>4</v>
      </c>
      <c r="R12393" t="s">
        <v>41267</v>
      </c>
      <c r="S12393" t="s">
        <v>42077</v>
      </c>
      <c r="T12393" t="s">
        <v>42743</v>
      </c>
      <c r="U12393" t="s">
        <v>53120</v>
      </c>
      <c r="W12393" t="s">
        <v>39802</v>
      </c>
      <c r="X12393" t="s">
        <v>41268</v>
      </c>
    </row>
    <row r="12394" spans="1:24">
      <c r="A12394">
        <f>HYPERLINK("https://www.philgeps.gov.ph/GEPSNONPILOT/Tender/SplashBidNoticeAbstractUI.aspx?menuIndex=3&amp;refID=7045180&amp;Result=3","7045180")</f>
        <v>0</v>
      </c>
      <c r="B12394" t="s">
        <v>1149</v>
      </c>
      <c r="C12394" t="s">
        <v>15253</v>
      </c>
      <c r="D12394" t="s">
        <v>16649</v>
      </c>
      <c r="E12394" t="s">
        <v>27419</v>
      </c>
      <c r="F12394" t="s">
        <v>28669</v>
      </c>
      <c r="G12394" t="s">
        <v>28675</v>
      </c>
      <c r="H12394" t="s">
        <v>28686</v>
      </c>
      <c r="I12394" t="s">
        <v>28689</v>
      </c>
      <c r="J12394" t="s">
        <v>36395</v>
      </c>
      <c r="K12394" t="s">
        <v>37356</v>
      </c>
      <c r="M12394" t="s">
        <v>38685</v>
      </c>
      <c r="N12394" t="s">
        <v>41249</v>
      </c>
      <c r="O12394" t="s">
        <v>41250</v>
      </c>
      <c r="P12394">
        <v>0</v>
      </c>
      <c r="Q12394">
        <v>0</v>
      </c>
      <c r="R12394" t="s">
        <v>41267</v>
      </c>
      <c r="S12394" t="s">
        <v>42077</v>
      </c>
      <c r="T12394" t="s">
        <v>42679</v>
      </c>
      <c r="U12394" t="s">
        <v>53121</v>
      </c>
      <c r="W12394" t="s">
        <v>38685</v>
      </c>
      <c r="X12394" t="s">
        <v>41268</v>
      </c>
    </row>
    <row r="12395" spans="1:24">
      <c r="A12395">
        <f>HYPERLINK("https://www.philgeps.gov.ph/GEPSNONPILOT/Tender/SplashBidNoticeAbstractUI.aspx?menuIndex=3&amp;refID=7045438&amp;Result=3","7045438")</f>
        <v>0</v>
      </c>
      <c r="B12395" t="s">
        <v>2134</v>
      </c>
      <c r="C12395" t="s">
        <v>15254</v>
      </c>
      <c r="D12395" t="s">
        <v>16676</v>
      </c>
      <c r="E12395" t="s">
        <v>27420</v>
      </c>
      <c r="F12395" t="s">
        <v>28669</v>
      </c>
      <c r="G12395" t="s">
        <v>28675</v>
      </c>
      <c r="H12395" t="s">
        <v>28686</v>
      </c>
      <c r="I12395" t="s">
        <v>28689</v>
      </c>
      <c r="J12395" t="s">
        <v>30840</v>
      </c>
      <c r="K12395" t="s">
        <v>37217</v>
      </c>
      <c r="M12395" t="s">
        <v>39779</v>
      </c>
      <c r="N12395" t="s">
        <v>41249</v>
      </c>
      <c r="O12395" t="s">
        <v>41250</v>
      </c>
      <c r="P12395">
        <v>0</v>
      </c>
      <c r="Q12395">
        <v>1</v>
      </c>
      <c r="R12395" t="s">
        <v>41267</v>
      </c>
      <c r="S12395" t="s">
        <v>42077</v>
      </c>
      <c r="T12395" t="s">
        <v>42673</v>
      </c>
      <c r="U12395" t="s">
        <v>48574</v>
      </c>
      <c r="V12395" t="s">
        <v>55742</v>
      </c>
      <c r="W12395" t="s">
        <v>39779</v>
      </c>
      <c r="X12395" t="s">
        <v>41268</v>
      </c>
    </row>
    <row r="12396" spans="1:24">
      <c r="A12396">
        <f>HYPERLINK("https://www.philgeps.gov.ph/GEPSNONPILOT/Tender/SplashBidNoticeAbstractUI.aspx?menuIndex=3&amp;refID=7045463&amp;Result=3","7045463")</f>
        <v>0</v>
      </c>
      <c r="B12396" t="s">
        <v>3232</v>
      </c>
      <c r="C12396" t="s">
        <v>15255</v>
      </c>
      <c r="D12396" t="s">
        <v>16609</v>
      </c>
      <c r="E12396" t="s">
        <v>27421</v>
      </c>
      <c r="F12396" t="s">
        <v>28669</v>
      </c>
      <c r="G12396" t="s">
        <v>28675</v>
      </c>
      <c r="H12396" t="s">
        <v>28686</v>
      </c>
      <c r="I12396" t="s">
        <v>28689</v>
      </c>
      <c r="J12396" t="s">
        <v>36396</v>
      </c>
      <c r="K12396" t="s">
        <v>37213</v>
      </c>
      <c r="M12396" t="s">
        <v>41047</v>
      </c>
      <c r="N12396" t="s">
        <v>41249</v>
      </c>
      <c r="O12396" t="s">
        <v>41250</v>
      </c>
      <c r="P12396">
        <v>0</v>
      </c>
      <c r="Q12396">
        <v>0</v>
      </c>
      <c r="R12396" t="s">
        <v>41267</v>
      </c>
      <c r="S12396" t="s">
        <v>42077</v>
      </c>
      <c r="T12396" t="s">
        <v>42759</v>
      </c>
      <c r="U12396" t="s">
        <v>53122</v>
      </c>
      <c r="W12396" t="s">
        <v>41047</v>
      </c>
      <c r="X12396" t="s">
        <v>41268</v>
      </c>
    </row>
    <row r="12397" spans="1:24">
      <c r="A12397">
        <f>HYPERLINK("https://www.philgeps.gov.ph/GEPSNONPILOT/Tender/SplashBidNoticeAbstractUI.aspx?menuIndex=3&amp;refID=7045426&amp;Result=3","7045426")</f>
        <v>0</v>
      </c>
      <c r="B12397" t="s">
        <v>42</v>
      </c>
      <c r="C12397" t="s">
        <v>15256</v>
      </c>
      <c r="D12397" t="s">
        <v>16623</v>
      </c>
      <c r="E12397" t="s">
        <v>27422</v>
      </c>
      <c r="F12397" t="s">
        <v>28669</v>
      </c>
      <c r="G12397" t="s">
        <v>28675</v>
      </c>
      <c r="H12397" t="s">
        <v>9998</v>
      </c>
      <c r="I12397" t="s">
        <v>28704</v>
      </c>
      <c r="J12397" t="s">
        <v>36397</v>
      </c>
      <c r="K12397" t="s">
        <v>37206</v>
      </c>
      <c r="M12397" t="s">
        <v>37517</v>
      </c>
      <c r="N12397" t="s">
        <v>41249</v>
      </c>
      <c r="O12397" t="s">
        <v>41250</v>
      </c>
      <c r="P12397">
        <v>0</v>
      </c>
      <c r="Q12397">
        <v>3</v>
      </c>
      <c r="R12397" t="s">
        <v>41267</v>
      </c>
      <c r="S12397" t="s">
        <v>42077</v>
      </c>
      <c r="T12397" t="s">
        <v>42711</v>
      </c>
      <c r="U12397" t="s">
        <v>53123</v>
      </c>
      <c r="W12397" t="s">
        <v>37517</v>
      </c>
      <c r="X12397" t="s">
        <v>41268</v>
      </c>
    </row>
    <row r="12398" spans="1:24">
      <c r="A12398">
        <f>HYPERLINK("https://www.philgeps.gov.ph/GEPSNONPILOT/Tender/SplashBidNoticeAbstractUI.aspx?menuIndex=3&amp;refID=7045493&amp;Result=3","7045493")</f>
        <v>0</v>
      </c>
      <c r="B12398" t="s">
        <v>1091</v>
      </c>
      <c r="C12398" t="s">
        <v>15257</v>
      </c>
      <c r="D12398" t="s">
        <v>16620</v>
      </c>
      <c r="E12398" t="s">
        <v>21737</v>
      </c>
      <c r="F12398" t="s">
        <v>28669</v>
      </c>
      <c r="G12398" t="s">
        <v>28675</v>
      </c>
      <c r="H12398" t="s">
        <v>9998</v>
      </c>
      <c r="I12398" t="s">
        <v>7352</v>
      </c>
      <c r="J12398" t="s">
        <v>28850</v>
      </c>
      <c r="K12398" t="s">
        <v>37210</v>
      </c>
      <c r="M12398" t="s">
        <v>38623</v>
      </c>
      <c r="N12398" t="s">
        <v>41249</v>
      </c>
      <c r="O12398" t="s">
        <v>41250</v>
      </c>
      <c r="P12398">
        <v>0</v>
      </c>
      <c r="Q12398">
        <v>0</v>
      </c>
      <c r="R12398" t="s">
        <v>41267</v>
      </c>
      <c r="S12398" t="s">
        <v>42077</v>
      </c>
      <c r="T12398" t="s">
        <v>42876</v>
      </c>
      <c r="U12398" t="s">
        <v>45422</v>
      </c>
      <c r="W12398" t="s">
        <v>38623</v>
      </c>
      <c r="X12398" t="s">
        <v>41268</v>
      </c>
    </row>
    <row r="12399" spans="1:24">
      <c r="A12399">
        <f>HYPERLINK("https://www.philgeps.gov.ph/GEPSNONPILOT/Tender/SplashBidNoticeAbstractUI.aspx?menuIndex=3&amp;refID=7045425&amp;Result=3","7045425")</f>
        <v>0</v>
      </c>
      <c r="B12399" t="s">
        <v>3233</v>
      </c>
      <c r="C12399" t="s">
        <v>15258</v>
      </c>
      <c r="D12399" t="s">
        <v>16684</v>
      </c>
      <c r="E12399" t="s">
        <v>27423</v>
      </c>
      <c r="F12399" t="s">
        <v>28669</v>
      </c>
      <c r="G12399" t="s">
        <v>28675</v>
      </c>
      <c r="H12399" t="s">
        <v>9998</v>
      </c>
      <c r="I12399" t="s">
        <v>28729</v>
      </c>
      <c r="J12399" t="s">
        <v>36398</v>
      </c>
      <c r="K12399" t="s">
        <v>37213</v>
      </c>
      <c r="M12399" t="s">
        <v>41048</v>
      </c>
      <c r="N12399" t="s">
        <v>41249</v>
      </c>
      <c r="O12399" t="s">
        <v>41250</v>
      </c>
      <c r="P12399">
        <v>0</v>
      </c>
      <c r="Q12399">
        <v>14</v>
      </c>
      <c r="R12399" t="s">
        <v>41267</v>
      </c>
      <c r="S12399" t="s">
        <v>42077</v>
      </c>
      <c r="T12399" t="s">
        <v>42753</v>
      </c>
      <c r="U12399" t="s">
        <v>53124</v>
      </c>
      <c r="W12399" t="s">
        <v>41048</v>
      </c>
      <c r="X12399" t="s">
        <v>41268</v>
      </c>
    </row>
    <row r="12400" spans="1:24">
      <c r="A12400">
        <f>HYPERLINK("https://www.philgeps.gov.ph/GEPSNONPILOT/Tender/SplashBidNoticeAbstractUI.aspx?menuIndex=3&amp;refID=7045407&amp;Result=3","7045407")</f>
        <v>0</v>
      </c>
      <c r="B12400" t="s">
        <v>3233</v>
      </c>
      <c r="C12400" t="s">
        <v>15259</v>
      </c>
      <c r="D12400" t="s">
        <v>16684</v>
      </c>
      <c r="E12400" t="s">
        <v>27424</v>
      </c>
      <c r="F12400" t="s">
        <v>28669</v>
      </c>
      <c r="G12400" t="s">
        <v>28675</v>
      </c>
      <c r="H12400" t="s">
        <v>9998</v>
      </c>
      <c r="I12400" t="s">
        <v>28693</v>
      </c>
      <c r="J12400" t="s">
        <v>29943</v>
      </c>
      <c r="K12400" t="s">
        <v>37221</v>
      </c>
      <c r="M12400" t="s">
        <v>41048</v>
      </c>
      <c r="N12400" t="s">
        <v>41249</v>
      </c>
      <c r="O12400" t="s">
        <v>41250</v>
      </c>
      <c r="Q12400">
        <v>46</v>
      </c>
      <c r="R12400" t="s">
        <v>41267</v>
      </c>
      <c r="S12400" t="s">
        <v>42095</v>
      </c>
      <c r="T12400" t="s">
        <v>42876</v>
      </c>
      <c r="U12400" t="s">
        <v>53125</v>
      </c>
      <c r="W12400" t="s">
        <v>41048</v>
      </c>
      <c r="X12400" t="s">
        <v>41268</v>
      </c>
    </row>
    <row r="12401" spans="1:24">
      <c r="A12401">
        <f>HYPERLINK("https://www.philgeps.gov.ph/GEPSNONPILOT/Tender/SplashBidNoticeAbstractUI.aspx?menuIndex=3&amp;refID=7045233&amp;Result=3","7045233")</f>
        <v>0</v>
      </c>
      <c r="B12401" t="s">
        <v>2856</v>
      </c>
      <c r="C12401" t="s">
        <v>15260</v>
      </c>
      <c r="D12401" t="s">
        <v>16629</v>
      </c>
      <c r="E12401" t="s">
        <v>27425</v>
      </c>
      <c r="F12401" t="s">
        <v>28669</v>
      </c>
      <c r="G12401" t="s">
        <v>28675</v>
      </c>
      <c r="H12401" t="s">
        <v>28686</v>
      </c>
      <c r="I12401" t="s">
        <v>28689</v>
      </c>
      <c r="J12401" t="s">
        <v>29003</v>
      </c>
      <c r="K12401" t="s">
        <v>37207</v>
      </c>
      <c r="M12401" t="s">
        <v>40595</v>
      </c>
      <c r="N12401" t="s">
        <v>41249</v>
      </c>
      <c r="O12401" t="s">
        <v>41250</v>
      </c>
      <c r="P12401">
        <v>0</v>
      </c>
      <c r="Q12401">
        <v>0</v>
      </c>
      <c r="R12401" t="s">
        <v>41267</v>
      </c>
      <c r="S12401" t="s">
        <v>42077</v>
      </c>
      <c r="T12401" t="s">
        <v>42673</v>
      </c>
      <c r="U12401" t="s">
        <v>53126</v>
      </c>
      <c r="W12401" t="s">
        <v>40595</v>
      </c>
      <c r="X12401" t="s">
        <v>41268</v>
      </c>
    </row>
    <row r="12402" spans="1:24">
      <c r="A12402">
        <f>HYPERLINK("https://www.philgeps.gov.ph/GEPSNONPILOT/Tender/SplashBidNoticeAbstractUI.aspx?menuIndex=3&amp;refID=7045404&amp;Result=3","7045404")</f>
        <v>0</v>
      </c>
      <c r="B12402" t="s">
        <v>909</v>
      </c>
      <c r="C12402" t="s">
        <v>5519</v>
      </c>
      <c r="D12402" t="s">
        <v>16662</v>
      </c>
      <c r="E12402" t="s">
        <v>27426</v>
      </c>
      <c r="F12402" t="s">
        <v>28669</v>
      </c>
      <c r="G12402" t="s">
        <v>28675</v>
      </c>
      <c r="H12402" t="s">
        <v>9998</v>
      </c>
      <c r="I12402" t="s">
        <v>6128</v>
      </c>
      <c r="J12402" t="s">
        <v>36399</v>
      </c>
      <c r="K12402" t="s">
        <v>37206</v>
      </c>
      <c r="M12402" t="s">
        <v>38431</v>
      </c>
      <c r="N12402" t="s">
        <v>41249</v>
      </c>
      <c r="O12402" t="s">
        <v>41250</v>
      </c>
      <c r="P12402">
        <v>0</v>
      </c>
      <c r="Q12402">
        <v>2</v>
      </c>
      <c r="R12402" t="s">
        <v>41267</v>
      </c>
      <c r="S12402" t="s">
        <v>42077</v>
      </c>
      <c r="T12402" t="s">
        <v>42679</v>
      </c>
      <c r="U12402" t="s">
        <v>53127</v>
      </c>
      <c r="W12402" t="s">
        <v>38431</v>
      </c>
      <c r="X12402" t="s">
        <v>41268</v>
      </c>
    </row>
    <row r="12403" spans="1:24">
      <c r="A12403">
        <f>HYPERLINK("https://www.philgeps.gov.ph/GEPSNONPILOT/Tender/SplashBidNoticeAbstractUI.aspx?menuIndex=3&amp;refID=7045447&amp;Result=3","7045447")</f>
        <v>0</v>
      </c>
      <c r="B12403" t="s">
        <v>3233</v>
      </c>
      <c r="C12403" t="s">
        <v>15261</v>
      </c>
      <c r="D12403" t="s">
        <v>16684</v>
      </c>
      <c r="E12403" t="s">
        <v>27427</v>
      </c>
      <c r="F12403" t="s">
        <v>28669</v>
      </c>
      <c r="G12403" t="s">
        <v>28675</v>
      </c>
      <c r="H12403" t="s">
        <v>9998</v>
      </c>
      <c r="I12403" t="s">
        <v>28815</v>
      </c>
      <c r="J12403" t="s">
        <v>28836</v>
      </c>
      <c r="K12403" t="s">
        <v>37220</v>
      </c>
      <c r="M12403" t="s">
        <v>41048</v>
      </c>
      <c r="N12403" t="s">
        <v>41249</v>
      </c>
      <c r="O12403" t="s">
        <v>41250</v>
      </c>
      <c r="Q12403">
        <v>10</v>
      </c>
      <c r="R12403" t="s">
        <v>41267</v>
      </c>
      <c r="S12403" t="s">
        <v>42096</v>
      </c>
      <c r="T12403" t="s">
        <v>42975</v>
      </c>
      <c r="U12403" t="s">
        <v>53128</v>
      </c>
      <c r="W12403" t="s">
        <v>41048</v>
      </c>
      <c r="X12403" t="s">
        <v>41268</v>
      </c>
    </row>
    <row r="12404" spans="1:24">
      <c r="A12404">
        <f>HYPERLINK("https://www.philgeps.gov.ph/GEPSNONPILOT/Tender/SplashBidNoticeAbstractUI.aspx?menuIndex=3&amp;refID=7045560&amp;Result=3","7045560")</f>
        <v>0</v>
      </c>
      <c r="B12404" t="s">
        <v>84</v>
      </c>
      <c r="C12404" t="s">
        <v>15262</v>
      </c>
      <c r="D12404" t="s">
        <v>16651</v>
      </c>
      <c r="E12404" t="s">
        <v>27428</v>
      </c>
      <c r="F12404" t="s">
        <v>28669</v>
      </c>
      <c r="G12404" t="s">
        <v>28675</v>
      </c>
      <c r="H12404" t="s">
        <v>28686</v>
      </c>
      <c r="I12404" t="s">
        <v>28689</v>
      </c>
      <c r="J12404" t="s">
        <v>30815</v>
      </c>
      <c r="K12404" t="s">
        <v>37209</v>
      </c>
      <c r="M12404" t="s">
        <v>37559</v>
      </c>
      <c r="N12404" t="s">
        <v>41249</v>
      </c>
      <c r="O12404" t="s">
        <v>41250</v>
      </c>
      <c r="P12404">
        <v>0</v>
      </c>
      <c r="Q12404">
        <v>1</v>
      </c>
      <c r="R12404" t="s">
        <v>41267</v>
      </c>
      <c r="S12404" t="s">
        <v>42077</v>
      </c>
      <c r="T12404" t="s">
        <v>42711</v>
      </c>
      <c r="U12404" t="s">
        <v>53030</v>
      </c>
      <c r="W12404" t="s">
        <v>37559</v>
      </c>
      <c r="X12404" t="s">
        <v>41268</v>
      </c>
    </row>
    <row r="12405" spans="1:24">
      <c r="A12405">
        <f>HYPERLINK("https://www.philgeps.gov.ph/GEPSNONPILOT/Tender/SplashBidNoticeAbstractUI.aspx?menuIndex=3&amp;refID=7045446&amp;Result=3","7045446")</f>
        <v>0</v>
      </c>
      <c r="B12405" t="s">
        <v>285</v>
      </c>
      <c r="C12405" t="s">
        <v>15263</v>
      </c>
      <c r="D12405" t="s">
        <v>16624</v>
      </c>
      <c r="E12405" t="s">
        <v>26106</v>
      </c>
      <c r="F12405" t="s">
        <v>28669</v>
      </c>
      <c r="G12405" t="s">
        <v>28675</v>
      </c>
      <c r="H12405" t="s">
        <v>28686</v>
      </c>
      <c r="I12405" t="s">
        <v>28689</v>
      </c>
      <c r="J12405" t="s">
        <v>28850</v>
      </c>
      <c r="K12405" t="s">
        <v>37211</v>
      </c>
      <c r="M12405" t="s">
        <v>37763</v>
      </c>
      <c r="N12405" t="s">
        <v>41249</v>
      </c>
      <c r="O12405" t="s">
        <v>41250</v>
      </c>
      <c r="P12405">
        <v>0</v>
      </c>
      <c r="Q12405">
        <v>0</v>
      </c>
      <c r="R12405" t="s">
        <v>41267</v>
      </c>
      <c r="S12405" t="s">
        <v>42077</v>
      </c>
      <c r="T12405" t="s">
        <v>42703</v>
      </c>
      <c r="U12405" t="s">
        <v>53129</v>
      </c>
      <c r="W12405" t="s">
        <v>37763</v>
      </c>
      <c r="X12405" t="s">
        <v>41268</v>
      </c>
    </row>
    <row r="12406" spans="1:24">
      <c r="A12406">
        <f>HYPERLINK("https://www.philgeps.gov.ph/GEPSNONPILOT/Tender/SplashBidNoticeAbstractUI.aspx?menuIndex=3&amp;refID=7045796&amp;Result=3","7045796")</f>
        <v>0</v>
      </c>
      <c r="B12406" t="s">
        <v>2134</v>
      </c>
      <c r="C12406" t="s">
        <v>15264</v>
      </c>
      <c r="D12406" t="s">
        <v>16676</v>
      </c>
      <c r="E12406" t="s">
        <v>27429</v>
      </c>
      <c r="F12406" t="s">
        <v>28669</v>
      </c>
      <c r="G12406" t="s">
        <v>28675</v>
      </c>
      <c r="H12406" t="s">
        <v>28686</v>
      </c>
      <c r="I12406" t="s">
        <v>28689</v>
      </c>
      <c r="J12406" t="s">
        <v>29338</v>
      </c>
      <c r="K12406" t="s">
        <v>37359</v>
      </c>
      <c r="M12406" t="s">
        <v>39779</v>
      </c>
      <c r="N12406" t="s">
        <v>41249</v>
      </c>
      <c r="O12406" t="s">
        <v>41250</v>
      </c>
      <c r="P12406">
        <v>0</v>
      </c>
      <c r="Q12406">
        <v>5</v>
      </c>
      <c r="R12406" t="s">
        <v>41267</v>
      </c>
      <c r="S12406" t="s">
        <v>42077</v>
      </c>
      <c r="T12406" t="s">
        <v>42673</v>
      </c>
      <c r="U12406" t="s">
        <v>48534</v>
      </c>
      <c r="V12406" t="s">
        <v>55743</v>
      </c>
      <c r="W12406" t="s">
        <v>39779</v>
      </c>
      <c r="X12406" t="s">
        <v>41268</v>
      </c>
    </row>
    <row r="12407" spans="1:24">
      <c r="A12407">
        <f>HYPERLINK("https://www.philgeps.gov.ph/GEPSNONPILOT/Tender/SplashBidNoticeAbstractUI.aspx?menuIndex=3&amp;refID=7045776&amp;Result=3","7045776")</f>
        <v>0</v>
      </c>
      <c r="B12407" t="s">
        <v>3234</v>
      </c>
      <c r="C12407" t="s">
        <v>15265</v>
      </c>
      <c r="D12407" t="s">
        <v>16684</v>
      </c>
      <c r="E12407" t="s">
        <v>27430</v>
      </c>
      <c r="F12407" t="s">
        <v>28669</v>
      </c>
      <c r="G12407" t="s">
        <v>28675</v>
      </c>
      <c r="H12407" t="s">
        <v>9998</v>
      </c>
      <c r="I12407" t="s">
        <v>28693</v>
      </c>
      <c r="J12407" t="s">
        <v>36400</v>
      </c>
      <c r="K12407" t="s">
        <v>37213</v>
      </c>
      <c r="M12407" t="s">
        <v>41049</v>
      </c>
      <c r="N12407" t="s">
        <v>41249</v>
      </c>
      <c r="O12407" t="s">
        <v>41250</v>
      </c>
      <c r="Q12407">
        <v>16</v>
      </c>
      <c r="R12407" t="s">
        <v>41267</v>
      </c>
      <c r="S12407" t="s">
        <v>42097</v>
      </c>
      <c r="T12407" t="s">
        <v>42954</v>
      </c>
      <c r="U12407" t="s">
        <v>53130</v>
      </c>
      <c r="V12407" t="s">
        <v>55744</v>
      </c>
      <c r="W12407" t="s">
        <v>41049</v>
      </c>
      <c r="X12407" t="s">
        <v>41268</v>
      </c>
    </row>
    <row r="12408" spans="1:24">
      <c r="A12408">
        <f>HYPERLINK("https://www.philgeps.gov.ph/GEPSNONPILOT/Tender/SplashBidNoticeAbstractUI.aspx?menuIndex=3&amp;refID=7045416&amp;Result=3","7045416")</f>
        <v>0</v>
      </c>
      <c r="B12408" t="s">
        <v>3214</v>
      </c>
      <c r="C12408" t="s">
        <v>15266</v>
      </c>
      <c r="D12408" t="s">
        <v>16616</v>
      </c>
      <c r="E12408" t="s">
        <v>21164</v>
      </c>
      <c r="F12408" t="s">
        <v>28669</v>
      </c>
      <c r="G12408" t="s">
        <v>28675</v>
      </c>
      <c r="H12408" t="s">
        <v>9998</v>
      </c>
      <c r="I12408" t="s">
        <v>7352</v>
      </c>
      <c r="J12408" t="s">
        <v>36401</v>
      </c>
      <c r="K12408" t="s">
        <v>37206</v>
      </c>
      <c r="M12408" t="s">
        <v>41027</v>
      </c>
      <c r="N12408" t="s">
        <v>41249</v>
      </c>
      <c r="O12408" t="s">
        <v>41250</v>
      </c>
      <c r="P12408">
        <v>0</v>
      </c>
      <c r="Q12408">
        <v>0</v>
      </c>
      <c r="R12408" t="s">
        <v>41267</v>
      </c>
      <c r="S12408" t="s">
        <v>42077</v>
      </c>
      <c r="T12408" t="s">
        <v>42711</v>
      </c>
      <c r="U12408" t="s">
        <v>53131</v>
      </c>
      <c r="V12408" t="s">
        <v>55724</v>
      </c>
      <c r="W12408" t="s">
        <v>41027</v>
      </c>
      <c r="X12408" t="s">
        <v>41268</v>
      </c>
    </row>
    <row r="12409" spans="1:24">
      <c r="A12409">
        <f>HYPERLINK("https://www.philgeps.gov.ph/GEPSNONPILOT/Tender/SplashBidNoticeAbstractUI.aspx?menuIndex=3&amp;refID=7045418&amp;Result=3","7045418")</f>
        <v>0</v>
      </c>
      <c r="B12409" t="s">
        <v>84</v>
      </c>
      <c r="C12409" t="s">
        <v>15267</v>
      </c>
      <c r="D12409" t="s">
        <v>16651</v>
      </c>
      <c r="E12409" t="s">
        <v>27431</v>
      </c>
      <c r="F12409" t="s">
        <v>28669</v>
      </c>
      <c r="G12409" t="s">
        <v>28675</v>
      </c>
      <c r="H12409" t="s">
        <v>28686</v>
      </c>
      <c r="I12409" t="s">
        <v>28689</v>
      </c>
      <c r="J12409" t="s">
        <v>28836</v>
      </c>
      <c r="K12409" t="s">
        <v>37209</v>
      </c>
      <c r="M12409" t="s">
        <v>37559</v>
      </c>
      <c r="N12409" t="s">
        <v>41249</v>
      </c>
      <c r="O12409" t="s">
        <v>41250</v>
      </c>
      <c r="P12409">
        <v>0</v>
      </c>
      <c r="Q12409">
        <v>2</v>
      </c>
      <c r="R12409" t="s">
        <v>41267</v>
      </c>
      <c r="S12409" t="s">
        <v>42077</v>
      </c>
      <c r="T12409" t="s">
        <v>42711</v>
      </c>
      <c r="U12409" t="s">
        <v>53030</v>
      </c>
      <c r="W12409" t="s">
        <v>37559</v>
      </c>
      <c r="X12409" t="s">
        <v>41268</v>
      </c>
    </row>
    <row r="12410" spans="1:24">
      <c r="A12410">
        <f>HYPERLINK("https://www.philgeps.gov.ph/GEPSNONPILOT/Tender/SplashBidNoticeAbstractUI.aspx?menuIndex=3&amp;refID=7045767&amp;Result=3","7045767")</f>
        <v>0</v>
      </c>
      <c r="B12410" t="s">
        <v>909</v>
      </c>
      <c r="C12410" t="s">
        <v>15268</v>
      </c>
      <c r="D12410" t="s">
        <v>16662</v>
      </c>
      <c r="E12410" t="s">
        <v>27432</v>
      </c>
      <c r="F12410" t="s">
        <v>28669</v>
      </c>
      <c r="G12410" t="s">
        <v>28675</v>
      </c>
      <c r="H12410" t="s">
        <v>9998</v>
      </c>
      <c r="I12410" t="s">
        <v>5213</v>
      </c>
      <c r="J12410" t="s">
        <v>36402</v>
      </c>
      <c r="K12410" t="s">
        <v>37206</v>
      </c>
      <c r="M12410" t="s">
        <v>38431</v>
      </c>
      <c r="N12410" t="s">
        <v>41249</v>
      </c>
      <c r="O12410" t="s">
        <v>41250</v>
      </c>
      <c r="P12410">
        <v>0</v>
      </c>
      <c r="Q12410">
        <v>3</v>
      </c>
      <c r="R12410" t="s">
        <v>41267</v>
      </c>
      <c r="S12410" t="s">
        <v>42077</v>
      </c>
      <c r="T12410" t="s">
        <v>42679</v>
      </c>
      <c r="U12410" t="s">
        <v>53132</v>
      </c>
      <c r="W12410" t="s">
        <v>38431</v>
      </c>
      <c r="X12410" t="s">
        <v>41268</v>
      </c>
    </row>
    <row r="12411" spans="1:24">
      <c r="A12411">
        <f>HYPERLINK("https://www.philgeps.gov.ph/GEPSNONPILOT/Tender/SplashBidNoticeAbstractUI.aspx?menuIndex=3&amp;refID=7045674&amp;Result=3","7045674")</f>
        <v>0</v>
      </c>
      <c r="B12411" t="s">
        <v>2134</v>
      </c>
      <c r="C12411" t="s">
        <v>15269</v>
      </c>
      <c r="D12411" t="s">
        <v>16676</v>
      </c>
      <c r="E12411" t="s">
        <v>27433</v>
      </c>
      <c r="F12411" t="s">
        <v>28669</v>
      </c>
      <c r="G12411" t="s">
        <v>28675</v>
      </c>
      <c r="H12411" t="s">
        <v>28686</v>
      </c>
      <c r="I12411" t="s">
        <v>28689</v>
      </c>
      <c r="J12411" t="s">
        <v>30840</v>
      </c>
      <c r="K12411" t="s">
        <v>37334</v>
      </c>
      <c r="M12411" t="s">
        <v>39779</v>
      </c>
      <c r="N12411" t="s">
        <v>41249</v>
      </c>
      <c r="O12411" t="s">
        <v>41250</v>
      </c>
      <c r="P12411">
        <v>0</v>
      </c>
      <c r="Q12411">
        <v>2</v>
      </c>
      <c r="R12411" t="s">
        <v>41267</v>
      </c>
      <c r="S12411" t="s">
        <v>42077</v>
      </c>
      <c r="T12411" t="s">
        <v>42673</v>
      </c>
      <c r="U12411" t="s">
        <v>48534</v>
      </c>
      <c r="V12411" t="s">
        <v>55745</v>
      </c>
      <c r="W12411" t="s">
        <v>39779</v>
      </c>
      <c r="X12411" t="s">
        <v>41268</v>
      </c>
    </row>
    <row r="12412" spans="1:24">
      <c r="A12412">
        <f>HYPERLINK("https://www.philgeps.gov.ph/GEPSNONPILOT/Tender/SplashBidNoticeAbstractUI.aspx?menuIndex=3&amp;refID=7045816&amp;Result=3","7045816")</f>
        <v>0</v>
      </c>
      <c r="B12412" t="s">
        <v>84</v>
      </c>
      <c r="C12412" t="s">
        <v>15270</v>
      </c>
      <c r="D12412" t="s">
        <v>16651</v>
      </c>
      <c r="E12412" t="s">
        <v>27434</v>
      </c>
      <c r="F12412" t="s">
        <v>28669</v>
      </c>
      <c r="G12412" t="s">
        <v>28675</v>
      </c>
      <c r="H12412" t="s">
        <v>28686</v>
      </c>
      <c r="I12412" t="s">
        <v>28689</v>
      </c>
      <c r="J12412" t="s">
        <v>28914</v>
      </c>
      <c r="K12412" t="s">
        <v>37209</v>
      </c>
      <c r="M12412" t="s">
        <v>37559</v>
      </c>
      <c r="N12412" t="s">
        <v>41249</v>
      </c>
      <c r="O12412" t="s">
        <v>41250</v>
      </c>
      <c r="P12412">
        <v>0</v>
      </c>
      <c r="Q12412">
        <v>1</v>
      </c>
      <c r="R12412" t="s">
        <v>41267</v>
      </c>
      <c r="S12412" t="s">
        <v>42077</v>
      </c>
      <c r="T12412" t="s">
        <v>42711</v>
      </c>
      <c r="U12412" t="s">
        <v>53030</v>
      </c>
      <c r="W12412" t="s">
        <v>37559</v>
      </c>
      <c r="X12412" t="s">
        <v>41268</v>
      </c>
    </row>
    <row r="12413" spans="1:24">
      <c r="A12413">
        <f>HYPERLINK("https://www.philgeps.gov.ph/GEPSNONPILOT/Tender/SplashBidNoticeAbstractUI.aspx?menuIndex=3&amp;refID=7045482&amp;Result=3","7045482")</f>
        <v>0</v>
      </c>
      <c r="B12413" t="s">
        <v>909</v>
      </c>
      <c r="C12413" t="s">
        <v>15271</v>
      </c>
      <c r="D12413" t="s">
        <v>16662</v>
      </c>
      <c r="E12413" t="s">
        <v>27435</v>
      </c>
      <c r="F12413" t="s">
        <v>28669</v>
      </c>
      <c r="G12413" t="s">
        <v>28675</v>
      </c>
      <c r="H12413" t="s">
        <v>9998</v>
      </c>
      <c r="I12413" t="s">
        <v>6606</v>
      </c>
      <c r="J12413" t="s">
        <v>36403</v>
      </c>
      <c r="K12413" t="s">
        <v>37206</v>
      </c>
      <c r="M12413" t="s">
        <v>38431</v>
      </c>
      <c r="N12413" t="s">
        <v>41249</v>
      </c>
      <c r="O12413" t="s">
        <v>41250</v>
      </c>
      <c r="P12413">
        <v>0</v>
      </c>
      <c r="Q12413">
        <v>0</v>
      </c>
      <c r="R12413" t="s">
        <v>41267</v>
      </c>
      <c r="S12413" t="s">
        <v>42077</v>
      </c>
      <c r="T12413" t="s">
        <v>42679</v>
      </c>
      <c r="U12413" t="s">
        <v>53133</v>
      </c>
      <c r="W12413" t="s">
        <v>38431</v>
      </c>
      <c r="X12413" t="s">
        <v>41268</v>
      </c>
    </row>
    <row r="12414" spans="1:24">
      <c r="A12414">
        <f>HYPERLINK("https://www.philgeps.gov.ph/GEPSNONPILOT/Tender/SplashBidNoticeAbstractUI.aspx?menuIndex=3&amp;refID=7045708&amp;Result=3","7045708")</f>
        <v>0</v>
      </c>
      <c r="B12414" t="s">
        <v>84</v>
      </c>
      <c r="C12414" t="s">
        <v>15272</v>
      </c>
      <c r="D12414" t="s">
        <v>16651</v>
      </c>
      <c r="E12414" t="s">
        <v>27436</v>
      </c>
      <c r="F12414" t="s">
        <v>28669</v>
      </c>
      <c r="G12414" t="s">
        <v>28675</v>
      </c>
      <c r="H12414" t="s">
        <v>28686</v>
      </c>
      <c r="I12414" t="s">
        <v>28689</v>
      </c>
      <c r="J12414" t="s">
        <v>28924</v>
      </c>
      <c r="K12414" t="s">
        <v>37209</v>
      </c>
      <c r="M12414" t="s">
        <v>37559</v>
      </c>
      <c r="N12414" t="s">
        <v>41249</v>
      </c>
      <c r="O12414" t="s">
        <v>41250</v>
      </c>
      <c r="P12414">
        <v>0</v>
      </c>
      <c r="Q12414">
        <v>2</v>
      </c>
      <c r="R12414" t="s">
        <v>41267</v>
      </c>
      <c r="S12414" t="s">
        <v>42077</v>
      </c>
      <c r="T12414" t="s">
        <v>42711</v>
      </c>
      <c r="U12414" t="s">
        <v>53030</v>
      </c>
      <c r="W12414" t="s">
        <v>37559</v>
      </c>
      <c r="X12414" t="s">
        <v>41268</v>
      </c>
    </row>
    <row r="12415" spans="1:24">
      <c r="A12415">
        <f>HYPERLINK("https://www.philgeps.gov.ph/GEPSNONPILOT/Tender/SplashBidNoticeAbstractUI.aspx?menuIndex=3&amp;refID=7045669&amp;Result=3","7045669")</f>
        <v>0</v>
      </c>
      <c r="B12415" t="s">
        <v>526</v>
      </c>
      <c r="C12415" t="s">
        <v>15273</v>
      </c>
      <c r="D12415" t="s">
        <v>16680</v>
      </c>
      <c r="E12415" t="s">
        <v>27437</v>
      </c>
      <c r="F12415" t="s">
        <v>28669</v>
      </c>
      <c r="G12415" t="s">
        <v>28675</v>
      </c>
      <c r="H12415" t="s">
        <v>9998</v>
      </c>
      <c r="I12415" t="s">
        <v>28714</v>
      </c>
      <c r="J12415" t="s">
        <v>34691</v>
      </c>
      <c r="K12415" t="s">
        <v>37220</v>
      </c>
      <c r="M12415" t="s">
        <v>41050</v>
      </c>
      <c r="N12415" t="s">
        <v>41249</v>
      </c>
      <c r="O12415" t="s">
        <v>41250</v>
      </c>
      <c r="P12415">
        <v>0</v>
      </c>
      <c r="Q12415">
        <v>8</v>
      </c>
      <c r="R12415" t="s">
        <v>41267</v>
      </c>
      <c r="S12415" t="s">
        <v>42077</v>
      </c>
      <c r="T12415" t="s">
        <v>42858</v>
      </c>
      <c r="U12415" t="s">
        <v>53134</v>
      </c>
      <c r="W12415" t="s">
        <v>41050</v>
      </c>
      <c r="X12415" t="s">
        <v>41268</v>
      </c>
    </row>
    <row r="12416" spans="1:24">
      <c r="A12416">
        <f>HYPERLINK("https://www.philgeps.gov.ph/GEPSNONPILOT/Tender/SplashBidNoticeAbstractUI.aspx?menuIndex=3&amp;refID=7045596&amp;Result=3","7045596")</f>
        <v>0</v>
      </c>
      <c r="B12416" t="s">
        <v>3235</v>
      </c>
      <c r="C12416" t="s">
        <v>15274</v>
      </c>
      <c r="D12416" t="s">
        <v>16657</v>
      </c>
      <c r="E12416" t="s">
        <v>27438</v>
      </c>
      <c r="F12416" t="s">
        <v>28669</v>
      </c>
      <c r="G12416" t="s">
        <v>28675</v>
      </c>
      <c r="H12416" t="s">
        <v>9998</v>
      </c>
      <c r="I12416" t="s">
        <v>3718</v>
      </c>
      <c r="J12416" t="s">
        <v>32075</v>
      </c>
      <c r="K12416" t="s">
        <v>37304</v>
      </c>
      <c r="M12416" t="s">
        <v>41051</v>
      </c>
      <c r="N12416" t="s">
        <v>41249</v>
      </c>
      <c r="O12416" t="s">
        <v>41250</v>
      </c>
      <c r="P12416">
        <v>0</v>
      </c>
      <c r="Q12416">
        <v>6</v>
      </c>
      <c r="R12416" t="s">
        <v>41267</v>
      </c>
      <c r="S12416" t="s">
        <v>42077</v>
      </c>
      <c r="T12416" t="s">
        <v>42681</v>
      </c>
      <c r="U12416" t="s">
        <v>53135</v>
      </c>
      <c r="W12416" t="s">
        <v>41051</v>
      </c>
      <c r="X12416" t="s">
        <v>41268</v>
      </c>
    </row>
    <row r="12417" spans="1:24">
      <c r="A12417">
        <f>HYPERLINK("https://www.philgeps.gov.ph/GEPSNONPILOT/Tender/SplashBidNoticeAbstractUI.aspx?menuIndex=3&amp;refID=7045797&amp;Result=3","7045797")</f>
        <v>0</v>
      </c>
      <c r="B12417" t="s">
        <v>3236</v>
      </c>
      <c r="C12417" t="s">
        <v>15275</v>
      </c>
      <c r="D12417" t="s">
        <v>16632</v>
      </c>
      <c r="E12417" t="s">
        <v>27439</v>
      </c>
      <c r="F12417" t="s">
        <v>28669</v>
      </c>
      <c r="G12417" t="s">
        <v>28675</v>
      </c>
      <c r="H12417" t="s">
        <v>9998</v>
      </c>
      <c r="I12417" t="s">
        <v>28689</v>
      </c>
      <c r="J12417" t="s">
        <v>29112</v>
      </c>
      <c r="K12417" t="s">
        <v>37213</v>
      </c>
      <c r="M12417" t="s">
        <v>41052</v>
      </c>
      <c r="N12417" t="s">
        <v>41249</v>
      </c>
      <c r="O12417" t="s">
        <v>41250</v>
      </c>
      <c r="P12417">
        <v>0</v>
      </c>
      <c r="Q12417">
        <v>3</v>
      </c>
      <c r="R12417" t="s">
        <v>41267</v>
      </c>
      <c r="S12417" t="s">
        <v>42077</v>
      </c>
      <c r="T12417" t="s">
        <v>42675</v>
      </c>
      <c r="U12417" t="s">
        <v>53136</v>
      </c>
      <c r="W12417" t="s">
        <v>41052</v>
      </c>
      <c r="X12417" t="s">
        <v>41268</v>
      </c>
    </row>
    <row r="12418" spans="1:24">
      <c r="A12418">
        <f>HYPERLINK("https://www.philgeps.gov.ph/GEPSNONPILOT/Tender/SplashBidNoticeAbstractUI.aspx?menuIndex=3&amp;refID=7045657&amp;Result=3","7045657")</f>
        <v>0</v>
      </c>
      <c r="B12418" t="s">
        <v>42</v>
      </c>
      <c r="C12418" t="s">
        <v>15276</v>
      </c>
      <c r="D12418" t="s">
        <v>16623</v>
      </c>
      <c r="E12418" t="s">
        <v>19168</v>
      </c>
      <c r="F12418" t="s">
        <v>28669</v>
      </c>
      <c r="G12418" t="s">
        <v>28675</v>
      </c>
      <c r="H12418" t="s">
        <v>9998</v>
      </c>
      <c r="I12418" t="s">
        <v>28743</v>
      </c>
      <c r="J12418" t="s">
        <v>36404</v>
      </c>
      <c r="K12418" t="s">
        <v>37231</v>
      </c>
      <c r="M12418" t="s">
        <v>37517</v>
      </c>
      <c r="N12418" t="s">
        <v>41249</v>
      </c>
      <c r="O12418" t="s">
        <v>41250</v>
      </c>
      <c r="Q12418">
        <v>3</v>
      </c>
      <c r="R12418" t="s">
        <v>41267</v>
      </c>
      <c r="S12418" t="s">
        <v>42098</v>
      </c>
      <c r="T12418" t="s">
        <v>42711</v>
      </c>
      <c r="U12418" t="s">
        <v>53137</v>
      </c>
      <c r="W12418" t="s">
        <v>37517</v>
      </c>
      <c r="X12418" t="s">
        <v>41268</v>
      </c>
    </row>
    <row r="12419" spans="1:24">
      <c r="A12419">
        <f>HYPERLINK("https://www.philgeps.gov.ph/GEPSNONPILOT/Tender/SplashBidNoticeAbstractUI.aspx?menuIndex=3&amp;refID=7045780&amp;Result=3","7045780")</f>
        <v>0</v>
      </c>
      <c r="B12419" t="s">
        <v>3237</v>
      </c>
      <c r="C12419" t="s">
        <v>15277</v>
      </c>
      <c r="D12419" t="s">
        <v>16608</v>
      </c>
      <c r="E12419" t="s">
        <v>27440</v>
      </c>
      <c r="F12419" t="s">
        <v>28669</v>
      </c>
      <c r="G12419" t="s">
        <v>28675</v>
      </c>
      <c r="H12419" t="s">
        <v>9998</v>
      </c>
      <c r="I12419" t="s">
        <v>28708</v>
      </c>
      <c r="J12419" t="s">
        <v>36405</v>
      </c>
      <c r="K12419" t="s">
        <v>37304</v>
      </c>
      <c r="M12419" t="s">
        <v>41053</v>
      </c>
      <c r="N12419" t="s">
        <v>41249</v>
      </c>
      <c r="O12419" t="s">
        <v>41250</v>
      </c>
      <c r="P12419">
        <v>0</v>
      </c>
      <c r="Q12419">
        <v>13</v>
      </c>
      <c r="R12419" t="s">
        <v>41267</v>
      </c>
      <c r="S12419" t="s">
        <v>42077</v>
      </c>
      <c r="T12419" t="s">
        <v>42698</v>
      </c>
      <c r="U12419" t="s">
        <v>53138</v>
      </c>
      <c r="W12419" t="s">
        <v>41053</v>
      </c>
      <c r="X12419" t="s">
        <v>41268</v>
      </c>
    </row>
    <row r="12420" spans="1:24">
      <c r="A12420">
        <f>HYPERLINK("https://www.philgeps.gov.ph/GEPSNONPILOT/Tender/SplashBidNoticeAbstractUI.aspx?menuIndex=3&amp;refID=7045613&amp;Result=3","7045613")</f>
        <v>0</v>
      </c>
      <c r="B12420" t="s">
        <v>84</v>
      </c>
      <c r="C12420" t="s">
        <v>15278</v>
      </c>
      <c r="D12420" t="s">
        <v>16651</v>
      </c>
      <c r="E12420" t="s">
        <v>27441</v>
      </c>
      <c r="F12420" t="s">
        <v>28669</v>
      </c>
      <c r="G12420" t="s">
        <v>28675</v>
      </c>
      <c r="H12420" t="s">
        <v>28686</v>
      </c>
      <c r="I12420" t="s">
        <v>28689</v>
      </c>
      <c r="J12420" t="s">
        <v>29059</v>
      </c>
      <c r="K12420" t="s">
        <v>37209</v>
      </c>
      <c r="M12420" t="s">
        <v>37559</v>
      </c>
      <c r="N12420" t="s">
        <v>41249</v>
      </c>
      <c r="O12420" t="s">
        <v>41250</v>
      </c>
      <c r="P12420">
        <v>0</v>
      </c>
      <c r="Q12420">
        <v>1</v>
      </c>
      <c r="R12420" t="s">
        <v>41267</v>
      </c>
      <c r="S12420" t="s">
        <v>42077</v>
      </c>
      <c r="T12420" t="s">
        <v>42711</v>
      </c>
      <c r="U12420" t="s">
        <v>53030</v>
      </c>
      <c r="W12420" t="s">
        <v>37559</v>
      </c>
      <c r="X12420" t="s">
        <v>41268</v>
      </c>
    </row>
    <row r="12421" spans="1:24">
      <c r="A12421">
        <f>HYPERLINK("https://www.philgeps.gov.ph/GEPSNONPILOT/Tender/SplashBidNoticeAbstractUI.aspx?menuIndex=3&amp;refID=7045574&amp;Result=3","7045574")</f>
        <v>0</v>
      </c>
      <c r="B12421" t="s">
        <v>1961</v>
      </c>
      <c r="C12421" t="s">
        <v>15279</v>
      </c>
      <c r="D12421" t="s">
        <v>16608</v>
      </c>
      <c r="E12421" t="s">
        <v>27442</v>
      </c>
      <c r="F12421" t="s">
        <v>28669</v>
      </c>
      <c r="G12421" t="s">
        <v>28675</v>
      </c>
      <c r="H12421" t="s">
        <v>28686</v>
      </c>
      <c r="I12421" t="s">
        <v>28689</v>
      </c>
      <c r="J12421" t="s">
        <v>36406</v>
      </c>
      <c r="K12421" t="s">
        <v>37211</v>
      </c>
      <c r="M12421" t="s">
        <v>40442</v>
      </c>
      <c r="N12421" t="s">
        <v>41249</v>
      </c>
      <c r="O12421" t="s">
        <v>41250</v>
      </c>
      <c r="Q12421">
        <v>20</v>
      </c>
      <c r="R12421" t="s">
        <v>41267</v>
      </c>
      <c r="S12421" t="s">
        <v>41431</v>
      </c>
      <c r="T12421" t="s">
        <v>42686</v>
      </c>
      <c r="U12421" t="s">
        <v>53139</v>
      </c>
      <c r="V12421" t="s">
        <v>54508</v>
      </c>
      <c r="W12421" t="s">
        <v>40442</v>
      </c>
      <c r="X12421" t="s">
        <v>41268</v>
      </c>
    </row>
    <row r="12422" spans="1:24">
      <c r="A12422">
        <f>HYPERLINK("https://www.philgeps.gov.ph/GEPSNONPILOT/Tender/SplashBidNoticeAbstractUI.aspx?menuIndex=3&amp;refID=7045545&amp;Result=3","7045545")</f>
        <v>0</v>
      </c>
      <c r="B12422" t="s">
        <v>2156</v>
      </c>
      <c r="C12422" t="s">
        <v>15280</v>
      </c>
      <c r="D12422" t="s">
        <v>16628</v>
      </c>
      <c r="E12422" t="s">
        <v>27443</v>
      </c>
      <c r="F12422" t="s">
        <v>28669</v>
      </c>
      <c r="G12422" t="s">
        <v>28675</v>
      </c>
      <c r="H12422" t="s">
        <v>9998</v>
      </c>
      <c r="I12422" t="s">
        <v>28710</v>
      </c>
      <c r="J12422" t="s">
        <v>29059</v>
      </c>
      <c r="K12422" t="s">
        <v>37209</v>
      </c>
      <c r="M12422" t="s">
        <v>39802</v>
      </c>
      <c r="N12422" t="s">
        <v>41249</v>
      </c>
      <c r="O12422" t="s">
        <v>41250</v>
      </c>
      <c r="P12422">
        <v>0</v>
      </c>
      <c r="Q12422">
        <v>1</v>
      </c>
      <c r="R12422" t="s">
        <v>41267</v>
      </c>
      <c r="S12422" t="s">
        <v>42077</v>
      </c>
      <c r="T12422" t="s">
        <v>42743</v>
      </c>
      <c r="U12422" t="s">
        <v>53140</v>
      </c>
      <c r="W12422" t="s">
        <v>39802</v>
      </c>
      <c r="X12422" t="s">
        <v>41268</v>
      </c>
    </row>
    <row r="12423" spans="1:24">
      <c r="A12423">
        <f>HYPERLINK("https://www.philgeps.gov.ph/GEPSNONPILOT/Tender/SplashBidNoticeAbstractUI.aspx?menuIndex=3&amp;refID=7045540&amp;Result=3","7045540")</f>
        <v>0</v>
      </c>
      <c r="B12423" t="s">
        <v>1218</v>
      </c>
      <c r="C12423" t="s">
        <v>15281</v>
      </c>
      <c r="D12423" t="s">
        <v>16615</v>
      </c>
      <c r="E12423" t="s">
        <v>27444</v>
      </c>
      <c r="F12423" t="s">
        <v>28669</v>
      </c>
      <c r="G12423" t="s">
        <v>28677</v>
      </c>
      <c r="H12423" t="s">
        <v>9998</v>
      </c>
      <c r="I12423" t="s">
        <v>5286</v>
      </c>
      <c r="J12423" t="s">
        <v>29040</v>
      </c>
      <c r="K12423" t="s">
        <v>37209</v>
      </c>
      <c r="M12423" t="s">
        <v>38761</v>
      </c>
      <c r="N12423" t="s">
        <v>41249</v>
      </c>
      <c r="O12423" t="s">
        <v>41250</v>
      </c>
      <c r="Q12423">
        <v>1</v>
      </c>
      <c r="R12423" t="s">
        <v>41267</v>
      </c>
      <c r="S12423" t="s">
        <v>42099</v>
      </c>
      <c r="T12423" t="s">
        <v>42883</v>
      </c>
      <c r="U12423" t="s">
        <v>53141</v>
      </c>
      <c r="V12423" t="s">
        <v>55746</v>
      </c>
      <c r="W12423" t="s">
        <v>38761</v>
      </c>
      <c r="X12423" t="s">
        <v>41268</v>
      </c>
    </row>
    <row r="12424" spans="1:24">
      <c r="A12424">
        <f>HYPERLINK("https://www.philgeps.gov.ph/GEPSNONPILOT/Tender/SplashBidNoticeAbstractUI.aspx?menuIndex=3&amp;refID=7044726&amp;Result=3","7044726")</f>
        <v>0</v>
      </c>
      <c r="B12424" t="s">
        <v>1696</v>
      </c>
      <c r="C12424" t="s">
        <v>15282</v>
      </c>
      <c r="D12424" t="s">
        <v>16658</v>
      </c>
      <c r="E12424" t="s">
        <v>27445</v>
      </c>
      <c r="F12424" t="s">
        <v>28669</v>
      </c>
      <c r="G12424" t="s">
        <v>28675</v>
      </c>
      <c r="H12424" t="s">
        <v>28686</v>
      </c>
      <c r="I12424" t="s">
        <v>28689</v>
      </c>
      <c r="J12424" t="s">
        <v>36407</v>
      </c>
      <c r="K12424" t="s">
        <v>37214</v>
      </c>
      <c r="M12424" t="s">
        <v>39292</v>
      </c>
      <c r="N12424" t="s">
        <v>41249</v>
      </c>
      <c r="O12424" t="s">
        <v>41250</v>
      </c>
      <c r="P12424">
        <v>0</v>
      </c>
      <c r="Q12424">
        <v>0</v>
      </c>
      <c r="R12424" t="s">
        <v>41267</v>
      </c>
      <c r="S12424" t="s">
        <v>42077</v>
      </c>
      <c r="T12424" t="s">
        <v>42754</v>
      </c>
      <c r="U12424" t="s">
        <v>53142</v>
      </c>
      <c r="W12424" t="s">
        <v>56030</v>
      </c>
      <c r="X12424" t="s">
        <v>41268</v>
      </c>
    </row>
    <row r="12425" spans="1:24">
      <c r="A12425">
        <f>HYPERLINK("https://www.philgeps.gov.ph/GEPSNONPILOT/Tender/SplashBidNoticeAbstractUI.aspx?menuIndex=3&amp;refID=7044722&amp;Result=3","7044722")</f>
        <v>0</v>
      </c>
      <c r="B12425" t="s">
        <v>3238</v>
      </c>
      <c r="C12425" t="s">
        <v>15283</v>
      </c>
      <c r="D12425" t="s">
        <v>16633</v>
      </c>
      <c r="E12425" t="s">
        <v>27446</v>
      </c>
      <c r="F12425" t="s">
        <v>28669</v>
      </c>
      <c r="G12425" t="s">
        <v>28675</v>
      </c>
      <c r="H12425" t="s">
        <v>9998</v>
      </c>
      <c r="I12425" t="s">
        <v>28722</v>
      </c>
      <c r="J12425" t="s">
        <v>36028</v>
      </c>
      <c r="K12425" t="s">
        <v>37235</v>
      </c>
      <c r="M12425" t="s">
        <v>41054</v>
      </c>
      <c r="N12425" t="s">
        <v>41249</v>
      </c>
      <c r="O12425" t="s">
        <v>41250</v>
      </c>
      <c r="P12425">
        <v>0</v>
      </c>
      <c r="Q12425">
        <v>2</v>
      </c>
      <c r="R12425" t="s">
        <v>41267</v>
      </c>
      <c r="S12425" t="s">
        <v>42077</v>
      </c>
      <c r="T12425" t="s">
        <v>42673</v>
      </c>
      <c r="U12425" t="s">
        <v>53143</v>
      </c>
      <c r="W12425" t="s">
        <v>41054</v>
      </c>
      <c r="X12425" t="s">
        <v>41268</v>
      </c>
    </row>
    <row r="12426" spans="1:24">
      <c r="A12426">
        <f>HYPERLINK("https://www.philgeps.gov.ph/GEPSNONPILOT/Tender/SplashBidNoticeAbstractUI.aspx?menuIndex=3&amp;refID=7044715&amp;Result=3","7044715")</f>
        <v>0</v>
      </c>
      <c r="B12426" t="s">
        <v>2525</v>
      </c>
      <c r="C12426" t="s">
        <v>15284</v>
      </c>
      <c r="D12426" t="s">
        <v>16626</v>
      </c>
      <c r="E12426" t="s">
        <v>27447</v>
      </c>
      <c r="F12426" t="s">
        <v>28669</v>
      </c>
      <c r="G12426" t="s">
        <v>28675</v>
      </c>
      <c r="H12426" t="s">
        <v>9998</v>
      </c>
      <c r="I12426" t="s">
        <v>28689</v>
      </c>
      <c r="J12426" t="s">
        <v>36408</v>
      </c>
      <c r="K12426" t="s">
        <v>37209</v>
      </c>
      <c r="M12426" t="s">
        <v>40214</v>
      </c>
      <c r="N12426" t="s">
        <v>41249</v>
      </c>
      <c r="O12426" t="s">
        <v>41250</v>
      </c>
      <c r="P12426">
        <v>0</v>
      </c>
      <c r="Q12426">
        <v>4</v>
      </c>
      <c r="R12426" t="s">
        <v>41267</v>
      </c>
      <c r="S12426" t="s">
        <v>42077</v>
      </c>
      <c r="T12426" t="s">
        <v>42673</v>
      </c>
      <c r="U12426" t="s">
        <v>53144</v>
      </c>
      <c r="W12426" t="s">
        <v>40214</v>
      </c>
      <c r="X12426" t="s">
        <v>41268</v>
      </c>
    </row>
    <row r="12427" spans="1:24">
      <c r="A12427">
        <f>HYPERLINK("https://www.philgeps.gov.ph/GEPSNONPILOT/Tender/SplashBidNoticeAbstractUI.aspx?menuIndex=3&amp;refID=7046053&amp;Result=3","7046053")</f>
        <v>0</v>
      </c>
      <c r="B12427" t="s">
        <v>3234</v>
      </c>
      <c r="C12427" t="s">
        <v>15285</v>
      </c>
      <c r="D12427" t="s">
        <v>16684</v>
      </c>
      <c r="E12427" t="s">
        <v>27448</v>
      </c>
      <c r="F12427" t="s">
        <v>28669</v>
      </c>
      <c r="G12427" t="s">
        <v>28675</v>
      </c>
      <c r="H12427" t="s">
        <v>9998</v>
      </c>
      <c r="I12427" t="s">
        <v>28693</v>
      </c>
      <c r="J12427" t="s">
        <v>30856</v>
      </c>
      <c r="K12427" t="s">
        <v>37213</v>
      </c>
      <c r="M12427" t="s">
        <v>41049</v>
      </c>
      <c r="N12427" t="s">
        <v>41249</v>
      </c>
      <c r="O12427" t="s">
        <v>41250</v>
      </c>
      <c r="Q12427">
        <v>5</v>
      </c>
      <c r="R12427" t="s">
        <v>41267</v>
      </c>
      <c r="S12427" t="s">
        <v>41377</v>
      </c>
      <c r="T12427" t="s">
        <v>42954</v>
      </c>
      <c r="U12427" t="s">
        <v>53145</v>
      </c>
      <c r="V12427" t="s">
        <v>55744</v>
      </c>
      <c r="W12427" t="s">
        <v>41049</v>
      </c>
      <c r="X12427" t="s">
        <v>41268</v>
      </c>
    </row>
    <row r="12428" spans="1:24">
      <c r="A12428">
        <f>HYPERLINK("https://www.philgeps.gov.ph/GEPSNONPILOT/Tender/SplashBidNoticeAbstractUI.aspx?menuIndex=3&amp;refID=7045610&amp;Result=3","7045610")</f>
        <v>0</v>
      </c>
      <c r="B12428" t="s">
        <v>100</v>
      </c>
      <c r="C12428" t="s">
        <v>15286</v>
      </c>
      <c r="D12428" t="s">
        <v>16608</v>
      </c>
      <c r="E12428" t="s">
        <v>27449</v>
      </c>
      <c r="F12428" t="s">
        <v>28669</v>
      </c>
      <c r="G12428" t="s">
        <v>28675</v>
      </c>
      <c r="H12428" t="s">
        <v>9998</v>
      </c>
      <c r="I12428" t="s">
        <v>28777</v>
      </c>
      <c r="J12428" t="s">
        <v>29047</v>
      </c>
      <c r="K12428" t="s">
        <v>37209</v>
      </c>
      <c r="M12428" t="s">
        <v>40947</v>
      </c>
      <c r="N12428" t="s">
        <v>41249</v>
      </c>
      <c r="O12428" t="s">
        <v>41250</v>
      </c>
      <c r="Q12428">
        <v>12</v>
      </c>
      <c r="R12428" t="s">
        <v>41267</v>
      </c>
      <c r="S12428" t="s">
        <v>42100</v>
      </c>
      <c r="T12428" t="s">
        <v>42714</v>
      </c>
      <c r="U12428" t="s">
        <v>53146</v>
      </c>
      <c r="W12428" t="s">
        <v>40947</v>
      </c>
      <c r="X12428" t="s">
        <v>41268</v>
      </c>
    </row>
    <row r="12429" spans="1:24">
      <c r="A12429">
        <f>HYPERLINK("https://www.philgeps.gov.ph/GEPSNONPILOT/Tender/SplashBidNoticeAbstractUI.aspx?menuIndex=3&amp;refID=7045595&amp;Result=3","7045595")</f>
        <v>0</v>
      </c>
      <c r="B12429" t="s">
        <v>2134</v>
      </c>
      <c r="C12429" t="s">
        <v>15287</v>
      </c>
      <c r="D12429" t="s">
        <v>16676</v>
      </c>
      <c r="E12429" t="s">
        <v>27450</v>
      </c>
      <c r="F12429" t="s">
        <v>28669</v>
      </c>
      <c r="G12429" t="s">
        <v>28675</v>
      </c>
      <c r="H12429" t="s">
        <v>28686</v>
      </c>
      <c r="I12429" t="s">
        <v>28689</v>
      </c>
      <c r="J12429" t="s">
        <v>30840</v>
      </c>
      <c r="K12429" t="s">
        <v>37334</v>
      </c>
      <c r="M12429" t="s">
        <v>39779</v>
      </c>
      <c r="N12429" t="s">
        <v>41249</v>
      </c>
      <c r="O12429" t="s">
        <v>41250</v>
      </c>
      <c r="P12429">
        <v>0</v>
      </c>
      <c r="Q12429">
        <v>3</v>
      </c>
      <c r="R12429" t="s">
        <v>41267</v>
      </c>
      <c r="S12429" t="s">
        <v>42077</v>
      </c>
      <c r="T12429" t="s">
        <v>42673</v>
      </c>
      <c r="U12429" t="s">
        <v>48534</v>
      </c>
      <c r="V12429" t="s">
        <v>55747</v>
      </c>
      <c r="W12429" t="s">
        <v>39779</v>
      </c>
      <c r="X12429" t="s">
        <v>41268</v>
      </c>
    </row>
    <row r="12430" spans="1:24">
      <c r="A12430">
        <f>HYPERLINK("https://www.philgeps.gov.ph/GEPSNONPILOT/Tender/SplashBidNoticeAbstractUI.aspx?menuIndex=3&amp;refID=7046023&amp;Result=3","7046023")</f>
        <v>0</v>
      </c>
      <c r="B12430" t="s">
        <v>1696</v>
      </c>
      <c r="C12430" t="s">
        <v>15288</v>
      </c>
      <c r="D12430" t="s">
        <v>16658</v>
      </c>
      <c r="E12430" t="s">
        <v>20523</v>
      </c>
      <c r="F12430" t="s">
        <v>28669</v>
      </c>
      <c r="G12430" t="s">
        <v>28675</v>
      </c>
      <c r="H12430" t="s">
        <v>9998</v>
      </c>
      <c r="I12430" t="s">
        <v>7352</v>
      </c>
      <c r="J12430" t="s">
        <v>36409</v>
      </c>
      <c r="K12430" t="s">
        <v>37209</v>
      </c>
      <c r="M12430" t="s">
        <v>39292</v>
      </c>
      <c r="N12430" t="s">
        <v>41249</v>
      </c>
      <c r="O12430" t="s">
        <v>41250</v>
      </c>
      <c r="P12430">
        <v>0</v>
      </c>
      <c r="Q12430">
        <v>0</v>
      </c>
      <c r="R12430" t="s">
        <v>41267</v>
      </c>
      <c r="S12430" t="s">
        <v>42077</v>
      </c>
      <c r="T12430" t="s">
        <v>42738</v>
      </c>
      <c r="U12430" t="s">
        <v>53147</v>
      </c>
      <c r="W12430" t="s">
        <v>55969</v>
      </c>
      <c r="X12430" t="s">
        <v>41268</v>
      </c>
    </row>
    <row r="12431" spans="1:24">
      <c r="A12431">
        <f>HYPERLINK("https://www.philgeps.gov.ph/GEPSNONPILOT/Tender/SplashBidNoticeAbstractUI.aspx?menuIndex=3&amp;refID=7045989&amp;Result=3","7045989")</f>
        <v>0</v>
      </c>
      <c r="B12431" t="s">
        <v>3234</v>
      </c>
      <c r="C12431" t="s">
        <v>15289</v>
      </c>
      <c r="D12431" t="s">
        <v>16684</v>
      </c>
      <c r="E12431" t="s">
        <v>27451</v>
      </c>
      <c r="F12431" t="s">
        <v>28669</v>
      </c>
      <c r="G12431" t="s">
        <v>28675</v>
      </c>
      <c r="H12431" t="s">
        <v>9998</v>
      </c>
      <c r="I12431" t="s">
        <v>28693</v>
      </c>
      <c r="J12431" t="s">
        <v>31369</v>
      </c>
      <c r="K12431" t="s">
        <v>37213</v>
      </c>
      <c r="M12431" t="s">
        <v>41049</v>
      </c>
      <c r="N12431" t="s">
        <v>41249</v>
      </c>
      <c r="O12431" t="s">
        <v>41250</v>
      </c>
      <c r="Q12431">
        <v>16</v>
      </c>
      <c r="R12431" t="s">
        <v>41267</v>
      </c>
      <c r="S12431" t="s">
        <v>42101</v>
      </c>
      <c r="T12431" t="s">
        <v>42954</v>
      </c>
      <c r="U12431" t="s">
        <v>53148</v>
      </c>
      <c r="V12431" t="s">
        <v>55744</v>
      </c>
      <c r="W12431" t="s">
        <v>41049</v>
      </c>
      <c r="X12431" t="s">
        <v>41268</v>
      </c>
    </row>
    <row r="12432" spans="1:24">
      <c r="A12432">
        <f>HYPERLINK("https://www.philgeps.gov.ph/GEPSNONPILOT/Tender/SplashBidNoticeAbstractUI.aspx?menuIndex=3&amp;refID=7046014&amp;Result=3","7046014")</f>
        <v>0</v>
      </c>
      <c r="B12432" t="s">
        <v>3239</v>
      </c>
      <c r="C12432" t="s">
        <v>15290</v>
      </c>
      <c r="D12432" t="s">
        <v>16654</v>
      </c>
      <c r="E12432" t="s">
        <v>27452</v>
      </c>
      <c r="F12432" t="s">
        <v>28669</v>
      </c>
      <c r="G12432" t="s">
        <v>28675</v>
      </c>
      <c r="H12432" t="s">
        <v>28686</v>
      </c>
      <c r="I12432" t="s">
        <v>28689</v>
      </c>
      <c r="J12432" t="s">
        <v>36410</v>
      </c>
      <c r="K12432" t="s">
        <v>37345</v>
      </c>
      <c r="M12432" t="s">
        <v>41055</v>
      </c>
      <c r="N12432" t="s">
        <v>41249</v>
      </c>
      <c r="O12432" t="s">
        <v>41250</v>
      </c>
      <c r="P12432">
        <v>0</v>
      </c>
      <c r="Q12432">
        <v>1</v>
      </c>
      <c r="R12432" t="s">
        <v>41267</v>
      </c>
      <c r="S12432" t="s">
        <v>42077</v>
      </c>
      <c r="T12432" t="s">
        <v>42876</v>
      </c>
      <c r="U12432" t="s">
        <v>53149</v>
      </c>
      <c r="V12432" t="s">
        <v>55748</v>
      </c>
      <c r="W12432" t="s">
        <v>41055</v>
      </c>
      <c r="X12432" t="s">
        <v>41268</v>
      </c>
    </row>
    <row r="12433" spans="1:24">
      <c r="A12433">
        <f>HYPERLINK("https://www.philgeps.gov.ph/GEPSNONPILOT/Tender/SplashBidNoticeAbstractUI.aspx?menuIndex=3&amp;refID=7045980&amp;Result=3","7045980")</f>
        <v>0</v>
      </c>
      <c r="B12433" t="s">
        <v>2856</v>
      </c>
      <c r="C12433" t="s">
        <v>15291</v>
      </c>
      <c r="D12433" t="s">
        <v>16629</v>
      </c>
      <c r="E12433" t="s">
        <v>27453</v>
      </c>
      <c r="F12433" t="s">
        <v>28669</v>
      </c>
      <c r="G12433" t="s">
        <v>28675</v>
      </c>
      <c r="H12433" t="s">
        <v>28686</v>
      </c>
      <c r="I12433" t="s">
        <v>28689</v>
      </c>
      <c r="J12433" t="s">
        <v>29003</v>
      </c>
      <c r="K12433" t="s">
        <v>37207</v>
      </c>
      <c r="M12433" t="s">
        <v>40595</v>
      </c>
      <c r="N12433" t="s">
        <v>41249</v>
      </c>
      <c r="O12433" t="s">
        <v>41250</v>
      </c>
      <c r="P12433">
        <v>0</v>
      </c>
      <c r="Q12433">
        <v>0</v>
      </c>
      <c r="R12433" t="s">
        <v>41267</v>
      </c>
      <c r="S12433" t="s">
        <v>42077</v>
      </c>
      <c r="T12433" t="s">
        <v>42673</v>
      </c>
      <c r="U12433" t="s">
        <v>53150</v>
      </c>
      <c r="W12433" t="s">
        <v>40595</v>
      </c>
      <c r="X12433" t="s">
        <v>41268</v>
      </c>
    </row>
    <row r="12434" spans="1:24">
      <c r="A12434">
        <f>HYPERLINK("https://www.philgeps.gov.ph/GEPSNONPILOT/Tender/SplashBidNoticeAbstractUI.aspx?menuIndex=3&amp;refID=7046036&amp;Result=3","7046036")</f>
        <v>0</v>
      </c>
      <c r="B12434" t="s">
        <v>222</v>
      </c>
      <c r="C12434" t="s">
        <v>15292</v>
      </c>
      <c r="D12434" t="s">
        <v>16611</v>
      </c>
      <c r="E12434" t="s">
        <v>27454</v>
      </c>
      <c r="F12434" t="s">
        <v>28669</v>
      </c>
      <c r="G12434" t="s">
        <v>28675</v>
      </c>
      <c r="H12434" t="s">
        <v>28686</v>
      </c>
      <c r="I12434" t="s">
        <v>28689</v>
      </c>
      <c r="J12434" t="s">
        <v>36411</v>
      </c>
      <c r="K12434" t="s">
        <v>37218</v>
      </c>
      <c r="M12434" t="s">
        <v>37700</v>
      </c>
      <c r="N12434" t="s">
        <v>41249</v>
      </c>
      <c r="O12434" t="s">
        <v>41250</v>
      </c>
      <c r="P12434">
        <v>0</v>
      </c>
      <c r="Q12434">
        <v>3</v>
      </c>
      <c r="R12434" t="s">
        <v>41267</v>
      </c>
      <c r="S12434" t="s">
        <v>42077</v>
      </c>
      <c r="T12434" t="s">
        <v>42681</v>
      </c>
      <c r="U12434" t="s">
        <v>53151</v>
      </c>
      <c r="W12434" t="s">
        <v>37700</v>
      </c>
      <c r="X12434" t="s">
        <v>41268</v>
      </c>
    </row>
    <row r="12435" spans="1:24">
      <c r="A12435">
        <f>HYPERLINK("https://www.philgeps.gov.ph/GEPSNONPILOT/Tender/SplashBidNoticeAbstractUI.aspx?menuIndex=3&amp;refID=7045920&amp;Result=3","7045920")</f>
        <v>0</v>
      </c>
      <c r="B12435" t="s">
        <v>154</v>
      </c>
      <c r="C12435" t="s">
        <v>15293</v>
      </c>
      <c r="D12435" t="s">
        <v>16621</v>
      </c>
      <c r="E12435" t="s">
        <v>27455</v>
      </c>
      <c r="F12435" t="s">
        <v>28669</v>
      </c>
      <c r="G12435" t="s">
        <v>28675</v>
      </c>
      <c r="H12435" t="s">
        <v>28686</v>
      </c>
      <c r="I12435" t="s">
        <v>28689</v>
      </c>
      <c r="J12435" t="s">
        <v>29047</v>
      </c>
      <c r="K12435" t="s">
        <v>37215</v>
      </c>
      <c r="M12435" t="s">
        <v>37631</v>
      </c>
      <c r="N12435" t="s">
        <v>41249</v>
      </c>
      <c r="O12435" t="s">
        <v>41250</v>
      </c>
      <c r="P12435">
        <v>0</v>
      </c>
      <c r="Q12435">
        <v>2</v>
      </c>
      <c r="R12435" t="s">
        <v>41267</v>
      </c>
      <c r="S12435" t="s">
        <v>42077</v>
      </c>
      <c r="T12435" t="s">
        <v>42754</v>
      </c>
      <c r="U12435" t="s">
        <v>53152</v>
      </c>
      <c r="V12435" t="s">
        <v>55749</v>
      </c>
      <c r="W12435" t="s">
        <v>37631</v>
      </c>
      <c r="X12435" t="s">
        <v>41268</v>
      </c>
    </row>
    <row r="12436" spans="1:24">
      <c r="A12436">
        <f>HYPERLINK("https://www.philgeps.gov.ph/GEPSNONPILOT/Tender/SplashBidNoticeAbstractUI.aspx?menuIndex=3&amp;refID=7045660&amp;Result=3","7045660")</f>
        <v>0</v>
      </c>
      <c r="B12436" t="s">
        <v>3232</v>
      </c>
      <c r="C12436" t="s">
        <v>15294</v>
      </c>
      <c r="D12436" t="s">
        <v>16609</v>
      </c>
      <c r="E12436" t="s">
        <v>27456</v>
      </c>
      <c r="F12436" t="s">
        <v>28669</v>
      </c>
      <c r="G12436" t="s">
        <v>28675</v>
      </c>
      <c r="H12436" t="s">
        <v>28686</v>
      </c>
      <c r="I12436" t="s">
        <v>28689</v>
      </c>
      <c r="J12436" t="s">
        <v>36412</v>
      </c>
      <c r="K12436" t="s">
        <v>37220</v>
      </c>
      <c r="M12436" t="s">
        <v>41047</v>
      </c>
      <c r="N12436" t="s">
        <v>41249</v>
      </c>
      <c r="O12436" t="s">
        <v>41250</v>
      </c>
      <c r="P12436">
        <v>0</v>
      </c>
      <c r="Q12436">
        <v>0</v>
      </c>
      <c r="R12436" t="s">
        <v>41267</v>
      </c>
      <c r="S12436" t="s">
        <v>42077</v>
      </c>
      <c r="T12436" t="s">
        <v>42759</v>
      </c>
      <c r="U12436" t="s">
        <v>53153</v>
      </c>
      <c r="W12436" t="s">
        <v>41047</v>
      </c>
      <c r="X12436" t="s">
        <v>41268</v>
      </c>
    </row>
    <row r="12437" spans="1:24">
      <c r="A12437">
        <f>HYPERLINK("https://www.philgeps.gov.ph/GEPSNONPILOT/Tender/SplashBidNoticeAbstractUI.aspx?menuIndex=3&amp;refID=7045990&amp;Result=3","7045990")</f>
        <v>0</v>
      </c>
      <c r="B12437" t="s">
        <v>2011</v>
      </c>
      <c r="C12437" t="s">
        <v>6122</v>
      </c>
      <c r="D12437" t="s">
        <v>16611</v>
      </c>
      <c r="E12437" t="s">
        <v>22180</v>
      </c>
      <c r="F12437" t="s">
        <v>28671</v>
      </c>
      <c r="G12437" t="s">
        <v>28675</v>
      </c>
      <c r="H12437" t="s">
        <v>9998</v>
      </c>
      <c r="I12437" t="s">
        <v>6128</v>
      </c>
      <c r="J12437" t="s">
        <v>36413</v>
      </c>
      <c r="K12437" t="s">
        <v>37204</v>
      </c>
      <c r="M12437" t="s">
        <v>39649</v>
      </c>
      <c r="N12437" t="s">
        <v>41249</v>
      </c>
      <c r="O12437" t="s">
        <v>41250</v>
      </c>
      <c r="P12437">
        <v>0</v>
      </c>
      <c r="Q12437">
        <v>2</v>
      </c>
      <c r="R12437" t="s">
        <v>41267</v>
      </c>
      <c r="S12437" t="s">
        <v>42077</v>
      </c>
      <c r="T12437" t="s">
        <v>42679</v>
      </c>
      <c r="U12437" t="s">
        <v>53154</v>
      </c>
      <c r="V12437" t="s">
        <v>55750</v>
      </c>
      <c r="W12437" t="s">
        <v>39649</v>
      </c>
      <c r="X12437" t="s">
        <v>41268</v>
      </c>
    </row>
    <row r="12438" spans="1:24">
      <c r="A12438">
        <f>HYPERLINK("https://www.philgeps.gov.ph/GEPSNONPILOT/Tender/SplashBidNoticeAbstractUI.aspx?menuIndex=3&amp;refID=7045913&amp;Result=3","7045913")</f>
        <v>0</v>
      </c>
      <c r="B12438" t="s">
        <v>3188</v>
      </c>
      <c r="C12438" t="s">
        <v>15295</v>
      </c>
      <c r="D12438" t="s">
        <v>16691</v>
      </c>
      <c r="E12438" t="s">
        <v>27457</v>
      </c>
      <c r="F12438" t="s">
        <v>28669</v>
      </c>
      <c r="G12438" t="s">
        <v>28675</v>
      </c>
      <c r="H12438" t="s">
        <v>9998</v>
      </c>
      <c r="I12438" t="s">
        <v>28694</v>
      </c>
      <c r="J12438" t="s">
        <v>36414</v>
      </c>
      <c r="K12438" t="s">
        <v>37204</v>
      </c>
      <c r="M12438" t="s">
        <v>40990</v>
      </c>
      <c r="N12438" t="s">
        <v>41249</v>
      </c>
      <c r="O12438" t="s">
        <v>41250</v>
      </c>
      <c r="P12438">
        <v>0</v>
      </c>
      <c r="Q12438">
        <v>0</v>
      </c>
      <c r="R12438" t="s">
        <v>41267</v>
      </c>
      <c r="S12438" t="s">
        <v>42077</v>
      </c>
      <c r="T12438" t="s">
        <v>42736</v>
      </c>
      <c r="U12438" t="s">
        <v>52786</v>
      </c>
      <c r="V12438" t="s">
        <v>55681</v>
      </c>
      <c r="W12438" t="s">
        <v>40990</v>
      </c>
      <c r="X12438" t="s">
        <v>41268</v>
      </c>
    </row>
    <row r="12439" spans="1:24">
      <c r="A12439">
        <f>HYPERLINK("https://www.philgeps.gov.ph/GEPSNONPILOT/Tender/SplashBidNoticeAbstractUI.aspx?menuIndex=3&amp;refID=7045849&amp;Result=3","7045849")</f>
        <v>0</v>
      </c>
      <c r="B12439" t="s">
        <v>398</v>
      </c>
      <c r="C12439" t="s">
        <v>15296</v>
      </c>
      <c r="D12439" t="s">
        <v>16608</v>
      </c>
      <c r="E12439" t="s">
        <v>27458</v>
      </c>
      <c r="F12439" t="s">
        <v>28669</v>
      </c>
      <c r="G12439" t="s">
        <v>28675</v>
      </c>
      <c r="H12439" t="s">
        <v>9998</v>
      </c>
      <c r="I12439" t="s">
        <v>15140</v>
      </c>
      <c r="J12439" t="s">
        <v>28826</v>
      </c>
      <c r="K12439" t="s">
        <v>37204</v>
      </c>
      <c r="M12439" t="s">
        <v>37883</v>
      </c>
      <c r="N12439" t="s">
        <v>41249</v>
      </c>
      <c r="O12439" t="s">
        <v>41250</v>
      </c>
      <c r="P12439">
        <v>0</v>
      </c>
      <c r="Q12439">
        <v>0</v>
      </c>
      <c r="R12439" t="s">
        <v>41267</v>
      </c>
      <c r="S12439" t="s">
        <v>42077</v>
      </c>
      <c r="T12439" t="s">
        <v>42754</v>
      </c>
      <c r="U12439" t="s">
        <v>51615</v>
      </c>
      <c r="W12439" t="s">
        <v>37883</v>
      </c>
      <c r="X12439" t="s">
        <v>41268</v>
      </c>
    </row>
    <row r="12440" spans="1:24">
      <c r="A12440">
        <f>HYPERLINK("https://www.philgeps.gov.ph/GEPSNONPILOT/Tender/SplashBidNoticeAbstractUI.aspx?menuIndex=3&amp;refID=7045571&amp;Result=3","7045571")</f>
        <v>0</v>
      </c>
      <c r="B12440" t="s">
        <v>3232</v>
      </c>
      <c r="C12440" t="s">
        <v>15297</v>
      </c>
      <c r="D12440" t="s">
        <v>16609</v>
      </c>
      <c r="E12440" t="s">
        <v>27459</v>
      </c>
      <c r="F12440" t="s">
        <v>28669</v>
      </c>
      <c r="G12440" t="s">
        <v>28675</v>
      </c>
      <c r="H12440" t="s">
        <v>28686</v>
      </c>
      <c r="I12440" t="s">
        <v>28689</v>
      </c>
      <c r="J12440" t="s">
        <v>36415</v>
      </c>
      <c r="K12440" t="s">
        <v>37220</v>
      </c>
      <c r="M12440" t="s">
        <v>41047</v>
      </c>
      <c r="N12440" t="s">
        <v>41249</v>
      </c>
      <c r="O12440" t="s">
        <v>41250</v>
      </c>
      <c r="P12440">
        <v>0</v>
      </c>
      <c r="Q12440">
        <v>0</v>
      </c>
      <c r="R12440" t="s">
        <v>41267</v>
      </c>
      <c r="S12440" t="s">
        <v>42077</v>
      </c>
      <c r="T12440" t="s">
        <v>42759</v>
      </c>
      <c r="U12440" t="s">
        <v>53155</v>
      </c>
      <c r="W12440" t="s">
        <v>41047</v>
      </c>
      <c r="X12440" t="s">
        <v>41268</v>
      </c>
    </row>
    <row r="12441" spans="1:24">
      <c r="A12441">
        <f>HYPERLINK("https://www.philgeps.gov.ph/GEPSNONPILOT/Tender/SplashBidNoticeAbstractUI.aspx?menuIndex=3&amp;refID=7045361&amp;Result=3","7045361")</f>
        <v>0</v>
      </c>
      <c r="B12441" t="s">
        <v>1514</v>
      </c>
      <c r="C12441" t="s">
        <v>15298</v>
      </c>
      <c r="D12441" t="s">
        <v>16621</v>
      </c>
      <c r="E12441" t="s">
        <v>27460</v>
      </c>
      <c r="F12441" t="s">
        <v>28669</v>
      </c>
      <c r="G12441" t="s">
        <v>28675</v>
      </c>
      <c r="H12441" t="s">
        <v>28686</v>
      </c>
      <c r="I12441" t="s">
        <v>28689</v>
      </c>
      <c r="J12441" t="s">
        <v>36416</v>
      </c>
      <c r="K12441" t="s">
        <v>37220</v>
      </c>
      <c r="M12441" t="s">
        <v>39088</v>
      </c>
      <c r="N12441" t="s">
        <v>41249</v>
      </c>
      <c r="O12441" t="s">
        <v>41250</v>
      </c>
      <c r="P12441">
        <v>0</v>
      </c>
      <c r="Q12441">
        <v>5</v>
      </c>
      <c r="R12441" t="s">
        <v>41267</v>
      </c>
      <c r="S12441" t="s">
        <v>42077</v>
      </c>
      <c r="T12441" t="s">
        <v>42711</v>
      </c>
      <c r="U12441" t="s">
        <v>53156</v>
      </c>
      <c r="W12441" t="s">
        <v>39088</v>
      </c>
      <c r="X12441" t="s">
        <v>41268</v>
      </c>
    </row>
    <row r="12442" spans="1:24">
      <c r="A12442">
        <f>HYPERLINK("https://www.philgeps.gov.ph/GEPSNONPILOT/Tender/SplashBidNoticeAbstractUI.aspx?menuIndex=3&amp;refID=7046069&amp;Result=3","7046069")</f>
        <v>0</v>
      </c>
      <c r="B12442" t="s">
        <v>3225</v>
      </c>
      <c r="C12442" t="s">
        <v>15299</v>
      </c>
      <c r="D12442" t="s">
        <v>16620</v>
      </c>
      <c r="E12442" t="s">
        <v>27461</v>
      </c>
      <c r="F12442" t="s">
        <v>28669</v>
      </c>
      <c r="G12442" t="s">
        <v>28675</v>
      </c>
      <c r="H12442" t="s">
        <v>9998</v>
      </c>
      <c r="I12442" t="s">
        <v>5286</v>
      </c>
      <c r="J12442" t="s">
        <v>36417</v>
      </c>
      <c r="K12442" t="s">
        <v>37205</v>
      </c>
      <c r="M12442" t="s">
        <v>41040</v>
      </c>
      <c r="N12442" t="s">
        <v>41249</v>
      </c>
      <c r="O12442" t="s">
        <v>41250</v>
      </c>
      <c r="P12442">
        <v>0</v>
      </c>
      <c r="Q12442">
        <v>3</v>
      </c>
      <c r="R12442" t="s">
        <v>41267</v>
      </c>
      <c r="S12442" t="s">
        <v>42077</v>
      </c>
      <c r="T12442" t="s">
        <v>42711</v>
      </c>
      <c r="U12442" t="s">
        <v>53157</v>
      </c>
      <c r="W12442" t="s">
        <v>41040</v>
      </c>
      <c r="X12442" t="s">
        <v>41268</v>
      </c>
    </row>
    <row r="12443" spans="1:24">
      <c r="A12443">
        <f>HYPERLINK("https://www.philgeps.gov.ph/GEPSNONPILOT/Tender/SplashBidNoticeAbstractUI.aspx?menuIndex=3&amp;refID=7045968&amp;Result=3","7045968")</f>
        <v>0</v>
      </c>
      <c r="B12443" t="s">
        <v>3236</v>
      </c>
      <c r="C12443" t="s">
        <v>15300</v>
      </c>
      <c r="D12443" t="s">
        <v>16632</v>
      </c>
      <c r="E12443" t="s">
        <v>27462</v>
      </c>
      <c r="F12443" t="s">
        <v>28669</v>
      </c>
      <c r="G12443" t="s">
        <v>28675</v>
      </c>
      <c r="H12443" t="s">
        <v>9998</v>
      </c>
      <c r="I12443" t="s">
        <v>7352</v>
      </c>
      <c r="J12443" t="s">
        <v>36418</v>
      </c>
      <c r="K12443" t="s">
        <v>37205</v>
      </c>
      <c r="M12443" t="s">
        <v>41052</v>
      </c>
      <c r="N12443" t="s">
        <v>41249</v>
      </c>
      <c r="O12443" t="s">
        <v>41250</v>
      </c>
      <c r="P12443">
        <v>0</v>
      </c>
      <c r="Q12443">
        <v>2</v>
      </c>
      <c r="R12443" t="s">
        <v>41267</v>
      </c>
      <c r="S12443" t="s">
        <v>42077</v>
      </c>
      <c r="T12443" t="s">
        <v>42675</v>
      </c>
      <c r="U12443" t="s">
        <v>53158</v>
      </c>
      <c r="W12443" t="s">
        <v>41052</v>
      </c>
      <c r="X12443" t="s">
        <v>41268</v>
      </c>
    </row>
    <row r="12444" spans="1:24">
      <c r="A12444">
        <f>HYPERLINK("https://www.philgeps.gov.ph/GEPSNONPILOT/Tender/SplashBidNoticeAbstractUI.aspx?menuIndex=3&amp;refID=7046177&amp;Result=3","7046177")</f>
        <v>0</v>
      </c>
      <c r="B12444" t="s">
        <v>3240</v>
      </c>
      <c r="C12444" t="s">
        <v>15301</v>
      </c>
      <c r="D12444" t="s">
        <v>16621</v>
      </c>
      <c r="E12444" t="s">
        <v>24508</v>
      </c>
      <c r="F12444" t="s">
        <v>28669</v>
      </c>
      <c r="G12444" t="s">
        <v>28675</v>
      </c>
      <c r="H12444" t="s">
        <v>9998</v>
      </c>
      <c r="I12444" t="s">
        <v>28687</v>
      </c>
      <c r="J12444" t="s">
        <v>34547</v>
      </c>
      <c r="K12444" t="s">
        <v>37213</v>
      </c>
      <c r="M12444" t="s">
        <v>41056</v>
      </c>
      <c r="N12444" t="s">
        <v>41249</v>
      </c>
      <c r="O12444" t="s">
        <v>41250</v>
      </c>
      <c r="P12444">
        <v>0</v>
      </c>
      <c r="Q12444">
        <v>5</v>
      </c>
      <c r="R12444" t="s">
        <v>41267</v>
      </c>
      <c r="S12444" t="s">
        <v>42077</v>
      </c>
      <c r="T12444" t="s">
        <v>42711</v>
      </c>
      <c r="U12444" t="s">
        <v>53159</v>
      </c>
      <c r="W12444" t="s">
        <v>41056</v>
      </c>
      <c r="X12444" t="s">
        <v>41268</v>
      </c>
    </row>
    <row r="12445" spans="1:24">
      <c r="A12445">
        <f>HYPERLINK("https://www.philgeps.gov.ph/GEPSNONPILOT/Tender/SplashBidNoticeAbstractUI.aspx?menuIndex=3&amp;refID=7045888&amp;Result=3","7045888")</f>
        <v>0</v>
      </c>
      <c r="B12445" t="s">
        <v>526</v>
      </c>
      <c r="C12445" t="s">
        <v>15302</v>
      </c>
      <c r="D12445" t="s">
        <v>16680</v>
      </c>
      <c r="E12445" t="s">
        <v>27463</v>
      </c>
      <c r="F12445" t="s">
        <v>28669</v>
      </c>
      <c r="G12445" t="s">
        <v>28675</v>
      </c>
      <c r="H12445" t="s">
        <v>9998</v>
      </c>
      <c r="I12445" t="s">
        <v>28693</v>
      </c>
      <c r="J12445" t="s">
        <v>36419</v>
      </c>
      <c r="K12445" t="s">
        <v>37220</v>
      </c>
      <c r="M12445" t="s">
        <v>41050</v>
      </c>
      <c r="N12445" t="s">
        <v>41249</v>
      </c>
      <c r="O12445" t="s">
        <v>41250</v>
      </c>
      <c r="Q12445">
        <v>29</v>
      </c>
      <c r="R12445" t="s">
        <v>41267</v>
      </c>
      <c r="S12445" t="s">
        <v>42102</v>
      </c>
      <c r="T12445" t="s">
        <v>42858</v>
      </c>
      <c r="U12445" t="s">
        <v>53160</v>
      </c>
      <c r="W12445" t="s">
        <v>41050</v>
      </c>
      <c r="X12445" t="s">
        <v>41268</v>
      </c>
    </row>
    <row r="12446" spans="1:24">
      <c r="A12446">
        <f>HYPERLINK("https://www.philgeps.gov.ph/GEPSNONPILOT/Tender/SplashBidNoticeAbstractUI.aspx?menuIndex=3&amp;refID=7046163&amp;Result=3","7046163")</f>
        <v>0</v>
      </c>
      <c r="B12446" t="s">
        <v>3234</v>
      </c>
      <c r="C12446" t="s">
        <v>15303</v>
      </c>
      <c r="D12446" t="s">
        <v>16684</v>
      </c>
      <c r="E12446" t="s">
        <v>27464</v>
      </c>
      <c r="F12446" t="s">
        <v>28669</v>
      </c>
      <c r="G12446" t="s">
        <v>28675</v>
      </c>
      <c r="H12446" t="s">
        <v>9998</v>
      </c>
      <c r="I12446" t="s">
        <v>28693</v>
      </c>
      <c r="J12446" t="s">
        <v>36420</v>
      </c>
      <c r="K12446" t="s">
        <v>37213</v>
      </c>
      <c r="M12446" t="s">
        <v>41049</v>
      </c>
      <c r="N12446" t="s">
        <v>41249</v>
      </c>
      <c r="O12446" t="s">
        <v>41250</v>
      </c>
      <c r="Q12446">
        <v>8</v>
      </c>
      <c r="R12446" t="s">
        <v>41267</v>
      </c>
      <c r="S12446" t="s">
        <v>41379</v>
      </c>
      <c r="T12446" t="s">
        <v>42954</v>
      </c>
      <c r="U12446" t="s">
        <v>53161</v>
      </c>
      <c r="V12446" t="s">
        <v>55744</v>
      </c>
      <c r="W12446" t="s">
        <v>41049</v>
      </c>
      <c r="X12446" t="s">
        <v>41268</v>
      </c>
    </row>
    <row r="12447" spans="1:24">
      <c r="A12447">
        <f>HYPERLINK("https://www.philgeps.gov.ph/GEPSNONPILOT/Tender/SplashBidNoticeAbstractUI.aspx?menuIndex=3&amp;refID=7046178&amp;Result=3","7046178")</f>
        <v>0</v>
      </c>
      <c r="B12447" t="s">
        <v>1559</v>
      </c>
      <c r="C12447" t="s">
        <v>15304</v>
      </c>
      <c r="D12447" t="s">
        <v>16643</v>
      </c>
      <c r="E12447" t="s">
        <v>15304</v>
      </c>
      <c r="F12447" t="s">
        <v>28669</v>
      </c>
      <c r="G12447" t="s">
        <v>28675</v>
      </c>
      <c r="H12447" t="s">
        <v>28686</v>
      </c>
      <c r="I12447" t="s">
        <v>28752</v>
      </c>
      <c r="J12447" t="s">
        <v>36421</v>
      </c>
      <c r="K12447" t="s">
        <v>37209</v>
      </c>
      <c r="M12447" t="s">
        <v>39136</v>
      </c>
      <c r="N12447" t="s">
        <v>41249</v>
      </c>
      <c r="O12447" t="s">
        <v>41250</v>
      </c>
      <c r="P12447">
        <v>0</v>
      </c>
      <c r="Q12447">
        <v>1</v>
      </c>
      <c r="R12447" t="s">
        <v>41267</v>
      </c>
      <c r="S12447" t="s">
        <v>42077</v>
      </c>
      <c r="T12447" t="s">
        <v>42706</v>
      </c>
      <c r="U12447" t="s">
        <v>53162</v>
      </c>
      <c r="W12447" t="s">
        <v>39136</v>
      </c>
      <c r="X12447" t="s">
        <v>41268</v>
      </c>
    </row>
    <row r="12448" spans="1:24">
      <c r="A12448">
        <f>HYPERLINK("https://www.philgeps.gov.ph/GEPSNONPILOT/Tender/SplashBidNoticeAbstractUI.aspx?menuIndex=3&amp;refID=7046162&amp;Result=3","7046162")</f>
        <v>0</v>
      </c>
      <c r="B12448" t="s">
        <v>909</v>
      </c>
      <c r="C12448" t="s">
        <v>15305</v>
      </c>
      <c r="D12448" t="s">
        <v>16662</v>
      </c>
      <c r="E12448" t="s">
        <v>27465</v>
      </c>
      <c r="F12448" t="s">
        <v>28669</v>
      </c>
      <c r="G12448" t="s">
        <v>28675</v>
      </c>
      <c r="H12448" t="s">
        <v>9998</v>
      </c>
      <c r="I12448" t="s">
        <v>6128</v>
      </c>
      <c r="J12448" t="s">
        <v>36422</v>
      </c>
      <c r="K12448" t="s">
        <v>37206</v>
      </c>
      <c r="M12448" t="s">
        <v>38431</v>
      </c>
      <c r="N12448" t="s">
        <v>41249</v>
      </c>
      <c r="O12448" t="s">
        <v>41250</v>
      </c>
      <c r="P12448">
        <v>0</v>
      </c>
      <c r="Q12448">
        <v>0</v>
      </c>
      <c r="R12448" t="s">
        <v>41267</v>
      </c>
      <c r="S12448" t="s">
        <v>42077</v>
      </c>
      <c r="T12448" t="s">
        <v>42679</v>
      </c>
      <c r="U12448" t="s">
        <v>53163</v>
      </c>
      <c r="W12448" t="s">
        <v>38431</v>
      </c>
      <c r="X12448" t="s">
        <v>41268</v>
      </c>
    </row>
    <row r="12449" spans="1:24">
      <c r="A12449">
        <f>HYPERLINK("https://www.philgeps.gov.ph/GEPSNONPILOT/Tender/SplashBidNoticeAbstractUI.aspx?menuIndex=3&amp;refID=7046157&amp;Result=3","7046157")</f>
        <v>0</v>
      </c>
      <c r="B12449" t="s">
        <v>732</v>
      </c>
      <c r="C12449" t="s">
        <v>15306</v>
      </c>
      <c r="D12449" t="s">
        <v>16608</v>
      </c>
      <c r="E12449" t="s">
        <v>27466</v>
      </c>
      <c r="F12449" t="s">
        <v>28669</v>
      </c>
      <c r="G12449" t="s">
        <v>28675</v>
      </c>
      <c r="H12449" t="s">
        <v>9998</v>
      </c>
      <c r="I12449" t="s">
        <v>28734</v>
      </c>
      <c r="J12449" t="s">
        <v>36107</v>
      </c>
      <c r="K12449" t="s">
        <v>37206</v>
      </c>
      <c r="M12449" t="s">
        <v>41057</v>
      </c>
      <c r="N12449" t="s">
        <v>41249</v>
      </c>
      <c r="O12449" t="s">
        <v>41250</v>
      </c>
      <c r="Q12449">
        <v>2</v>
      </c>
      <c r="R12449" t="s">
        <v>41267</v>
      </c>
      <c r="S12449" t="s">
        <v>42103</v>
      </c>
      <c r="T12449" t="s">
        <v>42703</v>
      </c>
      <c r="U12449" t="s">
        <v>53164</v>
      </c>
      <c r="W12449" t="s">
        <v>41057</v>
      </c>
      <c r="X12449" t="s">
        <v>41268</v>
      </c>
    </row>
    <row r="12450" spans="1:24">
      <c r="A12450">
        <f>HYPERLINK("https://www.philgeps.gov.ph/GEPSNONPILOT/Tender/SplashBidNoticeAbstractUI.aspx?menuIndex=3&amp;refID=7046146&amp;Result=3","7046146")</f>
        <v>0</v>
      </c>
      <c r="B12450" t="s">
        <v>3241</v>
      </c>
      <c r="C12450" t="s">
        <v>15307</v>
      </c>
      <c r="D12450" t="s">
        <v>16665</v>
      </c>
      <c r="E12450" t="s">
        <v>27467</v>
      </c>
      <c r="F12450" t="s">
        <v>28669</v>
      </c>
      <c r="G12450" t="s">
        <v>28675</v>
      </c>
      <c r="H12450" t="s">
        <v>28685</v>
      </c>
      <c r="I12450" t="s">
        <v>28685</v>
      </c>
      <c r="J12450" t="s">
        <v>29112</v>
      </c>
      <c r="K12450" t="s">
        <v>37213</v>
      </c>
      <c r="M12450" t="s">
        <v>41058</v>
      </c>
      <c r="N12450" t="s">
        <v>41249</v>
      </c>
      <c r="O12450" t="s">
        <v>41250</v>
      </c>
      <c r="P12450">
        <v>0</v>
      </c>
      <c r="Q12450">
        <v>10</v>
      </c>
      <c r="R12450" t="s">
        <v>41267</v>
      </c>
      <c r="S12450" t="s">
        <v>42077</v>
      </c>
      <c r="T12450" t="s">
        <v>42714</v>
      </c>
      <c r="U12450" t="s">
        <v>53165</v>
      </c>
      <c r="W12450" t="s">
        <v>41058</v>
      </c>
      <c r="X12450" t="s">
        <v>41268</v>
      </c>
    </row>
    <row r="12451" spans="1:24">
      <c r="A12451">
        <f>HYPERLINK("https://www.philgeps.gov.ph/GEPSNONPILOT/Tender/SplashBidNoticeAbstractUI.aspx?menuIndex=3&amp;refID=7046141&amp;Result=3","7046141")</f>
        <v>0</v>
      </c>
      <c r="B12451" t="s">
        <v>3242</v>
      </c>
      <c r="C12451" t="s">
        <v>15308</v>
      </c>
      <c r="D12451" t="s">
        <v>16675</v>
      </c>
      <c r="E12451" t="s">
        <v>27468</v>
      </c>
      <c r="F12451" t="s">
        <v>28669</v>
      </c>
      <c r="G12451" t="s">
        <v>28675</v>
      </c>
      <c r="H12451" t="s">
        <v>28686</v>
      </c>
      <c r="I12451" t="s">
        <v>28689</v>
      </c>
      <c r="J12451" t="s">
        <v>29338</v>
      </c>
      <c r="K12451" t="s">
        <v>37269</v>
      </c>
      <c r="M12451" t="s">
        <v>41059</v>
      </c>
      <c r="N12451" t="s">
        <v>41249</v>
      </c>
      <c r="O12451" t="s">
        <v>41250</v>
      </c>
      <c r="P12451">
        <v>0</v>
      </c>
      <c r="Q12451">
        <v>5</v>
      </c>
      <c r="R12451" t="s">
        <v>41267</v>
      </c>
      <c r="S12451" t="s">
        <v>42077</v>
      </c>
      <c r="T12451" t="s">
        <v>42673</v>
      </c>
      <c r="U12451" t="s">
        <v>53166</v>
      </c>
      <c r="W12451" t="s">
        <v>41059</v>
      </c>
      <c r="X12451" t="s">
        <v>41268</v>
      </c>
    </row>
    <row r="12452" spans="1:24">
      <c r="A12452">
        <f>HYPERLINK("https://www.philgeps.gov.ph/GEPSNONPILOT/Tender/SplashBidNoticeAbstractUI.aspx?menuIndex=3&amp;refID=7046171&amp;Result=3","7046171")</f>
        <v>0</v>
      </c>
      <c r="B12452" t="s">
        <v>154</v>
      </c>
      <c r="C12452" t="s">
        <v>15309</v>
      </c>
      <c r="D12452" t="s">
        <v>16621</v>
      </c>
      <c r="E12452" t="s">
        <v>27469</v>
      </c>
      <c r="F12452" t="s">
        <v>28669</v>
      </c>
      <c r="G12452" t="s">
        <v>28675</v>
      </c>
      <c r="H12452" t="s">
        <v>28686</v>
      </c>
      <c r="I12452" t="s">
        <v>28689</v>
      </c>
      <c r="J12452" t="s">
        <v>28905</v>
      </c>
      <c r="K12452" t="s">
        <v>37229</v>
      </c>
      <c r="M12452" t="s">
        <v>37631</v>
      </c>
      <c r="N12452" t="s">
        <v>41249</v>
      </c>
      <c r="O12452" t="s">
        <v>41250</v>
      </c>
      <c r="P12452">
        <v>0</v>
      </c>
      <c r="Q12452">
        <v>0</v>
      </c>
      <c r="R12452" t="s">
        <v>41267</v>
      </c>
      <c r="S12452" t="s">
        <v>42077</v>
      </c>
      <c r="T12452" t="s">
        <v>42754</v>
      </c>
      <c r="U12452" t="s">
        <v>53167</v>
      </c>
      <c r="V12452" t="s">
        <v>55046</v>
      </c>
      <c r="W12452" t="s">
        <v>37631</v>
      </c>
      <c r="X12452" t="s">
        <v>41268</v>
      </c>
    </row>
    <row r="12453" spans="1:24">
      <c r="A12453">
        <f>HYPERLINK("https://www.philgeps.gov.ph/GEPSNONPILOT/Tender/SplashBidNoticeAbstractUI.aspx?menuIndex=3&amp;refID=7045879&amp;Result=3","7045879")</f>
        <v>0</v>
      </c>
      <c r="B12453" t="s">
        <v>1084</v>
      </c>
      <c r="C12453" t="s">
        <v>15310</v>
      </c>
      <c r="D12453" t="s">
        <v>16667</v>
      </c>
      <c r="E12453" t="s">
        <v>27470</v>
      </c>
      <c r="F12453" t="s">
        <v>28669</v>
      </c>
      <c r="G12453" t="s">
        <v>28675</v>
      </c>
      <c r="H12453" t="s">
        <v>9998</v>
      </c>
      <c r="I12453" t="s">
        <v>7352</v>
      </c>
      <c r="J12453" t="s">
        <v>36423</v>
      </c>
      <c r="K12453" t="s">
        <v>37220</v>
      </c>
      <c r="M12453" t="s">
        <v>38616</v>
      </c>
      <c r="N12453" t="s">
        <v>41249</v>
      </c>
      <c r="O12453" t="s">
        <v>41250</v>
      </c>
      <c r="P12453">
        <v>0</v>
      </c>
      <c r="Q12453">
        <v>0</v>
      </c>
      <c r="R12453" t="s">
        <v>41267</v>
      </c>
      <c r="S12453" t="s">
        <v>42077</v>
      </c>
      <c r="T12453" t="s">
        <v>42754</v>
      </c>
      <c r="U12453" t="s">
        <v>53168</v>
      </c>
      <c r="W12453" t="s">
        <v>38616</v>
      </c>
      <c r="X12453" t="s">
        <v>41268</v>
      </c>
    </row>
    <row r="12454" spans="1:24">
      <c r="A12454">
        <f>HYPERLINK("https://www.philgeps.gov.ph/GEPSNONPILOT/Tender/SplashBidNoticeAbstractUI.aspx?menuIndex=3&amp;refID=7046129&amp;Result=3","7046129")</f>
        <v>0</v>
      </c>
      <c r="B12454" t="s">
        <v>34</v>
      </c>
      <c r="C12454" t="s">
        <v>15311</v>
      </c>
      <c r="D12454" t="s">
        <v>16617</v>
      </c>
      <c r="E12454" t="s">
        <v>27471</v>
      </c>
      <c r="F12454" t="s">
        <v>28669</v>
      </c>
      <c r="G12454" t="s">
        <v>28675</v>
      </c>
      <c r="H12454" t="s">
        <v>28686</v>
      </c>
      <c r="I12454" t="s">
        <v>28689</v>
      </c>
      <c r="J12454" t="s">
        <v>36424</v>
      </c>
      <c r="K12454" t="s">
        <v>37236</v>
      </c>
      <c r="M12454" t="s">
        <v>37509</v>
      </c>
      <c r="N12454" t="s">
        <v>41249</v>
      </c>
      <c r="O12454" t="s">
        <v>41250</v>
      </c>
      <c r="P12454">
        <v>0</v>
      </c>
      <c r="Q12454">
        <v>1</v>
      </c>
      <c r="R12454" t="s">
        <v>41267</v>
      </c>
      <c r="S12454" t="s">
        <v>42077</v>
      </c>
      <c r="T12454" t="s">
        <v>42759</v>
      </c>
      <c r="U12454" t="s">
        <v>53169</v>
      </c>
      <c r="W12454" t="s">
        <v>37509</v>
      </c>
      <c r="X12454" t="s">
        <v>41268</v>
      </c>
    </row>
    <row r="12455" spans="1:24">
      <c r="A12455">
        <f>HYPERLINK("https://www.philgeps.gov.ph/GEPSNONPILOT/Tender/SplashBidNoticeAbstractUI.aspx?menuIndex=3&amp;refID=7046311&amp;Result=3","7046311")</f>
        <v>0</v>
      </c>
      <c r="B12455" t="s">
        <v>2076</v>
      </c>
      <c r="C12455" t="s">
        <v>15312</v>
      </c>
      <c r="D12455" t="s">
        <v>16674</v>
      </c>
      <c r="E12455" t="s">
        <v>27472</v>
      </c>
      <c r="F12455" t="s">
        <v>28669</v>
      </c>
      <c r="G12455" t="s">
        <v>28675</v>
      </c>
      <c r="H12455" t="s">
        <v>28686</v>
      </c>
      <c r="I12455" t="s">
        <v>28689</v>
      </c>
      <c r="J12455" t="s">
        <v>36425</v>
      </c>
      <c r="K12455" t="s">
        <v>37405</v>
      </c>
      <c r="M12455" t="s">
        <v>39717</v>
      </c>
      <c r="N12455" t="s">
        <v>41249</v>
      </c>
      <c r="O12455" t="s">
        <v>41250</v>
      </c>
      <c r="P12455">
        <v>0</v>
      </c>
      <c r="Q12455">
        <v>0</v>
      </c>
      <c r="R12455" t="s">
        <v>41267</v>
      </c>
      <c r="S12455" t="s">
        <v>42077</v>
      </c>
      <c r="T12455" t="s">
        <v>42729</v>
      </c>
      <c r="U12455" t="s">
        <v>53170</v>
      </c>
      <c r="W12455" t="s">
        <v>39717</v>
      </c>
      <c r="X12455" t="s">
        <v>41268</v>
      </c>
    </row>
    <row r="12456" spans="1:24">
      <c r="A12456">
        <f>HYPERLINK("https://www.philgeps.gov.ph/GEPSNONPILOT/Tender/SplashBidNoticeAbstractUI.aspx?menuIndex=3&amp;refID=7046159&amp;Result=3","7046159")</f>
        <v>0</v>
      </c>
      <c r="B12456" t="s">
        <v>1166</v>
      </c>
      <c r="C12456" t="s">
        <v>15313</v>
      </c>
      <c r="D12456" t="s">
        <v>16631</v>
      </c>
      <c r="E12456" t="s">
        <v>27473</v>
      </c>
      <c r="F12456" t="s">
        <v>28669</v>
      </c>
      <c r="G12456" t="s">
        <v>28675</v>
      </c>
      <c r="H12456" t="s">
        <v>9998</v>
      </c>
      <c r="I12456" t="s">
        <v>28687</v>
      </c>
      <c r="J12456" t="s">
        <v>36426</v>
      </c>
      <c r="K12456" t="s">
        <v>37220</v>
      </c>
      <c r="M12456" t="s">
        <v>38705</v>
      </c>
      <c r="N12456" t="s">
        <v>41249</v>
      </c>
      <c r="O12456" t="s">
        <v>41250</v>
      </c>
      <c r="P12456">
        <v>0</v>
      </c>
      <c r="Q12456">
        <v>5</v>
      </c>
      <c r="R12456" t="s">
        <v>41267</v>
      </c>
      <c r="S12456" t="s">
        <v>42077</v>
      </c>
      <c r="T12456" t="s">
        <v>42690</v>
      </c>
      <c r="U12456" t="s">
        <v>53171</v>
      </c>
      <c r="V12456" t="s">
        <v>54696</v>
      </c>
      <c r="W12456" t="s">
        <v>38705</v>
      </c>
      <c r="X12456" t="s">
        <v>41268</v>
      </c>
    </row>
    <row r="12457" spans="1:24">
      <c r="A12457">
        <f>HYPERLINK("https://www.philgeps.gov.ph/GEPSNONPILOT/Tender/SplashBidNoticeAbstractUI.aspx?menuIndex=3&amp;refID=7046183&amp;Result=3","7046183")</f>
        <v>0</v>
      </c>
      <c r="B12457" t="s">
        <v>732</v>
      </c>
      <c r="C12457" t="s">
        <v>15314</v>
      </c>
      <c r="D12457" t="s">
        <v>16608</v>
      </c>
      <c r="E12457" t="s">
        <v>27474</v>
      </c>
      <c r="F12457" t="s">
        <v>28669</v>
      </c>
      <c r="G12457" t="s">
        <v>28675</v>
      </c>
      <c r="H12457" t="s">
        <v>9998</v>
      </c>
      <c r="I12457" t="s">
        <v>28693</v>
      </c>
      <c r="J12457" t="s">
        <v>36427</v>
      </c>
      <c r="K12457" t="s">
        <v>37215</v>
      </c>
      <c r="M12457" t="s">
        <v>41057</v>
      </c>
      <c r="N12457" t="s">
        <v>41249</v>
      </c>
      <c r="O12457" t="s">
        <v>41250</v>
      </c>
      <c r="Q12457">
        <v>13</v>
      </c>
      <c r="R12457" t="s">
        <v>41267</v>
      </c>
      <c r="S12457" t="s">
        <v>42104</v>
      </c>
      <c r="T12457" t="s">
        <v>42703</v>
      </c>
      <c r="U12457" t="s">
        <v>53172</v>
      </c>
      <c r="W12457" t="s">
        <v>41057</v>
      </c>
      <c r="X12457" t="s">
        <v>41268</v>
      </c>
    </row>
    <row r="12458" spans="1:24">
      <c r="A12458">
        <f>HYPERLINK("https://www.philgeps.gov.ph/GEPSNONPILOT/Tender/SplashBidNoticeAbstractUI.aspx?menuIndex=3&amp;refID=7046286&amp;Result=3","7046286")</f>
        <v>0</v>
      </c>
      <c r="B12458" t="s">
        <v>1877</v>
      </c>
      <c r="C12458" t="s">
        <v>15315</v>
      </c>
      <c r="E12458" t="s">
        <v>27475</v>
      </c>
      <c r="F12458" t="s">
        <v>28669</v>
      </c>
      <c r="G12458" t="s">
        <v>28675</v>
      </c>
      <c r="H12458" t="s">
        <v>28686</v>
      </c>
      <c r="I12458" t="s">
        <v>28689</v>
      </c>
      <c r="J12458" t="s">
        <v>36428</v>
      </c>
      <c r="K12458" t="s">
        <v>37358</v>
      </c>
      <c r="M12458" t="s">
        <v>39499</v>
      </c>
      <c r="N12458" t="s">
        <v>41249</v>
      </c>
      <c r="O12458" t="s">
        <v>41250</v>
      </c>
      <c r="P12458">
        <v>0</v>
      </c>
      <c r="Q12458">
        <v>0</v>
      </c>
      <c r="R12458" t="s">
        <v>41267</v>
      </c>
      <c r="S12458" t="s">
        <v>42077</v>
      </c>
      <c r="T12458" t="s">
        <v>42754</v>
      </c>
      <c r="U12458" t="s">
        <v>53173</v>
      </c>
      <c r="W12458" t="s">
        <v>39499</v>
      </c>
      <c r="X12458" t="s">
        <v>41268</v>
      </c>
    </row>
    <row r="12459" spans="1:24">
      <c r="A12459">
        <f>HYPERLINK("https://www.philgeps.gov.ph/GEPSNONPILOT/Tender/SplashBidNoticeAbstractUI.aspx?menuIndex=3&amp;refID=7046299&amp;Result=3","7046299")</f>
        <v>0</v>
      </c>
      <c r="B12459" t="s">
        <v>1166</v>
      </c>
      <c r="C12459" t="s">
        <v>15316</v>
      </c>
      <c r="D12459" t="s">
        <v>16631</v>
      </c>
      <c r="E12459" t="s">
        <v>27476</v>
      </c>
      <c r="F12459" t="s">
        <v>28669</v>
      </c>
      <c r="G12459" t="s">
        <v>28675</v>
      </c>
      <c r="H12459" t="s">
        <v>28686</v>
      </c>
      <c r="I12459" t="s">
        <v>28734</v>
      </c>
      <c r="J12459" t="s">
        <v>30755</v>
      </c>
      <c r="K12459" t="s">
        <v>37255</v>
      </c>
      <c r="M12459" t="s">
        <v>38705</v>
      </c>
      <c r="N12459" t="s">
        <v>41249</v>
      </c>
      <c r="O12459" t="s">
        <v>41250</v>
      </c>
      <c r="Q12459">
        <v>8</v>
      </c>
      <c r="R12459" t="s">
        <v>41267</v>
      </c>
      <c r="S12459" t="s">
        <v>42105</v>
      </c>
      <c r="T12459" t="s">
        <v>43150</v>
      </c>
      <c r="U12459" t="s">
        <v>53174</v>
      </c>
      <c r="V12459" t="s">
        <v>54590</v>
      </c>
      <c r="W12459" t="s">
        <v>38705</v>
      </c>
      <c r="X12459" t="s">
        <v>41268</v>
      </c>
    </row>
    <row r="12460" spans="1:24">
      <c r="A12460">
        <f>HYPERLINK("https://www.philgeps.gov.ph/GEPSNONPILOT/Tender/SplashBidNoticeAbstractUI.aspx?menuIndex=3&amp;refID=7046278&amp;Result=3","7046278")</f>
        <v>0</v>
      </c>
      <c r="B12460" t="s">
        <v>3243</v>
      </c>
      <c r="C12460" t="s">
        <v>15317</v>
      </c>
      <c r="D12460" t="s">
        <v>16654</v>
      </c>
      <c r="E12460" t="s">
        <v>17051</v>
      </c>
      <c r="F12460" t="s">
        <v>28669</v>
      </c>
      <c r="G12460" t="s">
        <v>28675</v>
      </c>
      <c r="H12460" t="s">
        <v>28686</v>
      </c>
      <c r="I12460" t="s">
        <v>28689</v>
      </c>
      <c r="J12460" t="s">
        <v>36429</v>
      </c>
      <c r="K12460" t="s">
        <v>37266</v>
      </c>
      <c r="M12460" t="s">
        <v>41060</v>
      </c>
      <c r="N12460" t="s">
        <v>41249</v>
      </c>
      <c r="O12460" t="s">
        <v>41250</v>
      </c>
      <c r="P12460">
        <v>0</v>
      </c>
      <c r="Q12460">
        <v>0</v>
      </c>
      <c r="R12460" t="s">
        <v>41267</v>
      </c>
      <c r="S12460" t="s">
        <v>42077</v>
      </c>
      <c r="T12460" t="s">
        <v>42673</v>
      </c>
      <c r="U12460" t="s">
        <v>53175</v>
      </c>
      <c r="V12460" t="s">
        <v>55751</v>
      </c>
      <c r="W12460" t="s">
        <v>41060</v>
      </c>
      <c r="X12460" t="s">
        <v>41268</v>
      </c>
    </row>
    <row r="12461" spans="1:24">
      <c r="A12461">
        <f>HYPERLINK("https://www.philgeps.gov.ph/GEPSNONPILOT/Tender/SplashBidNoticeAbstractUI.aspx?menuIndex=3&amp;refID=7046135&amp;Result=3","7046135")</f>
        <v>0</v>
      </c>
      <c r="B12461" t="s">
        <v>526</v>
      </c>
      <c r="C12461" t="s">
        <v>15318</v>
      </c>
      <c r="D12461" t="s">
        <v>16680</v>
      </c>
      <c r="E12461" t="s">
        <v>27477</v>
      </c>
      <c r="F12461" t="s">
        <v>28669</v>
      </c>
      <c r="G12461" t="s">
        <v>28675</v>
      </c>
      <c r="H12461" t="s">
        <v>9998</v>
      </c>
      <c r="I12461" t="s">
        <v>28693</v>
      </c>
      <c r="J12461" t="s">
        <v>28924</v>
      </c>
      <c r="K12461" t="s">
        <v>37220</v>
      </c>
      <c r="M12461" t="s">
        <v>41050</v>
      </c>
      <c r="N12461" t="s">
        <v>41249</v>
      </c>
      <c r="O12461" t="s">
        <v>41250</v>
      </c>
      <c r="Q12461">
        <v>26</v>
      </c>
      <c r="R12461" t="s">
        <v>41267</v>
      </c>
      <c r="S12461" t="s">
        <v>42106</v>
      </c>
      <c r="T12461" t="s">
        <v>42858</v>
      </c>
      <c r="U12461" t="s">
        <v>53176</v>
      </c>
      <c r="W12461" t="s">
        <v>41050</v>
      </c>
      <c r="X12461" t="s">
        <v>41268</v>
      </c>
    </row>
    <row r="12462" spans="1:24">
      <c r="A12462">
        <f>HYPERLINK("https://www.philgeps.gov.ph/GEPSNONPILOT/Tender/SplashBidNoticeAbstractUI.aspx?menuIndex=3&amp;refID=7046273&amp;Result=3","7046273")</f>
        <v>0</v>
      </c>
      <c r="B12462" t="s">
        <v>602</v>
      </c>
      <c r="C12462" t="s">
        <v>15319</v>
      </c>
      <c r="D12462" t="s">
        <v>16661</v>
      </c>
      <c r="E12462" t="s">
        <v>19771</v>
      </c>
      <c r="F12462" t="s">
        <v>28669</v>
      </c>
      <c r="G12462" t="s">
        <v>28675</v>
      </c>
      <c r="H12462" t="s">
        <v>9998</v>
      </c>
      <c r="I12462" t="s">
        <v>6128</v>
      </c>
      <c r="J12462" t="s">
        <v>36430</v>
      </c>
      <c r="K12462" t="s">
        <v>37205</v>
      </c>
      <c r="M12462" t="s">
        <v>38102</v>
      </c>
      <c r="N12462" t="s">
        <v>41249</v>
      </c>
      <c r="O12462" t="s">
        <v>41250</v>
      </c>
      <c r="P12462">
        <v>0</v>
      </c>
      <c r="Q12462">
        <v>5</v>
      </c>
      <c r="R12462" t="s">
        <v>41267</v>
      </c>
      <c r="S12462" t="s">
        <v>42077</v>
      </c>
      <c r="T12462" t="s">
        <v>42686</v>
      </c>
      <c r="U12462" t="s">
        <v>53177</v>
      </c>
      <c r="W12462" t="s">
        <v>38102</v>
      </c>
      <c r="X12462" t="s">
        <v>41268</v>
      </c>
    </row>
    <row r="12463" spans="1:24">
      <c r="A12463">
        <f>HYPERLINK("https://www.philgeps.gov.ph/GEPSNONPILOT/Tender/SplashBidNoticeAbstractUI.aspx?menuIndex=3&amp;refID=7046256&amp;Result=3","7046256")</f>
        <v>0</v>
      </c>
      <c r="B12463" t="s">
        <v>3190</v>
      </c>
      <c r="C12463" t="s">
        <v>15320</v>
      </c>
      <c r="D12463" t="s">
        <v>16615</v>
      </c>
      <c r="E12463" t="s">
        <v>20096</v>
      </c>
      <c r="F12463" t="s">
        <v>28669</v>
      </c>
      <c r="G12463" t="s">
        <v>28675</v>
      </c>
      <c r="H12463" t="s">
        <v>28686</v>
      </c>
      <c r="I12463" t="s">
        <v>28689</v>
      </c>
      <c r="J12463" t="s">
        <v>28881</v>
      </c>
      <c r="K12463" t="s">
        <v>37212</v>
      </c>
      <c r="L12463" t="s">
        <v>3190</v>
      </c>
      <c r="M12463" t="s">
        <v>40993</v>
      </c>
      <c r="N12463" t="s">
        <v>41249</v>
      </c>
      <c r="O12463" t="s">
        <v>41250</v>
      </c>
      <c r="P12463">
        <v>0</v>
      </c>
      <c r="Q12463">
        <v>85</v>
      </c>
      <c r="R12463" t="s">
        <v>41267</v>
      </c>
      <c r="S12463" t="s">
        <v>42077</v>
      </c>
      <c r="T12463" t="s">
        <v>42711</v>
      </c>
      <c r="U12463" t="s">
        <v>53178</v>
      </c>
      <c r="W12463" t="s">
        <v>40993</v>
      </c>
      <c r="X12463" t="s">
        <v>41268</v>
      </c>
    </row>
    <row r="12464" spans="1:24">
      <c r="A12464">
        <f>HYPERLINK("https://www.philgeps.gov.ph/GEPSNONPILOT/Tender/SplashBidNoticeAbstractUI.aspx?menuIndex=3&amp;refID=7046280&amp;Result=3","7046280")</f>
        <v>0</v>
      </c>
      <c r="B12464" t="s">
        <v>2076</v>
      </c>
      <c r="C12464" t="s">
        <v>15321</v>
      </c>
      <c r="D12464" t="s">
        <v>16674</v>
      </c>
      <c r="E12464" t="s">
        <v>27478</v>
      </c>
      <c r="F12464" t="s">
        <v>28669</v>
      </c>
      <c r="G12464" t="s">
        <v>28675</v>
      </c>
      <c r="H12464" t="s">
        <v>28686</v>
      </c>
      <c r="I12464" t="s">
        <v>28689</v>
      </c>
      <c r="J12464" t="s">
        <v>36431</v>
      </c>
      <c r="K12464" t="s">
        <v>37225</v>
      </c>
      <c r="M12464" t="s">
        <v>39717</v>
      </c>
      <c r="N12464" t="s">
        <v>41249</v>
      </c>
      <c r="O12464" t="s">
        <v>41250</v>
      </c>
      <c r="P12464">
        <v>0</v>
      </c>
      <c r="Q12464">
        <v>0</v>
      </c>
      <c r="R12464" t="s">
        <v>41267</v>
      </c>
      <c r="S12464" t="s">
        <v>42077</v>
      </c>
      <c r="T12464" t="s">
        <v>42729</v>
      </c>
      <c r="U12464" t="s">
        <v>53179</v>
      </c>
      <c r="W12464" t="s">
        <v>39717</v>
      </c>
      <c r="X12464" t="s">
        <v>41268</v>
      </c>
    </row>
    <row r="12465" spans="1:24">
      <c r="A12465">
        <f>HYPERLINK("https://www.philgeps.gov.ph/GEPSNONPILOT/Tender/SplashBidNoticeAbstractUI.aspx?menuIndex=3&amp;refID=7046281&amp;Result=3","7046281")</f>
        <v>0</v>
      </c>
      <c r="B12465" t="s">
        <v>909</v>
      </c>
      <c r="C12465" t="s">
        <v>15322</v>
      </c>
      <c r="D12465" t="s">
        <v>16662</v>
      </c>
      <c r="E12465" t="s">
        <v>27479</v>
      </c>
      <c r="F12465" t="s">
        <v>28669</v>
      </c>
      <c r="G12465" t="s">
        <v>28675</v>
      </c>
      <c r="H12465" t="s">
        <v>9998</v>
      </c>
      <c r="I12465" t="s">
        <v>28706</v>
      </c>
      <c r="J12465" t="s">
        <v>36432</v>
      </c>
      <c r="K12465" t="s">
        <v>37206</v>
      </c>
      <c r="M12465" t="s">
        <v>38431</v>
      </c>
      <c r="N12465" t="s">
        <v>41249</v>
      </c>
      <c r="O12465" t="s">
        <v>41250</v>
      </c>
      <c r="P12465">
        <v>0</v>
      </c>
      <c r="Q12465">
        <v>0</v>
      </c>
      <c r="R12465" t="s">
        <v>41267</v>
      </c>
      <c r="S12465" t="s">
        <v>42077</v>
      </c>
      <c r="T12465" t="s">
        <v>42679</v>
      </c>
      <c r="U12465" t="s">
        <v>53180</v>
      </c>
      <c r="W12465" t="s">
        <v>38431</v>
      </c>
      <c r="X12465" t="s">
        <v>41268</v>
      </c>
    </row>
    <row r="12466" spans="1:24">
      <c r="A12466">
        <f>HYPERLINK("https://www.philgeps.gov.ph/GEPSNONPILOT/Tender/SplashBidNoticeAbstractUI.aspx?menuIndex=3&amp;refID=7046248&amp;Result=3","7046248")</f>
        <v>0</v>
      </c>
      <c r="B12466" t="s">
        <v>909</v>
      </c>
      <c r="C12466" t="s">
        <v>15323</v>
      </c>
      <c r="D12466" t="s">
        <v>16662</v>
      </c>
      <c r="E12466" t="s">
        <v>27479</v>
      </c>
      <c r="F12466" t="s">
        <v>28669</v>
      </c>
      <c r="G12466" t="s">
        <v>28675</v>
      </c>
      <c r="H12466" t="s">
        <v>9998</v>
      </c>
      <c r="I12466" t="s">
        <v>6128</v>
      </c>
      <c r="J12466" t="s">
        <v>36433</v>
      </c>
      <c r="K12466" t="s">
        <v>37206</v>
      </c>
      <c r="M12466" t="s">
        <v>38431</v>
      </c>
      <c r="N12466" t="s">
        <v>41249</v>
      </c>
      <c r="O12466" t="s">
        <v>41250</v>
      </c>
      <c r="P12466">
        <v>0</v>
      </c>
      <c r="Q12466">
        <v>0</v>
      </c>
      <c r="R12466" t="s">
        <v>41267</v>
      </c>
      <c r="S12466" t="s">
        <v>42077</v>
      </c>
      <c r="T12466" t="s">
        <v>42679</v>
      </c>
      <c r="U12466" t="s">
        <v>53180</v>
      </c>
      <c r="W12466" t="s">
        <v>38431</v>
      </c>
      <c r="X12466" t="s">
        <v>41268</v>
      </c>
    </row>
    <row r="12467" spans="1:24">
      <c r="A12467">
        <f>HYPERLINK("https://www.philgeps.gov.ph/GEPSNONPILOT/Tender/SplashBidNoticeAbstractUI.aspx?menuIndex=3&amp;refID=7046230&amp;Result=3","7046230")</f>
        <v>0</v>
      </c>
      <c r="B12467" t="s">
        <v>3244</v>
      </c>
      <c r="C12467" t="s">
        <v>15324</v>
      </c>
      <c r="D12467" t="s">
        <v>16615</v>
      </c>
      <c r="E12467" t="s">
        <v>27480</v>
      </c>
      <c r="F12467" t="s">
        <v>28669</v>
      </c>
      <c r="G12467" t="s">
        <v>28675</v>
      </c>
      <c r="H12467" t="s">
        <v>28686</v>
      </c>
      <c r="I12467" t="s">
        <v>28689</v>
      </c>
      <c r="J12467" t="s">
        <v>30195</v>
      </c>
      <c r="K12467" t="s">
        <v>37478</v>
      </c>
      <c r="M12467" t="s">
        <v>41061</v>
      </c>
      <c r="N12467" t="s">
        <v>41249</v>
      </c>
      <c r="O12467" t="s">
        <v>41250</v>
      </c>
      <c r="Q12467">
        <v>22</v>
      </c>
      <c r="R12467" t="s">
        <v>41267</v>
      </c>
      <c r="S12467" t="s">
        <v>42107</v>
      </c>
      <c r="T12467" t="s">
        <v>42669</v>
      </c>
      <c r="U12467" t="s">
        <v>53181</v>
      </c>
      <c r="W12467" t="s">
        <v>56031</v>
      </c>
      <c r="X12467" t="s">
        <v>41268</v>
      </c>
    </row>
    <row r="12468" spans="1:24">
      <c r="A12468">
        <f>HYPERLINK("https://www.philgeps.gov.ph/GEPSNONPILOT/Tender/SplashBidNoticeAbstractUI.aspx?menuIndex=3&amp;refID=7046351&amp;Result=3","7046351")</f>
        <v>0</v>
      </c>
      <c r="B12468" t="s">
        <v>1877</v>
      </c>
      <c r="C12468" t="s">
        <v>15325</v>
      </c>
      <c r="E12468" t="s">
        <v>27481</v>
      </c>
      <c r="F12468" t="s">
        <v>28669</v>
      </c>
      <c r="G12468" t="s">
        <v>28675</v>
      </c>
      <c r="H12468" t="s">
        <v>28686</v>
      </c>
      <c r="I12468" t="s">
        <v>28689</v>
      </c>
      <c r="J12468" t="s">
        <v>36434</v>
      </c>
      <c r="K12468" t="s">
        <v>37419</v>
      </c>
      <c r="M12468" t="s">
        <v>39499</v>
      </c>
      <c r="N12468" t="s">
        <v>41249</v>
      </c>
      <c r="O12468" t="s">
        <v>41250</v>
      </c>
      <c r="P12468">
        <v>0</v>
      </c>
      <c r="Q12468">
        <v>1</v>
      </c>
      <c r="R12468" t="s">
        <v>41267</v>
      </c>
      <c r="S12468" t="s">
        <v>42077</v>
      </c>
      <c r="T12468" t="s">
        <v>42754</v>
      </c>
      <c r="U12468" t="s">
        <v>53182</v>
      </c>
      <c r="W12468" t="s">
        <v>39499</v>
      </c>
      <c r="X12468" t="s">
        <v>41268</v>
      </c>
    </row>
    <row r="12469" spans="1:24">
      <c r="A12469">
        <f>HYPERLINK("https://www.philgeps.gov.ph/GEPSNONPILOT/Tender/SplashBidNoticeAbstractUI.aspx?menuIndex=3&amp;refID=7046503&amp;Result=3","7046503")</f>
        <v>0</v>
      </c>
      <c r="B12469" t="s">
        <v>3245</v>
      </c>
      <c r="C12469" t="s">
        <v>15326</v>
      </c>
      <c r="D12469" t="s">
        <v>16671</v>
      </c>
      <c r="E12469" t="s">
        <v>22006</v>
      </c>
      <c r="F12469" t="s">
        <v>28671</v>
      </c>
      <c r="G12469" t="s">
        <v>28675</v>
      </c>
      <c r="H12469" t="s">
        <v>9998</v>
      </c>
      <c r="I12469" t="s">
        <v>7352</v>
      </c>
      <c r="J12469" t="s">
        <v>36435</v>
      </c>
      <c r="K12469" t="s">
        <v>37215</v>
      </c>
      <c r="M12469" t="s">
        <v>41062</v>
      </c>
      <c r="N12469" t="s">
        <v>41249</v>
      </c>
      <c r="O12469" t="s">
        <v>41250</v>
      </c>
      <c r="P12469">
        <v>0</v>
      </c>
      <c r="Q12469">
        <v>0</v>
      </c>
      <c r="R12469" t="s">
        <v>41267</v>
      </c>
      <c r="S12469" t="s">
        <v>42077</v>
      </c>
      <c r="T12469" t="s">
        <v>42754</v>
      </c>
      <c r="U12469" t="s">
        <v>53183</v>
      </c>
      <c r="W12469" t="s">
        <v>41062</v>
      </c>
      <c r="X12469" t="s">
        <v>41268</v>
      </c>
    </row>
    <row r="12470" spans="1:24">
      <c r="A12470">
        <f>HYPERLINK("https://www.philgeps.gov.ph/GEPSNONPILOT/Tender/SplashBidNoticeAbstractUI.aspx?menuIndex=3&amp;refID=7046258&amp;Result=3","7046258")</f>
        <v>0</v>
      </c>
      <c r="B12470" t="s">
        <v>3234</v>
      </c>
      <c r="C12470" t="s">
        <v>15327</v>
      </c>
      <c r="D12470" t="s">
        <v>16684</v>
      </c>
      <c r="E12470" t="s">
        <v>27482</v>
      </c>
      <c r="F12470" t="s">
        <v>28669</v>
      </c>
      <c r="G12470" t="s">
        <v>28675</v>
      </c>
      <c r="H12470" t="s">
        <v>9998</v>
      </c>
      <c r="I12470" t="s">
        <v>28693</v>
      </c>
      <c r="J12470" t="s">
        <v>36436</v>
      </c>
      <c r="K12470" t="s">
        <v>37220</v>
      </c>
      <c r="M12470" t="s">
        <v>41049</v>
      </c>
      <c r="N12470" t="s">
        <v>41249</v>
      </c>
      <c r="O12470" t="s">
        <v>41250</v>
      </c>
      <c r="Q12470">
        <v>15</v>
      </c>
      <c r="R12470" t="s">
        <v>41267</v>
      </c>
      <c r="S12470" t="s">
        <v>41528</v>
      </c>
      <c r="T12470" t="s">
        <v>42903</v>
      </c>
      <c r="U12470" t="s">
        <v>53184</v>
      </c>
      <c r="V12470" t="s">
        <v>55744</v>
      </c>
      <c r="W12470" t="s">
        <v>41049</v>
      </c>
      <c r="X12470" t="s">
        <v>41268</v>
      </c>
    </row>
    <row r="12471" spans="1:24">
      <c r="A12471">
        <f>HYPERLINK("https://www.philgeps.gov.ph/GEPSNONPILOT/Tender/SplashBidNoticeAbstractUI.aspx?menuIndex=3&amp;refID=7046490&amp;Result=3","7046490")</f>
        <v>0</v>
      </c>
      <c r="B12471" t="s">
        <v>2076</v>
      </c>
      <c r="C12471" t="s">
        <v>15328</v>
      </c>
      <c r="D12471" t="s">
        <v>16674</v>
      </c>
      <c r="E12471" t="s">
        <v>27483</v>
      </c>
      <c r="F12471" t="s">
        <v>28669</v>
      </c>
      <c r="G12471" t="s">
        <v>28675</v>
      </c>
      <c r="H12471" t="s">
        <v>28686</v>
      </c>
      <c r="I12471" t="s">
        <v>28689</v>
      </c>
      <c r="J12471" t="s">
        <v>36437</v>
      </c>
      <c r="K12471" t="s">
        <v>37270</v>
      </c>
      <c r="M12471" t="s">
        <v>39717</v>
      </c>
      <c r="N12471" t="s">
        <v>41249</v>
      </c>
      <c r="O12471" t="s">
        <v>41250</v>
      </c>
      <c r="P12471">
        <v>0</v>
      </c>
      <c r="Q12471">
        <v>0</v>
      </c>
      <c r="R12471" t="s">
        <v>41267</v>
      </c>
      <c r="S12471" t="s">
        <v>42077</v>
      </c>
      <c r="T12471" t="s">
        <v>42729</v>
      </c>
      <c r="U12471" t="s">
        <v>53185</v>
      </c>
      <c r="W12471" t="s">
        <v>39717</v>
      </c>
      <c r="X12471" t="s">
        <v>41268</v>
      </c>
    </row>
    <row r="12472" spans="1:24">
      <c r="A12472">
        <f>HYPERLINK("https://www.philgeps.gov.ph/GEPSNONPILOT/Tender/SplashBidNoticeAbstractUI.aspx?menuIndex=3&amp;refID=7046303&amp;Result=3","7046303")</f>
        <v>0</v>
      </c>
      <c r="B12472" t="s">
        <v>1877</v>
      </c>
      <c r="C12472" t="s">
        <v>15329</v>
      </c>
      <c r="E12472" t="s">
        <v>27484</v>
      </c>
      <c r="F12472" t="s">
        <v>28669</v>
      </c>
      <c r="G12472" t="s">
        <v>28675</v>
      </c>
      <c r="H12472" t="s">
        <v>28686</v>
      </c>
      <c r="I12472" t="s">
        <v>28689</v>
      </c>
      <c r="J12472" t="s">
        <v>36438</v>
      </c>
      <c r="K12472" t="s">
        <v>37214</v>
      </c>
      <c r="M12472" t="s">
        <v>39499</v>
      </c>
      <c r="N12472" t="s">
        <v>41249</v>
      </c>
      <c r="O12472" t="s">
        <v>41250</v>
      </c>
      <c r="P12472">
        <v>0</v>
      </c>
      <c r="Q12472">
        <v>0</v>
      </c>
      <c r="R12472" t="s">
        <v>41267</v>
      </c>
      <c r="S12472" t="s">
        <v>42077</v>
      </c>
      <c r="T12472" t="s">
        <v>42754</v>
      </c>
      <c r="U12472" t="s">
        <v>53182</v>
      </c>
      <c r="W12472" t="s">
        <v>39499</v>
      </c>
      <c r="X12472" t="s">
        <v>41268</v>
      </c>
    </row>
    <row r="12473" spans="1:24">
      <c r="A12473">
        <f>HYPERLINK("https://www.philgeps.gov.ph/GEPSNONPILOT/Tender/SplashBidNoticeAbstractUI.aspx?menuIndex=3&amp;refID=7046179&amp;Result=3","7046179")</f>
        <v>0</v>
      </c>
      <c r="B12473" t="s">
        <v>3190</v>
      </c>
      <c r="C12473" t="s">
        <v>15330</v>
      </c>
      <c r="D12473" t="s">
        <v>16615</v>
      </c>
      <c r="E12473" t="s">
        <v>27485</v>
      </c>
      <c r="F12473" t="s">
        <v>28669</v>
      </c>
      <c r="G12473" t="s">
        <v>28675</v>
      </c>
      <c r="H12473" t="s">
        <v>28686</v>
      </c>
      <c r="I12473" t="s">
        <v>28689</v>
      </c>
      <c r="J12473" t="s">
        <v>28836</v>
      </c>
      <c r="K12473" t="s">
        <v>37258</v>
      </c>
      <c r="L12473" t="s">
        <v>3190</v>
      </c>
      <c r="M12473" t="s">
        <v>40993</v>
      </c>
      <c r="N12473" t="s">
        <v>41249</v>
      </c>
      <c r="O12473" t="s">
        <v>41250</v>
      </c>
      <c r="P12473">
        <v>0</v>
      </c>
      <c r="Q12473">
        <v>82</v>
      </c>
      <c r="R12473" t="s">
        <v>41267</v>
      </c>
      <c r="S12473" t="s">
        <v>42077</v>
      </c>
      <c r="T12473" t="s">
        <v>42673</v>
      </c>
      <c r="U12473" t="s">
        <v>53186</v>
      </c>
      <c r="W12473" t="s">
        <v>40993</v>
      </c>
      <c r="X12473" t="s">
        <v>41268</v>
      </c>
    </row>
    <row r="12474" spans="1:24">
      <c r="A12474">
        <f>HYPERLINK("https://www.philgeps.gov.ph/GEPSNONPILOT/Tender/SplashBidNoticeAbstractUI.aspx?menuIndex=3&amp;refID=7046489&amp;Result=3","7046489")</f>
        <v>0</v>
      </c>
      <c r="B12474" t="s">
        <v>3246</v>
      </c>
      <c r="C12474" t="s">
        <v>15331</v>
      </c>
      <c r="D12474" t="s">
        <v>16668</v>
      </c>
      <c r="E12474" t="s">
        <v>16803</v>
      </c>
      <c r="F12474" t="s">
        <v>28669</v>
      </c>
      <c r="G12474" t="s">
        <v>28675</v>
      </c>
      <c r="H12474" t="s">
        <v>28686</v>
      </c>
      <c r="I12474" t="s">
        <v>28689</v>
      </c>
      <c r="J12474" t="s">
        <v>28881</v>
      </c>
      <c r="K12474" t="s">
        <v>37213</v>
      </c>
      <c r="M12474" t="s">
        <v>41063</v>
      </c>
      <c r="N12474" t="s">
        <v>41249</v>
      </c>
      <c r="O12474" t="s">
        <v>41250</v>
      </c>
      <c r="P12474">
        <v>0</v>
      </c>
      <c r="Q12474">
        <v>4</v>
      </c>
      <c r="R12474" t="s">
        <v>41267</v>
      </c>
      <c r="S12474" t="s">
        <v>42077</v>
      </c>
      <c r="T12474" t="s">
        <v>42703</v>
      </c>
      <c r="U12474" t="s">
        <v>53187</v>
      </c>
      <c r="W12474" t="s">
        <v>41063</v>
      </c>
      <c r="X12474" t="s">
        <v>41268</v>
      </c>
    </row>
    <row r="12475" spans="1:24">
      <c r="A12475">
        <f>HYPERLINK("https://www.philgeps.gov.ph/GEPSNONPILOT/Tender/SplashBidNoticeAbstractUI.aspx?menuIndex=3&amp;refID=7046457&amp;Result=3","7046457")</f>
        <v>0</v>
      </c>
      <c r="B12475" t="s">
        <v>3247</v>
      </c>
      <c r="C12475" t="s">
        <v>5491</v>
      </c>
      <c r="D12475" t="s">
        <v>16643</v>
      </c>
      <c r="E12475" t="s">
        <v>27486</v>
      </c>
      <c r="F12475" t="s">
        <v>28669</v>
      </c>
      <c r="G12475" t="s">
        <v>28675</v>
      </c>
      <c r="H12475" t="s">
        <v>28686</v>
      </c>
      <c r="I12475" t="s">
        <v>28689</v>
      </c>
      <c r="J12475" t="s">
        <v>28836</v>
      </c>
      <c r="K12475" t="s">
        <v>37213</v>
      </c>
      <c r="M12475" t="s">
        <v>41064</v>
      </c>
      <c r="N12475" t="s">
        <v>41249</v>
      </c>
      <c r="O12475" t="s">
        <v>41250</v>
      </c>
      <c r="P12475">
        <v>0</v>
      </c>
      <c r="Q12475">
        <v>0</v>
      </c>
      <c r="R12475" t="s">
        <v>41267</v>
      </c>
      <c r="S12475" t="s">
        <v>42077</v>
      </c>
      <c r="T12475" t="s">
        <v>43151</v>
      </c>
      <c r="U12475" t="s">
        <v>53188</v>
      </c>
      <c r="W12475" t="s">
        <v>41064</v>
      </c>
      <c r="X12475" t="s">
        <v>41268</v>
      </c>
    </row>
    <row r="12476" spans="1:24">
      <c r="A12476">
        <f>HYPERLINK("https://www.philgeps.gov.ph/GEPSNONPILOT/Tender/SplashBidNoticeAbstractUI.aspx?menuIndex=3&amp;refID=7046455&amp;Result=3","7046455")</f>
        <v>0</v>
      </c>
      <c r="B12476" t="s">
        <v>2076</v>
      </c>
      <c r="C12476" t="s">
        <v>15332</v>
      </c>
      <c r="D12476" t="s">
        <v>16674</v>
      </c>
      <c r="E12476" t="s">
        <v>27487</v>
      </c>
      <c r="F12476" t="s">
        <v>28669</v>
      </c>
      <c r="G12476" t="s">
        <v>28675</v>
      </c>
      <c r="H12476" t="s">
        <v>9998</v>
      </c>
      <c r="I12476" t="s">
        <v>7352</v>
      </c>
      <c r="J12476" t="s">
        <v>36439</v>
      </c>
      <c r="K12476" t="s">
        <v>37230</v>
      </c>
      <c r="M12476" t="s">
        <v>39717</v>
      </c>
      <c r="N12476" t="s">
        <v>41249</v>
      </c>
      <c r="O12476" t="s">
        <v>41250</v>
      </c>
      <c r="P12476">
        <v>0</v>
      </c>
      <c r="Q12476">
        <v>2</v>
      </c>
      <c r="R12476" t="s">
        <v>41267</v>
      </c>
      <c r="S12476" t="s">
        <v>42077</v>
      </c>
      <c r="T12476" t="s">
        <v>42729</v>
      </c>
      <c r="U12476" t="s">
        <v>53189</v>
      </c>
      <c r="W12476" t="s">
        <v>39717</v>
      </c>
      <c r="X12476" t="s">
        <v>41268</v>
      </c>
    </row>
    <row r="12477" spans="1:24">
      <c r="A12477">
        <f>HYPERLINK("https://www.philgeps.gov.ph/GEPSNONPILOT/Tender/SplashBidNoticeAbstractUI.aspx?menuIndex=3&amp;refID=7046239&amp;Result=3","7046239")</f>
        <v>0</v>
      </c>
      <c r="B12477" t="s">
        <v>1877</v>
      </c>
      <c r="C12477" t="s">
        <v>15333</v>
      </c>
      <c r="E12477" t="s">
        <v>27488</v>
      </c>
      <c r="F12477" t="s">
        <v>28669</v>
      </c>
      <c r="G12477" t="s">
        <v>28675</v>
      </c>
      <c r="H12477" t="s">
        <v>28686</v>
      </c>
      <c r="I12477" t="s">
        <v>28689</v>
      </c>
      <c r="J12477" t="s">
        <v>36440</v>
      </c>
      <c r="K12477" t="s">
        <v>37358</v>
      </c>
      <c r="M12477" t="s">
        <v>39499</v>
      </c>
      <c r="N12477" t="s">
        <v>41249</v>
      </c>
      <c r="O12477" t="s">
        <v>41250</v>
      </c>
      <c r="P12477">
        <v>0</v>
      </c>
      <c r="Q12477">
        <v>0</v>
      </c>
      <c r="R12477" t="s">
        <v>41267</v>
      </c>
      <c r="S12477" t="s">
        <v>42077</v>
      </c>
      <c r="T12477" t="s">
        <v>42754</v>
      </c>
      <c r="U12477" t="s">
        <v>53190</v>
      </c>
      <c r="W12477" t="s">
        <v>39499</v>
      </c>
      <c r="X12477" t="s">
        <v>41268</v>
      </c>
    </row>
    <row r="12478" spans="1:24">
      <c r="A12478">
        <f>HYPERLINK("https://www.philgeps.gov.ph/GEPSNONPILOT/Tender/SplashBidNoticeAbstractUI.aspx?menuIndex=3&amp;refID=7046453&amp;Result=3","7046453")</f>
        <v>0</v>
      </c>
      <c r="B12478" t="s">
        <v>1381</v>
      </c>
      <c r="C12478" t="s">
        <v>15334</v>
      </c>
      <c r="D12478" t="s">
        <v>16683</v>
      </c>
      <c r="E12478" t="s">
        <v>27489</v>
      </c>
      <c r="F12478" t="s">
        <v>28669</v>
      </c>
      <c r="G12478" t="s">
        <v>28682</v>
      </c>
      <c r="H12478" t="s">
        <v>28686</v>
      </c>
      <c r="I12478" t="s">
        <v>28689</v>
      </c>
      <c r="J12478" t="s">
        <v>36441</v>
      </c>
      <c r="K12478" t="s">
        <v>37225</v>
      </c>
      <c r="M12478" t="s">
        <v>38941</v>
      </c>
      <c r="N12478" t="s">
        <v>41249</v>
      </c>
      <c r="O12478" t="s">
        <v>41250</v>
      </c>
      <c r="P12478">
        <v>0</v>
      </c>
      <c r="Q12478">
        <v>0</v>
      </c>
      <c r="R12478" t="s">
        <v>41267</v>
      </c>
      <c r="S12478" t="s">
        <v>42077</v>
      </c>
      <c r="T12478" t="s">
        <v>42679</v>
      </c>
      <c r="U12478" t="s">
        <v>46175</v>
      </c>
      <c r="V12478" t="s">
        <v>55752</v>
      </c>
      <c r="W12478" t="s">
        <v>55951</v>
      </c>
      <c r="X12478" t="s">
        <v>41268</v>
      </c>
    </row>
    <row r="12479" spans="1:24">
      <c r="A12479">
        <f>HYPERLINK("https://www.philgeps.gov.ph/GEPSNONPILOT/Tender/SplashBidNoticeAbstractUI.aspx?menuIndex=3&amp;refID=7046438&amp;Result=3","7046438")</f>
        <v>0</v>
      </c>
      <c r="B12479" t="s">
        <v>3246</v>
      </c>
      <c r="C12479" t="s">
        <v>15335</v>
      </c>
      <c r="D12479" t="s">
        <v>16668</v>
      </c>
      <c r="E12479" t="s">
        <v>17140</v>
      </c>
      <c r="F12479" t="s">
        <v>28669</v>
      </c>
      <c r="G12479" t="s">
        <v>28675</v>
      </c>
      <c r="H12479" t="s">
        <v>28686</v>
      </c>
      <c r="I12479" t="s">
        <v>28689</v>
      </c>
      <c r="J12479" t="s">
        <v>28847</v>
      </c>
      <c r="K12479" t="s">
        <v>37220</v>
      </c>
      <c r="M12479" t="s">
        <v>41063</v>
      </c>
      <c r="N12479" t="s">
        <v>41249</v>
      </c>
      <c r="O12479" t="s">
        <v>41250</v>
      </c>
      <c r="P12479">
        <v>0</v>
      </c>
      <c r="Q12479">
        <v>4</v>
      </c>
      <c r="R12479" t="s">
        <v>41267</v>
      </c>
      <c r="S12479" t="s">
        <v>42077</v>
      </c>
      <c r="T12479" t="s">
        <v>42703</v>
      </c>
      <c r="U12479" t="s">
        <v>53191</v>
      </c>
      <c r="W12479" t="s">
        <v>41063</v>
      </c>
      <c r="X12479" t="s">
        <v>41268</v>
      </c>
    </row>
    <row r="12480" spans="1:24">
      <c r="A12480">
        <f>HYPERLINK("https://www.philgeps.gov.ph/GEPSNONPILOT/Tender/SplashBidNoticeAbstractUI.aspx?menuIndex=3&amp;refID=7046428&amp;Result=3","7046428")</f>
        <v>0</v>
      </c>
      <c r="B12480" t="s">
        <v>1877</v>
      </c>
      <c r="C12480" t="s">
        <v>15336</v>
      </c>
      <c r="E12480" t="s">
        <v>27490</v>
      </c>
      <c r="F12480" t="s">
        <v>28669</v>
      </c>
      <c r="G12480" t="s">
        <v>28675</v>
      </c>
      <c r="H12480" t="s">
        <v>28686</v>
      </c>
      <c r="I12480" t="s">
        <v>28689</v>
      </c>
      <c r="J12480" t="s">
        <v>36442</v>
      </c>
      <c r="K12480" t="s">
        <v>37429</v>
      </c>
      <c r="M12480" t="s">
        <v>39499</v>
      </c>
      <c r="N12480" t="s">
        <v>41249</v>
      </c>
      <c r="O12480" t="s">
        <v>41250</v>
      </c>
      <c r="P12480">
        <v>0</v>
      </c>
      <c r="Q12480">
        <v>4</v>
      </c>
      <c r="R12480" t="s">
        <v>41267</v>
      </c>
      <c r="S12480" t="s">
        <v>42077</v>
      </c>
      <c r="T12480" t="s">
        <v>42754</v>
      </c>
      <c r="U12480" t="s">
        <v>53190</v>
      </c>
      <c r="W12480" t="s">
        <v>39499</v>
      </c>
      <c r="X12480" t="s">
        <v>41268</v>
      </c>
    </row>
    <row r="12481" spans="1:24">
      <c r="A12481">
        <f>HYPERLINK("https://www.philgeps.gov.ph/GEPSNONPILOT/Tender/SplashBidNoticeAbstractUI.aspx?menuIndex=3&amp;refID=7046421&amp;Result=3","7046421")</f>
        <v>0</v>
      </c>
      <c r="B12481" t="s">
        <v>142</v>
      </c>
      <c r="C12481" t="s">
        <v>15337</v>
      </c>
      <c r="D12481" t="s">
        <v>16608</v>
      </c>
      <c r="E12481" t="s">
        <v>27491</v>
      </c>
      <c r="F12481" t="s">
        <v>28669</v>
      </c>
      <c r="G12481" t="s">
        <v>28675</v>
      </c>
      <c r="H12481" t="s">
        <v>9998</v>
      </c>
      <c r="I12481" t="s">
        <v>28725</v>
      </c>
      <c r="J12481" t="s">
        <v>36443</v>
      </c>
      <c r="K12481" t="s">
        <v>37209</v>
      </c>
      <c r="M12481" t="s">
        <v>41065</v>
      </c>
      <c r="N12481" t="s">
        <v>41249</v>
      </c>
      <c r="O12481" t="s">
        <v>41250</v>
      </c>
      <c r="P12481">
        <v>0</v>
      </c>
      <c r="Q12481">
        <v>3</v>
      </c>
      <c r="R12481" t="s">
        <v>41267</v>
      </c>
      <c r="S12481" t="s">
        <v>42077</v>
      </c>
      <c r="T12481" t="s">
        <v>42670</v>
      </c>
      <c r="U12481" t="s">
        <v>53192</v>
      </c>
      <c r="V12481" t="s">
        <v>55753</v>
      </c>
      <c r="W12481" t="s">
        <v>41065</v>
      </c>
      <c r="X12481" t="s">
        <v>41268</v>
      </c>
    </row>
    <row r="12482" spans="1:24">
      <c r="A12482">
        <f>HYPERLINK("https://www.philgeps.gov.ph/GEPSNONPILOT/Tender/SplashBidNoticeAbstractUI.aspx?menuIndex=3&amp;refID=7046417&amp;Result=3","7046417")</f>
        <v>0</v>
      </c>
      <c r="B12482" t="s">
        <v>447</v>
      </c>
      <c r="C12482" t="s">
        <v>15338</v>
      </c>
      <c r="D12482" t="s">
        <v>16608</v>
      </c>
      <c r="E12482" t="s">
        <v>21568</v>
      </c>
      <c r="F12482" t="s">
        <v>28669</v>
      </c>
      <c r="G12482" t="s">
        <v>28675</v>
      </c>
      <c r="H12482" t="s">
        <v>28686</v>
      </c>
      <c r="I12482" t="s">
        <v>28689</v>
      </c>
      <c r="J12482" t="s">
        <v>36444</v>
      </c>
      <c r="K12482" t="s">
        <v>37276</v>
      </c>
      <c r="M12482" t="s">
        <v>41066</v>
      </c>
      <c r="N12482" t="s">
        <v>41249</v>
      </c>
      <c r="O12482" t="s">
        <v>41250</v>
      </c>
      <c r="P12482">
        <v>0</v>
      </c>
      <c r="Q12482">
        <v>12</v>
      </c>
      <c r="R12482" t="s">
        <v>41267</v>
      </c>
      <c r="S12482" t="s">
        <v>42077</v>
      </c>
      <c r="T12482" t="s">
        <v>42703</v>
      </c>
      <c r="U12482" t="s">
        <v>53193</v>
      </c>
      <c r="W12482" t="s">
        <v>41066</v>
      </c>
      <c r="X12482" t="s">
        <v>41268</v>
      </c>
    </row>
    <row r="12483" spans="1:24">
      <c r="A12483">
        <f>HYPERLINK("https://www.philgeps.gov.ph/GEPSNONPILOT/Tender/SplashBidNoticeAbstractUI.aspx?menuIndex=3&amp;refID=7046416&amp;Result=3","7046416")</f>
        <v>0</v>
      </c>
      <c r="B12483" t="s">
        <v>1381</v>
      </c>
      <c r="C12483" t="s">
        <v>15339</v>
      </c>
      <c r="D12483" t="s">
        <v>16683</v>
      </c>
      <c r="E12483" t="s">
        <v>27492</v>
      </c>
      <c r="F12483" t="s">
        <v>28669</v>
      </c>
      <c r="G12483" t="s">
        <v>28682</v>
      </c>
      <c r="H12483" t="s">
        <v>28686</v>
      </c>
      <c r="I12483" t="s">
        <v>28689</v>
      </c>
      <c r="J12483" t="s">
        <v>36445</v>
      </c>
      <c r="K12483" t="s">
        <v>37215</v>
      </c>
      <c r="M12483" t="s">
        <v>38941</v>
      </c>
      <c r="N12483" t="s">
        <v>41249</v>
      </c>
      <c r="O12483" t="s">
        <v>41250</v>
      </c>
      <c r="P12483">
        <v>0</v>
      </c>
      <c r="Q12483">
        <v>0</v>
      </c>
      <c r="R12483" t="s">
        <v>41267</v>
      </c>
      <c r="S12483" t="s">
        <v>42077</v>
      </c>
      <c r="T12483" t="s">
        <v>42679</v>
      </c>
      <c r="U12483" t="s">
        <v>46175</v>
      </c>
      <c r="V12483" t="s">
        <v>55754</v>
      </c>
      <c r="W12483" t="s">
        <v>55951</v>
      </c>
      <c r="X12483" t="s">
        <v>41268</v>
      </c>
    </row>
    <row r="12484" spans="1:24">
      <c r="A12484">
        <f>HYPERLINK("https://www.philgeps.gov.ph/GEPSNONPILOT/Tender/SplashBidNoticeAbstractUI.aspx?menuIndex=3&amp;refID=7046420&amp;Result=3","7046420")</f>
        <v>0</v>
      </c>
      <c r="B12484" t="s">
        <v>221</v>
      </c>
      <c r="C12484" t="s">
        <v>15340</v>
      </c>
      <c r="E12484" t="s">
        <v>27493</v>
      </c>
      <c r="F12484" t="s">
        <v>28669</v>
      </c>
      <c r="G12484" t="s">
        <v>28675</v>
      </c>
      <c r="H12484" t="s">
        <v>9998</v>
      </c>
      <c r="I12484" t="s">
        <v>28699</v>
      </c>
      <c r="J12484" t="s">
        <v>36446</v>
      </c>
      <c r="K12484" t="s">
        <v>37209</v>
      </c>
      <c r="M12484" t="s">
        <v>37699</v>
      </c>
      <c r="N12484" t="s">
        <v>41249</v>
      </c>
      <c r="O12484" t="s">
        <v>41250</v>
      </c>
      <c r="P12484">
        <v>0</v>
      </c>
      <c r="Q12484">
        <v>3</v>
      </c>
      <c r="R12484" t="s">
        <v>41267</v>
      </c>
      <c r="S12484" t="s">
        <v>42077</v>
      </c>
      <c r="T12484" t="s">
        <v>42759</v>
      </c>
      <c r="U12484" t="s">
        <v>53194</v>
      </c>
      <c r="W12484" t="s">
        <v>37699</v>
      </c>
      <c r="X12484" t="s">
        <v>41268</v>
      </c>
    </row>
    <row r="12485" spans="1:24">
      <c r="A12485">
        <f>HYPERLINK("https://www.philgeps.gov.ph/GEPSNONPILOT/Tender/SplashBidNoticeAbstractUI.aspx?menuIndex=3&amp;refID=7045908&amp;Result=3","7045908")</f>
        <v>0</v>
      </c>
      <c r="B12485" t="s">
        <v>3234</v>
      </c>
      <c r="C12485" t="s">
        <v>15341</v>
      </c>
      <c r="D12485" t="s">
        <v>16684</v>
      </c>
      <c r="E12485" t="s">
        <v>27494</v>
      </c>
      <c r="F12485" t="s">
        <v>28669</v>
      </c>
      <c r="G12485" t="s">
        <v>28675</v>
      </c>
      <c r="H12485" t="s">
        <v>9998</v>
      </c>
      <c r="I12485" t="s">
        <v>28693</v>
      </c>
      <c r="J12485" t="s">
        <v>28836</v>
      </c>
      <c r="K12485" t="s">
        <v>37213</v>
      </c>
      <c r="M12485" t="s">
        <v>41049</v>
      </c>
      <c r="N12485" t="s">
        <v>41249</v>
      </c>
      <c r="O12485" t="s">
        <v>41250</v>
      </c>
      <c r="Q12485">
        <v>28</v>
      </c>
      <c r="R12485" t="s">
        <v>41267</v>
      </c>
      <c r="S12485" t="s">
        <v>41402</v>
      </c>
      <c r="T12485" t="s">
        <v>42954</v>
      </c>
      <c r="U12485" t="s">
        <v>53195</v>
      </c>
      <c r="V12485" t="s">
        <v>55744</v>
      </c>
      <c r="W12485" t="s">
        <v>41049</v>
      </c>
      <c r="X12485" t="s">
        <v>41268</v>
      </c>
    </row>
    <row r="12486" spans="1:24">
      <c r="A12486">
        <f>HYPERLINK("https://www.philgeps.gov.ph/GEPSNONPILOT/Tender/SplashBidNoticeAbstractUI.aspx?menuIndex=3&amp;refID=7045892&amp;Result=3","7045892")</f>
        <v>0</v>
      </c>
      <c r="B12486" t="s">
        <v>1990</v>
      </c>
      <c r="C12486" t="s">
        <v>15342</v>
      </c>
      <c r="D12486" t="s">
        <v>16643</v>
      </c>
      <c r="E12486" t="s">
        <v>27495</v>
      </c>
      <c r="F12486" t="s">
        <v>28669</v>
      </c>
      <c r="G12486" t="s">
        <v>28675</v>
      </c>
      <c r="H12486" t="s">
        <v>28686</v>
      </c>
      <c r="I12486" t="s">
        <v>28689</v>
      </c>
      <c r="J12486" t="s">
        <v>29053</v>
      </c>
      <c r="K12486" t="s">
        <v>37213</v>
      </c>
      <c r="M12486" t="s">
        <v>40978</v>
      </c>
      <c r="N12486" t="s">
        <v>41249</v>
      </c>
      <c r="O12486" t="s">
        <v>41250</v>
      </c>
      <c r="Q12486">
        <v>3</v>
      </c>
      <c r="R12486" t="s">
        <v>41267</v>
      </c>
      <c r="S12486" t="s">
        <v>42108</v>
      </c>
      <c r="T12486" t="s">
        <v>42697</v>
      </c>
      <c r="U12486" t="s">
        <v>53196</v>
      </c>
      <c r="V12486" t="s">
        <v>55755</v>
      </c>
      <c r="W12486" t="s">
        <v>40978</v>
      </c>
      <c r="X12486" t="s">
        <v>41268</v>
      </c>
    </row>
    <row r="12487" spans="1:24">
      <c r="A12487">
        <f>HYPERLINK("https://www.philgeps.gov.ph/GEPSNONPILOT/Tender/SplashBidNoticeAbstractUI.aspx?menuIndex=3&amp;refID=7046381&amp;Result=3","7046381")</f>
        <v>0</v>
      </c>
      <c r="B12487" t="s">
        <v>1877</v>
      </c>
      <c r="C12487" t="s">
        <v>15343</v>
      </c>
      <c r="E12487" t="s">
        <v>27496</v>
      </c>
      <c r="F12487" t="s">
        <v>28669</v>
      </c>
      <c r="G12487" t="s">
        <v>28675</v>
      </c>
      <c r="H12487" t="s">
        <v>28686</v>
      </c>
      <c r="I12487" t="s">
        <v>28689</v>
      </c>
      <c r="J12487" t="s">
        <v>36447</v>
      </c>
      <c r="K12487" t="s">
        <v>37220</v>
      </c>
      <c r="M12487" t="s">
        <v>39499</v>
      </c>
      <c r="N12487" t="s">
        <v>41249</v>
      </c>
      <c r="O12487" t="s">
        <v>41250</v>
      </c>
      <c r="P12487">
        <v>0</v>
      </c>
      <c r="Q12487">
        <v>3</v>
      </c>
      <c r="R12487" t="s">
        <v>41267</v>
      </c>
      <c r="S12487" t="s">
        <v>42077</v>
      </c>
      <c r="T12487" t="s">
        <v>42754</v>
      </c>
      <c r="U12487" t="s">
        <v>53173</v>
      </c>
      <c r="W12487" t="s">
        <v>39499</v>
      </c>
      <c r="X12487" t="s">
        <v>41268</v>
      </c>
    </row>
    <row r="12488" spans="1:24">
      <c r="A12488">
        <f>HYPERLINK("https://www.philgeps.gov.ph/GEPSNONPILOT/Tender/SplashBidNoticeAbstractUI.aspx?menuIndex=3&amp;refID=7046344&amp;Result=3","7046344")</f>
        <v>0</v>
      </c>
      <c r="B12488" t="s">
        <v>3248</v>
      </c>
      <c r="C12488" t="s">
        <v>15344</v>
      </c>
      <c r="D12488" t="s">
        <v>16627</v>
      </c>
      <c r="E12488" t="s">
        <v>27497</v>
      </c>
      <c r="F12488" t="s">
        <v>28669</v>
      </c>
      <c r="G12488" t="s">
        <v>28675</v>
      </c>
      <c r="H12488" t="s">
        <v>9998</v>
      </c>
      <c r="I12488" t="s">
        <v>7352</v>
      </c>
      <c r="J12488" t="s">
        <v>36448</v>
      </c>
      <c r="K12488" t="s">
        <v>37204</v>
      </c>
      <c r="M12488" t="s">
        <v>41067</v>
      </c>
      <c r="N12488" t="s">
        <v>41249</v>
      </c>
      <c r="O12488" t="s">
        <v>41250</v>
      </c>
      <c r="P12488">
        <v>0</v>
      </c>
      <c r="Q12488">
        <v>2</v>
      </c>
      <c r="R12488" t="s">
        <v>41267</v>
      </c>
      <c r="S12488" t="s">
        <v>42077</v>
      </c>
      <c r="T12488" t="s">
        <v>42966</v>
      </c>
      <c r="U12488" t="s">
        <v>53197</v>
      </c>
      <c r="W12488" t="s">
        <v>41067</v>
      </c>
      <c r="X12488" t="s">
        <v>41268</v>
      </c>
    </row>
    <row r="12489" spans="1:24">
      <c r="A12489">
        <f>HYPERLINK("https://www.philgeps.gov.ph/GEPSNONPILOT/Tender/SplashBidNoticeAbstractUI.aspx?menuIndex=3&amp;refID=7046487&amp;Result=3","7046487")</f>
        <v>0</v>
      </c>
      <c r="B12489" t="s">
        <v>1381</v>
      </c>
      <c r="C12489" t="s">
        <v>15345</v>
      </c>
      <c r="D12489" t="s">
        <v>16683</v>
      </c>
      <c r="E12489" t="s">
        <v>27498</v>
      </c>
      <c r="F12489" t="s">
        <v>28669</v>
      </c>
      <c r="G12489" t="s">
        <v>28682</v>
      </c>
      <c r="H12489" t="s">
        <v>28686</v>
      </c>
      <c r="I12489" t="s">
        <v>28689</v>
      </c>
      <c r="J12489" t="s">
        <v>36449</v>
      </c>
      <c r="K12489" t="s">
        <v>37213</v>
      </c>
      <c r="M12489" t="s">
        <v>38941</v>
      </c>
      <c r="N12489" t="s">
        <v>41249</v>
      </c>
      <c r="O12489" t="s">
        <v>41250</v>
      </c>
      <c r="P12489">
        <v>0</v>
      </c>
      <c r="Q12489">
        <v>0</v>
      </c>
      <c r="R12489" t="s">
        <v>41267</v>
      </c>
      <c r="S12489" t="s">
        <v>42077</v>
      </c>
      <c r="T12489" t="s">
        <v>42679</v>
      </c>
      <c r="U12489" t="s">
        <v>46175</v>
      </c>
      <c r="V12489" t="s">
        <v>55754</v>
      </c>
      <c r="W12489" t="s">
        <v>55951</v>
      </c>
      <c r="X12489" t="s">
        <v>41268</v>
      </c>
    </row>
    <row r="12490" spans="1:24">
      <c r="A12490">
        <f>HYPERLINK("https://www.philgeps.gov.ph/GEPSNONPILOT/Tender/SplashBidNoticeAbstractUI.aspx?menuIndex=3&amp;refID=7046224&amp;Result=3","7046224")</f>
        <v>0</v>
      </c>
      <c r="B12490" t="s">
        <v>3249</v>
      </c>
      <c r="C12490" t="s">
        <v>8401</v>
      </c>
      <c r="E12490" t="s">
        <v>27499</v>
      </c>
      <c r="F12490" t="s">
        <v>28669</v>
      </c>
      <c r="G12490" t="s">
        <v>28675</v>
      </c>
      <c r="H12490" t="s">
        <v>28686</v>
      </c>
      <c r="I12490" t="s">
        <v>28689</v>
      </c>
      <c r="J12490" t="s">
        <v>36450</v>
      </c>
      <c r="K12490" t="s">
        <v>37209</v>
      </c>
      <c r="M12490" t="s">
        <v>41068</v>
      </c>
      <c r="N12490" t="s">
        <v>41249</v>
      </c>
      <c r="O12490" t="s">
        <v>41250</v>
      </c>
      <c r="P12490">
        <v>0</v>
      </c>
      <c r="Q12490">
        <v>0</v>
      </c>
      <c r="R12490" t="s">
        <v>41267</v>
      </c>
      <c r="S12490" t="s">
        <v>42077</v>
      </c>
      <c r="T12490" t="s">
        <v>42673</v>
      </c>
      <c r="U12490" t="s">
        <v>53198</v>
      </c>
      <c r="W12490" t="s">
        <v>41068</v>
      </c>
      <c r="X12490" t="s">
        <v>41268</v>
      </c>
    </row>
    <row r="12491" spans="1:24">
      <c r="A12491">
        <f>HYPERLINK("https://www.philgeps.gov.ph/GEPSNONPILOT/Tender/SplashBidNoticeAbstractUI.aspx?menuIndex=3&amp;refID=7046218&amp;Result=3","7046218")</f>
        <v>0</v>
      </c>
      <c r="B12491" t="s">
        <v>909</v>
      </c>
      <c r="C12491" t="s">
        <v>15346</v>
      </c>
      <c r="D12491" t="s">
        <v>16662</v>
      </c>
      <c r="E12491" t="s">
        <v>27479</v>
      </c>
      <c r="F12491" t="s">
        <v>28669</v>
      </c>
      <c r="G12491" t="s">
        <v>28675</v>
      </c>
      <c r="H12491" t="s">
        <v>9998</v>
      </c>
      <c r="I12491" t="s">
        <v>28760</v>
      </c>
      <c r="J12491" t="s">
        <v>29151</v>
      </c>
      <c r="K12491" t="s">
        <v>37206</v>
      </c>
      <c r="M12491" t="s">
        <v>38431</v>
      </c>
      <c r="N12491" t="s">
        <v>41249</v>
      </c>
      <c r="O12491" t="s">
        <v>41250</v>
      </c>
      <c r="P12491">
        <v>0</v>
      </c>
      <c r="Q12491">
        <v>0</v>
      </c>
      <c r="R12491" t="s">
        <v>41267</v>
      </c>
      <c r="S12491" t="s">
        <v>42077</v>
      </c>
      <c r="T12491" t="s">
        <v>42679</v>
      </c>
      <c r="U12491" t="s">
        <v>53180</v>
      </c>
      <c r="W12491" t="s">
        <v>38431</v>
      </c>
      <c r="X12491" t="s">
        <v>41268</v>
      </c>
    </row>
    <row r="12492" spans="1:24">
      <c r="A12492">
        <f>HYPERLINK("https://www.philgeps.gov.ph/GEPSNONPILOT/Tender/SplashBidNoticeAbstractUI.aspx?menuIndex=3&amp;refID=7046211&amp;Result=3","7046211")</f>
        <v>0</v>
      </c>
      <c r="B12492" t="s">
        <v>3234</v>
      </c>
      <c r="C12492" t="s">
        <v>15347</v>
      </c>
      <c r="D12492" t="s">
        <v>16684</v>
      </c>
      <c r="E12492" t="s">
        <v>27500</v>
      </c>
      <c r="F12492" t="s">
        <v>28669</v>
      </c>
      <c r="G12492" t="s">
        <v>28675</v>
      </c>
      <c r="H12492" t="s">
        <v>9998</v>
      </c>
      <c r="I12492" t="s">
        <v>28693</v>
      </c>
      <c r="J12492" t="s">
        <v>29112</v>
      </c>
      <c r="K12492" t="s">
        <v>37220</v>
      </c>
      <c r="M12492" t="s">
        <v>41049</v>
      </c>
      <c r="N12492" t="s">
        <v>41249</v>
      </c>
      <c r="O12492" t="s">
        <v>41250</v>
      </c>
      <c r="Q12492">
        <v>10</v>
      </c>
      <c r="R12492" t="s">
        <v>41267</v>
      </c>
      <c r="S12492" t="s">
        <v>42109</v>
      </c>
      <c r="T12492" t="s">
        <v>42903</v>
      </c>
      <c r="U12492" t="s">
        <v>53199</v>
      </c>
      <c r="V12492" t="s">
        <v>55744</v>
      </c>
      <c r="W12492" t="s">
        <v>41049</v>
      </c>
      <c r="X12492" t="s">
        <v>41268</v>
      </c>
    </row>
    <row r="12493" spans="1:24">
      <c r="A12493">
        <f>HYPERLINK("https://www.philgeps.gov.ph/GEPSNONPILOT/Tender/SplashBidNoticeAbstractUI.aspx?menuIndex=3&amp;refID=7046199&amp;Result=3","7046199")</f>
        <v>0</v>
      </c>
      <c r="B12493" t="s">
        <v>658</v>
      </c>
      <c r="C12493" t="s">
        <v>15348</v>
      </c>
      <c r="D12493" t="s">
        <v>16622</v>
      </c>
      <c r="E12493" t="s">
        <v>27501</v>
      </c>
      <c r="F12493" t="s">
        <v>28669</v>
      </c>
      <c r="G12493" t="s">
        <v>28675</v>
      </c>
      <c r="H12493" t="s">
        <v>9998</v>
      </c>
      <c r="I12493" t="s">
        <v>28713</v>
      </c>
      <c r="J12493" t="s">
        <v>28847</v>
      </c>
      <c r="K12493" t="s">
        <v>37209</v>
      </c>
      <c r="M12493" t="s">
        <v>38159</v>
      </c>
      <c r="N12493" t="s">
        <v>41249</v>
      </c>
      <c r="O12493" t="s">
        <v>41250</v>
      </c>
      <c r="Q12493">
        <v>16</v>
      </c>
      <c r="R12493" t="s">
        <v>41267</v>
      </c>
      <c r="S12493" t="s">
        <v>41985</v>
      </c>
      <c r="T12493" t="s">
        <v>42711</v>
      </c>
      <c r="U12493" t="s">
        <v>53200</v>
      </c>
      <c r="W12493" t="s">
        <v>38159</v>
      </c>
      <c r="X12493" t="s">
        <v>41268</v>
      </c>
    </row>
    <row r="12494" spans="1:24">
      <c r="A12494">
        <f>HYPERLINK("https://www.philgeps.gov.ph/GEPSNONPILOT/Tender/SplashBidNoticeAbstractUI.aspx?menuIndex=3&amp;refID=7046192&amp;Result=3","7046192")</f>
        <v>0</v>
      </c>
      <c r="B12494" t="s">
        <v>909</v>
      </c>
      <c r="C12494" t="s">
        <v>15349</v>
      </c>
      <c r="D12494" t="s">
        <v>16662</v>
      </c>
      <c r="E12494" t="s">
        <v>27479</v>
      </c>
      <c r="F12494" t="s">
        <v>28669</v>
      </c>
      <c r="G12494" t="s">
        <v>28675</v>
      </c>
      <c r="H12494" t="s">
        <v>9998</v>
      </c>
      <c r="I12494" t="s">
        <v>6606</v>
      </c>
      <c r="J12494" t="s">
        <v>33310</v>
      </c>
      <c r="K12494" t="s">
        <v>37206</v>
      </c>
      <c r="M12494" t="s">
        <v>38431</v>
      </c>
      <c r="N12494" t="s">
        <v>41249</v>
      </c>
      <c r="O12494" t="s">
        <v>41250</v>
      </c>
      <c r="P12494">
        <v>0</v>
      </c>
      <c r="Q12494">
        <v>0</v>
      </c>
      <c r="R12494" t="s">
        <v>41267</v>
      </c>
      <c r="S12494" t="s">
        <v>42077</v>
      </c>
      <c r="T12494" t="s">
        <v>42679</v>
      </c>
      <c r="U12494" t="s">
        <v>53180</v>
      </c>
      <c r="W12494" t="s">
        <v>38431</v>
      </c>
      <c r="X12494" t="s">
        <v>41268</v>
      </c>
    </row>
    <row r="12495" spans="1:24">
      <c r="A12495">
        <f>HYPERLINK("https://www.philgeps.gov.ph/GEPSNONPILOT/Tender/SplashBidNoticeAbstractUI.aspx?menuIndex=3&amp;refID=7046124&amp;Result=3","7046124")</f>
        <v>0</v>
      </c>
      <c r="B12495" t="s">
        <v>3234</v>
      </c>
      <c r="C12495" t="s">
        <v>15350</v>
      </c>
      <c r="D12495" t="s">
        <v>16684</v>
      </c>
      <c r="E12495" t="s">
        <v>27502</v>
      </c>
      <c r="F12495" t="s">
        <v>28669</v>
      </c>
      <c r="G12495" t="s">
        <v>28675</v>
      </c>
      <c r="H12495" t="s">
        <v>9998</v>
      </c>
      <c r="I12495" t="s">
        <v>28693</v>
      </c>
      <c r="J12495" t="s">
        <v>29669</v>
      </c>
      <c r="K12495" t="s">
        <v>37213</v>
      </c>
      <c r="M12495" t="s">
        <v>41049</v>
      </c>
      <c r="N12495" t="s">
        <v>41249</v>
      </c>
      <c r="O12495" t="s">
        <v>41250</v>
      </c>
      <c r="Q12495">
        <v>6</v>
      </c>
      <c r="R12495" t="s">
        <v>41267</v>
      </c>
      <c r="S12495" t="s">
        <v>41529</v>
      </c>
      <c r="T12495" t="s">
        <v>42954</v>
      </c>
      <c r="U12495" t="s">
        <v>53201</v>
      </c>
      <c r="V12495" t="s">
        <v>55744</v>
      </c>
      <c r="W12495" t="s">
        <v>41049</v>
      </c>
      <c r="X12495" t="s">
        <v>41268</v>
      </c>
    </row>
    <row r="12496" spans="1:24">
      <c r="A12496">
        <f>HYPERLINK("https://www.philgeps.gov.ph/GEPSNONPILOT/Tender/SplashBidNoticeAbstractUI.aspx?menuIndex=3&amp;refID=7046109&amp;Result=3","7046109")</f>
        <v>0</v>
      </c>
      <c r="B12496" t="s">
        <v>34</v>
      </c>
      <c r="C12496" t="s">
        <v>15351</v>
      </c>
      <c r="D12496" t="s">
        <v>16617</v>
      </c>
      <c r="E12496" t="s">
        <v>27503</v>
      </c>
      <c r="F12496" t="s">
        <v>28669</v>
      </c>
      <c r="G12496" t="s">
        <v>28675</v>
      </c>
      <c r="H12496" t="s">
        <v>28686</v>
      </c>
      <c r="I12496" t="s">
        <v>28689</v>
      </c>
      <c r="J12496" t="s">
        <v>36451</v>
      </c>
      <c r="K12496" t="s">
        <v>37312</v>
      </c>
      <c r="M12496" t="s">
        <v>37509</v>
      </c>
      <c r="N12496" t="s">
        <v>41249</v>
      </c>
      <c r="O12496" t="s">
        <v>41250</v>
      </c>
      <c r="P12496">
        <v>0</v>
      </c>
      <c r="Q12496">
        <v>1</v>
      </c>
      <c r="R12496" t="s">
        <v>41267</v>
      </c>
      <c r="S12496" t="s">
        <v>42077</v>
      </c>
      <c r="T12496" t="s">
        <v>42759</v>
      </c>
      <c r="U12496" t="s">
        <v>53169</v>
      </c>
      <c r="W12496" t="s">
        <v>37509</v>
      </c>
      <c r="X12496" t="s">
        <v>41268</v>
      </c>
    </row>
    <row r="12497" spans="1:24">
      <c r="A12497">
        <f>HYPERLINK("https://www.philgeps.gov.ph/GEPSNONPILOT/Tender/SplashBidNoticeAbstractUI.aspx?menuIndex=3&amp;refID=7046084&amp;Result=3","7046084")</f>
        <v>0</v>
      </c>
      <c r="B12497" t="s">
        <v>3234</v>
      </c>
      <c r="C12497" t="s">
        <v>15352</v>
      </c>
      <c r="D12497" t="s">
        <v>16684</v>
      </c>
      <c r="E12497" t="s">
        <v>27504</v>
      </c>
      <c r="F12497" t="s">
        <v>28669</v>
      </c>
      <c r="G12497" t="s">
        <v>28675</v>
      </c>
      <c r="H12497" t="s">
        <v>9998</v>
      </c>
      <c r="I12497" t="s">
        <v>28693</v>
      </c>
      <c r="J12497" t="s">
        <v>28914</v>
      </c>
      <c r="K12497" t="s">
        <v>37213</v>
      </c>
      <c r="M12497" t="s">
        <v>41049</v>
      </c>
      <c r="N12497" t="s">
        <v>41249</v>
      </c>
      <c r="O12497" t="s">
        <v>41250</v>
      </c>
      <c r="Q12497">
        <v>8</v>
      </c>
      <c r="R12497" t="s">
        <v>41267</v>
      </c>
      <c r="S12497" t="s">
        <v>41530</v>
      </c>
      <c r="T12497" t="s">
        <v>42954</v>
      </c>
      <c r="U12497" t="s">
        <v>53202</v>
      </c>
      <c r="V12497" t="s">
        <v>55744</v>
      </c>
      <c r="W12497" t="s">
        <v>41049</v>
      </c>
      <c r="X12497" t="s">
        <v>41268</v>
      </c>
    </row>
    <row r="12498" spans="1:24">
      <c r="A12498">
        <f>HYPERLINK("https://www.philgeps.gov.ph/GEPSNONPILOT/Tender/SplashBidNoticeAbstractUI.aspx?menuIndex=3&amp;refID=7046523&amp;Result=3","7046523")</f>
        <v>0</v>
      </c>
      <c r="B12498" t="s">
        <v>1381</v>
      </c>
      <c r="C12498" t="s">
        <v>15353</v>
      </c>
      <c r="D12498" t="s">
        <v>16683</v>
      </c>
      <c r="E12498" t="s">
        <v>27505</v>
      </c>
      <c r="F12498" t="s">
        <v>28669</v>
      </c>
      <c r="G12498" t="s">
        <v>28682</v>
      </c>
      <c r="H12498" t="s">
        <v>28686</v>
      </c>
      <c r="I12498" t="s">
        <v>28689</v>
      </c>
      <c r="J12498" t="s">
        <v>36452</v>
      </c>
      <c r="K12498" t="s">
        <v>37213</v>
      </c>
      <c r="M12498" t="s">
        <v>38941</v>
      </c>
      <c r="N12498" t="s">
        <v>41249</v>
      </c>
      <c r="O12498" t="s">
        <v>41250</v>
      </c>
      <c r="P12498">
        <v>0</v>
      </c>
      <c r="Q12498">
        <v>0</v>
      </c>
      <c r="R12498" t="s">
        <v>41267</v>
      </c>
      <c r="S12498" t="s">
        <v>42077</v>
      </c>
      <c r="T12498" t="s">
        <v>42679</v>
      </c>
      <c r="U12498" t="s">
        <v>46175</v>
      </c>
      <c r="V12498" t="s">
        <v>55756</v>
      </c>
      <c r="W12498" t="s">
        <v>55951</v>
      </c>
      <c r="X12498" t="s">
        <v>41268</v>
      </c>
    </row>
    <row r="12499" spans="1:24">
      <c r="A12499">
        <f>HYPERLINK("https://www.philgeps.gov.ph/GEPSNONPILOT/Tender/SplashBidNoticeAbstractUI.aspx?menuIndex=3&amp;refID=7046619&amp;Result=3","7046619")</f>
        <v>0</v>
      </c>
      <c r="B12499" t="s">
        <v>2265</v>
      </c>
      <c r="C12499" t="s">
        <v>15354</v>
      </c>
      <c r="D12499" t="s">
        <v>16684</v>
      </c>
      <c r="E12499" t="s">
        <v>27506</v>
      </c>
      <c r="F12499" t="s">
        <v>28669</v>
      </c>
      <c r="G12499" t="s">
        <v>28675</v>
      </c>
      <c r="H12499" t="s">
        <v>28686</v>
      </c>
      <c r="I12499" t="s">
        <v>28689</v>
      </c>
      <c r="J12499" t="s">
        <v>36453</v>
      </c>
      <c r="K12499" t="s">
        <v>37209</v>
      </c>
      <c r="M12499" t="s">
        <v>40086</v>
      </c>
      <c r="N12499" t="s">
        <v>41249</v>
      </c>
      <c r="O12499" t="s">
        <v>41250</v>
      </c>
      <c r="P12499">
        <v>0</v>
      </c>
      <c r="Q12499">
        <v>2</v>
      </c>
      <c r="R12499" t="s">
        <v>41267</v>
      </c>
      <c r="S12499" t="s">
        <v>42077</v>
      </c>
      <c r="T12499" t="s">
        <v>42759</v>
      </c>
      <c r="U12499" t="s">
        <v>49579</v>
      </c>
      <c r="W12499" t="s">
        <v>40086</v>
      </c>
      <c r="X12499" t="s">
        <v>41268</v>
      </c>
    </row>
    <row r="12500" spans="1:24">
      <c r="A12500">
        <f>HYPERLINK("https://www.philgeps.gov.ph/GEPSNONPILOT/Tender/SplashBidNoticeAbstractUI.aspx?menuIndex=3&amp;refID=7046196&amp;Result=3","7046196")</f>
        <v>0</v>
      </c>
      <c r="B12500" t="s">
        <v>3162</v>
      </c>
      <c r="C12500" t="s">
        <v>15355</v>
      </c>
      <c r="D12500" t="s">
        <v>16627</v>
      </c>
      <c r="E12500" t="s">
        <v>27507</v>
      </c>
      <c r="F12500" t="s">
        <v>28669</v>
      </c>
      <c r="G12500" t="s">
        <v>28675</v>
      </c>
      <c r="H12500" t="s">
        <v>9998</v>
      </c>
      <c r="I12500" t="s">
        <v>28687</v>
      </c>
      <c r="J12500" t="s">
        <v>28847</v>
      </c>
      <c r="K12500" t="s">
        <v>37206</v>
      </c>
      <c r="M12500" t="s">
        <v>40956</v>
      </c>
      <c r="N12500" t="s">
        <v>41249</v>
      </c>
      <c r="O12500" t="s">
        <v>41250</v>
      </c>
      <c r="P12500">
        <v>0</v>
      </c>
      <c r="Q12500">
        <v>7</v>
      </c>
      <c r="R12500" t="s">
        <v>41267</v>
      </c>
      <c r="S12500" t="s">
        <v>42077</v>
      </c>
      <c r="T12500" t="s">
        <v>42686</v>
      </c>
      <c r="U12500" t="s">
        <v>52650</v>
      </c>
      <c r="W12500" t="s">
        <v>40956</v>
      </c>
      <c r="X12500" t="s">
        <v>41268</v>
      </c>
    </row>
    <row r="12501" spans="1:24">
      <c r="A12501">
        <f>HYPERLINK("https://www.philgeps.gov.ph/GEPSNONPILOT/Tender/SplashBidNoticeAbstractUI.aspx?menuIndex=3&amp;refID=7046629&amp;Result=3","7046629")</f>
        <v>0</v>
      </c>
      <c r="B12501" t="s">
        <v>2265</v>
      </c>
      <c r="C12501" t="s">
        <v>15356</v>
      </c>
      <c r="D12501" t="s">
        <v>16684</v>
      </c>
      <c r="E12501" t="s">
        <v>27508</v>
      </c>
      <c r="F12501" t="s">
        <v>28669</v>
      </c>
      <c r="G12501" t="s">
        <v>28675</v>
      </c>
      <c r="H12501" t="s">
        <v>28686</v>
      </c>
      <c r="I12501" t="s">
        <v>28689</v>
      </c>
      <c r="J12501" t="s">
        <v>36454</v>
      </c>
      <c r="K12501" t="s">
        <v>37209</v>
      </c>
      <c r="M12501" t="s">
        <v>40086</v>
      </c>
      <c r="N12501" t="s">
        <v>41249</v>
      </c>
      <c r="O12501" t="s">
        <v>41250</v>
      </c>
      <c r="P12501">
        <v>0</v>
      </c>
      <c r="Q12501">
        <v>1</v>
      </c>
      <c r="R12501" t="s">
        <v>41267</v>
      </c>
      <c r="S12501" t="s">
        <v>42077</v>
      </c>
      <c r="T12501" t="s">
        <v>42759</v>
      </c>
      <c r="U12501" t="s">
        <v>49579</v>
      </c>
      <c r="W12501" t="s">
        <v>40086</v>
      </c>
      <c r="X12501" t="s">
        <v>41268</v>
      </c>
    </row>
    <row r="12502" spans="1:24">
      <c r="A12502">
        <f>HYPERLINK("https://www.philgeps.gov.ph/GEPSNONPILOT/Tender/SplashBidNoticeAbstractUI.aspx?menuIndex=3&amp;refID=7046377&amp;Result=3","7046377")</f>
        <v>0</v>
      </c>
      <c r="B12502" t="s">
        <v>3248</v>
      </c>
      <c r="C12502" t="s">
        <v>15357</v>
      </c>
      <c r="D12502" t="s">
        <v>16627</v>
      </c>
      <c r="E12502" t="s">
        <v>27509</v>
      </c>
      <c r="F12502" t="s">
        <v>28669</v>
      </c>
      <c r="G12502" t="s">
        <v>28675</v>
      </c>
      <c r="H12502" t="s">
        <v>9998</v>
      </c>
      <c r="I12502" t="s">
        <v>28688</v>
      </c>
      <c r="J12502" t="s">
        <v>36455</v>
      </c>
      <c r="K12502" t="s">
        <v>37204</v>
      </c>
      <c r="M12502" t="s">
        <v>41067</v>
      </c>
      <c r="N12502" t="s">
        <v>41249</v>
      </c>
      <c r="O12502" t="s">
        <v>41250</v>
      </c>
      <c r="Q12502">
        <v>13</v>
      </c>
      <c r="R12502" t="s">
        <v>41267</v>
      </c>
      <c r="S12502" t="s">
        <v>42110</v>
      </c>
      <c r="T12502" t="s">
        <v>42966</v>
      </c>
      <c r="U12502" t="s">
        <v>53203</v>
      </c>
      <c r="W12502" t="s">
        <v>41067</v>
      </c>
      <c r="X12502" t="s">
        <v>41268</v>
      </c>
    </row>
    <row r="12503" spans="1:24">
      <c r="A12503">
        <f>HYPERLINK("https://www.philgeps.gov.ph/GEPSNONPILOT/Tender/SplashBidNoticeAbstractUI.aspx?menuIndex=3&amp;refID=7046126&amp;Result=3","7046126")</f>
        <v>0</v>
      </c>
      <c r="B12503" t="s">
        <v>909</v>
      </c>
      <c r="C12503" t="s">
        <v>15358</v>
      </c>
      <c r="D12503" t="s">
        <v>16662</v>
      </c>
      <c r="E12503" t="s">
        <v>27465</v>
      </c>
      <c r="F12503" t="s">
        <v>28669</v>
      </c>
      <c r="G12503" t="s">
        <v>28675</v>
      </c>
      <c r="H12503" t="s">
        <v>9998</v>
      </c>
      <c r="I12503" t="s">
        <v>6606</v>
      </c>
      <c r="J12503" t="s">
        <v>36456</v>
      </c>
      <c r="K12503" t="s">
        <v>37206</v>
      </c>
      <c r="M12503" t="s">
        <v>38431</v>
      </c>
      <c r="N12503" t="s">
        <v>41249</v>
      </c>
      <c r="O12503" t="s">
        <v>41250</v>
      </c>
      <c r="P12503">
        <v>0</v>
      </c>
      <c r="Q12503">
        <v>0</v>
      </c>
      <c r="R12503" t="s">
        <v>41267</v>
      </c>
      <c r="S12503" t="s">
        <v>42077</v>
      </c>
      <c r="T12503" t="s">
        <v>42679</v>
      </c>
      <c r="U12503" t="s">
        <v>53163</v>
      </c>
      <c r="W12503" t="s">
        <v>38431</v>
      </c>
      <c r="X12503" t="s">
        <v>41268</v>
      </c>
    </row>
    <row r="12504" spans="1:24">
      <c r="A12504">
        <f>HYPERLINK("https://www.philgeps.gov.ph/GEPSNONPILOT/Tender/SplashBidNoticeAbstractUI.aspx?menuIndex=3&amp;refID=7046395&amp;Result=3","7046395")</f>
        <v>0</v>
      </c>
      <c r="B12504" t="s">
        <v>1973</v>
      </c>
      <c r="C12504" t="s">
        <v>15359</v>
      </c>
      <c r="D12504" t="s">
        <v>16662</v>
      </c>
      <c r="E12504" t="s">
        <v>27510</v>
      </c>
      <c r="F12504" t="s">
        <v>28669</v>
      </c>
      <c r="G12504" t="s">
        <v>28675</v>
      </c>
      <c r="H12504" t="s">
        <v>9998</v>
      </c>
      <c r="I12504" t="s">
        <v>28713</v>
      </c>
      <c r="J12504" t="s">
        <v>30274</v>
      </c>
      <c r="K12504" t="s">
        <v>37206</v>
      </c>
      <c r="M12504" t="s">
        <v>39607</v>
      </c>
      <c r="N12504" t="s">
        <v>41249</v>
      </c>
      <c r="O12504" t="s">
        <v>41250</v>
      </c>
      <c r="P12504">
        <v>0</v>
      </c>
      <c r="Q12504">
        <v>3</v>
      </c>
      <c r="R12504" t="s">
        <v>41267</v>
      </c>
      <c r="S12504" t="s">
        <v>42077</v>
      </c>
      <c r="T12504" t="s">
        <v>42703</v>
      </c>
      <c r="U12504" t="s">
        <v>53204</v>
      </c>
      <c r="W12504" t="s">
        <v>39607</v>
      </c>
      <c r="X12504" t="s">
        <v>41268</v>
      </c>
    </row>
    <row r="12505" spans="1:24">
      <c r="A12505">
        <f>HYPERLINK("https://www.philgeps.gov.ph/GEPSNONPILOT/Tender/SplashBidNoticeAbstractUI.aspx?menuIndex=3&amp;refID=7046626&amp;Result=3","7046626")</f>
        <v>0</v>
      </c>
      <c r="B12505" t="s">
        <v>1831</v>
      </c>
      <c r="C12505" t="s">
        <v>15360</v>
      </c>
      <c r="D12505" t="s">
        <v>16671</v>
      </c>
      <c r="E12505" t="s">
        <v>27511</v>
      </c>
      <c r="F12505" t="s">
        <v>28669</v>
      </c>
      <c r="G12505" t="s">
        <v>28675</v>
      </c>
      <c r="H12505" t="s">
        <v>28686</v>
      </c>
      <c r="I12505" t="s">
        <v>28689</v>
      </c>
      <c r="J12505" t="s">
        <v>29968</v>
      </c>
      <c r="K12505" t="s">
        <v>37211</v>
      </c>
      <c r="M12505" t="s">
        <v>39444</v>
      </c>
      <c r="N12505" t="s">
        <v>41249</v>
      </c>
      <c r="O12505" t="s">
        <v>41250</v>
      </c>
      <c r="Q12505">
        <v>4</v>
      </c>
      <c r="R12505" t="s">
        <v>41267</v>
      </c>
      <c r="S12505" t="s">
        <v>42111</v>
      </c>
      <c r="T12505" t="s">
        <v>42673</v>
      </c>
      <c r="U12505" t="s">
        <v>53205</v>
      </c>
      <c r="W12505" t="s">
        <v>39444</v>
      </c>
      <c r="X12505" t="s">
        <v>41268</v>
      </c>
    </row>
    <row r="12506" spans="1:24">
      <c r="A12506">
        <f>HYPERLINK("https://www.philgeps.gov.ph/GEPSNONPILOT/Tender/SplashBidNoticeAbstractUI.aspx?menuIndex=3&amp;refID=7046615&amp;Result=3","7046615")</f>
        <v>0</v>
      </c>
      <c r="B12506" t="s">
        <v>3250</v>
      </c>
      <c r="C12506" t="s">
        <v>15361</v>
      </c>
      <c r="D12506" t="s">
        <v>16681</v>
      </c>
      <c r="E12506" t="s">
        <v>27512</v>
      </c>
      <c r="F12506" t="s">
        <v>28669</v>
      </c>
      <c r="G12506" t="s">
        <v>28675</v>
      </c>
      <c r="H12506" t="s">
        <v>28686</v>
      </c>
      <c r="I12506" t="s">
        <v>28689</v>
      </c>
      <c r="J12506" t="s">
        <v>36457</v>
      </c>
      <c r="K12506" t="s">
        <v>37479</v>
      </c>
      <c r="M12506" t="s">
        <v>41069</v>
      </c>
      <c r="N12506" t="s">
        <v>41249</v>
      </c>
      <c r="O12506" t="s">
        <v>41250</v>
      </c>
      <c r="P12506">
        <v>0</v>
      </c>
      <c r="Q12506">
        <v>0</v>
      </c>
      <c r="R12506" t="s">
        <v>41267</v>
      </c>
      <c r="S12506" t="s">
        <v>42077</v>
      </c>
      <c r="T12506" t="s">
        <v>42670</v>
      </c>
      <c r="U12506" t="s">
        <v>53206</v>
      </c>
      <c r="W12506" t="s">
        <v>41069</v>
      </c>
      <c r="X12506" t="s">
        <v>41268</v>
      </c>
    </row>
    <row r="12507" spans="1:24">
      <c r="A12507">
        <f>HYPERLINK("https://www.philgeps.gov.ph/GEPSNONPILOT/Tender/SplashBidNoticeAbstractUI.aspx?menuIndex=3&amp;refID=7046608&amp;Result=3","7046608")</f>
        <v>0</v>
      </c>
      <c r="B12507" t="s">
        <v>2469</v>
      </c>
      <c r="C12507" t="s">
        <v>15362</v>
      </c>
      <c r="D12507" t="s">
        <v>16655</v>
      </c>
      <c r="E12507" t="s">
        <v>27513</v>
      </c>
      <c r="F12507" t="s">
        <v>28669</v>
      </c>
      <c r="G12507" t="s">
        <v>28675</v>
      </c>
      <c r="H12507" t="s">
        <v>28686</v>
      </c>
      <c r="I12507" t="s">
        <v>28689</v>
      </c>
      <c r="J12507" t="s">
        <v>36458</v>
      </c>
      <c r="K12507" t="s">
        <v>37447</v>
      </c>
      <c r="L12507" t="s">
        <v>2469</v>
      </c>
      <c r="M12507" t="s">
        <v>40152</v>
      </c>
      <c r="N12507" t="s">
        <v>41249</v>
      </c>
      <c r="O12507" t="s">
        <v>41250</v>
      </c>
      <c r="P12507">
        <v>0</v>
      </c>
      <c r="Q12507">
        <v>0</v>
      </c>
      <c r="R12507" t="s">
        <v>41267</v>
      </c>
      <c r="S12507" t="s">
        <v>42077</v>
      </c>
      <c r="T12507" t="s">
        <v>42673</v>
      </c>
      <c r="U12507" t="s">
        <v>53207</v>
      </c>
      <c r="V12507" t="s">
        <v>55757</v>
      </c>
      <c r="W12507" t="s">
        <v>40152</v>
      </c>
      <c r="X12507" t="s">
        <v>41268</v>
      </c>
    </row>
    <row r="12508" spans="1:24">
      <c r="A12508">
        <f>HYPERLINK("https://www.philgeps.gov.ph/GEPSNONPILOT/Tender/SplashBidNoticeAbstractUI.aspx?menuIndex=3&amp;refID=7046384&amp;Result=3","7046384")</f>
        <v>0</v>
      </c>
      <c r="B12508" t="s">
        <v>3251</v>
      </c>
      <c r="C12508" t="s">
        <v>15363</v>
      </c>
      <c r="D12508" t="s">
        <v>16686</v>
      </c>
      <c r="E12508" t="s">
        <v>27514</v>
      </c>
      <c r="F12508" t="s">
        <v>28669</v>
      </c>
      <c r="G12508" t="s">
        <v>28675</v>
      </c>
      <c r="H12508" t="s">
        <v>28686</v>
      </c>
      <c r="I12508" t="s">
        <v>28691</v>
      </c>
      <c r="J12508" t="s">
        <v>29059</v>
      </c>
      <c r="K12508" t="s">
        <v>37221</v>
      </c>
      <c r="M12508" t="s">
        <v>41070</v>
      </c>
      <c r="N12508" t="s">
        <v>41249</v>
      </c>
      <c r="O12508" t="s">
        <v>41250</v>
      </c>
      <c r="P12508">
        <v>0</v>
      </c>
      <c r="Q12508">
        <v>6</v>
      </c>
      <c r="R12508" t="s">
        <v>41267</v>
      </c>
      <c r="S12508" t="s">
        <v>42077</v>
      </c>
      <c r="T12508" t="s">
        <v>43023</v>
      </c>
      <c r="U12508" t="s">
        <v>53208</v>
      </c>
      <c r="W12508" t="s">
        <v>41070</v>
      </c>
      <c r="X12508" t="s">
        <v>41268</v>
      </c>
    </row>
    <row r="12509" spans="1:24">
      <c r="A12509">
        <f>HYPERLINK("https://www.philgeps.gov.ph/GEPSNONPILOT/Tender/SplashBidNoticeAbstractUI.aspx?menuIndex=3&amp;refID=7046624&amp;Result=3","7046624")</f>
        <v>0</v>
      </c>
      <c r="B12509" t="s">
        <v>84</v>
      </c>
      <c r="C12509" t="s">
        <v>15364</v>
      </c>
      <c r="D12509" t="s">
        <v>16651</v>
      </c>
      <c r="E12509" t="s">
        <v>27515</v>
      </c>
      <c r="F12509" t="s">
        <v>28669</v>
      </c>
      <c r="G12509" t="s">
        <v>28675</v>
      </c>
      <c r="H12509" t="s">
        <v>9998</v>
      </c>
      <c r="I12509" t="s">
        <v>28733</v>
      </c>
      <c r="J12509" t="s">
        <v>36459</v>
      </c>
      <c r="K12509" t="s">
        <v>37209</v>
      </c>
      <c r="M12509" t="s">
        <v>37559</v>
      </c>
      <c r="N12509" t="s">
        <v>41249</v>
      </c>
      <c r="O12509" t="s">
        <v>41250</v>
      </c>
      <c r="Q12509">
        <v>7</v>
      </c>
      <c r="R12509" t="s">
        <v>41267</v>
      </c>
      <c r="S12509" t="s">
        <v>42112</v>
      </c>
      <c r="T12509" t="s">
        <v>42711</v>
      </c>
      <c r="U12509" t="s">
        <v>53209</v>
      </c>
      <c r="W12509" t="s">
        <v>37559</v>
      </c>
      <c r="X12509" t="s">
        <v>41268</v>
      </c>
    </row>
    <row r="12510" spans="1:24">
      <c r="A12510">
        <f>HYPERLINK("https://www.philgeps.gov.ph/GEPSNONPILOT/Tender/SplashBidNoticeAbstractUI.aspx?menuIndex=3&amp;refID=7046607&amp;Result=3","7046607")</f>
        <v>0</v>
      </c>
      <c r="B12510" t="s">
        <v>2881</v>
      </c>
      <c r="C12510" t="s">
        <v>15365</v>
      </c>
      <c r="D12510" t="s">
        <v>16615</v>
      </c>
      <c r="E12510" t="s">
        <v>27516</v>
      </c>
      <c r="F12510" t="s">
        <v>28669</v>
      </c>
      <c r="G12510" t="s">
        <v>28681</v>
      </c>
      <c r="H12510" t="s">
        <v>28685</v>
      </c>
      <c r="I12510" t="s">
        <v>28685</v>
      </c>
      <c r="J12510" t="s">
        <v>36460</v>
      </c>
      <c r="K12510" t="s">
        <v>37212</v>
      </c>
      <c r="M12510" t="s">
        <v>40628</v>
      </c>
      <c r="N12510" t="s">
        <v>41249</v>
      </c>
      <c r="O12510" t="s">
        <v>41250</v>
      </c>
      <c r="Q12510">
        <v>4</v>
      </c>
      <c r="R12510" t="s">
        <v>41267</v>
      </c>
      <c r="S12510" t="s">
        <v>42113</v>
      </c>
      <c r="T12510" t="s">
        <v>43152</v>
      </c>
      <c r="U12510" t="s">
        <v>53210</v>
      </c>
      <c r="W12510" t="s">
        <v>40628</v>
      </c>
      <c r="X12510" t="s">
        <v>41268</v>
      </c>
    </row>
    <row r="12511" spans="1:24">
      <c r="A12511">
        <f>HYPERLINK("https://www.philgeps.gov.ph/GEPSNONPILOT/Tender/SplashBidNoticeAbstractUI.aspx?menuIndex=3&amp;refID=7046567&amp;Result=3","7046567")</f>
        <v>0</v>
      </c>
      <c r="B12511" t="s">
        <v>1877</v>
      </c>
      <c r="C12511" t="s">
        <v>15366</v>
      </c>
      <c r="E12511" t="s">
        <v>27517</v>
      </c>
      <c r="F12511" t="s">
        <v>28669</v>
      </c>
      <c r="G12511" t="s">
        <v>28675</v>
      </c>
      <c r="H12511" t="s">
        <v>9998</v>
      </c>
      <c r="I12511" t="s">
        <v>28733</v>
      </c>
      <c r="J12511" t="s">
        <v>35962</v>
      </c>
      <c r="K12511" t="s">
        <v>37207</v>
      </c>
      <c r="M12511" t="s">
        <v>39499</v>
      </c>
      <c r="N12511" t="s">
        <v>41249</v>
      </c>
      <c r="O12511" t="s">
        <v>41250</v>
      </c>
      <c r="P12511">
        <v>0</v>
      </c>
      <c r="Q12511">
        <v>12</v>
      </c>
      <c r="R12511" t="s">
        <v>41267</v>
      </c>
      <c r="S12511" t="s">
        <v>42077</v>
      </c>
      <c r="T12511" t="s">
        <v>42754</v>
      </c>
      <c r="U12511" t="s">
        <v>53211</v>
      </c>
      <c r="W12511" t="s">
        <v>39499</v>
      </c>
      <c r="X12511" t="s">
        <v>41268</v>
      </c>
    </row>
    <row r="12512" spans="1:24">
      <c r="A12512">
        <f>HYPERLINK("https://www.philgeps.gov.ph/GEPSNONPILOT/Tender/SplashBidNoticeAbstractUI.aspx?menuIndex=3&amp;refID=7046601&amp;Result=3","7046601")</f>
        <v>0</v>
      </c>
      <c r="B12512" t="s">
        <v>1673</v>
      </c>
      <c r="C12512" t="s">
        <v>15367</v>
      </c>
      <c r="D12512" t="s">
        <v>16616</v>
      </c>
      <c r="E12512" t="s">
        <v>27518</v>
      </c>
      <c r="F12512" t="s">
        <v>28669</v>
      </c>
      <c r="G12512" t="s">
        <v>28675</v>
      </c>
      <c r="H12512" t="s">
        <v>9998</v>
      </c>
      <c r="I12512" t="s">
        <v>28714</v>
      </c>
      <c r="J12512" t="s">
        <v>36461</v>
      </c>
      <c r="K12512" t="s">
        <v>37209</v>
      </c>
      <c r="M12512" t="s">
        <v>39266</v>
      </c>
      <c r="N12512" t="s">
        <v>41249</v>
      </c>
      <c r="O12512" t="s">
        <v>41250</v>
      </c>
      <c r="Q12512">
        <v>72</v>
      </c>
      <c r="R12512" t="s">
        <v>41267</v>
      </c>
      <c r="S12512" t="s">
        <v>42114</v>
      </c>
      <c r="T12512" t="s">
        <v>42673</v>
      </c>
      <c r="U12512" t="s">
        <v>53212</v>
      </c>
      <c r="W12512" t="s">
        <v>39266</v>
      </c>
      <c r="X12512" t="s">
        <v>41268</v>
      </c>
    </row>
    <row r="12513" spans="1:24">
      <c r="A12513">
        <f>HYPERLINK("https://www.philgeps.gov.ph/GEPSNONPILOT/Tender/SplashBidNoticeAbstractUI.aspx?menuIndex=3&amp;refID=7046552&amp;Result=3","7046552")</f>
        <v>0</v>
      </c>
      <c r="B12513" t="s">
        <v>2469</v>
      </c>
      <c r="C12513" t="s">
        <v>15368</v>
      </c>
      <c r="D12513" t="s">
        <v>16655</v>
      </c>
      <c r="E12513" t="s">
        <v>27519</v>
      </c>
      <c r="F12513" t="s">
        <v>28669</v>
      </c>
      <c r="G12513" t="s">
        <v>28675</v>
      </c>
      <c r="H12513" t="s">
        <v>28686</v>
      </c>
      <c r="I12513" t="s">
        <v>28689</v>
      </c>
      <c r="J12513" t="s">
        <v>36462</v>
      </c>
      <c r="K12513" t="s">
        <v>37422</v>
      </c>
      <c r="L12513" t="s">
        <v>2469</v>
      </c>
      <c r="M12513" t="s">
        <v>40152</v>
      </c>
      <c r="N12513" t="s">
        <v>41249</v>
      </c>
      <c r="O12513" t="s">
        <v>41250</v>
      </c>
      <c r="P12513">
        <v>0</v>
      </c>
      <c r="Q12513">
        <v>0</v>
      </c>
      <c r="R12513" t="s">
        <v>41267</v>
      </c>
      <c r="S12513" t="s">
        <v>42077</v>
      </c>
      <c r="T12513" t="s">
        <v>42673</v>
      </c>
      <c r="U12513" t="s">
        <v>53213</v>
      </c>
      <c r="V12513" t="s">
        <v>55758</v>
      </c>
      <c r="W12513" t="s">
        <v>40152</v>
      </c>
      <c r="X12513" t="s">
        <v>41268</v>
      </c>
    </row>
    <row r="12514" spans="1:24">
      <c r="A12514">
        <f>HYPERLINK("https://www.philgeps.gov.ph/GEPSNONPILOT/Tender/SplashBidNoticeAbstractUI.aspx?menuIndex=3&amp;refID=7046581&amp;Result=3","7046581")</f>
        <v>0</v>
      </c>
      <c r="B12514" t="s">
        <v>2469</v>
      </c>
      <c r="C12514" t="s">
        <v>15369</v>
      </c>
      <c r="D12514" t="s">
        <v>16655</v>
      </c>
      <c r="E12514" t="s">
        <v>27520</v>
      </c>
      <c r="F12514" t="s">
        <v>28669</v>
      </c>
      <c r="G12514" t="s">
        <v>28675</v>
      </c>
      <c r="H12514" t="s">
        <v>28686</v>
      </c>
      <c r="I12514" t="s">
        <v>28689</v>
      </c>
      <c r="J12514" t="s">
        <v>36463</v>
      </c>
      <c r="K12514" t="s">
        <v>37271</v>
      </c>
      <c r="L12514" t="s">
        <v>2469</v>
      </c>
      <c r="M12514" t="s">
        <v>40152</v>
      </c>
      <c r="N12514" t="s">
        <v>41249</v>
      </c>
      <c r="O12514" t="s">
        <v>41250</v>
      </c>
      <c r="P12514">
        <v>0</v>
      </c>
      <c r="Q12514">
        <v>0</v>
      </c>
      <c r="R12514" t="s">
        <v>41267</v>
      </c>
      <c r="S12514" t="s">
        <v>42077</v>
      </c>
      <c r="T12514" t="s">
        <v>42673</v>
      </c>
      <c r="U12514" t="s">
        <v>53214</v>
      </c>
      <c r="V12514" t="s">
        <v>55759</v>
      </c>
      <c r="W12514" t="s">
        <v>40152</v>
      </c>
      <c r="X12514" t="s">
        <v>41268</v>
      </c>
    </row>
    <row r="12515" spans="1:24">
      <c r="A12515">
        <f>HYPERLINK("https://www.philgeps.gov.ph/GEPSNONPILOT/Tender/SplashBidNoticeAbstractUI.aspx?menuIndex=3&amp;refID=7046539&amp;Result=3","7046539")</f>
        <v>0</v>
      </c>
      <c r="B12515" t="s">
        <v>3198</v>
      </c>
      <c r="C12515" t="s">
        <v>15370</v>
      </c>
      <c r="D12515" t="s">
        <v>16637</v>
      </c>
      <c r="E12515" t="s">
        <v>27521</v>
      </c>
      <c r="F12515" t="s">
        <v>28669</v>
      </c>
      <c r="G12515" t="s">
        <v>28675</v>
      </c>
      <c r="H12515" t="s">
        <v>28686</v>
      </c>
      <c r="I12515" t="s">
        <v>28689</v>
      </c>
      <c r="J12515" t="s">
        <v>28836</v>
      </c>
      <c r="K12515" t="s">
        <v>37212</v>
      </c>
      <c r="M12515" t="s">
        <v>41004</v>
      </c>
      <c r="N12515" t="s">
        <v>41249</v>
      </c>
      <c r="O12515" t="s">
        <v>41250</v>
      </c>
      <c r="P12515">
        <v>0</v>
      </c>
      <c r="Q12515">
        <v>3</v>
      </c>
      <c r="R12515" t="s">
        <v>41267</v>
      </c>
      <c r="S12515" t="s">
        <v>42077</v>
      </c>
      <c r="T12515" t="s">
        <v>42706</v>
      </c>
      <c r="U12515" t="s">
        <v>53215</v>
      </c>
      <c r="W12515" t="s">
        <v>41004</v>
      </c>
      <c r="X12515" t="s">
        <v>41268</v>
      </c>
    </row>
    <row r="12516" spans="1:24">
      <c r="A12516">
        <f>HYPERLINK("https://www.philgeps.gov.ph/GEPSNONPILOT/Tender/SplashBidNoticeAbstractUI.aspx?menuIndex=3&amp;refID=7046534&amp;Result=3","7046534")</f>
        <v>0</v>
      </c>
      <c r="B12516" t="s">
        <v>1877</v>
      </c>
      <c r="C12516" t="s">
        <v>15371</v>
      </c>
      <c r="E12516" t="s">
        <v>27522</v>
      </c>
      <c r="F12516" t="s">
        <v>28669</v>
      </c>
      <c r="G12516" t="s">
        <v>28675</v>
      </c>
      <c r="H12516" t="s">
        <v>28686</v>
      </c>
      <c r="I12516" t="s">
        <v>28689</v>
      </c>
      <c r="J12516" t="s">
        <v>36464</v>
      </c>
      <c r="K12516" t="s">
        <v>37424</v>
      </c>
      <c r="M12516" t="s">
        <v>39499</v>
      </c>
      <c r="N12516" t="s">
        <v>41249</v>
      </c>
      <c r="O12516" t="s">
        <v>41250</v>
      </c>
      <c r="P12516">
        <v>0</v>
      </c>
      <c r="Q12516">
        <v>2</v>
      </c>
      <c r="R12516" t="s">
        <v>41267</v>
      </c>
      <c r="S12516" t="s">
        <v>42077</v>
      </c>
      <c r="T12516" t="s">
        <v>42754</v>
      </c>
      <c r="U12516" t="s">
        <v>53216</v>
      </c>
      <c r="W12516" t="s">
        <v>39499</v>
      </c>
      <c r="X12516" t="s">
        <v>41268</v>
      </c>
    </row>
    <row r="12517" spans="1:24">
      <c r="A12517">
        <f>HYPERLINK("https://www.philgeps.gov.ph/GEPSNONPILOT/Tender/SplashBidNoticeAbstractUI.aspx?menuIndex=3&amp;refID=7046579&amp;Result=3","7046579")</f>
        <v>0</v>
      </c>
      <c r="B12517" t="s">
        <v>909</v>
      </c>
      <c r="C12517" t="s">
        <v>15372</v>
      </c>
      <c r="D12517" t="s">
        <v>16662</v>
      </c>
      <c r="E12517" t="s">
        <v>27523</v>
      </c>
      <c r="F12517" t="s">
        <v>28669</v>
      </c>
      <c r="G12517" t="s">
        <v>28675</v>
      </c>
      <c r="H12517" t="s">
        <v>9998</v>
      </c>
      <c r="I12517" t="s">
        <v>28695</v>
      </c>
      <c r="J12517" t="s">
        <v>36465</v>
      </c>
      <c r="K12517" t="s">
        <v>37206</v>
      </c>
      <c r="M12517" t="s">
        <v>38431</v>
      </c>
      <c r="N12517" t="s">
        <v>41249</v>
      </c>
      <c r="O12517" t="s">
        <v>41250</v>
      </c>
      <c r="P12517">
        <v>0</v>
      </c>
      <c r="Q12517">
        <v>0</v>
      </c>
      <c r="R12517" t="s">
        <v>41267</v>
      </c>
      <c r="S12517" t="s">
        <v>42077</v>
      </c>
      <c r="T12517" t="s">
        <v>42679</v>
      </c>
      <c r="U12517" t="s">
        <v>53217</v>
      </c>
      <c r="W12517" t="s">
        <v>38431</v>
      </c>
      <c r="X12517" t="s">
        <v>41268</v>
      </c>
    </row>
    <row r="12518" spans="1:24">
      <c r="A12518">
        <f>HYPERLINK("https://www.philgeps.gov.ph/GEPSNONPILOT/Tender/SplashBidNoticeAbstractUI.aspx?menuIndex=3&amp;refID=7046695&amp;Result=3","7046695")</f>
        <v>0</v>
      </c>
      <c r="B12518" t="s">
        <v>1633</v>
      </c>
      <c r="C12518" t="s">
        <v>15373</v>
      </c>
      <c r="D12518" t="s">
        <v>16693</v>
      </c>
      <c r="E12518" t="s">
        <v>27524</v>
      </c>
      <c r="F12518" t="s">
        <v>28669</v>
      </c>
      <c r="G12518" t="s">
        <v>28675</v>
      </c>
      <c r="H12518" t="s">
        <v>9998</v>
      </c>
      <c r="I12518" t="s">
        <v>28731</v>
      </c>
      <c r="J12518" t="s">
        <v>36466</v>
      </c>
      <c r="K12518" t="s">
        <v>37220</v>
      </c>
      <c r="M12518" t="s">
        <v>39222</v>
      </c>
      <c r="N12518" t="s">
        <v>41249</v>
      </c>
      <c r="O12518" t="s">
        <v>41250</v>
      </c>
      <c r="Q12518">
        <v>29</v>
      </c>
      <c r="R12518" t="s">
        <v>41267</v>
      </c>
      <c r="S12518" t="s">
        <v>42115</v>
      </c>
      <c r="T12518" t="s">
        <v>42838</v>
      </c>
      <c r="U12518" t="s">
        <v>53218</v>
      </c>
      <c r="V12518" t="s">
        <v>55760</v>
      </c>
      <c r="W12518" t="s">
        <v>39222</v>
      </c>
      <c r="X12518" t="s">
        <v>41268</v>
      </c>
    </row>
    <row r="12519" spans="1:24">
      <c r="A12519">
        <f>HYPERLINK("https://www.philgeps.gov.ph/GEPSNONPILOT/Tender/SplashBidNoticeAbstractUI.aspx?menuIndex=3&amp;refID=7046718&amp;Result=3","7046718")</f>
        <v>0</v>
      </c>
      <c r="B12519" t="s">
        <v>1477</v>
      </c>
      <c r="C12519" t="s">
        <v>15374</v>
      </c>
      <c r="D12519" t="s">
        <v>16665</v>
      </c>
      <c r="E12519" t="s">
        <v>17083</v>
      </c>
      <c r="F12519" t="s">
        <v>28671</v>
      </c>
      <c r="G12519" t="s">
        <v>28675</v>
      </c>
      <c r="H12519" t="s">
        <v>9998</v>
      </c>
      <c r="I12519" t="s">
        <v>28695</v>
      </c>
      <c r="J12519" t="s">
        <v>36467</v>
      </c>
      <c r="K12519" t="s">
        <v>37206</v>
      </c>
      <c r="M12519" t="s">
        <v>39045</v>
      </c>
      <c r="N12519" t="s">
        <v>41249</v>
      </c>
      <c r="O12519" t="s">
        <v>41250</v>
      </c>
      <c r="P12519">
        <v>0</v>
      </c>
      <c r="Q12519">
        <v>1</v>
      </c>
      <c r="R12519" t="s">
        <v>41267</v>
      </c>
      <c r="S12519" t="s">
        <v>42077</v>
      </c>
      <c r="T12519" t="s">
        <v>42694</v>
      </c>
      <c r="U12519" t="s">
        <v>53219</v>
      </c>
      <c r="W12519" t="s">
        <v>39045</v>
      </c>
      <c r="X12519" t="s">
        <v>41268</v>
      </c>
    </row>
    <row r="12520" spans="1:24">
      <c r="A12520">
        <f>HYPERLINK("https://www.philgeps.gov.ph/GEPSNONPILOT/Tender/SplashBidNoticeAbstractUI.aspx?menuIndex=3&amp;refID=7046707&amp;Result=3","7046707")</f>
        <v>0</v>
      </c>
      <c r="B12520" t="s">
        <v>3252</v>
      </c>
      <c r="C12520" t="s">
        <v>15375</v>
      </c>
      <c r="D12520" t="s">
        <v>16608</v>
      </c>
      <c r="E12520" t="s">
        <v>27525</v>
      </c>
      <c r="F12520" t="s">
        <v>28669</v>
      </c>
      <c r="G12520" t="s">
        <v>28675</v>
      </c>
      <c r="H12520" t="s">
        <v>28686</v>
      </c>
      <c r="I12520" t="s">
        <v>28689</v>
      </c>
      <c r="J12520" t="s">
        <v>36468</v>
      </c>
      <c r="K12520" t="s">
        <v>37213</v>
      </c>
      <c r="M12520" t="s">
        <v>41071</v>
      </c>
      <c r="N12520" t="s">
        <v>41249</v>
      </c>
      <c r="O12520" t="s">
        <v>41250</v>
      </c>
      <c r="P12520">
        <v>0</v>
      </c>
      <c r="Q12520">
        <v>9</v>
      </c>
      <c r="R12520" t="s">
        <v>41267</v>
      </c>
      <c r="S12520" t="s">
        <v>42077</v>
      </c>
      <c r="T12520" t="s">
        <v>42836</v>
      </c>
      <c r="U12520" t="s">
        <v>53220</v>
      </c>
      <c r="W12520" t="s">
        <v>41071</v>
      </c>
      <c r="X12520" t="s">
        <v>41268</v>
      </c>
    </row>
    <row r="12521" spans="1:24">
      <c r="A12521">
        <f>HYPERLINK("https://www.philgeps.gov.ph/GEPSNONPILOT/Tender/SplashBidNoticeAbstractUI.aspx?menuIndex=3&amp;refID=7046690&amp;Result=3","7046690")</f>
        <v>0</v>
      </c>
      <c r="B12521" t="s">
        <v>3246</v>
      </c>
      <c r="C12521" t="s">
        <v>15376</v>
      </c>
      <c r="D12521" t="s">
        <v>16668</v>
      </c>
      <c r="E12521" t="s">
        <v>16855</v>
      </c>
      <c r="F12521" t="s">
        <v>28669</v>
      </c>
      <c r="G12521" t="s">
        <v>28675</v>
      </c>
      <c r="H12521" t="s">
        <v>9998</v>
      </c>
      <c r="I12521" t="s">
        <v>3718</v>
      </c>
      <c r="J12521" t="s">
        <v>29364</v>
      </c>
      <c r="K12521" t="s">
        <v>37206</v>
      </c>
      <c r="M12521" t="s">
        <v>41063</v>
      </c>
      <c r="N12521" t="s">
        <v>41249</v>
      </c>
      <c r="O12521" t="s">
        <v>41250</v>
      </c>
      <c r="P12521">
        <v>0</v>
      </c>
      <c r="Q12521">
        <v>1</v>
      </c>
      <c r="R12521" t="s">
        <v>41267</v>
      </c>
      <c r="S12521" t="s">
        <v>42077</v>
      </c>
      <c r="T12521" t="s">
        <v>42703</v>
      </c>
      <c r="U12521" t="s">
        <v>53221</v>
      </c>
      <c r="W12521" t="s">
        <v>41063</v>
      </c>
      <c r="X12521" t="s">
        <v>41268</v>
      </c>
    </row>
    <row r="12522" spans="1:24">
      <c r="A12522">
        <f>HYPERLINK("https://www.philgeps.gov.ph/GEPSNONPILOT/Tender/SplashBidNoticeAbstractUI.aspx?menuIndex=3&amp;refID=7046694&amp;Result=3","7046694")</f>
        <v>0</v>
      </c>
      <c r="B12522" t="s">
        <v>909</v>
      </c>
      <c r="C12522" t="s">
        <v>15377</v>
      </c>
      <c r="D12522" t="s">
        <v>16662</v>
      </c>
      <c r="E12522" t="s">
        <v>27526</v>
      </c>
      <c r="F12522" t="s">
        <v>28669</v>
      </c>
      <c r="G12522" t="s">
        <v>28675</v>
      </c>
      <c r="H12522" t="s">
        <v>9998</v>
      </c>
      <c r="I12522" t="s">
        <v>5213</v>
      </c>
      <c r="J12522" t="s">
        <v>36469</v>
      </c>
      <c r="K12522" t="s">
        <v>37206</v>
      </c>
      <c r="M12522" t="s">
        <v>38431</v>
      </c>
      <c r="N12522" t="s">
        <v>41249</v>
      </c>
      <c r="O12522" t="s">
        <v>41250</v>
      </c>
      <c r="P12522">
        <v>0</v>
      </c>
      <c r="Q12522">
        <v>0</v>
      </c>
      <c r="R12522" t="s">
        <v>41267</v>
      </c>
      <c r="S12522" t="s">
        <v>42077</v>
      </c>
      <c r="T12522" t="s">
        <v>42679</v>
      </c>
      <c r="U12522" t="s">
        <v>53222</v>
      </c>
      <c r="W12522" t="s">
        <v>38431</v>
      </c>
      <c r="X12522" t="s">
        <v>41268</v>
      </c>
    </row>
    <row r="12523" spans="1:24">
      <c r="A12523">
        <f>HYPERLINK("https://www.philgeps.gov.ph/GEPSNONPILOT/Tender/SplashBidNoticeAbstractUI.aspx?menuIndex=3&amp;refID=7046542&amp;Result=3","7046542")</f>
        <v>0</v>
      </c>
      <c r="B12523" t="s">
        <v>3099</v>
      </c>
      <c r="C12523" t="s">
        <v>15378</v>
      </c>
      <c r="D12523" t="s">
        <v>16643</v>
      </c>
      <c r="E12523" t="s">
        <v>27527</v>
      </c>
      <c r="F12523" t="s">
        <v>28669</v>
      </c>
      <c r="G12523" t="s">
        <v>28675</v>
      </c>
      <c r="H12523" t="s">
        <v>28686</v>
      </c>
      <c r="I12523" t="s">
        <v>28689</v>
      </c>
      <c r="J12523" t="s">
        <v>28847</v>
      </c>
      <c r="K12523" t="s">
        <v>37220</v>
      </c>
      <c r="M12523" t="s">
        <v>40886</v>
      </c>
      <c r="N12523" t="s">
        <v>41249</v>
      </c>
      <c r="O12523" t="s">
        <v>41250</v>
      </c>
      <c r="P12523">
        <v>0</v>
      </c>
      <c r="Q12523">
        <v>1</v>
      </c>
      <c r="R12523" t="s">
        <v>41267</v>
      </c>
      <c r="S12523" t="s">
        <v>42077</v>
      </c>
      <c r="T12523" t="s">
        <v>42698</v>
      </c>
      <c r="U12523" t="s">
        <v>53223</v>
      </c>
      <c r="W12523" t="s">
        <v>40886</v>
      </c>
      <c r="X12523" t="s">
        <v>41268</v>
      </c>
    </row>
    <row r="12524" spans="1:24">
      <c r="A12524">
        <f>HYPERLINK("https://www.philgeps.gov.ph/GEPSNONPILOT/Tender/SplashBidNoticeAbstractUI.aspx?menuIndex=3&amp;refID=7046689&amp;Result=3","7046689")</f>
        <v>0</v>
      </c>
      <c r="B12524" t="s">
        <v>3252</v>
      </c>
      <c r="C12524" t="s">
        <v>15379</v>
      </c>
      <c r="D12524" t="s">
        <v>16608</v>
      </c>
      <c r="E12524" t="s">
        <v>27528</v>
      </c>
      <c r="F12524" t="s">
        <v>28669</v>
      </c>
      <c r="G12524" t="s">
        <v>28675</v>
      </c>
      <c r="H12524" t="s">
        <v>9998</v>
      </c>
      <c r="I12524" t="s">
        <v>28708</v>
      </c>
      <c r="J12524" t="s">
        <v>33389</v>
      </c>
      <c r="K12524" t="s">
        <v>37213</v>
      </c>
      <c r="M12524" t="s">
        <v>41071</v>
      </c>
      <c r="N12524" t="s">
        <v>41249</v>
      </c>
      <c r="O12524" t="s">
        <v>41250</v>
      </c>
      <c r="P12524">
        <v>0</v>
      </c>
      <c r="Q12524">
        <v>18</v>
      </c>
      <c r="R12524" t="s">
        <v>41267</v>
      </c>
      <c r="S12524" t="s">
        <v>42077</v>
      </c>
      <c r="T12524" t="s">
        <v>42739</v>
      </c>
      <c r="U12524" t="s">
        <v>53224</v>
      </c>
      <c r="W12524" t="s">
        <v>41071</v>
      </c>
      <c r="X12524" t="s">
        <v>41268</v>
      </c>
    </row>
    <row r="12525" spans="1:24">
      <c r="A12525">
        <f>HYPERLINK("https://www.philgeps.gov.ph/GEPSNONPILOT/Tender/SplashBidNoticeAbstractUI.aspx?menuIndex=3&amp;refID=7046386&amp;Result=3","7046386")</f>
        <v>0</v>
      </c>
      <c r="B12525" t="s">
        <v>2076</v>
      </c>
      <c r="C12525" t="s">
        <v>14451</v>
      </c>
      <c r="D12525" t="s">
        <v>16674</v>
      </c>
      <c r="E12525" t="s">
        <v>27529</v>
      </c>
      <c r="F12525" t="s">
        <v>28669</v>
      </c>
      <c r="G12525" t="s">
        <v>28675</v>
      </c>
      <c r="H12525" t="s">
        <v>28686</v>
      </c>
      <c r="I12525" t="s">
        <v>28689</v>
      </c>
      <c r="J12525" t="s">
        <v>36470</v>
      </c>
      <c r="K12525" t="s">
        <v>37231</v>
      </c>
      <c r="M12525" t="s">
        <v>39717</v>
      </c>
      <c r="N12525" t="s">
        <v>41249</v>
      </c>
      <c r="O12525" t="s">
        <v>41250</v>
      </c>
      <c r="P12525">
        <v>0</v>
      </c>
      <c r="Q12525">
        <v>0</v>
      </c>
      <c r="R12525" t="s">
        <v>41267</v>
      </c>
      <c r="S12525" t="s">
        <v>42077</v>
      </c>
      <c r="T12525" t="s">
        <v>42729</v>
      </c>
      <c r="U12525" t="s">
        <v>53225</v>
      </c>
      <c r="W12525" t="s">
        <v>39717</v>
      </c>
      <c r="X12525" t="s">
        <v>41268</v>
      </c>
    </row>
    <row r="12526" spans="1:24">
      <c r="A12526">
        <f>HYPERLINK("https://www.philgeps.gov.ph/GEPSNONPILOT/Tender/SplashBidNoticeAbstractUI.aspx?menuIndex=3&amp;refID=7046681&amp;Result=3","7046681")</f>
        <v>0</v>
      </c>
      <c r="B12526" t="s">
        <v>1633</v>
      </c>
      <c r="C12526" t="s">
        <v>15380</v>
      </c>
      <c r="D12526" t="s">
        <v>16693</v>
      </c>
      <c r="E12526" t="s">
        <v>27530</v>
      </c>
      <c r="F12526" t="s">
        <v>28669</v>
      </c>
      <c r="G12526" t="s">
        <v>28675</v>
      </c>
      <c r="H12526" t="s">
        <v>9998</v>
      </c>
      <c r="I12526" t="s">
        <v>28707</v>
      </c>
      <c r="J12526" t="s">
        <v>29266</v>
      </c>
      <c r="K12526" t="s">
        <v>37213</v>
      </c>
      <c r="M12526" t="s">
        <v>39222</v>
      </c>
      <c r="N12526" t="s">
        <v>41249</v>
      </c>
      <c r="O12526" t="s">
        <v>41250</v>
      </c>
      <c r="Q12526">
        <v>7</v>
      </c>
      <c r="R12526" t="s">
        <v>41267</v>
      </c>
      <c r="S12526" t="s">
        <v>42116</v>
      </c>
      <c r="T12526" t="s">
        <v>42838</v>
      </c>
      <c r="U12526" t="s">
        <v>53218</v>
      </c>
      <c r="V12526" t="s">
        <v>55761</v>
      </c>
      <c r="W12526" t="s">
        <v>39222</v>
      </c>
      <c r="X12526" t="s">
        <v>41268</v>
      </c>
    </row>
    <row r="12527" spans="1:24">
      <c r="A12527">
        <f>HYPERLINK("https://www.philgeps.gov.ph/GEPSNONPILOT/Tender/SplashBidNoticeAbstractUI.aspx?menuIndex=3&amp;refID=7046668&amp;Result=3","7046668")</f>
        <v>0</v>
      </c>
      <c r="B12527" t="s">
        <v>909</v>
      </c>
      <c r="C12527" t="s">
        <v>15381</v>
      </c>
      <c r="D12527" t="s">
        <v>16662</v>
      </c>
      <c r="E12527" t="s">
        <v>27531</v>
      </c>
      <c r="F12527" t="s">
        <v>28669</v>
      </c>
      <c r="G12527" t="s">
        <v>28675</v>
      </c>
      <c r="H12527" t="s">
        <v>9998</v>
      </c>
      <c r="I12527" t="s">
        <v>28736</v>
      </c>
      <c r="J12527" t="s">
        <v>36471</v>
      </c>
      <c r="K12527" t="s">
        <v>37206</v>
      </c>
      <c r="M12527" t="s">
        <v>38431</v>
      </c>
      <c r="N12527" t="s">
        <v>41249</v>
      </c>
      <c r="O12527" t="s">
        <v>41250</v>
      </c>
      <c r="P12527">
        <v>0</v>
      </c>
      <c r="Q12527">
        <v>0</v>
      </c>
      <c r="R12527" t="s">
        <v>41267</v>
      </c>
      <c r="S12527" t="s">
        <v>42077</v>
      </c>
      <c r="T12527" t="s">
        <v>42679</v>
      </c>
      <c r="U12527" t="s">
        <v>53226</v>
      </c>
      <c r="W12527" t="s">
        <v>38431</v>
      </c>
      <c r="X12527" t="s">
        <v>41268</v>
      </c>
    </row>
    <row r="12528" spans="1:24">
      <c r="A12528">
        <f>HYPERLINK("https://www.philgeps.gov.ph/GEPSNONPILOT/Tender/SplashBidNoticeAbstractUI.aspx?menuIndex=3&amp;refID=7046662&amp;Result=3","7046662")</f>
        <v>0</v>
      </c>
      <c r="B12528" t="s">
        <v>84</v>
      </c>
      <c r="C12528" t="s">
        <v>15382</v>
      </c>
      <c r="D12528" t="s">
        <v>16651</v>
      </c>
      <c r="E12528" t="s">
        <v>27532</v>
      </c>
      <c r="F12528" t="s">
        <v>28669</v>
      </c>
      <c r="G12528" t="s">
        <v>28675</v>
      </c>
      <c r="H12528" t="s">
        <v>9998</v>
      </c>
      <c r="I12528" t="s">
        <v>6128</v>
      </c>
      <c r="J12528" t="s">
        <v>36472</v>
      </c>
      <c r="K12528" t="s">
        <v>37209</v>
      </c>
      <c r="M12528" t="s">
        <v>37559</v>
      </c>
      <c r="N12528" t="s">
        <v>41249</v>
      </c>
      <c r="O12528" t="s">
        <v>41250</v>
      </c>
      <c r="P12528">
        <v>0</v>
      </c>
      <c r="Q12528">
        <v>4</v>
      </c>
      <c r="R12528" t="s">
        <v>41267</v>
      </c>
      <c r="S12528" t="s">
        <v>42077</v>
      </c>
      <c r="T12528" t="s">
        <v>42711</v>
      </c>
      <c r="U12528" t="s">
        <v>53209</v>
      </c>
      <c r="W12528" t="s">
        <v>37559</v>
      </c>
      <c r="X12528" t="s">
        <v>41268</v>
      </c>
    </row>
    <row r="12529" spans="1:24">
      <c r="A12529">
        <f>HYPERLINK("https://www.philgeps.gov.ph/GEPSNONPILOT/Tender/SplashBidNoticeAbstractUI.aspx?menuIndex=3&amp;refID=7046660&amp;Result=3","7046660")</f>
        <v>0</v>
      </c>
      <c r="B12529" t="s">
        <v>2265</v>
      </c>
      <c r="C12529" t="s">
        <v>15383</v>
      </c>
      <c r="D12529" t="s">
        <v>16684</v>
      </c>
      <c r="E12529" t="s">
        <v>27533</v>
      </c>
      <c r="F12529" t="s">
        <v>28669</v>
      </c>
      <c r="G12529" t="s">
        <v>28675</v>
      </c>
      <c r="H12529" t="s">
        <v>28686</v>
      </c>
      <c r="I12529" t="s">
        <v>28689</v>
      </c>
      <c r="J12529" t="s">
        <v>36473</v>
      </c>
      <c r="K12529" t="s">
        <v>37209</v>
      </c>
      <c r="M12529" t="s">
        <v>40086</v>
      </c>
      <c r="N12529" t="s">
        <v>41249</v>
      </c>
      <c r="O12529" t="s">
        <v>41250</v>
      </c>
      <c r="P12529">
        <v>0</v>
      </c>
      <c r="Q12529">
        <v>0</v>
      </c>
      <c r="R12529" t="s">
        <v>41267</v>
      </c>
      <c r="S12529" t="s">
        <v>42077</v>
      </c>
      <c r="T12529" t="s">
        <v>42759</v>
      </c>
      <c r="U12529" t="s">
        <v>49579</v>
      </c>
      <c r="W12529" t="s">
        <v>40086</v>
      </c>
      <c r="X12529" t="s">
        <v>41268</v>
      </c>
    </row>
    <row r="12530" spans="1:24">
      <c r="A12530">
        <f>HYPERLINK("https://www.philgeps.gov.ph/GEPSNONPILOT/Tender/SplashBidNoticeAbstractUI.aspx?menuIndex=3&amp;refID=7046658&amp;Result=3","7046658")</f>
        <v>0</v>
      </c>
      <c r="B12530" t="s">
        <v>3246</v>
      </c>
      <c r="C12530" t="s">
        <v>15384</v>
      </c>
      <c r="D12530" t="s">
        <v>16668</v>
      </c>
      <c r="E12530" t="s">
        <v>17248</v>
      </c>
      <c r="F12530" t="s">
        <v>28669</v>
      </c>
      <c r="G12530" t="s">
        <v>28675</v>
      </c>
      <c r="H12530" t="s">
        <v>28686</v>
      </c>
      <c r="I12530" t="s">
        <v>28689</v>
      </c>
      <c r="J12530" t="s">
        <v>28878</v>
      </c>
      <c r="K12530" t="s">
        <v>37207</v>
      </c>
      <c r="M12530" t="s">
        <v>41063</v>
      </c>
      <c r="N12530" t="s">
        <v>41249</v>
      </c>
      <c r="O12530" t="s">
        <v>41250</v>
      </c>
      <c r="P12530">
        <v>0</v>
      </c>
      <c r="Q12530">
        <v>4</v>
      </c>
      <c r="R12530" t="s">
        <v>41267</v>
      </c>
      <c r="S12530" t="s">
        <v>42077</v>
      </c>
      <c r="T12530" t="s">
        <v>42703</v>
      </c>
      <c r="U12530" t="s">
        <v>53227</v>
      </c>
      <c r="W12530" t="s">
        <v>41063</v>
      </c>
      <c r="X12530" t="s">
        <v>41268</v>
      </c>
    </row>
    <row r="12531" spans="1:24">
      <c r="A12531">
        <f>HYPERLINK("https://www.philgeps.gov.ph/GEPSNONPILOT/Tender/SplashBidNoticeAbstractUI.aspx?menuIndex=3&amp;refID=7046656&amp;Result=3","7046656")</f>
        <v>0</v>
      </c>
      <c r="B12531" t="s">
        <v>2768</v>
      </c>
      <c r="C12531" t="s">
        <v>15385</v>
      </c>
      <c r="D12531" t="s">
        <v>16621</v>
      </c>
      <c r="E12531" t="s">
        <v>27534</v>
      </c>
      <c r="F12531" t="s">
        <v>28669</v>
      </c>
      <c r="G12531" t="s">
        <v>28675</v>
      </c>
      <c r="H12531" t="s">
        <v>9998</v>
      </c>
      <c r="I12531" t="s">
        <v>7352</v>
      </c>
      <c r="J12531" t="s">
        <v>36474</v>
      </c>
      <c r="K12531" t="s">
        <v>37206</v>
      </c>
      <c r="M12531" t="s">
        <v>40488</v>
      </c>
      <c r="N12531" t="s">
        <v>41249</v>
      </c>
      <c r="O12531" t="s">
        <v>41250</v>
      </c>
      <c r="Q12531">
        <v>3</v>
      </c>
      <c r="R12531" t="s">
        <v>41267</v>
      </c>
      <c r="S12531" t="s">
        <v>41973</v>
      </c>
      <c r="T12531" t="s">
        <v>43153</v>
      </c>
      <c r="U12531" t="s">
        <v>50794</v>
      </c>
      <c r="V12531" t="s">
        <v>55303</v>
      </c>
      <c r="W12531" t="s">
        <v>40488</v>
      </c>
      <c r="X12531" t="s">
        <v>41268</v>
      </c>
    </row>
    <row r="12532" spans="1:24">
      <c r="A12532">
        <f>HYPERLINK("https://www.philgeps.gov.ph/GEPSNONPILOT/Tender/SplashBidNoticeAbstractUI.aspx?menuIndex=3&amp;refID=7046652&amp;Result=3","7046652")</f>
        <v>0</v>
      </c>
      <c r="B12532" t="s">
        <v>2265</v>
      </c>
      <c r="C12532" t="s">
        <v>15386</v>
      </c>
      <c r="D12532" t="s">
        <v>16684</v>
      </c>
      <c r="E12532" t="s">
        <v>27535</v>
      </c>
      <c r="F12532" t="s">
        <v>28669</v>
      </c>
      <c r="G12532" t="s">
        <v>28675</v>
      </c>
      <c r="H12532" t="s">
        <v>28686</v>
      </c>
      <c r="I12532" t="s">
        <v>28689</v>
      </c>
      <c r="J12532" t="s">
        <v>36475</v>
      </c>
      <c r="K12532" t="s">
        <v>37209</v>
      </c>
      <c r="M12532" t="s">
        <v>40086</v>
      </c>
      <c r="N12532" t="s">
        <v>41249</v>
      </c>
      <c r="O12532" t="s">
        <v>41250</v>
      </c>
      <c r="P12532">
        <v>0</v>
      </c>
      <c r="Q12532">
        <v>0</v>
      </c>
      <c r="R12532" t="s">
        <v>41267</v>
      </c>
      <c r="S12532" t="s">
        <v>42077</v>
      </c>
      <c r="T12532" t="s">
        <v>42759</v>
      </c>
      <c r="U12532" t="s">
        <v>49579</v>
      </c>
      <c r="W12532" t="s">
        <v>40086</v>
      </c>
      <c r="X12532" t="s">
        <v>41268</v>
      </c>
    </row>
    <row r="12533" spans="1:24">
      <c r="A12533">
        <f>HYPERLINK("https://www.philgeps.gov.ph/GEPSNONPILOT/Tender/SplashBidNoticeAbstractUI.aspx?menuIndex=3&amp;refID=7046648&amp;Result=3","7046648")</f>
        <v>0</v>
      </c>
      <c r="B12533" t="s">
        <v>533</v>
      </c>
      <c r="C12533" t="s">
        <v>15387</v>
      </c>
      <c r="D12533" t="s">
        <v>16641</v>
      </c>
      <c r="E12533" t="s">
        <v>27536</v>
      </c>
      <c r="F12533" t="s">
        <v>28669</v>
      </c>
      <c r="G12533" t="s">
        <v>28675</v>
      </c>
      <c r="H12533" t="s">
        <v>9998</v>
      </c>
      <c r="I12533" t="s">
        <v>28687</v>
      </c>
      <c r="J12533" t="s">
        <v>36476</v>
      </c>
      <c r="K12533" t="s">
        <v>37205</v>
      </c>
      <c r="M12533" t="s">
        <v>38769</v>
      </c>
      <c r="N12533" t="s">
        <v>41249</v>
      </c>
      <c r="O12533" t="s">
        <v>41250</v>
      </c>
      <c r="P12533">
        <v>0</v>
      </c>
      <c r="Q12533">
        <v>5</v>
      </c>
      <c r="R12533" t="s">
        <v>41267</v>
      </c>
      <c r="S12533" t="s">
        <v>42077</v>
      </c>
      <c r="T12533" t="s">
        <v>42759</v>
      </c>
      <c r="U12533" t="s">
        <v>53228</v>
      </c>
      <c r="W12533" t="s">
        <v>38769</v>
      </c>
      <c r="X12533" t="s">
        <v>41268</v>
      </c>
    </row>
    <row r="12534" spans="1:24">
      <c r="A12534">
        <f>HYPERLINK("https://www.philgeps.gov.ph/GEPSNONPILOT/Tender/SplashBidNoticeAbstractUI.aspx?menuIndex=3&amp;refID=7046642&amp;Result=3","7046642")</f>
        <v>0</v>
      </c>
      <c r="B12534" t="s">
        <v>2265</v>
      </c>
      <c r="C12534" t="s">
        <v>15388</v>
      </c>
      <c r="D12534" t="s">
        <v>16684</v>
      </c>
      <c r="E12534" t="s">
        <v>27537</v>
      </c>
      <c r="F12534" t="s">
        <v>28669</v>
      </c>
      <c r="G12534" t="s">
        <v>28675</v>
      </c>
      <c r="H12534" t="s">
        <v>28686</v>
      </c>
      <c r="I12534" t="s">
        <v>28689</v>
      </c>
      <c r="J12534" t="s">
        <v>36477</v>
      </c>
      <c r="K12534" t="s">
        <v>37209</v>
      </c>
      <c r="M12534" t="s">
        <v>40086</v>
      </c>
      <c r="N12534" t="s">
        <v>41249</v>
      </c>
      <c r="O12534" t="s">
        <v>41250</v>
      </c>
      <c r="P12534">
        <v>0</v>
      </c>
      <c r="Q12534">
        <v>2</v>
      </c>
      <c r="R12534" t="s">
        <v>41267</v>
      </c>
      <c r="S12534" t="s">
        <v>42077</v>
      </c>
      <c r="T12534" t="s">
        <v>42759</v>
      </c>
      <c r="U12534" t="s">
        <v>49579</v>
      </c>
      <c r="W12534" t="s">
        <v>40086</v>
      </c>
      <c r="X12534" t="s">
        <v>41268</v>
      </c>
    </row>
    <row r="12535" spans="1:24">
      <c r="A12535">
        <f>HYPERLINK("https://www.philgeps.gov.ph/GEPSNONPILOT/Tender/SplashBidNoticeAbstractUI.aspx?menuIndex=3&amp;refID=7046731&amp;Result=3","7046731")</f>
        <v>0</v>
      </c>
      <c r="B12535" t="s">
        <v>2932</v>
      </c>
      <c r="C12535" t="s">
        <v>15389</v>
      </c>
      <c r="D12535" t="s">
        <v>16608</v>
      </c>
      <c r="E12535" t="s">
        <v>18381</v>
      </c>
      <c r="F12535" t="s">
        <v>28669</v>
      </c>
      <c r="G12535" t="s">
        <v>28675</v>
      </c>
      <c r="H12535" t="s">
        <v>9998</v>
      </c>
      <c r="I12535" t="s">
        <v>28713</v>
      </c>
      <c r="J12535" t="s">
        <v>30598</v>
      </c>
      <c r="K12535" t="s">
        <v>37213</v>
      </c>
      <c r="M12535" t="s">
        <v>41072</v>
      </c>
      <c r="N12535" t="s">
        <v>41249</v>
      </c>
      <c r="O12535" t="s">
        <v>41250</v>
      </c>
      <c r="Q12535">
        <v>52</v>
      </c>
      <c r="R12535" t="s">
        <v>41267</v>
      </c>
      <c r="S12535" t="s">
        <v>42117</v>
      </c>
      <c r="T12535" t="s">
        <v>42679</v>
      </c>
      <c r="U12535" t="s">
        <v>53229</v>
      </c>
      <c r="W12535" t="s">
        <v>41072</v>
      </c>
      <c r="X12535" t="s">
        <v>41268</v>
      </c>
    </row>
    <row r="12536" spans="1:24">
      <c r="A12536">
        <f>HYPERLINK("https://www.philgeps.gov.ph/GEPSNONPILOT/Tender/SplashBidNoticeAbstractUI.aspx?menuIndex=3&amp;refID=7046664&amp;Result=3","7046664")</f>
        <v>0</v>
      </c>
      <c r="B12536" t="s">
        <v>2634</v>
      </c>
      <c r="C12536" t="s">
        <v>15390</v>
      </c>
      <c r="D12536" t="s">
        <v>16660</v>
      </c>
      <c r="E12536" t="s">
        <v>22739</v>
      </c>
      <c r="F12536" t="s">
        <v>28669</v>
      </c>
      <c r="G12536" t="s">
        <v>28675</v>
      </c>
      <c r="H12536" t="s">
        <v>28686</v>
      </c>
      <c r="I12536" t="s">
        <v>28689</v>
      </c>
      <c r="J12536" t="s">
        <v>36478</v>
      </c>
      <c r="K12536" t="s">
        <v>37215</v>
      </c>
      <c r="M12536" t="s">
        <v>40333</v>
      </c>
      <c r="N12536" t="s">
        <v>41249</v>
      </c>
      <c r="O12536" t="s">
        <v>41250</v>
      </c>
      <c r="P12536">
        <v>0</v>
      </c>
      <c r="Q12536">
        <v>3</v>
      </c>
      <c r="R12536" t="s">
        <v>41267</v>
      </c>
      <c r="S12536" t="s">
        <v>42077</v>
      </c>
      <c r="T12536" t="s">
        <v>42817</v>
      </c>
      <c r="U12536" t="s">
        <v>53230</v>
      </c>
      <c r="V12536" t="s">
        <v>55762</v>
      </c>
      <c r="W12536" t="s">
        <v>40333</v>
      </c>
      <c r="X12536" t="s">
        <v>41268</v>
      </c>
    </row>
    <row r="12537" spans="1:24">
      <c r="A12537">
        <f>HYPERLINK("https://www.philgeps.gov.ph/GEPSNONPILOT/Tender/SplashBidNoticeAbstractUI.aspx?menuIndex=3&amp;refID=7046714&amp;Result=3","7046714")</f>
        <v>0</v>
      </c>
      <c r="B12537" t="s">
        <v>2783</v>
      </c>
      <c r="C12537" t="s">
        <v>15391</v>
      </c>
      <c r="D12537" t="s">
        <v>16608</v>
      </c>
      <c r="E12537" t="s">
        <v>24366</v>
      </c>
      <c r="F12537" t="s">
        <v>28669</v>
      </c>
      <c r="G12537" t="s">
        <v>28675</v>
      </c>
      <c r="H12537" t="s">
        <v>9998</v>
      </c>
      <c r="I12537" t="s">
        <v>6128</v>
      </c>
      <c r="J12537" t="s">
        <v>36479</v>
      </c>
      <c r="K12537" t="s">
        <v>37209</v>
      </c>
      <c r="M12537" t="s">
        <v>40507</v>
      </c>
      <c r="N12537" t="s">
        <v>41249</v>
      </c>
      <c r="O12537" t="s">
        <v>41250</v>
      </c>
      <c r="Q12537">
        <v>8</v>
      </c>
      <c r="R12537" t="s">
        <v>41267</v>
      </c>
      <c r="S12537" t="s">
        <v>42118</v>
      </c>
      <c r="T12537" t="s">
        <v>42679</v>
      </c>
      <c r="U12537" t="s">
        <v>53231</v>
      </c>
      <c r="W12537" t="s">
        <v>40507</v>
      </c>
      <c r="X12537" t="s">
        <v>41268</v>
      </c>
    </row>
    <row r="12538" spans="1:24">
      <c r="A12538">
        <f>HYPERLINK("https://www.philgeps.gov.ph/GEPSNONPILOT/Tender/SplashBidNoticeAbstractUI.aspx?menuIndex=3&amp;refID=7046568&amp;Result=3","7046568")</f>
        <v>0</v>
      </c>
      <c r="B12538" t="s">
        <v>3246</v>
      </c>
      <c r="C12538" t="s">
        <v>15392</v>
      </c>
      <c r="D12538" t="s">
        <v>16668</v>
      </c>
      <c r="E12538" t="s">
        <v>19625</v>
      </c>
      <c r="F12538" t="s">
        <v>28669</v>
      </c>
      <c r="G12538" t="s">
        <v>28675</v>
      </c>
      <c r="H12538" t="s">
        <v>28686</v>
      </c>
      <c r="I12538" t="s">
        <v>28689</v>
      </c>
      <c r="J12538" t="s">
        <v>31648</v>
      </c>
      <c r="K12538" t="s">
        <v>37211</v>
      </c>
      <c r="M12538" t="s">
        <v>41063</v>
      </c>
      <c r="N12538" t="s">
        <v>41249</v>
      </c>
      <c r="O12538" t="s">
        <v>41250</v>
      </c>
      <c r="P12538">
        <v>0</v>
      </c>
      <c r="Q12538">
        <v>3</v>
      </c>
      <c r="R12538" t="s">
        <v>41267</v>
      </c>
      <c r="S12538" t="s">
        <v>42077</v>
      </c>
      <c r="T12538" t="s">
        <v>42703</v>
      </c>
      <c r="U12538" t="s">
        <v>53232</v>
      </c>
      <c r="W12538" t="s">
        <v>41063</v>
      </c>
      <c r="X12538" t="s">
        <v>41268</v>
      </c>
    </row>
    <row r="12539" spans="1:24">
      <c r="A12539">
        <f>HYPERLINK("https://www.philgeps.gov.ph/GEPSNONPILOT/Tender/SplashBidNoticeAbstractUI.aspx?menuIndex=3&amp;refID=7046627&amp;Result=3","7046627")</f>
        <v>0</v>
      </c>
      <c r="B12539" t="s">
        <v>3246</v>
      </c>
      <c r="C12539" t="s">
        <v>15393</v>
      </c>
      <c r="D12539" t="s">
        <v>16668</v>
      </c>
      <c r="E12539" t="s">
        <v>18338</v>
      </c>
      <c r="F12539" t="s">
        <v>28669</v>
      </c>
      <c r="G12539" t="s">
        <v>28675</v>
      </c>
      <c r="H12539" t="s">
        <v>28686</v>
      </c>
      <c r="I12539" t="s">
        <v>28689</v>
      </c>
      <c r="J12539" t="s">
        <v>31648</v>
      </c>
      <c r="K12539" t="s">
        <v>37211</v>
      </c>
      <c r="M12539" t="s">
        <v>41063</v>
      </c>
      <c r="N12539" t="s">
        <v>41249</v>
      </c>
      <c r="O12539" t="s">
        <v>41250</v>
      </c>
      <c r="P12539">
        <v>0</v>
      </c>
      <c r="Q12539">
        <v>3</v>
      </c>
      <c r="R12539" t="s">
        <v>41267</v>
      </c>
      <c r="S12539" t="s">
        <v>42077</v>
      </c>
      <c r="T12539" t="s">
        <v>42703</v>
      </c>
      <c r="U12539" t="s">
        <v>53233</v>
      </c>
      <c r="W12539" t="s">
        <v>41063</v>
      </c>
      <c r="X12539" t="s">
        <v>41268</v>
      </c>
    </row>
    <row r="12540" spans="1:24">
      <c r="A12540">
        <f>HYPERLINK("https://www.philgeps.gov.ph/GEPSNONPILOT/Tender/SplashBidNoticeAbstractUI.aspx?menuIndex=3&amp;refID=7046803&amp;Result=3","7046803")</f>
        <v>0</v>
      </c>
      <c r="B12540" t="s">
        <v>834</v>
      </c>
      <c r="C12540" t="s">
        <v>15394</v>
      </c>
      <c r="D12540" t="s">
        <v>16645</v>
      </c>
      <c r="E12540" t="s">
        <v>27538</v>
      </c>
      <c r="F12540" t="s">
        <v>28669</v>
      </c>
      <c r="G12540" t="s">
        <v>28675</v>
      </c>
      <c r="H12540" t="s">
        <v>28686</v>
      </c>
      <c r="I12540" t="s">
        <v>28689</v>
      </c>
      <c r="J12540" t="s">
        <v>30840</v>
      </c>
      <c r="K12540" t="s">
        <v>37269</v>
      </c>
      <c r="M12540" t="s">
        <v>38350</v>
      </c>
      <c r="N12540" t="s">
        <v>41249</v>
      </c>
      <c r="O12540" t="s">
        <v>41250</v>
      </c>
      <c r="P12540">
        <v>0</v>
      </c>
      <c r="Q12540">
        <v>0</v>
      </c>
      <c r="R12540" t="s">
        <v>41267</v>
      </c>
      <c r="S12540" t="s">
        <v>42077</v>
      </c>
      <c r="T12540" t="s">
        <v>42673</v>
      </c>
      <c r="U12540" t="s">
        <v>53234</v>
      </c>
      <c r="V12540" t="s">
        <v>55763</v>
      </c>
      <c r="W12540" t="s">
        <v>38350</v>
      </c>
      <c r="X12540" t="s">
        <v>41268</v>
      </c>
    </row>
    <row r="12541" spans="1:24">
      <c r="A12541">
        <f>HYPERLINK("https://www.philgeps.gov.ph/GEPSNONPILOT/Tender/SplashBidNoticeAbstractUI.aspx?menuIndex=3&amp;refID=7046801&amp;Result=3","7046801")</f>
        <v>0</v>
      </c>
      <c r="B12541" t="s">
        <v>834</v>
      </c>
      <c r="C12541" t="s">
        <v>15395</v>
      </c>
      <c r="D12541" t="s">
        <v>16645</v>
      </c>
      <c r="E12541" t="s">
        <v>27539</v>
      </c>
      <c r="F12541" t="s">
        <v>28669</v>
      </c>
      <c r="G12541" t="s">
        <v>28675</v>
      </c>
      <c r="H12541" t="s">
        <v>28686</v>
      </c>
      <c r="I12541" t="s">
        <v>28689</v>
      </c>
      <c r="J12541" t="s">
        <v>30840</v>
      </c>
      <c r="K12541" t="s">
        <v>37269</v>
      </c>
      <c r="M12541" t="s">
        <v>38350</v>
      </c>
      <c r="N12541" t="s">
        <v>41249</v>
      </c>
      <c r="O12541" t="s">
        <v>41250</v>
      </c>
      <c r="P12541">
        <v>0</v>
      </c>
      <c r="Q12541">
        <v>1</v>
      </c>
      <c r="R12541" t="s">
        <v>41267</v>
      </c>
      <c r="S12541" t="s">
        <v>42077</v>
      </c>
      <c r="T12541" t="s">
        <v>42673</v>
      </c>
      <c r="U12541" t="s">
        <v>53235</v>
      </c>
      <c r="V12541" t="s">
        <v>55764</v>
      </c>
      <c r="W12541" t="s">
        <v>38350</v>
      </c>
      <c r="X12541" t="s">
        <v>41268</v>
      </c>
    </row>
    <row r="12542" spans="1:24">
      <c r="A12542">
        <f>HYPERLINK("https://www.philgeps.gov.ph/GEPSNONPILOT/Tender/SplashBidNoticeAbstractUI.aspx?menuIndex=3&amp;refID=7046796&amp;Result=3","7046796")</f>
        <v>0</v>
      </c>
      <c r="B12542" t="s">
        <v>909</v>
      </c>
      <c r="C12542" t="s">
        <v>15396</v>
      </c>
      <c r="D12542" t="s">
        <v>16662</v>
      </c>
      <c r="E12542" t="s">
        <v>27540</v>
      </c>
      <c r="F12542" t="s">
        <v>28669</v>
      </c>
      <c r="G12542" t="s">
        <v>28675</v>
      </c>
      <c r="H12542" t="s">
        <v>9998</v>
      </c>
      <c r="I12542" t="s">
        <v>28760</v>
      </c>
      <c r="J12542" t="s">
        <v>32549</v>
      </c>
      <c r="K12542" t="s">
        <v>37206</v>
      </c>
      <c r="M12542" t="s">
        <v>38431</v>
      </c>
      <c r="N12542" t="s">
        <v>41249</v>
      </c>
      <c r="O12542" t="s">
        <v>41250</v>
      </c>
      <c r="P12542">
        <v>0</v>
      </c>
      <c r="Q12542">
        <v>0</v>
      </c>
      <c r="R12542" t="s">
        <v>41267</v>
      </c>
      <c r="S12542" t="s">
        <v>42077</v>
      </c>
      <c r="T12542" t="s">
        <v>42679</v>
      </c>
      <c r="U12542" t="s">
        <v>53236</v>
      </c>
      <c r="W12542" t="s">
        <v>38431</v>
      </c>
      <c r="X12542" t="s">
        <v>41268</v>
      </c>
    </row>
    <row r="12543" spans="1:24">
      <c r="A12543">
        <f>HYPERLINK("https://www.philgeps.gov.ph/GEPSNONPILOT/Tender/SplashBidNoticeAbstractUI.aspx?menuIndex=3&amp;refID=7046792&amp;Result=3","7046792")</f>
        <v>0</v>
      </c>
      <c r="B12543" t="s">
        <v>834</v>
      </c>
      <c r="C12543" t="s">
        <v>15397</v>
      </c>
      <c r="D12543" t="s">
        <v>16645</v>
      </c>
      <c r="E12543" t="s">
        <v>27541</v>
      </c>
      <c r="F12543" t="s">
        <v>28669</v>
      </c>
      <c r="G12543" t="s">
        <v>28675</v>
      </c>
      <c r="H12543" t="s">
        <v>28686</v>
      </c>
      <c r="I12543" t="s">
        <v>28689</v>
      </c>
      <c r="J12543" t="s">
        <v>29540</v>
      </c>
      <c r="K12543" t="s">
        <v>37345</v>
      </c>
      <c r="M12543" t="s">
        <v>38350</v>
      </c>
      <c r="N12543" t="s">
        <v>41249</v>
      </c>
      <c r="O12543" t="s">
        <v>41250</v>
      </c>
      <c r="P12543">
        <v>0</v>
      </c>
      <c r="Q12543">
        <v>1</v>
      </c>
      <c r="R12543" t="s">
        <v>41267</v>
      </c>
      <c r="S12543" t="s">
        <v>42077</v>
      </c>
      <c r="T12543" t="s">
        <v>42673</v>
      </c>
      <c r="U12543" t="s">
        <v>53237</v>
      </c>
      <c r="V12543" t="s">
        <v>55765</v>
      </c>
      <c r="W12543" t="s">
        <v>38350</v>
      </c>
      <c r="X12543" t="s">
        <v>41268</v>
      </c>
    </row>
    <row r="12544" spans="1:24">
      <c r="A12544">
        <f>HYPERLINK("https://www.philgeps.gov.ph/GEPSNONPILOT/Tender/SplashBidNoticeAbstractUI.aspx?menuIndex=3&amp;refID=7046638&amp;Result=3","7046638")</f>
        <v>0</v>
      </c>
      <c r="B12544" t="s">
        <v>909</v>
      </c>
      <c r="C12544" t="s">
        <v>15398</v>
      </c>
      <c r="D12544" t="s">
        <v>16662</v>
      </c>
      <c r="E12544" t="s">
        <v>27531</v>
      </c>
      <c r="F12544" t="s">
        <v>28669</v>
      </c>
      <c r="G12544" t="s">
        <v>28675</v>
      </c>
      <c r="H12544" t="s">
        <v>9998</v>
      </c>
      <c r="I12544" t="s">
        <v>28722</v>
      </c>
      <c r="J12544" t="s">
        <v>36480</v>
      </c>
      <c r="K12544" t="s">
        <v>37206</v>
      </c>
      <c r="M12544" t="s">
        <v>38431</v>
      </c>
      <c r="N12544" t="s">
        <v>41249</v>
      </c>
      <c r="O12544" t="s">
        <v>41250</v>
      </c>
      <c r="P12544">
        <v>0</v>
      </c>
      <c r="Q12544">
        <v>0</v>
      </c>
      <c r="R12544" t="s">
        <v>41267</v>
      </c>
      <c r="S12544" t="s">
        <v>42077</v>
      </c>
      <c r="T12544" t="s">
        <v>42679</v>
      </c>
      <c r="U12544" t="s">
        <v>53226</v>
      </c>
      <c r="W12544" t="s">
        <v>38431</v>
      </c>
      <c r="X12544" t="s">
        <v>41268</v>
      </c>
    </row>
    <row r="12545" spans="1:24">
      <c r="A12545">
        <f>HYPERLINK("https://www.philgeps.gov.ph/GEPSNONPILOT/Tender/SplashBidNoticeAbstractUI.aspx?menuIndex=3&amp;refID=7046784&amp;Result=3","7046784")</f>
        <v>0</v>
      </c>
      <c r="B12545" t="s">
        <v>2475</v>
      </c>
      <c r="C12545" t="s">
        <v>15399</v>
      </c>
      <c r="D12545" t="s">
        <v>16664</v>
      </c>
      <c r="E12545" t="s">
        <v>19434</v>
      </c>
      <c r="F12545" t="s">
        <v>28669</v>
      </c>
      <c r="G12545" t="s">
        <v>28675</v>
      </c>
      <c r="H12545" t="s">
        <v>28686</v>
      </c>
      <c r="I12545" t="s">
        <v>28691</v>
      </c>
      <c r="J12545" t="s">
        <v>36481</v>
      </c>
      <c r="K12545" t="s">
        <v>37213</v>
      </c>
      <c r="M12545" t="s">
        <v>40158</v>
      </c>
      <c r="N12545" t="s">
        <v>41249</v>
      </c>
      <c r="O12545" t="s">
        <v>41250</v>
      </c>
      <c r="P12545">
        <v>0</v>
      </c>
      <c r="Q12545">
        <v>0</v>
      </c>
      <c r="R12545" t="s">
        <v>41267</v>
      </c>
      <c r="S12545" t="s">
        <v>42077</v>
      </c>
      <c r="T12545" t="s">
        <v>42673</v>
      </c>
      <c r="U12545" t="s">
        <v>53238</v>
      </c>
      <c r="W12545" t="s">
        <v>40158</v>
      </c>
      <c r="X12545" t="s">
        <v>41268</v>
      </c>
    </row>
    <row r="12546" spans="1:24">
      <c r="A12546">
        <f>HYPERLINK("https://www.philgeps.gov.ph/GEPSNONPILOT/Tender/SplashBidNoticeAbstractUI.aspx?menuIndex=3&amp;refID=7046783&amp;Result=3","7046783")</f>
        <v>0</v>
      </c>
      <c r="B12546" t="s">
        <v>909</v>
      </c>
      <c r="C12546" t="s">
        <v>15400</v>
      </c>
      <c r="D12546" t="s">
        <v>16662</v>
      </c>
      <c r="E12546" t="s">
        <v>27542</v>
      </c>
      <c r="F12546" t="s">
        <v>28669</v>
      </c>
      <c r="G12546" t="s">
        <v>28675</v>
      </c>
      <c r="H12546" t="s">
        <v>9998</v>
      </c>
      <c r="I12546" t="s">
        <v>28687</v>
      </c>
      <c r="J12546" t="s">
        <v>29059</v>
      </c>
      <c r="K12546" t="s">
        <v>37206</v>
      </c>
      <c r="M12546" t="s">
        <v>38431</v>
      </c>
      <c r="N12546" t="s">
        <v>41249</v>
      </c>
      <c r="O12546" t="s">
        <v>41250</v>
      </c>
      <c r="P12546">
        <v>0</v>
      </c>
      <c r="Q12546">
        <v>6</v>
      </c>
      <c r="R12546" t="s">
        <v>41267</v>
      </c>
      <c r="S12546" t="s">
        <v>42077</v>
      </c>
      <c r="T12546" t="s">
        <v>42679</v>
      </c>
      <c r="U12546" t="s">
        <v>53239</v>
      </c>
      <c r="W12546" t="s">
        <v>38431</v>
      </c>
      <c r="X12546" t="s">
        <v>41268</v>
      </c>
    </row>
    <row r="12547" spans="1:24">
      <c r="A12547">
        <f>HYPERLINK("https://www.philgeps.gov.ph/GEPSNONPILOT/Tender/SplashBidNoticeAbstractUI.aspx?menuIndex=3&amp;refID=7046777&amp;Result=3","7046777")</f>
        <v>0</v>
      </c>
      <c r="B12547" t="s">
        <v>653</v>
      </c>
      <c r="C12547" t="s">
        <v>15401</v>
      </c>
      <c r="D12547" t="s">
        <v>16679</v>
      </c>
      <c r="E12547" t="s">
        <v>27543</v>
      </c>
      <c r="F12547" t="s">
        <v>28669</v>
      </c>
      <c r="G12547" t="s">
        <v>28675</v>
      </c>
      <c r="H12547" t="s">
        <v>9998</v>
      </c>
      <c r="I12547" t="s">
        <v>11593</v>
      </c>
      <c r="J12547" t="s">
        <v>35593</v>
      </c>
      <c r="K12547" t="s">
        <v>37220</v>
      </c>
      <c r="M12547" t="s">
        <v>38154</v>
      </c>
      <c r="N12547" t="s">
        <v>41249</v>
      </c>
      <c r="O12547" t="s">
        <v>41250</v>
      </c>
      <c r="Q12547">
        <v>10</v>
      </c>
      <c r="R12547" t="s">
        <v>41267</v>
      </c>
      <c r="S12547" t="s">
        <v>42119</v>
      </c>
      <c r="T12547" t="s">
        <v>42711</v>
      </c>
      <c r="U12547" t="s">
        <v>53240</v>
      </c>
      <c r="W12547" t="s">
        <v>38154</v>
      </c>
      <c r="X12547" t="s">
        <v>41268</v>
      </c>
    </row>
    <row r="12548" spans="1:24">
      <c r="A12548">
        <f>HYPERLINK("https://www.philgeps.gov.ph/GEPSNONPILOT/Tender/SplashBidNoticeAbstractUI.aspx?menuIndex=3&amp;refID=7046775&amp;Result=3","7046775")</f>
        <v>0</v>
      </c>
      <c r="B12548" t="s">
        <v>909</v>
      </c>
      <c r="C12548" t="s">
        <v>15402</v>
      </c>
      <c r="D12548" t="s">
        <v>16662</v>
      </c>
      <c r="E12548" t="s">
        <v>27544</v>
      </c>
      <c r="F12548" t="s">
        <v>28669</v>
      </c>
      <c r="G12548" t="s">
        <v>28675</v>
      </c>
      <c r="H12548" t="s">
        <v>9998</v>
      </c>
      <c r="I12548" t="s">
        <v>28699</v>
      </c>
      <c r="J12548" t="s">
        <v>36482</v>
      </c>
      <c r="K12548" t="s">
        <v>37206</v>
      </c>
      <c r="M12548" t="s">
        <v>38431</v>
      </c>
      <c r="N12548" t="s">
        <v>41249</v>
      </c>
      <c r="O12548" t="s">
        <v>41250</v>
      </c>
      <c r="Q12548">
        <v>2</v>
      </c>
      <c r="R12548" t="s">
        <v>41267</v>
      </c>
      <c r="S12548" t="s">
        <v>42120</v>
      </c>
      <c r="T12548" t="s">
        <v>42679</v>
      </c>
      <c r="U12548" t="s">
        <v>53241</v>
      </c>
      <c r="W12548" t="s">
        <v>38431</v>
      </c>
      <c r="X12548" t="s">
        <v>41268</v>
      </c>
    </row>
    <row r="12549" spans="1:24">
      <c r="A12549">
        <f>HYPERLINK("https://www.philgeps.gov.ph/GEPSNONPILOT/Tender/SplashBidNoticeAbstractUI.aspx?menuIndex=3&amp;refID=7046799&amp;Result=3","7046799")</f>
        <v>0</v>
      </c>
      <c r="B12549" t="s">
        <v>909</v>
      </c>
      <c r="C12549" t="s">
        <v>15403</v>
      </c>
      <c r="D12549" t="s">
        <v>16662</v>
      </c>
      <c r="E12549" t="s">
        <v>27540</v>
      </c>
      <c r="F12549" t="s">
        <v>28669</v>
      </c>
      <c r="G12549" t="s">
        <v>28675</v>
      </c>
      <c r="H12549" t="s">
        <v>9998</v>
      </c>
      <c r="I12549" t="s">
        <v>28760</v>
      </c>
      <c r="J12549" t="s">
        <v>36483</v>
      </c>
      <c r="K12549" t="s">
        <v>37206</v>
      </c>
      <c r="M12549" t="s">
        <v>38431</v>
      </c>
      <c r="N12549" t="s">
        <v>41249</v>
      </c>
      <c r="O12549" t="s">
        <v>41250</v>
      </c>
      <c r="P12549">
        <v>0</v>
      </c>
      <c r="Q12549">
        <v>0</v>
      </c>
      <c r="R12549" t="s">
        <v>41267</v>
      </c>
      <c r="S12549" t="s">
        <v>42077</v>
      </c>
      <c r="T12549" t="s">
        <v>42679</v>
      </c>
      <c r="U12549" t="s">
        <v>53236</v>
      </c>
      <c r="W12549" t="s">
        <v>38431</v>
      </c>
      <c r="X12549" t="s">
        <v>41268</v>
      </c>
    </row>
    <row r="12550" spans="1:24">
      <c r="A12550">
        <f>HYPERLINK("https://www.philgeps.gov.ph/GEPSNONPILOT/Tender/SplashBidNoticeAbstractUI.aspx?menuIndex=3&amp;refID=7046812&amp;Result=3","7046812")</f>
        <v>0</v>
      </c>
      <c r="B12550" t="s">
        <v>834</v>
      </c>
      <c r="C12550" t="s">
        <v>15404</v>
      </c>
      <c r="D12550" t="s">
        <v>16645</v>
      </c>
      <c r="E12550" t="s">
        <v>27545</v>
      </c>
      <c r="F12550" t="s">
        <v>28669</v>
      </c>
      <c r="G12550" t="s">
        <v>28675</v>
      </c>
      <c r="H12550" t="s">
        <v>28686</v>
      </c>
      <c r="I12550" t="s">
        <v>28689</v>
      </c>
      <c r="J12550" t="s">
        <v>30122</v>
      </c>
      <c r="K12550" t="s">
        <v>37218</v>
      </c>
      <c r="M12550" t="s">
        <v>38350</v>
      </c>
      <c r="N12550" t="s">
        <v>41249</v>
      </c>
      <c r="O12550" t="s">
        <v>41250</v>
      </c>
      <c r="P12550">
        <v>0</v>
      </c>
      <c r="Q12550">
        <v>3</v>
      </c>
      <c r="R12550" t="s">
        <v>41267</v>
      </c>
      <c r="S12550" t="s">
        <v>42077</v>
      </c>
      <c r="T12550" t="s">
        <v>42673</v>
      </c>
      <c r="U12550" t="s">
        <v>53242</v>
      </c>
      <c r="V12550" t="s">
        <v>55766</v>
      </c>
      <c r="W12550" t="s">
        <v>38350</v>
      </c>
      <c r="X12550" t="s">
        <v>41268</v>
      </c>
    </row>
    <row r="12551" spans="1:24">
      <c r="A12551">
        <f>HYPERLINK("https://www.philgeps.gov.ph/GEPSNONPILOT/Tender/SplashBidNoticeAbstractUI.aspx?menuIndex=3&amp;refID=7046987&amp;Result=3","7046987")</f>
        <v>0</v>
      </c>
      <c r="B12551" t="s">
        <v>3253</v>
      </c>
      <c r="C12551" t="s">
        <v>15405</v>
      </c>
      <c r="D12551" t="s">
        <v>16616</v>
      </c>
      <c r="E12551" t="s">
        <v>27546</v>
      </c>
      <c r="F12551" t="s">
        <v>28669</v>
      </c>
      <c r="G12551" t="s">
        <v>28675</v>
      </c>
      <c r="H12551" t="s">
        <v>28686</v>
      </c>
      <c r="I12551" t="s">
        <v>28689</v>
      </c>
      <c r="J12551" t="s">
        <v>28878</v>
      </c>
      <c r="K12551" t="s">
        <v>37206</v>
      </c>
      <c r="M12551" t="s">
        <v>41073</v>
      </c>
      <c r="N12551" t="s">
        <v>41249</v>
      </c>
      <c r="O12551" t="s">
        <v>41250</v>
      </c>
      <c r="P12551">
        <v>0</v>
      </c>
      <c r="Q12551">
        <v>2</v>
      </c>
      <c r="R12551" t="s">
        <v>41267</v>
      </c>
      <c r="S12551" t="s">
        <v>42077</v>
      </c>
      <c r="T12551" t="s">
        <v>42876</v>
      </c>
      <c r="U12551" t="s">
        <v>53243</v>
      </c>
      <c r="W12551" t="s">
        <v>41073</v>
      </c>
      <c r="X12551" t="s">
        <v>41268</v>
      </c>
    </row>
    <row r="12552" spans="1:24">
      <c r="A12552">
        <f>HYPERLINK("https://www.philgeps.gov.ph/GEPSNONPILOT/Tender/SplashBidNoticeAbstractUI.aspx?menuIndex=3&amp;refID=7046969&amp;Result=3","7046969")</f>
        <v>0</v>
      </c>
      <c r="B12552" t="s">
        <v>3254</v>
      </c>
      <c r="C12552" t="s">
        <v>15406</v>
      </c>
      <c r="D12552" t="s">
        <v>16619</v>
      </c>
      <c r="E12552" t="s">
        <v>21057</v>
      </c>
      <c r="F12552" t="s">
        <v>28669</v>
      </c>
      <c r="G12552" t="s">
        <v>28675</v>
      </c>
      <c r="H12552" t="s">
        <v>9998</v>
      </c>
      <c r="I12552" t="s">
        <v>28691</v>
      </c>
      <c r="J12552" t="s">
        <v>29059</v>
      </c>
      <c r="K12552" t="s">
        <v>37220</v>
      </c>
      <c r="M12552" t="s">
        <v>41074</v>
      </c>
      <c r="N12552" t="s">
        <v>41249</v>
      </c>
      <c r="O12552" t="s">
        <v>41250</v>
      </c>
      <c r="P12552">
        <v>0</v>
      </c>
      <c r="Q12552">
        <v>4</v>
      </c>
      <c r="R12552" t="s">
        <v>41267</v>
      </c>
      <c r="S12552" t="s">
        <v>42077</v>
      </c>
      <c r="T12552" t="s">
        <v>42972</v>
      </c>
      <c r="U12552" t="s">
        <v>53244</v>
      </c>
      <c r="V12552" t="s">
        <v>55767</v>
      </c>
      <c r="W12552" t="s">
        <v>41074</v>
      </c>
      <c r="X12552" t="s">
        <v>41268</v>
      </c>
    </row>
    <row r="12553" spans="1:24">
      <c r="A12553">
        <f>HYPERLINK("https://www.philgeps.gov.ph/GEPSNONPILOT/Tender/SplashBidNoticeAbstractUI.aspx?menuIndex=3&amp;refID=7046788&amp;Result=3","7046788")</f>
        <v>0</v>
      </c>
      <c r="B12553" t="s">
        <v>909</v>
      </c>
      <c r="C12553" t="s">
        <v>15407</v>
      </c>
      <c r="D12553" t="s">
        <v>16662</v>
      </c>
      <c r="E12553" t="s">
        <v>27540</v>
      </c>
      <c r="F12553" t="s">
        <v>28669</v>
      </c>
      <c r="G12553" t="s">
        <v>28675</v>
      </c>
      <c r="H12553" t="s">
        <v>9998</v>
      </c>
      <c r="I12553" t="s">
        <v>6606</v>
      </c>
      <c r="J12553" t="s">
        <v>36484</v>
      </c>
      <c r="K12553" t="s">
        <v>37206</v>
      </c>
      <c r="M12553" t="s">
        <v>38431</v>
      </c>
      <c r="N12553" t="s">
        <v>41249</v>
      </c>
      <c r="O12553" t="s">
        <v>41250</v>
      </c>
      <c r="P12553">
        <v>0</v>
      </c>
      <c r="Q12553">
        <v>0</v>
      </c>
      <c r="R12553" t="s">
        <v>41267</v>
      </c>
      <c r="S12553" t="s">
        <v>42077</v>
      </c>
      <c r="T12553" t="s">
        <v>42679</v>
      </c>
      <c r="U12553" t="s">
        <v>53236</v>
      </c>
      <c r="W12553" t="s">
        <v>38431</v>
      </c>
      <c r="X12553" t="s">
        <v>41268</v>
      </c>
    </row>
    <row r="12554" spans="1:24">
      <c r="A12554">
        <f>HYPERLINK("https://www.philgeps.gov.ph/GEPSNONPILOT/Tender/SplashBidNoticeAbstractUI.aspx?menuIndex=3&amp;refID=7046778&amp;Result=3","7046778")</f>
        <v>0</v>
      </c>
      <c r="B12554" t="s">
        <v>1619</v>
      </c>
      <c r="C12554" t="s">
        <v>15408</v>
      </c>
      <c r="D12554" t="s">
        <v>16678</v>
      </c>
      <c r="E12554" t="s">
        <v>27547</v>
      </c>
      <c r="F12554" t="s">
        <v>28669</v>
      </c>
      <c r="G12554" t="s">
        <v>28675</v>
      </c>
      <c r="H12554" t="s">
        <v>28686</v>
      </c>
      <c r="I12554" t="s">
        <v>28689</v>
      </c>
      <c r="J12554" t="s">
        <v>36485</v>
      </c>
      <c r="K12554" t="s">
        <v>37212</v>
      </c>
      <c r="M12554" t="s">
        <v>39205</v>
      </c>
      <c r="N12554" t="s">
        <v>41249</v>
      </c>
      <c r="O12554" t="s">
        <v>41250</v>
      </c>
      <c r="Q12554">
        <v>0</v>
      </c>
      <c r="R12554" t="s">
        <v>41267</v>
      </c>
      <c r="S12554" t="s">
        <v>42121</v>
      </c>
      <c r="T12554" t="s">
        <v>42686</v>
      </c>
      <c r="U12554" t="s">
        <v>47959</v>
      </c>
      <c r="W12554" t="s">
        <v>39205</v>
      </c>
      <c r="X12554" t="s">
        <v>41268</v>
      </c>
    </row>
    <row r="12555" spans="1:24">
      <c r="A12555">
        <f>HYPERLINK("https://www.philgeps.gov.ph/GEPSNONPILOT/Tender/SplashBidNoticeAbstractUI.aspx?menuIndex=3&amp;refID=7046962&amp;Result=3","7046962")</f>
        <v>0</v>
      </c>
      <c r="B12555" t="s">
        <v>3255</v>
      </c>
      <c r="C12555" t="s">
        <v>15409</v>
      </c>
      <c r="D12555" t="s">
        <v>16654</v>
      </c>
      <c r="E12555" t="s">
        <v>27548</v>
      </c>
      <c r="F12555" t="s">
        <v>28669</v>
      </c>
      <c r="G12555" t="s">
        <v>28675</v>
      </c>
      <c r="H12555" t="s">
        <v>9998</v>
      </c>
      <c r="I12555" t="s">
        <v>11593</v>
      </c>
      <c r="J12555" t="s">
        <v>36486</v>
      </c>
      <c r="K12555" t="s">
        <v>37211</v>
      </c>
      <c r="M12555" t="s">
        <v>41075</v>
      </c>
      <c r="N12555" t="s">
        <v>41249</v>
      </c>
      <c r="O12555" t="s">
        <v>41250</v>
      </c>
      <c r="P12555">
        <v>0</v>
      </c>
      <c r="Q12555">
        <v>20</v>
      </c>
      <c r="R12555" t="s">
        <v>41267</v>
      </c>
      <c r="S12555" t="s">
        <v>42077</v>
      </c>
      <c r="T12555" t="s">
        <v>42727</v>
      </c>
      <c r="U12555" t="s">
        <v>53245</v>
      </c>
      <c r="W12555" t="s">
        <v>41075</v>
      </c>
      <c r="X12555" t="s">
        <v>41268</v>
      </c>
    </row>
    <row r="12556" spans="1:24">
      <c r="A12556">
        <f>HYPERLINK("https://www.philgeps.gov.ph/GEPSNONPILOT/Tender/SplashBidNoticeAbstractUI.aspx?menuIndex=3&amp;refID=7046942&amp;Result=3","7046942")</f>
        <v>0</v>
      </c>
      <c r="B12556" t="s">
        <v>3256</v>
      </c>
      <c r="C12556" t="s">
        <v>15410</v>
      </c>
      <c r="D12556" t="s">
        <v>16627</v>
      </c>
      <c r="E12556" t="s">
        <v>27549</v>
      </c>
      <c r="F12556" t="s">
        <v>28669</v>
      </c>
      <c r="G12556" t="s">
        <v>28675</v>
      </c>
      <c r="H12556" t="s">
        <v>28686</v>
      </c>
      <c r="I12556" t="s">
        <v>28689</v>
      </c>
      <c r="J12556" t="s">
        <v>36487</v>
      </c>
      <c r="K12556" t="s">
        <v>37220</v>
      </c>
      <c r="M12556" t="s">
        <v>41076</v>
      </c>
      <c r="N12556" t="s">
        <v>41249</v>
      </c>
      <c r="O12556" t="s">
        <v>41250</v>
      </c>
      <c r="P12556">
        <v>0</v>
      </c>
      <c r="Q12556">
        <v>2</v>
      </c>
      <c r="R12556" t="s">
        <v>41267</v>
      </c>
      <c r="S12556" t="s">
        <v>42077</v>
      </c>
      <c r="T12556" t="s">
        <v>42759</v>
      </c>
      <c r="U12556" t="s">
        <v>53246</v>
      </c>
      <c r="W12556" t="s">
        <v>41076</v>
      </c>
      <c r="X12556" t="s">
        <v>41268</v>
      </c>
    </row>
    <row r="12557" spans="1:24">
      <c r="A12557">
        <f>HYPERLINK("https://www.philgeps.gov.ph/GEPSNONPILOT/Tender/SplashBidNoticeAbstractUI.aspx?menuIndex=3&amp;refID=7046914&amp;Result=3","7046914")</f>
        <v>0</v>
      </c>
      <c r="B12557" t="s">
        <v>100</v>
      </c>
      <c r="C12557" t="s">
        <v>15411</v>
      </c>
      <c r="D12557" t="s">
        <v>16608</v>
      </c>
      <c r="E12557" t="s">
        <v>27550</v>
      </c>
      <c r="F12557" t="s">
        <v>28669</v>
      </c>
      <c r="G12557" t="s">
        <v>28675</v>
      </c>
      <c r="H12557" t="s">
        <v>9998</v>
      </c>
      <c r="I12557" t="s">
        <v>28791</v>
      </c>
      <c r="J12557" t="s">
        <v>36488</v>
      </c>
      <c r="K12557" t="s">
        <v>37272</v>
      </c>
      <c r="M12557" t="s">
        <v>41077</v>
      </c>
      <c r="N12557" t="s">
        <v>41249</v>
      </c>
      <c r="O12557" t="s">
        <v>41250</v>
      </c>
      <c r="P12557">
        <v>0</v>
      </c>
      <c r="Q12557">
        <v>13</v>
      </c>
      <c r="R12557" t="s">
        <v>41267</v>
      </c>
      <c r="S12557" t="s">
        <v>42077</v>
      </c>
      <c r="T12557" t="s">
        <v>42714</v>
      </c>
      <c r="U12557" t="s">
        <v>53247</v>
      </c>
      <c r="W12557" t="s">
        <v>41077</v>
      </c>
      <c r="X12557" t="s">
        <v>41268</v>
      </c>
    </row>
    <row r="12558" spans="1:24">
      <c r="A12558">
        <f>HYPERLINK("https://www.philgeps.gov.ph/GEPSNONPILOT/Tender/SplashBidNoticeAbstractUI.aspx?menuIndex=3&amp;refID=7046911&amp;Result=3","7046911")</f>
        <v>0</v>
      </c>
      <c r="B12558" t="s">
        <v>3257</v>
      </c>
      <c r="C12558" t="s">
        <v>15412</v>
      </c>
      <c r="D12558" t="s">
        <v>16658</v>
      </c>
      <c r="E12558" t="s">
        <v>27551</v>
      </c>
      <c r="F12558" t="s">
        <v>28669</v>
      </c>
      <c r="G12558" t="s">
        <v>28675</v>
      </c>
      <c r="H12558" t="s">
        <v>28686</v>
      </c>
      <c r="I12558" t="s">
        <v>28689</v>
      </c>
      <c r="J12558" t="s">
        <v>36489</v>
      </c>
      <c r="K12558" t="s">
        <v>37220</v>
      </c>
      <c r="M12558" t="s">
        <v>41078</v>
      </c>
      <c r="N12558" t="s">
        <v>41249</v>
      </c>
      <c r="O12558" t="s">
        <v>41250</v>
      </c>
      <c r="P12558">
        <v>0</v>
      </c>
      <c r="Q12558">
        <v>0</v>
      </c>
      <c r="R12558" t="s">
        <v>41267</v>
      </c>
      <c r="S12558" t="s">
        <v>42077</v>
      </c>
      <c r="T12558" t="s">
        <v>42754</v>
      </c>
      <c r="U12558" t="s">
        <v>53248</v>
      </c>
      <c r="V12558" t="s">
        <v>55768</v>
      </c>
      <c r="W12558" t="s">
        <v>41078</v>
      </c>
      <c r="X12558" t="s">
        <v>41268</v>
      </c>
    </row>
    <row r="12559" spans="1:24">
      <c r="A12559">
        <f>HYPERLINK("https://www.philgeps.gov.ph/GEPSNONPILOT/Tender/SplashBidNoticeAbstractUI.aspx?menuIndex=3&amp;refID=7046874&amp;Result=3","7046874")</f>
        <v>0</v>
      </c>
      <c r="B12559" t="s">
        <v>3258</v>
      </c>
      <c r="C12559" t="s">
        <v>15413</v>
      </c>
      <c r="D12559" t="s">
        <v>16642</v>
      </c>
      <c r="E12559" t="s">
        <v>21101</v>
      </c>
      <c r="F12559" t="s">
        <v>28669</v>
      </c>
      <c r="G12559" t="s">
        <v>28675</v>
      </c>
      <c r="H12559" t="s">
        <v>28686</v>
      </c>
      <c r="I12559" t="s">
        <v>28689</v>
      </c>
      <c r="J12559" t="s">
        <v>36490</v>
      </c>
      <c r="K12559" t="s">
        <v>37332</v>
      </c>
      <c r="M12559" t="s">
        <v>41079</v>
      </c>
      <c r="N12559" t="s">
        <v>41249</v>
      </c>
      <c r="O12559" t="s">
        <v>41250</v>
      </c>
      <c r="P12559">
        <v>0</v>
      </c>
      <c r="Q12559">
        <v>2</v>
      </c>
      <c r="R12559" t="s">
        <v>41267</v>
      </c>
      <c r="S12559" t="s">
        <v>42077</v>
      </c>
      <c r="T12559" t="s">
        <v>42673</v>
      </c>
      <c r="U12559" t="s">
        <v>53249</v>
      </c>
      <c r="W12559" t="s">
        <v>41079</v>
      </c>
      <c r="X12559" t="s">
        <v>41268</v>
      </c>
    </row>
    <row r="12560" spans="1:24">
      <c r="A12560">
        <f>HYPERLINK("https://www.philgeps.gov.ph/GEPSNONPILOT/Tender/SplashBidNoticeAbstractUI.aspx?menuIndex=3&amp;refID=7046981&amp;Result=3","7046981")</f>
        <v>0</v>
      </c>
      <c r="B12560" t="s">
        <v>3253</v>
      </c>
      <c r="C12560" t="s">
        <v>15414</v>
      </c>
      <c r="D12560" t="s">
        <v>16616</v>
      </c>
      <c r="E12560" t="s">
        <v>27552</v>
      </c>
      <c r="F12560" t="s">
        <v>28669</v>
      </c>
      <c r="G12560" t="s">
        <v>28675</v>
      </c>
      <c r="H12560" t="s">
        <v>28686</v>
      </c>
      <c r="I12560" t="s">
        <v>28689</v>
      </c>
      <c r="J12560" t="s">
        <v>28878</v>
      </c>
      <c r="K12560" t="s">
        <v>37206</v>
      </c>
      <c r="M12560" t="s">
        <v>41073</v>
      </c>
      <c r="N12560" t="s">
        <v>41249</v>
      </c>
      <c r="O12560" t="s">
        <v>41250</v>
      </c>
      <c r="P12560">
        <v>0</v>
      </c>
      <c r="Q12560">
        <v>0</v>
      </c>
      <c r="R12560" t="s">
        <v>41267</v>
      </c>
      <c r="S12560" t="s">
        <v>42077</v>
      </c>
      <c r="T12560" t="s">
        <v>42876</v>
      </c>
      <c r="U12560" t="s">
        <v>53250</v>
      </c>
      <c r="W12560" t="s">
        <v>41073</v>
      </c>
      <c r="X12560" t="s">
        <v>41268</v>
      </c>
    </row>
    <row r="12561" spans="1:24">
      <c r="A12561">
        <f>HYPERLINK("https://www.philgeps.gov.ph/GEPSNONPILOT/Tender/SplashBidNoticeAbstractUI.aspx?menuIndex=3&amp;refID=7046869&amp;Result=3","7046869")</f>
        <v>0</v>
      </c>
      <c r="B12561" t="s">
        <v>2623</v>
      </c>
      <c r="C12561" t="s">
        <v>15415</v>
      </c>
      <c r="D12561" t="s">
        <v>16613</v>
      </c>
      <c r="E12561" t="s">
        <v>27553</v>
      </c>
      <c r="F12561" t="s">
        <v>28669</v>
      </c>
      <c r="G12561" t="s">
        <v>28675</v>
      </c>
      <c r="H12561" t="s">
        <v>28686</v>
      </c>
      <c r="I12561" t="s">
        <v>28689</v>
      </c>
      <c r="J12561" t="s">
        <v>30755</v>
      </c>
      <c r="K12561" t="s">
        <v>37211</v>
      </c>
      <c r="M12561" t="s">
        <v>40322</v>
      </c>
      <c r="N12561" t="s">
        <v>41249</v>
      </c>
      <c r="O12561" t="s">
        <v>41250</v>
      </c>
      <c r="P12561">
        <v>0</v>
      </c>
      <c r="Q12561">
        <v>1</v>
      </c>
      <c r="R12561" t="s">
        <v>41267</v>
      </c>
      <c r="S12561" t="s">
        <v>42077</v>
      </c>
      <c r="T12561" t="s">
        <v>42694</v>
      </c>
      <c r="U12561" t="s">
        <v>53251</v>
      </c>
      <c r="W12561" t="s">
        <v>56005</v>
      </c>
      <c r="X12561" t="s">
        <v>41268</v>
      </c>
    </row>
    <row r="12562" spans="1:24">
      <c r="A12562">
        <f>HYPERLINK("https://www.philgeps.gov.ph/GEPSNONPILOT/Tender/SplashBidNoticeAbstractUI.aspx?menuIndex=3&amp;refID=7046862&amp;Result=3","7046862")</f>
        <v>0</v>
      </c>
      <c r="B12562" t="s">
        <v>3246</v>
      </c>
      <c r="C12562" t="s">
        <v>15416</v>
      </c>
      <c r="D12562" t="s">
        <v>16668</v>
      </c>
      <c r="E12562" t="s">
        <v>16799</v>
      </c>
      <c r="F12562" t="s">
        <v>28669</v>
      </c>
      <c r="G12562" t="s">
        <v>28675</v>
      </c>
      <c r="H12562" t="s">
        <v>9998</v>
      </c>
      <c r="I12562" t="s">
        <v>5286</v>
      </c>
      <c r="J12562" t="s">
        <v>28905</v>
      </c>
      <c r="K12562" t="s">
        <v>37205</v>
      </c>
      <c r="M12562" t="s">
        <v>41063</v>
      </c>
      <c r="N12562" t="s">
        <v>41249</v>
      </c>
      <c r="O12562" t="s">
        <v>41250</v>
      </c>
      <c r="P12562">
        <v>0</v>
      </c>
      <c r="Q12562">
        <v>1</v>
      </c>
      <c r="R12562" t="s">
        <v>41267</v>
      </c>
      <c r="S12562" t="s">
        <v>42077</v>
      </c>
      <c r="T12562" t="s">
        <v>42703</v>
      </c>
      <c r="U12562" t="s">
        <v>53252</v>
      </c>
      <c r="W12562" t="s">
        <v>41063</v>
      </c>
      <c r="X12562" t="s">
        <v>41268</v>
      </c>
    </row>
    <row r="12563" spans="1:24">
      <c r="A12563">
        <f>HYPERLINK("https://www.philgeps.gov.ph/GEPSNONPILOT/Tender/SplashBidNoticeAbstractUI.aspx?menuIndex=3&amp;refID=7046955&amp;Result=3","7046955")</f>
        <v>0</v>
      </c>
      <c r="B12563" t="s">
        <v>3253</v>
      </c>
      <c r="C12563" t="s">
        <v>15417</v>
      </c>
      <c r="D12563" t="s">
        <v>16616</v>
      </c>
      <c r="E12563" t="s">
        <v>27554</v>
      </c>
      <c r="F12563" t="s">
        <v>28669</v>
      </c>
      <c r="G12563" t="s">
        <v>28675</v>
      </c>
      <c r="H12563" t="s">
        <v>9998</v>
      </c>
      <c r="I12563" t="s">
        <v>28687</v>
      </c>
      <c r="J12563" t="s">
        <v>31229</v>
      </c>
      <c r="K12563" t="s">
        <v>37206</v>
      </c>
      <c r="M12563" t="s">
        <v>41073</v>
      </c>
      <c r="N12563" t="s">
        <v>41249</v>
      </c>
      <c r="O12563" t="s">
        <v>41250</v>
      </c>
      <c r="P12563">
        <v>0</v>
      </c>
      <c r="Q12563">
        <v>4</v>
      </c>
      <c r="R12563" t="s">
        <v>41267</v>
      </c>
      <c r="S12563" t="s">
        <v>42077</v>
      </c>
      <c r="T12563" t="s">
        <v>42876</v>
      </c>
      <c r="U12563" t="s">
        <v>53253</v>
      </c>
      <c r="W12563" t="s">
        <v>41073</v>
      </c>
      <c r="X12563" t="s">
        <v>41268</v>
      </c>
    </row>
    <row r="12564" spans="1:24">
      <c r="A12564">
        <f>HYPERLINK("https://www.philgeps.gov.ph/GEPSNONPILOT/Tender/SplashBidNoticeAbstractUI.aspx?menuIndex=3&amp;refID=7046984&amp;Result=3","7046984")</f>
        <v>0</v>
      </c>
      <c r="B12564" t="s">
        <v>3253</v>
      </c>
      <c r="C12564" t="s">
        <v>15418</v>
      </c>
      <c r="D12564" t="s">
        <v>16616</v>
      </c>
      <c r="E12564" t="s">
        <v>27555</v>
      </c>
      <c r="F12564" t="s">
        <v>28669</v>
      </c>
      <c r="G12564" t="s">
        <v>28675</v>
      </c>
      <c r="H12564" t="s">
        <v>28686</v>
      </c>
      <c r="I12564" t="s">
        <v>28689</v>
      </c>
      <c r="J12564" t="s">
        <v>36491</v>
      </c>
      <c r="K12564" t="s">
        <v>37206</v>
      </c>
      <c r="M12564" t="s">
        <v>41073</v>
      </c>
      <c r="N12564" t="s">
        <v>41249</v>
      </c>
      <c r="O12564" t="s">
        <v>41250</v>
      </c>
      <c r="P12564">
        <v>0</v>
      </c>
      <c r="Q12564">
        <v>1</v>
      </c>
      <c r="R12564" t="s">
        <v>41267</v>
      </c>
      <c r="S12564" t="s">
        <v>42077</v>
      </c>
      <c r="T12564" t="s">
        <v>42876</v>
      </c>
      <c r="U12564" t="s">
        <v>53254</v>
      </c>
      <c r="W12564" t="s">
        <v>41073</v>
      </c>
      <c r="X12564" t="s">
        <v>41268</v>
      </c>
    </row>
    <row r="12565" spans="1:24">
      <c r="A12565">
        <f>HYPERLINK("https://www.philgeps.gov.ph/GEPSNONPILOT/Tender/SplashBidNoticeAbstractUI.aspx?menuIndex=3&amp;refID=7046882&amp;Result=3","7046882")</f>
        <v>0</v>
      </c>
      <c r="B12565" t="s">
        <v>3258</v>
      </c>
      <c r="C12565" t="s">
        <v>15419</v>
      </c>
      <c r="D12565" t="s">
        <v>16642</v>
      </c>
      <c r="E12565" t="s">
        <v>18464</v>
      </c>
      <c r="F12565" t="s">
        <v>28669</v>
      </c>
      <c r="G12565" t="s">
        <v>28675</v>
      </c>
      <c r="H12565" t="s">
        <v>28686</v>
      </c>
      <c r="I12565" t="s">
        <v>28689</v>
      </c>
      <c r="J12565" t="s">
        <v>36492</v>
      </c>
      <c r="K12565" t="s">
        <v>37332</v>
      </c>
      <c r="M12565" t="s">
        <v>41079</v>
      </c>
      <c r="N12565" t="s">
        <v>41249</v>
      </c>
      <c r="O12565" t="s">
        <v>41250</v>
      </c>
      <c r="P12565">
        <v>0</v>
      </c>
      <c r="Q12565">
        <v>3</v>
      </c>
      <c r="R12565" t="s">
        <v>41267</v>
      </c>
      <c r="S12565" t="s">
        <v>42077</v>
      </c>
      <c r="T12565" t="s">
        <v>42673</v>
      </c>
      <c r="U12565" t="s">
        <v>53255</v>
      </c>
      <c r="W12565" t="s">
        <v>41079</v>
      </c>
      <c r="X12565" t="s">
        <v>41268</v>
      </c>
    </row>
    <row r="12566" spans="1:24">
      <c r="A12566">
        <f>HYPERLINK("https://www.philgeps.gov.ph/GEPSNONPILOT/Tender/SplashBidNoticeAbstractUI.aspx?menuIndex=3&amp;refID=7046850&amp;Result=3","7046850")</f>
        <v>0</v>
      </c>
      <c r="B12566" t="s">
        <v>2390</v>
      </c>
      <c r="C12566" t="s">
        <v>15420</v>
      </c>
      <c r="D12566" t="s">
        <v>16608</v>
      </c>
      <c r="E12566" t="s">
        <v>27556</v>
      </c>
      <c r="F12566" t="s">
        <v>28669</v>
      </c>
      <c r="G12566" t="s">
        <v>28675</v>
      </c>
      <c r="H12566" t="s">
        <v>9998</v>
      </c>
      <c r="I12566" t="s">
        <v>28701</v>
      </c>
      <c r="J12566" t="s">
        <v>36493</v>
      </c>
      <c r="K12566" t="s">
        <v>37209</v>
      </c>
      <c r="M12566" t="s">
        <v>41080</v>
      </c>
      <c r="N12566" t="s">
        <v>41249</v>
      </c>
      <c r="O12566" t="s">
        <v>41250</v>
      </c>
      <c r="Q12566">
        <v>7</v>
      </c>
      <c r="R12566" t="s">
        <v>41267</v>
      </c>
      <c r="S12566" t="s">
        <v>42122</v>
      </c>
      <c r="T12566" t="s">
        <v>42703</v>
      </c>
      <c r="U12566" t="s">
        <v>53256</v>
      </c>
      <c r="W12566" t="s">
        <v>41080</v>
      </c>
      <c r="X12566" t="s">
        <v>41268</v>
      </c>
    </row>
    <row r="12567" spans="1:24">
      <c r="A12567">
        <f>HYPERLINK("https://www.philgeps.gov.ph/GEPSNONPILOT/Tender/SplashBidNoticeAbstractUI.aspx?menuIndex=3&amp;refID=7046645&amp;Result=3","7046645")</f>
        <v>0</v>
      </c>
      <c r="B12567" t="s">
        <v>3259</v>
      </c>
      <c r="C12567" t="s">
        <v>15421</v>
      </c>
      <c r="D12567" t="s">
        <v>16618</v>
      </c>
      <c r="E12567" t="s">
        <v>18521</v>
      </c>
      <c r="F12567" t="s">
        <v>28669</v>
      </c>
      <c r="G12567" t="s">
        <v>28675</v>
      </c>
      <c r="H12567" t="s">
        <v>28686</v>
      </c>
      <c r="I12567" t="s">
        <v>28689</v>
      </c>
      <c r="J12567" t="s">
        <v>36494</v>
      </c>
      <c r="K12567" t="s">
        <v>37220</v>
      </c>
      <c r="M12567" t="s">
        <v>41081</v>
      </c>
      <c r="N12567" t="s">
        <v>41249</v>
      </c>
      <c r="O12567" t="s">
        <v>41250</v>
      </c>
      <c r="P12567">
        <v>0</v>
      </c>
      <c r="Q12567">
        <v>0</v>
      </c>
      <c r="R12567" t="s">
        <v>41267</v>
      </c>
      <c r="S12567" t="s">
        <v>42077</v>
      </c>
      <c r="T12567" t="s">
        <v>42714</v>
      </c>
      <c r="U12567" t="s">
        <v>53257</v>
      </c>
      <c r="W12567" t="s">
        <v>41081</v>
      </c>
      <c r="X12567" t="s">
        <v>41268</v>
      </c>
    </row>
    <row r="12568" spans="1:24">
      <c r="A12568">
        <f>HYPERLINK("https://www.philgeps.gov.ph/GEPSNONPILOT/Tender/SplashBidNoticeAbstractUI.aspx?menuIndex=3&amp;refID=7046848&amp;Result=3","7046848")</f>
        <v>0</v>
      </c>
      <c r="B12568" t="s">
        <v>2375</v>
      </c>
      <c r="C12568" t="s">
        <v>15422</v>
      </c>
      <c r="D12568" t="s">
        <v>16680</v>
      </c>
      <c r="E12568" t="s">
        <v>27557</v>
      </c>
      <c r="F12568" t="s">
        <v>28669</v>
      </c>
      <c r="G12568" t="s">
        <v>28675</v>
      </c>
      <c r="H12568" t="s">
        <v>9998</v>
      </c>
      <c r="I12568" t="s">
        <v>28695</v>
      </c>
      <c r="J12568" t="s">
        <v>36495</v>
      </c>
      <c r="K12568" t="s">
        <v>37205</v>
      </c>
      <c r="M12568" t="s">
        <v>40045</v>
      </c>
      <c r="N12568" t="s">
        <v>41249</v>
      </c>
      <c r="O12568" t="s">
        <v>41250</v>
      </c>
      <c r="P12568">
        <v>0</v>
      </c>
      <c r="Q12568">
        <v>0</v>
      </c>
      <c r="R12568" t="s">
        <v>41267</v>
      </c>
      <c r="S12568" t="s">
        <v>42077</v>
      </c>
      <c r="T12568" t="s">
        <v>42679</v>
      </c>
      <c r="U12568" t="s">
        <v>53258</v>
      </c>
      <c r="W12568" t="s">
        <v>40045</v>
      </c>
      <c r="X12568" t="s">
        <v>41268</v>
      </c>
    </row>
    <row r="12569" spans="1:24">
      <c r="A12569">
        <f>HYPERLINK("https://www.philgeps.gov.ph/GEPSNONPILOT/Tender/SplashBidNoticeAbstractUI.aspx?menuIndex=3&amp;refID=7046861&amp;Result=3","7046861")</f>
        <v>0</v>
      </c>
      <c r="B12569" t="s">
        <v>2375</v>
      </c>
      <c r="C12569" t="s">
        <v>15423</v>
      </c>
      <c r="D12569" t="s">
        <v>16680</v>
      </c>
      <c r="E12569" t="s">
        <v>27558</v>
      </c>
      <c r="F12569" t="s">
        <v>28669</v>
      </c>
      <c r="G12569" t="s">
        <v>28675</v>
      </c>
      <c r="H12569" t="s">
        <v>28686</v>
      </c>
      <c r="I12569" t="s">
        <v>28689</v>
      </c>
      <c r="J12569" t="s">
        <v>30808</v>
      </c>
      <c r="K12569" t="s">
        <v>37421</v>
      </c>
      <c r="M12569" t="s">
        <v>40045</v>
      </c>
      <c r="N12569" t="s">
        <v>41249</v>
      </c>
      <c r="O12569" t="s">
        <v>41250</v>
      </c>
      <c r="P12569">
        <v>0</v>
      </c>
      <c r="Q12569">
        <v>1</v>
      </c>
      <c r="R12569" t="s">
        <v>41267</v>
      </c>
      <c r="S12569" t="s">
        <v>42077</v>
      </c>
      <c r="T12569" t="s">
        <v>42759</v>
      </c>
      <c r="U12569" t="s">
        <v>53259</v>
      </c>
      <c r="W12569" t="s">
        <v>40045</v>
      </c>
      <c r="X12569" t="s">
        <v>41268</v>
      </c>
    </row>
    <row r="12570" spans="1:24">
      <c r="A12570">
        <f>HYPERLINK("https://www.philgeps.gov.ph/GEPSNONPILOT/Tender/SplashBidNoticeAbstractUI.aspx?menuIndex=3&amp;refID=7046858&amp;Result=3","7046858")</f>
        <v>0</v>
      </c>
      <c r="B12570" t="s">
        <v>2375</v>
      </c>
      <c r="C12570" t="s">
        <v>15424</v>
      </c>
      <c r="D12570" t="s">
        <v>16680</v>
      </c>
      <c r="E12570" t="s">
        <v>27559</v>
      </c>
      <c r="F12570" t="s">
        <v>28669</v>
      </c>
      <c r="G12570" t="s">
        <v>28675</v>
      </c>
      <c r="H12570" t="s">
        <v>28686</v>
      </c>
      <c r="I12570" t="s">
        <v>28689</v>
      </c>
      <c r="J12570" t="s">
        <v>34178</v>
      </c>
      <c r="K12570" t="s">
        <v>37346</v>
      </c>
      <c r="M12570" t="s">
        <v>40045</v>
      </c>
      <c r="N12570" t="s">
        <v>41249</v>
      </c>
      <c r="O12570" t="s">
        <v>41250</v>
      </c>
      <c r="P12570">
        <v>0</v>
      </c>
      <c r="Q12570">
        <v>0</v>
      </c>
      <c r="R12570" t="s">
        <v>41267</v>
      </c>
      <c r="S12570" t="s">
        <v>42077</v>
      </c>
      <c r="T12570" t="s">
        <v>42759</v>
      </c>
      <c r="U12570" t="s">
        <v>53260</v>
      </c>
      <c r="W12570" t="s">
        <v>40045</v>
      </c>
      <c r="X12570" t="s">
        <v>41268</v>
      </c>
    </row>
    <row r="12571" spans="1:24">
      <c r="A12571">
        <f>HYPERLINK("https://www.philgeps.gov.ph/GEPSNONPILOT/Tender/SplashBidNoticeAbstractUI.aspx?menuIndex=3&amp;refID=7046766&amp;Result=3","7046766")</f>
        <v>0</v>
      </c>
      <c r="B12571" t="s">
        <v>3180</v>
      </c>
      <c r="C12571" t="s">
        <v>15425</v>
      </c>
      <c r="D12571" t="s">
        <v>16639</v>
      </c>
      <c r="E12571" t="s">
        <v>27560</v>
      </c>
      <c r="F12571" t="s">
        <v>28669</v>
      </c>
      <c r="G12571" t="s">
        <v>28675</v>
      </c>
      <c r="H12571" t="s">
        <v>9998</v>
      </c>
      <c r="I12571" t="s">
        <v>7352</v>
      </c>
      <c r="J12571" t="s">
        <v>36496</v>
      </c>
      <c r="K12571" t="s">
        <v>37209</v>
      </c>
      <c r="L12571" t="s">
        <v>3180</v>
      </c>
      <c r="M12571" t="s">
        <v>40981</v>
      </c>
      <c r="N12571" t="s">
        <v>41249</v>
      </c>
      <c r="O12571" t="s">
        <v>41250</v>
      </c>
      <c r="P12571">
        <v>0</v>
      </c>
      <c r="Q12571">
        <v>4</v>
      </c>
      <c r="R12571" t="s">
        <v>41267</v>
      </c>
      <c r="S12571" t="s">
        <v>42077</v>
      </c>
      <c r="T12571" t="s">
        <v>42714</v>
      </c>
      <c r="U12571" t="s">
        <v>52731</v>
      </c>
      <c r="W12571" t="s">
        <v>40981</v>
      </c>
      <c r="X12571" t="s">
        <v>41268</v>
      </c>
    </row>
    <row r="12572" spans="1:24">
      <c r="A12572">
        <f>HYPERLINK("https://www.philgeps.gov.ph/GEPSNONPILOT/Tender/SplashBidNoticeAbstractUI.aspx?menuIndex=3&amp;refID=7046855&amp;Result=3","7046855")</f>
        <v>0</v>
      </c>
      <c r="B12572" t="s">
        <v>2375</v>
      </c>
      <c r="C12572" t="s">
        <v>15426</v>
      </c>
      <c r="D12572" t="s">
        <v>16680</v>
      </c>
      <c r="E12572" t="s">
        <v>27561</v>
      </c>
      <c r="F12572" t="s">
        <v>28669</v>
      </c>
      <c r="G12572" t="s">
        <v>28675</v>
      </c>
      <c r="H12572" t="s">
        <v>9998</v>
      </c>
      <c r="I12572" t="s">
        <v>28704</v>
      </c>
      <c r="J12572" t="s">
        <v>29564</v>
      </c>
      <c r="K12572" t="s">
        <v>37205</v>
      </c>
      <c r="M12572" t="s">
        <v>40045</v>
      </c>
      <c r="N12572" t="s">
        <v>41249</v>
      </c>
      <c r="O12572" t="s">
        <v>41250</v>
      </c>
      <c r="P12572">
        <v>0</v>
      </c>
      <c r="Q12572">
        <v>0</v>
      </c>
      <c r="R12572" t="s">
        <v>41267</v>
      </c>
      <c r="S12572" t="s">
        <v>42077</v>
      </c>
      <c r="T12572" t="s">
        <v>42679</v>
      </c>
      <c r="U12572" t="s">
        <v>53261</v>
      </c>
      <c r="W12572" t="s">
        <v>40045</v>
      </c>
      <c r="X12572" t="s">
        <v>41268</v>
      </c>
    </row>
    <row r="12573" spans="1:24">
      <c r="A12573">
        <f>HYPERLINK("https://www.philgeps.gov.ph/GEPSNONPILOT/Tender/SplashBidNoticeAbstractUI.aspx?menuIndex=3&amp;refID=7046867&amp;Result=3","7046867")</f>
        <v>0</v>
      </c>
      <c r="B12573" t="s">
        <v>3258</v>
      </c>
      <c r="C12573" t="s">
        <v>15427</v>
      </c>
      <c r="D12573" t="s">
        <v>16642</v>
      </c>
      <c r="E12573" t="s">
        <v>18374</v>
      </c>
      <c r="F12573" t="s">
        <v>28669</v>
      </c>
      <c r="G12573" t="s">
        <v>28675</v>
      </c>
      <c r="H12573" t="s">
        <v>28686</v>
      </c>
      <c r="I12573" t="s">
        <v>28689</v>
      </c>
      <c r="J12573" t="s">
        <v>36497</v>
      </c>
      <c r="K12573" t="s">
        <v>37283</v>
      </c>
      <c r="M12573" t="s">
        <v>41079</v>
      </c>
      <c r="N12573" t="s">
        <v>41249</v>
      </c>
      <c r="O12573" t="s">
        <v>41250</v>
      </c>
      <c r="P12573">
        <v>0</v>
      </c>
      <c r="Q12573">
        <v>2</v>
      </c>
      <c r="R12573" t="s">
        <v>41267</v>
      </c>
      <c r="S12573" t="s">
        <v>42077</v>
      </c>
      <c r="T12573" t="s">
        <v>42673</v>
      </c>
      <c r="U12573" t="s">
        <v>53262</v>
      </c>
      <c r="W12573" t="s">
        <v>41079</v>
      </c>
      <c r="X12573" t="s">
        <v>41268</v>
      </c>
    </row>
    <row r="12574" spans="1:24">
      <c r="A12574">
        <f>HYPERLINK("https://www.philgeps.gov.ph/GEPSNONPILOT/Tender/SplashBidNoticeAbstractUI.aspx?menuIndex=3&amp;refID=7046845&amp;Result=3","7046845")</f>
        <v>0</v>
      </c>
      <c r="B12574" t="s">
        <v>3246</v>
      </c>
      <c r="C12574" t="s">
        <v>15428</v>
      </c>
      <c r="D12574" t="s">
        <v>16668</v>
      </c>
      <c r="E12574" t="s">
        <v>16708</v>
      </c>
      <c r="F12574" t="s">
        <v>28669</v>
      </c>
      <c r="G12574" t="s">
        <v>28675</v>
      </c>
      <c r="H12574" t="s">
        <v>28686</v>
      </c>
      <c r="I12574" t="s">
        <v>28689</v>
      </c>
      <c r="J12574" t="s">
        <v>28924</v>
      </c>
      <c r="K12574" t="s">
        <v>37211</v>
      </c>
      <c r="M12574" t="s">
        <v>41063</v>
      </c>
      <c r="N12574" t="s">
        <v>41249</v>
      </c>
      <c r="O12574" t="s">
        <v>41250</v>
      </c>
      <c r="P12574">
        <v>0</v>
      </c>
      <c r="Q12574">
        <v>4</v>
      </c>
      <c r="R12574" t="s">
        <v>41267</v>
      </c>
      <c r="S12574" t="s">
        <v>42077</v>
      </c>
      <c r="T12574" t="s">
        <v>42703</v>
      </c>
      <c r="U12574" t="s">
        <v>53263</v>
      </c>
      <c r="W12574" t="s">
        <v>41063</v>
      </c>
      <c r="X12574" t="s">
        <v>41268</v>
      </c>
    </row>
    <row r="12575" spans="1:24">
      <c r="A12575">
        <f>HYPERLINK("https://www.philgeps.gov.ph/GEPSNONPILOT/Tender/SplashBidNoticeAbstractUI.aspx?menuIndex=3&amp;refID=7046740&amp;Result=3","7046740")</f>
        <v>0</v>
      </c>
      <c r="B12575" t="s">
        <v>788</v>
      </c>
      <c r="C12575" t="s">
        <v>15429</v>
      </c>
      <c r="D12575" t="s">
        <v>16648</v>
      </c>
      <c r="E12575" t="s">
        <v>27562</v>
      </c>
      <c r="F12575" t="s">
        <v>28669</v>
      </c>
      <c r="G12575" t="s">
        <v>28675</v>
      </c>
      <c r="H12575" t="s">
        <v>28686</v>
      </c>
      <c r="I12575" t="s">
        <v>28689</v>
      </c>
      <c r="J12575" t="s">
        <v>28924</v>
      </c>
      <c r="K12575" t="s">
        <v>37215</v>
      </c>
      <c r="M12575" t="s">
        <v>38302</v>
      </c>
      <c r="N12575" t="s">
        <v>41249</v>
      </c>
      <c r="O12575" t="s">
        <v>41250</v>
      </c>
      <c r="P12575">
        <v>0</v>
      </c>
      <c r="Q12575">
        <v>2</v>
      </c>
      <c r="R12575" t="s">
        <v>41267</v>
      </c>
      <c r="S12575" t="s">
        <v>42077</v>
      </c>
      <c r="T12575" t="s">
        <v>42703</v>
      </c>
      <c r="U12575" t="s">
        <v>53264</v>
      </c>
      <c r="W12575" t="s">
        <v>38302</v>
      </c>
      <c r="X12575" t="s">
        <v>41268</v>
      </c>
    </row>
    <row r="12576" spans="1:24">
      <c r="A12576">
        <f>HYPERLINK("https://www.philgeps.gov.ph/GEPSNONPILOT/Tender/SplashBidNoticeAbstractUI.aspx?menuIndex=3&amp;refID=7046634&amp;Result=3","7046634")</f>
        <v>0</v>
      </c>
      <c r="B12576" t="s">
        <v>1633</v>
      </c>
      <c r="C12576" t="s">
        <v>15430</v>
      </c>
      <c r="D12576" t="s">
        <v>16664</v>
      </c>
      <c r="E12576" t="s">
        <v>27563</v>
      </c>
      <c r="F12576" t="s">
        <v>28669</v>
      </c>
      <c r="G12576" t="s">
        <v>28675</v>
      </c>
      <c r="H12576" t="s">
        <v>9998</v>
      </c>
      <c r="I12576" t="s">
        <v>28707</v>
      </c>
      <c r="J12576" t="s">
        <v>36498</v>
      </c>
      <c r="K12576" t="s">
        <v>37325</v>
      </c>
      <c r="M12576" t="s">
        <v>39222</v>
      </c>
      <c r="N12576" t="s">
        <v>41249</v>
      </c>
      <c r="O12576" t="s">
        <v>41250</v>
      </c>
      <c r="Q12576">
        <v>7</v>
      </c>
      <c r="R12576" t="s">
        <v>41267</v>
      </c>
      <c r="S12576" t="s">
        <v>42123</v>
      </c>
      <c r="T12576" t="s">
        <v>42876</v>
      </c>
      <c r="U12576" t="s">
        <v>53265</v>
      </c>
      <c r="V12576" t="s">
        <v>55769</v>
      </c>
      <c r="W12576" t="s">
        <v>39222</v>
      </c>
      <c r="X12576" t="s">
        <v>41268</v>
      </c>
    </row>
    <row r="12577" spans="1:24">
      <c r="A12577">
        <f>HYPERLINK("https://www.philgeps.gov.ph/GEPSNONPILOT/Tender/SplashBidNoticeAbstractUI.aspx?menuIndex=3&amp;refID=7046517&amp;Result=3","7046517")</f>
        <v>0</v>
      </c>
      <c r="B12577" t="s">
        <v>3260</v>
      </c>
      <c r="C12577" t="s">
        <v>15431</v>
      </c>
      <c r="D12577" t="s">
        <v>16618</v>
      </c>
      <c r="E12577" t="s">
        <v>18521</v>
      </c>
      <c r="F12577" t="s">
        <v>28669</v>
      </c>
      <c r="G12577" t="s">
        <v>28675</v>
      </c>
      <c r="H12577" t="s">
        <v>28686</v>
      </c>
      <c r="I12577" t="s">
        <v>28689</v>
      </c>
      <c r="J12577" t="s">
        <v>36499</v>
      </c>
      <c r="K12577" t="s">
        <v>37227</v>
      </c>
      <c r="M12577" t="s">
        <v>41082</v>
      </c>
      <c r="N12577" t="s">
        <v>41249</v>
      </c>
      <c r="O12577" t="s">
        <v>41250</v>
      </c>
      <c r="P12577">
        <v>0</v>
      </c>
      <c r="Q12577">
        <v>0</v>
      </c>
      <c r="R12577" t="s">
        <v>41267</v>
      </c>
      <c r="S12577" t="s">
        <v>42077</v>
      </c>
      <c r="T12577" t="s">
        <v>42851</v>
      </c>
      <c r="U12577" t="s">
        <v>53266</v>
      </c>
      <c r="W12577" t="s">
        <v>41082</v>
      </c>
      <c r="X12577" t="s">
        <v>41268</v>
      </c>
    </row>
    <row r="12578" spans="1:24">
      <c r="A12578">
        <f>HYPERLINK("https://www.philgeps.gov.ph/GEPSNONPILOT/Tender/SplashBidNoticeAbstractUI.aspx?menuIndex=3&amp;refID=7046509&amp;Result=3","7046509")</f>
        <v>0</v>
      </c>
      <c r="B12578" t="s">
        <v>909</v>
      </c>
      <c r="C12578" t="s">
        <v>15432</v>
      </c>
      <c r="D12578" t="s">
        <v>16662</v>
      </c>
      <c r="E12578" t="s">
        <v>27564</v>
      </c>
      <c r="F12578" t="s">
        <v>28669</v>
      </c>
      <c r="G12578" t="s">
        <v>28675</v>
      </c>
      <c r="H12578" t="s">
        <v>9998</v>
      </c>
      <c r="I12578" t="s">
        <v>6606</v>
      </c>
      <c r="J12578" t="s">
        <v>32741</v>
      </c>
      <c r="K12578" t="s">
        <v>37206</v>
      </c>
      <c r="M12578" t="s">
        <v>38431</v>
      </c>
      <c r="N12578" t="s">
        <v>41249</v>
      </c>
      <c r="O12578" t="s">
        <v>41250</v>
      </c>
      <c r="P12578">
        <v>0</v>
      </c>
      <c r="Q12578">
        <v>0</v>
      </c>
      <c r="R12578" t="s">
        <v>41267</v>
      </c>
      <c r="S12578" t="s">
        <v>42077</v>
      </c>
      <c r="T12578" t="s">
        <v>42679</v>
      </c>
      <c r="U12578" t="s">
        <v>53267</v>
      </c>
      <c r="W12578" t="s">
        <v>38431</v>
      </c>
      <c r="X12578" t="s">
        <v>41268</v>
      </c>
    </row>
    <row r="12579" spans="1:24">
      <c r="A12579">
        <f>HYPERLINK("https://www.philgeps.gov.ph/GEPSNONPILOT/Tender/SplashBidNoticeAbstractUI.aspx?menuIndex=3&amp;refID=7046068&amp;Result=3","7046068")</f>
        <v>0</v>
      </c>
      <c r="B12579" t="s">
        <v>3150</v>
      </c>
      <c r="C12579" t="s">
        <v>15433</v>
      </c>
      <c r="D12579" t="s">
        <v>16618</v>
      </c>
      <c r="E12579" t="s">
        <v>27565</v>
      </c>
      <c r="F12579" t="s">
        <v>28669</v>
      </c>
      <c r="G12579" t="s">
        <v>28675</v>
      </c>
      <c r="H12579" t="s">
        <v>9998</v>
      </c>
      <c r="I12579" t="s">
        <v>28693</v>
      </c>
      <c r="J12579" t="s">
        <v>30575</v>
      </c>
      <c r="K12579" t="s">
        <v>37204</v>
      </c>
      <c r="M12579" t="s">
        <v>40940</v>
      </c>
      <c r="N12579" t="s">
        <v>41249</v>
      </c>
      <c r="O12579" t="s">
        <v>41250</v>
      </c>
      <c r="P12579">
        <v>0</v>
      </c>
      <c r="Q12579">
        <v>8</v>
      </c>
      <c r="R12579" t="s">
        <v>41267</v>
      </c>
      <c r="S12579" t="s">
        <v>42077</v>
      </c>
      <c r="T12579" t="s">
        <v>42738</v>
      </c>
      <c r="U12579" t="s">
        <v>53268</v>
      </c>
      <c r="W12579" t="s">
        <v>40940</v>
      </c>
      <c r="X12579" t="s">
        <v>41268</v>
      </c>
    </row>
    <row r="12580" spans="1:24">
      <c r="A12580">
        <f>HYPERLINK("https://www.philgeps.gov.ph/GEPSNONPILOT/Tender/SplashBidNoticeAbstractUI.aspx?menuIndex=3&amp;refID=7046756&amp;Result=3","7046756")</f>
        <v>0</v>
      </c>
      <c r="B12580" t="s">
        <v>909</v>
      </c>
      <c r="C12580" t="s">
        <v>15434</v>
      </c>
      <c r="D12580" t="s">
        <v>16662</v>
      </c>
      <c r="E12580" t="s">
        <v>27566</v>
      </c>
      <c r="F12580" t="s">
        <v>28669</v>
      </c>
      <c r="G12580" t="s">
        <v>28675</v>
      </c>
      <c r="H12580" t="s">
        <v>9998</v>
      </c>
      <c r="I12580" t="s">
        <v>15140</v>
      </c>
      <c r="J12580" t="s">
        <v>29003</v>
      </c>
      <c r="K12580" t="s">
        <v>37206</v>
      </c>
      <c r="M12580" t="s">
        <v>38431</v>
      </c>
      <c r="N12580" t="s">
        <v>41249</v>
      </c>
      <c r="O12580" t="s">
        <v>41250</v>
      </c>
      <c r="P12580">
        <v>0</v>
      </c>
      <c r="Q12580">
        <v>0</v>
      </c>
      <c r="R12580" t="s">
        <v>41267</v>
      </c>
      <c r="S12580" t="s">
        <v>42077</v>
      </c>
      <c r="T12580" t="s">
        <v>42679</v>
      </c>
      <c r="U12580" t="s">
        <v>53269</v>
      </c>
      <c r="W12580" t="s">
        <v>38431</v>
      </c>
      <c r="X12580" t="s">
        <v>41268</v>
      </c>
    </row>
    <row r="12581" spans="1:24">
      <c r="A12581">
        <f>HYPERLINK("https://www.philgeps.gov.ph/GEPSNONPILOT/Tender/SplashBidNoticeAbstractUI.aspx?menuIndex=3&amp;refID=7046065&amp;Result=3","7046065")</f>
        <v>0</v>
      </c>
      <c r="B12581" t="s">
        <v>909</v>
      </c>
      <c r="C12581" t="s">
        <v>15435</v>
      </c>
      <c r="D12581" t="s">
        <v>16662</v>
      </c>
      <c r="E12581" t="s">
        <v>27567</v>
      </c>
      <c r="F12581" t="s">
        <v>28669</v>
      </c>
      <c r="G12581" t="s">
        <v>28675</v>
      </c>
      <c r="H12581" t="s">
        <v>9998</v>
      </c>
      <c r="I12581" t="s">
        <v>28722</v>
      </c>
      <c r="J12581" t="s">
        <v>28894</v>
      </c>
      <c r="K12581" t="s">
        <v>37206</v>
      </c>
      <c r="M12581" t="s">
        <v>38431</v>
      </c>
      <c r="N12581" t="s">
        <v>41249</v>
      </c>
      <c r="O12581" t="s">
        <v>41250</v>
      </c>
      <c r="P12581">
        <v>0</v>
      </c>
      <c r="Q12581">
        <v>1</v>
      </c>
      <c r="R12581" t="s">
        <v>41267</v>
      </c>
      <c r="S12581" t="s">
        <v>42077</v>
      </c>
      <c r="T12581" t="s">
        <v>42679</v>
      </c>
      <c r="U12581" t="s">
        <v>53270</v>
      </c>
      <c r="W12581" t="s">
        <v>38431</v>
      </c>
      <c r="X12581" t="s">
        <v>41268</v>
      </c>
    </row>
    <row r="12582" spans="1:24">
      <c r="A12582">
        <f>HYPERLINK("https://www.philgeps.gov.ph/GEPSNONPILOT/Tender/SplashBidNoticeAbstractUI.aspx?menuIndex=3&amp;refID=7045842&amp;Result=3","7045842")</f>
        <v>0</v>
      </c>
      <c r="B12582" t="s">
        <v>3237</v>
      </c>
      <c r="C12582" t="s">
        <v>15436</v>
      </c>
      <c r="D12582" t="s">
        <v>16608</v>
      </c>
      <c r="E12582" t="s">
        <v>27568</v>
      </c>
      <c r="F12582" t="s">
        <v>28669</v>
      </c>
      <c r="G12582" t="s">
        <v>28675</v>
      </c>
      <c r="H12582" t="s">
        <v>9998</v>
      </c>
      <c r="I12582" t="s">
        <v>28798</v>
      </c>
      <c r="J12582" t="s">
        <v>36500</v>
      </c>
      <c r="K12582" t="s">
        <v>37299</v>
      </c>
      <c r="M12582" t="s">
        <v>41053</v>
      </c>
      <c r="N12582" t="s">
        <v>41249</v>
      </c>
      <c r="O12582" t="s">
        <v>41250</v>
      </c>
      <c r="Q12582">
        <v>1</v>
      </c>
      <c r="R12582" t="s">
        <v>41267</v>
      </c>
      <c r="S12582" t="s">
        <v>41686</v>
      </c>
      <c r="T12582" t="s">
        <v>42698</v>
      </c>
      <c r="U12582" t="s">
        <v>53271</v>
      </c>
      <c r="W12582" t="s">
        <v>41053</v>
      </c>
      <c r="X12582" t="s">
        <v>41268</v>
      </c>
    </row>
    <row r="12583" spans="1:24">
      <c r="A12583">
        <f>HYPERLINK("https://www.philgeps.gov.ph/GEPSNONPILOT/Tender/SplashBidNoticeAbstractUI.aspx?menuIndex=3&amp;refID=7046723&amp;Result=3","7046723")</f>
        <v>0</v>
      </c>
      <c r="B12583" t="s">
        <v>2634</v>
      </c>
      <c r="C12583" t="s">
        <v>15437</v>
      </c>
      <c r="D12583" t="s">
        <v>16660</v>
      </c>
      <c r="E12583" t="s">
        <v>17653</v>
      </c>
      <c r="F12583" t="s">
        <v>28669</v>
      </c>
      <c r="G12583" t="s">
        <v>28675</v>
      </c>
      <c r="H12583" t="s">
        <v>28686</v>
      </c>
      <c r="I12583" t="s">
        <v>28689</v>
      </c>
      <c r="J12583" t="s">
        <v>36501</v>
      </c>
      <c r="K12583" t="s">
        <v>37215</v>
      </c>
      <c r="M12583" t="s">
        <v>40333</v>
      </c>
      <c r="N12583" t="s">
        <v>41249</v>
      </c>
      <c r="O12583" t="s">
        <v>41250</v>
      </c>
      <c r="P12583">
        <v>0</v>
      </c>
      <c r="Q12583">
        <v>3</v>
      </c>
      <c r="R12583" t="s">
        <v>41267</v>
      </c>
      <c r="S12583" t="s">
        <v>42077</v>
      </c>
      <c r="T12583" t="s">
        <v>42817</v>
      </c>
      <c r="U12583" t="s">
        <v>53272</v>
      </c>
      <c r="V12583" t="s">
        <v>55770</v>
      </c>
      <c r="W12583" t="s">
        <v>40333</v>
      </c>
      <c r="X12583" t="s">
        <v>41268</v>
      </c>
    </row>
    <row r="12584" spans="1:24">
      <c r="A12584">
        <f>HYPERLINK("https://www.philgeps.gov.ph/GEPSNONPILOT/Tender/SplashBidNoticeAbstractUI.aspx?menuIndex=3&amp;refID=7045823&amp;Result=3","7045823")</f>
        <v>0</v>
      </c>
      <c r="B12584" t="s">
        <v>909</v>
      </c>
      <c r="C12584" t="s">
        <v>15438</v>
      </c>
      <c r="D12584" t="s">
        <v>16662</v>
      </c>
      <c r="E12584" t="s">
        <v>27432</v>
      </c>
      <c r="F12584" t="s">
        <v>28669</v>
      </c>
      <c r="G12584" t="s">
        <v>28675</v>
      </c>
      <c r="H12584" t="s">
        <v>9998</v>
      </c>
      <c r="I12584" t="s">
        <v>5213</v>
      </c>
      <c r="J12584" t="s">
        <v>31100</v>
      </c>
      <c r="K12584" t="s">
        <v>37206</v>
      </c>
      <c r="M12584" t="s">
        <v>38431</v>
      </c>
      <c r="N12584" t="s">
        <v>41249</v>
      </c>
      <c r="O12584" t="s">
        <v>41250</v>
      </c>
      <c r="P12584">
        <v>0</v>
      </c>
      <c r="Q12584">
        <v>2</v>
      </c>
      <c r="R12584" t="s">
        <v>41267</v>
      </c>
      <c r="S12584" t="s">
        <v>42077</v>
      </c>
      <c r="T12584" t="s">
        <v>42679</v>
      </c>
      <c r="U12584" t="s">
        <v>53132</v>
      </c>
      <c r="W12584" t="s">
        <v>38431</v>
      </c>
      <c r="X12584" t="s">
        <v>41268</v>
      </c>
    </row>
    <row r="12585" spans="1:24">
      <c r="A12585">
        <f>HYPERLINK("https://www.philgeps.gov.ph/GEPSNONPILOT/Tender/SplashBidNoticeAbstractUI.aspx?menuIndex=3&amp;refID=7046073&amp;Result=3","7046073")</f>
        <v>0</v>
      </c>
      <c r="B12585" t="s">
        <v>154</v>
      </c>
      <c r="C12585" t="s">
        <v>15439</v>
      </c>
      <c r="D12585" t="s">
        <v>16621</v>
      </c>
      <c r="E12585" t="s">
        <v>27569</v>
      </c>
      <c r="F12585" t="s">
        <v>28669</v>
      </c>
      <c r="G12585" t="s">
        <v>28675</v>
      </c>
      <c r="H12585" t="s">
        <v>28686</v>
      </c>
      <c r="I12585" t="s">
        <v>28689</v>
      </c>
      <c r="J12585" t="s">
        <v>36502</v>
      </c>
      <c r="K12585" t="s">
        <v>37220</v>
      </c>
      <c r="M12585" t="s">
        <v>37631</v>
      </c>
      <c r="N12585" t="s">
        <v>41249</v>
      </c>
      <c r="O12585" t="s">
        <v>41250</v>
      </c>
      <c r="Q12585">
        <v>1</v>
      </c>
      <c r="R12585" t="s">
        <v>41267</v>
      </c>
      <c r="S12585" t="s">
        <v>42124</v>
      </c>
      <c r="T12585" t="s">
        <v>42754</v>
      </c>
      <c r="U12585" t="s">
        <v>53273</v>
      </c>
      <c r="V12585" t="s">
        <v>55771</v>
      </c>
      <c r="W12585" t="s">
        <v>37631</v>
      </c>
      <c r="X12585" t="s">
        <v>41268</v>
      </c>
    </row>
    <row r="12586" spans="1:24">
      <c r="A12586">
        <f>HYPERLINK("https://www.philgeps.gov.ph/GEPSNONPILOT/Tender/SplashBidNoticeAbstractUI.aspx?menuIndex=3&amp;refID=7045822&amp;Result=3","7045822")</f>
        <v>0</v>
      </c>
      <c r="B12586" t="s">
        <v>369</v>
      </c>
      <c r="C12586" t="s">
        <v>15440</v>
      </c>
      <c r="D12586" t="s">
        <v>16619</v>
      </c>
      <c r="E12586" t="s">
        <v>27570</v>
      </c>
      <c r="F12586" t="s">
        <v>28669</v>
      </c>
      <c r="G12586" t="s">
        <v>28675</v>
      </c>
      <c r="H12586" t="s">
        <v>9998</v>
      </c>
      <c r="I12586" t="s">
        <v>28696</v>
      </c>
      <c r="J12586" t="s">
        <v>31117</v>
      </c>
      <c r="K12586" t="s">
        <v>37220</v>
      </c>
      <c r="M12586" t="s">
        <v>37851</v>
      </c>
      <c r="N12586" t="s">
        <v>41249</v>
      </c>
      <c r="O12586" t="s">
        <v>41250</v>
      </c>
      <c r="P12586">
        <v>0</v>
      </c>
      <c r="Q12586">
        <v>9</v>
      </c>
      <c r="R12586" t="s">
        <v>41267</v>
      </c>
      <c r="S12586" t="s">
        <v>42077</v>
      </c>
      <c r="T12586" t="s">
        <v>42679</v>
      </c>
      <c r="U12586" t="s">
        <v>52507</v>
      </c>
      <c r="W12586" t="s">
        <v>37851</v>
      </c>
      <c r="X12586" t="s">
        <v>41268</v>
      </c>
    </row>
    <row r="12587" spans="1:24">
      <c r="A12587">
        <f>HYPERLINK("https://www.philgeps.gov.ph/GEPSNONPILOT/Tender/SplashBidNoticeAbstractUI.aspx?menuIndex=3&amp;refID=7044503&amp;Result=3","7044503")</f>
        <v>0</v>
      </c>
      <c r="B12587" t="s">
        <v>1719</v>
      </c>
      <c r="C12587" t="s">
        <v>15441</v>
      </c>
      <c r="D12587" t="s">
        <v>16652</v>
      </c>
      <c r="E12587" t="s">
        <v>27571</v>
      </c>
      <c r="F12587" t="s">
        <v>28669</v>
      </c>
      <c r="G12587" t="s">
        <v>28675</v>
      </c>
      <c r="H12587" t="s">
        <v>28686</v>
      </c>
      <c r="I12587" t="s">
        <v>28689</v>
      </c>
      <c r="J12587" t="s">
        <v>36503</v>
      </c>
      <c r="K12587" t="s">
        <v>37207</v>
      </c>
      <c r="M12587" t="s">
        <v>39317</v>
      </c>
      <c r="N12587" t="s">
        <v>41249</v>
      </c>
      <c r="O12587" t="s">
        <v>41250</v>
      </c>
      <c r="P12587">
        <v>0</v>
      </c>
      <c r="Q12587">
        <v>19</v>
      </c>
      <c r="R12587" t="s">
        <v>41267</v>
      </c>
      <c r="S12587" t="s">
        <v>42077</v>
      </c>
      <c r="T12587" t="s">
        <v>42711</v>
      </c>
      <c r="U12587" t="s">
        <v>53274</v>
      </c>
      <c r="V12587" t="s">
        <v>55772</v>
      </c>
      <c r="W12587" t="s">
        <v>39317</v>
      </c>
      <c r="X12587" t="s">
        <v>41268</v>
      </c>
    </row>
    <row r="12588" spans="1:24">
      <c r="A12588">
        <f>HYPERLINK("https://www.philgeps.gov.ph/GEPSNONPILOT/Tender/SplashBidNoticeAbstractUI.aspx?menuIndex=3&amp;refID=7044498&amp;Result=3","7044498")</f>
        <v>0</v>
      </c>
      <c r="B12588" t="s">
        <v>130</v>
      </c>
      <c r="C12588" t="s">
        <v>15442</v>
      </c>
      <c r="E12588" t="s">
        <v>27572</v>
      </c>
      <c r="F12588" t="s">
        <v>28669</v>
      </c>
      <c r="G12588" t="s">
        <v>28675</v>
      </c>
      <c r="H12588" t="s">
        <v>28686</v>
      </c>
      <c r="I12588" t="s">
        <v>28689</v>
      </c>
      <c r="J12588" t="s">
        <v>29915</v>
      </c>
      <c r="K12588" t="s">
        <v>37215</v>
      </c>
      <c r="M12588" t="s">
        <v>37606</v>
      </c>
      <c r="N12588" t="s">
        <v>41249</v>
      </c>
      <c r="O12588" t="s">
        <v>41250</v>
      </c>
      <c r="P12588">
        <v>0</v>
      </c>
      <c r="Q12588">
        <v>0</v>
      </c>
      <c r="R12588" t="s">
        <v>41267</v>
      </c>
      <c r="S12588" t="s">
        <v>42077</v>
      </c>
      <c r="T12588" t="s">
        <v>42673</v>
      </c>
      <c r="U12588" t="s">
        <v>53275</v>
      </c>
      <c r="W12588" t="s">
        <v>37606</v>
      </c>
      <c r="X12588" t="s">
        <v>41268</v>
      </c>
    </row>
    <row r="12589" spans="1:24">
      <c r="A12589">
        <f>HYPERLINK("https://www.philgeps.gov.ph/GEPSNONPILOT/Tender/SplashBidNoticeAbstractUI.aspx?menuIndex=3&amp;refID=7045848&amp;Result=3","7045848")</f>
        <v>0</v>
      </c>
      <c r="B12589" t="s">
        <v>2382</v>
      </c>
      <c r="C12589" t="s">
        <v>15443</v>
      </c>
      <c r="D12589" t="s">
        <v>16626</v>
      </c>
      <c r="E12589" t="s">
        <v>27573</v>
      </c>
      <c r="F12589" t="s">
        <v>28669</v>
      </c>
      <c r="G12589" t="s">
        <v>28675</v>
      </c>
      <c r="H12589" t="s">
        <v>28686</v>
      </c>
      <c r="I12589" t="s">
        <v>11142</v>
      </c>
      <c r="J12589" t="s">
        <v>29101</v>
      </c>
      <c r="K12589" t="s">
        <v>37234</v>
      </c>
      <c r="M12589" t="s">
        <v>40055</v>
      </c>
      <c r="N12589" t="s">
        <v>41249</v>
      </c>
      <c r="O12589" t="s">
        <v>41250</v>
      </c>
      <c r="P12589">
        <v>0</v>
      </c>
      <c r="Q12589">
        <v>0</v>
      </c>
      <c r="R12589" t="s">
        <v>41267</v>
      </c>
      <c r="S12589" t="s">
        <v>42077</v>
      </c>
      <c r="T12589" t="s">
        <v>42887</v>
      </c>
      <c r="U12589" t="s">
        <v>53276</v>
      </c>
      <c r="W12589" t="s">
        <v>40055</v>
      </c>
      <c r="X12589" t="s">
        <v>41268</v>
      </c>
    </row>
    <row r="12590" spans="1:24">
      <c r="A12590">
        <f>HYPERLINK("https://www.philgeps.gov.ph/GEPSNONPILOT/Tender/SplashBidNoticeAbstractUI.aspx?menuIndex=3&amp;refID=7045825&amp;Result=3","7045825")</f>
        <v>0</v>
      </c>
      <c r="B12590" t="s">
        <v>3236</v>
      </c>
      <c r="C12590" t="s">
        <v>15444</v>
      </c>
      <c r="D12590" t="s">
        <v>16632</v>
      </c>
      <c r="E12590" t="s">
        <v>27574</v>
      </c>
      <c r="F12590" t="s">
        <v>28669</v>
      </c>
      <c r="G12590" t="s">
        <v>28675</v>
      </c>
      <c r="H12590" t="s">
        <v>28686</v>
      </c>
      <c r="I12590" t="s">
        <v>28689</v>
      </c>
      <c r="J12590" t="s">
        <v>28836</v>
      </c>
      <c r="K12590" t="s">
        <v>37213</v>
      </c>
      <c r="M12590" t="s">
        <v>41052</v>
      </c>
      <c r="N12590" t="s">
        <v>41249</v>
      </c>
      <c r="O12590" t="s">
        <v>41250</v>
      </c>
      <c r="P12590">
        <v>0</v>
      </c>
      <c r="Q12590">
        <v>2</v>
      </c>
      <c r="R12590" t="s">
        <v>41267</v>
      </c>
      <c r="S12590" t="s">
        <v>42077</v>
      </c>
      <c r="T12590" t="s">
        <v>42675</v>
      </c>
      <c r="U12590" t="s">
        <v>53277</v>
      </c>
      <c r="W12590" t="s">
        <v>41052</v>
      </c>
      <c r="X12590" t="s">
        <v>41268</v>
      </c>
    </row>
    <row r="12591" spans="1:24">
      <c r="A12591">
        <f>HYPERLINK("https://www.philgeps.gov.ph/GEPSNONPILOT/Tender/SplashBidNoticeAbstractUI.aspx?menuIndex=3&amp;refID=7046741&amp;Result=3","7046741")</f>
        <v>0</v>
      </c>
      <c r="B12591" t="s">
        <v>653</v>
      </c>
      <c r="C12591" t="s">
        <v>15445</v>
      </c>
      <c r="D12591" t="s">
        <v>16679</v>
      </c>
      <c r="E12591" t="s">
        <v>27575</v>
      </c>
      <c r="F12591" t="s">
        <v>28669</v>
      </c>
      <c r="G12591" t="s">
        <v>28675</v>
      </c>
      <c r="H12591" t="s">
        <v>9998</v>
      </c>
      <c r="I12591" t="s">
        <v>28738</v>
      </c>
      <c r="J12591" t="s">
        <v>36504</v>
      </c>
      <c r="K12591" t="s">
        <v>37220</v>
      </c>
      <c r="M12591" t="s">
        <v>38154</v>
      </c>
      <c r="N12591" t="s">
        <v>41249</v>
      </c>
      <c r="O12591" t="s">
        <v>41250</v>
      </c>
      <c r="Q12591">
        <v>7</v>
      </c>
      <c r="R12591" t="s">
        <v>41267</v>
      </c>
      <c r="S12591" t="s">
        <v>42125</v>
      </c>
      <c r="T12591" t="s">
        <v>42663</v>
      </c>
      <c r="U12591" t="s">
        <v>53278</v>
      </c>
      <c r="W12591" t="s">
        <v>38154</v>
      </c>
      <c r="X12591" t="s">
        <v>41268</v>
      </c>
    </row>
    <row r="12592" spans="1:24">
      <c r="A12592">
        <f>HYPERLINK("https://www.philgeps.gov.ph/GEPSNONPILOT/Tender/SplashBidNoticeAbstractUI.aspx?menuIndex=3&amp;refID=7046767&amp;Result=3","7046767")</f>
        <v>0</v>
      </c>
      <c r="B12592" t="s">
        <v>909</v>
      </c>
      <c r="C12592" t="s">
        <v>15446</v>
      </c>
      <c r="D12592" t="s">
        <v>16662</v>
      </c>
      <c r="E12592" t="s">
        <v>27576</v>
      </c>
      <c r="F12592" t="s">
        <v>28669</v>
      </c>
      <c r="G12592" t="s">
        <v>28675</v>
      </c>
      <c r="H12592" t="s">
        <v>9998</v>
      </c>
      <c r="I12592" t="s">
        <v>28704</v>
      </c>
      <c r="J12592" t="s">
        <v>29797</v>
      </c>
      <c r="K12592" t="s">
        <v>37206</v>
      </c>
      <c r="M12592" t="s">
        <v>38431</v>
      </c>
      <c r="N12592" t="s">
        <v>41249</v>
      </c>
      <c r="O12592" t="s">
        <v>41250</v>
      </c>
      <c r="P12592">
        <v>0</v>
      </c>
      <c r="Q12592">
        <v>0</v>
      </c>
      <c r="R12592" t="s">
        <v>41267</v>
      </c>
      <c r="S12592" t="s">
        <v>42077</v>
      </c>
      <c r="T12592" t="s">
        <v>42679</v>
      </c>
      <c r="U12592" t="s">
        <v>53279</v>
      </c>
      <c r="W12592" t="s">
        <v>38431</v>
      </c>
      <c r="X12592" t="s">
        <v>41268</v>
      </c>
    </row>
    <row r="12593" spans="1:24">
      <c r="A12593">
        <f>HYPERLINK("https://www.philgeps.gov.ph/GEPSNONPILOT/Tender/SplashBidNoticeAbstractUI.aspx?menuIndex=3&amp;refID=7046794&amp;Result=3","7046794")</f>
        <v>0</v>
      </c>
      <c r="B12593" t="s">
        <v>1619</v>
      </c>
      <c r="C12593" t="s">
        <v>15447</v>
      </c>
      <c r="D12593" t="s">
        <v>16678</v>
      </c>
      <c r="E12593" t="s">
        <v>27577</v>
      </c>
      <c r="F12593" t="s">
        <v>28669</v>
      </c>
      <c r="G12593" t="s">
        <v>28675</v>
      </c>
      <c r="H12593" t="s">
        <v>28686</v>
      </c>
      <c r="I12593" t="s">
        <v>28689</v>
      </c>
      <c r="J12593" t="s">
        <v>30503</v>
      </c>
      <c r="K12593" t="s">
        <v>37215</v>
      </c>
      <c r="M12593" t="s">
        <v>39205</v>
      </c>
      <c r="N12593" t="s">
        <v>41249</v>
      </c>
      <c r="O12593" t="s">
        <v>41250</v>
      </c>
      <c r="P12593">
        <v>0</v>
      </c>
      <c r="Q12593">
        <v>1</v>
      </c>
      <c r="R12593" t="s">
        <v>41267</v>
      </c>
      <c r="S12593" t="s">
        <v>42077</v>
      </c>
      <c r="T12593" t="s">
        <v>42686</v>
      </c>
      <c r="U12593" t="s">
        <v>47959</v>
      </c>
      <c r="W12593" t="s">
        <v>39205</v>
      </c>
      <c r="X12593" t="s">
        <v>41268</v>
      </c>
    </row>
    <row r="12594" spans="1:24">
      <c r="A12594">
        <f>HYPERLINK("https://www.philgeps.gov.ph/GEPSNONPILOT/Tender/SplashBidNoticeAbstractUI.aspx?menuIndex=3&amp;refID=7046989&amp;Result=3","7046989")</f>
        <v>0</v>
      </c>
      <c r="B12594" t="s">
        <v>3255</v>
      </c>
      <c r="C12594" t="s">
        <v>15448</v>
      </c>
      <c r="D12594" t="s">
        <v>16654</v>
      </c>
      <c r="E12594" t="s">
        <v>27578</v>
      </c>
      <c r="F12594" t="s">
        <v>28669</v>
      </c>
      <c r="G12594" t="s">
        <v>28675</v>
      </c>
      <c r="H12594" t="s">
        <v>9998</v>
      </c>
      <c r="I12594" t="s">
        <v>28764</v>
      </c>
      <c r="J12594" t="s">
        <v>28850</v>
      </c>
      <c r="K12594" t="s">
        <v>37211</v>
      </c>
      <c r="M12594" t="s">
        <v>41075</v>
      </c>
      <c r="N12594" t="s">
        <v>41249</v>
      </c>
      <c r="O12594" t="s">
        <v>41250</v>
      </c>
      <c r="P12594">
        <v>0</v>
      </c>
      <c r="Q12594">
        <v>27</v>
      </c>
      <c r="R12594" t="s">
        <v>41267</v>
      </c>
      <c r="S12594" t="s">
        <v>42077</v>
      </c>
      <c r="T12594" t="s">
        <v>42673</v>
      </c>
      <c r="U12594" t="s">
        <v>53280</v>
      </c>
      <c r="W12594" t="s">
        <v>41075</v>
      </c>
      <c r="X12594" t="s">
        <v>41268</v>
      </c>
    </row>
    <row r="12595" spans="1:24">
      <c r="A12595">
        <f>HYPERLINK("https://www.philgeps.gov.ph/GEPSNONPILOT/Tender/SplashBidNoticeAbstractUI.aspx?menuIndex=3&amp;refID=7047020&amp;Result=3","7047020")</f>
        <v>0</v>
      </c>
      <c r="B12595" t="s">
        <v>3253</v>
      </c>
      <c r="C12595" t="s">
        <v>15449</v>
      </c>
      <c r="D12595" t="s">
        <v>16616</v>
      </c>
      <c r="E12595" t="s">
        <v>27579</v>
      </c>
      <c r="F12595" t="s">
        <v>28669</v>
      </c>
      <c r="G12595" t="s">
        <v>28675</v>
      </c>
      <c r="H12595" t="s">
        <v>9998</v>
      </c>
      <c r="I12595" t="s">
        <v>28717</v>
      </c>
      <c r="J12595" t="s">
        <v>29490</v>
      </c>
      <c r="K12595" t="s">
        <v>37206</v>
      </c>
      <c r="M12595" t="s">
        <v>41073</v>
      </c>
      <c r="N12595" t="s">
        <v>41249</v>
      </c>
      <c r="O12595" t="s">
        <v>41250</v>
      </c>
      <c r="P12595">
        <v>0</v>
      </c>
      <c r="Q12595">
        <v>3</v>
      </c>
      <c r="R12595" t="s">
        <v>41267</v>
      </c>
      <c r="S12595" t="s">
        <v>42077</v>
      </c>
      <c r="T12595" t="s">
        <v>42876</v>
      </c>
      <c r="U12595" t="s">
        <v>53281</v>
      </c>
      <c r="W12595" t="s">
        <v>41073</v>
      </c>
      <c r="X12595" t="s">
        <v>41268</v>
      </c>
    </row>
    <row r="12596" spans="1:24">
      <c r="A12596">
        <f>HYPERLINK("https://www.philgeps.gov.ph/GEPSNONPILOT/Tender/SplashBidNoticeAbstractUI.aspx?menuIndex=3&amp;refID=7046997&amp;Result=3","7046997")</f>
        <v>0</v>
      </c>
      <c r="B12596" t="s">
        <v>1798</v>
      </c>
      <c r="C12596" t="s">
        <v>15450</v>
      </c>
      <c r="D12596" t="s">
        <v>16658</v>
      </c>
      <c r="E12596" t="s">
        <v>27580</v>
      </c>
      <c r="F12596" t="s">
        <v>28669</v>
      </c>
      <c r="G12596" t="s">
        <v>28675</v>
      </c>
      <c r="H12596" t="s">
        <v>9998</v>
      </c>
      <c r="I12596" t="s">
        <v>11593</v>
      </c>
      <c r="J12596" t="s">
        <v>30575</v>
      </c>
      <c r="K12596" t="s">
        <v>37209</v>
      </c>
      <c r="M12596" t="s">
        <v>39405</v>
      </c>
      <c r="N12596" t="s">
        <v>41249</v>
      </c>
      <c r="O12596" t="s">
        <v>41250</v>
      </c>
      <c r="P12596">
        <v>0</v>
      </c>
      <c r="Q12596">
        <v>10</v>
      </c>
      <c r="R12596" t="s">
        <v>41267</v>
      </c>
      <c r="S12596" t="s">
        <v>42077</v>
      </c>
      <c r="T12596" t="s">
        <v>42673</v>
      </c>
      <c r="U12596" t="s">
        <v>53282</v>
      </c>
      <c r="W12596" t="s">
        <v>39405</v>
      </c>
      <c r="X12596" t="s">
        <v>41268</v>
      </c>
    </row>
    <row r="12597" spans="1:24">
      <c r="A12597">
        <f>HYPERLINK("https://www.philgeps.gov.ph/GEPSNONPILOT/Tender/SplashBidNoticeAbstractUI.aspx?menuIndex=3&amp;refID=7046993&amp;Result=3","7046993")</f>
        <v>0</v>
      </c>
      <c r="B12597" t="s">
        <v>1798</v>
      </c>
      <c r="C12597" t="s">
        <v>15451</v>
      </c>
      <c r="D12597" t="s">
        <v>16658</v>
      </c>
      <c r="E12597" t="s">
        <v>27581</v>
      </c>
      <c r="F12597" t="s">
        <v>28669</v>
      </c>
      <c r="G12597" t="s">
        <v>28675</v>
      </c>
      <c r="H12597" t="s">
        <v>9998</v>
      </c>
      <c r="I12597" t="s">
        <v>28687</v>
      </c>
      <c r="J12597" t="s">
        <v>36505</v>
      </c>
      <c r="K12597" t="s">
        <v>37209</v>
      </c>
      <c r="M12597" t="s">
        <v>39405</v>
      </c>
      <c r="N12597" t="s">
        <v>41249</v>
      </c>
      <c r="O12597" t="s">
        <v>41250</v>
      </c>
      <c r="P12597">
        <v>0</v>
      </c>
      <c r="Q12597">
        <v>2</v>
      </c>
      <c r="R12597" t="s">
        <v>41267</v>
      </c>
      <c r="S12597" t="s">
        <v>42077</v>
      </c>
      <c r="T12597" t="s">
        <v>42673</v>
      </c>
      <c r="U12597" t="s">
        <v>53283</v>
      </c>
      <c r="W12597" t="s">
        <v>39405</v>
      </c>
      <c r="X12597" t="s">
        <v>41268</v>
      </c>
    </row>
    <row r="12598" spans="1:24">
      <c r="A12598">
        <f>HYPERLINK("https://www.philgeps.gov.ph/GEPSNONPILOT/Tender/SplashBidNoticeAbstractUI.aspx?menuIndex=3&amp;refID=7046990&amp;Result=3","7046990")</f>
        <v>0</v>
      </c>
      <c r="B12598" t="s">
        <v>1798</v>
      </c>
      <c r="C12598" t="s">
        <v>15452</v>
      </c>
      <c r="D12598" t="s">
        <v>16658</v>
      </c>
      <c r="E12598" t="s">
        <v>27582</v>
      </c>
      <c r="F12598" t="s">
        <v>28669</v>
      </c>
      <c r="G12598" t="s">
        <v>28675</v>
      </c>
      <c r="H12598" t="s">
        <v>9998</v>
      </c>
      <c r="I12598" t="s">
        <v>11593</v>
      </c>
      <c r="J12598" t="s">
        <v>36506</v>
      </c>
      <c r="K12598" t="s">
        <v>37209</v>
      </c>
      <c r="M12598" t="s">
        <v>39405</v>
      </c>
      <c r="N12598" t="s">
        <v>41249</v>
      </c>
      <c r="O12598" t="s">
        <v>41250</v>
      </c>
      <c r="P12598">
        <v>0</v>
      </c>
      <c r="Q12598">
        <v>8</v>
      </c>
      <c r="R12598" t="s">
        <v>41267</v>
      </c>
      <c r="S12598" t="s">
        <v>42077</v>
      </c>
      <c r="T12598" t="s">
        <v>42673</v>
      </c>
      <c r="U12598" t="s">
        <v>53284</v>
      </c>
      <c r="W12598" t="s">
        <v>39405</v>
      </c>
      <c r="X12598" t="s">
        <v>41268</v>
      </c>
    </row>
    <row r="12599" spans="1:24">
      <c r="A12599">
        <f>HYPERLINK("https://www.philgeps.gov.ph/GEPSNONPILOT/Tender/SplashBidNoticeAbstractUI.aspx?menuIndex=3&amp;refID=7046996&amp;Result=3","7046996")</f>
        <v>0</v>
      </c>
      <c r="B12599" t="s">
        <v>3253</v>
      </c>
      <c r="C12599" t="s">
        <v>15453</v>
      </c>
      <c r="D12599" t="s">
        <v>16616</v>
      </c>
      <c r="E12599" t="s">
        <v>27583</v>
      </c>
      <c r="F12599" t="s">
        <v>28669</v>
      </c>
      <c r="G12599" t="s">
        <v>28675</v>
      </c>
      <c r="H12599" t="s">
        <v>9998</v>
      </c>
      <c r="I12599" t="s">
        <v>28687</v>
      </c>
      <c r="J12599" t="s">
        <v>36507</v>
      </c>
      <c r="K12599" t="s">
        <v>37206</v>
      </c>
      <c r="M12599" t="s">
        <v>41073</v>
      </c>
      <c r="N12599" t="s">
        <v>41249</v>
      </c>
      <c r="O12599" t="s">
        <v>41250</v>
      </c>
      <c r="P12599">
        <v>0</v>
      </c>
      <c r="Q12599">
        <v>7</v>
      </c>
      <c r="R12599" t="s">
        <v>41267</v>
      </c>
      <c r="S12599" t="s">
        <v>42077</v>
      </c>
      <c r="T12599" t="s">
        <v>42876</v>
      </c>
      <c r="U12599" t="s">
        <v>53285</v>
      </c>
      <c r="W12599" t="s">
        <v>41073</v>
      </c>
      <c r="X12599" t="s">
        <v>41268</v>
      </c>
    </row>
    <row r="12600" spans="1:24">
      <c r="A12600">
        <f>HYPERLINK("https://www.philgeps.gov.ph/GEPSNONPILOT/Tender/SplashBidNoticeAbstractUI.aspx?menuIndex=3&amp;refID=7047087&amp;Result=3","7047087")</f>
        <v>0</v>
      </c>
      <c r="B12600" t="s">
        <v>3236</v>
      </c>
      <c r="C12600" t="s">
        <v>15454</v>
      </c>
      <c r="D12600" t="s">
        <v>16632</v>
      </c>
      <c r="E12600" t="s">
        <v>27584</v>
      </c>
      <c r="F12600" t="s">
        <v>28673</v>
      </c>
      <c r="G12600" t="s">
        <v>28675</v>
      </c>
      <c r="H12600" t="s">
        <v>9998</v>
      </c>
      <c r="I12600" t="s">
        <v>28787</v>
      </c>
      <c r="J12600" t="s">
        <v>36508</v>
      </c>
      <c r="K12600" t="s">
        <v>37206</v>
      </c>
      <c r="M12600" t="s">
        <v>41052</v>
      </c>
      <c r="N12600" t="s">
        <v>41249</v>
      </c>
      <c r="O12600" t="s">
        <v>41250</v>
      </c>
      <c r="Q12600">
        <v>5</v>
      </c>
      <c r="R12600" t="s">
        <v>41267</v>
      </c>
      <c r="S12600" t="s">
        <v>42126</v>
      </c>
      <c r="T12600" t="s">
        <v>42675</v>
      </c>
      <c r="U12600" t="s">
        <v>53286</v>
      </c>
      <c r="W12600" t="s">
        <v>41052</v>
      </c>
      <c r="X12600" t="s">
        <v>41268</v>
      </c>
    </row>
    <row r="12601" spans="1:24">
      <c r="A12601">
        <f>HYPERLINK("https://www.philgeps.gov.ph/GEPSNONPILOT/Tender/SplashBidNoticeAbstractUI.aspx?menuIndex=3&amp;refID=7047073&amp;Result=3","7047073")</f>
        <v>0</v>
      </c>
      <c r="B12601" t="s">
        <v>2382</v>
      </c>
      <c r="C12601" t="s">
        <v>15455</v>
      </c>
      <c r="D12601" t="s">
        <v>16626</v>
      </c>
      <c r="E12601" t="s">
        <v>27585</v>
      </c>
      <c r="F12601" t="s">
        <v>28669</v>
      </c>
      <c r="G12601" t="s">
        <v>28676</v>
      </c>
      <c r="H12601" t="s">
        <v>9998</v>
      </c>
      <c r="I12601" t="s">
        <v>28717</v>
      </c>
      <c r="J12601" t="s">
        <v>36237</v>
      </c>
      <c r="K12601" t="s">
        <v>37234</v>
      </c>
      <c r="M12601" t="s">
        <v>40055</v>
      </c>
      <c r="N12601" t="s">
        <v>41249</v>
      </c>
      <c r="O12601" t="s">
        <v>41250</v>
      </c>
      <c r="P12601">
        <v>0</v>
      </c>
      <c r="Q12601">
        <v>1</v>
      </c>
      <c r="R12601" t="s">
        <v>41267</v>
      </c>
      <c r="S12601" t="s">
        <v>42077</v>
      </c>
      <c r="T12601" t="s">
        <v>42887</v>
      </c>
      <c r="U12601" t="s">
        <v>53287</v>
      </c>
      <c r="W12601" t="s">
        <v>40055</v>
      </c>
      <c r="X12601" t="s">
        <v>41268</v>
      </c>
    </row>
    <row r="12602" spans="1:24">
      <c r="A12602">
        <f>HYPERLINK("https://www.philgeps.gov.ph/GEPSNONPILOT/Tender/SplashBidNoticeAbstractUI.aspx?menuIndex=3&amp;refID=7047072&amp;Result=3","7047072")</f>
        <v>0</v>
      </c>
      <c r="B12602" t="s">
        <v>1149</v>
      </c>
      <c r="C12602" t="s">
        <v>15456</v>
      </c>
      <c r="D12602" t="s">
        <v>16649</v>
      </c>
      <c r="E12602" t="s">
        <v>27586</v>
      </c>
      <c r="F12602" t="s">
        <v>28669</v>
      </c>
      <c r="G12602" t="s">
        <v>28675</v>
      </c>
      <c r="H12602" t="s">
        <v>28686</v>
      </c>
      <c r="I12602" t="s">
        <v>28689</v>
      </c>
      <c r="J12602" t="s">
        <v>29134</v>
      </c>
      <c r="K12602" t="s">
        <v>37306</v>
      </c>
      <c r="M12602" t="s">
        <v>38685</v>
      </c>
      <c r="N12602" t="s">
        <v>41249</v>
      </c>
      <c r="O12602" t="s">
        <v>41250</v>
      </c>
      <c r="P12602">
        <v>0</v>
      </c>
      <c r="Q12602">
        <v>0</v>
      </c>
      <c r="R12602" t="s">
        <v>41267</v>
      </c>
      <c r="S12602" t="s">
        <v>42077</v>
      </c>
      <c r="T12602" t="s">
        <v>42679</v>
      </c>
      <c r="U12602" t="s">
        <v>53288</v>
      </c>
      <c r="W12602" t="s">
        <v>38685</v>
      </c>
      <c r="X12602" t="s">
        <v>41268</v>
      </c>
    </row>
    <row r="12603" spans="1:24">
      <c r="A12603">
        <f>HYPERLINK("https://www.philgeps.gov.ph/GEPSNONPILOT/Tender/SplashBidNoticeAbstractUI.aspx?menuIndex=3&amp;refID=7047065&amp;Result=3","7047065")</f>
        <v>0</v>
      </c>
      <c r="B12603" t="s">
        <v>1149</v>
      </c>
      <c r="C12603" t="s">
        <v>15457</v>
      </c>
      <c r="D12603" t="s">
        <v>16649</v>
      </c>
      <c r="E12603" t="s">
        <v>27587</v>
      </c>
      <c r="F12603" t="s">
        <v>28669</v>
      </c>
      <c r="G12603" t="s">
        <v>28675</v>
      </c>
      <c r="H12603" t="s">
        <v>28686</v>
      </c>
      <c r="I12603" t="s">
        <v>28689</v>
      </c>
      <c r="J12603" t="s">
        <v>36509</v>
      </c>
      <c r="K12603" t="s">
        <v>37206</v>
      </c>
      <c r="M12603" t="s">
        <v>38685</v>
      </c>
      <c r="N12603" t="s">
        <v>41249</v>
      </c>
      <c r="O12603" t="s">
        <v>41250</v>
      </c>
      <c r="P12603">
        <v>0</v>
      </c>
      <c r="Q12603">
        <v>0</v>
      </c>
      <c r="R12603" t="s">
        <v>41267</v>
      </c>
      <c r="S12603" t="s">
        <v>42077</v>
      </c>
      <c r="T12603" t="s">
        <v>42679</v>
      </c>
      <c r="U12603" t="s">
        <v>53289</v>
      </c>
      <c r="W12603" t="s">
        <v>38685</v>
      </c>
      <c r="X12603" t="s">
        <v>41268</v>
      </c>
    </row>
    <row r="12604" spans="1:24">
      <c r="A12604">
        <f>HYPERLINK("https://www.philgeps.gov.ph/GEPSNONPILOT/Tender/SplashBidNoticeAbstractUI.aspx?menuIndex=3&amp;refID=7047050&amp;Result=3","7047050")</f>
        <v>0</v>
      </c>
      <c r="B12604" t="s">
        <v>100</v>
      </c>
      <c r="C12604" t="s">
        <v>15458</v>
      </c>
      <c r="D12604" t="s">
        <v>16608</v>
      </c>
      <c r="E12604" t="s">
        <v>27588</v>
      </c>
      <c r="F12604" t="s">
        <v>28669</v>
      </c>
      <c r="G12604" t="s">
        <v>28675</v>
      </c>
      <c r="H12604" t="s">
        <v>9998</v>
      </c>
      <c r="I12604" t="s">
        <v>28791</v>
      </c>
      <c r="J12604" t="s">
        <v>29927</v>
      </c>
      <c r="K12604" t="s">
        <v>37272</v>
      </c>
      <c r="M12604" t="s">
        <v>41077</v>
      </c>
      <c r="N12604" t="s">
        <v>41249</v>
      </c>
      <c r="O12604" t="s">
        <v>41250</v>
      </c>
      <c r="Q12604">
        <v>13</v>
      </c>
      <c r="R12604" t="s">
        <v>41267</v>
      </c>
      <c r="S12604" t="s">
        <v>42127</v>
      </c>
      <c r="T12604" t="s">
        <v>42714</v>
      </c>
      <c r="U12604" t="s">
        <v>53290</v>
      </c>
      <c r="W12604" t="s">
        <v>41077</v>
      </c>
      <c r="X12604" t="s">
        <v>41268</v>
      </c>
    </row>
    <row r="12605" spans="1:24">
      <c r="A12605">
        <f>HYPERLINK("https://www.philgeps.gov.ph/GEPSNONPILOT/Tender/SplashBidNoticeAbstractUI.aspx?menuIndex=3&amp;refID=7047048&amp;Result=3","7047048")</f>
        <v>0</v>
      </c>
      <c r="B12605" t="s">
        <v>1149</v>
      </c>
      <c r="C12605" t="s">
        <v>15459</v>
      </c>
      <c r="D12605" t="s">
        <v>16649</v>
      </c>
      <c r="E12605" t="s">
        <v>27589</v>
      </c>
      <c r="F12605" t="s">
        <v>28669</v>
      </c>
      <c r="G12605" t="s">
        <v>28675</v>
      </c>
      <c r="H12605" t="s">
        <v>28686</v>
      </c>
      <c r="I12605" t="s">
        <v>28689</v>
      </c>
      <c r="J12605" t="s">
        <v>36510</v>
      </c>
      <c r="K12605" t="s">
        <v>37291</v>
      </c>
      <c r="M12605" t="s">
        <v>38685</v>
      </c>
      <c r="N12605" t="s">
        <v>41249</v>
      </c>
      <c r="O12605" t="s">
        <v>41250</v>
      </c>
      <c r="P12605">
        <v>0</v>
      </c>
      <c r="Q12605">
        <v>0</v>
      </c>
      <c r="R12605" t="s">
        <v>41267</v>
      </c>
      <c r="S12605" t="s">
        <v>42077</v>
      </c>
      <c r="T12605" t="s">
        <v>42679</v>
      </c>
      <c r="U12605" t="s">
        <v>53291</v>
      </c>
      <c r="W12605" t="s">
        <v>38685</v>
      </c>
      <c r="X12605" t="s">
        <v>41268</v>
      </c>
    </row>
    <row r="12606" spans="1:24">
      <c r="A12606">
        <f>HYPERLINK("https://www.philgeps.gov.ph/GEPSNONPILOT/Tender/SplashBidNoticeAbstractUI.aspx?menuIndex=3&amp;refID=7047036&amp;Result=3","7047036")</f>
        <v>0</v>
      </c>
      <c r="B12606" t="s">
        <v>2106</v>
      </c>
      <c r="C12606" t="s">
        <v>15460</v>
      </c>
      <c r="D12606" t="s">
        <v>16626</v>
      </c>
      <c r="E12606" t="s">
        <v>21723</v>
      </c>
      <c r="F12606" t="s">
        <v>28672</v>
      </c>
      <c r="G12606" t="s">
        <v>28675</v>
      </c>
      <c r="H12606" t="s">
        <v>9998</v>
      </c>
      <c r="I12606" t="s">
        <v>28687</v>
      </c>
      <c r="J12606" t="s">
        <v>28878</v>
      </c>
      <c r="K12606" t="s">
        <v>37204</v>
      </c>
      <c r="M12606" t="s">
        <v>39749</v>
      </c>
      <c r="N12606" t="s">
        <v>41249</v>
      </c>
      <c r="O12606" t="s">
        <v>41250</v>
      </c>
      <c r="P12606">
        <v>0</v>
      </c>
      <c r="Q12606">
        <v>0</v>
      </c>
      <c r="R12606" t="s">
        <v>41267</v>
      </c>
      <c r="S12606" t="s">
        <v>42077</v>
      </c>
      <c r="T12606" t="s">
        <v>42686</v>
      </c>
      <c r="U12606" t="s">
        <v>53292</v>
      </c>
      <c r="W12606" t="s">
        <v>39749</v>
      </c>
      <c r="X12606" t="s">
        <v>41268</v>
      </c>
    </row>
    <row r="12607" spans="1:24">
      <c r="A12607">
        <f>HYPERLINK("https://www.philgeps.gov.ph/GEPSNONPILOT/Tender/SplashBidNoticeAbstractUI.aspx?menuIndex=3&amp;refID=6938942&amp;Result=3","6938942")</f>
        <v>0</v>
      </c>
      <c r="B12607" t="s">
        <v>1606</v>
      </c>
      <c r="C12607" t="s">
        <v>15461</v>
      </c>
      <c r="E12607" t="s">
        <v>27590</v>
      </c>
      <c r="F12607" t="s">
        <v>28669</v>
      </c>
      <c r="G12607" t="s">
        <v>28675</v>
      </c>
      <c r="H12607" t="s">
        <v>9998</v>
      </c>
      <c r="I12607" t="s">
        <v>28714</v>
      </c>
      <c r="J12607" t="s">
        <v>34377</v>
      </c>
      <c r="K12607" t="s">
        <v>37209</v>
      </c>
      <c r="M12607" t="s">
        <v>40003</v>
      </c>
      <c r="N12607" t="s">
        <v>41249</v>
      </c>
      <c r="O12607" t="s">
        <v>41250</v>
      </c>
      <c r="Q12607">
        <v>21</v>
      </c>
      <c r="R12607" t="s">
        <v>41268</v>
      </c>
      <c r="S12607" t="s">
        <v>41571</v>
      </c>
      <c r="T12607" t="s">
        <v>42754</v>
      </c>
      <c r="U12607" t="s">
        <v>53293</v>
      </c>
      <c r="W12607" t="s">
        <v>40003</v>
      </c>
      <c r="X12607" t="s">
        <v>41314</v>
      </c>
    </row>
    <row r="12608" spans="1:24">
      <c r="A12608">
        <f>HYPERLINK("https://www.philgeps.gov.ph/GEPSNONPILOT/Tender/SplashBidNoticeAbstractUI.aspx?menuIndex=3&amp;refID=7047001&amp;Result=3","7047001")</f>
        <v>0</v>
      </c>
      <c r="B12608" t="s">
        <v>2382</v>
      </c>
      <c r="C12608" t="s">
        <v>15462</v>
      </c>
      <c r="D12608" t="s">
        <v>16626</v>
      </c>
      <c r="E12608" t="s">
        <v>27591</v>
      </c>
      <c r="F12608" t="s">
        <v>28669</v>
      </c>
      <c r="G12608" t="s">
        <v>28676</v>
      </c>
      <c r="H12608" t="s">
        <v>9998</v>
      </c>
      <c r="I12608" t="s">
        <v>6128</v>
      </c>
      <c r="J12608" t="s">
        <v>29899</v>
      </c>
      <c r="K12608" t="s">
        <v>37234</v>
      </c>
      <c r="M12608" t="s">
        <v>40055</v>
      </c>
      <c r="N12608" t="s">
        <v>41249</v>
      </c>
      <c r="O12608" t="s">
        <v>41250</v>
      </c>
      <c r="P12608">
        <v>0</v>
      </c>
      <c r="Q12608">
        <v>0</v>
      </c>
      <c r="R12608" t="s">
        <v>41267</v>
      </c>
      <c r="S12608" t="s">
        <v>42077</v>
      </c>
      <c r="T12608" t="s">
        <v>42887</v>
      </c>
      <c r="U12608" t="s">
        <v>53294</v>
      </c>
      <c r="W12608" t="s">
        <v>40055</v>
      </c>
      <c r="X12608" t="s">
        <v>41268</v>
      </c>
    </row>
    <row r="12609" spans="1:24">
      <c r="A12609">
        <f>HYPERLINK("https://www.philgeps.gov.ph/GEPSNONPILOT/Tender/SplashBidNoticeAbstractUI.aspx?menuIndex=3&amp;refID=6938443&amp;Result=3","6938443")</f>
        <v>0</v>
      </c>
      <c r="B12609" t="s">
        <v>1694</v>
      </c>
      <c r="C12609" t="s">
        <v>15463</v>
      </c>
      <c r="D12609" t="s">
        <v>16616</v>
      </c>
      <c r="E12609" t="s">
        <v>27592</v>
      </c>
      <c r="F12609" t="s">
        <v>28669</v>
      </c>
      <c r="G12609" t="s">
        <v>28675</v>
      </c>
      <c r="H12609" t="s">
        <v>28686</v>
      </c>
      <c r="I12609" t="s">
        <v>28689</v>
      </c>
      <c r="J12609" t="s">
        <v>33630</v>
      </c>
      <c r="K12609" t="s">
        <v>37325</v>
      </c>
      <c r="M12609" t="s">
        <v>39290</v>
      </c>
      <c r="N12609" t="s">
        <v>41249</v>
      </c>
      <c r="O12609" t="s">
        <v>41250</v>
      </c>
      <c r="Q12609">
        <v>7</v>
      </c>
      <c r="R12609" t="s">
        <v>41268</v>
      </c>
      <c r="S12609" t="s">
        <v>42128</v>
      </c>
      <c r="T12609" t="s">
        <v>42834</v>
      </c>
      <c r="U12609" t="s">
        <v>53295</v>
      </c>
      <c r="W12609" t="s">
        <v>39290</v>
      </c>
      <c r="X12609" t="s">
        <v>41314</v>
      </c>
    </row>
    <row r="12610" spans="1:24">
      <c r="A12610">
        <f>HYPERLINK("https://www.philgeps.gov.ph/GEPSNONPILOT/Tender/SplashBidNoticeAbstractUI.aspx?menuIndex=3&amp;refID=7039464&amp;Result=3","7039464")</f>
        <v>0</v>
      </c>
      <c r="B12610" t="s">
        <v>1353</v>
      </c>
      <c r="C12610" t="s">
        <v>15464</v>
      </c>
      <c r="D12610" t="s">
        <v>16627</v>
      </c>
      <c r="E12610" t="s">
        <v>27593</v>
      </c>
      <c r="F12610" t="s">
        <v>28671</v>
      </c>
      <c r="G12610" t="s">
        <v>28675</v>
      </c>
      <c r="H12610" t="s">
        <v>28684</v>
      </c>
      <c r="I12610" t="s">
        <v>28701</v>
      </c>
      <c r="J12610" t="s">
        <v>30814</v>
      </c>
      <c r="K12610" t="s">
        <v>37228</v>
      </c>
      <c r="M12610" t="s">
        <v>38909</v>
      </c>
      <c r="N12610" t="s">
        <v>41249</v>
      </c>
      <c r="O12610" t="s">
        <v>41250</v>
      </c>
      <c r="P12610">
        <v>0</v>
      </c>
      <c r="Q12610">
        <v>3</v>
      </c>
      <c r="R12610" t="s">
        <v>41268</v>
      </c>
      <c r="S12610" t="s">
        <v>42129</v>
      </c>
      <c r="T12610" t="s">
        <v>42754</v>
      </c>
      <c r="U12610" t="s">
        <v>53296</v>
      </c>
      <c r="W12610" t="s">
        <v>38909</v>
      </c>
      <c r="X12610" t="s">
        <v>41273</v>
      </c>
    </row>
    <row r="12611" spans="1:24">
      <c r="A12611">
        <f>HYPERLINK("https://www.philgeps.gov.ph/GEPSNONPILOT/Tender/SplashBidNoticeAbstractUI.aspx?menuIndex=3&amp;refID=7047002&amp;Result=3","7047002")</f>
        <v>0</v>
      </c>
      <c r="B12611" t="s">
        <v>3253</v>
      </c>
      <c r="C12611" t="s">
        <v>15465</v>
      </c>
      <c r="D12611" t="s">
        <v>16616</v>
      </c>
      <c r="E12611" t="s">
        <v>27594</v>
      </c>
      <c r="F12611" t="s">
        <v>28669</v>
      </c>
      <c r="G12611" t="s">
        <v>28675</v>
      </c>
      <c r="H12611" t="s">
        <v>9998</v>
      </c>
      <c r="I12611" t="s">
        <v>6606</v>
      </c>
      <c r="J12611" t="s">
        <v>36511</v>
      </c>
      <c r="K12611" t="s">
        <v>37327</v>
      </c>
      <c r="M12611" t="s">
        <v>41073</v>
      </c>
      <c r="N12611" t="s">
        <v>41249</v>
      </c>
      <c r="O12611" t="s">
        <v>41250</v>
      </c>
      <c r="P12611">
        <v>0</v>
      </c>
      <c r="Q12611">
        <v>2</v>
      </c>
      <c r="R12611" t="s">
        <v>41267</v>
      </c>
      <c r="S12611" t="s">
        <v>42077</v>
      </c>
      <c r="T12611" t="s">
        <v>42876</v>
      </c>
      <c r="U12611" t="s">
        <v>53297</v>
      </c>
      <c r="W12611" t="s">
        <v>41073</v>
      </c>
      <c r="X12611" t="s">
        <v>41268</v>
      </c>
    </row>
    <row r="12612" spans="1:24">
      <c r="A12612">
        <f>HYPERLINK("https://www.philgeps.gov.ph/GEPSNONPILOT/Tender/SplashBidNoticeAbstractUI.aspx?menuIndex=3&amp;refID=7047049&amp;Result=3","7047049")</f>
        <v>0</v>
      </c>
      <c r="B12612" t="s">
        <v>287</v>
      </c>
      <c r="C12612" t="s">
        <v>15466</v>
      </c>
      <c r="D12612" t="s">
        <v>16611</v>
      </c>
      <c r="E12612" t="s">
        <v>27595</v>
      </c>
      <c r="F12612" t="s">
        <v>28669</v>
      </c>
      <c r="G12612" t="s">
        <v>28675</v>
      </c>
      <c r="H12612" t="s">
        <v>9998</v>
      </c>
      <c r="I12612" t="s">
        <v>28687</v>
      </c>
      <c r="J12612" t="s">
        <v>36512</v>
      </c>
      <c r="K12612" t="s">
        <v>37208</v>
      </c>
      <c r="M12612" t="s">
        <v>37766</v>
      </c>
      <c r="N12612" t="s">
        <v>41249</v>
      </c>
      <c r="O12612" t="s">
        <v>41250</v>
      </c>
      <c r="P12612">
        <v>0</v>
      </c>
      <c r="Q12612">
        <v>3</v>
      </c>
      <c r="R12612" t="s">
        <v>41267</v>
      </c>
      <c r="S12612" t="s">
        <v>42077</v>
      </c>
      <c r="T12612" t="s">
        <v>42673</v>
      </c>
      <c r="U12612" t="s">
        <v>53298</v>
      </c>
      <c r="W12612" t="s">
        <v>37766</v>
      </c>
      <c r="X12612" t="s">
        <v>41268</v>
      </c>
    </row>
    <row r="12613" spans="1:24">
      <c r="A12613">
        <f>HYPERLINK("https://www.philgeps.gov.ph/GEPSNONPILOT/Tender/SplashBidNoticeAbstractUI.aspx?menuIndex=3&amp;refID=7041188&amp;Result=3","7041188")</f>
        <v>0</v>
      </c>
      <c r="B12613" t="s">
        <v>2446</v>
      </c>
      <c r="C12613" t="s">
        <v>15467</v>
      </c>
      <c r="D12613" t="s">
        <v>16686</v>
      </c>
      <c r="E12613" t="s">
        <v>27596</v>
      </c>
      <c r="F12613" t="s">
        <v>28669</v>
      </c>
      <c r="G12613" t="s">
        <v>28675</v>
      </c>
      <c r="H12613" t="s">
        <v>28686</v>
      </c>
      <c r="I12613" t="s">
        <v>28689</v>
      </c>
      <c r="J12613" t="s">
        <v>36513</v>
      </c>
      <c r="K12613" t="s">
        <v>37215</v>
      </c>
      <c r="M12613" t="s">
        <v>40129</v>
      </c>
      <c r="N12613" t="s">
        <v>41249</v>
      </c>
      <c r="O12613" t="s">
        <v>41250</v>
      </c>
      <c r="P12613">
        <v>0</v>
      </c>
      <c r="Q12613">
        <v>1</v>
      </c>
      <c r="R12613" t="s">
        <v>41268</v>
      </c>
      <c r="S12613" t="s">
        <v>42129</v>
      </c>
      <c r="T12613" t="s">
        <v>42711</v>
      </c>
      <c r="U12613" t="s">
        <v>53299</v>
      </c>
      <c r="V12613" t="s">
        <v>55163</v>
      </c>
      <c r="W12613" t="s">
        <v>40129</v>
      </c>
      <c r="X12613" t="s">
        <v>41272</v>
      </c>
    </row>
    <row r="12614" spans="1:24">
      <c r="A12614">
        <f>HYPERLINK("https://www.philgeps.gov.ph/GEPSNONPILOT/Tender/SplashBidNoticeAbstractUI.aspx?menuIndex=3&amp;refID=7040331&amp;Result=3","7040331")</f>
        <v>0</v>
      </c>
      <c r="B12614" t="s">
        <v>2912</v>
      </c>
      <c r="C12614" t="s">
        <v>15468</v>
      </c>
      <c r="E12614" t="s">
        <v>27597</v>
      </c>
      <c r="F12614" t="s">
        <v>28669</v>
      </c>
      <c r="G12614" t="s">
        <v>28675</v>
      </c>
      <c r="H12614" t="s">
        <v>28686</v>
      </c>
      <c r="I12614" t="s">
        <v>28689</v>
      </c>
      <c r="J12614" t="s">
        <v>36514</v>
      </c>
      <c r="K12614" t="s">
        <v>37209</v>
      </c>
      <c r="M12614" t="s">
        <v>40663</v>
      </c>
      <c r="N12614" t="s">
        <v>41249</v>
      </c>
      <c r="O12614" t="s">
        <v>41250</v>
      </c>
      <c r="P12614">
        <v>0</v>
      </c>
      <c r="Q12614">
        <v>5</v>
      </c>
      <c r="R12614" t="s">
        <v>41268</v>
      </c>
      <c r="S12614" t="s">
        <v>42129</v>
      </c>
      <c r="T12614" t="s">
        <v>42703</v>
      </c>
      <c r="U12614" t="s">
        <v>53300</v>
      </c>
      <c r="W12614" t="s">
        <v>40663</v>
      </c>
      <c r="X12614" t="s">
        <v>41273</v>
      </c>
    </row>
    <row r="12615" spans="1:24">
      <c r="A12615">
        <f>HYPERLINK("https://www.philgeps.gov.ph/GEPSNONPILOT/Tender/SplashBidNoticeAbstractUI.aspx?menuIndex=3&amp;refID=7041397&amp;Result=3","7041397")</f>
        <v>0</v>
      </c>
      <c r="B12615" t="s">
        <v>411</v>
      </c>
      <c r="C12615" t="s">
        <v>15469</v>
      </c>
      <c r="D12615" t="s">
        <v>16616</v>
      </c>
      <c r="E12615" t="s">
        <v>27598</v>
      </c>
      <c r="F12615" t="s">
        <v>28669</v>
      </c>
      <c r="G12615" t="s">
        <v>28675</v>
      </c>
      <c r="H12615" t="s">
        <v>9998</v>
      </c>
      <c r="I12615" t="s">
        <v>28706</v>
      </c>
      <c r="J12615" t="s">
        <v>35466</v>
      </c>
      <c r="K12615" t="s">
        <v>37220</v>
      </c>
      <c r="M12615" t="s">
        <v>37896</v>
      </c>
      <c r="N12615" t="s">
        <v>41249</v>
      </c>
      <c r="O12615" t="s">
        <v>41250</v>
      </c>
      <c r="Q12615">
        <v>4</v>
      </c>
      <c r="R12615" t="s">
        <v>41268</v>
      </c>
      <c r="S12615" t="s">
        <v>42130</v>
      </c>
      <c r="T12615" t="s">
        <v>42738</v>
      </c>
      <c r="U12615" t="s">
        <v>53301</v>
      </c>
      <c r="W12615" t="s">
        <v>37896</v>
      </c>
      <c r="X12615" t="s">
        <v>41272</v>
      </c>
    </row>
    <row r="12616" spans="1:24">
      <c r="A12616">
        <f>HYPERLINK("https://www.philgeps.gov.ph/GEPSNONPILOT/Tender/SplashBidNoticeAbstractUI.aspx?menuIndex=3&amp;refID=7040960&amp;Result=3","7040960")</f>
        <v>0</v>
      </c>
      <c r="B12616" t="s">
        <v>1544</v>
      </c>
      <c r="C12616" t="s">
        <v>15470</v>
      </c>
      <c r="D12616" t="s">
        <v>16676</v>
      </c>
      <c r="E12616" t="s">
        <v>27599</v>
      </c>
      <c r="F12616" t="s">
        <v>28669</v>
      </c>
      <c r="G12616" t="s">
        <v>28675</v>
      </c>
      <c r="H12616" t="s">
        <v>28686</v>
      </c>
      <c r="I12616" t="s">
        <v>28725</v>
      </c>
      <c r="J12616" t="s">
        <v>36515</v>
      </c>
      <c r="K12616" t="s">
        <v>37215</v>
      </c>
      <c r="M12616" t="s">
        <v>39119</v>
      </c>
      <c r="N12616" t="s">
        <v>41249</v>
      </c>
      <c r="O12616" t="s">
        <v>41250</v>
      </c>
      <c r="P12616">
        <v>0</v>
      </c>
      <c r="Q12616">
        <v>3</v>
      </c>
      <c r="R12616" t="s">
        <v>41268</v>
      </c>
      <c r="S12616" t="s">
        <v>42129</v>
      </c>
      <c r="T12616" t="s">
        <v>42711</v>
      </c>
      <c r="U12616" t="s">
        <v>53302</v>
      </c>
      <c r="V12616" t="s">
        <v>55773</v>
      </c>
      <c r="W12616" t="s">
        <v>39119</v>
      </c>
      <c r="X12616" t="s">
        <v>41273</v>
      </c>
    </row>
    <row r="12617" spans="1:24">
      <c r="A12617">
        <f>HYPERLINK("https://www.philgeps.gov.ph/GEPSNONPILOT/Tender/SplashBidNoticeAbstractUI.aspx?menuIndex=3&amp;refID=7037096&amp;Result=3","7037096")</f>
        <v>0</v>
      </c>
      <c r="B12617" t="s">
        <v>1085</v>
      </c>
      <c r="C12617" t="s">
        <v>15471</v>
      </c>
      <c r="D12617" t="s">
        <v>16611</v>
      </c>
      <c r="E12617" t="s">
        <v>27600</v>
      </c>
      <c r="F12617" t="s">
        <v>28669</v>
      </c>
      <c r="G12617" t="s">
        <v>28675</v>
      </c>
      <c r="H12617" t="s">
        <v>9998</v>
      </c>
      <c r="I12617" t="s">
        <v>28695</v>
      </c>
      <c r="J12617" t="s">
        <v>36516</v>
      </c>
      <c r="K12617" t="s">
        <v>37299</v>
      </c>
      <c r="M12617" t="s">
        <v>38617</v>
      </c>
      <c r="N12617" t="s">
        <v>41249</v>
      </c>
      <c r="O12617" t="s">
        <v>41250</v>
      </c>
      <c r="P12617">
        <v>0</v>
      </c>
      <c r="Q12617">
        <v>2</v>
      </c>
      <c r="R12617" t="s">
        <v>41268</v>
      </c>
      <c r="S12617" t="s">
        <v>42129</v>
      </c>
      <c r="T12617" t="s">
        <v>42700</v>
      </c>
      <c r="U12617" t="s">
        <v>53303</v>
      </c>
      <c r="W12617" t="s">
        <v>38617</v>
      </c>
      <c r="X12617" t="s">
        <v>41274</v>
      </c>
    </row>
    <row r="12618" spans="1:24">
      <c r="A12618">
        <f>HYPERLINK("https://www.philgeps.gov.ph/GEPSNONPILOT/Tender/SplashBidNoticeAbstractUI.aspx?menuIndex=3&amp;refID=7036516&amp;Result=3","7036516")</f>
        <v>0</v>
      </c>
      <c r="B12618" t="s">
        <v>238</v>
      </c>
      <c r="C12618" t="s">
        <v>15472</v>
      </c>
      <c r="D12618" t="s">
        <v>16640</v>
      </c>
      <c r="E12618" t="s">
        <v>27601</v>
      </c>
      <c r="F12618" t="s">
        <v>28669</v>
      </c>
      <c r="G12618" t="s">
        <v>28675</v>
      </c>
      <c r="H12618" t="s">
        <v>9998</v>
      </c>
      <c r="I12618" t="s">
        <v>11593</v>
      </c>
      <c r="J12618" t="s">
        <v>36517</v>
      </c>
      <c r="K12618" t="s">
        <v>37209</v>
      </c>
      <c r="M12618" t="s">
        <v>37716</v>
      </c>
      <c r="N12618" t="s">
        <v>41249</v>
      </c>
      <c r="O12618" t="s">
        <v>41250</v>
      </c>
      <c r="P12618">
        <v>0</v>
      </c>
      <c r="Q12618">
        <v>15</v>
      </c>
      <c r="R12618" t="s">
        <v>41268</v>
      </c>
      <c r="S12618" t="s">
        <v>42129</v>
      </c>
      <c r="T12618" t="s">
        <v>42673</v>
      </c>
      <c r="U12618" t="s">
        <v>53304</v>
      </c>
      <c r="W12618" t="s">
        <v>37716</v>
      </c>
      <c r="X12618" t="s">
        <v>41274</v>
      </c>
    </row>
    <row r="12619" spans="1:24">
      <c r="A12619">
        <f>HYPERLINK("https://www.philgeps.gov.ph/GEPSNONPILOT/Tender/SplashBidNoticeAbstractUI.aspx?menuIndex=3&amp;refID=7041265&amp;Result=3","7041265")</f>
        <v>0</v>
      </c>
      <c r="B12619" t="s">
        <v>33</v>
      </c>
      <c r="C12619" t="s">
        <v>15473</v>
      </c>
      <c r="D12619" t="s">
        <v>16616</v>
      </c>
      <c r="E12619" t="s">
        <v>27602</v>
      </c>
      <c r="F12619" t="s">
        <v>28669</v>
      </c>
      <c r="G12619" t="s">
        <v>28675</v>
      </c>
      <c r="H12619" t="s">
        <v>28686</v>
      </c>
      <c r="I12619" t="s">
        <v>28689</v>
      </c>
      <c r="J12619" t="s">
        <v>28975</v>
      </c>
      <c r="K12619" t="s">
        <v>37211</v>
      </c>
      <c r="M12619" t="s">
        <v>38482</v>
      </c>
      <c r="N12619" t="s">
        <v>41249</v>
      </c>
      <c r="O12619" t="s">
        <v>41250</v>
      </c>
      <c r="P12619">
        <v>0</v>
      </c>
      <c r="Q12619">
        <v>0</v>
      </c>
      <c r="R12619" t="s">
        <v>41268</v>
      </c>
      <c r="S12619" t="s">
        <v>42129</v>
      </c>
      <c r="T12619" t="s">
        <v>42670</v>
      </c>
      <c r="U12619" t="s">
        <v>52275</v>
      </c>
      <c r="V12619" t="s">
        <v>54252</v>
      </c>
      <c r="W12619" t="s">
        <v>38482</v>
      </c>
      <c r="X12619" t="s">
        <v>41272</v>
      </c>
    </row>
    <row r="12620" spans="1:24">
      <c r="A12620">
        <f>HYPERLINK("https://www.philgeps.gov.ph/GEPSNONPILOT/Tender/SplashBidNoticeAbstractUI.aspx?menuIndex=3&amp;refID=7036167&amp;Result=3","7036167")</f>
        <v>0</v>
      </c>
      <c r="B12620" t="s">
        <v>238</v>
      </c>
      <c r="C12620" t="s">
        <v>15474</v>
      </c>
      <c r="D12620" t="s">
        <v>16640</v>
      </c>
      <c r="E12620" t="s">
        <v>27603</v>
      </c>
      <c r="F12620" t="s">
        <v>28669</v>
      </c>
      <c r="G12620" t="s">
        <v>28675</v>
      </c>
      <c r="H12620" t="s">
        <v>28686</v>
      </c>
      <c r="I12620" t="s">
        <v>28689</v>
      </c>
      <c r="J12620" t="s">
        <v>29112</v>
      </c>
      <c r="K12620" t="s">
        <v>37209</v>
      </c>
      <c r="M12620" t="s">
        <v>37716</v>
      </c>
      <c r="N12620" t="s">
        <v>41249</v>
      </c>
      <c r="O12620" t="s">
        <v>41250</v>
      </c>
      <c r="P12620">
        <v>0</v>
      </c>
      <c r="Q12620">
        <v>0</v>
      </c>
      <c r="R12620" t="s">
        <v>41268</v>
      </c>
      <c r="S12620" t="s">
        <v>42129</v>
      </c>
      <c r="T12620" t="s">
        <v>42738</v>
      </c>
      <c r="U12620" t="s">
        <v>53305</v>
      </c>
      <c r="W12620" t="s">
        <v>37716</v>
      </c>
      <c r="X12620" t="s">
        <v>41274</v>
      </c>
    </row>
    <row r="12621" spans="1:24">
      <c r="A12621">
        <f>HYPERLINK("https://www.philgeps.gov.ph/GEPSNONPILOT/Tender/SplashBidNoticeAbstractUI.aspx?menuIndex=3&amp;refID=7032022&amp;Result=3","7032022")</f>
        <v>0</v>
      </c>
      <c r="B12621" t="s">
        <v>313</v>
      </c>
      <c r="C12621" t="s">
        <v>15475</v>
      </c>
      <c r="D12621" t="s">
        <v>16642</v>
      </c>
      <c r="E12621" t="s">
        <v>27604</v>
      </c>
      <c r="F12621" t="s">
        <v>28669</v>
      </c>
      <c r="G12621" t="s">
        <v>28675</v>
      </c>
      <c r="H12621" t="s">
        <v>28686</v>
      </c>
      <c r="I12621" t="s">
        <v>28689</v>
      </c>
      <c r="J12621" t="s">
        <v>36518</v>
      </c>
      <c r="K12621" t="s">
        <v>37279</v>
      </c>
      <c r="M12621" t="s">
        <v>39265</v>
      </c>
      <c r="N12621" t="s">
        <v>41249</v>
      </c>
      <c r="O12621" t="s">
        <v>41250</v>
      </c>
      <c r="P12621">
        <v>0</v>
      </c>
      <c r="Q12621">
        <v>8</v>
      </c>
      <c r="R12621" t="s">
        <v>41268</v>
      </c>
      <c r="S12621" t="s">
        <v>42129</v>
      </c>
      <c r="T12621" t="s">
        <v>42675</v>
      </c>
      <c r="U12621" t="s">
        <v>47069</v>
      </c>
      <c r="W12621" t="s">
        <v>39265</v>
      </c>
      <c r="X12621" t="s">
        <v>41276</v>
      </c>
    </row>
    <row r="12622" spans="1:24">
      <c r="A12622">
        <f>HYPERLINK("https://www.philgeps.gov.ph/GEPSNONPILOT/Tender/SplashBidNoticeAbstractUI.aspx?menuIndex=3&amp;refID=7041483&amp;Result=3","7041483")</f>
        <v>0</v>
      </c>
      <c r="B12622" t="s">
        <v>3261</v>
      </c>
      <c r="C12622" t="s">
        <v>15476</v>
      </c>
      <c r="D12622" t="s">
        <v>16618</v>
      </c>
      <c r="E12622" t="s">
        <v>18521</v>
      </c>
      <c r="F12622" t="s">
        <v>28669</v>
      </c>
      <c r="G12622" t="s">
        <v>28675</v>
      </c>
      <c r="H12622" t="s">
        <v>28686</v>
      </c>
      <c r="I12622" t="s">
        <v>28689</v>
      </c>
      <c r="J12622" t="s">
        <v>31761</v>
      </c>
      <c r="K12622" t="s">
        <v>37206</v>
      </c>
      <c r="M12622" t="s">
        <v>41083</v>
      </c>
      <c r="N12622" t="s">
        <v>41249</v>
      </c>
      <c r="O12622" t="s">
        <v>41250</v>
      </c>
      <c r="P12622">
        <v>0</v>
      </c>
      <c r="Q12622">
        <v>0</v>
      </c>
      <c r="R12622" t="s">
        <v>41268</v>
      </c>
      <c r="S12622" t="s">
        <v>42129</v>
      </c>
      <c r="T12622" t="s">
        <v>43154</v>
      </c>
      <c r="U12622" t="s">
        <v>53306</v>
      </c>
      <c r="W12622" t="s">
        <v>41083</v>
      </c>
      <c r="X12622" t="s">
        <v>41272</v>
      </c>
    </row>
    <row r="12623" spans="1:24">
      <c r="A12623">
        <f>HYPERLINK("https://www.philgeps.gov.ph/GEPSNONPILOT/Tender/SplashBidNoticeAbstractUI.aspx?menuIndex=3&amp;refID=7029815&amp;Result=3","7029815")</f>
        <v>0</v>
      </c>
      <c r="B12623" t="s">
        <v>2901</v>
      </c>
      <c r="C12623" t="s">
        <v>15477</v>
      </c>
      <c r="D12623" t="s">
        <v>16610</v>
      </c>
      <c r="E12623" t="s">
        <v>27605</v>
      </c>
      <c r="F12623" t="s">
        <v>28669</v>
      </c>
      <c r="G12623" t="s">
        <v>28675</v>
      </c>
      <c r="H12623" t="s">
        <v>28686</v>
      </c>
      <c r="I12623" t="s">
        <v>28689</v>
      </c>
      <c r="J12623" t="s">
        <v>36519</v>
      </c>
      <c r="K12623" t="s">
        <v>37214</v>
      </c>
      <c r="M12623" t="s">
        <v>40649</v>
      </c>
      <c r="N12623" t="s">
        <v>41249</v>
      </c>
      <c r="O12623" t="s">
        <v>41250</v>
      </c>
      <c r="P12623">
        <v>0</v>
      </c>
      <c r="Q12623">
        <v>1</v>
      </c>
      <c r="R12623" t="s">
        <v>41268</v>
      </c>
      <c r="S12623" t="s">
        <v>42129</v>
      </c>
      <c r="T12623" t="s">
        <v>42706</v>
      </c>
      <c r="U12623" t="s">
        <v>53307</v>
      </c>
      <c r="W12623" t="s">
        <v>40649</v>
      </c>
      <c r="X12623" t="s">
        <v>41278</v>
      </c>
    </row>
    <row r="12624" spans="1:24">
      <c r="A12624">
        <f>HYPERLINK("https://www.philgeps.gov.ph/GEPSNONPILOT/Tender/SplashBidNoticeAbstractUI.aspx?menuIndex=3&amp;refID=7041068&amp;Result=3","7041068")</f>
        <v>0</v>
      </c>
      <c r="B12624" t="s">
        <v>33</v>
      </c>
      <c r="C12624" t="s">
        <v>15478</v>
      </c>
      <c r="D12624" t="s">
        <v>16616</v>
      </c>
      <c r="E12624" t="s">
        <v>27606</v>
      </c>
      <c r="F12624" t="s">
        <v>28669</v>
      </c>
      <c r="G12624" t="s">
        <v>28675</v>
      </c>
      <c r="H12624" t="s">
        <v>9998</v>
      </c>
      <c r="I12624" t="s">
        <v>28710</v>
      </c>
      <c r="J12624" t="s">
        <v>36520</v>
      </c>
      <c r="K12624" t="s">
        <v>37213</v>
      </c>
      <c r="M12624" t="s">
        <v>38482</v>
      </c>
      <c r="N12624" t="s">
        <v>41249</v>
      </c>
      <c r="O12624" t="s">
        <v>41250</v>
      </c>
      <c r="P12624">
        <v>0</v>
      </c>
      <c r="Q12624">
        <v>1</v>
      </c>
      <c r="R12624" t="s">
        <v>41268</v>
      </c>
      <c r="S12624" t="s">
        <v>42129</v>
      </c>
      <c r="T12624" t="s">
        <v>42696</v>
      </c>
      <c r="U12624" t="s">
        <v>53308</v>
      </c>
      <c r="V12624" t="s">
        <v>55664</v>
      </c>
      <c r="W12624" t="s">
        <v>38482</v>
      </c>
      <c r="X12624" t="s">
        <v>41272</v>
      </c>
    </row>
    <row r="12625" spans="1:24">
      <c r="A12625">
        <f>HYPERLINK("https://www.philgeps.gov.ph/GEPSNONPILOT/Tender/SplashBidNoticeAbstractUI.aspx?menuIndex=3&amp;refID=7042636&amp;Result=3","7042636")</f>
        <v>0</v>
      </c>
      <c r="B12625" t="s">
        <v>1667</v>
      </c>
      <c r="C12625" t="s">
        <v>15479</v>
      </c>
      <c r="E12625" t="s">
        <v>27607</v>
      </c>
      <c r="F12625" t="s">
        <v>28669</v>
      </c>
      <c r="G12625" t="s">
        <v>28675</v>
      </c>
      <c r="H12625" t="s">
        <v>9998</v>
      </c>
      <c r="I12625" t="s">
        <v>11593</v>
      </c>
      <c r="J12625" t="s">
        <v>36521</v>
      </c>
      <c r="K12625" t="s">
        <v>37209</v>
      </c>
      <c r="M12625" t="s">
        <v>41084</v>
      </c>
      <c r="N12625" t="s">
        <v>41249</v>
      </c>
      <c r="O12625" t="s">
        <v>41250</v>
      </c>
      <c r="Q12625">
        <v>23</v>
      </c>
      <c r="R12625" t="s">
        <v>41268</v>
      </c>
      <c r="S12625" t="s">
        <v>42131</v>
      </c>
      <c r="T12625" t="s">
        <v>42673</v>
      </c>
      <c r="U12625" t="s">
        <v>53309</v>
      </c>
      <c r="W12625" t="s">
        <v>41084</v>
      </c>
      <c r="X12625" t="s">
        <v>41272</v>
      </c>
    </row>
    <row r="12626" spans="1:24">
      <c r="A12626">
        <f>HYPERLINK("https://www.philgeps.gov.ph/GEPSNONPILOT/Tender/SplashBidNoticeAbstractUI.aspx?menuIndex=3&amp;refID=7042610&amp;Result=3","7042610")</f>
        <v>0</v>
      </c>
      <c r="B12626" t="s">
        <v>1432</v>
      </c>
      <c r="C12626" t="s">
        <v>15480</v>
      </c>
      <c r="E12626" t="s">
        <v>27608</v>
      </c>
      <c r="F12626" t="s">
        <v>28669</v>
      </c>
      <c r="G12626" t="s">
        <v>28681</v>
      </c>
      <c r="H12626" t="s">
        <v>28685</v>
      </c>
      <c r="I12626" t="s">
        <v>28685</v>
      </c>
      <c r="J12626" t="s">
        <v>31229</v>
      </c>
      <c r="K12626" t="s">
        <v>37209</v>
      </c>
      <c r="M12626" t="s">
        <v>38996</v>
      </c>
      <c r="N12626" t="s">
        <v>41249</v>
      </c>
      <c r="O12626" t="s">
        <v>41250</v>
      </c>
      <c r="P12626">
        <v>0</v>
      </c>
      <c r="Q12626">
        <v>4</v>
      </c>
      <c r="R12626" t="s">
        <v>41268</v>
      </c>
      <c r="S12626" t="s">
        <v>42129</v>
      </c>
      <c r="T12626" t="s">
        <v>43022</v>
      </c>
      <c r="U12626" t="s">
        <v>53310</v>
      </c>
      <c r="W12626" t="s">
        <v>38996</v>
      </c>
      <c r="X12626" t="s">
        <v>41272</v>
      </c>
    </row>
    <row r="12627" spans="1:24">
      <c r="A12627">
        <f>HYPERLINK("https://www.philgeps.gov.ph/GEPSNONPILOT/Tender/SplashBidNoticeAbstractUI.aspx?menuIndex=3&amp;refID=7047034&amp;Result=3","7047034")</f>
        <v>0</v>
      </c>
      <c r="B12627" t="s">
        <v>287</v>
      </c>
      <c r="C12627" t="s">
        <v>15481</v>
      </c>
      <c r="D12627" t="s">
        <v>16611</v>
      </c>
      <c r="E12627" t="s">
        <v>27609</v>
      </c>
      <c r="F12627" t="s">
        <v>28669</v>
      </c>
      <c r="G12627" t="s">
        <v>28675</v>
      </c>
      <c r="H12627" t="s">
        <v>9998</v>
      </c>
      <c r="I12627" t="s">
        <v>28687</v>
      </c>
      <c r="J12627" t="s">
        <v>29059</v>
      </c>
      <c r="K12627" t="s">
        <v>37208</v>
      </c>
      <c r="M12627" t="s">
        <v>37766</v>
      </c>
      <c r="N12627" t="s">
        <v>41249</v>
      </c>
      <c r="O12627" t="s">
        <v>41250</v>
      </c>
      <c r="P12627">
        <v>0</v>
      </c>
      <c r="Q12627">
        <v>4</v>
      </c>
      <c r="R12627" t="s">
        <v>41267</v>
      </c>
      <c r="S12627" t="s">
        <v>42077</v>
      </c>
      <c r="T12627" t="s">
        <v>42673</v>
      </c>
      <c r="U12627" t="s">
        <v>53311</v>
      </c>
      <c r="W12627" t="s">
        <v>37766</v>
      </c>
      <c r="X12627" t="s">
        <v>41268</v>
      </c>
    </row>
    <row r="12628" spans="1:24">
      <c r="A12628">
        <f>HYPERLINK("https://www.philgeps.gov.ph/GEPSNONPILOT/Tender/SplashBidNoticeAbstractUI.aspx?menuIndex=3&amp;refID=7042601&amp;Result=3","7042601")</f>
        <v>0</v>
      </c>
      <c r="B12628" t="s">
        <v>1667</v>
      </c>
      <c r="C12628" t="s">
        <v>15482</v>
      </c>
      <c r="E12628" t="s">
        <v>27610</v>
      </c>
      <c r="F12628" t="s">
        <v>28669</v>
      </c>
      <c r="G12628" t="s">
        <v>28675</v>
      </c>
      <c r="H12628" t="s">
        <v>9998</v>
      </c>
      <c r="I12628" t="s">
        <v>11593</v>
      </c>
      <c r="J12628" t="s">
        <v>36522</v>
      </c>
      <c r="K12628" t="s">
        <v>37209</v>
      </c>
      <c r="M12628" t="s">
        <v>41084</v>
      </c>
      <c r="N12628" t="s">
        <v>41249</v>
      </c>
      <c r="O12628" t="s">
        <v>41250</v>
      </c>
      <c r="Q12628">
        <v>23</v>
      </c>
      <c r="R12628" t="s">
        <v>41268</v>
      </c>
      <c r="S12628" t="s">
        <v>42132</v>
      </c>
      <c r="T12628" t="s">
        <v>42987</v>
      </c>
      <c r="U12628" t="s">
        <v>53312</v>
      </c>
      <c r="W12628" t="s">
        <v>41084</v>
      </c>
      <c r="X12628" t="s">
        <v>41272</v>
      </c>
    </row>
    <row r="12629" spans="1:24">
      <c r="A12629">
        <f>HYPERLINK("https://www.philgeps.gov.ph/GEPSNONPILOT/Tender/SplashBidNoticeAbstractUI.aspx?menuIndex=3&amp;refID=7038928&amp;Result=3","7038928")</f>
        <v>0</v>
      </c>
      <c r="B12629" t="s">
        <v>411</v>
      </c>
      <c r="C12629" t="s">
        <v>15483</v>
      </c>
      <c r="D12629" t="s">
        <v>16616</v>
      </c>
      <c r="E12629" t="s">
        <v>27611</v>
      </c>
      <c r="F12629" t="s">
        <v>28669</v>
      </c>
      <c r="G12629" t="s">
        <v>28675</v>
      </c>
      <c r="H12629" t="s">
        <v>9998</v>
      </c>
      <c r="I12629" t="s">
        <v>28706</v>
      </c>
      <c r="J12629" t="s">
        <v>30146</v>
      </c>
      <c r="K12629" t="s">
        <v>37220</v>
      </c>
      <c r="M12629" t="s">
        <v>37896</v>
      </c>
      <c r="N12629" t="s">
        <v>41249</v>
      </c>
      <c r="O12629" t="s">
        <v>41250</v>
      </c>
      <c r="Q12629">
        <v>4</v>
      </c>
      <c r="R12629" t="s">
        <v>41268</v>
      </c>
      <c r="S12629" t="s">
        <v>42133</v>
      </c>
      <c r="T12629" t="s">
        <v>42738</v>
      </c>
      <c r="U12629" t="s">
        <v>53313</v>
      </c>
      <c r="W12629" t="s">
        <v>37896</v>
      </c>
      <c r="X12629" t="s">
        <v>41273</v>
      </c>
    </row>
    <row r="12630" spans="1:24">
      <c r="A12630">
        <f>HYPERLINK("https://www.philgeps.gov.ph/GEPSNONPILOT/Tender/SplashBidNoticeAbstractUI.aspx?menuIndex=3&amp;refID=7042485&amp;Result=3","7042485")</f>
        <v>0</v>
      </c>
      <c r="B12630" t="s">
        <v>3262</v>
      </c>
      <c r="C12630" t="s">
        <v>15484</v>
      </c>
      <c r="D12630" t="s">
        <v>16627</v>
      </c>
      <c r="E12630" t="s">
        <v>16807</v>
      </c>
      <c r="F12630" t="s">
        <v>28669</v>
      </c>
      <c r="G12630" t="s">
        <v>28675</v>
      </c>
      <c r="H12630" t="s">
        <v>28686</v>
      </c>
      <c r="I12630" t="s">
        <v>28702</v>
      </c>
      <c r="J12630" t="s">
        <v>28850</v>
      </c>
      <c r="K12630" t="s">
        <v>37206</v>
      </c>
      <c r="M12630" t="s">
        <v>41085</v>
      </c>
      <c r="N12630" t="s">
        <v>41249</v>
      </c>
      <c r="O12630" t="s">
        <v>41250</v>
      </c>
      <c r="P12630">
        <v>0</v>
      </c>
      <c r="Q12630">
        <v>2</v>
      </c>
      <c r="R12630" t="s">
        <v>41268</v>
      </c>
      <c r="S12630" t="s">
        <v>42129</v>
      </c>
      <c r="T12630" t="s">
        <v>42754</v>
      </c>
      <c r="U12630" t="s">
        <v>53314</v>
      </c>
      <c r="W12630" t="s">
        <v>41085</v>
      </c>
      <c r="X12630" t="s">
        <v>41272</v>
      </c>
    </row>
    <row r="12631" spans="1:24">
      <c r="A12631">
        <f>HYPERLINK("https://www.philgeps.gov.ph/GEPSNONPILOT/Tender/SplashBidNoticeAbstractUI.aspx?menuIndex=3&amp;refID=7042396&amp;Result=3","7042396")</f>
        <v>0</v>
      </c>
      <c r="B12631" t="s">
        <v>2099</v>
      </c>
      <c r="C12631" t="s">
        <v>15485</v>
      </c>
      <c r="D12631" t="s">
        <v>16608</v>
      </c>
      <c r="E12631" t="s">
        <v>27612</v>
      </c>
      <c r="F12631" t="s">
        <v>28669</v>
      </c>
      <c r="G12631" t="s">
        <v>28675</v>
      </c>
      <c r="H12631" t="s">
        <v>9998</v>
      </c>
      <c r="I12631" t="s">
        <v>7352</v>
      </c>
      <c r="J12631" t="s">
        <v>36523</v>
      </c>
      <c r="K12631" t="s">
        <v>37206</v>
      </c>
      <c r="M12631" t="s">
        <v>41086</v>
      </c>
      <c r="N12631" t="s">
        <v>41249</v>
      </c>
      <c r="O12631" t="s">
        <v>41250</v>
      </c>
      <c r="Q12631">
        <v>9</v>
      </c>
      <c r="R12631" t="s">
        <v>41268</v>
      </c>
      <c r="S12631" t="s">
        <v>42134</v>
      </c>
      <c r="T12631" t="s">
        <v>42673</v>
      </c>
      <c r="U12631" t="s">
        <v>53315</v>
      </c>
      <c r="W12631" t="s">
        <v>41086</v>
      </c>
      <c r="X12631" t="s">
        <v>41272</v>
      </c>
    </row>
    <row r="12632" spans="1:24">
      <c r="A12632">
        <f>HYPERLINK("https://www.philgeps.gov.ph/GEPSNONPILOT/Tender/SplashBidNoticeAbstractUI.aspx?menuIndex=3&amp;refID=7042394&amp;Result=3","7042394")</f>
        <v>0</v>
      </c>
      <c r="B12632" t="s">
        <v>1879</v>
      </c>
      <c r="C12632" t="s">
        <v>15486</v>
      </c>
      <c r="D12632" t="s">
        <v>16624</v>
      </c>
      <c r="E12632" t="s">
        <v>27613</v>
      </c>
      <c r="F12632" t="s">
        <v>28669</v>
      </c>
      <c r="G12632" t="s">
        <v>28675</v>
      </c>
      <c r="H12632" t="s">
        <v>28686</v>
      </c>
      <c r="I12632" t="s">
        <v>28689</v>
      </c>
      <c r="J12632" t="s">
        <v>32601</v>
      </c>
      <c r="K12632" t="s">
        <v>37215</v>
      </c>
      <c r="M12632" t="s">
        <v>39502</v>
      </c>
      <c r="N12632" t="s">
        <v>41249</v>
      </c>
      <c r="O12632" t="s">
        <v>41250</v>
      </c>
      <c r="P12632">
        <v>0</v>
      </c>
      <c r="Q12632">
        <v>0</v>
      </c>
      <c r="R12632" t="s">
        <v>41268</v>
      </c>
      <c r="S12632" t="s">
        <v>42129</v>
      </c>
      <c r="T12632" t="s">
        <v>42736</v>
      </c>
      <c r="U12632" t="s">
        <v>47782</v>
      </c>
      <c r="W12632" t="s">
        <v>39502</v>
      </c>
      <c r="X12632" t="s">
        <v>41272</v>
      </c>
    </row>
    <row r="12633" spans="1:24">
      <c r="A12633">
        <f>HYPERLINK("https://www.philgeps.gov.ph/GEPSNONPILOT/Tender/SplashBidNoticeAbstractUI.aspx?menuIndex=3&amp;refID=7042632&amp;Result=3","7042632")</f>
        <v>0</v>
      </c>
      <c r="B12633" t="s">
        <v>1124</v>
      </c>
      <c r="C12633" t="s">
        <v>15487</v>
      </c>
      <c r="E12633" t="s">
        <v>27614</v>
      </c>
      <c r="F12633" t="s">
        <v>28669</v>
      </c>
      <c r="G12633" t="s">
        <v>28675</v>
      </c>
      <c r="H12633" t="s">
        <v>9998</v>
      </c>
      <c r="I12633" t="s">
        <v>28745</v>
      </c>
      <c r="J12633" t="s">
        <v>36524</v>
      </c>
      <c r="K12633" t="s">
        <v>37209</v>
      </c>
      <c r="M12633" t="s">
        <v>40623</v>
      </c>
      <c r="N12633" t="s">
        <v>41249</v>
      </c>
      <c r="O12633" t="s">
        <v>41250</v>
      </c>
      <c r="Q12633">
        <v>7</v>
      </c>
      <c r="R12633" t="s">
        <v>41268</v>
      </c>
      <c r="S12633" t="s">
        <v>42135</v>
      </c>
      <c r="T12633" t="s">
        <v>42684</v>
      </c>
      <c r="U12633" t="s">
        <v>53316</v>
      </c>
      <c r="W12633" t="s">
        <v>40623</v>
      </c>
      <c r="X12633" t="s">
        <v>41272</v>
      </c>
    </row>
    <row r="12634" spans="1:24">
      <c r="A12634">
        <f>HYPERLINK("https://www.philgeps.gov.ph/GEPSNONPILOT/Tender/SplashBidNoticeAbstractUI.aspx?menuIndex=3&amp;refID=7042226&amp;Result=3","7042226")</f>
        <v>0</v>
      </c>
      <c r="B12634" t="s">
        <v>1217</v>
      </c>
      <c r="C12634" t="s">
        <v>15488</v>
      </c>
      <c r="D12634" t="s">
        <v>16631</v>
      </c>
      <c r="E12634" t="s">
        <v>27615</v>
      </c>
      <c r="F12634" t="s">
        <v>28669</v>
      </c>
      <c r="G12634" t="s">
        <v>28675</v>
      </c>
      <c r="H12634" t="s">
        <v>28686</v>
      </c>
      <c r="I12634" t="s">
        <v>28689</v>
      </c>
      <c r="J12634" t="s">
        <v>36525</v>
      </c>
      <c r="K12634" t="s">
        <v>37259</v>
      </c>
      <c r="M12634" t="s">
        <v>38760</v>
      </c>
      <c r="N12634" t="s">
        <v>41249</v>
      </c>
      <c r="O12634" t="s">
        <v>41250</v>
      </c>
      <c r="P12634">
        <v>0</v>
      </c>
      <c r="Q12634">
        <v>2</v>
      </c>
      <c r="R12634" t="s">
        <v>41268</v>
      </c>
      <c r="S12634" t="s">
        <v>42129</v>
      </c>
      <c r="T12634" t="s">
        <v>42711</v>
      </c>
      <c r="U12634" t="s">
        <v>53317</v>
      </c>
      <c r="V12634" t="s">
        <v>54599</v>
      </c>
      <c r="W12634" t="s">
        <v>38760</v>
      </c>
      <c r="X12634" t="s">
        <v>41272</v>
      </c>
    </row>
    <row r="12635" spans="1:24">
      <c r="A12635">
        <f>HYPERLINK("https://www.philgeps.gov.ph/GEPSNONPILOT/Tender/SplashBidNoticeAbstractUI.aspx?menuIndex=3&amp;refID=7042531&amp;Result=3","7042531")</f>
        <v>0</v>
      </c>
      <c r="B12635" t="s">
        <v>2099</v>
      </c>
      <c r="C12635" t="s">
        <v>15489</v>
      </c>
      <c r="D12635" t="s">
        <v>16608</v>
      </c>
      <c r="E12635" t="s">
        <v>27616</v>
      </c>
      <c r="F12635" t="s">
        <v>28669</v>
      </c>
      <c r="G12635" t="s">
        <v>28675</v>
      </c>
      <c r="H12635" t="s">
        <v>9998</v>
      </c>
      <c r="I12635" t="s">
        <v>7352</v>
      </c>
      <c r="J12635" t="s">
        <v>28881</v>
      </c>
      <c r="K12635" t="s">
        <v>37206</v>
      </c>
      <c r="M12635" t="s">
        <v>41086</v>
      </c>
      <c r="N12635" t="s">
        <v>41249</v>
      </c>
      <c r="O12635" t="s">
        <v>41250</v>
      </c>
      <c r="P12635">
        <v>0</v>
      </c>
      <c r="Q12635">
        <v>12</v>
      </c>
      <c r="R12635" t="s">
        <v>41268</v>
      </c>
      <c r="S12635" t="s">
        <v>42129</v>
      </c>
      <c r="T12635" t="s">
        <v>42673</v>
      </c>
      <c r="U12635" t="s">
        <v>53318</v>
      </c>
      <c r="W12635" t="s">
        <v>41086</v>
      </c>
      <c r="X12635" t="s">
        <v>41272</v>
      </c>
    </row>
    <row r="12636" spans="1:24">
      <c r="A12636">
        <f>HYPERLINK("https://www.philgeps.gov.ph/GEPSNONPILOT/Tender/SplashBidNoticeAbstractUI.aspx?menuIndex=3&amp;refID=7042137&amp;Result=3","7042137")</f>
        <v>0</v>
      </c>
      <c r="B12636" t="s">
        <v>3143</v>
      </c>
      <c r="C12636" t="s">
        <v>15490</v>
      </c>
      <c r="E12636" t="s">
        <v>27617</v>
      </c>
      <c r="F12636" t="s">
        <v>28669</v>
      </c>
      <c r="G12636" t="s">
        <v>28675</v>
      </c>
      <c r="H12636" t="s">
        <v>9998</v>
      </c>
      <c r="I12636" t="s">
        <v>28693</v>
      </c>
      <c r="J12636" t="s">
        <v>36526</v>
      </c>
      <c r="K12636" t="s">
        <v>37209</v>
      </c>
      <c r="M12636" t="s">
        <v>41087</v>
      </c>
      <c r="N12636" t="s">
        <v>41249</v>
      </c>
      <c r="O12636" t="s">
        <v>41250</v>
      </c>
      <c r="Q12636">
        <v>42</v>
      </c>
      <c r="R12636" t="s">
        <v>41268</v>
      </c>
      <c r="S12636" t="s">
        <v>42136</v>
      </c>
      <c r="T12636" t="s">
        <v>42675</v>
      </c>
      <c r="U12636" t="s">
        <v>53319</v>
      </c>
      <c r="W12636" t="s">
        <v>41087</v>
      </c>
      <c r="X12636" t="s">
        <v>41272</v>
      </c>
    </row>
    <row r="12637" spans="1:24">
      <c r="A12637">
        <f>HYPERLINK("https://www.philgeps.gov.ph/GEPSNONPILOT/Tender/SplashBidNoticeAbstractUI.aspx?menuIndex=3&amp;refID=7043234&amp;Result=3","7043234")</f>
        <v>0</v>
      </c>
      <c r="B12637" t="s">
        <v>586</v>
      </c>
      <c r="C12637" t="s">
        <v>15491</v>
      </c>
      <c r="D12637" t="s">
        <v>16612</v>
      </c>
      <c r="E12637" t="s">
        <v>27618</v>
      </c>
      <c r="F12637" t="s">
        <v>28669</v>
      </c>
      <c r="G12637" t="s">
        <v>28675</v>
      </c>
      <c r="H12637" t="s">
        <v>28686</v>
      </c>
      <c r="I12637" t="s">
        <v>28689</v>
      </c>
      <c r="J12637" t="s">
        <v>36527</v>
      </c>
      <c r="K12637" t="s">
        <v>37206</v>
      </c>
      <c r="M12637" t="s">
        <v>38085</v>
      </c>
      <c r="N12637" t="s">
        <v>41249</v>
      </c>
      <c r="O12637" t="s">
        <v>41250</v>
      </c>
      <c r="P12637">
        <v>0</v>
      </c>
      <c r="Q12637">
        <v>0</v>
      </c>
      <c r="R12637" t="s">
        <v>41268</v>
      </c>
      <c r="S12637" t="s">
        <v>42129</v>
      </c>
      <c r="T12637" t="s">
        <v>42679</v>
      </c>
      <c r="U12637" t="s">
        <v>53320</v>
      </c>
      <c r="W12637" t="s">
        <v>38085</v>
      </c>
      <c r="X12637" t="s">
        <v>41272</v>
      </c>
    </row>
    <row r="12638" spans="1:24">
      <c r="A12638">
        <f>HYPERLINK("https://www.philgeps.gov.ph/GEPSNONPILOT/Tender/SplashBidNoticeAbstractUI.aspx?menuIndex=3&amp;refID=7043227&amp;Result=3","7043227")</f>
        <v>0</v>
      </c>
      <c r="B12638" t="s">
        <v>586</v>
      </c>
      <c r="C12638" t="s">
        <v>15492</v>
      </c>
      <c r="D12638" t="s">
        <v>16612</v>
      </c>
      <c r="E12638" t="s">
        <v>27619</v>
      </c>
      <c r="F12638" t="s">
        <v>28669</v>
      </c>
      <c r="G12638" t="s">
        <v>28675</v>
      </c>
      <c r="H12638" t="s">
        <v>28686</v>
      </c>
      <c r="I12638" t="s">
        <v>28689</v>
      </c>
      <c r="J12638" t="s">
        <v>36528</v>
      </c>
      <c r="K12638" t="s">
        <v>37223</v>
      </c>
      <c r="M12638" t="s">
        <v>38085</v>
      </c>
      <c r="N12638" t="s">
        <v>41249</v>
      </c>
      <c r="O12638" t="s">
        <v>41250</v>
      </c>
      <c r="P12638">
        <v>0</v>
      </c>
      <c r="Q12638">
        <v>0</v>
      </c>
      <c r="R12638" t="s">
        <v>41268</v>
      </c>
      <c r="S12638" t="s">
        <v>42129</v>
      </c>
      <c r="T12638" t="s">
        <v>42679</v>
      </c>
      <c r="U12638" t="s">
        <v>53321</v>
      </c>
      <c r="W12638" t="s">
        <v>38085</v>
      </c>
      <c r="X12638" t="s">
        <v>41272</v>
      </c>
    </row>
    <row r="12639" spans="1:24">
      <c r="A12639">
        <f>HYPERLINK("https://www.philgeps.gov.ph/GEPSNONPILOT/Tender/SplashBidNoticeAbstractUI.aspx?menuIndex=3&amp;refID=7042312&amp;Result=3","7042312")</f>
        <v>0</v>
      </c>
      <c r="B12639" t="s">
        <v>1349</v>
      </c>
      <c r="C12639" t="s">
        <v>15493</v>
      </c>
      <c r="D12639" t="s">
        <v>16648</v>
      </c>
      <c r="E12639" t="s">
        <v>27620</v>
      </c>
      <c r="F12639" t="s">
        <v>28669</v>
      </c>
      <c r="G12639" t="s">
        <v>28675</v>
      </c>
      <c r="H12639" t="s">
        <v>9998</v>
      </c>
      <c r="I12639" t="s">
        <v>28708</v>
      </c>
      <c r="J12639" t="s">
        <v>36529</v>
      </c>
      <c r="K12639" t="s">
        <v>37206</v>
      </c>
      <c r="M12639" t="s">
        <v>38904</v>
      </c>
      <c r="N12639" t="s">
        <v>41249</v>
      </c>
      <c r="O12639" t="s">
        <v>41250</v>
      </c>
      <c r="P12639">
        <v>0</v>
      </c>
      <c r="Q12639">
        <v>6</v>
      </c>
      <c r="R12639" t="s">
        <v>41268</v>
      </c>
      <c r="S12639" t="s">
        <v>42129</v>
      </c>
      <c r="T12639" t="s">
        <v>42679</v>
      </c>
      <c r="U12639" t="s">
        <v>53322</v>
      </c>
      <c r="W12639" t="s">
        <v>38904</v>
      </c>
      <c r="X12639" t="s">
        <v>41272</v>
      </c>
    </row>
    <row r="12640" spans="1:24">
      <c r="A12640">
        <f>HYPERLINK("https://www.philgeps.gov.ph/GEPSNONPILOT/Tender/SplashBidNoticeAbstractUI.aspx?menuIndex=3&amp;refID=7042220&amp;Result=3","7042220")</f>
        <v>0</v>
      </c>
      <c r="B12640" t="s">
        <v>732</v>
      </c>
      <c r="C12640" t="s">
        <v>15494</v>
      </c>
      <c r="D12640" t="s">
        <v>16608</v>
      </c>
      <c r="E12640" t="s">
        <v>27621</v>
      </c>
      <c r="F12640" t="s">
        <v>28669</v>
      </c>
      <c r="G12640" t="s">
        <v>28675</v>
      </c>
      <c r="H12640" t="s">
        <v>9998</v>
      </c>
      <c r="I12640" t="s">
        <v>5286</v>
      </c>
      <c r="J12640" t="s">
        <v>36530</v>
      </c>
      <c r="K12640" t="s">
        <v>37213</v>
      </c>
      <c r="M12640" t="s">
        <v>41088</v>
      </c>
      <c r="N12640" t="s">
        <v>41249</v>
      </c>
      <c r="O12640" t="s">
        <v>41250</v>
      </c>
      <c r="P12640">
        <v>0</v>
      </c>
      <c r="Q12640">
        <v>15</v>
      </c>
      <c r="R12640" t="s">
        <v>41268</v>
      </c>
      <c r="S12640" t="s">
        <v>42129</v>
      </c>
      <c r="T12640" t="s">
        <v>42703</v>
      </c>
      <c r="U12640" t="s">
        <v>53323</v>
      </c>
      <c r="W12640" t="s">
        <v>41088</v>
      </c>
      <c r="X12640" t="s">
        <v>41272</v>
      </c>
    </row>
    <row r="12641" spans="1:24">
      <c r="A12641">
        <f>HYPERLINK("https://www.philgeps.gov.ph/GEPSNONPILOT/Tender/SplashBidNoticeAbstractUI.aspx?menuIndex=3&amp;refID=7043216&amp;Result=3","7043216")</f>
        <v>0</v>
      </c>
      <c r="B12641" t="s">
        <v>586</v>
      </c>
      <c r="C12641" t="s">
        <v>15495</v>
      </c>
      <c r="D12641" t="s">
        <v>16612</v>
      </c>
      <c r="E12641" t="s">
        <v>27622</v>
      </c>
      <c r="F12641" t="s">
        <v>28669</v>
      </c>
      <c r="G12641" t="s">
        <v>28675</v>
      </c>
      <c r="H12641" t="s">
        <v>28686</v>
      </c>
      <c r="I12641" t="s">
        <v>28689</v>
      </c>
      <c r="J12641" t="s">
        <v>36531</v>
      </c>
      <c r="K12641" t="s">
        <v>37220</v>
      </c>
      <c r="M12641" t="s">
        <v>38085</v>
      </c>
      <c r="N12641" t="s">
        <v>41249</v>
      </c>
      <c r="O12641" t="s">
        <v>41250</v>
      </c>
      <c r="P12641">
        <v>0</v>
      </c>
      <c r="Q12641">
        <v>1</v>
      </c>
      <c r="R12641" t="s">
        <v>41268</v>
      </c>
      <c r="S12641" t="s">
        <v>42129</v>
      </c>
      <c r="T12641" t="s">
        <v>42679</v>
      </c>
      <c r="U12641" t="s">
        <v>53324</v>
      </c>
      <c r="W12641" t="s">
        <v>38085</v>
      </c>
      <c r="X12641" t="s">
        <v>41272</v>
      </c>
    </row>
    <row r="12642" spans="1:24">
      <c r="A12642">
        <f>HYPERLINK("https://www.philgeps.gov.ph/GEPSNONPILOT/Tender/SplashBidNoticeAbstractUI.aspx?menuIndex=3&amp;refID=7043056&amp;Result=3","7043056")</f>
        <v>0</v>
      </c>
      <c r="B12642" t="s">
        <v>479</v>
      </c>
      <c r="C12642" t="s">
        <v>15496</v>
      </c>
      <c r="E12642" t="s">
        <v>27623</v>
      </c>
      <c r="F12642" t="s">
        <v>28669</v>
      </c>
      <c r="G12642" t="s">
        <v>28675</v>
      </c>
      <c r="H12642" t="s">
        <v>9998</v>
      </c>
      <c r="I12642" t="s">
        <v>28693</v>
      </c>
      <c r="J12642" t="s">
        <v>36532</v>
      </c>
      <c r="K12642" t="s">
        <v>37220</v>
      </c>
      <c r="M12642" t="s">
        <v>40706</v>
      </c>
      <c r="N12642" t="s">
        <v>41249</v>
      </c>
      <c r="O12642" t="s">
        <v>41250</v>
      </c>
      <c r="P12642">
        <v>0</v>
      </c>
      <c r="Q12642">
        <v>23</v>
      </c>
      <c r="R12642" t="s">
        <v>41268</v>
      </c>
      <c r="S12642" t="s">
        <v>42129</v>
      </c>
      <c r="T12642" t="s">
        <v>42744</v>
      </c>
      <c r="U12642" t="s">
        <v>53325</v>
      </c>
      <c r="W12642" t="s">
        <v>40706</v>
      </c>
      <c r="X12642" t="s">
        <v>41272</v>
      </c>
    </row>
    <row r="12643" spans="1:24">
      <c r="A12643">
        <f>HYPERLINK("https://www.philgeps.gov.ph/GEPSNONPILOT/Tender/SplashBidNoticeAbstractUI.aspx?menuIndex=3&amp;refID=7043038&amp;Result=3","7043038")</f>
        <v>0</v>
      </c>
      <c r="B12643" t="s">
        <v>479</v>
      </c>
      <c r="C12643" t="s">
        <v>15497</v>
      </c>
      <c r="D12643" t="s">
        <v>16608</v>
      </c>
      <c r="E12643" t="s">
        <v>27624</v>
      </c>
      <c r="F12643" t="s">
        <v>28669</v>
      </c>
      <c r="G12643" t="s">
        <v>28675</v>
      </c>
      <c r="H12643" t="s">
        <v>28686</v>
      </c>
      <c r="I12643" t="s">
        <v>28689</v>
      </c>
      <c r="J12643" t="s">
        <v>31229</v>
      </c>
      <c r="K12643" t="s">
        <v>37213</v>
      </c>
      <c r="M12643" t="s">
        <v>40706</v>
      </c>
      <c r="N12643" t="s">
        <v>41249</v>
      </c>
      <c r="O12643" t="s">
        <v>41250</v>
      </c>
      <c r="P12643">
        <v>0</v>
      </c>
      <c r="Q12643">
        <v>14</v>
      </c>
      <c r="R12643" t="s">
        <v>41268</v>
      </c>
      <c r="S12643" t="s">
        <v>42129</v>
      </c>
      <c r="T12643" t="s">
        <v>42903</v>
      </c>
      <c r="U12643" t="s">
        <v>53325</v>
      </c>
      <c r="W12643" t="s">
        <v>40706</v>
      </c>
      <c r="X12643" t="s">
        <v>41272</v>
      </c>
    </row>
    <row r="12644" spans="1:24">
      <c r="A12644">
        <f>HYPERLINK("https://www.philgeps.gov.ph/GEPSNONPILOT/Tender/SplashBidNoticeAbstractUI.aspx?menuIndex=3&amp;refID=7043035&amp;Result=3","7043035")</f>
        <v>0</v>
      </c>
      <c r="B12644" t="s">
        <v>157</v>
      </c>
      <c r="C12644" t="s">
        <v>15498</v>
      </c>
      <c r="D12644" t="s">
        <v>16664</v>
      </c>
      <c r="E12644" t="s">
        <v>27625</v>
      </c>
      <c r="F12644" t="s">
        <v>28669</v>
      </c>
      <c r="G12644" t="s">
        <v>28675</v>
      </c>
      <c r="H12644" t="s">
        <v>28686</v>
      </c>
      <c r="I12644" t="s">
        <v>28725</v>
      </c>
      <c r="J12644" t="s">
        <v>36533</v>
      </c>
      <c r="K12644" t="s">
        <v>37480</v>
      </c>
      <c r="M12644" t="s">
        <v>37634</v>
      </c>
      <c r="N12644" t="s">
        <v>41249</v>
      </c>
      <c r="O12644" t="s">
        <v>41250</v>
      </c>
      <c r="P12644">
        <v>0</v>
      </c>
      <c r="Q12644">
        <v>1</v>
      </c>
      <c r="R12644" t="s">
        <v>41268</v>
      </c>
      <c r="S12644" t="s">
        <v>42129</v>
      </c>
      <c r="T12644" t="s">
        <v>42759</v>
      </c>
      <c r="U12644" t="s">
        <v>53326</v>
      </c>
      <c r="W12644" t="s">
        <v>37634</v>
      </c>
      <c r="X12644" t="s">
        <v>41272</v>
      </c>
    </row>
    <row r="12645" spans="1:24">
      <c r="A12645">
        <f>HYPERLINK("https://www.philgeps.gov.ph/GEPSNONPILOT/Tender/SplashBidNoticeAbstractUI.aspx?menuIndex=3&amp;refID=7042960&amp;Result=3","7042960")</f>
        <v>0</v>
      </c>
      <c r="B12645" t="s">
        <v>2932</v>
      </c>
      <c r="C12645" t="s">
        <v>15499</v>
      </c>
      <c r="D12645" t="s">
        <v>16608</v>
      </c>
      <c r="E12645" t="s">
        <v>20987</v>
      </c>
      <c r="F12645" t="s">
        <v>28669</v>
      </c>
      <c r="G12645" t="s">
        <v>28675</v>
      </c>
      <c r="H12645" t="s">
        <v>9998</v>
      </c>
      <c r="I12645" t="s">
        <v>28713</v>
      </c>
      <c r="J12645" t="s">
        <v>28847</v>
      </c>
      <c r="K12645" t="s">
        <v>37213</v>
      </c>
      <c r="M12645" t="s">
        <v>41072</v>
      </c>
      <c r="N12645" t="s">
        <v>41249</v>
      </c>
      <c r="O12645" t="s">
        <v>41250</v>
      </c>
      <c r="Q12645">
        <v>22</v>
      </c>
      <c r="R12645" t="s">
        <v>41268</v>
      </c>
      <c r="S12645" t="s">
        <v>42137</v>
      </c>
      <c r="T12645" t="s">
        <v>42663</v>
      </c>
      <c r="U12645" t="s">
        <v>53327</v>
      </c>
      <c r="W12645" t="s">
        <v>41072</v>
      </c>
      <c r="X12645" t="s">
        <v>41272</v>
      </c>
    </row>
    <row r="12646" spans="1:24">
      <c r="A12646">
        <f>HYPERLINK("https://www.philgeps.gov.ph/GEPSNONPILOT/Tender/SplashBidNoticeAbstractUI.aspx?menuIndex=3&amp;refID=7042938&amp;Result=3","7042938")</f>
        <v>0</v>
      </c>
      <c r="B12646" t="s">
        <v>2932</v>
      </c>
      <c r="C12646" t="s">
        <v>15500</v>
      </c>
      <c r="D12646" t="s">
        <v>16608</v>
      </c>
      <c r="E12646" t="s">
        <v>20986</v>
      </c>
      <c r="F12646" t="s">
        <v>28669</v>
      </c>
      <c r="G12646" t="s">
        <v>28675</v>
      </c>
      <c r="H12646" t="s">
        <v>9998</v>
      </c>
      <c r="I12646" t="s">
        <v>28713</v>
      </c>
      <c r="J12646" t="s">
        <v>30755</v>
      </c>
      <c r="K12646" t="s">
        <v>37213</v>
      </c>
      <c r="M12646" t="s">
        <v>41072</v>
      </c>
      <c r="N12646" t="s">
        <v>41249</v>
      </c>
      <c r="O12646" t="s">
        <v>41250</v>
      </c>
      <c r="Q12646">
        <v>11</v>
      </c>
      <c r="R12646" t="s">
        <v>41268</v>
      </c>
      <c r="S12646" t="s">
        <v>42138</v>
      </c>
      <c r="T12646" t="s">
        <v>42673</v>
      </c>
      <c r="U12646" t="s">
        <v>53328</v>
      </c>
      <c r="W12646" t="s">
        <v>41072</v>
      </c>
      <c r="X12646" t="s">
        <v>41272</v>
      </c>
    </row>
    <row r="12647" spans="1:24">
      <c r="A12647">
        <f>HYPERLINK("https://www.philgeps.gov.ph/GEPSNONPILOT/Tender/SplashBidNoticeAbstractUI.aspx?menuIndex=3&amp;refID=7042892&amp;Result=3","7042892")</f>
        <v>0</v>
      </c>
      <c r="B12647" t="s">
        <v>479</v>
      </c>
      <c r="C12647" t="s">
        <v>15501</v>
      </c>
      <c r="E12647" t="s">
        <v>27626</v>
      </c>
      <c r="F12647" t="s">
        <v>28669</v>
      </c>
      <c r="G12647" t="s">
        <v>28675</v>
      </c>
      <c r="H12647" t="s">
        <v>9998</v>
      </c>
      <c r="I12647" t="s">
        <v>28693</v>
      </c>
      <c r="J12647" t="s">
        <v>29526</v>
      </c>
      <c r="K12647" t="s">
        <v>37220</v>
      </c>
      <c r="M12647" t="s">
        <v>40706</v>
      </c>
      <c r="N12647" t="s">
        <v>41249</v>
      </c>
      <c r="O12647" t="s">
        <v>41250</v>
      </c>
      <c r="P12647">
        <v>0</v>
      </c>
      <c r="Q12647">
        <v>47</v>
      </c>
      <c r="R12647" t="s">
        <v>41268</v>
      </c>
      <c r="S12647" t="s">
        <v>42129</v>
      </c>
      <c r="T12647" t="s">
        <v>42704</v>
      </c>
      <c r="U12647" t="s">
        <v>53325</v>
      </c>
      <c r="W12647" t="s">
        <v>40706</v>
      </c>
      <c r="X12647" t="s">
        <v>41272</v>
      </c>
    </row>
    <row r="12648" spans="1:24">
      <c r="A12648">
        <f>HYPERLINK("https://www.philgeps.gov.ph/GEPSNONPILOT/Tender/SplashBidNoticeAbstractUI.aspx?menuIndex=3&amp;refID=7042889&amp;Result=3","7042889")</f>
        <v>0</v>
      </c>
      <c r="B12648" t="s">
        <v>1606</v>
      </c>
      <c r="C12648" t="s">
        <v>15502</v>
      </c>
      <c r="E12648" t="s">
        <v>27627</v>
      </c>
      <c r="F12648" t="s">
        <v>28669</v>
      </c>
      <c r="G12648" t="s">
        <v>28675</v>
      </c>
      <c r="H12648" t="s">
        <v>9998</v>
      </c>
      <c r="I12648" t="s">
        <v>28713</v>
      </c>
      <c r="J12648" t="s">
        <v>28914</v>
      </c>
      <c r="K12648" t="s">
        <v>37209</v>
      </c>
      <c r="M12648" t="s">
        <v>39190</v>
      </c>
      <c r="N12648" t="s">
        <v>41249</v>
      </c>
      <c r="O12648" t="s">
        <v>41250</v>
      </c>
      <c r="Q12648">
        <v>14</v>
      </c>
      <c r="R12648" t="s">
        <v>41268</v>
      </c>
      <c r="S12648" t="s">
        <v>42139</v>
      </c>
      <c r="T12648" t="s">
        <v>42681</v>
      </c>
      <c r="U12648" t="s">
        <v>53293</v>
      </c>
      <c r="W12648" t="s">
        <v>39190</v>
      </c>
      <c r="X12648" t="s">
        <v>41272</v>
      </c>
    </row>
    <row r="12649" spans="1:24">
      <c r="A12649">
        <f>HYPERLINK("https://www.philgeps.gov.ph/GEPSNONPILOT/Tender/SplashBidNoticeAbstractUI.aspx?menuIndex=3&amp;refID=7042177&amp;Result=3","7042177")</f>
        <v>0</v>
      </c>
      <c r="B12649" t="s">
        <v>2811</v>
      </c>
      <c r="C12649" t="s">
        <v>15503</v>
      </c>
      <c r="D12649" t="s">
        <v>16668</v>
      </c>
      <c r="E12649" t="s">
        <v>27628</v>
      </c>
      <c r="F12649" t="s">
        <v>28669</v>
      </c>
      <c r="G12649" t="s">
        <v>28675</v>
      </c>
      <c r="H12649" t="s">
        <v>28686</v>
      </c>
      <c r="I12649" t="s">
        <v>28689</v>
      </c>
      <c r="J12649" t="s">
        <v>36534</v>
      </c>
      <c r="K12649" t="s">
        <v>37215</v>
      </c>
      <c r="M12649" t="s">
        <v>40540</v>
      </c>
      <c r="N12649" t="s">
        <v>41249</v>
      </c>
      <c r="O12649" t="s">
        <v>41250</v>
      </c>
      <c r="P12649">
        <v>0</v>
      </c>
      <c r="Q12649">
        <v>1</v>
      </c>
      <c r="R12649" t="s">
        <v>41268</v>
      </c>
      <c r="S12649" t="s">
        <v>42129</v>
      </c>
      <c r="T12649" t="s">
        <v>42754</v>
      </c>
      <c r="U12649" t="s">
        <v>53329</v>
      </c>
      <c r="W12649" t="s">
        <v>40540</v>
      </c>
      <c r="X12649" t="s">
        <v>41272</v>
      </c>
    </row>
    <row r="12650" spans="1:24">
      <c r="A12650">
        <f>HYPERLINK("https://www.philgeps.gov.ph/GEPSNONPILOT/Tender/SplashBidNoticeAbstractUI.aspx?menuIndex=3&amp;refID=7042871&amp;Result=3","7042871")</f>
        <v>0</v>
      </c>
      <c r="B12650" t="s">
        <v>3057</v>
      </c>
      <c r="C12650" t="s">
        <v>15504</v>
      </c>
      <c r="D12650" t="s">
        <v>16621</v>
      </c>
      <c r="E12650" t="s">
        <v>27629</v>
      </c>
      <c r="F12650" t="s">
        <v>28669</v>
      </c>
      <c r="G12650" t="s">
        <v>28675</v>
      </c>
      <c r="H12650" t="s">
        <v>28686</v>
      </c>
      <c r="I12650" t="s">
        <v>28689</v>
      </c>
      <c r="J12650" t="s">
        <v>36535</v>
      </c>
      <c r="K12650" t="s">
        <v>37215</v>
      </c>
      <c r="M12650" t="s">
        <v>40838</v>
      </c>
      <c r="N12650" t="s">
        <v>41249</v>
      </c>
      <c r="O12650" t="s">
        <v>41250</v>
      </c>
      <c r="P12650">
        <v>0</v>
      </c>
      <c r="Q12650">
        <v>0</v>
      </c>
      <c r="R12650" t="s">
        <v>41268</v>
      </c>
      <c r="S12650" t="s">
        <v>42129</v>
      </c>
      <c r="T12650" t="s">
        <v>42729</v>
      </c>
      <c r="U12650" t="s">
        <v>53330</v>
      </c>
      <c r="W12650" t="s">
        <v>40838</v>
      </c>
      <c r="X12650" t="s">
        <v>41272</v>
      </c>
    </row>
    <row r="12651" spans="1:24">
      <c r="A12651">
        <f>HYPERLINK("https://www.philgeps.gov.ph/GEPSNONPILOT/Tender/SplashBidNoticeAbstractUI.aspx?menuIndex=3&amp;refID=7042862&amp;Result=3","7042862")</f>
        <v>0</v>
      </c>
      <c r="B12651" t="s">
        <v>479</v>
      </c>
      <c r="C12651" t="s">
        <v>15501</v>
      </c>
      <c r="E12651" t="s">
        <v>27630</v>
      </c>
      <c r="F12651" t="s">
        <v>28669</v>
      </c>
      <c r="G12651" t="s">
        <v>28675</v>
      </c>
      <c r="H12651" t="s">
        <v>9998</v>
      </c>
      <c r="I12651" t="s">
        <v>28693</v>
      </c>
      <c r="J12651" t="s">
        <v>36536</v>
      </c>
      <c r="K12651" t="s">
        <v>37220</v>
      </c>
      <c r="M12651" t="s">
        <v>40706</v>
      </c>
      <c r="N12651" t="s">
        <v>41249</v>
      </c>
      <c r="O12651" t="s">
        <v>41250</v>
      </c>
      <c r="P12651">
        <v>0</v>
      </c>
      <c r="Q12651">
        <v>53</v>
      </c>
      <c r="R12651" t="s">
        <v>41268</v>
      </c>
      <c r="S12651" t="s">
        <v>42129</v>
      </c>
      <c r="T12651" t="s">
        <v>42680</v>
      </c>
      <c r="U12651" t="s">
        <v>53325</v>
      </c>
      <c r="W12651" t="s">
        <v>40706</v>
      </c>
      <c r="X12651" t="s">
        <v>41272</v>
      </c>
    </row>
    <row r="12652" spans="1:24">
      <c r="A12652">
        <f>HYPERLINK("https://www.philgeps.gov.ph/GEPSNONPILOT/Tender/SplashBidNoticeAbstractUI.aspx?menuIndex=3&amp;refID=7042856&amp;Result=3","7042856")</f>
        <v>0</v>
      </c>
      <c r="B12652" t="s">
        <v>3057</v>
      </c>
      <c r="C12652" t="s">
        <v>15505</v>
      </c>
      <c r="D12652" t="s">
        <v>16621</v>
      </c>
      <c r="E12652" t="s">
        <v>27631</v>
      </c>
      <c r="F12652" t="s">
        <v>28669</v>
      </c>
      <c r="G12652" t="s">
        <v>28675</v>
      </c>
      <c r="H12652" t="s">
        <v>28686</v>
      </c>
      <c r="I12652" t="s">
        <v>28689</v>
      </c>
      <c r="J12652" t="s">
        <v>36537</v>
      </c>
      <c r="K12652" t="s">
        <v>37325</v>
      </c>
      <c r="M12652" t="s">
        <v>40838</v>
      </c>
      <c r="N12652" t="s">
        <v>41249</v>
      </c>
      <c r="O12652" t="s">
        <v>41250</v>
      </c>
      <c r="P12652">
        <v>0</v>
      </c>
      <c r="Q12652">
        <v>4</v>
      </c>
      <c r="R12652" t="s">
        <v>41268</v>
      </c>
      <c r="S12652" t="s">
        <v>42129</v>
      </c>
      <c r="T12652" t="s">
        <v>42729</v>
      </c>
      <c r="U12652" t="s">
        <v>53331</v>
      </c>
      <c r="W12652" t="s">
        <v>40838</v>
      </c>
      <c r="X12652" t="s">
        <v>41272</v>
      </c>
    </row>
    <row r="12653" spans="1:24">
      <c r="A12653">
        <f>HYPERLINK("https://www.philgeps.gov.ph/GEPSNONPILOT/Tender/SplashBidNoticeAbstractUI.aspx?menuIndex=3&amp;refID=7042842&amp;Result=3","7042842")</f>
        <v>0</v>
      </c>
      <c r="B12653" t="s">
        <v>3057</v>
      </c>
      <c r="C12653" t="s">
        <v>15506</v>
      </c>
      <c r="D12653" t="s">
        <v>16621</v>
      </c>
      <c r="E12653" t="s">
        <v>27632</v>
      </c>
      <c r="F12653" t="s">
        <v>28669</v>
      </c>
      <c r="G12653" t="s">
        <v>28675</v>
      </c>
      <c r="H12653" t="s">
        <v>28686</v>
      </c>
      <c r="I12653" t="s">
        <v>28689</v>
      </c>
      <c r="J12653" t="s">
        <v>36538</v>
      </c>
      <c r="K12653" t="s">
        <v>37325</v>
      </c>
      <c r="M12653" t="s">
        <v>40838</v>
      </c>
      <c r="N12653" t="s">
        <v>41249</v>
      </c>
      <c r="O12653" t="s">
        <v>41250</v>
      </c>
      <c r="P12653">
        <v>0</v>
      </c>
      <c r="Q12653">
        <v>2</v>
      </c>
      <c r="R12653" t="s">
        <v>41268</v>
      </c>
      <c r="S12653" t="s">
        <v>42129</v>
      </c>
      <c r="T12653" t="s">
        <v>42729</v>
      </c>
      <c r="U12653" t="s">
        <v>53332</v>
      </c>
      <c r="W12653" t="s">
        <v>40838</v>
      </c>
      <c r="X12653" t="s">
        <v>41272</v>
      </c>
    </row>
    <row r="12654" spans="1:24">
      <c r="A12654">
        <f>HYPERLINK("https://www.philgeps.gov.ph/GEPSNONPILOT/Tender/SplashBidNoticeAbstractUI.aspx?menuIndex=3&amp;refID=7042907&amp;Result=3","7042907")</f>
        <v>0</v>
      </c>
      <c r="B12654" t="s">
        <v>1606</v>
      </c>
      <c r="C12654" t="s">
        <v>15507</v>
      </c>
      <c r="E12654" t="s">
        <v>27633</v>
      </c>
      <c r="F12654" t="s">
        <v>28669</v>
      </c>
      <c r="G12654" t="s">
        <v>28675</v>
      </c>
      <c r="H12654" t="s">
        <v>9998</v>
      </c>
      <c r="I12654" t="s">
        <v>28713</v>
      </c>
      <c r="J12654" t="s">
        <v>29187</v>
      </c>
      <c r="K12654" t="s">
        <v>37209</v>
      </c>
      <c r="M12654" t="s">
        <v>39190</v>
      </c>
      <c r="N12654" t="s">
        <v>41249</v>
      </c>
      <c r="O12654" t="s">
        <v>41250</v>
      </c>
      <c r="Q12654">
        <v>14</v>
      </c>
      <c r="R12654" t="s">
        <v>41268</v>
      </c>
      <c r="S12654" t="s">
        <v>42140</v>
      </c>
      <c r="T12654" t="s">
        <v>42681</v>
      </c>
      <c r="U12654" t="s">
        <v>53293</v>
      </c>
      <c r="W12654" t="s">
        <v>39190</v>
      </c>
      <c r="X12654" t="s">
        <v>41272</v>
      </c>
    </row>
    <row r="12655" spans="1:24">
      <c r="A12655">
        <f>HYPERLINK("https://www.philgeps.gov.ph/GEPSNONPILOT/Tender/SplashBidNoticeAbstractUI.aspx?menuIndex=3&amp;refID=7042783&amp;Result=3","7042783")</f>
        <v>0</v>
      </c>
      <c r="B12655" t="s">
        <v>1606</v>
      </c>
      <c r="C12655" t="s">
        <v>15508</v>
      </c>
      <c r="E12655" t="s">
        <v>27634</v>
      </c>
      <c r="F12655" t="s">
        <v>28669</v>
      </c>
      <c r="G12655" t="s">
        <v>28675</v>
      </c>
      <c r="H12655" t="s">
        <v>9998</v>
      </c>
      <c r="I12655" t="s">
        <v>28713</v>
      </c>
      <c r="J12655" t="s">
        <v>28910</v>
      </c>
      <c r="K12655" t="s">
        <v>37209</v>
      </c>
      <c r="M12655" t="s">
        <v>39190</v>
      </c>
      <c r="N12655" t="s">
        <v>41249</v>
      </c>
      <c r="O12655" t="s">
        <v>41250</v>
      </c>
      <c r="P12655">
        <v>0</v>
      </c>
      <c r="Q12655">
        <v>15</v>
      </c>
      <c r="R12655" t="s">
        <v>41268</v>
      </c>
      <c r="S12655" t="s">
        <v>42129</v>
      </c>
      <c r="T12655" t="s">
        <v>42681</v>
      </c>
      <c r="U12655" t="s">
        <v>53293</v>
      </c>
      <c r="W12655" t="s">
        <v>39190</v>
      </c>
      <c r="X12655" t="s">
        <v>41272</v>
      </c>
    </row>
    <row r="12656" spans="1:24">
      <c r="A12656">
        <f>HYPERLINK("https://www.philgeps.gov.ph/GEPSNONPILOT/Tender/SplashBidNoticeAbstractUI.aspx?menuIndex=3&amp;refID=7043424&amp;Result=3","7043424")</f>
        <v>0</v>
      </c>
      <c r="B12656" t="s">
        <v>3263</v>
      </c>
      <c r="C12656" t="s">
        <v>15509</v>
      </c>
      <c r="D12656" t="s">
        <v>16668</v>
      </c>
      <c r="E12656" t="s">
        <v>16837</v>
      </c>
      <c r="F12656" t="s">
        <v>28669</v>
      </c>
      <c r="G12656" t="s">
        <v>28675</v>
      </c>
      <c r="H12656" t="s">
        <v>28686</v>
      </c>
      <c r="I12656" t="s">
        <v>28689</v>
      </c>
      <c r="J12656" t="s">
        <v>36539</v>
      </c>
      <c r="K12656" t="s">
        <v>37256</v>
      </c>
      <c r="M12656" t="s">
        <v>41089</v>
      </c>
      <c r="N12656" t="s">
        <v>41249</v>
      </c>
      <c r="O12656" t="s">
        <v>41250</v>
      </c>
      <c r="P12656">
        <v>0</v>
      </c>
      <c r="Q12656">
        <v>1</v>
      </c>
      <c r="R12656" t="s">
        <v>41268</v>
      </c>
      <c r="S12656" t="s">
        <v>42129</v>
      </c>
      <c r="T12656" t="s">
        <v>42754</v>
      </c>
      <c r="U12656" t="s">
        <v>53333</v>
      </c>
      <c r="W12656" t="s">
        <v>41089</v>
      </c>
      <c r="X12656" t="s">
        <v>41271</v>
      </c>
    </row>
    <row r="12657" spans="1:24">
      <c r="A12657">
        <f>HYPERLINK("https://www.philgeps.gov.ph/GEPSNONPILOT/Tender/SplashBidNoticeAbstractUI.aspx?menuIndex=3&amp;refID=7043418&amp;Result=3","7043418")</f>
        <v>0</v>
      </c>
      <c r="B12657" t="s">
        <v>3263</v>
      </c>
      <c r="C12657" t="s">
        <v>15510</v>
      </c>
      <c r="D12657" t="s">
        <v>16668</v>
      </c>
      <c r="E12657" t="s">
        <v>21164</v>
      </c>
      <c r="F12657" t="s">
        <v>28669</v>
      </c>
      <c r="G12657" t="s">
        <v>28675</v>
      </c>
      <c r="H12657" t="s">
        <v>28686</v>
      </c>
      <c r="I12657" t="s">
        <v>28689</v>
      </c>
      <c r="J12657" t="s">
        <v>36540</v>
      </c>
      <c r="K12657" t="s">
        <v>37312</v>
      </c>
      <c r="M12657" t="s">
        <v>41089</v>
      </c>
      <c r="N12657" t="s">
        <v>41249</v>
      </c>
      <c r="O12657" t="s">
        <v>41250</v>
      </c>
      <c r="P12657">
        <v>0</v>
      </c>
      <c r="Q12657">
        <v>1</v>
      </c>
      <c r="R12657" t="s">
        <v>41268</v>
      </c>
      <c r="S12657" t="s">
        <v>42129</v>
      </c>
      <c r="T12657" t="s">
        <v>42754</v>
      </c>
      <c r="U12657" t="s">
        <v>53334</v>
      </c>
      <c r="W12657" t="s">
        <v>41089</v>
      </c>
      <c r="X12657" t="s">
        <v>41271</v>
      </c>
    </row>
    <row r="12658" spans="1:24">
      <c r="A12658">
        <f>HYPERLINK("https://www.philgeps.gov.ph/GEPSNONPILOT/Tender/SplashBidNoticeAbstractUI.aspx?menuIndex=3&amp;refID=7043405&amp;Result=3","7043405")</f>
        <v>0</v>
      </c>
      <c r="B12658" t="s">
        <v>3263</v>
      </c>
      <c r="C12658" t="s">
        <v>15511</v>
      </c>
      <c r="D12658" t="s">
        <v>16668</v>
      </c>
      <c r="E12658" t="s">
        <v>27093</v>
      </c>
      <c r="F12658" t="s">
        <v>28669</v>
      </c>
      <c r="G12658" t="s">
        <v>28675</v>
      </c>
      <c r="H12658" t="s">
        <v>28686</v>
      </c>
      <c r="I12658" t="s">
        <v>28689</v>
      </c>
      <c r="J12658" t="s">
        <v>36541</v>
      </c>
      <c r="K12658" t="s">
        <v>37216</v>
      </c>
      <c r="M12658" t="s">
        <v>41089</v>
      </c>
      <c r="N12658" t="s">
        <v>41249</v>
      </c>
      <c r="O12658" t="s">
        <v>41250</v>
      </c>
      <c r="P12658">
        <v>0</v>
      </c>
      <c r="Q12658">
        <v>1</v>
      </c>
      <c r="R12658" t="s">
        <v>41268</v>
      </c>
      <c r="S12658" t="s">
        <v>42129</v>
      </c>
      <c r="T12658" t="s">
        <v>42754</v>
      </c>
      <c r="U12658" t="s">
        <v>53335</v>
      </c>
      <c r="W12658" t="s">
        <v>41089</v>
      </c>
      <c r="X12658" t="s">
        <v>41271</v>
      </c>
    </row>
    <row r="12659" spans="1:24">
      <c r="A12659">
        <f>HYPERLINK("https://www.philgeps.gov.ph/GEPSNONPILOT/Tender/SplashBidNoticeAbstractUI.aspx?menuIndex=3&amp;refID=7043404&amp;Result=3","7043404")</f>
        <v>0</v>
      </c>
      <c r="B12659" t="s">
        <v>313</v>
      </c>
      <c r="C12659" t="s">
        <v>15512</v>
      </c>
      <c r="D12659" t="s">
        <v>16642</v>
      </c>
      <c r="E12659" t="s">
        <v>27635</v>
      </c>
      <c r="F12659" t="s">
        <v>28669</v>
      </c>
      <c r="G12659" t="s">
        <v>28675</v>
      </c>
      <c r="H12659" t="s">
        <v>9998</v>
      </c>
      <c r="I12659" t="s">
        <v>28696</v>
      </c>
      <c r="J12659" t="s">
        <v>36542</v>
      </c>
      <c r="K12659" t="s">
        <v>37325</v>
      </c>
      <c r="M12659" t="s">
        <v>39413</v>
      </c>
      <c r="N12659" t="s">
        <v>41249</v>
      </c>
      <c r="O12659" t="s">
        <v>41250</v>
      </c>
      <c r="P12659">
        <v>0</v>
      </c>
      <c r="Q12659">
        <v>9</v>
      </c>
      <c r="R12659" t="s">
        <v>41268</v>
      </c>
      <c r="S12659" t="s">
        <v>42129</v>
      </c>
      <c r="T12659" t="s">
        <v>42729</v>
      </c>
      <c r="U12659" t="s">
        <v>53336</v>
      </c>
      <c r="W12659" t="s">
        <v>39413</v>
      </c>
      <c r="X12659" t="s">
        <v>41271</v>
      </c>
    </row>
    <row r="12660" spans="1:24">
      <c r="A12660">
        <f>HYPERLINK("https://www.philgeps.gov.ph/GEPSNONPILOT/Tender/SplashBidNoticeAbstractUI.aspx?menuIndex=3&amp;refID=7043222&amp;Result=3","7043222")</f>
        <v>0</v>
      </c>
      <c r="B12660" t="s">
        <v>586</v>
      </c>
      <c r="C12660" t="s">
        <v>15513</v>
      </c>
      <c r="D12660" t="s">
        <v>16612</v>
      </c>
      <c r="E12660" t="s">
        <v>27636</v>
      </c>
      <c r="F12660" t="s">
        <v>28669</v>
      </c>
      <c r="G12660" t="s">
        <v>28675</v>
      </c>
      <c r="H12660" t="s">
        <v>28686</v>
      </c>
      <c r="I12660" t="s">
        <v>28689</v>
      </c>
      <c r="J12660" t="s">
        <v>36543</v>
      </c>
      <c r="K12660" t="s">
        <v>37217</v>
      </c>
      <c r="M12660" t="s">
        <v>38085</v>
      </c>
      <c r="N12660" t="s">
        <v>41249</v>
      </c>
      <c r="O12660" t="s">
        <v>41250</v>
      </c>
      <c r="P12660">
        <v>0</v>
      </c>
      <c r="Q12660">
        <v>1</v>
      </c>
      <c r="R12660" t="s">
        <v>41268</v>
      </c>
      <c r="S12660" t="s">
        <v>42129</v>
      </c>
      <c r="T12660" t="s">
        <v>42679</v>
      </c>
      <c r="U12660" t="s">
        <v>53337</v>
      </c>
      <c r="W12660" t="s">
        <v>38085</v>
      </c>
      <c r="X12660" t="s">
        <v>41272</v>
      </c>
    </row>
    <row r="12661" spans="1:24">
      <c r="A12661">
        <f>HYPERLINK("https://www.philgeps.gov.ph/GEPSNONPILOT/Tender/SplashBidNoticeAbstractUI.aspx?menuIndex=3&amp;refID=7043395&amp;Result=3","7043395")</f>
        <v>0</v>
      </c>
      <c r="B12661" t="s">
        <v>313</v>
      </c>
      <c r="C12661" t="s">
        <v>15514</v>
      </c>
      <c r="D12661" t="s">
        <v>16642</v>
      </c>
      <c r="E12661" t="s">
        <v>27637</v>
      </c>
      <c r="F12661" t="s">
        <v>28669</v>
      </c>
      <c r="G12661" t="s">
        <v>28675</v>
      </c>
      <c r="H12661" t="s">
        <v>9998</v>
      </c>
      <c r="I12661" t="s">
        <v>5286</v>
      </c>
      <c r="J12661" t="s">
        <v>36544</v>
      </c>
      <c r="K12661" t="s">
        <v>37206</v>
      </c>
      <c r="M12661" t="s">
        <v>39413</v>
      </c>
      <c r="N12661" t="s">
        <v>41249</v>
      </c>
      <c r="O12661" t="s">
        <v>41250</v>
      </c>
      <c r="P12661">
        <v>0</v>
      </c>
      <c r="Q12661">
        <v>6</v>
      </c>
      <c r="R12661" t="s">
        <v>41268</v>
      </c>
      <c r="S12661" t="s">
        <v>42129</v>
      </c>
      <c r="T12661" t="s">
        <v>42729</v>
      </c>
      <c r="U12661" t="s">
        <v>53338</v>
      </c>
      <c r="W12661" t="s">
        <v>39413</v>
      </c>
      <c r="X12661" t="s">
        <v>41271</v>
      </c>
    </row>
    <row r="12662" spans="1:24">
      <c r="A12662">
        <f>HYPERLINK("https://www.philgeps.gov.ph/GEPSNONPILOT/Tender/SplashBidNoticeAbstractUI.aspx?menuIndex=3&amp;refID=7043387&amp;Result=3","7043387")</f>
        <v>0</v>
      </c>
      <c r="B12662" t="s">
        <v>3263</v>
      </c>
      <c r="C12662" t="s">
        <v>15515</v>
      </c>
      <c r="D12662" t="s">
        <v>16668</v>
      </c>
      <c r="E12662" t="s">
        <v>19646</v>
      </c>
      <c r="F12662" t="s">
        <v>28669</v>
      </c>
      <c r="G12662" t="s">
        <v>28675</v>
      </c>
      <c r="H12662" t="s">
        <v>28686</v>
      </c>
      <c r="I12662" t="s">
        <v>28689</v>
      </c>
      <c r="J12662" t="s">
        <v>36545</v>
      </c>
      <c r="K12662" t="s">
        <v>37276</v>
      </c>
      <c r="M12662" t="s">
        <v>41089</v>
      </c>
      <c r="N12662" t="s">
        <v>41249</v>
      </c>
      <c r="O12662" t="s">
        <v>41250</v>
      </c>
      <c r="P12662">
        <v>0</v>
      </c>
      <c r="Q12662">
        <v>1</v>
      </c>
      <c r="R12662" t="s">
        <v>41268</v>
      </c>
      <c r="S12662" t="s">
        <v>42129</v>
      </c>
      <c r="T12662" t="s">
        <v>42754</v>
      </c>
      <c r="U12662" t="s">
        <v>53339</v>
      </c>
      <c r="W12662" t="s">
        <v>41089</v>
      </c>
      <c r="X12662" t="s">
        <v>41271</v>
      </c>
    </row>
    <row r="12663" spans="1:24">
      <c r="A12663">
        <f>HYPERLINK("https://www.philgeps.gov.ph/GEPSNONPILOT/Tender/SplashBidNoticeAbstractUI.aspx?menuIndex=3&amp;refID=7043476&amp;Result=3","7043476")</f>
        <v>0</v>
      </c>
      <c r="B12663" t="s">
        <v>3264</v>
      </c>
      <c r="C12663" t="s">
        <v>15516</v>
      </c>
      <c r="D12663" t="s">
        <v>16683</v>
      </c>
      <c r="E12663" t="s">
        <v>27638</v>
      </c>
      <c r="F12663" t="s">
        <v>28669</v>
      </c>
      <c r="G12663" t="s">
        <v>28675</v>
      </c>
      <c r="H12663" t="s">
        <v>9998</v>
      </c>
      <c r="I12663" t="s">
        <v>28751</v>
      </c>
      <c r="J12663" t="s">
        <v>28838</v>
      </c>
      <c r="K12663" t="s">
        <v>37220</v>
      </c>
      <c r="M12663" t="s">
        <v>41090</v>
      </c>
      <c r="N12663" t="s">
        <v>41249</v>
      </c>
      <c r="O12663" t="s">
        <v>41250</v>
      </c>
      <c r="P12663">
        <v>0</v>
      </c>
      <c r="Q12663">
        <v>0</v>
      </c>
      <c r="R12663" t="s">
        <v>41268</v>
      </c>
      <c r="S12663" t="s">
        <v>42129</v>
      </c>
      <c r="T12663" t="s">
        <v>42739</v>
      </c>
      <c r="U12663" t="s">
        <v>53340</v>
      </c>
      <c r="W12663" t="s">
        <v>41090</v>
      </c>
      <c r="X12663" t="s">
        <v>41271</v>
      </c>
    </row>
    <row r="12664" spans="1:24">
      <c r="A12664">
        <f>HYPERLINK("https://www.philgeps.gov.ph/GEPSNONPILOT/Tender/SplashBidNoticeAbstractUI.aspx?menuIndex=3&amp;refID=7047021&amp;Result=3","7047021")</f>
        <v>0</v>
      </c>
      <c r="B12664" t="s">
        <v>1283</v>
      </c>
      <c r="C12664" t="s">
        <v>15517</v>
      </c>
      <c r="D12664" t="s">
        <v>16665</v>
      </c>
      <c r="E12664" t="s">
        <v>27639</v>
      </c>
      <c r="F12664" t="s">
        <v>28669</v>
      </c>
      <c r="G12664" t="s">
        <v>28675</v>
      </c>
      <c r="H12664" t="s">
        <v>28684</v>
      </c>
      <c r="I12664" t="s">
        <v>28701</v>
      </c>
      <c r="J12664" t="s">
        <v>34377</v>
      </c>
      <c r="K12664" t="s">
        <v>37272</v>
      </c>
      <c r="M12664" t="s">
        <v>38834</v>
      </c>
      <c r="N12664" t="s">
        <v>41249</v>
      </c>
      <c r="O12664" t="s">
        <v>41250</v>
      </c>
      <c r="Q12664">
        <v>2</v>
      </c>
      <c r="R12664" t="s">
        <v>41267</v>
      </c>
      <c r="S12664" t="s">
        <v>42141</v>
      </c>
      <c r="T12664" t="s">
        <v>42754</v>
      </c>
      <c r="U12664" t="s">
        <v>53341</v>
      </c>
      <c r="W12664" t="s">
        <v>38834</v>
      </c>
      <c r="X12664" t="s">
        <v>41268</v>
      </c>
    </row>
    <row r="12665" spans="1:24">
      <c r="A12665">
        <f>HYPERLINK("https://www.philgeps.gov.ph/GEPSNONPILOT/Tender/SplashBidNoticeAbstractUI.aspx?menuIndex=3&amp;refID=7043350&amp;Result=3","7043350")</f>
        <v>0</v>
      </c>
      <c r="B12665" t="s">
        <v>3263</v>
      </c>
      <c r="C12665" t="s">
        <v>15518</v>
      </c>
      <c r="D12665" t="s">
        <v>16668</v>
      </c>
      <c r="E12665" t="s">
        <v>18464</v>
      </c>
      <c r="F12665" t="s">
        <v>28669</v>
      </c>
      <c r="G12665" t="s">
        <v>28675</v>
      </c>
      <c r="H12665" t="s">
        <v>28686</v>
      </c>
      <c r="I12665" t="s">
        <v>28689</v>
      </c>
      <c r="J12665" t="s">
        <v>36546</v>
      </c>
      <c r="K12665" t="s">
        <v>37312</v>
      </c>
      <c r="M12665" t="s">
        <v>41089</v>
      </c>
      <c r="N12665" t="s">
        <v>41249</v>
      </c>
      <c r="O12665" t="s">
        <v>41250</v>
      </c>
      <c r="P12665">
        <v>0</v>
      </c>
      <c r="Q12665">
        <v>2</v>
      </c>
      <c r="R12665" t="s">
        <v>41268</v>
      </c>
      <c r="S12665" t="s">
        <v>42129</v>
      </c>
      <c r="T12665" t="s">
        <v>42754</v>
      </c>
      <c r="U12665" t="s">
        <v>53342</v>
      </c>
      <c r="W12665" t="s">
        <v>41089</v>
      </c>
      <c r="X12665" t="s">
        <v>41271</v>
      </c>
    </row>
    <row r="12666" spans="1:24">
      <c r="A12666">
        <f>HYPERLINK("https://www.philgeps.gov.ph/GEPSNONPILOT/Tender/SplashBidNoticeAbstractUI.aspx?menuIndex=3&amp;refID=7043345&amp;Result=3","7043345")</f>
        <v>0</v>
      </c>
      <c r="B12666" t="s">
        <v>3263</v>
      </c>
      <c r="C12666" t="s">
        <v>15518</v>
      </c>
      <c r="D12666" t="s">
        <v>16668</v>
      </c>
      <c r="E12666" t="s">
        <v>21101</v>
      </c>
      <c r="F12666" t="s">
        <v>28669</v>
      </c>
      <c r="G12666" t="s">
        <v>28675</v>
      </c>
      <c r="H12666" t="s">
        <v>28686</v>
      </c>
      <c r="I12666" t="s">
        <v>28689</v>
      </c>
      <c r="J12666" t="s">
        <v>36546</v>
      </c>
      <c r="K12666" t="s">
        <v>37312</v>
      </c>
      <c r="M12666" t="s">
        <v>41089</v>
      </c>
      <c r="N12666" t="s">
        <v>41249</v>
      </c>
      <c r="O12666" t="s">
        <v>41250</v>
      </c>
      <c r="P12666">
        <v>0</v>
      </c>
      <c r="Q12666">
        <v>2</v>
      </c>
      <c r="R12666" t="s">
        <v>41268</v>
      </c>
      <c r="S12666" t="s">
        <v>42129</v>
      </c>
      <c r="T12666" t="s">
        <v>42754</v>
      </c>
      <c r="U12666" t="s">
        <v>53342</v>
      </c>
      <c r="W12666" t="s">
        <v>41089</v>
      </c>
      <c r="X12666" t="s">
        <v>41271</v>
      </c>
    </row>
    <row r="12667" spans="1:24">
      <c r="A12667">
        <f>HYPERLINK("https://www.philgeps.gov.ph/GEPSNONPILOT/Tender/SplashBidNoticeAbstractUI.aspx?menuIndex=3&amp;refID=7043313&amp;Result=3","7043313")</f>
        <v>0</v>
      </c>
      <c r="B12667" t="s">
        <v>1793</v>
      </c>
      <c r="C12667" t="s">
        <v>15519</v>
      </c>
      <c r="D12667" t="s">
        <v>16659</v>
      </c>
      <c r="E12667" t="s">
        <v>27640</v>
      </c>
      <c r="F12667" t="s">
        <v>28669</v>
      </c>
      <c r="G12667" t="s">
        <v>28675</v>
      </c>
      <c r="H12667" t="s">
        <v>9998</v>
      </c>
      <c r="I12667" t="s">
        <v>28689</v>
      </c>
      <c r="J12667" t="s">
        <v>29332</v>
      </c>
      <c r="K12667" t="s">
        <v>37253</v>
      </c>
      <c r="M12667" t="s">
        <v>39400</v>
      </c>
      <c r="N12667" t="s">
        <v>41249</v>
      </c>
      <c r="O12667" t="s">
        <v>41250</v>
      </c>
      <c r="P12667">
        <v>0</v>
      </c>
      <c r="Q12667">
        <v>4</v>
      </c>
      <c r="R12667" t="s">
        <v>41268</v>
      </c>
      <c r="S12667" t="s">
        <v>42129</v>
      </c>
      <c r="T12667" t="s">
        <v>42736</v>
      </c>
      <c r="U12667" t="s">
        <v>53343</v>
      </c>
      <c r="V12667" t="s">
        <v>55774</v>
      </c>
      <c r="W12667" t="s">
        <v>39400</v>
      </c>
      <c r="X12667" t="s">
        <v>41271</v>
      </c>
    </row>
    <row r="12668" spans="1:24">
      <c r="A12668">
        <f>HYPERLINK("https://www.philgeps.gov.ph/GEPSNONPILOT/Tender/SplashBidNoticeAbstractUI.aspx?menuIndex=3&amp;refID=7043376&amp;Result=3","7043376")</f>
        <v>0</v>
      </c>
      <c r="B12668" t="s">
        <v>3263</v>
      </c>
      <c r="C12668" t="s">
        <v>15520</v>
      </c>
      <c r="D12668" t="s">
        <v>16668</v>
      </c>
      <c r="E12668" t="s">
        <v>21571</v>
      </c>
      <c r="F12668" t="s">
        <v>28669</v>
      </c>
      <c r="G12668" t="s">
        <v>28675</v>
      </c>
      <c r="H12668" t="s">
        <v>28686</v>
      </c>
      <c r="I12668" t="s">
        <v>28689</v>
      </c>
      <c r="J12668" t="s">
        <v>36547</v>
      </c>
      <c r="K12668" t="s">
        <v>37422</v>
      </c>
      <c r="M12668" t="s">
        <v>41089</v>
      </c>
      <c r="N12668" t="s">
        <v>41249</v>
      </c>
      <c r="O12668" t="s">
        <v>41250</v>
      </c>
      <c r="P12668">
        <v>0</v>
      </c>
      <c r="Q12668">
        <v>1</v>
      </c>
      <c r="R12668" t="s">
        <v>41268</v>
      </c>
      <c r="S12668" t="s">
        <v>42129</v>
      </c>
      <c r="T12668" t="s">
        <v>42754</v>
      </c>
      <c r="U12668" t="s">
        <v>53344</v>
      </c>
      <c r="W12668" t="s">
        <v>41089</v>
      </c>
      <c r="X12668" t="s">
        <v>41271</v>
      </c>
    </row>
    <row r="12669" spans="1:24">
      <c r="A12669">
        <f>HYPERLINK("https://www.philgeps.gov.ph/GEPSNONPILOT/Tender/SplashBidNoticeAbstractUI.aspx?menuIndex=3&amp;refID=7043303&amp;Result=3","7043303")</f>
        <v>0</v>
      </c>
      <c r="B12669" t="s">
        <v>3265</v>
      </c>
      <c r="C12669" t="s">
        <v>15521</v>
      </c>
      <c r="D12669" t="s">
        <v>16648</v>
      </c>
      <c r="E12669" t="s">
        <v>27641</v>
      </c>
      <c r="F12669" t="s">
        <v>28669</v>
      </c>
      <c r="G12669" t="s">
        <v>28675</v>
      </c>
      <c r="H12669" t="s">
        <v>9998</v>
      </c>
      <c r="I12669" t="s">
        <v>28697</v>
      </c>
      <c r="J12669" t="s">
        <v>36548</v>
      </c>
      <c r="K12669" t="s">
        <v>37206</v>
      </c>
      <c r="M12669" t="s">
        <v>41091</v>
      </c>
      <c r="N12669" t="s">
        <v>41249</v>
      </c>
      <c r="O12669" t="s">
        <v>41250</v>
      </c>
      <c r="P12669">
        <v>0</v>
      </c>
      <c r="Q12669">
        <v>4</v>
      </c>
      <c r="R12669" t="s">
        <v>41268</v>
      </c>
      <c r="S12669" t="s">
        <v>42129</v>
      </c>
      <c r="T12669" t="s">
        <v>42754</v>
      </c>
      <c r="U12669" t="s">
        <v>53345</v>
      </c>
      <c r="W12669" t="s">
        <v>56032</v>
      </c>
      <c r="X12669" t="s">
        <v>41271</v>
      </c>
    </row>
    <row r="12670" spans="1:24">
      <c r="A12670">
        <f>HYPERLINK("https://www.philgeps.gov.ph/GEPSNONPILOT/Tender/SplashBidNoticeAbstractUI.aspx?menuIndex=3&amp;refID=7043356&amp;Result=3","7043356")</f>
        <v>0</v>
      </c>
      <c r="B12670" t="s">
        <v>3263</v>
      </c>
      <c r="C12670" t="s">
        <v>15522</v>
      </c>
      <c r="D12670" t="s">
        <v>16668</v>
      </c>
      <c r="E12670" t="s">
        <v>18548</v>
      </c>
      <c r="F12670" t="s">
        <v>28669</v>
      </c>
      <c r="G12670" t="s">
        <v>28675</v>
      </c>
      <c r="H12670" t="s">
        <v>28686</v>
      </c>
      <c r="I12670" t="s">
        <v>28689</v>
      </c>
      <c r="J12670" t="s">
        <v>36546</v>
      </c>
      <c r="K12670" t="s">
        <v>37312</v>
      </c>
      <c r="M12670" t="s">
        <v>41089</v>
      </c>
      <c r="N12670" t="s">
        <v>41249</v>
      </c>
      <c r="O12670" t="s">
        <v>41250</v>
      </c>
      <c r="P12670">
        <v>0</v>
      </c>
      <c r="Q12670">
        <v>2</v>
      </c>
      <c r="R12670" t="s">
        <v>41268</v>
      </c>
      <c r="S12670" t="s">
        <v>42129</v>
      </c>
      <c r="T12670" t="s">
        <v>42754</v>
      </c>
      <c r="U12670" t="s">
        <v>53346</v>
      </c>
      <c r="W12670" t="s">
        <v>41089</v>
      </c>
      <c r="X12670" t="s">
        <v>41271</v>
      </c>
    </row>
    <row r="12671" spans="1:24">
      <c r="A12671">
        <f>HYPERLINK("https://www.philgeps.gov.ph/GEPSNONPILOT/Tender/SplashBidNoticeAbstractUI.aspx?menuIndex=3&amp;refID=7043245&amp;Result=3","7043245")</f>
        <v>0</v>
      </c>
      <c r="B12671" t="s">
        <v>586</v>
      </c>
      <c r="C12671" t="s">
        <v>15523</v>
      </c>
      <c r="D12671" t="s">
        <v>16612</v>
      </c>
      <c r="E12671" t="s">
        <v>27642</v>
      </c>
      <c r="F12671" t="s">
        <v>28669</v>
      </c>
      <c r="G12671" t="s">
        <v>28675</v>
      </c>
      <c r="H12671" t="s">
        <v>28686</v>
      </c>
      <c r="I12671" t="s">
        <v>28689</v>
      </c>
      <c r="J12671" t="s">
        <v>36549</v>
      </c>
      <c r="K12671" t="s">
        <v>37221</v>
      </c>
      <c r="M12671" t="s">
        <v>38085</v>
      </c>
      <c r="N12671" t="s">
        <v>41249</v>
      </c>
      <c r="O12671" t="s">
        <v>41250</v>
      </c>
      <c r="P12671">
        <v>0</v>
      </c>
      <c r="Q12671">
        <v>0</v>
      </c>
      <c r="R12671" t="s">
        <v>41268</v>
      </c>
      <c r="S12671" t="s">
        <v>42129</v>
      </c>
      <c r="T12671" t="s">
        <v>42679</v>
      </c>
      <c r="U12671" t="s">
        <v>53347</v>
      </c>
      <c r="W12671" t="s">
        <v>38085</v>
      </c>
      <c r="X12671" t="s">
        <v>41272</v>
      </c>
    </row>
    <row r="12672" spans="1:24">
      <c r="A12672">
        <f>HYPERLINK("https://www.philgeps.gov.ph/GEPSNONPILOT/Tender/SplashBidNoticeAbstractUI.aspx?menuIndex=3&amp;refID=7046999&amp;Result=3","7046999")</f>
        <v>0</v>
      </c>
      <c r="B12672" t="s">
        <v>1798</v>
      </c>
      <c r="C12672" t="s">
        <v>15524</v>
      </c>
      <c r="D12672" t="s">
        <v>16658</v>
      </c>
      <c r="E12672" t="s">
        <v>27643</v>
      </c>
      <c r="F12672" t="s">
        <v>28669</v>
      </c>
      <c r="G12672" t="s">
        <v>28675</v>
      </c>
      <c r="H12672" t="s">
        <v>9998</v>
      </c>
      <c r="I12672" t="s">
        <v>28687</v>
      </c>
      <c r="J12672" t="s">
        <v>30025</v>
      </c>
      <c r="K12672" t="s">
        <v>37209</v>
      </c>
      <c r="M12672" t="s">
        <v>39405</v>
      </c>
      <c r="N12672" t="s">
        <v>41249</v>
      </c>
      <c r="O12672" t="s">
        <v>41250</v>
      </c>
      <c r="P12672">
        <v>0</v>
      </c>
      <c r="Q12672">
        <v>3</v>
      </c>
      <c r="R12672" t="s">
        <v>41267</v>
      </c>
      <c r="S12672" t="s">
        <v>42077</v>
      </c>
      <c r="T12672" t="s">
        <v>42673</v>
      </c>
      <c r="U12672" t="s">
        <v>53348</v>
      </c>
      <c r="W12672" t="s">
        <v>39405</v>
      </c>
      <c r="X12672" t="s">
        <v>41268</v>
      </c>
    </row>
    <row r="12673" spans="1:24">
      <c r="A12673">
        <f>HYPERLINK("https://www.philgeps.gov.ph/GEPSNONPILOT/Tender/SplashBidNoticeAbstractUI.aspx?menuIndex=3&amp;refID=7043242&amp;Result=3","7043242")</f>
        <v>0</v>
      </c>
      <c r="B12673" t="s">
        <v>586</v>
      </c>
      <c r="C12673" t="s">
        <v>15525</v>
      </c>
      <c r="D12673" t="s">
        <v>16612</v>
      </c>
      <c r="E12673" t="s">
        <v>27644</v>
      </c>
      <c r="F12673" t="s">
        <v>28669</v>
      </c>
      <c r="G12673" t="s">
        <v>28675</v>
      </c>
      <c r="H12673" t="s">
        <v>28686</v>
      </c>
      <c r="I12673" t="s">
        <v>28689</v>
      </c>
      <c r="J12673" t="s">
        <v>36550</v>
      </c>
      <c r="K12673" t="s">
        <v>37214</v>
      </c>
      <c r="M12673" t="s">
        <v>38085</v>
      </c>
      <c r="N12673" t="s">
        <v>41249</v>
      </c>
      <c r="O12673" t="s">
        <v>41250</v>
      </c>
      <c r="P12673">
        <v>0</v>
      </c>
      <c r="Q12673">
        <v>0</v>
      </c>
      <c r="R12673" t="s">
        <v>41268</v>
      </c>
      <c r="S12673" t="s">
        <v>42129</v>
      </c>
      <c r="T12673" t="s">
        <v>42679</v>
      </c>
      <c r="U12673" t="s">
        <v>53349</v>
      </c>
      <c r="W12673" t="s">
        <v>38085</v>
      </c>
      <c r="X12673" t="s">
        <v>41272</v>
      </c>
    </row>
    <row r="12674" spans="1:24">
      <c r="A12674">
        <f>HYPERLINK("https://www.philgeps.gov.ph/GEPSNONPILOT/Tender/SplashBidNoticeAbstractUI.aspx?menuIndex=3&amp;refID=7043237&amp;Result=3","7043237")</f>
        <v>0</v>
      </c>
      <c r="B12674" t="s">
        <v>586</v>
      </c>
      <c r="C12674" t="s">
        <v>15526</v>
      </c>
      <c r="D12674" t="s">
        <v>16612</v>
      </c>
      <c r="E12674" t="s">
        <v>27645</v>
      </c>
      <c r="F12674" t="s">
        <v>28669</v>
      </c>
      <c r="G12674" t="s">
        <v>28675</v>
      </c>
      <c r="H12674" t="s">
        <v>28686</v>
      </c>
      <c r="I12674" t="s">
        <v>28689</v>
      </c>
      <c r="J12674" t="s">
        <v>36527</v>
      </c>
      <c r="K12674" t="s">
        <v>37206</v>
      </c>
      <c r="M12674" t="s">
        <v>38085</v>
      </c>
      <c r="N12674" t="s">
        <v>41249</v>
      </c>
      <c r="O12674" t="s">
        <v>41250</v>
      </c>
      <c r="P12674">
        <v>0</v>
      </c>
      <c r="Q12674">
        <v>0</v>
      </c>
      <c r="R12674" t="s">
        <v>41268</v>
      </c>
      <c r="S12674" t="s">
        <v>42129</v>
      </c>
      <c r="T12674" t="s">
        <v>42679</v>
      </c>
      <c r="U12674" t="s">
        <v>53350</v>
      </c>
      <c r="W12674" t="s">
        <v>38085</v>
      </c>
      <c r="X12674" t="s">
        <v>41272</v>
      </c>
    </row>
    <row r="12675" spans="1:24">
      <c r="A12675">
        <f>HYPERLINK("https://www.philgeps.gov.ph/GEPSNONPILOT/Tender/SplashBidNoticeAbstractUI.aspx?menuIndex=3&amp;refID=7043487&amp;Result=3","7043487")</f>
        <v>0</v>
      </c>
      <c r="B12675" t="s">
        <v>3264</v>
      </c>
      <c r="C12675" t="s">
        <v>15527</v>
      </c>
      <c r="D12675" t="s">
        <v>16683</v>
      </c>
      <c r="E12675" t="s">
        <v>27646</v>
      </c>
      <c r="F12675" t="s">
        <v>28669</v>
      </c>
      <c r="G12675" t="s">
        <v>28675</v>
      </c>
      <c r="H12675" t="s">
        <v>9998</v>
      </c>
      <c r="I12675" t="s">
        <v>28751</v>
      </c>
      <c r="J12675" t="s">
        <v>36551</v>
      </c>
      <c r="K12675" t="s">
        <v>37220</v>
      </c>
      <c r="M12675" t="s">
        <v>41090</v>
      </c>
      <c r="N12675" t="s">
        <v>41249</v>
      </c>
      <c r="O12675" t="s">
        <v>41250</v>
      </c>
      <c r="P12675">
        <v>0</v>
      </c>
      <c r="Q12675">
        <v>4</v>
      </c>
      <c r="R12675" t="s">
        <v>41268</v>
      </c>
      <c r="S12675" t="s">
        <v>42129</v>
      </c>
      <c r="T12675" t="s">
        <v>42739</v>
      </c>
      <c r="U12675" t="s">
        <v>53351</v>
      </c>
      <c r="W12675" t="s">
        <v>41090</v>
      </c>
      <c r="X12675" t="s">
        <v>41271</v>
      </c>
    </row>
    <row r="12676" spans="1:24">
      <c r="A12676">
        <f>HYPERLINK("https://www.philgeps.gov.ph/GEPSNONPILOT/Tender/SplashBidNoticeAbstractUI.aspx?menuIndex=3&amp;refID=7043255&amp;Result=3","7043255")</f>
        <v>0</v>
      </c>
      <c r="B12676" t="s">
        <v>586</v>
      </c>
      <c r="C12676" t="s">
        <v>15528</v>
      </c>
      <c r="D12676" t="s">
        <v>16612</v>
      </c>
      <c r="E12676" t="s">
        <v>27647</v>
      </c>
      <c r="F12676" t="s">
        <v>28669</v>
      </c>
      <c r="G12676" t="s">
        <v>28675</v>
      </c>
      <c r="H12676" t="s">
        <v>28686</v>
      </c>
      <c r="I12676" t="s">
        <v>28689</v>
      </c>
      <c r="J12676" t="s">
        <v>35867</v>
      </c>
      <c r="K12676" t="s">
        <v>37221</v>
      </c>
      <c r="M12676" t="s">
        <v>38085</v>
      </c>
      <c r="N12676" t="s">
        <v>41249</v>
      </c>
      <c r="O12676" t="s">
        <v>41250</v>
      </c>
      <c r="P12676">
        <v>0</v>
      </c>
      <c r="Q12676">
        <v>0</v>
      </c>
      <c r="R12676" t="s">
        <v>41268</v>
      </c>
      <c r="S12676" t="s">
        <v>42129</v>
      </c>
      <c r="T12676" t="s">
        <v>42679</v>
      </c>
      <c r="U12676" t="s">
        <v>53352</v>
      </c>
      <c r="W12676" t="s">
        <v>38085</v>
      </c>
      <c r="X12676" t="s">
        <v>41272</v>
      </c>
    </row>
    <row r="12677" spans="1:24">
      <c r="A12677">
        <f>HYPERLINK("https://www.philgeps.gov.ph/GEPSNONPILOT/Tender/SplashBidNoticeAbstractUI.aspx?menuIndex=3&amp;refID=7043360&amp;Result=3","7043360")</f>
        <v>0</v>
      </c>
      <c r="B12677" t="s">
        <v>3263</v>
      </c>
      <c r="C12677" t="s">
        <v>15529</v>
      </c>
      <c r="D12677" t="s">
        <v>16668</v>
      </c>
      <c r="E12677" t="s">
        <v>19189</v>
      </c>
      <c r="F12677" t="s">
        <v>28669</v>
      </c>
      <c r="G12677" t="s">
        <v>28675</v>
      </c>
      <c r="H12677" t="s">
        <v>28686</v>
      </c>
      <c r="I12677" t="s">
        <v>28689</v>
      </c>
      <c r="J12677" t="s">
        <v>36552</v>
      </c>
      <c r="K12677" t="s">
        <v>37455</v>
      </c>
      <c r="M12677" t="s">
        <v>41089</v>
      </c>
      <c r="N12677" t="s">
        <v>41249</v>
      </c>
      <c r="O12677" t="s">
        <v>41250</v>
      </c>
      <c r="P12677">
        <v>0</v>
      </c>
      <c r="Q12677">
        <v>2</v>
      </c>
      <c r="R12677" t="s">
        <v>41268</v>
      </c>
      <c r="S12677" t="s">
        <v>42129</v>
      </c>
      <c r="T12677" t="s">
        <v>42754</v>
      </c>
      <c r="U12677" t="s">
        <v>53353</v>
      </c>
      <c r="W12677" t="s">
        <v>41089</v>
      </c>
      <c r="X12677" t="s">
        <v>41271</v>
      </c>
    </row>
    <row r="12678" spans="1:24">
      <c r="A12678">
        <f>HYPERLINK("https://www.philgeps.gov.ph/GEPSNONPILOT/Tender/SplashBidNoticeAbstractUI.aspx?menuIndex=3&amp;refID=7043238&amp;Result=3","7043238")</f>
        <v>0</v>
      </c>
      <c r="B12678" t="s">
        <v>586</v>
      </c>
      <c r="C12678" t="s">
        <v>15530</v>
      </c>
      <c r="D12678" t="s">
        <v>16612</v>
      </c>
      <c r="E12678" t="s">
        <v>27648</v>
      </c>
      <c r="F12678" t="s">
        <v>28669</v>
      </c>
      <c r="G12678" t="s">
        <v>28675</v>
      </c>
      <c r="H12678" t="s">
        <v>28686</v>
      </c>
      <c r="I12678" t="s">
        <v>28689</v>
      </c>
      <c r="J12678" t="s">
        <v>36553</v>
      </c>
      <c r="K12678" t="s">
        <v>37258</v>
      </c>
      <c r="M12678" t="s">
        <v>38085</v>
      </c>
      <c r="N12678" t="s">
        <v>41249</v>
      </c>
      <c r="O12678" t="s">
        <v>41250</v>
      </c>
      <c r="P12678">
        <v>0</v>
      </c>
      <c r="Q12678">
        <v>0</v>
      </c>
      <c r="R12678" t="s">
        <v>41268</v>
      </c>
      <c r="S12678" t="s">
        <v>42129</v>
      </c>
      <c r="T12678" t="s">
        <v>42679</v>
      </c>
      <c r="U12678" t="s">
        <v>53354</v>
      </c>
      <c r="W12678" t="s">
        <v>38085</v>
      </c>
      <c r="X12678" t="s">
        <v>41272</v>
      </c>
    </row>
    <row r="12679" spans="1:24">
      <c r="A12679">
        <f>HYPERLINK("https://www.philgeps.gov.ph/GEPSNONPILOT/Tender/SplashBidNoticeAbstractUI.aspx?menuIndex=3&amp;refID=7043766&amp;Result=3","7043766")</f>
        <v>0</v>
      </c>
      <c r="B12679" t="s">
        <v>3264</v>
      </c>
      <c r="C12679" t="s">
        <v>15531</v>
      </c>
      <c r="D12679" t="s">
        <v>16649</v>
      </c>
      <c r="E12679" t="s">
        <v>27649</v>
      </c>
      <c r="F12679" t="s">
        <v>28669</v>
      </c>
      <c r="G12679" t="s">
        <v>28675</v>
      </c>
      <c r="H12679" t="s">
        <v>9998</v>
      </c>
      <c r="I12679" t="s">
        <v>28751</v>
      </c>
      <c r="J12679" t="s">
        <v>36554</v>
      </c>
      <c r="K12679" t="s">
        <v>37220</v>
      </c>
      <c r="M12679" t="s">
        <v>41090</v>
      </c>
      <c r="N12679" t="s">
        <v>41249</v>
      </c>
      <c r="O12679" t="s">
        <v>41250</v>
      </c>
      <c r="P12679">
        <v>0</v>
      </c>
      <c r="Q12679">
        <v>3</v>
      </c>
      <c r="R12679" t="s">
        <v>41268</v>
      </c>
      <c r="S12679" t="s">
        <v>42129</v>
      </c>
      <c r="T12679" t="s">
        <v>42739</v>
      </c>
      <c r="U12679" t="s">
        <v>53355</v>
      </c>
      <c r="W12679" t="s">
        <v>41090</v>
      </c>
      <c r="X12679" t="s">
        <v>41270</v>
      </c>
    </row>
    <row r="12680" spans="1:24">
      <c r="A12680">
        <f>HYPERLINK("https://www.philgeps.gov.ph/GEPSNONPILOT/Tender/SplashBidNoticeAbstractUI.aspx?menuIndex=3&amp;refID=7042860&amp;Result=3","7042860")</f>
        <v>0</v>
      </c>
      <c r="B12680" t="s">
        <v>1606</v>
      </c>
      <c r="C12680" t="s">
        <v>15532</v>
      </c>
      <c r="E12680" t="s">
        <v>27650</v>
      </c>
      <c r="F12680" t="s">
        <v>28669</v>
      </c>
      <c r="G12680" t="s">
        <v>28675</v>
      </c>
      <c r="H12680" t="s">
        <v>9998</v>
      </c>
      <c r="I12680" t="s">
        <v>28713</v>
      </c>
      <c r="J12680" t="s">
        <v>29916</v>
      </c>
      <c r="K12680" t="s">
        <v>37209</v>
      </c>
      <c r="M12680" t="s">
        <v>39190</v>
      </c>
      <c r="N12680" t="s">
        <v>41249</v>
      </c>
      <c r="O12680" t="s">
        <v>41250</v>
      </c>
      <c r="Q12680">
        <v>12</v>
      </c>
      <c r="R12680" t="s">
        <v>41268</v>
      </c>
      <c r="S12680" t="s">
        <v>42142</v>
      </c>
      <c r="T12680" t="s">
        <v>42681</v>
      </c>
      <c r="U12680" t="s">
        <v>53293</v>
      </c>
      <c r="W12680" t="s">
        <v>39190</v>
      </c>
      <c r="X12680" t="s">
        <v>41272</v>
      </c>
    </row>
    <row r="12681" spans="1:24">
      <c r="A12681">
        <f>HYPERLINK("https://www.philgeps.gov.ph/GEPSNONPILOT/Tender/SplashBidNoticeAbstractUI.aspx?menuIndex=3&amp;refID=7043763&amp;Result=3","7043763")</f>
        <v>0</v>
      </c>
      <c r="B12681" t="s">
        <v>3264</v>
      </c>
      <c r="C12681" t="s">
        <v>15533</v>
      </c>
      <c r="D12681" t="s">
        <v>16649</v>
      </c>
      <c r="E12681" t="s">
        <v>27651</v>
      </c>
      <c r="F12681" t="s">
        <v>28669</v>
      </c>
      <c r="G12681" t="s">
        <v>28675</v>
      </c>
      <c r="H12681" t="s">
        <v>9998</v>
      </c>
      <c r="I12681" t="s">
        <v>28751</v>
      </c>
      <c r="J12681" t="s">
        <v>36555</v>
      </c>
      <c r="K12681" t="s">
        <v>37220</v>
      </c>
      <c r="M12681" t="s">
        <v>41090</v>
      </c>
      <c r="N12681" t="s">
        <v>41249</v>
      </c>
      <c r="O12681" t="s">
        <v>41250</v>
      </c>
      <c r="P12681">
        <v>0</v>
      </c>
      <c r="Q12681">
        <v>4</v>
      </c>
      <c r="R12681" t="s">
        <v>41268</v>
      </c>
      <c r="S12681" t="s">
        <v>42129</v>
      </c>
      <c r="T12681" t="s">
        <v>42739</v>
      </c>
      <c r="U12681" t="s">
        <v>53356</v>
      </c>
      <c r="W12681" t="s">
        <v>41090</v>
      </c>
      <c r="X12681" t="s">
        <v>41270</v>
      </c>
    </row>
    <row r="12682" spans="1:24">
      <c r="A12682">
        <f>HYPERLINK("https://www.philgeps.gov.ph/GEPSNONPILOT/Tender/SplashBidNoticeAbstractUI.aspx?menuIndex=3&amp;refID=7047030&amp;Result=3","7047030")</f>
        <v>0</v>
      </c>
      <c r="B12682" t="s">
        <v>3236</v>
      </c>
      <c r="C12682" t="s">
        <v>15534</v>
      </c>
      <c r="D12682" t="s">
        <v>16632</v>
      </c>
      <c r="E12682" t="s">
        <v>27652</v>
      </c>
      <c r="F12682" t="s">
        <v>28669</v>
      </c>
      <c r="G12682" t="s">
        <v>28675</v>
      </c>
      <c r="H12682" t="s">
        <v>9998</v>
      </c>
      <c r="I12682" t="s">
        <v>28695</v>
      </c>
      <c r="J12682" t="s">
        <v>29134</v>
      </c>
      <c r="K12682" t="s">
        <v>37206</v>
      </c>
      <c r="M12682" t="s">
        <v>41052</v>
      </c>
      <c r="N12682" t="s">
        <v>41249</v>
      </c>
      <c r="O12682" t="s">
        <v>41250</v>
      </c>
      <c r="P12682">
        <v>0</v>
      </c>
      <c r="Q12682">
        <v>0</v>
      </c>
      <c r="R12682" t="s">
        <v>41267</v>
      </c>
      <c r="S12682" t="s">
        <v>42077</v>
      </c>
      <c r="T12682" t="s">
        <v>42675</v>
      </c>
      <c r="U12682" t="s">
        <v>53357</v>
      </c>
      <c r="W12682" t="s">
        <v>41052</v>
      </c>
      <c r="X12682" t="s">
        <v>41268</v>
      </c>
    </row>
    <row r="12683" spans="1:24">
      <c r="A12683">
        <f>HYPERLINK("https://www.philgeps.gov.ph/GEPSNONPILOT/Tender/SplashBidNoticeAbstractUI.aspx?menuIndex=3&amp;refID=7043732&amp;Result=3","7043732")</f>
        <v>0</v>
      </c>
      <c r="B12683" t="s">
        <v>425</v>
      </c>
      <c r="C12683" t="s">
        <v>15535</v>
      </c>
      <c r="D12683" t="s">
        <v>16653</v>
      </c>
      <c r="E12683" t="s">
        <v>27653</v>
      </c>
      <c r="F12683" t="s">
        <v>28669</v>
      </c>
      <c r="G12683" t="s">
        <v>28675</v>
      </c>
      <c r="H12683" t="s">
        <v>28686</v>
      </c>
      <c r="I12683" t="s">
        <v>28689</v>
      </c>
      <c r="J12683" t="s">
        <v>28881</v>
      </c>
      <c r="K12683" t="s">
        <v>37214</v>
      </c>
      <c r="M12683" t="s">
        <v>37910</v>
      </c>
      <c r="N12683" t="s">
        <v>41249</v>
      </c>
      <c r="O12683" t="s">
        <v>41250</v>
      </c>
      <c r="P12683">
        <v>0</v>
      </c>
      <c r="Q12683">
        <v>2</v>
      </c>
      <c r="R12683" t="s">
        <v>41268</v>
      </c>
      <c r="S12683" t="s">
        <v>42129</v>
      </c>
      <c r="T12683" t="s">
        <v>42679</v>
      </c>
      <c r="U12683" t="s">
        <v>53358</v>
      </c>
      <c r="W12683" t="s">
        <v>37910</v>
      </c>
      <c r="X12683" t="s">
        <v>41270</v>
      </c>
    </row>
    <row r="12684" spans="1:24">
      <c r="A12684">
        <f>HYPERLINK("https://www.philgeps.gov.ph/GEPSNONPILOT/Tender/SplashBidNoticeAbstractUI.aspx?menuIndex=3&amp;refID=7043711&amp;Result=3","7043711")</f>
        <v>0</v>
      </c>
      <c r="B12684" t="s">
        <v>313</v>
      </c>
      <c r="C12684" t="s">
        <v>15536</v>
      </c>
      <c r="D12684" t="s">
        <v>16642</v>
      </c>
      <c r="E12684" t="s">
        <v>27654</v>
      </c>
      <c r="F12684" t="s">
        <v>28669</v>
      </c>
      <c r="G12684" t="s">
        <v>28675</v>
      </c>
      <c r="H12684" t="s">
        <v>28686</v>
      </c>
      <c r="I12684" t="s">
        <v>28689</v>
      </c>
      <c r="J12684" t="s">
        <v>36556</v>
      </c>
      <c r="K12684" t="s">
        <v>37255</v>
      </c>
      <c r="M12684" t="s">
        <v>39265</v>
      </c>
      <c r="N12684" t="s">
        <v>41249</v>
      </c>
      <c r="O12684" t="s">
        <v>41250</v>
      </c>
      <c r="P12684">
        <v>0</v>
      </c>
      <c r="Q12684">
        <v>4</v>
      </c>
      <c r="R12684" t="s">
        <v>41268</v>
      </c>
      <c r="S12684" t="s">
        <v>42129</v>
      </c>
      <c r="T12684" t="s">
        <v>42675</v>
      </c>
      <c r="U12684" t="s">
        <v>47069</v>
      </c>
      <c r="W12684" t="s">
        <v>39265</v>
      </c>
      <c r="X12684" t="s">
        <v>41270</v>
      </c>
    </row>
    <row r="12685" spans="1:24">
      <c r="A12685">
        <f>HYPERLINK("https://www.philgeps.gov.ph/GEPSNONPILOT/Tender/SplashBidNoticeAbstractUI.aspx?menuIndex=3&amp;refID=7043248&amp;Result=3","7043248")</f>
        <v>0</v>
      </c>
      <c r="B12685" t="s">
        <v>586</v>
      </c>
      <c r="C12685" t="s">
        <v>15537</v>
      </c>
      <c r="D12685" t="s">
        <v>16612</v>
      </c>
      <c r="E12685" t="s">
        <v>27655</v>
      </c>
      <c r="F12685" t="s">
        <v>28669</v>
      </c>
      <c r="G12685" t="s">
        <v>28675</v>
      </c>
      <c r="H12685" t="s">
        <v>28686</v>
      </c>
      <c r="I12685" t="s">
        <v>28689</v>
      </c>
      <c r="J12685" t="s">
        <v>36557</v>
      </c>
      <c r="K12685" t="s">
        <v>37221</v>
      </c>
      <c r="M12685" t="s">
        <v>38085</v>
      </c>
      <c r="N12685" t="s">
        <v>41249</v>
      </c>
      <c r="O12685" t="s">
        <v>41250</v>
      </c>
      <c r="P12685">
        <v>0</v>
      </c>
      <c r="Q12685">
        <v>0</v>
      </c>
      <c r="R12685" t="s">
        <v>41268</v>
      </c>
      <c r="S12685" t="s">
        <v>42129</v>
      </c>
      <c r="T12685" t="s">
        <v>42679</v>
      </c>
      <c r="U12685" t="s">
        <v>53359</v>
      </c>
      <c r="W12685" t="s">
        <v>38085</v>
      </c>
      <c r="X12685" t="s">
        <v>41272</v>
      </c>
    </row>
    <row r="12686" spans="1:24">
      <c r="A12686">
        <f>HYPERLINK("https://www.philgeps.gov.ph/GEPSNONPILOT/Tender/SplashBidNoticeAbstractUI.aspx?menuIndex=3&amp;refID=7043709&amp;Result=3","7043709")</f>
        <v>0</v>
      </c>
      <c r="B12686" t="s">
        <v>313</v>
      </c>
      <c r="C12686" t="s">
        <v>15538</v>
      </c>
      <c r="D12686" t="s">
        <v>16642</v>
      </c>
      <c r="E12686" t="s">
        <v>27656</v>
      </c>
      <c r="F12686" t="s">
        <v>28669</v>
      </c>
      <c r="G12686" t="s">
        <v>28675</v>
      </c>
      <c r="H12686" t="s">
        <v>28686</v>
      </c>
      <c r="I12686" t="s">
        <v>28689</v>
      </c>
      <c r="J12686" t="s">
        <v>29655</v>
      </c>
      <c r="K12686" t="s">
        <v>37431</v>
      </c>
      <c r="M12686" t="s">
        <v>39265</v>
      </c>
      <c r="N12686" t="s">
        <v>41249</v>
      </c>
      <c r="O12686" t="s">
        <v>41250</v>
      </c>
      <c r="P12686">
        <v>0</v>
      </c>
      <c r="Q12686">
        <v>5</v>
      </c>
      <c r="R12686" t="s">
        <v>41268</v>
      </c>
      <c r="S12686" t="s">
        <v>42129</v>
      </c>
      <c r="T12686" t="s">
        <v>42675</v>
      </c>
      <c r="U12686" t="s">
        <v>47069</v>
      </c>
      <c r="W12686" t="s">
        <v>39265</v>
      </c>
      <c r="X12686" t="s">
        <v>41270</v>
      </c>
    </row>
    <row r="12687" spans="1:24">
      <c r="A12687">
        <f>HYPERLINK("https://www.philgeps.gov.ph/GEPSNONPILOT/Tender/SplashBidNoticeAbstractUI.aspx?menuIndex=3&amp;refID=7043616&amp;Result=3","7043616")</f>
        <v>0</v>
      </c>
      <c r="B12687" t="s">
        <v>586</v>
      </c>
      <c r="C12687" t="s">
        <v>15539</v>
      </c>
      <c r="D12687" t="s">
        <v>16612</v>
      </c>
      <c r="E12687" t="s">
        <v>27657</v>
      </c>
      <c r="F12687" t="s">
        <v>28669</v>
      </c>
      <c r="G12687" t="s">
        <v>28675</v>
      </c>
      <c r="H12687" t="s">
        <v>28686</v>
      </c>
      <c r="I12687" t="s">
        <v>28689</v>
      </c>
      <c r="J12687" t="s">
        <v>36558</v>
      </c>
      <c r="K12687" t="s">
        <v>37220</v>
      </c>
      <c r="M12687" t="s">
        <v>38085</v>
      </c>
      <c r="N12687" t="s">
        <v>41249</v>
      </c>
      <c r="O12687" t="s">
        <v>41250</v>
      </c>
      <c r="P12687">
        <v>0</v>
      </c>
      <c r="Q12687">
        <v>0</v>
      </c>
      <c r="R12687" t="s">
        <v>41268</v>
      </c>
      <c r="S12687" t="s">
        <v>42129</v>
      </c>
      <c r="T12687" t="s">
        <v>42679</v>
      </c>
      <c r="U12687" t="s">
        <v>53360</v>
      </c>
      <c r="W12687" t="s">
        <v>38085</v>
      </c>
      <c r="X12687" t="s">
        <v>41271</v>
      </c>
    </row>
    <row r="12688" spans="1:24">
      <c r="A12688">
        <f>HYPERLINK("https://www.philgeps.gov.ph/GEPSNONPILOT/Tender/SplashBidNoticeAbstractUI.aspx?menuIndex=3&amp;refID=7043769&amp;Result=3","7043769")</f>
        <v>0</v>
      </c>
      <c r="B12688" t="s">
        <v>3264</v>
      </c>
      <c r="C12688" t="s">
        <v>15540</v>
      </c>
      <c r="D12688" t="s">
        <v>16649</v>
      </c>
      <c r="E12688" t="s">
        <v>27658</v>
      </c>
      <c r="F12688" t="s">
        <v>28669</v>
      </c>
      <c r="G12688" t="s">
        <v>28675</v>
      </c>
      <c r="H12688" t="s">
        <v>9998</v>
      </c>
      <c r="I12688" t="s">
        <v>28751</v>
      </c>
      <c r="J12688" t="s">
        <v>36559</v>
      </c>
      <c r="K12688" t="s">
        <v>37220</v>
      </c>
      <c r="M12688" t="s">
        <v>41090</v>
      </c>
      <c r="N12688" t="s">
        <v>41249</v>
      </c>
      <c r="O12688" t="s">
        <v>41250</v>
      </c>
      <c r="P12688">
        <v>0</v>
      </c>
      <c r="Q12688">
        <v>3</v>
      </c>
      <c r="R12688" t="s">
        <v>41268</v>
      </c>
      <c r="S12688" t="s">
        <v>42129</v>
      </c>
      <c r="T12688" t="s">
        <v>42739</v>
      </c>
      <c r="U12688" t="s">
        <v>53361</v>
      </c>
      <c r="W12688" t="s">
        <v>41090</v>
      </c>
      <c r="X12688" t="s">
        <v>41270</v>
      </c>
    </row>
    <row r="12689" spans="1:24">
      <c r="A12689">
        <f>HYPERLINK("https://www.philgeps.gov.ph/GEPSNONPILOT/Tender/SplashBidNoticeAbstractUI.aspx?menuIndex=3&amp;refID=7043578&amp;Result=3","7043578")</f>
        <v>0</v>
      </c>
      <c r="B12689" t="s">
        <v>586</v>
      </c>
      <c r="C12689" t="s">
        <v>15541</v>
      </c>
      <c r="D12689" t="s">
        <v>16612</v>
      </c>
      <c r="E12689" t="s">
        <v>27659</v>
      </c>
      <c r="F12689" t="s">
        <v>28669</v>
      </c>
      <c r="G12689" t="s">
        <v>28675</v>
      </c>
      <c r="H12689" t="s">
        <v>28686</v>
      </c>
      <c r="I12689" t="s">
        <v>28689</v>
      </c>
      <c r="J12689" t="s">
        <v>36560</v>
      </c>
      <c r="K12689" t="s">
        <v>37213</v>
      </c>
      <c r="M12689" t="s">
        <v>38085</v>
      </c>
      <c r="N12689" t="s">
        <v>41249</v>
      </c>
      <c r="O12689" t="s">
        <v>41250</v>
      </c>
      <c r="P12689">
        <v>0</v>
      </c>
      <c r="Q12689">
        <v>1</v>
      </c>
      <c r="R12689" t="s">
        <v>41268</v>
      </c>
      <c r="S12689" t="s">
        <v>42129</v>
      </c>
      <c r="T12689" t="s">
        <v>42679</v>
      </c>
      <c r="U12689" t="s">
        <v>53362</v>
      </c>
      <c r="W12689" t="s">
        <v>38085</v>
      </c>
      <c r="X12689" t="s">
        <v>41271</v>
      </c>
    </row>
    <row r="12690" spans="1:24">
      <c r="A12690">
        <f>HYPERLINK("https://www.philgeps.gov.ph/GEPSNONPILOT/Tender/SplashBidNoticeAbstractUI.aspx?menuIndex=3&amp;refID=7043513&amp;Result=3","7043513")</f>
        <v>0</v>
      </c>
      <c r="B12690" t="s">
        <v>3264</v>
      </c>
      <c r="C12690" t="s">
        <v>15542</v>
      </c>
      <c r="D12690" t="s">
        <v>16683</v>
      </c>
      <c r="E12690" t="s">
        <v>27660</v>
      </c>
      <c r="F12690" t="s">
        <v>28669</v>
      </c>
      <c r="G12690" t="s">
        <v>28675</v>
      </c>
      <c r="H12690" t="s">
        <v>9998</v>
      </c>
      <c r="I12690" t="s">
        <v>28751</v>
      </c>
      <c r="J12690" t="s">
        <v>36561</v>
      </c>
      <c r="K12690" t="s">
        <v>37220</v>
      </c>
      <c r="M12690" t="s">
        <v>41090</v>
      </c>
      <c r="N12690" t="s">
        <v>41249</v>
      </c>
      <c r="O12690" t="s">
        <v>41250</v>
      </c>
      <c r="P12690">
        <v>0</v>
      </c>
      <c r="Q12690">
        <v>1</v>
      </c>
      <c r="R12690" t="s">
        <v>41268</v>
      </c>
      <c r="S12690" t="s">
        <v>42129</v>
      </c>
      <c r="T12690" t="s">
        <v>42739</v>
      </c>
      <c r="U12690" t="s">
        <v>53363</v>
      </c>
      <c r="W12690" t="s">
        <v>41090</v>
      </c>
      <c r="X12690" t="s">
        <v>41271</v>
      </c>
    </row>
    <row r="12691" spans="1:24">
      <c r="A12691">
        <f>HYPERLINK("https://www.philgeps.gov.ph/GEPSNONPILOT/Tender/SplashBidNoticeAbstractUI.aspx?menuIndex=3&amp;refID=7043511&amp;Result=3","7043511")</f>
        <v>0</v>
      </c>
      <c r="B12691" t="s">
        <v>3264</v>
      </c>
      <c r="C12691" t="s">
        <v>15543</v>
      </c>
      <c r="D12691" t="s">
        <v>16683</v>
      </c>
      <c r="E12691" t="s">
        <v>27661</v>
      </c>
      <c r="F12691" t="s">
        <v>28669</v>
      </c>
      <c r="G12691" t="s">
        <v>28675</v>
      </c>
      <c r="H12691" t="s">
        <v>9998</v>
      </c>
      <c r="I12691" t="s">
        <v>28751</v>
      </c>
      <c r="J12691" t="s">
        <v>36562</v>
      </c>
      <c r="K12691" t="s">
        <v>37220</v>
      </c>
      <c r="M12691" t="s">
        <v>41090</v>
      </c>
      <c r="N12691" t="s">
        <v>41249</v>
      </c>
      <c r="O12691" t="s">
        <v>41250</v>
      </c>
      <c r="P12691">
        <v>0</v>
      </c>
      <c r="Q12691">
        <v>1</v>
      </c>
      <c r="R12691" t="s">
        <v>41268</v>
      </c>
      <c r="S12691" t="s">
        <v>42129</v>
      </c>
      <c r="T12691" t="s">
        <v>42739</v>
      </c>
      <c r="U12691" t="s">
        <v>53364</v>
      </c>
      <c r="W12691" t="s">
        <v>41090</v>
      </c>
      <c r="X12691" t="s">
        <v>41271</v>
      </c>
    </row>
    <row r="12692" spans="1:24">
      <c r="A12692">
        <f>HYPERLINK("https://www.philgeps.gov.ph/GEPSNONPILOT/Tender/SplashBidNoticeAbstractUI.aspx?menuIndex=3&amp;refID=7043500&amp;Result=3","7043500")</f>
        <v>0</v>
      </c>
      <c r="B12692" t="s">
        <v>3264</v>
      </c>
      <c r="C12692" t="s">
        <v>15544</v>
      </c>
      <c r="D12692" t="s">
        <v>16683</v>
      </c>
      <c r="E12692" t="s">
        <v>27662</v>
      </c>
      <c r="F12692" t="s">
        <v>28669</v>
      </c>
      <c r="G12692" t="s">
        <v>28675</v>
      </c>
      <c r="H12692" t="s">
        <v>9998</v>
      </c>
      <c r="I12692" t="s">
        <v>28751</v>
      </c>
      <c r="J12692" t="s">
        <v>28834</v>
      </c>
      <c r="K12692" t="s">
        <v>37220</v>
      </c>
      <c r="M12692" t="s">
        <v>41090</v>
      </c>
      <c r="N12692" t="s">
        <v>41249</v>
      </c>
      <c r="O12692" t="s">
        <v>41250</v>
      </c>
      <c r="P12692">
        <v>0</v>
      </c>
      <c r="Q12692">
        <v>1</v>
      </c>
      <c r="R12692" t="s">
        <v>41268</v>
      </c>
      <c r="S12692" t="s">
        <v>42129</v>
      </c>
      <c r="T12692" t="s">
        <v>42739</v>
      </c>
      <c r="U12692" t="s">
        <v>53365</v>
      </c>
      <c r="W12692" t="s">
        <v>41090</v>
      </c>
      <c r="X12692" t="s">
        <v>41271</v>
      </c>
    </row>
    <row r="12693" spans="1:24">
      <c r="A12693">
        <f>HYPERLINK("https://www.philgeps.gov.ph/GEPSNONPILOT/Tender/SplashBidNoticeAbstractUI.aspx?menuIndex=3&amp;refID=7043497&amp;Result=3","7043497")</f>
        <v>0</v>
      </c>
      <c r="B12693" t="s">
        <v>3264</v>
      </c>
      <c r="C12693" t="s">
        <v>15545</v>
      </c>
      <c r="D12693" t="s">
        <v>16683</v>
      </c>
      <c r="E12693" t="s">
        <v>27663</v>
      </c>
      <c r="F12693" t="s">
        <v>28669</v>
      </c>
      <c r="G12693" t="s">
        <v>28675</v>
      </c>
      <c r="H12693" t="s">
        <v>9998</v>
      </c>
      <c r="I12693" t="s">
        <v>28751</v>
      </c>
      <c r="J12693" t="s">
        <v>36563</v>
      </c>
      <c r="K12693" t="s">
        <v>37220</v>
      </c>
      <c r="M12693" t="s">
        <v>41090</v>
      </c>
      <c r="N12693" t="s">
        <v>41249</v>
      </c>
      <c r="O12693" t="s">
        <v>41250</v>
      </c>
      <c r="P12693">
        <v>0</v>
      </c>
      <c r="Q12693">
        <v>5</v>
      </c>
      <c r="R12693" t="s">
        <v>41268</v>
      </c>
      <c r="S12693" t="s">
        <v>42129</v>
      </c>
      <c r="T12693" t="s">
        <v>42739</v>
      </c>
      <c r="U12693" t="s">
        <v>53366</v>
      </c>
      <c r="W12693" t="s">
        <v>41090</v>
      </c>
      <c r="X12693" t="s">
        <v>41271</v>
      </c>
    </row>
    <row r="12694" spans="1:24">
      <c r="A12694">
        <f>HYPERLINK("https://www.philgeps.gov.ph/GEPSNONPILOT/Tender/SplashBidNoticeAbstractUI.aspx?menuIndex=3&amp;refID=7043698&amp;Result=3","7043698")</f>
        <v>0</v>
      </c>
      <c r="B12694" t="s">
        <v>3266</v>
      </c>
      <c r="C12694" t="s">
        <v>15546</v>
      </c>
      <c r="D12694" t="s">
        <v>16610</v>
      </c>
      <c r="E12694" t="s">
        <v>27664</v>
      </c>
      <c r="F12694" t="s">
        <v>28669</v>
      </c>
      <c r="G12694" t="s">
        <v>28675</v>
      </c>
      <c r="H12694" t="s">
        <v>28686</v>
      </c>
      <c r="I12694" t="s">
        <v>28689</v>
      </c>
      <c r="J12694" t="s">
        <v>36564</v>
      </c>
      <c r="K12694" t="s">
        <v>37211</v>
      </c>
      <c r="M12694" t="s">
        <v>41092</v>
      </c>
      <c r="N12694" t="s">
        <v>41249</v>
      </c>
      <c r="O12694" t="s">
        <v>41250</v>
      </c>
      <c r="P12694">
        <v>0</v>
      </c>
      <c r="Q12694">
        <v>0</v>
      </c>
      <c r="R12694" t="s">
        <v>41268</v>
      </c>
      <c r="S12694" t="s">
        <v>42129</v>
      </c>
      <c r="T12694" t="s">
        <v>42711</v>
      </c>
      <c r="U12694" t="s">
        <v>53367</v>
      </c>
      <c r="W12694" t="s">
        <v>41092</v>
      </c>
      <c r="X12694" t="s">
        <v>41270</v>
      </c>
    </row>
    <row r="12695" spans="1:24">
      <c r="A12695">
        <f>HYPERLINK("https://www.philgeps.gov.ph/GEPSNONPILOT/Tender/SplashBidNoticeAbstractUI.aspx?menuIndex=3&amp;refID=7043483&amp;Result=3","7043483")</f>
        <v>0</v>
      </c>
      <c r="B12695" t="s">
        <v>3264</v>
      </c>
      <c r="C12695" t="s">
        <v>15547</v>
      </c>
      <c r="D12695" t="s">
        <v>16683</v>
      </c>
      <c r="E12695" t="s">
        <v>27665</v>
      </c>
      <c r="F12695" t="s">
        <v>28669</v>
      </c>
      <c r="G12695" t="s">
        <v>28675</v>
      </c>
      <c r="H12695" t="s">
        <v>9998</v>
      </c>
      <c r="I12695" t="s">
        <v>28751</v>
      </c>
      <c r="J12695" t="s">
        <v>36565</v>
      </c>
      <c r="K12695" t="s">
        <v>37220</v>
      </c>
      <c r="M12695" t="s">
        <v>41090</v>
      </c>
      <c r="N12695" t="s">
        <v>41249</v>
      </c>
      <c r="O12695" t="s">
        <v>41250</v>
      </c>
      <c r="P12695">
        <v>0</v>
      </c>
      <c r="Q12695">
        <v>4</v>
      </c>
      <c r="R12695" t="s">
        <v>41268</v>
      </c>
      <c r="S12695" t="s">
        <v>42129</v>
      </c>
      <c r="T12695" t="s">
        <v>42739</v>
      </c>
      <c r="U12695" t="s">
        <v>53368</v>
      </c>
      <c r="W12695" t="s">
        <v>41090</v>
      </c>
      <c r="X12695" t="s">
        <v>41271</v>
      </c>
    </row>
    <row r="12696" spans="1:24">
      <c r="A12696">
        <f>HYPERLINK("https://www.philgeps.gov.ph/GEPSNONPILOT/Tender/SplashBidNoticeAbstractUI.aspx?menuIndex=3&amp;refID=7043480&amp;Result=3","7043480")</f>
        <v>0</v>
      </c>
      <c r="B12696" t="s">
        <v>3264</v>
      </c>
      <c r="C12696" t="s">
        <v>15548</v>
      </c>
      <c r="D12696" t="s">
        <v>16683</v>
      </c>
      <c r="E12696" t="s">
        <v>27666</v>
      </c>
      <c r="F12696" t="s">
        <v>28669</v>
      </c>
      <c r="G12696" t="s">
        <v>28675</v>
      </c>
      <c r="H12696" t="s">
        <v>9998</v>
      </c>
      <c r="I12696" t="s">
        <v>28751</v>
      </c>
      <c r="J12696" t="s">
        <v>36566</v>
      </c>
      <c r="K12696" t="s">
        <v>37220</v>
      </c>
      <c r="M12696" t="s">
        <v>41090</v>
      </c>
      <c r="N12696" t="s">
        <v>41249</v>
      </c>
      <c r="O12696" t="s">
        <v>41250</v>
      </c>
      <c r="P12696">
        <v>0</v>
      </c>
      <c r="Q12696">
        <v>0</v>
      </c>
      <c r="R12696" t="s">
        <v>41268</v>
      </c>
      <c r="S12696" t="s">
        <v>42129</v>
      </c>
      <c r="T12696" t="s">
        <v>42739</v>
      </c>
      <c r="U12696" t="s">
        <v>53369</v>
      </c>
      <c r="W12696" t="s">
        <v>41090</v>
      </c>
      <c r="X12696" t="s">
        <v>41271</v>
      </c>
    </row>
    <row r="12697" spans="1:24">
      <c r="A12697">
        <f>HYPERLINK("https://www.philgeps.gov.ph/GEPSNONPILOT/Tender/SplashBidNoticeAbstractUI.aspx?menuIndex=3&amp;refID=7042684&amp;Result=3","7042684")</f>
        <v>0</v>
      </c>
      <c r="B12697" t="s">
        <v>1124</v>
      </c>
      <c r="C12697" t="s">
        <v>15549</v>
      </c>
      <c r="E12697" t="s">
        <v>27667</v>
      </c>
      <c r="F12697" t="s">
        <v>28669</v>
      </c>
      <c r="G12697" t="s">
        <v>28675</v>
      </c>
      <c r="H12697" t="s">
        <v>9998</v>
      </c>
      <c r="I12697" t="s">
        <v>28714</v>
      </c>
      <c r="J12697" t="s">
        <v>36567</v>
      </c>
      <c r="K12697" t="s">
        <v>37209</v>
      </c>
      <c r="M12697" t="s">
        <v>40623</v>
      </c>
      <c r="N12697" t="s">
        <v>41249</v>
      </c>
      <c r="O12697" t="s">
        <v>41250</v>
      </c>
      <c r="Q12697">
        <v>61</v>
      </c>
      <c r="R12697" t="s">
        <v>41268</v>
      </c>
      <c r="S12697" t="s">
        <v>42143</v>
      </c>
      <c r="T12697" t="s">
        <v>42669</v>
      </c>
      <c r="U12697" t="s">
        <v>53370</v>
      </c>
      <c r="W12697" t="s">
        <v>40623</v>
      </c>
      <c r="X12697" t="s">
        <v>41272</v>
      </c>
    </row>
    <row r="12698" spans="1:24">
      <c r="A12698">
        <f>HYPERLINK("https://www.philgeps.gov.ph/GEPSNONPILOT/Tender/SplashBidNoticeAbstractUI.aspx?menuIndex=3&amp;refID=7042081&amp;Result=3","7042081")</f>
        <v>0</v>
      </c>
      <c r="B12698" t="s">
        <v>564</v>
      </c>
      <c r="C12698" t="s">
        <v>15550</v>
      </c>
      <c r="D12698" t="s">
        <v>16627</v>
      </c>
      <c r="E12698" t="s">
        <v>27668</v>
      </c>
      <c r="F12698" t="s">
        <v>28669</v>
      </c>
      <c r="G12698" t="s">
        <v>28675</v>
      </c>
      <c r="H12698" t="s">
        <v>9998</v>
      </c>
      <c r="I12698" t="s">
        <v>28690</v>
      </c>
      <c r="J12698" t="s">
        <v>28826</v>
      </c>
      <c r="K12698" t="s">
        <v>37206</v>
      </c>
      <c r="M12698" t="s">
        <v>38060</v>
      </c>
      <c r="N12698" t="s">
        <v>41249</v>
      </c>
      <c r="O12698" t="s">
        <v>41250</v>
      </c>
      <c r="P12698">
        <v>0</v>
      </c>
      <c r="Q12698">
        <v>1</v>
      </c>
      <c r="R12698" t="s">
        <v>41268</v>
      </c>
      <c r="S12698" t="s">
        <v>42129</v>
      </c>
      <c r="T12698" t="s">
        <v>42679</v>
      </c>
      <c r="U12698" t="s">
        <v>53371</v>
      </c>
      <c r="V12698" t="s">
        <v>54383</v>
      </c>
      <c r="W12698" t="s">
        <v>38060</v>
      </c>
      <c r="X12698" t="s">
        <v>41272</v>
      </c>
    </row>
    <row r="12699" spans="1:24">
      <c r="A12699">
        <f>HYPERLINK("https://www.philgeps.gov.ph/GEPSNONPILOT/Tender/SplashBidNoticeAbstractUI.aspx?menuIndex=3&amp;refID=7043489&amp;Result=3","7043489")</f>
        <v>0</v>
      </c>
      <c r="B12699" t="s">
        <v>3264</v>
      </c>
      <c r="C12699" t="s">
        <v>15551</v>
      </c>
      <c r="D12699" t="s">
        <v>16683</v>
      </c>
      <c r="E12699" t="s">
        <v>27669</v>
      </c>
      <c r="F12699" t="s">
        <v>28669</v>
      </c>
      <c r="G12699" t="s">
        <v>28675</v>
      </c>
      <c r="H12699" t="s">
        <v>9998</v>
      </c>
      <c r="I12699" t="s">
        <v>28751</v>
      </c>
      <c r="J12699" t="s">
        <v>36568</v>
      </c>
      <c r="K12699" t="s">
        <v>37220</v>
      </c>
      <c r="M12699" t="s">
        <v>41090</v>
      </c>
      <c r="N12699" t="s">
        <v>41249</v>
      </c>
      <c r="O12699" t="s">
        <v>41250</v>
      </c>
      <c r="P12699">
        <v>0</v>
      </c>
      <c r="Q12699">
        <v>3</v>
      </c>
      <c r="R12699" t="s">
        <v>41268</v>
      </c>
      <c r="S12699" t="s">
        <v>42129</v>
      </c>
      <c r="T12699" t="s">
        <v>42739</v>
      </c>
      <c r="U12699" t="s">
        <v>53372</v>
      </c>
      <c r="W12699" t="s">
        <v>41090</v>
      </c>
      <c r="X12699" t="s">
        <v>41271</v>
      </c>
    </row>
    <row r="12700" spans="1:24">
      <c r="A12700">
        <f>HYPERLINK("https://www.philgeps.gov.ph/GEPSNONPILOT/Tender/SplashBidNoticeAbstractUI.aspx?menuIndex=3&amp;refID=7043773&amp;Result=3","7043773")</f>
        <v>0</v>
      </c>
      <c r="B12700" t="s">
        <v>3264</v>
      </c>
      <c r="C12700" t="s">
        <v>15552</v>
      </c>
      <c r="D12700" t="s">
        <v>16683</v>
      </c>
      <c r="E12700" t="s">
        <v>27670</v>
      </c>
      <c r="F12700" t="s">
        <v>28669</v>
      </c>
      <c r="G12700" t="s">
        <v>28675</v>
      </c>
      <c r="H12700" t="s">
        <v>9998</v>
      </c>
      <c r="I12700" t="s">
        <v>28751</v>
      </c>
      <c r="J12700" t="s">
        <v>28826</v>
      </c>
      <c r="K12700" t="s">
        <v>37220</v>
      </c>
      <c r="M12700" t="s">
        <v>41090</v>
      </c>
      <c r="N12700" t="s">
        <v>41249</v>
      </c>
      <c r="O12700" t="s">
        <v>41250</v>
      </c>
      <c r="P12700">
        <v>0</v>
      </c>
      <c r="Q12700">
        <v>0</v>
      </c>
      <c r="R12700" t="s">
        <v>41268</v>
      </c>
      <c r="S12700" t="s">
        <v>42129</v>
      </c>
      <c r="T12700" t="s">
        <v>42739</v>
      </c>
      <c r="U12700" t="s">
        <v>53373</v>
      </c>
      <c r="W12700" t="s">
        <v>41090</v>
      </c>
      <c r="X12700" t="s">
        <v>41270</v>
      </c>
    </row>
    <row r="12701" spans="1:24">
      <c r="A12701">
        <f>HYPERLINK("https://www.philgeps.gov.ph/GEPSNONPILOT/Tender/SplashBidNoticeAbstractUI.aspx?menuIndex=3&amp;refID=7041615&amp;Result=3","7041615")</f>
        <v>0</v>
      </c>
      <c r="B12701" t="s">
        <v>700</v>
      </c>
      <c r="C12701" t="s">
        <v>15553</v>
      </c>
      <c r="D12701" t="s">
        <v>16620</v>
      </c>
      <c r="E12701" t="s">
        <v>27671</v>
      </c>
      <c r="F12701" t="s">
        <v>28669</v>
      </c>
      <c r="G12701" t="s">
        <v>28675</v>
      </c>
      <c r="H12701" t="s">
        <v>9998</v>
      </c>
      <c r="I12701" t="s">
        <v>11593</v>
      </c>
      <c r="J12701" t="s">
        <v>36569</v>
      </c>
      <c r="K12701" t="s">
        <v>37205</v>
      </c>
      <c r="M12701" t="s">
        <v>38206</v>
      </c>
      <c r="N12701" t="s">
        <v>41249</v>
      </c>
      <c r="O12701" t="s">
        <v>41250</v>
      </c>
      <c r="P12701">
        <v>0</v>
      </c>
      <c r="Q12701">
        <v>4</v>
      </c>
      <c r="R12701" t="s">
        <v>41268</v>
      </c>
      <c r="S12701" t="s">
        <v>42129</v>
      </c>
      <c r="T12701" t="s">
        <v>42759</v>
      </c>
      <c r="U12701" t="s">
        <v>53374</v>
      </c>
      <c r="W12701" t="s">
        <v>38206</v>
      </c>
      <c r="X12701" t="s">
        <v>41272</v>
      </c>
    </row>
    <row r="12702" spans="1:24">
      <c r="A12702">
        <f>HYPERLINK("https://www.philgeps.gov.ph/GEPSNONPILOT/Tender/SplashBidNoticeAbstractUI.aspx?menuIndex=3&amp;refID=7029812&amp;Result=3","7029812")</f>
        <v>0</v>
      </c>
      <c r="B12702" t="s">
        <v>2901</v>
      </c>
      <c r="C12702" t="s">
        <v>15554</v>
      </c>
      <c r="D12702" t="s">
        <v>16610</v>
      </c>
      <c r="E12702" t="s">
        <v>27672</v>
      </c>
      <c r="F12702" t="s">
        <v>28669</v>
      </c>
      <c r="G12702" t="s">
        <v>28675</v>
      </c>
      <c r="H12702" t="s">
        <v>28686</v>
      </c>
      <c r="I12702" t="s">
        <v>28689</v>
      </c>
      <c r="J12702" t="s">
        <v>36570</v>
      </c>
      <c r="K12702" t="s">
        <v>37220</v>
      </c>
      <c r="M12702" t="s">
        <v>40649</v>
      </c>
      <c r="N12702" t="s">
        <v>41249</v>
      </c>
      <c r="O12702" t="s">
        <v>41250</v>
      </c>
      <c r="P12702">
        <v>0</v>
      </c>
      <c r="Q12702">
        <v>1</v>
      </c>
      <c r="R12702" t="s">
        <v>41268</v>
      </c>
      <c r="S12702" t="s">
        <v>42129</v>
      </c>
      <c r="T12702" t="s">
        <v>42706</v>
      </c>
      <c r="U12702" t="s">
        <v>53375</v>
      </c>
      <c r="W12702" t="s">
        <v>40649</v>
      </c>
      <c r="X12702" t="s">
        <v>41278</v>
      </c>
    </row>
    <row r="12703" spans="1:24">
      <c r="A12703">
        <f>HYPERLINK("https://www.philgeps.gov.ph/GEPSNONPILOT/Tender/SplashBidNoticeAbstractUI.aspx?menuIndex=3&amp;refID=7043493&amp;Result=3","7043493")</f>
        <v>0</v>
      </c>
      <c r="B12703" t="s">
        <v>3264</v>
      </c>
      <c r="C12703" t="s">
        <v>15555</v>
      </c>
      <c r="D12703" t="s">
        <v>16683</v>
      </c>
      <c r="E12703" t="s">
        <v>27673</v>
      </c>
      <c r="F12703" t="s">
        <v>28669</v>
      </c>
      <c r="G12703" t="s">
        <v>28675</v>
      </c>
      <c r="H12703" t="s">
        <v>9998</v>
      </c>
      <c r="I12703" t="s">
        <v>28751</v>
      </c>
      <c r="J12703" t="s">
        <v>36571</v>
      </c>
      <c r="K12703" t="s">
        <v>37220</v>
      </c>
      <c r="M12703" t="s">
        <v>41090</v>
      </c>
      <c r="N12703" t="s">
        <v>41249</v>
      </c>
      <c r="O12703" t="s">
        <v>41250</v>
      </c>
      <c r="P12703">
        <v>0</v>
      </c>
      <c r="Q12703">
        <v>5</v>
      </c>
      <c r="R12703" t="s">
        <v>41268</v>
      </c>
      <c r="S12703" t="s">
        <v>42129</v>
      </c>
      <c r="T12703" t="s">
        <v>42739</v>
      </c>
      <c r="U12703" t="s">
        <v>53376</v>
      </c>
      <c r="W12703" t="s">
        <v>41090</v>
      </c>
      <c r="X12703" t="s">
        <v>41271</v>
      </c>
    </row>
    <row r="12704" spans="1:24">
      <c r="A12704">
        <f>HYPERLINK("https://www.philgeps.gov.ph/GEPSNONPILOT/Tender/SplashBidNoticeAbstractUI.aspx?menuIndex=3&amp;refID=7041939&amp;Result=3","7041939")</f>
        <v>0</v>
      </c>
      <c r="B12704" t="s">
        <v>376</v>
      </c>
      <c r="C12704" t="s">
        <v>15556</v>
      </c>
      <c r="D12704" t="s">
        <v>16608</v>
      </c>
      <c r="E12704" t="s">
        <v>27674</v>
      </c>
      <c r="F12704" t="s">
        <v>28669</v>
      </c>
      <c r="G12704" t="s">
        <v>28675</v>
      </c>
      <c r="H12704" t="s">
        <v>9998</v>
      </c>
      <c r="I12704" t="s">
        <v>28699</v>
      </c>
      <c r="J12704" t="s">
        <v>36572</v>
      </c>
      <c r="K12704" t="s">
        <v>37206</v>
      </c>
      <c r="M12704" t="s">
        <v>41093</v>
      </c>
      <c r="N12704" t="s">
        <v>41249</v>
      </c>
      <c r="O12704" t="s">
        <v>41250</v>
      </c>
      <c r="Q12704">
        <v>9</v>
      </c>
      <c r="R12704" t="s">
        <v>41268</v>
      </c>
      <c r="S12704" t="s">
        <v>42144</v>
      </c>
      <c r="T12704" t="s">
        <v>42782</v>
      </c>
      <c r="U12704" t="s">
        <v>53377</v>
      </c>
      <c r="W12704" t="s">
        <v>41093</v>
      </c>
      <c r="X12704" t="s">
        <v>41272</v>
      </c>
    </row>
    <row r="12705" spans="1:24">
      <c r="A12705">
        <f>HYPERLINK("https://www.philgeps.gov.ph/GEPSNONPILOT/Tender/SplashBidNoticeAbstractUI.aspx?menuIndex=3&amp;refID=7017395&amp;Result=3","7017395")</f>
        <v>0</v>
      </c>
      <c r="B12705" t="s">
        <v>1900</v>
      </c>
      <c r="C12705" t="s">
        <v>15557</v>
      </c>
      <c r="D12705" t="s">
        <v>16658</v>
      </c>
      <c r="E12705" t="s">
        <v>27675</v>
      </c>
      <c r="F12705" t="s">
        <v>28669</v>
      </c>
      <c r="G12705" t="s">
        <v>28675</v>
      </c>
      <c r="H12705" t="s">
        <v>28686</v>
      </c>
      <c r="I12705" t="s">
        <v>28689</v>
      </c>
      <c r="J12705" t="s">
        <v>36573</v>
      </c>
      <c r="K12705" t="s">
        <v>37285</v>
      </c>
      <c r="M12705" t="s">
        <v>41094</v>
      </c>
      <c r="N12705" t="s">
        <v>41249</v>
      </c>
      <c r="O12705" t="s">
        <v>41250</v>
      </c>
      <c r="P12705">
        <v>0</v>
      </c>
      <c r="Q12705">
        <v>3</v>
      </c>
      <c r="R12705" t="s">
        <v>41268</v>
      </c>
      <c r="S12705" t="s">
        <v>42129</v>
      </c>
      <c r="T12705" t="s">
        <v>42764</v>
      </c>
      <c r="U12705" t="s">
        <v>53378</v>
      </c>
      <c r="V12705" t="s">
        <v>55775</v>
      </c>
      <c r="W12705" t="s">
        <v>41094</v>
      </c>
      <c r="X12705" t="s">
        <v>41368</v>
      </c>
    </row>
    <row r="12706" spans="1:24">
      <c r="A12706">
        <f>HYPERLINK("https://www.philgeps.gov.ph/GEPSNONPILOT/Tender/SplashBidNoticeAbstractUI.aspx?menuIndex=3&amp;refID=7042753&amp;Result=3","7042753")</f>
        <v>0</v>
      </c>
      <c r="B12706" t="s">
        <v>1606</v>
      </c>
      <c r="C12706" t="s">
        <v>15558</v>
      </c>
      <c r="E12706" t="s">
        <v>27676</v>
      </c>
      <c r="F12706" t="s">
        <v>28669</v>
      </c>
      <c r="G12706" t="s">
        <v>28675</v>
      </c>
      <c r="H12706" t="s">
        <v>9998</v>
      </c>
      <c r="I12706" t="s">
        <v>28713</v>
      </c>
      <c r="J12706" t="s">
        <v>34377</v>
      </c>
      <c r="K12706" t="s">
        <v>37209</v>
      </c>
      <c r="M12706" t="s">
        <v>40003</v>
      </c>
      <c r="N12706" t="s">
        <v>41249</v>
      </c>
      <c r="O12706" t="s">
        <v>41250</v>
      </c>
      <c r="Q12706">
        <v>13</v>
      </c>
      <c r="R12706" t="s">
        <v>41268</v>
      </c>
      <c r="S12706" t="s">
        <v>42145</v>
      </c>
      <c r="T12706" t="s">
        <v>42754</v>
      </c>
      <c r="U12706" t="s">
        <v>53293</v>
      </c>
      <c r="W12706" t="s">
        <v>40003</v>
      </c>
      <c r="X12706" t="s">
        <v>41272</v>
      </c>
    </row>
    <row r="12707" spans="1:24">
      <c r="A12707">
        <f>HYPERLINK("https://www.philgeps.gov.ph/GEPSNONPILOT/Tender/SplashBidNoticeAbstractUI.aspx?menuIndex=3&amp;refID=7041908&amp;Result=3","7041908")</f>
        <v>0</v>
      </c>
      <c r="B12707" t="s">
        <v>345</v>
      </c>
      <c r="C12707" t="s">
        <v>15559</v>
      </c>
      <c r="D12707" t="s">
        <v>16666</v>
      </c>
      <c r="E12707" t="s">
        <v>27677</v>
      </c>
      <c r="F12707" t="s">
        <v>28669</v>
      </c>
      <c r="G12707" t="s">
        <v>28675</v>
      </c>
      <c r="H12707" t="s">
        <v>9998</v>
      </c>
      <c r="I12707" t="s">
        <v>28713</v>
      </c>
      <c r="J12707" t="s">
        <v>36090</v>
      </c>
      <c r="K12707" t="s">
        <v>37209</v>
      </c>
      <c r="M12707" t="s">
        <v>40567</v>
      </c>
      <c r="N12707" t="s">
        <v>41249</v>
      </c>
      <c r="O12707" t="s">
        <v>41250</v>
      </c>
      <c r="Q12707">
        <v>15</v>
      </c>
      <c r="R12707" t="s">
        <v>41268</v>
      </c>
      <c r="S12707" t="s">
        <v>42146</v>
      </c>
      <c r="T12707" t="s">
        <v>42711</v>
      </c>
      <c r="U12707" t="s">
        <v>53379</v>
      </c>
      <c r="W12707" t="s">
        <v>40567</v>
      </c>
      <c r="X12707" t="s">
        <v>41272</v>
      </c>
    </row>
    <row r="12708" spans="1:24">
      <c r="A12708">
        <f>HYPERLINK("https://www.philgeps.gov.ph/GEPSNONPILOT/Tender/SplashBidNoticeAbstractUI.aspx?menuIndex=3&amp;refID=6938950&amp;Result=3","6938950")</f>
        <v>0</v>
      </c>
      <c r="B12708" t="s">
        <v>1606</v>
      </c>
      <c r="C12708" t="s">
        <v>15560</v>
      </c>
      <c r="E12708" t="s">
        <v>27678</v>
      </c>
      <c r="F12708" t="s">
        <v>28669</v>
      </c>
      <c r="G12708" t="s">
        <v>28675</v>
      </c>
      <c r="H12708" t="s">
        <v>9998</v>
      </c>
      <c r="I12708" t="s">
        <v>28713</v>
      </c>
      <c r="J12708" t="s">
        <v>29134</v>
      </c>
      <c r="K12708" t="s">
        <v>37209</v>
      </c>
      <c r="M12708" t="s">
        <v>40003</v>
      </c>
      <c r="N12708" t="s">
        <v>41249</v>
      </c>
      <c r="O12708" t="s">
        <v>41250</v>
      </c>
      <c r="Q12708">
        <v>11</v>
      </c>
      <c r="R12708" t="s">
        <v>41268</v>
      </c>
      <c r="S12708" t="s">
        <v>41582</v>
      </c>
      <c r="T12708" t="s">
        <v>42754</v>
      </c>
      <c r="U12708" t="s">
        <v>53293</v>
      </c>
      <c r="W12708" t="s">
        <v>40003</v>
      </c>
      <c r="X12708" t="s">
        <v>41314</v>
      </c>
    </row>
    <row r="12709" spans="1:24">
      <c r="A12709">
        <f>HYPERLINK("https://www.philgeps.gov.ph/GEPSNONPILOT/Tender/SplashBidNoticeAbstractUI.aspx?menuIndex=3&amp;refID=7043779&amp;Result=3","7043779")</f>
        <v>0</v>
      </c>
      <c r="B12709" t="s">
        <v>3264</v>
      </c>
      <c r="C12709" t="s">
        <v>15561</v>
      </c>
      <c r="D12709" t="s">
        <v>16683</v>
      </c>
      <c r="E12709" t="s">
        <v>27679</v>
      </c>
      <c r="F12709" t="s">
        <v>28669</v>
      </c>
      <c r="G12709" t="s">
        <v>28675</v>
      </c>
      <c r="H12709" t="s">
        <v>9998</v>
      </c>
      <c r="I12709" t="s">
        <v>28751</v>
      </c>
      <c r="J12709" t="s">
        <v>36574</v>
      </c>
      <c r="K12709" t="s">
        <v>37220</v>
      </c>
      <c r="M12709" t="s">
        <v>41090</v>
      </c>
      <c r="N12709" t="s">
        <v>41249</v>
      </c>
      <c r="O12709" t="s">
        <v>41250</v>
      </c>
      <c r="P12709">
        <v>0</v>
      </c>
      <c r="Q12709">
        <v>0</v>
      </c>
      <c r="R12709" t="s">
        <v>41268</v>
      </c>
      <c r="S12709" t="s">
        <v>42129</v>
      </c>
      <c r="T12709" t="s">
        <v>42739</v>
      </c>
      <c r="U12709" t="s">
        <v>53368</v>
      </c>
      <c r="W12709" t="s">
        <v>41090</v>
      </c>
      <c r="X12709" t="s">
        <v>41270</v>
      </c>
    </row>
    <row r="12710" spans="1:24">
      <c r="A12710">
        <f>HYPERLINK("https://www.philgeps.gov.ph/GEPSNONPILOT/Tender/SplashBidNoticeAbstractUI.aspx?menuIndex=3&amp;refID=7043842&amp;Result=3","7043842")</f>
        <v>0</v>
      </c>
      <c r="B12710" t="s">
        <v>425</v>
      </c>
      <c r="C12710" t="s">
        <v>15562</v>
      </c>
      <c r="D12710" t="s">
        <v>16653</v>
      </c>
      <c r="E12710" t="s">
        <v>27680</v>
      </c>
      <c r="F12710" t="s">
        <v>28669</v>
      </c>
      <c r="G12710" t="s">
        <v>28675</v>
      </c>
      <c r="H12710" t="s">
        <v>28686</v>
      </c>
      <c r="I12710" t="s">
        <v>28689</v>
      </c>
      <c r="J12710" t="s">
        <v>28881</v>
      </c>
      <c r="K12710" t="s">
        <v>37221</v>
      </c>
      <c r="M12710" t="s">
        <v>37910</v>
      </c>
      <c r="N12710" t="s">
        <v>41249</v>
      </c>
      <c r="O12710" t="s">
        <v>41250</v>
      </c>
      <c r="P12710">
        <v>0</v>
      </c>
      <c r="Q12710">
        <v>2</v>
      </c>
      <c r="R12710" t="s">
        <v>41268</v>
      </c>
      <c r="S12710" t="s">
        <v>42129</v>
      </c>
      <c r="T12710" t="s">
        <v>42679</v>
      </c>
      <c r="U12710" t="s">
        <v>53380</v>
      </c>
      <c r="W12710" t="s">
        <v>37910</v>
      </c>
      <c r="X12710" t="s">
        <v>41270</v>
      </c>
    </row>
    <row r="12711" spans="1:24">
      <c r="A12711">
        <f>HYPERLINK("https://www.philgeps.gov.ph/GEPSNONPILOT/Tender/SplashBidNoticeAbstractUI.aspx?menuIndex=3&amp;refID=7041410&amp;Result=3","7041410")</f>
        <v>0</v>
      </c>
      <c r="B12711" t="s">
        <v>3267</v>
      </c>
      <c r="C12711" t="s">
        <v>15563</v>
      </c>
      <c r="D12711" t="s">
        <v>16652</v>
      </c>
      <c r="E12711" t="s">
        <v>16820</v>
      </c>
      <c r="F12711" t="s">
        <v>28672</v>
      </c>
      <c r="G12711" t="s">
        <v>28675</v>
      </c>
      <c r="H12711" t="s">
        <v>28686</v>
      </c>
      <c r="I12711" t="s">
        <v>28689</v>
      </c>
      <c r="J12711" t="s">
        <v>28905</v>
      </c>
      <c r="K12711" t="s">
        <v>37206</v>
      </c>
      <c r="M12711" t="s">
        <v>41095</v>
      </c>
      <c r="N12711" t="s">
        <v>41249</v>
      </c>
      <c r="O12711" t="s">
        <v>41250</v>
      </c>
      <c r="P12711">
        <v>0</v>
      </c>
      <c r="Q12711">
        <v>1</v>
      </c>
      <c r="R12711" t="s">
        <v>41268</v>
      </c>
      <c r="S12711" t="s">
        <v>42129</v>
      </c>
      <c r="T12711" t="s">
        <v>43026</v>
      </c>
      <c r="U12711" t="s">
        <v>53381</v>
      </c>
      <c r="W12711" t="s">
        <v>41095</v>
      </c>
      <c r="X12711" t="s">
        <v>41272</v>
      </c>
    </row>
    <row r="12712" spans="1:24">
      <c r="A12712">
        <f>HYPERLINK("https://www.philgeps.gov.ph/GEPSNONPILOT/Tender/SplashBidNoticeAbstractUI.aspx?menuIndex=3&amp;refID=7043839&amp;Result=3","7043839")</f>
        <v>0</v>
      </c>
      <c r="B12712" t="s">
        <v>586</v>
      </c>
      <c r="C12712" t="s">
        <v>15564</v>
      </c>
      <c r="D12712" t="s">
        <v>16612</v>
      </c>
      <c r="E12712" t="s">
        <v>27681</v>
      </c>
      <c r="F12712" t="s">
        <v>28669</v>
      </c>
      <c r="G12712" t="s">
        <v>28675</v>
      </c>
      <c r="H12712" t="s">
        <v>28686</v>
      </c>
      <c r="I12712" t="s">
        <v>28689</v>
      </c>
      <c r="J12712" t="s">
        <v>36575</v>
      </c>
      <c r="K12712" t="s">
        <v>37205</v>
      </c>
      <c r="M12712" t="s">
        <v>38085</v>
      </c>
      <c r="N12712" t="s">
        <v>41249</v>
      </c>
      <c r="O12712" t="s">
        <v>41250</v>
      </c>
      <c r="P12712">
        <v>0</v>
      </c>
      <c r="Q12712">
        <v>0</v>
      </c>
      <c r="R12712" t="s">
        <v>41268</v>
      </c>
      <c r="S12712" t="s">
        <v>42129</v>
      </c>
      <c r="T12712" t="s">
        <v>42679</v>
      </c>
      <c r="U12712" t="s">
        <v>53382</v>
      </c>
      <c r="W12712" t="s">
        <v>38085</v>
      </c>
      <c r="X12712" t="s">
        <v>41270</v>
      </c>
    </row>
    <row r="12713" spans="1:24">
      <c r="A12713">
        <f>HYPERLINK("https://www.philgeps.gov.ph/GEPSNONPILOT/Tender/SplashBidNoticeAbstractUI.aspx?menuIndex=3&amp;refID=7043836&amp;Result=3","7043836")</f>
        <v>0</v>
      </c>
      <c r="B12713" t="s">
        <v>425</v>
      </c>
      <c r="C12713" t="s">
        <v>15565</v>
      </c>
      <c r="D12713" t="s">
        <v>16653</v>
      </c>
      <c r="E12713" t="s">
        <v>27682</v>
      </c>
      <c r="F12713" t="s">
        <v>28669</v>
      </c>
      <c r="G12713" t="s">
        <v>28675</v>
      </c>
      <c r="H12713" t="s">
        <v>28686</v>
      </c>
      <c r="I12713" t="s">
        <v>28689</v>
      </c>
      <c r="J12713" t="s">
        <v>28881</v>
      </c>
      <c r="K12713" t="s">
        <v>37214</v>
      </c>
      <c r="M12713" t="s">
        <v>37910</v>
      </c>
      <c r="N12713" t="s">
        <v>41249</v>
      </c>
      <c r="O12713" t="s">
        <v>41250</v>
      </c>
      <c r="P12713">
        <v>0</v>
      </c>
      <c r="Q12713">
        <v>2</v>
      </c>
      <c r="R12713" t="s">
        <v>41268</v>
      </c>
      <c r="S12713" t="s">
        <v>42129</v>
      </c>
      <c r="T12713" t="s">
        <v>42679</v>
      </c>
      <c r="U12713" t="s">
        <v>53383</v>
      </c>
      <c r="W12713" t="s">
        <v>37910</v>
      </c>
      <c r="X12713" t="s">
        <v>41270</v>
      </c>
    </row>
    <row r="12714" spans="1:24">
      <c r="A12714">
        <f>HYPERLINK("https://www.philgeps.gov.ph/GEPSNONPILOT/Tender/SplashBidNoticeAbstractUI.aspx?menuIndex=3&amp;refID=7041915&amp;Result=3","7041915")</f>
        <v>0</v>
      </c>
      <c r="B12714" t="s">
        <v>2135</v>
      </c>
      <c r="C12714" t="s">
        <v>15566</v>
      </c>
      <c r="D12714" t="s">
        <v>16616</v>
      </c>
      <c r="E12714" t="s">
        <v>19080</v>
      </c>
      <c r="F12714" t="s">
        <v>28669</v>
      </c>
      <c r="G12714" t="s">
        <v>28675</v>
      </c>
      <c r="H12714" t="s">
        <v>9998</v>
      </c>
      <c r="I12714" t="s">
        <v>7352</v>
      </c>
      <c r="J12714" t="s">
        <v>36576</v>
      </c>
      <c r="K12714" t="s">
        <v>37206</v>
      </c>
      <c r="M12714" t="s">
        <v>39780</v>
      </c>
      <c r="N12714" t="s">
        <v>41249</v>
      </c>
      <c r="O12714" t="s">
        <v>41250</v>
      </c>
      <c r="P12714">
        <v>0</v>
      </c>
      <c r="Q12714">
        <v>0</v>
      </c>
      <c r="R12714" t="s">
        <v>41268</v>
      </c>
      <c r="S12714" t="s">
        <v>42129</v>
      </c>
      <c r="T12714" t="s">
        <v>42837</v>
      </c>
      <c r="U12714" t="s">
        <v>53384</v>
      </c>
      <c r="W12714" t="s">
        <v>39780</v>
      </c>
      <c r="X12714" t="s">
        <v>41272</v>
      </c>
    </row>
    <row r="12715" spans="1:24">
      <c r="A12715">
        <f>HYPERLINK("https://www.philgeps.gov.ph/GEPSNONPILOT/Tender/SplashBidNoticeAbstractUI.aspx?menuIndex=3&amp;refID=7029810&amp;Result=3","7029810")</f>
        <v>0</v>
      </c>
      <c r="B12715" t="s">
        <v>2901</v>
      </c>
      <c r="C12715" t="s">
        <v>11278</v>
      </c>
      <c r="D12715" t="s">
        <v>16610</v>
      </c>
      <c r="E12715" t="s">
        <v>27683</v>
      </c>
      <c r="F12715" t="s">
        <v>28669</v>
      </c>
      <c r="G12715" t="s">
        <v>28675</v>
      </c>
      <c r="H12715" t="s">
        <v>28686</v>
      </c>
      <c r="I12715" t="s">
        <v>28689</v>
      </c>
      <c r="J12715" t="s">
        <v>36577</v>
      </c>
      <c r="K12715" t="s">
        <v>37213</v>
      </c>
      <c r="M12715" t="s">
        <v>40649</v>
      </c>
      <c r="N12715" t="s">
        <v>41249</v>
      </c>
      <c r="O12715" t="s">
        <v>41250</v>
      </c>
      <c r="P12715">
        <v>0</v>
      </c>
      <c r="Q12715">
        <v>2</v>
      </c>
      <c r="R12715" t="s">
        <v>41268</v>
      </c>
      <c r="S12715" t="s">
        <v>42129</v>
      </c>
      <c r="T12715" t="s">
        <v>42706</v>
      </c>
      <c r="U12715" t="s">
        <v>53385</v>
      </c>
      <c r="W12715" t="s">
        <v>40649</v>
      </c>
      <c r="X12715" t="s">
        <v>41278</v>
      </c>
    </row>
    <row r="12716" spans="1:24">
      <c r="A12716">
        <f>HYPERLINK("https://www.philgeps.gov.ph/GEPSNONPILOT/Tender/SplashBidNoticeAbstractUI.aspx?menuIndex=3&amp;refID=6938960&amp;Result=3","6938960")</f>
        <v>0</v>
      </c>
      <c r="B12716" t="s">
        <v>1606</v>
      </c>
      <c r="C12716" t="s">
        <v>15567</v>
      </c>
      <c r="E12716" t="s">
        <v>27684</v>
      </c>
      <c r="F12716" t="s">
        <v>28669</v>
      </c>
      <c r="G12716" t="s">
        <v>28675</v>
      </c>
      <c r="H12716" t="s">
        <v>9998</v>
      </c>
      <c r="I12716" t="s">
        <v>28713</v>
      </c>
      <c r="J12716" t="s">
        <v>28836</v>
      </c>
      <c r="K12716" t="s">
        <v>37209</v>
      </c>
      <c r="M12716" t="s">
        <v>40003</v>
      </c>
      <c r="N12716" t="s">
        <v>41249</v>
      </c>
      <c r="O12716" t="s">
        <v>41250</v>
      </c>
      <c r="Q12716">
        <v>25</v>
      </c>
      <c r="R12716" t="s">
        <v>41268</v>
      </c>
      <c r="S12716" t="s">
        <v>41569</v>
      </c>
      <c r="T12716" t="s">
        <v>42754</v>
      </c>
      <c r="U12716" t="s">
        <v>53293</v>
      </c>
      <c r="W12716" t="s">
        <v>40003</v>
      </c>
      <c r="X12716" t="s">
        <v>41314</v>
      </c>
    </row>
    <row r="12717" spans="1:24">
      <c r="A12717">
        <f>HYPERLINK("https://www.philgeps.gov.ph/GEPSNONPILOT/Tender/SplashBidNoticeAbstractUI.aspx?menuIndex=3&amp;refID=7043844&amp;Result=3","7043844")</f>
        <v>0</v>
      </c>
      <c r="B12717" t="s">
        <v>425</v>
      </c>
      <c r="C12717" t="s">
        <v>15568</v>
      </c>
      <c r="D12717" t="s">
        <v>16653</v>
      </c>
      <c r="E12717" t="s">
        <v>27685</v>
      </c>
      <c r="F12717" t="s">
        <v>28669</v>
      </c>
      <c r="G12717" t="s">
        <v>28675</v>
      </c>
      <c r="H12717" t="s">
        <v>28686</v>
      </c>
      <c r="I12717" t="s">
        <v>28689</v>
      </c>
      <c r="J12717" t="s">
        <v>28881</v>
      </c>
      <c r="K12717" t="s">
        <v>37220</v>
      </c>
      <c r="M12717" t="s">
        <v>37910</v>
      </c>
      <c r="N12717" t="s">
        <v>41249</v>
      </c>
      <c r="O12717" t="s">
        <v>41250</v>
      </c>
      <c r="P12717">
        <v>0</v>
      </c>
      <c r="Q12717">
        <v>2</v>
      </c>
      <c r="R12717" t="s">
        <v>41268</v>
      </c>
      <c r="S12717" t="s">
        <v>42129</v>
      </c>
      <c r="T12717" t="s">
        <v>42679</v>
      </c>
      <c r="U12717" t="s">
        <v>53386</v>
      </c>
      <c r="W12717" t="s">
        <v>37910</v>
      </c>
      <c r="X12717" t="s">
        <v>41270</v>
      </c>
    </row>
    <row r="12718" spans="1:24">
      <c r="A12718">
        <f>HYPERLINK("https://www.philgeps.gov.ph/GEPSNONPILOT/Tender/SplashBidNoticeAbstractUI.aspx?menuIndex=3&amp;refID=7043833&amp;Result=3","7043833")</f>
        <v>0</v>
      </c>
      <c r="B12718" t="s">
        <v>586</v>
      </c>
      <c r="C12718" t="s">
        <v>15569</v>
      </c>
      <c r="D12718" t="s">
        <v>16612</v>
      </c>
      <c r="E12718" t="s">
        <v>27686</v>
      </c>
      <c r="F12718" t="s">
        <v>28669</v>
      </c>
      <c r="G12718" t="s">
        <v>28675</v>
      </c>
      <c r="H12718" t="s">
        <v>28686</v>
      </c>
      <c r="I12718" t="s">
        <v>28689</v>
      </c>
      <c r="J12718" t="s">
        <v>36578</v>
      </c>
      <c r="K12718" t="s">
        <v>37206</v>
      </c>
      <c r="M12718" t="s">
        <v>38085</v>
      </c>
      <c r="N12718" t="s">
        <v>41249</v>
      </c>
      <c r="O12718" t="s">
        <v>41250</v>
      </c>
      <c r="P12718">
        <v>0</v>
      </c>
      <c r="Q12718">
        <v>0</v>
      </c>
      <c r="R12718" t="s">
        <v>41268</v>
      </c>
      <c r="S12718" t="s">
        <v>42129</v>
      </c>
      <c r="T12718" t="s">
        <v>42679</v>
      </c>
      <c r="U12718" t="s">
        <v>53387</v>
      </c>
      <c r="W12718" t="s">
        <v>38085</v>
      </c>
      <c r="X12718" t="s">
        <v>41270</v>
      </c>
    </row>
    <row r="12719" spans="1:24">
      <c r="A12719">
        <f>HYPERLINK("https://www.philgeps.gov.ph/GEPSNONPILOT/Tender/SplashBidNoticeAbstractUI.aspx?menuIndex=3&amp;refID=7043699&amp;Result=3","7043699")</f>
        <v>0</v>
      </c>
      <c r="B12719" t="s">
        <v>3266</v>
      </c>
      <c r="C12719" t="s">
        <v>15570</v>
      </c>
      <c r="D12719" t="s">
        <v>16610</v>
      </c>
      <c r="E12719" t="s">
        <v>27687</v>
      </c>
      <c r="F12719" t="s">
        <v>28669</v>
      </c>
      <c r="G12719" t="s">
        <v>28675</v>
      </c>
      <c r="H12719" t="s">
        <v>9998</v>
      </c>
      <c r="I12719" t="s">
        <v>28743</v>
      </c>
      <c r="J12719" t="s">
        <v>36579</v>
      </c>
      <c r="K12719" t="s">
        <v>37210</v>
      </c>
      <c r="M12719" t="s">
        <v>41092</v>
      </c>
      <c r="N12719" t="s">
        <v>41249</v>
      </c>
      <c r="O12719" t="s">
        <v>41250</v>
      </c>
      <c r="P12719">
        <v>0</v>
      </c>
      <c r="Q12719">
        <v>3</v>
      </c>
      <c r="R12719" t="s">
        <v>41268</v>
      </c>
      <c r="S12719" t="s">
        <v>42129</v>
      </c>
      <c r="T12719" t="s">
        <v>42711</v>
      </c>
      <c r="U12719" t="s">
        <v>53367</v>
      </c>
      <c r="W12719" t="s">
        <v>41092</v>
      </c>
      <c r="X12719" t="s">
        <v>41270</v>
      </c>
    </row>
    <row r="12720" spans="1:24">
      <c r="A12720">
        <f>HYPERLINK("https://www.philgeps.gov.ph/GEPSNONPILOT/Tender/SplashBidNoticeAbstractUI.aspx?menuIndex=3&amp;refID=7043835&amp;Result=3","7043835")</f>
        <v>0</v>
      </c>
      <c r="B12720" t="s">
        <v>586</v>
      </c>
      <c r="C12720" t="s">
        <v>15571</v>
      </c>
      <c r="D12720" t="s">
        <v>16612</v>
      </c>
      <c r="E12720" t="s">
        <v>27688</v>
      </c>
      <c r="F12720" t="s">
        <v>28669</v>
      </c>
      <c r="G12720" t="s">
        <v>28675</v>
      </c>
      <c r="H12720" t="s">
        <v>28686</v>
      </c>
      <c r="I12720" t="s">
        <v>28689</v>
      </c>
      <c r="J12720" t="s">
        <v>36580</v>
      </c>
      <c r="K12720" t="s">
        <v>37215</v>
      </c>
      <c r="M12720" t="s">
        <v>38085</v>
      </c>
      <c r="N12720" t="s">
        <v>41249</v>
      </c>
      <c r="O12720" t="s">
        <v>41250</v>
      </c>
      <c r="P12720">
        <v>0</v>
      </c>
      <c r="Q12720">
        <v>1</v>
      </c>
      <c r="R12720" t="s">
        <v>41268</v>
      </c>
      <c r="S12720" t="s">
        <v>42129</v>
      </c>
      <c r="T12720" t="s">
        <v>42679</v>
      </c>
      <c r="U12720" t="s">
        <v>53388</v>
      </c>
      <c r="W12720" t="s">
        <v>38085</v>
      </c>
      <c r="X12720" t="s">
        <v>41270</v>
      </c>
    </row>
    <row r="12721" spans="1:24">
      <c r="A12721">
        <f>HYPERLINK("https://www.philgeps.gov.ph/GEPSNONPILOT/Tender/SplashBidNoticeAbstractUI.aspx?menuIndex=3&amp;refID=7043832&amp;Result=3","7043832")</f>
        <v>0</v>
      </c>
      <c r="B12721" t="s">
        <v>425</v>
      </c>
      <c r="C12721" t="s">
        <v>15572</v>
      </c>
      <c r="D12721" t="s">
        <v>16653</v>
      </c>
      <c r="E12721" t="s">
        <v>27689</v>
      </c>
      <c r="F12721" t="s">
        <v>28669</v>
      </c>
      <c r="G12721" t="s">
        <v>28675</v>
      </c>
      <c r="H12721" t="s">
        <v>28686</v>
      </c>
      <c r="I12721" t="s">
        <v>28689</v>
      </c>
      <c r="J12721" t="s">
        <v>28881</v>
      </c>
      <c r="K12721" t="s">
        <v>37214</v>
      </c>
      <c r="M12721" t="s">
        <v>37910</v>
      </c>
      <c r="N12721" t="s">
        <v>41249</v>
      </c>
      <c r="O12721" t="s">
        <v>41250</v>
      </c>
      <c r="P12721">
        <v>0</v>
      </c>
      <c r="Q12721">
        <v>2</v>
      </c>
      <c r="R12721" t="s">
        <v>41268</v>
      </c>
      <c r="S12721" t="s">
        <v>42129</v>
      </c>
      <c r="T12721" t="s">
        <v>42679</v>
      </c>
      <c r="U12721" t="s">
        <v>53389</v>
      </c>
      <c r="W12721" t="s">
        <v>37910</v>
      </c>
      <c r="X12721" t="s">
        <v>41270</v>
      </c>
    </row>
    <row r="12722" spans="1:24">
      <c r="A12722">
        <f>HYPERLINK("https://www.philgeps.gov.ph/GEPSNONPILOT/Tender/SplashBidNoticeAbstractUI.aspx?menuIndex=3&amp;refID=7043788&amp;Result=3","7043788")</f>
        <v>0</v>
      </c>
      <c r="B12722" t="s">
        <v>3264</v>
      </c>
      <c r="C12722" t="s">
        <v>15573</v>
      </c>
      <c r="D12722" t="s">
        <v>16649</v>
      </c>
      <c r="E12722" t="s">
        <v>27690</v>
      </c>
      <c r="F12722" t="s">
        <v>28669</v>
      </c>
      <c r="G12722" t="s">
        <v>28675</v>
      </c>
      <c r="H12722" t="s">
        <v>9998</v>
      </c>
      <c r="I12722" t="s">
        <v>28751</v>
      </c>
      <c r="J12722" t="s">
        <v>36581</v>
      </c>
      <c r="K12722" t="s">
        <v>37220</v>
      </c>
      <c r="M12722" t="s">
        <v>41090</v>
      </c>
      <c r="N12722" t="s">
        <v>41249</v>
      </c>
      <c r="O12722" t="s">
        <v>41250</v>
      </c>
      <c r="P12722">
        <v>0</v>
      </c>
      <c r="Q12722">
        <v>3</v>
      </c>
      <c r="R12722" t="s">
        <v>41268</v>
      </c>
      <c r="S12722" t="s">
        <v>42129</v>
      </c>
      <c r="T12722" t="s">
        <v>42739</v>
      </c>
      <c r="U12722" t="s">
        <v>53390</v>
      </c>
      <c r="W12722" t="s">
        <v>41090</v>
      </c>
      <c r="X12722" t="s">
        <v>41270</v>
      </c>
    </row>
    <row r="12723" spans="1:24">
      <c r="A12723">
        <f>HYPERLINK("https://www.philgeps.gov.ph/GEPSNONPILOT/Tender/SplashBidNoticeAbstractUI.aspx?menuIndex=3&amp;refID=7043846&amp;Result=3","7043846")</f>
        <v>0</v>
      </c>
      <c r="B12723" t="s">
        <v>425</v>
      </c>
      <c r="C12723" t="s">
        <v>15574</v>
      </c>
      <c r="D12723" t="s">
        <v>16653</v>
      </c>
      <c r="E12723" t="s">
        <v>27691</v>
      </c>
      <c r="F12723" t="s">
        <v>28669</v>
      </c>
      <c r="G12723" t="s">
        <v>28675</v>
      </c>
      <c r="H12723" t="s">
        <v>28686</v>
      </c>
      <c r="I12723" t="s">
        <v>28689</v>
      </c>
      <c r="J12723" t="s">
        <v>29266</v>
      </c>
      <c r="K12723" t="s">
        <v>37214</v>
      </c>
      <c r="M12723" t="s">
        <v>37910</v>
      </c>
      <c r="N12723" t="s">
        <v>41249</v>
      </c>
      <c r="O12723" t="s">
        <v>41250</v>
      </c>
      <c r="P12723">
        <v>0</v>
      </c>
      <c r="Q12723">
        <v>2</v>
      </c>
      <c r="R12723" t="s">
        <v>41268</v>
      </c>
      <c r="S12723" t="s">
        <v>42129</v>
      </c>
      <c r="T12723" t="s">
        <v>42679</v>
      </c>
      <c r="U12723" t="s">
        <v>53391</v>
      </c>
      <c r="W12723" t="s">
        <v>37910</v>
      </c>
      <c r="X12723" t="s">
        <v>41270</v>
      </c>
    </row>
    <row r="12724" spans="1:24">
      <c r="A12724">
        <f>HYPERLINK("https://www.philgeps.gov.ph/GEPSNONPILOT/Tender/SplashBidNoticeAbstractUI.aspx?menuIndex=3&amp;refID=7043777&amp;Result=3","7043777")</f>
        <v>0</v>
      </c>
      <c r="B12724" t="s">
        <v>3264</v>
      </c>
      <c r="C12724" t="s">
        <v>15575</v>
      </c>
      <c r="D12724" t="s">
        <v>16683</v>
      </c>
      <c r="E12724" t="s">
        <v>27692</v>
      </c>
      <c r="F12724" t="s">
        <v>28669</v>
      </c>
      <c r="G12724" t="s">
        <v>28675</v>
      </c>
      <c r="H12724" t="s">
        <v>9998</v>
      </c>
      <c r="I12724" t="s">
        <v>28751</v>
      </c>
      <c r="J12724" t="s">
        <v>28838</v>
      </c>
      <c r="K12724" t="s">
        <v>37220</v>
      </c>
      <c r="M12724" t="s">
        <v>41090</v>
      </c>
      <c r="N12724" t="s">
        <v>41249</v>
      </c>
      <c r="O12724" t="s">
        <v>41250</v>
      </c>
      <c r="P12724">
        <v>0</v>
      </c>
      <c r="Q12724">
        <v>0</v>
      </c>
      <c r="R12724" t="s">
        <v>41268</v>
      </c>
      <c r="S12724" t="s">
        <v>42129</v>
      </c>
      <c r="T12724" t="s">
        <v>42739</v>
      </c>
      <c r="U12724" t="s">
        <v>53392</v>
      </c>
      <c r="W12724" t="s">
        <v>41090</v>
      </c>
      <c r="X12724" t="s">
        <v>41270</v>
      </c>
    </row>
    <row r="12725" spans="1:24">
      <c r="A12725">
        <f>HYPERLINK("https://www.philgeps.gov.ph/GEPSNONPILOT/Tender/SplashBidNoticeAbstractUI.aspx?menuIndex=3&amp;refID=7043786&amp;Result=3","7043786")</f>
        <v>0</v>
      </c>
      <c r="B12725" t="s">
        <v>3264</v>
      </c>
      <c r="C12725" t="s">
        <v>15576</v>
      </c>
      <c r="D12725" t="s">
        <v>16649</v>
      </c>
      <c r="E12725" t="s">
        <v>27693</v>
      </c>
      <c r="F12725" t="s">
        <v>28669</v>
      </c>
      <c r="G12725" t="s">
        <v>28675</v>
      </c>
      <c r="H12725" t="s">
        <v>9998</v>
      </c>
      <c r="I12725" t="s">
        <v>28751</v>
      </c>
      <c r="J12725" t="s">
        <v>36582</v>
      </c>
      <c r="K12725" t="s">
        <v>37220</v>
      </c>
      <c r="M12725" t="s">
        <v>41090</v>
      </c>
      <c r="N12725" t="s">
        <v>41249</v>
      </c>
      <c r="O12725" t="s">
        <v>41250</v>
      </c>
      <c r="P12725">
        <v>0</v>
      </c>
      <c r="Q12725">
        <v>4</v>
      </c>
      <c r="R12725" t="s">
        <v>41268</v>
      </c>
      <c r="S12725" t="s">
        <v>42129</v>
      </c>
      <c r="T12725" t="s">
        <v>42739</v>
      </c>
      <c r="U12725" t="s">
        <v>53393</v>
      </c>
      <c r="W12725" t="s">
        <v>41090</v>
      </c>
      <c r="X12725" t="s">
        <v>41270</v>
      </c>
    </row>
    <row r="12726" spans="1:24">
      <c r="A12726">
        <f>HYPERLINK("https://www.philgeps.gov.ph/GEPSNONPILOT/Tender/SplashBidNoticeAbstractUI.aspx?menuIndex=3&amp;refID=7043783&amp;Result=3","7043783")</f>
        <v>0</v>
      </c>
      <c r="B12726" t="s">
        <v>3264</v>
      </c>
      <c r="C12726" t="s">
        <v>15531</v>
      </c>
      <c r="D12726" t="s">
        <v>16649</v>
      </c>
      <c r="E12726" t="s">
        <v>27694</v>
      </c>
      <c r="F12726" t="s">
        <v>28669</v>
      </c>
      <c r="G12726" t="s">
        <v>28675</v>
      </c>
      <c r="H12726" t="s">
        <v>9998</v>
      </c>
      <c r="I12726" t="s">
        <v>28751</v>
      </c>
      <c r="J12726" t="s">
        <v>36583</v>
      </c>
      <c r="K12726" t="s">
        <v>37220</v>
      </c>
      <c r="M12726" t="s">
        <v>41090</v>
      </c>
      <c r="N12726" t="s">
        <v>41249</v>
      </c>
      <c r="O12726" t="s">
        <v>41250</v>
      </c>
      <c r="P12726">
        <v>0</v>
      </c>
      <c r="Q12726">
        <v>3</v>
      </c>
      <c r="R12726" t="s">
        <v>41268</v>
      </c>
      <c r="S12726" t="s">
        <v>42129</v>
      </c>
      <c r="T12726" t="s">
        <v>42739</v>
      </c>
      <c r="U12726" t="s">
        <v>53355</v>
      </c>
      <c r="W12726" t="s">
        <v>41090</v>
      </c>
      <c r="X12726" t="s">
        <v>41270</v>
      </c>
    </row>
    <row r="12727" spans="1:24">
      <c r="A12727">
        <f>HYPERLINK("https://www.philgeps.gov.ph/GEPSNONPILOT/Tender/SplashBidNoticeAbstractUI.aspx?menuIndex=3&amp;refID=7043781&amp;Result=3","7043781")</f>
        <v>0</v>
      </c>
      <c r="B12727" t="s">
        <v>3264</v>
      </c>
      <c r="C12727" t="s">
        <v>15577</v>
      </c>
      <c r="D12727" t="s">
        <v>16649</v>
      </c>
      <c r="E12727" t="s">
        <v>27695</v>
      </c>
      <c r="F12727" t="s">
        <v>28669</v>
      </c>
      <c r="G12727" t="s">
        <v>28675</v>
      </c>
      <c r="H12727" t="s">
        <v>9998</v>
      </c>
      <c r="I12727" t="s">
        <v>28751</v>
      </c>
      <c r="J12727" t="s">
        <v>36584</v>
      </c>
      <c r="K12727" t="s">
        <v>37220</v>
      </c>
      <c r="M12727" t="s">
        <v>41090</v>
      </c>
      <c r="N12727" t="s">
        <v>41249</v>
      </c>
      <c r="O12727" t="s">
        <v>41250</v>
      </c>
      <c r="P12727">
        <v>0</v>
      </c>
      <c r="Q12727">
        <v>5</v>
      </c>
      <c r="R12727" t="s">
        <v>41268</v>
      </c>
      <c r="S12727" t="s">
        <v>42129</v>
      </c>
      <c r="T12727" t="s">
        <v>42739</v>
      </c>
      <c r="U12727" t="s">
        <v>53393</v>
      </c>
      <c r="W12727" t="s">
        <v>41090</v>
      </c>
      <c r="X12727" t="s">
        <v>41270</v>
      </c>
    </row>
    <row r="12728" spans="1:24">
      <c r="A12728">
        <f>HYPERLINK("https://www.philgeps.gov.ph/GEPSNONPILOT/Tender/SplashBidNoticeAbstractUI.aspx?menuIndex=3&amp;refID=7043780&amp;Result=3","7043780")</f>
        <v>0</v>
      </c>
      <c r="B12728" t="s">
        <v>3264</v>
      </c>
      <c r="C12728" t="s">
        <v>15578</v>
      </c>
      <c r="D12728" t="s">
        <v>16683</v>
      </c>
      <c r="E12728" t="s">
        <v>27696</v>
      </c>
      <c r="F12728" t="s">
        <v>28669</v>
      </c>
      <c r="G12728" t="s">
        <v>28675</v>
      </c>
      <c r="H12728" t="s">
        <v>9998</v>
      </c>
      <c r="I12728" t="s">
        <v>28751</v>
      </c>
      <c r="J12728" t="s">
        <v>36585</v>
      </c>
      <c r="K12728" t="s">
        <v>37220</v>
      </c>
      <c r="M12728" t="s">
        <v>41090</v>
      </c>
      <c r="N12728" t="s">
        <v>41249</v>
      </c>
      <c r="O12728" t="s">
        <v>41250</v>
      </c>
      <c r="P12728">
        <v>0</v>
      </c>
      <c r="Q12728">
        <v>0</v>
      </c>
      <c r="R12728" t="s">
        <v>41268</v>
      </c>
      <c r="S12728" t="s">
        <v>42129</v>
      </c>
      <c r="T12728" t="s">
        <v>42739</v>
      </c>
      <c r="U12728" t="s">
        <v>53373</v>
      </c>
      <c r="W12728" t="s">
        <v>41090</v>
      </c>
      <c r="X12728" t="s">
        <v>41270</v>
      </c>
    </row>
    <row r="12729" spans="1:24">
      <c r="A12729">
        <f>HYPERLINK("https://www.philgeps.gov.ph/GEPSNONPILOT/Tender/SplashBidNoticeAbstractUI.aspx?menuIndex=3&amp;refID=7043872&amp;Result=3","7043872")</f>
        <v>0</v>
      </c>
      <c r="B12729" t="s">
        <v>3268</v>
      </c>
      <c r="C12729" t="s">
        <v>15579</v>
      </c>
      <c r="D12729" t="s">
        <v>16631</v>
      </c>
      <c r="E12729" t="s">
        <v>27697</v>
      </c>
      <c r="F12729" t="s">
        <v>28669</v>
      </c>
      <c r="G12729" t="s">
        <v>28679</v>
      </c>
      <c r="H12729" t="s">
        <v>9998</v>
      </c>
      <c r="I12729" t="s">
        <v>28688</v>
      </c>
      <c r="J12729" t="s">
        <v>36586</v>
      </c>
      <c r="K12729" t="s">
        <v>37205</v>
      </c>
      <c r="M12729" t="s">
        <v>41096</v>
      </c>
      <c r="N12729" t="s">
        <v>41249</v>
      </c>
      <c r="O12729" t="s">
        <v>41250</v>
      </c>
      <c r="P12729">
        <v>0</v>
      </c>
      <c r="Q12729">
        <v>6</v>
      </c>
      <c r="R12729" t="s">
        <v>41268</v>
      </c>
      <c r="S12729" t="s">
        <v>42129</v>
      </c>
      <c r="T12729" t="s">
        <v>42764</v>
      </c>
      <c r="U12729" t="s">
        <v>53394</v>
      </c>
      <c r="V12729" t="s">
        <v>55776</v>
      </c>
      <c r="W12729" t="s">
        <v>41096</v>
      </c>
      <c r="X12729" t="s">
        <v>41270</v>
      </c>
    </row>
    <row r="12730" spans="1:24">
      <c r="A12730">
        <f>HYPERLINK("https://www.philgeps.gov.ph/GEPSNONPILOT/Tender/SplashBidNoticeAbstractUI.aspx?menuIndex=3&amp;refID=7044033&amp;Result=3","7044033")</f>
        <v>0</v>
      </c>
      <c r="B12730" t="s">
        <v>1544</v>
      </c>
      <c r="C12730" t="s">
        <v>15580</v>
      </c>
      <c r="D12730" t="s">
        <v>16676</v>
      </c>
      <c r="E12730" t="s">
        <v>27698</v>
      </c>
      <c r="F12730" t="s">
        <v>28669</v>
      </c>
      <c r="G12730" t="s">
        <v>28675</v>
      </c>
      <c r="H12730" t="s">
        <v>28686</v>
      </c>
      <c r="I12730" t="s">
        <v>28725</v>
      </c>
      <c r="J12730" t="s">
        <v>36587</v>
      </c>
      <c r="K12730" t="s">
        <v>37215</v>
      </c>
      <c r="M12730" t="s">
        <v>39119</v>
      </c>
      <c r="N12730" t="s">
        <v>41249</v>
      </c>
      <c r="O12730" t="s">
        <v>41250</v>
      </c>
      <c r="P12730">
        <v>0</v>
      </c>
      <c r="Q12730">
        <v>2</v>
      </c>
      <c r="R12730" t="s">
        <v>41268</v>
      </c>
      <c r="S12730" t="s">
        <v>42129</v>
      </c>
      <c r="T12730" t="s">
        <v>42711</v>
      </c>
      <c r="U12730" t="s">
        <v>53395</v>
      </c>
      <c r="V12730" t="s">
        <v>55773</v>
      </c>
      <c r="W12730" t="s">
        <v>39119</v>
      </c>
      <c r="X12730" t="s">
        <v>41269</v>
      </c>
    </row>
    <row r="12731" spans="1:24">
      <c r="A12731">
        <f>HYPERLINK("https://www.philgeps.gov.ph/GEPSNONPILOT/Tender/SplashBidNoticeAbstractUI.aspx?menuIndex=3&amp;refID=7043847&amp;Result=3","7043847")</f>
        <v>0</v>
      </c>
      <c r="B12731" t="s">
        <v>100</v>
      </c>
      <c r="C12731" t="s">
        <v>15581</v>
      </c>
      <c r="D12731" t="s">
        <v>16608</v>
      </c>
      <c r="E12731" t="s">
        <v>27699</v>
      </c>
      <c r="F12731" t="s">
        <v>28669</v>
      </c>
      <c r="G12731" t="s">
        <v>28675</v>
      </c>
      <c r="H12731" t="s">
        <v>9998</v>
      </c>
      <c r="I12731" t="s">
        <v>11593</v>
      </c>
      <c r="J12731" t="s">
        <v>36588</v>
      </c>
      <c r="K12731" t="s">
        <v>37272</v>
      </c>
      <c r="M12731" t="s">
        <v>37580</v>
      </c>
      <c r="N12731" t="s">
        <v>41249</v>
      </c>
      <c r="O12731" t="s">
        <v>41250</v>
      </c>
      <c r="Q12731">
        <v>5</v>
      </c>
      <c r="R12731" t="s">
        <v>41268</v>
      </c>
      <c r="S12731" t="s">
        <v>42147</v>
      </c>
      <c r="T12731" t="s">
        <v>42783</v>
      </c>
      <c r="U12731" t="s">
        <v>43333</v>
      </c>
      <c r="V12731" t="s">
        <v>55777</v>
      </c>
      <c r="W12731" t="s">
        <v>37580</v>
      </c>
      <c r="X12731" t="s">
        <v>41270</v>
      </c>
    </row>
    <row r="12732" spans="1:24">
      <c r="A12732">
        <f>HYPERLINK("https://www.philgeps.gov.ph/GEPSNONPILOT/Tender/SplashBidNoticeAbstractUI.aspx?menuIndex=3&amp;refID=7043822&amp;Result=3","7043822")</f>
        <v>0</v>
      </c>
      <c r="B12732" t="s">
        <v>586</v>
      </c>
      <c r="C12732" t="s">
        <v>15582</v>
      </c>
      <c r="D12732" t="s">
        <v>16612</v>
      </c>
      <c r="E12732" t="s">
        <v>27700</v>
      </c>
      <c r="F12732" t="s">
        <v>28669</v>
      </c>
      <c r="G12732" t="s">
        <v>28675</v>
      </c>
      <c r="H12732" t="s">
        <v>28686</v>
      </c>
      <c r="I12732" t="s">
        <v>28689</v>
      </c>
      <c r="J12732" t="s">
        <v>36589</v>
      </c>
      <c r="K12732" t="s">
        <v>37233</v>
      </c>
      <c r="M12732" t="s">
        <v>38085</v>
      </c>
      <c r="N12732" t="s">
        <v>41249</v>
      </c>
      <c r="O12732" t="s">
        <v>41250</v>
      </c>
      <c r="P12732">
        <v>0</v>
      </c>
      <c r="Q12732">
        <v>0</v>
      </c>
      <c r="R12732" t="s">
        <v>41268</v>
      </c>
      <c r="S12732" t="s">
        <v>42129</v>
      </c>
      <c r="T12732" t="s">
        <v>42679</v>
      </c>
      <c r="U12732" t="s">
        <v>53396</v>
      </c>
      <c r="W12732" t="s">
        <v>38085</v>
      </c>
      <c r="X12732" t="s">
        <v>41270</v>
      </c>
    </row>
    <row r="12733" spans="1:24">
      <c r="A12733">
        <f>HYPERLINK("https://www.philgeps.gov.ph/GEPSNONPILOT/Tender/SplashBidNoticeAbstractUI.aspx?menuIndex=3&amp;refID=7044032&amp;Result=3","7044032")</f>
        <v>0</v>
      </c>
      <c r="B12733" t="s">
        <v>1544</v>
      </c>
      <c r="C12733" t="s">
        <v>15583</v>
      </c>
      <c r="D12733" t="s">
        <v>16676</v>
      </c>
      <c r="E12733" t="s">
        <v>27701</v>
      </c>
      <c r="F12733" t="s">
        <v>28669</v>
      </c>
      <c r="G12733" t="s">
        <v>28675</v>
      </c>
      <c r="H12733" t="s">
        <v>28686</v>
      </c>
      <c r="I12733" t="s">
        <v>28725</v>
      </c>
      <c r="J12733" t="s">
        <v>36590</v>
      </c>
      <c r="K12733" t="s">
        <v>37215</v>
      </c>
      <c r="M12733" t="s">
        <v>39119</v>
      </c>
      <c r="N12733" t="s">
        <v>41249</v>
      </c>
      <c r="O12733" t="s">
        <v>41250</v>
      </c>
      <c r="P12733">
        <v>0</v>
      </c>
      <c r="Q12733">
        <v>2</v>
      </c>
      <c r="R12733" t="s">
        <v>41268</v>
      </c>
      <c r="S12733" t="s">
        <v>42129</v>
      </c>
      <c r="T12733" t="s">
        <v>42711</v>
      </c>
      <c r="U12733" t="s">
        <v>53397</v>
      </c>
      <c r="V12733" t="s">
        <v>55773</v>
      </c>
      <c r="W12733" t="s">
        <v>39119</v>
      </c>
      <c r="X12733" t="s">
        <v>41269</v>
      </c>
    </row>
    <row r="12734" spans="1:24">
      <c r="A12734">
        <f>HYPERLINK("https://www.philgeps.gov.ph/GEPSNONPILOT/Tender/SplashBidNoticeAbstractUI.aspx?menuIndex=3&amp;refID=7044019&amp;Result=3","7044019")</f>
        <v>0</v>
      </c>
      <c r="B12734" t="s">
        <v>3269</v>
      </c>
      <c r="C12734" t="s">
        <v>15584</v>
      </c>
      <c r="D12734" t="s">
        <v>16608</v>
      </c>
      <c r="E12734" t="s">
        <v>27702</v>
      </c>
      <c r="F12734" t="s">
        <v>28669</v>
      </c>
      <c r="G12734" t="s">
        <v>28675</v>
      </c>
      <c r="H12734" t="s">
        <v>9998</v>
      </c>
      <c r="I12734" t="s">
        <v>3658</v>
      </c>
      <c r="J12734" t="s">
        <v>28905</v>
      </c>
      <c r="K12734" t="s">
        <v>37209</v>
      </c>
      <c r="M12734" t="s">
        <v>41097</v>
      </c>
      <c r="N12734" t="s">
        <v>41249</v>
      </c>
      <c r="O12734" t="s">
        <v>41250</v>
      </c>
      <c r="P12734">
        <v>0</v>
      </c>
      <c r="Q12734">
        <v>6</v>
      </c>
      <c r="R12734" t="s">
        <v>41268</v>
      </c>
      <c r="S12734" t="s">
        <v>42129</v>
      </c>
      <c r="T12734" t="s">
        <v>42744</v>
      </c>
      <c r="U12734" t="s">
        <v>53398</v>
      </c>
      <c r="W12734" t="s">
        <v>41097</v>
      </c>
      <c r="X12734" t="s">
        <v>41269</v>
      </c>
    </row>
    <row r="12735" spans="1:24">
      <c r="A12735">
        <f>HYPERLINK("https://www.philgeps.gov.ph/GEPSNONPILOT/Tender/SplashBidNoticeAbstractUI.aspx?menuIndex=3&amp;refID=7044008&amp;Result=3","7044008")</f>
        <v>0</v>
      </c>
      <c r="B12735" t="s">
        <v>3269</v>
      </c>
      <c r="C12735" t="s">
        <v>15585</v>
      </c>
      <c r="D12735" t="s">
        <v>16608</v>
      </c>
      <c r="E12735" t="s">
        <v>27703</v>
      </c>
      <c r="F12735" t="s">
        <v>28669</v>
      </c>
      <c r="G12735" t="s">
        <v>28675</v>
      </c>
      <c r="H12735" t="s">
        <v>28686</v>
      </c>
      <c r="I12735" t="s">
        <v>28726</v>
      </c>
      <c r="J12735" t="s">
        <v>28924</v>
      </c>
      <c r="K12735" t="s">
        <v>37209</v>
      </c>
      <c r="M12735" t="s">
        <v>41097</v>
      </c>
      <c r="N12735" t="s">
        <v>41249</v>
      </c>
      <c r="O12735" t="s">
        <v>41250</v>
      </c>
      <c r="P12735">
        <v>0</v>
      </c>
      <c r="Q12735">
        <v>12</v>
      </c>
      <c r="R12735" t="s">
        <v>41268</v>
      </c>
      <c r="S12735" t="s">
        <v>42129</v>
      </c>
      <c r="T12735" t="s">
        <v>42754</v>
      </c>
      <c r="U12735" t="s">
        <v>53399</v>
      </c>
      <c r="W12735" t="s">
        <v>41097</v>
      </c>
      <c r="X12735" t="s">
        <v>41269</v>
      </c>
    </row>
    <row r="12736" spans="1:24">
      <c r="A12736">
        <f>HYPERLINK("https://www.philgeps.gov.ph/GEPSNONPILOT/Tender/SplashBidNoticeAbstractUI.aspx?menuIndex=3&amp;refID=7044016&amp;Result=3","7044016")</f>
        <v>0</v>
      </c>
      <c r="B12736" t="s">
        <v>2856</v>
      </c>
      <c r="C12736" t="s">
        <v>15586</v>
      </c>
      <c r="D12736" t="s">
        <v>16629</v>
      </c>
      <c r="E12736" t="s">
        <v>27704</v>
      </c>
      <c r="F12736" t="s">
        <v>28669</v>
      </c>
      <c r="G12736" t="s">
        <v>28675</v>
      </c>
      <c r="H12736" t="s">
        <v>9998</v>
      </c>
      <c r="I12736" t="s">
        <v>28687</v>
      </c>
      <c r="J12736" t="s">
        <v>29927</v>
      </c>
      <c r="K12736" t="s">
        <v>37243</v>
      </c>
      <c r="M12736" t="s">
        <v>40595</v>
      </c>
      <c r="N12736" t="s">
        <v>41249</v>
      </c>
      <c r="O12736" t="s">
        <v>41250</v>
      </c>
      <c r="P12736">
        <v>0</v>
      </c>
      <c r="Q12736">
        <v>5</v>
      </c>
      <c r="R12736" t="s">
        <v>41268</v>
      </c>
      <c r="S12736" t="s">
        <v>42129</v>
      </c>
      <c r="T12736" t="s">
        <v>42673</v>
      </c>
      <c r="U12736" t="s">
        <v>53400</v>
      </c>
      <c r="W12736" t="s">
        <v>40595</v>
      </c>
      <c r="X12736" t="s">
        <v>41269</v>
      </c>
    </row>
    <row r="12737" spans="1:24">
      <c r="A12737">
        <f>HYPERLINK("https://www.philgeps.gov.ph/GEPSNONPILOT/Tender/SplashBidNoticeAbstractUI.aspx?menuIndex=3&amp;refID=7043826&amp;Result=3","7043826")</f>
        <v>0</v>
      </c>
      <c r="B12737" t="s">
        <v>586</v>
      </c>
      <c r="C12737" t="s">
        <v>15587</v>
      </c>
      <c r="D12737" t="s">
        <v>16612</v>
      </c>
      <c r="E12737" t="s">
        <v>27705</v>
      </c>
      <c r="F12737" t="s">
        <v>28669</v>
      </c>
      <c r="G12737" t="s">
        <v>28675</v>
      </c>
      <c r="H12737" t="s">
        <v>28686</v>
      </c>
      <c r="I12737" t="s">
        <v>28689</v>
      </c>
      <c r="J12737" t="s">
        <v>36591</v>
      </c>
      <c r="K12737" t="s">
        <v>37217</v>
      </c>
      <c r="M12737" t="s">
        <v>38085</v>
      </c>
      <c r="N12737" t="s">
        <v>41249</v>
      </c>
      <c r="O12737" t="s">
        <v>41250</v>
      </c>
      <c r="P12737">
        <v>0</v>
      </c>
      <c r="Q12737">
        <v>0</v>
      </c>
      <c r="R12737" t="s">
        <v>41268</v>
      </c>
      <c r="S12737" t="s">
        <v>42129</v>
      </c>
      <c r="T12737" t="s">
        <v>42679</v>
      </c>
      <c r="U12737" t="s">
        <v>53401</v>
      </c>
      <c r="W12737" t="s">
        <v>38085</v>
      </c>
      <c r="X12737" t="s">
        <v>41270</v>
      </c>
    </row>
    <row r="12738" spans="1:24">
      <c r="A12738">
        <f>HYPERLINK("https://www.philgeps.gov.ph/GEPSNONPILOT/Tender/SplashBidNoticeAbstractUI.aspx?menuIndex=3&amp;refID=7044034&amp;Result=3","7044034")</f>
        <v>0</v>
      </c>
      <c r="B12738" t="s">
        <v>1544</v>
      </c>
      <c r="C12738" t="s">
        <v>15588</v>
      </c>
      <c r="D12738" t="s">
        <v>16676</v>
      </c>
      <c r="E12738" t="s">
        <v>27706</v>
      </c>
      <c r="F12738" t="s">
        <v>28669</v>
      </c>
      <c r="G12738" t="s">
        <v>28675</v>
      </c>
      <c r="H12738" t="s">
        <v>28686</v>
      </c>
      <c r="I12738" t="s">
        <v>28725</v>
      </c>
      <c r="J12738" t="s">
        <v>36592</v>
      </c>
      <c r="K12738" t="s">
        <v>37215</v>
      </c>
      <c r="M12738" t="s">
        <v>39119</v>
      </c>
      <c r="N12738" t="s">
        <v>41249</v>
      </c>
      <c r="O12738" t="s">
        <v>41250</v>
      </c>
      <c r="P12738">
        <v>0</v>
      </c>
      <c r="Q12738">
        <v>2</v>
      </c>
      <c r="R12738" t="s">
        <v>41268</v>
      </c>
      <c r="S12738" t="s">
        <v>42129</v>
      </c>
      <c r="T12738" t="s">
        <v>42711</v>
      </c>
      <c r="U12738" t="s">
        <v>53402</v>
      </c>
      <c r="V12738" t="s">
        <v>55773</v>
      </c>
      <c r="W12738" t="s">
        <v>39119</v>
      </c>
      <c r="X12738" t="s">
        <v>41269</v>
      </c>
    </row>
    <row r="12739" spans="1:24">
      <c r="A12739">
        <f>HYPERLINK("https://www.philgeps.gov.ph/GEPSNONPILOT/Tender/SplashBidNoticeAbstractUI.aspx?menuIndex=3&amp;refID=7043932&amp;Result=3","7043932")</f>
        <v>0</v>
      </c>
      <c r="B12739" t="s">
        <v>3270</v>
      </c>
      <c r="C12739" t="s">
        <v>15589</v>
      </c>
      <c r="D12739" t="s">
        <v>16667</v>
      </c>
      <c r="E12739" t="s">
        <v>27707</v>
      </c>
      <c r="F12739" t="s">
        <v>28669</v>
      </c>
      <c r="G12739" t="s">
        <v>28675</v>
      </c>
      <c r="H12739" t="s">
        <v>28686</v>
      </c>
      <c r="I12739" t="s">
        <v>28689</v>
      </c>
      <c r="J12739" t="s">
        <v>36593</v>
      </c>
      <c r="K12739" t="s">
        <v>37215</v>
      </c>
      <c r="M12739" t="s">
        <v>41098</v>
      </c>
      <c r="N12739" t="s">
        <v>41249</v>
      </c>
      <c r="O12739" t="s">
        <v>41250</v>
      </c>
      <c r="Q12739">
        <v>39</v>
      </c>
      <c r="R12739" t="s">
        <v>41268</v>
      </c>
      <c r="S12739" t="s">
        <v>42148</v>
      </c>
      <c r="T12739" t="s">
        <v>42673</v>
      </c>
      <c r="U12739" t="s">
        <v>53403</v>
      </c>
      <c r="W12739" t="s">
        <v>41098</v>
      </c>
      <c r="X12739" t="s">
        <v>41269</v>
      </c>
    </row>
    <row r="12740" spans="1:24">
      <c r="A12740">
        <f>HYPERLINK("https://www.philgeps.gov.ph/GEPSNONPILOT/Tender/SplashBidNoticeAbstractUI.aspx?menuIndex=3&amp;refID=7043843&amp;Result=3","7043843")</f>
        <v>0</v>
      </c>
      <c r="B12740" t="s">
        <v>586</v>
      </c>
      <c r="C12740" t="s">
        <v>15590</v>
      </c>
      <c r="D12740" t="s">
        <v>16612</v>
      </c>
      <c r="E12740" t="s">
        <v>27708</v>
      </c>
      <c r="F12740" t="s">
        <v>28669</v>
      </c>
      <c r="G12740" t="s">
        <v>28675</v>
      </c>
      <c r="H12740" t="s">
        <v>28686</v>
      </c>
      <c r="I12740" t="s">
        <v>28689</v>
      </c>
      <c r="J12740" t="s">
        <v>36594</v>
      </c>
      <c r="K12740" t="s">
        <v>37220</v>
      </c>
      <c r="M12740" t="s">
        <v>38085</v>
      </c>
      <c r="N12740" t="s">
        <v>41249</v>
      </c>
      <c r="O12740" t="s">
        <v>41250</v>
      </c>
      <c r="P12740">
        <v>0</v>
      </c>
      <c r="Q12740">
        <v>0</v>
      </c>
      <c r="R12740" t="s">
        <v>41268</v>
      </c>
      <c r="S12740" t="s">
        <v>42129</v>
      </c>
      <c r="T12740" t="s">
        <v>42679</v>
      </c>
      <c r="U12740" t="s">
        <v>53404</v>
      </c>
      <c r="W12740" t="s">
        <v>38085</v>
      </c>
      <c r="X12740" t="s">
        <v>41270</v>
      </c>
    </row>
    <row r="12741" spans="1:24">
      <c r="A12741">
        <f>HYPERLINK("https://www.philgeps.gov.ph/GEPSNONPILOT/Tender/SplashBidNoticeAbstractUI.aspx?menuIndex=3&amp;refID=7044015&amp;Result=3","7044015")</f>
        <v>0</v>
      </c>
      <c r="B12741" t="s">
        <v>1544</v>
      </c>
      <c r="C12741" t="s">
        <v>15591</v>
      </c>
      <c r="D12741" t="s">
        <v>16676</v>
      </c>
      <c r="E12741" t="s">
        <v>27709</v>
      </c>
      <c r="F12741" t="s">
        <v>28669</v>
      </c>
      <c r="G12741" t="s">
        <v>28675</v>
      </c>
      <c r="H12741" t="s">
        <v>28686</v>
      </c>
      <c r="I12741" t="s">
        <v>28725</v>
      </c>
      <c r="J12741" t="s">
        <v>36595</v>
      </c>
      <c r="K12741" t="s">
        <v>37215</v>
      </c>
      <c r="M12741" t="s">
        <v>39119</v>
      </c>
      <c r="N12741" t="s">
        <v>41249</v>
      </c>
      <c r="O12741" t="s">
        <v>41250</v>
      </c>
      <c r="P12741">
        <v>0</v>
      </c>
      <c r="Q12741">
        <v>2</v>
      </c>
      <c r="R12741" t="s">
        <v>41268</v>
      </c>
      <c r="S12741" t="s">
        <v>42129</v>
      </c>
      <c r="T12741" t="s">
        <v>42711</v>
      </c>
      <c r="U12741" t="s">
        <v>53405</v>
      </c>
      <c r="V12741" t="s">
        <v>55773</v>
      </c>
      <c r="W12741" t="s">
        <v>39119</v>
      </c>
      <c r="X12741" t="s">
        <v>41269</v>
      </c>
    </row>
    <row r="12742" spans="1:24">
      <c r="A12742">
        <f>HYPERLINK("https://www.philgeps.gov.ph/GEPSNONPILOT/Tender/SplashBidNoticeAbstractUI.aspx?menuIndex=3&amp;refID=7043853&amp;Result=3","7043853")</f>
        <v>0</v>
      </c>
      <c r="B12742" t="s">
        <v>100</v>
      </c>
      <c r="C12742" t="s">
        <v>15592</v>
      </c>
      <c r="D12742" t="s">
        <v>16608</v>
      </c>
      <c r="E12742" t="s">
        <v>27710</v>
      </c>
      <c r="F12742" t="s">
        <v>28669</v>
      </c>
      <c r="G12742" t="s">
        <v>28675</v>
      </c>
      <c r="H12742" t="s">
        <v>9998</v>
      </c>
      <c r="I12742" t="s">
        <v>11593</v>
      </c>
      <c r="J12742" t="s">
        <v>36596</v>
      </c>
      <c r="K12742" t="s">
        <v>37272</v>
      </c>
      <c r="M12742" t="s">
        <v>37580</v>
      </c>
      <c r="N12742" t="s">
        <v>41249</v>
      </c>
      <c r="O12742" t="s">
        <v>41250</v>
      </c>
      <c r="Q12742">
        <v>6</v>
      </c>
      <c r="R12742" t="s">
        <v>41268</v>
      </c>
      <c r="S12742" t="s">
        <v>42149</v>
      </c>
      <c r="T12742" t="s">
        <v>42783</v>
      </c>
      <c r="U12742" t="s">
        <v>43333</v>
      </c>
      <c r="V12742" t="s">
        <v>55778</v>
      </c>
      <c r="W12742" t="s">
        <v>37580</v>
      </c>
      <c r="X12742" t="s">
        <v>41270</v>
      </c>
    </row>
    <row r="12743" spans="1:24">
      <c r="A12743">
        <f>HYPERLINK("https://www.philgeps.gov.ph/GEPSNONPILOT/Tender/SplashBidNoticeAbstractUI.aspx?menuIndex=3&amp;refID=7043933&amp;Result=3","7043933")</f>
        <v>0</v>
      </c>
      <c r="B12743" t="s">
        <v>3270</v>
      </c>
      <c r="C12743" t="s">
        <v>15593</v>
      </c>
      <c r="D12743" t="s">
        <v>16667</v>
      </c>
      <c r="E12743" t="s">
        <v>27707</v>
      </c>
      <c r="F12743" t="s">
        <v>28669</v>
      </c>
      <c r="G12743" t="s">
        <v>28675</v>
      </c>
      <c r="H12743" t="s">
        <v>28686</v>
      </c>
      <c r="I12743" t="s">
        <v>28689</v>
      </c>
      <c r="J12743" t="s">
        <v>36597</v>
      </c>
      <c r="K12743" t="s">
        <v>37215</v>
      </c>
      <c r="M12743" t="s">
        <v>41098</v>
      </c>
      <c r="N12743" t="s">
        <v>41249</v>
      </c>
      <c r="O12743" t="s">
        <v>41250</v>
      </c>
      <c r="Q12743">
        <v>35</v>
      </c>
      <c r="R12743" t="s">
        <v>41268</v>
      </c>
      <c r="S12743" t="s">
        <v>42150</v>
      </c>
      <c r="T12743" t="s">
        <v>42673</v>
      </c>
      <c r="U12743" t="s">
        <v>53403</v>
      </c>
      <c r="W12743" t="s">
        <v>41098</v>
      </c>
      <c r="X12743" t="s">
        <v>41269</v>
      </c>
    </row>
    <row r="12744" spans="1:24">
      <c r="A12744">
        <f>HYPERLINK("https://www.philgeps.gov.ph/GEPSNONPILOT/Tender/SplashBidNoticeAbstractUI.aspx?menuIndex=3&amp;refID=7044036&amp;Result=3","7044036")</f>
        <v>0</v>
      </c>
      <c r="B12744" t="s">
        <v>1544</v>
      </c>
      <c r="C12744" t="s">
        <v>15594</v>
      </c>
      <c r="D12744" t="s">
        <v>16676</v>
      </c>
      <c r="E12744" t="s">
        <v>27711</v>
      </c>
      <c r="F12744" t="s">
        <v>28669</v>
      </c>
      <c r="G12744" t="s">
        <v>28675</v>
      </c>
      <c r="H12744" t="s">
        <v>28686</v>
      </c>
      <c r="I12744" t="s">
        <v>28725</v>
      </c>
      <c r="J12744" t="s">
        <v>36598</v>
      </c>
      <c r="K12744" t="s">
        <v>37215</v>
      </c>
      <c r="M12744" t="s">
        <v>39119</v>
      </c>
      <c r="N12744" t="s">
        <v>41249</v>
      </c>
      <c r="O12744" t="s">
        <v>41250</v>
      </c>
      <c r="P12744">
        <v>0</v>
      </c>
      <c r="Q12744">
        <v>1</v>
      </c>
      <c r="R12744" t="s">
        <v>41268</v>
      </c>
      <c r="S12744" t="s">
        <v>42129</v>
      </c>
      <c r="T12744" t="s">
        <v>42711</v>
      </c>
      <c r="U12744" t="s">
        <v>53406</v>
      </c>
      <c r="V12744" t="s">
        <v>55773</v>
      </c>
      <c r="W12744" t="s">
        <v>39119</v>
      </c>
      <c r="X12744" t="s">
        <v>41269</v>
      </c>
    </row>
    <row r="12745" spans="1:24">
      <c r="A12745">
        <f>HYPERLINK("https://www.philgeps.gov.ph/GEPSNONPILOT/Tender/SplashBidNoticeAbstractUI.aspx?menuIndex=3&amp;refID=7044058&amp;Result=3","7044058")</f>
        <v>0</v>
      </c>
      <c r="B12745" t="s">
        <v>2304</v>
      </c>
      <c r="C12745" t="s">
        <v>15595</v>
      </c>
      <c r="D12745" t="s">
        <v>16671</v>
      </c>
      <c r="E12745" t="s">
        <v>27712</v>
      </c>
      <c r="F12745" t="s">
        <v>28669</v>
      </c>
      <c r="G12745" t="s">
        <v>28675</v>
      </c>
      <c r="H12745" t="s">
        <v>9998</v>
      </c>
      <c r="I12745" t="s">
        <v>28694</v>
      </c>
      <c r="J12745" t="s">
        <v>36599</v>
      </c>
      <c r="K12745" t="s">
        <v>37206</v>
      </c>
      <c r="M12745" t="s">
        <v>39963</v>
      </c>
      <c r="N12745" t="s">
        <v>41249</v>
      </c>
      <c r="O12745" t="s">
        <v>41250</v>
      </c>
      <c r="P12745">
        <v>0</v>
      </c>
      <c r="Q12745">
        <v>1</v>
      </c>
      <c r="R12745" t="s">
        <v>41268</v>
      </c>
      <c r="S12745" t="s">
        <v>42129</v>
      </c>
      <c r="T12745" t="s">
        <v>42711</v>
      </c>
      <c r="U12745" t="s">
        <v>53407</v>
      </c>
      <c r="W12745" t="s">
        <v>39963</v>
      </c>
      <c r="X12745" t="s">
        <v>41269</v>
      </c>
    </row>
    <row r="12746" spans="1:24">
      <c r="A12746">
        <f>HYPERLINK("https://www.philgeps.gov.ph/GEPSNONPILOT/Tender/SplashBidNoticeAbstractUI.aspx?menuIndex=3&amp;refID=7043930&amp;Result=3","7043930")</f>
        <v>0</v>
      </c>
      <c r="B12746" t="s">
        <v>3270</v>
      </c>
      <c r="C12746" t="s">
        <v>15596</v>
      </c>
      <c r="D12746" t="s">
        <v>16667</v>
      </c>
      <c r="E12746" t="s">
        <v>27707</v>
      </c>
      <c r="F12746" t="s">
        <v>28669</v>
      </c>
      <c r="G12746" t="s">
        <v>28675</v>
      </c>
      <c r="H12746" t="s">
        <v>28686</v>
      </c>
      <c r="I12746" t="s">
        <v>28689</v>
      </c>
      <c r="J12746" t="s">
        <v>36600</v>
      </c>
      <c r="K12746" t="s">
        <v>37215</v>
      </c>
      <c r="M12746" t="s">
        <v>41098</v>
      </c>
      <c r="N12746" t="s">
        <v>41249</v>
      </c>
      <c r="O12746" t="s">
        <v>41250</v>
      </c>
      <c r="Q12746">
        <v>33</v>
      </c>
      <c r="R12746" t="s">
        <v>41268</v>
      </c>
      <c r="S12746" t="s">
        <v>42151</v>
      </c>
      <c r="T12746" t="s">
        <v>42673</v>
      </c>
      <c r="U12746" t="s">
        <v>53403</v>
      </c>
      <c r="W12746" t="s">
        <v>41098</v>
      </c>
      <c r="X12746" t="s">
        <v>41269</v>
      </c>
    </row>
    <row r="12747" spans="1:24">
      <c r="A12747">
        <f>HYPERLINK("https://www.philgeps.gov.ph/GEPSNONPILOT/Tender/SplashBidNoticeAbstractUI.aspx?menuIndex=3&amp;refID=7043963&amp;Result=3","7043963")</f>
        <v>0</v>
      </c>
      <c r="B12747" t="s">
        <v>3104</v>
      </c>
      <c r="C12747" t="s">
        <v>15597</v>
      </c>
      <c r="D12747" t="s">
        <v>16657</v>
      </c>
      <c r="E12747" t="s">
        <v>27713</v>
      </c>
      <c r="F12747" t="s">
        <v>28669</v>
      </c>
      <c r="G12747" t="s">
        <v>28675</v>
      </c>
      <c r="H12747" t="s">
        <v>28686</v>
      </c>
      <c r="I12747" t="s">
        <v>28689</v>
      </c>
      <c r="J12747" t="s">
        <v>36601</v>
      </c>
      <c r="K12747" t="s">
        <v>37209</v>
      </c>
      <c r="M12747" t="s">
        <v>40891</v>
      </c>
      <c r="N12747" t="s">
        <v>41249</v>
      </c>
      <c r="O12747" t="s">
        <v>41250</v>
      </c>
      <c r="P12747">
        <v>0</v>
      </c>
      <c r="Q12747">
        <v>10</v>
      </c>
      <c r="R12747" t="s">
        <v>41268</v>
      </c>
      <c r="S12747" t="s">
        <v>42129</v>
      </c>
      <c r="T12747" t="s">
        <v>42711</v>
      </c>
      <c r="U12747" t="s">
        <v>53408</v>
      </c>
      <c r="W12747" t="s">
        <v>40891</v>
      </c>
      <c r="X12747" t="s">
        <v>41269</v>
      </c>
    </row>
    <row r="12748" spans="1:24">
      <c r="A12748">
        <f>HYPERLINK("https://www.philgeps.gov.ph/GEPSNONPILOT/Tender/SplashBidNoticeAbstractUI.aspx?menuIndex=3&amp;refID=7043928&amp;Result=3","7043928")</f>
        <v>0</v>
      </c>
      <c r="B12748" t="s">
        <v>3270</v>
      </c>
      <c r="C12748" t="s">
        <v>15598</v>
      </c>
      <c r="D12748" t="s">
        <v>16667</v>
      </c>
      <c r="E12748" t="s">
        <v>27707</v>
      </c>
      <c r="F12748" t="s">
        <v>28669</v>
      </c>
      <c r="G12748" t="s">
        <v>28675</v>
      </c>
      <c r="H12748" t="s">
        <v>28686</v>
      </c>
      <c r="I12748" t="s">
        <v>28689</v>
      </c>
      <c r="J12748" t="s">
        <v>36602</v>
      </c>
      <c r="K12748" t="s">
        <v>37215</v>
      </c>
      <c r="M12748" t="s">
        <v>41098</v>
      </c>
      <c r="N12748" t="s">
        <v>41249</v>
      </c>
      <c r="O12748" t="s">
        <v>41250</v>
      </c>
      <c r="Q12748">
        <v>37</v>
      </c>
      <c r="R12748" t="s">
        <v>41268</v>
      </c>
      <c r="S12748" t="s">
        <v>42152</v>
      </c>
      <c r="T12748" t="s">
        <v>42673</v>
      </c>
      <c r="U12748" t="s">
        <v>53403</v>
      </c>
      <c r="W12748" t="s">
        <v>41098</v>
      </c>
      <c r="X12748" t="s">
        <v>41269</v>
      </c>
    </row>
    <row r="12749" spans="1:24">
      <c r="A12749">
        <f>HYPERLINK("https://www.philgeps.gov.ph/GEPSNONPILOT/Tender/SplashBidNoticeAbstractUI.aspx?menuIndex=3&amp;refID=7043929&amp;Result=3","7043929")</f>
        <v>0</v>
      </c>
      <c r="B12749" t="s">
        <v>3270</v>
      </c>
      <c r="C12749" t="s">
        <v>15599</v>
      </c>
      <c r="D12749" t="s">
        <v>16667</v>
      </c>
      <c r="E12749" t="s">
        <v>27707</v>
      </c>
      <c r="F12749" t="s">
        <v>28669</v>
      </c>
      <c r="G12749" t="s">
        <v>28675</v>
      </c>
      <c r="H12749" t="s">
        <v>28686</v>
      </c>
      <c r="I12749" t="s">
        <v>28689</v>
      </c>
      <c r="J12749" t="s">
        <v>36603</v>
      </c>
      <c r="K12749" t="s">
        <v>37215</v>
      </c>
      <c r="M12749" t="s">
        <v>41098</v>
      </c>
      <c r="N12749" t="s">
        <v>41249</v>
      </c>
      <c r="O12749" t="s">
        <v>41250</v>
      </c>
      <c r="Q12749">
        <v>35</v>
      </c>
      <c r="R12749" t="s">
        <v>41268</v>
      </c>
      <c r="S12749" t="s">
        <v>42153</v>
      </c>
      <c r="T12749" t="s">
        <v>42673</v>
      </c>
      <c r="U12749" t="s">
        <v>53403</v>
      </c>
      <c r="W12749" t="s">
        <v>41098</v>
      </c>
      <c r="X12749" t="s">
        <v>41269</v>
      </c>
    </row>
    <row r="12750" spans="1:24">
      <c r="A12750">
        <f>HYPERLINK("https://www.philgeps.gov.ph/GEPSNONPILOT/Tender/SplashBidNoticeAbstractUI.aspx?menuIndex=3&amp;refID=7044064&amp;Result=3","7044064")</f>
        <v>0</v>
      </c>
      <c r="B12750" t="s">
        <v>2304</v>
      </c>
      <c r="C12750" t="s">
        <v>15600</v>
      </c>
      <c r="D12750" t="s">
        <v>16671</v>
      </c>
      <c r="E12750" t="s">
        <v>27714</v>
      </c>
      <c r="F12750" t="s">
        <v>28669</v>
      </c>
      <c r="G12750" t="s">
        <v>28675</v>
      </c>
      <c r="H12750" t="s">
        <v>9998</v>
      </c>
      <c r="I12750" t="s">
        <v>28694</v>
      </c>
      <c r="J12750" t="s">
        <v>36604</v>
      </c>
      <c r="K12750" t="s">
        <v>37206</v>
      </c>
      <c r="M12750" t="s">
        <v>39963</v>
      </c>
      <c r="N12750" t="s">
        <v>41249</v>
      </c>
      <c r="O12750" t="s">
        <v>41250</v>
      </c>
      <c r="P12750">
        <v>0</v>
      </c>
      <c r="Q12750">
        <v>1</v>
      </c>
      <c r="R12750" t="s">
        <v>41268</v>
      </c>
      <c r="S12750" t="s">
        <v>42129</v>
      </c>
      <c r="T12750" t="s">
        <v>42673</v>
      </c>
      <c r="U12750" t="s">
        <v>53409</v>
      </c>
      <c r="W12750" t="s">
        <v>39963</v>
      </c>
      <c r="X12750" t="s">
        <v>41269</v>
      </c>
    </row>
    <row r="12751" spans="1:24">
      <c r="A12751">
        <f>HYPERLINK("https://www.philgeps.gov.ph/GEPSNONPILOT/Tender/SplashBidNoticeAbstractUI.aspx?menuIndex=3&amp;refID=7044059&amp;Result=3","7044059")</f>
        <v>0</v>
      </c>
      <c r="B12751" t="s">
        <v>1544</v>
      </c>
      <c r="C12751" t="s">
        <v>15601</v>
      </c>
      <c r="D12751" t="s">
        <v>16676</v>
      </c>
      <c r="E12751" t="s">
        <v>27715</v>
      </c>
      <c r="F12751" t="s">
        <v>28669</v>
      </c>
      <c r="G12751" t="s">
        <v>28675</v>
      </c>
      <c r="H12751" t="s">
        <v>28686</v>
      </c>
      <c r="I12751" t="s">
        <v>28725</v>
      </c>
      <c r="J12751" t="s">
        <v>36605</v>
      </c>
      <c r="K12751" t="s">
        <v>37215</v>
      </c>
      <c r="M12751" t="s">
        <v>39119</v>
      </c>
      <c r="N12751" t="s">
        <v>41249</v>
      </c>
      <c r="O12751" t="s">
        <v>41250</v>
      </c>
      <c r="P12751">
        <v>0</v>
      </c>
      <c r="Q12751">
        <v>1</v>
      </c>
      <c r="R12751" t="s">
        <v>41268</v>
      </c>
      <c r="S12751" t="s">
        <v>42129</v>
      </c>
      <c r="T12751" t="s">
        <v>42711</v>
      </c>
      <c r="U12751" t="s">
        <v>53410</v>
      </c>
      <c r="V12751" t="s">
        <v>55773</v>
      </c>
      <c r="W12751" t="s">
        <v>39119</v>
      </c>
      <c r="X12751" t="s">
        <v>41269</v>
      </c>
    </row>
    <row r="12752" spans="1:24">
      <c r="A12752">
        <f>HYPERLINK("https://www.philgeps.gov.ph/GEPSNONPILOT/Tender/SplashBidNoticeAbstractUI.aspx?menuIndex=3&amp;refID=7044065&amp;Result=3","7044065")</f>
        <v>0</v>
      </c>
      <c r="B12752" t="s">
        <v>1544</v>
      </c>
      <c r="C12752" t="s">
        <v>15602</v>
      </c>
      <c r="D12752" t="s">
        <v>16676</v>
      </c>
      <c r="E12752" t="s">
        <v>27716</v>
      </c>
      <c r="F12752" t="s">
        <v>28669</v>
      </c>
      <c r="G12752" t="s">
        <v>28675</v>
      </c>
      <c r="H12752" t="s">
        <v>28686</v>
      </c>
      <c r="I12752" t="s">
        <v>28725</v>
      </c>
      <c r="J12752" t="s">
        <v>36606</v>
      </c>
      <c r="K12752" t="s">
        <v>37215</v>
      </c>
      <c r="M12752" t="s">
        <v>39119</v>
      </c>
      <c r="N12752" t="s">
        <v>41249</v>
      </c>
      <c r="O12752" t="s">
        <v>41250</v>
      </c>
      <c r="P12752">
        <v>0</v>
      </c>
      <c r="Q12752">
        <v>2</v>
      </c>
      <c r="R12752" t="s">
        <v>41268</v>
      </c>
      <c r="S12752" t="s">
        <v>42129</v>
      </c>
      <c r="T12752" t="s">
        <v>42711</v>
      </c>
      <c r="U12752" t="s">
        <v>53411</v>
      </c>
      <c r="V12752" t="s">
        <v>55773</v>
      </c>
      <c r="W12752" t="s">
        <v>39119</v>
      </c>
      <c r="X12752" t="s">
        <v>41269</v>
      </c>
    </row>
    <row r="12753" spans="1:24">
      <c r="A12753">
        <f>HYPERLINK("https://www.philgeps.gov.ph/GEPSNONPILOT/Tender/SplashBidNoticeAbstractUI.aspx?menuIndex=3&amp;refID=7044066&amp;Result=3","7044066")</f>
        <v>0</v>
      </c>
      <c r="B12753" t="s">
        <v>1544</v>
      </c>
      <c r="C12753" t="s">
        <v>15603</v>
      </c>
      <c r="D12753" t="s">
        <v>16676</v>
      </c>
      <c r="E12753" t="s">
        <v>27717</v>
      </c>
      <c r="F12753" t="s">
        <v>28669</v>
      </c>
      <c r="G12753" t="s">
        <v>28675</v>
      </c>
      <c r="H12753" t="s">
        <v>28686</v>
      </c>
      <c r="I12753" t="s">
        <v>28725</v>
      </c>
      <c r="J12753" t="s">
        <v>36607</v>
      </c>
      <c r="K12753" t="s">
        <v>37215</v>
      </c>
      <c r="M12753" t="s">
        <v>39119</v>
      </c>
      <c r="N12753" t="s">
        <v>41249</v>
      </c>
      <c r="O12753" t="s">
        <v>41250</v>
      </c>
      <c r="P12753">
        <v>0</v>
      </c>
      <c r="Q12753">
        <v>2</v>
      </c>
      <c r="R12753" t="s">
        <v>41268</v>
      </c>
      <c r="S12753" t="s">
        <v>42129</v>
      </c>
      <c r="T12753" t="s">
        <v>42711</v>
      </c>
      <c r="U12753" t="s">
        <v>53412</v>
      </c>
      <c r="V12753" t="s">
        <v>55773</v>
      </c>
      <c r="W12753" t="s">
        <v>39119</v>
      </c>
      <c r="X12753" t="s">
        <v>41269</v>
      </c>
    </row>
    <row r="12754" spans="1:24">
      <c r="A12754">
        <f>HYPERLINK("https://www.philgeps.gov.ph/GEPSNONPILOT/Tender/SplashBidNoticeAbstractUI.aspx?menuIndex=3&amp;refID=7044056&amp;Result=3","7044056")</f>
        <v>0</v>
      </c>
      <c r="B12754" t="s">
        <v>1544</v>
      </c>
      <c r="C12754" t="s">
        <v>15604</v>
      </c>
      <c r="D12754" t="s">
        <v>16676</v>
      </c>
      <c r="E12754" t="s">
        <v>27718</v>
      </c>
      <c r="F12754" t="s">
        <v>28669</v>
      </c>
      <c r="G12754" t="s">
        <v>28675</v>
      </c>
      <c r="H12754" t="s">
        <v>28686</v>
      </c>
      <c r="I12754" t="s">
        <v>28725</v>
      </c>
      <c r="J12754" t="s">
        <v>36608</v>
      </c>
      <c r="K12754" t="s">
        <v>37215</v>
      </c>
      <c r="M12754" t="s">
        <v>39119</v>
      </c>
      <c r="N12754" t="s">
        <v>41249</v>
      </c>
      <c r="O12754" t="s">
        <v>41250</v>
      </c>
      <c r="P12754">
        <v>0</v>
      </c>
      <c r="Q12754">
        <v>2</v>
      </c>
      <c r="R12754" t="s">
        <v>41268</v>
      </c>
      <c r="S12754" t="s">
        <v>42129</v>
      </c>
      <c r="T12754" t="s">
        <v>42711</v>
      </c>
      <c r="U12754" t="s">
        <v>53413</v>
      </c>
      <c r="V12754" t="s">
        <v>55773</v>
      </c>
      <c r="W12754" t="s">
        <v>39119</v>
      </c>
      <c r="X12754" t="s">
        <v>41269</v>
      </c>
    </row>
    <row r="12755" spans="1:24">
      <c r="A12755">
        <f>HYPERLINK("https://www.philgeps.gov.ph/GEPSNONPILOT/Tender/SplashBidNoticeAbstractUI.aspx?menuIndex=3&amp;refID=7044057&amp;Result=3","7044057")</f>
        <v>0</v>
      </c>
      <c r="B12755" t="s">
        <v>1544</v>
      </c>
      <c r="C12755" t="s">
        <v>15605</v>
      </c>
      <c r="D12755" t="s">
        <v>16676</v>
      </c>
      <c r="E12755" t="s">
        <v>27719</v>
      </c>
      <c r="F12755" t="s">
        <v>28669</v>
      </c>
      <c r="G12755" t="s">
        <v>28675</v>
      </c>
      <c r="H12755" t="s">
        <v>28686</v>
      </c>
      <c r="I12755" t="s">
        <v>28725</v>
      </c>
      <c r="J12755" t="s">
        <v>36609</v>
      </c>
      <c r="K12755" t="s">
        <v>37215</v>
      </c>
      <c r="M12755" t="s">
        <v>39119</v>
      </c>
      <c r="N12755" t="s">
        <v>41249</v>
      </c>
      <c r="O12755" t="s">
        <v>41250</v>
      </c>
      <c r="P12755">
        <v>0</v>
      </c>
      <c r="Q12755">
        <v>1</v>
      </c>
      <c r="R12755" t="s">
        <v>41268</v>
      </c>
      <c r="S12755" t="s">
        <v>42129</v>
      </c>
      <c r="T12755" t="s">
        <v>42711</v>
      </c>
      <c r="U12755" t="s">
        <v>53414</v>
      </c>
      <c r="V12755" t="s">
        <v>55773</v>
      </c>
      <c r="W12755" t="s">
        <v>39119</v>
      </c>
      <c r="X12755" t="s">
        <v>41269</v>
      </c>
    </row>
    <row r="12756" spans="1:24">
      <c r="A12756">
        <f>HYPERLINK("https://www.philgeps.gov.ph/GEPSNONPILOT/Tender/SplashBidNoticeAbstractUI.aspx?menuIndex=3&amp;refID=7044054&amp;Result=3","7044054")</f>
        <v>0</v>
      </c>
      <c r="B12756" t="s">
        <v>1544</v>
      </c>
      <c r="C12756" t="s">
        <v>15606</v>
      </c>
      <c r="D12756" t="s">
        <v>16676</v>
      </c>
      <c r="E12756" t="s">
        <v>27720</v>
      </c>
      <c r="F12756" t="s">
        <v>28669</v>
      </c>
      <c r="G12756" t="s">
        <v>28675</v>
      </c>
      <c r="H12756" t="s">
        <v>28686</v>
      </c>
      <c r="I12756" t="s">
        <v>28725</v>
      </c>
      <c r="J12756" t="s">
        <v>36610</v>
      </c>
      <c r="K12756" t="s">
        <v>37215</v>
      </c>
      <c r="M12756" t="s">
        <v>39119</v>
      </c>
      <c r="N12756" t="s">
        <v>41249</v>
      </c>
      <c r="O12756" t="s">
        <v>41250</v>
      </c>
      <c r="P12756">
        <v>0</v>
      </c>
      <c r="Q12756">
        <v>2</v>
      </c>
      <c r="R12756" t="s">
        <v>41268</v>
      </c>
      <c r="S12756" t="s">
        <v>42129</v>
      </c>
      <c r="T12756" t="s">
        <v>42711</v>
      </c>
      <c r="U12756" t="s">
        <v>53415</v>
      </c>
      <c r="V12756" t="s">
        <v>55773</v>
      </c>
      <c r="W12756" t="s">
        <v>39119</v>
      </c>
      <c r="X12756" t="s">
        <v>41269</v>
      </c>
    </row>
    <row r="12757" spans="1:24">
      <c r="A12757">
        <f>HYPERLINK("https://www.philgeps.gov.ph/GEPSNONPILOT/Tender/SplashBidNoticeAbstractUI.aspx?menuIndex=3&amp;refID=7044048&amp;Result=3","7044048")</f>
        <v>0</v>
      </c>
      <c r="B12757" t="s">
        <v>1544</v>
      </c>
      <c r="C12757" t="s">
        <v>15607</v>
      </c>
      <c r="D12757" t="s">
        <v>16676</v>
      </c>
      <c r="E12757" t="s">
        <v>27721</v>
      </c>
      <c r="F12757" t="s">
        <v>28669</v>
      </c>
      <c r="G12757" t="s">
        <v>28675</v>
      </c>
      <c r="H12757" t="s">
        <v>28686</v>
      </c>
      <c r="I12757" t="s">
        <v>28725</v>
      </c>
      <c r="J12757" t="s">
        <v>36611</v>
      </c>
      <c r="K12757" t="s">
        <v>37215</v>
      </c>
      <c r="M12757" t="s">
        <v>39119</v>
      </c>
      <c r="N12757" t="s">
        <v>41249</v>
      </c>
      <c r="O12757" t="s">
        <v>41250</v>
      </c>
      <c r="P12757">
        <v>0</v>
      </c>
      <c r="Q12757">
        <v>1</v>
      </c>
      <c r="R12757" t="s">
        <v>41268</v>
      </c>
      <c r="S12757" t="s">
        <v>42129</v>
      </c>
      <c r="T12757" t="s">
        <v>42711</v>
      </c>
      <c r="U12757" t="s">
        <v>53416</v>
      </c>
      <c r="V12757" t="s">
        <v>55773</v>
      </c>
      <c r="W12757" t="s">
        <v>39119</v>
      </c>
      <c r="X12757" t="s">
        <v>41269</v>
      </c>
    </row>
    <row r="12758" spans="1:24">
      <c r="A12758">
        <f>HYPERLINK("https://www.philgeps.gov.ph/GEPSNONPILOT/Tender/SplashBidNoticeAbstractUI.aspx?menuIndex=3&amp;refID=7044047&amp;Result=3","7044047")</f>
        <v>0</v>
      </c>
      <c r="B12758" t="s">
        <v>1544</v>
      </c>
      <c r="C12758" t="s">
        <v>15608</v>
      </c>
      <c r="D12758" t="s">
        <v>16676</v>
      </c>
      <c r="E12758" t="s">
        <v>27722</v>
      </c>
      <c r="F12758" t="s">
        <v>28669</v>
      </c>
      <c r="G12758" t="s">
        <v>28675</v>
      </c>
      <c r="H12758" t="s">
        <v>28686</v>
      </c>
      <c r="I12758" t="s">
        <v>28725</v>
      </c>
      <c r="J12758" t="s">
        <v>36612</v>
      </c>
      <c r="K12758" t="s">
        <v>37215</v>
      </c>
      <c r="M12758" t="s">
        <v>39119</v>
      </c>
      <c r="N12758" t="s">
        <v>41249</v>
      </c>
      <c r="O12758" t="s">
        <v>41250</v>
      </c>
      <c r="P12758">
        <v>0</v>
      </c>
      <c r="Q12758">
        <v>2</v>
      </c>
      <c r="R12758" t="s">
        <v>41268</v>
      </c>
      <c r="S12758" t="s">
        <v>42129</v>
      </c>
      <c r="T12758" t="s">
        <v>42711</v>
      </c>
      <c r="U12758" t="s">
        <v>53417</v>
      </c>
      <c r="V12758" t="s">
        <v>55773</v>
      </c>
      <c r="W12758" t="s">
        <v>39119</v>
      </c>
      <c r="X12758" t="s">
        <v>41269</v>
      </c>
    </row>
    <row r="12759" spans="1:24">
      <c r="A12759">
        <f>HYPERLINK("https://www.philgeps.gov.ph/GEPSNONPILOT/Tender/SplashBidNoticeAbstractUI.aspx?menuIndex=3&amp;refID=7044046&amp;Result=3","7044046")</f>
        <v>0</v>
      </c>
      <c r="B12759" t="s">
        <v>1544</v>
      </c>
      <c r="C12759" t="s">
        <v>15609</v>
      </c>
      <c r="D12759" t="s">
        <v>16676</v>
      </c>
      <c r="E12759" t="s">
        <v>27723</v>
      </c>
      <c r="F12759" t="s">
        <v>28669</v>
      </c>
      <c r="G12759" t="s">
        <v>28675</v>
      </c>
      <c r="H12759" t="s">
        <v>28686</v>
      </c>
      <c r="I12759" t="s">
        <v>28725</v>
      </c>
      <c r="J12759" t="s">
        <v>36613</v>
      </c>
      <c r="K12759" t="s">
        <v>37215</v>
      </c>
      <c r="M12759" t="s">
        <v>39119</v>
      </c>
      <c r="N12759" t="s">
        <v>41249</v>
      </c>
      <c r="O12759" t="s">
        <v>41250</v>
      </c>
      <c r="P12759">
        <v>0</v>
      </c>
      <c r="Q12759">
        <v>2</v>
      </c>
      <c r="R12759" t="s">
        <v>41268</v>
      </c>
      <c r="S12759" t="s">
        <v>42129</v>
      </c>
      <c r="T12759" t="s">
        <v>42711</v>
      </c>
      <c r="U12759" t="s">
        <v>53418</v>
      </c>
      <c r="V12759" t="s">
        <v>55773</v>
      </c>
      <c r="W12759" t="s">
        <v>39119</v>
      </c>
      <c r="X12759" t="s">
        <v>41269</v>
      </c>
    </row>
    <row r="12760" spans="1:24">
      <c r="A12760">
        <f>HYPERLINK("https://www.philgeps.gov.ph/GEPSNONPILOT/Tender/SplashBidNoticeAbstractUI.aspx?menuIndex=3&amp;refID=7044044&amp;Result=3","7044044")</f>
        <v>0</v>
      </c>
      <c r="B12760" t="s">
        <v>1544</v>
      </c>
      <c r="C12760" t="s">
        <v>15610</v>
      </c>
      <c r="D12760" t="s">
        <v>16676</v>
      </c>
      <c r="E12760" t="s">
        <v>27724</v>
      </c>
      <c r="F12760" t="s">
        <v>28669</v>
      </c>
      <c r="G12760" t="s">
        <v>28675</v>
      </c>
      <c r="H12760" t="s">
        <v>28686</v>
      </c>
      <c r="I12760" t="s">
        <v>28725</v>
      </c>
      <c r="J12760" t="s">
        <v>36614</v>
      </c>
      <c r="K12760" t="s">
        <v>37215</v>
      </c>
      <c r="M12760" t="s">
        <v>39119</v>
      </c>
      <c r="N12760" t="s">
        <v>41249</v>
      </c>
      <c r="O12760" t="s">
        <v>41250</v>
      </c>
      <c r="P12760">
        <v>0</v>
      </c>
      <c r="Q12760">
        <v>1</v>
      </c>
      <c r="R12760" t="s">
        <v>41268</v>
      </c>
      <c r="S12760" t="s">
        <v>42129</v>
      </c>
      <c r="T12760" t="s">
        <v>42711</v>
      </c>
      <c r="U12760" t="s">
        <v>53419</v>
      </c>
      <c r="V12760" t="s">
        <v>55773</v>
      </c>
      <c r="W12760" t="s">
        <v>39119</v>
      </c>
      <c r="X12760" t="s">
        <v>41269</v>
      </c>
    </row>
    <row r="12761" spans="1:24">
      <c r="A12761">
        <f>HYPERLINK("https://www.philgeps.gov.ph/GEPSNONPILOT/Tender/SplashBidNoticeAbstractUI.aspx?menuIndex=3&amp;refID=7044071&amp;Result=3","7044071")</f>
        <v>0</v>
      </c>
      <c r="B12761" t="s">
        <v>1544</v>
      </c>
      <c r="C12761" t="s">
        <v>15611</v>
      </c>
      <c r="D12761" t="s">
        <v>16676</v>
      </c>
      <c r="E12761" t="s">
        <v>27725</v>
      </c>
      <c r="F12761" t="s">
        <v>28669</v>
      </c>
      <c r="G12761" t="s">
        <v>28675</v>
      </c>
      <c r="H12761" t="s">
        <v>28686</v>
      </c>
      <c r="I12761" t="s">
        <v>28725</v>
      </c>
      <c r="J12761" t="s">
        <v>36615</v>
      </c>
      <c r="K12761" t="s">
        <v>37215</v>
      </c>
      <c r="M12761" t="s">
        <v>39119</v>
      </c>
      <c r="N12761" t="s">
        <v>41249</v>
      </c>
      <c r="O12761" t="s">
        <v>41250</v>
      </c>
      <c r="P12761">
        <v>0</v>
      </c>
      <c r="Q12761">
        <v>1</v>
      </c>
      <c r="R12761" t="s">
        <v>41268</v>
      </c>
      <c r="S12761" t="s">
        <v>42129</v>
      </c>
      <c r="T12761" t="s">
        <v>42711</v>
      </c>
      <c r="U12761" t="s">
        <v>53420</v>
      </c>
      <c r="V12761" t="s">
        <v>55773</v>
      </c>
      <c r="W12761" t="s">
        <v>39119</v>
      </c>
      <c r="X12761" t="s">
        <v>41269</v>
      </c>
    </row>
    <row r="12762" spans="1:24">
      <c r="A12762">
        <f>HYPERLINK("https://www.philgeps.gov.ph/GEPSNONPILOT/Tender/SplashBidNoticeAbstractUI.aspx?menuIndex=3&amp;refID=7044160&amp;Result=3","7044160")</f>
        <v>0</v>
      </c>
      <c r="B12762" t="s">
        <v>3271</v>
      </c>
      <c r="C12762" t="s">
        <v>15612</v>
      </c>
      <c r="D12762" t="s">
        <v>16612</v>
      </c>
      <c r="E12762" t="s">
        <v>27726</v>
      </c>
      <c r="F12762" t="s">
        <v>28669</v>
      </c>
      <c r="G12762" t="s">
        <v>28675</v>
      </c>
      <c r="H12762" t="s">
        <v>28686</v>
      </c>
      <c r="I12762" t="s">
        <v>28689</v>
      </c>
      <c r="J12762" t="s">
        <v>36616</v>
      </c>
      <c r="K12762" t="s">
        <v>37221</v>
      </c>
      <c r="L12762" t="s">
        <v>3271</v>
      </c>
      <c r="M12762" t="s">
        <v>41099</v>
      </c>
      <c r="N12762" t="s">
        <v>41249</v>
      </c>
      <c r="O12762" t="s">
        <v>41250</v>
      </c>
      <c r="P12762">
        <v>0</v>
      </c>
      <c r="Q12762">
        <v>0</v>
      </c>
      <c r="R12762" t="s">
        <v>41268</v>
      </c>
      <c r="S12762" t="s">
        <v>42129</v>
      </c>
      <c r="T12762" t="s">
        <v>42703</v>
      </c>
      <c r="U12762" t="s">
        <v>53421</v>
      </c>
      <c r="V12762" t="s">
        <v>55779</v>
      </c>
      <c r="W12762" t="s">
        <v>41099</v>
      </c>
      <c r="X12762" t="s">
        <v>41269</v>
      </c>
    </row>
    <row r="12763" spans="1:24">
      <c r="A12763">
        <f>HYPERLINK("https://www.philgeps.gov.ph/GEPSNONPILOT/Tender/SplashBidNoticeAbstractUI.aspx?menuIndex=3&amp;refID=7044155&amp;Result=3","7044155")</f>
        <v>0</v>
      </c>
      <c r="B12763" t="s">
        <v>3271</v>
      </c>
      <c r="C12763" t="s">
        <v>15613</v>
      </c>
      <c r="D12763" t="s">
        <v>16612</v>
      </c>
      <c r="E12763" t="s">
        <v>27727</v>
      </c>
      <c r="F12763" t="s">
        <v>28669</v>
      </c>
      <c r="G12763" t="s">
        <v>28675</v>
      </c>
      <c r="H12763" t="s">
        <v>28686</v>
      </c>
      <c r="I12763" t="s">
        <v>28689</v>
      </c>
      <c r="J12763" t="s">
        <v>36617</v>
      </c>
      <c r="K12763" t="s">
        <v>37221</v>
      </c>
      <c r="L12763" t="s">
        <v>3271</v>
      </c>
      <c r="M12763" t="s">
        <v>41099</v>
      </c>
      <c r="N12763" t="s">
        <v>41249</v>
      </c>
      <c r="O12763" t="s">
        <v>41250</v>
      </c>
      <c r="P12763">
        <v>0</v>
      </c>
      <c r="Q12763">
        <v>0</v>
      </c>
      <c r="R12763" t="s">
        <v>41268</v>
      </c>
      <c r="S12763" t="s">
        <v>42129</v>
      </c>
      <c r="T12763" t="s">
        <v>42703</v>
      </c>
      <c r="U12763" t="s">
        <v>53422</v>
      </c>
      <c r="V12763" t="s">
        <v>55779</v>
      </c>
      <c r="W12763" t="s">
        <v>41099</v>
      </c>
      <c r="X12763" t="s">
        <v>41269</v>
      </c>
    </row>
    <row r="12764" spans="1:24">
      <c r="A12764">
        <f>HYPERLINK("https://www.philgeps.gov.ph/GEPSNONPILOT/Tender/SplashBidNoticeAbstractUI.aspx?menuIndex=3&amp;refID=7044153&amp;Result=3","7044153")</f>
        <v>0</v>
      </c>
      <c r="B12764" t="s">
        <v>1961</v>
      </c>
      <c r="C12764" t="s">
        <v>15614</v>
      </c>
      <c r="D12764" t="s">
        <v>16608</v>
      </c>
      <c r="E12764" t="s">
        <v>27728</v>
      </c>
      <c r="F12764" t="s">
        <v>28669</v>
      </c>
      <c r="G12764" t="s">
        <v>28675</v>
      </c>
      <c r="H12764" t="s">
        <v>9998</v>
      </c>
      <c r="I12764" t="s">
        <v>3658</v>
      </c>
      <c r="J12764" t="s">
        <v>36618</v>
      </c>
      <c r="K12764" t="s">
        <v>37205</v>
      </c>
      <c r="M12764" t="s">
        <v>40602</v>
      </c>
      <c r="N12764" t="s">
        <v>41249</v>
      </c>
      <c r="O12764" t="s">
        <v>41250</v>
      </c>
      <c r="P12764">
        <v>0</v>
      </c>
      <c r="Q12764">
        <v>9</v>
      </c>
      <c r="R12764" t="s">
        <v>41268</v>
      </c>
      <c r="S12764" t="s">
        <v>42129</v>
      </c>
      <c r="T12764" t="s">
        <v>42696</v>
      </c>
      <c r="U12764" t="s">
        <v>53423</v>
      </c>
      <c r="W12764" t="s">
        <v>40602</v>
      </c>
      <c r="X12764" t="s">
        <v>41269</v>
      </c>
    </row>
    <row r="12765" spans="1:24">
      <c r="A12765">
        <f>HYPERLINK("https://www.philgeps.gov.ph/GEPSNONPILOT/Tender/SplashBidNoticeAbstractUI.aspx?menuIndex=3&amp;refID=7044149&amp;Result=3","7044149")</f>
        <v>0</v>
      </c>
      <c r="B12765" t="s">
        <v>3271</v>
      </c>
      <c r="C12765" t="s">
        <v>15615</v>
      </c>
      <c r="D12765" t="s">
        <v>16612</v>
      </c>
      <c r="E12765" t="s">
        <v>27729</v>
      </c>
      <c r="F12765" t="s">
        <v>28669</v>
      </c>
      <c r="G12765" t="s">
        <v>28675</v>
      </c>
      <c r="H12765" t="s">
        <v>28686</v>
      </c>
      <c r="I12765" t="s">
        <v>28689</v>
      </c>
      <c r="J12765" t="s">
        <v>36619</v>
      </c>
      <c r="K12765" t="s">
        <v>37221</v>
      </c>
      <c r="L12765" t="s">
        <v>3271</v>
      </c>
      <c r="M12765" t="s">
        <v>41099</v>
      </c>
      <c r="N12765" t="s">
        <v>41249</v>
      </c>
      <c r="O12765" t="s">
        <v>41250</v>
      </c>
      <c r="P12765">
        <v>0</v>
      </c>
      <c r="Q12765">
        <v>0</v>
      </c>
      <c r="R12765" t="s">
        <v>41268</v>
      </c>
      <c r="S12765" t="s">
        <v>42129</v>
      </c>
      <c r="T12765" t="s">
        <v>42703</v>
      </c>
      <c r="U12765" t="s">
        <v>53424</v>
      </c>
      <c r="V12765" t="s">
        <v>55779</v>
      </c>
      <c r="W12765" t="s">
        <v>41099</v>
      </c>
      <c r="X12765" t="s">
        <v>41269</v>
      </c>
    </row>
    <row r="12766" spans="1:24">
      <c r="A12766">
        <f>HYPERLINK("https://www.philgeps.gov.ph/GEPSNONPILOT/Tender/SplashBidNoticeAbstractUI.aspx?menuIndex=3&amp;refID=7044051&amp;Result=3","7044051")</f>
        <v>0</v>
      </c>
      <c r="B12766" t="s">
        <v>1544</v>
      </c>
      <c r="C12766" t="s">
        <v>15616</v>
      </c>
      <c r="D12766" t="s">
        <v>16676</v>
      </c>
      <c r="E12766" t="s">
        <v>27730</v>
      </c>
      <c r="F12766" t="s">
        <v>28669</v>
      </c>
      <c r="G12766" t="s">
        <v>28675</v>
      </c>
      <c r="H12766" t="s">
        <v>28686</v>
      </c>
      <c r="I12766" t="s">
        <v>28725</v>
      </c>
      <c r="J12766" t="s">
        <v>36620</v>
      </c>
      <c r="K12766" t="s">
        <v>37215</v>
      </c>
      <c r="M12766" t="s">
        <v>39119</v>
      </c>
      <c r="N12766" t="s">
        <v>41249</v>
      </c>
      <c r="O12766" t="s">
        <v>41250</v>
      </c>
      <c r="P12766">
        <v>0</v>
      </c>
      <c r="Q12766">
        <v>2</v>
      </c>
      <c r="R12766" t="s">
        <v>41268</v>
      </c>
      <c r="S12766" t="s">
        <v>42129</v>
      </c>
      <c r="T12766" t="s">
        <v>42711</v>
      </c>
      <c r="U12766" t="s">
        <v>53425</v>
      </c>
      <c r="V12766" t="s">
        <v>55773</v>
      </c>
      <c r="W12766" t="s">
        <v>39119</v>
      </c>
      <c r="X12766" t="s">
        <v>41269</v>
      </c>
    </row>
    <row r="12767" spans="1:24">
      <c r="A12767">
        <f>HYPERLINK("https://www.philgeps.gov.ph/GEPSNONPILOT/Tender/SplashBidNoticeAbstractUI.aspx?menuIndex=3&amp;refID=7044142&amp;Result=3","7044142")</f>
        <v>0</v>
      </c>
      <c r="B12767" t="s">
        <v>3271</v>
      </c>
      <c r="C12767" t="s">
        <v>15617</v>
      </c>
      <c r="D12767" t="s">
        <v>16612</v>
      </c>
      <c r="E12767" t="s">
        <v>27731</v>
      </c>
      <c r="F12767" t="s">
        <v>28669</v>
      </c>
      <c r="G12767" t="s">
        <v>28675</v>
      </c>
      <c r="H12767" t="s">
        <v>28686</v>
      </c>
      <c r="I12767" t="s">
        <v>28689</v>
      </c>
      <c r="J12767" t="s">
        <v>36621</v>
      </c>
      <c r="K12767" t="s">
        <v>37395</v>
      </c>
      <c r="L12767" t="s">
        <v>3271</v>
      </c>
      <c r="M12767" t="s">
        <v>41099</v>
      </c>
      <c r="N12767" t="s">
        <v>41249</v>
      </c>
      <c r="O12767" t="s">
        <v>41250</v>
      </c>
      <c r="P12767">
        <v>0</v>
      </c>
      <c r="Q12767">
        <v>0</v>
      </c>
      <c r="R12767" t="s">
        <v>41268</v>
      </c>
      <c r="S12767" t="s">
        <v>42129</v>
      </c>
      <c r="T12767" t="s">
        <v>42703</v>
      </c>
      <c r="U12767" t="s">
        <v>53426</v>
      </c>
      <c r="V12767" t="s">
        <v>55779</v>
      </c>
      <c r="W12767" t="s">
        <v>41099</v>
      </c>
      <c r="X12767" t="s">
        <v>41269</v>
      </c>
    </row>
    <row r="12768" spans="1:24">
      <c r="A12768">
        <f>HYPERLINK("https://www.philgeps.gov.ph/GEPSNONPILOT/Tender/SplashBidNoticeAbstractUI.aspx?menuIndex=3&amp;refID=7043931&amp;Result=3","7043931")</f>
        <v>0</v>
      </c>
      <c r="B12768" t="s">
        <v>3270</v>
      </c>
      <c r="C12768" t="s">
        <v>15618</v>
      </c>
      <c r="D12768" t="s">
        <v>16667</v>
      </c>
      <c r="E12768" t="s">
        <v>27707</v>
      </c>
      <c r="F12768" t="s">
        <v>28669</v>
      </c>
      <c r="G12768" t="s">
        <v>28675</v>
      </c>
      <c r="H12768" t="s">
        <v>28686</v>
      </c>
      <c r="I12768" t="s">
        <v>28689</v>
      </c>
      <c r="J12768" t="s">
        <v>36622</v>
      </c>
      <c r="K12768" t="s">
        <v>37215</v>
      </c>
      <c r="M12768" t="s">
        <v>41098</v>
      </c>
      <c r="N12768" t="s">
        <v>41249</v>
      </c>
      <c r="O12768" t="s">
        <v>41250</v>
      </c>
      <c r="Q12768">
        <v>36</v>
      </c>
      <c r="R12768" t="s">
        <v>41268</v>
      </c>
      <c r="S12768" t="s">
        <v>42154</v>
      </c>
      <c r="T12768" t="s">
        <v>42673</v>
      </c>
      <c r="U12768" t="s">
        <v>53403</v>
      </c>
      <c r="W12768" t="s">
        <v>41098</v>
      </c>
      <c r="X12768" t="s">
        <v>41269</v>
      </c>
    </row>
    <row r="12769" spans="1:24">
      <c r="A12769">
        <f>HYPERLINK("https://www.philgeps.gov.ph/GEPSNONPILOT/Tender/SplashBidNoticeAbstractUI.aspx?menuIndex=3&amp;refID=7044148&amp;Result=3","7044148")</f>
        <v>0</v>
      </c>
      <c r="B12769" t="s">
        <v>3271</v>
      </c>
      <c r="C12769" t="s">
        <v>15619</v>
      </c>
      <c r="D12769" t="s">
        <v>16612</v>
      </c>
      <c r="E12769" t="s">
        <v>27732</v>
      </c>
      <c r="F12769" t="s">
        <v>28669</v>
      </c>
      <c r="G12769" t="s">
        <v>28675</v>
      </c>
      <c r="H12769" t="s">
        <v>28686</v>
      </c>
      <c r="I12769" t="s">
        <v>28689</v>
      </c>
      <c r="J12769" t="s">
        <v>36623</v>
      </c>
      <c r="K12769" t="s">
        <v>37220</v>
      </c>
      <c r="L12769" t="s">
        <v>3271</v>
      </c>
      <c r="M12769" t="s">
        <v>41099</v>
      </c>
      <c r="N12769" t="s">
        <v>41249</v>
      </c>
      <c r="O12769" t="s">
        <v>41250</v>
      </c>
      <c r="P12769">
        <v>0</v>
      </c>
      <c r="Q12769">
        <v>0</v>
      </c>
      <c r="R12769" t="s">
        <v>41268</v>
      </c>
      <c r="S12769" t="s">
        <v>42129</v>
      </c>
      <c r="T12769" t="s">
        <v>42703</v>
      </c>
      <c r="U12769" t="s">
        <v>53427</v>
      </c>
      <c r="V12769" t="s">
        <v>55779</v>
      </c>
      <c r="W12769" t="s">
        <v>41099</v>
      </c>
      <c r="X12769" t="s">
        <v>41269</v>
      </c>
    </row>
    <row r="12770" spans="1:24">
      <c r="A12770">
        <f>HYPERLINK("https://www.philgeps.gov.ph/GEPSNONPILOT/Tender/SplashBidNoticeAbstractUI.aspx?menuIndex=3&amp;refID=7044123&amp;Result=3","7044123")</f>
        <v>0</v>
      </c>
      <c r="B12770" t="s">
        <v>3271</v>
      </c>
      <c r="C12770" t="s">
        <v>15620</v>
      </c>
      <c r="D12770" t="s">
        <v>16612</v>
      </c>
      <c r="E12770" t="s">
        <v>27733</v>
      </c>
      <c r="F12770" t="s">
        <v>28669</v>
      </c>
      <c r="G12770" t="s">
        <v>28675</v>
      </c>
      <c r="H12770" t="s">
        <v>28686</v>
      </c>
      <c r="I12770" t="s">
        <v>28689</v>
      </c>
      <c r="J12770" t="s">
        <v>36624</v>
      </c>
      <c r="K12770" t="s">
        <v>37225</v>
      </c>
      <c r="L12770" t="s">
        <v>3271</v>
      </c>
      <c r="M12770" t="s">
        <v>41099</v>
      </c>
      <c r="N12770" t="s">
        <v>41249</v>
      </c>
      <c r="O12770" t="s">
        <v>41250</v>
      </c>
      <c r="P12770">
        <v>0</v>
      </c>
      <c r="Q12770">
        <v>0</v>
      </c>
      <c r="R12770" t="s">
        <v>41268</v>
      </c>
      <c r="S12770" t="s">
        <v>42129</v>
      </c>
      <c r="T12770" t="s">
        <v>42703</v>
      </c>
      <c r="U12770" t="s">
        <v>53428</v>
      </c>
      <c r="V12770" t="s">
        <v>55779</v>
      </c>
      <c r="W12770" t="s">
        <v>41099</v>
      </c>
      <c r="X12770" t="s">
        <v>41269</v>
      </c>
    </row>
    <row r="12771" spans="1:24">
      <c r="A12771">
        <f>HYPERLINK("https://www.philgeps.gov.ph/GEPSNONPILOT/Tender/SplashBidNoticeAbstractUI.aspx?menuIndex=3&amp;refID=7044117&amp;Result=3","7044117")</f>
        <v>0</v>
      </c>
      <c r="B12771" t="s">
        <v>1961</v>
      </c>
      <c r="C12771" t="s">
        <v>15621</v>
      </c>
      <c r="D12771" t="s">
        <v>16608</v>
      </c>
      <c r="E12771" t="s">
        <v>27734</v>
      </c>
      <c r="F12771" t="s">
        <v>28669</v>
      </c>
      <c r="G12771" t="s">
        <v>28675</v>
      </c>
      <c r="H12771" t="s">
        <v>9998</v>
      </c>
      <c r="I12771" t="s">
        <v>3718</v>
      </c>
      <c r="J12771" t="s">
        <v>35334</v>
      </c>
      <c r="K12771" t="s">
        <v>37213</v>
      </c>
      <c r="M12771" t="s">
        <v>40602</v>
      </c>
      <c r="N12771" t="s">
        <v>41249</v>
      </c>
      <c r="O12771" t="s">
        <v>41250</v>
      </c>
      <c r="P12771">
        <v>0</v>
      </c>
      <c r="Q12771">
        <v>14</v>
      </c>
      <c r="R12771" t="s">
        <v>41268</v>
      </c>
      <c r="S12771" t="s">
        <v>42129</v>
      </c>
      <c r="T12771" t="s">
        <v>42696</v>
      </c>
      <c r="U12771" t="s">
        <v>51356</v>
      </c>
      <c r="W12771" t="s">
        <v>40602</v>
      </c>
      <c r="X12771" t="s">
        <v>41269</v>
      </c>
    </row>
    <row r="12772" spans="1:24">
      <c r="A12772">
        <f>HYPERLINK("https://www.philgeps.gov.ph/GEPSNONPILOT/Tender/SplashBidNoticeAbstractUI.aspx?menuIndex=3&amp;refID=7044109&amp;Result=3","7044109")</f>
        <v>0</v>
      </c>
      <c r="B12772" t="s">
        <v>1961</v>
      </c>
      <c r="C12772" t="s">
        <v>15622</v>
      </c>
      <c r="D12772" t="s">
        <v>16608</v>
      </c>
      <c r="E12772" t="s">
        <v>27735</v>
      </c>
      <c r="F12772" t="s">
        <v>28669</v>
      </c>
      <c r="G12772" t="s">
        <v>28675</v>
      </c>
      <c r="H12772" t="s">
        <v>9998</v>
      </c>
      <c r="I12772" t="s">
        <v>28754</v>
      </c>
      <c r="J12772" t="s">
        <v>36625</v>
      </c>
      <c r="K12772" t="s">
        <v>37204</v>
      </c>
      <c r="M12772" t="s">
        <v>40602</v>
      </c>
      <c r="N12772" t="s">
        <v>41249</v>
      </c>
      <c r="O12772" t="s">
        <v>41250</v>
      </c>
      <c r="P12772">
        <v>0</v>
      </c>
      <c r="Q12772">
        <v>21</v>
      </c>
      <c r="R12772" t="s">
        <v>41268</v>
      </c>
      <c r="S12772" t="s">
        <v>42129</v>
      </c>
      <c r="T12772" t="s">
        <v>42696</v>
      </c>
      <c r="U12772" t="s">
        <v>51356</v>
      </c>
      <c r="W12772" t="s">
        <v>40602</v>
      </c>
      <c r="X12772" t="s">
        <v>41269</v>
      </c>
    </row>
    <row r="12773" spans="1:24">
      <c r="A12773">
        <f>HYPERLINK("https://www.philgeps.gov.ph/GEPSNONPILOT/Tender/SplashBidNoticeAbstractUI.aspx?menuIndex=3&amp;refID=7044098&amp;Result=3","7044098")</f>
        <v>0</v>
      </c>
      <c r="B12773" t="s">
        <v>295</v>
      </c>
      <c r="C12773" t="s">
        <v>15623</v>
      </c>
      <c r="D12773" t="s">
        <v>16648</v>
      </c>
      <c r="E12773" t="s">
        <v>27736</v>
      </c>
      <c r="F12773" t="s">
        <v>28669</v>
      </c>
      <c r="G12773" t="s">
        <v>28675</v>
      </c>
      <c r="H12773" t="s">
        <v>9998</v>
      </c>
      <c r="I12773" t="s">
        <v>7352</v>
      </c>
      <c r="J12773" t="s">
        <v>36626</v>
      </c>
      <c r="K12773" t="s">
        <v>37211</v>
      </c>
      <c r="L12773" t="s">
        <v>295</v>
      </c>
      <c r="M12773" t="s">
        <v>37774</v>
      </c>
      <c r="N12773" t="s">
        <v>41249</v>
      </c>
      <c r="O12773" t="s">
        <v>41250</v>
      </c>
      <c r="P12773">
        <v>0</v>
      </c>
      <c r="Q12773">
        <v>2</v>
      </c>
      <c r="R12773" t="s">
        <v>41268</v>
      </c>
      <c r="S12773" t="s">
        <v>42129</v>
      </c>
      <c r="T12773" t="s">
        <v>42670</v>
      </c>
      <c r="U12773" t="s">
        <v>53429</v>
      </c>
      <c r="V12773" t="s">
        <v>55780</v>
      </c>
      <c r="W12773" t="s">
        <v>37774</v>
      </c>
      <c r="X12773" t="s">
        <v>41269</v>
      </c>
    </row>
    <row r="12774" spans="1:24">
      <c r="A12774">
        <f>HYPERLINK("https://www.philgeps.gov.ph/GEPSNONPILOT/Tender/SplashBidNoticeAbstractUI.aspx?menuIndex=3&amp;refID=7044137&amp;Result=3","7044137")</f>
        <v>0</v>
      </c>
      <c r="B12774" t="s">
        <v>1961</v>
      </c>
      <c r="C12774" t="s">
        <v>15624</v>
      </c>
      <c r="D12774" t="s">
        <v>16608</v>
      </c>
      <c r="E12774" t="s">
        <v>27737</v>
      </c>
      <c r="F12774" t="s">
        <v>28669</v>
      </c>
      <c r="G12774" t="s">
        <v>28675</v>
      </c>
      <c r="H12774" t="s">
        <v>9998</v>
      </c>
      <c r="I12774" t="s">
        <v>28714</v>
      </c>
      <c r="J12774" t="s">
        <v>32073</v>
      </c>
      <c r="K12774" t="s">
        <v>37220</v>
      </c>
      <c r="M12774" t="s">
        <v>40602</v>
      </c>
      <c r="N12774" t="s">
        <v>41249</v>
      </c>
      <c r="O12774" t="s">
        <v>41250</v>
      </c>
      <c r="P12774">
        <v>0</v>
      </c>
      <c r="Q12774">
        <v>24</v>
      </c>
      <c r="R12774" t="s">
        <v>41268</v>
      </c>
      <c r="S12774" t="s">
        <v>42129</v>
      </c>
      <c r="T12774" t="s">
        <v>42696</v>
      </c>
      <c r="U12774" t="s">
        <v>51369</v>
      </c>
      <c r="W12774" t="s">
        <v>40602</v>
      </c>
      <c r="X12774" t="s">
        <v>41269</v>
      </c>
    </row>
    <row r="12775" spans="1:24">
      <c r="A12775">
        <f>HYPERLINK("https://www.philgeps.gov.ph/GEPSNONPILOT/Tender/SplashBidNoticeAbstractUI.aspx?menuIndex=3&amp;refID=7044094&amp;Result=3","7044094")</f>
        <v>0</v>
      </c>
      <c r="B12775" t="s">
        <v>295</v>
      </c>
      <c r="C12775" t="s">
        <v>15625</v>
      </c>
      <c r="D12775" t="s">
        <v>16648</v>
      </c>
      <c r="E12775" t="s">
        <v>27738</v>
      </c>
      <c r="F12775" t="s">
        <v>28669</v>
      </c>
      <c r="G12775" t="s">
        <v>28675</v>
      </c>
      <c r="H12775" t="s">
        <v>9998</v>
      </c>
      <c r="I12775" t="s">
        <v>7352</v>
      </c>
      <c r="J12775" t="s">
        <v>36627</v>
      </c>
      <c r="K12775" t="s">
        <v>37211</v>
      </c>
      <c r="L12775" t="s">
        <v>295</v>
      </c>
      <c r="M12775" t="s">
        <v>37774</v>
      </c>
      <c r="N12775" t="s">
        <v>41249</v>
      </c>
      <c r="O12775" t="s">
        <v>41250</v>
      </c>
      <c r="P12775">
        <v>0</v>
      </c>
      <c r="Q12775">
        <v>1</v>
      </c>
      <c r="R12775" t="s">
        <v>41268</v>
      </c>
      <c r="S12775" t="s">
        <v>42129</v>
      </c>
      <c r="T12775" t="s">
        <v>42670</v>
      </c>
      <c r="U12775" t="s">
        <v>53430</v>
      </c>
      <c r="V12775" t="s">
        <v>55781</v>
      </c>
      <c r="W12775" t="s">
        <v>37774</v>
      </c>
      <c r="X12775" t="s">
        <v>41269</v>
      </c>
    </row>
    <row r="12776" spans="1:24">
      <c r="A12776">
        <f>HYPERLINK("https://www.philgeps.gov.ph/GEPSNONPILOT/Tender/SplashBidNoticeAbstractUI.aspx?menuIndex=3&amp;refID=7044077&amp;Result=3","7044077")</f>
        <v>0</v>
      </c>
      <c r="B12776" t="s">
        <v>1544</v>
      </c>
      <c r="C12776" t="s">
        <v>15626</v>
      </c>
      <c r="D12776" t="s">
        <v>16676</v>
      </c>
      <c r="E12776" t="s">
        <v>27739</v>
      </c>
      <c r="F12776" t="s">
        <v>28669</v>
      </c>
      <c r="G12776" t="s">
        <v>28675</v>
      </c>
      <c r="H12776" t="s">
        <v>28686</v>
      </c>
      <c r="I12776" t="s">
        <v>28725</v>
      </c>
      <c r="J12776" t="s">
        <v>36628</v>
      </c>
      <c r="K12776" t="s">
        <v>37215</v>
      </c>
      <c r="M12776" t="s">
        <v>39119</v>
      </c>
      <c r="N12776" t="s">
        <v>41249</v>
      </c>
      <c r="O12776" t="s">
        <v>41250</v>
      </c>
      <c r="P12776">
        <v>0</v>
      </c>
      <c r="Q12776">
        <v>3</v>
      </c>
      <c r="R12776" t="s">
        <v>41268</v>
      </c>
      <c r="S12776" t="s">
        <v>42129</v>
      </c>
      <c r="T12776" t="s">
        <v>42711</v>
      </c>
      <c r="U12776" t="s">
        <v>53431</v>
      </c>
      <c r="V12776" t="s">
        <v>55773</v>
      </c>
      <c r="W12776" t="s">
        <v>39119</v>
      </c>
      <c r="X12776" t="s">
        <v>41269</v>
      </c>
    </row>
    <row r="12777" spans="1:24">
      <c r="A12777">
        <f>HYPERLINK("https://www.philgeps.gov.ph/GEPSNONPILOT/Tender/SplashBidNoticeAbstractUI.aspx?menuIndex=3&amp;refID=7044076&amp;Result=3","7044076")</f>
        <v>0</v>
      </c>
      <c r="B12777" t="s">
        <v>1544</v>
      </c>
      <c r="C12777" t="s">
        <v>15627</v>
      </c>
      <c r="D12777" t="s">
        <v>16676</v>
      </c>
      <c r="E12777" t="s">
        <v>27740</v>
      </c>
      <c r="F12777" t="s">
        <v>28669</v>
      </c>
      <c r="G12777" t="s">
        <v>28675</v>
      </c>
      <c r="H12777" t="s">
        <v>28686</v>
      </c>
      <c r="I12777" t="s">
        <v>28725</v>
      </c>
      <c r="J12777" t="s">
        <v>36629</v>
      </c>
      <c r="K12777" t="s">
        <v>37215</v>
      </c>
      <c r="M12777" t="s">
        <v>39119</v>
      </c>
      <c r="N12777" t="s">
        <v>41249</v>
      </c>
      <c r="O12777" t="s">
        <v>41250</v>
      </c>
      <c r="P12777">
        <v>0</v>
      </c>
      <c r="Q12777">
        <v>1</v>
      </c>
      <c r="R12777" t="s">
        <v>41268</v>
      </c>
      <c r="S12777" t="s">
        <v>42129</v>
      </c>
      <c r="T12777" t="s">
        <v>42711</v>
      </c>
      <c r="U12777" t="s">
        <v>53432</v>
      </c>
      <c r="V12777" t="s">
        <v>55773</v>
      </c>
      <c r="W12777" t="s">
        <v>39119</v>
      </c>
      <c r="X12777" t="s">
        <v>41269</v>
      </c>
    </row>
    <row r="12778" spans="1:24">
      <c r="A12778">
        <f>HYPERLINK("https://www.philgeps.gov.ph/GEPSNONPILOT/Tender/SplashBidNoticeAbstractUI.aspx?menuIndex=3&amp;refID=7044062&amp;Result=3","7044062")</f>
        <v>0</v>
      </c>
      <c r="B12778" t="s">
        <v>1544</v>
      </c>
      <c r="C12778" t="s">
        <v>15628</v>
      </c>
      <c r="D12778" t="s">
        <v>16676</v>
      </c>
      <c r="E12778" t="s">
        <v>27741</v>
      </c>
      <c r="F12778" t="s">
        <v>28669</v>
      </c>
      <c r="G12778" t="s">
        <v>28675</v>
      </c>
      <c r="H12778" t="s">
        <v>28686</v>
      </c>
      <c r="I12778" t="s">
        <v>28725</v>
      </c>
      <c r="J12778" t="s">
        <v>36630</v>
      </c>
      <c r="K12778" t="s">
        <v>37215</v>
      </c>
      <c r="M12778" t="s">
        <v>39119</v>
      </c>
      <c r="N12778" t="s">
        <v>41249</v>
      </c>
      <c r="O12778" t="s">
        <v>41250</v>
      </c>
      <c r="P12778">
        <v>0</v>
      </c>
      <c r="Q12778">
        <v>1</v>
      </c>
      <c r="R12778" t="s">
        <v>41268</v>
      </c>
      <c r="S12778" t="s">
        <v>42129</v>
      </c>
      <c r="T12778" t="s">
        <v>42711</v>
      </c>
      <c r="U12778" t="s">
        <v>53433</v>
      </c>
      <c r="V12778" t="s">
        <v>55773</v>
      </c>
      <c r="W12778" t="s">
        <v>39119</v>
      </c>
      <c r="X12778" t="s">
        <v>41269</v>
      </c>
    </row>
    <row r="12779" spans="1:24">
      <c r="A12779">
        <f>HYPERLINK("https://www.philgeps.gov.ph/GEPSNONPILOT/Tender/SplashBidNoticeAbstractUI.aspx?menuIndex=3&amp;refID=7044099&amp;Result=3","7044099")</f>
        <v>0</v>
      </c>
      <c r="B12779" t="s">
        <v>1961</v>
      </c>
      <c r="C12779" t="s">
        <v>15629</v>
      </c>
      <c r="D12779" t="s">
        <v>16608</v>
      </c>
      <c r="E12779" t="s">
        <v>27742</v>
      </c>
      <c r="F12779" t="s">
        <v>28669</v>
      </c>
      <c r="G12779" t="s">
        <v>28675</v>
      </c>
      <c r="H12779" t="s">
        <v>9998</v>
      </c>
      <c r="I12779" t="s">
        <v>28708</v>
      </c>
      <c r="J12779" t="s">
        <v>36631</v>
      </c>
      <c r="K12779" t="s">
        <v>37204</v>
      </c>
      <c r="M12779" t="s">
        <v>40602</v>
      </c>
      <c r="N12779" t="s">
        <v>41249</v>
      </c>
      <c r="O12779" t="s">
        <v>41250</v>
      </c>
      <c r="P12779">
        <v>0</v>
      </c>
      <c r="Q12779">
        <v>25</v>
      </c>
      <c r="R12779" t="s">
        <v>41268</v>
      </c>
      <c r="S12779" t="s">
        <v>42129</v>
      </c>
      <c r="T12779" t="s">
        <v>42696</v>
      </c>
      <c r="U12779" t="s">
        <v>51356</v>
      </c>
      <c r="W12779" t="s">
        <v>40602</v>
      </c>
      <c r="X12779" t="s">
        <v>41269</v>
      </c>
    </row>
    <row r="12780" spans="1:24">
      <c r="A12780">
        <f>HYPERLINK("https://www.philgeps.gov.ph/GEPSNONPILOT/Tender/SplashBidNoticeAbstractUI.aspx?menuIndex=3&amp;refID=7044073&amp;Result=3","7044073")</f>
        <v>0</v>
      </c>
      <c r="B12780" t="s">
        <v>1544</v>
      </c>
      <c r="C12780" t="s">
        <v>15630</v>
      </c>
      <c r="D12780" t="s">
        <v>16676</v>
      </c>
      <c r="E12780" t="s">
        <v>27743</v>
      </c>
      <c r="F12780" t="s">
        <v>28669</v>
      </c>
      <c r="G12780" t="s">
        <v>28675</v>
      </c>
      <c r="H12780" t="s">
        <v>28686</v>
      </c>
      <c r="I12780" t="s">
        <v>28725</v>
      </c>
      <c r="J12780" t="s">
        <v>36632</v>
      </c>
      <c r="K12780" t="s">
        <v>37215</v>
      </c>
      <c r="M12780" t="s">
        <v>39119</v>
      </c>
      <c r="N12780" t="s">
        <v>41249</v>
      </c>
      <c r="O12780" t="s">
        <v>41250</v>
      </c>
      <c r="P12780">
        <v>0</v>
      </c>
      <c r="Q12780">
        <v>1</v>
      </c>
      <c r="R12780" t="s">
        <v>41268</v>
      </c>
      <c r="S12780" t="s">
        <v>42129</v>
      </c>
      <c r="T12780" t="s">
        <v>42711</v>
      </c>
      <c r="U12780" t="s">
        <v>53434</v>
      </c>
      <c r="V12780" t="s">
        <v>55773</v>
      </c>
      <c r="W12780" t="s">
        <v>39119</v>
      </c>
      <c r="X12780" t="s">
        <v>41269</v>
      </c>
    </row>
    <row r="12781" spans="1:24">
      <c r="A12781">
        <f>HYPERLINK("https://www.philgeps.gov.ph/GEPSNONPILOT/Tender/SplashBidNoticeAbstractUI.aspx?menuIndex=3&amp;refID=7044042&amp;Result=3","7044042")</f>
        <v>0</v>
      </c>
      <c r="B12781" t="s">
        <v>1544</v>
      </c>
      <c r="C12781" t="s">
        <v>15631</v>
      </c>
      <c r="D12781" t="s">
        <v>16676</v>
      </c>
      <c r="E12781" t="s">
        <v>27744</v>
      </c>
      <c r="F12781" t="s">
        <v>28669</v>
      </c>
      <c r="G12781" t="s">
        <v>28675</v>
      </c>
      <c r="H12781" t="s">
        <v>28686</v>
      </c>
      <c r="I12781" t="s">
        <v>28725</v>
      </c>
      <c r="J12781" t="s">
        <v>36633</v>
      </c>
      <c r="K12781" t="s">
        <v>37215</v>
      </c>
      <c r="M12781" t="s">
        <v>39119</v>
      </c>
      <c r="N12781" t="s">
        <v>41249</v>
      </c>
      <c r="O12781" t="s">
        <v>41250</v>
      </c>
      <c r="P12781">
        <v>0</v>
      </c>
      <c r="Q12781">
        <v>4</v>
      </c>
      <c r="R12781" t="s">
        <v>41268</v>
      </c>
      <c r="S12781" t="s">
        <v>42129</v>
      </c>
      <c r="T12781" t="s">
        <v>42711</v>
      </c>
      <c r="U12781" t="s">
        <v>53435</v>
      </c>
      <c r="V12781" t="s">
        <v>55773</v>
      </c>
      <c r="W12781" t="s">
        <v>39119</v>
      </c>
      <c r="X12781" t="s">
        <v>41269</v>
      </c>
    </row>
    <row r="12782" spans="1:24">
      <c r="A12782">
        <f>HYPERLINK("https://www.philgeps.gov.ph/GEPSNONPILOT/Tender/SplashBidNoticeAbstractUI.aspx?menuIndex=3&amp;refID=7044041&amp;Result=3","7044041")</f>
        <v>0</v>
      </c>
      <c r="B12782" t="s">
        <v>1544</v>
      </c>
      <c r="C12782" t="s">
        <v>15632</v>
      </c>
      <c r="D12782" t="s">
        <v>16676</v>
      </c>
      <c r="E12782" t="s">
        <v>27745</v>
      </c>
      <c r="F12782" t="s">
        <v>28669</v>
      </c>
      <c r="G12782" t="s">
        <v>28675</v>
      </c>
      <c r="H12782" t="s">
        <v>28686</v>
      </c>
      <c r="I12782" t="s">
        <v>28725</v>
      </c>
      <c r="J12782" t="s">
        <v>36634</v>
      </c>
      <c r="K12782" t="s">
        <v>37215</v>
      </c>
      <c r="M12782" t="s">
        <v>39119</v>
      </c>
      <c r="N12782" t="s">
        <v>41249</v>
      </c>
      <c r="O12782" t="s">
        <v>41250</v>
      </c>
      <c r="P12782">
        <v>0</v>
      </c>
      <c r="Q12782">
        <v>1</v>
      </c>
      <c r="R12782" t="s">
        <v>41268</v>
      </c>
      <c r="S12782" t="s">
        <v>42129</v>
      </c>
      <c r="T12782" t="s">
        <v>42711</v>
      </c>
      <c r="U12782" t="s">
        <v>53436</v>
      </c>
      <c r="V12782" t="s">
        <v>55773</v>
      </c>
      <c r="W12782" t="s">
        <v>39119</v>
      </c>
      <c r="X12782" t="s">
        <v>41269</v>
      </c>
    </row>
    <row r="12783" spans="1:24">
      <c r="A12783">
        <f>HYPERLINK("https://www.philgeps.gov.ph/GEPSNONPILOT/Tender/SplashBidNoticeAbstractUI.aspx?menuIndex=3&amp;refID=7044182&amp;Result=3","7044182")</f>
        <v>0</v>
      </c>
      <c r="B12783" t="s">
        <v>3271</v>
      </c>
      <c r="C12783" t="s">
        <v>15633</v>
      </c>
      <c r="D12783" t="s">
        <v>16612</v>
      </c>
      <c r="E12783" t="s">
        <v>26647</v>
      </c>
      <c r="F12783" t="s">
        <v>28669</v>
      </c>
      <c r="G12783" t="s">
        <v>28675</v>
      </c>
      <c r="H12783" t="s">
        <v>28686</v>
      </c>
      <c r="I12783" t="s">
        <v>28689</v>
      </c>
      <c r="J12783" t="s">
        <v>36624</v>
      </c>
      <c r="K12783" t="s">
        <v>37363</v>
      </c>
      <c r="L12783" t="s">
        <v>3271</v>
      </c>
      <c r="M12783" t="s">
        <v>41099</v>
      </c>
      <c r="N12783" t="s">
        <v>41249</v>
      </c>
      <c r="O12783" t="s">
        <v>41250</v>
      </c>
      <c r="P12783">
        <v>0</v>
      </c>
      <c r="Q12783">
        <v>0</v>
      </c>
      <c r="R12783" t="s">
        <v>41268</v>
      </c>
      <c r="S12783" t="s">
        <v>42129</v>
      </c>
      <c r="T12783" t="s">
        <v>42703</v>
      </c>
      <c r="U12783" t="s">
        <v>53437</v>
      </c>
      <c r="V12783" t="s">
        <v>55779</v>
      </c>
      <c r="W12783" t="s">
        <v>41099</v>
      </c>
      <c r="X12783" t="s">
        <v>41269</v>
      </c>
    </row>
    <row r="12784" spans="1:24">
      <c r="A12784">
        <f>HYPERLINK("https://www.philgeps.gov.ph/GEPSNONPILOT/Tender/SplashBidNoticeAbstractUI.aspx?menuIndex=3&amp;refID=7044264&amp;Result=3","7044264")</f>
        <v>0</v>
      </c>
      <c r="B12784" t="s">
        <v>3272</v>
      </c>
      <c r="C12784" t="s">
        <v>15634</v>
      </c>
      <c r="D12784" t="s">
        <v>16668</v>
      </c>
      <c r="E12784" t="s">
        <v>27746</v>
      </c>
      <c r="F12784" t="s">
        <v>28669</v>
      </c>
      <c r="G12784" t="s">
        <v>28675</v>
      </c>
      <c r="H12784" t="s">
        <v>28686</v>
      </c>
      <c r="I12784" t="s">
        <v>28689</v>
      </c>
      <c r="J12784" t="s">
        <v>36635</v>
      </c>
      <c r="K12784" t="s">
        <v>37206</v>
      </c>
      <c r="M12784" t="s">
        <v>41100</v>
      </c>
      <c r="N12784" t="s">
        <v>41249</v>
      </c>
      <c r="O12784" t="s">
        <v>41250</v>
      </c>
      <c r="P12784">
        <v>0</v>
      </c>
      <c r="Q12784">
        <v>2</v>
      </c>
      <c r="R12784" t="s">
        <v>41268</v>
      </c>
      <c r="S12784" t="s">
        <v>42129</v>
      </c>
      <c r="T12784" t="s">
        <v>42759</v>
      </c>
      <c r="U12784" t="s">
        <v>53438</v>
      </c>
      <c r="W12784" t="s">
        <v>41100</v>
      </c>
      <c r="X12784" t="s">
        <v>41269</v>
      </c>
    </row>
    <row r="12785" spans="1:24">
      <c r="A12785">
        <f>HYPERLINK("https://www.philgeps.gov.ph/GEPSNONPILOT/Tender/SplashBidNoticeAbstractUI.aspx?menuIndex=3&amp;refID=7044261&amp;Result=3","7044261")</f>
        <v>0</v>
      </c>
      <c r="B12785" t="s">
        <v>3272</v>
      </c>
      <c r="C12785" t="s">
        <v>15635</v>
      </c>
      <c r="D12785" t="s">
        <v>16668</v>
      </c>
      <c r="E12785" t="s">
        <v>27747</v>
      </c>
      <c r="F12785" t="s">
        <v>28669</v>
      </c>
      <c r="G12785" t="s">
        <v>28675</v>
      </c>
      <c r="H12785" t="s">
        <v>28686</v>
      </c>
      <c r="I12785" t="s">
        <v>28689</v>
      </c>
      <c r="J12785" t="s">
        <v>36636</v>
      </c>
      <c r="K12785" t="s">
        <v>37253</v>
      </c>
      <c r="M12785" t="s">
        <v>41100</v>
      </c>
      <c r="N12785" t="s">
        <v>41249</v>
      </c>
      <c r="O12785" t="s">
        <v>41250</v>
      </c>
      <c r="P12785">
        <v>0</v>
      </c>
      <c r="Q12785">
        <v>2</v>
      </c>
      <c r="R12785" t="s">
        <v>41268</v>
      </c>
      <c r="S12785" t="s">
        <v>42129</v>
      </c>
      <c r="T12785" t="s">
        <v>42759</v>
      </c>
      <c r="U12785" t="s">
        <v>53439</v>
      </c>
      <c r="W12785" t="s">
        <v>41100</v>
      </c>
      <c r="X12785" t="s">
        <v>41269</v>
      </c>
    </row>
    <row r="12786" spans="1:24">
      <c r="A12786">
        <f>HYPERLINK("https://www.philgeps.gov.ph/GEPSNONPILOT/Tender/SplashBidNoticeAbstractUI.aspx?menuIndex=3&amp;refID=7044255&amp;Result=3","7044255")</f>
        <v>0</v>
      </c>
      <c r="B12786" t="s">
        <v>3273</v>
      </c>
      <c r="C12786" t="s">
        <v>15636</v>
      </c>
      <c r="D12786" t="s">
        <v>16648</v>
      </c>
      <c r="E12786" t="s">
        <v>27748</v>
      </c>
      <c r="F12786" t="s">
        <v>28669</v>
      </c>
      <c r="G12786" t="s">
        <v>28675</v>
      </c>
      <c r="H12786" t="s">
        <v>9998</v>
      </c>
      <c r="I12786" t="s">
        <v>3718</v>
      </c>
      <c r="J12786" t="s">
        <v>36637</v>
      </c>
      <c r="K12786" t="s">
        <v>37206</v>
      </c>
      <c r="M12786" t="s">
        <v>41101</v>
      </c>
      <c r="N12786" t="s">
        <v>41249</v>
      </c>
      <c r="O12786" t="s">
        <v>41250</v>
      </c>
      <c r="P12786">
        <v>0</v>
      </c>
      <c r="Q12786">
        <v>1</v>
      </c>
      <c r="R12786" t="s">
        <v>41268</v>
      </c>
      <c r="S12786" t="s">
        <v>42129</v>
      </c>
      <c r="T12786" t="s">
        <v>42858</v>
      </c>
      <c r="U12786" t="s">
        <v>53440</v>
      </c>
      <c r="W12786" t="s">
        <v>41101</v>
      </c>
      <c r="X12786" t="s">
        <v>41269</v>
      </c>
    </row>
    <row r="12787" spans="1:24">
      <c r="A12787">
        <f>HYPERLINK("https://www.philgeps.gov.ph/GEPSNONPILOT/Tender/SplashBidNoticeAbstractUI.aspx?menuIndex=3&amp;refID=7044251&amp;Result=3","7044251")</f>
        <v>0</v>
      </c>
      <c r="B12787" t="s">
        <v>1629</v>
      </c>
      <c r="C12787" t="s">
        <v>15637</v>
      </c>
      <c r="D12787" t="s">
        <v>16612</v>
      </c>
      <c r="E12787" t="s">
        <v>27749</v>
      </c>
      <c r="F12787" t="s">
        <v>28669</v>
      </c>
      <c r="G12787" t="s">
        <v>28675</v>
      </c>
      <c r="H12787" t="s">
        <v>9998</v>
      </c>
      <c r="I12787" t="s">
        <v>28708</v>
      </c>
      <c r="J12787" t="s">
        <v>29088</v>
      </c>
      <c r="K12787" t="s">
        <v>37205</v>
      </c>
      <c r="M12787" t="s">
        <v>39216</v>
      </c>
      <c r="N12787" t="s">
        <v>41249</v>
      </c>
      <c r="O12787" t="s">
        <v>41250</v>
      </c>
      <c r="P12787">
        <v>0</v>
      </c>
      <c r="Q12787">
        <v>0</v>
      </c>
      <c r="R12787" t="s">
        <v>41268</v>
      </c>
      <c r="S12787" t="s">
        <v>42129</v>
      </c>
      <c r="T12787" t="s">
        <v>42759</v>
      </c>
      <c r="U12787" t="s">
        <v>53441</v>
      </c>
      <c r="W12787" t="s">
        <v>39216</v>
      </c>
      <c r="X12787" t="s">
        <v>41269</v>
      </c>
    </row>
    <row r="12788" spans="1:24">
      <c r="A12788">
        <f>HYPERLINK("https://www.philgeps.gov.ph/GEPSNONPILOT/Tender/SplashBidNoticeAbstractUI.aspx?menuIndex=3&amp;refID=7044129&amp;Result=3","7044129")</f>
        <v>0</v>
      </c>
      <c r="B12788" t="s">
        <v>1961</v>
      </c>
      <c r="C12788" t="s">
        <v>15638</v>
      </c>
      <c r="D12788" t="s">
        <v>16608</v>
      </c>
      <c r="E12788" t="s">
        <v>27750</v>
      </c>
      <c r="F12788" t="s">
        <v>28669</v>
      </c>
      <c r="G12788" t="s">
        <v>28675</v>
      </c>
      <c r="H12788" t="s">
        <v>9998</v>
      </c>
      <c r="I12788" t="s">
        <v>28728</v>
      </c>
      <c r="J12788" t="s">
        <v>36638</v>
      </c>
      <c r="K12788" t="s">
        <v>37205</v>
      </c>
      <c r="M12788" t="s">
        <v>40602</v>
      </c>
      <c r="N12788" t="s">
        <v>41249</v>
      </c>
      <c r="O12788" t="s">
        <v>41250</v>
      </c>
      <c r="P12788">
        <v>0</v>
      </c>
      <c r="Q12788">
        <v>3</v>
      </c>
      <c r="R12788" t="s">
        <v>41268</v>
      </c>
      <c r="S12788" t="s">
        <v>42129</v>
      </c>
      <c r="T12788" t="s">
        <v>42696</v>
      </c>
      <c r="U12788" t="s">
        <v>53442</v>
      </c>
      <c r="W12788" t="s">
        <v>40602</v>
      </c>
      <c r="X12788" t="s">
        <v>41269</v>
      </c>
    </row>
    <row r="12789" spans="1:24">
      <c r="A12789">
        <f>HYPERLINK("https://www.philgeps.gov.ph/GEPSNONPILOT/Tender/SplashBidNoticeAbstractUI.aspx?menuIndex=3&amp;refID=7044248&amp;Result=3","7044248")</f>
        <v>0</v>
      </c>
      <c r="B12789" t="s">
        <v>3273</v>
      </c>
      <c r="C12789" t="s">
        <v>15639</v>
      </c>
      <c r="D12789" t="s">
        <v>16648</v>
      </c>
      <c r="E12789" t="s">
        <v>27751</v>
      </c>
      <c r="F12789" t="s">
        <v>28669</v>
      </c>
      <c r="G12789" t="s">
        <v>28675</v>
      </c>
      <c r="H12789" t="s">
        <v>9998</v>
      </c>
      <c r="I12789" t="s">
        <v>28687</v>
      </c>
      <c r="J12789" t="s">
        <v>36639</v>
      </c>
      <c r="K12789" t="s">
        <v>37206</v>
      </c>
      <c r="M12789" t="s">
        <v>41101</v>
      </c>
      <c r="N12789" t="s">
        <v>41249</v>
      </c>
      <c r="O12789" t="s">
        <v>41250</v>
      </c>
      <c r="P12789">
        <v>0</v>
      </c>
      <c r="Q12789">
        <v>2</v>
      </c>
      <c r="R12789" t="s">
        <v>41268</v>
      </c>
      <c r="S12789" t="s">
        <v>42129</v>
      </c>
      <c r="T12789" t="s">
        <v>42858</v>
      </c>
      <c r="U12789" t="s">
        <v>53443</v>
      </c>
      <c r="W12789" t="s">
        <v>41101</v>
      </c>
      <c r="X12789" t="s">
        <v>41269</v>
      </c>
    </row>
    <row r="12790" spans="1:24">
      <c r="A12790">
        <f>HYPERLINK("https://www.philgeps.gov.ph/GEPSNONPILOT/Tender/SplashBidNoticeAbstractUI.aspx?menuIndex=3&amp;refID=7044241&amp;Result=3","7044241")</f>
        <v>0</v>
      </c>
      <c r="B12790" t="s">
        <v>3274</v>
      </c>
      <c r="C12790" t="s">
        <v>15640</v>
      </c>
      <c r="D12790" t="s">
        <v>16608</v>
      </c>
      <c r="E12790" t="s">
        <v>16803</v>
      </c>
      <c r="F12790" t="s">
        <v>28669</v>
      </c>
      <c r="G12790" t="s">
        <v>28675</v>
      </c>
      <c r="H12790" t="s">
        <v>28684</v>
      </c>
      <c r="I12790" t="s">
        <v>28701</v>
      </c>
      <c r="J12790" t="s">
        <v>36640</v>
      </c>
      <c r="K12790" t="s">
        <v>37238</v>
      </c>
      <c r="M12790" t="s">
        <v>41102</v>
      </c>
      <c r="N12790" t="s">
        <v>41249</v>
      </c>
      <c r="O12790" t="s">
        <v>41250</v>
      </c>
      <c r="P12790">
        <v>0</v>
      </c>
      <c r="Q12790">
        <v>4</v>
      </c>
      <c r="R12790" t="s">
        <v>41268</v>
      </c>
      <c r="S12790" t="s">
        <v>42129</v>
      </c>
      <c r="T12790" t="s">
        <v>42673</v>
      </c>
      <c r="U12790" t="s">
        <v>53444</v>
      </c>
      <c r="V12790" t="s">
        <v>55782</v>
      </c>
      <c r="W12790" t="s">
        <v>41102</v>
      </c>
      <c r="X12790" t="s">
        <v>41269</v>
      </c>
    </row>
    <row r="12791" spans="1:24">
      <c r="A12791">
        <f>HYPERLINK("https://www.philgeps.gov.ph/GEPSNONPILOT/Tender/SplashBidNoticeAbstractUI.aspx?menuIndex=3&amp;refID=7044234&amp;Result=3","7044234")</f>
        <v>0</v>
      </c>
      <c r="B12791" t="s">
        <v>3274</v>
      </c>
      <c r="C12791" t="s">
        <v>15641</v>
      </c>
      <c r="D12791" t="s">
        <v>16608</v>
      </c>
      <c r="E12791" t="s">
        <v>17140</v>
      </c>
      <c r="F12791" t="s">
        <v>28669</v>
      </c>
      <c r="G12791" t="s">
        <v>28675</v>
      </c>
      <c r="H12791" t="s">
        <v>28684</v>
      </c>
      <c r="I12791" t="s">
        <v>10128</v>
      </c>
      <c r="J12791" t="s">
        <v>36641</v>
      </c>
      <c r="K12791" t="s">
        <v>37238</v>
      </c>
      <c r="M12791" t="s">
        <v>41102</v>
      </c>
      <c r="N12791" t="s">
        <v>41249</v>
      </c>
      <c r="O12791" t="s">
        <v>41250</v>
      </c>
      <c r="P12791">
        <v>0</v>
      </c>
      <c r="Q12791">
        <v>13</v>
      </c>
      <c r="R12791" t="s">
        <v>41268</v>
      </c>
      <c r="S12791" t="s">
        <v>42129</v>
      </c>
      <c r="T12791" t="s">
        <v>42673</v>
      </c>
      <c r="U12791" t="s">
        <v>53445</v>
      </c>
      <c r="V12791" t="s">
        <v>55782</v>
      </c>
      <c r="W12791" t="s">
        <v>41102</v>
      </c>
      <c r="X12791" t="s">
        <v>41269</v>
      </c>
    </row>
    <row r="12792" spans="1:24">
      <c r="A12792">
        <f>HYPERLINK("https://www.philgeps.gov.ph/GEPSNONPILOT/Tender/SplashBidNoticeAbstractUI.aspx?menuIndex=3&amp;refID=7044068&amp;Result=3","7044068")</f>
        <v>0</v>
      </c>
      <c r="B12792" t="s">
        <v>1544</v>
      </c>
      <c r="C12792" t="s">
        <v>15642</v>
      </c>
      <c r="D12792" t="s">
        <v>16676</v>
      </c>
      <c r="E12792" t="s">
        <v>27752</v>
      </c>
      <c r="F12792" t="s">
        <v>28669</v>
      </c>
      <c r="G12792" t="s">
        <v>28675</v>
      </c>
      <c r="H12792" t="s">
        <v>28686</v>
      </c>
      <c r="I12792" t="s">
        <v>28725</v>
      </c>
      <c r="J12792" t="s">
        <v>36642</v>
      </c>
      <c r="K12792" t="s">
        <v>37215</v>
      </c>
      <c r="M12792" t="s">
        <v>39119</v>
      </c>
      <c r="N12792" t="s">
        <v>41249</v>
      </c>
      <c r="O12792" t="s">
        <v>41250</v>
      </c>
      <c r="P12792">
        <v>0</v>
      </c>
      <c r="Q12792">
        <v>3</v>
      </c>
      <c r="R12792" t="s">
        <v>41268</v>
      </c>
      <c r="S12792" t="s">
        <v>42129</v>
      </c>
      <c r="T12792" t="s">
        <v>42711</v>
      </c>
      <c r="U12792" t="s">
        <v>53446</v>
      </c>
      <c r="V12792" t="s">
        <v>55773</v>
      </c>
      <c r="W12792" t="s">
        <v>39119</v>
      </c>
      <c r="X12792" t="s">
        <v>41269</v>
      </c>
    </row>
    <row r="12793" spans="1:24">
      <c r="A12793">
        <f>HYPERLINK("https://www.philgeps.gov.ph/GEPSNONPILOT/Tender/SplashBidNoticeAbstractUI.aspx?menuIndex=3&amp;refID=7044227&amp;Result=3","7044227")</f>
        <v>0</v>
      </c>
      <c r="B12793" t="s">
        <v>2925</v>
      </c>
      <c r="C12793" t="s">
        <v>15643</v>
      </c>
      <c r="D12793" t="s">
        <v>16615</v>
      </c>
      <c r="E12793" t="s">
        <v>27753</v>
      </c>
      <c r="F12793" t="s">
        <v>28669</v>
      </c>
      <c r="G12793" t="s">
        <v>28675</v>
      </c>
      <c r="H12793" t="s">
        <v>9998</v>
      </c>
      <c r="I12793" t="s">
        <v>28722</v>
      </c>
      <c r="J12793" t="s">
        <v>36643</v>
      </c>
      <c r="K12793" t="s">
        <v>37220</v>
      </c>
      <c r="M12793" t="s">
        <v>40678</v>
      </c>
      <c r="N12793" t="s">
        <v>41249</v>
      </c>
      <c r="O12793" t="s">
        <v>41250</v>
      </c>
      <c r="P12793">
        <v>0</v>
      </c>
      <c r="Q12793">
        <v>5</v>
      </c>
      <c r="R12793" t="s">
        <v>41268</v>
      </c>
      <c r="S12793" t="s">
        <v>42129</v>
      </c>
      <c r="T12793" t="s">
        <v>42727</v>
      </c>
      <c r="U12793" t="s">
        <v>51779</v>
      </c>
      <c r="W12793" t="s">
        <v>40678</v>
      </c>
      <c r="X12793" t="s">
        <v>41269</v>
      </c>
    </row>
    <row r="12794" spans="1:24">
      <c r="A12794">
        <f>HYPERLINK("https://www.philgeps.gov.ph/GEPSNONPILOT/Tender/SplashBidNoticeAbstractUI.aspx?menuIndex=3&amp;refID=7044226&amp;Result=3","7044226")</f>
        <v>0</v>
      </c>
      <c r="B12794" t="s">
        <v>1629</v>
      </c>
      <c r="C12794" t="s">
        <v>15644</v>
      </c>
      <c r="D12794" t="s">
        <v>16612</v>
      </c>
      <c r="E12794" t="s">
        <v>27754</v>
      </c>
      <c r="F12794" t="s">
        <v>28669</v>
      </c>
      <c r="G12794" t="s">
        <v>28675</v>
      </c>
      <c r="H12794" t="s">
        <v>9998</v>
      </c>
      <c r="I12794" t="s">
        <v>28719</v>
      </c>
      <c r="J12794" t="s">
        <v>36644</v>
      </c>
      <c r="K12794" t="s">
        <v>37205</v>
      </c>
      <c r="M12794" t="s">
        <v>39216</v>
      </c>
      <c r="N12794" t="s">
        <v>41249</v>
      </c>
      <c r="O12794" t="s">
        <v>41250</v>
      </c>
      <c r="P12794">
        <v>0</v>
      </c>
      <c r="Q12794">
        <v>3</v>
      </c>
      <c r="R12794" t="s">
        <v>41268</v>
      </c>
      <c r="S12794" t="s">
        <v>42129</v>
      </c>
      <c r="T12794" t="s">
        <v>42759</v>
      </c>
      <c r="U12794" t="s">
        <v>53447</v>
      </c>
      <c r="W12794" t="s">
        <v>39216</v>
      </c>
      <c r="X12794" t="s">
        <v>41269</v>
      </c>
    </row>
    <row r="12795" spans="1:24">
      <c r="A12795">
        <f>HYPERLINK("https://www.philgeps.gov.ph/GEPSNONPILOT/Tender/SplashBidNoticeAbstractUI.aspx?menuIndex=3&amp;refID=7044221&amp;Result=3","7044221")</f>
        <v>0</v>
      </c>
      <c r="B12795" t="s">
        <v>100</v>
      </c>
      <c r="C12795" t="s">
        <v>15645</v>
      </c>
      <c r="D12795" t="s">
        <v>16608</v>
      </c>
      <c r="E12795" t="s">
        <v>27755</v>
      </c>
      <c r="F12795" t="s">
        <v>28669</v>
      </c>
      <c r="G12795" t="s">
        <v>28675</v>
      </c>
      <c r="H12795" t="s">
        <v>9998</v>
      </c>
      <c r="I12795" t="s">
        <v>11593</v>
      </c>
      <c r="J12795" t="s">
        <v>35668</v>
      </c>
      <c r="K12795" t="s">
        <v>37209</v>
      </c>
      <c r="M12795" t="s">
        <v>41103</v>
      </c>
      <c r="N12795" t="s">
        <v>41249</v>
      </c>
      <c r="O12795" t="s">
        <v>41250</v>
      </c>
      <c r="Q12795">
        <v>13</v>
      </c>
      <c r="R12795" t="s">
        <v>41268</v>
      </c>
      <c r="S12795" t="s">
        <v>42138</v>
      </c>
      <c r="T12795" t="s">
        <v>42783</v>
      </c>
      <c r="U12795" t="s">
        <v>53448</v>
      </c>
      <c r="V12795" t="s">
        <v>55783</v>
      </c>
      <c r="W12795" t="s">
        <v>41103</v>
      </c>
      <c r="X12795" t="s">
        <v>41269</v>
      </c>
    </row>
    <row r="12796" spans="1:24">
      <c r="A12796">
        <f>HYPERLINK("https://www.philgeps.gov.ph/GEPSNONPILOT/Tender/SplashBidNoticeAbstractUI.aspx?menuIndex=3&amp;refID=7044215&amp;Result=3","7044215")</f>
        <v>0</v>
      </c>
      <c r="B12796" t="s">
        <v>1838</v>
      </c>
      <c r="C12796" t="s">
        <v>15646</v>
      </c>
      <c r="D12796" t="s">
        <v>16629</v>
      </c>
      <c r="E12796" t="s">
        <v>27756</v>
      </c>
      <c r="F12796" t="s">
        <v>28669</v>
      </c>
      <c r="G12796" t="s">
        <v>28675</v>
      </c>
      <c r="H12796" t="s">
        <v>9998</v>
      </c>
      <c r="I12796" t="s">
        <v>28695</v>
      </c>
      <c r="J12796" t="s">
        <v>36645</v>
      </c>
      <c r="K12796" t="s">
        <v>37206</v>
      </c>
      <c r="M12796" t="s">
        <v>39452</v>
      </c>
      <c r="N12796" t="s">
        <v>41249</v>
      </c>
      <c r="O12796" t="s">
        <v>41250</v>
      </c>
      <c r="Q12796">
        <v>0</v>
      </c>
      <c r="R12796" t="s">
        <v>41268</v>
      </c>
      <c r="S12796" t="s">
        <v>42155</v>
      </c>
      <c r="T12796" t="s">
        <v>42976</v>
      </c>
      <c r="U12796" t="s">
        <v>53449</v>
      </c>
      <c r="W12796" t="s">
        <v>39452</v>
      </c>
      <c r="X12796" t="s">
        <v>41269</v>
      </c>
    </row>
    <row r="12797" spans="1:24">
      <c r="A12797">
        <f>HYPERLINK("https://www.philgeps.gov.ph/GEPSNONPILOT/Tender/SplashBidNoticeAbstractUI.aspx?menuIndex=3&amp;refID=7044197&amp;Result=3","7044197")</f>
        <v>0</v>
      </c>
      <c r="B12797" t="s">
        <v>3271</v>
      </c>
      <c r="C12797" t="s">
        <v>15647</v>
      </c>
      <c r="D12797" t="s">
        <v>16612</v>
      </c>
      <c r="E12797" t="s">
        <v>27757</v>
      </c>
      <c r="F12797" t="s">
        <v>28669</v>
      </c>
      <c r="G12797" t="s">
        <v>28675</v>
      </c>
      <c r="H12797" t="s">
        <v>28686</v>
      </c>
      <c r="I12797" t="s">
        <v>28689</v>
      </c>
      <c r="J12797" t="s">
        <v>36646</v>
      </c>
      <c r="K12797" t="s">
        <v>37250</v>
      </c>
      <c r="L12797" t="s">
        <v>3271</v>
      </c>
      <c r="M12797" t="s">
        <v>41099</v>
      </c>
      <c r="N12797" t="s">
        <v>41249</v>
      </c>
      <c r="O12797" t="s">
        <v>41250</v>
      </c>
      <c r="P12797">
        <v>0</v>
      </c>
      <c r="Q12797">
        <v>0</v>
      </c>
      <c r="R12797" t="s">
        <v>41268</v>
      </c>
      <c r="S12797" t="s">
        <v>42129</v>
      </c>
      <c r="T12797" t="s">
        <v>42703</v>
      </c>
      <c r="U12797" t="s">
        <v>53450</v>
      </c>
      <c r="V12797" t="s">
        <v>55779</v>
      </c>
      <c r="W12797" t="s">
        <v>41099</v>
      </c>
      <c r="X12797" t="s">
        <v>41269</v>
      </c>
    </row>
    <row r="12798" spans="1:24">
      <c r="A12798">
        <f>HYPERLINK("https://www.philgeps.gov.ph/GEPSNONPILOT/Tender/SplashBidNoticeAbstractUI.aspx?menuIndex=3&amp;refID=7044088&amp;Result=3","7044088")</f>
        <v>0</v>
      </c>
      <c r="B12798" t="s">
        <v>2304</v>
      </c>
      <c r="C12798" t="s">
        <v>15648</v>
      </c>
      <c r="D12798" t="s">
        <v>16671</v>
      </c>
      <c r="E12798" t="s">
        <v>27758</v>
      </c>
      <c r="F12798" t="s">
        <v>28669</v>
      </c>
      <c r="G12798" t="s">
        <v>28675</v>
      </c>
      <c r="H12798" t="s">
        <v>9998</v>
      </c>
      <c r="I12798" t="s">
        <v>28704</v>
      </c>
      <c r="J12798" t="s">
        <v>36647</v>
      </c>
      <c r="K12798" t="s">
        <v>37221</v>
      </c>
      <c r="M12798" t="s">
        <v>39963</v>
      </c>
      <c r="N12798" t="s">
        <v>41249</v>
      </c>
      <c r="O12798" t="s">
        <v>41250</v>
      </c>
      <c r="P12798">
        <v>0</v>
      </c>
      <c r="Q12798">
        <v>0</v>
      </c>
      <c r="R12798" t="s">
        <v>41268</v>
      </c>
      <c r="S12798" t="s">
        <v>42129</v>
      </c>
      <c r="T12798" t="s">
        <v>42663</v>
      </c>
      <c r="U12798" t="s">
        <v>53451</v>
      </c>
      <c r="W12798" t="s">
        <v>39963</v>
      </c>
      <c r="X12798" t="s">
        <v>41269</v>
      </c>
    </row>
    <row r="12799" spans="1:24">
      <c r="A12799">
        <f>HYPERLINK("https://www.philgeps.gov.ph/GEPSNONPILOT/Tender/SplashBidNoticeAbstractUI.aspx?menuIndex=3&amp;refID=7044191&amp;Result=3","7044191")</f>
        <v>0</v>
      </c>
      <c r="B12799" t="s">
        <v>3271</v>
      </c>
      <c r="C12799" t="s">
        <v>15649</v>
      </c>
      <c r="D12799" t="s">
        <v>16612</v>
      </c>
      <c r="E12799" t="s">
        <v>27759</v>
      </c>
      <c r="F12799" t="s">
        <v>28669</v>
      </c>
      <c r="G12799" t="s">
        <v>28675</v>
      </c>
      <c r="H12799" t="s">
        <v>28686</v>
      </c>
      <c r="I12799" t="s">
        <v>28689</v>
      </c>
      <c r="J12799" t="s">
        <v>36648</v>
      </c>
      <c r="K12799" t="s">
        <v>37221</v>
      </c>
      <c r="L12799" t="s">
        <v>3271</v>
      </c>
      <c r="M12799" t="s">
        <v>41099</v>
      </c>
      <c r="N12799" t="s">
        <v>41249</v>
      </c>
      <c r="O12799" t="s">
        <v>41250</v>
      </c>
      <c r="P12799">
        <v>0</v>
      </c>
      <c r="Q12799">
        <v>0</v>
      </c>
      <c r="R12799" t="s">
        <v>41268</v>
      </c>
      <c r="S12799" t="s">
        <v>42129</v>
      </c>
      <c r="T12799" t="s">
        <v>42703</v>
      </c>
      <c r="U12799" t="s">
        <v>53452</v>
      </c>
      <c r="V12799" t="s">
        <v>55779</v>
      </c>
      <c r="W12799" t="s">
        <v>41099</v>
      </c>
      <c r="X12799" t="s">
        <v>41269</v>
      </c>
    </row>
    <row r="12800" spans="1:24">
      <c r="A12800">
        <f>HYPERLINK("https://www.philgeps.gov.ph/GEPSNONPILOT/Tender/SplashBidNoticeAbstractUI.aspx?menuIndex=3&amp;refID=7044176&amp;Result=3","7044176")</f>
        <v>0</v>
      </c>
      <c r="B12800" t="s">
        <v>3271</v>
      </c>
      <c r="C12800" t="s">
        <v>15650</v>
      </c>
      <c r="D12800" t="s">
        <v>16612</v>
      </c>
      <c r="E12800" t="s">
        <v>27760</v>
      </c>
      <c r="F12800" t="s">
        <v>28669</v>
      </c>
      <c r="G12800" t="s">
        <v>28675</v>
      </c>
      <c r="H12800" t="s">
        <v>28686</v>
      </c>
      <c r="I12800" t="s">
        <v>28689</v>
      </c>
      <c r="J12800" t="s">
        <v>36649</v>
      </c>
      <c r="K12800" t="s">
        <v>37363</v>
      </c>
      <c r="L12800" t="s">
        <v>3271</v>
      </c>
      <c r="M12800" t="s">
        <v>41099</v>
      </c>
      <c r="N12800" t="s">
        <v>41249</v>
      </c>
      <c r="O12800" t="s">
        <v>41250</v>
      </c>
      <c r="P12800">
        <v>0</v>
      </c>
      <c r="Q12800">
        <v>0</v>
      </c>
      <c r="R12800" t="s">
        <v>41268</v>
      </c>
      <c r="S12800" t="s">
        <v>42129</v>
      </c>
      <c r="T12800" t="s">
        <v>42703</v>
      </c>
      <c r="U12800" t="s">
        <v>53453</v>
      </c>
      <c r="V12800" t="s">
        <v>55779</v>
      </c>
      <c r="W12800" t="s">
        <v>41099</v>
      </c>
      <c r="X12800" t="s">
        <v>41269</v>
      </c>
    </row>
    <row r="12801" spans="1:24">
      <c r="A12801">
        <f>HYPERLINK("https://www.philgeps.gov.ph/GEPSNONPILOT/Tender/SplashBidNoticeAbstractUI.aspx?menuIndex=3&amp;refID=7044220&amp;Result=3","7044220")</f>
        <v>0</v>
      </c>
      <c r="B12801" t="s">
        <v>1629</v>
      </c>
      <c r="C12801" t="s">
        <v>15651</v>
      </c>
      <c r="D12801" t="s">
        <v>16612</v>
      </c>
      <c r="E12801" t="s">
        <v>27761</v>
      </c>
      <c r="F12801" t="s">
        <v>28669</v>
      </c>
      <c r="G12801" t="s">
        <v>28675</v>
      </c>
      <c r="H12801" t="s">
        <v>9998</v>
      </c>
      <c r="I12801" t="s">
        <v>3718</v>
      </c>
      <c r="J12801" t="s">
        <v>32468</v>
      </c>
      <c r="K12801" t="s">
        <v>37205</v>
      </c>
      <c r="M12801" t="s">
        <v>39216</v>
      </c>
      <c r="N12801" t="s">
        <v>41249</v>
      </c>
      <c r="O12801" t="s">
        <v>41250</v>
      </c>
      <c r="P12801">
        <v>0</v>
      </c>
      <c r="Q12801">
        <v>1</v>
      </c>
      <c r="R12801" t="s">
        <v>41268</v>
      </c>
      <c r="S12801" t="s">
        <v>42129</v>
      </c>
      <c r="T12801" t="s">
        <v>42759</v>
      </c>
      <c r="U12801" t="s">
        <v>53454</v>
      </c>
      <c r="W12801" t="s">
        <v>39216</v>
      </c>
      <c r="X12801" t="s">
        <v>41269</v>
      </c>
    </row>
    <row r="12802" spans="1:24">
      <c r="A12802">
        <f>HYPERLINK("https://www.philgeps.gov.ph/GEPSNONPILOT/Tender/SplashBidNoticeAbstractUI.aspx?menuIndex=3&amp;refID=7044201&amp;Result=3","7044201")</f>
        <v>0</v>
      </c>
      <c r="B12802" t="s">
        <v>3271</v>
      </c>
      <c r="C12802" t="s">
        <v>15652</v>
      </c>
      <c r="D12802" t="s">
        <v>16612</v>
      </c>
      <c r="E12802" t="s">
        <v>27762</v>
      </c>
      <c r="F12802" t="s">
        <v>28669</v>
      </c>
      <c r="G12802" t="s">
        <v>28675</v>
      </c>
      <c r="H12802" t="s">
        <v>9998</v>
      </c>
      <c r="I12802" t="s">
        <v>28688</v>
      </c>
      <c r="J12802" t="s">
        <v>36650</v>
      </c>
      <c r="K12802" t="s">
        <v>37229</v>
      </c>
      <c r="L12802" t="s">
        <v>3271</v>
      </c>
      <c r="M12802" t="s">
        <v>41099</v>
      </c>
      <c r="N12802" t="s">
        <v>41249</v>
      </c>
      <c r="O12802" t="s">
        <v>41250</v>
      </c>
      <c r="P12802">
        <v>0</v>
      </c>
      <c r="Q12802">
        <v>5</v>
      </c>
      <c r="R12802" t="s">
        <v>41268</v>
      </c>
      <c r="S12802" t="s">
        <v>42129</v>
      </c>
      <c r="T12802" t="s">
        <v>42703</v>
      </c>
      <c r="U12802" t="s">
        <v>53455</v>
      </c>
      <c r="V12802" t="s">
        <v>55779</v>
      </c>
      <c r="W12802" t="s">
        <v>41099</v>
      </c>
      <c r="X12802" t="s">
        <v>41269</v>
      </c>
    </row>
    <row r="12803" spans="1:24">
      <c r="A12803">
        <f>HYPERLINK("https://www.philgeps.gov.ph/GEPSNONPILOT/Tender/SplashBidNoticeAbstractUI.aspx?menuIndex=3&amp;refID=7044245&amp;Result=3","7044245")</f>
        <v>0</v>
      </c>
      <c r="B12803" t="s">
        <v>3275</v>
      </c>
      <c r="C12803" t="s">
        <v>15653</v>
      </c>
      <c r="D12803" t="s">
        <v>16675</v>
      </c>
      <c r="E12803" t="s">
        <v>17149</v>
      </c>
      <c r="F12803" t="s">
        <v>28671</v>
      </c>
      <c r="G12803" t="s">
        <v>28675</v>
      </c>
      <c r="H12803" t="s">
        <v>9998</v>
      </c>
      <c r="I12803" t="s">
        <v>7352</v>
      </c>
      <c r="J12803" t="s">
        <v>36651</v>
      </c>
      <c r="K12803" t="s">
        <v>37205</v>
      </c>
      <c r="M12803" t="s">
        <v>41104</v>
      </c>
      <c r="N12803" t="s">
        <v>41249</v>
      </c>
      <c r="O12803" t="s">
        <v>41250</v>
      </c>
      <c r="P12803">
        <v>0</v>
      </c>
      <c r="Q12803">
        <v>0</v>
      </c>
      <c r="R12803" t="s">
        <v>41268</v>
      </c>
      <c r="S12803" t="s">
        <v>42129</v>
      </c>
      <c r="T12803" t="s">
        <v>42938</v>
      </c>
      <c r="U12803" t="s">
        <v>43851</v>
      </c>
      <c r="W12803" t="s">
        <v>41104</v>
      </c>
      <c r="X12803" t="s">
        <v>41269</v>
      </c>
    </row>
    <row r="12804" spans="1:24">
      <c r="A12804">
        <f>HYPERLINK("https://www.philgeps.gov.ph/GEPSNONPILOT/Tender/SplashBidNoticeAbstractUI.aspx?menuIndex=3&amp;refID=7044035&amp;Result=3","7044035")</f>
        <v>0</v>
      </c>
      <c r="B12804" t="s">
        <v>3276</v>
      </c>
      <c r="C12804" t="s">
        <v>6122</v>
      </c>
      <c r="D12804" t="s">
        <v>16626</v>
      </c>
      <c r="E12804" t="s">
        <v>16820</v>
      </c>
      <c r="F12804" t="s">
        <v>28669</v>
      </c>
      <c r="G12804" t="s">
        <v>28675</v>
      </c>
      <c r="H12804" t="s">
        <v>9998</v>
      </c>
      <c r="I12804" t="s">
        <v>6128</v>
      </c>
      <c r="J12804" t="s">
        <v>29797</v>
      </c>
      <c r="K12804" t="s">
        <v>37209</v>
      </c>
      <c r="M12804" t="s">
        <v>41105</v>
      </c>
      <c r="N12804" t="s">
        <v>41249</v>
      </c>
      <c r="O12804" t="s">
        <v>41250</v>
      </c>
      <c r="P12804">
        <v>0</v>
      </c>
      <c r="Q12804">
        <v>0</v>
      </c>
      <c r="R12804" t="s">
        <v>41268</v>
      </c>
      <c r="S12804" t="s">
        <v>42129</v>
      </c>
      <c r="T12804" t="s">
        <v>42694</v>
      </c>
      <c r="U12804" t="s">
        <v>53456</v>
      </c>
      <c r="W12804" t="s">
        <v>41105</v>
      </c>
      <c r="X12804" t="s">
        <v>41269</v>
      </c>
    </row>
    <row r="12805" spans="1:24">
      <c r="A12805">
        <f>HYPERLINK("https://www.philgeps.gov.ph/GEPSNONPILOT/Tender/SplashBidNoticeAbstractUI.aspx?menuIndex=3&amp;refID=7043927&amp;Result=3","7043927")</f>
        <v>0</v>
      </c>
      <c r="B12805" t="s">
        <v>3270</v>
      </c>
      <c r="C12805" t="s">
        <v>15654</v>
      </c>
      <c r="D12805" t="s">
        <v>16667</v>
      </c>
      <c r="E12805" t="s">
        <v>27707</v>
      </c>
      <c r="F12805" t="s">
        <v>28669</v>
      </c>
      <c r="G12805" t="s">
        <v>28675</v>
      </c>
      <c r="H12805" t="s">
        <v>28686</v>
      </c>
      <c r="I12805" t="s">
        <v>28689</v>
      </c>
      <c r="J12805" t="s">
        <v>36652</v>
      </c>
      <c r="K12805" t="s">
        <v>37215</v>
      </c>
      <c r="M12805" t="s">
        <v>41098</v>
      </c>
      <c r="N12805" t="s">
        <v>41249</v>
      </c>
      <c r="O12805" t="s">
        <v>41250</v>
      </c>
      <c r="Q12805">
        <v>37</v>
      </c>
      <c r="R12805" t="s">
        <v>41268</v>
      </c>
      <c r="S12805" t="s">
        <v>42156</v>
      </c>
      <c r="T12805" t="s">
        <v>42673</v>
      </c>
      <c r="U12805" t="s">
        <v>53403</v>
      </c>
      <c r="W12805" t="s">
        <v>41098</v>
      </c>
      <c r="X12805" t="s">
        <v>41269</v>
      </c>
    </row>
    <row r="12806" spans="1:24">
      <c r="A12806">
        <f>HYPERLINK("https://www.philgeps.gov.ph/GEPSNONPILOT/Tender/SplashBidNoticeAbstractUI.aspx?menuIndex=3&amp;refID=7044078&amp;Result=3","7044078")</f>
        <v>0</v>
      </c>
      <c r="B12806" t="s">
        <v>1544</v>
      </c>
      <c r="C12806" t="s">
        <v>15655</v>
      </c>
      <c r="D12806" t="s">
        <v>16676</v>
      </c>
      <c r="E12806" t="s">
        <v>27763</v>
      </c>
      <c r="F12806" t="s">
        <v>28669</v>
      </c>
      <c r="G12806" t="s">
        <v>28675</v>
      </c>
      <c r="H12806" t="s">
        <v>28686</v>
      </c>
      <c r="I12806" t="s">
        <v>28725</v>
      </c>
      <c r="J12806" t="s">
        <v>36653</v>
      </c>
      <c r="K12806" t="s">
        <v>37215</v>
      </c>
      <c r="M12806" t="s">
        <v>39119</v>
      </c>
      <c r="N12806" t="s">
        <v>41249</v>
      </c>
      <c r="O12806" t="s">
        <v>41250</v>
      </c>
      <c r="P12806">
        <v>0</v>
      </c>
      <c r="Q12806">
        <v>1</v>
      </c>
      <c r="R12806" t="s">
        <v>41268</v>
      </c>
      <c r="S12806" t="s">
        <v>42129</v>
      </c>
      <c r="T12806" t="s">
        <v>42711</v>
      </c>
      <c r="U12806" t="s">
        <v>53457</v>
      </c>
      <c r="V12806" t="s">
        <v>55773</v>
      </c>
      <c r="W12806" t="s">
        <v>39119</v>
      </c>
      <c r="X12806" t="s">
        <v>41269</v>
      </c>
    </row>
    <row r="12807" spans="1:24">
      <c r="A12807">
        <f>HYPERLINK("https://www.philgeps.gov.ph/GEPSNONPILOT/Tender/SplashBidNoticeAbstractUI.aspx?menuIndex=3&amp;refID=7044166&amp;Result=3","7044166")</f>
        <v>0</v>
      </c>
      <c r="B12807" t="s">
        <v>1961</v>
      </c>
      <c r="C12807" t="s">
        <v>15656</v>
      </c>
      <c r="D12807" t="s">
        <v>16608</v>
      </c>
      <c r="E12807" t="s">
        <v>27764</v>
      </c>
      <c r="F12807" t="s">
        <v>28669</v>
      </c>
      <c r="G12807" t="s">
        <v>28675</v>
      </c>
      <c r="H12807" t="s">
        <v>9998</v>
      </c>
      <c r="I12807" t="s">
        <v>28725</v>
      </c>
      <c r="J12807" t="s">
        <v>29112</v>
      </c>
      <c r="K12807" t="s">
        <v>37204</v>
      </c>
      <c r="M12807" t="s">
        <v>40602</v>
      </c>
      <c r="N12807" t="s">
        <v>41249</v>
      </c>
      <c r="O12807" t="s">
        <v>41250</v>
      </c>
      <c r="P12807">
        <v>0</v>
      </c>
      <c r="Q12807">
        <v>2</v>
      </c>
      <c r="R12807" t="s">
        <v>41268</v>
      </c>
      <c r="S12807" t="s">
        <v>42129</v>
      </c>
      <c r="T12807" t="s">
        <v>42696</v>
      </c>
      <c r="U12807" t="s">
        <v>53458</v>
      </c>
      <c r="W12807" t="s">
        <v>40602</v>
      </c>
      <c r="X12807" t="s">
        <v>41269</v>
      </c>
    </row>
    <row r="12808" spans="1:24">
      <c r="A12808">
        <f>HYPERLINK("https://www.philgeps.gov.ph/GEPSNONPILOT/Tender/SplashBidNoticeAbstractUI.aspx?menuIndex=3&amp;refID=7043925&amp;Result=3","7043925")</f>
        <v>0</v>
      </c>
      <c r="B12808" t="s">
        <v>3270</v>
      </c>
      <c r="C12808" t="s">
        <v>15657</v>
      </c>
      <c r="D12808" t="s">
        <v>16667</v>
      </c>
      <c r="E12808" t="s">
        <v>27707</v>
      </c>
      <c r="F12808" t="s">
        <v>28669</v>
      </c>
      <c r="G12808" t="s">
        <v>28675</v>
      </c>
      <c r="H12808" t="s">
        <v>28686</v>
      </c>
      <c r="I12808" t="s">
        <v>28689</v>
      </c>
      <c r="J12808" t="s">
        <v>36654</v>
      </c>
      <c r="K12808" t="s">
        <v>37215</v>
      </c>
      <c r="M12808" t="s">
        <v>41098</v>
      </c>
      <c r="N12808" t="s">
        <v>41249</v>
      </c>
      <c r="O12808" t="s">
        <v>41250</v>
      </c>
      <c r="Q12808">
        <v>41</v>
      </c>
      <c r="R12808" t="s">
        <v>41268</v>
      </c>
      <c r="S12808" t="s">
        <v>42157</v>
      </c>
      <c r="T12808" t="s">
        <v>42673</v>
      </c>
      <c r="U12808" t="s">
        <v>53459</v>
      </c>
      <c r="W12808" t="s">
        <v>41098</v>
      </c>
      <c r="X12808" t="s">
        <v>41269</v>
      </c>
    </row>
    <row r="12809" spans="1:24">
      <c r="A12809">
        <f>HYPERLINK("https://www.philgeps.gov.ph/GEPSNONPILOT/Tender/SplashBidNoticeAbstractUI.aspx?menuIndex=3&amp;refID=7043917&amp;Result=3","7043917")</f>
        <v>0</v>
      </c>
      <c r="B12809" t="s">
        <v>3277</v>
      </c>
      <c r="C12809" t="s">
        <v>15658</v>
      </c>
      <c r="D12809" t="s">
        <v>16635</v>
      </c>
      <c r="E12809" t="s">
        <v>27765</v>
      </c>
      <c r="F12809" t="s">
        <v>28669</v>
      </c>
      <c r="G12809" t="s">
        <v>28675</v>
      </c>
      <c r="H12809" t="s">
        <v>28686</v>
      </c>
      <c r="I12809" t="s">
        <v>28689</v>
      </c>
      <c r="J12809" t="s">
        <v>29655</v>
      </c>
      <c r="K12809" t="s">
        <v>37213</v>
      </c>
      <c r="M12809" t="s">
        <v>41106</v>
      </c>
      <c r="N12809" t="s">
        <v>41249</v>
      </c>
      <c r="O12809" t="s">
        <v>41250</v>
      </c>
      <c r="P12809">
        <v>0</v>
      </c>
      <c r="Q12809">
        <v>4</v>
      </c>
      <c r="R12809" t="s">
        <v>41268</v>
      </c>
      <c r="S12809" t="s">
        <v>42129</v>
      </c>
      <c r="T12809" t="s">
        <v>42739</v>
      </c>
      <c r="U12809" t="s">
        <v>53460</v>
      </c>
      <c r="W12809" t="s">
        <v>41106</v>
      </c>
      <c r="X12809" t="s">
        <v>41269</v>
      </c>
    </row>
    <row r="12810" spans="1:24">
      <c r="A12810">
        <f>HYPERLINK("https://www.philgeps.gov.ph/GEPSNONPILOT/Tender/SplashBidNoticeAbstractUI.aspx?menuIndex=3&amp;refID=7043888&amp;Result=3","7043888")</f>
        <v>0</v>
      </c>
      <c r="B12810" t="s">
        <v>313</v>
      </c>
      <c r="C12810" t="s">
        <v>15659</v>
      </c>
      <c r="D12810" t="s">
        <v>16642</v>
      </c>
      <c r="E12810" t="s">
        <v>27766</v>
      </c>
      <c r="F12810" t="s">
        <v>28669</v>
      </c>
      <c r="G12810" t="s">
        <v>28675</v>
      </c>
      <c r="H12810" t="s">
        <v>28686</v>
      </c>
      <c r="I12810" t="s">
        <v>28689</v>
      </c>
      <c r="J12810" t="s">
        <v>36655</v>
      </c>
      <c r="K12810" t="s">
        <v>37334</v>
      </c>
      <c r="M12810" t="s">
        <v>39265</v>
      </c>
      <c r="N12810" t="s">
        <v>41249</v>
      </c>
      <c r="O12810" t="s">
        <v>41250</v>
      </c>
      <c r="P12810">
        <v>0</v>
      </c>
      <c r="Q12810">
        <v>8</v>
      </c>
      <c r="R12810" t="s">
        <v>41268</v>
      </c>
      <c r="S12810" t="s">
        <v>42129</v>
      </c>
      <c r="T12810" t="s">
        <v>42675</v>
      </c>
      <c r="U12810" t="s">
        <v>47069</v>
      </c>
      <c r="W12810" t="s">
        <v>39265</v>
      </c>
      <c r="X12810" t="s">
        <v>41270</v>
      </c>
    </row>
    <row r="12811" spans="1:24">
      <c r="A12811">
        <f>HYPERLINK("https://www.philgeps.gov.ph/GEPSNONPILOT/Tender/SplashBidNoticeAbstractUI.aspx?menuIndex=3&amp;refID=7044266&amp;Result=3","7044266")</f>
        <v>0</v>
      </c>
      <c r="B12811" t="s">
        <v>1576</v>
      </c>
      <c r="C12811" t="s">
        <v>15660</v>
      </c>
      <c r="D12811" t="s">
        <v>16666</v>
      </c>
      <c r="E12811" t="s">
        <v>27767</v>
      </c>
      <c r="F12811" t="s">
        <v>28669</v>
      </c>
      <c r="G12811" t="s">
        <v>28675</v>
      </c>
      <c r="H12811" t="s">
        <v>28686</v>
      </c>
      <c r="I12811" t="s">
        <v>28689</v>
      </c>
      <c r="J12811" t="s">
        <v>30856</v>
      </c>
      <c r="K12811" t="s">
        <v>37209</v>
      </c>
      <c r="M12811" t="s">
        <v>40700</v>
      </c>
      <c r="N12811" t="s">
        <v>41249</v>
      </c>
      <c r="O12811" t="s">
        <v>41250</v>
      </c>
      <c r="P12811">
        <v>0</v>
      </c>
      <c r="Q12811">
        <v>0</v>
      </c>
      <c r="R12811" t="s">
        <v>41268</v>
      </c>
      <c r="S12811" t="s">
        <v>42129</v>
      </c>
      <c r="T12811" t="s">
        <v>42673</v>
      </c>
      <c r="U12811" t="s">
        <v>53461</v>
      </c>
      <c r="W12811" t="s">
        <v>40700</v>
      </c>
      <c r="X12811" t="s">
        <v>41269</v>
      </c>
    </row>
    <row r="12812" spans="1:24">
      <c r="A12812">
        <f>HYPERLINK("https://www.philgeps.gov.ph/GEPSNONPILOT/Tender/SplashBidNoticeAbstractUI.aspx?menuIndex=3&amp;refID=7044340&amp;Result=3","7044340")</f>
        <v>0</v>
      </c>
      <c r="B12812" t="s">
        <v>732</v>
      </c>
      <c r="C12812" t="s">
        <v>15661</v>
      </c>
      <c r="E12812" t="s">
        <v>27768</v>
      </c>
      <c r="F12812" t="s">
        <v>28669</v>
      </c>
      <c r="G12812" t="s">
        <v>28677</v>
      </c>
      <c r="H12812" t="s">
        <v>9998</v>
      </c>
      <c r="I12812" t="s">
        <v>11593</v>
      </c>
      <c r="J12812" t="s">
        <v>29325</v>
      </c>
      <c r="K12812" t="s">
        <v>37209</v>
      </c>
      <c r="M12812" t="s">
        <v>41107</v>
      </c>
      <c r="N12812" t="s">
        <v>41249</v>
      </c>
      <c r="O12812" t="s">
        <v>41250</v>
      </c>
      <c r="Q12812">
        <v>13</v>
      </c>
      <c r="R12812" t="s">
        <v>41268</v>
      </c>
      <c r="S12812" t="s">
        <v>41579</v>
      </c>
      <c r="T12812" t="s">
        <v>42670</v>
      </c>
      <c r="U12812" t="s">
        <v>53462</v>
      </c>
      <c r="W12812" t="s">
        <v>41107</v>
      </c>
      <c r="X12812" t="s">
        <v>41269</v>
      </c>
    </row>
    <row r="12813" spans="1:24">
      <c r="A12813">
        <f>HYPERLINK("https://www.philgeps.gov.ph/GEPSNONPILOT/Tender/SplashBidNoticeAbstractUI.aspx?menuIndex=3&amp;refID=7044336&amp;Result=3","7044336")</f>
        <v>0</v>
      </c>
      <c r="B12813" t="s">
        <v>3217</v>
      </c>
      <c r="C12813" t="s">
        <v>15662</v>
      </c>
      <c r="D12813" t="s">
        <v>16608</v>
      </c>
      <c r="E12813" t="s">
        <v>21608</v>
      </c>
      <c r="F12813" t="s">
        <v>28669</v>
      </c>
      <c r="G12813" t="s">
        <v>28675</v>
      </c>
      <c r="H12813" t="s">
        <v>9998</v>
      </c>
      <c r="I12813" t="s">
        <v>28821</v>
      </c>
      <c r="J12813" t="s">
        <v>36656</v>
      </c>
      <c r="K12813" t="s">
        <v>37213</v>
      </c>
      <c r="M12813" t="s">
        <v>41031</v>
      </c>
      <c r="N12813" t="s">
        <v>41249</v>
      </c>
      <c r="O12813" t="s">
        <v>41250</v>
      </c>
      <c r="P12813">
        <v>0</v>
      </c>
      <c r="Q12813">
        <v>10</v>
      </c>
      <c r="R12813" t="s">
        <v>41268</v>
      </c>
      <c r="S12813" t="s">
        <v>42129</v>
      </c>
      <c r="T12813" t="s">
        <v>42876</v>
      </c>
      <c r="U12813" t="s">
        <v>53463</v>
      </c>
      <c r="V12813" t="s">
        <v>55784</v>
      </c>
      <c r="W12813" t="s">
        <v>41031</v>
      </c>
      <c r="X12813" t="s">
        <v>41269</v>
      </c>
    </row>
    <row r="12814" spans="1:24">
      <c r="A12814">
        <f>HYPERLINK("https://www.philgeps.gov.ph/GEPSNONPILOT/Tender/SplashBidNoticeAbstractUI.aspx?menuIndex=3&amp;refID=7044037&amp;Result=3","7044037")</f>
        <v>0</v>
      </c>
      <c r="B12814" t="s">
        <v>1544</v>
      </c>
      <c r="C12814" t="s">
        <v>15663</v>
      </c>
      <c r="D12814" t="s">
        <v>16676</v>
      </c>
      <c r="E12814" t="s">
        <v>27769</v>
      </c>
      <c r="F12814" t="s">
        <v>28669</v>
      </c>
      <c r="G12814" t="s">
        <v>28675</v>
      </c>
      <c r="H12814" t="s">
        <v>28686</v>
      </c>
      <c r="I12814" t="s">
        <v>28725</v>
      </c>
      <c r="J12814" t="s">
        <v>36657</v>
      </c>
      <c r="K12814" t="s">
        <v>37215</v>
      </c>
      <c r="M12814" t="s">
        <v>39119</v>
      </c>
      <c r="N12814" t="s">
        <v>41249</v>
      </c>
      <c r="O12814" t="s">
        <v>41250</v>
      </c>
      <c r="P12814">
        <v>0</v>
      </c>
      <c r="Q12814">
        <v>2</v>
      </c>
      <c r="R12814" t="s">
        <v>41268</v>
      </c>
      <c r="S12814" t="s">
        <v>42129</v>
      </c>
      <c r="T12814" t="s">
        <v>42711</v>
      </c>
      <c r="U12814" t="s">
        <v>53464</v>
      </c>
      <c r="V12814" t="s">
        <v>55773</v>
      </c>
      <c r="W12814" t="s">
        <v>39119</v>
      </c>
      <c r="X12814" t="s">
        <v>41269</v>
      </c>
    </row>
    <row r="12815" spans="1:24">
      <c r="A12815">
        <f>HYPERLINK("https://www.philgeps.gov.ph/GEPSNONPILOT/Tender/SplashBidNoticeAbstractUI.aspx?menuIndex=3&amp;refID=7044301&amp;Result=3","7044301")</f>
        <v>0</v>
      </c>
      <c r="B12815" t="s">
        <v>100</v>
      </c>
      <c r="C12815" t="s">
        <v>15664</v>
      </c>
      <c r="D12815" t="s">
        <v>16608</v>
      </c>
      <c r="E12815" t="s">
        <v>27770</v>
      </c>
      <c r="F12815" t="s">
        <v>28669</v>
      </c>
      <c r="G12815" t="s">
        <v>28675</v>
      </c>
      <c r="H12815" t="s">
        <v>9998</v>
      </c>
      <c r="I12815" t="s">
        <v>11593</v>
      </c>
      <c r="J12815" t="s">
        <v>36658</v>
      </c>
      <c r="K12815" t="s">
        <v>37212</v>
      </c>
      <c r="M12815" t="s">
        <v>41108</v>
      </c>
      <c r="N12815" t="s">
        <v>41249</v>
      </c>
      <c r="O12815" t="s">
        <v>41250</v>
      </c>
      <c r="Q12815">
        <v>10</v>
      </c>
      <c r="R12815" t="s">
        <v>41268</v>
      </c>
      <c r="S12815" t="s">
        <v>42158</v>
      </c>
      <c r="T12815" t="s">
        <v>42738</v>
      </c>
      <c r="U12815" t="s">
        <v>53448</v>
      </c>
      <c r="W12815" t="s">
        <v>41108</v>
      </c>
      <c r="X12815" t="s">
        <v>41269</v>
      </c>
    </row>
    <row r="12816" spans="1:24">
      <c r="A12816">
        <f>HYPERLINK("https://www.philgeps.gov.ph/GEPSNONPILOT/Tender/SplashBidNoticeAbstractUI.aspx?menuIndex=3&amp;refID=7044293&amp;Result=3","7044293")</f>
        <v>0</v>
      </c>
      <c r="B12816" t="s">
        <v>1629</v>
      </c>
      <c r="C12816" t="s">
        <v>15665</v>
      </c>
      <c r="D12816" t="s">
        <v>16612</v>
      </c>
      <c r="E12816" t="s">
        <v>27771</v>
      </c>
      <c r="F12816" t="s">
        <v>28669</v>
      </c>
      <c r="G12816" t="s">
        <v>28675</v>
      </c>
      <c r="H12816" t="s">
        <v>9998</v>
      </c>
      <c r="I12816" t="s">
        <v>7352</v>
      </c>
      <c r="J12816" t="s">
        <v>36659</v>
      </c>
      <c r="K12816" t="s">
        <v>37205</v>
      </c>
      <c r="M12816" t="s">
        <v>39216</v>
      </c>
      <c r="N12816" t="s">
        <v>41249</v>
      </c>
      <c r="O12816" t="s">
        <v>41250</v>
      </c>
      <c r="P12816">
        <v>0</v>
      </c>
      <c r="Q12816">
        <v>0</v>
      </c>
      <c r="R12816" t="s">
        <v>41268</v>
      </c>
      <c r="S12816" t="s">
        <v>42129</v>
      </c>
      <c r="T12816" t="s">
        <v>42759</v>
      </c>
      <c r="U12816" t="s">
        <v>53465</v>
      </c>
      <c r="W12816" t="s">
        <v>39216</v>
      </c>
      <c r="X12816" t="s">
        <v>41269</v>
      </c>
    </row>
    <row r="12817" spans="1:24">
      <c r="A12817">
        <f>HYPERLINK("https://www.philgeps.gov.ph/GEPSNONPILOT/Tender/SplashBidNoticeAbstractUI.aspx?menuIndex=3&amp;refID=7044282&amp;Result=3","7044282")</f>
        <v>0</v>
      </c>
      <c r="B12817" t="s">
        <v>1629</v>
      </c>
      <c r="C12817" t="s">
        <v>15666</v>
      </c>
      <c r="D12817" t="s">
        <v>16612</v>
      </c>
      <c r="E12817" t="s">
        <v>27772</v>
      </c>
      <c r="F12817" t="s">
        <v>28669</v>
      </c>
      <c r="G12817" t="s">
        <v>28675</v>
      </c>
      <c r="H12817" t="s">
        <v>9998</v>
      </c>
      <c r="I12817" t="s">
        <v>28699</v>
      </c>
      <c r="J12817" t="s">
        <v>28871</v>
      </c>
      <c r="K12817" t="s">
        <v>37205</v>
      </c>
      <c r="M12817" t="s">
        <v>39216</v>
      </c>
      <c r="N12817" t="s">
        <v>41249</v>
      </c>
      <c r="O12817" t="s">
        <v>41250</v>
      </c>
      <c r="P12817">
        <v>0</v>
      </c>
      <c r="Q12817">
        <v>1</v>
      </c>
      <c r="R12817" t="s">
        <v>41268</v>
      </c>
      <c r="S12817" t="s">
        <v>42129</v>
      </c>
      <c r="T12817" t="s">
        <v>42759</v>
      </c>
      <c r="U12817" t="s">
        <v>53466</v>
      </c>
      <c r="W12817" t="s">
        <v>39216</v>
      </c>
      <c r="X12817" t="s">
        <v>41269</v>
      </c>
    </row>
    <row r="12818" spans="1:24">
      <c r="A12818">
        <f>HYPERLINK("https://www.philgeps.gov.ph/GEPSNONPILOT/Tender/SplashBidNoticeAbstractUI.aspx?menuIndex=3&amp;refID=7044279&amp;Result=3","7044279")</f>
        <v>0</v>
      </c>
      <c r="B12818" t="s">
        <v>3272</v>
      </c>
      <c r="C12818" t="s">
        <v>15667</v>
      </c>
      <c r="D12818" t="s">
        <v>16668</v>
      </c>
      <c r="E12818" t="s">
        <v>27773</v>
      </c>
      <c r="F12818" t="s">
        <v>28669</v>
      </c>
      <c r="G12818" t="s">
        <v>28675</v>
      </c>
      <c r="H12818" t="s">
        <v>28686</v>
      </c>
      <c r="I12818" t="s">
        <v>28689</v>
      </c>
      <c r="J12818" t="s">
        <v>36660</v>
      </c>
      <c r="K12818" t="s">
        <v>37353</v>
      </c>
      <c r="M12818" t="s">
        <v>41100</v>
      </c>
      <c r="N12818" t="s">
        <v>41249</v>
      </c>
      <c r="O12818" t="s">
        <v>41250</v>
      </c>
      <c r="P12818">
        <v>0</v>
      </c>
      <c r="Q12818">
        <v>2</v>
      </c>
      <c r="R12818" t="s">
        <v>41268</v>
      </c>
      <c r="S12818" t="s">
        <v>42129</v>
      </c>
      <c r="T12818" t="s">
        <v>42759</v>
      </c>
      <c r="U12818" t="s">
        <v>53467</v>
      </c>
      <c r="W12818" t="s">
        <v>41100</v>
      </c>
      <c r="X12818" t="s">
        <v>41269</v>
      </c>
    </row>
    <row r="12819" spans="1:24">
      <c r="A12819">
        <f>HYPERLINK("https://www.philgeps.gov.ph/GEPSNONPILOT/Tender/SplashBidNoticeAbstractUI.aspx?menuIndex=3&amp;refID=7044277&amp;Result=3","7044277")</f>
        <v>0</v>
      </c>
      <c r="B12819" t="s">
        <v>1576</v>
      </c>
      <c r="C12819" t="s">
        <v>15668</v>
      </c>
      <c r="D12819" t="s">
        <v>16666</v>
      </c>
      <c r="E12819" t="s">
        <v>27774</v>
      </c>
      <c r="F12819" t="s">
        <v>28669</v>
      </c>
      <c r="G12819" t="s">
        <v>28675</v>
      </c>
      <c r="H12819" t="s">
        <v>28686</v>
      </c>
      <c r="I12819" t="s">
        <v>28689</v>
      </c>
      <c r="J12819" t="s">
        <v>31648</v>
      </c>
      <c r="K12819" t="s">
        <v>37209</v>
      </c>
      <c r="M12819" t="s">
        <v>40700</v>
      </c>
      <c r="N12819" t="s">
        <v>41249</v>
      </c>
      <c r="O12819" t="s">
        <v>41250</v>
      </c>
      <c r="P12819">
        <v>0</v>
      </c>
      <c r="Q12819">
        <v>2</v>
      </c>
      <c r="R12819" t="s">
        <v>41268</v>
      </c>
      <c r="S12819" t="s">
        <v>42129</v>
      </c>
      <c r="T12819" t="s">
        <v>42673</v>
      </c>
      <c r="U12819" t="s">
        <v>53468</v>
      </c>
      <c r="W12819" t="s">
        <v>40700</v>
      </c>
      <c r="X12819" t="s">
        <v>41269</v>
      </c>
    </row>
    <row r="12820" spans="1:24">
      <c r="A12820">
        <f>HYPERLINK("https://www.philgeps.gov.ph/GEPSNONPILOT/Tender/SplashBidNoticeAbstractUI.aspx?menuIndex=3&amp;refID=7044275&amp;Result=3","7044275")</f>
        <v>0</v>
      </c>
      <c r="B12820" t="s">
        <v>1576</v>
      </c>
      <c r="C12820" t="s">
        <v>15669</v>
      </c>
      <c r="D12820" t="s">
        <v>16666</v>
      </c>
      <c r="E12820" t="s">
        <v>27775</v>
      </c>
      <c r="F12820" t="s">
        <v>28669</v>
      </c>
      <c r="G12820" t="s">
        <v>28675</v>
      </c>
      <c r="H12820" t="s">
        <v>28686</v>
      </c>
      <c r="I12820" t="s">
        <v>28689</v>
      </c>
      <c r="J12820" t="s">
        <v>36661</v>
      </c>
      <c r="K12820" t="s">
        <v>37209</v>
      </c>
      <c r="M12820" t="s">
        <v>40700</v>
      </c>
      <c r="N12820" t="s">
        <v>41249</v>
      </c>
      <c r="O12820" t="s">
        <v>41250</v>
      </c>
      <c r="P12820">
        <v>0</v>
      </c>
      <c r="Q12820">
        <v>0</v>
      </c>
      <c r="R12820" t="s">
        <v>41268</v>
      </c>
      <c r="S12820" t="s">
        <v>42129</v>
      </c>
      <c r="T12820" t="s">
        <v>42673</v>
      </c>
      <c r="U12820" t="s">
        <v>53469</v>
      </c>
      <c r="W12820" t="s">
        <v>40700</v>
      </c>
      <c r="X12820" t="s">
        <v>41269</v>
      </c>
    </row>
    <row r="12821" spans="1:24">
      <c r="A12821">
        <f>HYPERLINK("https://www.philgeps.gov.ph/GEPSNONPILOT/Tender/SplashBidNoticeAbstractUI.aspx?menuIndex=3&amp;refID=7043701&amp;Result=3","7043701")</f>
        <v>0</v>
      </c>
      <c r="B12821" t="s">
        <v>739</v>
      </c>
      <c r="C12821" t="s">
        <v>15670</v>
      </c>
      <c r="D12821" t="s">
        <v>16661</v>
      </c>
      <c r="E12821" t="s">
        <v>27776</v>
      </c>
      <c r="F12821" t="s">
        <v>28669</v>
      </c>
      <c r="G12821" t="s">
        <v>28675</v>
      </c>
      <c r="H12821" t="s">
        <v>28686</v>
      </c>
      <c r="I12821" t="s">
        <v>28689</v>
      </c>
      <c r="J12821" t="s">
        <v>29332</v>
      </c>
      <c r="K12821" t="s">
        <v>37213</v>
      </c>
      <c r="M12821" t="s">
        <v>38248</v>
      </c>
      <c r="N12821" t="s">
        <v>41249</v>
      </c>
      <c r="O12821" t="s">
        <v>41250</v>
      </c>
      <c r="P12821">
        <v>0</v>
      </c>
      <c r="Q12821">
        <v>0</v>
      </c>
      <c r="R12821" t="s">
        <v>41269</v>
      </c>
      <c r="S12821" t="s">
        <v>42159</v>
      </c>
      <c r="T12821" t="s">
        <v>42673</v>
      </c>
      <c r="U12821" t="s">
        <v>53470</v>
      </c>
      <c r="V12821" t="s">
        <v>55785</v>
      </c>
      <c r="W12821" t="s">
        <v>38248</v>
      </c>
      <c r="X12821" t="s">
        <v>41270</v>
      </c>
    </row>
    <row r="12822" spans="1:24">
      <c r="A12822">
        <f>HYPERLINK("https://www.philgeps.gov.ph/GEPSNONPILOT/Tender/SplashBidNoticeAbstractUI.aspx?menuIndex=3&amp;refID=7043934&amp;Result=3","7043934")</f>
        <v>0</v>
      </c>
      <c r="B12822" t="s">
        <v>3270</v>
      </c>
      <c r="C12822" t="s">
        <v>15671</v>
      </c>
      <c r="D12822" t="s">
        <v>16667</v>
      </c>
      <c r="E12822" t="s">
        <v>27707</v>
      </c>
      <c r="F12822" t="s">
        <v>28669</v>
      </c>
      <c r="G12822" t="s">
        <v>28675</v>
      </c>
      <c r="H12822" t="s">
        <v>28686</v>
      </c>
      <c r="I12822" t="s">
        <v>28689</v>
      </c>
      <c r="J12822" t="s">
        <v>36662</v>
      </c>
      <c r="K12822" t="s">
        <v>37215</v>
      </c>
      <c r="M12822" t="s">
        <v>41098</v>
      </c>
      <c r="N12822" t="s">
        <v>41249</v>
      </c>
      <c r="O12822" t="s">
        <v>41250</v>
      </c>
      <c r="Q12822">
        <v>35</v>
      </c>
      <c r="R12822" t="s">
        <v>41268</v>
      </c>
      <c r="S12822" t="s">
        <v>41444</v>
      </c>
      <c r="T12822" t="s">
        <v>42673</v>
      </c>
      <c r="U12822" t="s">
        <v>53403</v>
      </c>
      <c r="W12822" t="s">
        <v>41098</v>
      </c>
      <c r="X12822" t="s">
        <v>41269</v>
      </c>
    </row>
    <row r="12823" spans="1:24">
      <c r="A12823">
        <f>HYPERLINK("https://www.philgeps.gov.ph/GEPSNONPILOT/Tender/SplashBidNoticeAbstractUI.aspx?menuIndex=3&amp;refID=7044267&amp;Result=3","7044267")</f>
        <v>0</v>
      </c>
      <c r="B12823" t="s">
        <v>1576</v>
      </c>
      <c r="C12823" t="s">
        <v>15672</v>
      </c>
      <c r="D12823" t="s">
        <v>16666</v>
      </c>
      <c r="E12823" t="s">
        <v>27777</v>
      </c>
      <c r="F12823" t="s">
        <v>28669</v>
      </c>
      <c r="G12823" t="s">
        <v>28675</v>
      </c>
      <c r="H12823" t="s">
        <v>28686</v>
      </c>
      <c r="I12823" t="s">
        <v>28689</v>
      </c>
      <c r="J12823" t="s">
        <v>30856</v>
      </c>
      <c r="K12823" t="s">
        <v>37209</v>
      </c>
      <c r="M12823" t="s">
        <v>40700</v>
      </c>
      <c r="N12823" t="s">
        <v>41249</v>
      </c>
      <c r="O12823" t="s">
        <v>41250</v>
      </c>
      <c r="P12823">
        <v>0</v>
      </c>
      <c r="Q12823">
        <v>0</v>
      </c>
      <c r="R12823" t="s">
        <v>41268</v>
      </c>
      <c r="S12823" t="s">
        <v>42129</v>
      </c>
      <c r="T12823" t="s">
        <v>42673</v>
      </c>
      <c r="U12823" t="s">
        <v>53471</v>
      </c>
      <c r="W12823" t="s">
        <v>40700</v>
      </c>
      <c r="X12823" t="s">
        <v>41269</v>
      </c>
    </row>
    <row r="12824" spans="1:24">
      <c r="A12824">
        <f>HYPERLINK("https://www.philgeps.gov.ph/GEPSNONPILOT/Tender/SplashBidNoticeAbstractUI.aspx?menuIndex=3&amp;refID=7023347&amp;Result=3","7023347")</f>
        <v>0</v>
      </c>
      <c r="B12824" t="s">
        <v>3278</v>
      </c>
      <c r="C12824" t="s">
        <v>15673</v>
      </c>
      <c r="D12824" t="s">
        <v>16640</v>
      </c>
      <c r="E12824" t="s">
        <v>27778</v>
      </c>
      <c r="F12824" t="s">
        <v>28669</v>
      </c>
      <c r="G12824" t="s">
        <v>28675</v>
      </c>
      <c r="H12824" t="s">
        <v>9998</v>
      </c>
      <c r="I12824" t="s">
        <v>5286</v>
      </c>
      <c r="J12824" t="s">
        <v>36663</v>
      </c>
      <c r="K12824" t="s">
        <v>37204</v>
      </c>
      <c r="M12824" t="s">
        <v>41109</v>
      </c>
      <c r="N12824" t="s">
        <v>41249</v>
      </c>
      <c r="O12824" t="s">
        <v>41250</v>
      </c>
      <c r="P12824">
        <v>0</v>
      </c>
      <c r="Q12824">
        <v>12</v>
      </c>
      <c r="R12824" t="s">
        <v>41269</v>
      </c>
      <c r="S12824" t="s">
        <v>42159</v>
      </c>
      <c r="T12824" t="s">
        <v>42694</v>
      </c>
      <c r="U12824" t="s">
        <v>53472</v>
      </c>
      <c r="W12824" t="s">
        <v>41109</v>
      </c>
      <c r="X12824" t="s">
        <v>41281</v>
      </c>
    </row>
    <row r="12825" spans="1:24">
      <c r="A12825">
        <f>HYPERLINK("https://www.philgeps.gov.ph/GEPSNONPILOT/Tender/SplashBidNoticeAbstractUI.aspx?menuIndex=3&amp;refID=7033145&amp;Result=3","7033145")</f>
        <v>0</v>
      </c>
      <c r="B12825" t="s">
        <v>1900</v>
      </c>
      <c r="C12825" t="s">
        <v>15674</v>
      </c>
      <c r="D12825" t="s">
        <v>16658</v>
      </c>
      <c r="E12825" t="s">
        <v>27779</v>
      </c>
      <c r="F12825" t="s">
        <v>28669</v>
      </c>
      <c r="G12825" t="s">
        <v>28675</v>
      </c>
      <c r="H12825" t="s">
        <v>9998</v>
      </c>
      <c r="I12825" t="s">
        <v>28694</v>
      </c>
      <c r="J12825" t="s">
        <v>36664</v>
      </c>
      <c r="K12825" t="s">
        <v>37206</v>
      </c>
      <c r="M12825" t="s">
        <v>39523</v>
      </c>
      <c r="N12825" t="s">
        <v>41249</v>
      </c>
      <c r="O12825" t="s">
        <v>41250</v>
      </c>
      <c r="Q12825">
        <v>1</v>
      </c>
      <c r="R12825" t="s">
        <v>41269</v>
      </c>
      <c r="S12825" t="s">
        <v>42160</v>
      </c>
      <c r="T12825" t="s">
        <v>42673</v>
      </c>
      <c r="U12825" t="s">
        <v>53473</v>
      </c>
      <c r="V12825" t="s">
        <v>54879</v>
      </c>
      <c r="W12825" t="s">
        <v>39523</v>
      </c>
      <c r="X12825" t="s">
        <v>41275</v>
      </c>
    </row>
    <row r="12826" spans="1:24">
      <c r="A12826">
        <f>HYPERLINK("https://www.philgeps.gov.ph/GEPSNONPILOT/Tender/SplashBidNoticeAbstractUI.aspx?menuIndex=3&amp;refID=7044272&amp;Result=3","7044272")</f>
        <v>0</v>
      </c>
      <c r="B12826" t="s">
        <v>1576</v>
      </c>
      <c r="C12826" t="s">
        <v>15675</v>
      </c>
      <c r="D12826" t="s">
        <v>16666</v>
      </c>
      <c r="E12826" t="s">
        <v>27780</v>
      </c>
      <c r="F12826" t="s">
        <v>28669</v>
      </c>
      <c r="G12826" t="s">
        <v>28675</v>
      </c>
      <c r="H12826" t="s">
        <v>28686</v>
      </c>
      <c r="I12826" t="s">
        <v>28689</v>
      </c>
      <c r="J12826" t="s">
        <v>36665</v>
      </c>
      <c r="K12826" t="s">
        <v>37209</v>
      </c>
      <c r="M12826" t="s">
        <v>40700</v>
      </c>
      <c r="N12826" t="s">
        <v>41249</v>
      </c>
      <c r="O12826" t="s">
        <v>41250</v>
      </c>
      <c r="P12826">
        <v>0</v>
      </c>
      <c r="Q12826">
        <v>0</v>
      </c>
      <c r="R12826" t="s">
        <v>41268</v>
      </c>
      <c r="S12826" t="s">
        <v>42129</v>
      </c>
      <c r="T12826" t="s">
        <v>42673</v>
      </c>
      <c r="U12826" t="s">
        <v>53474</v>
      </c>
      <c r="W12826" t="s">
        <v>40700</v>
      </c>
      <c r="X12826" t="s">
        <v>41269</v>
      </c>
    </row>
    <row r="12827" spans="1:24">
      <c r="A12827">
        <f>HYPERLINK("https://www.philgeps.gov.ph/GEPSNONPILOT/Tender/SplashBidNoticeAbstractUI.aspx?menuIndex=3&amp;refID=7044270&amp;Result=3","7044270")</f>
        <v>0</v>
      </c>
      <c r="B12827" t="s">
        <v>1629</v>
      </c>
      <c r="C12827" t="s">
        <v>15676</v>
      </c>
      <c r="D12827" t="s">
        <v>16612</v>
      </c>
      <c r="E12827" t="s">
        <v>27781</v>
      </c>
      <c r="F12827" t="s">
        <v>28669</v>
      </c>
      <c r="G12827" t="s">
        <v>28675</v>
      </c>
      <c r="H12827" t="s">
        <v>9998</v>
      </c>
      <c r="I12827" t="s">
        <v>28696</v>
      </c>
      <c r="J12827" t="s">
        <v>36666</v>
      </c>
      <c r="K12827" t="s">
        <v>37205</v>
      </c>
      <c r="M12827" t="s">
        <v>39216</v>
      </c>
      <c r="N12827" t="s">
        <v>41249</v>
      </c>
      <c r="O12827" t="s">
        <v>41250</v>
      </c>
      <c r="P12827">
        <v>0</v>
      </c>
      <c r="Q12827">
        <v>0</v>
      </c>
      <c r="R12827" t="s">
        <v>41268</v>
      </c>
      <c r="S12827" t="s">
        <v>42129</v>
      </c>
      <c r="T12827" t="s">
        <v>42759</v>
      </c>
      <c r="U12827" t="s">
        <v>53475</v>
      </c>
      <c r="W12827" t="s">
        <v>39216</v>
      </c>
      <c r="X12827" t="s">
        <v>41269</v>
      </c>
    </row>
    <row r="12828" spans="1:24">
      <c r="A12828">
        <f>HYPERLINK("https://www.philgeps.gov.ph/GEPSNONPILOT/Tender/SplashBidNoticeAbstractUI.aspx?menuIndex=3&amp;refID=7044184&amp;Result=3","7044184")</f>
        <v>0</v>
      </c>
      <c r="B12828" t="s">
        <v>2248</v>
      </c>
      <c r="C12828" t="s">
        <v>15677</v>
      </c>
      <c r="D12828" t="s">
        <v>16608</v>
      </c>
      <c r="E12828" t="s">
        <v>27782</v>
      </c>
      <c r="F12828" t="s">
        <v>28669</v>
      </c>
      <c r="G12828" t="s">
        <v>28675</v>
      </c>
      <c r="H12828" t="s">
        <v>9998</v>
      </c>
      <c r="I12828" t="s">
        <v>28695</v>
      </c>
      <c r="J12828" t="s">
        <v>36667</v>
      </c>
      <c r="K12828" t="s">
        <v>37397</v>
      </c>
      <c r="M12828" t="s">
        <v>41110</v>
      </c>
      <c r="N12828" t="s">
        <v>41249</v>
      </c>
      <c r="O12828" t="s">
        <v>41250</v>
      </c>
      <c r="Q12828">
        <v>0</v>
      </c>
      <c r="R12828" t="s">
        <v>41268</v>
      </c>
      <c r="S12828" t="s">
        <v>42161</v>
      </c>
      <c r="T12828" t="s">
        <v>42679</v>
      </c>
      <c r="U12828" t="s">
        <v>53476</v>
      </c>
      <c r="V12828" t="s">
        <v>55786</v>
      </c>
      <c r="W12828" t="s">
        <v>41110</v>
      </c>
      <c r="X12828" t="s">
        <v>41269</v>
      </c>
    </row>
    <row r="12829" spans="1:24">
      <c r="A12829">
        <f>HYPERLINK("https://www.philgeps.gov.ph/GEPSNONPILOT/Tender/SplashBidNoticeAbstractUI.aspx?menuIndex=3&amp;refID=7044269&amp;Result=3","7044269")</f>
        <v>0</v>
      </c>
      <c r="B12829" t="s">
        <v>3272</v>
      </c>
      <c r="C12829" t="s">
        <v>15678</v>
      </c>
      <c r="D12829" t="s">
        <v>16668</v>
      </c>
      <c r="E12829" t="s">
        <v>27783</v>
      </c>
      <c r="F12829" t="s">
        <v>28669</v>
      </c>
      <c r="G12829" t="s">
        <v>28675</v>
      </c>
      <c r="H12829" t="s">
        <v>28686</v>
      </c>
      <c r="I12829" t="s">
        <v>28689</v>
      </c>
      <c r="J12829" t="s">
        <v>36668</v>
      </c>
      <c r="K12829" t="s">
        <v>37453</v>
      </c>
      <c r="M12829" t="s">
        <v>41100</v>
      </c>
      <c r="N12829" t="s">
        <v>41249</v>
      </c>
      <c r="O12829" t="s">
        <v>41250</v>
      </c>
      <c r="P12829">
        <v>0</v>
      </c>
      <c r="Q12829">
        <v>2</v>
      </c>
      <c r="R12829" t="s">
        <v>41268</v>
      </c>
      <c r="S12829" t="s">
        <v>42129</v>
      </c>
      <c r="T12829" t="s">
        <v>42759</v>
      </c>
      <c r="U12829" t="s">
        <v>53477</v>
      </c>
      <c r="W12829" t="s">
        <v>41100</v>
      </c>
      <c r="X12829" t="s">
        <v>41269</v>
      </c>
    </row>
    <row r="12830" spans="1:24">
      <c r="A12830">
        <f>HYPERLINK("https://www.philgeps.gov.ph/GEPSNONPILOT/Tender/SplashBidNoticeAbstractUI.aspx?menuIndex=3&amp;refID=7036388&amp;Result=3","7036388")</f>
        <v>0</v>
      </c>
      <c r="B12830" t="s">
        <v>1900</v>
      </c>
      <c r="C12830" t="s">
        <v>15679</v>
      </c>
      <c r="D12830" t="s">
        <v>16658</v>
      </c>
      <c r="E12830" t="s">
        <v>27784</v>
      </c>
      <c r="F12830" t="s">
        <v>28669</v>
      </c>
      <c r="G12830" t="s">
        <v>28675</v>
      </c>
      <c r="H12830" t="s">
        <v>9998</v>
      </c>
      <c r="I12830" t="s">
        <v>28722</v>
      </c>
      <c r="J12830" t="s">
        <v>36669</v>
      </c>
      <c r="K12830" t="s">
        <v>37206</v>
      </c>
      <c r="M12830" t="s">
        <v>39523</v>
      </c>
      <c r="N12830" t="s">
        <v>41249</v>
      </c>
      <c r="O12830" t="s">
        <v>41250</v>
      </c>
      <c r="Q12830">
        <v>2</v>
      </c>
      <c r="R12830" t="s">
        <v>41269</v>
      </c>
      <c r="S12830" t="s">
        <v>42162</v>
      </c>
      <c r="T12830" t="s">
        <v>42673</v>
      </c>
      <c r="U12830" t="s">
        <v>53478</v>
      </c>
      <c r="V12830" t="s">
        <v>54879</v>
      </c>
      <c r="W12830" t="s">
        <v>39523</v>
      </c>
      <c r="X12830" t="s">
        <v>41274</v>
      </c>
    </row>
    <row r="12831" spans="1:24">
      <c r="A12831">
        <f>HYPERLINK("https://www.philgeps.gov.ph/GEPSNONPILOT/Tender/SplashBidNoticeAbstractUI.aspx?menuIndex=3&amp;refID=7036376&amp;Result=3","7036376")</f>
        <v>0</v>
      </c>
      <c r="B12831" t="s">
        <v>1900</v>
      </c>
      <c r="C12831" t="s">
        <v>15680</v>
      </c>
      <c r="D12831" t="s">
        <v>16658</v>
      </c>
      <c r="E12831" t="s">
        <v>27785</v>
      </c>
      <c r="F12831" t="s">
        <v>28669</v>
      </c>
      <c r="G12831" t="s">
        <v>28675</v>
      </c>
      <c r="H12831" t="s">
        <v>9998</v>
      </c>
      <c r="I12831" t="s">
        <v>28706</v>
      </c>
      <c r="J12831" t="s">
        <v>36670</v>
      </c>
      <c r="K12831" t="s">
        <v>37206</v>
      </c>
      <c r="M12831" t="s">
        <v>39523</v>
      </c>
      <c r="N12831" t="s">
        <v>41249</v>
      </c>
      <c r="O12831" t="s">
        <v>41250</v>
      </c>
      <c r="Q12831">
        <v>5</v>
      </c>
      <c r="R12831" t="s">
        <v>41269</v>
      </c>
      <c r="S12831" t="s">
        <v>42163</v>
      </c>
      <c r="T12831" t="s">
        <v>42673</v>
      </c>
      <c r="U12831" t="s">
        <v>53479</v>
      </c>
      <c r="V12831" t="s">
        <v>54879</v>
      </c>
      <c r="W12831" t="s">
        <v>39523</v>
      </c>
      <c r="X12831" t="s">
        <v>41274</v>
      </c>
    </row>
    <row r="12832" spans="1:24">
      <c r="A12832">
        <f>HYPERLINK("https://www.philgeps.gov.ph/GEPSNONPILOT/Tender/SplashBidNoticeAbstractUI.aspx?menuIndex=3&amp;refID=7044273&amp;Result=3","7044273")</f>
        <v>0</v>
      </c>
      <c r="B12832" t="s">
        <v>1576</v>
      </c>
      <c r="C12832" t="s">
        <v>15681</v>
      </c>
      <c r="D12832" t="s">
        <v>16666</v>
      </c>
      <c r="E12832" t="s">
        <v>27786</v>
      </c>
      <c r="F12832" t="s">
        <v>28669</v>
      </c>
      <c r="G12832" t="s">
        <v>28675</v>
      </c>
      <c r="H12832" t="s">
        <v>28686</v>
      </c>
      <c r="I12832" t="s">
        <v>28689</v>
      </c>
      <c r="J12832" t="s">
        <v>30856</v>
      </c>
      <c r="K12832" t="s">
        <v>37209</v>
      </c>
      <c r="M12832" t="s">
        <v>40700</v>
      </c>
      <c r="N12832" t="s">
        <v>41249</v>
      </c>
      <c r="O12832" t="s">
        <v>41250</v>
      </c>
      <c r="P12832">
        <v>0</v>
      </c>
      <c r="Q12832">
        <v>0</v>
      </c>
      <c r="R12832" t="s">
        <v>41268</v>
      </c>
      <c r="S12832" t="s">
        <v>42129</v>
      </c>
      <c r="T12832" t="s">
        <v>42673</v>
      </c>
      <c r="U12832" t="s">
        <v>53480</v>
      </c>
      <c r="W12832" t="s">
        <v>40700</v>
      </c>
      <c r="X12832" t="s">
        <v>41269</v>
      </c>
    </row>
    <row r="12833" spans="1:24">
      <c r="A12833">
        <f>HYPERLINK("https://www.philgeps.gov.ph/GEPSNONPILOT/Tender/SplashBidNoticeAbstractUI.aspx?menuIndex=3&amp;refID=7043316&amp;Result=3","7043316")</f>
        <v>0</v>
      </c>
      <c r="B12833" t="s">
        <v>3279</v>
      </c>
      <c r="C12833" t="s">
        <v>15682</v>
      </c>
      <c r="D12833" t="s">
        <v>16654</v>
      </c>
      <c r="E12833" t="s">
        <v>27787</v>
      </c>
      <c r="F12833" t="s">
        <v>28669</v>
      </c>
      <c r="G12833" t="s">
        <v>28675</v>
      </c>
      <c r="H12833" t="s">
        <v>28686</v>
      </c>
      <c r="I12833" t="s">
        <v>28689</v>
      </c>
      <c r="J12833" t="s">
        <v>36671</v>
      </c>
      <c r="K12833" t="s">
        <v>37319</v>
      </c>
      <c r="M12833" t="s">
        <v>41111</v>
      </c>
      <c r="N12833" t="s">
        <v>41249</v>
      </c>
      <c r="O12833" t="s">
        <v>41250</v>
      </c>
      <c r="P12833">
        <v>0</v>
      </c>
      <c r="Q12833">
        <v>1</v>
      </c>
      <c r="R12833" t="s">
        <v>41270</v>
      </c>
      <c r="S12833" t="s">
        <v>42164</v>
      </c>
      <c r="T12833" t="s">
        <v>42838</v>
      </c>
      <c r="U12833" t="s">
        <v>53481</v>
      </c>
      <c r="V12833" t="s">
        <v>55787</v>
      </c>
      <c r="W12833" t="s">
        <v>41111</v>
      </c>
      <c r="X12833" t="s">
        <v>41271</v>
      </c>
    </row>
    <row r="12834" spans="1:24">
      <c r="A12834">
        <f>HYPERLINK("https://www.philgeps.gov.ph/GEPSNONPILOT/Tender/SplashBidNoticeAbstractUI.aspx?menuIndex=3&amp;refID=7043859&amp;Result=3","7043859")</f>
        <v>0</v>
      </c>
      <c r="B12834" t="s">
        <v>1686</v>
      </c>
      <c r="C12834" t="s">
        <v>15683</v>
      </c>
      <c r="E12834" t="s">
        <v>27788</v>
      </c>
      <c r="F12834" t="s">
        <v>28669</v>
      </c>
      <c r="G12834" t="s">
        <v>28675</v>
      </c>
      <c r="H12834" t="s">
        <v>28686</v>
      </c>
      <c r="I12834" t="s">
        <v>28752</v>
      </c>
      <c r="J12834" t="s">
        <v>28924</v>
      </c>
      <c r="K12834" t="s">
        <v>37220</v>
      </c>
      <c r="M12834" t="s">
        <v>39280</v>
      </c>
      <c r="N12834" t="s">
        <v>41249</v>
      </c>
      <c r="O12834" t="s">
        <v>41250</v>
      </c>
      <c r="P12834">
        <v>0</v>
      </c>
      <c r="Q12834">
        <v>1</v>
      </c>
      <c r="R12834" t="s">
        <v>41269</v>
      </c>
      <c r="S12834" t="s">
        <v>42159</v>
      </c>
      <c r="T12834" t="s">
        <v>42736</v>
      </c>
      <c r="U12834" t="s">
        <v>47094</v>
      </c>
      <c r="W12834" t="s">
        <v>39280</v>
      </c>
      <c r="X12834" t="s">
        <v>41270</v>
      </c>
    </row>
    <row r="12835" spans="1:24">
      <c r="A12835">
        <f>HYPERLINK("https://www.philgeps.gov.ph/GEPSNONPILOT/Tender/SplashBidNoticeAbstractUI.aspx?menuIndex=3&amp;refID=7043307&amp;Result=3","7043307")</f>
        <v>0</v>
      </c>
      <c r="B12835" t="s">
        <v>1534</v>
      </c>
      <c r="C12835" t="s">
        <v>15684</v>
      </c>
      <c r="E12835" t="s">
        <v>19574</v>
      </c>
      <c r="F12835" t="s">
        <v>28669</v>
      </c>
      <c r="G12835" t="s">
        <v>28675</v>
      </c>
      <c r="H12835" t="s">
        <v>28686</v>
      </c>
      <c r="I12835" t="s">
        <v>28694</v>
      </c>
      <c r="J12835" t="s">
        <v>36672</v>
      </c>
      <c r="K12835" t="s">
        <v>37209</v>
      </c>
      <c r="M12835" t="s">
        <v>39109</v>
      </c>
      <c r="N12835" t="s">
        <v>41249</v>
      </c>
      <c r="O12835" t="s">
        <v>41250</v>
      </c>
      <c r="P12835">
        <v>0</v>
      </c>
      <c r="Q12835">
        <v>2</v>
      </c>
      <c r="R12835" t="s">
        <v>41270</v>
      </c>
      <c r="S12835" t="s">
        <v>42164</v>
      </c>
      <c r="T12835" t="s">
        <v>42727</v>
      </c>
      <c r="U12835" t="s">
        <v>53482</v>
      </c>
      <c r="W12835" t="s">
        <v>39109</v>
      </c>
      <c r="X12835" t="s">
        <v>41271</v>
      </c>
    </row>
    <row r="12836" spans="1:24">
      <c r="A12836">
        <f>HYPERLINK("https://www.philgeps.gov.ph/GEPSNONPILOT/Tender/SplashBidNoticeAbstractUI.aspx?menuIndex=3&amp;refID=7043246&amp;Result=3","7043246")</f>
        <v>0</v>
      </c>
      <c r="B12836" t="s">
        <v>3280</v>
      </c>
      <c r="C12836" t="s">
        <v>15685</v>
      </c>
      <c r="D12836" t="s">
        <v>16615</v>
      </c>
      <c r="E12836" t="s">
        <v>27789</v>
      </c>
      <c r="F12836" t="s">
        <v>28669</v>
      </c>
      <c r="G12836" t="s">
        <v>28682</v>
      </c>
      <c r="H12836" t="s">
        <v>28686</v>
      </c>
      <c r="I12836" t="s">
        <v>28689</v>
      </c>
      <c r="J12836" t="s">
        <v>35416</v>
      </c>
      <c r="K12836" t="s">
        <v>37213</v>
      </c>
      <c r="M12836" t="s">
        <v>41112</v>
      </c>
      <c r="N12836" t="s">
        <v>41249</v>
      </c>
      <c r="O12836" t="s">
        <v>41250</v>
      </c>
      <c r="P12836">
        <v>0</v>
      </c>
      <c r="Q12836">
        <v>93</v>
      </c>
      <c r="R12836" t="s">
        <v>41270</v>
      </c>
      <c r="S12836" t="s">
        <v>42164</v>
      </c>
      <c r="T12836" t="s">
        <v>42814</v>
      </c>
      <c r="U12836" t="s">
        <v>53483</v>
      </c>
      <c r="V12836" t="s">
        <v>55788</v>
      </c>
      <c r="W12836" t="s">
        <v>41112</v>
      </c>
      <c r="X12836" t="s">
        <v>41272</v>
      </c>
    </row>
    <row r="12837" spans="1:24">
      <c r="A12837">
        <f>HYPERLINK("https://www.philgeps.gov.ph/GEPSNONPILOT/Tender/SplashBidNoticeAbstractUI.aspx?menuIndex=3&amp;refID=7042529&amp;Result=3","7042529")</f>
        <v>0</v>
      </c>
      <c r="B12837" t="s">
        <v>334</v>
      </c>
      <c r="C12837" t="s">
        <v>15686</v>
      </c>
      <c r="D12837" t="s">
        <v>16637</v>
      </c>
      <c r="E12837" t="s">
        <v>27790</v>
      </c>
      <c r="F12837" t="s">
        <v>28669</v>
      </c>
      <c r="G12837" t="s">
        <v>28675</v>
      </c>
      <c r="H12837" t="s">
        <v>9998</v>
      </c>
      <c r="I12837" t="s">
        <v>7352</v>
      </c>
      <c r="J12837" t="s">
        <v>36673</v>
      </c>
      <c r="K12837" t="s">
        <v>37206</v>
      </c>
      <c r="M12837" t="s">
        <v>37814</v>
      </c>
      <c r="N12837" t="s">
        <v>41249</v>
      </c>
      <c r="O12837" t="s">
        <v>41250</v>
      </c>
      <c r="Q12837">
        <v>1</v>
      </c>
      <c r="R12837" t="s">
        <v>41270</v>
      </c>
      <c r="S12837" t="s">
        <v>42165</v>
      </c>
      <c r="T12837" t="s">
        <v>42673</v>
      </c>
      <c r="U12837" t="s">
        <v>53484</v>
      </c>
      <c r="V12837" t="s">
        <v>55789</v>
      </c>
      <c r="W12837" t="s">
        <v>37814</v>
      </c>
      <c r="X12837" t="s">
        <v>41272</v>
      </c>
    </row>
    <row r="12838" spans="1:24">
      <c r="A12838">
        <f>HYPERLINK("https://www.philgeps.gov.ph/GEPSNONPILOT/Tender/SplashBidNoticeAbstractUI.aspx?menuIndex=3&amp;refID=7041691&amp;Result=3","7041691")</f>
        <v>0</v>
      </c>
      <c r="B12838" t="s">
        <v>3281</v>
      </c>
      <c r="C12838" t="s">
        <v>15687</v>
      </c>
      <c r="D12838" t="s">
        <v>16621</v>
      </c>
      <c r="E12838" t="s">
        <v>27791</v>
      </c>
      <c r="F12838" t="s">
        <v>28669</v>
      </c>
      <c r="G12838" t="s">
        <v>28675</v>
      </c>
      <c r="H12838" t="s">
        <v>28686</v>
      </c>
      <c r="I12838" t="s">
        <v>28689</v>
      </c>
      <c r="J12838" t="s">
        <v>29003</v>
      </c>
      <c r="K12838" t="s">
        <v>37209</v>
      </c>
      <c r="M12838" t="s">
        <v>41113</v>
      </c>
      <c r="N12838" t="s">
        <v>41249</v>
      </c>
      <c r="O12838" t="s">
        <v>41250</v>
      </c>
      <c r="P12838">
        <v>0</v>
      </c>
      <c r="Q12838">
        <v>0</v>
      </c>
      <c r="R12838" t="s">
        <v>41270</v>
      </c>
      <c r="S12838" t="s">
        <v>42164</v>
      </c>
      <c r="T12838" t="s">
        <v>42728</v>
      </c>
      <c r="U12838" t="s">
        <v>53485</v>
      </c>
      <c r="W12838" t="s">
        <v>41113</v>
      </c>
      <c r="X12838" t="s">
        <v>41272</v>
      </c>
    </row>
    <row r="12839" spans="1:24">
      <c r="A12839">
        <f>HYPERLINK("https://www.philgeps.gov.ph/GEPSNONPILOT/Tender/SplashBidNoticeAbstractUI.aspx?menuIndex=3&amp;refID=7041443&amp;Result=3","7041443")</f>
        <v>0</v>
      </c>
      <c r="B12839" t="s">
        <v>3282</v>
      </c>
      <c r="C12839" t="s">
        <v>15688</v>
      </c>
      <c r="D12839" t="s">
        <v>16621</v>
      </c>
      <c r="E12839" t="s">
        <v>27792</v>
      </c>
      <c r="F12839" t="s">
        <v>28669</v>
      </c>
      <c r="G12839" t="s">
        <v>28675</v>
      </c>
      <c r="H12839" t="s">
        <v>28686</v>
      </c>
      <c r="I12839" t="s">
        <v>28689</v>
      </c>
      <c r="J12839" t="s">
        <v>29003</v>
      </c>
      <c r="K12839" t="s">
        <v>37209</v>
      </c>
      <c r="M12839" t="s">
        <v>41114</v>
      </c>
      <c r="N12839" t="s">
        <v>41249</v>
      </c>
      <c r="O12839" t="s">
        <v>41250</v>
      </c>
      <c r="P12839">
        <v>0</v>
      </c>
      <c r="Q12839">
        <v>1</v>
      </c>
      <c r="R12839" t="s">
        <v>41270</v>
      </c>
      <c r="S12839" t="s">
        <v>42164</v>
      </c>
      <c r="T12839" t="s">
        <v>42728</v>
      </c>
      <c r="U12839" t="s">
        <v>53486</v>
      </c>
      <c r="W12839" t="s">
        <v>41114</v>
      </c>
      <c r="X12839" t="s">
        <v>41272</v>
      </c>
    </row>
    <row r="12840" spans="1:24">
      <c r="A12840">
        <f>HYPERLINK("https://www.philgeps.gov.ph/GEPSNONPILOT/Tender/SplashBidNoticeAbstractUI.aspx?menuIndex=3&amp;refID=7044281&amp;Result=3","7044281")</f>
        <v>0</v>
      </c>
      <c r="B12840" t="s">
        <v>3272</v>
      </c>
      <c r="C12840" t="s">
        <v>9681</v>
      </c>
      <c r="D12840" t="s">
        <v>16668</v>
      </c>
      <c r="E12840" t="s">
        <v>27793</v>
      </c>
      <c r="F12840" t="s">
        <v>28669</v>
      </c>
      <c r="G12840" t="s">
        <v>28675</v>
      </c>
      <c r="H12840" t="s">
        <v>9998</v>
      </c>
      <c r="I12840" t="s">
        <v>28753</v>
      </c>
      <c r="J12840" t="s">
        <v>36674</v>
      </c>
      <c r="K12840" t="s">
        <v>37206</v>
      </c>
      <c r="M12840" t="s">
        <v>41100</v>
      </c>
      <c r="N12840" t="s">
        <v>41249</v>
      </c>
      <c r="O12840" t="s">
        <v>41250</v>
      </c>
      <c r="P12840">
        <v>0</v>
      </c>
      <c r="Q12840">
        <v>6</v>
      </c>
      <c r="R12840" t="s">
        <v>41268</v>
      </c>
      <c r="S12840" t="s">
        <v>42129</v>
      </c>
      <c r="T12840" t="s">
        <v>42759</v>
      </c>
      <c r="U12840" t="s">
        <v>53487</v>
      </c>
      <c r="W12840" t="s">
        <v>41100</v>
      </c>
      <c r="X12840" t="s">
        <v>41269</v>
      </c>
    </row>
    <row r="12841" spans="1:24">
      <c r="A12841">
        <f>HYPERLINK("https://www.philgeps.gov.ph/GEPSNONPILOT/Tender/SplashBidNoticeAbstractUI.aspx?menuIndex=3&amp;refID=7043810&amp;Result=3","7043810")</f>
        <v>0</v>
      </c>
      <c r="B12841" t="s">
        <v>1857</v>
      </c>
      <c r="C12841" t="s">
        <v>15689</v>
      </c>
      <c r="D12841" t="s">
        <v>16668</v>
      </c>
      <c r="E12841" t="s">
        <v>16877</v>
      </c>
      <c r="F12841" t="s">
        <v>28669</v>
      </c>
      <c r="G12841" t="s">
        <v>28675</v>
      </c>
      <c r="H12841" t="s">
        <v>9998</v>
      </c>
      <c r="I12841" t="s">
        <v>28706</v>
      </c>
      <c r="J12841" t="s">
        <v>28912</v>
      </c>
      <c r="K12841" t="s">
        <v>37204</v>
      </c>
      <c r="M12841" t="s">
        <v>39477</v>
      </c>
      <c r="N12841" t="s">
        <v>41249</v>
      </c>
      <c r="O12841" t="s">
        <v>41250</v>
      </c>
      <c r="P12841">
        <v>0</v>
      </c>
      <c r="Q12841">
        <v>2</v>
      </c>
      <c r="R12841" t="s">
        <v>41269</v>
      </c>
      <c r="S12841" t="s">
        <v>42159</v>
      </c>
      <c r="T12841" t="s">
        <v>42729</v>
      </c>
      <c r="U12841" t="s">
        <v>47715</v>
      </c>
      <c r="W12841" t="s">
        <v>39477</v>
      </c>
      <c r="X12841" t="s">
        <v>41270</v>
      </c>
    </row>
    <row r="12842" spans="1:24">
      <c r="A12842">
        <f>HYPERLINK("https://www.philgeps.gov.ph/GEPSNONPILOT/Tender/SplashBidNoticeAbstractUI.aspx?menuIndex=3&amp;refID=7043916&amp;Result=3","7043916")</f>
        <v>0</v>
      </c>
      <c r="B12842" t="s">
        <v>3277</v>
      </c>
      <c r="C12842" t="s">
        <v>15690</v>
      </c>
      <c r="D12842" t="s">
        <v>16635</v>
      </c>
      <c r="E12842" t="s">
        <v>27794</v>
      </c>
      <c r="F12842" t="s">
        <v>28669</v>
      </c>
      <c r="G12842" t="s">
        <v>28675</v>
      </c>
      <c r="H12842" t="s">
        <v>28686</v>
      </c>
      <c r="I12842" t="s">
        <v>28689</v>
      </c>
      <c r="J12842" t="s">
        <v>28836</v>
      </c>
      <c r="K12842" t="s">
        <v>37220</v>
      </c>
      <c r="M12842" t="s">
        <v>41106</v>
      </c>
      <c r="N12842" t="s">
        <v>41249</v>
      </c>
      <c r="O12842" t="s">
        <v>41250</v>
      </c>
      <c r="P12842">
        <v>0</v>
      </c>
      <c r="Q12842">
        <v>3</v>
      </c>
      <c r="R12842" t="s">
        <v>41269</v>
      </c>
      <c r="S12842" t="s">
        <v>42159</v>
      </c>
      <c r="T12842" t="s">
        <v>42739</v>
      </c>
      <c r="U12842" t="s">
        <v>53488</v>
      </c>
      <c r="W12842" t="s">
        <v>41106</v>
      </c>
      <c r="X12842" t="s">
        <v>41270</v>
      </c>
    </row>
    <row r="12843" spans="1:24">
      <c r="A12843">
        <f>HYPERLINK("https://www.philgeps.gov.ph/GEPSNONPILOT/Tender/SplashBidNoticeAbstractUI.aspx?menuIndex=3&amp;refID=7043412&amp;Result=3","7043412")</f>
        <v>0</v>
      </c>
      <c r="B12843" t="s">
        <v>3283</v>
      </c>
      <c r="C12843" t="s">
        <v>15691</v>
      </c>
      <c r="D12843" t="s">
        <v>16644</v>
      </c>
      <c r="E12843" t="s">
        <v>27795</v>
      </c>
      <c r="F12843" t="s">
        <v>28669</v>
      </c>
      <c r="G12843" t="s">
        <v>28675</v>
      </c>
      <c r="H12843" t="s">
        <v>28686</v>
      </c>
      <c r="I12843" t="s">
        <v>28689</v>
      </c>
      <c r="J12843" t="s">
        <v>36675</v>
      </c>
      <c r="K12843" t="s">
        <v>37215</v>
      </c>
      <c r="M12843" t="s">
        <v>41115</v>
      </c>
      <c r="N12843" t="s">
        <v>41249</v>
      </c>
      <c r="O12843" t="s">
        <v>41250</v>
      </c>
      <c r="P12843">
        <v>0</v>
      </c>
      <c r="Q12843">
        <v>2</v>
      </c>
      <c r="R12843" t="s">
        <v>41270</v>
      </c>
      <c r="S12843" t="s">
        <v>42164</v>
      </c>
      <c r="T12843" t="s">
        <v>43155</v>
      </c>
      <c r="U12843" t="s">
        <v>53489</v>
      </c>
      <c r="W12843" t="s">
        <v>41115</v>
      </c>
      <c r="X12843" t="s">
        <v>41271</v>
      </c>
    </row>
    <row r="12844" spans="1:24">
      <c r="A12844">
        <f>HYPERLINK("https://www.philgeps.gov.ph/GEPSNONPILOT/Tender/SplashBidNoticeAbstractUI.aspx?menuIndex=3&amp;refID=7043915&amp;Result=3","7043915")</f>
        <v>0</v>
      </c>
      <c r="B12844" t="s">
        <v>3277</v>
      </c>
      <c r="C12844" t="s">
        <v>15692</v>
      </c>
      <c r="D12844" t="s">
        <v>16635</v>
      </c>
      <c r="E12844" t="s">
        <v>27796</v>
      </c>
      <c r="F12844" t="s">
        <v>28669</v>
      </c>
      <c r="G12844" t="s">
        <v>28675</v>
      </c>
      <c r="H12844" t="s">
        <v>28686</v>
      </c>
      <c r="I12844" t="s">
        <v>28689</v>
      </c>
      <c r="J12844" t="s">
        <v>28836</v>
      </c>
      <c r="K12844" t="s">
        <v>37220</v>
      </c>
      <c r="M12844" t="s">
        <v>41106</v>
      </c>
      <c r="N12844" t="s">
        <v>41249</v>
      </c>
      <c r="O12844" t="s">
        <v>41250</v>
      </c>
      <c r="P12844">
        <v>0</v>
      </c>
      <c r="Q12844">
        <v>3</v>
      </c>
      <c r="R12844" t="s">
        <v>41269</v>
      </c>
      <c r="S12844" t="s">
        <v>42159</v>
      </c>
      <c r="T12844" t="s">
        <v>42739</v>
      </c>
      <c r="U12844" t="s">
        <v>53488</v>
      </c>
      <c r="W12844" t="s">
        <v>41106</v>
      </c>
      <c r="X12844" t="s">
        <v>41270</v>
      </c>
    </row>
    <row r="12845" spans="1:24">
      <c r="A12845">
        <f>HYPERLINK("https://www.philgeps.gov.ph/GEPSNONPILOT/Tender/SplashBidNoticeAbstractUI.aspx?menuIndex=3&amp;refID=7043355&amp;Result=3","7043355")</f>
        <v>0</v>
      </c>
      <c r="B12845" t="s">
        <v>1452</v>
      </c>
      <c r="C12845" t="s">
        <v>15693</v>
      </c>
      <c r="D12845" t="s">
        <v>16652</v>
      </c>
      <c r="E12845" t="s">
        <v>27797</v>
      </c>
      <c r="F12845" t="s">
        <v>28669</v>
      </c>
      <c r="G12845" t="s">
        <v>28675</v>
      </c>
      <c r="H12845" t="s">
        <v>9998</v>
      </c>
      <c r="I12845" t="s">
        <v>11593</v>
      </c>
      <c r="J12845" t="s">
        <v>29245</v>
      </c>
      <c r="K12845" t="s">
        <v>37221</v>
      </c>
      <c r="M12845" t="s">
        <v>39017</v>
      </c>
      <c r="N12845" t="s">
        <v>41249</v>
      </c>
      <c r="O12845" t="s">
        <v>41250</v>
      </c>
      <c r="P12845">
        <v>0</v>
      </c>
      <c r="Q12845">
        <v>4</v>
      </c>
      <c r="R12845" t="s">
        <v>41270</v>
      </c>
      <c r="S12845" t="s">
        <v>42164</v>
      </c>
      <c r="T12845" t="s">
        <v>42728</v>
      </c>
      <c r="U12845" t="s">
        <v>53490</v>
      </c>
      <c r="W12845" t="s">
        <v>39017</v>
      </c>
      <c r="X12845" t="s">
        <v>41271</v>
      </c>
    </row>
    <row r="12846" spans="1:24">
      <c r="A12846">
        <f>HYPERLINK("https://www.philgeps.gov.ph/GEPSNONPILOT/Tender/SplashBidNoticeAbstractUI.aspx?menuIndex=3&amp;refID=7043408&amp;Result=3","7043408")</f>
        <v>0</v>
      </c>
      <c r="B12846" t="s">
        <v>3283</v>
      </c>
      <c r="C12846" t="s">
        <v>15694</v>
      </c>
      <c r="D12846" t="s">
        <v>16644</v>
      </c>
      <c r="E12846" t="s">
        <v>27798</v>
      </c>
      <c r="F12846" t="s">
        <v>28669</v>
      </c>
      <c r="G12846" t="s">
        <v>28675</v>
      </c>
      <c r="H12846" t="s">
        <v>28686</v>
      </c>
      <c r="I12846" t="s">
        <v>28689</v>
      </c>
      <c r="J12846" t="s">
        <v>29655</v>
      </c>
      <c r="K12846" t="s">
        <v>37215</v>
      </c>
      <c r="M12846" t="s">
        <v>41115</v>
      </c>
      <c r="N12846" t="s">
        <v>41249</v>
      </c>
      <c r="O12846" t="s">
        <v>41250</v>
      </c>
      <c r="P12846">
        <v>0</v>
      </c>
      <c r="Q12846">
        <v>2</v>
      </c>
      <c r="R12846" t="s">
        <v>41270</v>
      </c>
      <c r="S12846" t="s">
        <v>42164</v>
      </c>
      <c r="T12846" t="s">
        <v>43155</v>
      </c>
      <c r="U12846" t="s">
        <v>53491</v>
      </c>
      <c r="W12846" t="s">
        <v>41115</v>
      </c>
      <c r="X12846" t="s">
        <v>41271</v>
      </c>
    </row>
    <row r="12847" spans="1:24">
      <c r="A12847">
        <f>HYPERLINK("https://www.philgeps.gov.ph/GEPSNONPILOT/Tender/SplashBidNoticeAbstractUI.aspx?menuIndex=3&amp;refID=7043750&amp;Result=3","7043750")</f>
        <v>0</v>
      </c>
      <c r="B12847" t="s">
        <v>3284</v>
      </c>
      <c r="C12847" t="s">
        <v>15695</v>
      </c>
      <c r="D12847" t="s">
        <v>16611</v>
      </c>
      <c r="E12847" t="s">
        <v>27799</v>
      </c>
      <c r="F12847" t="s">
        <v>28669</v>
      </c>
      <c r="G12847" t="s">
        <v>28675</v>
      </c>
      <c r="H12847" t="s">
        <v>9998</v>
      </c>
      <c r="I12847" t="s">
        <v>6606</v>
      </c>
      <c r="J12847" t="s">
        <v>36676</v>
      </c>
      <c r="K12847" t="s">
        <v>37209</v>
      </c>
      <c r="M12847" t="s">
        <v>41116</v>
      </c>
      <c r="N12847" t="s">
        <v>41249</v>
      </c>
      <c r="O12847" t="s">
        <v>41250</v>
      </c>
      <c r="P12847">
        <v>0</v>
      </c>
      <c r="Q12847">
        <v>3</v>
      </c>
      <c r="R12847" t="s">
        <v>41269</v>
      </c>
      <c r="S12847" t="s">
        <v>42159</v>
      </c>
      <c r="T12847" t="s">
        <v>42736</v>
      </c>
      <c r="U12847" t="s">
        <v>53492</v>
      </c>
      <c r="W12847" t="s">
        <v>41116</v>
      </c>
      <c r="X12847" t="s">
        <v>41270</v>
      </c>
    </row>
    <row r="12848" spans="1:24">
      <c r="A12848">
        <f>HYPERLINK("https://www.philgeps.gov.ph/GEPSNONPILOT/Tender/SplashBidNoticeAbstractUI.aspx?menuIndex=3&amp;refID=7043422&amp;Result=3","7043422")</f>
        <v>0</v>
      </c>
      <c r="B12848" t="s">
        <v>2949</v>
      </c>
      <c r="C12848" t="s">
        <v>15696</v>
      </c>
      <c r="D12848" t="s">
        <v>16681</v>
      </c>
      <c r="E12848" t="s">
        <v>27800</v>
      </c>
      <c r="F12848" t="s">
        <v>28669</v>
      </c>
      <c r="G12848" t="s">
        <v>28675</v>
      </c>
      <c r="H12848" t="s">
        <v>28686</v>
      </c>
      <c r="I12848" t="s">
        <v>28689</v>
      </c>
      <c r="J12848" t="s">
        <v>36677</v>
      </c>
      <c r="K12848" t="s">
        <v>37212</v>
      </c>
      <c r="M12848" t="s">
        <v>40709</v>
      </c>
      <c r="N12848" t="s">
        <v>41249</v>
      </c>
      <c r="O12848" t="s">
        <v>41250</v>
      </c>
      <c r="P12848">
        <v>0</v>
      </c>
      <c r="Q12848">
        <v>0</v>
      </c>
      <c r="R12848" t="s">
        <v>41270</v>
      </c>
      <c r="S12848" t="s">
        <v>42164</v>
      </c>
      <c r="T12848" t="s">
        <v>42727</v>
      </c>
      <c r="U12848" t="s">
        <v>53493</v>
      </c>
      <c r="W12848" t="s">
        <v>40709</v>
      </c>
      <c r="X12848" t="s">
        <v>41271</v>
      </c>
    </row>
    <row r="12849" spans="1:24">
      <c r="A12849">
        <f>HYPERLINK("https://www.philgeps.gov.ph/GEPSNONPILOT/Tender/SplashBidNoticeAbstractUI.aspx?menuIndex=3&amp;refID=7043336&amp;Result=3","7043336")</f>
        <v>0</v>
      </c>
      <c r="B12849" t="s">
        <v>887</v>
      </c>
      <c r="C12849" t="s">
        <v>15697</v>
      </c>
      <c r="D12849" t="s">
        <v>16672</v>
      </c>
      <c r="E12849" t="s">
        <v>27801</v>
      </c>
      <c r="F12849" t="s">
        <v>28669</v>
      </c>
      <c r="G12849" t="s">
        <v>28675</v>
      </c>
      <c r="H12849" t="s">
        <v>9998</v>
      </c>
      <c r="I12849" t="s">
        <v>28695</v>
      </c>
      <c r="J12849" t="s">
        <v>36678</v>
      </c>
      <c r="K12849" t="s">
        <v>37221</v>
      </c>
      <c r="M12849" t="s">
        <v>38407</v>
      </c>
      <c r="N12849" t="s">
        <v>41249</v>
      </c>
      <c r="O12849" t="s">
        <v>41250</v>
      </c>
      <c r="P12849">
        <v>0</v>
      </c>
      <c r="Q12849">
        <v>0</v>
      </c>
      <c r="R12849" t="s">
        <v>41270</v>
      </c>
      <c r="S12849" t="s">
        <v>42164</v>
      </c>
      <c r="T12849" t="s">
        <v>42992</v>
      </c>
      <c r="U12849" t="s">
        <v>53494</v>
      </c>
      <c r="W12849" t="s">
        <v>38407</v>
      </c>
      <c r="X12849" t="s">
        <v>41271</v>
      </c>
    </row>
    <row r="12850" spans="1:24">
      <c r="A12850">
        <f>HYPERLINK("https://www.philgeps.gov.ph/GEPSNONPILOT/Tender/SplashBidNoticeAbstractUI.aspx?menuIndex=3&amp;refID=7043550&amp;Result=3","7043550")</f>
        <v>0</v>
      </c>
      <c r="B12850" t="s">
        <v>398</v>
      </c>
      <c r="C12850" t="s">
        <v>15698</v>
      </c>
      <c r="D12850" t="s">
        <v>16608</v>
      </c>
      <c r="E12850" t="s">
        <v>27802</v>
      </c>
      <c r="F12850" t="s">
        <v>28669</v>
      </c>
      <c r="G12850" t="s">
        <v>28675</v>
      </c>
      <c r="H12850" t="s">
        <v>9998</v>
      </c>
      <c r="I12850" t="s">
        <v>5033</v>
      </c>
      <c r="J12850" t="s">
        <v>36679</v>
      </c>
      <c r="K12850" t="s">
        <v>37204</v>
      </c>
      <c r="M12850" t="s">
        <v>37883</v>
      </c>
      <c r="N12850" t="s">
        <v>41249</v>
      </c>
      <c r="O12850" t="s">
        <v>41250</v>
      </c>
      <c r="P12850">
        <v>0</v>
      </c>
      <c r="Q12850">
        <v>1</v>
      </c>
      <c r="R12850" t="s">
        <v>41270</v>
      </c>
      <c r="S12850" t="s">
        <v>42164</v>
      </c>
      <c r="T12850" t="s">
        <v>42743</v>
      </c>
      <c r="U12850" t="s">
        <v>51615</v>
      </c>
      <c r="W12850" t="s">
        <v>37883</v>
      </c>
      <c r="X12850" t="s">
        <v>41271</v>
      </c>
    </row>
    <row r="12851" spans="1:24">
      <c r="A12851">
        <f>HYPERLINK("https://www.philgeps.gov.ph/GEPSNONPILOT/Tender/SplashBidNoticeAbstractUI.aspx?menuIndex=3&amp;refID=7043304&amp;Result=3","7043304")</f>
        <v>0</v>
      </c>
      <c r="B12851" t="s">
        <v>3285</v>
      </c>
      <c r="C12851" t="s">
        <v>15699</v>
      </c>
      <c r="D12851" t="s">
        <v>16654</v>
      </c>
      <c r="E12851" t="s">
        <v>27803</v>
      </c>
      <c r="F12851" t="s">
        <v>28669</v>
      </c>
      <c r="G12851" t="s">
        <v>28681</v>
      </c>
      <c r="H12851" t="s">
        <v>28685</v>
      </c>
      <c r="I12851" t="s">
        <v>28685</v>
      </c>
      <c r="J12851" t="s">
        <v>36680</v>
      </c>
      <c r="K12851" t="s">
        <v>37325</v>
      </c>
      <c r="M12851" t="s">
        <v>41117</v>
      </c>
      <c r="N12851" t="s">
        <v>41249</v>
      </c>
      <c r="O12851" t="s">
        <v>41250</v>
      </c>
      <c r="P12851">
        <v>0</v>
      </c>
      <c r="Q12851">
        <v>8</v>
      </c>
      <c r="R12851" t="s">
        <v>41270</v>
      </c>
      <c r="S12851" t="s">
        <v>42164</v>
      </c>
      <c r="T12851" t="s">
        <v>42938</v>
      </c>
      <c r="U12851" t="s">
        <v>53495</v>
      </c>
      <c r="W12851" t="s">
        <v>41117</v>
      </c>
      <c r="X12851" t="s">
        <v>41271</v>
      </c>
    </row>
    <row r="12852" spans="1:24">
      <c r="A12852">
        <f>HYPERLINK("https://www.philgeps.gov.ph/GEPSNONPILOT/Tender/SplashBidNoticeAbstractUI.aspx?menuIndex=3&amp;refID=7043522&amp;Result=3","7043522")</f>
        <v>0</v>
      </c>
      <c r="B12852" t="s">
        <v>398</v>
      </c>
      <c r="C12852" t="s">
        <v>15700</v>
      </c>
      <c r="D12852" t="s">
        <v>16608</v>
      </c>
      <c r="E12852" t="s">
        <v>27804</v>
      </c>
      <c r="F12852" t="s">
        <v>28669</v>
      </c>
      <c r="G12852" t="s">
        <v>28675</v>
      </c>
      <c r="H12852" t="s">
        <v>9998</v>
      </c>
      <c r="I12852" t="s">
        <v>5213</v>
      </c>
      <c r="J12852" t="s">
        <v>29611</v>
      </c>
      <c r="K12852" t="s">
        <v>37204</v>
      </c>
      <c r="M12852" t="s">
        <v>37883</v>
      </c>
      <c r="N12852" t="s">
        <v>41249</v>
      </c>
      <c r="O12852" t="s">
        <v>41250</v>
      </c>
      <c r="P12852">
        <v>0</v>
      </c>
      <c r="Q12852">
        <v>0</v>
      </c>
      <c r="R12852" t="s">
        <v>41270</v>
      </c>
      <c r="S12852" t="s">
        <v>42164</v>
      </c>
      <c r="T12852" t="s">
        <v>42743</v>
      </c>
      <c r="U12852" t="s">
        <v>53496</v>
      </c>
      <c r="W12852" t="s">
        <v>37883</v>
      </c>
      <c r="X12852" t="s">
        <v>41271</v>
      </c>
    </row>
    <row r="12853" spans="1:24">
      <c r="A12853">
        <f>HYPERLINK("https://www.philgeps.gov.ph/GEPSNONPILOT/Tender/SplashBidNoticeAbstractUI.aspx?menuIndex=3&amp;refID=7043914&amp;Result=3","7043914")</f>
        <v>0</v>
      </c>
      <c r="B12853" t="s">
        <v>3277</v>
      </c>
      <c r="C12853" t="s">
        <v>15701</v>
      </c>
      <c r="D12853" t="s">
        <v>16635</v>
      </c>
      <c r="E12853" t="s">
        <v>27805</v>
      </c>
      <c r="F12853" t="s">
        <v>28669</v>
      </c>
      <c r="G12853" t="s">
        <v>28675</v>
      </c>
      <c r="H12853" t="s">
        <v>28686</v>
      </c>
      <c r="I12853" t="s">
        <v>28689</v>
      </c>
      <c r="J12853" t="s">
        <v>30333</v>
      </c>
      <c r="K12853" t="s">
        <v>37213</v>
      </c>
      <c r="M12853" t="s">
        <v>41106</v>
      </c>
      <c r="N12853" t="s">
        <v>41249</v>
      </c>
      <c r="O12853" t="s">
        <v>41250</v>
      </c>
      <c r="P12853">
        <v>0</v>
      </c>
      <c r="Q12853">
        <v>6</v>
      </c>
      <c r="R12853" t="s">
        <v>41269</v>
      </c>
      <c r="S12853" t="s">
        <v>42159</v>
      </c>
      <c r="T12853" t="s">
        <v>42739</v>
      </c>
      <c r="U12853" t="s">
        <v>53488</v>
      </c>
      <c r="W12853" t="s">
        <v>41106</v>
      </c>
      <c r="X12853" t="s">
        <v>41270</v>
      </c>
    </row>
    <row r="12854" spans="1:24">
      <c r="A12854">
        <f>HYPERLINK("https://www.philgeps.gov.ph/GEPSNONPILOT/Tender/SplashBidNoticeAbstractUI.aspx?menuIndex=3&amp;refID=7043342&amp;Result=3","7043342")</f>
        <v>0</v>
      </c>
      <c r="B12854" t="s">
        <v>887</v>
      </c>
      <c r="C12854" t="s">
        <v>15702</v>
      </c>
      <c r="D12854" t="s">
        <v>16672</v>
      </c>
      <c r="E12854" t="s">
        <v>27806</v>
      </c>
      <c r="F12854" t="s">
        <v>28669</v>
      </c>
      <c r="G12854" t="s">
        <v>28675</v>
      </c>
      <c r="H12854" t="s">
        <v>9998</v>
      </c>
      <c r="I12854" t="s">
        <v>28695</v>
      </c>
      <c r="J12854" t="s">
        <v>36681</v>
      </c>
      <c r="K12854" t="s">
        <v>37207</v>
      </c>
      <c r="M12854" t="s">
        <v>38407</v>
      </c>
      <c r="N12854" t="s">
        <v>41249</v>
      </c>
      <c r="O12854" t="s">
        <v>41250</v>
      </c>
      <c r="P12854">
        <v>0</v>
      </c>
      <c r="Q12854">
        <v>0</v>
      </c>
      <c r="R12854" t="s">
        <v>41270</v>
      </c>
      <c r="S12854" t="s">
        <v>42164</v>
      </c>
      <c r="T12854" t="s">
        <v>42992</v>
      </c>
      <c r="U12854" t="s">
        <v>53497</v>
      </c>
      <c r="W12854" t="s">
        <v>38407</v>
      </c>
      <c r="X12854" t="s">
        <v>41271</v>
      </c>
    </row>
    <row r="12855" spans="1:24">
      <c r="A12855">
        <f>HYPERLINK("https://www.philgeps.gov.ph/GEPSNONPILOT/Tender/SplashBidNoticeAbstractUI.aspx?menuIndex=3&amp;refID=7043338&amp;Result=3","7043338")</f>
        <v>0</v>
      </c>
      <c r="B12855" t="s">
        <v>887</v>
      </c>
      <c r="C12855" t="s">
        <v>15703</v>
      </c>
      <c r="D12855" t="s">
        <v>16672</v>
      </c>
      <c r="E12855" t="s">
        <v>27807</v>
      </c>
      <c r="F12855" t="s">
        <v>28669</v>
      </c>
      <c r="G12855" t="s">
        <v>28675</v>
      </c>
      <c r="H12855" t="s">
        <v>9998</v>
      </c>
      <c r="I12855" t="s">
        <v>7352</v>
      </c>
      <c r="J12855" t="s">
        <v>36682</v>
      </c>
      <c r="K12855" t="s">
        <v>37205</v>
      </c>
      <c r="M12855" t="s">
        <v>38407</v>
      </c>
      <c r="N12855" t="s">
        <v>41249</v>
      </c>
      <c r="O12855" t="s">
        <v>41250</v>
      </c>
      <c r="P12855">
        <v>0</v>
      </c>
      <c r="Q12855">
        <v>0</v>
      </c>
      <c r="R12855" t="s">
        <v>41270</v>
      </c>
      <c r="S12855" t="s">
        <v>42164</v>
      </c>
      <c r="T12855" t="s">
        <v>42992</v>
      </c>
      <c r="U12855" t="s">
        <v>53498</v>
      </c>
      <c r="W12855" t="s">
        <v>38407</v>
      </c>
      <c r="X12855" t="s">
        <v>41271</v>
      </c>
    </row>
    <row r="12856" spans="1:24">
      <c r="A12856">
        <f>HYPERLINK("https://www.philgeps.gov.ph/GEPSNONPILOT/Tender/SplashBidNoticeAbstractUI.aspx?menuIndex=3&amp;refID=7043482&amp;Result=3","7043482")</f>
        <v>0</v>
      </c>
      <c r="B12856" t="s">
        <v>398</v>
      </c>
      <c r="C12856" t="s">
        <v>15704</v>
      </c>
      <c r="D12856" t="s">
        <v>16608</v>
      </c>
      <c r="E12856" t="s">
        <v>27808</v>
      </c>
      <c r="F12856" t="s">
        <v>28669</v>
      </c>
      <c r="G12856" t="s">
        <v>28675</v>
      </c>
      <c r="H12856" t="s">
        <v>9998</v>
      </c>
      <c r="I12856" t="s">
        <v>15140</v>
      </c>
      <c r="J12856" t="s">
        <v>36683</v>
      </c>
      <c r="K12856" t="s">
        <v>37204</v>
      </c>
      <c r="M12856" t="s">
        <v>37883</v>
      </c>
      <c r="N12856" t="s">
        <v>41249</v>
      </c>
      <c r="O12856" t="s">
        <v>41250</v>
      </c>
      <c r="P12856">
        <v>0</v>
      </c>
      <c r="Q12856">
        <v>0</v>
      </c>
      <c r="R12856" t="s">
        <v>41270</v>
      </c>
      <c r="S12856" t="s">
        <v>42164</v>
      </c>
      <c r="T12856" t="s">
        <v>42743</v>
      </c>
      <c r="U12856" t="s">
        <v>53499</v>
      </c>
      <c r="W12856" t="s">
        <v>37883</v>
      </c>
      <c r="X12856" t="s">
        <v>41271</v>
      </c>
    </row>
    <row r="12857" spans="1:24">
      <c r="A12857">
        <f>HYPERLINK("https://www.philgeps.gov.ph/GEPSNONPILOT/Tender/SplashBidNoticeAbstractUI.aspx?menuIndex=3&amp;refID=7021927-2&amp;Result=3","7021927-2")</f>
        <v>0</v>
      </c>
      <c r="B12857" t="s">
        <v>2801</v>
      </c>
      <c r="C12857" t="s">
        <v>15705</v>
      </c>
      <c r="E12857" t="s">
        <v>27809</v>
      </c>
      <c r="F12857" t="s">
        <v>28669</v>
      </c>
      <c r="G12857" t="s">
        <v>28675</v>
      </c>
      <c r="H12857" t="s">
        <v>28685</v>
      </c>
      <c r="I12857" t="s">
        <v>28685</v>
      </c>
      <c r="J12857" t="s">
        <v>36684</v>
      </c>
      <c r="K12857" t="s">
        <v>37209</v>
      </c>
      <c r="M12857" t="s">
        <v>40527</v>
      </c>
      <c r="N12857" t="s">
        <v>41249</v>
      </c>
      <c r="O12857" t="s">
        <v>41250</v>
      </c>
      <c r="Q12857">
        <v>0</v>
      </c>
      <c r="R12857" t="s">
        <v>41271</v>
      </c>
      <c r="S12857" t="s">
        <v>42166</v>
      </c>
      <c r="T12857" t="s">
        <v>42690</v>
      </c>
      <c r="U12857" t="s">
        <v>53500</v>
      </c>
      <c r="V12857" t="s">
        <v>55790</v>
      </c>
      <c r="W12857" t="s">
        <v>40527</v>
      </c>
      <c r="X12857" t="s">
        <v>41272</v>
      </c>
    </row>
    <row r="12858" spans="1:24">
      <c r="A12858">
        <f>HYPERLINK("https://www.philgeps.gov.ph/GEPSNONPILOT/Tender/SplashBidNoticeAbstractUI.aspx?menuIndex=3&amp;refID=7043539&amp;Result=3","7043539")</f>
        <v>0</v>
      </c>
      <c r="B12858" t="s">
        <v>398</v>
      </c>
      <c r="C12858" t="s">
        <v>15706</v>
      </c>
      <c r="D12858" t="s">
        <v>16608</v>
      </c>
      <c r="E12858" t="s">
        <v>27810</v>
      </c>
      <c r="F12858" t="s">
        <v>28669</v>
      </c>
      <c r="G12858" t="s">
        <v>28675</v>
      </c>
      <c r="H12858" t="s">
        <v>9998</v>
      </c>
      <c r="I12858" t="s">
        <v>5033</v>
      </c>
      <c r="J12858" t="s">
        <v>29317</v>
      </c>
      <c r="K12858" t="s">
        <v>37204</v>
      </c>
      <c r="M12858" t="s">
        <v>37883</v>
      </c>
      <c r="N12858" t="s">
        <v>41249</v>
      </c>
      <c r="O12858" t="s">
        <v>41250</v>
      </c>
      <c r="P12858">
        <v>0</v>
      </c>
      <c r="Q12858">
        <v>1</v>
      </c>
      <c r="R12858" t="s">
        <v>41270</v>
      </c>
      <c r="S12858" t="s">
        <v>42164</v>
      </c>
      <c r="T12858" t="s">
        <v>42895</v>
      </c>
      <c r="U12858" t="s">
        <v>53501</v>
      </c>
      <c r="W12858" t="s">
        <v>37883</v>
      </c>
      <c r="X12858" t="s">
        <v>41271</v>
      </c>
    </row>
    <row r="12859" spans="1:24">
      <c r="A12859">
        <f>HYPERLINK("https://www.philgeps.gov.ph/GEPSNONPILOT/Tender/SplashBidNoticeAbstractUI.aspx?menuIndex=3&amp;refID=7021908-2&amp;Result=3","7021908-2")</f>
        <v>0</v>
      </c>
      <c r="B12859" t="s">
        <v>2801</v>
      </c>
      <c r="C12859" t="s">
        <v>15707</v>
      </c>
      <c r="E12859" t="s">
        <v>27811</v>
      </c>
      <c r="F12859" t="s">
        <v>28669</v>
      </c>
      <c r="G12859" t="s">
        <v>28675</v>
      </c>
      <c r="H12859" t="s">
        <v>28685</v>
      </c>
      <c r="I12859" t="s">
        <v>28685</v>
      </c>
      <c r="J12859" t="s">
        <v>36685</v>
      </c>
      <c r="K12859" t="s">
        <v>37209</v>
      </c>
      <c r="M12859" t="s">
        <v>40527</v>
      </c>
      <c r="N12859" t="s">
        <v>41249</v>
      </c>
      <c r="O12859" t="s">
        <v>41250</v>
      </c>
      <c r="Q12859">
        <v>1</v>
      </c>
      <c r="R12859" t="s">
        <v>41271</v>
      </c>
      <c r="S12859" t="s">
        <v>41660</v>
      </c>
      <c r="T12859" t="s">
        <v>42690</v>
      </c>
      <c r="U12859" t="s">
        <v>53502</v>
      </c>
      <c r="V12859" t="s">
        <v>55791</v>
      </c>
      <c r="W12859" t="s">
        <v>40527</v>
      </c>
      <c r="X12859" t="s">
        <v>41272</v>
      </c>
    </row>
    <row r="12860" spans="1:24">
      <c r="A12860">
        <f>HYPERLINK("https://www.philgeps.gov.ph/GEPSNONPILOT/Tender/SplashBidNoticeAbstractUI.aspx?menuIndex=3&amp;refID=7043494&amp;Result=3","7043494")</f>
        <v>0</v>
      </c>
      <c r="B12860" t="s">
        <v>398</v>
      </c>
      <c r="C12860" t="s">
        <v>7046</v>
      </c>
      <c r="D12860" t="s">
        <v>16608</v>
      </c>
      <c r="E12860" t="s">
        <v>27812</v>
      </c>
      <c r="F12860" t="s">
        <v>28669</v>
      </c>
      <c r="G12860" t="s">
        <v>28675</v>
      </c>
      <c r="H12860" t="s">
        <v>9998</v>
      </c>
      <c r="I12860" t="s">
        <v>3658</v>
      </c>
      <c r="J12860" t="s">
        <v>29497</v>
      </c>
      <c r="K12860" t="s">
        <v>37204</v>
      </c>
      <c r="M12860" t="s">
        <v>37883</v>
      </c>
      <c r="N12860" t="s">
        <v>41249</v>
      </c>
      <c r="O12860" t="s">
        <v>41250</v>
      </c>
      <c r="P12860">
        <v>0</v>
      </c>
      <c r="Q12860">
        <v>1</v>
      </c>
      <c r="R12860" t="s">
        <v>41270</v>
      </c>
      <c r="S12860" t="s">
        <v>42164</v>
      </c>
      <c r="T12860" t="s">
        <v>42743</v>
      </c>
      <c r="U12860" t="s">
        <v>53503</v>
      </c>
      <c r="W12860" t="s">
        <v>37883</v>
      </c>
      <c r="X12860" t="s">
        <v>41271</v>
      </c>
    </row>
    <row r="12861" spans="1:24">
      <c r="A12861">
        <f>HYPERLINK("https://www.philgeps.gov.ph/GEPSNONPILOT/Tender/SplashBidNoticeAbstractUI.aspx?menuIndex=3&amp;refID=7043340&amp;Result=3","7043340")</f>
        <v>0</v>
      </c>
      <c r="B12861" t="s">
        <v>887</v>
      </c>
      <c r="C12861" t="s">
        <v>15708</v>
      </c>
      <c r="D12861" t="s">
        <v>16672</v>
      </c>
      <c r="E12861" t="s">
        <v>27813</v>
      </c>
      <c r="F12861" t="s">
        <v>28669</v>
      </c>
      <c r="G12861" t="s">
        <v>28675</v>
      </c>
      <c r="H12861" t="s">
        <v>9998</v>
      </c>
      <c r="I12861" t="s">
        <v>7352</v>
      </c>
      <c r="J12861" t="s">
        <v>36686</v>
      </c>
      <c r="K12861" t="s">
        <v>37205</v>
      </c>
      <c r="M12861" t="s">
        <v>38407</v>
      </c>
      <c r="N12861" t="s">
        <v>41249</v>
      </c>
      <c r="O12861" t="s">
        <v>41250</v>
      </c>
      <c r="P12861">
        <v>0</v>
      </c>
      <c r="Q12861">
        <v>0</v>
      </c>
      <c r="R12861" t="s">
        <v>41270</v>
      </c>
      <c r="S12861" t="s">
        <v>42164</v>
      </c>
      <c r="T12861" t="s">
        <v>42992</v>
      </c>
      <c r="U12861" t="s">
        <v>53504</v>
      </c>
      <c r="W12861" t="s">
        <v>38407</v>
      </c>
      <c r="X12861" t="s">
        <v>41271</v>
      </c>
    </row>
    <row r="12862" spans="1:24">
      <c r="A12862">
        <f>HYPERLINK("https://www.philgeps.gov.ph/GEPSNONPILOT/Tender/SplashBidNoticeAbstractUI.aspx?menuIndex=3&amp;refID=7043566&amp;Result=3","7043566")</f>
        <v>0</v>
      </c>
      <c r="B12862" t="s">
        <v>398</v>
      </c>
      <c r="C12862" t="s">
        <v>15709</v>
      </c>
      <c r="D12862" t="s">
        <v>16608</v>
      </c>
      <c r="E12862" t="s">
        <v>27814</v>
      </c>
      <c r="F12862" t="s">
        <v>28669</v>
      </c>
      <c r="G12862" t="s">
        <v>28675</v>
      </c>
      <c r="H12862" t="s">
        <v>9998</v>
      </c>
      <c r="I12862" t="s">
        <v>5213</v>
      </c>
      <c r="J12862" t="s">
        <v>36687</v>
      </c>
      <c r="K12862" t="s">
        <v>37204</v>
      </c>
      <c r="M12862" t="s">
        <v>37883</v>
      </c>
      <c r="N12862" t="s">
        <v>41249</v>
      </c>
      <c r="O12862" t="s">
        <v>41250</v>
      </c>
      <c r="P12862">
        <v>0</v>
      </c>
      <c r="Q12862">
        <v>0</v>
      </c>
      <c r="R12862" t="s">
        <v>41270</v>
      </c>
      <c r="S12862" t="s">
        <v>42164</v>
      </c>
      <c r="T12862" t="s">
        <v>42895</v>
      </c>
      <c r="U12862" t="s">
        <v>53505</v>
      </c>
      <c r="W12862" t="s">
        <v>37883</v>
      </c>
      <c r="X12862" t="s">
        <v>41271</v>
      </c>
    </row>
    <row r="12863" spans="1:24">
      <c r="A12863">
        <f>HYPERLINK("https://www.philgeps.gov.ph/GEPSNONPILOT/Tender/SplashBidNoticeAbstractUI.aspx?menuIndex=3&amp;refID=7043562&amp;Result=3","7043562")</f>
        <v>0</v>
      </c>
      <c r="B12863" t="s">
        <v>398</v>
      </c>
      <c r="C12863" t="s">
        <v>15710</v>
      </c>
      <c r="D12863" t="s">
        <v>16608</v>
      </c>
      <c r="E12863" t="s">
        <v>27815</v>
      </c>
      <c r="F12863" t="s">
        <v>28669</v>
      </c>
      <c r="G12863" t="s">
        <v>28675</v>
      </c>
      <c r="H12863" t="s">
        <v>9998</v>
      </c>
      <c r="I12863" t="s">
        <v>7352</v>
      </c>
      <c r="J12863" t="s">
        <v>36688</v>
      </c>
      <c r="K12863" t="s">
        <v>37204</v>
      </c>
      <c r="M12863" t="s">
        <v>37883</v>
      </c>
      <c r="N12863" t="s">
        <v>41249</v>
      </c>
      <c r="O12863" t="s">
        <v>41250</v>
      </c>
      <c r="P12863">
        <v>0</v>
      </c>
      <c r="Q12863">
        <v>0</v>
      </c>
      <c r="R12863" t="s">
        <v>41270</v>
      </c>
      <c r="S12863" t="s">
        <v>42164</v>
      </c>
      <c r="T12863" t="s">
        <v>42743</v>
      </c>
      <c r="U12863" t="s">
        <v>51615</v>
      </c>
      <c r="W12863" t="s">
        <v>37883</v>
      </c>
      <c r="X12863" t="s">
        <v>41271</v>
      </c>
    </row>
    <row r="12864" spans="1:24">
      <c r="A12864">
        <f>HYPERLINK("https://www.philgeps.gov.ph/GEPSNONPILOT/Tender/SplashBidNoticeAbstractUI.aspx?menuIndex=3&amp;refID=7043470&amp;Result=3","7043470")</f>
        <v>0</v>
      </c>
      <c r="B12864" t="s">
        <v>3286</v>
      </c>
      <c r="C12864" t="s">
        <v>15711</v>
      </c>
      <c r="D12864" t="s">
        <v>16644</v>
      </c>
      <c r="E12864" t="s">
        <v>15711</v>
      </c>
      <c r="F12864" t="s">
        <v>28669</v>
      </c>
      <c r="G12864" t="s">
        <v>28675</v>
      </c>
      <c r="H12864" t="s">
        <v>28686</v>
      </c>
      <c r="I12864" t="s">
        <v>28689</v>
      </c>
      <c r="J12864" t="s">
        <v>36689</v>
      </c>
      <c r="K12864" t="s">
        <v>37215</v>
      </c>
      <c r="M12864" t="s">
        <v>41118</v>
      </c>
      <c r="N12864" t="s">
        <v>41249</v>
      </c>
      <c r="O12864" t="s">
        <v>41250</v>
      </c>
      <c r="P12864">
        <v>0</v>
      </c>
      <c r="Q12864">
        <v>4</v>
      </c>
      <c r="R12864" t="s">
        <v>41270</v>
      </c>
      <c r="S12864" t="s">
        <v>42164</v>
      </c>
      <c r="T12864" t="s">
        <v>42711</v>
      </c>
      <c r="U12864" t="s">
        <v>53506</v>
      </c>
      <c r="W12864" t="s">
        <v>41118</v>
      </c>
      <c r="X12864" t="s">
        <v>41271</v>
      </c>
    </row>
    <row r="12865" spans="1:24">
      <c r="A12865">
        <f>HYPERLINK("https://www.philgeps.gov.ph/GEPSNONPILOT/Tender/SplashBidNoticeAbstractUI.aspx?menuIndex=3&amp;refID=7043447&amp;Result=3","7043447")</f>
        <v>0</v>
      </c>
      <c r="B12865" t="s">
        <v>2949</v>
      </c>
      <c r="C12865" t="s">
        <v>15712</v>
      </c>
      <c r="D12865" t="s">
        <v>16681</v>
      </c>
      <c r="E12865" t="s">
        <v>27816</v>
      </c>
      <c r="F12865" t="s">
        <v>28669</v>
      </c>
      <c r="G12865" t="s">
        <v>28675</v>
      </c>
      <c r="H12865" t="s">
        <v>28686</v>
      </c>
      <c r="I12865" t="s">
        <v>28689</v>
      </c>
      <c r="J12865" t="s">
        <v>36690</v>
      </c>
      <c r="K12865" t="s">
        <v>37255</v>
      </c>
      <c r="M12865" t="s">
        <v>40709</v>
      </c>
      <c r="N12865" t="s">
        <v>41249</v>
      </c>
      <c r="O12865" t="s">
        <v>41250</v>
      </c>
      <c r="Q12865">
        <v>0</v>
      </c>
      <c r="R12865" t="s">
        <v>41270</v>
      </c>
      <c r="S12865" t="s">
        <v>42167</v>
      </c>
      <c r="T12865" t="s">
        <v>42727</v>
      </c>
      <c r="U12865" t="s">
        <v>53507</v>
      </c>
      <c r="W12865" t="s">
        <v>40709</v>
      </c>
      <c r="X12865" t="s">
        <v>41271</v>
      </c>
    </row>
    <row r="12866" spans="1:24">
      <c r="A12866">
        <f>HYPERLINK("https://www.philgeps.gov.ph/GEPSNONPILOT/Tender/SplashBidNoticeAbstractUI.aspx?menuIndex=3&amp;refID=7043441&amp;Result=3","7043441")</f>
        <v>0</v>
      </c>
      <c r="B12866" t="s">
        <v>834</v>
      </c>
      <c r="C12866" t="s">
        <v>15713</v>
      </c>
      <c r="D12866" t="s">
        <v>16645</v>
      </c>
      <c r="E12866" t="s">
        <v>27817</v>
      </c>
      <c r="F12866" t="s">
        <v>28669</v>
      </c>
      <c r="G12866" t="s">
        <v>28675</v>
      </c>
      <c r="H12866" t="s">
        <v>28686</v>
      </c>
      <c r="I12866" t="s">
        <v>28689</v>
      </c>
      <c r="J12866" t="s">
        <v>36691</v>
      </c>
      <c r="K12866" t="s">
        <v>37375</v>
      </c>
      <c r="M12866" t="s">
        <v>38350</v>
      </c>
      <c r="N12866" t="s">
        <v>41249</v>
      </c>
      <c r="O12866" t="s">
        <v>41250</v>
      </c>
      <c r="P12866">
        <v>0</v>
      </c>
      <c r="Q12866">
        <v>0</v>
      </c>
      <c r="R12866" t="s">
        <v>41270</v>
      </c>
      <c r="S12866" t="s">
        <v>42164</v>
      </c>
      <c r="T12866" t="s">
        <v>42727</v>
      </c>
      <c r="U12866" t="s">
        <v>53508</v>
      </c>
      <c r="V12866" t="s">
        <v>55792</v>
      </c>
      <c r="W12866" t="s">
        <v>38350</v>
      </c>
      <c r="X12866" t="s">
        <v>41271</v>
      </c>
    </row>
    <row r="12867" spans="1:24">
      <c r="A12867">
        <f>HYPERLINK("https://www.philgeps.gov.ph/GEPSNONPILOT/Tender/SplashBidNoticeAbstractUI.aspx?menuIndex=3&amp;refID=7043437&amp;Result=3","7043437")</f>
        <v>0</v>
      </c>
      <c r="B12867" t="s">
        <v>834</v>
      </c>
      <c r="C12867" t="s">
        <v>15714</v>
      </c>
      <c r="D12867" t="s">
        <v>16645</v>
      </c>
      <c r="E12867" t="s">
        <v>27818</v>
      </c>
      <c r="F12867" t="s">
        <v>28669</v>
      </c>
      <c r="G12867" t="s">
        <v>28675</v>
      </c>
      <c r="H12867" t="s">
        <v>28686</v>
      </c>
      <c r="I12867" t="s">
        <v>28689</v>
      </c>
      <c r="J12867" t="s">
        <v>36692</v>
      </c>
      <c r="K12867" t="s">
        <v>37271</v>
      </c>
      <c r="M12867" t="s">
        <v>38350</v>
      </c>
      <c r="N12867" t="s">
        <v>41249</v>
      </c>
      <c r="O12867" t="s">
        <v>41250</v>
      </c>
      <c r="P12867">
        <v>0</v>
      </c>
      <c r="Q12867">
        <v>0</v>
      </c>
      <c r="R12867" t="s">
        <v>41270</v>
      </c>
      <c r="S12867" t="s">
        <v>42164</v>
      </c>
      <c r="T12867" t="s">
        <v>42727</v>
      </c>
      <c r="U12867" t="s">
        <v>53509</v>
      </c>
      <c r="V12867" t="s">
        <v>55793</v>
      </c>
      <c r="W12867" t="s">
        <v>38350</v>
      </c>
      <c r="X12867" t="s">
        <v>41271</v>
      </c>
    </row>
    <row r="12868" spans="1:24">
      <c r="A12868">
        <f>HYPERLINK("https://www.philgeps.gov.ph/GEPSNONPILOT/Tender/SplashBidNoticeAbstractUI.aspx?menuIndex=3&amp;refID=7043431&amp;Result=3","7043431")</f>
        <v>0</v>
      </c>
      <c r="B12868" t="s">
        <v>2949</v>
      </c>
      <c r="C12868" t="s">
        <v>15715</v>
      </c>
      <c r="D12868" t="s">
        <v>16681</v>
      </c>
      <c r="E12868" t="s">
        <v>27819</v>
      </c>
      <c r="F12868" t="s">
        <v>28669</v>
      </c>
      <c r="G12868" t="s">
        <v>28675</v>
      </c>
      <c r="H12868" t="s">
        <v>28686</v>
      </c>
      <c r="I12868" t="s">
        <v>28689</v>
      </c>
      <c r="J12868" t="s">
        <v>36693</v>
      </c>
      <c r="K12868" t="s">
        <v>37290</v>
      </c>
      <c r="M12868" t="s">
        <v>40709</v>
      </c>
      <c r="N12868" t="s">
        <v>41249</v>
      </c>
      <c r="O12868" t="s">
        <v>41250</v>
      </c>
      <c r="Q12868">
        <v>0</v>
      </c>
      <c r="R12868" t="s">
        <v>41270</v>
      </c>
      <c r="S12868" t="s">
        <v>42168</v>
      </c>
      <c r="T12868" t="s">
        <v>42727</v>
      </c>
      <c r="U12868" t="s">
        <v>45693</v>
      </c>
      <c r="W12868" t="s">
        <v>40709</v>
      </c>
      <c r="X12868" t="s">
        <v>41271</v>
      </c>
    </row>
    <row r="12869" spans="1:24">
      <c r="A12869">
        <f>HYPERLINK("https://www.philgeps.gov.ph/GEPSNONPILOT/Tender/SplashBidNoticeAbstractUI.aspx?menuIndex=3&amp;refID=7043649&amp;Result=3","7043649")</f>
        <v>0</v>
      </c>
      <c r="B12869" t="s">
        <v>3287</v>
      </c>
      <c r="C12869" t="s">
        <v>15716</v>
      </c>
      <c r="D12869" t="s">
        <v>16621</v>
      </c>
      <c r="E12869" t="s">
        <v>27820</v>
      </c>
      <c r="F12869" t="s">
        <v>28669</v>
      </c>
      <c r="G12869" t="s">
        <v>28675</v>
      </c>
      <c r="H12869" t="s">
        <v>28686</v>
      </c>
      <c r="I12869" t="s">
        <v>28689</v>
      </c>
      <c r="J12869" t="s">
        <v>36694</v>
      </c>
      <c r="K12869" t="s">
        <v>37212</v>
      </c>
      <c r="M12869" t="s">
        <v>41119</v>
      </c>
      <c r="N12869" t="s">
        <v>41249</v>
      </c>
      <c r="O12869" t="s">
        <v>41250</v>
      </c>
      <c r="P12869">
        <v>0</v>
      </c>
      <c r="Q12869">
        <v>1</v>
      </c>
      <c r="R12869" t="s">
        <v>41270</v>
      </c>
      <c r="S12869" t="s">
        <v>42164</v>
      </c>
      <c r="T12869" t="s">
        <v>42711</v>
      </c>
      <c r="U12869" t="s">
        <v>53510</v>
      </c>
      <c r="W12869" t="s">
        <v>41119</v>
      </c>
      <c r="X12869" t="s">
        <v>41271</v>
      </c>
    </row>
    <row r="12870" spans="1:24">
      <c r="A12870">
        <f>HYPERLINK("https://www.philgeps.gov.ph/GEPSNONPILOT/Tender/SplashBidNoticeAbstractUI.aspx?menuIndex=3&amp;refID=7043654&amp;Result=3","7043654")</f>
        <v>0</v>
      </c>
      <c r="B12870" t="s">
        <v>3287</v>
      </c>
      <c r="C12870" t="s">
        <v>15717</v>
      </c>
      <c r="D12870" t="s">
        <v>16621</v>
      </c>
      <c r="E12870" t="s">
        <v>26106</v>
      </c>
      <c r="F12870" t="s">
        <v>28669</v>
      </c>
      <c r="G12870" t="s">
        <v>28675</v>
      </c>
      <c r="H12870" t="s">
        <v>28686</v>
      </c>
      <c r="I12870" t="s">
        <v>28689</v>
      </c>
      <c r="J12870" t="s">
        <v>36695</v>
      </c>
      <c r="K12870" t="s">
        <v>37290</v>
      </c>
      <c r="M12870" t="s">
        <v>41119</v>
      </c>
      <c r="N12870" t="s">
        <v>41249</v>
      </c>
      <c r="O12870" t="s">
        <v>41250</v>
      </c>
      <c r="P12870">
        <v>0</v>
      </c>
      <c r="Q12870">
        <v>1</v>
      </c>
      <c r="R12870" t="s">
        <v>41270</v>
      </c>
      <c r="S12870" t="s">
        <v>42164</v>
      </c>
      <c r="T12870" t="s">
        <v>42711</v>
      </c>
      <c r="U12870" t="s">
        <v>53511</v>
      </c>
      <c r="W12870" t="s">
        <v>41119</v>
      </c>
      <c r="X12870" t="s">
        <v>41271</v>
      </c>
    </row>
    <row r="12871" spans="1:24">
      <c r="A12871">
        <f>HYPERLINK("https://www.philgeps.gov.ph/GEPSNONPILOT/Tender/SplashBidNoticeAbstractUI.aspx?menuIndex=3&amp;refID=7013221-2&amp;Result=3","7013221-2")</f>
        <v>0</v>
      </c>
      <c r="B12871" t="s">
        <v>3156</v>
      </c>
      <c r="C12871" t="s">
        <v>15718</v>
      </c>
      <c r="D12871" t="s">
        <v>16658</v>
      </c>
      <c r="E12871" t="s">
        <v>27821</v>
      </c>
      <c r="F12871" t="s">
        <v>28669</v>
      </c>
      <c r="G12871" t="s">
        <v>28675</v>
      </c>
      <c r="H12871" t="s">
        <v>28685</v>
      </c>
      <c r="I12871" t="s">
        <v>28685</v>
      </c>
      <c r="J12871" t="s">
        <v>29059</v>
      </c>
      <c r="K12871" t="s">
        <v>37210</v>
      </c>
      <c r="M12871" t="s">
        <v>40949</v>
      </c>
      <c r="N12871" t="s">
        <v>41249</v>
      </c>
      <c r="O12871" t="s">
        <v>41250</v>
      </c>
      <c r="P12871">
        <v>0</v>
      </c>
      <c r="Q12871">
        <v>0</v>
      </c>
      <c r="R12871" t="s">
        <v>41271</v>
      </c>
      <c r="S12871" t="s">
        <v>42169</v>
      </c>
      <c r="T12871" t="s">
        <v>42690</v>
      </c>
      <c r="U12871" t="s">
        <v>53512</v>
      </c>
      <c r="W12871" t="s">
        <v>40949</v>
      </c>
      <c r="X12871" t="s">
        <v>41272</v>
      </c>
    </row>
    <row r="12872" spans="1:24">
      <c r="A12872">
        <f>HYPERLINK("https://www.philgeps.gov.ph/GEPSNONPILOT/Tender/SplashBidNoticeAbstractUI.aspx?menuIndex=3&amp;refID=7034720&amp;Result=3","7034720")</f>
        <v>0</v>
      </c>
      <c r="B12872" t="s">
        <v>3288</v>
      </c>
      <c r="C12872" t="s">
        <v>5207</v>
      </c>
      <c r="D12872" t="s">
        <v>16616</v>
      </c>
      <c r="E12872" t="s">
        <v>16877</v>
      </c>
      <c r="F12872" t="s">
        <v>28669</v>
      </c>
      <c r="G12872" t="s">
        <v>28675</v>
      </c>
      <c r="H12872" t="s">
        <v>28686</v>
      </c>
      <c r="I12872" t="s">
        <v>28696</v>
      </c>
      <c r="J12872" t="s">
        <v>28905</v>
      </c>
      <c r="K12872" t="s">
        <v>37206</v>
      </c>
      <c r="M12872" t="s">
        <v>41120</v>
      </c>
      <c r="N12872" t="s">
        <v>41249</v>
      </c>
      <c r="O12872" t="s">
        <v>41250</v>
      </c>
      <c r="P12872">
        <v>0</v>
      </c>
      <c r="Q12872">
        <v>2</v>
      </c>
      <c r="R12872" t="s">
        <v>41271</v>
      </c>
      <c r="S12872" t="s">
        <v>42169</v>
      </c>
      <c r="T12872" t="s">
        <v>42687</v>
      </c>
      <c r="U12872" t="s">
        <v>53513</v>
      </c>
      <c r="W12872" t="s">
        <v>41120</v>
      </c>
      <c r="X12872" t="s">
        <v>41275</v>
      </c>
    </row>
    <row r="12873" spans="1:24">
      <c r="A12873">
        <f>HYPERLINK("https://www.philgeps.gov.ph/GEPSNONPILOT/Tender/SplashBidNoticeAbstractUI.aspx?menuIndex=3&amp;refID=6999393&amp;Result=3","6999393")</f>
        <v>0</v>
      </c>
      <c r="B12873" t="s">
        <v>3289</v>
      </c>
      <c r="C12873" t="s">
        <v>15719</v>
      </c>
      <c r="E12873" t="s">
        <v>27822</v>
      </c>
      <c r="F12873" t="s">
        <v>28669</v>
      </c>
      <c r="G12873" t="s">
        <v>28675</v>
      </c>
      <c r="H12873" t="s">
        <v>9998</v>
      </c>
      <c r="I12873" t="s">
        <v>28687</v>
      </c>
      <c r="J12873" t="s">
        <v>36696</v>
      </c>
      <c r="K12873" t="s">
        <v>37215</v>
      </c>
      <c r="M12873" t="s">
        <v>41121</v>
      </c>
      <c r="N12873" t="s">
        <v>41249</v>
      </c>
      <c r="O12873" t="s">
        <v>41250</v>
      </c>
      <c r="Q12873">
        <v>16</v>
      </c>
      <c r="R12873" t="s">
        <v>41271</v>
      </c>
      <c r="S12873" t="s">
        <v>42170</v>
      </c>
      <c r="T12873" t="s">
        <v>42728</v>
      </c>
      <c r="U12873" t="s">
        <v>53514</v>
      </c>
      <c r="V12873" t="s">
        <v>55794</v>
      </c>
      <c r="W12873" t="s">
        <v>41121</v>
      </c>
      <c r="X12873" t="s">
        <v>56050</v>
      </c>
    </row>
    <row r="12874" spans="1:24">
      <c r="A12874">
        <f>HYPERLINK("https://www.philgeps.gov.ph/GEPSNONPILOT/Tender/SplashBidNoticeAbstractUI.aspx?menuIndex=3&amp;refID=7040420&amp;Result=3","7040420")</f>
        <v>0</v>
      </c>
      <c r="B12874" t="s">
        <v>1308</v>
      </c>
      <c r="C12874" t="s">
        <v>15720</v>
      </c>
      <c r="D12874" t="s">
        <v>16654</v>
      </c>
      <c r="E12874" t="s">
        <v>27823</v>
      </c>
      <c r="F12874" t="s">
        <v>28669</v>
      </c>
      <c r="G12874" t="s">
        <v>28675</v>
      </c>
      <c r="H12874" t="s">
        <v>28686</v>
      </c>
      <c r="I12874" t="s">
        <v>28689</v>
      </c>
      <c r="J12874" t="s">
        <v>36697</v>
      </c>
      <c r="K12874" t="s">
        <v>37209</v>
      </c>
      <c r="M12874" t="s">
        <v>38860</v>
      </c>
      <c r="N12874" t="s">
        <v>41249</v>
      </c>
      <c r="O12874" t="s">
        <v>41250</v>
      </c>
      <c r="P12874">
        <v>0</v>
      </c>
      <c r="Q12874">
        <v>1</v>
      </c>
      <c r="R12874" t="s">
        <v>41271</v>
      </c>
      <c r="S12874" t="s">
        <v>42169</v>
      </c>
      <c r="T12874" t="s">
        <v>42736</v>
      </c>
      <c r="U12874" t="s">
        <v>53515</v>
      </c>
      <c r="W12874" t="s">
        <v>38860</v>
      </c>
      <c r="X12874" t="s">
        <v>41273</v>
      </c>
    </row>
    <row r="12875" spans="1:24">
      <c r="A12875">
        <f>HYPERLINK("https://www.philgeps.gov.ph/GEPSNONPILOT/Tender/SplashBidNoticeAbstractUI.aspx?menuIndex=3&amp;refID=7040105&amp;Result=3","7040105")</f>
        <v>0</v>
      </c>
      <c r="B12875" t="s">
        <v>1727</v>
      </c>
      <c r="C12875" t="s">
        <v>15721</v>
      </c>
      <c r="D12875" t="s">
        <v>16621</v>
      </c>
      <c r="E12875" t="s">
        <v>27824</v>
      </c>
      <c r="F12875" t="s">
        <v>28669</v>
      </c>
      <c r="G12875" t="s">
        <v>28675</v>
      </c>
      <c r="H12875" t="s">
        <v>9998</v>
      </c>
      <c r="I12875" t="s">
        <v>28751</v>
      </c>
      <c r="J12875" t="s">
        <v>28881</v>
      </c>
      <c r="K12875" t="s">
        <v>37206</v>
      </c>
      <c r="M12875" t="s">
        <v>39326</v>
      </c>
      <c r="N12875" t="s">
        <v>41249</v>
      </c>
      <c r="O12875" t="s">
        <v>41250</v>
      </c>
      <c r="Q12875">
        <v>12</v>
      </c>
      <c r="R12875" t="s">
        <v>41271</v>
      </c>
      <c r="S12875" t="s">
        <v>42171</v>
      </c>
      <c r="T12875" t="s">
        <v>42681</v>
      </c>
      <c r="U12875" t="s">
        <v>47231</v>
      </c>
      <c r="W12875" t="s">
        <v>39326</v>
      </c>
      <c r="X12875" t="s">
        <v>41273</v>
      </c>
    </row>
    <row r="12876" spans="1:24">
      <c r="A12876">
        <f>HYPERLINK("https://www.philgeps.gov.ph/GEPSNONPILOT/Tender/SplashBidNoticeAbstractUI.aspx?menuIndex=3&amp;refID=7043509&amp;Result=3","7043509")</f>
        <v>0</v>
      </c>
      <c r="B12876" t="s">
        <v>1633</v>
      </c>
      <c r="C12876" t="s">
        <v>15722</v>
      </c>
      <c r="D12876" t="s">
        <v>16608</v>
      </c>
      <c r="E12876" t="s">
        <v>27825</v>
      </c>
      <c r="F12876" t="s">
        <v>28669</v>
      </c>
      <c r="G12876" t="s">
        <v>28678</v>
      </c>
      <c r="H12876" t="s">
        <v>9998</v>
      </c>
      <c r="I12876" t="s">
        <v>28764</v>
      </c>
      <c r="J12876" t="s">
        <v>29203</v>
      </c>
      <c r="K12876" t="s">
        <v>37227</v>
      </c>
      <c r="M12876" t="s">
        <v>39580</v>
      </c>
      <c r="N12876" t="s">
        <v>41249</v>
      </c>
      <c r="O12876" t="s">
        <v>41250</v>
      </c>
      <c r="Q12876">
        <v>9</v>
      </c>
      <c r="R12876" t="s">
        <v>41270</v>
      </c>
      <c r="S12876" t="s">
        <v>42172</v>
      </c>
      <c r="T12876" t="s">
        <v>42754</v>
      </c>
      <c r="U12876" t="s">
        <v>47958</v>
      </c>
      <c r="V12876" t="s">
        <v>54900</v>
      </c>
      <c r="W12876" t="s">
        <v>39580</v>
      </c>
      <c r="X12876" t="s">
        <v>41271</v>
      </c>
    </row>
    <row r="12877" spans="1:24">
      <c r="A12877">
        <f>HYPERLINK("https://www.philgeps.gov.ph/GEPSNONPILOT/Tender/SplashBidNoticeAbstractUI.aspx?menuIndex=3&amp;refID=7040033&amp;Result=3","7040033")</f>
        <v>0</v>
      </c>
      <c r="B12877" t="s">
        <v>1727</v>
      </c>
      <c r="C12877" t="s">
        <v>15723</v>
      </c>
      <c r="D12877" t="s">
        <v>16621</v>
      </c>
      <c r="E12877" t="s">
        <v>27826</v>
      </c>
      <c r="F12877" t="s">
        <v>28669</v>
      </c>
      <c r="G12877" t="s">
        <v>28675</v>
      </c>
      <c r="H12877" t="s">
        <v>9998</v>
      </c>
      <c r="I12877" t="s">
        <v>28693</v>
      </c>
      <c r="J12877" t="s">
        <v>35483</v>
      </c>
      <c r="K12877" t="s">
        <v>37206</v>
      </c>
      <c r="M12877" t="s">
        <v>39326</v>
      </c>
      <c r="N12877" t="s">
        <v>41249</v>
      </c>
      <c r="O12877" t="s">
        <v>41250</v>
      </c>
      <c r="Q12877">
        <v>27</v>
      </c>
      <c r="R12877" t="s">
        <v>41271</v>
      </c>
      <c r="S12877" t="s">
        <v>42173</v>
      </c>
      <c r="T12877" t="s">
        <v>42681</v>
      </c>
      <c r="U12877" t="s">
        <v>47231</v>
      </c>
      <c r="W12877" t="s">
        <v>39326</v>
      </c>
      <c r="X12877" t="s">
        <v>41273</v>
      </c>
    </row>
    <row r="12878" spans="1:24">
      <c r="A12878">
        <f>HYPERLINK("https://www.philgeps.gov.ph/GEPSNONPILOT/Tender/SplashBidNoticeAbstractUI.aspx?menuIndex=3&amp;refID=7040398&amp;Result=3","7040398")</f>
        <v>0</v>
      </c>
      <c r="B12878" t="s">
        <v>1308</v>
      </c>
      <c r="C12878" t="s">
        <v>15724</v>
      </c>
      <c r="D12878" t="s">
        <v>16654</v>
      </c>
      <c r="E12878" t="s">
        <v>27827</v>
      </c>
      <c r="F12878" t="s">
        <v>28669</v>
      </c>
      <c r="G12878" t="s">
        <v>28675</v>
      </c>
      <c r="H12878" t="s">
        <v>28686</v>
      </c>
      <c r="I12878" t="s">
        <v>28689</v>
      </c>
      <c r="J12878" t="s">
        <v>36698</v>
      </c>
      <c r="K12878" t="s">
        <v>37209</v>
      </c>
      <c r="M12878" t="s">
        <v>38860</v>
      </c>
      <c r="N12878" t="s">
        <v>41249</v>
      </c>
      <c r="O12878" t="s">
        <v>41250</v>
      </c>
      <c r="P12878">
        <v>0</v>
      </c>
      <c r="Q12878">
        <v>1</v>
      </c>
      <c r="R12878" t="s">
        <v>41271</v>
      </c>
      <c r="S12878" t="s">
        <v>42169</v>
      </c>
      <c r="T12878" t="s">
        <v>42736</v>
      </c>
      <c r="U12878" t="s">
        <v>53516</v>
      </c>
      <c r="W12878" t="s">
        <v>38860</v>
      </c>
      <c r="X12878" t="s">
        <v>41273</v>
      </c>
    </row>
    <row r="12879" spans="1:24">
      <c r="A12879">
        <f>HYPERLINK("https://www.philgeps.gov.ph/GEPSNONPILOT/Tender/SplashBidNoticeAbstractUI.aspx?menuIndex=3&amp;refID=7039027&amp;Result=3","7039027")</f>
        <v>0</v>
      </c>
      <c r="B12879" t="s">
        <v>3290</v>
      </c>
      <c r="C12879" t="s">
        <v>15725</v>
      </c>
      <c r="D12879" t="s">
        <v>16610</v>
      </c>
      <c r="E12879" t="s">
        <v>27828</v>
      </c>
      <c r="F12879" t="s">
        <v>28669</v>
      </c>
      <c r="G12879" t="s">
        <v>28675</v>
      </c>
      <c r="H12879" t="s">
        <v>28686</v>
      </c>
      <c r="I12879" t="s">
        <v>28689</v>
      </c>
      <c r="J12879" t="s">
        <v>36699</v>
      </c>
      <c r="K12879" t="s">
        <v>37206</v>
      </c>
      <c r="M12879" t="s">
        <v>41122</v>
      </c>
      <c r="N12879" t="s">
        <v>41249</v>
      </c>
      <c r="O12879" t="s">
        <v>41250</v>
      </c>
      <c r="P12879">
        <v>0</v>
      </c>
      <c r="Q12879">
        <v>1</v>
      </c>
      <c r="R12879" t="s">
        <v>41271</v>
      </c>
      <c r="S12879" t="s">
        <v>42169</v>
      </c>
      <c r="T12879" t="s">
        <v>42727</v>
      </c>
      <c r="U12879" t="s">
        <v>53517</v>
      </c>
      <c r="V12879" t="s">
        <v>55795</v>
      </c>
      <c r="W12879" t="s">
        <v>41122</v>
      </c>
      <c r="X12879" t="s">
        <v>41273</v>
      </c>
    </row>
    <row r="12880" spans="1:24">
      <c r="A12880">
        <f>HYPERLINK("https://www.philgeps.gov.ph/GEPSNONPILOT/Tender/SplashBidNoticeAbstractUI.aspx?menuIndex=3&amp;refID=7040131&amp;Result=3","7040131")</f>
        <v>0</v>
      </c>
      <c r="B12880" t="s">
        <v>491</v>
      </c>
      <c r="C12880" t="s">
        <v>15726</v>
      </c>
      <c r="D12880" t="s">
        <v>16654</v>
      </c>
      <c r="E12880" t="s">
        <v>27829</v>
      </c>
      <c r="F12880" t="s">
        <v>28669</v>
      </c>
      <c r="G12880" t="s">
        <v>28675</v>
      </c>
      <c r="H12880" t="s">
        <v>28686</v>
      </c>
      <c r="I12880" t="s">
        <v>28689</v>
      </c>
      <c r="J12880" t="s">
        <v>36700</v>
      </c>
      <c r="K12880" t="s">
        <v>37276</v>
      </c>
      <c r="M12880" t="s">
        <v>38536</v>
      </c>
      <c r="N12880" t="s">
        <v>41249</v>
      </c>
      <c r="O12880" t="s">
        <v>41250</v>
      </c>
      <c r="P12880">
        <v>0</v>
      </c>
      <c r="Q12880">
        <v>5</v>
      </c>
      <c r="R12880" t="s">
        <v>41271</v>
      </c>
      <c r="S12880" t="s">
        <v>42169</v>
      </c>
      <c r="T12880" t="s">
        <v>42728</v>
      </c>
      <c r="U12880" t="s">
        <v>53518</v>
      </c>
      <c r="V12880" t="s">
        <v>54551</v>
      </c>
      <c r="W12880" t="s">
        <v>38536</v>
      </c>
      <c r="X12880" t="s">
        <v>41273</v>
      </c>
    </row>
    <row r="12881" spans="1:24">
      <c r="A12881">
        <f>HYPERLINK("https://www.philgeps.gov.ph/GEPSNONPILOT/Tender/SplashBidNoticeAbstractUI.aspx?menuIndex=3&amp;refID=7039846&amp;Result=3","7039846")</f>
        <v>0</v>
      </c>
      <c r="B12881" t="s">
        <v>2919</v>
      </c>
      <c r="C12881" t="s">
        <v>15727</v>
      </c>
      <c r="D12881" t="s">
        <v>16631</v>
      </c>
      <c r="E12881" t="s">
        <v>27830</v>
      </c>
      <c r="F12881" t="s">
        <v>28669</v>
      </c>
      <c r="G12881" t="s">
        <v>28675</v>
      </c>
      <c r="H12881" t="s">
        <v>9998</v>
      </c>
      <c r="I12881" t="s">
        <v>3718</v>
      </c>
      <c r="J12881" t="s">
        <v>36701</v>
      </c>
      <c r="K12881" t="s">
        <v>37206</v>
      </c>
      <c r="M12881" t="s">
        <v>40671</v>
      </c>
      <c r="N12881" t="s">
        <v>41249</v>
      </c>
      <c r="O12881" t="s">
        <v>41250</v>
      </c>
      <c r="Q12881">
        <v>5</v>
      </c>
      <c r="R12881" t="s">
        <v>41271</v>
      </c>
      <c r="S12881" t="s">
        <v>42174</v>
      </c>
      <c r="T12881" t="s">
        <v>42711</v>
      </c>
      <c r="U12881" t="s">
        <v>53519</v>
      </c>
      <c r="W12881" t="s">
        <v>40671</v>
      </c>
      <c r="X12881" t="s">
        <v>41273</v>
      </c>
    </row>
    <row r="12882" spans="1:24">
      <c r="A12882">
        <f>HYPERLINK("https://www.philgeps.gov.ph/GEPSNONPILOT/Tender/SplashBidNoticeAbstractUI.aspx?menuIndex=3&amp;refID=7039602&amp;Result=3","7039602")</f>
        <v>0</v>
      </c>
      <c r="B12882" t="s">
        <v>2919</v>
      </c>
      <c r="C12882" t="s">
        <v>15727</v>
      </c>
      <c r="D12882" t="s">
        <v>16631</v>
      </c>
      <c r="E12882" t="s">
        <v>27831</v>
      </c>
      <c r="F12882" t="s">
        <v>28669</v>
      </c>
      <c r="G12882" t="s">
        <v>28675</v>
      </c>
      <c r="H12882" t="s">
        <v>9998</v>
      </c>
      <c r="I12882" t="s">
        <v>3718</v>
      </c>
      <c r="J12882" t="s">
        <v>36702</v>
      </c>
      <c r="K12882" t="s">
        <v>37206</v>
      </c>
      <c r="M12882" t="s">
        <v>40671</v>
      </c>
      <c r="N12882" t="s">
        <v>41249</v>
      </c>
      <c r="O12882" t="s">
        <v>41250</v>
      </c>
      <c r="P12882">
        <v>0</v>
      </c>
      <c r="Q12882">
        <v>3</v>
      </c>
      <c r="R12882" t="s">
        <v>41271</v>
      </c>
      <c r="S12882" t="s">
        <v>42169</v>
      </c>
      <c r="T12882" t="s">
        <v>42711</v>
      </c>
      <c r="U12882" t="s">
        <v>53520</v>
      </c>
      <c r="W12882" t="s">
        <v>40671</v>
      </c>
      <c r="X12882" t="s">
        <v>41273</v>
      </c>
    </row>
    <row r="12883" spans="1:24">
      <c r="A12883">
        <f>HYPERLINK("https://www.philgeps.gov.ph/GEPSNONPILOT/Tender/SplashBidNoticeAbstractUI.aspx?menuIndex=3&amp;refID=7040484&amp;Result=3","7040484")</f>
        <v>0</v>
      </c>
      <c r="B12883" t="s">
        <v>1308</v>
      </c>
      <c r="C12883" t="s">
        <v>15728</v>
      </c>
      <c r="D12883" t="s">
        <v>16654</v>
      </c>
      <c r="E12883" t="s">
        <v>27832</v>
      </c>
      <c r="F12883" t="s">
        <v>28669</v>
      </c>
      <c r="G12883" t="s">
        <v>28675</v>
      </c>
      <c r="H12883" t="s">
        <v>9998</v>
      </c>
      <c r="I12883" t="s">
        <v>7352</v>
      </c>
      <c r="J12883" t="s">
        <v>36703</v>
      </c>
      <c r="K12883" t="s">
        <v>37209</v>
      </c>
      <c r="M12883" t="s">
        <v>38860</v>
      </c>
      <c r="N12883" t="s">
        <v>41249</v>
      </c>
      <c r="O12883" t="s">
        <v>41250</v>
      </c>
      <c r="P12883">
        <v>0</v>
      </c>
      <c r="Q12883">
        <v>0</v>
      </c>
      <c r="R12883" t="s">
        <v>41271</v>
      </c>
      <c r="S12883" t="s">
        <v>42169</v>
      </c>
      <c r="T12883" t="s">
        <v>42736</v>
      </c>
      <c r="U12883" t="s">
        <v>53521</v>
      </c>
      <c r="W12883" t="s">
        <v>38860</v>
      </c>
      <c r="X12883" t="s">
        <v>41273</v>
      </c>
    </row>
    <row r="12884" spans="1:24">
      <c r="A12884">
        <f>HYPERLINK("https://www.philgeps.gov.ph/GEPSNONPILOT/Tender/SplashBidNoticeAbstractUI.aspx?menuIndex=3&amp;refID=7040496&amp;Result=3","7040496")</f>
        <v>0</v>
      </c>
      <c r="B12884" t="s">
        <v>2072</v>
      </c>
      <c r="C12884" t="s">
        <v>15729</v>
      </c>
      <c r="D12884" t="s">
        <v>16642</v>
      </c>
      <c r="E12884" t="s">
        <v>27833</v>
      </c>
      <c r="F12884" t="s">
        <v>28669</v>
      </c>
      <c r="G12884" t="s">
        <v>28675</v>
      </c>
      <c r="H12884" t="s">
        <v>9998</v>
      </c>
      <c r="I12884" t="s">
        <v>28713</v>
      </c>
      <c r="J12884" t="s">
        <v>28914</v>
      </c>
      <c r="K12884" t="s">
        <v>37205</v>
      </c>
      <c r="M12884" t="s">
        <v>39713</v>
      </c>
      <c r="N12884" t="s">
        <v>41249</v>
      </c>
      <c r="O12884" t="s">
        <v>41250</v>
      </c>
      <c r="P12884">
        <v>0</v>
      </c>
      <c r="Q12884">
        <v>10</v>
      </c>
      <c r="R12884" t="s">
        <v>41271</v>
      </c>
      <c r="S12884" t="s">
        <v>42169</v>
      </c>
      <c r="T12884" t="s">
        <v>42838</v>
      </c>
      <c r="U12884" t="s">
        <v>53522</v>
      </c>
      <c r="W12884" t="s">
        <v>39713</v>
      </c>
      <c r="X12884" t="s">
        <v>41273</v>
      </c>
    </row>
    <row r="12885" spans="1:24">
      <c r="A12885">
        <f>HYPERLINK("https://www.philgeps.gov.ph/GEPSNONPILOT/Tender/SplashBidNoticeAbstractUI.aspx?menuIndex=3&amp;refID=7040481&amp;Result=3","7040481")</f>
        <v>0</v>
      </c>
      <c r="B12885" t="s">
        <v>3291</v>
      </c>
      <c r="C12885" t="s">
        <v>15730</v>
      </c>
      <c r="E12885" t="s">
        <v>24153</v>
      </c>
      <c r="F12885" t="s">
        <v>28669</v>
      </c>
      <c r="G12885" t="s">
        <v>28675</v>
      </c>
      <c r="H12885" t="s">
        <v>9998</v>
      </c>
      <c r="I12885" t="s">
        <v>7352</v>
      </c>
      <c r="J12885" t="s">
        <v>36704</v>
      </c>
      <c r="K12885" t="s">
        <v>37205</v>
      </c>
      <c r="M12885" t="s">
        <v>41123</v>
      </c>
      <c r="N12885" t="s">
        <v>41249</v>
      </c>
      <c r="O12885" t="s">
        <v>41250</v>
      </c>
      <c r="P12885">
        <v>0</v>
      </c>
      <c r="Q12885">
        <v>0</v>
      </c>
      <c r="R12885" t="s">
        <v>41271</v>
      </c>
      <c r="S12885" t="s">
        <v>42169</v>
      </c>
      <c r="T12885" t="s">
        <v>42910</v>
      </c>
      <c r="U12885" t="s">
        <v>53523</v>
      </c>
      <c r="W12885" t="s">
        <v>41123</v>
      </c>
      <c r="X12885" t="s">
        <v>41273</v>
      </c>
    </row>
    <row r="12886" spans="1:24">
      <c r="A12886">
        <f>HYPERLINK("https://www.philgeps.gov.ph/GEPSNONPILOT/Tender/SplashBidNoticeAbstractUI.aspx?menuIndex=3&amp;refID=7040499&amp;Result=3","7040499")</f>
        <v>0</v>
      </c>
      <c r="B12886" t="s">
        <v>1308</v>
      </c>
      <c r="C12886" t="s">
        <v>15731</v>
      </c>
      <c r="D12886" t="s">
        <v>16654</v>
      </c>
      <c r="E12886" t="s">
        <v>27834</v>
      </c>
      <c r="F12886" t="s">
        <v>28669</v>
      </c>
      <c r="G12886" t="s">
        <v>28675</v>
      </c>
      <c r="H12886" t="s">
        <v>9998</v>
      </c>
      <c r="I12886" t="s">
        <v>7352</v>
      </c>
      <c r="J12886" t="s">
        <v>36705</v>
      </c>
      <c r="K12886" t="s">
        <v>37209</v>
      </c>
      <c r="M12886" t="s">
        <v>38860</v>
      </c>
      <c r="N12886" t="s">
        <v>41249</v>
      </c>
      <c r="O12886" t="s">
        <v>41250</v>
      </c>
      <c r="P12886">
        <v>0</v>
      </c>
      <c r="Q12886">
        <v>0</v>
      </c>
      <c r="R12886" t="s">
        <v>41271</v>
      </c>
      <c r="S12886" t="s">
        <v>42169</v>
      </c>
      <c r="T12886" t="s">
        <v>42736</v>
      </c>
      <c r="U12886" t="s">
        <v>53524</v>
      </c>
      <c r="W12886" t="s">
        <v>38860</v>
      </c>
      <c r="X12886" t="s">
        <v>41273</v>
      </c>
    </row>
    <row r="12887" spans="1:24">
      <c r="A12887">
        <f>HYPERLINK("https://www.philgeps.gov.ph/GEPSNONPILOT/Tender/SplashBidNoticeAbstractUI.aspx?menuIndex=3&amp;refID=7039322&amp;Result=3","7039322")</f>
        <v>0</v>
      </c>
      <c r="B12887" t="s">
        <v>2875</v>
      </c>
      <c r="C12887" t="s">
        <v>15732</v>
      </c>
      <c r="D12887" t="s">
        <v>16643</v>
      </c>
      <c r="E12887" t="s">
        <v>27835</v>
      </c>
      <c r="F12887" t="s">
        <v>28670</v>
      </c>
      <c r="G12887" t="s">
        <v>28677</v>
      </c>
      <c r="H12887" t="s">
        <v>9998</v>
      </c>
      <c r="I12887" t="s">
        <v>28704</v>
      </c>
      <c r="J12887" t="s">
        <v>36706</v>
      </c>
      <c r="K12887" t="s">
        <v>37238</v>
      </c>
      <c r="M12887" t="s">
        <v>40620</v>
      </c>
      <c r="N12887" t="s">
        <v>41249</v>
      </c>
      <c r="O12887" t="s">
        <v>41250</v>
      </c>
      <c r="Q12887">
        <v>1</v>
      </c>
      <c r="R12887" t="s">
        <v>41271</v>
      </c>
      <c r="S12887" t="s">
        <v>42175</v>
      </c>
      <c r="T12887" t="s">
        <v>42764</v>
      </c>
      <c r="U12887" t="s">
        <v>53525</v>
      </c>
      <c r="W12887" t="s">
        <v>40620</v>
      </c>
      <c r="X12887" t="s">
        <v>41273</v>
      </c>
    </row>
    <row r="12888" spans="1:24">
      <c r="A12888">
        <f>HYPERLINK("https://www.philgeps.gov.ph/GEPSNONPILOT/Tender/SplashBidNoticeAbstractUI.aspx?menuIndex=3&amp;refID=7040456&amp;Result=3","7040456")</f>
        <v>0</v>
      </c>
      <c r="B12888" t="s">
        <v>3291</v>
      </c>
      <c r="C12888" t="s">
        <v>15733</v>
      </c>
      <c r="E12888" t="s">
        <v>27836</v>
      </c>
      <c r="F12888" t="s">
        <v>28669</v>
      </c>
      <c r="G12888" t="s">
        <v>28675</v>
      </c>
      <c r="H12888" t="s">
        <v>9998</v>
      </c>
      <c r="I12888" t="s">
        <v>7352</v>
      </c>
      <c r="J12888" t="s">
        <v>36707</v>
      </c>
      <c r="K12888" t="s">
        <v>37205</v>
      </c>
      <c r="M12888" t="s">
        <v>41123</v>
      </c>
      <c r="N12888" t="s">
        <v>41249</v>
      </c>
      <c r="O12888" t="s">
        <v>41250</v>
      </c>
      <c r="P12888">
        <v>0</v>
      </c>
      <c r="Q12888">
        <v>0</v>
      </c>
      <c r="R12888" t="s">
        <v>41271</v>
      </c>
      <c r="S12888" t="s">
        <v>42169</v>
      </c>
      <c r="T12888" t="s">
        <v>42910</v>
      </c>
      <c r="U12888" t="s">
        <v>53523</v>
      </c>
      <c r="W12888" t="s">
        <v>41123</v>
      </c>
      <c r="X12888" t="s">
        <v>41273</v>
      </c>
    </row>
    <row r="12889" spans="1:24">
      <c r="A12889">
        <f>HYPERLINK("https://www.philgeps.gov.ph/GEPSNONPILOT/Tender/SplashBidNoticeAbstractUI.aspx?menuIndex=3&amp;refID=7041291&amp;Result=3","7041291")</f>
        <v>0</v>
      </c>
      <c r="B12889" t="s">
        <v>3292</v>
      </c>
      <c r="C12889" t="s">
        <v>15734</v>
      </c>
      <c r="D12889" t="s">
        <v>16626</v>
      </c>
      <c r="E12889" t="s">
        <v>27837</v>
      </c>
      <c r="F12889" t="s">
        <v>28669</v>
      </c>
      <c r="G12889" t="s">
        <v>28675</v>
      </c>
      <c r="H12889" t="s">
        <v>9998</v>
      </c>
      <c r="I12889" t="s">
        <v>3718</v>
      </c>
      <c r="J12889" t="s">
        <v>28847</v>
      </c>
      <c r="K12889" t="s">
        <v>37206</v>
      </c>
      <c r="M12889" t="s">
        <v>41124</v>
      </c>
      <c r="N12889" t="s">
        <v>41249</v>
      </c>
      <c r="O12889" t="s">
        <v>41250</v>
      </c>
      <c r="P12889">
        <v>0</v>
      </c>
      <c r="Q12889">
        <v>11</v>
      </c>
      <c r="R12889" t="s">
        <v>41271</v>
      </c>
      <c r="S12889" t="s">
        <v>42169</v>
      </c>
      <c r="T12889" t="s">
        <v>42838</v>
      </c>
      <c r="U12889" t="s">
        <v>53526</v>
      </c>
      <c r="W12889" t="s">
        <v>41124</v>
      </c>
      <c r="X12889" t="s">
        <v>41272</v>
      </c>
    </row>
    <row r="12890" spans="1:24">
      <c r="A12890">
        <f>HYPERLINK("https://www.philgeps.gov.ph/GEPSNONPILOT/Tender/SplashBidNoticeAbstractUI.aspx?menuIndex=3&amp;refID=7040454&amp;Result=3","7040454")</f>
        <v>0</v>
      </c>
      <c r="B12890" t="s">
        <v>1308</v>
      </c>
      <c r="C12890" t="s">
        <v>15735</v>
      </c>
      <c r="D12890" t="s">
        <v>16654</v>
      </c>
      <c r="E12890" t="s">
        <v>27838</v>
      </c>
      <c r="F12890" t="s">
        <v>28669</v>
      </c>
      <c r="G12890" t="s">
        <v>28675</v>
      </c>
      <c r="H12890" t="s">
        <v>9998</v>
      </c>
      <c r="I12890" t="s">
        <v>7352</v>
      </c>
      <c r="J12890" t="s">
        <v>36708</v>
      </c>
      <c r="K12890" t="s">
        <v>37209</v>
      </c>
      <c r="M12890" t="s">
        <v>38860</v>
      </c>
      <c r="N12890" t="s">
        <v>41249</v>
      </c>
      <c r="O12890" t="s">
        <v>41250</v>
      </c>
      <c r="P12890">
        <v>0</v>
      </c>
      <c r="Q12890">
        <v>1</v>
      </c>
      <c r="R12890" t="s">
        <v>41271</v>
      </c>
      <c r="S12890" t="s">
        <v>42169</v>
      </c>
      <c r="T12890" t="s">
        <v>42736</v>
      </c>
      <c r="U12890" t="s">
        <v>53527</v>
      </c>
      <c r="W12890" t="s">
        <v>38860</v>
      </c>
      <c r="X12890" t="s">
        <v>41273</v>
      </c>
    </row>
    <row r="12891" spans="1:24">
      <c r="A12891">
        <f>HYPERLINK("https://www.philgeps.gov.ph/GEPSNONPILOT/Tender/SplashBidNoticeAbstractUI.aspx?menuIndex=3&amp;refID=7039112&amp;Result=3","7039112")</f>
        <v>0</v>
      </c>
      <c r="B12891" t="s">
        <v>2230</v>
      </c>
      <c r="C12891" t="s">
        <v>15736</v>
      </c>
      <c r="D12891" t="s">
        <v>16647</v>
      </c>
      <c r="E12891" t="s">
        <v>27839</v>
      </c>
      <c r="F12891" t="s">
        <v>28669</v>
      </c>
      <c r="G12891" t="s">
        <v>28675</v>
      </c>
      <c r="H12891" t="s">
        <v>28686</v>
      </c>
      <c r="I12891" t="s">
        <v>28689</v>
      </c>
      <c r="J12891" t="s">
        <v>28847</v>
      </c>
      <c r="K12891" t="s">
        <v>37215</v>
      </c>
      <c r="M12891" t="s">
        <v>39883</v>
      </c>
      <c r="N12891" t="s">
        <v>41249</v>
      </c>
      <c r="O12891" t="s">
        <v>41250</v>
      </c>
      <c r="P12891">
        <v>0</v>
      </c>
      <c r="Q12891">
        <v>6</v>
      </c>
      <c r="R12891" t="s">
        <v>41271</v>
      </c>
      <c r="S12891" t="s">
        <v>42169</v>
      </c>
      <c r="T12891" t="s">
        <v>42673</v>
      </c>
      <c r="U12891" t="s">
        <v>53528</v>
      </c>
      <c r="W12891" t="s">
        <v>55983</v>
      </c>
      <c r="X12891" t="s">
        <v>41273</v>
      </c>
    </row>
    <row r="12892" spans="1:24">
      <c r="A12892">
        <f>HYPERLINK("https://www.philgeps.gov.ph/GEPSNONPILOT/Tender/SplashBidNoticeAbstractUI.aspx?menuIndex=3&amp;refID=7040536&amp;Result=3","7040536")</f>
        <v>0</v>
      </c>
      <c r="B12892" t="s">
        <v>2072</v>
      </c>
      <c r="C12892" t="s">
        <v>15737</v>
      </c>
      <c r="D12892" t="s">
        <v>16642</v>
      </c>
      <c r="E12892" t="s">
        <v>27840</v>
      </c>
      <c r="F12892" t="s">
        <v>28669</v>
      </c>
      <c r="G12892" t="s">
        <v>28675</v>
      </c>
      <c r="H12892" t="s">
        <v>9998</v>
      </c>
      <c r="I12892" t="s">
        <v>28690</v>
      </c>
      <c r="J12892" t="s">
        <v>28836</v>
      </c>
      <c r="K12892" t="s">
        <v>37205</v>
      </c>
      <c r="M12892" t="s">
        <v>39713</v>
      </c>
      <c r="N12892" t="s">
        <v>41249</v>
      </c>
      <c r="O12892" t="s">
        <v>41250</v>
      </c>
      <c r="P12892">
        <v>0</v>
      </c>
      <c r="Q12892">
        <v>7</v>
      </c>
      <c r="R12892" t="s">
        <v>41271</v>
      </c>
      <c r="S12892" t="s">
        <v>42169</v>
      </c>
      <c r="T12892" t="s">
        <v>42694</v>
      </c>
      <c r="U12892" t="s">
        <v>53529</v>
      </c>
      <c r="W12892" t="s">
        <v>39713</v>
      </c>
      <c r="X12892" t="s">
        <v>41273</v>
      </c>
    </row>
    <row r="12893" spans="1:24">
      <c r="A12893">
        <f>HYPERLINK("https://www.philgeps.gov.ph/GEPSNONPILOT/Tender/SplashBidNoticeAbstractUI.aspx?menuIndex=3&amp;refID=7041283&amp;Result=3","7041283")</f>
        <v>0</v>
      </c>
      <c r="B12893" t="s">
        <v>464</v>
      </c>
      <c r="C12893" t="s">
        <v>15738</v>
      </c>
      <c r="D12893" t="s">
        <v>16629</v>
      </c>
      <c r="E12893" t="s">
        <v>27841</v>
      </c>
      <c r="F12893" t="s">
        <v>28669</v>
      </c>
      <c r="G12893" t="s">
        <v>28675</v>
      </c>
      <c r="H12893" t="s">
        <v>9998</v>
      </c>
      <c r="I12893" t="s">
        <v>7352</v>
      </c>
      <c r="J12893" t="s">
        <v>36709</v>
      </c>
      <c r="K12893" t="s">
        <v>37227</v>
      </c>
      <c r="M12893" t="s">
        <v>37952</v>
      </c>
      <c r="N12893" t="s">
        <v>41249</v>
      </c>
      <c r="O12893" t="s">
        <v>41250</v>
      </c>
      <c r="P12893">
        <v>0</v>
      </c>
      <c r="Q12893">
        <v>0</v>
      </c>
      <c r="R12893" t="s">
        <v>41271</v>
      </c>
      <c r="S12893" t="s">
        <v>42169</v>
      </c>
      <c r="T12893" t="s">
        <v>42992</v>
      </c>
      <c r="U12893" t="s">
        <v>53530</v>
      </c>
      <c r="V12893" t="s">
        <v>55509</v>
      </c>
      <c r="W12893" t="s">
        <v>37952</v>
      </c>
      <c r="X12893" t="s">
        <v>41272</v>
      </c>
    </row>
    <row r="12894" spans="1:24">
      <c r="A12894">
        <f>HYPERLINK("https://www.philgeps.gov.ph/GEPSNONPILOT/Tender/SplashBidNoticeAbstractUI.aspx?menuIndex=3&amp;refID=7040507&amp;Result=3","7040507")</f>
        <v>0</v>
      </c>
      <c r="B12894" t="s">
        <v>3291</v>
      </c>
      <c r="C12894" t="s">
        <v>15739</v>
      </c>
      <c r="E12894" t="s">
        <v>27842</v>
      </c>
      <c r="F12894" t="s">
        <v>28669</v>
      </c>
      <c r="G12894" t="s">
        <v>28675</v>
      </c>
      <c r="H12894" t="s">
        <v>9998</v>
      </c>
      <c r="I12894" t="s">
        <v>7352</v>
      </c>
      <c r="J12894" t="s">
        <v>36710</v>
      </c>
      <c r="K12894" t="s">
        <v>37205</v>
      </c>
      <c r="M12894" t="s">
        <v>41123</v>
      </c>
      <c r="N12894" t="s">
        <v>41249</v>
      </c>
      <c r="O12894" t="s">
        <v>41250</v>
      </c>
      <c r="P12894">
        <v>0</v>
      </c>
      <c r="Q12894">
        <v>1</v>
      </c>
      <c r="R12894" t="s">
        <v>41271</v>
      </c>
      <c r="S12894" t="s">
        <v>42169</v>
      </c>
      <c r="T12894" t="s">
        <v>42910</v>
      </c>
      <c r="U12894" t="s">
        <v>53523</v>
      </c>
      <c r="W12894" t="s">
        <v>41123</v>
      </c>
      <c r="X12894" t="s">
        <v>41273</v>
      </c>
    </row>
    <row r="12895" spans="1:24">
      <c r="A12895">
        <f>HYPERLINK("https://www.philgeps.gov.ph/GEPSNONPILOT/Tender/SplashBidNoticeAbstractUI.aspx?menuIndex=3&amp;refID=7040358&amp;Result=3","7040358")</f>
        <v>0</v>
      </c>
      <c r="B12895" t="s">
        <v>1308</v>
      </c>
      <c r="C12895" t="s">
        <v>15740</v>
      </c>
      <c r="D12895" t="s">
        <v>16654</v>
      </c>
      <c r="E12895" t="s">
        <v>27843</v>
      </c>
      <c r="F12895" t="s">
        <v>28669</v>
      </c>
      <c r="G12895" t="s">
        <v>28675</v>
      </c>
      <c r="H12895" t="s">
        <v>28686</v>
      </c>
      <c r="I12895" t="s">
        <v>28689</v>
      </c>
      <c r="J12895" t="s">
        <v>36711</v>
      </c>
      <c r="K12895" t="s">
        <v>37209</v>
      </c>
      <c r="M12895" t="s">
        <v>38860</v>
      </c>
      <c r="N12895" t="s">
        <v>41249</v>
      </c>
      <c r="O12895" t="s">
        <v>41250</v>
      </c>
      <c r="P12895">
        <v>0</v>
      </c>
      <c r="Q12895">
        <v>2</v>
      </c>
      <c r="R12895" t="s">
        <v>41271</v>
      </c>
      <c r="S12895" t="s">
        <v>42169</v>
      </c>
      <c r="T12895" t="s">
        <v>42736</v>
      </c>
      <c r="U12895" t="s">
        <v>53531</v>
      </c>
      <c r="W12895" t="s">
        <v>38860</v>
      </c>
      <c r="X12895" t="s">
        <v>41273</v>
      </c>
    </row>
    <row r="12896" spans="1:24">
      <c r="A12896">
        <f>HYPERLINK("https://www.philgeps.gov.ph/GEPSNONPILOT/Tender/SplashBidNoticeAbstractUI.aspx?menuIndex=3&amp;refID=7041344&amp;Result=3","7041344")</f>
        <v>0</v>
      </c>
      <c r="B12896" t="s">
        <v>1148</v>
      </c>
      <c r="C12896" t="s">
        <v>15741</v>
      </c>
      <c r="E12896" t="s">
        <v>27844</v>
      </c>
      <c r="F12896" t="s">
        <v>28669</v>
      </c>
      <c r="G12896" t="s">
        <v>28675</v>
      </c>
      <c r="H12896" t="s">
        <v>9998</v>
      </c>
      <c r="I12896" t="s">
        <v>28706</v>
      </c>
      <c r="J12896" t="s">
        <v>36712</v>
      </c>
      <c r="K12896" t="s">
        <v>37209</v>
      </c>
      <c r="M12896" t="s">
        <v>38684</v>
      </c>
      <c r="N12896" t="s">
        <v>41249</v>
      </c>
      <c r="O12896" t="s">
        <v>41250</v>
      </c>
      <c r="P12896">
        <v>0</v>
      </c>
      <c r="Q12896">
        <v>3</v>
      </c>
      <c r="R12896" t="s">
        <v>41271</v>
      </c>
      <c r="S12896" t="s">
        <v>42169</v>
      </c>
      <c r="T12896" t="s">
        <v>42671</v>
      </c>
      <c r="U12896" t="s">
        <v>53532</v>
      </c>
      <c r="W12896" t="s">
        <v>38684</v>
      </c>
      <c r="X12896" t="s">
        <v>41272</v>
      </c>
    </row>
    <row r="12897" spans="1:24">
      <c r="A12897">
        <f>HYPERLINK("https://www.philgeps.gov.ph/GEPSNONPILOT/Tender/SplashBidNoticeAbstractUI.aspx?menuIndex=3&amp;refID=7041284&amp;Result=3","7041284")</f>
        <v>0</v>
      </c>
      <c r="B12897" t="s">
        <v>1148</v>
      </c>
      <c r="C12897" t="s">
        <v>15742</v>
      </c>
      <c r="E12897" t="s">
        <v>27845</v>
      </c>
      <c r="F12897" t="s">
        <v>28669</v>
      </c>
      <c r="G12897" t="s">
        <v>28675</v>
      </c>
      <c r="H12897" t="s">
        <v>28684</v>
      </c>
      <c r="I12897" t="s">
        <v>28701</v>
      </c>
      <c r="J12897" t="s">
        <v>36713</v>
      </c>
      <c r="K12897" t="s">
        <v>37272</v>
      </c>
      <c r="M12897" t="s">
        <v>38684</v>
      </c>
      <c r="N12897" t="s">
        <v>41249</v>
      </c>
      <c r="O12897" t="s">
        <v>41250</v>
      </c>
      <c r="P12897">
        <v>0</v>
      </c>
      <c r="Q12897">
        <v>1</v>
      </c>
      <c r="R12897" t="s">
        <v>41271</v>
      </c>
      <c r="S12897" t="s">
        <v>42169</v>
      </c>
      <c r="T12897" t="s">
        <v>42671</v>
      </c>
      <c r="U12897" t="s">
        <v>53533</v>
      </c>
      <c r="W12897" t="s">
        <v>38684</v>
      </c>
      <c r="X12897" t="s">
        <v>41272</v>
      </c>
    </row>
    <row r="12898" spans="1:24">
      <c r="A12898">
        <f>HYPERLINK("https://www.philgeps.gov.ph/GEPSNONPILOT/Tender/SplashBidNoticeAbstractUI.aspx?menuIndex=3&amp;refID=7040434&amp;Result=3","7040434")</f>
        <v>0</v>
      </c>
      <c r="B12898" t="s">
        <v>1308</v>
      </c>
      <c r="C12898" t="s">
        <v>15743</v>
      </c>
      <c r="D12898" t="s">
        <v>16654</v>
      </c>
      <c r="E12898" t="s">
        <v>27846</v>
      </c>
      <c r="F12898" t="s">
        <v>28669</v>
      </c>
      <c r="G12898" t="s">
        <v>28675</v>
      </c>
      <c r="H12898" t="s">
        <v>28686</v>
      </c>
      <c r="I12898" t="s">
        <v>28689</v>
      </c>
      <c r="J12898" t="s">
        <v>28924</v>
      </c>
      <c r="K12898" t="s">
        <v>37209</v>
      </c>
      <c r="M12898" t="s">
        <v>38860</v>
      </c>
      <c r="N12898" t="s">
        <v>41249</v>
      </c>
      <c r="O12898" t="s">
        <v>41250</v>
      </c>
      <c r="P12898">
        <v>0</v>
      </c>
      <c r="Q12898">
        <v>1</v>
      </c>
      <c r="R12898" t="s">
        <v>41271</v>
      </c>
      <c r="S12898" t="s">
        <v>42169</v>
      </c>
      <c r="T12898" t="s">
        <v>42736</v>
      </c>
      <c r="U12898" t="s">
        <v>53534</v>
      </c>
      <c r="W12898" t="s">
        <v>38860</v>
      </c>
      <c r="X12898" t="s">
        <v>41273</v>
      </c>
    </row>
    <row r="12899" spans="1:24">
      <c r="A12899">
        <f>HYPERLINK("https://www.philgeps.gov.ph/GEPSNONPILOT/Tender/SplashBidNoticeAbstractUI.aspx?menuIndex=3&amp;refID=7041311&amp;Result=3","7041311")</f>
        <v>0</v>
      </c>
      <c r="B12899" t="s">
        <v>1458</v>
      </c>
      <c r="C12899" t="s">
        <v>15744</v>
      </c>
      <c r="D12899" t="s">
        <v>16627</v>
      </c>
      <c r="E12899" t="s">
        <v>27847</v>
      </c>
      <c r="F12899" t="s">
        <v>28669</v>
      </c>
      <c r="G12899" t="s">
        <v>28675</v>
      </c>
      <c r="H12899" t="s">
        <v>9998</v>
      </c>
      <c r="I12899" t="s">
        <v>6606</v>
      </c>
      <c r="J12899" t="s">
        <v>28836</v>
      </c>
      <c r="K12899" t="s">
        <v>37206</v>
      </c>
      <c r="M12899" t="s">
        <v>39024</v>
      </c>
      <c r="N12899" t="s">
        <v>41249</v>
      </c>
      <c r="O12899" t="s">
        <v>41250</v>
      </c>
      <c r="P12899">
        <v>0</v>
      </c>
      <c r="Q12899">
        <v>1</v>
      </c>
      <c r="R12899" t="s">
        <v>41271</v>
      </c>
      <c r="S12899" t="s">
        <v>42169</v>
      </c>
      <c r="T12899" t="s">
        <v>42728</v>
      </c>
      <c r="U12899" t="s">
        <v>53535</v>
      </c>
      <c r="W12899" t="s">
        <v>39024</v>
      </c>
      <c r="X12899" t="s">
        <v>41272</v>
      </c>
    </row>
    <row r="12900" spans="1:24">
      <c r="A12900">
        <f>HYPERLINK("https://www.philgeps.gov.ph/GEPSNONPILOT/Tender/SplashBidNoticeAbstractUI.aspx?menuIndex=3&amp;refID=7041302&amp;Result=3","7041302")</f>
        <v>0</v>
      </c>
      <c r="B12900" t="s">
        <v>1148</v>
      </c>
      <c r="C12900" t="s">
        <v>15745</v>
      </c>
      <c r="E12900" t="s">
        <v>27848</v>
      </c>
      <c r="F12900" t="s">
        <v>28669</v>
      </c>
      <c r="G12900" t="s">
        <v>28675</v>
      </c>
      <c r="H12900" t="s">
        <v>9998</v>
      </c>
      <c r="I12900" t="s">
        <v>28698</v>
      </c>
      <c r="J12900" t="s">
        <v>36714</v>
      </c>
      <c r="K12900" t="s">
        <v>37209</v>
      </c>
      <c r="M12900" t="s">
        <v>38684</v>
      </c>
      <c r="N12900" t="s">
        <v>41249</v>
      </c>
      <c r="O12900" t="s">
        <v>41250</v>
      </c>
      <c r="P12900">
        <v>0</v>
      </c>
      <c r="Q12900">
        <v>2</v>
      </c>
      <c r="R12900" t="s">
        <v>41271</v>
      </c>
      <c r="S12900" t="s">
        <v>42169</v>
      </c>
      <c r="T12900" t="s">
        <v>42671</v>
      </c>
      <c r="U12900" t="s">
        <v>53532</v>
      </c>
      <c r="W12900" t="s">
        <v>38684</v>
      </c>
      <c r="X12900" t="s">
        <v>41272</v>
      </c>
    </row>
    <row r="12901" spans="1:24">
      <c r="A12901">
        <f>HYPERLINK("https://www.philgeps.gov.ph/GEPSNONPILOT/Tender/SplashBidNoticeAbstractUI.aspx?menuIndex=3&amp;refID=7041247&amp;Result=3","7041247")</f>
        <v>0</v>
      </c>
      <c r="B12901" t="s">
        <v>464</v>
      </c>
      <c r="C12901" t="s">
        <v>15746</v>
      </c>
      <c r="D12901" t="s">
        <v>16629</v>
      </c>
      <c r="E12901" t="s">
        <v>27849</v>
      </c>
      <c r="F12901" t="s">
        <v>28669</v>
      </c>
      <c r="G12901" t="s">
        <v>28675</v>
      </c>
      <c r="H12901" t="s">
        <v>9998</v>
      </c>
      <c r="I12901" t="s">
        <v>7352</v>
      </c>
      <c r="J12901" t="s">
        <v>36715</v>
      </c>
      <c r="K12901" t="s">
        <v>37227</v>
      </c>
      <c r="M12901" t="s">
        <v>37952</v>
      </c>
      <c r="N12901" t="s">
        <v>41249</v>
      </c>
      <c r="O12901" t="s">
        <v>41250</v>
      </c>
      <c r="P12901">
        <v>0</v>
      </c>
      <c r="Q12901">
        <v>0</v>
      </c>
      <c r="R12901" t="s">
        <v>41271</v>
      </c>
      <c r="S12901" t="s">
        <v>42169</v>
      </c>
      <c r="T12901" t="s">
        <v>42992</v>
      </c>
      <c r="U12901" t="s">
        <v>53536</v>
      </c>
      <c r="V12901" t="s">
        <v>55509</v>
      </c>
      <c r="W12901" t="s">
        <v>37952</v>
      </c>
      <c r="X12901" t="s">
        <v>41272</v>
      </c>
    </row>
    <row r="12902" spans="1:24">
      <c r="A12902">
        <f>HYPERLINK("https://www.philgeps.gov.ph/GEPSNONPILOT/Tender/SplashBidNoticeAbstractUI.aspx?menuIndex=3&amp;refID=7041326&amp;Result=3","7041326")</f>
        <v>0</v>
      </c>
      <c r="B12902" t="s">
        <v>1148</v>
      </c>
      <c r="C12902" t="s">
        <v>15747</v>
      </c>
      <c r="E12902" t="s">
        <v>27850</v>
      </c>
      <c r="F12902" t="s">
        <v>28669</v>
      </c>
      <c r="G12902" t="s">
        <v>28675</v>
      </c>
      <c r="H12902" t="s">
        <v>9998</v>
      </c>
      <c r="I12902" t="s">
        <v>28743</v>
      </c>
      <c r="J12902" t="s">
        <v>29109</v>
      </c>
      <c r="K12902" t="s">
        <v>37209</v>
      </c>
      <c r="M12902" t="s">
        <v>38684</v>
      </c>
      <c r="N12902" t="s">
        <v>41249</v>
      </c>
      <c r="O12902" t="s">
        <v>41250</v>
      </c>
      <c r="P12902">
        <v>0</v>
      </c>
      <c r="Q12902">
        <v>2</v>
      </c>
      <c r="R12902" t="s">
        <v>41271</v>
      </c>
      <c r="S12902" t="s">
        <v>42169</v>
      </c>
      <c r="T12902" t="s">
        <v>42671</v>
      </c>
      <c r="U12902" t="s">
        <v>53532</v>
      </c>
      <c r="W12902" t="s">
        <v>38684</v>
      </c>
      <c r="X12902" t="s">
        <v>41272</v>
      </c>
    </row>
    <row r="12903" spans="1:24">
      <c r="A12903">
        <f>HYPERLINK("https://www.philgeps.gov.ph/GEPSNONPILOT/Tender/SplashBidNoticeAbstractUI.aspx?menuIndex=3&amp;refID=7041292&amp;Result=3","7041292")</f>
        <v>0</v>
      </c>
      <c r="B12903" t="s">
        <v>1458</v>
      </c>
      <c r="C12903" t="s">
        <v>15748</v>
      </c>
      <c r="D12903" t="s">
        <v>16627</v>
      </c>
      <c r="E12903" t="s">
        <v>27851</v>
      </c>
      <c r="F12903" t="s">
        <v>28669</v>
      </c>
      <c r="G12903" t="s">
        <v>28675</v>
      </c>
      <c r="H12903" t="s">
        <v>9998</v>
      </c>
      <c r="I12903" t="s">
        <v>6606</v>
      </c>
      <c r="J12903" t="s">
        <v>30333</v>
      </c>
      <c r="K12903" t="s">
        <v>37206</v>
      </c>
      <c r="M12903" t="s">
        <v>39024</v>
      </c>
      <c r="N12903" t="s">
        <v>41249</v>
      </c>
      <c r="O12903" t="s">
        <v>41250</v>
      </c>
      <c r="P12903">
        <v>0</v>
      </c>
      <c r="Q12903">
        <v>1</v>
      </c>
      <c r="R12903" t="s">
        <v>41271</v>
      </c>
      <c r="S12903" t="s">
        <v>42169</v>
      </c>
      <c r="T12903" t="s">
        <v>42728</v>
      </c>
      <c r="U12903" t="s">
        <v>53535</v>
      </c>
      <c r="W12903" t="s">
        <v>39024</v>
      </c>
      <c r="X12903" t="s">
        <v>41272</v>
      </c>
    </row>
    <row r="12904" spans="1:24">
      <c r="A12904">
        <f>HYPERLINK("https://www.philgeps.gov.ph/GEPSNONPILOT/Tender/SplashBidNoticeAbstractUI.aspx?menuIndex=3&amp;refID=7041234&amp;Result=3","7041234")</f>
        <v>0</v>
      </c>
      <c r="B12904" t="s">
        <v>1331</v>
      </c>
      <c r="C12904" t="s">
        <v>15749</v>
      </c>
      <c r="D12904" t="s">
        <v>16634</v>
      </c>
      <c r="E12904" t="s">
        <v>27852</v>
      </c>
      <c r="F12904" t="s">
        <v>28669</v>
      </c>
      <c r="G12904" t="s">
        <v>28675</v>
      </c>
      <c r="H12904" t="s">
        <v>9998</v>
      </c>
      <c r="I12904" t="s">
        <v>28695</v>
      </c>
      <c r="J12904" t="s">
        <v>36716</v>
      </c>
      <c r="K12904" t="s">
        <v>37206</v>
      </c>
      <c r="M12904" t="s">
        <v>38885</v>
      </c>
      <c r="N12904" t="s">
        <v>41249</v>
      </c>
      <c r="O12904" t="s">
        <v>41250</v>
      </c>
      <c r="P12904">
        <v>0</v>
      </c>
      <c r="Q12904">
        <v>1</v>
      </c>
      <c r="R12904" t="s">
        <v>41271</v>
      </c>
      <c r="S12904" t="s">
        <v>42169</v>
      </c>
      <c r="T12904" t="s">
        <v>42858</v>
      </c>
      <c r="U12904" t="s">
        <v>53537</v>
      </c>
      <c r="W12904" t="s">
        <v>38885</v>
      </c>
      <c r="X12904" t="s">
        <v>41272</v>
      </c>
    </row>
    <row r="12905" spans="1:24">
      <c r="A12905">
        <f>HYPERLINK("https://www.philgeps.gov.ph/GEPSNONPILOT/Tender/SplashBidNoticeAbstractUI.aspx?menuIndex=3&amp;refID=7041219&amp;Result=3","7041219")</f>
        <v>0</v>
      </c>
      <c r="B12905" t="s">
        <v>1458</v>
      </c>
      <c r="C12905" t="s">
        <v>15750</v>
      </c>
      <c r="D12905" t="s">
        <v>16627</v>
      </c>
      <c r="E12905" t="s">
        <v>27853</v>
      </c>
      <c r="F12905" t="s">
        <v>28669</v>
      </c>
      <c r="G12905" t="s">
        <v>28675</v>
      </c>
      <c r="H12905" t="s">
        <v>9998</v>
      </c>
      <c r="I12905" t="s">
        <v>28722</v>
      </c>
      <c r="J12905" t="s">
        <v>29134</v>
      </c>
      <c r="K12905" t="s">
        <v>37206</v>
      </c>
      <c r="M12905" t="s">
        <v>39024</v>
      </c>
      <c r="N12905" t="s">
        <v>41249</v>
      </c>
      <c r="O12905" t="s">
        <v>41250</v>
      </c>
      <c r="P12905">
        <v>0</v>
      </c>
      <c r="Q12905">
        <v>0</v>
      </c>
      <c r="R12905" t="s">
        <v>41271</v>
      </c>
      <c r="S12905" t="s">
        <v>42169</v>
      </c>
      <c r="T12905" t="s">
        <v>42728</v>
      </c>
      <c r="U12905" t="s">
        <v>53535</v>
      </c>
      <c r="V12905" t="s">
        <v>55796</v>
      </c>
      <c r="W12905" t="s">
        <v>39024</v>
      </c>
      <c r="X12905" t="s">
        <v>41272</v>
      </c>
    </row>
    <row r="12906" spans="1:24">
      <c r="A12906">
        <f>HYPERLINK("https://www.philgeps.gov.ph/GEPSNONPILOT/Tender/SplashBidNoticeAbstractUI.aspx?menuIndex=3&amp;refID=7041131&amp;Result=3","7041131")</f>
        <v>0</v>
      </c>
      <c r="B12906" t="s">
        <v>2392</v>
      </c>
      <c r="C12906" t="s">
        <v>15751</v>
      </c>
      <c r="D12906" t="s">
        <v>16619</v>
      </c>
      <c r="E12906" t="s">
        <v>27854</v>
      </c>
      <c r="F12906" t="s">
        <v>28669</v>
      </c>
      <c r="G12906" t="s">
        <v>28675</v>
      </c>
      <c r="H12906" t="s">
        <v>28686</v>
      </c>
      <c r="I12906" t="s">
        <v>28689</v>
      </c>
      <c r="J12906" t="s">
        <v>29943</v>
      </c>
      <c r="K12906" t="s">
        <v>37211</v>
      </c>
      <c r="M12906" t="s">
        <v>40067</v>
      </c>
      <c r="N12906" t="s">
        <v>41249</v>
      </c>
      <c r="O12906" t="s">
        <v>41250</v>
      </c>
      <c r="Q12906">
        <v>7</v>
      </c>
      <c r="R12906" t="s">
        <v>41271</v>
      </c>
      <c r="S12906" t="s">
        <v>42176</v>
      </c>
      <c r="T12906" t="s">
        <v>42767</v>
      </c>
      <c r="U12906" t="s">
        <v>53538</v>
      </c>
      <c r="W12906" t="s">
        <v>40067</v>
      </c>
      <c r="X12906" t="s">
        <v>41272</v>
      </c>
    </row>
    <row r="12907" spans="1:24">
      <c r="A12907">
        <f>HYPERLINK("https://www.philgeps.gov.ph/GEPSNONPILOT/Tender/SplashBidNoticeAbstractUI.aspx?menuIndex=3&amp;refID=7041352&amp;Result=3","7041352")</f>
        <v>0</v>
      </c>
      <c r="B12907" t="s">
        <v>1458</v>
      </c>
      <c r="C12907" t="s">
        <v>15752</v>
      </c>
      <c r="D12907" t="s">
        <v>16627</v>
      </c>
      <c r="E12907" t="s">
        <v>27855</v>
      </c>
      <c r="F12907" t="s">
        <v>28669</v>
      </c>
      <c r="G12907" t="s">
        <v>28675</v>
      </c>
      <c r="H12907" t="s">
        <v>28686</v>
      </c>
      <c r="I12907" t="s">
        <v>28689</v>
      </c>
      <c r="J12907" t="s">
        <v>36717</v>
      </c>
      <c r="K12907" t="s">
        <v>37206</v>
      </c>
      <c r="M12907" t="s">
        <v>39024</v>
      </c>
      <c r="N12907" t="s">
        <v>41249</v>
      </c>
      <c r="O12907" t="s">
        <v>41250</v>
      </c>
      <c r="P12907">
        <v>0</v>
      </c>
      <c r="Q12907">
        <v>1</v>
      </c>
      <c r="R12907" t="s">
        <v>41271</v>
      </c>
      <c r="S12907" t="s">
        <v>42169</v>
      </c>
      <c r="T12907" t="s">
        <v>42728</v>
      </c>
      <c r="U12907" t="s">
        <v>53535</v>
      </c>
      <c r="W12907" t="s">
        <v>39024</v>
      </c>
      <c r="X12907" t="s">
        <v>41272</v>
      </c>
    </row>
    <row r="12908" spans="1:24">
      <c r="A12908">
        <f>HYPERLINK("https://www.philgeps.gov.ph/GEPSNONPILOT/Tender/SplashBidNoticeAbstractUI.aspx?menuIndex=3&amp;refID=7041307&amp;Result=3","7041307")</f>
        <v>0</v>
      </c>
      <c r="B12908" t="s">
        <v>464</v>
      </c>
      <c r="C12908" t="s">
        <v>15753</v>
      </c>
      <c r="D12908" t="s">
        <v>16629</v>
      </c>
      <c r="E12908" t="s">
        <v>27856</v>
      </c>
      <c r="F12908" t="s">
        <v>28669</v>
      </c>
      <c r="G12908" t="s">
        <v>28675</v>
      </c>
      <c r="H12908" t="s">
        <v>9998</v>
      </c>
      <c r="I12908" t="s">
        <v>7352</v>
      </c>
      <c r="J12908" t="s">
        <v>36718</v>
      </c>
      <c r="K12908" t="s">
        <v>37227</v>
      </c>
      <c r="M12908" t="s">
        <v>37952</v>
      </c>
      <c r="N12908" t="s">
        <v>41249</v>
      </c>
      <c r="O12908" t="s">
        <v>41250</v>
      </c>
      <c r="P12908">
        <v>0</v>
      </c>
      <c r="Q12908">
        <v>0</v>
      </c>
      <c r="R12908" t="s">
        <v>41271</v>
      </c>
      <c r="S12908" t="s">
        <v>42169</v>
      </c>
      <c r="T12908" t="s">
        <v>42992</v>
      </c>
      <c r="U12908" t="s">
        <v>53539</v>
      </c>
      <c r="V12908" t="s">
        <v>55509</v>
      </c>
      <c r="W12908" t="s">
        <v>37952</v>
      </c>
      <c r="X12908" t="s">
        <v>41272</v>
      </c>
    </row>
    <row r="12909" spans="1:24">
      <c r="A12909">
        <f>HYPERLINK("https://www.philgeps.gov.ph/GEPSNONPILOT/Tender/SplashBidNoticeAbstractUI.aspx?menuIndex=3&amp;refID=7041347&amp;Result=3","7041347")</f>
        <v>0</v>
      </c>
      <c r="B12909" t="s">
        <v>2201</v>
      </c>
      <c r="C12909" t="s">
        <v>15754</v>
      </c>
      <c r="D12909" t="s">
        <v>16672</v>
      </c>
      <c r="E12909" t="s">
        <v>21707</v>
      </c>
      <c r="F12909" t="s">
        <v>28669</v>
      </c>
      <c r="G12909" t="s">
        <v>28675</v>
      </c>
      <c r="H12909" t="s">
        <v>9998</v>
      </c>
      <c r="I12909" t="s">
        <v>28687</v>
      </c>
      <c r="J12909" t="s">
        <v>29059</v>
      </c>
      <c r="K12909" t="s">
        <v>37205</v>
      </c>
      <c r="M12909" t="s">
        <v>39851</v>
      </c>
      <c r="N12909" t="s">
        <v>41249</v>
      </c>
      <c r="O12909" t="s">
        <v>41250</v>
      </c>
      <c r="P12909">
        <v>0</v>
      </c>
      <c r="Q12909">
        <v>5</v>
      </c>
      <c r="R12909" t="s">
        <v>41271</v>
      </c>
      <c r="S12909" t="s">
        <v>42169</v>
      </c>
      <c r="T12909" t="s">
        <v>42728</v>
      </c>
      <c r="U12909" t="s">
        <v>53540</v>
      </c>
      <c r="W12909" t="s">
        <v>39851</v>
      </c>
      <c r="X12909" t="s">
        <v>41272</v>
      </c>
    </row>
    <row r="12910" spans="1:24">
      <c r="A12910">
        <f>HYPERLINK("https://www.philgeps.gov.ph/GEPSNONPILOT/Tender/SplashBidNoticeAbstractUI.aspx?menuIndex=3&amp;refID=7041330&amp;Result=3","7041330")</f>
        <v>0</v>
      </c>
      <c r="B12910" t="s">
        <v>1970</v>
      </c>
      <c r="C12910" t="s">
        <v>15755</v>
      </c>
      <c r="D12910" t="s">
        <v>16651</v>
      </c>
      <c r="E12910" t="s">
        <v>27857</v>
      </c>
      <c r="F12910" t="s">
        <v>28669</v>
      </c>
      <c r="G12910" t="s">
        <v>28675</v>
      </c>
      <c r="H12910" t="s">
        <v>28686</v>
      </c>
      <c r="I12910" t="s">
        <v>28689</v>
      </c>
      <c r="J12910" t="s">
        <v>30929</v>
      </c>
      <c r="K12910" t="s">
        <v>37451</v>
      </c>
      <c r="M12910" t="s">
        <v>39604</v>
      </c>
      <c r="N12910" t="s">
        <v>41249</v>
      </c>
      <c r="O12910" t="s">
        <v>41250</v>
      </c>
      <c r="Q12910">
        <v>3</v>
      </c>
      <c r="R12910" t="s">
        <v>41271</v>
      </c>
      <c r="S12910" t="s">
        <v>42177</v>
      </c>
      <c r="T12910" t="s">
        <v>42690</v>
      </c>
      <c r="U12910" t="s">
        <v>53541</v>
      </c>
      <c r="W12910" t="s">
        <v>39604</v>
      </c>
      <c r="X12910" t="s">
        <v>41272</v>
      </c>
    </row>
    <row r="12911" spans="1:24">
      <c r="A12911">
        <f>HYPERLINK("https://www.philgeps.gov.ph/GEPSNONPILOT/Tender/SplashBidNoticeAbstractUI.aspx?menuIndex=3&amp;refID=7041683&amp;Result=3","7041683")</f>
        <v>0</v>
      </c>
      <c r="B12911" t="s">
        <v>2230</v>
      </c>
      <c r="C12911" t="s">
        <v>11161</v>
      </c>
      <c r="D12911" t="s">
        <v>16647</v>
      </c>
      <c r="E12911" t="s">
        <v>27858</v>
      </c>
      <c r="F12911" t="s">
        <v>28669</v>
      </c>
      <c r="G12911" t="s">
        <v>28675</v>
      </c>
      <c r="H12911" t="s">
        <v>9998</v>
      </c>
      <c r="I12911" t="s">
        <v>28713</v>
      </c>
      <c r="J12911" t="s">
        <v>30506</v>
      </c>
      <c r="K12911" t="s">
        <v>37206</v>
      </c>
      <c r="M12911" t="s">
        <v>39883</v>
      </c>
      <c r="N12911" t="s">
        <v>41249</v>
      </c>
      <c r="O12911" t="s">
        <v>41250</v>
      </c>
      <c r="P12911">
        <v>0</v>
      </c>
      <c r="Q12911">
        <v>8</v>
      </c>
      <c r="R12911" t="s">
        <v>41271</v>
      </c>
      <c r="S12911" t="s">
        <v>42169</v>
      </c>
      <c r="T12911" t="s">
        <v>42673</v>
      </c>
      <c r="U12911" t="s">
        <v>53542</v>
      </c>
      <c r="W12911" t="s">
        <v>55983</v>
      </c>
      <c r="X12911" t="s">
        <v>41272</v>
      </c>
    </row>
    <row r="12912" spans="1:24">
      <c r="A12912">
        <f>HYPERLINK("https://www.philgeps.gov.ph/GEPSNONPILOT/Tender/SplashBidNoticeAbstractUI.aspx?menuIndex=3&amp;refID=7041264&amp;Result=3","7041264")</f>
        <v>0</v>
      </c>
      <c r="B12912" t="s">
        <v>1458</v>
      </c>
      <c r="C12912" t="s">
        <v>15756</v>
      </c>
      <c r="D12912" t="s">
        <v>16627</v>
      </c>
      <c r="E12912" t="s">
        <v>27859</v>
      </c>
      <c r="F12912" t="s">
        <v>28669</v>
      </c>
      <c r="G12912" t="s">
        <v>28675</v>
      </c>
      <c r="H12912" t="s">
        <v>9998</v>
      </c>
      <c r="I12912" t="s">
        <v>28709</v>
      </c>
      <c r="J12912" t="s">
        <v>36719</v>
      </c>
      <c r="K12912" t="s">
        <v>37206</v>
      </c>
      <c r="M12912" t="s">
        <v>39024</v>
      </c>
      <c r="N12912" t="s">
        <v>41249</v>
      </c>
      <c r="O12912" t="s">
        <v>41250</v>
      </c>
      <c r="P12912">
        <v>0</v>
      </c>
      <c r="Q12912">
        <v>5</v>
      </c>
      <c r="R12912" t="s">
        <v>41271</v>
      </c>
      <c r="S12912" t="s">
        <v>42169</v>
      </c>
      <c r="T12912" t="s">
        <v>42728</v>
      </c>
      <c r="U12912" t="s">
        <v>53535</v>
      </c>
      <c r="V12912" t="s">
        <v>55796</v>
      </c>
      <c r="W12912" t="s">
        <v>39024</v>
      </c>
      <c r="X12912" t="s">
        <v>41272</v>
      </c>
    </row>
    <row r="12913" spans="1:24">
      <c r="A12913">
        <f>HYPERLINK("https://www.philgeps.gov.ph/GEPSNONPILOT/Tender/SplashBidNoticeAbstractUI.aspx?menuIndex=3&amp;refID=7041322&amp;Result=3","7041322")</f>
        <v>0</v>
      </c>
      <c r="B12913" t="s">
        <v>3292</v>
      </c>
      <c r="C12913" t="s">
        <v>15757</v>
      </c>
      <c r="D12913" t="s">
        <v>16626</v>
      </c>
      <c r="E12913" t="s">
        <v>27860</v>
      </c>
      <c r="F12913" t="s">
        <v>28669</v>
      </c>
      <c r="G12913" t="s">
        <v>28675</v>
      </c>
      <c r="H12913" t="s">
        <v>9998</v>
      </c>
      <c r="I12913" t="s">
        <v>28687</v>
      </c>
      <c r="J12913" t="s">
        <v>31948</v>
      </c>
      <c r="K12913" t="s">
        <v>37206</v>
      </c>
      <c r="M12913" t="s">
        <v>41124</v>
      </c>
      <c r="N12913" t="s">
        <v>41249</v>
      </c>
      <c r="O12913" t="s">
        <v>41250</v>
      </c>
      <c r="P12913">
        <v>0</v>
      </c>
      <c r="Q12913">
        <v>3</v>
      </c>
      <c r="R12913" t="s">
        <v>41271</v>
      </c>
      <c r="S12913" t="s">
        <v>42169</v>
      </c>
      <c r="T12913" t="s">
        <v>42838</v>
      </c>
      <c r="U12913" t="s">
        <v>53543</v>
      </c>
      <c r="W12913" t="s">
        <v>41124</v>
      </c>
      <c r="X12913" t="s">
        <v>41272</v>
      </c>
    </row>
    <row r="12914" spans="1:24">
      <c r="A12914">
        <f>HYPERLINK("https://www.philgeps.gov.ph/GEPSNONPILOT/Tender/SplashBidNoticeAbstractUI.aspx?menuIndex=3&amp;refID=7041212&amp;Result=3","7041212")</f>
        <v>0</v>
      </c>
      <c r="B12914" t="s">
        <v>464</v>
      </c>
      <c r="C12914" t="s">
        <v>15758</v>
      </c>
      <c r="D12914" t="s">
        <v>16629</v>
      </c>
      <c r="E12914" t="s">
        <v>27861</v>
      </c>
      <c r="F12914" t="s">
        <v>28669</v>
      </c>
      <c r="G12914" t="s">
        <v>28675</v>
      </c>
      <c r="H12914" t="s">
        <v>9998</v>
      </c>
      <c r="I12914" t="s">
        <v>7352</v>
      </c>
      <c r="J12914" t="s">
        <v>36720</v>
      </c>
      <c r="K12914" t="s">
        <v>37227</v>
      </c>
      <c r="M12914" t="s">
        <v>37952</v>
      </c>
      <c r="N12914" t="s">
        <v>41249</v>
      </c>
      <c r="O12914" t="s">
        <v>41250</v>
      </c>
      <c r="P12914">
        <v>0</v>
      </c>
      <c r="Q12914">
        <v>0</v>
      </c>
      <c r="R12914" t="s">
        <v>41271</v>
      </c>
      <c r="S12914" t="s">
        <v>42169</v>
      </c>
      <c r="T12914" t="s">
        <v>42992</v>
      </c>
      <c r="U12914" t="s">
        <v>53544</v>
      </c>
      <c r="V12914" t="s">
        <v>55509</v>
      </c>
      <c r="W12914" t="s">
        <v>37952</v>
      </c>
      <c r="X12914" t="s">
        <v>41272</v>
      </c>
    </row>
    <row r="12915" spans="1:24">
      <c r="A12915">
        <f>HYPERLINK("https://www.philgeps.gov.ph/GEPSNONPILOT/Tender/SplashBidNoticeAbstractUI.aspx?menuIndex=3&amp;refID=7041651&amp;Result=3","7041651")</f>
        <v>0</v>
      </c>
      <c r="B12915" t="s">
        <v>28</v>
      </c>
      <c r="C12915" t="s">
        <v>15759</v>
      </c>
      <c r="D12915" t="s">
        <v>16610</v>
      </c>
      <c r="E12915" t="s">
        <v>27862</v>
      </c>
      <c r="F12915" t="s">
        <v>28669</v>
      </c>
      <c r="G12915" t="s">
        <v>28675</v>
      </c>
      <c r="H12915" t="s">
        <v>9998</v>
      </c>
      <c r="I12915" t="s">
        <v>28766</v>
      </c>
      <c r="J12915" t="s">
        <v>29059</v>
      </c>
      <c r="K12915" t="s">
        <v>37215</v>
      </c>
      <c r="L12915" t="s">
        <v>28</v>
      </c>
      <c r="M12915" t="s">
        <v>37503</v>
      </c>
      <c r="N12915" t="s">
        <v>41249</v>
      </c>
      <c r="O12915" t="s">
        <v>41250</v>
      </c>
      <c r="P12915">
        <v>0</v>
      </c>
      <c r="Q12915">
        <v>1</v>
      </c>
      <c r="R12915" t="s">
        <v>41271</v>
      </c>
      <c r="S12915" t="s">
        <v>42169</v>
      </c>
      <c r="T12915" t="s">
        <v>42673</v>
      </c>
      <c r="U12915" t="s">
        <v>53545</v>
      </c>
      <c r="W12915" t="s">
        <v>37503</v>
      </c>
      <c r="X12915" t="s">
        <v>41272</v>
      </c>
    </row>
    <row r="12916" spans="1:24">
      <c r="A12916">
        <f>HYPERLINK("https://www.philgeps.gov.ph/GEPSNONPILOT/Tender/SplashBidNoticeAbstractUI.aspx?menuIndex=3&amp;refID=7041637&amp;Result=3","7041637")</f>
        <v>0</v>
      </c>
      <c r="B12916" t="s">
        <v>1148</v>
      </c>
      <c r="C12916" t="s">
        <v>15760</v>
      </c>
      <c r="E12916" t="s">
        <v>27863</v>
      </c>
      <c r="F12916" t="s">
        <v>28669</v>
      </c>
      <c r="G12916" t="s">
        <v>28675</v>
      </c>
      <c r="H12916" t="s">
        <v>28685</v>
      </c>
      <c r="I12916" t="s">
        <v>28685</v>
      </c>
      <c r="J12916" t="s">
        <v>32105</v>
      </c>
      <c r="K12916" t="s">
        <v>37209</v>
      </c>
      <c r="M12916" t="s">
        <v>38684</v>
      </c>
      <c r="N12916" t="s">
        <v>41249</v>
      </c>
      <c r="O12916" t="s">
        <v>41250</v>
      </c>
      <c r="P12916">
        <v>0</v>
      </c>
      <c r="Q12916">
        <v>4</v>
      </c>
      <c r="R12916" t="s">
        <v>41271</v>
      </c>
      <c r="S12916" t="s">
        <v>42169</v>
      </c>
      <c r="T12916" t="s">
        <v>42671</v>
      </c>
      <c r="U12916" t="s">
        <v>53546</v>
      </c>
      <c r="W12916" t="s">
        <v>38684</v>
      </c>
      <c r="X12916" t="s">
        <v>41272</v>
      </c>
    </row>
    <row r="12917" spans="1:24">
      <c r="A12917">
        <f>HYPERLINK("https://www.philgeps.gov.ph/GEPSNONPILOT/Tender/SplashBidNoticeAbstractUI.aspx?menuIndex=3&amp;refID=7041632&amp;Result=3","7041632")</f>
        <v>0</v>
      </c>
      <c r="B12917" t="s">
        <v>2173</v>
      </c>
      <c r="C12917" t="s">
        <v>15761</v>
      </c>
      <c r="D12917" t="s">
        <v>16664</v>
      </c>
      <c r="E12917" t="s">
        <v>27864</v>
      </c>
      <c r="F12917" t="s">
        <v>28669</v>
      </c>
      <c r="G12917" t="s">
        <v>28675</v>
      </c>
      <c r="H12917" t="s">
        <v>9998</v>
      </c>
      <c r="I12917" t="s">
        <v>28711</v>
      </c>
      <c r="J12917" t="s">
        <v>36721</v>
      </c>
      <c r="K12917" t="s">
        <v>37206</v>
      </c>
      <c r="M12917" t="s">
        <v>39822</v>
      </c>
      <c r="N12917" t="s">
        <v>41249</v>
      </c>
      <c r="O12917" t="s">
        <v>41250</v>
      </c>
      <c r="P12917">
        <v>0</v>
      </c>
      <c r="Q12917">
        <v>3</v>
      </c>
      <c r="R12917" t="s">
        <v>41271</v>
      </c>
      <c r="S12917" t="s">
        <v>42169</v>
      </c>
      <c r="T12917" t="s">
        <v>42788</v>
      </c>
      <c r="U12917" t="s">
        <v>53547</v>
      </c>
      <c r="V12917" t="s">
        <v>55797</v>
      </c>
      <c r="W12917" t="s">
        <v>39822</v>
      </c>
      <c r="X12917" t="s">
        <v>41272</v>
      </c>
    </row>
    <row r="12918" spans="1:24">
      <c r="A12918">
        <f>HYPERLINK("https://www.philgeps.gov.ph/GEPSNONPILOT/Tender/SplashBidNoticeAbstractUI.aspx?menuIndex=3&amp;refID=7041627&amp;Result=3","7041627")</f>
        <v>0</v>
      </c>
      <c r="B12918" t="s">
        <v>3293</v>
      </c>
      <c r="C12918" t="s">
        <v>15762</v>
      </c>
      <c r="E12918" t="s">
        <v>21723</v>
      </c>
      <c r="F12918" t="s">
        <v>28669</v>
      </c>
      <c r="G12918" t="s">
        <v>28675</v>
      </c>
      <c r="H12918" t="s">
        <v>9998</v>
      </c>
      <c r="I12918" t="s">
        <v>7352</v>
      </c>
      <c r="J12918" t="s">
        <v>36722</v>
      </c>
      <c r="K12918" t="s">
        <v>37210</v>
      </c>
      <c r="M12918" t="s">
        <v>41125</v>
      </c>
      <c r="N12918" t="s">
        <v>41249</v>
      </c>
      <c r="O12918" t="s">
        <v>41250</v>
      </c>
      <c r="P12918">
        <v>0</v>
      </c>
      <c r="Q12918">
        <v>3</v>
      </c>
      <c r="R12918" t="s">
        <v>41271</v>
      </c>
      <c r="S12918" t="s">
        <v>42169</v>
      </c>
      <c r="T12918" t="s">
        <v>42728</v>
      </c>
      <c r="U12918" t="s">
        <v>53548</v>
      </c>
      <c r="V12918" t="s">
        <v>55798</v>
      </c>
      <c r="W12918" t="s">
        <v>41125</v>
      </c>
      <c r="X12918" t="s">
        <v>41272</v>
      </c>
    </row>
    <row r="12919" spans="1:24">
      <c r="A12919">
        <f>HYPERLINK("https://www.philgeps.gov.ph/GEPSNONPILOT/Tender/SplashBidNoticeAbstractUI.aspx?menuIndex=3&amp;refID=7041532&amp;Result=3","7041532")</f>
        <v>0</v>
      </c>
      <c r="B12919" t="s">
        <v>3294</v>
      </c>
      <c r="C12919" t="s">
        <v>15763</v>
      </c>
      <c r="D12919" t="s">
        <v>16664</v>
      </c>
      <c r="E12919" t="s">
        <v>27865</v>
      </c>
      <c r="F12919" t="s">
        <v>28669</v>
      </c>
      <c r="G12919" t="s">
        <v>28675</v>
      </c>
      <c r="H12919" t="s">
        <v>9998</v>
      </c>
      <c r="I12919" t="s">
        <v>28687</v>
      </c>
      <c r="J12919" t="s">
        <v>36723</v>
      </c>
      <c r="K12919" t="s">
        <v>37206</v>
      </c>
      <c r="M12919" t="s">
        <v>41126</v>
      </c>
      <c r="N12919" t="s">
        <v>41249</v>
      </c>
      <c r="O12919" t="s">
        <v>41250</v>
      </c>
      <c r="P12919">
        <v>0</v>
      </c>
      <c r="Q12919">
        <v>3</v>
      </c>
      <c r="R12919" t="s">
        <v>41271</v>
      </c>
      <c r="S12919" t="s">
        <v>42169</v>
      </c>
      <c r="T12919" t="s">
        <v>42727</v>
      </c>
      <c r="U12919" t="s">
        <v>53549</v>
      </c>
      <c r="V12919" t="s">
        <v>54252</v>
      </c>
      <c r="W12919" t="s">
        <v>41126</v>
      </c>
      <c r="X12919" t="s">
        <v>41272</v>
      </c>
    </row>
    <row r="12920" spans="1:24">
      <c r="A12920">
        <f>HYPERLINK("https://www.philgeps.gov.ph/GEPSNONPILOT/Tender/SplashBidNoticeAbstractUI.aspx?menuIndex=3&amp;refID=7041428&amp;Result=3","7041428")</f>
        <v>0</v>
      </c>
      <c r="B12920" t="s">
        <v>2201</v>
      </c>
      <c r="C12920" t="s">
        <v>15764</v>
      </c>
      <c r="D12920" t="s">
        <v>16672</v>
      </c>
      <c r="E12920" t="s">
        <v>23317</v>
      </c>
      <c r="F12920" t="s">
        <v>28669</v>
      </c>
      <c r="G12920" t="s">
        <v>28675</v>
      </c>
      <c r="H12920" t="s">
        <v>28686</v>
      </c>
      <c r="I12920" t="s">
        <v>28689</v>
      </c>
      <c r="J12920" t="s">
        <v>36217</v>
      </c>
      <c r="K12920" t="s">
        <v>37240</v>
      </c>
      <c r="M12920" t="s">
        <v>39851</v>
      </c>
      <c r="N12920" t="s">
        <v>41249</v>
      </c>
      <c r="O12920" t="s">
        <v>41250</v>
      </c>
      <c r="P12920">
        <v>0</v>
      </c>
      <c r="Q12920">
        <v>1</v>
      </c>
      <c r="R12920" t="s">
        <v>41271</v>
      </c>
      <c r="S12920" t="s">
        <v>42169</v>
      </c>
      <c r="T12920" t="s">
        <v>42728</v>
      </c>
      <c r="U12920" t="s">
        <v>48759</v>
      </c>
      <c r="W12920" t="s">
        <v>39851</v>
      </c>
      <c r="X12920" t="s">
        <v>41272</v>
      </c>
    </row>
    <row r="12921" spans="1:24">
      <c r="A12921">
        <f>HYPERLINK("https://www.philgeps.gov.ph/GEPSNONPILOT/Tender/SplashBidNoticeAbstractUI.aspx?menuIndex=3&amp;refID=7041418&amp;Result=3","7041418")</f>
        <v>0</v>
      </c>
      <c r="B12921" t="s">
        <v>1458</v>
      </c>
      <c r="C12921" t="s">
        <v>15765</v>
      </c>
      <c r="D12921" t="s">
        <v>16627</v>
      </c>
      <c r="E12921" t="s">
        <v>27866</v>
      </c>
      <c r="F12921" t="s">
        <v>28669</v>
      </c>
      <c r="G12921" t="s">
        <v>28675</v>
      </c>
      <c r="H12921" t="s">
        <v>28686</v>
      </c>
      <c r="I12921" t="s">
        <v>28689</v>
      </c>
      <c r="J12921" t="s">
        <v>36724</v>
      </c>
      <c r="K12921" t="s">
        <v>37206</v>
      </c>
      <c r="M12921" t="s">
        <v>39024</v>
      </c>
      <c r="N12921" t="s">
        <v>41249</v>
      </c>
      <c r="O12921" t="s">
        <v>41250</v>
      </c>
      <c r="P12921">
        <v>0</v>
      </c>
      <c r="Q12921">
        <v>1</v>
      </c>
      <c r="R12921" t="s">
        <v>41271</v>
      </c>
      <c r="S12921" t="s">
        <v>42169</v>
      </c>
      <c r="T12921" t="s">
        <v>42728</v>
      </c>
      <c r="U12921" t="s">
        <v>53535</v>
      </c>
      <c r="W12921" t="s">
        <v>39024</v>
      </c>
      <c r="X12921" t="s">
        <v>41272</v>
      </c>
    </row>
    <row r="12922" spans="1:24">
      <c r="A12922">
        <f>HYPERLINK("https://www.philgeps.gov.ph/GEPSNONPILOT/Tender/SplashBidNoticeAbstractUI.aspx?menuIndex=3&amp;refID=7041572&amp;Result=3","7041572")</f>
        <v>0</v>
      </c>
      <c r="B12922" t="s">
        <v>2219</v>
      </c>
      <c r="C12922" t="s">
        <v>15766</v>
      </c>
      <c r="D12922" t="s">
        <v>16658</v>
      </c>
      <c r="E12922" t="s">
        <v>23670</v>
      </c>
      <c r="F12922" t="s">
        <v>28669</v>
      </c>
      <c r="G12922" t="s">
        <v>28675</v>
      </c>
      <c r="H12922" t="s">
        <v>28686</v>
      </c>
      <c r="I12922" t="s">
        <v>28689</v>
      </c>
      <c r="J12922" t="s">
        <v>36725</v>
      </c>
      <c r="K12922" t="s">
        <v>37213</v>
      </c>
      <c r="M12922" t="s">
        <v>39871</v>
      </c>
      <c r="N12922" t="s">
        <v>41249</v>
      </c>
      <c r="O12922" t="s">
        <v>41250</v>
      </c>
      <c r="P12922">
        <v>0</v>
      </c>
      <c r="Q12922">
        <v>2</v>
      </c>
      <c r="R12922" t="s">
        <v>41271</v>
      </c>
      <c r="S12922" t="s">
        <v>42169</v>
      </c>
      <c r="T12922" t="s">
        <v>42767</v>
      </c>
      <c r="U12922" t="s">
        <v>53550</v>
      </c>
      <c r="W12922" t="s">
        <v>39871</v>
      </c>
      <c r="X12922" t="s">
        <v>41272</v>
      </c>
    </row>
    <row r="12923" spans="1:24">
      <c r="A12923">
        <f>HYPERLINK("https://www.philgeps.gov.ph/GEPSNONPILOT/Tender/SplashBidNoticeAbstractUI.aspx?menuIndex=3&amp;refID=7041398&amp;Result=3","7041398")</f>
        <v>0</v>
      </c>
      <c r="B12923" t="s">
        <v>3295</v>
      </c>
      <c r="C12923" t="s">
        <v>15767</v>
      </c>
      <c r="D12923" t="s">
        <v>16637</v>
      </c>
      <c r="E12923" t="s">
        <v>6876</v>
      </c>
      <c r="F12923" t="s">
        <v>28669</v>
      </c>
      <c r="G12923" t="s">
        <v>28675</v>
      </c>
      <c r="H12923" t="s">
        <v>9998</v>
      </c>
      <c r="I12923" t="s">
        <v>7352</v>
      </c>
      <c r="J12923" t="s">
        <v>36726</v>
      </c>
      <c r="K12923" t="s">
        <v>37205</v>
      </c>
      <c r="M12923" t="s">
        <v>41127</v>
      </c>
      <c r="N12923" t="s">
        <v>41249</v>
      </c>
      <c r="O12923" t="s">
        <v>41250</v>
      </c>
      <c r="P12923">
        <v>0</v>
      </c>
      <c r="Q12923">
        <v>1</v>
      </c>
      <c r="R12923" t="s">
        <v>41271</v>
      </c>
      <c r="S12923" t="s">
        <v>42169</v>
      </c>
      <c r="T12923" t="s">
        <v>42711</v>
      </c>
      <c r="U12923" t="s">
        <v>53551</v>
      </c>
      <c r="W12923" t="s">
        <v>41127</v>
      </c>
      <c r="X12923" t="s">
        <v>41272</v>
      </c>
    </row>
    <row r="12924" spans="1:24">
      <c r="A12924">
        <f>HYPERLINK("https://www.philgeps.gov.ph/GEPSNONPILOT/Tender/SplashBidNoticeAbstractUI.aspx?menuIndex=3&amp;refID=7041388&amp;Result=3","7041388")</f>
        <v>0</v>
      </c>
      <c r="B12924" t="s">
        <v>3292</v>
      </c>
      <c r="C12924" t="s">
        <v>15768</v>
      </c>
      <c r="D12924" t="s">
        <v>16626</v>
      </c>
      <c r="E12924" t="s">
        <v>27867</v>
      </c>
      <c r="F12924" t="s">
        <v>28669</v>
      </c>
      <c r="G12924" t="s">
        <v>28675</v>
      </c>
      <c r="H12924" t="s">
        <v>9998</v>
      </c>
      <c r="I12924" t="s">
        <v>28687</v>
      </c>
      <c r="J12924" t="s">
        <v>28924</v>
      </c>
      <c r="K12924" t="s">
        <v>37206</v>
      </c>
      <c r="M12924" t="s">
        <v>41124</v>
      </c>
      <c r="N12924" t="s">
        <v>41249</v>
      </c>
      <c r="O12924" t="s">
        <v>41250</v>
      </c>
      <c r="P12924">
        <v>0</v>
      </c>
      <c r="Q12924">
        <v>6</v>
      </c>
      <c r="R12924" t="s">
        <v>41271</v>
      </c>
      <c r="S12924" t="s">
        <v>42169</v>
      </c>
      <c r="T12924" t="s">
        <v>42838</v>
      </c>
      <c r="U12924" t="s">
        <v>53552</v>
      </c>
      <c r="W12924" t="s">
        <v>41124</v>
      </c>
      <c r="X12924" t="s">
        <v>41272</v>
      </c>
    </row>
    <row r="12925" spans="1:24">
      <c r="A12925">
        <f>HYPERLINK("https://www.philgeps.gov.ph/GEPSNONPILOT/Tender/SplashBidNoticeAbstractUI.aspx?menuIndex=3&amp;refID=7041377&amp;Result=3","7041377")</f>
        <v>0</v>
      </c>
      <c r="B12925" t="s">
        <v>2201</v>
      </c>
      <c r="C12925" t="s">
        <v>15769</v>
      </c>
      <c r="D12925" t="s">
        <v>16672</v>
      </c>
      <c r="E12925" t="s">
        <v>21706</v>
      </c>
      <c r="F12925" t="s">
        <v>28669</v>
      </c>
      <c r="G12925" t="s">
        <v>28675</v>
      </c>
      <c r="H12925" t="s">
        <v>9998</v>
      </c>
      <c r="I12925" t="s">
        <v>28687</v>
      </c>
      <c r="J12925" t="s">
        <v>29059</v>
      </c>
      <c r="K12925" t="s">
        <v>37205</v>
      </c>
      <c r="M12925" t="s">
        <v>39851</v>
      </c>
      <c r="N12925" t="s">
        <v>41249</v>
      </c>
      <c r="O12925" t="s">
        <v>41250</v>
      </c>
      <c r="P12925">
        <v>0</v>
      </c>
      <c r="Q12925">
        <v>4</v>
      </c>
      <c r="R12925" t="s">
        <v>41271</v>
      </c>
      <c r="S12925" t="s">
        <v>42169</v>
      </c>
      <c r="T12925" t="s">
        <v>42728</v>
      </c>
      <c r="U12925" t="s">
        <v>53540</v>
      </c>
      <c r="W12925" t="s">
        <v>39851</v>
      </c>
      <c r="X12925" t="s">
        <v>41272</v>
      </c>
    </row>
    <row r="12926" spans="1:24">
      <c r="A12926">
        <f>HYPERLINK("https://www.philgeps.gov.ph/GEPSNONPILOT/Tender/SplashBidNoticeAbstractUI.aspx?menuIndex=3&amp;refID=7041368&amp;Result=3","7041368")</f>
        <v>0</v>
      </c>
      <c r="B12926" t="s">
        <v>2201</v>
      </c>
      <c r="C12926" t="s">
        <v>15770</v>
      </c>
      <c r="D12926" t="s">
        <v>16672</v>
      </c>
      <c r="E12926" t="s">
        <v>21700</v>
      </c>
      <c r="F12926" t="s">
        <v>28669</v>
      </c>
      <c r="G12926" t="s">
        <v>28675</v>
      </c>
      <c r="H12926" t="s">
        <v>9998</v>
      </c>
      <c r="I12926" t="s">
        <v>28687</v>
      </c>
      <c r="J12926" t="s">
        <v>29059</v>
      </c>
      <c r="K12926" t="s">
        <v>37205</v>
      </c>
      <c r="M12926" t="s">
        <v>39851</v>
      </c>
      <c r="N12926" t="s">
        <v>41249</v>
      </c>
      <c r="O12926" t="s">
        <v>41250</v>
      </c>
      <c r="P12926">
        <v>0</v>
      </c>
      <c r="Q12926">
        <v>9</v>
      </c>
      <c r="R12926" t="s">
        <v>41271</v>
      </c>
      <c r="S12926" t="s">
        <v>42169</v>
      </c>
      <c r="T12926" t="s">
        <v>42728</v>
      </c>
      <c r="U12926" t="s">
        <v>53540</v>
      </c>
      <c r="W12926" t="s">
        <v>39851</v>
      </c>
      <c r="X12926" t="s">
        <v>41272</v>
      </c>
    </row>
    <row r="12927" spans="1:24">
      <c r="A12927">
        <f>HYPERLINK("https://www.philgeps.gov.ph/GEPSNONPILOT/Tender/SplashBidNoticeAbstractUI.aspx?menuIndex=3&amp;refID=7041367&amp;Result=3","7041367")</f>
        <v>0</v>
      </c>
      <c r="B12927" t="s">
        <v>3292</v>
      </c>
      <c r="C12927" t="s">
        <v>15771</v>
      </c>
      <c r="D12927" t="s">
        <v>16626</v>
      </c>
      <c r="E12927" t="s">
        <v>27868</v>
      </c>
      <c r="F12927" t="s">
        <v>28669</v>
      </c>
      <c r="G12927" t="s">
        <v>28675</v>
      </c>
      <c r="H12927" t="s">
        <v>9998</v>
      </c>
      <c r="I12927" t="s">
        <v>28687</v>
      </c>
      <c r="J12927" t="s">
        <v>28836</v>
      </c>
      <c r="K12927" t="s">
        <v>37206</v>
      </c>
      <c r="M12927" t="s">
        <v>41124</v>
      </c>
      <c r="N12927" t="s">
        <v>41249</v>
      </c>
      <c r="O12927" t="s">
        <v>41250</v>
      </c>
      <c r="P12927">
        <v>0</v>
      </c>
      <c r="Q12927">
        <v>2</v>
      </c>
      <c r="R12927" t="s">
        <v>41271</v>
      </c>
      <c r="S12927" t="s">
        <v>42169</v>
      </c>
      <c r="T12927" t="s">
        <v>42838</v>
      </c>
      <c r="U12927" t="s">
        <v>53553</v>
      </c>
      <c r="W12927" t="s">
        <v>41124</v>
      </c>
      <c r="X12927" t="s">
        <v>41272</v>
      </c>
    </row>
    <row r="12928" spans="1:24">
      <c r="A12928">
        <f>HYPERLINK("https://www.philgeps.gov.ph/GEPSNONPILOT/Tender/SplashBidNoticeAbstractUI.aspx?menuIndex=3&amp;refID=7041365&amp;Result=3","7041365")</f>
        <v>0</v>
      </c>
      <c r="B12928" t="s">
        <v>3295</v>
      </c>
      <c r="C12928" t="s">
        <v>15772</v>
      </c>
      <c r="D12928" t="s">
        <v>16637</v>
      </c>
      <c r="E12928" t="s">
        <v>6569</v>
      </c>
      <c r="F12928" t="s">
        <v>28669</v>
      </c>
      <c r="G12928" t="s">
        <v>28675</v>
      </c>
      <c r="H12928" t="s">
        <v>9998</v>
      </c>
      <c r="I12928" t="s">
        <v>7352</v>
      </c>
      <c r="J12928" t="s">
        <v>36727</v>
      </c>
      <c r="K12928" t="s">
        <v>37205</v>
      </c>
      <c r="M12928" t="s">
        <v>41127</v>
      </c>
      <c r="N12928" t="s">
        <v>41249</v>
      </c>
      <c r="O12928" t="s">
        <v>41250</v>
      </c>
      <c r="P12928">
        <v>0</v>
      </c>
      <c r="Q12928">
        <v>1</v>
      </c>
      <c r="R12928" t="s">
        <v>41271</v>
      </c>
      <c r="S12928" t="s">
        <v>42169</v>
      </c>
      <c r="T12928" t="s">
        <v>42711</v>
      </c>
      <c r="U12928" t="s">
        <v>53554</v>
      </c>
      <c r="W12928" t="s">
        <v>41127</v>
      </c>
      <c r="X12928" t="s">
        <v>41272</v>
      </c>
    </row>
    <row r="12929" spans="1:24">
      <c r="A12929">
        <f>HYPERLINK("https://www.philgeps.gov.ph/GEPSNONPILOT/Tender/SplashBidNoticeAbstractUI.aspx?menuIndex=3&amp;refID=7041354&amp;Result=3","7041354")</f>
        <v>0</v>
      </c>
      <c r="B12929" t="s">
        <v>3292</v>
      </c>
      <c r="C12929" t="s">
        <v>15773</v>
      </c>
      <c r="D12929" t="s">
        <v>16626</v>
      </c>
      <c r="E12929" t="s">
        <v>27869</v>
      </c>
      <c r="F12929" t="s">
        <v>28669</v>
      </c>
      <c r="G12929" t="s">
        <v>28675</v>
      </c>
      <c r="H12929" t="s">
        <v>9998</v>
      </c>
      <c r="I12929" t="s">
        <v>28687</v>
      </c>
      <c r="J12929" t="s">
        <v>29112</v>
      </c>
      <c r="K12929" t="s">
        <v>37206</v>
      </c>
      <c r="M12929" t="s">
        <v>41124</v>
      </c>
      <c r="N12929" t="s">
        <v>41249</v>
      </c>
      <c r="O12929" t="s">
        <v>41250</v>
      </c>
      <c r="P12929">
        <v>0</v>
      </c>
      <c r="Q12929">
        <v>2</v>
      </c>
      <c r="R12929" t="s">
        <v>41271</v>
      </c>
      <c r="S12929" t="s">
        <v>42169</v>
      </c>
      <c r="T12929" t="s">
        <v>42838</v>
      </c>
      <c r="U12929" t="s">
        <v>53555</v>
      </c>
      <c r="W12929" t="s">
        <v>41124</v>
      </c>
      <c r="X12929" t="s">
        <v>41272</v>
      </c>
    </row>
    <row r="12930" spans="1:24">
      <c r="A12930">
        <f>HYPERLINK("https://www.philgeps.gov.ph/GEPSNONPILOT/Tender/SplashBidNoticeAbstractUI.aspx?menuIndex=3&amp;refID=7041454&amp;Result=3","7041454")</f>
        <v>0</v>
      </c>
      <c r="B12930" t="s">
        <v>1458</v>
      </c>
      <c r="C12930" t="s">
        <v>15774</v>
      </c>
      <c r="D12930" t="s">
        <v>16627</v>
      </c>
      <c r="E12930" t="s">
        <v>27870</v>
      </c>
      <c r="F12930" t="s">
        <v>28669</v>
      </c>
      <c r="G12930" t="s">
        <v>28675</v>
      </c>
      <c r="H12930" t="s">
        <v>9998</v>
      </c>
      <c r="I12930" t="s">
        <v>28704</v>
      </c>
      <c r="J12930" t="s">
        <v>30377</v>
      </c>
      <c r="K12930" t="s">
        <v>37206</v>
      </c>
      <c r="M12930" t="s">
        <v>39024</v>
      </c>
      <c r="N12930" t="s">
        <v>41249</v>
      </c>
      <c r="O12930" t="s">
        <v>41250</v>
      </c>
      <c r="P12930">
        <v>0</v>
      </c>
      <c r="Q12930">
        <v>9</v>
      </c>
      <c r="R12930" t="s">
        <v>41271</v>
      </c>
      <c r="S12930" t="s">
        <v>42169</v>
      </c>
      <c r="T12930" t="s">
        <v>42728</v>
      </c>
      <c r="U12930" t="s">
        <v>53535</v>
      </c>
      <c r="W12930" t="s">
        <v>39024</v>
      </c>
      <c r="X12930" t="s">
        <v>41272</v>
      </c>
    </row>
    <row r="12931" spans="1:24">
      <c r="A12931">
        <f>HYPERLINK("https://www.philgeps.gov.ph/GEPSNONPILOT/Tender/SplashBidNoticeAbstractUI.aspx?menuIndex=3&amp;refID=7041777&amp;Result=3","7041777")</f>
        <v>0</v>
      </c>
      <c r="B12931" t="s">
        <v>3038</v>
      </c>
      <c r="C12931" t="s">
        <v>15775</v>
      </c>
      <c r="D12931" t="s">
        <v>16624</v>
      </c>
      <c r="E12931" t="s">
        <v>27871</v>
      </c>
      <c r="F12931" t="s">
        <v>28669</v>
      </c>
      <c r="G12931" t="s">
        <v>28675</v>
      </c>
      <c r="H12931" t="s">
        <v>28686</v>
      </c>
      <c r="I12931" t="s">
        <v>28689</v>
      </c>
      <c r="J12931" t="s">
        <v>29059</v>
      </c>
      <c r="K12931" t="s">
        <v>37213</v>
      </c>
      <c r="M12931" t="s">
        <v>40811</v>
      </c>
      <c r="N12931" t="s">
        <v>41249</v>
      </c>
      <c r="O12931" t="s">
        <v>41250</v>
      </c>
      <c r="P12931">
        <v>0</v>
      </c>
      <c r="Q12931">
        <v>3</v>
      </c>
      <c r="R12931" t="s">
        <v>41271</v>
      </c>
      <c r="S12931" t="s">
        <v>42169</v>
      </c>
      <c r="T12931" t="s">
        <v>42913</v>
      </c>
      <c r="U12931" t="s">
        <v>53556</v>
      </c>
      <c r="W12931" t="s">
        <v>40811</v>
      </c>
      <c r="X12931" t="s">
        <v>41272</v>
      </c>
    </row>
    <row r="12932" spans="1:24">
      <c r="A12932">
        <f>HYPERLINK("https://www.philgeps.gov.ph/GEPSNONPILOT/Tender/SplashBidNoticeAbstractUI.aspx?menuIndex=3&amp;refID=7041984&amp;Result=3","7041984")</f>
        <v>0</v>
      </c>
      <c r="B12932" t="s">
        <v>3038</v>
      </c>
      <c r="C12932" t="s">
        <v>15776</v>
      </c>
      <c r="D12932" t="s">
        <v>16624</v>
      </c>
      <c r="E12932" t="s">
        <v>27872</v>
      </c>
      <c r="F12932" t="s">
        <v>28669</v>
      </c>
      <c r="G12932" t="s">
        <v>28675</v>
      </c>
      <c r="H12932" t="s">
        <v>9998</v>
      </c>
      <c r="I12932" t="s">
        <v>28687</v>
      </c>
      <c r="J12932" t="s">
        <v>32073</v>
      </c>
      <c r="K12932" t="s">
        <v>37206</v>
      </c>
      <c r="M12932" t="s">
        <v>40811</v>
      </c>
      <c r="N12932" t="s">
        <v>41249</v>
      </c>
      <c r="O12932" t="s">
        <v>41250</v>
      </c>
      <c r="P12932">
        <v>0</v>
      </c>
      <c r="Q12932">
        <v>7</v>
      </c>
      <c r="R12932" t="s">
        <v>41271</v>
      </c>
      <c r="S12932" t="s">
        <v>42169</v>
      </c>
      <c r="T12932" t="s">
        <v>42743</v>
      </c>
      <c r="U12932" t="s">
        <v>53557</v>
      </c>
      <c r="W12932" t="s">
        <v>40811</v>
      </c>
      <c r="X12932" t="s">
        <v>41272</v>
      </c>
    </row>
    <row r="12933" spans="1:24">
      <c r="A12933">
        <f>HYPERLINK("https://www.philgeps.gov.ph/GEPSNONPILOT/Tender/SplashBidNoticeAbstractUI.aspx?menuIndex=3&amp;refID=7037598&amp;Result=3","7037598")</f>
        <v>0</v>
      </c>
      <c r="B12933" t="s">
        <v>1472</v>
      </c>
      <c r="C12933" t="s">
        <v>15777</v>
      </c>
      <c r="D12933" t="s">
        <v>16630</v>
      </c>
      <c r="E12933" t="s">
        <v>27873</v>
      </c>
      <c r="F12933" t="s">
        <v>28669</v>
      </c>
      <c r="G12933" t="s">
        <v>28675</v>
      </c>
      <c r="H12933" t="s">
        <v>28686</v>
      </c>
      <c r="I12933" t="s">
        <v>28689</v>
      </c>
      <c r="J12933" t="s">
        <v>28850</v>
      </c>
      <c r="K12933" t="s">
        <v>37382</v>
      </c>
      <c r="M12933" t="s">
        <v>39040</v>
      </c>
      <c r="N12933" t="s">
        <v>41249</v>
      </c>
      <c r="O12933" t="s">
        <v>41250</v>
      </c>
      <c r="P12933">
        <v>0</v>
      </c>
      <c r="Q12933">
        <v>1</v>
      </c>
      <c r="R12933" t="s">
        <v>41271</v>
      </c>
      <c r="S12933" t="s">
        <v>42169</v>
      </c>
      <c r="T12933" t="s">
        <v>42857</v>
      </c>
      <c r="U12933" t="s">
        <v>53558</v>
      </c>
      <c r="W12933" t="s">
        <v>39040</v>
      </c>
      <c r="X12933" t="s">
        <v>41274</v>
      </c>
    </row>
    <row r="12934" spans="1:24">
      <c r="A12934">
        <f>HYPERLINK("https://www.philgeps.gov.ph/GEPSNONPILOT/Tender/SplashBidNoticeAbstractUI.aspx?menuIndex=3&amp;refID=7040946&amp;Result=3","7040946")</f>
        <v>0</v>
      </c>
      <c r="B12934" t="s">
        <v>3296</v>
      </c>
      <c r="C12934" t="s">
        <v>15778</v>
      </c>
      <c r="D12934" t="s">
        <v>16611</v>
      </c>
      <c r="E12934" t="s">
        <v>17296</v>
      </c>
      <c r="F12934" t="s">
        <v>28669</v>
      </c>
      <c r="G12934" t="s">
        <v>28675</v>
      </c>
      <c r="H12934" t="s">
        <v>9998</v>
      </c>
      <c r="I12934" t="s">
        <v>28687</v>
      </c>
      <c r="J12934" t="s">
        <v>30377</v>
      </c>
      <c r="K12934" t="s">
        <v>37205</v>
      </c>
      <c r="M12934" t="s">
        <v>41128</v>
      </c>
      <c r="N12934" t="s">
        <v>41249</v>
      </c>
      <c r="O12934" t="s">
        <v>41250</v>
      </c>
      <c r="Q12934">
        <v>3</v>
      </c>
      <c r="R12934" t="s">
        <v>41271</v>
      </c>
      <c r="S12934" t="s">
        <v>42178</v>
      </c>
      <c r="T12934" t="s">
        <v>42903</v>
      </c>
      <c r="U12934" t="s">
        <v>53559</v>
      </c>
      <c r="V12934" t="s">
        <v>55799</v>
      </c>
      <c r="W12934" t="s">
        <v>41128</v>
      </c>
      <c r="X12934" t="s">
        <v>41273</v>
      </c>
    </row>
    <row r="12935" spans="1:24">
      <c r="A12935">
        <f>HYPERLINK("https://www.philgeps.gov.ph/GEPSNONPILOT/Tender/SplashBidNoticeAbstractUI.aspx?menuIndex=3&amp;refID=7041546&amp;Result=3","7041546")</f>
        <v>0</v>
      </c>
      <c r="B12935" t="s">
        <v>3297</v>
      </c>
      <c r="C12935" t="s">
        <v>15779</v>
      </c>
      <c r="E12935" t="s">
        <v>27874</v>
      </c>
      <c r="F12935" t="s">
        <v>28669</v>
      </c>
      <c r="G12935" t="s">
        <v>28679</v>
      </c>
      <c r="H12935" t="s">
        <v>9998</v>
      </c>
      <c r="I12935" t="s">
        <v>28723</v>
      </c>
      <c r="J12935" t="s">
        <v>36728</v>
      </c>
      <c r="K12935" t="s">
        <v>37209</v>
      </c>
      <c r="M12935" t="s">
        <v>41129</v>
      </c>
      <c r="N12935" t="s">
        <v>41249</v>
      </c>
      <c r="O12935" t="s">
        <v>41250</v>
      </c>
      <c r="Q12935">
        <v>6</v>
      </c>
      <c r="R12935" t="s">
        <v>41271</v>
      </c>
      <c r="S12935" t="s">
        <v>42179</v>
      </c>
      <c r="T12935" t="s">
        <v>42914</v>
      </c>
      <c r="U12935" t="s">
        <v>53560</v>
      </c>
      <c r="W12935" t="s">
        <v>41129</v>
      </c>
      <c r="X12935" t="s">
        <v>41272</v>
      </c>
    </row>
    <row r="12936" spans="1:24">
      <c r="A12936">
        <f>HYPERLINK("https://www.philgeps.gov.ph/GEPSNONPILOT/Tender/SplashBidNoticeAbstractUI.aspx?menuIndex=3&amp;refID=7041952&amp;Result=3","7041952")</f>
        <v>0</v>
      </c>
      <c r="B12936" t="s">
        <v>1148</v>
      </c>
      <c r="C12936" t="s">
        <v>15780</v>
      </c>
      <c r="E12936" t="s">
        <v>27875</v>
      </c>
      <c r="F12936" t="s">
        <v>28669</v>
      </c>
      <c r="G12936" t="s">
        <v>28675</v>
      </c>
      <c r="H12936" t="s">
        <v>28686</v>
      </c>
      <c r="I12936" t="s">
        <v>28689</v>
      </c>
      <c r="J12936" t="s">
        <v>31648</v>
      </c>
      <c r="K12936" t="s">
        <v>37209</v>
      </c>
      <c r="M12936" t="s">
        <v>38684</v>
      </c>
      <c r="N12936" t="s">
        <v>41249</v>
      </c>
      <c r="O12936" t="s">
        <v>41250</v>
      </c>
      <c r="P12936">
        <v>0</v>
      </c>
      <c r="Q12936">
        <v>0</v>
      </c>
      <c r="R12936" t="s">
        <v>41271</v>
      </c>
      <c r="S12936" t="s">
        <v>42169</v>
      </c>
      <c r="T12936" t="s">
        <v>42671</v>
      </c>
      <c r="U12936" t="s">
        <v>45549</v>
      </c>
      <c r="W12936" t="s">
        <v>38684</v>
      </c>
      <c r="X12936" t="s">
        <v>41272</v>
      </c>
    </row>
    <row r="12937" spans="1:24">
      <c r="A12937">
        <f>HYPERLINK("https://www.philgeps.gov.ph/GEPSNONPILOT/Tender/SplashBidNoticeAbstractUI.aspx?menuIndex=3&amp;refID=7041726&amp;Result=3","7041726")</f>
        <v>0</v>
      </c>
      <c r="B12937" t="s">
        <v>491</v>
      </c>
      <c r="C12937" t="s">
        <v>15781</v>
      </c>
      <c r="E12937" t="s">
        <v>27876</v>
      </c>
      <c r="F12937" t="s">
        <v>28669</v>
      </c>
      <c r="G12937" t="s">
        <v>28675</v>
      </c>
      <c r="H12937" t="s">
        <v>9998</v>
      </c>
      <c r="I12937" t="s">
        <v>28687</v>
      </c>
      <c r="J12937" t="s">
        <v>36729</v>
      </c>
      <c r="K12937" t="s">
        <v>37206</v>
      </c>
      <c r="M12937" t="s">
        <v>37979</v>
      </c>
      <c r="N12937" t="s">
        <v>41249</v>
      </c>
      <c r="O12937" t="s">
        <v>41250</v>
      </c>
      <c r="P12937">
        <v>0</v>
      </c>
      <c r="Q12937">
        <v>2</v>
      </c>
      <c r="R12937" t="s">
        <v>41271</v>
      </c>
      <c r="S12937" t="s">
        <v>42169</v>
      </c>
      <c r="T12937" t="s">
        <v>42728</v>
      </c>
      <c r="U12937" t="s">
        <v>53561</v>
      </c>
      <c r="V12937" t="s">
        <v>55800</v>
      </c>
      <c r="W12937" t="s">
        <v>37979</v>
      </c>
      <c r="X12937" t="s">
        <v>41272</v>
      </c>
    </row>
    <row r="12938" spans="1:24">
      <c r="A12938">
        <f>HYPERLINK("https://www.philgeps.gov.ph/GEPSNONPILOT/Tender/SplashBidNoticeAbstractUI.aspx?menuIndex=3&amp;refID=7041975&amp;Result=3","7041975")</f>
        <v>0</v>
      </c>
      <c r="B12938" t="s">
        <v>1148</v>
      </c>
      <c r="C12938" t="s">
        <v>15782</v>
      </c>
      <c r="E12938" t="s">
        <v>27877</v>
      </c>
      <c r="F12938" t="s">
        <v>28669</v>
      </c>
      <c r="G12938" t="s">
        <v>28675</v>
      </c>
      <c r="H12938" t="s">
        <v>28686</v>
      </c>
      <c r="I12938" t="s">
        <v>28689</v>
      </c>
      <c r="J12938" t="s">
        <v>31648</v>
      </c>
      <c r="K12938" t="s">
        <v>37209</v>
      </c>
      <c r="M12938" t="s">
        <v>38684</v>
      </c>
      <c r="N12938" t="s">
        <v>41249</v>
      </c>
      <c r="O12938" t="s">
        <v>41250</v>
      </c>
      <c r="P12938">
        <v>0</v>
      </c>
      <c r="Q12938">
        <v>0</v>
      </c>
      <c r="R12938" t="s">
        <v>41271</v>
      </c>
      <c r="S12938" t="s">
        <v>42169</v>
      </c>
      <c r="T12938" t="s">
        <v>42671</v>
      </c>
      <c r="U12938" t="s">
        <v>45549</v>
      </c>
      <c r="W12938" t="s">
        <v>38684</v>
      </c>
      <c r="X12938" t="s">
        <v>41272</v>
      </c>
    </row>
    <row r="12939" spans="1:24">
      <c r="A12939">
        <f>HYPERLINK("https://www.philgeps.gov.ph/GEPSNONPILOT/Tender/SplashBidNoticeAbstractUI.aspx?menuIndex=3&amp;refID=7041966&amp;Result=3","7041966")</f>
        <v>0</v>
      </c>
      <c r="B12939" t="s">
        <v>207</v>
      </c>
      <c r="C12939" t="s">
        <v>15783</v>
      </c>
      <c r="D12939" t="s">
        <v>16625</v>
      </c>
      <c r="E12939" t="s">
        <v>27878</v>
      </c>
      <c r="F12939" t="s">
        <v>28669</v>
      </c>
      <c r="G12939" t="s">
        <v>28675</v>
      </c>
      <c r="H12939" t="s">
        <v>9998</v>
      </c>
      <c r="I12939" t="s">
        <v>11593</v>
      </c>
      <c r="J12939" t="s">
        <v>30854</v>
      </c>
      <c r="K12939" t="s">
        <v>37206</v>
      </c>
      <c r="M12939" t="s">
        <v>37995</v>
      </c>
      <c r="N12939" t="s">
        <v>41249</v>
      </c>
      <c r="O12939" t="s">
        <v>41250</v>
      </c>
      <c r="Q12939">
        <v>5</v>
      </c>
      <c r="R12939" t="s">
        <v>41271</v>
      </c>
      <c r="S12939" t="s">
        <v>42180</v>
      </c>
      <c r="T12939" t="s">
        <v>42738</v>
      </c>
      <c r="U12939" t="s">
        <v>53562</v>
      </c>
      <c r="V12939" t="s">
        <v>55801</v>
      </c>
      <c r="W12939" t="s">
        <v>37995</v>
      </c>
      <c r="X12939" t="s">
        <v>41272</v>
      </c>
    </row>
    <row r="12940" spans="1:24">
      <c r="A12940">
        <f>HYPERLINK("https://www.philgeps.gov.ph/GEPSNONPILOT/Tender/SplashBidNoticeAbstractUI.aspx?menuIndex=3&amp;refID=7041882&amp;Result=3","7041882")</f>
        <v>0</v>
      </c>
      <c r="B12940" t="s">
        <v>3298</v>
      </c>
      <c r="C12940" t="s">
        <v>15784</v>
      </c>
      <c r="D12940" t="s">
        <v>16615</v>
      </c>
      <c r="E12940" t="s">
        <v>27879</v>
      </c>
      <c r="F12940" t="s">
        <v>28669</v>
      </c>
      <c r="G12940" t="s">
        <v>28675</v>
      </c>
      <c r="H12940" t="s">
        <v>28686</v>
      </c>
      <c r="I12940" t="s">
        <v>28689</v>
      </c>
      <c r="J12940" t="s">
        <v>28914</v>
      </c>
      <c r="K12940" t="s">
        <v>37220</v>
      </c>
      <c r="M12940" t="s">
        <v>41130</v>
      </c>
      <c r="N12940" t="s">
        <v>41249</v>
      </c>
      <c r="O12940" t="s">
        <v>41250</v>
      </c>
      <c r="P12940">
        <v>0</v>
      </c>
      <c r="Q12940">
        <v>33</v>
      </c>
      <c r="R12940" t="s">
        <v>41271</v>
      </c>
      <c r="S12940" t="s">
        <v>42169</v>
      </c>
      <c r="T12940" t="s">
        <v>42736</v>
      </c>
      <c r="U12940" t="s">
        <v>53563</v>
      </c>
      <c r="V12940" t="s">
        <v>55802</v>
      </c>
      <c r="W12940" t="s">
        <v>41130</v>
      </c>
      <c r="X12940" t="s">
        <v>41272</v>
      </c>
    </row>
    <row r="12941" spans="1:24">
      <c r="A12941">
        <f>HYPERLINK("https://www.philgeps.gov.ph/GEPSNONPILOT/Tender/SplashBidNoticeAbstractUI.aspx?menuIndex=3&amp;refID=7041713&amp;Result=3","7041713")</f>
        <v>0</v>
      </c>
      <c r="B12941" t="s">
        <v>1148</v>
      </c>
      <c r="C12941" t="s">
        <v>15760</v>
      </c>
      <c r="E12941" t="s">
        <v>27880</v>
      </c>
      <c r="F12941" t="s">
        <v>28669</v>
      </c>
      <c r="G12941" t="s">
        <v>28675</v>
      </c>
      <c r="H12941" t="s">
        <v>28685</v>
      </c>
      <c r="I12941" t="s">
        <v>28685</v>
      </c>
      <c r="J12941" t="s">
        <v>36730</v>
      </c>
      <c r="K12941" t="s">
        <v>37209</v>
      </c>
      <c r="M12941" t="s">
        <v>38684</v>
      </c>
      <c r="N12941" t="s">
        <v>41249</v>
      </c>
      <c r="O12941" t="s">
        <v>41250</v>
      </c>
      <c r="P12941">
        <v>0</v>
      </c>
      <c r="Q12941">
        <v>5</v>
      </c>
      <c r="R12941" t="s">
        <v>41271</v>
      </c>
      <c r="S12941" t="s">
        <v>42169</v>
      </c>
      <c r="T12941" t="s">
        <v>42671</v>
      </c>
      <c r="U12941" t="s">
        <v>53564</v>
      </c>
      <c r="W12941" t="s">
        <v>38684</v>
      </c>
      <c r="X12941" t="s">
        <v>41272</v>
      </c>
    </row>
    <row r="12942" spans="1:24">
      <c r="A12942">
        <f>HYPERLINK("https://www.philgeps.gov.ph/GEPSNONPILOT/Tender/SplashBidNoticeAbstractUI.aspx?menuIndex=3&amp;refID=7042020&amp;Result=3","7042020")</f>
        <v>0</v>
      </c>
      <c r="B12942" t="s">
        <v>1148</v>
      </c>
      <c r="C12942" t="s">
        <v>15785</v>
      </c>
      <c r="E12942" t="s">
        <v>27881</v>
      </c>
      <c r="F12942" t="s">
        <v>28669</v>
      </c>
      <c r="G12942" t="s">
        <v>28675</v>
      </c>
      <c r="H12942" t="s">
        <v>28686</v>
      </c>
      <c r="I12942" t="s">
        <v>28689</v>
      </c>
      <c r="J12942" t="s">
        <v>29053</v>
      </c>
      <c r="K12942" t="s">
        <v>37209</v>
      </c>
      <c r="M12942" t="s">
        <v>38684</v>
      </c>
      <c r="N12942" t="s">
        <v>41249</v>
      </c>
      <c r="O12942" t="s">
        <v>41250</v>
      </c>
      <c r="P12942">
        <v>0</v>
      </c>
      <c r="Q12942">
        <v>0</v>
      </c>
      <c r="R12942" t="s">
        <v>41271</v>
      </c>
      <c r="S12942" t="s">
        <v>42169</v>
      </c>
      <c r="T12942" t="s">
        <v>42671</v>
      </c>
      <c r="U12942" t="s">
        <v>45549</v>
      </c>
      <c r="W12942" t="s">
        <v>38684</v>
      </c>
      <c r="X12942" t="s">
        <v>41272</v>
      </c>
    </row>
    <row r="12943" spans="1:24">
      <c r="A12943">
        <f>HYPERLINK("https://www.philgeps.gov.ph/GEPSNONPILOT/Tender/SplashBidNoticeAbstractUI.aspx?menuIndex=3&amp;refID=7041893&amp;Result=3","7041893")</f>
        <v>0</v>
      </c>
      <c r="B12943" t="s">
        <v>3299</v>
      </c>
      <c r="C12943" t="s">
        <v>15786</v>
      </c>
      <c r="D12943" t="s">
        <v>16608</v>
      </c>
      <c r="E12943" t="s">
        <v>27882</v>
      </c>
      <c r="F12943" t="s">
        <v>28669</v>
      </c>
      <c r="G12943" t="s">
        <v>28675</v>
      </c>
      <c r="H12943" t="s">
        <v>9998</v>
      </c>
      <c r="I12943" t="s">
        <v>28690</v>
      </c>
      <c r="J12943" t="s">
        <v>36731</v>
      </c>
      <c r="K12943" t="s">
        <v>37204</v>
      </c>
      <c r="M12943" t="s">
        <v>41131</v>
      </c>
      <c r="N12943" t="s">
        <v>41249</v>
      </c>
      <c r="O12943" t="s">
        <v>41250</v>
      </c>
      <c r="Q12943">
        <v>5</v>
      </c>
      <c r="R12943" t="s">
        <v>41271</v>
      </c>
      <c r="S12943" t="s">
        <v>42118</v>
      </c>
      <c r="T12943" t="s">
        <v>42690</v>
      </c>
      <c r="U12943" t="s">
        <v>53565</v>
      </c>
      <c r="W12943" t="s">
        <v>41131</v>
      </c>
      <c r="X12943" t="s">
        <v>41272</v>
      </c>
    </row>
    <row r="12944" spans="1:24">
      <c r="A12944">
        <f>HYPERLINK("https://www.philgeps.gov.ph/GEPSNONPILOT/Tender/SplashBidNoticeAbstractUI.aspx?menuIndex=3&amp;refID=7041833&amp;Result=3","7041833")</f>
        <v>0</v>
      </c>
      <c r="B12944" t="s">
        <v>3298</v>
      </c>
      <c r="C12944" t="s">
        <v>15784</v>
      </c>
      <c r="D12944" t="s">
        <v>16615</v>
      </c>
      <c r="E12944" t="s">
        <v>27883</v>
      </c>
      <c r="F12944" t="s">
        <v>28669</v>
      </c>
      <c r="G12944" t="s">
        <v>28675</v>
      </c>
      <c r="H12944" t="s">
        <v>28686</v>
      </c>
      <c r="I12944" t="s">
        <v>28689</v>
      </c>
      <c r="J12944" t="s">
        <v>36732</v>
      </c>
      <c r="K12944" t="s">
        <v>37481</v>
      </c>
      <c r="M12944" t="s">
        <v>41130</v>
      </c>
      <c r="N12944" t="s">
        <v>41249</v>
      </c>
      <c r="O12944" t="s">
        <v>41250</v>
      </c>
      <c r="P12944">
        <v>0</v>
      </c>
      <c r="Q12944">
        <v>74</v>
      </c>
      <c r="R12944" t="s">
        <v>41271</v>
      </c>
      <c r="S12944" t="s">
        <v>42169</v>
      </c>
      <c r="T12944" t="s">
        <v>42736</v>
      </c>
      <c r="U12944" t="s">
        <v>53566</v>
      </c>
      <c r="V12944" t="s">
        <v>55802</v>
      </c>
      <c r="W12944" t="s">
        <v>41130</v>
      </c>
      <c r="X12944" t="s">
        <v>41272</v>
      </c>
    </row>
    <row r="12945" spans="1:24">
      <c r="A12945">
        <f>HYPERLINK("https://www.philgeps.gov.ph/GEPSNONPILOT/Tender/SplashBidNoticeAbstractUI.aspx?menuIndex=3&amp;refID=7041997&amp;Result=3","7041997")</f>
        <v>0</v>
      </c>
      <c r="B12945" t="s">
        <v>1148</v>
      </c>
      <c r="C12945" t="s">
        <v>15787</v>
      </c>
      <c r="E12945" t="s">
        <v>27884</v>
      </c>
      <c r="F12945" t="s">
        <v>28669</v>
      </c>
      <c r="G12945" t="s">
        <v>28675</v>
      </c>
      <c r="H12945" t="s">
        <v>28686</v>
      </c>
      <c r="I12945" t="s">
        <v>28689</v>
      </c>
      <c r="J12945" t="s">
        <v>29053</v>
      </c>
      <c r="K12945" t="s">
        <v>37209</v>
      </c>
      <c r="M12945" t="s">
        <v>38684</v>
      </c>
      <c r="N12945" t="s">
        <v>41249</v>
      </c>
      <c r="O12945" t="s">
        <v>41250</v>
      </c>
      <c r="P12945">
        <v>0</v>
      </c>
      <c r="Q12945">
        <v>0</v>
      </c>
      <c r="R12945" t="s">
        <v>41271</v>
      </c>
      <c r="S12945" t="s">
        <v>42169</v>
      </c>
      <c r="T12945" t="s">
        <v>42671</v>
      </c>
      <c r="U12945" t="s">
        <v>45549</v>
      </c>
      <c r="W12945" t="s">
        <v>38684</v>
      </c>
      <c r="X12945" t="s">
        <v>41272</v>
      </c>
    </row>
    <row r="12946" spans="1:24">
      <c r="A12946">
        <f>HYPERLINK("https://www.philgeps.gov.ph/GEPSNONPILOT/Tender/SplashBidNoticeAbstractUI.aspx?menuIndex=3&amp;refID=7041907&amp;Result=3","7041907")</f>
        <v>0</v>
      </c>
      <c r="B12946" t="s">
        <v>3300</v>
      </c>
      <c r="C12946" t="s">
        <v>15788</v>
      </c>
      <c r="E12946" t="s">
        <v>16820</v>
      </c>
      <c r="F12946" t="s">
        <v>28669</v>
      </c>
      <c r="G12946" t="s">
        <v>28675</v>
      </c>
      <c r="H12946" t="s">
        <v>28686</v>
      </c>
      <c r="I12946" t="s">
        <v>28689</v>
      </c>
      <c r="J12946" t="s">
        <v>36733</v>
      </c>
      <c r="K12946" t="s">
        <v>37209</v>
      </c>
      <c r="M12946" t="s">
        <v>41132</v>
      </c>
      <c r="N12946" t="s">
        <v>41249</v>
      </c>
      <c r="O12946" t="s">
        <v>41250</v>
      </c>
      <c r="P12946">
        <v>0</v>
      </c>
      <c r="Q12946">
        <v>1</v>
      </c>
      <c r="R12946" t="s">
        <v>41271</v>
      </c>
      <c r="S12946" t="s">
        <v>42169</v>
      </c>
      <c r="T12946" t="s">
        <v>42767</v>
      </c>
      <c r="U12946" t="s">
        <v>53567</v>
      </c>
      <c r="W12946" t="s">
        <v>41132</v>
      </c>
      <c r="X12946" t="s">
        <v>41272</v>
      </c>
    </row>
    <row r="12947" spans="1:24">
      <c r="A12947">
        <f>HYPERLINK("https://www.philgeps.gov.ph/GEPSNONPILOT/Tender/SplashBidNoticeAbstractUI.aspx?menuIndex=3&amp;refID=7041990&amp;Result=3","7041990")</f>
        <v>0</v>
      </c>
      <c r="B12947" t="s">
        <v>207</v>
      </c>
      <c r="C12947" t="s">
        <v>15789</v>
      </c>
      <c r="D12947" t="s">
        <v>16625</v>
      </c>
      <c r="E12947" t="s">
        <v>27885</v>
      </c>
      <c r="F12947" t="s">
        <v>28669</v>
      </c>
      <c r="G12947" t="s">
        <v>28675</v>
      </c>
      <c r="H12947" t="s">
        <v>9998</v>
      </c>
      <c r="I12947" t="s">
        <v>11593</v>
      </c>
      <c r="J12947" t="s">
        <v>36734</v>
      </c>
      <c r="K12947" t="s">
        <v>37206</v>
      </c>
      <c r="M12947" t="s">
        <v>37995</v>
      </c>
      <c r="N12947" t="s">
        <v>41249</v>
      </c>
      <c r="O12947" t="s">
        <v>41250</v>
      </c>
      <c r="P12947">
        <v>0</v>
      </c>
      <c r="Q12947">
        <v>9</v>
      </c>
      <c r="R12947" t="s">
        <v>41271</v>
      </c>
      <c r="S12947" t="s">
        <v>42169</v>
      </c>
      <c r="T12947" t="s">
        <v>42738</v>
      </c>
      <c r="U12947" t="s">
        <v>53568</v>
      </c>
      <c r="V12947" t="s">
        <v>55803</v>
      </c>
      <c r="W12947" t="s">
        <v>37995</v>
      </c>
      <c r="X12947" t="s">
        <v>41272</v>
      </c>
    </row>
    <row r="12948" spans="1:24">
      <c r="A12948">
        <f>HYPERLINK("https://www.philgeps.gov.ph/GEPSNONPILOT/Tender/SplashBidNoticeAbstractUI.aspx?menuIndex=3&amp;refID=7041928&amp;Result=3","7041928")</f>
        <v>0</v>
      </c>
      <c r="B12948" t="s">
        <v>1148</v>
      </c>
      <c r="C12948" t="s">
        <v>15790</v>
      </c>
      <c r="E12948" t="s">
        <v>27886</v>
      </c>
      <c r="F12948" t="s">
        <v>28669</v>
      </c>
      <c r="G12948" t="s">
        <v>28675</v>
      </c>
      <c r="H12948" t="s">
        <v>28686</v>
      </c>
      <c r="I12948" t="s">
        <v>28689</v>
      </c>
      <c r="J12948" t="s">
        <v>28881</v>
      </c>
      <c r="K12948" t="s">
        <v>37209</v>
      </c>
      <c r="M12948" t="s">
        <v>38684</v>
      </c>
      <c r="N12948" t="s">
        <v>41249</v>
      </c>
      <c r="O12948" t="s">
        <v>41250</v>
      </c>
      <c r="P12948">
        <v>0</v>
      </c>
      <c r="Q12948">
        <v>0</v>
      </c>
      <c r="R12948" t="s">
        <v>41271</v>
      </c>
      <c r="S12948" t="s">
        <v>42169</v>
      </c>
      <c r="T12948" t="s">
        <v>42671</v>
      </c>
      <c r="U12948" t="s">
        <v>45549</v>
      </c>
      <c r="W12948" t="s">
        <v>38684</v>
      </c>
      <c r="X12948" t="s">
        <v>41272</v>
      </c>
    </row>
    <row r="12949" spans="1:24">
      <c r="A12949">
        <f>HYPERLINK("https://www.philgeps.gov.ph/GEPSNONPILOT/Tender/SplashBidNoticeAbstractUI.aspx?menuIndex=3&amp;refID=7041687&amp;Result=3","7041687")</f>
        <v>0</v>
      </c>
      <c r="B12949" t="s">
        <v>3301</v>
      </c>
      <c r="C12949" t="s">
        <v>15791</v>
      </c>
      <c r="E12949" t="s">
        <v>27887</v>
      </c>
      <c r="F12949" t="s">
        <v>28669</v>
      </c>
      <c r="G12949" t="s">
        <v>28675</v>
      </c>
      <c r="H12949" t="s">
        <v>9998</v>
      </c>
      <c r="I12949" t="s">
        <v>28704</v>
      </c>
      <c r="J12949" t="s">
        <v>31461</v>
      </c>
      <c r="K12949" t="s">
        <v>37209</v>
      </c>
      <c r="M12949" t="s">
        <v>41133</v>
      </c>
      <c r="N12949" t="s">
        <v>41249</v>
      </c>
      <c r="O12949" t="s">
        <v>41250</v>
      </c>
      <c r="Q12949">
        <v>17</v>
      </c>
      <c r="R12949" t="s">
        <v>41271</v>
      </c>
      <c r="S12949" t="s">
        <v>41885</v>
      </c>
      <c r="T12949" t="s">
        <v>42674</v>
      </c>
      <c r="U12949" t="s">
        <v>53569</v>
      </c>
      <c r="W12949" t="s">
        <v>56033</v>
      </c>
      <c r="X12949" t="s">
        <v>41272</v>
      </c>
    </row>
    <row r="12950" spans="1:24">
      <c r="A12950">
        <f>HYPERLINK("https://www.philgeps.gov.ph/GEPSNONPILOT/Tender/SplashBidNoticeAbstractUI.aspx?menuIndex=3&amp;refID=7041985&amp;Result=3","7041985")</f>
        <v>0</v>
      </c>
      <c r="B12950" t="s">
        <v>3302</v>
      </c>
      <c r="C12950" t="s">
        <v>15792</v>
      </c>
      <c r="D12950" t="s">
        <v>16621</v>
      </c>
      <c r="E12950" t="s">
        <v>27888</v>
      </c>
      <c r="F12950" t="s">
        <v>28669</v>
      </c>
      <c r="G12950" t="s">
        <v>28675</v>
      </c>
      <c r="H12950" t="s">
        <v>9998</v>
      </c>
      <c r="I12950" t="s">
        <v>28688</v>
      </c>
      <c r="J12950" t="s">
        <v>28836</v>
      </c>
      <c r="K12950" t="s">
        <v>37206</v>
      </c>
      <c r="M12950" t="s">
        <v>41134</v>
      </c>
      <c r="N12950" t="s">
        <v>41249</v>
      </c>
      <c r="O12950" t="s">
        <v>41250</v>
      </c>
      <c r="P12950">
        <v>0</v>
      </c>
      <c r="Q12950">
        <v>10</v>
      </c>
      <c r="R12950" t="s">
        <v>41271</v>
      </c>
      <c r="S12950" t="s">
        <v>42169</v>
      </c>
      <c r="T12950" t="s">
        <v>42703</v>
      </c>
      <c r="U12950" t="s">
        <v>53570</v>
      </c>
      <c r="W12950" t="s">
        <v>41134</v>
      </c>
      <c r="X12950" t="s">
        <v>41272</v>
      </c>
    </row>
    <row r="12951" spans="1:24">
      <c r="A12951">
        <f>HYPERLINK("https://www.philgeps.gov.ph/GEPSNONPILOT/Tender/SplashBidNoticeAbstractUI.aspx?menuIndex=3&amp;refID=7042043&amp;Result=3","7042043")</f>
        <v>0</v>
      </c>
      <c r="B12951" t="s">
        <v>1148</v>
      </c>
      <c r="C12951" t="s">
        <v>15793</v>
      </c>
      <c r="E12951" t="s">
        <v>27889</v>
      </c>
      <c r="F12951" t="s">
        <v>28669</v>
      </c>
      <c r="G12951" t="s">
        <v>28675</v>
      </c>
      <c r="H12951" t="s">
        <v>28686</v>
      </c>
      <c r="I12951" t="s">
        <v>28689</v>
      </c>
      <c r="J12951" t="s">
        <v>34206</v>
      </c>
      <c r="K12951" t="s">
        <v>37209</v>
      </c>
      <c r="M12951" t="s">
        <v>38684</v>
      </c>
      <c r="N12951" t="s">
        <v>41249</v>
      </c>
      <c r="O12951" t="s">
        <v>41250</v>
      </c>
      <c r="P12951">
        <v>0</v>
      </c>
      <c r="Q12951">
        <v>0</v>
      </c>
      <c r="R12951" t="s">
        <v>41271</v>
      </c>
      <c r="S12951" t="s">
        <v>42169</v>
      </c>
      <c r="T12951" t="s">
        <v>42671</v>
      </c>
      <c r="U12951" t="s">
        <v>45549</v>
      </c>
      <c r="W12951" t="s">
        <v>38684</v>
      </c>
      <c r="X12951" t="s">
        <v>41272</v>
      </c>
    </row>
    <row r="12952" spans="1:24">
      <c r="A12952">
        <f>HYPERLINK("https://www.philgeps.gov.ph/GEPSNONPILOT/Tender/SplashBidNoticeAbstractUI.aspx?menuIndex=3&amp;refID=7042022&amp;Result=3","7042022")</f>
        <v>0</v>
      </c>
      <c r="B12952" t="s">
        <v>3303</v>
      </c>
      <c r="C12952" t="s">
        <v>9149</v>
      </c>
      <c r="D12952" t="s">
        <v>16622</v>
      </c>
      <c r="E12952" t="s">
        <v>19646</v>
      </c>
      <c r="F12952" t="s">
        <v>28669</v>
      </c>
      <c r="G12952" t="s">
        <v>28675</v>
      </c>
      <c r="H12952" t="s">
        <v>9998</v>
      </c>
      <c r="I12952" t="s">
        <v>28701</v>
      </c>
      <c r="J12952" t="s">
        <v>36735</v>
      </c>
      <c r="K12952" t="s">
        <v>37272</v>
      </c>
      <c r="M12952" t="s">
        <v>41135</v>
      </c>
      <c r="N12952" t="s">
        <v>41249</v>
      </c>
      <c r="O12952" t="s">
        <v>41250</v>
      </c>
      <c r="P12952">
        <v>0</v>
      </c>
      <c r="Q12952">
        <v>5</v>
      </c>
      <c r="R12952" t="s">
        <v>41271</v>
      </c>
      <c r="S12952" t="s">
        <v>42169</v>
      </c>
      <c r="T12952" t="s">
        <v>42727</v>
      </c>
      <c r="U12952" t="s">
        <v>53571</v>
      </c>
      <c r="V12952" t="s">
        <v>55804</v>
      </c>
      <c r="W12952" t="s">
        <v>41135</v>
      </c>
      <c r="X12952" t="s">
        <v>41272</v>
      </c>
    </row>
    <row r="12953" spans="1:24">
      <c r="A12953">
        <f>HYPERLINK("https://www.philgeps.gov.ph/GEPSNONPILOT/Tender/SplashBidNoticeAbstractUI.aspx?menuIndex=3&amp;refID=7042161&amp;Result=3","7042161")</f>
        <v>0</v>
      </c>
      <c r="B12953" t="s">
        <v>1148</v>
      </c>
      <c r="C12953" t="s">
        <v>15794</v>
      </c>
      <c r="E12953" t="s">
        <v>27890</v>
      </c>
      <c r="F12953" t="s">
        <v>28669</v>
      </c>
      <c r="G12953" t="s">
        <v>28675</v>
      </c>
      <c r="H12953" t="s">
        <v>28686</v>
      </c>
      <c r="I12953" t="s">
        <v>28689</v>
      </c>
      <c r="J12953" t="s">
        <v>36736</v>
      </c>
      <c r="K12953" t="s">
        <v>37209</v>
      </c>
      <c r="M12953" t="s">
        <v>38684</v>
      </c>
      <c r="N12953" t="s">
        <v>41249</v>
      </c>
      <c r="O12953" t="s">
        <v>41250</v>
      </c>
      <c r="P12953">
        <v>0</v>
      </c>
      <c r="Q12953">
        <v>0</v>
      </c>
      <c r="R12953" t="s">
        <v>41271</v>
      </c>
      <c r="S12953" t="s">
        <v>42169</v>
      </c>
      <c r="T12953" t="s">
        <v>42671</v>
      </c>
      <c r="U12953" t="s">
        <v>45549</v>
      </c>
      <c r="W12953" t="s">
        <v>38684</v>
      </c>
      <c r="X12953" t="s">
        <v>41272</v>
      </c>
    </row>
    <row r="12954" spans="1:24">
      <c r="A12954">
        <f>HYPERLINK("https://www.philgeps.gov.ph/GEPSNONPILOT/Tender/SplashBidNoticeAbstractUI.aspx?menuIndex=3&amp;refID=7042194&amp;Result=3","7042194")</f>
        <v>0</v>
      </c>
      <c r="B12954" t="s">
        <v>3304</v>
      </c>
      <c r="C12954" t="s">
        <v>15795</v>
      </c>
      <c r="D12954" t="s">
        <v>16608</v>
      </c>
      <c r="E12954" t="s">
        <v>27891</v>
      </c>
      <c r="F12954" t="s">
        <v>28669</v>
      </c>
      <c r="G12954" t="s">
        <v>28675</v>
      </c>
      <c r="H12954" t="s">
        <v>9998</v>
      </c>
      <c r="I12954" t="s">
        <v>28713</v>
      </c>
      <c r="J12954" t="s">
        <v>36737</v>
      </c>
      <c r="K12954" t="s">
        <v>37209</v>
      </c>
      <c r="L12954" t="s">
        <v>3304</v>
      </c>
      <c r="M12954" t="s">
        <v>41136</v>
      </c>
      <c r="N12954" t="s">
        <v>41249</v>
      </c>
      <c r="O12954" t="s">
        <v>41250</v>
      </c>
      <c r="Q12954">
        <v>19</v>
      </c>
      <c r="R12954" t="s">
        <v>41271</v>
      </c>
      <c r="S12954" t="s">
        <v>42181</v>
      </c>
      <c r="T12954" t="s">
        <v>42728</v>
      </c>
      <c r="U12954" t="s">
        <v>53572</v>
      </c>
      <c r="W12954" t="s">
        <v>41136</v>
      </c>
      <c r="X12954" t="s">
        <v>41272</v>
      </c>
    </row>
    <row r="12955" spans="1:24">
      <c r="A12955">
        <f>HYPERLINK("https://www.philgeps.gov.ph/GEPSNONPILOT/Tender/SplashBidNoticeAbstractUI.aspx?menuIndex=3&amp;refID=7042144&amp;Result=3","7042144")</f>
        <v>0</v>
      </c>
      <c r="B12955" t="s">
        <v>2230</v>
      </c>
      <c r="C12955" t="s">
        <v>15796</v>
      </c>
      <c r="D12955" t="s">
        <v>16647</v>
      </c>
      <c r="E12955" t="s">
        <v>23056</v>
      </c>
      <c r="F12955" t="s">
        <v>28669</v>
      </c>
      <c r="G12955" t="s">
        <v>28675</v>
      </c>
      <c r="H12955" t="s">
        <v>9998</v>
      </c>
      <c r="I12955" t="s">
        <v>28688</v>
      </c>
      <c r="J12955" t="s">
        <v>36738</v>
      </c>
      <c r="K12955" t="s">
        <v>37206</v>
      </c>
      <c r="M12955" t="s">
        <v>39883</v>
      </c>
      <c r="N12955" t="s">
        <v>41249</v>
      </c>
      <c r="O12955" t="s">
        <v>41250</v>
      </c>
      <c r="P12955">
        <v>0</v>
      </c>
      <c r="Q12955">
        <v>4</v>
      </c>
      <c r="R12955" t="s">
        <v>41271</v>
      </c>
      <c r="S12955" t="s">
        <v>42169</v>
      </c>
      <c r="T12955" t="s">
        <v>42673</v>
      </c>
      <c r="U12955" t="s">
        <v>53573</v>
      </c>
      <c r="W12955" t="s">
        <v>55983</v>
      </c>
      <c r="X12955" t="s">
        <v>41272</v>
      </c>
    </row>
    <row r="12956" spans="1:24">
      <c r="A12956">
        <f>HYPERLINK("https://www.philgeps.gov.ph/GEPSNONPILOT/Tender/SplashBidNoticeAbstractUI.aspx?menuIndex=3&amp;refID=7042100&amp;Result=3","7042100")</f>
        <v>0</v>
      </c>
      <c r="B12956" t="s">
        <v>1354</v>
      </c>
      <c r="C12956" t="s">
        <v>15797</v>
      </c>
      <c r="D12956" t="s">
        <v>16607</v>
      </c>
      <c r="E12956" t="s">
        <v>27892</v>
      </c>
      <c r="F12956" t="s">
        <v>28669</v>
      </c>
      <c r="G12956" t="s">
        <v>28675</v>
      </c>
      <c r="H12956" t="s">
        <v>28686</v>
      </c>
      <c r="I12956" t="s">
        <v>28689</v>
      </c>
      <c r="J12956" t="s">
        <v>36739</v>
      </c>
      <c r="K12956" t="s">
        <v>37277</v>
      </c>
      <c r="M12956" t="s">
        <v>38910</v>
      </c>
      <c r="N12956" t="s">
        <v>41249</v>
      </c>
      <c r="O12956" t="s">
        <v>41250</v>
      </c>
      <c r="P12956">
        <v>0</v>
      </c>
      <c r="Q12956">
        <v>21</v>
      </c>
      <c r="R12956" t="s">
        <v>41271</v>
      </c>
      <c r="S12956" t="s">
        <v>42169</v>
      </c>
      <c r="T12956" t="s">
        <v>42736</v>
      </c>
      <c r="U12956" t="s">
        <v>53574</v>
      </c>
      <c r="W12956" t="s">
        <v>38910</v>
      </c>
      <c r="X12956" t="s">
        <v>41272</v>
      </c>
    </row>
    <row r="12957" spans="1:24">
      <c r="A12957">
        <f>HYPERLINK("https://www.philgeps.gov.ph/GEPSNONPILOT/Tender/SplashBidNoticeAbstractUI.aspx?menuIndex=3&amp;refID=7042099&amp;Result=3","7042099")</f>
        <v>0</v>
      </c>
      <c r="B12957" t="s">
        <v>1148</v>
      </c>
      <c r="C12957" t="s">
        <v>15798</v>
      </c>
      <c r="E12957" t="s">
        <v>27893</v>
      </c>
      <c r="F12957" t="s">
        <v>28669</v>
      </c>
      <c r="G12957" t="s">
        <v>28675</v>
      </c>
      <c r="H12957" t="s">
        <v>28686</v>
      </c>
      <c r="I12957" t="s">
        <v>28689</v>
      </c>
      <c r="J12957" t="s">
        <v>29332</v>
      </c>
      <c r="K12957" t="s">
        <v>37209</v>
      </c>
      <c r="M12957" t="s">
        <v>38684</v>
      </c>
      <c r="N12957" t="s">
        <v>41249</v>
      </c>
      <c r="O12957" t="s">
        <v>41250</v>
      </c>
      <c r="P12957">
        <v>0</v>
      </c>
      <c r="Q12957">
        <v>0</v>
      </c>
      <c r="R12957" t="s">
        <v>41271</v>
      </c>
      <c r="S12957" t="s">
        <v>42169</v>
      </c>
      <c r="T12957" t="s">
        <v>42671</v>
      </c>
      <c r="U12957" t="s">
        <v>45549</v>
      </c>
      <c r="W12957" t="s">
        <v>38684</v>
      </c>
      <c r="X12957" t="s">
        <v>41272</v>
      </c>
    </row>
    <row r="12958" spans="1:24">
      <c r="A12958">
        <f>HYPERLINK("https://www.philgeps.gov.ph/GEPSNONPILOT/Tender/SplashBidNoticeAbstractUI.aspx?menuIndex=3&amp;refID=7042041&amp;Result=3","7042041")</f>
        <v>0</v>
      </c>
      <c r="B12958" t="s">
        <v>2875</v>
      </c>
      <c r="C12958" t="s">
        <v>15799</v>
      </c>
      <c r="D12958" t="s">
        <v>16643</v>
      </c>
      <c r="E12958" t="s">
        <v>27894</v>
      </c>
      <c r="F12958" t="s">
        <v>28670</v>
      </c>
      <c r="G12958" t="s">
        <v>28677</v>
      </c>
      <c r="H12958" t="s">
        <v>9998</v>
      </c>
      <c r="I12958" t="s">
        <v>28777</v>
      </c>
      <c r="J12958" t="s">
        <v>33164</v>
      </c>
      <c r="K12958" t="s">
        <v>37206</v>
      </c>
      <c r="M12958" t="s">
        <v>40620</v>
      </c>
      <c r="N12958" t="s">
        <v>41249</v>
      </c>
      <c r="O12958" t="s">
        <v>41250</v>
      </c>
      <c r="Q12958">
        <v>0</v>
      </c>
      <c r="R12958" t="s">
        <v>41271</v>
      </c>
      <c r="S12958" t="s">
        <v>42182</v>
      </c>
      <c r="T12958" t="s">
        <v>42764</v>
      </c>
      <c r="U12958" t="s">
        <v>53575</v>
      </c>
      <c r="W12958" t="s">
        <v>40620</v>
      </c>
      <c r="X12958" t="s">
        <v>41272</v>
      </c>
    </row>
    <row r="12959" spans="1:24">
      <c r="A12959">
        <f>HYPERLINK("https://www.philgeps.gov.ph/GEPSNONPILOT/Tender/SplashBidNoticeAbstractUI.aspx?menuIndex=3&amp;refID=7042091&amp;Result=3","7042091")</f>
        <v>0</v>
      </c>
      <c r="B12959" t="s">
        <v>491</v>
      </c>
      <c r="C12959" t="s">
        <v>15800</v>
      </c>
      <c r="D12959" t="s">
        <v>16654</v>
      </c>
      <c r="E12959" t="s">
        <v>27895</v>
      </c>
      <c r="F12959" t="s">
        <v>28669</v>
      </c>
      <c r="G12959" t="s">
        <v>28675</v>
      </c>
      <c r="H12959" t="s">
        <v>9998</v>
      </c>
      <c r="I12959" t="s">
        <v>28687</v>
      </c>
      <c r="J12959" t="s">
        <v>36740</v>
      </c>
      <c r="K12959" t="s">
        <v>37238</v>
      </c>
      <c r="M12959" t="s">
        <v>37979</v>
      </c>
      <c r="N12959" t="s">
        <v>41249</v>
      </c>
      <c r="O12959" t="s">
        <v>41250</v>
      </c>
      <c r="P12959">
        <v>0</v>
      </c>
      <c r="Q12959">
        <v>14</v>
      </c>
      <c r="R12959" t="s">
        <v>41271</v>
      </c>
      <c r="S12959" t="s">
        <v>42169</v>
      </c>
      <c r="T12959" t="s">
        <v>42728</v>
      </c>
      <c r="U12959" t="s">
        <v>53576</v>
      </c>
      <c r="V12959" t="s">
        <v>55800</v>
      </c>
      <c r="W12959" t="s">
        <v>37979</v>
      </c>
      <c r="X12959" t="s">
        <v>41272</v>
      </c>
    </row>
    <row r="12960" spans="1:24">
      <c r="A12960">
        <f>HYPERLINK("https://www.philgeps.gov.ph/GEPSNONPILOT/Tender/SplashBidNoticeAbstractUI.aspx?menuIndex=3&amp;refID=7042160&amp;Result=3","7042160")</f>
        <v>0</v>
      </c>
      <c r="B12960" t="s">
        <v>3304</v>
      </c>
      <c r="C12960" t="s">
        <v>15801</v>
      </c>
      <c r="D12960" t="s">
        <v>16608</v>
      </c>
      <c r="E12960" t="s">
        <v>27896</v>
      </c>
      <c r="F12960" t="s">
        <v>28669</v>
      </c>
      <c r="G12960" t="s">
        <v>28675</v>
      </c>
      <c r="H12960" t="s">
        <v>9998</v>
      </c>
      <c r="I12960" t="s">
        <v>28713</v>
      </c>
      <c r="J12960" t="s">
        <v>36741</v>
      </c>
      <c r="K12960" t="s">
        <v>37209</v>
      </c>
      <c r="L12960" t="s">
        <v>3304</v>
      </c>
      <c r="M12960" t="s">
        <v>41136</v>
      </c>
      <c r="N12960" t="s">
        <v>41249</v>
      </c>
      <c r="O12960" t="s">
        <v>41250</v>
      </c>
      <c r="Q12960">
        <v>41</v>
      </c>
      <c r="R12960" t="s">
        <v>41271</v>
      </c>
      <c r="S12960" t="s">
        <v>42183</v>
      </c>
      <c r="T12960" t="s">
        <v>42728</v>
      </c>
      <c r="U12960" t="s">
        <v>53572</v>
      </c>
      <c r="W12960" t="s">
        <v>41136</v>
      </c>
      <c r="X12960" t="s">
        <v>41272</v>
      </c>
    </row>
    <row r="12961" spans="1:24">
      <c r="A12961">
        <f>HYPERLINK("https://www.philgeps.gov.ph/GEPSNONPILOT/Tender/SplashBidNoticeAbstractUI.aspx?menuIndex=3&amp;refID=7042115&amp;Result=3","7042115")</f>
        <v>0</v>
      </c>
      <c r="B12961" t="s">
        <v>2261</v>
      </c>
      <c r="C12961" t="s">
        <v>15802</v>
      </c>
      <c r="D12961" t="s">
        <v>16682</v>
      </c>
      <c r="E12961" t="s">
        <v>27897</v>
      </c>
      <c r="F12961" t="s">
        <v>28669</v>
      </c>
      <c r="G12961" t="s">
        <v>28675</v>
      </c>
      <c r="H12961" t="s">
        <v>28686</v>
      </c>
      <c r="I12961" t="s">
        <v>28752</v>
      </c>
      <c r="J12961" t="s">
        <v>29112</v>
      </c>
      <c r="K12961" t="s">
        <v>37213</v>
      </c>
      <c r="M12961" t="s">
        <v>39916</v>
      </c>
      <c r="N12961" t="s">
        <v>41249</v>
      </c>
      <c r="O12961" t="s">
        <v>41250</v>
      </c>
      <c r="P12961">
        <v>0</v>
      </c>
      <c r="Q12961">
        <v>0</v>
      </c>
      <c r="R12961" t="s">
        <v>41271</v>
      </c>
      <c r="S12961" t="s">
        <v>42169</v>
      </c>
      <c r="T12961" t="s">
        <v>42727</v>
      </c>
      <c r="U12961" t="s">
        <v>53577</v>
      </c>
      <c r="W12961" t="s">
        <v>39916</v>
      </c>
      <c r="X12961" t="s">
        <v>41272</v>
      </c>
    </row>
    <row r="12962" spans="1:24">
      <c r="A12962">
        <f>HYPERLINK("https://www.philgeps.gov.ph/GEPSNONPILOT/Tender/SplashBidNoticeAbstractUI.aspx?menuIndex=3&amp;refID=7042273&amp;Result=3","7042273")</f>
        <v>0</v>
      </c>
      <c r="B12962" t="s">
        <v>3305</v>
      </c>
      <c r="C12962" t="s">
        <v>15803</v>
      </c>
      <c r="D12962" t="s">
        <v>16622</v>
      </c>
      <c r="E12962" t="s">
        <v>27898</v>
      </c>
      <c r="F12962" t="s">
        <v>28669</v>
      </c>
      <c r="G12962" t="s">
        <v>28675</v>
      </c>
      <c r="H12962" t="s">
        <v>9998</v>
      </c>
      <c r="I12962" t="s">
        <v>7352</v>
      </c>
      <c r="J12962" t="s">
        <v>36742</v>
      </c>
      <c r="K12962" t="s">
        <v>37204</v>
      </c>
      <c r="M12962" t="s">
        <v>41137</v>
      </c>
      <c r="N12962" t="s">
        <v>41249</v>
      </c>
      <c r="O12962" t="s">
        <v>41250</v>
      </c>
      <c r="P12962">
        <v>0</v>
      </c>
      <c r="Q12962">
        <v>0</v>
      </c>
      <c r="R12962" t="s">
        <v>41271</v>
      </c>
      <c r="S12962" t="s">
        <v>42169</v>
      </c>
      <c r="T12962" t="s">
        <v>42728</v>
      </c>
      <c r="U12962" t="s">
        <v>53578</v>
      </c>
      <c r="W12962" t="s">
        <v>41137</v>
      </c>
      <c r="X12962" t="s">
        <v>41272</v>
      </c>
    </row>
    <row r="12963" spans="1:24">
      <c r="A12963">
        <f>HYPERLINK("https://www.philgeps.gov.ph/GEPSNONPILOT/Tender/SplashBidNoticeAbstractUI.aspx?menuIndex=3&amp;refID=7042214&amp;Result=3","7042214")</f>
        <v>0</v>
      </c>
      <c r="B12963" t="s">
        <v>3304</v>
      </c>
      <c r="C12963" t="s">
        <v>15804</v>
      </c>
      <c r="D12963" t="s">
        <v>16608</v>
      </c>
      <c r="E12963" t="s">
        <v>27899</v>
      </c>
      <c r="F12963" t="s">
        <v>28669</v>
      </c>
      <c r="G12963" t="s">
        <v>28675</v>
      </c>
      <c r="H12963" t="s">
        <v>9998</v>
      </c>
      <c r="I12963" t="s">
        <v>28713</v>
      </c>
      <c r="J12963" t="s">
        <v>31461</v>
      </c>
      <c r="K12963" t="s">
        <v>37209</v>
      </c>
      <c r="L12963" t="s">
        <v>3304</v>
      </c>
      <c r="M12963" t="s">
        <v>41136</v>
      </c>
      <c r="N12963" t="s">
        <v>41249</v>
      </c>
      <c r="O12963" t="s">
        <v>41250</v>
      </c>
      <c r="Q12963">
        <v>24</v>
      </c>
      <c r="R12963" t="s">
        <v>41271</v>
      </c>
      <c r="S12963" t="s">
        <v>42184</v>
      </c>
      <c r="T12963" t="s">
        <v>42728</v>
      </c>
      <c r="U12963" t="s">
        <v>53572</v>
      </c>
      <c r="W12963" t="s">
        <v>41136</v>
      </c>
      <c r="X12963" t="s">
        <v>41272</v>
      </c>
    </row>
    <row r="12964" spans="1:24">
      <c r="A12964">
        <f>HYPERLINK("https://www.philgeps.gov.ph/GEPSNONPILOT/Tender/SplashBidNoticeAbstractUI.aspx?menuIndex=3&amp;refID=7042256&amp;Result=3","7042256")</f>
        <v>0</v>
      </c>
      <c r="B12964" t="s">
        <v>1354</v>
      </c>
      <c r="C12964" t="s">
        <v>15805</v>
      </c>
      <c r="D12964" t="s">
        <v>16607</v>
      </c>
      <c r="E12964" t="s">
        <v>27900</v>
      </c>
      <c r="F12964" t="s">
        <v>28669</v>
      </c>
      <c r="G12964" t="s">
        <v>28675</v>
      </c>
      <c r="H12964" t="s">
        <v>28686</v>
      </c>
      <c r="I12964" t="s">
        <v>28689</v>
      </c>
      <c r="J12964" t="s">
        <v>36743</v>
      </c>
      <c r="K12964" t="s">
        <v>37466</v>
      </c>
      <c r="M12964" t="s">
        <v>38910</v>
      </c>
      <c r="N12964" t="s">
        <v>41249</v>
      </c>
      <c r="O12964" t="s">
        <v>41250</v>
      </c>
      <c r="P12964">
        <v>0</v>
      </c>
      <c r="Q12964">
        <v>23</v>
      </c>
      <c r="R12964" t="s">
        <v>41271</v>
      </c>
      <c r="S12964" t="s">
        <v>42169</v>
      </c>
      <c r="T12964" t="s">
        <v>42736</v>
      </c>
      <c r="U12964" t="s">
        <v>53579</v>
      </c>
      <c r="W12964" t="s">
        <v>38910</v>
      </c>
      <c r="X12964" t="s">
        <v>41272</v>
      </c>
    </row>
    <row r="12965" spans="1:24">
      <c r="A12965">
        <f>HYPERLINK("https://www.philgeps.gov.ph/GEPSNONPILOT/Tender/SplashBidNoticeAbstractUI.aspx?menuIndex=3&amp;refID=7042212&amp;Result=3","7042212")</f>
        <v>0</v>
      </c>
      <c r="B12965" t="s">
        <v>1090</v>
      </c>
      <c r="C12965" t="s">
        <v>15806</v>
      </c>
      <c r="D12965" t="s">
        <v>16621</v>
      </c>
      <c r="E12965" t="s">
        <v>27901</v>
      </c>
      <c r="F12965" t="s">
        <v>28669</v>
      </c>
      <c r="G12965" t="s">
        <v>28675</v>
      </c>
      <c r="H12965" t="s">
        <v>9998</v>
      </c>
      <c r="I12965" t="s">
        <v>28740</v>
      </c>
      <c r="J12965" t="s">
        <v>30025</v>
      </c>
      <c r="K12965" t="s">
        <v>37205</v>
      </c>
      <c r="M12965" t="s">
        <v>41138</v>
      </c>
      <c r="N12965" t="s">
        <v>41249</v>
      </c>
      <c r="O12965" t="s">
        <v>41250</v>
      </c>
      <c r="Q12965">
        <v>10</v>
      </c>
      <c r="R12965" t="s">
        <v>41271</v>
      </c>
      <c r="S12965" t="s">
        <v>42185</v>
      </c>
      <c r="T12965" t="s">
        <v>42728</v>
      </c>
      <c r="U12965" t="s">
        <v>53580</v>
      </c>
      <c r="W12965" t="s">
        <v>41138</v>
      </c>
      <c r="X12965" t="s">
        <v>41272</v>
      </c>
    </row>
    <row r="12966" spans="1:24">
      <c r="A12966">
        <f>HYPERLINK("https://www.philgeps.gov.ph/GEPSNONPILOT/Tender/SplashBidNoticeAbstractUI.aspx?menuIndex=3&amp;refID=7042227&amp;Result=3","7042227")</f>
        <v>0</v>
      </c>
      <c r="B12966" t="s">
        <v>221</v>
      </c>
      <c r="C12966" t="s">
        <v>15807</v>
      </c>
      <c r="E12966" t="s">
        <v>27902</v>
      </c>
      <c r="F12966" t="s">
        <v>28669</v>
      </c>
      <c r="G12966" t="s">
        <v>28675</v>
      </c>
      <c r="H12966" t="s">
        <v>28686</v>
      </c>
      <c r="I12966" t="s">
        <v>28689</v>
      </c>
      <c r="J12966" t="s">
        <v>36744</v>
      </c>
      <c r="K12966" t="s">
        <v>37212</v>
      </c>
      <c r="M12966" t="s">
        <v>41139</v>
      </c>
      <c r="N12966" t="s">
        <v>41249</v>
      </c>
      <c r="O12966" t="s">
        <v>41250</v>
      </c>
      <c r="Q12966">
        <v>1</v>
      </c>
      <c r="R12966" t="s">
        <v>41271</v>
      </c>
      <c r="S12966" t="s">
        <v>42186</v>
      </c>
      <c r="T12966" t="s">
        <v>42767</v>
      </c>
      <c r="U12966" t="s">
        <v>53581</v>
      </c>
      <c r="W12966" t="s">
        <v>37699</v>
      </c>
      <c r="X12966" t="s">
        <v>41272</v>
      </c>
    </row>
    <row r="12967" spans="1:24">
      <c r="A12967">
        <f>HYPERLINK("https://www.philgeps.gov.ph/GEPSNONPILOT/Tender/SplashBidNoticeAbstractUI.aspx?menuIndex=3&amp;refID=7042068&amp;Result=3","7042068")</f>
        <v>0</v>
      </c>
      <c r="B12967" t="s">
        <v>1148</v>
      </c>
      <c r="C12967" t="s">
        <v>15808</v>
      </c>
      <c r="E12967" t="s">
        <v>27903</v>
      </c>
      <c r="F12967" t="s">
        <v>28669</v>
      </c>
      <c r="G12967" t="s">
        <v>28675</v>
      </c>
      <c r="H12967" t="s">
        <v>28686</v>
      </c>
      <c r="I12967" t="s">
        <v>28689</v>
      </c>
      <c r="J12967" t="s">
        <v>28924</v>
      </c>
      <c r="K12967" t="s">
        <v>37209</v>
      </c>
      <c r="M12967" t="s">
        <v>38684</v>
      </c>
      <c r="N12967" t="s">
        <v>41249</v>
      </c>
      <c r="O12967" t="s">
        <v>41250</v>
      </c>
      <c r="Q12967">
        <v>0</v>
      </c>
      <c r="R12967" t="s">
        <v>41271</v>
      </c>
      <c r="S12967" t="s">
        <v>42187</v>
      </c>
      <c r="T12967" t="s">
        <v>42671</v>
      </c>
      <c r="U12967" t="s">
        <v>45549</v>
      </c>
      <c r="W12967" t="s">
        <v>38684</v>
      </c>
      <c r="X12967" t="s">
        <v>41272</v>
      </c>
    </row>
    <row r="12968" spans="1:24">
      <c r="A12968">
        <f>HYPERLINK("https://www.philgeps.gov.ph/GEPSNONPILOT/Tender/SplashBidNoticeAbstractUI.aspx?menuIndex=3&amp;refID=7042284&amp;Result=3","7042284")</f>
        <v>0</v>
      </c>
      <c r="B12968" t="s">
        <v>2636</v>
      </c>
      <c r="C12968" t="s">
        <v>15809</v>
      </c>
      <c r="D12968" t="s">
        <v>16608</v>
      </c>
      <c r="E12968" t="s">
        <v>27904</v>
      </c>
      <c r="F12968" t="s">
        <v>28669</v>
      </c>
      <c r="G12968" t="s">
        <v>28675</v>
      </c>
      <c r="H12968" t="s">
        <v>9998</v>
      </c>
      <c r="I12968" t="s">
        <v>28728</v>
      </c>
      <c r="J12968" t="s">
        <v>36745</v>
      </c>
      <c r="K12968" t="s">
        <v>37209</v>
      </c>
      <c r="M12968" t="s">
        <v>41140</v>
      </c>
      <c r="N12968" t="s">
        <v>41249</v>
      </c>
      <c r="O12968" t="s">
        <v>41250</v>
      </c>
      <c r="Q12968">
        <v>11</v>
      </c>
      <c r="R12968" t="s">
        <v>41271</v>
      </c>
      <c r="S12968" t="s">
        <v>42188</v>
      </c>
      <c r="T12968" t="s">
        <v>42711</v>
      </c>
      <c r="U12968" t="s">
        <v>53582</v>
      </c>
      <c r="V12968" t="s">
        <v>54340</v>
      </c>
      <c r="W12968" t="s">
        <v>41140</v>
      </c>
      <c r="X12968" t="s">
        <v>41272</v>
      </c>
    </row>
    <row r="12969" spans="1:24">
      <c r="A12969">
        <f>HYPERLINK("https://www.philgeps.gov.ph/GEPSNONPILOT/Tender/SplashBidNoticeAbstractUI.aspx?menuIndex=3&amp;refID=7042505&amp;Result=3","7042505")</f>
        <v>0</v>
      </c>
      <c r="B12969" t="s">
        <v>1397</v>
      </c>
      <c r="C12969" t="s">
        <v>15810</v>
      </c>
      <c r="D12969" t="s">
        <v>16640</v>
      </c>
      <c r="E12969" t="s">
        <v>27905</v>
      </c>
      <c r="F12969" t="s">
        <v>28669</v>
      </c>
      <c r="G12969" t="s">
        <v>28675</v>
      </c>
      <c r="H12969" t="s">
        <v>28686</v>
      </c>
      <c r="I12969" t="s">
        <v>28689</v>
      </c>
      <c r="J12969" t="s">
        <v>35156</v>
      </c>
      <c r="K12969" t="s">
        <v>37220</v>
      </c>
      <c r="M12969" t="s">
        <v>40812</v>
      </c>
      <c r="N12969" t="s">
        <v>41249</v>
      </c>
      <c r="O12969" t="s">
        <v>41250</v>
      </c>
      <c r="Q12969">
        <v>9</v>
      </c>
      <c r="R12969" t="s">
        <v>41271</v>
      </c>
      <c r="S12969" t="s">
        <v>42189</v>
      </c>
      <c r="T12969" t="s">
        <v>42727</v>
      </c>
      <c r="U12969" t="s">
        <v>53583</v>
      </c>
      <c r="V12969" t="s">
        <v>55805</v>
      </c>
      <c r="W12969" t="s">
        <v>40812</v>
      </c>
      <c r="X12969" t="s">
        <v>41272</v>
      </c>
    </row>
    <row r="12970" spans="1:24">
      <c r="A12970">
        <f>HYPERLINK("https://www.philgeps.gov.ph/GEPSNONPILOT/Tender/SplashBidNoticeAbstractUI.aspx?menuIndex=3&amp;refID=7042210&amp;Result=3","7042210")</f>
        <v>0</v>
      </c>
      <c r="B12970" t="s">
        <v>491</v>
      </c>
      <c r="C12970" t="s">
        <v>15811</v>
      </c>
      <c r="D12970" t="s">
        <v>16654</v>
      </c>
      <c r="E12970" t="s">
        <v>27906</v>
      </c>
      <c r="F12970" t="s">
        <v>28669</v>
      </c>
      <c r="G12970" t="s">
        <v>28675</v>
      </c>
      <c r="H12970" t="s">
        <v>9998</v>
      </c>
      <c r="I12970" t="s">
        <v>28687</v>
      </c>
      <c r="J12970" t="s">
        <v>29655</v>
      </c>
      <c r="K12970" t="s">
        <v>37299</v>
      </c>
      <c r="M12970" t="s">
        <v>37979</v>
      </c>
      <c r="N12970" t="s">
        <v>41249</v>
      </c>
      <c r="O12970" t="s">
        <v>41250</v>
      </c>
      <c r="Q12970">
        <v>11</v>
      </c>
      <c r="R12970" t="s">
        <v>41271</v>
      </c>
      <c r="S12970" t="s">
        <v>42186</v>
      </c>
      <c r="T12970" t="s">
        <v>42728</v>
      </c>
      <c r="U12970" t="s">
        <v>53584</v>
      </c>
      <c r="V12970" t="s">
        <v>55800</v>
      </c>
      <c r="W12970" t="s">
        <v>37979</v>
      </c>
      <c r="X12970" t="s">
        <v>41272</v>
      </c>
    </row>
    <row r="12971" spans="1:24">
      <c r="A12971">
        <f>HYPERLINK("https://www.philgeps.gov.ph/GEPSNONPILOT/Tender/SplashBidNoticeAbstractUI.aspx?menuIndex=3&amp;refID=7042186&amp;Result=3","7042186")</f>
        <v>0</v>
      </c>
      <c r="B12971" t="s">
        <v>1137</v>
      </c>
      <c r="C12971" t="s">
        <v>15812</v>
      </c>
      <c r="D12971" t="s">
        <v>16615</v>
      </c>
      <c r="E12971" t="s">
        <v>27907</v>
      </c>
      <c r="F12971" t="s">
        <v>28669</v>
      </c>
      <c r="G12971" t="s">
        <v>28675</v>
      </c>
      <c r="H12971" t="s">
        <v>28686</v>
      </c>
      <c r="I12971" t="s">
        <v>28689</v>
      </c>
      <c r="J12971" t="s">
        <v>36746</v>
      </c>
      <c r="K12971" t="s">
        <v>37290</v>
      </c>
      <c r="M12971" t="s">
        <v>38671</v>
      </c>
      <c r="N12971" t="s">
        <v>41249</v>
      </c>
      <c r="O12971" t="s">
        <v>41250</v>
      </c>
      <c r="P12971">
        <v>0</v>
      </c>
      <c r="Q12971">
        <v>8</v>
      </c>
      <c r="R12971" t="s">
        <v>41271</v>
      </c>
      <c r="S12971" t="s">
        <v>42169</v>
      </c>
      <c r="T12971" t="s">
        <v>42673</v>
      </c>
      <c r="U12971" t="s">
        <v>53585</v>
      </c>
      <c r="W12971" t="s">
        <v>38671</v>
      </c>
      <c r="X12971" t="s">
        <v>41272</v>
      </c>
    </row>
    <row r="12972" spans="1:24">
      <c r="A12972">
        <f>HYPERLINK("https://www.philgeps.gov.ph/GEPSNONPILOT/Tender/SplashBidNoticeAbstractUI.aspx?menuIndex=3&amp;refID=7042466&amp;Result=3","7042466")</f>
        <v>0</v>
      </c>
      <c r="B12972" t="s">
        <v>1963</v>
      </c>
      <c r="C12972" t="s">
        <v>3482</v>
      </c>
      <c r="D12972" t="s">
        <v>16675</v>
      </c>
      <c r="E12972" t="s">
        <v>27908</v>
      </c>
      <c r="F12972" t="s">
        <v>28669</v>
      </c>
      <c r="G12972" t="s">
        <v>28675</v>
      </c>
      <c r="H12972" t="s">
        <v>9998</v>
      </c>
      <c r="I12972" t="s">
        <v>5286</v>
      </c>
      <c r="J12972" t="s">
        <v>36747</v>
      </c>
      <c r="K12972" t="s">
        <v>37205</v>
      </c>
      <c r="M12972" t="s">
        <v>39596</v>
      </c>
      <c r="N12972" t="s">
        <v>41249</v>
      </c>
      <c r="O12972" t="s">
        <v>41250</v>
      </c>
      <c r="P12972">
        <v>0</v>
      </c>
      <c r="Q12972">
        <v>5</v>
      </c>
      <c r="R12972" t="s">
        <v>41271</v>
      </c>
      <c r="S12972" t="s">
        <v>42169</v>
      </c>
      <c r="T12972" t="s">
        <v>42767</v>
      </c>
      <c r="U12972" t="s">
        <v>53586</v>
      </c>
      <c r="W12972" t="s">
        <v>39596</v>
      </c>
      <c r="X12972" t="s">
        <v>41272</v>
      </c>
    </row>
    <row r="12973" spans="1:24">
      <c r="A12973">
        <f>HYPERLINK("https://www.philgeps.gov.ph/GEPSNONPILOT/Tender/SplashBidNoticeAbstractUI.aspx?menuIndex=3&amp;refID=7041795&amp;Result=3","7041795")</f>
        <v>0</v>
      </c>
      <c r="B12973" t="s">
        <v>3038</v>
      </c>
      <c r="C12973" t="s">
        <v>15813</v>
      </c>
      <c r="D12973" t="s">
        <v>16624</v>
      </c>
      <c r="E12973" t="s">
        <v>27909</v>
      </c>
      <c r="F12973" t="s">
        <v>28669</v>
      </c>
      <c r="G12973" t="s">
        <v>28675</v>
      </c>
      <c r="H12973" t="s">
        <v>28686</v>
      </c>
      <c r="I12973" t="s">
        <v>28689</v>
      </c>
      <c r="J12973" t="s">
        <v>28847</v>
      </c>
      <c r="K12973" t="s">
        <v>37213</v>
      </c>
      <c r="M12973" t="s">
        <v>40811</v>
      </c>
      <c r="N12973" t="s">
        <v>41249</v>
      </c>
      <c r="O12973" t="s">
        <v>41250</v>
      </c>
      <c r="P12973">
        <v>0</v>
      </c>
      <c r="Q12973">
        <v>3</v>
      </c>
      <c r="R12973" t="s">
        <v>41271</v>
      </c>
      <c r="S12973" t="s">
        <v>42169</v>
      </c>
      <c r="T12973" t="s">
        <v>42908</v>
      </c>
      <c r="U12973" t="s">
        <v>53587</v>
      </c>
      <c r="W12973" t="s">
        <v>40811</v>
      </c>
      <c r="X12973" t="s">
        <v>41272</v>
      </c>
    </row>
    <row r="12974" spans="1:24">
      <c r="A12974">
        <f>HYPERLINK("https://www.philgeps.gov.ph/GEPSNONPILOT/Tender/SplashBidNoticeAbstractUI.aspx?menuIndex=3&amp;refID=7042283&amp;Result=3","7042283")</f>
        <v>0</v>
      </c>
      <c r="B12974" t="s">
        <v>411</v>
      </c>
      <c r="C12974" t="s">
        <v>15814</v>
      </c>
      <c r="D12974" t="s">
        <v>16616</v>
      </c>
      <c r="E12974" t="s">
        <v>27910</v>
      </c>
      <c r="F12974" t="s">
        <v>28669</v>
      </c>
      <c r="G12974" t="s">
        <v>28675</v>
      </c>
      <c r="H12974" t="s">
        <v>9998</v>
      </c>
      <c r="I12974" t="s">
        <v>28736</v>
      </c>
      <c r="J12974" t="s">
        <v>36748</v>
      </c>
      <c r="K12974" t="s">
        <v>37206</v>
      </c>
      <c r="M12974" t="s">
        <v>37896</v>
      </c>
      <c r="N12974" t="s">
        <v>41249</v>
      </c>
      <c r="O12974" t="s">
        <v>41250</v>
      </c>
      <c r="Q12974">
        <v>1</v>
      </c>
      <c r="R12974" t="s">
        <v>41271</v>
      </c>
      <c r="S12974" t="s">
        <v>42190</v>
      </c>
      <c r="T12974" t="s">
        <v>42738</v>
      </c>
      <c r="U12974" t="s">
        <v>53588</v>
      </c>
      <c r="W12974" t="s">
        <v>37896</v>
      </c>
      <c r="X12974" t="s">
        <v>41272</v>
      </c>
    </row>
    <row r="12975" spans="1:24">
      <c r="A12975">
        <f>HYPERLINK("https://www.philgeps.gov.ph/GEPSNONPILOT/Tender/SplashBidNoticeAbstractUI.aspx?menuIndex=3&amp;refID=7042424&amp;Result=3","7042424")</f>
        <v>0</v>
      </c>
      <c r="B12975" t="s">
        <v>1976</v>
      </c>
      <c r="C12975" t="s">
        <v>15815</v>
      </c>
      <c r="E12975" t="s">
        <v>27911</v>
      </c>
      <c r="F12975" t="s">
        <v>28669</v>
      </c>
      <c r="G12975" t="s">
        <v>28675</v>
      </c>
      <c r="H12975" t="s">
        <v>28686</v>
      </c>
      <c r="I12975" t="s">
        <v>28689</v>
      </c>
      <c r="J12975" t="s">
        <v>36749</v>
      </c>
      <c r="K12975" t="s">
        <v>37209</v>
      </c>
      <c r="M12975" t="s">
        <v>39610</v>
      </c>
      <c r="N12975" t="s">
        <v>41249</v>
      </c>
      <c r="O12975" t="s">
        <v>41250</v>
      </c>
      <c r="Q12975">
        <v>33</v>
      </c>
      <c r="R12975" t="s">
        <v>41271</v>
      </c>
      <c r="S12975" t="s">
        <v>41660</v>
      </c>
      <c r="T12975" t="s">
        <v>42704</v>
      </c>
      <c r="U12975" t="s">
        <v>48752</v>
      </c>
      <c r="W12975" t="s">
        <v>55982</v>
      </c>
      <c r="X12975" t="s">
        <v>41272</v>
      </c>
    </row>
    <row r="12976" spans="1:24">
      <c r="A12976">
        <f>HYPERLINK("https://www.philgeps.gov.ph/GEPSNONPILOT/Tender/SplashBidNoticeAbstractUI.aspx?menuIndex=3&amp;refID=7042191&amp;Result=3","7042191")</f>
        <v>0</v>
      </c>
      <c r="B12976" t="s">
        <v>1148</v>
      </c>
      <c r="C12976" t="s">
        <v>15816</v>
      </c>
      <c r="E12976" t="s">
        <v>27912</v>
      </c>
      <c r="F12976" t="s">
        <v>28669</v>
      </c>
      <c r="G12976" t="s">
        <v>28675</v>
      </c>
      <c r="H12976" t="s">
        <v>28686</v>
      </c>
      <c r="I12976" t="s">
        <v>28689</v>
      </c>
      <c r="J12976" t="s">
        <v>35818</v>
      </c>
      <c r="K12976" t="s">
        <v>37209</v>
      </c>
      <c r="M12976" t="s">
        <v>38684</v>
      </c>
      <c r="N12976" t="s">
        <v>41249</v>
      </c>
      <c r="O12976" t="s">
        <v>41250</v>
      </c>
      <c r="P12976">
        <v>0</v>
      </c>
      <c r="Q12976">
        <v>1</v>
      </c>
      <c r="R12976" t="s">
        <v>41271</v>
      </c>
      <c r="S12976" t="s">
        <v>42169</v>
      </c>
      <c r="T12976" t="s">
        <v>42671</v>
      </c>
      <c r="U12976" t="s">
        <v>45549</v>
      </c>
      <c r="W12976" t="s">
        <v>38684</v>
      </c>
      <c r="X12976" t="s">
        <v>41272</v>
      </c>
    </row>
    <row r="12977" spans="1:24">
      <c r="A12977">
        <f>HYPERLINK("https://www.philgeps.gov.ph/GEPSNONPILOT/Tender/SplashBidNoticeAbstractUI.aspx?menuIndex=3&amp;refID=7042550&amp;Result=3","7042550")</f>
        <v>0</v>
      </c>
      <c r="B12977" t="s">
        <v>3306</v>
      </c>
      <c r="C12977" t="s">
        <v>15817</v>
      </c>
      <c r="D12977" t="s">
        <v>16657</v>
      </c>
      <c r="E12977" t="s">
        <v>18520</v>
      </c>
      <c r="F12977" t="s">
        <v>28669</v>
      </c>
      <c r="G12977" t="s">
        <v>28676</v>
      </c>
      <c r="H12977" t="s">
        <v>9998</v>
      </c>
      <c r="I12977" t="s">
        <v>11593</v>
      </c>
      <c r="J12977" t="s">
        <v>36750</v>
      </c>
      <c r="K12977" t="s">
        <v>37220</v>
      </c>
      <c r="M12977" t="s">
        <v>41141</v>
      </c>
      <c r="N12977" t="s">
        <v>41249</v>
      </c>
      <c r="O12977" t="s">
        <v>41250</v>
      </c>
      <c r="P12977">
        <v>0</v>
      </c>
      <c r="Q12977">
        <v>6</v>
      </c>
      <c r="R12977" t="s">
        <v>41271</v>
      </c>
      <c r="S12977" t="s">
        <v>42169</v>
      </c>
      <c r="T12977" t="s">
        <v>42712</v>
      </c>
      <c r="U12977" t="s">
        <v>53589</v>
      </c>
      <c r="W12977" t="s">
        <v>41141</v>
      </c>
      <c r="X12977" t="s">
        <v>41272</v>
      </c>
    </row>
    <row r="12978" spans="1:24">
      <c r="A12978">
        <f>HYPERLINK("https://www.philgeps.gov.ph/GEPSNONPILOT/Tender/SplashBidNoticeAbstractUI.aspx?menuIndex=3&amp;refID=7042511&amp;Result=3","7042511")</f>
        <v>0</v>
      </c>
      <c r="B12978" t="s">
        <v>1397</v>
      </c>
      <c r="C12978" t="s">
        <v>15818</v>
      </c>
      <c r="D12978" t="s">
        <v>16640</v>
      </c>
      <c r="E12978" t="s">
        <v>27913</v>
      </c>
      <c r="F12978" t="s">
        <v>28669</v>
      </c>
      <c r="G12978" t="s">
        <v>28675</v>
      </c>
      <c r="H12978" t="s">
        <v>28686</v>
      </c>
      <c r="I12978" t="s">
        <v>28689</v>
      </c>
      <c r="J12978" t="s">
        <v>30840</v>
      </c>
      <c r="K12978" t="s">
        <v>37220</v>
      </c>
      <c r="M12978" t="s">
        <v>40812</v>
      </c>
      <c r="N12978" t="s">
        <v>41249</v>
      </c>
      <c r="O12978" t="s">
        <v>41250</v>
      </c>
      <c r="Q12978">
        <v>10</v>
      </c>
      <c r="R12978" t="s">
        <v>41271</v>
      </c>
      <c r="S12978" t="s">
        <v>42189</v>
      </c>
      <c r="T12978" t="s">
        <v>42727</v>
      </c>
      <c r="U12978" t="s">
        <v>53583</v>
      </c>
      <c r="V12978" t="s">
        <v>55805</v>
      </c>
      <c r="W12978" t="s">
        <v>40812</v>
      </c>
      <c r="X12978" t="s">
        <v>41272</v>
      </c>
    </row>
    <row r="12979" spans="1:24">
      <c r="A12979">
        <f>HYPERLINK("https://www.philgeps.gov.ph/GEPSNONPILOT/Tender/SplashBidNoticeAbstractUI.aspx?menuIndex=3&amp;refID=7042519&amp;Result=3","7042519")</f>
        <v>0</v>
      </c>
      <c r="B12979" t="s">
        <v>2310</v>
      </c>
      <c r="C12979" t="s">
        <v>15819</v>
      </c>
      <c r="D12979" t="s">
        <v>16648</v>
      </c>
      <c r="E12979" t="s">
        <v>27914</v>
      </c>
      <c r="F12979" t="s">
        <v>28669</v>
      </c>
      <c r="G12979" t="s">
        <v>28675</v>
      </c>
      <c r="H12979" t="s">
        <v>28686</v>
      </c>
      <c r="I12979" t="s">
        <v>28689</v>
      </c>
      <c r="J12979" t="s">
        <v>36751</v>
      </c>
      <c r="K12979" t="s">
        <v>37231</v>
      </c>
      <c r="M12979" t="s">
        <v>39969</v>
      </c>
      <c r="N12979" t="s">
        <v>41249</v>
      </c>
      <c r="O12979" t="s">
        <v>41250</v>
      </c>
      <c r="P12979">
        <v>0</v>
      </c>
      <c r="Q12979">
        <v>1</v>
      </c>
      <c r="R12979" t="s">
        <v>41271</v>
      </c>
      <c r="S12979" t="s">
        <v>42169</v>
      </c>
      <c r="T12979" t="s">
        <v>42764</v>
      </c>
      <c r="U12979" t="s">
        <v>53590</v>
      </c>
      <c r="W12979" t="s">
        <v>39969</v>
      </c>
      <c r="X12979" t="s">
        <v>41272</v>
      </c>
    </row>
    <row r="12980" spans="1:24">
      <c r="A12980">
        <f>HYPERLINK("https://www.philgeps.gov.ph/GEPSNONPILOT/Tender/SplashBidNoticeAbstractUI.aspx?menuIndex=3&amp;refID=7042401&amp;Result=3","7042401")</f>
        <v>0</v>
      </c>
      <c r="B12980" t="s">
        <v>1976</v>
      </c>
      <c r="C12980" t="s">
        <v>15820</v>
      </c>
      <c r="E12980" t="s">
        <v>27915</v>
      </c>
      <c r="F12980" t="s">
        <v>28669</v>
      </c>
      <c r="G12980" t="s">
        <v>28675</v>
      </c>
      <c r="H12980" t="s">
        <v>28686</v>
      </c>
      <c r="I12980" t="s">
        <v>28689</v>
      </c>
      <c r="J12980" t="s">
        <v>36752</v>
      </c>
      <c r="K12980" t="s">
        <v>37209</v>
      </c>
      <c r="M12980" t="s">
        <v>39610</v>
      </c>
      <c r="N12980" t="s">
        <v>41249</v>
      </c>
      <c r="O12980" t="s">
        <v>41250</v>
      </c>
      <c r="Q12980">
        <v>29</v>
      </c>
      <c r="R12980" t="s">
        <v>41271</v>
      </c>
      <c r="S12980" t="s">
        <v>42191</v>
      </c>
      <c r="T12980" t="s">
        <v>42704</v>
      </c>
      <c r="U12980" t="s">
        <v>48752</v>
      </c>
      <c r="W12980" t="s">
        <v>55982</v>
      </c>
      <c r="X12980" t="s">
        <v>41272</v>
      </c>
    </row>
    <row r="12981" spans="1:24">
      <c r="A12981">
        <f>HYPERLINK("https://www.philgeps.gov.ph/GEPSNONPILOT/Tender/SplashBidNoticeAbstractUI.aspx?menuIndex=3&amp;refID=7042346&amp;Result=3","7042346")</f>
        <v>0</v>
      </c>
      <c r="B12981" t="s">
        <v>2636</v>
      </c>
      <c r="C12981" t="s">
        <v>15821</v>
      </c>
      <c r="D12981" t="s">
        <v>16608</v>
      </c>
      <c r="E12981" t="s">
        <v>27916</v>
      </c>
      <c r="F12981" t="s">
        <v>28669</v>
      </c>
      <c r="G12981" t="s">
        <v>28675</v>
      </c>
      <c r="H12981" t="s">
        <v>9998</v>
      </c>
      <c r="I12981" t="s">
        <v>3718</v>
      </c>
      <c r="J12981" t="s">
        <v>28881</v>
      </c>
      <c r="K12981" t="s">
        <v>37209</v>
      </c>
      <c r="M12981" t="s">
        <v>41140</v>
      </c>
      <c r="N12981" t="s">
        <v>41249</v>
      </c>
      <c r="O12981" t="s">
        <v>41250</v>
      </c>
      <c r="Q12981">
        <v>10</v>
      </c>
      <c r="R12981" t="s">
        <v>41271</v>
      </c>
      <c r="S12981" t="s">
        <v>42192</v>
      </c>
      <c r="T12981" t="s">
        <v>42673</v>
      </c>
      <c r="U12981" t="s">
        <v>53591</v>
      </c>
      <c r="V12981" t="s">
        <v>54340</v>
      </c>
      <c r="W12981" t="s">
        <v>41140</v>
      </c>
      <c r="X12981" t="s">
        <v>41272</v>
      </c>
    </row>
    <row r="12982" spans="1:24">
      <c r="A12982">
        <f>HYPERLINK("https://www.philgeps.gov.ph/GEPSNONPILOT/Tender/SplashBidNoticeAbstractUI.aspx?menuIndex=3&amp;refID=7042331&amp;Result=3","7042331")</f>
        <v>0</v>
      </c>
      <c r="B12982" t="s">
        <v>3307</v>
      </c>
      <c r="C12982" t="s">
        <v>15822</v>
      </c>
      <c r="D12982" t="s">
        <v>16686</v>
      </c>
      <c r="E12982" t="s">
        <v>27917</v>
      </c>
      <c r="F12982" t="s">
        <v>28669</v>
      </c>
      <c r="G12982" t="s">
        <v>28675</v>
      </c>
      <c r="H12982" t="s">
        <v>9998</v>
      </c>
      <c r="I12982" t="s">
        <v>7352</v>
      </c>
      <c r="J12982" t="s">
        <v>36753</v>
      </c>
      <c r="K12982" t="s">
        <v>37227</v>
      </c>
      <c r="M12982" t="s">
        <v>41142</v>
      </c>
      <c r="N12982" t="s">
        <v>41249</v>
      </c>
      <c r="O12982" t="s">
        <v>41250</v>
      </c>
      <c r="P12982">
        <v>0</v>
      </c>
      <c r="Q12982">
        <v>5</v>
      </c>
      <c r="R12982" t="s">
        <v>41271</v>
      </c>
      <c r="S12982" t="s">
        <v>42169</v>
      </c>
      <c r="T12982" t="s">
        <v>42728</v>
      </c>
      <c r="U12982" t="s">
        <v>53592</v>
      </c>
      <c r="V12982" t="s">
        <v>55806</v>
      </c>
      <c r="W12982" t="s">
        <v>41142</v>
      </c>
      <c r="X12982" t="s">
        <v>41272</v>
      </c>
    </row>
    <row r="12983" spans="1:24">
      <c r="A12983">
        <f>HYPERLINK("https://www.philgeps.gov.ph/GEPSNONPILOT/Tender/SplashBidNoticeAbstractUI.aspx?menuIndex=3&amp;refID=7042413&amp;Result=3","7042413")</f>
        <v>0</v>
      </c>
      <c r="B12983" t="s">
        <v>1976</v>
      </c>
      <c r="C12983" t="s">
        <v>15823</v>
      </c>
      <c r="E12983" t="s">
        <v>27918</v>
      </c>
      <c r="F12983" t="s">
        <v>28669</v>
      </c>
      <c r="G12983" t="s">
        <v>28675</v>
      </c>
      <c r="H12983" t="s">
        <v>28686</v>
      </c>
      <c r="I12983" t="s">
        <v>28689</v>
      </c>
      <c r="J12983" t="s">
        <v>36754</v>
      </c>
      <c r="K12983" t="s">
        <v>37209</v>
      </c>
      <c r="M12983" t="s">
        <v>39610</v>
      </c>
      <c r="N12983" t="s">
        <v>41249</v>
      </c>
      <c r="O12983" t="s">
        <v>41250</v>
      </c>
      <c r="Q12983">
        <v>30</v>
      </c>
      <c r="R12983" t="s">
        <v>41271</v>
      </c>
      <c r="S12983" t="s">
        <v>42193</v>
      </c>
      <c r="T12983" t="s">
        <v>42704</v>
      </c>
      <c r="U12983" t="s">
        <v>48752</v>
      </c>
      <c r="W12983" t="s">
        <v>55982</v>
      </c>
      <c r="X12983" t="s">
        <v>41272</v>
      </c>
    </row>
    <row r="12984" spans="1:24">
      <c r="A12984">
        <f>HYPERLINK("https://www.philgeps.gov.ph/GEPSNONPILOT/Tender/SplashBidNoticeAbstractUI.aspx?menuIndex=3&amp;refID=7042324&amp;Result=3","7042324")</f>
        <v>0</v>
      </c>
      <c r="B12984" t="s">
        <v>3308</v>
      </c>
      <c r="C12984" t="s">
        <v>15824</v>
      </c>
      <c r="D12984" t="s">
        <v>16668</v>
      </c>
      <c r="E12984" t="s">
        <v>27919</v>
      </c>
      <c r="F12984" t="s">
        <v>28669</v>
      </c>
      <c r="G12984" t="s">
        <v>28675</v>
      </c>
      <c r="H12984" t="s">
        <v>9998</v>
      </c>
      <c r="I12984" t="s">
        <v>6128</v>
      </c>
      <c r="J12984" t="s">
        <v>36755</v>
      </c>
      <c r="K12984" t="s">
        <v>37312</v>
      </c>
      <c r="M12984" t="s">
        <v>41143</v>
      </c>
      <c r="N12984" t="s">
        <v>41249</v>
      </c>
      <c r="O12984" t="s">
        <v>41250</v>
      </c>
      <c r="P12984">
        <v>0</v>
      </c>
      <c r="Q12984">
        <v>2</v>
      </c>
      <c r="R12984" t="s">
        <v>41271</v>
      </c>
      <c r="S12984" t="s">
        <v>42169</v>
      </c>
      <c r="T12984" t="s">
        <v>43156</v>
      </c>
      <c r="U12984" t="s">
        <v>53593</v>
      </c>
      <c r="W12984" t="s">
        <v>41143</v>
      </c>
      <c r="X12984" t="s">
        <v>41272</v>
      </c>
    </row>
    <row r="12985" spans="1:24">
      <c r="A12985">
        <f>HYPERLINK("https://www.philgeps.gov.ph/GEPSNONPILOT/Tender/SplashBidNoticeAbstractUI.aspx?menuIndex=3&amp;refID=7042289&amp;Result=3","7042289")</f>
        <v>0</v>
      </c>
      <c r="B12985" t="s">
        <v>3307</v>
      </c>
      <c r="C12985" t="s">
        <v>15825</v>
      </c>
      <c r="D12985" t="s">
        <v>16686</v>
      </c>
      <c r="E12985" t="s">
        <v>27920</v>
      </c>
      <c r="F12985" t="s">
        <v>28669</v>
      </c>
      <c r="G12985" t="s">
        <v>28675</v>
      </c>
      <c r="H12985" t="s">
        <v>9998</v>
      </c>
      <c r="I12985" t="s">
        <v>7352</v>
      </c>
      <c r="J12985" t="s">
        <v>36756</v>
      </c>
      <c r="K12985" t="s">
        <v>37227</v>
      </c>
      <c r="M12985" t="s">
        <v>41142</v>
      </c>
      <c r="N12985" t="s">
        <v>41249</v>
      </c>
      <c r="O12985" t="s">
        <v>41250</v>
      </c>
      <c r="Q12985">
        <v>2</v>
      </c>
      <c r="R12985" t="s">
        <v>41271</v>
      </c>
      <c r="S12985" t="s">
        <v>42194</v>
      </c>
      <c r="T12985" t="s">
        <v>42728</v>
      </c>
      <c r="U12985" t="s">
        <v>53592</v>
      </c>
      <c r="V12985" t="s">
        <v>55807</v>
      </c>
      <c r="W12985" t="s">
        <v>41142</v>
      </c>
      <c r="X12985" t="s">
        <v>41272</v>
      </c>
    </row>
    <row r="12986" spans="1:24">
      <c r="A12986">
        <f>HYPERLINK("https://www.philgeps.gov.ph/GEPSNONPILOT/Tender/SplashBidNoticeAbstractUI.aspx?menuIndex=3&amp;refID=7042372&amp;Result=3","7042372")</f>
        <v>0</v>
      </c>
      <c r="B12986" t="s">
        <v>1947</v>
      </c>
      <c r="C12986" t="s">
        <v>15826</v>
      </c>
      <c r="D12986" t="s">
        <v>16626</v>
      </c>
      <c r="E12986" t="s">
        <v>27921</v>
      </c>
      <c r="F12986" t="s">
        <v>28669</v>
      </c>
      <c r="G12986" t="s">
        <v>28675</v>
      </c>
      <c r="H12986" t="s">
        <v>9998</v>
      </c>
      <c r="I12986" t="s">
        <v>28687</v>
      </c>
      <c r="J12986" t="s">
        <v>36757</v>
      </c>
      <c r="K12986" t="s">
        <v>37206</v>
      </c>
      <c r="M12986" t="s">
        <v>39577</v>
      </c>
      <c r="N12986" t="s">
        <v>41249</v>
      </c>
      <c r="O12986" t="s">
        <v>41250</v>
      </c>
      <c r="Q12986">
        <v>11</v>
      </c>
      <c r="R12986" t="s">
        <v>41271</v>
      </c>
      <c r="S12986" t="s">
        <v>42195</v>
      </c>
      <c r="T12986" t="s">
        <v>42747</v>
      </c>
      <c r="U12986" t="s">
        <v>53594</v>
      </c>
      <c r="W12986" t="s">
        <v>39577</v>
      </c>
      <c r="X12986" t="s">
        <v>41272</v>
      </c>
    </row>
    <row r="12987" spans="1:24">
      <c r="A12987">
        <f>HYPERLINK("https://www.philgeps.gov.ph/GEPSNONPILOT/Tender/SplashBidNoticeAbstractUI.aspx?menuIndex=3&amp;refID=7042287&amp;Result=3","7042287")</f>
        <v>0</v>
      </c>
      <c r="B12987" t="s">
        <v>1279</v>
      </c>
      <c r="C12987" t="s">
        <v>15827</v>
      </c>
      <c r="D12987" t="s">
        <v>16646</v>
      </c>
      <c r="E12987" t="s">
        <v>27922</v>
      </c>
      <c r="F12987" t="s">
        <v>28671</v>
      </c>
      <c r="G12987" t="s">
        <v>28675</v>
      </c>
      <c r="H12987" t="s">
        <v>9998</v>
      </c>
      <c r="I12987" t="s">
        <v>28693</v>
      </c>
      <c r="J12987" t="s">
        <v>36758</v>
      </c>
      <c r="K12987" t="s">
        <v>37213</v>
      </c>
      <c r="M12987" t="s">
        <v>38829</v>
      </c>
      <c r="N12987" t="s">
        <v>41249</v>
      </c>
      <c r="O12987" t="s">
        <v>41250</v>
      </c>
      <c r="Q12987">
        <v>28</v>
      </c>
      <c r="R12987" t="s">
        <v>41271</v>
      </c>
      <c r="S12987" t="s">
        <v>42196</v>
      </c>
      <c r="T12987" t="s">
        <v>42774</v>
      </c>
      <c r="U12987" t="s">
        <v>53595</v>
      </c>
      <c r="W12987" t="s">
        <v>38829</v>
      </c>
      <c r="X12987" t="s">
        <v>41272</v>
      </c>
    </row>
    <row r="12988" spans="1:24">
      <c r="A12988">
        <f>HYPERLINK("https://www.philgeps.gov.ph/GEPSNONPILOT/Tender/SplashBidNoticeAbstractUI.aspx?menuIndex=3&amp;refID=7042527&amp;Result=3","7042527")</f>
        <v>0</v>
      </c>
      <c r="B12988" t="s">
        <v>1397</v>
      </c>
      <c r="C12988" t="s">
        <v>15828</v>
      </c>
      <c r="D12988" t="s">
        <v>16640</v>
      </c>
      <c r="E12988" t="s">
        <v>27923</v>
      </c>
      <c r="F12988" t="s">
        <v>28669</v>
      </c>
      <c r="G12988" t="s">
        <v>28675</v>
      </c>
      <c r="H12988" t="s">
        <v>28686</v>
      </c>
      <c r="I12988" t="s">
        <v>28689</v>
      </c>
      <c r="J12988" t="s">
        <v>30503</v>
      </c>
      <c r="K12988" t="s">
        <v>37215</v>
      </c>
      <c r="M12988" t="s">
        <v>40812</v>
      </c>
      <c r="N12988" t="s">
        <v>41249</v>
      </c>
      <c r="O12988" t="s">
        <v>41250</v>
      </c>
      <c r="Q12988">
        <v>9</v>
      </c>
      <c r="R12988" t="s">
        <v>41271</v>
      </c>
      <c r="S12988" t="s">
        <v>42197</v>
      </c>
      <c r="T12988" t="s">
        <v>42727</v>
      </c>
      <c r="U12988" t="s">
        <v>53583</v>
      </c>
      <c r="V12988" t="s">
        <v>55805</v>
      </c>
      <c r="W12988" t="s">
        <v>40812</v>
      </c>
      <c r="X12988" t="s">
        <v>41272</v>
      </c>
    </row>
    <row r="12989" spans="1:24">
      <c r="A12989">
        <f>HYPERLINK("https://www.philgeps.gov.ph/GEPSNONPILOT/Tender/SplashBidNoticeAbstractUI.aspx?menuIndex=3&amp;refID=7042483&amp;Result=3","7042483")</f>
        <v>0</v>
      </c>
      <c r="B12989" t="s">
        <v>1397</v>
      </c>
      <c r="C12989" t="s">
        <v>15829</v>
      </c>
      <c r="D12989" t="s">
        <v>16640</v>
      </c>
      <c r="E12989" t="s">
        <v>27924</v>
      </c>
      <c r="F12989" t="s">
        <v>28669</v>
      </c>
      <c r="G12989" t="s">
        <v>28675</v>
      </c>
      <c r="H12989" t="s">
        <v>28686</v>
      </c>
      <c r="I12989" t="s">
        <v>28689</v>
      </c>
      <c r="J12989" t="s">
        <v>35156</v>
      </c>
      <c r="K12989" t="s">
        <v>37213</v>
      </c>
      <c r="M12989" t="s">
        <v>40812</v>
      </c>
      <c r="N12989" t="s">
        <v>41249</v>
      </c>
      <c r="O12989" t="s">
        <v>41250</v>
      </c>
      <c r="Q12989">
        <v>9</v>
      </c>
      <c r="R12989" t="s">
        <v>41271</v>
      </c>
      <c r="S12989" t="s">
        <v>42198</v>
      </c>
      <c r="T12989" t="s">
        <v>42727</v>
      </c>
      <c r="U12989" t="s">
        <v>53583</v>
      </c>
      <c r="V12989" t="s">
        <v>55805</v>
      </c>
      <c r="W12989" t="s">
        <v>40812</v>
      </c>
      <c r="X12989" t="s">
        <v>41272</v>
      </c>
    </row>
    <row r="12990" spans="1:24">
      <c r="A12990">
        <f>HYPERLINK("https://www.philgeps.gov.ph/GEPSNONPILOT/Tender/SplashBidNoticeAbstractUI.aspx?menuIndex=3&amp;refID=7042786&amp;Result=3","7042786")</f>
        <v>0</v>
      </c>
      <c r="B12990" t="s">
        <v>1397</v>
      </c>
      <c r="C12990" t="s">
        <v>15830</v>
      </c>
      <c r="D12990" t="s">
        <v>16640</v>
      </c>
      <c r="E12990" t="s">
        <v>27925</v>
      </c>
      <c r="F12990" t="s">
        <v>28669</v>
      </c>
      <c r="G12990" t="s">
        <v>28675</v>
      </c>
      <c r="H12990" t="s">
        <v>28686</v>
      </c>
      <c r="I12990" t="s">
        <v>28689</v>
      </c>
      <c r="J12990" t="s">
        <v>31637</v>
      </c>
      <c r="K12990" t="s">
        <v>37276</v>
      </c>
      <c r="M12990" t="s">
        <v>40812</v>
      </c>
      <c r="N12990" t="s">
        <v>41249</v>
      </c>
      <c r="O12990" t="s">
        <v>41250</v>
      </c>
      <c r="Q12990">
        <v>17</v>
      </c>
      <c r="R12990" t="s">
        <v>41271</v>
      </c>
      <c r="S12990" t="s">
        <v>42199</v>
      </c>
      <c r="T12990" t="s">
        <v>42727</v>
      </c>
      <c r="U12990" t="s">
        <v>53583</v>
      </c>
      <c r="V12990" t="s">
        <v>55805</v>
      </c>
      <c r="W12990" t="s">
        <v>40812</v>
      </c>
      <c r="X12990" t="s">
        <v>41272</v>
      </c>
    </row>
    <row r="12991" spans="1:24">
      <c r="A12991">
        <f>HYPERLINK("https://www.philgeps.gov.ph/GEPSNONPILOT/Tender/SplashBidNoticeAbstractUI.aspx?menuIndex=3&amp;refID=7042300&amp;Result=3","7042300")</f>
        <v>0</v>
      </c>
      <c r="B12991" t="s">
        <v>1090</v>
      </c>
      <c r="C12991" t="s">
        <v>15831</v>
      </c>
      <c r="D12991" t="s">
        <v>16621</v>
      </c>
      <c r="E12991" t="s">
        <v>27926</v>
      </c>
      <c r="F12991" t="s">
        <v>28669</v>
      </c>
      <c r="G12991" t="s">
        <v>28675</v>
      </c>
      <c r="H12991" t="s">
        <v>9998</v>
      </c>
      <c r="I12991" t="s">
        <v>28722</v>
      </c>
      <c r="J12991" t="s">
        <v>36759</v>
      </c>
      <c r="K12991" t="s">
        <v>37206</v>
      </c>
      <c r="M12991" t="s">
        <v>41138</v>
      </c>
      <c r="N12991" t="s">
        <v>41249</v>
      </c>
      <c r="O12991" t="s">
        <v>41250</v>
      </c>
      <c r="P12991">
        <v>0</v>
      </c>
      <c r="Q12991">
        <v>5</v>
      </c>
      <c r="R12991" t="s">
        <v>41271</v>
      </c>
      <c r="S12991" t="s">
        <v>42169</v>
      </c>
      <c r="T12991" t="s">
        <v>42728</v>
      </c>
      <c r="U12991" t="s">
        <v>53596</v>
      </c>
      <c r="W12991" t="s">
        <v>41138</v>
      </c>
      <c r="X12991" t="s">
        <v>41272</v>
      </c>
    </row>
    <row r="12992" spans="1:24">
      <c r="A12992">
        <f>HYPERLINK("https://www.philgeps.gov.ph/GEPSNONPILOT/Tender/SplashBidNoticeAbstractUI.aspx?menuIndex=3&amp;refID=7042769&amp;Result=3","7042769")</f>
        <v>0</v>
      </c>
      <c r="B12992" t="s">
        <v>1397</v>
      </c>
      <c r="C12992" t="s">
        <v>15832</v>
      </c>
      <c r="D12992" t="s">
        <v>16640</v>
      </c>
      <c r="E12992" t="s">
        <v>27927</v>
      </c>
      <c r="F12992" t="s">
        <v>28669</v>
      </c>
      <c r="G12992" t="s">
        <v>28675</v>
      </c>
      <c r="H12992" t="s">
        <v>28686</v>
      </c>
      <c r="I12992" t="s">
        <v>28689</v>
      </c>
      <c r="J12992" t="s">
        <v>32463</v>
      </c>
      <c r="K12992" t="s">
        <v>37212</v>
      </c>
      <c r="M12992" t="s">
        <v>40812</v>
      </c>
      <c r="N12992" t="s">
        <v>41249</v>
      </c>
      <c r="O12992" t="s">
        <v>41250</v>
      </c>
      <c r="Q12992">
        <v>13</v>
      </c>
      <c r="R12992" t="s">
        <v>41271</v>
      </c>
      <c r="S12992" t="s">
        <v>42200</v>
      </c>
      <c r="T12992" t="s">
        <v>42727</v>
      </c>
      <c r="U12992" t="s">
        <v>53583</v>
      </c>
      <c r="V12992" t="s">
        <v>55805</v>
      </c>
      <c r="W12992" t="s">
        <v>40812</v>
      </c>
      <c r="X12992" t="s">
        <v>41272</v>
      </c>
    </row>
    <row r="12993" spans="1:24">
      <c r="A12993">
        <f>HYPERLINK("https://www.philgeps.gov.ph/GEPSNONPILOT/Tender/SplashBidNoticeAbstractUI.aspx?menuIndex=3&amp;refID=7042497&amp;Result=3","7042497")</f>
        <v>0</v>
      </c>
      <c r="B12993" t="s">
        <v>2310</v>
      </c>
      <c r="C12993" t="s">
        <v>15833</v>
      </c>
      <c r="D12993" t="s">
        <v>16648</v>
      </c>
      <c r="E12993" t="s">
        <v>27928</v>
      </c>
      <c r="F12993" t="s">
        <v>28669</v>
      </c>
      <c r="G12993" t="s">
        <v>28675</v>
      </c>
      <c r="H12993" t="s">
        <v>28686</v>
      </c>
      <c r="I12993" t="s">
        <v>28702</v>
      </c>
      <c r="J12993" t="s">
        <v>28881</v>
      </c>
      <c r="K12993" t="s">
        <v>37212</v>
      </c>
      <c r="M12993" t="s">
        <v>39969</v>
      </c>
      <c r="N12993" t="s">
        <v>41249</v>
      </c>
      <c r="O12993" t="s">
        <v>41250</v>
      </c>
      <c r="P12993">
        <v>0</v>
      </c>
      <c r="Q12993">
        <v>2</v>
      </c>
      <c r="R12993" t="s">
        <v>41271</v>
      </c>
      <c r="S12993" t="s">
        <v>42169</v>
      </c>
      <c r="T12993" t="s">
        <v>42764</v>
      </c>
      <c r="U12993" t="s">
        <v>53597</v>
      </c>
      <c r="W12993" t="s">
        <v>39969</v>
      </c>
      <c r="X12993" t="s">
        <v>41272</v>
      </c>
    </row>
    <row r="12994" spans="1:24">
      <c r="A12994">
        <f>HYPERLINK("https://www.philgeps.gov.ph/GEPSNONPILOT/Tender/SplashBidNoticeAbstractUI.aspx?menuIndex=3&amp;refID=7042760&amp;Result=3","7042760")</f>
        <v>0</v>
      </c>
      <c r="B12994" t="s">
        <v>1397</v>
      </c>
      <c r="C12994" t="s">
        <v>15834</v>
      </c>
      <c r="D12994" t="s">
        <v>16640</v>
      </c>
      <c r="E12994" t="s">
        <v>27929</v>
      </c>
      <c r="F12994" t="s">
        <v>28669</v>
      </c>
      <c r="G12994" t="s">
        <v>28675</v>
      </c>
      <c r="H12994" t="s">
        <v>28686</v>
      </c>
      <c r="I12994" t="s">
        <v>28689</v>
      </c>
      <c r="J12994" t="s">
        <v>32463</v>
      </c>
      <c r="K12994" t="s">
        <v>37305</v>
      </c>
      <c r="M12994" t="s">
        <v>40812</v>
      </c>
      <c r="N12994" t="s">
        <v>41249</v>
      </c>
      <c r="O12994" t="s">
        <v>41250</v>
      </c>
      <c r="Q12994">
        <v>15</v>
      </c>
      <c r="R12994" t="s">
        <v>41271</v>
      </c>
      <c r="S12994" t="s">
        <v>42201</v>
      </c>
      <c r="T12994" t="s">
        <v>42727</v>
      </c>
      <c r="U12994" t="s">
        <v>53583</v>
      </c>
      <c r="V12994" t="s">
        <v>55805</v>
      </c>
      <c r="W12994" t="s">
        <v>40812</v>
      </c>
      <c r="X12994" t="s">
        <v>41272</v>
      </c>
    </row>
    <row r="12995" spans="1:24">
      <c r="A12995">
        <f>HYPERLINK("https://www.philgeps.gov.ph/GEPSNONPILOT/Tender/SplashBidNoticeAbstractUI.aspx?menuIndex=3&amp;refID=7042739&amp;Result=3","7042739")</f>
        <v>0</v>
      </c>
      <c r="B12995" t="s">
        <v>1397</v>
      </c>
      <c r="C12995" t="s">
        <v>15835</v>
      </c>
      <c r="D12995" t="s">
        <v>16640</v>
      </c>
      <c r="E12995" t="s">
        <v>27930</v>
      </c>
      <c r="F12995" t="s">
        <v>28669</v>
      </c>
      <c r="G12995" t="s">
        <v>28675</v>
      </c>
      <c r="H12995" t="s">
        <v>28686</v>
      </c>
      <c r="I12995" t="s">
        <v>28689</v>
      </c>
      <c r="J12995" t="s">
        <v>29298</v>
      </c>
      <c r="K12995" t="s">
        <v>37290</v>
      </c>
      <c r="M12995" t="s">
        <v>40812</v>
      </c>
      <c r="N12995" t="s">
        <v>41249</v>
      </c>
      <c r="O12995" t="s">
        <v>41250</v>
      </c>
      <c r="Q12995">
        <v>14</v>
      </c>
      <c r="R12995" t="s">
        <v>41271</v>
      </c>
      <c r="S12995" t="s">
        <v>42202</v>
      </c>
      <c r="T12995" t="s">
        <v>42727</v>
      </c>
      <c r="U12995" t="s">
        <v>53583</v>
      </c>
      <c r="V12995" t="s">
        <v>55805</v>
      </c>
      <c r="W12995" t="s">
        <v>40812</v>
      </c>
      <c r="X12995" t="s">
        <v>41272</v>
      </c>
    </row>
    <row r="12996" spans="1:24">
      <c r="A12996">
        <f>HYPERLINK("https://www.philgeps.gov.ph/GEPSNONPILOT/Tender/SplashBidNoticeAbstractUI.aspx?menuIndex=3&amp;refID=7042732&amp;Result=3","7042732")</f>
        <v>0</v>
      </c>
      <c r="B12996" t="s">
        <v>1201</v>
      </c>
      <c r="C12996" t="s">
        <v>15836</v>
      </c>
      <c r="D12996" t="s">
        <v>16646</v>
      </c>
      <c r="E12996" t="s">
        <v>27931</v>
      </c>
      <c r="F12996" t="s">
        <v>28669</v>
      </c>
      <c r="G12996" t="s">
        <v>28675</v>
      </c>
      <c r="H12996" t="s">
        <v>28686</v>
      </c>
      <c r="I12996" t="s">
        <v>28689</v>
      </c>
      <c r="J12996" t="s">
        <v>36760</v>
      </c>
      <c r="K12996" t="s">
        <v>37206</v>
      </c>
      <c r="M12996" t="s">
        <v>38741</v>
      </c>
      <c r="N12996" t="s">
        <v>41249</v>
      </c>
      <c r="O12996" t="s">
        <v>41250</v>
      </c>
      <c r="P12996">
        <v>0</v>
      </c>
      <c r="Q12996">
        <v>3</v>
      </c>
      <c r="R12996" t="s">
        <v>41271</v>
      </c>
      <c r="S12996" t="s">
        <v>42169</v>
      </c>
      <c r="T12996" t="s">
        <v>42754</v>
      </c>
      <c r="U12996" t="s">
        <v>53598</v>
      </c>
      <c r="W12996" t="s">
        <v>55945</v>
      </c>
      <c r="X12996" t="s">
        <v>41272</v>
      </c>
    </row>
    <row r="12997" spans="1:24">
      <c r="A12997">
        <f>HYPERLINK("https://www.philgeps.gov.ph/GEPSNONPILOT/Tender/SplashBidNoticeAbstractUI.aspx?menuIndex=3&amp;refID=7042728&amp;Result=3","7042728")</f>
        <v>0</v>
      </c>
      <c r="B12997" t="s">
        <v>3308</v>
      </c>
      <c r="C12997" t="s">
        <v>15837</v>
      </c>
      <c r="D12997" t="s">
        <v>16668</v>
      </c>
      <c r="E12997" t="s">
        <v>27932</v>
      </c>
      <c r="F12997" t="s">
        <v>28669</v>
      </c>
      <c r="G12997" t="s">
        <v>28675</v>
      </c>
      <c r="H12997" t="s">
        <v>9998</v>
      </c>
      <c r="I12997" t="s">
        <v>28708</v>
      </c>
      <c r="J12997" t="s">
        <v>29141</v>
      </c>
      <c r="K12997" t="s">
        <v>37312</v>
      </c>
      <c r="M12997" t="s">
        <v>41143</v>
      </c>
      <c r="N12997" t="s">
        <v>41249</v>
      </c>
      <c r="O12997" t="s">
        <v>41250</v>
      </c>
      <c r="P12997">
        <v>0</v>
      </c>
      <c r="Q12997">
        <v>4</v>
      </c>
      <c r="R12997" t="s">
        <v>41271</v>
      </c>
      <c r="S12997" t="s">
        <v>42169</v>
      </c>
      <c r="T12997" t="s">
        <v>43156</v>
      </c>
      <c r="U12997" t="s">
        <v>53599</v>
      </c>
      <c r="W12997" t="s">
        <v>41143</v>
      </c>
      <c r="X12997" t="s">
        <v>41272</v>
      </c>
    </row>
    <row r="12998" spans="1:24">
      <c r="A12998">
        <f>HYPERLINK("https://www.philgeps.gov.ph/GEPSNONPILOT/Tender/SplashBidNoticeAbstractUI.aspx?menuIndex=3&amp;refID=7042726&amp;Result=3","7042726")</f>
        <v>0</v>
      </c>
      <c r="B12998" t="s">
        <v>1397</v>
      </c>
      <c r="C12998" t="s">
        <v>15838</v>
      </c>
      <c r="D12998" t="s">
        <v>16640</v>
      </c>
      <c r="E12998" t="s">
        <v>27933</v>
      </c>
      <c r="F12998" t="s">
        <v>28669</v>
      </c>
      <c r="G12998" t="s">
        <v>28675</v>
      </c>
      <c r="H12998" t="s">
        <v>28686</v>
      </c>
      <c r="I12998" t="s">
        <v>28689</v>
      </c>
      <c r="J12998" t="s">
        <v>36761</v>
      </c>
      <c r="K12998" t="s">
        <v>37212</v>
      </c>
      <c r="M12998" t="s">
        <v>40812</v>
      </c>
      <c r="N12998" t="s">
        <v>41249</v>
      </c>
      <c r="O12998" t="s">
        <v>41250</v>
      </c>
      <c r="Q12998">
        <v>15</v>
      </c>
      <c r="R12998" t="s">
        <v>41271</v>
      </c>
      <c r="S12998" t="s">
        <v>42203</v>
      </c>
      <c r="T12998" t="s">
        <v>42727</v>
      </c>
      <c r="U12998" t="s">
        <v>53583</v>
      </c>
      <c r="V12998" t="s">
        <v>55805</v>
      </c>
      <c r="W12998" t="s">
        <v>40812</v>
      </c>
      <c r="X12998" t="s">
        <v>41272</v>
      </c>
    </row>
    <row r="12999" spans="1:24">
      <c r="A12999">
        <f>HYPERLINK("https://www.philgeps.gov.ph/GEPSNONPILOT/Tender/SplashBidNoticeAbstractUI.aspx?menuIndex=3&amp;refID=7042730&amp;Result=3","7042730")</f>
        <v>0</v>
      </c>
      <c r="B12999" t="s">
        <v>2965</v>
      </c>
      <c r="C12999" t="s">
        <v>15839</v>
      </c>
      <c r="D12999" t="s">
        <v>16679</v>
      </c>
      <c r="E12999" t="s">
        <v>27934</v>
      </c>
      <c r="F12999" t="s">
        <v>28669</v>
      </c>
      <c r="G12999" t="s">
        <v>28675</v>
      </c>
      <c r="H12999" t="s">
        <v>28686</v>
      </c>
      <c r="I12999" t="s">
        <v>28689</v>
      </c>
      <c r="J12999" t="s">
        <v>29059</v>
      </c>
      <c r="K12999" t="s">
        <v>37346</v>
      </c>
      <c r="M12999" t="s">
        <v>40726</v>
      </c>
      <c r="N12999" t="s">
        <v>41249</v>
      </c>
      <c r="O12999" t="s">
        <v>41250</v>
      </c>
      <c r="P12999">
        <v>0</v>
      </c>
      <c r="Q12999">
        <v>9</v>
      </c>
      <c r="R12999" t="s">
        <v>41271</v>
      </c>
      <c r="S12999" t="s">
        <v>42169</v>
      </c>
      <c r="T12999" t="s">
        <v>42673</v>
      </c>
      <c r="U12999" t="s">
        <v>51670</v>
      </c>
      <c r="W12999" t="s">
        <v>40726</v>
      </c>
      <c r="X12999" t="s">
        <v>41272</v>
      </c>
    </row>
    <row r="13000" spans="1:24">
      <c r="A13000">
        <f>HYPERLINK("https://www.philgeps.gov.ph/GEPSNONPILOT/Tender/SplashBidNoticeAbstractUI.aspx?menuIndex=3&amp;refID=7042735&amp;Result=3","7042735")</f>
        <v>0</v>
      </c>
      <c r="B13000" t="s">
        <v>1468</v>
      </c>
      <c r="C13000" t="s">
        <v>15840</v>
      </c>
      <c r="D13000" t="s">
        <v>16611</v>
      </c>
      <c r="E13000" t="s">
        <v>27935</v>
      </c>
      <c r="F13000" t="s">
        <v>28669</v>
      </c>
      <c r="G13000" t="s">
        <v>28675</v>
      </c>
      <c r="H13000" t="s">
        <v>9998</v>
      </c>
      <c r="I13000" t="s">
        <v>28706</v>
      </c>
      <c r="J13000" t="s">
        <v>36762</v>
      </c>
      <c r="K13000" t="s">
        <v>37220</v>
      </c>
      <c r="M13000" t="s">
        <v>39036</v>
      </c>
      <c r="N13000" t="s">
        <v>41249</v>
      </c>
      <c r="O13000" t="s">
        <v>41250</v>
      </c>
      <c r="P13000">
        <v>0</v>
      </c>
      <c r="Q13000">
        <v>5</v>
      </c>
      <c r="R13000" t="s">
        <v>41271</v>
      </c>
      <c r="S13000" t="s">
        <v>42169</v>
      </c>
      <c r="T13000" t="s">
        <v>42703</v>
      </c>
      <c r="U13000" t="s">
        <v>49319</v>
      </c>
      <c r="W13000" t="s">
        <v>39036</v>
      </c>
      <c r="X13000" t="s">
        <v>41272</v>
      </c>
    </row>
    <row r="13001" spans="1:24">
      <c r="A13001">
        <f>HYPERLINK("https://www.philgeps.gov.ph/GEPSNONPILOT/Tender/SplashBidNoticeAbstractUI.aspx?menuIndex=3&amp;refID=7042694&amp;Result=3","7042694")</f>
        <v>0</v>
      </c>
      <c r="B13001" t="s">
        <v>1397</v>
      </c>
      <c r="C13001" t="s">
        <v>15841</v>
      </c>
      <c r="D13001" t="s">
        <v>16640</v>
      </c>
      <c r="E13001" t="s">
        <v>27936</v>
      </c>
      <c r="F13001" t="s">
        <v>28669</v>
      </c>
      <c r="G13001" t="s">
        <v>28675</v>
      </c>
      <c r="H13001" t="s">
        <v>28686</v>
      </c>
      <c r="I13001" t="s">
        <v>28689</v>
      </c>
      <c r="J13001" t="s">
        <v>30823</v>
      </c>
      <c r="K13001" t="s">
        <v>37215</v>
      </c>
      <c r="M13001" t="s">
        <v>40812</v>
      </c>
      <c r="N13001" t="s">
        <v>41249</v>
      </c>
      <c r="O13001" t="s">
        <v>41250</v>
      </c>
      <c r="Q13001">
        <v>12</v>
      </c>
      <c r="R13001" t="s">
        <v>41271</v>
      </c>
      <c r="S13001" t="s">
        <v>42204</v>
      </c>
      <c r="T13001" t="s">
        <v>42727</v>
      </c>
      <c r="U13001" t="s">
        <v>53583</v>
      </c>
      <c r="V13001" t="s">
        <v>55805</v>
      </c>
      <c r="W13001" t="s">
        <v>40812</v>
      </c>
      <c r="X13001" t="s">
        <v>41272</v>
      </c>
    </row>
    <row r="13002" spans="1:24">
      <c r="A13002">
        <f>HYPERLINK("https://www.philgeps.gov.ph/GEPSNONPILOT/Tender/SplashBidNoticeAbstractUI.aspx?menuIndex=3&amp;refID=7042667&amp;Result=3","7042667")</f>
        <v>0</v>
      </c>
      <c r="B13002" t="s">
        <v>3308</v>
      </c>
      <c r="C13002" t="s">
        <v>15842</v>
      </c>
      <c r="D13002" t="s">
        <v>16668</v>
      </c>
      <c r="E13002" t="s">
        <v>27937</v>
      </c>
      <c r="F13002" t="s">
        <v>28669</v>
      </c>
      <c r="G13002" t="s">
        <v>28675</v>
      </c>
      <c r="H13002" t="s">
        <v>9998</v>
      </c>
      <c r="I13002" t="s">
        <v>28717</v>
      </c>
      <c r="J13002" t="s">
        <v>36763</v>
      </c>
      <c r="K13002" t="s">
        <v>37312</v>
      </c>
      <c r="M13002" t="s">
        <v>41143</v>
      </c>
      <c r="N13002" t="s">
        <v>41249</v>
      </c>
      <c r="O13002" t="s">
        <v>41250</v>
      </c>
      <c r="P13002">
        <v>0</v>
      </c>
      <c r="Q13002">
        <v>5</v>
      </c>
      <c r="R13002" t="s">
        <v>41271</v>
      </c>
      <c r="S13002" t="s">
        <v>42169</v>
      </c>
      <c r="T13002" t="s">
        <v>43156</v>
      </c>
      <c r="U13002" t="s">
        <v>53600</v>
      </c>
      <c r="W13002" t="s">
        <v>41143</v>
      </c>
      <c r="X13002" t="s">
        <v>41272</v>
      </c>
    </row>
    <row r="13003" spans="1:24">
      <c r="A13003">
        <f>HYPERLINK("https://www.philgeps.gov.ph/GEPSNONPILOT/Tender/SplashBidNoticeAbstractUI.aspx?menuIndex=3&amp;refID=7042639&amp;Result=3","7042639")</f>
        <v>0</v>
      </c>
      <c r="B13003" t="s">
        <v>3038</v>
      </c>
      <c r="C13003" t="s">
        <v>15843</v>
      </c>
      <c r="D13003" t="s">
        <v>16624</v>
      </c>
      <c r="E13003" t="s">
        <v>27938</v>
      </c>
      <c r="F13003" t="s">
        <v>28669</v>
      </c>
      <c r="G13003" t="s">
        <v>28675</v>
      </c>
      <c r="H13003" t="s">
        <v>28686</v>
      </c>
      <c r="I13003" t="s">
        <v>28689</v>
      </c>
      <c r="J13003" t="s">
        <v>29112</v>
      </c>
      <c r="K13003" t="s">
        <v>37220</v>
      </c>
      <c r="M13003" t="s">
        <v>40811</v>
      </c>
      <c r="N13003" t="s">
        <v>41249</v>
      </c>
      <c r="O13003" t="s">
        <v>41250</v>
      </c>
      <c r="P13003">
        <v>0</v>
      </c>
      <c r="Q13003">
        <v>3</v>
      </c>
      <c r="R13003" t="s">
        <v>41271</v>
      </c>
      <c r="S13003" t="s">
        <v>42169</v>
      </c>
      <c r="T13003" t="s">
        <v>43157</v>
      </c>
      <c r="U13003" t="s">
        <v>53601</v>
      </c>
      <c r="W13003" t="s">
        <v>40811</v>
      </c>
      <c r="X13003" t="s">
        <v>41272</v>
      </c>
    </row>
    <row r="13004" spans="1:24">
      <c r="A13004">
        <f>HYPERLINK("https://www.philgeps.gov.ph/GEPSNONPILOT/Tender/SplashBidNoticeAbstractUI.aspx?menuIndex=3&amp;refID=7042618&amp;Result=3","7042618")</f>
        <v>0</v>
      </c>
      <c r="B13004" t="s">
        <v>2325</v>
      </c>
      <c r="C13004" t="s">
        <v>15844</v>
      </c>
      <c r="D13004" t="s">
        <v>16646</v>
      </c>
      <c r="E13004" t="s">
        <v>27939</v>
      </c>
      <c r="F13004" t="s">
        <v>28669</v>
      </c>
      <c r="G13004" t="s">
        <v>28675</v>
      </c>
      <c r="H13004" t="s">
        <v>9998</v>
      </c>
      <c r="I13004" t="s">
        <v>28694</v>
      </c>
      <c r="J13004" t="s">
        <v>36764</v>
      </c>
      <c r="K13004" t="s">
        <v>37220</v>
      </c>
      <c r="M13004" t="s">
        <v>39986</v>
      </c>
      <c r="N13004" t="s">
        <v>41249</v>
      </c>
      <c r="O13004" t="s">
        <v>41250</v>
      </c>
      <c r="P13004">
        <v>0</v>
      </c>
      <c r="Q13004">
        <v>8</v>
      </c>
      <c r="R13004" t="s">
        <v>41271</v>
      </c>
      <c r="S13004" t="s">
        <v>42169</v>
      </c>
      <c r="T13004" t="s">
        <v>42679</v>
      </c>
      <c r="U13004" t="s">
        <v>53602</v>
      </c>
      <c r="W13004" t="s">
        <v>39986</v>
      </c>
      <c r="X13004" t="s">
        <v>41272</v>
      </c>
    </row>
    <row r="13005" spans="1:24">
      <c r="A13005">
        <f>HYPERLINK("https://www.philgeps.gov.ph/GEPSNONPILOT/Tender/SplashBidNoticeAbstractUI.aspx?menuIndex=3&amp;refID=7042082&amp;Result=3","7042082")</f>
        <v>0</v>
      </c>
      <c r="B13005" t="s">
        <v>781</v>
      </c>
      <c r="C13005" t="s">
        <v>15845</v>
      </c>
      <c r="D13005" t="s">
        <v>16620</v>
      </c>
      <c r="E13005" t="s">
        <v>20817</v>
      </c>
      <c r="F13005" t="s">
        <v>28669</v>
      </c>
      <c r="G13005" t="s">
        <v>28675</v>
      </c>
      <c r="H13005" t="s">
        <v>28686</v>
      </c>
      <c r="I13005" t="s">
        <v>28689</v>
      </c>
      <c r="J13005" t="s">
        <v>36765</v>
      </c>
      <c r="K13005" t="s">
        <v>37255</v>
      </c>
      <c r="M13005" t="s">
        <v>38295</v>
      </c>
      <c r="N13005" t="s">
        <v>41249</v>
      </c>
      <c r="O13005" t="s">
        <v>41250</v>
      </c>
      <c r="P13005">
        <v>0</v>
      </c>
      <c r="Q13005">
        <v>2</v>
      </c>
      <c r="R13005" t="s">
        <v>41271</v>
      </c>
      <c r="S13005" t="s">
        <v>42169</v>
      </c>
      <c r="T13005" t="s">
        <v>42727</v>
      </c>
      <c r="U13005" t="s">
        <v>53603</v>
      </c>
      <c r="W13005" t="s">
        <v>38295</v>
      </c>
      <c r="X13005" t="s">
        <v>41272</v>
      </c>
    </row>
    <row r="13006" spans="1:24">
      <c r="A13006">
        <f>HYPERLINK("https://www.philgeps.gov.ph/GEPSNONPILOT/Tender/SplashBidNoticeAbstractUI.aspx?menuIndex=3&amp;refID=7042615&amp;Result=3","7042615")</f>
        <v>0</v>
      </c>
      <c r="B13006" t="s">
        <v>411</v>
      </c>
      <c r="C13006" t="s">
        <v>15814</v>
      </c>
      <c r="D13006" t="s">
        <v>16616</v>
      </c>
      <c r="E13006" t="s">
        <v>27940</v>
      </c>
      <c r="F13006" t="s">
        <v>28669</v>
      </c>
      <c r="G13006" t="s">
        <v>28675</v>
      </c>
      <c r="H13006" t="s">
        <v>9998</v>
      </c>
      <c r="I13006" t="s">
        <v>28736</v>
      </c>
      <c r="J13006" t="s">
        <v>36766</v>
      </c>
      <c r="K13006" t="s">
        <v>37206</v>
      </c>
      <c r="M13006" t="s">
        <v>37896</v>
      </c>
      <c r="N13006" t="s">
        <v>41249</v>
      </c>
      <c r="O13006" t="s">
        <v>41250</v>
      </c>
      <c r="Q13006">
        <v>2</v>
      </c>
      <c r="R13006" t="s">
        <v>41271</v>
      </c>
      <c r="S13006" t="s">
        <v>42205</v>
      </c>
      <c r="T13006" t="s">
        <v>42738</v>
      </c>
      <c r="U13006" t="s">
        <v>53604</v>
      </c>
      <c r="W13006" t="s">
        <v>37896</v>
      </c>
      <c r="X13006" t="s">
        <v>41272</v>
      </c>
    </row>
    <row r="13007" spans="1:24">
      <c r="A13007">
        <f>HYPERLINK("https://www.philgeps.gov.ph/GEPSNONPILOT/Tender/SplashBidNoticeAbstractUI.aspx?menuIndex=3&amp;refID=7042569&amp;Result=3","7042569")</f>
        <v>0</v>
      </c>
      <c r="B13007" t="s">
        <v>1397</v>
      </c>
      <c r="C13007" t="s">
        <v>15846</v>
      </c>
      <c r="D13007" t="s">
        <v>16640</v>
      </c>
      <c r="E13007" t="s">
        <v>27941</v>
      </c>
      <c r="F13007" t="s">
        <v>28669</v>
      </c>
      <c r="G13007" t="s">
        <v>28675</v>
      </c>
      <c r="H13007" t="s">
        <v>28686</v>
      </c>
      <c r="I13007" t="s">
        <v>28689</v>
      </c>
      <c r="J13007" t="s">
        <v>30823</v>
      </c>
      <c r="K13007" t="s">
        <v>37215</v>
      </c>
      <c r="M13007" t="s">
        <v>40812</v>
      </c>
      <c r="N13007" t="s">
        <v>41249</v>
      </c>
      <c r="O13007" t="s">
        <v>41250</v>
      </c>
      <c r="Q13007">
        <v>13</v>
      </c>
      <c r="R13007" t="s">
        <v>41271</v>
      </c>
      <c r="S13007" t="s">
        <v>42206</v>
      </c>
      <c r="T13007" t="s">
        <v>42727</v>
      </c>
      <c r="U13007" t="s">
        <v>53583</v>
      </c>
      <c r="V13007" t="s">
        <v>55805</v>
      </c>
      <c r="W13007" t="s">
        <v>40812</v>
      </c>
      <c r="X13007" t="s">
        <v>41272</v>
      </c>
    </row>
    <row r="13008" spans="1:24">
      <c r="A13008">
        <f>HYPERLINK("https://www.philgeps.gov.ph/GEPSNONPILOT/Tender/SplashBidNoticeAbstractUI.aspx?menuIndex=3&amp;refID=7042559&amp;Result=3","7042559")</f>
        <v>0</v>
      </c>
      <c r="B13008" t="s">
        <v>1397</v>
      </c>
      <c r="C13008" t="s">
        <v>15847</v>
      </c>
      <c r="D13008" t="s">
        <v>16640</v>
      </c>
      <c r="E13008" t="s">
        <v>27942</v>
      </c>
      <c r="F13008" t="s">
        <v>28669</v>
      </c>
      <c r="G13008" t="s">
        <v>28675</v>
      </c>
      <c r="H13008" t="s">
        <v>28686</v>
      </c>
      <c r="I13008" t="s">
        <v>28689</v>
      </c>
      <c r="J13008" t="s">
        <v>36240</v>
      </c>
      <c r="K13008" t="s">
        <v>37215</v>
      </c>
      <c r="M13008" t="s">
        <v>40812</v>
      </c>
      <c r="N13008" t="s">
        <v>41249</v>
      </c>
      <c r="O13008" t="s">
        <v>41250</v>
      </c>
      <c r="Q13008">
        <v>11</v>
      </c>
      <c r="R13008" t="s">
        <v>41271</v>
      </c>
      <c r="S13008" t="s">
        <v>42207</v>
      </c>
      <c r="T13008" t="s">
        <v>42727</v>
      </c>
      <c r="U13008" t="s">
        <v>53583</v>
      </c>
      <c r="V13008" t="s">
        <v>55805</v>
      </c>
      <c r="W13008" t="s">
        <v>40812</v>
      </c>
      <c r="X13008" t="s">
        <v>41272</v>
      </c>
    </row>
    <row r="13009" spans="1:24">
      <c r="A13009">
        <f>HYPERLINK("https://www.philgeps.gov.ph/GEPSNONPILOT/Tender/SplashBidNoticeAbstractUI.aspx?menuIndex=3&amp;refID=7042793&amp;Result=3","7042793")</f>
        <v>0</v>
      </c>
      <c r="B13009" t="s">
        <v>1397</v>
      </c>
      <c r="C13009" t="s">
        <v>15848</v>
      </c>
      <c r="D13009" t="s">
        <v>16640</v>
      </c>
      <c r="E13009" t="s">
        <v>27943</v>
      </c>
      <c r="F13009" t="s">
        <v>28669</v>
      </c>
      <c r="G13009" t="s">
        <v>28675</v>
      </c>
      <c r="H13009" t="s">
        <v>28686</v>
      </c>
      <c r="I13009" t="s">
        <v>28689</v>
      </c>
      <c r="J13009" t="s">
        <v>36235</v>
      </c>
      <c r="K13009" t="s">
        <v>37276</v>
      </c>
      <c r="M13009" t="s">
        <v>40812</v>
      </c>
      <c r="N13009" t="s">
        <v>41249</v>
      </c>
      <c r="O13009" t="s">
        <v>41250</v>
      </c>
      <c r="Q13009">
        <v>12</v>
      </c>
      <c r="R13009" t="s">
        <v>41271</v>
      </c>
      <c r="S13009" t="s">
        <v>42208</v>
      </c>
      <c r="T13009" t="s">
        <v>42727</v>
      </c>
      <c r="U13009" t="s">
        <v>53583</v>
      </c>
      <c r="V13009" t="s">
        <v>55805</v>
      </c>
      <c r="W13009" t="s">
        <v>40812</v>
      </c>
      <c r="X13009" t="s">
        <v>41272</v>
      </c>
    </row>
    <row r="13010" spans="1:24">
      <c r="A13010">
        <f>HYPERLINK("https://www.philgeps.gov.ph/GEPSNONPILOT/Tender/SplashBidNoticeAbstractUI.aspx?menuIndex=3&amp;refID=7042955&amp;Result=3","7042955")</f>
        <v>0</v>
      </c>
      <c r="B13010" t="s">
        <v>3210</v>
      </c>
      <c r="C13010" t="s">
        <v>15849</v>
      </c>
      <c r="D13010" t="s">
        <v>16642</v>
      </c>
      <c r="E13010" t="s">
        <v>27944</v>
      </c>
      <c r="F13010" t="s">
        <v>28669</v>
      </c>
      <c r="G13010" t="s">
        <v>28675</v>
      </c>
      <c r="H13010" t="s">
        <v>28686</v>
      </c>
      <c r="I13010" t="s">
        <v>28752</v>
      </c>
      <c r="J13010" t="s">
        <v>36767</v>
      </c>
      <c r="K13010" t="s">
        <v>37211</v>
      </c>
      <c r="M13010" t="s">
        <v>41019</v>
      </c>
      <c r="N13010" t="s">
        <v>41249</v>
      </c>
      <c r="O13010" t="s">
        <v>41250</v>
      </c>
      <c r="Q13010">
        <v>16</v>
      </c>
      <c r="R13010" t="s">
        <v>41271</v>
      </c>
      <c r="S13010" t="s">
        <v>42209</v>
      </c>
      <c r="T13010" t="s">
        <v>42679</v>
      </c>
      <c r="U13010" t="s">
        <v>53605</v>
      </c>
      <c r="W13010" t="s">
        <v>41019</v>
      </c>
      <c r="X13010" t="s">
        <v>41272</v>
      </c>
    </row>
    <row r="13011" spans="1:24">
      <c r="A13011">
        <f>HYPERLINK("https://www.philgeps.gov.ph/GEPSNONPILOT/Tender/SplashBidNoticeAbstractUI.aspx?menuIndex=3&amp;refID=7042945&amp;Result=3","7042945")</f>
        <v>0</v>
      </c>
      <c r="B13011" t="s">
        <v>1828</v>
      </c>
      <c r="C13011" t="s">
        <v>15850</v>
      </c>
      <c r="D13011" t="s">
        <v>16622</v>
      </c>
      <c r="E13011" t="s">
        <v>27945</v>
      </c>
      <c r="F13011" t="s">
        <v>28669</v>
      </c>
      <c r="G13011" t="s">
        <v>28675</v>
      </c>
      <c r="H13011" t="s">
        <v>9998</v>
      </c>
      <c r="I13011" t="s">
        <v>28687</v>
      </c>
      <c r="J13011" t="s">
        <v>34768</v>
      </c>
      <c r="K13011" t="s">
        <v>37220</v>
      </c>
      <c r="M13011" t="s">
        <v>39441</v>
      </c>
      <c r="N13011" t="s">
        <v>41249</v>
      </c>
      <c r="O13011" t="s">
        <v>41250</v>
      </c>
      <c r="P13011">
        <v>0</v>
      </c>
      <c r="Q13011">
        <v>8</v>
      </c>
      <c r="R13011" t="s">
        <v>41271</v>
      </c>
      <c r="S13011" t="s">
        <v>42169</v>
      </c>
      <c r="T13011" t="s">
        <v>42703</v>
      </c>
      <c r="U13011" t="s">
        <v>53606</v>
      </c>
      <c r="W13011" t="s">
        <v>39441</v>
      </c>
      <c r="X13011" t="s">
        <v>41272</v>
      </c>
    </row>
    <row r="13012" spans="1:24">
      <c r="A13012">
        <f>HYPERLINK("https://www.philgeps.gov.ph/GEPSNONPILOT/Tender/SplashBidNoticeAbstractUI.aspx?menuIndex=3&amp;refID=7042711&amp;Result=3","7042711")</f>
        <v>0</v>
      </c>
      <c r="B13012" t="s">
        <v>3185</v>
      </c>
      <c r="C13012" t="s">
        <v>15851</v>
      </c>
      <c r="D13012" t="s">
        <v>16621</v>
      </c>
      <c r="E13012" t="s">
        <v>27946</v>
      </c>
      <c r="F13012" t="s">
        <v>28671</v>
      </c>
      <c r="G13012" t="s">
        <v>28675</v>
      </c>
      <c r="H13012" t="s">
        <v>9998</v>
      </c>
      <c r="I13012" t="s">
        <v>28815</v>
      </c>
      <c r="J13012" t="s">
        <v>32075</v>
      </c>
      <c r="K13012" t="s">
        <v>37206</v>
      </c>
      <c r="M13012" t="s">
        <v>40987</v>
      </c>
      <c r="N13012" t="s">
        <v>41249</v>
      </c>
      <c r="O13012" t="s">
        <v>41250</v>
      </c>
      <c r="P13012">
        <v>0</v>
      </c>
      <c r="Q13012">
        <v>5</v>
      </c>
      <c r="R13012" t="s">
        <v>41271</v>
      </c>
      <c r="S13012" t="s">
        <v>42169</v>
      </c>
      <c r="T13012" t="s">
        <v>42727</v>
      </c>
      <c r="U13012" t="s">
        <v>53607</v>
      </c>
      <c r="V13012" t="s">
        <v>55679</v>
      </c>
      <c r="W13012" t="s">
        <v>40987</v>
      </c>
      <c r="X13012" t="s">
        <v>41272</v>
      </c>
    </row>
    <row r="13013" spans="1:24">
      <c r="A13013">
        <f>HYPERLINK("https://www.philgeps.gov.ph/GEPSNONPILOT/Tender/SplashBidNoticeAbstractUI.aspx?menuIndex=3&amp;refID=7042599&amp;Result=3","7042599")</f>
        <v>0</v>
      </c>
      <c r="B13013" t="s">
        <v>1468</v>
      </c>
      <c r="C13013" t="s">
        <v>15852</v>
      </c>
      <c r="D13013" t="s">
        <v>16611</v>
      </c>
      <c r="E13013" t="s">
        <v>27947</v>
      </c>
      <c r="F13013" t="s">
        <v>28669</v>
      </c>
      <c r="G13013" t="s">
        <v>28675</v>
      </c>
      <c r="H13013" t="s">
        <v>9998</v>
      </c>
      <c r="I13013" t="s">
        <v>11593</v>
      </c>
      <c r="J13013" t="s">
        <v>36768</v>
      </c>
      <c r="K13013" t="s">
        <v>37206</v>
      </c>
      <c r="M13013" t="s">
        <v>39036</v>
      </c>
      <c r="N13013" t="s">
        <v>41249</v>
      </c>
      <c r="O13013" t="s">
        <v>41250</v>
      </c>
      <c r="P13013">
        <v>0</v>
      </c>
      <c r="Q13013">
        <v>4</v>
      </c>
      <c r="R13013" t="s">
        <v>41271</v>
      </c>
      <c r="S13013" t="s">
        <v>42169</v>
      </c>
      <c r="T13013" t="s">
        <v>42703</v>
      </c>
      <c r="U13013" t="s">
        <v>49319</v>
      </c>
      <c r="W13013" t="s">
        <v>39036</v>
      </c>
      <c r="X13013" t="s">
        <v>41272</v>
      </c>
    </row>
    <row r="13014" spans="1:24">
      <c r="A13014">
        <f>HYPERLINK("https://www.philgeps.gov.ph/GEPSNONPILOT/Tender/SplashBidNoticeAbstractUI.aspx?menuIndex=3&amp;refID=7041798&amp;Result=3","7041798")</f>
        <v>0</v>
      </c>
      <c r="B13014" t="s">
        <v>3298</v>
      </c>
      <c r="C13014" t="s">
        <v>15784</v>
      </c>
      <c r="D13014" t="s">
        <v>16615</v>
      </c>
      <c r="E13014" t="s">
        <v>27948</v>
      </c>
      <c r="F13014" t="s">
        <v>28669</v>
      </c>
      <c r="G13014" t="s">
        <v>28675</v>
      </c>
      <c r="H13014" t="s">
        <v>28686</v>
      </c>
      <c r="I13014" t="s">
        <v>28689</v>
      </c>
      <c r="J13014" t="s">
        <v>28878</v>
      </c>
      <c r="K13014" t="s">
        <v>37206</v>
      </c>
      <c r="M13014" t="s">
        <v>41130</v>
      </c>
      <c r="N13014" t="s">
        <v>41249</v>
      </c>
      <c r="O13014" t="s">
        <v>41250</v>
      </c>
      <c r="P13014">
        <v>0</v>
      </c>
      <c r="Q13014">
        <v>32</v>
      </c>
      <c r="R13014" t="s">
        <v>41271</v>
      </c>
      <c r="S13014" t="s">
        <v>42169</v>
      </c>
      <c r="T13014" t="s">
        <v>42736</v>
      </c>
      <c r="U13014" t="s">
        <v>53608</v>
      </c>
      <c r="V13014" t="s">
        <v>55802</v>
      </c>
      <c r="W13014" t="s">
        <v>41130</v>
      </c>
      <c r="X13014" t="s">
        <v>41272</v>
      </c>
    </row>
    <row r="13015" spans="1:24">
      <c r="A13015">
        <f>HYPERLINK("https://www.philgeps.gov.ph/GEPSNONPILOT/Tender/SplashBidNoticeAbstractUI.aspx?menuIndex=3&amp;refID=7042982&amp;Result=3","7042982")</f>
        <v>0</v>
      </c>
      <c r="B13015" t="s">
        <v>2275</v>
      </c>
      <c r="C13015" t="s">
        <v>15853</v>
      </c>
      <c r="D13015" t="s">
        <v>16666</v>
      </c>
      <c r="E13015" t="s">
        <v>27949</v>
      </c>
      <c r="F13015" t="s">
        <v>28669</v>
      </c>
      <c r="G13015" t="s">
        <v>28675</v>
      </c>
      <c r="H13015" t="s">
        <v>28686</v>
      </c>
      <c r="I13015" t="s">
        <v>28689</v>
      </c>
      <c r="J13015" t="s">
        <v>29059</v>
      </c>
      <c r="K13015" t="s">
        <v>37213</v>
      </c>
      <c r="M13015" t="s">
        <v>39930</v>
      </c>
      <c r="N13015" t="s">
        <v>41249</v>
      </c>
      <c r="O13015" t="s">
        <v>41250</v>
      </c>
      <c r="P13015">
        <v>0</v>
      </c>
      <c r="Q13015">
        <v>4</v>
      </c>
      <c r="R13015" t="s">
        <v>41271</v>
      </c>
      <c r="S13015" t="s">
        <v>42169</v>
      </c>
      <c r="T13015" t="s">
        <v>43158</v>
      </c>
      <c r="U13015" t="s">
        <v>53609</v>
      </c>
      <c r="W13015" t="s">
        <v>39930</v>
      </c>
      <c r="X13015" t="s">
        <v>41272</v>
      </c>
    </row>
    <row r="13016" spans="1:24">
      <c r="A13016">
        <f>HYPERLINK("https://www.philgeps.gov.ph/GEPSNONPILOT/Tender/SplashBidNoticeAbstractUI.aspx?menuIndex=3&amp;refID=7042645&amp;Result=3","7042645")</f>
        <v>0</v>
      </c>
      <c r="B13016" t="s">
        <v>1090</v>
      </c>
      <c r="C13016" t="s">
        <v>15854</v>
      </c>
      <c r="D13016" t="s">
        <v>16621</v>
      </c>
      <c r="E13016" t="s">
        <v>27950</v>
      </c>
      <c r="F13016" t="s">
        <v>28669</v>
      </c>
      <c r="G13016" t="s">
        <v>28675</v>
      </c>
      <c r="H13016" t="s">
        <v>9998</v>
      </c>
      <c r="I13016" t="s">
        <v>28706</v>
      </c>
      <c r="J13016" t="s">
        <v>29655</v>
      </c>
      <c r="K13016" t="s">
        <v>37206</v>
      </c>
      <c r="M13016" t="s">
        <v>41138</v>
      </c>
      <c r="N13016" t="s">
        <v>41249</v>
      </c>
      <c r="O13016" t="s">
        <v>41250</v>
      </c>
      <c r="P13016">
        <v>0</v>
      </c>
      <c r="Q13016">
        <v>5</v>
      </c>
      <c r="R13016" t="s">
        <v>41271</v>
      </c>
      <c r="S13016" t="s">
        <v>42169</v>
      </c>
      <c r="T13016" t="s">
        <v>42728</v>
      </c>
      <c r="U13016" t="s">
        <v>53610</v>
      </c>
      <c r="W13016" t="s">
        <v>41138</v>
      </c>
      <c r="X13016" t="s">
        <v>41272</v>
      </c>
    </row>
    <row r="13017" spans="1:24">
      <c r="A13017">
        <f>HYPERLINK("https://www.philgeps.gov.ph/GEPSNONPILOT/Tender/SplashBidNoticeAbstractUI.aspx?menuIndex=3&amp;refID=7042971&amp;Result=3","7042971")</f>
        <v>0</v>
      </c>
      <c r="B13017" t="s">
        <v>2389</v>
      </c>
      <c r="C13017" t="s">
        <v>15855</v>
      </c>
      <c r="D13017" t="s">
        <v>16631</v>
      </c>
      <c r="E13017" t="s">
        <v>27951</v>
      </c>
      <c r="F13017" t="s">
        <v>28669</v>
      </c>
      <c r="G13017" t="s">
        <v>28675</v>
      </c>
      <c r="H13017" t="s">
        <v>9998</v>
      </c>
      <c r="I13017" t="s">
        <v>28688</v>
      </c>
      <c r="J13017" t="s">
        <v>36769</v>
      </c>
      <c r="K13017" t="s">
        <v>37206</v>
      </c>
      <c r="M13017" t="s">
        <v>40063</v>
      </c>
      <c r="N13017" t="s">
        <v>41249</v>
      </c>
      <c r="O13017" t="s">
        <v>41250</v>
      </c>
      <c r="P13017">
        <v>0</v>
      </c>
      <c r="Q13017">
        <v>2</v>
      </c>
      <c r="R13017" t="s">
        <v>41271</v>
      </c>
      <c r="S13017" t="s">
        <v>42169</v>
      </c>
      <c r="T13017" t="s">
        <v>42929</v>
      </c>
      <c r="U13017" t="s">
        <v>53611</v>
      </c>
      <c r="V13017" t="s">
        <v>55808</v>
      </c>
      <c r="W13017" t="s">
        <v>40063</v>
      </c>
      <c r="X13017" t="s">
        <v>41272</v>
      </c>
    </row>
    <row r="13018" spans="1:24">
      <c r="A13018">
        <f>HYPERLINK("https://www.philgeps.gov.ph/GEPSNONPILOT/Tender/SplashBidNoticeAbstractUI.aspx?menuIndex=3&amp;refID=7042969&amp;Result=3","7042969")</f>
        <v>0</v>
      </c>
      <c r="B13018" t="s">
        <v>3262</v>
      </c>
      <c r="C13018" t="s">
        <v>15856</v>
      </c>
      <c r="D13018" t="s">
        <v>16627</v>
      </c>
      <c r="E13018" t="s">
        <v>19365</v>
      </c>
      <c r="F13018" t="s">
        <v>28669</v>
      </c>
      <c r="G13018" t="s">
        <v>28675</v>
      </c>
      <c r="H13018" t="s">
        <v>9998</v>
      </c>
      <c r="I13018" t="s">
        <v>28687</v>
      </c>
      <c r="J13018" t="s">
        <v>35926</v>
      </c>
      <c r="K13018" t="s">
        <v>37206</v>
      </c>
      <c r="M13018" t="s">
        <v>41085</v>
      </c>
      <c r="N13018" t="s">
        <v>41249</v>
      </c>
      <c r="O13018" t="s">
        <v>41250</v>
      </c>
      <c r="P13018">
        <v>0</v>
      </c>
      <c r="Q13018">
        <v>6</v>
      </c>
      <c r="R13018" t="s">
        <v>41271</v>
      </c>
      <c r="S13018" t="s">
        <v>42169</v>
      </c>
      <c r="T13018" t="s">
        <v>42751</v>
      </c>
      <c r="U13018" t="s">
        <v>53612</v>
      </c>
      <c r="W13018" t="s">
        <v>41085</v>
      </c>
      <c r="X13018" t="s">
        <v>41272</v>
      </c>
    </row>
    <row r="13019" spans="1:24">
      <c r="A13019">
        <f>HYPERLINK("https://www.philgeps.gov.ph/GEPSNONPILOT/Tender/SplashBidNoticeAbstractUI.aspx?menuIndex=3&amp;refID=7042903&amp;Result=3","7042903")</f>
        <v>0</v>
      </c>
      <c r="B13019" t="s">
        <v>1828</v>
      </c>
      <c r="C13019" t="s">
        <v>15857</v>
      </c>
      <c r="D13019" t="s">
        <v>16622</v>
      </c>
      <c r="E13019" t="s">
        <v>27952</v>
      </c>
      <c r="F13019" t="s">
        <v>28669</v>
      </c>
      <c r="G13019" t="s">
        <v>28675</v>
      </c>
      <c r="H13019" t="s">
        <v>9998</v>
      </c>
      <c r="I13019" t="s">
        <v>28695</v>
      </c>
      <c r="J13019" t="s">
        <v>36770</v>
      </c>
      <c r="K13019" t="s">
        <v>37209</v>
      </c>
      <c r="M13019" t="s">
        <v>39441</v>
      </c>
      <c r="N13019" t="s">
        <v>41249</v>
      </c>
      <c r="O13019" t="s">
        <v>41250</v>
      </c>
      <c r="P13019">
        <v>0</v>
      </c>
      <c r="Q13019">
        <v>1</v>
      </c>
      <c r="R13019" t="s">
        <v>41271</v>
      </c>
      <c r="S13019" t="s">
        <v>42169</v>
      </c>
      <c r="T13019" t="s">
        <v>42742</v>
      </c>
      <c r="U13019" t="s">
        <v>53613</v>
      </c>
      <c r="W13019" t="s">
        <v>39441</v>
      </c>
      <c r="X13019" t="s">
        <v>41272</v>
      </c>
    </row>
    <row r="13020" spans="1:24">
      <c r="A13020">
        <f>HYPERLINK("https://www.philgeps.gov.ph/GEPSNONPILOT/Tender/SplashBidNoticeAbstractUI.aspx?menuIndex=3&amp;refID=7042882&amp;Result=3","7042882")</f>
        <v>0</v>
      </c>
      <c r="B13020" t="s">
        <v>1828</v>
      </c>
      <c r="C13020" t="s">
        <v>15858</v>
      </c>
      <c r="D13020" t="s">
        <v>16622</v>
      </c>
      <c r="E13020" t="s">
        <v>27953</v>
      </c>
      <c r="F13020" t="s">
        <v>28669</v>
      </c>
      <c r="G13020" t="s">
        <v>28675</v>
      </c>
      <c r="H13020" t="s">
        <v>9998</v>
      </c>
      <c r="I13020" t="s">
        <v>5213</v>
      </c>
      <c r="J13020" t="s">
        <v>28924</v>
      </c>
      <c r="K13020" t="s">
        <v>37206</v>
      </c>
      <c r="M13020" t="s">
        <v>39441</v>
      </c>
      <c r="N13020" t="s">
        <v>41249</v>
      </c>
      <c r="O13020" t="s">
        <v>41250</v>
      </c>
      <c r="Q13020">
        <v>5</v>
      </c>
      <c r="R13020" t="s">
        <v>41271</v>
      </c>
      <c r="S13020" t="s">
        <v>42210</v>
      </c>
      <c r="T13020" t="s">
        <v>42703</v>
      </c>
      <c r="U13020" t="s">
        <v>53614</v>
      </c>
      <c r="W13020" t="s">
        <v>39441</v>
      </c>
      <c r="X13020" t="s">
        <v>41272</v>
      </c>
    </row>
    <row r="13021" spans="1:24">
      <c r="A13021">
        <f>HYPERLINK("https://www.philgeps.gov.ph/GEPSNONPILOT/Tender/SplashBidNoticeAbstractUI.aspx?menuIndex=3&amp;refID=7042988&amp;Result=3","7042988")</f>
        <v>0</v>
      </c>
      <c r="B13021" t="s">
        <v>2275</v>
      </c>
      <c r="C13021" t="s">
        <v>15859</v>
      </c>
      <c r="D13021" t="s">
        <v>16666</v>
      </c>
      <c r="E13021" t="s">
        <v>27954</v>
      </c>
      <c r="F13021" t="s">
        <v>28669</v>
      </c>
      <c r="G13021" t="s">
        <v>28675</v>
      </c>
      <c r="H13021" t="s">
        <v>9998</v>
      </c>
      <c r="I13021" t="s">
        <v>28693</v>
      </c>
      <c r="J13021" t="s">
        <v>36771</v>
      </c>
      <c r="K13021" t="s">
        <v>37220</v>
      </c>
      <c r="M13021" t="s">
        <v>39930</v>
      </c>
      <c r="N13021" t="s">
        <v>41249</v>
      </c>
      <c r="O13021" t="s">
        <v>41250</v>
      </c>
      <c r="Q13021">
        <v>24</v>
      </c>
      <c r="R13021" t="s">
        <v>41271</v>
      </c>
      <c r="S13021" t="s">
        <v>42211</v>
      </c>
      <c r="T13021" t="s">
        <v>42728</v>
      </c>
      <c r="U13021" t="s">
        <v>53609</v>
      </c>
      <c r="W13021" t="s">
        <v>39930</v>
      </c>
      <c r="X13021" t="s">
        <v>41272</v>
      </c>
    </row>
    <row r="13022" spans="1:24">
      <c r="A13022">
        <f>HYPERLINK("https://www.philgeps.gov.ph/GEPSNONPILOT/Tender/SplashBidNoticeAbstractUI.aspx?menuIndex=3&amp;refID=7042922&amp;Result=3","7042922")</f>
        <v>0</v>
      </c>
      <c r="B13022" t="s">
        <v>1828</v>
      </c>
      <c r="C13022" t="s">
        <v>15860</v>
      </c>
      <c r="D13022" t="s">
        <v>16622</v>
      </c>
      <c r="E13022" t="s">
        <v>27955</v>
      </c>
      <c r="F13022" t="s">
        <v>28669</v>
      </c>
      <c r="G13022" t="s">
        <v>28675</v>
      </c>
      <c r="H13022" t="s">
        <v>9998</v>
      </c>
      <c r="I13022" t="s">
        <v>28687</v>
      </c>
      <c r="J13022" t="s">
        <v>29266</v>
      </c>
      <c r="K13022" t="s">
        <v>37220</v>
      </c>
      <c r="M13022" t="s">
        <v>39441</v>
      </c>
      <c r="N13022" t="s">
        <v>41249</v>
      </c>
      <c r="O13022" t="s">
        <v>41250</v>
      </c>
      <c r="P13022">
        <v>0</v>
      </c>
      <c r="Q13022">
        <v>9</v>
      </c>
      <c r="R13022" t="s">
        <v>41271</v>
      </c>
      <c r="S13022" t="s">
        <v>42169</v>
      </c>
      <c r="T13022" t="s">
        <v>42703</v>
      </c>
      <c r="U13022" t="s">
        <v>53615</v>
      </c>
      <c r="W13022" t="s">
        <v>39441</v>
      </c>
      <c r="X13022" t="s">
        <v>41272</v>
      </c>
    </row>
    <row r="13023" spans="1:24">
      <c r="A13023">
        <f>HYPERLINK("https://www.philgeps.gov.ph/GEPSNONPILOT/Tender/SplashBidNoticeAbstractUI.aspx?menuIndex=3&amp;refID=7042840&amp;Result=3","7042840")</f>
        <v>0</v>
      </c>
      <c r="B13023" t="s">
        <v>659</v>
      </c>
      <c r="C13023" t="s">
        <v>15861</v>
      </c>
      <c r="D13023" t="s">
        <v>16643</v>
      </c>
      <c r="E13023" t="s">
        <v>27956</v>
      </c>
      <c r="F13023" t="s">
        <v>28669</v>
      </c>
      <c r="G13023" t="s">
        <v>28675</v>
      </c>
      <c r="H13023" t="s">
        <v>28686</v>
      </c>
      <c r="I13023" t="s">
        <v>28689</v>
      </c>
      <c r="J13023" t="s">
        <v>28924</v>
      </c>
      <c r="K13023" t="s">
        <v>37227</v>
      </c>
      <c r="M13023" t="s">
        <v>39960</v>
      </c>
      <c r="N13023" t="s">
        <v>41249</v>
      </c>
      <c r="O13023" t="s">
        <v>41250</v>
      </c>
      <c r="P13023">
        <v>0</v>
      </c>
      <c r="Q13023">
        <v>0</v>
      </c>
      <c r="R13023" t="s">
        <v>41271</v>
      </c>
      <c r="S13023" t="s">
        <v>42169</v>
      </c>
      <c r="T13023" t="s">
        <v>42742</v>
      </c>
      <c r="U13023" t="s">
        <v>53616</v>
      </c>
      <c r="W13023" t="s">
        <v>39960</v>
      </c>
      <c r="X13023" t="s">
        <v>41272</v>
      </c>
    </row>
    <row r="13024" spans="1:24">
      <c r="A13024">
        <f>HYPERLINK("https://www.philgeps.gov.ph/GEPSNONPILOT/Tender/SplashBidNoticeAbstractUI.aspx?menuIndex=3&amp;refID=7042836&amp;Result=3","7042836")</f>
        <v>0</v>
      </c>
      <c r="B13024" t="s">
        <v>1397</v>
      </c>
      <c r="C13024" t="s">
        <v>15862</v>
      </c>
      <c r="D13024" t="s">
        <v>16640</v>
      </c>
      <c r="E13024" t="s">
        <v>27957</v>
      </c>
      <c r="F13024" t="s">
        <v>28669</v>
      </c>
      <c r="G13024" t="s">
        <v>28675</v>
      </c>
      <c r="H13024" t="s">
        <v>28686</v>
      </c>
      <c r="I13024" t="s">
        <v>28689</v>
      </c>
      <c r="J13024" t="s">
        <v>34451</v>
      </c>
      <c r="K13024" t="s">
        <v>37218</v>
      </c>
      <c r="M13024" t="s">
        <v>40812</v>
      </c>
      <c r="N13024" t="s">
        <v>41249</v>
      </c>
      <c r="O13024" t="s">
        <v>41250</v>
      </c>
      <c r="Q13024">
        <v>10</v>
      </c>
      <c r="R13024" t="s">
        <v>41271</v>
      </c>
      <c r="S13024" t="s">
        <v>42212</v>
      </c>
      <c r="T13024" t="s">
        <v>42727</v>
      </c>
      <c r="U13024" t="s">
        <v>53583</v>
      </c>
      <c r="V13024" t="s">
        <v>55805</v>
      </c>
      <c r="W13024" t="s">
        <v>40812</v>
      </c>
      <c r="X13024" t="s">
        <v>41272</v>
      </c>
    </row>
    <row r="13025" spans="1:24">
      <c r="A13025">
        <f>HYPERLINK("https://www.philgeps.gov.ph/GEPSNONPILOT/Tender/SplashBidNoticeAbstractUI.aspx?menuIndex=3&amp;refID=7043000&amp;Result=3","7043000")</f>
        <v>0</v>
      </c>
      <c r="B13025" t="s">
        <v>763</v>
      </c>
      <c r="C13025" t="s">
        <v>15863</v>
      </c>
      <c r="D13025" t="s">
        <v>16627</v>
      </c>
      <c r="E13025" t="s">
        <v>27958</v>
      </c>
      <c r="F13025" t="s">
        <v>28669</v>
      </c>
      <c r="G13025" t="s">
        <v>28675</v>
      </c>
      <c r="H13025" t="s">
        <v>28686</v>
      </c>
      <c r="I13025" t="s">
        <v>28689</v>
      </c>
      <c r="J13025" t="s">
        <v>30304</v>
      </c>
      <c r="K13025" t="s">
        <v>37325</v>
      </c>
      <c r="M13025" t="s">
        <v>38274</v>
      </c>
      <c r="N13025" t="s">
        <v>41249</v>
      </c>
      <c r="O13025" t="s">
        <v>41250</v>
      </c>
      <c r="Q13025">
        <v>6</v>
      </c>
      <c r="R13025" t="s">
        <v>41271</v>
      </c>
      <c r="S13025" t="s">
        <v>42213</v>
      </c>
      <c r="T13025" t="s">
        <v>42870</v>
      </c>
      <c r="U13025" t="s">
        <v>53617</v>
      </c>
      <c r="W13025" t="s">
        <v>38274</v>
      </c>
      <c r="X13025" t="s">
        <v>41272</v>
      </c>
    </row>
    <row r="13026" spans="1:24">
      <c r="A13026">
        <f>HYPERLINK("https://www.philgeps.gov.ph/GEPSNONPILOT/Tender/SplashBidNoticeAbstractUI.aspx?menuIndex=3&amp;refID=7042995&amp;Result=3","7042995")</f>
        <v>0</v>
      </c>
      <c r="B13026" t="s">
        <v>2389</v>
      </c>
      <c r="C13026" t="s">
        <v>15864</v>
      </c>
      <c r="D13026" t="s">
        <v>16631</v>
      </c>
      <c r="E13026" t="s">
        <v>27959</v>
      </c>
      <c r="F13026" t="s">
        <v>28669</v>
      </c>
      <c r="G13026" t="s">
        <v>28675</v>
      </c>
      <c r="H13026" t="s">
        <v>28686</v>
      </c>
      <c r="I13026" t="s">
        <v>28689</v>
      </c>
      <c r="J13026" t="s">
        <v>36772</v>
      </c>
      <c r="K13026" t="s">
        <v>37214</v>
      </c>
      <c r="M13026" t="s">
        <v>40063</v>
      </c>
      <c r="N13026" t="s">
        <v>41249</v>
      </c>
      <c r="O13026" t="s">
        <v>41250</v>
      </c>
      <c r="P13026">
        <v>0</v>
      </c>
      <c r="Q13026">
        <v>5</v>
      </c>
      <c r="R13026" t="s">
        <v>41271</v>
      </c>
      <c r="S13026" t="s">
        <v>42169</v>
      </c>
      <c r="T13026" t="s">
        <v>42929</v>
      </c>
      <c r="U13026" t="s">
        <v>53618</v>
      </c>
      <c r="V13026" t="s">
        <v>55809</v>
      </c>
      <c r="W13026" t="s">
        <v>40063</v>
      </c>
      <c r="X13026" t="s">
        <v>41272</v>
      </c>
    </row>
    <row r="13027" spans="1:24">
      <c r="A13027">
        <f>HYPERLINK("https://www.philgeps.gov.ph/GEPSNONPILOT/Tender/SplashBidNoticeAbstractUI.aspx?menuIndex=3&amp;refID=7042921&amp;Result=3","7042921")</f>
        <v>0</v>
      </c>
      <c r="B13027" t="s">
        <v>2299</v>
      </c>
      <c r="C13027" t="s">
        <v>15865</v>
      </c>
      <c r="D13027" t="s">
        <v>16619</v>
      </c>
      <c r="E13027" t="s">
        <v>27960</v>
      </c>
      <c r="F13027" t="s">
        <v>28669</v>
      </c>
      <c r="G13027" t="s">
        <v>28675</v>
      </c>
      <c r="H13027" t="s">
        <v>28686</v>
      </c>
      <c r="I13027" t="s">
        <v>28689</v>
      </c>
      <c r="J13027" t="s">
        <v>29059</v>
      </c>
      <c r="K13027" t="s">
        <v>37211</v>
      </c>
      <c r="M13027" t="s">
        <v>39957</v>
      </c>
      <c r="N13027" t="s">
        <v>41249</v>
      </c>
      <c r="O13027" t="s">
        <v>41250</v>
      </c>
      <c r="Q13027">
        <v>2</v>
      </c>
      <c r="R13027" t="s">
        <v>41271</v>
      </c>
      <c r="S13027" t="s">
        <v>42214</v>
      </c>
      <c r="T13027" t="s">
        <v>42727</v>
      </c>
      <c r="U13027" t="s">
        <v>53619</v>
      </c>
      <c r="V13027" t="s">
        <v>55810</v>
      </c>
      <c r="W13027" t="s">
        <v>39957</v>
      </c>
      <c r="X13027" t="s">
        <v>41272</v>
      </c>
    </row>
    <row r="13028" spans="1:24">
      <c r="A13028">
        <f>HYPERLINK("https://www.philgeps.gov.ph/GEPSNONPILOT/Tender/SplashBidNoticeAbstractUI.aspx?menuIndex=3&amp;refID=7043233&amp;Result=3","7043233")</f>
        <v>0</v>
      </c>
      <c r="B13028" t="s">
        <v>1060</v>
      </c>
      <c r="C13028" t="s">
        <v>15866</v>
      </c>
      <c r="D13028" t="s">
        <v>16643</v>
      </c>
      <c r="E13028" t="s">
        <v>25891</v>
      </c>
      <c r="F13028" t="s">
        <v>28669</v>
      </c>
      <c r="G13028" t="s">
        <v>28675</v>
      </c>
      <c r="H13028" t="s">
        <v>9998</v>
      </c>
      <c r="I13028" t="s">
        <v>28696</v>
      </c>
      <c r="J13028" t="s">
        <v>36773</v>
      </c>
      <c r="K13028" t="s">
        <v>37209</v>
      </c>
      <c r="M13028" t="s">
        <v>38591</v>
      </c>
      <c r="N13028" t="s">
        <v>41249</v>
      </c>
      <c r="O13028" t="s">
        <v>41250</v>
      </c>
      <c r="P13028">
        <v>0</v>
      </c>
      <c r="Q13028">
        <v>4</v>
      </c>
      <c r="R13028" t="s">
        <v>41271</v>
      </c>
      <c r="S13028" t="s">
        <v>42169</v>
      </c>
      <c r="T13028" t="s">
        <v>42910</v>
      </c>
      <c r="U13028" t="s">
        <v>53620</v>
      </c>
      <c r="W13028" t="s">
        <v>38591</v>
      </c>
      <c r="X13028" t="s">
        <v>41272</v>
      </c>
    </row>
    <row r="13029" spans="1:24">
      <c r="A13029">
        <f>HYPERLINK("https://www.philgeps.gov.ph/GEPSNONPILOT/Tender/SplashBidNoticeAbstractUI.aspx?menuIndex=3&amp;refID=7042880&amp;Result=3","7042880")</f>
        <v>0</v>
      </c>
      <c r="B13029" t="s">
        <v>907</v>
      </c>
      <c r="C13029" t="s">
        <v>15867</v>
      </c>
      <c r="D13029" t="s">
        <v>16705</v>
      </c>
      <c r="E13029" t="s">
        <v>27961</v>
      </c>
      <c r="F13029" t="s">
        <v>28669</v>
      </c>
      <c r="G13029" t="s">
        <v>28675</v>
      </c>
      <c r="H13029" t="s">
        <v>9998</v>
      </c>
      <c r="I13029" t="s">
        <v>28706</v>
      </c>
      <c r="J13029" t="s">
        <v>36774</v>
      </c>
      <c r="K13029" t="s">
        <v>37215</v>
      </c>
      <c r="M13029" t="s">
        <v>41144</v>
      </c>
      <c r="N13029" t="s">
        <v>41249</v>
      </c>
      <c r="O13029" t="s">
        <v>41250</v>
      </c>
      <c r="Q13029">
        <v>9</v>
      </c>
      <c r="R13029" t="s">
        <v>41271</v>
      </c>
      <c r="S13029" t="s">
        <v>42215</v>
      </c>
      <c r="T13029" t="s">
        <v>42838</v>
      </c>
      <c r="U13029" t="s">
        <v>53621</v>
      </c>
      <c r="V13029" t="s">
        <v>55811</v>
      </c>
      <c r="W13029" t="s">
        <v>41144</v>
      </c>
      <c r="X13029" t="s">
        <v>41272</v>
      </c>
    </row>
    <row r="13030" spans="1:24">
      <c r="A13030">
        <f>HYPERLINK("https://www.philgeps.gov.ph/GEPSNONPILOT/Tender/SplashBidNoticeAbstractUI.aspx?menuIndex=3&amp;refID=7043221&amp;Result=3","7043221")</f>
        <v>0</v>
      </c>
      <c r="B13030" t="s">
        <v>1060</v>
      </c>
      <c r="C13030" t="s">
        <v>15868</v>
      </c>
      <c r="D13030" t="s">
        <v>16643</v>
      </c>
      <c r="E13030" t="s">
        <v>17979</v>
      </c>
      <c r="F13030" t="s">
        <v>28669</v>
      </c>
      <c r="G13030" t="s">
        <v>28675</v>
      </c>
      <c r="H13030" t="s">
        <v>9998</v>
      </c>
      <c r="I13030" t="s">
        <v>28696</v>
      </c>
      <c r="J13030" t="s">
        <v>36775</v>
      </c>
      <c r="K13030" t="s">
        <v>37209</v>
      </c>
      <c r="M13030" t="s">
        <v>38591</v>
      </c>
      <c r="N13030" t="s">
        <v>41249</v>
      </c>
      <c r="O13030" t="s">
        <v>41250</v>
      </c>
      <c r="Q13030">
        <v>4</v>
      </c>
      <c r="R13030" t="s">
        <v>41271</v>
      </c>
      <c r="S13030" t="s">
        <v>42216</v>
      </c>
      <c r="T13030" t="s">
        <v>42910</v>
      </c>
      <c r="U13030" t="s">
        <v>53620</v>
      </c>
      <c r="W13030" t="s">
        <v>38591</v>
      </c>
      <c r="X13030" t="s">
        <v>41272</v>
      </c>
    </row>
    <row r="13031" spans="1:24">
      <c r="A13031">
        <f>HYPERLINK("https://www.philgeps.gov.ph/GEPSNONPILOT/Tender/SplashBidNoticeAbstractUI.aspx?menuIndex=3&amp;refID=7042999&amp;Result=3","7042999")</f>
        <v>0</v>
      </c>
      <c r="B13031" t="s">
        <v>2275</v>
      </c>
      <c r="C13031" t="s">
        <v>15869</v>
      </c>
      <c r="D13031" t="s">
        <v>16666</v>
      </c>
      <c r="E13031" t="s">
        <v>27962</v>
      </c>
      <c r="F13031" t="s">
        <v>28669</v>
      </c>
      <c r="G13031" t="s">
        <v>28675</v>
      </c>
      <c r="H13031" t="s">
        <v>9998</v>
      </c>
      <c r="I13031" t="s">
        <v>11593</v>
      </c>
      <c r="J13031" t="s">
        <v>36776</v>
      </c>
      <c r="K13031" t="s">
        <v>37206</v>
      </c>
      <c r="M13031" t="s">
        <v>39930</v>
      </c>
      <c r="N13031" t="s">
        <v>41249</v>
      </c>
      <c r="O13031" t="s">
        <v>41250</v>
      </c>
      <c r="Q13031">
        <v>12</v>
      </c>
      <c r="R13031" t="s">
        <v>41271</v>
      </c>
      <c r="S13031" t="s">
        <v>42217</v>
      </c>
      <c r="T13031" t="s">
        <v>42728</v>
      </c>
      <c r="U13031" t="s">
        <v>53609</v>
      </c>
      <c r="W13031" t="s">
        <v>39930</v>
      </c>
      <c r="X13031" t="s">
        <v>41272</v>
      </c>
    </row>
    <row r="13032" spans="1:24">
      <c r="A13032">
        <f>HYPERLINK("https://www.philgeps.gov.ph/GEPSNONPILOT/Tender/SplashBidNoticeAbstractUI.aspx?menuIndex=3&amp;refID=7043196&amp;Result=3","7043196")</f>
        <v>0</v>
      </c>
      <c r="B13032" t="s">
        <v>2305</v>
      </c>
      <c r="C13032" t="s">
        <v>15870</v>
      </c>
      <c r="D13032" t="s">
        <v>16643</v>
      </c>
      <c r="E13032" t="s">
        <v>27963</v>
      </c>
      <c r="F13032" t="s">
        <v>28669</v>
      </c>
      <c r="G13032" t="s">
        <v>28675</v>
      </c>
      <c r="H13032" t="s">
        <v>9998</v>
      </c>
      <c r="I13032" t="s">
        <v>28804</v>
      </c>
      <c r="J13032" t="s">
        <v>36777</v>
      </c>
      <c r="K13032" t="s">
        <v>37243</v>
      </c>
      <c r="M13032" t="s">
        <v>39964</v>
      </c>
      <c r="N13032" t="s">
        <v>41249</v>
      </c>
      <c r="O13032" t="s">
        <v>41250</v>
      </c>
      <c r="P13032">
        <v>0</v>
      </c>
      <c r="Q13032">
        <v>4</v>
      </c>
      <c r="R13032" t="s">
        <v>41271</v>
      </c>
      <c r="S13032" t="s">
        <v>42169</v>
      </c>
      <c r="T13032" t="s">
        <v>42766</v>
      </c>
      <c r="U13032" t="s">
        <v>53622</v>
      </c>
      <c r="V13032" t="s">
        <v>54340</v>
      </c>
      <c r="W13032" t="s">
        <v>39964</v>
      </c>
      <c r="X13032" t="s">
        <v>41272</v>
      </c>
    </row>
    <row r="13033" spans="1:24">
      <c r="A13033">
        <f>HYPERLINK("https://www.philgeps.gov.ph/GEPSNONPILOT/Tender/SplashBidNoticeAbstractUI.aspx?menuIndex=3&amp;refID=7043239&amp;Result=3","7043239")</f>
        <v>0</v>
      </c>
      <c r="B13033" t="s">
        <v>1060</v>
      </c>
      <c r="C13033" t="s">
        <v>15871</v>
      </c>
      <c r="D13033" t="s">
        <v>16643</v>
      </c>
      <c r="E13033" t="s">
        <v>25904</v>
      </c>
      <c r="F13033" t="s">
        <v>28669</v>
      </c>
      <c r="G13033" t="s">
        <v>28675</v>
      </c>
      <c r="H13033" t="s">
        <v>9998</v>
      </c>
      <c r="I13033" t="s">
        <v>28696</v>
      </c>
      <c r="J13033" t="s">
        <v>36778</v>
      </c>
      <c r="K13033" t="s">
        <v>37209</v>
      </c>
      <c r="M13033" t="s">
        <v>38591</v>
      </c>
      <c r="N13033" t="s">
        <v>41249</v>
      </c>
      <c r="O13033" t="s">
        <v>41250</v>
      </c>
      <c r="P13033">
        <v>0</v>
      </c>
      <c r="Q13033">
        <v>1</v>
      </c>
      <c r="R13033" t="s">
        <v>41271</v>
      </c>
      <c r="S13033" t="s">
        <v>42169</v>
      </c>
      <c r="T13033" t="s">
        <v>42910</v>
      </c>
      <c r="U13033" t="s">
        <v>53620</v>
      </c>
      <c r="W13033" t="s">
        <v>38591</v>
      </c>
      <c r="X13033" t="s">
        <v>41272</v>
      </c>
    </row>
    <row r="13034" spans="1:24">
      <c r="A13034">
        <f>HYPERLINK("https://www.philgeps.gov.ph/GEPSNONPILOT/Tender/SplashBidNoticeAbstractUI.aspx?menuIndex=3&amp;refID=7043185&amp;Result=3","7043185")</f>
        <v>0</v>
      </c>
      <c r="B13034" t="s">
        <v>2305</v>
      </c>
      <c r="C13034" t="s">
        <v>15872</v>
      </c>
      <c r="D13034" t="s">
        <v>16643</v>
      </c>
      <c r="E13034" t="s">
        <v>27964</v>
      </c>
      <c r="F13034" t="s">
        <v>28669</v>
      </c>
      <c r="G13034" t="s">
        <v>28675</v>
      </c>
      <c r="H13034" t="s">
        <v>9998</v>
      </c>
      <c r="I13034" t="s">
        <v>5286</v>
      </c>
      <c r="J13034" t="s">
        <v>36779</v>
      </c>
      <c r="K13034" t="s">
        <v>37243</v>
      </c>
      <c r="M13034" t="s">
        <v>39964</v>
      </c>
      <c r="N13034" t="s">
        <v>41249</v>
      </c>
      <c r="O13034" t="s">
        <v>41250</v>
      </c>
      <c r="P13034">
        <v>0</v>
      </c>
      <c r="Q13034">
        <v>7</v>
      </c>
      <c r="R13034" t="s">
        <v>41271</v>
      </c>
      <c r="S13034" t="s">
        <v>42169</v>
      </c>
      <c r="T13034" t="s">
        <v>42766</v>
      </c>
      <c r="U13034" t="s">
        <v>53623</v>
      </c>
      <c r="V13034" t="s">
        <v>54340</v>
      </c>
      <c r="W13034" t="s">
        <v>39964</v>
      </c>
      <c r="X13034" t="s">
        <v>41272</v>
      </c>
    </row>
    <row r="13035" spans="1:24">
      <c r="A13035">
        <f>HYPERLINK("https://www.philgeps.gov.ph/GEPSNONPILOT/Tender/SplashBidNoticeAbstractUI.aspx?menuIndex=3&amp;refID=7042888&amp;Result=3","7042888")</f>
        <v>0</v>
      </c>
      <c r="B13035" t="s">
        <v>1862</v>
      </c>
      <c r="C13035" t="s">
        <v>3696</v>
      </c>
      <c r="D13035" t="s">
        <v>16668</v>
      </c>
      <c r="E13035" t="s">
        <v>16877</v>
      </c>
      <c r="F13035" t="s">
        <v>28669</v>
      </c>
      <c r="G13035" t="s">
        <v>28675</v>
      </c>
      <c r="H13035" t="s">
        <v>28686</v>
      </c>
      <c r="I13035" t="s">
        <v>7352</v>
      </c>
      <c r="J13035" t="s">
        <v>32305</v>
      </c>
      <c r="K13035" t="s">
        <v>37204</v>
      </c>
      <c r="M13035" t="s">
        <v>39482</v>
      </c>
      <c r="N13035" t="s">
        <v>41249</v>
      </c>
      <c r="O13035" t="s">
        <v>41250</v>
      </c>
      <c r="P13035">
        <v>0</v>
      </c>
      <c r="Q13035">
        <v>0</v>
      </c>
      <c r="R13035" t="s">
        <v>41271</v>
      </c>
      <c r="S13035" t="s">
        <v>42169</v>
      </c>
      <c r="T13035" t="s">
        <v>42728</v>
      </c>
      <c r="U13035" t="s">
        <v>53624</v>
      </c>
      <c r="W13035" t="s">
        <v>39482</v>
      </c>
      <c r="X13035" t="s">
        <v>41272</v>
      </c>
    </row>
    <row r="13036" spans="1:24">
      <c r="A13036">
        <f>HYPERLINK("https://www.philgeps.gov.ph/GEPSNONPILOT/Tender/SplashBidNoticeAbstractUI.aspx?menuIndex=3&amp;refID=7043212&amp;Result=3","7043212")</f>
        <v>0</v>
      </c>
      <c r="B13036" t="s">
        <v>3073</v>
      </c>
      <c r="C13036" t="s">
        <v>15873</v>
      </c>
      <c r="D13036" t="s">
        <v>16608</v>
      </c>
      <c r="E13036" t="s">
        <v>27965</v>
      </c>
      <c r="F13036" t="s">
        <v>28669</v>
      </c>
      <c r="G13036" t="s">
        <v>28675</v>
      </c>
      <c r="H13036" t="s">
        <v>28685</v>
      </c>
      <c r="I13036" t="s">
        <v>28685</v>
      </c>
      <c r="J13036" t="s">
        <v>29053</v>
      </c>
      <c r="K13036" t="s">
        <v>37213</v>
      </c>
      <c r="M13036" t="s">
        <v>40856</v>
      </c>
      <c r="N13036" t="s">
        <v>41249</v>
      </c>
      <c r="O13036" t="s">
        <v>41250</v>
      </c>
      <c r="Q13036">
        <v>6</v>
      </c>
      <c r="R13036" t="s">
        <v>41271</v>
      </c>
      <c r="S13036" t="s">
        <v>41527</v>
      </c>
      <c r="T13036" t="s">
        <v>42703</v>
      </c>
      <c r="U13036" t="s">
        <v>53625</v>
      </c>
      <c r="W13036" t="s">
        <v>40856</v>
      </c>
      <c r="X13036" t="s">
        <v>41272</v>
      </c>
    </row>
    <row r="13037" spans="1:24">
      <c r="A13037">
        <f>HYPERLINK("https://www.philgeps.gov.ph/GEPSNONPILOT/Tender/SplashBidNoticeAbstractUI.aspx?menuIndex=3&amp;refID=7043192&amp;Result=3","7043192")</f>
        <v>0</v>
      </c>
      <c r="B13037" t="s">
        <v>2305</v>
      </c>
      <c r="C13037" t="s">
        <v>15874</v>
      </c>
      <c r="D13037" t="s">
        <v>16643</v>
      </c>
      <c r="E13037" t="s">
        <v>27966</v>
      </c>
      <c r="F13037" t="s">
        <v>28669</v>
      </c>
      <c r="G13037" t="s">
        <v>28675</v>
      </c>
      <c r="H13037" t="s">
        <v>9998</v>
      </c>
      <c r="I13037" t="s">
        <v>28729</v>
      </c>
      <c r="J13037" t="s">
        <v>36780</v>
      </c>
      <c r="K13037" t="s">
        <v>37243</v>
      </c>
      <c r="M13037" t="s">
        <v>39964</v>
      </c>
      <c r="N13037" t="s">
        <v>41249</v>
      </c>
      <c r="O13037" t="s">
        <v>41250</v>
      </c>
      <c r="P13037">
        <v>0</v>
      </c>
      <c r="Q13037">
        <v>8</v>
      </c>
      <c r="R13037" t="s">
        <v>41271</v>
      </c>
      <c r="S13037" t="s">
        <v>42169</v>
      </c>
      <c r="T13037" t="s">
        <v>42766</v>
      </c>
      <c r="U13037" t="s">
        <v>53626</v>
      </c>
      <c r="V13037" t="s">
        <v>54340</v>
      </c>
      <c r="W13037" t="s">
        <v>39964</v>
      </c>
      <c r="X13037" t="s">
        <v>41272</v>
      </c>
    </row>
    <row r="13038" spans="1:24">
      <c r="A13038">
        <f>HYPERLINK("https://www.philgeps.gov.ph/GEPSNONPILOT/Tender/SplashBidNoticeAbstractUI.aspx?menuIndex=3&amp;refID=7043188&amp;Result=3","7043188")</f>
        <v>0</v>
      </c>
      <c r="B13038" t="s">
        <v>2114</v>
      </c>
      <c r="C13038" t="s">
        <v>15875</v>
      </c>
      <c r="E13038" t="s">
        <v>27967</v>
      </c>
      <c r="F13038" t="s">
        <v>28669</v>
      </c>
      <c r="G13038" t="s">
        <v>28675</v>
      </c>
      <c r="H13038" t="s">
        <v>28686</v>
      </c>
      <c r="I13038" t="s">
        <v>28689</v>
      </c>
      <c r="J13038" t="s">
        <v>36781</v>
      </c>
      <c r="K13038" t="s">
        <v>37209</v>
      </c>
      <c r="M13038" t="s">
        <v>41145</v>
      </c>
      <c r="N13038" t="s">
        <v>41249</v>
      </c>
      <c r="O13038" t="s">
        <v>41250</v>
      </c>
      <c r="Q13038">
        <v>5</v>
      </c>
      <c r="R13038" t="s">
        <v>41271</v>
      </c>
      <c r="S13038" t="s">
        <v>42218</v>
      </c>
      <c r="T13038" t="s">
        <v>42728</v>
      </c>
      <c r="U13038" t="s">
        <v>53627</v>
      </c>
      <c r="W13038" t="s">
        <v>41145</v>
      </c>
      <c r="X13038" t="s">
        <v>41272</v>
      </c>
    </row>
    <row r="13039" spans="1:24">
      <c r="A13039">
        <f>HYPERLINK("https://www.philgeps.gov.ph/GEPSNONPILOT/Tender/SplashBidNoticeAbstractUI.aspx?menuIndex=3&amp;refID=7043100&amp;Result=3","7043100")</f>
        <v>0</v>
      </c>
      <c r="B13039" t="s">
        <v>3307</v>
      </c>
      <c r="C13039" t="s">
        <v>15876</v>
      </c>
      <c r="D13039" t="s">
        <v>16686</v>
      </c>
      <c r="E13039" t="s">
        <v>27968</v>
      </c>
      <c r="F13039" t="s">
        <v>28669</v>
      </c>
      <c r="G13039" t="s">
        <v>28675</v>
      </c>
      <c r="H13039" t="s">
        <v>9998</v>
      </c>
      <c r="I13039" t="s">
        <v>7352</v>
      </c>
      <c r="J13039" t="s">
        <v>36782</v>
      </c>
      <c r="K13039" t="s">
        <v>37227</v>
      </c>
      <c r="M13039" t="s">
        <v>41142</v>
      </c>
      <c r="N13039" t="s">
        <v>41249</v>
      </c>
      <c r="O13039" t="s">
        <v>41250</v>
      </c>
      <c r="P13039">
        <v>0</v>
      </c>
      <c r="Q13039">
        <v>3</v>
      </c>
      <c r="R13039" t="s">
        <v>41271</v>
      </c>
      <c r="S13039" t="s">
        <v>42169</v>
      </c>
      <c r="T13039" t="s">
        <v>42728</v>
      </c>
      <c r="U13039" t="s">
        <v>53592</v>
      </c>
      <c r="V13039" t="s">
        <v>55812</v>
      </c>
      <c r="W13039" t="s">
        <v>41142</v>
      </c>
      <c r="X13039" t="s">
        <v>41272</v>
      </c>
    </row>
    <row r="13040" spans="1:24">
      <c r="A13040">
        <f>HYPERLINK("https://www.philgeps.gov.ph/GEPSNONPILOT/Tender/SplashBidNoticeAbstractUI.aspx?menuIndex=3&amp;refID=7043045&amp;Result=3","7043045")</f>
        <v>0</v>
      </c>
      <c r="B13040" t="s">
        <v>2389</v>
      </c>
      <c r="C13040" t="s">
        <v>15877</v>
      </c>
      <c r="D13040" t="s">
        <v>16631</v>
      </c>
      <c r="E13040" t="s">
        <v>27969</v>
      </c>
      <c r="F13040" t="s">
        <v>28669</v>
      </c>
      <c r="G13040" t="s">
        <v>28675</v>
      </c>
      <c r="H13040" t="s">
        <v>28686</v>
      </c>
      <c r="I13040" t="s">
        <v>28689</v>
      </c>
      <c r="J13040" t="s">
        <v>36783</v>
      </c>
      <c r="K13040" t="s">
        <v>37214</v>
      </c>
      <c r="M13040" t="s">
        <v>40063</v>
      </c>
      <c r="N13040" t="s">
        <v>41249</v>
      </c>
      <c r="O13040" t="s">
        <v>41250</v>
      </c>
      <c r="P13040">
        <v>0</v>
      </c>
      <c r="Q13040">
        <v>1</v>
      </c>
      <c r="R13040" t="s">
        <v>41271</v>
      </c>
      <c r="S13040" t="s">
        <v>42169</v>
      </c>
      <c r="T13040" t="s">
        <v>42929</v>
      </c>
      <c r="U13040" t="s">
        <v>53618</v>
      </c>
      <c r="V13040" t="s">
        <v>55809</v>
      </c>
      <c r="W13040" t="s">
        <v>40063</v>
      </c>
      <c r="X13040" t="s">
        <v>41272</v>
      </c>
    </row>
    <row r="13041" spans="1:24">
      <c r="A13041">
        <f>HYPERLINK("https://www.philgeps.gov.ph/GEPSNONPILOT/Tender/SplashBidNoticeAbstractUI.aspx?menuIndex=3&amp;refID=7043168&amp;Result=3","7043168")</f>
        <v>0</v>
      </c>
      <c r="B13041" t="s">
        <v>2305</v>
      </c>
      <c r="C13041" t="s">
        <v>15878</v>
      </c>
      <c r="D13041" t="s">
        <v>16643</v>
      </c>
      <c r="E13041" t="s">
        <v>27970</v>
      </c>
      <c r="F13041" t="s">
        <v>28669</v>
      </c>
      <c r="G13041" t="s">
        <v>28675</v>
      </c>
      <c r="H13041" t="s">
        <v>9998</v>
      </c>
      <c r="I13041" t="s">
        <v>6128</v>
      </c>
      <c r="J13041" t="s">
        <v>36784</v>
      </c>
      <c r="K13041" t="s">
        <v>37243</v>
      </c>
      <c r="M13041" t="s">
        <v>39964</v>
      </c>
      <c r="N13041" t="s">
        <v>41249</v>
      </c>
      <c r="O13041" t="s">
        <v>41250</v>
      </c>
      <c r="P13041">
        <v>0</v>
      </c>
      <c r="Q13041">
        <v>5</v>
      </c>
      <c r="R13041" t="s">
        <v>41271</v>
      </c>
      <c r="S13041" t="s">
        <v>42169</v>
      </c>
      <c r="T13041" t="s">
        <v>42766</v>
      </c>
      <c r="U13041" t="s">
        <v>53628</v>
      </c>
      <c r="V13041" t="s">
        <v>54340</v>
      </c>
      <c r="W13041" t="s">
        <v>39964</v>
      </c>
      <c r="X13041" t="s">
        <v>41272</v>
      </c>
    </row>
    <row r="13042" spans="1:24">
      <c r="A13042">
        <f>HYPERLINK("https://www.philgeps.gov.ph/GEPSNONPILOT/Tender/SplashBidNoticeAbstractUI.aspx?menuIndex=3&amp;refID=7043157&amp;Result=3","7043157")</f>
        <v>0</v>
      </c>
      <c r="B13042" t="s">
        <v>2305</v>
      </c>
      <c r="C13042" t="s">
        <v>15879</v>
      </c>
      <c r="D13042" t="s">
        <v>16643</v>
      </c>
      <c r="E13042" t="s">
        <v>27971</v>
      </c>
      <c r="F13042" t="s">
        <v>28669</v>
      </c>
      <c r="G13042" t="s">
        <v>28675</v>
      </c>
      <c r="H13042" t="s">
        <v>9998</v>
      </c>
      <c r="I13042" t="s">
        <v>28695</v>
      </c>
      <c r="J13042" t="s">
        <v>36785</v>
      </c>
      <c r="K13042" t="s">
        <v>37243</v>
      </c>
      <c r="M13042" t="s">
        <v>39964</v>
      </c>
      <c r="N13042" t="s">
        <v>41249</v>
      </c>
      <c r="O13042" t="s">
        <v>41250</v>
      </c>
      <c r="P13042">
        <v>0</v>
      </c>
      <c r="Q13042">
        <v>0</v>
      </c>
      <c r="R13042" t="s">
        <v>41271</v>
      </c>
      <c r="S13042" t="s">
        <v>42169</v>
      </c>
      <c r="T13042" t="s">
        <v>42766</v>
      </c>
      <c r="U13042" t="s">
        <v>53629</v>
      </c>
      <c r="V13042" t="s">
        <v>54340</v>
      </c>
      <c r="W13042" t="s">
        <v>39964</v>
      </c>
      <c r="X13042" t="s">
        <v>41272</v>
      </c>
    </row>
    <row r="13043" spans="1:24">
      <c r="A13043">
        <f>HYPERLINK("https://www.philgeps.gov.ph/GEPSNONPILOT/Tender/SplashBidNoticeAbstractUI.aspx?menuIndex=3&amp;refID=7043029&amp;Result=3","7043029")</f>
        <v>0</v>
      </c>
      <c r="B13043" t="s">
        <v>2389</v>
      </c>
      <c r="C13043" t="s">
        <v>15880</v>
      </c>
      <c r="D13043" t="s">
        <v>16631</v>
      </c>
      <c r="E13043" t="s">
        <v>27972</v>
      </c>
      <c r="F13043" t="s">
        <v>28669</v>
      </c>
      <c r="G13043" t="s">
        <v>28675</v>
      </c>
      <c r="H13043" t="s">
        <v>28686</v>
      </c>
      <c r="I13043" t="s">
        <v>28689</v>
      </c>
      <c r="J13043" t="s">
        <v>36786</v>
      </c>
      <c r="K13043" t="s">
        <v>37214</v>
      </c>
      <c r="M13043" t="s">
        <v>40063</v>
      </c>
      <c r="N13043" t="s">
        <v>41249</v>
      </c>
      <c r="O13043" t="s">
        <v>41250</v>
      </c>
      <c r="P13043">
        <v>0</v>
      </c>
      <c r="Q13043">
        <v>3</v>
      </c>
      <c r="R13043" t="s">
        <v>41271</v>
      </c>
      <c r="S13043" t="s">
        <v>42169</v>
      </c>
      <c r="T13043" t="s">
        <v>42929</v>
      </c>
      <c r="U13043" t="s">
        <v>53618</v>
      </c>
      <c r="V13043" t="s">
        <v>55809</v>
      </c>
      <c r="W13043" t="s">
        <v>40063</v>
      </c>
      <c r="X13043" t="s">
        <v>41272</v>
      </c>
    </row>
    <row r="13044" spans="1:24">
      <c r="A13044">
        <f>HYPERLINK("https://www.philgeps.gov.ph/GEPSNONPILOT/Tender/SplashBidNoticeAbstractUI.aspx?menuIndex=3&amp;refID=7042820&amp;Result=3","7042820")</f>
        <v>0</v>
      </c>
      <c r="B13044" t="s">
        <v>1397</v>
      </c>
      <c r="C13044" t="s">
        <v>15881</v>
      </c>
      <c r="D13044" t="s">
        <v>16640</v>
      </c>
      <c r="E13044" t="s">
        <v>27973</v>
      </c>
      <c r="F13044" t="s">
        <v>28669</v>
      </c>
      <c r="G13044" t="s">
        <v>28675</v>
      </c>
      <c r="H13044" t="s">
        <v>28686</v>
      </c>
      <c r="I13044" t="s">
        <v>28689</v>
      </c>
      <c r="J13044" t="s">
        <v>34451</v>
      </c>
      <c r="K13044" t="s">
        <v>37218</v>
      </c>
      <c r="M13044" t="s">
        <v>40812</v>
      </c>
      <c r="N13044" t="s">
        <v>41249</v>
      </c>
      <c r="O13044" t="s">
        <v>41250</v>
      </c>
      <c r="Q13044">
        <v>10</v>
      </c>
      <c r="R13044" t="s">
        <v>41271</v>
      </c>
      <c r="S13044" t="s">
        <v>42219</v>
      </c>
      <c r="T13044" t="s">
        <v>42727</v>
      </c>
      <c r="U13044" t="s">
        <v>53583</v>
      </c>
      <c r="V13044" t="s">
        <v>55805</v>
      </c>
      <c r="W13044" t="s">
        <v>40812</v>
      </c>
      <c r="X13044" t="s">
        <v>41272</v>
      </c>
    </row>
    <row r="13045" spans="1:24">
      <c r="A13045">
        <f>HYPERLINK("https://www.philgeps.gov.ph/GEPSNONPILOT/Tender/SplashBidNoticeAbstractUI.aspx?menuIndex=3&amp;refID=7042713&amp;Result=3","7042713")</f>
        <v>0</v>
      </c>
      <c r="B13045" t="s">
        <v>1397</v>
      </c>
      <c r="C13045" t="s">
        <v>15882</v>
      </c>
      <c r="D13045" t="s">
        <v>16640</v>
      </c>
      <c r="E13045" t="s">
        <v>27974</v>
      </c>
      <c r="F13045" t="s">
        <v>28669</v>
      </c>
      <c r="G13045" t="s">
        <v>28675</v>
      </c>
      <c r="H13045" t="s">
        <v>28686</v>
      </c>
      <c r="I13045" t="s">
        <v>28689</v>
      </c>
      <c r="J13045" t="s">
        <v>36761</v>
      </c>
      <c r="K13045" t="s">
        <v>37212</v>
      </c>
      <c r="M13045" t="s">
        <v>40812</v>
      </c>
      <c r="N13045" t="s">
        <v>41249</v>
      </c>
      <c r="O13045" t="s">
        <v>41250</v>
      </c>
      <c r="Q13045">
        <v>14</v>
      </c>
      <c r="R13045" t="s">
        <v>41271</v>
      </c>
      <c r="S13045" t="s">
        <v>42203</v>
      </c>
      <c r="T13045" t="s">
        <v>42727</v>
      </c>
      <c r="U13045" t="s">
        <v>53583</v>
      </c>
      <c r="V13045" t="s">
        <v>55805</v>
      </c>
      <c r="W13045" t="s">
        <v>40812</v>
      </c>
      <c r="X13045" t="s">
        <v>41272</v>
      </c>
    </row>
    <row r="13046" spans="1:24">
      <c r="A13046">
        <f>HYPERLINK("https://www.philgeps.gov.ph/GEPSNONPILOT/Tender/SplashBidNoticeAbstractUI.aspx?menuIndex=3&amp;refID=7043173&amp;Result=3","7043173")</f>
        <v>0</v>
      </c>
      <c r="B13046" t="s">
        <v>2305</v>
      </c>
      <c r="C13046" t="s">
        <v>15883</v>
      </c>
      <c r="D13046" t="s">
        <v>16643</v>
      </c>
      <c r="E13046" t="s">
        <v>27975</v>
      </c>
      <c r="F13046" t="s">
        <v>28669</v>
      </c>
      <c r="G13046" t="s">
        <v>28675</v>
      </c>
      <c r="H13046" t="s">
        <v>9998</v>
      </c>
      <c r="I13046" t="s">
        <v>5213</v>
      </c>
      <c r="J13046" t="s">
        <v>36787</v>
      </c>
      <c r="K13046" t="s">
        <v>37243</v>
      </c>
      <c r="M13046" t="s">
        <v>39964</v>
      </c>
      <c r="N13046" t="s">
        <v>41249</v>
      </c>
      <c r="O13046" t="s">
        <v>41250</v>
      </c>
      <c r="P13046">
        <v>0</v>
      </c>
      <c r="Q13046">
        <v>2</v>
      </c>
      <c r="R13046" t="s">
        <v>41271</v>
      </c>
      <c r="S13046" t="s">
        <v>42169</v>
      </c>
      <c r="T13046" t="s">
        <v>42766</v>
      </c>
      <c r="U13046" t="s">
        <v>53630</v>
      </c>
      <c r="V13046" t="s">
        <v>54340</v>
      </c>
      <c r="W13046" t="s">
        <v>39964</v>
      </c>
      <c r="X13046" t="s">
        <v>41272</v>
      </c>
    </row>
    <row r="13047" spans="1:24">
      <c r="A13047">
        <f>HYPERLINK("https://www.philgeps.gov.ph/GEPSNONPILOT/Tender/SplashBidNoticeAbstractUI.aspx?menuIndex=3&amp;refID=7042802&amp;Result=3","7042802")</f>
        <v>0</v>
      </c>
      <c r="B13047" t="s">
        <v>1397</v>
      </c>
      <c r="C13047" t="s">
        <v>15884</v>
      </c>
      <c r="D13047" t="s">
        <v>16640</v>
      </c>
      <c r="E13047" t="s">
        <v>27976</v>
      </c>
      <c r="F13047" t="s">
        <v>28669</v>
      </c>
      <c r="G13047" t="s">
        <v>28675</v>
      </c>
      <c r="H13047" t="s">
        <v>28686</v>
      </c>
      <c r="I13047" t="s">
        <v>28689</v>
      </c>
      <c r="J13047" t="s">
        <v>36788</v>
      </c>
      <c r="K13047" t="s">
        <v>37276</v>
      </c>
      <c r="M13047" t="s">
        <v>40812</v>
      </c>
      <c r="N13047" t="s">
        <v>41249</v>
      </c>
      <c r="O13047" t="s">
        <v>41250</v>
      </c>
      <c r="Q13047">
        <v>14</v>
      </c>
      <c r="R13047" t="s">
        <v>41271</v>
      </c>
      <c r="S13047" t="s">
        <v>42220</v>
      </c>
      <c r="T13047" t="s">
        <v>42727</v>
      </c>
      <c r="U13047" t="s">
        <v>53583</v>
      </c>
      <c r="V13047" t="s">
        <v>55805</v>
      </c>
      <c r="W13047" t="s">
        <v>40812</v>
      </c>
      <c r="X13047" t="s">
        <v>41272</v>
      </c>
    </row>
    <row r="13048" spans="1:24">
      <c r="A13048">
        <f>HYPERLINK("https://www.philgeps.gov.ph/GEPSNONPILOT/Tender/SplashBidNoticeAbstractUI.aspx?menuIndex=3&amp;refID=7043240&amp;Result=3","7043240")</f>
        <v>0</v>
      </c>
      <c r="B13048" t="s">
        <v>941</v>
      </c>
      <c r="C13048" t="s">
        <v>15885</v>
      </c>
      <c r="D13048" t="s">
        <v>16608</v>
      </c>
      <c r="E13048" t="s">
        <v>27977</v>
      </c>
      <c r="F13048" t="s">
        <v>28669</v>
      </c>
      <c r="G13048" t="s">
        <v>28675</v>
      </c>
      <c r="H13048" t="s">
        <v>9998</v>
      </c>
      <c r="I13048" t="s">
        <v>28693</v>
      </c>
      <c r="J13048" t="s">
        <v>29053</v>
      </c>
      <c r="K13048" t="s">
        <v>37220</v>
      </c>
      <c r="M13048" t="s">
        <v>38464</v>
      </c>
      <c r="N13048" t="s">
        <v>41249</v>
      </c>
      <c r="O13048" t="s">
        <v>41250</v>
      </c>
      <c r="Q13048">
        <v>11</v>
      </c>
      <c r="R13048" t="s">
        <v>41271</v>
      </c>
      <c r="S13048" t="s">
        <v>41994</v>
      </c>
      <c r="T13048" t="s">
        <v>42673</v>
      </c>
      <c r="U13048" t="s">
        <v>53631</v>
      </c>
      <c r="W13048" t="s">
        <v>38464</v>
      </c>
      <c r="X13048" t="s">
        <v>41272</v>
      </c>
    </row>
    <row r="13049" spans="1:24">
      <c r="A13049">
        <f>HYPERLINK("https://www.philgeps.gov.ph/GEPSNONPILOT/Tender/SplashBidNoticeAbstractUI.aspx?menuIndex=3&amp;refID=7043015&amp;Result=3","7043015")</f>
        <v>0</v>
      </c>
      <c r="B13049" t="s">
        <v>2389</v>
      </c>
      <c r="C13049" t="s">
        <v>15886</v>
      </c>
      <c r="D13049" t="s">
        <v>16631</v>
      </c>
      <c r="E13049" t="s">
        <v>27978</v>
      </c>
      <c r="F13049" t="s">
        <v>28669</v>
      </c>
      <c r="G13049" t="s">
        <v>28675</v>
      </c>
      <c r="H13049" t="s">
        <v>28686</v>
      </c>
      <c r="I13049" t="s">
        <v>28689</v>
      </c>
      <c r="J13049" t="s">
        <v>36789</v>
      </c>
      <c r="K13049" t="s">
        <v>37214</v>
      </c>
      <c r="M13049" t="s">
        <v>40063</v>
      </c>
      <c r="N13049" t="s">
        <v>41249</v>
      </c>
      <c r="O13049" t="s">
        <v>41250</v>
      </c>
      <c r="P13049">
        <v>0</v>
      </c>
      <c r="Q13049">
        <v>4</v>
      </c>
      <c r="R13049" t="s">
        <v>41271</v>
      </c>
      <c r="S13049" t="s">
        <v>42169</v>
      </c>
      <c r="T13049" t="s">
        <v>42929</v>
      </c>
      <c r="U13049" t="s">
        <v>53618</v>
      </c>
      <c r="V13049" t="s">
        <v>55809</v>
      </c>
      <c r="W13049" t="s">
        <v>40063</v>
      </c>
      <c r="X13049" t="s">
        <v>41272</v>
      </c>
    </row>
    <row r="13050" spans="1:24">
      <c r="A13050">
        <f>HYPERLINK("https://www.philgeps.gov.ph/GEPSNONPILOT/Tender/SplashBidNoticeAbstractUI.aspx?menuIndex=3&amp;refID=7043008&amp;Result=3","7043008")</f>
        <v>0</v>
      </c>
      <c r="B13050" t="s">
        <v>2275</v>
      </c>
      <c r="C13050" t="s">
        <v>15887</v>
      </c>
      <c r="D13050" t="s">
        <v>16666</v>
      </c>
      <c r="E13050" t="s">
        <v>27979</v>
      </c>
      <c r="F13050" t="s">
        <v>28669</v>
      </c>
      <c r="G13050" t="s">
        <v>28675</v>
      </c>
      <c r="H13050" t="s">
        <v>9998</v>
      </c>
      <c r="I13050" t="s">
        <v>28717</v>
      </c>
      <c r="J13050" t="s">
        <v>36790</v>
      </c>
      <c r="K13050" t="s">
        <v>37206</v>
      </c>
      <c r="M13050" t="s">
        <v>39930</v>
      </c>
      <c r="N13050" t="s">
        <v>41249</v>
      </c>
      <c r="O13050" t="s">
        <v>41250</v>
      </c>
      <c r="Q13050">
        <v>17</v>
      </c>
      <c r="R13050" t="s">
        <v>41271</v>
      </c>
      <c r="S13050" t="s">
        <v>42221</v>
      </c>
      <c r="T13050" t="s">
        <v>42728</v>
      </c>
      <c r="U13050" t="s">
        <v>53609</v>
      </c>
      <c r="W13050" t="s">
        <v>39930</v>
      </c>
      <c r="X13050" t="s">
        <v>41272</v>
      </c>
    </row>
    <row r="13051" spans="1:24">
      <c r="A13051">
        <f>HYPERLINK("https://www.philgeps.gov.ph/GEPSNONPILOT/Tender/SplashBidNoticeAbstractUI.aspx?menuIndex=3&amp;refID=7043105&amp;Result=3","7043105")</f>
        <v>0</v>
      </c>
      <c r="B13051" t="s">
        <v>3307</v>
      </c>
      <c r="C13051" t="s">
        <v>15888</v>
      </c>
      <c r="D13051" t="s">
        <v>16686</v>
      </c>
      <c r="E13051" t="s">
        <v>27980</v>
      </c>
      <c r="F13051" t="s">
        <v>28669</v>
      </c>
      <c r="G13051" t="s">
        <v>28675</v>
      </c>
      <c r="H13051" t="s">
        <v>9998</v>
      </c>
      <c r="I13051" t="s">
        <v>7352</v>
      </c>
      <c r="J13051" t="s">
        <v>36791</v>
      </c>
      <c r="K13051" t="s">
        <v>37227</v>
      </c>
      <c r="M13051" t="s">
        <v>41142</v>
      </c>
      <c r="N13051" t="s">
        <v>41249</v>
      </c>
      <c r="O13051" t="s">
        <v>41250</v>
      </c>
      <c r="P13051">
        <v>0</v>
      </c>
      <c r="Q13051">
        <v>1</v>
      </c>
      <c r="R13051" t="s">
        <v>41271</v>
      </c>
      <c r="S13051" t="s">
        <v>42169</v>
      </c>
      <c r="T13051" t="s">
        <v>42728</v>
      </c>
      <c r="U13051" t="s">
        <v>53592</v>
      </c>
      <c r="V13051" t="s">
        <v>55813</v>
      </c>
      <c r="W13051" t="s">
        <v>41142</v>
      </c>
      <c r="X13051" t="s">
        <v>41272</v>
      </c>
    </row>
    <row r="13052" spans="1:24">
      <c r="A13052">
        <f>HYPERLINK("https://www.philgeps.gov.ph/GEPSNONPILOT/Tender/SplashBidNoticeAbstractUI.aspx?menuIndex=3&amp;refID=7043032&amp;Result=3","7043032")</f>
        <v>0</v>
      </c>
      <c r="B13052" t="s">
        <v>2033</v>
      </c>
      <c r="C13052" t="s">
        <v>15889</v>
      </c>
      <c r="D13052" t="s">
        <v>16625</v>
      </c>
      <c r="E13052" t="s">
        <v>27981</v>
      </c>
      <c r="F13052" t="s">
        <v>28669</v>
      </c>
      <c r="G13052" t="s">
        <v>28675</v>
      </c>
      <c r="H13052" t="s">
        <v>28686</v>
      </c>
      <c r="I13052" t="s">
        <v>28689</v>
      </c>
      <c r="J13052" t="s">
        <v>31637</v>
      </c>
      <c r="K13052" t="s">
        <v>37423</v>
      </c>
      <c r="L13052" t="s">
        <v>2033</v>
      </c>
      <c r="M13052" t="s">
        <v>40764</v>
      </c>
      <c r="N13052" t="s">
        <v>41249</v>
      </c>
      <c r="O13052" t="s">
        <v>41250</v>
      </c>
      <c r="P13052">
        <v>0</v>
      </c>
      <c r="Q13052">
        <v>2</v>
      </c>
      <c r="R13052" t="s">
        <v>41271</v>
      </c>
      <c r="S13052" t="s">
        <v>42169</v>
      </c>
      <c r="T13052" t="s">
        <v>42727</v>
      </c>
      <c r="U13052" t="s">
        <v>53632</v>
      </c>
      <c r="W13052" t="s">
        <v>40764</v>
      </c>
      <c r="X13052" t="s">
        <v>41272</v>
      </c>
    </row>
    <row r="13053" spans="1:24">
      <c r="A13053">
        <f>HYPERLINK("https://www.philgeps.gov.ph/GEPSNONPILOT/Tender/SplashBidNoticeAbstractUI.aspx?menuIndex=3&amp;refID=7034267&amp;Result=3","7034267")</f>
        <v>0</v>
      </c>
      <c r="B13053" t="s">
        <v>2588</v>
      </c>
      <c r="C13053" t="s">
        <v>15890</v>
      </c>
      <c r="D13053" t="s">
        <v>16617</v>
      </c>
      <c r="E13053" t="s">
        <v>27982</v>
      </c>
      <c r="F13053" t="s">
        <v>28669</v>
      </c>
      <c r="G13053" t="s">
        <v>28675</v>
      </c>
      <c r="H13053" t="s">
        <v>28686</v>
      </c>
      <c r="I13053" t="s">
        <v>28689</v>
      </c>
      <c r="J13053" t="s">
        <v>29332</v>
      </c>
      <c r="K13053" t="s">
        <v>37207</v>
      </c>
      <c r="M13053" t="s">
        <v>41146</v>
      </c>
      <c r="N13053" t="s">
        <v>41249</v>
      </c>
      <c r="O13053" t="s">
        <v>41250</v>
      </c>
      <c r="P13053">
        <v>0</v>
      </c>
      <c r="Q13053">
        <v>2</v>
      </c>
      <c r="R13053" t="s">
        <v>41272</v>
      </c>
      <c r="S13053" t="s">
        <v>42222</v>
      </c>
      <c r="T13053" t="s">
        <v>42811</v>
      </c>
      <c r="U13053" t="s">
        <v>53633</v>
      </c>
      <c r="W13053" t="s">
        <v>41146</v>
      </c>
      <c r="X13053" t="s">
        <v>41275</v>
      </c>
    </row>
    <row r="13054" spans="1:24">
      <c r="A13054">
        <f>HYPERLINK("https://www.philgeps.gov.ph/GEPSNONPILOT/Tender/SplashBidNoticeAbstractUI.aspx?menuIndex=3&amp;refID=7034276&amp;Result=3","7034276")</f>
        <v>0</v>
      </c>
      <c r="B13054" t="s">
        <v>2392</v>
      </c>
      <c r="C13054" t="s">
        <v>15891</v>
      </c>
      <c r="D13054" t="s">
        <v>16619</v>
      </c>
      <c r="E13054" t="s">
        <v>27983</v>
      </c>
      <c r="F13054" t="s">
        <v>28669</v>
      </c>
      <c r="G13054" t="s">
        <v>28675</v>
      </c>
      <c r="H13054" t="s">
        <v>28686</v>
      </c>
      <c r="I13054" t="s">
        <v>28689</v>
      </c>
      <c r="J13054" t="s">
        <v>32281</v>
      </c>
      <c r="K13054" t="s">
        <v>37211</v>
      </c>
      <c r="M13054" t="s">
        <v>40067</v>
      </c>
      <c r="N13054" t="s">
        <v>41249</v>
      </c>
      <c r="O13054" t="s">
        <v>41250</v>
      </c>
      <c r="Q13054">
        <v>10</v>
      </c>
      <c r="R13054" t="s">
        <v>41272</v>
      </c>
      <c r="S13054" t="s">
        <v>42223</v>
      </c>
      <c r="T13054" t="s">
        <v>42767</v>
      </c>
      <c r="U13054" t="s">
        <v>53634</v>
      </c>
      <c r="W13054" t="s">
        <v>40067</v>
      </c>
      <c r="X13054" t="s">
        <v>41275</v>
      </c>
    </row>
    <row r="13055" spans="1:24">
      <c r="A13055">
        <f>HYPERLINK("https://www.philgeps.gov.ph/GEPSNONPILOT/Tender/SplashBidNoticeAbstractUI.aspx?menuIndex=3&amp;refID=7034166&amp;Result=3","7034166")</f>
        <v>0</v>
      </c>
      <c r="B13055" t="s">
        <v>2588</v>
      </c>
      <c r="C13055" t="s">
        <v>15892</v>
      </c>
      <c r="D13055" t="s">
        <v>16617</v>
      </c>
      <c r="E13055" t="s">
        <v>27984</v>
      </c>
      <c r="F13055" t="s">
        <v>28669</v>
      </c>
      <c r="G13055" t="s">
        <v>28675</v>
      </c>
      <c r="H13055" t="s">
        <v>28686</v>
      </c>
      <c r="I13055" t="s">
        <v>28689</v>
      </c>
      <c r="J13055" t="s">
        <v>29266</v>
      </c>
      <c r="K13055" t="s">
        <v>37212</v>
      </c>
      <c r="M13055" t="s">
        <v>41146</v>
      </c>
      <c r="N13055" t="s">
        <v>41249</v>
      </c>
      <c r="O13055" t="s">
        <v>41250</v>
      </c>
      <c r="P13055">
        <v>0</v>
      </c>
      <c r="Q13055">
        <v>5</v>
      </c>
      <c r="R13055" t="s">
        <v>41272</v>
      </c>
      <c r="S13055" t="s">
        <v>42222</v>
      </c>
      <c r="T13055" t="s">
        <v>42811</v>
      </c>
      <c r="U13055" t="s">
        <v>53635</v>
      </c>
      <c r="W13055" t="s">
        <v>41146</v>
      </c>
      <c r="X13055" t="s">
        <v>41275</v>
      </c>
    </row>
    <row r="13056" spans="1:24">
      <c r="A13056">
        <f>HYPERLINK("https://www.philgeps.gov.ph/GEPSNONPILOT/Tender/SplashBidNoticeAbstractUI.aspx?menuIndex=3&amp;refID=7034236&amp;Result=3","7034236")</f>
        <v>0</v>
      </c>
      <c r="B13056" t="s">
        <v>2588</v>
      </c>
      <c r="C13056" t="s">
        <v>15893</v>
      </c>
      <c r="D13056" t="s">
        <v>16617</v>
      </c>
      <c r="E13056" t="s">
        <v>27985</v>
      </c>
      <c r="F13056" t="s">
        <v>28669</v>
      </c>
      <c r="G13056" t="s">
        <v>28675</v>
      </c>
      <c r="H13056" t="s">
        <v>28686</v>
      </c>
      <c r="I13056" t="s">
        <v>28689</v>
      </c>
      <c r="J13056" t="s">
        <v>36792</v>
      </c>
      <c r="K13056" t="s">
        <v>37212</v>
      </c>
      <c r="M13056" t="s">
        <v>41146</v>
      </c>
      <c r="N13056" t="s">
        <v>41249</v>
      </c>
      <c r="O13056" t="s">
        <v>41250</v>
      </c>
      <c r="P13056">
        <v>0</v>
      </c>
      <c r="Q13056">
        <v>5</v>
      </c>
      <c r="R13056" t="s">
        <v>41272</v>
      </c>
      <c r="S13056" t="s">
        <v>42222</v>
      </c>
      <c r="T13056" t="s">
        <v>42811</v>
      </c>
      <c r="U13056" t="s">
        <v>53636</v>
      </c>
      <c r="W13056" t="s">
        <v>41146</v>
      </c>
      <c r="X13056" t="s">
        <v>41275</v>
      </c>
    </row>
    <row r="13057" spans="1:24">
      <c r="A13057">
        <f>HYPERLINK("https://www.philgeps.gov.ph/GEPSNONPILOT/Tender/SplashBidNoticeAbstractUI.aspx?menuIndex=3&amp;refID=7018107&amp;Result=3","7018107")</f>
        <v>0</v>
      </c>
      <c r="B13057" t="s">
        <v>1197</v>
      </c>
      <c r="C13057" t="s">
        <v>15894</v>
      </c>
      <c r="D13057" t="s">
        <v>16624</v>
      </c>
      <c r="E13057" t="s">
        <v>26636</v>
      </c>
      <c r="F13057" t="s">
        <v>28669</v>
      </c>
      <c r="G13057" t="s">
        <v>28675</v>
      </c>
      <c r="H13057" t="s">
        <v>28686</v>
      </c>
      <c r="I13057" t="s">
        <v>28689</v>
      </c>
      <c r="J13057" t="s">
        <v>36793</v>
      </c>
      <c r="K13057" t="s">
        <v>37221</v>
      </c>
      <c r="M13057" t="s">
        <v>38737</v>
      </c>
      <c r="N13057" t="s">
        <v>41249</v>
      </c>
      <c r="O13057" t="s">
        <v>41250</v>
      </c>
      <c r="Q13057">
        <v>3</v>
      </c>
      <c r="R13057" t="s">
        <v>41272</v>
      </c>
      <c r="S13057" t="s">
        <v>42224</v>
      </c>
      <c r="T13057" t="s">
        <v>42728</v>
      </c>
      <c r="U13057" t="s">
        <v>53637</v>
      </c>
      <c r="V13057" t="s">
        <v>55814</v>
      </c>
      <c r="W13057" t="s">
        <v>38737</v>
      </c>
      <c r="X13057" t="s">
        <v>41368</v>
      </c>
    </row>
    <row r="13058" spans="1:24">
      <c r="A13058">
        <f>HYPERLINK("https://www.philgeps.gov.ph/GEPSNONPILOT/Tender/SplashBidNoticeAbstractUI.aspx?menuIndex=3&amp;refID=7035371&amp;Result=3","7035371")</f>
        <v>0</v>
      </c>
      <c r="B13058" t="s">
        <v>33</v>
      </c>
      <c r="C13058" t="s">
        <v>15895</v>
      </c>
      <c r="D13058" t="s">
        <v>16616</v>
      </c>
      <c r="E13058" t="s">
        <v>27986</v>
      </c>
      <c r="F13058" t="s">
        <v>28669</v>
      </c>
      <c r="G13058" t="s">
        <v>28675</v>
      </c>
      <c r="H13058" t="s">
        <v>28686</v>
      </c>
      <c r="I13058" t="s">
        <v>28689</v>
      </c>
      <c r="J13058" t="s">
        <v>34801</v>
      </c>
      <c r="K13058" t="s">
        <v>37254</v>
      </c>
      <c r="M13058" t="s">
        <v>40872</v>
      </c>
      <c r="N13058" t="s">
        <v>41249</v>
      </c>
      <c r="O13058" t="s">
        <v>41250</v>
      </c>
      <c r="Q13058">
        <v>3</v>
      </c>
      <c r="R13058" t="s">
        <v>41272</v>
      </c>
      <c r="S13058" t="s">
        <v>42225</v>
      </c>
      <c r="T13058" t="s">
        <v>42729</v>
      </c>
      <c r="U13058" t="s">
        <v>52275</v>
      </c>
      <c r="V13058" t="s">
        <v>54252</v>
      </c>
      <c r="W13058" t="s">
        <v>40872</v>
      </c>
      <c r="X13058" t="s">
        <v>41274</v>
      </c>
    </row>
    <row r="13059" spans="1:24">
      <c r="A13059">
        <f>HYPERLINK("https://www.philgeps.gov.ph/GEPSNONPILOT/Tender/SplashBidNoticeAbstractUI.aspx?menuIndex=3&amp;refID=6999268&amp;Result=3","6999268")</f>
        <v>0</v>
      </c>
      <c r="B13059" t="s">
        <v>3309</v>
      </c>
      <c r="C13059" t="s">
        <v>15896</v>
      </c>
      <c r="D13059" t="s">
        <v>16668</v>
      </c>
      <c r="E13059" t="s">
        <v>27987</v>
      </c>
      <c r="F13059" t="s">
        <v>28669</v>
      </c>
      <c r="G13059" t="s">
        <v>28675</v>
      </c>
      <c r="H13059" t="s">
        <v>28686</v>
      </c>
      <c r="I13059" t="s">
        <v>28691</v>
      </c>
      <c r="J13059" t="s">
        <v>29364</v>
      </c>
      <c r="K13059" t="s">
        <v>37291</v>
      </c>
      <c r="M13059" t="s">
        <v>41147</v>
      </c>
      <c r="N13059" t="s">
        <v>41249</v>
      </c>
      <c r="O13059" t="s">
        <v>41250</v>
      </c>
      <c r="P13059">
        <v>0</v>
      </c>
      <c r="Q13059">
        <v>0</v>
      </c>
      <c r="R13059" t="s">
        <v>41272</v>
      </c>
      <c r="S13059" t="s">
        <v>42222</v>
      </c>
      <c r="T13059" t="s">
        <v>42712</v>
      </c>
      <c r="U13059" t="s">
        <v>53638</v>
      </c>
      <c r="W13059" t="s">
        <v>41147</v>
      </c>
      <c r="X13059" t="s">
        <v>56050</v>
      </c>
    </row>
    <row r="13060" spans="1:24">
      <c r="A13060">
        <f>HYPERLINK("https://www.philgeps.gov.ph/GEPSNONPILOT/Tender/SplashBidNoticeAbstractUI.aspx?menuIndex=3&amp;refID=7043299&amp;Result=3","7043299")</f>
        <v>0</v>
      </c>
      <c r="B13060" t="s">
        <v>868</v>
      </c>
      <c r="C13060" t="s">
        <v>15566</v>
      </c>
      <c r="D13060" t="s">
        <v>16621</v>
      </c>
      <c r="E13060" t="s">
        <v>27988</v>
      </c>
      <c r="F13060" t="s">
        <v>28669</v>
      </c>
      <c r="G13060" t="s">
        <v>28675</v>
      </c>
      <c r="H13060" t="s">
        <v>28686</v>
      </c>
      <c r="I13060" t="s">
        <v>28689</v>
      </c>
      <c r="J13060" t="s">
        <v>36794</v>
      </c>
      <c r="K13060" t="s">
        <v>37294</v>
      </c>
      <c r="M13060" t="s">
        <v>38386</v>
      </c>
      <c r="N13060" t="s">
        <v>41249</v>
      </c>
      <c r="O13060" t="s">
        <v>41250</v>
      </c>
      <c r="P13060">
        <v>0</v>
      </c>
      <c r="Q13060">
        <v>0</v>
      </c>
      <c r="R13060" t="s">
        <v>41271</v>
      </c>
      <c r="S13060" t="s">
        <v>42169</v>
      </c>
      <c r="T13060" t="s">
        <v>42679</v>
      </c>
      <c r="U13060" t="s">
        <v>53639</v>
      </c>
      <c r="W13060" t="s">
        <v>38386</v>
      </c>
      <c r="X13060" t="s">
        <v>41272</v>
      </c>
    </row>
    <row r="13061" spans="1:24">
      <c r="A13061">
        <f>HYPERLINK("https://www.philgeps.gov.ph/GEPSNONPILOT/Tender/SplashBidNoticeAbstractUI.aspx?menuIndex=3&amp;refID=7043298&amp;Result=3","7043298")</f>
        <v>0</v>
      </c>
      <c r="B13061" t="s">
        <v>236</v>
      </c>
      <c r="C13061" t="s">
        <v>15897</v>
      </c>
      <c r="D13061" t="s">
        <v>16663</v>
      </c>
      <c r="E13061" t="s">
        <v>27989</v>
      </c>
      <c r="F13061" t="s">
        <v>28669</v>
      </c>
      <c r="G13061" t="s">
        <v>28675</v>
      </c>
      <c r="H13061" t="s">
        <v>28686</v>
      </c>
      <c r="I13061" t="s">
        <v>28689</v>
      </c>
      <c r="J13061" t="s">
        <v>36795</v>
      </c>
      <c r="K13061" t="s">
        <v>37213</v>
      </c>
      <c r="M13061" t="s">
        <v>41148</v>
      </c>
      <c r="N13061" t="s">
        <v>41249</v>
      </c>
      <c r="O13061" t="s">
        <v>41250</v>
      </c>
      <c r="Q13061">
        <v>1</v>
      </c>
      <c r="R13061" t="s">
        <v>41271</v>
      </c>
      <c r="S13061" t="s">
        <v>42226</v>
      </c>
      <c r="T13061" t="s">
        <v>42778</v>
      </c>
      <c r="U13061" t="s">
        <v>53640</v>
      </c>
      <c r="W13061" t="s">
        <v>41148</v>
      </c>
      <c r="X13061" t="s">
        <v>41272</v>
      </c>
    </row>
    <row r="13062" spans="1:24">
      <c r="A13062">
        <f>HYPERLINK("https://www.philgeps.gov.ph/GEPSNONPILOT/Tender/SplashBidNoticeAbstractUI.aspx?menuIndex=3&amp;refID=7043293&amp;Result=3","7043293")</f>
        <v>0</v>
      </c>
      <c r="B13062" t="s">
        <v>868</v>
      </c>
      <c r="C13062" t="s">
        <v>15898</v>
      </c>
      <c r="D13062" t="s">
        <v>16621</v>
      </c>
      <c r="E13062" t="s">
        <v>27990</v>
      </c>
      <c r="F13062" t="s">
        <v>28669</v>
      </c>
      <c r="G13062" t="s">
        <v>28675</v>
      </c>
      <c r="H13062" t="s">
        <v>28686</v>
      </c>
      <c r="I13062" t="s">
        <v>28689</v>
      </c>
      <c r="J13062" t="s">
        <v>36796</v>
      </c>
      <c r="K13062" t="s">
        <v>37290</v>
      </c>
      <c r="M13062" t="s">
        <v>38386</v>
      </c>
      <c r="N13062" t="s">
        <v>41249</v>
      </c>
      <c r="O13062" t="s">
        <v>41250</v>
      </c>
      <c r="P13062">
        <v>0</v>
      </c>
      <c r="Q13062">
        <v>0</v>
      </c>
      <c r="R13062" t="s">
        <v>41271</v>
      </c>
      <c r="S13062" t="s">
        <v>42169</v>
      </c>
      <c r="T13062" t="s">
        <v>42679</v>
      </c>
      <c r="U13062" t="s">
        <v>53641</v>
      </c>
      <c r="W13062" t="s">
        <v>38386</v>
      </c>
      <c r="X13062" t="s">
        <v>41272</v>
      </c>
    </row>
    <row r="13063" spans="1:24">
      <c r="A13063">
        <f>HYPERLINK("https://www.philgeps.gov.ph/GEPSNONPILOT/Tender/SplashBidNoticeAbstractUI.aspx?menuIndex=3&amp;refID=7043277&amp;Result=3","7043277")</f>
        <v>0</v>
      </c>
      <c r="B13063" t="s">
        <v>2644</v>
      </c>
      <c r="C13063" t="s">
        <v>15899</v>
      </c>
      <c r="D13063" t="s">
        <v>16625</v>
      </c>
      <c r="E13063" t="s">
        <v>27991</v>
      </c>
      <c r="F13063" t="s">
        <v>28669</v>
      </c>
      <c r="G13063" t="s">
        <v>28675</v>
      </c>
      <c r="H13063" t="s">
        <v>28686</v>
      </c>
      <c r="I13063" t="s">
        <v>28689</v>
      </c>
      <c r="J13063" t="s">
        <v>30503</v>
      </c>
      <c r="K13063" t="s">
        <v>37213</v>
      </c>
      <c r="L13063" t="s">
        <v>2644</v>
      </c>
      <c r="M13063" t="s">
        <v>40344</v>
      </c>
      <c r="N13063" t="s">
        <v>41249</v>
      </c>
      <c r="O13063" t="s">
        <v>41250</v>
      </c>
      <c r="P13063">
        <v>0</v>
      </c>
      <c r="Q13063">
        <v>2</v>
      </c>
      <c r="R13063" t="s">
        <v>41271</v>
      </c>
      <c r="S13063" t="s">
        <v>42169</v>
      </c>
      <c r="T13063" t="s">
        <v>42727</v>
      </c>
      <c r="U13063" t="s">
        <v>53642</v>
      </c>
      <c r="W13063" t="s">
        <v>40344</v>
      </c>
      <c r="X13063" t="s">
        <v>41272</v>
      </c>
    </row>
    <row r="13064" spans="1:24">
      <c r="A13064">
        <f>HYPERLINK("https://www.philgeps.gov.ph/GEPSNONPILOT/Tender/SplashBidNoticeAbstractUI.aspx?menuIndex=3&amp;refID=7043270&amp;Result=3","7043270")</f>
        <v>0</v>
      </c>
      <c r="B13064" t="s">
        <v>2644</v>
      </c>
      <c r="C13064" t="s">
        <v>15900</v>
      </c>
      <c r="D13064" t="s">
        <v>16625</v>
      </c>
      <c r="E13064" t="s">
        <v>27992</v>
      </c>
      <c r="F13064" t="s">
        <v>28669</v>
      </c>
      <c r="G13064" t="s">
        <v>28675</v>
      </c>
      <c r="H13064" t="s">
        <v>28686</v>
      </c>
      <c r="I13064" t="s">
        <v>28689</v>
      </c>
      <c r="J13064" t="s">
        <v>31197</v>
      </c>
      <c r="K13064" t="s">
        <v>37213</v>
      </c>
      <c r="L13064" t="s">
        <v>2644</v>
      </c>
      <c r="M13064" t="s">
        <v>40344</v>
      </c>
      <c r="N13064" t="s">
        <v>41249</v>
      </c>
      <c r="O13064" t="s">
        <v>41250</v>
      </c>
      <c r="P13064">
        <v>0</v>
      </c>
      <c r="Q13064">
        <v>1</v>
      </c>
      <c r="R13064" t="s">
        <v>41271</v>
      </c>
      <c r="S13064" t="s">
        <v>42169</v>
      </c>
      <c r="T13064" t="s">
        <v>42727</v>
      </c>
      <c r="U13064" t="s">
        <v>53643</v>
      </c>
      <c r="W13064" t="s">
        <v>40344</v>
      </c>
      <c r="X13064" t="s">
        <v>41272</v>
      </c>
    </row>
    <row r="13065" spans="1:24">
      <c r="A13065">
        <f>HYPERLINK("https://www.philgeps.gov.ph/GEPSNONPILOT/Tender/SplashBidNoticeAbstractUI.aspx?menuIndex=3&amp;refID=7017985&amp;Result=3","7017985")</f>
        <v>0</v>
      </c>
      <c r="B13065" t="s">
        <v>1197</v>
      </c>
      <c r="C13065" t="s">
        <v>15901</v>
      </c>
      <c r="D13065" t="s">
        <v>16624</v>
      </c>
      <c r="E13065" t="s">
        <v>27993</v>
      </c>
      <c r="F13065" t="s">
        <v>28669</v>
      </c>
      <c r="G13065" t="s">
        <v>28675</v>
      </c>
      <c r="H13065" t="s">
        <v>28686</v>
      </c>
      <c r="I13065" t="s">
        <v>28689</v>
      </c>
      <c r="J13065" t="s">
        <v>28881</v>
      </c>
      <c r="K13065" t="s">
        <v>37215</v>
      </c>
      <c r="M13065" t="s">
        <v>38737</v>
      </c>
      <c r="N13065" t="s">
        <v>41249</v>
      </c>
      <c r="O13065" t="s">
        <v>41250</v>
      </c>
      <c r="P13065">
        <v>0</v>
      </c>
      <c r="Q13065">
        <v>0</v>
      </c>
      <c r="R13065" t="s">
        <v>41272</v>
      </c>
      <c r="S13065" t="s">
        <v>42222</v>
      </c>
      <c r="T13065" t="s">
        <v>42728</v>
      </c>
      <c r="U13065" t="s">
        <v>53644</v>
      </c>
      <c r="V13065" t="s">
        <v>55814</v>
      </c>
      <c r="W13065" t="s">
        <v>38737</v>
      </c>
      <c r="X13065" t="s">
        <v>41368</v>
      </c>
    </row>
    <row r="13066" spans="1:24">
      <c r="A13066">
        <f>HYPERLINK("https://www.philgeps.gov.ph/GEPSNONPILOT/Tender/SplashBidNoticeAbstractUI.aspx?menuIndex=3&amp;refID=7035351&amp;Result=3","7035351")</f>
        <v>0</v>
      </c>
      <c r="B13066" t="s">
        <v>937</v>
      </c>
      <c r="C13066" t="s">
        <v>15902</v>
      </c>
      <c r="E13066" t="s">
        <v>27994</v>
      </c>
      <c r="F13066" t="s">
        <v>28669</v>
      </c>
      <c r="G13066" t="s">
        <v>28675</v>
      </c>
      <c r="H13066" t="s">
        <v>9998</v>
      </c>
      <c r="I13066" t="s">
        <v>28687</v>
      </c>
      <c r="J13066" t="s">
        <v>36797</v>
      </c>
      <c r="K13066" t="s">
        <v>37206</v>
      </c>
      <c r="M13066" t="s">
        <v>38460</v>
      </c>
      <c r="N13066" t="s">
        <v>41249</v>
      </c>
      <c r="O13066" t="s">
        <v>41250</v>
      </c>
      <c r="P13066">
        <v>0</v>
      </c>
      <c r="Q13066">
        <v>5</v>
      </c>
      <c r="R13066" t="s">
        <v>41272</v>
      </c>
      <c r="S13066" t="s">
        <v>42222</v>
      </c>
      <c r="T13066" t="s">
        <v>42767</v>
      </c>
      <c r="U13066" t="s">
        <v>53645</v>
      </c>
      <c r="W13066" t="s">
        <v>38460</v>
      </c>
      <c r="X13066" t="s">
        <v>41274</v>
      </c>
    </row>
    <row r="13067" spans="1:24">
      <c r="A13067">
        <f>HYPERLINK("https://www.philgeps.gov.ph/GEPSNONPILOT/Tender/SplashBidNoticeAbstractUI.aspx?menuIndex=3&amp;refID=7037066&amp;Result=3","7037066")</f>
        <v>0</v>
      </c>
      <c r="B13067" t="s">
        <v>2498</v>
      </c>
      <c r="C13067" t="s">
        <v>15903</v>
      </c>
      <c r="D13067" t="s">
        <v>16639</v>
      </c>
      <c r="E13067" t="s">
        <v>27995</v>
      </c>
      <c r="F13067" t="s">
        <v>28669</v>
      </c>
      <c r="G13067" t="s">
        <v>28675</v>
      </c>
      <c r="H13067" t="s">
        <v>28685</v>
      </c>
      <c r="I13067" t="s">
        <v>28685</v>
      </c>
      <c r="J13067" t="s">
        <v>36798</v>
      </c>
      <c r="K13067" t="s">
        <v>37220</v>
      </c>
      <c r="M13067" t="s">
        <v>40183</v>
      </c>
      <c r="N13067" t="s">
        <v>41249</v>
      </c>
      <c r="O13067" t="s">
        <v>41250</v>
      </c>
      <c r="Q13067">
        <v>5</v>
      </c>
      <c r="R13067" t="s">
        <v>41272</v>
      </c>
      <c r="S13067" t="s">
        <v>42227</v>
      </c>
      <c r="T13067" t="s">
        <v>42686</v>
      </c>
      <c r="U13067" t="s">
        <v>53646</v>
      </c>
      <c r="W13067" t="s">
        <v>40183</v>
      </c>
      <c r="X13067" t="s">
        <v>41274</v>
      </c>
    </row>
    <row r="13068" spans="1:24">
      <c r="A13068">
        <f>HYPERLINK("https://www.philgeps.gov.ph/GEPSNONPILOT/Tender/SplashBidNoticeAbstractUI.aspx?menuIndex=3&amp;refID=7038378&amp;Result=3","7038378")</f>
        <v>0</v>
      </c>
      <c r="B13068" t="s">
        <v>3310</v>
      </c>
      <c r="C13068" t="s">
        <v>15904</v>
      </c>
      <c r="D13068" t="s">
        <v>16686</v>
      </c>
      <c r="E13068" t="s">
        <v>27996</v>
      </c>
      <c r="F13068" t="s">
        <v>28669</v>
      </c>
      <c r="G13068" t="s">
        <v>28675</v>
      </c>
      <c r="H13068" t="s">
        <v>9998</v>
      </c>
      <c r="I13068" t="s">
        <v>28687</v>
      </c>
      <c r="J13068" t="s">
        <v>29112</v>
      </c>
      <c r="K13068" t="s">
        <v>37206</v>
      </c>
      <c r="M13068" t="s">
        <v>41149</v>
      </c>
      <c r="N13068" t="s">
        <v>41249</v>
      </c>
      <c r="O13068" t="s">
        <v>41250</v>
      </c>
      <c r="Q13068">
        <v>6</v>
      </c>
      <c r="R13068" t="s">
        <v>41272</v>
      </c>
      <c r="S13068" t="s">
        <v>42228</v>
      </c>
      <c r="T13068" t="s">
        <v>43159</v>
      </c>
      <c r="U13068" t="s">
        <v>53647</v>
      </c>
      <c r="W13068" t="s">
        <v>41149</v>
      </c>
      <c r="X13068" t="s">
        <v>41273</v>
      </c>
    </row>
    <row r="13069" spans="1:24">
      <c r="A13069">
        <f>HYPERLINK("https://www.philgeps.gov.ph/GEPSNONPILOT/Tender/SplashBidNoticeAbstractUI.aspx?menuIndex=3&amp;refID=7038342&amp;Result=3","7038342")</f>
        <v>0</v>
      </c>
      <c r="B13069" t="s">
        <v>464</v>
      </c>
      <c r="C13069" t="s">
        <v>15905</v>
      </c>
      <c r="D13069" t="s">
        <v>16629</v>
      </c>
      <c r="E13069" t="s">
        <v>27997</v>
      </c>
      <c r="F13069" t="s">
        <v>28669</v>
      </c>
      <c r="G13069" t="s">
        <v>28675</v>
      </c>
      <c r="H13069" t="s">
        <v>9998</v>
      </c>
      <c r="I13069" t="s">
        <v>28688</v>
      </c>
      <c r="J13069" t="s">
        <v>36799</v>
      </c>
      <c r="K13069" t="s">
        <v>37227</v>
      </c>
      <c r="M13069" t="s">
        <v>37952</v>
      </c>
      <c r="N13069" t="s">
        <v>41249</v>
      </c>
      <c r="O13069" t="s">
        <v>41250</v>
      </c>
      <c r="P13069">
        <v>0</v>
      </c>
      <c r="Q13069">
        <v>4</v>
      </c>
      <c r="R13069" t="s">
        <v>41272</v>
      </c>
      <c r="S13069" t="s">
        <v>42222</v>
      </c>
      <c r="T13069" t="s">
        <v>42992</v>
      </c>
      <c r="U13069" t="s">
        <v>53648</v>
      </c>
      <c r="V13069" t="s">
        <v>55509</v>
      </c>
      <c r="W13069" t="s">
        <v>37952</v>
      </c>
      <c r="X13069" t="s">
        <v>41273</v>
      </c>
    </row>
    <row r="13070" spans="1:24">
      <c r="A13070">
        <f>HYPERLINK("https://www.philgeps.gov.ph/GEPSNONPILOT/Tender/SplashBidNoticeAbstractUI.aspx?menuIndex=3&amp;refID=7043285&amp;Result=3","7043285")</f>
        <v>0</v>
      </c>
      <c r="B13070" t="s">
        <v>1389</v>
      </c>
      <c r="C13070" t="s">
        <v>15906</v>
      </c>
      <c r="D13070" t="s">
        <v>16617</v>
      </c>
      <c r="E13070" t="s">
        <v>23803</v>
      </c>
      <c r="F13070" t="s">
        <v>28669</v>
      </c>
      <c r="G13070" t="s">
        <v>28675</v>
      </c>
      <c r="H13070" t="s">
        <v>9998</v>
      </c>
      <c r="I13070" t="s">
        <v>28779</v>
      </c>
      <c r="J13070" t="s">
        <v>36800</v>
      </c>
      <c r="K13070" t="s">
        <v>37206</v>
      </c>
      <c r="M13070" t="s">
        <v>41150</v>
      </c>
      <c r="N13070" t="s">
        <v>41249</v>
      </c>
      <c r="O13070" t="s">
        <v>41250</v>
      </c>
      <c r="Q13070">
        <v>10</v>
      </c>
      <c r="R13070" t="s">
        <v>41271</v>
      </c>
      <c r="S13070" t="s">
        <v>42229</v>
      </c>
      <c r="T13070" t="s">
        <v>42838</v>
      </c>
      <c r="U13070" t="s">
        <v>53649</v>
      </c>
      <c r="W13070" t="s">
        <v>41150</v>
      </c>
      <c r="X13070" t="s">
        <v>41272</v>
      </c>
    </row>
    <row r="13071" spans="1:24">
      <c r="A13071">
        <f>HYPERLINK("https://www.philgeps.gov.ph/GEPSNONPILOT/Tender/SplashBidNoticeAbstractUI.aspx?menuIndex=3&amp;refID=7038222&amp;Result=3","7038222")</f>
        <v>0</v>
      </c>
      <c r="B13071" t="s">
        <v>629</v>
      </c>
      <c r="C13071" t="s">
        <v>15907</v>
      </c>
      <c r="D13071" t="s">
        <v>16648</v>
      </c>
      <c r="E13071" t="s">
        <v>27998</v>
      </c>
      <c r="F13071" t="s">
        <v>28669</v>
      </c>
      <c r="G13071" t="s">
        <v>28675</v>
      </c>
      <c r="H13071" t="s">
        <v>9998</v>
      </c>
      <c r="I13071" t="s">
        <v>5286</v>
      </c>
      <c r="J13071" t="s">
        <v>29059</v>
      </c>
      <c r="K13071" t="s">
        <v>37209</v>
      </c>
      <c r="M13071" t="s">
        <v>38129</v>
      </c>
      <c r="N13071" t="s">
        <v>41249</v>
      </c>
      <c r="O13071" t="s">
        <v>41250</v>
      </c>
      <c r="P13071">
        <v>0</v>
      </c>
      <c r="Q13071">
        <v>8</v>
      </c>
      <c r="R13071" t="s">
        <v>41272</v>
      </c>
      <c r="S13071" t="s">
        <v>42222</v>
      </c>
      <c r="T13071" t="s">
        <v>43000</v>
      </c>
      <c r="U13071" t="s">
        <v>53650</v>
      </c>
      <c r="W13071" t="s">
        <v>38129</v>
      </c>
      <c r="X13071" t="s">
        <v>41273</v>
      </c>
    </row>
    <row r="13072" spans="1:24">
      <c r="A13072">
        <f>HYPERLINK("https://www.philgeps.gov.ph/GEPSNONPILOT/Tender/SplashBidNoticeAbstractUI.aspx?menuIndex=3&amp;refID=7038067&amp;Result=3","7038067")</f>
        <v>0</v>
      </c>
      <c r="B13072" t="s">
        <v>3311</v>
      </c>
      <c r="C13072" t="s">
        <v>15908</v>
      </c>
      <c r="D13072" t="s">
        <v>16607</v>
      </c>
      <c r="E13072" t="s">
        <v>17149</v>
      </c>
      <c r="F13072" t="s">
        <v>28671</v>
      </c>
      <c r="G13072" t="s">
        <v>28675</v>
      </c>
      <c r="H13072" t="s">
        <v>9998</v>
      </c>
      <c r="I13072" t="s">
        <v>7352</v>
      </c>
      <c r="J13072" t="s">
        <v>36801</v>
      </c>
      <c r="K13072" t="s">
        <v>37204</v>
      </c>
      <c r="M13072" t="s">
        <v>41151</v>
      </c>
      <c r="N13072" t="s">
        <v>41249</v>
      </c>
      <c r="O13072" t="s">
        <v>41250</v>
      </c>
      <c r="P13072">
        <v>0</v>
      </c>
      <c r="Q13072">
        <v>8</v>
      </c>
      <c r="R13072" t="s">
        <v>41272</v>
      </c>
      <c r="S13072" t="s">
        <v>42222</v>
      </c>
      <c r="T13072" t="s">
        <v>42665</v>
      </c>
      <c r="U13072" t="s">
        <v>53651</v>
      </c>
      <c r="V13072" t="s">
        <v>55815</v>
      </c>
      <c r="W13072" t="s">
        <v>41151</v>
      </c>
      <c r="X13072" t="s">
        <v>41274</v>
      </c>
    </row>
    <row r="13073" spans="1:24">
      <c r="A13073">
        <f>HYPERLINK("https://www.philgeps.gov.ph/GEPSNONPILOT/Tender/SplashBidNoticeAbstractUI.aspx?menuIndex=3&amp;refID=7036290&amp;Result=3","7036290")</f>
        <v>0</v>
      </c>
      <c r="B13073" t="s">
        <v>575</v>
      </c>
      <c r="C13073" t="s">
        <v>15909</v>
      </c>
      <c r="D13073" t="s">
        <v>16660</v>
      </c>
      <c r="E13073" t="s">
        <v>27999</v>
      </c>
      <c r="F13073" t="s">
        <v>28669</v>
      </c>
      <c r="G13073" t="s">
        <v>28675</v>
      </c>
      <c r="H13073" t="s">
        <v>9998</v>
      </c>
      <c r="I13073" t="s">
        <v>7352</v>
      </c>
      <c r="J13073" t="s">
        <v>36802</v>
      </c>
      <c r="K13073" t="s">
        <v>37209</v>
      </c>
      <c r="M13073" t="s">
        <v>38074</v>
      </c>
      <c r="N13073" t="s">
        <v>41249</v>
      </c>
      <c r="O13073" t="s">
        <v>41250</v>
      </c>
      <c r="P13073">
        <v>0</v>
      </c>
      <c r="Q13073">
        <v>7</v>
      </c>
      <c r="R13073" t="s">
        <v>41272</v>
      </c>
      <c r="S13073" t="s">
        <v>42222</v>
      </c>
      <c r="T13073" t="s">
        <v>43070</v>
      </c>
      <c r="U13073" t="s">
        <v>47553</v>
      </c>
      <c r="W13073" t="s">
        <v>38074</v>
      </c>
      <c r="X13073" t="s">
        <v>41274</v>
      </c>
    </row>
    <row r="13074" spans="1:24">
      <c r="A13074">
        <f>HYPERLINK("https://www.philgeps.gov.ph/GEPSNONPILOT/Tender/SplashBidNoticeAbstractUI.aspx?menuIndex=3&amp;refID=7043273&amp;Result=3","7043273")</f>
        <v>0</v>
      </c>
      <c r="B13074" t="s">
        <v>2644</v>
      </c>
      <c r="C13074" t="s">
        <v>15910</v>
      </c>
      <c r="D13074" t="s">
        <v>16625</v>
      </c>
      <c r="E13074" t="s">
        <v>28000</v>
      </c>
      <c r="F13074" t="s">
        <v>28669</v>
      </c>
      <c r="G13074" t="s">
        <v>28675</v>
      </c>
      <c r="H13074" t="s">
        <v>28686</v>
      </c>
      <c r="I13074" t="s">
        <v>28689</v>
      </c>
      <c r="J13074" t="s">
        <v>32463</v>
      </c>
      <c r="K13074" t="s">
        <v>37211</v>
      </c>
      <c r="L13074" t="s">
        <v>2644</v>
      </c>
      <c r="M13074" t="s">
        <v>40344</v>
      </c>
      <c r="N13074" t="s">
        <v>41249</v>
      </c>
      <c r="O13074" t="s">
        <v>41250</v>
      </c>
      <c r="P13074">
        <v>0</v>
      </c>
      <c r="Q13074">
        <v>3</v>
      </c>
      <c r="R13074" t="s">
        <v>41271</v>
      </c>
      <c r="S13074" t="s">
        <v>42169</v>
      </c>
      <c r="T13074" t="s">
        <v>42727</v>
      </c>
      <c r="U13074" t="s">
        <v>53652</v>
      </c>
      <c r="W13074" t="s">
        <v>40344</v>
      </c>
      <c r="X13074" t="s">
        <v>41272</v>
      </c>
    </row>
    <row r="13075" spans="1:24">
      <c r="A13075">
        <f>HYPERLINK("https://www.philgeps.gov.ph/GEPSNONPILOT/Tender/SplashBidNoticeAbstractUI.aspx?menuIndex=3&amp;refID=7036110&amp;Result=3","7036110")</f>
        <v>0</v>
      </c>
      <c r="B13075" t="s">
        <v>937</v>
      </c>
      <c r="C13075" t="s">
        <v>15911</v>
      </c>
      <c r="E13075" t="s">
        <v>28001</v>
      </c>
      <c r="F13075" t="s">
        <v>28669</v>
      </c>
      <c r="G13075" t="s">
        <v>28675</v>
      </c>
      <c r="H13075" t="s">
        <v>28686</v>
      </c>
      <c r="I13075" t="s">
        <v>28689</v>
      </c>
      <c r="J13075" t="s">
        <v>36803</v>
      </c>
      <c r="K13075" t="s">
        <v>37285</v>
      </c>
      <c r="M13075" t="s">
        <v>38460</v>
      </c>
      <c r="N13075" t="s">
        <v>41249</v>
      </c>
      <c r="O13075" t="s">
        <v>41250</v>
      </c>
      <c r="P13075">
        <v>0</v>
      </c>
      <c r="Q13075">
        <v>1</v>
      </c>
      <c r="R13075" t="s">
        <v>41272</v>
      </c>
      <c r="S13075" t="s">
        <v>42222</v>
      </c>
      <c r="T13075" t="s">
        <v>42767</v>
      </c>
      <c r="U13075" t="s">
        <v>53653</v>
      </c>
      <c r="W13075" t="s">
        <v>38460</v>
      </c>
      <c r="X13075" t="s">
        <v>41274</v>
      </c>
    </row>
    <row r="13076" spans="1:24">
      <c r="A13076">
        <f>HYPERLINK("https://www.philgeps.gov.ph/GEPSNONPILOT/Tender/SplashBidNoticeAbstractUI.aspx?menuIndex=3&amp;refID=7035979&amp;Result=3","7035979")</f>
        <v>0</v>
      </c>
      <c r="B13076" t="s">
        <v>1125</v>
      </c>
      <c r="C13076" t="s">
        <v>15912</v>
      </c>
      <c r="D13076" t="s">
        <v>16616</v>
      </c>
      <c r="E13076" t="s">
        <v>28002</v>
      </c>
      <c r="F13076" t="s">
        <v>28669</v>
      </c>
      <c r="G13076" t="s">
        <v>28675</v>
      </c>
      <c r="H13076" t="s">
        <v>28686</v>
      </c>
      <c r="I13076" t="s">
        <v>28689</v>
      </c>
      <c r="J13076" t="s">
        <v>36804</v>
      </c>
      <c r="K13076" t="s">
        <v>37325</v>
      </c>
      <c r="M13076" t="s">
        <v>40077</v>
      </c>
      <c r="N13076" t="s">
        <v>41249</v>
      </c>
      <c r="O13076" t="s">
        <v>41250</v>
      </c>
      <c r="P13076">
        <v>0</v>
      </c>
      <c r="Q13076">
        <v>2</v>
      </c>
      <c r="R13076" t="s">
        <v>41272</v>
      </c>
      <c r="S13076" t="s">
        <v>42222</v>
      </c>
      <c r="T13076" t="s">
        <v>42728</v>
      </c>
      <c r="U13076" t="s">
        <v>53654</v>
      </c>
      <c r="W13076" t="s">
        <v>40077</v>
      </c>
      <c r="X13076" t="s">
        <v>41274</v>
      </c>
    </row>
    <row r="13077" spans="1:24">
      <c r="A13077">
        <f>HYPERLINK("https://www.philgeps.gov.ph/GEPSNONPILOT/Tender/SplashBidNoticeAbstractUI.aspx?menuIndex=3&amp;refID=7035919&amp;Result=3","7035919")</f>
        <v>0</v>
      </c>
      <c r="B13077" t="s">
        <v>1125</v>
      </c>
      <c r="C13077" t="s">
        <v>15913</v>
      </c>
      <c r="D13077" t="s">
        <v>16616</v>
      </c>
      <c r="E13077" t="s">
        <v>28003</v>
      </c>
      <c r="F13077" t="s">
        <v>28669</v>
      </c>
      <c r="G13077" t="s">
        <v>28675</v>
      </c>
      <c r="H13077" t="s">
        <v>28686</v>
      </c>
      <c r="I13077" t="s">
        <v>28689</v>
      </c>
      <c r="J13077" t="s">
        <v>32902</v>
      </c>
      <c r="K13077" t="s">
        <v>37376</v>
      </c>
      <c r="M13077" t="s">
        <v>40077</v>
      </c>
      <c r="N13077" t="s">
        <v>41249</v>
      </c>
      <c r="O13077" t="s">
        <v>41250</v>
      </c>
      <c r="P13077">
        <v>0</v>
      </c>
      <c r="Q13077">
        <v>2</v>
      </c>
      <c r="R13077" t="s">
        <v>41272</v>
      </c>
      <c r="S13077" t="s">
        <v>42222</v>
      </c>
      <c r="T13077" t="s">
        <v>42728</v>
      </c>
      <c r="U13077" t="s">
        <v>53655</v>
      </c>
      <c r="W13077" t="s">
        <v>40077</v>
      </c>
      <c r="X13077" t="s">
        <v>41274</v>
      </c>
    </row>
    <row r="13078" spans="1:24">
      <c r="A13078">
        <f>HYPERLINK("https://www.philgeps.gov.ph/GEPSNONPILOT/Tender/SplashBidNoticeAbstractUI.aspx?menuIndex=3&amp;refID=7035954&amp;Result=3","7035954")</f>
        <v>0</v>
      </c>
      <c r="B13078" t="s">
        <v>1125</v>
      </c>
      <c r="C13078" t="s">
        <v>15914</v>
      </c>
      <c r="D13078" t="s">
        <v>16616</v>
      </c>
      <c r="E13078" t="s">
        <v>28004</v>
      </c>
      <c r="F13078" t="s">
        <v>28669</v>
      </c>
      <c r="G13078" t="s">
        <v>28675</v>
      </c>
      <c r="H13078" t="s">
        <v>28686</v>
      </c>
      <c r="I13078" t="s">
        <v>28689</v>
      </c>
      <c r="J13078" t="s">
        <v>29943</v>
      </c>
      <c r="K13078" t="s">
        <v>37212</v>
      </c>
      <c r="M13078" t="s">
        <v>40077</v>
      </c>
      <c r="N13078" t="s">
        <v>41249</v>
      </c>
      <c r="O13078" t="s">
        <v>41250</v>
      </c>
      <c r="P13078">
        <v>0</v>
      </c>
      <c r="Q13078">
        <v>1</v>
      </c>
      <c r="R13078" t="s">
        <v>41272</v>
      </c>
      <c r="S13078" t="s">
        <v>42222</v>
      </c>
      <c r="T13078" t="s">
        <v>42728</v>
      </c>
      <c r="U13078" t="s">
        <v>53656</v>
      </c>
      <c r="W13078" t="s">
        <v>40077</v>
      </c>
      <c r="X13078" t="s">
        <v>41274</v>
      </c>
    </row>
    <row r="13079" spans="1:24">
      <c r="A13079">
        <f>HYPERLINK("https://www.philgeps.gov.ph/GEPSNONPILOT/Tender/SplashBidNoticeAbstractUI.aspx?menuIndex=3&amp;refID=7035788&amp;Result=3","7035788")</f>
        <v>0</v>
      </c>
      <c r="B13079" t="s">
        <v>1125</v>
      </c>
      <c r="C13079" t="s">
        <v>15915</v>
      </c>
      <c r="D13079" t="s">
        <v>16616</v>
      </c>
      <c r="E13079" t="s">
        <v>28005</v>
      </c>
      <c r="F13079" t="s">
        <v>28669</v>
      </c>
      <c r="G13079" t="s">
        <v>28675</v>
      </c>
      <c r="H13079" t="s">
        <v>28686</v>
      </c>
      <c r="I13079" t="s">
        <v>28689</v>
      </c>
      <c r="J13079" t="s">
        <v>29655</v>
      </c>
      <c r="K13079" t="s">
        <v>37267</v>
      </c>
      <c r="M13079" t="s">
        <v>40077</v>
      </c>
      <c r="N13079" t="s">
        <v>41249</v>
      </c>
      <c r="O13079" t="s">
        <v>41250</v>
      </c>
      <c r="P13079">
        <v>0</v>
      </c>
      <c r="Q13079">
        <v>0</v>
      </c>
      <c r="R13079" t="s">
        <v>41272</v>
      </c>
      <c r="S13079" t="s">
        <v>42222</v>
      </c>
      <c r="T13079" t="s">
        <v>42728</v>
      </c>
      <c r="U13079" t="s">
        <v>53657</v>
      </c>
      <c r="W13079" t="s">
        <v>40077</v>
      </c>
      <c r="X13079" t="s">
        <v>41274</v>
      </c>
    </row>
    <row r="13080" spans="1:24">
      <c r="A13080">
        <f>HYPERLINK("https://www.philgeps.gov.ph/GEPSNONPILOT/Tender/SplashBidNoticeAbstractUI.aspx?menuIndex=3&amp;refID=7038171&amp;Result=3","7038171")</f>
        <v>0</v>
      </c>
      <c r="B13080" t="s">
        <v>987</v>
      </c>
      <c r="C13080" t="s">
        <v>15916</v>
      </c>
      <c r="D13080" t="s">
        <v>16616</v>
      </c>
      <c r="E13080" t="s">
        <v>18326</v>
      </c>
      <c r="F13080" t="s">
        <v>28669</v>
      </c>
      <c r="G13080" t="s">
        <v>28675</v>
      </c>
      <c r="H13080" t="s">
        <v>9998</v>
      </c>
      <c r="I13080" t="s">
        <v>28708</v>
      </c>
      <c r="J13080" t="s">
        <v>36805</v>
      </c>
      <c r="K13080" t="s">
        <v>37205</v>
      </c>
      <c r="M13080" t="s">
        <v>38512</v>
      </c>
      <c r="N13080" t="s">
        <v>41249</v>
      </c>
      <c r="O13080" t="s">
        <v>41250</v>
      </c>
      <c r="Q13080">
        <v>8</v>
      </c>
      <c r="R13080" t="s">
        <v>41272</v>
      </c>
      <c r="S13080" t="s">
        <v>42230</v>
      </c>
      <c r="T13080" t="s">
        <v>42884</v>
      </c>
      <c r="U13080" t="s">
        <v>53658</v>
      </c>
      <c r="W13080" t="s">
        <v>38512</v>
      </c>
      <c r="X13080" t="s">
        <v>41273</v>
      </c>
    </row>
    <row r="13081" spans="1:24">
      <c r="A13081">
        <f>HYPERLINK("https://www.philgeps.gov.ph/GEPSNONPILOT/Tender/SplashBidNoticeAbstractUI.aspx?menuIndex=3&amp;refID=7035888&amp;Result=3","7035888")</f>
        <v>0</v>
      </c>
      <c r="B13081" t="s">
        <v>1125</v>
      </c>
      <c r="C13081" t="s">
        <v>15917</v>
      </c>
      <c r="D13081" t="s">
        <v>16616</v>
      </c>
      <c r="E13081" t="s">
        <v>28006</v>
      </c>
      <c r="F13081" t="s">
        <v>28669</v>
      </c>
      <c r="G13081" t="s">
        <v>28675</v>
      </c>
      <c r="H13081" t="s">
        <v>28686</v>
      </c>
      <c r="I13081" t="s">
        <v>28689</v>
      </c>
      <c r="J13081" t="s">
        <v>33535</v>
      </c>
      <c r="K13081" t="s">
        <v>37220</v>
      </c>
      <c r="M13081" t="s">
        <v>40077</v>
      </c>
      <c r="N13081" t="s">
        <v>41249</v>
      </c>
      <c r="O13081" t="s">
        <v>41250</v>
      </c>
      <c r="P13081">
        <v>0</v>
      </c>
      <c r="Q13081">
        <v>0</v>
      </c>
      <c r="R13081" t="s">
        <v>41272</v>
      </c>
      <c r="S13081" t="s">
        <v>42222</v>
      </c>
      <c r="T13081" t="s">
        <v>42728</v>
      </c>
      <c r="U13081" t="s">
        <v>53659</v>
      </c>
      <c r="W13081" t="s">
        <v>40077</v>
      </c>
      <c r="X13081" t="s">
        <v>41274</v>
      </c>
    </row>
    <row r="13082" spans="1:24">
      <c r="A13082">
        <f>HYPERLINK("https://www.philgeps.gov.ph/GEPSNONPILOT/Tender/SplashBidNoticeAbstractUI.aspx?menuIndex=3&amp;refID=7035849&amp;Result=3","7035849")</f>
        <v>0</v>
      </c>
      <c r="B13082" t="s">
        <v>1125</v>
      </c>
      <c r="C13082" t="s">
        <v>15918</v>
      </c>
      <c r="D13082" t="s">
        <v>16616</v>
      </c>
      <c r="E13082" t="s">
        <v>28007</v>
      </c>
      <c r="F13082" t="s">
        <v>28669</v>
      </c>
      <c r="G13082" t="s">
        <v>28675</v>
      </c>
      <c r="H13082" t="s">
        <v>28686</v>
      </c>
      <c r="I13082" t="s">
        <v>28689</v>
      </c>
      <c r="J13082" t="s">
        <v>28924</v>
      </c>
      <c r="K13082" t="s">
        <v>37220</v>
      </c>
      <c r="M13082" t="s">
        <v>40077</v>
      </c>
      <c r="N13082" t="s">
        <v>41249</v>
      </c>
      <c r="O13082" t="s">
        <v>41250</v>
      </c>
      <c r="P13082">
        <v>0</v>
      </c>
      <c r="Q13082">
        <v>0</v>
      </c>
      <c r="R13082" t="s">
        <v>41272</v>
      </c>
      <c r="S13082" t="s">
        <v>42222</v>
      </c>
      <c r="T13082" t="s">
        <v>42728</v>
      </c>
      <c r="U13082" t="s">
        <v>53660</v>
      </c>
      <c r="W13082" t="s">
        <v>40077</v>
      </c>
      <c r="X13082" t="s">
        <v>41274</v>
      </c>
    </row>
    <row r="13083" spans="1:24">
      <c r="A13083">
        <f>HYPERLINK("https://www.philgeps.gov.ph/GEPSNONPILOT/Tender/SplashBidNoticeAbstractUI.aspx?menuIndex=3&amp;refID=7035726&amp;Result=3","7035726")</f>
        <v>0</v>
      </c>
      <c r="B13083" t="s">
        <v>1125</v>
      </c>
      <c r="C13083" t="s">
        <v>15919</v>
      </c>
      <c r="D13083" t="s">
        <v>16616</v>
      </c>
      <c r="E13083" t="s">
        <v>28008</v>
      </c>
      <c r="F13083" t="s">
        <v>28669</v>
      </c>
      <c r="G13083" t="s">
        <v>28675</v>
      </c>
      <c r="H13083" t="s">
        <v>28686</v>
      </c>
      <c r="I13083" t="s">
        <v>28689</v>
      </c>
      <c r="J13083" t="s">
        <v>29059</v>
      </c>
      <c r="K13083" t="s">
        <v>37213</v>
      </c>
      <c r="M13083" t="s">
        <v>40077</v>
      </c>
      <c r="N13083" t="s">
        <v>41249</v>
      </c>
      <c r="O13083" t="s">
        <v>41250</v>
      </c>
      <c r="P13083">
        <v>0</v>
      </c>
      <c r="Q13083">
        <v>0</v>
      </c>
      <c r="R13083" t="s">
        <v>41272</v>
      </c>
      <c r="S13083" t="s">
        <v>42222</v>
      </c>
      <c r="T13083" t="s">
        <v>42728</v>
      </c>
      <c r="U13083" t="s">
        <v>53661</v>
      </c>
      <c r="W13083" t="s">
        <v>40077</v>
      </c>
      <c r="X13083" t="s">
        <v>41274</v>
      </c>
    </row>
    <row r="13084" spans="1:24">
      <c r="A13084">
        <f>HYPERLINK("https://www.philgeps.gov.ph/GEPSNONPILOT/Tender/SplashBidNoticeAbstractUI.aspx?menuIndex=3&amp;refID=7035659&amp;Result=3","7035659")</f>
        <v>0</v>
      </c>
      <c r="B13084" t="s">
        <v>1125</v>
      </c>
      <c r="C13084" t="s">
        <v>15920</v>
      </c>
      <c r="D13084" t="s">
        <v>16616</v>
      </c>
      <c r="E13084" t="s">
        <v>28009</v>
      </c>
      <c r="F13084" t="s">
        <v>28669</v>
      </c>
      <c r="G13084" t="s">
        <v>28675</v>
      </c>
      <c r="H13084" t="s">
        <v>28686</v>
      </c>
      <c r="I13084" t="s">
        <v>28689</v>
      </c>
      <c r="J13084" t="s">
        <v>34820</v>
      </c>
      <c r="K13084" t="s">
        <v>37267</v>
      </c>
      <c r="M13084" t="s">
        <v>40077</v>
      </c>
      <c r="N13084" t="s">
        <v>41249</v>
      </c>
      <c r="O13084" t="s">
        <v>41250</v>
      </c>
      <c r="P13084">
        <v>0</v>
      </c>
      <c r="Q13084">
        <v>0</v>
      </c>
      <c r="R13084" t="s">
        <v>41272</v>
      </c>
      <c r="S13084" t="s">
        <v>42222</v>
      </c>
      <c r="T13084" t="s">
        <v>42728</v>
      </c>
      <c r="U13084" t="s">
        <v>53662</v>
      </c>
      <c r="W13084" t="s">
        <v>40077</v>
      </c>
      <c r="X13084" t="s">
        <v>41274</v>
      </c>
    </row>
    <row r="13085" spans="1:24">
      <c r="A13085">
        <f>HYPERLINK("https://www.philgeps.gov.ph/GEPSNONPILOT/Tender/SplashBidNoticeAbstractUI.aspx?menuIndex=3&amp;refID=7035534&amp;Result=3","7035534")</f>
        <v>0</v>
      </c>
      <c r="B13085" t="s">
        <v>1125</v>
      </c>
      <c r="C13085" t="s">
        <v>15921</v>
      </c>
      <c r="D13085" t="s">
        <v>16616</v>
      </c>
      <c r="E13085" t="s">
        <v>28010</v>
      </c>
      <c r="F13085" t="s">
        <v>28669</v>
      </c>
      <c r="G13085" t="s">
        <v>28675</v>
      </c>
      <c r="H13085" t="s">
        <v>28686</v>
      </c>
      <c r="I13085" t="s">
        <v>28689</v>
      </c>
      <c r="J13085" t="s">
        <v>36806</v>
      </c>
      <c r="K13085" t="s">
        <v>37481</v>
      </c>
      <c r="M13085" t="s">
        <v>40077</v>
      </c>
      <c r="N13085" t="s">
        <v>41249</v>
      </c>
      <c r="O13085" t="s">
        <v>41250</v>
      </c>
      <c r="P13085">
        <v>0</v>
      </c>
      <c r="Q13085">
        <v>3</v>
      </c>
      <c r="R13085" t="s">
        <v>41272</v>
      </c>
      <c r="S13085" t="s">
        <v>42222</v>
      </c>
      <c r="T13085" t="s">
        <v>42728</v>
      </c>
      <c r="U13085" t="s">
        <v>53663</v>
      </c>
      <c r="W13085" t="s">
        <v>40077</v>
      </c>
      <c r="X13085" t="s">
        <v>41274</v>
      </c>
    </row>
    <row r="13086" spans="1:24">
      <c r="A13086">
        <f>HYPERLINK("https://www.philgeps.gov.ph/GEPSNONPILOT/Tender/SplashBidNoticeAbstractUI.aspx?menuIndex=3&amp;refID=7035635&amp;Result=3","7035635")</f>
        <v>0</v>
      </c>
      <c r="B13086" t="s">
        <v>1125</v>
      </c>
      <c r="C13086" t="s">
        <v>15922</v>
      </c>
      <c r="D13086" t="s">
        <v>16616</v>
      </c>
      <c r="E13086" t="s">
        <v>28011</v>
      </c>
      <c r="F13086" t="s">
        <v>28669</v>
      </c>
      <c r="G13086" t="s">
        <v>28675</v>
      </c>
      <c r="H13086" t="s">
        <v>28686</v>
      </c>
      <c r="I13086" t="s">
        <v>28689</v>
      </c>
      <c r="J13086" t="s">
        <v>28836</v>
      </c>
      <c r="K13086" t="s">
        <v>37221</v>
      </c>
      <c r="M13086" t="s">
        <v>40077</v>
      </c>
      <c r="N13086" t="s">
        <v>41249</v>
      </c>
      <c r="O13086" t="s">
        <v>41250</v>
      </c>
      <c r="P13086">
        <v>0</v>
      </c>
      <c r="Q13086">
        <v>0</v>
      </c>
      <c r="R13086" t="s">
        <v>41272</v>
      </c>
      <c r="S13086" t="s">
        <v>42222</v>
      </c>
      <c r="T13086" t="s">
        <v>42728</v>
      </c>
      <c r="U13086" t="s">
        <v>53664</v>
      </c>
      <c r="W13086" t="s">
        <v>40077</v>
      </c>
      <c r="X13086" t="s">
        <v>41274</v>
      </c>
    </row>
    <row r="13087" spans="1:24">
      <c r="A13087">
        <f>HYPERLINK("https://www.philgeps.gov.ph/GEPSNONPILOT/Tender/SplashBidNoticeAbstractUI.aspx?menuIndex=3&amp;refID=7043262&amp;Result=3","7043262")</f>
        <v>0</v>
      </c>
      <c r="B13087" t="s">
        <v>3255</v>
      </c>
      <c r="C13087" t="s">
        <v>15923</v>
      </c>
      <c r="D13087" t="s">
        <v>16654</v>
      </c>
      <c r="E13087" t="s">
        <v>28012</v>
      </c>
      <c r="F13087" t="s">
        <v>28669</v>
      </c>
      <c r="G13087" t="s">
        <v>28675</v>
      </c>
      <c r="H13087" t="s">
        <v>9998</v>
      </c>
      <c r="I13087" t="s">
        <v>11593</v>
      </c>
      <c r="J13087" t="s">
        <v>28881</v>
      </c>
      <c r="K13087" t="s">
        <v>37205</v>
      </c>
      <c r="M13087" t="s">
        <v>41075</v>
      </c>
      <c r="N13087" t="s">
        <v>41249</v>
      </c>
      <c r="O13087" t="s">
        <v>41250</v>
      </c>
      <c r="Q13087">
        <v>4</v>
      </c>
      <c r="R13087" t="s">
        <v>41271</v>
      </c>
      <c r="S13087" t="s">
        <v>42231</v>
      </c>
      <c r="T13087" t="s">
        <v>42727</v>
      </c>
      <c r="U13087" t="s">
        <v>53665</v>
      </c>
      <c r="V13087" t="s">
        <v>55816</v>
      </c>
      <c r="W13087" t="s">
        <v>41075</v>
      </c>
      <c r="X13087" t="s">
        <v>41272</v>
      </c>
    </row>
    <row r="13088" spans="1:24">
      <c r="A13088">
        <f>HYPERLINK("https://www.philgeps.gov.ph/GEPSNONPILOT/Tender/SplashBidNoticeAbstractUI.aspx?menuIndex=3&amp;refID=7043260&amp;Result=3","7043260")</f>
        <v>0</v>
      </c>
      <c r="B13088" t="s">
        <v>3255</v>
      </c>
      <c r="C13088" t="s">
        <v>15924</v>
      </c>
      <c r="D13088" t="s">
        <v>16654</v>
      </c>
      <c r="E13088" t="s">
        <v>28013</v>
      </c>
      <c r="F13088" t="s">
        <v>28669</v>
      </c>
      <c r="G13088" t="s">
        <v>28675</v>
      </c>
      <c r="H13088" t="s">
        <v>9998</v>
      </c>
      <c r="I13088" t="s">
        <v>28699</v>
      </c>
      <c r="J13088" t="s">
        <v>30062</v>
      </c>
      <c r="K13088" t="s">
        <v>37205</v>
      </c>
      <c r="M13088" t="s">
        <v>41075</v>
      </c>
      <c r="N13088" t="s">
        <v>41249</v>
      </c>
      <c r="O13088" t="s">
        <v>41250</v>
      </c>
      <c r="Q13088">
        <v>13</v>
      </c>
      <c r="R13088" t="s">
        <v>41271</v>
      </c>
      <c r="S13088" t="s">
        <v>42232</v>
      </c>
      <c r="T13088" t="s">
        <v>42727</v>
      </c>
      <c r="U13088" t="s">
        <v>53666</v>
      </c>
      <c r="W13088" t="s">
        <v>41075</v>
      </c>
      <c r="X13088" t="s">
        <v>41272</v>
      </c>
    </row>
    <row r="13089" spans="1:24">
      <c r="A13089">
        <f>HYPERLINK("https://www.philgeps.gov.ph/GEPSNONPILOT/Tender/SplashBidNoticeAbstractUI.aspx?menuIndex=3&amp;refID=7038839&amp;Result=3","7038839")</f>
        <v>0</v>
      </c>
      <c r="B13089" t="s">
        <v>2721</v>
      </c>
      <c r="C13089" t="s">
        <v>15925</v>
      </c>
      <c r="D13089" t="s">
        <v>16622</v>
      </c>
      <c r="E13089" t="s">
        <v>28014</v>
      </c>
      <c r="F13089" t="s">
        <v>28669</v>
      </c>
      <c r="G13089" t="s">
        <v>28675</v>
      </c>
      <c r="H13089" t="s">
        <v>28686</v>
      </c>
      <c r="I13089" t="s">
        <v>28689</v>
      </c>
      <c r="J13089" t="s">
        <v>36807</v>
      </c>
      <c r="K13089" t="s">
        <v>37209</v>
      </c>
      <c r="M13089" t="s">
        <v>40434</v>
      </c>
      <c r="N13089" t="s">
        <v>41249</v>
      </c>
      <c r="O13089" t="s">
        <v>41250</v>
      </c>
      <c r="P13089">
        <v>0</v>
      </c>
      <c r="Q13089">
        <v>0</v>
      </c>
      <c r="R13089" t="s">
        <v>41272</v>
      </c>
      <c r="S13089" t="s">
        <v>42222</v>
      </c>
      <c r="T13089" t="s">
        <v>42728</v>
      </c>
      <c r="U13089" t="s">
        <v>53667</v>
      </c>
      <c r="W13089" t="s">
        <v>40434</v>
      </c>
      <c r="X13089" t="s">
        <v>41273</v>
      </c>
    </row>
    <row r="13090" spans="1:24">
      <c r="A13090">
        <f>HYPERLINK("https://www.philgeps.gov.ph/GEPSNONPILOT/Tender/SplashBidNoticeAbstractUI.aspx?menuIndex=3&amp;refID=7043090&amp;Result=3","7043090")</f>
        <v>0</v>
      </c>
      <c r="B13090" t="s">
        <v>3307</v>
      </c>
      <c r="C13090" t="s">
        <v>15926</v>
      </c>
      <c r="D13090" t="s">
        <v>16686</v>
      </c>
      <c r="E13090" t="s">
        <v>28015</v>
      </c>
      <c r="F13090" t="s">
        <v>28669</v>
      </c>
      <c r="G13090" t="s">
        <v>28675</v>
      </c>
      <c r="H13090" t="s">
        <v>9998</v>
      </c>
      <c r="I13090" t="s">
        <v>28688</v>
      </c>
      <c r="J13090" t="s">
        <v>36808</v>
      </c>
      <c r="K13090" t="s">
        <v>37227</v>
      </c>
      <c r="M13090" t="s">
        <v>41142</v>
      </c>
      <c r="N13090" t="s">
        <v>41249</v>
      </c>
      <c r="O13090" t="s">
        <v>41250</v>
      </c>
      <c r="P13090">
        <v>0</v>
      </c>
      <c r="Q13090">
        <v>3</v>
      </c>
      <c r="R13090" t="s">
        <v>41271</v>
      </c>
      <c r="S13090" t="s">
        <v>42169</v>
      </c>
      <c r="T13090" t="s">
        <v>42728</v>
      </c>
      <c r="U13090" t="s">
        <v>53668</v>
      </c>
      <c r="V13090" t="s">
        <v>55817</v>
      </c>
      <c r="W13090" t="s">
        <v>41142</v>
      </c>
      <c r="X13090" t="s">
        <v>41272</v>
      </c>
    </row>
    <row r="13091" spans="1:24">
      <c r="A13091">
        <f>HYPERLINK("https://www.philgeps.gov.ph/GEPSNONPILOT/Tender/SplashBidNoticeAbstractUI.aspx?menuIndex=3&amp;refID=7038909&amp;Result=3","7038909")</f>
        <v>0</v>
      </c>
      <c r="B13091" t="s">
        <v>1443</v>
      </c>
      <c r="C13091" t="s">
        <v>15927</v>
      </c>
      <c r="D13091" t="s">
        <v>16663</v>
      </c>
      <c r="E13091" t="s">
        <v>28016</v>
      </c>
      <c r="F13091" t="s">
        <v>28669</v>
      </c>
      <c r="G13091" t="s">
        <v>28675</v>
      </c>
      <c r="H13091" t="s">
        <v>28686</v>
      </c>
      <c r="I13091" t="s">
        <v>28689</v>
      </c>
      <c r="J13091" t="s">
        <v>36809</v>
      </c>
      <c r="K13091" t="s">
        <v>37482</v>
      </c>
      <c r="M13091" t="s">
        <v>39008</v>
      </c>
      <c r="N13091" t="s">
        <v>41249</v>
      </c>
      <c r="O13091" t="s">
        <v>41250</v>
      </c>
      <c r="P13091">
        <v>0</v>
      </c>
      <c r="Q13091">
        <v>0</v>
      </c>
      <c r="R13091" t="s">
        <v>41272</v>
      </c>
      <c r="S13091" t="s">
        <v>42222</v>
      </c>
      <c r="T13091" t="s">
        <v>42811</v>
      </c>
      <c r="U13091" t="s">
        <v>53669</v>
      </c>
      <c r="W13091" t="s">
        <v>39008</v>
      </c>
      <c r="X13091" t="s">
        <v>41273</v>
      </c>
    </row>
    <row r="13092" spans="1:24">
      <c r="A13092">
        <f>HYPERLINK("https://www.philgeps.gov.ph/GEPSNONPILOT/Tender/SplashBidNoticeAbstractUI.aspx?menuIndex=3&amp;refID=7038897&amp;Result=3","7038897")</f>
        <v>0</v>
      </c>
      <c r="B13092" t="s">
        <v>2444</v>
      </c>
      <c r="C13092" t="s">
        <v>15928</v>
      </c>
      <c r="D13092" t="s">
        <v>16610</v>
      </c>
      <c r="E13092" t="s">
        <v>28017</v>
      </c>
      <c r="F13092" t="s">
        <v>28669</v>
      </c>
      <c r="G13092" t="s">
        <v>28675</v>
      </c>
      <c r="H13092" t="s">
        <v>9998</v>
      </c>
      <c r="I13092" t="s">
        <v>28687</v>
      </c>
      <c r="J13092" t="s">
        <v>36810</v>
      </c>
      <c r="K13092" t="s">
        <v>37213</v>
      </c>
      <c r="M13092" t="s">
        <v>40127</v>
      </c>
      <c r="N13092" t="s">
        <v>41249</v>
      </c>
      <c r="O13092" t="s">
        <v>41250</v>
      </c>
      <c r="Q13092">
        <v>3</v>
      </c>
      <c r="R13092" t="s">
        <v>41272</v>
      </c>
      <c r="S13092" t="s">
        <v>41637</v>
      </c>
      <c r="T13092" t="s">
        <v>42808</v>
      </c>
      <c r="U13092" t="s">
        <v>53670</v>
      </c>
      <c r="W13092" t="s">
        <v>40127</v>
      </c>
      <c r="X13092" t="s">
        <v>41273</v>
      </c>
    </row>
    <row r="13093" spans="1:24">
      <c r="A13093">
        <f>HYPERLINK("https://www.philgeps.gov.ph/GEPSNONPILOT/Tender/SplashBidNoticeAbstractUI.aspx?menuIndex=3&amp;refID=7035759&amp;Result=3","7035759")</f>
        <v>0</v>
      </c>
      <c r="B13093" t="s">
        <v>1125</v>
      </c>
      <c r="C13093" t="s">
        <v>15929</v>
      </c>
      <c r="D13093" t="s">
        <v>16616</v>
      </c>
      <c r="E13093" t="s">
        <v>28018</v>
      </c>
      <c r="F13093" t="s">
        <v>28669</v>
      </c>
      <c r="G13093" t="s">
        <v>28675</v>
      </c>
      <c r="H13093" t="s">
        <v>28686</v>
      </c>
      <c r="I13093" t="s">
        <v>28689</v>
      </c>
      <c r="J13093" t="s">
        <v>28836</v>
      </c>
      <c r="K13093" t="s">
        <v>37221</v>
      </c>
      <c r="M13093" t="s">
        <v>40077</v>
      </c>
      <c r="N13093" t="s">
        <v>41249</v>
      </c>
      <c r="O13093" t="s">
        <v>41250</v>
      </c>
      <c r="P13093">
        <v>0</v>
      </c>
      <c r="Q13093">
        <v>0</v>
      </c>
      <c r="R13093" t="s">
        <v>41272</v>
      </c>
      <c r="S13093" t="s">
        <v>42222</v>
      </c>
      <c r="T13093" t="s">
        <v>42728</v>
      </c>
      <c r="U13093" t="s">
        <v>53671</v>
      </c>
      <c r="W13093" t="s">
        <v>40077</v>
      </c>
      <c r="X13093" t="s">
        <v>41274</v>
      </c>
    </row>
    <row r="13094" spans="1:24">
      <c r="A13094">
        <f>HYPERLINK("https://www.philgeps.gov.ph/GEPSNONPILOT/Tender/SplashBidNoticeAbstractUI.aspx?menuIndex=3&amp;refID=7035688&amp;Result=3","7035688")</f>
        <v>0</v>
      </c>
      <c r="B13094" t="s">
        <v>1125</v>
      </c>
      <c r="C13094" t="s">
        <v>15930</v>
      </c>
      <c r="D13094" t="s">
        <v>16616</v>
      </c>
      <c r="E13094" t="s">
        <v>28019</v>
      </c>
      <c r="F13094" t="s">
        <v>28669</v>
      </c>
      <c r="G13094" t="s">
        <v>28675</v>
      </c>
      <c r="H13094" t="s">
        <v>28686</v>
      </c>
      <c r="I13094" t="s">
        <v>28689</v>
      </c>
      <c r="J13094" t="s">
        <v>30333</v>
      </c>
      <c r="K13094" t="s">
        <v>37267</v>
      </c>
      <c r="M13094" t="s">
        <v>40077</v>
      </c>
      <c r="N13094" t="s">
        <v>41249</v>
      </c>
      <c r="O13094" t="s">
        <v>41250</v>
      </c>
      <c r="P13094">
        <v>0</v>
      </c>
      <c r="Q13094">
        <v>1</v>
      </c>
      <c r="R13094" t="s">
        <v>41272</v>
      </c>
      <c r="S13094" t="s">
        <v>42222</v>
      </c>
      <c r="T13094" t="s">
        <v>42728</v>
      </c>
      <c r="U13094" t="s">
        <v>53672</v>
      </c>
      <c r="W13094" t="s">
        <v>40077</v>
      </c>
      <c r="X13094" t="s">
        <v>41274</v>
      </c>
    </row>
    <row r="13095" spans="1:24">
      <c r="A13095">
        <f>HYPERLINK("https://www.philgeps.gov.ph/GEPSNONPILOT/Tender/SplashBidNoticeAbstractUI.aspx?menuIndex=3&amp;refID=7038882&amp;Result=3","7038882")</f>
        <v>0</v>
      </c>
      <c r="B13095" t="s">
        <v>2721</v>
      </c>
      <c r="C13095" t="s">
        <v>15931</v>
      </c>
      <c r="D13095" t="s">
        <v>16622</v>
      </c>
      <c r="E13095" t="s">
        <v>28020</v>
      </c>
      <c r="F13095" t="s">
        <v>28669</v>
      </c>
      <c r="G13095" t="s">
        <v>28675</v>
      </c>
      <c r="H13095" t="s">
        <v>28686</v>
      </c>
      <c r="I13095" t="s">
        <v>28689</v>
      </c>
      <c r="J13095" t="s">
        <v>36811</v>
      </c>
      <c r="K13095" t="s">
        <v>37209</v>
      </c>
      <c r="M13095" t="s">
        <v>40434</v>
      </c>
      <c r="N13095" t="s">
        <v>41249</v>
      </c>
      <c r="O13095" t="s">
        <v>41250</v>
      </c>
      <c r="P13095">
        <v>0</v>
      </c>
      <c r="Q13095">
        <v>0</v>
      </c>
      <c r="R13095" t="s">
        <v>41272</v>
      </c>
      <c r="S13095" t="s">
        <v>42222</v>
      </c>
      <c r="T13095" t="s">
        <v>42728</v>
      </c>
      <c r="U13095" t="s">
        <v>53673</v>
      </c>
      <c r="W13095" t="s">
        <v>40434</v>
      </c>
      <c r="X13095" t="s">
        <v>41273</v>
      </c>
    </row>
    <row r="13096" spans="1:24">
      <c r="A13096">
        <f>HYPERLINK("https://www.philgeps.gov.ph/GEPSNONPILOT/Tender/SplashBidNoticeAbstractUI.aspx?menuIndex=3&amp;refID=7038766&amp;Result=3","7038766")</f>
        <v>0</v>
      </c>
      <c r="B13096" t="s">
        <v>3175</v>
      </c>
      <c r="C13096" t="s">
        <v>15932</v>
      </c>
      <c r="D13096" t="s">
        <v>16609</v>
      </c>
      <c r="E13096" t="s">
        <v>28021</v>
      </c>
      <c r="F13096" t="s">
        <v>28669</v>
      </c>
      <c r="G13096" t="s">
        <v>28675</v>
      </c>
      <c r="H13096" t="s">
        <v>9998</v>
      </c>
      <c r="I13096" t="s">
        <v>28687</v>
      </c>
      <c r="J13096" t="s">
        <v>28836</v>
      </c>
      <c r="K13096" t="s">
        <v>37205</v>
      </c>
      <c r="M13096" t="s">
        <v>40975</v>
      </c>
      <c r="N13096" t="s">
        <v>41249</v>
      </c>
      <c r="O13096" t="s">
        <v>41250</v>
      </c>
      <c r="P13096">
        <v>0</v>
      </c>
      <c r="Q13096">
        <v>3</v>
      </c>
      <c r="R13096" t="s">
        <v>41272</v>
      </c>
      <c r="S13096" t="s">
        <v>42222</v>
      </c>
      <c r="T13096" t="s">
        <v>42774</v>
      </c>
      <c r="U13096" t="s">
        <v>53674</v>
      </c>
      <c r="W13096" t="s">
        <v>40975</v>
      </c>
      <c r="X13096" t="s">
        <v>41273</v>
      </c>
    </row>
    <row r="13097" spans="1:24">
      <c r="A13097">
        <f>HYPERLINK("https://www.philgeps.gov.ph/GEPSNONPILOT/Tender/SplashBidNoticeAbstractUI.aspx?menuIndex=3&amp;refID=7038416&amp;Result=3","7038416")</f>
        <v>0</v>
      </c>
      <c r="B13097" t="s">
        <v>489</v>
      </c>
      <c r="C13097" t="s">
        <v>15933</v>
      </c>
      <c r="D13097" t="s">
        <v>16608</v>
      </c>
      <c r="E13097" t="s">
        <v>28022</v>
      </c>
      <c r="F13097" t="s">
        <v>28669</v>
      </c>
      <c r="G13097" t="s">
        <v>28675</v>
      </c>
      <c r="H13097" t="s">
        <v>9998</v>
      </c>
      <c r="I13097" t="s">
        <v>28687</v>
      </c>
      <c r="J13097" t="s">
        <v>36812</v>
      </c>
      <c r="K13097" t="s">
        <v>37209</v>
      </c>
      <c r="M13097" t="s">
        <v>37977</v>
      </c>
      <c r="N13097" t="s">
        <v>41249</v>
      </c>
      <c r="O13097" t="s">
        <v>41250</v>
      </c>
      <c r="P13097">
        <v>0</v>
      </c>
      <c r="Q13097">
        <v>18</v>
      </c>
      <c r="R13097" t="s">
        <v>41272</v>
      </c>
      <c r="S13097" t="s">
        <v>42222</v>
      </c>
      <c r="T13097" t="s">
        <v>42703</v>
      </c>
      <c r="U13097" t="s">
        <v>48672</v>
      </c>
      <c r="V13097" t="s">
        <v>55818</v>
      </c>
      <c r="W13097" t="s">
        <v>37977</v>
      </c>
      <c r="X13097" t="s">
        <v>41273</v>
      </c>
    </row>
    <row r="13098" spans="1:24">
      <c r="A13098">
        <f>HYPERLINK("https://www.philgeps.gov.ph/GEPSNONPILOT/Tender/SplashBidNoticeAbstractUI.aspx?menuIndex=3&amp;refID=7038831&amp;Result=3","7038831")</f>
        <v>0</v>
      </c>
      <c r="B13098" t="s">
        <v>3175</v>
      </c>
      <c r="C13098" t="s">
        <v>15934</v>
      </c>
      <c r="D13098" t="s">
        <v>16609</v>
      </c>
      <c r="E13098" t="s">
        <v>28023</v>
      </c>
      <c r="F13098" t="s">
        <v>28669</v>
      </c>
      <c r="G13098" t="s">
        <v>28675</v>
      </c>
      <c r="H13098" t="s">
        <v>9998</v>
      </c>
      <c r="I13098" t="s">
        <v>28700</v>
      </c>
      <c r="J13098" t="s">
        <v>31761</v>
      </c>
      <c r="K13098" t="s">
        <v>37205</v>
      </c>
      <c r="M13098" t="s">
        <v>40975</v>
      </c>
      <c r="N13098" t="s">
        <v>41249</v>
      </c>
      <c r="O13098" t="s">
        <v>41250</v>
      </c>
      <c r="P13098">
        <v>0</v>
      </c>
      <c r="Q13098">
        <v>1</v>
      </c>
      <c r="R13098" t="s">
        <v>41272</v>
      </c>
      <c r="S13098" t="s">
        <v>42222</v>
      </c>
      <c r="T13098" t="s">
        <v>42856</v>
      </c>
      <c r="U13098" t="s">
        <v>53675</v>
      </c>
      <c r="W13098" t="s">
        <v>40975</v>
      </c>
      <c r="X13098" t="s">
        <v>41273</v>
      </c>
    </row>
    <row r="13099" spans="1:24">
      <c r="A13099">
        <f>HYPERLINK("https://www.philgeps.gov.ph/GEPSNONPILOT/Tender/SplashBidNoticeAbstractUI.aspx?menuIndex=3&amp;refID=7038793&amp;Result=3","7038793")</f>
        <v>0</v>
      </c>
      <c r="B13099" t="s">
        <v>3175</v>
      </c>
      <c r="C13099" t="s">
        <v>15935</v>
      </c>
      <c r="D13099" t="s">
        <v>16609</v>
      </c>
      <c r="E13099" t="s">
        <v>28024</v>
      </c>
      <c r="F13099" t="s">
        <v>28669</v>
      </c>
      <c r="G13099" t="s">
        <v>28675</v>
      </c>
      <c r="H13099" t="s">
        <v>9998</v>
      </c>
      <c r="I13099" t="s">
        <v>7352</v>
      </c>
      <c r="J13099" t="s">
        <v>36813</v>
      </c>
      <c r="K13099" t="s">
        <v>37205</v>
      </c>
      <c r="M13099" t="s">
        <v>40975</v>
      </c>
      <c r="N13099" t="s">
        <v>41249</v>
      </c>
      <c r="O13099" t="s">
        <v>41250</v>
      </c>
      <c r="P13099">
        <v>0</v>
      </c>
      <c r="Q13099">
        <v>0</v>
      </c>
      <c r="R13099" t="s">
        <v>41272</v>
      </c>
      <c r="S13099" t="s">
        <v>42222</v>
      </c>
      <c r="T13099" t="s">
        <v>42703</v>
      </c>
      <c r="U13099" t="s">
        <v>53676</v>
      </c>
      <c r="W13099" t="s">
        <v>40975</v>
      </c>
      <c r="X13099" t="s">
        <v>41273</v>
      </c>
    </row>
    <row r="13100" spans="1:24">
      <c r="A13100">
        <f>HYPERLINK("https://www.philgeps.gov.ph/GEPSNONPILOT/Tender/SplashBidNoticeAbstractUI.aspx?menuIndex=3&amp;refID=7038712&amp;Result=3","7038712")</f>
        <v>0</v>
      </c>
      <c r="B13100" t="s">
        <v>3175</v>
      </c>
      <c r="C13100" t="s">
        <v>15936</v>
      </c>
      <c r="D13100" t="s">
        <v>16609</v>
      </c>
      <c r="E13100" t="s">
        <v>28025</v>
      </c>
      <c r="F13100" t="s">
        <v>28669</v>
      </c>
      <c r="G13100" t="s">
        <v>28675</v>
      </c>
      <c r="H13100" t="s">
        <v>28686</v>
      </c>
      <c r="I13100" t="s">
        <v>28689</v>
      </c>
      <c r="J13100" t="s">
        <v>36814</v>
      </c>
      <c r="K13100" t="s">
        <v>37236</v>
      </c>
      <c r="M13100" t="s">
        <v>40975</v>
      </c>
      <c r="N13100" t="s">
        <v>41249</v>
      </c>
      <c r="O13100" t="s">
        <v>41250</v>
      </c>
      <c r="P13100">
        <v>0</v>
      </c>
      <c r="Q13100">
        <v>0</v>
      </c>
      <c r="R13100" t="s">
        <v>41272</v>
      </c>
      <c r="S13100" t="s">
        <v>42222</v>
      </c>
      <c r="T13100" t="s">
        <v>42867</v>
      </c>
      <c r="U13100" t="s">
        <v>53677</v>
      </c>
      <c r="W13100" t="s">
        <v>40975</v>
      </c>
      <c r="X13100" t="s">
        <v>41273</v>
      </c>
    </row>
    <row r="13101" spans="1:24">
      <c r="A13101">
        <f>HYPERLINK("https://www.philgeps.gov.ph/GEPSNONPILOT/Tender/SplashBidNoticeAbstractUI.aspx?menuIndex=3&amp;refID=7038550&amp;Result=3","7038550")</f>
        <v>0</v>
      </c>
      <c r="B13101" t="s">
        <v>1443</v>
      </c>
      <c r="C13101" t="s">
        <v>15937</v>
      </c>
      <c r="D13101" t="s">
        <v>16663</v>
      </c>
      <c r="E13101" t="s">
        <v>28026</v>
      </c>
      <c r="F13101" t="s">
        <v>28669</v>
      </c>
      <c r="G13101" t="s">
        <v>28675</v>
      </c>
      <c r="H13101" t="s">
        <v>28686</v>
      </c>
      <c r="I13101" t="s">
        <v>28689</v>
      </c>
      <c r="J13101" t="s">
        <v>36815</v>
      </c>
      <c r="K13101" t="s">
        <v>37215</v>
      </c>
      <c r="M13101" t="s">
        <v>39008</v>
      </c>
      <c r="N13101" t="s">
        <v>41249</v>
      </c>
      <c r="O13101" t="s">
        <v>41250</v>
      </c>
      <c r="P13101">
        <v>0</v>
      </c>
      <c r="Q13101">
        <v>0</v>
      </c>
      <c r="R13101" t="s">
        <v>41272</v>
      </c>
      <c r="S13101" t="s">
        <v>42222</v>
      </c>
      <c r="T13101" t="s">
        <v>42811</v>
      </c>
      <c r="U13101" t="s">
        <v>53678</v>
      </c>
      <c r="W13101" t="s">
        <v>39008</v>
      </c>
      <c r="X13101" t="s">
        <v>41273</v>
      </c>
    </row>
    <row r="13102" spans="1:24">
      <c r="A13102">
        <f>HYPERLINK("https://www.philgeps.gov.ph/GEPSNONPILOT/Tender/SplashBidNoticeAbstractUI.aspx?menuIndex=3&amp;refID=7042803&amp;Result=3","7042803")</f>
        <v>0</v>
      </c>
      <c r="B13102" t="s">
        <v>659</v>
      </c>
      <c r="C13102" t="s">
        <v>15938</v>
      </c>
      <c r="D13102" t="s">
        <v>16643</v>
      </c>
      <c r="E13102" t="s">
        <v>28027</v>
      </c>
      <c r="F13102" t="s">
        <v>28669</v>
      </c>
      <c r="G13102" t="s">
        <v>28675</v>
      </c>
      <c r="H13102" t="s">
        <v>28686</v>
      </c>
      <c r="I13102" t="s">
        <v>28689</v>
      </c>
      <c r="J13102" t="s">
        <v>29332</v>
      </c>
      <c r="K13102" t="s">
        <v>37220</v>
      </c>
      <c r="M13102" t="s">
        <v>39960</v>
      </c>
      <c r="N13102" t="s">
        <v>41249</v>
      </c>
      <c r="O13102" t="s">
        <v>41250</v>
      </c>
      <c r="P13102">
        <v>0</v>
      </c>
      <c r="Q13102">
        <v>0</v>
      </c>
      <c r="R13102" t="s">
        <v>41271</v>
      </c>
      <c r="S13102" t="s">
        <v>42169</v>
      </c>
      <c r="T13102" t="s">
        <v>42679</v>
      </c>
      <c r="U13102" t="s">
        <v>53616</v>
      </c>
      <c r="W13102" t="s">
        <v>39960</v>
      </c>
      <c r="X13102" t="s">
        <v>41272</v>
      </c>
    </row>
    <row r="13103" spans="1:24">
      <c r="A13103">
        <f>HYPERLINK("https://www.philgeps.gov.ph/GEPSNONPILOT/Tender/SplashBidNoticeAbstractUI.aspx?menuIndex=3&amp;refID=7038743&amp;Result=3","7038743")</f>
        <v>0</v>
      </c>
      <c r="B13103" t="s">
        <v>3175</v>
      </c>
      <c r="C13103" t="s">
        <v>15939</v>
      </c>
      <c r="D13103" t="s">
        <v>16609</v>
      </c>
      <c r="E13103" t="s">
        <v>28028</v>
      </c>
      <c r="F13103" t="s">
        <v>28669</v>
      </c>
      <c r="G13103" t="s">
        <v>28675</v>
      </c>
      <c r="H13103" t="s">
        <v>9998</v>
      </c>
      <c r="I13103" t="s">
        <v>28687</v>
      </c>
      <c r="J13103" t="s">
        <v>28878</v>
      </c>
      <c r="K13103" t="s">
        <v>37205</v>
      </c>
      <c r="M13103" t="s">
        <v>40975</v>
      </c>
      <c r="N13103" t="s">
        <v>41249</v>
      </c>
      <c r="O13103" t="s">
        <v>41250</v>
      </c>
      <c r="P13103">
        <v>0</v>
      </c>
      <c r="Q13103">
        <v>1</v>
      </c>
      <c r="R13103" t="s">
        <v>41272</v>
      </c>
      <c r="S13103" t="s">
        <v>42222</v>
      </c>
      <c r="T13103" t="s">
        <v>42665</v>
      </c>
      <c r="U13103" t="s">
        <v>53679</v>
      </c>
      <c r="W13103" t="s">
        <v>40975</v>
      </c>
      <c r="X13103" t="s">
        <v>41273</v>
      </c>
    </row>
    <row r="13104" spans="1:24">
      <c r="A13104">
        <f>HYPERLINK("https://www.philgeps.gov.ph/GEPSNONPILOT/Tender/SplashBidNoticeAbstractUI.aspx?menuIndex=3&amp;refID=7038864&amp;Result=3","7038864")</f>
        <v>0</v>
      </c>
      <c r="B13104" t="s">
        <v>3175</v>
      </c>
      <c r="C13104" t="s">
        <v>15940</v>
      </c>
      <c r="D13104" t="s">
        <v>16609</v>
      </c>
      <c r="E13104" t="s">
        <v>28029</v>
      </c>
      <c r="F13104" t="s">
        <v>28669</v>
      </c>
      <c r="G13104" t="s">
        <v>28675</v>
      </c>
      <c r="H13104" t="s">
        <v>28686</v>
      </c>
      <c r="I13104" t="s">
        <v>28689</v>
      </c>
      <c r="J13104" t="s">
        <v>29053</v>
      </c>
      <c r="K13104" t="s">
        <v>37422</v>
      </c>
      <c r="M13104" t="s">
        <v>40975</v>
      </c>
      <c r="N13104" t="s">
        <v>41249</v>
      </c>
      <c r="O13104" t="s">
        <v>41250</v>
      </c>
      <c r="P13104">
        <v>0</v>
      </c>
      <c r="Q13104">
        <v>0</v>
      </c>
      <c r="R13104" t="s">
        <v>41272</v>
      </c>
      <c r="S13104" t="s">
        <v>42222</v>
      </c>
      <c r="T13104" t="s">
        <v>42670</v>
      </c>
      <c r="U13104" t="s">
        <v>53680</v>
      </c>
      <c r="W13104" t="s">
        <v>40975</v>
      </c>
      <c r="X13104" t="s">
        <v>41273</v>
      </c>
    </row>
    <row r="13105" spans="1:24">
      <c r="A13105">
        <f>HYPERLINK("https://www.philgeps.gov.ph/GEPSNONPILOT/Tender/SplashBidNoticeAbstractUI.aspx?menuIndex=3&amp;refID=7038482&amp;Result=3","7038482")</f>
        <v>0</v>
      </c>
      <c r="B13105" t="s">
        <v>1490</v>
      </c>
      <c r="C13105" t="s">
        <v>15941</v>
      </c>
      <c r="D13105" t="s">
        <v>16654</v>
      </c>
      <c r="E13105" t="s">
        <v>28030</v>
      </c>
      <c r="F13105" t="s">
        <v>28669</v>
      </c>
      <c r="G13105" t="s">
        <v>28675</v>
      </c>
      <c r="H13105" t="s">
        <v>28685</v>
      </c>
      <c r="I13105" t="s">
        <v>28685</v>
      </c>
      <c r="J13105" t="s">
        <v>36816</v>
      </c>
      <c r="K13105" t="s">
        <v>37206</v>
      </c>
      <c r="M13105" t="s">
        <v>39067</v>
      </c>
      <c r="N13105" t="s">
        <v>41249</v>
      </c>
      <c r="O13105" t="s">
        <v>41250</v>
      </c>
      <c r="P13105">
        <v>0</v>
      </c>
      <c r="Q13105">
        <v>5</v>
      </c>
      <c r="R13105" t="s">
        <v>41272</v>
      </c>
      <c r="S13105" t="s">
        <v>42222</v>
      </c>
      <c r="T13105" t="s">
        <v>43024</v>
      </c>
      <c r="U13105" t="s">
        <v>53681</v>
      </c>
      <c r="W13105" t="s">
        <v>39067</v>
      </c>
      <c r="X13105" t="s">
        <v>41273</v>
      </c>
    </row>
    <row r="13106" spans="1:24">
      <c r="A13106">
        <f>HYPERLINK("https://www.philgeps.gov.ph/GEPSNONPILOT/Tender/SplashBidNoticeAbstractUI.aspx?menuIndex=3&amp;refID=7043257&amp;Result=3","7043257")</f>
        <v>0</v>
      </c>
      <c r="B13106" t="s">
        <v>3255</v>
      </c>
      <c r="C13106" t="s">
        <v>15942</v>
      </c>
      <c r="D13106" t="s">
        <v>16654</v>
      </c>
      <c r="E13106" t="s">
        <v>28031</v>
      </c>
      <c r="F13106" t="s">
        <v>28669</v>
      </c>
      <c r="G13106" t="s">
        <v>28675</v>
      </c>
      <c r="H13106" t="s">
        <v>9998</v>
      </c>
      <c r="I13106" t="s">
        <v>3658</v>
      </c>
      <c r="J13106" t="s">
        <v>28847</v>
      </c>
      <c r="K13106" t="s">
        <v>37205</v>
      </c>
      <c r="M13106" t="s">
        <v>41075</v>
      </c>
      <c r="N13106" t="s">
        <v>41249</v>
      </c>
      <c r="O13106" t="s">
        <v>41250</v>
      </c>
      <c r="P13106">
        <v>0</v>
      </c>
      <c r="Q13106">
        <v>9</v>
      </c>
      <c r="R13106" t="s">
        <v>41271</v>
      </c>
      <c r="S13106" t="s">
        <v>42169</v>
      </c>
      <c r="T13106" t="s">
        <v>42727</v>
      </c>
      <c r="U13106" t="s">
        <v>53682</v>
      </c>
      <c r="W13106" t="s">
        <v>41075</v>
      </c>
      <c r="X13106" t="s">
        <v>41272</v>
      </c>
    </row>
    <row r="13107" spans="1:24">
      <c r="A13107">
        <f>HYPERLINK("https://www.philgeps.gov.ph/GEPSNONPILOT/Tender/SplashBidNoticeAbstractUI.aspx?menuIndex=3&amp;refID=7038411&amp;Result=3","7038411")</f>
        <v>0</v>
      </c>
      <c r="B13107" t="s">
        <v>3312</v>
      </c>
      <c r="C13107" t="s">
        <v>15943</v>
      </c>
      <c r="D13107" t="s">
        <v>16631</v>
      </c>
      <c r="E13107" t="s">
        <v>28032</v>
      </c>
      <c r="F13107" t="s">
        <v>28669</v>
      </c>
      <c r="G13107" t="s">
        <v>28675</v>
      </c>
      <c r="H13107" t="s">
        <v>9998</v>
      </c>
      <c r="I13107" t="s">
        <v>28695</v>
      </c>
      <c r="J13107" t="s">
        <v>36817</v>
      </c>
      <c r="K13107" t="s">
        <v>37220</v>
      </c>
      <c r="M13107" t="s">
        <v>41152</v>
      </c>
      <c r="N13107" t="s">
        <v>41249</v>
      </c>
      <c r="O13107" t="s">
        <v>41250</v>
      </c>
      <c r="P13107">
        <v>0</v>
      </c>
      <c r="Q13107">
        <v>0</v>
      </c>
      <c r="R13107" t="s">
        <v>41272</v>
      </c>
      <c r="S13107" t="s">
        <v>42222</v>
      </c>
      <c r="T13107" t="s">
        <v>42714</v>
      </c>
      <c r="U13107" t="s">
        <v>53683</v>
      </c>
      <c r="V13107" t="s">
        <v>55819</v>
      </c>
      <c r="W13107" t="s">
        <v>41152</v>
      </c>
      <c r="X13107" t="s">
        <v>41273</v>
      </c>
    </row>
    <row r="13108" spans="1:24">
      <c r="A13108">
        <f>HYPERLINK("https://www.philgeps.gov.ph/GEPSNONPILOT/Tender/SplashBidNoticeAbstractUI.aspx?menuIndex=3&amp;refID=7038680&amp;Result=3","7038680")</f>
        <v>0</v>
      </c>
      <c r="B13108" t="s">
        <v>3175</v>
      </c>
      <c r="C13108" t="s">
        <v>15944</v>
      </c>
      <c r="D13108" t="s">
        <v>16609</v>
      </c>
      <c r="E13108" t="s">
        <v>28033</v>
      </c>
      <c r="F13108" t="s">
        <v>28669</v>
      </c>
      <c r="G13108" t="s">
        <v>28675</v>
      </c>
      <c r="H13108" t="s">
        <v>28686</v>
      </c>
      <c r="I13108" t="s">
        <v>28725</v>
      </c>
      <c r="J13108" t="s">
        <v>36818</v>
      </c>
      <c r="K13108" t="s">
        <v>37206</v>
      </c>
      <c r="M13108" t="s">
        <v>40975</v>
      </c>
      <c r="N13108" t="s">
        <v>41249</v>
      </c>
      <c r="O13108" t="s">
        <v>41250</v>
      </c>
      <c r="P13108">
        <v>0</v>
      </c>
      <c r="Q13108">
        <v>0</v>
      </c>
      <c r="R13108" t="s">
        <v>41272</v>
      </c>
      <c r="S13108" t="s">
        <v>42222</v>
      </c>
      <c r="T13108" t="s">
        <v>42729</v>
      </c>
      <c r="U13108" t="s">
        <v>53684</v>
      </c>
      <c r="W13108" t="s">
        <v>40975</v>
      </c>
      <c r="X13108" t="s">
        <v>41273</v>
      </c>
    </row>
    <row r="13109" spans="1:24">
      <c r="A13109">
        <f>HYPERLINK("https://www.philgeps.gov.ph/GEPSNONPILOT/Tender/SplashBidNoticeAbstractUI.aspx?menuIndex=3&amp;refID=7038707&amp;Result=3","7038707")</f>
        <v>0</v>
      </c>
      <c r="B13109" t="s">
        <v>1474</v>
      </c>
      <c r="C13109" t="s">
        <v>15945</v>
      </c>
      <c r="D13109" t="s">
        <v>16680</v>
      </c>
      <c r="E13109" t="s">
        <v>28034</v>
      </c>
      <c r="F13109" t="s">
        <v>28669</v>
      </c>
      <c r="G13109" t="s">
        <v>28675</v>
      </c>
      <c r="H13109" t="s">
        <v>28686</v>
      </c>
      <c r="I13109" t="s">
        <v>28689</v>
      </c>
      <c r="J13109" t="s">
        <v>36819</v>
      </c>
      <c r="K13109" t="s">
        <v>37215</v>
      </c>
      <c r="M13109" t="s">
        <v>40740</v>
      </c>
      <c r="N13109" t="s">
        <v>41249</v>
      </c>
      <c r="O13109" t="s">
        <v>41250</v>
      </c>
      <c r="P13109">
        <v>0</v>
      </c>
      <c r="Q13109">
        <v>0</v>
      </c>
      <c r="R13109" t="s">
        <v>41272</v>
      </c>
      <c r="S13109" t="s">
        <v>42222</v>
      </c>
      <c r="T13109" t="s">
        <v>42767</v>
      </c>
      <c r="U13109" t="s">
        <v>53685</v>
      </c>
      <c r="W13109" t="s">
        <v>40740</v>
      </c>
      <c r="X13109" t="s">
        <v>41273</v>
      </c>
    </row>
    <row r="13110" spans="1:24">
      <c r="A13110">
        <f>HYPERLINK("https://www.philgeps.gov.ph/GEPSNONPILOT/Tender/SplashBidNoticeAbstractUI.aspx?menuIndex=3&amp;refID=7038543&amp;Result=3","7038543")</f>
        <v>0</v>
      </c>
      <c r="B13110" t="s">
        <v>349</v>
      </c>
      <c r="C13110" t="s">
        <v>15946</v>
      </c>
      <c r="D13110" t="s">
        <v>16675</v>
      </c>
      <c r="E13110" t="s">
        <v>28035</v>
      </c>
      <c r="F13110" t="s">
        <v>28669</v>
      </c>
      <c r="G13110" t="s">
        <v>28675</v>
      </c>
      <c r="H13110" t="s">
        <v>9998</v>
      </c>
      <c r="I13110" t="s">
        <v>15140</v>
      </c>
      <c r="J13110" t="s">
        <v>36820</v>
      </c>
      <c r="K13110" t="s">
        <v>37208</v>
      </c>
      <c r="M13110" t="s">
        <v>37829</v>
      </c>
      <c r="N13110" t="s">
        <v>41249</v>
      </c>
      <c r="O13110" t="s">
        <v>41250</v>
      </c>
      <c r="Q13110">
        <v>3</v>
      </c>
      <c r="R13110" t="s">
        <v>41272</v>
      </c>
      <c r="S13110" t="s">
        <v>42233</v>
      </c>
      <c r="T13110" t="s">
        <v>42728</v>
      </c>
      <c r="U13110" t="s">
        <v>53686</v>
      </c>
      <c r="W13110" t="s">
        <v>37829</v>
      </c>
      <c r="X13110" t="s">
        <v>41273</v>
      </c>
    </row>
    <row r="13111" spans="1:24">
      <c r="A13111">
        <f>HYPERLINK("https://www.philgeps.gov.ph/GEPSNONPILOT/Tender/SplashBidNoticeAbstractUI.aspx?menuIndex=3&amp;refID=7039186&amp;Result=3","7039186")</f>
        <v>0</v>
      </c>
      <c r="B13111" t="s">
        <v>2558</v>
      </c>
      <c r="C13111" t="s">
        <v>15947</v>
      </c>
      <c r="D13111" t="s">
        <v>16618</v>
      </c>
      <c r="E13111" t="s">
        <v>28036</v>
      </c>
      <c r="F13111" t="s">
        <v>28669</v>
      </c>
      <c r="G13111" t="s">
        <v>28675</v>
      </c>
      <c r="H13111" t="s">
        <v>28686</v>
      </c>
      <c r="I13111" t="s">
        <v>28689</v>
      </c>
      <c r="J13111" t="s">
        <v>30929</v>
      </c>
      <c r="K13111" t="s">
        <v>37341</v>
      </c>
      <c r="L13111" t="s">
        <v>2558</v>
      </c>
      <c r="M13111" t="s">
        <v>40832</v>
      </c>
      <c r="N13111" t="s">
        <v>41249</v>
      </c>
      <c r="O13111" t="s">
        <v>41250</v>
      </c>
      <c r="P13111">
        <v>0</v>
      </c>
      <c r="Q13111">
        <v>10</v>
      </c>
      <c r="R13111" t="s">
        <v>41272</v>
      </c>
      <c r="S13111" t="s">
        <v>42222</v>
      </c>
      <c r="T13111" t="s">
        <v>42910</v>
      </c>
      <c r="U13111" t="s">
        <v>53687</v>
      </c>
      <c r="W13111" t="s">
        <v>40832</v>
      </c>
      <c r="X13111" t="s">
        <v>41273</v>
      </c>
    </row>
    <row r="13112" spans="1:24">
      <c r="A13112">
        <f>HYPERLINK("https://www.philgeps.gov.ph/GEPSNONPILOT/Tender/SplashBidNoticeAbstractUI.aspx?menuIndex=3&amp;refID=7038913&amp;Result=3","7038913")</f>
        <v>0</v>
      </c>
      <c r="B13112" t="s">
        <v>284</v>
      </c>
      <c r="C13112" t="s">
        <v>15948</v>
      </c>
      <c r="D13112" t="s">
        <v>16631</v>
      </c>
      <c r="E13112" t="s">
        <v>28037</v>
      </c>
      <c r="F13112" t="s">
        <v>28669</v>
      </c>
      <c r="G13112" t="s">
        <v>28675</v>
      </c>
      <c r="H13112" t="s">
        <v>28686</v>
      </c>
      <c r="I13112" t="s">
        <v>28689</v>
      </c>
      <c r="J13112" t="s">
        <v>36821</v>
      </c>
      <c r="K13112" t="s">
        <v>37213</v>
      </c>
      <c r="M13112" t="s">
        <v>37762</v>
      </c>
      <c r="N13112" t="s">
        <v>41249</v>
      </c>
      <c r="O13112" t="s">
        <v>41250</v>
      </c>
      <c r="P13112">
        <v>0</v>
      </c>
      <c r="Q13112">
        <v>4</v>
      </c>
      <c r="R13112" t="s">
        <v>41272</v>
      </c>
      <c r="S13112" t="s">
        <v>42222</v>
      </c>
      <c r="T13112" t="s">
        <v>42679</v>
      </c>
      <c r="U13112" t="s">
        <v>53688</v>
      </c>
      <c r="W13112" t="s">
        <v>37762</v>
      </c>
      <c r="X13112" t="s">
        <v>41273</v>
      </c>
    </row>
    <row r="13113" spans="1:24">
      <c r="A13113">
        <f>HYPERLINK("https://www.philgeps.gov.ph/GEPSNONPILOT/Tender/SplashBidNoticeAbstractUI.aspx?menuIndex=3&amp;refID=7039055&amp;Result=3","7039055")</f>
        <v>0</v>
      </c>
      <c r="B13113" t="s">
        <v>3175</v>
      </c>
      <c r="C13113" t="s">
        <v>15949</v>
      </c>
      <c r="D13113" t="s">
        <v>16609</v>
      </c>
      <c r="E13113" t="s">
        <v>28038</v>
      </c>
      <c r="F13113" t="s">
        <v>28669</v>
      </c>
      <c r="G13113" t="s">
        <v>28675</v>
      </c>
      <c r="H13113" t="s">
        <v>28686</v>
      </c>
      <c r="I13113" t="s">
        <v>28689</v>
      </c>
      <c r="J13113" t="s">
        <v>28924</v>
      </c>
      <c r="K13113" t="s">
        <v>37302</v>
      </c>
      <c r="M13113" t="s">
        <v>40975</v>
      </c>
      <c r="N13113" t="s">
        <v>41249</v>
      </c>
      <c r="O13113" t="s">
        <v>41250</v>
      </c>
      <c r="P13113">
        <v>0</v>
      </c>
      <c r="Q13113">
        <v>0</v>
      </c>
      <c r="R13113" t="s">
        <v>41272</v>
      </c>
      <c r="S13113" t="s">
        <v>42222</v>
      </c>
      <c r="T13113" t="s">
        <v>42750</v>
      </c>
      <c r="U13113" t="s">
        <v>53689</v>
      </c>
      <c r="W13113" t="s">
        <v>40975</v>
      </c>
      <c r="X13113" t="s">
        <v>41273</v>
      </c>
    </row>
    <row r="13114" spans="1:24">
      <c r="A13114">
        <f>HYPERLINK("https://www.philgeps.gov.ph/GEPSNONPILOT/Tender/SplashBidNoticeAbstractUI.aspx?menuIndex=3&amp;refID=7039162&amp;Result=3","7039162")</f>
        <v>0</v>
      </c>
      <c r="B13114" t="s">
        <v>1146</v>
      </c>
      <c r="C13114" t="s">
        <v>15950</v>
      </c>
      <c r="D13114" t="s">
        <v>16640</v>
      </c>
      <c r="E13114" t="s">
        <v>28039</v>
      </c>
      <c r="F13114" t="s">
        <v>28669</v>
      </c>
      <c r="G13114" t="s">
        <v>28678</v>
      </c>
      <c r="H13114" t="s">
        <v>9998</v>
      </c>
      <c r="I13114" t="s">
        <v>11593</v>
      </c>
      <c r="J13114" t="s">
        <v>35347</v>
      </c>
      <c r="K13114" t="s">
        <v>37209</v>
      </c>
      <c r="M13114" t="s">
        <v>39972</v>
      </c>
      <c r="N13114" t="s">
        <v>41249</v>
      </c>
      <c r="O13114" t="s">
        <v>41250</v>
      </c>
      <c r="Q13114">
        <v>5</v>
      </c>
      <c r="R13114" t="s">
        <v>41272</v>
      </c>
      <c r="S13114" t="s">
        <v>42234</v>
      </c>
      <c r="T13114" t="s">
        <v>42727</v>
      </c>
      <c r="U13114" t="s">
        <v>49135</v>
      </c>
      <c r="W13114" t="s">
        <v>39972</v>
      </c>
      <c r="X13114" t="s">
        <v>41273</v>
      </c>
    </row>
    <row r="13115" spans="1:24">
      <c r="A13115">
        <f>HYPERLINK("https://www.philgeps.gov.ph/GEPSNONPILOT/Tender/SplashBidNoticeAbstractUI.aspx?menuIndex=3&amp;refID=7039056&amp;Result=3","7039056")</f>
        <v>0</v>
      </c>
      <c r="B13115" t="s">
        <v>3313</v>
      </c>
      <c r="C13115" t="s">
        <v>15951</v>
      </c>
      <c r="D13115" t="s">
        <v>16609</v>
      </c>
      <c r="E13115" t="s">
        <v>26578</v>
      </c>
      <c r="F13115" t="s">
        <v>28669</v>
      </c>
      <c r="G13115" t="s">
        <v>28675</v>
      </c>
      <c r="H13115" t="s">
        <v>28686</v>
      </c>
      <c r="I13115" t="s">
        <v>28689</v>
      </c>
      <c r="J13115" t="s">
        <v>28838</v>
      </c>
      <c r="K13115" t="s">
        <v>37209</v>
      </c>
      <c r="M13115" t="s">
        <v>41153</v>
      </c>
      <c r="N13115" t="s">
        <v>41249</v>
      </c>
      <c r="O13115" t="s">
        <v>41250</v>
      </c>
      <c r="P13115">
        <v>0</v>
      </c>
      <c r="Q13115">
        <v>0</v>
      </c>
      <c r="R13115" t="s">
        <v>41272</v>
      </c>
      <c r="S13115" t="s">
        <v>42222</v>
      </c>
      <c r="T13115" t="s">
        <v>42727</v>
      </c>
      <c r="U13115" t="s">
        <v>53690</v>
      </c>
      <c r="W13115" t="s">
        <v>41153</v>
      </c>
      <c r="X13115" t="s">
        <v>41273</v>
      </c>
    </row>
    <row r="13116" spans="1:24">
      <c r="A13116">
        <f>HYPERLINK("https://www.philgeps.gov.ph/GEPSNONPILOT/Tender/SplashBidNoticeAbstractUI.aspx?menuIndex=3&amp;refID=7038486&amp;Result=3","7038486")</f>
        <v>0</v>
      </c>
      <c r="B13116" t="s">
        <v>1781</v>
      </c>
      <c r="C13116" t="s">
        <v>15952</v>
      </c>
      <c r="D13116" t="s">
        <v>16621</v>
      </c>
      <c r="E13116" t="s">
        <v>28040</v>
      </c>
      <c r="F13116" t="s">
        <v>28669</v>
      </c>
      <c r="G13116" t="s">
        <v>28675</v>
      </c>
      <c r="H13116" t="s">
        <v>9998</v>
      </c>
      <c r="I13116" t="s">
        <v>28817</v>
      </c>
      <c r="J13116" t="s">
        <v>36822</v>
      </c>
      <c r="K13116" t="s">
        <v>37206</v>
      </c>
      <c r="M13116" t="s">
        <v>39385</v>
      </c>
      <c r="N13116" t="s">
        <v>41249</v>
      </c>
      <c r="O13116" t="s">
        <v>41250</v>
      </c>
      <c r="P13116">
        <v>0</v>
      </c>
      <c r="Q13116">
        <v>3</v>
      </c>
      <c r="R13116" t="s">
        <v>41272</v>
      </c>
      <c r="S13116" t="s">
        <v>42222</v>
      </c>
      <c r="T13116" t="s">
        <v>42767</v>
      </c>
      <c r="U13116" t="s">
        <v>53691</v>
      </c>
      <c r="W13116" t="s">
        <v>39385</v>
      </c>
      <c r="X13116" t="s">
        <v>41273</v>
      </c>
    </row>
    <row r="13117" spans="1:24">
      <c r="A13117">
        <f>HYPERLINK("https://www.philgeps.gov.ph/GEPSNONPILOT/Tender/SplashBidNoticeAbstractUI.aspx?menuIndex=3&amp;refID=7039021&amp;Result=3","7039021")</f>
        <v>0</v>
      </c>
      <c r="B13117" t="s">
        <v>3314</v>
      </c>
      <c r="C13117" t="s">
        <v>15951</v>
      </c>
      <c r="D13117" t="s">
        <v>16609</v>
      </c>
      <c r="E13117" t="s">
        <v>26578</v>
      </c>
      <c r="F13117" t="s">
        <v>28669</v>
      </c>
      <c r="G13117" t="s">
        <v>28675</v>
      </c>
      <c r="H13117" t="s">
        <v>28686</v>
      </c>
      <c r="I13117" t="s">
        <v>28689</v>
      </c>
      <c r="J13117" t="s">
        <v>28838</v>
      </c>
      <c r="K13117" t="s">
        <v>37209</v>
      </c>
      <c r="M13117" t="s">
        <v>41154</v>
      </c>
      <c r="N13117" t="s">
        <v>41249</v>
      </c>
      <c r="O13117" t="s">
        <v>41250</v>
      </c>
      <c r="P13117">
        <v>0</v>
      </c>
      <c r="Q13117">
        <v>0</v>
      </c>
      <c r="R13117" t="s">
        <v>41272</v>
      </c>
      <c r="S13117" t="s">
        <v>42222</v>
      </c>
      <c r="T13117" t="s">
        <v>42728</v>
      </c>
      <c r="U13117" t="s">
        <v>53692</v>
      </c>
      <c r="W13117" t="s">
        <v>41154</v>
      </c>
      <c r="X13117" t="s">
        <v>41273</v>
      </c>
    </row>
    <row r="13118" spans="1:24">
      <c r="A13118">
        <f>HYPERLINK("https://www.philgeps.gov.ph/GEPSNONPILOT/Tender/SplashBidNoticeAbstractUI.aspx?menuIndex=3&amp;refID=7039059&amp;Result=3","7039059")</f>
        <v>0</v>
      </c>
      <c r="B13118" t="s">
        <v>1469</v>
      </c>
      <c r="C13118" t="s">
        <v>15953</v>
      </c>
      <c r="D13118" t="s">
        <v>16659</v>
      </c>
      <c r="E13118" t="s">
        <v>17609</v>
      </c>
      <c r="F13118" t="s">
        <v>28669</v>
      </c>
      <c r="G13118" t="s">
        <v>28675</v>
      </c>
      <c r="H13118" t="s">
        <v>28686</v>
      </c>
      <c r="I13118" t="s">
        <v>28689</v>
      </c>
      <c r="J13118" t="s">
        <v>28879</v>
      </c>
      <c r="K13118" t="s">
        <v>37206</v>
      </c>
      <c r="M13118" t="s">
        <v>39037</v>
      </c>
      <c r="N13118" t="s">
        <v>41249</v>
      </c>
      <c r="O13118" t="s">
        <v>41250</v>
      </c>
      <c r="P13118">
        <v>0</v>
      </c>
      <c r="Q13118">
        <v>1</v>
      </c>
      <c r="R13118" t="s">
        <v>41272</v>
      </c>
      <c r="S13118" t="s">
        <v>42222</v>
      </c>
      <c r="T13118" t="s">
        <v>42727</v>
      </c>
      <c r="U13118" t="s">
        <v>53693</v>
      </c>
      <c r="W13118" t="s">
        <v>39037</v>
      </c>
      <c r="X13118" t="s">
        <v>41273</v>
      </c>
    </row>
    <row r="13119" spans="1:24">
      <c r="A13119">
        <f>HYPERLINK("https://www.philgeps.gov.ph/GEPSNONPILOT/Tender/SplashBidNoticeAbstractUI.aspx?menuIndex=3&amp;refID=7039016&amp;Result=3","7039016")</f>
        <v>0</v>
      </c>
      <c r="B13119" t="s">
        <v>3175</v>
      </c>
      <c r="C13119" t="s">
        <v>15954</v>
      </c>
      <c r="D13119" t="s">
        <v>16609</v>
      </c>
      <c r="E13119" t="s">
        <v>28041</v>
      </c>
      <c r="F13119" t="s">
        <v>28669</v>
      </c>
      <c r="G13119" t="s">
        <v>28675</v>
      </c>
      <c r="H13119" t="s">
        <v>28686</v>
      </c>
      <c r="I13119" t="s">
        <v>28689</v>
      </c>
      <c r="J13119" t="s">
        <v>28924</v>
      </c>
      <c r="K13119" t="s">
        <v>37251</v>
      </c>
      <c r="M13119" t="s">
        <v>40975</v>
      </c>
      <c r="N13119" t="s">
        <v>41249</v>
      </c>
      <c r="O13119" t="s">
        <v>41250</v>
      </c>
      <c r="P13119">
        <v>0</v>
      </c>
      <c r="Q13119">
        <v>0</v>
      </c>
      <c r="R13119" t="s">
        <v>41272</v>
      </c>
      <c r="S13119" t="s">
        <v>42222</v>
      </c>
      <c r="T13119" t="s">
        <v>42821</v>
      </c>
      <c r="U13119" t="s">
        <v>53694</v>
      </c>
      <c r="W13119" t="s">
        <v>40975</v>
      </c>
      <c r="X13119" t="s">
        <v>41273</v>
      </c>
    </row>
    <row r="13120" spans="1:24">
      <c r="A13120">
        <f>HYPERLINK("https://www.philgeps.gov.ph/GEPSNONPILOT/Tender/SplashBidNoticeAbstractUI.aspx?menuIndex=3&amp;refID=7038979&amp;Result=3","7038979")</f>
        <v>0</v>
      </c>
      <c r="B13120" t="s">
        <v>1469</v>
      </c>
      <c r="C13120" t="s">
        <v>15953</v>
      </c>
      <c r="D13120" t="s">
        <v>16659</v>
      </c>
      <c r="E13120" t="s">
        <v>17399</v>
      </c>
      <c r="F13120" t="s">
        <v>28669</v>
      </c>
      <c r="G13120" t="s">
        <v>28675</v>
      </c>
      <c r="H13120" t="s">
        <v>28686</v>
      </c>
      <c r="I13120" t="s">
        <v>28689</v>
      </c>
      <c r="J13120" t="s">
        <v>28879</v>
      </c>
      <c r="K13120" t="s">
        <v>37206</v>
      </c>
      <c r="M13120" t="s">
        <v>39037</v>
      </c>
      <c r="N13120" t="s">
        <v>41249</v>
      </c>
      <c r="O13120" t="s">
        <v>41250</v>
      </c>
      <c r="P13120">
        <v>0</v>
      </c>
      <c r="Q13120">
        <v>1</v>
      </c>
      <c r="R13120" t="s">
        <v>41272</v>
      </c>
      <c r="S13120" t="s">
        <v>42222</v>
      </c>
      <c r="T13120" t="s">
        <v>42910</v>
      </c>
      <c r="U13120" t="s">
        <v>53695</v>
      </c>
      <c r="W13120" t="s">
        <v>39037</v>
      </c>
      <c r="X13120" t="s">
        <v>41273</v>
      </c>
    </row>
    <row r="13121" spans="1:24">
      <c r="A13121">
        <f>HYPERLINK("https://www.philgeps.gov.ph/GEPSNONPILOT/Tender/SplashBidNoticeAbstractUI.aspx?menuIndex=3&amp;refID=7039038&amp;Result=3","7039038")</f>
        <v>0</v>
      </c>
      <c r="B13121" t="s">
        <v>3175</v>
      </c>
      <c r="C13121" t="s">
        <v>15955</v>
      </c>
      <c r="D13121" t="s">
        <v>16609</v>
      </c>
      <c r="E13121" t="s">
        <v>28042</v>
      </c>
      <c r="F13121" t="s">
        <v>28669</v>
      </c>
      <c r="G13121" t="s">
        <v>28675</v>
      </c>
      <c r="H13121" t="s">
        <v>28686</v>
      </c>
      <c r="I13121" t="s">
        <v>28689</v>
      </c>
      <c r="J13121" t="s">
        <v>28836</v>
      </c>
      <c r="K13121" t="s">
        <v>37319</v>
      </c>
      <c r="M13121" t="s">
        <v>40975</v>
      </c>
      <c r="N13121" t="s">
        <v>41249</v>
      </c>
      <c r="O13121" t="s">
        <v>41250</v>
      </c>
      <c r="P13121">
        <v>0</v>
      </c>
      <c r="Q13121">
        <v>0</v>
      </c>
      <c r="R13121" t="s">
        <v>41272</v>
      </c>
      <c r="S13121" t="s">
        <v>42222</v>
      </c>
      <c r="T13121" t="s">
        <v>42678</v>
      </c>
      <c r="U13121" t="s">
        <v>53696</v>
      </c>
      <c r="W13121" t="s">
        <v>40975</v>
      </c>
      <c r="X13121" t="s">
        <v>41273</v>
      </c>
    </row>
    <row r="13122" spans="1:24">
      <c r="A13122">
        <f>HYPERLINK("https://www.philgeps.gov.ph/GEPSNONPILOT/Tender/SplashBidNoticeAbstractUI.aspx?menuIndex=3&amp;refID=7038957&amp;Result=3","7038957")</f>
        <v>0</v>
      </c>
      <c r="B13122" t="s">
        <v>1443</v>
      </c>
      <c r="C13122" t="s">
        <v>15956</v>
      </c>
      <c r="D13122" t="s">
        <v>16663</v>
      </c>
      <c r="E13122" t="s">
        <v>28043</v>
      </c>
      <c r="F13122" t="s">
        <v>28669</v>
      </c>
      <c r="G13122" t="s">
        <v>28675</v>
      </c>
      <c r="H13122" t="s">
        <v>28686</v>
      </c>
      <c r="I13122" t="s">
        <v>28689</v>
      </c>
      <c r="J13122" t="s">
        <v>36823</v>
      </c>
      <c r="K13122" t="s">
        <v>37255</v>
      </c>
      <c r="M13122" t="s">
        <v>39008</v>
      </c>
      <c r="N13122" t="s">
        <v>41249</v>
      </c>
      <c r="O13122" t="s">
        <v>41250</v>
      </c>
      <c r="Q13122">
        <v>1</v>
      </c>
      <c r="R13122" t="s">
        <v>41272</v>
      </c>
      <c r="S13122" t="s">
        <v>42235</v>
      </c>
      <c r="T13122" t="s">
        <v>42811</v>
      </c>
      <c r="U13122" t="s">
        <v>53697</v>
      </c>
      <c r="W13122" t="s">
        <v>39008</v>
      </c>
      <c r="X13122" t="s">
        <v>41273</v>
      </c>
    </row>
    <row r="13123" spans="1:24">
      <c r="A13123">
        <f>HYPERLINK("https://www.philgeps.gov.ph/GEPSNONPILOT/Tender/SplashBidNoticeAbstractUI.aspx?menuIndex=3&amp;refID=7038947&amp;Result=3","7038947")</f>
        <v>0</v>
      </c>
      <c r="B13123" t="s">
        <v>3315</v>
      </c>
      <c r="C13123" t="s">
        <v>15957</v>
      </c>
      <c r="D13123" t="s">
        <v>16608</v>
      </c>
      <c r="E13123" t="s">
        <v>28044</v>
      </c>
      <c r="F13123" t="s">
        <v>28669</v>
      </c>
      <c r="G13123" t="s">
        <v>28676</v>
      </c>
      <c r="H13123" t="s">
        <v>9998</v>
      </c>
      <c r="I13123" t="s">
        <v>11593</v>
      </c>
      <c r="J13123" t="s">
        <v>36824</v>
      </c>
      <c r="K13123" t="s">
        <v>37210</v>
      </c>
      <c r="M13123" t="s">
        <v>41155</v>
      </c>
      <c r="N13123" t="s">
        <v>41249</v>
      </c>
      <c r="O13123" t="s">
        <v>41250</v>
      </c>
      <c r="Q13123">
        <v>5</v>
      </c>
      <c r="R13123" t="s">
        <v>41272</v>
      </c>
      <c r="S13123" t="s">
        <v>42236</v>
      </c>
      <c r="T13123" t="s">
        <v>42736</v>
      </c>
      <c r="U13123" t="s">
        <v>53698</v>
      </c>
      <c r="W13123" t="s">
        <v>41155</v>
      </c>
      <c r="X13123" t="s">
        <v>41273</v>
      </c>
    </row>
    <row r="13124" spans="1:24">
      <c r="A13124">
        <f>HYPERLINK("https://www.philgeps.gov.ph/GEPSNONPILOT/Tender/SplashBidNoticeAbstractUI.aspx?menuIndex=3&amp;refID=7039178&amp;Result=3","7039178")</f>
        <v>0</v>
      </c>
      <c r="B13124" t="s">
        <v>1289</v>
      </c>
      <c r="C13124" t="s">
        <v>15958</v>
      </c>
      <c r="D13124" t="s">
        <v>16635</v>
      </c>
      <c r="E13124" t="s">
        <v>28045</v>
      </c>
      <c r="F13124" t="s">
        <v>28669</v>
      </c>
      <c r="G13124" t="s">
        <v>28675</v>
      </c>
      <c r="H13124" t="s">
        <v>28686</v>
      </c>
      <c r="I13124" t="s">
        <v>28689</v>
      </c>
      <c r="J13124" t="s">
        <v>29266</v>
      </c>
      <c r="K13124" t="s">
        <v>37215</v>
      </c>
      <c r="M13124" t="s">
        <v>38840</v>
      </c>
      <c r="N13124" t="s">
        <v>41249</v>
      </c>
      <c r="O13124" t="s">
        <v>41250</v>
      </c>
      <c r="Q13124">
        <v>4</v>
      </c>
      <c r="R13124" t="s">
        <v>41272</v>
      </c>
      <c r="S13124" t="s">
        <v>42237</v>
      </c>
      <c r="T13124" t="s">
        <v>42686</v>
      </c>
      <c r="U13124" t="s">
        <v>53699</v>
      </c>
      <c r="W13124" t="s">
        <v>38840</v>
      </c>
      <c r="X13124" t="s">
        <v>41273</v>
      </c>
    </row>
    <row r="13125" spans="1:24">
      <c r="A13125">
        <f>HYPERLINK("https://www.philgeps.gov.ph/GEPSNONPILOT/Tender/SplashBidNoticeAbstractUI.aspx?menuIndex=3&amp;refID=7039395&amp;Result=3","7039395")</f>
        <v>0</v>
      </c>
      <c r="B13125" t="s">
        <v>3316</v>
      </c>
      <c r="C13125" t="s">
        <v>15959</v>
      </c>
      <c r="D13125" t="s">
        <v>16621</v>
      </c>
      <c r="E13125" t="s">
        <v>28046</v>
      </c>
      <c r="F13125" t="s">
        <v>28669</v>
      </c>
      <c r="G13125" t="s">
        <v>28675</v>
      </c>
      <c r="H13125" t="s">
        <v>28686</v>
      </c>
      <c r="I13125" t="s">
        <v>28689</v>
      </c>
      <c r="J13125" t="s">
        <v>28826</v>
      </c>
      <c r="K13125" t="s">
        <v>37205</v>
      </c>
      <c r="M13125" t="s">
        <v>41156</v>
      </c>
      <c r="N13125" t="s">
        <v>41249</v>
      </c>
      <c r="O13125" t="s">
        <v>41250</v>
      </c>
      <c r="P13125">
        <v>0</v>
      </c>
      <c r="Q13125">
        <v>0</v>
      </c>
      <c r="R13125" t="s">
        <v>41272</v>
      </c>
      <c r="S13125" t="s">
        <v>42222</v>
      </c>
      <c r="T13125" t="s">
        <v>42767</v>
      </c>
      <c r="U13125" t="s">
        <v>53700</v>
      </c>
      <c r="V13125" t="s">
        <v>55046</v>
      </c>
      <c r="W13125" t="s">
        <v>41156</v>
      </c>
      <c r="X13125" t="s">
        <v>41273</v>
      </c>
    </row>
    <row r="13126" spans="1:24">
      <c r="A13126">
        <f>HYPERLINK("https://www.philgeps.gov.ph/GEPSNONPILOT/Tender/SplashBidNoticeAbstractUI.aspx?menuIndex=3&amp;refID=7039167&amp;Result=3","7039167")</f>
        <v>0</v>
      </c>
      <c r="B13126" t="s">
        <v>2558</v>
      </c>
      <c r="C13126" t="s">
        <v>15960</v>
      </c>
      <c r="D13126" t="s">
        <v>16618</v>
      </c>
      <c r="E13126" t="s">
        <v>28047</v>
      </c>
      <c r="F13126" t="s">
        <v>28669</v>
      </c>
      <c r="G13126" t="s">
        <v>28675</v>
      </c>
      <c r="H13126" t="s">
        <v>28686</v>
      </c>
      <c r="I13126" t="s">
        <v>28689</v>
      </c>
      <c r="J13126" t="s">
        <v>36825</v>
      </c>
      <c r="K13126" t="s">
        <v>37285</v>
      </c>
      <c r="L13126" t="s">
        <v>2558</v>
      </c>
      <c r="M13126" t="s">
        <v>40832</v>
      </c>
      <c r="N13126" t="s">
        <v>41249</v>
      </c>
      <c r="O13126" t="s">
        <v>41250</v>
      </c>
      <c r="P13126">
        <v>0</v>
      </c>
      <c r="Q13126">
        <v>20</v>
      </c>
      <c r="R13126" t="s">
        <v>41272</v>
      </c>
      <c r="S13126" t="s">
        <v>42222</v>
      </c>
      <c r="T13126" t="s">
        <v>42910</v>
      </c>
      <c r="U13126" t="s">
        <v>53687</v>
      </c>
      <c r="W13126" t="s">
        <v>40832</v>
      </c>
      <c r="X13126" t="s">
        <v>41273</v>
      </c>
    </row>
    <row r="13127" spans="1:24">
      <c r="A13127">
        <f>HYPERLINK("https://www.philgeps.gov.ph/GEPSNONPILOT/Tender/SplashBidNoticeAbstractUI.aspx?menuIndex=3&amp;refID=7038535&amp;Result=3","7038535")</f>
        <v>0</v>
      </c>
      <c r="B13127" t="s">
        <v>1474</v>
      </c>
      <c r="C13127" t="s">
        <v>15961</v>
      </c>
      <c r="D13127" t="s">
        <v>16680</v>
      </c>
      <c r="E13127" t="s">
        <v>28048</v>
      </c>
      <c r="F13127" t="s">
        <v>28669</v>
      </c>
      <c r="G13127" t="s">
        <v>28675</v>
      </c>
      <c r="H13127" t="s">
        <v>28686</v>
      </c>
      <c r="I13127" t="s">
        <v>28689</v>
      </c>
      <c r="J13127" t="s">
        <v>36826</v>
      </c>
      <c r="K13127" t="s">
        <v>37215</v>
      </c>
      <c r="M13127" t="s">
        <v>40740</v>
      </c>
      <c r="N13127" t="s">
        <v>41249</v>
      </c>
      <c r="O13127" t="s">
        <v>41250</v>
      </c>
      <c r="P13127">
        <v>0</v>
      </c>
      <c r="Q13127">
        <v>0</v>
      </c>
      <c r="R13127" t="s">
        <v>41272</v>
      </c>
      <c r="S13127" t="s">
        <v>42222</v>
      </c>
      <c r="T13127" t="s">
        <v>42767</v>
      </c>
      <c r="U13127" t="s">
        <v>53701</v>
      </c>
      <c r="W13127" t="s">
        <v>40740</v>
      </c>
      <c r="X13127" t="s">
        <v>41273</v>
      </c>
    </row>
    <row r="13128" spans="1:24">
      <c r="A13128">
        <f>HYPERLINK("https://www.philgeps.gov.ph/GEPSNONPILOT/Tender/SplashBidNoticeAbstractUI.aspx?menuIndex=3&amp;refID=7039316&amp;Result=3","7039316")</f>
        <v>0</v>
      </c>
      <c r="B13128" t="s">
        <v>1468</v>
      </c>
      <c r="C13128" t="s">
        <v>15962</v>
      </c>
      <c r="D13128" t="s">
        <v>16611</v>
      </c>
      <c r="E13128" t="s">
        <v>28049</v>
      </c>
      <c r="F13128" t="s">
        <v>28669</v>
      </c>
      <c r="G13128" t="s">
        <v>28675</v>
      </c>
      <c r="H13128" t="s">
        <v>28686</v>
      </c>
      <c r="I13128" t="s">
        <v>28689</v>
      </c>
      <c r="J13128" t="s">
        <v>36827</v>
      </c>
      <c r="K13128" t="s">
        <v>37315</v>
      </c>
      <c r="M13128" t="s">
        <v>39036</v>
      </c>
      <c r="N13128" t="s">
        <v>41249</v>
      </c>
      <c r="O13128" t="s">
        <v>41250</v>
      </c>
      <c r="P13128">
        <v>0</v>
      </c>
      <c r="Q13128">
        <v>4</v>
      </c>
      <c r="R13128" t="s">
        <v>41272</v>
      </c>
      <c r="S13128" t="s">
        <v>42222</v>
      </c>
      <c r="T13128" t="s">
        <v>42671</v>
      </c>
      <c r="U13128" t="s">
        <v>53702</v>
      </c>
      <c r="W13128" t="s">
        <v>39036</v>
      </c>
      <c r="X13128" t="s">
        <v>41273</v>
      </c>
    </row>
    <row r="13129" spans="1:24">
      <c r="A13129">
        <f>HYPERLINK("https://www.philgeps.gov.ph/GEPSNONPILOT/Tender/SplashBidNoticeAbstractUI.aspx?menuIndex=3&amp;refID=7039355&amp;Result=3","7039355")</f>
        <v>0</v>
      </c>
      <c r="B13129" t="s">
        <v>2558</v>
      </c>
      <c r="C13129" t="s">
        <v>15963</v>
      </c>
      <c r="D13129" t="s">
        <v>16618</v>
      </c>
      <c r="E13129" t="s">
        <v>28050</v>
      </c>
      <c r="F13129" t="s">
        <v>28669</v>
      </c>
      <c r="G13129" t="s">
        <v>28675</v>
      </c>
      <c r="H13129" t="s">
        <v>28686</v>
      </c>
      <c r="I13129" t="s">
        <v>28689</v>
      </c>
      <c r="J13129" t="s">
        <v>28836</v>
      </c>
      <c r="K13129" t="s">
        <v>37206</v>
      </c>
      <c r="L13129" t="s">
        <v>2558</v>
      </c>
      <c r="M13129" t="s">
        <v>40832</v>
      </c>
      <c r="N13129" t="s">
        <v>41249</v>
      </c>
      <c r="O13129" t="s">
        <v>41250</v>
      </c>
      <c r="P13129">
        <v>0</v>
      </c>
      <c r="Q13129">
        <v>3</v>
      </c>
      <c r="R13129" t="s">
        <v>41272</v>
      </c>
      <c r="S13129" t="s">
        <v>42222</v>
      </c>
      <c r="T13129" t="s">
        <v>42910</v>
      </c>
      <c r="U13129" t="s">
        <v>53687</v>
      </c>
      <c r="W13129" t="s">
        <v>40832</v>
      </c>
      <c r="X13129" t="s">
        <v>41273</v>
      </c>
    </row>
    <row r="13130" spans="1:24">
      <c r="A13130">
        <f>HYPERLINK("https://www.philgeps.gov.ph/GEPSNONPILOT/Tender/SplashBidNoticeAbstractUI.aspx?menuIndex=3&amp;refID=7039289&amp;Result=3","7039289")</f>
        <v>0</v>
      </c>
      <c r="B13130" t="s">
        <v>2558</v>
      </c>
      <c r="C13130" t="s">
        <v>15964</v>
      </c>
      <c r="D13130" t="s">
        <v>16618</v>
      </c>
      <c r="E13130" t="s">
        <v>28051</v>
      </c>
      <c r="F13130" t="s">
        <v>28669</v>
      </c>
      <c r="G13130" t="s">
        <v>28675</v>
      </c>
      <c r="H13130" t="s">
        <v>28686</v>
      </c>
      <c r="I13130" t="s">
        <v>28689</v>
      </c>
      <c r="J13130" t="s">
        <v>36240</v>
      </c>
      <c r="K13130" t="s">
        <v>37214</v>
      </c>
      <c r="L13130" t="s">
        <v>2558</v>
      </c>
      <c r="M13130" t="s">
        <v>40832</v>
      </c>
      <c r="N13130" t="s">
        <v>41249</v>
      </c>
      <c r="O13130" t="s">
        <v>41250</v>
      </c>
      <c r="P13130">
        <v>0</v>
      </c>
      <c r="Q13130">
        <v>2</v>
      </c>
      <c r="R13130" t="s">
        <v>41272</v>
      </c>
      <c r="S13130" t="s">
        <v>42222</v>
      </c>
      <c r="T13130" t="s">
        <v>42910</v>
      </c>
      <c r="U13130" t="s">
        <v>53687</v>
      </c>
      <c r="W13130" t="s">
        <v>40832</v>
      </c>
      <c r="X13130" t="s">
        <v>41273</v>
      </c>
    </row>
    <row r="13131" spans="1:24">
      <c r="A13131">
        <f>HYPERLINK("https://www.philgeps.gov.ph/GEPSNONPILOT/Tender/SplashBidNoticeAbstractUI.aspx?menuIndex=3&amp;refID=7039332&amp;Result=3","7039332")</f>
        <v>0</v>
      </c>
      <c r="B13131" t="s">
        <v>903</v>
      </c>
      <c r="C13131" t="s">
        <v>15965</v>
      </c>
      <c r="D13131" t="s">
        <v>16678</v>
      </c>
      <c r="E13131" t="s">
        <v>28052</v>
      </c>
      <c r="F13131" t="s">
        <v>28669</v>
      </c>
      <c r="G13131" t="s">
        <v>28675</v>
      </c>
      <c r="H13131" t="s">
        <v>9998</v>
      </c>
      <c r="I13131" t="s">
        <v>8667</v>
      </c>
      <c r="J13131" t="s">
        <v>29320</v>
      </c>
      <c r="K13131" t="s">
        <v>37206</v>
      </c>
      <c r="M13131" t="s">
        <v>38424</v>
      </c>
      <c r="N13131" t="s">
        <v>41249</v>
      </c>
      <c r="O13131" t="s">
        <v>41250</v>
      </c>
      <c r="P13131">
        <v>0</v>
      </c>
      <c r="Q13131">
        <v>1</v>
      </c>
      <c r="R13131" t="s">
        <v>41272</v>
      </c>
      <c r="S13131" t="s">
        <v>42222</v>
      </c>
      <c r="T13131" t="s">
        <v>42703</v>
      </c>
      <c r="U13131" t="s">
        <v>53703</v>
      </c>
      <c r="W13131" t="s">
        <v>38424</v>
      </c>
      <c r="X13131" t="s">
        <v>41273</v>
      </c>
    </row>
    <row r="13132" spans="1:24">
      <c r="A13132">
        <f>HYPERLINK("https://www.philgeps.gov.ph/GEPSNONPILOT/Tender/SplashBidNoticeAbstractUI.aspx?menuIndex=3&amp;refID=7039269&amp;Result=3","7039269")</f>
        <v>0</v>
      </c>
      <c r="B13132" t="s">
        <v>2558</v>
      </c>
      <c r="C13132" t="s">
        <v>15966</v>
      </c>
      <c r="D13132" t="s">
        <v>16618</v>
      </c>
      <c r="E13132" t="s">
        <v>28053</v>
      </c>
      <c r="F13132" t="s">
        <v>28669</v>
      </c>
      <c r="G13132" t="s">
        <v>28675</v>
      </c>
      <c r="H13132" t="s">
        <v>28686</v>
      </c>
      <c r="I13132" t="s">
        <v>28689</v>
      </c>
      <c r="J13132" t="s">
        <v>30289</v>
      </c>
      <c r="K13132" t="s">
        <v>37213</v>
      </c>
      <c r="L13132" t="s">
        <v>2558</v>
      </c>
      <c r="M13132" t="s">
        <v>40832</v>
      </c>
      <c r="N13132" t="s">
        <v>41249</v>
      </c>
      <c r="O13132" t="s">
        <v>41250</v>
      </c>
      <c r="P13132">
        <v>0</v>
      </c>
      <c r="Q13132">
        <v>4</v>
      </c>
      <c r="R13132" t="s">
        <v>41272</v>
      </c>
      <c r="S13132" t="s">
        <v>42222</v>
      </c>
      <c r="T13132" t="s">
        <v>42910</v>
      </c>
      <c r="U13132" t="s">
        <v>53687</v>
      </c>
      <c r="W13132" t="s">
        <v>40832</v>
      </c>
      <c r="X13132" t="s">
        <v>41273</v>
      </c>
    </row>
    <row r="13133" spans="1:24">
      <c r="A13133">
        <f>HYPERLINK("https://www.philgeps.gov.ph/GEPSNONPILOT/Tender/SplashBidNoticeAbstractUI.aspx?menuIndex=3&amp;refID=7038974&amp;Result=3","7038974")</f>
        <v>0</v>
      </c>
      <c r="B13133" t="s">
        <v>3317</v>
      </c>
      <c r="C13133" t="s">
        <v>15967</v>
      </c>
      <c r="D13133" t="s">
        <v>16616</v>
      </c>
      <c r="E13133" t="s">
        <v>28054</v>
      </c>
      <c r="F13133" t="s">
        <v>28669</v>
      </c>
      <c r="G13133" t="s">
        <v>28675</v>
      </c>
      <c r="H13133" t="s">
        <v>9998</v>
      </c>
      <c r="I13133" t="s">
        <v>28687</v>
      </c>
      <c r="J13133" t="s">
        <v>28924</v>
      </c>
      <c r="K13133" t="s">
        <v>37210</v>
      </c>
      <c r="M13133" t="s">
        <v>41157</v>
      </c>
      <c r="N13133" t="s">
        <v>41249</v>
      </c>
      <c r="O13133" t="s">
        <v>41250</v>
      </c>
      <c r="P13133">
        <v>0</v>
      </c>
      <c r="Q13133">
        <v>3</v>
      </c>
      <c r="R13133" t="s">
        <v>41272</v>
      </c>
      <c r="S13133" t="s">
        <v>42222</v>
      </c>
      <c r="T13133" t="s">
        <v>42784</v>
      </c>
      <c r="U13133" t="s">
        <v>53704</v>
      </c>
      <c r="W13133" t="s">
        <v>56034</v>
      </c>
      <c r="X13133" t="s">
        <v>41273</v>
      </c>
    </row>
    <row r="13134" spans="1:24">
      <c r="A13134">
        <f>HYPERLINK("https://www.philgeps.gov.ph/GEPSNONPILOT/Tender/SplashBidNoticeAbstractUI.aspx?menuIndex=3&amp;refID=7039258&amp;Result=3","7039258")</f>
        <v>0</v>
      </c>
      <c r="B13134" t="s">
        <v>2558</v>
      </c>
      <c r="C13134" t="s">
        <v>15968</v>
      </c>
      <c r="D13134" t="s">
        <v>16618</v>
      </c>
      <c r="E13134" t="s">
        <v>28055</v>
      </c>
      <c r="F13134" t="s">
        <v>28669</v>
      </c>
      <c r="G13134" t="s">
        <v>28675</v>
      </c>
      <c r="H13134" t="s">
        <v>28686</v>
      </c>
      <c r="I13134" t="s">
        <v>28689</v>
      </c>
      <c r="J13134" t="s">
        <v>36828</v>
      </c>
      <c r="K13134" t="s">
        <v>37207</v>
      </c>
      <c r="L13134" t="s">
        <v>2558</v>
      </c>
      <c r="M13134" t="s">
        <v>40832</v>
      </c>
      <c r="N13134" t="s">
        <v>41249</v>
      </c>
      <c r="O13134" t="s">
        <v>41250</v>
      </c>
      <c r="P13134">
        <v>0</v>
      </c>
      <c r="Q13134">
        <v>3</v>
      </c>
      <c r="R13134" t="s">
        <v>41272</v>
      </c>
      <c r="S13134" t="s">
        <v>42222</v>
      </c>
      <c r="T13134" t="s">
        <v>42910</v>
      </c>
      <c r="U13134" t="s">
        <v>53687</v>
      </c>
      <c r="W13134" t="s">
        <v>40832</v>
      </c>
      <c r="X13134" t="s">
        <v>41273</v>
      </c>
    </row>
    <row r="13135" spans="1:24">
      <c r="A13135">
        <f>HYPERLINK("https://www.philgeps.gov.ph/GEPSNONPILOT/Tender/SplashBidNoticeAbstractUI.aspx?menuIndex=3&amp;refID=7039238&amp;Result=3","7039238")</f>
        <v>0</v>
      </c>
      <c r="B13135" t="s">
        <v>2558</v>
      </c>
      <c r="C13135" t="s">
        <v>15969</v>
      </c>
      <c r="D13135" t="s">
        <v>16618</v>
      </c>
      <c r="E13135" t="s">
        <v>28056</v>
      </c>
      <c r="F13135" t="s">
        <v>28669</v>
      </c>
      <c r="G13135" t="s">
        <v>28675</v>
      </c>
      <c r="H13135" t="s">
        <v>28686</v>
      </c>
      <c r="I13135" t="s">
        <v>28689</v>
      </c>
      <c r="J13135" t="s">
        <v>36691</v>
      </c>
      <c r="K13135" t="s">
        <v>37221</v>
      </c>
      <c r="L13135" t="s">
        <v>2558</v>
      </c>
      <c r="M13135" t="s">
        <v>40832</v>
      </c>
      <c r="N13135" t="s">
        <v>41249</v>
      </c>
      <c r="O13135" t="s">
        <v>41250</v>
      </c>
      <c r="P13135">
        <v>0</v>
      </c>
      <c r="Q13135">
        <v>3</v>
      </c>
      <c r="R13135" t="s">
        <v>41272</v>
      </c>
      <c r="S13135" t="s">
        <v>42222</v>
      </c>
      <c r="T13135" t="s">
        <v>42910</v>
      </c>
      <c r="U13135" t="s">
        <v>53687</v>
      </c>
      <c r="W13135" t="s">
        <v>40832</v>
      </c>
      <c r="X13135" t="s">
        <v>41273</v>
      </c>
    </row>
    <row r="13136" spans="1:24">
      <c r="A13136">
        <f>HYPERLINK("https://www.philgeps.gov.ph/GEPSNONPILOT/Tender/SplashBidNoticeAbstractUI.aspx?menuIndex=3&amp;refID=7039277&amp;Result=3","7039277")</f>
        <v>0</v>
      </c>
      <c r="B13136" t="s">
        <v>2558</v>
      </c>
      <c r="C13136" t="s">
        <v>15970</v>
      </c>
      <c r="D13136" t="s">
        <v>16618</v>
      </c>
      <c r="E13136" t="s">
        <v>28057</v>
      </c>
      <c r="F13136" t="s">
        <v>28669</v>
      </c>
      <c r="G13136" t="s">
        <v>28675</v>
      </c>
      <c r="H13136" t="s">
        <v>28686</v>
      </c>
      <c r="I13136" t="s">
        <v>28689</v>
      </c>
      <c r="J13136" t="s">
        <v>30559</v>
      </c>
      <c r="K13136" t="s">
        <v>37213</v>
      </c>
      <c r="L13136" t="s">
        <v>2558</v>
      </c>
      <c r="M13136" t="s">
        <v>40832</v>
      </c>
      <c r="N13136" t="s">
        <v>41249</v>
      </c>
      <c r="O13136" t="s">
        <v>41250</v>
      </c>
      <c r="P13136">
        <v>0</v>
      </c>
      <c r="Q13136">
        <v>3</v>
      </c>
      <c r="R13136" t="s">
        <v>41272</v>
      </c>
      <c r="S13136" t="s">
        <v>42222</v>
      </c>
      <c r="T13136" t="s">
        <v>42910</v>
      </c>
      <c r="U13136" t="s">
        <v>53687</v>
      </c>
      <c r="W13136" t="s">
        <v>40832</v>
      </c>
      <c r="X13136" t="s">
        <v>41273</v>
      </c>
    </row>
    <row r="13137" spans="1:24">
      <c r="A13137">
        <f>HYPERLINK("https://www.philgeps.gov.ph/GEPSNONPILOT/Tender/SplashBidNoticeAbstractUI.aspx?menuIndex=3&amp;refID=7039249&amp;Result=3","7039249")</f>
        <v>0</v>
      </c>
      <c r="B13137" t="s">
        <v>2558</v>
      </c>
      <c r="C13137" t="s">
        <v>15971</v>
      </c>
      <c r="D13137" t="s">
        <v>16618</v>
      </c>
      <c r="E13137" t="s">
        <v>28058</v>
      </c>
      <c r="F13137" t="s">
        <v>28669</v>
      </c>
      <c r="G13137" t="s">
        <v>28675</v>
      </c>
      <c r="H13137" t="s">
        <v>28686</v>
      </c>
      <c r="I13137" t="s">
        <v>28689</v>
      </c>
      <c r="J13137" t="s">
        <v>36761</v>
      </c>
      <c r="K13137" t="s">
        <v>37215</v>
      </c>
      <c r="L13137" t="s">
        <v>2558</v>
      </c>
      <c r="M13137" t="s">
        <v>40832</v>
      </c>
      <c r="N13137" t="s">
        <v>41249</v>
      </c>
      <c r="O13137" t="s">
        <v>41250</v>
      </c>
      <c r="P13137">
        <v>0</v>
      </c>
      <c r="Q13137">
        <v>4</v>
      </c>
      <c r="R13137" t="s">
        <v>41272</v>
      </c>
      <c r="S13137" t="s">
        <v>42222</v>
      </c>
      <c r="T13137" t="s">
        <v>42910</v>
      </c>
      <c r="U13137" t="s">
        <v>53687</v>
      </c>
      <c r="W13137" t="s">
        <v>40832</v>
      </c>
      <c r="X13137" t="s">
        <v>41273</v>
      </c>
    </row>
    <row r="13138" spans="1:24">
      <c r="A13138">
        <f>HYPERLINK("https://www.philgeps.gov.ph/GEPSNONPILOT/Tender/SplashBidNoticeAbstractUI.aspx?menuIndex=3&amp;refID=7038985&amp;Result=3","7038985")</f>
        <v>0</v>
      </c>
      <c r="B13138" t="s">
        <v>3175</v>
      </c>
      <c r="C13138" t="s">
        <v>15972</v>
      </c>
      <c r="D13138" t="s">
        <v>16609</v>
      </c>
      <c r="E13138" t="s">
        <v>28059</v>
      </c>
      <c r="F13138" t="s">
        <v>28669</v>
      </c>
      <c r="G13138" t="s">
        <v>28675</v>
      </c>
      <c r="H13138" t="s">
        <v>28686</v>
      </c>
      <c r="I13138" t="s">
        <v>28689</v>
      </c>
      <c r="J13138" t="s">
        <v>28924</v>
      </c>
      <c r="K13138" t="s">
        <v>37220</v>
      </c>
      <c r="M13138" t="s">
        <v>40975</v>
      </c>
      <c r="N13138" t="s">
        <v>41249</v>
      </c>
      <c r="O13138" t="s">
        <v>41250</v>
      </c>
      <c r="P13138">
        <v>0</v>
      </c>
      <c r="Q13138">
        <v>0</v>
      </c>
      <c r="R13138" t="s">
        <v>41272</v>
      </c>
      <c r="S13138" t="s">
        <v>42222</v>
      </c>
      <c r="T13138" t="s">
        <v>42726</v>
      </c>
      <c r="U13138" t="s">
        <v>53705</v>
      </c>
      <c r="W13138" t="s">
        <v>40975</v>
      </c>
      <c r="X13138" t="s">
        <v>41273</v>
      </c>
    </row>
    <row r="13139" spans="1:24">
      <c r="A13139">
        <f>HYPERLINK("https://www.philgeps.gov.ph/GEPSNONPILOT/Tender/SplashBidNoticeAbstractUI.aspx?menuIndex=3&amp;refID=7039230&amp;Result=3","7039230")</f>
        <v>0</v>
      </c>
      <c r="B13139" t="s">
        <v>2558</v>
      </c>
      <c r="C13139" t="s">
        <v>15973</v>
      </c>
      <c r="D13139" t="s">
        <v>16618</v>
      </c>
      <c r="E13139" t="s">
        <v>28060</v>
      </c>
      <c r="F13139" t="s">
        <v>28669</v>
      </c>
      <c r="G13139" t="s">
        <v>28675</v>
      </c>
      <c r="H13139" t="s">
        <v>28686</v>
      </c>
      <c r="I13139" t="s">
        <v>28689</v>
      </c>
      <c r="J13139" t="s">
        <v>29298</v>
      </c>
      <c r="K13139" t="s">
        <v>37258</v>
      </c>
      <c r="L13139" t="s">
        <v>2558</v>
      </c>
      <c r="M13139" t="s">
        <v>40832</v>
      </c>
      <c r="N13139" t="s">
        <v>41249</v>
      </c>
      <c r="O13139" t="s">
        <v>41250</v>
      </c>
      <c r="P13139">
        <v>0</v>
      </c>
      <c r="Q13139">
        <v>5</v>
      </c>
      <c r="R13139" t="s">
        <v>41272</v>
      </c>
      <c r="S13139" t="s">
        <v>42222</v>
      </c>
      <c r="T13139" t="s">
        <v>42910</v>
      </c>
      <c r="U13139" t="s">
        <v>53687</v>
      </c>
      <c r="W13139" t="s">
        <v>40832</v>
      </c>
      <c r="X13139" t="s">
        <v>41273</v>
      </c>
    </row>
    <row r="13140" spans="1:24">
      <c r="A13140">
        <f>HYPERLINK("https://www.philgeps.gov.ph/GEPSNONPILOT/Tender/SplashBidNoticeAbstractUI.aspx?menuIndex=3&amp;refID=7039217&amp;Result=3","7039217")</f>
        <v>0</v>
      </c>
      <c r="B13140" t="s">
        <v>3318</v>
      </c>
      <c r="C13140" t="s">
        <v>15477</v>
      </c>
      <c r="D13140" t="s">
        <v>16676</v>
      </c>
      <c r="E13140" t="s">
        <v>28061</v>
      </c>
      <c r="F13140" t="s">
        <v>28669</v>
      </c>
      <c r="G13140" t="s">
        <v>28675</v>
      </c>
      <c r="H13140" t="s">
        <v>28686</v>
      </c>
      <c r="I13140" t="s">
        <v>28689</v>
      </c>
      <c r="J13140" t="s">
        <v>28854</v>
      </c>
      <c r="K13140" t="s">
        <v>37206</v>
      </c>
      <c r="M13140" t="s">
        <v>41158</v>
      </c>
      <c r="N13140" t="s">
        <v>41249</v>
      </c>
      <c r="O13140" t="s">
        <v>41250</v>
      </c>
      <c r="P13140">
        <v>0</v>
      </c>
      <c r="Q13140">
        <v>0</v>
      </c>
      <c r="R13140" t="s">
        <v>41272</v>
      </c>
      <c r="S13140" t="s">
        <v>42222</v>
      </c>
      <c r="T13140" t="s">
        <v>42727</v>
      </c>
      <c r="U13140" t="s">
        <v>53706</v>
      </c>
      <c r="W13140" t="s">
        <v>41158</v>
      </c>
      <c r="X13140" t="s">
        <v>41273</v>
      </c>
    </row>
    <row r="13141" spans="1:24">
      <c r="A13141">
        <f>HYPERLINK("https://www.philgeps.gov.ph/GEPSNONPILOT/Tender/SplashBidNoticeAbstractUI.aspx?menuIndex=3&amp;refID=7039742&amp;Result=3","7039742")</f>
        <v>0</v>
      </c>
      <c r="B13141" t="s">
        <v>1469</v>
      </c>
      <c r="C13141" t="s">
        <v>15974</v>
      </c>
      <c r="D13141" t="s">
        <v>16659</v>
      </c>
      <c r="E13141" t="s">
        <v>19027</v>
      </c>
      <c r="F13141" t="s">
        <v>28669</v>
      </c>
      <c r="G13141" t="s">
        <v>28675</v>
      </c>
      <c r="H13141" t="s">
        <v>28686</v>
      </c>
      <c r="I13141" t="s">
        <v>28689</v>
      </c>
      <c r="J13141" t="s">
        <v>29203</v>
      </c>
      <c r="K13141" t="s">
        <v>37221</v>
      </c>
      <c r="M13141" t="s">
        <v>39037</v>
      </c>
      <c r="N13141" t="s">
        <v>41249</v>
      </c>
      <c r="O13141" t="s">
        <v>41250</v>
      </c>
      <c r="P13141">
        <v>0</v>
      </c>
      <c r="Q13141">
        <v>0</v>
      </c>
      <c r="R13141" t="s">
        <v>41272</v>
      </c>
      <c r="S13141" t="s">
        <v>42222</v>
      </c>
      <c r="T13141" t="s">
        <v>42914</v>
      </c>
      <c r="U13141" t="s">
        <v>53707</v>
      </c>
      <c r="W13141" t="s">
        <v>39037</v>
      </c>
      <c r="X13141" t="s">
        <v>41273</v>
      </c>
    </row>
    <row r="13142" spans="1:24">
      <c r="A13142">
        <f>HYPERLINK("https://www.philgeps.gov.ph/GEPSNONPILOT/Tender/SplashBidNoticeAbstractUI.aspx?menuIndex=3&amp;refID=7039252&amp;Result=3","7039252")</f>
        <v>0</v>
      </c>
      <c r="B13142" t="s">
        <v>1098</v>
      </c>
      <c r="C13142" t="s">
        <v>15975</v>
      </c>
      <c r="E13142" t="s">
        <v>16881</v>
      </c>
      <c r="F13142" t="s">
        <v>28669</v>
      </c>
      <c r="G13142" t="s">
        <v>28675</v>
      </c>
      <c r="H13142" t="s">
        <v>28686</v>
      </c>
      <c r="I13142" t="s">
        <v>28689</v>
      </c>
      <c r="J13142" t="s">
        <v>36829</v>
      </c>
      <c r="K13142" t="s">
        <v>37382</v>
      </c>
      <c r="M13142" t="s">
        <v>41159</v>
      </c>
      <c r="N13142" t="s">
        <v>41249</v>
      </c>
      <c r="O13142" t="s">
        <v>41250</v>
      </c>
      <c r="Q13142">
        <v>8</v>
      </c>
      <c r="R13142" t="s">
        <v>41272</v>
      </c>
      <c r="S13142" t="s">
        <v>42238</v>
      </c>
      <c r="T13142" t="s">
        <v>42767</v>
      </c>
      <c r="U13142" t="s">
        <v>53708</v>
      </c>
      <c r="W13142" t="s">
        <v>41159</v>
      </c>
      <c r="X13142" t="s">
        <v>41273</v>
      </c>
    </row>
    <row r="13143" spans="1:24">
      <c r="A13143">
        <f>HYPERLINK("https://www.philgeps.gov.ph/GEPSNONPILOT/Tender/SplashBidNoticeAbstractUI.aspx?menuIndex=3&amp;refID=7039298&amp;Result=3","7039298")</f>
        <v>0</v>
      </c>
      <c r="B13143" t="s">
        <v>2558</v>
      </c>
      <c r="C13143" t="s">
        <v>15976</v>
      </c>
      <c r="D13143" t="s">
        <v>16618</v>
      </c>
      <c r="E13143" t="s">
        <v>28062</v>
      </c>
      <c r="F13143" t="s">
        <v>28669</v>
      </c>
      <c r="G13143" t="s">
        <v>28675</v>
      </c>
      <c r="H13143" t="s">
        <v>28686</v>
      </c>
      <c r="I13143" t="s">
        <v>28689</v>
      </c>
      <c r="J13143" t="s">
        <v>31197</v>
      </c>
      <c r="K13143" t="s">
        <v>37220</v>
      </c>
      <c r="L13143" t="s">
        <v>2558</v>
      </c>
      <c r="M13143" t="s">
        <v>40832</v>
      </c>
      <c r="N13143" t="s">
        <v>41249</v>
      </c>
      <c r="O13143" t="s">
        <v>41250</v>
      </c>
      <c r="P13143">
        <v>0</v>
      </c>
      <c r="Q13143">
        <v>2</v>
      </c>
      <c r="R13143" t="s">
        <v>41272</v>
      </c>
      <c r="S13143" t="s">
        <v>42222</v>
      </c>
      <c r="T13143" t="s">
        <v>42910</v>
      </c>
      <c r="U13143" t="s">
        <v>53687</v>
      </c>
      <c r="W13143" t="s">
        <v>40832</v>
      </c>
      <c r="X13143" t="s">
        <v>41273</v>
      </c>
    </row>
    <row r="13144" spans="1:24">
      <c r="A13144">
        <f>HYPERLINK("https://www.philgeps.gov.ph/GEPSNONPILOT/Tender/SplashBidNoticeAbstractUI.aspx?menuIndex=3&amp;refID=7039883&amp;Result=3","7039883")</f>
        <v>0</v>
      </c>
      <c r="B13144" t="s">
        <v>132</v>
      </c>
      <c r="C13144" t="s">
        <v>15977</v>
      </c>
      <c r="E13144" t="s">
        <v>28063</v>
      </c>
      <c r="F13144" t="s">
        <v>28669</v>
      </c>
      <c r="G13144" t="s">
        <v>28675</v>
      </c>
      <c r="H13144" t="s">
        <v>9998</v>
      </c>
      <c r="I13144" t="s">
        <v>28717</v>
      </c>
      <c r="J13144" t="s">
        <v>36830</v>
      </c>
      <c r="K13144" t="s">
        <v>37227</v>
      </c>
      <c r="M13144" t="s">
        <v>40165</v>
      </c>
      <c r="N13144" t="s">
        <v>41249</v>
      </c>
      <c r="O13144" t="s">
        <v>41250</v>
      </c>
      <c r="P13144">
        <v>0</v>
      </c>
      <c r="Q13144">
        <v>8</v>
      </c>
      <c r="R13144" t="s">
        <v>41272</v>
      </c>
      <c r="S13144" t="s">
        <v>42222</v>
      </c>
      <c r="T13144" t="s">
        <v>42811</v>
      </c>
      <c r="U13144" t="s">
        <v>49783</v>
      </c>
      <c r="W13144" t="s">
        <v>40165</v>
      </c>
      <c r="X13144" t="s">
        <v>41273</v>
      </c>
    </row>
    <row r="13145" spans="1:24">
      <c r="A13145">
        <f>HYPERLINK("https://www.philgeps.gov.ph/GEPSNONPILOT/Tender/SplashBidNoticeAbstractUI.aspx?menuIndex=3&amp;refID=7038419&amp;Result=3","7038419")</f>
        <v>0</v>
      </c>
      <c r="B13145" t="s">
        <v>464</v>
      </c>
      <c r="C13145" t="s">
        <v>15978</v>
      </c>
      <c r="D13145" t="s">
        <v>16629</v>
      </c>
      <c r="E13145" t="s">
        <v>28064</v>
      </c>
      <c r="F13145" t="s">
        <v>28669</v>
      </c>
      <c r="G13145" t="s">
        <v>28675</v>
      </c>
      <c r="H13145" t="s">
        <v>9998</v>
      </c>
      <c r="I13145" t="s">
        <v>28690</v>
      </c>
      <c r="J13145" t="s">
        <v>28845</v>
      </c>
      <c r="K13145" t="s">
        <v>37227</v>
      </c>
      <c r="M13145" t="s">
        <v>37952</v>
      </c>
      <c r="N13145" t="s">
        <v>41249</v>
      </c>
      <c r="O13145" t="s">
        <v>41250</v>
      </c>
      <c r="P13145">
        <v>0</v>
      </c>
      <c r="Q13145">
        <v>5</v>
      </c>
      <c r="R13145" t="s">
        <v>41272</v>
      </c>
      <c r="S13145" t="s">
        <v>42222</v>
      </c>
      <c r="T13145" t="s">
        <v>42992</v>
      </c>
      <c r="U13145" t="s">
        <v>53709</v>
      </c>
      <c r="V13145" t="s">
        <v>55509</v>
      </c>
      <c r="W13145" t="s">
        <v>37952</v>
      </c>
      <c r="X13145" t="s">
        <v>41273</v>
      </c>
    </row>
    <row r="13146" spans="1:24">
      <c r="A13146">
        <f>HYPERLINK("https://www.philgeps.gov.ph/GEPSNONPILOT/Tender/SplashBidNoticeAbstractUI.aspx?menuIndex=3&amp;refID=7039216&amp;Result=3","7039216")</f>
        <v>0</v>
      </c>
      <c r="B13146" t="s">
        <v>2558</v>
      </c>
      <c r="C13146" t="s">
        <v>15979</v>
      </c>
      <c r="D13146" t="s">
        <v>16618</v>
      </c>
      <c r="E13146" t="s">
        <v>28065</v>
      </c>
      <c r="F13146" t="s">
        <v>28669</v>
      </c>
      <c r="G13146" t="s">
        <v>28675</v>
      </c>
      <c r="H13146" t="s">
        <v>28686</v>
      </c>
      <c r="I13146" t="s">
        <v>28689</v>
      </c>
      <c r="J13146" t="s">
        <v>36831</v>
      </c>
      <c r="K13146" t="s">
        <v>37215</v>
      </c>
      <c r="L13146" t="s">
        <v>2558</v>
      </c>
      <c r="M13146" t="s">
        <v>40832</v>
      </c>
      <c r="N13146" t="s">
        <v>41249</v>
      </c>
      <c r="O13146" t="s">
        <v>41250</v>
      </c>
      <c r="P13146">
        <v>0</v>
      </c>
      <c r="Q13146">
        <v>12</v>
      </c>
      <c r="R13146" t="s">
        <v>41272</v>
      </c>
      <c r="S13146" t="s">
        <v>42222</v>
      </c>
      <c r="T13146" t="s">
        <v>42910</v>
      </c>
      <c r="U13146" t="s">
        <v>53687</v>
      </c>
      <c r="W13146" t="s">
        <v>40832</v>
      </c>
      <c r="X13146" t="s">
        <v>41273</v>
      </c>
    </row>
    <row r="13147" spans="1:24">
      <c r="A13147">
        <f>HYPERLINK("https://www.philgeps.gov.ph/GEPSNONPILOT/Tender/SplashBidNoticeAbstractUI.aspx?menuIndex=3&amp;refID=7039721&amp;Result=3","7039721")</f>
        <v>0</v>
      </c>
      <c r="B13147" t="s">
        <v>3317</v>
      </c>
      <c r="C13147" t="s">
        <v>15980</v>
      </c>
      <c r="D13147" t="s">
        <v>16616</v>
      </c>
      <c r="E13147" t="s">
        <v>28066</v>
      </c>
      <c r="F13147" t="s">
        <v>28669</v>
      </c>
      <c r="G13147" t="s">
        <v>28675</v>
      </c>
      <c r="H13147" t="s">
        <v>9998</v>
      </c>
      <c r="I13147" t="s">
        <v>28721</v>
      </c>
      <c r="J13147" t="s">
        <v>29003</v>
      </c>
      <c r="K13147" t="s">
        <v>37210</v>
      </c>
      <c r="M13147" t="s">
        <v>41157</v>
      </c>
      <c r="N13147" t="s">
        <v>41249</v>
      </c>
      <c r="O13147" t="s">
        <v>41250</v>
      </c>
      <c r="P13147">
        <v>0</v>
      </c>
      <c r="Q13147">
        <v>4</v>
      </c>
      <c r="R13147" t="s">
        <v>41272</v>
      </c>
      <c r="S13147" t="s">
        <v>42222</v>
      </c>
      <c r="T13147" t="s">
        <v>42784</v>
      </c>
      <c r="U13147" t="s">
        <v>53704</v>
      </c>
      <c r="W13147" t="s">
        <v>56034</v>
      </c>
      <c r="X13147" t="s">
        <v>41273</v>
      </c>
    </row>
    <row r="13148" spans="1:24">
      <c r="A13148">
        <f>HYPERLINK("https://www.philgeps.gov.ph/GEPSNONPILOT/Tender/SplashBidNoticeAbstractUI.aspx?menuIndex=3&amp;refID=7039359&amp;Result=3","7039359")</f>
        <v>0</v>
      </c>
      <c r="B13148" t="s">
        <v>3319</v>
      </c>
      <c r="C13148" t="s">
        <v>15981</v>
      </c>
      <c r="D13148" t="s">
        <v>16686</v>
      </c>
      <c r="E13148" t="s">
        <v>28067</v>
      </c>
      <c r="F13148" t="s">
        <v>28669</v>
      </c>
      <c r="G13148" t="s">
        <v>28675</v>
      </c>
      <c r="H13148" t="s">
        <v>9998</v>
      </c>
      <c r="I13148" t="s">
        <v>28756</v>
      </c>
      <c r="J13148" t="s">
        <v>36832</v>
      </c>
      <c r="K13148" t="s">
        <v>37205</v>
      </c>
      <c r="M13148" t="s">
        <v>41160</v>
      </c>
      <c r="N13148" t="s">
        <v>41249</v>
      </c>
      <c r="O13148" t="s">
        <v>41250</v>
      </c>
      <c r="P13148">
        <v>0</v>
      </c>
      <c r="Q13148">
        <v>1</v>
      </c>
      <c r="R13148" t="s">
        <v>41272</v>
      </c>
      <c r="S13148" t="s">
        <v>42222</v>
      </c>
      <c r="T13148" t="s">
        <v>42670</v>
      </c>
      <c r="U13148" t="s">
        <v>53710</v>
      </c>
      <c r="W13148" t="s">
        <v>41160</v>
      </c>
      <c r="X13148" t="s">
        <v>41273</v>
      </c>
    </row>
    <row r="13149" spans="1:24">
      <c r="A13149">
        <f>HYPERLINK("https://www.philgeps.gov.ph/GEPSNONPILOT/Tender/SplashBidNoticeAbstractUI.aspx?menuIndex=3&amp;refID=7039719&amp;Result=3","7039719")</f>
        <v>0</v>
      </c>
      <c r="B13149" t="s">
        <v>2149</v>
      </c>
      <c r="C13149" t="s">
        <v>15982</v>
      </c>
      <c r="D13149" t="s">
        <v>16676</v>
      </c>
      <c r="E13149" t="s">
        <v>28068</v>
      </c>
      <c r="F13149" t="s">
        <v>28669</v>
      </c>
      <c r="G13149" t="s">
        <v>28675</v>
      </c>
      <c r="H13149" t="s">
        <v>9998</v>
      </c>
      <c r="I13149" t="s">
        <v>11593</v>
      </c>
      <c r="J13149" t="s">
        <v>36833</v>
      </c>
      <c r="K13149" t="s">
        <v>37227</v>
      </c>
      <c r="M13149" t="s">
        <v>39794</v>
      </c>
      <c r="N13149" t="s">
        <v>41249</v>
      </c>
      <c r="O13149" t="s">
        <v>41250</v>
      </c>
      <c r="P13149">
        <v>0</v>
      </c>
      <c r="Q13149">
        <v>3</v>
      </c>
      <c r="R13149" t="s">
        <v>41272</v>
      </c>
      <c r="S13149" t="s">
        <v>42222</v>
      </c>
      <c r="T13149" t="s">
        <v>42743</v>
      </c>
      <c r="U13149" t="s">
        <v>53711</v>
      </c>
      <c r="W13149" t="s">
        <v>39794</v>
      </c>
      <c r="X13149" t="s">
        <v>41273</v>
      </c>
    </row>
    <row r="13150" spans="1:24">
      <c r="A13150">
        <f>HYPERLINK("https://www.philgeps.gov.ph/GEPSNONPILOT/Tender/SplashBidNoticeAbstractUI.aspx?menuIndex=3&amp;refID=7039712&amp;Result=3","7039712")</f>
        <v>0</v>
      </c>
      <c r="B13150" t="s">
        <v>2721</v>
      </c>
      <c r="C13150" t="s">
        <v>15983</v>
      </c>
      <c r="D13150" t="s">
        <v>16622</v>
      </c>
      <c r="E13150" t="s">
        <v>28069</v>
      </c>
      <c r="F13150" t="s">
        <v>28669</v>
      </c>
      <c r="G13150" t="s">
        <v>28675</v>
      </c>
      <c r="H13150" t="s">
        <v>28686</v>
      </c>
      <c r="I13150" t="s">
        <v>28689</v>
      </c>
      <c r="J13150" t="s">
        <v>36834</v>
      </c>
      <c r="K13150" t="s">
        <v>37209</v>
      </c>
      <c r="M13150" t="s">
        <v>40434</v>
      </c>
      <c r="N13150" t="s">
        <v>41249</v>
      </c>
      <c r="O13150" t="s">
        <v>41250</v>
      </c>
      <c r="P13150">
        <v>0</v>
      </c>
      <c r="Q13150">
        <v>0</v>
      </c>
      <c r="R13150" t="s">
        <v>41272</v>
      </c>
      <c r="S13150" t="s">
        <v>42222</v>
      </c>
      <c r="T13150" t="s">
        <v>42728</v>
      </c>
      <c r="U13150" t="s">
        <v>53712</v>
      </c>
      <c r="W13150" t="s">
        <v>40434</v>
      </c>
      <c r="X13150" t="s">
        <v>41273</v>
      </c>
    </row>
    <row r="13151" spans="1:24">
      <c r="A13151">
        <f>HYPERLINK("https://www.philgeps.gov.ph/GEPSNONPILOT/Tender/SplashBidNoticeAbstractUI.aspx?menuIndex=3&amp;refID=7039797&amp;Result=3","7039797")</f>
        <v>0</v>
      </c>
      <c r="B13151" t="s">
        <v>1469</v>
      </c>
      <c r="C13151" t="s">
        <v>15984</v>
      </c>
      <c r="D13151" t="s">
        <v>16659</v>
      </c>
      <c r="E13151" t="s">
        <v>28070</v>
      </c>
      <c r="F13151" t="s">
        <v>28669</v>
      </c>
      <c r="G13151" t="s">
        <v>28675</v>
      </c>
      <c r="H13151" t="s">
        <v>9998</v>
      </c>
      <c r="I13151" t="s">
        <v>28690</v>
      </c>
      <c r="J13151" t="s">
        <v>36835</v>
      </c>
      <c r="K13151" t="s">
        <v>37206</v>
      </c>
      <c r="M13151" t="s">
        <v>39037</v>
      </c>
      <c r="N13151" t="s">
        <v>41249</v>
      </c>
      <c r="O13151" t="s">
        <v>41250</v>
      </c>
      <c r="P13151">
        <v>0</v>
      </c>
      <c r="Q13151">
        <v>1</v>
      </c>
      <c r="R13151" t="s">
        <v>41272</v>
      </c>
      <c r="S13151" t="s">
        <v>42222</v>
      </c>
      <c r="T13151" t="s">
        <v>42767</v>
      </c>
      <c r="U13151" t="s">
        <v>53713</v>
      </c>
      <c r="W13151" t="s">
        <v>39037</v>
      </c>
      <c r="X13151" t="s">
        <v>41273</v>
      </c>
    </row>
    <row r="13152" spans="1:24">
      <c r="A13152">
        <f>HYPERLINK("https://www.philgeps.gov.ph/GEPSNONPILOT/Tender/SplashBidNoticeAbstractUI.aspx?menuIndex=3&amp;refID=7039621&amp;Result=3","7039621")</f>
        <v>0</v>
      </c>
      <c r="B13152" t="s">
        <v>2149</v>
      </c>
      <c r="C13152" t="s">
        <v>15985</v>
      </c>
      <c r="D13152" t="s">
        <v>16676</v>
      </c>
      <c r="E13152" t="s">
        <v>28071</v>
      </c>
      <c r="F13152" t="s">
        <v>28669</v>
      </c>
      <c r="G13152" t="s">
        <v>28675</v>
      </c>
      <c r="H13152" t="s">
        <v>9998</v>
      </c>
      <c r="I13152" t="s">
        <v>28699</v>
      </c>
      <c r="J13152" t="s">
        <v>36836</v>
      </c>
      <c r="K13152" t="s">
        <v>37227</v>
      </c>
      <c r="M13152" t="s">
        <v>39794</v>
      </c>
      <c r="N13152" t="s">
        <v>41249</v>
      </c>
      <c r="O13152" t="s">
        <v>41250</v>
      </c>
      <c r="P13152">
        <v>0</v>
      </c>
      <c r="Q13152">
        <v>4</v>
      </c>
      <c r="R13152" t="s">
        <v>41272</v>
      </c>
      <c r="S13152" t="s">
        <v>42222</v>
      </c>
      <c r="T13152" t="s">
        <v>42743</v>
      </c>
      <c r="U13152" t="s">
        <v>53714</v>
      </c>
      <c r="W13152" t="s">
        <v>39794</v>
      </c>
      <c r="X13152" t="s">
        <v>41273</v>
      </c>
    </row>
    <row r="13153" spans="1:24">
      <c r="A13153">
        <f>HYPERLINK("https://www.philgeps.gov.ph/GEPSNONPILOT/Tender/SplashBidNoticeAbstractUI.aspx?menuIndex=3&amp;refID=7039552&amp;Result=3","7039552")</f>
        <v>0</v>
      </c>
      <c r="B13153" t="s">
        <v>1633</v>
      </c>
      <c r="C13153" t="s">
        <v>15986</v>
      </c>
      <c r="D13153" t="s">
        <v>16608</v>
      </c>
      <c r="E13153" t="s">
        <v>28072</v>
      </c>
      <c r="F13153" t="s">
        <v>28669</v>
      </c>
      <c r="G13153" t="s">
        <v>28678</v>
      </c>
      <c r="H13153" t="s">
        <v>9998</v>
      </c>
      <c r="I13153" t="s">
        <v>28731</v>
      </c>
      <c r="J13153" t="s">
        <v>36837</v>
      </c>
      <c r="K13153" t="s">
        <v>37210</v>
      </c>
      <c r="M13153" t="s">
        <v>39580</v>
      </c>
      <c r="N13153" t="s">
        <v>41249</v>
      </c>
      <c r="O13153" t="s">
        <v>41250</v>
      </c>
      <c r="Q13153">
        <v>10</v>
      </c>
      <c r="R13153" t="s">
        <v>41272</v>
      </c>
      <c r="S13153" t="s">
        <v>42239</v>
      </c>
      <c r="T13153" t="s">
        <v>42767</v>
      </c>
      <c r="U13153" t="s">
        <v>47958</v>
      </c>
      <c r="V13153" t="s">
        <v>55192</v>
      </c>
      <c r="W13153" t="s">
        <v>39580</v>
      </c>
      <c r="X13153" t="s">
        <v>41273</v>
      </c>
    </row>
    <row r="13154" spans="1:24">
      <c r="A13154">
        <f>HYPERLINK("https://www.philgeps.gov.ph/GEPSNONPILOT/Tender/SplashBidNoticeAbstractUI.aspx?menuIndex=3&amp;refID=7039726&amp;Result=3","7039726")</f>
        <v>0</v>
      </c>
      <c r="B13154" t="s">
        <v>1349</v>
      </c>
      <c r="C13154" t="s">
        <v>15987</v>
      </c>
      <c r="D13154" t="s">
        <v>16648</v>
      </c>
      <c r="E13154" t="s">
        <v>28073</v>
      </c>
      <c r="F13154" t="s">
        <v>28669</v>
      </c>
      <c r="G13154" t="s">
        <v>28675</v>
      </c>
      <c r="H13154" t="s">
        <v>9998</v>
      </c>
      <c r="I13154" t="s">
        <v>28697</v>
      </c>
      <c r="J13154" t="s">
        <v>31640</v>
      </c>
      <c r="K13154" t="s">
        <v>37206</v>
      </c>
      <c r="M13154" t="s">
        <v>38904</v>
      </c>
      <c r="N13154" t="s">
        <v>41249</v>
      </c>
      <c r="O13154" t="s">
        <v>41250</v>
      </c>
      <c r="Q13154">
        <v>5</v>
      </c>
      <c r="R13154" t="s">
        <v>41272</v>
      </c>
      <c r="S13154" t="s">
        <v>42240</v>
      </c>
      <c r="T13154" t="s">
        <v>42679</v>
      </c>
      <c r="U13154" t="s">
        <v>53715</v>
      </c>
      <c r="W13154" t="s">
        <v>38904</v>
      </c>
      <c r="X13154" t="s">
        <v>41273</v>
      </c>
    </row>
    <row r="13155" spans="1:24">
      <c r="A13155">
        <f>HYPERLINK("https://www.philgeps.gov.ph/GEPSNONPILOT/Tender/SplashBidNoticeAbstractUI.aspx?menuIndex=3&amp;refID=7039885&amp;Result=3","7039885")</f>
        <v>0</v>
      </c>
      <c r="B13155" t="s">
        <v>1535</v>
      </c>
      <c r="C13155" t="s">
        <v>15988</v>
      </c>
      <c r="D13155" t="s">
        <v>16648</v>
      </c>
      <c r="E13155" t="s">
        <v>28074</v>
      </c>
      <c r="F13155" t="s">
        <v>28669</v>
      </c>
      <c r="G13155" t="s">
        <v>28675</v>
      </c>
      <c r="H13155" t="s">
        <v>9998</v>
      </c>
      <c r="I13155" t="s">
        <v>7352</v>
      </c>
      <c r="J13155" t="s">
        <v>36838</v>
      </c>
      <c r="K13155" t="s">
        <v>37209</v>
      </c>
      <c r="M13155" t="s">
        <v>39110</v>
      </c>
      <c r="N13155" t="s">
        <v>41249</v>
      </c>
      <c r="O13155" t="s">
        <v>41250</v>
      </c>
      <c r="P13155">
        <v>0</v>
      </c>
      <c r="Q13155">
        <v>0</v>
      </c>
      <c r="R13155" t="s">
        <v>41272</v>
      </c>
      <c r="S13155" t="s">
        <v>42222</v>
      </c>
      <c r="T13155" t="s">
        <v>42679</v>
      </c>
      <c r="U13155" t="s">
        <v>53716</v>
      </c>
      <c r="W13155" t="s">
        <v>39110</v>
      </c>
      <c r="X13155" t="s">
        <v>41273</v>
      </c>
    </row>
    <row r="13156" spans="1:24">
      <c r="A13156">
        <f>HYPERLINK("https://www.philgeps.gov.ph/GEPSNONPILOT/Tender/SplashBidNoticeAbstractUI.aspx?menuIndex=3&amp;refID=7039505&amp;Result=3","7039505")</f>
        <v>0</v>
      </c>
      <c r="B13156" t="s">
        <v>1468</v>
      </c>
      <c r="C13156" t="s">
        <v>15989</v>
      </c>
      <c r="D13156" t="s">
        <v>16611</v>
      </c>
      <c r="E13156" t="s">
        <v>28075</v>
      </c>
      <c r="F13156" t="s">
        <v>28669</v>
      </c>
      <c r="G13156" t="s">
        <v>28675</v>
      </c>
      <c r="H13156" t="s">
        <v>28686</v>
      </c>
      <c r="I13156" t="s">
        <v>28689</v>
      </c>
      <c r="J13156" t="s">
        <v>36839</v>
      </c>
      <c r="K13156" t="s">
        <v>37211</v>
      </c>
      <c r="M13156" t="s">
        <v>39036</v>
      </c>
      <c r="N13156" t="s">
        <v>41249</v>
      </c>
      <c r="O13156" t="s">
        <v>41250</v>
      </c>
      <c r="P13156">
        <v>0</v>
      </c>
      <c r="Q13156">
        <v>5</v>
      </c>
      <c r="R13156" t="s">
        <v>41272</v>
      </c>
      <c r="S13156" t="s">
        <v>42222</v>
      </c>
      <c r="T13156" t="s">
        <v>42671</v>
      </c>
      <c r="U13156" t="s">
        <v>53717</v>
      </c>
      <c r="W13156" t="s">
        <v>39036</v>
      </c>
      <c r="X13156" t="s">
        <v>41273</v>
      </c>
    </row>
    <row r="13157" spans="1:24">
      <c r="A13157">
        <f>HYPERLINK("https://www.philgeps.gov.ph/GEPSNONPILOT/Tender/SplashBidNoticeAbstractUI.aspx?menuIndex=3&amp;refID=7039493&amp;Result=3","7039493")</f>
        <v>0</v>
      </c>
      <c r="B13157" t="s">
        <v>2736</v>
      </c>
      <c r="C13157" t="s">
        <v>15990</v>
      </c>
      <c r="D13157" t="s">
        <v>16627</v>
      </c>
      <c r="E13157" t="s">
        <v>28076</v>
      </c>
      <c r="F13157" t="s">
        <v>28669</v>
      </c>
      <c r="G13157" t="s">
        <v>28675</v>
      </c>
      <c r="H13157" t="s">
        <v>9998</v>
      </c>
      <c r="I13157" t="s">
        <v>7352</v>
      </c>
      <c r="J13157" t="s">
        <v>36840</v>
      </c>
      <c r="K13157" t="s">
        <v>37234</v>
      </c>
      <c r="M13157" t="s">
        <v>40451</v>
      </c>
      <c r="N13157" t="s">
        <v>41249</v>
      </c>
      <c r="O13157" t="s">
        <v>41250</v>
      </c>
      <c r="Q13157">
        <v>3</v>
      </c>
      <c r="R13157" t="s">
        <v>41272</v>
      </c>
      <c r="S13157" t="s">
        <v>42241</v>
      </c>
      <c r="T13157" t="s">
        <v>42727</v>
      </c>
      <c r="U13157" t="s">
        <v>53718</v>
      </c>
      <c r="W13157" t="s">
        <v>40451</v>
      </c>
      <c r="X13157" t="s">
        <v>41273</v>
      </c>
    </row>
    <row r="13158" spans="1:24">
      <c r="A13158">
        <f>HYPERLINK("https://www.philgeps.gov.ph/GEPSNONPILOT/Tender/SplashBidNoticeAbstractUI.aspx?menuIndex=3&amp;refID=7039811&amp;Result=3","7039811")</f>
        <v>0</v>
      </c>
      <c r="B13158" t="s">
        <v>3320</v>
      </c>
      <c r="C13158" t="s">
        <v>15991</v>
      </c>
      <c r="D13158" t="s">
        <v>16621</v>
      </c>
      <c r="E13158" t="s">
        <v>28077</v>
      </c>
      <c r="F13158" t="s">
        <v>28669</v>
      </c>
      <c r="G13158" t="s">
        <v>28675</v>
      </c>
      <c r="H13158" t="s">
        <v>9998</v>
      </c>
      <c r="I13158" t="s">
        <v>28689</v>
      </c>
      <c r="J13158" t="s">
        <v>36841</v>
      </c>
      <c r="K13158" t="s">
        <v>37206</v>
      </c>
      <c r="L13158" t="s">
        <v>3320</v>
      </c>
      <c r="M13158" t="s">
        <v>41161</v>
      </c>
      <c r="N13158" t="s">
        <v>41249</v>
      </c>
      <c r="O13158" t="s">
        <v>41250</v>
      </c>
      <c r="P13158">
        <v>0</v>
      </c>
      <c r="Q13158">
        <v>4</v>
      </c>
      <c r="R13158" t="s">
        <v>41272</v>
      </c>
      <c r="S13158" t="s">
        <v>42222</v>
      </c>
      <c r="T13158" t="s">
        <v>42728</v>
      </c>
      <c r="U13158" t="s">
        <v>53719</v>
      </c>
      <c r="W13158" t="s">
        <v>41161</v>
      </c>
      <c r="X13158" t="s">
        <v>41273</v>
      </c>
    </row>
    <row r="13159" spans="1:24">
      <c r="A13159">
        <f>HYPERLINK("https://www.philgeps.gov.ph/GEPSNONPILOT/Tender/SplashBidNoticeAbstractUI.aspx?menuIndex=3&amp;refID=7039417&amp;Result=3","7039417")</f>
        <v>0</v>
      </c>
      <c r="B13159" t="s">
        <v>3319</v>
      </c>
      <c r="C13159" t="s">
        <v>15992</v>
      </c>
      <c r="D13159" t="s">
        <v>16643</v>
      </c>
      <c r="E13159" t="s">
        <v>28078</v>
      </c>
      <c r="F13159" t="s">
        <v>28669</v>
      </c>
      <c r="G13159" t="s">
        <v>28675</v>
      </c>
      <c r="H13159" t="s">
        <v>9998</v>
      </c>
      <c r="I13159" t="s">
        <v>28756</v>
      </c>
      <c r="J13159" t="s">
        <v>36842</v>
      </c>
      <c r="K13159" t="s">
        <v>37205</v>
      </c>
      <c r="M13159" t="s">
        <v>41160</v>
      </c>
      <c r="N13159" t="s">
        <v>41249</v>
      </c>
      <c r="O13159" t="s">
        <v>41250</v>
      </c>
      <c r="P13159">
        <v>0</v>
      </c>
      <c r="Q13159">
        <v>1</v>
      </c>
      <c r="R13159" t="s">
        <v>41272</v>
      </c>
      <c r="S13159" t="s">
        <v>42222</v>
      </c>
      <c r="T13159" t="s">
        <v>42670</v>
      </c>
      <c r="U13159" t="s">
        <v>53720</v>
      </c>
      <c r="W13159" t="s">
        <v>41160</v>
      </c>
      <c r="X13159" t="s">
        <v>41273</v>
      </c>
    </row>
    <row r="13160" spans="1:24">
      <c r="A13160">
        <f>HYPERLINK("https://www.philgeps.gov.ph/GEPSNONPILOT/Tender/SplashBidNoticeAbstractUI.aspx?menuIndex=3&amp;refID=7039480&amp;Result=3","7039480")</f>
        <v>0</v>
      </c>
      <c r="B13160" t="s">
        <v>3319</v>
      </c>
      <c r="C13160" t="s">
        <v>15993</v>
      </c>
      <c r="D13160" t="s">
        <v>16643</v>
      </c>
      <c r="E13160" t="s">
        <v>28079</v>
      </c>
      <c r="F13160" t="s">
        <v>28669</v>
      </c>
      <c r="G13160" t="s">
        <v>28675</v>
      </c>
      <c r="H13160" t="s">
        <v>9998</v>
      </c>
      <c r="I13160" t="s">
        <v>28717</v>
      </c>
      <c r="J13160" t="s">
        <v>36843</v>
      </c>
      <c r="K13160" t="s">
        <v>37206</v>
      </c>
      <c r="M13160" t="s">
        <v>41160</v>
      </c>
      <c r="N13160" t="s">
        <v>41249</v>
      </c>
      <c r="O13160" t="s">
        <v>41250</v>
      </c>
      <c r="Q13160">
        <v>12</v>
      </c>
      <c r="R13160" t="s">
        <v>41272</v>
      </c>
      <c r="S13160" t="s">
        <v>42242</v>
      </c>
      <c r="T13160" t="s">
        <v>42670</v>
      </c>
      <c r="U13160" t="s">
        <v>53721</v>
      </c>
      <c r="W13160" t="s">
        <v>41160</v>
      </c>
      <c r="X13160" t="s">
        <v>41273</v>
      </c>
    </row>
    <row r="13161" spans="1:24">
      <c r="A13161">
        <f>HYPERLINK("https://www.philgeps.gov.ph/GEPSNONPILOT/Tender/SplashBidNoticeAbstractUI.aspx?menuIndex=3&amp;refID=7039409&amp;Result=3","7039409")</f>
        <v>0</v>
      </c>
      <c r="B13161" t="s">
        <v>1279</v>
      </c>
      <c r="C13161" t="s">
        <v>15994</v>
      </c>
      <c r="D13161" t="s">
        <v>16646</v>
      </c>
      <c r="E13161" t="s">
        <v>28080</v>
      </c>
      <c r="F13161" t="s">
        <v>28671</v>
      </c>
      <c r="G13161" t="s">
        <v>28675</v>
      </c>
      <c r="H13161" t="s">
        <v>9998</v>
      </c>
      <c r="I13161" t="s">
        <v>28706</v>
      </c>
      <c r="J13161" t="s">
        <v>29053</v>
      </c>
      <c r="K13161" t="s">
        <v>37213</v>
      </c>
      <c r="M13161" t="s">
        <v>38829</v>
      </c>
      <c r="N13161" t="s">
        <v>41249</v>
      </c>
      <c r="O13161" t="s">
        <v>41250</v>
      </c>
      <c r="Q13161">
        <v>3</v>
      </c>
      <c r="R13161" t="s">
        <v>41272</v>
      </c>
      <c r="S13161" t="s">
        <v>42243</v>
      </c>
      <c r="T13161" t="s">
        <v>42774</v>
      </c>
      <c r="U13161" t="s">
        <v>53722</v>
      </c>
      <c r="W13161" t="s">
        <v>38829</v>
      </c>
      <c r="X13161" t="s">
        <v>41273</v>
      </c>
    </row>
    <row r="13162" spans="1:24">
      <c r="A13162">
        <f>HYPERLINK("https://www.philgeps.gov.ph/GEPSNONPILOT/Tender/SplashBidNoticeAbstractUI.aspx?menuIndex=3&amp;refID=7039202&amp;Result=3","7039202")</f>
        <v>0</v>
      </c>
      <c r="B13162" t="s">
        <v>987</v>
      </c>
      <c r="C13162" t="s">
        <v>15995</v>
      </c>
      <c r="D13162" t="s">
        <v>16616</v>
      </c>
      <c r="E13162" t="s">
        <v>17903</v>
      </c>
      <c r="F13162" t="s">
        <v>28669</v>
      </c>
      <c r="G13162" t="s">
        <v>28675</v>
      </c>
      <c r="H13162" t="s">
        <v>9998</v>
      </c>
      <c r="I13162" t="s">
        <v>7352</v>
      </c>
      <c r="J13162" t="s">
        <v>33020</v>
      </c>
      <c r="K13162" t="s">
        <v>37205</v>
      </c>
      <c r="M13162" t="s">
        <v>38512</v>
      </c>
      <c r="N13162" t="s">
        <v>41249</v>
      </c>
      <c r="O13162" t="s">
        <v>41250</v>
      </c>
      <c r="P13162">
        <v>0</v>
      </c>
      <c r="Q13162">
        <v>1</v>
      </c>
      <c r="R13162" t="s">
        <v>41272</v>
      </c>
      <c r="S13162" t="s">
        <v>42222</v>
      </c>
      <c r="T13162" t="s">
        <v>42884</v>
      </c>
      <c r="U13162" t="s">
        <v>45235</v>
      </c>
      <c r="W13162" t="s">
        <v>38512</v>
      </c>
      <c r="X13162" t="s">
        <v>41273</v>
      </c>
    </row>
    <row r="13163" spans="1:24">
      <c r="A13163">
        <f>HYPERLINK("https://www.philgeps.gov.ph/GEPSNONPILOT/Tender/SplashBidNoticeAbstractUI.aspx?menuIndex=3&amp;refID=7039600&amp;Result=3","7039600")</f>
        <v>0</v>
      </c>
      <c r="B13163" t="s">
        <v>1469</v>
      </c>
      <c r="C13163" t="s">
        <v>15996</v>
      </c>
      <c r="D13163" t="s">
        <v>16659</v>
      </c>
      <c r="E13163" t="s">
        <v>23692</v>
      </c>
      <c r="F13163" t="s">
        <v>28669</v>
      </c>
      <c r="G13163" t="s">
        <v>28675</v>
      </c>
      <c r="H13163" t="s">
        <v>28686</v>
      </c>
      <c r="I13163" t="s">
        <v>28689</v>
      </c>
      <c r="J13163" t="s">
        <v>28924</v>
      </c>
      <c r="K13163" t="s">
        <v>37211</v>
      </c>
      <c r="M13163" t="s">
        <v>39037</v>
      </c>
      <c r="N13163" t="s">
        <v>41249</v>
      </c>
      <c r="O13163" t="s">
        <v>41250</v>
      </c>
      <c r="P13163">
        <v>0</v>
      </c>
      <c r="Q13163">
        <v>2</v>
      </c>
      <c r="R13163" t="s">
        <v>41272</v>
      </c>
      <c r="S13163" t="s">
        <v>42222</v>
      </c>
      <c r="T13163" t="s">
        <v>43081</v>
      </c>
      <c r="U13163" t="s">
        <v>53723</v>
      </c>
      <c r="W13163" t="s">
        <v>39037</v>
      </c>
      <c r="X13163" t="s">
        <v>41273</v>
      </c>
    </row>
    <row r="13164" spans="1:24">
      <c r="A13164">
        <f>HYPERLINK("https://www.philgeps.gov.ph/GEPSNONPILOT/Tender/SplashBidNoticeAbstractUI.aspx?menuIndex=3&amp;refID=7039192&amp;Result=3","7039192")</f>
        <v>0</v>
      </c>
      <c r="B13164" t="s">
        <v>2558</v>
      </c>
      <c r="C13164" t="s">
        <v>15997</v>
      </c>
      <c r="D13164" t="s">
        <v>16618</v>
      </c>
      <c r="E13164" t="s">
        <v>28081</v>
      </c>
      <c r="F13164" t="s">
        <v>28669</v>
      </c>
      <c r="G13164" t="s">
        <v>28675</v>
      </c>
      <c r="H13164" t="s">
        <v>28686</v>
      </c>
      <c r="I13164" t="s">
        <v>28689</v>
      </c>
      <c r="J13164" t="s">
        <v>30122</v>
      </c>
      <c r="K13164" t="s">
        <v>37213</v>
      </c>
      <c r="L13164" t="s">
        <v>2558</v>
      </c>
      <c r="M13164" t="s">
        <v>40832</v>
      </c>
      <c r="N13164" t="s">
        <v>41249</v>
      </c>
      <c r="O13164" t="s">
        <v>41250</v>
      </c>
      <c r="P13164">
        <v>0</v>
      </c>
      <c r="Q13164">
        <v>17</v>
      </c>
      <c r="R13164" t="s">
        <v>41272</v>
      </c>
      <c r="S13164" t="s">
        <v>42222</v>
      </c>
      <c r="T13164" t="s">
        <v>42910</v>
      </c>
      <c r="U13164" t="s">
        <v>53687</v>
      </c>
      <c r="W13164" t="s">
        <v>40832</v>
      </c>
      <c r="X13164" t="s">
        <v>41273</v>
      </c>
    </row>
    <row r="13165" spans="1:24">
      <c r="A13165">
        <f>HYPERLINK("https://www.philgeps.gov.ph/GEPSNONPILOT/Tender/SplashBidNoticeAbstractUI.aspx?menuIndex=3&amp;refID=7039876&amp;Result=3","7039876")</f>
        <v>0</v>
      </c>
      <c r="B13165" t="s">
        <v>1469</v>
      </c>
      <c r="C13165" t="s">
        <v>14116</v>
      </c>
      <c r="D13165" t="s">
        <v>16659</v>
      </c>
      <c r="E13165" t="s">
        <v>28082</v>
      </c>
      <c r="F13165" t="s">
        <v>28669</v>
      </c>
      <c r="G13165" t="s">
        <v>28675</v>
      </c>
      <c r="H13165" t="s">
        <v>9998</v>
      </c>
      <c r="I13165" t="s">
        <v>28690</v>
      </c>
      <c r="J13165" t="s">
        <v>36844</v>
      </c>
      <c r="K13165" t="s">
        <v>37206</v>
      </c>
      <c r="M13165" t="s">
        <v>39037</v>
      </c>
      <c r="N13165" t="s">
        <v>41249</v>
      </c>
      <c r="O13165" t="s">
        <v>41250</v>
      </c>
      <c r="P13165">
        <v>0</v>
      </c>
      <c r="Q13165">
        <v>5</v>
      </c>
      <c r="R13165" t="s">
        <v>41272</v>
      </c>
      <c r="S13165" t="s">
        <v>42222</v>
      </c>
      <c r="T13165" t="s">
        <v>43002</v>
      </c>
      <c r="U13165" t="s">
        <v>53724</v>
      </c>
      <c r="W13165" t="s">
        <v>39037</v>
      </c>
      <c r="X13165" t="s">
        <v>41273</v>
      </c>
    </row>
    <row r="13166" spans="1:24">
      <c r="A13166">
        <f>HYPERLINK("https://www.philgeps.gov.ph/GEPSNONPILOT/Tender/SplashBidNoticeAbstractUI.aspx?menuIndex=3&amp;refID=7038943&amp;Result=3","7038943")</f>
        <v>0</v>
      </c>
      <c r="B13166" t="s">
        <v>349</v>
      </c>
      <c r="C13166" t="s">
        <v>15998</v>
      </c>
      <c r="D13166" t="s">
        <v>16675</v>
      </c>
      <c r="E13166" t="s">
        <v>28083</v>
      </c>
      <c r="F13166" t="s">
        <v>28669</v>
      </c>
      <c r="G13166" t="s">
        <v>28675</v>
      </c>
      <c r="H13166" t="s">
        <v>9998</v>
      </c>
      <c r="I13166" t="s">
        <v>11593</v>
      </c>
      <c r="J13166" t="s">
        <v>31229</v>
      </c>
      <c r="K13166" t="s">
        <v>37205</v>
      </c>
      <c r="M13166" t="s">
        <v>37829</v>
      </c>
      <c r="N13166" t="s">
        <v>41249</v>
      </c>
      <c r="O13166" t="s">
        <v>41250</v>
      </c>
      <c r="Q13166">
        <v>4</v>
      </c>
      <c r="R13166" t="s">
        <v>41272</v>
      </c>
      <c r="S13166" t="s">
        <v>42244</v>
      </c>
      <c r="T13166" t="s">
        <v>42728</v>
      </c>
      <c r="U13166" t="s">
        <v>53725</v>
      </c>
      <c r="W13166" t="s">
        <v>37829</v>
      </c>
      <c r="X13166" t="s">
        <v>41273</v>
      </c>
    </row>
    <row r="13167" spans="1:24">
      <c r="A13167">
        <f>HYPERLINK("https://www.philgeps.gov.ph/GEPSNONPILOT/Tender/SplashBidNoticeAbstractUI.aspx?menuIndex=3&amp;refID=7039661&amp;Result=3","7039661")</f>
        <v>0</v>
      </c>
      <c r="B13167" t="s">
        <v>1013</v>
      </c>
      <c r="C13167" t="s">
        <v>15999</v>
      </c>
      <c r="D13167" t="s">
        <v>16628</v>
      </c>
      <c r="E13167" t="s">
        <v>28084</v>
      </c>
      <c r="F13167" t="s">
        <v>28669</v>
      </c>
      <c r="G13167" t="s">
        <v>28675</v>
      </c>
      <c r="H13167" t="s">
        <v>9998</v>
      </c>
      <c r="I13167" t="s">
        <v>28687</v>
      </c>
      <c r="J13167" t="s">
        <v>32449</v>
      </c>
      <c r="K13167" t="s">
        <v>37206</v>
      </c>
      <c r="M13167" t="s">
        <v>38543</v>
      </c>
      <c r="N13167" t="s">
        <v>41249</v>
      </c>
      <c r="O13167" t="s">
        <v>41250</v>
      </c>
      <c r="P13167">
        <v>0</v>
      </c>
      <c r="Q13167">
        <v>11</v>
      </c>
      <c r="R13167" t="s">
        <v>41272</v>
      </c>
      <c r="S13167" t="s">
        <v>42222</v>
      </c>
      <c r="T13167" t="s">
        <v>42759</v>
      </c>
      <c r="U13167" t="s">
        <v>53726</v>
      </c>
      <c r="W13167" t="s">
        <v>38543</v>
      </c>
      <c r="X13167" t="s">
        <v>41273</v>
      </c>
    </row>
    <row r="13168" spans="1:24">
      <c r="A13168">
        <f>HYPERLINK("https://www.philgeps.gov.ph/GEPSNONPILOT/Tender/SplashBidNoticeAbstractUI.aspx?menuIndex=3&amp;refID=7038914&amp;Result=3","7038914")</f>
        <v>0</v>
      </c>
      <c r="B13168" t="s">
        <v>3175</v>
      </c>
      <c r="C13168" t="s">
        <v>16000</v>
      </c>
      <c r="D13168" t="s">
        <v>16609</v>
      </c>
      <c r="E13168" t="s">
        <v>28085</v>
      </c>
      <c r="F13168" t="s">
        <v>28669</v>
      </c>
      <c r="G13168" t="s">
        <v>28675</v>
      </c>
      <c r="H13168" t="s">
        <v>28686</v>
      </c>
      <c r="I13168" t="s">
        <v>28689</v>
      </c>
      <c r="J13168" t="s">
        <v>28847</v>
      </c>
      <c r="K13168" t="s">
        <v>37269</v>
      </c>
      <c r="M13168" t="s">
        <v>40975</v>
      </c>
      <c r="N13168" t="s">
        <v>41249</v>
      </c>
      <c r="O13168" t="s">
        <v>41250</v>
      </c>
      <c r="P13168">
        <v>0</v>
      </c>
      <c r="Q13168">
        <v>0</v>
      </c>
      <c r="R13168" t="s">
        <v>41272</v>
      </c>
      <c r="S13168" t="s">
        <v>42222</v>
      </c>
      <c r="T13168" t="s">
        <v>42699</v>
      </c>
      <c r="U13168" t="s">
        <v>53727</v>
      </c>
      <c r="W13168" t="s">
        <v>40975</v>
      </c>
      <c r="X13168" t="s">
        <v>41273</v>
      </c>
    </row>
    <row r="13169" spans="1:24">
      <c r="A13169">
        <f>HYPERLINK("https://www.philgeps.gov.ph/GEPSNONPILOT/Tender/SplashBidNoticeAbstractUI.aspx?menuIndex=3&amp;refID=7039196&amp;Result=3","7039196")</f>
        <v>0</v>
      </c>
      <c r="B13169" t="s">
        <v>2558</v>
      </c>
      <c r="C13169" t="s">
        <v>16001</v>
      </c>
      <c r="D13169" t="s">
        <v>16618</v>
      </c>
      <c r="E13169" t="s">
        <v>28086</v>
      </c>
      <c r="F13169" t="s">
        <v>28669</v>
      </c>
      <c r="G13169" t="s">
        <v>28675</v>
      </c>
      <c r="H13169" t="s">
        <v>28686</v>
      </c>
      <c r="I13169" t="s">
        <v>28689</v>
      </c>
      <c r="J13169" t="s">
        <v>29313</v>
      </c>
      <c r="K13169" t="s">
        <v>37212</v>
      </c>
      <c r="L13169" t="s">
        <v>2558</v>
      </c>
      <c r="M13169" t="s">
        <v>40832</v>
      </c>
      <c r="N13169" t="s">
        <v>41249</v>
      </c>
      <c r="O13169" t="s">
        <v>41250</v>
      </c>
      <c r="P13169">
        <v>0</v>
      </c>
      <c r="Q13169">
        <v>18</v>
      </c>
      <c r="R13169" t="s">
        <v>41272</v>
      </c>
      <c r="S13169" t="s">
        <v>42222</v>
      </c>
      <c r="T13169" t="s">
        <v>42910</v>
      </c>
      <c r="U13169" t="s">
        <v>53687</v>
      </c>
      <c r="W13169" t="s">
        <v>40832</v>
      </c>
      <c r="X13169" t="s">
        <v>41273</v>
      </c>
    </row>
    <row r="13170" spans="1:24">
      <c r="A13170">
        <f>HYPERLINK("https://www.philgeps.gov.ph/GEPSNONPILOT/Tender/SplashBidNoticeAbstractUI.aspx?menuIndex=3&amp;refID=7038945&amp;Result=3","7038945")</f>
        <v>0</v>
      </c>
      <c r="B13170" t="s">
        <v>3227</v>
      </c>
      <c r="C13170" t="s">
        <v>16002</v>
      </c>
      <c r="D13170" t="s">
        <v>16627</v>
      </c>
      <c r="E13170" t="s">
        <v>28087</v>
      </c>
      <c r="F13170" t="s">
        <v>28669</v>
      </c>
      <c r="G13170" t="s">
        <v>28675</v>
      </c>
      <c r="H13170" t="s">
        <v>28685</v>
      </c>
      <c r="I13170" t="s">
        <v>28685</v>
      </c>
      <c r="J13170" t="s">
        <v>36845</v>
      </c>
      <c r="K13170" t="s">
        <v>37217</v>
      </c>
      <c r="M13170" t="s">
        <v>41042</v>
      </c>
      <c r="N13170" t="s">
        <v>41249</v>
      </c>
      <c r="O13170" t="s">
        <v>41250</v>
      </c>
      <c r="P13170">
        <v>0</v>
      </c>
      <c r="Q13170">
        <v>2</v>
      </c>
      <c r="R13170" t="s">
        <v>41272</v>
      </c>
      <c r="S13170" t="s">
        <v>42222</v>
      </c>
      <c r="T13170" t="s">
        <v>43148</v>
      </c>
      <c r="U13170" t="s">
        <v>53728</v>
      </c>
      <c r="V13170" t="s">
        <v>55820</v>
      </c>
      <c r="W13170" t="s">
        <v>41042</v>
      </c>
      <c r="X13170" t="s">
        <v>41273</v>
      </c>
    </row>
    <row r="13171" spans="1:24">
      <c r="A13171">
        <f>HYPERLINK("https://www.philgeps.gov.ph/GEPSNONPILOT/Tender/SplashBidNoticeAbstractUI.aspx?menuIndex=3&amp;refID=7039436&amp;Result=3","7039436")</f>
        <v>0</v>
      </c>
      <c r="B13171" t="s">
        <v>2604</v>
      </c>
      <c r="C13171" t="s">
        <v>16003</v>
      </c>
      <c r="D13171" t="s">
        <v>16644</v>
      </c>
      <c r="E13171" t="s">
        <v>28088</v>
      </c>
      <c r="F13171" t="s">
        <v>28669</v>
      </c>
      <c r="G13171" t="s">
        <v>28675</v>
      </c>
      <c r="H13171" t="s">
        <v>28686</v>
      </c>
      <c r="I13171" t="s">
        <v>28689</v>
      </c>
      <c r="J13171" t="s">
        <v>36846</v>
      </c>
      <c r="K13171" t="s">
        <v>37211</v>
      </c>
      <c r="M13171" t="s">
        <v>40300</v>
      </c>
      <c r="N13171" t="s">
        <v>41249</v>
      </c>
      <c r="O13171" t="s">
        <v>41250</v>
      </c>
      <c r="P13171">
        <v>0</v>
      </c>
      <c r="Q13171">
        <v>6</v>
      </c>
      <c r="R13171" t="s">
        <v>41272</v>
      </c>
      <c r="S13171" t="s">
        <v>42222</v>
      </c>
      <c r="T13171" t="s">
        <v>42727</v>
      </c>
      <c r="U13171" t="s">
        <v>53729</v>
      </c>
      <c r="W13171" t="s">
        <v>40300</v>
      </c>
      <c r="X13171" t="s">
        <v>41273</v>
      </c>
    </row>
    <row r="13172" spans="1:24">
      <c r="A13172">
        <f>HYPERLINK("https://www.philgeps.gov.ph/GEPSNONPILOT/Tender/SplashBidNoticeAbstractUI.aspx?menuIndex=3&amp;refID=7038940&amp;Result=3","7038940")</f>
        <v>0</v>
      </c>
      <c r="B13172" t="s">
        <v>3317</v>
      </c>
      <c r="C13172" t="s">
        <v>16004</v>
      </c>
      <c r="D13172" t="s">
        <v>16616</v>
      </c>
      <c r="E13172" t="s">
        <v>28089</v>
      </c>
      <c r="F13172" t="s">
        <v>28669</v>
      </c>
      <c r="G13172" t="s">
        <v>28675</v>
      </c>
      <c r="H13172" t="s">
        <v>9998</v>
      </c>
      <c r="I13172" t="s">
        <v>28687</v>
      </c>
      <c r="J13172" t="s">
        <v>30162</v>
      </c>
      <c r="K13172" t="s">
        <v>37210</v>
      </c>
      <c r="M13172" t="s">
        <v>41157</v>
      </c>
      <c r="N13172" t="s">
        <v>41249</v>
      </c>
      <c r="O13172" t="s">
        <v>41250</v>
      </c>
      <c r="P13172">
        <v>0</v>
      </c>
      <c r="Q13172">
        <v>6</v>
      </c>
      <c r="R13172" t="s">
        <v>41272</v>
      </c>
      <c r="S13172" t="s">
        <v>42222</v>
      </c>
      <c r="T13172" t="s">
        <v>42784</v>
      </c>
      <c r="U13172" t="s">
        <v>53704</v>
      </c>
      <c r="W13172" t="s">
        <v>56034</v>
      </c>
      <c r="X13172" t="s">
        <v>41273</v>
      </c>
    </row>
    <row r="13173" spans="1:24">
      <c r="A13173">
        <f>HYPERLINK("https://www.philgeps.gov.ph/GEPSNONPILOT/Tender/SplashBidNoticeAbstractUI.aspx?menuIndex=3&amp;refID=7040464&amp;Result=3","7040464")</f>
        <v>0</v>
      </c>
      <c r="B13173" t="s">
        <v>3321</v>
      </c>
      <c r="C13173" t="s">
        <v>16005</v>
      </c>
      <c r="D13173" t="s">
        <v>16614</v>
      </c>
      <c r="E13173" t="s">
        <v>28090</v>
      </c>
      <c r="F13173" t="s">
        <v>28669</v>
      </c>
      <c r="G13173" t="s">
        <v>28675</v>
      </c>
      <c r="H13173" t="s">
        <v>9998</v>
      </c>
      <c r="I13173" t="s">
        <v>5286</v>
      </c>
      <c r="J13173" t="s">
        <v>36847</v>
      </c>
      <c r="K13173" t="s">
        <v>37213</v>
      </c>
      <c r="M13173" t="s">
        <v>41162</v>
      </c>
      <c r="N13173" t="s">
        <v>41249</v>
      </c>
      <c r="O13173" t="s">
        <v>41250</v>
      </c>
      <c r="P13173">
        <v>0</v>
      </c>
      <c r="Q13173">
        <v>5</v>
      </c>
      <c r="R13173" t="s">
        <v>41272</v>
      </c>
      <c r="S13173" t="s">
        <v>42222</v>
      </c>
      <c r="T13173" t="s">
        <v>42728</v>
      </c>
      <c r="U13173" t="s">
        <v>53730</v>
      </c>
      <c r="W13173" t="s">
        <v>41162</v>
      </c>
      <c r="X13173" t="s">
        <v>41273</v>
      </c>
    </row>
    <row r="13174" spans="1:24">
      <c r="A13174">
        <f>HYPERLINK("https://www.philgeps.gov.ph/GEPSNONPILOT/Tender/SplashBidNoticeAbstractUI.aspx?menuIndex=3&amp;refID=7040382&amp;Result=3","7040382")</f>
        <v>0</v>
      </c>
      <c r="B13174" t="s">
        <v>3134</v>
      </c>
      <c r="C13174" t="s">
        <v>16006</v>
      </c>
      <c r="D13174" t="s">
        <v>16608</v>
      </c>
      <c r="E13174" t="s">
        <v>28091</v>
      </c>
      <c r="F13174" t="s">
        <v>28669</v>
      </c>
      <c r="G13174" t="s">
        <v>28675</v>
      </c>
      <c r="H13174" t="s">
        <v>9998</v>
      </c>
      <c r="I13174" t="s">
        <v>3718</v>
      </c>
      <c r="J13174" t="s">
        <v>36848</v>
      </c>
      <c r="K13174" t="s">
        <v>37209</v>
      </c>
      <c r="M13174" t="s">
        <v>40922</v>
      </c>
      <c r="N13174" t="s">
        <v>41249</v>
      </c>
      <c r="O13174" t="s">
        <v>41250</v>
      </c>
      <c r="Q13174">
        <v>28</v>
      </c>
      <c r="R13174" t="s">
        <v>41272</v>
      </c>
      <c r="S13174" t="s">
        <v>42245</v>
      </c>
      <c r="T13174" t="s">
        <v>42727</v>
      </c>
      <c r="U13174" t="s">
        <v>53731</v>
      </c>
      <c r="V13174" t="s">
        <v>55632</v>
      </c>
      <c r="W13174" t="s">
        <v>40922</v>
      </c>
      <c r="X13174" t="s">
        <v>41273</v>
      </c>
    </row>
    <row r="13175" spans="1:24">
      <c r="A13175">
        <f>HYPERLINK("https://www.philgeps.gov.ph/GEPSNONPILOT/Tender/SplashBidNoticeAbstractUI.aspx?menuIndex=3&amp;refID=7039210&amp;Result=3","7039210")</f>
        <v>0</v>
      </c>
      <c r="B13175" t="s">
        <v>3319</v>
      </c>
      <c r="C13175" t="s">
        <v>16007</v>
      </c>
      <c r="D13175" t="s">
        <v>16661</v>
      </c>
      <c r="E13175" t="s">
        <v>28092</v>
      </c>
      <c r="F13175" t="s">
        <v>28669</v>
      </c>
      <c r="G13175" t="s">
        <v>28675</v>
      </c>
      <c r="H13175" t="s">
        <v>9998</v>
      </c>
      <c r="I13175" t="s">
        <v>28756</v>
      </c>
      <c r="J13175" t="s">
        <v>36849</v>
      </c>
      <c r="K13175" t="s">
        <v>37205</v>
      </c>
      <c r="M13175" t="s">
        <v>41160</v>
      </c>
      <c r="N13175" t="s">
        <v>41249</v>
      </c>
      <c r="O13175" t="s">
        <v>41250</v>
      </c>
      <c r="P13175">
        <v>0</v>
      </c>
      <c r="Q13175">
        <v>1</v>
      </c>
      <c r="R13175" t="s">
        <v>41272</v>
      </c>
      <c r="S13175" t="s">
        <v>42222</v>
      </c>
      <c r="T13175" t="s">
        <v>42670</v>
      </c>
      <c r="U13175" t="s">
        <v>53710</v>
      </c>
      <c r="W13175" t="s">
        <v>41160</v>
      </c>
      <c r="X13175" t="s">
        <v>41273</v>
      </c>
    </row>
    <row r="13176" spans="1:24">
      <c r="A13176">
        <f>HYPERLINK("https://www.philgeps.gov.ph/GEPSNONPILOT/Tender/SplashBidNoticeAbstractUI.aspx?menuIndex=3&amp;refID=7040236&amp;Result=3","7040236")</f>
        <v>0</v>
      </c>
      <c r="B13176" t="s">
        <v>1468</v>
      </c>
      <c r="C13176" t="s">
        <v>16008</v>
      </c>
      <c r="D13176" t="s">
        <v>16611</v>
      </c>
      <c r="E13176" t="s">
        <v>28093</v>
      </c>
      <c r="F13176" t="s">
        <v>28669</v>
      </c>
      <c r="G13176" t="s">
        <v>28675</v>
      </c>
      <c r="H13176" t="s">
        <v>28686</v>
      </c>
      <c r="I13176" t="s">
        <v>28689</v>
      </c>
      <c r="J13176" t="s">
        <v>36850</v>
      </c>
      <c r="K13176" t="s">
        <v>37290</v>
      </c>
      <c r="M13176" t="s">
        <v>39036</v>
      </c>
      <c r="N13176" t="s">
        <v>41249</v>
      </c>
      <c r="O13176" t="s">
        <v>41250</v>
      </c>
      <c r="P13176">
        <v>0</v>
      </c>
      <c r="Q13176">
        <v>7</v>
      </c>
      <c r="R13176" t="s">
        <v>41272</v>
      </c>
      <c r="S13176" t="s">
        <v>42222</v>
      </c>
      <c r="T13176" t="s">
        <v>42671</v>
      </c>
      <c r="U13176" t="s">
        <v>53732</v>
      </c>
      <c r="W13176" t="s">
        <v>39036</v>
      </c>
      <c r="X13176" t="s">
        <v>41273</v>
      </c>
    </row>
    <row r="13177" spans="1:24">
      <c r="A13177">
        <f>HYPERLINK("https://www.philgeps.gov.ph/GEPSNONPILOT/Tender/SplashBidNoticeAbstractUI.aspx?menuIndex=3&amp;refID=7040234&amp;Result=3","7040234")</f>
        <v>0</v>
      </c>
      <c r="B13177" t="s">
        <v>2974</v>
      </c>
      <c r="C13177" t="s">
        <v>16009</v>
      </c>
      <c r="D13177" t="s">
        <v>16608</v>
      </c>
      <c r="E13177" t="s">
        <v>28094</v>
      </c>
      <c r="F13177" t="s">
        <v>28669</v>
      </c>
      <c r="G13177" t="s">
        <v>28675</v>
      </c>
      <c r="H13177" t="s">
        <v>28686</v>
      </c>
      <c r="I13177" t="s">
        <v>28689</v>
      </c>
      <c r="J13177" t="s">
        <v>36851</v>
      </c>
      <c r="K13177" t="s">
        <v>37287</v>
      </c>
      <c r="M13177" t="s">
        <v>40736</v>
      </c>
      <c r="N13177" t="s">
        <v>41249</v>
      </c>
      <c r="O13177" t="s">
        <v>41250</v>
      </c>
      <c r="P13177">
        <v>0</v>
      </c>
      <c r="Q13177">
        <v>14</v>
      </c>
      <c r="R13177" t="s">
        <v>41272</v>
      </c>
      <c r="S13177" t="s">
        <v>42222</v>
      </c>
      <c r="T13177" t="s">
        <v>42729</v>
      </c>
      <c r="U13177" t="s">
        <v>53733</v>
      </c>
      <c r="V13177" t="s">
        <v>55821</v>
      </c>
      <c r="W13177" t="s">
        <v>40736</v>
      </c>
      <c r="X13177" t="s">
        <v>41273</v>
      </c>
    </row>
    <row r="13178" spans="1:24">
      <c r="A13178">
        <f>HYPERLINK("https://www.philgeps.gov.ph/GEPSNONPILOT/Tender/SplashBidNoticeAbstractUI.aspx?menuIndex=3&amp;refID=7040034&amp;Result=3","7040034")</f>
        <v>0</v>
      </c>
      <c r="B13178" t="s">
        <v>1468</v>
      </c>
      <c r="C13178" t="s">
        <v>16010</v>
      </c>
      <c r="D13178" t="s">
        <v>16611</v>
      </c>
      <c r="E13178" t="s">
        <v>28095</v>
      </c>
      <c r="F13178" t="s">
        <v>28669</v>
      </c>
      <c r="G13178" t="s">
        <v>28675</v>
      </c>
      <c r="H13178" t="s">
        <v>28686</v>
      </c>
      <c r="I13178" t="s">
        <v>28689</v>
      </c>
      <c r="J13178" t="s">
        <v>36852</v>
      </c>
      <c r="K13178" t="s">
        <v>37290</v>
      </c>
      <c r="M13178" t="s">
        <v>39036</v>
      </c>
      <c r="N13178" t="s">
        <v>41249</v>
      </c>
      <c r="O13178" t="s">
        <v>41250</v>
      </c>
      <c r="P13178">
        <v>0</v>
      </c>
      <c r="Q13178">
        <v>3</v>
      </c>
      <c r="R13178" t="s">
        <v>41272</v>
      </c>
      <c r="S13178" t="s">
        <v>42222</v>
      </c>
      <c r="T13178" t="s">
        <v>42671</v>
      </c>
      <c r="U13178" t="s">
        <v>53734</v>
      </c>
      <c r="W13178" t="s">
        <v>39036</v>
      </c>
      <c r="X13178" t="s">
        <v>41273</v>
      </c>
    </row>
    <row r="13179" spans="1:24">
      <c r="A13179">
        <f>HYPERLINK("https://www.philgeps.gov.ph/GEPSNONPILOT/Tender/SplashBidNoticeAbstractUI.aspx?menuIndex=3&amp;refID=7040364&amp;Result=3","7040364")</f>
        <v>0</v>
      </c>
      <c r="B13179" t="s">
        <v>2737</v>
      </c>
      <c r="C13179" t="s">
        <v>16011</v>
      </c>
      <c r="E13179" t="s">
        <v>28096</v>
      </c>
      <c r="F13179" t="s">
        <v>28669</v>
      </c>
      <c r="G13179" t="s">
        <v>28675</v>
      </c>
      <c r="H13179" t="s">
        <v>9998</v>
      </c>
      <c r="I13179" t="s">
        <v>28706</v>
      </c>
      <c r="J13179" t="s">
        <v>28924</v>
      </c>
      <c r="K13179" t="s">
        <v>37209</v>
      </c>
      <c r="M13179" t="s">
        <v>40452</v>
      </c>
      <c r="N13179" t="s">
        <v>41249</v>
      </c>
      <c r="O13179" t="s">
        <v>41250</v>
      </c>
      <c r="P13179">
        <v>0</v>
      </c>
      <c r="Q13179">
        <v>4</v>
      </c>
      <c r="R13179" t="s">
        <v>41272</v>
      </c>
      <c r="S13179" t="s">
        <v>42222</v>
      </c>
      <c r="T13179" t="s">
        <v>42728</v>
      </c>
      <c r="U13179" t="s">
        <v>53735</v>
      </c>
      <c r="W13179" t="s">
        <v>40452</v>
      </c>
      <c r="X13179" t="s">
        <v>41273</v>
      </c>
    </row>
    <row r="13180" spans="1:24">
      <c r="A13180">
        <f>HYPERLINK("https://www.philgeps.gov.ph/GEPSNONPILOT/Tender/SplashBidNoticeAbstractUI.aspx?menuIndex=3&amp;refID=7040194&amp;Result=3","7040194")</f>
        <v>0</v>
      </c>
      <c r="B13180" t="s">
        <v>2974</v>
      </c>
      <c r="C13180" t="s">
        <v>16012</v>
      </c>
      <c r="D13180" t="s">
        <v>16608</v>
      </c>
      <c r="E13180" t="s">
        <v>28097</v>
      </c>
      <c r="F13180" t="s">
        <v>28669</v>
      </c>
      <c r="G13180" t="s">
        <v>28675</v>
      </c>
      <c r="H13180" t="s">
        <v>28686</v>
      </c>
      <c r="I13180" t="s">
        <v>28689</v>
      </c>
      <c r="J13180" t="s">
        <v>36853</v>
      </c>
      <c r="K13180" t="s">
        <v>37212</v>
      </c>
      <c r="M13180" t="s">
        <v>40736</v>
      </c>
      <c r="N13180" t="s">
        <v>41249</v>
      </c>
      <c r="O13180" t="s">
        <v>41250</v>
      </c>
      <c r="P13180">
        <v>0</v>
      </c>
      <c r="Q13180">
        <v>5</v>
      </c>
      <c r="R13180" t="s">
        <v>41272</v>
      </c>
      <c r="S13180" t="s">
        <v>42222</v>
      </c>
      <c r="T13180" t="s">
        <v>42729</v>
      </c>
      <c r="U13180" t="s">
        <v>53736</v>
      </c>
      <c r="V13180" t="s">
        <v>55821</v>
      </c>
      <c r="W13180" t="s">
        <v>40736</v>
      </c>
      <c r="X13180" t="s">
        <v>41273</v>
      </c>
    </row>
    <row r="13181" spans="1:24">
      <c r="A13181">
        <f>HYPERLINK("https://www.philgeps.gov.ph/GEPSNONPILOT/Tender/SplashBidNoticeAbstractUI.aspx?menuIndex=3&amp;refID=7040262&amp;Result=3","7040262")</f>
        <v>0</v>
      </c>
      <c r="B13181" t="s">
        <v>1098</v>
      </c>
      <c r="C13181" t="s">
        <v>16013</v>
      </c>
      <c r="E13181" t="s">
        <v>28098</v>
      </c>
      <c r="F13181" t="s">
        <v>28669</v>
      </c>
      <c r="G13181" t="s">
        <v>28675</v>
      </c>
      <c r="H13181" t="s">
        <v>9998</v>
      </c>
      <c r="I13181" t="s">
        <v>28715</v>
      </c>
      <c r="J13181" t="s">
        <v>36854</v>
      </c>
      <c r="K13181" t="s">
        <v>37206</v>
      </c>
      <c r="M13181" t="s">
        <v>41159</v>
      </c>
      <c r="N13181" t="s">
        <v>41249</v>
      </c>
      <c r="O13181" t="s">
        <v>41250</v>
      </c>
      <c r="Q13181">
        <v>12</v>
      </c>
      <c r="R13181" t="s">
        <v>41272</v>
      </c>
      <c r="S13181" t="s">
        <v>42246</v>
      </c>
      <c r="T13181" t="s">
        <v>42767</v>
      </c>
      <c r="U13181" t="s">
        <v>53737</v>
      </c>
      <c r="W13181" t="s">
        <v>41159</v>
      </c>
      <c r="X13181" t="s">
        <v>41273</v>
      </c>
    </row>
    <row r="13182" spans="1:24">
      <c r="A13182">
        <f>HYPERLINK("https://www.philgeps.gov.ph/GEPSNONPILOT/Tender/SplashBidNoticeAbstractUI.aspx?menuIndex=3&amp;refID=7040466&amp;Result=3","7040466")</f>
        <v>0</v>
      </c>
      <c r="B13182" t="s">
        <v>3322</v>
      </c>
      <c r="C13182" t="s">
        <v>16014</v>
      </c>
      <c r="D13182" t="s">
        <v>16618</v>
      </c>
      <c r="E13182" t="s">
        <v>28099</v>
      </c>
      <c r="F13182" t="s">
        <v>28669</v>
      </c>
      <c r="G13182" t="s">
        <v>28675</v>
      </c>
      <c r="H13182" t="s">
        <v>9998</v>
      </c>
      <c r="I13182" t="s">
        <v>28722</v>
      </c>
      <c r="J13182" t="s">
        <v>36855</v>
      </c>
      <c r="K13182" t="s">
        <v>37216</v>
      </c>
      <c r="M13182" t="s">
        <v>41163</v>
      </c>
      <c r="N13182" t="s">
        <v>41249</v>
      </c>
      <c r="O13182" t="s">
        <v>41250</v>
      </c>
      <c r="P13182">
        <v>0</v>
      </c>
      <c r="Q13182">
        <v>6</v>
      </c>
      <c r="R13182" t="s">
        <v>41272</v>
      </c>
      <c r="S13182" t="s">
        <v>42222</v>
      </c>
      <c r="T13182" t="s">
        <v>42727</v>
      </c>
      <c r="U13182" t="s">
        <v>53738</v>
      </c>
      <c r="W13182" t="s">
        <v>41163</v>
      </c>
      <c r="X13182" t="s">
        <v>41273</v>
      </c>
    </row>
    <row r="13183" spans="1:24">
      <c r="A13183">
        <f>HYPERLINK("https://www.philgeps.gov.ph/GEPSNONPILOT/Tender/SplashBidNoticeAbstractUI.aspx?menuIndex=3&amp;refID=7039940&amp;Result=3","7039940")</f>
        <v>0</v>
      </c>
      <c r="B13183" t="s">
        <v>1469</v>
      </c>
      <c r="C13183" t="s">
        <v>16015</v>
      </c>
      <c r="D13183" t="s">
        <v>16659</v>
      </c>
      <c r="E13183" t="s">
        <v>28100</v>
      </c>
      <c r="F13183" t="s">
        <v>28669</v>
      </c>
      <c r="G13183" t="s">
        <v>28675</v>
      </c>
      <c r="H13183" t="s">
        <v>9998</v>
      </c>
      <c r="I13183" t="s">
        <v>8667</v>
      </c>
      <c r="J13183" t="s">
        <v>36856</v>
      </c>
      <c r="K13183" t="s">
        <v>37221</v>
      </c>
      <c r="M13183" t="s">
        <v>39037</v>
      </c>
      <c r="N13183" t="s">
        <v>41249</v>
      </c>
      <c r="O13183" t="s">
        <v>41250</v>
      </c>
      <c r="P13183">
        <v>0</v>
      </c>
      <c r="Q13183">
        <v>0</v>
      </c>
      <c r="R13183" t="s">
        <v>41272</v>
      </c>
      <c r="S13183" t="s">
        <v>42222</v>
      </c>
      <c r="T13183" t="s">
        <v>42992</v>
      </c>
      <c r="U13183" t="s">
        <v>53739</v>
      </c>
      <c r="W13183" t="s">
        <v>39037</v>
      </c>
      <c r="X13183" t="s">
        <v>41273</v>
      </c>
    </row>
    <row r="13184" spans="1:24">
      <c r="A13184">
        <f>HYPERLINK("https://www.philgeps.gov.ph/GEPSNONPILOT/Tender/SplashBidNoticeAbstractUI.aspx?menuIndex=3&amp;refID=7040348&amp;Result=3","7040348")</f>
        <v>0</v>
      </c>
      <c r="B13184" t="s">
        <v>3134</v>
      </c>
      <c r="C13184" t="s">
        <v>16016</v>
      </c>
      <c r="D13184" t="s">
        <v>16608</v>
      </c>
      <c r="E13184" t="s">
        <v>28101</v>
      </c>
      <c r="F13184" t="s">
        <v>28669</v>
      </c>
      <c r="G13184" t="s">
        <v>28675</v>
      </c>
      <c r="H13184" t="s">
        <v>28686</v>
      </c>
      <c r="I13184" t="s">
        <v>28689</v>
      </c>
      <c r="J13184" t="s">
        <v>36857</v>
      </c>
      <c r="K13184" t="s">
        <v>37209</v>
      </c>
      <c r="M13184" t="s">
        <v>40922</v>
      </c>
      <c r="N13184" t="s">
        <v>41249</v>
      </c>
      <c r="O13184" t="s">
        <v>41250</v>
      </c>
      <c r="P13184">
        <v>0</v>
      </c>
      <c r="Q13184">
        <v>14</v>
      </c>
      <c r="R13184" t="s">
        <v>41272</v>
      </c>
      <c r="S13184" t="s">
        <v>42222</v>
      </c>
      <c r="T13184" t="s">
        <v>42727</v>
      </c>
      <c r="U13184" t="s">
        <v>53740</v>
      </c>
      <c r="V13184" t="s">
        <v>55632</v>
      </c>
      <c r="W13184" t="s">
        <v>40922</v>
      </c>
      <c r="X13184" t="s">
        <v>41273</v>
      </c>
    </row>
    <row r="13185" spans="1:24">
      <c r="A13185">
        <f>HYPERLINK("https://www.philgeps.gov.ph/GEPSNONPILOT/Tender/SplashBidNoticeAbstractUI.aspx?menuIndex=3&amp;refID=7040148&amp;Result=3","7040148")</f>
        <v>0</v>
      </c>
      <c r="B13185" t="s">
        <v>278</v>
      </c>
      <c r="C13185" t="s">
        <v>16017</v>
      </c>
      <c r="D13185" t="s">
        <v>16608</v>
      </c>
      <c r="E13185" t="s">
        <v>28102</v>
      </c>
      <c r="F13185" t="s">
        <v>28669</v>
      </c>
      <c r="G13185" t="s">
        <v>28675</v>
      </c>
      <c r="H13185" t="s">
        <v>9998</v>
      </c>
      <c r="I13185" t="s">
        <v>28727</v>
      </c>
      <c r="J13185" t="s">
        <v>36858</v>
      </c>
      <c r="K13185" t="s">
        <v>37220</v>
      </c>
      <c r="M13185" t="s">
        <v>39997</v>
      </c>
      <c r="N13185" t="s">
        <v>41249</v>
      </c>
      <c r="O13185" t="s">
        <v>41250</v>
      </c>
      <c r="Q13185">
        <v>8</v>
      </c>
      <c r="R13185" t="s">
        <v>41272</v>
      </c>
      <c r="S13185" t="s">
        <v>42247</v>
      </c>
      <c r="T13185" t="s">
        <v>42682</v>
      </c>
      <c r="U13185" t="s">
        <v>53741</v>
      </c>
      <c r="W13185" t="s">
        <v>39997</v>
      </c>
      <c r="X13185" t="s">
        <v>41273</v>
      </c>
    </row>
    <row r="13186" spans="1:24">
      <c r="A13186">
        <f>HYPERLINK("https://www.philgeps.gov.ph/GEPSNONPILOT/Tender/SplashBidNoticeAbstractUI.aspx?menuIndex=3&amp;refID=7040145&amp;Result=3","7040145")</f>
        <v>0</v>
      </c>
      <c r="B13186" t="s">
        <v>3242</v>
      </c>
      <c r="C13186" t="s">
        <v>16018</v>
      </c>
      <c r="D13186" t="s">
        <v>16675</v>
      </c>
      <c r="E13186" t="s">
        <v>28103</v>
      </c>
      <c r="F13186" t="s">
        <v>28669</v>
      </c>
      <c r="G13186" t="s">
        <v>28675</v>
      </c>
      <c r="H13186" t="s">
        <v>28686</v>
      </c>
      <c r="I13186" t="s">
        <v>28689</v>
      </c>
      <c r="J13186" t="s">
        <v>30503</v>
      </c>
      <c r="K13186" t="s">
        <v>37213</v>
      </c>
      <c r="M13186" t="s">
        <v>41059</v>
      </c>
      <c r="N13186" t="s">
        <v>41249</v>
      </c>
      <c r="O13186" t="s">
        <v>41250</v>
      </c>
      <c r="Q13186">
        <v>0</v>
      </c>
      <c r="R13186" t="s">
        <v>41272</v>
      </c>
      <c r="S13186" t="s">
        <v>42248</v>
      </c>
      <c r="T13186" t="s">
        <v>42782</v>
      </c>
      <c r="U13186" t="s">
        <v>53742</v>
      </c>
      <c r="W13186" t="s">
        <v>41059</v>
      </c>
      <c r="X13186" t="s">
        <v>41273</v>
      </c>
    </row>
    <row r="13187" spans="1:24">
      <c r="A13187">
        <f>HYPERLINK("https://www.philgeps.gov.ph/GEPSNONPILOT/Tender/SplashBidNoticeAbstractUI.aspx?menuIndex=3&amp;refID=7040129&amp;Result=3","7040129")</f>
        <v>0</v>
      </c>
      <c r="B13187" t="s">
        <v>1468</v>
      </c>
      <c r="C13187" t="s">
        <v>16019</v>
      </c>
      <c r="D13187" t="s">
        <v>16611</v>
      </c>
      <c r="E13187" t="s">
        <v>28104</v>
      </c>
      <c r="F13187" t="s">
        <v>28669</v>
      </c>
      <c r="G13187" t="s">
        <v>28675</v>
      </c>
      <c r="H13187" t="s">
        <v>28686</v>
      </c>
      <c r="I13187" t="s">
        <v>28689</v>
      </c>
      <c r="J13187" t="s">
        <v>36859</v>
      </c>
      <c r="K13187" t="s">
        <v>37290</v>
      </c>
      <c r="M13187" t="s">
        <v>39036</v>
      </c>
      <c r="N13187" t="s">
        <v>41249</v>
      </c>
      <c r="O13187" t="s">
        <v>41250</v>
      </c>
      <c r="P13187">
        <v>0</v>
      </c>
      <c r="Q13187">
        <v>5</v>
      </c>
      <c r="R13187" t="s">
        <v>41272</v>
      </c>
      <c r="S13187" t="s">
        <v>42222</v>
      </c>
      <c r="T13187" t="s">
        <v>42671</v>
      </c>
      <c r="U13187" t="s">
        <v>53743</v>
      </c>
      <c r="W13187" t="s">
        <v>39036</v>
      </c>
      <c r="X13187" t="s">
        <v>41273</v>
      </c>
    </row>
    <row r="13188" spans="1:24">
      <c r="A13188">
        <f>HYPERLINK("https://www.philgeps.gov.ph/GEPSNONPILOT/Tender/SplashBidNoticeAbstractUI.aspx?menuIndex=3&amp;refID=7040041&amp;Result=3","7040041")</f>
        <v>0</v>
      </c>
      <c r="B13188" t="s">
        <v>2173</v>
      </c>
      <c r="C13188" t="s">
        <v>16020</v>
      </c>
      <c r="D13188" t="s">
        <v>16664</v>
      </c>
      <c r="E13188" t="s">
        <v>28105</v>
      </c>
      <c r="F13188" t="s">
        <v>28669</v>
      </c>
      <c r="G13188" t="s">
        <v>28675</v>
      </c>
      <c r="H13188" t="s">
        <v>9998</v>
      </c>
      <c r="I13188" t="s">
        <v>28693</v>
      </c>
      <c r="J13188" t="s">
        <v>36860</v>
      </c>
      <c r="K13188" t="s">
        <v>37220</v>
      </c>
      <c r="M13188" t="s">
        <v>39822</v>
      </c>
      <c r="N13188" t="s">
        <v>41249</v>
      </c>
      <c r="O13188" t="s">
        <v>41250</v>
      </c>
      <c r="Q13188">
        <v>13</v>
      </c>
      <c r="R13188" t="s">
        <v>41272</v>
      </c>
      <c r="S13188" t="s">
        <v>41794</v>
      </c>
      <c r="T13188" t="s">
        <v>42932</v>
      </c>
      <c r="U13188" t="s">
        <v>53744</v>
      </c>
      <c r="V13188" t="s">
        <v>55822</v>
      </c>
      <c r="W13188" t="s">
        <v>39822</v>
      </c>
      <c r="X13188" t="s">
        <v>41273</v>
      </c>
    </row>
    <row r="13189" spans="1:24">
      <c r="A13189">
        <f>HYPERLINK("https://www.philgeps.gov.ph/GEPSNONPILOT/Tender/SplashBidNoticeAbstractUI.aspx?menuIndex=3&amp;refID=7040494&amp;Result=3","7040494")</f>
        <v>0</v>
      </c>
      <c r="B13189" t="s">
        <v>564</v>
      </c>
      <c r="C13189" t="s">
        <v>16021</v>
      </c>
      <c r="D13189" t="s">
        <v>16627</v>
      </c>
      <c r="E13189" t="s">
        <v>28106</v>
      </c>
      <c r="F13189" t="s">
        <v>28669</v>
      </c>
      <c r="G13189" t="s">
        <v>28675</v>
      </c>
      <c r="H13189" t="s">
        <v>9998</v>
      </c>
      <c r="I13189" t="s">
        <v>11593</v>
      </c>
      <c r="J13189" t="s">
        <v>36861</v>
      </c>
      <c r="K13189" t="s">
        <v>37206</v>
      </c>
      <c r="M13189" t="s">
        <v>38060</v>
      </c>
      <c r="N13189" t="s">
        <v>41249</v>
      </c>
      <c r="O13189" t="s">
        <v>41250</v>
      </c>
      <c r="P13189">
        <v>0</v>
      </c>
      <c r="Q13189">
        <v>6</v>
      </c>
      <c r="R13189" t="s">
        <v>41272</v>
      </c>
      <c r="S13189" t="s">
        <v>42222</v>
      </c>
      <c r="T13189" t="s">
        <v>42736</v>
      </c>
      <c r="U13189" t="s">
        <v>53745</v>
      </c>
      <c r="V13189" t="s">
        <v>54383</v>
      </c>
      <c r="W13189" t="s">
        <v>38060</v>
      </c>
      <c r="X13189" t="s">
        <v>41273</v>
      </c>
    </row>
    <row r="13190" spans="1:24">
      <c r="A13190">
        <f>HYPERLINK("https://www.philgeps.gov.ph/GEPSNONPILOT/Tender/SplashBidNoticeAbstractUI.aspx?menuIndex=3&amp;refID=7040580&amp;Result=3","7040580")</f>
        <v>0</v>
      </c>
      <c r="B13190" t="s">
        <v>3322</v>
      </c>
      <c r="C13190" t="s">
        <v>16022</v>
      </c>
      <c r="D13190" t="s">
        <v>16618</v>
      </c>
      <c r="E13190" t="s">
        <v>28107</v>
      </c>
      <c r="F13190" t="s">
        <v>28669</v>
      </c>
      <c r="G13190" t="s">
        <v>28675</v>
      </c>
      <c r="H13190" t="s">
        <v>9998</v>
      </c>
      <c r="I13190" t="s">
        <v>28709</v>
      </c>
      <c r="J13190" t="s">
        <v>36862</v>
      </c>
      <c r="K13190" t="s">
        <v>37213</v>
      </c>
      <c r="M13190" t="s">
        <v>41163</v>
      </c>
      <c r="N13190" t="s">
        <v>41249</v>
      </c>
      <c r="O13190" t="s">
        <v>41250</v>
      </c>
      <c r="P13190">
        <v>0</v>
      </c>
      <c r="Q13190">
        <v>6</v>
      </c>
      <c r="R13190" t="s">
        <v>41272</v>
      </c>
      <c r="S13190" t="s">
        <v>42222</v>
      </c>
      <c r="T13190" t="s">
        <v>42727</v>
      </c>
      <c r="U13190" t="s">
        <v>53746</v>
      </c>
      <c r="W13190" t="s">
        <v>41163</v>
      </c>
      <c r="X13190" t="s">
        <v>41273</v>
      </c>
    </row>
    <row r="13191" spans="1:24">
      <c r="A13191">
        <f>HYPERLINK("https://www.philgeps.gov.ph/GEPSNONPILOT/Tender/SplashBidNoticeAbstractUI.aspx?menuIndex=3&amp;refID=7040572&amp;Result=3","7040572")</f>
        <v>0</v>
      </c>
      <c r="B13191" t="s">
        <v>1280</v>
      </c>
      <c r="C13191" t="s">
        <v>16023</v>
      </c>
      <c r="D13191" t="s">
        <v>16683</v>
      </c>
      <c r="E13191" t="s">
        <v>28108</v>
      </c>
      <c r="F13191" t="s">
        <v>28669</v>
      </c>
      <c r="G13191" t="s">
        <v>28675</v>
      </c>
      <c r="H13191" t="s">
        <v>9998</v>
      </c>
      <c r="I13191" t="s">
        <v>28687</v>
      </c>
      <c r="J13191" t="s">
        <v>34208</v>
      </c>
      <c r="K13191" t="s">
        <v>37206</v>
      </c>
      <c r="M13191" t="s">
        <v>39335</v>
      </c>
      <c r="N13191" t="s">
        <v>41249</v>
      </c>
      <c r="O13191" t="s">
        <v>41250</v>
      </c>
      <c r="Q13191">
        <v>14</v>
      </c>
      <c r="R13191" t="s">
        <v>41272</v>
      </c>
      <c r="S13191" t="s">
        <v>42249</v>
      </c>
      <c r="T13191" t="s">
        <v>43002</v>
      </c>
      <c r="U13191" t="s">
        <v>53747</v>
      </c>
      <c r="W13191" t="s">
        <v>39335</v>
      </c>
      <c r="X13191" t="s">
        <v>41273</v>
      </c>
    </row>
    <row r="13192" spans="1:24">
      <c r="A13192">
        <f>HYPERLINK("https://www.philgeps.gov.ph/GEPSNONPILOT/Tender/SplashBidNoticeAbstractUI.aspx?menuIndex=3&amp;refID=7040566&amp;Result=3","7040566")</f>
        <v>0</v>
      </c>
      <c r="B13192" t="s">
        <v>479</v>
      </c>
      <c r="C13192" t="s">
        <v>16024</v>
      </c>
      <c r="E13192" t="s">
        <v>28109</v>
      </c>
      <c r="F13192" t="s">
        <v>28669</v>
      </c>
      <c r="G13192" t="s">
        <v>28675</v>
      </c>
      <c r="H13192" t="s">
        <v>9998</v>
      </c>
      <c r="I13192" t="s">
        <v>28693</v>
      </c>
      <c r="J13192" t="s">
        <v>36863</v>
      </c>
      <c r="K13192" t="s">
        <v>37220</v>
      </c>
      <c r="M13192" t="s">
        <v>40706</v>
      </c>
      <c r="N13192" t="s">
        <v>41249</v>
      </c>
      <c r="O13192" t="s">
        <v>41250</v>
      </c>
      <c r="P13192">
        <v>0</v>
      </c>
      <c r="Q13192">
        <v>48</v>
      </c>
      <c r="R13192" t="s">
        <v>41272</v>
      </c>
      <c r="S13192" t="s">
        <v>42222</v>
      </c>
      <c r="T13192" t="s">
        <v>42825</v>
      </c>
      <c r="U13192" t="s">
        <v>53325</v>
      </c>
      <c r="W13192" t="s">
        <v>40706</v>
      </c>
      <c r="X13192" t="s">
        <v>41273</v>
      </c>
    </row>
    <row r="13193" spans="1:24">
      <c r="A13193">
        <f>HYPERLINK("https://www.philgeps.gov.ph/GEPSNONPILOT/Tender/SplashBidNoticeAbstractUI.aspx?menuIndex=3&amp;refID=7040547&amp;Result=3","7040547")</f>
        <v>0</v>
      </c>
      <c r="B13193" t="s">
        <v>1280</v>
      </c>
      <c r="C13193" t="s">
        <v>16025</v>
      </c>
      <c r="D13193" t="s">
        <v>16683</v>
      </c>
      <c r="E13193" t="s">
        <v>28110</v>
      </c>
      <c r="F13193" t="s">
        <v>28669</v>
      </c>
      <c r="G13193" t="s">
        <v>28675</v>
      </c>
      <c r="H13193" t="s">
        <v>9998</v>
      </c>
      <c r="I13193" t="s">
        <v>11593</v>
      </c>
      <c r="J13193" t="s">
        <v>36864</v>
      </c>
      <c r="K13193" t="s">
        <v>37210</v>
      </c>
      <c r="M13193" t="s">
        <v>39335</v>
      </c>
      <c r="N13193" t="s">
        <v>41249</v>
      </c>
      <c r="O13193" t="s">
        <v>41250</v>
      </c>
      <c r="Q13193">
        <v>3</v>
      </c>
      <c r="R13193" t="s">
        <v>41272</v>
      </c>
      <c r="S13193" t="s">
        <v>42250</v>
      </c>
      <c r="T13193" t="s">
        <v>43002</v>
      </c>
      <c r="U13193" t="s">
        <v>53748</v>
      </c>
      <c r="W13193" t="s">
        <v>39335</v>
      </c>
      <c r="X13193" t="s">
        <v>41273</v>
      </c>
    </row>
    <row r="13194" spans="1:24">
      <c r="A13194">
        <f>HYPERLINK("https://www.philgeps.gov.ph/GEPSNONPILOT/Tender/SplashBidNoticeAbstractUI.aspx?menuIndex=3&amp;refID=7040137&amp;Result=3","7040137")</f>
        <v>0</v>
      </c>
      <c r="B13194" t="s">
        <v>2173</v>
      </c>
      <c r="C13194" t="s">
        <v>16026</v>
      </c>
      <c r="D13194" t="s">
        <v>16664</v>
      </c>
      <c r="E13194" t="s">
        <v>28111</v>
      </c>
      <c r="F13194" t="s">
        <v>28669</v>
      </c>
      <c r="G13194" t="s">
        <v>28675</v>
      </c>
      <c r="H13194" t="s">
        <v>9998</v>
      </c>
      <c r="I13194" t="s">
        <v>28693</v>
      </c>
      <c r="J13194" t="s">
        <v>36865</v>
      </c>
      <c r="K13194" t="s">
        <v>37220</v>
      </c>
      <c r="M13194" t="s">
        <v>39822</v>
      </c>
      <c r="N13194" t="s">
        <v>41249</v>
      </c>
      <c r="O13194" t="s">
        <v>41250</v>
      </c>
      <c r="Q13194">
        <v>7</v>
      </c>
      <c r="R13194" t="s">
        <v>41272</v>
      </c>
      <c r="S13194" t="s">
        <v>42251</v>
      </c>
      <c r="T13194" t="s">
        <v>43123</v>
      </c>
      <c r="U13194" t="s">
        <v>53749</v>
      </c>
      <c r="V13194" t="s">
        <v>55823</v>
      </c>
      <c r="W13194" t="s">
        <v>39822</v>
      </c>
      <c r="X13194" t="s">
        <v>41273</v>
      </c>
    </row>
    <row r="13195" spans="1:24">
      <c r="A13195">
        <f>HYPERLINK("https://www.philgeps.gov.ph/GEPSNONPILOT/Tender/SplashBidNoticeAbstractUI.aspx?menuIndex=3&amp;refID=7040544&amp;Result=3","7040544")</f>
        <v>0</v>
      </c>
      <c r="B13195" t="s">
        <v>479</v>
      </c>
      <c r="C13195" t="s">
        <v>16024</v>
      </c>
      <c r="E13195" t="s">
        <v>28112</v>
      </c>
      <c r="F13195" t="s">
        <v>28669</v>
      </c>
      <c r="G13195" t="s">
        <v>28675</v>
      </c>
      <c r="H13195" t="s">
        <v>9998</v>
      </c>
      <c r="I13195" t="s">
        <v>28693</v>
      </c>
      <c r="J13195" t="s">
        <v>33512</v>
      </c>
      <c r="K13195" t="s">
        <v>37220</v>
      </c>
      <c r="M13195" t="s">
        <v>40706</v>
      </c>
      <c r="N13195" t="s">
        <v>41249</v>
      </c>
      <c r="O13195" t="s">
        <v>41250</v>
      </c>
      <c r="P13195">
        <v>0</v>
      </c>
      <c r="Q13195">
        <v>46</v>
      </c>
      <c r="R13195" t="s">
        <v>41272</v>
      </c>
      <c r="S13195" t="s">
        <v>42222</v>
      </c>
      <c r="T13195" t="s">
        <v>42672</v>
      </c>
      <c r="U13195" t="s">
        <v>53325</v>
      </c>
      <c r="W13195" t="s">
        <v>40706</v>
      </c>
      <c r="X13195" t="s">
        <v>41273</v>
      </c>
    </row>
    <row r="13196" spans="1:24">
      <c r="A13196">
        <f>HYPERLINK("https://www.philgeps.gov.ph/GEPSNONPILOT/Tender/SplashBidNoticeAbstractUI.aspx?menuIndex=3&amp;refID=7040479&amp;Result=3","7040479")</f>
        <v>0</v>
      </c>
      <c r="B13196" t="s">
        <v>479</v>
      </c>
      <c r="C13196" t="s">
        <v>16024</v>
      </c>
      <c r="E13196" t="s">
        <v>28113</v>
      </c>
      <c r="F13196" t="s">
        <v>28669</v>
      </c>
      <c r="G13196" t="s">
        <v>28675</v>
      </c>
      <c r="H13196" t="s">
        <v>9998</v>
      </c>
      <c r="I13196" t="s">
        <v>28693</v>
      </c>
      <c r="J13196" t="s">
        <v>34820</v>
      </c>
      <c r="K13196" t="s">
        <v>37220</v>
      </c>
      <c r="M13196" t="s">
        <v>40706</v>
      </c>
      <c r="N13196" t="s">
        <v>41249</v>
      </c>
      <c r="O13196" t="s">
        <v>41250</v>
      </c>
      <c r="P13196">
        <v>0</v>
      </c>
      <c r="Q13196">
        <v>46</v>
      </c>
      <c r="R13196" t="s">
        <v>41272</v>
      </c>
      <c r="S13196" t="s">
        <v>42222</v>
      </c>
      <c r="T13196" t="s">
        <v>42692</v>
      </c>
      <c r="U13196" t="s">
        <v>53325</v>
      </c>
      <c r="W13196" t="s">
        <v>40706</v>
      </c>
      <c r="X13196" t="s">
        <v>41273</v>
      </c>
    </row>
    <row r="13197" spans="1:24">
      <c r="A13197">
        <f>HYPERLINK("https://www.philgeps.gov.ph/GEPSNONPILOT/Tender/SplashBidNoticeAbstractUI.aspx?menuIndex=3&amp;refID=7040558&amp;Result=3","7040558")</f>
        <v>0</v>
      </c>
      <c r="B13197" t="s">
        <v>3322</v>
      </c>
      <c r="C13197" t="s">
        <v>16027</v>
      </c>
      <c r="D13197" t="s">
        <v>16618</v>
      </c>
      <c r="E13197" t="s">
        <v>28114</v>
      </c>
      <c r="F13197" t="s">
        <v>28669</v>
      </c>
      <c r="G13197" t="s">
        <v>28675</v>
      </c>
      <c r="H13197" t="s">
        <v>9998</v>
      </c>
      <c r="I13197" t="s">
        <v>28709</v>
      </c>
      <c r="J13197" t="s">
        <v>36866</v>
      </c>
      <c r="K13197" t="s">
        <v>37213</v>
      </c>
      <c r="M13197" t="s">
        <v>41163</v>
      </c>
      <c r="N13197" t="s">
        <v>41249</v>
      </c>
      <c r="O13197" t="s">
        <v>41250</v>
      </c>
      <c r="P13197">
        <v>0</v>
      </c>
      <c r="Q13197">
        <v>5</v>
      </c>
      <c r="R13197" t="s">
        <v>41272</v>
      </c>
      <c r="S13197" t="s">
        <v>42222</v>
      </c>
      <c r="T13197" t="s">
        <v>42727</v>
      </c>
      <c r="U13197" t="s">
        <v>53750</v>
      </c>
      <c r="W13197" t="s">
        <v>41163</v>
      </c>
      <c r="X13197" t="s">
        <v>41273</v>
      </c>
    </row>
    <row r="13198" spans="1:24">
      <c r="A13198">
        <f>HYPERLINK("https://www.philgeps.gov.ph/GEPSNONPILOT/Tender/SplashBidNoticeAbstractUI.aspx?menuIndex=3&amp;refID=7040735&amp;Result=3","7040735")</f>
        <v>0</v>
      </c>
      <c r="B13198" t="s">
        <v>1633</v>
      </c>
      <c r="C13198" t="s">
        <v>16028</v>
      </c>
      <c r="D13198" t="s">
        <v>16693</v>
      </c>
      <c r="E13198" t="s">
        <v>28115</v>
      </c>
      <c r="F13198" t="s">
        <v>28669</v>
      </c>
      <c r="G13198" t="s">
        <v>28675</v>
      </c>
      <c r="H13198" t="s">
        <v>9998</v>
      </c>
      <c r="I13198" t="s">
        <v>28779</v>
      </c>
      <c r="J13198" t="s">
        <v>36867</v>
      </c>
      <c r="K13198" t="s">
        <v>37221</v>
      </c>
      <c r="M13198" t="s">
        <v>39222</v>
      </c>
      <c r="N13198" t="s">
        <v>41249</v>
      </c>
      <c r="O13198" t="s">
        <v>41250</v>
      </c>
      <c r="Q13198">
        <v>6</v>
      </c>
      <c r="R13198" t="s">
        <v>41272</v>
      </c>
      <c r="S13198" t="s">
        <v>41951</v>
      </c>
      <c r="T13198" t="s">
        <v>42884</v>
      </c>
      <c r="U13198" t="s">
        <v>53751</v>
      </c>
      <c r="V13198" t="s">
        <v>55824</v>
      </c>
      <c r="W13198" t="s">
        <v>39222</v>
      </c>
      <c r="X13198" t="s">
        <v>41273</v>
      </c>
    </row>
    <row r="13199" spans="1:24">
      <c r="A13199">
        <f>HYPERLINK("https://www.philgeps.gov.ph/GEPSNONPILOT/Tender/SplashBidNoticeAbstractUI.aspx?menuIndex=3&amp;refID=7040095&amp;Result=3","7040095")</f>
        <v>0</v>
      </c>
      <c r="B13199" t="s">
        <v>2173</v>
      </c>
      <c r="C13199" t="s">
        <v>16029</v>
      </c>
      <c r="D13199" t="s">
        <v>16664</v>
      </c>
      <c r="E13199" t="s">
        <v>28116</v>
      </c>
      <c r="F13199" t="s">
        <v>28669</v>
      </c>
      <c r="G13199" t="s">
        <v>28675</v>
      </c>
      <c r="H13199" t="s">
        <v>9998</v>
      </c>
      <c r="I13199" t="s">
        <v>28739</v>
      </c>
      <c r="J13199" t="s">
        <v>29386</v>
      </c>
      <c r="K13199" t="s">
        <v>37206</v>
      </c>
      <c r="M13199" t="s">
        <v>39822</v>
      </c>
      <c r="N13199" t="s">
        <v>41249</v>
      </c>
      <c r="O13199" t="s">
        <v>41250</v>
      </c>
      <c r="Q13199">
        <v>8</v>
      </c>
      <c r="R13199" t="s">
        <v>41272</v>
      </c>
      <c r="S13199" t="s">
        <v>42252</v>
      </c>
      <c r="T13199" t="s">
        <v>43160</v>
      </c>
      <c r="U13199" t="s">
        <v>53752</v>
      </c>
      <c r="V13199" t="s">
        <v>55825</v>
      </c>
      <c r="W13199" t="s">
        <v>39822</v>
      </c>
      <c r="X13199" t="s">
        <v>41273</v>
      </c>
    </row>
    <row r="13200" spans="1:24">
      <c r="A13200">
        <f>HYPERLINK("https://www.philgeps.gov.ph/GEPSNONPILOT/Tender/SplashBidNoticeAbstractUI.aspx?menuIndex=3&amp;refID=7040008&amp;Result=3","7040008")</f>
        <v>0</v>
      </c>
      <c r="B13200" t="s">
        <v>2173</v>
      </c>
      <c r="C13200" t="s">
        <v>16030</v>
      </c>
      <c r="D13200" t="s">
        <v>16664</v>
      </c>
      <c r="E13200" t="s">
        <v>28117</v>
      </c>
      <c r="F13200" t="s">
        <v>28669</v>
      </c>
      <c r="G13200" t="s">
        <v>28675</v>
      </c>
      <c r="H13200" t="s">
        <v>9998</v>
      </c>
      <c r="I13200" t="s">
        <v>6128</v>
      </c>
      <c r="J13200" t="s">
        <v>31300</v>
      </c>
      <c r="K13200" t="s">
        <v>37206</v>
      </c>
      <c r="M13200" t="s">
        <v>39822</v>
      </c>
      <c r="N13200" t="s">
        <v>41249</v>
      </c>
      <c r="O13200" t="s">
        <v>41250</v>
      </c>
      <c r="Q13200">
        <v>0</v>
      </c>
      <c r="R13200" t="s">
        <v>41272</v>
      </c>
      <c r="S13200" t="s">
        <v>42253</v>
      </c>
      <c r="T13200" t="s">
        <v>42954</v>
      </c>
      <c r="U13200" t="s">
        <v>53753</v>
      </c>
      <c r="V13200" t="s">
        <v>55826</v>
      </c>
      <c r="W13200" t="s">
        <v>39822</v>
      </c>
      <c r="X13200" t="s">
        <v>41273</v>
      </c>
    </row>
    <row r="13201" spans="1:24">
      <c r="A13201">
        <f>HYPERLINK("https://www.philgeps.gov.ph/GEPSNONPILOT/Tender/SplashBidNoticeAbstractUI.aspx?menuIndex=3&amp;refID=7040612&amp;Result=3","7040612")</f>
        <v>0</v>
      </c>
      <c r="B13201" t="s">
        <v>3322</v>
      </c>
      <c r="C13201" t="s">
        <v>16031</v>
      </c>
      <c r="D13201" t="s">
        <v>16618</v>
      </c>
      <c r="E13201" t="s">
        <v>28118</v>
      </c>
      <c r="F13201" t="s">
        <v>28669</v>
      </c>
      <c r="G13201" t="s">
        <v>28675</v>
      </c>
      <c r="H13201" t="s">
        <v>9998</v>
      </c>
      <c r="I13201" t="s">
        <v>28709</v>
      </c>
      <c r="J13201" t="s">
        <v>36868</v>
      </c>
      <c r="K13201" t="s">
        <v>37213</v>
      </c>
      <c r="M13201" t="s">
        <v>41163</v>
      </c>
      <c r="N13201" t="s">
        <v>41249</v>
      </c>
      <c r="O13201" t="s">
        <v>41250</v>
      </c>
      <c r="Q13201">
        <v>4</v>
      </c>
      <c r="R13201" t="s">
        <v>41272</v>
      </c>
      <c r="S13201" t="s">
        <v>42254</v>
      </c>
      <c r="T13201" t="s">
        <v>42727</v>
      </c>
      <c r="U13201" t="s">
        <v>53754</v>
      </c>
      <c r="W13201" t="s">
        <v>41163</v>
      </c>
      <c r="X13201" t="s">
        <v>41273</v>
      </c>
    </row>
    <row r="13202" spans="1:24">
      <c r="A13202">
        <f>HYPERLINK("https://www.philgeps.gov.ph/GEPSNONPILOT/Tender/SplashBidNoticeAbstractUI.aspx?menuIndex=3&amp;refID=7040530&amp;Result=3","7040530")</f>
        <v>0</v>
      </c>
      <c r="B13202" t="s">
        <v>1280</v>
      </c>
      <c r="C13202" t="s">
        <v>16032</v>
      </c>
      <c r="D13202" t="s">
        <v>16683</v>
      </c>
      <c r="E13202" t="s">
        <v>28119</v>
      </c>
      <c r="F13202" t="s">
        <v>28669</v>
      </c>
      <c r="G13202" t="s">
        <v>28675</v>
      </c>
      <c r="H13202" t="s">
        <v>9998</v>
      </c>
      <c r="I13202" t="s">
        <v>3718</v>
      </c>
      <c r="J13202" t="s">
        <v>36869</v>
      </c>
      <c r="K13202" t="s">
        <v>37210</v>
      </c>
      <c r="M13202" t="s">
        <v>39335</v>
      </c>
      <c r="N13202" t="s">
        <v>41249</v>
      </c>
      <c r="O13202" t="s">
        <v>41250</v>
      </c>
      <c r="Q13202">
        <v>3</v>
      </c>
      <c r="R13202" t="s">
        <v>41272</v>
      </c>
      <c r="S13202" t="s">
        <v>42255</v>
      </c>
      <c r="T13202" t="s">
        <v>43002</v>
      </c>
      <c r="U13202" t="s">
        <v>53755</v>
      </c>
      <c r="W13202" t="s">
        <v>39335</v>
      </c>
      <c r="X13202" t="s">
        <v>41273</v>
      </c>
    </row>
    <row r="13203" spans="1:24">
      <c r="A13203">
        <f>HYPERLINK("https://www.philgeps.gov.ph/GEPSNONPILOT/Tender/SplashBidNoticeAbstractUI.aspx?menuIndex=3&amp;refID=7040562&amp;Result=3","7040562")</f>
        <v>0</v>
      </c>
      <c r="B13203" t="s">
        <v>1280</v>
      </c>
      <c r="C13203" t="s">
        <v>16033</v>
      </c>
      <c r="D13203" t="s">
        <v>16683</v>
      </c>
      <c r="E13203" t="s">
        <v>28120</v>
      </c>
      <c r="F13203" t="s">
        <v>28669</v>
      </c>
      <c r="G13203" t="s">
        <v>28675</v>
      </c>
      <c r="H13203" t="s">
        <v>9998</v>
      </c>
      <c r="I13203" t="s">
        <v>28710</v>
      </c>
      <c r="J13203" t="s">
        <v>36870</v>
      </c>
      <c r="K13203" t="s">
        <v>37206</v>
      </c>
      <c r="M13203" t="s">
        <v>39335</v>
      </c>
      <c r="N13203" t="s">
        <v>41249</v>
      </c>
      <c r="O13203" t="s">
        <v>41250</v>
      </c>
      <c r="Q13203">
        <v>14</v>
      </c>
      <c r="R13203" t="s">
        <v>41272</v>
      </c>
      <c r="S13203" t="s">
        <v>42256</v>
      </c>
      <c r="T13203" t="s">
        <v>43002</v>
      </c>
      <c r="U13203" t="s">
        <v>53756</v>
      </c>
      <c r="W13203" t="s">
        <v>39335</v>
      </c>
      <c r="X13203" t="s">
        <v>41273</v>
      </c>
    </row>
    <row r="13204" spans="1:24">
      <c r="A13204">
        <f>HYPERLINK("https://www.philgeps.gov.ph/GEPSNONPILOT/Tender/SplashBidNoticeAbstractUI.aspx?menuIndex=3&amp;refID=7040529&amp;Result=3","7040529")</f>
        <v>0</v>
      </c>
      <c r="B13204" t="s">
        <v>479</v>
      </c>
      <c r="C13204" t="s">
        <v>16024</v>
      </c>
      <c r="E13204" t="s">
        <v>28121</v>
      </c>
      <c r="F13204" t="s">
        <v>28669</v>
      </c>
      <c r="G13204" t="s">
        <v>28675</v>
      </c>
      <c r="H13204" t="s">
        <v>9998</v>
      </c>
      <c r="I13204" t="s">
        <v>28693</v>
      </c>
      <c r="J13204" t="s">
        <v>32181</v>
      </c>
      <c r="K13204" t="s">
        <v>37220</v>
      </c>
      <c r="M13204" t="s">
        <v>40706</v>
      </c>
      <c r="N13204" t="s">
        <v>41249</v>
      </c>
      <c r="O13204" t="s">
        <v>41250</v>
      </c>
      <c r="P13204">
        <v>0</v>
      </c>
      <c r="Q13204">
        <v>43</v>
      </c>
      <c r="R13204" t="s">
        <v>41272</v>
      </c>
      <c r="S13204" t="s">
        <v>42222</v>
      </c>
      <c r="T13204" t="s">
        <v>42818</v>
      </c>
      <c r="U13204" t="s">
        <v>53325</v>
      </c>
      <c r="W13204" t="s">
        <v>40706</v>
      </c>
      <c r="X13204" t="s">
        <v>41273</v>
      </c>
    </row>
    <row r="13205" spans="1:24">
      <c r="A13205">
        <f>HYPERLINK("https://www.philgeps.gov.ph/GEPSNONPILOT/Tender/SplashBidNoticeAbstractUI.aspx?menuIndex=3&amp;refID=7040711&amp;Result=3","7040711")</f>
        <v>0</v>
      </c>
      <c r="B13205" t="s">
        <v>1633</v>
      </c>
      <c r="C13205" t="s">
        <v>16034</v>
      </c>
      <c r="D13205" t="s">
        <v>16693</v>
      </c>
      <c r="E13205" t="s">
        <v>28122</v>
      </c>
      <c r="F13205" t="s">
        <v>28669</v>
      </c>
      <c r="G13205" t="s">
        <v>28675</v>
      </c>
      <c r="H13205" t="s">
        <v>9998</v>
      </c>
      <c r="I13205" t="s">
        <v>28764</v>
      </c>
      <c r="J13205" t="s">
        <v>36871</v>
      </c>
      <c r="K13205" t="s">
        <v>37220</v>
      </c>
      <c r="M13205" t="s">
        <v>39222</v>
      </c>
      <c r="N13205" t="s">
        <v>41249</v>
      </c>
      <c r="O13205" t="s">
        <v>41250</v>
      </c>
      <c r="Q13205">
        <v>4</v>
      </c>
      <c r="R13205" t="s">
        <v>41272</v>
      </c>
      <c r="S13205" t="s">
        <v>42257</v>
      </c>
      <c r="T13205" t="s">
        <v>42839</v>
      </c>
      <c r="U13205" t="s">
        <v>53751</v>
      </c>
      <c r="V13205" t="s">
        <v>55827</v>
      </c>
      <c r="W13205" t="s">
        <v>39222</v>
      </c>
      <c r="X13205" t="s">
        <v>41273</v>
      </c>
    </row>
    <row r="13206" spans="1:24">
      <c r="A13206">
        <f>HYPERLINK("https://www.philgeps.gov.ph/GEPSNONPILOT/Tender/SplashBidNoticeAbstractUI.aspx?menuIndex=3&amp;refID=7040524&amp;Result=3","7040524")</f>
        <v>0</v>
      </c>
      <c r="B13206" t="s">
        <v>3323</v>
      </c>
      <c r="C13206" t="s">
        <v>16035</v>
      </c>
      <c r="D13206" t="s">
        <v>16635</v>
      </c>
      <c r="E13206" t="s">
        <v>28123</v>
      </c>
      <c r="F13206" t="s">
        <v>28669</v>
      </c>
      <c r="G13206" t="s">
        <v>28675</v>
      </c>
      <c r="H13206" t="s">
        <v>28686</v>
      </c>
      <c r="I13206" t="s">
        <v>28689</v>
      </c>
      <c r="J13206" t="s">
        <v>36872</v>
      </c>
      <c r="K13206" t="s">
        <v>37215</v>
      </c>
      <c r="M13206" t="s">
        <v>41164</v>
      </c>
      <c r="N13206" t="s">
        <v>41249</v>
      </c>
      <c r="O13206" t="s">
        <v>41250</v>
      </c>
      <c r="P13206">
        <v>0</v>
      </c>
      <c r="Q13206">
        <v>1</v>
      </c>
      <c r="R13206" t="s">
        <v>41272</v>
      </c>
      <c r="S13206" t="s">
        <v>42222</v>
      </c>
      <c r="T13206" t="s">
        <v>42992</v>
      </c>
      <c r="U13206" t="s">
        <v>53757</v>
      </c>
      <c r="W13206" t="s">
        <v>41164</v>
      </c>
      <c r="X13206" t="s">
        <v>41273</v>
      </c>
    </row>
    <row r="13207" spans="1:24">
      <c r="A13207">
        <f>HYPERLINK("https://www.philgeps.gov.ph/GEPSNONPILOT/Tender/SplashBidNoticeAbstractUI.aspx?menuIndex=3&amp;refID=7040695&amp;Result=3","7040695")</f>
        <v>0</v>
      </c>
      <c r="B13207" t="s">
        <v>609</v>
      </c>
      <c r="C13207" t="s">
        <v>16036</v>
      </c>
      <c r="D13207" t="s">
        <v>16608</v>
      </c>
      <c r="E13207" t="s">
        <v>28124</v>
      </c>
      <c r="F13207" t="s">
        <v>28669</v>
      </c>
      <c r="G13207" t="s">
        <v>28675</v>
      </c>
      <c r="H13207" t="s">
        <v>28685</v>
      </c>
      <c r="I13207" t="s">
        <v>28685</v>
      </c>
      <c r="J13207" t="s">
        <v>29059</v>
      </c>
      <c r="K13207" t="s">
        <v>37306</v>
      </c>
      <c r="M13207" t="s">
        <v>40277</v>
      </c>
      <c r="N13207" t="s">
        <v>41249</v>
      </c>
      <c r="O13207" t="s">
        <v>41250</v>
      </c>
      <c r="Q13207">
        <v>5</v>
      </c>
      <c r="R13207" t="s">
        <v>41272</v>
      </c>
      <c r="S13207" t="s">
        <v>42258</v>
      </c>
      <c r="T13207" t="s">
        <v>42935</v>
      </c>
      <c r="U13207" t="s">
        <v>53758</v>
      </c>
      <c r="W13207" t="s">
        <v>40277</v>
      </c>
      <c r="X13207" t="s">
        <v>41273</v>
      </c>
    </row>
    <row r="13208" spans="1:24">
      <c r="A13208">
        <f>HYPERLINK("https://www.philgeps.gov.ph/GEPSNONPILOT/Tender/SplashBidNoticeAbstractUI.aspx?menuIndex=3&amp;refID=7040515&amp;Result=3","7040515")</f>
        <v>0</v>
      </c>
      <c r="B13208" t="s">
        <v>3322</v>
      </c>
      <c r="C13208" t="s">
        <v>16037</v>
      </c>
      <c r="D13208" t="s">
        <v>16618</v>
      </c>
      <c r="E13208" t="s">
        <v>28125</v>
      </c>
      <c r="F13208" t="s">
        <v>28669</v>
      </c>
      <c r="G13208" t="s">
        <v>28675</v>
      </c>
      <c r="H13208" t="s">
        <v>9998</v>
      </c>
      <c r="I13208" t="s">
        <v>28709</v>
      </c>
      <c r="J13208" t="s">
        <v>36873</v>
      </c>
      <c r="K13208" t="s">
        <v>37213</v>
      </c>
      <c r="M13208" t="s">
        <v>41163</v>
      </c>
      <c r="N13208" t="s">
        <v>41249</v>
      </c>
      <c r="O13208" t="s">
        <v>41250</v>
      </c>
      <c r="P13208">
        <v>0</v>
      </c>
      <c r="Q13208">
        <v>7</v>
      </c>
      <c r="R13208" t="s">
        <v>41272</v>
      </c>
      <c r="S13208" t="s">
        <v>42222</v>
      </c>
      <c r="T13208" t="s">
        <v>42727</v>
      </c>
      <c r="U13208" t="s">
        <v>53759</v>
      </c>
      <c r="W13208" t="s">
        <v>41163</v>
      </c>
      <c r="X13208" t="s">
        <v>41273</v>
      </c>
    </row>
    <row r="13209" spans="1:24">
      <c r="A13209">
        <f>HYPERLINK("https://www.philgeps.gov.ph/GEPSNONPILOT/Tender/SplashBidNoticeAbstractUI.aspx?menuIndex=3&amp;refID=7039928&amp;Result=3","7039928")</f>
        <v>0</v>
      </c>
      <c r="B13209" t="s">
        <v>263</v>
      </c>
      <c r="C13209" t="s">
        <v>16038</v>
      </c>
      <c r="D13209" t="s">
        <v>16624</v>
      </c>
      <c r="E13209" t="s">
        <v>28126</v>
      </c>
      <c r="F13209" t="s">
        <v>28669</v>
      </c>
      <c r="G13209" t="s">
        <v>28675</v>
      </c>
      <c r="H13209" t="s">
        <v>28686</v>
      </c>
      <c r="I13209" t="s">
        <v>28689</v>
      </c>
      <c r="J13209" t="s">
        <v>36874</v>
      </c>
      <c r="K13209" t="s">
        <v>37290</v>
      </c>
      <c r="M13209" t="s">
        <v>37741</v>
      </c>
      <c r="N13209" t="s">
        <v>41249</v>
      </c>
      <c r="O13209" t="s">
        <v>41250</v>
      </c>
      <c r="P13209">
        <v>0</v>
      </c>
      <c r="Q13209">
        <v>5</v>
      </c>
      <c r="R13209" t="s">
        <v>41272</v>
      </c>
      <c r="S13209" t="s">
        <v>42222</v>
      </c>
      <c r="T13209" t="s">
        <v>42673</v>
      </c>
      <c r="U13209" t="s">
        <v>53760</v>
      </c>
      <c r="W13209" t="s">
        <v>37741</v>
      </c>
      <c r="X13209" t="s">
        <v>41273</v>
      </c>
    </row>
    <row r="13210" spans="1:24">
      <c r="A13210">
        <f>HYPERLINK("https://www.philgeps.gov.ph/GEPSNONPILOT/Tender/SplashBidNoticeAbstractUI.aspx?menuIndex=3&amp;refID=7040510&amp;Result=3","7040510")</f>
        <v>0</v>
      </c>
      <c r="B13210" t="s">
        <v>479</v>
      </c>
      <c r="C13210" t="s">
        <v>16024</v>
      </c>
      <c r="E13210" t="s">
        <v>28127</v>
      </c>
      <c r="F13210" t="s">
        <v>28669</v>
      </c>
      <c r="G13210" t="s">
        <v>28675</v>
      </c>
      <c r="H13210" t="s">
        <v>9998</v>
      </c>
      <c r="I13210" t="s">
        <v>28693</v>
      </c>
      <c r="J13210" t="s">
        <v>36875</v>
      </c>
      <c r="K13210" t="s">
        <v>37220</v>
      </c>
      <c r="M13210" t="s">
        <v>40706</v>
      </c>
      <c r="N13210" t="s">
        <v>41249</v>
      </c>
      <c r="O13210" t="s">
        <v>41250</v>
      </c>
      <c r="P13210">
        <v>0</v>
      </c>
      <c r="Q13210">
        <v>41</v>
      </c>
      <c r="R13210" t="s">
        <v>41272</v>
      </c>
      <c r="S13210" t="s">
        <v>42222</v>
      </c>
      <c r="T13210" t="s">
        <v>42688</v>
      </c>
      <c r="U13210" t="s">
        <v>53325</v>
      </c>
      <c r="W13210" t="s">
        <v>40706</v>
      </c>
      <c r="X13210" t="s">
        <v>41273</v>
      </c>
    </row>
    <row r="13211" spans="1:24">
      <c r="A13211">
        <f>HYPERLINK("https://www.philgeps.gov.ph/GEPSNONPILOT/Tender/SplashBidNoticeAbstractUI.aspx?menuIndex=3&amp;refID=7040800&amp;Result=3","7040800")</f>
        <v>0</v>
      </c>
      <c r="B13211" t="s">
        <v>762</v>
      </c>
      <c r="C13211" t="s">
        <v>16039</v>
      </c>
      <c r="E13211" t="s">
        <v>28128</v>
      </c>
      <c r="F13211" t="s">
        <v>28669</v>
      </c>
      <c r="G13211" t="s">
        <v>28675</v>
      </c>
      <c r="H13211" t="s">
        <v>9998</v>
      </c>
      <c r="I13211" t="s">
        <v>28728</v>
      </c>
      <c r="J13211" t="s">
        <v>29053</v>
      </c>
      <c r="K13211" t="s">
        <v>37209</v>
      </c>
      <c r="M13211" t="s">
        <v>38273</v>
      </c>
      <c r="N13211" t="s">
        <v>41249</v>
      </c>
      <c r="O13211" t="s">
        <v>41250</v>
      </c>
      <c r="Q13211">
        <v>2</v>
      </c>
      <c r="R13211" t="s">
        <v>41272</v>
      </c>
      <c r="S13211" t="s">
        <v>42259</v>
      </c>
      <c r="T13211" t="s">
        <v>42811</v>
      </c>
      <c r="U13211" t="s">
        <v>45818</v>
      </c>
      <c r="W13211" t="s">
        <v>38273</v>
      </c>
      <c r="X13211" t="s">
        <v>41273</v>
      </c>
    </row>
    <row r="13212" spans="1:24">
      <c r="A13212">
        <f>HYPERLINK("https://www.philgeps.gov.ph/GEPSNONPILOT/Tender/SplashBidNoticeAbstractUI.aspx?menuIndex=3&amp;refID=7040945&amp;Result=3","7040945")</f>
        <v>0</v>
      </c>
      <c r="B13212" t="s">
        <v>1872</v>
      </c>
      <c r="C13212" t="s">
        <v>5285</v>
      </c>
      <c r="D13212" t="s">
        <v>16607</v>
      </c>
      <c r="E13212" t="s">
        <v>28129</v>
      </c>
      <c r="F13212" t="s">
        <v>28669</v>
      </c>
      <c r="G13212" t="s">
        <v>28675</v>
      </c>
      <c r="H13212" t="s">
        <v>28686</v>
      </c>
      <c r="I13212" t="s">
        <v>28689</v>
      </c>
      <c r="J13212" t="s">
        <v>29927</v>
      </c>
      <c r="K13212" t="s">
        <v>37429</v>
      </c>
      <c r="M13212" t="s">
        <v>39494</v>
      </c>
      <c r="N13212" t="s">
        <v>41249</v>
      </c>
      <c r="O13212" t="s">
        <v>41250</v>
      </c>
      <c r="P13212">
        <v>0</v>
      </c>
      <c r="Q13212">
        <v>43</v>
      </c>
      <c r="R13212" t="s">
        <v>41272</v>
      </c>
      <c r="S13212" t="s">
        <v>42222</v>
      </c>
      <c r="T13212" t="s">
        <v>42887</v>
      </c>
      <c r="U13212" t="s">
        <v>53761</v>
      </c>
      <c r="V13212" t="s">
        <v>54340</v>
      </c>
      <c r="W13212" t="s">
        <v>39494</v>
      </c>
      <c r="X13212" t="s">
        <v>41273</v>
      </c>
    </row>
    <row r="13213" spans="1:24">
      <c r="A13213">
        <f>HYPERLINK("https://www.philgeps.gov.ph/GEPSNONPILOT/Tender/SplashBidNoticeAbstractUI.aspx?menuIndex=3&amp;refID=7035298&amp;Result=3","7035298")</f>
        <v>0</v>
      </c>
      <c r="B13213" t="s">
        <v>3324</v>
      </c>
      <c r="C13213" t="s">
        <v>16040</v>
      </c>
      <c r="D13213" t="s">
        <v>16627</v>
      </c>
      <c r="E13213" t="s">
        <v>28130</v>
      </c>
      <c r="F13213" t="s">
        <v>28669</v>
      </c>
      <c r="G13213" t="s">
        <v>28675</v>
      </c>
      <c r="H13213" t="s">
        <v>28686</v>
      </c>
      <c r="I13213" t="s">
        <v>28689</v>
      </c>
      <c r="J13213" t="s">
        <v>32601</v>
      </c>
      <c r="K13213" t="s">
        <v>37220</v>
      </c>
      <c r="M13213" t="s">
        <v>41165</v>
      </c>
      <c r="N13213" t="s">
        <v>41249</v>
      </c>
      <c r="O13213" t="s">
        <v>41250</v>
      </c>
      <c r="Q13213">
        <v>1</v>
      </c>
      <c r="R13213" t="s">
        <v>41273</v>
      </c>
      <c r="S13213" t="s">
        <v>42260</v>
      </c>
      <c r="T13213" t="s">
        <v>42736</v>
      </c>
      <c r="U13213" t="s">
        <v>53762</v>
      </c>
      <c r="V13213" t="s">
        <v>55828</v>
      </c>
      <c r="W13213" t="s">
        <v>41165</v>
      </c>
      <c r="X13213" t="s">
        <v>41274</v>
      </c>
    </row>
    <row r="13214" spans="1:24">
      <c r="A13214">
        <f>HYPERLINK("https://www.philgeps.gov.ph/GEPSNONPILOT/Tender/SplashBidNoticeAbstractUI.aspx?menuIndex=3&amp;refID=7040810&amp;Result=3","7040810")</f>
        <v>0</v>
      </c>
      <c r="B13214" t="s">
        <v>2850</v>
      </c>
      <c r="C13214" t="s">
        <v>16041</v>
      </c>
      <c r="D13214" t="s">
        <v>16608</v>
      </c>
      <c r="E13214" t="s">
        <v>20977</v>
      </c>
      <c r="F13214" t="s">
        <v>28669</v>
      </c>
      <c r="G13214" t="s">
        <v>28675</v>
      </c>
      <c r="H13214" t="s">
        <v>9998</v>
      </c>
      <c r="I13214" t="s">
        <v>28763</v>
      </c>
      <c r="J13214" t="s">
        <v>28924</v>
      </c>
      <c r="K13214" t="s">
        <v>37210</v>
      </c>
      <c r="M13214" t="s">
        <v>40587</v>
      </c>
      <c r="N13214" t="s">
        <v>41249</v>
      </c>
      <c r="O13214" t="s">
        <v>41250</v>
      </c>
      <c r="P13214">
        <v>0</v>
      </c>
      <c r="Q13214">
        <v>5</v>
      </c>
      <c r="R13214" t="s">
        <v>41272</v>
      </c>
      <c r="S13214" t="s">
        <v>42222</v>
      </c>
      <c r="T13214" t="s">
        <v>42858</v>
      </c>
      <c r="U13214" t="s">
        <v>53763</v>
      </c>
      <c r="W13214" t="s">
        <v>40587</v>
      </c>
      <c r="X13214" t="s">
        <v>41273</v>
      </c>
    </row>
    <row r="13215" spans="1:24">
      <c r="A13215">
        <f>HYPERLINK("https://www.philgeps.gov.ph/GEPSNONPILOT/Tender/SplashBidNoticeAbstractUI.aspx?menuIndex=3&amp;refID=7012626-2&amp;Result=3","7012626-2")</f>
        <v>0</v>
      </c>
      <c r="B13215" t="s">
        <v>2801</v>
      </c>
      <c r="C13215" t="s">
        <v>16042</v>
      </c>
      <c r="E13215" t="s">
        <v>28131</v>
      </c>
      <c r="F13215" t="s">
        <v>28669</v>
      </c>
      <c r="G13215" t="s">
        <v>28675</v>
      </c>
      <c r="H13215" t="s">
        <v>28685</v>
      </c>
      <c r="I13215" t="s">
        <v>28685</v>
      </c>
      <c r="J13215" t="s">
        <v>36876</v>
      </c>
      <c r="K13215" t="s">
        <v>37209</v>
      </c>
      <c r="M13215" t="s">
        <v>40527</v>
      </c>
      <c r="N13215" t="s">
        <v>41249</v>
      </c>
      <c r="O13215" t="s">
        <v>41250</v>
      </c>
      <c r="Q13215">
        <v>1</v>
      </c>
      <c r="R13215" t="s">
        <v>41273</v>
      </c>
      <c r="S13215" t="s">
        <v>42193</v>
      </c>
      <c r="T13215" t="s">
        <v>42690</v>
      </c>
      <c r="U13215" t="s">
        <v>53764</v>
      </c>
      <c r="V13215" t="s">
        <v>55829</v>
      </c>
      <c r="W13215" t="s">
        <v>40527</v>
      </c>
      <c r="X13215" t="s">
        <v>41274</v>
      </c>
    </row>
    <row r="13216" spans="1:24">
      <c r="A13216">
        <f>HYPERLINK("https://www.philgeps.gov.ph/GEPSNONPILOT/Tender/SplashBidNoticeAbstractUI.aspx?menuIndex=3&amp;refID=7040940&amp;Result=3","7040940")</f>
        <v>0</v>
      </c>
      <c r="B13216" t="s">
        <v>1872</v>
      </c>
      <c r="C13216" t="s">
        <v>16043</v>
      </c>
      <c r="D13216" t="s">
        <v>16607</v>
      </c>
      <c r="E13216" t="s">
        <v>28132</v>
      </c>
      <c r="F13216" t="s">
        <v>28669</v>
      </c>
      <c r="G13216" t="s">
        <v>28675</v>
      </c>
      <c r="H13216" t="s">
        <v>28686</v>
      </c>
      <c r="I13216" t="s">
        <v>28689</v>
      </c>
      <c r="J13216" t="s">
        <v>28924</v>
      </c>
      <c r="K13216" t="s">
        <v>37220</v>
      </c>
      <c r="M13216" t="s">
        <v>39494</v>
      </c>
      <c r="N13216" t="s">
        <v>41249</v>
      </c>
      <c r="O13216" t="s">
        <v>41250</v>
      </c>
      <c r="P13216">
        <v>0</v>
      </c>
      <c r="Q13216">
        <v>44</v>
      </c>
      <c r="R13216" t="s">
        <v>41272</v>
      </c>
      <c r="S13216" t="s">
        <v>42222</v>
      </c>
      <c r="T13216" t="s">
        <v>42887</v>
      </c>
      <c r="U13216" t="s">
        <v>53765</v>
      </c>
      <c r="V13216" t="s">
        <v>54340</v>
      </c>
      <c r="W13216" t="s">
        <v>39494</v>
      </c>
      <c r="X13216" t="s">
        <v>41273</v>
      </c>
    </row>
    <row r="13217" spans="1:24">
      <c r="A13217">
        <f>HYPERLINK("https://www.philgeps.gov.ph/GEPSNONPILOT/Tender/SplashBidNoticeAbstractUI.aspx?menuIndex=3&amp;refID=7040925&amp;Result=3","7040925")</f>
        <v>0</v>
      </c>
      <c r="B13217" t="s">
        <v>1872</v>
      </c>
      <c r="C13217" t="s">
        <v>16044</v>
      </c>
      <c r="D13217" t="s">
        <v>16607</v>
      </c>
      <c r="E13217" t="s">
        <v>28133</v>
      </c>
      <c r="F13217" t="s">
        <v>28669</v>
      </c>
      <c r="G13217" t="s">
        <v>28675</v>
      </c>
      <c r="H13217" t="s">
        <v>28686</v>
      </c>
      <c r="I13217" t="s">
        <v>28689</v>
      </c>
      <c r="J13217" t="s">
        <v>28836</v>
      </c>
      <c r="K13217" t="s">
        <v>37344</v>
      </c>
      <c r="M13217" t="s">
        <v>39494</v>
      </c>
      <c r="N13217" t="s">
        <v>41249</v>
      </c>
      <c r="O13217" t="s">
        <v>41250</v>
      </c>
      <c r="P13217">
        <v>0</v>
      </c>
      <c r="Q13217">
        <v>46</v>
      </c>
      <c r="R13217" t="s">
        <v>41272</v>
      </c>
      <c r="S13217" t="s">
        <v>42222</v>
      </c>
      <c r="T13217" t="s">
        <v>42887</v>
      </c>
      <c r="U13217" t="s">
        <v>53766</v>
      </c>
      <c r="V13217" t="s">
        <v>54340</v>
      </c>
      <c r="W13217" t="s">
        <v>39494</v>
      </c>
      <c r="X13217" t="s">
        <v>41273</v>
      </c>
    </row>
    <row r="13218" spans="1:24">
      <c r="A13218">
        <f>HYPERLINK("https://www.philgeps.gov.ph/GEPSNONPILOT/Tender/SplashBidNoticeAbstractUI.aspx?menuIndex=3&amp;refID=7040525&amp;Result=3","7040525")</f>
        <v>0</v>
      </c>
      <c r="B13218" t="s">
        <v>564</v>
      </c>
      <c r="C13218" t="s">
        <v>16045</v>
      </c>
      <c r="D13218" t="s">
        <v>16627</v>
      </c>
      <c r="E13218" t="s">
        <v>28134</v>
      </c>
      <c r="F13218" t="s">
        <v>28669</v>
      </c>
      <c r="G13218" t="s">
        <v>28675</v>
      </c>
      <c r="H13218" t="s">
        <v>9998</v>
      </c>
      <c r="I13218" t="s">
        <v>28713</v>
      </c>
      <c r="J13218" t="s">
        <v>36877</v>
      </c>
      <c r="K13218" t="s">
        <v>37206</v>
      </c>
      <c r="M13218" t="s">
        <v>38060</v>
      </c>
      <c r="N13218" t="s">
        <v>41249</v>
      </c>
      <c r="O13218" t="s">
        <v>41250</v>
      </c>
      <c r="P13218">
        <v>0</v>
      </c>
      <c r="Q13218">
        <v>4</v>
      </c>
      <c r="R13218" t="s">
        <v>41272</v>
      </c>
      <c r="S13218" t="s">
        <v>42222</v>
      </c>
      <c r="T13218" t="s">
        <v>42736</v>
      </c>
      <c r="U13218" t="s">
        <v>53767</v>
      </c>
      <c r="V13218" t="s">
        <v>54383</v>
      </c>
      <c r="W13218" t="s">
        <v>38060</v>
      </c>
      <c r="X13218" t="s">
        <v>41273</v>
      </c>
    </row>
    <row r="13219" spans="1:24">
      <c r="A13219">
        <f>HYPERLINK("https://www.philgeps.gov.ph/GEPSNONPILOT/Tender/SplashBidNoticeAbstractUI.aspx?menuIndex=3&amp;refID=7040908&amp;Result=3","7040908")</f>
        <v>0</v>
      </c>
      <c r="B13219" t="s">
        <v>727</v>
      </c>
      <c r="C13219" t="s">
        <v>16046</v>
      </c>
      <c r="D13219" t="s">
        <v>16661</v>
      </c>
      <c r="E13219" t="s">
        <v>28135</v>
      </c>
      <c r="F13219" t="s">
        <v>28669</v>
      </c>
      <c r="G13219" t="s">
        <v>28675</v>
      </c>
      <c r="H13219" t="s">
        <v>9998</v>
      </c>
      <c r="I13219" t="s">
        <v>28687</v>
      </c>
      <c r="J13219" t="s">
        <v>28881</v>
      </c>
      <c r="K13219" t="s">
        <v>37221</v>
      </c>
      <c r="M13219" t="s">
        <v>38235</v>
      </c>
      <c r="N13219" t="s">
        <v>41249</v>
      </c>
      <c r="O13219" t="s">
        <v>41250</v>
      </c>
      <c r="Q13219">
        <v>7</v>
      </c>
      <c r="R13219" t="s">
        <v>41272</v>
      </c>
      <c r="S13219" t="s">
        <v>42261</v>
      </c>
      <c r="T13219" t="s">
        <v>42786</v>
      </c>
      <c r="U13219" t="s">
        <v>53768</v>
      </c>
      <c r="W13219" t="s">
        <v>38235</v>
      </c>
      <c r="X13219" t="s">
        <v>41273</v>
      </c>
    </row>
    <row r="13220" spans="1:24">
      <c r="A13220">
        <f>HYPERLINK("https://www.philgeps.gov.ph/GEPSNONPILOT/Tender/SplashBidNoticeAbstractUI.aspx?menuIndex=3&amp;refID=7040649&amp;Result=3","7040649")</f>
        <v>0</v>
      </c>
      <c r="B13220" t="s">
        <v>732</v>
      </c>
      <c r="C13220" t="s">
        <v>16047</v>
      </c>
      <c r="E13220" t="s">
        <v>28136</v>
      </c>
      <c r="F13220" t="s">
        <v>28669</v>
      </c>
      <c r="G13220" t="s">
        <v>28675</v>
      </c>
      <c r="H13220" t="s">
        <v>9998</v>
      </c>
      <c r="I13220" t="s">
        <v>28708</v>
      </c>
      <c r="J13220" t="s">
        <v>29244</v>
      </c>
      <c r="K13220" t="s">
        <v>37209</v>
      </c>
      <c r="M13220" t="s">
        <v>41014</v>
      </c>
      <c r="N13220" t="s">
        <v>41249</v>
      </c>
      <c r="O13220" t="s">
        <v>41250</v>
      </c>
      <c r="Q13220">
        <v>13</v>
      </c>
      <c r="R13220" t="s">
        <v>41272</v>
      </c>
      <c r="S13220" t="s">
        <v>42262</v>
      </c>
      <c r="T13220" t="s">
        <v>42670</v>
      </c>
      <c r="U13220" t="s">
        <v>53769</v>
      </c>
      <c r="W13220" t="s">
        <v>41014</v>
      </c>
      <c r="X13220" t="s">
        <v>41273</v>
      </c>
    </row>
    <row r="13221" spans="1:24">
      <c r="A13221">
        <f>HYPERLINK("https://www.philgeps.gov.ph/GEPSNONPILOT/Tender/SplashBidNoticeAbstractUI.aspx?menuIndex=3&amp;refID=7040837&amp;Result=3","7040837")</f>
        <v>0</v>
      </c>
      <c r="B13221" t="s">
        <v>3324</v>
      </c>
      <c r="C13221" t="s">
        <v>16048</v>
      </c>
      <c r="D13221" t="s">
        <v>16627</v>
      </c>
      <c r="E13221" t="s">
        <v>28137</v>
      </c>
      <c r="F13221" t="s">
        <v>28669</v>
      </c>
      <c r="G13221" t="s">
        <v>28675</v>
      </c>
      <c r="H13221" t="s">
        <v>28686</v>
      </c>
      <c r="I13221" t="s">
        <v>28689</v>
      </c>
      <c r="J13221" t="s">
        <v>32463</v>
      </c>
      <c r="K13221" t="s">
        <v>37212</v>
      </c>
      <c r="M13221" t="s">
        <v>41165</v>
      </c>
      <c r="N13221" t="s">
        <v>41249</v>
      </c>
      <c r="O13221" t="s">
        <v>41250</v>
      </c>
      <c r="Q13221">
        <v>2</v>
      </c>
      <c r="R13221" t="s">
        <v>41272</v>
      </c>
      <c r="S13221" t="s">
        <v>42263</v>
      </c>
      <c r="T13221" t="s">
        <v>42736</v>
      </c>
      <c r="U13221" t="s">
        <v>53770</v>
      </c>
      <c r="V13221" t="s">
        <v>55828</v>
      </c>
      <c r="W13221" t="s">
        <v>41165</v>
      </c>
      <c r="X13221" t="s">
        <v>41273</v>
      </c>
    </row>
    <row r="13222" spans="1:24">
      <c r="A13222">
        <f>HYPERLINK("https://www.philgeps.gov.ph/GEPSNONPILOT/Tender/SplashBidNoticeAbstractUI.aspx?menuIndex=3&amp;refID=7040906&amp;Result=3","7040906")</f>
        <v>0</v>
      </c>
      <c r="B13222" t="s">
        <v>3325</v>
      </c>
      <c r="C13222" t="s">
        <v>16049</v>
      </c>
      <c r="D13222" t="s">
        <v>16640</v>
      </c>
      <c r="E13222" t="s">
        <v>28138</v>
      </c>
      <c r="F13222" t="s">
        <v>28669</v>
      </c>
      <c r="G13222" t="s">
        <v>28675</v>
      </c>
      <c r="H13222" t="s">
        <v>28686</v>
      </c>
      <c r="I13222" t="s">
        <v>28689</v>
      </c>
      <c r="J13222" t="s">
        <v>32073</v>
      </c>
      <c r="K13222" t="s">
        <v>37215</v>
      </c>
      <c r="M13222" t="s">
        <v>41166</v>
      </c>
      <c r="N13222" t="s">
        <v>41249</v>
      </c>
      <c r="O13222" t="s">
        <v>41250</v>
      </c>
      <c r="P13222">
        <v>0</v>
      </c>
      <c r="Q13222">
        <v>3</v>
      </c>
      <c r="R13222" t="s">
        <v>41272</v>
      </c>
      <c r="S13222" t="s">
        <v>42222</v>
      </c>
      <c r="T13222" t="s">
        <v>43161</v>
      </c>
      <c r="U13222" t="s">
        <v>53771</v>
      </c>
      <c r="W13222" t="s">
        <v>41166</v>
      </c>
      <c r="X13222" t="s">
        <v>41273</v>
      </c>
    </row>
    <row r="13223" spans="1:24">
      <c r="A13223">
        <f>HYPERLINK("https://www.philgeps.gov.ph/GEPSNONPILOT/Tender/SplashBidNoticeAbstractUI.aspx?menuIndex=3&amp;refID=7040921&amp;Result=3","7040921")</f>
        <v>0</v>
      </c>
      <c r="B13223" t="s">
        <v>100</v>
      </c>
      <c r="C13223" t="s">
        <v>16050</v>
      </c>
      <c r="D13223" t="s">
        <v>16608</v>
      </c>
      <c r="E13223" t="s">
        <v>28139</v>
      </c>
      <c r="F13223" t="s">
        <v>28669</v>
      </c>
      <c r="G13223" t="s">
        <v>28675</v>
      </c>
      <c r="H13223" t="s">
        <v>9998</v>
      </c>
      <c r="I13223" t="s">
        <v>28733</v>
      </c>
      <c r="J13223" t="s">
        <v>36878</v>
      </c>
      <c r="K13223" t="s">
        <v>37327</v>
      </c>
      <c r="M13223" t="s">
        <v>39458</v>
      </c>
      <c r="N13223" t="s">
        <v>41249</v>
      </c>
      <c r="O13223" t="s">
        <v>41250</v>
      </c>
      <c r="Q13223">
        <v>3</v>
      </c>
      <c r="R13223" t="s">
        <v>41272</v>
      </c>
      <c r="S13223" t="s">
        <v>42264</v>
      </c>
      <c r="T13223" t="s">
        <v>42796</v>
      </c>
      <c r="U13223" t="s">
        <v>53772</v>
      </c>
      <c r="W13223" t="s">
        <v>39458</v>
      </c>
      <c r="X13223" t="s">
        <v>41273</v>
      </c>
    </row>
    <row r="13224" spans="1:24">
      <c r="A13224">
        <f>HYPERLINK("https://www.philgeps.gov.ph/GEPSNONPILOT/Tender/SplashBidNoticeAbstractUI.aspx?menuIndex=3&amp;refID=7040882&amp;Result=3","7040882")</f>
        <v>0</v>
      </c>
      <c r="B13224" t="s">
        <v>752</v>
      </c>
      <c r="C13224" t="s">
        <v>16051</v>
      </c>
      <c r="E13224" t="s">
        <v>28140</v>
      </c>
      <c r="F13224" t="s">
        <v>28669</v>
      </c>
      <c r="G13224" t="s">
        <v>28675</v>
      </c>
      <c r="H13224" t="s">
        <v>28686</v>
      </c>
      <c r="I13224" t="s">
        <v>28689</v>
      </c>
      <c r="J13224" t="s">
        <v>28881</v>
      </c>
      <c r="K13224" t="s">
        <v>37211</v>
      </c>
      <c r="M13224" t="s">
        <v>39224</v>
      </c>
      <c r="N13224" t="s">
        <v>41249</v>
      </c>
      <c r="O13224" t="s">
        <v>41250</v>
      </c>
      <c r="Q13224">
        <v>7</v>
      </c>
      <c r="R13224" t="s">
        <v>41272</v>
      </c>
      <c r="S13224" t="s">
        <v>42265</v>
      </c>
      <c r="T13224" t="s">
        <v>42729</v>
      </c>
      <c r="U13224" t="s">
        <v>53773</v>
      </c>
      <c r="V13224" t="s">
        <v>55830</v>
      </c>
      <c r="W13224" t="s">
        <v>39224</v>
      </c>
      <c r="X13224" t="s">
        <v>41273</v>
      </c>
    </row>
    <row r="13225" spans="1:24">
      <c r="A13225">
        <f>HYPERLINK("https://www.philgeps.gov.ph/GEPSNONPILOT/Tender/SplashBidNoticeAbstractUI.aspx?menuIndex=3&amp;refID=7040862&amp;Result=3","7040862")</f>
        <v>0</v>
      </c>
      <c r="B13225" t="s">
        <v>3326</v>
      </c>
      <c r="C13225" t="s">
        <v>16052</v>
      </c>
      <c r="D13225" t="s">
        <v>16608</v>
      </c>
      <c r="E13225" t="s">
        <v>28141</v>
      </c>
      <c r="F13225" t="s">
        <v>28669</v>
      </c>
      <c r="G13225" t="s">
        <v>28675</v>
      </c>
      <c r="H13225" t="s">
        <v>28685</v>
      </c>
      <c r="I13225" t="s">
        <v>28685</v>
      </c>
      <c r="J13225" t="s">
        <v>30755</v>
      </c>
      <c r="K13225" t="s">
        <v>37215</v>
      </c>
      <c r="M13225" t="s">
        <v>41167</v>
      </c>
      <c r="N13225" t="s">
        <v>41249</v>
      </c>
      <c r="O13225" t="s">
        <v>41250</v>
      </c>
      <c r="P13225">
        <v>0</v>
      </c>
      <c r="Q13225">
        <v>8</v>
      </c>
      <c r="R13225" t="s">
        <v>41272</v>
      </c>
      <c r="S13225" t="s">
        <v>42222</v>
      </c>
      <c r="T13225" t="s">
        <v>43076</v>
      </c>
      <c r="U13225" t="s">
        <v>53774</v>
      </c>
      <c r="W13225" t="s">
        <v>41167</v>
      </c>
      <c r="X13225" t="s">
        <v>41273</v>
      </c>
    </row>
    <row r="13226" spans="1:24">
      <c r="A13226">
        <f>HYPERLINK("https://www.philgeps.gov.ph/GEPSNONPILOT/Tender/SplashBidNoticeAbstractUI.aspx?menuIndex=3&amp;refID=7040846&amp;Result=3","7040846")</f>
        <v>0</v>
      </c>
      <c r="B13226" t="s">
        <v>2103</v>
      </c>
      <c r="C13226" t="s">
        <v>16053</v>
      </c>
      <c r="D13226" t="s">
        <v>16677</v>
      </c>
      <c r="E13226" t="s">
        <v>28142</v>
      </c>
      <c r="F13226" t="s">
        <v>28669</v>
      </c>
      <c r="G13226" t="s">
        <v>28675</v>
      </c>
      <c r="H13226" t="s">
        <v>28686</v>
      </c>
      <c r="I13226" t="s">
        <v>28689</v>
      </c>
      <c r="J13226" t="s">
        <v>35962</v>
      </c>
      <c r="K13226" t="s">
        <v>37429</v>
      </c>
      <c r="M13226" t="s">
        <v>39746</v>
      </c>
      <c r="N13226" t="s">
        <v>41249</v>
      </c>
      <c r="O13226" t="s">
        <v>41250</v>
      </c>
      <c r="Q13226">
        <v>11</v>
      </c>
      <c r="R13226" t="s">
        <v>41272</v>
      </c>
      <c r="S13226" t="s">
        <v>42266</v>
      </c>
      <c r="T13226" t="s">
        <v>42761</v>
      </c>
      <c r="U13226" t="s">
        <v>53775</v>
      </c>
      <c r="V13226" t="s">
        <v>55831</v>
      </c>
      <c r="W13226" t="s">
        <v>39746</v>
      </c>
      <c r="X13226" t="s">
        <v>41273</v>
      </c>
    </row>
    <row r="13227" spans="1:24">
      <c r="A13227">
        <f>HYPERLINK("https://www.philgeps.gov.ph/GEPSNONPILOT/Tender/SplashBidNoticeAbstractUI.aspx?menuIndex=3&amp;refID=7040933&amp;Result=3","7040933")</f>
        <v>0</v>
      </c>
      <c r="B13227" t="s">
        <v>1872</v>
      </c>
      <c r="C13227" t="s">
        <v>16054</v>
      </c>
      <c r="D13227" t="s">
        <v>16607</v>
      </c>
      <c r="E13227" t="s">
        <v>28143</v>
      </c>
      <c r="F13227" t="s">
        <v>28669</v>
      </c>
      <c r="G13227" t="s">
        <v>28675</v>
      </c>
      <c r="H13227" t="s">
        <v>28686</v>
      </c>
      <c r="I13227" t="s">
        <v>28689</v>
      </c>
      <c r="J13227" t="s">
        <v>29112</v>
      </c>
      <c r="K13227" t="s">
        <v>37220</v>
      </c>
      <c r="M13227" t="s">
        <v>39494</v>
      </c>
      <c r="N13227" t="s">
        <v>41249</v>
      </c>
      <c r="O13227" t="s">
        <v>41250</v>
      </c>
      <c r="P13227">
        <v>0</v>
      </c>
      <c r="Q13227">
        <v>42</v>
      </c>
      <c r="R13227" t="s">
        <v>41272</v>
      </c>
      <c r="S13227" t="s">
        <v>42222</v>
      </c>
      <c r="T13227" t="s">
        <v>42887</v>
      </c>
      <c r="U13227" t="s">
        <v>53776</v>
      </c>
      <c r="V13227" t="s">
        <v>54340</v>
      </c>
      <c r="W13227" t="s">
        <v>39494</v>
      </c>
      <c r="X13227" t="s">
        <v>41273</v>
      </c>
    </row>
    <row r="13228" spans="1:24">
      <c r="A13228">
        <f>HYPERLINK("https://www.philgeps.gov.ph/GEPSNONPILOT/Tender/SplashBidNoticeAbstractUI.aspx?menuIndex=3&amp;refID=7040844&amp;Result=3","7040844")</f>
        <v>0</v>
      </c>
      <c r="B13228" t="s">
        <v>3324</v>
      </c>
      <c r="C13228" t="s">
        <v>16055</v>
      </c>
      <c r="D13228" t="s">
        <v>16627</v>
      </c>
      <c r="E13228" t="s">
        <v>28144</v>
      </c>
      <c r="F13228" t="s">
        <v>28669</v>
      </c>
      <c r="G13228" t="s">
        <v>28675</v>
      </c>
      <c r="H13228" t="s">
        <v>28686</v>
      </c>
      <c r="I13228" t="s">
        <v>28689</v>
      </c>
      <c r="J13228" t="s">
        <v>32463</v>
      </c>
      <c r="K13228" t="s">
        <v>37212</v>
      </c>
      <c r="M13228" t="s">
        <v>41165</v>
      </c>
      <c r="N13228" t="s">
        <v>41249</v>
      </c>
      <c r="O13228" t="s">
        <v>41250</v>
      </c>
      <c r="Q13228">
        <v>1</v>
      </c>
      <c r="R13228" t="s">
        <v>41272</v>
      </c>
      <c r="S13228" t="s">
        <v>42267</v>
      </c>
      <c r="T13228" t="s">
        <v>42736</v>
      </c>
      <c r="U13228" t="s">
        <v>53777</v>
      </c>
      <c r="V13228" t="s">
        <v>55828</v>
      </c>
      <c r="W13228" t="s">
        <v>41165</v>
      </c>
      <c r="X13228" t="s">
        <v>41273</v>
      </c>
    </row>
    <row r="13229" spans="1:24">
      <c r="A13229">
        <f>HYPERLINK("https://www.philgeps.gov.ph/GEPSNONPILOT/Tender/SplashBidNoticeAbstractUI.aspx?menuIndex=3&amp;refID=7040912&amp;Result=3","7040912")</f>
        <v>0</v>
      </c>
      <c r="B13229" t="s">
        <v>1872</v>
      </c>
      <c r="C13229" t="s">
        <v>16056</v>
      </c>
      <c r="D13229" t="s">
        <v>16607</v>
      </c>
      <c r="E13229" t="s">
        <v>28145</v>
      </c>
      <c r="F13229" t="s">
        <v>28669</v>
      </c>
      <c r="G13229" t="s">
        <v>28675</v>
      </c>
      <c r="H13229" t="s">
        <v>28686</v>
      </c>
      <c r="I13229" t="s">
        <v>28689</v>
      </c>
      <c r="J13229" t="s">
        <v>28836</v>
      </c>
      <c r="K13229" t="s">
        <v>37215</v>
      </c>
      <c r="M13229" t="s">
        <v>39494</v>
      </c>
      <c r="N13229" t="s">
        <v>41249</v>
      </c>
      <c r="O13229" t="s">
        <v>41250</v>
      </c>
      <c r="P13229">
        <v>0</v>
      </c>
      <c r="Q13229">
        <v>45</v>
      </c>
      <c r="R13229" t="s">
        <v>41272</v>
      </c>
      <c r="S13229" t="s">
        <v>42222</v>
      </c>
      <c r="T13229" t="s">
        <v>42887</v>
      </c>
      <c r="U13229" t="s">
        <v>53778</v>
      </c>
      <c r="V13229" t="s">
        <v>54340</v>
      </c>
      <c r="W13229" t="s">
        <v>39494</v>
      </c>
      <c r="X13229" t="s">
        <v>41273</v>
      </c>
    </row>
    <row r="13230" spans="1:24">
      <c r="A13230">
        <f>HYPERLINK("https://www.philgeps.gov.ph/GEPSNONPILOT/Tender/SplashBidNoticeAbstractUI.aspx?menuIndex=3&amp;refID=7036201&amp;Result=3","7036201")</f>
        <v>0</v>
      </c>
      <c r="B13230" t="s">
        <v>3327</v>
      </c>
      <c r="C13230" t="s">
        <v>16057</v>
      </c>
      <c r="D13230" t="s">
        <v>16632</v>
      </c>
      <c r="E13230" t="s">
        <v>28146</v>
      </c>
      <c r="F13230" t="s">
        <v>28669</v>
      </c>
      <c r="G13230" t="s">
        <v>28675</v>
      </c>
      <c r="H13230" t="s">
        <v>28686</v>
      </c>
      <c r="I13230" t="s">
        <v>28689</v>
      </c>
      <c r="J13230" t="s">
        <v>36879</v>
      </c>
      <c r="K13230" t="s">
        <v>37223</v>
      </c>
      <c r="M13230" t="s">
        <v>41168</v>
      </c>
      <c r="N13230" t="s">
        <v>41249</v>
      </c>
      <c r="O13230" t="s">
        <v>41250</v>
      </c>
      <c r="P13230">
        <v>0</v>
      </c>
      <c r="Q13230">
        <v>0</v>
      </c>
      <c r="R13230" t="s">
        <v>41273</v>
      </c>
      <c r="S13230" t="s">
        <v>42268</v>
      </c>
      <c r="T13230" t="s">
        <v>42728</v>
      </c>
      <c r="U13230" t="s">
        <v>53779</v>
      </c>
      <c r="W13230" t="s">
        <v>41168</v>
      </c>
      <c r="X13230" t="s">
        <v>41274</v>
      </c>
    </row>
    <row r="13231" spans="1:24">
      <c r="A13231">
        <f>HYPERLINK("https://www.philgeps.gov.ph/GEPSNONPILOT/Tender/SplashBidNoticeAbstractUI.aspx?menuIndex=3&amp;refID=7036143&amp;Result=3","7036143")</f>
        <v>0</v>
      </c>
      <c r="B13231" t="s">
        <v>3327</v>
      </c>
      <c r="C13231" t="s">
        <v>16058</v>
      </c>
      <c r="D13231" t="s">
        <v>16632</v>
      </c>
      <c r="E13231" t="s">
        <v>28147</v>
      </c>
      <c r="F13231" t="s">
        <v>28669</v>
      </c>
      <c r="G13231" t="s">
        <v>28675</v>
      </c>
      <c r="H13231" t="s">
        <v>28686</v>
      </c>
      <c r="I13231" t="s">
        <v>28689</v>
      </c>
      <c r="J13231" t="s">
        <v>36879</v>
      </c>
      <c r="K13231" t="s">
        <v>37222</v>
      </c>
      <c r="M13231" t="s">
        <v>41168</v>
      </c>
      <c r="N13231" t="s">
        <v>41249</v>
      </c>
      <c r="O13231" t="s">
        <v>41250</v>
      </c>
      <c r="P13231">
        <v>0</v>
      </c>
      <c r="Q13231">
        <v>0</v>
      </c>
      <c r="R13231" t="s">
        <v>41273</v>
      </c>
      <c r="S13231" t="s">
        <v>42268</v>
      </c>
      <c r="T13231" t="s">
        <v>42728</v>
      </c>
      <c r="U13231" t="s">
        <v>53780</v>
      </c>
      <c r="W13231" t="s">
        <v>41168</v>
      </c>
      <c r="X13231" t="s">
        <v>41274</v>
      </c>
    </row>
    <row r="13232" spans="1:24">
      <c r="A13232">
        <f>HYPERLINK("https://www.philgeps.gov.ph/GEPSNONPILOT/Tender/SplashBidNoticeAbstractUI.aspx?menuIndex=3&amp;refID=7040847&amp;Result=3","7040847")</f>
        <v>0</v>
      </c>
      <c r="B13232" t="s">
        <v>3324</v>
      </c>
      <c r="C13232" t="s">
        <v>16059</v>
      </c>
      <c r="D13232" t="s">
        <v>16627</v>
      </c>
      <c r="E13232" t="s">
        <v>28148</v>
      </c>
      <c r="F13232" t="s">
        <v>28669</v>
      </c>
      <c r="G13232" t="s">
        <v>28675</v>
      </c>
      <c r="H13232" t="s">
        <v>28686</v>
      </c>
      <c r="I13232" t="s">
        <v>28689</v>
      </c>
      <c r="J13232" t="s">
        <v>30289</v>
      </c>
      <c r="K13232" t="s">
        <v>37215</v>
      </c>
      <c r="M13232" t="s">
        <v>41165</v>
      </c>
      <c r="N13232" t="s">
        <v>41249</v>
      </c>
      <c r="O13232" t="s">
        <v>41250</v>
      </c>
      <c r="Q13232">
        <v>0</v>
      </c>
      <c r="R13232" t="s">
        <v>41272</v>
      </c>
      <c r="S13232" t="s">
        <v>42269</v>
      </c>
      <c r="T13232" t="s">
        <v>42736</v>
      </c>
      <c r="U13232" t="s">
        <v>53781</v>
      </c>
      <c r="V13232" t="s">
        <v>55828</v>
      </c>
      <c r="W13232" t="s">
        <v>41165</v>
      </c>
      <c r="X13232" t="s">
        <v>41273</v>
      </c>
    </row>
    <row r="13233" spans="1:24">
      <c r="A13233">
        <f>HYPERLINK("https://www.philgeps.gov.ph/GEPSNONPILOT/Tender/SplashBidNoticeAbstractUI.aspx?menuIndex=3&amp;refID=7036092&amp;Result=3","7036092")</f>
        <v>0</v>
      </c>
      <c r="B13233" t="s">
        <v>3327</v>
      </c>
      <c r="C13233" t="s">
        <v>16060</v>
      </c>
      <c r="D13233" t="s">
        <v>16632</v>
      </c>
      <c r="E13233" t="s">
        <v>28149</v>
      </c>
      <c r="F13233" t="s">
        <v>28669</v>
      </c>
      <c r="G13233" t="s">
        <v>28675</v>
      </c>
      <c r="H13233" t="s">
        <v>28686</v>
      </c>
      <c r="I13233" t="s">
        <v>28689</v>
      </c>
      <c r="J13233" t="s">
        <v>28836</v>
      </c>
      <c r="K13233" t="s">
        <v>37213</v>
      </c>
      <c r="M13233" t="s">
        <v>41168</v>
      </c>
      <c r="N13233" t="s">
        <v>41249</v>
      </c>
      <c r="O13233" t="s">
        <v>41250</v>
      </c>
      <c r="P13233">
        <v>0</v>
      </c>
      <c r="Q13233">
        <v>0</v>
      </c>
      <c r="R13233" t="s">
        <v>41273</v>
      </c>
      <c r="S13233" t="s">
        <v>42268</v>
      </c>
      <c r="T13233" t="s">
        <v>42728</v>
      </c>
      <c r="U13233" t="s">
        <v>53782</v>
      </c>
      <c r="W13233" t="s">
        <v>41168</v>
      </c>
      <c r="X13233" t="s">
        <v>41274</v>
      </c>
    </row>
    <row r="13234" spans="1:24">
      <c r="A13234">
        <f>HYPERLINK("https://www.philgeps.gov.ph/GEPSNONPILOT/Tender/SplashBidNoticeAbstractUI.aspx?menuIndex=3&amp;refID=7036501&amp;Result=3","7036501")</f>
        <v>0</v>
      </c>
      <c r="B13234" t="s">
        <v>3134</v>
      </c>
      <c r="C13234" t="s">
        <v>16061</v>
      </c>
      <c r="D13234" t="s">
        <v>16608</v>
      </c>
      <c r="E13234" t="s">
        <v>28150</v>
      </c>
      <c r="F13234" t="s">
        <v>28669</v>
      </c>
      <c r="G13234" t="s">
        <v>28678</v>
      </c>
      <c r="H13234" t="s">
        <v>9998</v>
      </c>
      <c r="I13234" t="s">
        <v>7352</v>
      </c>
      <c r="J13234" t="s">
        <v>36880</v>
      </c>
      <c r="K13234" t="s">
        <v>37205</v>
      </c>
      <c r="M13234" t="s">
        <v>41169</v>
      </c>
      <c r="N13234" t="s">
        <v>41249</v>
      </c>
      <c r="O13234" t="s">
        <v>41250</v>
      </c>
      <c r="Q13234">
        <v>5</v>
      </c>
      <c r="R13234" t="s">
        <v>41273</v>
      </c>
      <c r="S13234" t="s">
        <v>41378</v>
      </c>
      <c r="T13234" t="s">
        <v>42757</v>
      </c>
      <c r="U13234" t="s">
        <v>53783</v>
      </c>
      <c r="W13234" t="s">
        <v>41169</v>
      </c>
      <c r="X13234" t="s">
        <v>41274</v>
      </c>
    </row>
    <row r="13235" spans="1:24">
      <c r="A13235">
        <f>HYPERLINK("https://www.philgeps.gov.ph/GEPSNONPILOT/Tender/SplashBidNoticeAbstractUI.aspx?menuIndex=3&amp;refID=7036055&amp;Result=3","7036055")</f>
        <v>0</v>
      </c>
      <c r="B13235" t="s">
        <v>3327</v>
      </c>
      <c r="C13235" t="s">
        <v>16062</v>
      </c>
      <c r="D13235" t="s">
        <v>16632</v>
      </c>
      <c r="E13235" t="s">
        <v>28151</v>
      </c>
      <c r="F13235" t="s">
        <v>28669</v>
      </c>
      <c r="G13235" t="s">
        <v>28675</v>
      </c>
      <c r="H13235" t="s">
        <v>28686</v>
      </c>
      <c r="I13235" t="s">
        <v>28689</v>
      </c>
      <c r="J13235" t="s">
        <v>28924</v>
      </c>
      <c r="K13235" t="s">
        <v>37405</v>
      </c>
      <c r="M13235" t="s">
        <v>41168</v>
      </c>
      <c r="N13235" t="s">
        <v>41249</v>
      </c>
      <c r="O13235" t="s">
        <v>41250</v>
      </c>
      <c r="P13235">
        <v>0</v>
      </c>
      <c r="Q13235">
        <v>0</v>
      </c>
      <c r="R13235" t="s">
        <v>41273</v>
      </c>
      <c r="S13235" t="s">
        <v>42268</v>
      </c>
      <c r="T13235" t="s">
        <v>42728</v>
      </c>
      <c r="U13235" t="s">
        <v>53784</v>
      </c>
      <c r="W13235" t="s">
        <v>41168</v>
      </c>
      <c r="X13235" t="s">
        <v>41274</v>
      </c>
    </row>
    <row r="13236" spans="1:24">
      <c r="A13236">
        <f>HYPERLINK("https://www.philgeps.gov.ph/GEPSNONPILOT/Tender/SplashBidNoticeAbstractUI.aspx?menuIndex=3&amp;refID=7036313&amp;Result=3","7036313")</f>
        <v>0</v>
      </c>
      <c r="B13236" t="s">
        <v>1534</v>
      </c>
      <c r="C13236" t="s">
        <v>16063</v>
      </c>
      <c r="E13236" t="s">
        <v>21590</v>
      </c>
      <c r="F13236" t="s">
        <v>28669</v>
      </c>
      <c r="G13236" t="s">
        <v>28675</v>
      </c>
      <c r="H13236" t="s">
        <v>28686</v>
      </c>
      <c r="I13236" t="s">
        <v>7352</v>
      </c>
      <c r="J13236" t="s">
        <v>36881</v>
      </c>
      <c r="K13236" t="s">
        <v>37209</v>
      </c>
      <c r="M13236" t="s">
        <v>39109</v>
      </c>
      <c r="N13236" t="s">
        <v>41249</v>
      </c>
      <c r="O13236" t="s">
        <v>41250</v>
      </c>
      <c r="P13236">
        <v>0</v>
      </c>
      <c r="Q13236">
        <v>2</v>
      </c>
      <c r="R13236" t="s">
        <v>41273</v>
      </c>
      <c r="S13236" t="s">
        <v>42268</v>
      </c>
      <c r="T13236" t="s">
        <v>42727</v>
      </c>
      <c r="U13236" t="s">
        <v>53785</v>
      </c>
      <c r="W13236" t="s">
        <v>39109</v>
      </c>
      <c r="X13236" t="s">
        <v>41274</v>
      </c>
    </row>
    <row r="13237" spans="1:24">
      <c r="A13237">
        <f>HYPERLINK("https://www.philgeps.gov.ph/GEPSNONPILOT/Tender/SplashBidNoticeAbstractUI.aspx?menuIndex=3&amp;refID=7036026&amp;Result=3","7036026")</f>
        <v>0</v>
      </c>
      <c r="B13237" t="s">
        <v>3327</v>
      </c>
      <c r="C13237" t="s">
        <v>16064</v>
      </c>
      <c r="D13237" t="s">
        <v>16632</v>
      </c>
      <c r="E13237" t="s">
        <v>28152</v>
      </c>
      <c r="F13237" t="s">
        <v>28669</v>
      </c>
      <c r="G13237" t="s">
        <v>28675</v>
      </c>
      <c r="H13237" t="s">
        <v>28686</v>
      </c>
      <c r="I13237" t="s">
        <v>28689</v>
      </c>
      <c r="J13237" t="s">
        <v>36882</v>
      </c>
      <c r="K13237" t="s">
        <v>37221</v>
      </c>
      <c r="M13237" t="s">
        <v>41168</v>
      </c>
      <c r="N13237" t="s">
        <v>41249</v>
      </c>
      <c r="O13237" t="s">
        <v>41250</v>
      </c>
      <c r="P13237">
        <v>0</v>
      </c>
      <c r="Q13237">
        <v>1</v>
      </c>
      <c r="R13237" t="s">
        <v>41273</v>
      </c>
      <c r="S13237" t="s">
        <v>42268</v>
      </c>
      <c r="T13237" t="s">
        <v>42728</v>
      </c>
      <c r="U13237" t="s">
        <v>53786</v>
      </c>
      <c r="W13237" t="s">
        <v>41168</v>
      </c>
      <c r="X13237" t="s">
        <v>41274</v>
      </c>
    </row>
    <row r="13238" spans="1:24">
      <c r="A13238">
        <f>HYPERLINK("https://www.philgeps.gov.ph/GEPSNONPILOT/Tender/SplashBidNoticeAbstractUI.aspx?menuIndex=3&amp;refID=7036071&amp;Result=3","7036071")</f>
        <v>0</v>
      </c>
      <c r="B13238" t="s">
        <v>3327</v>
      </c>
      <c r="C13238" t="s">
        <v>16065</v>
      </c>
      <c r="D13238" t="s">
        <v>16632</v>
      </c>
      <c r="E13238" t="s">
        <v>28153</v>
      </c>
      <c r="F13238" t="s">
        <v>28669</v>
      </c>
      <c r="G13238" t="s">
        <v>28675</v>
      </c>
      <c r="H13238" t="s">
        <v>28686</v>
      </c>
      <c r="I13238" t="s">
        <v>28689</v>
      </c>
      <c r="J13238" t="s">
        <v>36883</v>
      </c>
      <c r="K13238" t="s">
        <v>37223</v>
      </c>
      <c r="M13238" t="s">
        <v>41168</v>
      </c>
      <c r="N13238" t="s">
        <v>41249</v>
      </c>
      <c r="O13238" t="s">
        <v>41250</v>
      </c>
      <c r="P13238">
        <v>0</v>
      </c>
      <c r="Q13238">
        <v>2</v>
      </c>
      <c r="R13238" t="s">
        <v>41273</v>
      </c>
      <c r="S13238" t="s">
        <v>42268</v>
      </c>
      <c r="T13238" t="s">
        <v>42728</v>
      </c>
      <c r="U13238" t="s">
        <v>53787</v>
      </c>
      <c r="W13238" t="s">
        <v>41168</v>
      </c>
      <c r="X13238" t="s">
        <v>41274</v>
      </c>
    </row>
    <row r="13239" spans="1:24">
      <c r="A13239">
        <f>HYPERLINK("https://www.philgeps.gov.ph/GEPSNONPILOT/Tender/SplashBidNoticeAbstractUI.aspx?menuIndex=3&amp;refID=7036070&amp;Result=3","7036070")</f>
        <v>0</v>
      </c>
      <c r="B13239" t="s">
        <v>2145</v>
      </c>
      <c r="C13239" t="s">
        <v>16066</v>
      </c>
      <c r="D13239" t="s">
        <v>16620</v>
      </c>
      <c r="E13239" t="s">
        <v>28154</v>
      </c>
      <c r="F13239" t="s">
        <v>28669</v>
      </c>
      <c r="G13239" t="s">
        <v>28675</v>
      </c>
      <c r="H13239" t="s">
        <v>28686</v>
      </c>
      <c r="I13239" t="s">
        <v>28689</v>
      </c>
      <c r="J13239" t="s">
        <v>36884</v>
      </c>
      <c r="K13239" t="s">
        <v>37271</v>
      </c>
      <c r="M13239" t="s">
        <v>39790</v>
      </c>
      <c r="N13239" t="s">
        <v>41249</v>
      </c>
      <c r="O13239" t="s">
        <v>41250</v>
      </c>
      <c r="P13239">
        <v>0</v>
      </c>
      <c r="Q13239">
        <v>3</v>
      </c>
      <c r="R13239" t="s">
        <v>41273</v>
      </c>
      <c r="S13239" t="s">
        <v>42268</v>
      </c>
      <c r="T13239" t="s">
        <v>42703</v>
      </c>
      <c r="U13239" t="s">
        <v>53788</v>
      </c>
      <c r="W13239" t="s">
        <v>39790</v>
      </c>
      <c r="X13239" t="s">
        <v>41274</v>
      </c>
    </row>
    <row r="13240" spans="1:24">
      <c r="A13240">
        <f>HYPERLINK("https://www.philgeps.gov.ph/GEPSNONPILOT/Tender/SplashBidNoticeAbstractUI.aspx?menuIndex=3&amp;refID=7036006&amp;Result=3","7036006")</f>
        <v>0</v>
      </c>
      <c r="B13240" t="s">
        <v>3327</v>
      </c>
      <c r="C13240" t="s">
        <v>16067</v>
      </c>
      <c r="D13240" t="s">
        <v>16632</v>
      </c>
      <c r="E13240" t="s">
        <v>28155</v>
      </c>
      <c r="F13240" t="s">
        <v>28669</v>
      </c>
      <c r="G13240" t="s">
        <v>28675</v>
      </c>
      <c r="H13240" t="s">
        <v>28686</v>
      </c>
      <c r="I13240" t="s">
        <v>28689</v>
      </c>
      <c r="J13240" t="s">
        <v>30815</v>
      </c>
      <c r="K13240" t="s">
        <v>37431</v>
      </c>
      <c r="M13240" t="s">
        <v>41168</v>
      </c>
      <c r="N13240" t="s">
        <v>41249</v>
      </c>
      <c r="O13240" t="s">
        <v>41250</v>
      </c>
      <c r="P13240">
        <v>0</v>
      </c>
      <c r="Q13240">
        <v>0</v>
      </c>
      <c r="R13240" t="s">
        <v>41273</v>
      </c>
      <c r="S13240" t="s">
        <v>42268</v>
      </c>
      <c r="T13240" t="s">
        <v>42728</v>
      </c>
      <c r="U13240" t="s">
        <v>53789</v>
      </c>
      <c r="W13240" t="s">
        <v>41168</v>
      </c>
      <c r="X13240" t="s">
        <v>41274</v>
      </c>
    </row>
    <row r="13241" spans="1:24">
      <c r="A13241">
        <f>HYPERLINK("https://www.philgeps.gov.ph/GEPSNONPILOT/Tender/SplashBidNoticeAbstractUI.aspx?menuIndex=3&amp;refID=7040581&amp;Result=3","7040581")</f>
        <v>0</v>
      </c>
      <c r="B13241" t="s">
        <v>1280</v>
      </c>
      <c r="C13241" t="s">
        <v>16068</v>
      </c>
      <c r="D13241" t="s">
        <v>16683</v>
      </c>
      <c r="E13241" t="s">
        <v>28156</v>
      </c>
      <c r="F13241" t="s">
        <v>28669</v>
      </c>
      <c r="G13241" t="s">
        <v>28675</v>
      </c>
      <c r="H13241" t="s">
        <v>9998</v>
      </c>
      <c r="I13241" t="s">
        <v>11593</v>
      </c>
      <c r="J13241" t="s">
        <v>36885</v>
      </c>
      <c r="K13241" t="s">
        <v>37210</v>
      </c>
      <c r="M13241" t="s">
        <v>39335</v>
      </c>
      <c r="N13241" t="s">
        <v>41249</v>
      </c>
      <c r="O13241" t="s">
        <v>41250</v>
      </c>
      <c r="Q13241">
        <v>4</v>
      </c>
      <c r="R13241" t="s">
        <v>41272</v>
      </c>
      <c r="S13241" t="s">
        <v>42270</v>
      </c>
      <c r="T13241" t="s">
        <v>43002</v>
      </c>
      <c r="U13241" t="s">
        <v>53790</v>
      </c>
      <c r="W13241" t="s">
        <v>39335</v>
      </c>
      <c r="X13241" t="s">
        <v>41273</v>
      </c>
    </row>
    <row r="13242" spans="1:24">
      <c r="A13242">
        <f>HYPERLINK("https://www.philgeps.gov.ph/GEPSNONPILOT/Tender/SplashBidNoticeAbstractUI.aspx?menuIndex=3&amp;refID=7037380&amp;Result=3","7037380")</f>
        <v>0</v>
      </c>
      <c r="B13242" t="s">
        <v>3327</v>
      </c>
      <c r="C13242" t="s">
        <v>16069</v>
      </c>
      <c r="D13242" t="s">
        <v>16632</v>
      </c>
      <c r="E13242" t="s">
        <v>28157</v>
      </c>
      <c r="F13242" t="s">
        <v>28669</v>
      </c>
      <c r="G13242" t="s">
        <v>28675</v>
      </c>
      <c r="H13242" t="s">
        <v>28686</v>
      </c>
      <c r="I13242" t="s">
        <v>28689</v>
      </c>
      <c r="J13242" t="s">
        <v>36886</v>
      </c>
      <c r="K13242" t="s">
        <v>37231</v>
      </c>
      <c r="M13242" t="s">
        <v>41168</v>
      </c>
      <c r="N13242" t="s">
        <v>41249</v>
      </c>
      <c r="O13242" t="s">
        <v>41250</v>
      </c>
      <c r="P13242">
        <v>0</v>
      </c>
      <c r="Q13242">
        <v>0</v>
      </c>
      <c r="R13242" t="s">
        <v>41273</v>
      </c>
      <c r="S13242" t="s">
        <v>42268</v>
      </c>
      <c r="T13242" t="s">
        <v>42728</v>
      </c>
      <c r="U13242" t="s">
        <v>53791</v>
      </c>
      <c r="W13242" t="s">
        <v>41168</v>
      </c>
      <c r="X13242" t="s">
        <v>41274</v>
      </c>
    </row>
    <row r="13243" spans="1:24">
      <c r="A13243">
        <f>HYPERLINK("https://www.philgeps.gov.ph/GEPSNONPILOT/Tender/SplashBidNoticeAbstractUI.aspx?menuIndex=3&amp;refID=7035543&amp;Result=3","7035543")</f>
        <v>0</v>
      </c>
      <c r="B13243" t="s">
        <v>2976</v>
      </c>
      <c r="C13243" t="s">
        <v>16070</v>
      </c>
      <c r="D13243" t="s">
        <v>16627</v>
      </c>
      <c r="E13243" t="s">
        <v>28158</v>
      </c>
      <c r="F13243" t="s">
        <v>28669</v>
      </c>
      <c r="G13243" t="s">
        <v>28675</v>
      </c>
      <c r="H13243" t="s">
        <v>28686</v>
      </c>
      <c r="I13243" t="s">
        <v>28689</v>
      </c>
      <c r="J13243" t="s">
        <v>36887</v>
      </c>
      <c r="K13243" t="s">
        <v>37223</v>
      </c>
      <c r="M13243" t="s">
        <v>40739</v>
      </c>
      <c r="N13243" t="s">
        <v>41249</v>
      </c>
      <c r="O13243" t="s">
        <v>41250</v>
      </c>
      <c r="P13243">
        <v>0</v>
      </c>
      <c r="Q13243">
        <v>1</v>
      </c>
      <c r="R13243" t="s">
        <v>41273</v>
      </c>
      <c r="S13243" t="s">
        <v>42268</v>
      </c>
      <c r="T13243" t="s">
        <v>42665</v>
      </c>
      <c r="U13243" t="s">
        <v>53792</v>
      </c>
      <c r="W13243" t="s">
        <v>40739</v>
      </c>
      <c r="X13243" t="s">
        <v>41274</v>
      </c>
    </row>
    <row r="13244" spans="1:24">
      <c r="A13244">
        <f>HYPERLINK("https://www.philgeps.gov.ph/GEPSNONPILOT/Tender/SplashBidNoticeAbstractUI.aspx?menuIndex=3&amp;refID=7036340&amp;Result=3","7036340")</f>
        <v>0</v>
      </c>
      <c r="B13244" t="s">
        <v>3182</v>
      </c>
      <c r="C13244" t="s">
        <v>16071</v>
      </c>
      <c r="D13244" t="s">
        <v>16621</v>
      </c>
      <c r="E13244" t="s">
        <v>28159</v>
      </c>
      <c r="F13244" t="s">
        <v>28669</v>
      </c>
      <c r="G13244" t="s">
        <v>28675</v>
      </c>
      <c r="H13244" t="s">
        <v>9998</v>
      </c>
      <c r="I13244" t="s">
        <v>5286</v>
      </c>
      <c r="J13244" t="s">
        <v>36888</v>
      </c>
      <c r="K13244" t="s">
        <v>37205</v>
      </c>
      <c r="M13244" t="s">
        <v>40983</v>
      </c>
      <c r="N13244" t="s">
        <v>41249</v>
      </c>
      <c r="O13244" t="s">
        <v>41250</v>
      </c>
      <c r="P13244">
        <v>0</v>
      </c>
      <c r="Q13244">
        <v>35</v>
      </c>
      <c r="R13244" t="s">
        <v>41273</v>
      </c>
      <c r="S13244" t="s">
        <v>42268</v>
      </c>
      <c r="T13244" t="s">
        <v>42727</v>
      </c>
      <c r="U13244" t="s">
        <v>53793</v>
      </c>
      <c r="W13244" t="s">
        <v>40983</v>
      </c>
      <c r="X13244" t="s">
        <v>41274</v>
      </c>
    </row>
    <row r="13245" spans="1:24">
      <c r="A13245">
        <f>HYPERLINK("https://www.philgeps.gov.ph/GEPSNONPILOT/Tender/SplashBidNoticeAbstractUI.aspx?menuIndex=3&amp;refID=7035538&amp;Result=3","7035538")</f>
        <v>0</v>
      </c>
      <c r="B13245" t="s">
        <v>2892</v>
      </c>
      <c r="C13245" t="s">
        <v>16072</v>
      </c>
      <c r="D13245" t="s">
        <v>16622</v>
      </c>
      <c r="E13245" t="s">
        <v>28160</v>
      </c>
      <c r="F13245" t="s">
        <v>28669</v>
      </c>
      <c r="G13245" t="s">
        <v>28675</v>
      </c>
      <c r="H13245" t="s">
        <v>28686</v>
      </c>
      <c r="I13245" t="s">
        <v>28689</v>
      </c>
      <c r="J13245" t="s">
        <v>36889</v>
      </c>
      <c r="K13245" t="s">
        <v>37264</v>
      </c>
      <c r="M13245" t="s">
        <v>40639</v>
      </c>
      <c r="N13245" t="s">
        <v>41249</v>
      </c>
      <c r="O13245" t="s">
        <v>41250</v>
      </c>
      <c r="Q13245">
        <v>0</v>
      </c>
      <c r="R13245" t="s">
        <v>41273</v>
      </c>
      <c r="S13245" t="s">
        <v>42271</v>
      </c>
      <c r="T13245" t="s">
        <v>42728</v>
      </c>
      <c r="U13245" t="s">
        <v>53794</v>
      </c>
      <c r="W13245" t="s">
        <v>40639</v>
      </c>
      <c r="X13245" t="s">
        <v>41274</v>
      </c>
    </row>
    <row r="13246" spans="1:24">
      <c r="A13246">
        <f>HYPERLINK("https://www.philgeps.gov.ph/GEPSNONPILOT/Tender/SplashBidNoticeAbstractUI.aspx?menuIndex=3&amp;refID=7036671&amp;Result=3","7036671")</f>
        <v>0</v>
      </c>
      <c r="B13246" t="s">
        <v>678</v>
      </c>
      <c r="C13246" t="s">
        <v>16073</v>
      </c>
      <c r="E13246" t="s">
        <v>28161</v>
      </c>
      <c r="F13246" t="s">
        <v>28669</v>
      </c>
      <c r="G13246" t="s">
        <v>28675</v>
      </c>
      <c r="H13246" t="s">
        <v>9998</v>
      </c>
      <c r="I13246" t="s">
        <v>28687</v>
      </c>
      <c r="J13246" t="s">
        <v>31399</v>
      </c>
      <c r="K13246" t="s">
        <v>37209</v>
      </c>
      <c r="M13246" t="s">
        <v>38182</v>
      </c>
      <c r="N13246" t="s">
        <v>41249</v>
      </c>
      <c r="O13246" t="s">
        <v>41250</v>
      </c>
      <c r="P13246">
        <v>0</v>
      </c>
      <c r="Q13246">
        <v>1</v>
      </c>
      <c r="R13246" t="s">
        <v>41273</v>
      </c>
      <c r="S13246" t="s">
        <v>42268</v>
      </c>
      <c r="T13246" t="s">
        <v>42701</v>
      </c>
      <c r="U13246" t="s">
        <v>53795</v>
      </c>
      <c r="W13246" t="s">
        <v>38182</v>
      </c>
      <c r="X13246" t="s">
        <v>41274</v>
      </c>
    </row>
    <row r="13247" spans="1:24">
      <c r="A13247">
        <f>HYPERLINK("https://www.philgeps.gov.ph/GEPSNONPILOT/Tender/SplashBidNoticeAbstractUI.aspx?menuIndex=3&amp;refID=7036089&amp;Result=3","7036089")</f>
        <v>0</v>
      </c>
      <c r="B13247" t="s">
        <v>3134</v>
      </c>
      <c r="C13247" t="s">
        <v>16074</v>
      </c>
      <c r="D13247" t="s">
        <v>16608</v>
      </c>
      <c r="E13247" t="s">
        <v>28162</v>
      </c>
      <c r="F13247" t="s">
        <v>28669</v>
      </c>
      <c r="G13247" t="s">
        <v>28678</v>
      </c>
      <c r="H13247" t="s">
        <v>9998</v>
      </c>
      <c r="I13247" t="s">
        <v>28769</v>
      </c>
      <c r="J13247" t="s">
        <v>36890</v>
      </c>
      <c r="K13247" t="s">
        <v>37243</v>
      </c>
      <c r="M13247" t="s">
        <v>41170</v>
      </c>
      <c r="N13247" t="s">
        <v>41249</v>
      </c>
      <c r="O13247" t="s">
        <v>41250</v>
      </c>
      <c r="Q13247">
        <v>6</v>
      </c>
      <c r="R13247" t="s">
        <v>41273</v>
      </c>
      <c r="S13247" t="s">
        <v>42272</v>
      </c>
      <c r="T13247" t="s">
        <v>42675</v>
      </c>
      <c r="U13247" t="s">
        <v>53796</v>
      </c>
      <c r="W13247" t="s">
        <v>41170</v>
      </c>
      <c r="X13247" t="s">
        <v>41274</v>
      </c>
    </row>
    <row r="13248" spans="1:24">
      <c r="A13248">
        <f>HYPERLINK("https://www.philgeps.gov.ph/GEPSNONPILOT/Tender/SplashBidNoticeAbstractUI.aspx?menuIndex=3&amp;refID=7037190&amp;Result=3","7037190")</f>
        <v>0</v>
      </c>
      <c r="B13248" t="s">
        <v>703</v>
      </c>
      <c r="C13248" t="s">
        <v>16075</v>
      </c>
      <c r="E13248" t="s">
        <v>28163</v>
      </c>
      <c r="F13248" t="s">
        <v>28669</v>
      </c>
      <c r="G13248" t="s">
        <v>28675</v>
      </c>
      <c r="H13248" t="s">
        <v>9998</v>
      </c>
      <c r="I13248" t="s">
        <v>6128</v>
      </c>
      <c r="J13248" t="s">
        <v>36891</v>
      </c>
      <c r="K13248" t="s">
        <v>37209</v>
      </c>
      <c r="M13248" t="s">
        <v>40830</v>
      </c>
      <c r="N13248" t="s">
        <v>41249</v>
      </c>
      <c r="O13248" t="s">
        <v>41250</v>
      </c>
      <c r="P13248">
        <v>0</v>
      </c>
      <c r="Q13248">
        <v>5</v>
      </c>
      <c r="R13248" t="s">
        <v>41273</v>
      </c>
      <c r="S13248" t="s">
        <v>42268</v>
      </c>
      <c r="T13248" t="s">
        <v>42927</v>
      </c>
      <c r="U13248" t="s">
        <v>53797</v>
      </c>
      <c r="W13248" t="s">
        <v>40830</v>
      </c>
      <c r="X13248" t="s">
        <v>41274</v>
      </c>
    </row>
    <row r="13249" spans="1:24">
      <c r="A13249">
        <f>HYPERLINK("https://www.philgeps.gov.ph/GEPSNONPILOT/Tender/SplashBidNoticeAbstractUI.aspx?menuIndex=3&amp;refID=7037175&amp;Result=3","7037175")</f>
        <v>0</v>
      </c>
      <c r="B13249" t="s">
        <v>2470</v>
      </c>
      <c r="C13249" t="s">
        <v>16076</v>
      </c>
      <c r="D13249" t="s">
        <v>16652</v>
      </c>
      <c r="E13249" t="s">
        <v>28164</v>
      </c>
      <c r="F13249" t="s">
        <v>28669</v>
      </c>
      <c r="G13249" t="s">
        <v>28675</v>
      </c>
      <c r="H13249" t="s">
        <v>28686</v>
      </c>
      <c r="I13249" t="s">
        <v>28689</v>
      </c>
      <c r="J13249" t="s">
        <v>36892</v>
      </c>
      <c r="K13249" t="s">
        <v>37210</v>
      </c>
      <c r="M13249" t="s">
        <v>40153</v>
      </c>
      <c r="N13249" t="s">
        <v>41249</v>
      </c>
      <c r="O13249" t="s">
        <v>41250</v>
      </c>
      <c r="P13249">
        <v>0</v>
      </c>
      <c r="Q13249">
        <v>0</v>
      </c>
      <c r="R13249" t="s">
        <v>41273</v>
      </c>
      <c r="S13249" t="s">
        <v>42268</v>
      </c>
      <c r="T13249" t="s">
        <v>42914</v>
      </c>
      <c r="U13249" t="s">
        <v>53798</v>
      </c>
      <c r="W13249" t="s">
        <v>40153</v>
      </c>
      <c r="X13249" t="s">
        <v>41274</v>
      </c>
    </row>
    <row r="13250" spans="1:24">
      <c r="A13250">
        <f>HYPERLINK("https://www.philgeps.gov.ph/GEPSNONPILOT/Tender/SplashBidNoticeAbstractUI.aspx?menuIndex=3&amp;refID=7037051&amp;Result=3","7037051")</f>
        <v>0</v>
      </c>
      <c r="B13250" t="s">
        <v>2470</v>
      </c>
      <c r="C13250" t="s">
        <v>16077</v>
      </c>
      <c r="D13250" t="s">
        <v>16652</v>
      </c>
      <c r="E13250" t="s">
        <v>28165</v>
      </c>
      <c r="F13250" t="s">
        <v>28669</v>
      </c>
      <c r="G13250" t="s">
        <v>28675</v>
      </c>
      <c r="H13250" t="s">
        <v>28686</v>
      </c>
      <c r="I13250" t="s">
        <v>28689</v>
      </c>
      <c r="J13250" t="s">
        <v>36893</v>
      </c>
      <c r="K13250" t="s">
        <v>37284</v>
      </c>
      <c r="M13250" t="s">
        <v>40153</v>
      </c>
      <c r="N13250" t="s">
        <v>41249</v>
      </c>
      <c r="O13250" t="s">
        <v>41250</v>
      </c>
      <c r="P13250">
        <v>0</v>
      </c>
      <c r="Q13250">
        <v>0</v>
      </c>
      <c r="R13250" t="s">
        <v>41273</v>
      </c>
      <c r="S13250" t="s">
        <v>42268</v>
      </c>
      <c r="T13250" t="s">
        <v>42727</v>
      </c>
      <c r="U13250" t="s">
        <v>53799</v>
      </c>
      <c r="W13250" t="s">
        <v>40153</v>
      </c>
      <c r="X13250" t="s">
        <v>41274</v>
      </c>
    </row>
    <row r="13251" spans="1:24">
      <c r="A13251">
        <f>HYPERLINK("https://www.philgeps.gov.ph/GEPSNONPILOT/Tender/SplashBidNoticeAbstractUI.aspx?menuIndex=3&amp;refID=7037045&amp;Result=3","7037045")</f>
        <v>0</v>
      </c>
      <c r="B13251" t="s">
        <v>2801</v>
      </c>
      <c r="C13251" t="s">
        <v>16078</v>
      </c>
      <c r="E13251" t="s">
        <v>28166</v>
      </c>
      <c r="F13251" t="s">
        <v>28669</v>
      </c>
      <c r="G13251" t="s">
        <v>28675</v>
      </c>
      <c r="H13251" t="s">
        <v>28685</v>
      </c>
      <c r="I13251" t="s">
        <v>28685</v>
      </c>
      <c r="J13251" t="s">
        <v>36894</v>
      </c>
      <c r="K13251" t="s">
        <v>37209</v>
      </c>
      <c r="M13251" t="s">
        <v>40527</v>
      </c>
      <c r="N13251" t="s">
        <v>41249</v>
      </c>
      <c r="O13251" t="s">
        <v>41250</v>
      </c>
      <c r="Q13251">
        <v>3</v>
      </c>
      <c r="R13251" t="s">
        <v>41273</v>
      </c>
      <c r="S13251" t="s">
        <v>42273</v>
      </c>
      <c r="T13251" t="s">
        <v>42690</v>
      </c>
      <c r="U13251" t="s">
        <v>53800</v>
      </c>
      <c r="V13251" t="s">
        <v>55832</v>
      </c>
      <c r="W13251" t="s">
        <v>40527</v>
      </c>
      <c r="X13251" t="s">
        <v>41274</v>
      </c>
    </row>
    <row r="13252" spans="1:24">
      <c r="A13252">
        <f>HYPERLINK("https://www.philgeps.gov.ph/GEPSNONPILOT/Tender/SplashBidNoticeAbstractUI.aspx?menuIndex=3&amp;refID=7037037&amp;Result=3","7037037")</f>
        <v>0</v>
      </c>
      <c r="B13252" t="s">
        <v>3328</v>
      </c>
      <c r="C13252" t="s">
        <v>16079</v>
      </c>
      <c r="D13252" t="s">
        <v>16612</v>
      </c>
      <c r="E13252" t="s">
        <v>28167</v>
      </c>
      <c r="F13252" t="s">
        <v>28669</v>
      </c>
      <c r="G13252" t="s">
        <v>28675</v>
      </c>
      <c r="H13252" t="s">
        <v>28686</v>
      </c>
      <c r="I13252" t="s">
        <v>28689</v>
      </c>
      <c r="J13252" t="s">
        <v>36895</v>
      </c>
      <c r="K13252" t="s">
        <v>37220</v>
      </c>
      <c r="M13252" t="s">
        <v>41171</v>
      </c>
      <c r="N13252" t="s">
        <v>41249</v>
      </c>
      <c r="O13252" t="s">
        <v>41250</v>
      </c>
      <c r="P13252">
        <v>0</v>
      </c>
      <c r="Q13252">
        <v>0</v>
      </c>
      <c r="R13252" t="s">
        <v>41273</v>
      </c>
      <c r="S13252" t="s">
        <v>42268</v>
      </c>
      <c r="T13252" t="s">
        <v>42736</v>
      </c>
      <c r="U13252" t="s">
        <v>53801</v>
      </c>
      <c r="V13252" t="s">
        <v>55833</v>
      </c>
      <c r="W13252" t="s">
        <v>41171</v>
      </c>
      <c r="X13252" t="s">
        <v>41274</v>
      </c>
    </row>
    <row r="13253" spans="1:24">
      <c r="A13253">
        <f>HYPERLINK("https://www.philgeps.gov.ph/GEPSNONPILOT/Tender/SplashBidNoticeAbstractUI.aspx?menuIndex=3&amp;refID=7037013&amp;Result=3","7037013")</f>
        <v>0</v>
      </c>
      <c r="B13253" t="s">
        <v>697</v>
      </c>
      <c r="C13253" t="s">
        <v>16080</v>
      </c>
      <c r="D13253" t="s">
        <v>16608</v>
      </c>
      <c r="E13253" t="s">
        <v>17653</v>
      </c>
      <c r="F13253" t="s">
        <v>28669</v>
      </c>
      <c r="G13253" t="s">
        <v>28675</v>
      </c>
      <c r="H13253" t="s">
        <v>28686</v>
      </c>
      <c r="I13253" t="s">
        <v>28689</v>
      </c>
      <c r="J13253" t="s">
        <v>36896</v>
      </c>
      <c r="K13253" t="s">
        <v>37212</v>
      </c>
      <c r="M13253" t="s">
        <v>38202</v>
      </c>
      <c r="N13253" t="s">
        <v>41249</v>
      </c>
      <c r="O13253" t="s">
        <v>41250</v>
      </c>
      <c r="P13253">
        <v>0</v>
      </c>
      <c r="Q13253">
        <v>11</v>
      </c>
      <c r="R13253" t="s">
        <v>41273</v>
      </c>
      <c r="S13253" t="s">
        <v>42268</v>
      </c>
      <c r="T13253" t="s">
        <v>42728</v>
      </c>
      <c r="U13253" t="s">
        <v>53802</v>
      </c>
      <c r="W13253" t="s">
        <v>38202</v>
      </c>
      <c r="X13253" t="s">
        <v>41274</v>
      </c>
    </row>
    <row r="13254" spans="1:24">
      <c r="A13254">
        <f>HYPERLINK("https://www.philgeps.gov.ph/GEPSNONPILOT/Tender/SplashBidNoticeAbstractUI.aspx?menuIndex=3&amp;refID=7036976&amp;Result=3","7036976")</f>
        <v>0</v>
      </c>
      <c r="B13254" t="s">
        <v>3329</v>
      </c>
      <c r="C13254" t="s">
        <v>16081</v>
      </c>
      <c r="D13254" t="s">
        <v>16619</v>
      </c>
      <c r="E13254" t="s">
        <v>28168</v>
      </c>
      <c r="F13254" t="s">
        <v>28669</v>
      </c>
      <c r="G13254" t="s">
        <v>28675</v>
      </c>
      <c r="H13254" t="s">
        <v>9998</v>
      </c>
      <c r="I13254" t="s">
        <v>28687</v>
      </c>
      <c r="J13254" t="s">
        <v>36897</v>
      </c>
      <c r="K13254" t="s">
        <v>37205</v>
      </c>
      <c r="M13254" t="s">
        <v>41172</v>
      </c>
      <c r="N13254" t="s">
        <v>41249</v>
      </c>
      <c r="O13254" t="s">
        <v>41250</v>
      </c>
      <c r="P13254">
        <v>0</v>
      </c>
      <c r="Q13254">
        <v>3</v>
      </c>
      <c r="R13254" t="s">
        <v>41273</v>
      </c>
      <c r="S13254" t="s">
        <v>42268</v>
      </c>
      <c r="T13254" t="s">
        <v>42992</v>
      </c>
      <c r="U13254" t="s">
        <v>53803</v>
      </c>
      <c r="W13254" t="s">
        <v>41172</v>
      </c>
      <c r="X13254" t="s">
        <v>41274</v>
      </c>
    </row>
    <row r="13255" spans="1:24">
      <c r="A13255">
        <f>HYPERLINK("https://www.philgeps.gov.ph/GEPSNONPILOT/Tender/SplashBidNoticeAbstractUI.aspx?menuIndex=3&amp;refID=7036894&amp;Result=3","7036894")</f>
        <v>0</v>
      </c>
      <c r="B13255" t="s">
        <v>1064</v>
      </c>
      <c r="C13255" t="s">
        <v>16082</v>
      </c>
      <c r="D13255" t="s">
        <v>16655</v>
      </c>
      <c r="E13255" t="s">
        <v>28169</v>
      </c>
      <c r="F13255" t="s">
        <v>28669</v>
      </c>
      <c r="G13255" t="s">
        <v>28675</v>
      </c>
      <c r="H13255" t="s">
        <v>9998</v>
      </c>
      <c r="I13255" t="s">
        <v>28690</v>
      </c>
      <c r="J13255" t="s">
        <v>36898</v>
      </c>
      <c r="K13255" t="s">
        <v>37204</v>
      </c>
      <c r="M13255" t="s">
        <v>41173</v>
      </c>
      <c r="N13255" t="s">
        <v>41249</v>
      </c>
      <c r="O13255" t="s">
        <v>41250</v>
      </c>
      <c r="Q13255">
        <v>9</v>
      </c>
      <c r="R13255" t="s">
        <v>41273</v>
      </c>
      <c r="S13255" t="s">
        <v>42274</v>
      </c>
      <c r="T13255" t="s">
        <v>42762</v>
      </c>
      <c r="U13255" t="s">
        <v>53804</v>
      </c>
      <c r="W13255" t="s">
        <v>41173</v>
      </c>
      <c r="X13255" t="s">
        <v>41274</v>
      </c>
    </row>
    <row r="13256" spans="1:24">
      <c r="A13256">
        <f>HYPERLINK("https://www.philgeps.gov.ph/GEPSNONPILOT/Tender/SplashBidNoticeAbstractUI.aspx?menuIndex=3&amp;refID=7036773&amp;Result=3","7036773")</f>
        <v>0</v>
      </c>
      <c r="B13256" t="s">
        <v>3329</v>
      </c>
      <c r="C13256" t="s">
        <v>16083</v>
      </c>
      <c r="D13256" t="s">
        <v>16619</v>
      </c>
      <c r="E13256" t="s">
        <v>28170</v>
      </c>
      <c r="F13256" t="s">
        <v>28669</v>
      </c>
      <c r="G13256" t="s">
        <v>28675</v>
      </c>
      <c r="H13256" t="s">
        <v>28686</v>
      </c>
      <c r="I13256" t="s">
        <v>28689</v>
      </c>
      <c r="J13256" t="s">
        <v>29112</v>
      </c>
      <c r="K13256" t="s">
        <v>37215</v>
      </c>
      <c r="M13256" t="s">
        <v>41172</v>
      </c>
      <c r="N13256" t="s">
        <v>41249</v>
      </c>
      <c r="O13256" t="s">
        <v>41250</v>
      </c>
      <c r="P13256">
        <v>0</v>
      </c>
      <c r="Q13256">
        <v>0</v>
      </c>
      <c r="R13256" t="s">
        <v>41273</v>
      </c>
      <c r="S13256" t="s">
        <v>42268</v>
      </c>
      <c r="T13256" t="s">
        <v>42992</v>
      </c>
      <c r="U13256" t="s">
        <v>53805</v>
      </c>
      <c r="W13256" t="s">
        <v>41172</v>
      </c>
      <c r="X13256" t="s">
        <v>41274</v>
      </c>
    </row>
    <row r="13257" spans="1:24">
      <c r="A13257">
        <f>HYPERLINK("https://www.philgeps.gov.ph/GEPSNONPILOT/Tender/SplashBidNoticeAbstractUI.aspx?menuIndex=3&amp;refID=7036728&amp;Result=3","7036728")</f>
        <v>0</v>
      </c>
      <c r="B13257" t="s">
        <v>853</v>
      </c>
      <c r="C13257" t="s">
        <v>16084</v>
      </c>
      <c r="D13257" t="s">
        <v>16617</v>
      </c>
      <c r="E13257" t="s">
        <v>28171</v>
      </c>
      <c r="F13257" t="s">
        <v>28669</v>
      </c>
      <c r="G13257" t="s">
        <v>28675</v>
      </c>
      <c r="H13257" t="s">
        <v>28684</v>
      </c>
      <c r="I13257" t="s">
        <v>28726</v>
      </c>
      <c r="J13257" t="s">
        <v>36899</v>
      </c>
      <c r="K13257" t="s">
        <v>37213</v>
      </c>
      <c r="M13257" t="s">
        <v>41174</v>
      </c>
      <c r="N13257" t="s">
        <v>41249</v>
      </c>
      <c r="O13257" t="s">
        <v>41250</v>
      </c>
      <c r="Q13257">
        <v>5</v>
      </c>
      <c r="R13257" t="s">
        <v>41273</v>
      </c>
      <c r="S13257" t="s">
        <v>42275</v>
      </c>
      <c r="T13257" t="s">
        <v>42703</v>
      </c>
      <c r="U13257" t="s">
        <v>44874</v>
      </c>
      <c r="V13257" t="s">
        <v>55834</v>
      </c>
      <c r="W13257" t="s">
        <v>41174</v>
      </c>
      <c r="X13257" t="s">
        <v>41274</v>
      </c>
    </row>
    <row r="13258" spans="1:24">
      <c r="A13258">
        <f>HYPERLINK("https://www.philgeps.gov.ph/GEPSNONPILOT/Tender/SplashBidNoticeAbstractUI.aspx?menuIndex=3&amp;refID=7036715&amp;Result=3","7036715")</f>
        <v>0</v>
      </c>
      <c r="B13258" t="s">
        <v>1829</v>
      </c>
      <c r="C13258" t="s">
        <v>16085</v>
      </c>
      <c r="D13258" t="s">
        <v>16661</v>
      </c>
      <c r="E13258" t="s">
        <v>28172</v>
      </c>
      <c r="F13258" t="s">
        <v>28669</v>
      </c>
      <c r="G13258" t="s">
        <v>28675</v>
      </c>
      <c r="H13258" t="s">
        <v>28686</v>
      </c>
      <c r="I13258" t="s">
        <v>28689</v>
      </c>
      <c r="J13258" t="s">
        <v>36900</v>
      </c>
      <c r="K13258" t="s">
        <v>37453</v>
      </c>
      <c r="M13258" t="s">
        <v>39634</v>
      </c>
      <c r="N13258" t="s">
        <v>41249</v>
      </c>
      <c r="O13258" t="s">
        <v>41250</v>
      </c>
      <c r="P13258">
        <v>0</v>
      </c>
      <c r="Q13258">
        <v>3</v>
      </c>
      <c r="R13258" t="s">
        <v>41273</v>
      </c>
      <c r="S13258" t="s">
        <v>42268</v>
      </c>
      <c r="T13258" t="s">
        <v>42736</v>
      </c>
      <c r="U13258" t="s">
        <v>53806</v>
      </c>
      <c r="V13258" t="s">
        <v>55208</v>
      </c>
      <c r="W13258" t="s">
        <v>55976</v>
      </c>
      <c r="X13258" t="s">
        <v>41274</v>
      </c>
    </row>
    <row r="13259" spans="1:24">
      <c r="A13259">
        <f>HYPERLINK("https://www.philgeps.gov.ph/GEPSNONPILOT/Tender/SplashBidNoticeAbstractUI.aspx?menuIndex=3&amp;refID=7037257&amp;Result=3","7037257")</f>
        <v>0</v>
      </c>
      <c r="B13259" t="s">
        <v>3330</v>
      </c>
      <c r="C13259" t="s">
        <v>16086</v>
      </c>
      <c r="D13259" t="s">
        <v>16608</v>
      </c>
      <c r="E13259" t="s">
        <v>28173</v>
      </c>
      <c r="F13259" t="s">
        <v>28669</v>
      </c>
      <c r="G13259" t="s">
        <v>28675</v>
      </c>
      <c r="H13259" t="s">
        <v>9998</v>
      </c>
      <c r="I13259" t="s">
        <v>28687</v>
      </c>
      <c r="J13259" t="s">
        <v>29655</v>
      </c>
      <c r="K13259" t="s">
        <v>37209</v>
      </c>
      <c r="M13259" t="s">
        <v>41175</v>
      </c>
      <c r="N13259" t="s">
        <v>41249</v>
      </c>
      <c r="O13259" t="s">
        <v>41250</v>
      </c>
      <c r="P13259">
        <v>0</v>
      </c>
      <c r="Q13259">
        <v>5</v>
      </c>
      <c r="R13259" t="s">
        <v>41273</v>
      </c>
      <c r="S13259" t="s">
        <v>42268</v>
      </c>
      <c r="T13259" t="s">
        <v>42976</v>
      </c>
      <c r="U13259" t="s">
        <v>53807</v>
      </c>
      <c r="W13259" t="s">
        <v>41175</v>
      </c>
      <c r="X13259" t="s">
        <v>41274</v>
      </c>
    </row>
    <row r="13260" spans="1:24">
      <c r="A13260">
        <f>HYPERLINK("https://www.philgeps.gov.ph/GEPSNONPILOT/Tender/SplashBidNoticeAbstractUI.aspx?menuIndex=3&amp;refID=7037306&amp;Result=3","7037306")</f>
        <v>0</v>
      </c>
      <c r="B13260" t="s">
        <v>3327</v>
      </c>
      <c r="C13260" t="s">
        <v>16087</v>
      </c>
      <c r="D13260" t="s">
        <v>16632</v>
      </c>
      <c r="E13260" t="s">
        <v>28174</v>
      </c>
      <c r="F13260" t="s">
        <v>28669</v>
      </c>
      <c r="G13260" t="s">
        <v>28675</v>
      </c>
      <c r="H13260" t="s">
        <v>28686</v>
      </c>
      <c r="I13260" t="s">
        <v>28689</v>
      </c>
      <c r="J13260" t="s">
        <v>36901</v>
      </c>
      <c r="K13260" t="s">
        <v>37221</v>
      </c>
      <c r="M13260" t="s">
        <v>41168</v>
      </c>
      <c r="N13260" t="s">
        <v>41249</v>
      </c>
      <c r="O13260" t="s">
        <v>41250</v>
      </c>
      <c r="P13260">
        <v>0</v>
      </c>
      <c r="Q13260">
        <v>3</v>
      </c>
      <c r="R13260" t="s">
        <v>41273</v>
      </c>
      <c r="S13260" t="s">
        <v>42268</v>
      </c>
      <c r="T13260" t="s">
        <v>42728</v>
      </c>
      <c r="U13260" t="s">
        <v>53808</v>
      </c>
      <c r="W13260" t="s">
        <v>41168</v>
      </c>
      <c r="X13260" t="s">
        <v>41274</v>
      </c>
    </row>
    <row r="13261" spans="1:24">
      <c r="A13261">
        <f>HYPERLINK("https://www.philgeps.gov.ph/GEPSNONPILOT/Tender/SplashBidNoticeAbstractUI.aspx?menuIndex=3&amp;refID=7036604&amp;Result=3","7036604")</f>
        <v>0</v>
      </c>
      <c r="B13261" t="s">
        <v>853</v>
      </c>
      <c r="C13261" t="s">
        <v>16088</v>
      </c>
      <c r="D13261" t="s">
        <v>16617</v>
      </c>
      <c r="E13261" t="s">
        <v>28175</v>
      </c>
      <c r="F13261" t="s">
        <v>28669</v>
      </c>
      <c r="G13261" t="s">
        <v>28675</v>
      </c>
      <c r="H13261" t="s">
        <v>28684</v>
      </c>
      <c r="I13261" t="s">
        <v>28726</v>
      </c>
      <c r="J13261" t="s">
        <v>36902</v>
      </c>
      <c r="K13261" t="s">
        <v>37213</v>
      </c>
      <c r="M13261" t="s">
        <v>41174</v>
      </c>
      <c r="N13261" t="s">
        <v>41249</v>
      </c>
      <c r="O13261" t="s">
        <v>41250</v>
      </c>
      <c r="Q13261">
        <v>5</v>
      </c>
      <c r="R13261" t="s">
        <v>41273</v>
      </c>
      <c r="S13261" t="s">
        <v>42276</v>
      </c>
      <c r="T13261" t="s">
        <v>42703</v>
      </c>
      <c r="U13261" t="s">
        <v>44874</v>
      </c>
      <c r="V13261" t="s">
        <v>54493</v>
      </c>
      <c r="W13261" t="s">
        <v>41174</v>
      </c>
      <c r="X13261" t="s">
        <v>41274</v>
      </c>
    </row>
    <row r="13262" spans="1:24">
      <c r="A13262">
        <f>HYPERLINK("https://www.philgeps.gov.ph/GEPSNONPILOT/Tender/SplashBidNoticeAbstractUI.aspx?menuIndex=3&amp;refID=7036579&amp;Result=3","7036579")</f>
        <v>0</v>
      </c>
      <c r="B13262" t="s">
        <v>925</v>
      </c>
      <c r="C13262" t="s">
        <v>16089</v>
      </c>
      <c r="D13262" t="s">
        <v>16627</v>
      </c>
      <c r="E13262" t="s">
        <v>28176</v>
      </c>
      <c r="F13262" t="s">
        <v>28669</v>
      </c>
      <c r="G13262" t="s">
        <v>28677</v>
      </c>
      <c r="H13262" t="s">
        <v>9998</v>
      </c>
      <c r="I13262" t="s">
        <v>28688</v>
      </c>
      <c r="J13262" t="s">
        <v>36903</v>
      </c>
      <c r="K13262" t="s">
        <v>37210</v>
      </c>
      <c r="M13262" t="s">
        <v>40494</v>
      </c>
      <c r="N13262" t="s">
        <v>41249</v>
      </c>
      <c r="O13262" t="s">
        <v>41250</v>
      </c>
      <c r="Q13262">
        <v>18</v>
      </c>
      <c r="R13262" t="s">
        <v>41273</v>
      </c>
      <c r="S13262" t="s">
        <v>42277</v>
      </c>
      <c r="T13262" t="s">
        <v>42701</v>
      </c>
      <c r="U13262" t="s">
        <v>53809</v>
      </c>
      <c r="V13262" t="s">
        <v>55835</v>
      </c>
      <c r="W13262" t="s">
        <v>38447</v>
      </c>
      <c r="X13262" t="s">
        <v>41274</v>
      </c>
    </row>
    <row r="13263" spans="1:24">
      <c r="A13263">
        <f>HYPERLINK("https://www.philgeps.gov.ph/GEPSNONPILOT/Tender/SplashBidNoticeAbstractUI.aspx?menuIndex=3&amp;refID=7035511&amp;Result=3","7035511")</f>
        <v>0</v>
      </c>
      <c r="B13263" t="s">
        <v>2976</v>
      </c>
      <c r="C13263" t="s">
        <v>16090</v>
      </c>
      <c r="D13263" t="s">
        <v>16627</v>
      </c>
      <c r="E13263" t="s">
        <v>28158</v>
      </c>
      <c r="F13263" t="s">
        <v>28669</v>
      </c>
      <c r="G13263" t="s">
        <v>28675</v>
      </c>
      <c r="H13263" t="s">
        <v>28686</v>
      </c>
      <c r="I13263" t="s">
        <v>28689</v>
      </c>
      <c r="J13263" t="s">
        <v>36904</v>
      </c>
      <c r="K13263" t="s">
        <v>37220</v>
      </c>
      <c r="M13263" t="s">
        <v>40739</v>
      </c>
      <c r="N13263" t="s">
        <v>41249</v>
      </c>
      <c r="O13263" t="s">
        <v>41250</v>
      </c>
      <c r="P13263">
        <v>0</v>
      </c>
      <c r="Q13263">
        <v>1</v>
      </c>
      <c r="R13263" t="s">
        <v>41273</v>
      </c>
      <c r="S13263" t="s">
        <v>42268</v>
      </c>
      <c r="T13263" t="s">
        <v>42665</v>
      </c>
      <c r="U13263" t="s">
        <v>53810</v>
      </c>
      <c r="W13263" t="s">
        <v>40739</v>
      </c>
      <c r="X13263" t="s">
        <v>41274</v>
      </c>
    </row>
    <row r="13264" spans="1:24">
      <c r="A13264">
        <f>HYPERLINK("https://www.philgeps.gov.ph/GEPSNONPILOT/Tender/SplashBidNoticeAbstractUI.aspx?menuIndex=3&amp;refID=7035398&amp;Result=3","7035398")</f>
        <v>0</v>
      </c>
      <c r="B13264" t="s">
        <v>2976</v>
      </c>
      <c r="C13264" t="s">
        <v>16091</v>
      </c>
      <c r="D13264" t="s">
        <v>16627</v>
      </c>
      <c r="E13264" t="s">
        <v>28158</v>
      </c>
      <c r="F13264" t="s">
        <v>28669</v>
      </c>
      <c r="G13264" t="s">
        <v>28675</v>
      </c>
      <c r="H13264" t="s">
        <v>28686</v>
      </c>
      <c r="I13264" t="s">
        <v>28689</v>
      </c>
      <c r="J13264" t="s">
        <v>36887</v>
      </c>
      <c r="K13264" t="s">
        <v>37223</v>
      </c>
      <c r="M13264" t="s">
        <v>40739</v>
      </c>
      <c r="N13264" t="s">
        <v>41249</v>
      </c>
      <c r="O13264" t="s">
        <v>41250</v>
      </c>
      <c r="P13264">
        <v>0</v>
      </c>
      <c r="Q13264">
        <v>1</v>
      </c>
      <c r="R13264" t="s">
        <v>41273</v>
      </c>
      <c r="S13264" t="s">
        <v>42268</v>
      </c>
      <c r="T13264" t="s">
        <v>42665</v>
      </c>
      <c r="U13264" t="s">
        <v>53811</v>
      </c>
      <c r="W13264" t="s">
        <v>40739</v>
      </c>
      <c r="X13264" t="s">
        <v>41274</v>
      </c>
    </row>
    <row r="13265" spans="1:24">
      <c r="A13265">
        <f>HYPERLINK("https://www.philgeps.gov.ph/GEPSNONPILOT/Tender/SplashBidNoticeAbstractUI.aspx?menuIndex=3&amp;refID=7036689&amp;Result=3","7036689")</f>
        <v>0</v>
      </c>
      <c r="B13265" t="s">
        <v>2985</v>
      </c>
      <c r="C13265" t="s">
        <v>16092</v>
      </c>
      <c r="D13265" t="s">
        <v>16622</v>
      </c>
      <c r="E13265" t="s">
        <v>20072</v>
      </c>
      <c r="F13265" t="s">
        <v>28669</v>
      </c>
      <c r="G13265" t="s">
        <v>28675</v>
      </c>
      <c r="H13265" t="s">
        <v>28686</v>
      </c>
      <c r="I13265" t="s">
        <v>28689</v>
      </c>
      <c r="J13265" t="s">
        <v>28881</v>
      </c>
      <c r="K13265" t="s">
        <v>37220</v>
      </c>
      <c r="M13265" t="s">
        <v>40750</v>
      </c>
      <c r="N13265" t="s">
        <v>41249</v>
      </c>
      <c r="O13265" t="s">
        <v>41250</v>
      </c>
      <c r="P13265">
        <v>0</v>
      </c>
      <c r="Q13265">
        <v>2</v>
      </c>
      <c r="R13265" t="s">
        <v>41273</v>
      </c>
      <c r="S13265" t="s">
        <v>42268</v>
      </c>
      <c r="T13265" t="s">
        <v>42969</v>
      </c>
      <c r="U13265" t="s">
        <v>53812</v>
      </c>
      <c r="W13265" t="s">
        <v>40750</v>
      </c>
      <c r="X13265" t="s">
        <v>41274</v>
      </c>
    </row>
    <row r="13266" spans="1:24">
      <c r="A13266">
        <f>HYPERLINK("https://www.philgeps.gov.ph/GEPSNONPILOT/Tender/SplashBidNoticeAbstractUI.aspx?menuIndex=3&amp;refID=7037350&amp;Result=3","7037350")</f>
        <v>0</v>
      </c>
      <c r="B13266" t="s">
        <v>2335</v>
      </c>
      <c r="C13266" t="s">
        <v>16093</v>
      </c>
      <c r="D13266" t="s">
        <v>16663</v>
      </c>
      <c r="E13266" t="s">
        <v>28177</v>
      </c>
      <c r="F13266" t="s">
        <v>28669</v>
      </c>
      <c r="G13266" t="s">
        <v>28675</v>
      </c>
      <c r="H13266" t="s">
        <v>9998</v>
      </c>
      <c r="I13266" t="s">
        <v>28687</v>
      </c>
      <c r="J13266" t="s">
        <v>36905</v>
      </c>
      <c r="K13266" t="s">
        <v>37204</v>
      </c>
      <c r="M13266" t="s">
        <v>39998</v>
      </c>
      <c r="N13266" t="s">
        <v>41249</v>
      </c>
      <c r="O13266" t="s">
        <v>41250</v>
      </c>
      <c r="P13266">
        <v>0</v>
      </c>
      <c r="Q13266">
        <v>2</v>
      </c>
      <c r="R13266" t="s">
        <v>41273</v>
      </c>
      <c r="S13266" t="s">
        <v>42268</v>
      </c>
      <c r="T13266" t="s">
        <v>42767</v>
      </c>
      <c r="U13266" t="s">
        <v>53813</v>
      </c>
      <c r="W13266" t="s">
        <v>39998</v>
      </c>
      <c r="X13266" t="s">
        <v>41274</v>
      </c>
    </row>
    <row r="13267" spans="1:24">
      <c r="A13267">
        <f>HYPERLINK("https://www.philgeps.gov.ph/GEPSNONPILOT/Tender/SplashBidNoticeAbstractUI.aspx?menuIndex=3&amp;refID=7035299&amp;Result=3","7035299")</f>
        <v>0</v>
      </c>
      <c r="B13267" t="s">
        <v>3324</v>
      </c>
      <c r="C13267" t="s">
        <v>16094</v>
      </c>
      <c r="D13267" t="s">
        <v>16627</v>
      </c>
      <c r="E13267" t="s">
        <v>28178</v>
      </c>
      <c r="F13267" t="s">
        <v>28669</v>
      </c>
      <c r="G13267" t="s">
        <v>28675</v>
      </c>
      <c r="H13267" t="s">
        <v>28686</v>
      </c>
      <c r="I13267" t="s">
        <v>28689</v>
      </c>
      <c r="J13267" t="s">
        <v>30289</v>
      </c>
      <c r="K13267" t="s">
        <v>37215</v>
      </c>
      <c r="M13267" t="s">
        <v>41165</v>
      </c>
      <c r="N13267" t="s">
        <v>41249</v>
      </c>
      <c r="O13267" t="s">
        <v>41250</v>
      </c>
      <c r="Q13267">
        <v>1</v>
      </c>
      <c r="R13267" t="s">
        <v>41273</v>
      </c>
      <c r="S13267" t="s">
        <v>42278</v>
      </c>
      <c r="T13267" t="s">
        <v>42736</v>
      </c>
      <c r="U13267" t="s">
        <v>53781</v>
      </c>
      <c r="V13267" t="s">
        <v>55828</v>
      </c>
      <c r="W13267" t="s">
        <v>41165</v>
      </c>
      <c r="X13267" t="s">
        <v>41274</v>
      </c>
    </row>
    <row r="13268" spans="1:24">
      <c r="A13268">
        <f>HYPERLINK("https://www.philgeps.gov.ph/GEPSNONPILOT/Tender/SplashBidNoticeAbstractUI.aspx?menuIndex=3&amp;refID=7035382&amp;Result=3","7035382")</f>
        <v>0</v>
      </c>
      <c r="B13268" t="s">
        <v>1169</v>
      </c>
      <c r="C13268" t="s">
        <v>16095</v>
      </c>
      <c r="D13268" t="s">
        <v>16691</v>
      </c>
      <c r="E13268" t="s">
        <v>28179</v>
      </c>
      <c r="F13268" t="s">
        <v>28669</v>
      </c>
      <c r="G13268" t="s">
        <v>28675</v>
      </c>
      <c r="H13268" t="s">
        <v>9998</v>
      </c>
      <c r="I13268" t="s">
        <v>28693</v>
      </c>
      <c r="J13268" t="s">
        <v>36906</v>
      </c>
      <c r="K13268" t="s">
        <v>37220</v>
      </c>
      <c r="M13268" t="s">
        <v>38708</v>
      </c>
      <c r="N13268" t="s">
        <v>41249</v>
      </c>
      <c r="O13268" t="s">
        <v>41250</v>
      </c>
      <c r="Q13268">
        <v>24</v>
      </c>
      <c r="R13268" t="s">
        <v>41273</v>
      </c>
      <c r="S13268" t="s">
        <v>42279</v>
      </c>
      <c r="T13268" t="s">
        <v>42711</v>
      </c>
      <c r="U13268" t="s">
        <v>53814</v>
      </c>
      <c r="V13268" t="s">
        <v>55836</v>
      </c>
      <c r="W13268" t="s">
        <v>38708</v>
      </c>
      <c r="X13268" t="s">
        <v>41274</v>
      </c>
    </row>
    <row r="13269" spans="1:24">
      <c r="A13269">
        <f>HYPERLINK("https://www.philgeps.gov.ph/GEPSNONPILOT/Tender/SplashBidNoticeAbstractUI.aspx?menuIndex=3&amp;refID=7035349&amp;Result=3","7035349")</f>
        <v>0</v>
      </c>
      <c r="B13269" t="s">
        <v>195</v>
      </c>
      <c r="C13269" t="s">
        <v>16096</v>
      </c>
      <c r="D13269" t="s">
        <v>16636</v>
      </c>
      <c r="E13269" t="s">
        <v>28180</v>
      </c>
      <c r="F13269" t="s">
        <v>28669</v>
      </c>
      <c r="G13269" t="s">
        <v>28675</v>
      </c>
      <c r="H13269" t="s">
        <v>28686</v>
      </c>
      <c r="I13269" t="s">
        <v>28689</v>
      </c>
      <c r="J13269" t="s">
        <v>36907</v>
      </c>
      <c r="K13269" t="s">
        <v>37322</v>
      </c>
      <c r="M13269" t="s">
        <v>37673</v>
      </c>
      <c r="N13269" t="s">
        <v>41249</v>
      </c>
      <c r="O13269" t="s">
        <v>41250</v>
      </c>
      <c r="P13269">
        <v>0</v>
      </c>
      <c r="Q13269">
        <v>1</v>
      </c>
      <c r="R13269" t="s">
        <v>41273</v>
      </c>
      <c r="S13269" t="s">
        <v>42268</v>
      </c>
      <c r="T13269" t="s">
        <v>43104</v>
      </c>
      <c r="U13269" t="s">
        <v>53815</v>
      </c>
      <c r="W13269" t="s">
        <v>37673</v>
      </c>
      <c r="X13269" t="s">
        <v>41274</v>
      </c>
    </row>
    <row r="13270" spans="1:24">
      <c r="A13270">
        <f>HYPERLINK("https://www.philgeps.gov.ph/GEPSNONPILOT/Tender/SplashBidNoticeAbstractUI.aspx?menuIndex=3&amp;refID=7035296&amp;Result=3","7035296")</f>
        <v>0</v>
      </c>
      <c r="B13270" t="s">
        <v>3324</v>
      </c>
      <c r="C13270" t="s">
        <v>16097</v>
      </c>
      <c r="D13270" t="s">
        <v>16627</v>
      </c>
      <c r="E13270" t="s">
        <v>28181</v>
      </c>
      <c r="F13270" t="s">
        <v>28669</v>
      </c>
      <c r="G13270" t="s">
        <v>28675</v>
      </c>
      <c r="H13270" t="s">
        <v>28686</v>
      </c>
      <c r="I13270" t="s">
        <v>28689</v>
      </c>
      <c r="J13270" t="s">
        <v>29346</v>
      </c>
      <c r="K13270" t="s">
        <v>37389</v>
      </c>
      <c r="M13270" t="s">
        <v>41165</v>
      </c>
      <c r="N13270" t="s">
        <v>41249</v>
      </c>
      <c r="O13270" t="s">
        <v>41250</v>
      </c>
      <c r="Q13270">
        <v>2</v>
      </c>
      <c r="R13270" t="s">
        <v>41273</v>
      </c>
      <c r="S13270" t="s">
        <v>42280</v>
      </c>
      <c r="T13270" t="s">
        <v>42736</v>
      </c>
      <c r="U13270" t="s">
        <v>53816</v>
      </c>
      <c r="V13270" t="s">
        <v>55828</v>
      </c>
      <c r="W13270" t="s">
        <v>41165</v>
      </c>
      <c r="X13270" t="s">
        <v>41274</v>
      </c>
    </row>
    <row r="13271" spans="1:24">
      <c r="A13271">
        <f>HYPERLINK("https://www.philgeps.gov.ph/GEPSNONPILOT/Tender/SplashBidNoticeAbstractUI.aspx?menuIndex=3&amp;refID=7040842&amp;Result=3","7040842")</f>
        <v>0</v>
      </c>
      <c r="B13271" t="s">
        <v>3324</v>
      </c>
      <c r="C13271" t="s">
        <v>16098</v>
      </c>
      <c r="D13271" t="s">
        <v>16627</v>
      </c>
      <c r="E13271" t="s">
        <v>28182</v>
      </c>
      <c r="F13271" t="s">
        <v>28669</v>
      </c>
      <c r="G13271" t="s">
        <v>28675</v>
      </c>
      <c r="H13271" t="s">
        <v>28686</v>
      </c>
      <c r="I13271" t="s">
        <v>28689</v>
      </c>
      <c r="J13271" t="s">
        <v>30289</v>
      </c>
      <c r="K13271" t="s">
        <v>37215</v>
      </c>
      <c r="M13271" t="s">
        <v>41165</v>
      </c>
      <c r="N13271" t="s">
        <v>41249</v>
      </c>
      <c r="O13271" t="s">
        <v>41250</v>
      </c>
      <c r="Q13271">
        <v>1</v>
      </c>
      <c r="R13271" t="s">
        <v>41272</v>
      </c>
      <c r="S13271" t="s">
        <v>42281</v>
      </c>
      <c r="T13271" t="s">
        <v>42736</v>
      </c>
      <c r="U13271" t="s">
        <v>53781</v>
      </c>
      <c r="V13271" t="s">
        <v>55828</v>
      </c>
      <c r="W13271" t="s">
        <v>41165</v>
      </c>
      <c r="X13271" t="s">
        <v>41273</v>
      </c>
    </row>
    <row r="13272" spans="1:24">
      <c r="A13272">
        <f>HYPERLINK("https://www.philgeps.gov.ph/GEPSNONPILOT/Tender/SplashBidNoticeAbstractUI.aspx?menuIndex=3&amp;refID=7037351&amp;Result=3","7037351")</f>
        <v>0</v>
      </c>
      <c r="B13272" t="s">
        <v>3327</v>
      </c>
      <c r="C13272" t="s">
        <v>16099</v>
      </c>
      <c r="D13272" t="s">
        <v>16632</v>
      </c>
      <c r="E13272" t="s">
        <v>28183</v>
      </c>
      <c r="F13272" t="s">
        <v>28669</v>
      </c>
      <c r="G13272" t="s">
        <v>28675</v>
      </c>
      <c r="H13272" t="s">
        <v>28686</v>
      </c>
      <c r="I13272" t="s">
        <v>28689</v>
      </c>
      <c r="J13272" t="s">
        <v>28845</v>
      </c>
      <c r="K13272" t="s">
        <v>37221</v>
      </c>
      <c r="M13272" t="s">
        <v>41168</v>
      </c>
      <c r="N13272" t="s">
        <v>41249</v>
      </c>
      <c r="O13272" t="s">
        <v>41250</v>
      </c>
      <c r="P13272">
        <v>0</v>
      </c>
      <c r="Q13272">
        <v>0</v>
      </c>
      <c r="R13272" t="s">
        <v>41273</v>
      </c>
      <c r="S13272" t="s">
        <v>42268</v>
      </c>
      <c r="T13272" t="s">
        <v>42728</v>
      </c>
      <c r="U13272" t="s">
        <v>53817</v>
      </c>
      <c r="W13272" t="s">
        <v>41168</v>
      </c>
      <c r="X13272" t="s">
        <v>41274</v>
      </c>
    </row>
    <row r="13273" spans="1:24">
      <c r="A13273">
        <f>HYPERLINK("https://www.philgeps.gov.ph/GEPSNONPILOT/Tender/SplashBidNoticeAbstractUI.aspx?menuIndex=3&amp;refID=7035518&amp;Result=3","7035518")</f>
        <v>0</v>
      </c>
      <c r="B13273" t="s">
        <v>2854</v>
      </c>
      <c r="C13273" t="s">
        <v>16100</v>
      </c>
      <c r="D13273" t="s">
        <v>16639</v>
      </c>
      <c r="E13273" t="s">
        <v>28184</v>
      </c>
      <c r="F13273" t="s">
        <v>28669</v>
      </c>
      <c r="G13273" t="s">
        <v>28675</v>
      </c>
      <c r="H13273" t="s">
        <v>9998</v>
      </c>
      <c r="I13273" t="s">
        <v>7352</v>
      </c>
      <c r="J13273" t="s">
        <v>36908</v>
      </c>
      <c r="K13273" t="s">
        <v>37204</v>
      </c>
      <c r="M13273" t="s">
        <v>40592</v>
      </c>
      <c r="N13273" t="s">
        <v>41249</v>
      </c>
      <c r="O13273" t="s">
        <v>41250</v>
      </c>
      <c r="P13273">
        <v>0</v>
      </c>
      <c r="Q13273">
        <v>0</v>
      </c>
      <c r="R13273" t="s">
        <v>41273</v>
      </c>
      <c r="S13273" t="s">
        <v>42268</v>
      </c>
      <c r="T13273" t="s">
        <v>42858</v>
      </c>
      <c r="U13273" t="s">
        <v>53818</v>
      </c>
      <c r="W13273" t="s">
        <v>40592</v>
      </c>
      <c r="X13273" t="s">
        <v>41274</v>
      </c>
    </row>
    <row r="13274" spans="1:24">
      <c r="A13274">
        <f>HYPERLINK("https://www.philgeps.gov.ph/GEPSNONPILOT/Tender/SplashBidNoticeAbstractUI.aspx?menuIndex=3&amp;refID=7037399&amp;Result=3","7037399")</f>
        <v>0</v>
      </c>
      <c r="B13274" t="s">
        <v>3327</v>
      </c>
      <c r="C13274" t="s">
        <v>16101</v>
      </c>
      <c r="D13274" t="s">
        <v>16632</v>
      </c>
      <c r="E13274" t="s">
        <v>28185</v>
      </c>
      <c r="F13274" t="s">
        <v>28669</v>
      </c>
      <c r="G13274" t="s">
        <v>28675</v>
      </c>
      <c r="H13274" t="s">
        <v>28686</v>
      </c>
      <c r="I13274" t="s">
        <v>28689</v>
      </c>
      <c r="J13274" t="s">
        <v>29927</v>
      </c>
      <c r="K13274" t="s">
        <v>37221</v>
      </c>
      <c r="M13274" t="s">
        <v>41168</v>
      </c>
      <c r="N13274" t="s">
        <v>41249</v>
      </c>
      <c r="O13274" t="s">
        <v>41250</v>
      </c>
      <c r="P13274">
        <v>0</v>
      </c>
      <c r="Q13274">
        <v>0</v>
      </c>
      <c r="R13274" t="s">
        <v>41273</v>
      </c>
      <c r="S13274" t="s">
        <v>42268</v>
      </c>
      <c r="T13274" t="s">
        <v>42728</v>
      </c>
      <c r="U13274" t="s">
        <v>53819</v>
      </c>
      <c r="W13274" t="s">
        <v>41168</v>
      </c>
      <c r="X13274" t="s">
        <v>41274</v>
      </c>
    </row>
    <row r="13275" spans="1:24">
      <c r="A13275">
        <f>HYPERLINK("https://www.philgeps.gov.ph/GEPSNONPILOT/Tender/SplashBidNoticeAbstractUI.aspx?menuIndex=3&amp;refID=7037639&amp;Result=3","7037639")</f>
        <v>0</v>
      </c>
      <c r="B13275" t="s">
        <v>1633</v>
      </c>
      <c r="C13275" t="s">
        <v>16102</v>
      </c>
      <c r="D13275" t="s">
        <v>16608</v>
      </c>
      <c r="E13275" t="s">
        <v>28186</v>
      </c>
      <c r="F13275" t="s">
        <v>28669</v>
      </c>
      <c r="G13275" t="s">
        <v>28678</v>
      </c>
      <c r="H13275" t="s">
        <v>9998</v>
      </c>
      <c r="I13275" t="s">
        <v>6128</v>
      </c>
      <c r="J13275" t="s">
        <v>29263</v>
      </c>
      <c r="K13275" t="s">
        <v>37205</v>
      </c>
      <c r="M13275" t="s">
        <v>39580</v>
      </c>
      <c r="N13275" t="s">
        <v>41249</v>
      </c>
      <c r="O13275" t="s">
        <v>41250</v>
      </c>
      <c r="Q13275">
        <v>9</v>
      </c>
      <c r="R13275" t="s">
        <v>41273</v>
      </c>
      <c r="S13275" t="s">
        <v>42282</v>
      </c>
      <c r="T13275" t="s">
        <v>42754</v>
      </c>
      <c r="U13275" t="s">
        <v>47958</v>
      </c>
      <c r="V13275" t="s">
        <v>54900</v>
      </c>
      <c r="W13275" t="s">
        <v>39580</v>
      </c>
      <c r="X13275" t="s">
        <v>41274</v>
      </c>
    </row>
    <row r="13276" spans="1:24">
      <c r="A13276">
        <f>HYPERLINK("https://www.philgeps.gov.ph/GEPSNONPILOT/Tender/SplashBidNoticeAbstractUI.aspx?menuIndex=3&amp;refID=7037760&amp;Result=3","7037760")</f>
        <v>0</v>
      </c>
      <c r="B13276" t="s">
        <v>1659</v>
      </c>
      <c r="C13276" t="s">
        <v>16103</v>
      </c>
      <c r="E13276" t="s">
        <v>28187</v>
      </c>
      <c r="F13276" t="s">
        <v>28669</v>
      </c>
      <c r="G13276" t="s">
        <v>28675</v>
      </c>
      <c r="H13276" t="s">
        <v>9998</v>
      </c>
      <c r="I13276" t="s">
        <v>28699</v>
      </c>
      <c r="J13276" t="s">
        <v>36909</v>
      </c>
      <c r="K13276" t="s">
        <v>37209</v>
      </c>
      <c r="M13276" t="s">
        <v>41176</v>
      </c>
      <c r="N13276" t="s">
        <v>41249</v>
      </c>
      <c r="O13276" t="s">
        <v>41250</v>
      </c>
      <c r="Q13276">
        <v>10</v>
      </c>
      <c r="R13276" t="s">
        <v>41273</v>
      </c>
      <c r="S13276" t="s">
        <v>42283</v>
      </c>
      <c r="T13276" t="s">
        <v>43162</v>
      </c>
      <c r="U13276" t="s">
        <v>53820</v>
      </c>
      <c r="W13276" t="s">
        <v>41176</v>
      </c>
      <c r="X13276" t="s">
        <v>41274</v>
      </c>
    </row>
    <row r="13277" spans="1:24">
      <c r="A13277">
        <f>HYPERLINK("https://www.philgeps.gov.ph/GEPSNONPILOT/Tender/SplashBidNoticeAbstractUI.aspx?menuIndex=3&amp;refID=7037637&amp;Result=3","7037637")</f>
        <v>0</v>
      </c>
      <c r="B13277" t="s">
        <v>1828</v>
      </c>
      <c r="C13277" t="s">
        <v>16104</v>
      </c>
      <c r="D13277" t="s">
        <v>16622</v>
      </c>
      <c r="E13277" t="s">
        <v>28188</v>
      </c>
      <c r="F13277" t="s">
        <v>28669</v>
      </c>
      <c r="G13277" t="s">
        <v>28675</v>
      </c>
      <c r="H13277" t="s">
        <v>9998</v>
      </c>
      <c r="I13277" t="s">
        <v>28687</v>
      </c>
      <c r="J13277" t="s">
        <v>36910</v>
      </c>
      <c r="K13277" t="s">
        <v>37215</v>
      </c>
      <c r="M13277" t="s">
        <v>39441</v>
      </c>
      <c r="N13277" t="s">
        <v>41249</v>
      </c>
      <c r="O13277" t="s">
        <v>41250</v>
      </c>
      <c r="Q13277">
        <v>19</v>
      </c>
      <c r="R13277" t="s">
        <v>41273</v>
      </c>
      <c r="S13277" t="s">
        <v>42075</v>
      </c>
      <c r="T13277" t="s">
        <v>42703</v>
      </c>
      <c r="U13277" t="s">
        <v>53821</v>
      </c>
      <c r="W13277" t="s">
        <v>39441</v>
      </c>
      <c r="X13277" t="s">
        <v>41274</v>
      </c>
    </row>
    <row r="13278" spans="1:24">
      <c r="A13278">
        <f>HYPERLINK("https://www.philgeps.gov.ph/GEPSNONPILOT/Tender/SplashBidNoticeAbstractUI.aspx?menuIndex=3&amp;refID=7037628&amp;Result=3","7037628")</f>
        <v>0</v>
      </c>
      <c r="B13278" t="s">
        <v>2768</v>
      </c>
      <c r="C13278" t="s">
        <v>16105</v>
      </c>
      <c r="D13278" t="s">
        <v>16621</v>
      </c>
      <c r="E13278" t="s">
        <v>28189</v>
      </c>
      <c r="F13278" t="s">
        <v>28669</v>
      </c>
      <c r="G13278" t="s">
        <v>28675</v>
      </c>
      <c r="H13278" t="s">
        <v>28686</v>
      </c>
      <c r="I13278" t="s">
        <v>28689</v>
      </c>
      <c r="J13278" t="s">
        <v>29266</v>
      </c>
      <c r="K13278" t="s">
        <v>37212</v>
      </c>
      <c r="M13278" t="s">
        <v>40488</v>
      </c>
      <c r="N13278" t="s">
        <v>41249</v>
      </c>
      <c r="O13278" t="s">
        <v>41250</v>
      </c>
      <c r="Q13278">
        <v>13</v>
      </c>
      <c r="R13278" t="s">
        <v>41273</v>
      </c>
      <c r="S13278" t="s">
        <v>41378</v>
      </c>
      <c r="T13278" t="s">
        <v>43163</v>
      </c>
      <c r="U13278" t="s">
        <v>53822</v>
      </c>
      <c r="V13278" t="s">
        <v>55303</v>
      </c>
      <c r="W13278" t="s">
        <v>40488</v>
      </c>
      <c r="X13278" t="s">
        <v>41274</v>
      </c>
    </row>
    <row r="13279" spans="1:24">
      <c r="A13279">
        <f>HYPERLINK("https://www.philgeps.gov.ph/GEPSNONPILOT/Tender/SplashBidNoticeAbstractUI.aspx?menuIndex=3&amp;refID=7037512&amp;Result=3","7037512")</f>
        <v>0</v>
      </c>
      <c r="B13279" t="s">
        <v>3327</v>
      </c>
      <c r="C13279" t="s">
        <v>16106</v>
      </c>
      <c r="D13279" t="s">
        <v>16632</v>
      </c>
      <c r="E13279" t="s">
        <v>28190</v>
      </c>
      <c r="F13279" t="s">
        <v>28669</v>
      </c>
      <c r="G13279" t="s">
        <v>28675</v>
      </c>
      <c r="H13279" t="s">
        <v>28686</v>
      </c>
      <c r="I13279" t="s">
        <v>28689</v>
      </c>
      <c r="J13279" t="s">
        <v>36911</v>
      </c>
      <c r="K13279" t="s">
        <v>37213</v>
      </c>
      <c r="M13279" t="s">
        <v>41168</v>
      </c>
      <c r="N13279" t="s">
        <v>41249</v>
      </c>
      <c r="O13279" t="s">
        <v>41250</v>
      </c>
      <c r="P13279">
        <v>0</v>
      </c>
      <c r="Q13279">
        <v>0</v>
      </c>
      <c r="R13279" t="s">
        <v>41273</v>
      </c>
      <c r="S13279" t="s">
        <v>42268</v>
      </c>
      <c r="T13279" t="s">
        <v>42728</v>
      </c>
      <c r="U13279" t="s">
        <v>53823</v>
      </c>
      <c r="W13279" t="s">
        <v>41168</v>
      </c>
      <c r="X13279" t="s">
        <v>41274</v>
      </c>
    </row>
    <row r="13280" spans="1:24">
      <c r="A13280">
        <f>HYPERLINK("https://www.philgeps.gov.ph/GEPSNONPILOT/Tender/SplashBidNoticeAbstractUI.aspx?menuIndex=3&amp;refID=7038103&amp;Result=3","7038103")</f>
        <v>0</v>
      </c>
      <c r="B13280" t="s">
        <v>3331</v>
      </c>
      <c r="C13280" t="s">
        <v>16107</v>
      </c>
      <c r="D13280" t="s">
        <v>16635</v>
      </c>
      <c r="E13280" t="s">
        <v>28191</v>
      </c>
      <c r="F13280" t="s">
        <v>28669</v>
      </c>
      <c r="G13280" t="s">
        <v>28675</v>
      </c>
      <c r="H13280" t="s">
        <v>9998</v>
      </c>
      <c r="I13280" t="s">
        <v>7352</v>
      </c>
      <c r="J13280" t="s">
        <v>36912</v>
      </c>
      <c r="K13280" t="s">
        <v>37205</v>
      </c>
      <c r="M13280" t="s">
        <v>41177</v>
      </c>
      <c r="N13280" t="s">
        <v>41249</v>
      </c>
      <c r="O13280" t="s">
        <v>41250</v>
      </c>
      <c r="P13280">
        <v>0</v>
      </c>
      <c r="Q13280">
        <v>0</v>
      </c>
      <c r="R13280" t="s">
        <v>41273</v>
      </c>
      <c r="S13280" t="s">
        <v>42268</v>
      </c>
      <c r="T13280" t="s">
        <v>42665</v>
      </c>
      <c r="U13280" t="s">
        <v>53824</v>
      </c>
      <c r="V13280" t="s">
        <v>55837</v>
      </c>
      <c r="W13280" t="s">
        <v>41177</v>
      </c>
      <c r="X13280" t="s">
        <v>41274</v>
      </c>
    </row>
    <row r="13281" spans="1:24">
      <c r="A13281">
        <f>HYPERLINK("https://www.philgeps.gov.ph/GEPSNONPILOT/Tender/SplashBidNoticeAbstractUI.aspx?menuIndex=3&amp;refID=7037799&amp;Result=3","7037799")</f>
        <v>0</v>
      </c>
      <c r="B13281" t="s">
        <v>3332</v>
      </c>
      <c r="C13281" t="s">
        <v>16108</v>
      </c>
      <c r="D13281" t="s">
        <v>16643</v>
      </c>
      <c r="E13281" t="s">
        <v>19365</v>
      </c>
      <c r="F13281" t="s">
        <v>28669</v>
      </c>
      <c r="G13281" t="s">
        <v>28679</v>
      </c>
      <c r="H13281" t="s">
        <v>9998</v>
      </c>
      <c r="I13281" t="s">
        <v>28693</v>
      </c>
      <c r="J13281" t="s">
        <v>36913</v>
      </c>
      <c r="K13281" t="s">
        <v>37215</v>
      </c>
      <c r="M13281" t="s">
        <v>41178</v>
      </c>
      <c r="N13281" t="s">
        <v>41249</v>
      </c>
      <c r="O13281" t="s">
        <v>41250</v>
      </c>
      <c r="Q13281">
        <v>37</v>
      </c>
      <c r="R13281" t="s">
        <v>41273</v>
      </c>
      <c r="S13281" t="s">
        <v>42284</v>
      </c>
      <c r="T13281" t="s">
        <v>42764</v>
      </c>
      <c r="U13281" t="s">
        <v>53825</v>
      </c>
      <c r="W13281" t="s">
        <v>56035</v>
      </c>
      <c r="X13281" t="s">
        <v>41274</v>
      </c>
    </row>
    <row r="13282" spans="1:24">
      <c r="A13282">
        <f>HYPERLINK("https://www.philgeps.gov.ph/GEPSNONPILOT/Tender/SplashBidNoticeAbstractUI.aspx?menuIndex=3&amp;refID=7038095&amp;Result=3","7038095")</f>
        <v>0</v>
      </c>
      <c r="B13282" t="s">
        <v>3331</v>
      </c>
      <c r="C13282" t="s">
        <v>16109</v>
      </c>
      <c r="D13282" t="s">
        <v>16635</v>
      </c>
      <c r="E13282" t="s">
        <v>28192</v>
      </c>
      <c r="F13282" t="s">
        <v>28669</v>
      </c>
      <c r="G13282" t="s">
        <v>28675</v>
      </c>
      <c r="H13282" t="s">
        <v>9998</v>
      </c>
      <c r="I13282" t="s">
        <v>7352</v>
      </c>
      <c r="J13282" t="s">
        <v>36912</v>
      </c>
      <c r="K13282" t="s">
        <v>37205</v>
      </c>
      <c r="M13282" t="s">
        <v>41177</v>
      </c>
      <c r="N13282" t="s">
        <v>41249</v>
      </c>
      <c r="O13282" t="s">
        <v>41250</v>
      </c>
      <c r="P13282">
        <v>0</v>
      </c>
      <c r="Q13282">
        <v>0</v>
      </c>
      <c r="R13282" t="s">
        <v>41273</v>
      </c>
      <c r="S13282" t="s">
        <v>42268</v>
      </c>
      <c r="T13282" t="s">
        <v>42665</v>
      </c>
      <c r="U13282" t="s">
        <v>53826</v>
      </c>
      <c r="V13282" t="s">
        <v>55837</v>
      </c>
      <c r="W13282" t="s">
        <v>41177</v>
      </c>
      <c r="X13282" t="s">
        <v>41274</v>
      </c>
    </row>
    <row r="13283" spans="1:24">
      <c r="A13283">
        <f>HYPERLINK("https://www.philgeps.gov.ph/GEPSNONPILOT/Tender/SplashBidNoticeAbstractUI.aspx?menuIndex=3&amp;refID=7037677&amp;Result=3","7037677")</f>
        <v>0</v>
      </c>
      <c r="B13283" t="s">
        <v>1633</v>
      </c>
      <c r="C13283" t="s">
        <v>16110</v>
      </c>
      <c r="D13283" t="s">
        <v>16608</v>
      </c>
      <c r="E13283" t="s">
        <v>28193</v>
      </c>
      <c r="F13283" t="s">
        <v>28669</v>
      </c>
      <c r="G13283" t="s">
        <v>28678</v>
      </c>
      <c r="H13283" t="s">
        <v>9998</v>
      </c>
      <c r="I13283" t="s">
        <v>5213</v>
      </c>
      <c r="J13283" t="s">
        <v>36237</v>
      </c>
      <c r="K13283" t="s">
        <v>37205</v>
      </c>
      <c r="M13283" t="s">
        <v>39580</v>
      </c>
      <c r="N13283" t="s">
        <v>41249</v>
      </c>
      <c r="O13283" t="s">
        <v>41250</v>
      </c>
      <c r="Q13283">
        <v>3</v>
      </c>
      <c r="R13283" t="s">
        <v>41273</v>
      </c>
      <c r="S13283" t="s">
        <v>42285</v>
      </c>
      <c r="T13283" t="s">
        <v>42754</v>
      </c>
      <c r="U13283" t="s">
        <v>47958</v>
      </c>
      <c r="V13283" t="s">
        <v>55838</v>
      </c>
      <c r="W13283" t="s">
        <v>39580</v>
      </c>
      <c r="X13283" t="s">
        <v>41274</v>
      </c>
    </row>
    <row r="13284" spans="1:24">
      <c r="A13284">
        <f>HYPERLINK("https://www.philgeps.gov.ph/GEPSNONPILOT/Tender/SplashBidNoticeAbstractUI.aspx?menuIndex=3&amp;refID=7038089&amp;Result=3","7038089")</f>
        <v>0</v>
      </c>
      <c r="B13284" t="s">
        <v>3331</v>
      </c>
      <c r="C13284" t="s">
        <v>16111</v>
      </c>
      <c r="D13284" t="s">
        <v>16635</v>
      </c>
      <c r="E13284" t="s">
        <v>28194</v>
      </c>
      <c r="F13284" t="s">
        <v>28669</v>
      </c>
      <c r="G13284" t="s">
        <v>28675</v>
      </c>
      <c r="H13284" t="s">
        <v>9998</v>
      </c>
      <c r="I13284" t="s">
        <v>7352</v>
      </c>
      <c r="J13284" t="s">
        <v>36912</v>
      </c>
      <c r="K13284" t="s">
        <v>37205</v>
      </c>
      <c r="M13284" t="s">
        <v>41177</v>
      </c>
      <c r="N13284" t="s">
        <v>41249</v>
      </c>
      <c r="O13284" t="s">
        <v>41250</v>
      </c>
      <c r="P13284">
        <v>0</v>
      </c>
      <c r="Q13284">
        <v>0</v>
      </c>
      <c r="R13284" t="s">
        <v>41273</v>
      </c>
      <c r="S13284" t="s">
        <v>42268</v>
      </c>
      <c r="T13284" t="s">
        <v>42665</v>
      </c>
      <c r="U13284" t="s">
        <v>53827</v>
      </c>
      <c r="V13284" t="s">
        <v>55837</v>
      </c>
      <c r="W13284" t="s">
        <v>41177</v>
      </c>
      <c r="X13284" t="s">
        <v>41274</v>
      </c>
    </row>
    <row r="13285" spans="1:24">
      <c r="A13285">
        <f>HYPERLINK("https://www.philgeps.gov.ph/GEPSNONPILOT/Tender/SplashBidNoticeAbstractUI.aspx?menuIndex=3&amp;refID=7037829&amp;Result=3","7037829")</f>
        <v>0</v>
      </c>
      <c r="B13285" t="s">
        <v>3333</v>
      </c>
      <c r="C13285" t="s">
        <v>16112</v>
      </c>
      <c r="D13285" t="s">
        <v>16677</v>
      </c>
      <c r="E13285" t="s">
        <v>28195</v>
      </c>
      <c r="F13285" t="s">
        <v>28669</v>
      </c>
      <c r="G13285" t="s">
        <v>28675</v>
      </c>
      <c r="H13285" t="s">
        <v>9998</v>
      </c>
      <c r="I13285" t="s">
        <v>28697</v>
      </c>
      <c r="J13285" t="s">
        <v>36914</v>
      </c>
      <c r="K13285" t="s">
        <v>37221</v>
      </c>
      <c r="M13285" t="s">
        <v>41179</v>
      </c>
      <c r="N13285" t="s">
        <v>41249</v>
      </c>
      <c r="O13285" t="s">
        <v>41250</v>
      </c>
      <c r="Q13285">
        <v>13</v>
      </c>
      <c r="R13285" t="s">
        <v>41273</v>
      </c>
      <c r="S13285" t="s">
        <v>42286</v>
      </c>
      <c r="T13285" t="s">
        <v>42736</v>
      </c>
      <c r="U13285" t="s">
        <v>53828</v>
      </c>
      <c r="W13285" t="s">
        <v>41179</v>
      </c>
      <c r="X13285" t="s">
        <v>41274</v>
      </c>
    </row>
    <row r="13286" spans="1:24">
      <c r="A13286">
        <f>HYPERLINK("https://www.philgeps.gov.ph/GEPSNONPILOT/Tender/SplashBidNoticeAbstractUI.aspx?menuIndex=3&amp;refID=7037808&amp;Result=3","7037808")</f>
        <v>0</v>
      </c>
      <c r="B13286" t="s">
        <v>1619</v>
      </c>
      <c r="C13286" t="s">
        <v>16113</v>
      </c>
      <c r="D13286" t="s">
        <v>16678</v>
      </c>
      <c r="E13286" t="s">
        <v>28196</v>
      </c>
      <c r="F13286" t="s">
        <v>28669</v>
      </c>
      <c r="G13286" t="s">
        <v>28675</v>
      </c>
      <c r="H13286" t="s">
        <v>28686</v>
      </c>
      <c r="I13286" t="s">
        <v>28689</v>
      </c>
      <c r="J13286" t="s">
        <v>31637</v>
      </c>
      <c r="K13286" t="s">
        <v>37322</v>
      </c>
      <c r="M13286" t="s">
        <v>39205</v>
      </c>
      <c r="N13286" t="s">
        <v>41249</v>
      </c>
      <c r="O13286" t="s">
        <v>41250</v>
      </c>
      <c r="Q13286">
        <v>0</v>
      </c>
      <c r="R13286" t="s">
        <v>41273</v>
      </c>
      <c r="S13286" t="s">
        <v>42287</v>
      </c>
      <c r="T13286" t="s">
        <v>42658</v>
      </c>
      <c r="U13286" t="s">
        <v>53829</v>
      </c>
      <c r="W13286" t="s">
        <v>39205</v>
      </c>
      <c r="X13286" t="s">
        <v>41274</v>
      </c>
    </row>
    <row r="13287" spans="1:24">
      <c r="A13287">
        <f>HYPERLINK("https://www.philgeps.gov.ph/GEPSNONPILOT/Tender/SplashBidNoticeAbstractUI.aspx?menuIndex=3&amp;refID=7038115&amp;Result=3","7038115")</f>
        <v>0</v>
      </c>
      <c r="B13287" t="s">
        <v>1241</v>
      </c>
      <c r="C13287" t="s">
        <v>16114</v>
      </c>
      <c r="D13287" t="s">
        <v>16618</v>
      </c>
      <c r="E13287" t="s">
        <v>28197</v>
      </c>
      <c r="F13287" t="s">
        <v>28669</v>
      </c>
      <c r="G13287" t="s">
        <v>28675</v>
      </c>
      <c r="H13287" t="s">
        <v>9998</v>
      </c>
      <c r="I13287" t="s">
        <v>3718</v>
      </c>
      <c r="J13287" t="s">
        <v>29332</v>
      </c>
      <c r="K13287" t="s">
        <v>37210</v>
      </c>
      <c r="M13287" t="s">
        <v>38788</v>
      </c>
      <c r="N13287" t="s">
        <v>41249</v>
      </c>
      <c r="O13287" t="s">
        <v>41250</v>
      </c>
      <c r="P13287">
        <v>0</v>
      </c>
      <c r="Q13287">
        <v>10</v>
      </c>
      <c r="R13287" t="s">
        <v>41273</v>
      </c>
      <c r="S13287" t="s">
        <v>42268</v>
      </c>
      <c r="T13287" t="s">
        <v>42992</v>
      </c>
      <c r="U13287" t="s">
        <v>53830</v>
      </c>
      <c r="W13287" t="s">
        <v>38788</v>
      </c>
      <c r="X13287" t="s">
        <v>41274</v>
      </c>
    </row>
    <row r="13288" spans="1:24">
      <c r="A13288">
        <f>HYPERLINK("https://www.philgeps.gov.ph/GEPSNONPILOT/Tender/SplashBidNoticeAbstractUI.aspx?menuIndex=3&amp;refID=7030122&amp;Result=3","7030122")</f>
        <v>0</v>
      </c>
      <c r="B13288" t="s">
        <v>942</v>
      </c>
      <c r="C13288" t="s">
        <v>16115</v>
      </c>
      <c r="D13288" t="s">
        <v>16620</v>
      </c>
      <c r="E13288" t="s">
        <v>28198</v>
      </c>
      <c r="F13288" t="s">
        <v>28669</v>
      </c>
      <c r="G13288" t="s">
        <v>28675</v>
      </c>
      <c r="H13288" t="s">
        <v>28686</v>
      </c>
      <c r="I13288" t="s">
        <v>28689</v>
      </c>
      <c r="J13288" t="s">
        <v>36915</v>
      </c>
      <c r="K13288" t="s">
        <v>37231</v>
      </c>
      <c r="M13288" t="s">
        <v>38465</v>
      </c>
      <c r="N13288" t="s">
        <v>41249</v>
      </c>
      <c r="O13288" t="s">
        <v>41250</v>
      </c>
      <c r="P13288">
        <v>0</v>
      </c>
      <c r="Q13288">
        <v>2</v>
      </c>
      <c r="R13288" t="s">
        <v>41274</v>
      </c>
      <c r="S13288" t="s">
        <v>42288</v>
      </c>
      <c r="T13288" t="s">
        <v>42759</v>
      </c>
      <c r="U13288" t="s">
        <v>53831</v>
      </c>
      <c r="W13288" t="s">
        <v>38465</v>
      </c>
      <c r="X13288" t="s">
        <v>41278</v>
      </c>
    </row>
    <row r="13289" spans="1:24">
      <c r="A13289">
        <f>HYPERLINK("https://www.philgeps.gov.ph/GEPSNONPILOT/Tender/SplashBidNoticeAbstractUI.aspx?menuIndex=3&amp;refID=7038101&amp;Result=3","7038101")</f>
        <v>0</v>
      </c>
      <c r="B13289" t="s">
        <v>3331</v>
      </c>
      <c r="C13289" t="s">
        <v>16116</v>
      </c>
      <c r="D13289" t="s">
        <v>16635</v>
      </c>
      <c r="E13289" t="s">
        <v>28199</v>
      </c>
      <c r="F13289" t="s">
        <v>28669</v>
      </c>
      <c r="G13289" t="s">
        <v>28675</v>
      </c>
      <c r="H13289" t="s">
        <v>9998</v>
      </c>
      <c r="I13289" t="s">
        <v>7352</v>
      </c>
      <c r="J13289" t="s">
        <v>36916</v>
      </c>
      <c r="K13289" t="s">
        <v>37205</v>
      </c>
      <c r="M13289" t="s">
        <v>41177</v>
      </c>
      <c r="N13289" t="s">
        <v>41249</v>
      </c>
      <c r="O13289" t="s">
        <v>41250</v>
      </c>
      <c r="P13289">
        <v>0</v>
      </c>
      <c r="Q13289">
        <v>0</v>
      </c>
      <c r="R13289" t="s">
        <v>41273</v>
      </c>
      <c r="S13289" t="s">
        <v>42268</v>
      </c>
      <c r="T13289" t="s">
        <v>42665</v>
      </c>
      <c r="U13289" t="s">
        <v>53832</v>
      </c>
      <c r="V13289" t="s">
        <v>55837</v>
      </c>
      <c r="W13289" t="s">
        <v>41177</v>
      </c>
      <c r="X13289" t="s">
        <v>41274</v>
      </c>
    </row>
    <row r="13290" spans="1:24">
      <c r="A13290">
        <f>HYPERLINK("https://www.philgeps.gov.ph/GEPSNONPILOT/Tender/SplashBidNoticeAbstractUI.aspx?menuIndex=3&amp;refID=7029976&amp;Result=3","7029976")</f>
        <v>0</v>
      </c>
      <c r="B13290" t="s">
        <v>1562</v>
      </c>
      <c r="C13290" t="s">
        <v>16117</v>
      </c>
      <c r="D13290" t="s">
        <v>16671</v>
      </c>
      <c r="E13290" t="s">
        <v>28200</v>
      </c>
      <c r="F13290" t="s">
        <v>28669</v>
      </c>
      <c r="G13290" t="s">
        <v>28675</v>
      </c>
      <c r="H13290" t="s">
        <v>9998</v>
      </c>
      <c r="I13290" t="s">
        <v>28713</v>
      </c>
      <c r="J13290" t="s">
        <v>28924</v>
      </c>
      <c r="K13290" t="s">
        <v>37220</v>
      </c>
      <c r="M13290" t="s">
        <v>39139</v>
      </c>
      <c r="N13290" t="s">
        <v>41249</v>
      </c>
      <c r="O13290" t="s">
        <v>41250</v>
      </c>
      <c r="Q13290">
        <v>14</v>
      </c>
      <c r="R13290" t="s">
        <v>41274</v>
      </c>
      <c r="S13290" t="s">
        <v>42289</v>
      </c>
      <c r="T13290" t="s">
        <v>42679</v>
      </c>
      <c r="U13290" t="s">
        <v>53833</v>
      </c>
      <c r="W13290" t="s">
        <v>39139</v>
      </c>
      <c r="X13290" t="s">
        <v>41278</v>
      </c>
    </row>
    <row r="13291" spans="1:24">
      <c r="A13291">
        <f>HYPERLINK("https://www.philgeps.gov.ph/GEPSNONPILOT/Tender/SplashBidNoticeAbstractUI.aspx?menuIndex=3&amp;refID=7038097&amp;Result=3","7038097")</f>
        <v>0</v>
      </c>
      <c r="B13291" t="s">
        <v>3331</v>
      </c>
      <c r="C13291" t="s">
        <v>16118</v>
      </c>
      <c r="D13291" t="s">
        <v>16635</v>
      </c>
      <c r="E13291" t="s">
        <v>28201</v>
      </c>
      <c r="F13291" t="s">
        <v>28669</v>
      </c>
      <c r="G13291" t="s">
        <v>28675</v>
      </c>
      <c r="H13291" t="s">
        <v>9998</v>
      </c>
      <c r="I13291" t="s">
        <v>7352</v>
      </c>
      <c r="J13291" t="s">
        <v>36916</v>
      </c>
      <c r="K13291" t="s">
        <v>37205</v>
      </c>
      <c r="M13291" t="s">
        <v>41177</v>
      </c>
      <c r="N13291" t="s">
        <v>41249</v>
      </c>
      <c r="O13291" t="s">
        <v>41250</v>
      </c>
      <c r="P13291">
        <v>0</v>
      </c>
      <c r="Q13291">
        <v>1</v>
      </c>
      <c r="R13291" t="s">
        <v>41273</v>
      </c>
      <c r="S13291" t="s">
        <v>42268</v>
      </c>
      <c r="T13291" t="s">
        <v>42665</v>
      </c>
      <c r="U13291" t="s">
        <v>53834</v>
      </c>
      <c r="V13291" t="s">
        <v>55837</v>
      </c>
      <c r="W13291" t="s">
        <v>41177</v>
      </c>
      <c r="X13291" t="s">
        <v>41274</v>
      </c>
    </row>
    <row r="13292" spans="1:24">
      <c r="A13292">
        <f>HYPERLINK("https://www.philgeps.gov.ph/GEPSNONPILOT/Tender/SplashBidNoticeAbstractUI.aspx?menuIndex=3&amp;refID=7037989&amp;Result=3","7037989")</f>
        <v>0</v>
      </c>
      <c r="B13292" t="s">
        <v>3334</v>
      </c>
      <c r="C13292" t="s">
        <v>16119</v>
      </c>
      <c r="D13292" t="s">
        <v>16608</v>
      </c>
      <c r="E13292" t="s">
        <v>28202</v>
      </c>
      <c r="F13292" t="s">
        <v>28669</v>
      </c>
      <c r="G13292" t="s">
        <v>28675</v>
      </c>
      <c r="H13292" t="s">
        <v>9998</v>
      </c>
      <c r="I13292" t="s">
        <v>28685</v>
      </c>
      <c r="J13292" t="s">
        <v>28881</v>
      </c>
      <c r="K13292" t="s">
        <v>37248</v>
      </c>
      <c r="M13292" t="s">
        <v>41180</v>
      </c>
      <c r="N13292" t="s">
        <v>41249</v>
      </c>
      <c r="O13292" t="s">
        <v>41250</v>
      </c>
      <c r="Q13292">
        <v>12</v>
      </c>
      <c r="R13292" t="s">
        <v>41273</v>
      </c>
      <c r="S13292" t="s">
        <v>42290</v>
      </c>
      <c r="T13292" t="s">
        <v>42673</v>
      </c>
      <c r="U13292" t="s">
        <v>53835</v>
      </c>
      <c r="V13292" t="s">
        <v>55839</v>
      </c>
      <c r="W13292" t="s">
        <v>41180</v>
      </c>
      <c r="X13292" t="s">
        <v>41274</v>
      </c>
    </row>
    <row r="13293" spans="1:24">
      <c r="A13293">
        <f>HYPERLINK("https://www.philgeps.gov.ph/GEPSNONPILOT/Tender/SplashBidNoticeAbstractUI.aspx?menuIndex=3&amp;refID=7027351&amp;Result=3","7027351")</f>
        <v>0</v>
      </c>
      <c r="B13293" t="s">
        <v>44</v>
      </c>
      <c r="C13293" t="s">
        <v>16120</v>
      </c>
      <c r="D13293" t="s">
        <v>16625</v>
      </c>
      <c r="E13293" t="s">
        <v>28203</v>
      </c>
      <c r="F13293" t="s">
        <v>28669</v>
      </c>
      <c r="G13293" t="s">
        <v>28675</v>
      </c>
      <c r="H13293" t="s">
        <v>28686</v>
      </c>
      <c r="I13293" t="s">
        <v>28689</v>
      </c>
      <c r="J13293" t="s">
        <v>36917</v>
      </c>
      <c r="K13293" t="s">
        <v>37269</v>
      </c>
      <c r="M13293" t="s">
        <v>37519</v>
      </c>
      <c r="N13293" t="s">
        <v>41249</v>
      </c>
      <c r="O13293" t="s">
        <v>41250</v>
      </c>
      <c r="P13293">
        <v>0</v>
      </c>
      <c r="Q13293">
        <v>1</v>
      </c>
      <c r="R13293" t="s">
        <v>41274</v>
      </c>
      <c r="S13293" t="s">
        <v>42288</v>
      </c>
      <c r="T13293" t="s">
        <v>42728</v>
      </c>
      <c r="U13293" t="s">
        <v>53836</v>
      </c>
      <c r="V13293" t="s">
        <v>54257</v>
      </c>
      <c r="W13293" t="s">
        <v>37519</v>
      </c>
      <c r="X13293" t="s">
        <v>41279</v>
      </c>
    </row>
    <row r="13294" spans="1:24">
      <c r="A13294">
        <f>HYPERLINK("https://www.philgeps.gov.ph/GEPSNONPILOT/Tender/SplashBidNoticeAbstractUI.aspx?menuIndex=3&amp;refID=7033528&amp;Result=3","7033528")</f>
        <v>0</v>
      </c>
      <c r="B13294" t="s">
        <v>2159</v>
      </c>
      <c r="C13294" t="s">
        <v>16121</v>
      </c>
      <c r="D13294" t="s">
        <v>16616</v>
      </c>
      <c r="E13294" t="s">
        <v>22993</v>
      </c>
      <c r="F13294" t="s">
        <v>28669</v>
      </c>
      <c r="G13294" t="s">
        <v>28675</v>
      </c>
      <c r="H13294" t="s">
        <v>9998</v>
      </c>
      <c r="I13294" t="s">
        <v>7352</v>
      </c>
      <c r="J13294" t="s">
        <v>36918</v>
      </c>
      <c r="K13294" t="s">
        <v>37206</v>
      </c>
      <c r="M13294" t="s">
        <v>39805</v>
      </c>
      <c r="N13294" t="s">
        <v>41249</v>
      </c>
      <c r="O13294" t="s">
        <v>41250</v>
      </c>
      <c r="P13294">
        <v>0</v>
      </c>
      <c r="Q13294">
        <v>0</v>
      </c>
      <c r="R13294" t="s">
        <v>41274</v>
      </c>
      <c r="S13294" t="s">
        <v>42288</v>
      </c>
      <c r="T13294" t="s">
        <v>42676</v>
      </c>
      <c r="U13294" t="s">
        <v>53837</v>
      </c>
      <c r="V13294" t="s">
        <v>55840</v>
      </c>
      <c r="W13294" t="s">
        <v>39805</v>
      </c>
      <c r="X13294" t="s">
        <v>41275</v>
      </c>
    </row>
    <row r="13295" spans="1:24">
      <c r="A13295">
        <f>HYPERLINK("https://www.philgeps.gov.ph/GEPSNONPILOT/Tender/SplashBidNoticeAbstractUI.aspx?menuIndex=3&amp;refID=7033474&amp;Result=3","7033474")</f>
        <v>0</v>
      </c>
      <c r="B13295" t="s">
        <v>3335</v>
      </c>
      <c r="C13295" t="s">
        <v>16122</v>
      </c>
      <c r="D13295" t="s">
        <v>16636</v>
      </c>
      <c r="E13295" t="s">
        <v>28204</v>
      </c>
      <c r="F13295" t="s">
        <v>28669</v>
      </c>
      <c r="G13295" t="s">
        <v>28675</v>
      </c>
      <c r="H13295" t="s">
        <v>9998</v>
      </c>
      <c r="I13295" t="s">
        <v>7352</v>
      </c>
      <c r="J13295" t="s">
        <v>36919</v>
      </c>
      <c r="K13295" t="s">
        <v>37210</v>
      </c>
      <c r="M13295" t="s">
        <v>41181</v>
      </c>
      <c r="N13295" t="s">
        <v>41249</v>
      </c>
      <c r="O13295" t="s">
        <v>41250</v>
      </c>
      <c r="P13295">
        <v>0</v>
      </c>
      <c r="Q13295">
        <v>1</v>
      </c>
      <c r="R13295" t="s">
        <v>41274</v>
      </c>
      <c r="S13295" t="s">
        <v>42288</v>
      </c>
      <c r="T13295" t="s">
        <v>42911</v>
      </c>
      <c r="U13295" t="s">
        <v>53838</v>
      </c>
      <c r="V13295" t="s">
        <v>55668</v>
      </c>
      <c r="W13295" t="s">
        <v>41181</v>
      </c>
      <c r="X13295" t="s">
        <v>41275</v>
      </c>
    </row>
    <row r="13296" spans="1:24">
      <c r="A13296">
        <f>HYPERLINK("https://www.philgeps.gov.ph/GEPSNONPILOT/Tender/SplashBidNoticeAbstractUI.aspx?menuIndex=3&amp;refID=7033322&amp;Result=3","7033322")</f>
        <v>0</v>
      </c>
      <c r="B13296" t="s">
        <v>78</v>
      </c>
      <c r="C13296" t="s">
        <v>16123</v>
      </c>
      <c r="D13296" t="s">
        <v>16648</v>
      </c>
      <c r="E13296" t="s">
        <v>28205</v>
      </c>
      <c r="F13296" t="s">
        <v>28669</v>
      </c>
      <c r="G13296" t="s">
        <v>28675</v>
      </c>
      <c r="H13296" t="s">
        <v>9998</v>
      </c>
      <c r="I13296" t="s">
        <v>7352</v>
      </c>
      <c r="J13296" t="s">
        <v>36920</v>
      </c>
      <c r="K13296" t="s">
        <v>37206</v>
      </c>
      <c r="M13296" t="s">
        <v>37553</v>
      </c>
      <c r="N13296" t="s">
        <v>41249</v>
      </c>
      <c r="O13296" t="s">
        <v>41250</v>
      </c>
      <c r="Q13296">
        <v>0</v>
      </c>
      <c r="R13296" t="s">
        <v>41274</v>
      </c>
      <c r="S13296" t="s">
        <v>42291</v>
      </c>
      <c r="T13296" t="s">
        <v>42743</v>
      </c>
      <c r="U13296" t="s">
        <v>53839</v>
      </c>
      <c r="W13296" t="s">
        <v>37553</v>
      </c>
      <c r="X13296" t="s">
        <v>41275</v>
      </c>
    </row>
    <row r="13297" spans="1:24">
      <c r="A13297">
        <f>HYPERLINK("https://www.philgeps.gov.ph/GEPSNONPILOT/Tender/SplashBidNoticeAbstractUI.aspx?menuIndex=3&amp;refID=7037735&amp;Result=3","7037735")</f>
        <v>0</v>
      </c>
      <c r="B13297" t="s">
        <v>1633</v>
      </c>
      <c r="C13297" t="s">
        <v>16124</v>
      </c>
      <c r="D13297" t="s">
        <v>16608</v>
      </c>
      <c r="E13297" t="s">
        <v>28206</v>
      </c>
      <c r="F13297" t="s">
        <v>28669</v>
      </c>
      <c r="G13297" t="s">
        <v>28678</v>
      </c>
      <c r="H13297" t="s">
        <v>9998</v>
      </c>
      <c r="I13297" t="s">
        <v>3718</v>
      </c>
      <c r="J13297" t="s">
        <v>31222</v>
      </c>
      <c r="K13297" t="s">
        <v>37205</v>
      </c>
      <c r="M13297" t="s">
        <v>39580</v>
      </c>
      <c r="N13297" t="s">
        <v>41249</v>
      </c>
      <c r="O13297" t="s">
        <v>41250</v>
      </c>
      <c r="Q13297">
        <v>12</v>
      </c>
      <c r="R13297" t="s">
        <v>41273</v>
      </c>
      <c r="S13297" t="s">
        <v>42292</v>
      </c>
      <c r="T13297" t="s">
        <v>42754</v>
      </c>
      <c r="U13297" t="s">
        <v>47958</v>
      </c>
      <c r="V13297" t="s">
        <v>55838</v>
      </c>
      <c r="W13297" t="s">
        <v>39580</v>
      </c>
      <c r="X13297" t="s">
        <v>41274</v>
      </c>
    </row>
    <row r="13298" spans="1:24">
      <c r="A13298">
        <f>HYPERLINK("https://www.philgeps.gov.ph/GEPSNONPILOT/Tender/SplashBidNoticeAbstractUI.aspx?menuIndex=3&amp;refID=7033062&amp;Result=3","7033062")</f>
        <v>0</v>
      </c>
      <c r="B13298" t="s">
        <v>784</v>
      </c>
      <c r="C13298" t="s">
        <v>16125</v>
      </c>
      <c r="D13298" t="s">
        <v>16661</v>
      </c>
      <c r="E13298" t="s">
        <v>28207</v>
      </c>
      <c r="F13298" t="s">
        <v>28669</v>
      </c>
      <c r="G13298" t="s">
        <v>28675</v>
      </c>
      <c r="H13298" t="s">
        <v>9998</v>
      </c>
      <c r="I13298" t="s">
        <v>7352</v>
      </c>
      <c r="J13298" t="s">
        <v>36921</v>
      </c>
      <c r="K13298" t="s">
        <v>37210</v>
      </c>
      <c r="M13298" t="s">
        <v>38298</v>
      </c>
      <c r="N13298" t="s">
        <v>41249</v>
      </c>
      <c r="O13298" t="s">
        <v>41250</v>
      </c>
      <c r="P13298">
        <v>0</v>
      </c>
      <c r="Q13298">
        <v>2</v>
      </c>
      <c r="R13298" t="s">
        <v>41274</v>
      </c>
      <c r="S13298" t="s">
        <v>42288</v>
      </c>
      <c r="T13298" t="s">
        <v>42727</v>
      </c>
      <c r="U13298" t="s">
        <v>53840</v>
      </c>
      <c r="W13298" t="s">
        <v>38298</v>
      </c>
      <c r="X13298" t="s">
        <v>41275</v>
      </c>
    </row>
    <row r="13299" spans="1:24">
      <c r="A13299">
        <f>HYPERLINK("https://www.philgeps.gov.ph/GEPSNONPILOT/Tender/SplashBidNoticeAbstractUI.aspx?menuIndex=3&amp;refID=7032807&amp;Result=3","7032807")</f>
        <v>0</v>
      </c>
      <c r="B13299" t="s">
        <v>893</v>
      </c>
      <c r="C13299" t="s">
        <v>16126</v>
      </c>
      <c r="D13299" t="s">
        <v>16608</v>
      </c>
      <c r="E13299" t="s">
        <v>28208</v>
      </c>
      <c r="F13299" t="s">
        <v>28669</v>
      </c>
      <c r="G13299" t="s">
        <v>28676</v>
      </c>
      <c r="H13299" t="s">
        <v>9998</v>
      </c>
      <c r="I13299" t="s">
        <v>28728</v>
      </c>
      <c r="J13299" t="s">
        <v>29203</v>
      </c>
      <c r="K13299" t="s">
        <v>37206</v>
      </c>
      <c r="M13299" t="s">
        <v>38414</v>
      </c>
      <c r="N13299" t="s">
        <v>41249</v>
      </c>
      <c r="O13299" t="s">
        <v>41250</v>
      </c>
      <c r="Q13299">
        <v>0</v>
      </c>
      <c r="R13299" t="s">
        <v>41274</v>
      </c>
      <c r="S13299" t="s">
        <v>42043</v>
      </c>
      <c r="T13299" t="s">
        <v>42711</v>
      </c>
      <c r="U13299" t="s">
        <v>53841</v>
      </c>
      <c r="W13299" t="s">
        <v>38414</v>
      </c>
      <c r="X13299" t="s">
        <v>41275</v>
      </c>
    </row>
    <row r="13300" spans="1:24">
      <c r="A13300">
        <f>HYPERLINK("https://www.philgeps.gov.ph/GEPSNONPILOT/Tender/SplashBidNoticeAbstractUI.aspx?menuIndex=3&amp;refID=7027358&amp;Result=3","7027358")</f>
        <v>0</v>
      </c>
      <c r="B13300" t="s">
        <v>44</v>
      </c>
      <c r="C13300" t="s">
        <v>16127</v>
      </c>
      <c r="D13300" t="s">
        <v>16625</v>
      </c>
      <c r="E13300" t="s">
        <v>28209</v>
      </c>
      <c r="F13300" t="s">
        <v>28669</v>
      </c>
      <c r="G13300" t="s">
        <v>28675</v>
      </c>
      <c r="H13300" t="s">
        <v>28686</v>
      </c>
      <c r="I13300" t="s">
        <v>28689</v>
      </c>
      <c r="J13300" t="s">
        <v>36922</v>
      </c>
      <c r="K13300" t="s">
        <v>37269</v>
      </c>
      <c r="M13300" t="s">
        <v>37519</v>
      </c>
      <c r="N13300" t="s">
        <v>41249</v>
      </c>
      <c r="O13300" t="s">
        <v>41250</v>
      </c>
      <c r="P13300">
        <v>0</v>
      </c>
      <c r="Q13300">
        <v>1</v>
      </c>
      <c r="R13300" t="s">
        <v>41274</v>
      </c>
      <c r="S13300" t="s">
        <v>42288</v>
      </c>
      <c r="T13300" t="s">
        <v>42728</v>
      </c>
      <c r="U13300" t="s">
        <v>53842</v>
      </c>
      <c r="V13300" t="s">
        <v>54257</v>
      </c>
      <c r="W13300" t="s">
        <v>37519</v>
      </c>
      <c r="X13300" t="s">
        <v>41279</v>
      </c>
    </row>
    <row r="13301" spans="1:24">
      <c r="A13301">
        <f>HYPERLINK("https://www.philgeps.gov.ph/GEPSNONPILOT/Tender/SplashBidNoticeAbstractUI.aspx?menuIndex=3&amp;refID=7033025&amp;Result=3","7033025")</f>
        <v>0</v>
      </c>
      <c r="B13301" t="s">
        <v>784</v>
      </c>
      <c r="C13301" t="s">
        <v>16128</v>
      </c>
      <c r="D13301" t="s">
        <v>16661</v>
      </c>
      <c r="E13301" t="s">
        <v>28210</v>
      </c>
      <c r="F13301" t="s">
        <v>28669</v>
      </c>
      <c r="G13301" t="s">
        <v>28675</v>
      </c>
      <c r="H13301" t="s">
        <v>9998</v>
      </c>
      <c r="I13301" t="s">
        <v>28687</v>
      </c>
      <c r="J13301" t="s">
        <v>28836</v>
      </c>
      <c r="K13301" t="s">
        <v>37206</v>
      </c>
      <c r="M13301" t="s">
        <v>38298</v>
      </c>
      <c r="N13301" t="s">
        <v>41249</v>
      </c>
      <c r="O13301" t="s">
        <v>41250</v>
      </c>
      <c r="P13301">
        <v>0</v>
      </c>
      <c r="Q13301">
        <v>3</v>
      </c>
      <c r="R13301" t="s">
        <v>41274</v>
      </c>
      <c r="S13301" t="s">
        <v>42288</v>
      </c>
      <c r="T13301" t="s">
        <v>42727</v>
      </c>
      <c r="U13301" t="s">
        <v>53843</v>
      </c>
      <c r="W13301" t="s">
        <v>38298</v>
      </c>
      <c r="X13301" t="s">
        <v>41275</v>
      </c>
    </row>
    <row r="13302" spans="1:24">
      <c r="A13302">
        <f>HYPERLINK("https://www.philgeps.gov.ph/GEPSNONPILOT/Tender/SplashBidNoticeAbstractUI.aspx?menuIndex=3&amp;refID=7032139&amp;Result=3","7032139")</f>
        <v>0</v>
      </c>
      <c r="B13302" t="s">
        <v>1562</v>
      </c>
      <c r="C13302" t="s">
        <v>16129</v>
      </c>
      <c r="D13302" t="s">
        <v>16671</v>
      </c>
      <c r="E13302" t="s">
        <v>28211</v>
      </c>
      <c r="F13302" t="s">
        <v>28669</v>
      </c>
      <c r="G13302" t="s">
        <v>28675</v>
      </c>
      <c r="H13302" t="s">
        <v>9998</v>
      </c>
      <c r="I13302" t="s">
        <v>28811</v>
      </c>
      <c r="J13302" t="s">
        <v>30454</v>
      </c>
      <c r="K13302" t="s">
        <v>37220</v>
      </c>
      <c r="M13302" t="s">
        <v>39139</v>
      </c>
      <c r="N13302" t="s">
        <v>41249</v>
      </c>
      <c r="O13302" t="s">
        <v>41250</v>
      </c>
      <c r="Q13302">
        <v>26</v>
      </c>
      <c r="R13302" t="s">
        <v>41274</v>
      </c>
      <c r="S13302" t="s">
        <v>42293</v>
      </c>
      <c r="T13302" t="s">
        <v>42703</v>
      </c>
      <c r="U13302" t="s">
        <v>53844</v>
      </c>
      <c r="W13302" t="s">
        <v>39139</v>
      </c>
      <c r="X13302" t="s">
        <v>41276</v>
      </c>
    </row>
    <row r="13303" spans="1:24">
      <c r="A13303">
        <f>HYPERLINK("https://www.philgeps.gov.ph/GEPSNONPILOT/Tender/SplashBidNoticeAbstractUI.aspx?menuIndex=3&amp;refID=7027341&amp;Result=3","7027341")</f>
        <v>0</v>
      </c>
      <c r="B13303" t="s">
        <v>44</v>
      </c>
      <c r="C13303" t="s">
        <v>16130</v>
      </c>
      <c r="D13303" t="s">
        <v>16625</v>
      </c>
      <c r="E13303" t="s">
        <v>28212</v>
      </c>
      <c r="F13303" t="s">
        <v>28669</v>
      </c>
      <c r="G13303" t="s">
        <v>28675</v>
      </c>
      <c r="H13303" t="s">
        <v>28686</v>
      </c>
      <c r="I13303" t="s">
        <v>28689</v>
      </c>
      <c r="J13303" t="s">
        <v>36923</v>
      </c>
      <c r="K13303" t="s">
        <v>37269</v>
      </c>
      <c r="M13303" t="s">
        <v>37519</v>
      </c>
      <c r="N13303" t="s">
        <v>41249</v>
      </c>
      <c r="O13303" t="s">
        <v>41250</v>
      </c>
      <c r="P13303">
        <v>0</v>
      </c>
      <c r="Q13303">
        <v>1</v>
      </c>
      <c r="R13303" t="s">
        <v>41274</v>
      </c>
      <c r="S13303" t="s">
        <v>42288</v>
      </c>
      <c r="T13303" t="s">
        <v>42728</v>
      </c>
      <c r="U13303" t="s">
        <v>53836</v>
      </c>
      <c r="V13303" t="s">
        <v>54257</v>
      </c>
      <c r="W13303" t="s">
        <v>37519</v>
      </c>
      <c r="X13303" t="s">
        <v>41279</v>
      </c>
    </row>
    <row r="13304" spans="1:24">
      <c r="A13304">
        <f>HYPERLINK("https://www.philgeps.gov.ph/GEPSNONPILOT/Tender/SplashBidNoticeAbstractUI.aspx?menuIndex=3&amp;refID=7031537&amp;Result=3","7031537")</f>
        <v>0</v>
      </c>
      <c r="B13304" t="s">
        <v>3284</v>
      </c>
      <c r="C13304" t="s">
        <v>16131</v>
      </c>
      <c r="D13304" t="s">
        <v>16611</v>
      </c>
      <c r="E13304" t="s">
        <v>28213</v>
      </c>
      <c r="F13304" t="s">
        <v>28669</v>
      </c>
      <c r="G13304" t="s">
        <v>28675</v>
      </c>
      <c r="H13304" t="s">
        <v>9998</v>
      </c>
      <c r="I13304" t="s">
        <v>6606</v>
      </c>
      <c r="J13304" t="s">
        <v>36924</v>
      </c>
      <c r="K13304" t="s">
        <v>37209</v>
      </c>
      <c r="M13304" t="s">
        <v>41116</v>
      </c>
      <c r="N13304" t="s">
        <v>41249</v>
      </c>
      <c r="O13304" t="s">
        <v>41250</v>
      </c>
      <c r="P13304">
        <v>0</v>
      </c>
      <c r="Q13304">
        <v>4</v>
      </c>
      <c r="R13304" t="s">
        <v>41274</v>
      </c>
      <c r="S13304" t="s">
        <v>42288</v>
      </c>
      <c r="T13304" t="s">
        <v>42673</v>
      </c>
      <c r="U13304" t="s">
        <v>53845</v>
      </c>
      <c r="W13304" t="s">
        <v>41116</v>
      </c>
      <c r="X13304" t="s">
        <v>41278</v>
      </c>
    </row>
    <row r="13305" spans="1:24">
      <c r="A13305">
        <f>HYPERLINK("https://www.philgeps.gov.ph/GEPSNONPILOT/Tender/SplashBidNoticeAbstractUI.aspx?menuIndex=3&amp;refID=7025369&amp;Result=3","7025369")</f>
        <v>0</v>
      </c>
      <c r="B13305" t="s">
        <v>1011</v>
      </c>
      <c r="C13305" t="s">
        <v>16132</v>
      </c>
      <c r="D13305" t="s">
        <v>16627</v>
      </c>
      <c r="E13305" t="s">
        <v>28214</v>
      </c>
      <c r="F13305" t="s">
        <v>28669</v>
      </c>
      <c r="G13305" t="s">
        <v>28675</v>
      </c>
      <c r="H13305" t="s">
        <v>28686</v>
      </c>
      <c r="I13305" t="s">
        <v>28689</v>
      </c>
      <c r="J13305" t="s">
        <v>36925</v>
      </c>
      <c r="K13305" t="s">
        <v>37467</v>
      </c>
      <c r="M13305" t="s">
        <v>38541</v>
      </c>
      <c r="N13305" t="s">
        <v>41249</v>
      </c>
      <c r="O13305" t="s">
        <v>41250</v>
      </c>
      <c r="P13305">
        <v>0</v>
      </c>
      <c r="Q13305">
        <v>1</v>
      </c>
      <c r="R13305" t="s">
        <v>41274</v>
      </c>
      <c r="S13305" t="s">
        <v>42288</v>
      </c>
      <c r="T13305" t="s">
        <v>42727</v>
      </c>
      <c r="U13305" t="s">
        <v>53846</v>
      </c>
      <c r="W13305" t="s">
        <v>38541</v>
      </c>
      <c r="X13305" t="s">
        <v>41280</v>
      </c>
    </row>
    <row r="13306" spans="1:24">
      <c r="A13306">
        <f>HYPERLINK("https://www.philgeps.gov.ph/GEPSNONPILOT/Tender/SplashBidNoticeAbstractUI.aspx?menuIndex=3&amp;refID=7019468&amp;Result=3","7019468")</f>
        <v>0</v>
      </c>
      <c r="B13306" t="s">
        <v>44</v>
      </c>
      <c r="C13306" t="s">
        <v>16133</v>
      </c>
      <c r="D13306" t="s">
        <v>16625</v>
      </c>
      <c r="E13306" t="s">
        <v>28215</v>
      </c>
      <c r="F13306" t="s">
        <v>28669</v>
      </c>
      <c r="G13306" t="s">
        <v>28675</v>
      </c>
      <c r="H13306" t="s">
        <v>28686</v>
      </c>
      <c r="I13306" t="s">
        <v>28689</v>
      </c>
      <c r="J13306" t="s">
        <v>36926</v>
      </c>
      <c r="K13306" t="s">
        <v>37211</v>
      </c>
      <c r="M13306" t="s">
        <v>37519</v>
      </c>
      <c r="N13306" t="s">
        <v>41249</v>
      </c>
      <c r="O13306" t="s">
        <v>41250</v>
      </c>
      <c r="P13306">
        <v>0</v>
      </c>
      <c r="Q13306">
        <v>1</v>
      </c>
      <c r="R13306" t="s">
        <v>41274</v>
      </c>
      <c r="S13306" t="s">
        <v>42288</v>
      </c>
      <c r="T13306" t="s">
        <v>42728</v>
      </c>
      <c r="U13306" t="s">
        <v>53847</v>
      </c>
      <c r="V13306" t="s">
        <v>54257</v>
      </c>
      <c r="W13306" t="s">
        <v>37519</v>
      </c>
      <c r="X13306" t="s">
        <v>41288</v>
      </c>
    </row>
    <row r="13307" spans="1:24">
      <c r="A13307">
        <f>HYPERLINK("https://www.philgeps.gov.ph/GEPSNONPILOT/Tender/SplashBidNoticeAbstractUI.aspx?menuIndex=3&amp;refID=7031485&amp;Result=3","7031485")</f>
        <v>0</v>
      </c>
      <c r="B13307" t="s">
        <v>447</v>
      </c>
      <c r="C13307" t="s">
        <v>16134</v>
      </c>
      <c r="D13307" t="s">
        <v>16608</v>
      </c>
      <c r="E13307" t="s">
        <v>28216</v>
      </c>
      <c r="F13307" t="s">
        <v>28669</v>
      </c>
      <c r="G13307" t="s">
        <v>28675</v>
      </c>
      <c r="H13307" t="s">
        <v>9998</v>
      </c>
      <c r="I13307" t="s">
        <v>5213</v>
      </c>
      <c r="J13307" t="s">
        <v>36927</v>
      </c>
      <c r="K13307" t="s">
        <v>37209</v>
      </c>
      <c r="M13307" t="s">
        <v>40081</v>
      </c>
      <c r="N13307" t="s">
        <v>41249</v>
      </c>
      <c r="O13307" t="s">
        <v>41250</v>
      </c>
      <c r="P13307">
        <v>0</v>
      </c>
      <c r="Q13307">
        <v>7</v>
      </c>
      <c r="R13307" t="s">
        <v>41274</v>
      </c>
      <c r="S13307" t="s">
        <v>42288</v>
      </c>
      <c r="T13307" t="s">
        <v>43164</v>
      </c>
      <c r="U13307" t="s">
        <v>53848</v>
      </c>
      <c r="W13307" t="s">
        <v>40081</v>
      </c>
      <c r="X13307" t="s">
        <v>41278</v>
      </c>
    </row>
    <row r="13308" spans="1:24">
      <c r="A13308">
        <f>HYPERLINK("https://www.philgeps.gov.ph/GEPSNONPILOT/Tender/SplashBidNoticeAbstractUI.aspx?menuIndex=3&amp;refID=7021697&amp;Result=3","7021697")</f>
        <v>0</v>
      </c>
      <c r="B13308" t="s">
        <v>44</v>
      </c>
      <c r="C13308" t="s">
        <v>16135</v>
      </c>
      <c r="D13308" t="s">
        <v>16625</v>
      </c>
      <c r="E13308" t="s">
        <v>28217</v>
      </c>
      <c r="F13308" t="s">
        <v>28669</v>
      </c>
      <c r="G13308" t="s">
        <v>28675</v>
      </c>
      <c r="H13308" t="s">
        <v>28686</v>
      </c>
      <c r="I13308" t="s">
        <v>28689</v>
      </c>
      <c r="J13308" t="s">
        <v>36928</v>
      </c>
      <c r="K13308" t="s">
        <v>37211</v>
      </c>
      <c r="M13308" t="s">
        <v>37519</v>
      </c>
      <c r="N13308" t="s">
        <v>41249</v>
      </c>
      <c r="O13308" t="s">
        <v>41250</v>
      </c>
      <c r="P13308">
        <v>0</v>
      </c>
      <c r="Q13308">
        <v>0</v>
      </c>
      <c r="R13308" t="s">
        <v>41274</v>
      </c>
      <c r="S13308" t="s">
        <v>42288</v>
      </c>
      <c r="T13308" t="s">
        <v>42728</v>
      </c>
      <c r="U13308" t="s">
        <v>53849</v>
      </c>
      <c r="V13308" t="s">
        <v>54257</v>
      </c>
      <c r="W13308" t="s">
        <v>37519</v>
      </c>
      <c r="X13308" t="s">
        <v>41281</v>
      </c>
    </row>
    <row r="13309" spans="1:24">
      <c r="A13309">
        <f>HYPERLINK("https://www.philgeps.gov.ph/GEPSNONPILOT/Tender/SplashBidNoticeAbstractUI.aspx?menuIndex=3&amp;refID=7033881&amp;Result=3","7033881")</f>
        <v>0</v>
      </c>
      <c r="B13309" t="s">
        <v>734</v>
      </c>
      <c r="C13309" t="s">
        <v>16136</v>
      </c>
      <c r="D13309" t="s">
        <v>16641</v>
      </c>
      <c r="E13309" t="s">
        <v>28218</v>
      </c>
      <c r="F13309" t="s">
        <v>28669</v>
      </c>
      <c r="G13309" t="s">
        <v>28675</v>
      </c>
      <c r="H13309" t="s">
        <v>9998</v>
      </c>
      <c r="I13309" t="s">
        <v>28696</v>
      </c>
      <c r="J13309" t="s">
        <v>36929</v>
      </c>
      <c r="K13309" t="s">
        <v>37204</v>
      </c>
      <c r="M13309" t="s">
        <v>41182</v>
      </c>
      <c r="N13309" t="s">
        <v>41249</v>
      </c>
      <c r="O13309" t="s">
        <v>41250</v>
      </c>
      <c r="P13309">
        <v>0</v>
      </c>
      <c r="Q13309">
        <v>5</v>
      </c>
      <c r="R13309" t="s">
        <v>41274</v>
      </c>
      <c r="S13309" t="s">
        <v>42288</v>
      </c>
      <c r="T13309" t="s">
        <v>42767</v>
      </c>
      <c r="U13309" t="s">
        <v>53850</v>
      </c>
      <c r="W13309" t="s">
        <v>41182</v>
      </c>
      <c r="X13309" t="s">
        <v>41275</v>
      </c>
    </row>
    <row r="13310" spans="1:24">
      <c r="A13310">
        <f>HYPERLINK("https://www.philgeps.gov.ph/GEPSNONPILOT/Tender/SplashBidNoticeAbstractUI.aspx?menuIndex=3&amp;refID=7033685&amp;Result=3","7033685")</f>
        <v>0</v>
      </c>
      <c r="B13310" t="s">
        <v>332</v>
      </c>
      <c r="C13310" t="s">
        <v>16137</v>
      </c>
      <c r="D13310" t="s">
        <v>16615</v>
      </c>
      <c r="E13310" t="s">
        <v>28219</v>
      </c>
      <c r="F13310" t="s">
        <v>28669</v>
      </c>
      <c r="G13310" t="s">
        <v>28675</v>
      </c>
      <c r="H13310" t="s">
        <v>9998</v>
      </c>
      <c r="I13310" t="s">
        <v>28738</v>
      </c>
      <c r="J13310" t="s">
        <v>36930</v>
      </c>
      <c r="K13310" t="s">
        <v>37206</v>
      </c>
      <c r="M13310" t="s">
        <v>37812</v>
      </c>
      <c r="N13310" t="s">
        <v>41249</v>
      </c>
      <c r="O13310" t="s">
        <v>41250</v>
      </c>
      <c r="P13310">
        <v>0</v>
      </c>
      <c r="Q13310">
        <v>4</v>
      </c>
      <c r="R13310" t="s">
        <v>41274</v>
      </c>
      <c r="S13310" t="s">
        <v>42288</v>
      </c>
      <c r="T13310" t="s">
        <v>42711</v>
      </c>
      <c r="U13310" t="s">
        <v>53851</v>
      </c>
      <c r="W13310" t="s">
        <v>37812</v>
      </c>
      <c r="X13310" t="s">
        <v>41275</v>
      </c>
    </row>
    <row r="13311" spans="1:24">
      <c r="A13311">
        <f>HYPERLINK("https://www.philgeps.gov.ph/GEPSNONPILOT/Tender/SplashBidNoticeAbstractUI.aspx?menuIndex=3&amp;refID=7034732&amp;Result=3","7034732")</f>
        <v>0</v>
      </c>
      <c r="B13311" t="s">
        <v>91</v>
      </c>
      <c r="C13311" t="s">
        <v>16138</v>
      </c>
      <c r="D13311" t="s">
        <v>16664</v>
      </c>
      <c r="E13311" t="s">
        <v>16838</v>
      </c>
      <c r="F13311" t="s">
        <v>28669</v>
      </c>
      <c r="G13311" t="s">
        <v>28675</v>
      </c>
      <c r="H13311" t="s">
        <v>9998</v>
      </c>
      <c r="I13311" t="s">
        <v>28743</v>
      </c>
      <c r="J13311" t="s">
        <v>29724</v>
      </c>
      <c r="K13311" t="s">
        <v>37209</v>
      </c>
      <c r="M13311" t="s">
        <v>37566</v>
      </c>
      <c r="N13311" t="s">
        <v>41249</v>
      </c>
      <c r="O13311" t="s">
        <v>41250</v>
      </c>
      <c r="Q13311">
        <v>0</v>
      </c>
      <c r="R13311" t="s">
        <v>41274</v>
      </c>
      <c r="S13311" t="s">
        <v>42294</v>
      </c>
      <c r="T13311" t="s">
        <v>42712</v>
      </c>
      <c r="U13311" t="s">
        <v>53852</v>
      </c>
      <c r="W13311" t="s">
        <v>37566</v>
      </c>
      <c r="X13311" t="s">
        <v>41275</v>
      </c>
    </row>
    <row r="13312" spans="1:24">
      <c r="A13312">
        <f>HYPERLINK("https://www.philgeps.gov.ph/GEPSNONPILOT/Tender/SplashBidNoticeAbstractUI.aspx?menuIndex=3&amp;refID=7034719&amp;Result=3","7034719")</f>
        <v>0</v>
      </c>
      <c r="B13312" t="s">
        <v>1124</v>
      </c>
      <c r="C13312" t="s">
        <v>16139</v>
      </c>
      <c r="E13312" t="s">
        <v>28220</v>
      </c>
      <c r="F13312" t="s">
        <v>28669</v>
      </c>
      <c r="G13312" t="s">
        <v>28675</v>
      </c>
      <c r="H13312" t="s">
        <v>9998</v>
      </c>
      <c r="I13312" t="s">
        <v>28687</v>
      </c>
      <c r="J13312" t="s">
        <v>36931</v>
      </c>
      <c r="K13312" t="s">
        <v>37211</v>
      </c>
      <c r="M13312" t="s">
        <v>40623</v>
      </c>
      <c r="N13312" t="s">
        <v>41249</v>
      </c>
      <c r="O13312" t="s">
        <v>41250</v>
      </c>
      <c r="Q13312">
        <v>14</v>
      </c>
      <c r="R13312" t="s">
        <v>41274</v>
      </c>
      <c r="S13312" t="s">
        <v>42295</v>
      </c>
      <c r="T13312" t="s">
        <v>42692</v>
      </c>
      <c r="U13312" t="s">
        <v>53853</v>
      </c>
      <c r="W13312" t="s">
        <v>40623</v>
      </c>
      <c r="X13312" t="s">
        <v>41275</v>
      </c>
    </row>
    <row r="13313" spans="1:24">
      <c r="A13313">
        <f>HYPERLINK("https://www.philgeps.gov.ph/GEPSNONPILOT/Tender/SplashBidNoticeAbstractUI.aspx?menuIndex=3&amp;refID=7024826&amp;Result=3","7024826")</f>
        <v>0</v>
      </c>
      <c r="B13313" t="s">
        <v>942</v>
      </c>
      <c r="C13313" t="s">
        <v>16140</v>
      </c>
      <c r="D13313" t="s">
        <v>16620</v>
      </c>
      <c r="E13313" t="s">
        <v>28221</v>
      </c>
      <c r="F13313" t="s">
        <v>28669</v>
      </c>
      <c r="G13313" t="s">
        <v>28675</v>
      </c>
      <c r="H13313" t="s">
        <v>9998</v>
      </c>
      <c r="I13313" t="s">
        <v>28695</v>
      </c>
      <c r="J13313" t="s">
        <v>36932</v>
      </c>
      <c r="K13313" t="s">
        <v>37206</v>
      </c>
      <c r="M13313" t="s">
        <v>38465</v>
      </c>
      <c r="N13313" t="s">
        <v>41249</v>
      </c>
      <c r="O13313" t="s">
        <v>41250</v>
      </c>
      <c r="P13313">
        <v>0</v>
      </c>
      <c r="Q13313">
        <v>0</v>
      </c>
      <c r="R13313" t="s">
        <v>41274</v>
      </c>
      <c r="S13313" t="s">
        <v>42288</v>
      </c>
      <c r="T13313" t="s">
        <v>42759</v>
      </c>
      <c r="U13313" t="s">
        <v>53854</v>
      </c>
      <c r="W13313" t="s">
        <v>38465</v>
      </c>
      <c r="X13313" t="s">
        <v>41280</v>
      </c>
    </row>
    <row r="13314" spans="1:24">
      <c r="A13314">
        <f>HYPERLINK("https://www.philgeps.gov.ph/GEPSNONPILOT/Tender/SplashBidNoticeAbstractUI.aspx?menuIndex=3&amp;refID=7034451&amp;Result=3","7034451")</f>
        <v>0</v>
      </c>
      <c r="B13314" t="s">
        <v>447</v>
      </c>
      <c r="C13314" t="s">
        <v>16141</v>
      </c>
      <c r="D13314" t="s">
        <v>16608</v>
      </c>
      <c r="E13314" t="s">
        <v>28222</v>
      </c>
      <c r="F13314" t="s">
        <v>28669</v>
      </c>
      <c r="G13314" t="s">
        <v>28675</v>
      </c>
      <c r="H13314" t="s">
        <v>9998</v>
      </c>
      <c r="I13314" t="s">
        <v>5213</v>
      </c>
      <c r="J13314" t="s">
        <v>36933</v>
      </c>
      <c r="K13314" t="s">
        <v>37209</v>
      </c>
      <c r="M13314" t="s">
        <v>41183</v>
      </c>
      <c r="N13314" t="s">
        <v>41249</v>
      </c>
      <c r="O13314" t="s">
        <v>41250</v>
      </c>
      <c r="Q13314">
        <v>6</v>
      </c>
      <c r="R13314" t="s">
        <v>41274</v>
      </c>
      <c r="S13314" t="s">
        <v>42296</v>
      </c>
      <c r="T13314" t="s">
        <v>42711</v>
      </c>
      <c r="U13314" t="s">
        <v>53855</v>
      </c>
      <c r="W13314" t="s">
        <v>41183</v>
      </c>
      <c r="X13314" t="s">
        <v>41275</v>
      </c>
    </row>
    <row r="13315" spans="1:24">
      <c r="A13315">
        <f>HYPERLINK("https://www.philgeps.gov.ph/GEPSNONPILOT/Tender/SplashBidNoticeAbstractUI.aspx?menuIndex=3&amp;refID=7034201&amp;Result=3","7034201")</f>
        <v>0</v>
      </c>
      <c r="B13315" t="s">
        <v>3336</v>
      </c>
      <c r="C13315" t="s">
        <v>16142</v>
      </c>
      <c r="D13315" t="s">
        <v>16607</v>
      </c>
      <c r="E13315" t="s">
        <v>28223</v>
      </c>
      <c r="F13315" t="s">
        <v>28669</v>
      </c>
      <c r="G13315" t="s">
        <v>28675</v>
      </c>
      <c r="H13315" t="s">
        <v>28686</v>
      </c>
      <c r="I13315" t="s">
        <v>28689</v>
      </c>
      <c r="J13315" t="s">
        <v>31313</v>
      </c>
      <c r="K13315" t="s">
        <v>37269</v>
      </c>
      <c r="L13315" t="s">
        <v>3336</v>
      </c>
      <c r="M13315" t="s">
        <v>41184</v>
      </c>
      <c r="N13315" t="s">
        <v>41249</v>
      </c>
      <c r="O13315" t="s">
        <v>41250</v>
      </c>
      <c r="P13315">
        <v>0</v>
      </c>
      <c r="Q13315">
        <v>18</v>
      </c>
      <c r="R13315" t="s">
        <v>41274</v>
      </c>
      <c r="S13315" t="s">
        <v>42288</v>
      </c>
      <c r="T13315" t="s">
        <v>42727</v>
      </c>
      <c r="U13315" t="s">
        <v>53856</v>
      </c>
      <c r="W13315" t="s">
        <v>41184</v>
      </c>
      <c r="X13315" t="s">
        <v>41275</v>
      </c>
    </row>
    <row r="13316" spans="1:24">
      <c r="A13316">
        <f>HYPERLINK("https://www.philgeps.gov.ph/GEPSNONPILOT/Tender/SplashBidNoticeAbstractUI.aspx?menuIndex=3&amp;refID=7021705&amp;Result=3","7021705")</f>
        <v>0</v>
      </c>
      <c r="B13316" t="s">
        <v>44</v>
      </c>
      <c r="C13316" t="s">
        <v>16143</v>
      </c>
      <c r="D13316" t="s">
        <v>16625</v>
      </c>
      <c r="E13316" t="s">
        <v>28224</v>
      </c>
      <c r="F13316" t="s">
        <v>28669</v>
      </c>
      <c r="G13316" t="s">
        <v>28675</v>
      </c>
      <c r="H13316" t="s">
        <v>28686</v>
      </c>
      <c r="I13316" t="s">
        <v>28689</v>
      </c>
      <c r="J13316" t="s">
        <v>36934</v>
      </c>
      <c r="K13316" t="s">
        <v>37325</v>
      </c>
      <c r="M13316" t="s">
        <v>37519</v>
      </c>
      <c r="N13316" t="s">
        <v>41249</v>
      </c>
      <c r="O13316" t="s">
        <v>41250</v>
      </c>
      <c r="Q13316">
        <v>1</v>
      </c>
      <c r="R13316" t="s">
        <v>41274</v>
      </c>
      <c r="S13316" t="s">
        <v>42297</v>
      </c>
      <c r="T13316" t="s">
        <v>42728</v>
      </c>
      <c r="U13316" t="s">
        <v>53857</v>
      </c>
      <c r="V13316" t="s">
        <v>54257</v>
      </c>
      <c r="W13316" t="s">
        <v>37519</v>
      </c>
      <c r="X13316" t="s">
        <v>41281</v>
      </c>
    </row>
    <row r="13317" spans="1:24">
      <c r="A13317">
        <f>HYPERLINK("https://www.philgeps.gov.ph/GEPSNONPILOT/Tender/SplashBidNoticeAbstractUI.aspx?menuIndex=3&amp;refID=7034842&amp;Result=3","7034842")</f>
        <v>0</v>
      </c>
      <c r="B13317" t="s">
        <v>3337</v>
      </c>
      <c r="C13317" t="s">
        <v>16144</v>
      </c>
      <c r="D13317" t="s">
        <v>16667</v>
      </c>
      <c r="E13317" t="s">
        <v>28225</v>
      </c>
      <c r="F13317" t="s">
        <v>28669</v>
      </c>
      <c r="G13317" t="s">
        <v>28675</v>
      </c>
      <c r="H13317" t="s">
        <v>28686</v>
      </c>
      <c r="I13317" t="s">
        <v>28689</v>
      </c>
      <c r="J13317" t="s">
        <v>29968</v>
      </c>
      <c r="K13317" t="s">
        <v>37212</v>
      </c>
      <c r="M13317" t="s">
        <v>41185</v>
      </c>
      <c r="N13317" t="s">
        <v>41249</v>
      </c>
      <c r="O13317" t="s">
        <v>41250</v>
      </c>
      <c r="Q13317">
        <v>47</v>
      </c>
      <c r="R13317" t="s">
        <v>41274</v>
      </c>
      <c r="S13317" t="s">
        <v>42298</v>
      </c>
      <c r="T13317" t="s">
        <v>42727</v>
      </c>
      <c r="U13317" t="s">
        <v>53858</v>
      </c>
      <c r="W13317" t="s">
        <v>41185</v>
      </c>
      <c r="X13317" t="s">
        <v>41275</v>
      </c>
    </row>
    <row r="13318" spans="1:24">
      <c r="A13318">
        <f>HYPERLINK("https://www.philgeps.gov.ph/GEPSNONPILOT/Tender/SplashBidNoticeAbstractUI.aspx?menuIndex=3&amp;refID=7034737&amp;Result=3","7034737")</f>
        <v>0</v>
      </c>
      <c r="B13318" t="s">
        <v>3338</v>
      </c>
      <c r="C13318" t="s">
        <v>11516</v>
      </c>
      <c r="D13318" t="s">
        <v>16658</v>
      </c>
      <c r="E13318" t="s">
        <v>16803</v>
      </c>
      <c r="F13318" t="s">
        <v>28669</v>
      </c>
      <c r="G13318" t="s">
        <v>28675</v>
      </c>
      <c r="H13318" t="s">
        <v>28684</v>
      </c>
      <c r="I13318" t="s">
        <v>28739</v>
      </c>
      <c r="J13318" t="s">
        <v>29191</v>
      </c>
      <c r="K13318" t="s">
        <v>37227</v>
      </c>
      <c r="M13318" t="s">
        <v>41186</v>
      </c>
      <c r="N13318" t="s">
        <v>41249</v>
      </c>
      <c r="O13318" t="s">
        <v>41250</v>
      </c>
      <c r="Q13318">
        <v>0</v>
      </c>
      <c r="R13318" t="s">
        <v>41274</v>
      </c>
      <c r="S13318" t="s">
        <v>41394</v>
      </c>
      <c r="T13318" t="s">
        <v>42711</v>
      </c>
      <c r="U13318" t="s">
        <v>53859</v>
      </c>
      <c r="W13318" t="s">
        <v>41186</v>
      </c>
      <c r="X13318" t="s">
        <v>41275</v>
      </c>
    </row>
    <row r="13319" spans="1:24">
      <c r="A13319">
        <f>HYPERLINK("https://www.philgeps.gov.ph/GEPSNONPILOT/Tender/SplashBidNoticeAbstractUI.aspx?menuIndex=3&amp;refID=7034455&amp;Result=3","7034455")</f>
        <v>0</v>
      </c>
      <c r="B13319" t="s">
        <v>3336</v>
      </c>
      <c r="C13319" t="s">
        <v>16145</v>
      </c>
      <c r="D13319" t="s">
        <v>16607</v>
      </c>
      <c r="E13319" t="s">
        <v>28226</v>
      </c>
      <c r="F13319" t="s">
        <v>28669</v>
      </c>
      <c r="G13319" t="s">
        <v>28675</v>
      </c>
      <c r="H13319" t="s">
        <v>28686</v>
      </c>
      <c r="I13319" t="s">
        <v>28689</v>
      </c>
      <c r="J13319" t="s">
        <v>32446</v>
      </c>
      <c r="K13319" t="s">
        <v>37215</v>
      </c>
      <c r="L13319" t="s">
        <v>3336</v>
      </c>
      <c r="M13319" t="s">
        <v>41184</v>
      </c>
      <c r="N13319" t="s">
        <v>41249</v>
      </c>
      <c r="O13319" t="s">
        <v>41250</v>
      </c>
      <c r="P13319">
        <v>0</v>
      </c>
      <c r="Q13319">
        <v>20</v>
      </c>
      <c r="R13319" t="s">
        <v>41274</v>
      </c>
      <c r="S13319" t="s">
        <v>42288</v>
      </c>
      <c r="T13319" t="s">
        <v>42736</v>
      </c>
      <c r="U13319" t="s">
        <v>53860</v>
      </c>
      <c r="W13319" t="s">
        <v>41184</v>
      </c>
      <c r="X13319" t="s">
        <v>41275</v>
      </c>
    </row>
    <row r="13320" spans="1:24">
      <c r="A13320">
        <f>HYPERLINK("https://www.philgeps.gov.ph/GEPSNONPILOT/Tender/SplashBidNoticeAbstractUI.aspx?menuIndex=3&amp;refID=7034382&amp;Result=3","7034382")</f>
        <v>0</v>
      </c>
      <c r="B13320" t="s">
        <v>1697</v>
      </c>
      <c r="C13320" t="s">
        <v>16146</v>
      </c>
      <c r="D13320" t="s">
        <v>16619</v>
      </c>
      <c r="E13320" t="s">
        <v>28227</v>
      </c>
      <c r="F13320" t="s">
        <v>28669</v>
      </c>
      <c r="G13320" t="s">
        <v>28682</v>
      </c>
      <c r="H13320" t="s">
        <v>28685</v>
      </c>
      <c r="I13320" t="s">
        <v>28685</v>
      </c>
      <c r="J13320" t="s">
        <v>36935</v>
      </c>
      <c r="K13320" t="s">
        <v>37209</v>
      </c>
      <c r="L13320" t="s">
        <v>1697</v>
      </c>
      <c r="M13320" t="s">
        <v>39297</v>
      </c>
      <c r="N13320" t="s">
        <v>41249</v>
      </c>
      <c r="O13320" t="s">
        <v>41250</v>
      </c>
      <c r="Q13320">
        <v>5</v>
      </c>
      <c r="R13320" t="s">
        <v>41274</v>
      </c>
      <c r="S13320" t="s">
        <v>42299</v>
      </c>
      <c r="T13320" t="s">
        <v>42836</v>
      </c>
      <c r="U13320" t="s">
        <v>53861</v>
      </c>
      <c r="W13320" t="s">
        <v>39297</v>
      </c>
      <c r="X13320" t="s">
        <v>41275</v>
      </c>
    </row>
    <row r="13321" spans="1:24">
      <c r="A13321">
        <f>HYPERLINK("https://www.philgeps.gov.ph/GEPSNONPILOT/Tender/SplashBidNoticeAbstractUI.aspx?menuIndex=3&amp;refID=7034357&amp;Result=3","7034357")</f>
        <v>0</v>
      </c>
      <c r="B13321" t="s">
        <v>3336</v>
      </c>
      <c r="C13321" t="s">
        <v>16147</v>
      </c>
      <c r="D13321" t="s">
        <v>16607</v>
      </c>
      <c r="E13321" t="s">
        <v>28228</v>
      </c>
      <c r="F13321" t="s">
        <v>28669</v>
      </c>
      <c r="G13321" t="s">
        <v>28675</v>
      </c>
      <c r="H13321" t="s">
        <v>28686</v>
      </c>
      <c r="I13321" t="s">
        <v>28689</v>
      </c>
      <c r="J13321" t="s">
        <v>31313</v>
      </c>
      <c r="K13321" t="s">
        <v>37317</v>
      </c>
      <c r="L13321" t="s">
        <v>3336</v>
      </c>
      <c r="M13321" t="s">
        <v>41184</v>
      </c>
      <c r="N13321" t="s">
        <v>41249</v>
      </c>
      <c r="O13321" t="s">
        <v>41250</v>
      </c>
      <c r="P13321">
        <v>0</v>
      </c>
      <c r="Q13321">
        <v>15</v>
      </c>
      <c r="R13321" t="s">
        <v>41274</v>
      </c>
      <c r="S13321" t="s">
        <v>42288</v>
      </c>
      <c r="T13321" t="s">
        <v>42727</v>
      </c>
      <c r="U13321" t="s">
        <v>53862</v>
      </c>
      <c r="W13321" t="s">
        <v>41184</v>
      </c>
      <c r="X13321" t="s">
        <v>41275</v>
      </c>
    </row>
    <row r="13322" spans="1:24">
      <c r="A13322">
        <f>HYPERLINK("https://www.philgeps.gov.ph/GEPSNONPILOT/Tender/SplashBidNoticeAbstractUI.aspx?menuIndex=3&amp;refID=7034823&amp;Result=3","7034823")</f>
        <v>0</v>
      </c>
      <c r="B13322" t="s">
        <v>2976</v>
      </c>
      <c r="C13322" t="s">
        <v>16148</v>
      </c>
      <c r="D13322" t="s">
        <v>16627</v>
      </c>
      <c r="E13322" t="s">
        <v>28229</v>
      </c>
      <c r="F13322" t="s">
        <v>28669</v>
      </c>
      <c r="G13322" t="s">
        <v>28675</v>
      </c>
      <c r="H13322" t="s">
        <v>28686</v>
      </c>
      <c r="I13322" t="s">
        <v>28689</v>
      </c>
      <c r="J13322" t="s">
        <v>36936</v>
      </c>
      <c r="K13322" t="s">
        <v>37206</v>
      </c>
      <c r="M13322" t="s">
        <v>40739</v>
      </c>
      <c r="N13322" t="s">
        <v>41249</v>
      </c>
      <c r="O13322" t="s">
        <v>41250</v>
      </c>
      <c r="P13322">
        <v>0</v>
      </c>
      <c r="Q13322">
        <v>1</v>
      </c>
      <c r="R13322" t="s">
        <v>41274</v>
      </c>
      <c r="S13322" t="s">
        <v>42288</v>
      </c>
      <c r="T13322" t="s">
        <v>42665</v>
      </c>
      <c r="U13322" t="s">
        <v>53863</v>
      </c>
      <c r="W13322" t="s">
        <v>40739</v>
      </c>
      <c r="X13322" t="s">
        <v>41275</v>
      </c>
    </row>
    <row r="13323" spans="1:24">
      <c r="A13323">
        <f>HYPERLINK("https://www.philgeps.gov.ph/GEPSNONPILOT/Tender/SplashBidNoticeAbstractUI.aspx?menuIndex=3&amp;refID=7034353&amp;Result=3","7034353")</f>
        <v>0</v>
      </c>
      <c r="B13323" t="s">
        <v>3339</v>
      </c>
      <c r="C13323" t="s">
        <v>16149</v>
      </c>
      <c r="D13323" t="s">
        <v>16658</v>
      </c>
      <c r="E13323" t="s">
        <v>17140</v>
      </c>
      <c r="F13323" t="s">
        <v>28669</v>
      </c>
      <c r="G13323" t="s">
        <v>28675</v>
      </c>
      <c r="H13323" t="s">
        <v>28686</v>
      </c>
      <c r="I13323" t="s">
        <v>28689</v>
      </c>
      <c r="J13323" t="s">
        <v>36937</v>
      </c>
      <c r="K13323" t="s">
        <v>37227</v>
      </c>
      <c r="M13323" t="s">
        <v>41187</v>
      </c>
      <c r="N13323" t="s">
        <v>41249</v>
      </c>
      <c r="O13323" t="s">
        <v>41250</v>
      </c>
      <c r="Q13323">
        <v>0</v>
      </c>
      <c r="R13323" t="s">
        <v>41274</v>
      </c>
      <c r="S13323" t="s">
        <v>42300</v>
      </c>
      <c r="T13323" t="s">
        <v>42729</v>
      </c>
      <c r="U13323" t="s">
        <v>53864</v>
      </c>
      <c r="W13323" t="s">
        <v>41187</v>
      </c>
      <c r="X13323" t="s">
        <v>41275</v>
      </c>
    </row>
    <row r="13324" spans="1:24">
      <c r="A13324">
        <f>HYPERLINK("https://www.philgeps.gov.ph/GEPSNONPILOT/Tender/SplashBidNoticeAbstractUI.aspx?menuIndex=3&amp;refID=7034408&amp;Result=3","7034408")</f>
        <v>0</v>
      </c>
      <c r="B13324" t="s">
        <v>3339</v>
      </c>
      <c r="C13324" t="s">
        <v>16150</v>
      </c>
      <c r="D13324" t="s">
        <v>16658</v>
      </c>
      <c r="E13324" t="s">
        <v>16803</v>
      </c>
      <c r="F13324" t="s">
        <v>28669</v>
      </c>
      <c r="G13324" t="s">
        <v>28675</v>
      </c>
      <c r="H13324" t="s">
        <v>28686</v>
      </c>
      <c r="I13324" t="s">
        <v>28689</v>
      </c>
      <c r="J13324" t="s">
        <v>28912</v>
      </c>
      <c r="K13324" t="s">
        <v>37227</v>
      </c>
      <c r="M13324" t="s">
        <v>41187</v>
      </c>
      <c r="N13324" t="s">
        <v>41249</v>
      </c>
      <c r="O13324" t="s">
        <v>41250</v>
      </c>
      <c r="Q13324">
        <v>0</v>
      </c>
      <c r="R13324" t="s">
        <v>41274</v>
      </c>
      <c r="S13324" t="s">
        <v>41502</v>
      </c>
      <c r="T13324" t="s">
        <v>42711</v>
      </c>
      <c r="U13324" t="s">
        <v>53865</v>
      </c>
      <c r="W13324" t="s">
        <v>41187</v>
      </c>
      <c r="X13324" t="s">
        <v>41275</v>
      </c>
    </row>
    <row r="13325" spans="1:24">
      <c r="A13325">
        <f>HYPERLINK("https://www.philgeps.gov.ph/GEPSNONPILOT/Tender/SplashBidNoticeAbstractUI.aspx?menuIndex=3&amp;refID=7037792&amp;Result=3","7037792")</f>
        <v>0</v>
      </c>
      <c r="B13325" t="s">
        <v>1619</v>
      </c>
      <c r="C13325" t="s">
        <v>16151</v>
      </c>
      <c r="D13325" t="s">
        <v>16678</v>
      </c>
      <c r="E13325" t="s">
        <v>28230</v>
      </c>
      <c r="F13325" t="s">
        <v>28669</v>
      </c>
      <c r="G13325" t="s">
        <v>28675</v>
      </c>
      <c r="H13325" t="s">
        <v>28686</v>
      </c>
      <c r="I13325" t="s">
        <v>28689</v>
      </c>
      <c r="J13325" t="s">
        <v>31637</v>
      </c>
      <c r="K13325" t="s">
        <v>37322</v>
      </c>
      <c r="M13325" t="s">
        <v>39205</v>
      </c>
      <c r="N13325" t="s">
        <v>41249</v>
      </c>
      <c r="O13325" t="s">
        <v>41250</v>
      </c>
      <c r="Q13325">
        <v>0</v>
      </c>
      <c r="R13325" t="s">
        <v>41273</v>
      </c>
      <c r="S13325" t="s">
        <v>42301</v>
      </c>
      <c r="T13325" t="s">
        <v>42658</v>
      </c>
      <c r="U13325" t="s">
        <v>53829</v>
      </c>
      <c r="W13325" t="s">
        <v>39205</v>
      </c>
      <c r="X13325" t="s">
        <v>41274</v>
      </c>
    </row>
    <row r="13326" spans="1:24">
      <c r="A13326">
        <f>HYPERLINK("https://www.philgeps.gov.ph/GEPSNONPILOT/Tender/SplashBidNoticeAbstractUI.aspx?menuIndex=3&amp;refID=7034265&amp;Result=3","7034265")</f>
        <v>0</v>
      </c>
      <c r="B13326" t="s">
        <v>1697</v>
      </c>
      <c r="C13326" t="s">
        <v>16152</v>
      </c>
      <c r="D13326" t="s">
        <v>16635</v>
      </c>
      <c r="E13326" t="s">
        <v>28231</v>
      </c>
      <c r="F13326" t="s">
        <v>28669</v>
      </c>
      <c r="G13326" t="s">
        <v>28682</v>
      </c>
      <c r="H13326" t="s">
        <v>28685</v>
      </c>
      <c r="I13326" t="s">
        <v>28685</v>
      </c>
      <c r="J13326" t="s">
        <v>36938</v>
      </c>
      <c r="K13326" t="s">
        <v>37209</v>
      </c>
      <c r="L13326" t="s">
        <v>1697</v>
      </c>
      <c r="M13326" t="s">
        <v>39297</v>
      </c>
      <c r="N13326" t="s">
        <v>41249</v>
      </c>
      <c r="O13326" t="s">
        <v>41250</v>
      </c>
      <c r="Q13326">
        <v>6</v>
      </c>
      <c r="R13326" t="s">
        <v>41274</v>
      </c>
      <c r="S13326" t="s">
        <v>42302</v>
      </c>
      <c r="T13326" t="s">
        <v>42754</v>
      </c>
      <c r="U13326" t="s">
        <v>53866</v>
      </c>
      <c r="W13326" t="s">
        <v>39297</v>
      </c>
      <c r="X13326" t="s">
        <v>41275</v>
      </c>
    </row>
    <row r="13327" spans="1:24">
      <c r="A13327">
        <f>HYPERLINK("https://www.philgeps.gov.ph/GEPSNONPILOT/Tender/SplashBidNoticeAbstractUI.aspx?menuIndex=3&amp;refID=7034261&amp;Result=3","7034261")</f>
        <v>0</v>
      </c>
      <c r="B13327" t="s">
        <v>2855</v>
      </c>
      <c r="C13327" t="s">
        <v>16153</v>
      </c>
      <c r="D13327" t="s">
        <v>16635</v>
      </c>
      <c r="E13327" t="s">
        <v>28232</v>
      </c>
      <c r="F13327" t="s">
        <v>28669</v>
      </c>
      <c r="G13327" t="s">
        <v>28675</v>
      </c>
      <c r="H13327" t="s">
        <v>28686</v>
      </c>
      <c r="I13327" t="s">
        <v>7352</v>
      </c>
      <c r="J13327" t="s">
        <v>36939</v>
      </c>
      <c r="K13327" t="s">
        <v>37220</v>
      </c>
      <c r="M13327" t="s">
        <v>40594</v>
      </c>
      <c r="N13327" t="s">
        <v>41249</v>
      </c>
      <c r="O13327" t="s">
        <v>41250</v>
      </c>
      <c r="Q13327">
        <v>1</v>
      </c>
      <c r="R13327" t="s">
        <v>41274</v>
      </c>
      <c r="S13327" t="s">
        <v>42303</v>
      </c>
      <c r="T13327" t="s">
        <v>42867</v>
      </c>
      <c r="U13327" t="s">
        <v>53867</v>
      </c>
      <c r="W13327" t="s">
        <v>40594</v>
      </c>
      <c r="X13327" t="s">
        <v>41275</v>
      </c>
    </row>
    <row r="13328" spans="1:24">
      <c r="A13328">
        <f>HYPERLINK("https://www.philgeps.gov.ph/GEPSNONPILOT/Tender/SplashBidNoticeAbstractUI.aspx?menuIndex=3&amp;refID=7034234&amp;Result=3","7034234")</f>
        <v>0</v>
      </c>
      <c r="B13328" t="s">
        <v>2299</v>
      </c>
      <c r="C13328" t="s">
        <v>16154</v>
      </c>
      <c r="D13328" t="s">
        <v>16619</v>
      </c>
      <c r="E13328" t="s">
        <v>28233</v>
      </c>
      <c r="F13328" t="s">
        <v>28669</v>
      </c>
      <c r="G13328" t="s">
        <v>28675</v>
      </c>
      <c r="H13328" t="s">
        <v>9998</v>
      </c>
      <c r="I13328" t="s">
        <v>28736</v>
      </c>
      <c r="J13328" t="s">
        <v>29059</v>
      </c>
      <c r="K13328" t="s">
        <v>37205</v>
      </c>
      <c r="M13328" t="s">
        <v>39957</v>
      </c>
      <c r="N13328" t="s">
        <v>41249</v>
      </c>
      <c r="O13328" t="s">
        <v>41250</v>
      </c>
      <c r="Q13328">
        <v>2</v>
      </c>
      <c r="R13328" t="s">
        <v>41274</v>
      </c>
      <c r="S13328" t="s">
        <v>42304</v>
      </c>
      <c r="T13328" t="s">
        <v>42727</v>
      </c>
      <c r="U13328" t="s">
        <v>53868</v>
      </c>
      <c r="V13328" t="s">
        <v>55841</v>
      </c>
      <c r="W13328" t="s">
        <v>39957</v>
      </c>
      <c r="X13328" t="s">
        <v>41275</v>
      </c>
    </row>
    <row r="13329" spans="1:24">
      <c r="A13329">
        <f>HYPERLINK("https://www.philgeps.gov.ph/GEPSNONPILOT/Tender/SplashBidNoticeAbstractUI.aspx?menuIndex=3&amp;refID=7034941&amp;Result=3","7034941")</f>
        <v>0</v>
      </c>
      <c r="B13329" t="s">
        <v>3337</v>
      </c>
      <c r="C13329" t="s">
        <v>16155</v>
      </c>
      <c r="D13329" t="s">
        <v>16667</v>
      </c>
      <c r="E13329" t="s">
        <v>17798</v>
      </c>
      <c r="F13329" t="s">
        <v>28669</v>
      </c>
      <c r="G13329" t="s">
        <v>28675</v>
      </c>
      <c r="H13329" t="s">
        <v>28686</v>
      </c>
      <c r="I13329" t="s">
        <v>28689</v>
      </c>
      <c r="J13329" t="s">
        <v>29968</v>
      </c>
      <c r="K13329" t="s">
        <v>37212</v>
      </c>
      <c r="M13329" t="s">
        <v>41185</v>
      </c>
      <c r="N13329" t="s">
        <v>41249</v>
      </c>
      <c r="O13329" t="s">
        <v>41250</v>
      </c>
      <c r="Q13329">
        <v>46</v>
      </c>
      <c r="R13329" t="s">
        <v>41274</v>
      </c>
      <c r="S13329" t="s">
        <v>42305</v>
      </c>
      <c r="T13329" t="s">
        <v>42727</v>
      </c>
      <c r="U13329" t="s">
        <v>53869</v>
      </c>
      <c r="W13329" t="s">
        <v>41185</v>
      </c>
      <c r="X13329" t="s">
        <v>41275</v>
      </c>
    </row>
    <row r="13330" spans="1:24">
      <c r="A13330">
        <f>HYPERLINK("https://www.philgeps.gov.ph/GEPSNONPILOT/Tender/SplashBidNoticeAbstractUI.aspx?menuIndex=3&amp;refID=7034924&amp;Result=3","7034924")</f>
        <v>0</v>
      </c>
      <c r="B13330" t="s">
        <v>3337</v>
      </c>
      <c r="C13330" t="s">
        <v>16156</v>
      </c>
      <c r="D13330" t="s">
        <v>16662</v>
      </c>
      <c r="E13330" t="s">
        <v>28234</v>
      </c>
      <c r="F13330" t="s">
        <v>28669</v>
      </c>
      <c r="G13330" t="s">
        <v>28675</v>
      </c>
      <c r="H13330" t="s">
        <v>28686</v>
      </c>
      <c r="I13330" t="s">
        <v>28689</v>
      </c>
      <c r="J13330" t="s">
        <v>29968</v>
      </c>
      <c r="K13330" t="s">
        <v>37212</v>
      </c>
      <c r="M13330" t="s">
        <v>41185</v>
      </c>
      <c r="N13330" t="s">
        <v>41249</v>
      </c>
      <c r="O13330" t="s">
        <v>41250</v>
      </c>
      <c r="Q13330">
        <v>42</v>
      </c>
      <c r="R13330" t="s">
        <v>41274</v>
      </c>
      <c r="S13330" t="s">
        <v>42306</v>
      </c>
      <c r="T13330" t="s">
        <v>42727</v>
      </c>
      <c r="U13330" t="s">
        <v>53870</v>
      </c>
      <c r="W13330" t="s">
        <v>41185</v>
      </c>
      <c r="X13330" t="s">
        <v>41275</v>
      </c>
    </row>
    <row r="13331" spans="1:24">
      <c r="A13331">
        <f>HYPERLINK("https://www.philgeps.gov.ph/GEPSNONPILOT/Tender/SplashBidNoticeAbstractUI.aspx?menuIndex=3&amp;refID=7031042&amp;Result=3","7031042")</f>
        <v>0</v>
      </c>
      <c r="B13331" t="s">
        <v>411</v>
      </c>
      <c r="C13331" t="s">
        <v>16157</v>
      </c>
      <c r="D13331" t="s">
        <v>16616</v>
      </c>
      <c r="E13331" t="s">
        <v>28235</v>
      </c>
      <c r="F13331" t="s">
        <v>28669</v>
      </c>
      <c r="G13331" t="s">
        <v>28676</v>
      </c>
      <c r="H13331" t="s">
        <v>9998</v>
      </c>
      <c r="I13331" t="s">
        <v>5213</v>
      </c>
      <c r="J13331" t="s">
        <v>36940</v>
      </c>
      <c r="K13331" t="s">
        <v>37205</v>
      </c>
      <c r="M13331" t="s">
        <v>39337</v>
      </c>
      <c r="N13331" t="s">
        <v>41249</v>
      </c>
      <c r="O13331" t="s">
        <v>41250</v>
      </c>
      <c r="Q13331">
        <v>2</v>
      </c>
      <c r="R13331" t="s">
        <v>41275</v>
      </c>
      <c r="S13331" t="s">
        <v>42307</v>
      </c>
      <c r="T13331" t="s">
        <v>42827</v>
      </c>
      <c r="U13331" t="s">
        <v>53871</v>
      </c>
      <c r="W13331" t="s">
        <v>39337</v>
      </c>
      <c r="X13331" t="s">
        <v>41278</v>
      </c>
    </row>
    <row r="13332" spans="1:24">
      <c r="A13332">
        <f>HYPERLINK("https://www.philgeps.gov.ph/GEPSNONPILOT/Tender/SplashBidNoticeAbstractUI.aspx?menuIndex=3&amp;refID=7034361&amp;Result=3","7034361")</f>
        <v>0</v>
      </c>
      <c r="B13332" t="s">
        <v>2855</v>
      </c>
      <c r="C13332" t="s">
        <v>16158</v>
      </c>
      <c r="D13332" t="s">
        <v>16635</v>
      </c>
      <c r="E13332" t="s">
        <v>28236</v>
      </c>
      <c r="F13332" t="s">
        <v>28669</v>
      </c>
      <c r="G13332" t="s">
        <v>28675</v>
      </c>
      <c r="H13332" t="s">
        <v>28686</v>
      </c>
      <c r="I13332" t="s">
        <v>7352</v>
      </c>
      <c r="J13332" t="s">
        <v>36941</v>
      </c>
      <c r="K13332" t="s">
        <v>37221</v>
      </c>
      <c r="M13332" t="s">
        <v>40594</v>
      </c>
      <c r="N13332" t="s">
        <v>41249</v>
      </c>
      <c r="O13332" t="s">
        <v>41250</v>
      </c>
      <c r="Q13332">
        <v>2</v>
      </c>
      <c r="R13332" t="s">
        <v>41274</v>
      </c>
      <c r="S13332" t="s">
        <v>42308</v>
      </c>
      <c r="T13332" t="s">
        <v>42736</v>
      </c>
      <c r="U13332" t="s">
        <v>53872</v>
      </c>
      <c r="W13332" t="s">
        <v>40594</v>
      </c>
      <c r="X13332" t="s">
        <v>41275</v>
      </c>
    </row>
    <row r="13333" spans="1:24">
      <c r="A13333">
        <f>HYPERLINK("https://www.philgeps.gov.ph/GEPSNONPILOT/Tender/SplashBidNoticeAbstractUI.aspx?menuIndex=3&amp;refID=7030911&amp;Result=3","7030911")</f>
        <v>0</v>
      </c>
      <c r="B13333" t="s">
        <v>2009</v>
      </c>
      <c r="C13333" t="s">
        <v>16159</v>
      </c>
      <c r="D13333" t="s">
        <v>16671</v>
      </c>
      <c r="E13333" t="s">
        <v>20261</v>
      </c>
      <c r="F13333" t="s">
        <v>28669</v>
      </c>
      <c r="G13333" t="s">
        <v>28675</v>
      </c>
      <c r="H13333" t="s">
        <v>9998</v>
      </c>
      <c r="I13333" t="s">
        <v>28714</v>
      </c>
      <c r="J13333" t="s">
        <v>36942</v>
      </c>
      <c r="K13333" t="s">
        <v>37221</v>
      </c>
      <c r="M13333" t="s">
        <v>39647</v>
      </c>
      <c r="N13333" t="s">
        <v>41249</v>
      </c>
      <c r="O13333" t="s">
        <v>41250</v>
      </c>
      <c r="Q13333">
        <v>13</v>
      </c>
      <c r="R13333" t="s">
        <v>41275</v>
      </c>
      <c r="S13333" t="s">
        <v>42309</v>
      </c>
      <c r="T13333" t="s">
        <v>42661</v>
      </c>
      <c r="U13333" t="s">
        <v>53873</v>
      </c>
      <c r="W13333" t="s">
        <v>39647</v>
      </c>
      <c r="X13333" t="s">
        <v>41278</v>
      </c>
    </row>
    <row r="13334" spans="1:24">
      <c r="A13334">
        <f>HYPERLINK("https://www.philgeps.gov.ph/GEPSNONPILOT/Tender/SplashBidNoticeAbstractUI.aspx?menuIndex=3&amp;refID=7034407&amp;Result=3","7034407")</f>
        <v>0</v>
      </c>
      <c r="B13334" t="s">
        <v>1697</v>
      </c>
      <c r="C13334" t="s">
        <v>16160</v>
      </c>
      <c r="D13334" t="s">
        <v>16639</v>
      </c>
      <c r="E13334" t="s">
        <v>28237</v>
      </c>
      <c r="F13334" t="s">
        <v>28669</v>
      </c>
      <c r="G13334" t="s">
        <v>28682</v>
      </c>
      <c r="H13334" t="s">
        <v>28685</v>
      </c>
      <c r="I13334" t="s">
        <v>28685</v>
      </c>
      <c r="J13334" t="s">
        <v>36943</v>
      </c>
      <c r="K13334" t="s">
        <v>37209</v>
      </c>
      <c r="L13334" t="s">
        <v>1697</v>
      </c>
      <c r="M13334" t="s">
        <v>39297</v>
      </c>
      <c r="N13334" t="s">
        <v>41249</v>
      </c>
      <c r="O13334" t="s">
        <v>41250</v>
      </c>
      <c r="Q13334">
        <v>5</v>
      </c>
      <c r="R13334" t="s">
        <v>41274</v>
      </c>
      <c r="S13334" t="s">
        <v>42310</v>
      </c>
      <c r="T13334" t="s">
        <v>42836</v>
      </c>
      <c r="U13334" t="s">
        <v>53874</v>
      </c>
      <c r="W13334" t="s">
        <v>39297</v>
      </c>
      <c r="X13334" t="s">
        <v>41275</v>
      </c>
    </row>
    <row r="13335" spans="1:24">
      <c r="A13335">
        <f>HYPERLINK("https://www.philgeps.gov.ph/GEPSNONPILOT/Tender/SplashBidNoticeAbstractUI.aspx?menuIndex=3&amp;refID=7031242&amp;Result=3","7031242")</f>
        <v>0</v>
      </c>
      <c r="B13335" t="s">
        <v>411</v>
      </c>
      <c r="C13335" t="s">
        <v>16161</v>
      </c>
      <c r="D13335" t="s">
        <v>16706</v>
      </c>
      <c r="E13335" t="s">
        <v>28238</v>
      </c>
      <c r="F13335" t="s">
        <v>28669</v>
      </c>
      <c r="G13335" t="s">
        <v>28676</v>
      </c>
      <c r="H13335" t="s">
        <v>9998</v>
      </c>
      <c r="I13335" t="s">
        <v>28743</v>
      </c>
      <c r="J13335" t="s">
        <v>29644</v>
      </c>
      <c r="K13335" t="s">
        <v>37205</v>
      </c>
      <c r="M13335" t="s">
        <v>39337</v>
      </c>
      <c r="N13335" t="s">
        <v>41249</v>
      </c>
      <c r="O13335" t="s">
        <v>41250</v>
      </c>
      <c r="Q13335">
        <v>1</v>
      </c>
      <c r="R13335" t="s">
        <v>41275</v>
      </c>
      <c r="S13335" t="s">
        <v>42311</v>
      </c>
      <c r="T13335" t="s">
        <v>42827</v>
      </c>
      <c r="U13335" t="s">
        <v>53875</v>
      </c>
      <c r="W13335" t="s">
        <v>39337</v>
      </c>
      <c r="X13335" t="s">
        <v>41278</v>
      </c>
    </row>
    <row r="13336" spans="1:24">
      <c r="A13336">
        <f>HYPERLINK("https://www.philgeps.gov.ph/GEPSNONPILOT/Tender/SplashBidNoticeAbstractUI.aspx?menuIndex=3&amp;refID=7034328&amp;Result=3","7034328")</f>
        <v>0</v>
      </c>
      <c r="B13336" t="s">
        <v>1697</v>
      </c>
      <c r="C13336" t="s">
        <v>16162</v>
      </c>
      <c r="D13336" t="s">
        <v>16639</v>
      </c>
      <c r="E13336" t="s">
        <v>28239</v>
      </c>
      <c r="F13336" t="s">
        <v>28669</v>
      </c>
      <c r="G13336" t="s">
        <v>28682</v>
      </c>
      <c r="H13336" t="s">
        <v>28685</v>
      </c>
      <c r="I13336" t="s">
        <v>28685</v>
      </c>
      <c r="J13336" t="s">
        <v>36944</v>
      </c>
      <c r="K13336" t="s">
        <v>37209</v>
      </c>
      <c r="L13336" t="s">
        <v>1697</v>
      </c>
      <c r="M13336" t="s">
        <v>39297</v>
      </c>
      <c r="N13336" t="s">
        <v>41249</v>
      </c>
      <c r="O13336" t="s">
        <v>41250</v>
      </c>
      <c r="Q13336">
        <v>5</v>
      </c>
      <c r="R13336" t="s">
        <v>41274</v>
      </c>
      <c r="S13336" t="s">
        <v>42312</v>
      </c>
      <c r="T13336" t="s">
        <v>43165</v>
      </c>
      <c r="U13336" t="s">
        <v>53876</v>
      </c>
      <c r="W13336" t="s">
        <v>39297</v>
      </c>
      <c r="X13336" t="s">
        <v>41275</v>
      </c>
    </row>
    <row r="13337" spans="1:24">
      <c r="A13337">
        <f>HYPERLINK("https://www.philgeps.gov.ph/GEPSNONPILOT/Tender/SplashBidNoticeAbstractUI.aspx?menuIndex=3&amp;refID=7037771&amp;Result=3","7037771")</f>
        <v>0</v>
      </c>
      <c r="B13337" t="s">
        <v>369</v>
      </c>
      <c r="C13337" t="s">
        <v>16163</v>
      </c>
      <c r="D13337" t="s">
        <v>16619</v>
      </c>
      <c r="E13337" t="s">
        <v>17736</v>
      </c>
      <c r="F13337" t="s">
        <v>28669</v>
      </c>
      <c r="G13337" t="s">
        <v>28675</v>
      </c>
      <c r="H13337" t="s">
        <v>9998</v>
      </c>
      <c r="I13337" t="s">
        <v>6458</v>
      </c>
      <c r="J13337" t="s">
        <v>36945</v>
      </c>
      <c r="K13337" t="s">
        <v>37205</v>
      </c>
      <c r="M13337" t="s">
        <v>38279</v>
      </c>
      <c r="N13337" t="s">
        <v>41249</v>
      </c>
      <c r="O13337" t="s">
        <v>41250</v>
      </c>
      <c r="Q13337">
        <v>7</v>
      </c>
      <c r="R13337" t="s">
        <v>41273</v>
      </c>
      <c r="S13337" t="s">
        <v>42313</v>
      </c>
      <c r="T13337" t="s">
        <v>42910</v>
      </c>
      <c r="U13337" t="s">
        <v>53877</v>
      </c>
      <c r="W13337" t="s">
        <v>38279</v>
      </c>
      <c r="X13337" t="s">
        <v>41274</v>
      </c>
    </row>
    <row r="13338" spans="1:24">
      <c r="A13338">
        <f>HYPERLINK("https://www.philgeps.gov.ph/GEPSNONPILOT/Tender/SplashBidNoticeAbstractUI.aspx?menuIndex=3&amp;refID=7031065&amp;Result=3","7031065")</f>
        <v>0</v>
      </c>
      <c r="B13338" t="s">
        <v>411</v>
      </c>
      <c r="C13338" t="s">
        <v>16164</v>
      </c>
      <c r="D13338" t="s">
        <v>16616</v>
      </c>
      <c r="E13338" t="s">
        <v>28240</v>
      </c>
      <c r="F13338" t="s">
        <v>28669</v>
      </c>
      <c r="G13338" t="s">
        <v>28676</v>
      </c>
      <c r="H13338" t="s">
        <v>9998</v>
      </c>
      <c r="I13338" t="s">
        <v>28722</v>
      </c>
      <c r="J13338" t="s">
        <v>29564</v>
      </c>
      <c r="K13338" t="s">
        <v>37205</v>
      </c>
      <c r="M13338" t="s">
        <v>39337</v>
      </c>
      <c r="N13338" t="s">
        <v>41249</v>
      </c>
      <c r="O13338" t="s">
        <v>41250</v>
      </c>
      <c r="Q13338">
        <v>3</v>
      </c>
      <c r="R13338" t="s">
        <v>41275</v>
      </c>
      <c r="S13338" t="s">
        <v>42314</v>
      </c>
      <c r="T13338" t="s">
        <v>42827</v>
      </c>
      <c r="U13338" t="s">
        <v>53878</v>
      </c>
      <c r="W13338" t="s">
        <v>39337</v>
      </c>
      <c r="X13338" t="s">
        <v>41278</v>
      </c>
    </row>
    <row r="13339" spans="1:24">
      <c r="A13339">
        <f>HYPERLINK("https://www.philgeps.gov.ph/GEPSNONPILOT/Tender/SplashBidNoticeAbstractUI.aspx?menuIndex=3&amp;refID=7030197&amp;Result=3","7030197")</f>
        <v>0</v>
      </c>
      <c r="B13339" t="s">
        <v>2391</v>
      </c>
      <c r="C13339" t="s">
        <v>16165</v>
      </c>
      <c r="D13339" t="s">
        <v>16638</v>
      </c>
      <c r="E13339" t="s">
        <v>28241</v>
      </c>
      <c r="F13339" t="s">
        <v>28669</v>
      </c>
      <c r="G13339" t="s">
        <v>28677</v>
      </c>
      <c r="H13339" t="s">
        <v>9998</v>
      </c>
      <c r="I13339" t="s">
        <v>7352</v>
      </c>
      <c r="J13339" t="s">
        <v>36946</v>
      </c>
      <c r="K13339" t="s">
        <v>37208</v>
      </c>
      <c r="M13339" t="s">
        <v>40359</v>
      </c>
      <c r="N13339" t="s">
        <v>41249</v>
      </c>
      <c r="O13339" t="s">
        <v>41250</v>
      </c>
      <c r="Q13339">
        <v>3</v>
      </c>
      <c r="R13339" t="s">
        <v>41275</v>
      </c>
      <c r="S13339" t="s">
        <v>42315</v>
      </c>
      <c r="T13339" t="s">
        <v>42665</v>
      </c>
      <c r="U13339" t="s">
        <v>50382</v>
      </c>
      <c r="V13339" t="s">
        <v>55244</v>
      </c>
      <c r="W13339" t="s">
        <v>40359</v>
      </c>
      <c r="X13339" t="s">
        <v>41278</v>
      </c>
    </row>
    <row r="13340" spans="1:24">
      <c r="A13340">
        <f>HYPERLINK("https://www.philgeps.gov.ph/GEPSNONPILOT/Tender/SplashBidNoticeAbstractUI.aspx?menuIndex=3&amp;refID=6929481&amp;Result=3","6929481")</f>
        <v>0</v>
      </c>
      <c r="B13340" t="s">
        <v>3330</v>
      </c>
      <c r="C13340" t="s">
        <v>16166</v>
      </c>
      <c r="D13340" t="s">
        <v>16608</v>
      </c>
      <c r="E13340" t="s">
        <v>28242</v>
      </c>
      <c r="F13340" t="s">
        <v>28669</v>
      </c>
      <c r="G13340" t="s">
        <v>28675</v>
      </c>
      <c r="H13340" t="s">
        <v>9998</v>
      </c>
      <c r="I13340" t="s">
        <v>3718</v>
      </c>
      <c r="J13340" t="s">
        <v>30280</v>
      </c>
      <c r="K13340" t="s">
        <v>37209</v>
      </c>
      <c r="M13340" t="s">
        <v>41175</v>
      </c>
      <c r="N13340" t="s">
        <v>41249</v>
      </c>
      <c r="O13340" t="s">
        <v>41250</v>
      </c>
      <c r="P13340">
        <v>0</v>
      </c>
      <c r="Q13340">
        <v>22</v>
      </c>
      <c r="R13340" t="s">
        <v>41275</v>
      </c>
      <c r="S13340" t="s">
        <v>42316</v>
      </c>
      <c r="T13340" t="s">
        <v>42778</v>
      </c>
      <c r="U13340" t="s">
        <v>53879</v>
      </c>
      <c r="W13340" t="s">
        <v>41175</v>
      </c>
      <c r="X13340" t="s">
        <v>41322</v>
      </c>
    </row>
    <row r="13341" spans="1:24">
      <c r="A13341">
        <f>HYPERLINK("https://www.philgeps.gov.ph/GEPSNONPILOT/Tender/SplashBidNoticeAbstractUI.aspx?menuIndex=3&amp;refID=7030173&amp;Result=3","7030173")</f>
        <v>0</v>
      </c>
      <c r="B13341" t="s">
        <v>564</v>
      </c>
      <c r="C13341" t="s">
        <v>16167</v>
      </c>
      <c r="D13341" t="s">
        <v>16627</v>
      </c>
      <c r="E13341" t="s">
        <v>28243</v>
      </c>
      <c r="F13341" t="s">
        <v>28669</v>
      </c>
      <c r="G13341" t="s">
        <v>28675</v>
      </c>
      <c r="H13341" t="s">
        <v>28686</v>
      </c>
      <c r="I13341" t="s">
        <v>28689</v>
      </c>
      <c r="J13341" t="s">
        <v>36947</v>
      </c>
      <c r="K13341" t="s">
        <v>37350</v>
      </c>
      <c r="M13341" t="s">
        <v>38060</v>
      </c>
      <c r="N13341" t="s">
        <v>41249</v>
      </c>
      <c r="O13341" t="s">
        <v>41250</v>
      </c>
      <c r="P13341">
        <v>0</v>
      </c>
      <c r="Q13341">
        <v>1</v>
      </c>
      <c r="R13341" t="s">
        <v>41275</v>
      </c>
      <c r="S13341" t="s">
        <v>42316</v>
      </c>
      <c r="T13341" t="s">
        <v>42727</v>
      </c>
      <c r="U13341" t="s">
        <v>53880</v>
      </c>
      <c r="V13341" t="s">
        <v>54383</v>
      </c>
      <c r="W13341" t="s">
        <v>38060</v>
      </c>
      <c r="X13341" t="s">
        <v>41278</v>
      </c>
    </row>
    <row r="13342" spans="1:24">
      <c r="A13342">
        <f>HYPERLINK("https://www.philgeps.gov.ph/GEPSNONPILOT/Tender/SplashBidNoticeAbstractUI.aspx?menuIndex=3&amp;refID=7035153&amp;Result=3","7035153")</f>
        <v>0</v>
      </c>
      <c r="B13342" t="s">
        <v>3324</v>
      </c>
      <c r="C13342" t="s">
        <v>16168</v>
      </c>
      <c r="D13342" t="s">
        <v>16627</v>
      </c>
      <c r="E13342" t="s">
        <v>28244</v>
      </c>
      <c r="F13342" t="s">
        <v>28669</v>
      </c>
      <c r="G13342" t="s">
        <v>28675</v>
      </c>
      <c r="H13342" t="s">
        <v>28686</v>
      </c>
      <c r="I13342" t="s">
        <v>28689</v>
      </c>
      <c r="J13342" t="s">
        <v>30840</v>
      </c>
      <c r="K13342" t="s">
        <v>37207</v>
      </c>
      <c r="M13342" t="s">
        <v>41165</v>
      </c>
      <c r="N13342" t="s">
        <v>41249</v>
      </c>
      <c r="O13342" t="s">
        <v>41250</v>
      </c>
      <c r="Q13342">
        <v>1</v>
      </c>
      <c r="R13342" t="s">
        <v>41274</v>
      </c>
      <c r="S13342" t="s">
        <v>42317</v>
      </c>
      <c r="T13342" t="s">
        <v>42736</v>
      </c>
      <c r="U13342" t="s">
        <v>53881</v>
      </c>
      <c r="V13342" t="s">
        <v>55828</v>
      </c>
      <c r="W13342" t="s">
        <v>41165</v>
      </c>
      <c r="X13342" t="s">
        <v>41275</v>
      </c>
    </row>
    <row r="13343" spans="1:24">
      <c r="A13343">
        <f>HYPERLINK("https://www.philgeps.gov.ph/GEPSNONPILOT/Tender/SplashBidNoticeAbstractUI.aspx?menuIndex=3&amp;refID=7035144&amp;Result=3","7035144")</f>
        <v>0</v>
      </c>
      <c r="B13343" t="s">
        <v>1633</v>
      </c>
      <c r="C13343" t="s">
        <v>16169</v>
      </c>
      <c r="D13343" t="s">
        <v>16693</v>
      </c>
      <c r="E13343" t="s">
        <v>28245</v>
      </c>
      <c r="F13343" t="s">
        <v>28670</v>
      </c>
      <c r="G13343" t="s">
        <v>28683</v>
      </c>
      <c r="H13343" t="s">
        <v>9998</v>
      </c>
      <c r="I13343" t="s">
        <v>28707</v>
      </c>
      <c r="J13343" t="s">
        <v>30665</v>
      </c>
      <c r="K13343" t="s">
        <v>37209</v>
      </c>
      <c r="M13343" t="s">
        <v>39222</v>
      </c>
      <c r="N13343" t="s">
        <v>41249</v>
      </c>
      <c r="O13343" t="s">
        <v>41250</v>
      </c>
      <c r="Q13343">
        <v>25</v>
      </c>
      <c r="R13343" t="s">
        <v>41274</v>
      </c>
      <c r="S13343" t="s">
        <v>42318</v>
      </c>
      <c r="T13343" t="s">
        <v>43166</v>
      </c>
      <c r="U13343" t="s">
        <v>53882</v>
      </c>
      <c r="W13343" t="s">
        <v>39222</v>
      </c>
      <c r="X13343" t="s">
        <v>41275</v>
      </c>
    </row>
    <row r="13344" spans="1:24">
      <c r="A13344">
        <f>HYPERLINK("https://www.philgeps.gov.ph/GEPSNONPILOT/Tender/SplashBidNoticeAbstractUI.aspx?menuIndex=3&amp;refID=7035139&amp;Result=3","7035139")</f>
        <v>0</v>
      </c>
      <c r="B13344" t="s">
        <v>3324</v>
      </c>
      <c r="C13344" t="s">
        <v>16170</v>
      </c>
      <c r="D13344" t="s">
        <v>16627</v>
      </c>
      <c r="E13344" t="s">
        <v>28246</v>
      </c>
      <c r="F13344" t="s">
        <v>28669</v>
      </c>
      <c r="G13344" t="s">
        <v>28675</v>
      </c>
      <c r="H13344" t="s">
        <v>28686</v>
      </c>
      <c r="I13344" t="s">
        <v>28689</v>
      </c>
      <c r="J13344" t="s">
        <v>30289</v>
      </c>
      <c r="K13344" t="s">
        <v>37213</v>
      </c>
      <c r="M13344" t="s">
        <v>41165</v>
      </c>
      <c r="N13344" t="s">
        <v>41249</v>
      </c>
      <c r="O13344" t="s">
        <v>41250</v>
      </c>
      <c r="Q13344">
        <v>4</v>
      </c>
      <c r="R13344" t="s">
        <v>41274</v>
      </c>
      <c r="S13344" t="s">
        <v>42319</v>
      </c>
      <c r="T13344" t="s">
        <v>42736</v>
      </c>
      <c r="U13344" t="s">
        <v>53781</v>
      </c>
      <c r="V13344" t="s">
        <v>55828</v>
      </c>
      <c r="W13344" t="s">
        <v>41165</v>
      </c>
      <c r="X13344" t="s">
        <v>41275</v>
      </c>
    </row>
    <row r="13345" spans="1:24">
      <c r="A13345">
        <f>HYPERLINK("https://www.philgeps.gov.ph/GEPSNONPILOT/Tender/SplashBidNoticeAbstractUI.aspx?menuIndex=3&amp;refID=7035121&amp;Result=3","7035121")</f>
        <v>0</v>
      </c>
      <c r="B13345" t="s">
        <v>3324</v>
      </c>
      <c r="C13345" t="s">
        <v>16171</v>
      </c>
      <c r="D13345" t="s">
        <v>16627</v>
      </c>
      <c r="E13345" t="s">
        <v>28247</v>
      </c>
      <c r="F13345" t="s">
        <v>28669</v>
      </c>
      <c r="G13345" t="s">
        <v>28675</v>
      </c>
      <c r="H13345" t="s">
        <v>28686</v>
      </c>
      <c r="I13345" t="s">
        <v>28689</v>
      </c>
      <c r="J13345" t="s">
        <v>31313</v>
      </c>
      <c r="K13345" t="s">
        <v>37221</v>
      </c>
      <c r="M13345" t="s">
        <v>41165</v>
      </c>
      <c r="N13345" t="s">
        <v>41249</v>
      </c>
      <c r="O13345" t="s">
        <v>41250</v>
      </c>
      <c r="Q13345">
        <v>2</v>
      </c>
      <c r="R13345" t="s">
        <v>41274</v>
      </c>
      <c r="S13345" t="s">
        <v>42320</v>
      </c>
      <c r="T13345" t="s">
        <v>42736</v>
      </c>
      <c r="U13345" t="s">
        <v>53883</v>
      </c>
      <c r="V13345" t="s">
        <v>55828</v>
      </c>
      <c r="W13345" t="s">
        <v>41165</v>
      </c>
      <c r="X13345" t="s">
        <v>41275</v>
      </c>
    </row>
    <row r="13346" spans="1:24">
      <c r="A13346">
        <f>HYPERLINK("https://www.philgeps.gov.ph/GEPSNONPILOT/Tender/SplashBidNoticeAbstractUI.aspx?menuIndex=3&amp;refID=7035118&amp;Result=3","7035118")</f>
        <v>0</v>
      </c>
      <c r="B13346" t="s">
        <v>3324</v>
      </c>
      <c r="C13346" t="s">
        <v>16172</v>
      </c>
      <c r="D13346" t="s">
        <v>16627</v>
      </c>
      <c r="E13346" t="s">
        <v>28248</v>
      </c>
      <c r="F13346" t="s">
        <v>28669</v>
      </c>
      <c r="G13346" t="s">
        <v>28675</v>
      </c>
      <c r="H13346" t="s">
        <v>28686</v>
      </c>
      <c r="I13346" t="s">
        <v>28689</v>
      </c>
      <c r="J13346" t="s">
        <v>31313</v>
      </c>
      <c r="K13346" t="s">
        <v>37241</v>
      </c>
      <c r="M13346" t="s">
        <v>41165</v>
      </c>
      <c r="N13346" t="s">
        <v>41249</v>
      </c>
      <c r="O13346" t="s">
        <v>41250</v>
      </c>
      <c r="Q13346">
        <v>1</v>
      </c>
      <c r="R13346" t="s">
        <v>41274</v>
      </c>
      <c r="S13346" t="s">
        <v>42321</v>
      </c>
      <c r="T13346" t="s">
        <v>42736</v>
      </c>
      <c r="U13346" t="s">
        <v>53884</v>
      </c>
      <c r="V13346" t="s">
        <v>55828</v>
      </c>
      <c r="W13346" t="s">
        <v>41165</v>
      </c>
      <c r="X13346" t="s">
        <v>41275</v>
      </c>
    </row>
    <row r="13347" spans="1:24">
      <c r="A13347">
        <f>HYPERLINK("https://www.philgeps.gov.ph/GEPSNONPILOT/Tender/SplashBidNoticeAbstractUI.aspx?menuIndex=3&amp;refID=7030155&amp;Result=3","7030155")</f>
        <v>0</v>
      </c>
      <c r="B13347" t="s">
        <v>564</v>
      </c>
      <c r="C13347" t="s">
        <v>16173</v>
      </c>
      <c r="D13347" t="s">
        <v>16627</v>
      </c>
      <c r="E13347" t="s">
        <v>28249</v>
      </c>
      <c r="F13347" t="s">
        <v>28669</v>
      </c>
      <c r="G13347" t="s">
        <v>28675</v>
      </c>
      <c r="H13347" t="s">
        <v>28686</v>
      </c>
      <c r="I13347" t="s">
        <v>28689</v>
      </c>
      <c r="J13347" t="s">
        <v>36948</v>
      </c>
      <c r="K13347" t="s">
        <v>37221</v>
      </c>
      <c r="M13347" t="s">
        <v>38060</v>
      </c>
      <c r="N13347" t="s">
        <v>41249</v>
      </c>
      <c r="O13347" t="s">
        <v>41250</v>
      </c>
      <c r="P13347">
        <v>0</v>
      </c>
      <c r="Q13347">
        <v>1</v>
      </c>
      <c r="R13347" t="s">
        <v>41275</v>
      </c>
      <c r="S13347" t="s">
        <v>42316</v>
      </c>
      <c r="T13347" t="s">
        <v>42727</v>
      </c>
      <c r="U13347" t="s">
        <v>53885</v>
      </c>
      <c r="V13347" t="s">
        <v>54383</v>
      </c>
      <c r="W13347" t="s">
        <v>38060</v>
      </c>
      <c r="X13347" t="s">
        <v>41278</v>
      </c>
    </row>
    <row r="13348" spans="1:24">
      <c r="A13348">
        <f>HYPERLINK("https://www.philgeps.gov.ph/GEPSNONPILOT/Tender/SplashBidNoticeAbstractUI.aspx?menuIndex=3&amp;refID=7030845&amp;Result=3","7030845")</f>
        <v>0</v>
      </c>
      <c r="B13348" t="s">
        <v>2009</v>
      </c>
      <c r="C13348" t="s">
        <v>16174</v>
      </c>
      <c r="D13348" t="s">
        <v>16671</v>
      </c>
      <c r="E13348" t="s">
        <v>17319</v>
      </c>
      <c r="F13348" t="s">
        <v>28669</v>
      </c>
      <c r="G13348" t="s">
        <v>28675</v>
      </c>
      <c r="H13348" t="s">
        <v>9998</v>
      </c>
      <c r="I13348" t="s">
        <v>28716</v>
      </c>
      <c r="J13348" t="s">
        <v>36949</v>
      </c>
      <c r="K13348" t="s">
        <v>37206</v>
      </c>
      <c r="M13348" t="s">
        <v>39647</v>
      </c>
      <c r="N13348" t="s">
        <v>41249</v>
      </c>
      <c r="O13348" t="s">
        <v>41250</v>
      </c>
      <c r="Q13348">
        <v>12</v>
      </c>
      <c r="R13348" t="s">
        <v>41275</v>
      </c>
      <c r="S13348" t="s">
        <v>42322</v>
      </c>
      <c r="T13348" t="s">
        <v>42704</v>
      </c>
      <c r="U13348" t="s">
        <v>53886</v>
      </c>
      <c r="W13348" t="s">
        <v>39647</v>
      </c>
      <c r="X13348" t="s">
        <v>41278</v>
      </c>
    </row>
    <row r="13349" spans="1:24">
      <c r="A13349">
        <f>HYPERLINK("https://www.philgeps.gov.ph/GEPSNONPILOT/Tender/SplashBidNoticeAbstractUI.aspx?menuIndex=3&amp;refID=7032261&amp;Result=3","7032261")</f>
        <v>0</v>
      </c>
      <c r="B13349" t="s">
        <v>1064</v>
      </c>
      <c r="C13349" t="s">
        <v>16175</v>
      </c>
      <c r="D13349" t="s">
        <v>16655</v>
      </c>
      <c r="E13349" t="s">
        <v>28250</v>
      </c>
      <c r="F13349" t="s">
        <v>28669</v>
      </c>
      <c r="G13349" t="s">
        <v>28675</v>
      </c>
      <c r="H13349" t="s">
        <v>9998</v>
      </c>
      <c r="I13349" t="s">
        <v>28690</v>
      </c>
      <c r="J13349" t="s">
        <v>36950</v>
      </c>
      <c r="K13349" t="s">
        <v>37204</v>
      </c>
      <c r="M13349" t="s">
        <v>41173</v>
      </c>
      <c r="N13349" t="s">
        <v>41249</v>
      </c>
      <c r="O13349" t="s">
        <v>41250</v>
      </c>
      <c r="Q13349">
        <v>0</v>
      </c>
      <c r="R13349" t="s">
        <v>41275</v>
      </c>
      <c r="S13349" t="s">
        <v>42323</v>
      </c>
      <c r="T13349" t="s">
        <v>42811</v>
      </c>
      <c r="U13349" t="s">
        <v>53887</v>
      </c>
      <c r="W13349" t="s">
        <v>41173</v>
      </c>
      <c r="X13349" t="s">
        <v>41276</v>
      </c>
    </row>
    <row r="13350" spans="1:24">
      <c r="A13350">
        <f>HYPERLINK("https://www.philgeps.gov.ph/GEPSNONPILOT/Tender/SplashBidNoticeAbstractUI.aspx?menuIndex=3&amp;refID=7031293&amp;Result=3","7031293")</f>
        <v>0</v>
      </c>
      <c r="B13350" t="s">
        <v>411</v>
      </c>
      <c r="C13350" t="s">
        <v>16176</v>
      </c>
      <c r="D13350" t="s">
        <v>16706</v>
      </c>
      <c r="E13350" t="s">
        <v>28251</v>
      </c>
      <c r="F13350" t="s">
        <v>28669</v>
      </c>
      <c r="G13350" t="s">
        <v>28676</v>
      </c>
      <c r="H13350" t="s">
        <v>9998</v>
      </c>
      <c r="I13350" t="s">
        <v>28743</v>
      </c>
      <c r="J13350" t="s">
        <v>29552</v>
      </c>
      <c r="K13350" t="s">
        <v>37205</v>
      </c>
      <c r="M13350" t="s">
        <v>39337</v>
      </c>
      <c r="N13350" t="s">
        <v>41249</v>
      </c>
      <c r="O13350" t="s">
        <v>41250</v>
      </c>
      <c r="Q13350">
        <v>0</v>
      </c>
      <c r="R13350" t="s">
        <v>41275</v>
      </c>
      <c r="S13350" t="s">
        <v>42324</v>
      </c>
      <c r="T13350" t="s">
        <v>42827</v>
      </c>
      <c r="U13350" t="s">
        <v>53888</v>
      </c>
      <c r="W13350" t="s">
        <v>39337</v>
      </c>
      <c r="X13350" t="s">
        <v>41278</v>
      </c>
    </row>
    <row r="13351" spans="1:24">
      <c r="A13351">
        <f>HYPERLINK("https://www.philgeps.gov.ph/GEPSNONPILOT/Tender/SplashBidNoticeAbstractUI.aspx?menuIndex=3&amp;refID=7030732&amp;Result=3","7030732")</f>
        <v>0</v>
      </c>
      <c r="B13351" t="s">
        <v>311</v>
      </c>
      <c r="C13351" t="s">
        <v>16177</v>
      </c>
      <c r="D13351" t="s">
        <v>16627</v>
      </c>
      <c r="E13351" t="s">
        <v>28252</v>
      </c>
      <c r="F13351" t="s">
        <v>28669</v>
      </c>
      <c r="G13351" t="s">
        <v>28675</v>
      </c>
      <c r="H13351" t="s">
        <v>9998</v>
      </c>
      <c r="I13351" t="s">
        <v>28787</v>
      </c>
      <c r="J13351" t="s">
        <v>36951</v>
      </c>
      <c r="K13351" t="s">
        <v>37220</v>
      </c>
      <c r="M13351" t="s">
        <v>41188</v>
      </c>
      <c r="N13351" t="s">
        <v>41249</v>
      </c>
      <c r="O13351" t="s">
        <v>41250</v>
      </c>
      <c r="Q13351">
        <v>9</v>
      </c>
      <c r="R13351" t="s">
        <v>41276</v>
      </c>
      <c r="S13351" t="s">
        <v>42325</v>
      </c>
      <c r="T13351" t="s">
        <v>42660</v>
      </c>
      <c r="U13351" t="s">
        <v>53889</v>
      </c>
      <c r="W13351" t="s">
        <v>41188</v>
      </c>
      <c r="X13351" t="s">
        <v>41278</v>
      </c>
    </row>
    <row r="13352" spans="1:24">
      <c r="A13352">
        <f>HYPERLINK("https://www.philgeps.gov.ph/GEPSNONPILOT/Tender/SplashBidNoticeAbstractUI.aspx?menuIndex=3&amp;refID=7035133&amp;Result=3","7035133")</f>
        <v>0</v>
      </c>
      <c r="B13352" t="s">
        <v>3324</v>
      </c>
      <c r="C13352" t="s">
        <v>16178</v>
      </c>
      <c r="D13352" t="s">
        <v>16627</v>
      </c>
      <c r="E13352" t="s">
        <v>28253</v>
      </c>
      <c r="F13352" t="s">
        <v>28669</v>
      </c>
      <c r="G13352" t="s">
        <v>28675</v>
      </c>
      <c r="H13352" t="s">
        <v>28686</v>
      </c>
      <c r="I13352" t="s">
        <v>28689</v>
      </c>
      <c r="J13352" t="s">
        <v>32463</v>
      </c>
      <c r="K13352" t="s">
        <v>37212</v>
      </c>
      <c r="M13352" t="s">
        <v>41165</v>
      </c>
      <c r="N13352" t="s">
        <v>41249</v>
      </c>
      <c r="O13352" t="s">
        <v>41250</v>
      </c>
      <c r="Q13352">
        <v>3</v>
      </c>
      <c r="R13352" t="s">
        <v>41274</v>
      </c>
      <c r="S13352" t="s">
        <v>41884</v>
      </c>
      <c r="T13352" t="s">
        <v>42736</v>
      </c>
      <c r="U13352" t="s">
        <v>53781</v>
      </c>
      <c r="V13352" t="s">
        <v>55828</v>
      </c>
      <c r="W13352" t="s">
        <v>41165</v>
      </c>
      <c r="X13352" t="s">
        <v>41275</v>
      </c>
    </row>
    <row r="13353" spans="1:24">
      <c r="A13353">
        <f>HYPERLINK("https://www.philgeps.gov.ph/GEPSNONPILOT/Tender/SplashBidNoticeAbstractUI.aspx?menuIndex=3&amp;refID=7030722&amp;Result=3","7030722")</f>
        <v>0</v>
      </c>
      <c r="B13353" t="s">
        <v>311</v>
      </c>
      <c r="C13353" t="s">
        <v>16179</v>
      </c>
      <c r="D13353" t="s">
        <v>16627</v>
      </c>
      <c r="E13353" t="s">
        <v>28254</v>
      </c>
      <c r="F13353" t="s">
        <v>28669</v>
      </c>
      <c r="G13353" t="s">
        <v>28675</v>
      </c>
      <c r="H13353" t="s">
        <v>9998</v>
      </c>
      <c r="I13353" t="s">
        <v>28787</v>
      </c>
      <c r="J13353" t="s">
        <v>36952</v>
      </c>
      <c r="K13353" t="s">
        <v>37206</v>
      </c>
      <c r="M13353" t="s">
        <v>41188</v>
      </c>
      <c r="N13353" t="s">
        <v>41249</v>
      </c>
      <c r="O13353" t="s">
        <v>41250</v>
      </c>
      <c r="Q13353">
        <v>6</v>
      </c>
      <c r="R13353" t="s">
        <v>41276</v>
      </c>
      <c r="S13353" t="s">
        <v>42326</v>
      </c>
      <c r="T13353" t="s">
        <v>42660</v>
      </c>
      <c r="U13353" t="s">
        <v>53890</v>
      </c>
      <c r="W13353" t="s">
        <v>41188</v>
      </c>
      <c r="X13353" t="s">
        <v>41278</v>
      </c>
    </row>
    <row r="13354" spans="1:24">
      <c r="A13354">
        <f>HYPERLINK("https://www.philgeps.gov.ph/GEPSNONPILOT/Tender/SplashBidNoticeAbstractUI.aspx?menuIndex=3&amp;refID=7030281&amp;Result=3","7030281")</f>
        <v>0</v>
      </c>
      <c r="B13354" t="s">
        <v>349</v>
      </c>
      <c r="C13354" t="s">
        <v>16180</v>
      </c>
      <c r="D13354" t="s">
        <v>16675</v>
      </c>
      <c r="E13354" t="s">
        <v>28255</v>
      </c>
      <c r="F13354" t="s">
        <v>28669</v>
      </c>
      <c r="G13354" t="s">
        <v>28675</v>
      </c>
      <c r="H13354" t="s">
        <v>9998</v>
      </c>
      <c r="I13354" t="s">
        <v>5286</v>
      </c>
      <c r="J13354" t="s">
        <v>36953</v>
      </c>
      <c r="K13354" t="s">
        <v>37205</v>
      </c>
      <c r="M13354" t="s">
        <v>37829</v>
      </c>
      <c r="N13354" t="s">
        <v>41249</v>
      </c>
      <c r="O13354" t="s">
        <v>41250</v>
      </c>
      <c r="Q13354">
        <v>5</v>
      </c>
      <c r="R13354" t="s">
        <v>41276</v>
      </c>
      <c r="S13354" t="s">
        <v>42327</v>
      </c>
      <c r="T13354" t="s">
        <v>42728</v>
      </c>
      <c r="U13354" t="s">
        <v>53891</v>
      </c>
      <c r="W13354" t="s">
        <v>37829</v>
      </c>
      <c r="X13354" t="s">
        <v>41278</v>
      </c>
    </row>
    <row r="13355" spans="1:24">
      <c r="A13355">
        <f>HYPERLINK("https://www.philgeps.gov.ph/GEPSNONPILOT/Tender/SplashBidNoticeAbstractUI.aspx?menuIndex=3&amp;refID=7030618&amp;Result=3","7030618")</f>
        <v>0</v>
      </c>
      <c r="B13355" t="s">
        <v>1148</v>
      </c>
      <c r="C13355" t="s">
        <v>16181</v>
      </c>
      <c r="E13355" t="s">
        <v>28256</v>
      </c>
      <c r="F13355" t="s">
        <v>28669</v>
      </c>
      <c r="G13355" t="s">
        <v>28675</v>
      </c>
      <c r="H13355" t="s">
        <v>9998</v>
      </c>
      <c r="I13355" t="s">
        <v>11142</v>
      </c>
      <c r="J13355" t="s">
        <v>36954</v>
      </c>
      <c r="K13355" t="s">
        <v>37209</v>
      </c>
      <c r="M13355" t="s">
        <v>38684</v>
      </c>
      <c r="N13355" t="s">
        <v>41249</v>
      </c>
      <c r="O13355" t="s">
        <v>41250</v>
      </c>
      <c r="P13355">
        <v>0</v>
      </c>
      <c r="Q13355">
        <v>2</v>
      </c>
      <c r="R13355" t="s">
        <v>41276</v>
      </c>
      <c r="S13355" t="s">
        <v>42328</v>
      </c>
      <c r="T13355" t="s">
        <v>42767</v>
      </c>
      <c r="U13355" t="s">
        <v>53892</v>
      </c>
      <c r="W13355" t="s">
        <v>38684</v>
      </c>
      <c r="X13355" t="s">
        <v>41278</v>
      </c>
    </row>
    <row r="13356" spans="1:24">
      <c r="A13356">
        <f>HYPERLINK("https://www.philgeps.gov.ph/GEPSNONPILOT/Tender/SplashBidNoticeAbstractUI.aspx?menuIndex=3&amp;refID=7034874&amp;Result=3","7034874")</f>
        <v>0</v>
      </c>
      <c r="B13356" t="s">
        <v>2542</v>
      </c>
      <c r="C13356" t="s">
        <v>16182</v>
      </c>
      <c r="E13356" t="s">
        <v>28257</v>
      </c>
      <c r="F13356" t="s">
        <v>28669</v>
      </c>
      <c r="G13356" t="s">
        <v>28681</v>
      </c>
      <c r="H13356" t="s">
        <v>28685</v>
      </c>
      <c r="I13356" t="s">
        <v>28685</v>
      </c>
      <c r="J13356" t="s">
        <v>36955</v>
      </c>
      <c r="K13356" t="s">
        <v>37209</v>
      </c>
      <c r="M13356" t="s">
        <v>40232</v>
      </c>
      <c r="N13356" t="s">
        <v>41249</v>
      </c>
      <c r="O13356" t="s">
        <v>41250</v>
      </c>
      <c r="Q13356">
        <v>4</v>
      </c>
      <c r="R13356" t="s">
        <v>41274</v>
      </c>
      <c r="S13356" t="s">
        <v>42329</v>
      </c>
      <c r="T13356" t="s">
        <v>42673</v>
      </c>
      <c r="U13356" t="s">
        <v>53893</v>
      </c>
      <c r="W13356" t="s">
        <v>40232</v>
      </c>
      <c r="X13356" t="s">
        <v>41275</v>
      </c>
    </row>
    <row r="13357" spans="1:24">
      <c r="A13357">
        <f>HYPERLINK("https://www.philgeps.gov.ph/GEPSNONPILOT/Tender/SplashBidNoticeAbstractUI.aspx?menuIndex=3&amp;refID=7032337&amp;Result=3","7032337")</f>
        <v>0</v>
      </c>
      <c r="B13357" t="s">
        <v>3297</v>
      </c>
      <c r="C13357" t="s">
        <v>16183</v>
      </c>
      <c r="E13357" t="s">
        <v>28258</v>
      </c>
      <c r="F13357" t="s">
        <v>28669</v>
      </c>
      <c r="G13357" t="s">
        <v>28675</v>
      </c>
      <c r="H13357" t="s">
        <v>9998</v>
      </c>
      <c r="I13357" t="s">
        <v>28723</v>
      </c>
      <c r="J13357" t="s">
        <v>29047</v>
      </c>
      <c r="K13357" t="s">
        <v>37220</v>
      </c>
      <c r="M13357" t="s">
        <v>41129</v>
      </c>
      <c r="N13357" t="s">
        <v>41249</v>
      </c>
      <c r="O13357" t="s">
        <v>41250</v>
      </c>
      <c r="Q13357">
        <v>11</v>
      </c>
      <c r="R13357" t="s">
        <v>41277</v>
      </c>
      <c r="S13357" t="s">
        <v>42330</v>
      </c>
      <c r="T13357" t="s">
        <v>42705</v>
      </c>
      <c r="U13357" t="s">
        <v>53894</v>
      </c>
      <c r="W13357" t="s">
        <v>41129</v>
      </c>
      <c r="X13357" t="s">
        <v>41276</v>
      </c>
    </row>
    <row r="13358" spans="1:24">
      <c r="A13358">
        <f>HYPERLINK("https://www.philgeps.gov.ph/GEPSNONPILOT/Tender/SplashBidNoticeAbstractUI.aspx?menuIndex=3&amp;refID=7035127&amp;Result=3","7035127")</f>
        <v>0</v>
      </c>
      <c r="B13358" t="s">
        <v>3324</v>
      </c>
      <c r="C13358" t="s">
        <v>16184</v>
      </c>
      <c r="D13358" t="s">
        <v>16627</v>
      </c>
      <c r="E13358" t="s">
        <v>28259</v>
      </c>
      <c r="F13358" t="s">
        <v>28669</v>
      </c>
      <c r="G13358" t="s">
        <v>28675</v>
      </c>
      <c r="H13358" t="s">
        <v>28686</v>
      </c>
      <c r="I13358" t="s">
        <v>28689</v>
      </c>
      <c r="J13358" t="s">
        <v>30559</v>
      </c>
      <c r="K13358" t="s">
        <v>37215</v>
      </c>
      <c r="M13358" t="s">
        <v>41165</v>
      </c>
      <c r="N13358" t="s">
        <v>41249</v>
      </c>
      <c r="O13358" t="s">
        <v>41250</v>
      </c>
      <c r="Q13358">
        <v>3</v>
      </c>
      <c r="R13358" t="s">
        <v>41274</v>
      </c>
      <c r="S13358" t="s">
        <v>42331</v>
      </c>
      <c r="T13358" t="s">
        <v>42736</v>
      </c>
      <c r="U13358" t="s">
        <v>53781</v>
      </c>
      <c r="V13358" t="s">
        <v>55828</v>
      </c>
      <c r="W13358" t="s">
        <v>41165</v>
      </c>
      <c r="X13358" t="s">
        <v>41275</v>
      </c>
    </row>
    <row r="13359" spans="1:24">
      <c r="A13359">
        <f>HYPERLINK("https://www.philgeps.gov.ph/GEPSNONPILOT/Tender/SplashBidNoticeAbstractUI.aspx?menuIndex=3&amp;refID=7032742&amp;Result=3","7032742")</f>
        <v>0</v>
      </c>
      <c r="B13359" t="s">
        <v>3297</v>
      </c>
      <c r="C13359" t="s">
        <v>16185</v>
      </c>
      <c r="E13359" t="s">
        <v>28260</v>
      </c>
      <c r="F13359" t="s">
        <v>28669</v>
      </c>
      <c r="G13359" t="s">
        <v>28675</v>
      </c>
      <c r="H13359" t="s">
        <v>9998</v>
      </c>
      <c r="I13359" t="s">
        <v>28723</v>
      </c>
      <c r="J13359" t="s">
        <v>36956</v>
      </c>
      <c r="K13359" t="s">
        <v>37220</v>
      </c>
      <c r="M13359" t="s">
        <v>41129</v>
      </c>
      <c r="N13359" t="s">
        <v>41249</v>
      </c>
      <c r="O13359" t="s">
        <v>41250</v>
      </c>
      <c r="Q13359">
        <v>4</v>
      </c>
      <c r="R13359" t="s">
        <v>41275</v>
      </c>
      <c r="S13359" t="s">
        <v>42332</v>
      </c>
      <c r="T13359" t="s">
        <v>42754</v>
      </c>
      <c r="U13359" t="s">
        <v>53895</v>
      </c>
      <c r="W13359" t="s">
        <v>41129</v>
      </c>
      <c r="X13359" t="s">
        <v>41277</v>
      </c>
    </row>
    <row r="13360" spans="1:24">
      <c r="A13360">
        <f>HYPERLINK("https://www.philgeps.gov.ph/GEPSNONPILOT/Tender/SplashBidNoticeAbstractUI.aspx?menuIndex=3&amp;refID=7032641&amp;Result=3","7032641")</f>
        <v>0</v>
      </c>
      <c r="B13360" t="s">
        <v>2571</v>
      </c>
      <c r="C13360" t="s">
        <v>16186</v>
      </c>
      <c r="D13360" t="s">
        <v>16671</v>
      </c>
      <c r="E13360" t="s">
        <v>28261</v>
      </c>
      <c r="F13360" t="s">
        <v>28669</v>
      </c>
      <c r="G13360" t="s">
        <v>28675</v>
      </c>
      <c r="H13360" t="s">
        <v>9998</v>
      </c>
      <c r="I13360" t="s">
        <v>28687</v>
      </c>
      <c r="J13360" t="s">
        <v>31238</v>
      </c>
      <c r="K13360" t="s">
        <v>37220</v>
      </c>
      <c r="M13360" t="s">
        <v>40265</v>
      </c>
      <c r="N13360" t="s">
        <v>41249</v>
      </c>
      <c r="O13360" t="s">
        <v>41250</v>
      </c>
      <c r="Q13360">
        <v>12</v>
      </c>
      <c r="R13360" t="s">
        <v>41275</v>
      </c>
      <c r="S13360" t="s">
        <v>42333</v>
      </c>
      <c r="T13360" t="s">
        <v>43008</v>
      </c>
      <c r="U13360" t="s">
        <v>53896</v>
      </c>
      <c r="W13360" t="s">
        <v>40265</v>
      </c>
      <c r="X13360" t="s">
        <v>41277</v>
      </c>
    </row>
    <row r="13361" spans="1:24">
      <c r="A13361">
        <f>HYPERLINK("https://www.philgeps.gov.ph/GEPSNONPILOT/Tender/SplashBidNoticeAbstractUI.aspx?menuIndex=3&amp;refID=7037767&amp;Result=3","7037767")</f>
        <v>0</v>
      </c>
      <c r="B13361" t="s">
        <v>3340</v>
      </c>
      <c r="C13361" t="s">
        <v>16187</v>
      </c>
      <c r="D13361" t="s">
        <v>16651</v>
      </c>
      <c r="E13361" t="s">
        <v>28262</v>
      </c>
      <c r="F13361" t="s">
        <v>28669</v>
      </c>
      <c r="G13361" t="s">
        <v>28675</v>
      </c>
      <c r="H13361" t="s">
        <v>28686</v>
      </c>
      <c r="I13361" t="s">
        <v>28689</v>
      </c>
      <c r="J13361" t="s">
        <v>36957</v>
      </c>
      <c r="K13361" t="s">
        <v>37290</v>
      </c>
      <c r="M13361" t="s">
        <v>41189</v>
      </c>
      <c r="N13361" t="s">
        <v>41249</v>
      </c>
      <c r="O13361" t="s">
        <v>41250</v>
      </c>
      <c r="P13361">
        <v>0</v>
      </c>
      <c r="Q13361">
        <v>1</v>
      </c>
      <c r="R13361" t="s">
        <v>41273</v>
      </c>
      <c r="S13361" t="s">
        <v>42268</v>
      </c>
      <c r="T13361" t="s">
        <v>42767</v>
      </c>
      <c r="U13361" t="s">
        <v>53897</v>
      </c>
      <c r="W13361" t="s">
        <v>41189</v>
      </c>
      <c r="X13361" t="s">
        <v>41274</v>
      </c>
    </row>
    <row r="13362" spans="1:24">
      <c r="A13362">
        <f>HYPERLINK("https://www.philgeps.gov.ph/GEPSNONPILOT/Tender/SplashBidNoticeAbstractUI.aspx?menuIndex=3&amp;refID=7032524&amp;Result=3","7032524")</f>
        <v>0</v>
      </c>
      <c r="B13362" t="s">
        <v>130</v>
      </c>
      <c r="C13362" t="s">
        <v>16188</v>
      </c>
      <c r="E13362" t="s">
        <v>28263</v>
      </c>
      <c r="F13362" t="s">
        <v>28669</v>
      </c>
      <c r="G13362" t="s">
        <v>28675</v>
      </c>
      <c r="H13362" t="s">
        <v>28686</v>
      </c>
      <c r="I13362" t="s">
        <v>28689</v>
      </c>
      <c r="J13362" t="s">
        <v>28847</v>
      </c>
      <c r="K13362" t="s">
        <v>37213</v>
      </c>
      <c r="M13362" t="s">
        <v>37606</v>
      </c>
      <c r="N13362" t="s">
        <v>41249</v>
      </c>
      <c r="O13362" t="s">
        <v>41250</v>
      </c>
      <c r="P13362">
        <v>0</v>
      </c>
      <c r="Q13362">
        <v>0</v>
      </c>
      <c r="R13362" t="s">
        <v>41275</v>
      </c>
      <c r="S13362" t="s">
        <v>42316</v>
      </c>
      <c r="T13362" t="s">
        <v>42736</v>
      </c>
      <c r="U13362" t="s">
        <v>53898</v>
      </c>
      <c r="W13362" t="s">
        <v>37606</v>
      </c>
      <c r="X13362" t="s">
        <v>41277</v>
      </c>
    </row>
    <row r="13363" spans="1:24">
      <c r="A13363">
        <f>HYPERLINK("https://www.philgeps.gov.ph/GEPSNONPILOT/Tender/SplashBidNoticeAbstractUI.aspx?menuIndex=3&amp;refID=7032519&amp;Result=3","7032519")</f>
        <v>0</v>
      </c>
      <c r="B13363" t="s">
        <v>130</v>
      </c>
      <c r="C13363" t="s">
        <v>16189</v>
      </c>
      <c r="E13363" t="s">
        <v>28264</v>
      </c>
      <c r="F13363" t="s">
        <v>28669</v>
      </c>
      <c r="G13363" t="s">
        <v>28675</v>
      </c>
      <c r="H13363" t="s">
        <v>28686</v>
      </c>
      <c r="I13363" t="s">
        <v>28689</v>
      </c>
      <c r="J13363" t="s">
        <v>28847</v>
      </c>
      <c r="K13363" t="s">
        <v>37294</v>
      </c>
      <c r="M13363" t="s">
        <v>37606</v>
      </c>
      <c r="N13363" t="s">
        <v>41249</v>
      </c>
      <c r="O13363" t="s">
        <v>41250</v>
      </c>
      <c r="P13363">
        <v>0</v>
      </c>
      <c r="Q13363">
        <v>0</v>
      </c>
      <c r="R13363" t="s">
        <v>41275</v>
      </c>
      <c r="S13363" t="s">
        <v>42316</v>
      </c>
      <c r="T13363" t="s">
        <v>42758</v>
      </c>
      <c r="U13363" t="s">
        <v>53899</v>
      </c>
      <c r="W13363" t="s">
        <v>37606</v>
      </c>
      <c r="X13363" t="s">
        <v>41277</v>
      </c>
    </row>
    <row r="13364" spans="1:24">
      <c r="A13364">
        <f>HYPERLINK("https://www.philgeps.gov.ph/GEPSNONPILOT/Tender/SplashBidNoticeAbstractUI.aspx?menuIndex=3&amp;refID=7028394&amp;Result=3","7028394")</f>
        <v>0</v>
      </c>
      <c r="B13364" t="s">
        <v>1148</v>
      </c>
      <c r="C13364" t="s">
        <v>15742</v>
      </c>
      <c r="E13364" t="s">
        <v>28265</v>
      </c>
      <c r="F13364" t="s">
        <v>28669</v>
      </c>
      <c r="G13364" t="s">
        <v>28675</v>
      </c>
      <c r="H13364" t="s">
        <v>28684</v>
      </c>
      <c r="I13364" t="s">
        <v>28701</v>
      </c>
      <c r="J13364" t="s">
        <v>36958</v>
      </c>
      <c r="K13364" t="s">
        <v>37272</v>
      </c>
      <c r="M13364" t="s">
        <v>38684</v>
      </c>
      <c r="N13364" t="s">
        <v>41249</v>
      </c>
      <c r="O13364" t="s">
        <v>41250</v>
      </c>
      <c r="P13364">
        <v>0</v>
      </c>
      <c r="Q13364">
        <v>1</v>
      </c>
      <c r="R13364" t="s">
        <v>41278</v>
      </c>
      <c r="S13364" t="s">
        <v>42334</v>
      </c>
      <c r="T13364" t="s">
        <v>42767</v>
      </c>
      <c r="U13364" t="s">
        <v>53533</v>
      </c>
      <c r="W13364" t="s">
        <v>38684</v>
      </c>
      <c r="X13364" t="s">
        <v>41279</v>
      </c>
    </row>
    <row r="13365" spans="1:24">
      <c r="A13365">
        <f>HYPERLINK("https://www.philgeps.gov.ph/GEPSNONPILOT/Tender/SplashBidNoticeAbstractUI.aspx?menuIndex=3&amp;refID=7030655&amp;Result=3","7030655")</f>
        <v>0</v>
      </c>
      <c r="B13365" t="s">
        <v>3244</v>
      </c>
      <c r="C13365" t="s">
        <v>16190</v>
      </c>
      <c r="D13365" t="s">
        <v>16615</v>
      </c>
      <c r="E13365" t="s">
        <v>28266</v>
      </c>
      <c r="F13365" t="s">
        <v>28669</v>
      </c>
      <c r="G13365" t="s">
        <v>28675</v>
      </c>
      <c r="H13365" t="s">
        <v>9998</v>
      </c>
      <c r="I13365" t="s">
        <v>28687</v>
      </c>
      <c r="J13365" t="s">
        <v>29244</v>
      </c>
      <c r="K13365" t="s">
        <v>37206</v>
      </c>
      <c r="M13365" t="s">
        <v>41061</v>
      </c>
      <c r="N13365" t="s">
        <v>41249</v>
      </c>
      <c r="O13365" t="s">
        <v>41250</v>
      </c>
      <c r="Q13365">
        <v>5</v>
      </c>
      <c r="R13365" t="s">
        <v>41276</v>
      </c>
      <c r="S13365" t="s">
        <v>42335</v>
      </c>
      <c r="T13365" t="s">
        <v>43164</v>
      </c>
      <c r="U13365" t="s">
        <v>53900</v>
      </c>
      <c r="W13365" t="s">
        <v>56031</v>
      </c>
      <c r="X13365" t="s">
        <v>41278</v>
      </c>
    </row>
    <row r="13366" spans="1:24">
      <c r="A13366">
        <f>HYPERLINK("https://www.philgeps.gov.ph/GEPSNONPILOT/Tender/SplashBidNoticeAbstractUI.aspx?menuIndex=3&amp;refID=7030492&amp;Result=3","7030492")</f>
        <v>0</v>
      </c>
      <c r="B13366" t="s">
        <v>1148</v>
      </c>
      <c r="C13366" t="s">
        <v>15741</v>
      </c>
      <c r="E13366" t="s">
        <v>28267</v>
      </c>
      <c r="F13366" t="s">
        <v>28669</v>
      </c>
      <c r="G13366" t="s">
        <v>28675</v>
      </c>
      <c r="H13366" t="s">
        <v>9998</v>
      </c>
      <c r="I13366" t="s">
        <v>28706</v>
      </c>
      <c r="J13366" t="s">
        <v>36959</v>
      </c>
      <c r="K13366" t="s">
        <v>37209</v>
      </c>
      <c r="M13366" t="s">
        <v>38684</v>
      </c>
      <c r="N13366" t="s">
        <v>41249</v>
      </c>
      <c r="O13366" t="s">
        <v>41250</v>
      </c>
      <c r="P13366">
        <v>0</v>
      </c>
      <c r="Q13366">
        <v>3</v>
      </c>
      <c r="R13366" t="s">
        <v>41276</v>
      </c>
      <c r="S13366" t="s">
        <v>42328</v>
      </c>
      <c r="T13366" t="s">
        <v>42767</v>
      </c>
      <c r="U13366" t="s">
        <v>53901</v>
      </c>
      <c r="W13366" t="s">
        <v>38684</v>
      </c>
      <c r="X13366" t="s">
        <v>41278</v>
      </c>
    </row>
    <row r="13367" spans="1:24">
      <c r="A13367">
        <f>HYPERLINK("https://www.philgeps.gov.ph/GEPSNONPILOT/Tender/SplashBidNoticeAbstractUI.aspx?menuIndex=3&amp;refID=7029163&amp;Result=3","7029163")</f>
        <v>0</v>
      </c>
      <c r="B13367" t="s">
        <v>697</v>
      </c>
      <c r="C13367" t="s">
        <v>16191</v>
      </c>
      <c r="D13367" t="s">
        <v>16692</v>
      </c>
      <c r="E13367" t="s">
        <v>28268</v>
      </c>
      <c r="F13367" t="s">
        <v>28669</v>
      </c>
      <c r="G13367" t="s">
        <v>28675</v>
      </c>
      <c r="H13367" t="s">
        <v>28686</v>
      </c>
      <c r="I13367" t="s">
        <v>28689</v>
      </c>
      <c r="J13367" t="s">
        <v>36960</v>
      </c>
      <c r="K13367" t="s">
        <v>37325</v>
      </c>
      <c r="M13367" t="s">
        <v>38202</v>
      </c>
      <c r="N13367" t="s">
        <v>41249</v>
      </c>
      <c r="O13367" t="s">
        <v>41250</v>
      </c>
      <c r="Q13367">
        <v>14</v>
      </c>
      <c r="R13367" t="s">
        <v>41278</v>
      </c>
      <c r="S13367" t="s">
        <v>42336</v>
      </c>
      <c r="T13367" t="s">
        <v>42728</v>
      </c>
      <c r="U13367" t="s">
        <v>53902</v>
      </c>
      <c r="W13367" t="s">
        <v>38202</v>
      </c>
      <c r="X13367" t="s">
        <v>41279</v>
      </c>
    </row>
    <row r="13368" spans="1:24">
      <c r="A13368">
        <f>HYPERLINK("https://www.philgeps.gov.ph/GEPSNONPILOT/Tender/SplashBidNoticeAbstractUI.aspx?menuIndex=3&amp;refID=7029099&amp;Result=3","7029099")</f>
        <v>0</v>
      </c>
      <c r="B13368" t="s">
        <v>697</v>
      </c>
      <c r="C13368" t="s">
        <v>16192</v>
      </c>
      <c r="D13368" t="s">
        <v>16692</v>
      </c>
      <c r="E13368" t="s">
        <v>28269</v>
      </c>
      <c r="F13368" t="s">
        <v>28669</v>
      </c>
      <c r="G13368" t="s">
        <v>28675</v>
      </c>
      <c r="H13368" t="s">
        <v>28686</v>
      </c>
      <c r="I13368" t="s">
        <v>28689</v>
      </c>
      <c r="J13368" t="s">
        <v>36961</v>
      </c>
      <c r="K13368" t="s">
        <v>37325</v>
      </c>
      <c r="M13368" t="s">
        <v>38202</v>
      </c>
      <c r="N13368" t="s">
        <v>41249</v>
      </c>
      <c r="O13368" t="s">
        <v>41250</v>
      </c>
      <c r="Q13368">
        <v>13</v>
      </c>
      <c r="R13368" t="s">
        <v>41278</v>
      </c>
      <c r="S13368" t="s">
        <v>42337</v>
      </c>
      <c r="T13368" t="s">
        <v>42728</v>
      </c>
      <c r="U13368" t="s">
        <v>53903</v>
      </c>
      <c r="W13368" t="s">
        <v>38202</v>
      </c>
      <c r="X13368" t="s">
        <v>41279</v>
      </c>
    </row>
    <row r="13369" spans="1:24">
      <c r="A13369">
        <f>HYPERLINK("https://www.philgeps.gov.ph/GEPSNONPILOT/Tender/SplashBidNoticeAbstractUI.aspx?menuIndex=3&amp;refID=7029273&amp;Result=3","7029273")</f>
        <v>0</v>
      </c>
      <c r="B13369" t="s">
        <v>1423</v>
      </c>
      <c r="C13369" t="s">
        <v>16193</v>
      </c>
      <c r="D13369" t="s">
        <v>16635</v>
      </c>
      <c r="E13369" t="s">
        <v>28270</v>
      </c>
      <c r="F13369" t="s">
        <v>28669</v>
      </c>
      <c r="G13369" t="s">
        <v>28675</v>
      </c>
      <c r="H13369" t="s">
        <v>9998</v>
      </c>
      <c r="I13369" t="s">
        <v>28707</v>
      </c>
      <c r="J13369" t="s">
        <v>29120</v>
      </c>
      <c r="K13369" t="s">
        <v>37221</v>
      </c>
      <c r="M13369" t="s">
        <v>38986</v>
      </c>
      <c r="N13369" t="s">
        <v>41249</v>
      </c>
      <c r="O13369" t="s">
        <v>41250</v>
      </c>
      <c r="P13369">
        <v>0</v>
      </c>
      <c r="Q13369">
        <v>4</v>
      </c>
      <c r="R13369" t="s">
        <v>41278</v>
      </c>
      <c r="S13369" t="s">
        <v>42334</v>
      </c>
      <c r="T13369" t="s">
        <v>42727</v>
      </c>
      <c r="U13369" t="s">
        <v>53904</v>
      </c>
      <c r="W13369" t="s">
        <v>38986</v>
      </c>
      <c r="X13369" t="s">
        <v>41279</v>
      </c>
    </row>
    <row r="13370" spans="1:24">
      <c r="A13370">
        <f>HYPERLINK("https://www.philgeps.gov.ph/GEPSNONPILOT/Tender/SplashBidNoticeAbstractUI.aspx?menuIndex=3&amp;refID=7032614&amp;Result=3","7032614")</f>
        <v>0</v>
      </c>
      <c r="B13370" t="s">
        <v>3341</v>
      </c>
      <c r="C13370" t="s">
        <v>16194</v>
      </c>
      <c r="D13370" t="s">
        <v>16639</v>
      </c>
      <c r="E13370" t="s">
        <v>28271</v>
      </c>
      <c r="F13370" t="s">
        <v>28669</v>
      </c>
      <c r="G13370" t="s">
        <v>28675</v>
      </c>
      <c r="H13370" t="s">
        <v>9998</v>
      </c>
      <c r="I13370" t="s">
        <v>28706</v>
      </c>
      <c r="J13370" t="s">
        <v>29047</v>
      </c>
      <c r="K13370" t="s">
        <v>37213</v>
      </c>
      <c r="M13370" t="s">
        <v>41190</v>
      </c>
      <c r="N13370" t="s">
        <v>41249</v>
      </c>
      <c r="O13370" t="s">
        <v>41250</v>
      </c>
      <c r="Q13370">
        <v>7</v>
      </c>
      <c r="R13370" t="s">
        <v>41275</v>
      </c>
      <c r="S13370" t="s">
        <v>42338</v>
      </c>
      <c r="T13370" t="s">
        <v>42987</v>
      </c>
      <c r="U13370" t="s">
        <v>53905</v>
      </c>
      <c r="V13370" t="s">
        <v>55842</v>
      </c>
      <c r="W13370" t="s">
        <v>41190</v>
      </c>
      <c r="X13370" t="s">
        <v>41277</v>
      </c>
    </row>
    <row r="13371" spans="1:24">
      <c r="A13371">
        <f>HYPERLINK("https://www.philgeps.gov.ph/GEPSNONPILOT/Tender/SplashBidNoticeAbstractUI.aspx?menuIndex=3&amp;refID=7028580&amp;Result=3","7028580")</f>
        <v>0</v>
      </c>
      <c r="B13371" t="s">
        <v>3342</v>
      </c>
      <c r="C13371" t="s">
        <v>16195</v>
      </c>
      <c r="D13371" t="s">
        <v>16616</v>
      </c>
      <c r="E13371" t="s">
        <v>28272</v>
      </c>
      <c r="F13371" t="s">
        <v>28669</v>
      </c>
      <c r="G13371" t="s">
        <v>28675</v>
      </c>
      <c r="H13371" t="s">
        <v>28686</v>
      </c>
      <c r="I13371" t="s">
        <v>28696</v>
      </c>
      <c r="J13371" t="s">
        <v>29819</v>
      </c>
      <c r="K13371" t="s">
        <v>37206</v>
      </c>
      <c r="M13371" t="s">
        <v>41191</v>
      </c>
      <c r="N13371" t="s">
        <v>41249</v>
      </c>
      <c r="O13371" t="s">
        <v>41250</v>
      </c>
      <c r="P13371">
        <v>0</v>
      </c>
      <c r="Q13371">
        <v>3</v>
      </c>
      <c r="R13371" t="s">
        <v>41278</v>
      </c>
      <c r="S13371" t="s">
        <v>42334</v>
      </c>
      <c r="T13371" t="s">
        <v>42757</v>
      </c>
      <c r="U13371" t="s">
        <v>53906</v>
      </c>
      <c r="V13371" t="s">
        <v>55840</v>
      </c>
      <c r="W13371" t="s">
        <v>41191</v>
      </c>
      <c r="X13371" t="s">
        <v>41279</v>
      </c>
    </row>
    <row r="13372" spans="1:24">
      <c r="A13372">
        <f>HYPERLINK("https://www.philgeps.gov.ph/GEPSNONPILOT/Tender/SplashBidNoticeAbstractUI.aspx?menuIndex=3&amp;refID=7028950&amp;Result=3","7028950")</f>
        <v>0</v>
      </c>
      <c r="B13372" t="s">
        <v>1619</v>
      </c>
      <c r="C13372" t="s">
        <v>16196</v>
      </c>
      <c r="D13372" t="s">
        <v>16678</v>
      </c>
      <c r="E13372" t="s">
        <v>28273</v>
      </c>
      <c r="F13372" t="s">
        <v>28669</v>
      </c>
      <c r="G13372" t="s">
        <v>28675</v>
      </c>
      <c r="H13372" t="s">
        <v>28686</v>
      </c>
      <c r="I13372" t="s">
        <v>28689</v>
      </c>
      <c r="J13372" t="s">
        <v>30289</v>
      </c>
      <c r="K13372" t="s">
        <v>37241</v>
      </c>
      <c r="M13372" t="s">
        <v>39205</v>
      </c>
      <c r="N13372" t="s">
        <v>41249</v>
      </c>
      <c r="O13372" t="s">
        <v>41250</v>
      </c>
      <c r="Q13372">
        <v>0</v>
      </c>
      <c r="R13372" t="s">
        <v>41278</v>
      </c>
      <c r="S13372" t="s">
        <v>42339</v>
      </c>
      <c r="T13372" t="s">
        <v>42658</v>
      </c>
      <c r="U13372" t="s">
        <v>53907</v>
      </c>
      <c r="W13372" t="s">
        <v>39205</v>
      </c>
      <c r="X13372" t="s">
        <v>41279</v>
      </c>
    </row>
    <row r="13373" spans="1:24">
      <c r="A13373">
        <f>HYPERLINK("https://www.philgeps.gov.ph/GEPSNONPILOT/Tender/SplashBidNoticeAbstractUI.aspx?menuIndex=3&amp;refID=7028056&amp;Result=3","7028056")</f>
        <v>0</v>
      </c>
      <c r="B13373" t="s">
        <v>1509</v>
      </c>
      <c r="C13373" t="s">
        <v>16197</v>
      </c>
      <c r="D13373" t="s">
        <v>16673</v>
      </c>
      <c r="E13373" t="s">
        <v>28274</v>
      </c>
      <c r="F13373" t="s">
        <v>28669</v>
      </c>
      <c r="G13373" t="s">
        <v>28676</v>
      </c>
      <c r="H13373" t="s">
        <v>9998</v>
      </c>
      <c r="I13373" t="s">
        <v>5213</v>
      </c>
      <c r="J13373" t="s">
        <v>36962</v>
      </c>
      <c r="K13373" t="s">
        <v>37220</v>
      </c>
      <c r="M13373" t="s">
        <v>39083</v>
      </c>
      <c r="N13373" t="s">
        <v>41249</v>
      </c>
      <c r="O13373" t="s">
        <v>41250</v>
      </c>
      <c r="Q13373">
        <v>5</v>
      </c>
      <c r="R13373" t="s">
        <v>41278</v>
      </c>
      <c r="S13373" t="s">
        <v>42340</v>
      </c>
      <c r="T13373" t="s">
        <v>42754</v>
      </c>
      <c r="U13373" t="s">
        <v>46582</v>
      </c>
      <c r="W13373" t="s">
        <v>39083</v>
      </c>
      <c r="X13373" t="s">
        <v>41279</v>
      </c>
    </row>
    <row r="13374" spans="1:24">
      <c r="A13374">
        <f>HYPERLINK("https://www.philgeps.gov.ph/GEPSNONPILOT/Tender/SplashBidNoticeAbstractUI.aspx?menuIndex=3&amp;refID=7031888&amp;Result=3","7031888")</f>
        <v>0</v>
      </c>
      <c r="B13374" t="s">
        <v>3343</v>
      </c>
      <c r="C13374" t="s">
        <v>16198</v>
      </c>
      <c r="D13374" t="s">
        <v>16622</v>
      </c>
      <c r="E13374" t="s">
        <v>21568</v>
      </c>
      <c r="F13374" t="s">
        <v>28669</v>
      </c>
      <c r="G13374" t="s">
        <v>28675</v>
      </c>
      <c r="H13374" t="s">
        <v>28686</v>
      </c>
      <c r="I13374" t="s">
        <v>28689</v>
      </c>
      <c r="J13374" t="s">
        <v>28826</v>
      </c>
      <c r="K13374" t="s">
        <v>37206</v>
      </c>
      <c r="M13374" t="s">
        <v>41192</v>
      </c>
      <c r="N13374" t="s">
        <v>41249</v>
      </c>
      <c r="O13374" t="s">
        <v>41250</v>
      </c>
      <c r="P13374">
        <v>0</v>
      </c>
      <c r="Q13374">
        <v>0</v>
      </c>
      <c r="R13374" t="s">
        <v>41276</v>
      </c>
      <c r="S13374" t="s">
        <v>42328</v>
      </c>
      <c r="T13374" t="s">
        <v>42716</v>
      </c>
      <c r="U13374" t="s">
        <v>53908</v>
      </c>
      <c r="V13374" t="s">
        <v>55843</v>
      </c>
      <c r="W13374" t="s">
        <v>41192</v>
      </c>
      <c r="X13374" t="s">
        <v>41278</v>
      </c>
    </row>
    <row r="13375" spans="1:24">
      <c r="A13375">
        <f>HYPERLINK("https://www.philgeps.gov.ph/GEPSNONPILOT/Tender/SplashBidNoticeAbstractUI.aspx?menuIndex=3&amp;refID=7028361&amp;Result=3","7028361")</f>
        <v>0</v>
      </c>
      <c r="B13375" t="s">
        <v>1148</v>
      </c>
      <c r="C13375" t="s">
        <v>16199</v>
      </c>
      <c r="E13375" t="s">
        <v>28275</v>
      </c>
      <c r="F13375" t="s">
        <v>28669</v>
      </c>
      <c r="G13375" t="s">
        <v>28675</v>
      </c>
      <c r="H13375" t="s">
        <v>28685</v>
      </c>
      <c r="I13375" t="s">
        <v>28685</v>
      </c>
      <c r="J13375" t="s">
        <v>28881</v>
      </c>
      <c r="K13375" t="s">
        <v>37209</v>
      </c>
      <c r="M13375" t="s">
        <v>38684</v>
      </c>
      <c r="N13375" t="s">
        <v>41249</v>
      </c>
      <c r="O13375" t="s">
        <v>41250</v>
      </c>
      <c r="Q13375">
        <v>14</v>
      </c>
      <c r="R13375" t="s">
        <v>41278</v>
      </c>
      <c r="S13375" t="s">
        <v>41801</v>
      </c>
      <c r="T13375" t="s">
        <v>42759</v>
      </c>
      <c r="U13375" t="s">
        <v>53909</v>
      </c>
      <c r="W13375" t="s">
        <v>38684</v>
      </c>
      <c r="X13375" t="s">
        <v>41279</v>
      </c>
    </row>
    <row r="13376" spans="1:24">
      <c r="A13376">
        <f>HYPERLINK("https://www.philgeps.gov.ph/GEPSNONPILOT/Tender/SplashBidNoticeAbstractUI.aspx?menuIndex=3&amp;refID=7031820&amp;Result=3","7031820")</f>
        <v>0</v>
      </c>
      <c r="B13376" t="s">
        <v>3321</v>
      </c>
      <c r="C13376" t="s">
        <v>16200</v>
      </c>
      <c r="D13376" t="s">
        <v>16614</v>
      </c>
      <c r="E13376" t="s">
        <v>28276</v>
      </c>
      <c r="F13376" t="s">
        <v>28669</v>
      </c>
      <c r="G13376" t="s">
        <v>28675</v>
      </c>
      <c r="H13376" t="s">
        <v>28684</v>
      </c>
      <c r="I13376" t="s">
        <v>28774</v>
      </c>
      <c r="J13376" t="s">
        <v>33308</v>
      </c>
      <c r="K13376" t="s">
        <v>37215</v>
      </c>
      <c r="M13376" t="s">
        <v>41162</v>
      </c>
      <c r="N13376" t="s">
        <v>41249</v>
      </c>
      <c r="O13376" t="s">
        <v>41250</v>
      </c>
      <c r="Q13376">
        <v>11</v>
      </c>
      <c r="R13376" t="s">
        <v>41276</v>
      </c>
      <c r="S13376" t="s">
        <v>42341</v>
      </c>
      <c r="T13376" t="s">
        <v>42902</v>
      </c>
      <c r="U13376" t="s">
        <v>53910</v>
      </c>
      <c r="W13376" t="s">
        <v>41162</v>
      </c>
      <c r="X13376" t="s">
        <v>41278</v>
      </c>
    </row>
    <row r="13377" spans="1:24">
      <c r="A13377">
        <f>HYPERLINK("https://www.philgeps.gov.ph/GEPSNONPILOT/Tender/SplashBidNoticeAbstractUI.aspx?menuIndex=3&amp;refID=7029260&amp;Result=3","7029260")</f>
        <v>0</v>
      </c>
      <c r="B13377" t="s">
        <v>1148</v>
      </c>
      <c r="C13377" t="s">
        <v>16201</v>
      </c>
      <c r="E13377" t="s">
        <v>28277</v>
      </c>
      <c r="F13377" t="s">
        <v>28669</v>
      </c>
      <c r="G13377" t="s">
        <v>28675</v>
      </c>
      <c r="H13377" t="s">
        <v>28686</v>
      </c>
      <c r="I13377" t="s">
        <v>28689</v>
      </c>
      <c r="J13377" t="s">
        <v>36963</v>
      </c>
      <c r="K13377" t="s">
        <v>37209</v>
      </c>
      <c r="M13377" t="s">
        <v>38684</v>
      </c>
      <c r="N13377" t="s">
        <v>41249</v>
      </c>
      <c r="O13377" t="s">
        <v>41250</v>
      </c>
      <c r="P13377">
        <v>0</v>
      </c>
      <c r="Q13377">
        <v>0</v>
      </c>
      <c r="R13377" t="s">
        <v>41278</v>
      </c>
      <c r="S13377" t="s">
        <v>42334</v>
      </c>
      <c r="T13377" t="s">
        <v>42767</v>
      </c>
      <c r="U13377" t="s">
        <v>45549</v>
      </c>
      <c r="W13377" t="s">
        <v>38684</v>
      </c>
      <c r="X13377" t="s">
        <v>41279</v>
      </c>
    </row>
    <row r="13378" spans="1:24">
      <c r="A13378">
        <f>HYPERLINK("https://www.philgeps.gov.ph/GEPSNONPILOT/Tender/SplashBidNoticeAbstractUI.aspx?menuIndex=3&amp;refID=7026503&amp;Result=3","7026503")</f>
        <v>0</v>
      </c>
      <c r="B13378" t="s">
        <v>2511</v>
      </c>
      <c r="C13378" t="s">
        <v>16202</v>
      </c>
      <c r="D13378" t="s">
        <v>16676</v>
      </c>
      <c r="E13378" t="s">
        <v>28278</v>
      </c>
      <c r="F13378" t="s">
        <v>28669</v>
      </c>
      <c r="G13378" t="s">
        <v>28675</v>
      </c>
      <c r="H13378" t="s">
        <v>9998</v>
      </c>
      <c r="I13378" t="s">
        <v>28697</v>
      </c>
      <c r="J13378" t="s">
        <v>29320</v>
      </c>
      <c r="K13378" t="s">
        <v>37227</v>
      </c>
      <c r="M13378" t="s">
        <v>40199</v>
      </c>
      <c r="N13378" t="s">
        <v>41249</v>
      </c>
      <c r="O13378" t="s">
        <v>41250</v>
      </c>
      <c r="Q13378">
        <v>9</v>
      </c>
      <c r="R13378" t="s">
        <v>41278</v>
      </c>
      <c r="S13378" t="s">
        <v>42342</v>
      </c>
      <c r="T13378" t="s">
        <v>43167</v>
      </c>
      <c r="U13378" t="s">
        <v>53911</v>
      </c>
      <c r="W13378" t="s">
        <v>40199</v>
      </c>
      <c r="X13378" t="s">
        <v>41280</v>
      </c>
    </row>
    <row r="13379" spans="1:24">
      <c r="A13379">
        <f>HYPERLINK("https://www.philgeps.gov.ph/GEPSNONPILOT/Tender/SplashBidNoticeAbstractUI.aspx?menuIndex=3&amp;refID=7032333&amp;Result=3","7032333")</f>
        <v>0</v>
      </c>
      <c r="B13379" t="s">
        <v>3297</v>
      </c>
      <c r="C13379" t="s">
        <v>16203</v>
      </c>
      <c r="E13379" t="s">
        <v>28279</v>
      </c>
      <c r="F13379" t="s">
        <v>28669</v>
      </c>
      <c r="G13379" t="s">
        <v>28675</v>
      </c>
      <c r="H13379" t="s">
        <v>28684</v>
      </c>
      <c r="I13379" t="s">
        <v>28701</v>
      </c>
      <c r="J13379" t="s">
        <v>36964</v>
      </c>
      <c r="K13379" t="s">
        <v>37272</v>
      </c>
      <c r="M13379" t="s">
        <v>41129</v>
      </c>
      <c r="N13379" t="s">
        <v>41249</v>
      </c>
      <c r="O13379" t="s">
        <v>41250</v>
      </c>
      <c r="Q13379">
        <v>9</v>
      </c>
      <c r="R13379" t="s">
        <v>41277</v>
      </c>
      <c r="S13379" t="s">
        <v>42343</v>
      </c>
      <c r="T13379" t="s">
        <v>42673</v>
      </c>
      <c r="U13379" t="s">
        <v>53912</v>
      </c>
      <c r="W13379" t="s">
        <v>41129</v>
      </c>
      <c r="X13379" t="s">
        <v>41276</v>
      </c>
    </row>
    <row r="13380" spans="1:24">
      <c r="A13380">
        <f>HYPERLINK("https://www.philgeps.gov.ph/GEPSNONPILOT/Tender/SplashBidNoticeAbstractUI.aspx?menuIndex=3&amp;refID=7024850&amp;Result=3","7024850")</f>
        <v>0</v>
      </c>
      <c r="B13380" t="s">
        <v>3344</v>
      </c>
      <c r="C13380" t="s">
        <v>16204</v>
      </c>
      <c r="D13380" t="s">
        <v>16684</v>
      </c>
      <c r="E13380" t="s">
        <v>28280</v>
      </c>
      <c r="F13380" t="s">
        <v>28669</v>
      </c>
      <c r="G13380" t="s">
        <v>28675</v>
      </c>
      <c r="H13380" t="s">
        <v>28686</v>
      </c>
      <c r="I13380" t="s">
        <v>28689</v>
      </c>
      <c r="J13380" t="s">
        <v>36965</v>
      </c>
      <c r="K13380" t="s">
        <v>37407</v>
      </c>
      <c r="M13380" t="s">
        <v>41193</v>
      </c>
      <c r="N13380" t="s">
        <v>41249</v>
      </c>
      <c r="O13380" t="s">
        <v>41250</v>
      </c>
      <c r="Q13380">
        <v>8</v>
      </c>
      <c r="R13380" t="s">
        <v>41279</v>
      </c>
      <c r="S13380" t="s">
        <v>42307</v>
      </c>
      <c r="T13380" t="s">
        <v>43047</v>
      </c>
      <c r="U13380" t="s">
        <v>53913</v>
      </c>
      <c r="W13380" t="s">
        <v>41193</v>
      </c>
      <c r="X13380" t="s">
        <v>41280</v>
      </c>
    </row>
    <row r="13381" spans="1:24">
      <c r="A13381">
        <f>HYPERLINK("https://www.philgeps.gov.ph/GEPSNONPILOT/Tender/SplashBidNoticeAbstractUI.aspx?menuIndex=3&amp;refID=7029790&amp;Result=3","7029790")</f>
        <v>0</v>
      </c>
      <c r="B13381" t="s">
        <v>479</v>
      </c>
      <c r="C13381" t="s">
        <v>16205</v>
      </c>
      <c r="D13381" t="s">
        <v>16626</v>
      </c>
      <c r="E13381" t="s">
        <v>28281</v>
      </c>
      <c r="F13381" t="s">
        <v>28669</v>
      </c>
      <c r="G13381" t="s">
        <v>28675</v>
      </c>
      <c r="H13381" t="s">
        <v>28686</v>
      </c>
      <c r="I13381" t="s">
        <v>28689</v>
      </c>
      <c r="J13381" t="s">
        <v>28924</v>
      </c>
      <c r="K13381" t="s">
        <v>37215</v>
      </c>
      <c r="M13381" t="s">
        <v>40706</v>
      </c>
      <c r="N13381" t="s">
        <v>41249</v>
      </c>
      <c r="O13381" t="s">
        <v>41250</v>
      </c>
      <c r="Q13381">
        <v>5</v>
      </c>
      <c r="R13381" t="s">
        <v>41278</v>
      </c>
      <c r="S13381" t="s">
        <v>42344</v>
      </c>
      <c r="T13381" t="s">
        <v>42714</v>
      </c>
      <c r="U13381" t="s">
        <v>53914</v>
      </c>
      <c r="W13381" t="s">
        <v>40706</v>
      </c>
      <c r="X13381" t="s">
        <v>41279</v>
      </c>
    </row>
    <row r="13382" spans="1:24">
      <c r="A13382">
        <f>HYPERLINK("https://www.philgeps.gov.ph/GEPSNONPILOT/Tender/SplashBidNoticeAbstractUI.aspx?menuIndex=3&amp;refID=7032578&amp;Result=3","7032578")</f>
        <v>0</v>
      </c>
      <c r="B13382" t="s">
        <v>2571</v>
      </c>
      <c r="C13382" t="s">
        <v>16206</v>
      </c>
      <c r="D13382" t="s">
        <v>16671</v>
      </c>
      <c r="E13382" t="s">
        <v>28282</v>
      </c>
      <c r="F13382" t="s">
        <v>28669</v>
      </c>
      <c r="G13382" t="s">
        <v>28675</v>
      </c>
      <c r="H13382" t="s">
        <v>9998</v>
      </c>
      <c r="I13382" t="s">
        <v>28689</v>
      </c>
      <c r="J13382" t="s">
        <v>32905</v>
      </c>
      <c r="K13382" t="s">
        <v>37276</v>
      </c>
      <c r="M13382" t="s">
        <v>40265</v>
      </c>
      <c r="N13382" t="s">
        <v>41249</v>
      </c>
      <c r="O13382" t="s">
        <v>41250</v>
      </c>
      <c r="P13382">
        <v>0</v>
      </c>
      <c r="Q13382">
        <v>2</v>
      </c>
      <c r="R13382" t="s">
        <v>41275</v>
      </c>
      <c r="S13382" t="s">
        <v>42316</v>
      </c>
      <c r="T13382" t="s">
        <v>43008</v>
      </c>
      <c r="U13382" t="s">
        <v>53915</v>
      </c>
      <c r="W13382" t="s">
        <v>40265</v>
      </c>
      <c r="X13382" t="s">
        <v>41277</v>
      </c>
    </row>
    <row r="13383" spans="1:24">
      <c r="A13383">
        <f>HYPERLINK("https://www.philgeps.gov.ph/GEPSNONPILOT/Tender/SplashBidNoticeAbstractUI.aspx?menuIndex=3&amp;refID=7029785&amp;Result=3","7029785")</f>
        <v>0</v>
      </c>
      <c r="B13383" t="s">
        <v>479</v>
      </c>
      <c r="C13383" t="s">
        <v>16207</v>
      </c>
      <c r="D13383" t="s">
        <v>16626</v>
      </c>
      <c r="E13383" t="s">
        <v>28283</v>
      </c>
      <c r="F13383" t="s">
        <v>28669</v>
      </c>
      <c r="G13383" t="s">
        <v>28675</v>
      </c>
      <c r="H13383" t="s">
        <v>28686</v>
      </c>
      <c r="I13383" t="s">
        <v>28689</v>
      </c>
      <c r="J13383" t="s">
        <v>28881</v>
      </c>
      <c r="K13383" t="s">
        <v>37211</v>
      </c>
      <c r="M13383" t="s">
        <v>40706</v>
      </c>
      <c r="N13383" t="s">
        <v>41249</v>
      </c>
      <c r="O13383" t="s">
        <v>41250</v>
      </c>
      <c r="Q13383">
        <v>5</v>
      </c>
      <c r="R13383" t="s">
        <v>41278</v>
      </c>
      <c r="S13383" t="s">
        <v>42345</v>
      </c>
      <c r="T13383" t="s">
        <v>42726</v>
      </c>
      <c r="U13383" t="s">
        <v>53916</v>
      </c>
      <c r="W13383" t="s">
        <v>40706</v>
      </c>
      <c r="X13383" t="s">
        <v>41279</v>
      </c>
    </row>
    <row r="13384" spans="1:24">
      <c r="A13384">
        <f>HYPERLINK("https://www.philgeps.gov.ph/GEPSNONPILOT/Tender/SplashBidNoticeAbstractUI.aspx?menuIndex=3&amp;refID=7028526&amp;Result=3","7028526")</f>
        <v>0</v>
      </c>
      <c r="B13384" t="s">
        <v>3342</v>
      </c>
      <c r="C13384" t="s">
        <v>16208</v>
      </c>
      <c r="D13384" t="s">
        <v>16616</v>
      </c>
      <c r="E13384" t="s">
        <v>18958</v>
      </c>
      <c r="F13384" t="s">
        <v>28669</v>
      </c>
      <c r="G13384" t="s">
        <v>28675</v>
      </c>
      <c r="H13384" t="s">
        <v>9998</v>
      </c>
      <c r="I13384" t="s">
        <v>28743</v>
      </c>
      <c r="J13384" t="s">
        <v>36966</v>
      </c>
      <c r="K13384" t="s">
        <v>37206</v>
      </c>
      <c r="M13384" t="s">
        <v>41191</v>
      </c>
      <c r="N13384" t="s">
        <v>41249</v>
      </c>
      <c r="O13384" t="s">
        <v>41250</v>
      </c>
      <c r="P13384">
        <v>0</v>
      </c>
      <c r="Q13384">
        <v>1</v>
      </c>
      <c r="R13384" t="s">
        <v>41278</v>
      </c>
      <c r="S13384" t="s">
        <v>42334</v>
      </c>
      <c r="T13384" t="s">
        <v>42757</v>
      </c>
      <c r="U13384" t="s">
        <v>53917</v>
      </c>
      <c r="V13384" t="s">
        <v>55840</v>
      </c>
      <c r="W13384" t="s">
        <v>41191</v>
      </c>
      <c r="X13384" t="s">
        <v>41279</v>
      </c>
    </row>
    <row r="13385" spans="1:24">
      <c r="A13385">
        <f>HYPERLINK("https://www.philgeps.gov.ph/GEPSNONPILOT/Tender/SplashBidNoticeAbstractUI.aspx?menuIndex=3&amp;refID=7029771&amp;Result=3","7029771")</f>
        <v>0</v>
      </c>
      <c r="B13385" t="s">
        <v>479</v>
      </c>
      <c r="C13385" t="s">
        <v>16209</v>
      </c>
      <c r="D13385" t="s">
        <v>16643</v>
      </c>
      <c r="E13385" t="s">
        <v>28284</v>
      </c>
      <c r="F13385" t="s">
        <v>28669</v>
      </c>
      <c r="G13385" t="s">
        <v>28675</v>
      </c>
      <c r="H13385" t="s">
        <v>28686</v>
      </c>
      <c r="I13385" t="s">
        <v>28689</v>
      </c>
      <c r="J13385" t="s">
        <v>29332</v>
      </c>
      <c r="K13385" t="s">
        <v>37213</v>
      </c>
      <c r="M13385" t="s">
        <v>40706</v>
      </c>
      <c r="N13385" t="s">
        <v>41249</v>
      </c>
      <c r="O13385" t="s">
        <v>41250</v>
      </c>
      <c r="P13385">
        <v>0</v>
      </c>
      <c r="Q13385">
        <v>10</v>
      </c>
      <c r="R13385" t="s">
        <v>41278</v>
      </c>
      <c r="S13385" t="s">
        <v>42334</v>
      </c>
      <c r="T13385" t="s">
        <v>42670</v>
      </c>
      <c r="U13385" t="s">
        <v>53918</v>
      </c>
      <c r="W13385" t="s">
        <v>40706</v>
      </c>
      <c r="X13385" t="s">
        <v>41279</v>
      </c>
    </row>
    <row r="13386" spans="1:24">
      <c r="A13386">
        <f>HYPERLINK("https://www.philgeps.gov.ph/GEPSNONPILOT/Tender/SplashBidNoticeAbstractUI.aspx?menuIndex=3&amp;refID=7029761&amp;Result=3","7029761")</f>
        <v>0</v>
      </c>
      <c r="B13386" t="s">
        <v>479</v>
      </c>
      <c r="C13386" t="s">
        <v>16210</v>
      </c>
      <c r="E13386" t="s">
        <v>28285</v>
      </c>
      <c r="F13386" t="s">
        <v>28669</v>
      </c>
      <c r="G13386" t="s">
        <v>28675</v>
      </c>
      <c r="H13386" t="s">
        <v>9998</v>
      </c>
      <c r="I13386" t="s">
        <v>28693</v>
      </c>
      <c r="J13386" t="s">
        <v>35780</v>
      </c>
      <c r="K13386" t="s">
        <v>37221</v>
      </c>
      <c r="M13386" t="s">
        <v>40706</v>
      </c>
      <c r="N13386" t="s">
        <v>41249</v>
      </c>
      <c r="O13386" t="s">
        <v>41250</v>
      </c>
      <c r="P13386">
        <v>0</v>
      </c>
      <c r="Q13386">
        <v>33</v>
      </c>
      <c r="R13386" t="s">
        <v>41278</v>
      </c>
      <c r="S13386" t="s">
        <v>42334</v>
      </c>
      <c r="T13386" t="s">
        <v>42808</v>
      </c>
      <c r="U13386" t="s">
        <v>53919</v>
      </c>
      <c r="W13386" t="s">
        <v>40706</v>
      </c>
      <c r="X13386" t="s">
        <v>41279</v>
      </c>
    </row>
    <row r="13387" spans="1:24">
      <c r="A13387">
        <f>HYPERLINK("https://www.philgeps.gov.ph/GEPSNONPILOT/Tender/SplashBidNoticeAbstractUI.aspx?menuIndex=3&amp;refID=7029764&amp;Result=3","7029764")</f>
        <v>0</v>
      </c>
      <c r="B13387" t="s">
        <v>479</v>
      </c>
      <c r="C13387" t="s">
        <v>16211</v>
      </c>
      <c r="E13387" t="s">
        <v>28286</v>
      </c>
      <c r="F13387" t="s">
        <v>28669</v>
      </c>
      <c r="G13387" t="s">
        <v>28675</v>
      </c>
      <c r="H13387" t="s">
        <v>9998</v>
      </c>
      <c r="I13387" t="s">
        <v>28693</v>
      </c>
      <c r="J13387" t="s">
        <v>32073</v>
      </c>
      <c r="K13387" t="s">
        <v>37221</v>
      </c>
      <c r="M13387" t="s">
        <v>40706</v>
      </c>
      <c r="N13387" t="s">
        <v>41249</v>
      </c>
      <c r="O13387" t="s">
        <v>41250</v>
      </c>
      <c r="P13387">
        <v>0</v>
      </c>
      <c r="Q13387">
        <v>15</v>
      </c>
      <c r="R13387" t="s">
        <v>41278</v>
      </c>
      <c r="S13387" t="s">
        <v>42334</v>
      </c>
      <c r="T13387" t="s">
        <v>42842</v>
      </c>
      <c r="U13387" t="s">
        <v>53920</v>
      </c>
      <c r="W13387" t="s">
        <v>40706</v>
      </c>
      <c r="X13387" t="s">
        <v>41279</v>
      </c>
    </row>
    <row r="13388" spans="1:24">
      <c r="A13388">
        <f>HYPERLINK("https://www.philgeps.gov.ph/GEPSNONPILOT/Tender/SplashBidNoticeAbstractUI.aspx?menuIndex=3&amp;refID=7029754&amp;Result=3","7029754")</f>
        <v>0</v>
      </c>
      <c r="B13388" t="s">
        <v>479</v>
      </c>
      <c r="C13388" t="s">
        <v>16212</v>
      </c>
      <c r="E13388" t="s">
        <v>28287</v>
      </c>
      <c r="F13388" t="s">
        <v>28669</v>
      </c>
      <c r="G13388" t="s">
        <v>28675</v>
      </c>
      <c r="H13388" t="s">
        <v>9998</v>
      </c>
      <c r="I13388" t="s">
        <v>3718</v>
      </c>
      <c r="J13388" t="s">
        <v>29053</v>
      </c>
      <c r="K13388" t="s">
        <v>37221</v>
      </c>
      <c r="M13388" t="s">
        <v>40706</v>
      </c>
      <c r="N13388" t="s">
        <v>41249</v>
      </c>
      <c r="O13388" t="s">
        <v>41250</v>
      </c>
      <c r="P13388">
        <v>0</v>
      </c>
      <c r="Q13388">
        <v>12</v>
      </c>
      <c r="R13388" t="s">
        <v>41278</v>
      </c>
      <c r="S13388" t="s">
        <v>42334</v>
      </c>
      <c r="T13388" t="s">
        <v>42693</v>
      </c>
      <c r="U13388" t="s">
        <v>53921</v>
      </c>
      <c r="W13388" t="s">
        <v>40706</v>
      </c>
      <c r="X13388" t="s">
        <v>41279</v>
      </c>
    </row>
    <row r="13389" spans="1:24">
      <c r="A13389">
        <f>HYPERLINK("https://www.philgeps.gov.ph/GEPSNONPILOT/Tender/SplashBidNoticeAbstractUI.aspx?menuIndex=3&amp;refID=7029747&amp;Result=3","7029747")</f>
        <v>0</v>
      </c>
      <c r="B13389" t="s">
        <v>479</v>
      </c>
      <c r="C13389" t="s">
        <v>16213</v>
      </c>
      <c r="E13389" t="s">
        <v>28288</v>
      </c>
      <c r="F13389" t="s">
        <v>28669</v>
      </c>
      <c r="G13389" t="s">
        <v>28675</v>
      </c>
      <c r="H13389" t="s">
        <v>9998</v>
      </c>
      <c r="I13389" t="s">
        <v>28693</v>
      </c>
      <c r="J13389" t="s">
        <v>34249</v>
      </c>
      <c r="K13389" t="s">
        <v>37221</v>
      </c>
      <c r="M13389" t="s">
        <v>40706</v>
      </c>
      <c r="N13389" t="s">
        <v>41249</v>
      </c>
      <c r="O13389" t="s">
        <v>41250</v>
      </c>
      <c r="P13389">
        <v>0</v>
      </c>
      <c r="Q13389">
        <v>6</v>
      </c>
      <c r="R13389" t="s">
        <v>41278</v>
      </c>
      <c r="S13389" t="s">
        <v>42334</v>
      </c>
      <c r="T13389" t="s">
        <v>42722</v>
      </c>
      <c r="U13389" t="s">
        <v>53922</v>
      </c>
      <c r="W13389" t="s">
        <v>40706</v>
      </c>
      <c r="X13389" t="s">
        <v>41279</v>
      </c>
    </row>
    <row r="13390" spans="1:24">
      <c r="A13390">
        <f>HYPERLINK("https://www.philgeps.gov.ph/GEPSNONPILOT/Tender/SplashBidNoticeAbstractUI.aspx?menuIndex=3&amp;refID=7029416&amp;Result=3","7029416")</f>
        <v>0</v>
      </c>
      <c r="B13390" t="s">
        <v>1148</v>
      </c>
      <c r="C13390" t="s">
        <v>16214</v>
      </c>
      <c r="E13390" t="s">
        <v>28289</v>
      </c>
      <c r="F13390" t="s">
        <v>28669</v>
      </c>
      <c r="G13390" t="s">
        <v>28675</v>
      </c>
      <c r="H13390" t="s">
        <v>28686</v>
      </c>
      <c r="I13390" t="s">
        <v>28689</v>
      </c>
      <c r="J13390" t="s">
        <v>29053</v>
      </c>
      <c r="K13390" t="s">
        <v>37209</v>
      </c>
      <c r="M13390" t="s">
        <v>38684</v>
      </c>
      <c r="N13390" t="s">
        <v>41249</v>
      </c>
      <c r="O13390" t="s">
        <v>41250</v>
      </c>
      <c r="P13390">
        <v>0</v>
      </c>
      <c r="Q13390">
        <v>0</v>
      </c>
      <c r="R13390" t="s">
        <v>41278</v>
      </c>
      <c r="S13390" t="s">
        <v>42334</v>
      </c>
      <c r="T13390" t="s">
        <v>42883</v>
      </c>
      <c r="U13390" t="s">
        <v>45549</v>
      </c>
      <c r="W13390" t="s">
        <v>38684</v>
      </c>
      <c r="X13390" t="s">
        <v>41279</v>
      </c>
    </row>
    <row r="13391" spans="1:24">
      <c r="A13391">
        <f>HYPERLINK("https://www.philgeps.gov.ph/GEPSNONPILOT/Tender/SplashBidNoticeAbstractUI.aspx?menuIndex=3&amp;refID=7029399&amp;Result=3","7029399")</f>
        <v>0</v>
      </c>
      <c r="B13391" t="s">
        <v>1148</v>
      </c>
      <c r="C13391" t="s">
        <v>16215</v>
      </c>
      <c r="E13391" t="s">
        <v>28290</v>
      </c>
      <c r="F13391" t="s">
        <v>28669</v>
      </c>
      <c r="G13391" t="s">
        <v>28675</v>
      </c>
      <c r="H13391" t="s">
        <v>28686</v>
      </c>
      <c r="I13391" t="s">
        <v>28689</v>
      </c>
      <c r="J13391" t="s">
        <v>28847</v>
      </c>
      <c r="K13391" t="s">
        <v>37209</v>
      </c>
      <c r="M13391" t="s">
        <v>38684</v>
      </c>
      <c r="N13391" t="s">
        <v>41249</v>
      </c>
      <c r="O13391" t="s">
        <v>41250</v>
      </c>
      <c r="P13391">
        <v>0</v>
      </c>
      <c r="Q13391">
        <v>0</v>
      </c>
      <c r="R13391" t="s">
        <v>41278</v>
      </c>
      <c r="S13391" t="s">
        <v>42334</v>
      </c>
      <c r="T13391" t="s">
        <v>42767</v>
      </c>
      <c r="U13391" t="s">
        <v>45549</v>
      </c>
      <c r="W13391" t="s">
        <v>38684</v>
      </c>
      <c r="X13391" t="s">
        <v>41279</v>
      </c>
    </row>
    <row r="13392" spans="1:24">
      <c r="A13392">
        <f>HYPERLINK("https://www.philgeps.gov.ph/GEPSNONPILOT/Tender/SplashBidNoticeAbstractUI.aspx?menuIndex=3&amp;refID=7029752&amp;Result=3","7029752")</f>
        <v>0</v>
      </c>
      <c r="B13392" t="s">
        <v>479</v>
      </c>
      <c r="C13392" t="s">
        <v>16216</v>
      </c>
      <c r="E13392" t="s">
        <v>28291</v>
      </c>
      <c r="F13392" t="s">
        <v>28669</v>
      </c>
      <c r="G13392" t="s">
        <v>28675</v>
      </c>
      <c r="H13392" t="s">
        <v>9998</v>
      </c>
      <c r="I13392" t="s">
        <v>3718</v>
      </c>
      <c r="J13392" t="s">
        <v>32073</v>
      </c>
      <c r="K13392" t="s">
        <v>37221</v>
      </c>
      <c r="M13392" t="s">
        <v>40706</v>
      </c>
      <c r="N13392" t="s">
        <v>41249</v>
      </c>
      <c r="O13392" t="s">
        <v>41250</v>
      </c>
      <c r="P13392">
        <v>0</v>
      </c>
      <c r="Q13392">
        <v>4</v>
      </c>
      <c r="R13392" t="s">
        <v>41278</v>
      </c>
      <c r="S13392" t="s">
        <v>42334</v>
      </c>
      <c r="T13392" t="s">
        <v>42716</v>
      </c>
      <c r="U13392" t="s">
        <v>53923</v>
      </c>
      <c r="W13392" t="s">
        <v>40706</v>
      </c>
      <c r="X13392" t="s">
        <v>41279</v>
      </c>
    </row>
    <row r="13393" spans="1:24">
      <c r="A13393">
        <f>HYPERLINK("https://www.philgeps.gov.ph/GEPSNONPILOT/Tender/SplashBidNoticeAbstractUI.aspx?menuIndex=3&amp;refID=7029380&amp;Result=3","7029380")</f>
        <v>0</v>
      </c>
      <c r="B13393" t="s">
        <v>1148</v>
      </c>
      <c r="C13393" t="s">
        <v>16217</v>
      </c>
      <c r="E13393" t="s">
        <v>28292</v>
      </c>
      <c r="F13393" t="s">
        <v>28669</v>
      </c>
      <c r="G13393" t="s">
        <v>28675</v>
      </c>
      <c r="H13393" t="s">
        <v>28686</v>
      </c>
      <c r="I13393" t="s">
        <v>28689</v>
      </c>
      <c r="J13393" t="s">
        <v>31737</v>
      </c>
      <c r="K13393" t="s">
        <v>37209</v>
      </c>
      <c r="M13393" t="s">
        <v>38684</v>
      </c>
      <c r="N13393" t="s">
        <v>41249</v>
      </c>
      <c r="O13393" t="s">
        <v>41250</v>
      </c>
      <c r="P13393">
        <v>0</v>
      </c>
      <c r="Q13393">
        <v>0</v>
      </c>
      <c r="R13393" t="s">
        <v>41278</v>
      </c>
      <c r="S13393" t="s">
        <v>42334</v>
      </c>
      <c r="T13393" t="s">
        <v>42767</v>
      </c>
      <c r="U13393" t="s">
        <v>45549</v>
      </c>
      <c r="W13393" t="s">
        <v>38684</v>
      </c>
      <c r="X13393" t="s">
        <v>41279</v>
      </c>
    </row>
    <row r="13394" spans="1:24">
      <c r="A13394">
        <f>HYPERLINK("https://www.philgeps.gov.ph/GEPSNONPILOT/Tender/SplashBidNoticeAbstractUI.aspx?menuIndex=3&amp;refID=7029440&amp;Result=3","7029440")</f>
        <v>0</v>
      </c>
      <c r="B13394" t="s">
        <v>1148</v>
      </c>
      <c r="C13394" t="s">
        <v>16218</v>
      </c>
      <c r="E13394" t="s">
        <v>28293</v>
      </c>
      <c r="F13394" t="s">
        <v>28669</v>
      </c>
      <c r="G13394" t="s">
        <v>28675</v>
      </c>
      <c r="H13394" t="s">
        <v>28686</v>
      </c>
      <c r="I13394" t="s">
        <v>28689</v>
      </c>
      <c r="J13394" t="s">
        <v>36967</v>
      </c>
      <c r="K13394" t="s">
        <v>37209</v>
      </c>
      <c r="M13394" t="s">
        <v>38684</v>
      </c>
      <c r="N13394" t="s">
        <v>41249</v>
      </c>
      <c r="O13394" t="s">
        <v>41250</v>
      </c>
      <c r="P13394">
        <v>0</v>
      </c>
      <c r="Q13394">
        <v>0</v>
      </c>
      <c r="R13394" t="s">
        <v>41278</v>
      </c>
      <c r="S13394" t="s">
        <v>42334</v>
      </c>
      <c r="T13394" t="s">
        <v>42767</v>
      </c>
      <c r="U13394" t="s">
        <v>45549</v>
      </c>
      <c r="W13394" t="s">
        <v>38684</v>
      </c>
      <c r="X13394" t="s">
        <v>41279</v>
      </c>
    </row>
    <row r="13395" spans="1:24">
      <c r="A13395">
        <f>HYPERLINK("https://www.philgeps.gov.ph/GEPSNONPILOT/Tender/SplashBidNoticeAbstractUI.aspx?menuIndex=3&amp;refID=7029366&amp;Result=3","7029366")</f>
        <v>0</v>
      </c>
      <c r="B13395" t="s">
        <v>1148</v>
      </c>
      <c r="C13395" t="s">
        <v>16219</v>
      </c>
      <c r="E13395" t="s">
        <v>28294</v>
      </c>
      <c r="F13395" t="s">
        <v>28669</v>
      </c>
      <c r="G13395" t="s">
        <v>28675</v>
      </c>
      <c r="H13395" t="s">
        <v>28686</v>
      </c>
      <c r="I13395" t="s">
        <v>28689</v>
      </c>
      <c r="J13395" t="s">
        <v>31737</v>
      </c>
      <c r="K13395" t="s">
        <v>37209</v>
      </c>
      <c r="M13395" t="s">
        <v>38684</v>
      </c>
      <c r="N13395" t="s">
        <v>41249</v>
      </c>
      <c r="O13395" t="s">
        <v>41250</v>
      </c>
      <c r="P13395">
        <v>0</v>
      </c>
      <c r="Q13395">
        <v>0</v>
      </c>
      <c r="R13395" t="s">
        <v>41278</v>
      </c>
      <c r="S13395" t="s">
        <v>42334</v>
      </c>
      <c r="T13395" t="s">
        <v>42767</v>
      </c>
      <c r="U13395" t="s">
        <v>45549</v>
      </c>
      <c r="W13395" t="s">
        <v>38684</v>
      </c>
      <c r="X13395" t="s">
        <v>41279</v>
      </c>
    </row>
    <row r="13396" spans="1:24">
      <c r="A13396">
        <f>HYPERLINK("https://www.philgeps.gov.ph/GEPSNONPILOT/Tender/SplashBidNoticeAbstractUI.aspx?menuIndex=3&amp;refID=7029315&amp;Result=3","7029315")</f>
        <v>0</v>
      </c>
      <c r="B13396" t="s">
        <v>1148</v>
      </c>
      <c r="C13396" t="s">
        <v>16220</v>
      </c>
      <c r="E13396" t="s">
        <v>28295</v>
      </c>
      <c r="F13396" t="s">
        <v>28669</v>
      </c>
      <c r="G13396" t="s">
        <v>28675</v>
      </c>
      <c r="H13396" t="s">
        <v>28686</v>
      </c>
      <c r="I13396" t="s">
        <v>28689</v>
      </c>
      <c r="J13396" t="s">
        <v>29047</v>
      </c>
      <c r="K13396" t="s">
        <v>37209</v>
      </c>
      <c r="M13396" t="s">
        <v>38684</v>
      </c>
      <c r="N13396" t="s">
        <v>41249</v>
      </c>
      <c r="O13396" t="s">
        <v>41250</v>
      </c>
      <c r="P13396">
        <v>0</v>
      </c>
      <c r="Q13396">
        <v>0</v>
      </c>
      <c r="R13396" t="s">
        <v>41278</v>
      </c>
      <c r="S13396" t="s">
        <v>42334</v>
      </c>
      <c r="T13396" t="s">
        <v>42767</v>
      </c>
      <c r="U13396" t="s">
        <v>45549</v>
      </c>
      <c r="W13396" t="s">
        <v>38684</v>
      </c>
      <c r="X13396" t="s">
        <v>41279</v>
      </c>
    </row>
    <row r="13397" spans="1:24">
      <c r="A13397">
        <f>HYPERLINK("https://www.philgeps.gov.ph/GEPSNONPILOT/Tender/SplashBidNoticeAbstractUI.aspx?menuIndex=3&amp;refID=7029351&amp;Result=3","7029351")</f>
        <v>0</v>
      </c>
      <c r="B13397" t="s">
        <v>1148</v>
      </c>
      <c r="C13397" t="s">
        <v>16221</v>
      </c>
      <c r="E13397" t="s">
        <v>28296</v>
      </c>
      <c r="F13397" t="s">
        <v>28669</v>
      </c>
      <c r="G13397" t="s">
        <v>28675</v>
      </c>
      <c r="H13397" t="s">
        <v>28686</v>
      </c>
      <c r="I13397" t="s">
        <v>28689</v>
      </c>
      <c r="J13397" t="s">
        <v>31737</v>
      </c>
      <c r="K13397" t="s">
        <v>37209</v>
      </c>
      <c r="M13397" t="s">
        <v>38684</v>
      </c>
      <c r="N13397" t="s">
        <v>41249</v>
      </c>
      <c r="O13397" t="s">
        <v>41250</v>
      </c>
      <c r="P13397">
        <v>0</v>
      </c>
      <c r="Q13397">
        <v>0</v>
      </c>
      <c r="R13397" t="s">
        <v>41278</v>
      </c>
      <c r="S13397" t="s">
        <v>42334</v>
      </c>
      <c r="T13397" t="s">
        <v>42767</v>
      </c>
      <c r="U13397" t="s">
        <v>45549</v>
      </c>
      <c r="W13397" t="s">
        <v>38684</v>
      </c>
      <c r="X13397" t="s">
        <v>41279</v>
      </c>
    </row>
    <row r="13398" spans="1:24">
      <c r="A13398">
        <f>HYPERLINK("https://www.philgeps.gov.ph/GEPSNONPILOT/Tender/SplashBidNoticeAbstractUI.aspx?menuIndex=3&amp;refID=7029334&amp;Result=3","7029334")</f>
        <v>0</v>
      </c>
      <c r="B13398" t="s">
        <v>1148</v>
      </c>
      <c r="C13398" t="s">
        <v>16222</v>
      </c>
      <c r="E13398" t="s">
        <v>28297</v>
      </c>
      <c r="F13398" t="s">
        <v>28669</v>
      </c>
      <c r="G13398" t="s">
        <v>28675</v>
      </c>
      <c r="H13398" t="s">
        <v>28686</v>
      </c>
      <c r="I13398" t="s">
        <v>28689</v>
      </c>
      <c r="J13398" t="s">
        <v>31737</v>
      </c>
      <c r="K13398" t="s">
        <v>37209</v>
      </c>
      <c r="M13398" t="s">
        <v>38684</v>
      </c>
      <c r="N13398" t="s">
        <v>41249</v>
      </c>
      <c r="O13398" t="s">
        <v>41250</v>
      </c>
      <c r="P13398">
        <v>0</v>
      </c>
      <c r="Q13398">
        <v>0</v>
      </c>
      <c r="R13398" t="s">
        <v>41278</v>
      </c>
      <c r="S13398" t="s">
        <v>42334</v>
      </c>
      <c r="T13398" t="s">
        <v>42767</v>
      </c>
      <c r="U13398" t="s">
        <v>45549</v>
      </c>
      <c r="W13398" t="s">
        <v>38684</v>
      </c>
      <c r="X13398" t="s">
        <v>41279</v>
      </c>
    </row>
    <row r="13399" spans="1:24">
      <c r="A13399">
        <f>HYPERLINK("https://www.philgeps.gov.ph/GEPSNONPILOT/Tender/SplashBidNoticeAbstractUI.aspx?menuIndex=3&amp;refID=7024957&amp;Result=3","7024957")</f>
        <v>0</v>
      </c>
      <c r="B13399" t="s">
        <v>2971</v>
      </c>
      <c r="C13399" t="s">
        <v>16223</v>
      </c>
      <c r="D13399" t="s">
        <v>16665</v>
      </c>
      <c r="E13399" t="s">
        <v>21568</v>
      </c>
      <c r="F13399" t="s">
        <v>28669</v>
      </c>
      <c r="G13399" t="s">
        <v>28675</v>
      </c>
      <c r="H13399" t="s">
        <v>28686</v>
      </c>
      <c r="I13399" t="s">
        <v>28689</v>
      </c>
      <c r="J13399" t="s">
        <v>30575</v>
      </c>
      <c r="K13399" t="s">
        <v>37215</v>
      </c>
      <c r="M13399" t="s">
        <v>40733</v>
      </c>
      <c r="N13399" t="s">
        <v>41249</v>
      </c>
      <c r="O13399" t="s">
        <v>41250</v>
      </c>
      <c r="P13399">
        <v>0</v>
      </c>
      <c r="Q13399">
        <v>0</v>
      </c>
      <c r="R13399" t="s">
        <v>41279</v>
      </c>
      <c r="S13399" t="s">
        <v>42346</v>
      </c>
      <c r="T13399" t="s">
        <v>42727</v>
      </c>
      <c r="U13399" t="s">
        <v>53924</v>
      </c>
      <c r="W13399" t="s">
        <v>40733</v>
      </c>
      <c r="X13399" t="s">
        <v>41280</v>
      </c>
    </row>
    <row r="13400" spans="1:24">
      <c r="A13400">
        <f>HYPERLINK("https://www.philgeps.gov.ph/GEPSNONPILOT/Tender/SplashBidNoticeAbstractUI.aspx?menuIndex=3&amp;refID=7022165&amp;Result=3","7022165")</f>
        <v>0</v>
      </c>
      <c r="B13400" t="s">
        <v>3345</v>
      </c>
      <c r="C13400" t="s">
        <v>16224</v>
      </c>
      <c r="D13400" t="s">
        <v>16616</v>
      </c>
      <c r="E13400" t="s">
        <v>22993</v>
      </c>
      <c r="F13400" t="s">
        <v>28669</v>
      </c>
      <c r="G13400" t="s">
        <v>28675</v>
      </c>
      <c r="H13400" t="s">
        <v>9998</v>
      </c>
      <c r="I13400" t="s">
        <v>7352</v>
      </c>
      <c r="J13400" t="s">
        <v>36968</v>
      </c>
      <c r="K13400" t="s">
        <v>37206</v>
      </c>
      <c r="M13400" t="s">
        <v>41194</v>
      </c>
      <c r="N13400" t="s">
        <v>41249</v>
      </c>
      <c r="O13400" t="s">
        <v>41250</v>
      </c>
      <c r="P13400">
        <v>0</v>
      </c>
      <c r="Q13400">
        <v>0</v>
      </c>
      <c r="R13400" t="s">
        <v>41280</v>
      </c>
      <c r="S13400" t="s">
        <v>42347</v>
      </c>
      <c r="T13400" t="s">
        <v>42701</v>
      </c>
      <c r="U13400" t="s">
        <v>53925</v>
      </c>
      <c r="V13400" t="s">
        <v>55844</v>
      </c>
      <c r="W13400" t="s">
        <v>41194</v>
      </c>
      <c r="X13400" t="s">
        <v>41281</v>
      </c>
    </row>
    <row r="13401" spans="1:24">
      <c r="A13401">
        <f>HYPERLINK("https://www.philgeps.gov.ph/GEPSNONPILOT/Tender/SplashBidNoticeAbstractUI.aspx?menuIndex=3&amp;refID=7029291&amp;Result=3","7029291")</f>
        <v>0</v>
      </c>
      <c r="B13401" t="s">
        <v>1148</v>
      </c>
      <c r="C13401" t="s">
        <v>16225</v>
      </c>
      <c r="E13401" t="s">
        <v>28298</v>
      </c>
      <c r="F13401" t="s">
        <v>28669</v>
      </c>
      <c r="G13401" t="s">
        <v>28675</v>
      </c>
      <c r="H13401" t="s">
        <v>28686</v>
      </c>
      <c r="I13401" t="s">
        <v>28689</v>
      </c>
      <c r="J13401" t="s">
        <v>28850</v>
      </c>
      <c r="K13401" t="s">
        <v>37209</v>
      </c>
      <c r="M13401" t="s">
        <v>38684</v>
      </c>
      <c r="N13401" t="s">
        <v>41249</v>
      </c>
      <c r="O13401" t="s">
        <v>41250</v>
      </c>
      <c r="P13401">
        <v>0</v>
      </c>
      <c r="Q13401">
        <v>1</v>
      </c>
      <c r="R13401" t="s">
        <v>41278</v>
      </c>
      <c r="S13401" t="s">
        <v>42334</v>
      </c>
      <c r="T13401" t="s">
        <v>42767</v>
      </c>
      <c r="U13401" t="s">
        <v>45549</v>
      </c>
      <c r="W13401" t="s">
        <v>38684</v>
      </c>
      <c r="X13401" t="s">
        <v>41279</v>
      </c>
    </row>
    <row r="13402" spans="1:24">
      <c r="A13402">
        <f>HYPERLINK("https://www.philgeps.gov.ph/GEPSNONPILOT/Tender/SplashBidNoticeAbstractUI.aspx?menuIndex=3&amp;refID=7021904&amp;Result=3","7021904")</f>
        <v>0</v>
      </c>
      <c r="B13402" t="s">
        <v>1340</v>
      </c>
      <c r="C13402" t="s">
        <v>16226</v>
      </c>
      <c r="D13402" t="s">
        <v>16621</v>
      </c>
      <c r="E13402" t="s">
        <v>28299</v>
      </c>
      <c r="F13402" t="s">
        <v>28669</v>
      </c>
      <c r="G13402" t="s">
        <v>28675</v>
      </c>
      <c r="H13402" t="s">
        <v>28686</v>
      </c>
      <c r="I13402" t="s">
        <v>28689</v>
      </c>
      <c r="J13402" t="s">
        <v>36969</v>
      </c>
      <c r="K13402" t="s">
        <v>37253</v>
      </c>
      <c r="M13402" t="s">
        <v>40372</v>
      </c>
      <c r="N13402" t="s">
        <v>41249</v>
      </c>
      <c r="O13402" t="s">
        <v>41250</v>
      </c>
      <c r="P13402">
        <v>0</v>
      </c>
      <c r="Q13402">
        <v>1</v>
      </c>
      <c r="R13402" t="s">
        <v>41280</v>
      </c>
      <c r="S13402" t="s">
        <v>42347</v>
      </c>
      <c r="T13402" t="s">
        <v>42704</v>
      </c>
      <c r="U13402" t="s">
        <v>53926</v>
      </c>
      <c r="V13402" t="s">
        <v>55245</v>
      </c>
      <c r="W13402" t="s">
        <v>40372</v>
      </c>
      <c r="X13402" t="s">
        <v>41281</v>
      </c>
    </row>
    <row r="13403" spans="1:24">
      <c r="A13403">
        <f>HYPERLINK("https://www.philgeps.gov.ph/GEPSNONPILOT/Tender/SplashBidNoticeAbstractUI.aspx?menuIndex=3&amp;refID=7021979&amp;Result=3","7021979")</f>
        <v>0</v>
      </c>
      <c r="B13403" t="s">
        <v>3346</v>
      </c>
      <c r="C13403" t="s">
        <v>16227</v>
      </c>
      <c r="D13403" t="s">
        <v>16621</v>
      </c>
      <c r="E13403" t="s">
        <v>28300</v>
      </c>
      <c r="F13403" t="s">
        <v>28669</v>
      </c>
      <c r="G13403" t="s">
        <v>28675</v>
      </c>
      <c r="H13403" t="s">
        <v>28686</v>
      </c>
      <c r="I13403" t="s">
        <v>28689</v>
      </c>
      <c r="J13403" t="s">
        <v>36970</v>
      </c>
      <c r="K13403" t="s">
        <v>37217</v>
      </c>
      <c r="M13403" t="s">
        <v>41195</v>
      </c>
      <c r="N13403" t="s">
        <v>41249</v>
      </c>
      <c r="O13403" t="s">
        <v>41250</v>
      </c>
      <c r="Q13403">
        <v>36</v>
      </c>
      <c r="R13403" t="s">
        <v>41280</v>
      </c>
      <c r="S13403" t="s">
        <v>42348</v>
      </c>
      <c r="T13403" t="s">
        <v>42736</v>
      </c>
      <c r="U13403" t="s">
        <v>53927</v>
      </c>
      <c r="W13403" t="s">
        <v>41195</v>
      </c>
      <c r="X13403" t="s">
        <v>41281</v>
      </c>
    </row>
    <row r="13404" spans="1:24">
      <c r="A13404">
        <f>HYPERLINK("https://www.philgeps.gov.ph/GEPSNONPILOT/Tender/SplashBidNoticeAbstractUI.aspx?menuIndex=3&amp;refID=7021921&amp;Result=3","7021921")</f>
        <v>0</v>
      </c>
      <c r="B13404" t="s">
        <v>3346</v>
      </c>
      <c r="C13404" t="s">
        <v>16228</v>
      </c>
      <c r="D13404" t="s">
        <v>16621</v>
      </c>
      <c r="E13404" t="s">
        <v>28301</v>
      </c>
      <c r="F13404" t="s">
        <v>28669</v>
      </c>
      <c r="G13404" t="s">
        <v>28675</v>
      </c>
      <c r="H13404" t="s">
        <v>28686</v>
      </c>
      <c r="I13404" t="s">
        <v>28689</v>
      </c>
      <c r="J13404" t="s">
        <v>36971</v>
      </c>
      <c r="K13404" t="s">
        <v>37215</v>
      </c>
      <c r="M13404" t="s">
        <v>41195</v>
      </c>
      <c r="N13404" t="s">
        <v>41249</v>
      </c>
      <c r="O13404" t="s">
        <v>41250</v>
      </c>
      <c r="Q13404">
        <v>33</v>
      </c>
      <c r="R13404" t="s">
        <v>41280</v>
      </c>
      <c r="S13404" t="s">
        <v>42349</v>
      </c>
      <c r="T13404" t="s">
        <v>42729</v>
      </c>
      <c r="U13404" t="s">
        <v>53927</v>
      </c>
      <c r="W13404" t="s">
        <v>41195</v>
      </c>
      <c r="X13404" t="s">
        <v>41281</v>
      </c>
    </row>
    <row r="13405" spans="1:24">
      <c r="A13405">
        <f>HYPERLINK("https://www.philgeps.gov.ph/GEPSNONPILOT/Tender/SplashBidNoticeAbstractUI.aspx?menuIndex=3&amp;refID=7029429&amp;Result=3","7029429")</f>
        <v>0</v>
      </c>
      <c r="B13405" t="s">
        <v>1148</v>
      </c>
      <c r="C13405" t="s">
        <v>12579</v>
      </c>
      <c r="E13405" t="s">
        <v>28302</v>
      </c>
      <c r="F13405" t="s">
        <v>28669</v>
      </c>
      <c r="G13405" t="s">
        <v>28675</v>
      </c>
      <c r="H13405" t="s">
        <v>28686</v>
      </c>
      <c r="I13405" t="s">
        <v>28689</v>
      </c>
      <c r="J13405" t="s">
        <v>29112</v>
      </c>
      <c r="K13405" t="s">
        <v>37209</v>
      </c>
      <c r="M13405" t="s">
        <v>38684</v>
      </c>
      <c r="N13405" t="s">
        <v>41249</v>
      </c>
      <c r="O13405" t="s">
        <v>41250</v>
      </c>
      <c r="P13405">
        <v>0</v>
      </c>
      <c r="Q13405">
        <v>0</v>
      </c>
      <c r="R13405" t="s">
        <v>41278</v>
      </c>
      <c r="S13405" t="s">
        <v>42334</v>
      </c>
      <c r="T13405" t="s">
        <v>42767</v>
      </c>
      <c r="U13405" t="s">
        <v>45549</v>
      </c>
      <c r="W13405" t="s">
        <v>38684</v>
      </c>
      <c r="X13405" t="s">
        <v>41279</v>
      </c>
    </row>
    <row r="13406" spans="1:24">
      <c r="A13406">
        <f>HYPERLINK("https://www.philgeps.gov.ph/GEPSNONPILOT/Tender/SplashBidNoticeAbstractUI.aspx?menuIndex=3&amp;refID=7012436&amp;Result=3","7012436")</f>
        <v>0</v>
      </c>
      <c r="B13406" t="s">
        <v>2800</v>
      </c>
      <c r="C13406" t="s">
        <v>16229</v>
      </c>
      <c r="D13406" t="s">
        <v>16615</v>
      </c>
      <c r="E13406" t="s">
        <v>28303</v>
      </c>
      <c r="F13406" t="s">
        <v>28669</v>
      </c>
      <c r="G13406" t="s">
        <v>28675</v>
      </c>
      <c r="H13406" t="s">
        <v>28686</v>
      </c>
      <c r="I13406" t="s">
        <v>28689</v>
      </c>
      <c r="J13406" t="s">
        <v>36972</v>
      </c>
      <c r="K13406" t="s">
        <v>37482</v>
      </c>
      <c r="M13406" t="s">
        <v>40526</v>
      </c>
      <c r="N13406" t="s">
        <v>41249</v>
      </c>
      <c r="O13406" t="s">
        <v>41250</v>
      </c>
      <c r="Q13406">
        <v>25</v>
      </c>
      <c r="R13406" t="s">
        <v>41280</v>
      </c>
      <c r="S13406" t="s">
        <v>42350</v>
      </c>
      <c r="T13406" t="s">
        <v>42736</v>
      </c>
      <c r="U13406" t="s">
        <v>53928</v>
      </c>
      <c r="V13406" t="s">
        <v>46898</v>
      </c>
      <c r="W13406" t="s">
        <v>40526</v>
      </c>
      <c r="X13406" t="s">
        <v>41283</v>
      </c>
    </row>
    <row r="13407" spans="1:24">
      <c r="A13407">
        <f>HYPERLINK("https://www.philgeps.gov.ph/GEPSNONPILOT/Tender/SplashBidNoticeAbstractUI.aspx?menuIndex=3&amp;refID=7012397&amp;Result=3","7012397")</f>
        <v>0</v>
      </c>
      <c r="B13407" t="s">
        <v>2800</v>
      </c>
      <c r="C13407" t="s">
        <v>16230</v>
      </c>
      <c r="D13407" t="s">
        <v>16615</v>
      </c>
      <c r="E13407" t="s">
        <v>28304</v>
      </c>
      <c r="F13407" t="s">
        <v>28669</v>
      </c>
      <c r="G13407" t="s">
        <v>28675</v>
      </c>
      <c r="H13407" t="s">
        <v>28686</v>
      </c>
      <c r="I13407" t="s">
        <v>28689</v>
      </c>
      <c r="J13407" t="s">
        <v>36973</v>
      </c>
      <c r="K13407" t="s">
        <v>37483</v>
      </c>
      <c r="M13407" t="s">
        <v>40526</v>
      </c>
      <c r="N13407" t="s">
        <v>41249</v>
      </c>
      <c r="O13407" t="s">
        <v>41250</v>
      </c>
      <c r="Q13407">
        <v>25</v>
      </c>
      <c r="R13407" t="s">
        <v>41280</v>
      </c>
      <c r="S13407" t="s">
        <v>42351</v>
      </c>
      <c r="T13407" t="s">
        <v>42736</v>
      </c>
      <c r="U13407" t="s">
        <v>53929</v>
      </c>
      <c r="V13407" t="s">
        <v>46898</v>
      </c>
      <c r="W13407" t="s">
        <v>40526</v>
      </c>
      <c r="X13407" t="s">
        <v>41283</v>
      </c>
    </row>
    <row r="13408" spans="1:24">
      <c r="A13408">
        <f>HYPERLINK("https://www.philgeps.gov.ph/GEPSNONPILOT/Tender/SplashBidNoticeAbstractUI.aspx?menuIndex=3&amp;refID=7011563&amp;Result=3","7011563")</f>
        <v>0</v>
      </c>
      <c r="B13408" t="s">
        <v>2800</v>
      </c>
      <c r="C13408" t="s">
        <v>16231</v>
      </c>
      <c r="D13408" t="s">
        <v>16609</v>
      </c>
      <c r="E13408" t="s">
        <v>28305</v>
      </c>
      <c r="F13408" t="s">
        <v>28669</v>
      </c>
      <c r="G13408" t="s">
        <v>28675</v>
      </c>
      <c r="H13408" t="s">
        <v>28686</v>
      </c>
      <c r="I13408" t="s">
        <v>28689</v>
      </c>
      <c r="J13408" t="s">
        <v>36974</v>
      </c>
      <c r="K13408" t="s">
        <v>37277</v>
      </c>
      <c r="M13408" t="s">
        <v>40526</v>
      </c>
      <c r="N13408" t="s">
        <v>41249</v>
      </c>
      <c r="O13408" t="s">
        <v>41250</v>
      </c>
      <c r="Q13408">
        <v>23</v>
      </c>
      <c r="R13408" t="s">
        <v>41280</v>
      </c>
      <c r="S13408" t="s">
        <v>42352</v>
      </c>
      <c r="T13408" t="s">
        <v>42736</v>
      </c>
      <c r="U13408" t="s">
        <v>53930</v>
      </c>
      <c r="V13408" t="s">
        <v>46898</v>
      </c>
      <c r="W13408" t="s">
        <v>40526</v>
      </c>
      <c r="X13408" t="s">
        <v>41285</v>
      </c>
    </row>
    <row r="13409" spans="1:24">
      <c r="A13409">
        <f>HYPERLINK("https://www.philgeps.gov.ph/GEPSNONPILOT/Tender/SplashBidNoticeAbstractUI.aspx?menuIndex=3&amp;refID=7026303&amp;Result=3","7026303")</f>
        <v>0</v>
      </c>
      <c r="B13409" t="s">
        <v>1085</v>
      </c>
      <c r="C13409" t="s">
        <v>16232</v>
      </c>
      <c r="D13409" t="s">
        <v>16611</v>
      </c>
      <c r="E13409" t="s">
        <v>28306</v>
      </c>
      <c r="F13409" t="s">
        <v>28669</v>
      </c>
      <c r="G13409" t="s">
        <v>28675</v>
      </c>
      <c r="H13409" t="s">
        <v>9998</v>
      </c>
      <c r="I13409" t="s">
        <v>6128</v>
      </c>
      <c r="J13409" t="s">
        <v>36975</v>
      </c>
      <c r="K13409" t="s">
        <v>37205</v>
      </c>
      <c r="M13409" t="s">
        <v>38617</v>
      </c>
      <c r="N13409" t="s">
        <v>41249</v>
      </c>
      <c r="O13409" t="s">
        <v>41250</v>
      </c>
      <c r="P13409">
        <v>0</v>
      </c>
      <c r="Q13409">
        <v>2</v>
      </c>
      <c r="R13409" t="s">
        <v>41279</v>
      </c>
      <c r="S13409" t="s">
        <v>42346</v>
      </c>
      <c r="T13409" t="s">
        <v>42729</v>
      </c>
      <c r="U13409" t="s">
        <v>53931</v>
      </c>
      <c r="V13409" t="s">
        <v>55845</v>
      </c>
      <c r="W13409" t="s">
        <v>38617</v>
      </c>
      <c r="X13409" t="s">
        <v>41280</v>
      </c>
    </row>
    <row r="13410" spans="1:24">
      <c r="A13410">
        <f>HYPERLINK("https://www.philgeps.gov.ph/GEPSNONPILOT/Tender/SplashBidNoticeAbstractUI.aspx?menuIndex=3&amp;refID=7026105&amp;Result=3","7026105")</f>
        <v>0</v>
      </c>
      <c r="B13410" t="s">
        <v>1725</v>
      </c>
      <c r="C13410" t="s">
        <v>16233</v>
      </c>
      <c r="D13410" t="s">
        <v>16655</v>
      </c>
      <c r="E13410" t="s">
        <v>28307</v>
      </c>
      <c r="F13410" t="s">
        <v>28669</v>
      </c>
      <c r="G13410" t="s">
        <v>28675</v>
      </c>
      <c r="H13410" t="s">
        <v>28686</v>
      </c>
      <c r="I13410" t="s">
        <v>28689</v>
      </c>
      <c r="J13410" t="s">
        <v>29112</v>
      </c>
      <c r="K13410" t="s">
        <v>37484</v>
      </c>
      <c r="M13410" t="s">
        <v>39324</v>
      </c>
      <c r="N13410" t="s">
        <v>41249</v>
      </c>
      <c r="O13410" t="s">
        <v>41250</v>
      </c>
      <c r="Q13410">
        <v>0</v>
      </c>
      <c r="R13410" t="s">
        <v>41279</v>
      </c>
      <c r="S13410" t="s">
        <v>42353</v>
      </c>
      <c r="T13410" t="s">
        <v>42780</v>
      </c>
      <c r="U13410" t="s">
        <v>53932</v>
      </c>
      <c r="W13410" t="s">
        <v>39324</v>
      </c>
      <c r="X13410" t="s">
        <v>41280</v>
      </c>
    </row>
    <row r="13411" spans="1:24">
      <c r="A13411">
        <f>HYPERLINK("https://www.philgeps.gov.ph/GEPSNONPILOT/Tender/SplashBidNoticeAbstractUI.aspx?menuIndex=3&amp;refID=7026048&amp;Result=3","7026048")</f>
        <v>0</v>
      </c>
      <c r="B13411" t="s">
        <v>2548</v>
      </c>
      <c r="C13411" t="s">
        <v>16234</v>
      </c>
      <c r="D13411" t="s">
        <v>16679</v>
      </c>
      <c r="E13411" t="s">
        <v>28308</v>
      </c>
      <c r="F13411" t="s">
        <v>28669</v>
      </c>
      <c r="G13411" t="s">
        <v>28675</v>
      </c>
      <c r="H13411" t="s">
        <v>9998</v>
      </c>
      <c r="I13411" t="s">
        <v>5286</v>
      </c>
      <c r="J13411" t="s">
        <v>36976</v>
      </c>
      <c r="K13411" t="s">
        <v>37209</v>
      </c>
      <c r="M13411" t="s">
        <v>40240</v>
      </c>
      <c r="N13411" t="s">
        <v>41249</v>
      </c>
      <c r="O13411" t="s">
        <v>41250</v>
      </c>
      <c r="Q13411">
        <v>8</v>
      </c>
      <c r="R13411" t="s">
        <v>41279</v>
      </c>
      <c r="S13411" t="s">
        <v>42354</v>
      </c>
      <c r="T13411" t="s">
        <v>42702</v>
      </c>
      <c r="U13411" t="s">
        <v>53933</v>
      </c>
      <c r="W13411" t="s">
        <v>40240</v>
      </c>
      <c r="X13411" t="s">
        <v>41280</v>
      </c>
    </row>
    <row r="13412" spans="1:24">
      <c r="A13412">
        <f>HYPERLINK("https://www.philgeps.gov.ph/GEPSNONPILOT/Tender/SplashBidNoticeAbstractUI.aspx?menuIndex=3&amp;refID=7022338&amp;Result=3","7022338")</f>
        <v>0</v>
      </c>
      <c r="B13412" t="s">
        <v>3183</v>
      </c>
      <c r="C13412" t="s">
        <v>16235</v>
      </c>
      <c r="D13412" t="s">
        <v>16627</v>
      </c>
      <c r="E13412" t="s">
        <v>28309</v>
      </c>
      <c r="F13412" t="s">
        <v>28669</v>
      </c>
      <c r="G13412" t="s">
        <v>28675</v>
      </c>
      <c r="H13412" t="s">
        <v>9998</v>
      </c>
      <c r="I13412" t="s">
        <v>28787</v>
      </c>
      <c r="J13412" t="s">
        <v>29493</v>
      </c>
      <c r="K13412" t="s">
        <v>37205</v>
      </c>
      <c r="L13412" t="s">
        <v>3183</v>
      </c>
      <c r="M13412" t="s">
        <v>40984</v>
      </c>
      <c r="N13412" t="s">
        <v>41249</v>
      </c>
      <c r="O13412" t="s">
        <v>41250</v>
      </c>
      <c r="Q13412">
        <v>0</v>
      </c>
      <c r="R13412" t="s">
        <v>41280</v>
      </c>
      <c r="S13412" t="s">
        <v>42355</v>
      </c>
      <c r="T13412" t="s">
        <v>42759</v>
      </c>
      <c r="U13412" t="s">
        <v>53934</v>
      </c>
      <c r="W13412" t="s">
        <v>40984</v>
      </c>
      <c r="X13412" t="s">
        <v>41281</v>
      </c>
    </row>
    <row r="13413" spans="1:24">
      <c r="A13413">
        <f>HYPERLINK("https://www.philgeps.gov.ph/GEPSNONPILOT/Tender/SplashBidNoticeAbstractUI.aspx?menuIndex=3&amp;refID=7032376&amp;Result=3","7032376")</f>
        <v>0</v>
      </c>
      <c r="B13413" t="s">
        <v>3321</v>
      </c>
      <c r="C13413" t="s">
        <v>16236</v>
      </c>
      <c r="D13413" t="s">
        <v>16614</v>
      </c>
      <c r="E13413" t="s">
        <v>28310</v>
      </c>
      <c r="F13413" t="s">
        <v>28669</v>
      </c>
      <c r="G13413" t="s">
        <v>28679</v>
      </c>
      <c r="H13413" t="s">
        <v>9998</v>
      </c>
      <c r="I13413" t="s">
        <v>5286</v>
      </c>
      <c r="J13413" t="s">
        <v>36977</v>
      </c>
      <c r="K13413" t="s">
        <v>37213</v>
      </c>
      <c r="M13413" t="s">
        <v>41162</v>
      </c>
      <c r="N13413" t="s">
        <v>41249</v>
      </c>
      <c r="O13413" t="s">
        <v>41250</v>
      </c>
      <c r="Q13413">
        <v>7</v>
      </c>
      <c r="R13413" t="s">
        <v>41275</v>
      </c>
      <c r="S13413" t="s">
        <v>41827</v>
      </c>
      <c r="T13413" t="s">
        <v>42767</v>
      </c>
      <c r="U13413" t="s">
        <v>53935</v>
      </c>
      <c r="W13413" t="s">
        <v>41162</v>
      </c>
      <c r="X13413" t="s">
        <v>41277</v>
      </c>
    </row>
    <row r="13414" spans="1:24">
      <c r="A13414">
        <f>HYPERLINK("https://www.philgeps.gov.ph/GEPSNONPILOT/Tender/SplashBidNoticeAbstractUI.aspx?menuIndex=3&amp;refID=7019924&amp;Result=3","7019924")</f>
        <v>0</v>
      </c>
      <c r="B13414" t="s">
        <v>1879</v>
      </c>
      <c r="C13414" t="s">
        <v>16237</v>
      </c>
      <c r="D13414" t="s">
        <v>16624</v>
      </c>
      <c r="E13414" t="s">
        <v>28311</v>
      </c>
      <c r="F13414" t="s">
        <v>28669</v>
      </c>
      <c r="G13414" t="s">
        <v>28675</v>
      </c>
      <c r="H13414" t="s">
        <v>28686</v>
      </c>
      <c r="I13414" t="s">
        <v>28689</v>
      </c>
      <c r="J13414" t="s">
        <v>31637</v>
      </c>
      <c r="K13414" t="s">
        <v>37473</v>
      </c>
      <c r="M13414" t="s">
        <v>39502</v>
      </c>
      <c r="N13414" t="s">
        <v>41249</v>
      </c>
      <c r="O13414" t="s">
        <v>41250</v>
      </c>
      <c r="Q13414">
        <v>0</v>
      </c>
      <c r="R13414" t="s">
        <v>41281</v>
      </c>
      <c r="S13414" t="s">
        <v>42356</v>
      </c>
      <c r="T13414" t="s">
        <v>42736</v>
      </c>
      <c r="U13414" t="s">
        <v>47782</v>
      </c>
      <c r="W13414" t="s">
        <v>39502</v>
      </c>
      <c r="X13414" t="s">
        <v>41288</v>
      </c>
    </row>
    <row r="13415" spans="1:24">
      <c r="A13415">
        <f>HYPERLINK("https://www.philgeps.gov.ph/GEPSNONPILOT/Tender/SplashBidNoticeAbstractUI.aspx?menuIndex=3&amp;refID=7029406&amp;Result=3","7029406")</f>
        <v>0</v>
      </c>
      <c r="B13415" t="s">
        <v>1148</v>
      </c>
      <c r="C13415" t="s">
        <v>16238</v>
      </c>
      <c r="E13415" t="s">
        <v>28312</v>
      </c>
      <c r="F13415" t="s">
        <v>28669</v>
      </c>
      <c r="G13415" t="s">
        <v>28675</v>
      </c>
      <c r="H13415" t="s">
        <v>28686</v>
      </c>
      <c r="I13415" t="s">
        <v>28689</v>
      </c>
      <c r="J13415" t="s">
        <v>28924</v>
      </c>
      <c r="K13415" t="s">
        <v>37209</v>
      </c>
      <c r="M13415" t="s">
        <v>38684</v>
      </c>
      <c r="N13415" t="s">
        <v>41249</v>
      </c>
      <c r="O13415" t="s">
        <v>41250</v>
      </c>
      <c r="P13415">
        <v>0</v>
      </c>
      <c r="Q13415">
        <v>0</v>
      </c>
      <c r="R13415" t="s">
        <v>41278</v>
      </c>
      <c r="S13415" t="s">
        <v>42334</v>
      </c>
      <c r="T13415" t="s">
        <v>42767</v>
      </c>
      <c r="U13415" t="s">
        <v>45549</v>
      </c>
      <c r="W13415" t="s">
        <v>38684</v>
      </c>
      <c r="X13415" t="s">
        <v>41279</v>
      </c>
    </row>
    <row r="13416" spans="1:24">
      <c r="A13416">
        <f>HYPERLINK("https://www.philgeps.gov.ph/GEPSNONPILOT/Tender/SplashBidNoticeAbstractUI.aspx?menuIndex=3&amp;refID=7012580&amp;Result=3","7012580")</f>
        <v>0</v>
      </c>
      <c r="B13416" t="s">
        <v>2800</v>
      </c>
      <c r="C13416" t="s">
        <v>16239</v>
      </c>
      <c r="D13416" t="s">
        <v>16615</v>
      </c>
      <c r="E13416" t="s">
        <v>28313</v>
      </c>
      <c r="F13416" t="s">
        <v>28669</v>
      </c>
      <c r="G13416" t="s">
        <v>28675</v>
      </c>
      <c r="H13416" t="s">
        <v>28686</v>
      </c>
      <c r="I13416" t="s">
        <v>28689</v>
      </c>
      <c r="J13416" t="s">
        <v>36978</v>
      </c>
      <c r="K13416" t="s">
        <v>37355</v>
      </c>
      <c r="M13416" t="s">
        <v>40526</v>
      </c>
      <c r="N13416" t="s">
        <v>41249</v>
      </c>
      <c r="O13416" t="s">
        <v>41250</v>
      </c>
      <c r="Q13416">
        <v>19</v>
      </c>
      <c r="R13416" t="s">
        <v>41280</v>
      </c>
      <c r="S13416" t="s">
        <v>42166</v>
      </c>
      <c r="T13416" t="s">
        <v>42679</v>
      </c>
      <c r="U13416" t="s">
        <v>53936</v>
      </c>
      <c r="V13416" t="s">
        <v>46898</v>
      </c>
      <c r="W13416" t="s">
        <v>40526</v>
      </c>
      <c r="X13416" t="s">
        <v>41283</v>
      </c>
    </row>
    <row r="13417" spans="1:24">
      <c r="A13417">
        <f>HYPERLINK("https://www.philgeps.gov.ph/GEPSNONPILOT/Tender/SplashBidNoticeAbstractUI.aspx?menuIndex=3&amp;refID=7019297&amp;Result=3","7019297")</f>
        <v>0</v>
      </c>
      <c r="B13417" t="s">
        <v>1133</v>
      </c>
      <c r="C13417" t="s">
        <v>16240</v>
      </c>
      <c r="D13417" t="s">
        <v>16647</v>
      </c>
      <c r="E13417" t="s">
        <v>28314</v>
      </c>
      <c r="F13417" t="s">
        <v>28669</v>
      </c>
      <c r="G13417" t="s">
        <v>28675</v>
      </c>
      <c r="H13417" t="s">
        <v>9998</v>
      </c>
      <c r="I13417" t="s">
        <v>28689</v>
      </c>
      <c r="J13417" t="s">
        <v>36979</v>
      </c>
      <c r="K13417" t="s">
        <v>37216</v>
      </c>
      <c r="M13417" t="s">
        <v>38667</v>
      </c>
      <c r="N13417" t="s">
        <v>41249</v>
      </c>
      <c r="O13417" t="s">
        <v>41250</v>
      </c>
      <c r="P13417">
        <v>0</v>
      </c>
      <c r="Q13417">
        <v>7</v>
      </c>
      <c r="R13417" t="s">
        <v>41281</v>
      </c>
      <c r="S13417" t="s">
        <v>42357</v>
      </c>
      <c r="T13417" t="s">
        <v>43081</v>
      </c>
      <c r="U13417" t="s">
        <v>53937</v>
      </c>
      <c r="W13417" t="s">
        <v>38667</v>
      </c>
      <c r="X13417" t="s">
        <v>41288</v>
      </c>
    </row>
    <row r="13418" spans="1:24">
      <c r="A13418">
        <f>HYPERLINK("https://www.philgeps.gov.ph/GEPSNONPILOT/Tender/SplashBidNoticeAbstractUI.aspx?menuIndex=3&amp;refID=7031875&amp;Result=3","7031875")</f>
        <v>0</v>
      </c>
      <c r="B13418" t="s">
        <v>3343</v>
      </c>
      <c r="C13418" t="s">
        <v>16241</v>
      </c>
      <c r="D13418" t="s">
        <v>16622</v>
      </c>
      <c r="E13418" t="s">
        <v>16799</v>
      </c>
      <c r="F13418" t="s">
        <v>28669</v>
      </c>
      <c r="G13418" t="s">
        <v>28675</v>
      </c>
      <c r="H13418" t="s">
        <v>28686</v>
      </c>
      <c r="I13418" t="s">
        <v>28689</v>
      </c>
      <c r="J13418" t="s">
        <v>28826</v>
      </c>
      <c r="K13418" t="s">
        <v>37206</v>
      </c>
      <c r="M13418" t="s">
        <v>41192</v>
      </c>
      <c r="N13418" t="s">
        <v>41249</v>
      </c>
      <c r="O13418" t="s">
        <v>41250</v>
      </c>
      <c r="P13418">
        <v>0</v>
      </c>
      <c r="Q13418">
        <v>0</v>
      </c>
      <c r="R13418" t="s">
        <v>41276</v>
      </c>
      <c r="S13418" t="s">
        <v>42328</v>
      </c>
      <c r="T13418" t="s">
        <v>42716</v>
      </c>
      <c r="U13418" t="s">
        <v>53938</v>
      </c>
      <c r="V13418" t="s">
        <v>53938</v>
      </c>
      <c r="W13418" t="s">
        <v>41192</v>
      </c>
      <c r="X13418" t="s">
        <v>41278</v>
      </c>
    </row>
    <row r="13419" spans="1:24">
      <c r="A13419">
        <f>HYPERLINK("https://www.philgeps.gov.ph/GEPSNONPILOT/Tender/SplashBidNoticeAbstractUI.aspx?menuIndex=3&amp;refID=7018242&amp;Result=3","7018242")</f>
        <v>0</v>
      </c>
      <c r="B13419" t="s">
        <v>688</v>
      </c>
      <c r="C13419" t="s">
        <v>16242</v>
      </c>
      <c r="D13419" t="s">
        <v>16619</v>
      </c>
      <c r="E13419" t="s">
        <v>28315</v>
      </c>
      <c r="F13419" t="s">
        <v>28669</v>
      </c>
      <c r="G13419" t="s">
        <v>28675</v>
      </c>
      <c r="H13419" t="s">
        <v>28686</v>
      </c>
      <c r="I13419" t="s">
        <v>28689</v>
      </c>
      <c r="J13419" t="s">
        <v>36980</v>
      </c>
      <c r="K13419" t="s">
        <v>37335</v>
      </c>
      <c r="M13419" t="s">
        <v>39665</v>
      </c>
      <c r="N13419" t="s">
        <v>41249</v>
      </c>
      <c r="O13419" t="s">
        <v>41250</v>
      </c>
      <c r="Q13419">
        <v>5</v>
      </c>
      <c r="R13419" t="s">
        <v>41281</v>
      </c>
      <c r="S13419" t="s">
        <v>41424</v>
      </c>
      <c r="T13419" t="s">
        <v>42896</v>
      </c>
      <c r="U13419" t="s">
        <v>53939</v>
      </c>
      <c r="W13419" t="s">
        <v>39665</v>
      </c>
      <c r="X13419" t="s">
        <v>41368</v>
      </c>
    </row>
    <row r="13420" spans="1:24">
      <c r="A13420">
        <f>HYPERLINK("https://www.philgeps.gov.ph/GEPSNONPILOT/Tender/SplashBidNoticeAbstractUI.aspx?menuIndex=3&amp;refID=7019854&amp;Result=3","7019854")</f>
        <v>0</v>
      </c>
      <c r="B13420" t="s">
        <v>945</v>
      </c>
      <c r="C13420" t="s">
        <v>16243</v>
      </c>
      <c r="D13420" t="s">
        <v>16608</v>
      </c>
      <c r="E13420" t="s">
        <v>18419</v>
      </c>
      <c r="F13420" t="s">
        <v>28669</v>
      </c>
      <c r="G13420" t="s">
        <v>28679</v>
      </c>
      <c r="H13420" t="s">
        <v>9998</v>
      </c>
      <c r="I13420" t="s">
        <v>28695</v>
      </c>
      <c r="J13420" t="s">
        <v>36981</v>
      </c>
      <c r="K13420" t="s">
        <v>37397</v>
      </c>
      <c r="M13420" t="s">
        <v>38469</v>
      </c>
      <c r="N13420" t="s">
        <v>41249</v>
      </c>
      <c r="O13420" t="s">
        <v>41250</v>
      </c>
      <c r="Q13420">
        <v>7</v>
      </c>
      <c r="R13420" t="s">
        <v>41281</v>
      </c>
      <c r="S13420" t="s">
        <v>42358</v>
      </c>
      <c r="T13420" t="s">
        <v>42736</v>
      </c>
      <c r="U13420" t="s">
        <v>53940</v>
      </c>
      <c r="W13420" t="s">
        <v>38469</v>
      </c>
      <c r="X13420" t="s">
        <v>41288</v>
      </c>
    </row>
    <row r="13421" spans="1:24">
      <c r="A13421">
        <f>HYPERLINK("https://www.philgeps.gov.ph/GEPSNONPILOT/Tender/SplashBidNoticeAbstractUI.aspx?menuIndex=3&amp;refID=7023397&amp;Result=3","7023397")</f>
        <v>0</v>
      </c>
      <c r="B13421" t="s">
        <v>2004</v>
      </c>
      <c r="C13421" t="s">
        <v>16244</v>
      </c>
      <c r="D13421" t="s">
        <v>16661</v>
      </c>
      <c r="E13421" t="s">
        <v>28316</v>
      </c>
      <c r="F13421" t="s">
        <v>28669</v>
      </c>
      <c r="G13421" t="s">
        <v>28677</v>
      </c>
      <c r="H13421" t="s">
        <v>9998</v>
      </c>
      <c r="I13421" t="s">
        <v>28694</v>
      </c>
      <c r="J13421" t="s">
        <v>36982</v>
      </c>
      <c r="K13421" t="s">
        <v>37209</v>
      </c>
      <c r="M13421" t="s">
        <v>39642</v>
      </c>
      <c r="N13421" t="s">
        <v>41249</v>
      </c>
      <c r="O13421" t="s">
        <v>41250</v>
      </c>
      <c r="Q13421">
        <v>0</v>
      </c>
      <c r="R13421" t="s">
        <v>41280</v>
      </c>
      <c r="S13421" t="s">
        <v>42359</v>
      </c>
      <c r="T13421" t="s">
        <v>42701</v>
      </c>
      <c r="U13421" t="s">
        <v>53941</v>
      </c>
      <c r="W13421" t="s">
        <v>39642</v>
      </c>
      <c r="X13421" t="s">
        <v>41281</v>
      </c>
    </row>
    <row r="13422" spans="1:24">
      <c r="A13422">
        <f>HYPERLINK("https://www.philgeps.gov.ph/GEPSNONPILOT/Tender/SplashBidNoticeAbstractUI.aspx?menuIndex=3&amp;refID=7019567&amp;Result=3","7019567")</f>
        <v>0</v>
      </c>
      <c r="B13422" t="s">
        <v>2295</v>
      </c>
      <c r="C13422" t="s">
        <v>16245</v>
      </c>
      <c r="D13422" t="s">
        <v>16672</v>
      </c>
      <c r="E13422" t="s">
        <v>28317</v>
      </c>
      <c r="F13422" t="s">
        <v>28669</v>
      </c>
      <c r="G13422" t="s">
        <v>28676</v>
      </c>
      <c r="H13422" t="s">
        <v>9998</v>
      </c>
      <c r="I13422" t="s">
        <v>28722</v>
      </c>
      <c r="J13422" t="s">
        <v>28905</v>
      </c>
      <c r="K13422" t="s">
        <v>37205</v>
      </c>
      <c r="M13422" t="s">
        <v>39952</v>
      </c>
      <c r="N13422" t="s">
        <v>41249</v>
      </c>
      <c r="O13422" t="s">
        <v>41250</v>
      </c>
      <c r="Q13422">
        <v>4</v>
      </c>
      <c r="R13422" t="s">
        <v>41281</v>
      </c>
      <c r="S13422" t="s">
        <v>42360</v>
      </c>
      <c r="T13422" t="s">
        <v>42727</v>
      </c>
      <c r="U13422" t="s">
        <v>53942</v>
      </c>
      <c r="W13422" t="s">
        <v>39952</v>
      </c>
      <c r="X13422" t="s">
        <v>41288</v>
      </c>
    </row>
    <row r="13423" spans="1:24">
      <c r="A13423">
        <f>HYPERLINK("https://www.philgeps.gov.ph/GEPSNONPILOT/Tender/SplashBidNoticeAbstractUI.aspx?menuIndex=3&amp;refID=7023329&amp;Result=3","7023329")</f>
        <v>0</v>
      </c>
      <c r="B13423" t="s">
        <v>1606</v>
      </c>
      <c r="C13423" t="s">
        <v>16246</v>
      </c>
      <c r="E13423" t="s">
        <v>28318</v>
      </c>
      <c r="F13423" t="s">
        <v>28669</v>
      </c>
      <c r="G13423" t="s">
        <v>28675</v>
      </c>
      <c r="H13423" t="s">
        <v>28684</v>
      </c>
      <c r="I13423" t="s">
        <v>10128</v>
      </c>
      <c r="J13423" t="s">
        <v>36983</v>
      </c>
      <c r="K13423" t="s">
        <v>37485</v>
      </c>
      <c r="M13423" t="s">
        <v>41015</v>
      </c>
      <c r="N13423" t="s">
        <v>41249</v>
      </c>
      <c r="O13423" t="s">
        <v>41250</v>
      </c>
      <c r="Q13423">
        <v>8</v>
      </c>
      <c r="R13423" t="s">
        <v>41280</v>
      </c>
      <c r="S13423" t="s">
        <v>42361</v>
      </c>
      <c r="T13423" t="s">
        <v>42721</v>
      </c>
      <c r="U13423" t="s">
        <v>53943</v>
      </c>
      <c r="W13423" t="s">
        <v>41015</v>
      </c>
      <c r="X13423" t="s">
        <v>41281</v>
      </c>
    </row>
    <row r="13424" spans="1:24">
      <c r="A13424">
        <f>HYPERLINK("https://www.philgeps.gov.ph/GEPSNONPILOT/Tender/SplashBidNoticeAbstractUI.aspx?menuIndex=3&amp;refID=7023213&amp;Result=3","7023213")</f>
        <v>0</v>
      </c>
      <c r="B13424" t="s">
        <v>2004</v>
      </c>
      <c r="C13424" t="s">
        <v>16247</v>
      </c>
      <c r="D13424" t="s">
        <v>16661</v>
      </c>
      <c r="E13424" t="s">
        <v>28319</v>
      </c>
      <c r="F13424" t="s">
        <v>28669</v>
      </c>
      <c r="G13424" t="s">
        <v>28677</v>
      </c>
      <c r="H13424" t="s">
        <v>28684</v>
      </c>
      <c r="I13424" t="s">
        <v>28777</v>
      </c>
      <c r="J13424" t="s">
        <v>36984</v>
      </c>
      <c r="K13424" t="s">
        <v>37245</v>
      </c>
      <c r="M13424" t="s">
        <v>39642</v>
      </c>
      <c r="N13424" t="s">
        <v>41249</v>
      </c>
      <c r="O13424" t="s">
        <v>41250</v>
      </c>
      <c r="Q13424">
        <v>2</v>
      </c>
      <c r="R13424" t="s">
        <v>41280</v>
      </c>
      <c r="S13424" t="s">
        <v>42362</v>
      </c>
      <c r="T13424" t="s">
        <v>42675</v>
      </c>
      <c r="U13424" t="s">
        <v>53944</v>
      </c>
      <c r="W13424" t="s">
        <v>39642</v>
      </c>
      <c r="X13424" t="s">
        <v>41281</v>
      </c>
    </row>
    <row r="13425" spans="1:24">
      <c r="A13425">
        <f>HYPERLINK("https://www.philgeps.gov.ph/GEPSNONPILOT/Tender/SplashBidNoticeAbstractUI.aspx?menuIndex=3&amp;refID=7019405&amp;Result=3","7019405")</f>
        <v>0</v>
      </c>
      <c r="B13425" t="s">
        <v>3317</v>
      </c>
      <c r="C13425" t="s">
        <v>16248</v>
      </c>
      <c r="D13425" t="s">
        <v>16616</v>
      </c>
      <c r="E13425" t="s">
        <v>28320</v>
      </c>
      <c r="F13425" t="s">
        <v>28669</v>
      </c>
      <c r="G13425" t="s">
        <v>28675</v>
      </c>
      <c r="H13425" t="s">
        <v>9998</v>
      </c>
      <c r="I13425" t="s">
        <v>3718</v>
      </c>
      <c r="J13425" t="s">
        <v>35691</v>
      </c>
      <c r="K13425" t="s">
        <v>37210</v>
      </c>
      <c r="M13425" t="s">
        <v>41157</v>
      </c>
      <c r="N13425" t="s">
        <v>41249</v>
      </c>
      <c r="O13425" t="s">
        <v>41250</v>
      </c>
      <c r="P13425">
        <v>0</v>
      </c>
      <c r="Q13425">
        <v>5</v>
      </c>
      <c r="R13425" t="s">
        <v>41281</v>
      </c>
      <c r="S13425" t="s">
        <v>42357</v>
      </c>
      <c r="T13425" t="s">
        <v>42803</v>
      </c>
      <c r="U13425" t="s">
        <v>53704</v>
      </c>
      <c r="W13425" t="s">
        <v>56034</v>
      </c>
      <c r="X13425" t="s">
        <v>41288</v>
      </c>
    </row>
    <row r="13426" spans="1:24">
      <c r="A13426">
        <f>HYPERLINK("https://www.philgeps.gov.ph/GEPSNONPILOT/Tender/SplashBidNoticeAbstractUI.aspx?menuIndex=3&amp;refID=7022812&amp;Result=3","7022812")</f>
        <v>0</v>
      </c>
      <c r="B13426" t="s">
        <v>3134</v>
      </c>
      <c r="C13426" t="s">
        <v>16249</v>
      </c>
      <c r="D13426" t="s">
        <v>16608</v>
      </c>
      <c r="E13426" t="s">
        <v>28321</v>
      </c>
      <c r="F13426" t="s">
        <v>28669</v>
      </c>
      <c r="G13426" t="s">
        <v>28678</v>
      </c>
      <c r="H13426" t="s">
        <v>9998</v>
      </c>
      <c r="I13426" t="s">
        <v>28694</v>
      </c>
      <c r="J13426" t="s">
        <v>36985</v>
      </c>
      <c r="K13426" t="s">
        <v>37205</v>
      </c>
      <c r="M13426" t="s">
        <v>41169</v>
      </c>
      <c r="N13426" t="s">
        <v>41249</v>
      </c>
      <c r="O13426" t="s">
        <v>41250</v>
      </c>
      <c r="Q13426">
        <v>5</v>
      </c>
      <c r="R13426" t="s">
        <v>41280</v>
      </c>
      <c r="S13426" t="s">
        <v>42363</v>
      </c>
      <c r="T13426" t="s">
        <v>42757</v>
      </c>
      <c r="U13426" t="s">
        <v>53945</v>
      </c>
      <c r="W13426" t="s">
        <v>41169</v>
      </c>
      <c r="X13426" t="s">
        <v>41281</v>
      </c>
    </row>
    <row r="13427" spans="1:24">
      <c r="A13427">
        <f>HYPERLINK("https://www.philgeps.gov.ph/GEPSNONPILOT/Tender/SplashBidNoticeAbstractUI.aspx?menuIndex=3&amp;refID=7018226&amp;Result=3","7018226")</f>
        <v>0</v>
      </c>
      <c r="B13427" t="s">
        <v>688</v>
      </c>
      <c r="C13427" t="s">
        <v>16250</v>
      </c>
      <c r="D13427" t="s">
        <v>16619</v>
      </c>
      <c r="E13427" t="s">
        <v>28322</v>
      </c>
      <c r="F13427" t="s">
        <v>28669</v>
      </c>
      <c r="G13427" t="s">
        <v>28675</v>
      </c>
      <c r="H13427" t="s">
        <v>28686</v>
      </c>
      <c r="I13427" t="s">
        <v>28689</v>
      </c>
      <c r="J13427" t="s">
        <v>36986</v>
      </c>
      <c r="K13427" t="s">
        <v>37211</v>
      </c>
      <c r="M13427" t="s">
        <v>39665</v>
      </c>
      <c r="N13427" t="s">
        <v>41249</v>
      </c>
      <c r="O13427" t="s">
        <v>41250</v>
      </c>
      <c r="Q13427">
        <v>4</v>
      </c>
      <c r="R13427" t="s">
        <v>41282</v>
      </c>
      <c r="S13427" t="s">
        <v>41863</v>
      </c>
      <c r="T13427" t="s">
        <v>42896</v>
      </c>
      <c r="U13427" t="s">
        <v>53946</v>
      </c>
      <c r="W13427" t="s">
        <v>39665</v>
      </c>
      <c r="X13427" t="s">
        <v>41368</v>
      </c>
    </row>
    <row r="13428" spans="1:24">
      <c r="A13428">
        <f>HYPERLINK("https://www.philgeps.gov.ph/GEPSNONPILOT/Tender/SplashBidNoticeAbstractUI.aspx?menuIndex=3&amp;refID=7019667&amp;Result=3","7019667")</f>
        <v>0</v>
      </c>
      <c r="B13428" t="s">
        <v>2295</v>
      </c>
      <c r="C13428" t="s">
        <v>16251</v>
      </c>
      <c r="D13428" t="s">
        <v>16672</v>
      </c>
      <c r="E13428" t="s">
        <v>28323</v>
      </c>
      <c r="F13428" t="s">
        <v>28669</v>
      </c>
      <c r="G13428" t="s">
        <v>28676</v>
      </c>
      <c r="H13428" t="s">
        <v>9998</v>
      </c>
      <c r="I13428" t="s">
        <v>28736</v>
      </c>
      <c r="J13428" t="s">
        <v>36987</v>
      </c>
      <c r="K13428" t="s">
        <v>37206</v>
      </c>
      <c r="M13428" t="s">
        <v>39952</v>
      </c>
      <c r="N13428" t="s">
        <v>41249</v>
      </c>
      <c r="O13428" t="s">
        <v>41250</v>
      </c>
      <c r="Q13428">
        <v>1</v>
      </c>
      <c r="R13428" t="s">
        <v>41281</v>
      </c>
      <c r="S13428" t="s">
        <v>42136</v>
      </c>
      <c r="T13428" t="s">
        <v>42736</v>
      </c>
      <c r="U13428" t="s">
        <v>53947</v>
      </c>
      <c r="W13428" t="s">
        <v>39952</v>
      </c>
      <c r="X13428" t="s">
        <v>41288</v>
      </c>
    </row>
    <row r="13429" spans="1:24">
      <c r="A13429">
        <f>HYPERLINK("https://www.philgeps.gov.ph/GEPSNONPILOT/Tender/SplashBidNoticeAbstractUI.aspx?menuIndex=3&amp;refID=7023691&amp;Result=3","7023691")</f>
        <v>0</v>
      </c>
      <c r="B13429" t="s">
        <v>2331</v>
      </c>
      <c r="C13429" t="s">
        <v>16252</v>
      </c>
      <c r="D13429" t="s">
        <v>16657</v>
      </c>
      <c r="E13429" t="s">
        <v>28324</v>
      </c>
      <c r="F13429" t="s">
        <v>28669</v>
      </c>
      <c r="G13429" t="s">
        <v>28675</v>
      </c>
      <c r="H13429" t="s">
        <v>28686</v>
      </c>
      <c r="I13429" t="s">
        <v>28689</v>
      </c>
      <c r="J13429" t="s">
        <v>30503</v>
      </c>
      <c r="K13429" t="s">
        <v>37215</v>
      </c>
      <c r="M13429" t="s">
        <v>39993</v>
      </c>
      <c r="N13429" t="s">
        <v>41249</v>
      </c>
      <c r="O13429" t="s">
        <v>41250</v>
      </c>
      <c r="Q13429">
        <v>31</v>
      </c>
      <c r="R13429" t="s">
        <v>41280</v>
      </c>
      <c r="S13429" t="s">
        <v>42364</v>
      </c>
      <c r="T13429" t="s">
        <v>42679</v>
      </c>
      <c r="U13429" t="s">
        <v>51311</v>
      </c>
      <c r="V13429" t="s">
        <v>55107</v>
      </c>
      <c r="W13429" t="s">
        <v>39993</v>
      </c>
      <c r="X13429" t="s">
        <v>41281</v>
      </c>
    </row>
    <row r="13430" spans="1:24">
      <c r="A13430">
        <f>HYPERLINK("https://www.philgeps.gov.ph/GEPSNONPILOT/Tender/SplashBidNoticeAbstractUI.aspx?menuIndex=3&amp;refID=7016786&amp;Result=3","7016786")</f>
        <v>0</v>
      </c>
      <c r="B13430" t="s">
        <v>1231</v>
      </c>
      <c r="C13430" t="s">
        <v>16253</v>
      </c>
      <c r="D13430" t="s">
        <v>16661</v>
      </c>
      <c r="E13430" t="s">
        <v>28325</v>
      </c>
      <c r="F13430" t="s">
        <v>28669</v>
      </c>
      <c r="G13430" t="s">
        <v>28676</v>
      </c>
      <c r="H13430" t="s">
        <v>9998</v>
      </c>
      <c r="I13430" t="s">
        <v>28722</v>
      </c>
      <c r="J13430" t="s">
        <v>36988</v>
      </c>
      <c r="K13430" t="s">
        <v>37209</v>
      </c>
      <c r="M13430" t="s">
        <v>38776</v>
      </c>
      <c r="N13430" t="s">
        <v>41249</v>
      </c>
      <c r="O13430" t="s">
        <v>41250</v>
      </c>
      <c r="P13430">
        <v>0</v>
      </c>
      <c r="Q13430">
        <v>1</v>
      </c>
      <c r="R13430" t="s">
        <v>41280</v>
      </c>
      <c r="S13430" t="s">
        <v>42347</v>
      </c>
      <c r="T13430" t="s">
        <v>42694</v>
      </c>
      <c r="U13430" t="s">
        <v>53948</v>
      </c>
      <c r="W13430" t="s">
        <v>38776</v>
      </c>
      <c r="X13430" t="s">
        <v>41368</v>
      </c>
    </row>
    <row r="13431" spans="1:24">
      <c r="A13431">
        <f>HYPERLINK("https://www.philgeps.gov.ph/GEPSNONPILOT/Tender/SplashBidNoticeAbstractUI.aspx?menuIndex=3&amp;refID=7026321&amp;Result=3","7026321")</f>
        <v>0</v>
      </c>
      <c r="B13431" t="s">
        <v>1947</v>
      </c>
      <c r="C13431" t="s">
        <v>16254</v>
      </c>
      <c r="D13431" t="s">
        <v>16626</v>
      </c>
      <c r="E13431" t="s">
        <v>28326</v>
      </c>
      <c r="F13431" t="s">
        <v>28669</v>
      </c>
      <c r="G13431" t="s">
        <v>28675</v>
      </c>
      <c r="H13431" t="s">
        <v>9998</v>
      </c>
      <c r="I13431" t="s">
        <v>28687</v>
      </c>
      <c r="J13431" t="s">
        <v>36989</v>
      </c>
      <c r="K13431" t="s">
        <v>37206</v>
      </c>
      <c r="M13431" t="s">
        <v>39577</v>
      </c>
      <c r="N13431" t="s">
        <v>41249</v>
      </c>
      <c r="O13431" t="s">
        <v>41250</v>
      </c>
      <c r="Q13431">
        <v>9</v>
      </c>
      <c r="R13431" t="s">
        <v>41279</v>
      </c>
      <c r="S13431" t="s">
        <v>42365</v>
      </c>
      <c r="T13431" t="s">
        <v>42758</v>
      </c>
      <c r="U13431" t="s">
        <v>53949</v>
      </c>
      <c r="W13431" t="s">
        <v>39577</v>
      </c>
      <c r="X13431" t="s">
        <v>41280</v>
      </c>
    </row>
    <row r="13432" spans="1:24">
      <c r="A13432">
        <f>HYPERLINK("https://www.philgeps.gov.ph/GEPSNONPILOT/Tender/SplashBidNoticeAbstractUI.aspx?menuIndex=3&amp;refID=7018161&amp;Result=3","7018161")</f>
        <v>0</v>
      </c>
      <c r="B13432" t="s">
        <v>688</v>
      </c>
      <c r="C13432" t="s">
        <v>16255</v>
      </c>
      <c r="D13432" t="s">
        <v>16619</v>
      </c>
      <c r="E13432" t="s">
        <v>28327</v>
      </c>
      <c r="F13432" t="s">
        <v>28669</v>
      </c>
      <c r="G13432" t="s">
        <v>28675</v>
      </c>
      <c r="H13432" t="s">
        <v>28686</v>
      </c>
      <c r="I13432" t="s">
        <v>28689</v>
      </c>
      <c r="J13432" t="s">
        <v>36990</v>
      </c>
      <c r="K13432" t="s">
        <v>37215</v>
      </c>
      <c r="M13432" t="s">
        <v>39665</v>
      </c>
      <c r="N13432" t="s">
        <v>41249</v>
      </c>
      <c r="O13432" t="s">
        <v>41250</v>
      </c>
      <c r="Q13432">
        <v>6</v>
      </c>
      <c r="R13432" t="s">
        <v>41282</v>
      </c>
      <c r="S13432" t="s">
        <v>42047</v>
      </c>
      <c r="T13432" t="s">
        <v>42896</v>
      </c>
      <c r="U13432" t="s">
        <v>53950</v>
      </c>
      <c r="W13432" t="s">
        <v>39665</v>
      </c>
      <c r="X13432" t="s">
        <v>41368</v>
      </c>
    </row>
    <row r="13433" spans="1:24">
      <c r="A13433">
        <f>HYPERLINK("https://www.philgeps.gov.ph/GEPSNONPILOT/Tender/SplashBidNoticeAbstractUI.aspx?menuIndex=3&amp;refID=7018114&amp;Result=3","7018114")</f>
        <v>0</v>
      </c>
      <c r="B13433" t="s">
        <v>688</v>
      </c>
      <c r="C13433" t="s">
        <v>16256</v>
      </c>
      <c r="D13433" t="s">
        <v>16619</v>
      </c>
      <c r="E13433" t="s">
        <v>28328</v>
      </c>
      <c r="F13433" t="s">
        <v>28669</v>
      </c>
      <c r="G13433" t="s">
        <v>28675</v>
      </c>
      <c r="H13433" t="s">
        <v>28686</v>
      </c>
      <c r="I13433" t="s">
        <v>28689</v>
      </c>
      <c r="J13433" t="s">
        <v>30929</v>
      </c>
      <c r="K13433" t="s">
        <v>37486</v>
      </c>
      <c r="M13433" t="s">
        <v>39665</v>
      </c>
      <c r="N13433" t="s">
        <v>41249</v>
      </c>
      <c r="O13433" t="s">
        <v>41250</v>
      </c>
      <c r="Q13433">
        <v>2</v>
      </c>
      <c r="R13433" t="s">
        <v>41282</v>
      </c>
      <c r="S13433" t="s">
        <v>42051</v>
      </c>
      <c r="T13433" t="s">
        <v>42896</v>
      </c>
      <c r="U13433" t="s">
        <v>53951</v>
      </c>
      <c r="W13433" t="s">
        <v>39665</v>
      </c>
      <c r="X13433" t="s">
        <v>41368</v>
      </c>
    </row>
    <row r="13434" spans="1:24">
      <c r="A13434">
        <f>HYPERLINK("https://www.philgeps.gov.ph/GEPSNONPILOT/Tender/SplashBidNoticeAbstractUI.aspx?menuIndex=3&amp;refID=7018207&amp;Result=3","7018207")</f>
        <v>0</v>
      </c>
      <c r="B13434" t="s">
        <v>688</v>
      </c>
      <c r="C13434" t="s">
        <v>16257</v>
      </c>
      <c r="D13434" t="s">
        <v>16619</v>
      </c>
      <c r="E13434" t="s">
        <v>28329</v>
      </c>
      <c r="F13434" t="s">
        <v>28669</v>
      </c>
      <c r="G13434" t="s">
        <v>28675</v>
      </c>
      <c r="H13434" t="s">
        <v>28686</v>
      </c>
      <c r="I13434" t="s">
        <v>28689</v>
      </c>
      <c r="J13434" t="s">
        <v>30559</v>
      </c>
      <c r="K13434" t="s">
        <v>37213</v>
      </c>
      <c r="M13434" t="s">
        <v>39665</v>
      </c>
      <c r="N13434" t="s">
        <v>41249</v>
      </c>
      <c r="O13434" t="s">
        <v>41250</v>
      </c>
      <c r="Q13434">
        <v>3</v>
      </c>
      <c r="R13434" t="s">
        <v>41282</v>
      </c>
      <c r="S13434" t="s">
        <v>42366</v>
      </c>
      <c r="T13434" t="s">
        <v>42896</v>
      </c>
      <c r="U13434" t="s">
        <v>53952</v>
      </c>
      <c r="W13434" t="s">
        <v>39665</v>
      </c>
      <c r="X13434" t="s">
        <v>41368</v>
      </c>
    </row>
    <row r="13435" spans="1:24">
      <c r="A13435">
        <f>HYPERLINK("https://www.philgeps.gov.ph/GEPSNONPILOT/Tender/SplashBidNoticeAbstractUI.aspx?menuIndex=3&amp;refID=7018196&amp;Result=3","7018196")</f>
        <v>0</v>
      </c>
      <c r="B13435" t="s">
        <v>688</v>
      </c>
      <c r="C13435" t="s">
        <v>16258</v>
      </c>
      <c r="D13435" t="s">
        <v>16619</v>
      </c>
      <c r="E13435" t="s">
        <v>28330</v>
      </c>
      <c r="F13435" t="s">
        <v>28669</v>
      </c>
      <c r="G13435" t="s">
        <v>28675</v>
      </c>
      <c r="H13435" t="s">
        <v>28686</v>
      </c>
      <c r="I13435" t="s">
        <v>28689</v>
      </c>
      <c r="J13435" t="s">
        <v>31313</v>
      </c>
      <c r="K13435" t="s">
        <v>37215</v>
      </c>
      <c r="M13435" t="s">
        <v>39665</v>
      </c>
      <c r="N13435" t="s">
        <v>41249</v>
      </c>
      <c r="O13435" t="s">
        <v>41250</v>
      </c>
      <c r="Q13435">
        <v>2</v>
      </c>
      <c r="R13435" t="s">
        <v>41282</v>
      </c>
      <c r="S13435" t="s">
        <v>42367</v>
      </c>
      <c r="T13435" t="s">
        <v>42896</v>
      </c>
      <c r="U13435" t="s">
        <v>53953</v>
      </c>
      <c r="W13435" t="s">
        <v>39665</v>
      </c>
      <c r="X13435" t="s">
        <v>41368</v>
      </c>
    </row>
    <row r="13436" spans="1:24">
      <c r="A13436">
        <f>HYPERLINK("https://www.philgeps.gov.ph/GEPSNONPILOT/Tender/SplashBidNoticeAbstractUI.aspx?menuIndex=3&amp;refID=7021626&amp;Result=3","7021626")</f>
        <v>0</v>
      </c>
      <c r="B13436" t="s">
        <v>1139</v>
      </c>
      <c r="C13436" t="s">
        <v>16259</v>
      </c>
      <c r="E13436" t="s">
        <v>28331</v>
      </c>
      <c r="F13436" t="s">
        <v>28669</v>
      </c>
      <c r="G13436" t="s">
        <v>28675</v>
      </c>
      <c r="H13436" t="s">
        <v>28686</v>
      </c>
      <c r="I13436" t="s">
        <v>28689</v>
      </c>
      <c r="J13436" t="s">
        <v>36991</v>
      </c>
      <c r="K13436" t="s">
        <v>37487</v>
      </c>
      <c r="M13436" t="s">
        <v>41196</v>
      </c>
      <c r="N13436" t="s">
        <v>41249</v>
      </c>
      <c r="O13436" t="s">
        <v>41250</v>
      </c>
      <c r="P13436">
        <v>0</v>
      </c>
      <c r="Q13436">
        <v>15</v>
      </c>
      <c r="R13436" t="s">
        <v>41281</v>
      </c>
      <c r="S13436" t="s">
        <v>42357</v>
      </c>
      <c r="T13436" t="s">
        <v>42872</v>
      </c>
      <c r="U13436" t="s">
        <v>53954</v>
      </c>
      <c r="V13436" t="s">
        <v>52198</v>
      </c>
      <c r="W13436" t="s">
        <v>41196</v>
      </c>
      <c r="X13436" t="s">
        <v>41288</v>
      </c>
    </row>
    <row r="13437" spans="1:24">
      <c r="A13437">
        <f>HYPERLINK("https://www.philgeps.gov.ph/GEPSNONPILOT/Tender/SplashBidNoticeAbstractUI.aspx?menuIndex=3&amp;refID=7022927&amp;Result=3","7022927")</f>
        <v>0</v>
      </c>
      <c r="B13437" t="s">
        <v>2004</v>
      </c>
      <c r="C13437" t="s">
        <v>16260</v>
      </c>
      <c r="D13437" t="s">
        <v>16661</v>
      </c>
      <c r="E13437" t="s">
        <v>28332</v>
      </c>
      <c r="F13437" t="s">
        <v>28669</v>
      </c>
      <c r="G13437" t="s">
        <v>28677</v>
      </c>
      <c r="H13437" t="s">
        <v>9998</v>
      </c>
      <c r="I13437" t="s">
        <v>28694</v>
      </c>
      <c r="J13437" t="s">
        <v>36992</v>
      </c>
      <c r="K13437" t="s">
        <v>37206</v>
      </c>
      <c r="M13437" t="s">
        <v>39642</v>
      </c>
      <c r="N13437" t="s">
        <v>41249</v>
      </c>
      <c r="O13437" t="s">
        <v>41250</v>
      </c>
      <c r="Q13437">
        <v>0</v>
      </c>
      <c r="R13437" t="s">
        <v>41280</v>
      </c>
      <c r="S13437" t="s">
        <v>42368</v>
      </c>
      <c r="T13437" t="s">
        <v>42701</v>
      </c>
      <c r="U13437" t="s">
        <v>53955</v>
      </c>
      <c r="W13437" t="s">
        <v>39642</v>
      </c>
      <c r="X13437" t="s">
        <v>41281</v>
      </c>
    </row>
    <row r="13438" spans="1:24">
      <c r="A13438">
        <f>HYPERLINK("https://www.philgeps.gov.ph/GEPSNONPILOT/Tender/SplashBidNoticeAbstractUI.aspx?menuIndex=3&amp;refID=7018186&amp;Result=3","7018186")</f>
        <v>0</v>
      </c>
      <c r="B13438" t="s">
        <v>688</v>
      </c>
      <c r="C13438" t="s">
        <v>16261</v>
      </c>
      <c r="D13438" t="s">
        <v>16619</v>
      </c>
      <c r="E13438" t="s">
        <v>28333</v>
      </c>
      <c r="F13438" t="s">
        <v>28669</v>
      </c>
      <c r="G13438" t="s">
        <v>28675</v>
      </c>
      <c r="H13438" t="s">
        <v>28686</v>
      </c>
      <c r="I13438" t="s">
        <v>28689</v>
      </c>
      <c r="J13438" t="s">
        <v>36993</v>
      </c>
      <c r="K13438" t="s">
        <v>37366</v>
      </c>
      <c r="M13438" t="s">
        <v>39665</v>
      </c>
      <c r="N13438" t="s">
        <v>41249</v>
      </c>
      <c r="O13438" t="s">
        <v>41250</v>
      </c>
      <c r="Q13438">
        <v>5</v>
      </c>
      <c r="R13438" t="s">
        <v>41282</v>
      </c>
      <c r="S13438" t="s">
        <v>42369</v>
      </c>
      <c r="T13438" t="s">
        <v>42896</v>
      </c>
      <c r="U13438" t="s">
        <v>53956</v>
      </c>
      <c r="W13438" t="s">
        <v>39665</v>
      </c>
      <c r="X13438" t="s">
        <v>41368</v>
      </c>
    </row>
    <row r="13439" spans="1:24">
      <c r="A13439">
        <f>HYPERLINK("https://www.philgeps.gov.ph/GEPSNONPILOT/Tender/SplashBidNoticeAbstractUI.aspx?menuIndex=3&amp;refID=7021415&amp;Result=3","7021415")</f>
        <v>0</v>
      </c>
      <c r="B13439" t="s">
        <v>927</v>
      </c>
      <c r="C13439" t="s">
        <v>16262</v>
      </c>
      <c r="D13439" t="s">
        <v>16673</v>
      </c>
      <c r="E13439" t="s">
        <v>28334</v>
      </c>
      <c r="F13439" t="s">
        <v>28669</v>
      </c>
      <c r="G13439" t="s">
        <v>28675</v>
      </c>
      <c r="H13439" t="s">
        <v>28686</v>
      </c>
      <c r="I13439" t="s">
        <v>28689</v>
      </c>
      <c r="J13439" t="s">
        <v>36994</v>
      </c>
      <c r="K13439" t="s">
        <v>37218</v>
      </c>
      <c r="M13439" t="s">
        <v>38449</v>
      </c>
      <c r="N13439" t="s">
        <v>41249</v>
      </c>
      <c r="O13439" t="s">
        <v>41250</v>
      </c>
      <c r="Q13439">
        <v>42</v>
      </c>
      <c r="R13439" t="s">
        <v>41281</v>
      </c>
      <c r="S13439" t="s">
        <v>42370</v>
      </c>
      <c r="T13439" t="s">
        <v>42729</v>
      </c>
      <c r="U13439" t="s">
        <v>53957</v>
      </c>
      <c r="W13439" t="s">
        <v>38449</v>
      </c>
      <c r="X13439" t="s">
        <v>41288</v>
      </c>
    </row>
    <row r="13440" spans="1:24">
      <c r="A13440">
        <f>HYPERLINK("https://www.philgeps.gov.ph/GEPSNONPILOT/Tender/SplashBidNoticeAbstractUI.aspx?menuIndex=3&amp;refID=7021359&amp;Result=3","7021359")</f>
        <v>0</v>
      </c>
      <c r="B13440" t="s">
        <v>3134</v>
      </c>
      <c r="C13440" t="s">
        <v>16263</v>
      </c>
      <c r="D13440" t="s">
        <v>16608</v>
      </c>
      <c r="E13440" t="s">
        <v>28335</v>
      </c>
      <c r="F13440" t="s">
        <v>28669</v>
      </c>
      <c r="G13440" t="s">
        <v>28678</v>
      </c>
      <c r="H13440" t="s">
        <v>9998</v>
      </c>
      <c r="I13440" t="s">
        <v>7352</v>
      </c>
      <c r="J13440" t="s">
        <v>36995</v>
      </c>
      <c r="K13440" t="s">
        <v>37209</v>
      </c>
      <c r="M13440" t="s">
        <v>41170</v>
      </c>
      <c r="N13440" t="s">
        <v>41249</v>
      </c>
      <c r="O13440" t="s">
        <v>41250</v>
      </c>
      <c r="Q13440">
        <v>5</v>
      </c>
      <c r="R13440" t="s">
        <v>41281</v>
      </c>
      <c r="S13440" t="s">
        <v>42371</v>
      </c>
      <c r="T13440" t="s">
        <v>42675</v>
      </c>
      <c r="U13440" t="s">
        <v>53958</v>
      </c>
      <c r="W13440" t="s">
        <v>41170</v>
      </c>
      <c r="X13440" t="s">
        <v>41288</v>
      </c>
    </row>
    <row r="13441" spans="1:24">
      <c r="A13441">
        <f>HYPERLINK("https://www.philgeps.gov.ph/GEPSNONPILOT/Tender/SplashBidNoticeAbstractUI.aspx?menuIndex=3&amp;refID=7021086&amp;Result=3","7021086")</f>
        <v>0</v>
      </c>
      <c r="B13441" t="s">
        <v>703</v>
      </c>
      <c r="C13441" t="s">
        <v>16264</v>
      </c>
      <c r="E13441" t="s">
        <v>28336</v>
      </c>
      <c r="F13441" t="s">
        <v>28669</v>
      </c>
      <c r="G13441" t="s">
        <v>28675</v>
      </c>
      <c r="H13441" t="s">
        <v>9998</v>
      </c>
      <c r="I13441" t="s">
        <v>11593</v>
      </c>
      <c r="J13441" t="s">
        <v>29332</v>
      </c>
      <c r="K13441" t="s">
        <v>37209</v>
      </c>
      <c r="M13441" t="s">
        <v>38209</v>
      </c>
      <c r="N13441" t="s">
        <v>41249</v>
      </c>
      <c r="O13441" t="s">
        <v>41250</v>
      </c>
      <c r="Q13441">
        <v>20</v>
      </c>
      <c r="R13441" t="s">
        <v>41281</v>
      </c>
      <c r="S13441" t="s">
        <v>42372</v>
      </c>
      <c r="T13441" t="s">
        <v>42929</v>
      </c>
      <c r="U13441" t="s">
        <v>53959</v>
      </c>
      <c r="V13441" t="s">
        <v>55846</v>
      </c>
      <c r="W13441" t="s">
        <v>56036</v>
      </c>
      <c r="X13441" t="s">
        <v>41288</v>
      </c>
    </row>
    <row r="13442" spans="1:24">
      <c r="A13442">
        <f>HYPERLINK("https://www.philgeps.gov.ph/GEPSNONPILOT/Tender/SplashBidNoticeAbstractUI.aspx?menuIndex=3&amp;refID=7011168&amp;Result=3","7011168")</f>
        <v>0</v>
      </c>
      <c r="B13442" t="s">
        <v>3333</v>
      </c>
      <c r="C13442" t="s">
        <v>15406</v>
      </c>
      <c r="D13442" t="s">
        <v>16677</v>
      </c>
      <c r="E13442" t="s">
        <v>28337</v>
      </c>
      <c r="F13442" t="s">
        <v>28669</v>
      </c>
      <c r="G13442" t="s">
        <v>28676</v>
      </c>
      <c r="H13442" t="s">
        <v>28686</v>
      </c>
      <c r="I13442" t="s">
        <v>28691</v>
      </c>
      <c r="J13442" t="s">
        <v>36996</v>
      </c>
      <c r="K13442" t="s">
        <v>37215</v>
      </c>
      <c r="M13442" t="s">
        <v>41179</v>
      </c>
      <c r="N13442" t="s">
        <v>41249</v>
      </c>
      <c r="O13442" t="s">
        <v>41250</v>
      </c>
      <c r="Q13442">
        <v>8</v>
      </c>
      <c r="R13442" t="s">
        <v>41283</v>
      </c>
      <c r="S13442" t="s">
        <v>42373</v>
      </c>
      <c r="T13442" t="s">
        <v>42743</v>
      </c>
      <c r="U13442" t="s">
        <v>53960</v>
      </c>
      <c r="W13442" t="s">
        <v>41179</v>
      </c>
      <c r="X13442" t="s">
        <v>41285</v>
      </c>
    </row>
    <row r="13443" spans="1:24">
      <c r="A13443">
        <f>HYPERLINK("https://www.philgeps.gov.ph/GEPSNONPILOT/Tender/SplashBidNoticeAbstractUI.aspx?menuIndex=3&amp;refID=7015601&amp;Result=3","7015601")</f>
        <v>0</v>
      </c>
      <c r="B13443" t="s">
        <v>3347</v>
      </c>
      <c r="C13443" t="s">
        <v>16265</v>
      </c>
      <c r="D13443" t="s">
        <v>16618</v>
      </c>
      <c r="E13443" t="s">
        <v>17954</v>
      </c>
      <c r="F13443" t="s">
        <v>28669</v>
      </c>
      <c r="G13443" t="s">
        <v>28677</v>
      </c>
      <c r="H13443" t="s">
        <v>9998</v>
      </c>
      <c r="I13443" t="s">
        <v>6128</v>
      </c>
      <c r="J13443" t="s">
        <v>28894</v>
      </c>
      <c r="K13443" t="s">
        <v>37209</v>
      </c>
      <c r="M13443" t="s">
        <v>41197</v>
      </c>
      <c r="N13443" t="s">
        <v>41249</v>
      </c>
      <c r="O13443" t="s">
        <v>41250</v>
      </c>
      <c r="P13443">
        <v>0</v>
      </c>
      <c r="Q13443">
        <v>2</v>
      </c>
      <c r="R13443" t="s">
        <v>41282</v>
      </c>
      <c r="S13443" t="s">
        <v>42374</v>
      </c>
      <c r="T13443" t="s">
        <v>42727</v>
      </c>
      <c r="U13443" t="s">
        <v>53961</v>
      </c>
      <c r="W13443" t="s">
        <v>41197</v>
      </c>
      <c r="X13443" t="s">
        <v>41287</v>
      </c>
    </row>
    <row r="13444" spans="1:24">
      <c r="A13444">
        <f>HYPERLINK("https://www.philgeps.gov.ph/GEPSNONPILOT/Tender/SplashBidNoticeAbstractUI.aspx?menuIndex=3&amp;refID=7022864&amp;Result=3","7022864")</f>
        <v>0</v>
      </c>
      <c r="B13444" t="s">
        <v>703</v>
      </c>
      <c r="C13444" t="s">
        <v>16266</v>
      </c>
      <c r="E13444" t="s">
        <v>28338</v>
      </c>
      <c r="F13444" t="s">
        <v>28669</v>
      </c>
      <c r="G13444" t="s">
        <v>28675</v>
      </c>
      <c r="H13444" t="s">
        <v>9998</v>
      </c>
      <c r="I13444" t="s">
        <v>28717</v>
      </c>
      <c r="J13444" t="s">
        <v>36997</v>
      </c>
      <c r="K13444" t="s">
        <v>37209</v>
      </c>
      <c r="M13444" t="s">
        <v>40830</v>
      </c>
      <c r="N13444" t="s">
        <v>41249</v>
      </c>
      <c r="O13444" t="s">
        <v>41250</v>
      </c>
      <c r="Q13444">
        <v>19</v>
      </c>
      <c r="R13444" t="s">
        <v>41280</v>
      </c>
      <c r="S13444" t="s">
        <v>42375</v>
      </c>
      <c r="T13444" t="s">
        <v>42929</v>
      </c>
      <c r="U13444" t="s">
        <v>53962</v>
      </c>
      <c r="V13444" t="s">
        <v>55847</v>
      </c>
      <c r="W13444" t="s">
        <v>56036</v>
      </c>
      <c r="X13444" t="s">
        <v>41281</v>
      </c>
    </row>
    <row r="13445" spans="1:24">
      <c r="A13445">
        <f>HYPERLINK("https://www.philgeps.gov.ph/GEPSNONPILOT/Tender/SplashBidNoticeAbstractUI.aspx?menuIndex=3&amp;refID=7004356&amp;Result=3","7004356")</f>
        <v>0</v>
      </c>
      <c r="B13445" t="s">
        <v>988</v>
      </c>
      <c r="C13445" t="s">
        <v>16267</v>
      </c>
      <c r="D13445" t="s">
        <v>16635</v>
      </c>
      <c r="E13445" t="s">
        <v>28339</v>
      </c>
      <c r="F13445" t="s">
        <v>28669</v>
      </c>
      <c r="G13445" t="s">
        <v>28678</v>
      </c>
      <c r="H13445" t="s">
        <v>9998</v>
      </c>
      <c r="I13445" t="s">
        <v>28708</v>
      </c>
      <c r="J13445" t="s">
        <v>29191</v>
      </c>
      <c r="K13445" t="s">
        <v>37206</v>
      </c>
      <c r="M13445" t="s">
        <v>39801</v>
      </c>
      <c r="N13445" t="s">
        <v>41249</v>
      </c>
      <c r="O13445" t="s">
        <v>41250</v>
      </c>
      <c r="Q13445">
        <v>9</v>
      </c>
      <c r="R13445" t="s">
        <v>41284</v>
      </c>
      <c r="S13445" t="s">
        <v>42376</v>
      </c>
      <c r="T13445" t="s">
        <v>42690</v>
      </c>
      <c r="U13445" t="s">
        <v>53963</v>
      </c>
      <c r="W13445" t="s">
        <v>39801</v>
      </c>
      <c r="X13445" t="s">
        <v>41296</v>
      </c>
    </row>
    <row r="13446" spans="1:24">
      <c r="A13446">
        <f>HYPERLINK("https://www.philgeps.gov.ph/GEPSNONPILOT/Tender/SplashBidNoticeAbstractUI.aspx?menuIndex=3&amp;refID=7009512&amp;Result=3","7009512")</f>
        <v>0</v>
      </c>
      <c r="B13446" t="s">
        <v>2881</v>
      </c>
      <c r="C13446" t="s">
        <v>16268</v>
      </c>
      <c r="D13446" t="s">
        <v>16628</v>
      </c>
      <c r="E13446" t="s">
        <v>28340</v>
      </c>
      <c r="F13446" t="s">
        <v>28669</v>
      </c>
      <c r="G13446" t="s">
        <v>28675</v>
      </c>
      <c r="H13446" t="s">
        <v>28685</v>
      </c>
      <c r="I13446" t="s">
        <v>28685</v>
      </c>
      <c r="J13446" t="s">
        <v>36998</v>
      </c>
      <c r="K13446" t="s">
        <v>37325</v>
      </c>
      <c r="M13446" t="s">
        <v>40628</v>
      </c>
      <c r="N13446" t="s">
        <v>41249</v>
      </c>
      <c r="O13446" t="s">
        <v>41250</v>
      </c>
      <c r="Q13446">
        <v>15</v>
      </c>
      <c r="R13446" t="s">
        <v>41285</v>
      </c>
      <c r="S13446" t="s">
        <v>42377</v>
      </c>
      <c r="T13446" t="s">
        <v>42733</v>
      </c>
      <c r="U13446" t="s">
        <v>53964</v>
      </c>
      <c r="W13446" t="s">
        <v>40628</v>
      </c>
      <c r="X13446" t="s">
        <v>41286</v>
      </c>
    </row>
    <row r="13447" spans="1:24">
      <c r="A13447">
        <f>HYPERLINK("https://www.philgeps.gov.ph/GEPSNONPILOT/Tender/SplashBidNoticeAbstractUI.aspx?menuIndex=3&amp;refID=7011320&amp;Result=3","7011320")</f>
        <v>0</v>
      </c>
      <c r="B13447" t="s">
        <v>3348</v>
      </c>
      <c r="C13447" t="s">
        <v>16269</v>
      </c>
      <c r="D13447" t="s">
        <v>16620</v>
      </c>
      <c r="E13447" t="s">
        <v>28341</v>
      </c>
      <c r="F13447" t="s">
        <v>28671</v>
      </c>
      <c r="G13447" t="s">
        <v>28675</v>
      </c>
      <c r="H13447" t="s">
        <v>28686</v>
      </c>
      <c r="I13447" t="s">
        <v>28689</v>
      </c>
      <c r="J13447" t="s">
        <v>28850</v>
      </c>
      <c r="K13447" t="s">
        <v>37344</v>
      </c>
      <c r="M13447" t="s">
        <v>41198</v>
      </c>
      <c r="N13447" t="s">
        <v>41249</v>
      </c>
      <c r="O13447" t="s">
        <v>41250</v>
      </c>
      <c r="P13447">
        <v>0</v>
      </c>
      <c r="Q13447">
        <v>5</v>
      </c>
      <c r="R13447" t="s">
        <v>41283</v>
      </c>
      <c r="S13447" t="s">
        <v>42378</v>
      </c>
      <c r="T13447" t="s">
        <v>42786</v>
      </c>
      <c r="U13447" t="s">
        <v>53965</v>
      </c>
      <c r="V13447" t="s">
        <v>55848</v>
      </c>
      <c r="W13447" t="s">
        <v>41198</v>
      </c>
      <c r="X13447" t="s">
        <v>41285</v>
      </c>
    </row>
    <row r="13448" spans="1:24">
      <c r="A13448">
        <f>HYPERLINK("https://www.philgeps.gov.ph/GEPSNONPILOT/Tender/SplashBidNoticeAbstractUI.aspx?menuIndex=3&amp;refID=7005914&amp;Result=3","7005914")</f>
        <v>0</v>
      </c>
      <c r="B13448" t="s">
        <v>2800</v>
      </c>
      <c r="C13448" t="s">
        <v>16270</v>
      </c>
      <c r="D13448" t="s">
        <v>16657</v>
      </c>
      <c r="E13448" t="s">
        <v>28342</v>
      </c>
      <c r="F13448" t="s">
        <v>28669</v>
      </c>
      <c r="G13448" t="s">
        <v>28675</v>
      </c>
      <c r="H13448" t="s">
        <v>28686</v>
      </c>
      <c r="I13448" t="s">
        <v>28689</v>
      </c>
      <c r="J13448" t="s">
        <v>36999</v>
      </c>
      <c r="K13448" t="s">
        <v>37488</v>
      </c>
      <c r="M13448" t="s">
        <v>40526</v>
      </c>
      <c r="N13448" t="s">
        <v>41249</v>
      </c>
      <c r="O13448" t="s">
        <v>41250</v>
      </c>
      <c r="Q13448">
        <v>23</v>
      </c>
      <c r="R13448" t="s">
        <v>41283</v>
      </c>
      <c r="S13448" t="s">
        <v>42016</v>
      </c>
      <c r="T13448" t="s">
        <v>42736</v>
      </c>
      <c r="U13448" t="s">
        <v>53966</v>
      </c>
      <c r="V13448" t="s">
        <v>46898</v>
      </c>
      <c r="W13448" t="s">
        <v>40526</v>
      </c>
      <c r="X13448" t="s">
        <v>41295</v>
      </c>
    </row>
    <row r="13449" spans="1:24">
      <c r="A13449">
        <f>HYPERLINK("https://www.philgeps.gov.ph/GEPSNONPILOT/Tender/SplashBidNoticeAbstractUI.aspx?menuIndex=3&amp;refID=7007977&amp;Result=3","7007977")</f>
        <v>0</v>
      </c>
      <c r="B13449" t="s">
        <v>2295</v>
      </c>
      <c r="C13449" t="s">
        <v>16271</v>
      </c>
      <c r="E13449" t="s">
        <v>28343</v>
      </c>
      <c r="F13449" t="s">
        <v>28669</v>
      </c>
      <c r="G13449" t="s">
        <v>28676</v>
      </c>
      <c r="H13449" t="s">
        <v>28686</v>
      </c>
      <c r="I13449" t="s">
        <v>28689</v>
      </c>
      <c r="J13449" t="s">
        <v>29134</v>
      </c>
      <c r="K13449" t="s">
        <v>37214</v>
      </c>
      <c r="M13449" t="s">
        <v>39952</v>
      </c>
      <c r="N13449" t="s">
        <v>41249</v>
      </c>
      <c r="O13449" t="s">
        <v>41250</v>
      </c>
      <c r="Q13449">
        <v>1</v>
      </c>
      <c r="R13449" t="s">
        <v>41286</v>
      </c>
      <c r="S13449" t="s">
        <v>42379</v>
      </c>
      <c r="T13449" t="s">
        <v>42727</v>
      </c>
      <c r="U13449" t="s">
        <v>53967</v>
      </c>
      <c r="W13449" t="s">
        <v>39952</v>
      </c>
      <c r="X13449" t="s">
        <v>41284</v>
      </c>
    </row>
    <row r="13450" spans="1:24">
      <c r="A13450">
        <f>HYPERLINK("https://www.philgeps.gov.ph/GEPSNONPILOT/Tender/SplashBidNoticeAbstractUI.aspx?menuIndex=3&amp;refID=7014275&amp;Result=3","7014275")</f>
        <v>0</v>
      </c>
      <c r="B13450" t="s">
        <v>1139</v>
      </c>
      <c r="C13450" t="s">
        <v>16272</v>
      </c>
      <c r="E13450" t="s">
        <v>28344</v>
      </c>
      <c r="F13450" t="s">
        <v>28669</v>
      </c>
      <c r="G13450" t="s">
        <v>28675</v>
      </c>
      <c r="H13450" t="s">
        <v>28686</v>
      </c>
      <c r="I13450" t="s">
        <v>28689</v>
      </c>
      <c r="J13450" t="s">
        <v>37000</v>
      </c>
      <c r="K13450" t="s">
        <v>37228</v>
      </c>
      <c r="M13450" t="s">
        <v>41196</v>
      </c>
      <c r="N13450" t="s">
        <v>41249</v>
      </c>
      <c r="O13450" t="s">
        <v>41250</v>
      </c>
      <c r="Q13450">
        <v>26</v>
      </c>
      <c r="R13450" t="s">
        <v>41287</v>
      </c>
      <c r="S13450" t="s">
        <v>42380</v>
      </c>
      <c r="T13450" t="s">
        <v>42679</v>
      </c>
      <c r="U13450" t="s">
        <v>53968</v>
      </c>
      <c r="V13450" t="s">
        <v>52198</v>
      </c>
      <c r="W13450" t="s">
        <v>41196</v>
      </c>
      <c r="X13450" t="s">
        <v>41283</v>
      </c>
    </row>
    <row r="13451" spans="1:24">
      <c r="A13451">
        <f>HYPERLINK("https://www.philgeps.gov.ph/GEPSNONPILOT/Tender/SplashBidNoticeAbstractUI.aspx?menuIndex=3&amp;refID=7018218&amp;Result=3","7018218")</f>
        <v>0</v>
      </c>
      <c r="B13451" t="s">
        <v>688</v>
      </c>
      <c r="C13451" t="s">
        <v>16273</v>
      </c>
      <c r="D13451" t="s">
        <v>16619</v>
      </c>
      <c r="E13451" t="s">
        <v>28345</v>
      </c>
      <c r="F13451" t="s">
        <v>28669</v>
      </c>
      <c r="G13451" t="s">
        <v>28675</v>
      </c>
      <c r="H13451" t="s">
        <v>28686</v>
      </c>
      <c r="I13451" t="s">
        <v>28689</v>
      </c>
      <c r="J13451" t="s">
        <v>37001</v>
      </c>
      <c r="K13451" t="s">
        <v>37211</v>
      </c>
      <c r="M13451" t="s">
        <v>39665</v>
      </c>
      <c r="N13451" t="s">
        <v>41249</v>
      </c>
      <c r="O13451" t="s">
        <v>41250</v>
      </c>
      <c r="Q13451">
        <v>7</v>
      </c>
      <c r="R13451" t="s">
        <v>41282</v>
      </c>
      <c r="S13451" t="s">
        <v>41863</v>
      </c>
      <c r="T13451" t="s">
        <v>42896</v>
      </c>
      <c r="U13451" t="s">
        <v>53969</v>
      </c>
      <c r="W13451" t="s">
        <v>39665</v>
      </c>
      <c r="X13451" t="s">
        <v>41368</v>
      </c>
    </row>
    <row r="13452" spans="1:24">
      <c r="A13452">
        <f>HYPERLINK("https://www.philgeps.gov.ph/GEPSNONPILOT/Tender/SplashBidNoticeAbstractUI.aspx?menuIndex=3&amp;refID=7014192&amp;Result=3","7014192")</f>
        <v>0</v>
      </c>
      <c r="B13452" t="s">
        <v>1139</v>
      </c>
      <c r="C13452" t="s">
        <v>16274</v>
      </c>
      <c r="E13452" t="s">
        <v>28346</v>
      </c>
      <c r="F13452" t="s">
        <v>28669</v>
      </c>
      <c r="G13452" t="s">
        <v>28675</v>
      </c>
      <c r="H13452" t="s">
        <v>28686</v>
      </c>
      <c r="I13452" t="s">
        <v>28689</v>
      </c>
      <c r="J13452" t="s">
        <v>37002</v>
      </c>
      <c r="K13452" t="s">
        <v>37325</v>
      </c>
      <c r="M13452" t="s">
        <v>41196</v>
      </c>
      <c r="N13452" t="s">
        <v>41249</v>
      </c>
      <c r="O13452" t="s">
        <v>41250</v>
      </c>
      <c r="Q13452">
        <v>27</v>
      </c>
      <c r="R13452" t="s">
        <v>41287</v>
      </c>
      <c r="S13452" t="s">
        <v>42381</v>
      </c>
      <c r="T13452" t="s">
        <v>42679</v>
      </c>
      <c r="U13452" t="s">
        <v>53970</v>
      </c>
      <c r="V13452" t="s">
        <v>55272</v>
      </c>
      <c r="W13452" t="s">
        <v>41196</v>
      </c>
      <c r="X13452" t="s">
        <v>41283</v>
      </c>
    </row>
    <row r="13453" spans="1:24">
      <c r="A13453">
        <f>HYPERLINK("https://www.philgeps.gov.ph/GEPSNONPILOT/Tender/SplashBidNoticeAbstractUI.aspx?menuIndex=3&amp;refID=7017112&amp;Result=3","7017112")</f>
        <v>0</v>
      </c>
      <c r="B13453" t="s">
        <v>732</v>
      </c>
      <c r="C13453" t="s">
        <v>16275</v>
      </c>
      <c r="E13453" t="s">
        <v>28347</v>
      </c>
      <c r="F13453" t="s">
        <v>28669</v>
      </c>
      <c r="G13453" t="s">
        <v>28675</v>
      </c>
      <c r="H13453" t="s">
        <v>9998</v>
      </c>
      <c r="I13453" t="s">
        <v>28745</v>
      </c>
      <c r="J13453" t="s">
        <v>37003</v>
      </c>
      <c r="K13453" t="s">
        <v>37220</v>
      </c>
      <c r="M13453" t="s">
        <v>41199</v>
      </c>
      <c r="N13453" t="s">
        <v>41249</v>
      </c>
      <c r="O13453" t="s">
        <v>41250</v>
      </c>
      <c r="Q13453">
        <v>5</v>
      </c>
      <c r="R13453" t="s">
        <v>41288</v>
      </c>
      <c r="S13453" t="s">
        <v>42382</v>
      </c>
      <c r="T13453" t="s">
        <v>42703</v>
      </c>
      <c r="U13453" t="s">
        <v>53971</v>
      </c>
      <c r="W13453" t="s">
        <v>41199</v>
      </c>
      <c r="X13453" t="s">
        <v>41368</v>
      </c>
    </row>
    <row r="13454" spans="1:24">
      <c r="A13454">
        <f>HYPERLINK("https://www.philgeps.gov.ph/GEPSNONPILOT/Tender/SplashBidNoticeAbstractUI.aspx?menuIndex=3&amp;refID=7014150&amp;Result=3","7014150")</f>
        <v>0</v>
      </c>
      <c r="B13454" t="s">
        <v>1139</v>
      </c>
      <c r="C13454" t="s">
        <v>16276</v>
      </c>
      <c r="E13454" t="s">
        <v>28348</v>
      </c>
      <c r="F13454" t="s">
        <v>28669</v>
      </c>
      <c r="G13454" t="s">
        <v>28675</v>
      </c>
      <c r="H13454" t="s">
        <v>28686</v>
      </c>
      <c r="I13454" t="s">
        <v>28689</v>
      </c>
      <c r="J13454" t="s">
        <v>37004</v>
      </c>
      <c r="K13454" t="s">
        <v>37325</v>
      </c>
      <c r="M13454" t="s">
        <v>41196</v>
      </c>
      <c r="N13454" t="s">
        <v>41249</v>
      </c>
      <c r="O13454" t="s">
        <v>41250</v>
      </c>
      <c r="Q13454">
        <v>27</v>
      </c>
      <c r="R13454" t="s">
        <v>41287</v>
      </c>
      <c r="S13454" t="s">
        <v>42383</v>
      </c>
      <c r="T13454" t="s">
        <v>42679</v>
      </c>
      <c r="U13454" t="s">
        <v>53970</v>
      </c>
      <c r="V13454" t="s">
        <v>55272</v>
      </c>
      <c r="W13454" t="s">
        <v>41196</v>
      </c>
      <c r="X13454" t="s">
        <v>41283</v>
      </c>
    </row>
    <row r="13455" spans="1:24">
      <c r="A13455">
        <f>HYPERLINK("https://www.philgeps.gov.ph/GEPSNONPILOT/Tender/SplashBidNoticeAbstractUI.aspx?menuIndex=3&amp;refID=7021412&amp;Result=3","7021412")</f>
        <v>0</v>
      </c>
      <c r="B13455" t="s">
        <v>927</v>
      </c>
      <c r="C13455" t="s">
        <v>16277</v>
      </c>
      <c r="D13455" t="s">
        <v>16673</v>
      </c>
      <c r="E13455" t="s">
        <v>28349</v>
      </c>
      <c r="F13455" t="s">
        <v>28669</v>
      </c>
      <c r="G13455" t="s">
        <v>28675</v>
      </c>
      <c r="H13455" t="s">
        <v>28686</v>
      </c>
      <c r="I13455" t="s">
        <v>28689</v>
      </c>
      <c r="J13455" t="s">
        <v>37005</v>
      </c>
      <c r="K13455" t="s">
        <v>37218</v>
      </c>
      <c r="M13455" t="s">
        <v>38449</v>
      </c>
      <c r="N13455" t="s">
        <v>41249</v>
      </c>
      <c r="O13455" t="s">
        <v>41250</v>
      </c>
      <c r="Q13455">
        <v>44</v>
      </c>
      <c r="R13455" t="s">
        <v>41281</v>
      </c>
      <c r="S13455" t="s">
        <v>42384</v>
      </c>
      <c r="T13455" t="s">
        <v>42827</v>
      </c>
      <c r="U13455" t="s">
        <v>53972</v>
      </c>
      <c r="W13455" t="s">
        <v>38449</v>
      </c>
      <c r="X13455" t="s">
        <v>41288</v>
      </c>
    </row>
    <row r="13456" spans="1:24">
      <c r="A13456">
        <f>HYPERLINK("https://www.philgeps.gov.ph/GEPSNONPILOT/Tender/SplashBidNoticeAbstractUI.aspx?menuIndex=3&amp;refID=7021128&amp;Result=3","7021128")</f>
        <v>0</v>
      </c>
      <c r="B13456" t="s">
        <v>703</v>
      </c>
      <c r="C13456" t="s">
        <v>16278</v>
      </c>
      <c r="E13456" t="s">
        <v>28350</v>
      </c>
      <c r="F13456" t="s">
        <v>28669</v>
      </c>
      <c r="G13456" t="s">
        <v>28675</v>
      </c>
      <c r="H13456" t="s">
        <v>9998</v>
      </c>
      <c r="I13456" t="s">
        <v>11593</v>
      </c>
      <c r="J13456" t="s">
        <v>37006</v>
      </c>
      <c r="K13456" t="s">
        <v>37209</v>
      </c>
      <c r="M13456" t="s">
        <v>40830</v>
      </c>
      <c r="N13456" t="s">
        <v>41249</v>
      </c>
      <c r="O13456" t="s">
        <v>41250</v>
      </c>
      <c r="Q13456">
        <v>21</v>
      </c>
      <c r="R13456" t="s">
        <v>41281</v>
      </c>
      <c r="S13456" t="s">
        <v>42385</v>
      </c>
      <c r="T13456" t="s">
        <v>42929</v>
      </c>
      <c r="U13456" t="s">
        <v>53973</v>
      </c>
      <c r="V13456" t="s">
        <v>55849</v>
      </c>
      <c r="W13456" t="s">
        <v>56036</v>
      </c>
      <c r="X13456" t="s">
        <v>41288</v>
      </c>
    </row>
    <row r="13457" spans="1:24">
      <c r="A13457">
        <f>HYPERLINK("https://www.philgeps.gov.ph/GEPSNONPILOT/Tender/SplashBidNoticeAbstractUI.aspx?menuIndex=3&amp;refID=6986391&amp;Result=3","6986391")</f>
        <v>0</v>
      </c>
      <c r="B13457" t="s">
        <v>3349</v>
      </c>
      <c r="C13457" t="s">
        <v>16279</v>
      </c>
      <c r="D13457" t="s">
        <v>16668</v>
      </c>
      <c r="E13457" t="s">
        <v>28351</v>
      </c>
      <c r="F13457" t="s">
        <v>28669</v>
      </c>
      <c r="G13457" t="s">
        <v>28675</v>
      </c>
      <c r="H13457" t="s">
        <v>28686</v>
      </c>
      <c r="I13457" t="s">
        <v>28733</v>
      </c>
      <c r="J13457" t="s">
        <v>30575</v>
      </c>
      <c r="K13457" t="s">
        <v>37215</v>
      </c>
      <c r="M13457" t="s">
        <v>41200</v>
      </c>
      <c r="N13457" t="s">
        <v>41249</v>
      </c>
      <c r="O13457" t="s">
        <v>41250</v>
      </c>
      <c r="Q13457">
        <v>12</v>
      </c>
      <c r="R13457" t="s">
        <v>41289</v>
      </c>
      <c r="S13457" t="s">
        <v>42386</v>
      </c>
      <c r="T13457" t="s">
        <v>43168</v>
      </c>
      <c r="U13457" t="s">
        <v>53974</v>
      </c>
      <c r="W13457" t="s">
        <v>41200</v>
      </c>
      <c r="X13457" t="s">
        <v>41367</v>
      </c>
    </row>
    <row r="13458" spans="1:24">
      <c r="A13458">
        <f>HYPERLINK("https://www.philgeps.gov.ph/GEPSNONPILOT/Tender/SplashBidNoticeAbstractUI.aspx?menuIndex=3&amp;refID=7014264&amp;Result=3","7014264")</f>
        <v>0</v>
      </c>
      <c r="B13458" t="s">
        <v>1139</v>
      </c>
      <c r="C13458" t="s">
        <v>16280</v>
      </c>
      <c r="E13458" t="s">
        <v>28352</v>
      </c>
      <c r="F13458" t="s">
        <v>28669</v>
      </c>
      <c r="G13458" t="s">
        <v>28675</v>
      </c>
      <c r="H13458" t="s">
        <v>28686</v>
      </c>
      <c r="I13458" t="s">
        <v>28689</v>
      </c>
      <c r="J13458" t="s">
        <v>37007</v>
      </c>
      <c r="K13458" t="s">
        <v>37347</v>
      </c>
      <c r="M13458" t="s">
        <v>41196</v>
      </c>
      <c r="N13458" t="s">
        <v>41249</v>
      </c>
      <c r="O13458" t="s">
        <v>41250</v>
      </c>
      <c r="Q13458">
        <v>22</v>
      </c>
      <c r="R13458" t="s">
        <v>41287</v>
      </c>
      <c r="S13458" t="s">
        <v>42387</v>
      </c>
      <c r="T13458" t="s">
        <v>42679</v>
      </c>
      <c r="U13458" t="s">
        <v>53975</v>
      </c>
      <c r="V13458" t="s">
        <v>52198</v>
      </c>
      <c r="W13458" t="s">
        <v>41196</v>
      </c>
      <c r="X13458" t="s">
        <v>41283</v>
      </c>
    </row>
    <row r="13459" spans="1:24">
      <c r="A13459">
        <f>HYPERLINK("https://www.philgeps.gov.ph/GEPSNONPILOT/Tender/SplashBidNoticeAbstractUI.aspx?menuIndex=3&amp;refID=6990698&amp;Result=3","6990698")</f>
        <v>0</v>
      </c>
      <c r="B13459" t="s">
        <v>411</v>
      </c>
      <c r="C13459" t="s">
        <v>16281</v>
      </c>
      <c r="D13459" t="s">
        <v>16616</v>
      </c>
      <c r="E13459" t="s">
        <v>28353</v>
      </c>
      <c r="F13459" t="s">
        <v>28669</v>
      </c>
      <c r="G13459" t="s">
        <v>28676</v>
      </c>
      <c r="H13459" t="s">
        <v>9998</v>
      </c>
      <c r="I13459" t="s">
        <v>28693</v>
      </c>
      <c r="J13459" t="s">
        <v>37008</v>
      </c>
      <c r="K13459" t="s">
        <v>37205</v>
      </c>
      <c r="M13459" t="s">
        <v>39337</v>
      </c>
      <c r="N13459" t="s">
        <v>41249</v>
      </c>
      <c r="O13459" t="s">
        <v>41250</v>
      </c>
      <c r="Q13459">
        <v>7</v>
      </c>
      <c r="R13459" t="s">
        <v>41290</v>
      </c>
      <c r="S13459" t="s">
        <v>42388</v>
      </c>
      <c r="T13459" t="s">
        <v>42706</v>
      </c>
      <c r="U13459" t="s">
        <v>53976</v>
      </c>
      <c r="W13459" t="s">
        <v>39337</v>
      </c>
      <c r="X13459" t="s">
        <v>56045</v>
      </c>
    </row>
    <row r="13460" spans="1:24">
      <c r="A13460">
        <f>HYPERLINK("https://www.philgeps.gov.ph/GEPSNONPILOT/Tender/SplashBidNoticeAbstractUI.aspx?menuIndex=3&amp;refID=6994091&amp;Result=3","6994091")</f>
        <v>0</v>
      </c>
      <c r="B13460" t="s">
        <v>2679</v>
      </c>
      <c r="C13460" t="s">
        <v>16282</v>
      </c>
      <c r="D13460" t="s">
        <v>16627</v>
      </c>
      <c r="E13460" t="s">
        <v>28354</v>
      </c>
      <c r="F13460" t="s">
        <v>28669</v>
      </c>
      <c r="G13460" t="s">
        <v>28675</v>
      </c>
      <c r="H13460" t="s">
        <v>9998</v>
      </c>
      <c r="I13460" t="s">
        <v>28729</v>
      </c>
      <c r="J13460" t="s">
        <v>37009</v>
      </c>
      <c r="K13460" t="s">
        <v>37209</v>
      </c>
      <c r="M13460" t="s">
        <v>40387</v>
      </c>
      <c r="N13460" t="s">
        <v>41249</v>
      </c>
      <c r="O13460" t="s">
        <v>41250</v>
      </c>
      <c r="Q13460">
        <v>3</v>
      </c>
      <c r="R13460" t="s">
        <v>41291</v>
      </c>
      <c r="S13460" t="s">
        <v>42389</v>
      </c>
      <c r="T13460" t="s">
        <v>42671</v>
      </c>
      <c r="U13460" t="s">
        <v>53977</v>
      </c>
      <c r="V13460" t="s">
        <v>55850</v>
      </c>
      <c r="W13460" t="s">
        <v>40387</v>
      </c>
      <c r="X13460" t="s">
        <v>41290</v>
      </c>
    </row>
    <row r="13461" spans="1:24">
      <c r="A13461">
        <f>HYPERLINK("https://www.philgeps.gov.ph/GEPSNONPILOT/Tender/SplashBidNoticeAbstractUI.aspx?menuIndex=3&amp;refID=7013780&amp;Result=3","7013780")</f>
        <v>0</v>
      </c>
      <c r="B13461" t="s">
        <v>775</v>
      </c>
      <c r="C13461" t="s">
        <v>16283</v>
      </c>
      <c r="E13461" t="s">
        <v>28355</v>
      </c>
      <c r="F13461" t="s">
        <v>28669</v>
      </c>
      <c r="G13461" t="s">
        <v>28675</v>
      </c>
      <c r="H13461" t="s">
        <v>28686</v>
      </c>
      <c r="I13461" t="s">
        <v>28689</v>
      </c>
      <c r="J13461" t="s">
        <v>37010</v>
      </c>
      <c r="K13461" t="s">
        <v>37209</v>
      </c>
      <c r="M13461" t="s">
        <v>38289</v>
      </c>
      <c r="N13461" t="s">
        <v>41249</v>
      </c>
      <c r="O13461" t="s">
        <v>41250</v>
      </c>
      <c r="Q13461">
        <v>4</v>
      </c>
      <c r="R13461" t="s">
        <v>41287</v>
      </c>
      <c r="S13461" t="s">
        <v>42390</v>
      </c>
      <c r="T13461" t="s">
        <v>42708</v>
      </c>
      <c r="U13461" t="s">
        <v>53978</v>
      </c>
      <c r="W13461" t="s">
        <v>55957</v>
      </c>
      <c r="X13461" t="s">
        <v>41283</v>
      </c>
    </row>
    <row r="13462" spans="1:24">
      <c r="A13462">
        <f>HYPERLINK("https://www.philgeps.gov.ph/GEPSNONPILOT/Tender/SplashBidNoticeAbstractUI.aspx?menuIndex=3&amp;refID=6994590&amp;Result=3","6994590")</f>
        <v>0</v>
      </c>
      <c r="B13462" t="s">
        <v>1972</v>
      </c>
      <c r="C13462" t="s">
        <v>16284</v>
      </c>
      <c r="D13462" t="s">
        <v>16609</v>
      </c>
      <c r="E13462" t="s">
        <v>28356</v>
      </c>
      <c r="F13462" t="s">
        <v>28669</v>
      </c>
      <c r="G13462" t="s">
        <v>28676</v>
      </c>
      <c r="H13462" t="s">
        <v>9998</v>
      </c>
      <c r="I13462" t="s">
        <v>28722</v>
      </c>
      <c r="J13462" t="s">
        <v>29088</v>
      </c>
      <c r="K13462" t="s">
        <v>37206</v>
      </c>
      <c r="M13462" t="s">
        <v>39606</v>
      </c>
      <c r="N13462" t="s">
        <v>41249</v>
      </c>
      <c r="O13462" t="s">
        <v>41250</v>
      </c>
      <c r="Q13462">
        <v>0</v>
      </c>
      <c r="R13462" t="s">
        <v>41292</v>
      </c>
      <c r="S13462" t="s">
        <v>42391</v>
      </c>
      <c r="T13462" t="s">
        <v>42673</v>
      </c>
      <c r="U13462" t="s">
        <v>53979</v>
      </c>
      <c r="W13462" t="s">
        <v>39606</v>
      </c>
      <c r="X13462" t="s">
        <v>41291</v>
      </c>
    </row>
    <row r="13463" spans="1:24">
      <c r="A13463">
        <f>HYPERLINK("https://www.philgeps.gov.ph/GEPSNONPILOT/Tender/SplashBidNoticeAbstractUI.aspx?menuIndex=3&amp;refID=6997462&amp;Result=3","6997462")</f>
        <v>0</v>
      </c>
      <c r="B13463" t="s">
        <v>1375</v>
      </c>
      <c r="C13463" t="s">
        <v>16285</v>
      </c>
      <c r="D13463" t="s">
        <v>16608</v>
      </c>
      <c r="E13463" t="s">
        <v>28357</v>
      </c>
      <c r="F13463" t="s">
        <v>28669</v>
      </c>
      <c r="G13463" t="s">
        <v>28675</v>
      </c>
      <c r="H13463" t="s">
        <v>28685</v>
      </c>
      <c r="I13463" t="s">
        <v>28685</v>
      </c>
      <c r="J13463" t="s">
        <v>37011</v>
      </c>
      <c r="K13463" t="s">
        <v>37209</v>
      </c>
      <c r="M13463" t="s">
        <v>38934</v>
      </c>
      <c r="N13463" t="s">
        <v>41249</v>
      </c>
      <c r="O13463" t="s">
        <v>41250</v>
      </c>
      <c r="Q13463">
        <v>46</v>
      </c>
      <c r="R13463" t="s">
        <v>41293</v>
      </c>
      <c r="S13463" t="s">
        <v>42041</v>
      </c>
      <c r="T13463" t="s">
        <v>42823</v>
      </c>
      <c r="U13463" t="s">
        <v>46155</v>
      </c>
      <c r="W13463" t="s">
        <v>38934</v>
      </c>
      <c r="X13463" t="s">
        <v>41292</v>
      </c>
    </row>
    <row r="13464" spans="1:24">
      <c r="A13464">
        <f>HYPERLINK("https://www.philgeps.gov.ph/GEPSNONPILOT/Tender/SplashBidNoticeAbstractUI.aspx?menuIndex=3&amp;refID=6998320&amp;Result=3","6998320")</f>
        <v>0</v>
      </c>
      <c r="B13464" t="s">
        <v>786</v>
      </c>
      <c r="C13464" t="s">
        <v>16286</v>
      </c>
      <c r="D13464" t="s">
        <v>16627</v>
      </c>
      <c r="E13464" t="s">
        <v>28358</v>
      </c>
      <c r="F13464" t="s">
        <v>28669</v>
      </c>
      <c r="G13464" t="s">
        <v>28675</v>
      </c>
      <c r="H13464" t="s">
        <v>9998</v>
      </c>
      <c r="I13464" t="s">
        <v>28687</v>
      </c>
      <c r="J13464" t="s">
        <v>37012</v>
      </c>
      <c r="K13464" t="s">
        <v>37220</v>
      </c>
      <c r="M13464" t="s">
        <v>38300</v>
      </c>
      <c r="N13464" t="s">
        <v>41249</v>
      </c>
      <c r="O13464" t="s">
        <v>41250</v>
      </c>
      <c r="Q13464">
        <v>5</v>
      </c>
      <c r="R13464" t="s">
        <v>41294</v>
      </c>
      <c r="S13464" t="s">
        <v>42392</v>
      </c>
      <c r="T13464" t="s">
        <v>42674</v>
      </c>
      <c r="U13464" t="s">
        <v>53980</v>
      </c>
      <c r="V13464" t="s">
        <v>55851</v>
      </c>
      <c r="W13464" t="s">
        <v>55932</v>
      </c>
      <c r="X13464" t="s">
        <v>41293</v>
      </c>
    </row>
    <row r="13465" spans="1:24">
      <c r="A13465">
        <f>HYPERLINK("https://www.philgeps.gov.ph/GEPSNONPILOT/Tender/SplashBidNoticeAbstractUI.aspx?menuIndex=3&amp;refID=7014145&amp;Result=3","7014145")</f>
        <v>0</v>
      </c>
      <c r="B13465" t="s">
        <v>3343</v>
      </c>
      <c r="C13465" t="s">
        <v>16287</v>
      </c>
      <c r="D13465" t="s">
        <v>16622</v>
      </c>
      <c r="E13465" t="s">
        <v>16708</v>
      </c>
      <c r="F13465" t="s">
        <v>28669</v>
      </c>
      <c r="G13465" t="s">
        <v>28675</v>
      </c>
      <c r="H13465" t="s">
        <v>9998</v>
      </c>
      <c r="I13465" t="s">
        <v>3658</v>
      </c>
      <c r="J13465" t="s">
        <v>30041</v>
      </c>
      <c r="K13465" t="s">
        <v>37206</v>
      </c>
      <c r="M13465" t="s">
        <v>41192</v>
      </c>
      <c r="N13465" t="s">
        <v>41249</v>
      </c>
      <c r="O13465" t="s">
        <v>41250</v>
      </c>
      <c r="P13465">
        <v>0</v>
      </c>
      <c r="Q13465">
        <v>3</v>
      </c>
      <c r="R13465" t="s">
        <v>41287</v>
      </c>
      <c r="S13465" t="s">
        <v>42393</v>
      </c>
      <c r="T13465" t="s">
        <v>42679</v>
      </c>
      <c r="U13465" t="s">
        <v>53981</v>
      </c>
      <c r="V13465" t="s">
        <v>53981</v>
      </c>
      <c r="W13465" t="s">
        <v>41192</v>
      </c>
      <c r="X13465" t="s">
        <v>41283</v>
      </c>
    </row>
    <row r="13466" spans="1:24">
      <c r="A13466">
        <f>HYPERLINK("https://www.philgeps.gov.ph/GEPSNONPILOT/Tender/SplashBidNoticeAbstractUI.aspx?menuIndex=3&amp;refID=6986257&amp;Result=3","6986257")</f>
        <v>0</v>
      </c>
      <c r="B13466" t="s">
        <v>775</v>
      </c>
      <c r="C13466" t="s">
        <v>16288</v>
      </c>
      <c r="E13466" t="s">
        <v>28359</v>
      </c>
      <c r="F13466" t="s">
        <v>28669</v>
      </c>
      <c r="G13466" t="s">
        <v>28675</v>
      </c>
      <c r="H13466" t="s">
        <v>28686</v>
      </c>
      <c r="I13466" t="s">
        <v>28689</v>
      </c>
      <c r="J13466" t="s">
        <v>37013</v>
      </c>
      <c r="K13466" t="s">
        <v>37209</v>
      </c>
      <c r="M13466" t="s">
        <v>38289</v>
      </c>
      <c r="N13466" t="s">
        <v>41249</v>
      </c>
      <c r="O13466" t="s">
        <v>41250</v>
      </c>
      <c r="Q13466">
        <v>18</v>
      </c>
      <c r="R13466" t="s">
        <v>41289</v>
      </c>
      <c r="S13466" t="s">
        <v>42394</v>
      </c>
      <c r="T13466" t="s">
        <v>42708</v>
      </c>
      <c r="U13466" t="s">
        <v>53982</v>
      </c>
      <c r="W13466" t="s">
        <v>55957</v>
      </c>
      <c r="X13466" t="s">
        <v>41367</v>
      </c>
    </row>
    <row r="13467" spans="1:24">
      <c r="A13467">
        <f>HYPERLINK("https://www.philgeps.gov.ph/GEPSNONPILOT/Tender/SplashBidNoticeAbstractUI.aspx?menuIndex=3&amp;refID=6994488&amp;Result=3","6994488")</f>
        <v>0</v>
      </c>
      <c r="B13467" t="s">
        <v>822</v>
      </c>
      <c r="C13467" t="s">
        <v>16289</v>
      </c>
      <c r="D13467" t="s">
        <v>16608</v>
      </c>
      <c r="E13467" t="s">
        <v>28360</v>
      </c>
      <c r="F13467" t="s">
        <v>28669</v>
      </c>
      <c r="G13467" t="s">
        <v>28675</v>
      </c>
      <c r="H13467" t="s">
        <v>9998</v>
      </c>
      <c r="I13467" t="s">
        <v>3658</v>
      </c>
      <c r="J13467" t="s">
        <v>37014</v>
      </c>
      <c r="K13467" t="s">
        <v>37326</v>
      </c>
      <c r="M13467" t="s">
        <v>38757</v>
      </c>
      <c r="N13467" t="s">
        <v>41249</v>
      </c>
      <c r="O13467" t="s">
        <v>41250</v>
      </c>
      <c r="Q13467">
        <v>24</v>
      </c>
      <c r="R13467" t="s">
        <v>41292</v>
      </c>
      <c r="S13467" t="s">
        <v>42395</v>
      </c>
      <c r="T13467" t="s">
        <v>42759</v>
      </c>
      <c r="U13467" t="s">
        <v>53983</v>
      </c>
      <c r="W13467" t="s">
        <v>38757</v>
      </c>
      <c r="X13467" t="s">
        <v>41291</v>
      </c>
    </row>
    <row r="13468" spans="1:24">
      <c r="A13468">
        <f>HYPERLINK("https://www.philgeps.gov.ph/GEPSNONPILOT/Tender/SplashBidNoticeAbstractUI.aspx?menuIndex=3&amp;refID=7004595&amp;Result=3","7004595")</f>
        <v>0</v>
      </c>
      <c r="B13468" t="s">
        <v>1445</v>
      </c>
      <c r="C13468" t="s">
        <v>16290</v>
      </c>
      <c r="D13468" t="s">
        <v>16613</v>
      </c>
      <c r="E13468" t="s">
        <v>18032</v>
      </c>
      <c r="F13468" t="s">
        <v>28669</v>
      </c>
      <c r="G13468" t="s">
        <v>28675</v>
      </c>
      <c r="H13468" t="s">
        <v>28686</v>
      </c>
      <c r="I13468" t="s">
        <v>28689</v>
      </c>
      <c r="J13468" t="s">
        <v>29069</v>
      </c>
      <c r="K13468" t="s">
        <v>37218</v>
      </c>
      <c r="M13468" t="s">
        <v>39010</v>
      </c>
      <c r="N13468" t="s">
        <v>41249</v>
      </c>
      <c r="O13468" t="s">
        <v>41250</v>
      </c>
      <c r="Q13468">
        <v>9</v>
      </c>
      <c r="R13468" t="s">
        <v>41295</v>
      </c>
      <c r="S13468" t="s">
        <v>42396</v>
      </c>
      <c r="T13468" t="s">
        <v>43169</v>
      </c>
      <c r="U13468" t="s">
        <v>49864</v>
      </c>
      <c r="W13468" t="s">
        <v>39010</v>
      </c>
      <c r="X13468" t="s">
        <v>41296</v>
      </c>
    </row>
    <row r="13469" spans="1:24">
      <c r="A13469">
        <f>HYPERLINK("https://www.philgeps.gov.ph/GEPSNONPILOT/Tender/SplashBidNoticeAbstractUI.aspx?menuIndex=3&amp;refID=7002426&amp;Result=3","7002426")</f>
        <v>0</v>
      </c>
      <c r="B13469" t="s">
        <v>1624</v>
      </c>
      <c r="C13469" t="s">
        <v>16291</v>
      </c>
      <c r="D13469" t="s">
        <v>16624</v>
      </c>
      <c r="E13469" t="s">
        <v>28361</v>
      </c>
      <c r="F13469" t="s">
        <v>28669</v>
      </c>
      <c r="G13469" t="s">
        <v>28675</v>
      </c>
      <c r="H13469" t="s">
        <v>28686</v>
      </c>
      <c r="I13469" t="s">
        <v>28689</v>
      </c>
      <c r="J13469" t="s">
        <v>37015</v>
      </c>
      <c r="K13469" t="s">
        <v>37218</v>
      </c>
      <c r="M13469" t="s">
        <v>39887</v>
      </c>
      <c r="N13469" t="s">
        <v>41249</v>
      </c>
      <c r="O13469" t="s">
        <v>41250</v>
      </c>
      <c r="Q13469">
        <v>0</v>
      </c>
      <c r="R13469" t="s">
        <v>41296</v>
      </c>
      <c r="S13469" t="s">
        <v>42397</v>
      </c>
      <c r="T13469" t="s">
        <v>42690</v>
      </c>
      <c r="U13469" t="s">
        <v>48856</v>
      </c>
      <c r="W13469" t="s">
        <v>39887</v>
      </c>
      <c r="X13469" t="s">
        <v>56051</v>
      </c>
    </row>
    <row r="13470" spans="1:24">
      <c r="A13470">
        <f>HYPERLINK("https://www.philgeps.gov.ph/GEPSNONPILOT/Tender/SplashBidNoticeAbstractUI.aspx?menuIndex=3&amp;refID=7003939&amp;Result=3","7003939")</f>
        <v>0</v>
      </c>
      <c r="B13470" t="s">
        <v>298</v>
      </c>
      <c r="C13470" t="s">
        <v>16292</v>
      </c>
      <c r="D13470" t="s">
        <v>16673</v>
      </c>
      <c r="E13470" t="s">
        <v>28362</v>
      </c>
      <c r="F13470" t="s">
        <v>28669</v>
      </c>
      <c r="G13470" t="s">
        <v>28676</v>
      </c>
      <c r="H13470" t="s">
        <v>9998</v>
      </c>
      <c r="I13470" t="s">
        <v>28721</v>
      </c>
      <c r="J13470" t="s">
        <v>31607</v>
      </c>
      <c r="K13470" t="s">
        <v>37205</v>
      </c>
      <c r="M13470" t="s">
        <v>37777</v>
      </c>
      <c r="N13470" t="s">
        <v>41249</v>
      </c>
      <c r="O13470" t="s">
        <v>41250</v>
      </c>
      <c r="Q13470">
        <v>0</v>
      </c>
      <c r="R13470" t="s">
        <v>41295</v>
      </c>
      <c r="S13470" t="s">
        <v>41520</v>
      </c>
      <c r="T13470" t="s">
        <v>42778</v>
      </c>
      <c r="U13470" t="s">
        <v>53984</v>
      </c>
      <c r="W13470" t="s">
        <v>37777</v>
      </c>
      <c r="X13470" t="s">
        <v>41296</v>
      </c>
    </row>
    <row r="13471" spans="1:24">
      <c r="A13471">
        <f>HYPERLINK("https://www.philgeps.gov.ph/GEPSNONPILOT/Tender/SplashBidNoticeAbstractUI.aspx?menuIndex=3&amp;refID=6998549&amp;Result=3","6998549")</f>
        <v>0</v>
      </c>
      <c r="B13471" t="s">
        <v>786</v>
      </c>
      <c r="C13471" t="s">
        <v>16293</v>
      </c>
      <c r="D13471" t="s">
        <v>16627</v>
      </c>
      <c r="E13471" t="s">
        <v>28363</v>
      </c>
      <c r="F13471" t="s">
        <v>28669</v>
      </c>
      <c r="G13471" t="s">
        <v>28675</v>
      </c>
      <c r="H13471" t="s">
        <v>9998</v>
      </c>
      <c r="I13471" t="s">
        <v>7352</v>
      </c>
      <c r="J13471" t="s">
        <v>37016</v>
      </c>
      <c r="K13471" t="s">
        <v>37215</v>
      </c>
      <c r="M13471" t="s">
        <v>38300</v>
      </c>
      <c r="N13471" t="s">
        <v>41249</v>
      </c>
      <c r="O13471" t="s">
        <v>41250</v>
      </c>
      <c r="Q13471">
        <v>13</v>
      </c>
      <c r="R13471" t="s">
        <v>41294</v>
      </c>
      <c r="S13471" t="s">
        <v>42398</v>
      </c>
      <c r="T13471" t="s">
        <v>43000</v>
      </c>
      <c r="U13471" t="s">
        <v>53985</v>
      </c>
      <c r="V13471" t="s">
        <v>55851</v>
      </c>
      <c r="W13471" t="s">
        <v>55932</v>
      </c>
      <c r="X13471" t="s">
        <v>41293</v>
      </c>
    </row>
    <row r="13472" spans="1:24">
      <c r="A13472">
        <f>HYPERLINK("https://www.philgeps.gov.ph/GEPSNONPILOT/Tender/SplashBidNoticeAbstractUI.aspx?menuIndex=3&amp;refID=7002535&amp;Result=3","7002535")</f>
        <v>0</v>
      </c>
      <c r="B13472" t="s">
        <v>1624</v>
      </c>
      <c r="C13472" t="s">
        <v>16294</v>
      </c>
      <c r="D13472" t="s">
        <v>16624</v>
      </c>
      <c r="E13472" t="s">
        <v>28364</v>
      </c>
      <c r="F13472" t="s">
        <v>28669</v>
      </c>
      <c r="G13472" t="s">
        <v>28675</v>
      </c>
      <c r="H13472" t="s">
        <v>28686</v>
      </c>
      <c r="I13472" t="s">
        <v>28689</v>
      </c>
      <c r="J13472" t="s">
        <v>37017</v>
      </c>
      <c r="K13472" t="s">
        <v>37218</v>
      </c>
      <c r="M13472" t="s">
        <v>39887</v>
      </c>
      <c r="N13472" t="s">
        <v>41249</v>
      </c>
      <c r="O13472" t="s">
        <v>41250</v>
      </c>
      <c r="Q13472">
        <v>0</v>
      </c>
      <c r="R13472" t="s">
        <v>41296</v>
      </c>
      <c r="S13472" t="s">
        <v>42399</v>
      </c>
      <c r="T13472" t="s">
        <v>42679</v>
      </c>
      <c r="U13472" t="s">
        <v>48856</v>
      </c>
      <c r="W13472" t="s">
        <v>39887</v>
      </c>
      <c r="X13472" t="s">
        <v>56051</v>
      </c>
    </row>
    <row r="13473" spans="1:24">
      <c r="A13473">
        <f>HYPERLINK("https://www.philgeps.gov.ph/GEPSNONPILOT/Tender/SplashBidNoticeAbstractUI.aspx?menuIndex=3&amp;refID=7002518&amp;Result=3","7002518")</f>
        <v>0</v>
      </c>
      <c r="B13473" t="s">
        <v>1624</v>
      </c>
      <c r="C13473" t="s">
        <v>16295</v>
      </c>
      <c r="D13473" t="s">
        <v>16624</v>
      </c>
      <c r="E13473" t="s">
        <v>28365</v>
      </c>
      <c r="F13473" t="s">
        <v>28669</v>
      </c>
      <c r="G13473" t="s">
        <v>28675</v>
      </c>
      <c r="H13473" t="s">
        <v>28686</v>
      </c>
      <c r="I13473" t="s">
        <v>28689</v>
      </c>
      <c r="J13473" t="s">
        <v>37018</v>
      </c>
      <c r="K13473" t="s">
        <v>37382</v>
      </c>
      <c r="M13473" t="s">
        <v>39887</v>
      </c>
      <c r="N13473" t="s">
        <v>41249</v>
      </c>
      <c r="O13473" t="s">
        <v>41250</v>
      </c>
      <c r="Q13473">
        <v>0</v>
      </c>
      <c r="R13473" t="s">
        <v>41296</v>
      </c>
      <c r="S13473" t="s">
        <v>42400</v>
      </c>
      <c r="T13473" t="s">
        <v>42679</v>
      </c>
      <c r="U13473" t="s">
        <v>48856</v>
      </c>
      <c r="W13473" t="s">
        <v>39887</v>
      </c>
      <c r="X13473" t="s">
        <v>56051</v>
      </c>
    </row>
    <row r="13474" spans="1:24">
      <c r="A13474">
        <f>HYPERLINK("https://www.philgeps.gov.ph/GEPSNONPILOT/Tender/SplashBidNoticeAbstractUI.aspx?menuIndex=3&amp;refID=7000670&amp;Result=3","7000670")</f>
        <v>0</v>
      </c>
      <c r="B13474" t="s">
        <v>1624</v>
      </c>
      <c r="C13474" t="s">
        <v>16296</v>
      </c>
      <c r="D13474" t="s">
        <v>16624</v>
      </c>
      <c r="E13474" t="s">
        <v>28366</v>
      </c>
      <c r="F13474" t="s">
        <v>28669</v>
      </c>
      <c r="G13474" t="s">
        <v>28675</v>
      </c>
      <c r="H13474" t="s">
        <v>28686</v>
      </c>
      <c r="I13474" t="s">
        <v>28689</v>
      </c>
      <c r="J13474" t="s">
        <v>37019</v>
      </c>
      <c r="K13474" t="s">
        <v>37303</v>
      </c>
      <c r="M13474" t="s">
        <v>39887</v>
      </c>
      <c r="N13474" t="s">
        <v>41249</v>
      </c>
      <c r="O13474" t="s">
        <v>41250</v>
      </c>
      <c r="Q13474">
        <v>0</v>
      </c>
      <c r="R13474" t="s">
        <v>41296</v>
      </c>
      <c r="S13474" t="s">
        <v>42401</v>
      </c>
      <c r="T13474" t="s">
        <v>42679</v>
      </c>
      <c r="U13474" t="s">
        <v>48856</v>
      </c>
      <c r="W13474" t="s">
        <v>39887</v>
      </c>
      <c r="X13474" t="s">
        <v>56050</v>
      </c>
    </row>
    <row r="13475" spans="1:24">
      <c r="A13475">
        <f>HYPERLINK("https://www.philgeps.gov.ph/GEPSNONPILOT/Tender/SplashBidNoticeAbstractUI.aspx?menuIndex=3&amp;refID=7003908&amp;Result=3","7003908")</f>
        <v>0</v>
      </c>
      <c r="B13475" t="s">
        <v>298</v>
      </c>
      <c r="C13475" t="s">
        <v>16297</v>
      </c>
      <c r="D13475" t="s">
        <v>16608</v>
      </c>
      <c r="E13475" t="s">
        <v>28367</v>
      </c>
      <c r="F13475" t="s">
        <v>28669</v>
      </c>
      <c r="G13475" t="s">
        <v>28676</v>
      </c>
      <c r="H13475" t="s">
        <v>9998</v>
      </c>
      <c r="I13475" t="s">
        <v>28728</v>
      </c>
      <c r="J13475" t="s">
        <v>28834</v>
      </c>
      <c r="K13475" t="s">
        <v>37205</v>
      </c>
      <c r="M13475" t="s">
        <v>37777</v>
      </c>
      <c r="N13475" t="s">
        <v>41249</v>
      </c>
      <c r="O13475" t="s">
        <v>41250</v>
      </c>
      <c r="Q13475">
        <v>1</v>
      </c>
      <c r="R13475" t="s">
        <v>41295</v>
      </c>
      <c r="S13475" t="s">
        <v>42402</v>
      </c>
      <c r="T13475" t="s">
        <v>42778</v>
      </c>
      <c r="U13475" t="s">
        <v>53986</v>
      </c>
      <c r="W13475" t="s">
        <v>37777</v>
      </c>
      <c r="X13475" t="s">
        <v>41296</v>
      </c>
    </row>
    <row r="13476" spans="1:24">
      <c r="A13476">
        <f>HYPERLINK("https://www.philgeps.gov.ph/GEPSNONPILOT/Tender/SplashBidNoticeAbstractUI.aspx?menuIndex=3&amp;refID=7011162&amp;Result=3","7011162")</f>
        <v>0</v>
      </c>
      <c r="B13476" t="s">
        <v>2295</v>
      </c>
      <c r="C13476" t="s">
        <v>16298</v>
      </c>
      <c r="E13476" t="s">
        <v>28368</v>
      </c>
      <c r="F13476" t="s">
        <v>28669</v>
      </c>
      <c r="G13476" t="s">
        <v>28676</v>
      </c>
      <c r="H13476" t="s">
        <v>9998</v>
      </c>
      <c r="I13476" t="s">
        <v>6128</v>
      </c>
      <c r="J13476" t="s">
        <v>28942</v>
      </c>
      <c r="K13476" t="s">
        <v>37205</v>
      </c>
      <c r="M13476" t="s">
        <v>39952</v>
      </c>
      <c r="N13476" t="s">
        <v>41249</v>
      </c>
      <c r="O13476" t="s">
        <v>41250</v>
      </c>
      <c r="Q13476">
        <v>8</v>
      </c>
      <c r="R13476" t="s">
        <v>41283</v>
      </c>
      <c r="S13476" t="s">
        <v>42403</v>
      </c>
      <c r="T13476" t="s">
        <v>42736</v>
      </c>
      <c r="U13476" t="s">
        <v>53987</v>
      </c>
      <c r="W13476" t="s">
        <v>39952</v>
      </c>
      <c r="X13476" t="s">
        <v>41285</v>
      </c>
    </row>
    <row r="13477" spans="1:24">
      <c r="A13477">
        <f>HYPERLINK("https://www.philgeps.gov.ph/GEPSNONPILOT/Tender/SplashBidNoticeAbstractUI.aspx?menuIndex=3&amp;refID=6986802&amp;Result=3","6986802")</f>
        <v>0</v>
      </c>
      <c r="B13477" t="s">
        <v>3114</v>
      </c>
      <c r="C13477" t="s">
        <v>16299</v>
      </c>
      <c r="D13477" t="s">
        <v>16627</v>
      </c>
      <c r="E13477" t="s">
        <v>28369</v>
      </c>
      <c r="F13477" t="s">
        <v>28669</v>
      </c>
      <c r="G13477" t="s">
        <v>28675</v>
      </c>
      <c r="H13477" t="s">
        <v>28685</v>
      </c>
      <c r="I13477" t="s">
        <v>28689</v>
      </c>
      <c r="J13477" t="s">
        <v>37020</v>
      </c>
      <c r="K13477" t="s">
        <v>37218</v>
      </c>
      <c r="L13477" t="s">
        <v>3114</v>
      </c>
      <c r="M13477" t="s">
        <v>40902</v>
      </c>
      <c r="N13477" t="s">
        <v>41249</v>
      </c>
      <c r="O13477" t="s">
        <v>41250</v>
      </c>
      <c r="Q13477">
        <v>3</v>
      </c>
      <c r="R13477" t="s">
        <v>41289</v>
      </c>
      <c r="S13477" t="s">
        <v>42404</v>
      </c>
      <c r="T13477" t="s">
        <v>42782</v>
      </c>
      <c r="U13477" t="s">
        <v>53988</v>
      </c>
      <c r="W13477" t="s">
        <v>40902</v>
      </c>
      <c r="X13477" t="s">
        <v>41367</v>
      </c>
    </row>
    <row r="13478" spans="1:24">
      <c r="A13478">
        <f>HYPERLINK("https://www.philgeps.gov.ph/GEPSNONPILOT/Tender/SplashBidNoticeAbstractUI.aspx?menuIndex=3&amp;refID=6974098&amp;Result=3","6974098")</f>
        <v>0</v>
      </c>
      <c r="B13478" t="s">
        <v>1972</v>
      </c>
      <c r="C13478" t="s">
        <v>16300</v>
      </c>
      <c r="D13478" t="s">
        <v>16628</v>
      </c>
      <c r="E13478" t="s">
        <v>28370</v>
      </c>
      <c r="F13478" t="s">
        <v>28669</v>
      </c>
      <c r="G13478" t="s">
        <v>28676</v>
      </c>
      <c r="H13478" t="s">
        <v>9998</v>
      </c>
      <c r="I13478" t="s">
        <v>28743</v>
      </c>
      <c r="J13478" t="s">
        <v>28859</v>
      </c>
      <c r="K13478" t="s">
        <v>37206</v>
      </c>
      <c r="M13478" t="s">
        <v>39606</v>
      </c>
      <c r="N13478" t="s">
        <v>41249</v>
      </c>
      <c r="O13478" t="s">
        <v>41250</v>
      </c>
      <c r="Q13478">
        <v>0</v>
      </c>
      <c r="R13478" t="s">
        <v>41297</v>
      </c>
      <c r="S13478" t="s">
        <v>41945</v>
      </c>
      <c r="T13478" t="s">
        <v>42673</v>
      </c>
      <c r="U13478" t="s">
        <v>53989</v>
      </c>
      <c r="W13478" t="s">
        <v>39606</v>
      </c>
      <c r="X13478" t="s">
        <v>56049</v>
      </c>
    </row>
    <row r="13479" spans="1:24">
      <c r="A13479">
        <f>HYPERLINK("https://www.philgeps.gov.ph/GEPSNONPILOT/Tender/SplashBidNoticeAbstractUI.aspx?menuIndex=3&amp;refID=6975651&amp;Result=3","6975651")</f>
        <v>0</v>
      </c>
      <c r="B13479" t="s">
        <v>637</v>
      </c>
      <c r="C13479" t="s">
        <v>16301</v>
      </c>
      <c r="D13479" t="s">
        <v>16647</v>
      </c>
      <c r="E13479" t="s">
        <v>28371</v>
      </c>
      <c r="F13479" t="s">
        <v>28669</v>
      </c>
      <c r="G13479" t="s">
        <v>28676</v>
      </c>
      <c r="H13479" t="s">
        <v>9998</v>
      </c>
      <c r="I13479" t="s">
        <v>3718</v>
      </c>
      <c r="J13479" t="s">
        <v>29110</v>
      </c>
      <c r="K13479" t="s">
        <v>37213</v>
      </c>
      <c r="M13479" t="s">
        <v>38138</v>
      </c>
      <c r="N13479" t="s">
        <v>41249</v>
      </c>
      <c r="O13479" t="s">
        <v>41250</v>
      </c>
      <c r="P13479">
        <v>0</v>
      </c>
      <c r="Q13479">
        <v>1</v>
      </c>
      <c r="R13479" t="s">
        <v>41298</v>
      </c>
      <c r="S13479" t="s">
        <v>42405</v>
      </c>
      <c r="T13479" t="s">
        <v>43170</v>
      </c>
      <c r="U13479" t="s">
        <v>44378</v>
      </c>
      <c r="W13479" t="s">
        <v>38138</v>
      </c>
      <c r="X13479" t="s">
        <v>56052</v>
      </c>
    </row>
    <row r="13480" spans="1:24">
      <c r="A13480">
        <f>HYPERLINK("https://www.philgeps.gov.ph/GEPSNONPILOT/Tender/SplashBidNoticeAbstractUI.aspx?menuIndex=3&amp;refID=6977331&amp;Result=3","6977331")</f>
        <v>0</v>
      </c>
      <c r="B13480" t="s">
        <v>3350</v>
      </c>
      <c r="C13480" t="s">
        <v>16302</v>
      </c>
      <c r="D13480" t="s">
        <v>16640</v>
      </c>
      <c r="E13480" t="s">
        <v>28372</v>
      </c>
      <c r="F13480" t="s">
        <v>28669</v>
      </c>
      <c r="G13480" t="s">
        <v>28675</v>
      </c>
      <c r="H13480" t="s">
        <v>28686</v>
      </c>
      <c r="I13480" t="s">
        <v>28696</v>
      </c>
      <c r="J13480" t="s">
        <v>37021</v>
      </c>
      <c r="K13480" t="s">
        <v>37213</v>
      </c>
      <c r="M13480" t="s">
        <v>41201</v>
      </c>
      <c r="N13480" t="s">
        <v>41249</v>
      </c>
      <c r="O13480" t="s">
        <v>41250</v>
      </c>
      <c r="Q13480">
        <v>7</v>
      </c>
      <c r="R13480" t="s">
        <v>41299</v>
      </c>
      <c r="S13480" t="s">
        <v>42406</v>
      </c>
      <c r="T13480" t="s">
        <v>43171</v>
      </c>
      <c r="U13480" t="s">
        <v>53990</v>
      </c>
      <c r="W13480" t="s">
        <v>41201</v>
      </c>
      <c r="X13480" t="s">
        <v>41298</v>
      </c>
    </row>
    <row r="13481" spans="1:24">
      <c r="A13481">
        <f>HYPERLINK("https://www.philgeps.gov.ph/GEPSNONPILOT/Tender/SplashBidNoticeAbstractUI.aspx?menuIndex=3&amp;refID=6977130&amp;Result=3","6977130")</f>
        <v>0</v>
      </c>
      <c r="B13481" t="s">
        <v>3350</v>
      </c>
      <c r="C13481" t="s">
        <v>16303</v>
      </c>
      <c r="D13481" t="s">
        <v>16640</v>
      </c>
      <c r="E13481" t="s">
        <v>28373</v>
      </c>
      <c r="F13481" t="s">
        <v>28669</v>
      </c>
      <c r="G13481" t="s">
        <v>28675</v>
      </c>
      <c r="H13481" t="s">
        <v>28686</v>
      </c>
      <c r="I13481" t="s">
        <v>28696</v>
      </c>
      <c r="J13481" t="s">
        <v>37022</v>
      </c>
      <c r="K13481" t="s">
        <v>37213</v>
      </c>
      <c r="M13481" t="s">
        <v>41201</v>
      </c>
      <c r="N13481" t="s">
        <v>41249</v>
      </c>
      <c r="O13481" t="s">
        <v>41250</v>
      </c>
      <c r="Q13481">
        <v>8</v>
      </c>
      <c r="R13481" t="s">
        <v>41299</v>
      </c>
      <c r="S13481" t="s">
        <v>42407</v>
      </c>
      <c r="T13481" t="s">
        <v>43171</v>
      </c>
      <c r="U13481" t="s">
        <v>53991</v>
      </c>
      <c r="W13481" t="s">
        <v>41201</v>
      </c>
      <c r="X13481" t="s">
        <v>41298</v>
      </c>
    </row>
    <row r="13482" spans="1:24">
      <c r="A13482">
        <f>HYPERLINK("https://www.philgeps.gov.ph/GEPSNONPILOT/Tender/SplashBidNoticeAbstractUI.aspx?menuIndex=3&amp;refID=6977068&amp;Result=3","6977068")</f>
        <v>0</v>
      </c>
      <c r="B13482" t="s">
        <v>3350</v>
      </c>
      <c r="C13482" t="s">
        <v>16304</v>
      </c>
      <c r="D13482" t="s">
        <v>16640</v>
      </c>
      <c r="E13482" t="s">
        <v>28374</v>
      </c>
      <c r="F13482" t="s">
        <v>28669</v>
      </c>
      <c r="G13482" t="s">
        <v>28675</v>
      </c>
      <c r="H13482" t="s">
        <v>28686</v>
      </c>
      <c r="I13482" t="s">
        <v>28689</v>
      </c>
      <c r="J13482" t="s">
        <v>37023</v>
      </c>
      <c r="K13482" t="s">
        <v>37215</v>
      </c>
      <c r="M13482" t="s">
        <v>41201</v>
      </c>
      <c r="N13482" t="s">
        <v>41249</v>
      </c>
      <c r="O13482" t="s">
        <v>41250</v>
      </c>
      <c r="Q13482">
        <v>6</v>
      </c>
      <c r="R13482" t="s">
        <v>41299</v>
      </c>
      <c r="S13482" t="s">
        <v>42408</v>
      </c>
      <c r="T13482" t="s">
        <v>43171</v>
      </c>
      <c r="U13482" t="s">
        <v>53992</v>
      </c>
      <c r="W13482" t="s">
        <v>41201</v>
      </c>
      <c r="X13482" t="s">
        <v>41298</v>
      </c>
    </row>
    <row r="13483" spans="1:24">
      <c r="A13483">
        <f>HYPERLINK("https://www.philgeps.gov.ph/GEPSNONPILOT/Tender/SplashBidNoticeAbstractUI.aspx?menuIndex=3&amp;refID=6976716&amp;Result=3","6976716")</f>
        <v>0</v>
      </c>
      <c r="B13483" t="s">
        <v>3350</v>
      </c>
      <c r="C13483" t="s">
        <v>16305</v>
      </c>
      <c r="D13483" t="s">
        <v>16640</v>
      </c>
      <c r="E13483" t="s">
        <v>28375</v>
      </c>
      <c r="F13483" t="s">
        <v>28669</v>
      </c>
      <c r="G13483" t="s">
        <v>28675</v>
      </c>
      <c r="H13483" t="s">
        <v>28686</v>
      </c>
      <c r="I13483" t="s">
        <v>28689</v>
      </c>
      <c r="J13483" t="s">
        <v>37024</v>
      </c>
      <c r="K13483" t="s">
        <v>37215</v>
      </c>
      <c r="M13483" t="s">
        <v>41201</v>
      </c>
      <c r="N13483" t="s">
        <v>41249</v>
      </c>
      <c r="O13483" t="s">
        <v>41250</v>
      </c>
      <c r="Q13483">
        <v>7</v>
      </c>
      <c r="R13483" t="s">
        <v>41299</v>
      </c>
      <c r="S13483" t="s">
        <v>42409</v>
      </c>
      <c r="T13483" t="s">
        <v>43171</v>
      </c>
      <c r="U13483" t="s">
        <v>53993</v>
      </c>
      <c r="W13483" t="s">
        <v>41201</v>
      </c>
      <c r="X13483" t="s">
        <v>41298</v>
      </c>
    </row>
    <row r="13484" spans="1:24">
      <c r="A13484">
        <f>HYPERLINK("https://www.philgeps.gov.ph/GEPSNONPILOT/Tender/SplashBidNoticeAbstractUI.aspx?menuIndex=3&amp;refID=7009228&amp;Result=3","7009228")</f>
        <v>0</v>
      </c>
      <c r="B13484" t="s">
        <v>2799</v>
      </c>
      <c r="C13484" t="s">
        <v>16306</v>
      </c>
      <c r="E13484" t="s">
        <v>28376</v>
      </c>
      <c r="F13484" t="s">
        <v>28669</v>
      </c>
      <c r="G13484" t="s">
        <v>28675</v>
      </c>
      <c r="H13484" t="s">
        <v>28685</v>
      </c>
      <c r="I13484" t="s">
        <v>28685</v>
      </c>
      <c r="J13484" t="s">
        <v>29484</v>
      </c>
      <c r="K13484" t="s">
        <v>37209</v>
      </c>
      <c r="M13484" t="s">
        <v>40525</v>
      </c>
      <c r="N13484" t="s">
        <v>41249</v>
      </c>
      <c r="O13484" t="s">
        <v>41250</v>
      </c>
      <c r="Q13484">
        <v>8</v>
      </c>
      <c r="R13484" t="s">
        <v>41286</v>
      </c>
      <c r="S13484" t="s">
        <v>42410</v>
      </c>
      <c r="T13484" t="s">
        <v>43172</v>
      </c>
      <c r="U13484" t="s">
        <v>53994</v>
      </c>
      <c r="W13484" t="s">
        <v>56037</v>
      </c>
      <c r="X13484" t="s">
        <v>56053</v>
      </c>
    </row>
    <row r="13485" spans="1:24">
      <c r="A13485">
        <f>HYPERLINK("https://www.philgeps.gov.ph/GEPSNONPILOT/Tender/SplashBidNoticeAbstractUI.aspx?menuIndex=3&amp;refID=6976656&amp;Result=3","6976656")</f>
        <v>0</v>
      </c>
      <c r="B13485" t="s">
        <v>3350</v>
      </c>
      <c r="C13485" t="s">
        <v>16307</v>
      </c>
      <c r="D13485" t="s">
        <v>16640</v>
      </c>
      <c r="E13485" t="s">
        <v>28377</v>
      </c>
      <c r="F13485" t="s">
        <v>28669</v>
      </c>
      <c r="G13485" t="s">
        <v>28675</v>
      </c>
      <c r="H13485" t="s">
        <v>28686</v>
      </c>
      <c r="I13485" t="s">
        <v>28689</v>
      </c>
      <c r="J13485" t="s">
        <v>37025</v>
      </c>
      <c r="K13485" t="s">
        <v>37215</v>
      </c>
      <c r="M13485" t="s">
        <v>41201</v>
      </c>
      <c r="N13485" t="s">
        <v>41249</v>
      </c>
      <c r="O13485" t="s">
        <v>41250</v>
      </c>
      <c r="Q13485">
        <v>10</v>
      </c>
      <c r="R13485" t="s">
        <v>41299</v>
      </c>
      <c r="S13485" t="s">
        <v>42411</v>
      </c>
      <c r="T13485" t="s">
        <v>43171</v>
      </c>
      <c r="U13485" t="s">
        <v>53995</v>
      </c>
      <c r="W13485" t="s">
        <v>41201</v>
      </c>
      <c r="X13485" t="s">
        <v>41298</v>
      </c>
    </row>
    <row r="13486" spans="1:24">
      <c r="A13486">
        <f>HYPERLINK("https://www.philgeps.gov.ph/GEPSNONPILOT/Tender/SplashBidNoticeAbstractUI.aspx?menuIndex=3&amp;refID=6979366&amp;Result=3","6979366")</f>
        <v>0</v>
      </c>
      <c r="B13486" t="s">
        <v>3351</v>
      </c>
      <c r="C13486" t="s">
        <v>16308</v>
      </c>
      <c r="D13486" t="s">
        <v>16608</v>
      </c>
      <c r="E13486" t="s">
        <v>28378</v>
      </c>
      <c r="F13486" t="s">
        <v>28669</v>
      </c>
      <c r="G13486" t="s">
        <v>28675</v>
      </c>
      <c r="H13486" t="s">
        <v>9998</v>
      </c>
      <c r="I13486" t="s">
        <v>11593</v>
      </c>
      <c r="J13486" t="s">
        <v>37026</v>
      </c>
      <c r="K13486" t="s">
        <v>37206</v>
      </c>
      <c r="M13486" t="s">
        <v>41202</v>
      </c>
      <c r="N13486" t="s">
        <v>41249</v>
      </c>
      <c r="O13486" t="s">
        <v>41250</v>
      </c>
      <c r="Q13486">
        <v>23</v>
      </c>
      <c r="R13486" t="s">
        <v>41300</v>
      </c>
      <c r="S13486" t="s">
        <v>42412</v>
      </c>
      <c r="T13486" t="s">
        <v>43173</v>
      </c>
      <c r="U13486" t="s">
        <v>53996</v>
      </c>
      <c r="W13486" t="s">
        <v>41202</v>
      </c>
      <c r="X13486" t="s">
        <v>56054</v>
      </c>
    </row>
    <row r="13487" spans="1:24">
      <c r="A13487">
        <f>HYPERLINK("https://www.philgeps.gov.ph/GEPSNONPILOT/Tender/SplashBidNoticeAbstractUI.aspx?menuIndex=3&amp;refID=6957124&amp;Result=3","6957124")</f>
        <v>0</v>
      </c>
      <c r="B13487" t="s">
        <v>703</v>
      </c>
      <c r="C13487" t="s">
        <v>16309</v>
      </c>
      <c r="E13487" t="s">
        <v>28379</v>
      </c>
      <c r="F13487" t="s">
        <v>28669</v>
      </c>
      <c r="G13487" t="s">
        <v>28675</v>
      </c>
      <c r="H13487" t="s">
        <v>9998</v>
      </c>
      <c r="I13487" t="s">
        <v>3718</v>
      </c>
      <c r="J13487" t="s">
        <v>29847</v>
      </c>
      <c r="K13487" t="s">
        <v>37209</v>
      </c>
      <c r="M13487" t="s">
        <v>40830</v>
      </c>
      <c r="N13487" t="s">
        <v>41249</v>
      </c>
      <c r="O13487" t="s">
        <v>41250</v>
      </c>
      <c r="Q13487">
        <v>16</v>
      </c>
      <c r="R13487" t="s">
        <v>41301</v>
      </c>
      <c r="S13487" t="s">
        <v>42280</v>
      </c>
      <c r="T13487" t="s">
        <v>42698</v>
      </c>
      <c r="U13487" t="s">
        <v>53997</v>
      </c>
      <c r="V13487" t="s">
        <v>55852</v>
      </c>
      <c r="W13487" t="s">
        <v>55926</v>
      </c>
      <c r="X13487" t="s">
        <v>41302</v>
      </c>
    </row>
    <row r="13488" spans="1:24">
      <c r="A13488">
        <f>HYPERLINK("https://www.philgeps.gov.ph/GEPSNONPILOT/Tender/SplashBidNoticeAbstractUI.aspx?menuIndex=3&amp;refID=6974036&amp;Result=3","6974036")</f>
        <v>0</v>
      </c>
      <c r="B13488" t="s">
        <v>1972</v>
      </c>
      <c r="C13488" t="s">
        <v>16310</v>
      </c>
      <c r="D13488" t="s">
        <v>16615</v>
      </c>
      <c r="E13488" t="s">
        <v>28380</v>
      </c>
      <c r="F13488" t="s">
        <v>28669</v>
      </c>
      <c r="G13488" t="s">
        <v>28678</v>
      </c>
      <c r="H13488" t="s">
        <v>9998</v>
      </c>
      <c r="I13488" t="s">
        <v>6128</v>
      </c>
      <c r="J13488" t="s">
        <v>29040</v>
      </c>
      <c r="K13488" t="s">
        <v>37227</v>
      </c>
      <c r="M13488" t="s">
        <v>39606</v>
      </c>
      <c r="N13488" t="s">
        <v>41249</v>
      </c>
      <c r="O13488" t="s">
        <v>41250</v>
      </c>
      <c r="Q13488">
        <v>4</v>
      </c>
      <c r="R13488" t="s">
        <v>41297</v>
      </c>
      <c r="S13488" t="s">
        <v>42413</v>
      </c>
      <c r="T13488" t="s">
        <v>42673</v>
      </c>
      <c r="U13488" t="s">
        <v>53998</v>
      </c>
      <c r="W13488" t="s">
        <v>39606</v>
      </c>
      <c r="X13488" t="s">
        <v>56049</v>
      </c>
    </row>
    <row r="13489" spans="1:24">
      <c r="A13489">
        <f>HYPERLINK("https://www.philgeps.gov.ph/GEPSNONPILOT/Tender/SplashBidNoticeAbstractUI.aspx?menuIndex=3&amp;refID=6956252&amp;Result=3","6956252")</f>
        <v>0</v>
      </c>
      <c r="B13489" t="s">
        <v>1387</v>
      </c>
      <c r="C13489" t="s">
        <v>16311</v>
      </c>
      <c r="D13489" t="s">
        <v>16668</v>
      </c>
      <c r="E13489" t="s">
        <v>28381</v>
      </c>
      <c r="F13489" t="s">
        <v>28669</v>
      </c>
      <c r="G13489" t="s">
        <v>28675</v>
      </c>
      <c r="H13489" t="s">
        <v>28686</v>
      </c>
      <c r="I13489" t="s">
        <v>28689</v>
      </c>
      <c r="J13489" t="s">
        <v>30808</v>
      </c>
      <c r="K13489" t="s">
        <v>37361</v>
      </c>
      <c r="M13489" t="s">
        <v>38949</v>
      </c>
      <c r="N13489" t="s">
        <v>41249</v>
      </c>
      <c r="O13489" t="s">
        <v>41250</v>
      </c>
      <c r="Q13489">
        <v>0</v>
      </c>
      <c r="R13489" t="s">
        <v>41302</v>
      </c>
      <c r="S13489" t="s">
        <v>41598</v>
      </c>
      <c r="T13489" t="s">
        <v>42664</v>
      </c>
      <c r="U13489" t="s">
        <v>53999</v>
      </c>
      <c r="W13489" t="s">
        <v>38949</v>
      </c>
      <c r="X13489" t="s">
        <v>41312</v>
      </c>
    </row>
    <row r="13490" spans="1:24">
      <c r="A13490">
        <f>HYPERLINK("https://www.philgeps.gov.ph/GEPSNONPILOT/Tender/SplashBidNoticeAbstractUI.aspx?menuIndex=3&amp;refID=6970779&amp;Result=3","6970779")</f>
        <v>0</v>
      </c>
      <c r="B13490" t="s">
        <v>750</v>
      </c>
      <c r="C13490" t="s">
        <v>16312</v>
      </c>
      <c r="D13490" t="s">
        <v>16687</v>
      </c>
      <c r="E13490" t="s">
        <v>28382</v>
      </c>
      <c r="F13490" t="s">
        <v>28669</v>
      </c>
      <c r="G13490" t="s">
        <v>28675</v>
      </c>
      <c r="H13490" t="s">
        <v>28686</v>
      </c>
      <c r="I13490" t="s">
        <v>28689</v>
      </c>
      <c r="J13490" t="s">
        <v>32463</v>
      </c>
      <c r="K13490" t="s">
        <v>37290</v>
      </c>
      <c r="M13490" t="s">
        <v>38260</v>
      </c>
      <c r="N13490" t="s">
        <v>41249</v>
      </c>
      <c r="O13490" t="s">
        <v>41250</v>
      </c>
      <c r="Q13490">
        <v>2</v>
      </c>
      <c r="R13490" t="s">
        <v>41303</v>
      </c>
      <c r="S13490" t="s">
        <v>42414</v>
      </c>
      <c r="T13490" t="s">
        <v>43174</v>
      </c>
      <c r="U13490" t="s">
        <v>54000</v>
      </c>
      <c r="W13490" t="s">
        <v>38260</v>
      </c>
      <c r="X13490" t="s">
        <v>41319</v>
      </c>
    </row>
    <row r="13491" spans="1:24">
      <c r="A13491">
        <f>HYPERLINK("https://www.philgeps.gov.ph/GEPSNONPILOT/Tender/SplashBidNoticeAbstractUI.aspx?menuIndex=3&amp;refID=6957747&amp;Result=3","6957747")</f>
        <v>0</v>
      </c>
      <c r="B13491" t="s">
        <v>1387</v>
      </c>
      <c r="C13491" t="s">
        <v>16313</v>
      </c>
      <c r="D13491" t="s">
        <v>16668</v>
      </c>
      <c r="E13491" t="s">
        <v>28383</v>
      </c>
      <c r="F13491" t="s">
        <v>28669</v>
      </c>
      <c r="G13491" t="s">
        <v>28675</v>
      </c>
      <c r="H13491" t="s">
        <v>28686</v>
      </c>
      <c r="I13491" t="s">
        <v>28689</v>
      </c>
      <c r="J13491" t="s">
        <v>31637</v>
      </c>
      <c r="K13491" t="s">
        <v>37211</v>
      </c>
      <c r="M13491" t="s">
        <v>38949</v>
      </c>
      <c r="N13491" t="s">
        <v>41249</v>
      </c>
      <c r="O13491" t="s">
        <v>41250</v>
      </c>
      <c r="Q13491">
        <v>0</v>
      </c>
      <c r="R13491" t="s">
        <v>41301</v>
      </c>
      <c r="S13491" t="s">
        <v>41824</v>
      </c>
      <c r="T13491" t="s">
        <v>42712</v>
      </c>
      <c r="U13491" t="s">
        <v>54001</v>
      </c>
      <c r="W13491" t="s">
        <v>38949</v>
      </c>
      <c r="X13491" t="s">
        <v>41302</v>
      </c>
    </row>
    <row r="13492" spans="1:24">
      <c r="A13492">
        <f>HYPERLINK("https://www.philgeps.gov.ph/GEPSNONPILOT/Tender/SplashBidNoticeAbstractUI.aspx?menuIndex=3&amp;refID=6957189&amp;Result=3","6957189")</f>
        <v>0</v>
      </c>
      <c r="B13492" t="s">
        <v>1387</v>
      </c>
      <c r="C13492" t="s">
        <v>16314</v>
      </c>
      <c r="D13492" t="s">
        <v>16668</v>
      </c>
      <c r="E13492" t="s">
        <v>28384</v>
      </c>
      <c r="F13492" t="s">
        <v>28669</v>
      </c>
      <c r="G13492" t="s">
        <v>28675</v>
      </c>
      <c r="H13492" t="s">
        <v>28686</v>
      </c>
      <c r="I13492" t="s">
        <v>28689</v>
      </c>
      <c r="J13492" t="s">
        <v>31637</v>
      </c>
      <c r="K13492" t="s">
        <v>37446</v>
      </c>
      <c r="M13492" t="s">
        <v>38949</v>
      </c>
      <c r="N13492" t="s">
        <v>41249</v>
      </c>
      <c r="O13492" t="s">
        <v>41250</v>
      </c>
      <c r="Q13492">
        <v>0</v>
      </c>
      <c r="R13492" t="s">
        <v>41301</v>
      </c>
      <c r="S13492" t="s">
        <v>41831</v>
      </c>
      <c r="T13492" t="s">
        <v>42712</v>
      </c>
      <c r="U13492" t="s">
        <v>54002</v>
      </c>
      <c r="W13492" t="s">
        <v>38949</v>
      </c>
      <c r="X13492" t="s">
        <v>41302</v>
      </c>
    </row>
    <row r="13493" spans="1:24">
      <c r="A13493">
        <f>HYPERLINK("https://www.philgeps.gov.ph/GEPSNONPILOT/Tender/SplashBidNoticeAbstractUI.aspx?menuIndex=3&amp;refID=6971017&amp;Result=3","6971017")</f>
        <v>0</v>
      </c>
      <c r="B13493" t="s">
        <v>1972</v>
      </c>
      <c r="C13493" t="s">
        <v>3788</v>
      </c>
      <c r="D13493" t="s">
        <v>16615</v>
      </c>
      <c r="E13493" t="s">
        <v>28385</v>
      </c>
      <c r="F13493" t="s">
        <v>28669</v>
      </c>
      <c r="G13493" t="s">
        <v>28678</v>
      </c>
      <c r="H13493" t="s">
        <v>9998</v>
      </c>
      <c r="I13493" t="s">
        <v>6128</v>
      </c>
      <c r="J13493" t="s">
        <v>36186</v>
      </c>
      <c r="K13493" t="s">
        <v>37205</v>
      </c>
      <c r="M13493" t="s">
        <v>39606</v>
      </c>
      <c r="N13493" t="s">
        <v>41249</v>
      </c>
      <c r="O13493" t="s">
        <v>41250</v>
      </c>
      <c r="Q13493">
        <v>0</v>
      </c>
      <c r="R13493" t="s">
        <v>41303</v>
      </c>
      <c r="S13493" t="s">
        <v>42415</v>
      </c>
      <c r="T13493" t="s">
        <v>42673</v>
      </c>
      <c r="U13493" t="s">
        <v>54003</v>
      </c>
      <c r="W13493" t="s">
        <v>39606</v>
      </c>
      <c r="X13493" t="s">
        <v>41319</v>
      </c>
    </row>
    <row r="13494" spans="1:24">
      <c r="A13494">
        <f>HYPERLINK("https://www.philgeps.gov.ph/GEPSNONPILOT/Tender/SplashBidNoticeAbstractUI.aspx?menuIndex=3&amp;refID=6976974&amp;Result=3","6976974")</f>
        <v>0</v>
      </c>
      <c r="B13494" t="s">
        <v>3350</v>
      </c>
      <c r="C13494" t="s">
        <v>16315</v>
      </c>
      <c r="D13494" t="s">
        <v>16640</v>
      </c>
      <c r="E13494" t="s">
        <v>28386</v>
      </c>
      <c r="F13494" t="s">
        <v>28669</v>
      </c>
      <c r="G13494" t="s">
        <v>28675</v>
      </c>
      <c r="H13494" t="s">
        <v>9998</v>
      </c>
      <c r="I13494" t="s">
        <v>28689</v>
      </c>
      <c r="J13494" t="s">
        <v>37027</v>
      </c>
      <c r="K13494" t="s">
        <v>37215</v>
      </c>
      <c r="M13494" t="s">
        <v>41201</v>
      </c>
      <c r="N13494" t="s">
        <v>41249</v>
      </c>
      <c r="O13494" t="s">
        <v>41250</v>
      </c>
      <c r="Q13494">
        <v>8</v>
      </c>
      <c r="R13494" t="s">
        <v>41299</v>
      </c>
      <c r="S13494" t="s">
        <v>42416</v>
      </c>
      <c r="T13494" t="s">
        <v>43171</v>
      </c>
      <c r="U13494" t="s">
        <v>54004</v>
      </c>
      <c r="W13494" t="s">
        <v>41201</v>
      </c>
      <c r="X13494" t="s">
        <v>41298</v>
      </c>
    </row>
    <row r="13495" spans="1:24">
      <c r="A13495">
        <f>HYPERLINK("https://www.philgeps.gov.ph/GEPSNONPILOT/Tender/SplashBidNoticeAbstractUI.aspx?menuIndex=3&amp;refID=6957664&amp;Result=3","6957664")</f>
        <v>0</v>
      </c>
      <c r="B13495" t="s">
        <v>1387</v>
      </c>
      <c r="C13495" t="s">
        <v>16316</v>
      </c>
      <c r="D13495" t="s">
        <v>16668</v>
      </c>
      <c r="E13495" t="s">
        <v>28387</v>
      </c>
      <c r="F13495" t="s">
        <v>28669</v>
      </c>
      <c r="G13495" t="s">
        <v>28675</v>
      </c>
      <c r="H13495" t="s">
        <v>28686</v>
      </c>
      <c r="I13495" t="s">
        <v>28689</v>
      </c>
      <c r="J13495" t="s">
        <v>30559</v>
      </c>
      <c r="K13495" t="s">
        <v>37213</v>
      </c>
      <c r="M13495" t="s">
        <v>38949</v>
      </c>
      <c r="N13495" t="s">
        <v>41249</v>
      </c>
      <c r="O13495" t="s">
        <v>41250</v>
      </c>
      <c r="Q13495">
        <v>0</v>
      </c>
      <c r="R13495" t="s">
        <v>41301</v>
      </c>
      <c r="S13495" t="s">
        <v>42417</v>
      </c>
      <c r="T13495" t="s">
        <v>42712</v>
      </c>
      <c r="U13495" t="s">
        <v>54005</v>
      </c>
      <c r="W13495" t="s">
        <v>38949</v>
      </c>
      <c r="X13495" t="s">
        <v>41302</v>
      </c>
    </row>
    <row r="13496" spans="1:24">
      <c r="A13496">
        <f>HYPERLINK("https://www.philgeps.gov.ph/GEPSNONPILOT/Tender/SplashBidNoticeAbstractUI.aspx?menuIndex=3&amp;refID=6957098&amp;Result=3","6957098")</f>
        <v>0</v>
      </c>
      <c r="B13496" t="s">
        <v>703</v>
      </c>
      <c r="C13496" t="s">
        <v>16317</v>
      </c>
      <c r="E13496" t="s">
        <v>28388</v>
      </c>
      <c r="F13496" t="s">
        <v>28669</v>
      </c>
      <c r="G13496" t="s">
        <v>28675</v>
      </c>
      <c r="H13496" t="s">
        <v>9998</v>
      </c>
      <c r="I13496" t="s">
        <v>11593</v>
      </c>
      <c r="J13496" t="s">
        <v>36793</v>
      </c>
      <c r="K13496" t="s">
        <v>37209</v>
      </c>
      <c r="M13496" t="s">
        <v>38209</v>
      </c>
      <c r="N13496" t="s">
        <v>41249</v>
      </c>
      <c r="O13496" t="s">
        <v>41250</v>
      </c>
      <c r="Q13496">
        <v>10</v>
      </c>
      <c r="R13496" t="s">
        <v>41301</v>
      </c>
      <c r="S13496" t="s">
        <v>41560</v>
      </c>
      <c r="T13496" t="s">
        <v>42929</v>
      </c>
      <c r="U13496" t="s">
        <v>54006</v>
      </c>
      <c r="W13496" t="s">
        <v>55926</v>
      </c>
      <c r="X13496" t="s">
        <v>41302</v>
      </c>
    </row>
    <row r="13497" spans="1:24">
      <c r="A13497">
        <f>HYPERLINK("https://www.philgeps.gov.ph/GEPSNONPILOT/Tender/SplashBidNoticeAbstractUI.aspx?menuIndex=3&amp;refID=6958253&amp;Result=3","6958253")</f>
        <v>0</v>
      </c>
      <c r="B13497" t="s">
        <v>1509</v>
      </c>
      <c r="C13497" t="s">
        <v>16318</v>
      </c>
      <c r="D13497" t="s">
        <v>16631</v>
      </c>
      <c r="E13497" t="s">
        <v>28389</v>
      </c>
      <c r="F13497" t="s">
        <v>28669</v>
      </c>
      <c r="G13497" t="s">
        <v>28676</v>
      </c>
      <c r="H13497" t="s">
        <v>9998</v>
      </c>
      <c r="I13497" t="s">
        <v>5213</v>
      </c>
      <c r="J13497" t="s">
        <v>37028</v>
      </c>
      <c r="K13497" t="s">
        <v>37220</v>
      </c>
      <c r="M13497" t="s">
        <v>39083</v>
      </c>
      <c r="N13497" t="s">
        <v>41249</v>
      </c>
      <c r="O13497" t="s">
        <v>41250</v>
      </c>
      <c r="Q13497">
        <v>8</v>
      </c>
      <c r="R13497" t="s">
        <v>41304</v>
      </c>
      <c r="S13497" t="s">
        <v>41808</v>
      </c>
      <c r="T13497" t="s">
        <v>42673</v>
      </c>
      <c r="U13497" t="s">
        <v>54007</v>
      </c>
      <c r="W13497" t="s">
        <v>39083</v>
      </c>
      <c r="X13497" t="s">
        <v>56055</v>
      </c>
    </row>
    <row r="13498" spans="1:24">
      <c r="A13498">
        <f>HYPERLINK("https://www.philgeps.gov.ph/GEPSNONPILOT/Tender/SplashBidNoticeAbstractUI.aspx?menuIndex=3&amp;refID=6957275&amp;Result=3","6957275")</f>
        <v>0</v>
      </c>
      <c r="B13498" t="s">
        <v>1387</v>
      </c>
      <c r="C13498" t="s">
        <v>16319</v>
      </c>
      <c r="D13498" t="s">
        <v>16668</v>
      </c>
      <c r="E13498" t="s">
        <v>28390</v>
      </c>
      <c r="F13498" t="s">
        <v>28669</v>
      </c>
      <c r="G13498" t="s">
        <v>28675</v>
      </c>
      <c r="H13498" t="s">
        <v>28686</v>
      </c>
      <c r="I13498" t="s">
        <v>28689</v>
      </c>
      <c r="J13498" t="s">
        <v>30503</v>
      </c>
      <c r="K13498" t="s">
        <v>37215</v>
      </c>
      <c r="M13498" t="s">
        <v>38949</v>
      </c>
      <c r="N13498" t="s">
        <v>41249</v>
      </c>
      <c r="O13498" t="s">
        <v>41250</v>
      </c>
      <c r="Q13498">
        <v>0</v>
      </c>
      <c r="R13498" t="s">
        <v>41301</v>
      </c>
      <c r="S13498" t="s">
        <v>42418</v>
      </c>
      <c r="T13498" t="s">
        <v>42712</v>
      </c>
      <c r="U13498" t="s">
        <v>54008</v>
      </c>
      <c r="W13498" t="s">
        <v>38949</v>
      </c>
      <c r="X13498" t="s">
        <v>41302</v>
      </c>
    </row>
    <row r="13499" spans="1:24">
      <c r="A13499">
        <f>HYPERLINK("https://www.philgeps.gov.ph/GEPSNONPILOT/Tender/SplashBidNoticeAbstractUI.aspx?menuIndex=3&amp;refID=6958238&amp;Result=3","6958238")</f>
        <v>0</v>
      </c>
      <c r="B13499" t="s">
        <v>1509</v>
      </c>
      <c r="C13499" t="s">
        <v>16320</v>
      </c>
      <c r="D13499" t="s">
        <v>16670</v>
      </c>
      <c r="E13499" t="s">
        <v>28391</v>
      </c>
      <c r="F13499" t="s">
        <v>28669</v>
      </c>
      <c r="G13499" t="s">
        <v>28676</v>
      </c>
      <c r="H13499" t="s">
        <v>9998</v>
      </c>
      <c r="I13499" t="s">
        <v>5213</v>
      </c>
      <c r="J13499" t="s">
        <v>29003</v>
      </c>
      <c r="K13499" t="s">
        <v>37206</v>
      </c>
      <c r="M13499" t="s">
        <v>39083</v>
      </c>
      <c r="N13499" t="s">
        <v>41249</v>
      </c>
      <c r="O13499" t="s">
        <v>41250</v>
      </c>
      <c r="Q13499">
        <v>7</v>
      </c>
      <c r="R13499" t="s">
        <v>41304</v>
      </c>
      <c r="S13499" t="s">
        <v>42419</v>
      </c>
      <c r="T13499" t="s">
        <v>42673</v>
      </c>
      <c r="U13499" t="s">
        <v>46582</v>
      </c>
      <c r="W13499" t="s">
        <v>39083</v>
      </c>
      <c r="X13499" t="s">
        <v>56055</v>
      </c>
    </row>
    <row r="13500" spans="1:24">
      <c r="A13500">
        <f>HYPERLINK("https://www.philgeps.gov.ph/GEPSNONPILOT/Tender/SplashBidNoticeAbstractUI.aspx?menuIndex=3&amp;refID=6974544&amp;Result=3","6974544")</f>
        <v>0</v>
      </c>
      <c r="B13500" t="s">
        <v>1972</v>
      </c>
      <c r="C13500" t="s">
        <v>16321</v>
      </c>
      <c r="D13500" t="s">
        <v>16657</v>
      </c>
      <c r="E13500" t="s">
        <v>28392</v>
      </c>
      <c r="F13500" t="s">
        <v>28669</v>
      </c>
      <c r="G13500" t="s">
        <v>28678</v>
      </c>
      <c r="H13500" t="s">
        <v>9998</v>
      </c>
      <c r="I13500" t="s">
        <v>28694</v>
      </c>
      <c r="J13500" t="s">
        <v>37029</v>
      </c>
      <c r="K13500" t="s">
        <v>37205</v>
      </c>
      <c r="M13500" t="s">
        <v>39606</v>
      </c>
      <c r="N13500" t="s">
        <v>41249</v>
      </c>
      <c r="O13500" t="s">
        <v>41250</v>
      </c>
      <c r="Q13500">
        <v>2</v>
      </c>
      <c r="R13500" t="s">
        <v>41297</v>
      </c>
      <c r="S13500" t="s">
        <v>41936</v>
      </c>
      <c r="T13500" t="s">
        <v>42673</v>
      </c>
      <c r="U13500" t="s">
        <v>54009</v>
      </c>
      <c r="W13500" t="s">
        <v>39606</v>
      </c>
      <c r="X13500" t="s">
        <v>56049</v>
      </c>
    </row>
    <row r="13501" spans="1:24">
      <c r="A13501">
        <f>HYPERLINK("https://www.philgeps.gov.ph/GEPSNONPILOT/Tender/SplashBidNoticeAbstractUI.aspx?menuIndex=3&amp;refID=6968396&amp;Result=3","6968396")</f>
        <v>0</v>
      </c>
      <c r="B13501" t="s">
        <v>703</v>
      </c>
      <c r="C13501" t="s">
        <v>16322</v>
      </c>
      <c r="E13501" t="s">
        <v>28393</v>
      </c>
      <c r="F13501" t="s">
        <v>28669</v>
      </c>
      <c r="G13501" t="s">
        <v>28675</v>
      </c>
      <c r="H13501" t="s">
        <v>9998</v>
      </c>
      <c r="I13501" t="s">
        <v>6128</v>
      </c>
      <c r="J13501" t="s">
        <v>37030</v>
      </c>
      <c r="K13501" t="s">
        <v>37209</v>
      </c>
      <c r="M13501" t="s">
        <v>40830</v>
      </c>
      <c r="N13501" t="s">
        <v>41249</v>
      </c>
      <c r="O13501" t="s">
        <v>41250</v>
      </c>
      <c r="Q13501">
        <v>6</v>
      </c>
      <c r="R13501" t="s">
        <v>41305</v>
      </c>
      <c r="S13501" t="s">
        <v>42420</v>
      </c>
      <c r="T13501" t="s">
        <v>42929</v>
      </c>
      <c r="U13501" t="s">
        <v>54010</v>
      </c>
      <c r="V13501" t="s">
        <v>55853</v>
      </c>
      <c r="W13501" t="s">
        <v>55926</v>
      </c>
      <c r="X13501" t="s">
        <v>56056</v>
      </c>
    </row>
    <row r="13502" spans="1:24">
      <c r="A13502">
        <f>HYPERLINK("https://www.philgeps.gov.ph/GEPSNONPILOT/Tender/SplashBidNoticeAbstractUI.aspx?menuIndex=3&amp;refID=6968335&amp;Result=3","6968335")</f>
        <v>0</v>
      </c>
      <c r="B13502" t="s">
        <v>703</v>
      </c>
      <c r="C13502" t="s">
        <v>16323</v>
      </c>
      <c r="E13502" t="s">
        <v>28394</v>
      </c>
      <c r="F13502" t="s">
        <v>28669</v>
      </c>
      <c r="G13502" t="s">
        <v>28675</v>
      </c>
      <c r="H13502" t="s">
        <v>9998</v>
      </c>
      <c r="I13502" t="s">
        <v>28688</v>
      </c>
      <c r="J13502" t="s">
        <v>37031</v>
      </c>
      <c r="K13502" t="s">
        <v>37209</v>
      </c>
      <c r="M13502" t="s">
        <v>40830</v>
      </c>
      <c r="N13502" t="s">
        <v>41249</v>
      </c>
      <c r="O13502" t="s">
        <v>41250</v>
      </c>
      <c r="Q13502">
        <v>11</v>
      </c>
      <c r="R13502" t="s">
        <v>41305</v>
      </c>
      <c r="S13502" t="s">
        <v>42421</v>
      </c>
      <c r="T13502" t="s">
        <v>42929</v>
      </c>
      <c r="U13502" t="s">
        <v>54011</v>
      </c>
      <c r="V13502" t="s">
        <v>55854</v>
      </c>
      <c r="W13502" t="s">
        <v>55926</v>
      </c>
      <c r="X13502" t="s">
        <v>56056</v>
      </c>
    </row>
    <row r="13503" spans="1:24">
      <c r="A13503">
        <f>HYPERLINK("https://www.philgeps.gov.ph/GEPSNONPILOT/Tender/SplashBidNoticeAbstractUI.aspx?menuIndex=3&amp;refID=6940269&amp;Result=3","6940269")</f>
        <v>0</v>
      </c>
      <c r="B13503" t="s">
        <v>101</v>
      </c>
      <c r="C13503" t="s">
        <v>16324</v>
      </c>
      <c r="D13503" t="s">
        <v>16644</v>
      </c>
      <c r="E13503" t="s">
        <v>28395</v>
      </c>
      <c r="F13503" t="s">
        <v>28669</v>
      </c>
      <c r="G13503" t="s">
        <v>28676</v>
      </c>
      <c r="H13503" t="s">
        <v>9998</v>
      </c>
      <c r="I13503" t="s">
        <v>28693</v>
      </c>
      <c r="J13503" t="s">
        <v>37032</v>
      </c>
      <c r="K13503" t="s">
        <v>37206</v>
      </c>
      <c r="M13503" t="s">
        <v>38633</v>
      </c>
      <c r="N13503" t="s">
        <v>41249</v>
      </c>
      <c r="O13503" t="s">
        <v>41250</v>
      </c>
      <c r="Q13503">
        <v>5</v>
      </c>
      <c r="R13503" t="s">
        <v>41306</v>
      </c>
      <c r="S13503" t="s">
        <v>42422</v>
      </c>
      <c r="T13503" t="s">
        <v>42748</v>
      </c>
      <c r="U13503" t="s">
        <v>54012</v>
      </c>
      <c r="W13503" t="s">
        <v>38633</v>
      </c>
      <c r="X13503" t="s">
        <v>41317</v>
      </c>
    </row>
    <row r="13504" spans="1:24">
      <c r="A13504">
        <f>HYPERLINK("https://www.philgeps.gov.ph/GEPSNONPILOT/Tender/SplashBidNoticeAbstractUI.aspx?menuIndex=3&amp;refID=6976799&amp;Result=3","6976799")</f>
        <v>0</v>
      </c>
      <c r="B13504" t="s">
        <v>3350</v>
      </c>
      <c r="C13504" t="s">
        <v>16325</v>
      </c>
      <c r="D13504" t="s">
        <v>16640</v>
      </c>
      <c r="E13504" t="s">
        <v>28396</v>
      </c>
      <c r="F13504" t="s">
        <v>28669</v>
      </c>
      <c r="G13504" t="s">
        <v>28675</v>
      </c>
      <c r="H13504" t="s">
        <v>28686</v>
      </c>
      <c r="I13504" t="s">
        <v>28689</v>
      </c>
      <c r="J13504" t="s">
        <v>37033</v>
      </c>
      <c r="K13504" t="s">
        <v>37215</v>
      </c>
      <c r="M13504" t="s">
        <v>41201</v>
      </c>
      <c r="N13504" t="s">
        <v>41249</v>
      </c>
      <c r="O13504" t="s">
        <v>41250</v>
      </c>
      <c r="Q13504">
        <v>6</v>
      </c>
      <c r="R13504" t="s">
        <v>41299</v>
      </c>
      <c r="S13504" t="s">
        <v>42423</v>
      </c>
      <c r="T13504" t="s">
        <v>43171</v>
      </c>
      <c r="U13504" t="s">
        <v>54013</v>
      </c>
      <c r="W13504" t="s">
        <v>41201</v>
      </c>
      <c r="X13504" t="s">
        <v>41298</v>
      </c>
    </row>
    <row r="13505" spans="1:24">
      <c r="A13505">
        <f>HYPERLINK("https://www.philgeps.gov.ph/GEPSNONPILOT/Tender/SplashBidNoticeAbstractUI.aspx?menuIndex=3&amp;refID=6957199&amp;Result=3","6957199")</f>
        <v>0</v>
      </c>
      <c r="B13505" t="s">
        <v>1387</v>
      </c>
      <c r="C13505" t="s">
        <v>16326</v>
      </c>
      <c r="D13505" t="s">
        <v>16668</v>
      </c>
      <c r="E13505" t="s">
        <v>28397</v>
      </c>
      <c r="F13505" t="s">
        <v>28669</v>
      </c>
      <c r="G13505" t="s">
        <v>28675</v>
      </c>
      <c r="H13505" t="s">
        <v>28686</v>
      </c>
      <c r="I13505" t="s">
        <v>28689</v>
      </c>
      <c r="J13505" t="s">
        <v>36240</v>
      </c>
      <c r="K13505" t="s">
        <v>37215</v>
      </c>
      <c r="M13505" t="s">
        <v>38949</v>
      </c>
      <c r="N13505" t="s">
        <v>41249</v>
      </c>
      <c r="O13505" t="s">
        <v>41250</v>
      </c>
      <c r="Q13505">
        <v>0</v>
      </c>
      <c r="R13505" t="s">
        <v>41301</v>
      </c>
      <c r="S13505" t="s">
        <v>42424</v>
      </c>
      <c r="T13505" t="s">
        <v>42712</v>
      </c>
      <c r="U13505" t="s">
        <v>54014</v>
      </c>
      <c r="W13505" t="s">
        <v>38949</v>
      </c>
      <c r="X13505" t="s">
        <v>41302</v>
      </c>
    </row>
    <row r="13506" spans="1:24">
      <c r="A13506">
        <f>HYPERLINK("https://www.philgeps.gov.ph/GEPSNONPILOT/Tender/SplashBidNoticeAbstractUI.aspx?menuIndex=3&amp;refID=6940081&amp;Result=3","6940081")</f>
        <v>0</v>
      </c>
      <c r="B13506" t="s">
        <v>1697</v>
      </c>
      <c r="C13506" t="s">
        <v>16327</v>
      </c>
      <c r="D13506" t="s">
        <v>16639</v>
      </c>
      <c r="E13506" t="s">
        <v>28398</v>
      </c>
      <c r="F13506" t="s">
        <v>28669</v>
      </c>
      <c r="G13506" t="s">
        <v>28682</v>
      </c>
      <c r="H13506" t="s">
        <v>28686</v>
      </c>
      <c r="I13506" t="s">
        <v>28689</v>
      </c>
      <c r="J13506" t="s">
        <v>32766</v>
      </c>
      <c r="K13506" t="s">
        <v>37209</v>
      </c>
      <c r="L13506" t="s">
        <v>1697</v>
      </c>
      <c r="M13506" t="s">
        <v>39297</v>
      </c>
      <c r="N13506" t="s">
        <v>41249</v>
      </c>
      <c r="O13506" t="s">
        <v>41250</v>
      </c>
      <c r="Q13506">
        <v>5</v>
      </c>
      <c r="R13506" t="s">
        <v>41307</v>
      </c>
      <c r="S13506" t="s">
        <v>42425</v>
      </c>
      <c r="T13506" t="s">
        <v>42754</v>
      </c>
      <c r="U13506" t="s">
        <v>54015</v>
      </c>
      <c r="W13506" t="s">
        <v>39297</v>
      </c>
      <c r="X13506" t="s">
        <v>41317</v>
      </c>
    </row>
    <row r="13507" spans="1:24">
      <c r="A13507">
        <f>HYPERLINK("https://www.philgeps.gov.ph/GEPSNONPILOT/Tender/SplashBidNoticeAbstractUI.aspx?menuIndex=3&amp;refID=6940045&amp;Result=3","6940045")</f>
        <v>0</v>
      </c>
      <c r="B13507" t="s">
        <v>989</v>
      </c>
      <c r="C13507" t="s">
        <v>16328</v>
      </c>
      <c r="D13507" t="s">
        <v>16679</v>
      </c>
      <c r="E13507" t="s">
        <v>28399</v>
      </c>
      <c r="F13507" t="s">
        <v>28669</v>
      </c>
      <c r="G13507" t="s">
        <v>28675</v>
      </c>
      <c r="H13507" t="s">
        <v>28686</v>
      </c>
      <c r="I13507" t="s">
        <v>28689</v>
      </c>
      <c r="J13507" t="s">
        <v>37034</v>
      </c>
      <c r="K13507" t="s">
        <v>37213</v>
      </c>
      <c r="M13507" t="s">
        <v>41203</v>
      </c>
      <c r="N13507" t="s">
        <v>41249</v>
      </c>
      <c r="O13507" t="s">
        <v>41250</v>
      </c>
      <c r="Q13507">
        <v>9</v>
      </c>
      <c r="R13507" t="s">
        <v>41306</v>
      </c>
      <c r="S13507" t="s">
        <v>42426</v>
      </c>
      <c r="T13507" t="s">
        <v>42688</v>
      </c>
      <c r="U13507" t="s">
        <v>54016</v>
      </c>
      <c r="W13507" t="s">
        <v>41203</v>
      </c>
      <c r="X13507" t="s">
        <v>41317</v>
      </c>
    </row>
    <row r="13508" spans="1:24">
      <c r="A13508">
        <f>HYPERLINK("https://www.philgeps.gov.ph/GEPSNONPILOT/Tender/SplashBidNoticeAbstractUI.aspx?menuIndex=3&amp;refID=6936462&amp;Result=3","6936462")</f>
        <v>0</v>
      </c>
      <c r="B13508" t="s">
        <v>2800</v>
      </c>
      <c r="C13508" t="s">
        <v>16329</v>
      </c>
      <c r="D13508" t="s">
        <v>16615</v>
      </c>
      <c r="E13508" t="s">
        <v>28400</v>
      </c>
      <c r="F13508" t="s">
        <v>28669</v>
      </c>
      <c r="G13508" t="s">
        <v>28675</v>
      </c>
      <c r="H13508" t="s">
        <v>28686</v>
      </c>
      <c r="I13508" t="s">
        <v>28689</v>
      </c>
      <c r="J13508" t="s">
        <v>37035</v>
      </c>
      <c r="K13508" t="s">
        <v>37489</v>
      </c>
      <c r="M13508" t="s">
        <v>40526</v>
      </c>
      <c r="N13508" t="s">
        <v>41249</v>
      </c>
      <c r="O13508" t="s">
        <v>41250</v>
      </c>
      <c r="Q13508">
        <v>24</v>
      </c>
      <c r="R13508" t="s">
        <v>41307</v>
      </c>
      <c r="S13508" t="s">
        <v>41631</v>
      </c>
      <c r="T13508" t="s">
        <v>42736</v>
      </c>
      <c r="U13508" t="s">
        <v>54017</v>
      </c>
      <c r="V13508" t="s">
        <v>46898</v>
      </c>
      <c r="W13508" t="s">
        <v>40526</v>
      </c>
      <c r="X13508" t="s">
        <v>41314</v>
      </c>
    </row>
    <row r="13509" spans="1:24">
      <c r="A13509">
        <f>HYPERLINK("https://www.philgeps.gov.ph/GEPSNONPILOT/Tender/SplashBidNoticeAbstractUI.aspx?menuIndex=3&amp;refID=6968422&amp;Result=3","6968422")</f>
        <v>0</v>
      </c>
      <c r="B13509" t="s">
        <v>703</v>
      </c>
      <c r="C13509" t="s">
        <v>16330</v>
      </c>
      <c r="E13509" t="s">
        <v>28401</v>
      </c>
      <c r="F13509" t="s">
        <v>28669</v>
      </c>
      <c r="G13509" t="s">
        <v>28675</v>
      </c>
      <c r="H13509" t="s">
        <v>9998</v>
      </c>
      <c r="I13509" t="s">
        <v>28699</v>
      </c>
      <c r="J13509" t="s">
        <v>37036</v>
      </c>
      <c r="K13509" t="s">
        <v>37209</v>
      </c>
      <c r="M13509" t="s">
        <v>38209</v>
      </c>
      <c r="N13509" t="s">
        <v>41249</v>
      </c>
      <c r="O13509" t="s">
        <v>41250</v>
      </c>
      <c r="Q13509">
        <v>20</v>
      </c>
      <c r="R13509" t="s">
        <v>41305</v>
      </c>
      <c r="S13509" t="s">
        <v>41613</v>
      </c>
      <c r="T13509" t="s">
        <v>42929</v>
      </c>
      <c r="U13509" t="s">
        <v>54018</v>
      </c>
      <c r="W13509" t="s">
        <v>55926</v>
      </c>
      <c r="X13509" t="s">
        <v>56056</v>
      </c>
    </row>
    <row r="13510" spans="1:24">
      <c r="A13510">
        <f>HYPERLINK("https://www.philgeps.gov.ph/GEPSNONPILOT/Tender/SplashBidNoticeAbstractUI.aspx?menuIndex=3&amp;refID=6947100&amp;Result=3","6947100")</f>
        <v>0</v>
      </c>
      <c r="B13510" t="s">
        <v>1496</v>
      </c>
      <c r="C13510" t="s">
        <v>16331</v>
      </c>
      <c r="D13510" t="s">
        <v>16621</v>
      </c>
      <c r="E13510" t="s">
        <v>28402</v>
      </c>
      <c r="F13510" t="s">
        <v>28669</v>
      </c>
      <c r="G13510" t="s">
        <v>28675</v>
      </c>
      <c r="H13510" t="s">
        <v>28685</v>
      </c>
      <c r="I13510" t="s">
        <v>28685</v>
      </c>
      <c r="J13510" t="s">
        <v>37037</v>
      </c>
      <c r="K13510" t="s">
        <v>37215</v>
      </c>
      <c r="M13510" t="s">
        <v>40316</v>
      </c>
      <c r="N13510" t="s">
        <v>41249</v>
      </c>
      <c r="O13510" t="s">
        <v>41250</v>
      </c>
      <c r="Q13510">
        <v>2</v>
      </c>
      <c r="R13510" t="s">
        <v>41308</v>
      </c>
      <c r="S13510" t="s">
        <v>42427</v>
      </c>
      <c r="T13510" t="s">
        <v>42690</v>
      </c>
      <c r="U13510" t="s">
        <v>54019</v>
      </c>
      <c r="W13510" t="s">
        <v>40316</v>
      </c>
      <c r="X13510" t="s">
        <v>41313</v>
      </c>
    </row>
    <row r="13511" spans="1:24">
      <c r="A13511">
        <f>HYPERLINK("https://www.philgeps.gov.ph/GEPSNONPILOT/Tender/SplashBidNoticeAbstractUI.aspx?menuIndex=3&amp;refID=6936486&amp;Result=3","6936486")</f>
        <v>0</v>
      </c>
      <c r="B13511" t="s">
        <v>2800</v>
      </c>
      <c r="C13511" t="s">
        <v>16332</v>
      </c>
      <c r="D13511" t="s">
        <v>16615</v>
      </c>
      <c r="E13511" t="s">
        <v>28403</v>
      </c>
      <c r="F13511" t="s">
        <v>28669</v>
      </c>
      <c r="G13511" t="s">
        <v>28675</v>
      </c>
      <c r="H13511" t="s">
        <v>28686</v>
      </c>
      <c r="I13511" t="s">
        <v>28689</v>
      </c>
      <c r="J13511" t="s">
        <v>37038</v>
      </c>
      <c r="K13511" t="s">
        <v>37489</v>
      </c>
      <c r="M13511" t="s">
        <v>40526</v>
      </c>
      <c r="N13511" t="s">
        <v>41249</v>
      </c>
      <c r="O13511" t="s">
        <v>41250</v>
      </c>
      <c r="Q13511">
        <v>24</v>
      </c>
      <c r="R13511" t="s">
        <v>41307</v>
      </c>
      <c r="S13511" t="s">
        <v>42428</v>
      </c>
      <c r="T13511" t="s">
        <v>42736</v>
      </c>
      <c r="U13511" t="s">
        <v>54020</v>
      </c>
      <c r="V13511" t="s">
        <v>46898</v>
      </c>
      <c r="W13511" t="s">
        <v>40526</v>
      </c>
      <c r="X13511" t="s">
        <v>41314</v>
      </c>
    </row>
    <row r="13512" spans="1:24">
      <c r="A13512">
        <f>HYPERLINK("https://www.philgeps.gov.ph/GEPSNONPILOT/Tender/SplashBidNoticeAbstractUI.aspx?menuIndex=3&amp;refID=6877479-2&amp;Result=3","6877479-2")</f>
        <v>0</v>
      </c>
      <c r="B13512" t="s">
        <v>1496</v>
      </c>
      <c r="C13512" t="s">
        <v>16333</v>
      </c>
      <c r="D13512" t="s">
        <v>16667</v>
      </c>
      <c r="E13512" t="s">
        <v>28404</v>
      </c>
      <c r="F13512" t="s">
        <v>28669</v>
      </c>
      <c r="G13512" t="s">
        <v>28675</v>
      </c>
      <c r="H13512" t="s">
        <v>28685</v>
      </c>
      <c r="I13512" t="s">
        <v>28685</v>
      </c>
      <c r="J13512" t="s">
        <v>37039</v>
      </c>
      <c r="K13512" t="s">
        <v>37212</v>
      </c>
      <c r="M13512" t="s">
        <v>40316</v>
      </c>
      <c r="N13512" t="s">
        <v>41249</v>
      </c>
      <c r="O13512" t="s">
        <v>41250</v>
      </c>
      <c r="Q13512">
        <v>1</v>
      </c>
      <c r="R13512" t="s">
        <v>41308</v>
      </c>
      <c r="S13512" t="s">
        <v>42092</v>
      </c>
      <c r="T13512" t="s">
        <v>42690</v>
      </c>
      <c r="U13512" t="s">
        <v>54021</v>
      </c>
      <c r="W13512" t="s">
        <v>40316</v>
      </c>
      <c r="X13512" t="s">
        <v>41313</v>
      </c>
    </row>
    <row r="13513" spans="1:24">
      <c r="A13513">
        <f>HYPERLINK("https://www.philgeps.gov.ph/GEPSNONPILOT/Tender/SplashBidNoticeAbstractUI.aspx?menuIndex=3&amp;refID=6877106-2&amp;Result=3","6877106-2")</f>
        <v>0</v>
      </c>
      <c r="B13513" t="s">
        <v>1496</v>
      </c>
      <c r="C13513" t="s">
        <v>16334</v>
      </c>
      <c r="D13513" t="s">
        <v>16621</v>
      </c>
      <c r="E13513" t="s">
        <v>28405</v>
      </c>
      <c r="F13513" t="s">
        <v>28669</v>
      </c>
      <c r="G13513" t="s">
        <v>28675</v>
      </c>
      <c r="H13513" t="s">
        <v>28685</v>
      </c>
      <c r="I13513" t="s">
        <v>28685</v>
      </c>
      <c r="J13513" t="s">
        <v>37040</v>
      </c>
      <c r="K13513" t="s">
        <v>37215</v>
      </c>
      <c r="M13513" t="s">
        <v>40316</v>
      </c>
      <c r="N13513" t="s">
        <v>41249</v>
      </c>
      <c r="O13513" t="s">
        <v>41250</v>
      </c>
      <c r="Q13513">
        <v>1</v>
      </c>
      <c r="R13513" t="s">
        <v>41308</v>
      </c>
      <c r="S13513" t="s">
        <v>42429</v>
      </c>
      <c r="T13513" t="s">
        <v>42690</v>
      </c>
      <c r="U13513" t="s">
        <v>54022</v>
      </c>
      <c r="W13513" t="s">
        <v>40316</v>
      </c>
      <c r="X13513" t="s">
        <v>41313</v>
      </c>
    </row>
    <row r="13514" spans="1:24">
      <c r="A13514">
        <f>HYPERLINK("https://www.philgeps.gov.ph/GEPSNONPILOT/Tender/SplashBidNoticeAbstractUI.aspx?menuIndex=3&amp;refID=6950842&amp;Result=3","6950842")</f>
        <v>0</v>
      </c>
      <c r="B13514" t="s">
        <v>1917</v>
      </c>
      <c r="C13514" t="s">
        <v>16335</v>
      </c>
      <c r="D13514" t="s">
        <v>16620</v>
      </c>
      <c r="E13514" t="s">
        <v>28406</v>
      </c>
      <c r="F13514" t="s">
        <v>28669</v>
      </c>
      <c r="G13514" t="s">
        <v>28676</v>
      </c>
      <c r="H13514" t="s">
        <v>9998</v>
      </c>
      <c r="I13514" t="s">
        <v>28692</v>
      </c>
      <c r="J13514" t="s">
        <v>37041</v>
      </c>
      <c r="K13514" t="s">
        <v>37209</v>
      </c>
      <c r="M13514" t="s">
        <v>39544</v>
      </c>
      <c r="N13514" t="s">
        <v>41249</v>
      </c>
      <c r="O13514" t="s">
        <v>41250</v>
      </c>
      <c r="Q13514">
        <v>2</v>
      </c>
      <c r="R13514" t="s">
        <v>41309</v>
      </c>
      <c r="S13514" t="s">
        <v>42430</v>
      </c>
      <c r="T13514" t="s">
        <v>42858</v>
      </c>
      <c r="U13514" t="s">
        <v>54023</v>
      </c>
      <c r="W13514" t="s">
        <v>39544</v>
      </c>
      <c r="X13514" t="s">
        <v>56057</v>
      </c>
    </row>
    <row r="13515" spans="1:24">
      <c r="A13515">
        <f>HYPERLINK("https://www.philgeps.gov.ph/GEPSNONPILOT/Tender/SplashBidNoticeAbstractUI.aspx?menuIndex=3&amp;refID=6952167&amp;Result=3","6952167")</f>
        <v>0</v>
      </c>
      <c r="B13515" t="s">
        <v>3352</v>
      </c>
      <c r="C13515" t="s">
        <v>16336</v>
      </c>
      <c r="D13515" t="s">
        <v>16608</v>
      </c>
      <c r="E13515" t="s">
        <v>28407</v>
      </c>
      <c r="F13515" t="s">
        <v>28669</v>
      </c>
      <c r="G13515" t="s">
        <v>28675</v>
      </c>
      <c r="H13515" t="s">
        <v>28684</v>
      </c>
      <c r="I13515" t="s">
        <v>11593</v>
      </c>
      <c r="J13515" t="s">
        <v>28850</v>
      </c>
      <c r="K13515" t="s">
        <v>37206</v>
      </c>
      <c r="M13515" t="s">
        <v>41204</v>
      </c>
      <c r="N13515" t="s">
        <v>41249</v>
      </c>
      <c r="O13515" t="s">
        <v>41250</v>
      </c>
      <c r="Q13515">
        <v>16</v>
      </c>
      <c r="R13515" t="s">
        <v>41310</v>
      </c>
      <c r="S13515" t="s">
        <v>41840</v>
      </c>
      <c r="T13515" t="s">
        <v>42906</v>
      </c>
      <c r="U13515" t="s">
        <v>54024</v>
      </c>
      <c r="W13515" t="s">
        <v>41204</v>
      </c>
      <c r="X13515" t="s">
        <v>41309</v>
      </c>
    </row>
    <row r="13516" spans="1:24">
      <c r="A13516">
        <f>HYPERLINK("https://www.philgeps.gov.ph/GEPSNONPILOT/Tender/SplashBidNoticeAbstractUI.aspx?menuIndex=3&amp;refID=6951562&amp;Result=3","6951562")</f>
        <v>0</v>
      </c>
      <c r="B13516" t="s">
        <v>1509</v>
      </c>
      <c r="C13516" t="s">
        <v>16337</v>
      </c>
      <c r="D13516" t="s">
        <v>16673</v>
      </c>
      <c r="E13516" t="s">
        <v>28408</v>
      </c>
      <c r="F13516" t="s">
        <v>28669</v>
      </c>
      <c r="G13516" t="s">
        <v>28676</v>
      </c>
      <c r="H13516" t="s">
        <v>9998</v>
      </c>
      <c r="I13516" t="s">
        <v>5213</v>
      </c>
      <c r="J13516" t="s">
        <v>31171</v>
      </c>
      <c r="K13516" t="s">
        <v>37213</v>
      </c>
      <c r="M13516" t="s">
        <v>39083</v>
      </c>
      <c r="N13516" t="s">
        <v>41249</v>
      </c>
      <c r="O13516" t="s">
        <v>41250</v>
      </c>
      <c r="Q13516">
        <v>4</v>
      </c>
      <c r="R13516" t="s">
        <v>41310</v>
      </c>
      <c r="S13516" t="s">
        <v>42431</v>
      </c>
      <c r="T13516" t="s">
        <v>43175</v>
      </c>
      <c r="U13516" t="s">
        <v>46582</v>
      </c>
      <c r="W13516" t="s">
        <v>39083</v>
      </c>
      <c r="X13516" t="s">
        <v>41309</v>
      </c>
    </row>
    <row r="13517" spans="1:24">
      <c r="A13517">
        <f>HYPERLINK("https://www.philgeps.gov.ph/GEPSNONPILOT/Tender/SplashBidNoticeAbstractUI.aspx?menuIndex=3&amp;refID=6952539&amp;Result=3","6952539")</f>
        <v>0</v>
      </c>
      <c r="B13517" t="s">
        <v>3353</v>
      </c>
      <c r="C13517" t="s">
        <v>16338</v>
      </c>
      <c r="D13517" t="s">
        <v>16650</v>
      </c>
      <c r="E13517" t="s">
        <v>28409</v>
      </c>
      <c r="F13517" t="s">
        <v>28669</v>
      </c>
      <c r="G13517" t="s">
        <v>28675</v>
      </c>
      <c r="H13517" t="s">
        <v>9998</v>
      </c>
      <c r="I13517" t="s">
        <v>28687</v>
      </c>
      <c r="J13517" t="s">
        <v>36793</v>
      </c>
      <c r="K13517" t="s">
        <v>37209</v>
      </c>
      <c r="M13517" t="s">
        <v>41205</v>
      </c>
      <c r="N13517" t="s">
        <v>41249</v>
      </c>
      <c r="O13517" t="s">
        <v>41250</v>
      </c>
      <c r="Q13517">
        <v>7</v>
      </c>
      <c r="R13517" t="s">
        <v>41311</v>
      </c>
      <c r="S13517" t="s">
        <v>42432</v>
      </c>
      <c r="T13517" t="s">
        <v>42739</v>
      </c>
      <c r="U13517" t="s">
        <v>54025</v>
      </c>
      <c r="W13517" t="s">
        <v>41205</v>
      </c>
      <c r="X13517" t="s">
        <v>41310</v>
      </c>
    </row>
    <row r="13518" spans="1:24">
      <c r="A13518">
        <f>HYPERLINK("https://www.philgeps.gov.ph/GEPSNONPILOT/Tender/SplashBidNoticeAbstractUI.aspx?menuIndex=3&amp;refID=6955412&amp;Result=3","6955412")</f>
        <v>0</v>
      </c>
      <c r="B13518" t="s">
        <v>1387</v>
      </c>
      <c r="C13518" t="s">
        <v>16339</v>
      </c>
      <c r="D13518" t="s">
        <v>16668</v>
      </c>
      <c r="E13518" t="s">
        <v>28410</v>
      </c>
      <c r="F13518" t="s">
        <v>28669</v>
      </c>
      <c r="G13518" t="s">
        <v>28675</v>
      </c>
      <c r="H13518" t="s">
        <v>28686</v>
      </c>
      <c r="I13518" t="s">
        <v>28689</v>
      </c>
      <c r="J13518" t="s">
        <v>37042</v>
      </c>
      <c r="K13518" t="s">
        <v>37459</v>
      </c>
      <c r="M13518" t="s">
        <v>38949</v>
      </c>
      <c r="N13518" t="s">
        <v>41249</v>
      </c>
      <c r="O13518" t="s">
        <v>41250</v>
      </c>
      <c r="Q13518">
        <v>1</v>
      </c>
      <c r="R13518" t="s">
        <v>41312</v>
      </c>
      <c r="S13518" t="s">
        <v>42433</v>
      </c>
      <c r="T13518" t="s">
        <v>42664</v>
      </c>
      <c r="U13518" t="s">
        <v>54026</v>
      </c>
      <c r="W13518" t="s">
        <v>38949</v>
      </c>
      <c r="X13518" t="s">
        <v>56058</v>
      </c>
    </row>
    <row r="13519" spans="1:24">
      <c r="A13519">
        <f>HYPERLINK("https://www.philgeps.gov.ph/GEPSNONPILOT/Tender/SplashBidNoticeAbstractUI.aspx?menuIndex=3&amp;refID=6946321&amp;Result=3","6946321")</f>
        <v>0</v>
      </c>
      <c r="B13519" t="s">
        <v>313</v>
      </c>
      <c r="C13519" t="s">
        <v>16340</v>
      </c>
      <c r="D13519" t="s">
        <v>16642</v>
      </c>
      <c r="E13519" t="s">
        <v>28411</v>
      </c>
      <c r="F13519" t="s">
        <v>28669</v>
      </c>
      <c r="G13519" t="s">
        <v>28681</v>
      </c>
      <c r="H13519" t="s">
        <v>28685</v>
      </c>
      <c r="I13519" t="s">
        <v>28774</v>
      </c>
      <c r="J13519" t="s">
        <v>37043</v>
      </c>
      <c r="K13519" t="s">
        <v>37235</v>
      </c>
      <c r="M13519" t="s">
        <v>37792</v>
      </c>
      <c r="N13519" t="s">
        <v>41249</v>
      </c>
      <c r="O13519" t="s">
        <v>41250</v>
      </c>
      <c r="Q13519">
        <v>11</v>
      </c>
      <c r="R13519" t="s">
        <v>41313</v>
      </c>
      <c r="S13519" t="s">
        <v>42434</v>
      </c>
      <c r="T13519" t="s">
        <v>42729</v>
      </c>
      <c r="U13519" t="s">
        <v>54027</v>
      </c>
      <c r="W13519" t="s">
        <v>37792</v>
      </c>
      <c r="X13519" t="s">
        <v>41307</v>
      </c>
    </row>
    <row r="13520" spans="1:24">
      <c r="A13520">
        <f>HYPERLINK("https://www.philgeps.gov.ph/GEPSNONPILOT/Tender/SplashBidNoticeAbstractUI.aspx?menuIndex=3&amp;refID=6956495&amp;Result=3","6956495")</f>
        <v>0</v>
      </c>
      <c r="B13520" t="s">
        <v>1387</v>
      </c>
      <c r="C13520" t="s">
        <v>16341</v>
      </c>
      <c r="D13520" t="s">
        <v>16668</v>
      </c>
      <c r="E13520" t="s">
        <v>28412</v>
      </c>
      <c r="F13520" t="s">
        <v>28669</v>
      </c>
      <c r="G13520" t="s">
        <v>28675</v>
      </c>
      <c r="H13520" t="s">
        <v>28686</v>
      </c>
      <c r="I13520" t="s">
        <v>28689</v>
      </c>
      <c r="J13520" t="s">
        <v>30929</v>
      </c>
      <c r="K13520" t="s">
        <v>37432</v>
      </c>
      <c r="M13520" t="s">
        <v>38949</v>
      </c>
      <c r="N13520" t="s">
        <v>41249</v>
      </c>
      <c r="O13520" t="s">
        <v>41250</v>
      </c>
      <c r="Q13520">
        <v>1</v>
      </c>
      <c r="R13520" t="s">
        <v>41302</v>
      </c>
      <c r="S13520" t="s">
        <v>42435</v>
      </c>
      <c r="T13520" t="s">
        <v>42664</v>
      </c>
      <c r="U13520" t="s">
        <v>54028</v>
      </c>
      <c r="W13520" t="s">
        <v>38949</v>
      </c>
      <c r="X13520" t="s">
        <v>41312</v>
      </c>
    </row>
    <row r="13521" spans="1:24">
      <c r="A13521">
        <f>HYPERLINK("https://www.philgeps.gov.ph/GEPSNONPILOT/Tender/SplashBidNoticeAbstractUI.aspx?menuIndex=3&amp;refID=6877324-2&amp;Result=3","6877324-2")</f>
        <v>0</v>
      </c>
      <c r="B13521" t="s">
        <v>1496</v>
      </c>
      <c r="C13521" t="s">
        <v>16342</v>
      </c>
      <c r="D13521" t="s">
        <v>16621</v>
      </c>
      <c r="E13521" t="s">
        <v>28413</v>
      </c>
      <c r="F13521" t="s">
        <v>28669</v>
      </c>
      <c r="G13521" t="s">
        <v>28675</v>
      </c>
      <c r="H13521" t="s">
        <v>28685</v>
      </c>
      <c r="I13521" t="s">
        <v>28685</v>
      </c>
      <c r="J13521" t="s">
        <v>37044</v>
      </c>
      <c r="K13521" t="s">
        <v>37212</v>
      </c>
      <c r="M13521" t="s">
        <v>40316</v>
      </c>
      <c r="N13521" t="s">
        <v>41249</v>
      </c>
      <c r="O13521" t="s">
        <v>41250</v>
      </c>
      <c r="Q13521">
        <v>1</v>
      </c>
      <c r="R13521" t="s">
        <v>41308</v>
      </c>
      <c r="S13521" t="s">
        <v>42436</v>
      </c>
      <c r="T13521" t="s">
        <v>42690</v>
      </c>
      <c r="U13521" t="s">
        <v>54029</v>
      </c>
      <c r="W13521" t="s">
        <v>40316</v>
      </c>
      <c r="X13521" t="s">
        <v>41313</v>
      </c>
    </row>
    <row r="13522" spans="1:24">
      <c r="A13522">
        <f>HYPERLINK("https://www.philgeps.gov.ph/GEPSNONPILOT/Tender/SplashBidNoticeAbstractUI.aspx?menuIndex=3&amp;refID=6917834&amp;Result=3","6917834")</f>
        <v>0</v>
      </c>
      <c r="B13522" t="s">
        <v>33</v>
      </c>
      <c r="C13522" t="s">
        <v>16343</v>
      </c>
      <c r="D13522" t="s">
        <v>16616</v>
      </c>
      <c r="E13522" t="s">
        <v>28414</v>
      </c>
      <c r="F13522" t="s">
        <v>28669</v>
      </c>
      <c r="G13522" t="s">
        <v>28675</v>
      </c>
      <c r="H13522" t="s">
        <v>9998</v>
      </c>
      <c r="I13522" t="s">
        <v>10128</v>
      </c>
      <c r="J13522" t="s">
        <v>34777</v>
      </c>
      <c r="K13522" t="s">
        <v>37433</v>
      </c>
      <c r="M13522" t="s">
        <v>37508</v>
      </c>
      <c r="N13522" t="s">
        <v>41249</v>
      </c>
      <c r="O13522" t="s">
        <v>41250</v>
      </c>
      <c r="Q13522">
        <v>3</v>
      </c>
      <c r="R13522" t="s">
        <v>41314</v>
      </c>
      <c r="S13522" t="s">
        <v>42437</v>
      </c>
      <c r="T13522" t="s">
        <v>42721</v>
      </c>
      <c r="U13522" t="s">
        <v>54030</v>
      </c>
      <c r="V13522" t="s">
        <v>54252</v>
      </c>
      <c r="W13522" t="s">
        <v>37508</v>
      </c>
      <c r="X13522" t="s">
        <v>41325</v>
      </c>
    </row>
    <row r="13523" spans="1:24">
      <c r="A13523">
        <f>HYPERLINK("https://www.philgeps.gov.ph/GEPSNONPILOT/Tender/SplashBidNoticeAbstractUI.aspx?menuIndex=3&amp;refID=6933623&amp;Result=3","6933623")</f>
        <v>0</v>
      </c>
      <c r="B13523" t="s">
        <v>298</v>
      </c>
      <c r="C13523" t="s">
        <v>3707</v>
      </c>
      <c r="D13523" t="s">
        <v>16608</v>
      </c>
      <c r="E13523" t="s">
        <v>28415</v>
      </c>
      <c r="F13523" t="s">
        <v>28669</v>
      </c>
      <c r="G13523" t="s">
        <v>28676</v>
      </c>
      <c r="H13523" t="s">
        <v>9998</v>
      </c>
      <c r="I13523" t="s">
        <v>28688</v>
      </c>
      <c r="J13523" t="s">
        <v>29477</v>
      </c>
      <c r="K13523" t="s">
        <v>37205</v>
      </c>
      <c r="M13523" t="s">
        <v>37777</v>
      </c>
      <c r="N13523" t="s">
        <v>41249</v>
      </c>
      <c r="O13523" t="s">
        <v>41250</v>
      </c>
      <c r="Q13523">
        <v>5</v>
      </c>
      <c r="R13523" t="s">
        <v>41314</v>
      </c>
      <c r="S13523" t="s">
        <v>42438</v>
      </c>
      <c r="T13523" t="s">
        <v>42778</v>
      </c>
      <c r="U13523" t="s">
        <v>54031</v>
      </c>
      <c r="W13523" t="s">
        <v>37777</v>
      </c>
      <c r="X13523" t="s">
        <v>41320</v>
      </c>
    </row>
    <row r="13524" spans="1:24">
      <c r="A13524">
        <f>HYPERLINK("https://www.philgeps.gov.ph/GEPSNONPILOT/Tender/SplashBidNoticeAbstractUI.aspx?menuIndex=3&amp;refID=6954272&amp;Result=3","6954272")</f>
        <v>0</v>
      </c>
      <c r="B13524" t="s">
        <v>3354</v>
      </c>
      <c r="C13524" t="s">
        <v>16344</v>
      </c>
      <c r="E13524" t="s">
        <v>28416</v>
      </c>
      <c r="F13524" t="s">
        <v>28671</v>
      </c>
      <c r="G13524" t="s">
        <v>28676</v>
      </c>
      <c r="H13524" t="s">
        <v>9998</v>
      </c>
      <c r="I13524" t="s">
        <v>28701</v>
      </c>
      <c r="J13524" t="s">
        <v>28894</v>
      </c>
      <c r="K13524" t="s">
        <v>37209</v>
      </c>
      <c r="M13524" t="s">
        <v>41206</v>
      </c>
      <c r="N13524" t="s">
        <v>41249</v>
      </c>
      <c r="O13524" t="s">
        <v>41250</v>
      </c>
      <c r="P13524">
        <v>0</v>
      </c>
      <c r="Q13524">
        <v>5</v>
      </c>
      <c r="R13524" t="s">
        <v>41315</v>
      </c>
      <c r="S13524" t="s">
        <v>42439</v>
      </c>
      <c r="T13524" t="s">
        <v>43176</v>
      </c>
      <c r="U13524" t="s">
        <v>54032</v>
      </c>
      <c r="W13524" t="s">
        <v>41206</v>
      </c>
      <c r="X13524" t="s">
        <v>41311</v>
      </c>
    </row>
    <row r="13525" spans="1:24">
      <c r="A13525">
        <f>HYPERLINK("https://www.philgeps.gov.ph/GEPSNONPILOT/Tender/SplashBidNoticeAbstractUI.aspx?menuIndex=3&amp;refID=6933139&amp;Result=3","6933139")</f>
        <v>0</v>
      </c>
      <c r="B13525" t="s">
        <v>1533</v>
      </c>
      <c r="C13525" t="s">
        <v>16345</v>
      </c>
      <c r="D13525" t="s">
        <v>16617</v>
      </c>
      <c r="E13525" t="s">
        <v>28417</v>
      </c>
      <c r="F13525" t="s">
        <v>28669</v>
      </c>
      <c r="G13525" t="s">
        <v>28675</v>
      </c>
      <c r="H13525" t="s">
        <v>9998</v>
      </c>
      <c r="I13525" t="s">
        <v>28818</v>
      </c>
      <c r="J13525" t="s">
        <v>37045</v>
      </c>
      <c r="K13525" t="s">
        <v>37209</v>
      </c>
      <c r="M13525" t="s">
        <v>40862</v>
      </c>
      <c r="N13525" t="s">
        <v>41249</v>
      </c>
      <c r="O13525" t="s">
        <v>41250</v>
      </c>
      <c r="Q13525">
        <v>8</v>
      </c>
      <c r="R13525" t="s">
        <v>41314</v>
      </c>
      <c r="S13525" t="s">
        <v>42440</v>
      </c>
      <c r="T13525" t="s">
        <v>42858</v>
      </c>
      <c r="U13525" t="s">
        <v>54033</v>
      </c>
      <c r="V13525" t="s">
        <v>55574</v>
      </c>
      <c r="W13525" t="s">
        <v>40862</v>
      </c>
      <c r="X13525" t="s">
        <v>41320</v>
      </c>
    </row>
    <row r="13526" spans="1:24">
      <c r="A13526">
        <f>HYPERLINK("https://www.philgeps.gov.ph/GEPSNONPILOT/Tender/SplashBidNoticeAbstractUI.aspx?menuIndex=3&amp;refID=6929936&amp;Result=3","6929936")</f>
        <v>0</v>
      </c>
      <c r="B13526" t="s">
        <v>703</v>
      </c>
      <c r="C13526" t="s">
        <v>16346</v>
      </c>
      <c r="E13526" t="s">
        <v>28418</v>
      </c>
      <c r="F13526" t="s">
        <v>28669</v>
      </c>
      <c r="G13526" t="s">
        <v>28675</v>
      </c>
      <c r="H13526" t="s">
        <v>9998</v>
      </c>
      <c r="I13526" t="s">
        <v>28728</v>
      </c>
      <c r="J13526" t="s">
        <v>37046</v>
      </c>
      <c r="K13526" t="s">
        <v>37209</v>
      </c>
      <c r="M13526" t="s">
        <v>40830</v>
      </c>
      <c r="N13526" t="s">
        <v>41249</v>
      </c>
      <c r="O13526" t="s">
        <v>41250</v>
      </c>
      <c r="Q13526">
        <v>5</v>
      </c>
      <c r="R13526" t="s">
        <v>41314</v>
      </c>
      <c r="S13526" t="s">
        <v>42441</v>
      </c>
      <c r="T13526" t="s">
        <v>42698</v>
      </c>
      <c r="U13526" t="s">
        <v>54034</v>
      </c>
      <c r="V13526" t="s">
        <v>55855</v>
      </c>
      <c r="W13526" t="s">
        <v>56036</v>
      </c>
      <c r="X13526" t="s">
        <v>41322</v>
      </c>
    </row>
    <row r="13527" spans="1:24">
      <c r="A13527">
        <f>HYPERLINK("https://www.philgeps.gov.ph/GEPSNONPILOT/Tender/SplashBidNoticeAbstractUI.aspx?menuIndex=3&amp;refID=6938859&amp;Result=3","6938859")</f>
        <v>0</v>
      </c>
      <c r="B13527" t="s">
        <v>1387</v>
      </c>
      <c r="C13527" t="s">
        <v>16347</v>
      </c>
      <c r="D13527" t="s">
        <v>16668</v>
      </c>
      <c r="E13527" t="s">
        <v>28419</v>
      </c>
      <c r="F13527" t="s">
        <v>28669</v>
      </c>
      <c r="G13527" t="s">
        <v>28675</v>
      </c>
      <c r="H13527" t="s">
        <v>28686</v>
      </c>
      <c r="I13527" t="s">
        <v>28689</v>
      </c>
      <c r="J13527" t="s">
        <v>36240</v>
      </c>
      <c r="K13527" t="s">
        <v>37213</v>
      </c>
      <c r="M13527" t="s">
        <v>38949</v>
      </c>
      <c r="N13527" t="s">
        <v>41249</v>
      </c>
      <c r="O13527" t="s">
        <v>41250</v>
      </c>
      <c r="Q13527">
        <v>0</v>
      </c>
      <c r="R13527" t="s">
        <v>41316</v>
      </c>
      <c r="S13527" t="s">
        <v>42442</v>
      </c>
      <c r="T13527" t="s">
        <v>42707</v>
      </c>
      <c r="U13527" t="s">
        <v>54035</v>
      </c>
      <c r="W13527" t="s">
        <v>38949</v>
      </c>
      <c r="X13527" t="s">
        <v>41314</v>
      </c>
    </row>
    <row r="13528" spans="1:24">
      <c r="A13528">
        <f>HYPERLINK("https://www.philgeps.gov.ph/GEPSNONPILOT/Tender/SplashBidNoticeAbstractUI.aspx?menuIndex=3&amp;refID=6937223&amp;Result=3","6937223")</f>
        <v>0</v>
      </c>
      <c r="B13528" t="s">
        <v>1387</v>
      </c>
      <c r="C13528" t="s">
        <v>16348</v>
      </c>
      <c r="D13528" t="s">
        <v>16668</v>
      </c>
      <c r="E13528" t="s">
        <v>28420</v>
      </c>
      <c r="F13528" t="s">
        <v>28669</v>
      </c>
      <c r="G13528" t="s">
        <v>28675</v>
      </c>
      <c r="H13528" t="s">
        <v>28686</v>
      </c>
      <c r="I13528" t="s">
        <v>28689</v>
      </c>
      <c r="J13528" t="s">
        <v>36240</v>
      </c>
      <c r="K13528" t="s">
        <v>37213</v>
      </c>
      <c r="M13528" t="s">
        <v>38949</v>
      </c>
      <c r="N13528" t="s">
        <v>41249</v>
      </c>
      <c r="O13528" t="s">
        <v>41250</v>
      </c>
      <c r="Q13528">
        <v>1</v>
      </c>
      <c r="R13528" t="s">
        <v>41316</v>
      </c>
      <c r="S13528" t="s">
        <v>42443</v>
      </c>
      <c r="T13528" t="s">
        <v>42707</v>
      </c>
      <c r="U13528" t="s">
        <v>54036</v>
      </c>
      <c r="W13528" t="s">
        <v>38949</v>
      </c>
      <c r="X13528" t="s">
        <v>41314</v>
      </c>
    </row>
    <row r="13529" spans="1:24">
      <c r="A13529">
        <f>HYPERLINK("https://www.philgeps.gov.ph/GEPSNONPILOT/Tender/SplashBidNoticeAbstractUI.aspx?menuIndex=3&amp;refID=6935854&amp;Result=3","6935854")</f>
        <v>0</v>
      </c>
      <c r="B13529" t="s">
        <v>1557</v>
      </c>
      <c r="C13529" t="s">
        <v>16349</v>
      </c>
      <c r="D13529" t="s">
        <v>16678</v>
      </c>
      <c r="E13529" t="s">
        <v>28421</v>
      </c>
      <c r="F13529" t="s">
        <v>28669</v>
      </c>
      <c r="G13529" t="s">
        <v>28675</v>
      </c>
      <c r="H13529" t="s">
        <v>28685</v>
      </c>
      <c r="I13529" t="s">
        <v>28685</v>
      </c>
      <c r="J13529" t="s">
        <v>29655</v>
      </c>
      <c r="K13529" t="s">
        <v>37215</v>
      </c>
      <c r="M13529" t="s">
        <v>39134</v>
      </c>
      <c r="N13529" t="s">
        <v>41249</v>
      </c>
      <c r="O13529" t="s">
        <v>41250</v>
      </c>
      <c r="Q13529">
        <v>10</v>
      </c>
      <c r="R13529" t="s">
        <v>41316</v>
      </c>
      <c r="S13529" t="s">
        <v>42444</v>
      </c>
      <c r="T13529" t="s">
        <v>43177</v>
      </c>
      <c r="U13529" t="s">
        <v>54037</v>
      </c>
      <c r="V13529" t="s">
        <v>55856</v>
      </c>
      <c r="W13529" t="s">
        <v>39134</v>
      </c>
      <c r="X13529" t="s">
        <v>41320</v>
      </c>
    </row>
    <row r="13530" spans="1:24">
      <c r="A13530">
        <f>HYPERLINK("https://www.philgeps.gov.ph/GEPSNONPILOT/Tender/SplashBidNoticeAbstractUI.aspx?menuIndex=3&amp;refID=6942209&amp;Result=3","6942209")</f>
        <v>0</v>
      </c>
      <c r="B13530" t="s">
        <v>1024</v>
      </c>
      <c r="C13530" t="s">
        <v>16350</v>
      </c>
      <c r="D13530" t="s">
        <v>16608</v>
      </c>
      <c r="E13530" t="s">
        <v>28422</v>
      </c>
      <c r="F13530" t="s">
        <v>28669</v>
      </c>
      <c r="G13530" t="s">
        <v>28675</v>
      </c>
      <c r="H13530" t="s">
        <v>28686</v>
      </c>
      <c r="I13530" t="s">
        <v>28689</v>
      </c>
      <c r="J13530" t="s">
        <v>37047</v>
      </c>
      <c r="K13530" t="s">
        <v>37218</v>
      </c>
      <c r="M13530" t="s">
        <v>39657</v>
      </c>
      <c r="N13530" t="s">
        <v>41249</v>
      </c>
      <c r="O13530" t="s">
        <v>41250</v>
      </c>
      <c r="Q13530">
        <v>7</v>
      </c>
      <c r="R13530" t="s">
        <v>41306</v>
      </c>
      <c r="S13530" t="s">
        <v>42445</v>
      </c>
      <c r="T13530" t="s">
        <v>42682</v>
      </c>
      <c r="U13530" t="s">
        <v>48161</v>
      </c>
      <c r="V13530" t="s">
        <v>55857</v>
      </c>
      <c r="W13530" t="s">
        <v>39657</v>
      </c>
      <c r="X13530" t="s">
        <v>41317</v>
      </c>
    </row>
    <row r="13531" spans="1:24">
      <c r="A13531">
        <f>HYPERLINK("https://www.philgeps.gov.ph/GEPSNONPILOT/Tender/SplashBidNoticeAbstractUI.aspx?menuIndex=3&amp;refID=6939956&amp;Result=3","6939956")</f>
        <v>0</v>
      </c>
      <c r="B13531" t="s">
        <v>763</v>
      </c>
      <c r="C13531" t="s">
        <v>16351</v>
      </c>
      <c r="D13531" t="s">
        <v>16627</v>
      </c>
      <c r="E13531" t="s">
        <v>28423</v>
      </c>
      <c r="F13531" t="s">
        <v>28669</v>
      </c>
      <c r="G13531" t="s">
        <v>28675</v>
      </c>
      <c r="H13531" t="s">
        <v>28685</v>
      </c>
      <c r="I13531" t="s">
        <v>28685</v>
      </c>
      <c r="J13531" t="s">
        <v>31152</v>
      </c>
      <c r="K13531" t="s">
        <v>37215</v>
      </c>
      <c r="M13531" t="s">
        <v>41207</v>
      </c>
      <c r="N13531" t="s">
        <v>41249</v>
      </c>
      <c r="O13531" t="s">
        <v>41250</v>
      </c>
      <c r="Q13531">
        <v>3</v>
      </c>
      <c r="R13531" t="s">
        <v>41317</v>
      </c>
      <c r="S13531" t="s">
        <v>42446</v>
      </c>
      <c r="T13531" t="s">
        <v>42727</v>
      </c>
      <c r="U13531" t="s">
        <v>54038</v>
      </c>
      <c r="W13531" t="s">
        <v>41207</v>
      </c>
      <c r="X13531" t="s">
        <v>56059</v>
      </c>
    </row>
    <row r="13532" spans="1:24">
      <c r="A13532">
        <f>HYPERLINK("https://www.philgeps.gov.ph/GEPSNONPILOT/Tender/SplashBidNoticeAbstractUI.aspx?menuIndex=3&amp;refID=6938754&amp;Result=3","6938754")</f>
        <v>0</v>
      </c>
      <c r="B13532" t="s">
        <v>411</v>
      </c>
      <c r="C13532" t="s">
        <v>16352</v>
      </c>
      <c r="D13532" t="s">
        <v>16616</v>
      </c>
      <c r="E13532" t="s">
        <v>28424</v>
      </c>
      <c r="F13532" t="s">
        <v>28669</v>
      </c>
      <c r="G13532" t="s">
        <v>28676</v>
      </c>
      <c r="H13532" t="s">
        <v>9998</v>
      </c>
      <c r="I13532" t="s">
        <v>28708</v>
      </c>
      <c r="J13532" t="s">
        <v>28905</v>
      </c>
      <c r="K13532" t="s">
        <v>37205</v>
      </c>
      <c r="M13532" t="s">
        <v>39337</v>
      </c>
      <c r="N13532" t="s">
        <v>41249</v>
      </c>
      <c r="O13532" t="s">
        <v>41250</v>
      </c>
      <c r="Q13532">
        <v>4</v>
      </c>
      <c r="R13532" t="s">
        <v>41317</v>
      </c>
      <c r="S13532" t="s">
        <v>42447</v>
      </c>
      <c r="T13532" t="s">
        <v>42706</v>
      </c>
      <c r="U13532" t="s">
        <v>54039</v>
      </c>
      <c r="W13532" t="s">
        <v>39337</v>
      </c>
      <c r="X13532" t="s">
        <v>41314</v>
      </c>
    </row>
    <row r="13533" spans="1:24">
      <c r="A13533">
        <f>HYPERLINK("https://www.philgeps.gov.ph/GEPSNONPILOT/Tender/SplashBidNoticeAbstractUI.aspx?menuIndex=3&amp;refID=6939748&amp;Result=3","6939748")</f>
        <v>0</v>
      </c>
      <c r="B13533" t="s">
        <v>1146</v>
      </c>
      <c r="C13533" t="s">
        <v>16353</v>
      </c>
      <c r="D13533" t="s">
        <v>16640</v>
      </c>
      <c r="E13533" t="s">
        <v>28425</v>
      </c>
      <c r="F13533" t="s">
        <v>28669</v>
      </c>
      <c r="G13533" t="s">
        <v>28675</v>
      </c>
      <c r="H13533" t="s">
        <v>28686</v>
      </c>
      <c r="I13533" t="s">
        <v>28689</v>
      </c>
      <c r="J13533" t="s">
        <v>37048</v>
      </c>
      <c r="K13533" t="s">
        <v>37211</v>
      </c>
      <c r="M13533" t="s">
        <v>39954</v>
      </c>
      <c r="N13533" t="s">
        <v>41249</v>
      </c>
      <c r="O13533" t="s">
        <v>41250</v>
      </c>
      <c r="Q13533">
        <v>4</v>
      </c>
      <c r="R13533" t="s">
        <v>41317</v>
      </c>
      <c r="S13533" t="s">
        <v>41664</v>
      </c>
      <c r="T13533" t="s">
        <v>43178</v>
      </c>
      <c r="U13533" t="s">
        <v>54040</v>
      </c>
      <c r="W13533" t="s">
        <v>39954</v>
      </c>
      <c r="X13533" t="s">
        <v>56059</v>
      </c>
    </row>
    <row r="13534" spans="1:24">
      <c r="A13534">
        <f>HYPERLINK("https://www.philgeps.gov.ph/GEPSNONPILOT/Tender/SplashBidNoticeAbstractUI.aspx?menuIndex=3&amp;refID=6942382&amp;Result=3","6942382")</f>
        <v>0</v>
      </c>
      <c r="B13534" t="s">
        <v>3355</v>
      </c>
      <c r="C13534" t="s">
        <v>16354</v>
      </c>
      <c r="D13534" t="s">
        <v>16654</v>
      </c>
      <c r="E13534" t="s">
        <v>28426</v>
      </c>
      <c r="F13534" t="s">
        <v>28669</v>
      </c>
      <c r="G13534" t="s">
        <v>28675</v>
      </c>
      <c r="H13534" t="s">
        <v>28686</v>
      </c>
      <c r="I13534" t="s">
        <v>28689</v>
      </c>
      <c r="J13534" t="s">
        <v>34949</v>
      </c>
      <c r="K13534" t="s">
        <v>37285</v>
      </c>
      <c r="M13534" t="s">
        <v>41208</v>
      </c>
      <c r="N13534" t="s">
        <v>41249</v>
      </c>
      <c r="O13534" t="s">
        <v>41250</v>
      </c>
      <c r="Q13534">
        <v>8</v>
      </c>
      <c r="R13534" t="s">
        <v>41306</v>
      </c>
      <c r="S13534" t="s">
        <v>42448</v>
      </c>
      <c r="T13534" t="s">
        <v>42739</v>
      </c>
      <c r="U13534" t="s">
        <v>54041</v>
      </c>
      <c r="W13534" t="s">
        <v>41208</v>
      </c>
      <c r="X13534" t="s">
        <v>41317</v>
      </c>
    </row>
    <row r="13535" spans="1:24">
      <c r="A13535">
        <f>HYPERLINK("https://www.philgeps.gov.ph/GEPSNONPILOT/Tender/SplashBidNoticeAbstractUI.aspx?menuIndex=3&amp;refID=6939743&amp;Result=3","6939743")</f>
        <v>0</v>
      </c>
      <c r="B13535" t="s">
        <v>1146</v>
      </c>
      <c r="C13535" t="s">
        <v>16355</v>
      </c>
      <c r="D13535" t="s">
        <v>16640</v>
      </c>
      <c r="E13535" t="s">
        <v>28427</v>
      </c>
      <c r="F13535" t="s">
        <v>28669</v>
      </c>
      <c r="G13535" t="s">
        <v>28675</v>
      </c>
      <c r="H13535" t="s">
        <v>28686</v>
      </c>
      <c r="I13535" t="s">
        <v>28689</v>
      </c>
      <c r="J13535" t="s">
        <v>37049</v>
      </c>
      <c r="K13535" t="s">
        <v>37212</v>
      </c>
      <c r="M13535" t="s">
        <v>39954</v>
      </c>
      <c r="N13535" t="s">
        <v>41249</v>
      </c>
      <c r="O13535" t="s">
        <v>41250</v>
      </c>
      <c r="Q13535">
        <v>11</v>
      </c>
      <c r="R13535" t="s">
        <v>41317</v>
      </c>
      <c r="S13535" t="s">
        <v>42449</v>
      </c>
      <c r="T13535" t="s">
        <v>42738</v>
      </c>
      <c r="U13535" t="s">
        <v>54042</v>
      </c>
      <c r="W13535" t="s">
        <v>39954</v>
      </c>
      <c r="X13535" t="s">
        <v>56059</v>
      </c>
    </row>
    <row r="13536" spans="1:24">
      <c r="A13536">
        <f>HYPERLINK("https://www.philgeps.gov.ph/GEPSNONPILOT/Tender/SplashBidNoticeAbstractUI.aspx?menuIndex=3&amp;refID=6942357&amp;Result=3","6942357")</f>
        <v>0</v>
      </c>
      <c r="B13536" t="s">
        <v>72</v>
      </c>
      <c r="C13536" t="s">
        <v>16356</v>
      </c>
      <c r="D13536" t="s">
        <v>16644</v>
      </c>
      <c r="E13536" t="s">
        <v>28428</v>
      </c>
      <c r="F13536" t="s">
        <v>28669</v>
      </c>
      <c r="G13536" t="s">
        <v>28675</v>
      </c>
      <c r="H13536" t="s">
        <v>28686</v>
      </c>
      <c r="I13536" t="s">
        <v>28689</v>
      </c>
      <c r="J13536" t="s">
        <v>32463</v>
      </c>
      <c r="K13536" t="s">
        <v>37215</v>
      </c>
      <c r="M13536" t="s">
        <v>37547</v>
      </c>
      <c r="N13536" t="s">
        <v>41249</v>
      </c>
      <c r="O13536" t="s">
        <v>41250</v>
      </c>
      <c r="Q13536">
        <v>5</v>
      </c>
      <c r="R13536" t="s">
        <v>41306</v>
      </c>
      <c r="S13536" t="s">
        <v>42450</v>
      </c>
      <c r="T13536" t="s">
        <v>42673</v>
      </c>
      <c r="U13536" t="s">
        <v>54043</v>
      </c>
      <c r="V13536" t="s">
        <v>55858</v>
      </c>
      <c r="W13536" t="s">
        <v>55934</v>
      </c>
      <c r="X13536" t="s">
        <v>41317</v>
      </c>
    </row>
    <row r="13537" spans="1:24">
      <c r="A13537">
        <f>HYPERLINK("https://www.philgeps.gov.ph/GEPSNONPILOT/Tender/SplashBidNoticeAbstractUI.aspx?menuIndex=3&amp;refID=6938600&amp;Result=3","6938600")</f>
        <v>0</v>
      </c>
      <c r="B13537" t="s">
        <v>3356</v>
      </c>
      <c r="C13537" t="s">
        <v>16357</v>
      </c>
      <c r="E13537" t="s">
        <v>28429</v>
      </c>
      <c r="F13537" t="s">
        <v>28669</v>
      </c>
      <c r="G13537" t="s">
        <v>28675</v>
      </c>
      <c r="H13537" t="s">
        <v>28684</v>
      </c>
      <c r="I13537" t="s">
        <v>10128</v>
      </c>
      <c r="J13537" t="s">
        <v>37050</v>
      </c>
      <c r="K13537" t="s">
        <v>37235</v>
      </c>
      <c r="M13537" t="s">
        <v>41209</v>
      </c>
      <c r="N13537" t="s">
        <v>41249</v>
      </c>
      <c r="O13537" t="s">
        <v>41250</v>
      </c>
      <c r="Q13537">
        <v>2</v>
      </c>
      <c r="R13537" t="s">
        <v>41317</v>
      </c>
      <c r="S13537" t="s">
        <v>42451</v>
      </c>
      <c r="T13537" t="s">
        <v>42671</v>
      </c>
      <c r="U13537" t="s">
        <v>54044</v>
      </c>
      <c r="W13537" t="s">
        <v>41209</v>
      </c>
      <c r="X13537" t="s">
        <v>41314</v>
      </c>
    </row>
    <row r="13538" spans="1:24">
      <c r="A13538">
        <f>HYPERLINK("https://www.philgeps.gov.ph/GEPSNONPILOT/Tender/SplashBidNoticeAbstractUI.aspx?menuIndex=3&amp;refID=6938806&amp;Result=3","6938806")</f>
        <v>0</v>
      </c>
      <c r="B13538" t="s">
        <v>1387</v>
      </c>
      <c r="C13538" t="s">
        <v>16358</v>
      </c>
      <c r="D13538" t="s">
        <v>16668</v>
      </c>
      <c r="E13538" t="s">
        <v>28430</v>
      </c>
      <c r="F13538" t="s">
        <v>28669</v>
      </c>
      <c r="G13538" t="s">
        <v>28675</v>
      </c>
      <c r="H13538" t="s">
        <v>28686</v>
      </c>
      <c r="I13538" t="s">
        <v>28689</v>
      </c>
      <c r="J13538" t="s">
        <v>36240</v>
      </c>
      <c r="K13538" t="s">
        <v>37213</v>
      </c>
      <c r="M13538" t="s">
        <v>38949</v>
      </c>
      <c r="N13538" t="s">
        <v>41249</v>
      </c>
      <c r="O13538" t="s">
        <v>41250</v>
      </c>
      <c r="Q13538">
        <v>0</v>
      </c>
      <c r="R13538" t="s">
        <v>41316</v>
      </c>
      <c r="S13538" t="s">
        <v>42452</v>
      </c>
      <c r="T13538" t="s">
        <v>42707</v>
      </c>
      <c r="U13538" t="s">
        <v>54045</v>
      </c>
      <c r="W13538" t="s">
        <v>38949</v>
      </c>
      <c r="X13538" t="s">
        <v>41314</v>
      </c>
    </row>
    <row r="13539" spans="1:24">
      <c r="A13539">
        <f>HYPERLINK("https://www.philgeps.gov.ph/GEPSNONPILOT/Tender/SplashBidNoticeAbstractUI.aspx?menuIndex=3&amp;refID=6942251&amp;Result=3","6942251")</f>
        <v>0</v>
      </c>
      <c r="B13539" t="s">
        <v>1420</v>
      </c>
      <c r="C13539" t="s">
        <v>16359</v>
      </c>
      <c r="D13539" t="s">
        <v>16673</v>
      </c>
      <c r="E13539" t="s">
        <v>28431</v>
      </c>
      <c r="F13539" t="s">
        <v>28669</v>
      </c>
      <c r="G13539" t="s">
        <v>28675</v>
      </c>
      <c r="H13539" t="s">
        <v>9998</v>
      </c>
      <c r="I13539" t="s">
        <v>28697</v>
      </c>
      <c r="J13539" t="s">
        <v>37051</v>
      </c>
      <c r="K13539" t="s">
        <v>37206</v>
      </c>
      <c r="M13539" t="s">
        <v>38983</v>
      </c>
      <c r="N13539" t="s">
        <v>41249</v>
      </c>
      <c r="O13539" t="s">
        <v>41250</v>
      </c>
      <c r="Q13539">
        <v>12</v>
      </c>
      <c r="R13539" t="s">
        <v>41306</v>
      </c>
      <c r="S13539" t="s">
        <v>42453</v>
      </c>
      <c r="T13539" t="s">
        <v>42743</v>
      </c>
      <c r="U13539" t="s">
        <v>54046</v>
      </c>
      <c r="W13539" t="s">
        <v>38983</v>
      </c>
      <c r="X13539" t="s">
        <v>41317</v>
      </c>
    </row>
    <row r="13540" spans="1:24">
      <c r="A13540">
        <f>HYPERLINK("https://www.philgeps.gov.ph/GEPSNONPILOT/Tender/SplashBidNoticeAbstractUI.aspx?menuIndex=3&amp;refID=6941638&amp;Result=3","6941638")</f>
        <v>0</v>
      </c>
      <c r="B13540" t="s">
        <v>84</v>
      </c>
      <c r="C13540" t="s">
        <v>16360</v>
      </c>
      <c r="D13540" t="s">
        <v>16651</v>
      </c>
      <c r="E13540" t="s">
        <v>28432</v>
      </c>
      <c r="F13540" t="s">
        <v>28669</v>
      </c>
      <c r="G13540" t="s">
        <v>28675</v>
      </c>
      <c r="H13540" t="s">
        <v>9998</v>
      </c>
      <c r="I13540" t="s">
        <v>28687</v>
      </c>
      <c r="J13540" t="s">
        <v>28847</v>
      </c>
      <c r="K13540" t="s">
        <v>37209</v>
      </c>
      <c r="M13540" t="s">
        <v>37559</v>
      </c>
      <c r="N13540" t="s">
        <v>41249</v>
      </c>
      <c r="O13540" t="s">
        <v>41250</v>
      </c>
      <c r="Q13540">
        <v>5</v>
      </c>
      <c r="R13540" t="s">
        <v>41306</v>
      </c>
      <c r="S13540" t="s">
        <v>42454</v>
      </c>
      <c r="T13540" t="s">
        <v>42711</v>
      </c>
      <c r="U13540" t="s">
        <v>53209</v>
      </c>
      <c r="W13540" t="s">
        <v>37559</v>
      </c>
      <c r="X13540" t="s">
        <v>41317</v>
      </c>
    </row>
    <row r="13541" spans="1:24">
      <c r="A13541">
        <f>HYPERLINK("https://www.philgeps.gov.ph/GEPSNONPILOT/Tender/SplashBidNoticeAbstractUI.aspx?menuIndex=3&amp;refID=6877294-2&amp;Result=3","6877294-2")</f>
        <v>0</v>
      </c>
      <c r="B13541" t="s">
        <v>1496</v>
      </c>
      <c r="C13541" t="s">
        <v>16361</v>
      </c>
      <c r="D13541" t="s">
        <v>16621</v>
      </c>
      <c r="E13541" t="s">
        <v>28433</v>
      </c>
      <c r="F13541" t="s">
        <v>28669</v>
      </c>
      <c r="G13541" t="s">
        <v>28675</v>
      </c>
      <c r="H13541" t="s">
        <v>28685</v>
      </c>
      <c r="I13541" t="s">
        <v>28685</v>
      </c>
      <c r="J13541" t="s">
        <v>37052</v>
      </c>
      <c r="K13541" t="s">
        <v>37215</v>
      </c>
      <c r="M13541" t="s">
        <v>40316</v>
      </c>
      <c r="N13541" t="s">
        <v>41249</v>
      </c>
      <c r="O13541" t="s">
        <v>41250</v>
      </c>
      <c r="Q13541">
        <v>2</v>
      </c>
      <c r="R13541" t="s">
        <v>41308</v>
      </c>
      <c r="S13541" t="s">
        <v>42455</v>
      </c>
      <c r="T13541" t="s">
        <v>42690</v>
      </c>
      <c r="U13541" t="s">
        <v>54047</v>
      </c>
      <c r="W13541" t="s">
        <v>40316</v>
      </c>
      <c r="X13541" t="s">
        <v>41313</v>
      </c>
    </row>
    <row r="13542" spans="1:24">
      <c r="A13542">
        <f>HYPERLINK("https://www.philgeps.gov.ph/GEPSNONPILOT/Tender/SplashBidNoticeAbstractUI.aspx?menuIndex=3&amp;refID=6955348&amp;Result=3","6955348")</f>
        <v>0</v>
      </c>
      <c r="B13542" t="s">
        <v>1387</v>
      </c>
      <c r="C13542" t="s">
        <v>16362</v>
      </c>
      <c r="D13542" t="s">
        <v>16668</v>
      </c>
      <c r="E13542" t="s">
        <v>28434</v>
      </c>
      <c r="F13542" t="s">
        <v>28669</v>
      </c>
      <c r="G13542" t="s">
        <v>28675</v>
      </c>
      <c r="H13542" t="s">
        <v>28686</v>
      </c>
      <c r="I13542" t="s">
        <v>28689</v>
      </c>
      <c r="J13542" t="s">
        <v>30559</v>
      </c>
      <c r="K13542" t="s">
        <v>37244</v>
      </c>
      <c r="M13542" t="s">
        <v>38949</v>
      </c>
      <c r="N13542" t="s">
        <v>41249</v>
      </c>
      <c r="O13542" t="s">
        <v>41250</v>
      </c>
      <c r="Q13542">
        <v>0</v>
      </c>
      <c r="R13542" t="s">
        <v>41312</v>
      </c>
      <c r="S13542" t="s">
        <v>42456</v>
      </c>
      <c r="T13542" t="s">
        <v>42707</v>
      </c>
      <c r="U13542" t="s">
        <v>54048</v>
      </c>
      <c r="W13542" t="s">
        <v>38949</v>
      </c>
      <c r="X13542" t="s">
        <v>56058</v>
      </c>
    </row>
    <row r="13543" spans="1:24">
      <c r="A13543">
        <f>HYPERLINK("https://www.philgeps.gov.ph/GEPSNONPILOT/Tender/SplashBidNoticeAbstractUI.aspx?menuIndex=3&amp;refID=6969583&amp;Result=3","6969583")</f>
        <v>0</v>
      </c>
      <c r="B13543" t="s">
        <v>1509</v>
      </c>
      <c r="C13543" t="s">
        <v>16363</v>
      </c>
      <c r="D13543" t="s">
        <v>16673</v>
      </c>
      <c r="E13543" t="s">
        <v>28435</v>
      </c>
      <c r="F13543" t="s">
        <v>28669</v>
      </c>
      <c r="G13543" t="s">
        <v>28676</v>
      </c>
      <c r="H13543" t="s">
        <v>9998</v>
      </c>
      <c r="I13543" t="s">
        <v>5213</v>
      </c>
      <c r="J13543" t="s">
        <v>37053</v>
      </c>
      <c r="K13543" t="s">
        <v>37221</v>
      </c>
      <c r="M13543" t="s">
        <v>39083</v>
      </c>
      <c r="N13543" t="s">
        <v>41249</v>
      </c>
      <c r="O13543" t="s">
        <v>41250</v>
      </c>
      <c r="Q13543">
        <v>3</v>
      </c>
      <c r="R13543" t="s">
        <v>41318</v>
      </c>
      <c r="S13543" t="s">
        <v>42457</v>
      </c>
      <c r="T13543" t="s">
        <v>42673</v>
      </c>
      <c r="U13543" t="s">
        <v>46582</v>
      </c>
      <c r="W13543" t="s">
        <v>39083</v>
      </c>
      <c r="X13543" t="s">
        <v>56060</v>
      </c>
    </row>
    <row r="13544" spans="1:24">
      <c r="A13544">
        <f>HYPERLINK("https://www.philgeps.gov.ph/GEPSNONPILOT/Tender/SplashBidNoticeAbstractUI.aspx?menuIndex=3&amp;refID=6970223&amp;Result=3","6970223")</f>
        <v>0</v>
      </c>
      <c r="B13544" t="s">
        <v>1972</v>
      </c>
      <c r="C13544" t="s">
        <v>16364</v>
      </c>
      <c r="D13544" t="s">
        <v>16615</v>
      </c>
      <c r="E13544" t="s">
        <v>28436</v>
      </c>
      <c r="F13544" t="s">
        <v>28669</v>
      </c>
      <c r="G13544" t="s">
        <v>28678</v>
      </c>
      <c r="H13544" t="s">
        <v>9998</v>
      </c>
      <c r="I13544" t="s">
        <v>6128</v>
      </c>
      <c r="J13544" t="s">
        <v>37054</v>
      </c>
      <c r="K13544" t="s">
        <v>37204</v>
      </c>
      <c r="M13544" t="s">
        <v>39606</v>
      </c>
      <c r="N13544" t="s">
        <v>41249</v>
      </c>
      <c r="O13544" t="s">
        <v>41250</v>
      </c>
      <c r="Q13544">
        <v>7</v>
      </c>
      <c r="R13544" t="s">
        <v>41319</v>
      </c>
      <c r="S13544" t="s">
        <v>42458</v>
      </c>
      <c r="T13544" t="s">
        <v>42673</v>
      </c>
      <c r="U13544" t="s">
        <v>54049</v>
      </c>
      <c r="W13544" t="s">
        <v>39606</v>
      </c>
      <c r="X13544" t="s">
        <v>41318</v>
      </c>
    </row>
    <row r="13545" spans="1:24">
      <c r="A13545">
        <f>HYPERLINK("https://www.philgeps.gov.ph/GEPSNONPILOT/Tender/SplashBidNoticeAbstractUI.aspx?menuIndex=3&amp;refID=6929906&amp;Result=3","6929906")</f>
        <v>0</v>
      </c>
      <c r="B13545" t="s">
        <v>178</v>
      </c>
      <c r="C13545" t="s">
        <v>16365</v>
      </c>
      <c r="E13545" t="s">
        <v>28437</v>
      </c>
      <c r="F13545" t="s">
        <v>28669</v>
      </c>
      <c r="G13545" t="s">
        <v>28675</v>
      </c>
      <c r="H13545" t="s">
        <v>9998</v>
      </c>
      <c r="I13545" t="s">
        <v>28714</v>
      </c>
      <c r="J13545" t="s">
        <v>37055</v>
      </c>
      <c r="K13545" t="s">
        <v>37209</v>
      </c>
      <c r="M13545" t="s">
        <v>41210</v>
      </c>
      <c r="N13545" t="s">
        <v>41249</v>
      </c>
      <c r="O13545" t="s">
        <v>41250</v>
      </c>
      <c r="Q13545">
        <v>15</v>
      </c>
      <c r="R13545" t="s">
        <v>41320</v>
      </c>
      <c r="S13545" t="s">
        <v>41808</v>
      </c>
      <c r="T13545" t="s">
        <v>42808</v>
      </c>
      <c r="U13545" t="s">
        <v>54050</v>
      </c>
      <c r="W13545" t="s">
        <v>41210</v>
      </c>
      <c r="X13545" t="s">
        <v>41322</v>
      </c>
    </row>
    <row r="13546" spans="1:24">
      <c r="A13546">
        <f>HYPERLINK("https://www.philgeps.gov.ph/GEPSNONPILOT/Tender/SplashBidNoticeAbstractUI.aspx?menuIndex=3&amp;refID=6955459&amp;Result=3","6955459")</f>
        <v>0</v>
      </c>
      <c r="B13546" t="s">
        <v>1387</v>
      </c>
      <c r="C13546" t="s">
        <v>16366</v>
      </c>
      <c r="D13546" t="s">
        <v>16668</v>
      </c>
      <c r="E13546" t="s">
        <v>28438</v>
      </c>
      <c r="F13546" t="s">
        <v>28669</v>
      </c>
      <c r="G13546" t="s">
        <v>28675</v>
      </c>
      <c r="H13546" t="s">
        <v>28686</v>
      </c>
      <c r="I13546" t="s">
        <v>28689</v>
      </c>
      <c r="J13546" t="s">
        <v>31637</v>
      </c>
      <c r="K13546" t="s">
        <v>37404</v>
      </c>
      <c r="M13546" t="s">
        <v>38949</v>
      </c>
      <c r="N13546" t="s">
        <v>41249</v>
      </c>
      <c r="O13546" t="s">
        <v>41250</v>
      </c>
      <c r="Q13546">
        <v>0</v>
      </c>
      <c r="R13546" t="s">
        <v>41312</v>
      </c>
      <c r="S13546" t="s">
        <v>42459</v>
      </c>
      <c r="T13546" t="s">
        <v>42664</v>
      </c>
      <c r="U13546" t="s">
        <v>54051</v>
      </c>
      <c r="W13546" t="s">
        <v>38949</v>
      </c>
      <c r="X13546" t="s">
        <v>56058</v>
      </c>
    </row>
    <row r="13547" spans="1:24">
      <c r="A13547">
        <f>HYPERLINK("https://www.philgeps.gov.ph/GEPSNONPILOT/Tender/SplashBidNoticeAbstractUI.aspx?menuIndex=3&amp;refID=6970321&amp;Result=3","6970321")</f>
        <v>0</v>
      </c>
      <c r="B13547" t="s">
        <v>1972</v>
      </c>
      <c r="C13547" t="s">
        <v>3933</v>
      </c>
      <c r="D13547" t="s">
        <v>16615</v>
      </c>
      <c r="E13547" t="s">
        <v>28439</v>
      </c>
      <c r="F13547" t="s">
        <v>28669</v>
      </c>
      <c r="G13547" t="s">
        <v>28678</v>
      </c>
      <c r="H13547" t="s">
        <v>9998</v>
      </c>
      <c r="I13547" t="s">
        <v>3718</v>
      </c>
      <c r="J13547" t="s">
        <v>37056</v>
      </c>
      <c r="K13547" t="s">
        <v>37227</v>
      </c>
      <c r="M13547" t="s">
        <v>39606</v>
      </c>
      <c r="N13547" t="s">
        <v>41249</v>
      </c>
      <c r="O13547" t="s">
        <v>41250</v>
      </c>
      <c r="Q13547">
        <v>2</v>
      </c>
      <c r="R13547" t="s">
        <v>41319</v>
      </c>
      <c r="S13547" t="s">
        <v>42460</v>
      </c>
      <c r="T13547" t="s">
        <v>42673</v>
      </c>
      <c r="U13547" t="s">
        <v>54052</v>
      </c>
      <c r="W13547" t="s">
        <v>39606</v>
      </c>
      <c r="X13547" t="s">
        <v>41318</v>
      </c>
    </row>
    <row r="13548" spans="1:24">
      <c r="A13548">
        <f>HYPERLINK("https://www.philgeps.gov.ph/GEPSNONPILOT/Tender/SplashBidNoticeAbstractUI.aspx?menuIndex=3&amp;refID=6936028&amp;Result=3","6936028")</f>
        <v>0</v>
      </c>
      <c r="B13548" t="s">
        <v>3357</v>
      </c>
      <c r="C13548" t="s">
        <v>16367</v>
      </c>
      <c r="D13548" t="s">
        <v>16679</v>
      </c>
      <c r="E13548" t="s">
        <v>28440</v>
      </c>
      <c r="F13548" t="s">
        <v>28669</v>
      </c>
      <c r="G13548" t="s">
        <v>28682</v>
      </c>
      <c r="H13548" t="s">
        <v>28684</v>
      </c>
      <c r="I13548" t="s">
        <v>28719</v>
      </c>
      <c r="J13548" t="s">
        <v>28847</v>
      </c>
      <c r="K13548" t="s">
        <v>37215</v>
      </c>
      <c r="M13548" t="s">
        <v>41211</v>
      </c>
      <c r="N13548" t="s">
        <v>41249</v>
      </c>
      <c r="O13548" t="s">
        <v>41250</v>
      </c>
      <c r="Q13548">
        <v>24</v>
      </c>
      <c r="R13548" t="s">
        <v>41314</v>
      </c>
      <c r="S13548" t="s">
        <v>42360</v>
      </c>
      <c r="T13548" t="s">
        <v>42881</v>
      </c>
      <c r="U13548" t="s">
        <v>54053</v>
      </c>
      <c r="W13548" t="s">
        <v>41211</v>
      </c>
      <c r="X13548" t="s">
        <v>41320</v>
      </c>
    </row>
    <row r="13549" spans="1:24">
      <c r="A13549">
        <f>HYPERLINK("https://www.philgeps.gov.ph/GEPSNONPILOT/Tender/SplashBidNoticeAbstractUI.aspx?menuIndex=3&amp;refID=6929742&amp;Result=3","6929742")</f>
        <v>0</v>
      </c>
      <c r="B13549" t="s">
        <v>3358</v>
      </c>
      <c r="C13549" t="s">
        <v>16368</v>
      </c>
      <c r="D13549" t="s">
        <v>16640</v>
      </c>
      <c r="E13549" t="s">
        <v>28441</v>
      </c>
      <c r="F13549" t="s">
        <v>28669</v>
      </c>
      <c r="G13549" t="s">
        <v>28675</v>
      </c>
      <c r="H13549" t="s">
        <v>9998</v>
      </c>
      <c r="I13549" t="s">
        <v>28696</v>
      </c>
      <c r="J13549" t="s">
        <v>28878</v>
      </c>
      <c r="K13549" t="s">
        <v>37209</v>
      </c>
      <c r="M13549" t="s">
        <v>41212</v>
      </c>
      <c r="N13549" t="s">
        <v>41249</v>
      </c>
      <c r="O13549" t="s">
        <v>41250</v>
      </c>
      <c r="Q13549">
        <v>4</v>
      </c>
      <c r="R13549" t="s">
        <v>41320</v>
      </c>
      <c r="S13549" t="s">
        <v>42461</v>
      </c>
      <c r="T13549" t="s">
        <v>42727</v>
      </c>
      <c r="U13549" t="s">
        <v>54054</v>
      </c>
      <c r="W13549" t="s">
        <v>41212</v>
      </c>
      <c r="X13549" t="s">
        <v>41322</v>
      </c>
    </row>
    <row r="13550" spans="1:24">
      <c r="A13550">
        <f>HYPERLINK("https://www.philgeps.gov.ph/GEPSNONPILOT/Tender/SplashBidNoticeAbstractUI.aspx?menuIndex=3&amp;refID=6936243&amp;Result=3","6936243")</f>
        <v>0</v>
      </c>
      <c r="B13550" t="s">
        <v>2103</v>
      </c>
      <c r="C13550" t="s">
        <v>16369</v>
      </c>
      <c r="D13550" t="s">
        <v>16677</v>
      </c>
      <c r="E13550" t="s">
        <v>28442</v>
      </c>
      <c r="F13550" t="s">
        <v>28669</v>
      </c>
      <c r="G13550" t="s">
        <v>28675</v>
      </c>
      <c r="H13550" t="s">
        <v>28686</v>
      </c>
      <c r="I13550" t="s">
        <v>28689</v>
      </c>
      <c r="J13550" t="s">
        <v>32463</v>
      </c>
      <c r="K13550" t="s">
        <v>37212</v>
      </c>
      <c r="M13550" t="s">
        <v>39746</v>
      </c>
      <c r="N13550" t="s">
        <v>41249</v>
      </c>
      <c r="O13550" t="s">
        <v>41250</v>
      </c>
      <c r="Q13550">
        <v>42</v>
      </c>
      <c r="R13550" t="s">
        <v>41314</v>
      </c>
      <c r="S13550" t="s">
        <v>42462</v>
      </c>
      <c r="T13550" t="s">
        <v>42660</v>
      </c>
      <c r="U13550" t="s">
        <v>54055</v>
      </c>
      <c r="V13550" t="s">
        <v>55859</v>
      </c>
      <c r="W13550" t="s">
        <v>39746</v>
      </c>
      <c r="X13550" t="s">
        <v>41320</v>
      </c>
    </row>
    <row r="13551" spans="1:24">
      <c r="A13551">
        <f>HYPERLINK("https://www.philgeps.gov.ph/GEPSNONPILOT/Tender/SplashBidNoticeAbstractUI.aspx?menuIndex=3&amp;refID=6935782&amp;Result=3","6935782")</f>
        <v>0</v>
      </c>
      <c r="B13551" t="s">
        <v>1387</v>
      </c>
      <c r="C13551" t="s">
        <v>16370</v>
      </c>
      <c r="D13551" t="s">
        <v>16668</v>
      </c>
      <c r="E13551" t="s">
        <v>28443</v>
      </c>
      <c r="F13551" t="s">
        <v>28669</v>
      </c>
      <c r="G13551" t="s">
        <v>28675</v>
      </c>
      <c r="H13551" t="s">
        <v>28686</v>
      </c>
      <c r="I13551" t="s">
        <v>28689</v>
      </c>
      <c r="J13551" t="s">
        <v>36240</v>
      </c>
      <c r="K13551" t="s">
        <v>37215</v>
      </c>
      <c r="M13551" t="s">
        <v>38949</v>
      </c>
      <c r="N13551" t="s">
        <v>41249</v>
      </c>
      <c r="O13551" t="s">
        <v>41250</v>
      </c>
      <c r="Q13551">
        <v>0</v>
      </c>
      <c r="R13551" t="s">
        <v>41314</v>
      </c>
      <c r="S13551" t="s">
        <v>42463</v>
      </c>
      <c r="T13551" t="s">
        <v>42707</v>
      </c>
      <c r="U13551" t="s">
        <v>54056</v>
      </c>
      <c r="W13551" t="s">
        <v>38949</v>
      </c>
      <c r="X13551" t="s">
        <v>41320</v>
      </c>
    </row>
    <row r="13552" spans="1:24">
      <c r="A13552">
        <f>HYPERLINK("https://www.philgeps.gov.ph/GEPSNONPILOT/Tender/SplashBidNoticeAbstractUI.aspx?menuIndex=3&amp;refID=6960776&amp;Result=3","6960776")</f>
        <v>0</v>
      </c>
      <c r="B13552" t="s">
        <v>278</v>
      </c>
      <c r="C13552" t="s">
        <v>16371</v>
      </c>
      <c r="D13552" t="s">
        <v>16608</v>
      </c>
      <c r="E13552" t="s">
        <v>28444</v>
      </c>
      <c r="F13552" t="s">
        <v>28669</v>
      </c>
      <c r="G13552" t="s">
        <v>28675</v>
      </c>
      <c r="H13552" t="s">
        <v>9998</v>
      </c>
      <c r="I13552" t="s">
        <v>28751</v>
      </c>
      <c r="J13552" t="s">
        <v>37057</v>
      </c>
      <c r="K13552" t="s">
        <v>37465</v>
      </c>
      <c r="M13552" t="s">
        <v>39471</v>
      </c>
      <c r="N13552" t="s">
        <v>41249</v>
      </c>
      <c r="O13552" t="s">
        <v>41250</v>
      </c>
      <c r="Q13552">
        <v>4</v>
      </c>
      <c r="R13552" t="s">
        <v>41321</v>
      </c>
      <c r="S13552" t="s">
        <v>42464</v>
      </c>
      <c r="T13552" t="s">
        <v>42708</v>
      </c>
      <c r="U13552" t="s">
        <v>52539</v>
      </c>
      <c r="W13552" t="s">
        <v>39471</v>
      </c>
      <c r="X13552" t="s">
        <v>41315</v>
      </c>
    </row>
    <row r="13553" spans="1:24">
      <c r="A13553">
        <f>HYPERLINK("https://www.philgeps.gov.ph/GEPSNONPILOT/Tender/SplashBidNoticeAbstractUI.aspx?menuIndex=3&amp;refID=6935752&amp;Result=3","6935752")</f>
        <v>0</v>
      </c>
      <c r="B13553" t="s">
        <v>1146</v>
      </c>
      <c r="C13553" t="s">
        <v>16372</v>
      </c>
      <c r="D13553" t="s">
        <v>16640</v>
      </c>
      <c r="E13553" t="s">
        <v>28445</v>
      </c>
      <c r="F13553" t="s">
        <v>28669</v>
      </c>
      <c r="G13553" t="s">
        <v>28675</v>
      </c>
      <c r="H13553" t="s">
        <v>9998</v>
      </c>
      <c r="I13553" t="s">
        <v>28693</v>
      </c>
      <c r="J13553" t="s">
        <v>37058</v>
      </c>
      <c r="K13553" t="s">
        <v>37209</v>
      </c>
      <c r="M13553" t="s">
        <v>41213</v>
      </c>
      <c r="N13553" t="s">
        <v>41249</v>
      </c>
      <c r="O13553" t="s">
        <v>41250</v>
      </c>
      <c r="Q13553">
        <v>55</v>
      </c>
      <c r="R13553" t="s">
        <v>41314</v>
      </c>
      <c r="S13553" t="s">
        <v>41578</v>
      </c>
      <c r="T13553" t="s">
        <v>43179</v>
      </c>
      <c r="U13553" t="s">
        <v>54057</v>
      </c>
      <c r="V13553" t="s">
        <v>55860</v>
      </c>
      <c r="W13553" t="s">
        <v>41213</v>
      </c>
      <c r="X13553" t="s">
        <v>41320</v>
      </c>
    </row>
    <row r="13554" spans="1:24">
      <c r="A13554">
        <f>HYPERLINK("https://www.philgeps.gov.ph/GEPSNONPILOT/Tender/SplashBidNoticeAbstractUI.aspx?menuIndex=3&amp;refID=6935753&amp;Result=3","6935753")</f>
        <v>0</v>
      </c>
      <c r="B13554" t="s">
        <v>703</v>
      </c>
      <c r="C13554" t="s">
        <v>16373</v>
      </c>
      <c r="E13554" t="s">
        <v>28446</v>
      </c>
      <c r="F13554" t="s">
        <v>28669</v>
      </c>
      <c r="G13554" t="s">
        <v>28675</v>
      </c>
      <c r="H13554" t="s">
        <v>9998</v>
      </c>
      <c r="I13554" t="s">
        <v>11593</v>
      </c>
      <c r="J13554" t="s">
        <v>37059</v>
      </c>
      <c r="K13554" t="s">
        <v>37209</v>
      </c>
      <c r="M13554" t="s">
        <v>40830</v>
      </c>
      <c r="N13554" t="s">
        <v>41249</v>
      </c>
      <c r="O13554" t="s">
        <v>41250</v>
      </c>
      <c r="Q13554">
        <v>7</v>
      </c>
      <c r="R13554" t="s">
        <v>41314</v>
      </c>
      <c r="S13554" t="s">
        <v>42465</v>
      </c>
      <c r="T13554" t="s">
        <v>42698</v>
      </c>
      <c r="U13554" t="s">
        <v>54058</v>
      </c>
      <c r="V13554" t="s">
        <v>55861</v>
      </c>
      <c r="W13554" t="s">
        <v>56036</v>
      </c>
      <c r="X13554" t="s">
        <v>41320</v>
      </c>
    </row>
    <row r="13555" spans="1:24">
      <c r="A13555">
        <f>HYPERLINK("https://www.philgeps.gov.ph/GEPSNONPILOT/Tender/SplashBidNoticeAbstractUI.aspx?menuIndex=3&amp;refID=6935583&amp;Result=3","6935583")</f>
        <v>0</v>
      </c>
      <c r="B13555" t="s">
        <v>1387</v>
      </c>
      <c r="C13555" t="s">
        <v>16374</v>
      </c>
      <c r="D13555" t="s">
        <v>16668</v>
      </c>
      <c r="E13555" t="s">
        <v>28447</v>
      </c>
      <c r="F13555" t="s">
        <v>28669</v>
      </c>
      <c r="G13555" t="s">
        <v>28675</v>
      </c>
      <c r="H13555" t="s">
        <v>28686</v>
      </c>
      <c r="I13555" t="s">
        <v>28689</v>
      </c>
      <c r="J13555" t="s">
        <v>36240</v>
      </c>
      <c r="K13555" t="s">
        <v>37215</v>
      </c>
      <c r="M13555" t="s">
        <v>38949</v>
      </c>
      <c r="N13555" t="s">
        <v>41249</v>
      </c>
      <c r="O13555" t="s">
        <v>41250</v>
      </c>
      <c r="Q13555">
        <v>0</v>
      </c>
      <c r="R13555" t="s">
        <v>41314</v>
      </c>
      <c r="S13555" t="s">
        <v>42466</v>
      </c>
      <c r="T13555" t="s">
        <v>42682</v>
      </c>
      <c r="U13555" t="s">
        <v>54059</v>
      </c>
      <c r="W13555" t="s">
        <v>38949</v>
      </c>
      <c r="X13555" t="s">
        <v>41320</v>
      </c>
    </row>
    <row r="13556" spans="1:24">
      <c r="A13556">
        <f>HYPERLINK("https://www.philgeps.gov.ph/GEPSNONPILOT/Tender/SplashBidNoticeAbstractUI.aspx?menuIndex=3&amp;refID=6935415&amp;Result=3","6935415")</f>
        <v>0</v>
      </c>
      <c r="B13556" t="s">
        <v>1490</v>
      </c>
      <c r="C13556" t="s">
        <v>16375</v>
      </c>
      <c r="D13556" t="s">
        <v>16654</v>
      </c>
      <c r="E13556" t="s">
        <v>28448</v>
      </c>
      <c r="F13556" t="s">
        <v>28669</v>
      </c>
      <c r="G13556" t="s">
        <v>28675</v>
      </c>
      <c r="H13556" t="s">
        <v>28686</v>
      </c>
      <c r="I13556" t="s">
        <v>28689</v>
      </c>
      <c r="J13556" t="s">
        <v>30289</v>
      </c>
      <c r="K13556" t="s">
        <v>37215</v>
      </c>
      <c r="M13556" t="s">
        <v>39061</v>
      </c>
      <c r="N13556" t="s">
        <v>41249</v>
      </c>
      <c r="O13556" t="s">
        <v>41250</v>
      </c>
      <c r="Q13556">
        <v>0</v>
      </c>
      <c r="R13556" t="s">
        <v>41314</v>
      </c>
      <c r="S13556" t="s">
        <v>42467</v>
      </c>
      <c r="T13556" t="s">
        <v>42876</v>
      </c>
      <c r="U13556" t="s">
        <v>48527</v>
      </c>
      <c r="W13556" t="s">
        <v>39061</v>
      </c>
      <c r="X13556" t="s">
        <v>41320</v>
      </c>
    </row>
    <row r="13557" spans="1:24">
      <c r="A13557">
        <f>HYPERLINK("https://www.philgeps.gov.ph/GEPSNONPILOT/Tender/SplashBidNoticeAbstractUI.aspx?menuIndex=3&amp;refID=6935892&amp;Result=3","6935892")</f>
        <v>0</v>
      </c>
      <c r="B13557" t="s">
        <v>1146</v>
      </c>
      <c r="C13557" t="s">
        <v>16376</v>
      </c>
      <c r="D13557" t="s">
        <v>16640</v>
      </c>
      <c r="E13557" t="s">
        <v>28449</v>
      </c>
      <c r="F13557" t="s">
        <v>28669</v>
      </c>
      <c r="G13557" t="s">
        <v>28675</v>
      </c>
      <c r="H13557" t="s">
        <v>9998</v>
      </c>
      <c r="I13557" t="s">
        <v>28754</v>
      </c>
      <c r="J13557" t="s">
        <v>37060</v>
      </c>
      <c r="K13557" t="s">
        <v>37209</v>
      </c>
      <c r="M13557" t="s">
        <v>41213</v>
      </c>
      <c r="N13557" t="s">
        <v>41249</v>
      </c>
      <c r="O13557" t="s">
        <v>41250</v>
      </c>
      <c r="Q13557">
        <v>16</v>
      </c>
      <c r="R13557" t="s">
        <v>41314</v>
      </c>
      <c r="S13557" t="s">
        <v>42468</v>
      </c>
      <c r="T13557" t="s">
        <v>43179</v>
      </c>
      <c r="U13557" t="s">
        <v>54060</v>
      </c>
      <c r="V13557" t="s">
        <v>55860</v>
      </c>
      <c r="W13557" t="s">
        <v>41213</v>
      </c>
      <c r="X13557" t="s">
        <v>41320</v>
      </c>
    </row>
    <row r="13558" spans="1:24">
      <c r="A13558">
        <f>HYPERLINK("https://www.philgeps.gov.ph/GEPSNONPILOT/Tender/SplashBidNoticeAbstractUI.aspx?menuIndex=3&amp;refID=6942366&amp;Result=3","6942366")</f>
        <v>0</v>
      </c>
      <c r="B13558" t="s">
        <v>72</v>
      </c>
      <c r="C13558" t="s">
        <v>16377</v>
      </c>
      <c r="D13558" t="s">
        <v>16644</v>
      </c>
      <c r="E13558" t="s">
        <v>28450</v>
      </c>
      <c r="F13558" t="s">
        <v>28669</v>
      </c>
      <c r="G13558" t="s">
        <v>28675</v>
      </c>
      <c r="H13558" t="s">
        <v>28686</v>
      </c>
      <c r="I13558" t="s">
        <v>28689</v>
      </c>
      <c r="J13558" t="s">
        <v>29298</v>
      </c>
      <c r="K13558" t="s">
        <v>37215</v>
      </c>
      <c r="M13558" t="s">
        <v>37547</v>
      </c>
      <c r="N13558" t="s">
        <v>41249</v>
      </c>
      <c r="O13558" t="s">
        <v>41250</v>
      </c>
      <c r="Q13558">
        <v>4</v>
      </c>
      <c r="R13558" t="s">
        <v>41306</v>
      </c>
      <c r="S13558" t="s">
        <v>42469</v>
      </c>
      <c r="T13558" t="s">
        <v>42673</v>
      </c>
      <c r="U13558" t="s">
        <v>54061</v>
      </c>
      <c r="V13558" t="s">
        <v>55862</v>
      </c>
      <c r="W13558" t="s">
        <v>55934</v>
      </c>
      <c r="X13558" t="s">
        <v>41317</v>
      </c>
    </row>
    <row r="13559" spans="1:24">
      <c r="A13559">
        <f>HYPERLINK("https://www.philgeps.gov.ph/GEPSNONPILOT/Tender/SplashBidNoticeAbstractUI.aspx?menuIndex=3&amp;refID=6935829&amp;Result=3","6935829")</f>
        <v>0</v>
      </c>
      <c r="B13559" t="s">
        <v>2795</v>
      </c>
      <c r="C13559" t="s">
        <v>16378</v>
      </c>
      <c r="D13559" t="s">
        <v>16619</v>
      </c>
      <c r="E13559" t="s">
        <v>28451</v>
      </c>
      <c r="F13559" t="s">
        <v>28669</v>
      </c>
      <c r="G13559" t="s">
        <v>28675</v>
      </c>
      <c r="H13559" t="s">
        <v>28686</v>
      </c>
      <c r="I13559" t="s">
        <v>28689</v>
      </c>
      <c r="J13559" t="s">
        <v>37061</v>
      </c>
      <c r="K13559" t="s">
        <v>37481</v>
      </c>
      <c r="M13559" t="s">
        <v>40521</v>
      </c>
      <c r="N13559" t="s">
        <v>41249</v>
      </c>
      <c r="O13559" t="s">
        <v>41250</v>
      </c>
      <c r="Q13559">
        <v>14</v>
      </c>
      <c r="R13559" t="s">
        <v>41314</v>
      </c>
      <c r="S13559" t="s">
        <v>42470</v>
      </c>
      <c r="T13559" t="s">
        <v>42692</v>
      </c>
      <c r="U13559" t="s">
        <v>54062</v>
      </c>
      <c r="W13559" t="s">
        <v>40521</v>
      </c>
      <c r="X13559" t="s">
        <v>41320</v>
      </c>
    </row>
    <row r="13560" spans="1:24">
      <c r="A13560">
        <f>HYPERLINK("https://www.philgeps.gov.ph/GEPSNONPILOT/Tender/SplashBidNoticeAbstractUI.aspx?menuIndex=3&amp;refID=6927609&amp;Result=3","6927609")</f>
        <v>0</v>
      </c>
      <c r="B13560" t="s">
        <v>3359</v>
      </c>
      <c r="C13560" t="s">
        <v>16379</v>
      </c>
      <c r="D13560" t="s">
        <v>16644</v>
      </c>
      <c r="E13560" t="s">
        <v>28452</v>
      </c>
      <c r="F13560" t="s">
        <v>28669</v>
      </c>
      <c r="G13560" t="s">
        <v>28675</v>
      </c>
      <c r="H13560" t="s">
        <v>28684</v>
      </c>
      <c r="I13560" t="s">
        <v>28780</v>
      </c>
      <c r="J13560" t="s">
        <v>37062</v>
      </c>
      <c r="K13560" t="s">
        <v>37234</v>
      </c>
      <c r="M13560" t="s">
        <v>41214</v>
      </c>
      <c r="N13560" t="s">
        <v>41249</v>
      </c>
      <c r="O13560" t="s">
        <v>41250</v>
      </c>
      <c r="Q13560">
        <v>0</v>
      </c>
      <c r="R13560" t="s">
        <v>41322</v>
      </c>
      <c r="S13560" t="s">
        <v>42471</v>
      </c>
      <c r="T13560" t="s">
        <v>42746</v>
      </c>
      <c r="U13560" t="s">
        <v>54063</v>
      </c>
      <c r="W13560" t="s">
        <v>56038</v>
      </c>
      <c r="X13560" t="s">
        <v>41324</v>
      </c>
    </row>
    <row r="13561" spans="1:24">
      <c r="A13561">
        <f>HYPERLINK("https://www.philgeps.gov.ph/GEPSNONPILOT/Tender/SplashBidNoticeAbstractUI.aspx?menuIndex=3&amp;refID=6927177&amp;Result=3","6927177")</f>
        <v>0</v>
      </c>
      <c r="B13561" t="s">
        <v>1387</v>
      </c>
      <c r="C13561" t="s">
        <v>16380</v>
      </c>
      <c r="D13561" t="s">
        <v>16668</v>
      </c>
      <c r="E13561" t="s">
        <v>28453</v>
      </c>
      <c r="F13561" t="s">
        <v>28669</v>
      </c>
      <c r="G13561" t="s">
        <v>28675</v>
      </c>
      <c r="H13561" t="s">
        <v>28686</v>
      </c>
      <c r="I13561" t="s">
        <v>28689</v>
      </c>
      <c r="J13561" t="s">
        <v>32446</v>
      </c>
      <c r="K13561" t="s">
        <v>37215</v>
      </c>
      <c r="M13561" t="s">
        <v>38949</v>
      </c>
      <c r="N13561" t="s">
        <v>41249</v>
      </c>
      <c r="O13561" t="s">
        <v>41250</v>
      </c>
      <c r="Q13561">
        <v>0</v>
      </c>
      <c r="R13561" t="s">
        <v>41322</v>
      </c>
      <c r="S13561" t="s">
        <v>42472</v>
      </c>
      <c r="T13561" t="s">
        <v>42694</v>
      </c>
      <c r="U13561" t="s">
        <v>54064</v>
      </c>
      <c r="W13561" t="s">
        <v>38949</v>
      </c>
      <c r="X13561" t="s">
        <v>41324</v>
      </c>
    </row>
    <row r="13562" spans="1:24">
      <c r="A13562">
        <f>HYPERLINK("https://www.philgeps.gov.ph/GEPSNONPILOT/Tender/SplashBidNoticeAbstractUI.aspx?menuIndex=3&amp;refID=6935540&amp;Result=3","6935540")</f>
        <v>0</v>
      </c>
      <c r="B13562" t="s">
        <v>1146</v>
      </c>
      <c r="C13562" t="s">
        <v>16381</v>
      </c>
      <c r="D13562" t="s">
        <v>16640</v>
      </c>
      <c r="E13562" t="s">
        <v>28454</v>
      </c>
      <c r="F13562" t="s">
        <v>28669</v>
      </c>
      <c r="G13562" t="s">
        <v>28675</v>
      </c>
      <c r="H13562" t="s">
        <v>9998</v>
      </c>
      <c r="I13562" t="s">
        <v>28693</v>
      </c>
      <c r="J13562" t="s">
        <v>37063</v>
      </c>
      <c r="K13562" t="s">
        <v>37209</v>
      </c>
      <c r="M13562" t="s">
        <v>41213</v>
      </c>
      <c r="N13562" t="s">
        <v>41249</v>
      </c>
      <c r="O13562" t="s">
        <v>41250</v>
      </c>
      <c r="Q13562">
        <v>38</v>
      </c>
      <c r="R13562" t="s">
        <v>41314</v>
      </c>
      <c r="S13562" t="s">
        <v>42473</v>
      </c>
      <c r="T13562" t="s">
        <v>43179</v>
      </c>
      <c r="U13562" t="s">
        <v>54065</v>
      </c>
      <c r="V13562" t="s">
        <v>55860</v>
      </c>
      <c r="W13562" t="s">
        <v>41213</v>
      </c>
      <c r="X13562" t="s">
        <v>41320</v>
      </c>
    </row>
    <row r="13563" spans="1:24">
      <c r="A13563">
        <f>HYPERLINK("https://www.philgeps.gov.ph/GEPSNONPILOT/Tender/SplashBidNoticeAbstractUI.aspx?menuIndex=3&amp;refID=6935377&amp;Result=3","6935377")</f>
        <v>0</v>
      </c>
      <c r="B13563" t="s">
        <v>1146</v>
      </c>
      <c r="C13563" t="s">
        <v>16382</v>
      </c>
      <c r="D13563" t="s">
        <v>16640</v>
      </c>
      <c r="E13563" t="s">
        <v>28455</v>
      </c>
      <c r="F13563" t="s">
        <v>28669</v>
      </c>
      <c r="G13563" t="s">
        <v>28675</v>
      </c>
      <c r="H13563" t="s">
        <v>9998</v>
      </c>
      <c r="I13563" t="s">
        <v>11593</v>
      </c>
      <c r="J13563" t="s">
        <v>31419</v>
      </c>
      <c r="K13563" t="s">
        <v>37209</v>
      </c>
      <c r="M13563" t="s">
        <v>41213</v>
      </c>
      <c r="N13563" t="s">
        <v>41249</v>
      </c>
      <c r="O13563" t="s">
        <v>41250</v>
      </c>
      <c r="Q13563">
        <v>13</v>
      </c>
      <c r="R13563" t="s">
        <v>41314</v>
      </c>
      <c r="S13563" t="s">
        <v>42474</v>
      </c>
      <c r="T13563" t="s">
        <v>43179</v>
      </c>
      <c r="U13563" t="s">
        <v>54066</v>
      </c>
      <c r="V13563" t="s">
        <v>55860</v>
      </c>
      <c r="W13563" t="s">
        <v>41213</v>
      </c>
      <c r="X13563" t="s">
        <v>41320</v>
      </c>
    </row>
    <row r="13564" spans="1:24">
      <c r="A13564">
        <f>HYPERLINK("https://www.philgeps.gov.ph/GEPSNONPILOT/Tender/SplashBidNoticeAbstractUI.aspx?menuIndex=3&amp;refID=6926519&amp;Result=3","6926519")</f>
        <v>0</v>
      </c>
      <c r="B13564" t="s">
        <v>1387</v>
      </c>
      <c r="C13564" t="s">
        <v>16383</v>
      </c>
      <c r="D13564" t="s">
        <v>16668</v>
      </c>
      <c r="E13564" t="s">
        <v>28456</v>
      </c>
      <c r="F13564" t="s">
        <v>28669</v>
      </c>
      <c r="G13564" t="s">
        <v>28675</v>
      </c>
      <c r="H13564" t="s">
        <v>28686</v>
      </c>
      <c r="I13564" t="s">
        <v>28689</v>
      </c>
      <c r="J13564" t="s">
        <v>36788</v>
      </c>
      <c r="K13564" t="s">
        <v>37242</v>
      </c>
      <c r="M13564" t="s">
        <v>38949</v>
      </c>
      <c r="N13564" t="s">
        <v>41249</v>
      </c>
      <c r="O13564" t="s">
        <v>41250</v>
      </c>
      <c r="Q13564">
        <v>0</v>
      </c>
      <c r="R13564" t="s">
        <v>41322</v>
      </c>
      <c r="S13564" t="s">
        <v>42475</v>
      </c>
      <c r="T13564" t="s">
        <v>42694</v>
      </c>
      <c r="U13564" t="s">
        <v>54067</v>
      </c>
      <c r="W13564" t="s">
        <v>38949</v>
      </c>
      <c r="X13564" t="s">
        <v>41324</v>
      </c>
    </row>
    <row r="13565" spans="1:24">
      <c r="A13565">
        <f>HYPERLINK("https://www.philgeps.gov.ph/GEPSNONPILOT/Tender/SplashBidNoticeAbstractUI.aspx?menuIndex=3&amp;refID=6927103&amp;Result=3","6927103")</f>
        <v>0</v>
      </c>
      <c r="B13565" t="s">
        <v>439</v>
      </c>
      <c r="C13565" t="s">
        <v>16384</v>
      </c>
      <c r="D13565" t="s">
        <v>16608</v>
      </c>
      <c r="E13565" t="s">
        <v>28457</v>
      </c>
      <c r="F13565" t="s">
        <v>28669</v>
      </c>
      <c r="G13565" t="s">
        <v>28675</v>
      </c>
      <c r="H13565" t="s">
        <v>28686</v>
      </c>
      <c r="I13565" t="s">
        <v>28689</v>
      </c>
      <c r="J13565" t="s">
        <v>37064</v>
      </c>
      <c r="K13565" t="s">
        <v>37215</v>
      </c>
      <c r="M13565" t="s">
        <v>37924</v>
      </c>
      <c r="N13565" t="s">
        <v>41249</v>
      </c>
      <c r="O13565" t="s">
        <v>41250</v>
      </c>
      <c r="Q13565">
        <v>19</v>
      </c>
      <c r="R13565" t="s">
        <v>41322</v>
      </c>
      <c r="S13565" t="s">
        <v>42476</v>
      </c>
      <c r="T13565" t="s">
        <v>42929</v>
      </c>
      <c r="U13565" t="s">
        <v>54068</v>
      </c>
      <c r="W13565" t="s">
        <v>37924</v>
      </c>
      <c r="X13565" t="s">
        <v>41324</v>
      </c>
    </row>
    <row r="13566" spans="1:24">
      <c r="A13566">
        <f>HYPERLINK("https://www.philgeps.gov.ph/GEPSNONPILOT/Tender/SplashBidNoticeAbstractUI.aspx?menuIndex=3&amp;refID=6925795&amp;Result=3","6925795")</f>
        <v>0</v>
      </c>
      <c r="B13566" t="s">
        <v>989</v>
      </c>
      <c r="C13566" t="s">
        <v>16385</v>
      </c>
      <c r="D13566" t="s">
        <v>16679</v>
      </c>
      <c r="E13566" t="s">
        <v>28458</v>
      </c>
      <c r="F13566" t="s">
        <v>28669</v>
      </c>
      <c r="G13566" t="s">
        <v>28679</v>
      </c>
      <c r="H13566" t="s">
        <v>28686</v>
      </c>
      <c r="I13566" t="s">
        <v>28702</v>
      </c>
      <c r="J13566" t="s">
        <v>37065</v>
      </c>
      <c r="K13566" t="s">
        <v>37220</v>
      </c>
      <c r="M13566" t="s">
        <v>41203</v>
      </c>
      <c r="N13566" t="s">
        <v>41249</v>
      </c>
      <c r="O13566" t="s">
        <v>41250</v>
      </c>
      <c r="Q13566">
        <v>2</v>
      </c>
      <c r="R13566" t="s">
        <v>41322</v>
      </c>
      <c r="S13566" t="s">
        <v>41884</v>
      </c>
      <c r="T13566" t="s">
        <v>42881</v>
      </c>
      <c r="U13566" t="s">
        <v>54069</v>
      </c>
      <c r="W13566" t="s">
        <v>41203</v>
      </c>
      <c r="X13566" t="s">
        <v>41324</v>
      </c>
    </row>
    <row r="13567" spans="1:24">
      <c r="A13567">
        <f>HYPERLINK("https://www.philgeps.gov.ph/GEPSNONPILOT/Tender/SplashBidNoticeAbstractUI.aspx?menuIndex=3&amp;refID=6926240&amp;Result=3","6926240")</f>
        <v>0</v>
      </c>
      <c r="B13567" t="s">
        <v>1387</v>
      </c>
      <c r="C13567" t="s">
        <v>16386</v>
      </c>
      <c r="D13567" t="s">
        <v>16668</v>
      </c>
      <c r="E13567" t="s">
        <v>28459</v>
      </c>
      <c r="F13567" t="s">
        <v>28669</v>
      </c>
      <c r="G13567" t="s">
        <v>28675</v>
      </c>
      <c r="H13567" t="s">
        <v>28686</v>
      </c>
      <c r="I13567" t="s">
        <v>28689</v>
      </c>
      <c r="J13567" t="s">
        <v>30304</v>
      </c>
      <c r="K13567" t="s">
        <v>37432</v>
      </c>
      <c r="M13567" t="s">
        <v>38949</v>
      </c>
      <c r="N13567" t="s">
        <v>41249</v>
      </c>
      <c r="O13567" t="s">
        <v>41250</v>
      </c>
      <c r="Q13567">
        <v>0</v>
      </c>
      <c r="R13567" t="s">
        <v>41322</v>
      </c>
      <c r="S13567" t="s">
        <v>42110</v>
      </c>
      <c r="T13567" t="s">
        <v>42694</v>
      </c>
      <c r="U13567" t="s">
        <v>54070</v>
      </c>
      <c r="W13567" t="s">
        <v>38949</v>
      </c>
      <c r="X13567" t="s">
        <v>41324</v>
      </c>
    </row>
    <row r="13568" spans="1:24">
      <c r="A13568">
        <f>HYPERLINK("https://www.philgeps.gov.ph/GEPSNONPILOT/Tender/SplashBidNoticeAbstractUI.aspx?menuIndex=3&amp;refID=6926108&amp;Result=3","6926108")</f>
        <v>0</v>
      </c>
      <c r="B13568" t="s">
        <v>1387</v>
      </c>
      <c r="C13568" t="s">
        <v>16387</v>
      </c>
      <c r="D13568" t="s">
        <v>16668</v>
      </c>
      <c r="E13568" t="s">
        <v>28460</v>
      </c>
      <c r="F13568" t="s">
        <v>28669</v>
      </c>
      <c r="G13568" t="s">
        <v>28675</v>
      </c>
      <c r="H13568" t="s">
        <v>28686</v>
      </c>
      <c r="I13568" t="s">
        <v>28689</v>
      </c>
      <c r="J13568" t="s">
        <v>30304</v>
      </c>
      <c r="K13568" t="s">
        <v>37432</v>
      </c>
      <c r="M13568" t="s">
        <v>38949</v>
      </c>
      <c r="N13568" t="s">
        <v>41249</v>
      </c>
      <c r="O13568" t="s">
        <v>41250</v>
      </c>
      <c r="Q13568">
        <v>0</v>
      </c>
      <c r="R13568" t="s">
        <v>41322</v>
      </c>
      <c r="S13568" t="s">
        <v>42477</v>
      </c>
      <c r="T13568" t="s">
        <v>42694</v>
      </c>
      <c r="U13568" t="s">
        <v>54071</v>
      </c>
      <c r="W13568" t="s">
        <v>38949</v>
      </c>
      <c r="X13568" t="s">
        <v>41324</v>
      </c>
    </row>
    <row r="13569" spans="1:24">
      <c r="A13569">
        <f>HYPERLINK("https://www.philgeps.gov.ph/GEPSNONPILOT/Tender/SplashBidNoticeAbstractUI.aspx?menuIndex=3&amp;refID=6932136&amp;Result=3","6932136")</f>
        <v>0</v>
      </c>
      <c r="B13569" t="s">
        <v>1387</v>
      </c>
      <c r="C13569" t="s">
        <v>16388</v>
      </c>
      <c r="D13569" t="s">
        <v>16668</v>
      </c>
      <c r="E13569" t="s">
        <v>28461</v>
      </c>
      <c r="F13569" t="s">
        <v>28669</v>
      </c>
      <c r="G13569" t="s">
        <v>28675</v>
      </c>
      <c r="H13569" t="s">
        <v>28686</v>
      </c>
      <c r="I13569" t="s">
        <v>28689</v>
      </c>
      <c r="J13569" t="s">
        <v>32446</v>
      </c>
      <c r="K13569" t="s">
        <v>37213</v>
      </c>
      <c r="M13569" t="s">
        <v>38949</v>
      </c>
      <c r="N13569" t="s">
        <v>41249</v>
      </c>
      <c r="O13569" t="s">
        <v>41250</v>
      </c>
      <c r="Q13569">
        <v>0</v>
      </c>
      <c r="R13569" t="s">
        <v>41320</v>
      </c>
      <c r="S13569" t="s">
        <v>42478</v>
      </c>
      <c r="T13569" t="s">
        <v>42682</v>
      </c>
      <c r="U13569" t="s">
        <v>54072</v>
      </c>
      <c r="W13569" t="s">
        <v>38949</v>
      </c>
      <c r="X13569" t="s">
        <v>41322</v>
      </c>
    </row>
    <row r="13570" spans="1:24">
      <c r="A13570">
        <f>HYPERLINK("https://www.philgeps.gov.ph/GEPSNONPILOT/Tender/SplashBidNoticeAbstractUI.aspx?menuIndex=3&amp;refID=6931964&amp;Result=3","6931964")</f>
        <v>0</v>
      </c>
      <c r="B13570" t="s">
        <v>989</v>
      </c>
      <c r="C13570" t="s">
        <v>16389</v>
      </c>
      <c r="D13570" t="s">
        <v>16679</v>
      </c>
      <c r="E13570" t="s">
        <v>28462</v>
      </c>
      <c r="F13570" t="s">
        <v>28669</v>
      </c>
      <c r="G13570" t="s">
        <v>28675</v>
      </c>
      <c r="H13570" t="s">
        <v>28686</v>
      </c>
      <c r="I13570" t="s">
        <v>28702</v>
      </c>
      <c r="J13570" t="s">
        <v>37066</v>
      </c>
      <c r="K13570" t="s">
        <v>37213</v>
      </c>
      <c r="M13570" t="s">
        <v>41203</v>
      </c>
      <c r="N13570" t="s">
        <v>41249</v>
      </c>
      <c r="O13570" t="s">
        <v>41250</v>
      </c>
      <c r="Q13570">
        <v>9</v>
      </c>
      <c r="R13570" t="s">
        <v>41320</v>
      </c>
      <c r="S13570" t="s">
        <v>42479</v>
      </c>
      <c r="T13570" t="s">
        <v>42808</v>
      </c>
      <c r="U13570" t="s">
        <v>54016</v>
      </c>
      <c r="W13570" t="s">
        <v>41203</v>
      </c>
      <c r="X13570" t="s">
        <v>41322</v>
      </c>
    </row>
    <row r="13571" spans="1:24">
      <c r="A13571">
        <f>HYPERLINK("https://www.philgeps.gov.ph/GEPSNONPILOT/Tender/SplashBidNoticeAbstractUI.aspx?menuIndex=3&amp;refID=6931518&amp;Result=3","6931518")</f>
        <v>0</v>
      </c>
      <c r="B13571" t="s">
        <v>3134</v>
      </c>
      <c r="C13571" t="s">
        <v>16390</v>
      </c>
      <c r="D13571" t="s">
        <v>16608</v>
      </c>
      <c r="E13571" t="s">
        <v>28463</v>
      </c>
      <c r="F13571" t="s">
        <v>28669</v>
      </c>
      <c r="G13571" t="s">
        <v>28675</v>
      </c>
      <c r="H13571" t="s">
        <v>9998</v>
      </c>
      <c r="I13571" t="s">
        <v>11593</v>
      </c>
      <c r="J13571" t="s">
        <v>37067</v>
      </c>
      <c r="K13571" t="s">
        <v>37209</v>
      </c>
      <c r="M13571" t="s">
        <v>40922</v>
      </c>
      <c r="N13571" t="s">
        <v>41249</v>
      </c>
      <c r="O13571" t="s">
        <v>41250</v>
      </c>
      <c r="Q13571">
        <v>30</v>
      </c>
      <c r="R13571" t="s">
        <v>41320</v>
      </c>
      <c r="S13571" t="s">
        <v>41371</v>
      </c>
      <c r="T13571" t="s">
        <v>42764</v>
      </c>
      <c r="U13571" t="s">
        <v>54073</v>
      </c>
      <c r="V13571" t="s">
        <v>55863</v>
      </c>
      <c r="W13571" t="s">
        <v>40922</v>
      </c>
      <c r="X13571" t="s">
        <v>41322</v>
      </c>
    </row>
    <row r="13572" spans="1:24">
      <c r="A13572">
        <f>HYPERLINK("https://www.philgeps.gov.ph/GEPSNONPILOT/Tender/SplashBidNoticeAbstractUI.aspx?menuIndex=3&amp;refID=6931149&amp;Result=3","6931149")</f>
        <v>0</v>
      </c>
      <c r="B13572" t="s">
        <v>1387</v>
      </c>
      <c r="C13572" t="s">
        <v>16391</v>
      </c>
      <c r="D13572" t="s">
        <v>16668</v>
      </c>
      <c r="E13572" t="s">
        <v>28464</v>
      </c>
      <c r="F13572" t="s">
        <v>28669</v>
      </c>
      <c r="G13572" t="s">
        <v>28675</v>
      </c>
      <c r="H13572" t="s">
        <v>28686</v>
      </c>
      <c r="I13572" t="s">
        <v>28689</v>
      </c>
      <c r="J13572" t="s">
        <v>34461</v>
      </c>
      <c r="K13572" t="s">
        <v>37268</v>
      </c>
      <c r="M13572" t="s">
        <v>38949</v>
      </c>
      <c r="N13572" t="s">
        <v>41249</v>
      </c>
      <c r="O13572" t="s">
        <v>41250</v>
      </c>
      <c r="Q13572">
        <v>0</v>
      </c>
      <c r="R13572" t="s">
        <v>41320</v>
      </c>
      <c r="S13572" t="s">
        <v>42480</v>
      </c>
      <c r="T13572" t="s">
        <v>42742</v>
      </c>
      <c r="U13572" t="s">
        <v>54074</v>
      </c>
      <c r="W13572" t="s">
        <v>38949</v>
      </c>
      <c r="X13572" t="s">
        <v>41322</v>
      </c>
    </row>
    <row r="13573" spans="1:24">
      <c r="A13573">
        <f>HYPERLINK("https://www.philgeps.gov.ph/GEPSNONPILOT/Tender/SplashBidNoticeAbstractUI.aspx?menuIndex=3&amp;refID=6930801&amp;Result=3","6930801")</f>
        <v>0</v>
      </c>
      <c r="B13573" t="s">
        <v>2004</v>
      </c>
      <c r="C13573" t="s">
        <v>16392</v>
      </c>
      <c r="D13573" t="s">
        <v>16661</v>
      </c>
      <c r="E13573" t="s">
        <v>28465</v>
      </c>
      <c r="F13573" t="s">
        <v>28669</v>
      </c>
      <c r="G13573" t="s">
        <v>28678</v>
      </c>
      <c r="H13573" t="s">
        <v>9998</v>
      </c>
      <c r="I13573" t="s">
        <v>6128</v>
      </c>
      <c r="J13573" t="s">
        <v>37068</v>
      </c>
      <c r="K13573" t="s">
        <v>37209</v>
      </c>
      <c r="M13573" t="s">
        <v>39642</v>
      </c>
      <c r="N13573" t="s">
        <v>41249</v>
      </c>
      <c r="O13573" t="s">
        <v>41250</v>
      </c>
      <c r="Q13573">
        <v>9</v>
      </c>
      <c r="R13573" t="s">
        <v>41320</v>
      </c>
      <c r="S13573" t="s">
        <v>42481</v>
      </c>
      <c r="T13573" t="s">
        <v>42675</v>
      </c>
      <c r="U13573" t="s">
        <v>54075</v>
      </c>
      <c r="W13573" t="s">
        <v>39642</v>
      </c>
      <c r="X13573" t="s">
        <v>41322</v>
      </c>
    </row>
    <row r="13574" spans="1:24">
      <c r="A13574">
        <f>HYPERLINK("https://www.philgeps.gov.ph/GEPSNONPILOT/Tender/SplashBidNoticeAbstractUI.aspx?menuIndex=3&amp;refID=6930748&amp;Result=3","6930748")</f>
        <v>0</v>
      </c>
      <c r="B13574" t="s">
        <v>2004</v>
      </c>
      <c r="C13574" t="s">
        <v>16393</v>
      </c>
      <c r="D13574" t="s">
        <v>16661</v>
      </c>
      <c r="E13574" t="s">
        <v>28466</v>
      </c>
      <c r="F13574" t="s">
        <v>28669</v>
      </c>
      <c r="G13574" t="s">
        <v>28677</v>
      </c>
      <c r="H13574" t="s">
        <v>9998</v>
      </c>
      <c r="I13574" t="s">
        <v>28707</v>
      </c>
      <c r="J13574" t="s">
        <v>37069</v>
      </c>
      <c r="K13574" t="s">
        <v>37209</v>
      </c>
      <c r="M13574" t="s">
        <v>39642</v>
      </c>
      <c r="N13574" t="s">
        <v>41249</v>
      </c>
      <c r="O13574" t="s">
        <v>41250</v>
      </c>
      <c r="Q13574">
        <v>7</v>
      </c>
      <c r="R13574" t="s">
        <v>41320</v>
      </c>
      <c r="S13574" t="s">
        <v>42482</v>
      </c>
      <c r="T13574" t="s">
        <v>42675</v>
      </c>
      <c r="U13574" t="s">
        <v>54076</v>
      </c>
      <c r="W13574" t="s">
        <v>39642</v>
      </c>
      <c r="X13574" t="s">
        <v>41322</v>
      </c>
    </row>
    <row r="13575" spans="1:24">
      <c r="A13575">
        <f>HYPERLINK("https://www.philgeps.gov.ph/GEPSNONPILOT/Tender/SplashBidNoticeAbstractUI.aspx?menuIndex=3&amp;refID=6955379&amp;Result=3","6955379")</f>
        <v>0</v>
      </c>
      <c r="B13575" t="s">
        <v>1387</v>
      </c>
      <c r="C13575" t="s">
        <v>16394</v>
      </c>
      <c r="D13575" t="s">
        <v>16668</v>
      </c>
      <c r="E13575" t="s">
        <v>28467</v>
      </c>
      <c r="F13575" t="s">
        <v>28669</v>
      </c>
      <c r="G13575" t="s">
        <v>28675</v>
      </c>
      <c r="H13575" t="s">
        <v>28686</v>
      </c>
      <c r="I13575" t="s">
        <v>28689</v>
      </c>
      <c r="J13575" t="s">
        <v>29313</v>
      </c>
      <c r="K13575" t="s">
        <v>37412</v>
      </c>
      <c r="M13575" t="s">
        <v>38949</v>
      </c>
      <c r="N13575" t="s">
        <v>41249</v>
      </c>
      <c r="O13575" t="s">
        <v>41250</v>
      </c>
      <c r="Q13575">
        <v>0</v>
      </c>
      <c r="R13575" t="s">
        <v>41312</v>
      </c>
      <c r="S13575" t="s">
        <v>42483</v>
      </c>
      <c r="T13575" t="s">
        <v>42664</v>
      </c>
      <c r="U13575" t="s">
        <v>54077</v>
      </c>
      <c r="W13575" t="s">
        <v>38949</v>
      </c>
      <c r="X13575" t="s">
        <v>56058</v>
      </c>
    </row>
    <row r="13576" spans="1:24">
      <c r="A13576">
        <f>HYPERLINK("https://www.philgeps.gov.ph/GEPSNONPILOT/Tender/SplashBidNoticeAbstractUI.aspx?menuIndex=3&amp;refID=6930378&amp;Result=3","6930378")</f>
        <v>0</v>
      </c>
      <c r="B13576" t="s">
        <v>1387</v>
      </c>
      <c r="C13576" t="s">
        <v>16395</v>
      </c>
      <c r="D13576" t="s">
        <v>16668</v>
      </c>
      <c r="E13576" t="s">
        <v>28468</v>
      </c>
      <c r="F13576" t="s">
        <v>28669</v>
      </c>
      <c r="G13576" t="s">
        <v>28675</v>
      </c>
      <c r="H13576" t="s">
        <v>28686</v>
      </c>
      <c r="I13576" t="s">
        <v>28689</v>
      </c>
      <c r="J13576" t="s">
        <v>30122</v>
      </c>
      <c r="K13576" t="s">
        <v>37451</v>
      </c>
      <c r="M13576" t="s">
        <v>38949</v>
      </c>
      <c r="N13576" t="s">
        <v>41249</v>
      </c>
      <c r="O13576" t="s">
        <v>41250</v>
      </c>
      <c r="Q13576">
        <v>0</v>
      </c>
      <c r="R13576" t="s">
        <v>41320</v>
      </c>
      <c r="S13576" t="s">
        <v>41519</v>
      </c>
      <c r="T13576" t="s">
        <v>42742</v>
      </c>
      <c r="U13576" t="s">
        <v>54078</v>
      </c>
      <c r="W13576" t="s">
        <v>38949</v>
      </c>
      <c r="X13576" t="s">
        <v>41322</v>
      </c>
    </row>
    <row r="13577" spans="1:24">
      <c r="A13577">
        <f>HYPERLINK("https://www.philgeps.gov.ph/GEPSNONPILOT/Tender/SplashBidNoticeAbstractUI.aspx?menuIndex=3&amp;refID=6926015&amp;Result=3","6926015")</f>
        <v>0</v>
      </c>
      <c r="B13577" t="s">
        <v>1387</v>
      </c>
      <c r="C13577" t="s">
        <v>16396</v>
      </c>
      <c r="D13577" t="s">
        <v>16668</v>
      </c>
      <c r="E13577" t="s">
        <v>28469</v>
      </c>
      <c r="F13577" t="s">
        <v>28669</v>
      </c>
      <c r="G13577" t="s">
        <v>28675</v>
      </c>
      <c r="H13577" t="s">
        <v>28686</v>
      </c>
      <c r="I13577" t="s">
        <v>28689</v>
      </c>
      <c r="J13577" t="s">
        <v>37070</v>
      </c>
      <c r="K13577" t="s">
        <v>37451</v>
      </c>
      <c r="M13577" t="s">
        <v>38949</v>
      </c>
      <c r="N13577" t="s">
        <v>41249</v>
      </c>
      <c r="O13577" t="s">
        <v>41250</v>
      </c>
      <c r="Q13577">
        <v>0</v>
      </c>
      <c r="R13577" t="s">
        <v>41322</v>
      </c>
      <c r="S13577" t="s">
        <v>42484</v>
      </c>
      <c r="T13577" t="s">
        <v>42694</v>
      </c>
      <c r="U13577" t="s">
        <v>54079</v>
      </c>
      <c r="W13577" t="s">
        <v>38949</v>
      </c>
      <c r="X13577" t="s">
        <v>41324</v>
      </c>
    </row>
    <row r="13578" spans="1:24">
      <c r="A13578">
        <f>HYPERLINK("https://www.philgeps.gov.ph/GEPSNONPILOT/Tender/SplashBidNoticeAbstractUI.aspx?menuIndex=3&amp;refID=6935285&amp;Result=3","6935285")</f>
        <v>0</v>
      </c>
      <c r="B13578" t="s">
        <v>1387</v>
      </c>
      <c r="C13578" t="s">
        <v>16397</v>
      </c>
      <c r="D13578" t="s">
        <v>16668</v>
      </c>
      <c r="E13578" t="s">
        <v>28470</v>
      </c>
      <c r="F13578" t="s">
        <v>28669</v>
      </c>
      <c r="G13578" t="s">
        <v>28675</v>
      </c>
      <c r="H13578" t="s">
        <v>28686</v>
      </c>
      <c r="I13578" t="s">
        <v>28689</v>
      </c>
      <c r="J13578" t="s">
        <v>31637</v>
      </c>
      <c r="K13578" t="s">
        <v>37443</v>
      </c>
      <c r="M13578" t="s">
        <v>38949</v>
      </c>
      <c r="N13578" t="s">
        <v>41249</v>
      </c>
      <c r="O13578" t="s">
        <v>41250</v>
      </c>
      <c r="Q13578">
        <v>0</v>
      </c>
      <c r="R13578" t="s">
        <v>41314</v>
      </c>
      <c r="S13578" t="s">
        <v>42485</v>
      </c>
      <c r="T13578" t="s">
        <v>42682</v>
      </c>
      <c r="U13578" t="s">
        <v>54080</v>
      </c>
      <c r="W13578" t="s">
        <v>38949</v>
      </c>
      <c r="X13578" t="s">
        <v>41320</v>
      </c>
    </row>
    <row r="13579" spans="1:24">
      <c r="A13579">
        <f>HYPERLINK("https://www.philgeps.gov.ph/GEPSNONPILOT/Tender/SplashBidNoticeAbstractUI.aspx?menuIndex=3&amp;refID=6934879&amp;Result=3","6934879")</f>
        <v>0</v>
      </c>
      <c r="B13579" t="s">
        <v>1490</v>
      </c>
      <c r="C13579" t="s">
        <v>16398</v>
      </c>
      <c r="D13579" t="s">
        <v>16654</v>
      </c>
      <c r="E13579" t="s">
        <v>28471</v>
      </c>
      <c r="F13579" t="s">
        <v>28669</v>
      </c>
      <c r="G13579" t="s">
        <v>28675</v>
      </c>
      <c r="H13579" t="s">
        <v>28686</v>
      </c>
      <c r="I13579" t="s">
        <v>28689</v>
      </c>
      <c r="J13579" t="s">
        <v>30289</v>
      </c>
      <c r="K13579" t="s">
        <v>37215</v>
      </c>
      <c r="M13579" t="s">
        <v>39067</v>
      </c>
      <c r="N13579" t="s">
        <v>41249</v>
      </c>
      <c r="O13579" t="s">
        <v>41250</v>
      </c>
      <c r="Q13579">
        <v>0</v>
      </c>
      <c r="R13579" t="s">
        <v>41314</v>
      </c>
      <c r="S13579" t="s">
        <v>42486</v>
      </c>
      <c r="T13579" t="s">
        <v>42876</v>
      </c>
      <c r="U13579" t="s">
        <v>54081</v>
      </c>
      <c r="W13579" t="s">
        <v>39067</v>
      </c>
      <c r="X13579" t="s">
        <v>41320</v>
      </c>
    </row>
    <row r="13580" spans="1:24">
      <c r="A13580">
        <f>HYPERLINK("https://www.philgeps.gov.ph/GEPSNONPILOT/Tender/SplashBidNoticeAbstractUI.aspx?menuIndex=3&amp;refID=6931232&amp;Result=3","6931232")</f>
        <v>0</v>
      </c>
      <c r="B13580" t="s">
        <v>406</v>
      </c>
      <c r="C13580" t="s">
        <v>16399</v>
      </c>
      <c r="D13580" t="s">
        <v>16644</v>
      </c>
      <c r="E13580" t="s">
        <v>28472</v>
      </c>
      <c r="F13580" t="s">
        <v>28669</v>
      </c>
      <c r="G13580" t="s">
        <v>28675</v>
      </c>
      <c r="H13580" t="s">
        <v>28686</v>
      </c>
      <c r="I13580" t="s">
        <v>28689</v>
      </c>
      <c r="J13580" t="s">
        <v>37071</v>
      </c>
      <c r="K13580" t="s">
        <v>37206</v>
      </c>
      <c r="M13580" t="s">
        <v>37891</v>
      </c>
      <c r="N13580" t="s">
        <v>41249</v>
      </c>
      <c r="O13580" t="s">
        <v>41250</v>
      </c>
      <c r="Q13580">
        <v>1</v>
      </c>
      <c r="R13580" t="s">
        <v>41320</v>
      </c>
      <c r="S13580" t="s">
        <v>41541</v>
      </c>
      <c r="T13580" t="s">
        <v>42782</v>
      </c>
      <c r="U13580" t="s">
        <v>48605</v>
      </c>
      <c r="V13580" t="s">
        <v>55023</v>
      </c>
      <c r="W13580" t="s">
        <v>37891</v>
      </c>
      <c r="X13580" t="s">
        <v>41322</v>
      </c>
    </row>
    <row r="13581" spans="1:24">
      <c r="A13581">
        <f>HYPERLINK("https://www.philgeps.gov.ph/GEPSNONPILOT/Tender/SplashBidNoticeAbstractUI.aspx?menuIndex=3&amp;refID=6904841&amp;Result=3","6904841")</f>
        <v>0</v>
      </c>
      <c r="B13581" t="s">
        <v>3360</v>
      </c>
      <c r="C13581" t="s">
        <v>16400</v>
      </c>
      <c r="D13581" t="s">
        <v>16608</v>
      </c>
      <c r="E13581" t="s">
        <v>28473</v>
      </c>
      <c r="F13581" t="s">
        <v>28669</v>
      </c>
      <c r="G13581" t="s">
        <v>28675</v>
      </c>
      <c r="H13581" t="s">
        <v>9998</v>
      </c>
      <c r="I13581" t="s">
        <v>28690</v>
      </c>
      <c r="J13581" t="s">
        <v>37072</v>
      </c>
      <c r="K13581" t="s">
        <v>37272</v>
      </c>
      <c r="M13581" t="s">
        <v>41215</v>
      </c>
      <c r="N13581" t="s">
        <v>41249</v>
      </c>
      <c r="O13581" t="s">
        <v>41250</v>
      </c>
      <c r="Q13581">
        <v>7</v>
      </c>
      <c r="R13581" t="s">
        <v>41323</v>
      </c>
      <c r="S13581" t="s">
        <v>42487</v>
      </c>
      <c r="T13581" t="s">
        <v>42760</v>
      </c>
      <c r="U13581" t="s">
        <v>54082</v>
      </c>
      <c r="V13581" t="s">
        <v>55864</v>
      </c>
      <c r="W13581" t="s">
        <v>41215</v>
      </c>
      <c r="X13581" t="s">
        <v>41332</v>
      </c>
    </row>
    <row r="13582" spans="1:24">
      <c r="A13582">
        <f>HYPERLINK("https://www.philgeps.gov.ph/GEPSNONPILOT/Tender/SplashBidNoticeAbstractUI.aspx?menuIndex=3&amp;refID=6932470&amp;Result=3","6932470")</f>
        <v>0</v>
      </c>
      <c r="B13582" t="s">
        <v>2884</v>
      </c>
      <c r="C13582" t="s">
        <v>16401</v>
      </c>
      <c r="D13582" t="s">
        <v>16608</v>
      </c>
      <c r="E13582" t="s">
        <v>28474</v>
      </c>
      <c r="F13582" t="s">
        <v>28669</v>
      </c>
      <c r="G13582" t="s">
        <v>28675</v>
      </c>
      <c r="H13582" t="s">
        <v>9998</v>
      </c>
      <c r="I13582" t="s">
        <v>5213</v>
      </c>
      <c r="J13582" t="s">
        <v>37073</v>
      </c>
      <c r="K13582" t="s">
        <v>37209</v>
      </c>
      <c r="M13582" t="s">
        <v>40631</v>
      </c>
      <c r="N13582" t="s">
        <v>41249</v>
      </c>
      <c r="O13582" t="s">
        <v>41250</v>
      </c>
      <c r="Q13582">
        <v>7</v>
      </c>
      <c r="R13582" t="s">
        <v>41320</v>
      </c>
      <c r="S13582" t="s">
        <v>42488</v>
      </c>
      <c r="T13582" t="s">
        <v>43180</v>
      </c>
      <c r="U13582" t="s">
        <v>54083</v>
      </c>
      <c r="W13582" t="s">
        <v>40631</v>
      </c>
      <c r="X13582" t="s">
        <v>41322</v>
      </c>
    </row>
    <row r="13583" spans="1:24">
      <c r="A13583">
        <f>HYPERLINK("https://www.philgeps.gov.ph/GEPSNONPILOT/Tender/SplashBidNoticeAbstractUI.aspx?menuIndex=3&amp;refID=6930742&amp;Result=3","6930742")</f>
        <v>0</v>
      </c>
      <c r="B13583" t="s">
        <v>1387</v>
      </c>
      <c r="C13583" t="s">
        <v>16402</v>
      </c>
      <c r="D13583" t="s">
        <v>16668</v>
      </c>
      <c r="E13583" t="s">
        <v>28475</v>
      </c>
      <c r="F13583" t="s">
        <v>28669</v>
      </c>
      <c r="G13583" t="s">
        <v>28675</v>
      </c>
      <c r="H13583" t="s">
        <v>28686</v>
      </c>
      <c r="I13583" t="s">
        <v>28689</v>
      </c>
      <c r="J13583" t="s">
        <v>31637</v>
      </c>
      <c r="K13583" t="s">
        <v>37490</v>
      </c>
      <c r="M13583" t="s">
        <v>38949</v>
      </c>
      <c r="N13583" t="s">
        <v>41249</v>
      </c>
      <c r="O13583" t="s">
        <v>41250</v>
      </c>
      <c r="Q13583">
        <v>0</v>
      </c>
      <c r="R13583" t="s">
        <v>41320</v>
      </c>
      <c r="S13583" t="s">
        <v>42489</v>
      </c>
      <c r="T13583" t="s">
        <v>42742</v>
      </c>
      <c r="U13583" t="s">
        <v>54084</v>
      </c>
      <c r="W13583" t="s">
        <v>38949</v>
      </c>
      <c r="X13583" t="s">
        <v>41322</v>
      </c>
    </row>
    <row r="13584" spans="1:24">
      <c r="A13584">
        <f>HYPERLINK("https://www.philgeps.gov.ph/GEPSNONPILOT/Tender/SplashBidNoticeAbstractUI.aspx?menuIndex=3&amp;refID=6930258&amp;Result=3","6930258")</f>
        <v>0</v>
      </c>
      <c r="B13584" t="s">
        <v>1387</v>
      </c>
      <c r="C13584" t="s">
        <v>16403</v>
      </c>
      <c r="D13584" t="s">
        <v>16668</v>
      </c>
      <c r="E13584" t="s">
        <v>28476</v>
      </c>
      <c r="F13584" t="s">
        <v>28669</v>
      </c>
      <c r="G13584" t="s">
        <v>28675</v>
      </c>
      <c r="H13584" t="s">
        <v>28686</v>
      </c>
      <c r="I13584" t="s">
        <v>28689</v>
      </c>
      <c r="J13584" t="s">
        <v>30304</v>
      </c>
      <c r="K13584" t="s">
        <v>37432</v>
      </c>
      <c r="M13584" t="s">
        <v>38949</v>
      </c>
      <c r="N13584" t="s">
        <v>41249</v>
      </c>
      <c r="O13584" t="s">
        <v>41250</v>
      </c>
      <c r="Q13584">
        <v>0</v>
      </c>
      <c r="R13584" t="s">
        <v>41320</v>
      </c>
      <c r="S13584" t="s">
        <v>42490</v>
      </c>
      <c r="T13584" t="s">
        <v>42742</v>
      </c>
      <c r="U13584" t="s">
        <v>54085</v>
      </c>
      <c r="W13584" t="s">
        <v>38949</v>
      </c>
      <c r="X13584" t="s">
        <v>41322</v>
      </c>
    </row>
    <row r="13585" spans="1:24">
      <c r="A13585">
        <f>HYPERLINK("https://www.philgeps.gov.ph/GEPSNONPILOT/Tender/SplashBidNoticeAbstractUI.aspx?menuIndex=3&amp;refID=6920636&amp;Result=3","6920636")</f>
        <v>0</v>
      </c>
      <c r="B13585" t="s">
        <v>127</v>
      </c>
      <c r="C13585" t="s">
        <v>16404</v>
      </c>
      <c r="D13585" t="s">
        <v>16618</v>
      </c>
      <c r="E13585" t="s">
        <v>28477</v>
      </c>
      <c r="F13585" t="s">
        <v>28669</v>
      </c>
      <c r="G13585" t="s">
        <v>28675</v>
      </c>
      <c r="H13585" t="s">
        <v>28686</v>
      </c>
      <c r="I13585" t="s">
        <v>28689</v>
      </c>
      <c r="J13585" t="s">
        <v>28836</v>
      </c>
      <c r="K13585" t="s">
        <v>37214</v>
      </c>
      <c r="M13585" t="s">
        <v>37603</v>
      </c>
      <c r="N13585" t="s">
        <v>41249</v>
      </c>
      <c r="O13585" t="s">
        <v>41250</v>
      </c>
      <c r="Q13585">
        <v>1</v>
      </c>
      <c r="R13585" t="s">
        <v>41323</v>
      </c>
      <c r="S13585" t="s">
        <v>42491</v>
      </c>
      <c r="T13585" t="s">
        <v>42702</v>
      </c>
      <c r="U13585" t="s">
        <v>54086</v>
      </c>
      <c r="V13585" t="s">
        <v>55865</v>
      </c>
      <c r="W13585" t="s">
        <v>37603</v>
      </c>
      <c r="X13585" t="s">
        <v>41326</v>
      </c>
    </row>
    <row r="13586" spans="1:24">
      <c r="A13586">
        <f>HYPERLINK("https://www.philgeps.gov.ph/GEPSNONPILOT/Tender/SplashBidNoticeAbstractUI.aspx?menuIndex=3&amp;refID=6920265&amp;Result=3","6920265")</f>
        <v>0</v>
      </c>
      <c r="B13586" t="s">
        <v>100</v>
      </c>
      <c r="C13586" t="s">
        <v>16405</v>
      </c>
      <c r="D13586" t="s">
        <v>16608</v>
      </c>
      <c r="E13586" t="s">
        <v>28478</v>
      </c>
      <c r="F13586" t="s">
        <v>28669</v>
      </c>
      <c r="G13586" t="s">
        <v>28679</v>
      </c>
      <c r="H13586" t="s">
        <v>28684</v>
      </c>
      <c r="I13586" t="s">
        <v>11593</v>
      </c>
      <c r="J13586" t="s">
        <v>37074</v>
      </c>
      <c r="K13586" t="s">
        <v>37491</v>
      </c>
      <c r="M13586" t="s">
        <v>41216</v>
      </c>
      <c r="N13586" t="s">
        <v>41249</v>
      </c>
      <c r="O13586" t="s">
        <v>41250</v>
      </c>
      <c r="Q13586">
        <v>44</v>
      </c>
      <c r="R13586" t="s">
        <v>41323</v>
      </c>
      <c r="S13586" t="s">
        <v>42492</v>
      </c>
      <c r="T13586" t="s">
        <v>42783</v>
      </c>
      <c r="U13586" t="s">
        <v>54087</v>
      </c>
      <c r="W13586" t="s">
        <v>41216</v>
      </c>
      <c r="X13586" t="s">
        <v>41325</v>
      </c>
    </row>
    <row r="13587" spans="1:24">
      <c r="A13587">
        <f>HYPERLINK("https://www.philgeps.gov.ph/GEPSNONPILOT/Tender/SplashBidNoticeAbstractUI.aspx?menuIndex=3&amp;refID=6924513&amp;Result=3","6924513")</f>
        <v>0</v>
      </c>
      <c r="B13587" t="s">
        <v>1633</v>
      </c>
      <c r="C13587" t="s">
        <v>16406</v>
      </c>
      <c r="D13587" t="s">
        <v>16608</v>
      </c>
      <c r="E13587" t="s">
        <v>28479</v>
      </c>
      <c r="F13587" t="s">
        <v>28669</v>
      </c>
      <c r="G13587" t="s">
        <v>28675</v>
      </c>
      <c r="H13587" t="s">
        <v>9998</v>
      </c>
      <c r="I13587" t="s">
        <v>11593</v>
      </c>
      <c r="J13587" t="s">
        <v>29526</v>
      </c>
      <c r="K13587" t="s">
        <v>37206</v>
      </c>
      <c r="M13587" t="s">
        <v>39222</v>
      </c>
      <c r="N13587" t="s">
        <v>41249</v>
      </c>
      <c r="O13587" t="s">
        <v>41250</v>
      </c>
      <c r="Q13587">
        <v>7</v>
      </c>
      <c r="R13587" t="s">
        <v>41324</v>
      </c>
      <c r="S13587" t="s">
        <v>42493</v>
      </c>
      <c r="T13587" t="s">
        <v>42838</v>
      </c>
      <c r="U13587" t="s">
        <v>54088</v>
      </c>
      <c r="V13587" t="s">
        <v>55866</v>
      </c>
      <c r="W13587" t="s">
        <v>39222</v>
      </c>
      <c r="X13587" t="s">
        <v>41323</v>
      </c>
    </row>
    <row r="13588" spans="1:24">
      <c r="A13588">
        <f>HYPERLINK("https://www.philgeps.gov.ph/GEPSNONPILOT/Tender/SplashBidNoticeAbstractUI.aspx?menuIndex=3&amp;refID=6919995&amp;Result=3","6919995")</f>
        <v>0</v>
      </c>
      <c r="B13588" t="s">
        <v>1387</v>
      </c>
      <c r="C13588" t="s">
        <v>16407</v>
      </c>
      <c r="D13588" t="s">
        <v>16668</v>
      </c>
      <c r="E13588" t="s">
        <v>28480</v>
      </c>
      <c r="F13588" t="s">
        <v>28669</v>
      </c>
      <c r="G13588" t="s">
        <v>28675</v>
      </c>
      <c r="H13588" t="s">
        <v>28686</v>
      </c>
      <c r="I13588" t="s">
        <v>28689</v>
      </c>
      <c r="J13588" t="s">
        <v>32446</v>
      </c>
      <c r="K13588" t="s">
        <v>37213</v>
      </c>
      <c r="M13588" t="s">
        <v>38949</v>
      </c>
      <c r="N13588" t="s">
        <v>41249</v>
      </c>
      <c r="O13588" t="s">
        <v>41250</v>
      </c>
      <c r="Q13588">
        <v>0</v>
      </c>
      <c r="R13588" t="s">
        <v>41323</v>
      </c>
      <c r="S13588" t="s">
        <v>42494</v>
      </c>
      <c r="T13588" t="s">
        <v>42694</v>
      </c>
      <c r="U13588" t="s">
        <v>54089</v>
      </c>
      <c r="W13588" t="s">
        <v>38949</v>
      </c>
      <c r="X13588" t="s">
        <v>41325</v>
      </c>
    </row>
    <row r="13589" spans="1:24">
      <c r="A13589">
        <f>HYPERLINK("https://www.philgeps.gov.ph/GEPSNONPILOT/Tender/SplashBidNoticeAbstractUI.aspx?menuIndex=3&amp;refID=6923653&amp;Result=3","6923653")</f>
        <v>0</v>
      </c>
      <c r="B13589" t="s">
        <v>684</v>
      </c>
      <c r="C13589" t="s">
        <v>16408</v>
      </c>
      <c r="D13589" t="s">
        <v>16627</v>
      </c>
      <c r="E13589" t="s">
        <v>28481</v>
      </c>
      <c r="F13589" t="s">
        <v>28669</v>
      </c>
      <c r="G13589" t="s">
        <v>28675</v>
      </c>
      <c r="H13589" t="s">
        <v>9998</v>
      </c>
      <c r="I13589" t="s">
        <v>11593</v>
      </c>
      <c r="J13589" t="s">
        <v>28881</v>
      </c>
      <c r="K13589" t="s">
        <v>37206</v>
      </c>
      <c r="M13589" t="s">
        <v>38188</v>
      </c>
      <c r="N13589" t="s">
        <v>41249</v>
      </c>
      <c r="O13589" t="s">
        <v>41250</v>
      </c>
      <c r="Q13589">
        <v>8</v>
      </c>
      <c r="R13589" t="s">
        <v>41324</v>
      </c>
      <c r="S13589" t="s">
        <v>42495</v>
      </c>
      <c r="T13589" t="s">
        <v>42789</v>
      </c>
      <c r="U13589" t="s">
        <v>54090</v>
      </c>
      <c r="W13589" t="s">
        <v>38188</v>
      </c>
      <c r="X13589" t="s">
        <v>41323</v>
      </c>
    </row>
    <row r="13590" spans="1:24">
      <c r="A13590">
        <f>HYPERLINK("https://www.philgeps.gov.ph/GEPSNONPILOT/Tender/SplashBidNoticeAbstractUI.aspx?menuIndex=3&amp;refID=6923509&amp;Result=3","6923509")</f>
        <v>0</v>
      </c>
      <c r="B13590" t="s">
        <v>684</v>
      </c>
      <c r="C13590" t="s">
        <v>16409</v>
      </c>
      <c r="D13590" t="s">
        <v>16627</v>
      </c>
      <c r="E13590" t="s">
        <v>28482</v>
      </c>
      <c r="F13590" t="s">
        <v>28669</v>
      </c>
      <c r="G13590" t="s">
        <v>28675</v>
      </c>
      <c r="H13590" t="s">
        <v>9998</v>
      </c>
      <c r="I13590" t="s">
        <v>28693</v>
      </c>
      <c r="J13590" t="s">
        <v>29112</v>
      </c>
      <c r="K13590" t="s">
        <v>37206</v>
      </c>
      <c r="M13590" t="s">
        <v>38188</v>
      </c>
      <c r="N13590" t="s">
        <v>41249</v>
      </c>
      <c r="O13590" t="s">
        <v>41250</v>
      </c>
      <c r="Q13590">
        <v>10</v>
      </c>
      <c r="R13590" t="s">
        <v>41324</v>
      </c>
      <c r="S13590" t="s">
        <v>42496</v>
      </c>
      <c r="T13590" t="s">
        <v>42782</v>
      </c>
      <c r="U13590" t="s">
        <v>54091</v>
      </c>
      <c r="W13590" t="s">
        <v>38188</v>
      </c>
      <c r="X13590" t="s">
        <v>41323</v>
      </c>
    </row>
    <row r="13591" spans="1:24">
      <c r="A13591">
        <f>HYPERLINK("https://www.philgeps.gov.ph/GEPSNONPILOT/Tender/SplashBidNoticeAbstractUI.aspx?menuIndex=3&amp;refID=6934642&amp;Result=3","6934642")</f>
        <v>0</v>
      </c>
      <c r="B13591" t="s">
        <v>1387</v>
      </c>
      <c r="C13591" t="s">
        <v>16410</v>
      </c>
      <c r="D13591" t="s">
        <v>16668</v>
      </c>
      <c r="E13591" t="s">
        <v>28483</v>
      </c>
      <c r="F13591" t="s">
        <v>28669</v>
      </c>
      <c r="G13591" t="s">
        <v>28675</v>
      </c>
      <c r="H13591" t="s">
        <v>28686</v>
      </c>
      <c r="I13591" t="s">
        <v>28689</v>
      </c>
      <c r="J13591" t="s">
        <v>36240</v>
      </c>
      <c r="K13591" t="s">
        <v>37215</v>
      </c>
      <c r="M13591" t="s">
        <v>38949</v>
      </c>
      <c r="N13591" t="s">
        <v>41249</v>
      </c>
      <c r="O13591" t="s">
        <v>41250</v>
      </c>
      <c r="Q13591">
        <v>0</v>
      </c>
      <c r="R13591" t="s">
        <v>41314</v>
      </c>
      <c r="S13591" t="s">
        <v>42497</v>
      </c>
      <c r="T13591" t="s">
        <v>42682</v>
      </c>
      <c r="U13591" t="s">
        <v>54092</v>
      </c>
      <c r="W13591" t="s">
        <v>38949</v>
      </c>
      <c r="X13591" t="s">
        <v>41320</v>
      </c>
    </row>
    <row r="13592" spans="1:24">
      <c r="A13592">
        <f>HYPERLINK("https://www.philgeps.gov.ph/GEPSNONPILOT/Tender/SplashBidNoticeAbstractUI.aspx?menuIndex=3&amp;refID=6923450&amp;Result=3","6923450")</f>
        <v>0</v>
      </c>
      <c r="B13592" t="s">
        <v>439</v>
      </c>
      <c r="C13592" t="s">
        <v>16411</v>
      </c>
      <c r="D13592" t="s">
        <v>16608</v>
      </c>
      <c r="E13592" t="s">
        <v>28484</v>
      </c>
      <c r="F13592" t="s">
        <v>28669</v>
      </c>
      <c r="G13592" t="s">
        <v>28675</v>
      </c>
      <c r="H13592" t="s">
        <v>28686</v>
      </c>
      <c r="I13592" t="s">
        <v>28689</v>
      </c>
      <c r="J13592" t="s">
        <v>37075</v>
      </c>
      <c r="K13592" t="s">
        <v>37218</v>
      </c>
      <c r="M13592" t="s">
        <v>37924</v>
      </c>
      <c r="N13592" t="s">
        <v>41249</v>
      </c>
      <c r="O13592" t="s">
        <v>41250</v>
      </c>
      <c r="Q13592">
        <v>39</v>
      </c>
      <c r="R13592" t="s">
        <v>41324</v>
      </c>
      <c r="S13592" t="s">
        <v>42498</v>
      </c>
      <c r="T13592" t="s">
        <v>42929</v>
      </c>
      <c r="U13592" t="s">
        <v>54093</v>
      </c>
      <c r="W13592" t="s">
        <v>37924</v>
      </c>
      <c r="X13592" t="s">
        <v>41323</v>
      </c>
    </row>
    <row r="13593" spans="1:24">
      <c r="A13593">
        <f>HYPERLINK("https://www.philgeps.gov.ph/GEPSNONPILOT/Tender/SplashBidNoticeAbstractUI.aspx?menuIndex=3&amp;refID=6903317&amp;Result=3","6903317")</f>
        <v>0</v>
      </c>
      <c r="B13593" t="s">
        <v>1697</v>
      </c>
      <c r="C13593" t="s">
        <v>16412</v>
      </c>
      <c r="D13593" t="s">
        <v>16639</v>
      </c>
      <c r="E13593" t="s">
        <v>28485</v>
      </c>
      <c r="F13593" t="s">
        <v>28669</v>
      </c>
      <c r="G13593" t="s">
        <v>28682</v>
      </c>
      <c r="H13593" t="s">
        <v>28685</v>
      </c>
      <c r="I13593" t="s">
        <v>28685</v>
      </c>
      <c r="J13593" t="s">
        <v>37076</v>
      </c>
      <c r="K13593" t="s">
        <v>37209</v>
      </c>
      <c r="L13593" t="s">
        <v>1697</v>
      </c>
      <c r="M13593" t="s">
        <v>39297</v>
      </c>
      <c r="N13593" t="s">
        <v>41249</v>
      </c>
      <c r="O13593" t="s">
        <v>41250</v>
      </c>
      <c r="Q13593">
        <v>12</v>
      </c>
      <c r="R13593" t="s">
        <v>41324</v>
      </c>
      <c r="S13593" t="s">
        <v>42499</v>
      </c>
      <c r="T13593" t="s">
        <v>42754</v>
      </c>
      <c r="U13593" t="s">
        <v>54094</v>
      </c>
      <c r="W13593" t="s">
        <v>39297</v>
      </c>
      <c r="X13593" t="s">
        <v>56042</v>
      </c>
    </row>
    <row r="13594" spans="1:24">
      <c r="A13594">
        <f>HYPERLINK("https://www.philgeps.gov.ph/GEPSNONPILOT/Tender/SplashBidNoticeAbstractUI.aspx?menuIndex=3&amp;refID=6928859&amp;Result=3","6928859")</f>
        <v>0</v>
      </c>
      <c r="B13594" t="s">
        <v>1530</v>
      </c>
      <c r="C13594" t="s">
        <v>16413</v>
      </c>
      <c r="D13594" t="s">
        <v>16681</v>
      </c>
      <c r="E13594" t="s">
        <v>28486</v>
      </c>
      <c r="F13594" t="s">
        <v>28669</v>
      </c>
      <c r="G13594" t="s">
        <v>28675</v>
      </c>
      <c r="H13594" t="s">
        <v>28686</v>
      </c>
      <c r="I13594" t="s">
        <v>28689</v>
      </c>
      <c r="J13594" t="s">
        <v>37077</v>
      </c>
      <c r="K13594" t="s">
        <v>37209</v>
      </c>
      <c r="M13594" t="s">
        <v>39104</v>
      </c>
      <c r="N13594" t="s">
        <v>41249</v>
      </c>
      <c r="O13594" t="s">
        <v>41250</v>
      </c>
      <c r="Q13594">
        <v>0</v>
      </c>
      <c r="R13594" t="s">
        <v>41322</v>
      </c>
      <c r="S13594" t="s">
        <v>42500</v>
      </c>
      <c r="T13594" t="s">
        <v>42690</v>
      </c>
      <c r="U13594" t="s">
        <v>46638</v>
      </c>
      <c r="W13594" t="s">
        <v>39104</v>
      </c>
      <c r="X13594" t="s">
        <v>41324</v>
      </c>
    </row>
    <row r="13595" spans="1:24">
      <c r="A13595">
        <f>HYPERLINK("https://www.philgeps.gov.ph/GEPSNONPILOT/Tender/SplashBidNoticeAbstractUI.aspx?menuIndex=3&amp;refID=6928847&amp;Result=3","6928847")</f>
        <v>0</v>
      </c>
      <c r="B13595" t="s">
        <v>1530</v>
      </c>
      <c r="C13595" t="s">
        <v>16414</v>
      </c>
      <c r="D13595" t="s">
        <v>16681</v>
      </c>
      <c r="E13595" t="s">
        <v>28487</v>
      </c>
      <c r="F13595" t="s">
        <v>28669</v>
      </c>
      <c r="G13595" t="s">
        <v>28675</v>
      </c>
      <c r="H13595" t="s">
        <v>28686</v>
      </c>
      <c r="I13595" t="s">
        <v>28689</v>
      </c>
      <c r="J13595" t="s">
        <v>37078</v>
      </c>
      <c r="K13595" t="s">
        <v>37209</v>
      </c>
      <c r="M13595" t="s">
        <v>39104</v>
      </c>
      <c r="N13595" t="s">
        <v>41249</v>
      </c>
      <c r="O13595" t="s">
        <v>41250</v>
      </c>
      <c r="Q13595">
        <v>1</v>
      </c>
      <c r="R13595" t="s">
        <v>41322</v>
      </c>
      <c r="S13595" t="s">
        <v>42501</v>
      </c>
      <c r="T13595" t="s">
        <v>42690</v>
      </c>
      <c r="U13595" t="s">
        <v>46638</v>
      </c>
      <c r="W13595" t="s">
        <v>39104</v>
      </c>
      <c r="X13595" t="s">
        <v>41324</v>
      </c>
    </row>
    <row r="13596" spans="1:24">
      <c r="A13596">
        <f>HYPERLINK("https://www.philgeps.gov.ph/GEPSNONPILOT/Tender/SplashBidNoticeAbstractUI.aspx?menuIndex=3&amp;refID=6928834&amp;Result=3","6928834")</f>
        <v>0</v>
      </c>
      <c r="B13596" t="s">
        <v>1530</v>
      </c>
      <c r="C13596" t="s">
        <v>16415</v>
      </c>
      <c r="D13596" t="s">
        <v>16681</v>
      </c>
      <c r="E13596" t="s">
        <v>28488</v>
      </c>
      <c r="F13596" t="s">
        <v>28669</v>
      </c>
      <c r="G13596" t="s">
        <v>28675</v>
      </c>
      <c r="H13596" t="s">
        <v>28686</v>
      </c>
      <c r="I13596" t="s">
        <v>28689</v>
      </c>
      <c r="J13596" t="s">
        <v>37079</v>
      </c>
      <c r="K13596" t="s">
        <v>37209</v>
      </c>
      <c r="M13596" t="s">
        <v>39104</v>
      </c>
      <c r="N13596" t="s">
        <v>41249</v>
      </c>
      <c r="O13596" t="s">
        <v>41250</v>
      </c>
      <c r="Q13596">
        <v>0</v>
      </c>
      <c r="R13596" t="s">
        <v>41322</v>
      </c>
      <c r="S13596" t="s">
        <v>42396</v>
      </c>
      <c r="T13596" t="s">
        <v>42690</v>
      </c>
      <c r="U13596" t="s">
        <v>46638</v>
      </c>
      <c r="W13596" t="s">
        <v>39104</v>
      </c>
      <c r="X13596" t="s">
        <v>41324</v>
      </c>
    </row>
    <row r="13597" spans="1:24">
      <c r="A13597">
        <f>HYPERLINK("https://www.philgeps.gov.ph/GEPSNONPILOT/Tender/SplashBidNoticeAbstractUI.aspx?menuIndex=3&amp;refID=6928814&amp;Result=3","6928814")</f>
        <v>0</v>
      </c>
      <c r="B13597" t="s">
        <v>1530</v>
      </c>
      <c r="C13597" t="s">
        <v>16416</v>
      </c>
      <c r="D13597" t="s">
        <v>16681</v>
      </c>
      <c r="E13597" t="s">
        <v>28489</v>
      </c>
      <c r="F13597" t="s">
        <v>28669</v>
      </c>
      <c r="G13597" t="s">
        <v>28675</v>
      </c>
      <c r="H13597" t="s">
        <v>28686</v>
      </c>
      <c r="I13597" t="s">
        <v>28689</v>
      </c>
      <c r="J13597" t="s">
        <v>37080</v>
      </c>
      <c r="K13597" t="s">
        <v>37209</v>
      </c>
      <c r="M13597" t="s">
        <v>39104</v>
      </c>
      <c r="N13597" t="s">
        <v>41249</v>
      </c>
      <c r="O13597" t="s">
        <v>41250</v>
      </c>
      <c r="Q13597">
        <v>1</v>
      </c>
      <c r="R13597" t="s">
        <v>41322</v>
      </c>
      <c r="S13597" t="s">
        <v>42502</v>
      </c>
      <c r="T13597" t="s">
        <v>42690</v>
      </c>
      <c r="U13597" t="s">
        <v>46638</v>
      </c>
      <c r="W13597" t="s">
        <v>39104</v>
      </c>
      <c r="X13597" t="s">
        <v>41324</v>
      </c>
    </row>
    <row r="13598" spans="1:24">
      <c r="A13598">
        <f>HYPERLINK("https://www.philgeps.gov.ph/GEPSNONPILOT/Tender/SplashBidNoticeAbstractUI.aspx?menuIndex=3&amp;refID=6920640&amp;Result=3","6920640")</f>
        <v>0</v>
      </c>
      <c r="B13598" t="s">
        <v>127</v>
      </c>
      <c r="C13598" t="s">
        <v>16417</v>
      </c>
      <c r="D13598" t="s">
        <v>16618</v>
      </c>
      <c r="E13598" t="s">
        <v>28490</v>
      </c>
      <c r="F13598" t="s">
        <v>28669</v>
      </c>
      <c r="G13598" t="s">
        <v>28675</v>
      </c>
      <c r="H13598" t="s">
        <v>28686</v>
      </c>
      <c r="I13598" t="s">
        <v>28689</v>
      </c>
      <c r="J13598" t="s">
        <v>31948</v>
      </c>
      <c r="K13598" t="s">
        <v>37214</v>
      </c>
      <c r="M13598" t="s">
        <v>37603</v>
      </c>
      <c r="N13598" t="s">
        <v>41249</v>
      </c>
      <c r="O13598" t="s">
        <v>41250</v>
      </c>
      <c r="Q13598">
        <v>1</v>
      </c>
      <c r="R13598" t="s">
        <v>41323</v>
      </c>
      <c r="S13598" t="s">
        <v>42491</v>
      </c>
      <c r="T13598" t="s">
        <v>42702</v>
      </c>
      <c r="U13598" t="s">
        <v>54095</v>
      </c>
      <c r="V13598" t="s">
        <v>55867</v>
      </c>
      <c r="W13598" t="s">
        <v>37603</v>
      </c>
      <c r="X13598" t="s">
        <v>41326</v>
      </c>
    </row>
    <row r="13599" spans="1:24">
      <c r="A13599">
        <f>HYPERLINK("https://www.philgeps.gov.ph/GEPSNONPILOT/Tender/SplashBidNoticeAbstractUI.aspx?menuIndex=3&amp;refID=6924439&amp;Result=3","6924439")</f>
        <v>0</v>
      </c>
      <c r="B13599" t="s">
        <v>107</v>
      </c>
      <c r="C13599" t="s">
        <v>16418</v>
      </c>
      <c r="D13599" t="s">
        <v>16657</v>
      </c>
      <c r="E13599" t="s">
        <v>28491</v>
      </c>
      <c r="F13599" t="s">
        <v>28669</v>
      </c>
      <c r="G13599" t="s">
        <v>28675</v>
      </c>
      <c r="H13599" t="s">
        <v>28686</v>
      </c>
      <c r="I13599" t="s">
        <v>28689</v>
      </c>
      <c r="J13599" t="s">
        <v>37081</v>
      </c>
      <c r="K13599" t="s">
        <v>37410</v>
      </c>
      <c r="M13599" t="s">
        <v>37583</v>
      </c>
      <c r="N13599" t="s">
        <v>41249</v>
      </c>
      <c r="O13599" t="s">
        <v>41250</v>
      </c>
      <c r="Q13599">
        <v>39</v>
      </c>
      <c r="R13599" t="s">
        <v>41324</v>
      </c>
      <c r="S13599" t="s">
        <v>42503</v>
      </c>
      <c r="T13599" t="s">
        <v>42698</v>
      </c>
      <c r="U13599" t="s">
        <v>54096</v>
      </c>
      <c r="V13599" t="s">
        <v>54278</v>
      </c>
      <c r="W13599" t="s">
        <v>37583</v>
      </c>
      <c r="X13599" t="s">
        <v>41323</v>
      </c>
    </row>
    <row r="13600" spans="1:24">
      <c r="A13600">
        <f>HYPERLINK("https://www.philgeps.gov.ph/GEPSNONPILOT/Tender/SplashBidNoticeAbstractUI.aspx?menuIndex=3&amp;refID=6917955&amp;Result=3","6917955")</f>
        <v>0</v>
      </c>
      <c r="B13600" t="s">
        <v>3361</v>
      </c>
      <c r="C13600" t="s">
        <v>16419</v>
      </c>
      <c r="D13600" t="s">
        <v>16608</v>
      </c>
      <c r="E13600" t="s">
        <v>28492</v>
      </c>
      <c r="F13600" t="s">
        <v>28669</v>
      </c>
      <c r="G13600" t="s">
        <v>28675</v>
      </c>
      <c r="H13600" t="s">
        <v>9998</v>
      </c>
      <c r="I13600" t="s">
        <v>28792</v>
      </c>
      <c r="J13600" t="s">
        <v>29724</v>
      </c>
      <c r="K13600" t="s">
        <v>37272</v>
      </c>
      <c r="M13600" t="s">
        <v>41217</v>
      </c>
      <c r="N13600" t="s">
        <v>41249</v>
      </c>
      <c r="O13600" t="s">
        <v>41250</v>
      </c>
      <c r="Q13600">
        <v>9</v>
      </c>
      <c r="R13600" t="s">
        <v>41323</v>
      </c>
      <c r="S13600" t="s">
        <v>42450</v>
      </c>
      <c r="T13600" t="s">
        <v>42929</v>
      </c>
      <c r="U13600" t="s">
        <v>54097</v>
      </c>
      <c r="W13600" t="s">
        <v>41217</v>
      </c>
      <c r="X13600" t="s">
        <v>41325</v>
      </c>
    </row>
    <row r="13601" spans="1:24">
      <c r="A13601">
        <f>HYPERLINK("https://www.philgeps.gov.ph/GEPSNONPILOT/Tender/SplashBidNoticeAbstractUI.aspx?menuIndex=3&amp;refID=6915572&amp;Result=3","6915572")</f>
        <v>0</v>
      </c>
      <c r="B13601" t="s">
        <v>1633</v>
      </c>
      <c r="C13601" t="s">
        <v>16420</v>
      </c>
      <c r="D13601" t="s">
        <v>16616</v>
      </c>
      <c r="E13601" t="s">
        <v>28493</v>
      </c>
      <c r="F13601" t="s">
        <v>28669</v>
      </c>
      <c r="G13601" t="s">
        <v>28675</v>
      </c>
      <c r="H13601" t="s">
        <v>9998</v>
      </c>
      <c r="I13601" t="s">
        <v>28707</v>
      </c>
      <c r="J13601" t="s">
        <v>37082</v>
      </c>
      <c r="K13601" t="s">
        <v>37481</v>
      </c>
      <c r="M13601" t="s">
        <v>39222</v>
      </c>
      <c r="N13601" t="s">
        <v>41249</v>
      </c>
      <c r="O13601" t="s">
        <v>41250</v>
      </c>
      <c r="Q13601">
        <v>15</v>
      </c>
      <c r="R13601" t="s">
        <v>41325</v>
      </c>
      <c r="S13601" t="s">
        <v>42504</v>
      </c>
      <c r="T13601" t="s">
        <v>43146</v>
      </c>
      <c r="U13601" t="s">
        <v>54098</v>
      </c>
      <c r="V13601" t="s">
        <v>55868</v>
      </c>
      <c r="W13601" t="s">
        <v>39222</v>
      </c>
      <c r="X13601" t="s">
        <v>41328</v>
      </c>
    </row>
    <row r="13602" spans="1:24">
      <c r="A13602">
        <f>HYPERLINK("https://www.philgeps.gov.ph/GEPSNONPILOT/Tender/SplashBidNoticeAbstractUI.aspx?menuIndex=3&amp;refID=6916255&amp;Result=3","6916255")</f>
        <v>0</v>
      </c>
      <c r="B13602" t="s">
        <v>703</v>
      </c>
      <c r="C13602" t="s">
        <v>16421</v>
      </c>
      <c r="E13602" t="s">
        <v>28494</v>
      </c>
      <c r="F13602" t="s">
        <v>28669</v>
      </c>
      <c r="G13602" t="s">
        <v>28675</v>
      </c>
      <c r="H13602" t="s">
        <v>9998</v>
      </c>
      <c r="I13602" t="s">
        <v>3718</v>
      </c>
      <c r="J13602" t="s">
        <v>37083</v>
      </c>
      <c r="K13602" t="s">
        <v>37209</v>
      </c>
      <c r="M13602" t="s">
        <v>40830</v>
      </c>
      <c r="N13602" t="s">
        <v>41249</v>
      </c>
      <c r="O13602" t="s">
        <v>41250</v>
      </c>
      <c r="Q13602">
        <v>22</v>
      </c>
      <c r="R13602" t="s">
        <v>41325</v>
      </c>
      <c r="S13602" t="s">
        <v>42331</v>
      </c>
      <c r="T13602" t="s">
        <v>42698</v>
      </c>
      <c r="U13602" t="s">
        <v>54099</v>
      </c>
      <c r="V13602" t="s">
        <v>55869</v>
      </c>
      <c r="W13602" t="s">
        <v>40830</v>
      </c>
      <c r="X13602" t="s">
        <v>41328</v>
      </c>
    </row>
    <row r="13603" spans="1:24">
      <c r="A13603">
        <f>HYPERLINK("https://www.philgeps.gov.ph/GEPSNONPILOT/Tender/SplashBidNoticeAbstractUI.aspx?menuIndex=3&amp;refID=6916232&amp;Result=3","6916232")</f>
        <v>0</v>
      </c>
      <c r="B13603" t="s">
        <v>3362</v>
      </c>
      <c r="C13603" t="s">
        <v>16422</v>
      </c>
      <c r="D13603" t="s">
        <v>16627</v>
      </c>
      <c r="E13603" t="s">
        <v>28495</v>
      </c>
      <c r="F13603" t="s">
        <v>28669</v>
      </c>
      <c r="G13603" t="s">
        <v>28675</v>
      </c>
      <c r="H13603" t="s">
        <v>9998</v>
      </c>
      <c r="I13603" t="s">
        <v>28701</v>
      </c>
      <c r="J13603" t="s">
        <v>37084</v>
      </c>
      <c r="K13603" t="s">
        <v>37272</v>
      </c>
      <c r="M13603" t="s">
        <v>41218</v>
      </c>
      <c r="N13603" t="s">
        <v>41249</v>
      </c>
      <c r="O13603" t="s">
        <v>41250</v>
      </c>
      <c r="Q13603">
        <v>4</v>
      </c>
      <c r="R13603" t="s">
        <v>41325</v>
      </c>
      <c r="S13603" t="s">
        <v>42505</v>
      </c>
      <c r="T13603" t="s">
        <v>42743</v>
      </c>
      <c r="U13603" t="s">
        <v>54100</v>
      </c>
      <c r="W13603" t="s">
        <v>41218</v>
      </c>
      <c r="X13603" t="s">
        <v>41328</v>
      </c>
    </row>
    <row r="13604" spans="1:24">
      <c r="A13604">
        <f>HYPERLINK("https://www.philgeps.gov.ph/GEPSNONPILOT/Tender/SplashBidNoticeAbstractUI.aspx?menuIndex=3&amp;refID=6931820&amp;Result=3","6931820")</f>
        <v>0</v>
      </c>
      <c r="B13604" t="s">
        <v>1387</v>
      </c>
      <c r="C13604" t="s">
        <v>16423</v>
      </c>
      <c r="D13604" t="s">
        <v>16668</v>
      </c>
      <c r="E13604" t="s">
        <v>28496</v>
      </c>
      <c r="F13604" t="s">
        <v>28669</v>
      </c>
      <c r="G13604" t="s">
        <v>28675</v>
      </c>
      <c r="H13604" t="s">
        <v>28686</v>
      </c>
      <c r="I13604" t="s">
        <v>28689</v>
      </c>
      <c r="J13604" t="s">
        <v>31637</v>
      </c>
      <c r="K13604" t="s">
        <v>37490</v>
      </c>
      <c r="M13604" t="s">
        <v>38949</v>
      </c>
      <c r="N13604" t="s">
        <v>41249</v>
      </c>
      <c r="O13604" t="s">
        <v>41250</v>
      </c>
      <c r="Q13604">
        <v>0</v>
      </c>
      <c r="R13604" t="s">
        <v>41320</v>
      </c>
      <c r="S13604" t="s">
        <v>42506</v>
      </c>
      <c r="T13604" t="s">
        <v>42742</v>
      </c>
      <c r="U13604" t="s">
        <v>54101</v>
      </c>
      <c r="W13604" t="s">
        <v>38949</v>
      </c>
      <c r="X13604" t="s">
        <v>41322</v>
      </c>
    </row>
    <row r="13605" spans="1:24">
      <c r="A13605">
        <f>HYPERLINK("https://www.philgeps.gov.ph/GEPSNONPILOT/Tender/SplashBidNoticeAbstractUI.aspx?menuIndex=3&amp;refID=6915357&amp;Result=3","6915357")</f>
        <v>0</v>
      </c>
      <c r="B13605" t="s">
        <v>2004</v>
      </c>
      <c r="C13605" t="s">
        <v>16424</v>
      </c>
      <c r="D13605" t="s">
        <v>16661</v>
      </c>
      <c r="E13605" t="s">
        <v>28497</v>
      </c>
      <c r="F13605" t="s">
        <v>28669</v>
      </c>
      <c r="G13605" t="s">
        <v>28677</v>
      </c>
      <c r="H13605" t="s">
        <v>9998</v>
      </c>
      <c r="I13605" t="s">
        <v>28697</v>
      </c>
      <c r="J13605" t="s">
        <v>28877</v>
      </c>
      <c r="K13605" t="s">
        <v>37206</v>
      </c>
      <c r="M13605" t="s">
        <v>39642</v>
      </c>
      <c r="N13605" t="s">
        <v>41249</v>
      </c>
      <c r="O13605" t="s">
        <v>41250</v>
      </c>
      <c r="Q13605">
        <v>10</v>
      </c>
      <c r="R13605" t="s">
        <v>41325</v>
      </c>
      <c r="S13605" t="s">
        <v>42507</v>
      </c>
      <c r="T13605" t="s">
        <v>42757</v>
      </c>
      <c r="U13605" t="s">
        <v>54102</v>
      </c>
      <c r="W13605" t="s">
        <v>39642</v>
      </c>
      <c r="X13605" t="s">
        <v>41328</v>
      </c>
    </row>
    <row r="13606" spans="1:24">
      <c r="A13606">
        <f>HYPERLINK("https://www.philgeps.gov.ph/GEPSNONPILOT/Tender/SplashBidNoticeAbstractUI.aspx?menuIndex=3&amp;refID=6919852&amp;Result=3","6919852")</f>
        <v>0</v>
      </c>
      <c r="B13606" t="s">
        <v>439</v>
      </c>
      <c r="C13606" t="s">
        <v>16425</v>
      </c>
      <c r="D13606" t="s">
        <v>16608</v>
      </c>
      <c r="E13606" t="s">
        <v>28498</v>
      </c>
      <c r="F13606" t="s">
        <v>28669</v>
      </c>
      <c r="G13606" t="s">
        <v>28675</v>
      </c>
      <c r="H13606" t="s">
        <v>28686</v>
      </c>
      <c r="I13606" t="s">
        <v>28689</v>
      </c>
      <c r="J13606" t="s">
        <v>37085</v>
      </c>
      <c r="K13606" t="s">
        <v>37218</v>
      </c>
      <c r="M13606" t="s">
        <v>37924</v>
      </c>
      <c r="N13606" t="s">
        <v>41249</v>
      </c>
      <c r="O13606" t="s">
        <v>41250</v>
      </c>
      <c r="Q13606">
        <v>37</v>
      </c>
      <c r="R13606" t="s">
        <v>41326</v>
      </c>
      <c r="S13606" t="s">
        <v>42508</v>
      </c>
      <c r="T13606" t="s">
        <v>42929</v>
      </c>
      <c r="U13606" t="s">
        <v>54103</v>
      </c>
      <c r="W13606" t="s">
        <v>37924</v>
      </c>
      <c r="X13606" t="s">
        <v>41325</v>
      </c>
    </row>
    <row r="13607" spans="1:24">
      <c r="A13607">
        <f>HYPERLINK("https://www.philgeps.gov.ph/GEPSNONPILOT/Tender/SplashBidNoticeAbstractUI.aspx?menuIndex=3&amp;refID=6919596&amp;Result=3","6919596")</f>
        <v>0</v>
      </c>
      <c r="B13607" t="s">
        <v>1368</v>
      </c>
      <c r="C13607" t="s">
        <v>16426</v>
      </c>
      <c r="D13607" t="s">
        <v>16662</v>
      </c>
      <c r="E13607" t="s">
        <v>28499</v>
      </c>
      <c r="F13607" t="s">
        <v>28669</v>
      </c>
      <c r="G13607" t="s">
        <v>28675</v>
      </c>
      <c r="H13607" t="s">
        <v>28686</v>
      </c>
      <c r="I13607" t="s">
        <v>28689</v>
      </c>
      <c r="J13607" t="s">
        <v>30285</v>
      </c>
      <c r="K13607" t="s">
        <v>37325</v>
      </c>
      <c r="M13607" t="s">
        <v>40816</v>
      </c>
      <c r="N13607" t="s">
        <v>41249</v>
      </c>
      <c r="O13607" t="s">
        <v>41250</v>
      </c>
      <c r="Q13607">
        <v>3</v>
      </c>
      <c r="R13607" t="s">
        <v>41326</v>
      </c>
      <c r="S13607" t="s">
        <v>42509</v>
      </c>
      <c r="T13607" t="s">
        <v>43125</v>
      </c>
      <c r="U13607" t="s">
        <v>54104</v>
      </c>
      <c r="V13607" t="s">
        <v>55870</v>
      </c>
      <c r="W13607" t="s">
        <v>40816</v>
      </c>
      <c r="X13607" t="s">
        <v>41325</v>
      </c>
    </row>
    <row r="13608" spans="1:24">
      <c r="A13608">
        <f>HYPERLINK("https://www.philgeps.gov.ph/GEPSNONPILOT/Tender/SplashBidNoticeAbstractUI.aspx?menuIndex=3&amp;refID=6919291&amp;Result=3","6919291")</f>
        <v>0</v>
      </c>
      <c r="B13608" t="s">
        <v>1420</v>
      </c>
      <c r="C13608" t="s">
        <v>16427</v>
      </c>
      <c r="D13608" t="s">
        <v>16673</v>
      </c>
      <c r="E13608" t="s">
        <v>28500</v>
      </c>
      <c r="F13608" t="s">
        <v>28669</v>
      </c>
      <c r="G13608" t="s">
        <v>28675</v>
      </c>
      <c r="H13608" t="s">
        <v>28684</v>
      </c>
      <c r="I13608" t="s">
        <v>28701</v>
      </c>
      <c r="J13608" t="s">
        <v>29332</v>
      </c>
      <c r="K13608" t="s">
        <v>37272</v>
      </c>
      <c r="M13608" t="s">
        <v>41219</v>
      </c>
      <c r="N13608" t="s">
        <v>41249</v>
      </c>
      <c r="O13608" t="s">
        <v>41250</v>
      </c>
      <c r="Q13608">
        <v>2</v>
      </c>
      <c r="R13608" t="s">
        <v>41326</v>
      </c>
      <c r="S13608" t="s">
        <v>42510</v>
      </c>
      <c r="T13608" t="s">
        <v>42736</v>
      </c>
      <c r="U13608" t="s">
        <v>54105</v>
      </c>
      <c r="W13608" t="s">
        <v>38983</v>
      </c>
      <c r="X13608" t="s">
        <v>41325</v>
      </c>
    </row>
    <row r="13609" spans="1:24">
      <c r="A13609">
        <f>HYPERLINK("https://www.philgeps.gov.ph/GEPSNONPILOT/Tender/SplashBidNoticeAbstractUI.aspx?menuIndex=3&amp;refID=6920397&amp;Result=3","6920397")</f>
        <v>0</v>
      </c>
      <c r="B13609" t="s">
        <v>1633</v>
      </c>
      <c r="C13609" t="s">
        <v>16428</v>
      </c>
      <c r="D13609" t="s">
        <v>16693</v>
      </c>
      <c r="E13609" t="s">
        <v>28501</v>
      </c>
      <c r="F13609" t="s">
        <v>28669</v>
      </c>
      <c r="G13609" t="s">
        <v>28675</v>
      </c>
      <c r="H13609" t="s">
        <v>9998</v>
      </c>
      <c r="I13609" t="s">
        <v>28805</v>
      </c>
      <c r="J13609" t="s">
        <v>37086</v>
      </c>
      <c r="K13609" t="s">
        <v>37206</v>
      </c>
      <c r="M13609" t="s">
        <v>39222</v>
      </c>
      <c r="N13609" t="s">
        <v>41249</v>
      </c>
      <c r="O13609" t="s">
        <v>41250</v>
      </c>
      <c r="Q13609">
        <v>6</v>
      </c>
      <c r="R13609" t="s">
        <v>41326</v>
      </c>
      <c r="S13609" t="s">
        <v>42511</v>
      </c>
      <c r="T13609" t="s">
        <v>43036</v>
      </c>
      <c r="U13609" t="s">
        <v>54106</v>
      </c>
      <c r="V13609" t="s">
        <v>55871</v>
      </c>
      <c r="W13609" t="s">
        <v>39222</v>
      </c>
      <c r="X13609" t="s">
        <v>41325</v>
      </c>
    </row>
    <row r="13610" spans="1:24">
      <c r="A13610">
        <f>HYPERLINK("https://www.philgeps.gov.ph/GEPSNONPILOT/Tender/SplashBidNoticeAbstractUI.aspx?menuIndex=3&amp;refID=6917556&amp;Result=3","6917556")</f>
        <v>0</v>
      </c>
      <c r="B13610" t="s">
        <v>358</v>
      </c>
      <c r="C13610" t="s">
        <v>3929</v>
      </c>
      <c r="D13610" t="s">
        <v>16683</v>
      </c>
      <c r="E13610" t="s">
        <v>28502</v>
      </c>
      <c r="F13610" t="s">
        <v>28669</v>
      </c>
      <c r="G13610" t="s">
        <v>28675</v>
      </c>
      <c r="H13610" t="s">
        <v>9998</v>
      </c>
      <c r="I13610" t="s">
        <v>28688</v>
      </c>
      <c r="J13610" t="s">
        <v>37087</v>
      </c>
      <c r="K13610" t="s">
        <v>37220</v>
      </c>
      <c r="M13610" t="s">
        <v>37839</v>
      </c>
      <c r="N13610" t="s">
        <v>41249</v>
      </c>
      <c r="O13610" t="s">
        <v>41250</v>
      </c>
      <c r="Q13610">
        <v>21</v>
      </c>
      <c r="R13610" t="s">
        <v>41326</v>
      </c>
      <c r="S13610" t="s">
        <v>42512</v>
      </c>
      <c r="T13610" t="s">
        <v>42991</v>
      </c>
      <c r="U13610" t="s">
        <v>54107</v>
      </c>
      <c r="W13610" t="s">
        <v>37839</v>
      </c>
      <c r="X13610" t="s">
        <v>41325</v>
      </c>
    </row>
    <row r="13611" spans="1:24">
      <c r="A13611">
        <f>HYPERLINK("https://www.philgeps.gov.ph/GEPSNONPILOT/Tender/SplashBidNoticeAbstractUI.aspx?menuIndex=3&amp;refID=6920695&amp;Result=3","6920695")</f>
        <v>0</v>
      </c>
      <c r="B13611" t="s">
        <v>127</v>
      </c>
      <c r="C13611" t="s">
        <v>16429</v>
      </c>
      <c r="D13611" t="s">
        <v>16618</v>
      </c>
      <c r="E13611" t="s">
        <v>28503</v>
      </c>
      <c r="F13611" t="s">
        <v>28669</v>
      </c>
      <c r="G13611" t="s">
        <v>28675</v>
      </c>
      <c r="H13611" t="s">
        <v>28686</v>
      </c>
      <c r="I13611" t="s">
        <v>28689</v>
      </c>
      <c r="J13611" t="s">
        <v>28836</v>
      </c>
      <c r="K13611" t="s">
        <v>37214</v>
      </c>
      <c r="M13611" t="s">
        <v>37603</v>
      </c>
      <c r="N13611" t="s">
        <v>41249</v>
      </c>
      <c r="O13611" t="s">
        <v>41250</v>
      </c>
      <c r="Q13611">
        <v>1</v>
      </c>
      <c r="R13611" t="s">
        <v>41323</v>
      </c>
      <c r="S13611" t="s">
        <v>42513</v>
      </c>
      <c r="T13611" t="s">
        <v>42702</v>
      </c>
      <c r="U13611" t="s">
        <v>54108</v>
      </c>
      <c r="V13611" t="s">
        <v>55872</v>
      </c>
      <c r="W13611" t="s">
        <v>37603</v>
      </c>
      <c r="X13611" t="s">
        <v>41326</v>
      </c>
    </row>
    <row r="13612" spans="1:24">
      <c r="A13612">
        <f>HYPERLINK("https://www.philgeps.gov.ph/GEPSNONPILOT/Tender/SplashBidNoticeAbstractUI.aspx?menuIndex=3&amp;refID=6920683&amp;Result=3","6920683")</f>
        <v>0</v>
      </c>
      <c r="B13612" t="s">
        <v>127</v>
      </c>
      <c r="C13612" t="s">
        <v>16430</v>
      </c>
      <c r="D13612" t="s">
        <v>16618</v>
      </c>
      <c r="E13612" t="s">
        <v>28504</v>
      </c>
      <c r="F13612" t="s">
        <v>28669</v>
      </c>
      <c r="G13612" t="s">
        <v>28675</v>
      </c>
      <c r="H13612" t="s">
        <v>28686</v>
      </c>
      <c r="I13612" t="s">
        <v>28689</v>
      </c>
      <c r="J13612" t="s">
        <v>28836</v>
      </c>
      <c r="K13612" t="s">
        <v>37214</v>
      </c>
      <c r="M13612" t="s">
        <v>37603</v>
      </c>
      <c r="N13612" t="s">
        <v>41249</v>
      </c>
      <c r="O13612" t="s">
        <v>41250</v>
      </c>
      <c r="Q13612">
        <v>1</v>
      </c>
      <c r="R13612" t="s">
        <v>41323</v>
      </c>
      <c r="S13612" t="s">
        <v>42514</v>
      </c>
      <c r="T13612" t="s">
        <v>42702</v>
      </c>
      <c r="U13612" t="s">
        <v>54109</v>
      </c>
      <c r="V13612" t="s">
        <v>55873</v>
      </c>
      <c r="W13612" t="s">
        <v>37603</v>
      </c>
      <c r="X13612" t="s">
        <v>41326</v>
      </c>
    </row>
    <row r="13613" spans="1:24">
      <c r="A13613">
        <f>HYPERLINK("https://www.philgeps.gov.ph/GEPSNONPILOT/Tender/SplashBidNoticeAbstractUI.aspx?menuIndex=3&amp;refID=6920681&amp;Result=3","6920681")</f>
        <v>0</v>
      </c>
      <c r="B13613" t="s">
        <v>127</v>
      </c>
      <c r="C13613" t="s">
        <v>16431</v>
      </c>
      <c r="D13613" t="s">
        <v>16618</v>
      </c>
      <c r="E13613" t="s">
        <v>28505</v>
      </c>
      <c r="F13613" t="s">
        <v>28669</v>
      </c>
      <c r="G13613" t="s">
        <v>28675</v>
      </c>
      <c r="H13613" t="s">
        <v>28686</v>
      </c>
      <c r="I13613" t="s">
        <v>28689</v>
      </c>
      <c r="J13613" t="s">
        <v>28836</v>
      </c>
      <c r="K13613" t="s">
        <v>37214</v>
      </c>
      <c r="M13613" t="s">
        <v>37603</v>
      </c>
      <c r="N13613" t="s">
        <v>41249</v>
      </c>
      <c r="O13613" t="s">
        <v>41250</v>
      </c>
      <c r="Q13613">
        <v>1</v>
      </c>
      <c r="R13613" t="s">
        <v>41323</v>
      </c>
      <c r="S13613" t="s">
        <v>42514</v>
      </c>
      <c r="T13613" t="s">
        <v>42702</v>
      </c>
      <c r="U13613" t="s">
        <v>54110</v>
      </c>
      <c r="V13613" t="s">
        <v>55872</v>
      </c>
      <c r="W13613" t="s">
        <v>37603</v>
      </c>
      <c r="X13613" t="s">
        <v>41326</v>
      </c>
    </row>
    <row r="13614" spans="1:24">
      <c r="A13614">
        <f>HYPERLINK("https://www.philgeps.gov.ph/GEPSNONPILOT/Tender/SplashBidNoticeAbstractUI.aspx?menuIndex=3&amp;refID=6920671&amp;Result=3","6920671")</f>
        <v>0</v>
      </c>
      <c r="B13614" t="s">
        <v>127</v>
      </c>
      <c r="C13614" t="s">
        <v>16432</v>
      </c>
      <c r="D13614" t="s">
        <v>16618</v>
      </c>
      <c r="E13614" t="s">
        <v>28506</v>
      </c>
      <c r="F13614" t="s">
        <v>28669</v>
      </c>
      <c r="G13614" t="s">
        <v>28675</v>
      </c>
      <c r="H13614" t="s">
        <v>28686</v>
      </c>
      <c r="I13614" t="s">
        <v>28689</v>
      </c>
      <c r="J13614" t="s">
        <v>28836</v>
      </c>
      <c r="K13614" t="s">
        <v>37214</v>
      </c>
      <c r="M13614" t="s">
        <v>37603</v>
      </c>
      <c r="N13614" t="s">
        <v>41249</v>
      </c>
      <c r="O13614" t="s">
        <v>41250</v>
      </c>
      <c r="Q13614">
        <v>1</v>
      </c>
      <c r="R13614" t="s">
        <v>41323</v>
      </c>
      <c r="S13614" t="s">
        <v>42515</v>
      </c>
      <c r="T13614" t="s">
        <v>42702</v>
      </c>
      <c r="U13614" t="s">
        <v>54111</v>
      </c>
      <c r="V13614" t="s">
        <v>55872</v>
      </c>
      <c r="W13614" t="s">
        <v>37603</v>
      </c>
      <c r="X13614" t="s">
        <v>41326</v>
      </c>
    </row>
    <row r="13615" spans="1:24">
      <c r="A13615">
        <f>HYPERLINK("https://www.philgeps.gov.ph/GEPSNONPILOT/Tender/SplashBidNoticeAbstractUI.aspx?menuIndex=3&amp;refID=6920649&amp;Result=3","6920649")</f>
        <v>0</v>
      </c>
      <c r="B13615" t="s">
        <v>127</v>
      </c>
      <c r="C13615" t="s">
        <v>16433</v>
      </c>
      <c r="D13615" t="s">
        <v>16618</v>
      </c>
      <c r="E13615" t="s">
        <v>28507</v>
      </c>
      <c r="F13615" t="s">
        <v>28669</v>
      </c>
      <c r="G13615" t="s">
        <v>28675</v>
      </c>
      <c r="H13615" t="s">
        <v>28686</v>
      </c>
      <c r="I13615" t="s">
        <v>28689</v>
      </c>
      <c r="J13615" t="s">
        <v>28836</v>
      </c>
      <c r="K13615" t="s">
        <v>37214</v>
      </c>
      <c r="M13615" t="s">
        <v>37603</v>
      </c>
      <c r="N13615" t="s">
        <v>41249</v>
      </c>
      <c r="O13615" t="s">
        <v>41250</v>
      </c>
      <c r="Q13615">
        <v>1</v>
      </c>
      <c r="R13615" t="s">
        <v>41323</v>
      </c>
      <c r="S13615" t="s">
        <v>42516</v>
      </c>
      <c r="T13615" t="s">
        <v>42702</v>
      </c>
      <c r="U13615" t="s">
        <v>54112</v>
      </c>
      <c r="V13615" t="s">
        <v>55874</v>
      </c>
      <c r="W13615" t="s">
        <v>37603</v>
      </c>
      <c r="X13615" t="s">
        <v>41326</v>
      </c>
    </row>
    <row r="13616" spans="1:24">
      <c r="A13616">
        <f>HYPERLINK("https://www.philgeps.gov.ph/GEPSNONPILOT/Tender/SplashBidNoticeAbstractUI.aspx?menuIndex=3&amp;refID=6920647&amp;Result=3","6920647")</f>
        <v>0</v>
      </c>
      <c r="B13616" t="s">
        <v>127</v>
      </c>
      <c r="C13616" t="s">
        <v>16434</v>
      </c>
      <c r="D13616" t="s">
        <v>16618</v>
      </c>
      <c r="E13616" t="s">
        <v>28508</v>
      </c>
      <c r="F13616" t="s">
        <v>28669</v>
      </c>
      <c r="G13616" t="s">
        <v>28675</v>
      </c>
      <c r="H13616" t="s">
        <v>28686</v>
      </c>
      <c r="I13616" t="s">
        <v>28689</v>
      </c>
      <c r="J13616" t="s">
        <v>37088</v>
      </c>
      <c r="K13616" t="s">
        <v>37215</v>
      </c>
      <c r="M13616" t="s">
        <v>37603</v>
      </c>
      <c r="N13616" t="s">
        <v>41249</v>
      </c>
      <c r="O13616" t="s">
        <v>41250</v>
      </c>
      <c r="Q13616">
        <v>1</v>
      </c>
      <c r="R13616" t="s">
        <v>41323</v>
      </c>
      <c r="S13616" t="s">
        <v>42517</v>
      </c>
      <c r="T13616" t="s">
        <v>42702</v>
      </c>
      <c r="U13616" t="s">
        <v>54113</v>
      </c>
      <c r="V13616" t="s">
        <v>55875</v>
      </c>
      <c r="W13616" t="s">
        <v>37603</v>
      </c>
      <c r="X13616" t="s">
        <v>41326</v>
      </c>
    </row>
    <row r="13617" spans="1:24">
      <c r="A13617">
        <f>HYPERLINK("https://www.philgeps.gov.ph/GEPSNONPILOT/Tender/SplashBidNoticeAbstractUI.aspx?menuIndex=3&amp;refID=6922102&amp;Result=3","6922102")</f>
        <v>0</v>
      </c>
      <c r="B13617" t="s">
        <v>1633</v>
      </c>
      <c r="C13617" t="s">
        <v>16435</v>
      </c>
      <c r="D13617" t="s">
        <v>16608</v>
      </c>
      <c r="E13617" t="s">
        <v>28509</v>
      </c>
      <c r="F13617" t="s">
        <v>28669</v>
      </c>
      <c r="G13617" t="s">
        <v>28678</v>
      </c>
      <c r="H13617" t="s">
        <v>9998</v>
      </c>
      <c r="I13617" t="s">
        <v>5213</v>
      </c>
      <c r="J13617" t="s">
        <v>37089</v>
      </c>
      <c r="K13617" t="s">
        <v>37205</v>
      </c>
      <c r="M13617" t="s">
        <v>39580</v>
      </c>
      <c r="N13617" t="s">
        <v>41249</v>
      </c>
      <c r="O13617" t="s">
        <v>41250</v>
      </c>
      <c r="Q13617">
        <v>0</v>
      </c>
      <c r="R13617" t="s">
        <v>41324</v>
      </c>
      <c r="S13617" t="s">
        <v>42518</v>
      </c>
      <c r="T13617" t="s">
        <v>42754</v>
      </c>
      <c r="U13617" t="s">
        <v>47958</v>
      </c>
      <c r="V13617" t="s">
        <v>55838</v>
      </c>
      <c r="W13617" t="s">
        <v>39580</v>
      </c>
      <c r="X13617" t="s">
        <v>41323</v>
      </c>
    </row>
    <row r="13618" spans="1:24">
      <c r="A13618">
        <f>HYPERLINK("https://www.philgeps.gov.ph/GEPSNONPILOT/Tender/SplashBidNoticeAbstractUI.aspx?menuIndex=3&amp;refID=6920220&amp;Result=3","6920220")</f>
        <v>0</v>
      </c>
      <c r="B13618" t="s">
        <v>3315</v>
      </c>
      <c r="C13618" t="s">
        <v>16436</v>
      </c>
      <c r="D13618" t="s">
        <v>16608</v>
      </c>
      <c r="E13618" t="s">
        <v>28510</v>
      </c>
      <c r="F13618" t="s">
        <v>28669</v>
      </c>
      <c r="G13618" t="s">
        <v>28676</v>
      </c>
      <c r="H13618" t="s">
        <v>9998</v>
      </c>
      <c r="I13618" t="s">
        <v>11593</v>
      </c>
      <c r="J13618" t="s">
        <v>29571</v>
      </c>
      <c r="K13618" t="s">
        <v>37433</v>
      </c>
      <c r="M13618" t="s">
        <v>41220</v>
      </c>
      <c r="N13618" t="s">
        <v>41249</v>
      </c>
      <c r="O13618" t="s">
        <v>41250</v>
      </c>
      <c r="Q13618">
        <v>1</v>
      </c>
      <c r="R13618" t="s">
        <v>41326</v>
      </c>
      <c r="S13618" t="s">
        <v>41523</v>
      </c>
      <c r="T13618" t="s">
        <v>42679</v>
      </c>
      <c r="U13618" t="s">
        <v>54114</v>
      </c>
      <c r="W13618" t="s">
        <v>41220</v>
      </c>
      <c r="X13618" t="s">
        <v>41325</v>
      </c>
    </row>
    <row r="13619" spans="1:24">
      <c r="A13619">
        <f>HYPERLINK("https://www.philgeps.gov.ph/GEPSNONPILOT/Tender/SplashBidNoticeAbstractUI.aspx?menuIndex=3&amp;refID=6920701&amp;Result=3","6920701")</f>
        <v>0</v>
      </c>
      <c r="B13619" t="s">
        <v>127</v>
      </c>
      <c r="C13619" t="s">
        <v>16437</v>
      </c>
      <c r="D13619" t="s">
        <v>16618</v>
      </c>
      <c r="E13619" t="s">
        <v>28511</v>
      </c>
      <c r="F13619" t="s">
        <v>28669</v>
      </c>
      <c r="G13619" t="s">
        <v>28675</v>
      </c>
      <c r="H13619" t="s">
        <v>28686</v>
      </c>
      <c r="I13619" t="s">
        <v>28689</v>
      </c>
      <c r="J13619" t="s">
        <v>28836</v>
      </c>
      <c r="K13619" t="s">
        <v>37220</v>
      </c>
      <c r="M13619" t="s">
        <v>37603</v>
      </c>
      <c r="N13619" t="s">
        <v>41249</v>
      </c>
      <c r="O13619" t="s">
        <v>41250</v>
      </c>
      <c r="Q13619">
        <v>1</v>
      </c>
      <c r="R13619" t="s">
        <v>41323</v>
      </c>
      <c r="S13619" t="s">
        <v>42513</v>
      </c>
      <c r="T13619" t="s">
        <v>42702</v>
      </c>
      <c r="U13619" t="s">
        <v>54115</v>
      </c>
      <c r="V13619" t="s">
        <v>55872</v>
      </c>
      <c r="W13619" t="s">
        <v>37603</v>
      </c>
      <c r="X13619" t="s">
        <v>41326</v>
      </c>
    </row>
    <row r="13620" spans="1:24">
      <c r="A13620">
        <f>HYPERLINK("https://www.philgeps.gov.ph/GEPSNONPILOT/Tender/SplashBidNoticeAbstractUI.aspx?menuIndex=3&amp;refID=6906186&amp;Result=3","6906186")</f>
        <v>0</v>
      </c>
      <c r="B13620" t="s">
        <v>96</v>
      </c>
      <c r="C13620" t="s">
        <v>16438</v>
      </c>
      <c r="D13620" t="s">
        <v>16654</v>
      </c>
      <c r="E13620" t="s">
        <v>16849</v>
      </c>
      <c r="F13620" t="s">
        <v>28669</v>
      </c>
      <c r="G13620" t="s">
        <v>28675</v>
      </c>
      <c r="H13620" t="s">
        <v>28686</v>
      </c>
      <c r="I13620" t="s">
        <v>28689</v>
      </c>
      <c r="J13620" t="s">
        <v>37090</v>
      </c>
      <c r="K13620" t="s">
        <v>37267</v>
      </c>
      <c r="M13620" t="s">
        <v>37571</v>
      </c>
      <c r="N13620" t="s">
        <v>41249</v>
      </c>
      <c r="O13620" t="s">
        <v>41250</v>
      </c>
      <c r="Q13620">
        <v>1</v>
      </c>
      <c r="R13620" t="s">
        <v>41327</v>
      </c>
      <c r="S13620" t="s">
        <v>42519</v>
      </c>
      <c r="T13620" t="s">
        <v>43181</v>
      </c>
      <c r="U13620" t="s">
        <v>54116</v>
      </c>
      <c r="W13620" t="s">
        <v>37571</v>
      </c>
      <c r="X13620" t="s">
        <v>41332</v>
      </c>
    </row>
    <row r="13621" spans="1:24">
      <c r="A13621">
        <f>HYPERLINK("https://www.philgeps.gov.ph/GEPSNONPILOT/Tender/SplashBidNoticeAbstractUI.aspx?menuIndex=3&amp;refID=6941846&amp;Result=3","6941846")</f>
        <v>0</v>
      </c>
      <c r="B13621" t="s">
        <v>1509</v>
      </c>
      <c r="C13621" t="s">
        <v>16439</v>
      </c>
      <c r="D13621" t="s">
        <v>16612</v>
      </c>
      <c r="E13621" t="s">
        <v>28512</v>
      </c>
      <c r="F13621" t="s">
        <v>28669</v>
      </c>
      <c r="G13621" t="s">
        <v>28676</v>
      </c>
      <c r="H13621" t="s">
        <v>9998</v>
      </c>
      <c r="I13621" t="s">
        <v>5213</v>
      </c>
      <c r="J13621" t="s">
        <v>37091</v>
      </c>
      <c r="K13621" t="s">
        <v>37220</v>
      </c>
      <c r="M13621" t="s">
        <v>39083</v>
      </c>
      <c r="N13621" t="s">
        <v>41249</v>
      </c>
      <c r="O13621" t="s">
        <v>41250</v>
      </c>
      <c r="Q13621">
        <v>4</v>
      </c>
      <c r="R13621" t="s">
        <v>41306</v>
      </c>
      <c r="S13621" t="s">
        <v>42520</v>
      </c>
      <c r="T13621" t="s">
        <v>43175</v>
      </c>
      <c r="U13621" t="s">
        <v>46582</v>
      </c>
      <c r="W13621" t="s">
        <v>39083</v>
      </c>
      <c r="X13621" t="s">
        <v>41317</v>
      </c>
    </row>
    <row r="13622" spans="1:24">
      <c r="A13622">
        <f>HYPERLINK("https://www.philgeps.gov.ph/GEPSNONPILOT/Tender/SplashBidNoticeAbstractUI.aspx?menuIndex=3&amp;refID=6905957&amp;Result=3","6905957")</f>
        <v>0</v>
      </c>
      <c r="B13622" t="s">
        <v>96</v>
      </c>
      <c r="C13622" t="s">
        <v>16440</v>
      </c>
      <c r="D13622" t="s">
        <v>16654</v>
      </c>
      <c r="E13622" t="s">
        <v>16849</v>
      </c>
      <c r="F13622" t="s">
        <v>28669</v>
      </c>
      <c r="G13622" t="s">
        <v>28675</v>
      </c>
      <c r="H13622" t="s">
        <v>28686</v>
      </c>
      <c r="I13622" t="s">
        <v>28689</v>
      </c>
      <c r="J13622" t="s">
        <v>37092</v>
      </c>
      <c r="K13622" t="s">
        <v>37232</v>
      </c>
      <c r="M13622" t="s">
        <v>37571</v>
      </c>
      <c r="N13622" t="s">
        <v>41249</v>
      </c>
      <c r="O13622" t="s">
        <v>41250</v>
      </c>
      <c r="Q13622">
        <v>5</v>
      </c>
      <c r="R13622" t="s">
        <v>41327</v>
      </c>
      <c r="S13622" t="s">
        <v>42521</v>
      </c>
      <c r="T13622" t="s">
        <v>43181</v>
      </c>
      <c r="U13622" t="s">
        <v>54117</v>
      </c>
      <c r="W13622" t="s">
        <v>37571</v>
      </c>
      <c r="X13622" t="s">
        <v>41332</v>
      </c>
    </row>
    <row r="13623" spans="1:24">
      <c r="A13623">
        <f>HYPERLINK("https://www.philgeps.gov.ph/GEPSNONPILOT/Tender/SplashBidNoticeAbstractUI.aspx?menuIndex=3&amp;refID=6905855&amp;Result=3","6905855")</f>
        <v>0</v>
      </c>
      <c r="B13623" t="s">
        <v>96</v>
      </c>
      <c r="C13623" t="s">
        <v>16441</v>
      </c>
      <c r="D13623" t="s">
        <v>16654</v>
      </c>
      <c r="E13623" t="s">
        <v>16849</v>
      </c>
      <c r="F13623" t="s">
        <v>28669</v>
      </c>
      <c r="G13623" t="s">
        <v>28675</v>
      </c>
      <c r="H13623" t="s">
        <v>28686</v>
      </c>
      <c r="I13623" t="s">
        <v>28689</v>
      </c>
      <c r="J13623" t="s">
        <v>37093</v>
      </c>
      <c r="K13623" t="s">
        <v>37281</v>
      </c>
      <c r="M13623" t="s">
        <v>37571</v>
      </c>
      <c r="N13623" t="s">
        <v>41249</v>
      </c>
      <c r="O13623" t="s">
        <v>41250</v>
      </c>
      <c r="Q13623">
        <v>2</v>
      </c>
      <c r="R13623" t="s">
        <v>41327</v>
      </c>
      <c r="S13623" t="s">
        <v>42522</v>
      </c>
      <c r="T13623" t="s">
        <v>43181</v>
      </c>
      <c r="U13623" t="s">
        <v>54118</v>
      </c>
      <c r="W13623" t="s">
        <v>37571</v>
      </c>
      <c r="X13623" t="s">
        <v>41332</v>
      </c>
    </row>
    <row r="13624" spans="1:24">
      <c r="A13624">
        <f>HYPERLINK("https://www.philgeps.gov.ph/GEPSNONPILOT/Tender/SplashBidNoticeAbstractUI.aspx?menuIndex=3&amp;refID=6920663&amp;Result=3","6920663")</f>
        <v>0</v>
      </c>
      <c r="B13624" t="s">
        <v>127</v>
      </c>
      <c r="C13624" t="s">
        <v>16442</v>
      </c>
      <c r="D13624" t="s">
        <v>16618</v>
      </c>
      <c r="E13624" t="s">
        <v>28513</v>
      </c>
      <c r="F13624" t="s">
        <v>28669</v>
      </c>
      <c r="G13624" t="s">
        <v>28675</v>
      </c>
      <c r="H13624" t="s">
        <v>28686</v>
      </c>
      <c r="I13624" t="s">
        <v>28689</v>
      </c>
      <c r="J13624" t="s">
        <v>29003</v>
      </c>
      <c r="K13624" t="s">
        <v>37220</v>
      </c>
      <c r="M13624" t="s">
        <v>37603</v>
      </c>
      <c r="N13624" t="s">
        <v>41249</v>
      </c>
      <c r="O13624" t="s">
        <v>41250</v>
      </c>
      <c r="Q13624">
        <v>1</v>
      </c>
      <c r="R13624" t="s">
        <v>41323</v>
      </c>
      <c r="S13624" t="s">
        <v>42516</v>
      </c>
      <c r="T13624" t="s">
        <v>42702</v>
      </c>
      <c r="U13624" t="s">
        <v>54119</v>
      </c>
      <c r="V13624" t="s">
        <v>55874</v>
      </c>
      <c r="W13624" t="s">
        <v>37603</v>
      </c>
      <c r="X13624" t="s">
        <v>41326</v>
      </c>
    </row>
    <row r="13625" spans="1:24">
      <c r="A13625">
        <f>HYPERLINK("https://www.philgeps.gov.ph/GEPSNONPILOT/Tender/SplashBidNoticeAbstractUI.aspx?menuIndex=3&amp;refID=6916361&amp;Result=3","6916361")</f>
        <v>0</v>
      </c>
      <c r="B13625" t="s">
        <v>703</v>
      </c>
      <c r="C13625" t="s">
        <v>16443</v>
      </c>
      <c r="E13625" t="s">
        <v>28514</v>
      </c>
      <c r="F13625" t="s">
        <v>28669</v>
      </c>
      <c r="G13625" t="s">
        <v>28675</v>
      </c>
      <c r="H13625" t="s">
        <v>9998</v>
      </c>
      <c r="I13625" t="s">
        <v>28728</v>
      </c>
      <c r="J13625" t="s">
        <v>37094</v>
      </c>
      <c r="K13625" t="s">
        <v>37209</v>
      </c>
      <c r="M13625" t="s">
        <v>40830</v>
      </c>
      <c r="N13625" t="s">
        <v>41249</v>
      </c>
      <c r="O13625" t="s">
        <v>41250</v>
      </c>
      <c r="Q13625">
        <v>15</v>
      </c>
      <c r="R13625" t="s">
        <v>41325</v>
      </c>
      <c r="S13625" t="s">
        <v>41985</v>
      </c>
      <c r="T13625" t="s">
        <v>42698</v>
      </c>
      <c r="U13625" t="s">
        <v>54120</v>
      </c>
      <c r="V13625" t="s">
        <v>55876</v>
      </c>
      <c r="W13625" t="s">
        <v>40830</v>
      </c>
      <c r="X13625" t="s">
        <v>41328</v>
      </c>
    </row>
    <row r="13626" spans="1:24">
      <c r="A13626">
        <f>HYPERLINK("https://www.philgeps.gov.ph/GEPSNONPILOT/Tender/SplashBidNoticeAbstractUI.aspx?menuIndex=3&amp;refID=6912809&amp;Result=3","6912809")</f>
        <v>0</v>
      </c>
      <c r="B13626" t="s">
        <v>661</v>
      </c>
      <c r="C13626" t="s">
        <v>16444</v>
      </c>
      <c r="E13626" t="s">
        <v>28515</v>
      </c>
      <c r="F13626" t="s">
        <v>28669</v>
      </c>
      <c r="G13626" t="s">
        <v>28675</v>
      </c>
      <c r="H13626" t="s">
        <v>9998</v>
      </c>
      <c r="I13626" t="s">
        <v>28751</v>
      </c>
      <c r="J13626" t="s">
        <v>29069</v>
      </c>
      <c r="K13626" t="s">
        <v>37209</v>
      </c>
      <c r="M13626" t="s">
        <v>41221</v>
      </c>
      <c r="N13626" t="s">
        <v>41249</v>
      </c>
      <c r="O13626" t="s">
        <v>41250</v>
      </c>
      <c r="Q13626">
        <v>9</v>
      </c>
      <c r="R13626" t="s">
        <v>41328</v>
      </c>
      <c r="S13626" t="s">
        <v>42523</v>
      </c>
      <c r="T13626" t="s">
        <v>42739</v>
      </c>
      <c r="U13626" t="s">
        <v>54121</v>
      </c>
      <c r="W13626" t="s">
        <v>41221</v>
      </c>
      <c r="X13626" t="s">
        <v>41327</v>
      </c>
    </row>
    <row r="13627" spans="1:24">
      <c r="A13627">
        <f>HYPERLINK("https://www.philgeps.gov.ph/GEPSNONPILOT/Tender/SplashBidNoticeAbstractUI.aspx?menuIndex=3&amp;refID=6912137&amp;Result=3","6912137")</f>
        <v>0</v>
      </c>
      <c r="B13627" t="s">
        <v>3337</v>
      </c>
      <c r="C13627" t="s">
        <v>16445</v>
      </c>
      <c r="D13627" t="s">
        <v>16652</v>
      </c>
      <c r="E13627" t="s">
        <v>28516</v>
      </c>
      <c r="F13627" t="s">
        <v>28669</v>
      </c>
      <c r="G13627" t="s">
        <v>28675</v>
      </c>
      <c r="H13627" t="s">
        <v>28686</v>
      </c>
      <c r="I13627" t="s">
        <v>28689</v>
      </c>
      <c r="J13627" t="s">
        <v>37095</v>
      </c>
      <c r="K13627" t="s">
        <v>37212</v>
      </c>
      <c r="M13627" t="s">
        <v>41185</v>
      </c>
      <c r="N13627" t="s">
        <v>41249</v>
      </c>
      <c r="O13627" t="s">
        <v>41250</v>
      </c>
      <c r="Q13627">
        <v>44</v>
      </c>
      <c r="R13627" t="s">
        <v>41328</v>
      </c>
      <c r="S13627" t="s">
        <v>42524</v>
      </c>
      <c r="T13627" t="s">
        <v>42727</v>
      </c>
      <c r="U13627" t="s">
        <v>54122</v>
      </c>
      <c r="W13627" t="s">
        <v>41185</v>
      </c>
      <c r="X13627" t="s">
        <v>41327</v>
      </c>
    </row>
    <row r="13628" spans="1:24">
      <c r="A13628">
        <f>HYPERLINK("https://www.philgeps.gov.ph/GEPSNONPILOT/Tender/SplashBidNoticeAbstractUI.aspx?menuIndex=3&amp;refID=6906907&amp;Result=3","6906907")</f>
        <v>0</v>
      </c>
      <c r="B13628" t="s">
        <v>989</v>
      </c>
      <c r="C13628" t="s">
        <v>16446</v>
      </c>
      <c r="D13628" t="s">
        <v>16679</v>
      </c>
      <c r="E13628" t="s">
        <v>28517</v>
      </c>
      <c r="F13628" t="s">
        <v>28669</v>
      </c>
      <c r="G13628" t="s">
        <v>28675</v>
      </c>
      <c r="H13628" t="s">
        <v>28686</v>
      </c>
      <c r="I13628" t="s">
        <v>28689</v>
      </c>
      <c r="J13628" t="s">
        <v>37096</v>
      </c>
      <c r="K13628" t="s">
        <v>37213</v>
      </c>
      <c r="M13628" t="s">
        <v>41203</v>
      </c>
      <c r="N13628" t="s">
        <v>41249</v>
      </c>
      <c r="O13628" t="s">
        <v>41250</v>
      </c>
      <c r="Q13628">
        <v>14</v>
      </c>
      <c r="R13628" t="s">
        <v>41327</v>
      </c>
      <c r="S13628" t="s">
        <v>42525</v>
      </c>
      <c r="T13628" t="s">
        <v>42759</v>
      </c>
      <c r="U13628" t="s">
        <v>54016</v>
      </c>
      <c r="W13628" t="s">
        <v>41203</v>
      </c>
      <c r="X13628" t="s">
        <v>41332</v>
      </c>
    </row>
    <row r="13629" spans="1:24">
      <c r="A13629">
        <f>HYPERLINK("https://www.philgeps.gov.ph/GEPSNONPILOT/Tender/SplashBidNoticeAbstractUI.aspx?menuIndex=3&amp;refID=6912820&amp;Result=3","6912820")</f>
        <v>0</v>
      </c>
      <c r="B13629" t="s">
        <v>661</v>
      </c>
      <c r="C13629" t="s">
        <v>16447</v>
      </c>
      <c r="E13629" t="s">
        <v>28518</v>
      </c>
      <c r="F13629" t="s">
        <v>28669</v>
      </c>
      <c r="G13629" t="s">
        <v>28675</v>
      </c>
      <c r="H13629" t="s">
        <v>9998</v>
      </c>
      <c r="I13629" t="s">
        <v>28751</v>
      </c>
      <c r="J13629" t="s">
        <v>29724</v>
      </c>
      <c r="K13629" t="s">
        <v>37209</v>
      </c>
      <c r="M13629" t="s">
        <v>41221</v>
      </c>
      <c r="N13629" t="s">
        <v>41249</v>
      </c>
      <c r="O13629" t="s">
        <v>41250</v>
      </c>
      <c r="Q13629">
        <v>8</v>
      </c>
      <c r="R13629" t="s">
        <v>41328</v>
      </c>
      <c r="S13629" t="s">
        <v>42526</v>
      </c>
      <c r="T13629" t="s">
        <v>42966</v>
      </c>
      <c r="U13629" t="s">
        <v>54123</v>
      </c>
      <c r="W13629" t="s">
        <v>41221</v>
      </c>
      <c r="X13629" t="s">
        <v>41327</v>
      </c>
    </row>
    <row r="13630" spans="1:24">
      <c r="A13630">
        <f>HYPERLINK("https://www.philgeps.gov.ph/GEPSNONPILOT/Tender/SplashBidNoticeAbstractUI.aspx?menuIndex=3&amp;refID=6915968&amp;Result=3","6915968")</f>
        <v>0</v>
      </c>
      <c r="B13630" t="s">
        <v>3356</v>
      </c>
      <c r="C13630" t="s">
        <v>16448</v>
      </c>
      <c r="E13630" t="s">
        <v>28519</v>
      </c>
      <c r="F13630" t="s">
        <v>28669</v>
      </c>
      <c r="G13630" t="s">
        <v>28675</v>
      </c>
      <c r="H13630" t="s">
        <v>28684</v>
      </c>
      <c r="I13630" t="s">
        <v>28701</v>
      </c>
      <c r="J13630" t="s">
        <v>37097</v>
      </c>
      <c r="K13630" t="s">
        <v>37235</v>
      </c>
      <c r="M13630" t="s">
        <v>41209</v>
      </c>
      <c r="N13630" t="s">
        <v>41249</v>
      </c>
      <c r="O13630" t="s">
        <v>41250</v>
      </c>
      <c r="Q13630">
        <v>6</v>
      </c>
      <c r="R13630" t="s">
        <v>41325</v>
      </c>
      <c r="S13630" t="s">
        <v>42527</v>
      </c>
      <c r="T13630" t="s">
        <v>42759</v>
      </c>
      <c r="U13630" t="s">
        <v>54124</v>
      </c>
      <c r="W13630" t="s">
        <v>41209</v>
      </c>
      <c r="X13630" t="s">
        <v>41328</v>
      </c>
    </row>
    <row r="13631" spans="1:24">
      <c r="A13631">
        <f>HYPERLINK("https://www.philgeps.gov.ph/GEPSNONPILOT/Tender/SplashBidNoticeAbstractUI.aspx?menuIndex=3&amp;refID=6911263&amp;Result=3","6911263")</f>
        <v>0</v>
      </c>
      <c r="B13631" t="s">
        <v>2873</v>
      </c>
      <c r="C13631" t="s">
        <v>16449</v>
      </c>
      <c r="D13631" t="s">
        <v>16622</v>
      </c>
      <c r="E13631" t="s">
        <v>28520</v>
      </c>
      <c r="F13631" t="s">
        <v>28669</v>
      </c>
      <c r="G13631" t="s">
        <v>28675</v>
      </c>
      <c r="H13631" t="s">
        <v>28685</v>
      </c>
      <c r="I13631" t="s">
        <v>5033</v>
      </c>
      <c r="J13631" t="s">
        <v>28823</v>
      </c>
      <c r="K13631" t="s">
        <v>37213</v>
      </c>
      <c r="M13631" t="s">
        <v>40617</v>
      </c>
      <c r="N13631" t="s">
        <v>41249</v>
      </c>
      <c r="O13631" t="s">
        <v>41250</v>
      </c>
      <c r="Q13631">
        <v>4</v>
      </c>
      <c r="R13631" t="s">
        <v>41328</v>
      </c>
      <c r="S13631" t="s">
        <v>42528</v>
      </c>
      <c r="T13631" t="s">
        <v>42728</v>
      </c>
      <c r="U13631" t="s">
        <v>54125</v>
      </c>
      <c r="W13631" t="s">
        <v>40617</v>
      </c>
      <c r="X13631" t="s">
        <v>41327</v>
      </c>
    </row>
    <row r="13632" spans="1:24">
      <c r="A13632">
        <f>HYPERLINK("https://www.philgeps.gov.ph/GEPSNONPILOT/Tender/SplashBidNoticeAbstractUI.aspx?menuIndex=3&amp;refID=6911939&amp;Result=3","6911939")</f>
        <v>0</v>
      </c>
      <c r="B13632" t="s">
        <v>989</v>
      </c>
      <c r="C13632" t="s">
        <v>16450</v>
      </c>
      <c r="D13632" t="s">
        <v>16679</v>
      </c>
      <c r="E13632" t="s">
        <v>28521</v>
      </c>
      <c r="F13632" t="s">
        <v>28669</v>
      </c>
      <c r="G13632" t="s">
        <v>28679</v>
      </c>
      <c r="H13632" t="s">
        <v>28686</v>
      </c>
      <c r="I13632" t="s">
        <v>28689</v>
      </c>
      <c r="J13632" t="s">
        <v>37098</v>
      </c>
      <c r="K13632" t="s">
        <v>37214</v>
      </c>
      <c r="M13632" t="s">
        <v>41203</v>
      </c>
      <c r="N13632" t="s">
        <v>41249</v>
      </c>
      <c r="O13632" t="s">
        <v>41250</v>
      </c>
      <c r="Q13632">
        <v>6</v>
      </c>
      <c r="R13632" t="s">
        <v>41328</v>
      </c>
      <c r="S13632" t="s">
        <v>42317</v>
      </c>
      <c r="T13632" t="s">
        <v>42931</v>
      </c>
      <c r="U13632" t="s">
        <v>54126</v>
      </c>
      <c r="W13632" t="s">
        <v>41203</v>
      </c>
      <c r="X13632" t="s">
        <v>41327</v>
      </c>
    </row>
    <row r="13633" spans="1:24">
      <c r="A13633">
        <f>HYPERLINK("https://www.philgeps.gov.ph/GEPSNONPILOT/Tender/SplashBidNoticeAbstractUI.aspx?menuIndex=3&amp;refID=6910957&amp;Result=3","6910957")</f>
        <v>0</v>
      </c>
      <c r="B13633" t="s">
        <v>2005</v>
      </c>
      <c r="C13633" t="s">
        <v>16451</v>
      </c>
      <c r="D13633" t="s">
        <v>16608</v>
      </c>
      <c r="E13633" t="s">
        <v>28522</v>
      </c>
      <c r="F13633" t="s">
        <v>28669</v>
      </c>
      <c r="G13633" t="s">
        <v>28675</v>
      </c>
      <c r="H13633" t="s">
        <v>28684</v>
      </c>
      <c r="I13633" t="s">
        <v>28701</v>
      </c>
      <c r="J13633" t="s">
        <v>37099</v>
      </c>
      <c r="K13633" t="s">
        <v>37272</v>
      </c>
      <c r="M13633" t="s">
        <v>41222</v>
      </c>
      <c r="N13633" t="s">
        <v>41249</v>
      </c>
      <c r="O13633" t="s">
        <v>41250</v>
      </c>
      <c r="Q13633">
        <v>13</v>
      </c>
      <c r="R13633" t="s">
        <v>41328</v>
      </c>
      <c r="S13633" t="s">
        <v>42529</v>
      </c>
      <c r="T13633" t="s">
        <v>42671</v>
      </c>
      <c r="U13633" t="s">
        <v>54127</v>
      </c>
      <c r="W13633" t="s">
        <v>41222</v>
      </c>
      <c r="X13633" t="s">
        <v>41327</v>
      </c>
    </row>
    <row r="13634" spans="1:24">
      <c r="A13634">
        <f>HYPERLINK("https://www.philgeps.gov.ph/GEPSNONPILOT/Tender/SplashBidNoticeAbstractUI.aspx?menuIndex=3&amp;refID=6910808&amp;Result=3","6910808")</f>
        <v>0</v>
      </c>
      <c r="B13634" t="s">
        <v>107</v>
      </c>
      <c r="C13634" t="s">
        <v>16452</v>
      </c>
      <c r="D13634" t="s">
        <v>16657</v>
      </c>
      <c r="E13634" t="s">
        <v>28523</v>
      </c>
      <c r="F13634" t="s">
        <v>28669</v>
      </c>
      <c r="G13634" t="s">
        <v>28675</v>
      </c>
      <c r="H13634" t="s">
        <v>28686</v>
      </c>
      <c r="I13634" t="s">
        <v>28689</v>
      </c>
      <c r="J13634" t="s">
        <v>37100</v>
      </c>
      <c r="K13634" t="s">
        <v>37383</v>
      </c>
      <c r="M13634" t="s">
        <v>37583</v>
      </c>
      <c r="N13634" t="s">
        <v>41249</v>
      </c>
      <c r="O13634" t="s">
        <v>41250</v>
      </c>
      <c r="Q13634">
        <v>61</v>
      </c>
      <c r="R13634" t="s">
        <v>41328</v>
      </c>
      <c r="S13634" t="s">
        <v>42530</v>
      </c>
      <c r="T13634" t="s">
        <v>42760</v>
      </c>
      <c r="U13634" t="s">
        <v>54128</v>
      </c>
      <c r="V13634" t="s">
        <v>54278</v>
      </c>
      <c r="W13634" t="s">
        <v>37583</v>
      </c>
      <c r="X13634" t="s">
        <v>41327</v>
      </c>
    </row>
    <row r="13635" spans="1:24">
      <c r="A13635">
        <f>HYPERLINK("https://www.philgeps.gov.ph/GEPSNONPILOT/Tender/SplashBidNoticeAbstractUI.aspx?menuIndex=3&amp;refID=6911794&amp;Result=3","6911794")</f>
        <v>0</v>
      </c>
      <c r="B13635" t="s">
        <v>989</v>
      </c>
      <c r="C13635" t="s">
        <v>16453</v>
      </c>
      <c r="D13635" t="s">
        <v>16679</v>
      </c>
      <c r="E13635" t="s">
        <v>28524</v>
      </c>
      <c r="F13635" t="s">
        <v>28669</v>
      </c>
      <c r="G13635" t="s">
        <v>28679</v>
      </c>
      <c r="H13635" t="s">
        <v>28686</v>
      </c>
      <c r="I13635" t="s">
        <v>28702</v>
      </c>
      <c r="J13635" t="s">
        <v>37101</v>
      </c>
      <c r="K13635" t="s">
        <v>37213</v>
      </c>
      <c r="M13635" t="s">
        <v>41203</v>
      </c>
      <c r="N13635" t="s">
        <v>41249</v>
      </c>
      <c r="O13635" t="s">
        <v>41250</v>
      </c>
      <c r="Q13635">
        <v>5</v>
      </c>
      <c r="R13635" t="s">
        <v>41328</v>
      </c>
      <c r="S13635" t="s">
        <v>42531</v>
      </c>
      <c r="T13635" t="s">
        <v>42760</v>
      </c>
      <c r="U13635" t="s">
        <v>54129</v>
      </c>
      <c r="W13635" t="s">
        <v>41203</v>
      </c>
      <c r="X13635" t="s">
        <v>41327</v>
      </c>
    </row>
    <row r="13636" spans="1:24">
      <c r="A13636">
        <f>HYPERLINK("https://www.philgeps.gov.ph/GEPSNONPILOT/Tender/SplashBidNoticeAbstractUI.aspx?menuIndex=3&amp;refID=6916447&amp;Result=3","6916447")</f>
        <v>0</v>
      </c>
      <c r="B13636" t="s">
        <v>703</v>
      </c>
      <c r="C13636" t="s">
        <v>16454</v>
      </c>
      <c r="E13636" t="s">
        <v>28525</v>
      </c>
      <c r="F13636" t="s">
        <v>28669</v>
      </c>
      <c r="G13636" t="s">
        <v>28675</v>
      </c>
      <c r="H13636" t="s">
        <v>9998</v>
      </c>
      <c r="I13636" t="s">
        <v>6128</v>
      </c>
      <c r="J13636" t="s">
        <v>37102</v>
      </c>
      <c r="K13636" t="s">
        <v>37209</v>
      </c>
      <c r="M13636" t="s">
        <v>40830</v>
      </c>
      <c r="N13636" t="s">
        <v>41249</v>
      </c>
      <c r="O13636" t="s">
        <v>41250</v>
      </c>
      <c r="Q13636">
        <v>5</v>
      </c>
      <c r="R13636" t="s">
        <v>41325</v>
      </c>
      <c r="S13636" t="s">
        <v>42532</v>
      </c>
      <c r="T13636" t="s">
        <v>42929</v>
      </c>
      <c r="U13636" t="s">
        <v>54130</v>
      </c>
      <c r="V13636" t="s">
        <v>55877</v>
      </c>
      <c r="W13636" t="s">
        <v>40830</v>
      </c>
      <c r="X13636" t="s">
        <v>41328</v>
      </c>
    </row>
    <row r="13637" spans="1:24">
      <c r="A13637">
        <f>HYPERLINK("https://www.philgeps.gov.ph/GEPSNONPILOT/Tender/SplashBidNoticeAbstractUI.aspx?menuIndex=3&amp;refID=6928800&amp;Result=3","6928800")</f>
        <v>0</v>
      </c>
      <c r="B13637" t="s">
        <v>1530</v>
      </c>
      <c r="C13637" t="s">
        <v>16455</v>
      </c>
      <c r="D13637" t="s">
        <v>16681</v>
      </c>
      <c r="E13637" t="s">
        <v>28526</v>
      </c>
      <c r="F13637" t="s">
        <v>28669</v>
      </c>
      <c r="G13637" t="s">
        <v>28675</v>
      </c>
      <c r="H13637" t="s">
        <v>28686</v>
      </c>
      <c r="I13637" t="s">
        <v>28689</v>
      </c>
      <c r="J13637" t="s">
        <v>37103</v>
      </c>
      <c r="K13637" t="s">
        <v>37209</v>
      </c>
      <c r="M13637" t="s">
        <v>39104</v>
      </c>
      <c r="N13637" t="s">
        <v>41249</v>
      </c>
      <c r="O13637" t="s">
        <v>41250</v>
      </c>
      <c r="Q13637">
        <v>0</v>
      </c>
      <c r="R13637" t="s">
        <v>41322</v>
      </c>
      <c r="S13637" t="s">
        <v>42533</v>
      </c>
      <c r="T13637" t="s">
        <v>42690</v>
      </c>
      <c r="U13637" t="s">
        <v>46638</v>
      </c>
      <c r="W13637" t="s">
        <v>39104</v>
      </c>
      <c r="X13637" t="s">
        <v>41324</v>
      </c>
    </row>
    <row r="13638" spans="1:24">
      <c r="A13638">
        <f>HYPERLINK("https://www.philgeps.gov.ph/GEPSNONPILOT/Tender/SplashBidNoticeAbstractUI.aspx?menuIndex=3&amp;refID=6911678&amp;Result=3","6911678")</f>
        <v>0</v>
      </c>
      <c r="B13638" t="s">
        <v>989</v>
      </c>
      <c r="C13638" t="s">
        <v>16456</v>
      </c>
      <c r="D13638" t="s">
        <v>16679</v>
      </c>
      <c r="E13638" t="s">
        <v>28527</v>
      </c>
      <c r="F13638" t="s">
        <v>28669</v>
      </c>
      <c r="G13638" t="s">
        <v>28679</v>
      </c>
      <c r="H13638" t="s">
        <v>28686</v>
      </c>
      <c r="I13638" t="s">
        <v>28689</v>
      </c>
      <c r="J13638" t="s">
        <v>37104</v>
      </c>
      <c r="K13638" t="s">
        <v>37220</v>
      </c>
      <c r="M13638" t="s">
        <v>41203</v>
      </c>
      <c r="N13638" t="s">
        <v>41249</v>
      </c>
      <c r="O13638" t="s">
        <v>41250</v>
      </c>
      <c r="Q13638">
        <v>13</v>
      </c>
      <c r="R13638" t="s">
        <v>41328</v>
      </c>
      <c r="S13638" t="s">
        <v>42534</v>
      </c>
      <c r="T13638" t="s">
        <v>42679</v>
      </c>
      <c r="U13638" t="s">
        <v>54131</v>
      </c>
      <c r="W13638" t="s">
        <v>41203</v>
      </c>
      <c r="X13638" t="s">
        <v>41327</v>
      </c>
    </row>
    <row r="13639" spans="1:24">
      <c r="A13639">
        <f>HYPERLINK("https://www.philgeps.gov.ph/GEPSNONPILOT/Tender/SplashBidNoticeAbstractUI.aspx?menuIndex=3&amp;refID=6928788&amp;Result=3","6928788")</f>
        <v>0</v>
      </c>
      <c r="B13639" t="s">
        <v>1530</v>
      </c>
      <c r="C13639" t="s">
        <v>16457</v>
      </c>
      <c r="D13639" t="s">
        <v>16681</v>
      </c>
      <c r="E13639" t="s">
        <v>28528</v>
      </c>
      <c r="F13639" t="s">
        <v>28669</v>
      </c>
      <c r="G13639" t="s">
        <v>28675</v>
      </c>
      <c r="H13639" t="s">
        <v>28686</v>
      </c>
      <c r="I13639" t="s">
        <v>28689</v>
      </c>
      <c r="J13639" t="s">
        <v>37105</v>
      </c>
      <c r="K13639" t="s">
        <v>37209</v>
      </c>
      <c r="M13639" t="s">
        <v>39104</v>
      </c>
      <c r="N13639" t="s">
        <v>41249</v>
      </c>
      <c r="O13639" t="s">
        <v>41250</v>
      </c>
      <c r="Q13639">
        <v>0</v>
      </c>
      <c r="R13639" t="s">
        <v>41322</v>
      </c>
      <c r="S13639" t="s">
        <v>42535</v>
      </c>
      <c r="T13639" t="s">
        <v>42690</v>
      </c>
      <c r="U13639" t="s">
        <v>46638</v>
      </c>
      <c r="W13639" t="s">
        <v>39104</v>
      </c>
      <c r="X13639" t="s">
        <v>41324</v>
      </c>
    </row>
    <row r="13640" spans="1:24">
      <c r="A13640">
        <f>HYPERLINK("https://www.philgeps.gov.ph/GEPSNONPILOT/Tender/SplashBidNoticeAbstractUI.aspx?menuIndex=3&amp;refID=6928055&amp;Result=3","6928055")</f>
        <v>0</v>
      </c>
      <c r="B13640" t="s">
        <v>1387</v>
      </c>
      <c r="C13640" t="s">
        <v>16458</v>
      </c>
      <c r="D13640" t="s">
        <v>16668</v>
      </c>
      <c r="E13640" t="s">
        <v>28529</v>
      </c>
      <c r="F13640" t="s">
        <v>28669</v>
      </c>
      <c r="G13640" t="s">
        <v>28675</v>
      </c>
      <c r="H13640" t="s">
        <v>28686</v>
      </c>
      <c r="I13640" t="s">
        <v>28689</v>
      </c>
      <c r="J13640" t="s">
        <v>30146</v>
      </c>
      <c r="K13640" t="s">
        <v>37412</v>
      </c>
      <c r="M13640" t="s">
        <v>38949</v>
      </c>
      <c r="N13640" t="s">
        <v>41249</v>
      </c>
      <c r="O13640" t="s">
        <v>41250</v>
      </c>
      <c r="Q13640">
        <v>0</v>
      </c>
      <c r="R13640" t="s">
        <v>41322</v>
      </c>
      <c r="S13640" t="s">
        <v>42536</v>
      </c>
      <c r="T13640" t="s">
        <v>42742</v>
      </c>
      <c r="U13640" t="s">
        <v>54132</v>
      </c>
      <c r="W13640" t="s">
        <v>38949</v>
      </c>
      <c r="X13640" t="s">
        <v>41324</v>
      </c>
    </row>
    <row r="13641" spans="1:24">
      <c r="A13641">
        <f>HYPERLINK("https://www.philgeps.gov.ph/GEPSNONPILOT/Tender/SplashBidNoticeAbstractUI.aspx?menuIndex=3&amp;refID=6908540&amp;Result=3","6908540")</f>
        <v>0</v>
      </c>
      <c r="B13641" t="s">
        <v>1146</v>
      </c>
      <c r="C13641" t="s">
        <v>16459</v>
      </c>
      <c r="E13641" t="s">
        <v>28530</v>
      </c>
      <c r="F13641" t="s">
        <v>28669</v>
      </c>
      <c r="G13641" t="s">
        <v>28675</v>
      </c>
      <c r="H13641" t="s">
        <v>9998</v>
      </c>
      <c r="I13641" t="s">
        <v>28693</v>
      </c>
      <c r="J13641" t="s">
        <v>37106</v>
      </c>
      <c r="K13641" t="s">
        <v>37209</v>
      </c>
      <c r="M13641" t="s">
        <v>41223</v>
      </c>
      <c r="N13641" t="s">
        <v>41249</v>
      </c>
      <c r="O13641" t="s">
        <v>41250</v>
      </c>
      <c r="Q13641">
        <v>59</v>
      </c>
      <c r="R13641" t="s">
        <v>41327</v>
      </c>
      <c r="S13641" t="s">
        <v>42537</v>
      </c>
      <c r="T13641" t="s">
        <v>42674</v>
      </c>
      <c r="U13641" t="s">
        <v>54133</v>
      </c>
      <c r="W13641" t="s">
        <v>41223</v>
      </c>
      <c r="X13641" t="s">
        <v>41332</v>
      </c>
    </row>
    <row r="13642" spans="1:24">
      <c r="A13642">
        <f>HYPERLINK("https://www.philgeps.gov.ph/GEPSNONPILOT/Tender/SplashBidNoticeAbstractUI.aspx?menuIndex=3&amp;refID=6896842&amp;Result=3","6896842")</f>
        <v>0</v>
      </c>
      <c r="B13642" t="s">
        <v>3363</v>
      </c>
      <c r="C13642" t="s">
        <v>16460</v>
      </c>
      <c r="D13642" t="s">
        <v>16608</v>
      </c>
      <c r="E13642" t="s">
        <v>28531</v>
      </c>
      <c r="F13642" t="s">
        <v>28669</v>
      </c>
      <c r="G13642" t="s">
        <v>28675</v>
      </c>
      <c r="H13642" t="s">
        <v>9998</v>
      </c>
      <c r="I13642" t="s">
        <v>11593</v>
      </c>
      <c r="J13642" t="s">
        <v>37107</v>
      </c>
      <c r="K13642" t="s">
        <v>37206</v>
      </c>
      <c r="M13642" t="s">
        <v>41224</v>
      </c>
      <c r="N13642" t="s">
        <v>41249</v>
      </c>
      <c r="O13642" t="s">
        <v>41250</v>
      </c>
      <c r="Q13642">
        <v>18</v>
      </c>
      <c r="R13642" t="s">
        <v>41329</v>
      </c>
      <c r="S13642" t="s">
        <v>42538</v>
      </c>
      <c r="T13642" t="s">
        <v>42782</v>
      </c>
      <c r="U13642" t="s">
        <v>54134</v>
      </c>
      <c r="V13642" t="s">
        <v>55878</v>
      </c>
      <c r="W13642" t="s">
        <v>41224</v>
      </c>
      <c r="X13642" t="s">
        <v>41330</v>
      </c>
    </row>
    <row r="13643" spans="1:24">
      <c r="A13643">
        <f>HYPERLINK("https://www.philgeps.gov.ph/GEPSNONPILOT/Tender/SplashBidNoticeAbstractUI.aspx?menuIndex=3&amp;refID=6895713&amp;Result=3","6895713")</f>
        <v>0</v>
      </c>
      <c r="B13643" t="s">
        <v>989</v>
      </c>
      <c r="C13643" t="s">
        <v>16461</v>
      </c>
      <c r="D13643" t="s">
        <v>16679</v>
      </c>
      <c r="E13643" t="s">
        <v>28532</v>
      </c>
      <c r="F13643" t="s">
        <v>28669</v>
      </c>
      <c r="G13643" t="s">
        <v>28675</v>
      </c>
      <c r="H13643" t="s">
        <v>28686</v>
      </c>
      <c r="I13643" t="s">
        <v>28689</v>
      </c>
      <c r="J13643" t="s">
        <v>37108</v>
      </c>
      <c r="K13643" t="s">
        <v>37211</v>
      </c>
      <c r="M13643" t="s">
        <v>41203</v>
      </c>
      <c r="N13643" t="s">
        <v>41249</v>
      </c>
      <c r="O13643" t="s">
        <v>41250</v>
      </c>
      <c r="Q13643">
        <v>22</v>
      </c>
      <c r="R13643" t="s">
        <v>41329</v>
      </c>
      <c r="S13643" t="s">
        <v>42539</v>
      </c>
      <c r="T13643" t="s">
        <v>42763</v>
      </c>
      <c r="U13643" t="s">
        <v>54135</v>
      </c>
      <c r="W13643" t="s">
        <v>41203</v>
      </c>
      <c r="X13643" t="s">
        <v>41330</v>
      </c>
    </row>
    <row r="13644" spans="1:24">
      <c r="A13644">
        <f>HYPERLINK("https://www.philgeps.gov.ph/GEPSNONPILOT/Tender/SplashBidNoticeAbstractUI.aspx?menuIndex=3&amp;refID=6911173&amp;Result=3","6911173")</f>
        <v>0</v>
      </c>
      <c r="B13644" t="s">
        <v>3337</v>
      </c>
      <c r="C13644" t="s">
        <v>16462</v>
      </c>
      <c r="D13644" t="s">
        <v>16621</v>
      </c>
      <c r="E13644" t="s">
        <v>28516</v>
      </c>
      <c r="F13644" t="s">
        <v>28669</v>
      </c>
      <c r="G13644" t="s">
        <v>28675</v>
      </c>
      <c r="H13644" t="s">
        <v>9998</v>
      </c>
      <c r="I13644" t="s">
        <v>28704</v>
      </c>
      <c r="J13644" t="s">
        <v>37109</v>
      </c>
      <c r="K13644" t="s">
        <v>37205</v>
      </c>
      <c r="M13644" t="s">
        <v>41185</v>
      </c>
      <c r="N13644" t="s">
        <v>41249</v>
      </c>
      <c r="O13644" t="s">
        <v>41250</v>
      </c>
      <c r="Q13644">
        <v>11</v>
      </c>
      <c r="R13644" t="s">
        <v>41328</v>
      </c>
      <c r="S13644" t="s">
        <v>42540</v>
      </c>
      <c r="T13644" t="s">
        <v>42727</v>
      </c>
      <c r="U13644" t="s">
        <v>54136</v>
      </c>
      <c r="W13644" t="s">
        <v>41185</v>
      </c>
      <c r="X13644" t="s">
        <v>41327</v>
      </c>
    </row>
    <row r="13645" spans="1:24">
      <c r="A13645">
        <f>HYPERLINK("https://www.philgeps.gov.ph/GEPSNONPILOT/Tender/SplashBidNoticeAbstractUI.aspx?menuIndex=3&amp;refID=6916855&amp;Result=3","6916855")</f>
        <v>0</v>
      </c>
      <c r="B13645" t="s">
        <v>1633</v>
      </c>
      <c r="C13645" t="s">
        <v>16463</v>
      </c>
      <c r="D13645" t="s">
        <v>16656</v>
      </c>
      <c r="E13645" t="s">
        <v>28533</v>
      </c>
      <c r="F13645" t="s">
        <v>28669</v>
      </c>
      <c r="G13645" t="s">
        <v>28675</v>
      </c>
      <c r="H13645" t="s">
        <v>9998</v>
      </c>
      <c r="I13645" t="s">
        <v>28707</v>
      </c>
      <c r="J13645" t="s">
        <v>37110</v>
      </c>
      <c r="K13645" t="s">
        <v>37276</v>
      </c>
      <c r="M13645" t="s">
        <v>39222</v>
      </c>
      <c r="N13645" t="s">
        <v>41249</v>
      </c>
      <c r="O13645" t="s">
        <v>41250</v>
      </c>
      <c r="Q13645">
        <v>8</v>
      </c>
      <c r="R13645" t="s">
        <v>41325</v>
      </c>
      <c r="S13645" t="s">
        <v>42541</v>
      </c>
      <c r="T13645" t="s">
        <v>43036</v>
      </c>
      <c r="U13645" t="s">
        <v>54137</v>
      </c>
      <c r="V13645" t="s">
        <v>55879</v>
      </c>
      <c r="W13645" t="s">
        <v>39222</v>
      </c>
      <c r="X13645" t="s">
        <v>41328</v>
      </c>
    </row>
    <row r="13646" spans="1:24">
      <c r="A13646">
        <f>HYPERLINK("https://www.philgeps.gov.ph/GEPSNONPILOT/Tender/SplashBidNoticeAbstractUI.aspx?menuIndex=3&amp;refID=6889527&amp;Result=3","6889527")</f>
        <v>0</v>
      </c>
      <c r="B13646" t="s">
        <v>3364</v>
      </c>
      <c r="C13646" t="s">
        <v>16464</v>
      </c>
      <c r="D13646" t="s">
        <v>16615</v>
      </c>
      <c r="E13646" t="s">
        <v>22208</v>
      </c>
      <c r="F13646" t="s">
        <v>28669</v>
      </c>
      <c r="G13646" t="s">
        <v>28675</v>
      </c>
      <c r="H13646" t="s">
        <v>28686</v>
      </c>
      <c r="I13646" t="s">
        <v>28689</v>
      </c>
      <c r="J13646" t="s">
        <v>29968</v>
      </c>
      <c r="K13646" t="s">
        <v>37212</v>
      </c>
      <c r="M13646" t="s">
        <v>41225</v>
      </c>
      <c r="N13646" t="s">
        <v>41249</v>
      </c>
      <c r="O13646" t="s">
        <v>41250</v>
      </c>
      <c r="Q13646">
        <v>58</v>
      </c>
      <c r="R13646" t="s">
        <v>41330</v>
      </c>
      <c r="S13646" t="s">
        <v>42542</v>
      </c>
      <c r="T13646" t="s">
        <v>42691</v>
      </c>
      <c r="U13646" t="s">
        <v>54138</v>
      </c>
      <c r="W13646" t="s">
        <v>41225</v>
      </c>
      <c r="X13646" t="s">
        <v>41365</v>
      </c>
    </row>
    <row r="13647" spans="1:24">
      <c r="A13647">
        <f>HYPERLINK("https://www.philgeps.gov.ph/GEPSNONPILOT/Tender/SplashBidNoticeAbstractUI.aspx?menuIndex=3&amp;refID=6889520&amp;Result=3","6889520")</f>
        <v>0</v>
      </c>
      <c r="B13647" t="s">
        <v>3364</v>
      </c>
      <c r="C13647" t="s">
        <v>16465</v>
      </c>
      <c r="D13647" t="s">
        <v>16607</v>
      </c>
      <c r="E13647" t="s">
        <v>25637</v>
      </c>
      <c r="F13647" t="s">
        <v>28669</v>
      </c>
      <c r="G13647" t="s">
        <v>28675</v>
      </c>
      <c r="H13647" t="s">
        <v>28686</v>
      </c>
      <c r="I13647" t="s">
        <v>28689</v>
      </c>
      <c r="J13647" t="s">
        <v>37111</v>
      </c>
      <c r="K13647" t="s">
        <v>37211</v>
      </c>
      <c r="M13647" t="s">
        <v>41225</v>
      </c>
      <c r="N13647" t="s">
        <v>41249</v>
      </c>
      <c r="O13647" t="s">
        <v>41250</v>
      </c>
      <c r="Q13647">
        <v>67</v>
      </c>
      <c r="R13647" t="s">
        <v>41330</v>
      </c>
      <c r="S13647" t="s">
        <v>41592</v>
      </c>
      <c r="T13647" t="s">
        <v>42999</v>
      </c>
      <c r="U13647" t="s">
        <v>54138</v>
      </c>
      <c r="W13647" t="s">
        <v>41225</v>
      </c>
      <c r="X13647" t="s">
        <v>41365</v>
      </c>
    </row>
    <row r="13648" spans="1:24">
      <c r="A13648">
        <f>HYPERLINK("https://www.philgeps.gov.ph/GEPSNONPILOT/Tender/SplashBidNoticeAbstractUI.aspx?menuIndex=3&amp;refID=6889820&amp;Result=3","6889820")</f>
        <v>0</v>
      </c>
      <c r="B13648" t="s">
        <v>2443</v>
      </c>
      <c r="C13648" t="s">
        <v>16466</v>
      </c>
      <c r="D13648" t="s">
        <v>16642</v>
      </c>
      <c r="E13648" t="s">
        <v>28534</v>
      </c>
      <c r="F13648" t="s">
        <v>28669</v>
      </c>
      <c r="G13648" t="s">
        <v>28675</v>
      </c>
      <c r="H13648" t="s">
        <v>9998</v>
      </c>
      <c r="I13648" t="s">
        <v>11593</v>
      </c>
      <c r="J13648" t="s">
        <v>30054</v>
      </c>
      <c r="K13648" t="s">
        <v>37213</v>
      </c>
      <c r="M13648" t="s">
        <v>40126</v>
      </c>
      <c r="N13648" t="s">
        <v>41249</v>
      </c>
      <c r="O13648" t="s">
        <v>41250</v>
      </c>
      <c r="Q13648">
        <v>39</v>
      </c>
      <c r="R13648" t="s">
        <v>41329</v>
      </c>
      <c r="S13648" t="s">
        <v>42543</v>
      </c>
      <c r="T13648" t="s">
        <v>42690</v>
      </c>
      <c r="U13648" t="s">
        <v>54139</v>
      </c>
      <c r="W13648" t="s">
        <v>40126</v>
      </c>
      <c r="X13648" t="s">
        <v>41362</v>
      </c>
    </row>
    <row r="13649" spans="1:24">
      <c r="A13649">
        <f>HYPERLINK("https://www.philgeps.gov.ph/GEPSNONPILOT/Tender/SplashBidNoticeAbstractUI.aspx?menuIndex=3&amp;refID=6896896&amp;Result=3","6896896")</f>
        <v>0</v>
      </c>
      <c r="B13649" t="s">
        <v>2103</v>
      </c>
      <c r="C13649" t="s">
        <v>16467</v>
      </c>
      <c r="D13649" t="s">
        <v>16677</v>
      </c>
      <c r="E13649" t="s">
        <v>28535</v>
      </c>
      <c r="F13649" t="s">
        <v>28669</v>
      </c>
      <c r="G13649" t="s">
        <v>28675</v>
      </c>
      <c r="H13649" t="s">
        <v>28686</v>
      </c>
      <c r="I13649" t="s">
        <v>28689</v>
      </c>
      <c r="J13649" t="s">
        <v>37112</v>
      </c>
      <c r="K13649" t="s">
        <v>37213</v>
      </c>
      <c r="M13649" t="s">
        <v>39746</v>
      </c>
      <c r="N13649" t="s">
        <v>41249</v>
      </c>
      <c r="O13649" t="s">
        <v>41250</v>
      </c>
      <c r="Q13649">
        <v>54</v>
      </c>
      <c r="R13649" t="s">
        <v>41329</v>
      </c>
      <c r="S13649" t="s">
        <v>42544</v>
      </c>
      <c r="T13649" t="s">
        <v>42660</v>
      </c>
      <c r="U13649" t="s">
        <v>54140</v>
      </c>
      <c r="V13649" t="s">
        <v>55880</v>
      </c>
      <c r="W13649" t="s">
        <v>39746</v>
      </c>
      <c r="X13649" t="s">
        <v>41330</v>
      </c>
    </row>
    <row r="13650" spans="1:24">
      <c r="A13650">
        <f>HYPERLINK("https://www.philgeps.gov.ph/GEPSNONPILOT/Tender/SplashBidNoticeAbstractUI.aspx?menuIndex=3&amp;refID=6928764&amp;Result=3","6928764")</f>
        <v>0</v>
      </c>
      <c r="B13650" t="s">
        <v>1530</v>
      </c>
      <c r="C13650" t="s">
        <v>16468</v>
      </c>
      <c r="D13650" t="s">
        <v>16681</v>
      </c>
      <c r="E13650" t="s">
        <v>28489</v>
      </c>
      <c r="F13650" t="s">
        <v>28669</v>
      </c>
      <c r="G13650" t="s">
        <v>28675</v>
      </c>
      <c r="H13650" t="s">
        <v>28686</v>
      </c>
      <c r="I13650" t="s">
        <v>28689</v>
      </c>
      <c r="J13650" t="s">
        <v>37113</v>
      </c>
      <c r="K13650" t="s">
        <v>37209</v>
      </c>
      <c r="M13650" t="s">
        <v>39104</v>
      </c>
      <c r="N13650" t="s">
        <v>41249</v>
      </c>
      <c r="O13650" t="s">
        <v>41250</v>
      </c>
      <c r="Q13650">
        <v>1</v>
      </c>
      <c r="R13650" t="s">
        <v>41322</v>
      </c>
      <c r="S13650" t="s">
        <v>42545</v>
      </c>
      <c r="T13650" t="s">
        <v>42690</v>
      </c>
      <c r="U13650" t="s">
        <v>46638</v>
      </c>
      <c r="W13650" t="s">
        <v>39104</v>
      </c>
      <c r="X13650" t="s">
        <v>41324</v>
      </c>
    </row>
    <row r="13651" spans="1:24">
      <c r="A13651">
        <f>HYPERLINK("https://www.philgeps.gov.ph/GEPSNONPILOT/Tender/SplashBidNoticeAbstractUI.aspx?menuIndex=3&amp;refID=6896081&amp;Result=3","6896081")</f>
        <v>0</v>
      </c>
      <c r="B13651" t="s">
        <v>989</v>
      </c>
      <c r="C13651" t="s">
        <v>16469</v>
      </c>
      <c r="D13651" t="s">
        <v>16679</v>
      </c>
      <c r="E13651" t="s">
        <v>28536</v>
      </c>
      <c r="F13651" t="s">
        <v>28669</v>
      </c>
      <c r="G13651" t="s">
        <v>28675</v>
      </c>
      <c r="H13651" t="s">
        <v>28686</v>
      </c>
      <c r="I13651" t="s">
        <v>28702</v>
      </c>
      <c r="J13651" t="s">
        <v>37114</v>
      </c>
      <c r="K13651" t="s">
        <v>37220</v>
      </c>
      <c r="M13651" t="s">
        <v>41203</v>
      </c>
      <c r="N13651" t="s">
        <v>41249</v>
      </c>
      <c r="O13651" t="s">
        <v>41250</v>
      </c>
      <c r="Q13651">
        <v>5</v>
      </c>
      <c r="R13651" t="s">
        <v>41331</v>
      </c>
      <c r="S13651" t="s">
        <v>42391</v>
      </c>
      <c r="T13651" t="s">
        <v>42786</v>
      </c>
      <c r="U13651" t="s">
        <v>54016</v>
      </c>
      <c r="W13651" t="s">
        <v>41203</v>
      </c>
      <c r="X13651" t="s">
        <v>41330</v>
      </c>
    </row>
    <row r="13652" spans="1:24">
      <c r="A13652">
        <f>HYPERLINK("https://www.philgeps.gov.ph/GEPSNONPILOT/Tender/SplashBidNoticeAbstractUI.aspx?menuIndex=3&amp;refID=6899512&amp;Result=3","6899512")</f>
        <v>0</v>
      </c>
      <c r="B13652" t="s">
        <v>1624</v>
      </c>
      <c r="C13652" t="s">
        <v>16470</v>
      </c>
      <c r="D13652" t="s">
        <v>16624</v>
      </c>
      <c r="E13652" t="s">
        <v>28537</v>
      </c>
      <c r="F13652" t="s">
        <v>28669</v>
      </c>
      <c r="G13652" t="s">
        <v>28675</v>
      </c>
      <c r="H13652" t="s">
        <v>28686</v>
      </c>
      <c r="I13652" t="s">
        <v>28689</v>
      </c>
      <c r="J13652" t="s">
        <v>37115</v>
      </c>
      <c r="K13652" t="s">
        <v>37281</v>
      </c>
      <c r="M13652" t="s">
        <v>39887</v>
      </c>
      <c r="N13652" t="s">
        <v>41249</v>
      </c>
      <c r="O13652" t="s">
        <v>41250</v>
      </c>
      <c r="Q13652">
        <v>0</v>
      </c>
      <c r="R13652" t="s">
        <v>41331</v>
      </c>
      <c r="S13652" t="s">
        <v>42546</v>
      </c>
      <c r="T13652" t="s">
        <v>42679</v>
      </c>
      <c r="U13652" t="s">
        <v>48856</v>
      </c>
      <c r="W13652" t="s">
        <v>39887</v>
      </c>
      <c r="X13652" t="s">
        <v>41329</v>
      </c>
    </row>
    <row r="13653" spans="1:24">
      <c r="A13653">
        <f>HYPERLINK("https://www.philgeps.gov.ph/GEPSNONPILOT/Tender/SplashBidNoticeAbstractUI.aspx?menuIndex=3&amp;refID=6905733&amp;Result=3","6905733")</f>
        <v>0</v>
      </c>
      <c r="B13653" t="s">
        <v>96</v>
      </c>
      <c r="C13653" t="s">
        <v>16471</v>
      </c>
      <c r="D13653" t="s">
        <v>16654</v>
      </c>
      <c r="E13653" t="s">
        <v>16849</v>
      </c>
      <c r="F13653" t="s">
        <v>28669</v>
      </c>
      <c r="G13653" t="s">
        <v>28675</v>
      </c>
      <c r="H13653" t="s">
        <v>28686</v>
      </c>
      <c r="I13653" t="s">
        <v>28689</v>
      </c>
      <c r="J13653" t="s">
        <v>29266</v>
      </c>
      <c r="K13653" t="s">
        <v>37425</v>
      </c>
      <c r="M13653" t="s">
        <v>37571</v>
      </c>
      <c r="N13653" t="s">
        <v>41249</v>
      </c>
      <c r="O13653" t="s">
        <v>41250</v>
      </c>
      <c r="Q13653">
        <v>1</v>
      </c>
      <c r="R13653" t="s">
        <v>41327</v>
      </c>
      <c r="S13653" t="s">
        <v>42547</v>
      </c>
      <c r="T13653" t="s">
        <v>43181</v>
      </c>
      <c r="U13653" t="s">
        <v>54141</v>
      </c>
      <c r="W13653" t="s">
        <v>37571</v>
      </c>
      <c r="X13653" t="s">
        <v>41332</v>
      </c>
    </row>
    <row r="13654" spans="1:24">
      <c r="A13654">
        <f>HYPERLINK("https://www.philgeps.gov.ph/GEPSNONPILOT/Tender/SplashBidNoticeAbstractUI.aspx?menuIndex=3&amp;refID=6910374&amp;Result=3","6910374")</f>
        <v>0</v>
      </c>
      <c r="B13654" t="s">
        <v>1761</v>
      </c>
      <c r="C13654" t="s">
        <v>16472</v>
      </c>
      <c r="D13654" t="s">
        <v>16608</v>
      </c>
      <c r="E13654" t="s">
        <v>28538</v>
      </c>
      <c r="F13654" t="s">
        <v>28669</v>
      </c>
      <c r="G13654" t="s">
        <v>28675</v>
      </c>
      <c r="H13654" t="s">
        <v>28686</v>
      </c>
      <c r="I13654" t="s">
        <v>28689</v>
      </c>
      <c r="J13654" t="s">
        <v>37116</v>
      </c>
      <c r="K13654" t="s">
        <v>37492</v>
      </c>
      <c r="M13654" t="s">
        <v>39363</v>
      </c>
      <c r="N13654" t="s">
        <v>41249</v>
      </c>
      <c r="O13654" t="s">
        <v>41250</v>
      </c>
      <c r="Q13654">
        <v>30</v>
      </c>
      <c r="R13654" t="s">
        <v>41328</v>
      </c>
      <c r="S13654" t="s">
        <v>42548</v>
      </c>
      <c r="T13654" t="s">
        <v>42709</v>
      </c>
      <c r="U13654" t="s">
        <v>54142</v>
      </c>
      <c r="V13654" t="s">
        <v>55881</v>
      </c>
      <c r="W13654" t="s">
        <v>39363</v>
      </c>
      <c r="X13654" t="s">
        <v>41327</v>
      </c>
    </row>
    <row r="13655" spans="1:24">
      <c r="A13655">
        <f>HYPERLINK("https://www.philgeps.gov.ph/GEPSNONPILOT/Tender/SplashBidNoticeAbstractUI.aspx?menuIndex=3&amp;refID=6903240&amp;Result=3","6903240")</f>
        <v>0</v>
      </c>
      <c r="B13655" t="s">
        <v>3365</v>
      </c>
      <c r="C13655" t="s">
        <v>16473</v>
      </c>
      <c r="D13655" t="s">
        <v>16635</v>
      </c>
      <c r="E13655" t="s">
        <v>28539</v>
      </c>
      <c r="F13655" t="s">
        <v>28669</v>
      </c>
      <c r="G13655" t="s">
        <v>28675</v>
      </c>
      <c r="H13655" t="s">
        <v>28686</v>
      </c>
      <c r="I13655" t="s">
        <v>28689</v>
      </c>
      <c r="J13655" t="s">
        <v>37117</v>
      </c>
      <c r="K13655" t="s">
        <v>37213</v>
      </c>
      <c r="M13655" t="s">
        <v>41226</v>
      </c>
      <c r="N13655" t="s">
        <v>41249</v>
      </c>
      <c r="O13655" t="s">
        <v>41250</v>
      </c>
      <c r="Q13655">
        <v>19</v>
      </c>
      <c r="R13655" t="s">
        <v>41332</v>
      </c>
      <c r="S13655" t="s">
        <v>42549</v>
      </c>
      <c r="T13655" t="s">
        <v>43182</v>
      </c>
      <c r="U13655" t="s">
        <v>54143</v>
      </c>
      <c r="V13655" t="s">
        <v>55882</v>
      </c>
      <c r="W13655" t="s">
        <v>41226</v>
      </c>
      <c r="X13655" t="s">
        <v>56042</v>
      </c>
    </row>
    <row r="13656" spans="1:24">
      <c r="A13656">
        <f>HYPERLINK("https://www.philgeps.gov.ph/GEPSNONPILOT/Tender/SplashBidNoticeAbstractUI.aspx?menuIndex=3&amp;refID=6903132&amp;Result=3","6903132")</f>
        <v>0</v>
      </c>
      <c r="B13656" t="s">
        <v>1802</v>
      </c>
      <c r="C13656" t="s">
        <v>16474</v>
      </c>
      <c r="D13656" t="s">
        <v>16693</v>
      </c>
      <c r="E13656" t="s">
        <v>28540</v>
      </c>
      <c r="F13656" t="s">
        <v>28669</v>
      </c>
      <c r="G13656" t="s">
        <v>28675</v>
      </c>
      <c r="H13656" t="s">
        <v>28685</v>
      </c>
      <c r="I13656" t="s">
        <v>28685</v>
      </c>
      <c r="J13656" t="s">
        <v>37118</v>
      </c>
      <c r="K13656" t="s">
        <v>37228</v>
      </c>
      <c r="M13656" t="s">
        <v>41227</v>
      </c>
      <c r="N13656" t="s">
        <v>41249</v>
      </c>
      <c r="O13656" t="s">
        <v>41250</v>
      </c>
      <c r="Q13656">
        <v>6</v>
      </c>
      <c r="R13656" t="s">
        <v>41332</v>
      </c>
      <c r="S13656" t="s">
        <v>42550</v>
      </c>
      <c r="T13656" t="s">
        <v>42683</v>
      </c>
      <c r="U13656" t="s">
        <v>54144</v>
      </c>
      <c r="W13656" t="s">
        <v>41227</v>
      </c>
      <c r="X13656" t="s">
        <v>56042</v>
      </c>
    </row>
    <row r="13657" spans="1:24">
      <c r="A13657">
        <f>HYPERLINK("https://www.philgeps.gov.ph/GEPSNONPILOT/Tender/SplashBidNoticeAbstractUI.aspx?menuIndex=3&amp;refID=6894063&amp;Result=3","6894063")</f>
        <v>0</v>
      </c>
      <c r="B13657" t="s">
        <v>3183</v>
      </c>
      <c r="C13657" t="s">
        <v>16475</v>
      </c>
      <c r="D13657" t="s">
        <v>16627</v>
      </c>
      <c r="E13657" t="s">
        <v>28541</v>
      </c>
      <c r="F13657" t="s">
        <v>28669</v>
      </c>
      <c r="G13657" t="s">
        <v>28675</v>
      </c>
      <c r="H13657" t="s">
        <v>9998</v>
      </c>
      <c r="I13657" t="s">
        <v>28792</v>
      </c>
      <c r="J13657" t="s">
        <v>29053</v>
      </c>
      <c r="K13657" t="s">
        <v>37205</v>
      </c>
      <c r="L13657" t="s">
        <v>3183</v>
      </c>
      <c r="M13657" t="s">
        <v>40984</v>
      </c>
      <c r="N13657" t="s">
        <v>41249</v>
      </c>
      <c r="O13657" t="s">
        <v>41250</v>
      </c>
      <c r="Q13657">
        <v>11</v>
      </c>
      <c r="R13657" t="s">
        <v>41329</v>
      </c>
      <c r="S13657" t="s">
        <v>42551</v>
      </c>
      <c r="T13657" t="s">
        <v>42714</v>
      </c>
      <c r="U13657" t="s">
        <v>54145</v>
      </c>
      <c r="W13657" t="s">
        <v>40984</v>
      </c>
      <c r="X13657" t="s">
        <v>41330</v>
      </c>
    </row>
    <row r="13658" spans="1:24">
      <c r="A13658">
        <f>HYPERLINK("https://www.philgeps.gov.ph/GEPSNONPILOT/Tender/SplashBidNoticeAbstractUI.aspx?menuIndex=3&amp;refID=6901664&amp;Result=3","6901664")</f>
        <v>0</v>
      </c>
      <c r="B13658" t="s">
        <v>107</v>
      </c>
      <c r="C13658" t="s">
        <v>16476</v>
      </c>
      <c r="D13658" t="s">
        <v>16657</v>
      </c>
      <c r="E13658" t="s">
        <v>28542</v>
      </c>
      <c r="F13658" t="s">
        <v>28669</v>
      </c>
      <c r="G13658" t="s">
        <v>28675</v>
      </c>
      <c r="H13658" t="s">
        <v>28686</v>
      </c>
      <c r="I13658" t="s">
        <v>28689</v>
      </c>
      <c r="J13658" t="s">
        <v>37119</v>
      </c>
      <c r="K13658" t="s">
        <v>37322</v>
      </c>
      <c r="M13658" t="s">
        <v>37583</v>
      </c>
      <c r="N13658" t="s">
        <v>41249</v>
      </c>
      <c r="O13658" t="s">
        <v>41250</v>
      </c>
      <c r="Q13658">
        <v>62</v>
      </c>
      <c r="R13658" t="s">
        <v>41332</v>
      </c>
      <c r="S13658" t="s">
        <v>42552</v>
      </c>
      <c r="T13658" t="s">
        <v>42698</v>
      </c>
      <c r="U13658" t="s">
        <v>54146</v>
      </c>
      <c r="V13658" t="s">
        <v>54278</v>
      </c>
      <c r="W13658" t="s">
        <v>37583</v>
      </c>
      <c r="X13658" t="s">
        <v>56042</v>
      </c>
    </row>
    <row r="13659" spans="1:24">
      <c r="A13659">
        <f>HYPERLINK("https://www.philgeps.gov.ph/GEPSNONPILOT/Tender/SplashBidNoticeAbstractUI.aspx?menuIndex=3&amp;refID=6889538&amp;Result=3","6889538")</f>
        <v>0</v>
      </c>
      <c r="B13659" t="s">
        <v>3364</v>
      </c>
      <c r="C13659" t="s">
        <v>16477</v>
      </c>
      <c r="D13659" t="s">
        <v>16615</v>
      </c>
      <c r="E13659" t="s">
        <v>18990</v>
      </c>
      <c r="F13659" t="s">
        <v>28669</v>
      </c>
      <c r="G13659" t="s">
        <v>28675</v>
      </c>
      <c r="H13659" t="s">
        <v>28686</v>
      </c>
      <c r="I13659" t="s">
        <v>28689</v>
      </c>
      <c r="J13659" t="s">
        <v>29968</v>
      </c>
      <c r="K13659" t="s">
        <v>37212</v>
      </c>
      <c r="M13659" t="s">
        <v>41225</v>
      </c>
      <c r="N13659" t="s">
        <v>41249</v>
      </c>
      <c r="O13659" t="s">
        <v>41250</v>
      </c>
      <c r="Q13659">
        <v>57</v>
      </c>
      <c r="R13659" t="s">
        <v>41330</v>
      </c>
      <c r="S13659" t="s">
        <v>42542</v>
      </c>
      <c r="T13659" t="s">
        <v>42691</v>
      </c>
      <c r="U13659" t="s">
        <v>54138</v>
      </c>
      <c r="W13659" t="s">
        <v>41225</v>
      </c>
      <c r="X13659" t="s">
        <v>41365</v>
      </c>
    </row>
    <row r="13660" spans="1:24">
      <c r="A13660">
        <f>HYPERLINK("https://www.philgeps.gov.ph/GEPSNONPILOT/Tender/SplashBidNoticeAbstractUI.aspx?menuIndex=3&amp;refID=6903343&amp;Result=3","6903343")</f>
        <v>0</v>
      </c>
      <c r="B13660" t="s">
        <v>1697</v>
      </c>
      <c r="C13660" t="s">
        <v>16478</v>
      </c>
      <c r="D13660" t="s">
        <v>16635</v>
      </c>
      <c r="E13660" t="s">
        <v>28543</v>
      </c>
      <c r="F13660" t="s">
        <v>28669</v>
      </c>
      <c r="G13660" t="s">
        <v>28682</v>
      </c>
      <c r="H13660" t="s">
        <v>28685</v>
      </c>
      <c r="I13660" t="s">
        <v>28685</v>
      </c>
      <c r="J13660" t="s">
        <v>37120</v>
      </c>
      <c r="K13660" t="s">
        <v>37209</v>
      </c>
      <c r="L13660" t="s">
        <v>1697</v>
      </c>
      <c r="M13660" t="s">
        <v>39297</v>
      </c>
      <c r="N13660" t="s">
        <v>41249</v>
      </c>
      <c r="O13660" t="s">
        <v>41250</v>
      </c>
      <c r="Q13660">
        <v>11</v>
      </c>
      <c r="R13660" t="s">
        <v>41332</v>
      </c>
      <c r="S13660" t="s">
        <v>42553</v>
      </c>
      <c r="T13660" t="s">
        <v>42754</v>
      </c>
      <c r="U13660" t="s">
        <v>54147</v>
      </c>
      <c r="W13660" t="s">
        <v>39297</v>
      </c>
      <c r="X13660" t="s">
        <v>56042</v>
      </c>
    </row>
    <row r="13661" spans="1:24">
      <c r="A13661">
        <f>HYPERLINK("https://www.philgeps.gov.ph/GEPSNONPILOT/Tender/SplashBidNoticeAbstractUI.aspx?menuIndex=3&amp;refID=6904456&amp;Result=3","6904456")</f>
        <v>0</v>
      </c>
      <c r="B13661" t="s">
        <v>72</v>
      </c>
      <c r="C13661" t="s">
        <v>16479</v>
      </c>
      <c r="D13661" t="s">
        <v>16644</v>
      </c>
      <c r="E13661" t="s">
        <v>28544</v>
      </c>
      <c r="F13661" t="s">
        <v>28669</v>
      </c>
      <c r="G13661" t="s">
        <v>28675</v>
      </c>
      <c r="H13661" t="s">
        <v>28686</v>
      </c>
      <c r="I13661" t="s">
        <v>28689</v>
      </c>
      <c r="J13661" t="s">
        <v>30146</v>
      </c>
      <c r="K13661" t="s">
        <v>37285</v>
      </c>
      <c r="M13661" t="s">
        <v>37547</v>
      </c>
      <c r="N13661" t="s">
        <v>41249</v>
      </c>
      <c r="O13661" t="s">
        <v>41250</v>
      </c>
      <c r="Q13661">
        <v>5</v>
      </c>
      <c r="R13661" t="s">
        <v>41327</v>
      </c>
      <c r="S13661" t="s">
        <v>42554</v>
      </c>
      <c r="T13661" t="s">
        <v>42673</v>
      </c>
      <c r="U13661" t="s">
        <v>54148</v>
      </c>
      <c r="V13661" t="s">
        <v>55883</v>
      </c>
      <c r="W13661" t="s">
        <v>55934</v>
      </c>
      <c r="X13661" t="s">
        <v>41332</v>
      </c>
    </row>
    <row r="13662" spans="1:24">
      <c r="A13662">
        <f>HYPERLINK("https://www.philgeps.gov.ph/GEPSNONPILOT/Tender/SplashBidNoticeAbstractUI.aspx?menuIndex=3&amp;refID=6880434&amp;Result=3","6880434")</f>
        <v>0</v>
      </c>
      <c r="B13662" t="s">
        <v>3366</v>
      </c>
      <c r="C13662" t="s">
        <v>16480</v>
      </c>
      <c r="D13662" t="s">
        <v>16627</v>
      </c>
      <c r="E13662" t="s">
        <v>28545</v>
      </c>
      <c r="F13662" t="s">
        <v>28669</v>
      </c>
      <c r="G13662" t="s">
        <v>28675</v>
      </c>
      <c r="H13662" t="s">
        <v>9998</v>
      </c>
      <c r="I13662" t="s">
        <v>6128</v>
      </c>
      <c r="J13662" t="s">
        <v>37121</v>
      </c>
      <c r="K13662" t="s">
        <v>37205</v>
      </c>
      <c r="M13662" t="s">
        <v>41228</v>
      </c>
      <c r="N13662" t="s">
        <v>41249</v>
      </c>
      <c r="O13662" t="s">
        <v>41250</v>
      </c>
      <c r="Q13662">
        <v>8</v>
      </c>
      <c r="R13662" t="s">
        <v>41333</v>
      </c>
      <c r="S13662" t="s">
        <v>42555</v>
      </c>
      <c r="T13662" t="s">
        <v>42759</v>
      </c>
      <c r="U13662" t="s">
        <v>54149</v>
      </c>
      <c r="V13662" t="s">
        <v>55884</v>
      </c>
      <c r="W13662" t="s">
        <v>41228</v>
      </c>
      <c r="X13662" t="s">
        <v>41334</v>
      </c>
    </row>
    <row r="13663" spans="1:24">
      <c r="A13663">
        <f>HYPERLINK("https://www.philgeps.gov.ph/GEPSNONPILOT/Tender/SplashBidNoticeAbstractUI.aspx?menuIndex=3&amp;refID=6872176&amp;Result=3","6872176")</f>
        <v>0</v>
      </c>
      <c r="B13663" t="s">
        <v>1146</v>
      </c>
      <c r="C13663" t="s">
        <v>16481</v>
      </c>
      <c r="E13663" t="s">
        <v>28546</v>
      </c>
      <c r="F13663" t="s">
        <v>28669</v>
      </c>
      <c r="G13663" t="s">
        <v>28675</v>
      </c>
      <c r="H13663" t="s">
        <v>9998</v>
      </c>
      <c r="I13663" t="s">
        <v>28734</v>
      </c>
      <c r="J13663" t="s">
        <v>37122</v>
      </c>
      <c r="K13663" t="s">
        <v>37209</v>
      </c>
      <c r="M13663" t="s">
        <v>41223</v>
      </c>
      <c r="N13663" t="s">
        <v>41249</v>
      </c>
      <c r="O13663" t="s">
        <v>41250</v>
      </c>
      <c r="Q13663">
        <v>5</v>
      </c>
      <c r="R13663" t="s">
        <v>41334</v>
      </c>
      <c r="S13663" t="s">
        <v>42556</v>
      </c>
      <c r="T13663" t="s">
        <v>43183</v>
      </c>
      <c r="U13663" t="s">
        <v>54150</v>
      </c>
      <c r="W13663" t="s">
        <v>41223</v>
      </c>
      <c r="X13663" t="s">
        <v>41360</v>
      </c>
    </row>
    <row r="13664" spans="1:24">
      <c r="A13664">
        <f>HYPERLINK("https://www.philgeps.gov.ph/GEPSNONPILOT/Tender/SplashBidNoticeAbstractUI.aspx?menuIndex=3&amp;refID=6903559&amp;Result=3","6903559")</f>
        <v>0</v>
      </c>
      <c r="B13664" t="s">
        <v>2248</v>
      </c>
      <c r="C13664" t="s">
        <v>16482</v>
      </c>
      <c r="D13664" t="s">
        <v>16608</v>
      </c>
      <c r="E13664" t="s">
        <v>28547</v>
      </c>
      <c r="F13664" t="s">
        <v>28669</v>
      </c>
      <c r="G13664" t="s">
        <v>28675</v>
      </c>
      <c r="H13664" t="s">
        <v>9998</v>
      </c>
      <c r="I13664" t="s">
        <v>3718</v>
      </c>
      <c r="J13664" t="s">
        <v>37123</v>
      </c>
      <c r="K13664" t="s">
        <v>37206</v>
      </c>
      <c r="M13664" t="s">
        <v>41229</v>
      </c>
      <c r="N13664" t="s">
        <v>41249</v>
      </c>
      <c r="O13664" t="s">
        <v>41250</v>
      </c>
      <c r="Q13664">
        <v>5</v>
      </c>
      <c r="R13664" t="s">
        <v>41332</v>
      </c>
      <c r="S13664" t="s">
        <v>42557</v>
      </c>
      <c r="T13664" t="s">
        <v>42754</v>
      </c>
      <c r="U13664" t="s">
        <v>54151</v>
      </c>
      <c r="V13664" t="s">
        <v>47939</v>
      </c>
      <c r="W13664" t="s">
        <v>41229</v>
      </c>
      <c r="X13664" t="s">
        <v>56042</v>
      </c>
    </row>
    <row r="13665" spans="1:24">
      <c r="A13665">
        <f>HYPERLINK("https://www.philgeps.gov.ph/GEPSNONPILOT/Tender/SplashBidNoticeAbstractUI.aspx?menuIndex=3&amp;refID=6880085&amp;Result=3","6880085")</f>
        <v>0</v>
      </c>
      <c r="B13665" t="s">
        <v>3366</v>
      </c>
      <c r="C13665" t="s">
        <v>16483</v>
      </c>
      <c r="D13665" t="s">
        <v>16627</v>
      </c>
      <c r="E13665" t="s">
        <v>28548</v>
      </c>
      <c r="F13665" t="s">
        <v>28669</v>
      </c>
      <c r="G13665" t="s">
        <v>28675</v>
      </c>
      <c r="H13665" t="s">
        <v>9998</v>
      </c>
      <c r="I13665" t="s">
        <v>28693</v>
      </c>
      <c r="J13665" t="s">
        <v>31300</v>
      </c>
      <c r="K13665" t="s">
        <v>37210</v>
      </c>
      <c r="M13665" t="s">
        <v>41230</v>
      </c>
      <c r="N13665" t="s">
        <v>41249</v>
      </c>
      <c r="O13665" t="s">
        <v>41250</v>
      </c>
      <c r="Q13665">
        <v>14</v>
      </c>
      <c r="R13665" t="s">
        <v>41333</v>
      </c>
      <c r="S13665" t="s">
        <v>42558</v>
      </c>
      <c r="T13665" t="s">
        <v>42674</v>
      </c>
      <c r="U13665" t="s">
        <v>54152</v>
      </c>
      <c r="V13665" t="s">
        <v>54480</v>
      </c>
      <c r="W13665" t="s">
        <v>41230</v>
      </c>
      <c r="X13665" t="s">
        <v>41334</v>
      </c>
    </row>
    <row r="13666" spans="1:24">
      <c r="A13666">
        <f>HYPERLINK("https://www.philgeps.gov.ph/GEPSNONPILOT/Tender/SplashBidNoticeAbstractUI.aspx?menuIndex=3&amp;refID=6880822&amp;Result=3","6880822")</f>
        <v>0</v>
      </c>
      <c r="B13666" t="s">
        <v>3366</v>
      </c>
      <c r="C13666" t="s">
        <v>16484</v>
      </c>
      <c r="D13666" t="s">
        <v>16627</v>
      </c>
      <c r="E13666" t="s">
        <v>28549</v>
      </c>
      <c r="F13666" t="s">
        <v>28669</v>
      </c>
      <c r="G13666" t="s">
        <v>28675</v>
      </c>
      <c r="H13666" t="s">
        <v>9998</v>
      </c>
      <c r="I13666" t="s">
        <v>28693</v>
      </c>
      <c r="J13666" t="s">
        <v>36860</v>
      </c>
      <c r="K13666" t="s">
        <v>37205</v>
      </c>
      <c r="M13666" t="s">
        <v>41230</v>
      </c>
      <c r="N13666" t="s">
        <v>41249</v>
      </c>
      <c r="O13666" t="s">
        <v>41250</v>
      </c>
      <c r="Q13666">
        <v>13</v>
      </c>
      <c r="R13666" t="s">
        <v>41333</v>
      </c>
      <c r="S13666" t="s">
        <v>42559</v>
      </c>
      <c r="T13666" t="s">
        <v>42858</v>
      </c>
      <c r="U13666" t="s">
        <v>54152</v>
      </c>
      <c r="V13666" t="s">
        <v>54480</v>
      </c>
      <c r="W13666" t="s">
        <v>41230</v>
      </c>
      <c r="X13666" t="s">
        <v>41334</v>
      </c>
    </row>
    <row r="13667" spans="1:24">
      <c r="A13667">
        <f>HYPERLINK("https://www.philgeps.gov.ph/GEPSNONPILOT/Tender/SplashBidNoticeAbstractUI.aspx?menuIndex=3&amp;refID=6880627&amp;Result=3","6880627")</f>
        <v>0</v>
      </c>
      <c r="B13667" t="s">
        <v>3366</v>
      </c>
      <c r="C13667" t="s">
        <v>16485</v>
      </c>
      <c r="D13667" t="s">
        <v>16627</v>
      </c>
      <c r="E13667" t="s">
        <v>28550</v>
      </c>
      <c r="F13667" t="s">
        <v>28669</v>
      </c>
      <c r="G13667" t="s">
        <v>28675</v>
      </c>
      <c r="H13667" t="s">
        <v>9998</v>
      </c>
      <c r="I13667" t="s">
        <v>28693</v>
      </c>
      <c r="J13667" t="s">
        <v>28847</v>
      </c>
      <c r="K13667" t="s">
        <v>37205</v>
      </c>
      <c r="M13667" t="s">
        <v>41230</v>
      </c>
      <c r="N13667" t="s">
        <v>41249</v>
      </c>
      <c r="O13667" t="s">
        <v>41250</v>
      </c>
      <c r="Q13667">
        <v>15</v>
      </c>
      <c r="R13667" t="s">
        <v>41333</v>
      </c>
      <c r="S13667" t="s">
        <v>42560</v>
      </c>
      <c r="T13667" t="s">
        <v>42687</v>
      </c>
      <c r="U13667" t="s">
        <v>54152</v>
      </c>
      <c r="V13667" t="s">
        <v>54480</v>
      </c>
      <c r="W13667" t="s">
        <v>41230</v>
      </c>
      <c r="X13667" t="s">
        <v>41334</v>
      </c>
    </row>
    <row r="13668" spans="1:24">
      <c r="A13668">
        <f>HYPERLINK("https://www.philgeps.gov.ph/GEPSNONPILOT/Tender/SplashBidNoticeAbstractUI.aspx?menuIndex=3&amp;refID=6883355&amp;Result=3","6883355")</f>
        <v>0</v>
      </c>
      <c r="B13668" t="s">
        <v>3363</v>
      </c>
      <c r="C13668" t="s">
        <v>16486</v>
      </c>
      <c r="D13668" t="s">
        <v>16608</v>
      </c>
      <c r="E13668" t="s">
        <v>28551</v>
      </c>
      <c r="F13668" t="s">
        <v>28669</v>
      </c>
      <c r="G13668" t="s">
        <v>28675</v>
      </c>
      <c r="H13668" t="s">
        <v>9998</v>
      </c>
      <c r="I13668" t="s">
        <v>3718</v>
      </c>
      <c r="J13668" t="s">
        <v>36713</v>
      </c>
      <c r="K13668" t="s">
        <v>37221</v>
      </c>
      <c r="M13668" t="s">
        <v>41231</v>
      </c>
      <c r="N13668" t="s">
        <v>41249</v>
      </c>
      <c r="O13668" t="s">
        <v>41250</v>
      </c>
      <c r="Q13668">
        <v>30</v>
      </c>
      <c r="R13668" t="s">
        <v>41335</v>
      </c>
      <c r="S13668" t="s">
        <v>42561</v>
      </c>
      <c r="T13668" t="s">
        <v>42782</v>
      </c>
      <c r="U13668" t="s">
        <v>54153</v>
      </c>
      <c r="V13668" t="s">
        <v>55878</v>
      </c>
      <c r="W13668" t="s">
        <v>41231</v>
      </c>
      <c r="X13668" t="s">
        <v>41333</v>
      </c>
    </row>
    <row r="13669" spans="1:24">
      <c r="A13669">
        <f>HYPERLINK("https://www.philgeps.gov.ph/GEPSNONPILOT/Tender/SplashBidNoticeAbstractUI.aspx?menuIndex=3&amp;refID=6883288&amp;Result=3","6883288")</f>
        <v>0</v>
      </c>
      <c r="B13669" t="s">
        <v>3363</v>
      </c>
      <c r="C13669" t="s">
        <v>16487</v>
      </c>
      <c r="D13669" t="s">
        <v>16608</v>
      </c>
      <c r="E13669" t="s">
        <v>28552</v>
      </c>
      <c r="F13669" t="s">
        <v>28669</v>
      </c>
      <c r="G13669" t="s">
        <v>28675</v>
      </c>
      <c r="H13669" t="s">
        <v>9998</v>
      </c>
      <c r="I13669" t="s">
        <v>28688</v>
      </c>
      <c r="J13669" t="s">
        <v>37124</v>
      </c>
      <c r="K13669" t="s">
        <v>37205</v>
      </c>
      <c r="M13669" t="s">
        <v>41231</v>
      </c>
      <c r="N13669" t="s">
        <v>41249</v>
      </c>
      <c r="O13669" t="s">
        <v>41250</v>
      </c>
      <c r="Q13669">
        <v>33</v>
      </c>
      <c r="R13669" t="s">
        <v>41335</v>
      </c>
      <c r="S13669" t="s">
        <v>42562</v>
      </c>
      <c r="T13669" t="s">
        <v>42782</v>
      </c>
      <c r="U13669" t="s">
        <v>54154</v>
      </c>
      <c r="V13669" t="s">
        <v>55878</v>
      </c>
      <c r="W13669" t="s">
        <v>41231</v>
      </c>
      <c r="X13669" t="s">
        <v>41333</v>
      </c>
    </row>
    <row r="13670" spans="1:24">
      <c r="A13670">
        <f>HYPERLINK("https://www.philgeps.gov.ph/GEPSNONPILOT/Tender/SplashBidNoticeAbstractUI.aspx?menuIndex=3&amp;refID=6902982&amp;Result=3","6902982")</f>
        <v>0</v>
      </c>
      <c r="B13670" t="s">
        <v>2784</v>
      </c>
      <c r="C13670" t="s">
        <v>16488</v>
      </c>
      <c r="D13670" t="s">
        <v>16626</v>
      </c>
      <c r="E13670" t="s">
        <v>28553</v>
      </c>
      <c r="F13670" t="s">
        <v>28669</v>
      </c>
      <c r="G13670" t="s">
        <v>28675</v>
      </c>
      <c r="H13670" t="s">
        <v>28686</v>
      </c>
      <c r="I13670" t="s">
        <v>28689</v>
      </c>
      <c r="J13670" t="s">
        <v>37125</v>
      </c>
      <c r="K13670" t="s">
        <v>37414</v>
      </c>
      <c r="M13670" t="s">
        <v>40509</v>
      </c>
      <c r="N13670" t="s">
        <v>41249</v>
      </c>
      <c r="O13670" t="s">
        <v>41250</v>
      </c>
      <c r="Q13670">
        <v>18</v>
      </c>
      <c r="R13670" t="s">
        <v>41332</v>
      </c>
      <c r="S13670" t="s">
        <v>42563</v>
      </c>
      <c r="T13670" t="s">
        <v>42659</v>
      </c>
      <c r="U13670" t="s">
        <v>54155</v>
      </c>
      <c r="V13670" t="s">
        <v>55315</v>
      </c>
      <c r="W13670" t="s">
        <v>56012</v>
      </c>
      <c r="X13670" t="s">
        <v>56042</v>
      </c>
    </row>
    <row r="13671" spans="1:24">
      <c r="A13671">
        <f>HYPERLINK("https://www.philgeps.gov.ph/GEPSNONPILOT/Tender/SplashBidNoticeAbstractUI.aspx?menuIndex=3&amp;refID=6885420&amp;Result=3","6885420")</f>
        <v>0</v>
      </c>
      <c r="B13671" t="s">
        <v>1146</v>
      </c>
      <c r="C13671" t="s">
        <v>16489</v>
      </c>
      <c r="D13671" t="s">
        <v>16640</v>
      </c>
      <c r="E13671" t="s">
        <v>28554</v>
      </c>
      <c r="F13671" t="s">
        <v>28669</v>
      </c>
      <c r="G13671" t="s">
        <v>28675</v>
      </c>
      <c r="H13671" t="s">
        <v>28685</v>
      </c>
      <c r="I13671" t="s">
        <v>28685</v>
      </c>
      <c r="J13671" t="s">
        <v>29655</v>
      </c>
      <c r="K13671" t="s">
        <v>37232</v>
      </c>
      <c r="M13671" t="s">
        <v>39954</v>
      </c>
      <c r="N13671" t="s">
        <v>41249</v>
      </c>
      <c r="O13671" t="s">
        <v>41250</v>
      </c>
      <c r="Q13671">
        <v>11</v>
      </c>
      <c r="R13671" t="s">
        <v>41336</v>
      </c>
      <c r="S13671" t="s">
        <v>42564</v>
      </c>
      <c r="T13671" t="s">
        <v>43184</v>
      </c>
      <c r="U13671" t="s">
        <v>54156</v>
      </c>
      <c r="W13671" t="s">
        <v>39954</v>
      </c>
      <c r="X13671" t="s">
        <v>56061</v>
      </c>
    </row>
    <row r="13672" spans="1:24">
      <c r="A13672">
        <f>HYPERLINK("https://www.philgeps.gov.ph/GEPSNONPILOT/Tender/SplashBidNoticeAbstractUI.aspx?menuIndex=3&amp;refID=6885415&amp;Result=3","6885415")</f>
        <v>0</v>
      </c>
      <c r="B13672" t="s">
        <v>1146</v>
      </c>
      <c r="C13672" t="s">
        <v>16490</v>
      </c>
      <c r="D13672" t="s">
        <v>16640</v>
      </c>
      <c r="E13672" t="s">
        <v>28555</v>
      </c>
      <c r="F13672" t="s">
        <v>28669</v>
      </c>
      <c r="G13672" t="s">
        <v>28675</v>
      </c>
      <c r="H13672" t="s">
        <v>28685</v>
      </c>
      <c r="I13672" t="s">
        <v>28685</v>
      </c>
      <c r="J13672" t="s">
        <v>29655</v>
      </c>
      <c r="K13672" t="s">
        <v>37232</v>
      </c>
      <c r="M13672" t="s">
        <v>39954</v>
      </c>
      <c r="N13672" t="s">
        <v>41249</v>
      </c>
      <c r="O13672" t="s">
        <v>41250</v>
      </c>
      <c r="Q13672">
        <v>11</v>
      </c>
      <c r="R13672" t="s">
        <v>41336</v>
      </c>
      <c r="S13672" t="s">
        <v>42565</v>
      </c>
      <c r="T13672" t="s">
        <v>42681</v>
      </c>
      <c r="U13672" t="s">
        <v>54157</v>
      </c>
      <c r="W13672" t="s">
        <v>39954</v>
      </c>
      <c r="X13672" t="s">
        <v>56061</v>
      </c>
    </row>
    <row r="13673" spans="1:24">
      <c r="A13673">
        <f>HYPERLINK("https://www.philgeps.gov.ph/GEPSNONPILOT/Tender/SplashBidNoticeAbstractUI.aspx?menuIndex=3&amp;refID=6862314&amp;Result=3","6862314")</f>
        <v>0</v>
      </c>
      <c r="B13673" t="s">
        <v>439</v>
      </c>
      <c r="C13673" t="s">
        <v>16491</v>
      </c>
      <c r="D13673" t="s">
        <v>16608</v>
      </c>
      <c r="E13673" t="s">
        <v>28556</v>
      </c>
      <c r="F13673" t="s">
        <v>28669</v>
      </c>
      <c r="G13673" t="s">
        <v>28675</v>
      </c>
      <c r="H13673" t="s">
        <v>28686</v>
      </c>
      <c r="I13673" t="s">
        <v>28689</v>
      </c>
      <c r="J13673" t="s">
        <v>37126</v>
      </c>
      <c r="K13673" t="s">
        <v>37218</v>
      </c>
      <c r="M13673" t="s">
        <v>37924</v>
      </c>
      <c r="N13673" t="s">
        <v>41249</v>
      </c>
      <c r="O13673" t="s">
        <v>41250</v>
      </c>
      <c r="Q13673">
        <v>117</v>
      </c>
      <c r="R13673" t="s">
        <v>41337</v>
      </c>
      <c r="S13673" t="s">
        <v>42566</v>
      </c>
      <c r="T13673" t="s">
        <v>42911</v>
      </c>
      <c r="U13673" t="s">
        <v>54158</v>
      </c>
      <c r="W13673" t="s">
        <v>37924</v>
      </c>
      <c r="X13673" t="s">
        <v>56062</v>
      </c>
    </row>
    <row r="13674" spans="1:24">
      <c r="A13674">
        <f>HYPERLINK("https://www.philgeps.gov.ph/GEPSNONPILOT/Tender/SplashBidNoticeAbstractUI.aspx?menuIndex=3&amp;refID=6880262&amp;Result=3","6880262")</f>
        <v>0</v>
      </c>
      <c r="B13674" t="s">
        <v>2365</v>
      </c>
      <c r="C13674" t="s">
        <v>16492</v>
      </c>
      <c r="D13674" t="s">
        <v>16628</v>
      </c>
      <c r="E13674" t="s">
        <v>28557</v>
      </c>
      <c r="F13674" t="s">
        <v>28669</v>
      </c>
      <c r="G13674" t="s">
        <v>28681</v>
      </c>
      <c r="H13674" t="s">
        <v>28685</v>
      </c>
      <c r="I13674" t="s">
        <v>28685</v>
      </c>
      <c r="J13674" t="s">
        <v>37127</v>
      </c>
      <c r="K13674" t="s">
        <v>37206</v>
      </c>
      <c r="M13674" t="s">
        <v>41232</v>
      </c>
      <c r="N13674" t="s">
        <v>41249</v>
      </c>
      <c r="O13674" t="s">
        <v>41250</v>
      </c>
      <c r="Q13674">
        <v>4</v>
      </c>
      <c r="R13674" t="s">
        <v>41333</v>
      </c>
      <c r="S13674" t="s">
        <v>42567</v>
      </c>
      <c r="T13674" t="s">
        <v>42764</v>
      </c>
      <c r="U13674" t="s">
        <v>54159</v>
      </c>
      <c r="V13674" t="s">
        <v>55885</v>
      </c>
      <c r="W13674" t="s">
        <v>41232</v>
      </c>
      <c r="X13674" t="s">
        <v>41334</v>
      </c>
    </row>
    <row r="13675" spans="1:24">
      <c r="A13675">
        <f>HYPERLINK("https://www.philgeps.gov.ph/GEPSNONPILOT/Tender/SplashBidNoticeAbstractUI.aspx?menuIndex=3&amp;refID=6855697&amp;Result=3","6855697")</f>
        <v>0</v>
      </c>
      <c r="B13675" t="s">
        <v>3315</v>
      </c>
      <c r="C13675" t="s">
        <v>16493</v>
      </c>
      <c r="D13675" t="s">
        <v>16608</v>
      </c>
      <c r="E13675" t="s">
        <v>28558</v>
      </c>
      <c r="F13675" t="s">
        <v>28669</v>
      </c>
      <c r="G13675" t="s">
        <v>28676</v>
      </c>
      <c r="H13675" t="s">
        <v>9998</v>
      </c>
      <c r="I13675" t="s">
        <v>5213</v>
      </c>
      <c r="J13675" t="s">
        <v>37128</v>
      </c>
      <c r="K13675" t="s">
        <v>37206</v>
      </c>
      <c r="M13675" t="s">
        <v>41220</v>
      </c>
      <c r="N13675" t="s">
        <v>41249</v>
      </c>
      <c r="O13675" t="s">
        <v>41250</v>
      </c>
      <c r="Q13675">
        <v>3</v>
      </c>
      <c r="R13675" t="s">
        <v>41338</v>
      </c>
      <c r="S13675" t="s">
        <v>41525</v>
      </c>
      <c r="T13675" t="s">
        <v>42679</v>
      </c>
      <c r="U13675" t="s">
        <v>54160</v>
      </c>
      <c r="W13675" t="s">
        <v>41220</v>
      </c>
      <c r="X13675" t="s">
        <v>41340</v>
      </c>
    </row>
    <row r="13676" spans="1:24">
      <c r="A13676">
        <f>HYPERLINK("https://www.philgeps.gov.ph/GEPSNONPILOT/Tender/SplashBidNoticeAbstractUI.aspx?menuIndex=3&amp;refID=6855622&amp;Result=3","6855622")</f>
        <v>0</v>
      </c>
      <c r="B13676" t="s">
        <v>727</v>
      </c>
      <c r="C13676" t="s">
        <v>16494</v>
      </c>
      <c r="D13676" t="s">
        <v>16661</v>
      </c>
      <c r="E13676" t="s">
        <v>28559</v>
      </c>
      <c r="F13676" t="s">
        <v>28669</v>
      </c>
      <c r="G13676" t="s">
        <v>28675</v>
      </c>
      <c r="H13676" t="s">
        <v>28686</v>
      </c>
      <c r="I13676" t="s">
        <v>28689</v>
      </c>
      <c r="J13676" t="s">
        <v>30195</v>
      </c>
      <c r="K13676" t="s">
        <v>37486</v>
      </c>
      <c r="M13676" t="s">
        <v>38235</v>
      </c>
      <c r="N13676" t="s">
        <v>41249</v>
      </c>
      <c r="O13676" t="s">
        <v>41250</v>
      </c>
      <c r="Q13676">
        <v>17</v>
      </c>
      <c r="R13676" t="s">
        <v>41338</v>
      </c>
      <c r="S13676" t="s">
        <v>42568</v>
      </c>
      <c r="T13676" t="s">
        <v>42714</v>
      </c>
      <c r="U13676" t="s">
        <v>54161</v>
      </c>
      <c r="W13676" t="s">
        <v>38235</v>
      </c>
      <c r="X13676" t="s">
        <v>41340</v>
      </c>
    </row>
    <row r="13677" spans="1:24">
      <c r="A13677">
        <f>HYPERLINK("https://www.philgeps.gov.ph/GEPSNONPILOT/Tender/SplashBidNoticeAbstractUI.aspx?menuIndex=3&amp;refID=6880250&amp;Result=3","6880250")</f>
        <v>0</v>
      </c>
      <c r="B13677" t="s">
        <v>3366</v>
      </c>
      <c r="C13677" t="s">
        <v>16495</v>
      </c>
      <c r="D13677" t="s">
        <v>16627</v>
      </c>
      <c r="E13677" t="s">
        <v>28560</v>
      </c>
      <c r="F13677" t="s">
        <v>28669</v>
      </c>
      <c r="G13677" t="s">
        <v>28675</v>
      </c>
      <c r="H13677" t="s">
        <v>9998</v>
      </c>
      <c r="I13677" t="s">
        <v>11593</v>
      </c>
      <c r="J13677" t="s">
        <v>37129</v>
      </c>
      <c r="K13677" t="s">
        <v>37210</v>
      </c>
      <c r="M13677" t="s">
        <v>41228</v>
      </c>
      <c r="N13677" t="s">
        <v>41249</v>
      </c>
      <c r="O13677" t="s">
        <v>41250</v>
      </c>
      <c r="Q13677">
        <v>13</v>
      </c>
      <c r="R13677" t="s">
        <v>41333</v>
      </c>
      <c r="S13677" t="s">
        <v>42569</v>
      </c>
      <c r="T13677" t="s">
        <v>42876</v>
      </c>
      <c r="U13677" t="s">
        <v>54149</v>
      </c>
      <c r="V13677" t="s">
        <v>54480</v>
      </c>
      <c r="W13677" t="s">
        <v>41228</v>
      </c>
      <c r="X13677" t="s">
        <v>41334</v>
      </c>
    </row>
    <row r="13678" spans="1:24">
      <c r="A13678">
        <f>HYPERLINK("https://www.philgeps.gov.ph/GEPSNONPILOT/Tender/SplashBidNoticeAbstractUI.aspx?menuIndex=3&amp;refID=6862423&amp;Result=3","6862423")</f>
        <v>0</v>
      </c>
      <c r="B13678" t="s">
        <v>439</v>
      </c>
      <c r="C13678" t="s">
        <v>16496</v>
      </c>
      <c r="D13678" t="s">
        <v>16608</v>
      </c>
      <c r="E13678" t="s">
        <v>28561</v>
      </c>
      <c r="F13678" t="s">
        <v>28669</v>
      </c>
      <c r="G13678" t="s">
        <v>28675</v>
      </c>
      <c r="H13678" t="s">
        <v>28686</v>
      </c>
      <c r="I13678" t="s">
        <v>28689</v>
      </c>
      <c r="J13678" t="s">
        <v>37130</v>
      </c>
      <c r="K13678" t="s">
        <v>37285</v>
      </c>
      <c r="M13678" t="s">
        <v>37924</v>
      </c>
      <c r="N13678" t="s">
        <v>41249</v>
      </c>
      <c r="O13678" t="s">
        <v>41250</v>
      </c>
      <c r="Q13678">
        <v>63</v>
      </c>
      <c r="R13678" t="s">
        <v>41337</v>
      </c>
      <c r="S13678" t="s">
        <v>42570</v>
      </c>
      <c r="T13678" t="s">
        <v>42929</v>
      </c>
      <c r="U13678" t="s">
        <v>54162</v>
      </c>
      <c r="W13678" t="s">
        <v>37924</v>
      </c>
      <c r="X13678" t="s">
        <v>56062</v>
      </c>
    </row>
    <row r="13679" spans="1:24">
      <c r="A13679">
        <f>HYPERLINK("https://www.philgeps.gov.ph/GEPSNONPILOT/Tender/SplashBidNoticeAbstractUI.aspx?menuIndex=3&amp;refID=6862360&amp;Result=3","6862360")</f>
        <v>0</v>
      </c>
      <c r="B13679" t="s">
        <v>439</v>
      </c>
      <c r="C13679" t="s">
        <v>16497</v>
      </c>
      <c r="D13679" t="s">
        <v>16608</v>
      </c>
      <c r="E13679" t="s">
        <v>28562</v>
      </c>
      <c r="F13679" t="s">
        <v>28669</v>
      </c>
      <c r="G13679" t="s">
        <v>28675</v>
      </c>
      <c r="H13679" t="s">
        <v>28686</v>
      </c>
      <c r="I13679" t="s">
        <v>28689</v>
      </c>
      <c r="J13679" t="s">
        <v>37131</v>
      </c>
      <c r="K13679" t="s">
        <v>37218</v>
      </c>
      <c r="M13679" t="s">
        <v>37924</v>
      </c>
      <c r="N13679" t="s">
        <v>41249</v>
      </c>
      <c r="O13679" t="s">
        <v>41250</v>
      </c>
      <c r="Q13679">
        <v>129</v>
      </c>
      <c r="R13679" t="s">
        <v>41337</v>
      </c>
      <c r="S13679" t="s">
        <v>42571</v>
      </c>
      <c r="T13679" t="s">
        <v>42911</v>
      </c>
      <c r="U13679" t="s">
        <v>54163</v>
      </c>
      <c r="W13679" t="s">
        <v>37924</v>
      </c>
      <c r="X13679" t="s">
        <v>56062</v>
      </c>
    </row>
    <row r="13680" spans="1:24">
      <c r="A13680">
        <f>HYPERLINK("https://www.philgeps.gov.ph/GEPSNONPILOT/Tender/SplashBidNoticeAbstractUI.aspx?menuIndex=3&amp;refID=6862248&amp;Result=3","6862248")</f>
        <v>0</v>
      </c>
      <c r="B13680" t="s">
        <v>439</v>
      </c>
      <c r="C13680" t="s">
        <v>16498</v>
      </c>
      <c r="D13680" t="s">
        <v>16608</v>
      </c>
      <c r="E13680" t="s">
        <v>28563</v>
      </c>
      <c r="F13680" t="s">
        <v>28669</v>
      </c>
      <c r="G13680" t="s">
        <v>28675</v>
      </c>
      <c r="H13680" t="s">
        <v>28686</v>
      </c>
      <c r="I13680" t="s">
        <v>28689</v>
      </c>
      <c r="J13680" t="s">
        <v>37132</v>
      </c>
      <c r="K13680" t="s">
        <v>37215</v>
      </c>
      <c r="M13680" t="s">
        <v>37924</v>
      </c>
      <c r="N13680" t="s">
        <v>41249</v>
      </c>
      <c r="O13680" t="s">
        <v>41250</v>
      </c>
      <c r="Q13680">
        <v>111</v>
      </c>
      <c r="R13680" t="s">
        <v>41337</v>
      </c>
      <c r="S13680" t="s">
        <v>42572</v>
      </c>
      <c r="T13680" t="s">
        <v>42911</v>
      </c>
      <c r="U13680" t="s">
        <v>54164</v>
      </c>
      <c r="W13680" t="s">
        <v>37924</v>
      </c>
      <c r="X13680" t="s">
        <v>56062</v>
      </c>
    </row>
    <row r="13681" spans="1:24">
      <c r="A13681">
        <f>HYPERLINK("https://www.philgeps.gov.ph/GEPSNONPILOT/Tender/SplashBidNoticeAbstractUI.aspx?menuIndex=3&amp;refID=6883608&amp;Result=3","6883608")</f>
        <v>0</v>
      </c>
      <c r="B13681" t="s">
        <v>689</v>
      </c>
      <c r="C13681" t="s">
        <v>16499</v>
      </c>
      <c r="E13681" t="s">
        <v>25127</v>
      </c>
      <c r="F13681" t="s">
        <v>28669</v>
      </c>
      <c r="G13681" t="s">
        <v>28675</v>
      </c>
      <c r="H13681" t="s">
        <v>9998</v>
      </c>
      <c r="I13681" t="s">
        <v>28687</v>
      </c>
      <c r="J13681" t="s">
        <v>37133</v>
      </c>
      <c r="K13681" t="s">
        <v>37209</v>
      </c>
      <c r="M13681" t="s">
        <v>41233</v>
      </c>
      <c r="N13681" t="s">
        <v>41249</v>
      </c>
      <c r="O13681" t="s">
        <v>41250</v>
      </c>
      <c r="Q13681">
        <v>13</v>
      </c>
      <c r="R13681" t="s">
        <v>41336</v>
      </c>
      <c r="S13681" t="s">
        <v>42573</v>
      </c>
      <c r="T13681" t="s">
        <v>42671</v>
      </c>
      <c r="U13681" t="s">
        <v>54165</v>
      </c>
      <c r="W13681" t="s">
        <v>41233</v>
      </c>
      <c r="X13681" t="s">
        <v>41333</v>
      </c>
    </row>
    <row r="13682" spans="1:24">
      <c r="A13682">
        <f>HYPERLINK("https://www.philgeps.gov.ph/GEPSNONPILOT/Tender/SplashBidNoticeAbstractUI.aspx?menuIndex=3&amp;refID=6862235&amp;Result=3","6862235")</f>
        <v>0</v>
      </c>
      <c r="B13682" t="s">
        <v>439</v>
      </c>
      <c r="C13682" t="s">
        <v>16500</v>
      </c>
      <c r="D13682" t="s">
        <v>16608</v>
      </c>
      <c r="E13682" t="s">
        <v>28564</v>
      </c>
      <c r="F13682" t="s">
        <v>28669</v>
      </c>
      <c r="G13682" t="s">
        <v>28675</v>
      </c>
      <c r="H13682" t="s">
        <v>28686</v>
      </c>
      <c r="I13682" t="s">
        <v>28689</v>
      </c>
      <c r="J13682" t="s">
        <v>37134</v>
      </c>
      <c r="K13682" t="s">
        <v>37220</v>
      </c>
      <c r="M13682" t="s">
        <v>37924</v>
      </c>
      <c r="N13682" t="s">
        <v>41249</v>
      </c>
      <c r="O13682" t="s">
        <v>41250</v>
      </c>
      <c r="Q13682">
        <v>86</v>
      </c>
      <c r="R13682" t="s">
        <v>41337</v>
      </c>
      <c r="S13682" t="s">
        <v>42574</v>
      </c>
      <c r="T13682" t="s">
        <v>42911</v>
      </c>
      <c r="U13682" t="s">
        <v>54166</v>
      </c>
      <c r="W13682" t="s">
        <v>37924</v>
      </c>
      <c r="X13682" t="s">
        <v>56062</v>
      </c>
    </row>
    <row r="13683" spans="1:24">
      <c r="A13683">
        <f>HYPERLINK("https://www.philgeps.gov.ph/GEPSNONPILOT/Tender/SplashBidNoticeAbstractUI.aspx?menuIndex=3&amp;refID=6865257&amp;Result=3","6865257")</f>
        <v>0</v>
      </c>
      <c r="B13683" t="s">
        <v>1976</v>
      </c>
      <c r="C13683" t="s">
        <v>16501</v>
      </c>
      <c r="E13683" t="s">
        <v>28565</v>
      </c>
      <c r="F13683" t="s">
        <v>28669</v>
      </c>
      <c r="G13683" t="s">
        <v>28675</v>
      </c>
      <c r="H13683" t="s">
        <v>28686</v>
      </c>
      <c r="I13683" t="s">
        <v>28689</v>
      </c>
      <c r="J13683" t="s">
        <v>37135</v>
      </c>
      <c r="K13683" t="s">
        <v>37209</v>
      </c>
      <c r="M13683" t="s">
        <v>39610</v>
      </c>
      <c r="N13683" t="s">
        <v>41249</v>
      </c>
      <c r="O13683" t="s">
        <v>41250</v>
      </c>
      <c r="Q13683">
        <v>84</v>
      </c>
      <c r="R13683" t="s">
        <v>41339</v>
      </c>
      <c r="S13683" t="s">
        <v>42575</v>
      </c>
      <c r="T13683" t="s">
        <v>42704</v>
      </c>
      <c r="U13683" t="s">
        <v>48752</v>
      </c>
      <c r="W13683" t="s">
        <v>55982</v>
      </c>
      <c r="X13683" t="s">
        <v>41337</v>
      </c>
    </row>
    <row r="13684" spans="1:24">
      <c r="A13684">
        <f>HYPERLINK("https://www.philgeps.gov.ph/GEPSNONPILOT/Tender/SplashBidNoticeAbstractUI.aspx?menuIndex=3&amp;refID=6864471&amp;Result=3","6864471")</f>
        <v>0</v>
      </c>
      <c r="B13684" t="s">
        <v>703</v>
      </c>
      <c r="C13684" t="s">
        <v>16502</v>
      </c>
      <c r="E13684" t="s">
        <v>28566</v>
      </c>
      <c r="F13684" t="s">
        <v>28669</v>
      </c>
      <c r="G13684" t="s">
        <v>28675</v>
      </c>
      <c r="H13684" t="s">
        <v>28686</v>
      </c>
      <c r="I13684" t="s">
        <v>28689</v>
      </c>
      <c r="J13684" t="s">
        <v>37136</v>
      </c>
      <c r="K13684" t="s">
        <v>37209</v>
      </c>
      <c r="M13684" t="s">
        <v>41234</v>
      </c>
      <c r="N13684" t="s">
        <v>41249</v>
      </c>
      <c r="O13684" t="s">
        <v>41250</v>
      </c>
      <c r="Q13684">
        <v>15</v>
      </c>
      <c r="R13684" t="s">
        <v>41339</v>
      </c>
      <c r="S13684" t="s">
        <v>42418</v>
      </c>
      <c r="T13684" t="s">
        <v>42927</v>
      </c>
      <c r="U13684" t="s">
        <v>54167</v>
      </c>
      <c r="W13684" t="s">
        <v>40830</v>
      </c>
      <c r="X13684" t="s">
        <v>41337</v>
      </c>
    </row>
    <row r="13685" spans="1:24">
      <c r="A13685">
        <f>HYPERLINK("https://www.philgeps.gov.ph/GEPSNONPILOT/Tender/SplashBidNoticeAbstractUI.aspx?menuIndex=3&amp;refID=6863861&amp;Result=3","6863861")</f>
        <v>0</v>
      </c>
      <c r="B13685" t="s">
        <v>3367</v>
      </c>
      <c r="C13685" t="s">
        <v>16503</v>
      </c>
      <c r="D13685" t="s">
        <v>16684</v>
      </c>
      <c r="E13685" t="s">
        <v>28567</v>
      </c>
      <c r="F13685" t="s">
        <v>28669</v>
      </c>
      <c r="G13685" t="s">
        <v>28675</v>
      </c>
      <c r="H13685" t="s">
        <v>28686</v>
      </c>
      <c r="I13685" t="s">
        <v>28689</v>
      </c>
      <c r="J13685" t="s">
        <v>37137</v>
      </c>
      <c r="K13685" t="s">
        <v>37215</v>
      </c>
      <c r="M13685" t="s">
        <v>41235</v>
      </c>
      <c r="N13685" t="s">
        <v>41249</v>
      </c>
      <c r="O13685" t="s">
        <v>41250</v>
      </c>
      <c r="Q13685">
        <v>5</v>
      </c>
      <c r="R13685" t="s">
        <v>41339</v>
      </c>
      <c r="S13685" t="s">
        <v>42576</v>
      </c>
      <c r="T13685" t="s">
        <v>43185</v>
      </c>
      <c r="U13685" t="s">
        <v>54168</v>
      </c>
      <c r="W13685" t="s">
        <v>41235</v>
      </c>
      <c r="X13685" t="s">
        <v>41337</v>
      </c>
    </row>
    <row r="13686" spans="1:24">
      <c r="A13686">
        <f>HYPERLINK("https://www.philgeps.gov.ph/GEPSNONPILOT/Tender/SplashBidNoticeAbstractUI.aspx?menuIndex=3&amp;refID=6880886&amp;Result=3","6880886")</f>
        <v>0</v>
      </c>
      <c r="B13686" t="s">
        <v>3366</v>
      </c>
      <c r="C13686" t="s">
        <v>16504</v>
      </c>
      <c r="D13686" t="s">
        <v>16627</v>
      </c>
      <c r="E13686" t="s">
        <v>28568</v>
      </c>
      <c r="F13686" t="s">
        <v>28669</v>
      </c>
      <c r="G13686" t="s">
        <v>28675</v>
      </c>
      <c r="H13686" t="s">
        <v>9998</v>
      </c>
      <c r="I13686" t="s">
        <v>28693</v>
      </c>
      <c r="J13686" t="s">
        <v>36028</v>
      </c>
      <c r="K13686" t="s">
        <v>37205</v>
      </c>
      <c r="M13686" t="s">
        <v>41230</v>
      </c>
      <c r="N13686" t="s">
        <v>41249</v>
      </c>
      <c r="O13686" t="s">
        <v>41250</v>
      </c>
      <c r="Q13686">
        <v>12</v>
      </c>
      <c r="R13686" t="s">
        <v>41333</v>
      </c>
      <c r="S13686" t="s">
        <v>42577</v>
      </c>
      <c r="T13686" t="s">
        <v>42876</v>
      </c>
      <c r="U13686" t="s">
        <v>54152</v>
      </c>
      <c r="V13686" t="s">
        <v>54480</v>
      </c>
      <c r="W13686" t="s">
        <v>41230</v>
      </c>
      <c r="X13686" t="s">
        <v>41334</v>
      </c>
    </row>
    <row r="13687" spans="1:24">
      <c r="A13687">
        <f>HYPERLINK("https://www.philgeps.gov.ph/GEPSNONPILOT/Tender/SplashBidNoticeAbstractUI.aspx?menuIndex=3&amp;refID=6852094&amp;Result=3","6852094")</f>
        <v>0</v>
      </c>
      <c r="B13687" t="s">
        <v>2800</v>
      </c>
      <c r="C13687" t="s">
        <v>16505</v>
      </c>
      <c r="D13687" t="s">
        <v>16657</v>
      </c>
      <c r="E13687" t="s">
        <v>16505</v>
      </c>
      <c r="F13687" t="s">
        <v>28669</v>
      </c>
      <c r="G13687" t="s">
        <v>28676</v>
      </c>
      <c r="H13687" t="s">
        <v>9998</v>
      </c>
      <c r="I13687" t="s">
        <v>28717</v>
      </c>
      <c r="J13687" t="s">
        <v>37138</v>
      </c>
      <c r="K13687" t="s">
        <v>37209</v>
      </c>
      <c r="M13687" t="s">
        <v>41236</v>
      </c>
      <c r="N13687" t="s">
        <v>41249</v>
      </c>
      <c r="O13687" t="s">
        <v>41250</v>
      </c>
      <c r="Q13687">
        <v>3</v>
      </c>
      <c r="R13687" t="s">
        <v>41340</v>
      </c>
      <c r="S13687" t="s">
        <v>42578</v>
      </c>
      <c r="T13687" t="s">
        <v>42767</v>
      </c>
      <c r="U13687" t="s">
        <v>54169</v>
      </c>
      <c r="W13687" t="s">
        <v>41236</v>
      </c>
      <c r="X13687" t="s">
        <v>41347</v>
      </c>
    </row>
    <row r="13688" spans="1:24">
      <c r="A13688">
        <f>HYPERLINK("https://www.philgeps.gov.ph/GEPSNONPILOT/Tender/SplashBidNoticeAbstractUI.aspx?menuIndex=3&amp;refID=6862279&amp;Result=3","6862279")</f>
        <v>0</v>
      </c>
      <c r="B13688" t="s">
        <v>439</v>
      </c>
      <c r="C13688" t="s">
        <v>16506</v>
      </c>
      <c r="D13688" t="s">
        <v>16608</v>
      </c>
      <c r="E13688" t="s">
        <v>28569</v>
      </c>
      <c r="F13688" t="s">
        <v>28669</v>
      </c>
      <c r="G13688" t="s">
        <v>28675</v>
      </c>
      <c r="H13688" t="s">
        <v>28686</v>
      </c>
      <c r="I13688" t="s">
        <v>28689</v>
      </c>
      <c r="J13688" t="s">
        <v>37139</v>
      </c>
      <c r="K13688" t="s">
        <v>37212</v>
      </c>
      <c r="M13688" t="s">
        <v>37924</v>
      </c>
      <c r="N13688" t="s">
        <v>41249</v>
      </c>
      <c r="O13688" t="s">
        <v>41250</v>
      </c>
      <c r="Q13688">
        <v>111</v>
      </c>
      <c r="R13688" t="s">
        <v>41337</v>
      </c>
      <c r="S13688" t="s">
        <v>42579</v>
      </c>
      <c r="T13688" t="s">
        <v>42911</v>
      </c>
      <c r="U13688" t="s">
        <v>54170</v>
      </c>
      <c r="W13688" t="s">
        <v>37924</v>
      </c>
      <c r="X13688" t="s">
        <v>56062</v>
      </c>
    </row>
    <row r="13689" spans="1:24">
      <c r="A13689">
        <f>HYPERLINK("https://www.philgeps.gov.ph/GEPSNONPILOT/Tender/SplashBidNoticeAbstractUI.aspx?menuIndex=3&amp;refID=6825173&amp;Result=3","6825173")</f>
        <v>0</v>
      </c>
      <c r="B13689" t="s">
        <v>439</v>
      </c>
      <c r="C13689" t="s">
        <v>16507</v>
      </c>
      <c r="E13689" t="s">
        <v>28570</v>
      </c>
      <c r="F13689" t="s">
        <v>28669</v>
      </c>
      <c r="G13689" t="s">
        <v>28675</v>
      </c>
      <c r="H13689" t="s">
        <v>28686</v>
      </c>
      <c r="I13689" t="s">
        <v>28689</v>
      </c>
      <c r="J13689" t="s">
        <v>37140</v>
      </c>
      <c r="K13689" t="s">
        <v>37211</v>
      </c>
      <c r="M13689" t="s">
        <v>37924</v>
      </c>
      <c r="N13689" t="s">
        <v>41249</v>
      </c>
      <c r="O13689" t="s">
        <v>41250</v>
      </c>
      <c r="Q13689">
        <v>112</v>
      </c>
      <c r="R13689" t="s">
        <v>41341</v>
      </c>
      <c r="S13689" t="s">
        <v>42580</v>
      </c>
      <c r="T13689" t="s">
        <v>42911</v>
      </c>
      <c r="U13689" t="s">
        <v>54171</v>
      </c>
      <c r="W13689" t="s">
        <v>37924</v>
      </c>
      <c r="X13689" t="s">
        <v>41358</v>
      </c>
    </row>
    <row r="13690" spans="1:24">
      <c r="A13690">
        <f>HYPERLINK("https://www.philgeps.gov.ph/GEPSNONPILOT/Tender/SplashBidNoticeAbstractUI.aspx?menuIndex=3&amp;refID=6831598&amp;Result=3","6831598")</f>
        <v>0</v>
      </c>
      <c r="B13690" t="s">
        <v>2586</v>
      </c>
      <c r="C13690" t="s">
        <v>16508</v>
      </c>
      <c r="D13690" t="s">
        <v>16627</v>
      </c>
      <c r="E13690" t="s">
        <v>28571</v>
      </c>
      <c r="F13690" t="s">
        <v>28669</v>
      </c>
      <c r="G13690" t="s">
        <v>28675</v>
      </c>
      <c r="H13690" t="s">
        <v>28686</v>
      </c>
      <c r="I13690" t="s">
        <v>28689</v>
      </c>
      <c r="J13690" t="s">
        <v>30289</v>
      </c>
      <c r="K13690" t="s">
        <v>37220</v>
      </c>
      <c r="M13690" t="s">
        <v>40281</v>
      </c>
      <c r="N13690" t="s">
        <v>41249</v>
      </c>
      <c r="O13690" t="s">
        <v>41250</v>
      </c>
      <c r="Q13690">
        <v>3</v>
      </c>
      <c r="R13690" t="s">
        <v>41342</v>
      </c>
      <c r="S13690" t="s">
        <v>42581</v>
      </c>
      <c r="T13690" t="s">
        <v>42736</v>
      </c>
      <c r="U13690" t="s">
        <v>48527</v>
      </c>
      <c r="W13690" t="s">
        <v>40281</v>
      </c>
      <c r="X13690" t="s">
        <v>41343</v>
      </c>
    </row>
    <row r="13691" spans="1:24">
      <c r="A13691">
        <f>HYPERLINK("https://www.philgeps.gov.ph/GEPSNONPILOT/Tender/SplashBidNoticeAbstractUI.aspx?menuIndex=3&amp;refID=6862407&amp;Result=3","6862407")</f>
        <v>0</v>
      </c>
      <c r="B13691" t="s">
        <v>439</v>
      </c>
      <c r="C13691" t="s">
        <v>16509</v>
      </c>
      <c r="D13691" t="s">
        <v>16608</v>
      </c>
      <c r="E13691" t="s">
        <v>28572</v>
      </c>
      <c r="F13691" t="s">
        <v>28669</v>
      </c>
      <c r="G13691" t="s">
        <v>28675</v>
      </c>
      <c r="H13691" t="s">
        <v>28686</v>
      </c>
      <c r="I13691" t="s">
        <v>28689</v>
      </c>
      <c r="J13691" t="s">
        <v>37141</v>
      </c>
      <c r="K13691" t="s">
        <v>37285</v>
      </c>
      <c r="M13691" t="s">
        <v>37924</v>
      </c>
      <c r="N13691" t="s">
        <v>41249</v>
      </c>
      <c r="O13691" t="s">
        <v>41250</v>
      </c>
      <c r="Q13691">
        <v>61</v>
      </c>
      <c r="R13691" t="s">
        <v>41337</v>
      </c>
      <c r="S13691" t="s">
        <v>42582</v>
      </c>
      <c r="T13691" t="s">
        <v>42929</v>
      </c>
      <c r="U13691" t="s">
        <v>54172</v>
      </c>
      <c r="W13691" t="s">
        <v>37924</v>
      </c>
      <c r="X13691" t="s">
        <v>56062</v>
      </c>
    </row>
    <row r="13692" spans="1:24">
      <c r="A13692">
        <f>HYPERLINK("https://www.philgeps.gov.ph/GEPSNONPILOT/Tender/SplashBidNoticeAbstractUI.aspx?menuIndex=3&amp;refID=6864422&amp;Result=3","6864422")</f>
        <v>0</v>
      </c>
      <c r="B13692" t="s">
        <v>703</v>
      </c>
      <c r="C13692" t="s">
        <v>16510</v>
      </c>
      <c r="E13692" t="s">
        <v>28573</v>
      </c>
      <c r="F13692" t="s">
        <v>28669</v>
      </c>
      <c r="G13692" t="s">
        <v>28675</v>
      </c>
      <c r="H13692" t="s">
        <v>28686</v>
      </c>
      <c r="I13692" t="s">
        <v>28689</v>
      </c>
      <c r="J13692" t="s">
        <v>37142</v>
      </c>
      <c r="K13692" t="s">
        <v>37209</v>
      </c>
      <c r="M13692" t="s">
        <v>38209</v>
      </c>
      <c r="N13692" t="s">
        <v>41249</v>
      </c>
      <c r="O13692" t="s">
        <v>41250</v>
      </c>
      <c r="Q13692">
        <v>26</v>
      </c>
      <c r="R13692" t="s">
        <v>41339</v>
      </c>
      <c r="S13692" t="s">
        <v>42583</v>
      </c>
      <c r="T13692" t="s">
        <v>42927</v>
      </c>
      <c r="U13692" t="s">
        <v>54173</v>
      </c>
      <c r="W13692" t="s">
        <v>40830</v>
      </c>
      <c r="X13692" t="s">
        <v>41337</v>
      </c>
    </row>
    <row r="13693" spans="1:24">
      <c r="A13693">
        <f>HYPERLINK("https://www.philgeps.gov.ph/GEPSNONPILOT/Tender/SplashBidNoticeAbstractUI.aspx?menuIndex=3&amp;refID=6831561&amp;Result=3","6831561")</f>
        <v>0</v>
      </c>
      <c r="B13693" t="s">
        <v>2586</v>
      </c>
      <c r="C13693" t="s">
        <v>16511</v>
      </c>
      <c r="D13693" t="s">
        <v>16627</v>
      </c>
      <c r="E13693" t="s">
        <v>28574</v>
      </c>
      <c r="F13693" t="s">
        <v>28669</v>
      </c>
      <c r="G13693" t="s">
        <v>28675</v>
      </c>
      <c r="H13693" t="s">
        <v>28686</v>
      </c>
      <c r="I13693" t="s">
        <v>28689</v>
      </c>
      <c r="J13693" t="s">
        <v>31313</v>
      </c>
      <c r="K13693" t="s">
        <v>37206</v>
      </c>
      <c r="M13693" t="s">
        <v>40281</v>
      </c>
      <c r="N13693" t="s">
        <v>41249</v>
      </c>
      <c r="O13693" t="s">
        <v>41250</v>
      </c>
      <c r="Q13693">
        <v>1</v>
      </c>
      <c r="R13693" t="s">
        <v>41342</v>
      </c>
      <c r="S13693" t="s">
        <v>42584</v>
      </c>
      <c r="T13693" t="s">
        <v>42736</v>
      </c>
      <c r="U13693" t="s">
        <v>48527</v>
      </c>
      <c r="W13693" t="s">
        <v>40281</v>
      </c>
      <c r="X13693" t="s">
        <v>41343</v>
      </c>
    </row>
    <row r="13694" spans="1:24">
      <c r="A13694">
        <f>HYPERLINK("https://www.philgeps.gov.ph/GEPSNONPILOT/Tender/SplashBidNoticeAbstractUI.aspx?menuIndex=3&amp;refID=6828937&amp;Result=3","6828937")</f>
        <v>0</v>
      </c>
      <c r="B13694" t="s">
        <v>688</v>
      </c>
      <c r="C13694" t="s">
        <v>16512</v>
      </c>
      <c r="D13694" t="s">
        <v>16619</v>
      </c>
      <c r="E13694" t="s">
        <v>28575</v>
      </c>
      <c r="F13694" t="s">
        <v>28669</v>
      </c>
      <c r="G13694" t="s">
        <v>28675</v>
      </c>
      <c r="H13694" t="s">
        <v>28686</v>
      </c>
      <c r="I13694" t="s">
        <v>28689</v>
      </c>
      <c r="J13694" t="s">
        <v>37143</v>
      </c>
      <c r="K13694" t="s">
        <v>37285</v>
      </c>
      <c r="M13694" t="s">
        <v>39665</v>
      </c>
      <c r="N13694" t="s">
        <v>41249</v>
      </c>
      <c r="O13694" t="s">
        <v>41250</v>
      </c>
      <c r="Q13694">
        <v>10</v>
      </c>
      <c r="R13694" t="s">
        <v>41343</v>
      </c>
      <c r="S13694" t="s">
        <v>41862</v>
      </c>
      <c r="T13694" t="s">
        <v>42911</v>
      </c>
      <c r="U13694" t="s">
        <v>54174</v>
      </c>
      <c r="W13694" t="s">
        <v>39665</v>
      </c>
      <c r="X13694" t="s">
        <v>41341</v>
      </c>
    </row>
    <row r="13695" spans="1:24">
      <c r="A13695">
        <f>HYPERLINK("https://www.philgeps.gov.ph/GEPSNONPILOT/Tender/SplashBidNoticeAbstractUI.aspx?menuIndex=3&amp;refID=6841147&amp;Result=3","6841147")</f>
        <v>0</v>
      </c>
      <c r="B13695" t="s">
        <v>439</v>
      </c>
      <c r="C13695" t="s">
        <v>16513</v>
      </c>
      <c r="D13695" t="s">
        <v>16608</v>
      </c>
      <c r="E13695" t="s">
        <v>28576</v>
      </c>
      <c r="F13695" t="s">
        <v>28669</v>
      </c>
      <c r="G13695" t="s">
        <v>28675</v>
      </c>
      <c r="H13695" t="s">
        <v>28686</v>
      </c>
      <c r="I13695" t="s">
        <v>28689</v>
      </c>
      <c r="J13695" t="s">
        <v>37144</v>
      </c>
      <c r="K13695" t="s">
        <v>37218</v>
      </c>
      <c r="M13695" t="s">
        <v>37924</v>
      </c>
      <c r="N13695" t="s">
        <v>41249</v>
      </c>
      <c r="O13695" t="s">
        <v>41250</v>
      </c>
      <c r="Q13695">
        <v>112</v>
      </c>
      <c r="R13695" t="s">
        <v>41344</v>
      </c>
      <c r="S13695" t="s">
        <v>42585</v>
      </c>
      <c r="T13695" t="s">
        <v>42911</v>
      </c>
      <c r="U13695" t="s">
        <v>54175</v>
      </c>
      <c r="W13695" t="s">
        <v>37924</v>
      </c>
      <c r="X13695" t="s">
        <v>41345</v>
      </c>
    </row>
    <row r="13696" spans="1:24">
      <c r="A13696">
        <f>HYPERLINK("https://www.philgeps.gov.ph/GEPSNONPILOT/Tender/SplashBidNoticeAbstractUI.aspx?menuIndex=3&amp;refID=6903358&amp;Result=3","6903358")</f>
        <v>0</v>
      </c>
      <c r="B13696" t="s">
        <v>1697</v>
      </c>
      <c r="C13696" t="s">
        <v>16514</v>
      </c>
      <c r="D13696" t="s">
        <v>16636</v>
      </c>
      <c r="E13696" t="s">
        <v>28577</v>
      </c>
      <c r="F13696" t="s">
        <v>28669</v>
      </c>
      <c r="G13696" t="s">
        <v>28682</v>
      </c>
      <c r="H13696" t="s">
        <v>28685</v>
      </c>
      <c r="I13696" t="s">
        <v>28685</v>
      </c>
      <c r="J13696" t="s">
        <v>29069</v>
      </c>
      <c r="K13696" t="s">
        <v>37209</v>
      </c>
      <c r="L13696" t="s">
        <v>1697</v>
      </c>
      <c r="M13696" t="s">
        <v>39297</v>
      </c>
      <c r="N13696" t="s">
        <v>41249</v>
      </c>
      <c r="O13696" t="s">
        <v>41250</v>
      </c>
      <c r="Q13696">
        <v>13</v>
      </c>
      <c r="R13696" t="s">
        <v>41332</v>
      </c>
      <c r="S13696" t="s">
        <v>42586</v>
      </c>
      <c r="T13696" t="s">
        <v>42754</v>
      </c>
      <c r="U13696" t="s">
        <v>54176</v>
      </c>
      <c r="W13696" t="s">
        <v>39297</v>
      </c>
      <c r="X13696" t="s">
        <v>56042</v>
      </c>
    </row>
    <row r="13697" spans="1:24">
      <c r="A13697">
        <f>HYPERLINK("https://www.philgeps.gov.ph/GEPSNONPILOT/Tender/SplashBidNoticeAbstractUI.aspx?menuIndex=3&amp;refID=6831558&amp;Result=3","6831558")</f>
        <v>0</v>
      </c>
      <c r="B13697" t="s">
        <v>2586</v>
      </c>
      <c r="C13697" t="s">
        <v>16515</v>
      </c>
      <c r="D13697" t="s">
        <v>16627</v>
      </c>
      <c r="E13697" t="s">
        <v>28578</v>
      </c>
      <c r="F13697" t="s">
        <v>28669</v>
      </c>
      <c r="G13697" t="s">
        <v>28675</v>
      </c>
      <c r="H13697" t="s">
        <v>28686</v>
      </c>
      <c r="I13697" t="s">
        <v>28689</v>
      </c>
      <c r="J13697" t="s">
        <v>31313</v>
      </c>
      <c r="K13697" t="s">
        <v>37207</v>
      </c>
      <c r="M13697" t="s">
        <v>40281</v>
      </c>
      <c r="N13697" t="s">
        <v>41249</v>
      </c>
      <c r="O13697" t="s">
        <v>41250</v>
      </c>
      <c r="Q13697">
        <v>3</v>
      </c>
      <c r="R13697" t="s">
        <v>41342</v>
      </c>
      <c r="S13697" t="s">
        <v>42318</v>
      </c>
      <c r="T13697" t="s">
        <v>42736</v>
      </c>
      <c r="U13697" t="s">
        <v>48527</v>
      </c>
      <c r="W13697" t="s">
        <v>40281</v>
      </c>
      <c r="X13697" t="s">
        <v>41343</v>
      </c>
    </row>
    <row r="13698" spans="1:24">
      <c r="A13698">
        <f>HYPERLINK("https://www.philgeps.gov.ph/GEPSNONPILOT/Tender/SplashBidNoticeAbstractUI.aspx?menuIndex=3&amp;refID=6840310&amp;Result=3","6840310")</f>
        <v>0</v>
      </c>
      <c r="B13698" t="s">
        <v>107</v>
      </c>
      <c r="C13698" t="s">
        <v>16516</v>
      </c>
      <c r="D13698" t="s">
        <v>16657</v>
      </c>
      <c r="E13698" t="s">
        <v>28579</v>
      </c>
      <c r="F13698" t="s">
        <v>28669</v>
      </c>
      <c r="G13698" t="s">
        <v>28675</v>
      </c>
      <c r="H13698" t="s">
        <v>28686</v>
      </c>
      <c r="I13698" t="s">
        <v>28689</v>
      </c>
      <c r="J13698" t="s">
        <v>37145</v>
      </c>
      <c r="K13698" t="s">
        <v>37352</v>
      </c>
      <c r="M13698" t="s">
        <v>37583</v>
      </c>
      <c r="N13698" t="s">
        <v>41249</v>
      </c>
      <c r="O13698" t="s">
        <v>41250</v>
      </c>
      <c r="Q13698">
        <v>40</v>
      </c>
      <c r="R13698" t="s">
        <v>41344</v>
      </c>
      <c r="S13698" t="s">
        <v>42587</v>
      </c>
      <c r="T13698" t="s">
        <v>42661</v>
      </c>
      <c r="U13698" t="s">
        <v>54177</v>
      </c>
      <c r="V13698" t="s">
        <v>55886</v>
      </c>
      <c r="W13698" t="s">
        <v>37583</v>
      </c>
      <c r="X13698" t="s">
        <v>41345</v>
      </c>
    </row>
    <row r="13699" spans="1:24">
      <c r="A13699">
        <f>HYPERLINK("https://www.philgeps.gov.ph/GEPSNONPILOT/Tender/SplashBidNoticeAbstractUI.aspx?menuIndex=3&amp;refID=6835471&amp;Result=3","6835471")</f>
        <v>0</v>
      </c>
      <c r="B13699" t="s">
        <v>700</v>
      </c>
      <c r="C13699" t="s">
        <v>16517</v>
      </c>
      <c r="D13699" t="s">
        <v>16620</v>
      </c>
      <c r="E13699" t="s">
        <v>28580</v>
      </c>
      <c r="F13699" t="s">
        <v>28669</v>
      </c>
      <c r="G13699" t="s">
        <v>28675</v>
      </c>
      <c r="H13699" t="s">
        <v>28686</v>
      </c>
      <c r="I13699" t="s">
        <v>28689</v>
      </c>
      <c r="J13699" t="s">
        <v>31197</v>
      </c>
      <c r="K13699" t="s">
        <v>37350</v>
      </c>
      <c r="M13699" t="s">
        <v>38206</v>
      </c>
      <c r="N13699" t="s">
        <v>41249</v>
      </c>
      <c r="O13699" t="s">
        <v>41250</v>
      </c>
      <c r="Q13699">
        <v>7</v>
      </c>
      <c r="R13699" t="s">
        <v>41345</v>
      </c>
      <c r="S13699" t="s">
        <v>42588</v>
      </c>
      <c r="T13699" t="s">
        <v>42727</v>
      </c>
      <c r="U13699" t="s">
        <v>54178</v>
      </c>
      <c r="V13699" t="s">
        <v>55887</v>
      </c>
      <c r="W13699" t="s">
        <v>38206</v>
      </c>
      <c r="X13699" t="s">
        <v>56063</v>
      </c>
    </row>
    <row r="13700" spans="1:24">
      <c r="A13700">
        <f>HYPERLINK("https://www.philgeps.gov.ph/GEPSNONPILOT/Tender/SplashBidNoticeAbstractUI.aspx?menuIndex=3&amp;refID=6844300&amp;Result=3","6844300")</f>
        <v>0</v>
      </c>
      <c r="B13700" t="s">
        <v>427</v>
      </c>
      <c r="C13700" t="s">
        <v>16518</v>
      </c>
      <c r="D13700" t="s">
        <v>16608</v>
      </c>
      <c r="E13700" t="s">
        <v>28581</v>
      </c>
      <c r="F13700" t="s">
        <v>28669</v>
      </c>
      <c r="G13700" t="s">
        <v>28675</v>
      </c>
      <c r="H13700" t="s">
        <v>28686</v>
      </c>
      <c r="I13700" t="s">
        <v>28689</v>
      </c>
      <c r="J13700" t="s">
        <v>29069</v>
      </c>
      <c r="K13700" t="s">
        <v>37221</v>
      </c>
      <c r="M13700" t="s">
        <v>41237</v>
      </c>
      <c r="N13700" t="s">
        <v>41249</v>
      </c>
      <c r="O13700" t="s">
        <v>41250</v>
      </c>
      <c r="Q13700">
        <v>25</v>
      </c>
      <c r="R13700" t="s">
        <v>41346</v>
      </c>
      <c r="S13700" t="s">
        <v>42589</v>
      </c>
      <c r="T13700" t="s">
        <v>42698</v>
      </c>
      <c r="U13700" t="s">
        <v>54179</v>
      </c>
      <c r="W13700" t="s">
        <v>56039</v>
      </c>
      <c r="X13700" t="s">
        <v>41344</v>
      </c>
    </row>
    <row r="13701" spans="1:24">
      <c r="A13701">
        <f>HYPERLINK("https://www.philgeps.gov.ph/GEPSNONPILOT/Tender/SplashBidNoticeAbstractUI.aspx?menuIndex=3&amp;refID=6843474&amp;Result=3","6843474")</f>
        <v>0</v>
      </c>
      <c r="B13701" t="s">
        <v>989</v>
      </c>
      <c r="C13701" t="s">
        <v>16519</v>
      </c>
      <c r="D13701" t="s">
        <v>16679</v>
      </c>
      <c r="E13701" t="s">
        <v>28582</v>
      </c>
      <c r="F13701" t="s">
        <v>28669</v>
      </c>
      <c r="G13701" t="s">
        <v>28675</v>
      </c>
      <c r="H13701" t="s">
        <v>28685</v>
      </c>
      <c r="I13701" t="s">
        <v>28685</v>
      </c>
      <c r="J13701" t="s">
        <v>37146</v>
      </c>
      <c r="K13701" t="s">
        <v>37299</v>
      </c>
      <c r="M13701" t="s">
        <v>41203</v>
      </c>
      <c r="N13701" t="s">
        <v>41249</v>
      </c>
      <c r="O13701" t="s">
        <v>41250</v>
      </c>
      <c r="Q13701">
        <v>10</v>
      </c>
      <c r="R13701" t="s">
        <v>41346</v>
      </c>
      <c r="S13701" t="s">
        <v>42259</v>
      </c>
      <c r="T13701" t="s">
        <v>43186</v>
      </c>
      <c r="U13701" t="s">
        <v>54180</v>
      </c>
      <c r="W13701" t="s">
        <v>41203</v>
      </c>
      <c r="X13701" t="s">
        <v>41344</v>
      </c>
    </row>
    <row r="13702" spans="1:24">
      <c r="A13702">
        <f>HYPERLINK("https://www.philgeps.gov.ph/GEPSNONPILOT/Tender/SplashBidNoticeAbstractUI.aspx?menuIndex=3&amp;refID=6841178&amp;Result=3","6841178")</f>
        <v>0</v>
      </c>
      <c r="B13702" t="s">
        <v>989</v>
      </c>
      <c r="C13702" t="s">
        <v>16520</v>
      </c>
      <c r="D13702" t="s">
        <v>16679</v>
      </c>
      <c r="E13702" t="s">
        <v>28583</v>
      </c>
      <c r="F13702" t="s">
        <v>28669</v>
      </c>
      <c r="G13702" t="s">
        <v>28675</v>
      </c>
      <c r="H13702" t="s">
        <v>9998</v>
      </c>
      <c r="I13702" t="s">
        <v>28728</v>
      </c>
      <c r="J13702" t="s">
        <v>28891</v>
      </c>
      <c r="K13702" t="s">
        <v>37397</v>
      </c>
      <c r="M13702" t="s">
        <v>41203</v>
      </c>
      <c r="N13702" t="s">
        <v>41249</v>
      </c>
      <c r="O13702" t="s">
        <v>41250</v>
      </c>
      <c r="Q13702">
        <v>5</v>
      </c>
      <c r="R13702" t="s">
        <v>41346</v>
      </c>
      <c r="S13702" t="s">
        <v>42188</v>
      </c>
      <c r="T13702" t="s">
        <v>43186</v>
      </c>
      <c r="U13702" t="s">
        <v>54181</v>
      </c>
      <c r="W13702" t="s">
        <v>41203</v>
      </c>
      <c r="X13702" t="s">
        <v>41345</v>
      </c>
    </row>
    <row r="13703" spans="1:24">
      <c r="A13703">
        <f>HYPERLINK("https://www.philgeps.gov.ph/GEPSNONPILOT/Tender/SplashBidNoticeAbstractUI.aspx?menuIndex=3&amp;refID=6848655&amp;Result=3","6848655")</f>
        <v>0</v>
      </c>
      <c r="B13703" t="s">
        <v>100</v>
      </c>
      <c r="C13703" t="s">
        <v>16521</v>
      </c>
      <c r="D13703" t="s">
        <v>16608</v>
      </c>
      <c r="E13703" t="s">
        <v>28584</v>
      </c>
      <c r="F13703" t="s">
        <v>28669</v>
      </c>
      <c r="G13703" t="s">
        <v>28675</v>
      </c>
      <c r="H13703" t="s">
        <v>28685</v>
      </c>
      <c r="I13703" t="s">
        <v>28685</v>
      </c>
      <c r="J13703" t="s">
        <v>37147</v>
      </c>
      <c r="K13703" t="s">
        <v>37493</v>
      </c>
      <c r="M13703" t="s">
        <v>41238</v>
      </c>
      <c r="N13703" t="s">
        <v>41249</v>
      </c>
      <c r="O13703" t="s">
        <v>41250</v>
      </c>
      <c r="Q13703">
        <v>10</v>
      </c>
      <c r="R13703" t="s">
        <v>41347</v>
      </c>
      <c r="S13703" t="s">
        <v>42590</v>
      </c>
      <c r="T13703" t="s">
        <v>42992</v>
      </c>
      <c r="U13703" t="s">
        <v>54182</v>
      </c>
      <c r="W13703" t="s">
        <v>41238</v>
      </c>
      <c r="X13703" t="s">
        <v>41346</v>
      </c>
    </row>
    <row r="13704" spans="1:24">
      <c r="A13704">
        <f>HYPERLINK("https://www.philgeps.gov.ph/GEPSNONPILOT/Tender/SplashBidNoticeAbstractUI.aspx?menuIndex=3&amp;refID=6845997&amp;Result=3","6845997")</f>
        <v>0</v>
      </c>
      <c r="B13704" t="s">
        <v>1697</v>
      </c>
      <c r="C13704" t="s">
        <v>16522</v>
      </c>
      <c r="D13704" t="s">
        <v>16692</v>
      </c>
      <c r="E13704" t="s">
        <v>28585</v>
      </c>
      <c r="F13704" t="s">
        <v>28672</v>
      </c>
      <c r="G13704" t="s">
        <v>28682</v>
      </c>
      <c r="H13704" t="s">
        <v>28686</v>
      </c>
      <c r="I13704" t="s">
        <v>28689</v>
      </c>
      <c r="J13704" t="s">
        <v>28847</v>
      </c>
      <c r="K13704" t="s">
        <v>37209</v>
      </c>
      <c r="L13704" t="s">
        <v>1697</v>
      </c>
      <c r="M13704" t="s">
        <v>39297</v>
      </c>
      <c r="N13704" t="s">
        <v>41249</v>
      </c>
      <c r="O13704" t="s">
        <v>41250</v>
      </c>
      <c r="Q13704">
        <v>6</v>
      </c>
      <c r="R13704" t="s">
        <v>41347</v>
      </c>
      <c r="S13704" t="s">
        <v>42591</v>
      </c>
      <c r="T13704" t="s">
        <v>42714</v>
      </c>
      <c r="U13704" t="s">
        <v>54183</v>
      </c>
      <c r="W13704" t="s">
        <v>39297</v>
      </c>
      <c r="X13704" t="s">
        <v>41346</v>
      </c>
    </row>
    <row r="13705" spans="1:24">
      <c r="A13705">
        <f>HYPERLINK("https://www.philgeps.gov.ph/GEPSNONPILOT/Tender/SplashBidNoticeAbstractUI.aspx?menuIndex=3&amp;refID=6619256&amp;Result=3","6619256")</f>
        <v>0</v>
      </c>
      <c r="B13705" t="s">
        <v>989</v>
      </c>
      <c r="C13705" t="s">
        <v>16523</v>
      </c>
      <c r="D13705" t="s">
        <v>16679</v>
      </c>
      <c r="E13705" t="s">
        <v>28586</v>
      </c>
      <c r="F13705" t="s">
        <v>28669</v>
      </c>
      <c r="G13705" t="s">
        <v>28675</v>
      </c>
      <c r="H13705" t="s">
        <v>28686</v>
      </c>
      <c r="I13705" t="s">
        <v>28689</v>
      </c>
      <c r="J13705" t="s">
        <v>37148</v>
      </c>
      <c r="K13705" t="s">
        <v>37213</v>
      </c>
      <c r="M13705" t="s">
        <v>41203</v>
      </c>
      <c r="N13705" t="s">
        <v>41249</v>
      </c>
      <c r="O13705" t="s">
        <v>41250</v>
      </c>
      <c r="Q13705">
        <v>15</v>
      </c>
      <c r="R13705" t="s">
        <v>41348</v>
      </c>
      <c r="S13705" t="s">
        <v>42592</v>
      </c>
      <c r="T13705" t="s">
        <v>43186</v>
      </c>
      <c r="U13705" t="s">
        <v>54016</v>
      </c>
      <c r="W13705" t="s">
        <v>41203</v>
      </c>
      <c r="X13705" t="s">
        <v>56064</v>
      </c>
    </row>
    <row r="13706" spans="1:24">
      <c r="A13706">
        <f>HYPERLINK("https://www.philgeps.gov.ph/GEPSNONPILOT/Tender/SplashBidNoticeAbstractUI.aspx?menuIndex=3&amp;refID=6841021&amp;Result=3","6841021")</f>
        <v>0</v>
      </c>
      <c r="B13706" t="s">
        <v>439</v>
      </c>
      <c r="C13706" t="s">
        <v>16524</v>
      </c>
      <c r="D13706" t="s">
        <v>16608</v>
      </c>
      <c r="E13706" t="s">
        <v>28587</v>
      </c>
      <c r="F13706" t="s">
        <v>28669</v>
      </c>
      <c r="G13706" t="s">
        <v>28675</v>
      </c>
      <c r="H13706" t="s">
        <v>28686</v>
      </c>
      <c r="I13706" t="s">
        <v>28689</v>
      </c>
      <c r="J13706" t="s">
        <v>37149</v>
      </c>
      <c r="K13706" t="s">
        <v>37212</v>
      </c>
      <c r="M13706" t="s">
        <v>37924</v>
      </c>
      <c r="N13706" t="s">
        <v>41249</v>
      </c>
      <c r="O13706" t="s">
        <v>41250</v>
      </c>
      <c r="Q13706">
        <v>96</v>
      </c>
      <c r="R13706" t="s">
        <v>41344</v>
      </c>
      <c r="S13706" t="s">
        <v>42593</v>
      </c>
      <c r="T13706" t="s">
        <v>42911</v>
      </c>
      <c r="U13706" t="s">
        <v>54184</v>
      </c>
      <c r="W13706" t="s">
        <v>37924</v>
      </c>
      <c r="X13706" t="s">
        <v>41345</v>
      </c>
    </row>
    <row r="13707" spans="1:24">
      <c r="A13707">
        <f>HYPERLINK("https://www.philgeps.gov.ph/GEPSNONPILOT/Tender/SplashBidNoticeAbstractUI.aspx?menuIndex=3&amp;refID=6414330&amp;Result=3","6414330")</f>
        <v>0</v>
      </c>
      <c r="B13707" t="s">
        <v>989</v>
      </c>
      <c r="C13707" t="s">
        <v>16525</v>
      </c>
      <c r="D13707" t="s">
        <v>16679</v>
      </c>
      <c r="E13707" t="s">
        <v>28588</v>
      </c>
      <c r="F13707" t="s">
        <v>28669</v>
      </c>
      <c r="G13707" t="s">
        <v>28675</v>
      </c>
      <c r="H13707" t="s">
        <v>28685</v>
      </c>
      <c r="I13707" t="s">
        <v>28685</v>
      </c>
      <c r="J13707" t="s">
        <v>29929</v>
      </c>
      <c r="K13707" t="s">
        <v>37314</v>
      </c>
      <c r="M13707" t="s">
        <v>41203</v>
      </c>
      <c r="N13707" t="s">
        <v>41249</v>
      </c>
      <c r="O13707" t="s">
        <v>41250</v>
      </c>
      <c r="Q13707">
        <v>15</v>
      </c>
      <c r="R13707" t="s">
        <v>41349</v>
      </c>
      <c r="S13707" t="s">
        <v>42594</v>
      </c>
      <c r="T13707" t="s">
        <v>43186</v>
      </c>
      <c r="U13707" t="s">
        <v>54185</v>
      </c>
      <c r="W13707" t="s">
        <v>41203</v>
      </c>
      <c r="X13707" t="s">
        <v>56065</v>
      </c>
    </row>
    <row r="13708" spans="1:24">
      <c r="A13708">
        <f>HYPERLINK("https://www.philgeps.gov.ph/GEPSNONPILOT/Tender/SplashBidNoticeAbstractUI.aspx?menuIndex=3&amp;refID=6844693&amp;Result=3","6844693")</f>
        <v>0</v>
      </c>
      <c r="B13708" t="s">
        <v>439</v>
      </c>
      <c r="C13708" t="s">
        <v>16526</v>
      </c>
      <c r="D13708" t="s">
        <v>16608</v>
      </c>
      <c r="E13708" t="s">
        <v>28589</v>
      </c>
      <c r="F13708" t="s">
        <v>28669</v>
      </c>
      <c r="G13708" t="s">
        <v>28675</v>
      </c>
      <c r="H13708" t="s">
        <v>28686</v>
      </c>
      <c r="I13708" t="s">
        <v>28689</v>
      </c>
      <c r="J13708" t="s">
        <v>37150</v>
      </c>
      <c r="K13708" t="s">
        <v>37276</v>
      </c>
      <c r="M13708" t="s">
        <v>37924</v>
      </c>
      <c r="N13708" t="s">
        <v>41249</v>
      </c>
      <c r="O13708" t="s">
        <v>41250</v>
      </c>
      <c r="Q13708">
        <v>66</v>
      </c>
      <c r="R13708" t="s">
        <v>41346</v>
      </c>
      <c r="S13708" t="s">
        <v>42595</v>
      </c>
      <c r="T13708" t="s">
        <v>42929</v>
      </c>
      <c r="U13708" t="s">
        <v>54186</v>
      </c>
      <c r="W13708" t="s">
        <v>37924</v>
      </c>
      <c r="X13708" t="s">
        <v>41344</v>
      </c>
    </row>
    <row r="13709" spans="1:24">
      <c r="A13709">
        <f>HYPERLINK("https://www.philgeps.gov.ph/GEPSNONPILOT/Tender/SplashBidNoticeAbstractUI.aspx?menuIndex=3&amp;refID=6604068&amp;Result=3","6604068")</f>
        <v>0</v>
      </c>
      <c r="B13709" t="s">
        <v>2799</v>
      </c>
      <c r="C13709" t="s">
        <v>16527</v>
      </c>
      <c r="E13709" t="s">
        <v>28590</v>
      </c>
      <c r="F13709" t="s">
        <v>28669</v>
      </c>
      <c r="G13709" t="s">
        <v>28676</v>
      </c>
      <c r="H13709" t="s">
        <v>9998</v>
      </c>
      <c r="I13709" t="s">
        <v>28708</v>
      </c>
      <c r="J13709" t="s">
        <v>37151</v>
      </c>
      <c r="K13709" t="s">
        <v>37209</v>
      </c>
      <c r="M13709" t="s">
        <v>40823</v>
      </c>
      <c r="N13709" t="s">
        <v>41249</v>
      </c>
      <c r="O13709" t="s">
        <v>41250</v>
      </c>
      <c r="Q13709">
        <v>14</v>
      </c>
      <c r="R13709" t="s">
        <v>41350</v>
      </c>
      <c r="S13709" t="s">
        <v>41384</v>
      </c>
      <c r="T13709" t="s">
        <v>42673</v>
      </c>
      <c r="U13709" t="s">
        <v>54187</v>
      </c>
      <c r="W13709" t="s">
        <v>40823</v>
      </c>
      <c r="X13709" t="s">
        <v>56066</v>
      </c>
    </row>
    <row r="13710" spans="1:24">
      <c r="A13710">
        <f>HYPERLINK("https://www.philgeps.gov.ph/GEPSNONPILOT/Tender/SplashBidNoticeAbstractUI.aspx?menuIndex=3&amp;refID=6842987&amp;Result=3","6842987")</f>
        <v>0</v>
      </c>
      <c r="B13710" t="s">
        <v>1697</v>
      </c>
      <c r="C13710" t="s">
        <v>16528</v>
      </c>
      <c r="D13710" t="s">
        <v>16692</v>
      </c>
      <c r="E13710" t="s">
        <v>28591</v>
      </c>
      <c r="F13710" t="s">
        <v>28669</v>
      </c>
      <c r="G13710" t="s">
        <v>28682</v>
      </c>
      <c r="H13710" t="s">
        <v>28686</v>
      </c>
      <c r="I13710" t="s">
        <v>28689</v>
      </c>
      <c r="J13710" t="s">
        <v>28924</v>
      </c>
      <c r="K13710" t="s">
        <v>37209</v>
      </c>
      <c r="L13710" t="s">
        <v>1697</v>
      </c>
      <c r="M13710" t="s">
        <v>39297</v>
      </c>
      <c r="N13710" t="s">
        <v>41249</v>
      </c>
      <c r="O13710" t="s">
        <v>41250</v>
      </c>
      <c r="Q13710">
        <v>3</v>
      </c>
      <c r="R13710" t="s">
        <v>41346</v>
      </c>
      <c r="S13710" t="s">
        <v>42596</v>
      </c>
      <c r="T13710" t="s">
        <v>42714</v>
      </c>
      <c r="U13710" t="s">
        <v>54188</v>
      </c>
      <c r="W13710" t="s">
        <v>39297</v>
      </c>
      <c r="X13710" t="s">
        <v>41344</v>
      </c>
    </row>
    <row r="13711" spans="1:24">
      <c r="A13711">
        <f>HYPERLINK("https://www.philgeps.gov.ph/GEPSNONPILOT/Tender/SplashBidNoticeAbstractUI.aspx?menuIndex=3&amp;refID=6862443&amp;Result=3","6862443")</f>
        <v>0</v>
      </c>
      <c r="B13711" t="s">
        <v>439</v>
      </c>
      <c r="C13711" t="s">
        <v>16529</v>
      </c>
      <c r="D13711" t="s">
        <v>16608</v>
      </c>
      <c r="E13711" t="s">
        <v>28592</v>
      </c>
      <c r="F13711" t="s">
        <v>28669</v>
      </c>
      <c r="G13711" t="s">
        <v>28675</v>
      </c>
      <c r="H13711" t="s">
        <v>28686</v>
      </c>
      <c r="I13711" t="s">
        <v>28689</v>
      </c>
      <c r="J13711" t="s">
        <v>37152</v>
      </c>
      <c r="K13711" t="s">
        <v>37218</v>
      </c>
      <c r="M13711" t="s">
        <v>37924</v>
      </c>
      <c r="N13711" t="s">
        <v>41249</v>
      </c>
      <c r="O13711" t="s">
        <v>41250</v>
      </c>
      <c r="Q13711">
        <v>64</v>
      </c>
      <c r="R13711" t="s">
        <v>41337</v>
      </c>
      <c r="S13711" t="s">
        <v>42570</v>
      </c>
      <c r="T13711" t="s">
        <v>42929</v>
      </c>
      <c r="U13711" t="s">
        <v>54189</v>
      </c>
      <c r="W13711" t="s">
        <v>37924</v>
      </c>
      <c r="X13711" t="s">
        <v>56062</v>
      </c>
    </row>
    <row r="13712" spans="1:24">
      <c r="A13712">
        <f>HYPERLINK("https://www.philgeps.gov.ph/GEPSNONPILOT/Tender/SplashBidNoticeAbstractUI.aspx?menuIndex=3&amp;refID=6771902&amp;Result=3","6771902")</f>
        <v>0</v>
      </c>
      <c r="B13712" t="s">
        <v>1659</v>
      </c>
      <c r="C13712" t="s">
        <v>16530</v>
      </c>
      <c r="E13712" t="s">
        <v>28593</v>
      </c>
      <c r="F13712" t="s">
        <v>28669</v>
      </c>
      <c r="G13712" t="s">
        <v>28675</v>
      </c>
      <c r="H13712" t="s">
        <v>28686</v>
      </c>
      <c r="I13712" t="s">
        <v>28689</v>
      </c>
      <c r="J13712" t="s">
        <v>37153</v>
      </c>
      <c r="K13712" t="s">
        <v>37209</v>
      </c>
      <c r="M13712" t="s">
        <v>41239</v>
      </c>
      <c r="N13712" t="s">
        <v>41249</v>
      </c>
      <c r="O13712" t="s">
        <v>41250</v>
      </c>
      <c r="Q13712">
        <v>55</v>
      </c>
      <c r="R13712" t="s">
        <v>41351</v>
      </c>
      <c r="S13712" t="s">
        <v>42597</v>
      </c>
      <c r="T13712" t="s">
        <v>42764</v>
      </c>
      <c r="U13712" t="s">
        <v>54190</v>
      </c>
      <c r="W13712" t="s">
        <v>41239</v>
      </c>
      <c r="X13712" t="s">
        <v>56067</v>
      </c>
    </row>
    <row r="13713" spans="1:24">
      <c r="A13713">
        <f>HYPERLINK("https://www.philgeps.gov.ph/GEPSNONPILOT/Tender/SplashBidNoticeAbstractUI.aspx?menuIndex=3&amp;refID=6785474&amp;Result=3","6785474")</f>
        <v>0</v>
      </c>
      <c r="B13713" t="s">
        <v>989</v>
      </c>
      <c r="C13713" t="s">
        <v>16531</v>
      </c>
      <c r="D13713" t="s">
        <v>16679</v>
      </c>
      <c r="E13713" t="s">
        <v>28594</v>
      </c>
      <c r="F13713" t="s">
        <v>28669</v>
      </c>
      <c r="G13713" t="s">
        <v>28675</v>
      </c>
      <c r="H13713" t="s">
        <v>28686</v>
      </c>
      <c r="I13713" t="s">
        <v>28689</v>
      </c>
      <c r="J13713" t="s">
        <v>37154</v>
      </c>
      <c r="K13713" t="s">
        <v>37215</v>
      </c>
      <c r="M13713" t="s">
        <v>41203</v>
      </c>
      <c r="N13713" t="s">
        <v>41249</v>
      </c>
      <c r="O13713" t="s">
        <v>41250</v>
      </c>
      <c r="Q13713">
        <v>19</v>
      </c>
      <c r="R13713" t="s">
        <v>41352</v>
      </c>
      <c r="S13713" t="s">
        <v>42598</v>
      </c>
      <c r="T13713" t="s">
        <v>43186</v>
      </c>
      <c r="U13713" t="s">
        <v>54135</v>
      </c>
      <c r="W13713" t="s">
        <v>41203</v>
      </c>
      <c r="X13713" t="s">
        <v>56068</v>
      </c>
    </row>
    <row r="13714" spans="1:24">
      <c r="A13714">
        <f>HYPERLINK("https://www.philgeps.gov.ph/GEPSNONPILOT/Tender/SplashBidNoticeAbstractUI.aspx?menuIndex=3&amp;refID=6798325&amp;Result=3","6798325")</f>
        <v>0</v>
      </c>
      <c r="B13714" t="s">
        <v>1266</v>
      </c>
      <c r="C13714" t="s">
        <v>16532</v>
      </c>
      <c r="E13714" t="s">
        <v>28595</v>
      </c>
      <c r="F13714" t="s">
        <v>28669</v>
      </c>
      <c r="G13714" t="s">
        <v>28675</v>
      </c>
      <c r="H13714" t="s">
        <v>28686</v>
      </c>
      <c r="I13714" t="s">
        <v>28689</v>
      </c>
      <c r="J13714" t="s">
        <v>37155</v>
      </c>
      <c r="K13714" t="s">
        <v>37209</v>
      </c>
      <c r="M13714" t="s">
        <v>41240</v>
      </c>
      <c r="N13714" t="s">
        <v>41249</v>
      </c>
      <c r="O13714" t="s">
        <v>41250</v>
      </c>
      <c r="Q13714">
        <v>1</v>
      </c>
      <c r="R13714" t="s">
        <v>41353</v>
      </c>
      <c r="S13714" t="s">
        <v>42599</v>
      </c>
      <c r="T13714" t="s">
        <v>42679</v>
      </c>
      <c r="U13714" t="s">
        <v>54191</v>
      </c>
      <c r="W13714" t="s">
        <v>41240</v>
      </c>
      <c r="X13714" t="s">
        <v>56069</v>
      </c>
    </row>
    <row r="13715" spans="1:24">
      <c r="A13715">
        <f>HYPERLINK("https://www.philgeps.gov.ph/GEPSNONPILOT/Tender/SplashBidNoticeAbstractUI.aspx?menuIndex=3&amp;refID=6798317&amp;Result=3","6798317")</f>
        <v>0</v>
      </c>
      <c r="B13715" t="s">
        <v>1266</v>
      </c>
      <c r="C13715" t="s">
        <v>16533</v>
      </c>
      <c r="E13715" t="s">
        <v>28596</v>
      </c>
      <c r="F13715" t="s">
        <v>28669</v>
      </c>
      <c r="G13715" t="s">
        <v>28675</v>
      </c>
      <c r="H13715" t="s">
        <v>28686</v>
      </c>
      <c r="I13715" t="s">
        <v>28689</v>
      </c>
      <c r="J13715" t="s">
        <v>37156</v>
      </c>
      <c r="K13715" t="s">
        <v>37209</v>
      </c>
      <c r="M13715" t="s">
        <v>41240</v>
      </c>
      <c r="N13715" t="s">
        <v>41249</v>
      </c>
      <c r="O13715" t="s">
        <v>41250</v>
      </c>
      <c r="Q13715">
        <v>1</v>
      </c>
      <c r="R13715" t="s">
        <v>41353</v>
      </c>
      <c r="S13715" t="s">
        <v>42600</v>
      </c>
      <c r="T13715" t="s">
        <v>42679</v>
      </c>
      <c r="U13715" t="s">
        <v>54192</v>
      </c>
      <c r="W13715" t="s">
        <v>41240</v>
      </c>
      <c r="X13715" t="s">
        <v>56069</v>
      </c>
    </row>
    <row r="13716" spans="1:24">
      <c r="A13716">
        <f>HYPERLINK("https://www.philgeps.gov.ph/GEPSNONPILOT/Tender/SplashBidNoticeAbstractUI.aspx?menuIndex=3&amp;refID=6798304&amp;Result=3","6798304")</f>
        <v>0</v>
      </c>
      <c r="B13716" t="s">
        <v>1266</v>
      </c>
      <c r="C13716" t="s">
        <v>16534</v>
      </c>
      <c r="E13716" t="s">
        <v>28597</v>
      </c>
      <c r="F13716" t="s">
        <v>28669</v>
      </c>
      <c r="G13716" t="s">
        <v>28675</v>
      </c>
      <c r="H13716" t="s">
        <v>28686</v>
      </c>
      <c r="I13716" t="s">
        <v>28689</v>
      </c>
      <c r="J13716" t="s">
        <v>37155</v>
      </c>
      <c r="K13716" t="s">
        <v>37209</v>
      </c>
      <c r="M13716" t="s">
        <v>41240</v>
      </c>
      <c r="N13716" t="s">
        <v>41249</v>
      </c>
      <c r="O13716" t="s">
        <v>41250</v>
      </c>
      <c r="Q13716">
        <v>1</v>
      </c>
      <c r="R13716" t="s">
        <v>41353</v>
      </c>
      <c r="S13716" t="s">
        <v>42601</v>
      </c>
      <c r="T13716" t="s">
        <v>42679</v>
      </c>
      <c r="U13716" t="s">
        <v>54193</v>
      </c>
      <c r="W13716" t="s">
        <v>41240</v>
      </c>
      <c r="X13716" t="s">
        <v>56069</v>
      </c>
    </row>
    <row r="13717" spans="1:24">
      <c r="A13717">
        <f>HYPERLINK("https://www.philgeps.gov.ph/GEPSNONPILOT/Tender/SplashBidNoticeAbstractUI.aspx?menuIndex=3&amp;refID=6803276&amp;Result=3","6803276")</f>
        <v>0</v>
      </c>
      <c r="B13717" t="s">
        <v>411</v>
      </c>
      <c r="C13717" t="s">
        <v>16535</v>
      </c>
      <c r="D13717" t="s">
        <v>16616</v>
      </c>
      <c r="E13717" t="s">
        <v>28598</v>
      </c>
      <c r="F13717" t="s">
        <v>28669</v>
      </c>
      <c r="G13717" t="s">
        <v>28676</v>
      </c>
      <c r="H13717" t="s">
        <v>9998</v>
      </c>
      <c r="I13717" t="s">
        <v>28693</v>
      </c>
      <c r="J13717" t="s">
        <v>30576</v>
      </c>
      <c r="K13717" t="s">
        <v>37205</v>
      </c>
      <c r="M13717" t="s">
        <v>39337</v>
      </c>
      <c r="N13717" t="s">
        <v>41249</v>
      </c>
      <c r="O13717" t="s">
        <v>41250</v>
      </c>
      <c r="Q13717">
        <v>26</v>
      </c>
      <c r="R13717" t="s">
        <v>41354</v>
      </c>
      <c r="S13717" t="s">
        <v>42602</v>
      </c>
      <c r="T13717" t="s">
        <v>42811</v>
      </c>
      <c r="U13717" t="s">
        <v>54194</v>
      </c>
      <c r="W13717" t="s">
        <v>39337</v>
      </c>
      <c r="X13717" t="s">
        <v>56070</v>
      </c>
    </row>
    <row r="13718" spans="1:24">
      <c r="A13718">
        <f>HYPERLINK("https://www.philgeps.gov.ph/GEPSNONPILOT/Tender/SplashBidNoticeAbstractUI.aspx?menuIndex=3&amp;refID=6808328&amp;Result=3","6808328")</f>
        <v>0</v>
      </c>
      <c r="B13718" t="s">
        <v>3368</v>
      </c>
      <c r="C13718" t="s">
        <v>16536</v>
      </c>
      <c r="D13718" t="s">
        <v>16666</v>
      </c>
      <c r="E13718" t="s">
        <v>28599</v>
      </c>
      <c r="F13718" t="s">
        <v>28669</v>
      </c>
      <c r="G13718" t="s">
        <v>28675</v>
      </c>
      <c r="H13718" t="s">
        <v>9998</v>
      </c>
      <c r="I13718" t="s">
        <v>28729</v>
      </c>
      <c r="J13718" t="s">
        <v>37157</v>
      </c>
      <c r="K13718" t="s">
        <v>37220</v>
      </c>
      <c r="M13718" t="s">
        <v>41241</v>
      </c>
      <c r="N13718" t="s">
        <v>41249</v>
      </c>
      <c r="O13718" t="s">
        <v>41250</v>
      </c>
      <c r="Q13718">
        <v>18</v>
      </c>
      <c r="R13718" t="s">
        <v>41355</v>
      </c>
      <c r="S13718" t="s">
        <v>42603</v>
      </c>
      <c r="T13718" t="s">
        <v>42940</v>
      </c>
      <c r="U13718" t="s">
        <v>54195</v>
      </c>
      <c r="W13718" t="s">
        <v>41241</v>
      </c>
      <c r="X13718" t="s">
        <v>41354</v>
      </c>
    </row>
    <row r="13719" spans="1:24">
      <c r="A13719">
        <f>HYPERLINK("https://www.philgeps.gov.ph/GEPSNONPILOT/Tender/SplashBidNoticeAbstractUI.aspx?menuIndex=3&amp;refID=6835460&amp;Result=3","6835460")</f>
        <v>0</v>
      </c>
      <c r="B13719" t="s">
        <v>700</v>
      </c>
      <c r="C13719" t="s">
        <v>16537</v>
      </c>
      <c r="D13719" t="s">
        <v>16620</v>
      </c>
      <c r="E13719" t="s">
        <v>28600</v>
      </c>
      <c r="F13719" t="s">
        <v>28669</v>
      </c>
      <c r="G13719" t="s">
        <v>28675</v>
      </c>
      <c r="H13719" t="s">
        <v>28686</v>
      </c>
      <c r="I13719" t="s">
        <v>28689</v>
      </c>
      <c r="J13719" t="s">
        <v>30289</v>
      </c>
      <c r="K13719" t="s">
        <v>37382</v>
      </c>
      <c r="M13719" t="s">
        <v>38206</v>
      </c>
      <c r="N13719" t="s">
        <v>41249</v>
      </c>
      <c r="O13719" t="s">
        <v>41250</v>
      </c>
      <c r="Q13719">
        <v>5</v>
      </c>
      <c r="R13719" t="s">
        <v>41345</v>
      </c>
      <c r="S13719" t="s">
        <v>42604</v>
      </c>
      <c r="T13719" t="s">
        <v>42727</v>
      </c>
      <c r="U13719" t="s">
        <v>54196</v>
      </c>
      <c r="V13719" t="s">
        <v>55887</v>
      </c>
      <c r="W13719" t="s">
        <v>38206</v>
      </c>
      <c r="X13719" t="s">
        <v>56063</v>
      </c>
    </row>
    <row r="13720" spans="1:24">
      <c r="A13720">
        <f>HYPERLINK("https://www.philgeps.gov.ph/GEPSNONPILOT/Tender/SplashBidNoticeAbstractUI.aspx?menuIndex=3&amp;refID=6814620&amp;Result=3","6814620")</f>
        <v>0</v>
      </c>
      <c r="B13720" t="s">
        <v>1024</v>
      </c>
      <c r="C13720" t="s">
        <v>16538</v>
      </c>
      <c r="D13720" t="s">
        <v>16608</v>
      </c>
      <c r="E13720" t="s">
        <v>28601</v>
      </c>
      <c r="F13720" t="s">
        <v>28669</v>
      </c>
      <c r="G13720" t="s">
        <v>28675</v>
      </c>
      <c r="H13720" t="s">
        <v>28686</v>
      </c>
      <c r="I13720" t="s">
        <v>28689</v>
      </c>
      <c r="J13720" t="s">
        <v>37158</v>
      </c>
      <c r="K13720" t="s">
        <v>37287</v>
      </c>
      <c r="M13720" t="s">
        <v>39657</v>
      </c>
      <c r="N13720" t="s">
        <v>41249</v>
      </c>
      <c r="O13720" t="s">
        <v>41250</v>
      </c>
      <c r="Q13720">
        <v>87</v>
      </c>
      <c r="R13720" t="s">
        <v>41356</v>
      </c>
      <c r="S13720" t="s">
        <v>42605</v>
      </c>
      <c r="T13720" t="s">
        <v>42682</v>
      </c>
      <c r="U13720" t="s">
        <v>48161</v>
      </c>
      <c r="V13720" t="s">
        <v>55888</v>
      </c>
      <c r="W13720" t="s">
        <v>39657</v>
      </c>
      <c r="X13720" t="s">
        <v>41364</v>
      </c>
    </row>
    <row r="13721" spans="1:24">
      <c r="A13721">
        <f>HYPERLINK("https://www.philgeps.gov.ph/GEPSNONPILOT/Tender/SplashBidNoticeAbstractUI.aspx?menuIndex=3&amp;refID=6730457&amp;Result=3","6730457")</f>
        <v>0</v>
      </c>
      <c r="B13721" t="s">
        <v>2425</v>
      </c>
      <c r="C13721" t="s">
        <v>16539</v>
      </c>
      <c r="D13721" t="s">
        <v>16619</v>
      </c>
      <c r="E13721" t="s">
        <v>28602</v>
      </c>
      <c r="F13721" t="s">
        <v>28669</v>
      </c>
      <c r="G13721" t="s">
        <v>28675</v>
      </c>
      <c r="H13721" t="s">
        <v>28686</v>
      </c>
      <c r="I13721" t="s">
        <v>28689</v>
      </c>
      <c r="J13721" t="s">
        <v>30503</v>
      </c>
      <c r="K13721" t="s">
        <v>37219</v>
      </c>
      <c r="M13721" t="s">
        <v>40108</v>
      </c>
      <c r="N13721" t="s">
        <v>41249</v>
      </c>
      <c r="O13721" t="s">
        <v>41250</v>
      </c>
      <c r="Q13721">
        <v>1</v>
      </c>
      <c r="R13721" t="s">
        <v>41357</v>
      </c>
      <c r="S13721" t="s">
        <v>42606</v>
      </c>
      <c r="T13721" t="s">
        <v>42679</v>
      </c>
      <c r="U13721" t="s">
        <v>54197</v>
      </c>
      <c r="W13721" t="s">
        <v>40108</v>
      </c>
      <c r="X13721" t="s">
        <v>56071</v>
      </c>
    </row>
    <row r="13722" spans="1:24">
      <c r="A13722">
        <f>HYPERLINK("https://www.philgeps.gov.ph/GEPSNONPILOT/Tender/SplashBidNoticeAbstractUI.aspx?menuIndex=3&amp;refID=6821465&amp;Result=3","6821465")</f>
        <v>0</v>
      </c>
      <c r="B13722" t="s">
        <v>2004</v>
      </c>
      <c r="C13722" t="s">
        <v>16540</v>
      </c>
      <c r="E13722" t="s">
        <v>28603</v>
      </c>
      <c r="F13722" t="s">
        <v>28669</v>
      </c>
      <c r="G13722" t="s">
        <v>28677</v>
      </c>
      <c r="H13722" t="s">
        <v>9998</v>
      </c>
      <c r="I13722" t="s">
        <v>28708</v>
      </c>
      <c r="J13722" t="s">
        <v>28838</v>
      </c>
      <c r="K13722" t="s">
        <v>37206</v>
      </c>
      <c r="M13722" t="s">
        <v>39642</v>
      </c>
      <c r="N13722" t="s">
        <v>41249</v>
      </c>
      <c r="O13722" t="s">
        <v>41250</v>
      </c>
      <c r="Q13722">
        <v>4</v>
      </c>
      <c r="R13722" t="s">
        <v>41358</v>
      </c>
      <c r="S13722" t="s">
        <v>42607</v>
      </c>
      <c r="T13722" t="s">
        <v>42701</v>
      </c>
      <c r="U13722" t="s">
        <v>54198</v>
      </c>
      <c r="W13722" t="s">
        <v>39642</v>
      </c>
      <c r="X13722" t="s">
        <v>56072</v>
      </c>
    </row>
    <row r="13723" spans="1:24">
      <c r="A13723">
        <f>HYPERLINK("https://www.philgeps.gov.ph/GEPSNONPILOT/Tender/SplashBidNoticeAbstractUI.aspx?menuIndex=3&amp;refID=6862335&amp;Result=3","6862335")</f>
        <v>0</v>
      </c>
      <c r="B13723" t="s">
        <v>439</v>
      </c>
      <c r="C13723" t="s">
        <v>16541</v>
      </c>
      <c r="D13723" t="s">
        <v>16608</v>
      </c>
      <c r="E13723" t="s">
        <v>28604</v>
      </c>
      <c r="F13723" t="s">
        <v>28669</v>
      </c>
      <c r="G13723" t="s">
        <v>28675</v>
      </c>
      <c r="H13723" t="s">
        <v>28686</v>
      </c>
      <c r="I13723" t="s">
        <v>28689</v>
      </c>
      <c r="J13723" t="s">
        <v>37159</v>
      </c>
      <c r="K13723" t="s">
        <v>37212</v>
      </c>
      <c r="M13723" t="s">
        <v>37924</v>
      </c>
      <c r="N13723" t="s">
        <v>41249</v>
      </c>
      <c r="O13723" t="s">
        <v>41250</v>
      </c>
      <c r="Q13723">
        <v>117</v>
      </c>
      <c r="R13723" t="s">
        <v>41337</v>
      </c>
      <c r="S13723" t="s">
        <v>42608</v>
      </c>
      <c r="T13723" t="s">
        <v>42911</v>
      </c>
      <c r="U13723" t="s">
        <v>54199</v>
      </c>
      <c r="W13723" t="s">
        <v>37924</v>
      </c>
      <c r="X13723" t="s">
        <v>56062</v>
      </c>
    </row>
    <row r="13724" spans="1:24">
      <c r="A13724">
        <f>HYPERLINK("https://www.philgeps.gov.ph/GEPSNONPILOT/Tender/SplashBidNoticeAbstractUI.aspx?menuIndex=3&amp;refID=6826134&amp;Result=3","6826134")</f>
        <v>0</v>
      </c>
      <c r="B13724" t="s">
        <v>2586</v>
      </c>
      <c r="C13724" t="s">
        <v>16542</v>
      </c>
      <c r="D13724" t="s">
        <v>16627</v>
      </c>
      <c r="E13724" t="s">
        <v>28605</v>
      </c>
      <c r="F13724" t="s">
        <v>28669</v>
      </c>
      <c r="G13724" t="s">
        <v>28675</v>
      </c>
      <c r="H13724" t="s">
        <v>28686</v>
      </c>
      <c r="I13724" t="s">
        <v>7352</v>
      </c>
      <c r="J13724" t="s">
        <v>30503</v>
      </c>
      <c r="K13724" t="s">
        <v>37207</v>
      </c>
      <c r="M13724" t="s">
        <v>40281</v>
      </c>
      <c r="N13724" t="s">
        <v>41249</v>
      </c>
      <c r="O13724" t="s">
        <v>41250</v>
      </c>
      <c r="Q13724">
        <v>2</v>
      </c>
      <c r="R13724" t="s">
        <v>41341</v>
      </c>
      <c r="S13724" t="s">
        <v>42609</v>
      </c>
      <c r="T13724" t="s">
        <v>42736</v>
      </c>
      <c r="U13724" t="s">
        <v>48527</v>
      </c>
      <c r="W13724" t="s">
        <v>40281</v>
      </c>
      <c r="X13724" t="s">
        <v>41358</v>
      </c>
    </row>
    <row r="13725" spans="1:24">
      <c r="A13725">
        <f>HYPERLINK("https://www.philgeps.gov.ph/GEPSNONPILOT/Tender/SplashBidNoticeAbstractUI.aspx?menuIndex=3&amp;refID=6845955&amp;Result=3","6845955")</f>
        <v>0</v>
      </c>
      <c r="B13725" t="s">
        <v>1697</v>
      </c>
      <c r="C13725" t="s">
        <v>16543</v>
      </c>
      <c r="D13725" t="s">
        <v>16692</v>
      </c>
      <c r="E13725" t="s">
        <v>28606</v>
      </c>
      <c r="F13725" t="s">
        <v>28669</v>
      </c>
      <c r="G13725" t="s">
        <v>28682</v>
      </c>
      <c r="H13725" t="s">
        <v>28686</v>
      </c>
      <c r="I13725" t="s">
        <v>28689</v>
      </c>
      <c r="J13725" t="s">
        <v>29655</v>
      </c>
      <c r="K13725" t="s">
        <v>37209</v>
      </c>
      <c r="L13725" t="s">
        <v>1697</v>
      </c>
      <c r="M13725" t="s">
        <v>39297</v>
      </c>
      <c r="N13725" t="s">
        <v>41249</v>
      </c>
      <c r="O13725" t="s">
        <v>41250</v>
      </c>
      <c r="Q13725">
        <v>7</v>
      </c>
      <c r="R13725" t="s">
        <v>41347</v>
      </c>
      <c r="S13725" t="s">
        <v>42575</v>
      </c>
      <c r="T13725" t="s">
        <v>42714</v>
      </c>
      <c r="U13725" t="s">
        <v>54200</v>
      </c>
      <c r="W13725" t="s">
        <v>39297</v>
      </c>
      <c r="X13725" t="s">
        <v>41346</v>
      </c>
    </row>
    <row r="13726" spans="1:24">
      <c r="A13726">
        <f>HYPERLINK("https://www.philgeps.gov.ph/GEPSNONPILOT/Tender/SplashBidNoticeAbstractUI.aspx?menuIndex=3&amp;refID=6798337&amp;Result=3","6798337")</f>
        <v>0</v>
      </c>
      <c r="B13726" t="s">
        <v>1266</v>
      </c>
      <c r="C13726" t="s">
        <v>16544</v>
      </c>
      <c r="E13726" t="s">
        <v>28607</v>
      </c>
      <c r="F13726" t="s">
        <v>28669</v>
      </c>
      <c r="G13726" t="s">
        <v>28675</v>
      </c>
      <c r="H13726" t="s">
        <v>28686</v>
      </c>
      <c r="I13726" t="s">
        <v>28689</v>
      </c>
      <c r="J13726" t="s">
        <v>37160</v>
      </c>
      <c r="K13726" t="s">
        <v>37209</v>
      </c>
      <c r="M13726" t="s">
        <v>41240</v>
      </c>
      <c r="N13726" t="s">
        <v>41249</v>
      </c>
      <c r="O13726" t="s">
        <v>41250</v>
      </c>
      <c r="Q13726">
        <v>0</v>
      </c>
      <c r="R13726" t="s">
        <v>41353</v>
      </c>
      <c r="S13726" t="s">
        <v>42007</v>
      </c>
      <c r="T13726" t="s">
        <v>42679</v>
      </c>
      <c r="U13726" t="s">
        <v>54201</v>
      </c>
      <c r="W13726" t="s">
        <v>41240</v>
      </c>
      <c r="X13726" t="s">
        <v>56069</v>
      </c>
    </row>
    <row r="13727" spans="1:24">
      <c r="A13727">
        <f>HYPERLINK("https://www.philgeps.gov.ph/GEPSNONPILOT/Tender/SplashBidNoticeAbstractUI.aspx?menuIndex=3&amp;refID=6863724&amp;Result=3","6863724")</f>
        <v>0</v>
      </c>
      <c r="B13727" t="s">
        <v>1697</v>
      </c>
      <c r="C13727" t="s">
        <v>16545</v>
      </c>
      <c r="D13727" t="s">
        <v>16692</v>
      </c>
      <c r="E13727" t="s">
        <v>28608</v>
      </c>
      <c r="F13727" t="s">
        <v>28669</v>
      </c>
      <c r="G13727" t="s">
        <v>28682</v>
      </c>
      <c r="H13727" t="s">
        <v>28686</v>
      </c>
      <c r="I13727" t="s">
        <v>28689</v>
      </c>
      <c r="J13727" t="s">
        <v>28881</v>
      </c>
      <c r="K13727" t="s">
        <v>37209</v>
      </c>
      <c r="L13727" t="s">
        <v>1697</v>
      </c>
      <c r="M13727" t="s">
        <v>39297</v>
      </c>
      <c r="N13727" t="s">
        <v>41249</v>
      </c>
      <c r="O13727" t="s">
        <v>41250</v>
      </c>
      <c r="Q13727">
        <v>4</v>
      </c>
      <c r="R13727" t="s">
        <v>41359</v>
      </c>
      <c r="S13727" t="s">
        <v>41660</v>
      </c>
      <c r="T13727" t="s">
        <v>42714</v>
      </c>
      <c r="U13727" t="s">
        <v>54202</v>
      </c>
      <c r="W13727" t="s">
        <v>39297</v>
      </c>
      <c r="X13727" t="s">
        <v>41337</v>
      </c>
    </row>
    <row r="13728" spans="1:24">
      <c r="A13728">
        <f>HYPERLINK("https://www.philgeps.gov.ph/GEPSNONPILOT/Tender/SplashBidNoticeAbstractUI.aspx?menuIndex=3&amp;refID=6867329&amp;Result=3","6867329")</f>
        <v>0</v>
      </c>
      <c r="B13728" t="s">
        <v>989</v>
      </c>
      <c r="C13728" t="s">
        <v>16546</v>
      </c>
      <c r="D13728" t="s">
        <v>16679</v>
      </c>
      <c r="E13728" t="s">
        <v>28609</v>
      </c>
      <c r="F13728" t="s">
        <v>28669</v>
      </c>
      <c r="G13728" t="s">
        <v>28675</v>
      </c>
      <c r="H13728" t="s">
        <v>9998</v>
      </c>
      <c r="I13728" t="s">
        <v>28687</v>
      </c>
      <c r="J13728" t="s">
        <v>35828</v>
      </c>
      <c r="K13728" t="s">
        <v>37206</v>
      </c>
      <c r="M13728" t="s">
        <v>41203</v>
      </c>
      <c r="N13728" t="s">
        <v>41249</v>
      </c>
      <c r="O13728" t="s">
        <v>41250</v>
      </c>
      <c r="Q13728">
        <v>9</v>
      </c>
      <c r="R13728" t="s">
        <v>41360</v>
      </c>
      <c r="S13728" t="s">
        <v>41708</v>
      </c>
      <c r="T13728" t="s">
        <v>43187</v>
      </c>
      <c r="U13728" t="s">
        <v>54203</v>
      </c>
      <c r="W13728" t="s">
        <v>41203</v>
      </c>
      <c r="X13728" t="s">
        <v>41359</v>
      </c>
    </row>
    <row r="13729" spans="1:24">
      <c r="A13729">
        <f>HYPERLINK("https://www.philgeps.gov.ph/GEPSNONPILOT/Tender/SplashBidNoticeAbstractUI.aspx?menuIndex=3&amp;refID=6867260&amp;Result=3","6867260")</f>
        <v>0</v>
      </c>
      <c r="B13729" t="s">
        <v>989</v>
      </c>
      <c r="C13729" t="s">
        <v>16547</v>
      </c>
      <c r="D13729" t="s">
        <v>16679</v>
      </c>
      <c r="E13729" t="s">
        <v>28610</v>
      </c>
      <c r="F13729" t="s">
        <v>28669</v>
      </c>
      <c r="G13729" t="s">
        <v>28675</v>
      </c>
      <c r="H13729" t="s">
        <v>9998</v>
      </c>
      <c r="I13729" t="s">
        <v>28687</v>
      </c>
      <c r="J13729" t="s">
        <v>37161</v>
      </c>
      <c r="K13729" t="s">
        <v>37206</v>
      </c>
      <c r="M13729" t="s">
        <v>41203</v>
      </c>
      <c r="N13729" t="s">
        <v>41249</v>
      </c>
      <c r="O13729" t="s">
        <v>41250</v>
      </c>
      <c r="Q13729">
        <v>8</v>
      </c>
      <c r="R13729" t="s">
        <v>41360</v>
      </c>
      <c r="S13729" t="s">
        <v>42610</v>
      </c>
      <c r="T13729" t="s">
        <v>43186</v>
      </c>
      <c r="U13729" t="s">
        <v>54204</v>
      </c>
      <c r="W13729" t="s">
        <v>41203</v>
      </c>
      <c r="X13729" t="s">
        <v>41359</v>
      </c>
    </row>
    <row r="13730" spans="1:24">
      <c r="A13730">
        <f>HYPERLINK("https://www.philgeps.gov.ph/GEPSNONPILOT/Tender/SplashBidNoticeAbstractUI.aspx?menuIndex=3&amp;refID=6870526&amp;Result=3","6870526")</f>
        <v>0</v>
      </c>
      <c r="B13730" t="s">
        <v>439</v>
      </c>
      <c r="C13730" t="s">
        <v>16548</v>
      </c>
      <c r="D13730" t="s">
        <v>16608</v>
      </c>
      <c r="E13730" t="s">
        <v>28611</v>
      </c>
      <c r="F13730" t="s">
        <v>28669</v>
      </c>
      <c r="G13730" t="s">
        <v>28675</v>
      </c>
      <c r="H13730" t="s">
        <v>28686</v>
      </c>
      <c r="I13730" t="s">
        <v>28689</v>
      </c>
      <c r="J13730" t="s">
        <v>37162</v>
      </c>
      <c r="K13730" t="s">
        <v>37215</v>
      </c>
      <c r="M13730" t="s">
        <v>37924</v>
      </c>
      <c r="N13730" t="s">
        <v>41249</v>
      </c>
      <c r="O13730" t="s">
        <v>41250</v>
      </c>
      <c r="Q13730">
        <v>29</v>
      </c>
      <c r="R13730" t="s">
        <v>41361</v>
      </c>
      <c r="S13730" t="s">
        <v>42611</v>
      </c>
      <c r="T13730" t="s">
        <v>42782</v>
      </c>
      <c r="U13730" t="s">
        <v>54205</v>
      </c>
      <c r="W13730" t="s">
        <v>37924</v>
      </c>
      <c r="X13730" t="s">
        <v>41360</v>
      </c>
    </row>
    <row r="13731" spans="1:24">
      <c r="A13731">
        <f>HYPERLINK("https://www.philgeps.gov.ph/GEPSNONPILOT/Tender/SplashBidNoticeAbstractUI.aspx?menuIndex=3&amp;refID=6870491&amp;Result=3","6870491")</f>
        <v>0</v>
      </c>
      <c r="B13731" t="s">
        <v>439</v>
      </c>
      <c r="C13731" t="s">
        <v>16549</v>
      </c>
      <c r="D13731" t="s">
        <v>16608</v>
      </c>
      <c r="E13731" t="s">
        <v>28612</v>
      </c>
      <c r="F13731" t="s">
        <v>28669</v>
      </c>
      <c r="G13731" t="s">
        <v>28675</v>
      </c>
      <c r="H13731" t="s">
        <v>28686</v>
      </c>
      <c r="I13731" t="s">
        <v>28689</v>
      </c>
      <c r="J13731" t="s">
        <v>37163</v>
      </c>
      <c r="K13731" t="s">
        <v>37215</v>
      </c>
      <c r="M13731" t="s">
        <v>37924</v>
      </c>
      <c r="N13731" t="s">
        <v>41249</v>
      </c>
      <c r="O13731" t="s">
        <v>41250</v>
      </c>
      <c r="Q13731">
        <v>35</v>
      </c>
      <c r="R13731" t="s">
        <v>41361</v>
      </c>
      <c r="S13731" t="s">
        <v>42612</v>
      </c>
      <c r="T13731" t="s">
        <v>42782</v>
      </c>
      <c r="U13731" t="s">
        <v>54206</v>
      </c>
      <c r="W13731" t="s">
        <v>37924</v>
      </c>
      <c r="X13731" t="s">
        <v>41360</v>
      </c>
    </row>
    <row r="13732" spans="1:24">
      <c r="A13732">
        <f>HYPERLINK("https://www.philgeps.gov.ph/GEPSNONPILOT/Tender/SplashBidNoticeAbstractUI.aspx?menuIndex=3&amp;refID=6889719&amp;Result=3","6889719")</f>
        <v>0</v>
      </c>
      <c r="B13732" t="s">
        <v>1146</v>
      </c>
      <c r="C13732" t="s">
        <v>16550</v>
      </c>
      <c r="E13732" t="s">
        <v>28613</v>
      </c>
      <c r="F13732" t="s">
        <v>28669</v>
      </c>
      <c r="G13732" t="s">
        <v>28675</v>
      </c>
      <c r="H13732" t="s">
        <v>9998</v>
      </c>
      <c r="I13732" t="s">
        <v>28699</v>
      </c>
      <c r="J13732" t="s">
        <v>37164</v>
      </c>
      <c r="K13732" t="s">
        <v>37209</v>
      </c>
      <c r="M13732" t="s">
        <v>41223</v>
      </c>
      <c r="N13732" t="s">
        <v>41249</v>
      </c>
      <c r="O13732" t="s">
        <v>41250</v>
      </c>
      <c r="Q13732">
        <v>23</v>
      </c>
      <c r="R13732" t="s">
        <v>41362</v>
      </c>
      <c r="S13732" t="s">
        <v>42613</v>
      </c>
      <c r="T13732" t="s">
        <v>42674</v>
      </c>
      <c r="U13732" t="s">
        <v>54207</v>
      </c>
      <c r="W13732" t="s">
        <v>41223</v>
      </c>
      <c r="X13732" t="s">
        <v>41365</v>
      </c>
    </row>
    <row r="13733" spans="1:24">
      <c r="A13733">
        <f>HYPERLINK("https://www.philgeps.gov.ph/GEPSNONPILOT/Tender/SplashBidNoticeAbstractUI.aspx?menuIndex=3&amp;refID=6816729&amp;Result=3","6816729")</f>
        <v>0</v>
      </c>
      <c r="B13733" t="s">
        <v>989</v>
      </c>
      <c r="C13733" t="s">
        <v>16551</v>
      </c>
      <c r="D13733" t="s">
        <v>16679</v>
      </c>
      <c r="E13733" t="s">
        <v>28614</v>
      </c>
      <c r="F13733" t="s">
        <v>28669</v>
      </c>
      <c r="G13733" t="s">
        <v>28679</v>
      </c>
      <c r="H13733" t="s">
        <v>28686</v>
      </c>
      <c r="I13733" t="s">
        <v>28689</v>
      </c>
      <c r="J13733" t="s">
        <v>37165</v>
      </c>
      <c r="K13733" t="s">
        <v>37213</v>
      </c>
      <c r="M13733" t="s">
        <v>41203</v>
      </c>
      <c r="N13733" t="s">
        <v>41249</v>
      </c>
      <c r="O13733" t="s">
        <v>41250</v>
      </c>
      <c r="Q13733">
        <v>5</v>
      </c>
      <c r="R13733" t="s">
        <v>41363</v>
      </c>
      <c r="S13733" t="s">
        <v>42614</v>
      </c>
      <c r="T13733" t="s">
        <v>43186</v>
      </c>
      <c r="U13733" t="s">
        <v>54208</v>
      </c>
      <c r="W13733" t="s">
        <v>41203</v>
      </c>
      <c r="X13733" t="s">
        <v>41356</v>
      </c>
    </row>
    <row r="13734" spans="1:24">
      <c r="A13734">
        <f>HYPERLINK("https://www.philgeps.gov.ph/GEPSNONPILOT/Tender/SplashBidNoticeAbstractUI.aspx?menuIndex=3&amp;refID=6892573&amp;Result=3","6892573")</f>
        <v>0</v>
      </c>
      <c r="B13734" t="s">
        <v>1496</v>
      </c>
      <c r="C13734" t="s">
        <v>16552</v>
      </c>
      <c r="D13734" t="s">
        <v>16662</v>
      </c>
      <c r="E13734" t="s">
        <v>28615</v>
      </c>
      <c r="F13734" t="s">
        <v>28669</v>
      </c>
      <c r="G13734" t="s">
        <v>28675</v>
      </c>
      <c r="H13734" t="s">
        <v>28686</v>
      </c>
      <c r="I13734" t="s">
        <v>28689</v>
      </c>
      <c r="J13734" t="s">
        <v>37166</v>
      </c>
      <c r="K13734" t="s">
        <v>37218</v>
      </c>
      <c r="M13734" t="s">
        <v>40316</v>
      </c>
      <c r="N13734" t="s">
        <v>41249</v>
      </c>
      <c r="O13734" t="s">
        <v>41250</v>
      </c>
      <c r="Q13734">
        <v>14</v>
      </c>
      <c r="R13734" t="s">
        <v>41330</v>
      </c>
      <c r="S13734" t="s">
        <v>42615</v>
      </c>
      <c r="T13734" t="s">
        <v>43188</v>
      </c>
      <c r="U13734" t="s">
        <v>54209</v>
      </c>
      <c r="V13734" t="s">
        <v>55889</v>
      </c>
      <c r="W13734" t="s">
        <v>40316</v>
      </c>
      <c r="X13734" t="s">
        <v>41362</v>
      </c>
    </row>
    <row r="13735" spans="1:24">
      <c r="A13735">
        <f>HYPERLINK("https://www.philgeps.gov.ph/GEPSNONPILOT/Tender/SplashBidNoticeAbstractUI.aspx?menuIndex=3&amp;refID=6890206&amp;Result=3","6890206")</f>
        <v>0</v>
      </c>
      <c r="B13735" t="s">
        <v>695</v>
      </c>
      <c r="C13735" t="s">
        <v>16553</v>
      </c>
      <c r="D13735" t="s">
        <v>16608</v>
      </c>
      <c r="E13735" t="s">
        <v>28616</v>
      </c>
      <c r="F13735" t="s">
        <v>28669</v>
      </c>
      <c r="G13735" t="s">
        <v>28675</v>
      </c>
      <c r="H13735" t="s">
        <v>28686</v>
      </c>
      <c r="I13735" t="s">
        <v>28689</v>
      </c>
      <c r="J13735" t="s">
        <v>37167</v>
      </c>
      <c r="K13735" t="s">
        <v>37481</v>
      </c>
      <c r="M13735" t="s">
        <v>38200</v>
      </c>
      <c r="N13735" t="s">
        <v>41249</v>
      </c>
      <c r="O13735" t="s">
        <v>41250</v>
      </c>
      <c r="Q13735">
        <v>25</v>
      </c>
      <c r="R13735" t="s">
        <v>41330</v>
      </c>
      <c r="S13735" t="s">
        <v>42616</v>
      </c>
      <c r="T13735" t="s">
        <v>42796</v>
      </c>
      <c r="U13735" t="s">
        <v>54210</v>
      </c>
      <c r="W13735" t="s">
        <v>38200</v>
      </c>
      <c r="X13735" t="s">
        <v>41362</v>
      </c>
    </row>
    <row r="13736" spans="1:24">
      <c r="A13736">
        <f>HYPERLINK("https://www.philgeps.gov.ph/GEPSNONPILOT/Tender/SplashBidNoticeAbstractUI.aspx?menuIndex=3&amp;refID=6889544&amp;Result=3","6889544")</f>
        <v>0</v>
      </c>
      <c r="B13736" t="s">
        <v>3364</v>
      </c>
      <c r="C13736" t="s">
        <v>16554</v>
      </c>
      <c r="D13736" t="s">
        <v>16615</v>
      </c>
      <c r="E13736" t="s">
        <v>17202</v>
      </c>
      <c r="F13736" t="s">
        <v>28669</v>
      </c>
      <c r="G13736" t="s">
        <v>28675</v>
      </c>
      <c r="H13736" t="s">
        <v>28686</v>
      </c>
      <c r="I13736" t="s">
        <v>28689</v>
      </c>
      <c r="J13736" t="s">
        <v>29968</v>
      </c>
      <c r="K13736" t="s">
        <v>37212</v>
      </c>
      <c r="M13736" t="s">
        <v>41225</v>
      </c>
      <c r="N13736" t="s">
        <v>41249</v>
      </c>
      <c r="O13736" t="s">
        <v>41250</v>
      </c>
      <c r="Q13736">
        <v>59</v>
      </c>
      <c r="R13736" t="s">
        <v>41330</v>
      </c>
      <c r="S13736" t="s">
        <v>41549</v>
      </c>
      <c r="T13736" t="s">
        <v>42999</v>
      </c>
      <c r="U13736" t="s">
        <v>54138</v>
      </c>
      <c r="W13736" t="s">
        <v>41225</v>
      </c>
      <c r="X13736" t="s">
        <v>41365</v>
      </c>
    </row>
    <row r="13737" spans="1:24">
      <c r="A13737">
        <f>HYPERLINK("https://www.philgeps.gov.ph/GEPSNONPILOT/Tender/SplashBidNoticeAbstractUI.aspx?menuIndex=3&amp;refID=6901648&amp;Result=3","6901648")</f>
        <v>0</v>
      </c>
      <c r="B13737" t="s">
        <v>107</v>
      </c>
      <c r="C13737" t="s">
        <v>16555</v>
      </c>
      <c r="D13737" t="s">
        <v>16657</v>
      </c>
      <c r="E13737" t="s">
        <v>28617</v>
      </c>
      <c r="F13737" t="s">
        <v>28669</v>
      </c>
      <c r="G13737" t="s">
        <v>28675</v>
      </c>
      <c r="H13737" t="s">
        <v>28686</v>
      </c>
      <c r="I13737" t="s">
        <v>28689</v>
      </c>
      <c r="J13737" t="s">
        <v>37168</v>
      </c>
      <c r="K13737" t="s">
        <v>37392</v>
      </c>
      <c r="M13737" t="s">
        <v>37583</v>
      </c>
      <c r="N13737" t="s">
        <v>41249</v>
      </c>
      <c r="O13737" t="s">
        <v>41250</v>
      </c>
      <c r="Q13737">
        <v>59</v>
      </c>
      <c r="R13737" t="s">
        <v>41332</v>
      </c>
      <c r="S13737" t="s">
        <v>42617</v>
      </c>
      <c r="T13737" t="s">
        <v>42760</v>
      </c>
      <c r="U13737" t="s">
        <v>54211</v>
      </c>
      <c r="V13737" t="s">
        <v>54278</v>
      </c>
      <c r="W13737" t="s">
        <v>37583</v>
      </c>
      <c r="X13737" t="s">
        <v>56042</v>
      </c>
    </row>
    <row r="13738" spans="1:24">
      <c r="A13738">
        <f>HYPERLINK("https://www.philgeps.gov.ph/GEPSNONPILOT/Tender/SplashBidNoticeAbstractUI.aspx?menuIndex=3&amp;refID=6908254&amp;Result=3","6908254")</f>
        <v>0</v>
      </c>
      <c r="B13738" t="s">
        <v>3369</v>
      </c>
      <c r="C13738" t="s">
        <v>16556</v>
      </c>
      <c r="E13738" t="s">
        <v>28618</v>
      </c>
      <c r="F13738" t="s">
        <v>28669</v>
      </c>
      <c r="G13738" t="s">
        <v>28675</v>
      </c>
      <c r="H13738" t="s">
        <v>28686</v>
      </c>
      <c r="I13738" t="s">
        <v>28689</v>
      </c>
      <c r="J13738" t="s">
        <v>37169</v>
      </c>
      <c r="K13738" t="s">
        <v>37290</v>
      </c>
      <c r="M13738" t="s">
        <v>41242</v>
      </c>
      <c r="N13738" t="s">
        <v>41249</v>
      </c>
      <c r="O13738" t="s">
        <v>41250</v>
      </c>
      <c r="Q13738">
        <v>12</v>
      </c>
      <c r="R13738" t="s">
        <v>41327</v>
      </c>
      <c r="S13738" t="s">
        <v>42618</v>
      </c>
      <c r="T13738" t="s">
        <v>42896</v>
      </c>
      <c r="U13738" t="s">
        <v>54212</v>
      </c>
      <c r="W13738" t="s">
        <v>41242</v>
      </c>
      <c r="X13738" t="s">
        <v>41332</v>
      </c>
    </row>
    <row r="13739" spans="1:24">
      <c r="A13739">
        <f>HYPERLINK("https://www.philgeps.gov.ph/GEPSNONPILOT/Tender/SplashBidNoticeAbstractUI.aspx?menuIndex=3&amp;refID=6908245&amp;Result=3","6908245")</f>
        <v>0</v>
      </c>
      <c r="B13739" t="s">
        <v>3369</v>
      </c>
      <c r="C13739" t="s">
        <v>16557</v>
      </c>
      <c r="E13739" t="s">
        <v>28619</v>
      </c>
      <c r="F13739" t="s">
        <v>28669</v>
      </c>
      <c r="G13739" t="s">
        <v>28675</v>
      </c>
      <c r="H13739" t="s">
        <v>28686</v>
      </c>
      <c r="I13739" t="s">
        <v>28689</v>
      </c>
      <c r="J13739" t="s">
        <v>37170</v>
      </c>
      <c r="K13739" t="s">
        <v>37212</v>
      </c>
      <c r="M13739" t="s">
        <v>41242</v>
      </c>
      <c r="N13739" t="s">
        <v>41249</v>
      </c>
      <c r="O13739" t="s">
        <v>41250</v>
      </c>
      <c r="Q13739">
        <v>13</v>
      </c>
      <c r="R13739" t="s">
        <v>41327</v>
      </c>
      <c r="S13739" t="s">
        <v>42619</v>
      </c>
      <c r="T13739" t="s">
        <v>42896</v>
      </c>
      <c r="U13739" t="s">
        <v>54212</v>
      </c>
      <c r="W13739" t="s">
        <v>41242</v>
      </c>
      <c r="X13739" t="s">
        <v>41332</v>
      </c>
    </row>
    <row r="13740" spans="1:24">
      <c r="A13740">
        <f>HYPERLINK("https://www.philgeps.gov.ph/GEPSNONPILOT/Tender/SplashBidNoticeAbstractUI.aspx?menuIndex=3&amp;refID=6811975&amp;Result=3","6811975")</f>
        <v>0</v>
      </c>
      <c r="B13740" t="s">
        <v>822</v>
      </c>
      <c r="C13740" t="s">
        <v>16558</v>
      </c>
      <c r="D13740" t="s">
        <v>16608</v>
      </c>
      <c r="E13740" t="s">
        <v>28620</v>
      </c>
      <c r="F13740" t="s">
        <v>28669</v>
      </c>
      <c r="G13740" t="s">
        <v>28675</v>
      </c>
      <c r="H13740" t="s">
        <v>9998</v>
      </c>
      <c r="I13740" t="s">
        <v>28713</v>
      </c>
      <c r="J13740" t="s">
        <v>37171</v>
      </c>
      <c r="K13740" t="s">
        <v>37220</v>
      </c>
      <c r="M13740" t="s">
        <v>38757</v>
      </c>
      <c r="N13740" t="s">
        <v>41249</v>
      </c>
      <c r="O13740" t="s">
        <v>41250</v>
      </c>
      <c r="Q13740">
        <v>30</v>
      </c>
      <c r="R13740" t="s">
        <v>41364</v>
      </c>
      <c r="S13740" t="s">
        <v>42620</v>
      </c>
      <c r="T13740" t="s">
        <v>42733</v>
      </c>
      <c r="U13740" t="s">
        <v>45697</v>
      </c>
      <c r="W13740" t="s">
        <v>38757</v>
      </c>
      <c r="X13740" t="s">
        <v>41355</v>
      </c>
    </row>
    <row r="13741" spans="1:24">
      <c r="A13741">
        <f>HYPERLINK("https://www.philgeps.gov.ph/GEPSNONPILOT/Tender/SplashBidNoticeAbstractUI.aspx?menuIndex=3&amp;refID=6934373&amp;Result=3","6934373")</f>
        <v>0</v>
      </c>
      <c r="B13741" t="s">
        <v>1387</v>
      </c>
      <c r="C13741" t="s">
        <v>16559</v>
      </c>
      <c r="D13741" t="s">
        <v>16668</v>
      </c>
      <c r="E13741" t="s">
        <v>28621</v>
      </c>
      <c r="F13741" t="s">
        <v>28669</v>
      </c>
      <c r="G13741" t="s">
        <v>28675</v>
      </c>
      <c r="H13741" t="s">
        <v>28686</v>
      </c>
      <c r="I13741" t="s">
        <v>28689</v>
      </c>
      <c r="J13741" t="s">
        <v>30289</v>
      </c>
      <c r="K13741" t="s">
        <v>37359</v>
      </c>
      <c r="M13741" t="s">
        <v>38949</v>
      </c>
      <c r="N13741" t="s">
        <v>41249</v>
      </c>
      <c r="O13741" t="s">
        <v>41250</v>
      </c>
      <c r="Q13741">
        <v>0</v>
      </c>
      <c r="R13741" t="s">
        <v>41314</v>
      </c>
      <c r="S13741" t="s">
        <v>42621</v>
      </c>
      <c r="T13741" t="s">
        <v>42682</v>
      </c>
      <c r="U13741" t="s">
        <v>54213</v>
      </c>
      <c r="W13741" t="s">
        <v>38949</v>
      </c>
      <c r="X13741" t="s">
        <v>41320</v>
      </c>
    </row>
    <row r="13742" spans="1:24">
      <c r="A13742">
        <f>HYPERLINK("https://www.philgeps.gov.ph/GEPSNONPILOT/Tender/SplashBidNoticeAbstractUI.aspx?menuIndex=3&amp;refID=6933999&amp;Result=3","6933999")</f>
        <v>0</v>
      </c>
      <c r="B13742" t="s">
        <v>298</v>
      </c>
      <c r="C13742" t="s">
        <v>16560</v>
      </c>
      <c r="D13742" t="s">
        <v>16608</v>
      </c>
      <c r="E13742" t="s">
        <v>28622</v>
      </c>
      <c r="F13742" t="s">
        <v>28669</v>
      </c>
      <c r="G13742" t="s">
        <v>28677</v>
      </c>
      <c r="H13742" t="s">
        <v>9998</v>
      </c>
      <c r="I13742" t="s">
        <v>28708</v>
      </c>
      <c r="J13742" t="s">
        <v>37172</v>
      </c>
      <c r="K13742" t="s">
        <v>37205</v>
      </c>
      <c r="M13742" t="s">
        <v>37777</v>
      </c>
      <c r="N13742" t="s">
        <v>41249</v>
      </c>
      <c r="O13742" t="s">
        <v>41250</v>
      </c>
      <c r="Q13742">
        <v>8</v>
      </c>
      <c r="R13742" t="s">
        <v>41314</v>
      </c>
      <c r="S13742" t="s">
        <v>42506</v>
      </c>
      <c r="T13742" t="s">
        <v>42778</v>
      </c>
      <c r="U13742" t="s">
        <v>54214</v>
      </c>
      <c r="W13742" t="s">
        <v>37777</v>
      </c>
      <c r="X13742" t="s">
        <v>41320</v>
      </c>
    </row>
    <row r="13743" spans="1:24">
      <c r="A13743">
        <f>HYPERLINK("https://www.philgeps.gov.ph/GEPSNONPILOT/Tender/SplashBidNoticeAbstractUI.aspx?menuIndex=3&amp;refID=6933890&amp;Result=3","6933890")</f>
        <v>0</v>
      </c>
      <c r="B13743" t="s">
        <v>298</v>
      </c>
      <c r="C13743" t="s">
        <v>5286</v>
      </c>
      <c r="D13743" t="s">
        <v>16608</v>
      </c>
      <c r="E13743" t="s">
        <v>28623</v>
      </c>
      <c r="F13743" t="s">
        <v>28669</v>
      </c>
      <c r="G13743" t="s">
        <v>28676</v>
      </c>
      <c r="H13743" t="s">
        <v>9998</v>
      </c>
      <c r="I13743" t="s">
        <v>5286</v>
      </c>
      <c r="J13743" t="s">
        <v>37173</v>
      </c>
      <c r="K13743" t="s">
        <v>37205</v>
      </c>
      <c r="M13743" t="s">
        <v>37777</v>
      </c>
      <c r="N13743" t="s">
        <v>41249</v>
      </c>
      <c r="O13743" t="s">
        <v>41250</v>
      </c>
      <c r="Q13743">
        <v>1</v>
      </c>
      <c r="R13743" t="s">
        <v>41314</v>
      </c>
      <c r="S13743" t="s">
        <v>42141</v>
      </c>
      <c r="T13743" t="s">
        <v>42778</v>
      </c>
      <c r="U13743" t="s">
        <v>54215</v>
      </c>
      <c r="W13743" t="s">
        <v>37777</v>
      </c>
      <c r="X13743" t="s">
        <v>41320</v>
      </c>
    </row>
    <row r="13744" spans="1:24">
      <c r="A13744">
        <f>HYPERLINK("https://www.philgeps.gov.ph/GEPSNONPILOT/Tender/SplashBidNoticeAbstractUI.aspx?menuIndex=3&amp;refID=6970209&amp;Result=3","6970209")</f>
        <v>0</v>
      </c>
      <c r="B13744" t="s">
        <v>1454</v>
      </c>
      <c r="C13744" t="s">
        <v>16561</v>
      </c>
      <c r="E13744" t="s">
        <v>28624</v>
      </c>
      <c r="F13744" t="s">
        <v>28669</v>
      </c>
      <c r="G13744" t="s">
        <v>28676</v>
      </c>
      <c r="H13744" t="s">
        <v>9998</v>
      </c>
      <c r="I13744" t="s">
        <v>28709</v>
      </c>
      <c r="J13744" t="s">
        <v>32667</v>
      </c>
      <c r="K13744" t="s">
        <v>37209</v>
      </c>
      <c r="M13744" t="s">
        <v>39019</v>
      </c>
      <c r="N13744" t="s">
        <v>41249</v>
      </c>
      <c r="O13744" t="s">
        <v>41250</v>
      </c>
      <c r="Q13744">
        <v>10</v>
      </c>
      <c r="R13744" t="s">
        <v>41319</v>
      </c>
      <c r="S13744" t="s">
        <v>42622</v>
      </c>
      <c r="T13744" t="s">
        <v>42883</v>
      </c>
      <c r="U13744" t="s">
        <v>47707</v>
      </c>
      <c r="W13744" t="s">
        <v>39019</v>
      </c>
      <c r="X13744" t="s">
        <v>41318</v>
      </c>
    </row>
    <row r="13745" spans="1:24">
      <c r="A13745">
        <f>HYPERLINK("https://www.philgeps.gov.ph/GEPSNONPILOT/Tender/SplashBidNoticeAbstractUI.aspx?menuIndex=3&amp;refID=6851292&amp;Result=3","6851292")</f>
        <v>0</v>
      </c>
      <c r="B13745" t="s">
        <v>989</v>
      </c>
      <c r="C13745" t="s">
        <v>16562</v>
      </c>
      <c r="D13745" t="s">
        <v>16679</v>
      </c>
      <c r="E13745" t="s">
        <v>28625</v>
      </c>
      <c r="F13745" t="s">
        <v>28669</v>
      </c>
      <c r="G13745" t="s">
        <v>28675</v>
      </c>
      <c r="H13745" t="s">
        <v>28686</v>
      </c>
      <c r="I13745" t="s">
        <v>28689</v>
      </c>
      <c r="J13745" t="s">
        <v>37174</v>
      </c>
      <c r="K13745" t="s">
        <v>37211</v>
      </c>
      <c r="M13745" t="s">
        <v>41203</v>
      </c>
      <c r="N13745" t="s">
        <v>41249</v>
      </c>
      <c r="O13745" t="s">
        <v>41250</v>
      </c>
      <c r="Q13745">
        <v>24</v>
      </c>
      <c r="R13745" t="s">
        <v>41340</v>
      </c>
      <c r="S13745" t="s">
        <v>42623</v>
      </c>
      <c r="T13745" t="s">
        <v>43186</v>
      </c>
      <c r="U13745" t="s">
        <v>54016</v>
      </c>
      <c r="W13745" t="s">
        <v>41203</v>
      </c>
      <c r="X13745" t="s">
        <v>41347</v>
      </c>
    </row>
    <row r="13746" spans="1:24">
      <c r="A13746">
        <f>HYPERLINK("https://www.philgeps.gov.ph/GEPSNONPILOT/Tender/SplashBidNoticeAbstractUI.aspx?menuIndex=3&amp;refID=6887641&amp;Result=3","6887641")</f>
        <v>0</v>
      </c>
      <c r="B13746" t="s">
        <v>1633</v>
      </c>
      <c r="C13746" t="s">
        <v>16563</v>
      </c>
      <c r="D13746" t="s">
        <v>16693</v>
      </c>
      <c r="E13746" t="s">
        <v>28626</v>
      </c>
      <c r="F13746" t="s">
        <v>28669</v>
      </c>
      <c r="G13746" t="s">
        <v>28675</v>
      </c>
      <c r="H13746" t="s">
        <v>9998</v>
      </c>
      <c r="I13746" t="s">
        <v>28707</v>
      </c>
      <c r="J13746" t="s">
        <v>37175</v>
      </c>
      <c r="K13746" t="s">
        <v>37209</v>
      </c>
      <c r="M13746" t="s">
        <v>39222</v>
      </c>
      <c r="N13746" t="s">
        <v>41249</v>
      </c>
      <c r="O13746" t="s">
        <v>41250</v>
      </c>
      <c r="Q13746">
        <v>13</v>
      </c>
      <c r="R13746" t="s">
        <v>41365</v>
      </c>
      <c r="S13746" t="s">
        <v>42624</v>
      </c>
      <c r="T13746" t="s">
        <v>42838</v>
      </c>
      <c r="U13746" t="s">
        <v>54216</v>
      </c>
      <c r="V13746" t="s">
        <v>55890</v>
      </c>
      <c r="W13746" t="s">
        <v>39222</v>
      </c>
      <c r="X13746" t="s">
        <v>41336</v>
      </c>
    </row>
    <row r="13747" spans="1:24">
      <c r="A13747">
        <f>HYPERLINK("https://www.philgeps.gov.ph/GEPSNONPILOT/Tender/SplashBidNoticeAbstractUI.aspx?menuIndex=3&amp;refID=6885977&amp;Result=3","6885977")</f>
        <v>0</v>
      </c>
      <c r="B13747" t="s">
        <v>989</v>
      </c>
      <c r="C13747" t="s">
        <v>16564</v>
      </c>
      <c r="D13747" t="s">
        <v>16679</v>
      </c>
      <c r="E13747" t="s">
        <v>28627</v>
      </c>
      <c r="F13747" t="s">
        <v>28669</v>
      </c>
      <c r="G13747" t="s">
        <v>28679</v>
      </c>
      <c r="H13747" t="s">
        <v>28686</v>
      </c>
      <c r="I13747" t="s">
        <v>28689</v>
      </c>
      <c r="J13747" t="s">
        <v>37176</v>
      </c>
      <c r="K13747" t="s">
        <v>37213</v>
      </c>
      <c r="M13747" t="s">
        <v>41203</v>
      </c>
      <c r="N13747" t="s">
        <v>41249</v>
      </c>
      <c r="O13747" t="s">
        <v>41250</v>
      </c>
      <c r="Q13747">
        <v>7</v>
      </c>
      <c r="R13747" t="s">
        <v>41365</v>
      </c>
      <c r="S13747" t="s">
        <v>42625</v>
      </c>
      <c r="T13747" t="s">
        <v>43186</v>
      </c>
      <c r="U13747" t="s">
        <v>54217</v>
      </c>
      <c r="W13747" t="s">
        <v>41203</v>
      </c>
      <c r="X13747" t="s">
        <v>41336</v>
      </c>
    </row>
    <row r="13748" spans="1:24">
      <c r="A13748">
        <f>HYPERLINK("https://www.philgeps.gov.ph/GEPSNONPILOT/Tender/SplashBidNoticeAbstractUI.aspx?menuIndex=3&amp;refID=6986798&amp;Result=3","6986798")</f>
        <v>0</v>
      </c>
      <c r="B13748" t="s">
        <v>3114</v>
      </c>
      <c r="C13748" t="s">
        <v>16565</v>
      </c>
      <c r="D13748" t="s">
        <v>16627</v>
      </c>
      <c r="E13748" t="s">
        <v>28628</v>
      </c>
      <c r="F13748" t="s">
        <v>28669</v>
      </c>
      <c r="G13748" t="s">
        <v>28675</v>
      </c>
      <c r="H13748" t="s">
        <v>28685</v>
      </c>
      <c r="I13748" t="s">
        <v>28689</v>
      </c>
      <c r="J13748" t="s">
        <v>37177</v>
      </c>
      <c r="K13748" t="s">
        <v>37287</v>
      </c>
      <c r="L13748" t="s">
        <v>3114</v>
      </c>
      <c r="M13748" t="s">
        <v>40902</v>
      </c>
      <c r="N13748" t="s">
        <v>41249</v>
      </c>
      <c r="O13748" t="s">
        <v>41250</v>
      </c>
      <c r="Q13748">
        <v>2</v>
      </c>
      <c r="R13748" t="s">
        <v>41289</v>
      </c>
      <c r="S13748" t="s">
        <v>42626</v>
      </c>
      <c r="T13748" t="s">
        <v>42782</v>
      </c>
      <c r="U13748" t="s">
        <v>54218</v>
      </c>
      <c r="W13748" t="s">
        <v>40902</v>
      </c>
      <c r="X13748" t="s">
        <v>41367</v>
      </c>
    </row>
    <row r="13749" spans="1:24">
      <c r="A13749">
        <f>HYPERLINK("https://www.philgeps.gov.ph/GEPSNONPILOT/Tender/SplashBidNoticeAbstractUI.aspx?menuIndex=3&amp;refID=6933932&amp;Result=3","6933932")</f>
        <v>0</v>
      </c>
      <c r="B13749" t="s">
        <v>298</v>
      </c>
      <c r="C13749" t="s">
        <v>3718</v>
      </c>
      <c r="D13749" t="s">
        <v>16673</v>
      </c>
      <c r="E13749" t="s">
        <v>28629</v>
      </c>
      <c r="F13749" t="s">
        <v>28669</v>
      </c>
      <c r="G13749" t="s">
        <v>28676</v>
      </c>
      <c r="H13749" t="s">
        <v>9998</v>
      </c>
      <c r="I13749" t="s">
        <v>3718</v>
      </c>
      <c r="J13749" t="s">
        <v>37178</v>
      </c>
      <c r="K13749" t="s">
        <v>37205</v>
      </c>
      <c r="M13749" t="s">
        <v>37777</v>
      </c>
      <c r="N13749" t="s">
        <v>41249</v>
      </c>
      <c r="O13749" t="s">
        <v>41250</v>
      </c>
      <c r="Q13749">
        <v>8</v>
      </c>
      <c r="R13749" t="s">
        <v>41314</v>
      </c>
      <c r="S13749" t="s">
        <v>42627</v>
      </c>
      <c r="T13749" t="s">
        <v>42778</v>
      </c>
      <c r="U13749" t="s">
        <v>54219</v>
      </c>
      <c r="W13749" t="s">
        <v>37777</v>
      </c>
      <c r="X13749" t="s">
        <v>41320</v>
      </c>
    </row>
    <row r="13750" spans="1:24">
      <c r="A13750">
        <f>HYPERLINK("https://www.philgeps.gov.ph/GEPSNONPILOT/Tender/SplashBidNoticeAbstractUI.aspx?menuIndex=3&amp;refID=6986793&amp;Result=3","6986793")</f>
        <v>0</v>
      </c>
      <c r="B13750" t="s">
        <v>3114</v>
      </c>
      <c r="C13750" t="s">
        <v>16566</v>
      </c>
      <c r="D13750" t="s">
        <v>16627</v>
      </c>
      <c r="E13750" t="s">
        <v>28630</v>
      </c>
      <c r="F13750" t="s">
        <v>28669</v>
      </c>
      <c r="G13750" t="s">
        <v>28675</v>
      </c>
      <c r="H13750" t="s">
        <v>28685</v>
      </c>
      <c r="I13750" t="s">
        <v>28689</v>
      </c>
      <c r="J13750" t="s">
        <v>37179</v>
      </c>
      <c r="K13750" t="s">
        <v>37218</v>
      </c>
      <c r="L13750" t="s">
        <v>3114</v>
      </c>
      <c r="M13750" t="s">
        <v>40902</v>
      </c>
      <c r="N13750" t="s">
        <v>41249</v>
      </c>
      <c r="O13750" t="s">
        <v>41250</v>
      </c>
      <c r="Q13750">
        <v>3</v>
      </c>
      <c r="R13750" t="s">
        <v>41289</v>
      </c>
      <c r="S13750" t="s">
        <v>42628</v>
      </c>
      <c r="T13750" t="s">
        <v>42782</v>
      </c>
      <c r="U13750" t="s">
        <v>53988</v>
      </c>
      <c r="W13750" t="s">
        <v>40902</v>
      </c>
      <c r="X13750" t="s">
        <v>41367</v>
      </c>
    </row>
    <row r="13751" spans="1:24">
      <c r="A13751">
        <f>HYPERLINK("https://www.philgeps.gov.ph/GEPSNONPILOT/Tender/SplashBidNoticeAbstractUI.aspx?menuIndex=3&amp;refID=7003851&amp;Result=3","7003851")</f>
        <v>0</v>
      </c>
      <c r="B13751" t="s">
        <v>298</v>
      </c>
      <c r="C13751" t="s">
        <v>16567</v>
      </c>
      <c r="D13751" t="s">
        <v>16608</v>
      </c>
      <c r="E13751" t="s">
        <v>28631</v>
      </c>
      <c r="F13751" t="s">
        <v>28669</v>
      </c>
      <c r="G13751" t="s">
        <v>28676</v>
      </c>
      <c r="H13751" t="s">
        <v>9998</v>
      </c>
      <c r="I13751" t="s">
        <v>28721</v>
      </c>
      <c r="J13751" t="s">
        <v>37180</v>
      </c>
      <c r="K13751" t="s">
        <v>37205</v>
      </c>
      <c r="M13751" t="s">
        <v>37777</v>
      </c>
      <c r="N13751" t="s">
        <v>41249</v>
      </c>
      <c r="O13751" t="s">
        <v>41250</v>
      </c>
      <c r="Q13751">
        <v>0</v>
      </c>
      <c r="R13751" t="s">
        <v>41295</v>
      </c>
      <c r="S13751" t="s">
        <v>42629</v>
      </c>
      <c r="T13751" t="s">
        <v>42778</v>
      </c>
      <c r="U13751" t="s">
        <v>54220</v>
      </c>
      <c r="W13751" t="s">
        <v>37777</v>
      </c>
      <c r="X13751" t="s">
        <v>41296</v>
      </c>
    </row>
    <row r="13752" spans="1:24">
      <c r="A13752">
        <f>HYPERLINK("https://www.philgeps.gov.ph/GEPSNONPILOT/Tender/SplashBidNoticeAbstractUI.aspx?menuIndex=3&amp;refID=6986787&amp;Result=3","6986787")</f>
        <v>0</v>
      </c>
      <c r="B13752" t="s">
        <v>3114</v>
      </c>
      <c r="C13752" t="s">
        <v>16568</v>
      </c>
      <c r="D13752" t="s">
        <v>16627</v>
      </c>
      <c r="E13752" t="s">
        <v>28632</v>
      </c>
      <c r="F13752" t="s">
        <v>28669</v>
      </c>
      <c r="G13752" t="s">
        <v>28675</v>
      </c>
      <c r="H13752" t="s">
        <v>28685</v>
      </c>
      <c r="I13752" t="s">
        <v>28689</v>
      </c>
      <c r="J13752" t="s">
        <v>37181</v>
      </c>
      <c r="K13752" t="s">
        <v>37287</v>
      </c>
      <c r="L13752" t="s">
        <v>3114</v>
      </c>
      <c r="M13752" t="s">
        <v>40902</v>
      </c>
      <c r="N13752" t="s">
        <v>41249</v>
      </c>
      <c r="O13752" t="s">
        <v>41250</v>
      </c>
      <c r="Q13752">
        <v>4</v>
      </c>
      <c r="R13752" t="s">
        <v>41289</v>
      </c>
      <c r="S13752" t="s">
        <v>41596</v>
      </c>
      <c r="T13752" t="s">
        <v>42782</v>
      </c>
      <c r="U13752" t="s">
        <v>53988</v>
      </c>
      <c r="W13752" t="s">
        <v>40902</v>
      </c>
      <c r="X13752" t="s">
        <v>41367</v>
      </c>
    </row>
    <row r="13753" spans="1:24">
      <c r="A13753">
        <f>HYPERLINK("https://www.philgeps.gov.ph/GEPSNONPILOT/Tender/SplashBidNoticeAbstractUI.aspx?menuIndex=3&amp;refID=7003767&amp;Result=3","7003767")</f>
        <v>0</v>
      </c>
      <c r="B13753" t="s">
        <v>1976</v>
      </c>
      <c r="C13753" t="s">
        <v>16569</v>
      </c>
      <c r="E13753" t="s">
        <v>28633</v>
      </c>
      <c r="F13753" t="s">
        <v>28669</v>
      </c>
      <c r="G13753" t="s">
        <v>28675</v>
      </c>
      <c r="H13753" t="s">
        <v>28686</v>
      </c>
      <c r="I13753" t="s">
        <v>28689</v>
      </c>
      <c r="J13753" t="s">
        <v>37182</v>
      </c>
      <c r="K13753" t="s">
        <v>37209</v>
      </c>
      <c r="M13753" t="s">
        <v>39610</v>
      </c>
      <c r="N13753" t="s">
        <v>41249</v>
      </c>
      <c r="O13753" t="s">
        <v>41250</v>
      </c>
      <c r="Q13753">
        <v>72</v>
      </c>
      <c r="R13753" t="s">
        <v>41295</v>
      </c>
      <c r="S13753" t="s">
        <v>42273</v>
      </c>
      <c r="T13753" t="s">
        <v>42704</v>
      </c>
      <c r="U13753" t="s">
        <v>48752</v>
      </c>
      <c r="W13753" t="s">
        <v>55982</v>
      </c>
      <c r="X13753" t="s">
        <v>41296</v>
      </c>
    </row>
    <row r="13754" spans="1:24">
      <c r="A13754">
        <f>HYPERLINK("https://www.philgeps.gov.ph/GEPSNONPILOT/Tender/SplashBidNoticeAbstractUI.aspx?menuIndex=3&amp;refID=6980762&amp;Result=3","6980762")</f>
        <v>0</v>
      </c>
      <c r="B13754" t="s">
        <v>298</v>
      </c>
      <c r="C13754" t="s">
        <v>16570</v>
      </c>
      <c r="D13754" t="s">
        <v>16608</v>
      </c>
      <c r="E13754" t="s">
        <v>28634</v>
      </c>
      <c r="F13754" t="s">
        <v>28669</v>
      </c>
      <c r="G13754" t="s">
        <v>28676</v>
      </c>
      <c r="H13754" t="s">
        <v>9998</v>
      </c>
      <c r="I13754" t="s">
        <v>28728</v>
      </c>
      <c r="J13754" t="s">
        <v>37183</v>
      </c>
      <c r="K13754" t="s">
        <v>37272</v>
      </c>
      <c r="M13754" t="s">
        <v>37777</v>
      </c>
      <c r="N13754" t="s">
        <v>41249</v>
      </c>
      <c r="O13754" t="s">
        <v>41250</v>
      </c>
      <c r="Q13754">
        <v>1</v>
      </c>
      <c r="R13754" t="s">
        <v>41366</v>
      </c>
      <c r="S13754" t="s">
        <v>41515</v>
      </c>
      <c r="T13754" t="s">
        <v>42778</v>
      </c>
      <c r="U13754" t="s">
        <v>54221</v>
      </c>
      <c r="V13754" t="s">
        <v>55891</v>
      </c>
      <c r="W13754" t="s">
        <v>37777</v>
      </c>
      <c r="X13754" t="s">
        <v>41300</v>
      </c>
    </row>
    <row r="13755" spans="1:24">
      <c r="A13755">
        <f>HYPERLINK("https://www.philgeps.gov.ph/GEPSNONPILOT/Tender/SplashBidNoticeAbstractUI.aspx?menuIndex=3&amp;refID=7006131&amp;Result=3","7006131")</f>
        <v>0</v>
      </c>
      <c r="B13755" t="s">
        <v>1139</v>
      </c>
      <c r="C13755" t="s">
        <v>16571</v>
      </c>
      <c r="E13755" t="s">
        <v>28635</v>
      </c>
      <c r="F13755" t="s">
        <v>28671</v>
      </c>
      <c r="G13755" t="s">
        <v>28683</v>
      </c>
      <c r="H13755" t="s">
        <v>28686</v>
      </c>
      <c r="I13755" t="s">
        <v>28689</v>
      </c>
      <c r="J13755" t="s">
        <v>30665</v>
      </c>
      <c r="K13755" t="s">
        <v>37494</v>
      </c>
      <c r="M13755" t="s">
        <v>41196</v>
      </c>
      <c r="N13755" t="s">
        <v>41249</v>
      </c>
      <c r="O13755" t="s">
        <v>41250</v>
      </c>
      <c r="Q13755">
        <v>24</v>
      </c>
      <c r="R13755" t="s">
        <v>41284</v>
      </c>
      <c r="S13755" t="s">
        <v>42630</v>
      </c>
      <c r="T13755" t="s">
        <v>42679</v>
      </c>
      <c r="U13755" t="s">
        <v>54222</v>
      </c>
      <c r="V13755" t="s">
        <v>52198</v>
      </c>
      <c r="W13755" t="s">
        <v>41196</v>
      </c>
      <c r="X13755" t="s">
        <v>41295</v>
      </c>
    </row>
    <row r="13756" spans="1:24">
      <c r="A13756">
        <f>HYPERLINK("https://www.philgeps.gov.ph/GEPSNONPILOT/Tender/SplashBidNoticeAbstractUI.aspx?menuIndex=3&amp;refID=6984007&amp;Result=3","6984007")</f>
        <v>0</v>
      </c>
      <c r="B13756" t="s">
        <v>3114</v>
      </c>
      <c r="C13756" t="s">
        <v>16572</v>
      </c>
      <c r="D13756" t="s">
        <v>16627</v>
      </c>
      <c r="E13756" t="s">
        <v>28636</v>
      </c>
      <c r="F13756" t="s">
        <v>28669</v>
      </c>
      <c r="G13756" t="s">
        <v>28675</v>
      </c>
      <c r="H13756" t="s">
        <v>28685</v>
      </c>
      <c r="I13756" t="s">
        <v>28689</v>
      </c>
      <c r="J13756" t="s">
        <v>37184</v>
      </c>
      <c r="K13756" t="s">
        <v>37218</v>
      </c>
      <c r="L13756" t="s">
        <v>3114</v>
      </c>
      <c r="M13756" t="s">
        <v>40902</v>
      </c>
      <c r="N13756" t="s">
        <v>41249</v>
      </c>
      <c r="O13756" t="s">
        <v>41250</v>
      </c>
      <c r="Q13756">
        <v>3</v>
      </c>
      <c r="R13756" t="s">
        <v>41367</v>
      </c>
      <c r="S13756" t="s">
        <v>42631</v>
      </c>
      <c r="T13756" t="s">
        <v>42690</v>
      </c>
      <c r="U13756" t="s">
        <v>53988</v>
      </c>
      <c r="W13756" t="s">
        <v>40902</v>
      </c>
      <c r="X13756" t="s">
        <v>56073</v>
      </c>
    </row>
    <row r="13757" spans="1:24">
      <c r="A13757">
        <f>HYPERLINK("https://www.philgeps.gov.ph/GEPSNONPILOT/Tender/SplashBidNoticeAbstractUI.aspx?menuIndex=3&amp;refID=7016206&amp;Result=3","7016206")</f>
        <v>0</v>
      </c>
      <c r="B13757" t="s">
        <v>2447</v>
      </c>
      <c r="C13757" t="s">
        <v>16573</v>
      </c>
      <c r="D13757" t="s">
        <v>16627</v>
      </c>
      <c r="E13757" t="s">
        <v>28637</v>
      </c>
      <c r="F13757" t="s">
        <v>28669</v>
      </c>
      <c r="G13757" t="s">
        <v>28675</v>
      </c>
      <c r="H13757" t="s">
        <v>28686</v>
      </c>
      <c r="I13757" t="s">
        <v>28689</v>
      </c>
      <c r="J13757" t="s">
        <v>31637</v>
      </c>
      <c r="K13757" t="s">
        <v>37246</v>
      </c>
      <c r="M13757" t="s">
        <v>40130</v>
      </c>
      <c r="N13757" t="s">
        <v>41249</v>
      </c>
      <c r="O13757" t="s">
        <v>41250</v>
      </c>
      <c r="Q13757">
        <v>2</v>
      </c>
      <c r="R13757" t="s">
        <v>41368</v>
      </c>
      <c r="S13757" t="s">
        <v>42449</v>
      </c>
      <c r="T13757" t="s">
        <v>42739</v>
      </c>
      <c r="U13757" t="s">
        <v>54223</v>
      </c>
      <c r="W13757" t="s">
        <v>40130</v>
      </c>
      <c r="X13757" t="s">
        <v>41287</v>
      </c>
    </row>
    <row r="13758" spans="1:24">
      <c r="A13758">
        <f>HYPERLINK("https://www.philgeps.gov.ph/GEPSNONPILOT/Tender/SplashBidNoticeAbstractUI.aspx?menuIndex=3&amp;refID=7016199&amp;Result=3","7016199")</f>
        <v>0</v>
      </c>
      <c r="B13758" t="s">
        <v>2447</v>
      </c>
      <c r="C13758" t="s">
        <v>16574</v>
      </c>
      <c r="D13758" t="s">
        <v>16627</v>
      </c>
      <c r="E13758" t="s">
        <v>28638</v>
      </c>
      <c r="F13758" t="s">
        <v>28669</v>
      </c>
      <c r="G13758" t="s">
        <v>28675</v>
      </c>
      <c r="H13758" t="s">
        <v>28686</v>
      </c>
      <c r="I13758" t="s">
        <v>28689</v>
      </c>
      <c r="J13758" t="s">
        <v>30146</v>
      </c>
      <c r="K13758" t="s">
        <v>37495</v>
      </c>
      <c r="M13758" t="s">
        <v>40130</v>
      </c>
      <c r="N13758" t="s">
        <v>41249</v>
      </c>
      <c r="O13758" t="s">
        <v>41250</v>
      </c>
      <c r="Q13758">
        <v>1</v>
      </c>
      <c r="R13758" t="s">
        <v>41368</v>
      </c>
      <c r="S13758" t="s">
        <v>42632</v>
      </c>
      <c r="T13758" t="s">
        <v>42739</v>
      </c>
      <c r="U13758" t="s">
        <v>54224</v>
      </c>
      <c r="W13758" t="s">
        <v>40130</v>
      </c>
      <c r="X13758" t="s">
        <v>41287</v>
      </c>
    </row>
    <row r="13759" spans="1:24">
      <c r="A13759">
        <f>HYPERLINK("https://www.philgeps.gov.ph/GEPSNONPILOT/Tender/SplashBidNoticeAbstractUI.aspx?menuIndex=3&amp;refID=6969746&amp;Result=3","6969746")</f>
        <v>0</v>
      </c>
      <c r="B13759" t="s">
        <v>1454</v>
      </c>
      <c r="C13759" t="s">
        <v>16575</v>
      </c>
      <c r="E13759" t="s">
        <v>28639</v>
      </c>
      <c r="F13759" t="s">
        <v>28669</v>
      </c>
      <c r="G13759" t="s">
        <v>28676</v>
      </c>
      <c r="H13759" t="s">
        <v>9998</v>
      </c>
      <c r="I13759" t="s">
        <v>28763</v>
      </c>
      <c r="J13759" t="s">
        <v>31123</v>
      </c>
      <c r="K13759" t="s">
        <v>37209</v>
      </c>
      <c r="M13759" t="s">
        <v>39019</v>
      </c>
      <c r="N13759" t="s">
        <v>41249</v>
      </c>
      <c r="O13759" t="s">
        <v>41250</v>
      </c>
      <c r="Q13759">
        <v>8</v>
      </c>
      <c r="R13759" t="s">
        <v>41319</v>
      </c>
      <c r="S13759" t="s">
        <v>41653</v>
      </c>
      <c r="T13759" t="s">
        <v>42883</v>
      </c>
      <c r="U13759" t="s">
        <v>47707</v>
      </c>
      <c r="W13759" t="s">
        <v>39019</v>
      </c>
      <c r="X13759" t="s">
        <v>41318</v>
      </c>
    </row>
    <row r="13760" spans="1:24">
      <c r="A13760">
        <f>HYPERLINK("https://www.philgeps.gov.ph/GEPSNONPILOT/Tender/SplashBidNoticeAbstractUI.aspx?menuIndex=3&amp;refID=7015019&amp;Result=3","7015019")</f>
        <v>0</v>
      </c>
      <c r="B13760" t="s">
        <v>2295</v>
      </c>
      <c r="C13760" t="s">
        <v>16576</v>
      </c>
      <c r="D13760" t="s">
        <v>16672</v>
      </c>
      <c r="E13760" t="s">
        <v>28640</v>
      </c>
      <c r="F13760" t="s">
        <v>28669</v>
      </c>
      <c r="G13760" t="s">
        <v>28676</v>
      </c>
      <c r="H13760" t="s">
        <v>28684</v>
      </c>
      <c r="I13760" t="s">
        <v>6606</v>
      </c>
      <c r="J13760" t="s">
        <v>30429</v>
      </c>
      <c r="K13760" t="s">
        <v>37243</v>
      </c>
      <c r="M13760" t="s">
        <v>39952</v>
      </c>
      <c r="N13760" t="s">
        <v>41249</v>
      </c>
      <c r="O13760" t="s">
        <v>41250</v>
      </c>
      <c r="Q13760">
        <v>0</v>
      </c>
      <c r="R13760" t="s">
        <v>41368</v>
      </c>
      <c r="S13760" t="s">
        <v>42633</v>
      </c>
      <c r="T13760" t="s">
        <v>42736</v>
      </c>
      <c r="U13760" t="s">
        <v>54225</v>
      </c>
      <c r="W13760" t="s">
        <v>39952</v>
      </c>
      <c r="X13760" t="s">
        <v>41287</v>
      </c>
    </row>
    <row r="13761" spans="1:24">
      <c r="A13761">
        <f>HYPERLINK("https://www.philgeps.gov.ph/GEPSNONPILOT/Tender/SplashBidNoticeAbstractUI.aspx?menuIndex=3&amp;refID=7018505&amp;Result=3","7018505")</f>
        <v>0</v>
      </c>
      <c r="B13761" t="s">
        <v>1272</v>
      </c>
      <c r="C13761" t="s">
        <v>16577</v>
      </c>
      <c r="E13761" t="s">
        <v>28641</v>
      </c>
      <c r="F13761" t="s">
        <v>28669</v>
      </c>
      <c r="G13761" t="s">
        <v>28676</v>
      </c>
      <c r="H13761" t="s">
        <v>9998</v>
      </c>
      <c r="I13761" t="s">
        <v>28717</v>
      </c>
      <c r="J13761" t="s">
        <v>28889</v>
      </c>
      <c r="K13761" t="s">
        <v>37209</v>
      </c>
      <c r="M13761" t="s">
        <v>38822</v>
      </c>
      <c r="N13761" t="s">
        <v>41249</v>
      </c>
      <c r="O13761" t="s">
        <v>41250</v>
      </c>
      <c r="P13761">
        <v>0</v>
      </c>
      <c r="Q13761">
        <v>9</v>
      </c>
      <c r="R13761" t="s">
        <v>41282</v>
      </c>
      <c r="S13761" t="s">
        <v>42374</v>
      </c>
      <c r="T13761" t="s">
        <v>42758</v>
      </c>
      <c r="U13761" t="s">
        <v>54226</v>
      </c>
      <c r="W13761" t="s">
        <v>38822</v>
      </c>
      <c r="X13761" t="s">
        <v>41368</v>
      </c>
    </row>
    <row r="13762" spans="1:24">
      <c r="A13762">
        <f>HYPERLINK("https://www.philgeps.gov.ph/GEPSNONPILOT/Tender/SplashBidNoticeAbstractUI.aspx?menuIndex=3&amp;refID=7020355&amp;Result=3","7020355")</f>
        <v>0</v>
      </c>
      <c r="B13762" t="s">
        <v>3370</v>
      </c>
      <c r="C13762" t="s">
        <v>16578</v>
      </c>
      <c r="D13762" t="s">
        <v>16648</v>
      </c>
      <c r="E13762" t="s">
        <v>16578</v>
      </c>
      <c r="F13762" t="s">
        <v>28669</v>
      </c>
      <c r="G13762" t="s">
        <v>28675</v>
      </c>
      <c r="H13762" t="s">
        <v>9998</v>
      </c>
      <c r="I13762" t="s">
        <v>28734</v>
      </c>
      <c r="J13762" t="s">
        <v>37185</v>
      </c>
      <c r="K13762" t="s">
        <v>37213</v>
      </c>
      <c r="M13762" t="s">
        <v>41243</v>
      </c>
      <c r="N13762" t="s">
        <v>41249</v>
      </c>
      <c r="O13762" t="s">
        <v>41250</v>
      </c>
      <c r="Q13762">
        <v>13</v>
      </c>
      <c r="R13762" t="s">
        <v>41281</v>
      </c>
      <c r="S13762" t="s">
        <v>42634</v>
      </c>
      <c r="T13762" t="s">
        <v>42759</v>
      </c>
      <c r="U13762" t="s">
        <v>54227</v>
      </c>
      <c r="W13762" t="s">
        <v>41243</v>
      </c>
      <c r="X13762" t="s">
        <v>41288</v>
      </c>
    </row>
    <row r="13763" spans="1:24">
      <c r="A13763">
        <f>HYPERLINK("https://www.philgeps.gov.ph/GEPSNONPILOT/Tender/SplashBidNoticeAbstractUI.aspx?menuIndex=3&amp;refID=7011905&amp;Result=3","7011905")</f>
        <v>0</v>
      </c>
      <c r="B13763" t="s">
        <v>2800</v>
      </c>
      <c r="C13763" t="s">
        <v>16579</v>
      </c>
      <c r="D13763" t="s">
        <v>16657</v>
      </c>
      <c r="E13763" t="s">
        <v>28642</v>
      </c>
      <c r="F13763" t="s">
        <v>28669</v>
      </c>
      <c r="G13763" t="s">
        <v>28675</v>
      </c>
      <c r="H13763" t="s">
        <v>28686</v>
      </c>
      <c r="I13763" t="s">
        <v>28689</v>
      </c>
      <c r="J13763" t="s">
        <v>37186</v>
      </c>
      <c r="K13763" t="s">
        <v>37496</v>
      </c>
      <c r="M13763" t="s">
        <v>40526</v>
      </c>
      <c r="N13763" t="s">
        <v>41249</v>
      </c>
      <c r="O13763" t="s">
        <v>41250</v>
      </c>
      <c r="Q13763">
        <v>21</v>
      </c>
      <c r="R13763" t="s">
        <v>41287</v>
      </c>
      <c r="S13763" t="s">
        <v>42635</v>
      </c>
      <c r="T13763" t="s">
        <v>42736</v>
      </c>
      <c r="U13763" t="s">
        <v>54228</v>
      </c>
      <c r="V13763" t="s">
        <v>55322</v>
      </c>
      <c r="W13763" t="s">
        <v>40526</v>
      </c>
      <c r="X13763" t="s">
        <v>41283</v>
      </c>
    </row>
    <row r="13764" spans="1:24">
      <c r="A13764">
        <f>HYPERLINK("https://www.philgeps.gov.ph/GEPSNONPILOT/Tender/SplashBidNoticeAbstractUI.aspx?menuIndex=3&amp;refID=7006580&amp;Result=3","7006580")</f>
        <v>0</v>
      </c>
      <c r="B13764" t="s">
        <v>3134</v>
      </c>
      <c r="C13764" t="s">
        <v>16580</v>
      </c>
      <c r="D13764" t="s">
        <v>16608</v>
      </c>
      <c r="E13764" t="s">
        <v>28643</v>
      </c>
      <c r="F13764" t="s">
        <v>28669</v>
      </c>
      <c r="G13764" t="s">
        <v>28676</v>
      </c>
      <c r="H13764" t="s">
        <v>9998</v>
      </c>
      <c r="I13764" t="s">
        <v>28704</v>
      </c>
      <c r="J13764" t="s">
        <v>37187</v>
      </c>
      <c r="K13764" t="s">
        <v>37243</v>
      </c>
      <c r="M13764" t="s">
        <v>41169</v>
      </c>
      <c r="N13764" t="s">
        <v>41249</v>
      </c>
      <c r="O13764" t="s">
        <v>41250</v>
      </c>
      <c r="Q13764">
        <v>0</v>
      </c>
      <c r="R13764" t="s">
        <v>41284</v>
      </c>
      <c r="S13764" t="s">
        <v>42636</v>
      </c>
      <c r="T13764" t="s">
        <v>42757</v>
      </c>
      <c r="U13764" t="s">
        <v>54229</v>
      </c>
      <c r="W13764" t="s">
        <v>41169</v>
      </c>
      <c r="X13764" t="s">
        <v>41295</v>
      </c>
    </row>
    <row r="13765" spans="1:24">
      <c r="A13765">
        <f>HYPERLINK("https://www.philgeps.gov.ph/GEPSNONPILOT/Tender/SplashBidNoticeAbstractUI.aspx?menuIndex=3&amp;refID=7019957&amp;Result=3","7019957")</f>
        <v>0</v>
      </c>
      <c r="B13765" t="s">
        <v>1879</v>
      </c>
      <c r="C13765" t="s">
        <v>16581</v>
      </c>
      <c r="D13765" t="s">
        <v>16624</v>
      </c>
      <c r="E13765" t="s">
        <v>28644</v>
      </c>
      <c r="F13765" t="s">
        <v>28669</v>
      </c>
      <c r="G13765" t="s">
        <v>28675</v>
      </c>
      <c r="H13765" t="s">
        <v>28686</v>
      </c>
      <c r="I13765" t="s">
        <v>28689</v>
      </c>
      <c r="J13765" t="s">
        <v>30304</v>
      </c>
      <c r="K13765" t="s">
        <v>37212</v>
      </c>
      <c r="M13765" t="s">
        <v>39502</v>
      </c>
      <c r="N13765" t="s">
        <v>41249</v>
      </c>
      <c r="O13765" t="s">
        <v>41250</v>
      </c>
      <c r="Q13765">
        <v>0</v>
      </c>
      <c r="R13765" t="s">
        <v>41281</v>
      </c>
      <c r="S13765" t="s">
        <v>41985</v>
      </c>
      <c r="T13765" t="s">
        <v>42736</v>
      </c>
      <c r="U13765" t="s">
        <v>47782</v>
      </c>
      <c r="W13765" t="s">
        <v>39502</v>
      </c>
      <c r="X13765" t="s">
        <v>41288</v>
      </c>
    </row>
    <row r="13766" spans="1:24">
      <c r="A13766">
        <f>HYPERLINK("https://www.philgeps.gov.ph/GEPSNONPILOT/Tender/SplashBidNoticeAbstractUI.aspx?menuIndex=3&amp;refID=7015699&amp;Result=3","7015699")</f>
        <v>0</v>
      </c>
      <c r="B13766" t="s">
        <v>2004</v>
      </c>
      <c r="C13766" t="s">
        <v>16582</v>
      </c>
      <c r="D13766" t="s">
        <v>16661</v>
      </c>
      <c r="E13766" t="s">
        <v>28645</v>
      </c>
      <c r="F13766" t="s">
        <v>28669</v>
      </c>
      <c r="G13766" t="s">
        <v>28677</v>
      </c>
      <c r="H13766" t="s">
        <v>9998</v>
      </c>
      <c r="I13766" t="s">
        <v>28798</v>
      </c>
      <c r="J13766" t="s">
        <v>35599</v>
      </c>
      <c r="K13766" t="s">
        <v>37206</v>
      </c>
      <c r="M13766" t="s">
        <v>39642</v>
      </c>
      <c r="N13766" t="s">
        <v>41249</v>
      </c>
      <c r="O13766" t="s">
        <v>41250</v>
      </c>
      <c r="Q13766">
        <v>6</v>
      </c>
      <c r="R13766" t="s">
        <v>41368</v>
      </c>
      <c r="S13766" t="s">
        <v>42637</v>
      </c>
      <c r="T13766" t="s">
        <v>42701</v>
      </c>
      <c r="U13766" t="s">
        <v>54230</v>
      </c>
      <c r="W13766" t="s">
        <v>39642</v>
      </c>
      <c r="X13766" t="s">
        <v>41287</v>
      </c>
    </row>
    <row r="13767" spans="1:24">
      <c r="A13767">
        <f>HYPERLINK("https://www.philgeps.gov.ph/GEPSNONPILOT/Tender/SplashBidNoticeAbstractUI.aspx?menuIndex=3&amp;refID=7022431&amp;Result=3","7022431")</f>
        <v>0</v>
      </c>
      <c r="B13767" t="s">
        <v>3371</v>
      </c>
      <c r="C13767" t="s">
        <v>16583</v>
      </c>
      <c r="E13767" t="s">
        <v>28646</v>
      </c>
      <c r="F13767" t="s">
        <v>28669</v>
      </c>
      <c r="G13767" t="s">
        <v>28676</v>
      </c>
      <c r="H13767" t="s">
        <v>9998</v>
      </c>
      <c r="I13767" t="s">
        <v>28704</v>
      </c>
      <c r="J13767" t="s">
        <v>31884</v>
      </c>
      <c r="K13767" t="s">
        <v>37209</v>
      </c>
      <c r="M13767" t="s">
        <v>41244</v>
      </c>
      <c r="N13767" t="s">
        <v>41249</v>
      </c>
      <c r="O13767" t="s">
        <v>41250</v>
      </c>
      <c r="P13767">
        <v>0</v>
      </c>
      <c r="Q13767">
        <v>2</v>
      </c>
      <c r="R13767" t="s">
        <v>41280</v>
      </c>
      <c r="S13767" t="s">
        <v>42347</v>
      </c>
      <c r="T13767" t="s">
        <v>42678</v>
      </c>
      <c r="U13767" t="s">
        <v>54231</v>
      </c>
      <c r="W13767" t="s">
        <v>41244</v>
      </c>
      <c r="X13767" t="s">
        <v>41281</v>
      </c>
    </row>
    <row r="13768" spans="1:24">
      <c r="A13768">
        <f>HYPERLINK("https://www.philgeps.gov.ph/GEPSNONPILOT/Tender/SplashBidNoticeAbstractUI.aspx?menuIndex=3&amp;refID=7020928&amp;Result=3","7020928")</f>
        <v>0</v>
      </c>
      <c r="B13768" t="s">
        <v>703</v>
      </c>
      <c r="C13768" t="s">
        <v>16584</v>
      </c>
      <c r="E13768" t="s">
        <v>28647</v>
      </c>
      <c r="F13768" t="s">
        <v>28669</v>
      </c>
      <c r="G13768" t="s">
        <v>28675</v>
      </c>
      <c r="H13768" t="s">
        <v>9998</v>
      </c>
      <c r="I13768" t="s">
        <v>28772</v>
      </c>
      <c r="J13768" t="s">
        <v>35962</v>
      </c>
      <c r="K13768" t="s">
        <v>37209</v>
      </c>
      <c r="M13768" t="s">
        <v>40830</v>
      </c>
      <c r="N13768" t="s">
        <v>41249</v>
      </c>
      <c r="O13768" t="s">
        <v>41250</v>
      </c>
      <c r="Q13768">
        <v>4</v>
      </c>
      <c r="R13768" t="s">
        <v>41281</v>
      </c>
      <c r="S13768" t="s">
        <v>42638</v>
      </c>
      <c r="T13768" t="s">
        <v>42929</v>
      </c>
      <c r="U13768" t="s">
        <v>54232</v>
      </c>
      <c r="V13768" t="s">
        <v>55849</v>
      </c>
      <c r="W13768" t="s">
        <v>56036</v>
      </c>
      <c r="X13768" t="s">
        <v>41288</v>
      </c>
    </row>
    <row r="13769" spans="1:24">
      <c r="A13769">
        <f>HYPERLINK("https://www.philgeps.gov.ph/GEPSNONPILOT/Tender/SplashBidNoticeAbstractUI.aspx?menuIndex=3&amp;refID=7020712&amp;Result=3","7020712")</f>
        <v>0</v>
      </c>
      <c r="B13769" t="s">
        <v>1139</v>
      </c>
      <c r="C13769" t="s">
        <v>16585</v>
      </c>
      <c r="E13769" t="s">
        <v>28648</v>
      </c>
      <c r="F13769" t="s">
        <v>28669</v>
      </c>
      <c r="G13769" t="s">
        <v>28675</v>
      </c>
      <c r="H13769" t="s">
        <v>28686</v>
      </c>
      <c r="I13769" t="s">
        <v>28689</v>
      </c>
      <c r="J13769" t="s">
        <v>37188</v>
      </c>
      <c r="K13769" t="s">
        <v>37497</v>
      </c>
      <c r="M13769" t="s">
        <v>41196</v>
      </c>
      <c r="N13769" t="s">
        <v>41249</v>
      </c>
      <c r="O13769" t="s">
        <v>41250</v>
      </c>
      <c r="Q13769">
        <v>14</v>
      </c>
      <c r="R13769" t="s">
        <v>41281</v>
      </c>
      <c r="S13769" t="s">
        <v>42639</v>
      </c>
      <c r="T13769" t="s">
        <v>42872</v>
      </c>
      <c r="U13769" t="s">
        <v>54233</v>
      </c>
      <c r="V13769" t="s">
        <v>55272</v>
      </c>
      <c r="W13769" t="s">
        <v>41196</v>
      </c>
      <c r="X13769" t="s">
        <v>41288</v>
      </c>
    </row>
    <row r="13770" spans="1:24">
      <c r="A13770">
        <f>HYPERLINK("https://www.philgeps.gov.ph/GEPSNONPILOT/Tender/SplashBidNoticeAbstractUI.aspx?menuIndex=3&amp;refID=7019935&amp;Result=3","7019935")</f>
        <v>0</v>
      </c>
      <c r="B13770" t="s">
        <v>1879</v>
      </c>
      <c r="C13770" t="s">
        <v>16586</v>
      </c>
      <c r="D13770" t="s">
        <v>16624</v>
      </c>
      <c r="E13770" t="s">
        <v>28649</v>
      </c>
      <c r="F13770" t="s">
        <v>28669</v>
      </c>
      <c r="G13770" t="s">
        <v>28675</v>
      </c>
      <c r="H13770" t="s">
        <v>28686</v>
      </c>
      <c r="I13770" t="s">
        <v>28689</v>
      </c>
      <c r="J13770" t="s">
        <v>30146</v>
      </c>
      <c r="K13770" t="s">
        <v>37271</v>
      </c>
      <c r="M13770" t="s">
        <v>39502</v>
      </c>
      <c r="N13770" t="s">
        <v>41249</v>
      </c>
      <c r="O13770" t="s">
        <v>41250</v>
      </c>
      <c r="Q13770">
        <v>0</v>
      </c>
      <c r="R13770" t="s">
        <v>41281</v>
      </c>
      <c r="S13770" t="s">
        <v>42640</v>
      </c>
      <c r="T13770" t="s">
        <v>42736</v>
      </c>
      <c r="U13770" t="s">
        <v>47782</v>
      </c>
      <c r="W13770" t="s">
        <v>39502</v>
      </c>
      <c r="X13770" t="s">
        <v>41288</v>
      </c>
    </row>
    <row r="13771" spans="1:24">
      <c r="A13771">
        <f>HYPERLINK("https://www.philgeps.gov.ph/GEPSNONPILOT/Tender/SplashBidNoticeAbstractUI.aspx?menuIndex=3&amp;refID=7022290&amp;Result=3","7022290")</f>
        <v>0</v>
      </c>
      <c r="B13771" t="s">
        <v>1509</v>
      </c>
      <c r="C13771" t="s">
        <v>16587</v>
      </c>
      <c r="D13771" t="s">
        <v>16673</v>
      </c>
      <c r="E13771" t="s">
        <v>28650</v>
      </c>
      <c r="F13771" t="s">
        <v>28669</v>
      </c>
      <c r="G13771" t="s">
        <v>28678</v>
      </c>
      <c r="H13771" t="s">
        <v>9998</v>
      </c>
      <c r="I13771" t="s">
        <v>5213</v>
      </c>
      <c r="J13771" t="s">
        <v>29496</v>
      </c>
      <c r="K13771" t="s">
        <v>37221</v>
      </c>
      <c r="M13771" t="s">
        <v>39083</v>
      </c>
      <c r="N13771" t="s">
        <v>41249</v>
      </c>
      <c r="O13771" t="s">
        <v>41250</v>
      </c>
      <c r="Q13771">
        <v>14</v>
      </c>
      <c r="R13771" t="s">
        <v>41280</v>
      </c>
      <c r="S13771" t="s">
        <v>42641</v>
      </c>
      <c r="T13771" t="s">
        <v>43175</v>
      </c>
      <c r="U13771" t="s">
        <v>46582</v>
      </c>
      <c r="W13771" t="s">
        <v>39083</v>
      </c>
      <c r="X13771" t="s">
        <v>41281</v>
      </c>
    </row>
    <row r="13772" spans="1:24">
      <c r="A13772">
        <f>HYPERLINK("https://www.philgeps.gov.ph/GEPSNONPILOT/Tender/SplashBidNoticeAbstractUI.aspx?menuIndex=3&amp;refID=7025769&amp;Result=3","7025769")</f>
        <v>0</v>
      </c>
      <c r="B13772" t="s">
        <v>376</v>
      </c>
      <c r="C13772" t="s">
        <v>16588</v>
      </c>
      <c r="D13772" t="s">
        <v>16608</v>
      </c>
      <c r="E13772" t="s">
        <v>28651</v>
      </c>
      <c r="F13772" t="s">
        <v>28669</v>
      </c>
      <c r="G13772" t="s">
        <v>28675</v>
      </c>
      <c r="H13772" t="s">
        <v>9998</v>
      </c>
      <c r="I13772" t="s">
        <v>28699</v>
      </c>
      <c r="J13772" t="s">
        <v>37189</v>
      </c>
      <c r="K13772" t="s">
        <v>37255</v>
      </c>
      <c r="M13772" t="s">
        <v>40929</v>
      </c>
      <c r="N13772" t="s">
        <v>41249</v>
      </c>
      <c r="O13772" t="s">
        <v>41250</v>
      </c>
      <c r="Q13772">
        <v>17</v>
      </c>
      <c r="R13772" t="s">
        <v>41279</v>
      </c>
      <c r="S13772" t="s">
        <v>42642</v>
      </c>
      <c r="T13772" t="s">
        <v>42778</v>
      </c>
      <c r="U13772" t="s">
        <v>53377</v>
      </c>
      <c r="W13772" t="s">
        <v>40929</v>
      </c>
      <c r="X13772" t="s">
        <v>41280</v>
      </c>
    </row>
    <row r="13773" spans="1:24">
      <c r="A13773">
        <f>HYPERLINK("https://www.philgeps.gov.ph/GEPSNONPILOT/Tender/SplashBidNoticeAbstractUI.aspx?menuIndex=3&amp;refID=7025139&amp;Result=3","7025139")</f>
        <v>0</v>
      </c>
      <c r="B13773" t="s">
        <v>977</v>
      </c>
      <c r="C13773" t="s">
        <v>16589</v>
      </c>
      <c r="D13773" t="s">
        <v>16691</v>
      </c>
      <c r="E13773" t="s">
        <v>28652</v>
      </c>
      <c r="F13773" t="s">
        <v>28669</v>
      </c>
      <c r="G13773" t="s">
        <v>28675</v>
      </c>
      <c r="H13773" t="s">
        <v>28686</v>
      </c>
      <c r="I13773" t="s">
        <v>28689</v>
      </c>
      <c r="J13773" t="s">
        <v>31799</v>
      </c>
      <c r="K13773" t="s">
        <v>37453</v>
      </c>
      <c r="M13773" t="s">
        <v>38502</v>
      </c>
      <c r="N13773" t="s">
        <v>41249</v>
      </c>
      <c r="O13773" t="s">
        <v>41250</v>
      </c>
      <c r="Q13773">
        <v>0</v>
      </c>
      <c r="R13773" t="s">
        <v>41279</v>
      </c>
      <c r="S13773" t="s">
        <v>42643</v>
      </c>
      <c r="T13773" t="s">
        <v>42759</v>
      </c>
      <c r="U13773" t="s">
        <v>54234</v>
      </c>
      <c r="W13773" t="s">
        <v>38502</v>
      </c>
      <c r="X13773" t="s">
        <v>41280</v>
      </c>
    </row>
    <row r="13774" spans="1:24">
      <c r="A13774">
        <f>HYPERLINK("https://www.philgeps.gov.ph/GEPSNONPILOT/Tender/SplashBidNoticeAbstractUI.aspx?menuIndex=3&amp;refID=7022428&amp;Result=3","7022428")</f>
        <v>0</v>
      </c>
      <c r="B13774" t="s">
        <v>3372</v>
      </c>
      <c r="C13774" t="s">
        <v>16590</v>
      </c>
      <c r="D13774" t="s">
        <v>16626</v>
      </c>
      <c r="E13774" t="s">
        <v>18887</v>
      </c>
      <c r="F13774" t="s">
        <v>28669</v>
      </c>
      <c r="G13774" t="s">
        <v>28676</v>
      </c>
      <c r="H13774" t="s">
        <v>9998</v>
      </c>
      <c r="I13774" t="s">
        <v>7352</v>
      </c>
      <c r="J13774" t="s">
        <v>37190</v>
      </c>
      <c r="K13774" t="s">
        <v>37210</v>
      </c>
      <c r="M13774" t="s">
        <v>41245</v>
      </c>
      <c r="N13774" t="s">
        <v>41249</v>
      </c>
      <c r="O13774" t="s">
        <v>41250</v>
      </c>
      <c r="Q13774">
        <v>1</v>
      </c>
      <c r="R13774" t="s">
        <v>41280</v>
      </c>
      <c r="S13774" t="s">
        <v>42644</v>
      </c>
      <c r="T13774" t="s">
        <v>42992</v>
      </c>
      <c r="U13774" t="s">
        <v>54235</v>
      </c>
      <c r="V13774" t="s">
        <v>55892</v>
      </c>
      <c r="W13774" t="s">
        <v>41245</v>
      </c>
      <c r="X13774" t="s">
        <v>41281</v>
      </c>
    </row>
    <row r="13775" spans="1:24">
      <c r="A13775">
        <f>HYPERLINK("https://www.philgeps.gov.ph/GEPSNONPILOT/Tender/SplashBidNoticeAbstractUI.aspx?menuIndex=3&amp;refID=7025119&amp;Result=3","7025119")</f>
        <v>0</v>
      </c>
      <c r="B13775" t="s">
        <v>1085</v>
      </c>
      <c r="C13775" t="s">
        <v>16591</v>
      </c>
      <c r="D13775" t="s">
        <v>16611</v>
      </c>
      <c r="E13775" t="s">
        <v>28653</v>
      </c>
      <c r="F13775" t="s">
        <v>28669</v>
      </c>
      <c r="G13775" t="s">
        <v>28675</v>
      </c>
      <c r="H13775" t="s">
        <v>9998</v>
      </c>
      <c r="I13775" t="s">
        <v>28722</v>
      </c>
      <c r="J13775" t="s">
        <v>34944</v>
      </c>
      <c r="K13775" t="s">
        <v>37205</v>
      </c>
      <c r="M13775" t="s">
        <v>38617</v>
      </c>
      <c r="N13775" t="s">
        <v>41249</v>
      </c>
      <c r="O13775" t="s">
        <v>41250</v>
      </c>
      <c r="P13775">
        <v>0</v>
      </c>
      <c r="Q13775">
        <v>1</v>
      </c>
      <c r="R13775" t="s">
        <v>41279</v>
      </c>
      <c r="S13775" t="s">
        <v>42346</v>
      </c>
      <c r="T13775" t="s">
        <v>42729</v>
      </c>
      <c r="U13775" t="s">
        <v>54236</v>
      </c>
      <c r="V13775" t="s">
        <v>55893</v>
      </c>
      <c r="W13775" t="s">
        <v>38617</v>
      </c>
      <c r="X13775" t="s">
        <v>41280</v>
      </c>
    </row>
    <row r="13776" spans="1:24">
      <c r="A13776">
        <f>HYPERLINK("https://www.philgeps.gov.ph/GEPSNONPILOT/Tender/SplashBidNoticeAbstractUI.aspx?menuIndex=3&amp;refID=7025103&amp;Result=3","7025103")</f>
        <v>0</v>
      </c>
      <c r="B13776" t="s">
        <v>977</v>
      </c>
      <c r="C13776" t="s">
        <v>16592</v>
      </c>
      <c r="D13776" t="s">
        <v>16691</v>
      </c>
      <c r="E13776" t="s">
        <v>28654</v>
      </c>
      <c r="F13776" t="s">
        <v>28669</v>
      </c>
      <c r="G13776" t="s">
        <v>28675</v>
      </c>
      <c r="H13776" t="s">
        <v>28686</v>
      </c>
      <c r="I13776" t="s">
        <v>28689</v>
      </c>
      <c r="J13776" t="s">
        <v>37191</v>
      </c>
      <c r="K13776" t="s">
        <v>37214</v>
      </c>
      <c r="M13776" t="s">
        <v>38502</v>
      </c>
      <c r="N13776" t="s">
        <v>41249</v>
      </c>
      <c r="O13776" t="s">
        <v>41250</v>
      </c>
      <c r="Q13776">
        <v>0</v>
      </c>
      <c r="R13776" t="s">
        <v>41279</v>
      </c>
      <c r="S13776" t="s">
        <v>42645</v>
      </c>
      <c r="T13776" t="s">
        <v>42759</v>
      </c>
      <c r="U13776" t="s">
        <v>54237</v>
      </c>
      <c r="W13776" t="s">
        <v>38502</v>
      </c>
      <c r="X13776" t="s">
        <v>41280</v>
      </c>
    </row>
    <row r="13777" spans="1:24">
      <c r="A13777">
        <f>HYPERLINK("https://www.philgeps.gov.ph/GEPSNONPILOT/Tender/SplashBidNoticeAbstractUI.aspx?menuIndex=3&amp;refID=7022536&amp;Result=3","7022536")</f>
        <v>0</v>
      </c>
      <c r="B13777" t="s">
        <v>1509</v>
      </c>
      <c r="C13777" t="s">
        <v>16593</v>
      </c>
      <c r="D13777" t="s">
        <v>16609</v>
      </c>
      <c r="E13777" t="s">
        <v>28655</v>
      </c>
      <c r="F13777" t="s">
        <v>28669</v>
      </c>
      <c r="G13777" t="s">
        <v>28676</v>
      </c>
      <c r="H13777" t="s">
        <v>9998</v>
      </c>
      <c r="I13777" t="s">
        <v>5213</v>
      </c>
      <c r="J13777" t="s">
        <v>28914</v>
      </c>
      <c r="K13777" t="s">
        <v>37206</v>
      </c>
      <c r="M13777" t="s">
        <v>39083</v>
      </c>
      <c r="N13777" t="s">
        <v>41249</v>
      </c>
      <c r="O13777" t="s">
        <v>41250</v>
      </c>
      <c r="Q13777">
        <v>4</v>
      </c>
      <c r="R13777" t="s">
        <v>41280</v>
      </c>
      <c r="S13777" t="s">
        <v>42646</v>
      </c>
      <c r="T13777" t="s">
        <v>42754</v>
      </c>
      <c r="U13777" t="s">
        <v>46582</v>
      </c>
      <c r="W13777" t="s">
        <v>39083</v>
      </c>
      <c r="X13777" t="s">
        <v>41281</v>
      </c>
    </row>
    <row r="13778" spans="1:24">
      <c r="A13778">
        <f>HYPERLINK("https://www.philgeps.gov.ph/GEPSNONPILOT/Tender/SplashBidNoticeAbstractUI.aspx?menuIndex=3&amp;refID=7025815&amp;Result=3","7025815")</f>
        <v>0</v>
      </c>
      <c r="B13778" t="s">
        <v>376</v>
      </c>
      <c r="C13778" t="s">
        <v>16594</v>
      </c>
      <c r="D13778" t="s">
        <v>16608</v>
      </c>
      <c r="E13778" t="s">
        <v>28656</v>
      </c>
      <c r="F13778" t="s">
        <v>28669</v>
      </c>
      <c r="G13778" t="s">
        <v>28675</v>
      </c>
      <c r="H13778" t="s">
        <v>9998</v>
      </c>
      <c r="I13778" t="s">
        <v>28793</v>
      </c>
      <c r="J13778" t="s">
        <v>37192</v>
      </c>
      <c r="K13778" t="s">
        <v>37325</v>
      </c>
      <c r="M13778" t="s">
        <v>40929</v>
      </c>
      <c r="N13778" t="s">
        <v>41249</v>
      </c>
      <c r="O13778" t="s">
        <v>41250</v>
      </c>
      <c r="Q13778">
        <v>9</v>
      </c>
      <c r="R13778" t="s">
        <v>41279</v>
      </c>
      <c r="S13778" t="s">
        <v>42647</v>
      </c>
      <c r="T13778" t="s">
        <v>42778</v>
      </c>
      <c r="U13778" t="s">
        <v>54238</v>
      </c>
      <c r="W13778" t="s">
        <v>40929</v>
      </c>
      <c r="X13778" t="s">
        <v>41280</v>
      </c>
    </row>
    <row r="13779" spans="1:24">
      <c r="A13779">
        <f>HYPERLINK("https://www.philgeps.gov.ph/GEPSNONPILOT/Tender/SplashBidNoticeAbstractUI.aspx?menuIndex=3&amp;refID=7031089&amp;Result=3","7031089")</f>
        <v>0</v>
      </c>
      <c r="B13779" t="s">
        <v>1997</v>
      </c>
      <c r="C13779" t="s">
        <v>16595</v>
      </c>
      <c r="E13779" t="s">
        <v>28657</v>
      </c>
      <c r="F13779" t="s">
        <v>28669</v>
      </c>
      <c r="G13779" t="s">
        <v>28675</v>
      </c>
      <c r="H13779" t="s">
        <v>9998</v>
      </c>
      <c r="I13779" t="s">
        <v>28733</v>
      </c>
      <c r="J13779" t="s">
        <v>37193</v>
      </c>
      <c r="K13779" t="s">
        <v>37209</v>
      </c>
      <c r="M13779" t="s">
        <v>41246</v>
      </c>
      <c r="N13779" t="s">
        <v>41249</v>
      </c>
      <c r="O13779" t="s">
        <v>41250</v>
      </c>
      <c r="Q13779">
        <v>15</v>
      </c>
      <c r="R13779" t="s">
        <v>41276</v>
      </c>
      <c r="S13779" t="s">
        <v>42648</v>
      </c>
      <c r="T13779" t="s">
        <v>42739</v>
      </c>
      <c r="U13779" t="s">
        <v>54239</v>
      </c>
      <c r="W13779" t="s">
        <v>41246</v>
      </c>
      <c r="X13779" t="s">
        <v>41278</v>
      </c>
    </row>
    <row r="13780" spans="1:24">
      <c r="A13780">
        <f>HYPERLINK("https://www.philgeps.gov.ph/GEPSNONPILOT/Tender/SplashBidNoticeAbstractUI.aspx?menuIndex=3&amp;refID=7031748&amp;Result=3","7031748")</f>
        <v>0</v>
      </c>
      <c r="B13780" t="s">
        <v>3337</v>
      </c>
      <c r="C13780" t="s">
        <v>16596</v>
      </c>
      <c r="D13780" t="s">
        <v>16621</v>
      </c>
      <c r="E13780" t="s">
        <v>28658</v>
      </c>
      <c r="F13780" t="s">
        <v>28669</v>
      </c>
      <c r="G13780" t="s">
        <v>28675</v>
      </c>
      <c r="H13780" t="s">
        <v>28684</v>
      </c>
      <c r="I13780" t="s">
        <v>3679</v>
      </c>
      <c r="J13780" t="s">
        <v>37194</v>
      </c>
      <c r="K13780" t="s">
        <v>37206</v>
      </c>
      <c r="M13780" t="s">
        <v>41185</v>
      </c>
      <c r="N13780" t="s">
        <v>41249</v>
      </c>
      <c r="O13780" t="s">
        <v>41250</v>
      </c>
      <c r="Q13780">
        <v>5</v>
      </c>
      <c r="R13780" t="s">
        <v>41276</v>
      </c>
      <c r="S13780" t="s">
        <v>42649</v>
      </c>
      <c r="T13780" t="s">
        <v>42727</v>
      </c>
      <c r="U13780" t="s">
        <v>54240</v>
      </c>
      <c r="W13780" t="s">
        <v>41185</v>
      </c>
      <c r="X13780" t="s">
        <v>41278</v>
      </c>
    </row>
    <row r="13781" spans="1:24">
      <c r="A13781">
        <f>HYPERLINK("https://www.philgeps.gov.ph/GEPSNONPILOT/Tender/SplashBidNoticeAbstractUI.aspx?menuIndex=3&amp;refID=7030752&amp;Result=3","7030752")</f>
        <v>0</v>
      </c>
      <c r="B13781" t="s">
        <v>311</v>
      </c>
      <c r="C13781" t="s">
        <v>16597</v>
      </c>
      <c r="D13781" t="s">
        <v>16627</v>
      </c>
      <c r="E13781" t="s">
        <v>28659</v>
      </c>
      <c r="F13781" t="s">
        <v>28669</v>
      </c>
      <c r="G13781" t="s">
        <v>28675</v>
      </c>
      <c r="H13781" t="s">
        <v>9998</v>
      </c>
      <c r="I13781" t="s">
        <v>28787</v>
      </c>
      <c r="J13781" t="s">
        <v>29109</v>
      </c>
      <c r="K13781" t="s">
        <v>37206</v>
      </c>
      <c r="M13781" t="s">
        <v>41188</v>
      </c>
      <c r="N13781" t="s">
        <v>41249</v>
      </c>
      <c r="O13781" t="s">
        <v>41250</v>
      </c>
      <c r="Q13781">
        <v>4</v>
      </c>
      <c r="R13781" t="s">
        <v>41276</v>
      </c>
      <c r="S13781" t="s">
        <v>42650</v>
      </c>
      <c r="T13781" t="s">
        <v>42660</v>
      </c>
      <c r="U13781" t="s">
        <v>54241</v>
      </c>
      <c r="W13781" t="s">
        <v>41188</v>
      </c>
      <c r="X13781" t="s">
        <v>41278</v>
      </c>
    </row>
    <row r="13782" spans="1:24">
      <c r="A13782">
        <f>HYPERLINK("https://www.philgeps.gov.ph/GEPSNONPILOT/Tender/SplashBidNoticeAbstractUI.aspx?menuIndex=3&amp;refID=7025126&amp;Result=3","7025126")</f>
        <v>0</v>
      </c>
      <c r="B13782" t="s">
        <v>977</v>
      </c>
      <c r="C13782" t="s">
        <v>16598</v>
      </c>
      <c r="D13782" t="s">
        <v>16691</v>
      </c>
      <c r="E13782" t="s">
        <v>28660</v>
      </c>
      <c r="F13782" t="s">
        <v>28669</v>
      </c>
      <c r="G13782" t="s">
        <v>28675</v>
      </c>
      <c r="H13782" t="s">
        <v>28686</v>
      </c>
      <c r="I13782" t="s">
        <v>28689</v>
      </c>
      <c r="J13782" t="s">
        <v>29069</v>
      </c>
      <c r="K13782" t="s">
        <v>37273</v>
      </c>
      <c r="M13782" t="s">
        <v>38502</v>
      </c>
      <c r="N13782" t="s">
        <v>41249</v>
      </c>
      <c r="O13782" t="s">
        <v>41250</v>
      </c>
      <c r="Q13782">
        <v>0</v>
      </c>
      <c r="R13782" t="s">
        <v>41279</v>
      </c>
      <c r="S13782" t="s">
        <v>42651</v>
      </c>
      <c r="T13782" t="s">
        <v>42759</v>
      </c>
      <c r="U13782" t="s">
        <v>54242</v>
      </c>
      <c r="W13782" t="s">
        <v>38502</v>
      </c>
      <c r="X13782" t="s">
        <v>41280</v>
      </c>
    </row>
    <row r="13783" spans="1:24">
      <c r="A13783">
        <f>HYPERLINK("https://www.philgeps.gov.ph/GEPSNONPILOT/Tender/SplashBidNoticeAbstractUI.aspx?menuIndex=3&amp;refID=7022322&amp;Result=3","7022322")</f>
        <v>0</v>
      </c>
      <c r="B13783" t="s">
        <v>3345</v>
      </c>
      <c r="C13783" t="s">
        <v>13499</v>
      </c>
      <c r="D13783" t="s">
        <v>16616</v>
      </c>
      <c r="E13783" t="s">
        <v>28559</v>
      </c>
      <c r="F13783" t="s">
        <v>28669</v>
      </c>
      <c r="G13783" t="s">
        <v>28675</v>
      </c>
      <c r="H13783" t="s">
        <v>9998</v>
      </c>
      <c r="I13783" t="s">
        <v>7352</v>
      </c>
      <c r="J13783" t="s">
        <v>37195</v>
      </c>
      <c r="K13783" t="s">
        <v>37206</v>
      </c>
      <c r="M13783" t="s">
        <v>41194</v>
      </c>
      <c r="N13783" t="s">
        <v>41249</v>
      </c>
      <c r="O13783" t="s">
        <v>41250</v>
      </c>
      <c r="P13783">
        <v>0</v>
      </c>
      <c r="Q13783">
        <v>0</v>
      </c>
      <c r="R13783" t="s">
        <v>41280</v>
      </c>
      <c r="S13783" t="s">
        <v>42347</v>
      </c>
      <c r="T13783" t="s">
        <v>42701</v>
      </c>
      <c r="U13783" t="s">
        <v>54243</v>
      </c>
      <c r="V13783" t="s">
        <v>55844</v>
      </c>
      <c r="W13783" t="s">
        <v>41194</v>
      </c>
      <c r="X13783" t="s">
        <v>41281</v>
      </c>
    </row>
    <row r="13784" spans="1:24">
      <c r="A13784">
        <f>HYPERLINK("https://www.philgeps.gov.ph/GEPSNONPILOT/Tender/SplashBidNoticeAbstractUI.aspx?menuIndex=3&amp;refID=7032270&amp;Result=3","7032270")</f>
        <v>0</v>
      </c>
      <c r="B13784" t="s">
        <v>1064</v>
      </c>
      <c r="C13784" t="s">
        <v>16599</v>
      </c>
      <c r="D13784" t="s">
        <v>16655</v>
      </c>
      <c r="E13784" t="s">
        <v>28661</v>
      </c>
      <c r="F13784" t="s">
        <v>28669</v>
      </c>
      <c r="G13784" t="s">
        <v>28675</v>
      </c>
      <c r="H13784" t="s">
        <v>9998</v>
      </c>
      <c r="I13784" t="s">
        <v>5286</v>
      </c>
      <c r="J13784" t="s">
        <v>37196</v>
      </c>
      <c r="K13784" t="s">
        <v>37204</v>
      </c>
      <c r="M13784" t="s">
        <v>41173</v>
      </c>
      <c r="N13784" t="s">
        <v>41249</v>
      </c>
      <c r="O13784" t="s">
        <v>41250</v>
      </c>
      <c r="Q13784">
        <v>4</v>
      </c>
      <c r="R13784" t="s">
        <v>41275</v>
      </c>
      <c r="S13784" t="s">
        <v>42652</v>
      </c>
      <c r="T13784" t="s">
        <v>43023</v>
      </c>
      <c r="U13784" t="s">
        <v>54244</v>
      </c>
      <c r="W13784" t="s">
        <v>41173</v>
      </c>
      <c r="X13784" t="s">
        <v>41276</v>
      </c>
    </row>
    <row r="13785" spans="1:24">
      <c r="A13785">
        <f>HYPERLINK("https://www.philgeps.gov.ph/GEPSNONPILOT/Tender/SplashBidNoticeAbstractUI.aspx?menuIndex=3&amp;refID=7032076&amp;Result=3","7032076")</f>
        <v>0</v>
      </c>
      <c r="B13785" t="s">
        <v>3373</v>
      </c>
      <c r="C13785" t="s">
        <v>16600</v>
      </c>
      <c r="D13785" t="s">
        <v>16608</v>
      </c>
      <c r="E13785" t="s">
        <v>28662</v>
      </c>
      <c r="F13785" t="s">
        <v>28669</v>
      </c>
      <c r="G13785" t="s">
        <v>28675</v>
      </c>
      <c r="H13785" t="s">
        <v>9998</v>
      </c>
      <c r="I13785" t="s">
        <v>11593</v>
      </c>
      <c r="J13785" t="s">
        <v>37197</v>
      </c>
      <c r="K13785" t="s">
        <v>37206</v>
      </c>
      <c r="M13785" t="s">
        <v>41247</v>
      </c>
      <c r="N13785" t="s">
        <v>41249</v>
      </c>
      <c r="O13785" t="s">
        <v>41250</v>
      </c>
      <c r="Q13785">
        <v>10</v>
      </c>
      <c r="R13785" t="s">
        <v>41275</v>
      </c>
      <c r="S13785" t="s">
        <v>42653</v>
      </c>
      <c r="T13785" t="s">
        <v>42867</v>
      </c>
      <c r="U13785" t="s">
        <v>54245</v>
      </c>
      <c r="V13785" t="s">
        <v>55894</v>
      </c>
      <c r="W13785" t="s">
        <v>41247</v>
      </c>
      <c r="X13785" t="s">
        <v>41276</v>
      </c>
    </row>
    <row r="13786" spans="1:24">
      <c r="A13786">
        <f>HYPERLINK("https://www.philgeps.gov.ph/GEPSNONPILOT/Tender/SplashBidNoticeAbstractUI.aspx?menuIndex=3&amp;refID=7031442&amp;Result=3","7031442")</f>
        <v>0</v>
      </c>
      <c r="B13786" t="s">
        <v>376</v>
      </c>
      <c r="C13786" t="s">
        <v>16601</v>
      </c>
      <c r="D13786" t="s">
        <v>16608</v>
      </c>
      <c r="E13786" t="s">
        <v>28663</v>
      </c>
      <c r="F13786" t="s">
        <v>28669</v>
      </c>
      <c r="G13786" t="s">
        <v>28675</v>
      </c>
      <c r="H13786" t="s">
        <v>9998</v>
      </c>
      <c r="I13786" t="s">
        <v>11142</v>
      </c>
      <c r="J13786" t="s">
        <v>37198</v>
      </c>
      <c r="K13786" t="s">
        <v>37213</v>
      </c>
      <c r="M13786" t="s">
        <v>40929</v>
      </c>
      <c r="N13786" t="s">
        <v>41249</v>
      </c>
      <c r="O13786" t="s">
        <v>41250</v>
      </c>
      <c r="P13786">
        <v>0</v>
      </c>
      <c r="Q13786">
        <v>40</v>
      </c>
      <c r="R13786" t="s">
        <v>41275</v>
      </c>
      <c r="S13786" t="s">
        <v>42316</v>
      </c>
      <c r="T13786" t="s">
        <v>42698</v>
      </c>
      <c r="U13786" t="s">
        <v>54246</v>
      </c>
      <c r="W13786" t="s">
        <v>40929</v>
      </c>
      <c r="X13786" t="s">
        <v>41278</v>
      </c>
    </row>
    <row r="13787" spans="1:24">
      <c r="A13787">
        <f>HYPERLINK("https://www.philgeps.gov.ph/GEPSNONPILOT/Tender/SplashBidNoticeAbstractUI.aspx?menuIndex=3&amp;refID=6814591&amp;Result=3","6814591")</f>
        <v>0</v>
      </c>
      <c r="B13787" t="s">
        <v>1024</v>
      </c>
      <c r="C13787" t="s">
        <v>16602</v>
      </c>
      <c r="D13787" t="s">
        <v>16608</v>
      </c>
      <c r="E13787" t="s">
        <v>28664</v>
      </c>
      <c r="F13787" t="s">
        <v>28669</v>
      </c>
      <c r="G13787" t="s">
        <v>28675</v>
      </c>
      <c r="H13787" t="s">
        <v>28686</v>
      </c>
      <c r="I13787" t="s">
        <v>28689</v>
      </c>
      <c r="J13787" t="s">
        <v>37199</v>
      </c>
      <c r="K13787" t="s">
        <v>37285</v>
      </c>
      <c r="M13787" t="s">
        <v>39657</v>
      </c>
      <c r="N13787" t="s">
        <v>41249</v>
      </c>
      <c r="O13787" t="s">
        <v>41250</v>
      </c>
      <c r="Q13787">
        <v>95</v>
      </c>
      <c r="R13787" t="s">
        <v>41356</v>
      </c>
      <c r="S13787" t="s">
        <v>42654</v>
      </c>
      <c r="T13787" t="s">
        <v>42682</v>
      </c>
      <c r="U13787" t="s">
        <v>48161</v>
      </c>
      <c r="V13787" t="s">
        <v>55895</v>
      </c>
      <c r="W13787" t="s">
        <v>39657</v>
      </c>
      <c r="X13787" t="s">
        <v>41364</v>
      </c>
    </row>
    <row r="13788" spans="1:24">
      <c r="A13788">
        <f>HYPERLINK("https://www.philgeps.gov.ph/GEPSNONPILOT/Tender/SplashBidNoticeAbstractUI.aspx?menuIndex=3&amp;refID=7032266&amp;Result=3","7032266")</f>
        <v>0</v>
      </c>
      <c r="B13788" t="s">
        <v>1064</v>
      </c>
      <c r="C13788" t="s">
        <v>16603</v>
      </c>
      <c r="D13788" t="s">
        <v>16655</v>
      </c>
      <c r="E13788" t="s">
        <v>28665</v>
      </c>
      <c r="F13788" t="s">
        <v>28669</v>
      </c>
      <c r="G13788" t="s">
        <v>28675</v>
      </c>
      <c r="H13788" t="s">
        <v>9998</v>
      </c>
      <c r="I13788" t="s">
        <v>28690</v>
      </c>
      <c r="J13788" t="s">
        <v>37200</v>
      </c>
      <c r="K13788" t="s">
        <v>37204</v>
      </c>
      <c r="M13788" t="s">
        <v>41173</v>
      </c>
      <c r="N13788" t="s">
        <v>41249</v>
      </c>
      <c r="O13788" t="s">
        <v>41250</v>
      </c>
      <c r="Q13788">
        <v>4</v>
      </c>
      <c r="R13788" t="s">
        <v>41275</v>
      </c>
      <c r="S13788" t="s">
        <v>42655</v>
      </c>
      <c r="T13788" t="s">
        <v>42811</v>
      </c>
      <c r="U13788" t="s">
        <v>54247</v>
      </c>
      <c r="W13788" t="s">
        <v>41173</v>
      </c>
      <c r="X13788" t="s">
        <v>41276</v>
      </c>
    </row>
    <row r="13789" spans="1:24">
      <c r="A13789">
        <f>HYPERLINK("https://www.philgeps.gov.ph/GEPSNONPILOT/Tender/SplashBidNoticeAbstractUI.aspx?menuIndex=3&amp;refID=7031324&amp;Result=3","7031324")</f>
        <v>0</v>
      </c>
      <c r="B13789" t="s">
        <v>1997</v>
      </c>
      <c r="C13789" t="s">
        <v>16604</v>
      </c>
      <c r="E13789" t="s">
        <v>28666</v>
      </c>
      <c r="F13789" t="s">
        <v>28669</v>
      </c>
      <c r="G13789" t="s">
        <v>28675</v>
      </c>
      <c r="H13789" t="s">
        <v>28686</v>
      </c>
      <c r="I13789" t="s">
        <v>28689</v>
      </c>
      <c r="J13789" t="s">
        <v>37201</v>
      </c>
      <c r="K13789" t="s">
        <v>37209</v>
      </c>
      <c r="M13789" t="s">
        <v>41246</v>
      </c>
      <c r="N13789" t="s">
        <v>41249</v>
      </c>
      <c r="O13789" t="s">
        <v>41250</v>
      </c>
      <c r="Q13789">
        <v>3</v>
      </c>
      <c r="R13789" t="s">
        <v>41276</v>
      </c>
      <c r="S13789" t="s">
        <v>42656</v>
      </c>
      <c r="T13789" t="s">
        <v>42739</v>
      </c>
      <c r="U13789" t="s">
        <v>54248</v>
      </c>
      <c r="W13789" t="s">
        <v>41246</v>
      </c>
      <c r="X13789" t="s">
        <v>41278</v>
      </c>
    </row>
    <row r="13790" spans="1:24">
      <c r="A13790">
        <f>HYPERLINK("https://www.philgeps.gov.ph/GEPSNONPILOT/Tender/SplashBidNoticeAbstractUI.aspx?menuIndex=3&amp;refID=7030740&amp;Result=3","7030740")</f>
        <v>0</v>
      </c>
      <c r="B13790" t="s">
        <v>311</v>
      </c>
      <c r="C13790" t="s">
        <v>16605</v>
      </c>
      <c r="D13790" t="s">
        <v>16627</v>
      </c>
      <c r="E13790" t="s">
        <v>28667</v>
      </c>
      <c r="F13790" t="s">
        <v>28669</v>
      </c>
      <c r="G13790" t="s">
        <v>28675</v>
      </c>
      <c r="H13790" t="s">
        <v>9998</v>
      </c>
      <c r="I13790" t="s">
        <v>28719</v>
      </c>
      <c r="J13790" t="s">
        <v>37202</v>
      </c>
      <c r="K13790" t="s">
        <v>37213</v>
      </c>
      <c r="M13790" t="s">
        <v>41188</v>
      </c>
      <c r="N13790" t="s">
        <v>41249</v>
      </c>
      <c r="O13790" t="s">
        <v>41250</v>
      </c>
      <c r="Q13790">
        <v>9</v>
      </c>
      <c r="R13790" t="s">
        <v>41276</v>
      </c>
      <c r="S13790" t="s">
        <v>42657</v>
      </c>
      <c r="T13790" t="s">
        <v>42660</v>
      </c>
      <c r="U13790" t="s">
        <v>54249</v>
      </c>
      <c r="W13790" t="s">
        <v>41188</v>
      </c>
      <c r="X13790" t="s">
        <v>41278</v>
      </c>
    </row>
    <row r="13791" spans="1:24">
      <c r="A13791">
        <f>HYPERLINK("https://www.philgeps.gov.ph/GEPSNONPILOT/Tender/SplashBidNoticeAbstractUI.aspx?menuIndex=3&amp;refID=7031649&amp;Result=3","7031649")</f>
        <v>0</v>
      </c>
      <c r="B13791" t="s">
        <v>3374</v>
      </c>
      <c r="C13791" t="s">
        <v>16606</v>
      </c>
      <c r="D13791" t="s">
        <v>16664</v>
      </c>
      <c r="E13791" t="s">
        <v>28668</v>
      </c>
      <c r="F13791" t="s">
        <v>28669</v>
      </c>
      <c r="G13791" t="s">
        <v>28675</v>
      </c>
      <c r="H13791" t="s">
        <v>9998</v>
      </c>
      <c r="I13791" t="s">
        <v>28708</v>
      </c>
      <c r="J13791" t="s">
        <v>37203</v>
      </c>
      <c r="K13791" t="s">
        <v>37206</v>
      </c>
      <c r="M13791" t="s">
        <v>41248</v>
      </c>
      <c r="N13791" t="s">
        <v>41249</v>
      </c>
      <c r="O13791" t="s">
        <v>41250</v>
      </c>
      <c r="Q13791">
        <v>6</v>
      </c>
      <c r="R13791" t="s">
        <v>41276</v>
      </c>
      <c r="S13791" t="s">
        <v>41399</v>
      </c>
      <c r="T13791" t="s">
        <v>42954</v>
      </c>
      <c r="U13791" t="s">
        <v>54250</v>
      </c>
      <c r="W13791" t="s">
        <v>41248</v>
      </c>
      <c r="X13791" t="s">
        <v>41278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2020-07-01T18:51:35Z</dcterms:created>
  <dcterms:modified xsi:type="dcterms:W3CDTF">2020-07-01T18:51:35Z</dcterms:modified>
</cp:coreProperties>
</file>